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BISNIS\JASAIKLAN\NyalaDigitalApps\Web\data\"/>
    </mc:Choice>
  </mc:AlternateContent>
  <xr:revisionPtr revIDLastSave="0" documentId="8_{A758F811-FA69-4AE9-9845-0B2ACA7F948B}" xr6:coauthVersionLast="47" xr6:coauthVersionMax="47" xr10:uidLastSave="{00000000-0000-0000-0000-000000000000}"/>
  <bookViews>
    <workbookView xWindow="-120" yWindow="-120" windowWidth="20730" windowHeight="11160" xr2:uid="{00000000-000D-0000-FFFF-FFFF00000000}"/>
  </bookViews>
  <sheets>
    <sheet name="Data Order" sheetId="1" r:id="rId1"/>
    <sheet name="Log" sheetId="2" r:id="rId2"/>
    <sheet name="Performa Iklan Klien" sheetId="3" r:id="rId3"/>
    <sheet name="Performa Iklan" sheetId="4" r:id="rId4"/>
    <sheet name="LinkWhatsappLaporan" sheetId="5" r:id="rId5"/>
    <sheet name="Performa Iklan Klien By Usia" sheetId="6" state="hidden" r:id="rId6"/>
    <sheet name="Performa Iklan Klien By Lokasi" sheetId="7" state="hidden" r:id="rId7"/>
    <sheet name="Performa Iklan Klien By Placeme" sheetId="8" state="hidden" r:id="rId8"/>
    <sheet name="Rekap Performa Iklan" sheetId="9" r:id="rId9"/>
    <sheet name="Resume Iklan" sheetId="10" r:id="rId10"/>
    <sheet name="Konfigurasi" sheetId="11" r:id="rId11"/>
    <sheet name="Laporan CS Raw" sheetId="12" r:id="rId12"/>
    <sheet name="Performa CS" sheetId="13" state="hidden" r:id="rId13"/>
    <sheet name="Kontak" sheetId="14" r:id="rId14"/>
    <sheet name="AccountId" sheetId="15" r:id="rId15"/>
    <sheet name="Laporan CS" sheetId="16" r:id="rId16"/>
    <sheet name="Fanspage" sheetId="17" r:id="rId17"/>
    <sheet name="Master Harga" sheetId="18" state="hidden" r:id="rId18"/>
    <sheet name="Data Iklan" sheetId="19" r:id="rId19"/>
  </sheets>
  <definedNames>
    <definedName name="_xlnm._FilterDatabase" localSheetId="0" hidden="1">'Data Order'!$A$1:$AG$1726</definedName>
    <definedName name="_xlnm._FilterDatabase" localSheetId="11" hidden="1">'Laporan CS Raw'!$B$1:$B$2794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8" l="1"/>
  <c r="E11" i="18"/>
  <c r="F10" i="18"/>
  <c r="E10" i="18"/>
  <c r="F9" i="18"/>
  <c r="E9" i="18"/>
  <c r="F8" i="18"/>
  <c r="E8" i="18"/>
  <c r="F7" i="18"/>
  <c r="E7" i="18"/>
  <c r="F6" i="18"/>
  <c r="E6" i="18"/>
  <c r="F5" i="18"/>
  <c r="E5" i="18"/>
  <c r="F4" i="18"/>
  <c r="E4" i="18"/>
  <c r="F3" i="18"/>
  <c r="E3" i="18"/>
  <c r="F2" i="18"/>
  <c r="E2" i="18"/>
  <c r="D22" i="17"/>
  <c r="D21" i="17"/>
  <c r="D20" i="17"/>
  <c r="D19" i="17"/>
  <c r="D18" i="17"/>
  <c r="D17" i="17"/>
  <c r="D16" i="17"/>
  <c r="D15" i="17"/>
  <c r="D14" i="17"/>
  <c r="D13" i="17"/>
  <c r="D12" i="17"/>
  <c r="D11" i="17"/>
  <c r="D10" i="17"/>
  <c r="D9" i="17"/>
  <c r="D8" i="17"/>
  <c r="D7" i="17"/>
  <c r="D6" i="17"/>
  <c r="D5" i="17"/>
  <c r="D4" i="17"/>
  <c r="D3" i="17"/>
  <c r="D2" i="17"/>
  <c r="AD1535" i="16"/>
  <c r="AD1534" i="16"/>
  <c r="AD1533" i="16"/>
  <c r="AD1532" i="16"/>
  <c r="AD1531" i="16"/>
  <c r="AD1530" i="16"/>
  <c r="AD1529" i="16"/>
  <c r="AD1528" i="16"/>
  <c r="AD1527" i="16"/>
  <c r="AD1526" i="16"/>
  <c r="AD1525" i="16"/>
  <c r="AD1524" i="16"/>
  <c r="AD1523" i="16"/>
  <c r="AD1522" i="16"/>
  <c r="AD1521" i="16"/>
  <c r="AD1520" i="16"/>
  <c r="AD1519" i="16"/>
  <c r="AD1518" i="16"/>
  <c r="AD1517" i="16"/>
  <c r="AD1516" i="16"/>
  <c r="AD1515" i="16"/>
  <c r="AD1514" i="16"/>
  <c r="AD1513" i="16"/>
  <c r="AD1512" i="16"/>
  <c r="AD1511" i="16"/>
  <c r="AD1510" i="16"/>
  <c r="AD1509" i="16"/>
  <c r="AD1508" i="16"/>
  <c r="AD1507" i="16"/>
  <c r="AD1506" i="16"/>
  <c r="AD1505" i="16"/>
  <c r="AD1504" i="16"/>
  <c r="AD1503" i="16"/>
  <c r="AD1502" i="16"/>
  <c r="AD1501" i="16"/>
  <c r="AD1500" i="16"/>
  <c r="AD1499" i="16"/>
  <c r="AD1498" i="16"/>
  <c r="AD1497" i="16"/>
  <c r="AD1496" i="16"/>
  <c r="AD1495" i="16"/>
  <c r="AD1494" i="16"/>
  <c r="AD1493" i="16"/>
  <c r="AD1492" i="16"/>
  <c r="AD1491" i="16"/>
  <c r="AD1490" i="16"/>
  <c r="AD1489" i="16"/>
  <c r="AD1488" i="16"/>
  <c r="AD1487" i="16"/>
  <c r="AD1486" i="16"/>
  <c r="AD1485" i="16"/>
  <c r="AD1484" i="16"/>
  <c r="AD1483" i="16"/>
  <c r="AD1482" i="16"/>
  <c r="AD1481" i="16"/>
  <c r="AD1480" i="16"/>
  <c r="AD1479" i="16"/>
  <c r="AD1478" i="16"/>
  <c r="AD1477" i="16"/>
  <c r="AD1476" i="16"/>
  <c r="AD1475" i="16"/>
  <c r="AD1474" i="16"/>
  <c r="AD1473" i="16"/>
  <c r="AD1472" i="16"/>
  <c r="AD1471" i="16"/>
  <c r="AD1470" i="16"/>
  <c r="AD1469" i="16"/>
  <c r="AD1468" i="16"/>
  <c r="AD1467" i="16"/>
  <c r="AD1466" i="16"/>
  <c r="AD1465" i="16"/>
  <c r="AD1464" i="16"/>
  <c r="AD1463" i="16"/>
  <c r="AD1462" i="16"/>
  <c r="AD1461" i="16"/>
  <c r="AD1460" i="16"/>
  <c r="AD1459" i="16"/>
  <c r="AD1458" i="16"/>
  <c r="AD1457" i="16"/>
  <c r="AD1456" i="16"/>
  <c r="AD1455" i="16"/>
  <c r="AD1454" i="16"/>
  <c r="AD1453" i="16"/>
  <c r="AD1452" i="16"/>
  <c r="AD1451" i="16"/>
  <c r="AD1450" i="16"/>
  <c r="AD1449" i="16"/>
  <c r="AD1448" i="16"/>
  <c r="AD1447" i="16"/>
  <c r="AD1446" i="16"/>
  <c r="AD1445" i="16"/>
  <c r="AD1444" i="16"/>
  <c r="AD1443" i="16"/>
  <c r="AD1442" i="16"/>
  <c r="AD1441" i="16"/>
  <c r="AD1440" i="16"/>
  <c r="AD1439" i="16"/>
  <c r="AD1438" i="16"/>
  <c r="AD1437" i="16"/>
  <c r="AD1436" i="16"/>
  <c r="AD1435" i="16"/>
  <c r="AD1434" i="16"/>
  <c r="AD1433" i="16"/>
  <c r="AD1432" i="16"/>
  <c r="AD1431" i="16"/>
  <c r="AD1430" i="16"/>
  <c r="AD1429" i="16"/>
  <c r="AD1428" i="16"/>
  <c r="AD1427" i="16"/>
  <c r="AD1426" i="16"/>
  <c r="AD1425" i="16"/>
  <c r="AD1424" i="16"/>
  <c r="AD1423" i="16"/>
  <c r="AD1422" i="16"/>
  <c r="AD1421" i="16"/>
  <c r="AD1420" i="16"/>
  <c r="AD1419" i="16"/>
  <c r="AD1418" i="16"/>
  <c r="AD1417" i="16"/>
  <c r="AD1416" i="16"/>
  <c r="AD1415" i="16"/>
  <c r="AD1414" i="16"/>
  <c r="AD1413" i="16"/>
  <c r="AD1412" i="16"/>
  <c r="AD1411" i="16"/>
  <c r="AD1410" i="16"/>
  <c r="AD1409" i="16"/>
  <c r="AD1408" i="16"/>
  <c r="AD1407" i="16"/>
  <c r="AD1406" i="16"/>
  <c r="AD1405" i="16"/>
  <c r="AD1404" i="16"/>
  <c r="AD1403" i="16"/>
  <c r="AD1402" i="16"/>
  <c r="AD1401" i="16"/>
  <c r="AD1400" i="16"/>
  <c r="AD1399" i="16"/>
  <c r="AD1398" i="16"/>
  <c r="AD1397" i="16"/>
  <c r="AD1396" i="16"/>
  <c r="AD1395" i="16"/>
  <c r="AD1394" i="16"/>
  <c r="AD1393" i="16"/>
  <c r="AD1392" i="16"/>
  <c r="AD1391" i="16"/>
  <c r="AD1390" i="16"/>
  <c r="AD1389" i="16"/>
  <c r="AD1388" i="16"/>
  <c r="AD1387" i="16"/>
  <c r="AD1386" i="16"/>
  <c r="AD1385" i="16"/>
  <c r="AD1384" i="16"/>
  <c r="AD1383" i="16"/>
  <c r="AD1382" i="16"/>
  <c r="AD1381" i="16"/>
  <c r="AD1380" i="16"/>
  <c r="AD1379" i="16"/>
  <c r="AD1378" i="16"/>
  <c r="AD1377" i="16"/>
  <c r="AD1376" i="16"/>
  <c r="AD1375" i="16"/>
  <c r="AD1374" i="16"/>
  <c r="AD1373" i="16"/>
  <c r="AD1372" i="16"/>
  <c r="AD1371" i="16"/>
  <c r="AD1370" i="16"/>
  <c r="AD1369" i="16"/>
  <c r="AD1368" i="16"/>
  <c r="AD1367" i="16"/>
  <c r="AD1366" i="16"/>
  <c r="AD1365" i="16"/>
  <c r="AD1364" i="16"/>
  <c r="AD1363" i="16"/>
  <c r="AD1362" i="16"/>
  <c r="AD1361" i="16"/>
  <c r="AD1360" i="16"/>
  <c r="AD1359" i="16"/>
  <c r="AD1358" i="16"/>
  <c r="AD1357" i="16"/>
  <c r="AD1356" i="16"/>
  <c r="AD1355" i="16"/>
  <c r="AD1354" i="16"/>
  <c r="AD1353" i="16"/>
  <c r="AD1352" i="16"/>
  <c r="AD1351" i="16"/>
  <c r="AD1350" i="16"/>
  <c r="AD1349" i="16"/>
  <c r="AD1348" i="16"/>
  <c r="AD1347" i="16"/>
  <c r="AD1346" i="16"/>
  <c r="AD1345" i="16"/>
  <c r="AD1344" i="16"/>
  <c r="AD1343" i="16"/>
  <c r="AD1342" i="16"/>
  <c r="AD1341" i="16"/>
  <c r="AD1340" i="16"/>
  <c r="AD1339" i="16"/>
  <c r="AD1338" i="16"/>
  <c r="AD1337" i="16"/>
  <c r="AD1336" i="16"/>
  <c r="AD1335" i="16"/>
  <c r="AD1334" i="16"/>
  <c r="AD1333" i="16"/>
  <c r="AD1332" i="16"/>
  <c r="AD1331" i="16"/>
  <c r="AD1330" i="16"/>
  <c r="AD1329" i="16"/>
  <c r="AD1328" i="16"/>
  <c r="AD1327" i="16"/>
  <c r="AD1326" i="16"/>
  <c r="AD1325" i="16"/>
  <c r="AD1324" i="16"/>
  <c r="AD1323" i="16"/>
  <c r="AD1322" i="16"/>
  <c r="AD1321" i="16"/>
  <c r="AD1320" i="16"/>
  <c r="AD1319" i="16"/>
  <c r="AD1318" i="16"/>
  <c r="AD1317" i="16"/>
  <c r="AD1316" i="16"/>
  <c r="AD1315" i="16"/>
  <c r="AD1314" i="16"/>
  <c r="AD1313" i="16"/>
  <c r="AD1312" i="16"/>
  <c r="AD1311" i="16"/>
  <c r="AD1310" i="16"/>
  <c r="AD1309" i="16"/>
  <c r="AD1308" i="16"/>
  <c r="AD1307" i="16"/>
  <c r="AD1306" i="16"/>
  <c r="AD1305" i="16"/>
  <c r="AD1304" i="16"/>
  <c r="AD1303" i="16"/>
  <c r="AD1302" i="16"/>
  <c r="AD1301" i="16"/>
  <c r="AD1300" i="16"/>
  <c r="AD1299" i="16"/>
  <c r="AD1298" i="16"/>
  <c r="AD1297" i="16"/>
  <c r="AD1296" i="16"/>
  <c r="AD1295" i="16"/>
  <c r="AD1294" i="16"/>
  <c r="AD1293" i="16"/>
  <c r="AD1292" i="16"/>
  <c r="AD1291" i="16"/>
  <c r="AD1290" i="16"/>
  <c r="AD1289" i="16"/>
  <c r="AD1288" i="16"/>
  <c r="AD1287" i="16"/>
  <c r="AD1286" i="16"/>
  <c r="AD1285" i="16"/>
  <c r="AD1284" i="16"/>
  <c r="AD1283" i="16"/>
  <c r="AD1282" i="16"/>
  <c r="AD1281" i="16"/>
  <c r="AD1280" i="16"/>
  <c r="AD1279" i="16"/>
  <c r="AD1278" i="16"/>
  <c r="AD1277" i="16"/>
  <c r="AD1276" i="16"/>
  <c r="AD1275" i="16"/>
  <c r="AD1274" i="16"/>
  <c r="AD1273" i="16"/>
  <c r="AD1272" i="16"/>
  <c r="AD1271" i="16"/>
  <c r="AD1270" i="16"/>
  <c r="AD1269" i="16"/>
  <c r="AD1268" i="16"/>
  <c r="AD1267" i="16"/>
  <c r="AD1266" i="16"/>
  <c r="AD1265" i="16"/>
  <c r="AD1264" i="16"/>
  <c r="AD1263" i="16"/>
  <c r="AD1262" i="16"/>
  <c r="AD1261" i="16"/>
  <c r="AD1260" i="16"/>
  <c r="AD1259" i="16"/>
  <c r="AD1258" i="16"/>
  <c r="AD1257" i="16"/>
  <c r="AD1256" i="16"/>
  <c r="AD1255" i="16"/>
  <c r="AD1254" i="16"/>
  <c r="AD1253" i="16"/>
  <c r="AD1252" i="16"/>
  <c r="AD1251" i="16"/>
  <c r="AD1250" i="16"/>
  <c r="AD1249" i="16"/>
  <c r="AD1248" i="16"/>
  <c r="AD1247" i="16"/>
  <c r="AD1246" i="16"/>
  <c r="AD1245" i="16"/>
  <c r="AD1244" i="16"/>
  <c r="AD1243" i="16"/>
  <c r="AD1242" i="16"/>
  <c r="AD1241" i="16"/>
  <c r="AD1240" i="16"/>
  <c r="AD1239" i="16"/>
  <c r="AD1238" i="16"/>
  <c r="AD1237" i="16"/>
  <c r="AD1236" i="16"/>
  <c r="AD1235" i="16"/>
  <c r="AD1234" i="16"/>
  <c r="AD1233" i="16"/>
  <c r="AD1232" i="16"/>
  <c r="AD1231" i="16"/>
  <c r="AD1230" i="16"/>
  <c r="AD1229" i="16"/>
  <c r="AD1228" i="16"/>
  <c r="AD1227" i="16"/>
  <c r="AD1226" i="16"/>
  <c r="AD1225" i="16"/>
  <c r="AD1224" i="16"/>
  <c r="AD1223" i="16"/>
  <c r="AD1222" i="16"/>
  <c r="AD1221" i="16"/>
  <c r="AD1220" i="16"/>
  <c r="AD1219" i="16"/>
  <c r="AD1218" i="16"/>
  <c r="AD1217" i="16"/>
  <c r="AD1216" i="16"/>
  <c r="AD1215" i="16"/>
  <c r="AD1214" i="16"/>
  <c r="AD1213" i="16"/>
  <c r="AD1212" i="16"/>
  <c r="AD1211" i="16"/>
  <c r="AD1210" i="16"/>
  <c r="AD1209" i="16"/>
  <c r="AD1208" i="16"/>
  <c r="AD1207" i="16"/>
  <c r="AD1206" i="16"/>
  <c r="AD1205" i="16"/>
  <c r="AD1204" i="16"/>
  <c r="AD1203" i="16"/>
  <c r="AD1202" i="16"/>
  <c r="AD1201" i="16"/>
  <c r="AD1200" i="16"/>
  <c r="AD1199" i="16"/>
  <c r="AD1198" i="16"/>
  <c r="AD1197" i="16"/>
  <c r="AD1196" i="16"/>
  <c r="AD1195" i="16"/>
  <c r="AD1194" i="16"/>
  <c r="AD1193" i="16"/>
  <c r="AD1192" i="16"/>
  <c r="AD1191" i="16"/>
  <c r="AD1190" i="16"/>
  <c r="AD1189" i="16"/>
  <c r="AD1188" i="16"/>
  <c r="AD1187" i="16"/>
  <c r="AD1186" i="16"/>
  <c r="AD1185" i="16"/>
  <c r="AD1184" i="16"/>
  <c r="AD1183" i="16"/>
  <c r="AD1182" i="16"/>
  <c r="AD1181" i="16"/>
  <c r="AD1180" i="16"/>
  <c r="AD1179" i="16"/>
  <c r="AD1178" i="16"/>
  <c r="AD1177" i="16"/>
  <c r="AD1176" i="16"/>
  <c r="AD1175" i="16"/>
  <c r="AD1174" i="16"/>
  <c r="AD1173" i="16"/>
  <c r="AD1172" i="16"/>
  <c r="AD1171" i="16"/>
  <c r="AD1170" i="16"/>
  <c r="AD1169" i="16"/>
  <c r="AD1168" i="16"/>
  <c r="AD1167" i="16"/>
  <c r="AD1166" i="16"/>
  <c r="AD1165" i="16"/>
  <c r="AD1164" i="16"/>
  <c r="AD1163" i="16"/>
  <c r="AD1162" i="16"/>
  <c r="AD1161" i="16"/>
  <c r="AD1160" i="16"/>
  <c r="AD1159" i="16"/>
  <c r="AD1158" i="16"/>
  <c r="AD1157" i="16"/>
  <c r="AD1156" i="16"/>
  <c r="AD1155" i="16"/>
  <c r="AD1154" i="16"/>
  <c r="AD1153" i="16"/>
  <c r="AD1152" i="16"/>
  <c r="AD1151" i="16"/>
  <c r="AD1150" i="16"/>
  <c r="AD1149" i="16"/>
  <c r="AD1148" i="16"/>
  <c r="AD1147" i="16"/>
  <c r="AD1146" i="16"/>
  <c r="AD1145" i="16"/>
  <c r="AD1144" i="16"/>
  <c r="AD1143" i="16"/>
  <c r="AD1142" i="16"/>
  <c r="AD1141" i="16"/>
  <c r="AD1140" i="16"/>
  <c r="AD1139" i="16"/>
  <c r="AD1138" i="16"/>
  <c r="AD1137" i="16"/>
  <c r="AD1136" i="16"/>
  <c r="AD1135" i="16"/>
  <c r="AD1134" i="16"/>
  <c r="AD1133" i="16"/>
  <c r="AD1132" i="16"/>
  <c r="AD1131" i="16"/>
  <c r="AD1130" i="16"/>
  <c r="AD1129" i="16"/>
  <c r="AD1128" i="16"/>
  <c r="AD1127" i="16"/>
  <c r="AD1126" i="16"/>
  <c r="AD1125" i="16"/>
  <c r="AD1124" i="16"/>
  <c r="AD1123" i="16"/>
  <c r="AD1122" i="16"/>
  <c r="AD1121" i="16"/>
  <c r="AD1120" i="16"/>
  <c r="AD1119" i="16"/>
  <c r="AD1118" i="16"/>
  <c r="AD1117" i="16"/>
  <c r="AD1116" i="16"/>
  <c r="AD1115" i="16"/>
  <c r="AD1114" i="16"/>
  <c r="AD1113" i="16"/>
  <c r="AD1112" i="16"/>
  <c r="AD1111" i="16"/>
  <c r="AD1110" i="16"/>
  <c r="AD1109" i="16"/>
  <c r="AD1108" i="16"/>
  <c r="AD1107" i="16"/>
  <c r="AD1106" i="16"/>
  <c r="AD1105" i="16"/>
  <c r="AD1104" i="16"/>
  <c r="AD1103" i="16"/>
  <c r="AD1102" i="16"/>
  <c r="AD1101" i="16"/>
  <c r="AD1100" i="16"/>
  <c r="AD1099" i="16"/>
  <c r="AD1098" i="16"/>
  <c r="AD1097" i="16"/>
  <c r="AD1096" i="16"/>
  <c r="AD1095" i="16"/>
  <c r="AD1094" i="16"/>
  <c r="AD1093" i="16"/>
  <c r="AD1092" i="16"/>
  <c r="AD1091" i="16"/>
  <c r="AD1090" i="16"/>
  <c r="AD1089" i="16"/>
  <c r="AD1088" i="16"/>
  <c r="AD1087" i="16"/>
  <c r="AD1086" i="16"/>
  <c r="AD1085" i="16"/>
  <c r="AD1084" i="16"/>
  <c r="AD1083" i="16"/>
  <c r="AD1082" i="16"/>
  <c r="AD1081" i="16"/>
  <c r="AD1080" i="16"/>
  <c r="AD1079" i="16"/>
  <c r="AD1078" i="16"/>
  <c r="AD1077" i="16"/>
  <c r="AD1076" i="16"/>
  <c r="AD1075" i="16"/>
  <c r="AD1074" i="16"/>
  <c r="AD1073" i="16"/>
  <c r="AD1072" i="16"/>
  <c r="AD1071" i="16"/>
  <c r="AD1070" i="16"/>
  <c r="AD1069" i="16"/>
  <c r="AD1068" i="16"/>
  <c r="AD1067" i="16"/>
  <c r="AD1066" i="16"/>
  <c r="AD1065" i="16"/>
  <c r="AD1064" i="16"/>
  <c r="AD1063" i="16"/>
  <c r="AD1062" i="16"/>
  <c r="AD1061" i="16"/>
  <c r="AD1060" i="16"/>
  <c r="AD1059" i="16"/>
  <c r="AD1058" i="16"/>
  <c r="AD1057" i="16"/>
  <c r="AD1056" i="16"/>
  <c r="AD1055" i="16"/>
  <c r="AD1054" i="16"/>
  <c r="AD1053" i="16"/>
  <c r="AD1052" i="16"/>
  <c r="AD1051" i="16"/>
  <c r="AD1050" i="16"/>
  <c r="AD1049" i="16"/>
  <c r="AD1048" i="16"/>
  <c r="AD1047" i="16"/>
  <c r="AD1046" i="16"/>
  <c r="AD1045" i="16"/>
  <c r="AD1044" i="16"/>
  <c r="AD1043" i="16"/>
  <c r="AD1042" i="16"/>
  <c r="AD1041" i="16"/>
  <c r="AD1040" i="16"/>
  <c r="AD1039" i="16"/>
  <c r="AD1038" i="16"/>
  <c r="AD1037" i="16"/>
  <c r="AD1036" i="16"/>
  <c r="AD1035" i="16"/>
  <c r="AD1034" i="16"/>
  <c r="AD1033" i="16"/>
  <c r="AD1032" i="16"/>
  <c r="AD1031" i="16"/>
  <c r="AD1030" i="16"/>
  <c r="AD1029" i="16"/>
  <c r="AD1028" i="16"/>
  <c r="AD1027" i="16"/>
  <c r="AD1026" i="16"/>
  <c r="AD1025" i="16"/>
  <c r="AD1024" i="16"/>
  <c r="AD1023" i="16"/>
  <c r="AD1022" i="16"/>
  <c r="AD1021" i="16"/>
  <c r="AD1020" i="16"/>
  <c r="AD1019" i="16"/>
  <c r="AD1018" i="16"/>
  <c r="AD1017" i="16"/>
  <c r="AD1016" i="16"/>
  <c r="AD1015" i="16"/>
  <c r="AD1014" i="16"/>
  <c r="AD1013" i="16"/>
  <c r="AD1012" i="16"/>
  <c r="AD1011" i="16"/>
  <c r="AD1010" i="16"/>
  <c r="AD1009" i="16"/>
  <c r="AD1008" i="16"/>
  <c r="AD1007" i="16"/>
  <c r="AD1006" i="16"/>
  <c r="AD1005" i="16"/>
  <c r="AD1004" i="16"/>
  <c r="AD1003" i="16"/>
  <c r="AD1002" i="16"/>
  <c r="AD1001" i="16"/>
  <c r="AD1000" i="16"/>
  <c r="AD999" i="16"/>
  <c r="AD998" i="16"/>
  <c r="AD997" i="16"/>
  <c r="AD996" i="16"/>
  <c r="AD995" i="16"/>
  <c r="AD994" i="16"/>
  <c r="AD993" i="16"/>
  <c r="AD992" i="16"/>
  <c r="AD991" i="16"/>
  <c r="AD990" i="16"/>
  <c r="AD989" i="16"/>
  <c r="AD988" i="16"/>
  <c r="AD987" i="16"/>
  <c r="AD986" i="16"/>
  <c r="AD985" i="16"/>
  <c r="AD984" i="16"/>
  <c r="AD983" i="16"/>
  <c r="AD982" i="16"/>
  <c r="AD981" i="16"/>
  <c r="AD980" i="16"/>
  <c r="AD979" i="16"/>
  <c r="AD978" i="16"/>
  <c r="AD977" i="16"/>
  <c r="AD976" i="16"/>
  <c r="AD975" i="16"/>
  <c r="AD974" i="16"/>
  <c r="AD973" i="16"/>
  <c r="AD972" i="16"/>
  <c r="AD971" i="16"/>
  <c r="AD970" i="16"/>
  <c r="AD969" i="16"/>
  <c r="AD968" i="16"/>
  <c r="AD967" i="16"/>
  <c r="AD966" i="16"/>
  <c r="AD965" i="16"/>
  <c r="AD964" i="16"/>
  <c r="AD963" i="16"/>
  <c r="AD962" i="16"/>
  <c r="AD961" i="16"/>
  <c r="AD960" i="16"/>
  <c r="AD959" i="16"/>
  <c r="AD958" i="16"/>
  <c r="AD957" i="16"/>
  <c r="AD956" i="16"/>
  <c r="AD955" i="16"/>
  <c r="AD954" i="16"/>
  <c r="AD953" i="16"/>
  <c r="AD952" i="16"/>
  <c r="AD951" i="16"/>
  <c r="AD950" i="16"/>
  <c r="AD949" i="16"/>
  <c r="AD948" i="16"/>
  <c r="AD947" i="16"/>
  <c r="AD946" i="16"/>
  <c r="AD945" i="16"/>
  <c r="AD944" i="16"/>
  <c r="AD943" i="16"/>
  <c r="AD942" i="16"/>
  <c r="AD941" i="16"/>
  <c r="AD940" i="16"/>
  <c r="AD939" i="16"/>
  <c r="AD938" i="16"/>
  <c r="AD937" i="16"/>
  <c r="AD936" i="16"/>
  <c r="AD935" i="16"/>
  <c r="AD934" i="16"/>
  <c r="AD933" i="16"/>
  <c r="AD932" i="16"/>
  <c r="AD931" i="16"/>
  <c r="AD930" i="16"/>
  <c r="AD929" i="16"/>
  <c r="AD928" i="16"/>
  <c r="AD927" i="16"/>
  <c r="AD926" i="16"/>
  <c r="AD925" i="16"/>
  <c r="AD924" i="16"/>
  <c r="AD923" i="16"/>
  <c r="AD922" i="16"/>
  <c r="AD921" i="16"/>
  <c r="AD920" i="16"/>
  <c r="AD919" i="16"/>
  <c r="AD918" i="16"/>
  <c r="AD917" i="16"/>
  <c r="AD916" i="16"/>
  <c r="AD915" i="16"/>
  <c r="AD914" i="16"/>
  <c r="AD913" i="16"/>
  <c r="AD912" i="16"/>
  <c r="AD911" i="16"/>
  <c r="AD910" i="16"/>
  <c r="AD909" i="16"/>
  <c r="AD908" i="16"/>
  <c r="AD907" i="16"/>
  <c r="AD906" i="16"/>
  <c r="AD905" i="16"/>
  <c r="AD904" i="16"/>
  <c r="AD903" i="16"/>
  <c r="AD902" i="16"/>
  <c r="AD901" i="16"/>
  <c r="AD900" i="16"/>
  <c r="AD899" i="16"/>
  <c r="AD898" i="16"/>
  <c r="AD897" i="16"/>
  <c r="AD896" i="16"/>
  <c r="AD895" i="16"/>
  <c r="AD894" i="16"/>
  <c r="AD893" i="16"/>
  <c r="AD892" i="16"/>
  <c r="AD891" i="16"/>
  <c r="AD890" i="16"/>
  <c r="AD889" i="16"/>
  <c r="AD888" i="16"/>
  <c r="AD887" i="16"/>
  <c r="AD886" i="16"/>
  <c r="AD885" i="16"/>
  <c r="AD884" i="16"/>
  <c r="AD883" i="16"/>
  <c r="AD882" i="16"/>
  <c r="AD881" i="16"/>
  <c r="AD880" i="16"/>
  <c r="AD879" i="16"/>
  <c r="AD878" i="16"/>
  <c r="AD877" i="16"/>
  <c r="AD876" i="16"/>
  <c r="AD875" i="16"/>
  <c r="AD874" i="16"/>
  <c r="AD873" i="16"/>
  <c r="AD872" i="16"/>
  <c r="AD871" i="16"/>
  <c r="AD870" i="16"/>
  <c r="AD869" i="16"/>
  <c r="AD868" i="16"/>
  <c r="AD867" i="16"/>
  <c r="AD866" i="16"/>
  <c r="AD865" i="16"/>
  <c r="AD864" i="16"/>
  <c r="AD863" i="16"/>
  <c r="AD862" i="16"/>
  <c r="AD861" i="16"/>
  <c r="AD860" i="16"/>
  <c r="AD859" i="16"/>
  <c r="AD858" i="16"/>
  <c r="AD857" i="16"/>
  <c r="AD856" i="16"/>
  <c r="AD855" i="16"/>
  <c r="AD854" i="16"/>
  <c r="AD853" i="16"/>
  <c r="AD852" i="16"/>
  <c r="AD851" i="16"/>
  <c r="AD850" i="16"/>
  <c r="AD849" i="16"/>
  <c r="AD848" i="16"/>
  <c r="AD847" i="16"/>
  <c r="AD846" i="16"/>
  <c r="AD845" i="16"/>
  <c r="AD844" i="16"/>
  <c r="AD843" i="16"/>
  <c r="AD842" i="16"/>
  <c r="AD841" i="16"/>
  <c r="AD840" i="16"/>
  <c r="AD839" i="16"/>
  <c r="AD838" i="16"/>
  <c r="AD837" i="16"/>
  <c r="AD836" i="16"/>
  <c r="AD835" i="16"/>
  <c r="AD834" i="16"/>
  <c r="AD833" i="16"/>
  <c r="AD832" i="16"/>
  <c r="AD831" i="16"/>
  <c r="AD830" i="16"/>
  <c r="AD829" i="16"/>
  <c r="AD828" i="16"/>
  <c r="AD827" i="16"/>
  <c r="AD826" i="16"/>
  <c r="AD825" i="16"/>
  <c r="AD824" i="16"/>
  <c r="AD823" i="16"/>
  <c r="AD822" i="16"/>
  <c r="AD821" i="16"/>
  <c r="AD820" i="16"/>
  <c r="AD819" i="16"/>
  <c r="AD818" i="16"/>
  <c r="AD817" i="16"/>
  <c r="AD816" i="16"/>
  <c r="AD815" i="16"/>
  <c r="AD814" i="16"/>
  <c r="AD813" i="16"/>
  <c r="AD812" i="16"/>
  <c r="AD811" i="16"/>
  <c r="AD810" i="16"/>
  <c r="AD809" i="16"/>
  <c r="AD808" i="16"/>
  <c r="AD807" i="16"/>
  <c r="AD806" i="16"/>
  <c r="AD805" i="16"/>
  <c r="AD804" i="16"/>
  <c r="AD803" i="16"/>
  <c r="AD802" i="16"/>
  <c r="AD801" i="16"/>
  <c r="AD800" i="16"/>
  <c r="AD799" i="16"/>
  <c r="AD798" i="16"/>
  <c r="AD797" i="16"/>
  <c r="AD796" i="16"/>
  <c r="AD795" i="16"/>
  <c r="AD794" i="16"/>
  <c r="AD793" i="16"/>
  <c r="AD792" i="16"/>
  <c r="AD791" i="16"/>
  <c r="AD790" i="16"/>
  <c r="AD789" i="16"/>
  <c r="AD788" i="16"/>
  <c r="AD787" i="16"/>
  <c r="AD786" i="16"/>
  <c r="AD785" i="16"/>
  <c r="AD784" i="16"/>
  <c r="AD783" i="16"/>
  <c r="AD782" i="16"/>
  <c r="AD781" i="16"/>
  <c r="AD780" i="16"/>
  <c r="AD779" i="16"/>
  <c r="AD778" i="16"/>
  <c r="AD777" i="16"/>
  <c r="AD776" i="16"/>
  <c r="AD775" i="16"/>
  <c r="AD774" i="16"/>
  <c r="AD773" i="16"/>
  <c r="AD772" i="16"/>
  <c r="AD771" i="16"/>
  <c r="AD770" i="16"/>
  <c r="AD769" i="16"/>
  <c r="AD768" i="16"/>
  <c r="AD767" i="16"/>
  <c r="AD766" i="16"/>
  <c r="AD765" i="16"/>
  <c r="AD764" i="16"/>
  <c r="AD763" i="16"/>
  <c r="AD762" i="16"/>
  <c r="AD761" i="16"/>
  <c r="AD760" i="16"/>
  <c r="AD759" i="16"/>
  <c r="AD758" i="16"/>
  <c r="AD757" i="16"/>
  <c r="AD756" i="16"/>
  <c r="AD755" i="16"/>
  <c r="AD754" i="16"/>
  <c r="AD753" i="16"/>
  <c r="AD752" i="16"/>
  <c r="AD751" i="16"/>
  <c r="AD750" i="16"/>
  <c r="AD749" i="16"/>
  <c r="AD748" i="16"/>
  <c r="AD747" i="16"/>
  <c r="AD746" i="16"/>
  <c r="AD745" i="16"/>
  <c r="AD744" i="16"/>
  <c r="AD743" i="16"/>
  <c r="AD742" i="16"/>
  <c r="AD741" i="16"/>
  <c r="AD740" i="16"/>
  <c r="AD739" i="16"/>
  <c r="AD738" i="16"/>
  <c r="AD737" i="16"/>
  <c r="AD736" i="16"/>
  <c r="AD735" i="16"/>
  <c r="AD734" i="16"/>
  <c r="AD733" i="16"/>
  <c r="AD732" i="16"/>
  <c r="AD731" i="16"/>
  <c r="AD730" i="16"/>
  <c r="AD729" i="16"/>
  <c r="AD728" i="16"/>
  <c r="AD727" i="16"/>
  <c r="AD726" i="16"/>
  <c r="AD725" i="16"/>
  <c r="AD724" i="16"/>
  <c r="AD723" i="16"/>
  <c r="AD722" i="16"/>
  <c r="AD721" i="16"/>
  <c r="AD720" i="16"/>
  <c r="AD719" i="16"/>
  <c r="AD718" i="16"/>
  <c r="AD717" i="16"/>
  <c r="AD716" i="16"/>
  <c r="AD715" i="16"/>
  <c r="AD714" i="16"/>
  <c r="AD713" i="16"/>
  <c r="AD712" i="16"/>
  <c r="AD711" i="16"/>
  <c r="AD710" i="16"/>
  <c r="AD709" i="16"/>
  <c r="AD708" i="16"/>
  <c r="AD707" i="16"/>
  <c r="AD706" i="16"/>
  <c r="AD705" i="16"/>
  <c r="AD704" i="16"/>
  <c r="AD703" i="16"/>
  <c r="AD702" i="16"/>
  <c r="AD701" i="16"/>
  <c r="AD700" i="16"/>
  <c r="AD699" i="16"/>
  <c r="AD698" i="16"/>
  <c r="AD697" i="16"/>
  <c r="AD696" i="16"/>
  <c r="AD695" i="16"/>
  <c r="AD694" i="16"/>
  <c r="AD693" i="16"/>
  <c r="AD692" i="16"/>
  <c r="AD691" i="16"/>
  <c r="AD690" i="16"/>
  <c r="AD689" i="16"/>
  <c r="AD688" i="16"/>
  <c r="AD687" i="16"/>
  <c r="AD686" i="16"/>
  <c r="AD685" i="16"/>
  <c r="AD684" i="16"/>
  <c r="AD683" i="16"/>
  <c r="AD682" i="16"/>
  <c r="AD681" i="16"/>
  <c r="AD680" i="16"/>
  <c r="AD679" i="16"/>
  <c r="AD678" i="16"/>
  <c r="AD677" i="16"/>
  <c r="AD676" i="16"/>
  <c r="AD675" i="16"/>
  <c r="AD674" i="16"/>
  <c r="AD673" i="16"/>
  <c r="AD672" i="16"/>
  <c r="AD671" i="16"/>
  <c r="AD670" i="16"/>
  <c r="AD669" i="16"/>
  <c r="AD668" i="16"/>
  <c r="AD667" i="16"/>
  <c r="AD666" i="16"/>
  <c r="AD665" i="16"/>
  <c r="AD664" i="16"/>
  <c r="AD663" i="16"/>
  <c r="AD662" i="16"/>
  <c r="AD661" i="16"/>
  <c r="AD660" i="16"/>
  <c r="AD659" i="16"/>
  <c r="AD658" i="16"/>
  <c r="AD657" i="16"/>
  <c r="AD656" i="16"/>
  <c r="AD655" i="16"/>
  <c r="AD654" i="16"/>
  <c r="AD653" i="16"/>
  <c r="AD652" i="16"/>
  <c r="AD651" i="16"/>
  <c r="AD650" i="16"/>
  <c r="AD649" i="16"/>
  <c r="AD648" i="16"/>
  <c r="AD647" i="16"/>
  <c r="AD646" i="16"/>
  <c r="AD645" i="16"/>
  <c r="AD644" i="16"/>
  <c r="AD643" i="16"/>
  <c r="AD642" i="16"/>
  <c r="AD641" i="16"/>
  <c r="AD640" i="16"/>
  <c r="AD639" i="16"/>
  <c r="AD638" i="16"/>
  <c r="AD637" i="16"/>
  <c r="AD636" i="16"/>
  <c r="AD635" i="16"/>
  <c r="AD634" i="16"/>
  <c r="AD633" i="16"/>
  <c r="AD632" i="16"/>
  <c r="AD631" i="16"/>
  <c r="AD630" i="16"/>
  <c r="AD629" i="16"/>
  <c r="AD628" i="16"/>
  <c r="AD627" i="16"/>
  <c r="AD626" i="16"/>
  <c r="AD625" i="16"/>
  <c r="AD624" i="16"/>
  <c r="AD623" i="16"/>
  <c r="AD622" i="16"/>
  <c r="AD621" i="16"/>
  <c r="AD620" i="16"/>
  <c r="AD619" i="16"/>
  <c r="AD618" i="16"/>
  <c r="AD617" i="16"/>
  <c r="AD616" i="16"/>
  <c r="AD615" i="16"/>
  <c r="AD614" i="16"/>
  <c r="AD613" i="16"/>
  <c r="AD612" i="16"/>
  <c r="AD611" i="16"/>
  <c r="AD610" i="16"/>
  <c r="AD609" i="16"/>
  <c r="AD608" i="16"/>
  <c r="AD607" i="16"/>
  <c r="AD606" i="16"/>
  <c r="AD605" i="16"/>
  <c r="AD604" i="16"/>
  <c r="AD603" i="16"/>
  <c r="AD602" i="16"/>
  <c r="AD601" i="16"/>
  <c r="AD600" i="16"/>
  <c r="AD599" i="16"/>
  <c r="AD598" i="16"/>
  <c r="AD597" i="16"/>
  <c r="AD596" i="16"/>
  <c r="AD595" i="16"/>
  <c r="AD594" i="16"/>
  <c r="AD593" i="16"/>
  <c r="AD592" i="16"/>
  <c r="AD591" i="16"/>
  <c r="AD590" i="16"/>
  <c r="AD589" i="16"/>
  <c r="AD588" i="16"/>
  <c r="AD587" i="16"/>
  <c r="AD586" i="16"/>
  <c r="AD585" i="16"/>
  <c r="AD584" i="16"/>
  <c r="AD583" i="16"/>
  <c r="AD582" i="16"/>
  <c r="AD581" i="16"/>
  <c r="AD580" i="16"/>
  <c r="AD579" i="16"/>
  <c r="AD578" i="16"/>
  <c r="AD577" i="16"/>
  <c r="AD576" i="16"/>
  <c r="AD575" i="16"/>
  <c r="AD574" i="16"/>
  <c r="AD573" i="16"/>
  <c r="AD572" i="16"/>
  <c r="AD571" i="16"/>
  <c r="AD570" i="16"/>
  <c r="AD569" i="16"/>
  <c r="AD568" i="16"/>
  <c r="AD567" i="16"/>
  <c r="AD566" i="16"/>
  <c r="AD565" i="16"/>
  <c r="AD564" i="16"/>
  <c r="AD563" i="16"/>
  <c r="AD562" i="16"/>
  <c r="AD561" i="16"/>
  <c r="AD560" i="16"/>
  <c r="AD559" i="16"/>
  <c r="AD558" i="16"/>
  <c r="AD557" i="16"/>
  <c r="AD556" i="16"/>
  <c r="AD555" i="16"/>
  <c r="AD554" i="16"/>
  <c r="AD553" i="16"/>
  <c r="AD552" i="16"/>
  <c r="AD551" i="16"/>
  <c r="AD550" i="16"/>
  <c r="AD549" i="16"/>
  <c r="AD548" i="16"/>
  <c r="AD547" i="16"/>
  <c r="AD546" i="16"/>
  <c r="AD545" i="16"/>
  <c r="AD544" i="16"/>
  <c r="AD543" i="16"/>
  <c r="AD542" i="16"/>
  <c r="AD541" i="16"/>
  <c r="AD540" i="16"/>
  <c r="AD539" i="16"/>
  <c r="AD538" i="16"/>
  <c r="AD537" i="16"/>
  <c r="AD536" i="16"/>
  <c r="AD535" i="16"/>
  <c r="AD534" i="16"/>
  <c r="AD533" i="16"/>
  <c r="AD532" i="16"/>
  <c r="AD531" i="16"/>
  <c r="AD530" i="16"/>
  <c r="AD529" i="16"/>
  <c r="AD528" i="16"/>
  <c r="AD527" i="16"/>
  <c r="AD526" i="16"/>
  <c r="AD525" i="16"/>
  <c r="AD524" i="16"/>
  <c r="AD523" i="16"/>
  <c r="AD522" i="16"/>
  <c r="AD521" i="16"/>
  <c r="AD520" i="16"/>
  <c r="AD519" i="16"/>
  <c r="AD518" i="16"/>
  <c r="AD517" i="16"/>
  <c r="AD516" i="16"/>
  <c r="AD515" i="16"/>
  <c r="AD514" i="16"/>
  <c r="AD513" i="16"/>
  <c r="AD512" i="16"/>
  <c r="AD511" i="16"/>
  <c r="AD510" i="16"/>
  <c r="AD509" i="16"/>
  <c r="AD508" i="16"/>
  <c r="AD507" i="16"/>
  <c r="AD506" i="16"/>
  <c r="AD505" i="16"/>
  <c r="AD504" i="16"/>
  <c r="AD503" i="16"/>
  <c r="AD502" i="16"/>
  <c r="AD501" i="16"/>
  <c r="AD500" i="16"/>
  <c r="AD499" i="16"/>
  <c r="AD498" i="16"/>
  <c r="AD497" i="16"/>
  <c r="AD496" i="16"/>
  <c r="AD495" i="16"/>
  <c r="AD494" i="16"/>
  <c r="AD493" i="16"/>
  <c r="AD492" i="16"/>
  <c r="AD491" i="16"/>
  <c r="AD490" i="16"/>
  <c r="AD489" i="16"/>
  <c r="AD488" i="16"/>
  <c r="AD487" i="16"/>
  <c r="AD486" i="16"/>
  <c r="AD485" i="16"/>
  <c r="AD484" i="16"/>
  <c r="AD483" i="16"/>
  <c r="AD482" i="16"/>
  <c r="AD481" i="16"/>
  <c r="AD480" i="16"/>
  <c r="AD479" i="16"/>
  <c r="AD478" i="16"/>
  <c r="AD477" i="16"/>
  <c r="AD476" i="16"/>
  <c r="AD475" i="16"/>
  <c r="AD474" i="16"/>
  <c r="AD473" i="16"/>
  <c r="AD472" i="16"/>
  <c r="AD471" i="16"/>
  <c r="AD470" i="16"/>
  <c r="AD469" i="16"/>
  <c r="AD468" i="16"/>
  <c r="AD467" i="16"/>
  <c r="AD466" i="16"/>
  <c r="AD465" i="16"/>
  <c r="AD464" i="16"/>
  <c r="AD463" i="16"/>
  <c r="AD462" i="16"/>
  <c r="AD461" i="16"/>
  <c r="AD460" i="16"/>
  <c r="AD459" i="16"/>
  <c r="AD458" i="16"/>
  <c r="AD457" i="16"/>
  <c r="AD456" i="16"/>
  <c r="AD455" i="16"/>
  <c r="AD454" i="16"/>
  <c r="AD453" i="16"/>
  <c r="AD452" i="16"/>
  <c r="AD451" i="16"/>
  <c r="AD450" i="16"/>
  <c r="AD449" i="16"/>
  <c r="AD448" i="16"/>
  <c r="AD447" i="16"/>
  <c r="AD446" i="16"/>
  <c r="AD445" i="16"/>
  <c r="AD444" i="16"/>
  <c r="AD443" i="16"/>
  <c r="AD442" i="16"/>
  <c r="AD441" i="16"/>
  <c r="AD440" i="16"/>
  <c r="AD439" i="16"/>
  <c r="AD438" i="16"/>
  <c r="AD437" i="16"/>
  <c r="AD436" i="16"/>
  <c r="AD435" i="16"/>
  <c r="AD434" i="16"/>
  <c r="AD433" i="16"/>
  <c r="AD432" i="16"/>
  <c r="AD431" i="16"/>
  <c r="AD430" i="16"/>
  <c r="AD429" i="16"/>
  <c r="AD428" i="16"/>
  <c r="AD427" i="16"/>
  <c r="AD426" i="16"/>
  <c r="AD425" i="16"/>
  <c r="AD424" i="16"/>
  <c r="AD423" i="16"/>
  <c r="AD422" i="16"/>
  <c r="AD421" i="16"/>
  <c r="AD420" i="16"/>
  <c r="AD419" i="16"/>
  <c r="AD418" i="16"/>
  <c r="AD417" i="16"/>
  <c r="AD416" i="16"/>
  <c r="AD415" i="16"/>
  <c r="AD414" i="16"/>
  <c r="AD413" i="16"/>
  <c r="AD412" i="16"/>
  <c r="AD411" i="16"/>
  <c r="AD410" i="16"/>
  <c r="AD409" i="16"/>
  <c r="AD408" i="16"/>
  <c r="AD407" i="16"/>
  <c r="AD406" i="16"/>
  <c r="AD405" i="16"/>
  <c r="AD404" i="16"/>
  <c r="AD403" i="16"/>
  <c r="AD402" i="16"/>
  <c r="AD401" i="16"/>
  <c r="AD400" i="16"/>
  <c r="AD399" i="16"/>
  <c r="AD398" i="16"/>
  <c r="AD397" i="16"/>
  <c r="AD396" i="16"/>
  <c r="AD395" i="16"/>
  <c r="AD394" i="16"/>
  <c r="AD393" i="16"/>
  <c r="AD392" i="16"/>
  <c r="AD391" i="16"/>
  <c r="AD390" i="16"/>
  <c r="AD389" i="16"/>
  <c r="AD388" i="16"/>
  <c r="AD387" i="16"/>
  <c r="AD386" i="16"/>
  <c r="AD385" i="16"/>
  <c r="AD384" i="16"/>
  <c r="AD383" i="16"/>
  <c r="AD382" i="16"/>
  <c r="AD381" i="16"/>
  <c r="AD380" i="16"/>
  <c r="AD379" i="16"/>
  <c r="AD378" i="16"/>
  <c r="AD377" i="16"/>
  <c r="AD376" i="16"/>
  <c r="AD375" i="16"/>
  <c r="AD374" i="16"/>
  <c r="AD373" i="16"/>
  <c r="AD372" i="16"/>
  <c r="AD371" i="16"/>
  <c r="AD370" i="16"/>
  <c r="AD369" i="16"/>
  <c r="AD368" i="16"/>
  <c r="AD367" i="16"/>
  <c r="AD366" i="16"/>
  <c r="AD365" i="16"/>
  <c r="AD364" i="16"/>
  <c r="AD363" i="16"/>
  <c r="AD362" i="16"/>
  <c r="AD361" i="16"/>
  <c r="AD360" i="16"/>
  <c r="AD359" i="16"/>
  <c r="AD358" i="16"/>
  <c r="AD357" i="16"/>
  <c r="AD356" i="16"/>
  <c r="AD355" i="16"/>
  <c r="AD354" i="16"/>
  <c r="AD353" i="16"/>
  <c r="AD352" i="16"/>
  <c r="AD351" i="16"/>
  <c r="AD350" i="16"/>
  <c r="AD349" i="16"/>
  <c r="AD348" i="16"/>
  <c r="AD347" i="16"/>
  <c r="AD346" i="16"/>
  <c r="AD345" i="16"/>
  <c r="AD344" i="16"/>
  <c r="AD343" i="16"/>
  <c r="AD342" i="16"/>
  <c r="AD341" i="16"/>
  <c r="AD340" i="16"/>
  <c r="AD339" i="16"/>
  <c r="AD338" i="16"/>
  <c r="AD337" i="16"/>
  <c r="AD336" i="16"/>
  <c r="AD335" i="16"/>
  <c r="AD334" i="16"/>
  <c r="AD333" i="16"/>
  <c r="AD332" i="16"/>
  <c r="AD331" i="16"/>
  <c r="AD330" i="16"/>
  <c r="AD329" i="16"/>
  <c r="AD328" i="16"/>
  <c r="AD327" i="16"/>
  <c r="AD326" i="16"/>
  <c r="AD325" i="16"/>
  <c r="AD324" i="16"/>
  <c r="AD323" i="16"/>
  <c r="AD322" i="16"/>
  <c r="AD321" i="16"/>
  <c r="AD320" i="16"/>
  <c r="AD319" i="16"/>
  <c r="AD318" i="16"/>
  <c r="AD317" i="16"/>
  <c r="AD316" i="16"/>
  <c r="AD315" i="16"/>
  <c r="AD314" i="16"/>
  <c r="AD313" i="16"/>
  <c r="AD312" i="16"/>
  <c r="AD311" i="16"/>
  <c r="AD310" i="16"/>
  <c r="AD309" i="16"/>
  <c r="AD308" i="16"/>
  <c r="AD307" i="16"/>
  <c r="AD306" i="16"/>
  <c r="AD305" i="16"/>
  <c r="AD304" i="16"/>
  <c r="AD303" i="16"/>
  <c r="AD302" i="16"/>
  <c r="AD301" i="16"/>
  <c r="AD300" i="16"/>
  <c r="AD299" i="16"/>
  <c r="AD298" i="16"/>
  <c r="AD297" i="16"/>
  <c r="AD296" i="16"/>
  <c r="AD295" i="16"/>
  <c r="AD294" i="16"/>
  <c r="AD293" i="16"/>
  <c r="AD292" i="16"/>
  <c r="AD291" i="16"/>
  <c r="AD290" i="16"/>
  <c r="AD289" i="16"/>
  <c r="AD288" i="16"/>
  <c r="AD287" i="16"/>
  <c r="AD286" i="16"/>
  <c r="AD285" i="16"/>
  <c r="AD284" i="16"/>
  <c r="AD283" i="16"/>
  <c r="AD282" i="16"/>
  <c r="AD281" i="16"/>
  <c r="AD280" i="16"/>
  <c r="AD279" i="16"/>
  <c r="AD278" i="16"/>
  <c r="AD277" i="16"/>
  <c r="AD276" i="16"/>
  <c r="AD275" i="16"/>
  <c r="AD274" i="16"/>
  <c r="AD273" i="16"/>
  <c r="AD272" i="16"/>
  <c r="AD271" i="16"/>
  <c r="AD270" i="16"/>
  <c r="AD269" i="16"/>
  <c r="AD268" i="16"/>
  <c r="AD267" i="16"/>
  <c r="AD266" i="16"/>
  <c r="AD265" i="16"/>
  <c r="AD264" i="16"/>
  <c r="AD263" i="16"/>
  <c r="AD262" i="16"/>
  <c r="AD261" i="16"/>
  <c r="AD260" i="16"/>
  <c r="AD259" i="16"/>
  <c r="AD258" i="16"/>
  <c r="AD257" i="16"/>
  <c r="AD256" i="16"/>
  <c r="AD255" i="16"/>
  <c r="AD254" i="16"/>
  <c r="AD253" i="16"/>
  <c r="AD252" i="16"/>
  <c r="AD251" i="16"/>
  <c r="AD250" i="16"/>
  <c r="AD249" i="16"/>
  <c r="AD248" i="16"/>
  <c r="AD247" i="16"/>
  <c r="AD246" i="16"/>
  <c r="AD245" i="16"/>
  <c r="AD244" i="16"/>
  <c r="AD243" i="16"/>
  <c r="AD242" i="16"/>
  <c r="AD241" i="16"/>
  <c r="AD240" i="16"/>
  <c r="AD239" i="16"/>
  <c r="AD238" i="16"/>
  <c r="AD237" i="16"/>
  <c r="AD236" i="16"/>
  <c r="AD235" i="16"/>
  <c r="AD234" i="16"/>
  <c r="AD233" i="16"/>
  <c r="AD232" i="16"/>
  <c r="AD231" i="16"/>
  <c r="AD230" i="16"/>
  <c r="AD229" i="16"/>
  <c r="AD228" i="16"/>
  <c r="AD227" i="16"/>
  <c r="AD226" i="16"/>
  <c r="AD225" i="16"/>
  <c r="AD224" i="16"/>
  <c r="AD223" i="16"/>
  <c r="AD222" i="16"/>
  <c r="AD221" i="16"/>
  <c r="AD220" i="16"/>
  <c r="AD219" i="16"/>
  <c r="AD218" i="16"/>
  <c r="AD217" i="16"/>
  <c r="AD216" i="16"/>
  <c r="AD215" i="16"/>
  <c r="AD214" i="16"/>
  <c r="AD213" i="16"/>
  <c r="AD212" i="16"/>
  <c r="AD211" i="16"/>
  <c r="AD210" i="16"/>
  <c r="AD209" i="16"/>
  <c r="AD208" i="16"/>
  <c r="AD207" i="16"/>
  <c r="AD206" i="16"/>
  <c r="AD205" i="16"/>
  <c r="AD204" i="16"/>
  <c r="AD203" i="16"/>
  <c r="AD202" i="16"/>
  <c r="AD201" i="16"/>
  <c r="AD200" i="16"/>
  <c r="AD199" i="16"/>
  <c r="AD198" i="16"/>
  <c r="AD197" i="16"/>
  <c r="AD196" i="16"/>
  <c r="AD195" i="16"/>
  <c r="AD194" i="16"/>
  <c r="AD193" i="16"/>
  <c r="AD192" i="16"/>
  <c r="AD191" i="16"/>
  <c r="AD190" i="16"/>
  <c r="AD189" i="16"/>
  <c r="AD188" i="16"/>
  <c r="AD187" i="16"/>
  <c r="AD186" i="16"/>
  <c r="AD185" i="16"/>
  <c r="AD184" i="16"/>
  <c r="AD183" i="16"/>
  <c r="AD182" i="16"/>
  <c r="AD181" i="16"/>
  <c r="AD180" i="16"/>
  <c r="AD179" i="16"/>
  <c r="AD178" i="16"/>
  <c r="AD177" i="16"/>
  <c r="AD176" i="16"/>
  <c r="AD175" i="16"/>
  <c r="AD174" i="16"/>
  <c r="AD173" i="16"/>
  <c r="AD172" i="16"/>
  <c r="AD171" i="16"/>
  <c r="AD170" i="16"/>
  <c r="AD169" i="16"/>
  <c r="AD168" i="16"/>
  <c r="AD167" i="16"/>
  <c r="AD166" i="16"/>
  <c r="AD165" i="16"/>
  <c r="AD164" i="16"/>
  <c r="AD163" i="16"/>
  <c r="AD162" i="16"/>
  <c r="AD161" i="16"/>
  <c r="AD160" i="16"/>
  <c r="AD159" i="16"/>
  <c r="AD158" i="16"/>
  <c r="AD157" i="16"/>
  <c r="AD156" i="16"/>
  <c r="AD155" i="16"/>
  <c r="AD154" i="16"/>
  <c r="AD153" i="16"/>
  <c r="AD152" i="16"/>
  <c r="AD151" i="16"/>
  <c r="AD150" i="16"/>
  <c r="AD149" i="16"/>
  <c r="AD148" i="16"/>
  <c r="AD147" i="16"/>
  <c r="AD146" i="16"/>
  <c r="AD145" i="16"/>
  <c r="AD144" i="16"/>
  <c r="AD143" i="16"/>
  <c r="AD142" i="16"/>
  <c r="AD141" i="16"/>
  <c r="AD140" i="16"/>
  <c r="AD139" i="16"/>
  <c r="AD138" i="16"/>
  <c r="AD137" i="16"/>
  <c r="AD136" i="16"/>
  <c r="AD135" i="16"/>
  <c r="AD134" i="16"/>
  <c r="AD133" i="16"/>
  <c r="AD132" i="16"/>
  <c r="AD131" i="16"/>
  <c r="AD130" i="16"/>
  <c r="AD129" i="16"/>
  <c r="AD128" i="16"/>
  <c r="AD127" i="16"/>
  <c r="AD126" i="16"/>
  <c r="AD125" i="16"/>
  <c r="AD124" i="16"/>
  <c r="AD123" i="16"/>
  <c r="AD122" i="16"/>
  <c r="AD121" i="16"/>
  <c r="AD120" i="16"/>
  <c r="AD119" i="16"/>
  <c r="AD118" i="16"/>
  <c r="AD117" i="16"/>
  <c r="AD116" i="16"/>
  <c r="AD115" i="16"/>
  <c r="AD114" i="16"/>
  <c r="AD113" i="16"/>
  <c r="AD112" i="16"/>
  <c r="AD111" i="16"/>
  <c r="AD110" i="16"/>
  <c r="AD109" i="16"/>
  <c r="AD108" i="16"/>
  <c r="AD107" i="16"/>
  <c r="AD106" i="16"/>
  <c r="AD105" i="16"/>
  <c r="AD104" i="16"/>
  <c r="AD103" i="16"/>
  <c r="AD102" i="16"/>
  <c r="AD101" i="16"/>
  <c r="AD100" i="16"/>
  <c r="AD99" i="16"/>
  <c r="AD98" i="16"/>
  <c r="AD97" i="16"/>
  <c r="AD96" i="16"/>
  <c r="AD95" i="16"/>
  <c r="AD94" i="16"/>
  <c r="AD93" i="16"/>
  <c r="AD92" i="16"/>
  <c r="AD91" i="16"/>
  <c r="AD90" i="16"/>
  <c r="AD89" i="16"/>
  <c r="AD88" i="16"/>
  <c r="AD87" i="16"/>
  <c r="AD86" i="16"/>
  <c r="AD85" i="16"/>
  <c r="AD84" i="16"/>
  <c r="AD83" i="16"/>
  <c r="AD82" i="16"/>
  <c r="AD81" i="16"/>
  <c r="AD80" i="16"/>
  <c r="AD79" i="16"/>
  <c r="AD78" i="16"/>
  <c r="AD77" i="16"/>
  <c r="AD76" i="16"/>
  <c r="AD75" i="16"/>
  <c r="AD74" i="16"/>
  <c r="AD73" i="16"/>
  <c r="AD72" i="16"/>
  <c r="AD71" i="16"/>
  <c r="AD70" i="16"/>
  <c r="AD69" i="16"/>
  <c r="AD68" i="16"/>
  <c r="AD67" i="16"/>
  <c r="AD66" i="16"/>
  <c r="AD65" i="16"/>
  <c r="AD64" i="16"/>
  <c r="AD63" i="16"/>
  <c r="AD62" i="16"/>
  <c r="AD61" i="16"/>
  <c r="AD60" i="16"/>
  <c r="AD59" i="16"/>
  <c r="AD58" i="16"/>
  <c r="AD57" i="16"/>
  <c r="AD56" i="16"/>
  <c r="AD55" i="16"/>
  <c r="AD54" i="16"/>
  <c r="AD53" i="16"/>
  <c r="AD52" i="16"/>
  <c r="AD51" i="16"/>
  <c r="AD50" i="16"/>
  <c r="AD49" i="16"/>
  <c r="AD48" i="16"/>
  <c r="AD47" i="16"/>
  <c r="AD46" i="16"/>
  <c r="AD45" i="16"/>
  <c r="AD44" i="16"/>
  <c r="AD43" i="16"/>
  <c r="AD42" i="16"/>
  <c r="AD41" i="16"/>
  <c r="AD40" i="16"/>
  <c r="AD39" i="16"/>
  <c r="AD38" i="16"/>
  <c r="AD37" i="16"/>
  <c r="AD36" i="16"/>
  <c r="AD35" i="16"/>
  <c r="AD34" i="16"/>
  <c r="AD33" i="16"/>
  <c r="AD32" i="16"/>
  <c r="AD31" i="16"/>
  <c r="AD30" i="16"/>
  <c r="AD29" i="16"/>
  <c r="AD28" i="16"/>
  <c r="AD27" i="16"/>
  <c r="AD26" i="16"/>
  <c r="AD25" i="16"/>
  <c r="AD24" i="16"/>
  <c r="AD23" i="16"/>
  <c r="AD22" i="16"/>
  <c r="AD21" i="16"/>
  <c r="AD20" i="16"/>
  <c r="AD19" i="16"/>
  <c r="AD18" i="16"/>
  <c r="AD17" i="16"/>
  <c r="AD16" i="16"/>
  <c r="AD15" i="16"/>
  <c r="AD14" i="16"/>
  <c r="AD13" i="16"/>
  <c r="AD12" i="16"/>
  <c r="AD11" i="16"/>
  <c r="AD10" i="16"/>
  <c r="AD9" i="16"/>
  <c r="AD8" i="16"/>
  <c r="AD7" i="16"/>
  <c r="AD6" i="16"/>
  <c r="AD5" i="16"/>
  <c r="AD4" i="16"/>
  <c r="AD3" i="16"/>
  <c r="AF1520" i="16"/>
  <c r="AF1498" i="16"/>
  <c r="AF1464" i="16"/>
  <c r="AF1442" i="16"/>
  <c r="AF1410" i="16"/>
  <c r="AF1393" i="16"/>
  <c r="AF1364" i="16"/>
  <c r="AF1348" i="16"/>
  <c r="AF1320" i="16"/>
  <c r="AF1304" i="16"/>
  <c r="AF1275" i="16"/>
  <c r="AF1258" i="16"/>
  <c r="AF1228" i="16"/>
  <c r="AF1211" i="16"/>
  <c r="AF1186" i="16"/>
  <c r="AF1170" i="16"/>
  <c r="AF1146" i="16"/>
  <c r="AF1132" i="16"/>
  <c r="AF1108" i="16"/>
  <c r="AF1095" i="16"/>
  <c r="AF1070" i="16"/>
  <c r="AF1055" i="16"/>
  <c r="AF1031" i="16"/>
  <c r="AF1015" i="16"/>
  <c r="AF991" i="16"/>
  <c r="AF976" i="16"/>
  <c r="AF951" i="16"/>
  <c r="AF937" i="16"/>
  <c r="AF913" i="16"/>
  <c r="AF899" i="16"/>
  <c r="AF875" i="16"/>
  <c r="AF859" i="16"/>
  <c r="AF838" i="16"/>
  <c r="AF825" i="16"/>
  <c r="AF803" i="16"/>
  <c r="AF790" i="16"/>
  <c r="AF769" i="16"/>
  <c r="AF757" i="16"/>
  <c r="AF735" i="16"/>
  <c r="AF723" i="16"/>
  <c r="AF705" i="16"/>
  <c r="AF694" i="16"/>
  <c r="AF678" i="16"/>
  <c r="AF669" i="16"/>
  <c r="AF653" i="16"/>
  <c r="AF643" i="16"/>
  <c r="AF629" i="16"/>
  <c r="AF619" i="16"/>
  <c r="AF605" i="16"/>
  <c r="AF595" i="16"/>
  <c r="AF579" i="16"/>
  <c r="AF570" i="16"/>
  <c r="AF555" i="16"/>
  <c r="AF546" i="16"/>
  <c r="AF531" i="16"/>
  <c r="AF522" i="16"/>
  <c r="AF506" i="16"/>
  <c r="AF497" i="16"/>
  <c r="AF482" i="16"/>
  <c r="AF473" i="16"/>
  <c r="AF458" i="16"/>
  <c r="AF449" i="16"/>
  <c r="AF437" i="16"/>
  <c r="AF431" i="16"/>
  <c r="AF418" i="16"/>
  <c r="AF409" i="16"/>
  <c r="AF397" i="16"/>
  <c r="AF392" i="16"/>
  <c r="AF381" i="16"/>
  <c r="AF371" i="16"/>
  <c r="AF359" i="16"/>
  <c r="AF351" i="16"/>
  <c r="AF339" i="16"/>
  <c r="AF333" i="16"/>
  <c r="AF322" i="16"/>
  <c r="AF317" i="16"/>
  <c r="AF307" i="16"/>
  <c r="AF299" i="16"/>
  <c r="AF290" i="16"/>
  <c r="AF285" i="16"/>
  <c r="AF273" i="16"/>
  <c r="AF267" i="16"/>
  <c r="AF258" i="16"/>
  <c r="AF251" i="16"/>
  <c r="AF243" i="16"/>
  <c r="AF238" i="16"/>
  <c r="AF230" i="16"/>
  <c r="AF226" i="16"/>
  <c r="AF218" i="16"/>
  <c r="AF213" i="16"/>
  <c r="AF206" i="16"/>
  <c r="AF201" i="16"/>
  <c r="AF195" i="16"/>
  <c r="AF191" i="16"/>
  <c r="AF184" i="16"/>
  <c r="AF181" i="16"/>
  <c r="AF174" i="16"/>
  <c r="AF170" i="16"/>
  <c r="AF165" i="16"/>
  <c r="AF161" i="16"/>
  <c r="AF155" i="16"/>
  <c r="AF152" i="16"/>
  <c r="AF146" i="16"/>
  <c r="AF143" i="16"/>
  <c r="AF137" i="16"/>
  <c r="AF134" i="16"/>
  <c r="AF128" i="16"/>
  <c r="AF125" i="16"/>
  <c r="AF119" i="16"/>
  <c r="AF115" i="16"/>
  <c r="AF110" i="16"/>
  <c r="AF106" i="16"/>
  <c r="AF101" i="16"/>
  <c r="AF97" i="16"/>
  <c r="AF91" i="16"/>
  <c r="AF88" i="16"/>
  <c r="AF82" i="16"/>
  <c r="AF79" i="16"/>
  <c r="AF73" i="16"/>
  <c r="AF70" i="16"/>
  <c r="AF64" i="16"/>
  <c r="AF61" i="16"/>
  <c r="AF55" i="16"/>
  <c r="AF51" i="16"/>
  <c r="AF46" i="16"/>
  <c r="AF42" i="16"/>
  <c r="AF37" i="16"/>
  <c r="AF33" i="16"/>
  <c r="AF32" i="16"/>
  <c r="AF27" i="16"/>
  <c r="AF24" i="16"/>
  <c r="AF23" i="16"/>
  <c r="AF18" i="16"/>
  <c r="AF15" i="16"/>
  <c r="AF14" i="16"/>
  <c r="AF9" i="16"/>
  <c r="AF6" i="16"/>
  <c r="AF5" i="16"/>
  <c r="AF2" i="16" a="1"/>
  <c r="AF1526" i="16" s="1"/>
  <c r="AE316" i="16"/>
  <c r="AE298" i="16"/>
  <c r="AE283" i="16"/>
  <c r="AE267" i="16"/>
  <c r="AE253" i="16"/>
  <c r="AE240" i="16"/>
  <c r="AE228" i="16"/>
  <c r="AE215" i="16"/>
  <c r="AE201" i="16"/>
  <c r="AE189" i="16"/>
  <c r="AE176" i="16"/>
  <c r="AE164" i="16"/>
  <c r="AE152" i="16"/>
  <c r="AE141" i="16"/>
  <c r="AE130" i="16"/>
  <c r="AE120" i="16"/>
  <c r="AE109" i="16"/>
  <c r="AE98" i="16"/>
  <c r="AE88" i="16"/>
  <c r="AE82" i="16"/>
  <c r="AE77" i="16"/>
  <c r="AE72" i="16"/>
  <c r="AE66" i="16"/>
  <c r="AE61" i="16"/>
  <c r="AE56" i="16"/>
  <c r="AE51" i="16"/>
  <c r="AE47" i="16"/>
  <c r="AE42" i="16"/>
  <c r="AE37" i="16"/>
  <c r="AE33" i="16"/>
  <c r="AE28" i="16"/>
  <c r="AE24" i="16"/>
  <c r="AE19" i="16"/>
  <c r="AE15" i="16"/>
  <c r="AE10" i="16"/>
  <c r="AE5" i="16"/>
  <c r="AE2" i="16" a="1"/>
  <c r="AE1045" i="16" s="1"/>
  <c r="AE2" i="16"/>
  <c r="AD2" i="16"/>
  <c r="AC1102" i="16"/>
  <c r="AC1076" i="16"/>
  <c r="AC974" i="16"/>
  <c r="AC963" i="16"/>
  <c r="AC818" i="16"/>
  <c r="AC801" i="16"/>
  <c r="AC796" i="16"/>
  <c r="AC745" i="16"/>
  <c r="AC678" i="16"/>
  <c r="AC642" i="16"/>
  <c r="AC633" i="16"/>
  <c r="AC628" i="16"/>
  <c r="AC547" i="16"/>
  <c r="AC544" i="16"/>
  <c r="AC518" i="16"/>
  <c r="AC512" i="16"/>
  <c r="AC448" i="16"/>
  <c r="AC444" i="16"/>
  <c r="AC442" i="16"/>
  <c r="AC416" i="16"/>
  <c r="AC371" i="16"/>
  <c r="AC346" i="16"/>
  <c r="AC342" i="16"/>
  <c r="AC339" i="16"/>
  <c r="AC275" i="16"/>
  <c r="AC268" i="16"/>
  <c r="AC243" i="16"/>
  <c r="AC240" i="16"/>
  <c r="AC176" i="16"/>
  <c r="AC172" i="16"/>
  <c r="AC166" i="16"/>
  <c r="AC140" i="16"/>
  <c r="AC99" i="16"/>
  <c r="AC74" i="16"/>
  <c r="AC70" i="16"/>
  <c r="AC64" i="16"/>
  <c r="AC21" i="16"/>
  <c r="AC20" i="16"/>
  <c r="AC4" i="16"/>
  <c r="AC3" i="16"/>
  <c r="AC2" i="16" a="1"/>
  <c r="AC1235" i="16" s="1"/>
  <c r="AB2" i="16" a="1"/>
  <c r="AB1484" i="16" s="1"/>
  <c r="Z2" i="16" a="1"/>
  <c r="Z186" i="16" s="1"/>
  <c r="Y1505" i="16"/>
  <c r="Y1473" i="16"/>
  <c r="Y1441" i="16"/>
  <c r="Y1409" i="16"/>
  <c r="Y1377" i="16"/>
  <c r="Y1345" i="16"/>
  <c r="Y1313" i="16"/>
  <c r="Y1281" i="16"/>
  <c r="Y1249" i="16"/>
  <c r="Y1217" i="16"/>
  <c r="Y1189" i="16"/>
  <c r="Y1169" i="16"/>
  <c r="Y1146" i="16"/>
  <c r="Y1125" i="16"/>
  <c r="Y1105" i="16"/>
  <c r="Y1082" i="16"/>
  <c r="Y1061" i="16"/>
  <c r="Y1041" i="16"/>
  <c r="Y1018" i="16"/>
  <c r="Y997" i="16"/>
  <c r="Y977" i="16"/>
  <c r="Y954" i="16"/>
  <c r="Y933" i="16"/>
  <c r="Y913" i="16"/>
  <c r="Y897" i="16"/>
  <c r="Y881" i="16"/>
  <c r="Y865" i="16"/>
  <c r="Y849" i="16"/>
  <c r="Y833" i="16"/>
  <c r="Y817" i="16"/>
  <c r="Y801" i="16"/>
  <c r="Y789" i="16"/>
  <c r="Y775" i="16"/>
  <c r="Y762" i="16"/>
  <c r="Y750" i="16"/>
  <c r="Y738" i="16"/>
  <c r="Y728" i="16"/>
  <c r="Y718" i="16"/>
  <c r="Y706" i="16"/>
  <c r="Y697" i="16"/>
  <c r="Y688" i="16"/>
  <c r="Y679" i="16"/>
  <c r="Y670" i="16"/>
  <c r="Y661" i="16"/>
  <c r="Y651" i="16"/>
  <c r="Y642" i="16"/>
  <c r="Y633" i="16"/>
  <c r="Y624" i="16"/>
  <c r="Y615" i="16"/>
  <c r="Y606" i="16"/>
  <c r="Y597" i="16"/>
  <c r="Y587" i="16"/>
  <c r="Y578" i="16"/>
  <c r="Y569" i="16"/>
  <c r="Y560" i="16"/>
  <c r="Y551" i="16"/>
  <c r="Y542" i="16"/>
  <c r="Y533" i="16"/>
  <c r="Y523" i="16"/>
  <c r="Y514" i="16"/>
  <c r="Y505" i="16"/>
  <c r="Y496" i="16"/>
  <c r="Y487" i="16"/>
  <c r="Y478" i="16"/>
  <c r="Y469" i="16"/>
  <c r="Y459" i="16"/>
  <c r="Y450" i="16"/>
  <c r="Y441" i="16"/>
  <c r="Y432" i="16"/>
  <c r="Y423" i="16"/>
  <c r="Y414" i="16"/>
  <c r="Y405" i="16"/>
  <c r="Y395" i="16"/>
  <c r="Y386" i="16"/>
  <c r="Y377" i="16"/>
  <c r="Y368" i="16"/>
  <c r="Y359" i="16"/>
  <c r="Y350" i="16"/>
  <c r="Y341" i="16"/>
  <c r="Y331" i="16"/>
  <c r="Y322" i="16"/>
  <c r="Y313" i="16"/>
  <c r="Y305" i="16"/>
  <c r="Y297" i="16"/>
  <c r="Y289" i="16"/>
  <c r="Y281" i="16"/>
  <c r="Y273" i="16"/>
  <c r="Y265" i="16"/>
  <c r="Y257" i="16"/>
  <c r="Y249" i="16"/>
  <c r="Y241" i="16"/>
  <c r="Y233" i="16"/>
  <c r="Y225" i="16"/>
  <c r="Y217" i="16"/>
  <c r="Y209" i="16"/>
  <c r="Y201" i="16"/>
  <c r="Y193" i="16"/>
  <c r="Y185" i="16"/>
  <c r="Y177" i="16"/>
  <c r="Y169" i="16"/>
  <c r="Y161" i="16"/>
  <c r="Y153" i="16"/>
  <c r="Y145" i="16"/>
  <c r="Y137" i="16"/>
  <c r="Y129" i="16"/>
  <c r="Y121" i="16"/>
  <c r="Y113" i="16"/>
  <c r="Y105" i="16"/>
  <c r="Y97" i="16"/>
  <c r="Y89" i="16"/>
  <c r="Y81" i="16"/>
  <c r="Y73" i="16"/>
  <c r="Y65" i="16"/>
  <c r="Y57" i="16"/>
  <c r="Y49" i="16"/>
  <c r="Y41" i="16"/>
  <c r="Y33" i="16"/>
  <c r="Y25" i="16"/>
  <c r="Y17" i="16"/>
  <c r="Y9" i="16"/>
  <c r="Y2" i="16" a="1"/>
  <c r="Y1533" i="16" s="1"/>
  <c r="Y2" i="16"/>
  <c r="X1529" i="16"/>
  <c r="X1528" i="16"/>
  <c r="X1521" i="16"/>
  <c r="X1520" i="16"/>
  <c r="X1513" i="16"/>
  <c r="X1512" i="16"/>
  <c r="X1505" i="16"/>
  <c r="X1504" i="16"/>
  <c r="X1497" i="16"/>
  <c r="X1496" i="16"/>
  <c r="X1489" i="16"/>
  <c r="X1488" i="16"/>
  <c r="X1481" i="16"/>
  <c r="X1480" i="16"/>
  <c r="X1473" i="16"/>
  <c r="X1472" i="16"/>
  <c r="X1465" i="16"/>
  <c r="X1464" i="16"/>
  <c r="X1457" i="16"/>
  <c r="X1456" i="16"/>
  <c r="X1449" i="16"/>
  <c r="X1448" i="16"/>
  <c r="X1441" i="16"/>
  <c r="X1440" i="16"/>
  <c r="X1433" i="16"/>
  <c r="X1432" i="16"/>
  <c r="X1425" i="16"/>
  <c r="X1424" i="16"/>
  <c r="X1417" i="16"/>
  <c r="X1416" i="16"/>
  <c r="X1409" i="16"/>
  <c r="X1408" i="16"/>
  <c r="X1401" i="16"/>
  <c r="X1400" i="16"/>
  <c r="X1393" i="16"/>
  <c r="X1392" i="16"/>
  <c r="X1385" i="16"/>
  <c r="X1384" i="16"/>
  <c r="X1377" i="16"/>
  <c r="X1376" i="16"/>
  <c r="X1369" i="16"/>
  <c r="X1368" i="16"/>
  <c r="X1361" i="16"/>
  <c r="X1360" i="16"/>
  <c r="X1353" i="16"/>
  <c r="X1352" i="16"/>
  <c r="X1345" i="16"/>
  <c r="X1344" i="16"/>
  <c r="X1337" i="16"/>
  <c r="X1336" i="16"/>
  <c r="X1329" i="16"/>
  <c r="X1328" i="16"/>
  <c r="X1321" i="16"/>
  <c r="X1320" i="16"/>
  <c r="X1313" i="16"/>
  <c r="X1312" i="16"/>
  <c r="X1305" i="16"/>
  <c r="X1304" i="16"/>
  <c r="X1297" i="16"/>
  <c r="X1296" i="16"/>
  <c r="X1289" i="16"/>
  <c r="X1288" i="16"/>
  <c r="X1281" i="16"/>
  <c r="X1280" i="16"/>
  <c r="X1273" i="16"/>
  <c r="X1272" i="16"/>
  <c r="X1269" i="16"/>
  <c r="X1265" i="16"/>
  <c r="X1264" i="16"/>
  <c r="X1261" i="16"/>
  <c r="X1257" i="16"/>
  <c r="X1256" i="16"/>
  <c r="X1253" i="16"/>
  <c r="X1249" i="16"/>
  <c r="X1248" i="16"/>
  <c r="X1245" i="16"/>
  <c r="X1241" i="16"/>
  <c r="X1240" i="16"/>
  <c r="X1237" i="16"/>
  <c r="X1233" i="16"/>
  <c r="X1232" i="16"/>
  <c r="X1229" i="16"/>
  <c r="X1225" i="16"/>
  <c r="X1224" i="16"/>
  <c r="X1221" i="16"/>
  <c r="X1217" i="16"/>
  <c r="X1216" i="16"/>
  <c r="X1213" i="16"/>
  <c r="X1209" i="16"/>
  <c r="X1208" i="16"/>
  <c r="X1205" i="16"/>
  <c r="X1201" i="16"/>
  <c r="X1200" i="16"/>
  <c r="X1197" i="16"/>
  <c r="X1193" i="16"/>
  <c r="X1192" i="16"/>
  <c r="X1189" i="16"/>
  <c r="X1185" i="16"/>
  <c r="X1184" i="16"/>
  <c r="X1181" i="16"/>
  <c r="X1177" i="16"/>
  <c r="X1176" i="16"/>
  <c r="X1173" i="16"/>
  <c r="X1169" i="16"/>
  <c r="X1168" i="16"/>
  <c r="X1165" i="16"/>
  <c r="X1161" i="16"/>
  <c r="X1160" i="16"/>
  <c r="X1157" i="16"/>
  <c r="X1153" i="16"/>
  <c r="X1152" i="16"/>
  <c r="X1149" i="16"/>
  <c r="X1145" i="16"/>
  <c r="X1144" i="16"/>
  <c r="X1141" i="16"/>
  <c r="X1137" i="16"/>
  <c r="X1136" i="16"/>
  <c r="X1133" i="16"/>
  <c r="X1129" i="16"/>
  <c r="X1128" i="16"/>
  <c r="X1125" i="16"/>
  <c r="X1121" i="16"/>
  <c r="X1120" i="16"/>
  <c r="X1117" i="16"/>
  <c r="X1113" i="16"/>
  <c r="X1112" i="16"/>
  <c r="X1109" i="16"/>
  <c r="X1105" i="16"/>
  <c r="X1104" i="16"/>
  <c r="X1101" i="16"/>
  <c r="X1097" i="16"/>
  <c r="X1096" i="16"/>
  <c r="X1093" i="16"/>
  <c r="X1089" i="16"/>
  <c r="X1088" i="16"/>
  <c r="X1085" i="16"/>
  <c r="X1081" i="16"/>
  <c r="X1080" i="16"/>
  <c r="X1077" i="16"/>
  <c r="X1073" i="16"/>
  <c r="X1072" i="16"/>
  <c r="X1069" i="16"/>
  <c r="X1065" i="16"/>
  <c r="X1064" i="16"/>
  <c r="X1061" i="16"/>
  <c r="X1057" i="16"/>
  <c r="X1056" i="16"/>
  <c r="X1053" i="16"/>
  <c r="X1049" i="16"/>
  <c r="X1048" i="16"/>
  <c r="X1045" i="16"/>
  <c r="X1041" i="16"/>
  <c r="X1040" i="16"/>
  <c r="X1037" i="16"/>
  <c r="X1033" i="16"/>
  <c r="X1032" i="16"/>
  <c r="X1029" i="16"/>
  <c r="X1025" i="16"/>
  <c r="X1024" i="16"/>
  <c r="X1021" i="16"/>
  <c r="X1017" i="16"/>
  <c r="X1016" i="16"/>
  <c r="X1013" i="16"/>
  <c r="X1009" i="16"/>
  <c r="X1008" i="16"/>
  <c r="X1005" i="16"/>
  <c r="X1001" i="16"/>
  <c r="X1000" i="16"/>
  <c r="X997" i="16"/>
  <c r="X993" i="16"/>
  <c r="X992" i="16"/>
  <c r="X989" i="16"/>
  <c r="X985" i="16"/>
  <c r="X984" i="16"/>
  <c r="X981" i="16"/>
  <c r="X977" i="16"/>
  <c r="X976" i="16"/>
  <c r="X973" i="16"/>
  <c r="X969" i="16"/>
  <c r="X968" i="16"/>
  <c r="X965" i="16"/>
  <c r="X961" i="16"/>
  <c r="X960" i="16"/>
  <c r="X957" i="16"/>
  <c r="X953" i="16"/>
  <c r="X952" i="16"/>
  <c r="X949" i="16"/>
  <c r="X945" i="16"/>
  <c r="X944" i="16"/>
  <c r="X941" i="16"/>
  <c r="X937" i="16"/>
  <c r="X936" i="16"/>
  <c r="X933" i="16"/>
  <c r="X929" i="16"/>
  <c r="X928" i="16"/>
  <c r="X925" i="16"/>
  <c r="X921" i="16"/>
  <c r="X920" i="16"/>
  <c r="X917" i="16"/>
  <c r="X913" i="16"/>
  <c r="X912" i="16"/>
  <c r="X909" i="16"/>
  <c r="X905" i="16"/>
  <c r="X904" i="16"/>
  <c r="X901" i="16"/>
  <c r="X897" i="16"/>
  <c r="X896" i="16"/>
  <c r="X893" i="16"/>
  <c r="X889" i="16"/>
  <c r="X888" i="16"/>
  <c r="X885" i="16"/>
  <c r="X881" i="16"/>
  <c r="X880" i="16"/>
  <c r="X877" i="16"/>
  <c r="X873" i="16"/>
  <c r="X872" i="16"/>
  <c r="X869" i="16"/>
  <c r="X865" i="16"/>
  <c r="X864" i="16"/>
  <c r="X861" i="16"/>
  <c r="X857" i="16"/>
  <c r="X856" i="16"/>
  <c r="X853" i="16"/>
  <c r="X849" i="16"/>
  <c r="X848" i="16"/>
  <c r="X845" i="16"/>
  <c r="X841" i="16"/>
  <c r="X840" i="16"/>
  <c r="X837" i="16"/>
  <c r="X833" i="16"/>
  <c r="X832" i="16"/>
  <c r="X829" i="16"/>
  <c r="X825" i="16"/>
  <c r="X824" i="16"/>
  <c r="X821" i="16"/>
  <c r="X817" i="16"/>
  <c r="X816" i="16"/>
  <c r="X813" i="16"/>
  <c r="X809" i="16"/>
  <c r="X808" i="16"/>
  <c r="X805" i="16"/>
  <c r="X801" i="16"/>
  <c r="X800" i="16"/>
  <c r="X797" i="16"/>
  <c r="X793" i="16"/>
  <c r="X792" i="16"/>
  <c r="X789" i="16"/>
  <c r="X785" i="16"/>
  <c r="X784" i="16"/>
  <c r="X781" i="16"/>
  <c r="X777" i="16"/>
  <c r="X776" i="16"/>
  <c r="X773" i="16"/>
  <c r="X769" i="16"/>
  <c r="X768" i="16"/>
  <c r="X765" i="16"/>
  <c r="X761" i="16"/>
  <c r="X760" i="16"/>
  <c r="X757" i="16"/>
  <c r="X753" i="16"/>
  <c r="X752" i="16"/>
  <c r="X749" i="16"/>
  <c r="X745" i="16"/>
  <c r="X744" i="16"/>
  <c r="X741" i="16"/>
  <c r="X737" i="16"/>
  <c r="X736" i="16"/>
  <c r="X733" i="16"/>
  <c r="X729" i="16"/>
  <c r="X728" i="16"/>
  <c r="X725" i="16"/>
  <c r="X721" i="16"/>
  <c r="X720" i="16"/>
  <c r="X717" i="16"/>
  <c r="X713" i="16"/>
  <c r="X712" i="16"/>
  <c r="X709" i="16"/>
  <c r="X705" i="16"/>
  <c r="X704" i="16"/>
  <c r="X701" i="16"/>
  <c r="X697" i="16"/>
  <c r="X696" i="16"/>
  <c r="X693" i="16"/>
  <c r="X689" i="16"/>
  <c r="X688" i="16"/>
  <c r="X685" i="16"/>
  <c r="X681" i="16"/>
  <c r="X680" i="16"/>
  <c r="X677" i="16"/>
  <c r="X673" i="16"/>
  <c r="X672" i="16"/>
  <c r="X669" i="16"/>
  <c r="X665" i="16"/>
  <c r="X664" i="16"/>
  <c r="X661" i="16"/>
  <c r="X657" i="16"/>
  <c r="X656" i="16"/>
  <c r="X653" i="16"/>
  <c r="X649" i="16"/>
  <c r="X648" i="16"/>
  <c r="X645" i="16"/>
  <c r="X641" i="16"/>
  <c r="X640" i="16"/>
  <c r="X637" i="16"/>
  <c r="X633" i="16"/>
  <c r="X632" i="16"/>
  <c r="X629" i="16"/>
  <c r="X625" i="16"/>
  <c r="X624" i="16"/>
  <c r="X621" i="16"/>
  <c r="X617" i="16"/>
  <c r="X616" i="16"/>
  <c r="X613" i="16"/>
  <c r="X609" i="16"/>
  <c r="X608" i="16"/>
  <c r="X605" i="16"/>
  <c r="X601" i="16"/>
  <c r="X600" i="16"/>
  <c r="X597" i="16"/>
  <c r="X593" i="16"/>
  <c r="X592" i="16"/>
  <c r="X589" i="16"/>
  <c r="X585" i="16"/>
  <c r="X584" i="16"/>
  <c r="X581" i="16"/>
  <c r="X577" i="16"/>
  <c r="X576" i="16"/>
  <c r="X573" i="16"/>
  <c r="X569" i="16"/>
  <c r="X568" i="16"/>
  <c r="X565" i="16"/>
  <c r="X561" i="16"/>
  <c r="X560" i="16"/>
  <c r="X557" i="16"/>
  <c r="X553" i="16"/>
  <c r="X552" i="16"/>
  <c r="X549" i="16"/>
  <c r="X545" i="16"/>
  <c r="X544" i="16"/>
  <c r="X541" i="16"/>
  <c r="X537" i="16"/>
  <c r="X536" i="16"/>
  <c r="X533" i="16"/>
  <c r="X529" i="16"/>
  <c r="X528" i="16"/>
  <c r="X525" i="16"/>
  <c r="X521" i="16"/>
  <c r="X520" i="16"/>
  <c r="X517" i="16"/>
  <c r="X513" i="16"/>
  <c r="X512" i="16"/>
  <c r="X509" i="16"/>
  <c r="X505" i="16"/>
  <c r="X504" i="16"/>
  <c r="X501" i="16"/>
  <c r="X497" i="16"/>
  <c r="X496" i="16"/>
  <c r="X493" i="16"/>
  <c r="X489" i="16"/>
  <c r="X488" i="16"/>
  <c r="X485" i="16"/>
  <c r="X481" i="16"/>
  <c r="X480" i="16"/>
  <c r="X477" i="16"/>
  <c r="X473" i="16"/>
  <c r="X472" i="16"/>
  <c r="X469" i="16"/>
  <c r="X465" i="16"/>
  <c r="X464" i="16"/>
  <c r="X461" i="16"/>
  <c r="X457" i="16"/>
  <c r="X456" i="16"/>
  <c r="X453" i="16"/>
  <c r="X449" i="16"/>
  <c r="X448" i="16"/>
  <c r="X445" i="16"/>
  <c r="X441" i="16"/>
  <c r="X440" i="16"/>
  <c r="X438" i="16"/>
  <c r="X437" i="16"/>
  <c r="X433" i="16"/>
  <c r="X432" i="16"/>
  <c r="X430" i="16"/>
  <c r="X429" i="16"/>
  <c r="X425" i="16"/>
  <c r="X424" i="16"/>
  <c r="X422" i="16"/>
  <c r="X421" i="16"/>
  <c r="X417" i="16"/>
  <c r="X416" i="16"/>
  <c r="X414" i="16"/>
  <c r="X413" i="16"/>
  <c r="X409" i="16"/>
  <c r="X408" i="16"/>
  <c r="X406" i="16"/>
  <c r="X405" i="16"/>
  <c r="X401" i="16"/>
  <c r="X400" i="16"/>
  <c r="X398" i="16"/>
  <c r="X397" i="16"/>
  <c r="X393" i="16"/>
  <c r="X392" i="16"/>
  <c r="X390" i="16"/>
  <c r="X389" i="16"/>
  <c r="X385" i="16"/>
  <c r="X384" i="16"/>
  <c r="X382" i="16"/>
  <c r="X381" i="16"/>
  <c r="X377" i="16"/>
  <c r="X376" i="16"/>
  <c r="X374" i="16"/>
  <c r="X373" i="16"/>
  <c r="X369" i="16"/>
  <c r="X368" i="16"/>
  <c r="X366" i="16"/>
  <c r="X365" i="16"/>
  <c r="X361" i="16"/>
  <c r="X360" i="16"/>
  <c r="X358" i="16"/>
  <c r="X357" i="16"/>
  <c r="X353" i="16"/>
  <c r="X352" i="16"/>
  <c r="X350" i="16"/>
  <c r="X349" i="16"/>
  <c r="X345" i="16"/>
  <c r="X344" i="16"/>
  <c r="X342" i="16"/>
  <c r="X341" i="16"/>
  <c r="X337" i="16"/>
  <c r="X336" i="16"/>
  <c r="X334" i="16"/>
  <c r="X333" i="16"/>
  <c r="X329" i="16"/>
  <c r="X328" i="16"/>
  <c r="X326" i="16"/>
  <c r="X325" i="16"/>
  <c r="X321" i="16"/>
  <c r="X320" i="16"/>
  <c r="X318" i="16"/>
  <c r="X317" i="16"/>
  <c r="X313" i="16"/>
  <c r="X312" i="16"/>
  <c r="X310" i="16"/>
  <c r="X309" i="16"/>
  <c r="X305" i="16"/>
  <c r="X304" i="16"/>
  <c r="X302" i="16"/>
  <c r="X301" i="16"/>
  <c r="X297" i="16"/>
  <c r="X296" i="16"/>
  <c r="X294" i="16"/>
  <c r="X293" i="16"/>
  <c r="X289" i="16"/>
  <c r="X288" i="16"/>
  <c r="X286" i="16"/>
  <c r="X285" i="16"/>
  <c r="X281" i="16"/>
  <c r="X280" i="16"/>
  <c r="X278" i="16"/>
  <c r="X277" i="16"/>
  <c r="X273" i="16"/>
  <c r="X272" i="16"/>
  <c r="X270" i="16"/>
  <c r="X269" i="16"/>
  <c r="X265" i="16"/>
  <c r="X264" i="16"/>
  <c r="X262" i="16"/>
  <c r="X261" i="16"/>
  <c r="X257" i="16"/>
  <c r="X256" i="16"/>
  <c r="X254" i="16"/>
  <c r="X253" i="16"/>
  <c r="X249" i="16"/>
  <c r="X248" i="16"/>
  <c r="X246" i="16"/>
  <c r="X245" i="16"/>
  <c r="X241" i="16"/>
  <c r="X240" i="16"/>
  <c r="X238" i="16"/>
  <c r="X237" i="16"/>
  <c r="X233" i="16"/>
  <c r="X232" i="16"/>
  <c r="X230" i="16"/>
  <c r="X229" i="16"/>
  <c r="X225" i="16"/>
  <c r="X224" i="16"/>
  <c r="X222" i="16"/>
  <c r="X221" i="16"/>
  <c r="X217" i="16"/>
  <c r="X216" i="16"/>
  <c r="X214" i="16"/>
  <c r="X213" i="16"/>
  <c r="X209" i="16"/>
  <c r="X208" i="16"/>
  <c r="X206" i="16"/>
  <c r="X205" i="16"/>
  <c r="X201" i="16"/>
  <c r="X200" i="16"/>
  <c r="X198" i="16"/>
  <c r="X197" i="16"/>
  <c r="X193" i="16"/>
  <c r="X192" i="16"/>
  <c r="X190" i="16"/>
  <c r="X189" i="16"/>
  <c r="X185" i="16"/>
  <c r="X184" i="16"/>
  <c r="X182" i="16"/>
  <c r="X181" i="16"/>
  <c r="X177" i="16"/>
  <c r="X176" i="16"/>
  <c r="X174" i="16"/>
  <c r="X173" i="16"/>
  <c r="X169" i="16"/>
  <c r="X168" i="16"/>
  <c r="X166" i="16"/>
  <c r="X165" i="16"/>
  <c r="X161" i="16"/>
  <c r="X160" i="16"/>
  <c r="X158" i="16"/>
  <c r="X157" i="16"/>
  <c r="X153" i="16"/>
  <c r="X152" i="16"/>
  <c r="X150" i="16"/>
  <c r="X149" i="16"/>
  <c r="X145" i="16"/>
  <c r="X144" i="16"/>
  <c r="X142" i="16"/>
  <c r="X141" i="16"/>
  <c r="X137" i="16"/>
  <c r="X136" i="16"/>
  <c r="X134" i="16"/>
  <c r="X133" i="16"/>
  <c r="X129" i="16"/>
  <c r="X128" i="16"/>
  <c r="X126" i="16"/>
  <c r="X125" i="16"/>
  <c r="X121" i="16"/>
  <c r="X120" i="16"/>
  <c r="X118" i="16"/>
  <c r="X117" i="16"/>
  <c r="X113" i="16"/>
  <c r="X112" i="16"/>
  <c r="X110" i="16"/>
  <c r="X109" i="16"/>
  <c r="X105" i="16"/>
  <c r="X104" i="16"/>
  <c r="X102" i="16"/>
  <c r="X101" i="16"/>
  <c r="X97" i="16"/>
  <c r="X96" i="16"/>
  <c r="X94" i="16"/>
  <c r="X93" i="16"/>
  <c r="X89" i="16"/>
  <c r="X88" i="16"/>
  <c r="X86" i="16"/>
  <c r="X85" i="16"/>
  <c r="X81" i="16"/>
  <c r="X80" i="16"/>
  <c r="X78" i="16"/>
  <c r="X77" i="16"/>
  <c r="X73" i="16"/>
  <c r="X72" i="16"/>
  <c r="X70" i="16"/>
  <c r="X69" i="16"/>
  <c r="X65" i="16"/>
  <c r="X64" i="16"/>
  <c r="X62" i="16"/>
  <c r="X61" i="16"/>
  <c r="X57" i="16"/>
  <c r="X56" i="16"/>
  <c r="X54" i="16"/>
  <c r="X53" i="16"/>
  <c r="X49" i="16"/>
  <c r="X48" i="16"/>
  <c r="X46" i="16"/>
  <c r="X45" i="16"/>
  <c r="X41" i="16"/>
  <c r="X40" i="16"/>
  <c r="X38" i="16"/>
  <c r="X37" i="16"/>
  <c r="X33" i="16"/>
  <c r="X32" i="16"/>
  <c r="X30" i="16"/>
  <c r="X29" i="16"/>
  <c r="X25" i="16"/>
  <c r="X24" i="16"/>
  <c r="X22" i="16"/>
  <c r="X21" i="16"/>
  <c r="X19" i="16"/>
  <c r="X17" i="16"/>
  <c r="X16" i="16"/>
  <c r="X14" i="16"/>
  <c r="X13" i="16"/>
  <c r="X11" i="16"/>
  <c r="X9" i="16"/>
  <c r="X8" i="16"/>
  <c r="X6" i="16"/>
  <c r="X5" i="16"/>
  <c r="X3" i="16"/>
  <c r="X2" i="16" a="1"/>
  <c r="X1530" i="16" s="1"/>
  <c r="X2" i="16"/>
  <c r="W903" i="16"/>
  <c r="W895" i="16"/>
  <c r="W887" i="16"/>
  <c r="W879" i="16"/>
  <c r="W871" i="16"/>
  <c r="W863" i="16"/>
  <c r="W855" i="16"/>
  <c r="W847" i="16"/>
  <c r="W839" i="16"/>
  <c r="W831" i="16"/>
  <c r="W823" i="16"/>
  <c r="W815" i="16"/>
  <c r="W807" i="16"/>
  <c r="W799" i="16"/>
  <c r="W791" i="16"/>
  <c r="W783" i="16"/>
  <c r="W775" i="16"/>
  <c r="W767" i="16"/>
  <c r="W759" i="16"/>
  <c r="W751" i="16"/>
  <c r="W743" i="16"/>
  <c r="W735" i="16"/>
  <c r="W727" i="16"/>
  <c r="W719" i="16"/>
  <c r="W711" i="16"/>
  <c r="W703" i="16"/>
  <c r="W695" i="16"/>
  <c r="W687" i="16"/>
  <c r="W679" i="16"/>
  <c r="W671" i="16"/>
  <c r="W663" i="16"/>
  <c r="W655" i="16"/>
  <c r="W651" i="16"/>
  <c r="W647" i="16"/>
  <c r="W643" i="16"/>
  <c r="W639" i="16"/>
  <c r="W635" i="16"/>
  <c r="W631" i="16"/>
  <c r="W627" i="16"/>
  <c r="W623" i="16"/>
  <c r="W619" i="16"/>
  <c r="W615" i="16"/>
  <c r="W611" i="16"/>
  <c r="W607" i="16"/>
  <c r="W603" i="16"/>
  <c r="W599" i="16"/>
  <c r="W595" i="16"/>
  <c r="W591" i="16"/>
  <c r="W587" i="16"/>
  <c r="W583" i="16"/>
  <c r="W579" i="16"/>
  <c r="W575" i="16"/>
  <c r="W571" i="16"/>
  <c r="W567" i="16"/>
  <c r="W563" i="16"/>
  <c r="W559" i="16"/>
  <c r="W555" i="16"/>
  <c r="W551" i="16"/>
  <c r="W547" i="16"/>
  <c r="W543" i="16"/>
  <c r="W539" i="16"/>
  <c r="W535" i="16"/>
  <c r="W531" i="16"/>
  <c r="W527" i="16"/>
  <c r="W523" i="16"/>
  <c r="W519" i="16"/>
  <c r="W515" i="16"/>
  <c r="W511" i="16"/>
  <c r="W507" i="16"/>
  <c r="W503" i="16"/>
  <c r="W499" i="16"/>
  <c r="W495" i="16"/>
  <c r="W491" i="16"/>
  <c r="W487" i="16"/>
  <c r="W483" i="16"/>
  <c r="W479" i="16"/>
  <c r="W475" i="16"/>
  <c r="W471" i="16"/>
  <c r="W467" i="16"/>
  <c r="W463" i="16"/>
  <c r="W459" i="16"/>
  <c r="W455" i="16"/>
  <c r="W451" i="16"/>
  <c r="W447" i="16"/>
  <c r="W443" i="16"/>
  <c r="W439" i="16"/>
  <c r="W435" i="16"/>
  <c r="W431" i="16"/>
  <c r="W427" i="16"/>
  <c r="W423" i="16"/>
  <c r="W419" i="16"/>
  <c r="W415" i="16"/>
  <c r="W411" i="16"/>
  <c r="W407" i="16"/>
  <c r="W403" i="16"/>
  <c r="W399" i="16"/>
  <c r="W395" i="16"/>
  <c r="W391" i="16"/>
  <c r="W387" i="16"/>
  <c r="W383" i="16"/>
  <c r="W379" i="16"/>
  <c r="W375" i="16"/>
  <c r="W371" i="16"/>
  <c r="W367" i="16"/>
  <c r="W363" i="16"/>
  <c r="W359" i="16"/>
  <c r="W355" i="16"/>
  <c r="W351" i="16"/>
  <c r="W347" i="16"/>
  <c r="W343" i="16"/>
  <c r="W339" i="16"/>
  <c r="W335" i="16"/>
  <c r="W331" i="16"/>
  <c r="W327" i="16"/>
  <c r="W323" i="16"/>
  <c r="W319" i="16"/>
  <c r="W315" i="16"/>
  <c r="W311" i="16"/>
  <c r="W307" i="16"/>
  <c r="W303" i="16"/>
  <c r="W299" i="16"/>
  <c r="W295" i="16"/>
  <c r="W291" i="16"/>
  <c r="W287" i="16"/>
  <c r="W283" i="16"/>
  <c r="W279" i="16"/>
  <c r="W275" i="16"/>
  <c r="W271" i="16"/>
  <c r="W267" i="16"/>
  <c r="W263" i="16"/>
  <c r="W259" i="16"/>
  <c r="W255" i="16"/>
  <c r="W251" i="16"/>
  <c r="W247" i="16"/>
  <c r="W243" i="16"/>
  <c r="W239" i="16"/>
  <c r="W235" i="16"/>
  <c r="W231" i="16"/>
  <c r="W227" i="16"/>
  <c r="W223" i="16"/>
  <c r="W219" i="16"/>
  <c r="W215" i="16"/>
  <c r="W211" i="16"/>
  <c r="W207" i="16"/>
  <c r="W203" i="16"/>
  <c r="W199" i="16"/>
  <c r="W195" i="16"/>
  <c r="W191" i="16"/>
  <c r="W187" i="16"/>
  <c r="W183" i="16"/>
  <c r="W179" i="16"/>
  <c r="W175" i="16"/>
  <c r="W171" i="16"/>
  <c r="W167" i="16"/>
  <c r="W163" i="16"/>
  <c r="W159" i="16"/>
  <c r="W155" i="16"/>
  <c r="W151" i="16"/>
  <c r="W147" i="16"/>
  <c r="W143" i="16"/>
  <c r="W139" i="16"/>
  <c r="W135" i="16"/>
  <c r="W131" i="16"/>
  <c r="W127" i="16"/>
  <c r="W123" i="16"/>
  <c r="W119" i="16"/>
  <c r="W115" i="16"/>
  <c r="W111" i="16"/>
  <c r="W107" i="16"/>
  <c r="W103" i="16"/>
  <c r="W99" i="16"/>
  <c r="W95" i="16"/>
  <c r="W91" i="16"/>
  <c r="W87" i="16"/>
  <c r="W83" i="16"/>
  <c r="W79" i="16"/>
  <c r="W75" i="16"/>
  <c r="W71" i="16"/>
  <c r="W67" i="16"/>
  <c r="W63" i="16"/>
  <c r="W59" i="16"/>
  <c r="W55" i="16"/>
  <c r="W51" i="16"/>
  <c r="W47" i="16"/>
  <c r="W43" i="16"/>
  <c r="W39" i="16"/>
  <c r="W35" i="16"/>
  <c r="W31" i="16"/>
  <c r="W27" i="16"/>
  <c r="W23" i="16"/>
  <c r="W19" i="16"/>
  <c r="W15" i="16"/>
  <c r="W11" i="16"/>
  <c r="W7" i="16"/>
  <c r="W3" i="16"/>
  <c r="W2" i="16" a="1"/>
  <c r="W1533" i="16" s="1"/>
  <c r="V578" i="16"/>
  <c r="V571" i="16"/>
  <c r="V566" i="16"/>
  <c r="V559" i="16"/>
  <c r="V553" i="16"/>
  <c r="V546" i="16"/>
  <c r="V539" i="16"/>
  <c r="V534" i="16"/>
  <c r="V527" i="16"/>
  <c r="V521" i="16"/>
  <c r="V514" i="16"/>
  <c r="V507" i="16"/>
  <c r="V502" i="16"/>
  <c r="V495" i="16"/>
  <c r="V489" i="16"/>
  <c r="V482" i="16"/>
  <c r="V475" i="16"/>
  <c r="V470" i="16"/>
  <c r="V463" i="16"/>
  <c r="V457" i="16"/>
  <c r="V450" i="16"/>
  <c r="V443" i="16"/>
  <c r="V438" i="16"/>
  <c r="V431" i="16"/>
  <c r="V425" i="16"/>
  <c r="V418" i="16"/>
  <c r="V414" i="16"/>
  <c r="V408" i="16"/>
  <c r="V402" i="16"/>
  <c r="V398" i="16"/>
  <c r="V392" i="16"/>
  <c r="V386" i="16"/>
  <c r="V382" i="16"/>
  <c r="V376" i="16"/>
  <c r="V370" i="16"/>
  <c r="V366" i="16"/>
  <c r="V360" i="16"/>
  <c r="V354" i="16"/>
  <c r="V350" i="16"/>
  <c r="V344" i="16"/>
  <c r="V338" i="16"/>
  <c r="V334" i="16"/>
  <c r="V328" i="16"/>
  <c r="V322" i="16"/>
  <c r="V318" i="16"/>
  <c r="V312" i="16"/>
  <c r="V306" i="16"/>
  <c r="V302" i="16"/>
  <c r="V296" i="16"/>
  <c r="V292" i="16"/>
  <c r="V288" i="16"/>
  <c r="V284" i="16"/>
  <c r="V280" i="16"/>
  <c r="V276" i="16"/>
  <c r="V272" i="16"/>
  <c r="V268" i="16"/>
  <c r="V264" i="16"/>
  <c r="V260" i="16"/>
  <c r="V256" i="16"/>
  <c r="V252" i="16"/>
  <c r="V248" i="16"/>
  <c r="V244" i="16"/>
  <c r="V240" i="16"/>
  <c r="V236" i="16"/>
  <c r="V232" i="16"/>
  <c r="V228" i="16"/>
  <c r="V224" i="16"/>
  <c r="V220" i="16"/>
  <c r="V216" i="16"/>
  <c r="V212" i="16"/>
  <c r="V208" i="16"/>
  <c r="V204" i="16"/>
  <c r="V200" i="16"/>
  <c r="V196" i="16"/>
  <c r="V192" i="16"/>
  <c r="V188" i="16"/>
  <c r="V184" i="16"/>
  <c r="V180" i="16"/>
  <c r="V176" i="16"/>
  <c r="V172" i="16"/>
  <c r="V168" i="16"/>
  <c r="V164" i="16"/>
  <c r="V160" i="16"/>
  <c r="V156" i="16"/>
  <c r="V152" i="16"/>
  <c r="V148" i="16"/>
  <c r="V144" i="16"/>
  <c r="V140" i="16"/>
  <c r="V136" i="16"/>
  <c r="V132" i="16"/>
  <c r="V128" i="16"/>
  <c r="V124" i="16"/>
  <c r="V120" i="16"/>
  <c r="V116" i="16"/>
  <c r="V112" i="16"/>
  <c r="V108" i="16"/>
  <c r="V104" i="16"/>
  <c r="V100" i="16"/>
  <c r="V96" i="16"/>
  <c r="V92" i="16"/>
  <c r="V88" i="16"/>
  <c r="V84" i="16"/>
  <c r="V80" i="16"/>
  <c r="V76" i="16"/>
  <c r="V72" i="16"/>
  <c r="V68" i="16"/>
  <c r="V64" i="16"/>
  <c r="V60" i="16"/>
  <c r="V56" i="16"/>
  <c r="V52" i="16"/>
  <c r="V48" i="16"/>
  <c r="V44" i="16"/>
  <c r="V40" i="16"/>
  <c r="V36" i="16"/>
  <c r="V32" i="16"/>
  <c r="V28" i="16"/>
  <c r="V24" i="16"/>
  <c r="V20" i="16"/>
  <c r="V16" i="16"/>
  <c r="V12" i="16"/>
  <c r="V8" i="16"/>
  <c r="V4" i="16"/>
  <c r="V2" i="16" a="1"/>
  <c r="V1529" i="16" s="1"/>
  <c r="U2" i="16" a="1"/>
  <c r="U181" i="16" s="1"/>
  <c r="T1501" i="16"/>
  <c r="T1464" i="16"/>
  <c r="T1428" i="16"/>
  <c r="T1391" i="16"/>
  <c r="T1354" i="16"/>
  <c r="T1318" i="16"/>
  <c r="T1284" i="16"/>
  <c r="T1252" i="16"/>
  <c r="T1220" i="16"/>
  <c r="T1188" i="16"/>
  <c r="T1156" i="16"/>
  <c r="T1124" i="16"/>
  <c r="T1092" i="16"/>
  <c r="T1060" i="16"/>
  <c r="T1028" i="16"/>
  <c r="T996" i="16"/>
  <c r="T964" i="16"/>
  <c r="T932" i="16"/>
  <c r="T900" i="16"/>
  <c r="T868" i="16"/>
  <c r="T836" i="16"/>
  <c r="T804" i="16"/>
  <c r="T772" i="16"/>
  <c r="T740" i="16"/>
  <c r="T708" i="16"/>
  <c r="T676" i="16"/>
  <c r="T644" i="16"/>
  <c r="T612" i="16"/>
  <c r="T580" i="16"/>
  <c r="T548" i="16"/>
  <c r="T516" i="16"/>
  <c r="T484" i="16"/>
  <c r="T452" i="16"/>
  <c r="T420" i="16"/>
  <c r="T388" i="16"/>
  <c r="T356" i="16"/>
  <c r="T324" i="16"/>
  <c r="T292" i="16"/>
  <c r="T260" i="16"/>
  <c r="T228" i="16"/>
  <c r="T196" i="16"/>
  <c r="T164" i="16"/>
  <c r="T132" i="16"/>
  <c r="T100" i="16"/>
  <c r="T76" i="16"/>
  <c r="T54" i="16"/>
  <c r="T36" i="16"/>
  <c r="T20" i="16"/>
  <c r="T4" i="16"/>
  <c r="T2" i="16" a="1"/>
  <c r="T1528" i="16" s="1"/>
  <c r="S1523" i="16"/>
  <c r="S1521" i="16"/>
  <c r="S1507" i="16"/>
  <c r="S1505" i="16"/>
  <c r="S1491" i="16"/>
  <c r="S1489" i="16"/>
  <c r="S1477" i="16"/>
  <c r="S1475" i="16"/>
  <c r="S1463" i="16"/>
  <c r="S1462" i="16"/>
  <c r="S1451" i="16"/>
  <c r="S1449" i="16"/>
  <c r="S1438" i="16"/>
  <c r="S1437" i="16"/>
  <c r="S1425" i="16"/>
  <c r="S1423" i="16"/>
  <c r="S1413" i="16"/>
  <c r="S1411" i="16"/>
  <c r="S1399" i="16"/>
  <c r="S1398" i="16"/>
  <c r="S1387" i="16"/>
  <c r="S1385" i="16"/>
  <c r="S1374" i="16"/>
  <c r="S1373" i="16"/>
  <c r="S1361" i="16"/>
  <c r="S1359" i="16"/>
  <c r="S1349" i="16"/>
  <c r="S1347" i="16"/>
  <c r="S1335" i="16"/>
  <c r="S1334" i="16"/>
  <c r="S1323" i="16"/>
  <c r="S1321" i="16"/>
  <c r="S1310" i="16"/>
  <c r="S1309" i="16"/>
  <c r="S1297" i="16"/>
  <c r="S1295" i="16"/>
  <c r="S1291" i="16"/>
  <c r="S1285" i="16"/>
  <c r="S1283" i="16"/>
  <c r="S1278" i="16"/>
  <c r="S1272" i="16"/>
  <c r="S1271" i="16"/>
  <c r="S1267" i="16"/>
  <c r="S1262" i="16"/>
  <c r="S1261" i="16"/>
  <c r="S1256" i="16"/>
  <c r="S1251" i="16"/>
  <c r="S1249" i="16"/>
  <c r="S1246" i="16"/>
  <c r="S1240" i="16"/>
  <c r="S1239" i="16"/>
  <c r="S1235" i="16"/>
  <c r="S1230" i="16"/>
  <c r="S1229" i="16"/>
  <c r="S1224" i="16"/>
  <c r="S1219" i="16"/>
  <c r="S1217" i="16"/>
  <c r="S1214" i="16"/>
  <c r="S1208" i="16"/>
  <c r="S1207" i="16"/>
  <c r="S1203" i="16"/>
  <c r="S1198" i="16"/>
  <c r="S1197" i="16"/>
  <c r="S1192" i="16"/>
  <c r="S1187" i="16"/>
  <c r="S1185" i="16"/>
  <c r="S1182" i="16"/>
  <c r="S1176" i="16"/>
  <c r="S1175" i="16"/>
  <c r="S1171" i="16"/>
  <c r="S1166" i="16"/>
  <c r="S1165" i="16"/>
  <c r="S1160" i="16"/>
  <c r="S1155" i="16"/>
  <c r="S1153" i="16"/>
  <c r="S1150" i="16"/>
  <c r="S1144" i="16"/>
  <c r="S1143" i="16"/>
  <c r="S1139" i="16"/>
  <c r="S1134" i="16"/>
  <c r="S1133" i="16"/>
  <c r="S1128" i="16"/>
  <c r="S1123" i="16"/>
  <c r="S1121" i="16"/>
  <c r="S1118" i="16"/>
  <c r="S1113" i="16"/>
  <c r="S1112" i="16"/>
  <c r="S1109" i="16"/>
  <c r="S1104" i="16"/>
  <c r="S1103" i="16"/>
  <c r="S1099" i="16"/>
  <c r="S1095" i="16"/>
  <c r="S1094" i="16"/>
  <c r="S1090" i="16"/>
  <c r="S1086" i="16"/>
  <c r="S1085" i="16"/>
  <c r="S1081" i="16"/>
  <c r="S1077" i="16"/>
  <c r="S1075" i="16"/>
  <c r="S1072" i="16"/>
  <c r="S1067" i="16"/>
  <c r="S1066" i="16"/>
  <c r="S1063" i="16"/>
  <c r="S1058" i="16"/>
  <c r="S1057" i="16"/>
  <c r="S1054" i="16"/>
  <c r="S1049" i="16"/>
  <c r="S1048" i="16"/>
  <c r="S1045" i="16"/>
  <c r="S1041" i="16"/>
  <c r="S1040" i="16"/>
  <c r="S1037" i="16"/>
  <c r="S1033" i="16"/>
  <c r="S1032" i="16"/>
  <c r="S1029" i="16"/>
  <c r="S1025" i="16"/>
  <c r="S1024" i="16"/>
  <c r="S1021" i="16"/>
  <c r="S1017" i="16"/>
  <c r="S1016" i="16"/>
  <c r="S1013" i="16"/>
  <c r="S1009" i="16"/>
  <c r="S1008" i="16"/>
  <c r="S1005" i="16"/>
  <c r="S1001" i="16"/>
  <c r="S1000" i="16"/>
  <c r="S997" i="16"/>
  <c r="S993" i="16"/>
  <c r="S992" i="16"/>
  <c r="S989" i="16"/>
  <c r="S985" i="16"/>
  <c r="S984" i="16"/>
  <c r="S981" i="16"/>
  <c r="S977" i="16"/>
  <c r="S976" i="16"/>
  <c r="S973" i="16"/>
  <c r="S969" i="16"/>
  <c r="S968" i="16"/>
  <c r="S965" i="16"/>
  <c r="S961" i="16"/>
  <c r="S960" i="16"/>
  <c r="S957" i="16"/>
  <c r="S953" i="16"/>
  <c r="S952" i="16"/>
  <c r="S949" i="16"/>
  <c r="S945" i="16"/>
  <c r="S944" i="16"/>
  <c r="S941" i="16"/>
  <c r="S937" i="16"/>
  <c r="S936" i="16"/>
  <c r="S933" i="16"/>
  <c r="S929" i="16"/>
  <c r="S928" i="16"/>
  <c r="S925" i="16"/>
  <c r="S921" i="16"/>
  <c r="S920" i="16"/>
  <c r="S917" i="16"/>
  <c r="S913" i="16"/>
  <c r="S912" i="16"/>
  <c r="S909" i="16"/>
  <c r="S905" i="16"/>
  <c r="S904" i="16"/>
  <c r="S901" i="16"/>
  <c r="S897" i="16"/>
  <c r="S896" i="16"/>
  <c r="S893" i="16"/>
  <c r="S889" i="16"/>
  <c r="S888" i="16"/>
  <c r="S885" i="16"/>
  <c r="S881" i="16"/>
  <c r="S880" i="16"/>
  <c r="S877" i="16"/>
  <c r="S873" i="16"/>
  <c r="S872" i="16"/>
  <c r="S869" i="16"/>
  <c r="S865" i="16"/>
  <c r="S864" i="16"/>
  <c r="S861" i="16"/>
  <c r="S857" i="16"/>
  <c r="S856" i="16"/>
  <c r="S853" i="16"/>
  <c r="S849" i="16"/>
  <c r="S848" i="16"/>
  <c r="S845" i="16"/>
  <c r="S841" i="16"/>
  <c r="S840" i="16"/>
  <c r="S837" i="16"/>
  <c r="S833" i="16"/>
  <c r="S832" i="16"/>
  <c r="S829" i="16"/>
  <c r="S825" i="16"/>
  <c r="S824" i="16"/>
  <c r="S821" i="16"/>
  <c r="S817" i="16"/>
  <c r="S816" i="16"/>
  <c r="S813" i="16"/>
  <c r="S809" i="16"/>
  <c r="S808" i="16"/>
  <c r="S805" i="16"/>
  <c r="S801" i="16"/>
  <c r="S800" i="16"/>
  <c r="S797" i="16"/>
  <c r="S793" i="16"/>
  <c r="S792" i="16"/>
  <c r="S789" i="16"/>
  <c r="S785" i="16"/>
  <c r="S784" i="16"/>
  <c r="S781" i="16"/>
  <c r="S777" i="16"/>
  <c r="S776" i="16"/>
  <c r="S773" i="16"/>
  <c r="S769" i="16"/>
  <c r="S768" i="16"/>
  <c r="S765" i="16"/>
  <c r="S761" i="16"/>
  <c r="S760" i="16"/>
  <c r="S757" i="16"/>
  <c r="S753" i="16"/>
  <c r="S752" i="16"/>
  <c r="S749" i="16"/>
  <c r="S745" i="16"/>
  <c r="S744" i="16"/>
  <c r="S741" i="16"/>
  <c r="S737" i="16"/>
  <c r="S736" i="16"/>
  <c r="S733" i="16"/>
  <c r="S729" i="16"/>
  <c r="S728" i="16"/>
  <c r="S725" i="16"/>
  <c r="S721" i="16"/>
  <c r="S720" i="16"/>
  <c r="S717" i="16"/>
  <c r="S713" i="16"/>
  <c r="S712" i="16"/>
  <c r="S709" i="16"/>
  <c r="S705" i="16"/>
  <c r="S704" i="16"/>
  <c r="S701" i="16"/>
  <c r="S697" i="16"/>
  <c r="S696" i="16"/>
  <c r="S693" i="16"/>
  <c r="S689" i="16"/>
  <c r="S688" i="16"/>
  <c r="S685" i="16"/>
  <c r="S681" i="16"/>
  <c r="S680" i="16"/>
  <c r="S677" i="16"/>
  <c r="S673" i="16"/>
  <c r="S672" i="16"/>
  <c r="S669" i="16"/>
  <c r="S665" i="16"/>
  <c r="S664" i="16"/>
  <c r="S661" i="16"/>
  <c r="S657" i="16"/>
  <c r="S656" i="16"/>
  <c r="S653" i="16"/>
  <c r="S649" i="16"/>
  <c r="S648" i="16"/>
  <c r="S645" i="16"/>
  <c r="S641" i="16"/>
  <c r="S640" i="16"/>
  <c r="S637" i="16"/>
  <c r="S633" i="16"/>
  <c r="S632" i="16"/>
  <c r="S629" i="16"/>
  <c r="S625" i="16"/>
  <c r="S624" i="16"/>
  <c r="S621" i="16"/>
  <c r="S617" i="16"/>
  <c r="S616" i="16"/>
  <c r="S613" i="16"/>
  <c r="S609" i="16"/>
  <c r="S608" i="16"/>
  <c r="S605" i="16"/>
  <c r="S601" i="16"/>
  <c r="S600" i="16"/>
  <c r="S597" i="16"/>
  <c r="S593" i="16"/>
  <c r="S592" i="16"/>
  <c r="S589" i="16"/>
  <c r="S585" i="16"/>
  <c r="S584" i="16"/>
  <c r="S581" i="16"/>
  <c r="S577" i="16"/>
  <c r="S576" i="16"/>
  <c r="S573" i="16"/>
  <c r="S569" i="16"/>
  <c r="S568" i="16"/>
  <c r="S565" i="16"/>
  <c r="S561" i="16"/>
  <c r="S560" i="16"/>
  <c r="S557" i="16"/>
  <c r="S553" i="16"/>
  <c r="S552" i="16"/>
  <c r="S549" i="16"/>
  <c r="S545" i="16"/>
  <c r="S544" i="16"/>
  <c r="S541" i="16"/>
  <c r="S537" i="16"/>
  <c r="S536" i="16"/>
  <c r="S533" i="16"/>
  <c r="S529" i="16"/>
  <c r="S528" i="16"/>
  <c r="S525" i="16"/>
  <c r="S521" i="16"/>
  <c r="S520" i="16"/>
  <c r="S517" i="16"/>
  <c r="S513" i="16"/>
  <c r="S512" i="16"/>
  <c r="S509" i="16"/>
  <c r="S505" i="16"/>
  <c r="S504" i="16"/>
  <c r="S501" i="16"/>
  <c r="S497" i="16"/>
  <c r="S496" i="16"/>
  <c r="S493" i="16"/>
  <c r="S489" i="16"/>
  <c r="S488" i="16"/>
  <c r="S485" i="16"/>
  <c r="S481" i="16"/>
  <c r="S480" i="16"/>
  <c r="S477" i="16"/>
  <c r="S473" i="16"/>
  <c r="S472" i="16"/>
  <c r="S469" i="16"/>
  <c r="S465" i="16"/>
  <c r="S464" i="16"/>
  <c r="S461" i="16"/>
  <c r="S457" i="16"/>
  <c r="S456" i="16"/>
  <c r="S453" i="16"/>
  <c r="S449" i="16"/>
  <c r="S448" i="16"/>
  <c r="S445" i="16"/>
  <c r="S441" i="16"/>
  <c r="S440" i="16"/>
  <c r="S437" i="16"/>
  <c r="S433" i="16"/>
  <c r="S432" i="16"/>
  <c r="S429" i="16"/>
  <c r="S425" i="16"/>
  <c r="S424" i="16"/>
  <c r="S421" i="16"/>
  <c r="S417" i="16"/>
  <c r="S416" i="16"/>
  <c r="S413" i="16"/>
  <c r="S409" i="16"/>
  <c r="S408" i="16"/>
  <c r="S405" i="16"/>
  <c r="S401" i="16"/>
  <c r="S400" i="16"/>
  <c r="S397" i="16"/>
  <c r="S393" i="16"/>
  <c r="S392" i="16"/>
  <c r="S389" i="16"/>
  <c r="S385" i="16"/>
  <c r="S384" i="16"/>
  <c r="S381" i="16"/>
  <c r="S377" i="16"/>
  <c r="S376" i="16"/>
  <c r="S373" i="16"/>
  <c r="S369" i="16"/>
  <c r="S368" i="16"/>
  <c r="S365" i="16"/>
  <c r="S361" i="16"/>
  <c r="S360" i="16"/>
  <c r="S357" i="16"/>
  <c r="S353" i="16"/>
  <c r="S352" i="16"/>
  <c r="S349" i="16"/>
  <c r="S345" i="16"/>
  <c r="S344" i="16"/>
  <c r="S341" i="16"/>
  <c r="S337" i="16"/>
  <c r="S336" i="16"/>
  <c r="S333" i="16"/>
  <c r="S329" i="16"/>
  <c r="S328" i="16"/>
  <c r="S325" i="16"/>
  <c r="S321" i="16"/>
  <c r="S320" i="16"/>
  <c r="S317" i="16"/>
  <c r="S313" i="16"/>
  <c r="S312" i="16"/>
  <c r="S309" i="16"/>
  <c r="S305" i="16"/>
  <c r="S304" i="16"/>
  <c r="S301" i="16"/>
  <c r="S297" i="16"/>
  <c r="S296" i="16"/>
  <c r="S293" i="16"/>
  <c r="S289" i="16"/>
  <c r="S288" i="16"/>
  <c r="S285" i="16"/>
  <c r="S281" i="16"/>
  <c r="S280" i="16"/>
  <c r="S277" i="16"/>
  <c r="S273" i="16"/>
  <c r="S272" i="16"/>
  <c r="S269" i="16"/>
  <c r="S265" i="16"/>
  <c r="S264" i="16"/>
  <c r="S261" i="16"/>
  <c r="S257" i="16"/>
  <c r="S256" i="16"/>
  <c r="S253" i="16"/>
  <c r="S249" i="16"/>
  <c r="S248" i="16"/>
  <c r="S245" i="16"/>
  <c r="S241" i="16"/>
  <c r="S240" i="16"/>
  <c r="S237" i="16"/>
  <c r="S233" i="16"/>
  <c r="S232" i="16"/>
  <c r="S229" i="16"/>
  <c r="S225" i="16"/>
  <c r="S224" i="16"/>
  <c r="S221" i="16"/>
  <c r="S217" i="16"/>
  <c r="S216" i="16"/>
  <c r="S213" i="16"/>
  <c r="S209" i="16"/>
  <c r="S208" i="16"/>
  <c r="S205" i="16"/>
  <c r="S201" i="16"/>
  <c r="S200" i="16"/>
  <c r="S197" i="16"/>
  <c r="S193" i="16"/>
  <c r="S192" i="16"/>
  <c r="S189" i="16"/>
  <c r="S185" i="16"/>
  <c r="S184" i="16"/>
  <c r="S181" i="16"/>
  <c r="S177" i="16"/>
  <c r="S176" i="16"/>
  <c r="S173" i="16"/>
  <c r="S169" i="16"/>
  <c r="S168" i="16"/>
  <c r="S165" i="16"/>
  <c r="S161" i="16"/>
  <c r="S160" i="16"/>
  <c r="S157" i="16"/>
  <c r="S153" i="16"/>
  <c r="S152" i="16"/>
  <c r="S149" i="16"/>
  <c r="S145" i="16"/>
  <c r="S144" i="16"/>
  <c r="S141" i="16"/>
  <c r="S137" i="16"/>
  <c r="S136" i="16"/>
  <c r="S133" i="16"/>
  <c r="S129" i="16"/>
  <c r="S128" i="16"/>
  <c r="S125" i="16"/>
  <c r="S121" i="16"/>
  <c r="S120" i="16"/>
  <c r="S117" i="16"/>
  <c r="S113" i="16"/>
  <c r="S112" i="16"/>
  <c r="S109" i="16"/>
  <c r="S105" i="16"/>
  <c r="S104" i="16"/>
  <c r="S101" i="16"/>
  <c r="S97" i="16"/>
  <c r="S96" i="16"/>
  <c r="S93" i="16"/>
  <c r="S89" i="16"/>
  <c r="S88" i="16"/>
  <c r="S85" i="16"/>
  <c r="S81" i="16"/>
  <c r="S80" i="16"/>
  <c r="S77" i="16"/>
  <c r="S73" i="16"/>
  <c r="S72" i="16"/>
  <c r="S69" i="16"/>
  <c r="S65" i="16"/>
  <c r="S64" i="16"/>
  <c r="S61" i="16"/>
  <c r="S57" i="16"/>
  <c r="S56" i="16"/>
  <c r="S53" i="16"/>
  <c r="S49" i="16"/>
  <c r="S48" i="16"/>
  <c r="S45" i="16"/>
  <c r="S41" i="16"/>
  <c r="S40" i="16"/>
  <c r="S37" i="16"/>
  <c r="S33" i="16"/>
  <c r="S32" i="16"/>
  <c r="S29" i="16"/>
  <c r="S25" i="16"/>
  <c r="S24" i="16"/>
  <c r="S21" i="16"/>
  <c r="S17" i="16"/>
  <c r="S16" i="16"/>
  <c r="S13" i="16"/>
  <c r="S9" i="16"/>
  <c r="S8" i="16"/>
  <c r="S5" i="16"/>
  <c r="S2" i="16" a="1"/>
  <c r="S1535" i="16" s="1"/>
  <c r="S2" i="16"/>
  <c r="R673" i="16"/>
  <c r="R664" i="16"/>
  <c r="R655" i="16"/>
  <c r="R646" i="16"/>
  <c r="R641" i="16"/>
  <c r="R636" i="16"/>
  <c r="R632" i="16"/>
  <c r="R627" i="16"/>
  <c r="R623" i="16"/>
  <c r="R619" i="16"/>
  <c r="R615" i="16"/>
  <c r="R611" i="16"/>
  <c r="R607" i="16"/>
  <c r="R603" i="16"/>
  <c r="R599" i="16"/>
  <c r="R595" i="16"/>
  <c r="R591" i="16"/>
  <c r="R587" i="16"/>
  <c r="R583" i="16"/>
  <c r="R579" i="16"/>
  <c r="R575" i="16"/>
  <c r="R571" i="16"/>
  <c r="R567" i="16"/>
  <c r="R563" i="16"/>
  <c r="R559" i="16"/>
  <c r="R555" i="16"/>
  <c r="R551" i="16"/>
  <c r="R547" i="16"/>
  <c r="R543" i="16"/>
  <c r="R539" i="16"/>
  <c r="R535" i="16"/>
  <c r="R531" i="16"/>
  <c r="R527" i="16"/>
  <c r="R523" i="16"/>
  <c r="R519" i="16"/>
  <c r="R515" i="16"/>
  <c r="R511" i="16"/>
  <c r="R507" i="16"/>
  <c r="R503" i="16"/>
  <c r="R499" i="16"/>
  <c r="R495" i="16"/>
  <c r="R491" i="16"/>
  <c r="R487" i="16"/>
  <c r="R483" i="16"/>
  <c r="R479" i="16"/>
  <c r="R475" i="16"/>
  <c r="R471" i="16"/>
  <c r="R467" i="16"/>
  <c r="R463" i="16"/>
  <c r="R459" i="16"/>
  <c r="R455" i="16"/>
  <c r="R451" i="16"/>
  <c r="R447" i="16"/>
  <c r="R443" i="16"/>
  <c r="R439" i="16"/>
  <c r="R435" i="16"/>
  <c r="R431" i="16"/>
  <c r="R427" i="16"/>
  <c r="R423" i="16"/>
  <c r="R419" i="16"/>
  <c r="R415" i="16"/>
  <c r="R411" i="16"/>
  <c r="R407" i="16"/>
  <c r="R403" i="16"/>
  <c r="R399" i="16"/>
  <c r="R395" i="16"/>
  <c r="R391" i="16"/>
  <c r="R387" i="16"/>
  <c r="R383" i="16"/>
  <c r="R379" i="16"/>
  <c r="R375" i="16"/>
  <c r="R371" i="16"/>
  <c r="R367" i="16"/>
  <c r="R363" i="16"/>
  <c r="R359" i="16"/>
  <c r="R355" i="16"/>
  <c r="R351" i="16"/>
  <c r="R347" i="16"/>
  <c r="R343" i="16"/>
  <c r="R339" i="16"/>
  <c r="R335" i="16"/>
  <c r="R331" i="16"/>
  <c r="R327" i="16"/>
  <c r="R323" i="16"/>
  <c r="R319" i="16"/>
  <c r="R315" i="16"/>
  <c r="R311" i="16"/>
  <c r="R307" i="16"/>
  <c r="R303" i="16"/>
  <c r="R299" i="16"/>
  <c r="R295" i="16"/>
  <c r="R291" i="16"/>
  <c r="R287" i="16"/>
  <c r="R283" i="16"/>
  <c r="R279" i="16"/>
  <c r="R275" i="16"/>
  <c r="R271" i="16"/>
  <c r="R267" i="16"/>
  <c r="R263" i="16"/>
  <c r="R259" i="16"/>
  <c r="R255" i="16"/>
  <c r="R251" i="16"/>
  <c r="R247" i="16"/>
  <c r="R243" i="16"/>
  <c r="R239" i="16"/>
  <c r="R235" i="16"/>
  <c r="R231" i="16"/>
  <c r="R227" i="16"/>
  <c r="R223" i="16"/>
  <c r="R219" i="16"/>
  <c r="R215" i="16"/>
  <c r="R211" i="16"/>
  <c r="R207" i="16"/>
  <c r="R203" i="16"/>
  <c r="R199" i="16"/>
  <c r="R195" i="16"/>
  <c r="R191" i="16"/>
  <c r="R187" i="16"/>
  <c r="R183" i="16"/>
  <c r="R179" i="16"/>
  <c r="R175" i="16"/>
  <c r="R171" i="16"/>
  <c r="R167" i="16"/>
  <c r="R163" i="16"/>
  <c r="R159" i="16"/>
  <c r="R155" i="16"/>
  <c r="R151" i="16"/>
  <c r="R147" i="16"/>
  <c r="R143" i="16"/>
  <c r="R139" i="16"/>
  <c r="R135" i="16"/>
  <c r="R131" i="16"/>
  <c r="R127" i="16"/>
  <c r="R123" i="16"/>
  <c r="R119" i="16"/>
  <c r="R115" i="16"/>
  <c r="R111" i="16"/>
  <c r="R107" i="16"/>
  <c r="R103" i="16"/>
  <c r="R99" i="16"/>
  <c r="R95" i="16"/>
  <c r="R91" i="16"/>
  <c r="R87" i="16"/>
  <c r="R83" i="16"/>
  <c r="R79" i="16"/>
  <c r="R75" i="16"/>
  <c r="R71" i="16"/>
  <c r="R67" i="16"/>
  <c r="R63" i="16"/>
  <c r="R59" i="16"/>
  <c r="R55" i="16"/>
  <c r="R51" i="16"/>
  <c r="R47" i="16"/>
  <c r="R43" i="16"/>
  <c r="R39" i="16"/>
  <c r="R35" i="16"/>
  <c r="R31" i="16"/>
  <c r="R27" i="16"/>
  <c r="R23" i="16"/>
  <c r="R19" i="16"/>
  <c r="R15" i="16"/>
  <c r="R11" i="16"/>
  <c r="R7" i="16"/>
  <c r="R3" i="16"/>
  <c r="R2" i="16" a="1"/>
  <c r="R1529" i="16" s="1"/>
  <c r="Q1516" i="16"/>
  <c r="Q1512" i="16"/>
  <c r="Q1511" i="16"/>
  <c r="Q1508" i="16"/>
  <c r="Q1504" i="16"/>
  <c r="Q1503" i="16"/>
  <c r="Q1500" i="16"/>
  <c r="Q1496" i="16"/>
  <c r="Q1495" i="16"/>
  <c r="Q1492" i="16"/>
  <c r="Q1488" i="16"/>
  <c r="Q1487" i="16"/>
  <c r="Q1484" i="16"/>
  <c r="Q1480" i="16"/>
  <c r="Q1479" i="16"/>
  <c r="Q1476" i="16"/>
  <c r="Q1472" i="16"/>
  <c r="Q1471" i="16"/>
  <c r="Q1468" i="16"/>
  <c r="Q1464" i="16"/>
  <c r="Q1463" i="16"/>
  <c r="Q1460" i="16"/>
  <c r="Q1456" i="16"/>
  <c r="Q1455" i="16"/>
  <c r="Q1452" i="16"/>
  <c r="Q1448" i="16"/>
  <c r="Q1447" i="16"/>
  <c r="Q1444" i="16"/>
  <c r="Q1440" i="16"/>
  <c r="Q1439" i="16"/>
  <c r="Q1436" i="16"/>
  <c r="Q1432" i="16"/>
  <c r="Q1431" i="16"/>
  <c r="Q1428" i="16"/>
  <c r="Q1424" i="16"/>
  <c r="Q1423" i="16"/>
  <c r="Q1420" i="16"/>
  <c r="Q1416" i="16"/>
  <c r="Q1415" i="16"/>
  <c r="Q1412" i="16"/>
  <c r="Q1408" i="16"/>
  <c r="Q1407" i="16"/>
  <c r="Q1404" i="16"/>
  <c r="Q1400" i="16"/>
  <c r="Q1399" i="16"/>
  <c r="Q1396" i="16"/>
  <c r="Q1392" i="16"/>
  <c r="Q1391" i="16"/>
  <c r="Q1388" i="16"/>
  <c r="Q1384" i="16"/>
  <c r="Q1383" i="16"/>
  <c r="Q1380" i="16"/>
  <c r="Q1376" i="16"/>
  <c r="Q1375" i="16"/>
  <c r="Q1372" i="16"/>
  <c r="Q1368" i="16"/>
  <c r="Q1367" i="16"/>
  <c r="Q1364" i="16"/>
  <c r="Q1360" i="16"/>
  <c r="Q1359" i="16"/>
  <c r="Q1356" i="16"/>
  <c r="Q1352" i="16"/>
  <c r="Q1351" i="16"/>
  <c r="Q1348" i="16"/>
  <c r="Q1344" i="16"/>
  <c r="Q1343" i="16"/>
  <c r="Q1340" i="16"/>
  <c r="Q1336" i="16"/>
  <c r="Q1335" i="16"/>
  <c r="Q1332" i="16"/>
  <c r="Q1328" i="16"/>
  <c r="Q1327" i="16"/>
  <c r="Q1324" i="16"/>
  <c r="Q1320" i="16"/>
  <c r="Q1319" i="16"/>
  <c r="Q1316" i="16"/>
  <c r="Q1312" i="16"/>
  <c r="Q1311" i="16"/>
  <c r="Q1308" i="16"/>
  <c r="Q1304" i="16"/>
  <c r="Q1303" i="16"/>
  <c r="Q1300" i="16"/>
  <c r="Q1296" i="16"/>
  <c r="Q1295" i="16"/>
  <c r="Q1292" i="16"/>
  <c r="Q1288" i="16"/>
  <c r="Q1287" i="16"/>
  <c r="Q1284" i="16"/>
  <c r="Q1280" i="16"/>
  <c r="Q1279" i="16"/>
  <c r="Q1276" i="16"/>
  <c r="Q1272" i="16"/>
  <c r="Q1271" i="16"/>
  <c r="Q1268" i="16"/>
  <c r="Q1264" i="16"/>
  <c r="Q1263" i="16"/>
  <c r="Q1260" i="16"/>
  <c r="Q1256" i="16"/>
  <c r="Q1255" i="16"/>
  <c r="Q1252" i="16"/>
  <c r="Q1248" i="16"/>
  <c r="Q1247" i="16"/>
  <c r="Q1244" i="16"/>
  <c r="Q1240" i="16"/>
  <c r="Q1239" i="16"/>
  <c r="Q1236" i="16"/>
  <c r="Q1232" i="16"/>
  <c r="Q1231" i="16"/>
  <c r="Q1228" i="16"/>
  <c r="Q1224" i="16"/>
  <c r="Q1223" i="16"/>
  <c r="Q1220" i="16"/>
  <c r="Q1216" i="16"/>
  <c r="Q1215" i="16"/>
  <c r="Q1212" i="16"/>
  <c r="Q1208" i="16"/>
  <c r="Q1207" i="16"/>
  <c r="Q1204" i="16"/>
  <c r="Q1200" i="16"/>
  <c r="Q1199" i="16"/>
  <c r="Q1196" i="16"/>
  <c r="Q1192" i="16"/>
  <c r="Q1191" i="16"/>
  <c r="Q1188" i="16"/>
  <c r="Q1184" i="16"/>
  <c r="Q1183" i="16"/>
  <c r="Q1180" i="16"/>
  <c r="Q1176" i="16"/>
  <c r="Q1175" i="16"/>
  <c r="Q1172" i="16"/>
  <c r="Q1168" i="16"/>
  <c r="Q1167" i="16"/>
  <c r="Q1164" i="16"/>
  <c r="Q1160" i="16"/>
  <c r="Q1159" i="16"/>
  <c r="Q1156" i="16"/>
  <c r="Q1152" i="16"/>
  <c r="Q1151" i="16"/>
  <c r="Q1148" i="16"/>
  <c r="Q1144" i="16"/>
  <c r="Q1143" i="16"/>
  <c r="Q1140" i="16"/>
  <c r="Q1136" i="16"/>
  <c r="Q1135" i="16"/>
  <c r="Q1132" i="16"/>
  <c r="Q1128" i="16"/>
  <c r="Q1127" i="16"/>
  <c r="Q1124" i="16"/>
  <c r="Q1120" i="16"/>
  <c r="Q1119" i="16"/>
  <c r="Q1116" i="16"/>
  <c r="Q1112" i="16"/>
  <c r="Q1111" i="16"/>
  <c r="Q1108" i="16"/>
  <c r="Q1104" i="16"/>
  <c r="Q1103" i="16"/>
  <c r="Q1100" i="16"/>
  <c r="Q1096" i="16"/>
  <c r="Q1095" i="16"/>
  <c r="Q1092" i="16"/>
  <c r="Q1088" i="16"/>
  <c r="Q1087" i="16"/>
  <c r="Q1084" i="16"/>
  <c r="Q1080" i="16"/>
  <c r="Q1079" i="16"/>
  <c r="Q1076" i="16"/>
  <c r="Q1072" i="16"/>
  <c r="Q1071" i="16"/>
  <c r="Q1068" i="16"/>
  <c r="Q1064" i="16"/>
  <c r="Q1063" i="16"/>
  <c r="Q1060" i="16"/>
  <c r="Q1056" i="16"/>
  <c r="Q1055" i="16"/>
  <c r="Q1052" i="16"/>
  <c r="Q1048" i="16"/>
  <c r="Q1047" i="16"/>
  <c r="Q1044" i="16"/>
  <c r="Q1040" i="16"/>
  <c r="Q1039" i="16"/>
  <c r="Q1036" i="16"/>
  <c r="Q1032" i="16"/>
  <c r="Q1031" i="16"/>
  <c r="Q1028" i="16"/>
  <c r="Q1024" i="16"/>
  <c r="Q1023" i="16"/>
  <c r="Q1020" i="16"/>
  <c r="Q1016" i="16"/>
  <c r="Q1015" i="16"/>
  <c r="Q1012" i="16"/>
  <c r="Q1008" i="16"/>
  <c r="Q1007" i="16"/>
  <c r="Q1004" i="16"/>
  <c r="Q1000" i="16"/>
  <c r="Q999" i="16"/>
  <c r="Q996" i="16"/>
  <c r="Q992" i="16"/>
  <c r="Q991" i="16"/>
  <c r="Q988" i="16"/>
  <c r="Q984" i="16"/>
  <c r="Q983" i="16"/>
  <c r="Q980" i="16"/>
  <c r="Q976" i="16"/>
  <c r="Q975" i="16"/>
  <c r="Q972" i="16"/>
  <c r="Q968" i="16"/>
  <c r="Q967" i="16"/>
  <c r="Q964" i="16"/>
  <c r="Q960" i="16"/>
  <c r="Q959" i="16"/>
  <c r="Q956" i="16"/>
  <c r="Q952" i="16"/>
  <c r="Q951" i="16"/>
  <c r="Q948" i="16"/>
  <c r="Q944" i="16"/>
  <c r="Q943" i="16"/>
  <c r="Q940" i="16"/>
  <c r="Q936" i="16"/>
  <c r="Q935" i="16"/>
  <c r="Q932" i="16"/>
  <c r="Q928" i="16"/>
  <c r="Q927" i="16"/>
  <c r="Q924" i="16"/>
  <c r="Q920" i="16"/>
  <c r="Q919" i="16"/>
  <c r="Q916" i="16"/>
  <c r="Q912" i="16"/>
  <c r="Q911" i="16"/>
  <c r="Q908" i="16"/>
  <c r="Q904" i="16"/>
  <c r="Q903" i="16"/>
  <c r="Q900" i="16"/>
  <c r="Q896" i="16"/>
  <c r="Q895" i="16"/>
  <c r="Q892" i="16"/>
  <c r="Q888" i="16"/>
  <c r="Q887" i="16"/>
  <c r="Q884" i="16"/>
  <c r="Q880" i="16"/>
  <c r="Q879" i="16"/>
  <c r="Q876" i="16"/>
  <c r="Q872" i="16"/>
  <c r="Q871" i="16"/>
  <c r="Q868" i="16"/>
  <c r="Q864" i="16"/>
  <c r="Q863" i="16"/>
  <c r="Q860" i="16"/>
  <c r="Q856" i="16"/>
  <c r="Q855" i="16"/>
  <c r="Q852" i="16"/>
  <c r="Q848" i="16"/>
  <c r="Q847" i="16"/>
  <c r="Q844" i="16"/>
  <c r="Q840" i="16"/>
  <c r="Q839" i="16"/>
  <c r="Q836" i="16"/>
  <c r="Q832" i="16"/>
  <c r="Q831" i="16"/>
  <c r="Q828" i="16"/>
  <c r="Q824" i="16"/>
  <c r="Q823" i="16"/>
  <c r="Q820" i="16"/>
  <c r="Q816" i="16"/>
  <c r="Q815" i="16"/>
  <c r="Q812" i="16"/>
  <c r="Q808" i="16"/>
  <c r="Q807" i="16"/>
  <c r="Q804" i="16"/>
  <c r="Q800" i="16"/>
  <c r="Q799" i="16"/>
  <c r="Q796" i="16"/>
  <c r="Q792" i="16"/>
  <c r="Q791" i="16"/>
  <c r="Q788" i="16"/>
  <c r="Q784" i="16"/>
  <c r="Q783" i="16"/>
  <c r="Q780" i="16"/>
  <c r="Q776" i="16"/>
  <c r="Q775" i="16"/>
  <c r="Q772" i="16"/>
  <c r="Q768" i="16"/>
  <c r="Q767" i="16"/>
  <c r="Q764" i="16"/>
  <c r="Q760" i="16"/>
  <c r="Q759" i="16"/>
  <c r="Q756" i="16"/>
  <c r="Q752" i="16"/>
  <c r="Q751" i="16"/>
  <c r="Q748" i="16"/>
  <c r="Q744" i="16"/>
  <c r="Q743" i="16"/>
  <c r="Q740" i="16"/>
  <c r="Q736" i="16"/>
  <c r="Q735" i="16"/>
  <c r="Q732" i="16"/>
  <c r="Q728" i="16"/>
  <c r="Q727" i="16"/>
  <c r="Q724" i="16"/>
  <c r="Q720" i="16"/>
  <c r="Q719" i="16"/>
  <c r="Q716" i="16"/>
  <c r="Q712" i="16"/>
  <c r="Q711" i="16"/>
  <c r="Q708" i="16"/>
  <c r="Q704" i="16"/>
  <c r="Q703" i="16"/>
  <c r="Q700" i="16"/>
  <c r="Q696" i="16"/>
  <c r="Q695" i="16"/>
  <c r="Q692" i="16"/>
  <c r="Q688" i="16"/>
  <c r="Q687" i="16"/>
  <c r="Q684" i="16"/>
  <c r="Q680" i="16"/>
  <c r="Q679" i="16"/>
  <c r="Q676" i="16"/>
  <c r="Q672" i="16"/>
  <c r="Q671" i="16"/>
  <c r="Q668" i="16"/>
  <c r="Q664" i="16"/>
  <c r="Q663" i="16"/>
  <c r="Q660" i="16"/>
  <c r="Q656" i="16"/>
  <c r="Q655" i="16"/>
  <c r="Q652" i="16"/>
  <c r="Q648" i="16"/>
  <c r="Q647" i="16"/>
  <c r="Q644" i="16"/>
  <c r="Q640" i="16"/>
  <c r="Q639" i="16"/>
  <c r="Q636" i="16"/>
  <c r="Q632" i="16"/>
  <c r="Q631" i="16"/>
  <c r="Q628" i="16"/>
  <c r="Q624" i="16"/>
  <c r="Q623" i="16"/>
  <c r="Q620" i="16"/>
  <c r="Q616" i="16"/>
  <c r="Q615" i="16"/>
  <c r="Q612" i="16"/>
  <c r="Q608" i="16"/>
  <c r="Q607" i="16"/>
  <c r="Q604" i="16"/>
  <c r="Q600" i="16"/>
  <c r="Q599" i="16"/>
  <c r="Q596" i="16"/>
  <c r="Q592" i="16"/>
  <c r="Q591" i="16"/>
  <c r="Q588" i="16"/>
  <c r="Q584" i="16"/>
  <c r="Q583" i="16"/>
  <c r="Q580" i="16"/>
  <c r="Q576" i="16"/>
  <c r="Q575" i="16"/>
  <c r="Q572" i="16"/>
  <c r="Q568" i="16"/>
  <c r="Q567" i="16"/>
  <c r="Q564" i="16"/>
  <c r="Q560" i="16"/>
  <c r="Q559" i="16"/>
  <c r="Q556" i="16"/>
  <c r="Q552" i="16"/>
  <c r="Q551" i="16"/>
  <c r="Q548" i="16"/>
  <c r="Q544" i="16"/>
  <c r="Q543" i="16"/>
  <c r="Q540" i="16"/>
  <c r="Q536" i="16"/>
  <c r="Q535" i="16"/>
  <c r="Q532" i="16"/>
  <c r="Q528" i="16"/>
  <c r="Q527" i="16"/>
  <c r="Q524" i="16"/>
  <c r="Q520" i="16"/>
  <c r="Q519" i="16"/>
  <c r="Q516" i="16"/>
  <c r="Q512" i="16"/>
  <c r="Q511" i="16"/>
  <c r="Q508" i="16"/>
  <c r="Q504" i="16"/>
  <c r="Q503" i="16"/>
  <c r="Q500" i="16"/>
  <c r="Q496" i="16"/>
  <c r="Q495" i="16"/>
  <c r="Q492" i="16"/>
  <c r="Q488" i="16"/>
  <c r="Q487" i="16"/>
  <c r="Q484" i="16"/>
  <c r="Q480" i="16"/>
  <c r="Q479" i="16"/>
  <c r="Q476" i="16"/>
  <c r="Q472" i="16"/>
  <c r="Q471" i="16"/>
  <c r="Q468" i="16"/>
  <c r="Q464" i="16"/>
  <c r="Q463" i="16"/>
  <c r="Q460" i="16"/>
  <c r="Q456" i="16"/>
  <c r="Q455" i="16"/>
  <c r="Q452" i="16"/>
  <c r="Q448" i="16"/>
  <c r="Q447" i="16"/>
  <c r="Q444" i="16"/>
  <c r="Q440" i="16"/>
  <c r="Q439" i="16"/>
  <c r="Q436" i="16"/>
  <c r="Q432" i="16"/>
  <c r="Q431" i="16"/>
  <c r="Q428" i="16"/>
  <c r="Q424" i="16"/>
  <c r="Q423" i="16"/>
  <c r="Q420" i="16"/>
  <c r="Q416" i="16"/>
  <c r="Q415" i="16"/>
  <c r="Q412" i="16"/>
  <c r="Q408" i="16"/>
  <c r="Q407" i="16"/>
  <c r="Q404" i="16"/>
  <c r="Q400" i="16"/>
  <c r="Q399" i="16"/>
  <c r="Q396" i="16"/>
  <c r="Q392" i="16"/>
  <c r="Q391" i="16"/>
  <c r="Q388" i="16"/>
  <c r="Q384" i="16"/>
  <c r="Q383" i="16"/>
  <c r="Q380" i="16"/>
  <c r="Q376" i="16"/>
  <c r="Q375" i="16"/>
  <c r="Q372" i="16"/>
  <c r="Q368" i="16"/>
  <c r="Q367" i="16"/>
  <c r="Q364" i="16"/>
  <c r="Q360" i="16"/>
  <c r="Q359" i="16"/>
  <c r="Q356" i="16"/>
  <c r="Q352" i="16"/>
  <c r="Q351" i="16"/>
  <c r="Q348" i="16"/>
  <c r="Q344" i="16"/>
  <c r="Q343" i="16"/>
  <c r="Q340" i="16"/>
  <c r="Q336" i="16"/>
  <c r="Q335" i="16"/>
  <c r="Q332" i="16"/>
  <c r="Q329" i="16"/>
  <c r="Q328" i="16"/>
  <c r="Q327" i="16"/>
  <c r="Q324" i="16"/>
  <c r="Q321" i="16"/>
  <c r="Q320" i="16"/>
  <c r="Q319" i="16"/>
  <c r="Q316" i="16"/>
  <c r="Q313" i="16"/>
  <c r="Q312" i="16"/>
  <c r="Q311" i="16"/>
  <c r="Q308" i="16"/>
  <c r="Q305" i="16"/>
  <c r="Q304" i="16"/>
  <c r="Q303" i="16"/>
  <c r="Q300" i="16"/>
  <c r="Q297" i="16"/>
  <c r="Q296" i="16"/>
  <c r="Q295" i="16"/>
  <c r="Q292" i="16"/>
  <c r="Q289" i="16"/>
  <c r="Q288" i="16"/>
  <c r="Q287" i="16"/>
  <c r="Q284" i="16"/>
  <c r="Q281" i="16"/>
  <c r="Q280" i="16"/>
  <c r="Q279" i="16"/>
  <c r="Q276" i="16"/>
  <c r="Q273" i="16"/>
  <c r="Q272" i="16"/>
  <c r="Q271" i="16"/>
  <c r="Q268" i="16"/>
  <c r="Q265" i="16"/>
  <c r="Q264" i="16"/>
  <c r="Q263" i="16"/>
  <c r="Q260" i="16"/>
  <c r="Q257" i="16"/>
  <c r="Q256" i="16"/>
  <c r="Q255" i="16"/>
  <c r="Q252" i="16"/>
  <c r="Q249" i="16"/>
  <c r="Q248" i="16"/>
  <c r="Q247" i="16"/>
  <c r="Q244" i="16"/>
  <c r="Q241" i="16"/>
  <c r="Q240" i="16"/>
  <c r="Q239" i="16"/>
  <c r="Q236" i="16"/>
  <c r="Q233" i="16"/>
  <c r="Q232" i="16"/>
  <c r="Q231" i="16"/>
  <c r="Q228" i="16"/>
  <c r="Q225" i="16"/>
  <c r="Q224" i="16"/>
  <c r="Q223" i="16"/>
  <c r="Q220" i="16"/>
  <c r="Q217" i="16"/>
  <c r="Q216" i="16"/>
  <c r="Q215" i="16"/>
  <c r="Q212" i="16"/>
  <c r="Q209" i="16"/>
  <c r="Q208" i="16"/>
  <c r="Q207" i="16"/>
  <c r="Q204" i="16"/>
  <c r="Q201" i="16"/>
  <c r="Q200" i="16"/>
  <c r="Q199" i="16"/>
  <c r="Q196" i="16"/>
  <c r="Q193" i="16"/>
  <c r="Q192" i="16"/>
  <c r="Q191" i="16"/>
  <c r="Q188" i="16"/>
  <c r="Q185" i="16"/>
  <c r="Q184" i="16"/>
  <c r="Q183" i="16"/>
  <c r="Q180" i="16"/>
  <c r="Q177" i="16"/>
  <c r="Q176" i="16"/>
  <c r="Q175" i="16"/>
  <c r="Q172" i="16"/>
  <c r="Q169" i="16"/>
  <c r="Q168" i="16"/>
  <c r="Q167" i="16"/>
  <c r="Q164" i="16"/>
  <c r="Q161" i="16"/>
  <c r="Q160" i="16"/>
  <c r="Q159" i="16"/>
  <c r="Q156" i="16"/>
  <c r="Q153" i="16"/>
  <c r="Q152" i="16"/>
  <c r="Q151" i="16"/>
  <c r="Q148" i="16"/>
  <c r="Q145" i="16"/>
  <c r="Q144" i="16"/>
  <c r="Q143" i="16"/>
  <c r="Q140" i="16"/>
  <c r="Q137" i="16"/>
  <c r="Q136" i="16"/>
  <c r="Q135" i="16"/>
  <c r="Q132" i="16"/>
  <c r="Q129" i="16"/>
  <c r="Q128" i="16"/>
  <c r="Q127" i="16"/>
  <c r="Q124" i="16"/>
  <c r="Q121" i="16"/>
  <c r="Q120" i="16"/>
  <c r="Q119" i="16"/>
  <c r="Q116" i="16"/>
  <c r="Q113" i="16"/>
  <c r="Q112" i="16"/>
  <c r="Q111" i="16"/>
  <c r="Q108" i="16"/>
  <c r="Q105" i="16"/>
  <c r="Q104" i="16"/>
  <c r="Q103" i="16"/>
  <c r="Q100" i="16"/>
  <c r="Q97" i="16"/>
  <c r="Q96" i="16"/>
  <c r="Q95" i="16"/>
  <c r="Q92" i="16"/>
  <c r="Q89" i="16"/>
  <c r="Q88" i="16"/>
  <c r="Q87" i="16"/>
  <c r="Q84" i="16"/>
  <c r="Q81" i="16"/>
  <c r="Q80" i="16"/>
  <c r="Q79" i="16"/>
  <c r="Q76" i="16"/>
  <c r="Q73" i="16"/>
  <c r="Q72" i="16"/>
  <c r="Q71" i="16"/>
  <c r="Q68" i="16"/>
  <c r="Q65" i="16"/>
  <c r="Q64" i="16"/>
  <c r="Q63" i="16"/>
  <c r="Q60" i="16"/>
  <c r="Q57" i="16"/>
  <c r="Q56" i="16"/>
  <c r="Q55" i="16"/>
  <c r="Q52" i="16"/>
  <c r="Q49" i="16"/>
  <c r="Q48" i="16"/>
  <c r="Q47" i="16"/>
  <c r="Q44" i="16"/>
  <c r="Q41" i="16"/>
  <c r="Q40" i="16"/>
  <c r="Q39" i="16"/>
  <c r="Q36" i="16"/>
  <c r="Q33" i="16"/>
  <c r="Q32" i="16"/>
  <c r="Q31" i="16"/>
  <c r="Q28" i="16"/>
  <c r="Q25" i="16"/>
  <c r="Q24" i="16"/>
  <c r="Q23" i="16"/>
  <c r="Q20" i="16"/>
  <c r="Q17" i="16"/>
  <c r="Q16" i="16"/>
  <c r="Q15" i="16"/>
  <c r="Q12" i="16"/>
  <c r="Q9" i="16"/>
  <c r="Q8" i="16"/>
  <c r="Q7" i="16"/>
  <c r="Q4" i="16"/>
  <c r="Q2" i="16" a="1"/>
  <c r="Q1517" i="16" s="1"/>
  <c r="Q2" i="16"/>
  <c r="C5" i="15"/>
  <c r="C4" i="15"/>
  <c r="C3" i="15"/>
  <c r="C2" i="15"/>
  <c r="B9" i="13"/>
  <c r="A9" i="13"/>
  <c r="B8" i="13"/>
  <c r="A8" i="13"/>
  <c r="B7" i="13"/>
  <c r="A7" i="13"/>
  <c r="B6" i="13"/>
  <c r="A6" i="13"/>
  <c r="B5" i="13"/>
  <c r="A5" i="13"/>
  <c r="B4" i="13"/>
  <c r="A4" i="13"/>
  <c r="B3" i="13"/>
  <c r="A3" i="13"/>
  <c r="K717" i="10"/>
  <c r="J717" i="10"/>
  <c r="I717" i="10"/>
  <c r="H717" i="10"/>
  <c r="G717" i="10"/>
  <c r="F717" i="10"/>
  <c r="C717" i="10"/>
  <c r="B717" i="10"/>
  <c r="A717" i="10"/>
  <c r="K716" i="10"/>
  <c r="J716" i="10"/>
  <c r="I716" i="10"/>
  <c r="H716" i="10"/>
  <c r="G716" i="10"/>
  <c r="F716" i="10"/>
  <c r="E716" i="10"/>
  <c r="D716" i="10"/>
  <c r="C716" i="10"/>
  <c r="B716" i="10"/>
  <c r="A716" i="10"/>
  <c r="K715" i="10"/>
  <c r="J715" i="10"/>
  <c r="I715" i="10"/>
  <c r="H715" i="10"/>
  <c r="G715" i="10"/>
  <c r="F715" i="10"/>
  <c r="E715" i="10"/>
  <c r="D715" i="10"/>
  <c r="C715" i="10"/>
  <c r="B715" i="10"/>
  <c r="A715" i="10"/>
  <c r="K714" i="10"/>
  <c r="J714" i="10"/>
  <c r="I714" i="10"/>
  <c r="H714" i="10"/>
  <c r="G714" i="10"/>
  <c r="F714" i="10"/>
  <c r="E714" i="10"/>
  <c r="D714" i="10"/>
  <c r="C714" i="10"/>
  <c r="B714" i="10"/>
  <c r="A714" i="10"/>
  <c r="K713" i="10"/>
  <c r="J713" i="10"/>
  <c r="I713" i="10"/>
  <c r="H713" i="10"/>
  <c r="G713" i="10"/>
  <c r="F713" i="10"/>
  <c r="E713" i="10"/>
  <c r="D713" i="10"/>
  <c r="C713" i="10"/>
  <c r="B713" i="10"/>
  <c r="A713" i="10"/>
  <c r="K712" i="10"/>
  <c r="J712" i="10"/>
  <c r="I712" i="10"/>
  <c r="H712" i="10"/>
  <c r="G712" i="10"/>
  <c r="F712" i="10"/>
  <c r="E712" i="10"/>
  <c r="D712" i="10"/>
  <c r="C712" i="10"/>
  <c r="B712" i="10"/>
  <c r="A712" i="10"/>
  <c r="K711" i="10"/>
  <c r="J711" i="10"/>
  <c r="I711" i="10"/>
  <c r="H711" i="10"/>
  <c r="G711" i="10"/>
  <c r="F711" i="10"/>
  <c r="E711" i="10"/>
  <c r="D711" i="10"/>
  <c r="C711" i="10"/>
  <c r="B711" i="10"/>
  <c r="A711" i="10"/>
  <c r="K710" i="10"/>
  <c r="I710" i="10"/>
  <c r="H710" i="10"/>
  <c r="G710" i="10"/>
  <c r="F710" i="10"/>
  <c r="E710" i="10"/>
  <c r="D710" i="10"/>
  <c r="C710" i="10"/>
  <c r="B710" i="10"/>
  <c r="A710" i="10"/>
  <c r="K709" i="10"/>
  <c r="J709" i="10"/>
  <c r="I709" i="10"/>
  <c r="H709" i="10"/>
  <c r="G709" i="10"/>
  <c r="F709" i="10"/>
  <c r="E709" i="10"/>
  <c r="D709" i="10"/>
  <c r="C709" i="10"/>
  <c r="B709" i="10"/>
  <c r="A709" i="10"/>
  <c r="K708" i="10"/>
  <c r="J708" i="10"/>
  <c r="I708" i="10"/>
  <c r="H708" i="10"/>
  <c r="G708" i="10"/>
  <c r="F708" i="10"/>
  <c r="E708" i="10"/>
  <c r="D708" i="10"/>
  <c r="C708" i="10"/>
  <c r="B708" i="10"/>
  <c r="A708" i="10"/>
  <c r="K707" i="10"/>
  <c r="J707" i="10"/>
  <c r="I707" i="10"/>
  <c r="H707" i="10"/>
  <c r="G707" i="10"/>
  <c r="F707" i="10"/>
  <c r="E707" i="10"/>
  <c r="D707" i="10"/>
  <c r="C707" i="10"/>
  <c r="B707" i="10"/>
  <c r="A707" i="10"/>
  <c r="K706" i="10"/>
  <c r="J706" i="10"/>
  <c r="I706" i="10"/>
  <c r="H706" i="10"/>
  <c r="G706" i="10"/>
  <c r="F706" i="10"/>
  <c r="E706" i="10"/>
  <c r="D706" i="10"/>
  <c r="C706" i="10"/>
  <c r="B706" i="10"/>
  <c r="A706" i="10"/>
  <c r="K705" i="10"/>
  <c r="J705" i="10"/>
  <c r="I705" i="10"/>
  <c r="H705" i="10"/>
  <c r="G705" i="10"/>
  <c r="F705" i="10"/>
  <c r="E705" i="10"/>
  <c r="D705" i="10"/>
  <c r="C705" i="10"/>
  <c r="B705" i="10"/>
  <c r="A705" i="10"/>
  <c r="K704" i="10"/>
  <c r="J704" i="10"/>
  <c r="I704" i="10"/>
  <c r="H704" i="10"/>
  <c r="G704" i="10"/>
  <c r="F704" i="10"/>
  <c r="E704" i="10"/>
  <c r="D704" i="10"/>
  <c r="C704" i="10"/>
  <c r="B704" i="10"/>
  <c r="A704" i="10"/>
  <c r="K703" i="10"/>
  <c r="J703" i="10"/>
  <c r="I703" i="10"/>
  <c r="H703" i="10"/>
  <c r="G703" i="10"/>
  <c r="F703" i="10"/>
  <c r="E703" i="10"/>
  <c r="D703" i="10"/>
  <c r="C703" i="10"/>
  <c r="B703" i="10"/>
  <c r="A703" i="10"/>
  <c r="K702" i="10"/>
  <c r="J702" i="10"/>
  <c r="I702" i="10"/>
  <c r="H702" i="10"/>
  <c r="G702" i="10"/>
  <c r="F702" i="10"/>
  <c r="E702" i="10"/>
  <c r="D702" i="10"/>
  <c r="C702" i="10"/>
  <c r="B702" i="10"/>
  <c r="A702" i="10"/>
  <c r="K701" i="10"/>
  <c r="I701" i="10"/>
  <c r="H701" i="10"/>
  <c r="G701" i="10"/>
  <c r="F701" i="10"/>
  <c r="E701" i="10"/>
  <c r="D701" i="10"/>
  <c r="C701" i="10"/>
  <c r="B701" i="10"/>
  <c r="A701" i="10"/>
  <c r="K700" i="10"/>
  <c r="J700" i="10"/>
  <c r="I700" i="10"/>
  <c r="H700" i="10"/>
  <c r="G700" i="10"/>
  <c r="F700" i="10"/>
  <c r="E700" i="10"/>
  <c r="D700" i="10"/>
  <c r="C700" i="10"/>
  <c r="B700" i="10"/>
  <c r="A700" i="10"/>
  <c r="K699" i="10"/>
  <c r="J699" i="10"/>
  <c r="I699" i="10"/>
  <c r="H699" i="10"/>
  <c r="G699" i="10"/>
  <c r="F699" i="10"/>
  <c r="E699" i="10"/>
  <c r="D699" i="10"/>
  <c r="C699" i="10"/>
  <c r="B699" i="10"/>
  <c r="A699" i="10"/>
  <c r="K698" i="10"/>
  <c r="I698" i="10"/>
  <c r="H698" i="10"/>
  <c r="G698" i="10"/>
  <c r="F698" i="10"/>
  <c r="E698" i="10"/>
  <c r="D698" i="10"/>
  <c r="C698" i="10"/>
  <c r="B698" i="10"/>
  <c r="A698" i="10"/>
  <c r="K697" i="10"/>
  <c r="J697" i="10"/>
  <c r="I697" i="10"/>
  <c r="H697" i="10"/>
  <c r="G697" i="10"/>
  <c r="F697" i="10"/>
  <c r="E697" i="10"/>
  <c r="D697" i="10"/>
  <c r="C697" i="10"/>
  <c r="B697" i="10"/>
  <c r="A697" i="10"/>
  <c r="K696" i="10"/>
  <c r="J696" i="10"/>
  <c r="I696" i="10"/>
  <c r="H696" i="10"/>
  <c r="G696" i="10"/>
  <c r="F696" i="10"/>
  <c r="E696" i="10"/>
  <c r="D696" i="10"/>
  <c r="C696" i="10"/>
  <c r="B696" i="10"/>
  <c r="A696" i="10"/>
  <c r="K695" i="10"/>
  <c r="J695" i="10"/>
  <c r="I695" i="10"/>
  <c r="H695" i="10"/>
  <c r="G695" i="10"/>
  <c r="F695" i="10"/>
  <c r="E695" i="10"/>
  <c r="D695" i="10"/>
  <c r="C695" i="10"/>
  <c r="B695" i="10"/>
  <c r="A695" i="10"/>
  <c r="K694" i="10"/>
  <c r="J694" i="10"/>
  <c r="I694" i="10"/>
  <c r="H694" i="10"/>
  <c r="G694" i="10"/>
  <c r="F694" i="10"/>
  <c r="E694" i="10"/>
  <c r="D694" i="10"/>
  <c r="C694" i="10"/>
  <c r="B694" i="10"/>
  <c r="A694" i="10"/>
  <c r="K693" i="10"/>
  <c r="J693" i="10"/>
  <c r="I693" i="10"/>
  <c r="H693" i="10"/>
  <c r="G693" i="10"/>
  <c r="F693" i="10"/>
  <c r="E693" i="10"/>
  <c r="D693" i="10"/>
  <c r="C693" i="10"/>
  <c r="B693" i="10"/>
  <c r="A693" i="10"/>
  <c r="K692" i="10"/>
  <c r="J692" i="10"/>
  <c r="I692" i="10"/>
  <c r="H692" i="10"/>
  <c r="G692" i="10"/>
  <c r="F692" i="10"/>
  <c r="E692" i="10"/>
  <c r="D692" i="10"/>
  <c r="C692" i="10"/>
  <c r="B692" i="10"/>
  <c r="A692" i="10"/>
  <c r="K691" i="10"/>
  <c r="I691" i="10"/>
  <c r="H691" i="10"/>
  <c r="G691" i="10"/>
  <c r="F691" i="10"/>
  <c r="E691" i="10"/>
  <c r="D691" i="10"/>
  <c r="C691" i="10"/>
  <c r="B691" i="10"/>
  <c r="A691" i="10"/>
  <c r="K690" i="10"/>
  <c r="J690" i="10"/>
  <c r="I690" i="10"/>
  <c r="H690" i="10"/>
  <c r="G690" i="10"/>
  <c r="F690" i="10"/>
  <c r="E690" i="10"/>
  <c r="D690" i="10"/>
  <c r="C690" i="10"/>
  <c r="B690" i="10"/>
  <c r="A690" i="10"/>
  <c r="K689" i="10"/>
  <c r="J689" i="10"/>
  <c r="I689" i="10"/>
  <c r="H689" i="10"/>
  <c r="G689" i="10"/>
  <c r="F689" i="10"/>
  <c r="E689" i="10"/>
  <c r="D689" i="10"/>
  <c r="C689" i="10"/>
  <c r="B689" i="10"/>
  <c r="A689" i="10"/>
  <c r="K688" i="10"/>
  <c r="J688" i="10"/>
  <c r="I688" i="10"/>
  <c r="H688" i="10"/>
  <c r="G688" i="10"/>
  <c r="F688" i="10"/>
  <c r="E688" i="10"/>
  <c r="D688" i="10"/>
  <c r="C688" i="10"/>
  <c r="B688" i="10"/>
  <c r="A688" i="10"/>
  <c r="K687" i="10"/>
  <c r="J687" i="10"/>
  <c r="I687" i="10"/>
  <c r="H687" i="10"/>
  <c r="G687" i="10"/>
  <c r="F687" i="10"/>
  <c r="E687" i="10"/>
  <c r="D687" i="10"/>
  <c r="C687" i="10"/>
  <c r="B687" i="10"/>
  <c r="A687" i="10"/>
  <c r="K686" i="10"/>
  <c r="J686" i="10"/>
  <c r="I686" i="10"/>
  <c r="H686" i="10"/>
  <c r="G686" i="10"/>
  <c r="F686" i="10"/>
  <c r="E686" i="10"/>
  <c r="D686" i="10"/>
  <c r="C686" i="10"/>
  <c r="B686" i="10"/>
  <c r="A686" i="10"/>
  <c r="K685" i="10"/>
  <c r="J685" i="10"/>
  <c r="I685" i="10"/>
  <c r="H685" i="10"/>
  <c r="G685" i="10"/>
  <c r="F685" i="10"/>
  <c r="E685" i="10"/>
  <c r="D685" i="10"/>
  <c r="C685" i="10"/>
  <c r="B685" i="10"/>
  <c r="A685" i="10"/>
  <c r="K684" i="10"/>
  <c r="J684" i="10"/>
  <c r="I684" i="10"/>
  <c r="H684" i="10"/>
  <c r="G684" i="10"/>
  <c r="F684" i="10"/>
  <c r="E684" i="10"/>
  <c r="D684" i="10"/>
  <c r="C684" i="10"/>
  <c r="B684" i="10"/>
  <c r="A684" i="10"/>
  <c r="K683" i="10"/>
  <c r="I683" i="10"/>
  <c r="H683" i="10"/>
  <c r="G683" i="10"/>
  <c r="F683" i="10"/>
  <c r="E683" i="10"/>
  <c r="D683" i="10"/>
  <c r="C683" i="10"/>
  <c r="B683" i="10"/>
  <c r="A683" i="10"/>
  <c r="K682" i="10"/>
  <c r="J682" i="10"/>
  <c r="I682" i="10"/>
  <c r="H682" i="10"/>
  <c r="G682" i="10"/>
  <c r="F682" i="10"/>
  <c r="E682" i="10"/>
  <c r="D682" i="10"/>
  <c r="C682" i="10"/>
  <c r="B682" i="10"/>
  <c r="A682" i="10"/>
  <c r="K681" i="10"/>
  <c r="J681" i="10"/>
  <c r="I681" i="10"/>
  <c r="H681" i="10"/>
  <c r="G681" i="10"/>
  <c r="F681" i="10"/>
  <c r="E681" i="10"/>
  <c r="D681" i="10"/>
  <c r="C681" i="10"/>
  <c r="B681" i="10"/>
  <c r="A681" i="10"/>
  <c r="K680" i="10"/>
  <c r="I680" i="10"/>
  <c r="H680" i="10"/>
  <c r="G680" i="10"/>
  <c r="F680" i="10"/>
  <c r="E680" i="10"/>
  <c r="D680" i="10"/>
  <c r="C680" i="10"/>
  <c r="B680" i="10"/>
  <c r="A680" i="10"/>
  <c r="K679" i="10"/>
  <c r="J679" i="10"/>
  <c r="I679" i="10"/>
  <c r="H679" i="10"/>
  <c r="G679" i="10"/>
  <c r="F679" i="10"/>
  <c r="E679" i="10"/>
  <c r="D679" i="10"/>
  <c r="C679" i="10"/>
  <c r="B679" i="10"/>
  <c r="A679" i="10"/>
  <c r="K678" i="10"/>
  <c r="I678" i="10"/>
  <c r="H678" i="10"/>
  <c r="G678" i="10"/>
  <c r="F678" i="10"/>
  <c r="E678" i="10"/>
  <c r="D678" i="10"/>
  <c r="C678" i="10"/>
  <c r="B678" i="10"/>
  <c r="A678" i="10"/>
  <c r="K677" i="10"/>
  <c r="J677" i="10"/>
  <c r="I677" i="10"/>
  <c r="H677" i="10"/>
  <c r="G677" i="10"/>
  <c r="F677" i="10"/>
  <c r="E677" i="10"/>
  <c r="D677" i="10"/>
  <c r="C677" i="10"/>
  <c r="B677" i="10"/>
  <c r="A677" i="10"/>
  <c r="K676" i="10"/>
  <c r="J676" i="10"/>
  <c r="I676" i="10"/>
  <c r="H676" i="10"/>
  <c r="G676" i="10"/>
  <c r="F676" i="10"/>
  <c r="E676" i="10"/>
  <c r="D676" i="10"/>
  <c r="C676" i="10"/>
  <c r="B676" i="10"/>
  <c r="A676" i="10"/>
  <c r="K675" i="10"/>
  <c r="J675" i="10"/>
  <c r="I675" i="10"/>
  <c r="H675" i="10"/>
  <c r="G675" i="10"/>
  <c r="F675" i="10"/>
  <c r="E675" i="10"/>
  <c r="D675" i="10"/>
  <c r="C675" i="10"/>
  <c r="B675" i="10"/>
  <c r="A675" i="10"/>
  <c r="K674" i="10"/>
  <c r="J674" i="10"/>
  <c r="I674" i="10"/>
  <c r="H674" i="10"/>
  <c r="G674" i="10"/>
  <c r="F674" i="10"/>
  <c r="E674" i="10"/>
  <c r="D674" i="10"/>
  <c r="C674" i="10"/>
  <c r="B674" i="10"/>
  <c r="A674" i="10"/>
  <c r="K673" i="10"/>
  <c r="J673" i="10"/>
  <c r="I673" i="10"/>
  <c r="H673" i="10"/>
  <c r="G673" i="10"/>
  <c r="F673" i="10"/>
  <c r="E673" i="10"/>
  <c r="D673" i="10"/>
  <c r="C673" i="10"/>
  <c r="B673" i="10"/>
  <c r="A673" i="10"/>
  <c r="K672" i="10"/>
  <c r="J672" i="10"/>
  <c r="I672" i="10"/>
  <c r="H672" i="10"/>
  <c r="G672" i="10"/>
  <c r="F672" i="10"/>
  <c r="E672" i="10"/>
  <c r="D672" i="10"/>
  <c r="C672" i="10"/>
  <c r="B672" i="10"/>
  <c r="A672" i="10"/>
  <c r="K671" i="10"/>
  <c r="J671" i="10"/>
  <c r="I671" i="10"/>
  <c r="H671" i="10"/>
  <c r="G671" i="10"/>
  <c r="F671" i="10"/>
  <c r="E671" i="10"/>
  <c r="D671" i="10"/>
  <c r="C671" i="10"/>
  <c r="B671" i="10"/>
  <c r="A671" i="10"/>
  <c r="K670" i="10"/>
  <c r="J670" i="10"/>
  <c r="I670" i="10"/>
  <c r="H670" i="10"/>
  <c r="G670" i="10"/>
  <c r="F670" i="10"/>
  <c r="E670" i="10"/>
  <c r="D670" i="10"/>
  <c r="C670" i="10"/>
  <c r="B670" i="10"/>
  <c r="A670" i="10"/>
  <c r="K669" i="10"/>
  <c r="J669" i="10"/>
  <c r="I669" i="10"/>
  <c r="H669" i="10"/>
  <c r="G669" i="10"/>
  <c r="F669" i="10"/>
  <c r="E669" i="10"/>
  <c r="D669" i="10"/>
  <c r="C669" i="10"/>
  <c r="B669" i="10"/>
  <c r="A669" i="10"/>
  <c r="K668" i="10"/>
  <c r="I668" i="10"/>
  <c r="H668" i="10"/>
  <c r="G668" i="10"/>
  <c r="F668" i="10"/>
  <c r="E668" i="10"/>
  <c r="D668" i="10"/>
  <c r="C668" i="10"/>
  <c r="B668" i="10"/>
  <c r="A668" i="10"/>
  <c r="K667" i="10"/>
  <c r="J667" i="10"/>
  <c r="I667" i="10"/>
  <c r="H667" i="10"/>
  <c r="G667" i="10"/>
  <c r="F667" i="10"/>
  <c r="E667" i="10"/>
  <c r="D667" i="10"/>
  <c r="C667" i="10"/>
  <c r="B667" i="10"/>
  <c r="A667" i="10"/>
  <c r="K666" i="10"/>
  <c r="J666" i="10"/>
  <c r="I666" i="10"/>
  <c r="H666" i="10"/>
  <c r="G666" i="10"/>
  <c r="F666" i="10"/>
  <c r="E666" i="10"/>
  <c r="D666" i="10"/>
  <c r="C666" i="10"/>
  <c r="B666" i="10"/>
  <c r="A666" i="10"/>
  <c r="K665" i="10"/>
  <c r="J665" i="10"/>
  <c r="I665" i="10"/>
  <c r="H665" i="10"/>
  <c r="G665" i="10"/>
  <c r="F665" i="10"/>
  <c r="E665" i="10"/>
  <c r="D665" i="10"/>
  <c r="C665" i="10"/>
  <c r="B665" i="10"/>
  <c r="A665" i="10"/>
  <c r="K664" i="10"/>
  <c r="J664" i="10"/>
  <c r="I664" i="10"/>
  <c r="H664" i="10"/>
  <c r="G664" i="10"/>
  <c r="F664" i="10"/>
  <c r="E664" i="10"/>
  <c r="D664" i="10"/>
  <c r="C664" i="10"/>
  <c r="B664" i="10"/>
  <c r="A664" i="10"/>
  <c r="K663" i="10"/>
  <c r="J663" i="10"/>
  <c r="I663" i="10"/>
  <c r="H663" i="10"/>
  <c r="G663" i="10"/>
  <c r="F663" i="10"/>
  <c r="E663" i="10"/>
  <c r="D663" i="10"/>
  <c r="C663" i="10"/>
  <c r="B663" i="10"/>
  <c r="A663" i="10"/>
  <c r="K662" i="10"/>
  <c r="J662" i="10"/>
  <c r="I662" i="10"/>
  <c r="H662" i="10"/>
  <c r="G662" i="10"/>
  <c r="F662" i="10"/>
  <c r="E662" i="10"/>
  <c r="D662" i="10"/>
  <c r="C662" i="10"/>
  <c r="B662" i="10"/>
  <c r="A662" i="10"/>
  <c r="K661" i="10"/>
  <c r="J661" i="10"/>
  <c r="I661" i="10"/>
  <c r="H661" i="10"/>
  <c r="G661" i="10"/>
  <c r="F661" i="10"/>
  <c r="E661" i="10"/>
  <c r="D661" i="10"/>
  <c r="C661" i="10"/>
  <c r="B661" i="10"/>
  <c r="A661" i="10"/>
  <c r="K660" i="10"/>
  <c r="J660" i="10"/>
  <c r="I660" i="10"/>
  <c r="H660" i="10"/>
  <c r="G660" i="10"/>
  <c r="F660" i="10"/>
  <c r="E660" i="10"/>
  <c r="D660" i="10"/>
  <c r="C660" i="10"/>
  <c r="B660" i="10"/>
  <c r="A660" i="10"/>
  <c r="K659" i="10"/>
  <c r="J659" i="10"/>
  <c r="I659" i="10"/>
  <c r="H659" i="10"/>
  <c r="G659" i="10"/>
  <c r="F659" i="10"/>
  <c r="E659" i="10"/>
  <c r="D659" i="10"/>
  <c r="C659" i="10"/>
  <c r="B659" i="10"/>
  <c r="A659" i="10"/>
  <c r="K658" i="10"/>
  <c r="J658" i="10"/>
  <c r="I658" i="10"/>
  <c r="H658" i="10"/>
  <c r="G658" i="10"/>
  <c r="F658" i="10"/>
  <c r="E658" i="10"/>
  <c r="D658" i="10"/>
  <c r="C658" i="10"/>
  <c r="B658" i="10"/>
  <c r="A658" i="10"/>
  <c r="K657" i="10"/>
  <c r="J657" i="10"/>
  <c r="I657" i="10"/>
  <c r="H657" i="10"/>
  <c r="G657" i="10"/>
  <c r="F657" i="10"/>
  <c r="E657" i="10"/>
  <c r="D657" i="10"/>
  <c r="C657" i="10"/>
  <c r="B657" i="10"/>
  <c r="A657" i="10"/>
  <c r="K656" i="10"/>
  <c r="J656" i="10"/>
  <c r="I656" i="10"/>
  <c r="H656" i="10"/>
  <c r="G656" i="10"/>
  <c r="F656" i="10"/>
  <c r="E656" i="10"/>
  <c r="D656" i="10"/>
  <c r="C656" i="10"/>
  <c r="B656" i="10"/>
  <c r="A656" i="10"/>
  <c r="K655" i="10"/>
  <c r="J655" i="10"/>
  <c r="I655" i="10"/>
  <c r="H655" i="10"/>
  <c r="G655" i="10"/>
  <c r="F655" i="10"/>
  <c r="E655" i="10"/>
  <c r="D655" i="10"/>
  <c r="C655" i="10"/>
  <c r="B655" i="10"/>
  <c r="A655" i="10"/>
  <c r="K654" i="10"/>
  <c r="J654" i="10"/>
  <c r="I654" i="10"/>
  <c r="H654" i="10"/>
  <c r="G654" i="10"/>
  <c r="F654" i="10"/>
  <c r="E654" i="10"/>
  <c r="D654" i="10"/>
  <c r="C654" i="10"/>
  <c r="B654" i="10"/>
  <c r="A654" i="10"/>
  <c r="K653" i="10"/>
  <c r="J653" i="10"/>
  <c r="I653" i="10"/>
  <c r="H653" i="10"/>
  <c r="G653" i="10"/>
  <c r="F653" i="10"/>
  <c r="E653" i="10"/>
  <c r="D653" i="10"/>
  <c r="C653" i="10"/>
  <c r="B653" i="10"/>
  <c r="A653" i="10"/>
  <c r="K652" i="10"/>
  <c r="J652" i="10"/>
  <c r="I652" i="10"/>
  <c r="H652" i="10"/>
  <c r="G652" i="10"/>
  <c r="F652" i="10"/>
  <c r="E652" i="10"/>
  <c r="D652" i="10"/>
  <c r="C652" i="10"/>
  <c r="B652" i="10"/>
  <c r="A652" i="10"/>
  <c r="K651" i="10"/>
  <c r="J651" i="10"/>
  <c r="I651" i="10"/>
  <c r="H651" i="10"/>
  <c r="G651" i="10"/>
  <c r="F651" i="10"/>
  <c r="E651" i="10"/>
  <c r="D651" i="10"/>
  <c r="C651" i="10"/>
  <c r="B651" i="10"/>
  <c r="A651" i="10"/>
  <c r="K650" i="10"/>
  <c r="J650" i="10"/>
  <c r="I650" i="10"/>
  <c r="H650" i="10"/>
  <c r="G650" i="10"/>
  <c r="F650" i="10"/>
  <c r="E650" i="10"/>
  <c r="D650" i="10"/>
  <c r="C650" i="10"/>
  <c r="B650" i="10"/>
  <c r="A650" i="10"/>
  <c r="K649" i="10"/>
  <c r="J649" i="10"/>
  <c r="I649" i="10"/>
  <c r="H649" i="10"/>
  <c r="G649" i="10"/>
  <c r="F649" i="10"/>
  <c r="E649" i="10"/>
  <c r="D649" i="10"/>
  <c r="C649" i="10"/>
  <c r="B649" i="10"/>
  <c r="A649" i="10"/>
  <c r="K648" i="10"/>
  <c r="J648" i="10"/>
  <c r="I648" i="10"/>
  <c r="H648" i="10"/>
  <c r="G648" i="10"/>
  <c r="F648" i="10"/>
  <c r="E648" i="10"/>
  <c r="D648" i="10"/>
  <c r="C648" i="10"/>
  <c r="B648" i="10"/>
  <c r="A648" i="10"/>
  <c r="K647" i="10"/>
  <c r="I647" i="10"/>
  <c r="H647" i="10"/>
  <c r="G647" i="10"/>
  <c r="F647" i="10"/>
  <c r="E647" i="10"/>
  <c r="D647" i="10"/>
  <c r="C647" i="10"/>
  <c r="B647" i="10"/>
  <c r="A647" i="10"/>
  <c r="K646" i="10"/>
  <c r="J646" i="10"/>
  <c r="I646" i="10"/>
  <c r="H646" i="10"/>
  <c r="G646" i="10"/>
  <c r="F646" i="10"/>
  <c r="E646" i="10"/>
  <c r="D646" i="10"/>
  <c r="C646" i="10"/>
  <c r="B646" i="10"/>
  <c r="A646" i="10"/>
  <c r="K645" i="10"/>
  <c r="J645" i="10"/>
  <c r="I645" i="10"/>
  <c r="H645" i="10"/>
  <c r="G645" i="10"/>
  <c r="F645" i="10"/>
  <c r="E645" i="10"/>
  <c r="D645" i="10"/>
  <c r="C645" i="10"/>
  <c r="B645" i="10"/>
  <c r="A645" i="10"/>
  <c r="K644" i="10"/>
  <c r="J644" i="10"/>
  <c r="I644" i="10"/>
  <c r="H644" i="10"/>
  <c r="G644" i="10"/>
  <c r="F644" i="10"/>
  <c r="E644" i="10"/>
  <c r="D644" i="10"/>
  <c r="C644" i="10"/>
  <c r="B644" i="10"/>
  <c r="A644" i="10"/>
  <c r="K643" i="10"/>
  <c r="J643" i="10"/>
  <c r="I643" i="10"/>
  <c r="H643" i="10"/>
  <c r="G643" i="10"/>
  <c r="F643" i="10"/>
  <c r="E643" i="10"/>
  <c r="D643" i="10"/>
  <c r="C643" i="10"/>
  <c r="B643" i="10"/>
  <c r="A643" i="10"/>
  <c r="K642" i="10"/>
  <c r="J642" i="10"/>
  <c r="I642" i="10"/>
  <c r="H642" i="10"/>
  <c r="G642" i="10"/>
  <c r="F642" i="10"/>
  <c r="E642" i="10"/>
  <c r="D642" i="10"/>
  <c r="C642" i="10"/>
  <c r="B642" i="10"/>
  <c r="A642" i="10"/>
  <c r="K641" i="10"/>
  <c r="J641" i="10"/>
  <c r="I641" i="10"/>
  <c r="H641" i="10"/>
  <c r="G641" i="10"/>
  <c r="F641" i="10"/>
  <c r="E641" i="10"/>
  <c r="D641" i="10"/>
  <c r="C641" i="10"/>
  <c r="B641" i="10"/>
  <c r="A641" i="10"/>
  <c r="K640" i="10"/>
  <c r="J640" i="10"/>
  <c r="I640" i="10"/>
  <c r="H640" i="10"/>
  <c r="G640" i="10"/>
  <c r="F640" i="10"/>
  <c r="E640" i="10"/>
  <c r="D640" i="10"/>
  <c r="C640" i="10"/>
  <c r="B640" i="10"/>
  <c r="A640" i="10"/>
  <c r="K639" i="10"/>
  <c r="J639" i="10"/>
  <c r="I639" i="10"/>
  <c r="H639" i="10"/>
  <c r="G639" i="10"/>
  <c r="F639" i="10"/>
  <c r="E639" i="10"/>
  <c r="D639" i="10"/>
  <c r="C639" i="10"/>
  <c r="B639" i="10"/>
  <c r="A639" i="10"/>
  <c r="K638" i="10"/>
  <c r="J638" i="10"/>
  <c r="I638" i="10"/>
  <c r="H638" i="10"/>
  <c r="G638" i="10"/>
  <c r="F638" i="10"/>
  <c r="E638" i="10"/>
  <c r="D638" i="10"/>
  <c r="C638" i="10"/>
  <c r="B638" i="10"/>
  <c r="A638" i="10"/>
  <c r="K637" i="10"/>
  <c r="J637" i="10"/>
  <c r="I637" i="10"/>
  <c r="H637" i="10"/>
  <c r="G637" i="10"/>
  <c r="F637" i="10"/>
  <c r="E637" i="10"/>
  <c r="D637" i="10"/>
  <c r="C637" i="10"/>
  <c r="B637" i="10"/>
  <c r="A637" i="10"/>
  <c r="K636" i="10"/>
  <c r="J636" i="10"/>
  <c r="I636" i="10"/>
  <c r="H636" i="10"/>
  <c r="G636" i="10"/>
  <c r="F636" i="10"/>
  <c r="E636" i="10"/>
  <c r="D636" i="10"/>
  <c r="C636" i="10"/>
  <c r="B636" i="10"/>
  <c r="A636" i="10"/>
  <c r="K635" i="10"/>
  <c r="J635" i="10"/>
  <c r="I635" i="10"/>
  <c r="H635" i="10"/>
  <c r="G635" i="10"/>
  <c r="F635" i="10"/>
  <c r="E635" i="10"/>
  <c r="D635" i="10"/>
  <c r="C635" i="10"/>
  <c r="B635" i="10"/>
  <c r="A635" i="10"/>
  <c r="K634" i="10"/>
  <c r="J634" i="10"/>
  <c r="I634" i="10"/>
  <c r="H634" i="10"/>
  <c r="G634" i="10"/>
  <c r="F634" i="10"/>
  <c r="E634" i="10"/>
  <c r="D634" i="10"/>
  <c r="C634" i="10"/>
  <c r="B634" i="10"/>
  <c r="A634" i="10"/>
  <c r="K633" i="10"/>
  <c r="J633" i="10"/>
  <c r="I633" i="10"/>
  <c r="H633" i="10"/>
  <c r="G633" i="10"/>
  <c r="F633" i="10"/>
  <c r="E633" i="10"/>
  <c r="D633" i="10"/>
  <c r="C633" i="10"/>
  <c r="B633" i="10"/>
  <c r="A633" i="10"/>
  <c r="K632" i="10"/>
  <c r="J632" i="10"/>
  <c r="I632" i="10"/>
  <c r="H632" i="10"/>
  <c r="G632" i="10"/>
  <c r="F632" i="10"/>
  <c r="E632" i="10"/>
  <c r="D632" i="10"/>
  <c r="C632" i="10"/>
  <c r="B632" i="10"/>
  <c r="A632" i="10"/>
  <c r="K631" i="10"/>
  <c r="I631" i="10"/>
  <c r="H631" i="10"/>
  <c r="G631" i="10"/>
  <c r="F631" i="10"/>
  <c r="E631" i="10"/>
  <c r="D631" i="10"/>
  <c r="C631" i="10"/>
  <c r="B631" i="10"/>
  <c r="A631" i="10"/>
  <c r="K630" i="10"/>
  <c r="J630" i="10"/>
  <c r="I630" i="10"/>
  <c r="H630" i="10"/>
  <c r="G630" i="10"/>
  <c r="F630" i="10"/>
  <c r="E630" i="10"/>
  <c r="D630" i="10"/>
  <c r="C630" i="10"/>
  <c r="B630" i="10"/>
  <c r="A630" i="10"/>
  <c r="K629" i="10"/>
  <c r="I629" i="10"/>
  <c r="H629" i="10"/>
  <c r="G629" i="10"/>
  <c r="F629" i="10"/>
  <c r="E629" i="10"/>
  <c r="D629" i="10"/>
  <c r="C629" i="10"/>
  <c r="B629" i="10"/>
  <c r="A629" i="10"/>
  <c r="K628" i="10"/>
  <c r="J628" i="10"/>
  <c r="I628" i="10"/>
  <c r="H628" i="10"/>
  <c r="G628" i="10"/>
  <c r="F628" i="10"/>
  <c r="E628" i="10"/>
  <c r="D628" i="10"/>
  <c r="C628" i="10"/>
  <c r="B628" i="10"/>
  <c r="A628" i="10"/>
  <c r="K627" i="10"/>
  <c r="J627" i="10"/>
  <c r="I627" i="10"/>
  <c r="H627" i="10"/>
  <c r="G627" i="10"/>
  <c r="F627" i="10"/>
  <c r="C627" i="10"/>
  <c r="B627" i="10"/>
  <c r="A627" i="10"/>
  <c r="K626" i="10"/>
  <c r="J626" i="10"/>
  <c r="I626" i="10"/>
  <c r="H626" i="10"/>
  <c r="G626" i="10"/>
  <c r="F626" i="10"/>
  <c r="E626" i="10"/>
  <c r="D626" i="10"/>
  <c r="C626" i="10"/>
  <c r="B626" i="10"/>
  <c r="A626" i="10"/>
  <c r="K625" i="10"/>
  <c r="J625" i="10"/>
  <c r="I625" i="10"/>
  <c r="H625" i="10"/>
  <c r="G625" i="10"/>
  <c r="F625" i="10"/>
  <c r="E625" i="10"/>
  <c r="D625" i="10"/>
  <c r="C625" i="10"/>
  <c r="B625" i="10"/>
  <c r="A625" i="10"/>
  <c r="K624" i="10"/>
  <c r="J624" i="10"/>
  <c r="I624" i="10"/>
  <c r="H624" i="10"/>
  <c r="G624" i="10"/>
  <c r="F624" i="10"/>
  <c r="E624" i="10"/>
  <c r="D624" i="10"/>
  <c r="C624" i="10"/>
  <c r="B624" i="10"/>
  <c r="A624" i="10"/>
  <c r="K623" i="10"/>
  <c r="J623" i="10"/>
  <c r="I623" i="10"/>
  <c r="H623" i="10"/>
  <c r="G623" i="10"/>
  <c r="F623" i="10"/>
  <c r="E623" i="10"/>
  <c r="D623" i="10"/>
  <c r="C623" i="10"/>
  <c r="B623" i="10"/>
  <c r="A623" i="10"/>
  <c r="K622" i="10"/>
  <c r="J622" i="10"/>
  <c r="I622" i="10"/>
  <c r="H622" i="10"/>
  <c r="G622" i="10"/>
  <c r="F622" i="10"/>
  <c r="E622" i="10"/>
  <c r="D622" i="10"/>
  <c r="C622" i="10"/>
  <c r="B622" i="10"/>
  <c r="A622" i="10"/>
  <c r="K621" i="10"/>
  <c r="J621" i="10"/>
  <c r="I621" i="10"/>
  <c r="H621" i="10"/>
  <c r="G621" i="10"/>
  <c r="F621" i="10"/>
  <c r="E621" i="10"/>
  <c r="D621" i="10"/>
  <c r="C621" i="10"/>
  <c r="B621" i="10"/>
  <c r="A621" i="10"/>
  <c r="K620" i="10"/>
  <c r="J620" i="10"/>
  <c r="I620" i="10"/>
  <c r="H620" i="10"/>
  <c r="G620" i="10"/>
  <c r="F620" i="10"/>
  <c r="E620" i="10"/>
  <c r="D620" i="10"/>
  <c r="C620" i="10"/>
  <c r="B620" i="10"/>
  <c r="A620" i="10"/>
  <c r="K619" i="10"/>
  <c r="J619" i="10"/>
  <c r="I619" i="10"/>
  <c r="H619" i="10"/>
  <c r="G619" i="10"/>
  <c r="F619" i="10"/>
  <c r="E619" i="10"/>
  <c r="D619" i="10"/>
  <c r="C619" i="10"/>
  <c r="B619" i="10"/>
  <c r="A619" i="10"/>
  <c r="K618" i="10"/>
  <c r="J618" i="10"/>
  <c r="I618" i="10"/>
  <c r="H618" i="10"/>
  <c r="G618" i="10"/>
  <c r="F618" i="10"/>
  <c r="E618" i="10"/>
  <c r="D618" i="10"/>
  <c r="C618" i="10"/>
  <c r="B618" i="10"/>
  <c r="A618" i="10"/>
  <c r="K617" i="10"/>
  <c r="J617" i="10"/>
  <c r="I617" i="10"/>
  <c r="H617" i="10"/>
  <c r="G617" i="10"/>
  <c r="F617" i="10"/>
  <c r="E617" i="10"/>
  <c r="D617" i="10"/>
  <c r="C617" i="10"/>
  <c r="B617" i="10"/>
  <c r="A617" i="10"/>
  <c r="K616" i="10"/>
  <c r="J616" i="10"/>
  <c r="I616" i="10"/>
  <c r="H616" i="10"/>
  <c r="G616" i="10"/>
  <c r="F616" i="10"/>
  <c r="E616" i="10"/>
  <c r="D616" i="10"/>
  <c r="C616" i="10"/>
  <c r="B616" i="10"/>
  <c r="A616" i="10"/>
  <c r="K615" i="10"/>
  <c r="J615" i="10"/>
  <c r="I615" i="10"/>
  <c r="H615" i="10"/>
  <c r="G615" i="10"/>
  <c r="F615" i="10"/>
  <c r="E615" i="10"/>
  <c r="D615" i="10"/>
  <c r="C615" i="10"/>
  <c r="B615" i="10"/>
  <c r="A615" i="10"/>
  <c r="K614" i="10"/>
  <c r="J614" i="10"/>
  <c r="I614" i="10"/>
  <c r="H614" i="10"/>
  <c r="G614" i="10"/>
  <c r="F614" i="10"/>
  <c r="E614" i="10"/>
  <c r="D614" i="10"/>
  <c r="C614" i="10"/>
  <c r="B614" i="10"/>
  <c r="A614" i="10"/>
  <c r="K613" i="10"/>
  <c r="J613" i="10"/>
  <c r="I613" i="10"/>
  <c r="H613" i="10"/>
  <c r="G613" i="10"/>
  <c r="F613" i="10"/>
  <c r="E613" i="10"/>
  <c r="D613" i="10"/>
  <c r="C613" i="10"/>
  <c r="B613" i="10"/>
  <c r="A613" i="10"/>
  <c r="K612" i="10"/>
  <c r="J612" i="10"/>
  <c r="I612" i="10"/>
  <c r="H612" i="10"/>
  <c r="G612" i="10"/>
  <c r="F612" i="10"/>
  <c r="E612" i="10"/>
  <c r="D612" i="10"/>
  <c r="C612" i="10"/>
  <c r="B612" i="10"/>
  <c r="A612" i="10"/>
  <c r="K611" i="10"/>
  <c r="J611" i="10"/>
  <c r="I611" i="10"/>
  <c r="H611" i="10"/>
  <c r="G611" i="10"/>
  <c r="F611" i="10"/>
  <c r="E611" i="10"/>
  <c r="D611" i="10"/>
  <c r="C611" i="10"/>
  <c r="B611" i="10"/>
  <c r="A611" i="10"/>
  <c r="K610" i="10"/>
  <c r="J610" i="10"/>
  <c r="I610" i="10"/>
  <c r="H610" i="10"/>
  <c r="G610" i="10"/>
  <c r="F610" i="10"/>
  <c r="E610" i="10"/>
  <c r="D610" i="10"/>
  <c r="C610" i="10"/>
  <c r="B610" i="10"/>
  <c r="A610" i="10"/>
  <c r="K609" i="10"/>
  <c r="J609" i="10"/>
  <c r="I609" i="10"/>
  <c r="H609" i="10"/>
  <c r="G609" i="10"/>
  <c r="F609" i="10"/>
  <c r="E609" i="10"/>
  <c r="D609" i="10"/>
  <c r="C609" i="10"/>
  <c r="B609" i="10"/>
  <c r="A609" i="10"/>
  <c r="K608" i="10"/>
  <c r="J608" i="10"/>
  <c r="I608" i="10"/>
  <c r="H608" i="10"/>
  <c r="G608" i="10"/>
  <c r="F608" i="10"/>
  <c r="E608" i="10"/>
  <c r="D608" i="10"/>
  <c r="C608" i="10"/>
  <c r="B608" i="10"/>
  <c r="A608" i="10"/>
  <c r="K607" i="10"/>
  <c r="J607" i="10"/>
  <c r="I607" i="10"/>
  <c r="H607" i="10"/>
  <c r="G607" i="10"/>
  <c r="F607" i="10"/>
  <c r="E607" i="10"/>
  <c r="D607" i="10"/>
  <c r="C607" i="10"/>
  <c r="B607" i="10"/>
  <c r="A607" i="10"/>
  <c r="K606" i="10"/>
  <c r="J606" i="10"/>
  <c r="I606" i="10"/>
  <c r="H606" i="10"/>
  <c r="G606" i="10"/>
  <c r="F606" i="10"/>
  <c r="E606" i="10"/>
  <c r="D606" i="10"/>
  <c r="C606" i="10"/>
  <c r="B606" i="10"/>
  <c r="A606" i="10"/>
  <c r="K605" i="10"/>
  <c r="J605" i="10"/>
  <c r="I605" i="10"/>
  <c r="H605" i="10"/>
  <c r="G605" i="10"/>
  <c r="F605" i="10"/>
  <c r="E605" i="10"/>
  <c r="D605" i="10"/>
  <c r="C605" i="10"/>
  <c r="B605" i="10"/>
  <c r="A605" i="10"/>
  <c r="K604" i="10"/>
  <c r="J604" i="10"/>
  <c r="I604" i="10"/>
  <c r="H604" i="10"/>
  <c r="G604" i="10"/>
  <c r="F604" i="10"/>
  <c r="E604" i="10"/>
  <c r="D604" i="10"/>
  <c r="C604" i="10"/>
  <c r="B604" i="10"/>
  <c r="A604" i="10"/>
  <c r="K603" i="10"/>
  <c r="J603" i="10"/>
  <c r="I603" i="10"/>
  <c r="H603" i="10"/>
  <c r="G603" i="10"/>
  <c r="F603" i="10"/>
  <c r="E603" i="10"/>
  <c r="D603" i="10"/>
  <c r="C603" i="10"/>
  <c r="B603" i="10"/>
  <c r="A603" i="10"/>
  <c r="K602" i="10"/>
  <c r="J602" i="10"/>
  <c r="I602" i="10"/>
  <c r="H602" i="10"/>
  <c r="G602" i="10"/>
  <c r="F602" i="10"/>
  <c r="E602" i="10"/>
  <c r="D602" i="10"/>
  <c r="C602" i="10"/>
  <c r="B602" i="10"/>
  <c r="A602" i="10"/>
  <c r="K601" i="10"/>
  <c r="J601" i="10"/>
  <c r="I601" i="10"/>
  <c r="H601" i="10"/>
  <c r="G601" i="10"/>
  <c r="F601" i="10"/>
  <c r="E601" i="10"/>
  <c r="D601" i="10"/>
  <c r="C601" i="10"/>
  <c r="B601" i="10"/>
  <c r="A601" i="10"/>
  <c r="K600" i="10"/>
  <c r="J600" i="10"/>
  <c r="I600" i="10"/>
  <c r="H600" i="10"/>
  <c r="G600" i="10"/>
  <c r="F600" i="10"/>
  <c r="C600" i="10"/>
  <c r="B600" i="10"/>
  <c r="A600" i="10"/>
  <c r="K599" i="10"/>
  <c r="J599" i="10"/>
  <c r="I599" i="10"/>
  <c r="H599" i="10"/>
  <c r="G599" i="10"/>
  <c r="F599" i="10"/>
  <c r="E599" i="10"/>
  <c r="D599" i="10"/>
  <c r="C599" i="10"/>
  <c r="B599" i="10"/>
  <c r="A599" i="10"/>
  <c r="K598" i="10"/>
  <c r="J598" i="10"/>
  <c r="I598" i="10"/>
  <c r="H598" i="10"/>
  <c r="G598" i="10"/>
  <c r="F598" i="10"/>
  <c r="C598" i="10"/>
  <c r="B598" i="10"/>
  <c r="A598" i="10"/>
  <c r="K597" i="10"/>
  <c r="J597" i="10"/>
  <c r="I597" i="10"/>
  <c r="H597" i="10"/>
  <c r="G597" i="10"/>
  <c r="F597" i="10"/>
  <c r="E597" i="10"/>
  <c r="D597" i="10"/>
  <c r="C597" i="10"/>
  <c r="B597" i="10"/>
  <c r="A597" i="10"/>
  <c r="K596" i="10"/>
  <c r="J596" i="10"/>
  <c r="I596" i="10"/>
  <c r="H596" i="10"/>
  <c r="G596" i="10"/>
  <c r="F596" i="10"/>
  <c r="C596" i="10"/>
  <c r="B596" i="10"/>
  <c r="A596" i="10"/>
  <c r="K595" i="10"/>
  <c r="J595" i="10"/>
  <c r="I595" i="10"/>
  <c r="H595" i="10"/>
  <c r="G595" i="10"/>
  <c r="F595" i="10"/>
  <c r="E595" i="10"/>
  <c r="D595" i="10"/>
  <c r="C595" i="10"/>
  <c r="B595" i="10"/>
  <c r="A595" i="10"/>
  <c r="K594" i="10"/>
  <c r="J594" i="10"/>
  <c r="I594" i="10"/>
  <c r="H594" i="10"/>
  <c r="G594" i="10"/>
  <c r="F594" i="10"/>
  <c r="E594" i="10"/>
  <c r="D594" i="10"/>
  <c r="C594" i="10"/>
  <c r="B594" i="10"/>
  <c r="A594" i="10"/>
  <c r="K593" i="10"/>
  <c r="J593" i="10"/>
  <c r="I593" i="10"/>
  <c r="H593" i="10"/>
  <c r="G593" i="10"/>
  <c r="F593" i="10"/>
  <c r="E593" i="10"/>
  <c r="D593" i="10"/>
  <c r="C593" i="10"/>
  <c r="B593" i="10"/>
  <c r="A593" i="10"/>
  <c r="K592" i="10"/>
  <c r="J592" i="10"/>
  <c r="I592" i="10"/>
  <c r="H592" i="10"/>
  <c r="G592" i="10"/>
  <c r="F592" i="10"/>
  <c r="E592" i="10"/>
  <c r="D592" i="10"/>
  <c r="C592" i="10"/>
  <c r="B592" i="10"/>
  <c r="A592" i="10"/>
  <c r="K591" i="10"/>
  <c r="J591" i="10"/>
  <c r="I591" i="10"/>
  <c r="H591" i="10"/>
  <c r="G591" i="10"/>
  <c r="F591" i="10"/>
  <c r="E591" i="10"/>
  <c r="D591" i="10"/>
  <c r="C591" i="10"/>
  <c r="B591" i="10"/>
  <c r="A591" i="10"/>
  <c r="K590" i="10"/>
  <c r="J590" i="10"/>
  <c r="I590" i="10"/>
  <c r="H590" i="10"/>
  <c r="G590" i="10"/>
  <c r="F590" i="10"/>
  <c r="E590" i="10"/>
  <c r="D590" i="10"/>
  <c r="C590" i="10"/>
  <c r="B590" i="10"/>
  <c r="A590" i="10"/>
  <c r="K589" i="10"/>
  <c r="J589" i="10"/>
  <c r="I589" i="10"/>
  <c r="H589" i="10"/>
  <c r="G589" i="10"/>
  <c r="F589" i="10"/>
  <c r="E589" i="10"/>
  <c r="D589" i="10"/>
  <c r="C589" i="10"/>
  <c r="B589" i="10"/>
  <c r="A589" i="10"/>
  <c r="K588" i="10"/>
  <c r="J588" i="10"/>
  <c r="I588" i="10"/>
  <c r="H588" i="10"/>
  <c r="G588" i="10"/>
  <c r="F588" i="10"/>
  <c r="E588" i="10"/>
  <c r="D588" i="10"/>
  <c r="C588" i="10"/>
  <c r="B588" i="10"/>
  <c r="A588" i="10"/>
  <c r="K587" i="10"/>
  <c r="J587" i="10"/>
  <c r="I587" i="10"/>
  <c r="H587" i="10"/>
  <c r="G587" i="10"/>
  <c r="F587" i="10"/>
  <c r="E587" i="10"/>
  <c r="D587" i="10"/>
  <c r="C587" i="10"/>
  <c r="B587" i="10"/>
  <c r="A587" i="10"/>
  <c r="K586" i="10"/>
  <c r="J586" i="10"/>
  <c r="I586" i="10"/>
  <c r="H586" i="10"/>
  <c r="G586" i="10"/>
  <c r="F586" i="10"/>
  <c r="E586" i="10"/>
  <c r="D586" i="10"/>
  <c r="C586" i="10"/>
  <c r="B586" i="10"/>
  <c r="A586" i="10"/>
  <c r="K585" i="10"/>
  <c r="J585" i="10"/>
  <c r="I585" i="10"/>
  <c r="H585" i="10"/>
  <c r="G585" i="10"/>
  <c r="F585" i="10"/>
  <c r="E585" i="10"/>
  <c r="D585" i="10"/>
  <c r="C585" i="10"/>
  <c r="B585" i="10"/>
  <c r="A585" i="10"/>
  <c r="K584" i="10"/>
  <c r="J584" i="10"/>
  <c r="I584" i="10"/>
  <c r="H584" i="10"/>
  <c r="G584" i="10"/>
  <c r="F584" i="10"/>
  <c r="C584" i="10"/>
  <c r="B584" i="10"/>
  <c r="A584" i="10"/>
  <c r="K583" i="10"/>
  <c r="J583" i="10"/>
  <c r="I583" i="10"/>
  <c r="H583" i="10"/>
  <c r="G583" i="10"/>
  <c r="F583" i="10"/>
  <c r="E583" i="10"/>
  <c r="D583" i="10"/>
  <c r="C583" i="10"/>
  <c r="B583" i="10"/>
  <c r="A583" i="10"/>
  <c r="K582" i="10"/>
  <c r="J582" i="10"/>
  <c r="I582" i="10"/>
  <c r="H582" i="10"/>
  <c r="G582" i="10"/>
  <c r="F582" i="10"/>
  <c r="E582" i="10"/>
  <c r="D582" i="10"/>
  <c r="C582" i="10"/>
  <c r="B582" i="10"/>
  <c r="A582" i="10"/>
  <c r="K581" i="10"/>
  <c r="J581" i="10"/>
  <c r="I581" i="10"/>
  <c r="H581" i="10"/>
  <c r="G581" i="10"/>
  <c r="F581" i="10"/>
  <c r="E581" i="10"/>
  <c r="D581" i="10"/>
  <c r="C581" i="10"/>
  <c r="B581" i="10"/>
  <c r="A581" i="10"/>
  <c r="K580" i="10"/>
  <c r="J580" i="10"/>
  <c r="I580" i="10"/>
  <c r="H580" i="10"/>
  <c r="G580" i="10"/>
  <c r="F580" i="10"/>
  <c r="E580" i="10"/>
  <c r="D580" i="10"/>
  <c r="C580" i="10"/>
  <c r="B580" i="10"/>
  <c r="A580" i="10"/>
  <c r="K579" i="10"/>
  <c r="J579" i="10"/>
  <c r="I579" i="10"/>
  <c r="H579" i="10"/>
  <c r="G579" i="10"/>
  <c r="F579" i="10"/>
  <c r="E579" i="10"/>
  <c r="D579" i="10"/>
  <c r="C579" i="10"/>
  <c r="B579" i="10"/>
  <c r="A579" i="10"/>
  <c r="K578" i="10"/>
  <c r="J578" i="10"/>
  <c r="I578" i="10"/>
  <c r="H578" i="10"/>
  <c r="G578" i="10"/>
  <c r="F578" i="10"/>
  <c r="E578" i="10"/>
  <c r="D578" i="10"/>
  <c r="C578" i="10"/>
  <c r="B578" i="10"/>
  <c r="A578" i="10"/>
  <c r="K577" i="10"/>
  <c r="J577" i="10"/>
  <c r="I577" i="10"/>
  <c r="H577" i="10"/>
  <c r="G577" i="10"/>
  <c r="F577" i="10"/>
  <c r="C577" i="10"/>
  <c r="B577" i="10"/>
  <c r="A577" i="10"/>
  <c r="K576" i="10"/>
  <c r="J576" i="10"/>
  <c r="I576" i="10"/>
  <c r="H576" i="10"/>
  <c r="G576" i="10"/>
  <c r="F576" i="10"/>
  <c r="E576" i="10"/>
  <c r="D576" i="10"/>
  <c r="C576" i="10"/>
  <c r="B576" i="10"/>
  <c r="A576" i="10"/>
  <c r="K575" i="10"/>
  <c r="J575" i="10"/>
  <c r="I575" i="10"/>
  <c r="H575" i="10"/>
  <c r="G575" i="10"/>
  <c r="F575" i="10"/>
  <c r="E575" i="10"/>
  <c r="D575" i="10"/>
  <c r="C575" i="10"/>
  <c r="B575" i="10"/>
  <c r="A575" i="10"/>
  <c r="K574" i="10"/>
  <c r="J574" i="10"/>
  <c r="I574" i="10"/>
  <c r="H574" i="10"/>
  <c r="G574" i="10"/>
  <c r="F574" i="10"/>
  <c r="E574" i="10"/>
  <c r="D574" i="10"/>
  <c r="C574" i="10"/>
  <c r="B574" i="10"/>
  <c r="A574" i="10"/>
  <c r="K573" i="10"/>
  <c r="J573" i="10"/>
  <c r="I573" i="10"/>
  <c r="H573" i="10"/>
  <c r="G573" i="10"/>
  <c r="F573" i="10"/>
  <c r="E573" i="10"/>
  <c r="D573" i="10"/>
  <c r="C573" i="10"/>
  <c r="B573" i="10"/>
  <c r="A573" i="10"/>
  <c r="K572" i="10"/>
  <c r="J572" i="10"/>
  <c r="I572" i="10"/>
  <c r="H572" i="10"/>
  <c r="G572" i="10"/>
  <c r="F572" i="10"/>
  <c r="E572" i="10"/>
  <c r="D572" i="10"/>
  <c r="C572" i="10"/>
  <c r="B572" i="10"/>
  <c r="A572" i="10"/>
  <c r="K571" i="10"/>
  <c r="J571" i="10"/>
  <c r="I571" i="10"/>
  <c r="H571" i="10"/>
  <c r="G571" i="10"/>
  <c r="F571" i="10"/>
  <c r="E571" i="10"/>
  <c r="D571" i="10"/>
  <c r="C571" i="10"/>
  <c r="B571" i="10"/>
  <c r="A571" i="10"/>
  <c r="K570" i="10"/>
  <c r="J570" i="10"/>
  <c r="I570" i="10"/>
  <c r="H570" i="10"/>
  <c r="G570" i="10"/>
  <c r="F570" i="10"/>
  <c r="E570" i="10"/>
  <c r="D570" i="10"/>
  <c r="C570" i="10"/>
  <c r="B570" i="10"/>
  <c r="A570" i="10"/>
  <c r="K569" i="10"/>
  <c r="J569" i="10"/>
  <c r="I569" i="10"/>
  <c r="H569" i="10"/>
  <c r="G569" i="10"/>
  <c r="F569" i="10"/>
  <c r="E569" i="10"/>
  <c r="D569" i="10"/>
  <c r="C569" i="10"/>
  <c r="B569" i="10"/>
  <c r="A569" i="10"/>
  <c r="K568" i="10"/>
  <c r="J568" i="10"/>
  <c r="I568" i="10"/>
  <c r="H568" i="10"/>
  <c r="G568" i="10"/>
  <c r="F568" i="10"/>
  <c r="E568" i="10"/>
  <c r="D568" i="10"/>
  <c r="C568" i="10"/>
  <c r="B568" i="10"/>
  <c r="A568" i="10"/>
  <c r="K567" i="10"/>
  <c r="J567" i="10"/>
  <c r="I567" i="10"/>
  <c r="H567" i="10"/>
  <c r="G567" i="10"/>
  <c r="F567" i="10"/>
  <c r="E567" i="10"/>
  <c r="D567" i="10"/>
  <c r="C567" i="10"/>
  <c r="B567" i="10"/>
  <c r="A567" i="10"/>
  <c r="K566" i="10"/>
  <c r="J566" i="10"/>
  <c r="I566" i="10"/>
  <c r="H566" i="10"/>
  <c r="G566" i="10"/>
  <c r="F566" i="10"/>
  <c r="E566" i="10"/>
  <c r="D566" i="10"/>
  <c r="C566" i="10"/>
  <c r="B566" i="10"/>
  <c r="A566" i="10"/>
  <c r="K565" i="10"/>
  <c r="J565" i="10"/>
  <c r="I565" i="10"/>
  <c r="H565" i="10"/>
  <c r="G565" i="10"/>
  <c r="F565" i="10"/>
  <c r="E565" i="10"/>
  <c r="D565" i="10"/>
  <c r="C565" i="10"/>
  <c r="B565" i="10"/>
  <c r="A565" i="10"/>
  <c r="K564" i="10"/>
  <c r="I564" i="10"/>
  <c r="H564" i="10"/>
  <c r="G564" i="10"/>
  <c r="F564" i="10"/>
  <c r="E564" i="10"/>
  <c r="D564" i="10"/>
  <c r="C564" i="10"/>
  <c r="B564" i="10"/>
  <c r="A564" i="10"/>
  <c r="K563" i="10"/>
  <c r="J563" i="10"/>
  <c r="I563" i="10"/>
  <c r="H563" i="10"/>
  <c r="G563" i="10"/>
  <c r="F563" i="10"/>
  <c r="E563" i="10"/>
  <c r="D563" i="10"/>
  <c r="C563" i="10"/>
  <c r="B563" i="10"/>
  <c r="A563" i="10"/>
  <c r="K562" i="10"/>
  <c r="J562" i="10"/>
  <c r="I562" i="10"/>
  <c r="H562" i="10"/>
  <c r="G562" i="10"/>
  <c r="F562" i="10"/>
  <c r="E562" i="10"/>
  <c r="D562" i="10"/>
  <c r="C562" i="10"/>
  <c r="B562" i="10"/>
  <c r="A562" i="10"/>
  <c r="K561" i="10"/>
  <c r="J561" i="10"/>
  <c r="I561" i="10"/>
  <c r="H561" i="10"/>
  <c r="G561" i="10"/>
  <c r="F561" i="10"/>
  <c r="E561" i="10"/>
  <c r="D561" i="10"/>
  <c r="C561" i="10"/>
  <c r="B561" i="10"/>
  <c r="A561" i="10"/>
  <c r="K560" i="10"/>
  <c r="J560" i="10"/>
  <c r="I560" i="10"/>
  <c r="H560" i="10"/>
  <c r="G560" i="10"/>
  <c r="F560" i="10"/>
  <c r="E560" i="10"/>
  <c r="D560" i="10"/>
  <c r="C560" i="10"/>
  <c r="B560" i="10"/>
  <c r="A560" i="10"/>
  <c r="K559" i="10"/>
  <c r="J559" i="10"/>
  <c r="I559" i="10"/>
  <c r="H559" i="10"/>
  <c r="G559" i="10"/>
  <c r="F559" i="10"/>
  <c r="E559" i="10"/>
  <c r="D559" i="10"/>
  <c r="C559" i="10"/>
  <c r="B559" i="10"/>
  <c r="A559" i="10"/>
  <c r="K558" i="10"/>
  <c r="J558" i="10"/>
  <c r="I558" i="10"/>
  <c r="H558" i="10"/>
  <c r="G558" i="10"/>
  <c r="F558" i="10"/>
  <c r="E558" i="10"/>
  <c r="D558" i="10"/>
  <c r="C558" i="10"/>
  <c r="B558" i="10"/>
  <c r="A558" i="10"/>
  <c r="K557" i="10"/>
  <c r="J557" i="10"/>
  <c r="I557" i="10"/>
  <c r="H557" i="10"/>
  <c r="G557" i="10"/>
  <c r="F557" i="10"/>
  <c r="E557" i="10"/>
  <c r="D557" i="10"/>
  <c r="C557" i="10"/>
  <c r="B557" i="10"/>
  <c r="A557" i="10"/>
  <c r="K556" i="10"/>
  <c r="J556" i="10"/>
  <c r="I556" i="10"/>
  <c r="H556" i="10"/>
  <c r="G556" i="10"/>
  <c r="F556" i="10"/>
  <c r="E556" i="10"/>
  <c r="D556" i="10"/>
  <c r="C556" i="10"/>
  <c r="B556" i="10"/>
  <c r="A556" i="10"/>
  <c r="K555" i="10"/>
  <c r="J555" i="10"/>
  <c r="I555" i="10"/>
  <c r="H555" i="10"/>
  <c r="G555" i="10"/>
  <c r="F555" i="10"/>
  <c r="E555" i="10"/>
  <c r="D555" i="10"/>
  <c r="C555" i="10"/>
  <c r="B555" i="10"/>
  <c r="A555" i="10"/>
  <c r="K554" i="10"/>
  <c r="J554" i="10"/>
  <c r="I554" i="10"/>
  <c r="H554" i="10"/>
  <c r="G554" i="10"/>
  <c r="F554" i="10"/>
  <c r="E554" i="10"/>
  <c r="D554" i="10"/>
  <c r="C554" i="10"/>
  <c r="B554" i="10"/>
  <c r="A554" i="10"/>
  <c r="K553" i="10"/>
  <c r="J553" i="10"/>
  <c r="I553" i="10"/>
  <c r="H553" i="10"/>
  <c r="G553" i="10"/>
  <c r="F553" i="10"/>
  <c r="E553" i="10"/>
  <c r="D553" i="10"/>
  <c r="C553" i="10"/>
  <c r="B553" i="10"/>
  <c r="A553" i="10"/>
  <c r="K552" i="10"/>
  <c r="J552" i="10"/>
  <c r="I552" i="10"/>
  <c r="H552" i="10"/>
  <c r="G552" i="10"/>
  <c r="F552" i="10"/>
  <c r="E552" i="10"/>
  <c r="D552" i="10"/>
  <c r="C552" i="10"/>
  <c r="B552" i="10"/>
  <c r="A552" i="10"/>
  <c r="K551" i="10"/>
  <c r="J551" i="10"/>
  <c r="I551" i="10"/>
  <c r="H551" i="10"/>
  <c r="G551" i="10"/>
  <c r="F551" i="10"/>
  <c r="E551" i="10"/>
  <c r="D551" i="10"/>
  <c r="C551" i="10"/>
  <c r="B551" i="10"/>
  <c r="A551" i="10"/>
  <c r="K550" i="10"/>
  <c r="J550" i="10"/>
  <c r="I550" i="10"/>
  <c r="H550" i="10"/>
  <c r="G550" i="10"/>
  <c r="F550" i="10"/>
  <c r="E550" i="10"/>
  <c r="D550" i="10"/>
  <c r="C550" i="10"/>
  <c r="B550" i="10"/>
  <c r="A550" i="10"/>
  <c r="K549" i="10"/>
  <c r="J549" i="10"/>
  <c r="I549" i="10"/>
  <c r="H549" i="10"/>
  <c r="G549" i="10"/>
  <c r="F549" i="10"/>
  <c r="E549" i="10"/>
  <c r="D549" i="10"/>
  <c r="C549" i="10"/>
  <c r="B549" i="10"/>
  <c r="A549" i="10"/>
  <c r="K548" i="10"/>
  <c r="J548" i="10"/>
  <c r="I548" i="10"/>
  <c r="H548" i="10"/>
  <c r="G548" i="10"/>
  <c r="F548" i="10"/>
  <c r="E548" i="10"/>
  <c r="D548" i="10"/>
  <c r="C548" i="10"/>
  <c r="B548" i="10"/>
  <c r="A548" i="10"/>
  <c r="K547" i="10"/>
  <c r="J547" i="10"/>
  <c r="I547" i="10"/>
  <c r="H547" i="10"/>
  <c r="G547" i="10"/>
  <c r="F547" i="10"/>
  <c r="E547" i="10"/>
  <c r="D547" i="10"/>
  <c r="C547" i="10"/>
  <c r="B547" i="10"/>
  <c r="A547" i="10"/>
  <c r="K546" i="10"/>
  <c r="J546" i="10"/>
  <c r="I546" i="10"/>
  <c r="H546" i="10"/>
  <c r="G546" i="10"/>
  <c r="F546" i="10"/>
  <c r="E546" i="10"/>
  <c r="D546" i="10"/>
  <c r="C546" i="10"/>
  <c r="B546" i="10"/>
  <c r="A546" i="10"/>
  <c r="K545" i="10"/>
  <c r="J545" i="10"/>
  <c r="I545" i="10"/>
  <c r="H545" i="10"/>
  <c r="G545" i="10"/>
  <c r="F545" i="10"/>
  <c r="E545" i="10"/>
  <c r="D545" i="10"/>
  <c r="C545" i="10"/>
  <c r="B545" i="10"/>
  <c r="A545" i="10"/>
  <c r="K544" i="10"/>
  <c r="J544" i="10"/>
  <c r="I544" i="10"/>
  <c r="H544" i="10"/>
  <c r="G544" i="10"/>
  <c r="F544" i="10"/>
  <c r="E544" i="10"/>
  <c r="D544" i="10"/>
  <c r="C544" i="10"/>
  <c r="B544" i="10"/>
  <c r="A544" i="10"/>
  <c r="K543" i="10"/>
  <c r="J543" i="10"/>
  <c r="I543" i="10"/>
  <c r="H543" i="10"/>
  <c r="G543" i="10"/>
  <c r="F543" i="10"/>
  <c r="E543" i="10"/>
  <c r="D543" i="10"/>
  <c r="C543" i="10"/>
  <c r="B543" i="10"/>
  <c r="A543" i="10"/>
  <c r="K542" i="10"/>
  <c r="J542" i="10"/>
  <c r="I542" i="10"/>
  <c r="H542" i="10"/>
  <c r="G542" i="10"/>
  <c r="F542" i="10"/>
  <c r="E542" i="10"/>
  <c r="D542" i="10"/>
  <c r="C542" i="10"/>
  <c r="B542" i="10"/>
  <c r="A542" i="10"/>
  <c r="K541" i="10"/>
  <c r="J541" i="10"/>
  <c r="I541" i="10"/>
  <c r="H541" i="10"/>
  <c r="G541" i="10"/>
  <c r="F541" i="10"/>
  <c r="E541" i="10"/>
  <c r="D541" i="10"/>
  <c r="C541" i="10"/>
  <c r="B541" i="10"/>
  <c r="A541" i="10"/>
  <c r="K540" i="10"/>
  <c r="J540" i="10"/>
  <c r="I540" i="10"/>
  <c r="H540" i="10"/>
  <c r="G540" i="10"/>
  <c r="F540" i="10"/>
  <c r="E540" i="10"/>
  <c r="D540" i="10"/>
  <c r="C540" i="10"/>
  <c r="B540" i="10"/>
  <c r="A540" i="10"/>
  <c r="K539" i="10"/>
  <c r="J539" i="10"/>
  <c r="I539" i="10"/>
  <c r="H539" i="10"/>
  <c r="G539" i="10"/>
  <c r="F539" i="10"/>
  <c r="E539" i="10"/>
  <c r="D539" i="10"/>
  <c r="C539" i="10"/>
  <c r="B539" i="10"/>
  <c r="A539" i="10"/>
  <c r="K538" i="10"/>
  <c r="J538" i="10"/>
  <c r="I538" i="10"/>
  <c r="H538" i="10"/>
  <c r="G538" i="10"/>
  <c r="F538" i="10"/>
  <c r="E538" i="10"/>
  <c r="D538" i="10"/>
  <c r="C538" i="10"/>
  <c r="B538" i="10"/>
  <c r="A538" i="10"/>
  <c r="K537" i="10"/>
  <c r="J537" i="10"/>
  <c r="I537" i="10"/>
  <c r="H537" i="10"/>
  <c r="G537" i="10"/>
  <c r="F537" i="10"/>
  <c r="E537" i="10"/>
  <c r="D537" i="10"/>
  <c r="C537" i="10"/>
  <c r="B537" i="10"/>
  <c r="A537" i="10"/>
  <c r="K536" i="10"/>
  <c r="J536" i="10"/>
  <c r="I536" i="10"/>
  <c r="H536" i="10"/>
  <c r="G536" i="10"/>
  <c r="F536" i="10"/>
  <c r="E536" i="10"/>
  <c r="D536" i="10"/>
  <c r="C536" i="10"/>
  <c r="B536" i="10"/>
  <c r="A536" i="10"/>
  <c r="K535" i="10"/>
  <c r="J535" i="10"/>
  <c r="I535" i="10"/>
  <c r="H535" i="10"/>
  <c r="G535" i="10"/>
  <c r="F535" i="10"/>
  <c r="E535" i="10"/>
  <c r="D535" i="10"/>
  <c r="C535" i="10"/>
  <c r="B535" i="10"/>
  <c r="A535" i="10"/>
  <c r="K534" i="10"/>
  <c r="J534" i="10"/>
  <c r="I534" i="10"/>
  <c r="H534" i="10"/>
  <c r="G534" i="10"/>
  <c r="F534" i="10"/>
  <c r="E534" i="10"/>
  <c r="D534" i="10"/>
  <c r="C534" i="10"/>
  <c r="B534" i="10"/>
  <c r="A534" i="10"/>
  <c r="K533" i="10"/>
  <c r="J533" i="10"/>
  <c r="I533" i="10"/>
  <c r="H533" i="10"/>
  <c r="G533" i="10"/>
  <c r="F533" i="10"/>
  <c r="C533" i="10"/>
  <c r="B533" i="10"/>
  <c r="A533" i="10"/>
  <c r="K532" i="10"/>
  <c r="J532" i="10"/>
  <c r="I532" i="10"/>
  <c r="H532" i="10"/>
  <c r="G532" i="10"/>
  <c r="F532" i="10"/>
  <c r="E532" i="10"/>
  <c r="D532" i="10"/>
  <c r="C532" i="10"/>
  <c r="B532" i="10"/>
  <c r="A532" i="10"/>
  <c r="K531" i="10"/>
  <c r="J531" i="10"/>
  <c r="I531" i="10"/>
  <c r="H531" i="10"/>
  <c r="G531" i="10"/>
  <c r="F531" i="10"/>
  <c r="E531" i="10"/>
  <c r="D531" i="10"/>
  <c r="C531" i="10"/>
  <c r="B531" i="10"/>
  <c r="A531" i="10"/>
  <c r="K530" i="10"/>
  <c r="J530" i="10"/>
  <c r="I530" i="10"/>
  <c r="H530" i="10"/>
  <c r="G530" i="10"/>
  <c r="F530" i="10"/>
  <c r="E530" i="10"/>
  <c r="D530" i="10"/>
  <c r="C530" i="10"/>
  <c r="B530" i="10"/>
  <c r="A530" i="10"/>
  <c r="K529" i="10"/>
  <c r="J529" i="10"/>
  <c r="I529" i="10"/>
  <c r="H529" i="10"/>
  <c r="G529" i="10"/>
  <c r="F529" i="10"/>
  <c r="E529" i="10"/>
  <c r="D529" i="10"/>
  <c r="C529" i="10"/>
  <c r="B529" i="10"/>
  <c r="A529" i="10"/>
  <c r="K528" i="10"/>
  <c r="J528" i="10"/>
  <c r="I528" i="10"/>
  <c r="H528" i="10"/>
  <c r="G528" i="10"/>
  <c r="F528" i="10"/>
  <c r="E528" i="10"/>
  <c r="D528" i="10"/>
  <c r="C528" i="10"/>
  <c r="B528" i="10"/>
  <c r="A528" i="10"/>
  <c r="K527" i="10"/>
  <c r="J527" i="10"/>
  <c r="I527" i="10"/>
  <c r="H527" i="10"/>
  <c r="G527" i="10"/>
  <c r="F527" i="10"/>
  <c r="E527" i="10"/>
  <c r="D527" i="10"/>
  <c r="C527" i="10"/>
  <c r="B527" i="10"/>
  <c r="A527" i="10"/>
  <c r="K526" i="10"/>
  <c r="J526" i="10"/>
  <c r="I526" i="10"/>
  <c r="H526" i="10"/>
  <c r="G526" i="10"/>
  <c r="F526" i="10"/>
  <c r="E526" i="10"/>
  <c r="D526" i="10"/>
  <c r="C526" i="10"/>
  <c r="B526" i="10"/>
  <c r="A526" i="10"/>
  <c r="K525" i="10"/>
  <c r="J525" i="10"/>
  <c r="I525" i="10"/>
  <c r="H525" i="10"/>
  <c r="G525" i="10"/>
  <c r="F525" i="10"/>
  <c r="E525" i="10"/>
  <c r="D525" i="10"/>
  <c r="C525" i="10"/>
  <c r="B525" i="10"/>
  <c r="A525" i="10"/>
  <c r="K524" i="10"/>
  <c r="J524" i="10"/>
  <c r="I524" i="10"/>
  <c r="H524" i="10"/>
  <c r="G524" i="10"/>
  <c r="F524" i="10"/>
  <c r="E524" i="10"/>
  <c r="D524" i="10"/>
  <c r="C524" i="10"/>
  <c r="B524" i="10"/>
  <c r="A524" i="10"/>
  <c r="K523" i="10"/>
  <c r="J523" i="10"/>
  <c r="I523" i="10"/>
  <c r="H523" i="10"/>
  <c r="G523" i="10"/>
  <c r="F523" i="10"/>
  <c r="E523" i="10"/>
  <c r="D523" i="10"/>
  <c r="C523" i="10"/>
  <c r="B523" i="10"/>
  <c r="A523" i="10"/>
  <c r="K522" i="10"/>
  <c r="J522" i="10"/>
  <c r="I522" i="10"/>
  <c r="H522" i="10"/>
  <c r="G522" i="10"/>
  <c r="F522" i="10"/>
  <c r="E522" i="10"/>
  <c r="D522" i="10"/>
  <c r="C522" i="10"/>
  <c r="B522" i="10"/>
  <c r="A522" i="10"/>
  <c r="K521" i="10"/>
  <c r="J521" i="10"/>
  <c r="I521" i="10"/>
  <c r="H521" i="10"/>
  <c r="G521" i="10"/>
  <c r="F521" i="10"/>
  <c r="E521" i="10"/>
  <c r="D521" i="10"/>
  <c r="C521" i="10"/>
  <c r="B521" i="10"/>
  <c r="A521" i="10"/>
  <c r="K520" i="10"/>
  <c r="J520" i="10"/>
  <c r="I520" i="10"/>
  <c r="H520" i="10"/>
  <c r="G520" i="10"/>
  <c r="F520" i="10"/>
  <c r="E520" i="10"/>
  <c r="D520" i="10"/>
  <c r="C520" i="10"/>
  <c r="B520" i="10"/>
  <c r="A520" i="10"/>
  <c r="K519" i="10"/>
  <c r="J519" i="10"/>
  <c r="I519" i="10"/>
  <c r="H519" i="10"/>
  <c r="G519" i="10"/>
  <c r="F519" i="10"/>
  <c r="E519" i="10"/>
  <c r="D519" i="10"/>
  <c r="C519" i="10"/>
  <c r="B519" i="10"/>
  <c r="A519" i="10"/>
  <c r="K518" i="10"/>
  <c r="J518" i="10"/>
  <c r="I518" i="10"/>
  <c r="H518" i="10"/>
  <c r="G518" i="10"/>
  <c r="F518" i="10"/>
  <c r="E518" i="10"/>
  <c r="D518" i="10"/>
  <c r="C518" i="10"/>
  <c r="B518" i="10"/>
  <c r="A518" i="10"/>
  <c r="K517" i="10"/>
  <c r="J517" i="10"/>
  <c r="I517" i="10"/>
  <c r="H517" i="10"/>
  <c r="G517" i="10"/>
  <c r="F517" i="10"/>
  <c r="E517" i="10"/>
  <c r="D517" i="10"/>
  <c r="C517" i="10"/>
  <c r="B517" i="10"/>
  <c r="A517" i="10"/>
  <c r="K516" i="10"/>
  <c r="J516" i="10"/>
  <c r="I516" i="10"/>
  <c r="H516" i="10"/>
  <c r="G516" i="10"/>
  <c r="F516" i="10"/>
  <c r="E516" i="10"/>
  <c r="D516" i="10"/>
  <c r="C516" i="10"/>
  <c r="B516" i="10"/>
  <c r="A516" i="10"/>
  <c r="K515" i="10"/>
  <c r="J515" i="10"/>
  <c r="I515" i="10"/>
  <c r="H515" i="10"/>
  <c r="G515" i="10"/>
  <c r="F515" i="10"/>
  <c r="E515" i="10"/>
  <c r="D515" i="10"/>
  <c r="C515" i="10"/>
  <c r="B515" i="10"/>
  <c r="A515" i="10"/>
  <c r="K514" i="10"/>
  <c r="J514" i="10"/>
  <c r="I514" i="10"/>
  <c r="H514" i="10"/>
  <c r="G514" i="10"/>
  <c r="F514" i="10"/>
  <c r="E514" i="10"/>
  <c r="D514" i="10"/>
  <c r="C514" i="10"/>
  <c r="B514" i="10"/>
  <c r="A514" i="10"/>
  <c r="K513" i="10"/>
  <c r="J513" i="10"/>
  <c r="I513" i="10"/>
  <c r="H513" i="10"/>
  <c r="G513" i="10"/>
  <c r="F513" i="10"/>
  <c r="E513" i="10"/>
  <c r="D513" i="10"/>
  <c r="C513" i="10"/>
  <c r="B513" i="10"/>
  <c r="A513" i="10"/>
  <c r="K512" i="10"/>
  <c r="J512" i="10"/>
  <c r="I512" i="10"/>
  <c r="H512" i="10"/>
  <c r="G512" i="10"/>
  <c r="F512" i="10"/>
  <c r="E512" i="10"/>
  <c r="D512" i="10"/>
  <c r="C512" i="10"/>
  <c r="B512" i="10"/>
  <c r="A512" i="10"/>
  <c r="K511" i="10"/>
  <c r="J511" i="10"/>
  <c r="I511" i="10"/>
  <c r="H511" i="10"/>
  <c r="G511" i="10"/>
  <c r="F511" i="10"/>
  <c r="C511" i="10"/>
  <c r="B511" i="10"/>
  <c r="A511" i="10"/>
  <c r="K510" i="10"/>
  <c r="J510" i="10"/>
  <c r="I510" i="10"/>
  <c r="H510" i="10"/>
  <c r="G510" i="10"/>
  <c r="F510" i="10"/>
  <c r="E510" i="10"/>
  <c r="D510" i="10"/>
  <c r="C510" i="10"/>
  <c r="B510" i="10"/>
  <c r="A510" i="10"/>
  <c r="K509" i="10"/>
  <c r="J509" i="10"/>
  <c r="I509" i="10"/>
  <c r="H509" i="10"/>
  <c r="G509" i="10"/>
  <c r="F509" i="10"/>
  <c r="E509" i="10"/>
  <c r="D509" i="10"/>
  <c r="C509" i="10"/>
  <c r="B509" i="10"/>
  <c r="A509" i="10"/>
  <c r="K508" i="10"/>
  <c r="J508" i="10"/>
  <c r="I508" i="10"/>
  <c r="H508" i="10"/>
  <c r="G508" i="10"/>
  <c r="F508" i="10"/>
  <c r="E508" i="10"/>
  <c r="D508" i="10"/>
  <c r="C508" i="10"/>
  <c r="B508" i="10"/>
  <c r="A508" i="10"/>
  <c r="K507" i="10"/>
  <c r="J507" i="10"/>
  <c r="I507" i="10"/>
  <c r="H507" i="10"/>
  <c r="G507" i="10"/>
  <c r="F507" i="10"/>
  <c r="E507" i="10"/>
  <c r="D507" i="10"/>
  <c r="C507" i="10"/>
  <c r="B507" i="10"/>
  <c r="A507" i="10"/>
  <c r="K506" i="10"/>
  <c r="J506" i="10"/>
  <c r="I506" i="10"/>
  <c r="H506" i="10"/>
  <c r="G506" i="10"/>
  <c r="F506" i="10"/>
  <c r="E506" i="10"/>
  <c r="D506" i="10"/>
  <c r="C506" i="10"/>
  <c r="B506" i="10"/>
  <c r="A506" i="10"/>
  <c r="K505" i="10"/>
  <c r="I505" i="10"/>
  <c r="H505" i="10"/>
  <c r="G505" i="10"/>
  <c r="F505" i="10"/>
  <c r="E505" i="10"/>
  <c r="D505" i="10"/>
  <c r="C505" i="10"/>
  <c r="B505" i="10"/>
  <c r="A505" i="10"/>
  <c r="K504" i="10"/>
  <c r="J504" i="10"/>
  <c r="I504" i="10"/>
  <c r="H504" i="10"/>
  <c r="G504" i="10"/>
  <c r="F504" i="10"/>
  <c r="E504" i="10"/>
  <c r="D504" i="10"/>
  <c r="C504" i="10"/>
  <c r="B504" i="10"/>
  <c r="A504" i="10"/>
  <c r="K503" i="10"/>
  <c r="J503" i="10"/>
  <c r="I503" i="10"/>
  <c r="H503" i="10"/>
  <c r="G503" i="10"/>
  <c r="F503" i="10"/>
  <c r="C503" i="10"/>
  <c r="B503" i="10"/>
  <c r="A503" i="10"/>
  <c r="K502" i="10"/>
  <c r="J502" i="10"/>
  <c r="I502" i="10"/>
  <c r="H502" i="10"/>
  <c r="G502" i="10"/>
  <c r="F502" i="10"/>
  <c r="E502" i="10"/>
  <c r="D502" i="10"/>
  <c r="C502" i="10"/>
  <c r="B502" i="10"/>
  <c r="A502" i="10"/>
  <c r="K501" i="10"/>
  <c r="J501" i="10"/>
  <c r="I501" i="10"/>
  <c r="H501" i="10"/>
  <c r="G501" i="10"/>
  <c r="F501" i="10"/>
  <c r="E501" i="10"/>
  <c r="D501" i="10"/>
  <c r="C501" i="10"/>
  <c r="B501" i="10"/>
  <c r="A501" i="10"/>
  <c r="K500" i="10"/>
  <c r="J500" i="10"/>
  <c r="I500" i="10"/>
  <c r="H500" i="10"/>
  <c r="G500" i="10"/>
  <c r="F500" i="10"/>
  <c r="E500" i="10"/>
  <c r="D500" i="10"/>
  <c r="C500" i="10"/>
  <c r="B500" i="10"/>
  <c r="A500" i="10"/>
  <c r="K499" i="10"/>
  <c r="J499" i="10"/>
  <c r="I499" i="10"/>
  <c r="H499" i="10"/>
  <c r="G499" i="10"/>
  <c r="F499" i="10"/>
  <c r="E499" i="10"/>
  <c r="D499" i="10"/>
  <c r="C499" i="10"/>
  <c r="B499" i="10"/>
  <c r="A499" i="10"/>
  <c r="K498" i="10"/>
  <c r="J498" i="10"/>
  <c r="I498" i="10"/>
  <c r="H498" i="10"/>
  <c r="G498" i="10"/>
  <c r="F498" i="10"/>
  <c r="E498" i="10"/>
  <c r="D498" i="10"/>
  <c r="C498" i="10"/>
  <c r="B498" i="10"/>
  <c r="A498" i="10"/>
  <c r="K497" i="10"/>
  <c r="J497" i="10"/>
  <c r="I497" i="10"/>
  <c r="H497" i="10"/>
  <c r="G497" i="10"/>
  <c r="F497" i="10"/>
  <c r="E497" i="10"/>
  <c r="D497" i="10"/>
  <c r="C497" i="10"/>
  <c r="B497" i="10"/>
  <c r="A497" i="10"/>
  <c r="K496" i="10"/>
  <c r="J496" i="10"/>
  <c r="I496" i="10"/>
  <c r="H496" i="10"/>
  <c r="G496" i="10"/>
  <c r="F496" i="10"/>
  <c r="E496" i="10"/>
  <c r="D496" i="10"/>
  <c r="C496" i="10"/>
  <c r="B496" i="10"/>
  <c r="A496" i="10"/>
  <c r="K495" i="10"/>
  <c r="J495" i="10"/>
  <c r="I495" i="10"/>
  <c r="H495" i="10"/>
  <c r="G495" i="10"/>
  <c r="F495" i="10"/>
  <c r="E495" i="10"/>
  <c r="D495" i="10"/>
  <c r="C495" i="10"/>
  <c r="B495" i="10"/>
  <c r="A495" i="10"/>
  <c r="K494" i="10"/>
  <c r="J494" i="10"/>
  <c r="I494" i="10"/>
  <c r="H494" i="10"/>
  <c r="G494" i="10"/>
  <c r="F494" i="10"/>
  <c r="E494" i="10"/>
  <c r="D494" i="10"/>
  <c r="C494" i="10"/>
  <c r="B494" i="10"/>
  <c r="A494" i="10"/>
  <c r="K493" i="10"/>
  <c r="I493" i="10"/>
  <c r="H493" i="10"/>
  <c r="G493" i="10"/>
  <c r="F493" i="10"/>
  <c r="C493" i="10"/>
  <c r="B493" i="10"/>
  <c r="A493" i="10"/>
  <c r="K492" i="10"/>
  <c r="J492" i="10"/>
  <c r="I492" i="10"/>
  <c r="H492" i="10"/>
  <c r="G492" i="10"/>
  <c r="F492" i="10"/>
  <c r="C492" i="10"/>
  <c r="B492" i="10"/>
  <c r="A492" i="10"/>
  <c r="K491" i="10"/>
  <c r="J491" i="10"/>
  <c r="I491" i="10"/>
  <c r="H491" i="10"/>
  <c r="G491" i="10"/>
  <c r="F491" i="10"/>
  <c r="E491" i="10"/>
  <c r="D491" i="10"/>
  <c r="C491" i="10"/>
  <c r="B491" i="10"/>
  <c r="A491" i="10"/>
  <c r="K490" i="10"/>
  <c r="J490" i="10"/>
  <c r="I490" i="10"/>
  <c r="H490" i="10"/>
  <c r="G490" i="10"/>
  <c r="F490" i="10"/>
  <c r="E490" i="10"/>
  <c r="D490" i="10"/>
  <c r="C490" i="10"/>
  <c r="B490" i="10"/>
  <c r="A490" i="10"/>
  <c r="K489" i="10"/>
  <c r="J489" i="10"/>
  <c r="I489" i="10"/>
  <c r="H489" i="10"/>
  <c r="G489" i="10"/>
  <c r="F489" i="10"/>
  <c r="E489" i="10"/>
  <c r="D489" i="10"/>
  <c r="C489" i="10"/>
  <c r="B489" i="10"/>
  <c r="A489" i="10"/>
  <c r="K488" i="10"/>
  <c r="J488" i="10"/>
  <c r="I488" i="10"/>
  <c r="H488" i="10"/>
  <c r="G488" i="10"/>
  <c r="F488" i="10"/>
  <c r="E488" i="10"/>
  <c r="D488" i="10"/>
  <c r="C488" i="10"/>
  <c r="B488" i="10"/>
  <c r="A488" i="10"/>
  <c r="K487" i="10"/>
  <c r="J487" i="10"/>
  <c r="I487" i="10"/>
  <c r="H487" i="10"/>
  <c r="G487" i="10"/>
  <c r="F487" i="10"/>
  <c r="E487" i="10"/>
  <c r="D487" i="10"/>
  <c r="C487" i="10"/>
  <c r="B487" i="10"/>
  <c r="A487" i="10"/>
  <c r="K486" i="10"/>
  <c r="J486" i="10"/>
  <c r="I486" i="10"/>
  <c r="H486" i="10"/>
  <c r="G486" i="10"/>
  <c r="F486" i="10"/>
  <c r="E486" i="10"/>
  <c r="D486" i="10"/>
  <c r="C486" i="10"/>
  <c r="B486" i="10"/>
  <c r="A486" i="10"/>
  <c r="K485" i="10"/>
  <c r="J485" i="10"/>
  <c r="I485" i="10"/>
  <c r="H485" i="10"/>
  <c r="G485" i="10"/>
  <c r="F485" i="10"/>
  <c r="C485" i="10"/>
  <c r="B485" i="10"/>
  <c r="A485" i="10"/>
  <c r="K484" i="10"/>
  <c r="I484" i="10"/>
  <c r="H484" i="10"/>
  <c r="G484" i="10"/>
  <c r="F484" i="10"/>
  <c r="C484" i="10"/>
  <c r="B484" i="10"/>
  <c r="A484" i="10"/>
  <c r="K483" i="10"/>
  <c r="J483" i="10"/>
  <c r="I483" i="10"/>
  <c r="H483" i="10"/>
  <c r="G483" i="10"/>
  <c r="F483" i="10"/>
  <c r="E483" i="10"/>
  <c r="D483" i="10"/>
  <c r="C483" i="10"/>
  <c r="B483" i="10"/>
  <c r="A483" i="10"/>
  <c r="K482" i="10"/>
  <c r="J482" i="10"/>
  <c r="I482" i="10"/>
  <c r="H482" i="10"/>
  <c r="G482" i="10"/>
  <c r="F482" i="10"/>
  <c r="E482" i="10"/>
  <c r="D482" i="10"/>
  <c r="C482" i="10"/>
  <c r="B482" i="10"/>
  <c r="A482" i="10"/>
  <c r="K481" i="10"/>
  <c r="J481" i="10"/>
  <c r="I481" i="10"/>
  <c r="H481" i="10"/>
  <c r="G481" i="10"/>
  <c r="F481" i="10"/>
  <c r="E481" i="10"/>
  <c r="D481" i="10"/>
  <c r="C481" i="10"/>
  <c r="B481" i="10"/>
  <c r="A481" i="10"/>
  <c r="K480" i="10"/>
  <c r="J480" i="10"/>
  <c r="I480" i="10"/>
  <c r="H480" i="10"/>
  <c r="G480" i="10"/>
  <c r="F480" i="10"/>
  <c r="E480" i="10"/>
  <c r="D480" i="10"/>
  <c r="C480" i="10"/>
  <c r="B480" i="10"/>
  <c r="A480" i="10"/>
  <c r="K479" i="10"/>
  <c r="J479" i="10"/>
  <c r="I479" i="10"/>
  <c r="H479" i="10"/>
  <c r="G479" i="10"/>
  <c r="F479" i="10"/>
  <c r="E479" i="10"/>
  <c r="D479" i="10"/>
  <c r="C479" i="10"/>
  <c r="B479" i="10"/>
  <c r="A479" i="10"/>
  <c r="K478" i="10"/>
  <c r="J478" i="10"/>
  <c r="I478" i="10"/>
  <c r="H478" i="10"/>
  <c r="G478" i="10"/>
  <c r="F478" i="10"/>
  <c r="E478" i="10"/>
  <c r="D478" i="10"/>
  <c r="C478" i="10"/>
  <c r="B478" i="10"/>
  <c r="A478" i="10"/>
  <c r="K477" i="10"/>
  <c r="J477" i="10"/>
  <c r="I477" i="10"/>
  <c r="H477" i="10"/>
  <c r="G477" i="10"/>
  <c r="F477" i="10"/>
  <c r="E477" i="10"/>
  <c r="D477" i="10"/>
  <c r="C477" i="10"/>
  <c r="B477" i="10"/>
  <c r="A477" i="10"/>
  <c r="K476" i="10"/>
  <c r="J476" i="10"/>
  <c r="I476" i="10"/>
  <c r="H476" i="10"/>
  <c r="G476" i="10"/>
  <c r="F476" i="10"/>
  <c r="E476" i="10"/>
  <c r="D476" i="10"/>
  <c r="C476" i="10"/>
  <c r="B476" i="10"/>
  <c r="A476" i="10"/>
  <c r="K475" i="10"/>
  <c r="J475" i="10"/>
  <c r="I475" i="10"/>
  <c r="H475" i="10"/>
  <c r="G475" i="10"/>
  <c r="F475" i="10"/>
  <c r="E475" i="10"/>
  <c r="D475" i="10"/>
  <c r="C475" i="10"/>
  <c r="B475" i="10"/>
  <c r="A475" i="10"/>
  <c r="K474" i="10"/>
  <c r="J474" i="10"/>
  <c r="I474" i="10"/>
  <c r="H474" i="10"/>
  <c r="G474" i="10"/>
  <c r="F474" i="10"/>
  <c r="E474" i="10"/>
  <c r="D474" i="10"/>
  <c r="C474" i="10"/>
  <c r="B474" i="10"/>
  <c r="A474" i="10"/>
  <c r="K473" i="10"/>
  <c r="J473" i="10"/>
  <c r="I473" i="10"/>
  <c r="H473" i="10"/>
  <c r="G473" i="10"/>
  <c r="F473" i="10"/>
  <c r="E473" i="10"/>
  <c r="D473" i="10"/>
  <c r="C473" i="10"/>
  <c r="B473" i="10"/>
  <c r="A473" i="10"/>
  <c r="K472" i="10"/>
  <c r="J472" i="10"/>
  <c r="I472" i="10"/>
  <c r="H472" i="10"/>
  <c r="G472" i="10"/>
  <c r="F472" i="10"/>
  <c r="E472" i="10"/>
  <c r="D472" i="10"/>
  <c r="C472" i="10"/>
  <c r="B472" i="10"/>
  <c r="A472" i="10"/>
  <c r="K471" i="10"/>
  <c r="J471" i="10"/>
  <c r="I471" i="10"/>
  <c r="H471" i="10"/>
  <c r="G471" i="10"/>
  <c r="F471" i="10"/>
  <c r="E471" i="10"/>
  <c r="D471" i="10"/>
  <c r="C471" i="10"/>
  <c r="B471" i="10"/>
  <c r="A471" i="10"/>
  <c r="K470" i="10"/>
  <c r="J470" i="10"/>
  <c r="I470" i="10"/>
  <c r="H470" i="10"/>
  <c r="G470" i="10"/>
  <c r="F470" i="10"/>
  <c r="E470" i="10"/>
  <c r="D470" i="10"/>
  <c r="C470" i="10"/>
  <c r="B470" i="10"/>
  <c r="A470" i="10"/>
  <c r="K469" i="10"/>
  <c r="J469" i="10"/>
  <c r="I469" i="10"/>
  <c r="H469" i="10"/>
  <c r="G469" i="10"/>
  <c r="F469" i="10"/>
  <c r="E469" i="10"/>
  <c r="D469" i="10"/>
  <c r="C469" i="10"/>
  <c r="B469" i="10"/>
  <c r="A469" i="10"/>
  <c r="K468" i="10"/>
  <c r="I468" i="10"/>
  <c r="H468" i="10"/>
  <c r="G468" i="10"/>
  <c r="F468" i="10"/>
  <c r="E468" i="10"/>
  <c r="D468" i="10"/>
  <c r="C468" i="10"/>
  <c r="B468" i="10"/>
  <c r="A468" i="10"/>
  <c r="K467" i="10"/>
  <c r="J467" i="10"/>
  <c r="I467" i="10"/>
  <c r="H467" i="10"/>
  <c r="G467" i="10"/>
  <c r="F467" i="10"/>
  <c r="E467" i="10"/>
  <c r="D467" i="10"/>
  <c r="C467" i="10"/>
  <c r="B467" i="10"/>
  <c r="A467" i="10"/>
  <c r="K466" i="10"/>
  <c r="J466" i="10"/>
  <c r="I466" i="10"/>
  <c r="H466" i="10"/>
  <c r="G466" i="10"/>
  <c r="F466" i="10"/>
  <c r="E466" i="10"/>
  <c r="D466" i="10"/>
  <c r="C466" i="10"/>
  <c r="B466" i="10"/>
  <c r="A466" i="10"/>
  <c r="K465" i="10"/>
  <c r="J465" i="10"/>
  <c r="I465" i="10"/>
  <c r="H465" i="10"/>
  <c r="G465" i="10"/>
  <c r="F465" i="10"/>
  <c r="E465" i="10"/>
  <c r="D465" i="10"/>
  <c r="C465" i="10"/>
  <c r="B465" i="10"/>
  <c r="A465" i="10"/>
  <c r="K464" i="10"/>
  <c r="J464" i="10"/>
  <c r="I464" i="10"/>
  <c r="H464" i="10"/>
  <c r="G464" i="10"/>
  <c r="F464" i="10"/>
  <c r="E464" i="10"/>
  <c r="D464" i="10"/>
  <c r="C464" i="10"/>
  <c r="B464" i="10"/>
  <c r="A464" i="10"/>
  <c r="K463" i="10"/>
  <c r="J463" i="10"/>
  <c r="I463" i="10"/>
  <c r="H463" i="10"/>
  <c r="G463" i="10"/>
  <c r="F463" i="10"/>
  <c r="E463" i="10"/>
  <c r="D463" i="10"/>
  <c r="C463" i="10"/>
  <c r="B463" i="10"/>
  <c r="A463" i="10"/>
  <c r="K462" i="10"/>
  <c r="J462" i="10"/>
  <c r="I462" i="10"/>
  <c r="H462" i="10"/>
  <c r="G462" i="10"/>
  <c r="F462" i="10"/>
  <c r="E462" i="10"/>
  <c r="D462" i="10"/>
  <c r="C462" i="10"/>
  <c r="B462" i="10"/>
  <c r="A462" i="10"/>
  <c r="K461" i="10"/>
  <c r="J461" i="10"/>
  <c r="I461" i="10"/>
  <c r="H461" i="10"/>
  <c r="G461" i="10"/>
  <c r="F461" i="10"/>
  <c r="E461" i="10"/>
  <c r="D461" i="10"/>
  <c r="C461" i="10"/>
  <c r="B461" i="10"/>
  <c r="A461" i="10"/>
  <c r="K460" i="10"/>
  <c r="J460" i="10"/>
  <c r="I460" i="10"/>
  <c r="H460" i="10"/>
  <c r="G460" i="10"/>
  <c r="F460" i="10"/>
  <c r="E460" i="10"/>
  <c r="D460" i="10"/>
  <c r="C460" i="10"/>
  <c r="B460" i="10"/>
  <c r="A460" i="10"/>
  <c r="K459" i="10"/>
  <c r="J459" i="10"/>
  <c r="I459" i="10"/>
  <c r="H459" i="10"/>
  <c r="G459" i="10"/>
  <c r="F459" i="10"/>
  <c r="E459" i="10"/>
  <c r="D459" i="10"/>
  <c r="C459" i="10"/>
  <c r="B459" i="10"/>
  <c r="A459" i="10"/>
  <c r="K458" i="10"/>
  <c r="J458" i="10"/>
  <c r="I458" i="10"/>
  <c r="H458" i="10"/>
  <c r="G458" i="10"/>
  <c r="F458" i="10"/>
  <c r="E458" i="10"/>
  <c r="D458" i="10"/>
  <c r="C458" i="10"/>
  <c r="B458" i="10"/>
  <c r="A458" i="10"/>
  <c r="K457" i="10"/>
  <c r="J457" i="10"/>
  <c r="I457" i="10"/>
  <c r="H457" i="10"/>
  <c r="G457" i="10"/>
  <c r="F457" i="10"/>
  <c r="E457" i="10"/>
  <c r="D457" i="10"/>
  <c r="C457" i="10"/>
  <c r="B457" i="10"/>
  <c r="A457" i="10"/>
  <c r="K456" i="10"/>
  <c r="J456" i="10"/>
  <c r="I456" i="10"/>
  <c r="H456" i="10"/>
  <c r="G456" i="10"/>
  <c r="F456" i="10"/>
  <c r="E456" i="10"/>
  <c r="D456" i="10"/>
  <c r="C456" i="10"/>
  <c r="B456" i="10"/>
  <c r="A456" i="10"/>
  <c r="K455" i="10"/>
  <c r="J455" i="10"/>
  <c r="I455" i="10"/>
  <c r="H455" i="10"/>
  <c r="G455" i="10"/>
  <c r="F455" i="10"/>
  <c r="E455" i="10"/>
  <c r="D455" i="10"/>
  <c r="C455" i="10"/>
  <c r="B455" i="10"/>
  <c r="A455" i="10"/>
  <c r="K454" i="10"/>
  <c r="J454" i="10"/>
  <c r="I454" i="10"/>
  <c r="H454" i="10"/>
  <c r="G454" i="10"/>
  <c r="F454" i="10"/>
  <c r="E454" i="10"/>
  <c r="D454" i="10"/>
  <c r="C454" i="10"/>
  <c r="B454" i="10"/>
  <c r="A454" i="10"/>
  <c r="K453" i="10"/>
  <c r="J453" i="10"/>
  <c r="I453" i="10"/>
  <c r="H453" i="10"/>
  <c r="G453" i="10"/>
  <c r="F453" i="10"/>
  <c r="E453" i="10"/>
  <c r="D453" i="10"/>
  <c r="C453" i="10"/>
  <c r="B453" i="10"/>
  <c r="A453" i="10"/>
  <c r="K452" i="10"/>
  <c r="J452" i="10"/>
  <c r="I452" i="10"/>
  <c r="H452" i="10"/>
  <c r="G452" i="10"/>
  <c r="F452" i="10"/>
  <c r="E452" i="10"/>
  <c r="D452" i="10"/>
  <c r="C452" i="10"/>
  <c r="B452" i="10"/>
  <c r="A452" i="10"/>
  <c r="K451" i="10"/>
  <c r="J451" i="10"/>
  <c r="I451" i="10"/>
  <c r="H451" i="10"/>
  <c r="G451" i="10"/>
  <c r="F451" i="10"/>
  <c r="E451" i="10"/>
  <c r="D451" i="10"/>
  <c r="C451" i="10"/>
  <c r="B451" i="10"/>
  <c r="A451" i="10"/>
  <c r="K450" i="10"/>
  <c r="J450" i="10"/>
  <c r="I450" i="10"/>
  <c r="H450" i="10"/>
  <c r="G450" i="10"/>
  <c r="F450" i="10"/>
  <c r="E450" i="10"/>
  <c r="D450" i="10"/>
  <c r="C450" i="10"/>
  <c r="B450" i="10"/>
  <c r="A450" i="10"/>
  <c r="K449" i="10"/>
  <c r="J449" i="10"/>
  <c r="I449" i="10"/>
  <c r="H449" i="10"/>
  <c r="G449" i="10"/>
  <c r="F449" i="10"/>
  <c r="E449" i="10"/>
  <c r="D449" i="10"/>
  <c r="C449" i="10"/>
  <c r="B449" i="10"/>
  <c r="A449" i="10"/>
  <c r="K448" i="10"/>
  <c r="J448" i="10"/>
  <c r="I448" i="10"/>
  <c r="H448" i="10"/>
  <c r="G448" i="10"/>
  <c r="F448" i="10"/>
  <c r="E448" i="10"/>
  <c r="D448" i="10"/>
  <c r="C448" i="10"/>
  <c r="B448" i="10"/>
  <c r="A448" i="10"/>
  <c r="K447" i="10"/>
  <c r="J447" i="10"/>
  <c r="I447" i="10"/>
  <c r="H447" i="10"/>
  <c r="G447" i="10"/>
  <c r="F447" i="10"/>
  <c r="E447" i="10"/>
  <c r="D447" i="10"/>
  <c r="C447" i="10"/>
  <c r="B447" i="10"/>
  <c r="A447" i="10"/>
  <c r="K446" i="10"/>
  <c r="J446" i="10"/>
  <c r="I446" i="10"/>
  <c r="H446" i="10"/>
  <c r="G446" i="10"/>
  <c r="F446" i="10"/>
  <c r="E446" i="10"/>
  <c r="D446" i="10"/>
  <c r="C446" i="10"/>
  <c r="B446" i="10"/>
  <c r="A446" i="10"/>
  <c r="K445" i="10"/>
  <c r="J445" i="10"/>
  <c r="I445" i="10"/>
  <c r="H445" i="10"/>
  <c r="G445" i="10"/>
  <c r="F445" i="10"/>
  <c r="E445" i="10"/>
  <c r="D445" i="10"/>
  <c r="C445" i="10"/>
  <c r="B445" i="10"/>
  <c r="A445" i="10"/>
  <c r="K444" i="10"/>
  <c r="J444" i="10"/>
  <c r="I444" i="10"/>
  <c r="H444" i="10"/>
  <c r="G444" i="10"/>
  <c r="F444" i="10"/>
  <c r="E444" i="10"/>
  <c r="D444" i="10"/>
  <c r="C444" i="10"/>
  <c r="B444" i="10"/>
  <c r="A444" i="10"/>
  <c r="K443" i="10"/>
  <c r="J443" i="10"/>
  <c r="I443" i="10"/>
  <c r="H443" i="10"/>
  <c r="G443" i="10"/>
  <c r="F443" i="10"/>
  <c r="E443" i="10"/>
  <c r="D443" i="10"/>
  <c r="C443" i="10"/>
  <c r="B443" i="10"/>
  <c r="A443" i="10"/>
  <c r="K442" i="10"/>
  <c r="J442" i="10"/>
  <c r="I442" i="10"/>
  <c r="H442" i="10"/>
  <c r="G442" i="10"/>
  <c r="F442" i="10"/>
  <c r="E442" i="10"/>
  <c r="D442" i="10"/>
  <c r="C442" i="10"/>
  <c r="B442" i="10"/>
  <c r="A442" i="10"/>
  <c r="K441" i="10"/>
  <c r="J441" i="10"/>
  <c r="I441" i="10"/>
  <c r="H441" i="10"/>
  <c r="G441" i="10"/>
  <c r="F441" i="10"/>
  <c r="E441" i="10"/>
  <c r="D441" i="10"/>
  <c r="C441" i="10"/>
  <c r="B441" i="10"/>
  <c r="A441" i="10"/>
  <c r="K440" i="10"/>
  <c r="I440" i="10"/>
  <c r="H440" i="10"/>
  <c r="G440" i="10"/>
  <c r="F440" i="10"/>
  <c r="C440" i="10"/>
  <c r="B440" i="10"/>
  <c r="A440" i="10"/>
  <c r="K439" i="10"/>
  <c r="J439" i="10"/>
  <c r="I439" i="10"/>
  <c r="H439" i="10"/>
  <c r="G439" i="10"/>
  <c r="F439" i="10"/>
  <c r="E439" i="10"/>
  <c r="D439" i="10"/>
  <c r="C439" i="10"/>
  <c r="B439" i="10"/>
  <c r="A439" i="10"/>
  <c r="K438" i="10"/>
  <c r="J438" i="10"/>
  <c r="I438" i="10"/>
  <c r="H438" i="10"/>
  <c r="G438" i="10"/>
  <c r="F438" i="10"/>
  <c r="E438" i="10"/>
  <c r="D438" i="10"/>
  <c r="C438" i="10"/>
  <c r="B438" i="10"/>
  <c r="A438" i="10"/>
  <c r="K437" i="10"/>
  <c r="J437" i="10"/>
  <c r="I437" i="10"/>
  <c r="H437" i="10"/>
  <c r="G437" i="10"/>
  <c r="F437" i="10"/>
  <c r="E437" i="10"/>
  <c r="D437" i="10"/>
  <c r="C437" i="10"/>
  <c r="B437" i="10"/>
  <c r="A437" i="10"/>
  <c r="K436" i="10"/>
  <c r="J436" i="10"/>
  <c r="I436" i="10"/>
  <c r="H436" i="10"/>
  <c r="G436" i="10"/>
  <c r="F436" i="10"/>
  <c r="E436" i="10"/>
  <c r="D436" i="10"/>
  <c r="C436" i="10"/>
  <c r="B436" i="10"/>
  <c r="A436" i="10"/>
  <c r="K435" i="10"/>
  <c r="J435" i="10"/>
  <c r="I435" i="10"/>
  <c r="H435" i="10"/>
  <c r="G435" i="10"/>
  <c r="F435" i="10"/>
  <c r="E435" i="10"/>
  <c r="D435" i="10"/>
  <c r="C435" i="10"/>
  <c r="B435" i="10"/>
  <c r="A435" i="10"/>
  <c r="K434" i="10"/>
  <c r="J434" i="10"/>
  <c r="I434" i="10"/>
  <c r="H434" i="10"/>
  <c r="G434" i="10"/>
  <c r="F434" i="10"/>
  <c r="C434" i="10"/>
  <c r="B434" i="10"/>
  <c r="A434" i="10"/>
  <c r="K433" i="10"/>
  <c r="J433" i="10"/>
  <c r="I433" i="10"/>
  <c r="H433" i="10"/>
  <c r="G433" i="10"/>
  <c r="F433" i="10"/>
  <c r="E433" i="10"/>
  <c r="D433" i="10"/>
  <c r="C433" i="10"/>
  <c r="B433" i="10"/>
  <c r="A433" i="10"/>
  <c r="K432" i="10"/>
  <c r="J432" i="10"/>
  <c r="I432" i="10"/>
  <c r="H432" i="10"/>
  <c r="G432" i="10"/>
  <c r="F432" i="10"/>
  <c r="E432" i="10"/>
  <c r="D432" i="10"/>
  <c r="C432" i="10"/>
  <c r="B432" i="10"/>
  <c r="A432" i="10"/>
  <c r="K431" i="10"/>
  <c r="J431" i="10"/>
  <c r="I431" i="10"/>
  <c r="H431" i="10"/>
  <c r="G431" i="10"/>
  <c r="F431" i="10"/>
  <c r="E431" i="10"/>
  <c r="D431" i="10"/>
  <c r="C431" i="10"/>
  <c r="B431" i="10"/>
  <c r="A431" i="10"/>
  <c r="K430" i="10"/>
  <c r="J430" i="10"/>
  <c r="I430" i="10"/>
  <c r="H430" i="10"/>
  <c r="G430" i="10"/>
  <c r="F430" i="10"/>
  <c r="E430" i="10"/>
  <c r="D430" i="10"/>
  <c r="C430" i="10"/>
  <c r="B430" i="10"/>
  <c r="A430" i="10"/>
  <c r="K429" i="10"/>
  <c r="J429" i="10"/>
  <c r="I429" i="10"/>
  <c r="H429" i="10"/>
  <c r="G429" i="10"/>
  <c r="F429" i="10"/>
  <c r="E429" i="10"/>
  <c r="D429" i="10"/>
  <c r="C429" i="10"/>
  <c r="B429" i="10"/>
  <c r="A429" i="10"/>
  <c r="K428" i="10"/>
  <c r="J428" i="10"/>
  <c r="I428" i="10"/>
  <c r="H428" i="10"/>
  <c r="G428" i="10"/>
  <c r="F428" i="10"/>
  <c r="E428" i="10"/>
  <c r="D428" i="10"/>
  <c r="C428" i="10"/>
  <c r="B428" i="10"/>
  <c r="A428" i="10"/>
  <c r="K427" i="10"/>
  <c r="I427" i="10"/>
  <c r="H427" i="10"/>
  <c r="G427" i="10"/>
  <c r="F427" i="10"/>
  <c r="E427" i="10"/>
  <c r="D427" i="10"/>
  <c r="C427" i="10"/>
  <c r="B427" i="10"/>
  <c r="A427" i="10"/>
  <c r="K426" i="10"/>
  <c r="J426" i="10"/>
  <c r="I426" i="10"/>
  <c r="H426" i="10"/>
  <c r="G426" i="10"/>
  <c r="F426" i="10"/>
  <c r="E426" i="10"/>
  <c r="D426" i="10"/>
  <c r="C426" i="10"/>
  <c r="B426" i="10"/>
  <c r="A426" i="10"/>
  <c r="K425" i="10"/>
  <c r="J425" i="10"/>
  <c r="I425" i="10"/>
  <c r="H425" i="10"/>
  <c r="G425" i="10"/>
  <c r="F425" i="10"/>
  <c r="E425" i="10"/>
  <c r="D425" i="10"/>
  <c r="C425" i="10"/>
  <c r="B425" i="10"/>
  <c r="A425" i="10"/>
  <c r="K424" i="10"/>
  <c r="J424" i="10"/>
  <c r="I424" i="10"/>
  <c r="H424" i="10"/>
  <c r="G424" i="10"/>
  <c r="F424" i="10"/>
  <c r="E424" i="10"/>
  <c r="D424" i="10"/>
  <c r="C424" i="10"/>
  <c r="B424" i="10"/>
  <c r="A424" i="10"/>
  <c r="K423" i="10"/>
  <c r="J423" i="10"/>
  <c r="I423" i="10"/>
  <c r="H423" i="10"/>
  <c r="G423" i="10"/>
  <c r="F423" i="10"/>
  <c r="E423" i="10"/>
  <c r="D423" i="10"/>
  <c r="C423" i="10"/>
  <c r="B423" i="10"/>
  <c r="A423" i="10"/>
  <c r="K422" i="10"/>
  <c r="J422" i="10"/>
  <c r="I422" i="10"/>
  <c r="H422" i="10"/>
  <c r="G422" i="10"/>
  <c r="F422" i="10"/>
  <c r="E422" i="10"/>
  <c r="D422" i="10"/>
  <c r="C422" i="10"/>
  <c r="B422" i="10"/>
  <c r="A422" i="10"/>
  <c r="K421" i="10"/>
  <c r="J421" i="10"/>
  <c r="I421" i="10"/>
  <c r="H421" i="10"/>
  <c r="G421" i="10"/>
  <c r="F421" i="10"/>
  <c r="E421" i="10"/>
  <c r="D421" i="10"/>
  <c r="C421" i="10"/>
  <c r="B421" i="10"/>
  <c r="A421" i="10"/>
  <c r="K420" i="10"/>
  <c r="J420" i="10"/>
  <c r="I420" i="10"/>
  <c r="H420" i="10"/>
  <c r="G420" i="10"/>
  <c r="F420" i="10"/>
  <c r="E420" i="10"/>
  <c r="D420" i="10"/>
  <c r="C420" i="10"/>
  <c r="B420" i="10"/>
  <c r="A420" i="10"/>
  <c r="K419" i="10"/>
  <c r="J419" i="10"/>
  <c r="I419" i="10"/>
  <c r="H419" i="10"/>
  <c r="G419" i="10"/>
  <c r="F419" i="10"/>
  <c r="E419" i="10"/>
  <c r="D419" i="10"/>
  <c r="C419" i="10"/>
  <c r="B419" i="10"/>
  <c r="A419" i="10"/>
  <c r="K418" i="10"/>
  <c r="J418" i="10"/>
  <c r="I418" i="10"/>
  <c r="H418" i="10"/>
  <c r="G418" i="10"/>
  <c r="F418" i="10"/>
  <c r="E418" i="10"/>
  <c r="D418" i="10"/>
  <c r="C418" i="10"/>
  <c r="B418" i="10"/>
  <c r="A418" i="10"/>
  <c r="K417" i="10"/>
  <c r="J417" i="10"/>
  <c r="I417" i="10"/>
  <c r="H417" i="10"/>
  <c r="G417" i="10"/>
  <c r="F417" i="10"/>
  <c r="E417" i="10"/>
  <c r="D417" i="10"/>
  <c r="C417" i="10"/>
  <c r="B417" i="10"/>
  <c r="A417" i="10"/>
  <c r="K416" i="10"/>
  <c r="J416" i="10"/>
  <c r="I416" i="10"/>
  <c r="H416" i="10"/>
  <c r="G416" i="10"/>
  <c r="F416" i="10"/>
  <c r="E416" i="10"/>
  <c r="D416" i="10"/>
  <c r="C416" i="10"/>
  <c r="B416" i="10"/>
  <c r="A416" i="10"/>
  <c r="K415" i="10"/>
  <c r="J415" i="10"/>
  <c r="I415" i="10"/>
  <c r="H415" i="10"/>
  <c r="G415" i="10"/>
  <c r="F415" i="10"/>
  <c r="E415" i="10"/>
  <c r="D415" i="10"/>
  <c r="C415" i="10"/>
  <c r="B415" i="10"/>
  <c r="A415" i="10"/>
  <c r="K414" i="10"/>
  <c r="J414" i="10"/>
  <c r="I414" i="10"/>
  <c r="H414" i="10"/>
  <c r="G414" i="10"/>
  <c r="F414" i="10"/>
  <c r="E414" i="10"/>
  <c r="D414" i="10"/>
  <c r="C414" i="10"/>
  <c r="B414" i="10"/>
  <c r="A414" i="10"/>
  <c r="K413" i="10"/>
  <c r="I413" i="10"/>
  <c r="H413" i="10"/>
  <c r="G413" i="10"/>
  <c r="F413" i="10"/>
  <c r="E413" i="10"/>
  <c r="D413" i="10"/>
  <c r="C413" i="10"/>
  <c r="B413" i="10"/>
  <c r="A413" i="10"/>
  <c r="K412" i="10"/>
  <c r="J412" i="10"/>
  <c r="I412" i="10"/>
  <c r="H412" i="10"/>
  <c r="G412" i="10"/>
  <c r="F412" i="10"/>
  <c r="E412" i="10"/>
  <c r="D412" i="10"/>
  <c r="C412" i="10"/>
  <c r="B412" i="10"/>
  <c r="A412" i="10"/>
  <c r="K411" i="10"/>
  <c r="I411" i="10"/>
  <c r="H411" i="10"/>
  <c r="G411" i="10"/>
  <c r="F411" i="10"/>
  <c r="E411" i="10"/>
  <c r="D411" i="10"/>
  <c r="C411" i="10"/>
  <c r="B411" i="10"/>
  <c r="A411" i="10"/>
  <c r="K410" i="10"/>
  <c r="J410" i="10"/>
  <c r="I410" i="10"/>
  <c r="H410" i="10"/>
  <c r="G410" i="10"/>
  <c r="F410" i="10"/>
  <c r="E410" i="10"/>
  <c r="D410" i="10"/>
  <c r="C410" i="10"/>
  <c r="B410" i="10"/>
  <c r="A410" i="10"/>
  <c r="K409" i="10"/>
  <c r="J409" i="10"/>
  <c r="I409" i="10"/>
  <c r="H409" i="10"/>
  <c r="G409" i="10"/>
  <c r="F409" i="10"/>
  <c r="E409" i="10"/>
  <c r="D409" i="10"/>
  <c r="C409" i="10"/>
  <c r="B409" i="10"/>
  <c r="A409" i="10"/>
  <c r="K408" i="10"/>
  <c r="J408" i="10"/>
  <c r="I408" i="10"/>
  <c r="H408" i="10"/>
  <c r="G408" i="10"/>
  <c r="F408" i="10"/>
  <c r="E408" i="10"/>
  <c r="D408" i="10"/>
  <c r="C408" i="10"/>
  <c r="B408" i="10"/>
  <c r="A408" i="10"/>
  <c r="K407" i="10"/>
  <c r="J407" i="10"/>
  <c r="I407" i="10"/>
  <c r="H407" i="10"/>
  <c r="G407" i="10"/>
  <c r="F407" i="10"/>
  <c r="E407" i="10"/>
  <c r="D407" i="10"/>
  <c r="C407" i="10"/>
  <c r="B407" i="10"/>
  <c r="A407" i="10"/>
  <c r="K406" i="10"/>
  <c r="J406" i="10"/>
  <c r="I406" i="10"/>
  <c r="H406" i="10"/>
  <c r="G406" i="10"/>
  <c r="F406" i="10"/>
  <c r="E406" i="10"/>
  <c r="D406" i="10"/>
  <c r="C406" i="10"/>
  <c r="B406" i="10"/>
  <c r="A406" i="10"/>
  <c r="K405" i="10"/>
  <c r="J405" i="10"/>
  <c r="I405" i="10"/>
  <c r="H405" i="10"/>
  <c r="G405" i="10"/>
  <c r="F405" i="10"/>
  <c r="E405" i="10"/>
  <c r="D405" i="10"/>
  <c r="C405" i="10"/>
  <c r="B405" i="10"/>
  <c r="A405" i="10"/>
  <c r="K404" i="10"/>
  <c r="J404" i="10"/>
  <c r="I404" i="10"/>
  <c r="H404" i="10"/>
  <c r="G404" i="10"/>
  <c r="F404" i="10"/>
  <c r="E404" i="10"/>
  <c r="D404" i="10"/>
  <c r="C404" i="10"/>
  <c r="B404" i="10"/>
  <c r="A404" i="10"/>
  <c r="K403" i="10"/>
  <c r="J403" i="10"/>
  <c r="I403" i="10"/>
  <c r="H403" i="10"/>
  <c r="G403" i="10"/>
  <c r="F403" i="10"/>
  <c r="E403" i="10"/>
  <c r="D403" i="10"/>
  <c r="C403" i="10"/>
  <c r="B403" i="10"/>
  <c r="A403" i="10"/>
  <c r="K402" i="10"/>
  <c r="J402" i="10"/>
  <c r="I402" i="10"/>
  <c r="H402" i="10"/>
  <c r="G402" i="10"/>
  <c r="F402" i="10"/>
  <c r="E402" i="10"/>
  <c r="D402" i="10"/>
  <c r="C402" i="10"/>
  <c r="B402" i="10"/>
  <c r="A402" i="10"/>
  <c r="K401" i="10"/>
  <c r="J401" i="10"/>
  <c r="I401" i="10"/>
  <c r="H401" i="10"/>
  <c r="G401" i="10"/>
  <c r="F401" i="10"/>
  <c r="E401" i="10"/>
  <c r="D401" i="10"/>
  <c r="C401" i="10"/>
  <c r="B401" i="10"/>
  <c r="A401" i="10"/>
  <c r="K400" i="10"/>
  <c r="J400" i="10"/>
  <c r="I400" i="10"/>
  <c r="H400" i="10"/>
  <c r="G400" i="10"/>
  <c r="F400" i="10"/>
  <c r="E400" i="10"/>
  <c r="D400" i="10"/>
  <c r="C400" i="10"/>
  <c r="B400" i="10"/>
  <c r="A400" i="10"/>
  <c r="K399" i="10"/>
  <c r="J399" i="10"/>
  <c r="I399" i="10"/>
  <c r="H399" i="10"/>
  <c r="G399" i="10"/>
  <c r="F399" i="10"/>
  <c r="E399" i="10"/>
  <c r="D399" i="10"/>
  <c r="C399" i="10"/>
  <c r="B399" i="10"/>
  <c r="A399" i="10"/>
  <c r="K398" i="10"/>
  <c r="J398" i="10"/>
  <c r="I398" i="10"/>
  <c r="H398" i="10"/>
  <c r="G398" i="10"/>
  <c r="F398" i="10"/>
  <c r="E398" i="10"/>
  <c r="D398" i="10"/>
  <c r="C398" i="10"/>
  <c r="B398" i="10"/>
  <c r="A398" i="10"/>
  <c r="K397" i="10"/>
  <c r="J397" i="10"/>
  <c r="I397" i="10"/>
  <c r="H397" i="10"/>
  <c r="G397" i="10"/>
  <c r="F397" i="10"/>
  <c r="E397" i="10"/>
  <c r="D397" i="10"/>
  <c r="C397" i="10"/>
  <c r="B397" i="10"/>
  <c r="A397" i="10"/>
  <c r="K396" i="10"/>
  <c r="J396" i="10"/>
  <c r="I396" i="10"/>
  <c r="H396" i="10"/>
  <c r="G396" i="10"/>
  <c r="F396" i="10"/>
  <c r="E396" i="10"/>
  <c r="D396" i="10"/>
  <c r="C396" i="10"/>
  <c r="B396" i="10"/>
  <c r="A396" i="10"/>
  <c r="K395" i="10"/>
  <c r="J395" i="10"/>
  <c r="I395" i="10"/>
  <c r="H395" i="10"/>
  <c r="G395" i="10"/>
  <c r="F395" i="10"/>
  <c r="E395" i="10"/>
  <c r="D395" i="10"/>
  <c r="C395" i="10"/>
  <c r="B395" i="10"/>
  <c r="A395" i="10"/>
  <c r="K394" i="10"/>
  <c r="J394" i="10"/>
  <c r="I394" i="10"/>
  <c r="H394" i="10"/>
  <c r="G394" i="10"/>
  <c r="F394" i="10"/>
  <c r="E394" i="10"/>
  <c r="D394" i="10"/>
  <c r="C394" i="10"/>
  <c r="B394" i="10"/>
  <c r="A394" i="10"/>
  <c r="K393" i="10"/>
  <c r="J393" i="10"/>
  <c r="I393" i="10"/>
  <c r="H393" i="10"/>
  <c r="G393" i="10"/>
  <c r="F393" i="10"/>
  <c r="E393" i="10"/>
  <c r="D393" i="10"/>
  <c r="C393" i="10"/>
  <c r="B393" i="10"/>
  <c r="A393" i="10"/>
  <c r="K392" i="10"/>
  <c r="J392" i="10"/>
  <c r="I392" i="10"/>
  <c r="H392" i="10"/>
  <c r="G392" i="10"/>
  <c r="F392" i="10"/>
  <c r="E392" i="10"/>
  <c r="D392" i="10"/>
  <c r="C392" i="10"/>
  <c r="B392" i="10"/>
  <c r="A392" i="10"/>
  <c r="K391" i="10"/>
  <c r="J391" i="10"/>
  <c r="I391" i="10"/>
  <c r="H391" i="10"/>
  <c r="G391" i="10"/>
  <c r="F391" i="10"/>
  <c r="E391" i="10"/>
  <c r="D391" i="10"/>
  <c r="C391" i="10"/>
  <c r="B391" i="10"/>
  <c r="A391" i="10"/>
  <c r="K390" i="10"/>
  <c r="J390" i="10"/>
  <c r="I390" i="10"/>
  <c r="H390" i="10"/>
  <c r="G390" i="10"/>
  <c r="F390" i="10"/>
  <c r="E390" i="10"/>
  <c r="D390" i="10"/>
  <c r="C390" i="10"/>
  <c r="B390" i="10"/>
  <c r="A390" i="10"/>
  <c r="K389" i="10"/>
  <c r="J389" i="10"/>
  <c r="I389" i="10"/>
  <c r="H389" i="10"/>
  <c r="G389" i="10"/>
  <c r="F389" i="10"/>
  <c r="E389" i="10"/>
  <c r="D389" i="10"/>
  <c r="C389" i="10"/>
  <c r="B389" i="10"/>
  <c r="A389" i="10"/>
  <c r="K388" i="10"/>
  <c r="J388" i="10"/>
  <c r="I388" i="10"/>
  <c r="H388" i="10"/>
  <c r="G388" i="10"/>
  <c r="F388" i="10"/>
  <c r="E388" i="10"/>
  <c r="D388" i="10"/>
  <c r="C388" i="10"/>
  <c r="B388" i="10"/>
  <c r="A388" i="10"/>
  <c r="K387" i="10"/>
  <c r="J387" i="10"/>
  <c r="I387" i="10"/>
  <c r="H387" i="10"/>
  <c r="G387" i="10"/>
  <c r="F387" i="10"/>
  <c r="E387" i="10"/>
  <c r="D387" i="10"/>
  <c r="C387" i="10"/>
  <c r="B387" i="10"/>
  <c r="A387" i="10"/>
  <c r="K386" i="10"/>
  <c r="J386" i="10"/>
  <c r="I386" i="10"/>
  <c r="H386" i="10"/>
  <c r="G386" i="10"/>
  <c r="F386" i="10"/>
  <c r="E386" i="10"/>
  <c r="D386" i="10"/>
  <c r="C386" i="10"/>
  <c r="B386" i="10"/>
  <c r="A386" i="10"/>
  <c r="K385" i="10"/>
  <c r="J385" i="10"/>
  <c r="I385" i="10"/>
  <c r="H385" i="10"/>
  <c r="G385" i="10"/>
  <c r="F385" i="10"/>
  <c r="E385" i="10"/>
  <c r="D385" i="10"/>
  <c r="C385" i="10"/>
  <c r="B385" i="10"/>
  <c r="A385" i="10"/>
  <c r="K384" i="10"/>
  <c r="J384" i="10"/>
  <c r="I384" i="10"/>
  <c r="H384" i="10"/>
  <c r="G384" i="10"/>
  <c r="F384" i="10"/>
  <c r="E384" i="10"/>
  <c r="D384" i="10"/>
  <c r="C384" i="10"/>
  <c r="B384" i="10"/>
  <c r="A384" i="10"/>
  <c r="K383" i="10"/>
  <c r="J383" i="10"/>
  <c r="I383" i="10"/>
  <c r="H383" i="10"/>
  <c r="G383" i="10"/>
  <c r="F383" i="10"/>
  <c r="E383" i="10"/>
  <c r="D383" i="10"/>
  <c r="C383" i="10"/>
  <c r="B383" i="10"/>
  <c r="A383" i="10"/>
  <c r="K382" i="10"/>
  <c r="J382" i="10"/>
  <c r="I382" i="10"/>
  <c r="H382" i="10"/>
  <c r="G382" i="10"/>
  <c r="F382" i="10"/>
  <c r="E382" i="10"/>
  <c r="D382" i="10"/>
  <c r="C382" i="10"/>
  <c r="B382" i="10"/>
  <c r="A382" i="10"/>
  <c r="K381" i="10"/>
  <c r="J381" i="10"/>
  <c r="I381" i="10"/>
  <c r="H381" i="10"/>
  <c r="G381" i="10"/>
  <c r="F381" i="10"/>
  <c r="E381" i="10"/>
  <c r="D381" i="10"/>
  <c r="C381" i="10"/>
  <c r="B381" i="10"/>
  <c r="A381" i="10"/>
  <c r="K380" i="10"/>
  <c r="J380" i="10"/>
  <c r="I380" i="10"/>
  <c r="H380" i="10"/>
  <c r="G380" i="10"/>
  <c r="F380" i="10"/>
  <c r="E380" i="10"/>
  <c r="D380" i="10"/>
  <c r="C380" i="10"/>
  <c r="B380" i="10"/>
  <c r="A380" i="10"/>
  <c r="K379" i="10"/>
  <c r="J379" i="10"/>
  <c r="I379" i="10"/>
  <c r="H379" i="10"/>
  <c r="G379" i="10"/>
  <c r="F379" i="10"/>
  <c r="E379" i="10"/>
  <c r="D379" i="10"/>
  <c r="C379" i="10"/>
  <c r="B379" i="10"/>
  <c r="A379" i="10"/>
  <c r="K378" i="10"/>
  <c r="I378" i="10"/>
  <c r="H378" i="10"/>
  <c r="G378" i="10"/>
  <c r="F378" i="10"/>
  <c r="E378" i="10"/>
  <c r="D378" i="10"/>
  <c r="C378" i="10"/>
  <c r="B378" i="10"/>
  <c r="A378" i="10"/>
  <c r="K377" i="10"/>
  <c r="J377" i="10"/>
  <c r="I377" i="10"/>
  <c r="H377" i="10"/>
  <c r="G377" i="10"/>
  <c r="F377" i="10"/>
  <c r="E377" i="10"/>
  <c r="D377" i="10"/>
  <c r="C377" i="10"/>
  <c r="B377" i="10"/>
  <c r="A377" i="10"/>
  <c r="K376" i="10"/>
  <c r="J376" i="10"/>
  <c r="I376" i="10"/>
  <c r="H376" i="10"/>
  <c r="G376" i="10"/>
  <c r="F376" i="10"/>
  <c r="E376" i="10"/>
  <c r="D376" i="10"/>
  <c r="C376" i="10"/>
  <c r="B376" i="10"/>
  <c r="A376" i="10"/>
  <c r="K375" i="10"/>
  <c r="J375" i="10"/>
  <c r="I375" i="10"/>
  <c r="H375" i="10"/>
  <c r="G375" i="10"/>
  <c r="F375" i="10"/>
  <c r="E375" i="10"/>
  <c r="D375" i="10"/>
  <c r="C375" i="10"/>
  <c r="B375" i="10"/>
  <c r="A375" i="10"/>
  <c r="K374" i="10"/>
  <c r="J374" i="10"/>
  <c r="I374" i="10"/>
  <c r="H374" i="10"/>
  <c r="G374" i="10"/>
  <c r="F374" i="10"/>
  <c r="E374" i="10"/>
  <c r="D374" i="10"/>
  <c r="C374" i="10"/>
  <c r="B374" i="10"/>
  <c r="A374" i="10"/>
  <c r="K373" i="10"/>
  <c r="J373" i="10"/>
  <c r="I373" i="10"/>
  <c r="H373" i="10"/>
  <c r="G373" i="10"/>
  <c r="F373" i="10"/>
  <c r="E373" i="10"/>
  <c r="D373" i="10"/>
  <c r="C373" i="10"/>
  <c r="B373" i="10"/>
  <c r="A373" i="10"/>
  <c r="K372" i="10"/>
  <c r="J372" i="10"/>
  <c r="I372" i="10"/>
  <c r="H372" i="10"/>
  <c r="G372" i="10"/>
  <c r="F372" i="10"/>
  <c r="E372" i="10"/>
  <c r="D372" i="10"/>
  <c r="C372" i="10"/>
  <c r="B372" i="10"/>
  <c r="A372" i="10"/>
  <c r="K371" i="10"/>
  <c r="J371" i="10"/>
  <c r="I371" i="10"/>
  <c r="H371" i="10"/>
  <c r="G371" i="10"/>
  <c r="F371" i="10"/>
  <c r="E371" i="10"/>
  <c r="D371" i="10"/>
  <c r="C371" i="10"/>
  <c r="B371" i="10"/>
  <c r="A371" i="10"/>
  <c r="K370" i="10"/>
  <c r="J370" i="10"/>
  <c r="I370" i="10"/>
  <c r="H370" i="10"/>
  <c r="G370" i="10"/>
  <c r="F370" i="10"/>
  <c r="E370" i="10"/>
  <c r="D370" i="10"/>
  <c r="C370" i="10"/>
  <c r="B370" i="10"/>
  <c r="A370" i="10"/>
  <c r="K369" i="10"/>
  <c r="J369" i="10"/>
  <c r="I369" i="10"/>
  <c r="H369" i="10"/>
  <c r="G369" i="10"/>
  <c r="F369" i="10"/>
  <c r="E369" i="10"/>
  <c r="D369" i="10"/>
  <c r="C369" i="10"/>
  <c r="B369" i="10"/>
  <c r="A369" i="10"/>
  <c r="K368" i="10"/>
  <c r="J368" i="10"/>
  <c r="I368" i="10"/>
  <c r="H368" i="10"/>
  <c r="G368" i="10"/>
  <c r="F368" i="10"/>
  <c r="E368" i="10"/>
  <c r="D368" i="10"/>
  <c r="C368" i="10"/>
  <c r="B368" i="10"/>
  <c r="A368" i="10"/>
  <c r="K367" i="10"/>
  <c r="J367" i="10"/>
  <c r="I367" i="10"/>
  <c r="H367" i="10"/>
  <c r="G367" i="10"/>
  <c r="F367" i="10"/>
  <c r="E367" i="10"/>
  <c r="D367" i="10"/>
  <c r="C367" i="10"/>
  <c r="B367" i="10"/>
  <c r="A367" i="10"/>
  <c r="K366" i="10"/>
  <c r="J366" i="10"/>
  <c r="I366" i="10"/>
  <c r="H366" i="10"/>
  <c r="G366" i="10"/>
  <c r="F366" i="10"/>
  <c r="E366" i="10"/>
  <c r="D366" i="10"/>
  <c r="C366" i="10"/>
  <c r="B366" i="10"/>
  <c r="A366" i="10"/>
  <c r="K365" i="10"/>
  <c r="J365" i="10"/>
  <c r="I365" i="10"/>
  <c r="H365" i="10"/>
  <c r="G365" i="10"/>
  <c r="F365" i="10"/>
  <c r="E365" i="10"/>
  <c r="D365" i="10"/>
  <c r="C365" i="10"/>
  <c r="B365" i="10"/>
  <c r="A365" i="10"/>
  <c r="K364" i="10"/>
  <c r="J364" i="10"/>
  <c r="I364" i="10"/>
  <c r="H364" i="10"/>
  <c r="G364" i="10"/>
  <c r="F364" i="10"/>
  <c r="E364" i="10"/>
  <c r="D364" i="10"/>
  <c r="C364" i="10"/>
  <c r="B364" i="10"/>
  <c r="A364" i="10"/>
  <c r="K363" i="10"/>
  <c r="J363" i="10"/>
  <c r="I363" i="10"/>
  <c r="H363" i="10"/>
  <c r="G363" i="10"/>
  <c r="F363" i="10"/>
  <c r="E363" i="10"/>
  <c r="D363" i="10"/>
  <c r="C363" i="10"/>
  <c r="B363" i="10"/>
  <c r="A363" i="10"/>
  <c r="K362" i="10"/>
  <c r="J362" i="10"/>
  <c r="I362" i="10"/>
  <c r="H362" i="10"/>
  <c r="G362" i="10"/>
  <c r="F362" i="10"/>
  <c r="E362" i="10"/>
  <c r="D362" i="10"/>
  <c r="C362" i="10"/>
  <c r="B362" i="10"/>
  <c r="A362" i="10"/>
  <c r="K361" i="10"/>
  <c r="J361" i="10"/>
  <c r="I361" i="10"/>
  <c r="H361" i="10"/>
  <c r="G361" i="10"/>
  <c r="F361" i="10"/>
  <c r="E361" i="10"/>
  <c r="D361" i="10"/>
  <c r="C361" i="10"/>
  <c r="B361" i="10"/>
  <c r="A361" i="10"/>
  <c r="K360" i="10"/>
  <c r="J360" i="10"/>
  <c r="I360" i="10"/>
  <c r="H360" i="10"/>
  <c r="G360" i="10"/>
  <c r="F360" i="10"/>
  <c r="E360" i="10"/>
  <c r="D360" i="10"/>
  <c r="C360" i="10"/>
  <c r="B360" i="10"/>
  <c r="A360" i="10"/>
  <c r="K359" i="10"/>
  <c r="J359" i="10"/>
  <c r="I359" i="10"/>
  <c r="H359" i="10"/>
  <c r="G359" i="10"/>
  <c r="F359" i="10"/>
  <c r="E359" i="10"/>
  <c r="D359" i="10"/>
  <c r="C359" i="10"/>
  <c r="B359" i="10"/>
  <c r="A359" i="10"/>
  <c r="K358" i="10"/>
  <c r="J358" i="10"/>
  <c r="I358" i="10"/>
  <c r="H358" i="10"/>
  <c r="G358" i="10"/>
  <c r="F358" i="10"/>
  <c r="E358" i="10"/>
  <c r="D358" i="10"/>
  <c r="C358" i="10"/>
  <c r="B358" i="10"/>
  <c r="A358" i="10"/>
  <c r="K357" i="10"/>
  <c r="J357" i="10"/>
  <c r="I357" i="10"/>
  <c r="H357" i="10"/>
  <c r="G357" i="10"/>
  <c r="F357" i="10"/>
  <c r="E357" i="10"/>
  <c r="D357" i="10"/>
  <c r="C357" i="10"/>
  <c r="B357" i="10"/>
  <c r="A357" i="10"/>
  <c r="K356" i="10"/>
  <c r="J356" i="10"/>
  <c r="I356" i="10"/>
  <c r="H356" i="10"/>
  <c r="G356" i="10"/>
  <c r="F356" i="10"/>
  <c r="E356" i="10"/>
  <c r="D356" i="10"/>
  <c r="C356" i="10"/>
  <c r="B356" i="10"/>
  <c r="A356" i="10"/>
  <c r="K355" i="10"/>
  <c r="I355" i="10"/>
  <c r="H355" i="10"/>
  <c r="G355" i="10"/>
  <c r="F355" i="10"/>
  <c r="E355" i="10"/>
  <c r="D355" i="10"/>
  <c r="C355" i="10"/>
  <c r="B355" i="10"/>
  <c r="A355" i="10"/>
  <c r="K354" i="10"/>
  <c r="J354" i="10"/>
  <c r="I354" i="10"/>
  <c r="H354" i="10"/>
  <c r="G354" i="10"/>
  <c r="F354" i="10"/>
  <c r="E354" i="10"/>
  <c r="D354" i="10"/>
  <c r="C354" i="10"/>
  <c r="B354" i="10"/>
  <c r="A354" i="10"/>
  <c r="K353" i="10"/>
  <c r="J353" i="10"/>
  <c r="I353" i="10"/>
  <c r="H353" i="10"/>
  <c r="G353" i="10"/>
  <c r="F353" i="10"/>
  <c r="E353" i="10"/>
  <c r="D353" i="10"/>
  <c r="C353" i="10"/>
  <c r="B353" i="10"/>
  <c r="A353" i="10"/>
  <c r="K352" i="10"/>
  <c r="J352" i="10"/>
  <c r="I352" i="10"/>
  <c r="H352" i="10"/>
  <c r="G352" i="10"/>
  <c r="F352" i="10"/>
  <c r="E352" i="10"/>
  <c r="D352" i="10"/>
  <c r="C352" i="10"/>
  <c r="B352" i="10"/>
  <c r="A352" i="10"/>
  <c r="K351" i="10"/>
  <c r="J351" i="10"/>
  <c r="I351" i="10"/>
  <c r="H351" i="10"/>
  <c r="G351" i="10"/>
  <c r="F351" i="10"/>
  <c r="E351" i="10"/>
  <c r="D351" i="10"/>
  <c r="C351" i="10"/>
  <c r="B351" i="10"/>
  <c r="A351" i="10"/>
  <c r="K350" i="10"/>
  <c r="J350" i="10"/>
  <c r="I350" i="10"/>
  <c r="H350" i="10"/>
  <c r="G350" i="10"/>
  <c r="F350" i="10"/>
  <c r="E350" i="10"/>
  <c r="D350" i="10"/>
  <c r="C350" i="10"/>
  <c r="B350" i="10"/>
  <c r="A350" i="10"/>
  <c r="K349" i="10"/>
  <c r="J349" i="10"/>
  <c r="I349" i="10"/>
  <c r="H349" i="10"/>
  <c r="G349" i="10"/>
  <c r="F349" i="10"/>
  <c r="E349" i="10"/>
  <c r="D349" i="10"/>
  <c r="C349" i="10"/>
  <c r="B349" i="10"/>
  <c r="A349" i="10"/>
  <c r="K348" i="10"/>
  <c r="J348" i="10"/>
  <c r="I348" i="10"/>
  <c r="H348" i="10"/>
  <c r="G348" i="10"/>
  <c r="F348" i="10"/>
  <c r="E348" i="10"/>
  <c r="D348" i="10"/>
  <c r="C348" i="10"/>
  <c r="B348" i="10"/>
  <c r="A348" i="10"/>
  <c r="K347" i="10"/>
  <c r="J347" i="10"/>
  <c r="I347" i="10"/>
  <c r="H347" i="10"/>
  <c r="G347" i="10"/>
  <c r="F347" i="10"/>
  <c r="E347" i="10"/>
  <c r="D347" i="10"/>
  <c r="C347" i="10"/>
  <c r="B347" i="10"/>
  <c r="A347" i="10"/>
  <c r="K346" i="10"/>
  <c r="J346" i="10"/>
  <c r="I346" i="10"/>
  <c r="H346" i="10"/>
  <c r="G346" i="10"/>
  <c r="F346" i="10"/>
  <c r="E346" i="10"/>
  <c r="D346" i="10"/>
  <c r="C346" i="10"/>
  <c r="B346" i="10"/>
  <c r="A346" i="10"/>
  <c r="K345" i="10"/>
  <c r="J345" i="10"/>
  <c r="I345" i="10"/>
  <c r="H345" i="10"/>
  <c r="G345" i="10"/>
  <c r="F345" i="10"/>
  <c r="E345" i="10"/>
  <c r="D345" i="10"/>
  <c r="C345" i="10"/>
  <c r="B345" i="10"/>
  <c r="A345" i="10"/>
  <c r="K344" i="10"/>
  <c r="J344" i="10"/>
  <c r="I344" i="10"/>
  <c r="H344" i="10"/>
  <c r="G344" i="10"/>
  <c r="F344" i="10"/>
  <c r="E344" i="10"/>
  <c r="D344" i="10"/>
  <c r="C344" i="10"/>
  <c r="B344" i="10"/>
  <c r="A344" i="10"/>
  <c r="K343" i="10"/>
  <c r="J343" i="10"/>
  <c r="I343" i="10"/>
  <c r="H343" i="10"/>
  <c r="G343" i="10"/>
  <c r="F343" i="10"/>
  <c r="E343" i="10"/>
  <c r="D343" i="10"/>
  <c r="C343" i="10"/>
  <c r="B343" i="10"/>
  <c r="A343" i="10"/>
  <c r="K342" i="10"/>
  <c r="J342" i="10"/>
  <c r="I342" i="10"/>
  <c r="H342" i="10"/>
  <c r="G342" i="10"/>
  <c r="F342" i="10"/>
  <c r="E342" i="10"/>
  <c r="D342" i="10"/>
  <c r="C342" i="10"/>
  <c r="B342" i="10"/>
  <c r="A342" i="10"/>
  <c r="K341" i="10"/>
  <c r="J341" i="10"/>
  <c r="I341" i="10"/>
  <c r="H341" i="10"/>
  <c r="G341" i="10"/>
  <c r="F341" i="10"/>
  <c r="E341" i="10"/>
  <c r="D341" i="10"/>
  <c r="C341" i="10"/>
  <c r="B341" i="10"/>
  <c r="A341" i="10"/>
  <c r="K340" i="10"/>
  <c r="J340" i="10"/>
  <c r="I340" i="10"/>
  <c r="H340" i="10"/>
  <c r="G340" i="10"/>
  <c r="F340" i="10"/>
  <c r="E340" i="10"/>
  <c r="D340" i="10"/>
  <c r="C340" i="10"/>
  <c r="B340" i="10"/>
  <c r="A340" i="10"/>
  <c r="K339" i="10"/>
  <c r="J339" i="10"/>
  <c r="I339" i="10"/>
  <c r="H339" i="10"/>
  <c r="G339" i="10"/>
  <c r="F339" i="10"/>
  <c r="E339" i="10"/>
  <c r="D339" i="10"/>
  <c r="C339" i="10"/>
  <c r="B339" i="10"/>
  <c r="A339" i="10"/>
  <c r="K338" i="10"/>
  <c r="J338" i="10"/>
  <c r="I338" i="10"/>
  <c r="H338" i="10"/>
  <c r="G338" i="10"/>
  <c r="F338" i="10"/>
  <c r="E338" i="10"/>
  <c r="D338" i="10"/>
  <c r="C338" i="10"/>
  <c r="B338" i="10"/>
  <c r="A338" i="10"/>
  <c r="K337" i="10"/>
  <c r="J337" i="10"/>
  <c r="I337" i="10"/>
  <c r="H337" i="10"/>
  <c r="G337" i="10"/>
  <c r="F337" i="10"/>
  <c r="E337" i="10"/>
  <c r="D337" i="10"/>
  <c r="C337" i="10"/>
  <c r="B337" i="10"/>
  <c r="A337" i="10"/>
  <c r="K336" i="10"/>
  <c r="J336" i="10"/>
  <c r="I336" i="10"/>
  <c r="H336" i="10"/>
  <c r="G336" i="10"/>
  <c r="F336" i="10"/>
  <c r="E336" i="10"/>
  <c r="D336" i="10"/>
  <c r="C336" i="10"/>
  <c r="B336" i="10"/>
  <c r="A336" i="10"/>
  <c r="K335" i="10"/>
  <c r="J335" i="10"/>
  <c r="I335" i="10"/>
  <c r="H335" i="10"/>
  <c r="G335" i="10"/>
  <c r="F335" i="10"/>
  <c r="E335" i="10"/>
  <c r="D335" i="10"/>
  <c r="C335" i="10"/>
  <c r="B335" i="10"/>
  <c r="A335" i="10"/>
  <c r="K334" i="10"/>
  <c r="J334" i="10"/>
  <c r="I334" i="10"/>
  <c r="H334" i="10"/>
  <c r="G334" i="10"/>
  <c r="F334" i="10"/>
  <c r="E334" i="10"/>
  <c r="D334" i="10"/>
  <c r="C334" i="10"/>
  <c r="B334" i="10"/>
  <c r="A334" i="10"/>
  <c r="K333" i="10"/>
  <c r="J333" i="10"/>
  <c r="I333" i="10"/>
  <c r="H333" i="10"/>
  <c r="G333" i="10"/>
  <c r="F333" i="10"/>
  <c r="E333" i="10"/>
  <c r="D333" i="10"/>
  <c r="C333" i="10"/>
  <c r="B333" i="10"/>
  <c r="A333" i="10"/>
  <c r="K332" i="10"/>
  <c r="I332" i="10"/>
  <c r="H332" i="10"/>
  <c r="G332" i="10"/>
  <c r="F332" i="10"/>
  <c r="E332" i="10"/>
  <c r="D332" i="10"/>
  <c r="C332" i="10"/>
  <c r="B332" i="10"/>
  <c r="A332" i="10"/>
  <c r="K331" i="10"/>
  <c r="J331" i="10"/>
  <c r="I331" i="10"/>
  <c r="H331" i="10"/>
  <c r="G331" i="10"/>
  <c r="F331" i="10"/>
  <c r="E331" i="10"/>
  <c r="D331" i="10"/>
  <c r="C331" i="10"/>
  <c r="B331" i="10"/>
  <c r="A331" i="10"/>
  <c r="K330" i="10"/>
  <c r="J330" i="10"/>
  <c r="I330" i="10"/>
  <c r="H330" i="10"/>
  <c r="G330" i="10"/>
  <c r="F330" i="10"/>
  <c r="E330" i="10"/>
  <c r="D330" i="10"/>
  <c r="C330" i="10"/>
  <c r="B330" i="10"/>
  <c r="A330" i="10"/>
  <c r="K329" i="10"/>
  <c r="J329" i="10"/>
  <c r="I329" i="10"/>
  <c r="H329" i="10"/>
  <c r="G329" i="10"/>
  <c r="F329" i="10"/>
  <c r="E329" i="10"/>
  <c r="D329" i="10"/>
  <c r="C329" i="10"/>
  <c r="B329" i="10"/>
  <c r="A329" i="10"/>
  <c r="K328" i="10"/>
  <c r="J328" i="10"/>
  <c r="I328" i="10"/>
  <c r="H328" i="10"/>
  <c r="G328" i="10"/>
  <c r="F328" i="10"/>
  <c r="E328" i="10"/>
  <c r="D328" i="10"/>
  <c r="C328" i="10"/>
  <c r="B328" i="10"/>
  <c r="A328" i="10"/>
  <c r="K327" i="10"/>
  <c r="J327" i="10"/>
  <c r="I327" i="10"/>
  <c r="H327" i="10"/>
  <c r="G327" i="10"/>
  <c r="F327" i="10"/>
  <c r="E327" i="10"/>
  <c r="D327" i="10"/>
  <c r="C327" i="10"/>
  <c r="B327" i="10"/>
  <c r="A327" i="10"/>
  <c r="K326" i="10"/>
  <c r="J326" i="10"/>
  <c r="I326" i="10"/>
  <c r="H326" i="10"/>
  <c r="G326" i="10"/>
  <c r="F326" i="10"/>
  <c r="E326" i="10"/>
  <c r="D326" i="10"/>
  <c r="C326" i="10"/>
  <c r="B326" i="10"/>
  <c r="A326" i="10"/>
  <c r="K325" i="10"/>
  <c r="J325" i="10"/>
  <c r="I325" i="10"/>
  <c r="H325" i="10"/>
  <c r="G325" i="10"/>
  <c r="F325" i="10"/>
  <c r="E325" i="10"/>
  <c r="D325" i="10"/>
  <c r="C325" i="10"/>
  <c r="B325" i="10"/>
  <c r="A325" i="10"/>
  <c r="K324" i="10"/>
  <c r="J324" i="10"/>
  <c r="I324" i="10"/>
  <c r="H324" i="10"/>
  <c r="G324" i="10"/>
  <c r="F324" i="10"/>
  <c r="E324" i="10"/>
  <c r="D324" i="10"/>
  <c r="C324" i="10"/>
  <c r="B324" i="10"/>
  <c r="A324" i="10"/>
  <c r="K323" i="10"/>
  <c r="J323" i="10"/>
  <c r="I323" i="10"/>
  <c r="H323" i="10"/>
  <c r="G323" i="10"/>
  <c r="F323" i="10"/>
  <c r="E323" i="10"/>
  <c r="D323" i="10"/>
  <c r="C323" i="10"/>
  <c r="B323" i="10"/>
  <c r="A323" i="10"/>
  <c r="K322" i="10"/>
  <c r="J322" i="10"/>
  <c r="I322" i="10"/>
  <c r="H322" i="10"/>
  <c r="G322" i="10"/>
  <c r="F322" i="10"/>
  <c r="E322" i="10"/>
  <c r="D322" i="10"/>
  <c r="C322" i="10"/>
  <c r="B322" i="10"/>
  <c r="A322" i="10"/>
  <c r="K321" i="10"/>
  <c r="J321" i="10"/>
  <c r="I321" i="10"/>
  <c r="H321" i="10"/>
  <c r="G321" i="10"/>
  <c r="F321" i="10"/>
  <c r="E321" i="10"/>
  <c r="D321" i="10"/>
  <c r="C321" i="10"/>
  <c r="B321" i="10"/>
  <c r="A321" i="10"/>
  <c r="K320" i="10"/>
  <c r="J320" i="10"/>
  <c r="I320" i="10"/>
  <c r="H320" i="10"/>
  <c r="G320" i="10"/>
  <c r="F320" i="10"/>
  <c r="E320" i="10"/>
  <c r="D320" i="10"/>
  <c r="C320" i="10"/>
  <c r="B320" i="10"/>
  <c r="A320" i="10"/>
  <c r="K319" i="10"/>
  <c r="J319" i="10"/>
  <c r="I319" i="10"/>
  <c r="H319" i="10"/>
  <c r="G319" i="10"/>
  <c r="F319" i="10"/>
  <c r="E319" i="10"/>
  <c r="D319" i="10"/>
  <c r="C319" i="10"/>
  <c r="B319" i="10"/>
  <c r="A319" i="10"/>
  <c r="K318" i="10"/>
  <c r="J318" i="10"/>
  <c r="I318" i="10"/>
  <c r="H318" i="10"/>
  <c r="G318" i="10"/>
  <c r="F318" i="10"/>
  <c r="E318" i="10"/>
  <c r="D318" i="10"/>
  <c r="C318" i="10"/>
  <c r="B318" i="10"/>
  <c r="A318" i="10"/>
  <c r="K317" i="10"/>
  <c r="J317" i="10"/>
  <c r="I317" i="10"/>
  <c r="H317" i="10"/>
  <c r="G317" i="10"/>
  <c r="F317" i="10"/>
  <c r="E317" i="10"/>
  <c r="D317" i="10"/>
  <c r="C317" i="10"/>
  <c r="B317" i="10"/>
  <c r="A317" i="10"/>
  <c r="K316" i="10"/>
  <c r="J316" i="10"/>
  <c r="I316" i="10"/>
  <c r="H316" i="10"/>
  <c r="G316" i="10"/>
  <c r="F316" i="10"/>
  <c r="E316" i="10"/>
  <c r="D316" i="10"/>
  <c r="C316" i="10"/>
  <c r="B316" i="10"/>
  <c r="A316" i="10"/>
  <c r="K315" i="10"/>
  <c r="J315" i="10"/>
  <c r="I315" i="10"/>
  <c r="H315" i="10"/>
  <c r="G315" i="10"/>
  <c r="F315" i="10"/>
  <c r="E315" i="10"/>
  <c r="D315" i="10"/>
  <c r="C315" i="10"/>
  <c r="B315" i="10"/>
  <c r="A315" i="10"/>
  <c r="K314" i="10"/>
  <c r="J314" i="10"/>
  <c r="I314" i="10"/>
  <c r="H314" i="10"/>
  <c r="G314" i="10"/>
  <c r="F314" i="10"/>
  <c r="E314" i="10"/>
  <c r="D314" i="10"/>
  <c r="C314" i="10"/>
  <c r="B314" i="10"/>
  <c r="A314" i="10"/>
  <c r="K313" i="10"/>
  <c r="J313" i="10"/>
  <c r="I313" i="10"/>
  <c r="H313" i="10"/>
  <c r="G313" i="10"/>
  <c r="F313" i="10"/>
  <c r="E313" i="10"/>
  <c r="D313" i="10"/>
  <c r="C313" i="10"/>
  <c r="B313" i="10"/>
  <c r="A313" i="10"/>
  <c r="K312" i="10"/>
  <c r="J312" i="10"/>
  <c r="I312" i="10"/>
  <c r="H312" i="10"/>
  <c r="G312" i="10"/>
  <c r="F312" i="10"/>
  <c r="E312" i="10"/>
  <c r="D312" i="10"/>
  <c r="C312" i="10"/>
  <c r="B312" i="10"/>
  <c r="A312" i="10"/>
  <c r="K311" i="10"/>
  <c r="J311" i="10"/>
  <c r="I311" i="10"/>
  <c r="H311" i="10"/>
  <c r="G311" i="10"/>
  <c r="F311" i="10"/>
  <c r="E311" i="10"/>
  <c r="D311" i="10"/>
  <c r="C311" i="10"/>
  <c r="B311" i="10"/>
  <c r="A311" i="10"/>
  <c r="K310" i="10"/>
  <c r="J310" i="10"/>
  <c r="I310" i="10"/>
  <c r="H310" i="10"/>
  <c r="G310" i="10"/>
  <c r="F310" i="10"/>
  <c r="E310" i="10"/>
  <c r="D310" i="10"/>
  <c r="C310" i="10"/>
  <c r="B310" i="10"/>
  <c r="A310" i="10"/>
  <c r="K309" i="10"/>
  <c r="J309" i="10"/>
  <c r="I309" i="10"/>
  <c r="H309" i="10"/>
  <c r="G309" i="10"/>
  <c r="F309" i="10"/>
  <c r="E309" i="10"/>
  <c r="D309" i="10"/>
  <c r="C309" i="10"/>
  <c r="B309" i="10"/>
  <c r="A309" i="10"/>
  <c r="K308" i="10"/>
  <c r="J308" i="10"/>
  <c r="I308" i="10"/>
  <c r="H308" i="10"/>
  <c r="G308" i="10"/>
  <c r="F308" i="10"/>
  <c r="E308" i="10"/>
  <c r="D308" i="10"/>
  <c r="C308" i="10"/>
  <c r="B308" i="10"/>
  <c r="A308" i="10"/>
  <c r="K307" i="10"/>
  <c r="J307" i="10"/>
  <c r="I307" i="10"/>
  <c r="H307" i="10"/>
  <c r="G307" i="10"/>
  <c r="F307" i="10"/>
  <c r="E307" i="10"/>
  <c r="D307" i="10"/>
  <c r="C307" i="10"/>
  <c r="B307" i="10"/>
  <c r="A307" i="10"/>
  <c r="K306" i="10"/>
  <c r="J306" i="10"/>
  <c r="I306" i="10"/>
  <c r="H306" i="10"/>
  <c r="G306" i="10"/>
  <c r="F306" i="10"/>
  <c r="E306" i="10"/>
  <c r="D306" i="10"/>
  <c r="C306" i="10"/>
  <c r="B306" i="10"/>
  <c r="A306" i="10"/>
  <c r="K305" i="10"/>
  <c r="J305" i="10"/>
  <c r="I305" i="10"/>
  <c r="H305" i="10"/>
  <c r="G305" i="10"/>
  <c r="F305" i="10"/>
  <c r="E305" i="10"/>
  <c r="D305" i="10"/>
  <c r="C305" i="10"/>
  <c r="B305" i="10"/>
  <c r="A305" i="10"/>
  <c r="K304" i="10"/>
  <c r="J304" i="10"/>
  <c r="I304" i="10"/>
  <c r="H304" i="10"/>
  <c r="G304" i="10"/>
  <c r="F304" i="10"/>
  <c r="E304" i="10"/>
  <c r="D304" i="10"/>
  <c r="C304" i="10"/>
  <c r="B304" i="10"/>
  <c r="A304" i="10"/>
  <c r="K303" i="10"/>
  <c r="J303" i="10"/>
  <c r="I303" i="10"/>
  <c r="H303" i="10"/>
  <c r="G303" i="10"/>
  <c r="F303" i="10"/>
  <c r="E303" i="10"/>
  <c r="D303" i="10"/>
  <c r="C303" i="10"/>
  <c r="B303" i="10"/>
  <c r="A303" i="10"/>
  <c r="K302" i="10"/>
  <c r="J302" i="10"/>
  <c r="I302" i="10"/>
  <c r="H302" i="10"/>
  <c r="G302" i="10"/>
  <c r="F302" i="10"/>
  <c r="E302" i="10"/>
  <c r="D302" i="10"/>
  <c r="C302" i="10"/>
  <c r="B302" i="10"/>
  <c r="A302" i="10"/>
  <c r="K301" i="10"/>
  <c r="J301" i="10"/>
  <c r="I301" i="10"/>
  <c r="H301" i="10"/>
  <c r="G301" i="10"/>
  <c r="F301" i="10"/>
  <c r="E301" i="10"/>
  <c r="D301" i="10"/>
  <c r="C301" i="10"/>
  <c r="B301" i="10"/>
  <c r="A301" i="10"/>
  <c r="K300" i="10"/>
  <c r="J300" i="10"/>
  <c r="I300" i="10"/>
  <c r="H300" i="10"/>
  <c r="G300" i="10"/>
  <c r="F300" i="10"/>
  <c r="E300" i="10"/>
  <c r="D300" i="10"/>
  <c r="C300" i="10"/>
  <c r="B300" i="10"/>
  <c r="A300" i="10"/>
  <c r="K299" i="10"/>
  <c r="J299" i="10"/>
  <c r="I299" i="10"/>
  <c r="H299" i="10"/>
  <c r="G299" i="10"/>
  <c r="F299" i="10"/>
  <c r="E299" i="10"/>
  <c r="D299" i="10"/>
  <c r="C299" i="10"/>
  <c r="B299" i="10"/>
  <c r="A299" i="10"/>
  <c r="K298" i="10"/>
  <c r="J298" i="10"/>
  <c r="I298" i="10"/>
  <c r="H298" i="10"/>
  <c r="G298" i="10"/>
  <c r="F298" i="10"/>
  <c r="E298" i="10"/>
  <c r="D298" i="10"/>
  <c r="C298" i="10"/>
  <c r="B298" i="10"/>
  <c r="A298" i="10"/>
  <c r="K297" i="10"/>
  <c r="J297" i="10"/>
  <c r="I297" i="10"/>
  <c r="H297" i="10"/>
  <c r="G297" i="10"/>
  <c r="F297" i="10"/>
  <c r="E297" i="10"/>
  <c r="D297" i="10"/>
  <c r="C297" i="10"/>
  <c r="B297" i="10"/>
  <c r="A297" i="10"/>
  <c r="K296" i="10"/>
  <c r="J296" i="10"/>
  <c r="I296" i="10"/>
  <c r="H296" i="10"/>
  <c r="G296" i="10"/>
  <c r="F296" i="10"/>
  <c r="E296" i="10"/>
  <c r="D296" i="10"/>
  <c r="C296" i="10"/>
  <c r="B296" i="10"/>
  <c r="A296" i="10"/>
  <c r="K295" i="10"/>
  <c r="J295" i="10"/>
  <c r="I295" i="10"/>
  <c r="H295" i="10"/>
  <c r="G295" i="10"/>
  <c r="F295" i="10"/>
  <c r="E295" i="10"/>
  <c r="D295" i="10"/>
  <c r="C295" i="10"/>
  <c r="B295" i="10"/>
  <c r="A295" i="10"/>
  <c r="K294" i="10"/>
  <c r="J294" i="10"/>
  <c r="I294" i="10"/>
  <c r="H294" i="10"/>
  <c r="G294" i="10"/>
  <c r="F294" i="10"/>
  <c r="E294" i="10"/>
  <c r="D294" i="10"/>
  <c r="C294" i="10"/>
  <c r="B294" i="10"/>
  <c r="A294" i="10"/>
  <c r="K293" i="10"/>
  <c r="J293" i="10"/>
  <c r="I293" i="10"/>
  <c r="H293" i="10"/>
  <c r="G293" i="10"/>
  <c r="F293" i="10"/>
  <c r="E293" i="10"/>
  <c r="D293" i="10"/>
  <c r="C293" i="10"/>
  <c r="B293" i="10"/>
  <c r="A293" i="10"/>
  <c r="K292" i="10"/>
  <c r="J292" i="10"/>
  <c r="I292" i="10"/>
  <c r="H292" i="10"/>
  <c r="G292" i="10"/>
  <c r="F292" i="10"/>
  <c r="E292" i="10"/>
  <c r="D292" i="10"/>
  <c r="C292" i="10"/>
  <c r="B292" i="10"/>
  <c r="A292" i="10"/>
  <c r="K291" i="10"/>
  <c r="J291" i="10"/>
  <c r="I291" i="10"/>
  <c r="H291" i="10"/>
  <c r="G291" i="10"/>
  <c r="F291" i="10"/>
  <c r="E291" i="10"/>
  <c r="D291" i="10"/>
  <c r="C291" i="10"/>
  <c r="B291" i="10"/>
  <c r="A291" i="10"/>
  <c r="K290" i="10"/>
  <c r="J290" i="10"/>
  <c r="I290" i="10"/>
  <c r="H290" i="10"/>
  <c r="G290" i="10"/>
  <c r="F290" i="10"/>
  <c r="E290" i="10"/>
  <c r="D290" i="10"/>
  <c r="C290" i="10"/>
  <c r="B290" i="10"/>
  <c r="A290" i="10"/>
  <c r="K289" i="10"/>
  <c r="J289" i="10"/>
  <c r="I289" i="10"/>
  <c r="H289" i="10"/>
  <c r="G289" i="10"/>
  <c r="F289" i="10"/>
  <c r="E289" i="10"/>
  <c r="D289" i="10"/>
  <c r="C289" i="10"/>
  <c r="B289" i="10"/>
  <c r="A289" i="10"/>
  <c r="K288" i="10"/>
  <c r="J288" i="10"/>
  <c r="I288" i="10"/>
  <c r="H288" i="10"/>
  <c r="G288" i="10"/>
  <c r="F288" i="10"/>
  <c r="E288" i="10"/>
  <c r="D288" i="10"/>
  <c r="C288" i="10"/>
  <c r="B288" i="10"/>
  <c r="A288" i="10"/>
  <c r="K287" i="10"/>
  <c r="I287" i="10"/>
  <c r="H287" i="10"/>
  <c r="G287" i="10"/>
  <c r="F287" i="10"/>
  <c r="E287" i="10"/>
  <c r="D287" i="10"/>
  <c r="C287" i="10"/>
  <c r="B287" i="10"/>
  <c r="A287" i="10"/>
  <c r="K286" i="10"/>
  <c r="J286" i="10"/>
  <c r="I286" i="10"/>
  <c r="H286" i="10"/>
  <c r="G286" i="10"/>
  <c r="F286" i="10"/>
  <c r="E286" i="10"/>
  <c r="D286" i="10"/>
  <c r="C286" i="10"/>
  <c r="B286" i="10"/>
  <c r="A286" i="10"/>
  <c r="K285" i="10"/>
  <c r="J285" i="10"/>
  <c r="I285" i="10"/>
  <c r="H285" i="10"/>
  <c r="G285" i="10"/>
  <c r="F285" i="10"/>
  <c r="E285" i="10"/>
  <c r="D285" i="10"/>
  <c r="C285" i="10"/>
  <c r="B285" i="10"/>
  <c r="A285" i="10"/>
  <c r="K284" i="10"/>
  <c r="J284" i="10"/>
  <c r="I284" i="10"/>
  <c r="H284" i="10"/>
  <c r="G284" i="10"/>
  <c r="F284" i="10"/>
  <c r="E284" i="10"/>
  <c r="D284" i="10"/>
  <c r="C284" i="10"/>
  <c r="B284" i="10"/>
  <c r="A284" i="10"/>
  <c r="K283" i="10"/>
  <c r="J283" i="10"/>
  <c r="I283" i="10"/>
  <c r="H283" i="10"/>
  <c r="G283" i="10"/>
  <c r="F283" i="10"/>
  <c r="E283" i="10"/>
  <c r="D283" i="10"/>
  <c r="C283" i="10"/>
  <c r="B283" i="10"/>
  <c r="A283" i="10"/>
  <c r="K282" i="10"/>
  <c r="I282" i="10"/>
  <c r="H282" i="10"/>
  <c r="G282" i="10"/>
  <c r="F282" i="10"/>
  <c r="E282" i="10"/>
  <c r="D282" i="10"/>
  <c r="C282" i="10"/>
  <c r="B282" i="10"/>
  <c r="A282" i="10"/>
  <c r="K281" i="10"/>
  <c r="J281" i="10"/>
  <c r="I281" i="10"/>
  <c r="H281" i="10"/>
  <c r="G281" i="10"/>
  <c r="F281" i="10"/>
  <c r="E281" i="10"/>
  <c r="D281" i="10"/>
  <c r="C281" i="10"/>
  <c r="B281" i="10"/>
  <c r="A281" i="10"/>
  <c r="K280" i="10"/>
  <c r="I280" i="10"/>
  <c r="H280" i="10"/>
  <c r="G280" i="10"/>
  <c r="F280" i="10"/>
  <c r="E280" i="10"/>
  <c r="D280" i="10"/>
  <c r="C280" i="10"/>
  <c r="B280" i="10"/>
  <c r="A280" i="10"/>
  <c r="K279" i="10"/>
  <c r="J279" i="10"/>
  <c r="I279" i="10"/>
  <c r="H279" i="10"/>
  <c r="G279" i="10"/>
  <c r="F279" i="10"/>
  <c r="E279" i="10"/>
  <c r="D279" i="10"/>
  <c r="C279" i="10"/>
  <c r="B279" i="10"/>
  <c r="A279" i="10"/>
  <c r="K278" i="10"/>
  <c r="J278" i="10"/>
  <c r="I278" i="10"/>
  <c r="H278" i="10"/>
  <c r="G278" i="10"/>
  <c r="F278" i="10"/>
  <c r="E278" i="10"/>
  <c r="D278" i="10"/>
  <c r="C278" i="10"/>
  <c r="B278" i="10"/>
  <c r="A278" i="10"/>
  <c r="K277" i="10"/>
  <c r="J277" i="10"/>
  <c r="I277" i="10"/>
  <c r="H277" i="10"/>
  <c r="G277" i="10"/>
  <c r="F277" i="10"/>
  <c r="E277" i="10"/>
  <c r="D277" i="10"/>
  <c r="C277" i="10"/>
  <c r="B277" i="10"/>
  <c r="A277" i="10"/>
  <c r="K276" i="10"/>
  <c r="J276" i="10"/>
  <c r="I276" i="10"/>
  <c r="H276" i="10"/>
  <c r="G276" i="10"/>
  <c r="F276" i="10"/>
  <c r="E276" i="10"/>
  <c r="D276" i="10"/>
  <c r="C276" i="10"/>
  <c r="B276" i="10"/>
  <c r="A276" i="10"/>
  <c r="K275" i="10"/>
  <c r="I275" i="10"/>
  <c r="H275" i="10"/>
  <c r="G275" i="10"/>
  <c r="F275" i="10"/>
  <c r="E275" i="10"/>
  <c r="D275" i="10"/>
  <c r="C275" i="10"/>
  <c r="B275" i="10"/>
  <c r="A275" i="10"/>
  <c r="K274" i="10"/>
  <c r="J274" i="10"/>
  <c r="I274" i="10"/>
  <c r="H274" i="10"/>
  <c r="G274" i="10"/>
  <c r="F274" i="10"/>
  <c r="E274" i="10"/>
  <c r="D274" i="10"/>
  <c r="C274" i="10"/>
  <c r="B274" i="10"/>
  <c r="A274" i="10"/>
  <c r="K273" i="10"/>
  <c r="J273" i="10"/>
  <c r="I273" i="10"/>
  <c r="H273" i="10"/>
  <c r="G273" i="10"/>
  <c r="F273" i="10"/>
  <c r="E273" i="10"/>
  <c r="D273" i="10"/>
  <c r="C273" i="10"/>
  <c r="B273" i="10"/>
  <c r="A273" i="10"/>
  <c r="K272" i="10"/>
  <c r="J272" i="10"/>
  <c r="I272" i="10"/>
  <c r="H272" i="10"/>
  <c r="G272" i="10"/>
  <c r="F272" i="10"/>
  <c r="E272" i="10"/>
  <c r="D272" i="10"/>
  <c r="C272" i="10"/>
  <c r="B272" i="10"/>
  <c r="A272" i="10"/>
  <c r="K271" i="10"/>
  <c r="J271" i="10"/>
  <c r="I271" i="10"/>
  <c r="H271" i="10"/>
  <c r="G271" i="10"/>
  <c r="F271" i="10"/>
  <c r="E271" i="10"/>
  <c r="D271" i="10"/>
  <c r="C271" i="10"/>
  <c r="B271" i="10"/>
  <c r="A271" i="10"/>
  <c r="K270" i="10"/>
  <c r="J270" i="10"/>
  <c r="I270" i="10"/>
  <c r="H270" i="10"/>
  <c r="G270" i="10"/>
  <c r="F270" i="10"/>
  <c r="E270" i="10"/>
  <c r="D270" i="10"/>
  <c r="C270" i="10"/>
  <c r="B270" i="10"/>
  <c r="A270" i="10"/>
  <c r="K269" i="10"/>
  <c r="J269" i="10"/>
  <c r="I269" i="10"/>
  <c r="H269" i="10"/>
  <c r="G269" i="10"/>
  <c r="F269" i="10"/>
  <c r="E269" i="10"/>
  <c r="D269" i="10"/>
  <c r="C269" i="10"/>
  <c r="B269" i="10"/>
  <c r="A269" i="10"/>
  <c r="K268" i="10"/>
  <c r="J268" i="10"/>
  <c r="I268" i="10"/>
  <c r="H268" i="10"/>
  <c r="G268" i="10"/>
  <c r="F268" i="10"/>
  <c r="E268" i="10"/>
  <c r="D268" i="10"/>
  <c r="C268" i="10"/>
  <c r="B268" i="10"/>
  <c r="A268" i="10"/>
  <c r="K267" i="10"/>
  <c r="J267" i="10"/>
  <c r="I267" i="10"/>
  <c r="H267" i="10"/>
  <c r="G267" i="10"/>
  <c r="F267" i="10"/>
  <c r="E267" i="10"/>
  <c r="D267" i="10"/>
  <c r="C267" i="10"/>
  <c r="B267" i="10"/>
  <c r="A267" i="10"/>
  <c r="K266" i="10"/>
  <c r="J266" i="10"/>
  <c r="I266" i="10"/>
  <c r="H266" i="10"/>
  <c r="G266" i="10"/>
  <c r="F266" i="10"/>
  <c r="E266" i="10"/>
  <c r="D266" i="10"/>
  <c r="C266" i="10"/>
  <c r="B266" i="10"/>
  <c r="A266" i="10"/>
  <c r="K265" i="10"/>
  <c r="I265" i="10"/>
  <c r="H265" i="10"/>
  <c r="G265" i="10"/>
  <c r="F265" i="10"/>
  <c r="E265" i="10"/>
  <c r="D265" i="10"/>
  <c r="C265" i="10"/>
  <c r="B265" i="10"/>
  <c r="A265" i="10"/>
  <c r="K264" i="10"/>
  <c r="J264" i="10"/>
  <c r="I264" i="10"/>
  <c r="H264" i="10"/>
  <c r="G264" i="10"/>
  <c r="F264" i="10"/>
  <c r="E264" i="10"/>
  <c r="D264" i="10"/>
  <c r="C264" i="10"/>
  <c r="B264" i="10"/>
  <c r="A264" i="10"/>
  <c r="K263" i="10"/>
  <c r="J263" i="10"/>
  <c r="I263" i="10"/>
  <c r="H263" i="10"/>
  <c r="G263" i="10"/>
  <c r="F263" i="10"/>
  <c r="E263" i="10"/>
  <c r="D263" i="10"/>
  <c r="C263" i="10"/>
  <c r="B263" i="10"/>
  <c r="A263" i="10"/>
  <c r="K262" i="10"/>
  <c r="J262" i="10"/>
  <c r="I262" i="10"/>
  <c r="H262" i="10"/>
  <c r="G262" i="10"/>
  <c r="F262" i="10"/>
  <c r="E262" i="10"/>
  <c r="D262" i="10"/>
  <c r="C262" i="10"/>
  <c r="B262" i="10"/>
  <c r="A262" i="10"/>
  <c r="K261" i="10"/>
  <c r="J261" i="10"/>
  <c r="I261" i="10"/>
  <c r="H261" i="10"/>
  <c r="G261" i="10"/>
  <c r="F261" i="10"/>
  <c r="E261" i="10"/>
  <c r="D261" i="10"/>
  <c r="C261" i="10"/>
  <c r="B261" i="10"/>
  <c r="A261" i="10"/>
  <c r="K260" i="10"/>
  <c r="J260" i="10"/>
  <c r="I260" i="10"/>
  <c r="H260" i="10"/>
  <c r="G260" i="10"/>
  <c r="F260" i="10"/>
  <c r="E260" i="10"/>
  <c r="D260" i="10"/>
  <c r="C260" i="10"/>
  <c r="B260" i="10"/>
  <c r="A260" i="10"/>
  <c r="K259" i="10"/>
  <c r="J259" i="10"/>
  <c r="I259" i="10"/>
  <c r="H259" i="10"/>
  <c r="G259" i="10"/>
  <c r="F259" i="10"/>
  <c r="E259" i="10"/>
  <c r="D259" i="10"/>
  <c r="C259" i="10"/>
  <c r="B259" i="10"/>
  <c r="A259" i="10"/>
  <c r="K258" i="10"/>
  <c r="J258" i="10"/>
  <c r="I258" i="10"/>
  <c r="H258" i="10"/>
  <c r="G258" i="10"/>
  <c r="F258" i="10"/>
  <c r="E258" i="10"/>
  <c r="D258" i="10"/>
  <c r="C258" i="10"/>
  <c r="B258" i="10"/>
  <c r="A258" i="10"/>
  <c r="K257" i="10"/>
  <c r="J257" i="10"/>
  <c r="I257" i="10"/>
  <c r="H257" i="10"/>
  <c r="G257" i="10"/>
  <c r="F257" i="10"/>
  <c r="E257" i="10"/>
  <c r="D257" i="10"/>
  <c r="C257" i="10"/>
  <c r="B257" i="10"/>
  <c r="A257" i="10"/>
  <c r="K256" i="10"/>
  <c r="J256" i="10"/>
  <c r="I256" i="10"/>
  <c r="H256" i="10"/>
  <c r="G256" i="10"/>
  <c r="F256" i="10"/>
  <c r="E256" i="10"/>
  <c r="D256" i="10"/>
  <c r="C256" i="10"/>
  <c r="B256" i="10"/>
  <c r="A256" i="10"/>
  <c r="K255" i="10"/>
  <c r="J255" i="10"/>
  <c r="I255" i="10"/>
  <c r="H255" i="10"/>
  <c r="G255" i="10"/>
  <c r="F255" i="10"/>
  <c r="E255" i="10"/>
  <c r="D255" i="10"/>
  <c r="C255" i="10"/>
  <c r="B255" i="10"/>
  <c r="A255" i="10"/>
  <c r="K254" i="10"/>
  <c r="J254" i="10"/>
  <c r="I254" i="10"/>
  <c r="H254" i="10"/>
  <c r="G254" i="10"/>
  <c r="F254" i="10"/>
  <c r="E254" i="10"/>
  <c r="D254" i="10"/>
  <c r="C254" i="10"/>
  <c r="B254" i="10"/>
  <c r="A254" i="10"/>
  <c r="K253" i="10"/>
  <c r="J253" i="10"/>
  <c r="I253" i="10"/>
  <c r="H253" i="10"/>
  <c r="G253" i="10"/>
  <c r="F253" i="10"/>
  <c r="E253" i="10"/>
  <c r="D253" i="10"/>
  <c r="C253" i="10"/>
  <c r="B253" i="10"/>
  <c r="A253" i="10"/>
  <c r="K252" i="10"/>
  <c r="J252" i="10"/>
  <c r="I252" i="10"/>
  <c r="H252" i="10"/>
  <c r="G252" i="10"/>
  <c r="F252" i="10"/>
  <c r="E252" i="10"/>
  <c r="D252" i="10"/>
  <c r="C252" i="10"/>
  <c r="B252" i="10"/>
  <c r="A252" i="10"/>
  <c r="K251" i="10"/>
  <c r="J251" i="10"/>
  <c r="I251" i="10"/>
  <c r="H251" i="10"/>
  <c r="G251" i="10"/>
  <c r="F251" i="10"/>
  <c r="E251" i="10"/>
  <c r="D251" i="10"/>
  <c r="C251" i="10"/>
  <c r="B251" i="10"/>
  <c r="A251" i="10"/>
  <c r="K250" i="10"/>
  <c r="J250" i="10"/>
  <c r="I250" i="10"/>
  <c r="H250" i="10"/>
  <c r="G250" i="10"/>
  <c r="F250" i="10"/>
  <c r="E250" i="10"/>
  <c r="D250" i="10"/>
  <c r="C250" i="10"/>
  <c r="B250" i="10"/>
  <c r="A250" i="10"/>
  <c r="K249" i="10"/>
  <c r="J249" i="10"/>
  <c r="I249" i="10"/>
  <c r="H249" i="10"/>
  <c r="G249" i="10"/>
  <c r="F249" i="10"/>
  <c r="E249" i="10"/>
  <c r="D249" i="10"/>
  <c r="C249" i="10"/>
  <c r="B249" i="10"/>
  <c r="A249" i="10"/>
  <c r="K248" i="10"/>
  <c r="J248" i="10"/>
  <c r="I248" i="10"/>
  <c r="H248" i="10"/>
  <c r="G248" i="10"/>
  <c r="F248" i="10"/>
  <c r="E248" i="10"/>
  <c r="D248" i="10"/>
  <c r="C248" i="10"/>
  <c r="B248" i="10"/>
  <c r="A248" i="10"/>
  <c r="K247" i="10"/>
  <c r="J247" i="10"/>
  <c r="I247" i="10"/>
  <c r="H247" i="10"/>
  <c r="G247" i="10"/>
  <c r="F247" i="10"/>
  <c r="E247" i="10"/>
  <c r="D247" i="10"/>
  <c r="C247" i="10"/>
  <c r="B247" i="10"/>
  <c r="A247" i="10"/>
  <c r="K246" i="10"/>
  <c r="I246" i="10"/>
  <c r="H246" i="10"/>
  <c r="G246" i="10"/>
  <c r="F246" i="10"/>
  <c r="E246" i="10"/>
  <c r="D246" i="10"/>
  <c r="C246" i="10"/>
  <c r="B246" i="10"/>
  <c r="A246" i="10"/>
  <c r="K245" i="10"/>
  <c r="J245" i="10"/>
  <c r="I245" i="10"/>
  <c r="H245" i="10"/>
  <c r="G245" i="10"/>
  <c r="F245" i="10"/>
  <c r="E245" i="10"/>
  <c r="D245" i="10"/>
  <c r="C245" i="10"/>
  <c r="B245" i="10"/>
  <c r="A245" i="10"/>
  <c r="K244" i="10"/>
  <c r="J244" i="10"/>
  <c r="I244" i="10"/>
  <c r="H244" i="10"/>
  <c r="G244" i="10"/>
  <c r="F244" i="10"/>
  <c r="E244" i="10"/>
  <c r="D244" i="10"/>
  <c r="C244" i="10"/>
  <c r="B244" i="10"/>
  <c r="A244" i="10"/>
  <c r="K243" i="10"/>
  <c r="J243" i="10"/>
  <c r="I243" i="10"/>
  <c r="H243" i="10"/>
  <c r="G243" i="10"/>
  <c r="F243" i="10"/>
  <c r="E243" i="10"/>
  <c r="D243" i="10"/>
  <c r="C243" i="10"/>
  <c r="B243" i="10"/>
  <c r="A243" i="10"/>
  <c r="K242" i="10"/>
  <c r="J242" i="10"/>
  <c r="I242" i="10"/>
  <c r="H242" i="10"/>
  <c r="G242" i="10"/>
  <c r="F242" i="10"/>
  <c r="E242" i="10"/>
  <c r="D242" i="10"/>
  <c r="C242" i="10"/>
  <c r="B242" i="10"/>
  <c r="A242" i="10"/>
  <c r="K241" i="10"/>
  <c r="J241" i="10"/>
  <c r="I241" i="10"/>
  <c r="H241" i="10"/>
  <c r="G241" i="10"/>
  <c r="F241" i="10"/>
  <c r="E241" i="10"/>
  <c r="D241" i="10"/>
  <c r="C241" i="10"/>
  <c r="B241" i="10"/>
  <c r="A241" i="10"/>
  <c r="K240" i="10"/>
  <c r="J240" i="10"/>
  <c r="I240" i="10"/>
  <c r="H240" i="10"/>
  <c r="G240" i="10"/>
  <c r="F240" i="10"/>
  <c r="E240" i="10"/>
  <c r="D240" i="10"/>
  <c r="C240" i="10"/>
  <c r="B240" i="10"/>
  <c r="A240" i="10"/>
  <c r="K239" i="10"/>
  <c r="J239" i="10"/>
  <c r="I239" i="10"/>
  <c r="H239" i="10"/>
  <c r="G239" i="10"/>
  <c r="F239" i="10"/>
  <c r="E239" i="10"/>
  <c r="D239" i="10"/>
  <c r="C239" i="10"/>
  <c r="B239" i="10"/>
  <c r="A239" i="10"/>
  <c r="K238" i="10"/>
  <c r="J238" i="10"/>
  <c r="I238" i="10"/>
  <c r="H238" i="10"/>
  <c r="G238" i="10"/>
  <c r="F238" i="10"/>
  <c r="E238" i="10"/>
  <c r="D238" i="10"/>
  <c r="C238" i="10"/>
  <c r="B238" i="10"/>
  <c r="A238" i="10"/>
  <c r="K237" i="10"/>
  <c r="I237" i="10"/>
  <c r="H237" i="10"/>
  <c r="G237" i="10"/>
  <c r="F237" i="10"/>
  <c r="E237" i="10"/>
  <c r="D237" i="10"/>
  <c r="C237" i="10"/>
  <c r="B237" i="10"/>
  <c r="A237" i="10"/>
  <c r="K236" i="10"/>
  <c r="J236" i="10"/>
  <c r="I236" i="10"/>
  <c r="H236" i="10"/>
  <c r="G236" i="10"/>
  <c r="F236" i="10"/>
  <c r="E236" i="10"/>
  <c r="D236" i="10"/>
  <c r="C236" i="10"/>
  <c r="B236" i="10"/>
  <c r="A236" i="10"/>
  <c r="K235" i="10"/>
  <c r="J235" i="10"/>
  <c r="I235" i="10"/>
  <c r="H235" i="10"/>
  <c r="G235" i="10"/>
  <c r="F235" i="10"/>
  <c r="E235" i="10"/>
  <c r="D235" i="10"/>
  <c r="C235" i="10"/>
  <c r="B235" i="10"/>
  <c r="A235" i="10"/>
  <c r="K234" i="10"/>
  <c r="J234" i="10"/>
  <c r="I234" i="10"/>
  <c r="H234" i="10"/>
  <c r="G234" i="10"/>
  <c r="F234" i="10"/>
  <c r="E234" i="10"/>
  <c r="D234" i="10"/>
  <c r="C234" i="10"/>
  <c r="B234" i="10"/>
  <c r="A234" i="10"/>
  <c r="K233" i="10"/>
  <c r="J233" i="10"/>
  <c r="I233" i="10"/>
  <c r="H233" i="10"/>
  <c r="G233" i="10"/>
  <c r="F233" i="10"/>
  <c r="E233" i="10"/>
  <c r="D233" i="10"/>
  <c r="C233" i="10"/>
  <c r="B233" i="10"/>
  <c r="A233" i="10"/>
  <c r="K232" i="10"/>
  <c r="J232" i="10"/>
  <c r="I232" i="10"/>
  <c r="H232" i="10"/>
  <c r="G232" i="10"/>
  <c r="F232" i="10"/>
  <c r="E232" i="10"/>
  <c r="D232" i="10"/>
  <c r="C232" i="10"/>
  <c r="B232" i="10"/>
  <c r="A232" i="10"/>
  <c r="K231" i="10"/>
  <c r="J231" i="10"/>
  <c r="I231" i="10"/>
  <c r="H231" i="10"/>
  <c r="G231" i="10"/>
  <c r="F231" i="10"/>
  <c r="E231" i="10"/>
  <c r="D231" i="10"/>
  <c r="C231" i="10"/>
  <c r="B231" i="10"/>
  <c r="A231" i="10"/>
  <c r="K230" i="10"/>
  <c r="J230" i="10"/>
  <c r="I230" i="10"/>
  <c r="H230" i="10"/>
  <c r="G230" i="10"/>
  <c r="F230" i="10"/>
  <c r="E230" i="10"/>
  <c r="D230" i="10"/>
  <c r="C230" i="10"/>
  <c r="B230" i="10"/>
  <c r="A230" i="10"/>
  <c r="K229" i="10"/>
  <c r="J229" i="10"/>
  <c r="I229" i="10"/>
  <c r="H229" i="10"/>
  <c r="G229" i="10"/>
  <c r="F229" i="10"/>
  <c r="E229" i="10"/>
  <c r="D229" i="10"/>
  <c r="C229" i="10"/>
  <c r="B229" i="10"/>
  <c r="A229" i="10"/>
  <c r="K228" i="10"/>
  <c r="J228" i="10"/>
  <c r="I228" i="10"/>
  <c r="H228" i="10"/>
  <c r="G228" i="10"/>
  <c r="F228" i="10"/>
  <c r="E228" i="10"/>
  <c r="D228" i="10"/>
  <c r="C228" i="10"/>
  <c r="B228" i="10"/>
  <c r="A228" i="10"/>
  <c r="K227" i="10"/>
  <c r="J227" i="10"/>
  <c r="I227" i="10"/>
  <c r="H227" i="10"/>
  <c r="G227" i="10"/>
  <c r="F227" i="10"/>
  <c r="E227" i="10"/>
  <c r="D227" i="10"/>
  <c r="C227" i="10"/>
  <c r="B227" i="10"/>
  <c r="A227" i="10"/>
  <c r="K226" i="10"/>
  <c r="J226" i="10"/>
  <c r="I226" i="10"/>
  <c r="H226" i="10"/>
  <c r="G226" i="10"/>
  <c r="F226" i="10"/>
  <c r="E226" i="10"/>
  <c r="D226" i="10"/>
  <c r="C226" i="10"/>
  <c r="B226" i="10"/>
  <c r="A226" i="10"/>
  <c r="K225" i="10"/>
  <c r="J225" i="10"/>
  <c r="I225" i="10"/>
  <c r="H225" i="10"/>
  <c r="G225" i="10"/>
  <c r="F225" i="10"/>
  <c r="E225" i="10"/>
  <c r="D225" i="10"/>
  <c r="C225" i="10"/>
  <c r="B225" i="10"/>
  <c r="A225" i="10"/>
  <c r="K224" i="10"/>
  <c r="J224" i="10"/>
  <c r="I224" i="10"/>
  <c r="H224" i="10"/>
  <c r="G224" i="10"/>
  <c r="F224" i="10"/>
  <c r="E224" i="10"/>
  <c r="D224" i="10"/>
  <c r="C224" i="10"/>
  <c r="B224" i="10"/>
  <c r="A224" i="10"/>
  <c r="K223" i="10"/>
  <c r="J223" i="10"/>
  <c r="I223" i="10"/>
  <c r="H223" i="10"/>
  <c r="G223" i="10"/>
  <c r="F223" i="10"/>
  <c r="E223" i="10"/>
  <c r="D223" i="10"/>
  <c r="C223" i="10"/>
  <c r="B223" i="10"/>
  <c r="A223" i="10"/>
  <c r="K222" i="10"/>
  <c r="J222" i="10"/>
  <c r="I222" i="10"/>
  <c r="H222" i="10"/>
  <c r="G222" i="10"/>
  <c r="F222" i="10"/>
  <c r="E222" i="10"/>
  <c r="D222" i="10"/>
  <c r="C222" i="10"/>
  <c r="B222" i="10"/>
  <c r="A222" i="10"/>
  <c r="K221" i="10"/>
  <c r="J221" i="10"/>
  <c r="I221" i="10"/>
  <c r="H221" i="10"/>
  <c r="G221" i="10"/>
  <c r="F221" i="10"/>
  <c r="E221" i="10"/>
  <c r="D221" i="10"/>
  <c r="C221" i="10"/>
  <c r="B221" i="10"/>
  <c r="A221" i="10"/>
  <c r="K220" i="10"/>
  <c r="J220" i="10"/>
  <c r="I220" i="10"/>
  <c r="H220" i="10"/>
  <c r="G220" i="10"/>
  <c r="F220" i="10"/>
  <c r="E220" i="10"/>
  <c r="D220" i="10"/>
  <c r="C220" i="10"/>
  <c r="B220" i="10"/>
  <c r="A220" i="10"/>
  <c r="K219" i="10"/>
  <c r="J219" i="10"/>
  <c r="I219" i="10"/>
  <c r="H219" i="10"/>
  <c r="G219" i="10"/>
  <c r="F219" i="10"/>
  <c r="E219" i="10"/>
  <c r="D219" i="10"/>
  <c r="C219" i="10"/>
  <c r="B219" i="10"/>
  <c r="A219" i="10"/>
  <c r="K218" i="10"/>
  <c r="J218" i="10"/>
  <c r="I218" i="10"/>
  <c r="H218" i="10"/>
  <c r="G218" i="10"/>
  <c r="F218" i="10"/>
  <c r="E218" i="10"/>
  <c r="D218" i="10"/>
  <c r="C218" i="10"/>
  <c r="B218" i="10"/>
  <c r="A218" i="10"/>
  <c r="K217" i="10"/>
  <c r="J217" i="10"/>
  <c r="I217" i="10"/>
  <c r="H217" i="10"/>
  <c r="G217" i="10"/>
  <c r="F217" i="10"/>
  <c r="E217" i="10"/>
  <c r="D217" i="10"/>
  <c r="C217" i="10"/>
  <c r="B217" i="10"/>
  <c r="A217" i="10"/>
  <c r="K216" i="10"/>
  <c r="J216" i="10"/>
  <c r="I216" i="10"/>
  <c r="H216" i="10"/>
  <c r="G216" i="10"/>
  <c r="F216" i="10"/>
  <c r="E216" i="10"/>
  <c r="D216" i="10"/>
  <c r="C216" i="10"/>
  <c r="B216" i="10"/>
  <c r="A216" i="10"/>
  <c r="K215" i="10"/>
  <c r="J215" i="10"/>
  <c r="I215" i="10"/>
  <c r="H215" i="10"/>
  <c r="G215" i="10"/>
  <c r="F215" i="10"/>
  <c r="E215" i="10"/>
  <c r="D215" i="10"/>
  <c r="C215" i="10"/>
  <c r="B215" i="10"/>
  <c r="A215" i="10"/>
  <c r="K214" i="10"/>
  <c r="J214" i="10"/>
  <c r="I214" i="10"/>
  <c r="H214" i="10"/>
  <c r="G214" i="10"/>
  <c r="F214" i="10"/>
  <c r="E214" i="10"/>
  <c r="D214" i="10"/>
  <c r="C214" i="10"/>
  <c r="B214" i="10"/>
  <c r="A214" i="10"/>
  <c r="K213" i="10"/>
  <c r="I213" i="10"/>
  <c r="H213" i="10"/>
  <c r="G213" i="10"/>
  <c r="F213" i="10"/>
  <c r="E213" i="10"/>
  <c r="D213" i="10"/>
  <c r="C213" i="10"/>
  <c r="B213" i="10"/>
  <c r="A213" i="10"/>
  <c r="K212" i="10"/>
  <c r="I212" i="10"/>
  <c r="H212" i="10"/>
  <c r="G212" i="10"/>
  <c r="F212" i="10"/>
  <c r="E212" i="10"/>
  <c r="D212" i="10"/>
  <c r="C212" i="10"/>
  <c r="B212" i="10"/>
  <c r="A212" i="10"/>
  <c r="K211" i="10"/>
  <c r="J211" i="10"/>
  <c r="I211" i="10"/>
  <c r="H211" i="10"/>
  <c r="G211" i="10"/>
  <c r="F211" i="10"/>
  <c r="E211" i="10"/>
  <c r="D211" i="10"/>
  <c r="C211" i="10"/>
  <c r="B211" i="10"/>
  <c r="A211" i="10"/>
  <c r="K210" i="10"/>
  <c r="J210" i="10"/>
  <c r="I210" i="10"/>
  <c r="H210" i="10"/>
  <c r="G210" i="10"/>
  <c r="F210" i="10"/>
  <c r="E210" i="10"/>
  <c r="D210" i="10"/>
  <c r="C210" i="10"/>
  <c r="B210" i="10"/>
  <c r="A210" i="10"/>
  <c r="K209" i="10"/>
  <c r="J209" i="10"/>
  <c r="I209" i="10"/>
  <c r="H209" i="10"/>
  <c r="G209" i="10"/>
  <c r="F209" i="10"/>
  <c r="E209" i="10"/>
  <c r="D209" i="10"/>
  <c r="C209" i="10"/>
  <c r="B209" i="10"/>
  <c r="A209" i="10"/>
  <c r="K208" i="10"/>
  <c r="J208" i="10"/>
  <c r="I208" i="10"/>
  <c r="H208" i="10"/>
  <c r="G208" i="10"/>
  <c r="F208" i="10"/>
  <c r="E208" i="10"/>
  <c r="D208" i="10"/>
  <c r="C208" i="10"/>
  <c r="B208" i="10"/>
  <c r="A208" i="10"/>
  <c r="K207" i="10"/>
  <c r="J207" i="10"/>
  <c r="I207" i="10"/>
  <c r="H207" i="10"/>
  <c r="G207" i="10"/>
  <c r="F207" i="10"/>
  <c r="E207" i="10"/>
  <c r="D207" i="10"/>
  <c r="C207" i="10"/>
  <c r="B207" i="10"/>
  <c r="A207" i="10"/>
  <c r="K206" i="10"/>
  <c r="J206" i="10"/>
  <c r="I206" i="10"/>
  <c r="H206" i="10"/>
  <c r="G206" i="10"/>
  <c r="F206" i="10"/>
  <c r="E206" i="10"/>
  <c r="D206" i="10"/>
  <c r="C206" i="10"/>
  <c r="B206" i="10"/>
  <c r="A206" i="10"/>
  <c r="K205" i="10"/>
  <c r="J205" i="10"/>
  <c r="I205" i="10"/>
  <c r="H205" i="10"/>
  <c r="G205" i="10"/>
  <c r="F205" i="10"/>
  <c r="E205" i="10"/>
  <c r="D205" i="10"/>
  <c r="C205" i="10"/>
  <c r="B205" i="10"/>
  <c r="A205" i="10"/>
  <c r="K204" i="10"/>
  <c r="J204" i="10"/>
  <c r="I204" i="10"/>
  <c r="H204" i="10"/>
  <c r="G204" i="10"/>
  <c r="F204" i="10"/>
  <c r="E204" i="10"/>
  <c r="D204" i="10"/>
  <c r="C204" i="10"/>
  <c r="B204" i="10"/>
  <c r="A204" i="10"/>
  <c r="K203" i="10"/>
  <c r="J203" i="10"/>
  <c r="I203" i="10"/>
  <c r="H203" i="10"/>
  <c r="G203" i="10"/>
  <c r="F203" i="10"/>
  <c r="E203" i="10"/>
  <c r="D203" i="10"/>
  <c r="C203" i="10"/>
  <c r="B203" i="10"/>
  <c r="A203" i="10"/>
  <c r="K202" i="10"/>
  <c r="J202" i="10"/>
  <c r="I202" i="10"/>
  <c r="H202" i="10"/>
  <c r="G202" i="10"/>
  <c r="F202" i="10"/>
  <c r="E202" i="10"/>
  <c r="D202" i="10"/>
  <c r="C202" i="10"/>
  <c r="B202" i="10"/>
  <c r="A202" i="10"/>
  <c r="K201" i="10"/>
  <c r="J201" i="10"/>
  <c r="I201" i="10"/>
  <c r="H201" i="10"/>
  <c r="G201" i="10"/>
  <c r="F201" i="10"/>
  <c r="E201" i="10"/>
  <c r="D201" i="10"/>
  <c r="C201" i="10"/>
  <c r="B201" i="10"/>
  <c r="A201" i="10"/>
  <c r="K200" i="10"/>
  <c r="J200" i="10"/>
  <c r="I200" i="10"/>
  <c r="H200" i="10"/>
  <c r="G200" i="10"/>
  <c r="F200" i="10"/>
  <c r="E200" i="10"/>
  <c r="D200" i="10"/>
  <c r="C200" i="10"/>
  <c r="B200" i="10"/>
  <c r="A200" i="10"/>
  <c r="K199" i="10"/>
  <c r="J199" i="10"/>
  <c r="I199" i="10"/>
  <c r="H199" i="10"/>
  <c r="G199" i="10"/>
  <c r="F199" i="10"/>
  <c r="E199" i="10"/>
  <c r="D199" i="10"/>
  <c r="C199" i="10"/>
  <c r="B199" i="10"/>
  <c r="A199" i="10"/>
  <c r="K198" i="10"/>
  <c r="J198" i="10"/>
  <c r="I198" i="10"/>
  <c r="H198" i="10"/>
  <c r="G198" i="10"/>
  <c r="F198" i="10"/>
  <c r="E198" i="10"/>
  <c r="D198" i="10"/>
  <c r="C198" i="10"/>
  <c r="B198" i="10"/>
  <c r="A198" i="10"/>
  <c r="K197" i="10"/>
  <c r="J197" i="10"/>
  <c r="I197" i="10"/>
  <c r="H197" i="10"/>
  <c r="G197" i="10"/>
  <c r="F197" i="10"/>
  <c r="E197" i="10"/>
  <c r="D197" i="10"/>
  <c r="C197" i="10"/>
  <c r="B197" i="10"/>
  <c r="A197" i="10"/>
  <c r="K196" i="10"/>
  <c r="J196" i="10"/>
  <c r="I196" i="10"/>
  <c r="H196" i="10"/>
  <c r="G196" i="10"/>
  <c r="F196" i="10"/>
  <c r="E196" i="10"/>
  <c r="D196" i="10"/>
  <c r="C196" i="10"/>
  <c r="B196" i="10"/>
  <c r="A196" i="10"/>
  <c r="K195" i="10"/>
  <c r="J195" i="10"/>
  <c r="I195" i="10"/>
  <c r="H195" i="10"/>
  <c r="G195" i="10"/>
  <c r="F195" i="10"/>
  <c r="E195" i="10"/>
  <c r="D195" i="10"/>
  <c r="C195" i="10"/>
  <c r="B195" i="10"/>
  <c r="A195" i="10"/>
  <c r="K194" i="10"/>
  <c r="J194" i="10"/>
  <c r="I194" i="10"/>
  <c r="H194" i="10"/>
  <c r="G194" i="10"/>
  <c r="F194" i="10"/>
  <c r="E194" i="10"/>
  <c r="D194" i="10"/>
  <c r="C194" i="10"/>
  <c r="B194" i="10"/>
  <c r="A194" i="10"/>
  <c r="K193" i="10"/>
  <c r="J193" i="10"/>
  <c r="I193" i="10"/>
  <c r="H193" i="10"/>
  <c r="G193" i="10"/>
  <c r="F193" i="10"/>
  <c r="E193" i="10"/>
  <c r="D193" i="10"/>
  <c r="C193" i="10"/>
  <c r="B193" i="10"/>
  <c r="A193" i="10"/>
  <c r="K192" i="10"/>
  <c r="J192" i="10"/>
  <c r="I192" i="10"/>
  <c r="H192" i="10"/>
  <c r="G192" i="10"/>
  <c r="F192" i="10"/>
  <c r="E192" i="10"/>
  <c r="D192" i="10"/>
  <c r="C192" i="10"/>
  <c r="B192" i="10"/>
  <c r="A192" i="10"/>
  <c r="K191" i="10"/>
  <c r="J191" i="10"/>
  <c r="I191" i="10"/>
  <c r="H191" i="10"/>
  <c r="G191" i="10"/>
  <c r="F191" i="10"/>
  <c r="E191" i="10"/>
  <c r="D191" i="10"/>
  <c r="C191" i="10"/>
  <c r="B191" i="10"/>
  <c r="A191" i="10"/>
  <c r="K190" i="10"/>
  <c r="J190" i="10"/>
  <c r="I190" i="10"/>
  <c r="H190" i="10"/>
  <c r="G190" i="10"/>
  <c r="F190" i="10"/>
  <c r="E190" i="10"/>
  <c r="D190" i="10"/>
  <c r="C190" i="10"/>
  <c r="B190" i="10"/>
  <c r="A190" i="10"/>
  <c r="K189" i="10"/>
  <c r="J189" i="10"/>
  <c r="I189" i="10"/>
  <c r="H189" i="10"/>
  <c r="G189" i="10"/>
  <c r="F189" i="10"/>
  <c r="E189" i="10"/>
  <c r="D189" i="10"/>
  <c r="C189" i="10"/>
  <c r="B189" i="10"/>
  <c r="A189" i="10"/>
  <c r="K188" i="10"/>
  <c r="J188" i="10"/>
  <c r="I188" i="10"/>
  <c r="H188" i="10"/>
  <c r="G188" i="10"/>
  <c r="F188" i="10"/>
  <c r="E188" i="10"/>
  <c r="D188" i="10"/>
  <c r="C188" i="10"/>
  <c r="B188" i="10"/>
  <c r="A188" i="10"/>
  <c r="K187" i="10"/>
  <c r="J187" i="10"/>
  <c r="I187" i="10"/>
  <c r="H187" i="10"/>
  <c r="G187" i="10"/>
  <c r="F187" i="10"/>
  <c r="E187" i="10"/>
  <c r="D187" i="10"/>
  <c r="C187" i="10"/>
  <c r="B187" i="10"/>
  <c r="A187" i="10"/>
  <c r="K186" i="10"/>
  <c r="J186" i="10"/>
  <c r="I186" i="10"/>
  <c r="H186" i="10"/>
  <c r="G186" i="10"/>
  <c r="F186" i="10"/>
  <c r="E186" i="10"/>
  <c r="D186" i="10"/>
  <c r="C186" i="10"/>
  <c r="B186" i="10"/>
  <c r="A186" i="10"/>
  <c r="K185" i="10"/>
  <c r="J185" i="10"/>
  <c r="I185" i="10"/>
  <c r="H185" i="10"/>
  <c r="G185" i="10"/>
  <c r="F185" i="10"/>
  <c r="E185" i="10"/>
  <c r="D185" i="10"/>
  <c r="C185" i="10"/>
  <c r="B185" i="10"/>
  <c r="A185" i="10"/>
  <c r="K184" i="10"/>
  <c r="J184" i="10"/>
  <c r="I184" i="10"/>
  <c r="H184" i="10"/>
  <c r="G184" i="10"/>
  <c r="F184" i="10"/>
  <c r="E184" i="10"/>
  <c r="D184" i="10"/>
  <c r="C184" i="10"/>
  <c r="B184" i="10"/>
  <c r="A184" i="10"/>
  <c r="K183" i="10"/>
  <c r="J183" i="10"/>
  <c r="I183" i="10"/>
  <c r="H183" i="10"/>
  <c r="G183" i="10"/>
  <c r="F183" i="10"/>
  <c r="E183" i="10"/>
  <c r="D183" i="10"/>
  <c r="C183" i="10"/>
  <c r="B183" i="10"/>
  <c r="A183" i="10"/>
  <c r="K182" i="10"/>
  <c r="J182" i="10"/>
  <c r="I182" i="10"/>
  <c r="H182" i="10"/>
  <c r="G182" i="10"/>
  <c r="F182" i="10"/>
  <c r="E182" i="10"/>
  <c r="D182" i="10"/>
  <c r="C182" i="10"/>
  <c r="B182" i="10"/>
  <c r="A182" i="10"/>
  <c r="K181" i="10"/>
  <c r="J181" i="10"/>
  <c r="I181" i="10"/>
  <c r="H181" i="10"/>
  <c r="G181" i="10"/>
  <c r="F181" i="10"/>
  <c r="E181" i="10"/>
  <c r="D181" i="10"/>
  <c r="C181" i="10"/>
  <c r="B181" i="10"/>
  <c r="A181" i="10"/>
  <c r="K180" i="10"/>
  <c r="J180" i="10"/>
  <c r="I180" i="10"/>
  <c r="H180" i="10"/>
  <c r="G180" i="10"/>
  <c r="F180" i="10"/>
  <c r="E180" i="10"/>
  <c r="D180" i="10"/>
  <c r="C180" i="10"/>
  <c r="B180" i="10"/>
  <c r="A180" i="10"/>
  <c r="K179" i="10"/>
  <c r="J179" i="10"/>
  <c r="I179" i="10"/>
  <c r="H179" i="10"/>
  <c r="G179" i="10"/>
  <c r="F179" i="10"/>
  <c r="E179" i="10"/>
  <c r="D179" i="10"/>
  <c r="C179" i="10"/>
  <c r="B179" i="10"/>
  <c r="A179" i="10"/>
  <c r="K178" i="10"/>
  <c r="J178" i="10"/>
  <c r="I178" i="10"/>
  <c r="H178" i="10"/>
  <c r="G178" i="10"/>
  <c r="F178" i="10"/>
  <c r="C178" i="10"/>
  <c r="B178" i="10"/>
  <c r="A178" i="10"/>
  <c r="K177" i="10"/>
  <c r="J177" i="10"/>
  <c r="I177" i="10"/>
  <c r="H177" i="10"/>
  <c r="G177" i="10"/>
  <c r="F177" i="10"/>
  <c r="E177" i="10"/>
  <c r="D177" i="10"/>
  <c r="C177" i="10"/>
  <c r="B177" i="10"/>
  <c r="A177" i="10"/>
  <c r="K176" i="10"/>
  <c r="I176" i="10"/>
  <c r="H176" i="10"/>
  <c r="G176" i="10"/>
  <c r="F176" i="10"/>
  <c r="E176" i="10"/>
  <c r="D176" i="10"/>
  <c r="C176" i="10"/>
  <c r="B176" i="10"/>
  <c r="A176" i="10"/>
  <c r="K175" i="10"/>
  <c r="J175" i="10"/>
  <c r="I175" i="10"/>
  <c r="H175" i="10"/>
  <c r="G175" i="10"/>
  <c r="F175" i="10"/>
  <c r="E175" i="10"/>
  <c r="D175" i="10"/>
  <c r="C175" i="10"/>
  <c r="B175" i="10"/>
  <c r="A175" i="10"/>
  <c r="K174" i="10"/>
  <c r="J174" i="10"/>
  <c r="I174" i="10"/>
  <c r="H174" i="10"/>
  <c r="G174" i="10"/>
  <c r="F174" i="10"/>
  <c r="E174" i="10"/>
  <c r="D174" i="10"/>
  <c r="C174" i="10"/>
  <c r="B174" i="10"/>
  <c r="A174" i="10"/>
  <c r="K173" i="10"/>
  <c r="J173" i="10"/>
  <c r="I173" i="10"/>
  <c r="H173" i="10"/>
  <c r="G173" i="10"/>
  <c r="F173" i="10"/>
  <c r="E173" i="10"/>
  <c r="D173" i="10"/>
  <c r="C173" i="10"/>
  <c r="B173" i="10"/>
  <c r="A173" i="10"/>
  <c r="K172" i="10"/>
  <c r="J172" i="10"/>
  <c r="I172" i="10"/>
  <c r="H172" i="10"/>
  <c r="G172" i="10"/>
  <c r="F172" i="10"/>
  <c r="E172" i="10"/>
  <c r="D172" i="10"/>
  <c r="C172" i="10"/>
  <c r="B172" i="10"/>
  <c r="A172" i="10"/>
  <c r="K171" i="10"/>
  <c r="J171" i="10"/>
  <c r="I171" i="10"/>
  <c r="H171" i="10"/>
  <c r="G171" i="10"/>
  <c r="F171" i="10"/>
  <c r="E171" i="10"/>
  <c r="D171" i="10"/>
  <c r="C171" i="10"/>
  <c r="B171" i="10"/>
  <c r="A171" i="10"/>
  <c r="K170" i="10"/>
  <c r="J170" i="10"/>
  <c r="I170" i="10"/>
  <c r="H170" i="10"/>
  <c r="G170" i="10"/>
  <c r="F170" i="10"/>
  <c r="E170" i="10"/>
  <c r="D170" i="10"/>
  <c r="C170" i="10"/>
  <c r="B170" i="10"/>
  <c r="A170" i="10"/>
  <c r="K169" i="10"/>
  <c r="J169" i="10"/>
  <c r="I169" i="10"/>
  <c r="H169" i="10"/>
  <c r="G169" i="10"/>
  <c r="F169" i="10"/>
  <c r="E169" i="10"/>
  <c r="D169" i="10"/>
  <c r="C169" i="10"/>
  <c r="B169" i="10"/>
  <c r="A169" i="10"/>
  <c r="K168" i="10"/>
  <c r="J168" i="10"/>
  <c r="I168" i="10"/>
  <c r="H168" i="10"/>
  <c r="G168" i="10"/>
  <c r="F168" i="10"/>
  <c r="E168" i="10"/>
  <c r="D168" i="10"/>
  <c r="C168" i="10"/>
  <c r="B168" i="10"/>
  <c r="A168" i="10"/>
  <c r="K167" i="10"/>
  <c r="J167" i="10"/>
  <c r="I167" i="10"/>
  <c r="H167" i="10"/>
  <c r="G167" i="10"/>
  <c r="F167" i="10"/>
  <c r="E167" i="10"/>
  <c r="D167" i="10"/>
  <c r="C167" i="10"/>
  <c r="B167" i="10"/>
  <c r="A167" i="10"/>
  <c r="K166" i="10"/>
  <c r="J166" i="10"/>
  <c r="I166" i="10"/>
  <c r="H166" i="10"/>
  <c r="G166" i="10"/>
  <c r="F166" i="10"/>
  <c r="E166" i="10"/>
  <c r="D166" i="10"/>
  <c r="C166" i="10"/>
  <c r="B166" i="10"/>
  <c r="A166" i="10"/>
  <c r="K165" i="10"/>
  <c r="I165" i="10"/>
  <c r="H165" i="10"/>
  <c r="G165" i="10"/>
  <c r="F165" i="10"/>
  <c r="E165" i="10"/>
  <c r="D165" i="10"/>
  <c r="C165" i="10"/>
  <c r="B165" i="10"/>
  <c r="A165" i="10"/>
  <c r="K164" i="10"/>
  <c r="J164" i="10"/>
  <c r="I164" i="10"/>
  <c r="H164" i="10"/>
  <c r="G164" i="10"/>
  <c r="F164" i="10"/>
  <c r="E164" i="10"/>
  <c r="D164" i="10"/>
  <c r="C164" i="10"/>
  <c r="B164" i="10"/>
  <c r="A164" i="10"/>
  <c r="K163" i="10"/>
  <c r="J163" i="10"/>
  <c r="I163" i="10"/>
  <c r="H163" i="10"/>
  <c r="G163" i="10"/>
  <c r="F163" i="10"/>
  <c r="E163" i="10"/>
  <c r="D163" i="10"/>
  <c r="C163" i="10"/>
  <c r="B163" i="10"/>
  <c r="A163" i="10"/>
  <c r="K162" i="10"/>
  <c r="J162" i="10"/>
  <c r="I162" i="10"/>
  <c r="H162" i="10"/>
  <c r="G162" i="10"/>
  <c r="F162" i="10"/>
  <c r="E162" i="10"/>
  <c r="D162" i="10"/>
  <c r="C162" i="10"/>
  <c r="B162" i="10"/>
  <c r="A162" i="10"/>
  <c r="K161" i="10"/>
  <c r="J161" i="10"/>
  <c r="I161" i="10"/>
  <c r="H161" i="10"/>
  <c r="G161" i="10"/>
  <c r="F161" i="10"/>
  <c r="E161" i="10"/>
  <c r="D161" i="10"/>
  <c r="C161" i="10"/>
  <c r="B161" i="10"/>
  <c r="A161" i="10"/>
  <c r="K160" i="10"/>
  <c r="J160" i="10"/>
  <c r="I160" i="10"/>
  <c r="H160" i="10"/>
  <c r="G160" i="10"/>
  <c r="F160" i="10"/>
  <c r="E160" i="10"/>
  <c r="D160" i="10"/>
  <c r="C160" i="10"/>
  <c r="B160" i="10"/>
  <c r="A160" i="10"/>
  <c r="K159" i="10"/>
  <c r="J159" i="10"/>
  <c r="I159" i="10"/>
  <c r="H159" i="10"/>
  <c r="G159" i="10"/>
  <c r="F159" i="10"/>
  <c r="E159" i="10"/>
  <c r="D159" i="10"/>
  <c r="C159" i="10"/>
  <c r="B159" i="10"/>
  <c r="A159" i="10"/>
  <c r="K158" i="10"/>
  <c r="J158" i="10"/>
  <c r="I158" i="10"/>
  <c r="H158" i="10"/>
  <c r="G158" i="10"/>
  <c r="F158" i="10"/>
  <c r="E158" i="10"/>
  <c r="D158" i="10"/>
  <c r="C158" i="10"/>
  <c r="B158" i="10"/>
  <c r="A158" i="10"/>
  <c r="K157" i="10"/>
  <c r="J157" i="10"/>
  <c r="I157" i="10"/>
  <c r="H157" i="10"/>
  <c r="G157" i="10"/>
  <c r="F157" i="10"/>
  <c r="E157" i="10"/>
  <c r="D157" i="10"/>
  <c r="C157" i="10"/>
  <c r="B157" i="10"/>
  <c r="A157" i="10"/>
  <c r="K156" i="10"/>
  <c r="J156" i="10"/>
  <c r="I156" i="10"/>
  <c r="H156" i="10"/>
  <c r="G156" i="10"/>
  <c r="F156" i="10"/>
  <c r="E156" i="10"/>
  <c r="D156" i="10"/>
  <c r="C156" i="10"/>
  <c r="B156" i="10"/>
  <c r="A156" i="10"/>
  <c r="K155" i="10"/>
  <c r="J155" i="10"/>
  <c r="I155" i="10"/>
  <c r="H155" i="10"/>
  <c r="G155" i="10"/>
  <c r="F155" i="10"/>
  <c r="E155" i="10"/>
  <c r="D155" i="10"/>
  <c r="C155" i="10"/>
  <c r="B155" i="10"/>
  <c r="A155" i="10"/>
  <c r="K154" i="10"/>
  <c r="J154" i="10"/>
  <c r="I154" i="10"/>
  <c r="H154" i="10"/>
  <c r="G154" i="10"/>
  <c r="F154" i="10"/>
  <c r="E154" i="10"/>
  <c r="D154" i="10"/>
  <c r="C154" i="10"/>
  <c r="B154" i="10"/>
  <c r="A154" i="10"/>
  <c r="K153" i="10"/>
  <c r="J153" i="10"/>
  <c r="I153" i="10"/>
  <c r="H153" i="10"/>
  <c r="G153" i="10"/>
  <c r="F153" i="10"/>
  <c r="E153" i="10"/>
  <c r="D153" i="10"/>
  <c r="C153" i="10"/>
  <c r="B153" i="10"/>
  <c r="A153" i="10"/>
  <c r="K152" i="10"/>
  <c r="J152" i="10"/>
  <c r="I152" i="10"/>
  <c r="H152" i="10"/>
  <c r="G152" i="10"/>
  <c r="F152" i="10"/>
  <c r="E152" i="10"/>
  <c r="D152" i="10"/>
  <c r="C152" i="10"/>
  <c r="B152" i="10"/>
  <c r="A152" i="10"/>
  <c r="K151" i="10"/>
  <c r="J151" i="10"/>
  <c r="I151" i="10"/>
  <c r="H151" i="10"/>
  <c r="G151" i="10"/>
  <c r="F151" i="10"/>
  <c r="E151" i="10"/>
  <c r="D151" i="10"/>
  <c r="C151" i="10"/>
  <c r="B151" i="10"/>
  <c r="A151" i="10"/>
  <c r="K150" i="10"/>
  <c r="J150" i="10"/>
  <c r="I150" i="10"/>
  <c r="H150" i="10"/>
  <c r="G150" i="10"/>
  <c r="F150" i="10"/>
  <c r="E150" i="10"/>
  <c r="D150" i="10"/>
  <c r="C150" i="10"/>
  <c r="B150" i="10"/>
  <c r="A150" i="10"/>
  <c r="K149" i="10"/>
  <c r="J149" i="10"/>
  <c r="I149" i="10"/>
  <c r="H149" i="10"/>
  <c r="G149" i="10"/>
  <c r="F149" i="10"/>
  <c r="E149" i="10"/>
  <c r="D149" i="10"/>
  <c r="C149" i="10"/>
  <c r="B149" i="10"/>
  <c r="A149" i="10"/>
  <c r="K148" i="10"/>
  <c r="J148" i="10"/>
  <c r="I148" i="10"/>
  <c r="H148" i="10"/>
  <c r="G148" i="10"/>
  <c r="F148" i="10"/>
  <c r="E148" i="10"/>
  <c r="D148" i="10"/>
  <c r="C148" i="10"/>
  <c r="B148" i="10"/>
  <c r="A148" i="10"/>
  <c r="K147" i="10"/>
  <c r="J147" i="10"/>
  <c r="I147" i="10"/>
  <c r="H147" i="10"/>
  <c r="G147" i="10"/>
  <c r="F147" i="10"/>
  <c r="E147" i="10"/>
  <c r="D147" i="10"/>
  <c r="C147" i="10"/>
  <c r="B147" i="10"/>
  <c r="A147" i="10"/>
  <c r="K146" i="10"/>
  <c r="I146" i="10"/>
  <c r="H146" i="10"/>
  <c r="G146" i="10"/>
  <c r="F146" i="10"/>
  <c r="B146" i="10"/>
  <c r="A146" i="10"/>
  <c r="K145" i="10"/>
  <c r="J145" i="10"/>
  <c r="I145" i="10"/>
  <c r="H145" i="10"/>
  <c r="G145" i="10"/>
  <c r="F145" i="10"/>
  <c r="E145" i="10"/>
  <c r="D145" i="10"/>
  <c r="C145" i="10"/>
  <c r="B145" i="10"/>
  <c r="A145" i="10"/>
  <c r="K144" i="10"/>
  <c r="J144" i="10"/>
  <c r="I144" i="10"/>
  <c r="H144" i="10"/>
  <c r="G144" i="10"/>
  <c r="F144" i="10"/>
  <c r="E144" i="10"/>
  <c r="D144" i="10"/>
  <c r="C144" i="10"/>
  <c r="B144" i="10"/>
  <c r="A144" i="10"/>
  <c r="K143" i="10"/>
  <c r="J143" i="10"/>
  <c r="I143" i="10"/>
  <c r="H143" i="10"/>
  <c r="G143" i="10"/>
  <c r="F143" i="10"/>
  <c r="E143" i="10"/>
  <c r="D143" i="10"/>
  <c r="C143" i="10"/>
  <c r="B143" i="10"/>
  <c r="A143" i="10"/>
  <c r="K142" i="10"/>
  <c r="J142" i="10"/>
  <c r="I142" i="10"/>
  <c r="H142" i="10"/>
  <c r="G142" i="10"/>
  <c r="F142" i="10"/>
  <c r="E142" i="10"/>
  <c r="D142" i="10"/>
  <c r="C142" i="10"/>
  <c r="B142" i="10"/>
  <c r="A142" i="10"/>
  <c r="K141" i="10"/>
  <c r="J141" i="10"/>
  <c r="I141" i="10"/>
  <c r="H141" i="10"/>
  <c r="G141" i="10"/>
  <c r="F141" i="10"/>
  <c r="E141" i="10"/>
  <c r="D141" i="10"/>
  <c r="C141" i="10"/>
  <c r="B141" i="10"/>
  <c r="A141" i="10"/>
  <c r="K140" i="10"/>
  <c r="J140" i="10"/>
  <c r="I140" i="10"/>
  <c r="H140" i="10"/>
  <c r="G140" i="10"/>
  <c r="F140" i="10"/>
  <c r="E140" i="10"/>
  <c r="D140" i="10"/>
  <c r="C140" i="10"/>
  <c r="B140" i="10"/>
  <c r="A140" i="10"/>
  <c r="K139" i="10"/>
  <c r="J139" i="10"/>
  <c r="I139" i="10"/>
  <c r="H139" i="10"/>
  <c r="G139" i="10"/>
  <c r="F139" i="10"/>
  <c r="E139" i="10"/>
  <c r="D139" i="10"/>
  <c r="C139" i="10"/>
  <c r="B139" i="10"/>
  <c r="A139" i="10"/>
  <c r="K138" i="10"/>
  <c r="I138" i="10"/>
  <c r="H138" i="10"/>
  <c r="G138" i="10"/>
  <c r="F138" i="10"/>
  <c r="E138" i="10"/>
  <c r="D138" i="10"/>
  <c r="C138" i="10"/>
  <c r="B138" i="10"/>
  <c r="A138" i="10"/>
  <c r="K137" i="10"/>
  <c r="J137" i="10"/>
  <c r="I137" i="10"/>
  <c r="H137" i="10"/>
  <c r="G137" i="10"/>
  <c r="F137" i="10"/>
  <c r="E137" i="10"/>
  <c r="D137" i="10"/>
  <c r="C137" i="10"/>
  <c r="B137" i="10"/>
  <c r="A137" i="10"/>
  <c r="K136" i="10"/>
  <c r="I136" i="10"/>
  <c r="H136" i="10"/>
  <c r="G136" i="10"/>
  <c r="F136" i="10"/>
  <c r="E136" i="10"/>
  <c r="D136" i="10"/>
  <c r="C136" i="10"/>
  <c r="B136" i="10"/>
  <c r="A136" i="10"/>
  <c r="K135" i="10"/>
  <c r="J135" i="10"/>
  <c r="I135" i="10"/>
  <c r="H135" i="10"/>
  <c r="G135" i="10"/>
  <c r="F135" i="10"/>
  <c r="E135" i="10"/>
  <c r="D135" i="10"/>
  <c r="C135" i="10"/>
  <c r="B135" i="10"/>
  <c r="A135" i="10"/>
  <c r="K134" i="10"/>
  <c r="J134" i="10"/>
  <c r="I134" i="10"/>
  <c r="H134" i="10"/>
  <c r="G134" i="10"/>
  <c r="F134" i="10"/>
  <c r="E134" i="10"/>
  <c r="D134" i="10"/>
  <c r="C134" i="10"/>
  <c r="B134" i="10"/>
  <c r="A134" i="10"/>
  <c r="K133" i="10"/>
  <c r="J133" i="10"/>
  <c r="I133" i="10"/>
  <c r="H133" i="10"/>
  <c r="G133" i="10"/>
  <c r="F133" i="10"/>
  <c r="E133" i="10"/>
  <c r="D133" i="10"/>
  <c r="C133" i="10"/>
  <c r="B133" i="10"/>
  <c r="A133" i="10"/>
  <c r="K132" i="10"/>
  <c r="J132" i="10"/>
  <c r="I132" i="10"/>
  <c r="H132" i="10"/>
  <c r="G132" i="10"/>
  <c r="F132" i="10"/>
  <c r="E132" i="10"/>
  <c r="D132" i="10"/>
  <c r="C132" i="10"/>
  <c r="B132" i="10"/>
  <c r="A132" i="10"/>
  <c r="K131" i="10"/>
  <c r="J131" i="10"/>
  <c r="I131" i="10"/>
  <c r="H131" i="10"/>
  <c r="G131" i="10"/>
  <c r="F131" i="10"/>
  <c r="E131" i="10"/>
  <c r="D131" i="10"/>
  <c r="C131" i="10"/>
  <c r="B131" i="10"/>
  <c r="A131" i="10"/>
  <c r="K130" i="10"/>
  <c r="J130" i="10"/>
  <c r="I130" i="10"/>
  <c r="H130" i="10"/>
  <c r="G130" i="10"/>
  <c r="F130" i="10"/>
  <c r="E130" i="10"/>
  <c r="D130" i="10"/>
  <c r="C130" i="10"/>
  <c r="B130" i="10"/>
  <c r="A130" i="10"/>
  <c r="K129" i="10"/>
  <c r="I129" i="10"/>
  <c r="H129" i="10"/>
  <c r="G129" i="10"/>
  <c r="F129" i="10"/>
  <c r="C129" i="10"/>
  <c r="B129" i="10"/>
  <c r="A129" i="10"/>
  <c r="K128" i="10"/>
  <c r="I128" i="10"/>
  <c r="H128" i="10"/>
  <c r="G128" i="10"/>
  <c r="F128" i="10"/>
  <c r="C128" i="10"/>
  <c r="B128" i="10"/>
  <c r="A128" i="10"/>
  <c r="K127" i="10"/>
  <c r="J127" i="10"/>
  <c r="I127" i="10"/>
  <c r="H127" i="10"/>
  <c r="G127" i="10"/>
  <c r="F127" i="10"/>
  <c r="E127" i="10"/>
  <c r="D127" i="10"/>
  <c r="C127" i="10"/>
  <c r="B127" i="10"/>
  <c r="A127" i="10"/>
  <c r="K126" i="10"/>
  <c r="I126" i="10"/>
  <c r="H126" i="10"/>
  <c r="G126" i="10"/>
  <c r="F126" i="10"/>
  <c r="C126" i="10"/>
  <c r="B126" i="10"/>
  <c r="A126" i="10"/>
  <c r="K125" i="10"/>
  <c r="J125" i="10"/>
  <c r="I125" i="10"/>
  <c r="H125" i="10"/>
  <c r="G125" i="10"/>
  <c r="F125" i="10"/>
  <c r="E125" i="10"/>
  <c r="D125" i="10"/>
  <c r="C125" i="10"/>
  <c r="B125" i="10"/>
  <c r="A125" i="10"/>
  <c r="K124" i="10"/>
  <c r="J124" i="10"/>
  <c r="I124" i="10"/>
  <c r="H124" i="10"/>
  <c r="G124" i="10"/>
  <c r="F124" i="10"/>
  <c r="E124" i="10"/>
  <c r="D124" i="10"/>
  <c r="C124" i="10"/>
  <c r="B124" i="10"/>
  <c r="A124" i="10"/>
  <c r="K123" i="10"/>
  <c r="I123" i="10"/>
  <c r="H123" i="10"/>
  <c r="G123" i="10"/>
  <c r="F123" i="10"/>
  <c r="C123" i="10"/>
  <c r="B123" i="10"/>
  <c r="A123" i="10"/>
  <c r="K122" i="10"/>
  <c r="J122" i="10"/>
  <c r="I122" i="10"/>
  <c r="H122" i="10"/>
  <c r="G122" i="10"/>
  <c r="F122" i="10"/>
  <c r="E122" i="10"/>
  <c r="D122" i="10"/>
  <c r="C122" i="10"/>
  <c r="B122" i="10"/>
  <c r="A122" i="10"/>
  <c r="K121" i="10"/>
  <c r="J121" i="10"/>
  <c r="I121" i="10"/>
  <c r="H121" i="10"/>
  <c r="G121" i="10"/>
  <c r="F121" i="10"/>
  <c r="C121" i="10"/>
  <c r="B121" i="10"/>
  <c r="A121" i="10"/>
  <c r="K120" i="10"/>
  <c r="J120" i="10"/>
  <c r="I120" i="10"/>
  <c r="H120" i="10"/>
  <c r="G120" i="10"/>
  <c r="F120" i="10"/>
  <c r="E120" i="10"/>
  <c r="D120" i="10"/>
  <c r="C120" i="10"/>
  <c r="B120" i="10"/>
  <c r="A120" i="10"/>
  <c r="K119" i="10"/>
  <c r="J119" i="10"/>
  <c r="I119" i="10"/>
  <c r="H119" i="10"/>
  <c r="G119" i="10"/>
  <c r="F119" i="10"/>
  <c r="C119" i="10"/>
  <c r="B119" i="10"/>
  <c r="A119" i="10"/>
  <c r="K118" i="10"/>
  <c r="J118" i="10"/>
  <c r="I118" i="10"/>
  <c r="H118" i="10"/>
  <c r="G118" i="10"/>
  <c r="F118" i="10"/>
  <c r="E118" i="10"/>
  <c r="D118" i="10"/>
  <c r="C118" i="10"/>
  <c r="B118" i="10"/>
  <c r="A118" i="10"/>
  <c r="K117" i="10"/>
  <c r="J117" i="10"/>
  <c r="I117" i="10"/>
  <c r="H117" i="10"/>
  <c r="G117" i="10"/>
  <c r="F117" i="10"/>
  <c r="C117" i="10"/>
  <c r="B117" i="10"/>
  <c r="A117" i="10"/>
  <c r="K116" i="10"/>
  <c r="J116" i="10"/>
  <c r="I116" i="10"/>
  <c r="H116" i="10"/>
  <c r="G116" i="10"/>
  <c r="F116" i="10"/>
  <c r="E116" i="10"/>
  <c r="D116" i="10"/>
  <c r="C116" i="10"/>
  <c r="B116" i="10"/>
  <c r="A116" i="10"/>
  <c r="K115" i="10"/>
  <c r="J115" i="10"/>
  <c r="I115" i="10"/>
  <c r="H115" i="10"/>
  <c r="G115" i="10"/>
  <c r="F115" i="10"/>
  <c r="E115" i="10"/>
  <c r="D115" i="10"/>
  <c r="C115" i="10"/>
  <c r="B115" i="10"/>
  <c r="A115" i="10"/>
  <c r="K114" i="10"/>
  <c r="J114" i="10"/>
  <c r="I114" i="10"/>
  <c r="H114" i="10"/>
  <c r="G114" i="10"/>
  <c r="F114" i="10"/>
  <c r="E114" i="10"/>
  <c r="D114" i="10"/>
  <c r="C114" i="10"/>
  <c r="B114" i="10"/>
  <c r="A114" i="10"/>
  <c r="K113" i="10"/>
  <c r="J113" i="10"/>
  <c r="I113" i="10"/>
  <c r="H113" i="10"/>
  <c r="G113" i="10"/>
  <c r="F113" i="10"/>
  <c r="E113" i="10"/>
  <c r="D113" i="10"/>
  <c r="C113" i="10"/>
  <c r="B113" i="10"/>
  <c r="A113" i="10"/>
  <c r="K112" i="10"/>
  <c r="J112" i="10"/>
  <c r="I112" i="10"/>
  <c r="H112" i="10"/>
  <c r="G112" i="10"/>
  <c r="F112" i="10"/>
  <c r="E112" i="10"/>
  <c r="D112" i="10"/>
  <c r="C112" i="10"/>
  <c r="B112" i="10"/>
  <c r="A112" i="10"/>
  <c r="K111" i="10"/>
  <c r="J111" i="10"/>
  <c r="I111" i="10"/>
  <c r="H111" i="10"/>
  <c r="G111" i="10"/>
  <c r="F111" i="10"/>
  <c r="E111" i="10"/>
  <c r="D111" i="10"/>
  <c r="C111" i="10"/>
  <c r="B111" i="10"/>
  <c r="A111" i="10"/>
  <c r="K110" i="10"/>
  <c r="J110" i="10"/>
  <c r="I110" i="10"/>
  <c r="H110" i="10"/>
  <c r="G110" i="10"/>
  <c r="F110" i="10"/>
  <c r="E110" i="10"/>
  <c r="D110" i="10"/>
  <c r="C110" i="10"/>
  <c r="B110" i="10"/>
  <c r="A110" i="10"/>
  <c r="K109" i="10"/>
  <c r="J109" i="10"/>
  <c r="I109" i="10"/>
  <c r="H109" i="10"/>
  <c r="G109" i="10"/>
  <c r="F109" i="10"/>
  <c r="E109" i="10"/>
  <c r="D109" i="10"/>
  <c r="C109" i="10"/>
  <c r="B109" i="10"/>
  <c r="A109" i="10"/>
  <c r="K108" i="10"/>
  <c r="J108" i="10"/>
  <c r="I108" i="10"/>
  <c r="H108" i="10"/>
  <c r="G108" i="10"/>
  <c r="F108" i="10"/>
  <c r="E108" i="10"/>
  <c r="D108" i="10"/>
  <c r="C108" i="10"/>
  <c r="B108" i="10"/>
  <c r="A108" i="10"/>
  <c r="K107" i="10"/>
  <c r="J107" i="10"/>
  <c r="I107" i="10"/>
  <c r="H107" i="10"/>
  <c r="G107" i="10"/>
  <c r="F107" i="10"/>
  <c r="E107" i="10"/>
  <c r="D107" i="10"/>
  <c r="C107" i="10"/>
  <c r="B107" i="10"/>
  <c r="A107" i="10"/>
  <c r="K106" i="10"/>
  <c r="J106" i="10"/>
  <c r="I106" i="10"/>
  <c r="H106" i="10"/>
  <c r="G106" i="10"/>
  <c r="F106" i="10"/>
  <c r="E106" i="10"/>
  <c r="D106" i="10"/>
  <c r="C106" i="10"/>
  <c r="B106" i="10"/>
  <c r="A106" i="10"/>
  <c r="K105" i="10"/>
  <c r="I105" i="10"/>
  <c r="H105" i="10"/>
  <c r="G105" i="10"/>
  <c r="F105" i="10"/>
  <c r="E105" i="10"/>
  <c r="D105" i="10"/>
  <c r="C105" i="10"/>
  <c r="B105" i="10"/>
  <c r="A105" i="10"/>
  <c r="K104" i="10"/>
  <c r="J104" i="10"/>
  <c r="I104" i="10"/>
  <c r="H104" i="10"/>
  <c r="G104" i="10"/>
  <c r="F104" i="10"/>
  <c r="E104" i="10"/>
  <c r="D104" i="10"/>
  <c r="C104" i="10"/>
  <c r="B104" i="10"/>
  <c r="A104" i="10"/>
  <c r="K103" i="10"/>
  <c r="J103" i="10"/>
  <c r="I103" i="10"/>
  <c r="H103" i="10"/>
  <c r="G103" i="10"/>
  <c r="F103" i="10"/>
  <c r="E103" i="10"/>
  <c r="D103" i="10"/>
  <c r="C103" i="10"/>
  <c r="B103" i="10"/>
  <c r="A103" i="10"/>
  <c r="K102" i="10"/>
  <c r="I102" i="10"/>
  <c r="H102" i="10"/>
  <c r="G102" i="10"/>
  <c r="F102" i="10"/>
  <c r="E102" i="10"/>
  <c r="D102" i="10"/>
  <c r="C102" i="10"/>
  <c r="B102" i="10"/>
  <c r="A102" i="10"/>
  <c r="K101" i="10"/>
  <c r="J101" i="10"/>
  <c r="I101" i="10"/>
  <c r="H101" i="10"/>
  <c r="G101" i="10"/>
  <c r="F101" i="10"/>
  <c r="E101" i="10"/>
  <c r="D101" i="10"/>
  <c r="C101" i="10"/>
  <c r="B101" i="10"/>
  <c r="A101" i="10"/>
  <c r="K100" i="10"/>
  <c r="J100" i="10"/>
  <c r="I100" i="10"/>
  <c r="H100" i="10"/>
  <c r="G100" i="10"/>
  <c r="F100" i="10"/>
  <c r="E100" i="10"/>
  <c r="D100" i="10"/>
  <c r="C100" i="10"/>
  <c r="B100" i="10"/>
  <c r="A100" i="10"/>
  <c r="K99" i="10"/>
  <c r="J99" i="10"/>
  <c r="I99" i="10"/>
  <c r="H99" i="10"/>
  <c r="G99" i="10"/>
  <c r="F99" i="10"/>
  <c r="E99" i="10"/>
  <c r="D99" i="10"/>
  <c r="C99" i="10"/>
  <c r="B99" i="10"/>
  <c r="A99" i="10"/>
  <c r="K98" i="10"/>
  <c r="J98" i="10"/>
  <c r="I98" i="10"/>
  <c r="H98" i="10"/>
  <c r="G98" i="10"/>
  <c r="F98" i="10"/>
  <c r="E98" i="10"/>
  <c r="D98" i="10"/>
  <c r="C98" i="10"/>
  <c r="B98" i="10"/>
  <c r="A98" i="10"/>
  <c r="K97" i="10"/>
  <c r="J97" i="10"/>
  <c r="I97" i="10"/>
  <c r="H97" i="10"/>
  <c r="G97" i="10"/>
  <c r="F97" i="10"/>
  <c r="E97" i="10"/>
  <c r="D97" i="10"/>
  <c r="C97" i="10"/>
  <c r="B97" i="10"/>
  <c r="A97" i="10"/>
  <c r="K96" i="10"/>
  <c r="J96" i="10"/>
  <c r="I96" i="10"/>
  <c r="H96" i="10"/>
  <c r="G96" i="10"/>
  <c r="F96" i="10"/>
  <c r="E96" i="10"/>
  <c r="D96" i="10"/>
  <c r="C96" i="10"/>
  <c r="B96" i="10"/>
  <c r="A96" i="10"/>
  <c r="K95" i="10"/>
  <c r="J95" i="10"/>
  <c r="I95" i="10"/>
  <c r="H95" i="10"/>
  <c r="G95" i="10"/>
  <c r="F95" i="10"/>
  <c r="E95" i="10"/>
  <c r="D95" i="10"/>
  <c r="C95" i="10"/>
  <c r="B95" i="10"/>
  <c r="A95" i="10"/>
  <c r="K94" i="10"/>
  <c r="J94" i="10"/>
  <c r="I94" i="10"/>
  <c r="H94" i="10"/>
  <c r="G94" i="10"/>
  <c r="F94" i="10"/>
  <c r="E94" i="10"/>
  <c r="D94" i="10"/>
  <c r="C94" i="10"/>
  <c r="B94" i="10"/>
  <c r="A94" i="10"/>
  <c r="K93" i="10"/>
  <c r="J93" i="10"/>
  <c r="I93" i="10"/>
  <c r="H93" i="10"/>
  <c r="G93" i="10"/>
  <c r="F93" i="10"/>
  <c r="E93" i="10"/>
  <c r="D93" i="10"/>
  <c r="C93" i="10"/>
  <c r="B93" i="10"/>
  <c r="A93" i="10"/>
  <c r="K92" i="10"/>
  <c r="J92" i="10"/>
  <c r="I92" i="10"/>
  <c r="H92" i="10"/>
  <c r="G92" i="10"/>
  <c r="F92" i="10"/>
  <c r="E92" i="10"/>
  <c r="D92" i="10"/>
  <c r="C92" i="10"/>
  <c r="B92" i="10"/>
  <c r="A92" i="10"/>
  <c r="K91" i="10"/>
  <c r="J91" i="10"/>
  <c r="I91" i="10"/>
  <c r="H91" i="10"/>
  <c r="G91" i="10"/>
  <c r="F91" i="10"/>
  <c r="E91" i="10"/>
  <c r="D91" i="10"/>
  <c r="C91" i="10"/>
  <c r="B91" i="10"/>
  <c r="A91" i="10"/>
  <c r="K90" i="10"/>
  <c r="J90" i="10"/>
  <c r="I90" i="10"/>
  <c r="H90" i="10"/>
  <c r="G90" i="10"/>
  <c r="F90" i="10"/>
  <c r="E90" i="10"/>
  <c r="D90" i="10"/>
  <c r="C90" i="10"/>
  <c r="B90" i="10"/>
  <c r="A90" i="10"/>
  <c r="K89" i="10"/>
  <c r="J89" i="10"/>
  <c r="I89" i="10"/>
  <c r="H89" i="10"/>
  <c r="G89" i="10"/>
  <c r="F89" i="10"/>
  <c r="E89" i="10"/>
  <c r="D89" i="10"/>
  <c r="C89" i="10"/>
  <c r="B89" i="10"/>
  <c r="A89" i="10"/>
  <c r="K88" i="10"/>
  <c r="J88" i="10"/>
  <c r="I88" i="10"/>
  <c r="H88" i="10"/>
  <c r="G88" i="10"/>
  <c r="F88" i="10"/>
  <c r="E88" i="10"/>
  <c r="D88" i="10"/>
  <c r="C88" i="10"/>
  <c r="B88" i="10"/>
  <c r="A88" i="10"/>
  <c r="K87" i="10"/>
  <c r="J87" i="10"/>
  <c r="I87" i="10"/>
  <c r="H87" i="10"/>
  <c r="G87" i="10"/>
  <c r="F87" i="10"/>
  <c r="E87" i="10"/>
  <c r="D87" i="10"/>
  <c r="C87" i="10"/>
  <c r="B87" i="10"/>
  <c r="A87" i="10"/>
  <c r="K86" i="10"/>
  <c r="J86" i="10"/>
  <c r="I86" i="10"/>
  <c r="H86" i="10"/>
  <c r="G86" i="10"/>
  <c r="F86" i="10"/>
  <c r="E86" i="10"/>
  <c r="D86" i="10"/>
  <c r="C86" i="10"/>
  <c r="B86" i="10"/>
  <c r="A86" i="10"/>
  <c r="K85" i="10"/>
  <c r="J85" i="10"/>
  <c r="I85" i="10"/>
  <c r="H85" i="10"/>
  <c r="G85" i="10"/>
  <c r="F85" i="10"/>
  <c r="E85" i="10"/>
  <c r="D85" i="10"/>
  <c r="C85" i="10"/>
  <c r="B85" i="10"/>
  <c r="A85" i="10"/>
  <c r="K84" i="10"/>
  <c r="J84" i="10"/>
  <c r="I84" i="10"/>
  <c r="H84" i="10"/>
  <c r="G84" i="10"/>
  <c r="F84" i="10"/>
  <c r="E84" i="10"/>
  <c r="D84" i="10"/>
  <c r="C84" i="10"/>
  <c r="B84" i="10"/>
  <c r="A84" i="10"/>
  <c r="K83" i="10"/>
  <c r="I83" i="10"/>
  <c r="H83" i="10"/>
  <c r="G83" i="10"/>
  <c r="F83" i="10"/>
  <c r="E83" i="10"/>
  <c r="D83" i="10"/>
  <c r="C83" i="10"/>
  <c r="B83" i="10"/>
  <c r="A83" i="10"/>
  <c r="K82" i="10"/>
  <c r="J82" i="10"/>
  <c r="I82" i="10"/>
  <c r="H82" i="10"/>
  <c r="G82" i="10"/>
  <c r="F82" i="10"/>
  <c r="E82" i="10"/>
  <c r="D82" i="10"/>
  <c r="C82" i="10"/>
  <c r="B82" i="10"/>
  <c r="A82" i="10"/>
  <c r="K81" i="10"/>
  <c r="J81" i="10"/>
  <c r="I81" i="10"/>
  <c r="H81" i="10"/>
  <c r="G81" i="10"/>
  <c r="F81" i="10"/>
  <c r="E81" i="10"/>
  <c r="D81" i="10"/>
  <c r="C81" i="10"/>
  <c r="B81" i="10"/>
  <c r="A81" i="10"/>
  <c r="K80" i="10"/>
  <c r="I80" i="10"/>
  <c r="H80" i="10"/>
  <c r="G80" i="10"/>
  <c r="F80" i="10"/>
  <c r="E80" i="10"/>
  <c r="D80" i="10"/>
  <c r="C80" i="10"/>
  <c r="B80" i="10"/>
  <c r="A80" i="10"/>
  <c r="K79" i="10"/>
  <c r="J79" i="10"/>
  <c r="I79" i="10"/>
  <c r="H79" i="10"/>
  <c r="G79" i="10"/>
  <c r="F79" i="10"/>
  <c r="E79" i="10"/>
  <c r="D79" i="10"/>
  <c r="C79" i="10"/>
  <c r="B79" i="10"/>
  <c r="A79" i="10"/>
  <c r="K78" i="10"/>
  <c r="J78" i="10"/>
  <c r="I78" i="10"/>
  <c r="H78" i="10"/>
  <c r="G78" i="10"/>
  <c r="F78" i="10"/>
  <c r="E78" i="10"/>
  <c r="D78" i="10"/>
  <c r="C78" i="10"/>
  <c r="B78" i="10"/>
  <c r="A78" i="10"/>
  <c r="K77" i="10"/>
  <c r="J77" i="10"/>
  <c r="I77" i="10"/>
  <c r="H77" i="10"/>
  <c r="G77" i="10"/>
  <c r="F77" i="10"/>
  <c r="E77" i="10"/>
  <c r="D77" i="10"/>
  <c r="C77" i="10"/>
  <c r="B77" i="10"/>
  <c r="A77" i="10"/>
  <c r="K76" i="10"/>
  <c r="J76" i="10"/>
  <c r="I76" i="10"/>
  <c r="H76" i="10"/>
  <c r="G76" i="10"/>
  <c r="F76" i="10"/>
  <c r="E76" i="10"/>
  <c r="D76" i="10"/>
  <c r="C76" i="10"/>
  <c r="B76" i="10"/>
  <c r="A76" i="10"/>
  <c r="K75" i="10"/>
  <c r="J75" i="10"/>
  <c r="I75" i="10"/>
  <c r="H75" i="10"/>
  <c r="G75" i="10"/>
  <c r="F75" i="10"/>
  <c r="E75" i="10"/>
  <c r="D75" i="10"/>
  <c r="C75" i="10"/>
  <c r="B75" i="10"/>
  <c r="A75" i="10"/>
  <c r="K74" i="10"/>
  <c r="J74" i="10"/>
  <c r="I74" i="10"/>
  <c r="H74" i="10"/>
  <c r="G74" i="10"/>
  <c r="F74" i="10"/>
  <c r="E74" i="10"/>
  <c r="D74" i="10"/>
  <c r="C74" i="10"/>
  <c r="B74" i="10"/>
  <c r="A74" i="10"/>
  <c r="K73" i="10"/>
  <c r="J73" i="10"/>
  <c r="I73" i="10"/>
  <c r="H73" i="10"/>
  <c r="G73" i="10"/>
  <c r="F73" i="10"/>
  <c r="E73" i="10"/>
  <c r="D73" i="10"/>
  <c r="C73" i="10"/>
  <c r="B73" i="10"/>
  <c r="A73" i="10"/>
  <c r="K72" i="10"/>
  <c r="J72" i="10"/>
  <c r="I72" i="10"/>
  <c r="H72" i="10"/>
  <c r="G72" i="10"/>
  <c r="F72" i="10"/>
  <c r="E72" i="10"/>
  <c r="D72" i="10"/>
  <c r="C72" i="10"/>
  <c r="B72" i="10"/>
  <c r="A72" i="10"/>
  <c r="K71" i="10"/>
  <c r="J71" i="10"/>
  <c r="I71" i="10"/>
  <c r="H71" i="10"/>
  <c r="G71" i="10"/>
  <c r="F71" i="10"/>
  <c r="E71" i="10"/>
  <c r="D71" i="10"/>
  <c r="C71" i="10"/>
  <c r="B71" i="10"/>
  <c r="A71" i="10"/>
  <c r="K70" i="10"/>
  <c r="J70" i="10"/>
  <c r="I70" i="10"/>
  <c r="H70" i="10"/>
  <c r="G70" i="10"/>
  <c r="F70" i="10"/>
  <c r="E70" i="10"/>
  <c r="D70" i="10"/>
  <c r="C70" i="10"/>
  <c r="B70" i="10"/>
  <c r="A70" i="10"/>
  <c r="K69" i="10"/>
  <c r="I69" i="10"/>
  <c r="H69" i="10"/>
  <c r="G69" i="10"/>
  <c r="F69" i="10"/>
  <c r="E69" i="10"/>
  <c r="D69" i="10"/>
  <c r="C69" i="10"/>
  <c r="B69" i="10"/>
  <c r="A69" i="10"/>
  <c r="K68" i="10"/>
  <c r="J68" i="10"/>
  <c r="I68" i="10"/>
  <c r="H68" i="10"/>
  <c r="G68" i="10"/>
  <c r="F68" i="10"/>
  <c r="E68" i="10"/>
  <c r="D68" i="10"/>
  <c r="C68" i="10"/>
  <c r="B68" i="10"/>
  <c r="A68" i="10"/>
  <c r="K67" i="10"/>
  <c r="J67" i="10"/>
  <c r="I67" i="10"/>
  <c r="H67" i="10"/>
  <c r="G67" i="10"/>
  <c r="F67" i="10"/>
  <c r="E67" i="10"/>
  <c r="D67" i="10"/>
  <c r="C67" i="10"/>
  <c r="B67" i="10"/>
  <c r="A67" i="10"/>
  <c r="K66" i="10"/>
  <c r="J66" i="10"/>
  <c r="I66" i="10"/>
  <c r="H66" i="10"/>
  <c r="G66" i="10"/>
  <c r="F66" i="10"/>
  <c r="E66" i="10"/>
  <c r="D66" i="10"/>
  <c r="C66" i="10"/>
  <c r="B66" i="10"/>
  <c r="A66" i="10"/>
  <c r="K65" i="10"/>
  <c r="J65" i="10"/>
  <c r="I65" i="10"/>
  <c r="H65" i="10"/>
  <c r="G65" i="10"/>
  <c r="F65" i="10"/>
  <c r="E65" i="10"/>
  <c r="D65" i="10"/>
  <c r="C65" i="10"/>
  <c r="B65" i="10"/>
  <c r="A65" i="10"/>
  <c r="K64" i="10"/>
  <c r="J64" i="10"/>
  <c r="I64" i="10"/>
  <c r="H64" i="10"/>
  <c r="G64" i="10"/>
  <c r="F64" i="10"/>
  <c r="E64" i="10"/>
  <c r="D64" i="10"/>
  <c r="C64" i="10"/>
  <c r="B64" i="10"/>
  <c r="A64" i="10"/>
  <c r="K63" i="10"/>
  <c r="J63" i="10"/>
  <c r="I63" i="10"/>
  <c r="H63" i="10"/>
  <c r="G63" i="10"/>
  <c r="F63" i="10"/>
  <c r="E63" i="10"/>
  <c r="D63" i="10"/>
  <c r="C63" i="10"/>
  <c r="B63" i="10"/>
  <c r="A63" i="10"/>
  <c r="K62" i="10"/>
  <c r="J62" i="10"/>
  <c r="I62" i="10"/>
  <c r="H62" i="10"/>
  <c r="G62" i="10"/>
  <c r="F62" i="10"/>
  <c r="E62" i="10"/>
  <c r="D62" i="10"/>
  <c r="C62" i="10"/>
  <c r="B62" i="10"/>
  <c r="A62" i="10"/>
  <c r="K61" i="10"/>
  <c r="J61" i="10"/>
  <c r="I61" i="10"/>
  <c r="H61" i="10"/>
  <c r="G61" i="10"/>
  <c r="F61" i="10"/>
  <c r="E61" i="10"/>
  <c r="D61" i="10"/>
  <c r="C61" i="10"/>
  <c r="B61" i="10"/>
  <c r="A61" i="10"/>
  <c r="K60" i="10"/>
  <c r="J60" i="10"/>
  <c r="I60" i="10"/>
  <c r="H60" i="10"/>
  <c r="G60" i="10"/>
  <c r="F60" i="10"/>
  <c r="E60" i="10"/>
  <c r="D60" i="10"/>
  <c r="C60" i="10"/>
  <c r="B60" i="10"/>
  <c r="A60" i="10"/>
  <c r="K59" i="10"/>
  <c r="J59" i="10"/>
  <c r="I59" i="10"/>
  <c r="H59" i="10"/>
  <c r="G59" i="10"/>
  <c r="F59" i="10"/>
  <c r="E59" i="10"/>
  <c r="D59" i="10"/>
  <c r="C59" i="10"/>
  <c r="B59" i="10"/>
  <c r="A59" i="10"/>
  <c r="K58" i="10"/>
  <c r="J58" i="10"/>
  <c r="I58" i="10"/>
  <c r="H58" i="10"/>
  <c r="G58" i="10"/>
  <c r="F58" i="10"/>
  <c r="E58" i="10"/>
  <c r="D58" i="10"/>
  <c r="C58" i="10"/>
  <c r="B58" i="10"/>
  <c r="A58" i="10"/>
  <c r="K57" i="10"/>
  <c r="J57" i="10"/>
  <c r="I57" i="10"/>
  <c r="H57" i="10"/>
  <c r="G57" i="10"/>
  <c r="F57" i="10"/>
  <c r="E57" i="10"/>
  <c r="D57" i="10"/>
  <c r="C57" i="10"/>
  <c r="B57" i="10"/>
  <c r="A57" i="10"/>
  <c r="K56" i="10"/>
  <c r="J56" i="10"/>
  <c r="I56" i="10"/>
  <c r="H56" i="10"/>
  <c r="G56" i="10"/>
  <c r="F56" i="10"/>
  <c r="E56" i="10"/>
  <c r="D56" i="10"/>
  <c r="C56" i="10"/>
  <c r="B56" i="10"/>
  <c r="A56" i="10"/>
  <c r="K55" i="10"/>
  <c r="J55" i="10"/>
  <c r="I55" i="10"/>
  <c r="H55" i="10"/>
  <c r="G55" i="10"/>
  <c r="F55" i="10"/>
  <c r="E55" i="10"/>
  <c r="D55" i="10"/>
  <c r="C55" i="10"/>
  <c r="B55" i="10"/>
  <c r="A55" i="10"/>
  <c r="K54" i="10"/>
  <c r="J54" i="10"/>
  <c r="I54" i="10"/>
  <c r="H54" i="10"/>
  <c r="G54" i="10"/>
  <c r="F54" i="10"/>
  <c r="E54" i="10"/>
  <c r="D54" i="10"/>
  <c r="C54" i="10"/>
  <c r="B54" i="10"/>
  <c r="A54" i="10"/>
  <c r="K53" i="10"/>
  <c r="J53" i="10"/>
  <c r="I53" i="10"/>
  <c r="H53" i="10"/>
  <c r="G53" i="10"/>
  <c r="F53" i="10"/>
  <c r="E53" i="10"/>
  <c r="D53" i="10"/>
  <c r="C53" i="10"/>
  <c r="B53" i="10"/>
  <c r="A53" i="10"/>
  <c r="K52" i="10"/>
  <c r="J52" i="10"/>
  <c r="I52" i="10"/>
  <c r="H52" i="10"/>
  <c r="G52" i="10"/>
  <c r="F52" i="10"/>
  <c r="E52" i="10"/>
  <c r="D52" i="10"/>
  <c r="C52" i="10"/>
  <c r="B52" i="10"/>
  <c r="A52" i="10"/>
  <c r="K51" i="10"/>
  <c r="I51" i="10"/>
  <c r="H51" i="10"/>
  <c r="G51" i="10"/>
  <c r="F51" i="10"/>
  <c r="E51" i="10"/>
  <c r="D51" i="10"/>
  <c r="C51" i="10"/>
  <c r="B51" i="10"/>
  <c r="A51" i="10"/>
  <c r="K50" i="10"/>
  <c r="J50" i="10"/>
  <c r="I50" i="10"/>
  <c r="H50" i="10"/>
  <c r="G50" i="10"/>
  <c r="F50" i="10"/>
  <c r="E50" i="10"/>
  <c r="D50" i="10"/>
  <c r="C50" i="10"/>
  <c r="B50" i="10"/>
  <c r="A50" i="10"/>
  <c r="K49" i="10"/>
  <c r="J49" i="10"/>
  <c r="I49" i="10"/>
  <c r="H49" i="10"/>
  <c r="G49" i="10"/>
  <c r="F49" i="10"/>
  <c r="E49" i="10"/>
  <c r="D49" i="10"/>
  <c r="C49" i="10"/>
  <c r="B49" i="10"/>
  <c r="A49" i="10"/>
  <c r="K48" i="10"/>
  <c r="J48" i="10"/>
  <c r="I48" i="10"/>
  <c r="H48" i="10"/>
  <c r="G48" i="10"/>
  <c r="F48" i="10"/>
  <c r="E48" i="10"/>
  <c r="D48" i="10"/>
  <c r="C48" i="10"/>
  <c r="B48" i="10"/>
  <c r="A48" i="10"/>
  <c r="K47" i="10"/>
  <c r="J47" i="10"/>
  <c r="I47" i="10"/>
  <c r="H47" i="10"/>
  <c r="G47" i="10"/>
  <c r="F47" i="10"/>
  <c r="E47" i="10"/>
  <c r="D47" i="10"/>
  <c r="C47" i="10"/>
  <c r="B47" i="10"/>
  <c r="A47" i="10"/>
  <c r="K46" i="10"/>
  <c r="J46" i="10"/>
  <c r="I46" i="10"/>
  <c r="H46" i="10"/>
  <c r="G46" i="10"/>
  <c r="F46" i="10"/>
  <c r="E46" i="10"/>
  <c r="D46" i="10"/>
  <c r="C46" i="10"/>
  <c r="B46" i="10"/>
  <c r="A46" i="10"/>
  <c r="K45" i="10"/>
  <c r="J45" i="10"/>
  <c r="I45" i="10"/>
  <c r="H45" i="10"/>
  <c r="G45" i="10"/>
  <c r="F45" i="10"/>
  <c r="E45" i="10"/>
  <c r="D45" i="10"/>
  <c r="C45" i="10"/>
  <c r="B45" i="10"/>
  <c r="A45" i="10"/>
  <c r="K44" i="10"/>
  <c r="J44" i="10"/>
  <c r="I44" i="10"/>
  <c r="H44" i="10"/>
  <c r="G44" i="10"/>
  <c r="F44" i="10"/>
  <c r="E44" i="10"/>
  <c r="D44" i="10"/>
  <c r="C44" i="10"/>
  <c r="B44" i="10"/>
  <c r="A44" i="10"/>
  <c r="K43" i="10"/>
  <c r="J43" i="10"/>
  <c r="I43" i="10"/>
  <c r="H43" i="10"/>
  <c r="G43" i="10"/>
  <c r="F43" i="10"/>
  <c r="E43" i="10"/>
  <c r="D43" i="10"/>
  <c r="C43" i="10"/>
  <c r="B43" i="10"/>
  <c r="A43" i="10"/>
  <c r="K42" i="10"/>
  <c r="J42" i="10"/>
  <c r="I42" i="10"/>
  <c r="H42" i="10"/>
  <c r="G42" i="10"/>
  <c r="F42" i="10"/>
  <c r="E42" i="10"/>
  <c r="D42" i="10"/>
  <c r="C42" i="10"/>
  <c r="B42" i="10"/>
  <c r="A42" i="10"/>
  <c r="K41" i="10"/>
  <c r="J41" i="10"/>
  <c r="I41" i="10"/>
  <c r="H41" i="10"/>
  <c r="G41" i="10"/>
  <c r="F41" i="10"/>
  <c r="E41" i="10"/>
  <c r="D41" i="10"/>
  <c r="C41" i="10"/>
  <c r="B41" i="10"/>
  <c r="A41" i="10"/>
  <c r="K40" i="10"/>
  <c r="J40" i="10"/>
  <c r="I40" i="10"/>
  <c r="H40" i="10"/>
  <c r="G40" i="10"/>
  <c r="F40" i="10"/>
  <c r="E40" i="10"/>
  <c r="D40" i="10"/>
  <c r="C40" i="10"/>
  <c r="B40" i="10"/>
  <c r="A40" i="10"/>
  <c r="K39" i="10"/>
  <c r="J39" i="10"/>
  <c r="I39" i="10"/>
  <c r="H39" i="10"/>
  <c r="G39" i="10"/>
  <c r="F39" i="10"/>
  <c r="E39" i="10"/>
  <c r="D39" i="10"/>
  <c r="C39" i="10"/>
  <c r="B39" i="10"/>
  <c r="A39" i="10"/>
  <c r="K38" i="10"/>
  <c r="J38" i="10"/>
  <c r="I38" i="10"/>
  <c r="H38" i="10"/>
  <c r="G38" i="10"/>
  <c r="F38" i="10"/>
  <c r="E38" i="10"/>
  <c r="D38" i="10"/>
  <c r="C38" i="10"/>
  <c r="B38" i="10"/>
  <c r="A38" i="10"/>
  <c r="K37" i="10"/>
  <c r="J37" i="10"/>
  <c r="I37" i="10"/>
  <c r="H37" i="10"/>
  <c r="G37" i="10"/>
  <c r="F37" i="10"/>
  <c r="E37" i="10"/>
  <c r="D37" i="10"/>
  <c r="C37" i="10"/>
  <c r="B37" i="10"/>
  <c r="A37" i="10"/>
  <c r="K36" i="10"/>
  <c r="J36" i="10"/>
  <c r="I36" i="10"/>
  <c r="H36" i="10"/>
  <c r="G36" i="10"/>
  <c r="F36" i="10"/>
  <c r="E36" i="10"/>
  <c r="D36" i="10"/>
  <c r="C36" i="10"/>
  <c r="B36" i="10"/>
  <c r="A36" i="10"/>
  <c r="K35" i="10"/>
  <c r="J35" i="10"/>
  <c r="I35" i="10"/>
  <c r="H35" i="10"/>
  <c r="G35" i="10"/>
  <c r="F35" i="10"/>
  <c r="E35" i="10"/>
  <c r="D35" i="10"/>
  <c r="C35" i="10"/>
  <c r="B35" i="10"/>
  <c r="A35" i="10"/>
  <c r="K34" i="10"/>
  <c r="I34" i="10"/>
  <c r="H34" i="10"/>
  <c r="G34" i="10"/>
  <c r="F34" i="10"/>
  <c r="E34" i="10"/>
  <c r="D34" i="10"/>
  <c r="C34" i="10"/>
  <c r="B34" i="10"/>
  <c r="A34" i="10"/>
  <c r="K33" i="10"/>
  <c r="J33" i="10"/>
  <c r="I33" i="10"/>
  <c r="H33" i="10"/>
  <c r="G33" i="10"/>
  <c r="F33" i="10"/>
  <c r="E33" i="10"/>
  <c r="D33" i="10"/>
  <c r="C33" i="10"/>
  <c r="B33" i="10"/>
  <c r="A33" i="10"/>
  <c r="K32" i="10"/>
  <c r="J32" i="10"/>
  <c r="I32" i="10"/>
  <c r="H32" i="10"/>
  <c r="G32" i="10"/>
  <c r="F32" i="10"/>
  <c r="E32" i="10"/>
  <c r="D32" i="10"/>
  <c r="C32" i="10"/>
  <c r="B32" i="10"/>
  <c r="A32" i="10"/>
  <c r="K31" i="10"/>
  <c r="J31" i="10"/>
  <c r="I31" i="10"/>
  <c r="H31" i="10"/>
  <c r="G31" i="10"/>
  <c r="F31" i="10"/>
  <c r="E31" i="10"/>
  <c r="D31" i="10"/>
  <c r="C31" i="10"/>
  <c r="B31" i="10"/>
  <c r="A31" i="10"/>
  <c r="K30" i="10"/>
  <c r="J30" i="10"/>
  <c r="I30" i="10"/>
  <c r="H30" i="10"/>
  <c r="G30" i="10"/>
  <c r="F30" i="10"/>
  <c r="E30" i="10"/>
  <c r="D30" i="10"/>
  <c r="C30" i="10"/>
  <c r="B30" i="10"/>
  <c r="A30" i="10"/>
  <c r="K29" i="10"/>
  <c r="J29" i="10"/>
  <c r="I29" i="10"/>
  <c r="H29" i="10"/>
  <c r="G29" i="10"/>
  <c r="F29" i="10"/>
  <c r="E29" i="10"/>
  <c r="D29" i="10"/>
  <c r="C29" i="10"/>
  <c r="B29" i="10"/>
  <c r="A29" i="10"/>
  <c r="K28" i="10"/>
  <c r="J28" i="10"/>
  <c r="I28" i="10"/>
  <c r="H28" i="10"/>
  <c r="G28" i="10"/>
  <c r="F28" i="10"/>
  <c r="E28" i="10"/>
  <c r="D28" i="10"/>
  <c r="C28" i="10"/>
  <c r="B28" i="10"/>
  <c r="A28" i="10"/>
  <c r="K27" i="10"/>
  <c r="I27" i="10"/>
  <c r="H27" i="10"/>
  <c r="G27" i="10"/>
  <c r="F27" i="10"/>
  <c r="C27" i="10"/>
  <c r="B27" i="10"/>
  <c r="A27" i="10"/>
  <c r="K26" i="10"/>
  <c r="J26" i="10"/>
  <c r="I26" i="10"/>
  <c r="H26" i="10"/>
  <c r="G26" i="10"/>
  <c r="F26" i="10"/>
  <c r="E26" i="10"/>
  <c r="D26" i="10"/>
  <c r="C26" i="10"/>
  <c r="B26" i="10"/>
  <c r="A26" i="10"/>
  <c r="K25" i="10"/>
  <c r="J25" i="10"/>
  <c r="I25" i="10"/>
  <c r="H25" i="10"/>
  <c r="G25" i="10"/>
  <c r="F25" i="10"/>
  <c r="C25" i="10"/>
  <c r="B25" i="10"/>
  <c r="A25" i="10"/>
  <c r="K24" i="10"/>
  <c r="J24" i="10"/>
  <c r="I24" i="10"/>
  <c r="H24" i="10"/>
  <c r="G24" i="10"/>
  <c r="F24" i="10"/>
  <c r="E24" i="10"/>
  <c r="D24" i="10"/>
  <c r="C24" i="10"/>
  <c r="B24" i="10"/>
  <c r="A24" i="10"/>
  <c r="K23" i="10"/>
  <c r="J23" i="10"/>
  <c r="I23" i="10"/>
  <c r="H23" i="10"/>
  <c r="G23" i="10"/>
  <c r="F23" i="10"/>
  <c r="E23" i="10"/>
  <c r="D23" i="10"/>
  <c r="C23" i="10"/>
  <c r="B23" i="10"/>
  <c r="A23" i="10"/>
  <c r="K22" i="10"/>
  <c r="J22" i="10"/>
  <c r="I22" i="10"/>
  <c r="H22" i="10"/>
  <c r="G22" i="10"/>
  <c r="F22" i="10"/>
  <c r="C22" i="10"/>
  <c r="B22" i="10"/>
  <c r="A22" i="10"/>
  <c r="K21" i="10"/>
  <c r="I21" i="10"/>
  <c r="H21" i="10"/>
  <c r="G21" i="10"/>
  <c r="F21" i="10"/>
  <c r="C21" i="10"/>
  <c r="B21" i="10"/>
  <c r="A21" i="10"/>
  <c r="K20" i="10"/>
  <c r="J20" i="10"/>
  <c r="I20" i="10"/>
  <c r="H20" i="10"/>
  <c r="G20" i="10"/>
  <c r="F20" i="10"/>
  <c r="C20" i="10"/>
  <c r="B20" i="10"/>
  <c r="A20" i="10"/>
  <c r="K19" i="10"/>
  <c r="J19" i="10"/>
  <c r="I19" i="10"/>
  <c r="H19" i="10"/>
  <c r="G19" i="10"/>
  <c r="F19" i="10"/>
  <c r="C19" i="10"/>
  <c r="B19" i="10"/>
  <c r="A19" i="10"/>
  <c r="K18" i="10"/>
  <c r="I18" i="10"/>
  <c r="H18" i="10"/>
  <c r="G18" i="10"/>
  <c r="F18" i="10"/>
  <c r="E18" i="10"/>
  <c r="D18" i="10"/>
  <c r="C18" i="10"/>
  <c r="B18" i="10"/>
  <c r="A18" i="10"/>
  <c r="K17" i="10"/>
  <c r="J17" i="10"/>
  <c r="I17" i="10"/>
  <c r="H17" i="10"/>
  <c r="G17" i="10"/>
  <c r="F17" i="10"/>
  <c r="E17" i="10"/>
  <c r="D17" i="10"/>
  <c r="C17" i="10"/>
  <c r="B17" i="10"/>
  <c r="A17" i="10"/>
  <c r="K16" i="10"/>
  <c r="J16" i="10"/>
  <c r="I16" i="10"/>
  <c r="H16" i="10"/>
  <c r="G16" i="10"/>
  <c r="F16" i="10"/>
  <c r="E16" i="10"/>
  <c r="D16" i="10"/>
  <c r="C16" i="10"/>
  <c r="B16" i="10"/>
  <c r="A16" i="10"/>
  <c r="K15" i="10"/>
  <c r="J15" i="10"/>
  <c r="I15" i="10"/>
  <c r="H15" i="10"/>
  <c r="G15" i="10"/>
  <c r="F15" i="10"/>
  <c r="E15" i="10"/>
  <c r="D15" i="10"/>
  <c r="C15" i="10"/>
  <c r="B15" i="10"/>
  <c r="A15" i="10"/>
  <c r="K14" i="10"/>
  <c r="J14" i="10"/>
  <c r="I14" i="10"/>
  <c r="H14" i="10"/>
  <c r="G14" i="10"/>
  <c r="F14" i="10"/>
  <c r="E14" i="10"/>
  <c r="D14" i="10"/>
  <c r="C14" i="10"/>
  <c r="B14" i="10"/>
  <c r="A14" i="10"/>
  <c r="K13" i="10"/>
  <c r="J13" i="10"/>
  <c r="I13" i="10"/>
  <c r="H13" i="10"/>
  <c r="G13" i="10"/>
  <c r="F13" i="10"/>
  <c r="E13" i="10"/>
  <c r="D13" i="10"/>
  <c r="C13" i="10"/>
  <c r="B13" i="10"/>
  <c r="A13" i="10"/>
  <c r="K12" i="10"/>
  <c r="J12" i="10"/>
  <c r="I12" i="10"/>
  <c r="H12" i="10"/>
  <c r="G12" i="10"/>
  <c r="F12" i="10"/>
  <c r="E12" i="10"/>
  <c r="D12" i="10"/>
  <c r="C12" i="10"/>
  <c r="B12" i="10"/>
  <c r="A12" i="10"/>
  <c r="K11" i="10"/>
  <c r="J11" i="10"/>
  <c r="I11" i="10"/>
  <c r="H11" i="10"/>
  <c r="G11" i="10"/>
  <c r="F11" i="10"/>
  <c r="E11" i="10"/>
  <c r="D11" i="10"/>
  <c r="C11" i="10"/>
  <c r="B11" i="10"/>
  <c r="A11" i="10"/>
  <c r="K10" i="10"/>
  <c r="J10" i="10"/>
  <c r="I10" i="10"/>
  <c r="H10" i="10"/>
  <c r="G10" i="10"/>
  <c r="F10" i="10"/>
  <c r="E10" i="10"/>
  <c r="D10" i="10"/>
  <c r="C10" i="10"/>
  <c r="B10" i="10"/>
  <c r="A10" i="10"/>
  <c r="K9" i="10"/>
  <c r="J9" i="10"/>
  <c r="I9" i="10"/>
  <c r="H9" i="10"/>
  <c r="G9" i="10"/>
  <c r="F9" i="10"/>
  <c r="E9" i="10"/>
  <c r="D9" i="10"/>
  <c r="C9" i="10"/>
  <c r="B9" i="10"/>
  <c r="A9" i="10"/>
  <c r="K8" i="10"/>
  <c r="J8" i="10"/>
  <c r="I8" i="10"/>
  <c r="H8" i="10"/>
  <c r="G8" i="10"/>
  <c r="F8" i="10"/>
  <c r="E8" i="10"/>
  <c r="D8" i="10"/>
  <c r="C8" i="10"/>
  <c r="B8" i="10"/>
  <c r="A8" i="10"/>
  <c r="K7" i="10"/>
  <c r="J7" i="10"/>
  <c r="I7" i="10"/>
  <c r="H7" i="10"/>
  <c r="G7" i="10"/>
  <c r="F7" i="10"/>
  <c r="E7" i="10"/>
  <c r="D7" i="10"/>
  <c r="C7" i="10"/>
  <c r="B7" i="10"/>
  <c r="A7" i="10"/>
  <c r="K6" i="10"/>
  <c r="J6" i="10"/>
  <c r="I6" i="10"/>
  <c r="H6" i="10"/>
  <c r="G6" i="10"/>
  <c r="F6" i="10"/>
  <c r="C6" i="10"/>
  <c r="B6" i="10"/>
  <c r="A6" i="10"/>
  <c r="K5" i="10"/>
  <c r="J5" i="10"/>
  <c r="I5" i="10"/>
  <c r="H5" i="10"/>
  <c r="G5" i="10"/>
  <c r="F5" i="10"/>
  <c r="E5" i="10"/>
  <c r="D5" i="10"/>
  <c r="C5" i="10"/>
  <c r="B5" i="10"/>
  <c r="A5" i="10"/>
  <c r="K4" i="10"/>
  <c r="J4" i="10"/>
  <c r="I4" i="10"/>
  <c r="H4" i="10"/>
  <c r="G4" i="10"/>
  <c r="F4" i="10"/>
  <c r="E4" i="10"/>
  <c r="D4" i="10"/>
  <c r="C4" i="10"/>
  <c r="B4" i="10"/>
  <c r="A4" i="10"/>
  <c r="K3" i="10"/>
  <c r="J3" i="10"/>
  <c r="I3" i="10"/>
  <c r="H3" i="10"/>
  <c r="G3" i="10"/>
  <c r="F3" i="10"/>
  <c r="E3" i="10"/>
  <c r="D3" i="10"/>
  <c r="C3" i="10"/>
  <c r="B3" i="10"/>
  <c r="A3" i="10"/>
  <c r="K2" i="10"/>
  <c r="J2" i="10"/>
  <c r="I2" i="10"/>
  <c r="H2" i="10"/>
  <c r="G2" i="10"/>
  <c r="F2" i="10"/>
  <c r="E2" i="10"/>
  <c r="D2" i="10"/>
  <c r="C2" i="10"/>
  <c r="B2" i="10"/>
  <c r="A2" i="10"/>
  <c r="K1" i="10"/>
  <c r="J1" i="10"/>
  <c r="I1" i="10"/>
  <c r="H1" i="10"/>
  <c r="G1" i="10"/>
  <c r="F1" i="10"/>
  <c r="E1" i="10"/>
  <c r="D1" i="10"/>
  <c r="C1" i="10"/>
  <c r="B1" i="10"/>
  <c r="A1" i="10"/>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AA1726" i="1"/>
  <c r="AA1725" i="1"/>
  <c r="AA1724" i="1"/>
  <c r="AA1722" i="1"/>
  <c r="AA1720" i="1"/>
  <c r="AA1719" i="1"/>
  <c r="AA1718" i="1"/>
  <c r="AA1717" i="1"/>
  <c r="AA1716" i="1"/>
  <c r="AA1714" i="1"/>
  <c r="AA1712" i="1"/>
  <c r="AA1711" i="1"/>
  <c r="AA1710" i="1"/>
  <c r="AA1709" i="1"/>
  <c r="AA1708" i="1"/>
  <c r="AA1706" i="1"/>
  <c r="AA1704" i="1"/>
  <c r="AA1703" i="1"/>
  <c r="AA1702" i="1"/>
  <c r="AA1701" i="1"/>
  <c r="AA1700" i="1"/>
  <c r="AA1698" i="1"/>
  <c r="AA1696" i="1"/>
  <c r="AA1695" i="1"/>
  <c r="AA1694" i="1"/>
  <c r="AA1693" i="1"/>
  <c r="AA1692" i="1"/>
  <c r="AA1690" i="1"/>
  <c r="AA1688" i="1"/>
  <c r="AA1687" i="1"/>
  <c r="AA1686" i="1"/>
  <c r="AA1685" i="1"/>
  <c r="AA1684" i="1"/>
  <c r="AA1682" i="1"/>
  <c r="AA1680" i="1"/>
  <c r="AA1679" i="1"/>
  <c r="AA1678" i="1"/>
  <c r="AA1677" i="1"/>
  <c r="AA1676" i="1"/>
  <c r="AA1674" i="1"/>
  <c r="AA1672" i="1"/>
  <c r="AA1671" i="1"/>
  <c r="AA1670" i="1"/>
  <c r="AA1669" i="1"/>
  <c r="AA1668" i="1"/>
  <c r="AA1666" i="1"/>
  <c r="AA1664" i="1"/>
  <c r="AA1663" i="1"/>
  <c r="AA1662" i="1"/>
  <c r="AA1661" i="1"/>
  <c r="AA1660" i="1"/>
  <c r="AA1658" i="1"/>
  <c r="AA1656" i="1"/>
  <c r="AA1655" i="1"/>
  <c r="AA1654" i="1"/>
  <c r="AA1653" i="1"/>
  <c r="AA1652" i="1"/>
  <c r="AA1650" i="1"/>
  <c r="AA1648" i="1"/>
  <c r="AA1647" i="1"/>
  <c r="AA1646" i="1"/>
  <c r="AA1645" i="1"/>
  <c r="AA1644" i="1"/>
  <c r="AA1642" i="1"/>
  <c r="AA1640" i="1"/>
  <c r="AA1639" i="1"/>
  <c r="AA1638" i="1"/>
  <c r="AA1637" i="1"/>
  <c r="AA1636" i="1"/>
  <c r="AA1634" i="1"/>
  <c r="AA1632" i="1"/>
  <c r="AA1631" i="1"/>
  <c r="AA1630" i="1"/>
  <c r="AA1629" i="1"/>
  <c r="AA1628" i="1"/>
  <c r="AA1626" i="1"/>
  <c r="AA1624" i="1"/>
  <c r="AA1623" i="1"/>
  <c r="AA1622" i="1"/>
  <c r="AA1621" i="1"/>
  <c r="AA1620" i="1"/>
  <c r="AA1618" i="1"/>
  <c r="AA1616" i="1"/>
  <c r="AA1615" i="1"/>
  <c r="AA1614" i="1"/>
  <c r="AA1613" i="1"/>
  <c r="AA1612" i="1"/>
  <c r="AA1610" i="1"/>
  <c r="AA1608" i="1"/>
  <c r="AA1607" i="1"/>
  <c r="AA1606" i="1"/>
  <c r="AA1605" i="1"/>
  <c r="AA1604" i="1"/>
  <c r="AA1602" i="1"/>
  <c r="AA1600" i="1"/>
  <c r="AA1599" i="1"/>
  <c r="AA1598" i="1"/>
  <c r="AA1597" i="1"/>
  <c r="AA1596" i="1"/>
  <c r="AA1594" i="1"/>
  <c r="AA1592" i="1"/>
  <c r="AA1591" i="1"/>
  <c r="AA1590" i="1"/>
  <c r="AA1589" i="1"/>
  <c r="AA1588" i="1"/>
  <c r="AA1586" i="1"/>
  <c r="AA1584" i="1"/>
  <c r="AA1583" i="1"/>
  <c r="AA1582" i="1"/>
  <c r="AA1581" i="1"/>
  <c r="AA1580" i="1"/>
  <c r="AA1578" i="1"/>
  <c r="AA1576" i="1"/>
  <c r="AA1575" i="1"/>
  <c r="AA1574" i="1"/>
  <c r="AA1573" i="1"/>
  <c r="AA1572" i="1"/>
  <c r="AA1570" i="1"/>
  <c r="AA1568" i="1"/>
  <c r="AA1567" i="1"/>
  <c r="AA1566" i="1"/>
  <c r="AA1565" i="1"/>
  <c r="AA1564" i="1"/>
  <c r="AA1562" i="1"/>
  <c r="AA1560" i="1"/>
  <c r="AA1559" i="1"/>
  <c r="AA1558" i="1"/>
  <c r="AA1557" i="1"/>
  <c r="AA1556" i="1"/>
  <c r="AA1554" i="1"/>
  <c r="AA1552" i="1"/>
  <c r="AA1551" i="1"/>
  <c r="AA1550" i="1"/>
  <c r="AA1549" i="1"/>
  <c r="AA1548" i="1"/>
  <c r="AA1546" i="1"/>
  <c r="AA1544" i="1"/>
  <c r="AA1543" i="1"/>
  <c r="AA1542" i="1"/>
  <c r="AA1541" i="1"/>
  <c r="AA1540" i="1"/>
  <c r="AA1538" i="1"/>
  <c r="AA1536" i="1"/>
  <c r="AA1535" i="1"/>
  <c r="AA1534" i="1"/>
  <c r="AA1533" i="1"/>
  <c r="AA1532" i="1"/>
  <c r="AA1530" i="1"/>
  <c r="AA1528" i="1"/>
  <c r="AA1527" i="1"/>
  <c r="AA1526" i="1"/>
  <c r="AA1525" i="1"/>
  <c r="AA1524" i="1"/>
  <c r="AA1522" i="1"/>
  <c r="AA1520" i="1"/>
  <c r="AA1519" i="1"/>
  <c r="AA1518" i="1"/>
  <c r="AA1517" i="1"/>
  <c r="AA1516" i="1"/>
  <c r="AA1514" i="1"/>
  <c r="AA1512" i="1"/>
  <c r="AA1511" i="1"/>
  <c r="AA1510" i="1"/>
  <c r="AA1509" i="1"/>
  <c r="AA1508" i="1"/>
  <c r="AA1506" i="1"/>
  <c r="AA1504" i="1"/>
  <c r="AA1503" i="1"/>
  <c r="AA1502" i="1"/>
  <c r="AA1501" i="1"/>
  <c r="AA1500" i="1"/>
  <c r="AA1498" i="1"/>
  <c r="AA1496" i="1"/>
  <c r="AA1495" i="1"/>
  <c r="AA1494" i="1"/>
  <c r="AA1493" i="1"/>
  <c r="AA1492" i="1"/>
  <c r="AA1490" i="1"/>
  <c r="AA1488" i="1"/>
  <c r="AA1487" i="1"/>
  <c r="AA1486" i="1"/>
  <c r="AA1485" i="1"/>
  <c r="AA1484" i="1"/>
  <c r="AA1482" i="1"/>
  <c r="AA1480" i="1"/>
  <c r="AA1479" i="1"/>
  <c r="AA1478" i="1"/>
  <c r="AA1477" i="1"/>
  <c r="AA1476" i="1"/>
  <c r="AA1474" i="1"/>
  <c r="AA1472" i="1"/>
  <c r="AA1471" i="1"/>
  <c r="AA1470" i="1"/>
  <c r="AA1469" i="1"/>
  <c r="AA1468" i="1"/>
  <c r="AA1466" i="1"/>
  <c r="AA1464" i="1"/>
  <c r="AA1463" i="1"/>
  <c r="AA1462" i="1"/>
  <c r="AA1461" i="1"/>
  <c r="AA1460" i="1"/>
  <c r="AA1458" i="1"/>
  <c r="AA1456" i="1"/>
  <c r="AA1455" i="1"/>
  <c r="AA1454" i="1"/>
  <c r="AA1453" i="1"/>
  <c r="AA1452" i="1"/>
  <c r="AA1450" i="1"/>
  <c r="AA1448" i="1"/>
  <c r="AA1447" i="1"/>
  <c r="AA1446" i="1"/>
  <c r="AA1445" i="1"/>
  <c r="AA1444" i="1"/>
  <c r="AA1442" i="1"/>
  <c r="AA1440" i="1"/>
  <c r="AA1439" i="1"/>
  <c r="AA1438" i="1"/>
  <c r="AA1437" i="1"/>
  <c r="AA1436" i="1"/>
  <c r="AA1434" i="1"/>
  <c r="AA1432" i="1"/>
  <c r="AA1431" i="1"/>
  <c r="AA1430" i="1"/>
  <c r="AA1429" i="1"/>
  <c r="AA1428" i="1"/>
  <c r="AA1426" i="1"/>
  <c r="AA1424" i="1"/>
  <c r="AA1423" i="1"/>
  <c r="AA1422" i="1"/>
  <c r="AA1421" i="1"/>
  <c r="AA1420" i="1"/>
  <c r="AA1418" i="1"/>
  <c r="AA1416" i="1"/>
  <c r="AA1415" i="1"/>
  <c r="AA1414" i="1"/>
  <c r="AA1413" i="1"/>
  <c r="AA1412" i="1"/>
  <c r="AA1410" i="1"/>
  <c r="AA1408" i="1"/>
  <c r="AA1407" i="1"/>
  <c r="AA1406" i="1"/>
  <c r="AA1405" i="1"/>
  <c r="AA1404" i="1"/>
  <c r="AA1402" i="1"/>
  <c r="AA1400" i="1"/>
  <c r="AA1399" i="1"/>
  <c r="AA1398" i="1"/>
  <c r="AA1397" i="1"/>
  <c r="AA1396" i="1"/>
  <c r="AA1394" i="1"/>
  <c r="AA1392" i="1"/>
  <c r="AA1391" i="1"/>
  <c r="AA1390" i="1"/>
  <c r="AA1389" i="1"/>
  <c r="AA1388" i="1"/>
  <c r="AA1386" i="1"/>
  <c r="AA1384" i="1"/>
  <c r="AA1383" i="1"/>
  <c r="AA1382" i="1"/>
  <c r="AA1381" i="1"/>
  <c r="AA1380" i="1"/>
  <c r="AA1378" i="1"/>
  <c r="AA1376" i="1"/>
  <c r="AA1375" i="1"/>
  <c r="AA1374" i="1"/>
  <c r="AA1373" i="1"/>
  <c r="AA1372" i="1"/>
  <c r="AA1370" i="1"/>
  <c r="AA1368" i="1"/>
  <c r="AA1367" i="1"/>
  <c r="AA1366" i="1"/>
  <c r="AA1365" i="1"/>
  <c r="AA1364" i="1"/>
  <c r="AA1362" i="1"/>
  <c r="AA1360" i="1"/>
  <c r="AA1359" i="1"/>
  <c r="AA1358" i="1"/>
  <c r="AA1357" i="1"/>
  <c r="AA1356" i="1"/>
  <c r="AA1354" i="1"/>
  <c r="AA1352" i="1"/>
  <c r="AA1351" i="1"/>
  <c r="AA1350" i="1"/>
  <c r="AA1349" i="1"/>
  <c r="AA1348" i="1"/>
  <c r="AA1346" i="1"/>
  <c r="AA1344" i="1"/>
  <c r="AA1343" i="1"/>
  <c r="AA1342" i="1"/>
  <c r="AA1341" i="1"/>
  <c r="AA1340" i="1"/>
  <c r="AA1338" i="1"/>
  <c r="AA1336" i="1"/>
  <c r="AA1335" i="1"/>
  <c r="AA1334" i="1"/>
  <c r="AA1333" i="1"/>
  <c r="AA1332" i="1"/>
  <c r="AA1330" i="1"/>
  <c r="AA1328" i="1"/>
  <c r="AA1327" i="1"/>
  <c r="AA1326" i="1"/>
  <c r="AA1325" i="1"/>
  <c r="AA1324" i="1"/>
  <c r="AA1322" i="1"/>
  <c r="AA1320" i="1"/>
  <c r="AA1319" i="1"/>
  <c r="AA1318" i="1"/>
  <c r="AA1317" i="1"/>
  <c r="AA1316" i="1"/>
  <c r="AA1314" i="1"/>
  <c r="AA1312" i="1"/>
  <c r="AA1311" i="1"/>
  <c r="AA1310" i="1"/>
  <c r="AA1309" i="1"/>
  <c r="AA1308" i="1"/>
  <c r="AA1306" i="1"/>
  <c r="AA1304" i="1"/>
  <c r="AA1303" i="1"/>
  <c r="AA1302" i="1"/>
  <c r="AA1301" i="1"/>
  <c r="AA1300" i="1"/>
  <c r="AA1298" i="1"/>
  <c r="AA1296" i="1"/>
  <c r="AA1295" i="1"/>
  <c r="AA1294" i="1"/>
  <c r="AA1293" i="1"/>
  <c r="AA1292" i="1"/>
  <c r="AA1290" i="1"/>
  <c r="AA1288" i="1"/>
  <c r="AA1287" i="1"/>
  <c r="AA1286" i="1"/>
  <c r="AA1285" i="1"/>
  <c r="AA1284" i="1"/>
  <c r="AA1282" i="1"/>
  <c r="AA1280" i="1"/>
  <c r="AA1279" i="1"/>
  <c r="AA1278" i="1"/>
  <c r="AA1277" i="1"/>
  <c r="AA1276" i="1"/>
  <c r="AA1274" i="1"/>
  <c r="AA1272" i="1"/>
  <c r="AA1271" i="1"/>
  <c r="AA1270" i="1"/>
  <c r="AA1269" i="1"/>
  <c r="AA1268" i="1"/>
  <c r="AA1266" i="1"/>
  <c r="AA1264" i="1"/>
  <c r="AA1263" i="1"/>
  <c r="AA1262" i="1"/>
  <c r="AA1261" i="1"/>
  <c r="AA1260" i="1"/>
  <c r="AA1258" i="1"/>
  <c r="AA1256" i="1"/>
  <c r="AA1255" i="1"/>
  <c r="AA1254" i="1"/>
  <c r="AA1253" i="1"/>
  <c r="AA1252" i="1"/>
  <c r="AA1250" i="1"/>
  <c r="AA1248" i="1"/>
  <c r="AA1247" i="1"/>
  <c r="AA1246" i="1"/>
  <c r="AA1245" i="1"/>
  <c r="AA1244" i="1"/>
  <c r="AA1242" i="1"/>
  <c r="AA1240" i="1"/>
  <c r="AA1239" i="1"/>
  <c r="AA1238" i="1"/>
  <c r="AA1237" i="1"/>
  <c r="AA1236" i="1"/>
  <c r="AA1234" i="1"/>
  <c r="AA1232" i="1"/>
  <c r="AA1231" i="1"/>
  <c r="AA1230" i="1"/>
  <c r="AA1229" i="1"/>
  <c r="AA1228" i="1"/>
  <c r="AA1226" i="1"/>
  <c r="AA1224" i="1"/>
  <c r="AA1223" i="1"/>
  <c r="AA1222" i="1"/>
  <c r="AA1221" i="1"/>
  <c r="AA1220" i="1"/>
  <c r="AA1218" i="1"/>
  <c r="AA1216" i="1"/>
  <c r="AA1215" i="1"/>
  <c r="AA1214" i="1"/>
  <c r="AA1213" i="1"/>
  <c r="AA1212" i="1"/>
  <c r="AA1210" i="1"/>
  <c r="AA1208" i="1"/>
  <c r="AA1207" i="1"/>
  <c r="AA1206" i="1"/>
  <c r="AA1205" i="1"/>
  <c r="AA1204" i="1"/>
  <c r="AA1202" i="1"/>
  <c r="AA1200" i="1"/>
  <c r="AA1199" i="1"/>
  <c r="AA1198" i="1"/>
  <c r="AA1197" i="1"/>
  <c r="AA1196" i="1"/>
  <c r="AA1194" i="1"/>
  <c r="AA1192" i="1"/>
  <c r="AA1191" i="1"/>
  <c r="AA1190" i="1"/>
  <c r="AA1189" i="1"/>
  <c r="AA1188" i="1"/>
  <c r="AA1186" i="1"/>
  <c r="AA1184" i="1"/>
  <c r="AA1183" i="1"/>
  <c r="AA1182" i="1"/>
  <c r="AA1181" i="1"/>
  <c r="AA1180" i="1"/>
  <c r="AA1178" i="1"/>
  <c r="AA1176" i="1"/>
  <c r="AA1175" i="1"/>
  <c r="AA1174" i="1"/>
  <c r="AA1173" i="1"/>
  <c r="AA1172" i="1"/>
  <c r="AA1170" i="1"/>
  <c r="AA1168" i="1"/>
  <c r="AA1167" i="1"/>
  <c r="AA1166" i="1"/>
  <c r="AA1165" i="1"/>
  <c r="AA1164" i="1"/>
  <c r="AA1162" i="1"/>
  <c r="AA1160" i="1"/>
  <c r="AA1159" i="1"/>
  <c r="AA1158" i="1"/>
  <c r="AA1157" i="1"/>
  <c r="AA1156" i="1"/>
  <c r="AA1154" i="1"/>
  <c r="AA1152" i="1"/>
  <c r="AA1151" i="1"/>
  <c r="AA1150" i="1"/>
  <c r="AA1149" i="1"/>
  <c r="AA1148" i="1"/>
  <c r="AA1146" i="1"/>
  <c r="AA1144" i="1"/>
  <c r="AA1143" i="1"/>
  <c r="AA1142" i="1"/>
  <c r="AA1141" i="1"/>
  <c r="AA1140" i="1"/>
  <c r="AA1138" i="1"/>
  <c r="AA1136" i="1"/>
  <c r="AA1135" i="1"/>
  <c r="AA1134" i="1"/>
  <c r="AA1133" i="1"/>
  <c r="AA1132" i="1"/>
  <c r="AA1130" i="1"/>
  <c r="AA1128" i="1"/>
  <c r="AA1127" i="1"/>
  <c r="AA1126" i="1"/>
  <c r="AA1125" i="1"/>
  <c r="AA1124" i="1"/>
  <c r="AA1122" i="1"/>
  <c r="AA1120" i="1"/>
  <c r="AA1119" i="1"/>
  <c r="AA1118" i="1"/>
  <c r="AA1117" i="1"/>
  <c r="AA1116" i="1"/>
  <c r="AA1114" i="1"/>
  <c r="AA1112" i="1"/>
  <c r="AA1111" i="1"/>
  <c r="AA1110" i="1"/>
  <c r="AA1109" i="1"/>
  <c r="AA1108" i="1"/>
  <c r="AA1106" i="1"/>
  <c r="AA1104" i="1"/>
  <c r="AA1103" i="1"/>
  <c r="AA1102" i="1"/>
  <c r="AA1101" i="1"/>
  <c r="AA1100" i="1"/>
  <c r="AA1098" i="1"/>
  <c r="AA1096" i="1"/>
  <c r="AA1095" i="1"/>
  <c r="AA1094" i="1"/>
  <c r="AA1093" i="1"/>
  <c r="AA1092" i="1"/>
  <c r="AA1090" i="1"/>
  <c r="AA1088" i="1"/>
  <c r="AA1087" i="1"/>
  <c r="AA1086" i="1"/>
  <c r="AA1085" i="1"/>
  <c r="AA1084" i="1"/>
  <c r="AA1082" i="1"/>
  <c r="AA1080" i="1"/>
  <c r="AA1079" i="1"/>
  <c r="AA1078" i="1"/>
  <c r="AA1077" i="1"/>
  <c r="AA1076" i="1"/>
  <c r="AA1074" i="1"/>
  <c r="AA1072" i="1"/>
  <c r="AA1071" i="1"/>
  <c r="AA1070" i="1"/>
  <c r="AA1069" i="1"/>
  <c r="AA1068" i="1"/>
  <c r="AA1066" i="1"/>
  <c r="AA1064" i="1"/>
  <c r="AA1063" i="1"/>
  <c r="AA1062" i="1"/>
  <c r="AA1061" i="1"/>
  <c r="AA1060" i="1"/>
  <c r="AA1058" i="1"/>
  <c r="AA1056" i="1"/>
  <c r="AA1055" i="1"/>
  <c r="AA1054" i="1"/>
  <c r="AA1053" i="1"/>
  <c r="AA1052" i="1"/>
  <c r="AA1050" i="1"/>
  <c r="AA1048" i="1"/>
  <c r="AA1047" i="1"/>
  <c r="AA1046" i="1"/>
  <c r="AA1045" i="1"/>
  <c r="AA1044" i="1"/>
  <c r="AA1042" i="1"/>
  <c r="AA1040" i="1"/>
  <c r="AA1039" i="1"/>
  <c r="AA1038" i="1"/>
  <c r="AA1037" i="1"/>
  <c r="AA1036" i="1"/>
  <c r="AA1034" i="1"/>
  <c r="AA1032" i="1"/>
  <c r="AA1031" i="1"/>
  <c r="AA1030" i="1"/>
  <c r="AA1029" i="1"/>
  <c r="AA1028" i="1"/>
  <c r="AA1026" i="1"/>
  <c r="AA1024" i="1"/>
  <c r="AA1023" i="1"/>
  <c r="AA1022" i="1"/>
  <c r="AA1021" i="1"/>
  <c r="AA1020" i="1"/>
  <c r="AA1018" i="1"/>
  <c r="AA1016" i="1"/>
  <c r="AA1015" i="1"/>
  <c r="AA1014" i="1"/>
  <c r="AA1013" i="1"/>
  <c r="AA1012" i="1"/>
  <c r="AA1010" i="1"/>
  <c r="AA1008" i="1"/>
  <c r="AA1007" i="1"/>
  <c r="AA1006" i="1"/>
  <c r="AA1005" i="1"/>
  <c r="AA1004" i="1"/>
  <c r="AA1002" i="1"/>
  <c r="AA1000" i="1"/>
  <c r="AA999" i="1"/>
  <c r="AA998" i="1"/>
  <c r="AA997" i="1"/>
  <c r="AA996" i="1"/>
  <c r="AA994" i="1"/>
  <c r="AA992" i="1"/>
  <c r="AA991" i="1"/>
  <c r="AA990" i="1"/>
  <c r="AA989" i="1"/>
  <c r="AA988" i="1"/>
  <c r="AA986" i="1"/>
  <c r="AA984" i="1"/>
  <c r="AA983" i="1"/>
  <c r="AA982" i="1"/>
  <c r="AA981" i="1"/>
  <c r="AA980" i="1"/>
  <c r="AA978" i="1"/>
  <c r="AA976" i="1"/>
  <c r="AA975" i="1"/>
  <c r="AA974" i="1"/>
  <c r="AA973" i="1"/>
  <c r="AA972" i="1"/>
  <c r="AA970" i="1"/>
  <c r="AA968" i="1"/>
  <c r="AA967" i="1"/>
  <c r="AA966" i="1"/>
  <c r="AA965" i="1"/>
  <c r="AA964" i="1"/>
  <c r="AA962" i="1"/>
  <c r="AA960" i="1"/>
  <c r="AA959" i="1"/>
  <c r="AA958" i="1"/>
  <c r="AA957" i="1"/>
  <c r="AA956" i="1"/>
  <c r="AA954" i="1"/>
  <c r="AA952" i="1"/>
  <c r="AA951" i="1"/>
  <c r="AA950" i="1"/>
  <c r="AA949" i="1"/>
  <c r="AA948" i="1"/>
  <c r="AA946" i="1"/>
  <c r="AA944" i="1"/>
  <c r="AA943" i="1"/>
  <c r="AA942" i="1"/>
  <c r="AA941" i="1"/>
  <c r="AA940" i="1"/>
  <c r="AA938" i="1"/>
  <c r="AA936" i="1"/>
  <c r="AA935" i="1"/>
  <c r="AA934" i="1"/>
  <c r="AA933" i="1"/>
  <c r="AA932" i="1"/>
  <c r="AA930" i="1"/>
  <c r="AA928" i="1"/>
  <c r="AA927" i="1"/>
  <c r="AA926" i="1"/>
  <c r="AA925" i="1"/>
  <c r="AA924" i="1"/>
  <c r="AA922" i="1"/>
  <c r="AA920" i="1"/>
  <c r="AA919" i="1"/>
  <c r="AA918" i="1"/>
  <c r="AA917" i="1"/>
  <c r="AA916" i="1"/>
  <c r="AA914" i="1"/>
  <c r="AA912" i="1"/>
  <c r="AA911" i="1"/>
  <c r="AA910" i="1"/>
  <c r="AA909" i="1"/>
  <c r="AA908" i="1"/>
  <c r="AA906" i="1"/>
  <c r="AA904" i="1"/>
  <c r="AA903" i="1"/>
  <c r="AA902" i="1"/>
  <c r="AA901" i="1"/>
  <c r="AA900" i="1"/>
  <c r="AA898" i="1"/>
  <c r="AA896" i="1"/>
  <c r="AA895" i="1"/>
  <c r="AA894" i="1"/>
  <c r="AA893" i="1"/>
  <c r="AA892" i="1"/>
  <c r="AA890" i="1"/>
  <c r="AA888" i="1"/>
  <c r="AA887" i="1"/>
  <c r="AA886" i="1"/>
  <c r="AA885" i="1"/>
  <c r="AA884" i="1"/>
  <c r="AA882" i="1"/>
  <c r="AA880" i="1"/>
  <c r="AA879" i="1"/>
  <c r="AA878" i="1"/>
  <c r="AA877" i="1"/>
  <c r="AA876" i="1"/>
  <c r="AA874" i="1"/>
  <c r="AA872" i="1"/>
  <c r="AA871" i="1"/>
  <c r="AA870" i="1"/>
  <c r="AA869" i="1"/>
  <c r="AA868" i="1"/>
  <c r="AA866" i="1"/>
  <c r="AA864" i="1"/>
  <c r="AA863" i="1"/>
  <c r="AA862" i="1"/>
  <c r="AA861" i="1"/>
  <c r="AA860" i="1"/>
  <c r="AA858" i="1"/>
  <c r="AA856" i="1"/>
  <c r="AA855" i="1"/>
  <c r="AA854" i="1"/>
  <c r="AA853" i="1"/>
  <c r="AA852" i="1"/>
  <c r="AA850" i="1"/>
  <c r="AA848" i="1"/>
  <c r="AA847" i="1"/>
  <c r="AA846" i="1"/>
  <c r="AA845" i="1"/>
  <c r="AA844" i="1"/>
  <c r="AA842" i="1"/>
  <c r="AA840" i="1"/>
  <c r="AA839" i="1"/>
  <c r="AA838" i="1"/>
  <c r="AA837" i="1"/>
  <c r="AA836" i="1"/>
  <c r="AA834" i="1"/>
  <c r="AA832" i="1"/>
  <c r="AA831" i="1"/>
  <c r="AA830" i="1"/>
  <c r="AA829" i="1"/>
  <c r="AA828" i="1"/>
  <c r="AA826" i="1"/>
  <c r="AA824" i="1"/>
  <c r="AA823" i="1"/>
  <c r="AA822" i="1"/>
  <c r="AA821" i="1"/>
  <c r="AA820" i="1"/>
  <c r="AA818" i="1"/>
  <c r="AA816" i="1"/>
  <c r="AA815" i="1"/>
  <c r="AA814" i="1"/>
  <c r="AA813" i="1"/>
  <c r="AA812" i="1"/>
  <c r="AA810" i="1"/>
  <c r="AA808" i="1"/>
  <c r="AA807" i="1"/>
  <c r="AA806" i="1"/>
  <c r="AA805" i="1"/>
  <c r="AA804" i="1"/>
  <c r="AA802" i="1"/>
  <c r="AA800" i="1"/>
  <c r="AA799" i="1"/>
  <c r="AA798" i="1"/>
  <c r="AA797" i="1"/>
  <c r="AA796" i="1"/>
  <c r="AA794" i="1"/>
  <c r="AA792" i="1"/>
  <c r="AA791" i="1"/>
  <c r="AA790" i="1"/>
  <c r="AA789" i="1"/>
  <c r="AA788" i="1"/>
  <c r="AA786" i="1"/>
  <c r="AA784" i="1"/>
  <c r="AA783" i="1"/>
  <c r="AA782" i="1"/>
  <c r="AA781" i="1"/>
  <c r="AA780" i="1"/>
  <c r="AA778" i="1"/>
  <c r="AA776" i="1"/>
  <c r="AA775" i="1"/>
  <c r="AA774" i="1"/>
  <c r="AA773" i="1"/>
  <c r="AA772" i="1"/>
  <c r="AA770" i="1"/>
  <c r="AA768" i="1"/>
  <c r="AA767" i="1"/>
  <c r="AA766" i="1"/>
  <c r="AA765" i="1"/>
  <c r="AA764" i="1"/>
  <c r="AA762" i="1"/>
  <c r="AA760" i="1"/>
  <c r="AA759" i="1"/>
  <c r="AA758" i="1"/>
  <c r="AA757" i="1"/>
  <c r="AA756" i="1"/>
  <c r="AA754" i="1"/>
  <c r="AA752" i="1"/>
  <c r="AA751" i="1"/>
  <c r="AA750" i="1"/>
  <c r="AA749" i="1"/>
  <c r="AA748" i="1"/>
  <c r="AA746" i="1"/>
  <c r="AA744" i="1"/>
  <c r="AA743" i="1"/>
  <c r="AA742" i="1"/>
  <c r="AA741" i="1"/>
  <c r="AA740" i="1"/>
  <c r="AA738" i="1"/>
  <c r="AA736" i="1"/>
  <c r="AA735" i="1"/>
  <c r="AA734" i="1"/>
  <c r="AA733" i="1"/>
  <c r="AA732" i="1"/>
  <c r="AA730" i="1"/>
  <c r="AA728" i="1"/>
  <c r="AA727" i="1"/>
  <c r="AA726" i="1"/>
  <c r="AA725" i="1"/>
  <c r="AA724" i="1"/>
  <c r="AA722" i="1"/>
  <c r="AA720" i="1"/>
  <c r="AA719" i="1"/>
  <c r="AA718" i="1"/>
  <c r="AA717" i="1"/>
  <c r="AA716" i="1"/>
  <c r="AA714" i="1"/>
  <c r="AA712" i="1"/>
  <c r="AA711" i="1"/>
  <c r="AA710" i="1"/>
  <c r="AA709" i="1"/>
  <c r="AA708" i="1"/>
  <c r="AA706" i="1"/>
  <c r="AA704" i="1"/>
  <c r="AA703" i="1"/>
  <c r="AA702" i="1"/>
  <c r="AA701" i="1"/>
  <c r="AA700" i="1"/>
  <c r="AA698" i="1"/>
  <c r="AA696" i="1"/>
  <c r="AA695" i="1"/>
  <c r="AA694" i="1"/>
  <c r="AA693" i="1"/>
  <c r="AA692" i="1"/>
  <c r="AA690" i="1"/>
  <c r="AA688" i="1"/>
  <c r="AA687" i="1"/>
  <c r="AA686" i="1"/>
  <c r="AA685" i="1"/>
  <c r="AA684" i="1"/>
  <c r="AA682" i="1"/>
  <c r="AA680" i="1"/>
  <c r="AA679" i="1"/>
  <c r="AA678" i="1"/>
  <c r="AA677" i="1"/>
  <c r="AA676" i="1"/>
  <c r="AA674" i="1"/>
  <c r="AA672" i="1"/>
  <c r="AA671" i="1"/>
  <c r="AA670" i="1"/>
  <c r="AA669" i="1"/>
  <c r="AA668" i="1"/>
  <c r="AA666" i="1"/>
  <c r="AA664" i="1"/>
  <c r="AA663" i="1"/>
  <c r="AA662" i="1"/>
  <c r="AA661" i="1"/>
  <c r="AA660" i="1"/>
  <c r="AA658" i="1"/>
  <c r="AA656" i="1"/>
  <c r="AA655" i="1"/>
  <c r="AA654" i="1"/>
  <c r="AA653" i="1"/>
  <c r="AA652" i="1"/>
  <c r="AA650" i="1"/>
  <c r="AA648" i="1"/>
  <c r="AA647" i="1"/>
  <c r="AA646" i="1"/>
  <c r="AA645" i="1"/>
  <c r="AA644" i="1"/>
  <c r="AA642" i="1"/>
  <c r="AA640" i="1"/>
  <c r="AA639" i="1"/>
  <c r="AA638" i="1"/>
  <c r="AA637" i="1"/>
  <c r="AA636" i="1"/>
  <c r="AA634" i="1"/>
  <c r="AA632" i="1"/>
  <c r="AA631" i="1"/>
  <c r="AA630" i="1"/>
  <c r="AA629" i="1"/>
  <c r="AA628" i="1"/>
  <c r="AA626" i="1"/>
  <c r="AA624" i="1"/>
  <c r="AA623" i="1"/>
  <c r="AA622" i="1"/>
  <c r="AA621" i="1"/>
  <c r="AA620" i="1"/>
  <c r="AA618" i="1"/>
  <c r="AA616" i="1"/>
  <c r="AA615" i="1"/>
  <c r="AA614" i="1"/>
  <c r="AA613" i="1"/>
  <c r="AA612" i="1"/>
  <c r="AA610" i="1"/>
  <c r="AA608" i="1"/>
  <c r="AA607" i="1"/>
  <c r="AA606" i="1"/>
  <c r="AA605" i="1"/>
  <c r="AA604" i="1"/>
  <c r="AA602" i="1"/>
  <c r="AA600" i="1"/>
  <c r="AA599" i="1"/>
  <c r="AA598" i="1"/>
  <c r="AA597" i="1"/>
  <c r="AA596" i="1"/>
  <c r="AA594" i="1"/>
  <c r="AA592" i="1"/>
  <c r="AA591" i="1"/>
  <c r="AA590" i="1"/>
  <c r="AA589" i="1"/>
  <c r="AA588" i="1"/>
  <c r="AA586" i="1"/>
  <c r="AA584" i="1"/>
  <c r="AA583" i="1"/>
  <c r="AA582" i="1"/>
  <c r="AA581" i="1"/>
  <c r="AA580" i="1"/>
  <c r="AA578" i="1"/>
  <c r="AA576" i="1"/>
  <c r="AA575" i="1"/>
  <c r="AA574" i="1"/>
  <c r="AA573" i="1"/>
  <c r="AA572" i="1"/>
  <c r="AA570" i="1"/>
  <c r="AA568" i="1"/>
  <c r="AA567" i="1"/>
  <c r="AA566" i="1"/>
  <c r="AA565" i="1"/>
  <c r="AA564" i="1"/>
  <c r="AA562" i="1"/>
  <c r="AA560" i="1"/>
  <c r="AA559" i="1"/>
  <c r="AA558" i="1"/>
  <c r="AA557" i="1"/>
  <c r="AA556" i="1"/>
  <c r="AA554" i="1"/>
  <c r="AA552" i="1"/>
  <c r="AA551" i="1"/>
  <c r="AA550" i="1"/>
  <c r="AA549" i="1"/>
  <c r="AA548" i="1"/>
  <c r="AA546" i="1"/>
  <c r="AA544" i="1"/>
  <c r="AA543" i="1"/>
  <c r="AA542" i="1"/>
  <c r="AA541" i="1"/>
  <c r="AA540" i="1"/>
  <c r="AA538" i="1"/>
  <c r="AA536" i="1"/>
  <c r="AA535" i="1"/>
  <c r="AA534" i="1"/>
  <c r="AA533" i="1"/>
  <c r="AA532" i="1"/>
  <c r="AA530" i="1"/>
  <c r="AA528" i="1"/>
  <c r="AA527" i="1"/>
  <c r="AA526" i="1"/>
  <c r="AA525" i="1"/>
  <c r="AA524" i="1"/>
  <c r="AA522" i="1"/>
  <c r="AA520" i="1"/>
  <c r="AA519" i="1"/>
  <c r="AA518" i="1"/>
  <c r="AA517" i="1"/>
  <c r="AA516" i="1"/>
  <c r="AA514" i="1"/>
  <c r="AA512" i="1"/>
  <c r="AA511" i="1"/>
  <c r="AA510" i="1"/>
  <c r="AA509" i="1"/>
  <c r="AA508" i="1"/>
  <c r="AA506" i="1"/>
  <c r="AA504" i="1"/>
  <c r="AA503" i="1"/>
  <c r="AA502" i="1"/>
  <c r="AA501" i="1"/>
  <c r="AA500" i="1"/>
  <c r="AA498" i="1"/>
  <c r="AA496" i="1"/>
  <c r="AA495" i="1"/>
  <c r="AA494" i="1"/>
  <c r="AA493" i="1"/>
  <c r="AA492" i="1"/>
  <c r="AA490" i="1"/>
  <c r="AA488" i="1"/>
  <c r="AA487" i="1"/>
  <c r="AA486" i="1"/>
  <c r="AA485" i="1"/>
  <c r="AA484" i="1"/>
  <c r="AA482" i="1"/>
  <c r="AA480" i="1"/>
  <c r="AA479" i="1"/>
  <c r="AA478" i="1"/>
  <c r="AA477" i="1"/>
  <c r="AA476" i="1"/>
  <c r="AA474" i="1"/>
  <c r="AA472" i="1"/>
  <c r="AA471" i="1"/>
  <c r="AA470" i="1"/>
  <c r="AA469" i="1"/>
  <c r="AA468" i="1"/>
  <c r="AA466" i="1"/>
  <c r="AA464" i="1"/>
  <c r="AA463" i="1"/>
  <c r="AA462" i="1"/>
  <c r="AA461" i="1"/>
  <c r="AA460" i="1"/>
  <c r="AA458" i="1"/>
  <c r="AA456" i="1"/>
  <c r="AA455" i="1"/>
  <c r="AA454" i="1"/>
  <c r="AA453" i="1"/>
  <c r="AA452" i="1"/>
  <c r="AA450" i="1"/>
  <c r="AA448" i="1"/>
  <c r="AA447" i="1"/>
  <c r="AA446" i="1"/>
  <c r="AA445" i="1"/>
  <c r="AA444" i="1"/>
  <c r="AA442" i="1"/>
  <c r="AA440" i="1"/>
  <c r="AA439" i="1"/>
  <c r="AA438" i="1"/>
  <c r="AA437" i="1"/>
  <c r="AA436" i="1"/>
  <c r="AA434" i="1"/>
  <c r="AA432" i="1"/>
  <c r="AA431" i="1"/>
  <c r="AA430" i="1"/>
  <c r="AA429" i="1"/>
  <c r="AA428" i="1"/>
  <c r="AA426" i="1"/>
  <c r="AA424" i="1"/>
  <c r="AA423" i="1"/>
  <c r="AA422" i="1"/>
  <c r="AA421" i="1"/>
  <c r="AA420" i="1"/>
  <c r="AA418" i="1"/>
  <c r="AA416" i="1"/>
  <c r="AA415" i="1"/>
  <c r="AA414" i="1"/>
  <c r="AA413" i="1"/>
  <c r="AA412" i="1"/>
  <c r="AA410" i="1"/>
  <c r="AA408" i="1"/>
  <c r="AA407" i="1"/>
  <c r="AA406" i="1"/>
  <c r="AA405" i="1"/>
  <c r="AA404" i="1"/>
  <c r="AA402" i="1"/>
  <c r="AA400" i="1"/>
  <c r="AA399" i="1"/>
  <c r="AA398" i="1"/>
  <c r="AA397" i="1"/>
  <c r="AA396" i="1"/>
  <c r="AA394" i="1"/>
  <c r="AA392" i="1"/>
  <c r="AA391" i="1"/>
  <c r="AA390" i="1"/>
  <c r="AA389" i="1"/>
  <c r="AA388" i="1"/>
  <c r="AA386" i="1"/>
  <c r="AA384" i="1"/>
  <c r="AA383" i="1"/>
  <c r="AA382" i="1"/>
  <c r="AA381" i="1"/>
  <c r="AA380" i="1"/>
  <c r="AA378" i="1"/>
  <c r="AA376" i="1"/>
  <c r="AA375" i="1"/>
  <c r="AA374" i="1"/>
  <c r="AA373" i="1"/>
  <c r="AA372" i="1"/>
  <c r="AA370" i="1"/>
  <c r="AA368" i="1"/>
  <c r="AA367" i="1"/>
  <c r="AA366" i="1"/>
  <c r="AA365" i="1"/>
  <c r="AA364" i="1"/>
  <c r="AA362" i="1"/>
  <c r="AA360" i="1"/>
  <c r="AA359" i="1"/>
  <c r="AA358" i="1"/>
  <c r="AA357" i="1"/>
  <c r="AA356" i="1"/>
  <c r="AA354" i="1"/>
  <c r="AA352" i="1"/>
  <c r="AA351" i="1"/>
  <c r="AA350" i="1"/>
  <c r="AA349" i="1"/>
  <c r="AA348" i="1"/>
  <c r="AA346" i="1"/>
  <c r="AA344" i="1"/>
  <c r="AA343" i="1"/>
  <c r="AA342" i="1"/>
  <c r="AA341" i="1"/>
  <c r="AA340" i="1"/>
  <c r="AA338" i="1"/>
  <c r="AA336" i="1"/>
  <c r="AA335" i="1"/>
  <c r="AA334" i="1"/>
  <c r="AA333" i="1"/>
  <c r="AA332" i="1"/>
  <c r="AA330" i="1"/>
  <c r="AA328" i="1"/>
  <c r="AA327" i="1"/>
  <c r="AA326" i="1"/>
  <c r="AA325" i="1"/>
  <c r="AA324" i="1"/>
  <c r="AA322" i="1"/>
  <c r="AA320" i="1"/>
  <c r="AA319" i="1"/>
  <c r="AA318" i="1"/>
  <c r="AA317" i="1"/>
  <c r="AA316" i="1"/>
  <c r="AA314" i="1"/>
  <c r="AA312" i="1"/>
  <c r="AA311" i="1"/>
  <c r="AA310" i="1"/>
  <c r="AA309" i="1"/>
  <c r="AA308" i="1"/>
  <c r="AA306" i="1"/>
  <c r="AA304" i="1"/>
  <c r="AA303" i="1"/>
  <c r="AA302" i="1"/>
  <c r="AA301" i="1"/>
  <c r="AA300" i="1"/>
  <c r="AA298" i="1"/>
  <c r="AA296" i="1"/>
  <c r="AA295" i="1"/>
  <c r="AA294" i="1"/>
  <c r="AA293" i="1"/>
  <c r="AA292" i="1"/>
  <c r="AA290" i="1"/>
  <c r="AA288" i="1"/>
  <c r="AA287" i="1"/>
  <c r="AA286" i="1"/>
  <c r="AA285" i="1"/>
  <c r="AA284" i="1"/>
  <c r="AA282" i="1"/>
  <c r="AA280" i="1"/>
  <c r="AA279" i="1"/>
  <c r="AA278" i="1"/>
  <c r="AA277" i="1"/>
  <c r="AA276" i="1"/>
  <c r="AA274" i="1"/>
  <c r="AA272" i="1"/>
  <c r="AA271" i="1"/>
  <c r="AA270" i="1"/>
  <c r="AA269" i="1"/>
  <c r="AA268" i="1"/>
  <c r="AA266" i="1"/>
  <c r="AA264" i="1"/>
  <c r="AA263" i="1"/>
  <c r="AA262" i="1"/>
  <c r="AA261" i="1"/>
  <c r="AA260" i="1"/>
  <c r="AA258" i="1"/>
  <c r="AA256" i="1"/>
  <c r="AA255" i="1"/>
  <c r="AA254" i="1"/>
  <c r="AA253" i="1"/>
  <c r="AA252" i="1"/>
  <c r="AA250" i="1"/>
  <c r="AA248" i="1"/>
  <c r="AA247" i="1"/>
  <c r="AA246" i="1"/>
  <c r="AA245" i="1"/>
  <c r="AA244" i="1"/>
  <c r="AA242" i="1"/>
  <c r="AA240" i="1"/>
  <c r="AA239" i="1"/>
  <c r="AA238" i="1"/>
  <c r="AA237" i="1"/>
  <c r="AA236" i="1"/>
  <c r="AA234" i="1"/>
  <c r="AA232" i="1"/>
  <c r="AA231" i="1"/>
  <c r="AA230" i="1"/>
  <c r="AA229" i="1"/>
  <c r="AA228" i="1"/>
  <c r="AA226" i="1"/>
  <c r="AA224" i="1"/>
  <c r="AA223" i="1"/>
  <c r="AA222" i="1"/>
  <c r="AA221" i="1"/>
  <c r="AA220" i="1"/>
  <c r="AA218" i="1"/>
  <c r="AA216" i="1"/>
  <c r="AA215" i="1"/>
  <c r="AA214" i="1"/>
  <c r="AA213" i="1"/>
  <c r="AA212" i="1"/>
  <c r="AA210" i="1"/>
  <c r="AA208" i="1"/>
  <c r="AA207" i="1"/>
  <c r="AA206" i="1"/>
  <c r="AA205" i="1"/>
  <c r="AA204" i="1"/>
  <c r="AA202" i="1"/>
  <c r="AA200" i="1"/>
  <c r="AA199" i="1"/>
  <c r="AA198" i="1"/>
  <c r="AA197" i="1"/>
  <c r="AA196" i="1"/>
  <c r="AA194" i="1"/>
  <c r="AA192" i="1"/>
  <c r="AA191" i="1"/>
  <c r="AA190" i="1"/>
  <c r="AA189" i="1"/>
  <c r="AA188" i="1"/>
  <c r="AA186" i="1"/>
  <c r="AA184" i="1"/>
  <c r="AA183" i="1"/>
  <c r="AA182" i="1"/>
  <c r="AA181" i="1"/>
  <c r="AA180" i="1"/>
  <c r="AA178" i="1"/>
  <c r="AA176" i="1"/>
  <c r="AA175" i="1"/>
  <c r="AA174" i="1"/>
  <c r="AA173" i="1"/>
  <c r="AA172" i="1"/>
  <c r="AA170" i="1"/>
  <c r="AA168" i="1"/>
  <c r="AA167" i="1"/>
  <c r="AA166" i="1"/>
  <c r="AA165" i="1"/>
  <c r="AA164" i="1"/>
  <c r="AA162" i="1"/>
  <c r="AA160" i="1"/>
  <c r="AA159" i="1"/>
  <c r="AA158" i="1"/>
  <c r="AA157" i="1"/>
  <c r="AA156" i="1"/>
  <c r="AA154" i="1"/>
  <c r="AA152" i="1"/>
  <c r="AA151" i="1"/>
  <c r="AA150" i="1"/>
  <c r="AA149" i="1"/>
  <c r="AA148" i="1"/>
  <c r="AA146" i="1"/>
  <c r="AA144" i="1"/>
  <c r="AA143" i="1"/>
  <c r="AA142" i="1"/>
  <c r="AA141" i="1"/>
  <c r="AA140" i="1"/>
  <c r="AA138" i="1"/>
  <c r="AA136" i="1"/>
  <c r="AA135" i="1"/>
  <c r="AA134" i="1"/>
  <c r="AA133" i="1"/>
  <c r="AA132" i="1"/>
  <c r="AA130" i="1"/>
  <c r="AA128" i="1"/>
  <c r="AA127" i="1"/>
  <c r="AA126" i="1"/>
  <c r="AA125" i="1"/>
  <c r="AA124" i="1"/>
  <c r="AA122" i="1"/>
  <c r="AA120" i="1"/>
  <c r="AA119" i="1"/>
  <c r="AA118" i="1"/>
  <c r="AA117" i="1"/>
  <c r="AA116" i="1"/>
  <c r="AA114" i="1"/>
  <c r="AA112" i="1"/>
  <c r="AA111" i="1"/>
  <c r="AA110" i="1"/>
  <c r="AA109" i="1"/>
  <c r="AA108" i="1"/>
  <c r="AA106" i="1"/>
  <c r="AA104" i="1"/>
  <c r="AA103" i="1"/>
  <c r="AA102" i="1"/>
  <c r="AA101" i="1"/>
  <c r="AA100" i="1"/>
  <c r="AA98" i="1"/>
  <c r="AA96" i="1"/>
  <c r="AA95" i="1"/>
  <c r="AA94" i="1"/>
  <c r="AA93" i="1"/>
  <c r="AA92" i="1"/>
  <c r="AA90" i="1"/>
  <c r="AA88" i="1"/>
  <c r="AA87" i="1"/>
  <c r="AA86" i="1"/>
  <c r="AA85" i="1"/>
  <c r="AA84" i="1"/>
  <c r="AA82" i="1"/>
  <c r="AA80" i="1"/>
  <c r="AA79" i="1"/>
  <c r="AA78" i="1"/>
  <c r="AA77" i="1"/>
  <c r="AA76" i="1"/>
  <c r="AA74" i="1"/>
  <c r="AA72" i="1"/>
  <c r="AA71" i="1"/>
  <c r="AA70" i="1"/>
  <c r="AA69" i="1"/>
  <c r="AA68" i="1"/>
  <c r="AA66" i="1"/>
  <c r="AA64" i="1"/>
  <c r="AA63" i="1"/>
  <c r="AA62" i="1"/>
  <c r="AA61" i="1"/>
  <c r="AA60" i="1"/>
  <c r="AA58" i="1"/>
  <c r="AA56" i="1"/>
  <c r="AA55" i="1"/>
  <c r="AA54" i="1"/>
  <c r="AA53" i="1"/>
  <c r="AA52" i="1"/>
  <c r="AA50" i="1"/>
  <c r="AA48" i="1"/>
  <c r="AA47" i="1"/>
  <c r="AA46" i="1"/>
  <c r="AA45" i="1"/>
  <c r="AA44" i="1"/>
  <c r="AA42" i="1"/>
  <c r="AA40" i="1"/>
  <c r="AA39" i="1"/>
  <c r="AA38" i="1"/>
  <c r="AA37" i="1"/>
  <c r="AA36" i="1"/>
  <c r="AA34" i="1"/>
  <c r="AA32" i="1"/>
  <c r="AA31" i="1"/>
  <c r="AA30" i="1"/>
  <c r="AA29" i="1"/>
  <c r="AA28" i="1"/>
  <c r="AA26" i="1"/>
  <c r="AA24" i="1"/>
  <c r="AA23" i="1"/>
  <c r="AA22" i="1"/>
  <c r="AA21" i="1"/>
  <c r="AA20" i="1"/>
  <c r="AA18" i="1"/>
  <c r="AA16" i="1"/>
  <c r="AA15" i="1"/>
  <c r="AA14" i="1"/>
  <c r="AA13" i="1"/>
  <c r="AA12" i="1"/>
  <c r="AA10" i="1"/>
  <c r="AA8" i="1"/>
  <c r="AA7" i="1"/>
  <c r="AA6" i="1"/>
  <c r="AA5" i="1"/>
  <c r="AA4" i="1"/>
  <c r="AA3" i="1" a="1"/>
  <c r="AA1723" i="1" s="1"/>
  <c r="AA3" i="1"/>
  <c r="W3" i="1"/>
  <c r="W2" i="1"/>
  <c r="V2" i="1" a="1"/>
  <c r="V42" i="1" s="1"/>
  <c r="D1" i="13" l="1"/>
  <c r="V9" i="1"/>
  <c r="V10" i="1"/>
  <c r="V15" i="1"/>
  <c r="V17" i="1"/>
  <c r="V58" i="1"/>
  <c r="V50" i="1"/>
  <c r="V55" i="1"/>
  <c r="V34" i="1"/>
  <c r="V39" i="1"/>
  <c r="V18" i="1"/>
  <c r="V41" i="1"/>
  <c r="V63" i="1"/>
  <c r="V49" i="1"/>
  <c r="V2" i="1"/>
  <c r="X2" i="1" s="1" a="1"/>
  <c r="V23" i="1"/>
  <c r="V56" i="1"/>
  <c r="V48" i="1"/>
  <c r="V40" i="1"/>
  <c r="V32" i="1"/>
  <c r="V24" i="1"/>
  <c r="V16" i="1"/>
  <c r="V8" i="1"/>
  <c r="V62" i="1"/>
  <c r="V54" i="1"/>
  <c r="V46" i="1"/>
  <c r="V38" i="1"/>
  <c r="V30" i="1"/>
  <c r="V22" i="1"/>
  <c r="V14" i="1"/>
  <c r="V6" i="1"/>
  <c r="V61" i="1"/>
  <c r="V53" i="1"/>
  <c r="V45" i="1"/>
  <c r="V37" i="1"/>
  <c r="V29" i="1"/>
  <c r="V21" i="1"/>
  <c r="V13" i="1"/>
  <c r="V5" i="1"/>
  <c r="V60" i="1"/>
  <c r="V44" i="1"/>
  <c r="V28" i="1"/>
  <c r="V12" i="1"/>
  <c r="V4" i="1"/>
  <c r="V52" i="1"/>
  <c r="V36" i="1"/>
  <c r="V20" i="1"/>
  <c r="V51" i="1"/>
  <c r="V35" i="1"/>
  <c r="V19" i="1"/>
  <c r="V3" i="1"/>
  <c r="V59" i="1"/>
  <c r="V43" i="1"/>
  <c r="V27" i="1"/>
  <c r="V11" i="1"/>
  <c r="V25" i="1"/>
  <c r="V47" i="1"/>
  <c r="V7" i="1"/>
  <c r="V26" i="1"/>
  <c r="V31" i="1"/>
  <c r="V33" i="1"/>
  <c r="V57" i="1"/>
  <c r="L2" i="10" a="1"/>
  <c r="AA9" i="1"/>
  <c r="AA17" i="1"/>
  <c r="AA25" i="1"/>
  <c r="AA33" i="1"/>
  <c r="AA41" i="1"/>
  <c r="AA49" i="1"/>
  <c r="AA57" i="1"/>
  <c r="AA65" i="1"/>
  <c r="AA73" i="1"/>
  <c r="AA81" i="1"/>
  <c r="AA89" i="1"/>
  <c r="AA97" i="1"/>
  <c r="AA105" i="1"/>
  <c r="AA113" i="1"/>
  <c r="AA121" i="1"/>
  <c r="AA129" i="1"/>
  <c r="AA137" i="1"/>
  <c r="AA145" i="1"/>
  <c r="AA153" i="1"/>
  <c r="AA161" i="1"/>
  <c r="AA169" i="1"/>
  <c r="AA177" i="1"/>
  <c r="AA185" i="1"/>
  <c r="AA193" i="1"/>
  <c r="AA201" i="1"/>
  <c r="AA209" i="1"/>
  <c r="AA217" i="1"/>
  <c r="AA225" i="1"/>
  <c r="AA233" i="1"/>
  <c r="AA241" i="1"/>
  <c r="AA249" i="1"/>
  <c r="AA257" i="1"/>
  <c r="AA265" i="1"/>
  <c r="AA273" i="1"/>
  <c r="AA281" i="1"/>
  <c r="AA289" i="1"/>
  <c r="AA297" i="1"/>
  <c r="AA305" i="1"/>
  <c r="AA313" i="1"/>
  <c r="AA321" i="1"/>
  <c r="AA329" i="1"/>
  <c r="AA337" i="1"/>
  <c r="AA345" i="1"/>
  <c r="AA353" i="1"/>
  <c r="AA361" i="1"/>
  <c r="AA369" i="1"/>
  <c r="AA377" i="1"/>
  <c r="AA385" i="1"/>
  <c r="AA393" i="1"/>
  <c r="AA401" i="1"/>
  <c r="AA409" i="1"/>
  <c r="AA417" i="1"/>
  <c r="AA425" i="1"/>
  <c r="AA433" i="1"/>
  <c r="AA441" i="1"/>
  <c r="AA449" i="1"/>
  <c r="AA457" i="1"/>
  <c r="AA465" i="1"/>
  <c r="AA473" i="1"/>
  <c r="AA481" i="1"/>
  <c r="AA489" i="1"/>
  <c r="AA497" i="1"/>
  <c r="AA505" i="1"/>
  <c r="AA513" i="1"/>
  <c r="AA521" i="1"/>
  <c r="AA529" i="1"/>
  <c r="AA537" i="1"/>
  <c r="AA545" i="1"/>
  <c r="AA553" i="1"/>
  <c r="AA561" i="1"/>
  <c r="AA569" i="1"/>
  <c r="AA577" i="1"/>
  <c r="AA585" i="1"/>
  <c r="AA593" i="1"/>
  <c r="AA601" i="1"/>
  <c r="AA609" i="1"/>
  <c r="AA617" i="1"/>
  <c r="AA625" i="1"/>
  <c r="AA633" i="1"/>
  <c r="AA641" i="1"/>
  <c r="AA649" i="1"/>
  <c r="AA657" i="1"/>
  <c r="AA665" i="1"/>
  <c r="AA673" i="1"/>
  <c r="AA681" i="1"/>
  <c r="AA689" i="1"/>
  <c r="AA697" i="1"/>
  <c r="AA705" i="1"/>
  <c r="AA713" i="1"/>
  <c r="AA721" i="1"/>
  <c r="AA729" i="1"/>
  <c r="AA737" i="1"/>
  <c r="AA745" i="1"/>
  <c r="AA753" i="1"/>
  <c r="AA761" i="1"/>
  <c r="AA769" i="1"/>
  <c r="AA777" i="1"/>
  <c r="AA785" i="1"/>
  <c r="AA793" i="1"/>
  <c r="AA801" i="1"/>
  <c r="AA809" i="1"/>
  <c r="AA817" i="1"/>
  <c r="AA825" i="1"/>
  <c r="AA833" i="1"/>
  <c r="AA841" i="1"/>
  <c r="AA849" i="1"/>
  <c r="AA857" i="1"/>
  <c r="AA865" i="1"/>
  <c r="AA873" i="1"/>
  <c r="AA881" i="1"/>
  <c r="AA889" i="1"/>
  <c r="AA897" i="1"/>
  <c r="AA905" i="1"/>
  <c r="AA913" i="1"/>
  <c r="AA921" i="1"/>
  <c r="AA929" i="1"/>
  <c r="AA937" i="1"/>
  <c r="AA945" i="1"/>
  <c r="AA953" i="1"/>
  <c r="AA961" i="1"/>
  <c r="AA969" i="1"/>
  <c r="AA977" i="1"/>
  <c r="AA985" i="1"/>
  <c r="AA993" i="1"/>
  <c r="AA1001" i="1"/>
  <c r="AA1009" i="1"/>
  <c r="AA1017" i="1"/>
  <c r="AA1025" i="1"/>
  <c r="AA1033" i="1"/>
  <c r="AA1041" i="1"/>
  <c r="AA1049" i="1"/>
  <c r="AA1057" i="1"/>
  <c r="AA1065" i="1"/>
  <c r="AA1073" i="1"/>
  <c r="AA1081" i="1"/>
  <c r="AA1089" i="1"/>
  <c r="AA1097" i="1"/>
  <c r="AA1105" i="1"/>
  <c r="AA1113" i="1"/>
  <c r="AA1121" i="1"/>
  <c r="AA1129" i="1"/>
  <c r="AA1137" i="1"/>
  <c r="AA1145" i="1"/>
  <c r="AA1153" i="1"/>
  <c r="AA1161" i="1"/>
  <c r="AA1169" i="1"/>
  <c r="AA1177" i="1"/>
  <c r="AA1185" i="1"/>
  <c r="AA1193" i="1"/>
  <c r="AA1201" i="1"/>
  <c r="AA1209" i="1"/>
  <c r="AA1217" i="1"/>
  <c r="AA1225" i="1"/>
  <c r="AA1233" i="1"/>
  <c r="AA1241" i="1"/>
  <c r="AA1249" i="1"/>
  <c r="AA1257" i="1"/>
  <c r="AA1265" i="1"/>
  <c r="AA1273" i="1"/>
  <c r="AA1281" i="1"/>
  <c r="AA1289" i="1"/>
  <c r="AA1297" i="1"/>
  <c r="AA1305" i="1"/>
  <c r="AA1313" i="1"/>
  <c r="AA1321" i="1"/>
  <c r="AA1329" i="1"/>
  <c r="AA1337" i="1"/>
  <c r="AA1345" i="1"/>
  <c r="AA1353" i="1"/>
  <c r="AA1361" i="1"/>
  <c r="AA1369" i="1"/>
  <c r="AA1377" i="1"/>
  <c r="AA1385" i="1"/>
  <c r="AA1393" i="1"/>
  <c r="AA1401" i="1"/>
  <c r="AA1409" i="1"/>
  <c r="AA1417" i="1"/>
  <c r="AA1425" i="1"/>
  <c r="AA1433" i="1"/>
  <c r="AA1441" i="1"/>
  <c r="AA1449" i="1"/>
  <c r="AA1457" i="1"/>
  <c r="AA1465" i="1"/>
  <c r="AA1473" i="1"/>
  <c r="AA1481" i="1"/>
  <c r="AA1489" i="1"/>
  <c r="AA1497" i="1"/>
  <c r="AA1505" i="1"/>
  <c r="AA1513" i="1"/>
  <c r="AA1521" i="1"/>
  <c r="AA1529" i="1"/>
  <c r="AA1537" i="1"/>
  <c r="AA1545" i="1"/>
  <c r="AA1553" i="1"/>
  <c r="AA1561" i="1"/>
  <c r="AA1569" i="1"/>
  <c r="AA1577" i="1"/>
  <c r="AA1585" i="1"/>
  <c r="AA1593" i="1"/>
  <c r="AA1601" i="1"/>
  <c r="AA1609" i="1"/>
  <c r="AA1617" i="1"/>
  <c r="AA1625" i="1"/>
  <c r="AA1633" i="1"/>
  <c r="AA1641" i="1"/>
  <c r="AA1649" i="1"/>
  <c r="AA1657" i="1"/>
  <c r="AA1665" i="1"/>
  <c r="AA1673" i="1"/>
  <c r="AA1681" i="1"/>
  <c r="AA1689" i="1"/>
  <c r="AA1697" i="1"/>
  <c r="AA1705" i="1"/>
  <c r="AA1713" i="1"/>
  <c r="AA1721" i="1"/>
  <c r="AA11" i="1"/>
  <c r="AA19" i="1"/>
  <c r="AA27" i="1"/>
  <c r="AA35" i="1"/>
  <c r="AA43" i="1"/>
  <c r="AA51" i="1"/>
  <c r="AA59" i="1"/>
  <c r="AA67" i="1"/>
  <c r="AA75" i="1"/>
  <c r="AA83" i="1"/>
  <c r="AA91" i="1"/>
  <c r="AA99" i="1"/>
  <c r="AA107" i="1"/>
  <c r="AA115" i="1"/>
  <c r="AA123" i="1"/>
  <c r="AA131" i="1"/>
  <c r="AA139" i="1"/>
  <c r="AA147" i="1"/>
  <c r="AA155" i="1"/>
  <c r="AA163" i="1"/>
  <c r="AA171" i="1"/>
  <c r="AA179" i="1"/>
  <c r="AA187" i="1"/>
  <c r="AA195" i="1"/>
  <c r="AA203" i="1"/>
  <c r="AA211" i="1"/>
  <c r="AA219" i="1"/>
  <c r="AA227" i="1"/>
  <c r="AA235" i="1"/>
  <c r="AA243" i="1"/>
  <c r="AA251" i="1"/>
  <c r="AA259" i="1"/>
  <c r="AA267" i="1"/>
  <c r="AA275" i="1"/>
  <c r="AA283" i="1"/>
  <c r="AA291" i="1"/>
  <c r="AA299" i="1"/>
  <c r="AA307" i="1"/>
  <c r="AA315" i="1"/>
  <c r="AA323" i="1"/>
  <c r="AA331" i="1"/>
  <c r="AA339" i="1"/>
  <c r="AA347" i="1"/>
  <c r="AA355" i="1"/>
  <c r="AA363" i="1"/>
  <c r="AA371" i="1"/>
  <c r="AA379" i="1"/>
  <c r="AA387" i="1"/>
  <c r="AA395" i="1"/>
  <c r="AA403" i="1"/>
  <c r="AA411" i="1"/>
  <c r="AA419" i="1"/>
  <c r="AA427" i="1"/>
  <c r="AA435" i="1"/>
  <c r="AA443" i="1"/>
  <c r="AA451" i="1"/>
  <c r="AA459" i="1"/>
  <c r="AA467" i="1"/>
  <c r="AA475" i="1"/>
  <c r="AA483" i="1"/>
  <c r="AA491" i="1"/>
  <c r="AA499" i="1"/>
  <c r="AA507" i="1"/>
  <c r="AA515" i="1"/>
  <c r="AA523" i="1"/>
  <c r="AA531" i="1"/>
  <c r="AA539" i="1"/>
  <c r="AA547" i="1"/>
  <c r="AA555" i="1"/>
  <c r="AA563" i="1"/>
  <c r="AA571" i="1"/>
  <c r="AA579" i="1"/>
  <c r="AA587" i="1"/>
  <c r="AA595" i="1"/>
  <c r="AA603" i="1"/>
  <c r="AA611" i="1"/>
  <c r="AA619" i="1"/>
  <c r="AA627" i="1"/>
  <c r="AA635" i="1"/>
  <c r="AA643" i="1"/>
  <c r="AA651" i="1"/>
  <c r="AA659" i="1"/>
  <c r="AA667" i="1"/>
  <c r="AA675" i="1"/>
  <c r="AA683" i="1"/>
  <c r="AA691" i="1"/>
  <c r="AA699" i="1"/>
  <c r="AA707" i="1"/>
  <c r="AA715" i="1"/>
  <c r="AA723" i="1"/>
  <c r="AA731" i="1"/>
  <c r="AA739" i="1"/>
  <c r="AA747" i="1"/>
  <c r="AA755" i="1"/>
  <c r="AA763" i="1"/>
  <c r="AA771" i="1"/>
  <c r="AA779" i="1"/>
  <c r="AA787" i="1"/>
  <c r="AA795" i="1"/>
  <c r="AA803" i="1"/>
  <c r="AA811" i="1"/>
  <c r="AA819" i="1"/>
  <c r="AA827" i="1"/>
  <c r="AA835" i="1"/>
  <c r="AA843" i="1"/>
  <c r="AA851" i="1"/>
  <c r="AA859" i="1"/>
  <c r="AA867" i="1"/>
  <c r="AA875" i="1"/>
  <c r="AA883" i="1"/>
  <c r="AA891" i="1"/>
  <c r="AA899" i="1"/>
  <c r="AA907" i="1"/>
  <c r="AA915" i="1"/>
  <c r="AA923" i="1"/>
  <c r="AA931" i="1"/>
  <c r="AA939" i="1"/>
  <c r="AA947" i="1"/>
  <c r="AA955" i="1"/>
  <c r="AA963" i="1"/>
  <c r="AA971" i="1"/>
  <c r="AA979" i="1"/>
  <c r="AA987" i="1"/>
  <c r="AA995" i="1"/>
  <c r="AA1003" i="1"/>
  <c r="AA1011" i="1"/>
  <c r="AA1019" i="1"/>
  <c r="AA1027" i="1"/>
  <c r="AA1035" i="1"/>
  <c r="AA1043" i="1"/>
  <c r="AA1051" i="1"/>
  <c r="AA1059" i="1"/>
  <c r="AA1067" i="1"/>
  <c r="AA1075" i="1"/>
  <c r="AA1083" i="1"/>
  <c r="AA1091" i="1"/>
  <c r="AA1099" i="1"/>
  <c r="AA1107" i="1"/>
  <c r="AA1115" i="1"/>
  <c r="AA1123" i="1"/>
  <c r="AA1131" i="1"/>
  <c r="AA1139" i="1"/>
  <c r="AA1147" i="1"/>
  <c r="AA1155" i="1"/>
  <c r="AA1163" i="1"/>
  <c r="AA1171" i="1"/>
  <c r="AA1179" i="1"/>
  <c r="AA1187" i="1"/>
  <c r="AA1195" i="1"/>
  <c r="AA1203" i="1"/>
  <c r="AA1211" i="1"/>
  <c r="AA1219" i="1"/>
  <c r="AA1227" i="1"/>
  <c r="AA1235" i="1"/>
  <c r="AA1243" i="1"/>
  <c r="AA1251" i="1"/>
  <c r="AA1259" i="1"/>
  <c r="AA1267" i="1"/>
  <c r="AA1275" i="1"/>
  <c r="AA1283" i="1"/>
  <c r="AA1291" i="1"/>
  <c r="AA1299" i="1"/>
  <c r="AA1307" i="1"/>
  <c r="AA1315" i="1"/>
  <c r="AA1323" i="1"/>
  <c r="AA1331" i="1"/>
  <c r="AA1339" i="1"/>
  <c r="AA1347" i="1"/>
  <c r="AA1355" i="1"/>
  <c r="AA1363" i="1"/>
  <c r="AA1371" i="1"/>
  <c r="AA1379" i="1"/>
  <c r="AA1387" i="1"/>
  <c r="AA1395" i="1"/>
  <c r="AA1403" i="1"/>
  <c r="AA1411" i="1"/>
  <c r="AA1419" i="1"/>
  <c r="AA1427" i="1"/>
  <c r="AA1435" i="1"/>
  <c r="AA1443" i="1"/>
  <c r="AA1451" i="1"/>
  <c r="AA1459" i="1"/>
  <c r="AA1467" i="1"/>
  <c r="AA1475" i="1"/>
  <c r="AA1483" i="1"/>
  <c r="AA1491" i="1"/>
  <c r="AA1499" i="1"/>
  <c r="AA1507" i="1"/>
  <c r="AA1515" i="1"/>
  <c r="AA1523" i="1"/>
  <c r="AA1531" i="1"/>
  <c r="AA1539" i="1"/>
  <c r="AA1547" i="1"/>
  <c r="AA1555" i="1"/>
  <c r="AA1563" i="1"/>
  <c r="AA1571" i="1"/>
  <c r="AA1579" i="1"/>
  <c r="AA1587" i="1"/>
  <c r="AA1595" i="1"/>
  <c r="AA1603" i="1"/>
  <c r="AA1611" i="1"/>
  <c r="AA1619" i="1"/>
  <c r="AA1627" i="1"/>
  <c r="AA1635" i="1"/>
  <c r="AA1643" i="1"/>
  <c r="AA1651" i="1"/>
  <c r="AA1659" i="1"/>
  <c r="AA1667" i="1"/>
  <c r="AA1675" i="1"/>
  <c r="AA1683" i="1"/>
  <c r="AA1691" i="1"/>
  <c r="AA1699" i="1"/>
  <c r="AA1707" i="1"/>
  <c r="AA1715" i="1"/>
  <c r="Q6" i="16"/>
  <c r="Q14" i="16"/>
  <c r="Q22" i="16"/>
  <c r="Q30" i="16"/>
  <c r="Q38" i="16"/>
  <c r="Q46" i="16"/>
  <c r="Q54" i="16"/>
  <c r="Q62" i="16"/>
  <c r="Q70" i="16"/>
  <c r="Q78" i="16"/>
  <c r="Q86" i="16"/>
  <c r="Q94" i="16"/>
  <c r="Q102" i="16"/>
  <c r="Q110" i="16"/>
  <c r="Q118" i="16"/>
  <c r="Q126" i="16"/>
  <c r="Q134" i="16"/>
  <c r="Q142" i="16"/>
  <c r="Q150" i="16"/>
  <c r="Q158" i="16"/>
  <c r="Q166" i="16"/>
  <c r="Q174" i="16"/>
  <c r="Q182" i="16"/>
  <c r="Q190" i="16"/>
  <c r="Q198" i="16"/>
  <c r="Q206" i="16"/>
  <c r="Q214" i="16"/>
  <c r="Q222" i="16"/>
  <c r="Q230" i="16"/>
  <c r="Q238" i="16"/>
  <c r="Q246" i="16"/>
  <c r="Q254" i="16"/>
  <c r="Q262" i="16"/>
  <c r="Q270" i="16"/>
  <c r="Q278" i="16"/>
  <c r="Q286" i="16"/>
  <c r="Q294" i="16"/>
  <c r="Q302" i="16"/>
  <c r="Q310" i="16"/>
  <c r="Q318" i="16"/>
  <c r="Q326" i="16"/>
  <c r="Q334" i="16"/>
  <c r="Q342" i="16"/>
  <c r="Q350" i="16"/>
  <c r="Q358" i="16"/>
  <c r="Q366" i="16"/>
  <c r="Q374" i="16"/>
  <c r="Q382" i="16"/>
  <c r="Q390" i="16"/>
  <c r="Q398" i="16"/>
  <c r="Q406" i="16"/>
  <c r="Q414" i="16"/>
  <c r="Q422" i="16"/>
  <c r="Q430" i="16"/>
  <c r="Q438" i="16"/>
  <c r="Q446" i="16"/>
  <c r="Q454" i="16"/>
  <c r="Q462" i="16"/>
  <c r="Q470" i="16"/>
  <c r="Q478" i="16"/>
  <c r="Q486" i="16"/>
  <c r="Q494" i="16"/>
  <c r="Q502" i="16"/>
  <c r="Q510" i="16"/>
  <c r="Q518" i="16"/>
  <c r="Q526" i="16"/>
  <c r="Q534" i="16"/>
  <c r="Q542" i="16"/>
  <c r="Q550" i="16"/>
  <c r="Q558" i="16"/>
  <c r="Q566" i="16"/>
  <c r="Q574" i="16"/>
  <c r="Q582" i="16"/>
  <c r="Q590" i="16"/>
  <c r="Q598" i="16"/>
  <c r="Q606" i="16"/>
  <c r="Q614" i="16"/>
  <c r="Q622" i="16"/>
  <c r="Q630" i="16"/>
  <c r="Q638" i="16"/>
  <c r="Q646" i="16"/>
  <c r="Q654" i="16"/>
  <c r="Q662" i="16"/>
  <c r="Q670" i="16"/>
  <c r="Q678" i="16"/>
  <c r="Q686" i="16"/>
  <c r="Q694" i="16"/>
  <c r="Q702" i="16"/>
  <c r="Q710" i="16"/>
  <c r="Q718" i="16"/>
  <c r="Q726" i="16"/>
  <c r="Q734" i="16"/>
  <c r="Q742" i="16"/>
  <c r="Q750" i="16"/>
  <c r="Q758" i="16"/>
  <c r="Q766" i="16"/>
  <c r="Q774" i="16"/>
  <c r="Q782" i="16"/>
  <c r="Q790" i="16"/>
  <c r="Q798" i="16"/>
  <c r="Q806" i="16"/>
  <c r="Q814" i="16"/>
  <c r="Q822" i="16"/>
  <c r="Q830" i="16"/>
  <c r="Q838" i="16"/>
  <c r="Q846" i="16"/>
  <c r="Q854" i="16"/>
  <c r="Q862" i="16"/>
  <c r="Q870" i="16"/>
  <c r="Q878" i="16"/>
  <c r="Q886" i="16"/>
  <c r="Q894" i="16"/>
  <c r="Q902" i="16"/>
  <c r="Q910" i="16"/>
  <c r="Q918" i="16"/>
  <c r="Q926" i="16"/>
  <c r="Q934" i="16"/>
  <c r="Q942" i="16"/>
  <c r="Q950" i="16"/>
  <c r="Q958" i="16"/>
  <c r="Q966" i="16"/>
  <c r="Q974" i="16"/>
  <c r="Q982" i="16"/>
  <c r="Q990" i="16"/>
  <c r="Q998" i="16"/>
  <c r="Q1006" i="16"/>
  <c r="Q1014" i="16"/>
  <c r="Q1022" i="16"/>
  <c r="Q1030" i="16"/>
  <c r="Q1038" i="16"/>
  <c r="Q1046" i="16"/>
  <c r="Q1054" i="16"/>
  <c r="Q1062" i="16"/>
  <c r="Q1070" i="16"/>
  <c r="Q1078" i="16"/>
  <c r="Q1086" i="16"/>
  <c r="Q1094" i="16"/>
  <c r="Q1102" i="16"/>
  <c r="Q1110" i="16"/>
  <c r="Q1118" i="16"/>
  <c r="Q1126" i="16"/>
  <c r="Q1134" i="16"/>
  <c r="Q1142" i="16"/>
  <c r="Q1150" i="16"/>
  <c r="Q1158" i="16"/>
  <c r="Q1166" i="16"/>
  <c r="Q1174" i="16"/>
  <c r="Q1182" i="16"/>
  <c r="Q1190" i="16"/>
  <c r="Q1198" i="16"/>
  <c r="Q1206" i="16"/>
  <c r="Q1214" i="16"/>
  <c r="Q1222" i="16"/>
  <c r="Q1230" i="16"/>
  <c r="Q1238" i="16"/>
  <c r="Q1246" i="16"/>
  <c r="Q1254" i="16"/>
  <c r="Q1262" i="16"/>
  <c r="Q1270" i="16"/>
  <c r="Q1278" i="16"/>
  <c r="Q1286" i="16"/>
  <c r="Q1294" i="16"/>
  <c r="Q1302" i="16"/>
  <c r="Q1310" i="16"/>
  <c r="Q1318" i="16"/>
  <c r="Q1326" i="16"/>
  <c r="Q1334" i="16"/>
  <c r="Q1342" i="16"/>
  <c r="Q1350" i="16"/>
  <c r="Q1358" i="16"/>
  <c r="Q1366" i="16"/>
  <c r="Q1374" i="16"/>
  <c r="Q1382" i="16"/>
  <c r="Q1390" i="16"/>
  <c r="Q1398" i="16"/>
  <c r="Q1406" i="16"/>
  <c r="Q1414" i="16"/>
  <c r="Q1422" i="16"/>
  <c r="Q1430" i="16"/>
  <c r="Q1438" i="16"/>
  <c r="Q1446" i="16"/>
  <c r="Q1454" i="16"/>
  <c r="Q1462" i="16"/>
  <c r="Q1470" i="16"/>
  <c r="Q1478" i="16"/>
  <c r="Q1486" i="16"/>
  <c r="Q1494" i="16"/>
  <c r="Q1502" i="16"/>
  <c r="Q1510" i="16"/>
  <c r="R2" i="16"/>
  <c r="R9" i="16"/>
  <c r="R17" i="16"/>
  <c r="R25" i="16"/>
  <c r="R33" i="16"/>
  <c r="R41" i="16"/>
  <c r="R49" i="16"/>
  <c r="R57" i="16"/>
  <c r="R65" i="16"/>
  <c r="R73" i="16"/>
  <c r="R81" i="16"/>
  <c r="R89" i="16"/>
  <c r="R97" i="16"/>
  <c r="R105" i="16"/>
  <c r="R113" i="16"/>
  <c r="R121" i="16"/>
  <c r="R129" i="16"/>
  <c r="R137" i="16"/>
  <c r="R145" i="16"/>
  <c r="R153" i="16"/>
  <c r="R161" i="16"/>
  <c r="R169" i="16"/>
  <c r="R177" i="16"/>
  <c r="R185" i="16"/>
  <c r="R193" i="16"/>
  <c r="R201" i="16"/>
  <c r="R209" i="16"/>
  <c r="R217" i="16"/>
  <c r="R225" i="16"/>
  <c r="R233" i="16"/>
  <c r="R241" i="16"/>
  <c r="R249" i="16"/>
  <c r="R257" i="16"/>
  <c r="R265" i="16"/>
  <c r="R273" i="16"/>
  <c r="R281" i="16"/>
  <c r="R289" i="16"/>
  <c r="R297" i="16"/>
  <c r="R305" i="16"/>
  <c r="R313" i="16"/>
  <c r="R321" i="16"/>
  <c r="R329" i="16"/>
  <c r="R337" i="16"/>
  <c r="R345" i="16"/>
  <c r="R353" i="16"/>
  <c r="R361" i="16"/>
  <c r="R369" i="16"/>
  <c r="R377" i="16"/>
  <c r="R385" i="16"/>
  <c r="R393" i="16"/>
  <c r="R401" i="16"/>
  <c r="R409" i="16"/>
  <c r="R417" i="16"/>
  <c r="R425" i="16"/>
  <c r="R433" i="16"/>
  <c r="R441" i="16"/>
  <c r="R449" i="16"/>
  <c r="R457" i="16"/>
  <c r="R465" i="16"/>
  <c r="R473" i="16"/>
  <c r="R481" i="16"/>
  <c r="R489" i="16"/>
  <c r="R497" i="16"/>
  <c r="R505" i="16"/>
  <c r="R513" i="16"/>
  <c r="R521" i="16"/>
  <c r="R529" i="16"/>
  <c r="R537" i="16"/>
  <c r="R545" i="16"/>
  <c r="R553" i="16"/>
  <c r="R561" i="16"/>
  <c r="R569" i="16"/>
  <c r="R577" i="16"/>
  <c r="R585" i="16"/>
  <c r="R593" i="16"/>
  <c r="R601" i="16"/>
  <c r="R609" i="16"/>
  <c r="R617" i="16"/>
  <c r="R625" i="16"/>
  <c r="R634" i="16"/>
  <c r="R643" i="16"/>
  <c r="R652" i="16"/>
  <c r="R662" i="16"/>
  <c r="R671" i="16"/>
  <c r="R680" i="16"/>
  <c r="R689" i="16"/>
  <c r="R698" i="16"/>
  <c r="R707" i="16"/>
  <c r="R716" i="16"/>
  <c r="R726" i="16"/>
  <c r="R735" i="16"/>
  <c r="R744" i="16"/>
  <c r="R753" i="16"/>
  <c r="R762" i="16"/>
  <c r="R772" i="16"/>
  <c r="R784" i="16"/>
  <c r="R794" i="16"/>
  <c r="R804" i="16"/>
  <c r="R816" i="16"/>
  <c r="R826" i="16"/>
  <c r="R839" i="16"/>
  <c r="R851" i="16"/>
  <c r="R864" i="16"/>
  <c r="R876" i="16"/>
  <c r="R889" i="16"/>
  <c r="R903" i="16"/>
  <c r="R915" i="16"/>
  <c r="R928" i="16"/>
  <c r="R940" i="16"/>
  <c r="R953" i="16"/>
  <c r="R969" i="16"/>
  <c r="R985" i="16"/>
  <c r="R1001" i="16"/>
  <c r="R1017" i="16"/>
  <c r="R1033" i="16"/>
  <c r="R1049" i="16"/>
  <c r="R1065" i="16"/>
  <c r="R1081" i="16"/>
  <c r="R1097" i="16"/>
  <c r="R1113" i="16"/>
  <c r="R1129" i="16"/>
  <c r="R1145" i="16"/>
  <c r="R1161" i="16"/>
  <c r="R1177" i="16"/>
  <c r="R1193" i="16"/>
  <c r="R1209" i="16"/>
  <c r="R1225" i="16"/>
  <c r="R1241" i="16"/>
  <c r="R1257" i="16"/>
  <c r="R1273" i="16"/>
  <c r="R1289" i="16"/>
  <c r="R1305" i="16"/>
  <c r="R1321" i="16"/>
  <c r="R1337" i="16"/>
  <c r="R1353" i="16"/>
  <c r="R1369" i="16"/>
  <c r="R1385" i="16"/>
  <c r="R1401" i="16"/>
  <c r="R1417" i="16"/>
  <c r="R1433" i="16"/>
  <c r="R1449" i="16"/>
  <c r="R1465" i="16"/>
  <c r="R1481" i="16"/>
  <c r="R1497" i="16"/>
  <c r="R1513" i="16"/>
  <c r="R1534" i="16"/>
  <c r="R1526" i="16"/>
  <c r="R1518" i="16"/>
  <c r="R1510" i="16"/>
  <c r="R1502" i="16"/>
  <c r="R1494" i="16"/>
  <c r="R1486" i="16"/>
  <c r="R1478" i="16"/>
  <c r="R1470" i="16"/>
  <c r="R1462" i="16"/>
  <c r="R1454" i="16"/>
  <c r="R1446" i="16"/>
  <c r="R1438" i="16"/>
  <c r="R1430" i="16"/>
  <c r="R1422" i="16"/>
  <c r="R1414" i="16"/>
  <c r="R1406" i="16"/>
  <c r="R1398" i="16"/>
  <c r="R1390" i="16"/>
  <c r="R1382" i="16"/>
  <c r="R1374" i="16"/>
  <c r="R1366" i="16"/>
  <c r="R1358" i="16"/>
  <c r="R1350" i="16"/>
  <c r="R1342" i="16"/>
  <c r="R1334" i="16"/>
  <c r="R1326" i="16"/>
  <c r="R1318" i="16"/>
  <c r="R1310" i="16"/>
  <c r="R1302" i="16"/>
  <c r="R1294" i="16"/>
  <c r="R1286" i="16"/>
  <c r="R1278" i="16"/>
  <c r="R1270" i="16"/>
  <c r="R1262" i="16"/>
  <c r="R1254" i="16"/>
  <c r="R1246" i="16"/>
  <c r="R1238" i="16"/>
  <c r="R1230" i="16"/>
  <c r="R1222" i="16"/>
  <c r="R1214" i="16"/>
  <c r="R1206" i="16"/>
  <c r="R1198" i="16"/>
  <c r="R1190" i="16"/>
  <c r="R1182" i="16"/>
  <c r="R1174" i="16"/>
  <c r="R1166" i="16"/>
  <c r="R1158" i="16"/>
  <c r="R1150" i="16"/>
  <c r="R1142" i="16"/>
  <c r="R1134" i="16"/>
  <c r="R1126" i="16"/>
  <c r="R1118" i="16"/>
  <c r="R1110" i="16"/>
  <c r="R1102" i="16"/>
  <c r="R1094" i="16"/>
  <c r="R1086" i="16"/>
  <c r="R1078" i="16"/>
  <c r="R1070" i="16"/>
  <c r="R1062" i="16"/>
  <c r="R1054" i="16"/>
  <c r="R1046" i="16"/>
  <c r="R1038" i="16"/>
  <c r="R1030" i="16"/>
  <c r="R1022" i="16"/>
  <c r="R1014" i="16"/>
  <c r="R1006" i="16"/>
  <c r="R998" i="16"/>
  <c r="R990" i="16"/>
  <c r="R982" i="16"/>
  <c r="R974" i="16"/>
  <c r="R966" i="16"/>
  <c r="R958" i="16"/>
  <c r="R950" i="16"/>
  <c r="R942" i="16"/>
  <c r="R934" i="16"/>
  <c r="R926" i="16"/>
  <c r="R918" i="16"/>
  <c r="R910" i="16"/>
  <c r="R902" i="16"/>
  <c r="R894" i="16"/>
  <c r="R886" i="16"/>
  <c r="R878" i="16"/>
  <c r="R870" i="16"/>
  <c r="R862" i="16"/>
  <c r="R854" i="16"/>
  <c r="R846" i="16"/>
  <c r="R838" i="16"/>
  <c r="R830" i="16"/>
  <c r="R822" i="16"/>
  <c r="R814" i="16"/>
  <c r="R806" i="16"/>
  <c r="R798" i="16"/>
  <c r="R790" i="16"/>
  <c r="R782" i="16"/>
  <c r="R774" i="16"/>
  <c r="R766" i="16"/>
  <c r="R1533" i="16"/>
  <c r="R1525" i="16"/>
  <c r="R1517" i="16"/>
  <c r="R1509" i="16"/>
  <c r="R1501" i="16"/>
  <c r="R1493" i="16"/>
  <c r="R1485" i="16"/>
  <c r="R1477" i="16"/>
  <c r="R1469" i="16"/>
  <c r="R1461" i="16"/>
  <c r="R1453" i="16"/>
  <c r="R1445" i="16"/>
  <c r="R1437" i="16"/>
  <c r="R1429" i="16"/>
  <c r="R1421" i="16"/>
  <c r="R1413" i="16"/>
  <c r="R1405" i="16"/>
  <c r="R1397" i="16"/>
  <c r="R1389" i="16"/>
  <c r="R1381" i="16"/>
  <c r="R1373" i="16"/>
  <c r="R1365" i="16"/>
  <c r="R1357" i="16"/>
  <c r="R1349" i="16"/>
  <c r="R1341" i="16"/>
  <c r="R1333" i="16"/>
  <c r="R1325" i="16"/>
  <c r="R1317" i="16"/>
  <c r="R1309" i="16"/>
  <c r="R1301" i="16"/>
  <c r="R1293" i="16"/>
  <c r="R1285" i="16"/>
  <c r="R1277" i="16"/>
  <c r="R1269" i="16"/>
  <c r="R1261" i="16"/>
  <c r="R1253" i="16"/>
  <c r="R1245" i="16"/>
  <c r="R1237" i="16"/>
  <c r="R1229" i="16"/>
  <c r="R1221" i="16"/>
  <c r="R1213" i="16"/>
  <c r="R1205" i="16"/>
  <c r="R1197" i="16"/>
  <c r="R1189" i="16"/>
  <c r="R1181" i="16"/>
  <c r="R1173" i="16"/>
  <c r="R1165" i="16"/>
  <c r="R1157" i="16"/>
  <c r="R1149" i="16"/>
  <c r="R1141" i="16"/>
  <c r="R1133" i="16"/>
  <c r="R1125" i="16"/>
  <c r="R1117" i="16"/>
  <c r="R1109" i="16"/>
  <c r="R1101" i="16"/>
  <c r="R1093" i="16"/>
  <c r="R1085" i="16"/>
  <c r="R1077" i="16"/>
  <c r="R1069" i="16"/>
  <c r="R1061" i="16"/>
  <c r="R1053" i="16"/>
  <c r="R1045" i="16"/>
  <c r="R1037" i="16"/>
  <c r="R1029" i="16"/>
  <c r="R1021" i="16"/>
  <c r="R1013" i="16"/>
  <c r="R1005" i="16"/>
  <c r="R997" i="16"/>
  <c r="R989" i="16"/>
  <c r="R981" i="16"/>
  <c r="R973" i="16"/>
  <c r="R965" i="16"/>
  <c r="R957" i="16"/>
  <c r="R949" i="16"/>
  <c r="R941" i="16"/>
  <c r="R933" i="16"/>
  <c r="R925" i="16"/>
  <c r="R917" i="16"/>
  <c r="R909" i="16"/>
  <c r="R901" i="16"/>
  <c r="R893" i="16"/>
  <c r="R885" i="16"/>
  <c r="R877" i="16"/>
  <c r="R869" i="16"/>
  <c r="R861" i="16"/>
  <c r="R853" i="16"/>
  <c r="R845" i="16"/>
  <c r="R837" i="16"/>
  <c r="R829" i="16"/>
  <c r="R821" i="16"/>
  <c r="R813" i="16"/>
  <c r="R805" i="16"/>
  <c r="R797" i="16"/>
  <c r="R789" i="16"/>
  <c r="R781" i="16"/>
  <c r="R773" i="16"/>
  <c r="R765" i="16"/>
  <c r="R757" i="16"/>
  <c r="R749" i="16"/>
  <c r="R741" i="16"/>
  <c r="R733" i="16"/>
  <c r="R725" i="16"/>
  <c r="R717" i="16"/>
  <c r="R709" i="16"/>
  <c r="R701" i="16"/>
  <c r="R693" i="16"/>
  <c r="R685" i="16"/>
  <c r="R677" i="16"/>
  <c r="R669" i="16"/>
  <c r="R661" i="16"/>
  <c r="R653" i="16"/>
  <c r="R645" i="16"/>
  <c r="R637" i="16"/>
  <c r="R629" i="16"/>
  <c r="R1531" i="16"/>
  <c r="R1523" i="16"/>
  <c r="R1515" i="16"/>
  <c r="R1507" i="16"/>
  <c r="R1499" i="16"/>
  <c r="R1491" i="16"/>
  <c r="R1483" i="16"/>
  <c r="R1475" i="16"/>
  <c r="R1467" i="16"/>
  <c r="R1459" i="16"/>
  <c r="R1451" i="16"/>
  <c r="R1443" i="16"/>
  <c r="R1435" i="16"/>
  <c r="R1427" i="16"/>
  <c r="R1419" i="16"/>
  <c r="R1411" i="16"/>
  <c r="R1403" i="16"/>
  <c r="R1395" i="16"/>
  <c r="R1387" i="16"/>
  <c r="R1379" i="16"/>
  <c r="R1371" i="16"/>
  <c r="R1363" i="16"/>
  <c r="R1355" i="16"/>
  <c r="R1347" i="16"/>
  <c r="R1339" i="16"/>
  <c r="R1331" i="16"/>
  <c r="R1323" i="16"/>
  <c r="R1315" i="16"/>
  <c r="R1307" i="16"/>
  <c r="R1299" i="16"/>
  <c r="R1291" i="16"/>
  <c r="R1283" i="16"/>
  <c r="R1275" i="16"/>
  <c r="R1267" i="16"/>
  <c r="R1259" i="16"/>
  <c r="R1251" i="16"/>
  <c r="R1243" i="16"/>
  <c r="R1235" i="16"/>
  <c r="R1227" i="16"/>
  <c r="R1219" i="16"/>
  <c r="R1211" i="16"/>
  <c r="R1203" i="16"/>
  <c r="R1195" i="16"/>
  <c r="R1187" i="16"/>
  <c r="R1179" i="16"/>
  <c r="R1171" i="16"/>
  <c r="R1163" i="16"/>
  <c r="R1155" i="16"/>
  <c r="R1147" i="16"/>
  <c r="R1139" i="16"/>
  <c r="R1131" i="16"/>
  <c r="R1123" i="16"/>
  <c r="R1115" i="16"/>
  <c r="R1107" i="16"/>
  <c r="R1099" i="16"/>
  <c r="R1091" i="16"/>
  <c r="R1083" i="16"/>
  <c r="R1075" i="16"/>
  <c r="R1067" i="16"/>
  <c r="R1059" i="16"/>
  <c r="R1051" i="16"/>
  <c r="R1043" i="16"/>
  <c r="R1035" i="16"/>
  <c r="R1027" i="16"/>
  <c r="R1019" i="16"/>
  <c r="R1011" i="16"/>
  <c r="R1003" i="16"/>
  <c r="R995" i="16"/>
  <c r="R987" i="16"/>
  <c r="R979" i="16"/>
  <c r="R971" i="16"/>
  <c r="R963" i="16"/>
  <c r="R955" i="16"/>
  <c r="R1530" i="16"/>
  <c r="R1522" i="16"/>
  <c r="R1514" i="16"/>
  <c r="R1506" i="16"/>
  <c r="R1498" i="16"/>
  <c r="R1490" i="16"/>
  <c r="R1482" i="16"/>
  <c r="R1474" i="16"/>
  <c r="R1466" i="16"/>
  <c r="R1458" i="16"/>
  <c r="R1450" i="16"/>
  <c r="R1442" i="16"/>
  <c r="R1434" i="16"/>
  <c r="R1426" i="16"/>
  <c r="R1418" i="16"/>
  <c r="R1410" i="16"/>
  <c r="R1402" i="16"/>
  <c r="R1394" i="16"/>
  <c r="R1386" i="16"/>
  <c r="R1378" i="16"/>
  <c r="R1370" i="16"/>
  <c r="R1362" i="16"/>
  <c r="R1354" i="16"/>
  <c r="R1346" i="16"/>
  <c r="R1338" i="16"/>
  <c r="R1330" i="16"/>
  <c r="R1322" i="16"/>
  <c r="R1314" i="16"/>
  <c r="R1306" i="16"/>
  <c r="R1298" i="16"/>
  <c r="R1290" i="16"/>
  <c r="R1282" i="16"/>
  <c r="R1274" i="16"/>
  <c r="R1266" i="16"/>
  <c r="R1258" i="16"/>
  <c r="R1250" i="16"/>
  <c r="R1242" i="16"/>
  <c r="R1234" i="16"/>
  <c r="R1226" i="16"/>
  <c r="R1218" i="16"/>
  <c r="R1210" i="16"/>
  <c r="R1202" i="16"/>
  <c r="R1194" i="16"/>
  <c r="R1186" i="16"/>
  <c r="R1178" i="16"/>
  <c r="R1170" i="16"/>
  <c r="R1162" i="16"/>
  <c r="R1154" i="16"/>
  <c r="R1146" i="16"/>
  <c r="R1138" i="16"/>
  <c r="R1130" i="16"/>
  <c r="R1122" i="16"/>
  <c r="R1114" i="16"/>
  <c r="R1106" i="16"/>
  <c r="R1098" i="16"/>
  <c r="R1090" i="16"/>
  <c r="R1082" i="16"/>
  <c r="R1074" i="16"/>
  <c r="R1066" i="16"/>
  <c r="R1058" i="16"/>
  <c r="R1050" i="16"/>
  <c r="R1042" i="16"/>
  <c r="R1034" i="16"/>
  <c r="R1026" i="16"/>
  <c r="R1018" i="16"/>
  <c r="R1010" i="16"/>
  <c r="R1002" i="16"/>
  <c r="R994" i="16"/>
  <c r="R986" i="16"/>
  <c r="R978" i="16"/>
  <c r="R970" i="16"/>
  <c r="R962" i="16"/>
  <c r="R954" i="16"/>
  <c r="R946" i="16"/>
  <c r="R938" i="16"/>
  <c r="R930" i="16"/>
  <c r="R922" i="16"/>
  <c r="R914" i="16"/>
  <c r="R906" i="16"/>
  <c r="R898" i="16"/>
  <c r="R890" i="16"/>
  <c r="R882" i="16"/>
  <c r="R874" i="16"/>
  <c r="R866" i="16"/>
  <c r="R858" i="16"/>
  <c r="R850" i="16"/>
  <c r="R842" i="16"/>
  <c r="R834" i="16"/>
  <c r="R10" i="16"/>
  <c r="R18" i="16"/>
  <c r="R26" i="16"/>
  <c r="R34" i="16"/>
  <c r="R42" i="16"/>
  <c r="R50" i="16"/>
  <c r="R58" i="16"/>
  <c r="R66" i="16"/>
  <c r="R74" i="16"/>
  <c r="R82" i="16"/>
  <c r="R90" i="16"/>
  <c r="R98" i="16"/>
  <c r="R106" i="16"/>
  <c r="R114" i="16"/>
  <c r="R122" i="16"/>
  <c r="R130" i="16"/>
  <c r="R138" i="16"/>
  <c r="R146" i="16"/>
  <c r="R154" i="16"/>
  <c r="R162" i="16"/>
  <c r="R170" i="16"/>
  <c r="R178" i="16"/>
  <c r="R186" i="16"/>
  <c r="R194" i="16"/>
  <c r="R202" i="16"/>
  <c r="R210" i="16"/>
  <c r="R218" i="16"/>
  <c r="R226" i="16"/>
  <c r="R234" i="16"/>
  <c r="R242" i="16"/>
  <c r="R250" i="16"/>
  <c r="R258" i="16"/>
  <c r="R266" i="16"/>
  <c r="R274" i="16"/>
  <c r="R282" i="16"/>
  <c r="R290" i="16"/>
  <c r="R298" i="16"/>
  <c r="R306" i="16"/>
  <c r="R314" i="16"/>
  <c r="R322" i="16"/>
  <c r="R330" i="16"/>
  <c r="R338" i="16"/>
  <c r="R346" i="16"/>
  <c r="R354" i="16"/>
  <c r="R362" i="16"/>
  <c r="R370" i="16"/>
  <c r="R378" i="16"/>
  <c r="R386" i="16"/>
  <c r="R394" i="16"/>
  <c r="R402" i="16"/>
  <c r="R410" i="16"/>
  <c r="R418" i="16"/>
  <c r="R426" i="16"/>
  <c r="R434" i="16"/>
  <c r="R442" i="16"/>
  <c r="R450" i="16"/>
  <c r="R458" i="16"/>
  <c r="R466" i="16"/>
  <c r="R474" i="16"/>
  <c r="R482" i="16"/>
  <c r="R490" i="16"/>
  <c r="R498" i="16"/>
  <c r="R506" i="16"/>
  <c r="R514" i="16"/>
  <c r="R522" i="16"/>
  <c r="R530" i="16"/>
  <c r="R538" i="16"/>
  <c r="R546" i="16"/>
  <c r="R554" i="16"/>
  <c r="R562" i="16"/>
  <c r="R570" i="16"/>
  <c r="R578" i="16"/>
  <c r="R586" i="16"/>
  <c r="R594" i="16"/>
  <c r="R602" i="16"/>
  <c r="R610" i="16"/>
  <c r="R618" i="16"/>
  <c r="R626" i="16"/>
  <c r="R635" i="16"/>
  <c r="R644" i="16"/>
  <c r="R654" i="16"/>
  <c r="R663" i="16"/>
  <c r="R672" i="16"/>
  <c r="R681" i="16"/>
  <c r="R690" i="16"/>
  <c r="R699" i="16"/>
  <c r="R708" i="16"/>
  <c r="R718" i="16"/>
  <c r="R727" i="16"/>
  <c r="R736" i="16"/>
  <c r="R745" i="16"/>
  <c r="R754" i="16"/>
  <c r="R763" i="16"/>
  <c r="R775" i="16"/>
  <c r="R785" i="16"/>
  <c r="R795" i="16"/>
  <c r="R807" i="16"/>
  <c r="R817" i="16"/>
  <c r="R827" i="16"/>
  <c r="R840" i="16"/>
  <c r="R852" i="16"/>
  <c r="R865" i="16"/>
  <c r="R879" i="16"/>
  <c r="R891" i="16"/>
  <c r="R904" i="16"/>
  <c r="R916" i="16"/>
  <c r="R929" i="16"/>
  <c r="R943" i="16"/>
  <c r="R956" i="16"/>
  <c r="R972" i="16"/>
  <c r="R988" i="16"/>
  <c r="R1004" i="16"/>
  <c r="R1020" i="16"/>
  <c r="R1036" i="16"/>
  <c r="R1052" i="16"/>
  <c r="R1068" i="16"/>
  <c r="R1084" i="16"/>
  <c r="R1100" i="16"/>
  <c r="R1116" i="16"/>
  <c r="R1132" i="16"/>
  <c r="R1148" i="16"/>
  <c r="R1164" i="16"/>
  <c r="R1180" i="16"/>
  <c r="R1196" i="16"/>
  <c r="R1212" i="16"/>
  <c r="R1228" i="16"/>
  <c r="R1244" i="16"/>
  <c r="R1260" i="16"/>
  <c r="R1276" i="16"/>
  <c r="R1292" i="16"/>
  <c r="R1308" i="16"/>
  <c r="R1324" i="16"/>
  <c r="R1340" i="16"/>
  <c r="R1356" i="16"/>
  <c r="R1372" i="16"/>
  <c r="R1388" i="16"/>
  <c r="R1404" i="16"/>
  <c r="R1420" i="16"/>
  <c r="R1436" i="16"/>
  <c r="R1452" i="16"/>
  <c r="R1468" i="16"/>
  <c r="R1484" i="16"/>
  <c r="R1500" i="16"/>
  <c r="R1516" i="16"/>
  <c r="R1532" i="16"/>
  <c r="R682" i="16"/>
  <c r="R691" i="16"/>
  <c r="R700" i="16"/>
  <c r="R710" i="16"/>
  <c r="R719" i="16"/>
  <c r="R728" i="16"/>
  <c r="R737" i="16"/>
  <c r="R746" i="16"/>
  <c r="R755" i="16"/>
  <c r="R764" i="16"/>
  <c r="R776" i="16"/>
  <c r="R786" i="16"/>
  <c r="R796" i="16"/>
  <c r="R808" i="16"/>
  <c r="R818" i="16"/>
  <c r="R828" i="16"/>
  <c r="R841" i="16"/>
  <c r="R855" i="16"/>
  <c r="R867" i="16"/>
  <c r="R880" i="16"/>
  <c r="R892" i="16"/>
  <c r="R905" i="16"/>
  <c r="R919" i="16"/>
  <c r="R931" i="16"/>
  <c r="R944" i="16"/>
  <c r="R959" i="16"/>
  <c r="R975" i="16"/>
  <c r="R991" i="16"/>
  <c r="R1007" i="16"/>
  <c r="R1023" i="16"/>
  <c r="R1039" i="16"/>
  <c r="R1055" i="16"/>
  <c r="R1071" i="16"/>
  <c r="R1087" i="16"/>
  <c r="R1103" i="16"/>
  <c r="R1119" i="16"/>
  <c r="R1135" i="16"/>
  <c r="R1151" i="16"/>
  <c r="R1167" i="16"/>
  <c r="R1183" i="16"/>
  <c r="R1199" i="16"/>
  <c r="R1215" i="16"/>
  <c r="R1231" i="16"/>
  <c r="R1247" i="16"/>
  <c r="R1263" i="16"/>
  <c r="R1279" i="16"/>
  <c r="R1295" i="16"/>
  <c r="R1311" i="16"/>
  <c r="R1327" i="16"/>
  <c r="R1343" i="16"/>
  <c r="R1359" i="16"/>
  <c r="R1375" i="16"/>
  <c r="R1391" i="16"/>
  <c r="R1407" i="16"/>
  <c r="R1423" i="16"/>
  <c r="R1439" i="16"/>
  <c r="R1455" i="16"/>
  <c r="R1471" i="16"/>
  <c r="R1487" i="16"/>
  <c r="R1503" i="16"/>
  <c r="R1519" i="16"/>
  <c r="R1535" i="16"/>
  <c r="Q337" i="16"/>
  <c r="Q345" i="16"/>
  <c r="Q353" i="16"/>
  <c r="Q361" i="16"/>
  <c r="Q369" i="16"/>
  <c r="Q377" i="16"/>
  <c r="Q385" i="16"/>
  <c r="Q393" i="16"/>
  <c r="Q401" i="16"/>
  <c r="Q409" i="16"/>
  <c r="Q417" i="16"/>
  <c r="Q425" i="16"/>
  <c r="Q433" i="16"/>
  <c r="Q441" i="16"/>
  <c r="Q449" i="16"/>
  <c r="Q457" i="16"/>
  <c r="Q465" i="16"/>
  <c r="Q473" i="16"/>
  <c r="Q481" i="16"/>
  <c r="Q489" i="16"/>
  <c r="Q497" i="16"/>
  <c r="Q505" i="16"/>
  <c r="Q513" i="16"/>
  <c r="Q521" i="16"/>
  <c r="Q529" i="16"/>
  <c r="Q537" i="16"/>
  <c r="Q545" i="16"/>
  <c r="Q553" i="16"/>
  <c r="Q561" i="16"/>
  <c r="Q569" i="16"/>
  <c r="Q577" i="16"/>
  <c r="Q585" i="16"/>
  <c r="Q593" i="16"/>
  <c r="Q601" i="16"/>
  <c r="Q609" i="16"/>
  <c r="Q617" i="16"/>
  <c r="Q625" i="16"/>
  <c r="Q633" i="16"/>
  <c r="Q641" i="16"/>
  <c r="Q649" i="16"/>
  <c r="Q657" i="16"/>
  <c r="Q665" i="16"/>
  <c r="Q673" i="16"/>
  <c r="Q681" i="16"/>
  <c r="Q689" i="16"/>
  <c r="Q697" i="16"/>
  <c r="Q705" i="16"/>
  <c r="Q713" i="16"/>
  <c r="Q721" i="16"/>
  <c r="Q729" i="16"/>
  <c r="Q737" i="16"/>
  <c r="Q745" i="16"/>
  <c r="Q753" i="16"/>
  <c r="Q761" i="16"/>
  <c r="Q769" i="16"/>
  <c r="Q777" i="16"/>
  <c r="Q785" i="16"/>
  <c r="Q793" i="16"/>
  <c r="Q801" i="16"/>
  <c r="Q809" i="16"/>
  <c r="Q817" i="16"/>
  <c r="Q825" i="16"/>
  <c r="Q833" i="16"/>
  <c r="Q841" i="16"/>
  <c r="Q849" i="16"/>
  <c r="Q857" i="16"/>
  <c r="Q865" i="16"/>
  <c r="Q873" i="16"/>
  <c r="Q881" i="16"/>
  <c r="Q889" i="16"/>
  <c r="Q897" i="16"/>
  <c r="Q905" i="16"/>
  <c r="Q913" i="16"/>
  <c r="Q921" i="16"/>
  <c r="Q929" i="16"/>
  <c r="Q937" i="16"/>
  <c r="Q945" i="16"/>
  <c r="Q953" i="16"/>
  <c r="Q961" i="16"/>
  <c r="Q969" i="16"/>
  <c r="Q977" i="16"/>
  <c r="Q985" i="16"/>
  <c r="Q993" i="16"/>
  <c r="Q1001" i="16"/>
  <c r="Q1009" i="16"/>
  <c r="Q1017" i="16"/>
  <c r="Q1025" i="16"/>
  <c r="Q1033" i="16"/>
  <c r="Q1041" i="16"/>
  <c r="Q1049" i="16"/>
  <c r="Q1057" i="16"/>
  <c r="Q1065" i="16"/>
  <c r="Q1073" i="16"/>
  <c r="Q1081" i="16"/>
  <c r="Q1089" i="16"/>
  <c r="Q1097" i="16"/>
  <c r="Q1105" i="16"/>
  <c r="Q1113" i="16"/>
  <c r="Q1121" i="16"/>
  <c r="Q1129" i="16"/>
  <c r="Q1137" i="16"/>
  <c r="Q1145" i="16"/>
  <c r="Q1153" i="16"/>
  <c r="Q1161" i="16"/>
  <c r="Q1169" i="16"/>
  <c r="Q1177" i="16"/>
  <c r="Q1185" i="16"/>
  <c r="Q1193" i="16"/>
  <c r="Q1201" i="16"/>
  <c r="Q1209" i="16"/>
  <c r="Q1217" i="16"/>
  <c r="Q1225" i="16"/>
  <c r="Q1233" i="16"/>
  <c r="Q1241" i="16"/>
  <c r="Q1249" i="16"/>
  <c r="Q1257" i="16"/>
  <c r="Q1265" i="16"/>
  <c r="Q1273" i="16"/>
  <c r="Q1281" i="16"/>
  <c r="Q1289" i="16"/>
  <c r="Q1297" i="16"/>
  <c r="Q1305" i="16"/>
  <c r="Q1313" i="16"/>
  <c r="Q1321" i="16"/>
  <c r="Q1329" i="16"/>
  <c r="Q1337" i="16"/>
  <c r="Q1345" i="16"/>
  <c r="Q1353" i="16"/>
  <c r="Q1361" i="16"/>
  <c r="Q1369" i="16"/>
  <c r="Q1377" i="16"/>
  <c r="Q1385" i="16"/>
  <c r="Q1393" i="16"/>
  <c r="Q1401" i="16"/>
  <c r="Q1409" i="16"/>
  <c r="Q1417" i="16"/>
  <c r="Q1425" i="16"/>
  <c r="Q1433" i="16"/>
  <c r="Q1441" i="16"/>
  <c r="Q1449" i="16"/>
  <c r="Q1457" i="16"/>
  <c r="Q1465" i="16"/>
  <c r="Q1473" i="16"/>
  <c r="Q1481" i="16"/>
  <c r="Q1489" i="16"/>
  <c r="Q1497" i="16"/>
  <c r="Q1505" i="16"/>
  <c r="Q1513" i="16"/>
  <c r="R4" i="16"/>
  <c r="R12" i="16"/>
  <c r="R20" i="16"/>
  <c r="R28" i="16"/>
  <c r="R36" i="16"/>
  <c r="R44" i="16"/>
  <c r="R52" i="16"/>
  <c r="R60" i="16"/>
  <c r="R68" i="16"/>
  <c r="R76" i="16"/>
  <c r="R84" i="16"/>
  <c r="R92" i="16"/>
  <c r="R100" i="16"/>
  <c r="R108" i="16"/>
  <c r="R116" i="16"/>
  <c r="R124" i="16"/>
  <c r="R132" i="16"/>
  <c r="R140" i="16"/>
  <c r="R148" i="16"/>
  <c r="R156" i="16"/>
  <c r="R164" i="16"/>
  <c r="R172" i="16"/>
  <c r="R180" i="16"/>
  <c r="R188" i="16"/>
  <c r="R196" i="16"/>
  <c r="R204" i="16"/>
  <c r="R212" i="16"/>
  <c r="R220" i="16"/>
  <c r="R228" i="16"/>
  <c r="R236" i="16"/>
  <c r="R244" i="16"/>
  <c r="R252" i="16"/>
  <c r="R260" i="16"/>
  <c r="R268" i="16"/>
  <c r="R276" i="16"/>
  <c r="R284" i="16"/>
  <c r="R292" i="16"/>
  <c r="R300" i="16"/>
  <c r="R308" i="16"/>
  <c r="R316" i="16"/>
  <c r="R324" i="16"/>
  <c r="R332" i="16"/>
  <c r="R340" i="16"/>
  <c r="R348" i="16"/>
  <c r="R356" i="16"/>
  <c r="R364" i="16"/>
  <c r="R372" i="16"/>
  <c r="R380" i="16"/>
  <c r="R388" i="16"/>
  <c r="R396" i="16"/>
  <c r="R404" i="16"/>
  <c r="R412" i="16"/>
  <c r="R420" i="16"/>
  <c r="R428" i="16"/>
  <c r="R436" i="16"/>
  <c r="R444" i="16"/>
  <c r="R452" i="16"/>
  <c r="R460" i="16"/>
  <c r="R468" i="16"/>
  <c r="R476" i="16"/>
  <c r="R484" i="16"/>
  <c r="R492" i="16"/>
  <c r="R500" i="16"/>
  <c r="R508" i="16"/>
  <c r="R516" i="16"/>
  <c r="R524" i="16"/>
  <c r="R532" i="16"/>
  <c r="R540" i="16"/>
  <c r="R548" i="16"/>
  <c r="R556" i="16"/>
  <c r="R564" i="16"/>
  <c r="R572" i="16"/>
  <c r="R580" i="16"/>
  <c r="R588" i="16"/>
  <c r="R596" i="16"/>
  <c r="R604" i="16"/>
  <c r="R612" i="16"/>
  <c r="R620" i="16"/>
  <c r="R628" i="16"/>
  <c r="R638" i="16"/>
  <c r="R647" i="16"/>
  <c r="R656" i="16"/>
  <c r="R665" i="16"/>
  <c r="R674" i="16"/>
  <c r="R683" i="16"/>
  <c r="R692" i="16"/>
  <c r="R702" i="16"/>
  <c r="R711" i="16"/>
  <c r="R720" i="16"/>
  <c r="R729" i="16"/>
  <c r="R738" i="16"/>
  <c r="R747" i="16"/>
  <c r="R756" i="16"/>
  <c r="R767" i="16"/>
  <c r="R777" i="16"/>
  <c r="R787" i="16"/>
  <c r="R799" i="16"/>
  <c r="R809" i="16"/>
  <c r="R819" i="16"/>
  <c r="R831" i="16"/>
  <c r="R843" i="16"/>
  <c r="R856" i="16"/>
  <c r="R868" i="16"/>
  <c r="R881" i="16"/>
  <c r="R895" i="16"/>
  <c r="R907" i="16"/>
  <c r="R920" i="16"/>
  <c r="R932" i="16"/>
  <c r="R945" i="16"/>
  <c r="R960" i="16"/>
  <c r="R976" i="16"/>
  <c r="R992" i="16"/>
  <c r="R1008" i="16"/>
  <c r="R1024" i="16"/>
  <c r="R1040" i="16"/>
  <c r="R1056" i="16"/>
  <c r="R1072" i="16"/>
  <c r="R1088" i="16"/>
  <c r="R1104" i="16"/>
  <c r="R1120" i="16"/>
  <c r="R1136" i="16"/>
  <c r="R1152" i="16"/>
  <c r="R1168" i="16"/>
  <c r="R1184" i="16"/>
  <c r="R1200" i="16"/>
  <c r="R1216" i="16"/>
  <c r="R1232" i="16"/>
  <c r="R1248" i="16"/>
  <c r="R1264" i="16"/>
  <c r="R1280" i="16"/>
  <c r="R1296" i="16"/>
  <c r="R1312" i="16"/>
  <c r="R1328" i="16"/>
  <c r="R1344" i="16"/>
  <c r="R1360" i="16"/>
  <c r="R1376" i="16"/>
  <c r="R1392" i="16"/>
  <c r="R1408" i="16"/>
  <c r="R1424" i="16"/>
  <c r="R1440" i="16"/>
  <c r="R1456" i="16"/>
  <c r="R1472" i="16"/>
  <c r="R1488" i="16"/>
  <c r="R1504" i="16"/>
  <c r="R1520" i="16"/>
  <c r="Q10" i="16"/>
  <c r="Q18" i="16"/>
  <c r="Q26" i="16"/>
  <c r="Q34" i="16"/>
  <c r="Q42" i="16"/>
  <c r="Q50" i="16"/>
  <c r="Q58" i="16"/>
  <c r="Q66" i="16"/>
  <c r="Q74" i="16"/>
  <c r="Q82" i="16"/>
  <c r="Q90" i="16"/>
  <c r="Q98" i="16"/>
  <c r="Q106" i="16"/>
  <c r="Q114" i="16"/>
  <c r="Q122" i="16"/>
  <c r="Q130" i="16"/>
  <c r="Q138" i="16"/>
  <c r="Q146" i="16"/>
  <c r="Q154" i="16"/>
  <c r="Q162" i="16"/>
  <c r="Q170" i="16"/>
  <c r="Q178" i="16"/>
  <c r="Q186" i="16"/>
  <c r="Q194" i="16"/>
  <c r="Q202" i="16"/>
  <c r="Q210" i="16"/>
  <c r="Q218" i="16"/>
  <c r="Q226" i="16"/>
  <c r="Q234" i="16"/>
  <c r="Q242" i="16"/>
  <c r="Q250" i="16"/>
  <c r="Q258" i="16"/>
  <c r="Q266" i="16"/>
  <c r="Q274" i="16"/>
  <c r="Q282" i="16"/>
  <c r="Q290" i="16"/>
  <c r="Q298" i="16"/>
  <c r="Q306" i="16"/>
  <c r="Q314" i="16"/>
  <c r="Q322" i="16"/>
  <c r="Q330" i="16"/>
  <c r="Q338" i="16"/>
  <c r="Q346" i="16"/>
  <c r="Q354" i="16"/>
  <c r="Q362" i="16"/>
  <c r="Q370" i="16"/>
  <c r="Q378" i="16"/>
  <c r="Q386" i="16"/>
  <c r="Q394" i="16"/>
  <c r="Q402" i="16"/>
  <c r="Q410" i="16"/>
  <c r="Q418" i="16"/>
  <c r="Q426" i="16"/>
  <c r="Q434" i="16"/>
  <c r="Q442" i="16"/>
  <c r="Q450" i="16"/>
  <c r="Q458" i="16"/>
  <c r="Q466" i="16"/>
  <c r="Q474" i="16"/>
  <c r="Q482" i="16"/>
  <c r="Q490" i="16"/>
  <c r="Q498" i="16"/>
  <c r="Q506" i="16"/>
  <c r="Q514" i="16"/>
  <c r="Q522" i="16"/>
  <c r="Q530" i="16"/>
  <c r="Q538" i="16"/>
  <c r="Q546" i="16"/>
  <c r="Q554" i="16"/>
  <c r="Q562" i="16"/>
  <c r="Q570" i="16"/>
  <c r="Q578" i="16"/>
  <c r="Q586" i="16"/>
  <c r="Q594" i="16"/>
  <c r="Q602" i="16"/>
  <c r="Q610" i="16"/>
  <c r="Q618" i="16"/>
  <c r="Q626" i="16"/>
  <c r="Q634" i="16"/>
  <c r="Q642" i="16"/>
  <c r="Q650" i="16"/>
  <c r="Q658" i="16"/>
  <c r="Q666" i="16"/>
  <c r="Q674" i="16"/>
  <c r="Q682" i="16"/>
  <c r="Q690" i="16"/>
  <c r="Q698" i="16"/>
  <c r="Q706" i="16"/>
  <c r="Q714" i="16"/>
  <c r="Q722" i="16"/>
  <c r="Q730" i="16"/>
  <c r="Q738" i="16"/>
  <c r="Q746" i="16"/>
  <c r="Q754" i="16"/>
  <c r="Q762" i="16"/>
  <c r="Q770" i="16"/>
  <c r="Q778" i="16"/>
  <c r="Q786" i="16"/>
  <c r="Q794" i="16"/>
  <c r="Q802" i="16"/>
  <c r="Q810" i="16"/>
  <c r="Q818" i="16"/>
  <c r="Q826" i="16"/>
  <c r="Q834" i="16"/>
  <c r="Q842" i="16"/>
  <c r="Q850" i="16"/>
  <c r="Q858" i="16"/>
  <c r="Q866" i="16"/>
  <c r="Q874" i="16"/>
  <c r="Q882" i="16"/>
  <c r="Q890" i="16"/>
  <c r="Q898" i="16"/>
  <c r="Q906" i="16"/>
  <c r="Q914" i="16"/>
  <c r="Q922" i="16"/>
  <c r="Q930" i="16"/>
  <c r="Q938" i="16"/>
  <c r="Q946" i="16"/>
  <c r="Q954" i="16"/>
  <c r="Q962" i="16"/>
  <c r="Q970" i="16"/>
  <c r="Q978" i="16"/>
  <c r="Q986" i="16"/>
  <c r="Q994" i="16"/>
  <c r="Q1002" i="16"/>
  <c r="Q1010" i="16"/>
  <c r="Q1018" i="16"/>
  <c r="Q1026" i="16"/>
  <c r="Q1034" i="16"/>
  <c r="Q1042" i="16"/>
  <c r="Q1050" i="16"/>
  <c r="Q1058" i="16"/>
  <c r="Q1066" i="16"/>
  <c r="Q1074" i="16"/>
  <c r="Q1082" i="16"/>
  <c r="Q1090" i="16"/>
  <c r="Q1098" i="16"/>
  <c r="Q1106" i="16"/>
  <c r="Q1114" i="16"/>
  <c r="Q1122" i="16"/>
  <c r="Q1130" i="16"/>
  <c r="Q1138" i="16"/>
  <c r="Q1146" i="16"/>
  <c r="Q1154" i="16"/>
  <c r="Q1162" i="16"/>
  <c r="Q1170" i="16"/>
  <c r="Q1178" i="16"/>
  <c r="Q1186" i="16"/>
  <c r="Q1194" i="16"/>
  <c r="Q1202" i="16"/>
  <c r="Q1210" i="16"/>
  <c r="Q1218" i="16"/>
  <c r="Q1226" i="16"/>
  <c r="Q1234" i="16"/>
  <c r="Q1242" i="16"/>
  <c r="Q1250" i="16"/>
  <c r="Q1258" i="16"/>
  <c r="Q1266" i="16"/>
  <c r="Q1274" i="16"/>
  <c r="Q1282" i="16"/>
  <c r="Q1290" i="16"/>
  <c r="Q1298" i="16"/>
  <c r="Q1306" i="16"/>
  <c r="Q1314" i="16"/>
  <c r="Q1322" i="16"/>
  <c r="Q1330" i="16"/>
  <c r="Q1338" i="16"/>
  <c r="Q1346" i="16"/>
  <c r="Q1354" i="16"/>
  <c r="Q1362" i="16"/>
  <c r="Q1370" i="16"/>
  <c r="Q1378" i="16"/>
  <c r="Q1386" i="16"/>
  <c r="Q1394" i="16"/>
  <c r="Q1402" i="16"/>
  <c r="Q1410" i="16"/>
  <c r="Q1418" i="16"/>
  <c r="Q1426" i="16"/>
  <c r="Q1434" i="16"/>
  <c r="Q1442" i="16"/>
  <c r="Q1450" i="16"/>
  <c r="Q1458" i="16"/>
  <c r="Q1466" i="16"/>
  <c r="Q1474" i="16"/>
  <c r="Q1482" i="16"/>
  <c r="Q1490" i="16"/>
  <c r="Q1498" i="16"/>
  <c r="Q1506" i="16"/>
  <c r="Q1514" i="16"/>
  <c r="R5" i="16"/>
  <c r="R13" i="16"/>
  <c r="R21" i="16"/>
  <c r="R29" i="16"/>
  <c r="R37" i="16"/>
  <c r="R45" i="16"/>
  <c r="R53" i="16"/>
  <c r="R61" i="16"/>
  <c r="R69" i="16"/>
  <c r="R77" i="16"/>
  <c r="R85" i="16"/>
  <c r="R93" i="16"/>
  <c r="R101" i="16"/>
  <c r="R109" i="16"/>
  <c r="R117" i="16"/>
  <c r="R125" i="16"/>
  <c r="R133" i="16"/>
  <c r="R141" i="16"/>
  <c r="R149" i="16"/>
  <c r="R157" i="16"/>
  <c r="R165" i="16"/>
  <c r="R173" i="16"/>
  <c r="R181" i="16"/>
  <c r="R189" i="16"/>
  <c r="R197" i="16"/>
  <c r="R205" i="16"/>
  <c r="R213" i="16"/>
  <c r="R221" i="16"/>
  <c r="R229" i="16"/>
  <c r="R237" i="16"/>
  <c r="R245" i="16"/>
  <c r="R253" i="16"/>
  <c r="R261" i="16"/>
  <c r="R269" i="16"/>
  <c r="R277" i="16"/>
  <c r="R285" i="16"/>
  <c r="R293" i="16"/>
  <c r="R301" i="16"/>
  <c r="R309" i="16"/>
  <c r="R317" i="16"/>
  <c r="R325" i="16"/>
  <c r="R333" i="16"/>
  <c r="R341" i="16"/>
  <c r="R349" i="16"/>
  <c r="R357" i="16"/>
  <c r="R365" i="16"/>
  <c r="R373" i="16"/>
  <c r="R381" i="16"/>
  <c r="R389" i="16"/>
  <c r="R397" i="16"/>
  <c r="R405" i="16"/>
  <c r="R413" i="16"/>
  <c r="R421" i="16"/>
  <c r="R429" i="16"/>
  <c r="R437" i="16"/>
  <c r="R445" i="16"/>
  <c r="R453" i="16"/>
  <c r="R461" i="16"/>
  <c r="R469" i="16"/>
  <c r="R477" i="16"/>
  <c r="R485" i="16"/>
  <c r="R493" i="16"/>
  <c r="R501" i="16"/>
  <c r="R509" i="16"/>
  <c r="R517" i="16"/>
  <c r="R525" i="16"/>
  <c r="R533" i="16"/>
  <c r="R541" i="16"/>
  <c r="R549" i="16"/>
  <c r="R557" i="16"/>
  <c r="R565" i="16"/>
  <c r="R573" i="16"/>
  <c r="R581" i="16"/>
  <c r="R589" i="16"/>
  <c r="R597" i="16"/>
  <c r="R605" i="16"/>
  <c r="R613" i="16"/>
  <c r="R621" i="16"/>
  <c r="R630" i="16"/>
  <c r="R639" i="16"/>
  <c r="R648" i="16"/>
  <c r="R657" i="16"/>
  <c r="R666" i="16"/>
  <c r="R675" i="16"/>
  <c r="R684" i="16"/>
  <c r="R694" i="16"/>
  <c r="R703" i="16"/>
  <c r="R712" i="16"/>
  <c r="R721" i="16"/>
  <c r="R730" i="16"/>
  <c r="R739" i="16"/>
  <c r="R748" i="16"/>
  <c r="R758" i="16"/>
  <c r="R768" i="16"/>
  <c r="R778" i="16"/>
  <c r="R788" i="16"/>
  <c r="R800" i="16"/>
  <c r="R810" i="16"/>
  <c r="R820" i="16"/>
  <c r="R832" i="16"/>
  <c r="R844" i="16"/>
  <c r="R857" i="16"/>
  <c r="R871" i="16"/>
  <c r="R883" i="16"/>
  <c r="R896" i="16"/>
  <c r="R908" i="16"/>
  <c r="R921" i="16"/>
  <c r="R935" i="16"/>
  <c r="R947" i="16"/>
  <c r="R961" i="16"/>
  <c r="R977" i="16"/>
  <c r="R993" i="16"/>
  <c r="R1009" i="16"/>
  <c r="R1025" i="16"/>
  <c r="R1041" i="16"/>
  <c r="R1057" i="16"/>
  <c r="R1073" i="16"/>
  <c r="R1089" i="16"/>
  <c r="R1105" i="16"/>
  <c r="R1121" i="16"/>
  <c r="R1137" i="16"/>
  <c r="R1153" i="16"/>
  <c r="R1169" i="16"/>
  <c r="R1185" i="16"/>
  <c r="R1201" i="16"/>
  <c r="R1217" i="16"/>
  <c r="R1233" i="16"/>
  <c r="R1249" i="16"/>
  <c r="R1265" i="16"/>
  <c r="R1281" i="16"/>
  <c r="R1297" i="16"/>
  <c r="R1313" i="16"/>
  <c r="R1329" i="16"/>
  <c r="R1345" i="16"/>
  <c r="R1361" i="16"/>
  <c r="R1377" i="16"/>
  <c r="R1393" i="16"/>
  <c r="R1409" i="16"/>
  <c r="R1425" i="16"/>
  <c r="R1441" i="16"/>
  <c r="R1457" i="16"/>
  <c r="R1473" i="16"/>
  <c r="R1489" i="16"/>
  <c r="R1505" i="16"/>
  <c r="R1521" i="16"/>
  <c r="Q3" i="16"/>
  <c r="Q11" i="16"/>
  <c r="Q19" i="16"/>
  <c r="Q27" i="16"/>
  <c r="Q35" i="16"/>
  <c r="Q43" i="16"/>
  <c r="Q51" i="16"/>
  <c r="Q59" i="16"/>
  <c r="Q67" i="16"/>
  <c r="Q75" i="16"/>
  <c r="Q83" i="16"/>
  <c r="Q91" i="16"/>
  <c r="Q99" i="16"/>
  <c r="Q107" i="16"/>
  <c r="Q115" i="16"/>
  <c r="Q123" i="16"/>
  <c r="Q131" i="16"/>
  <c r="Q139" i="16"/>
  <c r="Q147" i="16"/>
  <c r="Q155" i="16"/>
  <c r="Q163" i="16"/>
  <c r="Q171" i="16"/>
  <c r="Q179" i="16"/>
  <c r="Q187" i="16"/>
  <c r="Q195" i="16"/>
  <c r="Q203" i="16"/>
  <c r="Q211" i="16"/>
  <c r="Q219" i="16"/>
  <c r="Q227" i="16"/>
  <c r="Q235" i="16"/>
  <c r="Q243" i="16"/>
  <c r="Q251" i="16"/>
  <c r="Q259" i="16"/>
  <c r="Q267" i="16"/>
  <c r="Q275" i="16"/>
  <c r="Q283" i="16"/>
  <c r="Q291" i="16"/>
  <c r="Q299" i="16"/>
  <c r="Q307" i="16"/>
  <c r="Q315" i="16"/>
  <c r="Q323" i="16"/>
  <c r="Q331" i="16"/>
  <c r="Q339" i="16"/>
  <c r="Q347" i="16"/>
  <c r="Q355" i="16"/>
  <c r="Q363" i="16"/>
  <c r="Q371" i="16"/>
  <c r="Q379" i="16"/>
  <c r="Q387" i="16"/>
  <c r="Q395" i="16"/>
  <c r="Q403" i="16"/>
  <c r="Q411" i="16"/>
  <c r="Q419" i="16"/>
  <c r="Q427" i="16"/>
  <c r="Q435" i="16"/>
  <c r="Q443" i="16"/>
  <c r="Q451" i="16"/>
  <c r="Q459" i="16"/>
  <c r="Q467" i="16"/>
  <c r="Q475" i="16"/>
  <c r="Q483" i="16"/>
  <c r="Q491" i="16"/>
  <c r="Q499" i="16"/>
  <c r="Q507" i="16"/>
  <c r="Q515" i="16"/>
  <c r="Q523" i="16"/>
  <c r="Q531" i="16"/>
  <c r="Q539" i="16"/>
  <c r="Q547" i="16"/>
  <c r="Q555" i="16"/>
  <c r="Q563" i="16"/>
  <c r="Q571" i="16"/>
  <c r="Q579" i="16"/>
  <c r="Q587" i="16"/>
  <c r="Q595" i="16"/>
  <c r="Q603" i="16"/>
  <c r="Q611" i="16"/>
  <c r="Q619" i="16"/>
  <c r="Q627" i="16"/>
  <c r="Q635" i="16"/>
  <c r="Q643" i="16"/>
  <c r="Q651" i="16"/>
  <c r="Q659" i="16"/>
  <c r="Q667" i="16"/>
  <c r="Q675" i="16"/>
  <c r="Q683" i="16"/>
  <c r="Q691" i="16"/>
  <c r="Q699" i="16"/>
  <c r="Q707" i="16"/>
  <c r="Q715" i="16"/>
  <c r="Q723" i="16"/>
  <c r="Q731" i="16"/>
  <c r="Q739" i="16"/>
  <c r="Q747" i="16"/>
  <c r="Q755" i="16"/>
  <c r="Q763" i="16"/>
  <c r="Q771" i="16"/>
  <c r="Q779" i="16"/>
  <c r="Q787" i="16"/>
  <c r="Q795" i="16"/>
  <c r="Q803" i="16"/>
  <c r="Q811" i="16"/>
  <c r="Q819" i="16"/>
  <c r="Q827" i="16"/>
  <c r="Q835" i="16"/>
  <c r="Q843" i="16"/>
  <c r="Q851" i="16"/>
  <c r="Q859" i="16"/>
  <c r="Q867" i="16"/>
  <c r="Q875" i="16"/>
  <c r="Q883" i="16"/>
  <c r="Q891" i="16"/>
  <c r="Q899" i="16"/>
  <c r="Q907" i="16"/>
  <c r="Q915" i="16"/>
  <c r="Q923" i="16"/>
  <c r="Q931" i="16"/>
  <c r="Q939" i="16"/>
  <c r="Q947" i="16"/>
  <c r="Q955" i="16"/>
  <c r="Q963" i="16"/>
  <c r="Q971" i="16"/>
  <c r="Q979" i="16"/>
  <c r="Q987" i="16"/>
  <c r="Q995" i="16"/>
  <c r="Q1003" i="16"/>
  <c r="Q1011" i="16"/>
  <c r="Q1019" i="16"/>
  <c r="Q1027" i="16"/>
  <c r="Q1035" i="16"/>
  <c r="Q1043" i="16"/>
  <c r="Q1051" i="16"/>
  <c r="Q1059" i="16"/>
  <c r="Q1067" i="16"/>
  <c r="Q1075" i="16"/>
  <c r="Q1083" i="16"/>
  <c r="Q1091" i="16"/>
  <c r="Q1099" i="16"/>
  <c r="Q1107" i="16"/>
  <c r="Q1115" i="16"/>
  <c r="Q1123" i="16"/>
  <c r="Q1131" i="16"/>
  <c r="Q1139" i="16"/>
  <c r="Q1147" i="16"/>
  <c r="Q1155" i="16"/>
  <c r="Q1163" i="16"/>
  <c r="Q1171" i="16"/>
  <c r="Q1179" i="16"/>
  <c r="Q1187" i="16"/>
  <c r="Q1195" i="16"/>
  <c r="Q1203" i="16"/>
  <c r="Q1211" i="16"/>
  <c r="Q1219" i="16"/>
  <c r="Q1227" i="16"/>
  <c r="Q1235" i="16"/>
  <c r="Q1243" i="16"/>
  <c r="Q1251" i="16"/>
  <c r="Q1259" i="16"/>
  <c r="Q1267" i="16"/>
  <c r="Q1275" i="16"/>
  <c r="Q1283" i="16"/>
  <c r="Q1291" i="16"/>
  <c r="Q1299" i="16"/>
  <c r="Q1307" i="16"/>
  <c r="Q1315" i="16"/>
  <c r="Q1323" i="16"/>
  <c r="Q1331" i="16"/>
  <c r="Q1339" i="16"/>
  <c r="Q1347" i="16"/>
  <c r="Q1355" i="16"/>
  <c r="Q1363" i="16"/>
  <c r="Q1371" i="16"/>
  <c r="Q1379" i="16"/>
  <c r="Q1387" i="16"/>
  <c r="Q1395" i="16"/>
  <c r="Q1403" i="16"/>
  <c r="Q1411" i="16"/>
  <c r="Q1419" i="16"/>
  <c r="Q1427" i="16"/>
  <c r="Q1435" i="16"/>
  <c r="Q1443" i="16"/>
  <c r="Q1451" i="16"/>
  <c r="Q1459" i="16"/>
  <c r="Q1467" i="16"/>
  <c r="Q1475" i="16"/>
  <c r="Q1483" i="16"/>
  <c r="Q1491" i="16"/>
  <c r="Q1499" i="16"/>
  <c r="Q1507" i="16"/>
  <c r="Q1515" i="16"/>
  <c r="R6" i="16"/>
  <c r="R14" i="16"/>
  <c r="R22" i="16"/>
  <c r="R30" i="16"/>
  <c r="R38" i="16"/>
  <c r="R46" i="16"/>
  <c r="R54" i="16"/>
  <c r="R62" i="16"/>
  <c r="R70" i="16"/>
  <c r="R78" i="16"/>
  <c r="R86" i="16"/>
  <c r="R94" i="16"/>
  <c r="R102" i="16"/>
  <c r="R110" i="16"/>
  <c r="R118" i="16"/>
  <c r="R126" i="16"/>
  <c r="R134" i="16"/>
  <c r="R142" i="16"/>
  <c r="R150" i="16"/>
  <c r="R158" i="16"/>
  <c r="R166" i="16"/>
  <c r="R174" i="16"/>
  <c r="R182" i="16"/>
  <c r="R190" i="16"/>
  <c r="R198" i="16"/>
  <c r="R206" i="16"/>
  <c r="R214" i="16"/>
  <c r="R222" i="16"/>
  <c r="R230" i="16"/>
  <c r="R238" i="16"/>
  <c r="R246" i="16"/>
  <c r="R254" i="16"/>
  <c r="R262" i="16"/>
  <c r="R270" i="16"/>
  <c r="R278" i="16"/>
  <c r="R286" i="16"/>
  <c r="R294" i="16"/>
  <c r="R302" i="16"/>
  <c r="R310" i="16"/>
  <c r="R318" i="16"/>
  <c r="R326" i="16"/>
  <c r="R334" i="16"/>
  <c r="R342" i="16"/>
  <c r="R350" i="16"/>
  <c r="R358" i="16"/>
  <c r="R366" i="16"/>
  <c r="R374" i="16"/>
  <c r="R382" i="16"/>
  <c r="R390" i="16"/>
  <c r="R398" i="16"/>
  <c r="R406" i="16"/>
  <c r="R414" i="16"/>
  <c r="R422" i="16"/>
  <c r="R430" i="16"/>
  <c r="R438" i="16"/>
  <c r="R446" i="16"/>
  <c r="R454" i="16"/>
  <c r="R462" i="16"/>
  <c r="R470" i="16"/>
  <c r="R478" i="16"/>
  <c r="R486" i="16"/>
  <c r="R494" i="16"/>
  <c r="R502" i="16"/>
  <c r="R510" i="16"/>
  <c r="R518" i="16"/>
  <c r="R526" i="16"/>
  <c r="R534" i="16"/>
  <c r="R542" i="16"/>
  <c r="R550" i="16"/>
  <c r="R558" i="16"/>
  <c r="R566" i="16"/>
  <c r="R574" i="16"/>
  <c r="R582" i="16"/>
  <c r="R590" i="16"/>
  <c r="R598" i="16"/>
  <c r="R606" i="16"/>
  <c r="R614" i="16"/>
  <c r="R622" i="16"/>
  <c r="R631" i="16"/>
  <c r="R640" i="16"/>
  <c r="R649" i="16"/>
  <c r="R658" i="16"/>
  <c r="R667" i="16"/>
  <c r="R676" i="16"/>
  <c r="R686" i="16"/>
  <c r="R695" i="16"/>
  <c r="R704" i="16"/>
  <c r="R713" i="16"/>
  <c r="R722" i="16"/>
  <c r="R731" i="16"/>
  <c r="R740" i="16"/>
  <c r="R750" i="16"/>
  <c r="R759" i="16"/>
  <c r="R769" i="16"/>
  <c r="R779" i="16"/>
  <c r="R791" i="16"/>
  <c r="R801" i="16"/>
  <c r="R811" i="16"/>
  <c r="R823" i="16"/>
  <c r="R833" i="16"/>
  <c r="R847" i="16"/>
  <c r="R859" i="16"/>
  <c r="R872" i="16"/>
  <c r="R884" i="16"/>
  <c r="R897" i="16"/>
  <c r="R911" i="16"/>
  <c r="R923" i="16"/>
  <c r="R936" i="16"/>
  <c r="R948" i="16"/>
  <c r="R964" i="16"/>
  <c r="R980" i="16"/>
  <c r="R996" i="16"/>
  <c r="R1012" i="16"/>
  <c r="R1028" i="16"/>
  <c r="R1044" i="16"/>
  <c r="R1060" i="16"/>
  <c r="R1076" i="16"/>
  <c r="R1092" i="16"/>
  <c r="R1108" i="16"/>
  <c r="R1124" i="16"/>
  <c r="R1140" i="16"/>
  <c r="R1156" i="16"/>
  <c r="R1172" i="16"/>
  <c r="R1188" i="16"/>
  <c r="R1204" i="16"/>
  <c r="R1220" i="16"/>
  <c r="R1236" i="16"/>
  <c r="R1252" i="16"/>
  <c r="R1268" i="16"/>
  <c r="R1284" i="16"/>
  <c r="R1300" i="16"/>
  <c r="R1316" i="16"/>
  <c r="R1332" i="16"/>
  <c r="R1348" i="16"/>
  <c r="R1364" i="16"/>
  <c r="R1380" i="16"/>
  <c r="R1396" i="16"/>
  <c r="R1412" i="16"/>
  <c r="R1428" i="16"/>
  <c r="R1444" i="16"/>
  <c r="R1460" i="16"/>
  <c r="R1476" i="16"/>
  <c r="R1492" i="16"/>
  <c r="R1508" i="16"/>
  <c r="R1524" i="16"/>
  <c r="R650" i="16"/>
  <c r="R659" i="16"/>
  <c r="R668" i="16"/>
  <c r="R678" i="16"/>
  <c r="R687" i="16"/>
  <c r="R696" i="16"/>
  <c r="R705" i="16"/>
  <c r="R714" i="16"/>
  <c r="R723" i="16"/>
  <c r="R732" i="16"/>
  <c r="R742" i="16"/>
  <c r="R751" i="16"/>
  <c r="R760" i="16"/>
  <c r="R770" i="16"/>
  <c r="R780" i="16"/>
  <c r="R792" i="16"/>
  <c r="R802" i="16"/>
  <c r="R812" i="16"/>
  <c r="R824" i="16"/>
  <c r="R835" i="16"/>
  <c r="R848" i="16"/>
  <c r="R860" i="16"/>
  <c r="R873" i="16"/>
  <c r="R887" i="16"/>
  <c r="R899" i="16"/>
  <c r="R912" i="16"/>
  <c r="R924" i="16"/>
  <c r="R937" i="16"/>
  <c r="R951" i="16"/>
  <c r="R967" i="16"/>
  <c r="R983" i="16"/>
  <c r="R999" i="16"/>
  <c r="R1015" i="16"/>
  <c r="R1031" i="16"/>
  <c r="R1047" i="16"/>
  <c r="R1063" i="16"/>
  <c r="R1079" i="16"/>
  <c r="R1095" i="16"/>
  <c r="R1111" i="16"/>
  <c r="R1127" i="16"/>
  <c r="R1143" i="16"/>
  <c r="R1159" i="16"/>
  <c r="R1175" i="16"/>
  <c r="R1191" i="16"/>
  <c r="R1207" i="16"/>
  <c r="R1223" i="16"/>
  <c r="R1239" i="16"/>
  <c r="R1255" i="16"/>
  <c r="R1271" i="16"/>
  <c r="R1287" i="16"/>
  <c r="R1303" i="16"/>
  <c r="R1319" i="16"/>
  <c r="R1335" i="16"/>
  <c r="R1351" i="16"/>
  <c r="R1367" i="16"/>
  <c r="R1383" i="16"/>
  <c r="R1399" i="16"/>
  <c r="R1415" i="16"/>
  <c r="R1431" i="16"/>
  <c r="R1447" i="16"/>
  <c r="R1463" i="16"/>
  <c r="R1479" i="16"/>
  <c r="R1495" i="16"/>
  <c r="R1511" i="16"/>
  <c r="R1527" i="16"/>
  <c r="Q5" i="16"/>
  <c r="Q13" i="16"/>
  <c r="Q21" i="16"/>
  <c r="Q29" i="16"/>
  <c r="Q37" i="16"/>
  <c r="Q45" i="16"/>
  <c r="Q53" i="16"/>
  <c r="Q61" i="16"/>
  <c r="Q69" i="16"/>
  <c r="Q77" i="16"/>
  <c r="Q85" i="16"/>
  <c r="Q93" i="16"/>
  <c r="Q101" i="16"/>
  <c r="Q109" i="16"/>
  <c r="Q117" i="16"/>
  <c r="Q125" i="16"/>
  <c r="Q133" i="16"/>
  <c r="Q141" i="16"/>
  <c r="Q149" i="16"/>
  <c r="Q157" i="16"/>
  <c r="Q165" i="16"/>
  <c r="Q173" i="16"/>
  <c r="Q181" i="16"/>
  <c r="Q189" i="16"/>
  <c r="Q197" i="16"/>
  <c r="Q205" i="16"/>
  <c r="Q213" i="16"/>
  <c r="Q221" i="16"/>
  <c r="Q229" i="16"/>
  <c r="Q237" i="16"/>
  <c r="Q245" i="16"/>
  <c r="Q253" i="16"/>
  <c r="Q261" i="16"/>
  <c r="Q269" i="16"/>
  <c r="Q277" i="16"/>
  <c r="Q285" i="16"/>
  <c r="Q293" i="16"/>
  <c r="Q301" i="16"/>
  <c r="Q309" i="16"/>
  <c r="Q317" i="16"/>
  <c r="Q325" i="16"/>
  <c r="Q333" i="16"/>
  <c r="Q341" i="16"/>
  <c r="Q349" i="16"/>
  <c r="Q357" i="16"/>
  <c r="Q365" i="16"/>
  <c r="Q373" i="16"/>
  <c r="Q381" i="16"/>
  <c r="Q389" i="16"/>
  <c r="Q397" i="16"/>
  <c r="Q405" i="16"/>
  <c r="Q413" i="16"/>
  <c r="Q421" i="16"/>
  <c r="Q429" i="16"/>
  <c r="Q437" i="16"/>
  <c r="Q445" i="16"/>
  <c r="Q453" i="16"/>
  <c r="Q461" i="16"/>
  <c r="Q469" i="16"/>
  <c r="Q477" i="16"/>
  <c r="Q485" i="16"/>
  <c r="Q493" i="16"/>
  <c r="Q501" i="16"/>
  <c r="Q509" i="16"/>
  <c r="Q517" i="16"/>
  <c r="Q525" i="16"/>
  <c r="Q533" i="16"/>
  <c r="Q541" i="16"/>
  <c r="Q549" i="16"/>
  <c r="Q557" i="16"/>
  <c r="Q565" i="16"/>
  <c r="Q573" i="16"/>
  <c r="Q581" i="16"/>
  <c r="Q589" i="16"/>
  <c r="Q597" i="16"/>
  <c r="Q605" i="16"/>
  <c r="Q613" i="16"/>
  <c r="Q621" i="16"/>
  <c r="Q629" i="16"/>
  <c r="Q637" i="16"/>
  <c r="Q645" i="16"/>
  <c r="Q653" i="16"/>
  <c r="Q661" i="16"/>
  <c r="Q669" i="16"/>
  <c r="Q677" i="16"/>
  <c r="Q685" i="16"/>
  <c r="Q693" i="16"/>
  <c r="Q701" i="16"/>
  <c r="Q709" i="16"/>
  <c r="Q717" i="16"/>
  <c r="Q725" i="16"/>
  <c r="Q733" i="16"/>
  <c r="Q741" i="16"/>
  <c r="Q749" i="16"/>
  <c r="Q757" i="16"/>
  <c r="Q765" i="16"/>
  <c r="Q773" i="16"/>
  <c r="Q781" i="16"/>
  <c r="Q789" i="16"/>
  <c r="Q797" i="16"/>
  <c r="Q805" i="16"/>
  <c r="Q813" i="16"/>
  <c r="Q821" i="16"/>
  <c r="Q829" i="16"/>
  <c r="Q837" i="16"/>
  <c r="Q845" i="16"/>
  <c r="Q853" i="16"/>
  <c r="Q861" i="16"/>
  <c r="Q869" i="16"/>
  <c r="Q877" i="16"/>
  <c r="Q885" i="16"/>
  <c r="Q893" i="16"/>
  <c r="Q901" i="16"/>
  <c r="Q909" i="16"/>
  <c r="Q917" i="16"/>
  <c r="Q925" i="16"/>
  <c r="Q933" i="16"/>
  <c r="Q941" i="16"/>
  <c r="Q949" i="16"/>
  <c r="Q957" i="16"/>
  <c r="Q965" i="16"/>
  <c r="Q973" i="16"/>
  <c r="Q981" i="16"/>
  <c r="Q989" i="16"/>
  <c r="Q997" i="16"/>
  <c r="Q1005" i="16"/>
  <c r="Q1013" i="16"/>
  <c r="Q1021" i="16"/>
  <c r="Q1029" i="16"/>
  <c r="Q1037" i="16"/>
  <c r="Q1045" i="16"/>
  <c r="Q1053" i="16"/>
  <c r="Q1061" i="16"/>
  <c r="Q1069" i="16"/>
  <c r="Q1077" i="16"/>
  <c r="Q1085" i="16"/>
  <c r="Q1093" i="16"/>
  <c r="Q1101" i="16"/>
  <c r="Q1109" i="16"/>
  <c r="Q1117" i="16"/>
  <c r="Q1125" i="16"/>
  <c r="Q1133" i="16"/>
  <c r="Q1141" i="16"/>
  <c r="Q1149" i="16"/>
  <c r="Q1157" i="16"/>
  <c r="Q1165" i="16"/>
  <c r="Q1173" i="16"/>
  <c r="Q1181" i="16"/>
  <c r="Q1189" i="16"/>
  <c r="Q1197" i="16"/>
  <c r="Q1205" i="16"/>
  <c r="Q1213" i="16"/>
  <c r="Q1221" i="16"/>
  <c r="Q1229" i="16"/>
  <c r="Q1237" i="16"/>
  <c r="Q1245" i="16"/>
  <c r="Q1253" i="16"/>
  <c r="Q1261" i="16"/>
  <c r="Q1269" i="16"/>
  <c r="Q1277" i="16"/>
  <c r="Q1285" i="16"/>
  <c r="Q1293" i="16"/>
  <c r="Q1301" i="16"/>
  <c r="Q1309" i="16"/>
  <c r="Q1317" i="16"/>
  <c r="Q1325" i="16"/>
  <c r="Q1333" i="16"/>
  <c r="Q1341" i="16"/>
  <c r="Q1349" i="16"/>
  <c r="Q1357" i="16"/>
  <c r="Q1365" i="16"/>
  <c r="Q1373" i="16"/>
  <c r="Q1381" i="16"/>
  <c r="Q1389" i="16"/>
  <c r="Q1397" i="16"/>
  <c r="Q1405" i="16"/>
  <c r="Q1413" i="16"/>
  <c r="Q1421" i="16"/>
  <c r="Q1429" i="16"/>
  <c r="Q1437" i="16"/>
  <c r="Q1445" i="16"/>
  <c r="Q1453" i="16"/>
  <c r="Q1461" i="16"/>
  <c r="Q1469" i="16"/>
  <c r="Q1477" i="16"/>
  <c r="Q1485" i="16"/>
  <c r="Q1493" i="16"/>
  <c r="Q1501" i="16"/>
  <c r="Q1509" i="16"/>
  <c r="R8" i="16"/>
  <c r="R16" i="16"/>
  <c r="R24" i="16"/>
  <c r="R32" i="16"/>
  <c r="R40" i="16"/>
  <c r="R48" i="16"/>
  <c r="R56" i="16"/>
  <c r="R64" i="16"/>
  <c r="R72" i="16"/>
  <c r="R80" i="16"/>
  <c r="R88" i="16"/>
  <c r="R96" i="16"/>
  <c r="R104" i="16"/>
  <c r="R112" i="16"/>
  <c r="R120" i="16"/>
  <c r="R128" i="16"/>
  <c r="R136" i="16"/>
  <c r="R144" i="16"/>
  <c r="R152" i="16"/>
  <c r="R160" i="16"/>
  <c r="R168" i="16"/>
  <c r="R176" i="16"/>
  <c r="R184" i="16"/>
  <c r="R192" i="16"/>
  <c r="R200" i="16"/>
  <c r="R208" i="16"/>
  <c r="R216" i="16"/>
  <c r="R224" i="16"/>
  <c r="R232" i="16"/>
  <c r="R240" i="16"/>
  <c r="R248" i="16"/>
  <c r="R256" i="16"/>
  <c r="R264" i="16"/>
  <c r="R272" i="16"/>
  <c r="R280" i="16"/>
  <c r="R288" i="16"/>
  <c r="R296" i="16"/>
  <c r="R304" i="16"/>
  <c r="R312" i="16"/>
  <c r="R320" i="16"/>
  <c r="R328" i="16"/>
  <c r="R336" i="16"/>
  <c r="R344" i="16"/>
  <c r="R352" i="16"/>
  <c r="R360" i="16"/>
  <c r="R368" i="16"/>
  <c r="R376" i="16"/>
  <c r="R384" i="16"/>
  <c r="R392" i="16"/>
  <c r="R400" i="16"/>
  <c r="R408" i="16"/>
  <c r="R416" i="16"/>
  <c r="R424" i="16"/>
  <c r="R432" i="16"/>
  <c r="R440" i="16"/>
  <c r="R448" i="16"/>
  <c r="R456" i="16"/>
  <c r="R464" i="16"/>
  <c r="R472" i="16"/>
  <c r="R480" i="16"/>
  <c r="R488" i="16"/>
  <c r="R496" i="16"/>
  <c r="R504" i="16"/>
  <c r="R512" i="16"/>
  <c r="R520" i="16"/>
  <c r="R528" i="16"/>
  <c r="R536" i="16"/>
  <c r="R544" i="16"/>
  <c r="R552" i="16"/>
  <c r="R560" i="16"/>
  <c r="R568" i="16"/>
  <c r="R576" i="16"/>
  <c r="R584" i="16"/>
  <c r="R592" i="16"/>
  <c r="R600" i="16"/>
  <c r="R608" i="16"/>
  <c r="R616" i="16"/>
  <c r="R624" i="16"/>
  <c r="R633" i="16"/>
  <c r="R642" i="16"/>
  <c r="R651" i="16"/>
  <c r="R660" i="16"/>
  <c r="R670" i="16"/>
  <c r="R679" i="16"/>
  <c r="R688" i="16"/>
  <c r="R697" i="16"/>
  <c r="R706" i="16"/>
  <c r="R715" i="16"/>
  <c r="R724" i="16"/>
  <c r="R734" i="16"/>
  <c r="R743" i="16"/>
  <c r="R752" i="16"/>
  <c r="R761" i="16"/>
  <c r="R771" i="16"/>
  <c r="R783" i="16"/>
  <c r="R793" i="16"/>
  <c r="R803" i="16"/>
  <c r="R815" i="16"/>
  <c r="R825" i="16"/>
  <c r="R836" i="16"/>
  <c r="R849" i="16"/>
  <c r="R863" i="16"/>
  <c r="R875" i="16"/>
  <c r="R888" i="16"/>
  <c r="R900" i="16"/>
  <c r="R913" i="16"/>
  <c r="R927" i="16"/>
  <c r="R939" i="16"/>
  <c r="R952" i="16"/>
  <c r="R968" i="16"/>
  <c r="R984" i="16"/>
  <c r="R1000" i="16"/>
  <c r="R1016" i="16"/>
  <c r="R1032" i="16"/>
  <c r="R1048" i="16"/>
  <c r="R1064" i="16"/>
  <c r="R1080" i="16"/>
  <c r="R1096" i="16"/>
  <c r="R1112" i="16"/>
  <c r="R1128" i="16"/>
  <c r="R1144" i="16"/>
  <c r="R1160" i="16"/>
  <c r="R1176" i="16"/>
  <c r="R1192" i="16"/>
  <c r="R1208" i="16"/>
  <c r="R1224" i="16"/>
  <c r="R1240" i="16"/>
  <c r="R1256" i="16"/>
  <c r="R1272" i="16"/>
  <c r="R1288" i="16"/>
  <c r="R1304" i="16"/>
  <c r="R1320" i="16"/>
  <c r="R1336" i="16"/>
  <c r="R1352" i="16"/>
  <c r="R1368" i="16"/>
  <c r="R1384" i="16"/>
  <c r="R1400" i="16"/>
  <c r="R1416" i="16"/>
  <c r="R1432" i="16"/>
  <c r="R1448" i="16"/>
  <c r="R1464" i="16"/>
  <c r="R1480" i="16"/>
  <c r="R1496" i="16"/>
  <c r="R1512" i="16"/>
  <c r="R1528" i="16"/>
  <c r="S3" i="16"/>
  <c r="S11" i="16"/>
  <c r="S19" i="16"/>
  <c r="S27" i="16"/>
  <c r="S35" i="16"/>
  <c r="S43" i="16"/>
  <c r="S51" i="16"/>
  <c r="S59" i="16"/>
  <c r="S67" i="16"/>
  <c r="S75" i="16"/>
  <c r="S83" i="16"/>
  <c r="S91" i="16"/>
  <c r="S99" i="16"/>
  <c r="S107" i="16"/>
  <c r="S115" i="16"/>
  <c r="S123" i="16"/>
  <c r="S131" i="16"/>
  <c r="S139" i="16"/>
  <c r="S147" i="16"/>
  <c r="S155" i="16"/>
  <c r="S163" i="16"/>
  <c r="S171" i="16"/>
  <c r="S179" i="16"/>
  <c r="S187" i="16"/>
  <c r="S195" i="16"/>
  <c r="S203" i="16"/>
  <c r="S211" i="16"/>
  <c r="S219" i="16"/>
  <c r="S227" i="16"/>
  <c r="S235" i="16"/>
  <c r="S243" i="16"/>
  <c r="S251" i="16"/>
  <c r="S259" i="16"/>
  <c r="S267" i="16"/>
  <c r="S275" i="16"/>
  <c r="S283" i="16"/>
  <c r="S291" i="16"/>
  <c r="S299" i="16"/>
  <c r="S307" i="16"/>
  <c r="S315" i="16"/>
  <c r="S323" i="16"/>
  <c r="S331" i="16"/>
  <c r="S339" i="16"/>
  <c r="S347" i="16"/>
  <c r="S355" i="16"/>
  <c r="S363" i="16"/>
  <c r="S371" i="16"/>
  <c r="S379" i="16"/>
  <c r="S387" i="16"/>
  <c r="S395" i="16"/>
  <c r="S403" i="16"/>
  <c r="S411" i="16"/>
  <c r="S419" i="16"/>
  <c r="S427" i="16"/>
  <c r="S435" i="16"/>
  <c r="S443" i="16"/>
  <c r="S451" i="16"/>
  <c r="S459" i="16"/>
  <c r="S467" i="16"/>
  <c r="S475" i="16"/>
  <c r="S483" i="16"/>
  <c r="S491" i="16"/>
  <c r="S499" i="16"/>
  <c r="S507" i="16"/>
  <c r="S515" i="16"/>
  <c r="S523" i="16"/>
  <c r="S531" i="16"/>
  <c r="S539" i="16"/>
  <c r="S547" i="16"/>
  <c r="S555" i="16"/>
  <c r="S563" i="16"/>
  <c r="S571" i="16"/>
  <c r="S579" i="16"/>
  <c r="S587" i="16"/>
  <c r="S595" i="16"/>
  <c r="S603" i="16"/>
  <c r="S611" i="16"/>
  <c r="S619" i="16"/>
  <c r="S627" i="16"/>
  <c r="S635" i="16"/>
  <c r="S643" i="16"/>
  <c r="S651" i="16"/>
  <c r="S659" i="16"/>
  <c r="S667" i="16"/>
  <c r="S675" i="16"/>
  <c r="S683" i="16"/>
  <c r="S691" i="16"/>
  <c r="S699" i="16"/>
  <c r="S707" i="16"/>
  <c r="S715" i="16"/>
  <c r="S723" i="16"/>
  <c r="S731" i="16"/>
  <c r="S739" i="16"/>
  <c r="S747" i="16"/>
  <c r="S755" i="16"/>
  <c r="S763" i="16"/>
  <c r="S771" i="16"/>
  <c r="S779" i="16"/>
  <c r="S787" i="16"/>
  <c r="S795" i="16"/>
  <c r="S803" i="16"/>
  <c r="S811" i="16"/>
  <c r="S819" i="16"/>
  <c r="S827" i="16"/>
  <c r="S835" i="16"/>
  <c r="S843" i="16"/>
  <c r="S851" i="16"/>
  <c r="S859" i="16"/>
  <c r="S867" i="16"/>
  <c r="S875" i="16"/>
  <c r="S883" i="16"/>
  <c r="S891" i="16"/>
  <c r="S899" i="16"/>
  <c r="S907" i="16"/>
  <c r="S915" i="16"/>
  <c r="S923" i="16"/>
  <c r="S931" i="16"/>
  <c r="S939" i="16"/>
  <c r="S947" i="16"/>
  <c r="S955" i="16"/>
  <c r="S963" i="16"/>
  <c r="S971" i="16"/>
  <c r="S979" i="16"/>
  <c r="S987" i="16"/>
  <c r="S995" i="16"/>
  <c r="S1003" i="16"/>
  <c r="S1011" i="16"/>
  <c r="S1019" i="16"/>
  <c r="S1027" i="16"/>
  <c r="S1035" i="16"/>
  <c r="S1043" i="16"/>
  <c r="S1051" i="16"/>
  <c r="S1061" i="16"/>
  <c r="S1070" i="16"/>
  <c r="S1079" i="16"/>
  <c r="S1088" i="16"/>
  <c r="S1097" i="16"/>
  <c r="S1106" i="16"/>
  <c r="S1115" i="16"/>
  <c r="S1126" i="16"/>
  <c r="S1136" i="16"/>
  <c r="S1147" i="16"/>
  <c r="S1158" i="16"/>
  <c r="S1168" i="16"/>
  <c r="S1179" i="16"/>
  <c r="S1190" i="16"/>
  <c r="S1200" i="16"/>
  <c r="S1211" i="16"/>
  <c r="S1222" i="16"/>
  <c r="S1232" i="16"/>
  <c r="S1243" i="16"/>
  <c r="S1254" i="16"/>
  <c r="S1264" i="16"/>
  <c r="S1275" i="16"/>
  <c r="S1287" i="16"/>
  <c r="S1301" i="16"/>
  <c r="S1313" i="16"/>
  <c r="S1326" i="16"/>
  <c r="S1339" i="16"/>
  <c r="S1351" i="16"/>
  <c r="S1365" i="16"/>
  <c r="S1377" i="16"/>
  <c r="S1390" i="16"/>
  <c r="S1403" i="16"/>
  <c r="S1415" i="16"/>
  <c r="S1429" i="16"/>
  <c r="S1441" i="16"/>
  <c r="S1454" i="16"/>
  <c r="S1467" i="16"/>
  <c r="S1479" i="16"/>
  <c r="S1495" i="16"/>
  <c r="S1511" i="16"/>
  <c r="S1527" i="16"/>
  <c r="T8" i="16"/>
  <c r="T24" i="16"/>
  <c r="T40" i="16"/>
  <c r="T60" i="16"/>
  <c r="T80" i="16"/>
  <c r="T108" i="16"/>
  <c r="T140" i="16"/>
  <c r="T172" i="16"/>
  <c r="T204" i="16"/>
  <c r="T236" i="16"/>
  <c r="T268" i="16"/>
  <c r="T300" i="16"/>
  <c r="T332" i="16"/>
  <c r="T364" i="16"/>
  <c r="T396" i="16"/>
  <c r="T428" i="16"/>
  <c r="T460" i="16"/>
  <c r="T492" i="16"/>
  <c r="T524" i="16"/>
  <c r="T556" i="16"/>
  <c r="T588" i="16"/>
  <c r="T620" i="16"/>
  <c r="T652" i="16"/>
  <c r="T684" i="16"/>
  <c r="T716" i="16"/>
  <c r="T748" i="16"/>
  <c r="T780" i="16"/>
  <c r="T812" i="16"/>
  <c r="T844" i="16"/>
  <c r="T876" i="16"/>
  <c r="T908" i="16"/>
  <c r="T940" i="16"/>
  <c r="T972" i="16"/>
  <c r="T1004" i="16"/>
  <c r="T1036" i="16"/>
  <c r="T1068" i="16"/>
  <c r="T1100" i="16"/>
  <c r="T1132" i="16"/>
  <c r="T1164" i="16"/>
  <c r="T1196" i="16"/>
  <c r="T1228" i="16"/>
  <c r="T1260" i="16"/>
  <c r="T1292" i="16"/>
  <c r="T1327" i="16"/>
  <c r="T1364" i="16"/>
  <c r="T1400" i="16"/>
  <c r="T1437" i="16"/>
  <c r="T1473" i="16"/>
  <c r="T1510" i="16"/>
  <c r="U11" i="16"/>
  <c r="U48" i="16"/>
  <c r="U85" i="16"/>
  <c r="U121" i="16"/>
  <c r="U158" i="16"/>
  <c r="U199" i="16"/>
  <c r="S4" i="16"/>
  <c r="S12" i="16"/>
  <c r="S20" i="16"/>
  <c r="S28" i="16"/>
  <c r="S36" i="16"/>
  <c r="S44" i="16"/>
  <c r="S52" i="16"/>
  <c r="S60" i="16"/>
  <c r="S68" i="16"/>
  <c r="S76" i="16"/>
  <c r="S84" i="16"/>
  <c r="S92" i="16"/>
  <c r="S100" i="16"/>
  <c r="S108" i="16"/>
  <c r="S116" i="16"/>
  <c r="S124" i="16"/>
  <c r="S132" i="16"/>
  <c r="S140" i="16"/>
  <c r="S148" i="16"/>
  <c r="S156" i="16"/>
  <c r="S164" i="16"/>
  <c r="S172" i="16"/>
  <c r="S180" i="16"/>
  <c r="S188" i="16"/>
  <c r="S196" i="16"/>
  <c r="S204" i="16"/>
  <c r="S212" i="16"/>
  <c r="S220" i="16"/>
  <c r="S228" i="16"/>
  <c r="S236" i="16"/>
  <c r="S244" i="16"/>
  <c r="S252" i="16"/>
  <c r="S260" i="16"/>
  <c r="S268" i="16"/>
  <c r="S276" i="16"/>
  <c r="S284" i="16"/>
  <c r="S292" i="16"/>
  <c r="S300" i="16"/>
  <c r="S308" i="16"/>
  <c r="S316" i="16"/>
  <c r="S324" i="16"/>
  <c r="S332" i="16"/>
  <c r="S340" i="16"/>
  <c r="S348" i="16"/>
  <c r="S356" i="16"/>
  <c r="S364" i="16"/>
  <c r="S372" i="16"/>
  <c r="S380" i="16"/>
  <c r="S388" i="16"/>
  <c r="S396" i="16"/>
  <c r="S404" i="16"/>
  <c r="S412" i="16"/>
  <c r="S420" i="16"/>
  <c r="S428" i="16"/>
  <c r="S436" i="16"/>
  <c r="S444" i="16"/>
  <c r="S452" i="16"/>
  <c r="S460" i="16"/>
  <c r="S468" i="16"/>
  <c r="S476" i="16"/>
  <c r="S484" i="16"/>
  <c r="S492" i="16"/>
  <c r="S500" i="16"/>
  <c r="S508" i="16"/>
  <c r="S516" i="16"/>
  <c r="S524" i="16"/>
  <c r="S532" i="16"/>
  <c r="S540" i="16"/>
  <c r="S548" i="16"/>
  <c r="S556" i="16"/>
  <c r="S564" i="16"/>
  <c r="S572" i="16"/>
  <c r="S580" i="16"/>
  <c r="S588" i="16"/>
  <c r="S596" i="16"/>
  <c r="S604" i="16"/>
  <c r="S612" i="16"/>
  <c r="S620" i="16"/>
  <c r="S628" i="16"/>
  <c r="S636" i="16"/>
  <c r="S644" i="16"/>
  <c r="S652" i="16"/>
  <c r="S660" i="16"/>
  <c r="S668" i="16"/>
  <c r="S676" i="16"/>
  <c r="S684" i="16"/>
  <c r="S692" i="16"/>
  <c r="S700" i="16"/>
  <c r="S708" i="16"/>
  <c r="S716" i="16"/>
  <c r="S724" i="16"/>
  <c r="S732" i="16"/>
  <c r="S740" i="16"/>
  <c r="S748" i="16"/>
  <c r="S756" i="16"/>
  <c r="S764" i="16"/>
  <c r="S772" i="16"/>
  <c r="S780" i="16"/>
  <c r="S788" i="16"/>
  <c r="S796" i="16"/>
  <c r="S804" i="16"/>
  <c r="S812" i="16"/>
  <c r="S820" i="16"/>
  <c r="S828" i="16"/>
  <c r="S836" i="16"/>
  <c r="S844" i="16"/>
  <c r="S852" i="16"/>
  <c r="S860" i="16"/>
  <c r="S868" i="16"/>
  <c r="S876" i="16"/>
  <c r="S884" i="16"/>
  <c r="S892" i="16"/>
  <c r="S900" i="16"/>
  <c r="S908" i="16"/>
  <c r="S916" i="16"/>
  <c r="S924" i="16"/>
  <c r="S932" i="16"/>
  <c r="S940" i="16"/>
  <c r="S948" i="16"/>
  <c r="S956" i="16"/>
  <c r="S964" i="16"/>
  <c r="S972" i="16"/>
  <c r="S980" i="16"/>
  <c r="S988" i="16"/>
  <c r="S996" i="16"/>
  <c r="S1004" i="16"/>
  <c r="S1012" i="16"/>
  <c r="S1020" i="16"/>
  <c r="S1028" i="16"/>
  <c r="S1036" i="16"/>
  <c r="S1044" i="16"/>
  <c r="S1053" i="16"/>
  <c r="S1062" i="16"/>
  <c r="S1071" i="16"/>
  <c r="S1080" i="16"/>
  <c r="S1089" i="16"/>
  <c r="S1098" i="16"/>
  <c r="S1107" i="16"/>
  <c r="S1117" i="16"/>
  <c r="S1127" i="16"/>
  <c r="S1137" i="16"/>
  <c r="S1149" i="16"/>
  <c r="S1159" i="16"/>
  <c r="S1169" i="16"/>
  <c r="S1181" i="16"/>
  <c r="S1191" i="16"/>
  <c r="S1201" i="16"/>
  <c r="S1213" i="16"/>
  <c r="S1223" i="16"/>
  <c r="S1233" i="16"/>
  <c r="S1245" i="16"/>
  <c r="S1255" i="16"/>
  <c r="S1265" i="16"/>
  <c r="S1277" i="16"/>
  <c r="S1289" i="16"/>
  <c r="S1302" i="16"/>
  <c r="S1315" i="16"/>
  <c r="S1327" i="16"/>
  <c r="S1341" i="16"/>
  <c r="S1353" i="16"/>
  <c r="S1366" i="16"/>
  <c r="S1379" i="16"/>
  <c r="S1391" i="16"/>
  <c r="S1405" i="16"/>
  <c r="S1417" i="16"/>
  <c r="S1430" i="16"/>
  <c r="S1443" i="16"/>
  <c r="S1455" i="16"/>
  <c r="S1469" i="16"/>
  <c r="S1481" i="16"/>
  <c r="S1497" i="16"/>
  <c r="S1513" i="16"/>
  <c r="S1529" i="16"/>
  <c r="T10" i="16"/>
  <c r="T26" i="16"/>
  <c r="T42" i="16"/>
  <c r="T62" i="16"/>
  <c r="T84" i="16"/>
  <c r="T112" i="16"/>
  <c r="T144" i="16"/>
  <c r="T176" i="16"/>
  <c r="T208" i="16"/>
  <c r="T240" i="16"/>
  <c r="T272" i="16"/>
  <c r="T304" i="16"/>
  <c r="T336" i="16"/>
  <c r="T368" i="16"/>
  <c r="T400" i="16"/>
  <c r="T432" i="16"/>
  <c r="T464" i="16"/>
  <c r="T496" i="16"/>
  <c r="T528" i="16"/>
  <c r="T560" i="16"/>
  <c r="T592" i="16"/>
  <c r="T624" i="16"/>
  <c r="T656" i="16"/>
  <c r="T688" i="16"/>
  <c r="T720" i="16"/>
  <c r="T752" i="16"/>
  <c r="T784" i="16"/>
  <c r="T816" i="16"/>
  <c r="T848" i="16"/>
  <c r="T880" i="16"/>
  <c r="T912" i="16"/>
  <c r="T944" i="16"/>
  <c r="T976" i="16"/>
  <c r="T1008" i="16"/>
  <c r="T1040" i="16"/>
  <c r="T1072" i="16"/>
  <c r="T1104" i="16"/>
  <c r="T1136" i="16"/>
  <c r="T1168" i="16"/>
  <c r="T1200" i="16"/>
  <c r="T1232" i="16"/>
  <c r="T1264" i="16"/>
  <c r="T1296" i="16"/>
  <c r="T1332" i="16"/>
  <c r="T1368" i="16"/>
  <c r="T1405" i="16"/>
  <c r="T1441" i="16"/>
  <c r="T1478" i="16"/>
  <c r="T1514" i="16"/>
  <c r="U16" i="16"/>
  <c r="U53" i="16"/>
  <c r="U89" i="16"/>
  <c r="U126" i="16"/>
  <c r="U162" i="16"/>
  <c r="U208" i="16"/>
  <c r="S1303" i="16"/>
  <c r="S1317" i="16"/>
  <c r="S1329" i="16"/>
  <c r="S1342" i="16"/>
  <c r="S1355" i="16"/>
  <c r="S1367" i="16"/>
  <c r="S1381" i="16"/>
  <c r="S1393" i="16"/>
  <c r="S1406" i="16"/>
  <c r="S1419" i="16"/>
  <c r="S1431" i="16"/>
  <c r="S1445" i="16"/>
  <c r="S1457" i="16"/>
  <c r="S1470" i="16"/>
  <c r="S1483" i="16"/>
  <c r="S1499" i="16"/>
  <c r="S1515" i="16"/>
  <c r="S1531" i="16"/>
  <c r="T12" i="16"/>
  <c r="T28" i="16"/>
  <c r="T44" i="16"/>
  <c r="T64" i="16"/>
  <c r="T86" i="16"/>
  <c r="T116" i="16"/>
  <c r="T148" i="16"/>
  <c r="T180" i="16"/>
  <c r="T212" i="16"/>
  <c r="T244" i="16"/>
  <c r="T276" i="16"/>
  <c r="T308" i="16"/>
  <c r="T340" i="16"/>
  <c r="T372" i="16"/>
  <c r="T404" i="16"/>
  <c r="T436" i="16"/>
  <c r="T468" i="16"/>
  <c r="T500" i="16"/>
  <c r="T532" i="16"/>
  <c r="T564" i="16"/>
  <c r="T596" i="16"/>
  <c r="T628" i="16"/>
  <c r="T660" i="16"/>
  <c r="T692" i="16"/>
  <c r="T724" i="16"/>
  <c r="T756" i="16"/>
  <c r="T788" i="16"/>
  <c r="T820" i="16"/>
  <c r="T852" i="16"/>
  <c r="T884" i="16"/>
  <c r="T916" i="16"/>
  <c r="T948" i="16"/>
  <c r="T980" i="16"/>
  <c r="T1012" i="16"/>
  <c r="T1044" i="16"/>
  <c r="T1076" i="16"/>
  <c r="T1108" i="16"/>
  <c r="T1140" i="16"/>
  <c r="T1172" i="16"/>
  <c r="T1204" i="16"/>
  <c r="T1236" i="16"/>
  <c r="T1268" i="16"/>
  <c r="T1300" i="16"/>
  <c r="T1336" i="16"/>
  <c r="T1373" i="16"/>
  <c r="T1409" i="16"/>
  <c r="T1446" i="16"/>
  <c r="T1482" i="16"/>
  <c r="T1519" i="16"/>
  <c r="U21" i="16"/>
  <c r="U57" i="16"/>
  <c r="U94" i="16"/>
  <c r="U130" i="16"/>
  <c r="U167" i="16"/>
  <c r="U217" i="16"/>
  <c r="S6" i="16"/>
  <c r="S14" i="16"/>
  <c r="S22" i="16"/>
  <c r="S30" i="16"/>
  <c r="S38" i="16"/>
  <c r="S46" i="16"/>
  <c r="S54" i="16"/>
  <c r="S62" i="16"/>
  <c r="S70" i="16"/>
  <c r="S78" i="16"/>
  <c r="S86" i="16"/>
  <c r="S94" i="16"/>
  <c r="S102" i="16"/>
  <c r="S110" i="16"/>
  <c r="S118" i="16"/>
  <c r="S126" i="16"/>
  <c r="S134" i="16"/>
  <c r="S142" i="16"/>
  <c r="S150" i="16"/>
  <c r="S158" i="16"/>
  <c r="S166" i="16"/>
  <c r="S174" i="16"/>
  <c r="S182" i="16"/>
  <c r="S190" i="16"/>
  <c r="S198" i="16"/>
  <c r="S206" i="16"/>
  <c r="S214" i="16"/>
  <c r="S222" i="16"/>
  <c r="S230" i="16"/>
  <c r="S238" i="16"/>
  <c r="S246" i="16"/>
  <c r="S254" i="16"/>
  <c r="S262" i="16"/>
  <c r="S270" i="16"/>
  <c r="S278" i="16"/>
  <c r="S286" i="16"/>
  <c r="S294" i="16"/>
  <c r="S302" i="16"/>
  <c r="S310" i="16"/>
  <c r="S318" i="16"/>
  <c r="S326" i="16"/>
  <c r="S334" i="16"/>
  <c r="S342" i="16"/>
  <c r="S350" i="16"/>
  <c r="S358" i="16"/>
  <c r="S366" i="16"/>
  <c r="S374" i="16"/>
  <c r="S382" i="16"/>
  <c r="S390" i="16"/>
  <c r="S398" i="16"/>
  <c r="S406" i="16"/>
  <c r="S414" i="16"/>
  <c r="S422" i="16"/>
  <c r="S430" i="16"/>
  <c r="S438" i="16"/>
  <c r="S446" i="16"/>
  <c r="S454" i="16"/>
  <c r="S462" i="16"/>
  <c r="S470" i="16"/>
  <c r="S478" i="16"/>
  <c r="S486" i="16"/>
  <c r="S494" i="16"/>
  <c r="S502" i="16"/>
  <c r="S510" i="16"/>
  <c r="S518" i="16"/>
  <c r="S526" i="16"/>
  <c r="S534" i="16"/>
  <c r="S542" i="16"/>
  <c r="S550" i="16"/>
  <c r="S558" i="16"/>
  <c r="S566" i="16"/>
  <c r="S574" i="16"/>
  <c r="S582" i="16"/>
  <c r="S590" i="16"/>
  <c r="S598" i="16"/>
  <c r="S606" i="16"/>
  <c r="S614" i="16"/>
  <c r="S622" i="16"/>
  <c r="S630" i="16"/>
  <c r="S638" i="16"/>
  <c r="S646" i="16"/>
  <c r="S654" i="16"/>
  <c r="S662" i="16"/>
  <c r="S670" i="16"/>
  <c r="S678" i="16"/>
  <c r="S686" i="16"/>
  <c r="S694" i="16"/>
  <c r="S702" i="16"/>
  <c r="S710" i="16"/>
  <c r="S718" i="16"/>
  <c r="S726" i="16"/>
  <c r="S734" i="16"/>
  <c r="S742" i="16"/>
  <c r="S750" i="16"/>
  <c r="S758" i="16"/>
  <c r="S766" i="16"/>
  <c r="S774" i="16"/>
  <c r="S782" i="16"/>
  <c r="S790" i="16"/>
  <c r="S798" i="16"/>
  <c r="S806" i="16"/>
  <c r="S814" i="16"/>
  <c r="S822" i="16"/>
  <c r="S830" i="16"/>
  <c r="S838" i="16"/>
  <c r="S846" i="16"/>
  <c r="S854" i="16"/>
  <c r="S862" i="16"/>
  <c r="S870" i="16"/>
  <c r="S878" i="16"/>
  <c r="S886" i="16"/>
  <c r="S894" i="16"/>
  <c r="S902" i="16"/>
  <c r="S910" i="16"/>
  <c r="S918" i="16"/>
  <c r="S926" i="16"/>
  <c r="S934" i="16"/>
  <c r="S942" i="16"/>
  <c r="S950" i="16"/>
  <c r="S958" i="16"/>
  <c r="S966" i="16"/>
  <c r="S974" i="16"/>
  <c r="S982" i="16"/>
  <c r="S990" i="16"/>
  <c r="S998" i="16"/>
  <c r="S1006" i="16"/>
  <c r="S1014" i="16"/>
  <c r="S1022" i="16"/>
  <c r="S1030" i="16"/>
  <c r="S1038" i="16"/>
  <c r="S1046" i="16"/>
  <c r="S1055" i="16"/>
  <c r="S1064" i="16"/>
  <c r="S1073" i="16"/>
  <c r="S1082" i="16"/>
  <c r="S1091" i="16"/>
  <c r="S1101" i="16"/>
  <c r="S1110" i="16"/>
  <c r="S1119" i="16"/>
  <c r="S1129" i="16"/>
  <c r="S1141" i="16"/>
  <c r="S1151" i="16"/>
  <c r="S1161" i="16"/>
  <c r="S1173" i="16"/>
  <c r="S1183" i="16"/>
  <c r="S1193" i="16"/>
  <c r="S1205" i="16"/>
  <c r="S1215" i="16"/>
  <c r="S1225" i="16"/>
  <c r="S1237" i="16"/>
  <c r="S1247" i="16"/>
  <c r="S1257" i="16"/>
  <c r="S1269" i="16"/>
  <c r="S1279" i="16"/>
  <c r="S1293" i="16"/>
  <c r="S1305" i="16"/>
  <c r="S1318" i="16"/>
  <c r="S1331" i="16"/>
  <c r="S1343" i="16"/>
  <c r="S1357" i="16"/>
  <c r="S1369" i="16"/>
  <c r="S1382" i="16"/>
  <c r="S1395" i="16"/>
  <c r="S1407" i="16"/>
  <c r="S1421" i="16"/>
  <c r="S1433" i="16"/>
  <c r="S1446" i="16"/>
  <c r="S1459" i="16"/>
  <c r="S1471" i="16"/>
  <c r="S1485" i="16"/>
  <c r="S1501" i="16"/>
  <c r="S1517" i="16"/>
  <c r="S1533" i="16"/>
  <c r="T14" i="16"/>
  <c r="T30" i="16"/>
  <c r="T46" i="16"/>
  <c r="T68" i="16"/>
  <c r="T88" i="16"/>
  <c r="T120" i="16"/>
  <c r="T152" i="16"/>
  <c r="T184" i="16"/>
  <c r="T216" i="16"/>
  <c r="T248" i="16"/>
  <c r="T280" i="16"/>
  <c r="T312" i="16"/>
  <c r="T344" i="16"/>
  <c r="T376" i="16"/>
  <c r="T408" i="16"/>
  <c r="T440" i="16"/>
  <c r="T472" i="16"/>
  <c r="T504" i="16"/>
  <c r="T536" i="16"/>
  <c r="T568" i="16"/>
  <c r="T600" i="16"/>
  <c r="T632" i="16"/>
  <c r="T664" i="16"/>
  <c r="T696" i="16"/>
  <c r="T728" i="16"/>
  <c r="T760" i="16"/>
  <c r="T792" i="16"/>
  <c r="T824" i="16"/>
  <c r="T856" i="16"/>
  <c r="T888" i="16"/>
  <c r="T920" i="16"/>
  <c r="T952" i="16"/>
  <c r="T984" i="16"/>
  <c r="T1016" i="16"/>
  <c r="T1048" i="16"/>
  <c r="T1080" i="16"/>
  <c r="T1112" i="16"/>
  <c r="T1144" i="16"/>
  <c r="T1176" i="16"/>
  <c r="T1208" i="16"/>
  <c r="T1240" i="16"/>
  <c r="T1272" i="16"/>
  <c r="T1304" i="16"/>
  <c r="T1341" i="16"/>
  <c r="T1377" i="16"/>
  <c r="T1414" i="16"/>
  <c r="T1450" i="16"/>
  <c r="T1487" i="16"/>
  <c r="T1524" i="16"/>
  <c r="U25" i="16"/>
  <c r="U62" i="16"/>
  <c r="U98" i="16"/>
  <c r="U135" i="16"/>
  <c r="U171" i="16"/>
  <c r="S7" i="16"/>
  <c r="S15" i="16"/>
  <c r="S23" i="16"/>
  <c r="S31" i="16"/>
  <c r="S39" i="16"/>
  <c r="S47" i="16"/>
  <c r="S55" i="16"/>
  <c r="S63" i="16"/>
  <c r="S71" i="16"/>
  <c r="S79" i="16"/>
  <c r="S87" i="16"/>
  <c r="S95" i="16"/>
  <c r="S103" i="16"/>
  <c r="S111" i="16"/>
  <c r="S119" i="16"/>
  <c r="S127" i="16"/>
  <c r="S135" i="16"/>
  <c r="S143" i="16"/>
  <c r="S151" i="16"/>
  <c r="S159" i="16"/>
  <c r="S167" i="16"/>
  <c r="S175" i="16"/>
  <c r="S183" i="16"/>
  <c r="S191" i="16"/>
  <c r="S199" i="16"/>
  <c r="S207" i="16"/>
  <c r="S215" i="16"/>
  <c r="S223" i="16"/>
  <c r="S231" i="16"/>
  <c r="S239" i="16"/>
  <c r="S247" i="16"/>
  <c r="S255" i="16"/>
  <c r="S263" i="16"/>
  <c r="S271" i="16"/>
  <c r="S279" i="16"/>
  <c r="S287" i="16"/>
  <c r="S295" i="16"/>
  <c r="S303" i="16"/>
  <c r="S311" i="16"/>
  <c r="S319" i="16"/>
  <c r="S327" i="16"/>
  <c r="S335" i="16"/>
  <c r="S343" i="16"/>
  <c r="S351" i="16"/>
  <c r="S359" i="16"/>
  <c r="S367" i="16"/>
  <c r="S375" i="16"/>
  <c r="S383" i="16"/>
  <c r="S391" i="16"/>
  <c r="S399" i="16"/>
  <c r="S407" i="16"/>
  <c r="S415" i="16"/>
  <c r="S423" i="16"/>
  <c r="S431" i="16"/>
  <c r="S439" i="16"/>
  <c r="S447" i="16"/>
  <c r="S455" i="16"/>
  <c r="S463" i="16"/>
  <c r="S471" i="16"/>
  <c r="S479" i="16"/>
  <c r="S487" i="16"/>
  <c r="S495" i="16"/>
  <c r="S503" i="16"/>
  <c r="S511" i="16"/>
  <c r="S519" i="16"/>
  <c r="S527" i="16"/>
  <c r="S535" i="16"/>
  <c r="S543" i="16"/>
  <c r="S551" i="16"/>
  <c r="S559" i="16"/>
  <c r="S567" i="16"/>
  <c r="S575" i="16"/>
  <c r="S583" i="16"/>
  <c r="S591" i="16"/>
  <c r="S599" i="16"/>
  <c r="S607" i="16"/>
  <c r="S615" i="16"/>
  <c r="S623" i="16"/>
  <c r="S631" i="16"/>
  <c r="S639" i="16"/>
  <c r="S647" i="16"/>
  <c r="S655" i="16"/>
  <c r="S663" i="16"/>
  <c r="S671" i="16"/>
  <c r="S679" i="16"/>
  <c r="S687" i="16"/>
  <c r="S695" i="16"/>
  <c r="S703" i="16"/>
  <c r="S711" i="16"/>
  <c r="S719" i="16"/>
  <c r="S727" i="16"/>
  <c r="S735" i="16"/>
  <c r="S743" i="16"/>
  <c r="S751" i="16"/>
  <c r="S759" i="16"/>
  <c r="S767" i="16"/>
  <c r="S775" i="16"/>
  <c r="S783" i="16"/>
  <c r="S791" i="16"/>
  <c r="S799" i="16"/>
  <c r="S807" i="16"/>
  <c r="S815" i="16"/>
  <c r="S823" i="16"/>
  <c r="S831" i="16"/>
  <c r="S839" i="16"/>
  <c r="S847" i="16"/>
  <c r="S855" i="16"/>
  <c r="S863" i="16"/>
  <c r="S871" i="16"/>
  <c r="S879" i="16"/>
  <c r="S887" i="16"/>
  <c r="S895" i="16"/>
  <c r="S903" i="16"/>
  <c r="S911" i="16"/>
  <c r="S919" i="16"/>
  <c r="S927" i="16"/>
  <c r="S935" i="16"/>
  <c r="S943" i="16"/>
  <c r="S951" i="16"/>
  <c r="S959" i="16"/>
  <c r="S967" i="16"/>
  <c r="S975" i="16"/>
  <c r="S983" i="16"/>
  <c r="S991" i="16"/>
  <c r="S999" i="16"/>
  <c r="S1007" i="16"/>
  <c r="S1015" i="16"/>
  <c r="S1023" i="16"/>
  <c r="S1031" i="16"/>
  <c r="S1039" i="16"/>
  <c r="S1047" i="16"/>
  <c r="S1056" i="16"/>
  <c r="S1065" i="16"/>
  <c r="S1074" i="16"/>
  <c r="S1083" i="16"/>
  <c r="S1093" i="16"/>
  <c r="S1102" i="16"/>
  <c r="S1111" i="16"/>
  <c r="S1120" i="16"/>
  <c r="S1131" i="16"/>
  <c r="S1142" i="16"/>
  <c r="S1152" i="16"/>
  <c r="S1163" i="16"/>
  <c r="S1174" i="16"/>
  <c r="S1184" i="16"/>
  <c r="S1195" i="16"/>
  <c r="S1206" i="16"/>
  <c r="S1216" i="16"/>
  <c r="S1227" i="16"/>
  <c r="S1238" i="16"/>
  <c r="S1248" i="16"/>
  <c r="S1259" i="16"/>
  <c r="S1270" i="16"/>
  <c r="S1281" i="16"/>
  <c r="S1294" i="16"/>
  <c r="S1307" i="16"/>
  <c r="S1319" i="16"/>
  <c r="S1333" i="16"/>
  <c r="S1345" i="16"/>
  <c r="S1358" i="16"/>
  <c r="S1371" i="16"/>
  <c r="S1383" i="16"/>
  <c r="S1397" i="16"/>
  <c r="S1409" i="16"/>
  <c r="S1422" i="16"/>
  <c r="S1435" i="16"/>
  <c r="S1447" i="16"/>
  <c r="S1461" i="16"/>
  <c r="S1473" i="16"/>
  <c r="S1487" i="16"/>
  <c r="S1503" i="16"/>
  <c r="S1519" i="16"/>
  <c r="T16" i="16"/>
  <c r="T32" i="16"/>
  <c r="T48" i="16"/>
  <c r="T70" i="16"/>
  <c r="T92" i="16"/>
  <c r="T124" i="16"/>
  <c r="T156" i="16"/>
  <c r="T188" i="16"/>
  <c r="T220" i="16"/>
  <c r="T252" i="16"/>
  <c r="T284" i="16"/>
  <c r="T316" i="16"/>
  <c r="T348" i="16"/>
  <c r="T380" i="16"/>
  <c r="T412" i="16"/>
  <c r="T444" i="16"/>
  <c r="T476" i="16"/>
  <c r="T508" i="16"/>
  <c r="T540" i="16"/>
  <c r="T572" i="16"/>
  <c r="T604" i="16"/>
  <c r="T636" i="16"/>
  <c r="T668" i="16"/>
  <c r="T700" i="16"/>
  <c r="T732" i="16"/>
  <c r="T764" i="16"/>
  <c r="T796" i="16"/>
  <c r="T828" i="16"/>
  <c r="T860" i="16"/>
  <c r="T892" i="16"/>
  <c r="T924" i="16"/>
  <c r="T956" i="16"/>
  <c r="T988" i="16"/>
  <c r="T1020" i="16"/>
  <c r="T1052" i="16"/>
  <c r="T1084" i="16"/>
  <c r="T1116" i="16"/>
  <c r="T1148" i="16"/>
  <c r="T1180" i="16"/>
  <c r="T1212" i="16"/>
  <c r="T1244" i="16"/>
  <c r="T1276" i="16"/>
  <c r="T1309" i="16"/>
  <c r="T1345" i="16"/>
  <c r="T1382" i="16"/>
  <c r="T1418" i="16"/>
  <c r="T1455" i="16"/>
  <c r="T1492" i="16"/>
  <c r="U30" i="16"/>
  <c r="U66" i="16"/>
  <c r="U103" i="16"/>
  <c r="U139" i="16"/>
  <c r="U176" i="16"/>
  <c r="T1531" i="16"/>
  <c r="T1523" i="16"/>
  <c r="T1515" i="16"/>
  <c r="T1507" i="16"/>
  <c r="T1499" i="16"/>
  <c r="T1491" i="16"/>
  <c r="T1483" i="16"/>
  <c r="T1475" i="16"/>
  <c r="T1467" i="16"/>
  <c r="T1459" i="16"/>
  <c r="T1451" i="16"/>
  <c r="T1443" i="16"/>
  <c r="T1435" i="16"/>
  <c r="T1427" i="16"/>
  <c r="T1419" i="16"/>
  <c r="T1411" i="16"/>
  <c r="T1403" i="16"/>
  <c r="T1395" i="16"/>
  <c r="T1387" i="16"/>
  <c r="T1379" i="16"/>
  <c r="T1371" i="16"/>
  <c r="T1363" i="16"/>
  <c r="T1355" i="16"/>
  <c r="T1347" i="16"/>
  <c r="T1339" i="16"/>
  <c r="T1331" i="16"/>
  <c r="T1323" i="16"/>
  <c r="T1315" i="16"/>
  <c r="T1307" i="16"/>
  <c r="T1529" i="16"/>
  <c r="T1520" i="16"/>
  <c r="T1511" i="16"/>
  <c r="T1502" i="16"/>
  <c r="T1493" i="16"/>
  <c r="T1484" i="16"/>
  <c r="T1474" i="16"/>
  <c r="T1465" i="16"/>
  <c r="T1456" i="16"/>
  <c r="T1447" i="16"/>
  <c r="T1438" i="16"/>
  <c r="T1429" i="16"/>
  <c r="T1420" i="16"/>
  <c r="T1410" i="16"/>
  <c r="T1401" i="16"/>
  <c r="T1392" i="16"/>
  <c r="T1383" i="16"/>
  <c r="T1374" i="16"/>
  <c r="T1365" i="16"/>
  <c r="T1356" i="16"/>
  <c r="T1346" i="16"/>
  <c r="T1337" i="16"/>
  <c r="T1328" i="16"/>
  <c r="T1319" i="16"/>
  <c r="T1310" i="16"/>
  <c r="T1301" i="16"/>
  <c r="T1293" i="16"/>
  <c r="T1285" i="16"/>
  <c r="T1277" i="16"/>
  <c r="T1269" i="16"/>
  <c r="T1261" i="16"/>
  <c r="T1253" i="16"/>
  <c r="T1245" i="16"/>
  <c r="T1237" i="16"/>
  <c r="T1229" i="16"/>
  <c r="T1221" i="16"/>
  <c r="T1213" i="16"/>
  <c r="T1205" i="16"/>
  <c r="T1197" i="16"/>
  <c r="T1189" i="16"/>
  <c r="T1181" i="16"/>
  <c r="T1173" i="16"/>
  <c r="T1165" i="16"/>
  <c r="T1157" i="16"/>
  <c r="T1149" i="16"/>
  <c r="T1141" i="16"/>
  <c r="T1133" i="16"/>
  <c r="T1125" i="16"/>
  <c r="T1117" i="16"/>
  <c r="T1109" i="16"/>
  <c r="T1101" i="16"/>
  <c r="T1093" i="16"/>
  <c r="T1085" i="16"/>
  <c r="T1077" i="16"/>
  <c r="T1069" i="16"/>
  <c r="T1061" i="16"/>
  <c r="T1053" i="16"/>
  <c r="T1045" i="16"/>
  <c r="T1037" i="16"/>
  <c r="T1029" i="16"/>
  <c r="T1021" i="16"/>
  <c r="T1013" i="16"/>
  <c r="T1005" i="16"/>
  <c r="T997" i="16"/>
  <c r="T989" i="16"/>
  <c r="T981" i="16"/>
  <c r="T973" i="16"/>
  <c r="T965" i="16"/>
  <c r="T957" i="16"/>
  <c r="T949" i="16"/>
  <c r="T941" i="16"/>
  <c r="T933" i="16"/>
  <c r="T925" i="16"/>
  <c r="T917" i="16"/>
  <c r="T909" i="16"/>
  <c r="T901" i="16"/>
  <c r="T893" i="16"/>
  <c r="T885" i="16"/>
  <c r="T877" i="16"/>
  <c r="T869" i="16"/>
  <c r="T861" i="16"/>
  <c r="T853" i="16"/>
  <c r="T845" i="16"/>
  <c r="T837" i="16"/>
  <c r="T829" i="16"/>
  <c r="T821" i="16"/>
  <c r="T813" i="16"/>
  <c r="T805" i="16"/>
  <c r="T797" i="16"/>
  <c r="T789" i="16"/>
  <c r="T781" i="16"/>
  <c r="T773" i="16"/>
  <c r="T765" i="16"/>
  <c r="T757" i="16"/>
  <c r="T749" i="16"/>
  <c r="T741" i="16"/>
  <c r="T733" i="16"/>
  <c r="T725" i="16"/>
  <c r="T717" i="16"/>
  <c r="T709" i="16"/>
  <c r="T701" i="16"/>
  <c r="T693" i="16"/>
  <c r="T685" i="16"/>
  <c r="T677" i="16"/>
  <c r="T669" i="16"/>
  <c r="T661" i="16"/>
  <c r="T653" i="16"/>
  <c r="T645" i="16"/>
  <c r="T637" i="16"/>
  <c r="T629" i="16"/>
  <c r="T621" i="16"/>
  <c r="T613" i="16"/>
  <c r="T605" i="16"/>
  <c r="T597" i="16"/>
  <c r="T589" i="16"/>
  <c r="T581" i="16"/>
  <c r="T573" i="16"/>
  <c r="T565" i="16"/>
  <c r="T557" i="16"/>
  <c r="T549" i="16"/>
  <c r="T541" i="16"/>
  <c r="T533" i="16"/>
  <c r="T525" i="16"/>
  <c r="T517" i="16"/>
  <c r="T509" i="16"/>
  <c r="T501" i="16"/>
  <c r="T493" i="16"/>
  <c r="T485" i="16"/>
  <c r="T477" i="16"/>
  <c r="T469" i="16"/>
  <c r="T461" i="16"/>
  <c r="T453" i="16"/>
  <c r="T445" i="16"/>
  <c r="T437" i="16"/>
  <c r="T429" i="16"/>
  <c r="T421" i="16"/>
  <c r="T413" i="16"/>
  <c r="T405" i="16"/>
  <c r="T397" i="16"/>
  <c r="T389" i="16"/>
  <c r="T381" i="16"/>
  <c r="T373" i="16"/>
  <c r="T365" i="16"/>
  <c r="T357" i="16"/>
  <c r="T349" i="16"/>
  <c r="T341" i="16"/>
  <c r="T333" i="16"/>
  <c r="T325" i="16"/>
  <c r="T317" i="16"/>
  <c r="T309" i="16"/>
  <c r="T301" i="16"/>
  <c r="T293" i="16"/>
  <c r="T285" i="16"/>
  <c r="T277" i="16"/>
  <c r="T269" i="16"/>
  <c r="T261" i="16"/>
  <c r="T253" i="16"/>
  <c r="T245" i="16"/>
  <c r="T237" i="16"/>
  <c r="T229" i="16"/>
  <c r="T221" i="16"/>
  <c r="T213" i="16"/>
  <c r="T205" i="16"/>
  <c r="T197" i="16"/>
  <c r="T189" i="16"/>
  <c r="T181" i="16"/>
  <c r="T173" i="16"/>
  <c r="T165" i="16"/>
  <c r="T157" i="16"/>
  <c r="T149" i="16"/>
  <c r="T141" i="16"/>
  <c r="T133" i="16"/>
  <c r="T125" i="16"/>
  <c r="T117" i="16"/>
  <c r="T109" i="16"/>
  <c r="T101" i="16"/>
  <c r="T93" i="16"/>
  <c r="T85" i="16"/>
  <c r="T77" i="16"/>
  <c r="T69" i="16"/>
  <c r="T61" i="16"/>
  <c r="T53" i="16"/>
  <c r="T45" i="16"/>
  <c r="T37" i="16"/>
  <c r="T29" i="16"/>
  <c r="T21" i="16"/>
  <c r="T13" i="16"/>
  <c r="T5" i="16"/>
  <c r="T1527" i="16"/>
  <c r="T1518" i="16"/>
  <c r="T1509" i="16"/>
  <c r="T1500" i="16"/>
  <c r="T1490" i="16"/>
  <c r="T1481" i="16"/>
  <c r="T1472" i="16"/>
  <c r="T1463" i="16"/>
  <c r="T1454" i="16"/>
  <c r="T1445" i="16"/>
  <c r="T1436" i="16"/>
  <c r="T1426" i="16"/>
  <c r="T1417" i="16"/>
  <c r="T1408" i="16"/>
  <c r="T1399" i="16"/>
  <c r="T1390" i="16"/>
  <c r="T1381" i="16"/>
  <c r="T1372" i="16"/>
  <c r="T1362" i="16"/>
  <c r="T1353" i="16"/>
  <c r="T1344" i="16"/>
  <c r="T1335" i="16"/>
  <c r="T1326" i="16"/>
  <c r="T1317" i="16"/>
  <c r="T1308" i="16"/>
  <c r="T1299" i="16"/>
  <c r="T1291" i="16"/>
  <c r="T1283" i="16"/>
  <c r="T1275" i="16"/>
  <c r="T1267" i="16"/>
  <c r="T1259" i="16"/>
  <c r="T1251" i="16"/>
  <c r="T1243" i="16"/>
  <c r="T1235" i="16"/>
  <c r="T1227" i="16"/>
  <c r="T1219" i="16"/>
  <c r="T1211" i="16"/>
  <c r="T1203" i="16"/>
  <c r="T1195" i="16"/>
  <c r="T1187" i="16"/>
  <c r="T1179" i="16"/>
  <c r="T1171" i="16"/>
  <c r="T1163" i="16"/>
  <c r="T1155" i="16"/>
  <c r="T1147" i="16"/>
  <c r="T1139" i="16"/>
  <c r="T1131" i="16"/>
  <c r="T1123" i="16"/>
  <c r="T1115" i="16"/>
  <c r="T1107" i="16"/>
  <c r="T1099" i="16"/>
  <c r="T1091" i="16"/>
  <c r="T1083" i="16"/>
  <c r="T1075" i="16"/>
  <c r="T1067" i="16"/>
  <c r="T1059" i="16"/>
  <c r="T1051" i="16"/>
  <c r="T1043" i="16"/>
  <c r="T1035" i="16"/>
  <c r="T1027" i="16"/>
  <c r="T1019" i="16"/>
  <c r="T1011" i="16"/>
  <c r="T1003" i="16"/>
  <c r="T995" i="16"/>
  <c r="T987" i="16"/>
  <c r="T979" i="16"/>
  <c r="T971" i="16"/>
  <c r="T963" i="16"/>
  <c r="T955" i="16"/>
  <c r="T947" i="16"/>
  <c r="T939" i="16"/>
  <c r="T931" i="16"/>
  <c r="T923" i="16"/>
  <c r="T915" i="16"/>
  <c r="T907" i="16"/>
  <c r="T899" i="16"/>
  <c r="T891" i="16"/>
  <c r="T883" i="16"/>
  <c r="T875" i="16"/>
  <c r="T867" i="16"/>
  <c r="T859" i="16"/>
  <c r="T851" i="16"/>
  <c r="T843" i="16"/>
  <c r="T835" i="16"/>
  <c r="T827" i="16"/>
  <c r="T819" i="16"/>
  <c r="T811" i="16"/>
  <c r="T803" i="16"/>
  <c r="T795" i="16"/>
  <c r="T787" i="16"/>
  <c r="T779" i="16"/>
  <c r="T771" i="16"/>
  <c r="T763" i="16"/>
  <c r="T755" i="16"/>
  <c r="T747" i="16"/>
  <c r="T739" i="16"/>
  <c r="T731" i="16"/>
  <c r="T723" i="16"/>
  <c r="T715" i="16"/>
  <c r="T707" i="16"/>
  <c r="T699" i="16"/>
  <c r="T691" i="16"/>
  <c r="T683" i="16"/>
  <c r="T675" i="16"/>
  <c r="T667" i="16"/>
  <c r="T659" i="16"/>
  <c r="T651" i="16"/>
  <c r="T643" i="16"/>
  <c r="T635" i="16"/>
  <c r="T627" i="16"/>
  <c r="T619" i="16"/>
  <c r="T611" i="16"/>
  <c r="T603" i="16"/>
  <c r="T595" i="16"/>
  <c r="T587" i="16"/>
  <c r="T579" i="16"/>
  <c r="T571" i="16"/>
  <c r="T563" i="16"/>
  <c r="T555" i="16"/>
  <c r="T547" i="16"/>
  <c r="T539" i="16"/>
  <c r="T531" i="16"/>
  <c r="T523" i="16"/>
  <c r="T515" i="16"/>
  <c r="T507" i="16"/>
  <c r="T499" i="16"/>
  <c r="T491" i="16"/>
  <c r="T483" i="16"/>
  <c r="T475" i="16"/>
  <c r="T467" i="16"/>
  <c r="T459" i="16"/>
  <c r="T451" i="16"/>
  <c r="T443" i="16"/>
  <c r="T435" i="16"/>
  <c r="T427" i="16"/>
  <c r="T419" i="16"/>
  <c r="T411" i="16"/>
  <c r="T403" i="16"/>
  <c r="T395" i="16"/>
  <c r="T387" i="16"/>
  <c r="T379" i="16"/>
  <c r="T371" i="16"/>
  <c r="T363" i="16"/>
  <c r="T355" i="16"/>
  <c r="T347" i="16"/>
  <c r="T339" i="16"/>
  <c r="T331" i="16"/>
  <c r="T323" i="16"/>
  <c r="T315" i="16"/>
  <c r="T307" i="16"/>
  <c r="T299" i="16"/>
  <c r="T291" i="16"/>
  <c r="T283" i="16"/>
  <c r="T275" i="16"/>
  <c r="T267" i="16"/>
  <c r="T259" i="16"/>
  <c r="T251" i="16"/>
  <c r="T243" i="16"/>
  <c r="T235" i="16"/>
  <c r="T227" i="16"/>
  <c r="T219" i="16"/>
  <c r="T211" i="16"/>
  <c r="T203" i="16"/>
  <c r="T195" i="16"/>
  <c r="T187" i="16"/>
  <c r="T179" i="16"/>
  <c r="T171" i="16"/>
  <c r="T163" i="16"/>
  <c r="T155" i="16"/>
  <c r="T147" i="16"/>
  <c r="T139" i="16"/>
  <c r="T131" i="16"/>
  <c r="T123" i="16"/>
  <c r="T115" i="16"/>
  <c r="T107" i="16"/>
  <c r="T99" i="16"/>
  <c r="T91" i="16"/>
  <c r="T83" i="16"/>
  <c r="T75" i="16"/>
  <c r="T67" i="16"/>
  <c r="T59" i="16"/>
  <c r="T51" i="16"/>
  <c r="T43" i="16"/>
  <c r="T35" i="16"/>
  <c r="T27" i="16"/>
  <c r="T19" i="16"/>
  <c r="T11" i="16"/>
  <c r="T3" i="16"/>
  <c r="T1535" i="16"/>
  <c r="T1526" i="16"/>
  <c r="T1517" i="16"/>
  <c r="T1508" i="16"/>
  <c r="T1498" i="16"/>
  <c r="T1489" i="16"/>
  <c r="T1480" i="16"/>
  <c r="T1471" i="16"/>
  <c r="T1462" i="16"/>
  <c r="T1453" i="16"/>
  <c r="T1444" i="16"/>
  <c r="T1434" i="16"/>
  <c r="T1425" i="16"/>
  <c r="T1416" i="16"/>
  <c r="T1407" i="16"/>
  <c r="T1398" i="16"/>
  <c r="T1389" i="16"/>
  <c r="T1380" i="16"/>
  <c r="T1370" i="16"/>
  <c r="T1361" i="16"/>
  <c r="T1352" i="16"/>
  <c r="T1343" i="16"/>
  <c r="T1334" i="16"/>
  <c r="T1325" i="16"/>
  <c r="T1316" i="16"/>
  <c r="T1306" i="16"/>
  <c r="T1298" i="16"/>
  <c r="T1290" i="16"/>
  <c r="T1282" i="16"/>
  <c r="T1274" i="16"/>
  <c r="T1266" i="16"/>
  <c r="T1258" i="16"/>
  <c r="T1250" i="16"/>
  <c r="T1242" i="16"/>
  <c r="T1234" i="16"/>
  <c r="T1226" i="16"/>
  <c r="T1218" i="16"/>
  <c r="T1210" i="16"/>
  <c r="T1202" i="16"/>
  <c r="T1194" i="16"/>
  <c r="T1186" i="16"/>
  <c r="T1178" i="16"/>
  <c r="T1170" i="16"/>
  <c r="T1162" i="16"/>
  <c r="T1154" i="16"/>
  <c r="T1146" i="16"/>
  <c r="T1138" i="16"/>
  <c r="T1130" i="16"/>
  <c r="T1122" i="16"/>
  <c r="T1114" i="16"/>
  <c r="T1106" i="16"/>
  <c r="T1098" i="16"/>
  <c r="T1090" i="16"/>
  <c r="T1082" i="16"/>
  <c r="T1074" i="16"/>
  <c r="T1066" i="16"/>
  <c r="T1058" i="16"/>
  <c r="T1050" i="16"/>
  <c r="T1042" i="16"/>
  <c r="T1034" i="16"/>
  <c r="T1026" i="16"/>
  <c r="T1018" i="16"/>
  <c r="T1010" i="16"/>
  <c r="T1002" i="16"/>
  <c r="T994" i="16"/>
  <c r="T986" i="16"/>
  <c r="T978" i="16"/>
  <c r="T970" i="16"/>
  <c r="T962" i="16"/>
  <c r="T954" i="16"/>
  <c r="T946" i="16"/>
  <c r="T938" i="16"/>
  <c r="T930" i="16"/>
  <c r="T922" i="16"/>
  <c r="T914" i="16"/>
  <c r="T906" i="16"/>
  <c r="T898" i="16"/>
  <c r="T890" i="16"/>
  <c r="T882" i="16"/>
  <c r="T874" i="16"/>
  <c r="T866" i="16"/>
  <c r="T858" i="16"/>
  <c r="T850" i="16"/>
  <c r="T842" i="16"/>
  <c r="T834" i="16"/>
  <c r="T826" i="16"/>
  <c r="T818" i="16"/>
  <c r="T810" i="16"/>
  <c r="T802" i="16"/>
  <c r="T794" i="16"/>
  <c r="T786" i="16"/>
  <c r="T778" i="16"/>
  <c r="T770" i="16"/>
  <c r="T762" i="16"/>
  <c r="T754" i="16"/>
  <c r="T746" i="16"/>
  <c r="T738" i="16"/>
  <c r="T730" i="16"/>
  <c r="T722" i="16"/>
  <c r="T714" i="16"/>
  <c r="T706" i="16"/>
  <c r="T698" i="16"/>
  <c r="T690" i="16"/>
  <c r="T682" i="16"/>
  <c r="T674" i="16"/>
  <c r="T666" i="16"/>
  <c r="T658" i="16"/>
  <c r="T650" i="16"/>
  <c r="T642" i="16"/>
  <c r="T634" i="16"/>
  <c r="T626" i="16"/>
  <c r="T618" i="16"/>
  <c r="T610" i="16"/>
  <c r="T602" i="16"/>
  <c r="T594" i="16"/>
  <c r="T586" i="16"/>
  <c r="T578" i="16"/>
  <c r="T570" i="16"/>
  <c r="T562" i="16"/>
  <c r="T554" i="16"/>
  <c r="T546" i="16"/>
  <c r="T538" i="16"/>
  <c r="T530" i="16"/>
  <c r="T522" i="16"/>
  <c r="T514" i="16"/>
  <c r="T506" i="16"/>
  <c r="T498" i="16"/>
  <c r="T490" i="16"/>
  <c r="T482" i="16"/>
  <c r="T474" i="16"/>
  <c r="T466" i="16"/>
  <c r="T458" i="16"/>
  <c r="T450" i="16"/>
  <c r="T442" i="16"/>
  <c r="T434" i="16"/>
  <c r="T426" i="16"/>
  <c r="T418" i="16"/>
  <c r="T410" i="16"/>
  <c r="T402" i="16"/>
  <c r="T394" i="16"/>
  <c r="T386" i="16"/>
  <c r="T378" i="16"/>
  <c r="T370" i="16"/>
  <c r="T362" i="16"/>
  <c r="T354" i="16"/>
  <c r="T346" i="16"/>
  <c r="T338" i="16"/>
  <c r="T330" i="16"/>
  <c r="T322" i="16"/>
  <c r="T314" i="16"/>
  <c r="T306" i="16"/>
  <c r="T298" i="16"/>
  <c r="T290" i="16"/>
  <c r="T282" i="16"/>
  <c r="T274" i="16"/>
  <c r="T266" i="16"/>
  <c r="T258" i="16"/>
  <c r="T250" i="16"/>
  <c r="T242" i="16"/>
  <c r="T234" i="16"/>
  <c r="T226" i="16"/>
  <c r="T218" i="16"/>
  <c r="T210" i="16"/>
  <c r="T202" i="16"/>
  <c r="T194" i="16"/>
  <c r="T186" i="16"/>
  <c r="T178" i="16"/>
  <c r="T170" i="16"/>
  <c r="T162" i="16"/>
  <c r="T154" i="16"/>
  <c r="T146" i="16"/>
  <c r="T138" i="16"/>
  <c r="T130" i="16"/>
  <c r="T122" i="16"/>
  <c r="T114" i="16"/>
  <c r="T106" i="16"/>
  <c r="T98" i="16"/>
  <c r="T90" i="16"/>
  <c r="T82" i="16"/>
  <c r="T74" i="16"/>
  <c r="T66" i="16"/>
  <c r="T58" i="16"/>
  <c r="T50" i="16"/>
  <c r="T1534" i="16"/>
  <c r="T1525" i="16"/>
  <c r="T1516" i="16"/>
  <c r="T1506" i="16"/>
  <c r="T1497" i="16"/>
  <c r="T1488" i="16"/>
  <c r="T1479" i="16"/>
  <c r="T1470" i="16"/>
  <c r="T1461" i="16"/>
  <c r="T1452" i="16"/>
  <c r="T1442" i="16"/>
  <c r="T1433" i="16"/>
  <c r="T1424" i="16"/>
  <c r="T1415" i="16"/>
  <c r="T1406" i="16"/>
  <c r="T1397" i="16"/>
  <c r="T1388" i="16"/>
  <c r="T1378" i="16"/>
  <c r="T1369" i="16"/>
  <c r="T1360" i="16"/>
  <c r="T1351" i="16"/>
  <c r="T1342" i="16"/>
  <c r="T1333" i="16"/>
  <c r="T1324" i="16"/>
  <c r="T1314" i="16"/>
  <c r="T1305" i="16"/>
  <c r="T1297" i="16"/>
  <c r="T1289" i="16"/>
  <c r="T1281" i="16"/>
  <c r="T1273" i="16"/>
  <c r="T1265" i="16"/>
  <c r="T1257" i="16"/>
  <c r="T1249" i="16"/>
  <c r="T1241" i="16"/>
  <c r="T1233" i="16"/>
  <c r="T1225" i="16"/>
  <c r="T1217" i="16"/>
  <c r="T1209" i="16"/>
  <c r="T1201" i="16"/>
  <c r="T1193" i="16"/>
  <c r="T1185" i="16"/>
  <c r="T1177" i="16"/>
  <c r="T1169" i="16"/>
  <c r="T1161" i="16"/>
  <c r="T1153" i="16"/>
  <c r="T1145" i="16"/>
  <c r="T1137" i="16"/>
  <c r="T1129" i="16"/>
  <c r="T1121" i="16"/>
  <c r="T1113" i="16"/>
  <c r="T1105" i="16"/>
  <c r="T1097" i="16"/>
  <c r="T1089" i="16"/>
  <c r="T1081" i="16"/>
  <c r="T1073" i="16"/>
  <c r="T1065" i="16"/>
  <c r="T1057" i="16"/>
  <c r="T1049" i="16"/>
  <c r="T1041" i="16"/>
  <c r="T1033" i="16"/>
  <c r="T1025" i="16"/>
  <c r="T1017" i="16"/>
  <c r="T1009" i="16"/>
  <c r="T1001" i="16"/>
  <c r="T993" i="16"/>
  <c r="T985" i="16"/>
  <c r="T977" i="16"/>
  <c r="T969" i="16"/>
  <c r="T961" i="16"/>
  <c r="T953" i="16"/>
  <c r="T945" i="16"/>
  <c r="T937" i="16"/>
  <c r="T929" i="16"/>
  <c r="T921" i="16"/>
  <c r="T913" i="16"/>
  <c r="T905" i="16"/>
  <c r="T897" i="16"/>
  <c r="T889" i="16"/>
  <c r="T881" i="16"/>
  <c r="T873" i="16"/>
  <c r="T865" i="16"/>
  <c r="T857" i="16"/>
  <c r="T849" i="16"/>
  <c r="T841" i="16"/>
  <c r="T833" i="16"/>
  <c r="T825" i="16"/>
  <c r="T817" i="16"/>
  <c r="T809" i="16"/>
  <c r="T801" i="16"/>
  <c r="T793" i="16"/>
  <c r="T785" i="16"/>
  <c r="T777" i="16"/>
  <c r="T769" i="16"/>
  <c r="T761" i="16"/>
  <c r="T753" i="16"/>
  <c r="T745" i="16"/>
  <c r="T737" i="16"/>
  <c r="T729" i="16"/>
  <c r="T721" i="16"/>
  <c r="T713" i="16"/>
  <c r="T705" i="16"/>
  <c r="T697" i="16"/>
  <c r="T689" i="16"/>
  <c r="T681" i="16"/>
  <c r="T673" i="16"/>
  <c r="T665" i="16"/>
  <c r="T657" i="16"/>
  <c r="T649" i="16"/>
  <c r="T641" i="16"/>
  <c r="T633" i="16"/>
  <c r="T625" i="16"/>
  <c r="T617" i="16"/>
  <c r="T609" i="16"/>
  <c r="T601" i="16"/>
  <c r="T593" i="16"/>
  <c r="T585" i="16"/>
  <c r="T577" i="16"/>
  <c r="T569" i="16"/>
  <c r="T561" i="16"/>
  <c r="T553" i="16"/>
  <c r="T545" i="16"/>
  <c r="T537" i="16"/>
  <c r="T529" i="16"/>
  <c r="T521" i="16"/>
  <c r="T513" i="16"/>
  <c r="T505" i="16"/>
  <c r="T497" i="16"/>
  <c r="T489" i="16"/>
  <c r="T481" i="16"/>
  <c r="T473" i="16"/>
  <c r="T465" i="16"/>
  <c r="T457" i="16"/>
  <c r="T449" i="16"/>
  <c r="T441" i="16"/>
  <c r="T433" i="16"/>
  <c r="T425" i="16"/>
  <c r="T417" i="16"/>
  <c r="T409" i="16"/>
  <c r="T401" i="16"/>
  <c r="T393" i="16"/>
  <c r="T385" i="16"/>
  <c r="T377" i="16"/>
  <c r="T369" i="16"/>
  <c r="T361" i="16"/>
  <c r="T353" i="16"/>
  <c r="T345" i="16"/>
  <c r="T337" i="16"/>
  <c r="T329" i="16"/>
  <c r="T321" i="16"/>
  <c r="T313" i="16"/>
  <c r="T305" i="16"/>
  <c r="T297" i="16"/>
  <c r="T289" i="16"/>
  <c r="T281" i="16"/>
  <c r="T273" i="16"/>
  <c r="T265" i="16"/>
  <c r="T257" i="16"/>
  <c r="T249" i="16"/>
  <c r="T241" i="16"/>
  <c r="T233" i="16"/>
  <c r="T225" i="16"/>
  <c r="T217" i="16"/>
  <c r="T209" i="16"/>
  <c r="T201" i="16"/>
  <c r="T193" i="16"/>
  <c r="T185" i="16"/>
  <c r="T177" i="16"/>
  <c r="T169" i="16"/>
  <c r="T161" i="16"/>
  <c r="T153" i="16"/>
  <c r="T145" i="16"/>
  <c r="T137" i="16"/>
  <c r="T129" i="16"/>
  <c r="T121" i="16"/>
  <c r="T113" i="16"/>
  <c r="T105" i="16"/>
  <c r="T97" i="16"/>
  <c r="T89" i="16"/>
  <c r="T81" i="16"/>
  <c r="T73" i="16"/>
  <c r="T65" i="16"/>
  <c r="T57" i="16"/>
  <c r="T49" i="16"/>
  <c r="T41" i="16"/>
  <c r="T33" i="16"/>
  <c r="T25" i="16"/>
  <c r="T17" i="16"/>
  <c r="T9" i="16"/>
  <c r="T2" i="16"/>
  <c r="T1532" i="16"/>
  <c r="T1522" i="16"/>
  <c r="T1513" i="16"/>
  <c r="T1504" i="16"/>
  <c r="T1495" i="16"/>
  <c r="T1486" i="16"/>
  <c r="T1477" i="16"/>
  <c r="T1468" i="16"/>
  <c r="T1458" i="16"/>
  <c r="T1449" i="16"/>
  <c r="T1440" i="16"/>
  <c r="T1431" i="16"/>
  <c r="T1422" i="16"/>
  <c r="T1413" i="16"/>
  <c r="T1404" i="16"/>
  <c r="T1394" i="16"/>
  <c r="T1385" i="16"/>
  <c r="T1376" i="16"/>
  <c r="T1367" i="16"/>
  <c r="T1358" i="16"/>
  <c r="T1349" i="16"/>
  <c r="T1340" i="16"/>
  <c r="T1330" i="16"/>
  <c r="T1321" i="16"/>
  <c r="T1312" i="16"/>
  <c r="T1303" i="16"/>
  <c r="T1295" i="16"/>
  <c r="T1287" i="16"/>
  <c r="T1279" i="16"/>
  <c r="T1271" i="16"/>
  <c r="T1263" i="16"/>
  <c r="T1255" i="16"/>
  <c r="T1247" i="16"/>
  <c r="T1239" i="16"/>
  <c r="T1231" i="16"/>
  <c r="T1223" i="16"/>
  <c r="T1215" i="16"/>
  <c r="T1207" i="16"/>
  <c r="T1199" i="16"/>
  <c r="T1191" i="16"/>
  <c r="T1183" i="16"/>
  <c r="T1175" i="16"/>
  <c r="T1167" i="16"/>
  <c r="T1159" i="16"/>
  <c r="T1151" i="16"/>
  <c r="T1143" i="16"/>
  <c r="T1135" i="16"/>
  <c r="T1127" i="16"/>
  <c r="T1119" i="16"/>
  <c r="T1111" i="16"/>
  <c r="T1103" i="16"/>
  <c r="T1095" i="16"/>
  <c r="T1087" i="16"/>
  <c r="T1079" i="16"/>
  <c r="T1071" i="16"/>
  <c r="T1063" i="16"/>
  <c r="T1055" i="16"/>
  <c r="T1047" i="16"/>
  <c r="T1039" i="16"/>
  <c r="T1031" i="16"/>
  <c r="T1023" i="16"/>
  <c r="T1015" i="16"/>
  <c r="T1007" i="16"/>
  <c r="T999" i="16"/>
  <c r="T991" i="16"/>
  <c r="T983" i="16"/>
  <c r="T975" i="16"/>
  <c r="T967" i="16"/>
  <c r="T959" i="16"/>
  <c r="T951" i="16"/>
  <c r="T943" i="16"/>
  <c r="T935" i="16"/>
  <c r="T927" i="16"/>
  <c r="T919" i="16"/>
  <c r="T911" i="16"/>
  <c r="T903" i="16"/>
  <c r="T895" i="16"/>
  <c r="T887" i="16"/>
  <c r="T879" i="16"/>
  <c r="T871" i="16"/>
  <c r="T863" i="16"/>
  <c r="T855" i="16"/>
  <c r="T847" i="16"/>
  <c r="T839" i="16"/>
  <c r="T831" i="16"/>
  <c r="T823" i="16"/>
  <c r="T815" i="16"/>
  <c r="T807" i="16"/>
  <c r="T799" i="16"/>
  <c r="T791" i="16"/>
  <c r="T783" i="16"/>
  <c r="T775" i="16"/>
  <c r="T767" i="16"/>
  <c r="T759" i="16"/>
  <c r="T751" i="16"/>
  <c r="T743" i="16"/>
  <c r="T735" i="16"/>
  <c r="T727" i="16"/>
  <c r="T719" i="16"/>
  <c r="T711" i="16"/>
  <c r="T703" i="16"/>
  <c r="T695" i="16"/>
  <c r="T687" i="16"/>
  <c r="T679" i="16"/>
  <c r="T671" i="16"/>
  <c r="T663" i="16"/>
  <c r="T655" i="16"/>
  <c r="T647" i="16"/>
  <c r="T639" i="16"/>
  <c r="T631" i="16"/>
  <c r="T623" i="16"/>
  <c r="T615" i="16"/>
  <c r="T607" i="16"/>
  <c r="T599" i="16"/>
  <c r="T591" i="16"/>
  <c r="T583" i="16"/>
  <c r="T575" i="16"/>
  <c r="T567" i="16"/>
  <c r="T559" i="16"/>
  <c r="T551" i="16"/>
  <c r="T543" i="16"/>
  <c r="T535" i="16"/>
  <c r="T527" i="16"/>
  <c r="T519" i="16"/>
  <c r="T511" i="16"/>
  <c r="T503" i="16"/>
  <c r="T495" i="16"/>
  <c r="T487" i="16"/>
  <c r="T479" i="16"/>
  <c r="T471" i="16"/>
  <c r="T463" i="16"/>
  <c r="T455" i="16"/>
  <c r="T447" i="16"/>
  <c r="T439" i="16"/>
  <c r="T431" i="16"/>
  <c r="T423" i="16"/>
  <c r="T415" i="16"/>
  <c r="T407" i="16"/>
  <c r="T399" i="16"/>
  <c r="T391" i="16"/>
  <c r="T383" i="16"/>
  <c r="T375" i="16"/>
  <c r="T367" i="16"/>
  <c r="T359" i="16"/>
  <c r="T351" i="16"/>
  <c r="T343" i="16"/>
  <c r="T335" i="16"/>
  <c r="T327" i="16"/>
  <c r="T319" i="16"/>
  <c r="T311" i="16"/>
  <c r="T303" i="16"/>
  <c r="T295" i="16"/>
  <c r="T287" i="16"/>
  <c r="T279" i="16"/>
  <c r="T271" i="16"/>
  <c r="T263" i="16"/>
  <c r="T255" i="16"/>
  <c r="T247" i="16"/>
  <c r="T239" i="16"/>
  <c r="T231" i="16"/>
  <c r="T223" i="16"/>
  <c r="T215" i="16"/>
  <c r="T207" i="16"/>
  <c r="T199" i="16"/>
  <c r="T191" i="16"/>
  <c r="T183" i="16"/>
  <c r="T175" i="16"/>
  <c r="T167" i="16"/>
  <c r="T159" i="16"/>
  <c r="T151" i="16"/>
  <c r="T143" i="16"/>
  <c r="T135" i="16"/>
  <c r="T127" i="16"/>
  <c r="T119" i="16"/>
  <c r="T111" i="16"/>
  <c r="T103" i="16"/>
  <c r="T95" i="16"/>
  <c r="T87" i="16"/>
  <c r="T79" i="16"/>
  <c r="T71" i="16"/>
  <c r="T63" i="16"/>
  <c r="T55" i="16"/>
  <c r="T47" i="16"/>
  <c r="T39" i="16"/>
  <c r="T31" i="16"/>
  <c r="T23" i="16"/>
  <c r="T15" i="16"/>
  <c r="T7" i="16"/>
  <c r="T1530" i="16"/>
  <c r="T1521" i="16"/>
  <c r="T1512" i="16"/>
  <c r="T1503" i="16"/>
  <c r="T1494" i="16"/>
  <c r="T1485" i="16"/>
  <c r="T1476" i="16"/>
  <c r="T1466" i="16"/>
  <c r="T1457" i="16"/>
  <c r="T1448" i="16"/>
  <c r="T1439" i="16"/>
  <c r="T1430" i="16"/>
  <c r="T1421" i="16"/>
  <c r="T1412" i="16"/>
  <c r="T1402" i="16"/>
  <c r="T1393" i="16"/>
  <c r="T1384" i="16"/>
  <c r="T1375" i="16"/>
  <c r="T1366" i="16"/>
  <c r="T1357" i="16"/>
  <c r="T1348" i="16"/>
  <c r="T1338" i="16"/>
  <c r="T1329" i="16"/>
  <c r="T1320" i="16"/>
  <c r="T1311" i="16"/>
  <c r="T1302" i="16"/>
  <c r="T1294" i="16"/>
  <c r="T1286" i="16"/>
  <c r="T1278" i="16"/>
  <c r="T1270" i="16"/>
  <c r="T1262" i="16"/>
  <c r="T1254" i="16"/>
  <c r="T1246" i="16"/>
  <c r="T1238" i="16"/>
  <c r="T1230" i="16"/>
  <c r="T1222" i="16"/>
  <c r="T1214" i="16"/>
  <c r="T1206" i="16"/>
  <c r="T1198" i="16"/>
  <c r="T1190" i="16"/>
  <c r="T1182" i="16"/>
  <c r="T1174" i="16"/>
  <c r="T1166" i="16"/>
  <c r="T1158" i="16"/>
  <c r="T1150" i="16"/>
  <c r="T1142" i="16"/>
  <c r="T1134" i="16"/>
  <c r="T1126" i="16"/>
  <c r="T1118" i="16"/>
  <c r="T1110" i="16"/>
  <c r="T1102" i="16"/>
  <c r="T1094" i="16"/>
  <c r="T1086" i="16"/>
  <c r="T1078" i="16"/>
  <c r="T1070" i="16"/>
  <c r="T1062" i="16"/>
  <c r="T1054" i="16"/>
  <c r="T1046" i="16"/>
  <c r="T1038" i="16"/>
  <c r="T1030" i="16"/>
  <c r="T1022" i="16"/>
  <c r="T1014" i="16"/>
  <c r="T1006" i="16"/>
  <c r="T998" i="16"/>
  <c r="T990" i="16"/>
  <c r="T982" i="16"/>
  <c r="T974" i="16"/>
  <c r="T966" i="16"/>
  <c r="T958" i="16"/>
  <c r="T950" i="16"/>
  <c r="T942" i="16"/>
  <c r="T934" i="16"/>
  <c r="T926" i="16"/>
  <c r="T918" i="16"/>
  <c r="T910" i="16"/>
  <c r="T902" i="16"/>
  <c r="T894" i="16"/>
  <c r="T886" i="16"/>
  <c r="T878" i="16"/>
  <c r="T870" i="16"/>
  <c r="T862" i="16"/>
  <c r="T854" i="16"/>
  <c r="T846" i="16"/>
  <c r="T838" i="16"/>
  <c r="T830" i="16"/>
  <c r="T822" i="16"/>
  <c r="T814" i="16"/>
  <c r="T806" i="16"/>
  <c r="T798" i="16"/>
  <c r="T790" i="16"/>
  <c r="T782" i="16"/>
  <c r="T774" i="16"/>
  <c r="T766" i="16"/>
  <c r="T758" i="16"/>
  <c r="T750" i="16"/>
  <c r="T742" i="16"/>
  <c r="T734" i="16"/>
  <c r="T726" i="16"/>
  <c r="T718" i="16"/>
  <c r="T710" i="16"/>
  <c r="T702" i="16"/>
  <c r="T694" i="16"/>
  <c r="T686" i="16"/>
  <c r="T678" i="16"/>
  <c r="T670" i="16"/>
  <c r="T662" i="16"/>
  <c r="T654" i="16"/>
  <c r="T646" i="16"/>
  <c r="T638" i="16"/>
  <c r="T630" i="16"/>
  <c r="T622" i="16"/>
  <c r="T614" i="16"/>
  <c r="T606" i="16"/>
  <c r="T598" i="16"/>
  <c r="T590" i="16"/>
  <c r="T582" i="16"/>
  <c r="T574" i="16"/>
  <c r="T566" i="16"/>
  <c r="T558" i="16"/>
  <c r="T550" i="16"/>
  <c r="T542" i="16"/>
  <c r="T534" i="16"/>
  <c r="T526" i="16"/>
  <c r="T518" i="16"/>
  <c r="T510" i="16"/>
  <c r="T502" i="16"/>
  <c r="T494" i="16"/>
  <c r="T486" i="16"/>
  <c r="T478" i="16"/>
  <c r="T470" i="16"/>
  <c r="T462" i="16"/>
  <c r="T454" i="16"/>
  <c r="T446" i="16"/>
  <c r="T438" i="16"/>
  <c r="T430" i="16"/>
  <c r="T422" i="16"/>
  <c r="T414" i="16"/>
  <c r="T406" i="16"/>
  <c r="T398" i="16"/>
  <c r="T390" i="16"/>
  <c r="T382" i="16"/>
  <c r="T374" i="16"/>
  <c r="T366" i="16"/>
  <c r="T358" i="16"/>
  <c r="T350" i="16"/>
  <c r="T342" i="16"/>
  <c r="T334" i="16"/>
  <c r="T326" i="16"/>
  <c r="T318" i="16"/>
  <c r="T310" i="16"/>
  <c r="T302" i="16"/>
  <c r="T294" i="16"/>
  <c r="T286" i="16"/>
  <c r="T278" i="16"/>
  <c r="T270" i="16"/>
  <c r="T262" i="16"/>
  <c r="T254" i="16"/>
  <c r="T246" i="16"/>
  <c r="T238" i="16"/>
  <c r="T230" i="16"/>
  <c r="T222" i="16"/>
  <c r="T214" i="16"/>
  <c r="T206" i="16"/>
  <c r="T198" i="16"/>
  <c r="T190" i="16"/>
  <c r="T182" i="16"/>
  <c r="T174" i="16"/>
  <c r="T166" i="16"/>
  <c r="T158" i="16"/>
  <c r="T150" i="16"/>
  <c r="T142" i="16"/>
  <c r="T134" i="16"/>
  <c r="T126" i="16"/>
  <c r="T118" i="16"/>
  <c r="T110" i="16"/>
  <c r="T102" i="16"/>
  <c r="T94" i="16"/>
  <c r="T18" i="16"/>
  <c r="T34" i="16"/>
  <c r="T52" i="16"/>
  <c r="T72" i="16"/>
  <c r="T96" i="16"/>
  <c r="T128" i="16"/>
  <c r="T160" i="16"/>
  <c r="T192" i="16"/>
  <c r="T224" i="16"/>
  <c r="T256" i="16"/>
  <c r="T288" i="16"/>
  <c r="T320" i="16"/>
  <c r="T352" i="16"/>
  <c r="T384" i="16"/>
  <c r="T416" i="16"/>
  <c r="T448" i="16"/>
  <c r="T480" i="16"/>
  <c r="T512" i="16"/>
  <c r="T544" i="16"/>
  <c r="T576" i="16"/>
  <c r="T608" i="16"/>
  <c r="T640" i="16"/>
  <c r="T672" i="16"/>
  <c r="T704" i="16"/>
  <c r="T736" i="16"/>
  <c r="T768" i="16"/>
  <c r="T800" i="16"/>
  <c r="T832" i="16"/>
  <c r="T864" i="16"/>
  <c r="T896" i="16"/>
  <c r="T928" i="16"/>
  <c r="T960" i="16"/>
  <c r="T992" i="16"/>
  <c r="T1024" i="16"/>
  <c r="T1056" i="16"/>
  <c r="T1088" i="16"/>
  <c r="T1120" i="16"/>
  <c r="T1152" i="16"/>
  <c r="T1184" i="16"/>
  <c r="T1216" i="16"/>
  <c r="T1248" i="16"/>
  <c r="T1280" i="16"/>
  <c r="T1313" i="16"/>
  <c r="T1350" i="16"/>
  <c r="T1386" i="16"/>
  <c r="T1423" i="16"/>
  <c r="T1460" i="16"/>
  <c r="T1496" i="16"/>
  <c r="T1533" i="16"/>
  <c r="U34" i="16"/>
  <c r="U71" i="16"/>
  <c r="U107" i="16"/>
  <c r="U144" i="16"/>
  <c r="U1532" i="16"/>
  <c r="U1524" i="16"/>
  <c r="U1516" i="16"/>
  <c r="U1508" i="16"/>
  <c r="U1500" i="16"/>
  <c r="U1492" i="16"/>
  <c r="U1484" i="16"/>
  <c r="U1476" i="16"/>
  <c r="U1468" i="16"/>
  <c r="U1460" i="16"/>
  <c r="U1452" i="16"/>
  <c r="U1444" i="16"/>
  <c r="U1436" i="16"/>
  <c r="U1428" i="16"/>
  <c r="U1420" i="16"/>
  <c r="U1412" i="16"/>
  <c r="U1404" i="16"/>
  <c r="U1396" i="16"/>
  <c r="U1388" i="16"/>
  <c r="U1380" i="16"/>
  <c r="U1372" i="16"/>
  <c r="U1364" i="16"/>
  <c r="U1356" i="16"/>
  <c r="U1348" i="16"/>
  <c r="U1340" i="16"/>
  <c r="U1332" i="16"/>
  <c r="U1324" i="16"/>
  <c r="U1316" i="16"/>
  <c r="U1308" i="16"/>
  <c r="U1300" i="16"/>
  <c r="U1292" i="16"/>
  <c r="U1284" i="16"/>
  <c r="U1276" i="16"/>
  <c r="U1268" i="16"/>
  <c r="U1260" i="16"/>
  <c r="U1252" i="16"/>
  <c r="U1244" i="16"/>
  <c r="U1236" i="16"/>
  <c r="U1228" i="16"/>
  <c r="U1220" i="16"/>
  <c r="U1212" i="16"/>
  <c r="U1204" i="16"/>
  <c r="U1196" i="16"/>
  <c r="U1188" i="16"/>
  <c r="U1180" i="16"/>
  <c r="U1172" i="16"/>
  <c r="U1164" i="16"/>
  <c r="U1156" i="16"/>
  <c r="U1148" i="16"/>
  <c r="U1140" i="16"/>
  <c r="U1132" i="16"/>
  <c r="U1124" i="16"/>
  <c r="U1116" i="16"/>
  <c r="U1108" i="16"/>
  <c r="U1100" i="16"/>
  <c r="U1092" i="16"/>
  <c r="U1084" i="16"/>
  <c r="U1076" i="16"/>
  <c r="U1068" i="16"/>
  <c r="U1060" i="16"/>
  <c r="U1052" i="16"/>
  <c r="U1044" i="16"/>
  <c r="U1036" i="16"/>
  <c r="U1028" i="16"/>
  <c r="U1020" i="16"/>
  <c r="U1012" i="16"/>
  <c r="U1004" i="16"/>
  <c r="U996" i="16"/>
  <c r="U988" i="16"/>
  <c r="U980" i="16"/>
  <c r="U972" i="16"/>
  <c r="U964" i="16"/>
  <c r="U956" i="16"/>
  <c r="U948" i="16"/>
  <c r="U940" i="16"/>
  <c r="U932" i="16"/>
  <c r="U924" i="16"/>
  <c r="U916" i="16"/>
  <c r="U908" i="16"/>
  <c r="U900" i="16"/>
  <c r="U892" i="16"/>
  <c r="U884" i="16"/>
  <c r="U876" i="16"/>
  <c r="U868" i="16"/>
  <c r="U860" i="16"/>
  <c r="U852" i="16"/>
  <c r="U844" i="16"/>
  <c r="U836" i="16"/>
  <c r="U828" i="16"/>
  <c r="U820" i="16"/>
  <c r="U812" i="16"/>
  <c r="U804" i="16"/>
  <c r="U796" i="16"/>
  <c r="U788" i="16"/>
  <c r="U780" i="16"/>
  <c r="U772" i="16"/>
  <c r="U764" i="16"/>
  <c r="U756" i="16"/>
  <c r="U748" i="16"/>
  <c r="U740" i="16"/>
  <c r="U732" i="16"/>
  <c r="U724" i="16"/>
  <c r="U716" i="16"/>
  <c r="U708" i="16"/>
  <c r="U700" i="16"/>
  <c r="U692" i="16"/>
  <c r="U684" i="16"/>
  <c r="U676" i="16"/>
  <c r="U668" i="16"/>
  <c r="U660" i="16"/>
  <c r="U652" i="16"/>
  <c r="U644" i="16"/>
  <c r="U636" i="16"/>
  <c r="U628" i="16"/>
  <c r="U620" i="16"/>
  <c r="U612" i="16"/>
  <c r="U604" i="16"/>
  <c r="U596" i="16"/>
  <c r="U588" i="16"/>
  <c r="U580" i="16"/>
  <c r="U572" i="16"/>
  <c r="U564" i="16"/>
  <c r="U556" i="16"/>
  <c r="U548" i="16"/>
  <c r="U540" i="16"/>
  <c r="U532" i="16"/>
  <c r="U524" i="16"/>
  <c r="U516" i="16"/>
  <c r="U508" i="16"/>
  <c r="U500" i="16"/>
  <c r="U492" i="16"/>
  <c r="U484" i="16"/>
  <c r="U476" i="16"/>
  <c r="U468" i="16"/>
  <c r="U460" i="16"/>
  <c r="U452" i="16"/>
  <c r="U444" i="16"/>
  <c r="U436" i="16"/>
  <c r="U428" i="16"/>
  <c r="U420" i="16"/>
  <c r="U412" i="16"/>
  <c r="U404" i="16"/>
  <c r="U396" i="16"/>
  <c r="U388" i="16"/>
  <c r="U380" i="16"/>
  <c r="U372" i="16"/>
  <c r="U364" i="16"/>
  <c r="U356" i="16"/>
  <c r="U348" i="16"/>
  <c r="U340" i="16"/>
  <c r="U332" i="16"/>
  <c r="U324" i="16"/>
  <c r="U316" i="16"/>
  <c r="U308" i="16"/>
  <c r="U300" i="16"/>
  <c r="U292" i="16"/>
  <c r="U284" i="16"/>
  <c r="U276" i="16"/>
  <c r="U268" i="16"/>
  <c r="U260" i="16"/>
  <c r="U252" i="16"/>
  <c r="U244" i="16"/>
  <c r="U236" i="16"/>
  <c r="U228" i="16"/>
  <c r="U220" i="16"/>
  <c r="U212" i="16"/>
  <c r="U204" i="16"/>
  <c r="U196" i="16"/>
  <c r="U188" i="16"/>
  <c r="U180" i="16"/>
  <c r="U172" i="16"/>
  <c r="U164" i="16"/>
  <c r="U156" i="16"/>
  <c r="U148" i="16"/>
  <c r="U140" i="16"/>
  <c r="U132" i="16"/>
  <c r="U124" i="16"/>
  <c r="U116" i="16"/>
  <c r="U108" i="16"/>
  <c r="U100" i="16"/>
  <c r="U92" i="16"/>
  <c r="U84" i="16"/>
  <c r="U76" i="16"/>
  <c r="U68" i="16"/>
  <c r="U60" i="16"/>
  <c r="U52" i="16"/>
  <c r="U44" i="16"/>
  <c r="U36" i="16"/>
  <c r="U28" i="16"/>
  <c r="U20" i="16"/>
  <c r="U12" i="16"/>
  <c r="U4" i="16"/>
  <c r="U1530" i="16"/>
  <c r="U1522" i="16"/>
  <c r="U1514" i="16"/>
  <c r="U1506" i="16"/>
  <c r="U1498" i="16"/>
  <c r="U1490" i="16"/>
  <c r="U1482" i="16"/>
  <c r="U1474" i="16"/>
  <c r="U1466" i="16"/>
  <c r="U1458" i="16"/>
  <c r="U1450" i="16"/>
  <c r="U1442" i="16"/>
  <c r="U1434" i="16"/>
  <c r="U1426" i="16"/>
  <c r="U1418" i="16"/>
  <c r="U1410" i="16"/>
  <c r="U1402" i="16"/>
  <c r="U1394" i="16"/>
  <c r="U1386" i="16"/>
  <c r="U1378" i="16"/>
  <c r="U1370" i="16"/>
  <c r="U1362" i="16"/>
  <c r="U1354" i="16"/>
  <c r="U1346" i="16"/>
  <c r="U1338" i="16"/>
  <c r="U1330" i="16"/>
  <c r="U1322" i="16"/>
  <c r="U1314" i="16"/>
  <c r="U1306" i="16"/>
  <c r="U1298" i="16"/>
  <c r="U1290" i="16"/>
  <c r="U1282" i="16"/>
  <c r="U1274" i="16"/>
  <c r="U1266" i="16"/>
  <c r="U1258" i="16"/>
  <c r="U1250" i="16"/>
  <c r="U1242" i="16"/>
  <c r="U1234" i="16"/>
  <c r="U1226" i="16"/>
  <c r="U1218" i="16"/>
  <c r="U1210" i="16"/>
  <c r="U1202" i="16"/>
  <c r="U1194" i="16"/>
  <c r="U1186" i="16"/>
  <c r="U1178" i="16"/>
  <c r="U1170" i="16"/>
  <c r="U1162" i="16"/>
  <c r="U1154" i="16"/>
  <c r="U1146" i="16"/>
  <c r="U1138" i="16"/>
  <c r="U1130" i="16"/>
  <c r="U1122" i="16"/>
  <c r="U1114" i="16"/>
  <c r="U1106" i="16"/>
  <c r="U1098" i="16"/>
  <c r="U1090" i="16"/>
  <c r="U1082" i="16"/>
  <c r="U1074" i="16"/>
  <c r="U1066" i="16"/>
  <c r="U1058" i="16"/>
  <c r="U1050" i="16"/>
  <c r="U1042" i="16"/>
  <c r="U1034" i="16"/>
  <c r="U1026" i="16"/>
  <c r="U1018" i="16"/>
  <c r="U1010" i="16"/>
  <c r="U1002" i="16"/>
  <c r="U994" i="16"/>
  <c r="U986" i="16"/>
  <c r="U978" i="16"/>
  <c r="U970" i="16"/>
  <c r="U962" i="16"/>
  <c r="U954" i="16"/>
  <c r="U946" i="16"/>
  <c r="U938" i="16"/>
  <c r="U930" i="16"/>
  <c r="U922" i="16"/>
  <c r="U914" i="16"/>
  <c r="U906" i="16"/>
  <c r="U898" i="16"/>
  <c r="U890" i="16"/>
  <c r="U882" i="16"/>
  <c r="U874" i="16"/>
  <c r="U866" i="16"/>
  <c r="U858" i="16"/>
  <c r="U850" i="16"/>
  <c r="U842" i="16"/>
  <c r="U834" i="16"/>
  <c r="U826" i="16"/>
  <c r="U818" i="16"/>
  <c r="U810" i="16"/>
  <c r="U802" i="16"/>
  <c r="U794" i="16"/>
  <c r="U786" i="16"/>
  <c r="U778" i="16"/>
  <c r="U770" i="16"/>
  <c r="U762" i="16"/>
  <c r="U754" i="16"/>
  <c r="U746" i="16"/>
  <c r="U738" i="16"/>
  <c r="U730" i="16"/>
  <c r="U722" i="16"/>
  <c r="U714" i="16"/>
  <c r="U706" i="16"/>
  <c r="U698" i="16"/>
  <c r="U690" i="16"/>
  <c r="U682" i="16"/>
  <c r="U674" i="16"/>
  <c r="U666" i="16"/>
  <c r="U658" i="16"/>
  <c r="U650" i="16"/>
  <c r="U642" i="16"/>
  <c r="U634" i="16"/>
  <c r="U626" i="16"/>
  <c r="U618" i="16"/>
  <c r="U610" i="16"/>
  <c r="U602" i="16"/>
  <c r="U594" i="16"/>
  <c r="U586" i="16"/>
  <c r="U578" i="16"/>
  <c r="U570" i="16"/>
  <c r="U562" i="16"/>
  <c r="U554" i="16"/>
  <c r="U546" i="16"/>
  <c r="U538" i="16"/>
  <c r="U530" i="16"/>
  <c r="U522" i="16"/>
  <c r="U514" i="16"/>
  <c r="U506" i="16"/>
  <c r="U498" i="16"/>
  <c r="U490" i="16"/>
  <c r="U482" i="16"/>
  <c r="U474" i="16"/>
  <c r="U466" i="16"/>
  <c r="U458" i="16"/>
  <c r="U450" i="16"/>
  <c r="U442" i="16"/>
  <c r="U434" i="16"/>
  <c r="U426" i="16"/>
  <c r="U418" i="16"/>
  <c r="U410" i="16"/>
  <c r="U1528" i="16"/>
  <c r="U1520" i="16"/>
  <c r="U1512" i="16"/>
  <c r="U1504" i="16"/>
  <c r="U1496" i="16"/>
  <c r="U1488" i="16"/>
  <c r="U1480" i="16"/>
  <c r="U1472" i="16"/>
  <c r="U1464" i="16"/>
  <c r="U1456" i="16"/>
  <c r="U1448" i="16"/>
  <c r="U1440" i="16"/>
  <c r="U1432" i="16"/>
  <c r="U1424" i="16"/>
  <c r="U1416" i="16"/>
  <c r="U1408" i="16"/>
  <c r="U1400" i="16"/>
  <c r="U1392" i="16"/>
  <c r="U1384" i="16"/>
  <c r="U1376" i="16"/>
  <c r="U1368" i="16"/>
  <c r="U1360" i="16"/>
  <c r="U1352" i="16"/>
  <c r="U1344" i="16"/>
  <c r="U1336" i="16"/>
  <c r="U1328" i="16"/>
  <c r="U1320" i="16"/>
  <c r="U1312" i="16"/>
  <c r="U1304" i="16"/>
  <c r="U1296" i="16"/>
  <c r="U1288" i="16"/>
  <c r="U1280" i="16"/>
  <c r="U1272" i="16"/>
  <c r="U1264" i="16"/>
  <c r="U1256" i="16"/>
  <c r="U1248" i="16"/>
  <c r="U1240" i="16"/>
  <c r="U1232" i="16"/>
  <c r="U1224" i="16"/>
  <c r="U1216" i="16"/>
  <c r="U1208" i="16"/>
  <c r="U1200" i="16"/>
  <c r="U1192" i="16"/>
  <c r="U1184" i="16"/>
  <c r="U1176" i="16"/>
  <c r="U1168" i="16"/>
  <c r="U1160" i="16"/>
  <c r="U1152" i="16"/>
  <c r="U1144" i="16"/>
  <c r="U1136" i="16"/>
  <c r="U1128" i="16"/>
  <c r="U1120" i="16"/>
  <c r="U1112" i="16"/>
  <c r="U1104" i="16"/>
  <c r="U1096" i="16"/>
  <c r="U1088" i="16"/>
  <c r="U1080" i="16"/>
  <c r="U1072" i="16"/>
  <c r="U1064" i="16"/>
  <c r="U1056" i="16"/>
  <c r="U1048" i="16"/>
  <c r="U1040" i="16"/>
  <c r="U1032" i="16"/>
  <c r="U1024" i="16"/>
  <c r="U1016" i="16"/>
  <c r="U1008" i="16"/>
  <c r="U1000" i="16"/>
  <c r="U992" i="16"/>
  <c r="U984" i="16"/>
  <c r="U976" i="16"/>
  <c r="U968" i="16"/>
  <c r="U960" i="16"/>
  <c r="U952" i="16"/>
  <c r="U944" i="16"/>
  <c r="U936" i="16"/>
  <c r="U928" i="16"/>
  <c r="U920" i="16"/>
  <c r="U912" i="16"/>
  <c r="U904" i="16"/>
  <c r="U896" i="16"/>
  <c r="U888" i="16"/>
  <c r="U880" i="16"/>
  <c r="U872" i="16"/>
  <c r="U864" i="16"/>
  <c r="U856" i="16"/>
  <c r="U848" i="16"/>
  <c r="U840" i="16"/>
  <c r="U832" i="16"/>
  <c r="U824" i="16"/>
  <c r="U816" i="16"/>
  <c r="U808" i="16"/>
  <c r="U800" i="16"/>
  <c r="U792" i="16"/>
  <c r="U784" i="16"/>
  <c r="U776" i="16"/>
  <c r="U768" i="16"/>
  <c r="U760" i="16"/>
  <c r="U752" i="16"/>
  <c r="U744" i="16"/>
  <c r="U736" i="16"/>
  <c r="U728" i="16"/>
  <c r="U720" i="16"/>
  <c r="U712" i="16"/>
  <c r="U704" i="16"/>
  <c r="U696" i="16"/>
  <c r="U688" i="16"/>
  <c r="U680" i="16"/>
  <c r="U672" i="16"/>
  <c r="U664" i="16"/>
  <c r="U656" i="16"/>
  <c r="U648" i="16"/>
  <c r="U640" i="16"/>
  <c r="U632" i="16"/>
  <c r="U624" i="16"/>
  <c r="U616" i="16"/>
  <c r="U608" i="16"/>
  <c r="U600" i="16"/>
  <c r="U592" i="16"/>
  <c r="U584" i="16"/>
  <c r="U576" i="16"/>
  <c r="U568" i="16"/>
  <c r="U560" i="16"/>
  <c r="U552" i="16"/>
  <c r="U544" i="16"/>
  <c r="U536" i="16"/>
  <c r="U528" i="16"/>
  <c r="U520" i="16"/>
  <c r="U512" i="16"/>
  <c r="U504" i="16"/>
  <c r="U496" i="16"/>
  <c r="U488" i="16"/>
  <c r="U480" i="16"/>
  <c r="U472" i="16"/>
  <c r="U464" i="16"/>
  <c r="U456" i="16"/>
  <c r="U448" i="16"/>
  <c r="U440" i="16"/>
  <c r="U432" i="16"/>
  <c r="U424" i="16"/>
  <c r="U416" i="16"/>
  <c r="U408" i="16"/>
  <c r="U400" i="16"/>
  <c r="U392" i="16"/>
  <c r="U384" i="16"/>
  <c r="U376" i="16"/>
  <c r="U368" i="16"/>
  <c r="U360" i="16"/>
  <c r="U352" i="16"/>
  <c r="U1534" i="16"/>
  <c r="U1526" i="16"/>
  <c r="U1518" i="16"/>
  <c r="U1510" i="16"/>
  <c r="U1502" i="16"/>
  <c r="U1494" i="16"/>
  <c r="U1486" i="16"/>
  <c r="U1478" i="16"/>
  <c r="U1470" i="16"/>
  <c r="U1462" i="16"/>
  <c r="U1454" i="16"/>
  <c r="U1446" i="16"/>
  <c r="U1438" i="16"/>
  <c r="U1430" i="16"/>
  <c r="U1422" i="16"/>
  <c r="U1414" i="16"/>
  <c r="U1406" i="16"/>
  <c r="U1398" i="16"/>
  <c r="U1390" i="16"/>
  <c r="U1382" i="16"/>
  <c r="U1374" i="16"/>
  <c r="U1366" i="16"/>
  <c r="U1358" i="16"/>
  <c r="U1350" i="16"/>
  <c r="U1342" i="16"/>
  <c r="U1334" i="16"/>
  <c r="U1326" i="16"/>
  <c r="U1318" i="16"/>
  <c r="U1310" i="16"/>
  <c r="U1302" i="16"/>
  <c r="U1294" i="16"/>
  <c r="U1286" i="16"/>
  <c r="U1278" i="16"/>
  <c r="U1270" i="16"/>
  <c r="U1262" i="16"/>
  <c r="U1254" i="16"/>
  <c r="U1246" i="16"/>
  <c r="U1238" i="16"/>
  <c r="U1230" i="16"/>
  <c r="U1222" i="16"/>
  <c r="U1214" i="16"/>
  <c r="U1206" i="16"/>
  <c r="U1198" i="16"/>
  <c r="U1190" i="16"/>
  <c r="U1182" i="16"/>
  <c r="U1174" i="16"/>
  <c r="U1166" i="16"/>
  <c r="U1158" i="16"/>
  <c r="U1150" i="16"/>
  <c r="U1142" i="16"/>
  <c r="U1134" i="16"/>
  <c r="U1126" i="16"/>
  <c r="U1118" i="16"/>
  <c r="U1110" i="16"/>
  <c r="U1102" i="16"/>
  <c r="U1094" i="16"/>
  <c r="U1086" i="16"/>
  <c r="U1078" i="16"/>
  <c r="U1070" i="16"/>
  <c r="U1062" i="16"/>
  <c r="U1054" i="16"/>
  <c r="U1046" i="16"/>
  <c r="U1038" i="16"/>
  <c r="U1030" i="16"/>
  <c r="U1022" i="16"/>
  <c r="U1014" i="16"/>
  <c r="U1006" i="16"/>
  <c r="U998" i="16"/>
  <c r="U990" i="16"/>
  <c r="U982" i="16"/>
  <c r="U974" i="16"/>
  <c r="U966" i="16"/>
  <c r="U958" i="16"/>
  <c r="U950" i="16"/>
  <c r="U942" i="16"/>
  <c r="U934" i="16"/>
  <c r="U926" i="16"/>
  <c r="U918" i="16"/>
  <c r="U910" i="16"/>
  <c r="U902" i="16"/>
  <c r="U894" i="16"/>
  <c r="U886" i="16"/>
  <c r="U878" i="16"/>
  <c r="U870" i="16"/>
  <c r="U862" i="16"/>
  <c r="U854" i="16"/>
  <c r="U846" i="16"/>
  <c r="U838" i="16"/>
  <c r="U830" i="16"/>
  <c r="U822" i="16"/>
  <c r="U814" i="16"/>
  <c r="U806" i="16"/>
  <c r="U798" i="16"/>
  <c r="U790" i="16"/>
  <c r="U782" i="16"/>
  <c r="U774" i="16"/>
  <c r="U766" i="16"/>
  <c r="U758" i="16"/>
  <c r="U750" i="16"/>
  <c r="U742" i="16"/>
  <c r="U734" i="16"/>
  <c r="U726" i="16"/>
  <c r="U718" i="16"/>
  <c r="U710" i="16"/>
  <c r="U702" i="16"/>
  <c r="U694" i="16"/>
  <c r="U686" i="16"/>
  <c r="U678" i="16"/>
  <c r="U670" i="16"/>
  <c r="U662" i="16"/>
  <c r="U654" i="16"/>
  <c r="U646" i="16"/>
  <c r="U638" i="16"/>
  <c r="U630" i="16"/>
  <c r="U622" i="16"/>
  <c r="U614" i="16"/>
  <c r="U606" i="16"/>
  <c r="U598" i="16"/>
  <c r="U1533" i="16"/>
  <c r="U1525" i="16"/>
  <c r="U1517" i="16"/>
  <c r="U1509" i="16"/>
  <c r="U1501" i="16"/>
  <c r="U1493" i="16"/>
  <c r="U1485" i="16"/>
  <c r="U1477" i="16"/>
  <c r="U1469" i="16"/>
  <c r="U1461" i="16"/>
  <c r="U1453" i="16"/>
  <c r="U1445" i="16"/>
  <c r="U1437" i="16"/>
  <c r="U1429" i="16"/>
  <c r="U1421" i="16"/>
  <c r="U1413" i="16"/>
  <c r="U1405" i="16"/>
  <c r="U1397" i="16"/>
  <c r="U1389" i="16"/>
  <c r="U1381" i="16"/>
  <c r="U1373" i="16"/>
  <c r="U1365" i="16"/>
  <c r="U1357" i="16"/>
  <c r="U1349" i="16"/>
  <c r="U1341" i="16"/>
  <c r="U1333" i="16"/>
  <c r="U1325" i="16"/>
  <c r="U1317" i="16"/>
  <c r="U1309" i="16"/>
  <c r="U1301" i="16"/>
  <c r="U1293" i="16"/>
  <c r="U1285" i="16"/>
  <c r="U1277" i="16"/>
  <c r="U1269" i="16"/>
  <c r="U1261" i="16"/>
  <c r="U1253" i="16"/>
  <c r="U1245" i="16"/>
  <c r="U1237" i="16"/>
  <c r="U1229" i="16"/>
  <c r="U1221" i="16"/>
  <c r="U1213" i="16"/>
  <c r="U1205" i="16"/>
  <c r="U1197" i="16"/>
  <c r="U1189" i="16"/>
  <c r="U1181" i="16"/>
  <c r="U1173" i="16"/>
  <c r="U1165" i="16"/>
  <c r="U1157" i="16"/>
  <c r="U1149" i="16"/>
  <c r="U1141" i="16"/>
  <c r="U1133" i="16"/>
  <c r="U1125" i="16"/>
  <c r="U1117" i="16"/>
  <c r="U1109" i="16"/>
  <c r="U1101" i="16"/>
  <c r="U1093" i="16"/>
  <c r="U1085" i="16"/>
  <c r="U1077" i="16"/>
  <c r="U1069" i="16"/>
  <c r="U1061" i="16"/>
  <c r="U1053" i="16"/>
  <c r="U1045" i="16"/>
  <c r="U1037" i="16"/>
  <c r="U1029" i="16"/>
  <c r="U1021" i="16"/>
  <c r="U1013" i="16"/>
  <c r="U1005" i="16"/>
  <c r="U997" i="16"/>
  <c r="U989" i="16"/>
  <c r="U981" i="16"/>
  <c r="U973" i="16"/>
  <c r="U965" i="16"/>
  <c r="U957" i="16"/>
  <c r="U949" i="16"/>
  <c r="U941" i="16"/>
  <c r="U933" i="16"/>
  <c r="U925" i="16"/>
  <c r="U917" i="16"/>
  <c r="U909" i="16"/>
  <c r="U901" i="16"/>
  <c r="U893" i="16"/>
  <c r="U885" i="16"/>
  <c r="U877" i="16"/>
  <c r="U869" i="16"/>
  <c r="U861" i="16"/>
  <c r="U853" i="16"/>
  <c r="U845" i="16"/>
  <c r="U837" i="16"/>
  <c r="U829" i="16"/>
  <c r="U821" i="16"/>
  <c r="U813" i="16"/>
  <c r="U805" i="16"/>
  <c r="U797" i="16"/>
  <c r="U789" i="16"/>
  <c r="U781" i="16"/>
  <c r="U773" i="16"/>
  <c r="U765" i="16"/>
  <c r="U757" i="16"/>
  <c r="U749" i="16"/>
  <c r="U741" i="16"/>
  <c r="U733" i="16"/>
  <c r="U725" i="16"/>
  <c r="U717" i="16"/>
  <c r="U709" i="16"/>
  <c r="U701" i="16"/>
  <c r="U693" i="16"/>
  <c r="U685" i="16"/>
  <c r="U677" i="16"/>
  <c r="U669" i="16"/>
  <c r="U661" i="16"/>
  <c r="U653" i="16"/>
  <c r="U645" i="16"/>
  <c r="U637" i="16"/>
  <c r="U629" i="16"/>
  <c r="U621" i="16"/>
  <c r="U613" i="16"/>
  <c r="U605" i="16"/>
  <c r="U597" i="16"/>
  <c r="U589" i="16"/>
  <c r="U581" i="16"/>
  <c r="U573" i="16"/>
  <c r="U565" i="16"/>
  <c r="U557" i="16"/>
  <c r="U549" i="16"/>
  <c r="U541" i="16"/>
  <c r="U533" i="16"/>
  <c r="U525" i="16"/>
  <c r="U517" i="16"/>
  <c r="U509" i="16"/>
  <c r="U501" i="16"/>
  <c r="U1527" i="16"/>
  <c r="U1505" i="16"/>
  <c r="U1483" i="16"/>
  <c r="U1463" i="16"/>
  <c r="U1441" i="16"/>
  <c r="U1419" i="16"/>
  <c r="U1399" i="16"/>
  <c r="U1377" i="16"/>
  <c r="U1355" i="16"/>
  <c r="U1335" i="16"/>
  <c r="U1313" i="16"/>
  <c r="U1291" i="16"/>
  <c r="U1271" i="16"/>
  <c r="U1249" i="16"/>
  <c r="U1227" i="16"/>
  <c r="U1207" i="16"/>
  <c r="U1185" i="16"/>
  <c r="U1163" i="16"/>
  <c r="U1143" i="16"/>
  <c r="U1121" i="16"/>
  <c r="U1099" i="16"/>
  <c r="U1079" i="16"/>
  <c r="U1057" i="16"/>
  <c r="U1035" i="16"/>
  <c r="U1015" i="16"/>
  <c r="U993" i="16"/>
  <c r="U971" i="16"/>
  <c r="U951" i="16"/>
  <c r="U929" i="16"/>
  <c r="U907" i="16"/>
  <c r="U887" i="16"/>
  <c r="U865" i="16"/>
  <c r="U843" i="16"/>
  <c r="U823" i="16"/>
  <c r="U801" i="16"/>
  <c r="U779" i="16"/>
  <c r="U759" i="16"/>
  <c r="U737" i="16"/>
  <c r="U715" i="16"/>
  <c r="U695" i="16"/>
  <c r="U673" i="16"/>
  <c r="U651" i="16"/>
  <c r="U631" i="16"/>
  <c r="U609" i="16"/>
  <c r="U590" i="16"/>
  <c r="U574" i="16"/>
  <c r="U558" i="16"/>
  <c r="U542" i="16"/>
  <c r="U526" i="16"/>
  <c r="U510" i="16"/>
  <c r="U494" i="16"/>
  <c r="U481" i="16"/>
  <c r="U469" i="16"/>
  <c r="U455" i="16"/>
  <c r="U443" i="16"/>
  <c r="U430" i="16"/>
  <c r="U417" i="16"/>
  <c r="U405" i="16"/>
  <c r="U394" i="16"/>
  <c r="U383" i="16"/>
  <c r="U373" i="16"/>
  <c r="U362" i="16"/>
  <c r="U351" i="16"/>
  <c r="U342" i="16"/>
  <c r="U333" i="16"/>
  <c r="U323" i="16"/>
  <c r="U314" i="16"/>
  <c r="U305" i="16"/>
  <c r="U296" i="16"/>
  <c r="U287" i="16"/>
  <c r="U278" i="16"/>
  <c r="U269" i="16"/>
  <c r="U259" i="16"/>
  <c r="U250" i="16"/>
  <c r="U241" i="16"/>
  <c r="U232" i="16"/>
  <c r="U223" i="16"/>
  <c r="U214" i="16"/>
  <c r="U205" i="16"/>
  <c r="U195" i="16"/>
  <c r="U186" i="16"/>
  <c r="U177" i="16"/>
  <c r="U168" i="16"/>
  <c r="U159" i="16"/>
  <c r="U150" i="16"/>
  <c r="U141" i="16"/>
  <c r="U131" i="16"/>
  <c r="U122" i="16"/>
  <c r="U113" i="16"/>
  <c r="U104" i="16"/>
  <c r="U95" i="16"/>
  <c r="U86" i="16"/>
  <c r="U77" i="16"/>
  <c r="U67" i="16"/>
  <c r="U58" i="16"/>
  <c r="U49" i="16"/>
  <c r="U40" i="16"/>
  <c r="U31" i="16"/>
  <c r="U22" i="16"/>
  <c r="U13" i="16"/>
  <c r="U3" i="16"/>
  <c r="U1523" i="16"/>
  <c r="U1503" i="16"/>
  <c r="U1481" i="16"/>
  <c r="U1459" i="16"/>
  <c r="U1439" i="16"/>
  <c r="U1417" i="16"/>
  <c r="U1395" i="16"/>
  <c r="U1375" i="16"/>
  <c r="U1353" i="16"/>
  <c r="U1331" i="16"/>
  <c r="U1311" i="16"/>
  <c r="U1289" i="16"/>
  <c r="U1267" i="16"/>
  <c r="U1247" i="16"/>
  <c r="U1225" i="16"/>
  <c r="U1203" i="16"/>
  <c r="U1183" i="16"/>
  <c r="U1161" i="16"/>
  <c r="U1139" i="16"/>
  <c r="U1119" i="16"/>
  <c r="U1097" i="16"/>
  <c r="U1075" i="16"/>
  <c r="U1055" i="16"/>
  <c r="U1033" i="16"/>
  <c r="U1011" i="16"/>
  <c r="U991" i="16"/>
  <c r="U969" i="16"/>
  <c r="U947" i="16"/>
  <c r="U927" i="16"/>
  <c r="U905" i="16"/>
  <c r="U883" i="16"/>
  <c r="U863" i="16"/>
  <c r="U841" i="16"/>
  <c r="U819" i="16"/>
  <c r="U799" i="16"/>
  <c r="U777" i="16"/>
  <c r="U755" i="16"/>
  <c r="U735" i="16"/>
  <c r="U713" i="16"/>
  <c r="U691" i="16"/>
  <c r="U671" i="16"/>
  <c r="U649" i="16"/>
  <c r="U627" i="16"/>
  <c r="U607" i="16"/>
  <c r="U587" i="16"/>
  <c r="U571" i="16"/>
  <c r="U555" i="16"/>
  <c r="U539" i="16"/>
  <c r="U523" i="16"/>
  <c r="U507" i="16"/>
  <c r="U493" i="16"/>
  <c r="U479" i="16"/>
  <c r="U467" i="16"/>
  <c r="U454" i="16"/>
  <c r="U441" i="16"/>
  <c r="U429" i="16"/>
  <c r="U415" i="16"/>
  <c r="U403" i="16"/>
  <c r="U393" i="16"/>
  <c r="U382" i="16"/>
  <c r="U371" i="16"/>
  <c r="U361" i="16"/>
  <c r="U350" i="16"/>
  <c r="U341" i="16"/>
  <c r="U331" i="16"/>
  <c r="U322" i="16"/>
  <c r="U313" i="16"/>
  <c r="U304" i="16"/>
  <c r="U295" i="16"/>
  <c r="U286" i="16"/>
  <c r="U277" i="16"/>
  <c r="U267" i="16"/>
  <c r="U258" i="16"/>
  <c r="U249" i="16"/>
  <c r="U240" i="16"/>
  <c r="U231" i="16"/>
  <c r="U222" i="16"/>
  <c r="U213" i="16"/>
  <c r="U203" i="16"/>
  <c r="U194" i="16"/>
  <c r="U1521" i="16"/>
  <c r="U1499" i="16"/>
  <c r="U1479" i="16"/>
  <c r="U1457" i="16"/>
  <c r="U1435" i="16"/>
  <c r="U1415" i="16"/>
  <c r="U1393" i="16"/>
  <c r="U1371" i="16"/>
  <c r="U1351" i="16"/>
  <c r="U1329" i="16"/>
  <c r="U1307" i="16"/>
  <c r="U1287" i="16"/>
  <c r="U1265" i="16"/>
  <c r="U1243" i="16"/>
  <c r="U1223" i="16"/>
  <c r="U1201" i="16"/>
  <c r="U1179" i="16"/>
  <c r="U1159" i="16"/>
  <c r="U1137" i="16"/>
  <c r="U1115" i="16"/>
  <c r="U1095" i="16"/>
  <c r="U1073" i="16"/>
  <c r="U1051" i="16"/>
  <c r="U1031" i="16"/>
  <c r="U1009" i="16"/>
  <c r="U987" i="16"/>
  <c r="U967" i="16"/>
  <c r="U945" i="16"/>
  <c r="U923" i="16"/>
  <c r="U903" i="16"/>
  <c r="U881" i="16"/>
  <c r="U859" i="16"/>
  <c r="U839" i="16"/>
  <c r="U817" i="16"/>
  <c r="U795" i="16"/>
  <c r="U775" i="16"/>
  <c r="U753" i="16"/>
  <c r="U731" i="16"/>
  <c r="U711" i="16"/>
  <c r="U689" i="16"/>
  <c r="U667" i="16"/>
  <c r="U647" i="16"/>
  <c r="U625" i="16"/>
  <c r="U603" i="16"/>
  <c r="U585" i="16"/>
  <c r="U569" i="16"/>
  <c r="U553" i="16"/>
  <c r="U537" i="16"/>
  <c r="U521" i="16"/>
  <c r="U505" i="16"/>
  <c r="U491" i="16"/>
  <c r="U478" i="16"/>
  <c r="U465" i="16"/>
  <c r="U453" i="16"/>
  <c r="U439" i="16"/>
  <c r="U427" i="16"/>
  <c r="U414" i="16"/>
  <c r="U402" i="16"/>
  <c r="U391" i="16"/>
  <c r="U381" i="16"/>
  <c r="U370" i="16"/>
  <c r="U359" i="16"/>
  <c r="U349" i="16"/>
  <c r="U339" i="16"/>
  <c r="U330" i="16"/>
  <c r="U321" i="16"/>
  <c r="U312" i="16"/>
  <c r="U303" i="16"/>
  <c r="U294" i="16"/>
  <c r="U285" i="16"/>
  <c r="U275" i="16"/>
  <c r="U266" i="16"/>
  <c r="U257" i="16"/>
  <c r="U248" i="16"/>
  <c r="U239" i="16"/>
  <c r="U230" i="16"/>
  <c r="U221" i="16"/>
  <c r="U211" i="16"/>
  <c r="U202" i="16"/>
  <c r="U193" i="16"/>
  <c r="U184" i="16"/>
  <c r="U175" i="16"/>
  <c r="U166" i="16"/>
  <c r="U157" i="16"/>
  <c r="U147" i="16"/>
  <c r="U138" i="16"/>
  <c r="U129" i="16"/>
  <c r="U120" i="16"/>
  <c r="U111" i="16"/>
  <c r="U102" i="16"/>
  <c r="U93" i="16"/>
  <c r="U83" i="16"/>
  <c r="U74" i="16"/>
  <c r="U65" i="16"/>
  <c r="U56" i="16"/>
  <c r="U47" i="16"/>
  <c r="U38" i="16"/>
  <c r="U29" i="16"/>
  <c r="U19" i="16"/>
  <c r="U10" i="16"/>
  <c r="U2" i="16"/>
  <c r="U1519" i="16"/>
  <c r="U1497" i="16"/>
  <c r="U1475" i="16"/>
  <c r="U1455" i="16"/>
  <c r="U1433" i="16"/>
  <c r="U1411" i="16"/>
  <c r="U1391" i="16"/>
  <c r="U1369" i="16"/>
  <c r="U1347" i="16"/>
  <c r="U1327" i="16"/>
  <c r="U1305" i="16"/>
  <c r="U1283" i="16"/>
  <c r="U1263" i="16"/>
  <c r="U1241" i="16"/>
  <c r="U1219" i="16"/>
  <c r="U1199" i="16"/>
  <c r="U1177" i="16"/>
  <c r="U1155" i="16"/>
  <c r="U1135" i="16"/>
  <c r="U1113" i="16"/>
  <c r="U1091" i="16"/>
  <c r="U1071" i="16"/>
  <c r="U1049" i="16"/>
  <c r="U1027" i="16"/>
  <c r="U1007" i="16"/>
  <c r="U985" i="16"/>
  <c r="U963" i="16"/>
  <c r="U943" i="16"/>
  <c r="U921" i="16"/>
  <c r="U899" i="16"/>
  <c r="U879" i="16"/>
  <c r="U857" i="16"/>
  <c r="U835" i="16"/>
  <c r="U815" i="16"/>
  <c r="U793" i="16"/>
  <c r="U771" i="16"/>
  <c r="U751" i="16"/>
  <c r="U729" i="16"/>
  <c r="U707" i="16"/>
  <c r="U687" i="16"/>
  <c r="U665" i="16"/>
  <c r="U643" i="16"/>
  <c r="U623" i="16"/>
  <c r="U601" i="16"/>
  <c r="U583" i="16"/>
  <c r="U567" i="16"/>
  <c r="U551" i="16"/>
  <c r="U535" i="16"/>
  <c r="U519" i="16"/>
  <c r="U503" i="16"/>
  <c r="U489" i="16"/>
  <c r="U477" i="16"/>
  <c r="U463" i="16"/>
  <c r="U451" i="16"/>
  <c r="U438" i="16"/>
  <c r="U425" i="16"/>
  <c r="U413" i="16"/>
  <c r="U401" i="16"/>
  <c r="U390" i="16"/>
  <c r="U379" i="16"/>
  <c r="U369" i="16"/>
  <c r="U358" i="16"/>
  <c r="U347" i="16"/>
  <c r="U338" i="16"/>
  <c r="U329" i="16"/>
  <c r="U320" i="16"/>
  <c r="U311" i="16"/>
  <c r="U302" i="16"/>
  <c r="U293" i="16"/>
  <c r="U283" i="16"/>
  <c r="U274" i="16"/>
  <c r="U265" i="16"/>
  <c r="U256" i="16"/>
  <c r="U247" i="16"/>
  <c r="U238" i="16"/>
  <c r="U229" i="16"/>
  <c r="U219" i="16"/>
  <c r="U210" i="16"/>
  <c r="U201" i="16"/>
  <c r="U192" i="16"/>
  <c r="U183" i="16"/>
  <c r="U174" i="16"/>
  <c r="U165" i="16"/>
  <c r="U155" i="16"/>
  <c r="U146" i="16"/>
  <c r="U137" i="16"/>
  <c r="U128" i="16"/>
  <c r="U119" i="16"/>
  <c r="U110" i="16"/>
  <c r="U101" i="16"/>
  <c r="U91" i="16"/>
  <c r="U82" i="16"/>
  <c r="U73" i="16"/>
  <c r="U64" i="16"/>
  <c r="U55" i="16"/>
  <c r="U46" i="16"/>
  <c r="U37" i="16"/>
  <c r="U27" i="16"/>
  <c r="U18" i="16"/>
  <c r="U9" i="16"/>
  <c r="U1515" i="16"/>
  <c r="U1495" i="16"/>
  <c r="U1473" i="16"/>
  <c r="U1451" i="16"/>
  <c r="U1431" i="16"/>
  <c r="U1409" i="16"/>
  <c r="U1387" i="16"/>
  <c r="U1367" i="16"/>
  <c r="U1345" i="16"/>
  <c r="U1323" i="16"/>
  <c r="U1303" i="16"/>
  <c r="U1281" i="16"/>
  <c r="U1259" i="16"/>
  <c r="U1239" i="16"/>
  <c r="U1217" i="16"/>
  <c r="U1195" i="16"/>
  <c r="U1175" i="16"/>
  <c r="U1153" i="16"/>
  <c r="U1131" i="16"/>
  <c r="U1111" i="16"/>
  <c r="U1089" i="16"/>
  <c r="U1067" i="16"/>
  <c r="U1047" i="16"/>
  <c r="U1025" i="16"/>
  <c r="U1003" i="16"/>
  <c r="U983" i="16"/>
  <c r="U961" i="16"/>
  <c r="U939" i="16"/>
  <c r="U919" i="16"/>
  <c r="U897" i="16"/>
  <c r="U875" i="16"/>
  <c r="U855" i="16"/>
  <c r="U833" i="16"/>
  <c r="U811" i="16"/>
  <c r="U791" i="16"/>
  <c r="U769" i="16"/>
  <c r="U747" i="16"/>
  <c r="U727" i="16"/>
  <c r="U705" i="16"/>
  <c r="U683" i="16"/>
  <c r="U663" i="16"/>
  <c r="U641" i="16"/>
  <c r="U619" i="16"/>
  <c r="U599" i="16"/>
  <c r="U582" i="16"/>
  <c r="U566" i="16"/>
  <c r="U550" i="16"/>
  <c r="U534" i="16"/>
  <c r="U518" i="16"/>
  <c r="U502" i="16"/>
  <c r="U487" i="16"/>
  <c r="U475" i="16"/>
  <c r="U462" i="16"/>
  <c r="U449" i="16"/>
  <c r="U437" i="16"/>
  <c r="U423" i="16"/>
  <c r="U411" i="16"/>
  <c r="U399" i="16"/>
  <c r="U389" i="16"/>
  <c r="U378" i="16"/>
  <c r="U367" i="16"/>
  <c r="U357" i="16"/>
  <c r="U346" i="16"/>
  <c r="U337" i="16"/>
  <c r="U328" i="16"/>
  <c r="U319" i="16"/>
  <c r="U310" i="16"/>
  <c r="U301" i="16"/>
  <c r="U291" i="16"/>
  <c r="U282" i="16"/>
  <c r="U273" i="16"/>
  <c r="U264" i="16"/>
  <c r="U255" i="16"/>
  <c r="U246" i="16"/>
  <c r="U237" i="16"/>
  <c r="U227" i="16"/>
  <c r="U218" i="16"/>
  <c r="U209" i="16"/>
  <c r="U200" i="16"/>
  <c r="U191" i="16"/>
  <c r="U182" i="16"/>
  <c r="U173" i="16"/>
  <c r="U163" i="16"/>
  <c r="U154" i="16"/>
  <c r="U145" i="16"/>
  <c r="U136" i="16"/>
  <c r="U127" i="16"/>
  <c r="U118" i="16"/>
  <c r="U109" i="16"/>
  <c r="U99" i="16"/>
  <c r="U90" i="16"/>
  <c r="U81" i="16"/>
  <c r="U72" i="16"/>
  <c r="U63" i="16"/>
  <c r="U54" i="16"/>
  <c r="U45" i="16"/>
  <c r="U35" i="16"/>
  <c r="U26" i="16"/>
  <c r="U17" i="16"/>
  <c r="U8" i="16"/>
  <c r="U1535" i="16"/>
  <c r="U1513" i="16"/>
  <c r="U1491" i="16"/>
  <c r="U1471" i="16"/>
  <c r="U1449" i="16"/>
  <c r="U1427" i="16"/>
  <c r="U1407" i="16"/>
  <c r="U1385" i="16"/>
  <c r="U1363" i="16"/>
  <c r="U1343" i="16"/>
  <c r="U1321" i="16"/>
  <c r="U1299" i="16"/>
  <c r="U1279" i="16"/>
  <c r="U1257" i="16"/>
  <c r="U1235" i="16"/>
  <c r="U1215" i="16"/>
  <c r="U1193" i="16"/>
  <c r="U1171" i="16"/>
  <c r="U1151" i="16"/>
  <c r="U1129" i="16"/>
  <c r="U1107" i="16"/>
  <c r="U1087" i="16"/>
  <c r="U1065" i="16"/>
  <c r="U1043" i="16"/>
  <c r="U1023" i="16"/>
  <c r="U1001" i="16"/>
  <c r="U979" i="16"/>
  <c r="U959" i="16"/>
  <c r="U937" i="16"/>
  <c r="U915" i="16"/>
  <c r="U895" i="16"/>
  <c r="U873" i="16"/>
  <c r="U851" i="16"/>
  <c r="U831" i="16"/>
  <c r="U809" i="16"/>
  <c r="U787" i="16"/>
  <c r="U767" i="16"/>
  <c r="U745" i="16"/>
  <c r="U723" i="16"/>
  <c r="U703" i="16"/>
  <c r="U681" i="16"/>
  <c r="U659" i="16"/>
  <c r="U639" i="16"/>
  <c r="U617" i="16"/>
  <c r="U595" i="16"/>
  <c r="U579" i="16"/>
  <c r="U563" i="16"/>
  <c r="U547" i="16"/>
  <c r="U531" i="16"/>
  <c r="U515" i="16"/>
  <c r="U499" i="16"/>
  <c r="U486" i="16"/>
  <c r="U473" i="16"/>
  <c r="U461" i="16"/>
  <c r="U447" i="16"/>
  <c r="U435" i="16"/>
  <c r="U422" i="16"/>
  <c r="U409" i="16"/>
  <c r="U398" i="16"/>
  <c r="U387" i="16"/>
  <c r="U377" i="16"/>
  <c r="U366" i="16"/>
  <c r="U355" i="16"/>
  <c r="U345" i="16"/>
  <c r="U336" i="16"/>
  <c r="U327" i="16"/>
  <c r="U318" i="16"/>
  <c r="U309" i="16"/>
  <c r="U299" i="16"/>
  <c r="U290" i="16"/>
  <c r="U281" i="16"/>
  <c r="U272" i="16"/>
  <c r="U263" i="16"/>
  <c r="U254" i="16"/>
  <c r="U245" i="16"/>
  <c r="U235" i="16"/>
  <c r="U226" i="16"/>
  <c r="U1531" i="16"/>
  <c r="U1511" i="16"/>
  <c r="U1489" i="16"/>
  <c r="U1467" i="16"/>
  <c r="U1447" i="16"/>
  <c r="U1425" i="16"/>
  <c r="U1403" i="16"/>
  <c r="U1383" i="16"/>
  <c r="U1361" i="16"/>
  <c r="U1339" i="16"/>
  <c r="U1319" i="16"/>
  <c r="U1297" i="16"/>
  <c r="U1275" i="16"/>
  <c r="U1255" i="16"/>
  <c r="U1233" i="16"/>
  <c r="U1211" i="16"/>
  <c r="U1191" i="16"/>
  <c r="U1169" i="16"/>
  <c r="U1147" i="16"/>
  <c r="U1127" i="16"/>
  <c r="U1105" i="16"/>
  <c r="U1083" i="16"/>
  <c r="U1063" i="16"/>
  <c r="U1041" i="16"/>
  <c r="U1019" i="16"/>
  <c r="U999" i="16"/>
  <c r="U977" i="16"/>
  <c r="U955" i="16"/>
  <c r="U935" i="16"/>
  <c r="U913" i="16"/>
  <c r="U891" i="16"/>
  <c r="U871" i="16"/>
  <c r="U849" i="16"/>
  <c r="U827" i="16"/>
  <c r="U807" i="16"/>
  <c r="U785" i="16"/>
  <c r="U763" i="16"/>
  <c r="U743" i="16"/>
  <c r="U721" i="16"/>
  <c r="U699" i="16"/>
  <c r="U679" i="16"/>
  <c r="U657" i="16"/>
  <c r="U635" i="16"/>
  <c r="U615" i="16"/>
  <c r="U593" i="16"/>
  <c r="U577" i="16"/>
  <c r="U561" i="16"/>
  <c r="U545" i="16"/>
  <c r="U529" i="16"/>
  <c r="U513" i="16"/>
  <c r="U497" i="16"/>
  <c r="U485" i="16"/>
  <c r="U471" i="16"/>
  <c r="U459" i="16"/>
  <c r="U446" i="16"/>
  <c r="U433" i="16"/>
  <c r="U421" i="16"/>
  <c r="U407" i="16"/>
  <c r="U397" i="16"/>
  <c r="U386" i="16"/>
  <c r="U375" i="16"/>
  <c r="U365" i="16"/>
  <c r="U354" i="16"/>
  <c r="U344" i="16"/>
  <c r="U335" i="16"/>
  <c r="U326" i="16"/>
  <c r="U317" i="16"/>
  <c r="U307" i="16"/>
  <c r="U298" i="16"/>
  <c r="U289" i="16"/>
  <c r="U280" i="16"/>
  <c r="U271" i="16"/>
  <c r="U262" i="16"/>
  <c r="U253" i="16"/>
  <c r="U243" i="16"/>
  <c r="U234" i="16"/>
  <c r="U225" i="16"/>
  <c r="U216" i="16"/>
  <c r="U207" i="16"/>
  <c r="U198" i="16"/>
  <c r="U189" i="16"/>
  <c r="U179" i="16"/>
  <c r="U170" i="16"/>
  <c r="U161" i="16"/>
  <c r="U152" i="16"/>
  <c r="U143" i="16"/>
  <c r="U134" i="16"/>
  <c r="U125" i="16"/>
  <c r="U115" i="16"/>
  <c r="U106" i="16"/>
  <c r="U97" i="16"/>
  <c r="U88" i="16"/>
  <c r="U79" i="16"/>
  <c r="U70" i="16"/>
  <c r="U61" i="16"/>
  <c r="U51" i="16"/>
  <c r="U42" i="16"/>
  <c r="U33" i="16"/>
  <c r="U24" i="16"/>
  <c r="U15" i="16"/>
  <c r="U6" i="16"/>
  <c r="U1529" i="16"/>
  <c r="U1507" i="16"/>
  <c r="U1487" i="16"/>
  <c r="U1465" i="16"/>
  <c r="U1443" i="16"/>
  <c r="U1423" i="16"/>
  <c r="U1401" i="16"/>
  <c r="U1379" i="16"/>
  <c r="U1359" i="16"/>
  <c r="U1337" i="16"/>
  <c r="U1315" i="16"/>
  <c r="U1295" i="16"/>
  <c r="U1273" i="16"/>
  <c r="U1251" i="16"/>
  <c r="U1231" i="16"/>
  <c r="U1209" i="16"/>
  <c r="U1187" i="16"/>
  <c r="U1167" i="16"/>
  <c r="U1145" i="16"/>
  <c r="U1123" i="16"/>
  <c r="U1103" i="16"/>
  <c r="U1081" i="16"/>
  <c r="U1059" i="16"/>
  <c r="U1039" i="16"/>
  <c r="U1017" i="16"/>
  <c r="U995" i="16"/>
  <c r="U975" i="16"/>
  <c r="U953" i="16"/>
  <c r="U931" i="16"/>
  <c r="U911" i="16"/>
  <c r="U889" i="16"/>
  <c r="U867" i="16"/>
  <c r="U847" i="16"/>
  <c r="U825" i="16"/>
  <c r="U803" i="16"/>
  <c r="U783" i="16"/>
  <c r="U761" i="16"/>
  <c r="U739" i="16"/>
  <c r="U719" i="16"/>
  <c r="U697" i="16"/>
  <c r="U675" i="16"/>
  <c r="U655" i="16"/>
  <c r="U633" i="16"/>
  <c r="U611" i="16"/>
  <c r="U591" i="16"/>
  <c r="U575" i="16"/>
  <c r="U559" i="16"/>
  <c r="U543" i="16"/>
  <c r="U527" i="16"/>
  <c r="U511" i="16"/>
  <c r="U495" i="16"/>
  <c r="U483" i="16"/>
  <c r="U470" i="16"/>
  <c r="U457" i="16"/>
  <c r="U445" i="16"/>
  <c r="U431" i="16"/>
  <c r="U419" i="16"/>
  <c r="U406" i="16"/>
  <c r="U395" i="16"/>
  <c r="U385" i="16"/>
  <c r="U374" i="16"/>
  <c r="U363" i="16"/>
  <c r="U353" i="16"/>
  <c r="U343" i="16"/>
  <c r="U334" i="16"/>
  <c r="U325" i="16"/>
  <c r="U315" i="16"/>
  <c r="U306" i="16"/>
  <c r="U297" i="16"/>
  <c r="U288" i="16"/>
  <c r="U279" i="16"/>
  <c r="U270" i="16"/>
  <c r="U261" i="16"/>
  <c r="U251" i="16"/>
  <c r="U242" i="16"/>
  <c r="U233" i="16"/>
  <c r="U224" i="16"/>
  <c r="U215" i="16"/>
  <c r="U206" i="16"/>
  <c r="U197" i="16"/>
  <c r="U187" i="16"/>
  <c r="U178" i="16"/>
  <c r="U169" i="16"/>
  <c r="U160" i="16"/>
  <c r="U151" i="16"/>
  <c r="U142" i="16"/>
  <c r="U133" i="16"/>
  <c r="U123" i="16"/>
  <c r="U114" i="16"/>
  <c r="U105" i="16"/>
  <c r="U96" i="16"/>
  <c r="U87" i="16"/>
  <c r="U78" i="16"/>
  <c r="U69" i="16"/>
  <c r="U59" i="16"/>
  <c r="U50" i="16"/>
  <c r="U41" i="16"/>
  <c r="U32" i="16"/>
  <c r="U23" i="16"/>
  <c r="U14" i="16"/>
  <c r="U5" i="16"/>
  <c r="U39" i="16"/>
  <c r="U75" i="16"/>
  <c r="U112" i="16"/>
  <c r="U149" i="16"/>
  <c r="U185" i="16"/>
  <c r="S1532" i="16"/>
  <c r="S1524" i="16"/>
  <c r="S1516" i="16"/>
  <c r="S1508" i="16"/>
  <c r="S1500" i="16"/>
  <c r="S1492" i="16"/>
  <c r="S1484" i="16"/>
  <c r="S1476" i="16"/>
  <c r="S1468" i="16"/>
  <c r="S1460" i="16"/>
  <c r="S1452" i="16"/>
  <c r="S1444" i="16"/>
  <c r="S1436" i="16"/>
  <c r="S1428" i="16"/>
  <c r="S1420" i="16"/>
  <c r="S1412" i="16"/>
  <c r="S1404" i="16"/>
  <c r="S1396" i="16"/>
  <c r="S1388" i="16"/>
  <c r="S1380" i="16"/>
  <c r="S1372" i="16"/>
  <c r="S1364" i="16"/>
  <c r="S1356" i="16"/>
  <c r="S1348" i="16"/>
  <c r="S1340" i="16"/>
  <c r="S1332" i="16"/>
  <c r="S1324" i="16"/>
  <c r="S1316" i="16"/>
  <c r="S1308" i="16"/>
  <c r="S1300" i="16"/>
  <c r="S1292" i="16"/>
  <c r="S1284" i="16"/>
  <c r="S1276" i="16"/>
  <c r="S1268" i="16"/>
  <c r="S1260" i="16"/>
  <c r="S1252" i="16"/>
  <c r="S1244" i="16"/>
  <c r="S1236" i="16"/>
  <c r="S1228" i="16"/>
  <c r="S1220" i="16"/>
  <c r="S1212" i="16"/>
  <c r="S1204" i="16"/>
  <c r="S1196" i="16"/>
  <c r="S1188" i="16"/>
  <c r="S1180" i="16"/>
  <c r="S1172" i="16"/>
  <c r="S1164" i="16"/>
  <c r="S1156" i="16"/>
  <c r="S1148" i="16"/>
  <c r="S1140" i="16"/>
  <c r="S1132" i="16"/>
  <c r="S1124" i="16"/>
  <c r="S1116" i="16"/>
  <c r="S1108" i="16"/>
  <c r="S1100" i="16"/>
  <c r="S1092" i="16"/>
  <c r="S1084" i="16"/>
  <c r="S1076" i="16"/>
  <c r="S1068" i="16"/>
  <c r="S1060" i="16"/>
  <c r="S1052" i="16"/>
  <c r="S1530" i="16"/>
  <c r="S1522" i="16"/>
  <c r="S1514" i="16"/>
  <c r="S1506" i="16"/>
  <c r="S1498" i="16"/>
  <c r="S1490" i="16"/>
  <c r="S1482" i="16"/>
  <c r="S1474" i="16"/>
  <c r="S1466" i="16"/>
  <c r="S1458" i="16"/>
  <c r="S1450" i="16"/>
  <c r="S1442" i="16"/>
  <c r="S1434" i="16"/>
  <c r="S1426" i="16"/>
  <c r="S1418" i="16"/>
  <c r="S1410" i="16"/>
  <c r="S1402" i="16"/>
  <c r="S1394" i="16"/>
  <c r="S1386" i="16"/>
  <c r="S1378" i="16"/>
  <c r="S1370" i="16"/>
  <c r="S1362" i="16"/>
  <c r="S1354" i="16"/>
  <c r="S1346" i="16"/>
  <c r="S1338" i="16"/>
  <c r="S1330" i="16"/>
  <c r="S1322" i="16"/>
  <c r="S1314" i="16"/>
  <c r="S1306" i="16"/>
  <c r="S1298" i="16"/>
  <c r="S1290" i="16"/>
  <c r="S1282" i="16"/>
  <c r="S1274" i="16"/>
  <c r="S1266" i="16"/>
  <c r="S1258" i="16"/>
  <c r="S1250" i="16"/>
  <c r="S1242" i="16"/>
  <c r="S1234" i="16"/>
  <c r="S1226" i="16"/>
  <c r="S1218" i="16"/>
  <c r="S1210" i="16"/>
  <c r="S1202" i="16"/>
  <c r="S1194" i="16"/>
  <c r="S1186" i="16"/>
  <c r="S1178" i="16"/>
  <c r="S1170" i="16"/>
  <c r="S1162" i="16"/>
  <c r="S1154" i="16"/>
  <c r="S1146" i="16"/>
  <c r="S1138" i="16"/>
  <c r="S1130" i="16"/>
  <c r="S1122" i="16"/>
  <c r="S1528" i="16"/>
  <c r="S1520" i="16"/>
  <c r="S1512" i="16"/>
  <c r="S1504" i="16"/>
  <c r="S1496" i="16"/>
  <c r="S1488" i="16"/>
  <c r="S1480" i="16"/>
  <c r="S1472" i="16"/>
  <c r="S1464" i="16"/>
  <c r="S1456" i="16"/>
  <c r="S1448" i="16"/>
  <c r="S1440" i="16"/>
  <c r="S1432" i="16"/>
  <c r="S1424" i="16"/>
  <c r="S1416" i="16"/>
  <c r="S1408" i="16"/>
  <c r="S1400" i="16"/>
  <c r="S1392" i="16"/>
  <c r="S1384" i="16"/>
  <c r="S1376" i="16"/>
  <c r="S1368" i="16"/>
  <c r="S1360" i="16"/>
  <c r="S1352" i="16"/>
  <c r="S1344" i="16"/>
  <c r="S1336" i="16"/>
  <c r="S1328" i="16"/>
  <c r="S1320" i="16"/>
  <c r="S1312" i="16"/>
  <c r="S1304" i="16"/>
  <c r="S1296" i="16"/>
  <c r="S1288" i="16"/>
  <c r="S1280" i="16"/>
  <c r="S1534" i="16"/>
  <c r="S1526" i="16"/>
  <c r="S1518" i="16"/>
  <c r="S1510" i="16"/>
  <c r="S1502" i="16"/>
  <c r="S1494" i="16"/>
  <c r="S1486" i="16"/>
  <c r="S10" i="16"/>
  <c r="S18" i="16"/>
  <c r="S26" i="16"/>
  <c r="S34" i="16"/>
  <c r="S42" i="16"/>
  <c r="S50" i="16"/>
  <c r="S58" i="16"/>
  <c r="S66" i="16"/>
  <c r="S74" i="16"/>
  <c r="S82" i="16"/>
  <c r="S90" i="16"/>
  <c r="S98" i="16"/>
  <c r="S106" i="16"/>
  <c r="S114" i="16"/>
  <c r="S122" i="16"/>
  <c r="S130" i="16"/>
  <c r="S138" i="16"/>
  <c r="S146" i="16"/>
  <c r="S154" i="16"/>
  <c r="S162" i="16"/>
  <c r="S170" i="16"/>
  <c r="S178" i="16"/>
  <c r="S186" i="16"/>
  <c r="S194" i="16"/>
  <c r="S202" i="16"/>
  <c r="S210" i="16"/>
  <c r="S218" i="16"/>
  <c r="S226" i="16"/>
  <c r="S234" i="16"/>
  <c r="S242" i="16"/>
  <c r="S250" i="16"/>
  <c r="S258" i="16"/>
  <c r="S266" i="16"/>
  <c r="S274" i="16"/>
  <c r="S282" i="16"/>
  <c r="S290" i="16"/>
  <c r="S298" i="16"/>
  <c r="S306" i="16"/>
  <c r="S314" i="16"/>
  <c r="S322" i="16"/>
  <c r="S330" i="16"/>
  <c r="S338" i="16"/>
  <c r="S346" i="16"/>
  <c r="S354" i="16"/>
  <c r="S362" i="16"/>
  <c r="S370" i="16"/>
  <c r="S378" i="16"/>
  <c r="S386" i="16"/>
  <c r="S394" i="16"/>
  <c r="S402" i="16"/>
  <c r="S410" i="16"/>
  <c r="S418" i="16"/>
  <c r="S426" i="16"/>
  <c r="S434" i="16"/>
  <c r="S442" i="16"/>
  <c r="S450" i="16"/>
  <c r="S458" i="16"/>
  <c r="S466" i="16"/>
  <c r="S474" i="16"/>
  <c r="S482" i="16"/>
  <c r="S490" i="16"/>
  <c r="S498" i="16"/>
  <c r="S506" i="16"/>
  <c r="S514" i="16"/>
  <c r="S522" i="16"/>
  <c r="S530" i="16"/>
  <c r="S538" i="16"/>
  <c r="S546" i="16"/>
  <c r="S554" i="16"/>
  <c r="S562" i="16"/>
  <c r="S570" i="16"/>
  <c r="S578" i="16"/>
  <c r="S586" i="16"/>
  <c r="S594" i="16"/>
  <c r="S602" i="16"/>
  <c r="S610" i="16"/>
  <c r="S618" i="16"/>
  <c r="S626" i="16"/>
  <c r="S634" i="16"/>
  <c r="S642" i="16"/>
  <c r="S650" i="16"/>
  <c r="S658" i="16"/>
  <c r="S666" i="16"/>
  <c r="S674" i="16"/>
  <c r="S682" i="16"/>
  <c r="S690" i="16"/>
  <c r="S698" i="16"/>
  <c r="S706" i="16"/>
  <c r="S714" i="16"/>
  <c r="S722" i="16"/>
  <c r="S730" i="16"/>
  <c r="S738" i="16"/>
  <c r="S746" i="16"/>
  <c r="S754" i="16"/>
  <c r="S762" i="16"/>
  <c r="S770" i="16"/>
  <c r="S778" i="16"/>
  <c r="S786" i="16"/>
  <c r="S794" i="16"/>
  <c r="S802" i="16"/>
  <c r="S810" i="16"/>
  <c r="S818" i="16"/>
  <c r="S826" i="16"/>
  <c r="S834" i="16"/>
  <c r="S842" i="16"/>
  <c r="S850" i="16"/>
  <c r="S858" i="16"/>
  <c r="S866" i="16"/>
  <c r="S874" i="16"/>
  <c r="S882" i="16"/>
  <c r="S890" i="16"/>
  <c r="S898" i="16"/>
  <c r="S906" i="16"/>
  <c r="S914" i="16"/>
  <c r="S922" i="16"/>
  <c r="S930" i="16"/>
  <c r="S938" i="16"/>
  <c r="S946" i="16"/>
  <c r="S954" i="16"/>
  <c r="S962" i="16"/>
  <c r="S970" i="16"/>
  <c r="S978" i="16"/>
  <c r="S986" i="16"/>
  <c r="S994" i="16"/>
  <c r="S1002" i="16"/>
  <c r="S1010" i="16"/>
  <c r="S1018" i="16"/>
  <c r="S1026" i="16"/>
  <c r="S1034" i="16"/>
  <c r="S1042" i="16"/>
  <c r="S1050" i="16"/>
  <c r="S1059" i="16"/>
  <c r="S1069" i="16"/>
  <c r="S1078" i="16"/>
  <c r="S1087" i="16"/>
  <c r="S1096" i="16"/>
  <c r="S1105" i="16"/>
  <c r="S1114" i="16"/>
  <c r="S1125" i="16"/>
  <c r="S1135" i="16"/>
  <c r="S1145" i="16"/>
  <c r="S1157" i="16"/>
  <c r="S1167" i="16"/>
  <c r="S1177" i="16"/>
  <c r="S1189" i="16"/>
  <c r="S1199" i="16"/>
  <c r="S1209" i="16"/>
  <c r="S1221" i="16"/>
  <c r="S1231" i="16"/>
  <c r="S1241" i="16"/>
  <c r="S1253" i="16"/>
  <c r="S1263" i="16"/>
  <c r="S1273" i="16"/>
  <c r="S1286" i="16"/>
  <c r="S1299" i="16"/>
  <c r="S1311" i="16"/>
  <c r="S1325" i="16"/>
  <c r="S1337" i="16"/>
  <c r="S1350" i="16"/>
  <c r="S1363" i="16"/>
  <c r="S1375" i="16"/>
  <c r="S1389" i="16"/>
  <c r="S1401" i="16"/>
  <c r="S1414" i="16"/>
  <c r="S1427" i="16"/>
  <c r="S1439" i="16"/>
  <c r="S1453" i="16"/>
  <c r="S1465" i="16"/>
  <c r="S1478" i="16"/>
  <c r="S1493" i="16"/>
  <c r="S1509" i="16"/>
  <c r="S1525" i="16"/>
  <c r="T6" i="16"/>
  <c r="T22" i="16"/>
  <c r="T38" i="16"/>
  <c r="T56" i="16"/>
  <c r="T78" i="16"/>
  <c r="T104" i="16"/>
  <c r="T136" i="16"/>
  <c r="T168" i="16"/>
  <c r="T200" i="16"/>
  <c r="T232" i="16"/>
  <c r="T264" i="16"/>
  <c r="T296" i="16"/>
  <c r="T328" i="16"/>
  <c r="T360" i="16"/>
  <c r="T392" i="16"/>
  <c r="T424" i="16"/>
  <c r="T456" i="16"/>
  <c r="T488" i="16"/>
  <c r="T520" i="16"/>
  <c r="T552" i="16"/>
  <c r="T584" i="16"/>
  <c r="T616" i="16"/>
  <c r="T648" i="16"/>
  <c r="T680" i="16"/>
  <c r="T712" i="16"/>
  <c r="T744" i="16"/>
  <c r="T776" i="16"/>
  <c r="T808" i="16"/>
  <c r="T840" i="16"/>
  <c r="T872" i="16"/>
  <c r="T904" i="16"/>
  <c r="T936" i="16"/>
  <c r="T968" i="16"/>
  <c r="T1000" i="16"/>
  <c r="T1032" i="16"/>
  <c r="T1064" i="16"/>
  <c r="T1096" i="16"/>
  <c r="T1128" i="16"/>
  <c r="T1160" i="16"/>
  <c r="T1192" i="16"/>
  <c r="T1224" i="16"/>
  <c r="T1256" i="16"/>
  <c r="T1288" i="16"/>
  <c r="T1322" i="16"/>
  <c r="T1359" i="16"/>
  <c r="T1396" i="16"/>
  <c r="T1432" i="16"/>
  <c r="T1469" i="16"/>
  <c r="T1505" i="16"/>
  <c r="U7" i="16"/>
  <c r="U43" i="16"/>
  <c r="U80" i="16"/>
  <c r="U117" i="16"/>
  <c r="U153" i="16"/>
  <c r="U190" i="16"/>
  <c r="V6" i="16"/>
  <c r="V14" i="16"/>
  <c r="V22" i="16"/>
  <c r="V30" i="16"/>
  <c r="V38" i="16"/>
  <c r="V46" i="16"/>
  <c r="V54" i="16"/>
  <c r="V62" i="16"/>
  <c r="V70" i="16"/>
  <c r="V78" i="16"/>
  <c r="V86" i="16"/>
  <c r="V94" i="16"/>
  <c r="V102" i="16"/>
  <c r="V110" i="16"/>
  <c r="V118" i="16"/>
  <c r="V126" i="16"/>
  <c r="V134" i="16"/>
  <c r="V142" i="16"/>
  <c r="V150" i="16"/>
  <c r="V158" i="16"/>
  <c r="V166" i="16"/>
  <c r="V174" i="16"/>
  <c r="V182" i="16"/>
  <c r="V190" i="16"/>
  <c r="V198" i="16"/>
  <c r="V206" i="16"/>
  <c r="V214" i="16"/>
  <c r="V222" i="16"/>
  <c r="V230" i="16"/>
  <c r="V238" i="16"/>
  <c r="V246" i="16"/>
  <c r="V254" i="16"/>
  <c r="V262" i="16"/>
  <c r="V270" i="16"/>
  <c r="V278" i="16"/>
  <c r="V286" i="16"/>
  <c r="V294" i="16"/>
  <c r="V304" i="16"/>
  <c r="V314" i="16"/>
  <c r="V326" i="16"/>
  <c r="V336" i="16"/>
  <c r="V346" i="16"/>
  <c r="V358" i="16"/>
  <c r="V368" i="16"/>
  <c r="V378" i="16"/>
  <c r="V390" i="16"/>
  <c r="V400" i="16"/>
  <c r="V410" i="16"/>
  <c r="V422" i="16"/>
  <c r="V434" i="16"/>
  <c r="V447" i="16"/>
  <c r="V459" i="16"/>
  <c r="V473" i="16"/>
  <c r="V486" i="16"/>
  <c r="V498" i="16"/>
  <c r="V511" i="16"/>
  <c r="V523" i="16"/>
  <c r="V537" i="16"/>
  <c r="V550" i="16"/>
  <c r="V562" i="16"/>
  <c r="V575" i="16"/>
  <c r="V587" i="16"/>
  <c r="V601" i="16"/>
  <c r="V614" i="16"/>
  <c r="V626" i="16"/>
  <c r="V639" i="16"/>
  <c r="V651" i="16"/>
  <c r="V665" i="16"/>
  <c r="V678" i="16"/>
  <c r="V690" i="16"/>
  <c r="V703" i="16"/>
  <c r="V715" i="16"/>
  <c r="V729" i="16"/>
  <c r="V742" i="16"/>
  <c r="V754" i="16"/>
  <c r="V767" i="16"/>
  <c r="V779" i="16"/>
  <c r="V793" i="16"/>
  <c r="V806" i="16"/>
  <c r="V818" i="16"/>
  <c r="V831" i="16"/>
  <c r="V843" i="16"/>
  <c r="V857" i="16"/>
  <c r="V870" i="16"/>
  <c r="V882" i="16"/>
  <c r="V895" i="16"/>
  <c r="V907" i="16"/>
  <c r="V921" i="16"/>
  <c r="V934" i="16"/>
  <c r="V946" i="16"/>
  <c r="V959" i="16"/>
  <c r="V971" i="16"/>
  <c r="V985" i="16"/>
  <c r="V1001" i="16"/>
  <c r="V1017" i="16"/>
  <c r="V1033" i="16"/>
  <c r="V1049" i="16"/>
  <c r="V1065" i="16"/>
  <c r="V1081" i="16"/>
  <c r="V1097" i="16"/>
  <c r="V1114" i="16"/>
  <c r="V1137" i="16"/>
  <c r="V1158" i="16"/>
  <c r="V1178" i="16"/>
  <c r="V1201" i="16"/>
  <c r="V1222" i="16"/>
  <c r="V1242" i="16"/>
  <c r="V1265" i="16"/>
  <c r="V1286" i="16"/>
  <c r="V1306" i="16"/>
  <c r="V1329" i="16"/>
  <c r="V1350" i="16"/>
  <c r="V1370" i="16"/>
  <c r="V1393" i="16"/>
  <c r="V1414" i="16"/>
  <c r="V1434" i="16"/>
  <c r="V1457" i="16"/>
  <c r="V1478" i="16"/>
  <c r="V1498" i="16"/>
  <c r="V1521" i="16"/>
  <c r="V7" i="16"/>
  <c r="V15" i="16"/>
  <c r="V23" i="16"/>
  <c r="V31" i="16"/>
  <c r="V39" i="16"/>
  <c r="V47" i="16"/>
  <c r="V55" i="16"/>
  <c r="V63" i="16"/>
  <c r="V71" i="16"/>
  <c r="V79" i="16"/>
  <c r="V87" i="16"/>
  <c r="V95" i="16"/>
  <c r="V103" i="16"/>
  <c r="V111" i="16"/>
  <c r="V119" i="16"/>
  <c r="V127" i="16"/>
  <c r="V135" i="16"/>
  <c r="V143" i="16"/>
  <c r="V151" i="16"/>
  <c r="V159" i="16"/>
  <c r="V167" i="16"/>
  <c r="V175" i="16"/>
  <c r="V183" i="16"/>
  <c r="V191" i="16"/>
  <c r="V199" i="16"/>
  <c r="V207" i="16"/>
  <c r="V215" i="16"/>
  <c r="V223" i="16"/>
  <c r="V231" i="16"/>
  <c r="V239" i="16"/>
  <c r="V247" i="16"/>
  <c r="V255" i="16"/>
  <c r="V263" i="16"/>
  <c r="V271" i="16"/>
  <c r="V279" i="16"/>
  <c r="V287" i="16"/>
  <c r="V295" i="16"/>
  <c r="V305" i="16"/>
  <c r="V315" i="16"/>
  <c r="V327" i="16"/>
  <c r="V337" i="16"/>
  <c r="V347" i="16"/>
  <c r="V359" i="16"/>
  <c r="V369" i="16"/>
  <c r="V379" i="16"/>
  <c r="V391" i="16"/>
  <c r="V401" i="16"/>
  <c r="V411" i="16"/>
  <c r="V423" i="16"/>
  <c r="V435" i="16"/>
  <c r="V449" i="16"/>
  <c r="V462" i="16"/>
  <c r="V474" i="16"/>
  <c r="V487" i="16"/>
  <c r="V499" i="16"/>
  <c r="V513" i="16"/>
  <c r="V526" i="16"/>
  <c r="V538" i="16"/>
  <c r="V551" i="16"/>
  <c r="V563" i="16"/>
  <c r="V577" i="16"/>
  <c r="V590" i="16"/>
  <c r="V602" i="16"/>
  <c r="V615" i="16"/>
  <c r="V627" i="16"/>
  <c r="V641" i="16"/>
  <c r="V654" i="16"/>
  <c r="V666" i="16"/>
  <c r="V679" i="16"/>
  <c r="V691" i="16"/>
  <c r="V705" i="16"/>
  <c r="V718" i="16"/>
  <c r="V730" i="16"/>
  <c r="V743" i="16"/>
  <c r="V755" i="16"/>
  <c r="V769" i="16"/>
  <c r="V782" i="16"/>
  <c r="V794" i="16"/>
  <c r="V807" i="16"/>
  <c r="V819" i="16"/>
  <c r="V833" i="16"/>
  <c r="V846" i="16"/>
  <c r="V858" i="16"/>
  <c r="V871" i="16"/>
  <c r="V883" i="16"/>
  <c r="V897" i="16"/>
  <c r="V910" i="16"/>
  <c r="V922" i="16"/>
  <c r="V935" i="16"/>
  <c r="V947" i="16"/>
  <c r="V961" i="16"/>
  <c r="V974" i="16"/>
  <c r="V986" i="16"/>
  <c r="V1002" i="16"/>
  <c r="V1018" i="16"/>
  <c r="V1034" i="16"/>
  <c r="V1050" i="16"/>
  <c r="V1066" i="16"/>
  <c r="V1082" i="16"/>
  <c r="V1098" i="16"/>
  <c r="V1118" i="16"/>
  <c r="V1138" i="16"/>
  <c r="V1161" i="16"/>
  <c r="V1182" i="16"/>
  <c r="V1202" i="16"/>
  <c r="V1225" i="16"/>
  <c r="V1246" i="16"/>
  <c r="V1266" i="16"/>
  <c r="V1289" i="16"/>
  <c r="V1310" i="16"/>
  <c r="V1330" i="16"/>
  <c r="V1353" i="16"/>
  <c r="V1374" i="16"/>
  <c r="V1394" i="16"/>
  <c r="V1417" i="16"/>
  <c r="V1438" i="16"/>
  <c r="V1458" i="16"/>
  <c r="V1481" i="16"/>
  <c r="V1502" i="16"/>
  <c r="V1522" i="16"/>
  <c r="V591" i="16"/>
  <c r="V603" i="16"/>
  <c r="V617" i="16"/>
  <c r="V630" i="16"/>
  <c r="V642" i="16"/>
  <c r="V655" i="16"/>
  <c r="V667" i="16"/>
  <c r="V681" i="16"/>
  <c r="V694" i="16"/>
  <c r="V706" i="16"/>
  <c r="V719" i="16"/>
  <c r="V731" i="16"/>
  <c r="V745" i="16"/>
  <c r="V758" i="16"/>
  <c r="V770" i="16"/>
  <c r="V783" i="16"/>
  <c r="V795" i="16"/>
  <c r="V809" i="16"/>
  <c r="V822" i="16"/>
  <c r="V834" i="16"/>
  <c r="V847" i="16"/>
  <c r="V859" i="16"/>
  <c r="V873" i="16"/>
  <c r="V886" i="16"/>
  <c r="V898" i="16"/>
  <c r="V911" i="16"/>
  <c r="V923" i="16"/>
  <c r="V937" i="16"/>
  <c r="V950" i="16"/>
  <c r="V962" i="16"/>
  <c r="V975" i="16"/>
  <c r="V987" i="16"/>
  <c r="V1003" i="16"/>
  <c r="V1019" i="16"/>
  <c r="V1035" i="16"/>
  <c r="V1051" i="16"/>
  <c r="V1067" i="16"/>
  <c r="V1083" i="16"/>
  <c r="V1099" i="16"/>
  <c r="V1121" i="16"/>
  <c r="V1142" i="16"/>
  <c r="V1162" i="16"/>
  <c r="V1185" i="16"/>
  <c r="V1206" i="16"/>
  <c r="V1226" i="16"/>
  <c r="V1249" i="16"/>
  <c r="V1270" i="16"/>
  <c r="V1290" i="16"/>
  <c r="V1313" i="16"/>
  <c r="V1334" i="16"/>
  <c r="V1354" i="16"/>
  <c r="V1377" i="16"/>
  <c r="V1398" i="16"/>
  <c r="V1418" i="16"/>
  <c r="V1441" i="16"/>
  <c r="V1462" i="16"/>
  <c r="V1482" i="16"/>
  <c r="V1505" i="16"/>
  <c r="V1526" i="16"/>
  <c r="V2" i="16"/>
  <c r="V9" i="16"/>
  <c r="V17" i="16"/>
  <c r="V25" i="16"/>
  <c r="V33" i="16"/>
  <c r="V41" i="16"/>
  <c r="V49" i="16"/>
  <c r="V57" i="16"/>
  <c r="V65" i="16"/>
  <c r="V73" i="16"/>
  <c r="V81" i="16"/>
  <c r="V89" i="16"/>
  <c r="V97" i="16"/>
  <c r="V105" i="16"/>
  <c r="V113" i="16"/>
  <c r="V121" i="16"/>
  <c r="V129" i="16"/>
  <c r="V137" i="16"/>
  <c r="V145" i="16"/>
  <c r="V153" i="16"/>
  <c r="V161" i="16"/>
  <c r="V169" i="16"/>
  <c r="V177" i="16"/>
  <c r="V185" i="16"/>
  <c r="V193" i="16"/>
  <c r="V201" i="16"/>
  <c r="V209" i="16"/>
  <c r="V217" i="16"/>
  <c r="V225" i="16"/>
  <c r="V233" i="16"/>
  <c r="V241" i="16"/>
  <c r="V249" i="16"/>
  <c r="V257" i="16"/>
  <c r="V265" i="16"/>
  <c r="V273" i="16"/>
  <c r="V281" i="16"/>
  <c r="V289" i="16"/>
  <c r="V297" i="16"/>
  <c r="V307" i="16"/>
  <c r="V319" i="16"/>
  <c r="V329" i="16"/>
  <c r="V339" i="16"/>
  <c r="V351" i="16"/>
  <c r="V361" i="16"/>
  <c r="V371" i="16"/>
  <c r="V383" i="16"/>
  <c r="V393" i="16"/>
  <c r="V403" i="16"/>
  <c r="V415" i="16"/>
  <c r="V426" i="16"/>
  <c r="V439" i="16"/>
  <c r="V451" i="16"/>
  <c r="V465" i="16"/>
  <c r="V478" i="16"/>
  <c r="V490" i="16"/>
  <c r="V503" i="16"/>
  <c r="V515" i="16"/>
  <c r="V529" i="16"/>
  <c r="V542" i="16"/>
  <c r="V554" i="16"/>
  <c r="V567" i="16"/>
  <c r="V579" i="16"/>
  <c r="V593" i="16"/>
  <c r="V606" i="16"/>
  <c r="V618" i="16"/>
  <c r="V631" i="16"/>
  <c r="V643" i="16"/>
  <c r="V657" i="16"/>
  <c r="V670" i="16"/>
  <c r="V682" i="16"/>
  <c r="V695" i="16"/>
  <c r="V707" i="16"/>
  <c r="V721" i="16"/>
  <c r="V734" i="16"/>
  <c r="V746" i="16"/>
  <c r="V759" i="16"/>
  <c r="V771" i="16"/>
  <c r="V785" i="16"/>
  <c r="V798" i="16"/>
  <c r="V810" i="16"/>
  <c r="V823" i="16"/>
  <c r="V835" i="16"/>
  <c r="V849" i="16"/>
  <c r="V862" i="16"/>
  <c r="V874" i="16"/>
  <c r="V887" i="16"/>
  <c r="V899" i="16"/>
  <c r="V913" i="16"/>
  <c r="V926" i="16"/>
  <c r="V938" i="16"/>
  <c r="V951" i="16"/>
  <c r="V963" i="16"/>
  <c r="V977" i="16"/>
  <c r="V990" i="16"/>
  <c r="V1006" i="16"/>
  <c r="V1022" i="16"/>
  <c r="V1038" i="16"/>
  <c r="V1054" i="16"/>
  <c r="V1070" i="16"/>
  <c r="V1086" i="16"/>
  <c r="V1102" i="16"/>
  <c r="V1122" i="16"/>
  <c r="V1145" i="16"/>
  <c r="V1166" i="16"/>
  <c r="V1186" i="16"/>
  <c r="V1209" i="16"/>
  <c r="V1230" i="16"/>
  <c r="V1250" i="16"/>
  <c r="V1273" i="16"/>
  <c r="V1294" i="16"/>
  <c r="V1314" i="16"/>
  <c r="V1337" i="16"/>
  <c r="V1358" i="16"/>
  <c r="V1378" i="16"/>
  <c r="V1401" i="16"/>
  <c r="V1422" i="16"/>
  <c r="V1442" i="16"/>
  <c r="V1465" i="16"/>
  <c r="V1486" i="16"/>
  <c r="V1506" i="16"/>
  <c r="V1535" i="16"/>
  <c r="V1527" i="16"/>
  <c r="V1519" i="16"/>
  <c r="V1511" i="16"/>
  <c r="V1503" i="16"/>
  <c r="V1495" i="16"/>
  <c r="V1487" i="16"/>
  <c r="V1479" i="16"/>
  <c r="V1471" i="16"/>
  <c r="V1463" i="16"/>
  <c r="V1455" i="16"/>
  <c r="V1447" i="16"/>
  <c r="V1439" i="16"/>
  <c r="V1431" i="16"/>
  <c r="V1423" i="16"/>
  <c r="V1415" i="16"/>
  <c r="V1407" i="16"/>
  <c r="V1399" i="16"/>
  <c r="V1391" i="16"/>
  <c r="V1383" i="16"/>
  <c r="V1375" i="16"/>
  <c r="V1367" i="16"/>
  <c r="V1359" i="16"/>
  <c r="V1351" i="16"/>
  <c r="V1343" i="16"/>
  <c r="V1335" i="16"/>
  <c r="V1327" i="16"/>
  <c r="V1319" i="16"/>
  <c r="V1311" i="16"/>
  <c r="V1303" i="16"/>
  <c r="V1295" i="16"/>
  <c r="V1287" i="16"/>
  <c r="V1279" i="16"/>
  <c r="V1271" i="16"/>
  <c r="V1263" i="16"/>
  <c r="V1255" i="16"/>
  <c r="V1247" i="16"/>
  <c r="V1239" i="16"/>
  <c r="V1231" i="16"/>
  <c r="V1223" i="16"/>
  <c r="V1215" i="16"/>
  <c r="V1207" i="16"/>
  <c r="V1199" i="16"/>
  <c r="V1191" i="16"/>
  <c r="V1183" i="16"/>
  <c r="V1175" i="16"/>
  <c r="V1167" i="16"/>
  <c r="V1159" i="16"/>
  <c r="V1151" i="16"/>
  <c r="V1143" i="16"/>
  <c r="V1135" i="16"/>
  <c r="V1127" i="16"/>
  <c r="V1119" i="16"/>
  <c r="V1111" i="16"/>
  <c r="V1103" i="16"/>
  <c r="V1095" i="16"/>
  <c r="V1087" i="16"/>
  <c r="V1079" i="16"/>
  <c r="V1071" i="16"/>
  <c r="V1063" i="16"/>
  <c r="V1055" i="16"/>
  <c r="V1047" i="16"/>
  <c r="V1039" i="16"/>
  <c r="V1031" i="16"/>
  <c r="V1023" i="16"/>
  <c r="V1015" i="16"/>
  <c r="V1007" i="16"/>
  <c r="V999" i="16"/>
  <c r="V991" i="16"/>
  <c r="V1533" i="16"/>
  <c r="V1525" i="16"/>
  <c r="V1517" i="16"/>
  <c r="V1509" i="16"/>
  <c r="V1501" i="16"/>
  <c r="V1493" i="16"/>
  <c r="V1485" i="16"/>
  <c r="V1477" i="16"/>
  <c r="V1469" i="16"/>
  <c r="V1461" i="16"/>
  <c r="V1453" i="16"/>
  <c r="V1445" i="16"/>
  <c r="V1437" i="16"/>
  <c r="V1429" i="16"/>
  <c r="V1421" i="16"/>
  <c r="V1413" i="16"/>
  <c r="V1405" i="16"/>
  <c r="V1397" i="16"/>
  <c r="V1389" i="16"/>
  <c r="V1381" i="16"/>
  <c r="V1373" i="16"/>
  <c r="V1365" i="16"/>
  <c r="V1357" i="16"/>
  <c r="V1349" i="16"/>
  <c r="V1341" i="16"/>
  <c r="V1333" i="16"/>
  <c r="V1325" i="16"/>
  <c r="V1317" i="16"/>
  <c r="V1309" i="16"/>
  <c r="V1301" i="16"/>
  <c r="V1293" i="16"/>
  <c r="V1285" i="16"/>
  <c r="V1277" i="16"/>
  <c r="V1269" i="16"/>
  <c r="V1261" i="16"/>
  <c r="V1253" i="16"/>
  <c r="V1245" i="16"/>
  <c r="V1237" i="16"/>
  <c r="V1229" i="16"/>
  <c r="V1221" i="16"/>
  <c r="V1213" i="16"/>
  <c r="V1205" i="16"/>
  <c r="V1197" i="16"/>
  <c r="V1189" i="16"/>
  <c r="V1181" i="16"/>
  <c r="V1173" i="16"/>
  <c r="V1165" i="16"/>
  <c r="V1157" i="16"/>
  <c r="V1149" i="16"/>
  <c r="V1141" i="16"/>
  <c r="V1133" i="16"/>
  <c r="V1125" i="16"/>
  <c r="V1117" i="16"/>
  <c r="V1109" i="16"/>
  <c r="V1101" i="16"/>
  <c r="V1093" i="16"/>
  <c r="V1085" i="16"/>
  <c r="V1077" i="16"/>
  <c r="V1069" i="16"/>
  <c r="V1061" i="16"/>
  <c r="V1053" i="16"/>
  <c r="V1045" i="16"/>
  <c r="V1037" i="16"/>
  <c r="V1029" i="16"/>
  <c r="V1021" i="16"/>
  <c r="V1013" i="16"/>
  <c r="V1005" i="16"/>
  <c r="V997" i="16"/>
  <c r="V989" i="16"/>
  <c r="V981" i="16"/>
  <c r="V973" i="16"/>
  <c r="V965" i="16"/>
  <c r="V957" i="16"/>
  <c r="V949" i="16"/>
  <c r="V941" i="16"/>
  <c r="V933" i="16"/>
  <c r="V925" i="16"/>
  <c r="V917" i="16"/>
  <c r="V909" i="16"/>
  <c r="V901" i="16"/>
  <c r="V893" i="16"/>
  <c r="V885" i="16"/>
  <c r="V877" i="16"/>
  <c r="V869" i="16"/>
  <c r="V861" i="16"/>
  <c r="V853" i="16"/>
  <c r="V845" i="16"/>
  <c r="V837" i="16"/>
  <c r="V829" i="16"/>
  <c r="V821" i="16"/>
  <c r="V813" i="16"/>
  <c r="V805" i="16"/>
  <c r="V797" i="16"/>
  <c r="V789" i="16"/>
  <c r="V781" i="16"/>
  <c r="V773" i="16"/>
  <c r="V765" i="16"/>
  <c r="V757" i="16"/>
  <c r="V749" i="16"/>
  <c r="V741" i="16"/>
  <c r="V733" i="16"/>
  <c r="V725" i="16"/>
  <c r="V717" i="16"/>
  <c r="V709" i="16"/>
  <c r="V701" i="16"/>
  <c r="V693" i="16"/>
  <c r="V685" i="16"/>
  <c r="V677" i="16"/>
  <c r="V669" i="16"/>
  <c r="V661" i="16"/>
  <c r="V653" i="16"/>
  <c r="V645" i="16"/>
  <c r="V637" i="16"/>
  <c r="V629" i="16"/>
  <c r="V621" i="16"/>
  <c r="V613" i="16"/>
  <c r="V605" i="16"/>
  <c r="V597" i="16"/>
  <c r="V589" i="16"/>
  <c r="V581" i="16"/>
  <c r="V573" i="16"/>
  <c r="V565" i="16"/>
  <c r="V557" i="16"/>
  <c r="V549" i="16"/>
  <c r="V541" i="16"/>
  <c r="V533" i="16"/>
  <c r="V525" i="16"/>
  <c r="V517" i="16"/>
  <c r="V509" i="16"/>
  <c r="V501" i="16"/>
  <c r="V493" i="16"/>
  <c r="V485" i="16"/>
  <c r="V477" i="16"/>
  <c r="V469" i="16"/>
  <c r="V461" i="16"/>
  <c r="V453" i="16"/>
  <c r="V445" i="16"/>
  <c r="V437" i="16"/>
  <c r="V429" i="16"/>
  <c r="V421" i="16"/>
  <c r="V413" i="16"/>
  <c r="V405" i="16"/>
  <c r="V397" i="16"/>
  <c r="V389" i="16"/>
  <c r="V381" i="16"/>
  <c r="V373" i="16"/>
  <c r="V365" i="16"/>
  <c r="V357" i="16"/>
  <c r="V349" i="16"/>
  <c r="V341" i="16"/>
  <c r="V333" i="16"/>
  <c r="V325" i="16"/>
  <c r="V317" i="16"/>
  <c r="V309" i="16"/>
  <c r="V301" i="16"/>
  <c r="V1532" i="16"/>
  <c r="V1524" i="16"/>
  <c r="V1516" i="16"/>
  <c r="V1508" i="16"/>
  <c r="V1500" i="16"/>
  <c r="V1492" i="16"/>
  <c r="V1484" i="16"/>
  <c r="V1476" i="16"/>
  <c r="V1468" i="16"/>
  <c r="V1460" i="16"/>
  <c r="V1452" i="16"/>
  <c r="V1444" i="16"/>
  <c r="V1436" i="16"/>
  <c r="V1428" i="16"/>
  <c r="V1420" i="16"/>
  <c r="V1412" i="16"/>
  <c r="V1404" i="16"/>
  <c r="V1396" i="16"/>
  <c r="V1388" i="16"/>
  <c r="V1380" i="16"/>
  <c r="V1372" i="16"/>
  <c r="V1364" i="16"/>
  <c r="V1356" i="16"/>
  <c r="V1348" i="16"/>
  <c r="V1340" i="16"/>
  <c r="V1332" i="16"/>
  <c r="V1324" i="16"/>
  <c r="V1316" i="16"/>
  <c r="V1308" i="16"/>
  <c r="V1300" i="16"/>
  <c r="V1292" i="16"/>
  <c r="V1284" i="16"/>
  <c r="V1276" i="16"/>
  <c r="V1268" i="16"/>
  <c r="V1260" i="16"/>
  <c r="V1252" i="16"/>
  <c r="V1244" i="16"/>
  <c r="V1236" i="16"/>
  <c r="V1228" i="16"/>
  <c r="V1220" i="16"/>
  <c r="V1212" i="16"/>
  <c r="V1204" i="16"/>
  <c r="V1196" i="16"/>
  <c r="V1188" i="16"/>
  <c r="V1180" i="16"/>
  <c r="V1172" i="16"/>
  <c r="V1164" i="16"/>
  <c r="V1156" i="16"/>
  <c r="V1148" i="16"/>
  <c r="V1140" i="16"/>
  <c r="V1132" i="16"/>
  <c r="V1124" i="16"/>
  <c r="V1116" i="16"/>
  <c r="V1108" i="16"/>
  <c r="V1100" i="16"/>
  <c r="V1092" i="16"/>
  <c r="V1084" i="16"/>
  <c r="V1076" i="16"/>
  <c r="V1068" i="16"/>
  <c r="V1060" i="16"/>
  <c r="V1052" i="16"/>
  <c r="V1044" i="16"/>
  <c r="V1036" i="16"/>
  <c r="V1028" i="16"/>
  <c r="V1020" i="16"/>
  <c r="V1012" i="16"/>
  <c r="V1004" i="16"/>
  <c r="V996" i="16"/>
  <c r="V988" i="16"/>
  <c r="V980" i="16"/>
  <c r="V972" i="16"/>
  <c r="V964" i="16"/>
  <c r="V956" i="16"/>
  <c r="V948" i="16"/>
  <c r="V940" i="16"/>
  <c r="V932" i="16"/>
  <c r="V924" i="16"/>
  <c r="V916" i="16"/>
  <c r="V908" i="16"/>
  <c r="V900" i="16"/>
  <c r="V892" i="16"/>
  <c r="V884" i="16"/>
  <c r="V876" i="16"/>
  <c r="V868" i="16"/>
  <c r="V860" i="16"/>
  <c r="V852" i="16"/>
  <c r="V844" i="16"/>
  <c r="V836" i="16"/>
  <c r="V828" i="16"/>
  <c r="V820" i="16"/>
  <c r="V812" i="16"/>
  <c r="V804" i="16"/>
  <c r="V796" i="16"/>
  <c r="V788" i="16"/>
  <c r="V780" i="16"/>
  <c r="V772" i="16"/>
  <c r="V764" i="16"/>
  <c r="V756" i="16"/>
  <c r="V748" i="16"/>
  <c r="V740" i="16"/>
  <c r="V732" i="16"/>
  <c r="V724" i="16"/>
  <c r="V716" i="16"/>
  <c r="V708" i="16"/>
  <c r="V700" i="16"/>
  <c r="V692" i="16"/>
  <c r="V684" i="16"/>
  <c r="V676" i="16"/>
  <c r="V668" i="16"/>
  <c r="V660" i="16"/>
  <c r="V652" i="16"/>
  <c r="V644" i="16"/>
  <c r="V636" i="16"/>
  <c r="V628" i="16"/>
  <c r="V620" i="16"/>
  <c r="V612" i="16"/>
  <c r="V604" i="16"/>
  <c r="V596" i="16"/>
  <c r="V588" i="16"/>
  <c r="V580" i="16"/>
  <c r="V572" i="16"/>
  <c r="V564" i="16"/>
  <c r="V556" i="16"/>
  <c r="V548" i="16"/>
  <c r="V540" i="16"/>
  <c r="V532" i="16"/>
  <c r="V524" i="16"/>
  <c r="V516" i="16"/>
  <c r="V508" i="16"/>
  <c r="V500" i="16"/>
  <c r="V492" i="16"/>
  <c r="V484" i="16"/>
  <c r="V476" i="16"/>
  <c r="V468" i="16"/>
  <c r="V460" i="16"/>
  <c r="V452" i="16"/>
  <c r="V444" i="16"/>
  <c r="V436" i="16"/>
  <c r="V428" i="16"/>
  <c r="V420" i="16"/>
  <c r="V412" i="16"/>
  <c r="V404" i="16"/>
  <c r="V396" i="16"/>
  <c r="V388" i="16"/>
  <c r="V380" i="16"/>
  <c r="V372" i="16"/>
  <c r="V364" i="16"/>
  <c r="V356" i="16"/>
  <c r="V348" i="16"/>
  <c r="V340" i="16"/>
  <c r="V332" i="16"/>
  <c r="V324" i="16"/>
  <c r="V316" i="16"/>
  <c r="V308" i="16"/>
  <c r="V300" i="16"/>
  <c r="V1531" i="16"/>
  <c r="V1523" i="16"/>
  <c r="V1515" i="16"/>
  <c r="V1507" i="16"/>
  <c r="V1499" i="16"/>
  <c r="V1491" i="16"/>
  <c r="V1483" i="16"/>
  <c r="V1475" i="16"/>
  <c r="V1467" i="16"/>
  <c r="V1459" i="16"/>
  <c r="V1451" i="16"/>
  <c r="V1443" i="16"/>
  <c r="V1435" i="16"/>
  <c r="V1427" i="16"/>
  <c r="V1419" i="16"/>
  <c r="V1411" i="16"/>
  <c r="V1403" i="16"/>
  <c r="V1395" i="16"/>
  <c r="V1387" i="16"/>
  <c r="V1379" i="16"/>
  <c r="V1371" i="16"/>
  <c r="V1363" i="16"/>
  <c r="V1355" i="16"/>
  <c r="V1347" i="16"/>
  <c r="V1339" i="16"/>
  <c r="V1331" i="16"/>
  <c r="V1323" i="16"/>
  <c r="V1315" i="16"/>
  <c r="V1307" i="16"/>
  <c r="V1299" i="16"/>
  <c r="V1291" i="16"/>
  <c r="V1283" i="16"/>
  <c r="V1275" i="16"/>
  <c r="V1267" i="16"/>
  <c r="V1259" i="16"/>
  <c r="V1251" i="16"/>
  <c r="V1243" i="16"/>
  <c r="V1235" i="16"/>
  <c r="V1227" i="16"/>
  <c r="V1219" i="16"/>
  <c r="V1211" i="16"/>
  <c r="V1203" i="16"/>
  <c r="V1195" i="16"/>
  <c r="V1187" i="16"/>
  <c r="V1179" i="16"/>
  <c r="V1171" i="16"/>
  <c r="V1163" i="16"/>
  <c r="V1155" i="16"/>
  <c r="V1147" i="16"/>
  <c r="V1139" i="16"/>
  <c r="V1131" i="16"/>
  <c r="V1123" i="16"/>
  <c r="V1115" i="16"/>
  <c r="V1107" i="16"/>
  <c r="V1528" i="16"/>
  <c r="V1520" i="16"/>
  <c r="V1512" i="16"/>
  <c r="V1504" i="16"/>
  <c r="V1496" i="16"/>
  <c r="V1488" i="16"/>
  <c r="V1480" i="16"/>
  <c r="V1472" i="16"/>
  <c r="V1464" i="16"/>
  <c r="V1456" i="16"/>
  <c r="V1448" i="16"/>
  <c r="V1440" i="16"/>
  <c r="V1432" i="16"/>
  <c r="V1424" i="16"/>
  <c r="V1416" i="16"/>
  <c r="V1408" i="16"/>
  <c r="V1400" i="16"/>
  <c r="V1392" i="16"/>
  <c r="V1384" i="16"/>
  <c r="V1376" i="16"/>
  <c r="V1368" i="16"/>
  <c r="V1360" i="16"/>
  <c r="V1352" i="16"/>
  <c r="V1344" i="16"/>
  <c r="V1336" i="16"/>
  <c r="V1328" i="16"/>
  <c r="V1320" i="16"/>
  <c r="V1312" i="16"/>
  <c r="V1304" i="16"/>
  <c r="V1296" i="16"/>
  <c r="V1288" i="16"/>
  <c r="V1280" i="16"/>
  <c r="V1272" i="16"/>
  <c r="V1264" i="16"/>
  <c r="V1256" i="16"/>
  <c r="V1248" i="16"/>
  <c r="V1240" i="16"/>
  <c r="V1232" i="16"/>
  <c r="V1224" i="16"/>
  <c r="V1216" i="16"/>
  <c r="V1208" i="16"/>
  <c r="V1200" i="16"/>
  <c r="V1192" i="16"/>
  <c r="V1184" i="16"/>
  <c r="V1176" i="16"/>
  <c r="V1168" i="16"/>
  <c r="V1160" i="16"/>
  <c r="V1152" i="16"/>
  <c r="V1144" i="16"/>
  <c r="V1136" i="16"/>
  <c r="V1128" i="16"/>
  <c r="V1120" i="16"/>
  <c r="V1112" i="16"/>
  <c r="V1104" i="16"/>
  <c r="V1096" i="16"/>
  <c r="V1088" i="16"/>
  <c r="V1080" i="16"/>
  <c r="V1072" i="16"/>
  <c r="V1064" i="16"/>
  <c r="V1056" i="16"/>
  <c r="V1048" i="16"/>
  <c r="V1040" i="16"/>
  <c r="V1032" i="16"/>
  <c r="V1024" i="16"/>
  <c r="V1016" i="16"/>
  <c r="V1008" i="16"/>
  <c r="V1000" i="16"/>
  <c r="V992" i="16"/>
  <c r="V984" i="16"/>
  <c r="V976" i="16"/>
  <c r="V968" i="16"/>
  <c r="V960" i="16"/>
  <c r="V952" i="16"/>
  <c r="V944" i="16"/>
  <c r="V936" i="16"/>
  <c r="V928" i="16"/>
  <c r="V920" i="16"/>
  <c r="V912" i="16"/>
  <c r="V904" i="16"/>
  <c r="V896" i="16"/>
  <c r="V888" i="16"/>
  <c r="V880" i="16"/>
  <c r="V872" i="16"/>
  <c r="V864" i="16"/>
  <c r="V856" i="16"/>
  <c r="V848" i="16"/>
  <c r="V840" i="16"/>
  <c r="V832" i="16"/>
  <c r="V824" i="16"/>
  <c r="V816" i="16"/>
  <c r="V808" i="16"/>
  <c r="V800" i="16"/>
  <c r="V792" i="16"/>
  <c r="V784" i="16"/>
  <c r="V776" i="16"/>
  <c r="V768" i="16"/>
  <c r="V760" i="16"/>
  <c r="V752" i="16"/>
  <c r="V744" i="16"/>
  <c r="V736" i="16"/>
  <c r="V728" i="16"/>
  <c r="V720" i="16"/>
  <c r="V712" i="16"/>
  <c r="V704" i="16"/>
  <c r="V696" i="16"/>
  <c r="V688" i="16"/>
  <c r="V680" i="16"/>
  <c r="V672" i="16"/>
  <c r="V664" i="16"/>
  <c r="V656" i="16"/>
  <c r="V648" i="16"/>
  <c r="V640" i="16"/>
  <c r="V632" i="16"/>
  <c r="V624" i="16"/>
  <c r="V616" i="16"/>
  <c r="V608" i="16"/>
  <c r="V600" i="16"/>
  <c r="V592" i="16"/>
  <c r="V584" i="16"/>
  <c r="V576" i="16"/>
  <c r="V568" i="16"/>
  <c r="V560" i="16"/>
  <c r="V552" i="16"/>
  <c r="V544" i="16"/>
  <c r="V536" i="16"/>
  <c r="V528" i="16"/>
  <c r="V520" i="16"/>
  <c r="V512" i="16"/>
  <c r="V504" i="16"/>
  <c r="V496" i="16"/>
  <c r="V488" i="16"/>
  <c r="V480" i="16"/>
  <c r="V472" i="16"/>
  <c r="V464" i="16"/>
  <c r="V456" i="16"/>
  <c r="V448" i="16"/>
  <c r="V440" i="16"/>
  <c r="V432" i="16"/>
  <c r="V424" i="16"/>
  <c r="V10" i="16"/>
  <c r="V18" i="16"/>
  <c r="V26" i="16"/>
  <c r="V34" i="16"/>
  <c r="V42" i="16"/>
  <c r="V50" i="16"/>
  <c r="V58" i="16"/>
  <c r="V66" i="16"/>
  <c r="V74" i="16"/>
  <c r="V82" i="16"/>
  <c r="V90" i="16"/>
  <c r="V98" i="16"/>
  <c r="V106" i="16"/>
  <c r="V114" i="16"/>
  <c r="V122" i="16"/>
  <c r="V130" i="16"/>
  <c r="V138" i="16"/>
  <c r="V146" i="16"/>
  <c r="V154" i="16"/>
  <c r="V162" i="16"/>
  <c r="V170" i="16"/>
  <c r="V178" i="16"/>
  <c r="V186" i="16"/>
  <c r="V194" i="16"/>
  <c r="V202" i="16"/>
  <c r="V210" i="16"/>
  <c r="V218" i="16"/>
  <c r="V226" i="16"/>
  <c r="V234" i="16"/>
  <c r="V242" i="16"/>
  <c r="V250" i="16"/>
  <c r="V258" i="16"/>
  <c r="V266" i="16"/>
  <c r="V274" i="16"/>
  <c r="V282" i="16"/>
  <c r="V290" i="16"/>
  <c r="V298" i="16"/>
  <c r="V310" i="16"/>
  <c r="V320" i="16"/>
  <c r="V330" i="16"/>
  <c r="V342" i="16"/>
  <c r="V352" i="16"/>
  <c r="V362" i="16"/>
  <c r="V374" i="16"/>
  <c r="V384" i="16"/>
  <c r="V394" i="16"/>
  <c r="V406" i="16"/>
  <c r="V416" i="16"/>
  <c r="V427" i="16"/>
  <c r="V441" i="16"/>
  <c r="V454" i="16"/>
  <c r="V466" i="16"/>
  <c r="V479" i="16"/>
  <c r="V491" i="16"/>
  <c r="V505" i="16"/>
  <c r="V518" i="16"/>
  <c r="V530" i="16"/>
  <c r="V543" i="16"/>
  <c r="V555" i="16"/>
  <c r="V569" i="16"/>
  <c r="V582" i="16"/>
  <c r="V594" i="16"/>
  <c r="V607" i="16"/>
  <c r="V619" i="16"/>
  <c r="V633" i="16"/>
  <c r="V646" i="16"/>
  <c r="V658" i="16"/>
  <c r="V671" i="16"/>
  <c r="V683" i="16"/>
  <c r="V697" i="16"/>
  <c r="V710" i="16"/>
  <c r="V722" i="16"/>
  <c r="V735" i="16"/>
  <c r="V747" i="16"/>
  <c r="V761" i="16"/>
  <c r="V774" i="16"/>
  <c r="V786" i="16"/>
  <c r="V799" i="16"/>
  <c r="V811" i="16"/>
  <c r="V825" i="16"/>
  <c r="V838" i="16"/>
  <c r="V850" i="16"/>
  <c r="V863" i="16"/>
  <c r="V875" i="16"/>
  <c r="V889" i="16"/>
  <c r="V902" i="16"/>
  <c r="V914" i="16"/>
  <c r="V927" i="16"/>
  <c r="V939" i="16"/>
  <c r="V953" i="16"/>
  <c r="V966" i="16"/>
  <c r="V978" i="16"/>
  <c r="V993" i="16"/>
  <c r="V1009" i="16"/>
  <c r="V1025" i="16"/>
  <c r="V1041" i="16"/>
  <c r="V1057" i="16"/>
  <c r="V1073" i="16"/>
  <c r="V1089" i="16"/>
  <c r="V1105" i="16"/>
  <c r="V1126" i="16"/>
  <c r="V1146" i="16"/>
  <c r="V1169" i="16"/>
  <c r="V1190" i="16"/>
  <c r="V1210" i="16"/>
  <c r="V1233" i="16"/>
  <c r="V1254" i="16"/>
  <c r="V1274" i="16"/>
  <c r="V1297" i="16"/>
  <c r="V1318" i="16"/>
  <c r="V1338" i="16"/>
  <c r="V1361" i="16"/>
  <c r="V1382" i="16"/>
  <c r="V1402" i="16"/>
  <c r="V1425" i="16"/>
  <c r="V1446" i="16"/>
  <c r="V1466" i="16"/>
  <c r="V1489" i="16"/>
  <c r="V1510" i="16"/>
  <c r="V1530" i="16"/>
  <c r="V3" i="16"/>
  <c r="V11" i="16"/>
  <c r="V19" i="16"/>
  <c r="V27" i="16"/>
  <c r="V35" i="16"/>
  <c r="V43" i="16"/>
  <c r="V51" i="16"/>
  <c r="V59" i="16"/>
  <c r="V67" i="16"/>
  <c r="V75" i="16"/>
  <c r="V83" i="16"/>
  <c r="V91" i="16"/>
  <c r="V99" i="16"/>
  <c r="V107" i="16"/>
  <c r="V115" i="16"/>
  <c r="V123" i="16"/>
  <c r="V131" i="16"/>
  <c r="V139" i="16"/>
  <c r="V147" i="16"/>
  <c r="V155" i="16"/>
  <c r="V163" i="16"/>
  <c r="V171" i="16"/>
  <c r="V179" i="16"/>
  <c r="V187" i="16"/>
  <c r="V195" i="16"/>
  <c r="V203" i="16"/>
  <c r="V211" i="16"/>
  <c r="V219" i="16"/>
  <c r="V227" i="16"/>
  <c r="V235" i="16"/>
  <c r="V243" i="16"/>
  <c r="V251" i="16"/>
  <c r="V259" i="16"/>
  <c r="V267" i="16"/>
  <c r="V275" i="16"/>
  <c r="V283" i="16"/>
  <c r="V291" i="16"/>
  <c r="V299" i="16"/>
  <c r="V311" i="16"/>
  <c r="V321" i="16"/>
  <c r="V331" i="16"/>
  <c r="V343" i="16"/>
  <c r="V353" i="16"/>
  <c r="V363" i="16"/>
  <c r="V375" i="16"/>
  <c r="V385" i="16"/>
  <c r="V395" i="16"/>
  <c r="V407" i="16"/>
  <c r="V417" i="16"/>
  <c r="V430" i="16"/>
  <c r="V442" i="16"/>
  <c r="V455" i="16"/>
  <c r="V467" i="16"/>
  <c r="V481" i="16"/>
  <c r="V494" i="16"/>
  <c r="V506" i="16"/>
  <c r="V519" i="16"/>
  <c r="V531" i="16"/>
  <c r="V545" i="16"/>
  <c r="V558" i="16"/>
  <c r="V570" i="16"/>
  <c r="V583" i="16"/>
  <c r="V595" i="16"/>
  <c r="V609" i="16"/>
  <c r="V622" i="16"/>
  <c r="V634" i="16"/>
  <c r="V647" i="16"/>
  <c r="V659" i="16"/>
  <c r="V673" i="16"/>
  <c r="V686" i="16"/>
  <c r="V698" i="16"/>
  <c r="V711" i="16"/>
  <c r="V723" i="16"/>
  <c r="V737" i="16"/>
  <c r="V750" i="16"/>
  <c r="V762" i="16"/>
  <c r="V775" i="16"/>
  <c r="V787" i="16"/>
  <c r="V801" i="16"/>
  <c r="V814" i="16"/>
  <c r="V826" i="16"/>
  <c r="V839" i="16"/>
  <c r="V851" i="16"/>
  <c r="V865" i="16"/>
  <c r="V878" i="16"/>
  <c r="V890" i="16"/>
  <c r="V903" i="16"/>
  <c r="V915" i="16"/>
  <c r="V929" i="16"/>
  <c r="V942" i="16"/>
  <c r="V954" i="16"/>
  <c r="V967" i="16"/>
  <c r="V979" i="16"/>
  <c r="V994" i="16"/>
  <c r="V1010" i="16"/>
  <c r="V1026" i="16"/>
  <c r="V1042" i="16"/>
  <c r="V1058" i="16"/>
  <c r="V1074" i="16"/>
  <c r="V1090" i="16"/>
  <c r="V1106" i="16"/>
  <c r="V1129" i="16"/>
  <c r="V1150" i="16"/>
  <c r="V1170" i="16"/>
  <c r="V1193" i="16"/>
  <c r="V1214" i="16"/>
  <c r="V1234" i="16"/>
  <c r="V1257" i="16"/>
  <c r="V1278" i="16"/>
  <c r="V1298" i="16"/>
  <c r="V1321" i="16"/>
  <c r="V1342" i="16"/>
  <c r="V1362" i="16"/>
  <c r="V1385" i="16"/>
  <c r="V1406" i="16"/>
  <c r="V1426" i="16"/>
  <c r="V1449" i="16"/>
  <c r="V1470" i="16"/>
  <c r="V1490" i="16"/>
  <c r="V1513" i="16"/>
  <c r="V1534" i="16"/>
  <c r="V585" i="16"/>
  <c r="V598" i="16"/>
  <c r="V610" i="16"/>
  <c r="V623" i="16"/>
  <c r="V635" i="16"/>
  <c r="V649" i="16"/>
  <c r="V662" i="16"/>
  <c r="V674" i="16"/>
  <c r="V687" i="16"/>
  <c r="V699" i="16"/>
  <c r="V713" i="16"/>
  <c r="V726" i="16"/>
  <c r="V738" i="16"/>
  <c r="V751" i="16"/>
  <c r="V763" i="16"/>
  <c r="V777" i="16"/>
  <c r="V790" i="16"/>
  <c r="V802" i="16"/>
  <c r="V815" i="16"/>
  <c r="V827" i="16"/>
  <c r="V841" i="16"/>
  <c r="V854" i="16"/>
  <c r="V866" i="16"/>
  <c r="V879" i="16"/>
  <c r="V891" i="16"/>
  <c r="V905" i="16"/>
  <c r="V918" i="16"/>
  <c r="V930" i="16"/>
  <c r="V943" i="16"/>
  <c r="V955" i="16"/>
  <c r="V969" i="16"/>
  <c r="V982" i="16"/>
  <c r="V995" i="16"/>
  <c r="V1011" i="16"/>
  <c r="V1027" i="16"/>
  <c r="V1043" i="16"/>
  <c r="V1059" i="16"/>
  <c r="V1075" i="16"/>
  <c r="V1091" i="16"/>
  <c r="V1110" i="16"/>
  <c r="V1130" i="16"/>
  <c r="V1153" i="16"/>
  <c r="V1174" i="16"/>
  <c r="V1194" i="16"/>
  <c r="V1217" i="16"/>
  <c r="V1238" i="16"/>
  <c r="V1258" i="16"/>
  <c r="V1281" i="16"/>
  <c r="V1302" i="16"/>
  <c r="V1322" i="16"/>
  <c r="V1345" i="16"/>
  <c r="V1366" i="16"/>
  <c r="V1386" i="16"/>
  <c r="V1409" i="16"/>
  <c r="V1430" i="16"/>
  <c r="V1450" i="16"/>
  <c r="V1473" i="16"/>
  <c r="V1494" i="16"/>
  <c r="V1514" i="16"/>
  <c r="V5" i="16"/>
  <c r="V13" i="16"/>
  <c r="V21" i="16"/>
  <c r="V29" i="16"/>
  <c r="V37" i="16"/>
  <c r="V45" i="16"/>
  <c r="V53" i="16"/>
  <c r="V61" i="16"/>
  <c r="V69" i="16"/>
  <c r="V77" i="16"/>
  <c r="V85" i="16"/>
  <c r="V93" i="16"/>
  <c r="V101" i="16"/>
  <c r="V109" i="16"/>
  <c r="V117" i="16"/>
  <c r="V125" i="16"/>
  <c r="V133" i="16"/>
  <c r="V141" i="16"/>
  <c r="V149" i="16"/>
  <c r="V157" i="16"/>
  <c r="V165" i="16"/>
  <c r="V173" i="16"/>
  <c r="V181" i="16"/>
  <c r="V189" i="16"/>
  <c r="V197" i="16"/>
  <c r="V205" i="16"/>
  <c r="V213" i="16"/>
  <c r="V221" i="16"/>
  <c r="V229" i="16"/>
  <c r="V237" i="16"/>
  <c r="V245" i="16"/>
  <c r="V253" i="16"/>
  <c r="V261" i="16"/>
  <c r="V269" i="16"/>
  <c r="V277" i="16"/>
  <c r="V285" i="16"/>
  <c r="V293" i="16"/>
  <c r="V303" i="16"/>
  <c r="V313" i="16"/>
  <c r="V323" i="16"/>
  <c r="V335" i="16"/>
  <c r="V345" i="16"/>
  <c r="V355" i="16"/>
  <c r="V367" i="16"/>
  <c r="V377" i="16"/>
  <c r="V387" i="16"/>
  <c r="V399" i="16"/>
  <c r="V409" i="16"/>
  <c r="V419" i="16"/>
  <c r="V433" i="16"/>
  <c r="V446" i="16"/>
  <c r="V458" i="16"/>
  <c r="V471" i="16"/>
  <c r="V483" i="16"/>
  <c r="V497" i="16"/>
  <c r="V510" i="16"/>
  <c r="V522" i="16"/>
  <c r="V535" i="16"/>
  <c r="V547" i="16"/>
  <c r="V561" i="16"/>
  <c r="V574" i="16"/>
  <c r="V586" i="16"/>
  <c r="V599" i="16"/>
  <c r="V611" i="16"/>
  <c r="V625" i="16"/>
  <c r="V638" i="16"/>
  <c r="V650" i="16"/>
  <c r="V663" i="16"/>
  <c r="V675" i="16"/>
  <c r="V689" i="16"/>
  <c r="V702" i="16"/>
  <c r="V714" i="16"/>
  <c r="V727" i="16"/>
  <c r="V739" i="16"/>
  <c r="V753" i="16"/>
  <c r="V766" i="16"/>
  <c r="V778" i="16"/>
  <c r="V791" i="16"/>
  <c r="V803" i="16"/>
  <c r="V817" i="16"/>
  <c r="V830" i="16"/>
  <c r="V842" i="16"/>
  <c r="V855" i="16"/>
  <c r="V867" i="16"/>
  <c r="V881" i="16"/>
  <c r="V894" i="16"/>
  <c r="V906" i="16"/>
  <c r="V919" i="16"/>
  <c r="V931" i="16"/>
  <c r="V945" i="16"/>
  <c r="V958" i="16"/>
  <c r="V970" i="16"/>
  <c r="V983" i="16"/>
  <c r="V998" i="16"/>
  <c r="V1014" i="16"/>
  <c r="V1030" i="16"/>
  <c r="V1046" i="16"/>
  <c r="V1062" i="16"/>
  <c r="V1078" i="16"/>
  <c r="V1094" i="16"/>
  <c r="V1113" i="16"/>
  <c r="V1134" i="16"/>
  <c r="V1154" i="16"/>
  <c r="V1177" i="16"/>
  <c r="V1198" i="16"/>
  <c r="V1218" i="16"/>
  <c r="V1241" i="16"/>
  <c r="V1262" i="16"/>
  <c r="V1282" i="16"/>
  <c r="V1305" i="16"/>
  <c r="V1326" i="16"/>
  <c r="V1346" i="16"/>
  <c r="V1369" i="16"/>
  <c r="V1390" i="16"/>
  <c r="V1410" i="16"/>
  <c r="V1433" i="16"/>
  <c r="V1454" i="16"/>
  <c r="V1474" i="16"/>
  <c r="V1497" i="16"/>
  <c r="V1518" i="16"/>
  <c r="W2" i="16"/>
  <c r="W9" i="16"/>
  <c r="W17" i="16"/>
  <c r="W25" i="16"/>
  <c r="W33" i="16"/>
  <c r="W41" i="16"/>
  <c r="W49" i="16"/>
  <c r="W57" i="16"/>
  <c r="W65" i="16"/>
  <c r="W73" i="16"/>
  <c r="W81" i="16"/>
  <c r="W89" i="16"/>
  <c r="W97" i="16"/>
  <c r="W105" i="16"/>
  <c r="W113" i="16"/>
  <c r="W121" i="16"/>
  <c r="W129" i="16"/>
  <c r="W137" i="16"/>
  <c r="W145" i="16"/>
  <c r="W153" i="16"/>
  <c r="W161" i="16"/>
  <c r="W169" i="16"/>
  <c r="W177" i="16"/>
  <c r="W185" i="16"/>
  <c r="W193" i="16"/>
  <c r="W201" i="16"/>
  <c r="W209" i="16"/>
  <c r="W217" i="16"/>
  <c r="W225" i="16"/>
  <c r="W233" i="16"/>
  <c r="W241" i="16"/>
  <c r="W249" i="16"/>
  <c r="W257" i="16"/>
  <c r="W265" i="16"/>
  <c r="W273" i="16"/>
  <c r="W281" i="16"/>
  <c r="W289" i="16"/>
  <c r="W297" i="16"/>
  <c r="W305" i="16"/>
  <c r="W313" i="16"/>
  <c r="W321" i="16"/>
  <c r="W329" i="16"/>
  <c r="W337" i="16"/>
  <c r="W345" i="16"/>
  <c r="W353" i="16"/>
  <c r="W361" i="16"/>
  <c r="W369" i="16"/>
  <c r="W377" i="16"/>
  <c r="W385" i="16"/>
  <c r="W393" i="16"/>
  <c r="W401" i="16"/>
  <c r="W409" i="16"/>
  <c r="W417" i="16"/>
  <c r="W425" i="16"/>
  <c r="W433" i="16"/>
  <c r="W441" i="16"/>
  <c r="W449" i="16"/>
  <c r="W457" i="16"/>
  <c r="W465" i="16"/>
  <c r="W473" i="16"/>
  <c r="W481" i="16"/>
  <c r="W489" i="16"/>
  <c r="W497" i="16"/>
  <c r="W505" i="16"/>
  <c r="W513" i="16"/>
  <c r="W521" i="16"/>
  <c r="W529" i="16"/>
  <c r="W537" i="16"/>
  <c r="W545" i="16"/>
  <c r="W553" i="16"/>
  <c r="W561" i="16"/>
  <c r="W569" i="16"/>
  <c r="W577" i="16"/>
  <c r="W585" i="16"/>
  <c r="W593" i="16"/>
  <c r="W601" i="16"/>
  <c r="W609" i="16"/>
  <c r="W617" i="16"/>
  <c r="W625" i="16"/>
  <c r="W633" i="16"/>
  <c r="W641" i="16"/>
  <c r="W649" i="16"/>
  <c r="W657" i="16"/>
  <c r="W665" i="16"/>
  <c r="W673" i="16"/>
  <c r="W681" i="16"/>
  <c r="W689" i="16"/>
  <c r="W697" i="16"/>
  <c r="W705" i="16"/>
  <c r="W713" i="16"/>
  <c r="W721" i="16"/>
  <c r="W729" i="16"/>
  <c r="W737" i="16"/>
  <c r="W745" i="16"/>
  <c r="W753" i="16"/>
  <c r="W761" i="16"/>
  <c r="W769" i="16"/>
  <c r="W777" i="16"/>
  <c r="W785" i="16"/>
  <c r="W793" i="16"/>
  <c r="W801" i="16"/>
  <c r="W809" i="16"/>
  <c r="W817" i="16"/>
  <c r="W825" i="16"/>
  <c r="W833" i="16"/>
  <c r="W841" i="16"/>
  <c r="W849" i="16"/>
  <c r="W857" i="16"/>
  <c r="W865" i="16"/>
  <c r="W873" i="16"/>
  <c r="W881" i="16"/>
  <c r="W889" i="16"/>
  <c r="W897" i="16"/>
  <c r="W905" i="16"/>
  <c r="W913" i="16"/>
  <c r="W921" i="16"/>
  <c r="W929" i="16"/>
  <c r="W937" i="16"/>
  <c r="W945" i="16"/>
  <c r="W953" i="16"/>
  <c r="W961" i="16"/>
  <c r="W969" i="16"/>
  <c r="W977" i="16"/>
  <c r="W985" i="16"/>
  <c r="W993" i="16"/>
  <c r="W1001" i="16"/>
  <c r="W1009" i="16"/>
  <c r="W1017" i="16"/>
  <c r="W1025" i="16"/>
  <c r="W1033" i="16"/>
  <c r="W1041" i="16"/>
  <c r="W1049" i="16"/>
  <c r="W1057" i="16"/>
  <c r="W1065" i="16"/>
  <c r="W1073" i="16"/>
  <c r="W1081" i="16"/>
  <c r="W1089" i="16"/>
  <c r="W1097" i="16"/>
  <c r="W1105" i="16"/>
  <c r="W1113" i="16"/>
  <c r="W1121" i="16"/>
  <c r="W1129" i="16"/>
  <c r="W1137" i="16"/>
  <c r="W1145" i="16"/>
  <c r="W1153" i="16"/>
  <c r="W1161" i="16"/>
  <c r="W1169" i="16"/>
  <c r="W1177" i="16"/>
  <c r="W1185" i="16"/>
  <c r="W1193" i="16"/>
  <c r="W1201" i="16"/>
  <c r="W1209" i="16"/>
  <c r="W1217" i="16"/>
  <c r="W1225" i="16"/>
  <c r="W1233" i="16"/>
  <c r="W1241" i="16"/>
  <c r="W1249" i="16"/>
  <c r="W1257" i="16"/>
  <c r="W1265" i="16"/>
  <c r="W1273" i="16"/>
  <c r="W1281" i="16"/>
  <c r="W1289" i="16"/>
  <c r="W1297" i="16"/>
  <c r="W1305" i="16"/>
  <c r="W1313" i="16"/>
  <c r="W1321" i="16"/>
  <c r="W1329" i="16"/>
  <c r="W1337" i="16"/>
  <c r="W1345" i="16"/>
  <c r="W1354" i="16"/>
  <c r="W1364" i="16"/>
  <c r="W1373" i="16"/>
  <c r="W1384" i="16"/>
  <c r="W1394" i="16"/>
  <c r="W1405" i="16"/>
  <c r="W1416" i="16"/>
  <c r="W1426" i="16"/>
  <c r="W1437" i="16"/>
  <c r="W1448" i="16"/>
  <c r="W1458" i="16"/>
  <c r="W1469" i="16"/>
  <c r="W1480" i="16"/>
  <c r="W1490" i="16"/>
  <c r="W1501" i="16"/>
  <c r="W1512" i="16"/>
  <c r="W1522" i="16"/>
  <c r="W1534" i="16"/>
  <c r="W1526" i="16"/>
  <c r="W1518" i="16"/>
  <c r="W1510" i="16"/>
  <c r="W1502" i="16"/>
  <c r="W1494" i="16"/>
  <c r="W1486" i="16"/>
  <c r="W1478" i="16"/>
  <c r="W1470" i="16"/>
  <c r="W1462" i="16"/>
  <c r="W1454" i="16"/>
  <c r="W1446" i="16"/>
  <c r="W1438" i="16"/>
  <c r="W1430" i="16"/>
  <c r="W1422" i="16"/>
  <c r="W1414" i="16"/>
  <c r="W1406" i="16"/>
  <c r="W1398" i="16"/>
  <c r="W1390" i="16"/>
  <c r="W1382" i="16"/>
  <c r="W1374" i="16"/>
  <c r="W1531" i="16"/>
  <c r="W1523" i="16"/>
  <c r="W1515" i="16"/>
  <c r="W1507" i="16"/>
  <c r="W1499" i="16"/>
  <c r="W1491" i="16"/>
  <c r="W1483" i="16"/>
  <c r="W1475" i="16"/>
  <c r="W1467" i="16"/>
  <c r="W1459" i="16"/>
  <c r="W1451" i="16"/>
  <c r="W1443" i="16"/>
  <c r="W1435" i="16"/>
  <c r="W1427" i="16"/>
  <c r="W1419" i="16"/>
  <c r="W1411" i="16"/>
  <c r="W1403" i="16"/>
  <c r="W1395" i="16"/>
  <c r="W1387" i="16"/>
  <c r="W1379" i="16"/>
  <c r="W1371" i="16"/>
  <c r="W1363" i="16"/>
  <c r="W1355" i="16"/>
  <c r="W1347" i="16"/>
  <c r="W10" i="16"/>
  <c r="W18" i="16"/>
  <c r="W26" i="16"/>
  <c r="W34" i="16"/>
  <c r="W42" i="16"/>
  <c r="W50" i="16"/>
  <c r="W58" i="16"/>
  <c r="W66" i="16"/>
  <c r="W74" i="16"/>
  <c r="W82" i="16"/>
  <c r="W90" i="16"/>
  <c r="W98" i="16"/>
  <c r="W106" i="16"/>
  <c r="W114" i="16"/>
  <c r="W122" i="16"/>
  <c r="W130" i="16"/>
  <c r="W138" i="16"/>
  <c r="W146" i="16"/>
  <c r="W154" i="16"/>
  <c r="W162" i="16"/>
  <c r="W170" i="16"/>
  <c r="W178" i="16"/>
  <c r="W186" i="16"/>
  <c r="W194" i="16"/>
  <c r="W202" i="16"/>
  <c r="W210" i="16"/>
  <c r="W218" i="16"/>
  <c r="W226" i="16"/>
  <c r="W234" i="16"/>
  <c r="W242" i="16"/>
  <c r="W250" i="16"/>
  <c r="W258" i="16"/>
  <c r="W266" i="16"/>
  <c r="W274" i="16"/>
  <c r="W282" i="16"/>
  <c r="W290" i="16"/>
  <c r="W298" i="16"/>
  <c r="W306" i="16"/>
  <c r="W314" i="16"/>
  <c r="W322" i="16"/>
  <c r="W330" i="16"/>
  <c r="W338" i="16"/>
  <c r="W346" i="16"/>
  <c r="W354" i="16"/>
  <c r="W362" i="16"/>
  <c r="W370" i="16"/>
  <c r="W378" i="16"/>
  <c r="W386" i="16"/>
  <c r="W394" i="16"/>
  <c r="W402" i="16"/>
  <c r="W410" i="16"/>
  <c r="W418" i="16"/>
  <c r="W426" i="16"/>
  <c r="W434" i="16"/>
  <c r="W442" i="16"/>
  <c r="W450" i="16"/>
  <c r="W458" i="16"/>
  <c r="W466" i="16"/>
  <c r="W474" i="16"/>
  <c r="W482" i="16"/>
  <c r="W490" i="16"/>
  <c r="W498" i="16"/>
  <c r="W506" i="16"/>
  <c r="W514" i="16"/>
  <c r="W522" i="16"/>
  <c r="W530" i="16"/>
  <c r="W538" i="16"/>
  <c r="W546" i="16"/>
  <c r="W554" i="16"/>
  <c r="W562" i="16"/>
  <c r="W570" i="16"/>
  <c r="W578" i="16"/>
  <c r="W586" i="16"/>
  <c r="W594" i="16"/>
  <c r="W602" i="16"/>
  <c r="W610" i="16"/>
  <c r="W618" i="16"/>
  <c r="W626" i="16"/>
  <c r="W634" i="16"/>
  <c r="W642" i="16"/>
  <c r="W650" i="16"/>
  <c r="W658" i="16"/>
  <c r="W666" i="16"/>
  <c r="W674" i="16"/>
  <c r="W682" i="16"/>
  <c r="W690" i="16"/>
  <c r="W698" i="16"/>
  <c r="W706" i="16"/>
  <c r="W714" i="16"/>
  <c r="W722" i="16"/>
  <c r="W730" i="16"/>
  <c r="W738" i="16"/>
  <c r="W746" i="16"/>
  <c r="W754" i="16"/>
  <c r="W762" i="16"/>
  <c r="W770" i="16"/>
  <c r="W778" i="16"/>
  <c r="W786" i="16"/>
  <c r="W794" i="16"/>
  <c r="W802" i="16"/>
  <c r="W810" i="16"/>
  <c r="W818" i="16"/>
  <c r="W826" i="16"/>
  <c r="W834" i="16"/>
  <c r="W842" i="16"/>
  <c r="W850" i="16"/>
  <c r="W858" i="16"/>
  <c r="W866" i="16"/>
  <c r="W874" i="16"/>
  <c r="W882" i="16"/>
  <c r="W890" i="16"/>
  <c r="W898" i="16"/>
  <c r="W906" i="16"/>
  <c r="W914" i="16"/>
  <c r="W922" i="16"/>
  <c r="W930" i="16"/>
  <c r="W938" i="16"/>
  <c r="W946" i="16"/>
  <c r="W954" i="16"/>
  <c r="W962" i="16"/>
  <c r="W970" i="16"/>
  <c r="W978" i="16"/>
  <c r="W986" i="16"/>
  <c r="W994" i="16"/>
  <c r="W1002" i="16"/>
  <c r="W1010" i="16"/>
  <c r="W1018" i="16"/>
  <c r="W1026" i="16"/>
  <c r="W1034" i="16"/>
  <c r="W1042" i="16"/>
  <c r="W1050" i="16"/>
  <c r="W1058" i="16"/>
  <c r="W1066" i="16"/>
  <c r="W1074" i="16"/>
  <c r="W1082" i="16"/>
  <c r="W1090" i="16"/>
  <c r="W1098" i="16"/>
  <c r="W1106" i="16"/>
  <c r="W1114" i="16"/>
  <c r="W1122" i="16"/>
  <c r="W1130" i="16"/>
  <c r="W1138" i="16"/>
  <c r="W1146" i="16"/>
  <c r="W1154" i="16"/>
  <c r="W1162" i="16"/>
  <c r="W1170" i="16"/>
  <c r="W1178" i="16"/>
  <c r="W1186" i="16"/>
  <c r="W1194" i="16"/>
  <c r="W1202" i="16"/>
  <c r="W1210" i="16"/>
  <c r="W1218" i="16"/>
  <c r="W1226" i="16"/>
  <c r="W1234" i="16"/>
  <c r="W1242" i="16"/>
  <c r="W1250" i="16"/>
  <c r="W1258" i="16"/>
  <c r="W1266" i="16"/>
  <c r="W1274" i="16"/>
  <c r="W1282" i="16"/>
  <c r="W1290" i="16"/>
  <c r="W1298" i="16"/>
  <c r="W1306" i="16"/>
  <c r="W1314" i="16"/>
  <c r="W1322" i="16"/>
  <c r="W1330" i="16"/>
  <c r="W1338" i="16"/>
  <c r="W1346" i="16"/>
  <c r="W1356" i="16"/>
  <c r="W1365" i="16"/>
  <c r="W1375" i="16"/>
  <c r="W1385" i="16"/>
  <c r="W1396" i="16"/>
  <c r="W1407" i="16"/>
  <c r="W1417" i="16"/>
  <c r="W1428" i="16"/>
  <c r="W1439" i="16"/>
  <c r="W1449" i="16"/>
  <c r="W1460" i="16"/>
  <c r="W1471" i="16"/>
  <c r="W1481" i="16"/>
  <c r="W1492" i="16"/>
  <c r="W1503" i="16"/>
  <c r="W1513" i="16"/>
  <c r="W1524" i="16"/>
  <c r="W1535" i="16"/>
  <c r="W659" i="16"/>
  <c r="W667" i="16"/>
  <c r="W675" i="16"/>
  <c r="W683" i="16"/>
  <c r="W691" i="16"/>
  <c r="W699" i="16"/>
  <c r="W707" i="16"/>
  <c r="W715" i="16"/>
  <c r="W723" i="16"/>
  <c r="W731" i="16"/>
  <c r="W739" i="16"/>
  <c r="W747" i="16"/>
  <c r="W755" i="16"/>
  <c r="W763" i="16"/>
  <c r="W771" i="16"/>
  <c r="W779" i="16"/>
  <c r="W787" i="16"/>
  <c r="W795" i="16"/>
  <c r="W803" i="16"/>
  <c r="W811" i="16"/>
  <c r="W819" i="16"/>
  <c r="W827" i="16"/>
  <c r="W835" i="16"/>
  <c r="W843" i="16"/>
  <c r="W851" i="16"/>
  <c r="W859" i="16"/>
  <c r="W867" i="16"/>
  <c r="W875" i="16"/>
  <c r="W883" i="16"/>
  <c r="W891" i="16"/>
  <c r="W899" i="16"/>
  <c r="W907" i="16"/>
  <c r="W915" i="16"/>
  <c r="W923" i="16"/>
  <c r="W931" i="16"/>
  <c r="W939" i="16"/>
  <c r="W947" i="16"/>
  <c r="W955" i="16"/>
  <c r="W963" i="16"/>
  <c r="W971" i="16"/>
  <c r="W979" i="16"/>
  <c r="W987" i="16"/>
  <c r="W995" i="16"/>
  <c r="W1003" i="16"/>
  <c r="W1011" i="16"/>
  <c r="W1019" i="16"/>
  <c r="W1027" i="16"/>
  <c r="W1035" i="16"/>
  <c r="W1043" i="16"/>
  <c r="W1051" i="16"/>
  <c r="W1059" i="16"/>
  <c r="W1067" i="16"/>
  <c r="W1075" i="16"/>
  <c r="W1083" i="16"/>
  <c r="W1091" i="16"/>
  <c r="W1099" i="16"/>
  <c r="W1107" i="16"/>
  <c r="W1115" i="16"/>
  <c r="W1123" i="16"/>
  <c r="W1131" i="16"/>
  <c r="W1139" i="16"/>
  <c r="W1147" i="16"/>
  <c r="W1155" i="16"/>
  <c r="W1163" i="16"/>
  <c r="W1171" i="16"/>
  <c r="W1179" i="16"/>
  <c r="W1187" i="16"/>
  <c r="W1195" i="16"/>
  <c r="W1203" i="16"/>
  <c r="W1211" i="16"/>
  <c r="W1219" i="16"/>
  <c r="W1227" i="16"/>
  <c r="W1235" i="16"/>
  <c r="W1243" i="16"/>
  <c r="W1251" i="16"/>
  <c r="W1259" i="16"/>
  <c r="W1267" i="16"/>
  <c r="W1275" i="16"/>
  <c r="W1283" i="16"/>
  <c r="W1291" i="16"/>
  <c r="W1299" i="16"/>
  <c r="W1307" i="16"/>
  <c r="W1315" i="16"/>
  <c r="W1323" i="16"/>
  <c r="W1331" i="16"/>
  <c r="W1339" i="16"/>
  <c r="W1348" i="16"/>
  <c r="W1357" i="16"/>
  <c r="W1366" i="16"/>
  <c r="W1376" i="16"/>
  <c r="W1386" i="16"/>
  <c r="W1397" i="16"/>
  <c r="W1408" i="16"/>
  <c r="W1418" i="16"/>
  <c r="W1429" i="16"/>
  <c r="W1440" i="16"/>
  <c r="W1450" i="16"/>
  <c r="W1461" i="16"/>
  <c r="W1472" i="16"/>
  <c r="W1482" i="16"/>
  <c r="W1493" i="16"/>
  <c r="W1504" i="16"/>
  <c r="W1514" i="16"/>
  <c r="W1525" i="16"/>
  <c r="W4" i="16"/>
  <c r="W12" i="16"/>
  <c r="W20" i="16"/>
  <c r="W28" i="16"/>
  <c r="W36" i="16"/>
  <c r="W44" i="16"/>
  <c r="W52" i="16"/>
  <c r="W60" i="16"/>
  <c r="W68" i="16"/>
  <c r="W76" i="16"/>
  <c r="W84" i="16"/>
  <c r="W92" i="16"/>
  <c r="W100" i="16"/>
  <c r="W108" i="16"/>
  <c r="W116" i="16"/>
  <c r="W124" i="16"/>
  <c r="W132" i="16"/>
  <c r="W140" i="16"/>
  <c r="W148" i="16"/>
  <c r="W156" i="16"/>
  <c r="W164" i="16"/>
  <c r="W172" i="16"/>
  <c r="W180" i="16"/>
  <c r="W188" i="16"/>
  <c r="W196" i="16"/>
  <c r="W204" i="16"/>
  <c r="W212" i="16"/>
  <c r="W220" i="16"/>
  <c r="W228" i="16"/>
  <c r="W236" i="16"/>
  <c r="W244" i="16"/>
  <c r="W252" i="16"/>
  <c r="W260" i="16"/>
  <c r="W268" i="16"/>
  <c r="W276" i="16"/>
  <c r="W284" i="16"/>
  <c r="W292" i="16"/>
  <c r="W300" i="16"/>
  <c r="W308" i="16"/>
  <c r="W316" i="16"/>
  <c r="W324" i="16"/>
  <c r="W332" i="16"/>
  <c r="W340" i="16"/>
  <c r="W348" i="16"/>
  <c r="W356" i="16"/>
  <c r="W364" i="16"/>
  <c r="W372" i="16"/>
  <c r="W380" i="16"/>
  <c r="W388" i="16"/>
  <c r="W396" i="16"/>
  <c r="W404" i="16"/>
  <c r="W412" i="16"/>
  <c r="W420" i="16"/>
  <c r="W428" i="16"/>
  <c r="W436" i="16"/>
  <c r="W444" i="16"/>
  <c r="W452" i="16"/>
  <c r="W460" i="16"/>
  <c r="W468" i="16"/>
  <c r="W476" i="16"/>
  <c r="W484" i="16"/>
  <c r="W492" i="16"/>
  <c r="W500" i="16"/>
  <c r="W508" i="16"/>
  <c r="W516" i="16"/>
  <c r="W524" i="16"/>
  <c r="W532" i="16"/>
  <c r="W540" i="16"/>
  <c r="W548" i="16"/>
  <c r="W556" i="16"/>
  <c r="W564" i="16"/>
  <c r="W572" i="16"/>
  <c r="W580" i="16"/>
  <c r="W588" i="16"/>
  <c r="W596" i="16"/>
  <c r="W604" i="16"/>
  <c r="W612" i="16"/>
  <c r="W620" i="16"/>
  <c r="W628" i="16"/>
  <c r="W636" i="16"/>
  <c r="W644" i="16"/>
  <c r="W652" i="16"/>
  <c r="W660" i="16"/>
  <c r="W668" i="16"/>
  <c r="W676" i="16"/>
  <c r="W684" i="16"/>
  <c r="W692" i="16"/>
  <c r="W700" i="16"/>
  <c r="W708" i="16"/>
  <c r="W716" i="16"/>
  <c r="W724" i="16"/>
  <c r="W732" i="16"/>
  <c r="W740" i="16"/>
  <c r="W748" i="16"/>
  <c r="W756" i="16"/>
  <c r="W764" i="16"/>
  <c r="W772" i="16"/>
  <c r="W780" i="16"/>
  <c r="W788" i="16"/>
  <c r="W796" i="16"/>
  <c r="W804" i="16"/>
  <c r="W812" i="16"/>
  <c r="W820" i="16"/>
  <c r="W828" i="16"/>
  <c r="W836" i="16"/>
  <c r="W844" i="16"/>
  <c r="W852" i="16"/>
  <c r="W860" i="16"/>
  <c r="W868" i="16"/>
  <c r="W876" i="16"/>
  <c r="W884" i="16"/>
  <c r="W892" i="16"/>
  <c r="W900" i="16"/>
  <c r="W908" i="16"/>
  <c r="W916" i="16"/>
  <c r="W924" i="16"/>
  <c r="W932" i="16"/>
  <c r="W940" i="16"/>
  <c r="W948" i="16"/>
  <c r="W956" i="16"/>
  <c r="W964" i="16"/>
  <c r="W972" i="16"/>
  <c r="W980" i="16"/>
  <c r="W988" i="16"/>
  <c r="W996" i="16"/>
  <c r="W1004" i="16"/>
  <c r="W1012" i="16"/>
  <c r="W1020" i="16"/>
  <c r="W1028" i="16"/>
  <c r="W1036" i="16"/>
  <c r="W1044" i="16"/>
  <c r="W1052" i="16"/>
  <c r="W1060" i="16"/>
  <c r="W1068" i="16"/>
  <c r="W1076" i="16"/>
  <c r="W1084" i="16"/>
  <c r="W1092" i="16"/>
  <c r="W1100" i="16"/>
  <c r="W1108" i="16"/>
  <c r="W1116" i="16"/>
  <c r="W1124" i="16"/>
  <c r="W1132" i="16"/>
  <c r="W1140" i="16"/>
  <c r="W1148" i="16"/>
  <c r="W1156" i="16"/>
  <c r="W1164" i="16"/>
  <c r="W1172" i="16"/>
  <c r="W1180" i="16"/>
  <c r="W1188" i="16"/>
  <c r="W1196" i="16"/>
  <c r="W1204" i="16"/>
  <c r="W1212" i="16"/>
  <c r="W1220" i="16"/>
  <c r="W1228" i="16"/>
  <c r="W1236" i="16"/>
  <c r="W1244" i="16"/>
  <c r="W1252" i="16"/>
  <c r="W1260" i="16"/>
  <c r="W1268" i="16"/>
  <c r="W1276" i="16"/>
  <c r="W1284" i="16"/>
  <c r="W1292" i="16"/>
  <c r="W1300" i="16"/>
  <c r="W1308" i="16"/>
  <c r="W1316" i="16"/>
  <c r="W1324" i="16"/>
  <c r="W1332" i="16"/>
  <c r="W1340" i="16"/>
  <c r="W1349" i="16"/>
  <c r="W1358" i="16"/>
  <c r="W1367" i="16"/>
  <c r="W1377" i="16"/>
  <c r="W1388" i="16"/>
  <c r="W1399" i="16"/>
  <c r="W1409" i="16"/>
  <c r="W1420" i="16"/>
  <c r="W1431" i="16"/>
  <c r="W1441" i="16"/>
  <c r="W1452" i="16"/>
  <c r="W1463" i="16"/>
  <c r="W1473" i="16"/>
  <c r="W1484" i="16"/>
  <c r="W1495" i="16"/>
  <c r="W1505" i="16"/>
  <c r="W1516" i="16"/>
  <c r="W1527" i="16"/>
  <c r="W5" i="16"/>
  <c r="W13" i="16"/>
  <c r="W21" i="16"/>
  <c r="W29" i="16"/>
  <c r="W37" i="16"/>
  <c r="W45" i="16"/>
  <c r="W53" i="16"/>
  <c r="W61" i="16"/>
  <c r="W69" i="16"/>
  <c r="W77" i="16"/>
  <c r="W85" i="16"/>
  <c r="W93" i="16"/>
  <c r="W101" i="16"/>
  <c r="W109" i="16"/>
  <c r="W117" i="16"/>
  <c r="W125" i="16"/>
  <c r="W133" i="16"/>
  <c r="W141" i="16"/>
  <c r="W149" i="16"/>
  <c r="W157" i="16"/>
  <c r="W165" i="16"/>
  <c r="W173" i="16"/>
  <c r="W181" i="16"/>
  <c r="W189" i="16"/>
  <c r="W197" i="16"/>
  <c r="W205" i="16"/>
  <c r="W213" i="16"/>
  <c r="W221" i="16"/>
  <c r="W229" i="16"/>
  <c r="W237" i="16"/>
  <c r="W245" i="16"/>
  <c r="W253" i="16"/>
  <c r="W261" i="16"/>
  <c r="W269" i="16"/>
  <c r="W277" i="16"/>
  <c r="W285" i="16"/>
  <c r="W293" i="16"/>
  <c r="W301" i="16"/>
  <c r="W309" i="16"/>
  <c r="W317" i="16"/>
  <c r="W325" i="16"/>
  <c r="W333" i="16"/>
  <c r="W341" i="16"/>
  <c r="W349" i="16"/>
  <c r="W357" i="16"/>
  <c r="W365" i="16"/>
  <c r="W373" i="16"/>
  <c r="W381" i="16"/>
  <c r="W389" i="16"/>
  <c r="W397" i="16"/>
  <c r="W405" i="16"/>
  <c r="W413" i="16"/>
  <c r="W421" i="16"/>
  <c r="W429" i="16"/>
  <c r="W437" i="16"/>
  <c r="W445" i="16"/>
  <c r="W453" i="16"/>
  <c r="W461" i="16"/>
  <c r="W469" i="16"/>
  <c r="W477" i="16"/>
  <c r="W485" i="16"/>
  <c r="W493" i="16"/>
  <c r="W501" i="16"/>
  <c r="W509" i="16"/>
  <c r="W517" i="16"/>
  <c r="W525" i="16"/>
  <c r="W533" i="16"/>
  <c r="W541" i="16"/>
  <c r="W549" i="16"/>
  <c r="W557" i="16"/>
  <c r="W565" i="16"/>
  <c r="W573" i="16"/>
  <c r="W581" i="16"/>
  <c r="W589" i="16"/>
  <c r="W597" i="16"/>
  <c r="W605" i="16"/>
  <c r="W613" i="16"/>
  <c r="W621" i="16"/>
  <c r="W629" i="16"/>
  <c r="W637" i="16"/>
  <c r="W645" i="16"/>
  <c r="W653" i="16"/>
  <c r="W661" i="16"/>
  <c r="W669" i="16"/>
  <c r="W677" i="16"/>
  <c r="W685" i="16"/>
  <c r="W693" i="16"/>
  <c r="W701" i="16"/>
  <c r="W709" i="16"/>
  <c r="W717" i="16"/>
  <c r="W725" i="16"/>
  <c r="W733" i="16"/>
  <c r="W741" i="16"/>
  <c r="W749" i="16"/>
  <c r="W757" i="16"/>
  <c r="W765" i="16"/>
  <c r="W773" i="16"/>
  <c r="W781" i="16"/>
  <c r="W789" i="16"/>
  <c r="W797" i="16"/>
  <c r="W805" i="16"/>
  <c r="W813" i="16"/>
  <c r="W821" i="16"/>
  <c r="W829" i="16"/>
  <c r="W837" i="16"/>
  <c r="W845" i="16"/>
  <c r="W853" i="16"/>
  <c r="W861" i="16"/>
  <c r="W869" i="16"/>
  <c r="W877" i="16"/>
  <c r="W885" i="16"/>
  <c r="W893" i="16"/>
  <c r="W901" i="16"/>
  <c r="W909" i="16"/>
  <c r="W917" i="16"/>
  <c r="W925" i="16"/>
  <c r="W933" i="16"/>
  <c r="W941" i="16"/>
  <c r="W949" i="16"/>
  <c r="W957" i="16"/>
  <c r="W965" i="16"/>
  <c r="W973" i="16"/>
  <c r="W981" i="16"/>
  <c r="W989" i="16"/>
  <c r="W997" i="16"/>
  <c r="W1005" i="16"/>
  <c r="W1013" i="16"/>
  <c r="W1021" i="16"/>
  <c r="W1029" i="16"/>
  <c r="W1037" i="16"/>
  <c r="W1045" i="16"/>
  <c r="W1053" i="16"/>
  <c r="W1061" i="16"/>
  <c r="W1069" i="16"/>
  <c r="W1077" i="16"/>
  <c r="W1085" i="16"/>
  <c r="W1093" i="16"/>
  <c r="W1101" i="16"/>
  <c r="W1109" i="16"/>
  <c r="W1117" i="16"/>
  <c r="W1125" i="16"/>
  <c r="W1133" i="16"/>
  <c r="W1141" i="16"/>
  <c r="W1149" i="16"/>
  <c r="W1157" i="16"/>
  <c r="W1165" i="16"/>
  <c r="W1173" i="16"/>
  <c r="W1181" i="16"/>
  <c r="W1189" i="16"/>
  <c r="W1197" i="16"/>
  <c r="W1205" i="16"/>
  <c r="W1213" i="16"/>
  <c r="W1221" i="16"/>
  <c r="W1229" i="16"/>
  <c r="W1237" i="16"/>
  <c r="W1245" i="16"/>
  <c r="W1253" i="16"/>
  <c r="W1261" i="16"/>
  <c r="W1269" i="16"/>
  <c r="W1277" i="16"/>
  <c r="W1285" i="16"/>
  <c r="W1293" i="16"/>
  <c r="W1301" i="16"/>
  <c r="W1309" i="16"/>
  <c r="W1317" i="16"/>
  <c r="W1325" i="16"/>
  <c r="W1333" i="16"/>
  <c r="W1341" i="16"/>
  <c r="W1350" i="16"/>
  <c r="W1359" i="16"/>
  <c r="W1368" i="16"/>
  <c r="W1378" i="16"/>
  <c r="W1389" i="16"/>
  <c r="W1400" i="16"/>
  <c r="W1410" i="16"/>
  <c r="W1421" i="16"/>
  <c r="W1432" i="16"/>
  <c r="W1442" i="16"/>
  <c r="W1453" i="16"/>
  <c r="W1464" i="16"/>
  <c r="W1474" i="16"/>
  <c r="W1485" i="16"/>
  <c r="W1496" i="16"/>
  <c r="W1506" i="16"/>
  <c r="W1517" i="16"/>
  <c r="W1528" i="16"/>
  <c r="W6" i="16"/>
  <c r="W14" i="16"/>
  <c r="W22" i="16"/>
  <c r="W30" i="16"/>
  <c r="W38" i="16"/>
  <c r="W46" i="16"/>
  <c r="W54" i="16"/>
  <c r="W62" i="16"/>
  <c r="W70" i="16"/>
  <c r="W78" i="16"/>
  <c r="W86" i="16"/>
  <c r="W94" i="16"/>
  <c r="W102" i="16"/>
  <c r="W110" i="16"/>
  <c r="W118" i="16"/>
  <c r="W126" i="16"/>
  <c r="W134" i="16"/>
  <c r="W142" i="16"/>
  <c r="W150" i="16"/>
  <c r="W158" i="16"/>
  <c r="W166" i="16"/>
  <c r="W174" i="16"/>
  <c r="W182" i="16"/>
  <c r="W190" i="16"/>
  <c r="W198" i="16"/>
  <c r="W206" i="16"/>
  <c r="W214" i="16"/>
  <c r="W222" i="16"/>
  <c r="W230" i="16"/>
  <c r="W238" i="16"/>
  <c r="W246" i="16"/>
  <c r="W254" i="16"/>
  <c r="W262" i="16"/>
  <c r="W270" i="16"/>
  <c r="W278" i="16"/>
  <c r="W286" i="16"/>
  <c r="W294" i="16"/>
  <c r="W302" i="16"/>
  <c r="W310" i="16"/>
  <c r="W318" i="16"/>
  <c r="W326" i="16"/>
  <c r="W334" i="16"/>
  <c r="W342" i="16"/>
  <c r="W350" i="16"/>
  <c r="W358" i="16"/>
  <c r="W366" i="16"/>
  <c r="W374" i="16"/>
  <c r="W382" i="16"/>
  <c r="W390" i="16"/>
  <c r="W398" i="16"/>
  <c r="W406" i="16"/>
  <c r="W414" i="16"/>
  <c r="W422" i="16"/>
  <c r="W430" i="16"/>
  <c r="W438" i="16"/>
  <c r="W446" i="16"/>
  <c r="W454" i="16"/>
  <c r="W462" i="16"/>
  <c r="W470" i="16"/>
  <c r="W478" i="16"/>
  <c r="W486" i="16"/>
  <c r="W494" i="16"/>
  <c r="W502" i="16"/>
  <c r="W510" i="16"/>
  <c r="W518" i="16"/>
  <c r="W526" i="16"/>
  <c r="W534" i="16"/>
  <c r="W542" i="16"/>
  <c r="W550" i="16"/>
  <c r="W558" i="16"/>
  <c r="W566" i="16"/>
  <c r="W574" i="16"/>
  <c r="W582" i="16"/>
  <c r="W590" i="16"/>
  <c r="W598" i="16"/>
  <c r="W606" i="16"/>
  <c r="W614" i="16"/>
  <c r="W622" i="16"/>
  <c r="W630" i="16"/>
  <c r="W638" i="16"/>
  <c r="W646" i="16"/>
  <c r="W654" i="16"/>
  <c r="W662" i="16"/>
  <c r="W670" i="16"/>
  <c r="W678" i="16"/>
  <c r="W686" i="16"/>
  <c r="W694" i="16"/>
  <c r="W702" i="16"/>
  <c r="W710" i="16"/>
  <c r="W718" i="16"/>
  <c r="W726" i="16"/>
  <c r="W734" i="16"/>
  <c r="W742" i="16"/>
  <c r="W750" i="16"/>
  <c r="W758" i="16"/>
  <c r="W766" i="16"/>
  <c r="W774" i="16"/>
  <c r="W782" i="16"/>
  <c r="W790" i="16"/>
  <c r="W798" i="16"/>
  <c r="W806" i="16"/>
  <c r="W814" i="16"/>
  <c r="W822" i="16"/>
  <c r="W830" i="16"/>
  <c r="W838" i="16"/>
  <c r="W846" i="16"/>
  <c r="W854" i="16"/>
  <c r="W862" i="16"/>
  <c r="W870" i="16"/>
  <c r="W878" i="16"/>
  <c r="W886" i="16"/>
  <c r="W894" i="16"/>
  <c r="W902" i="16"/>
  <c r="W910" i="16"/>
  <c r="W918" i="16"/>
  <c r="W926" i="16"/>
  <c r="W934" i="16"/>
  <c r="W942" i="16"/>
  <c r="W950" i="16"/>
  <c r="W958" i="16"/>
  <c r="W966" i="16"/>
  <c r="W974" i="16"/>
  <c r="W982" i="16"/>
  <c r="W990" i="16"/>
  <c r="W998" i="16"/>
  <c r="W1006" i="16"/>
  <c r="W1014" i="16"/>
  <c r="W1022" i="16"/>
  <c r="W1030" i="16"/>
  <c r="W1038" i="16"/>
  <c r="W1046" i="16"/>
  <c r="W1054" i="16"/>
  <c r="W1062" i="16"/>
  <c r="W1070" i="16"/>
  <c r="W1078" i="16"/>
  <c r="W1086" i="16"/>
  <c r="W1094" i="16"/>
  <c r="W1102" i="16"/>
  <c r="W1110" i="16"/>
  <c r="W1118" i="16"/>
  <c r="W1126" i="16"/>
  <c r="W1134" i="16"/>
  <c r="W1142" i="16"/>
  <c r="W1150" i="16"/>
  <c r="W1158" i="16"/>
  <c r="W1166" i="16"/>
  <c r="W1174" i="16"/>
  <c r="W1182" i="16"/>
  <c r="W1190" i="16"/>
  <c r="W1198" i="16"/>
  <c r="W1206" i="16"/>
  <c r="W1214" i="16"/>
  <c r="W1222" i="16"/>
  <c r="W1230" i="16"/>
  <c r="W1238" i="16"/>
  <c r="W1246" i="16"/>
  <c r="W1254" i="16"/>
  <c r="W1262" i="16"/>
  <c r="W1270" i="16"/>
  <c r="W1278" i="16"/>
  <c r="W1286" i="16"/>
  <c r="W1294" i="16"/>
  <c r="W1302" i="16"/>
  <c r="W1310" i="16"/>
  <c r="W1318" i="16"/>
  <c r="W1326" i="16"/>
  <c r="W1334" i="16"/>
  <c r="W1342" i="16"/>
  <c r="W1351" i="16"/>
  <c r="W1360" i="16"/>
  <c r="W1369" i="16"/>
  <c r="W1380" i="16"/>
  <c r="W1391" i="16"/>
  <c r="W1401" i="16"/>
  <c r="W1412" i="16"/>
  <c r="W1423" i="16"/>
  <c r="W1433" i="16"/>
  <c r="W1444" i="16"/>
  <c r="W1455" i="16"/>
  <c r="W1465" i="16"/>
  <c r="W1476" i="16"/>
  <c r="W1487" i="16"/>
  <c r="W1497" i="16"/>
  <c r="W1508" i="16"/>
  <c r="W1519" i="16"/>
  <c r="W1529" i="16"/>
  <c r="W911" i="16"/>
  <c r="W919" i="16"/>
  <c r="W927" i="16"/>
  <c r="W935" i="16"/>
  <c r="W943" i="16"/>
  <c r="W951" i="16"/>
  <c r="W959" i="16"/>
  <c r="W967" i="16"/>
  <c r="W975" i="16"/>
  <c r="W983" i="16"/>
  <c r="W991" i="16"/>
  <c r="W999" i="16"/>
  <c r="W1007" i="16"/>
  <c r="W1015" i="16"/>
  <c r="W1023" i="16"/>
  <c r="W1031" i="16"/>
  <c r="W1039" i="16"/>
  <c r="W1047" i="16"/>
  <c r="W1055" i="16"/>
  <c r="W1063" i="16"/>
  <c r="W1071" i="16"/>
  <c r="W1079" i="16"/>
  <c r="W1087" i="16"/>
  <c r="W1095" i="16"/>
  <c r="W1103" i="16"/>
  <c r="W1111" i="16"/>
  <c r="W1119" i="16"/>
  <c r="W1127" i="16"/>
  <c r="W1135" i="16"/>
  <c r="W1143" i="16"/>
  <c r="W1151" i="16"/>
  <c r="W1159" i="16"/>
  <c r="W1167" i="16"/>
  <c r="W1175" i="16"/>
  <c r="W1183" i="16"/>
  <c r="W1191" i="16"/>
  <c r="W1199" i="16"/>
  <c r="W1207" i="16"/>
  <c r="W1215" i="16"/>
  <c r="W1223" i="16"/>
  <c r="W1231" i="16"/>
  <c r="W1239" i="16"/>
  <c r="W1247" i="16"/>
  <c r="W1255" i="16"/>
  <c r="W1263" i="16"/>
  <c r="W1271" i="16"/>
  <c r="W1279" i="16"/>
  <c r="W1287" i="16"/>
  <c r="W1295" i="16"/>
  <c r="W1303" i="16"/>
  <c r="W1311" i="16"/>
  <c r="W1319" i="16"/>
  <c r="W1327" i="16"/>
  <c r="W1335" i="16"/>
  <c r="W1343" i="16"/>
  <c r="W1352" i="16"/>
  <c r="W1361" i="16"/>
  <c r="W1370" i="16"/>
  <c r="W1381" i="16"/>
  <c r="W1392" i="16"/>
  <c r="W1402" i="16"/>
  <c r="W1413" i="16"/>
  <c r="W1424" i="16"/>
  <c r="W1434" i="16"/>
  <c r="W1445" i="16"/>
  <c r="W1456" i="16"/>
  <c r="W1466" i="16"/>
  <c r="W1477" i="16"/>
  <c r="W1488" i="16"/>
  <c r="W1498" i="16"/>
  <c r="W1509" i="16"/>
  <c r="W1520" i="16"/>
  <c r="W1530" i="16"/>
  <c r="W8" i="16"/>
  <c r="W16" i="16"/>
  <c r="W24" i="16"/>
  <c r="W32" i="16"/>
  <c r="W40" i="16"/>
  <c r="W48" i="16"/>
  <c r="W56" i="16"/>
  <c r="W64" i="16"/>
  <c r="W72" i="16"/>
  <c r="W80" i="16"/>
  <c r="W88" i="16"/>
  <c r="W96" i="16"/>
  <c r="W104" i="16"/>
  <c r="W112" i="16"/>
  <c r="W120" i="16"/>
  <c r="W128" i="16"/>
  <c r="W136" i="16"/>
  <c r="W144" i="16"/>
  <c r="W152" i="16"/>
  <c r="W160" i="16"/>
  <c r="W168" i="16"/>
  <c r="W176" i="16"/>
  <c r="W184" i="16"/>
  <c r="W192" i="16"/>
  <c r="W200" i="16"/>
  <c r="W208" i="16"/>
  <c r="W216" i="16"/>
  <c r="W224" i="16"/>
  <c r="W232" i="16"/>
  <c r="W240" i="16"/>
  <c r="W248" i="16"/>
  <c r="W256" i="16"/>
  <c r="W264" i="16"/>
  <c r="W272" i="16"/>
  <c r="W280" i="16"/>
  <c r="W288" i="16"/>
  <c r="W296" i="16"/>
  <c r="W304" i="16"/>
  <c r="W312" i="16"/>
  <c r="W320" i="16"/>
  <c r="W328" i="16"/>
  <c r="W336" i="16"/>
  <c r="W344" i="16"/>
  <c r="W352" i="16"/>
  <c r="W360" i="16"/>
  <c r="W368" i="16"/>
  <c r="W376" i="16"/>
  <c r="W384" i="16"/>
  <c r="W392" i="16"/>
  <c r="W400" i="16"/>
  <c r="W408" i="16"/>
  <c r="W416" i="16"/>
  <c r="W424" i="16"/>
  <c r="W432" i="16"/>
  <c r="W440" i="16"/>
  <c r="W448" i="16"/>
  <c r="W456" i="16"/>
  <c r="W464" i="16"/>
  <c r="W472" i="16"/>
  <c r="W480" i="16"/>
  <c r="W488" i="16"/>
  <c r="W496" i="16"/>
  <c r="W504" i="16"/>
  <c r="W512" i="16"/>
  <c r="W520" i="16"/>
  <c r="W528" i="16"/>
  <c r="W536" i="16"/>
  <c r="W544" i="16"/>
  <c r="W552" i="16"/>
  <c r="W560" i="16"/>
  <c r="W568" i="16"/>
  <c r="W576" i="16"/>
  <c r="W584" i="16"/>
  <c r="W592" i="16"/>
  <c r="W600" i="16"/>
  <c r="W608" i="16"/>
  <c r="W616" i="16"/>
  <c r="W624" i="16"/>
  <c r="W632" i="16"/>
  <c r="W640" i="16"/>
  <c r="W648" i="16"/>
  <c r="W656" i="16"/>
  <c r="W664" i="16"/>
  <c r="W672" i="16"/>
  <c r="W680" i="16"/>
  <c r="W688" i="16"/>
  <c r="W696" i="16"/>
  <c r="W704" i="16"/>
  <c r="W712" i="16"/>
  <c r="W720" i="16"/>
  <c r="W728" i="16"/>
  <c r="W736" i="16"/>
  <c r="W744" i="16"/>
  <c r="W752" i="16"/>
  <c r="W760" i="16"/>
  <c r="W768" i="16"/>
  <c r="W776" i="16"/>
  <c r="W784" i="16"/>
  <c r="W792" i="16"/>
  <c r="W800" i="16"/>
  <c r="W808" i="16"/>
  <c r="W816" i="16"/>
  <c r="W824" i="16"/>
  <c r="W832" i="16"/>
  <c r="W840" i="16"/>
  <c r="W848" i="16"/>
  <c r="W856" i="16"/>
  <c r="W864" i="16"/>
  <c r="W872" i="16"/>
  <c r="W880" i="16"/>
  <c r="W888" i="16"/>
  <c r="W896" i="16"/>
  <c r="W904" i="16"/>
  <c r="W912" i="16"/>
  <c r="W920" i="16"/>
  <c r="W928" i="16"/>
  <c r="W936" i="16"/>
  <c r="W944" i="16"/>
  <c r="W952" i="16"/>
  <c r="W960" i="16"/>
  <c r="W968" i="16"/>
  <c r="W976" i="16"/>
  <c r="W984" i="16"/>
  <c r="W992" i="16"/>
  <c r="W1000" i="16"/>
  <c r="W1008" i="16"/>
  <c r="W1016" i="16"/>
  <c r="W1024" i="16"/>
  <c r="W1032" i="16"/>
  <c r="W1040" i="16"/>
  <c r="W1048" i="16"/>
  <c r="W1056" i="16"/>
  <c r="W1064" i="16"/>
  <c r="W1072" i="16"/>
  <c r="W1080" i="16"/>
  <c r="W1088" i="16"/>
  <c r="W1096" i="16"/>
  <c r="W1104" i="16"/>
  <c r="W1112" i="16"/>
  <c r="W1120" i="16"/>
  <c r="W1128" i="16"/>
  <c r="W1136" i="16"/>
  <c r="W1144" i="16"/>
  <c r="W1152" i="16"/>
  <c r="W1160" i="16"/>
  <c r="W1168" i="16"/>
  <c r="W1176" i="16"/>
  <c r="W1184" i="16"/>
  <c r="W1192" i="16"/>
  <c r="W1200" i="16"/>
  <c r="W1208" i="16"/>
  <c r="W1216" i="16"/>
  <c r="W1224" i="16"/>
  <c r="W1232" i="16"/>
  <c r="W1240" i="16"/>
  <c r="W1248" i="16"/>
  <c r="W1256" i="16"/>
  <c r="W1264" i="16"/>
  <c r="W1272" i="16"/>
  <c r="W1280" i="16"/>
  <c r="W1288" i="16"/>
  <c r="W1296" i="16"/>
  <c r="W1304" i="16"/>
  <c r="W1312" i="16"/>
  <c r="W1320" i="16"/>
  <c r="W1328" i="16"/>
  <c r="W1336" i="16"/>
  <c r="W1344" i="16"/>
  <c r="W1353" i="16"/>
  <c r="W1362" i="16"/>
  <c r="W1372" i="16"/>
  <c r="W1383" i="16"/>
  <c r="W1393" i="16"/>
  <c r="W1404" i="16"/>
  <c r="W1415" i="16"/>
  <c r="W1425" i="16"/>
  <c r="W1436" i="16"/>
  <c r="W1447" i="16"/>
  <c r="W1457" i="16"/>
  <c r="W1468" i="16"/>
  <c r="W1479" i="16"/>
  <c r="W1489" i="16"/>
  <c r="W1500" i="16"/>
  <c r="W1511" i="16"/>
  <c r="W1521" i="16"/>
  <c r="W1532" i="16"/>
  <c r="X27" i="16"/>
  <c r="X35" i="16"/>
  <c r="X43" i="16"/>
  <c r="X51" i="16"/>
  <c r="X59" i="16"/>
  <c r="X67" i="16"/>
  <c r="X75" i="16"/>
  <c r="X83" i="16"/>
  <c r="X91" i="16"/>
  <c r="X99" i="16"/>
  <c r="X107" i="16"/>
  <c r="X115" i="16"/>
  <c r="X123" i="16"/>
  <c r="X131" i="16"/>
  <c r="X139" i="16"/>
  <c r="X147" i="16"/>
  <c r="X155" i="16"/>
  <c r="X163" i="16"/>
  <c r="X171" i="16"/>
  <c r="X179" i="16"/>
  <c r="X187" i="16"/>
  <c r="X195" i="16"/>
  <c r="X203" i="16"/>
  <c r="X211" i="16"/>
  <c r="X219" i="16"/>
  <c r="X227" i="16"/>
  <c r="X235" i="16"/>
  <c r="X243" i="16"/>
  <c r="X251" i="16"/>
  <c r="X259" i="16"/>
  <c r="X267" i="16"/>
  <c r="X275" i="16"/>
  <c r="X283" i="16"/>
  <c r="X291" i="16"/>
  <c r="X299" i="16"/>
  <c r="X307" i="16"/>
  <c r="X315" i="16"/>
  <c r="X323" i="16"/>
  <c r="X331" i="16"/>
  <c r="X339" i="16"/>
  <c r="X347" i="16"/>
  <c r="X355" i="16"/>
  <c r="X363" i="16"/>
  <c r="X371" i="16"/>
  <c r="X379" i="16"/>
  <c r="X387" i="16"/>
  <c r="X395" i="16"/>
  <c r="X403" i="16"/>
  <c r="X411" i="16"/>
  <c r="X419" i="16"/>
  <c r="X427" i="16"/>
  <c r="X435" i="16"/>
  <c r="X443" i="16"/>
  <c r="X451" i="16"/>
  <c r="X459" i="16"/>
  <c r="X467" i="16"/>
  <c r="X475" i="16"/>
  <c r="X483" i="16"/>
  <c r="X491" i="16"/>
  <c r="X499" i="16"/>
  <c r="X507" i="16"/>
  <c r="X515" i="16"/>
  <c r="X523" i="16"/>
  <c r="X531" i="16"/>
  <c r="X539" i="16"/>
  <c r="X547" i="16"/>
  <c r="X555" i="16"/>
  <c r="X563" i="16"/>
  <c r="X571" i="16"/>
  <c r="X579" i="16"/>
  <c r="X587" i="16"/>
  <c r="X595" i="16"/>
  <c r="X603" i="16"/>
  <c r="X611" i="16"/>
  <c r="X619" i="16"/>
  <c r="X627" i="16"/>
  <c r="X635" i="16"/>
  <c r="X643" i="16"/>
  <c r="X651" i="16"/>
  <c r="X659" i="16"/>
  <c r="X667" i="16"/>
  <c r="X675" i="16"/>
  <c r="X683" i="16"/>
  <c r="X691" i="16"/>
  <c r="X699" i="16"/>
  <c r="X707" i="16"/>
  <c r="X715" i="16"/>
  <c r="X723" i="16"/>
  <c r="X731" i="16"/>
  <c r="X739" i="16"/>
  <c r="X747" i="16"/>
  <c r="X755" i="16"/>
  <c r="X763" i="16"/>
  <c r="X771" i="16"/>
  <c r="X779" i="16"/>
  <c r="X787" i="16"/>
  <c r="X795" i="16"/>
  <c r="X803" i="16"/>
  <c r="X811" i="16"/>
  <c r="X819" i="16"/>
  <c r="X827" i="16"/>
  <c r="X835" i="16"/>
  <c r="X843" i="16"/>
  <c r="X851" i="16"/>
  <c r="X859" i="16"/>
  <c r="X867" i="16"/>
  <c r="X875" i="16"/>
  <c r="X883" i="16"/>
  <c r="X891" i="16"/>
  <c r="X899" i="16"/>
  <c r="X907" i="16"/>
  <c r="X915" i="16"/>
  <c r="X923" i="16"/>
  <c r="X931" i="16"/>
  <c r="X939" i="16"/>
  <c r="X947" i="16"/>
  <c r="X955" i="16"/>
  <c r="X963" i="16"/>
  <c r="X971" i="16"/>
  <c r="X979" i="16"/>
  <c r="X987" i="16"/>
  <c r="X995" i="16"/>
  <c r="X1003" i="16"/>
  <c r="X1011" i="16"/>
  <c r="X1019" i="16"/>
  <c r="X1027" i="16"/>
  <c r="X1035" i="16"/>
  <c r="X1043" i="16"/>
  <c r="X1051" i="16"/>
  <c r="X1059" i="16"/>
  <c r="X1067" i="16"/>
  <c r="X1075" i="16"/>
  <c r="X1083" i="16"/>
  <c r="X1091" i="16"/>
  <c r="X1099" i="16"/>
  <c r="X1107" i="16"/>
  <c r="X1115" i="16"/>
  <c r="X1123" i="16"/>
  <c r="X1131" i="16"/>
  <c r="X1139" i="16"/>
  <c r="X1147" i="16"/>
  <c r="X1155" i="16"/>
  <c r="X1163" i="16"/>
  <c r="X1171" i="16"/>
  <c r="X1179" i="16"/>
  <c r="X1187" i="16"/>
  <c r="X1195" i="16"/>
  <c r="X1203" i="16"/>
  <c r="X1211" i="16"/>
  <c r="X1219" i="16"/>
  <c r="X1227" i="16"/>
  <c r="X1235" i="16"/>
  <c r="X1243" i="16"/>
  <c r="X1251" i="16"/>
  <c r="X1259" i="16"/>
  <c r="X1267" i="16"/>
  <c r="X1275" i="16"/>
  <c r="X1283" i="16"/>
  <c r="X1291" i="16"/>
  <c r="X1299" i="16"/>
  <c r="X1307" i="16"/>
  <c r="X1315" i="16"/>
  <c r="X1323" i="16"/>
  <c r="X1331" i="16"/>
  <c r="X1339" i="16"/>
  <c r="X1347" i="16"/>
  <c r="X1355" i="16"/>
  <c r="X1363" i="16"/>
  <c r="X1371" i="16"/>
  <c r="X1379" i="16"/>
  <c r="X1387" i="16"/>
  <c r="X1395" i="16"/>
  <c r="X1403" i="16"/>
  <c r="X1411" i="16"/>
  <c r="X1419" i="16"/>
  <c r="X1427" i="16"/>
  <c r="X1435" i="16"/>
  <c r="X1443" i="16"/>
  <c r="X1451" i="16"/>
  <c r="X1459" i="16"/>
  <c r="X1467" i="16"/>
  <c r="X1475" i="16"/>
  <c r="X1483" i="16"/>
  <c r="X1491" i="16"/>
  <c r="X1499" i="16"/>
  <c r="X1507" i="16"/>
  <c r="X1515" i="16"/>
  <c r="X1523" i="16"/>
  <c r="X1531" i="16"/>
  <c r="Y4" i="16"/>
  <c r="Y12" i="16"/>
  <c r="Y20" i="16"/>
  <c r="Y28" i="16"/>
  <c r="Y36" i="16"/>
  <c r="Y44" i="16"/>
  <c r="Y52" i="16"/>
  <c r="Y60" i="16"/>
  <c r="Y68" i="16"/>
  <c r="Y76" i="16"/>
  <c r="Y84" i="16"/>
  <c r="Y92" i="16"/>
  <c r="Y100" i="16"/>
  <c r="Y108" i="16"/>
  <c r="Y116" i="16"/>
  <c r="Y124" i="16"/>
  <c r="Y132" i="16"/>
  <c r="Y140" i="16"/>
  <c r="Y148" i="16"/>
  <c r="Y156" i="16"/>
  <c r="Y164" i="16"/>
  <c r="Y172" i="16"/>
  <c r="Y180" i="16"/>
  <c r="Y188" i="16"/>
  <c r="Y196" i="16"/>
  <c r="Y204" i="16"/>
  <c r="Y212" i="16"/>
  <c r="Y220" i="16"/>
  <c r="Y228" i="16"/>
  <c r="Y236" i="16"/>
  <c r="Y244" i="16"/>
  <c r="Y252" i="16"/>
  <c r="Y260" i="16"/>
  <c r="Y268" i="16"/>
  <c r="Y276" i="16"/>
  <c r="Y284" i="16"/>
  <c r="Y292" i="16"/>
  <c r="Y300" i="16"/>
  <c r="Y308" i="16"/>
  <c r="Y317" i="16"/>
  <c r="Y326" i="16"/>
  <c r="Y335" i="16"/>
  <c r="Y344" i="16"/>
  <c r="Y353" i="16"/>
  <c r="Y362" i="16"/>
  <c r="Y371" i="16"/>
  <c r="Y381" i="16"/>
  <c r="Y390" i="16"/>
  <c r="Y399" i="16"/>
  <c r="Y408" i="16"/>
  <c r="Y417" i="16"/>
  <c r="Y426" i="16"/>
  <c r="Y435" i="16"/>
  <c r="Y445" i="16"/>
  <c r="Y454" i="16"/>
  <c r="Y463" i="16"/>
  <c r="Y472" i="16"/>
  <c r="Y481" i="16"/>
  <c r="Y490" i="16"/>
  <c r="Y499" i="16"/>
  <c r="Y509" i="16"/>
  <c r="Y518" i="16"/>
  <c r="Y527" i="16"/>
  <c r="Y536" i="16"/>
  <c r="Y545" i="16"/>
  <c r="Y554" i="16"/>
  <c r="Y563" i="16"/>
  <c r="Y573" i="16"/>
  <c r="Y582" i="16"/>
  <c r="Y591" i="16"/>
  <c r="Y600" i="16"/>
  <c r="Y609" i="16"/>
  <c r="Y618" i="16"/>
  <c r="Y627" i="16"/>
  <c r="Y637" i="16"/>
  <c r="Y646" i="16"/>
  <c r="Y655" i="16"/>
  <c r="Y664" i="16"/>
  <c r="Y673" i="16"/>
  <c r="Y682" i="16"/>
  <c r="Y691" i="16"/>
  <c r="Y701" i="16"/>
  <c r="Y711" i="16"/>
  <c r="Y721" i="16"/>
  <c r="Y733" i="16"/>
  <c r="Y743" i="16"/>
  <c r="Y754" i="16"/>
  <c r="Y767" i="16"/>
  <c r="Y781" i="16"/>
  <c r="Y793" i="16"/>
  <c r="Y807" i="16"/>
  <c r="Y823" i="16"/>
  <c r="Y839" i="16"/>
  <c r="Y855" i="16"/>
  <c r="Y871" i="16"/>
  <c r="Y887" i="16"/>
  <c r="Y903" i="16"/>
  <c r="Y921" i="16"/>
  <c r="Y941" i="16"/>
  <c r="Y962" i="16"/>
  <c r="Y985" i="16"/>
  <c r="Y1005" i="16"/>
  <c r="Y1026" i="16"/>
  <c r="Y1049" i="16"/>
  <c r="Y1069" i="16"/>
  <c r="Y1090" i="16"/>
  <c r="Y1113" i="16"/>
  <c r="Y1133" i="16"/>
  <c r="Y1154" i="16"/>
  <c r="Y1177" i="16"/>
  <c r="Y1197" i="16"/>
  <c r="Y1229" i="16"/>
  <c r="Y1261" i="16"/>
  <c r="Y1293" i="16"/>
  <c r="Y1325" i="16"/>
  <c r="Y1357" i="16"/>
  <c r="Y1389" i="16"/>
  <c r="Y1421" i="16"/>
  <c r="Y1453" i="16"/>
  <c r="Y1485" i="16"/>
  <c r="Y1517" i="16"/>
  <c r="Z14" i="16"/>
  <c r="Z46" i="16"/>
  <c r="Z90" i="16"/>
  <c r="Z154" i="16"/>
  <c r="X4" i="16"/>
  <c r="X12" i="16"/>
  <c r="X20" i="16"/>
  <c r="X28" i="16"/>
  <c r="X36" i="16"/>
  <c r="X44" i="16"/>
  <c r="X52" i="16"/>
  <c r="X60" i="16"/>
  <c r="X68" i="16"/>
  <c r="X76" i="16"/>
  <c r="X84" i="16"/>
  <c r="X92" i="16"/>
  <c r="X100" i="16"/>
  <c r="X108" i="16"/>
  <c r="X116" i="16"/>
  <c r="X124" i="16"/>
  <c r="X132" i="16"/>
  <c r="X140" i="16"/>
  <c r="X148" i="16"/>
  <c r="X156" i="16"/>
  <c r="X164" i="16"/>
  <c r="X172" i="16"/>
  <c r="X180" i="16"/>
  <c r="X188" i="16"/>
  <c r="X196" i="16"/>
  <c r="X204" i="16"/>
  <c r="X212" i="16"/>
  <c r="X220" i="16"/>
  <c r="X228" i="16"/>
  <c r="X236" i="16"/>
  <c r="X244" i="16"/>
  <c r="X252" i="16"/>
  <c r="X260" i="16"/>
  <c r="X268" i="16"/>
  <c r="X276" i="16"/>
  <c r="X284" i="16"/>
  <c r="X292" i="16"/>
  <c r="X300" i="16"/>
  <c r="X308" i="16"/>
  <c r="X316" i="16"/>
  <c r="X324" i="16"/>
  <c r="X332" i="16"/>
  <c r="X340" i="16"/>
  <c r="X348" i="16"/>
  <c r="X356" i="16"/>
  <c r="X364" i="16"/>
  <c r="X372" i="16"/>
  <c r="X380" i="16"/>
  <c r="X388" i="16"/>
  <c r="X396" i="16"/>
  <c r="X404" i="16"/>
  <c r="X412" i="16"/>
  <c r="X420" i="16"/>
  <c r="X428" i="16"/>
  <c r="X436" i="16"/>
  <c r="X444" i="16"/>
  <c r="X452" i="16"/>
  <c r="X460" i="16"/>
  <c r="X468" i="16"/>
  <c r="X476" i="16"/>
  <c r="X484" i="16"/>
  <c r="X492" i="16"/>
  <c r="X500" i="16"/>
  <c r="X508" i="16"/>
  <c r="X516" i="16"/>
  <c r="X524" i="16"/>
  <c r="X532" i="16"/>
  <c r="X540" i="16"/>
  <c r="X548" i="16"/>
  <c r="X556" i="16"/>
  <c r="X564" i="16"/>
  <c r="X572" i="16"/>
  <c r="X580" i="16"/>
  <c r="X588" i="16"/>
  <c r="X596" i="16"/>
  <c r="X604" i="16"/>
  <c r="X612" i="16"/>
  <c r="X620" i="16"/>
  <c r="X628" i="16"/>
  <c r="X636" i="16"/>
  <c r="X644" i="16"/>
  <c r="X652" i="16"/>
  <c r="X660" i="16"/>
  <c r="X668" i="16"/>
  <c r="X676" i="16"/>
  <c r="X684" i="16"/>
  <c r="X692" i="16"/>
  <c r="X700" i="16"/>
  <c r="X708" i="16"/>
  <c r="X716" i="16"/>
  <c r="X724" i="16"/>
  <c r="X732" i="16"/>
  <c r="X740" i="16"/>
  <c r="X748" i="16"/>
  <c r="X756" i="16"/>
  <c r="X764" i="16"/>
  <c r="X772" i="16"/>
  <c r="X780" i="16"/>
  <c r="X788" i="16"/>
  <c r="X796" i="16"/>
  <c r="X804" i="16"/>
  <c r="X812" i="16"/>
  <c r="X820" i="16"/>
  <c r="X828" i="16"/>
  <c r="X836" i="16"/>
  <c r="X844" i="16"/>
  <c r="X852" i="16"/>
  <c r="X860" i="16"/>
  <c r="X868" i="16"/>
  <c r="X876" i="16"/>
  <c r="X884" i="16"/>
  <c r="X892" i="16"/>
  <c r="X900" i="16"/>
  <c r="X908" i="16"/>
  <c r="X916" i="16"/>
  <c r="X924" i="16"/>
  <c r="X932" i="16"/>
  <c r="X940" i="16"/>
  <c r="X948" i="16"/>
  <c r="X956" i="16"/>
  <c r="X964" i="16"/>
  <c r="X972" i="16"/>
  <c r="X980" i="16"/>
  <c r="X988" i="16"/>
  <c r="X996" i="16"/>
  <c r="X1004" i="16"/>
  <c r="X1012" i="16"/>
  <c r="X1020" i="16"/>
  <c r="X1028" i="16"/>
  <c r="X1036" i="16"/>
  <c r="X1044" i="16"/>
  <c r="X1052" i="16"/>
  <c r="X1060" i="16"/>
  <c r="X1068" i="16"/>
  <c r="X1076" i="16"/>
  <c r="X1084" i="16"/>
  <c r="X1092" i="16"/>
  <c r="X1100" i="16"/>
  <c r="X1108" i="16"/>
  <c r="X1116" i="16"/>
  <c r="X1124" i="16"/>
  <c r="X1132" i="16"/>
  <c r="X1140" i="16"/>
  <c r="X1148" i="16"/>
  <c r="X1156" i="16"/>
  <c r="X1164" i="16"/>
  <c r="X1172" i="16"/>
  <c r="X1180" i="16"/>
  <c r="X1188" i="16"/>
  <c r="X1196" i="16"/>
  <c r="X1204" i="16"/>
  <c r="X1212" i="16"/>
  <c r="X1220" i="16"/>
  <c r="X1228" i="16"/>
  <c r="X1236" i="16"/>
  <c r="X1244" i="16"/>
  <c r="X1252" i="16"/>
  <c r="X1260" i="16"/>
  <c r="X1268" i="16"/>
  <c r="X1276" i="16"/>
  <c r="X1284" i="16"/>
  <c r="X1292" i="16"/>
  <c r="X1300" i="16"/>
  <c r="X1308" i="16"/>
  <c r="X1316" i="16"/>
  <c r="X1324" i="16"/>
  <c r="X1332" i="16"/>
  <c r="X1340" i="16"/>
  <c r="X1348" i="16"/>
  <c r="X1356" i="16"/>
  <c r="X1364" i="16"/>
  <c r="X1372" i="16"/>
  <c r="X1380" i="16"/>
  <c r="X1388" i="16"/>
  <c r="X1396" i="16"/>
  <c r="X1404" i="16"/>
  <c r="X1412" i="16"/>
  <c r="X1420" i="16"/>
  <c r="X1428" i="16"/>
  <c r="X1436" i="16"/>
  <c r="X1444" i="16"/>
  <c r="X1452" i="16"/>
  <c r="X1460" i="16"/>
  <c r="X1468" i="16"/>
  <c r="X1476" i="16"/>
  <c r="X1484" i="16"/>
  <c r="X1492" i="16"/>
  <c r="X1500" i="16"/>
  <c r="X1508" i="16"/>
  <c r="X1516" i="16"/>
  <c r="X1524" i="16"/>
  <c r="X1532" i="16"/>
  <c r="Y5" i="16"/>
  <c r="Y13" i="16"/>
  <c r="Y21" i="16"/>
  <c r="Y29" i="16"/>
  <c r="Y37" i="16"/>
  <c r="Y45" i="16"/>
  <c r="Y53" i="16"/>
  <c r="Y61" i="16"/>
  <c r="Y69" i="16"/>
  <c r="Y77" i="16"/>
  <c r="Y85" i="16"/>
  <c r="Y93" i="16"/>
  <c r="Y101" i="16"/>
  <c r="Y109" i="16"/>
  <c r="Y117" i="16"/>
  <c r="Y125" i="16"/>
  <c r="Y133" i="16"/>
  <c r="Y141" i="16"/>
  <c r="Y149" i="16"/>
  <c r="Y157" i="16"/>
  <c r="Y165" i="16"/>
  <c r="Y173" i="16"/>
  <c r="Y181" i="16"/>
  <c r="Y189" i="16"/>
  <c r="Y197" i="16"/>
  <c r="Y205" i="16"/>
  <c r="Y213" i="16"/>
  <c r="Y221" i="16"/>
  <c r="Y229" i="16"/>
  <c r="Y237" i="16"/>
  <c r="Y245" i="16"/>
  <c r="Y253" i="16"/>
  <c r="Y261" i="16"/>
  <c r="Y269" i="16"/>
  <c r="Y277" i="16"/>
  <c r="Y285" i="16"/>
  <c r="Y293" i="16"/>
  <c r="Y301" i="16"/>
  <c r="Y309" i="16"/>
  <c r="Y318" i="16"/>
  <c r="Y327" i="16"/>
  <c r="Y336" i="16"/>
  <c r="Y345" i="16"/>
  <c r="Y354" i="16"/>
  <c r="Y363" i="16"/>
  <c r="Y373" i="16"/>
  <c r="Y382" i="16"/>
  <c r="Y391" i="16"/>
  <c r="Y400" i="16"/>
  <c r="Y409" i="16"/>
  <c r="Y418" i="16"/>
  <c r="Y427" i="16"/>
  <c r="Y437" i="16"/>
  <c r="Y446" i="16"/>
  <c r="Y455" i="16"/>
  <c r="Y464" i="16"/>
  <c r="Y473" i="16"/>
  <c r="Y482" i="16"/>
  <c r="Y491" i="16"/>
  <c r="Y501" i="16"/>
  <c r="Y510" i="16"/>
  <c r="Y519" i="16"/>
  <c r="Y528" i="16"/>
  <c r="Y537" i="16"/>
  <c r="Y546" i="16"/>
  <c r="Y555" i="16"/>
  <c r="Y565" i="16"/>
  <c r="Y574" i="16"/>
  <c r="Y583" i="16"/>
  <c r="Y592" i="16"/>
  <c r="Y601" i="16"/>
  <c r="Y610" i="16"/>
  <c r="Y619" i="16"/>
  <c r="Y629" i="16"/>
  <c r="Y638" i="16"/>
  <c r="Y647" i="16"/>
  <c r="Y656" i="16"/>
  <c r="Y665" i="16"/>
  <c r="Y674" i="16"/>
  <c r="Y683" i="16"/>
  <c r="Y693" i="16"/>
  <c r="Y702" i="16"/>
  <c r="Y712" i="16"/>
  <c r="Y722" i="16"/>
  <c r="Y734" i="16"/>
  <c r="Y744" i="16"/>
  <c r="Y757" i="16"/>
  <c r="Y769" i="16"/>
  <c r="Y782" i="16"/>
  <c r="Y794" i="16"/>
  <c r="Y809" i="16"/>
  <c r="Y825" i="16"/>
  <c r="Y841" i="16"/>
  <c r="Y857" i="16"/>
  <c r="Y873" i="16"/>
  <c r="Y889" i="16"/>
  <c r="Y905" i="16"/>
  <c r="Y922" i="16"/>
  <c r="Y945" i="16"/>
  <c r="Y965" i="16"/>
  <c r="Y986" i="16"/>
  <c r="Y1009" i="16"/>
  <c r="Y1029" i="16"/>
  <c r="Y1050" i="16"/>
  <c r="Y1073" i="16"/>
  <c r="Y1093" i="16"/>
  <c r="Y1114" i="16"/>
  <c r="Y1137" i="16"/>
  <c r="Y1157" i="16"/>
  <c r="Y1178" i="16"/>
  <c r="Y1201" i="16"/>
  <c r="Y1233" i="16"/>
  <c r="Y1265" i="16"/>
  <c r="Y1297" i="16"/>
  <c r="Y1329" i="16"/>
  <c r="Y1361" i="16"/>
  <c r="Y1393" i="16"/>
  <c r="Y1425" i="16"/>
  <c r="Y1457" i="16"/>
  <c r="Y1489" i="16"/>
  <c r="Y1521" i="16"/>
  <c r="Z18" i="16"/>
  <c r="Z50" i="16"/>
  <c r="Z98" i="16"/>
  <c r="Z162" i="16"/>
  <c r="X1277" i="16"/>
  <c r="X1285" i="16"/>
  <c r="X1293" i="16"/>
  <c r="X1301" i="16"/>
  <c r="X1309" i="16"/>
  <c r="X1317" i="16"/>
  <c r="X1325" i="16"/>
  <c r="X1333" i="16"/>
  <c r="X1341" i="16"/>
  <c r="X1349" i="16"/>
  <c r="X1357" i="16"/>
  <c r="X1365" i="16"/>
  <c r="X1373" i="16"/>
  <c r="X1381" i="16"/>
  <c r="X1389" i="16"/>
  <c r="X1397" i="16"/>
  <c r="X1405" i="16"/>
  <c r="X1413" i="16"/>
  <c r="X1421" i="16"/>
  <c r="X1429" i="16"/>
  <c r="X1437" i="16"/>
  <c r="X1445" i="16"/>
  <c r="X1453" i="16"/>
  <c r="X1461" i="16"/>
  <c r="X1469" i="16"/>
  <c r="X1477" i="16"/>
  <c r="X1485" i="16"/>
  <c r="X1493" i="16"/>
  <c r="X1501" i="16"/>
  <c r="X1509" i="16"/>
  <c r="X1517" i="16"/>
  <c r="X1525" i="16"/>
  <c r="X1533" i="16"/>
  <c r="Y6" i="16"/>
  <c r="Y14" i="16"/>
  <c r="Y22" i="16"/>
  <c r="Y30" i="16"/>
  <c r="Y38" i="16"/>
  <c r="Y46" i="16"/>
  <c r="Y54" i="16"/>
  <c r="Y62" i="16"/>
  <c r="Y70" i="16"/>
  <c r="Y78" i="16"/>
  <c r="Y86" i="16"/>
  <c r="Y94" i="16"/>
  <c r="Y102" i="16"/>
  <c r="Y110" i="16"/>
  <c r="Y118" i="16"/>
  <c r="Y126" i="16"/>
  <c r="Y134" i="16"/>
  <c r="Y142" i="16"/>
  <c r="Y150" i="16"/>
  <c r="Y158" i="16"/>
  <c r="Y166" i="16"/>
  <c r="Y174" i="16"/>
  <c r="Y182" i="16"/>
  <c r="Y190" i="16"/>
  <c r="Y198" i="16"/>
  <c r="Y206" i="16"/>
  <c r="Y214" i="16"/>
  <c r="Y222" i="16"/>
  <c r="Y230" i="16"/>
  <c r="Y238" i="16"/>
  <c r="Y246" i="16"/>
  <c r="Y254" i="16"/>
  <c r="Y262" i="16"/>
  <c r="Y270" i="16"/>
  <c r="Y278" i="16"/>
  <c r="Y286" i="16"/>
  <c r="Y294" i="16"/>
  <c r="Y302" i="16"/>
  <c r="Y310" i="16"/>
  <c r="Y319" i="16"/>
  <c r="Y328" i="16"/>
  <c r="Y337" i="16"/>
  <c r="Y346" i="16"/>
  <c r="Y355" i="16"/>
  <c r="Y365" i="16"/>
  <c r="Y374" i="16"/>
  <c r="Y383" i="16"/>
  <c r="Y392" i="16"/>
  <c r="Y401" i="16"/>
  <c r="Y410" i="16"/>
  <c r="Y419" i="16"/>
  <c r="Y429" i="16"/>
  <c r="Y438" i="16"/>
  <c r="Y447" i="16"/>
  <c r="Y456" i="16"/>
  <c r="Y465" i="16"/>
  <c r="Y474" i="16"/>
  <c r="Y483" i="16"/>
  <c r="Y493" i="16"/>
  <c r="Y502" i="16"/>
  <c r="Y511" i="16"/>
  <c r="Y520" i="16"/>
  <c r="Y529" i="16"/>
  <c r="Y538" i="16"/>
  <c r="Y547" i="16"/>
  <c r="Y557" i="16"/>
  <c r="Y566" i="16"/>
  <c r="Y575" i="16"/>
  <c r="Y584" i="16"/>
  <c r="Y593" i="16"/>
  <c r="Y602" i="16"/>
  <c r="Y611" i="16"/>
  <c r="Y621" i="16"/>
  <c r="Y630" i="16"/>
  <c r="Y639" i="16"/>
  <c r="Y648" i="16"/>
  <c r="Y657" i="16"/>
  <c r="Y666" i="16"/>
  <c r="Y675" i="16"/>
  <c r="Y685" i="16"/>
  <c r="Y694" i="16"/>
  <c r="Y703" i="16"/>
  <c r="Y713" i="16"/>
  <c r="Y725" i="16"/>
  <c r="Y735" i="16"/>
  <c r="Y745" i="16"/>
  <c r="Y758" i="16"/>
  <c r="Y770" i="16"/>
  <c r="Y783" i="16"/>
  <c r="Y797" i="16"/>
  <c r="Y810" i="16"/>
  <c r="Y826" i="16"/>
  <c r="Y842" i="16"/>
  <c r="Y858" i="16"/>
  <c r="Y874" i="16"/>
  <c r="Y890" i="16"/>
  <c r="Y906" i="16"/>
  <c r="Y925" i="16"/>
  <c r="Y946" i="16"/>
  <c r="Y969" i="16"/>
  <c r="Y989" i="16"/>
  <c r="Y1010" i="16"/>
  <c r="Y1033" i="16"/>
  <c r="Y1053" i="16"/>
  <c r="Y1074" i="16"/>
  <c r="Y1097" i="16"/>
  <c r="Y1117" i="16"/>
  <c r="Y1138" i="16"/>
  <c r="Y1161" i="16"/>
  <c r="Y1181" i="16"/>
  <c r="Y1205" i="16"/>
  <c r="Y1237" i="16"/>
  <c r="Y1269" i="16"/>
  <c r="Y1301" i="16"/>
  <c r="Y1333" i="16"/>
  <c r="Y1365" i="16"/>
  <c r="Y1397" i="16"/>
  <c r="Y1429" i="16"/>
  <c r="Y1461" i="16"/>
  <c r="Y1493" i="16"/>
  <c r="Y1525" i="16"/>
  <c r="Z22" i="16"/>
  <c r="Z54" i="16"/>
  <c r="Z106" i="16"/>
  <c r="Z170" i="16"/>
  <c r="X446" i="16"/>
  <c r="X454" i="16"/>
  <c r="X462" i="16"/>
  <c r="X470" i="16"/>
  <c r="X478" i="16"/>
  <c r="X486" i="16"/>
  <c r="X494" i="16"/>
  <c r="X502" i="16"/>
  <c r="X510" i="16"/>
  <c r="X518" i="16"/>
  <c r="X526" i="16"/>
  <c r="X534" i="16"/>
  <c r="X542" i="16"/>
  <c r="X550" i="16"/>
  <c r="X558" i="16"/>
  <c r="X566" i="16"/>
  <c r="X574" i="16"/>
  <c r="X582" i="16"/>
  <c r="X590" i="16"/>
  <c r="X598" i="16"/>
  <c r="X606" i="16"/>
  <c r="X614" i="16"/>
  <c r="X622" i="16"/>
  <c r="X630" i="16"/>
  <c r="X638" i="16"/>
  <c r="X646" i="16"/>
  <c r="X654" i="16"/>
  <c r="X662" i="16"/>
  <c r="X670" i="16"/>
  <c r="X678" i="16"/>
  <c r="X686" i="16"/>
  <c r="X694" i="16"/>
  <c r="X702" i="16"/>
  <c r="X710" i="16"/>
  <c r="X718" i="16"/>
  <c r="X726" i="16"/>
  <c r="X734" i="16"/>
  <c r="X742" i="16"/>
  <c r="X750" i="16"/>
  <c r="X758" i="16"/>
  <c r="X766" i="16"/>
  <c r="X774" i="16"/>
  <c r="X782" i="16"/>
  <c r="X790" i="16"/>
  <c r="X798" i="16"/>
  <c r="X806" i="16"/>
  <c r="X814" i="16"/>
  <c r="X822" i="16"/>
  <c r="X830" i="16"/>
  <c r="X838" i="16"/>
  <c r="X846" i="16"/>
  <c r="X854" i="16"/>
  <c r="X862" i="16"/>
  <c r="X870" i="16"/>
  <c r="X878" i="16"/>
  <c r="X886" i="16"/>
  <c r="X894" i="16"/>
  <c r="X902" i="16"/>
  <c r="X910" i="16"/>
  <c r="X918" i="16"/>
  <c r="X926" i="16"/>
  <c r="X934" i="16"/>
  <c r="X942" i="16"/>
  <c r="X950" i="16"/>
  <c r="X958" i="16"/>
  <c r="X966" i="16"/>
  <c r="X974" i="16"/>
  <c r="X982" i="16"/>
  <c r="X990" i="16"/>
  <c r="X998" i="16"/>
  <c r="X1006" i="16"/>
  <c r="X1014" i="16"/>
  <c r="X1022" i="16"/>
  <c r="X1030" i="16"/>
  <c r="X1038" i="16"/>
  <c r="X1046" i="16"/>
  <c r="X1054" i="16"/>
  <c r="X1062" i="16"/>
  <c r="X1070" i="16"/>
  <c r="X1078" i="16"/>
  <c r="X1086" i="16"/>
  <c r="X1094" i="16"/>
  <c r="X1102" i="16"/>
  <c r="X1110" i="16"/>
  <c r="X1118" i="16"/>
  <c r="X1126" i="16"/>
  <c r="X1134" i="16"/>
  <c r="X1142" i="16"/>
  <c r="X1150" i="16"/>
  <c r="X1158" i="16"/>
  <c r="X1166" i="16"/>
  <c r="X1174" i="16"/>
  <c r="X1182" i="16"/>
  <c r="X1190" i="16"/>
  <c r="X1198" i="16"/>
  <c r="X1206" i="16"/>
  <c r="X1214" i="16"/>
  <c r="X1222" i="16"/>
  <c r="X1230" i="16"/>
  <c r="X1238" i="16"/>
  <c r="X1246" i="16"/>
  <c r="X1254" i="16"/>
  <c r="X1262" i="16"/>
  <c r="X1270" i="16"/>
  <c r="X1278" i="16"/>
  <c r="X1286" i="16"/>
  <c r="X1294" i="16"/>
  <c r="X1302" i="16"/>
  <c r="X1310" i="16"/>
  <c r="X1318" i="16"/>
  <c r="X1326" i="16"/>
  <c r="X1334" i="16"/>
  <c r="X1342" i="16"/>
  <c r="X1350" i="16"/>
  <c r="X1358" i="16"/>
  <c r="X1366" i="16"/>
  <c r="X1374" i="16"/>
  <c r="X1382" i="16"/>
  <c r="X1390" i="16"/>
  <c r="X1398" i="16"/>
  <c r="X1406" i="16"/>
  <c r="X1414" i="16"/>
  <c r="X1422" i="16"/>
  <c r="X1430" i="16"/>
  <c r="X1438" i="16"/>
  <c r="X1446" i="16"/>
  <c r="X1454" i="16"/>
  <c r="X1462" i="16"/>
  <c r="X1470" i="16"/>
  <c r="X1478" i="16"/>
  <c r="X1486" i="16"/>
  <c r="X1494" i="16"/>
  <c r="X1502" i="16"/>
  <c r="X1510" i="16"/>
  <c r="X1518" i="16"/>
  <c r="X1526" i="16"/>
  <c r="X1534" i="16"/>
  <c r="Y7" i="16"/>
  <c r="Y15" i="16"/>
  <c r="Y23" i="16"/>
  <c r="Y31" i="16"/>
  <c r="Y39" i="16"/>
  <c r="Y47" i="16"/>
  <c r="Y55" i="16"/>
  <c r="Y63" i="16"/>
  <c r="Y71" i="16"/>
  <c r="Y79" i="16"/>
  <c r="Y87" i="16"/>
  <c r="Y95" i="16"/>
  <c r="Y103" i="16"/>
  <c r="Y111" i="16"/>
  <c r="Y119" i="16"/>
  <c r="Y127" i="16"/>
  <c r="Y135" i="16"/>
  <c r="Y143" i="16"/>
  <c r="Y151" i="16"/>
  <c r="Y159" i="16"/>
  <c r="Y167" i="16"/>
  <c r="Y175" i="16"/>
  <c r="Y183" i="16"/>
  <c r="Y191" i="16"/>
  <c r="Y199" i="16"/>
  <c r="Y207" i="16"/>
  <c r="Y215" i="16"/>
  <c r="Y223" i="16"/>
  <c r="Y231" i="16"/>
  <c r="Y239" i="16"/>
  <c r="Y247" i="16"/>
  <c r="Y255" i="16"/>
  <c r="Y263" i="16"/>
  <c r="Y271" i="16"/>
  <c r="Y279" i="16"/>
  <c r="Y287" i="16"/>
  <c r="Y295" i="16"/>
  <c r="Y303" i="16"/>
  <c r="Y311" i="16"/>
  <c r="Y320" i="16"/>
  <c r="Y329" i="16"/>
  <c r="Y338" i="16"/>
  <c r="Y347" i="16"/>
  <c r="Y357" i="16"/>
  <c r="Y366" i="16"/>
  <c r="Y375" i="16"/>
  <c r="Y384" i="16"/>
  <c r="Y393" i="16"/>
  <c r="Y402" i="16"/>
  <c r="Y411" i="16"/>
  <c r="Y421" i="16"/>
  <c r="Y430" i="16"/>
  <c r="Y439" i="16"/>
  <c r="Y448" i="16"/>
  <c r="Y457" i="16"/>
  <c r="Y466" i="16"/>
  <c r="Y475" i="16"/>
  <c r="Y485" i="16"/>
  <c r="Y494" i="16"/>
  <c r="Y503" i="16"/>
  <c r="Y512" i="16"/>
  <c r="Y521" i="16"/>
  <c r="Y530" i="16"/>
  <c r="Y539" i="16"/>
  <c r="Y549" i="16"/>
  <c r="Y558" i="16"/>
  <c r="Y567" i="16"/>
  <c r="Y576" i="16"/>
  <c r="Y585" i="16"/>
  <c r="Y594" i="16"/>
  <c r="Y603" i="16"/>
  <c r="Y613" i="16"/>
  <c r="Y622" i="16"/>
  <c r="Y631" i="16"/>
  <c r="Y640" i="16"/>
  <c r="Y649" i="16"/>
  <c r="Y658" i="16"/>
  <c r="Y667" i="16"/>
  <c r="Y677" i="16"/>
  <c r="Y686" i="16"/>
  <c r="Y695" i="16"/>
  <c r="Y704" i="16"/>
  <c r="Y714" i="16"/>
  <c r="Y726" i="16"/>
  <c r="Y736" i="16"/>
  <c r="Y746" i="16"/>
  <c r="Y759" i="16"/>
  <c r="Y773" i="16"/>
  <c r="Y785" i="16"/>
  <c r="Y798" i="16"/>
  <c r="Y813" i="16"/>
  <c r="Y829" i="16"/>
  <c r="Y845" i="16"/>
  <c r="Y861" i="16"/>
  <c r="Y877" i="16"/>
  <c r="Y893" i="16"/>
  <c r="Y909" i="16"/>
  <c r="Y929" i="16"/>
  <c r="Y949" i="16"/>
  <c r="Y970" i="16"/>
  <c r="Y993" i="16"/>
  <c r="Y1013" i="16"/>
  <c r="Y1034" i="16"/>
  <c r="Y1057" i="16"/>
  <c r="Y1077" i="16"/>
  <c r="Y1098" i="16"/>
  <c r="Y1121" i="16"/>
  <c r="Y1141" i="16"/>
  <c r="Y1162" i="16"/>
  <c r="Y1185" i="16"/>
  <c r="Y1209" i="16"/>
  <c r="Y1241" i="16"/>
  <c r="Y1273" i="16"/>
  <c r="Y1305" i="16"/>
  <c r="Y1337" i="16"/>
  <c r="Y1369" i="16"/>
  <c r="Y1401" i="16"/>
  <c r="Y1433" i="16"/>
  <c r="Y1465" i="16"/>
  <c r="Y1497" i="16"/>
  <c r="Y1529" i="16"/>
  <c r="Z26" i="16"/>
  <c r="Z58" i="16"/>
  <c r="Z114" i="16"/>
  <c r="Z178" i="16"/>
  <c r="X7" i="16"/>
  <c r="X15" i="16"/>
  <c r="X23" i="16"/>
  <c r="X31" i="16"/>
  <c r="X39" i="16"/>
  <c r="X47" i="16"/>
  <c r="X55" i="16"/>
  <c r="X63" i="16"/>
  <c r="X71" i="16"/>
  <c r="X79" i="16"/>
  <c r="X87" i="16"/>
  <c r="X95" i="16"/>
  <c r="X103" i="16"/>
  <c r="X111" i="16"/>
  <c r="X119" i="16"/>
  <c r="X127" i="16"/>
  <c r="X135" i="16"/>
  <c r="X143" i="16"/>
  <c r="X151" i="16"/>
  <c r="X159" i="16"/>
  <c r="X167" i="16"/>
  <c r="X175" i="16"/>
  <c r="X183" i="16"/>
  <c r="X191" i="16"/>
  <c r="X199" i="16"/>
  <c r="X207" i="16"/>
  <c r="X215" i="16"/>
  <c r="X223" i="16"/>
  <c r="X231" i="16"/>
  <c r="X239" i="16"/>
  <c r="X247" i="16"/>
  <c r="X255" i="16"/>
  <c r="X263" i="16"/>
  <c r="X271" i="16"/>
  <c r="X279" i="16"/>
  <c r="X287" i="16"/>
  <c r="X295" i="16"/>
  <c r="X303" i="16"/>
  <c r="X311" i="16"/>
  <c r="X319" i="16"/>
  <c r="X327" i="16"/>
  <c r="X335" i="16"/>
  <c r="X343" i="16"/>
  <c r="X351" i="16"/>
  <c r="X359" i="16"/>
  <c r="X367" i="16"/>
  <c r="X375" i="16"/>
  <c r="X383" i="16"/>
  <c r="X391" i="16"/>
  <c r="X399" i="16"/>
  <c r="X407" i="16"/>
  <c r="X415" i="16"/>
  <c r="X423" i="16"/>
  <c r="X431" i="16"/>
  <c r="X439" i="16"/>
  <c r="X447" i="16"/>
  <c r="X455" i="16"/>
  <c r="X463" i="16"/>
  <c r="X471" i="16"/>
  <c r="X479" i="16"/>
  <c r="X487" i="16"/>
  <c r="X495" i="16"/>
  <c r="X503" i="16"/>
  <c r="X511" i="16"/>
  <c r="X519" i="16"/>
  <c r="X527" i="16"/>
  <c r="X535" i="16"/>
  <c r="X543" i="16"/>
  <c r="X551" i="16"/>
  <c r="X559" i="16"/>
  <c r="X567" i="16"/>
  <c r="X575" i="16"/>
  <c r="X583" i="16"/>
  <c r="X591" i="16"/>
  <c r="X599" i="16"/>
  <c r="X607" i="16"/>
  <c r="X615" i="16"/>
  <c r="X623" i="16"/>
  <c r="X631" i="16"/>
  <c r="X639" i="16"/>
  <c r="X647" i="16"/>
  <c r="X655" i="16"/>
  <c r="X663" i="16"/>
  <c r="X671" i="16"/>
  <c r="X679" i="16"/>
  <c r="X687" i="16"/>
  <c r="X695" i="16"/>
  <c r="X703" i="16"/>
  <c r="X711" i="16"/>
  <c r="X719" i="16"/>
  <c r="X727" i="16"/>
  <c r="X735" i="16"/>
  <c r="X743" i="16"/>
  <c r="X751" i="16"/>
  <c r="X759" i="16"/>
  <c r="X767" i="16"/>
  <c r="X775" i="16"/>
  <c r="X783" i="16"/>
  <c r="X791" i="16"/>
  <c r="X799" i="16"/>
  <c r="X807" i="16"/>
  <c r="X815" i="16"/>
  <c r="X823" i="16"/>
  <c r="X831" i="16"/>
  <c r="X839" i="16"/>
  <c r="X847" i="16"/>
  <c r="X855" i="16"/>
  <c r="X863" i="16"/>
  <c r="X871" i="16"/>
  <c r="X879" i="16"/>
  <c r="X887" i="16"/>
  <c r="X895" i="16"/>
  <c r="X903" i="16"/>
  <c r="X911" i="16"/>
  <c r="X919" i="16"/>
  <c r="X927" i="16"/>
  <c r="X935" i="16"/>
  <c r="X943" i="16"/>
  <c r="X951" i="16"/>
  <c r="X959" i="16"/>
  <c r="X967" i="16"/>
  <c r="X975" i="16"/>
  <c r="X983" i="16"/>
  <c r="X991" i="16"/>
  <c r="X999" i="16"/>
  <c r="X1007" i="16"/>
  <c r="X1015" i="16"/>
  <c r="X1023" i="16"/>
  <c r="X1031" i="16"/>
  <c r="X1039" i="16"/>
  <c r="X1047" i="16"/>
  <c r="X1055" i="16"/>
  <c r="X1063" i="16"/>
  <c r="X1071" i="16"/>
  <c r="X1079" i="16"/>
  <c r="X1087" i="16"/>
  <c r="X1095" i="16"/>
  <c r="X1103" i="16"/>
  <c r="X1111" i="16"/>
  <c r="X1119" i="16"/>
  <c r="X1127" i="16"/>
  <c r="X1135" i="16"/>
  <c r="X1143" i="16"/>
  <c r="X1151" i="16"/>
  <c r="X1159" i="16"/>
  <c r="X1167" i="16"/>
  <c r="X1175" i="16"/>
  <c r="X1183" i="16"/>
  <c r="X1191" i="16"/>
  <c r="X1199" i="16"/>
  <c r="X1207" i="16"/>
  <c r="X1215" i="16"/>
  <c r="X1223" i="16"/>
  <c r="X1231" i="16"/>
  <c r="X1239" i="16"/>
  <c r="X1247" i="16"/>
  <c r="X1255" i="16"/>
  <c r="X1263" i="16"/>
  <c r="X1271" i="16"/>
  <c r="X1279" i="16"/>
  <c r="X1287" i="16"/>
  <c r="X1295" i="16"/>
  <c r="X1303" i="16"/>
  <c r="X1311" i="16"/>
  <c r="X1319" i="16"/>
  <c r="X1327" i="16"/>
  <c r="X1335" i="16"/>
  <c r="X1343" i="16"/>
  <c r="X1351" i="16"/>
  <c r="X1359" i="16"/>
  <c r="X1367" i="16"/>
  <c r="X1375" i="16"/>
  <c r="X1383" i="16"/>
  <c r="X1391" i="16"/>
  <c r="X1399" i="16"/>
  <c r="X1407" i="16"/>
  <c r="X1415" i="16"/>
  <c r="X1423" i="16"/>
  <c r="X1431" i="16"/>
  <c r="X1439" i="16"/>
  <c r="X1447" i="16"/>
  <c r="X1455" i="16"/>
  <c r="X1463" i="16"/>
  <c r="X1471" i="16"/>
  <c r="X1479" i="16"/>
  <c r="X1487" i="16"/>
  <c r="X1495" i="16"/>
  <c r="X1503" i="16"/>
  <c r="X1511" i="16"/>
  <c r="X1519" i="16"/>
  <c r="X1527" i="16"/>
  <c r="X1535" i="16"/>
  <c r="Y8" i="16"/>
  <c r="Y16" i="16"/>
  <c r="Y24" i="16"/>
  <c r="Y32" i="16"/>
  <c r="Y40" i="16"/>
  <c r="Y48" i="16"/>
  <c r="Y56" i="16"/>
  <c r="Y64" i="16"/>
  <c r="Y72" i="16"/>
  <c r="Y80" i="16"/>
  <c r="Y88" i="16"/>
  <c r="Y96" i="16"/>
  <c r="Y104" i="16"/>
  <c r="Y112" i="16"/>
  <c r="Y120" i="16"/>
  <c r="Y128" i="16"/>
  <c r="Y136" i="16"/>
  <c r="Y144" i="16"/>
  <c r="Y152" i="16"/>
  <c r="Y160" i="16"/>
  <c r="Y168" i="16"/>
  <c r="Y176" i="16"/>
  <c r="Y184" i="16"/>
  <c r="Y192" i="16"/>
  <c r="Y200" i="16"/>
  <c r="Y208" i="16"/>
  <c r="Y216" i="16"/>
  <c r="Y224" i="16"/>
  <c r="Y232" i="16"/>
  <c r="Y240" i="16"/>
  <c r="Y248" i="16"/>
  <c r="Y256" i="16"/>
  <c r="Y264" i="16"/>
  <c r="Y272" i="16"/>
  <c r="Y280" i="16"/>
  <c r="Y288" i="16"/>
  <c r="Y296" i="16"/>
  <c r="Y304" i="16"/>
  <c r="Y312" i="16"/>
  <c r="Y321" i="16"/>
  <c r="Y330" i="16"/>
  <c r="Y339" i="16"/>
  <c r="Y349" i="16"/>
  <c r="Y358" i="16"/>
  <c r="Y367" i="16"/>
  <c r="Y376" i="16"/>
  <c r="Y385" i="16"/>
  <c r="Y394" i="16"/>
  <c r="Y403" i="16"/>
  <c r="Y413" i="16"/>
  <c r="Y422" i="16"/>
  <c r="Y431" i="16"/>
  <c r="Y440" i="16"/>
  <c r="Y449" i="16"/>
  <c r="Y458" i="16"/>
  <c r="Y467" i="16"/>
  <c r="Y477" i="16"/>
  <c r="Y486" i="16"/>
  <c r="Y495" i="16"/>
  <c r="Y504" i="16"/>
  <c r="Y513" i="16"/>
  <c r="Y522" i="16"/>
  <c r="Y531" i="16"/>
  <c r="Y541" i="16"/>
  <c r="Y550" i="16"/>
  <c r="Y559" i="16"/>
  <c r="Y568" i="16"/>
  <c r="Y577" i="16"/>
  <c r="Y586" i="16"/>
  <c r="Y595" i="16"/>
  <c r="Y605" i="16"/>
  <c r="Y614" i="16"/>
  <c r="Y623" i="16"/>
  <c r="Y632" i="16"/>
  <c r="Y641" i="16"/>
  <c r="Y650" i="16"/>
  <c r="Y659" i="16"/>
  <c r="Y669" i="16"/>
  <c r="Y678" i="16"/>
  <c r="Y687" i="16"/>
  <c r="Y696" i="16"/>
  <c r="Y705" i="16"/>
  <c r="Y717" i="16"/>
  <c r="Y727" i="16"/>
  <c r="Y737" i="16"/>
  <c r="Y749" i="16"/>
  <c r="Y761" i="16"/>
  <c r="Y774" i="16"/>
  <c r="Y786" i="16"/>
  <c r="Y799" i="16"/>
  <c r="Y815" i="16"/>
  <c r="Y831" i="16"/>
  <c r="Y847" i="16"/>
  <c r="Y863" i="16"/>
  <c r="Y879" i="16"/>
  <c r="Y895" i="16"/>
  <c r="Y911" i="16"/>
  <c r="Y930" i="16"/>
  <c r="Y953" i="16"/>
  <c r="Y973" i="16"/>
  <c r="Y994" i="16"/>
  <c r="Y1017" i="16"/>
  <c r="Y1037" i="16"/>
  <c r="Y1058" i="16"/>
  <c r="Y1081" i="16"/>
  <c r="Y1101" i="16"/>
  <c r="Y1122" i="16"/>
  <c r="Y1145" i="16"/>
  <c r="Y1165" i="16"/>
  <c r="Y1186" i="16"/>
  <c r="Y1213" i="16"/>
  <c r="Y1245" i="16"/>
  <c r="Y1277" i="16"/>
  <c r="Y1309" i="16"/>
  <c r="Y1341" i="16"/>
  <c r="Y1373" i="16"/>
  <c r="Y1405" i="16"/>
  <c r="Y1437" i="16"/>
  <c r="Y1469" i="16"/>
  <c r="Y1501" i="16"/>
  <c r="Z30" i="16"/>
  <c r="Z62" i="16"/>
  <c r="Z122" i="16"/>
  <c r="Z1528" i="16"/>
  <c r="Z1520" i="16"/>
  <c r="Z1512" i="16"/>
  <c r="Z1504" i="16"/>
  <c r="Z1496" i="16"/>
  <c r="Z1488" i="16"/>
  <c r="Z1480" i="16"/>
  <c r="Z1472" i="16"/>
  <c r="Z1464" i="16"/>
  <c r="Z1456" i="16"/>
  <c r="Z1448" i="16"/>
  <c r="Z1440" i="16"/>
  <c r="Z1432" i="16"/>
  <c r="Z1424" i="16"/>
  <c r="Z1416" i="16"/>
  <c r="Z1408" i="16"/>
  <c r="Z1400" i="16"/>
  <c r="Z1392" i="16"/>
  <c r="Z1384" i="16"/>
  <c r="Z1376" i="16"/>
  <c r="Z1368" i="16"/>
  <c r="Z1360" i="16"/>
  <c r="Z1352" i="16"/>
  <c r="Z1344" i="16"/>
  <c r="Z1336" i="16"/>
  <c r="Z1328" i="16"/>
  <c r="Z1320" i="16"/>
  <c r="Z1312" i="16"/>
  <c r="Z1304" i="16"/>
  <c r="Z1296" i="16"/>
  <c r="Z1288" i="16"/>
  <c r="Z1280" i="16"/>
  <c r="Z1272" i="16"/>
  <c r="Z1264" i="16"/>
  <c r="Z1256" i="16"/>
  <c r="Z1248" i="16"/>
  <c r="Z1240" i="16"/>
  <c r="Z1232" i="16"/>
  <c r="Z1224" i="16"/>
  <c r="Z1216" i="16"/>
  <c r="Z1208" i="16"/>
  <c r="Z1200" i="16"/>
  <c r="Z1192" i="16"/>
  <c r="Z1184" i="16"/>
  <c r="Z1176" i="16"/>
  <c r="Z1168" i="16"/>
  <c r="Z1160" i="16"/>
  <c r="Z1152" i="16"/>
  <c r="Z1144" i="16"/>
  <c r="Z1136" i="16"/>
  <c r="Z1128" i="16"/>
  <c r="Z1120" i="16"/>
  <c r="Z1112" i="16"/>
  <c r="Z1104" i="16"/>
  <c r="Z1096" i="16"/>
  <c r="Z1088" i="16"/>
  <c r="Z1080" i="16"/>
  <c r="Z1072" i="16"/>
  <c r="Z1064" i="16"/>
  <c r="Z1056" i="16"/>
  <c r="Z1048" i="16"/>
  <c r="Z1040" i="16"/>
  <c r="Z1032" i="16"/>
  <c r="Z1024" i="16"/>
  <c r="Z1016" i="16"/>
  <c r="Z1008" i="16"/>
  <c r="Z1000" i="16"/>
  <c r="Z992" i="16"/>
  <c r="Z984" i="16"/>
  <c r="Z976" i="16"/>
  <c r="Z968" i="16"/>
  <c r="Z960" i="16"/>
  <c r="Z952" i="16"/>
  <c r="Z944" i="16"/>
  <c r="Z936" i="16"/>
  <c r="Z928" i="16"/>
  <c r="Z920" i="16"/>
  <c r="Z912" i="16"/>
  <c r="Z904" i="16"/>
  <c r="Z896" i="16"/>
  <c r="Z888" i="16"/>
  <c r="Z880" i="16"/>
  <c r="Z872" i="16"/>
  <c r="Z864" i="16"/>
  <c r="Z856" i="16"/>
  <c r="Z848" i="16"/>
  <c r="Z840" i="16"/>
  <c r="Z832" i="16"/>
  <c r="Z824" i="16"/>
  <c r="Z816" i="16"/>
  <c r="Z808" i="16"/>
  <c r="Z800" i="16"/>
  <c r="Z792" i="16"/>
  <c r="Z784" i="16"/>
  <c r="Z776" i="16"/>
  <c r="Z768" i="16"/>
  <c r="Z760" i="16"/>
  <c r="Z752" i="16"/>
  <c r="Z744" i="16"/>
  <c r="Z736" i="16"/>
  <c r="Z728" i="16"/>
  <c r="Z720" i="16"/>
  <c r="Z712" i="16"/>
  <c r="Z704" i="16"/>
  <c r="Z696" i="16"/>
  <c r="Z688" i="16"/>
  <c r="Z680" i="16"/>
  <c r="Z672" i="16"/>
  <c r="Z664" i="16"/>
  <c r="Z656" i="16"/>
  <c r="Z648" i="16"/>
  <c r="Z640" i="16"/>
  <c r="Z632" i="16"/>
  <c r="Z624" i="16"/>
  <c r="Z616" i="16"/>
  <c r="Z608" i="16"/>
  <c r="Z600" i="16"/>
  <c r="Z592" i="16"/>
  <c r="Z584" i="16"/>
  <c r="Z576" i="16"/>
  <c r="Z568" i="16"/>
  <c r="Z560" i="16"/>
  <c r="Z552" i="16"/>
  <c r="Z544" i="16"/>
  <c r="Z536" i="16"/>
  <c r="Z528" i="16"/>
  <c r="Z520" i="16"/>
  <c r="Z512" i="16"/>
  <c r="Z504" i="16"/>
  <c r="Z496" i="16"/>
  <c r="Z488" i="16"/>
  <c r="Z480" i="16"/>
  <c r="Z472" i="16"/>
  <c r="Z464" i="16"/>
  <c r="Z456" i="16"/>
  <c r="Z448" i="16"/>
  <c r="Z440" i="16"/>
  <c r="Z432" i="16"/>
  <c r="Z1535" i="16"/>
  <c r="Z1527" i="16"/>
  <c r="Z1519" i="16"/>
  <c r="Z1511" i="16"/>
  <c r="Z1503" i="16"/>
  <c r="Z1495" i="16"/>
  <c r="Z1487" i="16"/>
  <c r="Z1479" i="16"/>
  <c r="Z1471" i="16"/>
  <c r="Z1463" i="16"/>
  <c r="Z1455" i="16"/>
  <c r="Z1447" i="16"/>
  <c r="Z1439" i="16"/>
  <c r="Z1431" i="16"/>
  <c r="Z1423" i="16"/>
  <c r="Z1415" i="16"/>
  <c r="Z1407" i="16"/>
  <c r="Z1399" i="16"/>
  <c r="Z1391" i="16"/>
  <c r="Z1383" i="16"/>
  <c r="Z1375" i="16"/>
  <c r="Z1367" i="16"/>
  <c r="Z1359" i="16"/>
  <c r="Z1351" i="16"/>
  <c r="Z1343" i="16"/>
  <c r="Z1335" i="16"/>
  <c r="Z1327" i="16"/>
  <c r="Z1319" i="16"/>
  <c r="Z1311" i="16"/>
  <c r="Z1303" i="16"/>
  <c r="Z1295" i="16"/>
  <c r="Z1287" i="16"/>
  <c r="Z1279" i="16"/>
  <c r="Z1271" i="16"/>
  <c r="Z1263" i="16"/>
  <c r="Z1255" i="16"/>
  <c r="Z1247" i="16"/>
  <c r="Z1239" i="16"/>
  <c r="Z1231" i="16"/>
  <c r="Z1223" i="16"/>
  <c r="Z1215" i="16"/>
  <c r="Z1207" i="16"/>
  <c r="Z1199" i="16"/>
  <c r="Z1191" i="16"/>
  <c r="Z1183" i="16"/>
  <c r="Z1175" i="16"/>
  <c r="Z1167" i="16"/>
  <c r="Z1159" i="16"/>
  <c r="Z1151" i="16"/>
  <c r="Z1143" i="16"/>
  <c r="Z1135" i="16"/>
  <c r="Z1127" i="16"/>
  <c r="Z1119" i="16"/>
  <c r="Z1111" i="16"/>
  <c r="Z1103" i="16"/>
  <c r="Z1095" i="16"/>
  <c r="Z1087" i="16"/>
  <c r="Z1079" i="16"/>
  <c r="Z1071" i="16"/>
  <c r="Z1063" i="16"/>
  <c r="Z1055" i="16"/>
  <c r="Z1047" i="16"/>
  <c r="Z1039" i="16"/>
  <c r="Z1031" i="16"/>
  <c r="Z1023" i="16"/>
  <c r="Z1015" i="16"/>
  <c r="Z1007" i="16"/>
  <c r="Z999" i="16"/>
  <c r="Z991" i="16"/>
  <c r="Z983" i="16"/>
  <c r="Z975" i="16"/>
  <c r="Z967" i="16"/>
  <c r="Z959" i="16"/>
  <c r="Z951" i="16"/>
  <c r="Z943" i="16"/>
  <c r="Z935" i="16"/>
  <c r="Z927" i="16"/>
  <c r="Z919" i="16"/>
  <c r="Z911" i="16"/>
  <c r="Z903" i="16"/>
  <c r="Z895" i="16"/>
  <c r="Z887" i="16"/>
  <c r="Z879" i="16"/>
  <c r="Z871" i="16"/>
  <c r="Z863" i="16"/>
  <c r="Z855" i="16"/>
  <c r="Z847" i="16"/>
  <c r="Z839" i="16"/>
  <c r="Z831" i="16"/>
  <c r="Z823" i="16"/>
  <c r="Z815" i="16"/>
  <c r="Z807" i="16"/>
  <c r="Z799" i="16"/>
  <c r="Z791" i="16"/>
  <c r="Z783" i="16"/>
  <c r="Z775" i="16"/>
  <c r="Z767" i="16"/>
  <c r="Z759" i="16"/>
  <c r="Z751" i="16"/>
  <c r="Z743" i="16"/>
  <c r="Z735" i="16"/>
  <c r="Z727" i="16"/>
  <c r="Z719" i="16"/>
  <c r="Z711" i="16"/>
  <c r="Z703" i="16"/>
  <c r="Z695" i="16"/>
  <c r="Z687" i="16"/>
  <c r="Z679" i="16"/>
  <c r="Z671" i="16"/>
  <c r="Z663" i="16"/>
  <c r="Z655" i="16"/>
  <c r="Z647" i="16"/>
  <c r="Z639" i="16"/>
  <c r="Z631" i="16"/>
  <c r="Z623" i="16"/>
  <c r="Z615" i="16"/>
  <c r="Z607" i="16"/>
  <c r="Z599" i="16"/>
  <c r="Z591" i="16"/>
  <c r="Z583" i="16"/>
  <c r="Z575" i="16"/>
  <c r="Z567" i="16"/>
  <c r="Z559" i="16"/>
  <c r="Z551" i="16"/>
  <c r="Z543" i="16"/>
  <c r="Z535" i="16"/>
  <c r="Z527" i="16"/>
  <c r="Z519" i="16"/>
  <c r="Z511" i="16"/>
  <c r="Z503" i="16"/>
  <c r="Z495" i="16"/>
  <c r="Z487" i="16"/>
  <c r="Z479" i="16"/>
  <c r="Z471" i="16"/>
  <c r="Z463" i="16"/>
  <c r="Z455" i="16"/>
  <c r="Z447" i="16"/>
  <c r="Z439" i="16"/>
  <c r="Z431" i="16"/>
  <c r="Z423" i="16"/>
  <c r="Z415" i="16"/>
  <c r="Z407" i="16"/>
  <c r="Z399" i="16"/>
  <c r="Z391" i="16"/>
  <c r="Z383" i="16"/>
  <c r="Z375" i="16"/>
  <c r="Z367" i="16"/>
  <c r="Z359" i="16"/>
  <c r="Z351" i="16"/>
  <c r="Z343" i="16"/>
  <c r="Z335" i="16"/>
  <c r="Z327" i="16"/>
  <c r="Z319" i="16"/>
  <c r="Z311" i="16"/>
  <c r="Z303" i="16"/>
  <c r="Z295" i="16"/>
  <c r="Z287" i="16"/>
  <c r="Z279" i="16"/>
  <c r="Z271" i="16"/>
  <c r="Z263" i="16"/>
  <c r="Z255" i="16"/>
  <c r="Z247" i="16"/>
  <c r="Z239" i="16"/>
  <c r="Z231" i="16"/>
  <c r="Z223" i="16"/>
  <c r="Z215" i="16"/>
  <c r="Z1533" i="16"/>
  <c r="Z1525" i="16"/>
  <c r="Z1517" i="16"/>
  <c r="Z1509" i="16"/>
  <c r="Z1501" i="16"/>
  <c r="Z1493" i="16"/>
  <c r="Z1485" i="16"/>
  <c r="Z1477" i="16"/>
  <c r="Z1469" i="16"/>
  <c r="Z1461" i="16"/>
  <c r="Z1453" i="16"/>
  <c r="Z1445" i="16"/>
  <c r="Z1437" i="16"/>
  <c r="Z1429" i="16"/>
  <c r="Z1421" i="16"/>
  <c r="Z1413" i="16"/>
  <c r="Z1405" i="16"/>
  <c r="Z1397" i="16"/>
  <c r="Z1389" i="16"/>
  <c r="Z1381" i="16"/>
  <c r="Z1373" i="16"/>
  <c r="Z1365" i="16"/>
  <c r="Z1357" i="16"/>
  <c r="Z1349" i="16"/>
  <c r="Z1341" i="16"/>
  <c r="Z1333" i="16"/>
  <c r="Z1325" i="16"/>
  <c r="Z1317" i="16"/>
  <c r="Z1309" i="16"/>
  <c r="Z1301" i="16"/>
  <c r="Z1293" i="16"/>
  <c r="Z1285" i="16"/>
  <c r="Z1277" i="16"/>
  <c r="Z1269" i="16"/>
  <c r="Z1261" i="16"/>
  <c r="Z1253" i="16"/>
  <c r="Z1245" i="16"/>
  <c r="Z1237" i="16"/>
  <c r="Z1229" i="16"/>
  <c r="Z1221" i="16"/>
  <c r="Z1213" i="16"/>
  <c r="Z1205" i="16"/>
  <c r="Z1197" i="16"/>
  <c r="Z1189" i="16"/>
  <c r="Z1181" i="16"/>
  <c r="Z1532" i="16"/>
  <c r="Z1524" i="16"/>
  <c r="Z1516" i="16"/>
  <c r="Z1508" i="16"/>
  <c r="Z1500" i="16"/>
  <c r="Z1492" i="16"/>
  <c r="Z1484" i="16"/>
  <c r="Z1476" i="16"/>
  <c r="Z1468" i="16"/>
  <c r="Z1460" i="16"/>
  <c r="Z1452" i="16"/>
  <c r="Z1444" i="16"/>
  <c r="Z1436" i="16"/>
  <c r="Z1428" i="16"/>
  <c r="Z1420" i="16"/>
  <c r="Z1412" i="16"/>
  <c r="Z1404" i="16"/>
  <c r="Z1396" i="16"/>
  <c r="Z1388" i="16"/>
  <c r="Z1380" i="16"/>
  <c r="Z1372" i="16"/>
  <c r="Z1364" i="16"/>
  <c r="Z1356" i="16"/>
  <c r="Z1348" i="16"/>
  <c r="Z1340" i="16"/>
  <c r="Z1332" i="16"/>
  <c r="Z1324" i="16"/>
  <c r="Z1316" i="16"/>
  <c r="Z1308" i="16"/>
  <c r="Z1300" i="16"/>
  <c r="Z1292" i="16"/>
  <c r="Z1284" i="16"/>
  <c r="Z1276" i="16"/>
  <c r="Z1268" i="16"/>
  <c r="Z1260" i="16"/>
  <c r="Z1252" i="16"/>
  <c r="Z1244" i="16"/>
  <c r="Z1236" i="16"/>
  <c r="Z1228" i="16"/>
  <c r="Z1220" i="16"/>
  <c r="Z1212" i="16"/>
  <c r="Z1204" i="16"/>
  <c r="Z1196" i="16"/>
  <c r="Z1188" i="16"/>
  <c r="Z1180" i="16"/>
  <c r="Z1172" i="16"/>
  <c r="Z1164" i="16"/>
  <c r="Z1156" i="16"/>
  <c r="Z1148" i="16"/>
  <c r="Z1140" i="16"/>
  <c r="Z1132" i="16"/>
  <c r="Z1124" i="16"/>
  <c r="Z1116" i="16"/>
  <c r="Z1108" i="16"/>
  <c r="Z1100" i="16"/>
  <c r="Z1092" i="16"/>
  <c r="Z1084" i="16"/>
  <c r="Z1076" i="16"/>
  <c r="Z1068" i="16"/>
  <c r="Z1060" i="16"/>
  <c r="Z1052" i="16"/>
  <c r="Z1044" i="16"/>
  <c r="Z1036" i="16"/>
  <c r="Z1028" i="16"/>
  <c r="Z1020" i="16"/>
  <c r="Z1012" i="16"/>
  <c r="Z1004" i="16"/>
  <c r="Z996" i="16"/>
  <c r="Z988" i="16"/>
  <c r="Z980" i="16"/>
  <c r="Z972" i="16"/>
  <c r="Z964" i="16"/>
  <c r="Z956" i="16"/>
  <c r="Z948" i="16"/>
  <c r="Z940" i="16"/>
  <c r="Z932" i="16"/>
  <c r="Z924" i="16"/>
  <c r="Z916" i="16"/>
  <c r="Z908" i="16"/>
  <c r="Z900" i="16"/>
  <c r="Z892" i="16"/>
  <c r="Z884" i="16"/>
  <c r="Z876" i="16"/>
  <c r="Z868" i="16"/>
  <c r="Z860" i="16"/>
  <c r="Z852" i="16"/>
  <c r="Z844" i="16"/>
  <c r="Z836" i="16"/>
  <c r="Z828" i="16"/>
  <c r="Z820" i="16"/>
  <c r="Z812" i="16"/>
  <c r="Z804" i="16"/>
  <c r="Z796" i="16"/>
  <c r="Z788" i="16"/>
  <c r="Z780" i="16"/>
  <c r="Z772" i="16"/>
  <c r="Z764" i="16"/>
  <c r="Z756" i="16"/>
  <c r="Z748" i="16"/>
  <c r="Z740" i="16"/>
  <c r="Z732" i="16"/>
  <c r="Z724" i="16"/>
  <c r="Z716" i="16"/>
  <c r="Z708" i="16"/>
  <c r="Z700" i="16"/>
  <c r="Z1531" i="16"/>
  <c r="Z1523" i="16"/>
  <c r="Z1515" i="16"/>
  <c r="Z1507" i="16"/>
  <c r="Z1499" i="16"/>
  <c r="Z1491" i="16"/>
  <c r="Z1483" i="16"/>
  <c r="Z1475" i="16"/>
  <c r="Z1467" i="16"/>
  <c r="Z1459" i="16"/>
  <c r="Z1451" i="16"/>
  <c r="Z1443" i="16"/>
  <c r="Z1435" i="16"/>
  <c r="Z1427" i="16"/>
  <c r="Z1419" i="16"/>
  <c r="Z1411" i="16"/>
  <c r="Z1403" i="16"/>
  <c r="Z1395" i="16"/>
  <c r="Z1387" i="16"/>
  <c r="Z1379" i="16"/>
  <c r="Z1371" i="16"/>
  <c r="Z1363" i="16"/>
  <c r="Z1355" i="16"/>
  <c r="Z1347" i="16"/>
  <c r="Z1339" i="16"/>
  <c r="Z1331" i="16"/>
  <c r="Z1323" i="16"/>
  <c r="Z1315" i="16"/>
  <c r="Z1307" i="16"/>
  <c r="Z1299" i="16"/>
  <c r="Z1291" i="16"/>
  <c r="Z1283" i="16"/>
  <c r="Z1275" i="16"/>
  <c r="Z1267" i="16"/>
  <c r="Z1259" i="16"/>
  <c r="Z1251" i="16"/>
  <c r="Z1243" i="16"/>
  <c r="Z1235" i="16"/>
  <c r="Z1227" i="16"/>
  <c r="Z1219" i="16"/>
  <c r="Z1211" i="16"/>
  <c r="Z1203" i="16"/>
  <c r="Z1195" i="16"/>
  <c r="Z1187" i="16"/>
  <c r="Z1179" i="16"/>
  <c r="Z1171" i="16"/>
  <c r="Z1163" i="16"/>
  <c r="Z1155" i="16"/>
  <c r="Z1147" i="16"/>
  <c r="Z1139" i="16"/>
  <c r="Z1131" i="16"/>
  <c r="Z1123" i="16"/>
  <c r="Z1115" i="16"/>
  <c r="Z1107" i="16"/>
  <c r="Z1099" i="16"/>
  <c r="Z1091" i="16"/>
  <c r="Z1083" i="16"/>
  <c r="Z1075" i="16"/>
  <c r="Z1067" i="16"/>
  <c r="Z1059" i="16"/>
  <c r="Z1051" i="16"/>
  <c r="Z1043" i="16"/>
  <c r="Z1035" i="16"/>
  <c r="Z1027" i="16"/>
  <c r="Z1019" i="16"/>
  <c r="Z1011" i="16"/>
  <c r="Z1003" i="16"/>
  <c r="Z995" i="16"/>
  <c r="Z987" i="16"/>
  <c r="Z979" i="16"/>
  <c r="Z971" i="16"/>
  <c r="Z963" i="16"/>
  <c r="Z955" i="16"/>
  <c r="Z947" i="16"/>
  <c r="Z939" i="16"/>
  <c r="Z931" i="16"/>
  <c r="Z923" i="16"/>
  <c r="Z915" i="16"/>
  <c r="Z907" i="16"/>
  <c r="Z899" i="16"/>
  <c r="Z891" i="16"/>
  <c r="Z883" i="16"/>
  <c r="Z875" i="16"/>
  <c r="Z867" i="16"/>
  <c r="Z859" i="16"/>
  <c r="Z851" i="16"/>
  <c r="Z843" i="16"/>
  <c r="Z835" i="16"/>
  <c r="Z827" i="16"/>
  <c r="Z819" i="16"/>
  <c r="Z811" i="16"/>
  <c r="Z803" i="16"/>
  <c r="Z795" i="16"/>
  <c r="Z787" i="16"/>
  <c r="Z779" i="16"/>
  <c r="Z771" i="16"/>
  <c r="Z763" i="16"/>
  <c r="Z755" i="16"/>
  <c r="Z747" i="16"/>
  <c r="Z1514" i="16"/>
  <c r="Z1494" i="16"/>
  <c r="Z1473" i="16"/>
  <c r="Z1450" i="16"/>
  <c r="Z1430" i="16"/>
  <c r="Z1409" i="16"/>
  <c r="Z1386" i="16"/>
  <c r="Z1366" i="16"/>
  <c r="Z1345" i="16"/>
  <c r="Z1322" i="16"/>
  <c r="Z1302" i="16"/>
  <c r="Z1281" i="16"/>
  <c r="Z1258" i="16"/>
  <c r="Z1238" i="16"/>
  <c r="Z1217" i="16"/>
  <c r="Z1194" i="16"/>
  <c r="Z1174" i="16"/>
  <c r="Z1158" i="16"/>
  <c r="Z1142" i="16"/>
  <c r="Z1126" i="16"/>
  <c r="Z1110" i="16"/>
  <c r="Z1094" i="16"/>
  <c r="Z1078" i="16"/>
  <c r="Z1062" i="16"/>
  <c r="Z1046" i="16"/>
  <c r="Z1030" i="16"/>
  <c r="Z1014" i="16"/>
  <c r="Z998" i="16"/>
  <c r="Z982" i="16"/>
  <c r="Z966" i="16"/>
  <c r="Z950" i="16"/>
  <c r="Z934" i="16"/>
  <c r="Z918" i="16"/>
  <c r="Z902" i="16"/>
  <c r="Z886" i="16"/>
  <c r="Z870" i="16"/>
  <c r="Z854" i="16"/>
  <c r="Z838" i="16"/>
  <c r="Z822" i="16"/>
  <c r="Z806" i="16"/>
  <c r="Z790" i="16"/>
  <c r="Z774" i="16"/>
  <c r="Z758" i="16"/>
  <c r="Z742" i="16"/>
  <c r="Z730" i="16"/>
  <c r="Z717" i="16"/>
  <c r="Z705" i="16"/>
  <c r="Z692" i="16"/>
  <c r="Z682" i="16"/>
  <c r="Z670" i="16"/>
  <c r="Z660" i="16"/>
  <c r="Z650" i="16"/>
  <c r="Z638" i="16"/>
  <c r="Z628" i="16"/>
  <c r="Z618" i="16"/>
  <c r="Z606" i="16"/>
  <c r="Z596" i="16"/>
  <c r="Z586" i="16"/>
  <c r="Z574" i="16"/>
  <c r="Z564" i="16"/>
  <c r="Z554" i="16"/>
  <c r="Z542" i="16"/>
  <c r="Z532" i="16"/>
  <c r="Z522" i="16"/>
  <c r="Z510" i="16"/>
  <c r="Z500" i="16"/>
  <c r="Z490" i="16"/>
  <c r="Z478" i="16"/>
  <c r="Z468" i="16"/>
  <c r="Z458" i="16"/>
  <c r="Z446" i="16"/>
  <c r="Z436" i="16"/>
  <c r="Z426" i="16"/>
  <c r="Z417" i="16"/>
  <c r="Z408" i="16"/>
  <c r="Z398" i="16"/>
  <c r="Z389" i="16"/>
  <c r="Z380" i="16"/>
  <c r="Z371" i="16"/>
  <c r="Z362" i="16"/>
  <c r="Z353" i="16"/>
  <c r="Z344" i="16"/>
  <c r="Z334" i="16"/>
  <c r="Z325" i="16"/>
  <c r="Z316" i="16"/>
  <c r="Z307" i="16"/>
  <c r="Z298" i="16"/>
  <c r="Z289" i="16"/>
  <c r="Z280" i="16"/>
  <c r="Z270" i="16"/>
  <c r="Z261" i="16"/>
  <c r="Z252" i="16"/>
  <c r="Z243" i="16"/>
  <c r="Z234" i="16"/>
  <c r="Z225" i="16"/>
  <c r="Z216" i="16"/>
  <c r="Z207" i="16"/>
  <c r="Z199" i="16"/>
  <c r="Z191" i="16"/>
  <c r="Z183" i="16"/>
  <c r="Z175" i="16"/>
  <c r="Z167" i="16"/>
  <c r="Z159" i="16"/>
  <c r="Z151" i="16"/>
  <c r="Z143" i="16"/>
  <c r="Z135" i="16"/>
  <c r="Z127" i="16"/>
  <c r="Z119" i="16"/>
  <c r="Z111" i="16"/>
  <c r="Z103" i="16"/>
  <c r="Z95" i="16"/>
  <c r="Z87" i="16"/>
  <c r="Z79" i="16"/>
  <c r="Z71" i="16"/>
  <c r="Z63" i="16"/>
  <c r="Z55" i="16"/>
  <c r="Z47" i="16"/>
  <c r="Z39" i="16"/>
  <c r="Z31" i="16"/>
  <c r="Z23" i="16"/>
  <c r="Z15" i="16"/>
  <c r="Z7" i="16"/>
  <c r="Z1534" i="16"/>
  <c r="Z1513" i="16"/>
  <c r="Z1490" i="16"/>
  <c r="Z1470" i="16"/>
  <c r="Z1449" i="16"/>
  <c r="Z1426" i="16"/>
  <c r="Z1406" i="16"/>
  <c r="Z1385" i="16"/>
  <c r="Z1362" i="16"/>
  <c r="Z1342" i="16"/>
  <c r="Z1321" i="16"/>
  <c r="Z1298" i="16"/>
  <c r="Z1278" i="16"/>
  <c r="Z1257" i="16"/>
  <c r="Z1234" i="16"/>
  <c r="Z1214" i="16"/>
  <c r="Z1193" i="16"/>
  <c r="Z1173" i="16"/>
  <c r="Z1157" i="16"/>
  <c r="Z1141" i="16"/>
  <c r="Z1125" i="16"/>
  <c r="Z1109" i="16"/>
  <c r="Z1093" i="16"/>
  <c r="Z1077" i="16"/>
  <c r="Z1061" i="16"/>
  <c r="Z1045" i="16"/>
  <c r="Z1029" i="16"/>
  <c r="Z1013" i="16"/>
  <c r="Z997" i="16"/>
  <c r="Z981" i="16"/>
  <c r="Z965" i="16"/>
  <c r="Z949" i="16"/>
  <c r="Z933" i="16"/>
  <c r="Z917" i="16"/>
  <c r="Z901" i="16"/>
  <c r="Z885" i="16"/>
  <c r="Z869" i="16"/>
  <c r="Z853" i="16"/>
  <c r="Z837" i="16"/>
  <c r="Z821" i="16"/>
  <c r="Z805" i="16"/>
  <c r="Z789" i="16"/>
  <c r="Z773" i="16"/>
  <c r="Z757" i="16"/>
  <c r="Z741" i="16"/>
  <c r="Z729" i="16"/>
  <c r="Z715" i="16"/>
  <c r="Z702" i="16"/>
  <c r="Z691" i="16"/>
  <c r="Z681" i="16"/>
  <c r="Z669" i="16"/>
  <c r="Z659" i="16"/>
  <c r="Z649" i="16"/>
  <c r="Z637" i="16"/>
  <c r="Z627" i="16"/>
  <c r="Z617" i="16"/>
  <c r="Z605" i="16"/>
  <c r="Z595" i="16"/>
  <c r="Z585" i="16"/>
  <c r="Z573" i="16"/>
  <c r="Z563" i="16"/>
  <c r="Z553" i="16"/>
  <c r="Z541" i="16"/>
  <c r="Z531" i="16"/>
  <c r="Z521" i="16"/>
  <c r="Z509" i="16"/>
  <c r="Z499" i="16"/>
  <c r="Z489" i="16"/>
  <c r="Z477" i="16"/>
  <c r="Z467" i="16"/>
  <c r="Z457" i="16"/>
  <c r="Z445" i="16"/>
  <c r="Z435" i="16"/>
  <c r="Z425" i="16"/>
  <c r="Z416" i="16"/>
  <c r="Z406" i="16"/>
  <c r="Z397" i="16"/>
  <c r="Z388" i="16"/>
  <c r="Z379" i="16"/>
  <c r="Z370" i="16"/>
  <c r="Z361" i="16"/>
  <c r="Z352" i="16"/>
  <c r="Z342" i="16"/>
  <c r="Z333" i="16"/>
  <c r="Z324" i="16"/>
  <c r="Z315" i="16"/>
  <c r="Z306" i="16"/>
  <c r="Z297" i="16"/>
  <c r="Z288" i="16"/>
  <c r="Z278" i="16"/>
  <c r="Z269" i="16"/>
  <c r="Z260" i="16"/>
  <c r="Z251" i="16"/>
  <c r="Z242" i="16"/>
  <c r="Z233" i="16"/>
  <c r="Z224" i="16"/>
  <c r="Z214" i="16"/>
  <c r="Z206" i="16"/>
  <c r="Z198" i="16"/>
  <c r="Z190" i="16"/>
  <c r="Z182" i="16"/>
  <c r="Z174" i="16"/>
  <c r="Z166" i="16"/>
  <c r="Z158" i="16"/>
  <c r="Z150" i="16"/>
  <c r="Z142" i="16"/>
  <c r="Z134" i="16"/>
  <c r="Z126" i="16"/>
  <c r="Z118" i="16"/>
  <c r="Z110" i="16"/>
  <c r="Z102" i="16"/>
  <c r="Z94" i="16"/>
  <c r="Z86" i="16"/>
  <c r="Z78" i="16"/>
  <c r="Z70" i="16"/>
  <c r="Z1530" i="16"/>
  <c r="Z1510" i="16"/>
  <c r="Z1489" i="16"/>
  <c r="Z1466" i="16"/>
  <c r="Z1446" i="16"/>
  <c r="Z1425" i="16"/>
  <c r="Z1402" i="16"/>
  <c r="Z1382" i="16"/>
  <c r="Z1361" i="16"/>
  <c r="Z1338" i="16"/>
  <c r="Z1318" i="16"/>
  <c r="Z1297" i="16"/>
  <c r="Z1274" i="16"/>
  <c r="Z1254" i="16"/>
  <c r="Z1233" i="16"/>
  <c r="Z1210" i="16"/>
  <c r="Z1190" i="16"/>
  <c r="Z1170" i="16"/>
  <c r="Z1154" i="16"/>
  <c r="Z1138" i="16"/>
  <c r="Z1122" i="16"/>
  <c r="Z1106" i="16"/>
  <c r="Z1090" i="16"/>
  <c r="Z1074" i="16"/>
  <c r="Z1058" i="16"/>
  <c r="Z1042" i="16"/>
  <c r="Z1026" i="16"/>
  <c r="Z1010" i="16"/>
  <c r="Z994" i="16"/>
  <c r="Z978" i="16"/>
  <c r="Z962" i="16"/>
  <c r="Z946" i="16"/>
  <c r="Z930" i="16"/>
  <c r="Z914" i="16"/>
  <c r="Z898" i="16"/>
  <c r="Z882" i="16"/>
  <c r="Z866" i="16"/>
  <c r="Z850" i="16"/>
  <c r="Z834" i="16"/>
  <c r="Z818" i="16"/>
  <c r="Z802" i="16"/>
  <c r="Z786" i="16"/>
  <c r="Z770" i="16"/>
  <c r="Z754" i="16"/>
  <c r="Z739" i="16"/>
  <c r="Z726" i="16"/>
  <c r="Z714" i="16"/>
  <c r="Z701" i="16"/>
  <c r="Z690" i="16"/>
  <c r="Z678" i="16"/>
  <c r="Z668" i="16"/>
  <c r="Z658" i="16"/>
  <c r="Z646" i="16"/>
  <c r="Z636" i="16"/>
  <c r="Z626" i="16"/>
  <c r="Z614" i="16"/>
  <c r="Z604" i="16"/>
  <c r="Z594" i="16"/>
  <c r="Z582" i="16"/>
  <c r="Z572" i="16"/>
  <c r="Z562" i="16"/>
  <c r="Z550" i="16"/>
  <c r="Z540" i="16"/>
  <c r="Z530" i="16"/>
  <c r="Z518" i="16"/>
  <c r="Z508" i="16"/>
  <c r="Z498" i="16"/>
  <c r="Z486" i="16"/>
  <c r="Z476" i="16"/>
  <c r="Z466" i="16"/>
  <c r="Z454" i="16"/>
  <c r="Z444" i="16"/>
  <c r="Z434" i="16"/>
  <c r="Z424" i="16"/>
  <c r="Z414" i="16"/>
  <c r="Z405" i="16"/>
  <c r="Z396" i="16"/>
  <c r="Z387" i="16"/>
  <c r="Z378" i="16"/>
  <c r="Z369" i="16"/>
  <c r="Z360" i="16"/>
  <c r="Z350" i="16"/>
  <c r="Z341" i="16"/>
  <c r="Z332" i="16"/>
  <c r="Z323" i="16"/>
  <c r="Z314" i="16"/>
  <c r="Z305" i="16"/>
  <c r="Z296" i="16"/>
  <c r="Z286" i="16"/>
  <c r="Z277" i="16"/>
  <c r="Z268" i="16"/>
  <c r="Z259" i="16"/>
  <c r="Z250" i="16"/>
  <c r="Z241" i="16"/>
  <c r="Z232" i="16"/>
  <c r="Z222" i="16"/>
  <c r="Z213" i="16"/>
  <c r="Z205" i="16"/>
  <c r="Z197" i="16"/>
  <c r="Z189" i="16"/>
  <c r="Z181" i="16"/>
  <c r="Z173" i="16"/>
  <c r="Z165" i="16"/>
  <c r="Z157" i="16"/>
  <c r="Z149" i="16"/>
  <c r="Z141" i="16"/>
  <c r="Z133" i="16"/>
  <c r="Z125" i="16"/>
  <c r="Z117" i="16"/>
  <c r="Z109" i="16"/>
  <c r="Z101" i="16"/>
  <c r="Z93" i="16"/>
  <c r="Z85" i="16"/>
  <c r="Z77" i="16"/>
  <c r="Z69" i="16"/>
  <c r="Z61" i="16"/>
  <c r="Z53" i="16"/>
  <c r="Z45" i="16"/>
  <c r="Z37" i="16"/>
  <c r="Z29" i="16"/>
  <c r="Z21" i="16"/>
  <c r="Z13" i="16"/>
  <c r="Z5" i="16"/>
  <c r="Z1529" i="16"/>
  <c r="Z1506" i="16"/>
  <c r="Z1486" i="16"/>
  <c r="Z1465" i="16"/>
  <c r="Z1442" i="16"/>
  <c r="Z1422" i="16"/>
  <c r="Z1401" i="16"/>
  <c r="Z1378" i="16"/>
  <c r="Z1358" i="16"/>
  <c r="Z1337" i="16"/>
  <c r="Z1314" i="16"/>
  <c r="Z1294" i="16"/>
  <c r="Z1273" i="16"/>
  <c r="Z1250" i="16"/>
  <c r="Z1230" i="16"/>
  <c r="Z1209" i="16"/>
  <c r="Z1186" i="16"/>
  <c r="Z1169" i="16"/>
  <c r="Z1153" i="16"/>
  <c r="Z1137" i="16"/>
  <c r="Z1121" i="16"/>
  <c r="Z1105" i="16"/>
  <c r="Z1089" i="16"/>
  <c r="Z1073" i="16"/>
  <c r="Z1057" i="16"/>
  <c r="Z1041" i="16"/>
  <c r="Z1025" i="16"/>
  <c r="Z1009" i="16"/>
  <c r="Z993" i="16"/>
  <c r="Z977" i="16"/>
  <c r="Z961" i="16"/>
  <c r="Z945" i="16"/>
  <c r="Z929" i="16"/>
  <c r="Z913" i="16"/>
  <c r="Z897" i="16"/>
  <c r="Z881" i="16"/>
  <c r="Z865" i="16"/>
  <c r="Z849" i="16"/>
  <c r="Z833" i="16"/>
  <c r="Z817" i="16"/>
  <c r="Z801" i="16"/>
  <c r="Z785" i="16"/>
  <c r="Z769" i="16"/>
  <c r="Z753" i="16"/>
  <c r="Z738" i="16"/>
  <c r="Z725" i="16"/>
  <c r="Z713" i="16"/>
  <c r="Z699" i="16"/>
  <c r="Z689" i="16"/>
  <c r="Z677" i="16"/>
  <c r="Z667" i="16"/>
  <c r="Z657" i="16"/>
  <c r="Z645" i="16"/>
  <c r="Z635" i="16"/>
  <c r="Z625" i="16"/>
  <c r="Z613" i="16"/>
  <c r="Z603" i="16"/>
  <c r="Z593" i="16"/>
  <c r="Z581" i="16"/>
  <c r="Z571" i="16"/>
  <c r="Z561" i="16"/>
  <c r="Z549" i="16"/>
  <c r="Z539" i="16"/>
  <c r="Z529" i="16"/>
  <c r="Z517" i="16"/>
  <c r="Z507" i="16"/>
  <c r="Z497" i="16"/>
  <c r="Z485" i="16"/>
  <c r="Z475" i="16"/>
  <c r="Z465" i="16"/>
  <c r="Z453" i="16"/>
  <c r="Z443" i="16"/>
  <c r="Z433" i="16"/>
  <c r="Z422" i="16"/>
  <c r="Z413" i="16"/>
  <c r="Z404" i="16"/>
  <c r="Z395" i="16"/>
  <c r="Z386" i="16"/>
  <c r="Z377" i="16"/>
  <c r="Z368" i="16"/>
  <c r="Z358" i="16"/>
  <c r="Z349" i="16"/>
  <c r="Z340" i="16"/>
  <c r="Z331" i="16"/>
  <c r="Z322" i="16"/>
  <c r="Z313" i="16"/>
  <c r="Z304" i="16"/>
  <c r="Z294" i="16"/>
  <c r="Z285" i="16"/>
  <c r="Z276" i="16"/>
  <c r="Z267" i="16"/>
  <c r="Z258" i="16"/>
  <c r="Z249" i="16"/>
  <c r="Z240" i="16"/>
  <c r="Z230" i="16"/>
  <c r="Z221" i="16"/>
  <c r="Z212" i="16"/>
  <c r="Z204" i="16"/>
  <c r="Z196" i="16"/>
  <c r="Z188" i="16"/>
  <c r="Z180" i="16"/>
  <c r="Z172" i="16"/>
  <c r="Z164" i="16"/>
  <c r="Z156" i="16"/>
  <c r="Z148" i="16"/>
  <c r="Z140" i="16"/>
  <c r="Z132" i="16"/>
  <c r="Z124" i="16"/>
  <c r="Z116" i="16"/>
  <c r="Z108" i="16"/>
  <c r="Z100" i="16"/>
  <c r="Z92" i="16"/>
  <c r="Z84" i="16"/>
  <c r="Z76" i="16"/>
  <c r="Z68" i="16"/>
  <c r="Z60" i="16"/>
  <c r="Z52" i="16"/>
  <c r="Z44" i="16"/>
  <c r="Z36" i="16"/>
  <c r="Z28" i="16"/>
  <c r="Z20" i="16"/>
  <c r="Z12" i="16"/>
  <c r="Z4" i="16"/>
  <c r="Z1526" i="16"/>
  <c r="Z1505" i="16"/>
  <c r="Z1482" i="16"/>
  <c r="Z1462" i="16"/>
  <c r="Z1441" i="16"/>
  <c r="Z1418" i="16"/>
  <c r="Z1398" i="16"/>
  <c r="Z1377" i="16"/>
  <c r="Z1354" i="16"/>
  <c r="Z1334" i="16"/>
  <c r="Z1313" i="16"/>
  <c r="Z1290" i="16"/>
  <c r="Z1270" i="16"/>
  <c r="Z1249" i="16"/>
  <c r="Z1226" i="16"/>
  <c r="Z1206" i="16"/>
  <c r="Z1185" i="16"/>
  <c r="Z1166" i="16"/>
  <c r="Z1150" i="16"/>
  <c r="Z1134" i="16"/>
  <c r="Z1118" i="16"/>
  <c r="Z1102" i="16"/>
  <c r="Z1086" i="16"/>
  <c r="Z1070" i="16"/>
  <c r="Z1054" i="16"/>
  <c r="Z1038" i="16"/>
  <c r="Z1022" i="16"/>
  <c r="Z1006" i="16"/>
  <c r="Z990" i="16"/>
  <c r="Z974" i="16"/>
  <c r="Z958" i="16"/>
  <c r="Z942" i="16"/>
  <c r="Z926" i="16"/>
  <c r="Z910" i="16"/>
  <c r="Z894" i="16"/>
  <c r="Z878" i="16"/>
  <c r="Z862" i="16"/>
  <c r="Z846" i="16"/>
  <c r="Z830" i="16"/>
  <c r="Z814" i="16"/>
  <c r="Z798" i="16"/>
  <c r="Z782" i="16"/>
  <c r="Z766" i="16"/>
  <c r="Z750" i="16"/>
  <c r="Z737" i="16"/>
  <c r="Z723" i="16"/>
  <c r="Z710" i="16"/>
  <c r="Z698" i="16"/>
  <c r="Z686" i="16"/>
  <c r="Z676" i="16"/>
  <c r="Z666" i="16"/>
  <c r="Z654" i="16"/>
  <c r="Z644" i="16"/>
  <c r="Z634" i="16"/>
  <c r="Z622" i="16"/>
  <c r="Z612" i="16"/>
  <c r="Z602" i="16"/>
  <c r="Z590" i="16"/>
  <c r="Z580" i="16"/>
  <c r="Z570" i="16"/>
  <c r="Z558" i="16"/>
  <c r="Z548" i="16"/>
  <c r="Z538" i="16"/>
  <c r="Z526" i="16"/>
  <c r="Z516" i="16"/>
  <c r="Z506" i="16"/>
  <c r="Z494" i="16"/>
  <c r="Z484" i="16"/>
  <c r="Z474" i="16"/>
  <c r="Z462" i="16"/>
  <c r="Z452" i="16"/>
  <c r="Z442" i="16"/>
  <c r="Z430" i="16"/>
  <c r="Z421" i="16"/>
  <c r="Z412" i="16"/>
  <c r="Z403" i="16"/>
  <c r="Z394" i="16"/>
  <c r="Z385" i="16"/>
  <c r="Z376" i="16"/>
  <c r="Z366" i="16"/>
  <c r="Z357" i="16"/>
  <c r="Z348" i="16"/>
  <c r="Z339" i="16"/>
  <c r="Z330" i="16"/>
  <c r="Z321" i="16"/>
  <c r="Z312" i="16"/>
  <c r="Z302" i="16"/>
  <c r="Z293" i="16"/>
  <c r="Z284" i="16"/>
  <c r="Z275" i="16"/>
  <c r="Z266" i="16"/>
  <c r="Z257" i="16"/>
  <c r="Z248" i="16"/>
  <c r="Z238" i="16"/>
  <c r="Z229" i="16"/>
  <c r="Z220" i="16"/>
  <c r="Z211" i="16"/>
  <c r="Z203" i="16"/>
  <c r="Z195" i="16"/>
  <c r="Z187" i="16"/>
  <c r="Z179" i="16"/>
  <c r="Z171" i="16"/>
  <c r="Z163" i="16"/>
  <c r="Z155" i="16"/>
  <c r="Z147" i="16"/>
  <c r="Z139" i="16"/>
  <c r="Z131" i="16"/>
  <c r="Z123" i="16"/>
  <c r="Z115" i="16"/>
  <c r="Z107" i="16"/>
  <c r="Z99" i="16"/>
  <c r="Z91" i="16"/>
  <c r="Z83" i="16"/>
  <c r="Z75" i="16"/>
  <c r="Z67" i="16"/>
  <c r="Z59" i="16"/>
  <c r="Z51" i="16"/>
  <c r="Z43" i="16"/>
  <c r="Z35" i="16"/>
  <c r="Z27" i="16"/>
  <c r="Z19" i="16"/>
  <c r="Z11" i="16"/>
  <c r="Z3" i="16"/>
  <c r="Z1522" i="16"/>
  <c r="Z1502" i="16"/>
  <c r="Z1481" i="16"/>
  <c r="Z1458" i="16"/>
  <c r="Z1438" i="16"/>
  <c r="Z1417" i="16"/>
  <c r="Z1394" i="16"/>
  <c r="Z1374" i="16"/>
  <c r="Z1353" i="16"/>
  <c r="Z1330" i="16"/>
  <c r="Z1310" i="16"/>
  <c r="Z1289" i="16"/>
  <c r="Z1266" i="16"/>
  <c r="Z1246" i="16"/>
  <c r="Z1225" i="16"/>
  <c r="Z1202" i="16"/>
  <c r="Z1182" i="16"/>
  <c r="Z1165" i="16"/>
  <c r="Z1149" i="16"/>
  <c r="Z1133" i="16"/>
  <c r="Z1117" i="16"/>
  <c r="Z1101" i="16"/>
  <c r="Z1085" i="16"/>
  <c r="Z1069" i="16"/>
  <c r="Z1053" i="16"/>
  <c r="Z1037" i="16"/>
  <c r="Z1021" i="16"/>
  <c r="Z1005" i="16"/>
  <c r="Z989" i="16"/>
  <c r="Z973" i="16"/>
  <c r="Z957" i="16"/>
  <c r="Z941" i="16"/>
  <c r="Z925" i="16"/>
  <c r="Z909" i="16"/>
  <c r="Z893" i="16"/>
  <c r="Z877" i="16"/>
  <c r="Z861" i="16"/>
  <c r="Z845" i="16"/>
  <c r="Z829" i="16"/>
  <c r="Z813" i="16"/>
  <c r="Z797" i="16"/>
  <c r="Z781" i="16"/>
  <c r="Z765" i="16"/>
  <c r="Z749" i="16"/>
  <c r="Z734" i="16"/>
  <c r="Z722" i="16"/>
  <c r="Z709" i="16"/>
  <c r="Z697" i="16"/>
  <c r="Z685" i="16"/>
  <c r="Z675" i="16"/>
  <c r="Z665" i="16"/>
  <c r="Z653" i="16"/>
  <c r="Z643" i="16"/>
  <c r="Z633" i="16"/>
  <c r="Z621" i="16"/>
  <c r="Z611" i="16"/>
  <c r="Z601" i="16"/>
  <c r="Z589" i="16"/>
  <c r="Z579" i="16"/>
  <c r="Z569" i="16"/>
  <c r="Z557" i="16"/>
  <c r="Z547" i="16"/>
  <c r="Z537" i="16"/>
  <c r="Z525" i="16"/>
  <c r="Z515" i="16"/>
  <c r="Z505" i="16"/>
  <c r="Z493" i="16"/>
  <c r="Z483" i="16"/>
  <c r="Z473" i="16"/>
  <c r="Z461" i="16"/>
  <c r="Z451" i="16"/>
  <c r="Z441" i="16"/>
  <c r="Z429" i="16"/>
  <c r="Z420" i="16"/>
  <c r="Z411" i="16"/>
  <c r="Z402" i="16"/>
  <c r="Z393" i="16"/>
  <c r="Z384" i="16"/>
  <c r="Z374" i="16"/>
  <c r="Z365" i="16"/>
  <c r="Z356" i="16"/>
  <c r="Z347" i="16"/>
  <c r="Z338" i="16"/>
  <c r="Z329" i="16"/>
  <c r="Z320" i="16"/>
  <c r="Z310" i="16"/>
  <c r="Z301" i="16"/>
  <c r="Z292" i="16"/>
  <c r="Z283" i="16"/>
  <c r="Z274" i="16"/>
  <c r="Z265" i="16"/>
  <c r="Z256" i="16"/>
  <c r="Z246" i="16"/>
  <c r="Z237" i="16"/>
  <c r="Z228" i="16"/>
  <c r="Z219" i="16"/>
  <c r="Z210" i="16"/>
  <c r="Z202" i="16"/>
  <c r="Z1521" i="16"/>
  <c r="Z1498" i="16"/>
  <c r="Z1478" i="16"/>
  <c r="Z1457" i="16"/>
  <c r="Z1434" i="16"/>
  <c r="Z1414" i="16"/>
  <c r="Z1393" i="16"/>
  <c r="Z1370" i="16"/>
  <c r="Z1350" i="16"/>
  <c r="Z1329" i="16"/>
  <c r="Z1306" i="16"/>
  <c r="Z1286" i="16"/>
  <c r="Z1265" i="16"/>
  <c r="Z1242" i="16"/>
  <c r="Z1222" i="16"/>
  <c r="Z1201" i="16"/>
  <c r="Z1178" i="16"/>
  <c r="Z1162" i="16"/>
  <c r="Z1146" i="16"/>
  <c r="Z1130" i="16"/>
  <c r="Z1114" i="16"/>
  <c r="Z1098" i="16"/>
  <c r="Z1082" i="16"/>
  <c r="Z1066" i="16"/>
  <c r="Z1050" i="16"/>
  <c r="Z1034" i="16"/>
  <c r="Z1018" i="16"/>
  <c r="Z1002" i="16"/>
  <c r="Z986" i="16"/>
  <c r="Z970" i="16"/>
  <c r="Z954" i="16"/>
  <c r="Z938" i="16"/>
  <c r="Z922" i="16"/>
  <c r="Z906" i="16"/>
  <c r="Z890" i="16"/>
  <c r="Z874" i="16"/>
  <c r="Z858" i="16"/>
  <c r="Z842" i="16"/>
  <c r="Z826" i="16"/>
  <c r="Z810" i="16"/>
  <c r="Z794" i="16"/>
  <c r="Z778" i="16"/>
  <c r="Z762" i="16"/>
  <c r="Z746" i="16"/>
  <c r="Z733" i="16"/>
  <c r="Z721" i="16"/>
  <c r="Z707" i="16"/>
  <c r="Z694" i="16"/>
  <c r="Z684" i="16"/>
  <c r="Z674" i="16"/>
  <c r="Z662" i="16"/>
  <c r="Z652" i="16"/>
  <c r="Z642" i="16"/>
  <c r="Z630" i="16"/>
  <c r="Z620" i="16"/>
  <c r="Z610" i="16"/>
  <c r="Z598" i="16"/>
  <c r="Z588" i="16"/>
  <c r="Z578" i="16"/>
  <c r="Z566" i="16"/>
  <c r="Z556" i="16"/>
  <c r="Z546" i="16"/>
  <c r="Z534" i="16"/>
  <c r="Z524" i="16"/>
  <c r="Z514" i="16"/>
  <c r="Z502" i="16"/>
  <c r="Z492" i="16"/>
  <c r="Z482" i="16"/>
  <c r="Z470" i="16"/>
  <c r="Z460" i="16"/>
  <c r="Z450" i="16"/>
  <c r="Z438" i="16"/>
  <c r="Z428" i="16"/>
  <c r="Z419" i="16"/>
  <c r="Z410" i="16"/>
  <c r="Z401" i="16"/>
  <c r="Z392" i="16"/>
  <c r="Z382" i="16"/>
  <c r="Z373" i="16"/>
  <c r="Z364" i="16"/>
  <c r="Z355" i="16"/>
  <c r="Z346" i="16"/>
  <c r="Z337" i="16"/>
  <c r="Z328" i="16"/>
  <c r="Z318" i="16"/>
  <c r="Z309" i="16"/>
  <c r="Z300" i="16"/>
  <c r="Z291" i="16"/>
  <c r="Z282" i="16"/>
  <c r="Z273" i="16"/>
  <c r="Z264" i="16"/>
  <c r="Z254" i="16"/>
  <c r="Z245" i="16"/>
  <c r="Z236" i="16"/>
  <c r="Z227" i="16"/>
  <c r="Z218" i="16"/>
  <c r="Z209" i="16"/>
  <c r="Z201" i="16"/>
  <c r="Z193" i="16"/>
  <c r="Z185" i="16"/>
  <c r="Z177" i="16"/>
  <c r="Z169" i="16"/>
  <c r="Z161" i="16"/>
  <c r="Z153" i="16"/>
  <c r="Z145" i="16"/>
  <c r="Z137" i="16"/>
  <c r="Z129" i="16"/>
  <c r="Z121" i="16"/>
  <c r="Z113" i="16"/>
  <c r="Z105" i="16"/>
  <c r="Z97" i="16"/>
  <c r="Z89" i="16"/>
  <c r="Z81" i="16"/>
  <c r="Z73" i="16"/>
  <c r="Z65" i="16"/>
  <c r="Z57" i="16"/>
  <c r="Z49" i="16"/>
  <c r="Z41" i="16"/>
  <c r="Z33" i="16"/>
  <c r="Z25" i="16"/>
  <c r="Z17" i="16"/>
  <c r="Z9" i="16"/>
  <c r="Z2" i="16"/>
  <c r="Z1518" i="16"/>
  <c r="Z1497" i="16"/>
  <c r="Z1474" i="16"/>
  <c r="Z1454" i="16"/>
  <c r="Z1433" i="16"/>
  <c r="Z1410" i="16"/>
  <c r="Z1390" i="16"/>
  <c r="Z1369" i="16"/>
  <c r="Z1346" i="16"/>
  <c r="Z1326" i="16"/>
  <c r="Z1305" i="16"/>
  <c r="Z1282" i="16"/>
  <c r="Z1262" i="16"/>
  <c r="Z1241" i="16"/>
  <c r="Z1218" i="16"/>
  <c r="Z1198" i="16"/>
  <c r="Z1177" i="16"/>
  <c r="Z1161" i="16"/>
  <c r="Z1145" i="16"/>
  <c r="Z1129" i="16"/>
  <c r="Z1113" i="16"/>
  <c r="Z1097" i="16"/>
  <c r="Z1081" i="16"/>
  <c r="Z1065" i="16"/>
  <c r="Z1049" i="16"/>
  <c r="Z1033" i="16"/>
  <c r="Z1017" i="16"/>
  <c r="Z1001" i="16"/>
  <c r="Z985" i="16"/>
  <c r="Z969" i="16"/>
  <c r="Z953" i="16"/>
  <c r="Z937" i="16"/>
  <c r="Z921" i="16"/>
  <c r="Z905" i="16"/>
  <c r="Z889" i="16"/>
  <c r="Z873" i="16"/>
  <c r="Z857" i="16"/>
  <c r="Z841" i="16"/>
  <c r="Z825" i="16"/>
  <c r="Z809" i="16"/>
  <c r="Z793" i="16"/>
  <c r="Z777" i="16"/>
  <c r="Z761" i="16"/>
  <c r="Z745" i="16"/>
  <c r="Z731" i="16"/>
  <c r="Z718" i="16"/>
  <c r="Z706" i="16"/>
  <c r="Z693" i="16"/>
  <c r="Z683" i="16"/>
  <c r="Z673" i="16"/>
  <c r="Z661" i="16"/>
  <c r="Z651" i="16"/>
  <c r="Z641" i="16"/>
  <c r="Z629" i="16"/>
  <c r="Z619" i="16"/>
  <c r="Z609" i="16"/>
  <c r="Z597" i="16"/>
  <c r="Z587" i="16"/>
  <c r="Z577" i="16"/>
  <c r="Z565" i="16"/>
  <c r="Z555" i="16"/>
  <c r="Z545" i="16"/>
  <c r="Z533" i="16"/>
  <c r="Z523" i="16"/>
  <c r="Z513" i="16"/>
  <c r="Z501" i="16"/>
  <c r="Z491" i="16"/>
  <c r="Z481" i="16"/>
  <c r="Z469" i="16"/>
  <c r="Z459" i="16"/>
  <c r="Z449" i="16"/>
  <c r="Z437" i="16"/>
  <c r="Z427" i="16"/>
  <c r="Z418" i="16"/>
  <c r="Z409" i="16"/>
  <c r="Z400" i="16"/>
  <c r="Z390" i="16"/>
  <c r="Z381" i="16"/>
  <c r="Z372" i="16"/>
  <c r="Z363" i="16"/>
  <c r="Z354" i="16"/>
  <c r="Z345" i="16"/>
  <c r="Z336" i="16"/>
  <c r="Z326" i="16"/>
  <c r="Z317" i="16"/>
  <c r="Z308" i="16"/>
  <c r="Z299" i="16"/>
  <c r="Z290" i="16"/>
  <c r="Z281" i="16"/>
  <c r="Z272" i="16"/>
  <c r="Z262" i="16"/>
  <c r="Z253" i="16"/>
  <c r="Z244" i="16"/>
  <c r="Z235" i="16"/>
  <c r="Z226" i="16"/>
  <c r="Z217" i="16"/>
  <c r="Z208" i="16"/>
  <c r="Z200" i="16"/>
  <c r="Z192" i="16"/>
  <c r="Z184" i="16"/>
  <c r="Z176" i="16"/>
  <c r="Z168" i="16"/>
  <c r="Z160" i="16"/>
  <c r="Z152" i="16"/>
  <c r="Z144" i="16"/>
  <c r="Z136" i="16"/>
  <c r="Z128" i="16"/>
  <c r="Z120" i="16"/>
  <c r="Z112" i="16"/>
  <c r="Z104" i="16"/>
  <c r="Z96" i="16"/>
  <c r="Z88" i="16"/>
  <c r="Z80" i="16"/>
  <c r="Z72" i="16"/>
  <c r="Z64" i="16"/>
  <c r="Z56" i="16"/>
  <c r="Z48" i="16"/>
  <c r="Z40" i="16"/>
  <c r="Z32" i="16"/>
  <c r="Z24" i="16"/>
  <c r="Z16" i="16"/>
  <c r="Z8" i="16"/>
  <c r="Z34" i="16"/>
  <c r="Z66" i="16"/>
  <c r="Z130" i="16"/>
  <c r="Z194" i="16"/>
  <c r="Y1534" i="16"/>
  <c r="Y1526" i="16"/>
  <c r="Y1518" i="16"/>
  <c r="Y1510" i="16"/>
  <c r="Y1502" i="16"/>
  <c r="Y1494" i="16"/>
  <c r="Y1486" i="16"/>
  <c r="Y1478" i="16"/>
  <c r="Y1470" i="16"/>
  <c r="Y1462" i="16"/>
  <c r="Y1454" i="16"/>
  <c r="Y1446" i="16"/>
  <c r="Y1438" i="16"/>
  <c r="Y1430" i="16"/>
  <c r="Y1422" i="16"/>
  <c r="Y1414" i="16"/>
  <c r="Y1406" i="16"/>
  <c r="Y1398" i="16"/>
  <c r="Y1390" i="16"/>
  <c r="Y1382" i="16"/>
  <c r="Y1374" i="16"/>
  <c r="Y1366" i="16"/>
  <c r="Y1358" i="16"/>
  <c r="Y1350" i="16"/>
  <c r="Y1342" i="16"/>
  <c r="Y1334" i="16"/>
  <c r="Y1326" i="16"/>
  <c r="Y1318" i="16"/>
  <c r="Y1310" i="16"/>
  <c r="Y1302" i="16"/>
  <c r="Y1294" i="16"/>
  <c r="Y1286" i="16"/>
  <c r="Y1278" i="16"/>
  <c r="Y1270" i="16"/>
  <c r="Y1262" i="16"/>
  <c r="Y1254" i="16"/>
  <c r="Y1246" i="16"/>
  <c r="Y1238" i="16"/>
  <c r="Y1230" i="16"/>
  <c r="Y1222" i="16"/>
  <c r="Y1214" i="16"/>
  <c r="Y1206" i="16"/>
  <c r="Y1198" i="16"/>
  <c r="Y1190" i="16"/>
  <c r="Y1182" i="16"/>
  <c r="Y1174" i="16"/>
  <c r="Y1166" i="16"/>
  <c r="Y1158" i="16"/>
  <c r="Y1150" i="16"/>
  <c r="Y1142" i="16"/>
  <c r="Y1134" i="16"/>
  <c r="Y1126" i="16"/>
  <c r="Y1118" i="16"/>
  <c r="Y1110" i="16"/>
  <c r="Y1102" i="16"/>
  <c r="Y1094" i="16"/>
  <c r="Y1086" i="16"/>
  <c r="Y1078" i="16"/>
  <c r="Y1070" i="16"/>
  <c r="Y1062" i="16"/>
  <c r="Y1054" i="16"/>
  <c r="Y1046" i="16"/>
  <c r="Y1038" i="16"/>
  <c r="Y1030" i="16"/>
  <c r="Y1022" i="16"/>
  <c r="Y1014" i="16"/>
  <c r="Y1006" i="16"/>
  <c r="Y998" i="16"/>
  <c r="Y990" i="16"/>
  <c r="Y982" i="16"/>
  <c r="Y974" i="16"/>
  <c r="Y966" i="16"/>
  <c r="Y958" i="16"/>
  <c r="Y950" i="16"/>
  <c r="Y942" i="16"/>
  <c r="Y934" i="16"/>
  <c r="Y926" i="16"/>
  <c r="Y918" i="16"/>
  <c r="Y910" i="16"/>
  <c r="Y902" i="16"/>
  <c r="Y894" i="16"/>
  <c r="Y886" i="16"/>
  <c r="Y878" i="16"/>
  <c r="Y870" i="16"/>
  <c r="Y862" i="16"/>
  <c r="Y854" i="16"/>
  <c r="Y846" i="16"/>
  <c r="Y838" i="16"/>
  <c r="Y830" i="16"/>
  <c r="Y822" i="16"/>
  <c r="Y814" i="16"/>
  <c r="Y806" i="16"/>
  <c r="Y1532" i="16"/>
  <c r="Y1524" i="16"/>
  <c r="Y1516" i="16"/>
  <c r="Y1508" i="16"/>
  <c r="Y1500" i="16"/>
  <c r="Y1492" i="16"/>
  <c r="Y1484" i="16"/>
  <c r="Y1476" i="16"/>
  <c r="Y1468" i="16"/>
  <c r="Y1460" i="16"/>
  <c r="Y1452" i="16"/>
  <c r="Y1444" i="16"/>
  <c r="Y1436" i="16"/>
  <c r="Y1428" i="16"/>
  <c r="Y1420" i="16"/>
  <c r="Y1412" i="16"/>
  <c r="Y1404" i="16"/>
  <c r="Y1396" i="16"/>
  <c r="Y1388" i="16"/>
  <c r="Y1380" i="16"/>
  <c r="Y1372" i="16"/>
  <c r="Y1364" i="16"/>
  <c r="Y1356" i="16"/>
  <c r="Y1348" i="16"/>
  <c r="Y1340" i="16"/>
  <c r="Y1332" i="16"/>
  <c r="Y1324" i="16"/>
  <c r="Y1316" i="16"/>
  <c r="Y1308" i="16"/>
  <c r="Y1300" i="16"/>
  <c r="Y1292" i="16"/>
  <c r="Y1284" i="16"/>
  <c r="Y1276" i="16"/>
  <c r="Y1268" i="16"/>
  <c r="Y1260" i="16"/>
  <c r="Y1252" i="16"/>
  <c r="Y1244" i="16"/>
  <c r="Y1236" i="16"/>
  <c r="Y1228" i="16"/>
  <c r="Y1220" i="16"/>
  <c r="Y1212" i="16"/>
  <c r="Y1204" i="16"/>
  <c r="Y1196" i="16"/>
  <c r="Y1188" i="16"/>
  <c r="Y1180" i="16"/>
  <c r="Y1172" i="16"/>
  <c r="Y1164" i="16"/>
  <c r="Y1156" i="16"/>
  <c r="Y1148" i="16"/>
  <c r="Y1140" i="16"/>
  <c r="Y1132" i="16"/>
  <c r="Y1124" i="16"/>
  <c r="Y1116" i="16"/>
  <c r="Y1108" i="16"/>
  <c r="Y1100" i="16"/>
  <c r="Y1092" i="16"/>
  <c r="Y1084" i="16"/>
  <c r="Y1076" i="16"/>
  <c r="Y1068" i="16"/>
  <c r="Y1060" i="16"/>
  <c r="Y1052" i="16"/>
  <c r="Y1044" i="16"/>
  <c r="Y1036" i="16"/>
  <c r="Y1028" i="16"/>
  <c r="Y1020" i="16"/>
  <c r="Y1012" i="16"/>
  <c r="Y1004" i="16"/>
  <c r="Y996" i="16"/>
  <c r="Y988" i="16"/>
  <c r="Y980" i="16"/>
  <c r="Y972" i="16"/>
  <c r="Y964" i="16"/>
  <c r="Y956" i="16"/>
  <c r="Y948" i="16"/>
  <c r="Y940" i="16"/>
  <c r="Y932" i="16"/>
  <c r="Y924" i="16"/>
  <c r="Y916" i="16"/>
  <c r="Y908" i="16"/>
  <c r="Y900" i="16"/>
  <c r="Y892" i="16"/>
  <c r="Y884" i="16"/>
  <c r="Y876" i="16"/>
  <c r="Y868" i="16"/>
  <c r="Y860" i="16"/>
  <c r="Y852" i="16"/>
  <c r="Y844" i="16"/>
  <c r="Y836" i="16"/>
  <c r="Y828" i="16"/>
  <c r="Y820" i="16"/>
  <c r="Y812" i="16"/>
  <c r="Y804" i="16"/>
  <c r="Y796" i="16"/>
  <c r="Y788" i="16"/>
  <c r="Y780" i="16"/>
  <c r="Y772" i="16"/>
  <c r="Y764" i="16"/>
  <c r="Y756" i="16"/>
  <c r="Y748" i="16"/>
  <c r="Y740" i="16"/>
  <c r="Y732" i="16"/>
  <c r="Y724" i="16"/>
  <c r="Y716" i="16"/>
  <c r="Y708" i="16"/>
  <c r="Y700" i="16"/>
  <c r="Y692" i="16"/>
  <c r="Y684" i="16"/>
  <c r="Y676" i="16"/>
  <c r="Y668" i="16"/>
  <c r="Y660" i="16"/>
  <c r="Y652" i="16"/>
  <c r="Y644" i="16"/>
  <c r="Y636" i="16"/>
  <c r="Y628" i="16"/>
  <c r="Y620" i="16"/>
  <c r="Y612" i="16"/>
  <c r="Y604" i="16"/>
  <c r="Y596" i="16"/>
  <c r="Y588" i="16"/>
  <c r="Y580" i="16"/>
  <c r="Y572" i="16"/>
  <c r="Y564" i="16"/>
  <c r="Y556" i="16"/>
  <c r="Y548" i="16"/>
  <c r="Y540" i="16"/>
  <c r="Y532" i="16"/>
  <c r="Y524" i="16"/>
  <c r="Y516" i="16"/>
  <c r="Y508" i="16"/>
  <c r="Y500" i="16"/>
  <c r="Y492" i="16"/>
  <c r="Y484" i="16"/>
  <c r="Y476" i="16"/>
  <c r="Y468" i="16"/>
  <c r="Y460" i="16"/>
  <c r="Y452" i="16"/>
  <c r="Y444" i="16"/>
  <c r="Y436" i="16"/>
  <c r="Y428" i="16"/>
  <c r="Y420" i="16"/>
  <c r="Y412" i="16"/>
  <c r="Y404" i="16"/>
  <c r="Y396" i="16"/>
  <c r="Y388" i="16"/>
  <c r="Y380" i="16"/>
  <c r="Y372" i="16"/>
  <c r="Y364" i="16"/>
  <c r="Y356" i="16"/>
  <c r="Y348" i="16"/>
  <c r="Y340" i="16"/>
  <c r="Y332" i="16"/>
  <c r="Y324" i="16"/>
  <c r="Y316" i="16"/>
  <c r="Y1531" i="16"/>
  <c r="Y1523" i="16"/>
  <c r="Y1515" i="16"/>
  <c r="Y1507" i="16"/>
  <c r="Y1499" i="16"/>
  <c r="Y1491" i="16"/>
  <c r="Y1483" i="16"/>
  <c r="Y1475" i="16"/>
  <c r="Y1467" i="16"/>
  <c r="Y1459" i="16"/>
  <c r="Y1451" i="16"/>
  <c r="Y1443" i="16"/>
  <c r="Y1435" i="16"/>
  <c r="Y1427" i="16"/>
  <c r="Y1419" i="16"/>
  <c r="Y1411" i="16"/>
  <c r="Y1403" i="16"/>
  <c r="Y1395" i="16"/>
  <c r="Y1387" i="16"/>
  <c r="Y1379" i="16"/>
  <c r="Y1371" i="16"/>
  <c r="Y1363" i="16"/>
  <c r="Y1355" i="16"/>
  <c r="Y1347" i="16"/>
  <c r="Y1339" i="16"/>
  <c r="Y1331" i="16"/>
  <c r="Y1323" i="16"/>
  <c r="Y1315" i="16"/>
  <c r="Y1307" i="16"/>
  <c r="Y1299" i="16"/>
  <c r="Y1291" i="16"/>
  <c r="Y1283" i="16"/>
  <c r="Y1275" i="16"/>
  <c r="Y1267" i="16"/>
  <c r="Y1259" i="16"/>
  <c r="Y1251" i="16"/>
  <c r="Y1243" i="16"/>
  <c r="Y1235" i="16"/>
  <c r="Y1227" i="16"/>
  <c r="Y1219" i="16"/>
  <c r="Y1211" i="16"/>
  <c r="Y1203" i="16"/>
  <c r="Y1195" i="16"/>
  <c r="Y1187" i="16"/>
  <c r="Y1179" i="16"/>
  <c r="Y1171" i="16"/>
  <c r="Y1163" i="16"/>
  <c r="Y1155" i="16"/>
  <c r="Y1147" i="16"/>
  <c r="Y1139" i="16"/>
  <c r="Y1131" i="16"/>
  <c r="Y1123" i="16"/>
  <c r="Y1115" i="16"/>
  <c r="Y1107" i="16"/>
  <c r="Y1099" i="16"/>
  <c r="Y1091" i="16"/>
  <c r="Y1083" i="16"/>
  <c r="Y1075" i="16"/>
  <c r="Y1067" i="16"/>
  <c r="Y1059" i="16"/>
  <c r="Y1051" i="16"/>
  <c r="Y1043" i="16"/>
  <c r="Y1035" i="16"/>
  <c r="Y1027" i="16"/>
  <c r="Y1019" i="16"/>
  <c r="Y1011" i="16"/>
  <c r="Y1003" i="16"/>
  <c r="Y995" i="16"/>
  <c r="Y987" i="16"/>
  <c r="Y979" i="16"/>
  <c r="Y971" i="16"/>
  <c r="Y963" i="16"/>
  <c r="Y955" i="16"/>
  <c r="Y947" i="16"/>
  <c r="Y939" i="16"/>
  <c r="Y931" i="16"/>
  <c r="Y923" i="16"/>
  <c r="Y915" i="16"/>
  <c r="Y907" i="16"/>
  <c r="Y899" i="16"/>
  <c r="Y891" i="16"/>
  <c r="Y883" i="16"/>
  <c r="Y875" i="16"/>
  <c r="Y867" i="16"/>
  <c r="Y859" i="16"/>
  <c r="Y851" i="16"/>
  <c r="Y843" i="16"/>
  <c r="Y835" i="16"/>
  <c r="Y827" i="16"/>
  <c r="Y819" i="16"/>
  <c r="Y811" i="16"/>
  <c r="Y803" i="16"/>
  <c r="Y795" i="16"/>
  <c r="Y787" i="16"/>
  <c r="Y779" i="16"/>
  <c r="Y771" i="16"/>
  <c r="Y763" i="16"/>
  <c r="Y755" i="16"/>
  <c r="Y747" i="16"/>
  <c r="Y739" i="16"/>
  <c r="Y731" i="16"/>
  <c r="Y723" i="16"/>
  <c r="Y715" i="16"/>
  <c r="Y707" i="16"/>
  <c r="Y1530" i="16"/>
  <c r="Y1522" i="16"/>
  <c r="Y1514" i="16"/>
  <c r="Y1506" i="16"/>
  <c r="Y1498" i="16"/>
  <c r="Y1490" i="16"/>
  <c r="Y1482" i="16"/>
  <c r="Y1474" i="16"/>
  <c r="Y1466" i="16"/>
  <c r="Y1458" i="16"/>
  <c r="Y1450" i="16"/>
  <c r="Y1442" i="16"/>
  <c r="Y1434" i="16"/>
  <c r="Y1426" i="16"/>
  <c r="Y1418" i="16"/>
  <c r="Y1410" i="16"/>
  <c r="Y1402" i="16"/>
  <c r="Y1394" i="16"/>
  <c r="Y1386" i="16"/>
  <c r="Y1378" i="16"/>
  <c r="Y1370" i="16"/>
  <c r="Y1362" i="16"/>
  <c r="Y1354" i="16"/>
  <c r="Y1346" i="16"/>
  <c r="Y1338" i="16"/>
  <c r="Y1330" i="16"/>
  <c r="Y1322" i="16"/>
  <c r="Y1314" i="16"/>
  <c r="Y1306" i="16"/>
  <c r="Y1298" i="16"/>
  <c r="Y1290" i="16"/>
  <c r="Y1282" i="16"/>
  <c r="Y1274" i="16"/>
  <c r="Y1266" i="16"/>
  <c r="Y1258" i="16"/>
  <c r="Y1250" i="16"/>
  <c r="Y1242" i="16"/>
  <c r="Y1234" i="16"/>
  <c r="Y1226" i="16"/>
  <c r="Y1218" i="16"/>
  <c r="Y1210" i="16"/>
  <c r="Y1202" i="16"/>
  <c r="Y1528" i="16"/>
  <c r="Y1520" i="16"/>
  <c r="Y1512" i="16"/>
  <c r="Y1504" i="16"/>
  <c r="Y1496" i="16"/>
  <c r="Y1488" i="16"/>
  <c r="Y1480" i="16"/>
  <c r="Y1472" i="16"/>
  <c r="Y1464" i="16"/>
  <c r="Y1456" i="16"/>
  <c r="Y1448" i="16"/>
  <c r="Y1440" i="16"/>
  <c r="Y1432" i="16"/>
  <c r="Y1424" i="16"/>
  <c r="Y1416" i="16"/>
  <c r="Y1408" i="16"/>
  <c r="Y1400" i="16"/>
  <c r="Y1392" i="16"/>
  <c r="Y1384" i="16"/>
  <c r="Y1376" i="16"/>
  <c r="Y1368" i="16"/>
  <c r="Y1360" i="16"/>
  <c r="Y1352" i="16"/>
  <c r="Y1344" i="16"/>
  <c r="Y1336" i="16"/>
  <c r="Y1328" i="16"/>
  <c r="Y1320" i="16"/>
  <c r="Y1312" i="16"/>
  <c r="Y1304" i="16"/>
  <c r="Y1296" i="16"/>
  <c r="Y1288" i="16"/>
  <c r="Y1280" i="16"/>
  <c r="Y1272" i="16"/>
  <c r="Y1264" i="16"/>
  <c r="Y1256" i="16"/>
  <c r="Y1248" i="16"/>
  <c r="Y1240" i="16"/>
  <c r="Y1232" i="16"/>
  <c r="Y1224" i="16"/>
  <c r="Y1216" i="16"/>
  <c r="Y1208" i="16"/>
  <c r="Y1200" i="16"/>
  <c r="Y1192" i="16"/>
  <c r="Y1184" i="16"/>
  <c r="Y1176" i="16"/>
  <c r="Y1168" i="16"/>
  <c r="Y1160" i="16"/>
  <c r="Y1152" i="16"/>
  <c r="Y1144" i="16"/>
  <c r="Y1136" i="16"/>
  <c r="Y1128" i="16"/>
  <c r="Y1120" i="16"/>
  <c r="Y1112" i="16"/>
  <c r="Y1104" i="16"/>
  <c r="Y1096" i="16"/>
  <c r="Y1088" i="16"/>
  <c r="Y1080" i="16"/>
  <c r="Y1072" i="16"/>
  <c r="Y1064" i="16"/>
  <c r="Y1056" i="16"/>
  <c r="Y1048" i="16"/>
  <c r="Y1040" i="16"/>
  <c r="Y1032" i="16"/>
  <c r="Y1024" i="16"/>
  <c r="Y1016" i="16"/>
  <c r="Y1008" i="16"/>
  <c r="Y1000" i="16"/>
  <c r="Y992" i="16"/>
  <c r="Y984" i="16"/>
  <c r="Y976" i="16"/>
  <c r="Y968" i="16"/>
  <c r="Y960" i="16"/>
  <c r="Y952" i="16"/>
  <c r="Y944" i="16"/>
  <c r="Y936" i="16"/>
  <c r="Y928" i="16"/>
  <c r="Y920" i="16"/>
  <c r="Y912" i="16"/>
  <c r="Y904" i="16"/>
  <c r="Y896" i="16"/>
  <c r="Y888" i="16"/>
  <c r="Y880" i="16"/>
  <c r="Y872" i="16"/>
  <c r="Y864" i="16"/>
  <c r="Y856" i="16"/>
  <c r="Y848" i="16"/>
  <c r="Y840" i="16"/>
  <c r="Y832" i="16"/>
  <c r="Y824" i="16"/>
  <c r="Y816" i="16"/>
  <c r="Y808" i="16"/>
  <c r="Y800" i="16"/>
  <c r="Y792" i="16"/>
  <c r="Y784" i="16"/>
  <c r="Y776" i="16"/>
  <c r="Y768" i="16"/>
  <c r="Y760" i="16"/>
  <c r="Y752" i="16"/>
  <c r="Y1535" i="16"/>
  <c r="Y1527" i="16"/>
  <c r="Y1519" i="16"/>
  <c r="Y1511" i="16"/>
  <c r="Y1503" i="16"/>
  <c r="Y1495" i="16"/>
  <c r="Y1487" i="16"/>
  <c r="Y1479" i="16"/>
  <c r="Y1471" i="16"/>
  <c r="Y1463" i="16"/>
  <c r="Y1455" i="16"/>
  <c r="Y1447" i="16"/>
  <c r="Y1439" i="16"/>
  <c r="Y1431" i="16"/>
  <c r="Y1423" i="16"/>
  <c r="Y1415" i="16"/>
  <c r="Y1407" i="16"/>
  <c r="Y1399" i="16"/>
  <c r="Y1391" i="16"/>
  <c r="Y1383" i="16"/>
  <c r="Y1375" i="16"/>
  <c r="Y1367" i="16"/>
  <c r="Y1359" i="16"/>
  <c r="Y1351" i="16"/>
  <c r="Y1343" i="16"/>
  <c r="Y1335" i="16"/>
  <c r="Y1327" i="16"/>
  <c r="Y1319" i="16"/>
  <c r="Y1311" i="16"/>
  <c r="Y1303" i="16"/>
  <c r="Y1295" i="16"/>
  <c r="Y1287" i="16"/>
  <c r="Y1279" i="16"/>
  <c r="Y1271" i="16"/>
  <c r="Y1263" i="16"/>
  <c r="Y1255" i="16"/>
  <c r="Y1247" i="16"/>
  <c r="Y1239" i="16"/>
  <c r="Y1231" i="16"/>
  <c r="Y1223" i="16"/>
  <c r="Y1215" i="16"/>
  <c r="Y1207" i="16"/>
  <c r="Y1199" i="16"/>
  <c r="Y1191" i="16"/>
  <c r="Y1183" i="16"/>
  <c r="Y1175" i="16"/>
  <c r="Y1167" i="16"/>
  <c r="Y1159" i="16"/>
  <c r="Y1151" i="16"/>
  <c r="Y1143" i="16"/>
  <c r="Y1135" i="16"/>
  <c r="Y1127" i="16"/>
  <c r="Y1119" i="16"/>
  <c r="Y1111" i="16"/>
  <c r="Y1103" i="16"/>
  <c r="Y1095" i="16"/>
  <c r="Y1087" i="16"/>
  <c r="Y1079" i="16"/>
  <c r="Y1071" i="16"/>
  <c r="Y1063" i="16"/>
  <c r="Y1055" i="16"/>
  <c r="Y1047" i="16"/>
  <c r="Y1039" i="16"/>
  <c r="Y1031" i="16"/>
  <c r="Y1023" i="16"/>
  <c r="Y1015" i="16"/>
  <c r="Y1007" i="16"/>
  <c r="Y999" i="16"/>
  <c r="Y991" i="16"/>
  <c r="Y983" i="16"/>
  <c r="Y975" i="16"/>
  <c r="Y967" i="16"/>
  <c r="Y959" i="16"/>
  <c r="Y951" i="16"/>
  <c r="Y943" i="16"/>
  <c r="Y935" i="16"/>
  <c r="Y927" i="16"/>
  <c r="Y919" i="16"/>
  <c r="Y10" i="16"/>
  <c r="Y18" i="16"/>
  <c r="Y26" i="16"/>
  <c r="Y34" i="16"/>
  <c r="Y42" i="16"/>
  <c r="Y50" i="16"/>
  <c r="Y58" i="16"/>
  <c r="Y66" i="16"/>
  <c r="Y74" i="16"/>
  <c r="Y82" i="16"/>
  <c r="Y90" i="16"/>
  <c r="Y98" i="16"/>
  <c r="Y106" i="16"/>
  <c r="Y114" i="16"/>
  <c r="Y122" i="16"/>
  <c r="Y130" i="16"/>
  <c r="Y138" i="16"/>
  <c r="Y146" i="16"/>
  <c r="Y154" i="16"/>
  <c r="Y162" i="16"/>
  <c r="Y170" i="16"/>
  <c r="Y178" i="16"/>
  <c r="Y186" i="16"/>
  <c r="Y194" i="16"/>
  <c r="Y202" i="16"/>
  <c r="Y210" i="16"/>
  <c r="Y218" i="16"/>
  <c r="Y226" i="16"/>
  <c r="Y234" i="16"/>
  <c r="Y242" i="16"/>
  <c r="Y250" i="16"/>
  <c r="Y258" i="16"/>
  <c r="Y266" i="16"/>
  <c r="Y274" i="16"/>
  <c r="Y282" i="16"/>
  <c r="Y290" i="16"/>
  <c r="Y298" i="16"/>
  <c r="Y306" i="16"/>
  <c r="Y314" i="16"/>
  <c r="Y323" i="16"/>
  <c r="Y333" i="16"/>
  <c r="Y342" i="16"/>
  <c r="Y351" i="16"/>
  <c r="Y360" i="16"/>
  <c r="Y369" i="16"/>
  <c r="Y378" i="16"/>
  <c r="Y387" i="16"/>
  <c r="Y397" i="16"/>
  <c r="Y406" i="16"/>
  <c r="Y415" i="16"/>
  <c r="Y424" i="16"/>
  <c r="Y433" i="16"/>
  <c r="Y442" i="16"/>
  <c r="Y451" i="16"/>
  <c r="Y461" i="16"/>
  <c r="Y470" i="16"/>
  <c r="Y479" i="16"/>
  <c r="Y488" i="16"/>
  <c r="Y497" i="16"/>
  <c r="Y506" i="16"/>
  <c r="Y515" i="16"/>
  <c r="Y525" i="16"/>
  <c r="Y534" i="16"/>
  <c r="Y543" i="16"/>
  <c r="Y552" i="16"/>
  <c r="Y561" i="16"/>
  <c r="Y570" i="16"/>
  <c r="Y579" i="16"/>
  <c r="Y589" i="16"/>
  <c r="Y598" i="16"/>
  <c r="Y607" i="16"/>
  <c r="Y616" i="16"/>
  <c r="Y625" i="16"/>
  <c r="Y634" i="16"/>
  <c r="Y643" i="16"/>
  <c r="Y653" i="16"/>
  <c r="Y662" i="16"/>
  <c r="Y671" i="16"/>
  <c r="Y680" i="16"/>
  <c r="Y689" i="16"/>
  <c r="Y698" i="16"/>
  <c r="Y709" i="16"/>
  <c r="Y719" i="16"/>
  <c r="Y729" i="16"/>
  <c r="Y741" i="16"/>
  <c r="Y751" i="16"/>
  <c r="Y765" i="16"/>
  <c r="Y777" i="16"/>
  <c r="Y790" i="16"/>
  <c r="Y802" i="16"/>
  <c r="Y818" i="16"/>
  <c r="Y834" i="16"/>
  <c r="Y850" i="16"/>
  <c r="Y866" i="16"/>
  <c r="Y882" i="16"/>
  <c r="Y898" i="16"/>
  <c r="Y914" i="16"/>
  <c r="Y937" i="16"/>
  <c r="Y957" i="16"/>
  <c r="Y978" i="16"/>
  <c r="Y1001" i="16"/>
  <c r="Y1021" i="16"/>
  <c r="Y1042" i="16"/>
  <c r="Y1065" i="16"/>
  <c r="Y1085" i="16"/>
  <c r="Y1106" i="16"/>
  <c r="Y1129" i="16"/>
  <c r="Y1149" i="16"/>
  <c r="Y1170" i="16"/>
  <c r="Y1193" i="16"/>
  <c r="Y1221" i="16"/>
  <c r="Y1253" i="16"/>
  <c r="Y1285" i="16"/>
  <c r="Y1317" i="16"/>
  <c r="Y1349" i="16"/>
  <c r="Y1381" i="16"/>
  <c r="Y1413" i="16"/>
  <c r="Y1445" i="16"/>
  <c r="Y1477" i="16"/>
  <c r="Y1509" i="16"/>
  <c r="Z6" i="16"/>
  <c r="Z38" i="16"/>
  <c r="Z74" i="16"/>
  <c r="Z138" i="16"/>
  <c r="X10" i="16"/>
  <c r="X18" i="16"/>
  <c r="X26" i="16"/>
  <c r="X34" i="16"/>
  <c r="X42" i="16"/>
  <c r="X50" i="16"/>
  <c r="X58" i="16"/>
  <c r="X66" i="16"/>
  <c r="X74" i="16"/>
  <c r="X82" i="16"/>
  <c r="X90" i="16"/>
  <c r="X98" i="16"/>
  <c r="X106" i="16"/>
  <c r="X114" i="16"/>
  <c r="X122" i="16"/>
  <c r="X130" i="16"/>
  <c r="X138" i="16"/>
  <c r="X146" i="16"/>
  <c r="X154" i="16"/>
  <c r="X162" i="16"/>
  <c r="X170" i="16"/>
  <c r="X178" i="16"/>
  <c r="X186" i="16"/>
  <c r="X194" i="16"/>
  <c r="X202" i="16"/>
  <c r="X210" i="16"/>
  <c r="X218" i="16"/>
  <c r="X226" i="16"/>
  <c r="X234" i="16"/>
  <c r="X242" i="16"/>
  <c r="X250" i="16"/>
  <c r="X258" i="16"/>
  <c r="X266" i="16"/>
  <c r="X274" i="16"/>
  <c r="X282" i="16"/>
  <c r="X290" i="16"/>
  <c r="X298" i="16"/>
  <c r="X306" i="16"/>
  <c r="X314" i="16"/>
  <c r="X322" i="16"/>
  <c r="X330" i="16"/>
  <c r="X338" i="16"/>
  <c r="X346" i="16"/>
  <c r="X354" i="16"/>
  <c r="X362" i="16"/>
  <c r="X370" i="16"/>
  <c r="X378" i="16"/>
  <c r="X386" i="16"/>
  <c r="X394" i="16"/>
  <c r="X402" i="16"/>
  <c r="X410" i="16"/>
  <c r="X418" i="16"/>
  <c r="X426" i="16"/>
  <c r="X434" i="16"/>
  <c r="X442" i="16"/>
  <c r="X450" i="16"/>
  <c r="X458" i="16"/>
  <c r="X466" i="16"/>
  <c r="X474" i="16"/>
  <c r="X482" i="16"/>
  <c r="X490" i="16"/>
  <c r="X498" i="16"/>
  <c r="X506" i="16"/>
  <c r="X514" i="16"/>
  <c r="X522" i="16"/>
  <c r="X530" i="16"/>
  <c r="X538" i="16"/>
  <c r="X546" i="16"/>
  <c r="X554" i="16"/>
  <c r="X562" i="16"/>
  <c r="X570" i="16"/>
  <c r="X578" i="16"/>
  <c r="X586" i="16"/>
  <c r="X594" i="16"/>
  <c r="X602" i="16"/>
  <c r="X610" i="16"/>
  <c r="X618" i="16"/>
  <c r="X626" i="16"/>
  <c r="X634" i="16"/>
  <c r="X642" i="16"/>
  <c r="X650" i="16"/>
  <c r="X658" i="16"/>
  <c r="X666" i="16"/>
  <c r="X674" i="16"/>
  <c r="X682" i="16"/>
  <c r="X690" i="16"/>
  <c r="X698" i="16"/>
  <c r="X706" i="16"/>
  <c r="X714" i="16"/>
  <c r="X722" i="16"/>
  <c r="X730" i="16"/>
  <c r="X738" i="16"/>
  <c r="X746" i="16"/>
  <c r="X754" i="16"/>
  <c r="X762" i="16"/>
  <c r="X770" i="16"/>
  <c r="X778" i="16"/>
  <c r="X786" i="16"/>
  <c r="X794" i="16"/>
  <c r="X802" i="16"/>
  <c r="X810" i="16"/>
  <c r="X818" i="16"/>
  <c r="X826" i="16"/>
  <c r="X834" i="16"/>
  <c r="X842" i="16"/>
  <c r="X850" i="16"/>
  <c r="X858" i="16"/>
  <c r="X866" i="16"/>
  <c r="X874" i="16"/>
  <c r="X882" i="16"/>
  <c r="X890" i="16"/>
  <c r="X898" i="16"/>
  <c r="X906" i="16"/>
  <c r="X914" i="16"/>
  <c r="X922" i="16"/>
  <c r="X930" i="16"/>
  <c r="X938" i="16"/>
  <c r="X946" i="16"/>
  <c r="X954" i="16"/>
  <c r="X962" i="16"/>
  <c r="X970" i="16"/>
  <c r="X978" i="16"/>
  <c r="X986" i="16"/>
  <c r="X994" i="16"/>
  <c r="X1002" i="16"/>
  <c r="X1010" i="16"/>
  <c r="X1018" i="16"/>
  <c r="X1026" i="16"/>
  <c r="X1034" i="16"/>
  <c r="X1042" i="16"/>
  <c r="X1050" i="16"/>
  <c r="X1058" i="16"/>
  <c r="X1066" i="16"/>
  <c r="X1074" i="16"/>
  <c r="X1082" i="16"/>
  <c r="X1090" i="16"/>
  <c r="X1098" i="16"/>
  <c r="X1106" i="16"/>
  <c r="X1114" i="16"/>
  <c r="X1122" i="16"/>
  <c r="X1130" i="16"/>
  <c r="X1138" i="16"/>
  <c r="X1146" i="16"/>
  <c r="X1154" i="16"/>
  <c r="X1162" i="16"/>
  <c r="X1170" i="16"/>
  <c r="X1178" i="16"/>
  <c r="X1186" i="16"/>
  <c r="X1194" i="16"/>
  <c r="X1202" i="16"/>
  <c r="X1210" i="16"/>
  <c r="X1218" i="16"/>
  <c r="X1226" i="16"/>
  <c r="X1234" i="16"/>
  <c r="X1242" i="16"/>
  <c r="X1250" i="16"/>
  <c r="X1258" i="16"/>
  <c r="X1266" i="16"/>
  <c r="X1274" i="16"/>
  <c r="X1282" i="16"/>
  <c r="X1290" i="16"/>
  <c r="X1298" i="16"/>
  <c r="X1306" i="16"/>
  <c r="X1314" i="16"/>
  <c r="X1322" i="16"/>
  <c r="X1330" i="16"/>
  <c r="X1338" i="16"/>
  <c r="X1346" i="16"/>
  <c r="X1354" i="16"/>
  <c r="X1362" i="16"/>
  <c r="X1370" i="16"/>
  <c r="X1378" i="16"/>
  <c r="X1386" i="16"/>
  <c r="X1394" i="16"/>
  <c r="X1402" i="16"/>
  <c r="X1410" i="16"/>
  <c r="X1418" i="16"/>
  <c r="X1426" i="16"/>
  <c r="X1434" i="16"/>
  <c r="X1442" i="16"/>
  <c r="X1450" i="16"/>
  <c r="X1458" i="16"/>
  <c r="X1466" i="16"/>
  <c r="X1474" i="16"/>
  <c r="X1482" i="16"/>
  <c r="X1490" i="16"/>
  <c r="X1498" i="16"/>
  <c r="X1506" i="16"/>
  <c r="X1514" i="16"/>
  <c r="X1522" i="16"/>
  <c r="Y3" i="16"/>
  <c r="Y11" i="16"/>
  <c r="Y19" i="16"/>
  <c r="Y27" i="16"/>
  <c r="Y35" i="16"/>
  <c r="Y43" i="16"/>
  <c r="Y51" i="16"/>
  <c r="Y59" i="16"/>
  <c r="Y67" i="16"/>
  <c r="Y75" i="16"/>
  <c r="Y83" i="16"/>
  <c r="Y91" i="16"/>
  <c r="Y99" i="16"/>
  <c r="Y107" i="16"/>
  <c r="Y115" i="16"/>
  <c r="Y123" i="16"/>
  <c r="Y131" i="16"/>
  <c r="Y139" i="16"/>
  <c r="Y147" i="16"/>
  <c r="Y155" i="16"/>
  <c r="Y163" i="16"/>
  <c r="Y171" i="16"/>
  <c r="Y179" i="16"/>
  <c r="Y187" i="16"/>
  <c r="Y195" i="16"/>
  <c r="Y203" i="16"/>
  <c r="Y211" i="16"/>
  <c r="Y219" i="16"/>
  <c r="Y227" i="16"/>
  <c r="Y235" i="16"/>
  <c r="Y243" i="16"/>
  <c r="Y251" i="16"/>
  <c r="Y259" i="16"/>
  <c r="Y267" i="16"/>
  <c r="Y275" i="16"/>
  <c r="Y283" i="16"/>
  <c r="Y291" i="16"/>
  <c r="Y299" i="16"/>
  <c r="Y307" i="16"/>
  <c r="Y315" i="16"/>
  <c r="Y325" i="16"/>
  <c r="Y334" i="16"/>
  <c r="Y343" i="16"/>
  <c r="Y352" i="16"/>
  <c r="Y361" i="16"/>
  <c r="Y370" i="16"/>
  <c r="Y379" i="16"/>
  <c r="Y389" i="16"/>
  <c r="Y398" i="16"/>
  <c r="Y407" i="16"/>
  <c r="Y416" i="16"/>
  <c r="Y425" i="16"/>
  <c r="Y434" i="16"/>
  <c r="Y443" i="16"/>
  <c r="Y453" i="16"/>
  <c r="Y462" i="16"/>
  <c r="Y471" i="16"/>
  <c r="Y480" i="16"/>
  <c r="Y489" i="16"/>
  <c r="Y498" i="16"/>
  <c r="Y507" i="16"/>
  <c r="Y517" i="16"/>
  <c r="Y526" i="16"/>
  <c r="Y535" i="16"/>
  <c r="Y544" i="16"/>
  <c r="Y553" i="16"/>
  <c r="Y562" i="16"/>
  <c r="Y571" i="16"/>
  <c r="Y581" i="16"/>
  <c r="Y590" i="16"/>
  <c r="Y599" i="16"/>
  <c r="Y608" i="16"/>
  <c r="Y617" i="16"/>
  <c r="Y626" i="16"/>
  <c r="Y635" i="16"/>
  <c r="Y645" i="16"/>
  <c r="Y654" i="16"/>
  <c r="Y663" i="16"/>
  <c r="Y672" i="16"/>
  <c r="Y681" i="16"/>
  <c r="Y690" i="16"/>
  <c r="Y699" i="16"/>
  <c r="Y710" i="16"/>
  <c r="Y720" i="16"/>
  <c r="Y730" i="16"/>
  <c r="Y742" i="16"/>
  <c r="Y753" i="16"/>
  <c r="Y766" i="16"/>
  <c r="Y778" i="16"/>
  <c r="Y791" i="16"/>
  <c r="Y805" i="16"/>
  <c r="Y821" i="16"/>
  <c r="Y837" i="16"/>
  <c r="Y853" i="16"/>
  <c r="Y869" i="16"/>
  <c r="Y885" i="16"/>
  <c r="Y901" i="16"/>
  <c r="Y917" i="16"/>
  <c r="Y938" i="16"/>
  <c r="Y961" i="16"/>
  <c r="Y981" i="16"/>
  <c r="Y1002" i="16"/>
  <c r="Y1025" i="16"/>
  <c r="Y1045" i="16"/>
  <c r="Y1066" i="16"/>
  <c r="Y1089" i="16"/>
  <c r="Y1109" i="16"/>
  <c r="Y1130" i="16"/>
  <c r="Y1153" i="16"/>
  <c r="Y1173" i="16"/>
  <c r="Y1194" i="16"/>
  <c r="Y1225" i="16"/>
  <c r="Y1257" i="16"/>
  <c r="Y1289" i="16"/>
  <c r="Y1321" i="16"/>
  <c r="Y1353" i="16"/>
  <c r="Y1385" i="16"/>
  <c r="Y1417" i="16"/>
  <c r="Y1449" i="16"/>
  <c r="Y1481" i="16"/>
  <c r="Y1513" i="16"/>
  <c r="Z10" i="16"/>
  <c r="Z42" i="16"/>
  <c r="Z82" i="16"/>
  <c r="Z146" i="16"/>
  <c r="AB10" i="16"/>
  <c r="AB24" i="16"/>
  <c r="AB42" i="16"/>
  <c r="AB60" i="16"/>
  <c r="AB75" i="16"/>
  <c r="AB93" i="16"/>
  <c r="AB108" i="16"/>
  <c r="AB128" i="16"/>
  <c r="AB146" i="16"/>
  <c r="AB161" i="16"/>
  <c r="AB179" i="16"/>
  <c r="AB194" i="16"/>
  <c r="AB212" i="16"/>
  <c r="AB232" i="16"/>
  <c r="AB245" i="16"/>
  <c r="AB265" i="16"/>
  <c r="AB280" i="16"/>
  <c r="AB301" i="16"/>
  <c r="AB322" i="16"/>
  <c r="AB339" i="16"/>
  <c r="AB359" i="16"/>
  <c r="AB376" i="16"/>
  <c r="AB399" i="16"/>
  <c r="AB420" i="16"/>
  <c r="AB437" i="16"/>
  <c r="AB458" i="16"/>
  <c r="AB476" i="16"/>
  <c r="AB502" i="16"/>
  <c r="AB528" i="16"/>
  <c r="AB548" i="16"/>
  <c r="AB574" i="16"/>
  <c r="AB594" i="16"/>
  <c r="AB620" i="16"/>
  <c r="AB643" i="16"/>
  <c r="AB666" i="16"/>
  <c r="AB688" i="16"/>
  <c r="AB711" i="16"/>
  <c r="AB734" i="16"/>
  <c r="AB760" i="16"/>
  <c r="AB782" i="16"/>
  <c r="AB814" i="16"/>
  <c r="AB843" i="16"/>
  <c r="AB883" i="16"/>
  <c r="AB923" i="16"/>
  <c r="AB960" i="16"/>
  <c r="AB1003" i="16"/>
  <c r="AB1038" i="16"/>
  <c r="AB1086" i="16"/>
  <c r="AB1128" i="16"/>
  <c r="AB1164" i="16"/>
  <c r="AB1208" i="16"/>
  <c r="AB1243" i="16"/>
  <c r="AB1307" i="16"/>
  <c r="AB1390" i="16"/>
  <c r="AB1447" i="16"/>
  <c r="AB11" i="16"/>
  <c r="AB28" i="16"/>
  <c r="AB43" i="16"/>
  <c r="AB61" i="16"/>
  <c r="AB76" i="16"/>
  <c r="AB96" i="16"/>
  <c r="AB114" i="16"/>
  <c r="AB129" i="16"/>
  <c r="AB147" i="16"/>
  <c r="AB162" i="16"/>
  <c r="AB180" i="16"/>
  <c r="AB200" i="16"/>
  <c r="AB213" i="16"/>
  <c r="AB233" i="16"/>
  <c r="AB248" i="16"/>
  <c r="AB266" i="16"/>
  <c r="AB285" i="16"/>
  <c r="AB302" i="16"/>
  <c r="AB323" i="16"/>
  <c r="AB340" i="16"/>
  <c r="AB363" i="16"/>
  <c r="AB383" i="16"/>
  <c r="AB400" i="16"/>
  <c r="AB421" i="16"/>
  <c r="AB438" i="16"/>
  <c r="AB459" i="16"/>
  <c r="AB484" i="16"/>
  <c r="AB503" i="16"/>
  <c r="AB530" i="16"/>
  <c r="AB549" i="16"/>
  <c r="AB575" i="16"/>
  <c r="AB602" i="16"/>
  <c r="AB621" i="16"/>
  <c r="AB647" i="16"/>
  <c r="AB667" i="16"/>
  <c r="AB693" i="16"/>
  <c r="AB716" i="16"/>
  <c r="AB739" i="16"/>
  <c r="AB762" i="16"/>
  <c r="AB787" i="16"/>
  <c r="AB819" i="16"/>
  <c r="AB854" i="16"/>
  <c r="AB884" i="16"/>
  <c r="AB926" i="16"/>
  <c r="AB962" i="16"/>
  <c r="AB1010" i="16"/>
  <c r="AB1051" i="16"/>
  <c r="AB1088" i="16"/>
  <c r="AB1131" i="16"/>
  <c r="AB1166" i="16"/>
  <c r="AB1214" i="16"/>
  <c r="AB1266" i="16"/>
  <c r="AB1308" i="16"/>
  <c r="AB1391" i="16"/>
  <c r="AB1463" i="16"/>
  <c r="AB12" i="16"/>
  <c r="AB29" i="16"/>
  <c r="AB44" i="16"/>
  <c r="AB64" i="16"/>
  <c r="AB82" i="16"/>
  <c r="AB97" i="16"/>
  <c r="AB115" i="16"/>
  <c r="AB130" i="16"/>
  <c r="AB148" i="16"/>
  <c r="AB168" i="16"/>
  <c r="AB181" i="16"/>
  <c r="AB201" i="16"/>
  <c r="AB216" i="16"/>
  <c r="AB234" i="16"/>
  <c r="AB252" i="16"/>
  <c r="AB267" i="16"/>
  <c r="AB286" i="16"/>
  <c r="AB303" i="16"/>
  <c r="AB326" i="16"/>
  <c r="AB347" i="16"/>
  <c r="AB364" i="16"/>
  <c r="AB384" i="16"/>
  <c r="AB402" i="16"/>
  <c r="AB422" i="16"/>
  <c r="AB445" i="16"/>
  <c r="AB460" i="16"/>
  <c r="AB485" i="16"/>
  <c r="AB504" i="16"/>
  <c r="AB531" i="16"/>
  <c r="AB557" i="16"/>
  <c r="AB576" i="16"/>
  <c r="AB603" i="16"/>
  <c r="AB622" i="16"/>
  <c r="AB648" i="16"/>
  <c r="AB675" i="16"/>
  <c r="AB694" i="16"/>
  <c r="AB720" i="16"/>
  <c r="AB740" i="16"/>
  <c r="AB766" i="16"/>
  <c r="AB792" i="16"/>
  <c r="AB820" i="16"/>
  <c r="AB856" i="16"/>
  <c r="AB886" i="16"/>
  <c r="AB932" i="16"/>
  <c r="AB974" i="16"/>
  <c r="AB1011" i="16"/>
  <c r="AB1054" i="16"/>
  <c r="AB1090" i="16"/>
  <c r="AB1138" i="16"/>
  <c r="AB1179" i="16"/>
  <c r="AB1216" i="16"/>
  <c r="AB1267" i="16"/>
  <c r="AB1322" i="16"/>
  <c r="AB1393" i="16"/>
  <c r="AB1483" i="16"/>
  <c r="AB2" i="16"/>
  <c r="AB13" i="16"/>
  <c r="AB32" i="16"/>
  <c r="AB50" i="16"/>
  <c r="AB65" i="16"/>
  <c r="AB83" i="16"/>
  <c r="AB98" i="16"/>
  <c r="AB116" i="16"/>
  <c r="AB136" i="16"/>
  <c r="AB149" i="16"/>
  <c r="AB169" i="16"/>
  <c r="AB184" i="16"/>
  <c r="AB202" i="16"/>
  <c r="AB220" i="16"/>
  <c r="AB235" i="16"/>
  <c r="AB253" i="16"/>
  <c r="AB268" i="16"/>
  <c r="AB290" i="16"/>
  <c r="AB310" i="16"/>
  <c r="AB327" i="16"/>
  <c r="AB348" i="16"/>
  <c r="AB365" i="16"/>
  <c r="AB386" i="16"/>
  <c r="AB408" i="16"/>
  <c r="AB423" i="16"/>
  <c r="AB446" i="16"/>
  <c r="AB463" i="16"/>
  <c r="AB486" i="16"/>
  <c r="AB512" i="16"/>
  <c r="AB532" i="16"/>
  <c r="AB558" i="16"/>
  <c r="AB578" i="16"/>
  <c r="AB604" i="16"/>
  <c r="AB630" i="16"/>
  <c r="AB650" i="16"/>
  <c r="AB676" i="16"/>
  <c r="AB695" i="16"/>
  <c r="AB722" i="16"/>
  <c r="AB748" i="16"/>
  <c r="AB767" i="16"/>
  <c r="AB798" i="16"/>
  <c r="AB822" i="16"/>
  <c r="AB862" i="16"/>
  <c r="AB898" i="16"/>
  <c r="AB934" i="16"/>
  <c r="AB978" i="16"/>
  <c r="AB1012" i="16"/>
  <c r="AB1060" i="16"/>
  <c r="AB1102" i="16"/>
  <c r="AB1139" i="16"/>
  <c r="AB1182" i="16"/>
  <c r="AB1218" i="16"/>
  <c r="AB1268" i="16"/>
  <c r="AB1339" i="16"/>
  <c r="AB1409" i="16"/>
  <c r="AB1528" i="16"/>
  <c r="AB1520" i="16"/>
  <c r="AB1512" i="16"/>
  <c r="AB1504" i="16"/>
  <c r="AB1496" i="16"/>
  <c r="AB1488" i="16"/>
  <c r="AB1480" i="16"/>
  <c r="AB1472" i="16"/>
  <c r="AB1464" i="16"/>
  <c r="AB1456" i="16"/>
  <c r="AB1448" i="16"/>
  <c r="AB1440" i="16"/>
  <c r="AB1432" i="16"/>
  <c r="AB1424" i="16"/>
  <c r="AB1416" i="16"/>
  <c r="AB1408" i="16"/>
  <c r="AB1400" i="16"/>
  <c r="AB1392" i="16"/>
  <c r="AB1384" i="16"/>
  <c r="AB1376" i="16"/>
  <c r="AB1368" i="16"/>
  <c r="AB1360" i="16"/>
  <c r="AB1535" i="16"/>
  <c r="AB1526" i="16"/>
  <c r="AB1517" i="16"/>
  <c r="AB1508" i="16"/>
  <c r="AB1499" i="16"/>
  <c r="AB1490" i="16"/>
  <c r="AB1481" i="16"/>
  <c r="AB1471" i="16"/>
  <c r="AB1462" i="16"/>
  <c r="AB1453" i="16"/>
  <c r="AB1444" i="16"/>
  <c r="AB1435" i="16"/>
  <c r="AB1426" i="16"/>
  <c r="AB1417" i="16"/>
  <c r="AB1407" i="16"/>
  <c r="AB1398" i="16"/>
  <c r="AB1389" i="16"/>
  <c r="AB1380" i="16"/>
  <c r="AB1371" i="16"/>
  <c r="AB1362" i="16"/>
  <c r="AB1353" i="16"/>
  <c r="AB1345" i="16"/>
  <c r="AB1337" i="16"/>
  <c r="AB1329" i="16"/>
  <c r="AB1321" i="16"/>
  <c r="AB1313" i="16"/>
  <c r="AB1305" i="16"/>
  <c r="AB1297" i="16"/>
  <c r="AB1289" i="16"/>
  <c r="AB1281" i="16"/>
  <c r="AB1273" i="16"/>
  <c r="AB1265" i="16"/>
  <c r="AB1257" i="16"/>
  <c r="AB1249" i="16"/>
  <c r="AB1241" i="16"/>
  <c r="AB1233" i="16"/>
  <c r="AB1225" i="16"/>
  <c r="AB1217" i="16"/>
  <c r="AB1209" i="16"/>
  <c r="AB1201" i="16"/>
  <c r="AB1193" i="16"/>
  <c r="AB1185" i="16"/>
  <c r="AB1177" i="16"/>
  <c r="AB1169" i="16"/>
  <c r="AB1161" i="16"/>
  <c r="AB1153" i="16"/>
  <c r="AB1145" i="16"/>
  <c r="AB1137" i="16"/>
  <c r="AB1129" i="16"/>
  <c r="AB1121" i="16"/>
  <c r="AB1113" i="16"/>
  <c r="AB1105" i="16"/>
  <c r="AB1097" i="16"/>
  <c r="AB1089" i="16"/>
  <c r="AB1081" i="16"/>
  <c r="AB1073" i="16"/>
  <c r="AB1065" i="16"/>
  <c r="AB1057" i="16"/>
  <c r="AB1049" i="16"/>
  <c r="AB1041" i="16"/>
  <c r="AB1033" i="16"/>
  <c r="AB1025" i="16"/>
  <c r="AB1017" i="16"/>
  <c r="AB1009" i="16"/>
  <c r="AB1001" i="16"/>
  <c r="AB993" i="16"/>
  <c r="AB985" i="16"/>
  <c r="AB977" i="16"/>
  <c r="AB969" i="16"/>
  <c r="AB961" i="16"/>
  <c r="AB953" i="16"/>
  <c r="AB945" i="16"/>
  <c r="AB937" i="16"/>
  <c r="AB929" i="16"/>
  <c r="AB921" i="16"/>
  <c r="AB913" i="16"/>
  <c r="AB905" i="16"/>
  <c r="AB897" i="16"/>
  <c r="AB889" i="16"/>
  <c r="AB881" i="16"/>
  <c r="AB873" i="16"/>
  <c r="AB865" i="16"/>
  <c r="AB857" i="16"/>
  <c r="AB849" i="16"/>
  <c r="AB841" i="16"/>
  <c r="AB833" i="16"/>
  <c r="AB825" i="16"/>
  <c r="AB817" i="16"/>
  <c r="AB809" i="16"/>
  <c r="AB801" i="16"/>
  <c r="AB793" i="16"/>
  <c r="AB785" i="16"/>
  <c r="AB777" i="16"/>
  <c r="AB769" i="16"/>
  <c r="AB761" i="16"/>
  <c r="AB753" i="16"/>
  <c r="AB745" i="16"/>
  <c r="AB737" i="16"/>
  <c r="AB729" i="16"/>
  <c r="AB721" i="16"/>
  <c r="AB713" i="16"/>
  <c r="AB705" i="16"/>
  <c r="AB697" i="16"/>
  <c r="AB689" i="16"/>
  <c r="AB681" i="16"/>
  <c r="AB673" i="16"/>
  <c r="AB665" i="16"/>
  <c r="AB657" i="16"/>
  <c r="AB649" i="16"/>
  <c r="AB641" i="16"/>
  <c r="AB633" i="16"/>
  <c r="AB625" i="16"/>
  <c r="AB617" i="16"/>
  <c r="AB609" i="16"/>
  <c r="AB601" i="16"/>
  <c r="AB593" i="16"/>
  <c r="AB585" i="16"/>
  <c r="AB577" i="16"/>
  <c r="AB569" i="16"/>
  <c r="AB561" i="16"/>
  <c r="AB553" i="16"/>
  <c r="AB545" i="16"/>
  <c r="AB537" i="16"/>
  <c r="AB529" i="16"/>
  <c r="AB521" i="16"/>
  <c r="AB513" i="16"/>
  <c r="AB505" i="16"/>
  <c r="AB497" i="16"/>
  <c r="AB489" i="16"/>
  <c r="AB481" i="16"/>
  <c r="AB473" i="16"/>
  <c r="AB465" i="16"/>
  <c r="AB457" i="16"/>
  <c r="AB449" i="16"/>
  <c r="AB441" i="16"/>
  <c r="AB433" i="16"/>
  <c r="AB425" i="16"/>
  <c r="AB417" i="16"/>
  <c r="AB409" i="16"/>
  <c r="AB401" i="16"/>
  <c r="AB393" i="16"/>
  <c r="AB385" i="16"/>
  <c r="AB377" i="16"/>
  <c r="AB369" i="16"/>
  <c r="AB361" i="16"/>
  <c r="AB353" i="16"/>
  <c r="AB345" i="16"/>
  <c r="AB337" i="16"/>
  <c r="AB329" i="16"/>
  <c r="AB321" i="16"/>
  <c r="AB313" i="16"/>
  <c r="AB305" i="16"/>
  <c r="AB297" i="16"/>
  <c r="AB289" i="16"/>
  <c r="AB281" i="16"/>
  <c r="AB1534" i="16"/>
  <c r="AB1525" i="16"/>
  <c r="AB1516" i="16"/>
  <c r="AB1507" i="16"/>
  <c r="AB1498" i="16"/>
  <c r="AB1489" i="16"/>
  <c r="AB1479" i="16"/>
  <c r="AB1470" i="16"/>
  <c r="AB1461" i="16"/>
  <c r="AB1452" i="16"/>
  <c r="AB1443" i="16"/>
  <c r="AB1434" i="16"/>
  <c r="AB1425" i="16"/>
  <c r="AB1415" i="16"/>
  <c r="AB1406" i="16"/>
  <c r="AB1397" i="16"/>
  <c r="AB1388" i="16"/>
  <c r="AB1379" i="16"/>
  <c r="AB1370" i="16"/>
  <c r="AB1361" i="16"/>
  <c r="AB1352" i="16"/>
  <c r="AB1344" i="16"/>
  <c r="AB1336" i="16"/>
  <c r="AB1328" i="16"/>
  <c r="AB1320" i="16"/>
  <c r="AB1312" i="16"/>
  <c r="AB1304" i="16"/>
  <c r="AB1533" i="16"/>
  <c r="AB1524" i="16"/>
  <c r="AB1515" i="16"/>
  <c r="AB1506" i="16"/>
  <c r="AB1497" i="16"/>
  <c r="AB1487" i="16"/>
  <c r="AB1478" i="16"/>
  <c r="AB1469" i="16"/>
  <c r="AB1460" i="16"/>
  <c r="AB1451" i="16"/>
  <c r="AB1442" i="16"/>
  <c r="AB1433" i="16"/>
  <c r="AB1423" i="16"/>
  <c r="AB1414" i="16"/>
  <c r="AB1405" i="16"/>
  <c r="AB1396" i="16"/>
  <c r="AB1387" i="16"/>
  <c r="AB1378" i="16"/>
  <c r="AB1369" i="16"/>
  <c r="AB1359" i="16"/>
  <c r="AB1351" i="16"/>
  <c r="AB1343" i="16"/>
  <c r="AB1335" i="16"/>
  <c r="AB1327" i="16"/>
  <c r="AB1319" i="16"/>
  <c r="AB1311" i="16"/>
  <c r="AB1303" i="16"/>
  <c r="AB1295" i="16"/>
  <c r="AB1287" i="16"/>
  <c r="AB1279" i="16"/>
  <c r="AB1271" i="16"/>
  <c r="AB1263" i="16"/>
  <c r="AB1255" i="16"/>
  <c r="AB1247" i="16"/>
  <c r="AB1239" i="16"/>
  <c r="AB1231" i="16"/>
  <c r="AB1223" i="16"/>
  <c r="AB1215" i="16"/>
  <c r="AB1207" i="16"/>
  <c r="AB1199" i="16"/>
  <c r="AB1191" i="16"/>
  <c r="AB1183" i="16"/>
  <c r="AB1175" i="16"/>
  <c r="AB1167" i="16"/>
  <c r="AB1159" i="16"/>
  <c r="AB1151" i="16"/>
  <c r="AB1143" i="16"/>
  <c r="AB1135" i="16"/>
  <c r="AB1127" i="16"/>
  <c r="AB1119" i="16"/>
  <c r="AB1111" i="16"/>
  <c r="AB1103" i="16"/>
  <c r="AB1095" i="16"/>
  <c r="AB1087" i="16"/>
  <c r="AB1079" i="16"/>
  <c r="AB1071" i="16"/>
  <c r="AB1063" i="16"/>
  <c r="AB1055" i="16"/>
  <c r="AB1047" i="16"/>
  <c r="AB1039" i="16"/>
  <c r="AB1031" i="16"/>
  <c r="AB1023" i="16"/>
  <c r="AB1015" i="16"/>
  <c r="AB1007" i="16"/>
  <c r="AB999" i="16"/>
  <c r="AB991" i="16"/>
  <c r="AB983" i="16"/>
  <c r="AB975" i="16"/>
  <c r="AB967" i="16"/>
  <c r="AB959" i="16"/>
  <c r="AB951" i="16"/>
  <c r="AB943" i="16"/>
  <c r="AB935" i="16"/>
  <c r="AB927" i="16"/>
  <c r="AB919" i="16"/>
  <c r="AB911" i="16"/>
  <c r="AB903" i="16"/>
  <c r="AB895" i="16"/>
  <c r="AB1531" i="16"/>
  <c r="AB1522" i="16"/>
  <c r="AB1513" i="16"/>
  <c r="AB1503" i="16"/>
  <c r="AB1494" i="16"/>
  <c r="AB1485" i="16"/>
  <c r="AB1476" i="16"/>
  <c r="AB1467" i="16"/>
  <c r="AB1458" i="16"/>
  <c r="AB1449" i="16"/>
  <c r="AB1439" i="16"/>
  <c r="AB1430" i="16"/>
  <c r="AB1421" i="16"/>
  <c r="AB1412" i="16"/>
  <c r="AB1403" i="16"/>
  <c r="AB1394" i="16"/>
  <c r="AB1385" i="16"/>
  <c r="AB1375" i="16"/>
  <c r="AB1366" i="16"/>
  <c r="AB1357" i="16"/>
  <c r="AB1349" i="16"/>
  <c r="AB1341" i="16"/>
  <c r="AB1333" i="16"/>
  <c r="AB1325" i="16"/>
  <c r="AB1317" i="16"/>
  <c r="AB1309" i="16"/>
  <c r="AB1301" i="16"/>
  <c r="AB1293" i="16"/>
  <c r="AB1285" i="16"/>
  <c r="AB1277" i="16"/>
  <c r="AB1269" i="16"/>
  <c r="AB1261" i="16"/>
  <c r="AB1253" i="16"/>
  <c r="AB1245" i="16"/>
  <c r="AB1237" i="16"/>
  <c r="AB1229" i="16"/>
  <c r="AB1221" i="16"/>
  <c r="AB1213" i="16"/>
  <c r="AB1205" i="16"/>
  <c r="AB1197" i="16"/>
  <c r="AB1189" i="16"/>
  <c r="AB1181" i="16"/>
  <c r="AB1173" i="16"/>
  <c r="AB1165" i="16"/>
  <c r="AB1157" i="16"/>
  <c r="AB1149" i="16"/>
  <c r="AB1141" i="16"/>
  <c r="AB1133" i="16"/>
  <c r="AB1125" i="16"/>
  <c r="AB1117" i="16"/>
  <c r="AB1109" i="16"/>
  <c r="AB1101" i="16"/>
  <c r="AB1093" i="16"/>
  <c r="AB1085" i="16"/>
  <c r="AB1077" i="16"/>
  <c r="AB1069" i="16"/>
  <c r="AB1061" i="16"/>
  <c r="AB1053" i="16"/>
  <c r="AB1045" i="16"/>
  <c r="AB1037" i="16"/>
  <c r="AB1029" i="16"/>
  <c r="AB1021" i="16"/>
  <c r="AB1013" i="16"/>
  <c r="AB1005" i="16"/>
  <c r="AB997" i="16"/>
  <c r="AB989" i="16"/>
  <c r="AB981" i="16"/>
  <c r="AB973" i="16"/>
  <c r="AB965" i="16"/>
  <c r="AB957" i="16"/>
  <c r="AB949" i="16"/>
  <c r="AB941" i="16"/>
  <c r="AB933" i="16"/>
  <c r="AB925" i="16"/>
  <c r="AB917" i="16"/>
  <c r="AB909" i="16"/>
  <c r="AB901" i="16"/>
  <c r="AB893" i="16"/>
  <c r="AB885" i="16"/>
  <c r="AB877" i="16"/>
  <c r="AB869" i="16"/>
  <c r="AB861" i="16"/>
  <c r="AB853" i="16"/>
  <c r="AB845" i="16"/>
  <c r="AB837" i="16"/>
  <c r="AB829" i="16"/>
  <c r="AB821" i="16"/>
  <c r="AB813" i="16"/>
  <c r="AB805" i="16"/>
  <c r="AB797" i="16"/>
  <c r="AB789" i="16"/>
  <c r="AB781" i="16"/>
  <c r="AB773" i="16"/>
  <c r="AB1532" i="16"/>
  <c r="AB1514" i="16"/>
  <c r="AB1495" i="16"/>
  <c r="AB1477" i="16"/>
  <c r="AB1459" i="16"/>
  <c r="AB1441" i="16"/>
  <c r="AB1422" i="16"/>
  <c r="AB1404" i="16"/>
  <c r="AB1386" i="16"/>
  <c r="AB1367" i="16"/>
  <c r="AB1350" i="16"/>
  <c r="AB1334" i="16"/>
  <c r="AB1318" i="16"/>
  <c r="AB1302" i="16"/>
  <c r="AB1290" i="16"/>
  <c r="AB1276" i="16"/>
  <c r="AB1264" i="16"/>
  <c r="AB1251" i="16"/>
  <c r="AB1238" i="16"/>
  <c r="AB1226" i="16"/>
  <c r="AB1212" i="16"/>
  <c r="AB1200" i="16"/>
  <c r="AB1187" i="16"/>
  <c r="AB1174" i="16"/>
  <c r="AB1162" i="16"/>
  <c r="AB1148" i="16"/>
  <c r="AB1136" i="16"/>
  <c r="AB1123" i="16"/>
  <c r="AB1110" i="16"/>
  <c r="AB1098" i="16"/>
  <c r="AB1084" i="16"/>
  <c r="AB1072" i="16"/>
  <c r="AB1059" i="16"/>
  <c r="AB1046" i="16"/>
  <c r="AB1034" i="16"/>
  <c r="AB1020" i="16"/>
  <c r="AB1008" i="16"/>
  <c r="AB995" i="16"/>
  <c r="AB982" i="16"/>
  <c r="AB970" i="16"/>
  <c r="AB956" i="16"/>
  <c r="AB944" i="16"/>
  <c r="AB931" i="16"/>
  <c r="AB918" i="16"/>
  <c r="AB906" i="16"/>
  <c r="AB892" i="16"/>
  <c r="AB882" i="16"/>
  <c r="AB871" i="16"/>
  <c r="AB860" i="16"/>
  <c r="AB850" i="16"/>
  <c r="AB839" i="16"/>
  <c r="AB828" i="16"/>
  <c r="AB818" i="16"/>
  <c r="AB807" i="16"/>
  <c r="AB796" i="16"/>
  <c r="AB786" i="16"/>
  <c r="AB775" i="16"/>
  <c r="AB765" i="16"/>
  <c r="AB756" i="16"/>
  <c r="AB747" i="16"/>
  <c r="AB738" i="16"/>
  <c r="AB728" i="16"/>
  <c r="AB719" i="16"/>
  <c r="AB710" i="16"/>
  <c r="AB701" i="16"/>
  <c r="AB692" i="16"/>
  <c r="AB683" i="16"/>
  <c r="AB674" i="16"/>
  <c r="AB664" i="16"/>
  <c r="AB655" i="16"/>
  <c r="AB646" i="16"/>
  <c r="AB637" i="16"/>
  <c r="AB628" i="16"/>
  <c r="AB619" i="16"/>
  <c r="AB610" i="16"/>
  <c r="AB600" i="16"/>
  <c r="AB591" i="16"/>
  <c r="AB582" i="16"/>
  <c r="AB573" i="16"/>
  <c r="AB564" i="16"/>
  <c r="AB555" i="16"/>
  <c r="AB546" i="16"/>
  <c r="AB536" i="16"/>
  <c r="AB527" i="16"/>
  <c r="AB518" i="16"/>
  <c r="AB509" i="16"/>
  <c r="AB500" i="16"/>
  <c r="AB491" i="16"/>
  <c r="AB482" i="16"/>
  <c r="AB472" i="16"/>
  <c r="AB1530" i="16"/>
  <c r="AB1511" i="16"/>
  <c r="AB1493" i="16"/>
  <c r="AB1475" i="16"/>
  <c r="AB1457" i="16"/>
  <c r="AB1438" i="16"/>
  <c r="AB1420" i="16"/>
  <c r="AB1402" i="16"/>
  <c r="AB1383" i="16"/>
  <c r="AB1365" i="16"/>
  <c r="AB1348" i="16"/>
  <c r="AB1332" i="16"/>
  <c r="AB1316" i="16"/>
  <c r="AB1300" i="16"/>
  <c r="AB1288" i="16"/>
  <c r="AB1275" i="16"/>
  <c r="AB1262" i="16"/>
  <c r="AB1250" i="16"/>
  <c r="AB1236" i="16"/>
  <c r="AB1224" i="16"/>
  <c r="AB1211" i="16"/>
  <c r="AB1198" i="16"/>
  <c r="AB1186" i="16"/>
  <c r="AB1172" i="16"/>
  <c r="AB1160" i="16"/>
  <c r="AB1147" i="16"/>
  <c r="AB1134" i="16"/>
  <c r="AB1122" i="16"/>
  <c r="AB1108" i="16"/>
  <c r="AB1096" i="16"/>
  <c r="AB1083" i="16"/>
  <c r="AB1070" i="16"/>
  <c r="AB1058" i="16"/>
  <c r="AB1044" i="16"/>
  <c r="AB1032" i="16"/>
  <c r="AB1019" i="16"/>
  <c r="AB1006" i="16"/>
  <c r="AB994" i="16"/>
  <c r="AB980" i="16"/>
  <c r="AB968" i="16"/>
  <c r="AB955" i="16"/>
  <c r="AB942" i="16"/>
  <c r="AB930" i="16"/>
  <c r="AB916" i="16"/>
  <c r="AB904" i="16"/>
  <c r="AB891" i="16"/>
  <c r="AB880" i="16"/>
  <c r="AB870" i="16"/>
  <c r="AB859" i="16"/>
  <c r="AB848" i="16"/>
  <c r="AB838" i="16"/>
  <c r="AB827" i="16"/>
  <c r="AB816" i="16"/>
  <c r="AB806" i="16"/>
  <c r="AB795" i="16"/>
  <c r="AB784" i="16"/>
  <c r="AB774" i="16"/>
  <c r="AB764" i="16"/>
  <c r="AB755" i="16"/>
  <c r="AB746" i="16"/>
  <c r="AB736" i="16"/>
  <c r="AB727" i="16"/>
  <c r="AB718" i="16"/>
  <c r="AB709" i="16"/>
  <c r="AB700" i="16"/>
  <c r="AB691" i="16"/>
  <c r="AB682" i="16"/>
  <c r="AB672" i="16"/>
  <c r="AB663" i="16"/>
  <c r="AB654" i="16"/>
  <c r="AB645" i="16"/>
  <c r="AB636" i="16"/>
  <c r="AB627" i="16"/>
  <c r="AB618" i="16"/>
  <c r="AB608" i="16"/>
  <c r="AB599" i="16"/>
  <c r="AB590" i="16"/>
  <c r="AB581" i="16"/>
  <c r="AB572" i="16"/>
  <c r="AB563" i="16"/>
  <c r="AB554" i="16"/>
  <c r="AB544" i="16"/>
  <c r="AB535" i="16"/>
  <c r="AB526" i="16"/>
  <c r="AB517" i="16"/>
  <c r="AB508" i="16"/>
  <c r="AB499" i="16"/>
  <c r="AB490" i="16"/>
  <c r="AB480" i="16"/>
  <c r="AB471" i="16"/>
  <c r="AB462" i="16"/>
  <c r="AB453" i="16"/>
  <c r="AB444" i="16"/>
  <c r="AB435" i="16"/>
  <c r="AB426" i="16"/>
  <c r="AB416" i="16"/>
  <c r="AB407" i="16"/>
  <c r="AB398" i="16"/>
  <c r="AB389" i="16"/>
  <c r="AB380" i="16"/>
  <c r="AB371" i="16"/>
  <c r="AB362" i="16"/>
  <c r="AB352" i="16"/>
  <c r="AB343" i="16"/>
  <c r="AB334" i="16"/>
  <c r="AB325" i="16"/>
  <c r="AB316" i="16"/>
  <c r="AB307" i="16"/>
  <c r="AB298" i="16"/>
  <c r="AB288" i="16"/>
  <c r="AB279" i="16"/>
  <c r="AB271" i="16"/>
  <c r="AB263" i="16"/>
  <c r="AB255" i="16"/>
  <c r="AB247" i="16"/>
  <c r="AB239" i="16"/>
  <c r="AB231" i="16"/>
  <c r="AB223" i="16"/>
  <c r="AB215" i="16"/>
  <c r="AB207" i="16"/>
  <c r="AB199" i="16"/>
  <c r="AB191" i="16"/>
  <c r="AB183" i="16"/>
  <c r="AB175" i="16"/>
  <c r="AB167" i="16"/>
  <c r="AB159" i="16"/>
  <c r="AB151" i="16"/>
  <c r="AB143" i="16"/>
  <c r="AB135" i="16"/>
  <c r="AB127" i="16"/>
  <c r="AB119" i="16"/>
  <c r="AB111" i="16"/>
  <c r="AB103" i="16"/>
  <c r="AB95" i="16"/>
  <c r="AB87" i="16"/>
  <c r="AB79" i="16"/>
  <c r="AB71" i="16"/>
  <c r="AB63" i="16"/>
  <c r="AB55" i="16"/>
  <c r="AB47" i="16"/>
  <c r="AB39" i="16"/>
  <c r="AB31" i="16"/>
  <c r="AB23" i="16"/>
  <c r="AB15" i="16"/>
  <c r="AB7" i="16"/>
  <c r="AB1529" i="16"/>
  <c r="AB1510" i="16"/>
  <c r="AB1492" i="16"/>
  <c r="AB1474" i="16"/>
  <c r="AB1455" i="16"/>
  <c r="AB1437" i="16"/>
  <c r="AB1419" i="16"/>
  <c r="AB1401" i="16"/>
  <c r="AB1382" i="16"/>
  <c r="AB1364" i="16"/>
  <c r="AB1347" i="16"/>
  <c r="AB1331" i="16"/>
  <c r="AB1315" i="16"/>
  <c r="AB1299" i="16"/>
  <c r="AB1286" i="16"/>
  <c r="AB1274" i="16"/>
  <c r="AB1260" i="16"/>
  <c r="AB1248" i="16"/>
  <c r="AB1235" i="16"/>
  <c r="AB1222" i="16"/>
  <c r="AB1210" i="16"/>
  <c r="AB1196" i="16"/>
  <c r="AB1184" i="16"/>
  <c r="AB1171" i="16"/>
  <c r="AB1158" i="16"/>
  <c r="AB1146" i="16"/>
  <c r="AB1132" i="16"/>
  <c r="AB1120" i="16"/>
  <c r="AB1107" i="16"/>
  <c r="AB1094" i="16"/>
  <c r="AB1082" i="16"/>
  <c r="AB1068" i="16"/>
  <c r="AB1056" i="16"/>
  <c r="AB1043" i="16"/>
  <c r="AB1030" i="16"/>
  <c r="AB1018" i="16"/>
  <c r="AB1004" i="16"/>
  <c r="AB992" i="16"/>
  <c r="AB979" i="16"/>
  <c r="AB966" i="16"/>
  <c r="AB954" i="16"/>
  <c r="AB940" i="16"/>
  <c r="AB928" i="16"/>
  <c r="AB915" i="16"/>
  <c r="AB902" i="16"/>
  <c r="AB890" i="16"/>
  <c r="AB879" i="16"/>
  <c r="AB868" i="16"/>
  <c r="AB858" i="16"/>
  <c r="AB847" i="16"/>
  <c r="AB836" i="16"/>
  <c r="AB826" i="16"/>
  <c r="AB815" i="16"/>
  <c r="AB804" i="16"/>
  <c r="AB794" i="16"/>
  <c r="AB783" i="16"/>
  <c r="AB772" i="16"/>
  <c r="AB763" i="16"/>
  <c r="AB754" i="16"/>
  <c r="AB744" i="16"/>
  <c r="AB735" i="16"/>
  <c r="AB726" i="16"/>
  <c r="AB717" i="16"/>
  <c r="AB708" i="16"/>
  <c r="AB699" i="16"/>
  <c r="AB690" i="16"/>
  <c r="AB680" i="16"/>
  <c r="AB671" i="16"/>
  <c r="AB662" i="16"/>
  <c r="AB653" i="16"/>
  <c r="AB644" i="16"/>
  <c r="AB635" i="16"/>
  <c r="AB626" i="16"/>
  <c r="AB616" i="16"/>
  <c r="AB607" i="16"/>
  <c r="AB598" i="16"/>
  <c r="AB589" i="16"/>
  <c r="AB580" i="16"/>
  <c r="AB571" i="16"/>
  <c r="AB562" i="16"/>
  <c r="AB552" i="16"/>
  <c r="AB543" i="16"/>
  <c r="AB534" i="16"/>
  <c r="AB525" i="16"/>
  <c r="AB516" i="16"/>
  <c r="AB507" i="16"/>
  <c r="AB498" i="16"/>
  <c r="AB488" i="16"/>
  <c r="AB479" i="16"/>
  <c r="AB470" i="16"/>
  <c r="AB461" i="16"/>
  <c r="AB452" i="16"/>
  <c r="AB443" i="16"/>
  <c r="AB434" i="16"/>
  <c r="AB424" i="16"/>
  <c r="AB415" i="16"/>
  <c r="AB406" i="16"/>
  <c r="AB397" i="16"/>
  <c r="AB388" i="16"/>
  <c r="AB379" i="16"/>
  <c r="AB370" i="16"/>
  <c r="AB360" i="16"/>
  <c r="AB351" i="16"/>
  <c r="AB342" i="16"/>
  <c r="AB333" i="16"/>
  <c r="AB324" i="16"/>
  <c r="AB315" i="16"/>
  <c r="AB306" i="16"/>
  <c r="AB296" i="16"/>
  <c r="AB287" i="16"/>
  <c r="AB278" i="16"/>
  <c r="AB270" i="16"/>
  <c r="AB262" i="16"/>
  <c r="AB254" i="16"/>
  <c r="AB246" i="16"/>
  <c r="AB238" i="16"/>
  <c r="AB230" i="16"/>
  <c r="AB222" i="16"/>
  <c r="AB214" i="16"/>
  <c r="AB206" i="16"/>
  <c r="AB198" i="16"/>
  <c r="AB190" i="16"/>
  <c r="AB182" i="16"/>
  <c r="AB174" i="16"/>
  <c r="AB166" i="16"/>
  <c r="AB158" i="16"/>
  <c r="AB150" i="16"/>
  <c r="AB142" i="16"/>
  <c r="AB134" i="16"/>
  <c r="AB126" i="16"/>
  <c r="AB118" i="16"/>
  <c r="AB110" i="16"/>
  <c r="AB102" i="16"/>
  <c r="AB94" i="16"/>
  <c r="AB86" i="16"/>
  <c r="AB78" i="16"/>
  <c r="AB70" i="16"/>
  <c r="AB62" i="16"/>
  <c r="AB54" i="16"/>
  <c r="AB46" i="16"/>
  <c r="AB38" i="16"/>
  <c r="AB30" i="16"/>
  <c r="AB22" i="16"/>
  <c r="AB1527" i="16"/>
  <c r="AB1509" i="16"/>
  <c r="AB1491" i="16"/>
  <c r="AB1473" i="16"/>
  <c r="AB1454" i="16"/>
  <c r="AB1436" i="16"/>
  <c r="AB1418" i="16"/>
  <c r="AB1399" i="16"/>
  <c r="AB1381" i="16"/>
  <c r="AB1363" i="16"/>
  <c r="AB1346" i="16"/>
  <c r="AB1330" i="16"/>
  <c r="AB1314" i="16"/>
  <c r="AB1298" i="16"/>
  <c r="AB1284" i="16"/>
  <c r="AB1272" i="16"/>
  <c r="AB1259" i="16"/>
  <c r="AB1246" i="16"/>
  <c r="AB1523" i="16"/>
  <c r="AB1505" i="16"/>
  <c r="AB1486" i="16"/>
  <c r="AB1468" i="16"/>
  <c r="AB1450" i="16"/>
  <c r="AB1431" i="16"/>
  <c r="AB1413" i="16"/>
  <c r="AB1395" i="16"/>
  <c r="AB1377" i="16"/>
  <c r="AB1358" i="16"/>
  <c r="AB1342" i="16"/>
  <c r="AB1326" i="16"/>
  <c r="AB1310" i="16"/>
  <c r="AB1296" i="16"/>
  <c r="AB1283" i="16"/>
  <c r="AB1270" i="16"/>
  <c r="AB1258" i="16"/>
  <c r="AB1244" i="16"/>
  <c r="AB1232" i="16"/>
  <c r="AB1219" i="16"/>
  <c r="AB1206" i="16"/>
  <c r="AB1194" i="16"/>
  <c r="AB1180" i="16"/>
  <c r="AB1168" i="16"/>
  <c r="AB1155" i="16"/>
  <c r="AB1142" i="16"/>
  <c r="AB1130" i="16"/>
  <c r="AB1116" i="16"/>
  <c r="AB1104" i="16"/>
  <c r="AB1091" i="16"/>
  <c r="AB1078" i="16"/>
  <c r="AB1066" i="16"/>
  <c r="AB1052" i="16"/>
  <c r="AB1040" i="16"/>
  <c r="AB1027" i="16"/>
  <c r="AB1014" i="16"/>
  <c r="AB1002" i="16"/>
  <c r="AB988" i="16"/>
  <c r="AB976" i="16"/>
  <c r="AB963" i="16"/>
  <c r="AB950" i="16"/>
  <c r="AB938" i="16"/>
  <c r="AB924" i="16"/>
  <c r="AB912" i="16"/>
  <c r="AB899" i="16"/>
  <c r="AB887" i="16"/>
  <c r="AB876" i="16"/>
  <c r="AB866" i="16"/>
  <c r="AB855" i="16"/>
  <c r="AB844" i="16"/>
  <c r="AB834" i="16"/>
  <c r="AB823" i="16"/>
  <c r="AB812" i="16"/>
  <c r="AB1521" i="16"/>
  <c r="AB1482" i="16"/>
  <c r="AB1428" i="16"/>
  <c r="AB1374" i="16"/>
  <c r="AB1338" i="16"/>
  <c r="AB1292" i="16"/>
  <c r="AB1256" i="16"/>
  <c r="AB1228" i="16"/>
  <c r="AB1203" i="16"/>
  <c r="AB1178" i="16"/>
  <c r="AB1152" i="16"/>
  <c r="AB1126" i="16"/>
  <c r="AB1100" i="16"/>
  <c r="AB1075" i="16"/>
  <c r="AB1050" i="16"/>
  <c r="AB1024" i="16"/>
  <c r="AB998" i="16"/>
  <c r="AB972" i="16"/>
  <c r="AB947" i="16"/>
  <c r="AB922" i="16"/>
  <c r="AB896" i="16"/>
  <c r="AB874" i="16"/>
  <c r="AB852" i="16"/>
  <c r="AB831" i="16"/>
  <c r="AB810" i="16"/>
  <c r="AB791" i="16"/>
  <c r="AB776" i="16"/>
  <c r="AB759" i="16"/>
  <c r="AB743" i="16"/>
  <c r="AB731" i="16"/>
  <c r="AB715" i="16"/>
  <c r="AB702" i="16"/>
  <c r="AB686" i="16"/>
  <c r="AB670" i="16"/>
  <c r="AB658" i="16"/>
  <c r="AB642" i="16"/>
  <c r="AB629" i="16"/>
  <c r="AB613" i="16"/>
  <c r="AB597" i="16"/>
  <c r="AB584" i="16"/>
  <c r="AB568" i="16"/>
  <c r="AB556" i="16"/>
  <c r="AB540" i="16"/>
  <c r="AB524" i="16"/>
  <c r="AB511" i="16"/>
  <c r="AB495" i="16"/>
  <c r="AB483" i="16"/>
  <c r="AB467" i="16"/>
  <c r="AB455" i="16"/>
  <c r="AB442" i="16"/>
  <c r="AB430" i="16"/>
  <c r="AB419" i="16"/>
  <c r="AB405" i="16"/>
  <c r="AB394" i="16"/>
  <c r="AB382" i="16"/>
  <c r="AB368" i="16"/>
  <c r="AB357" i="16"/>
  <c r="AB346" i="16"/>
  <c r="AB332" i="16"/>
  <c r="AB320" i="16"/>
  <c r="AB309" i="16"/>
  <c r="AB295" i="16"/>
  <c r="AB284" i="16"/>
  <c r="AB273" i="16"/>
  <c r="AB261" i="16"/>
  <c r="AB251" i="16"/>
  <c r="AB241" i="16"/>
  <c r="AB229" i="16"/>
  <c r="AB219" i="16"/>
  <c r="AB209" i="16"/>
  <c r="AB197" i="16"/>
  <c r="AB187" i="16"/>
  <c r="AB177" i="16"/>
  <c r="AB165" i="16"/>
  <c r="AB155" i="16"/>
  <c r="AB145" i="16"/>
  <c r="AB133" i="16"/>
  <c r="AB123" i="16"/>
  <c r="AB113" i="16"/>
  <c r="AB101" i="16"/>
  <c r="AB91" i="16"/>
  <c r="AB81" i="16"/>
  <c r="AB69" i="16"/>
  <c r="AB59" i="16"/>
  <c r="AB49" i="16"/>
  <c r="AB37" i="16"/>
  <c r="AB27" i="16"/>
  <c r="AB17" i="16"/>
  <c r="AB8" i="16"/>
  <c r="AB1519" i="16"/>
  <c r="AB1466" i="16"/>
  <c r="AB1427" i="16"/>
  <c r="AB1373" i="16"/>
  <c r="AB1324" i="16"/>
  <c r="AB1291" i="16"/>
  <c r="AB1254" i="16"/>
  <c r="AB1227" i="16"/>
  <c r="AB1202" i="16"/>
  <c r="AB1176" i="16"/>
  <c r="AB1150" i="16"/>
  <c r="AB1124" i="16"/>
  <c r="AB1099" i="16"/>
  <c r="AB1074" i="16"/>
  <c r="AB1048" i="16"/>
  <c r="AB1022" i="16"/>
  <c r="AB996" i="16"/>
  <c r="AB971" i="16"/>
  <c r="AB946" i="16"/>
  <c r="AB920" i="16"/>
  <c r="AB894" i="16"/>
  <c r="AB872" i="16"/>
  <c r="AB851" i="16"/>
  <c r="AB830" i="16"/>
  <c r="AB808" i="16"/>
  <c r="AB790" i="16"/>
  <c r="AB771" i="16"/>
  <c r="AB758" i="16"/>
  <c r="AB742" i="16"/>
  <c r="AB730" i="16"/>
  <c r="AB714" i="16"/>
  <c r="AB698" i="16"/>
  <c r="AB685" i="16"/>
  <c r="AB669" i="16"/>
  <c r="AB656" i="16"/>
  <c r="AB640" i="16"/>
  <c r="AB624" i="16"/>
  <c r="AB612" i="16"/>
  <c r="AB596" i="16"/>
  <c r="AB583" i="16"/>
  <c r="AB567" i="16"/>
  <c r="AB551" i="16"/>
  <c r="AB539" i="16"/>
  <c r="AB523" i="16"/>
  <c r="AB510" i="16"/>
  <c r="AB494" i="16"/>
  <c r="AB478" i="16"/>
  <c r="AB466" i="16"/>
  <c r="AB454" i="16"/>
  <c r="AB440" i="16"/>
  <c r="AB429" i="16"/>
  <c r="AB418" i="16"/>
  <c r="AB404" i="16"/>
  <c r="AB392" i="16"/>
  <c r="AB381" i="16"/>
  <c r="AB367" i="16"/>
  <c r="AB356" i="16"/>
  <c r="AB344" i="16"/>
  <c r="AB331" i="16"/>
  <c r="AB319" i="16"/>
  <c r="AB308" i="16"/>
  <c r="AB294" i="16"/>
  <c r="AB283" i="16"/>
  <c r="AB272" i="16"/>
  <c r="AB260" i="16"/>
  <c r="AB250" i="16"/>
  <c r="AB240" i="16"/>
  <c r="AB228" i="16"/>
  <c r="AB218" i="16"/>
  <c r="AB208" i="16"/>
  <c r="AB196" i="16"/>
  <c r="AB186" i="16"/>
  <c r="AB176" i="16"/>
  <c r="AB164" i="16"/>
  <c r="AB154" i="16"/>
  <c r="AB144" i="16"/>
  <c r="AB132" i="16"/>
  <c r="AB122" i="16"/>
  <c r="AB112" i="16"/>
  <c r="AB100" i="16"/>
  <c r="AB90" i="16"/>
  <c r="AB80" i="16"/>
  <c r="AB68" i="16"/>
  <c r="AB58" i="16"/>
  <c r="AB48" i="16"/>
  <c r="AB36" i="16"/>
  <c r="AB26" i="16"/>
  <c r="AB16" i="16"/>
  <c r="AB6" i="16"/>
  <c r="AB1518" i="16"/>
  <c r="AB1465" i="16"/>
  <c r="AB1411" i="16"/>
  <c r="AB1372" i="16"/>
  <c r="AB1323" i="16"/>
  <c r="AB1282" i="16"/>
  <c r="AB1252" i="16"/>
  <c r="AB1220" i="16"/>
  <c r="AB1195" i="16"/>
  <c r="AB1170" i="16"/>
  <c r="AB1144" i="16"/>
  <c r="AB1118" i="16"/>
  <c r="AB1092" i="16"/>
  <c r="AB1067" i="16"/>
  <c r="AB1042" i="16"/>
  <c r="AB1016" i="16"/>
  <c r="AB990" i="16"/>
  <c r="AB964" i="16"/>
  <c r="AB939" i="16"/>
  <c r="AB914" i="16"/>
  <c r="AB888" i="16"/>
  <c r="AB867" i="16"/>
  <c r="AB846" i="16"/>
  <c r="AB824" i="16"/>
  <c r="AB803" i="16"/>
  <c r="AB788" i="16"/>
  <c r="AB770" i="16"/>
  <c r="AB757" i="16"/>
  <c r="AB741" i="16"/>
  <c r="AB725" i="16"/>
  <c r="AB712" i="16"/>
  <c r="AB696" i="16"/>
  <c r="AB684" i="16"/>
  <c r="AB668" i="16"/>
  <c r="AB652" i="16"/>
  <c r="AB639" i="16"/>
  <c r="AB623" i="16"/>
  <c r="AB611" i="16"/>
  <c r="AB595" i="16"/>
  <c r="AB579" i="16"/>
  <c r="AB566" i="16"/>
  <c r="AB550" i="16"/>
  <c r="AB538" i="16"/>
  <c r="AB522" i="16"/>
  <c r="AB506" i="16"/>
  <c r="AB493" i="16"/>
  <c r="AB477" i="16"/>
  <c r="AB464" i="16"/>
  <c r="AB451" i="16"/>
  <c r="AB439" i="16"/>
  <c r="AB428" i="16"/>
  <c r="AB414" i="16"/>
  <c r="AB403" i="16"/>
  <c r="AB391" i="16"/>
  <c r="AB378" i="16"/>
  <c r="AB366" i="16"/>
  <c r="AB355" i="16"/>
  <c r="AB341" i="16"/>
  <c r="AB330" i="16"/>
  <c r="AB318" i="16"/>
  <c r="AB304" i="16"/>
  <c r="AB293" i="16"/>
  <c r="AB282" i="16"/>
  <c r="AB269" i="16"/>
  <c r="AB259" i="16"/>
  <c r="AB249" i="16"/>
  <c r="AB237" i="16"/>
  <c r="AB227" i="16"/>
  <c r="AB217" i="16"/>
  <c r="AB205" i="16"/>
  <c r="AB195" i="16"/>
  <c r="AB185" i="16"/>
  <c r="AB173" i="16"/>
  <c r="AB163" i="16"/>
  <c r="AB153" i="16"/>
  <c r="AB141" i="16"/>
  <c r="AB131" i="16"/>
  <c r="AB121" i="16"/>
  <c r="AB109" i="16"/>
  <c r="AB99" i="16"/>
  <c r="AB89" i="16"/>
  <c r="AB77" i="16"/>
  <c r="AB67" i="16"/>
  <c r="AB57" i="16"/>
  <c r="AB45" i="16"/>
  <c r="AB35" i="16"/>
  <c r="AB25" i="16"/>
  <c r="AB14" i="16"/>
  <c r="AB5" i="16"/>
  <c r="AB18" i="16"/>
  <c r="AB33" i="16"/>
  <c r="AB51" i="16"/>
  <c r="AB66" i="16"/>
  <c r="AB84" i="16"/>
  <c r="AB104" i="16"/>
  <c r="AB117" i="16"/>
  <c r="AB137" i="16"/>
  <c r="AB152" i="16"/>
  <c r="AB170" i="16"/>
  <c r="AB188" i="16"/>
  <c r="AB203" i="16"/>
  <c r="AB221" i="16"/>
  <c r="AB236" i="16"/>
  <c r="AB256" i="16"/>
  <c r="AB274" i="16"/>
  <c r="AB291" i="16"/>
  <c r="AB311" i="16"/>
  <c r="AB328" i="16"/>
  <c r="AB349" i="16"/>
  <c r="AB372" i="16"/>
  <c r="AB387" i="16"/>
  <c r="AB410" i="16"/>
  <c r="AB427" i="16"/>
  <c r="AB447" i="16"/>
  <c r="AB468" i="16"/>
  <c r="AB487" i="16"/>
  <c r="AB514" i="16"/>
  <c r="AB533" i="16"/>
  <c r="AB559" i="16"/>
  <c r="AB586" i="16"/>
  <c r="AB605" i="16"/>
  <c r="AB631" i="16"/>
  <c r="AB651" i="16"/>
  <c r="AB677" i="16"/>
  <c r="AB703" i="16"/>
  <c r="AB723" i="16"/>
  <c r="AB749" i="16"/>
  <c r="AB768" i="16"/>
  <c r="AB799" i="16"/>
  <c r="AB832" i="16"/>
  <c r="AB863" i="16"/>
  <c r="AB900" i="16"/>
  <c r="AB936" i="16"/>
  <c r="AB984" i="16"/>
  <c r="AB1026" i="16"/>
  <c r="AB1062" i="16"/>
  <c r="AB1106" i="16"/>
  <c r="AB1140" i="16"/>
  <c r="AB1188" i="16"/>
  <c r="AB1230" i="16"/>
  <c r="AB1278" i="16"/>
  <c r="AB1340" i="16"/>
  <c r="AB1410" i="16"/>
  <c r="AB1500" i="16"/>
  <c r="AB3" i="16"/>
  <c r="AB19" i="16"/>
  <c r="AB34" i="16"/>
  <c r="AB52" i="16"/>
  <c r="AB72" i="16"/>
  <c r="AB85" i="16"/>
  <c r="AB105" i="16"/>
  <c r="AB120" i="16"/>
  <c r="AB138" i="16"/>
  <c r="AB156" i="16"/>
  <c r="AB171" i="16"/>
  <c r="AB189" i="16"/>
  <c r="AB204" i="16"/>
  <c r="AB224" i="16"/>
  <c r="AB242" i="16"/>
  <c r="AB257" i="16"/>
  <c r="AB275" i="16"/>
  <c r="AB292" i="16"/>
  <c r="AB312" i="16"/>
  <c r="AB335" i="16"/>
  <c r="AB350" i="16"/>
  <c r="AB373" i="16"/>
  <c r="AB390" i="16"/>
  <c r="AB411" i="16"/>
  <c r="AB431" i="16"/>
  <c r="AB448" i="16"/>
  <c r="AB469" i="16"/>
  <c r="AB492" i="16"/>
  <c r="AB515" i="16"/>
  <c r="AB541" i="16"/>
  <c r="AB560" i="16"/>
  <c r="AB587" i="16"/>
  <c r="AB606" i="16"/>
  <c r="AB632" i="16"/>
  <c r="AB659" i="16"/>
  <c r="AB678" i="16"/>
  <c r="AB704" i="16"/>
  <c r="AB724" i="16"/>
  <c r="AB750" i="16"/>
  <c r="AB778" i="16"/>
  <c r="AB800" i="16"/>
  <c r="AB835" i="16"/>
  <c r="AB864" i="16"/>
  <c r="AB907" i="16"/>
  <c r="AB948" i="16"/>
  <c r="AB986" i="16"/>
  <c r="AB1028" i="16"/>
  <c r="AB1064" i="16"/>
  <c r="AB1112" i="16"/>
  <c r="AB1154" i="16"/>
  <c r="AB1190" i="16"/>
  <c r="AB1234" i="16"/>
  <c r="AB1280" i="16"/>
  <c r="AB1354" i="16"/>
  <c r="AB1429" i="16"/>
  <c r="AB1501" i="16"/>
  <c r="AB4" i="16"/>
  <c r="AB20" i="16"/>
  <c r="AB40" i="16"/>
  <c r="AB53" i="16"/>
  <c r="AB73" i="16"/>
  <c r="AB88" i="16"/>
  <c r="AB106" i="16"/>
  <c r="AB124" i="16"/>
  <c r="AB139" i="16"/>
  <c r="AB157" i="16"/>
  <c r="AB172" i="16"/>
  <c r="AB192" i="16"/>
  <c r="AB210" i="16"/>
  <c r="AB225" i="16"/>
  <c r="AB243" i="16"/>
  <c r="AB258" i="16"/>
  <c r="AB276" i="16"/>
  <c r="AB299" i="16"/>
  <c r="AB314" i="16"/>
  <c r="AB336" i="16"/>
  <c r="AB354" i="16"/>
  <c r="AB374" i="16"/>
  <c r="AB395" i="16"/>
  <c r="AB412" i="16"/>
  <c r="AB432" i="16"/>
  <c r="AB450" i="16"/>
  <c r="AB474" i="16"/>
  <c r="AB496" i="16"/>
  <c r="AB519" i="16"/>
  <c r="AB542" i="16"/>
  <c r="AB565" i="16"/>
  <c r="AB588" i="16"/>
  <c r="AB614" i="16"/>
  <c r="AB634" i="16"/>
  <c r="AB660" i="16"/>
  <c r="AB679" i="16"/>
  <c r="AB706" i="16"/>
  <c r="AB732" i="16"/>
  <c r="AB751" i="16"/>
  <c r="AB779" i="16"/>
  <c r="AB802" i="16"/>
  <c r="AB840" i="16"/>
  <c r="AB875" i="16"/>
  <c r="AB908" i="16"/>
  <c r="AB952" i="16"/>
  <c r="AB987" i="16"/>
  <c r="AB1035" i="16"/>
  <c r="AB1076" i="16"/>
  <c r="AB1114" i="16"/>
  <c r="AB1156" i="16"/>
  <c r="AB1192" i="16"/>
  <c r="AB1240" i="16"/>
  <c r="AB1294" i="16"/>
  <c r="AB1355" i="16"/>
  <c r="AB1445" i="16"/>
  <c r="AB1502" i="16"/>
  <c r="AB9" i="16"/>
  <c r="AB21" i="16"/>
  <c r="AB41" i="16"/>
  <c r="AB56" i="16"/>
  <c r="AB74" i="16"/>
  <c r="AB92" i="16"/>
  <c r="AB107" i="16"/>
  <c r="AB125" i="16"/>
  <c r="AB140" i="16"/>
  <c r="AB160" i="16"/>
  <c r="AB178" i="16"/>
  <c r="AB193" i="16"/>
  <c r="AB211" i="16"/>
  <c r="AB226" i="16"/>
  <c r="AB244" i="16"/>
  <c r="AB264" i="16"/>
  <c r="AB277" i="16"/>
  <c r="AB300" i="16"/>
  <c r="AB317" i="16"/>
  <c r="AB338" i="16"/>
  <c r="AB358" i="16"/>
  <c r="AB375" i="16"/>
  <c r="AB396" i="16"/>
  <c r="AB413" i="16"/>
  <c r="AB436" i="16"/>
  <c r="AB456" i="16"/>
  <c r="AB475" i="16"/>
  <c r="AB501" i="16"/>
  <c r="AB520" i="16"/>
  <c r="AB547" i="16"/>
  <c r="AB570" i="16"/>
  <c r="AB592" i="16"/>
  <c r="AB615" i="16"/>
  <c r="AB638" i="16"/>
  <c r="AB661" i="16"/>
  <c r="AB687" i="16"/>
  <c r="AB707" i="16"/>
  <c r="AB733" i="16"/>
  <c r="AB752" i="16"/>
  <c r="AB780" i="16"/>
  <c r="AB811" i="16"/>
  <c r="AB842" i="16"/>
  <c r="AB878" i="16"/>
  <c r="AB910" i="16"/>
  <c r="AB958" i="16"/>
  <c r="AB1000" i="16"/>
  <c r="AB1036" i="16"/>
  <c r="AB1080" i="16"/>
  <c r="AB1115" i="16"/>
  <c r="AB1163" i="16"/>
  <c r="AB1204" i="16"/>
  <c r="AB1242" i="16"/>
  <c r="AB1306" i="16"/>
  <c r="AB1356" i="16"/>
  <c r="AB1446" i="16"/>
  <c r="AC22" i="16"/>
  <c r="AC102" i="16"/>
  <c r="AC202" i="16"/>
  <c r="AC278" i="16"/>
  <c r="AC378" i="16"/>
  <c r="AC474" i="16"/>
  <c r="AC550" i="16"/>
  <c r="AC683" i="16"/>
  <c r="AC873" i="16"/>
  <c r="AC1107" i="16"/>
  <c r="AC38" i="16"/>
  <c r="AC108" i="16"/>
  <c r="AC204" i="16"/>
  <c r="AC304" i="16"/>
  <c r="AC380" i="16"/>
  <c r="AC480" i="16"/>
  <c r="AC578" i="16"/>
  <c r="AC687" i="16"/>
  <c r="AC882" i="16"/>
  <c r="AC1210" i="16"/>
  <c r="AC40" i="16"/>
  <c r="AC134" i="16"/>
  <c r="AC211" i="16"/>
  <c r="AC307" i="16"/>
  <c r="AC406" i="16"/>
  <c r="AC483" i="16"/>
  <c r="AC587" i="16"/>
  <c r="AC729" i="16"/>
  <c r="AC886" i="16"/>
  <c r="AC1534" i="16"/>
  <c r="AC1526" i="16"/>
  <c r="AC1518" i="16"/>
  <c r="AC1510" i="16"/>
  <c r="AC1502" i="16"/>
  <c r="AC1494" i="16"/>
  <c r="AC1486" i="16"/>
  <c r="AC1478" i="16"/>
  <c r="AC1470" i="16"/>
  <c r="AC1462" i="16"/>
  <c r="AC1454" i="16"/>
  <c r="AC1446" i="16"/>
  <c r="AC1438" i="16"/>
  <c r="AC1430" i="16"/>
  <c r="AC1422" i="16"/>
  <c r="AC1414" i="16"/>
  <c r="AC1406" i="16"/>
  <c r="AC1398" i="16"/>
  <c r="AC1390" i="16"/>
  <c r="AC1382" i="16"/>
  <c r="AC1374" i="16"/>
  <c r="AC1366" i="16"/>
  <c r="AC1358" i="16"/>
  <c r="AC1350" i="16"/>
  <c r="AC1342" i="16"/>
  <c r="AC1334" i="16"/>
  <c r="AC1326" i="16"/>
  <c r="AC1318" i="16"/>
  <c r="AC1310" i="16"/>
  <c r="AC1302" i="16"/>
  <c r="AC1294" i="16"/>
  <c r="AC1286" i="16"/>
  <c r="AC1278" i="16"/>
  <c r="AC1270" i="16"/>
  <c r="AC1262" i="16"/>
  <c r="AC1254" i="16"/>
  <c r="AC1246" i="16"/>
  <c r="AC1238" i="16"/>
  <c r="AC1533" i="16"/>
  <c r="AC1524" i="16"/>
  <c r="AC1515" i="16"/>
  <c r="AC1506" i="16"/>
  <c r="AC1497" i="16"/>
  <c r="AC1488" i="16"/>
  <c r="AC1479" i="16"/>
  <c r="AC1469" i="16"/>
  <c r="AC1460" i="16"/>
  <c r="AC1451" i="16"/>
  <c r="AC1442" i="16"/>
  <c r="AC1433" i="16"/>
  <c r="AC1424" i="16"/>
  <c r="AC1415" i="16"/>
  <c r="AC1405" i="16"/>
  <c r="AC1396" i="16"/>
  <c r="AC1387" i="16"/>
  <c r="AC1378" i="16"/>
  <c r="AC1369" i="16"/>
  <c r="AC1360" i="16"/>
  <c r="AC1351" i="16"/>
  <c r="AC1341" i="16"/>
  <c r="AC1332" i="16"/>
  <c r="AC1323" i="16"/>
  <c r="AC1314" i="16"/>
  <c r="AC1305" i="16"/>
  <c r="AC1296" i="16"/>
  <c r="AC1287" i="16"/>
  <c r="AC1277" i="16"/>
  <c r="AC1268" i="16"/>
  <c r="AC1259" i="16"/>
  <c r="AC1250" i="16"/>
  <c r="AC1241" i="16"/>
  <c r="AC1232" i="16"/>
  <c r="AC1224" i="16"/>
  <c r="AC1216" i="16"/>
  <c r="AC1208" i="16"/>
  <c r="AC1200" i="16"/>
  <c r="AC1192" i="16"/>
  <c r="AC1184" i="16"/>
  <c r="AC1176" i="16"/>
  <c r="AC1168" i="16"/>
  <c r="AC1160" i="16"/>
  <c r="AC1152" i="16"/>
  <c r="AC1144" i="16"/>
  <c r="AC1136" i="16"/>
  <c r="AC1128" i="16"/>
  <c r="AC1120" i="16"/>
  <c r="AC1112" i="16"/>
  <c r="AC1104" i="16"/>
  <c r="AC1096" i="16"/>
  <c r="AC1088" i="16"/>
  <c r="AC1080" i="16"/>
  <c r="AC1072" i="16"/>
  <c r="AC1064" i="16"/>
  <c r="AC1056" i="16"/>
  <c r="AC1048" i="16"/>
  <c r="AC1040" i="16"/>
  <c r="AC1032" i="16"/>
  <c r="AC1024" i="16"/>
  <c r="AC1016" i="16"/>
  <c r="AC1008" i="16"/>
  <c r="AC1000" i="16"/>
  <c r="AC992" i="16"/>
  <c r="AC984" i="16"/>
  <c r="AC976" i="16"/>
  <c r="AC968" i="16"/>
  <c r="AC960" i="16"/>
  <c r="AC952" i="16"/>
  <c r="AC944" i="16"/>
  <c r="AC936" i="16"/>
  <c r="AC928" i="16"/>
  <c r="AC920" i="16"/>
  <c r="AC912" i="16"/>
  <c r="AC904" i="16"/>
  <c r="AC896" i="16"/>
  <c r="AC888" i="16"/>
  <c r="AC880" i="16"/>
  <c r="AC872" i="16"/>
  <c r="AC864" i="16"/>
  <c r="AC856" i="16"/>
  <c r="AC848" i="16"/>
  <c r="AC840" i="16"/>
  <c r="AC832" i="16"/>
  <c r="AC824" i="16"/>
  <c r="AC816" i="16"/>
  <c r="AC808" i="16"/>
  <c r="AC800" i="16"/>
  <c r="AC792" i="16"/>
  <c r="AC784" i="16"/>
  <c r="AC776" i="16"/>
  <c r="AC768" i="16"/>
  <c r="AC760" i="16"/>
  <c r="AC752" i="16"/>
  <c r="AC744" i="16"/>
  <c r="AC736" i="16"/>
  <c r="AC728" i="16"/>
  <c r="AC720" i="16"/>
  <c r="AC712" i="16"/>
  <c r="AC704" i="16"/>
  <c r="AC696" i="16"/>
  <c r="AC688" i="16"/>
  <c r="AC680" i="16"/>
  <c r="AC672" i="16"/>
  <c r="AC664" i="16"/>
  <c r="AC656" i="16"/>
  <c r="AC648" i="16"/>
  <c r="AC640" i="16"/>
  <c r="AC632" i="16"/>
  <c r="AC624" i="16"/>
  <c r="AC616" i="16"/>
  <c r="AC608" i="16"/>
  <c r="AC600" i="16"/>
  <c r="AC592" i="16"/>
  <c r="AC584" i="16"/>
  <c r="AC576" i="16"/>
  <c r="AC568" i="16"/>
  <c r="AC1531" i="16"/>
  <c r="AC1522" i="16"/>
  <c r="AC1513" i="16"/>
  <c r="AC1504" i="16"/>
  <c r="AC1495" i="16"/>
  <c r="AC1485" i="16"/>
  <c r="AC1476" i="16"/>
  <c r="AC1467" i="16"/>
  <c r="AC1458" i="16"/>
  <c r="AC1449" i="16"/>
  <c r="AC1440" i="16"/>
  <c r="AC1431" i="16"/>
  <c r="AC1421" i="16"/>
  <c r="AC1412" i="16"/>
  <c r="AC1403" i="16"/>
  <c r="AC1394" i="16"/>
  <c r="AC1385" i="16"/>
  <c r="AC1376" i="16"/>
  <c r="AC1367" i="16"/>
  <c r="AC1357" i="16"/>
  <c r="AC1348" i="16"/>
  <c r="AC1339" i="16"/>
  <c r="AC1330" i="16"/>
  <c r="AC1321" i="16"/>
  <c r="AC1312" i="16"/>
  <c r="AC1303" i="16"/>
  <c r="AC1293" i="16"/>
  <c r="AC1284" i="16"/>
  <c r="AC1275" i="16"/>
  <c r="AC1266" i="16"/>
  <c r="AC1257" i="16"/>
  <c r="AC1530" i="16"/>
  <c r="AC1521" i="16"/>
  <c r="AC1512" i="16"/>
  <c r="AC1503" i="16"/>
  <c r="AC1493" i="16"/>
  <c r="AC1484" i="16"/>
  <c r="AC1475" i="16"/>
  <c r="AC1466" i="16"/>
  <c r="AC1457" i="16"/>
  <c r="AC1448" i="16"/>
  <c r="AC1439" i="16"/>
  <c r="AC1429" i="16"/>
  <c r="AC1420" i="16"/>
  <c r="AC1411" i="16"/>
  <c r="AC1402" i="16"/>
  <c r="AC1393" i="16"/>
  <c r="AC1384" i="16"/>
  <c r="AC1375" i="16"/>
  <c r="AC1365" i="16"/>
  <c r="AC1356" i="16"/>
  <c r="AC1347" i="16"/>
  <c r="AC1338" i="16"/>
  <c r="AC1329" i="16"/>
  <c r="AC1320" i="16"/>
  <c r="AC1311" i="16"/>
  <c r="AC1301" i="16"/>
  <c r="AC1292" i="16"/>
  <c r="AC1283" i="16"/>
  <c r="AC1274" i="16"/>
  <c r="AC1265" i="16"/>
  <c r="AC1256" i="16"/>
  <c r="AC1247" i="16"/>
  <c r="AC1237" i="16"/>
  <c r="AC1229" i="16"/>
  <c r="AC1221" i="16"/>
  <c r="AC1213" i="16"/>
  <c r="AC1205" i="16"/>
  <c r="AC1197" i="16"/>
  <c r="AC1189" i="16"/>
  <c r="AC1181" i="16"/>
  <c r="AC1173" i="16"/>
  <c r="AC1165" i="16"/>
  <c r="AC1157" i="16"/>
  <c r="AC1149" i="16"/>
  <c r="AC1141" i="16"/>
  <c r="AC1133" i="16"/>
  <c r="AC1125" i="16"/>
  <c r="AC1117" i="16"/>
  <c r="AC1109" i="16"/>
  <c r="AC1101" i="16"/>
  <c r="AC1093" i="16"/>
  <c r="AC1085" i="16"/>
  <c r="AC1077" i="16"/>
  <c r="AC1069" i="16"/>
  <c r="AC1061" i="16"/>
  <c r="AC1053" i="16"/>
  <c r="AC1045" i="16"/>
  <c r="AC1037" i="16"/>
  <c r="AC1029" i="16"/>
  <c r="AC1021" i="16"/>
  <c r="AC1013" i="16"/>
  <c r="AC1005" i="16"/>
  <c r="AC997" i="16"/>
  <c r="AC989" i="16"/>
  <c r="AC981" i="16"/>
  <c r="AC973" i="16"/>
  <c r="AC965" i="16"/>
  <c r="AC957" i="16"/>
  <c r="AC949" i="16"/>
  <c r="AC941" i="16"/>
  <c r="AC933" i="16"/>
  <c r="AC925" i="16"/>
  <c r="AC917" i="16"/>
  <c r="AC909" i="16"/>
  <c r="AC901" i="16"/>
  <c r="AC893" i="16"/>
  <c r="AC885" i="16"/>
  <c r="AC877" i="16"/>
  <c r="AC869" i="16"/>
  <c r="AC861" i="16"/>
  <c r="AC853" i="16"/>
  <c r="AC845" i="16"/>
  <c r="AC837" i="16"/>
  <c r="AC829" i="16"/>
  <c r="AC821" i="16"/>
  <c r="AC813" i="16"/>
  <c r="AC805" i="16"/>
  <c r="AC797" i="16"/>
  <c r="AC789" i="16"/>
  <c r="AC781" i="16"/>
  <c r="AC773" i="16"/>
  <c r="AC765" i="16"/>
  <c r="AC757" i="16"/>
  <c r="AC749" i="16"/>
  <c r="AC741" i="16"/>
  <c r="AC733" i="16"/>
  <c r="AC725" i="16"/>
  <c r="AC717" i="16"/>
  <c r="AC709" i="16"/>
  <c r="AC701" i="16"/>
  <c r="AC1535" i="16"/>
  <c r="AC1525" i="16"/>
  <c r="AC1516" i="16"/>
  <c r="AC1507" i="16"/>
  <c r="AC1498" i="16"/>
  <c r="AC1489" i="16"/>
  <c r="AC1480" i="16"/>
  <c r="AC1471" i="16"/>
  <c r="AC1461" i="16"/>
  <c r="AC1452" i="16"/>
  <c r="AC1443" i="16"/>
  <c r="AC1434" i="16"/>
  <c r="AC1425" i="16"/>
  <c r="AC1416" i="16"/>
  <c r="AC1407" i="16"/>
  <c r="AC1397" i="16"/>
  <c r="AC1388" i="16"/>
  <c r="AC1379" i="16"/>
  <c r="AC1370" i="16"/>
  <c r="AC1361" i="16"/>
  <c r="AC1352" i="16"/>
  <c r="AC1343" i="16"/>
  <c r="AC1333" i="16"/>
  <c r="AC1324" i="16"/>
  <c r="AC1315" i="16"/>
  <c r="AC1306" i="16"/>
  <c r="AC1297" i="16"/>
  <c r="AC1288" i="16"/>
  <c r="AC1279" i="16"/>
  <c r="AC1269" i="16"/>
  <c r="AC1260" i="16"/>
  <c r="AC1251" i="16"/>
  <c r="AC1242" i="16"/>
  <c r="AC1233" i="16"/>
  <c r="AC1225" i="16"/>
  <c r="AC1217" i="16"/>
  <c r="AC1209" i="16"/>
  <c r="AC1201" i="16"/>
  <c r="AC1193" i="16"/>
  <c r="AC1185" i="16"/>
  <c r="AC1177" i="16"/>
  <c r="AC1169" i="16"/>
  <c r="AC1161" i="16"/>
  <c r="AC1153" i="16"/>
  <c r="AC1145" i="16"/>
  <c r="AC1137" i="16"/>
  <c r="AC1129" i="16"/>
  <c r="AC1121" i="16"/>
  <c r="AC1113" i="16"/>
  <c r="AC1105" i="16"/>
  <c r="AC1097" i="16"/>
  <c r="AC1089" i="16"/>
  <c r="AC1081" i="16"/>
  <c r="AC1073" i="16"/>
  <c r="AC1065" i="16"/>
  <c r="AC1057" i="16"/>
  <c r="AC1049" i="16"/>
  <c r="AC1041" i="16"/>
  <c r="AC1033" i="16"/>
  <c r="AC1025" i="16"/>
  <c r="AC1017" i="16"/>
  <c r="AC1009" i="16"/>
  <c r="AC1001" i="16"/>
  <c r="AC993" i="16"/>
  <c r="AC985" i="16"/>
  <c r="AC977" i="16"/>
  <c r="AC969" i="16"/>
  <c r="AC961" i="16"/>
  <c r="AC953" i="16"/>
  <c r="AC945" i="16"/>
  <c r="AC937" i="16"/>
  <c r="AC1532" i="16"/>
  <c r="AC1514" i="16"/>
  <c r="AC1496" i="16"/>
  <c r="AC1477" i="16"/>
  <c r="AC1459" i="16"/>
  <c r="AC1441" i="16"/>
  <c r="AC1423" i="16"/>
  <c r="AC1404" i="16"/>
  <c r="AC1386" i="16"/>
  <c r="AC1368" i="16"/>
  <c r="AC1349" i="16"/>
  <c r="AC1331" i="16"/>
  <c r="AC1313" i="16"/>
  <c r="AC1295" i="16"/>
  <c r="AC1276" i="16"/>
  <c r="AC1258" i="16"/>
  <c r="AC1243" i="16"/>
  <c r="AC1228" i="16"/>
  <c r="AC1215" i="16"/>
  <c r="AC1203" i="16"/>
  <c r="AC1190" i="16"/>
  <c r="AC1178" i="16"/>
  <c r="AC1164" i="16"/>
  <c r="AC1151" i="16"/>
  <c r="AC1139" i="16"/>
  <c r="AC1126" i="16"/>
  <c r="AC1114" i="16"/>
  <c r="AC1100" i="16"/>
  <c r="AC1087" i="16"/>
  <c r="AC1075" i="16"/>
  <c r="AC1062" i="16"/>
  <c r="AC1050" i="16"/>
  <c r="AC1036" i="16"/>
  <c r="AC1023" i="16"/>
  <c r="AC1011" i="16"/>
  <c r="AC998" i="16"/>
  <c r="AC986" i="16"/>
  <c r="AC972" i="16"/>
  <c r="AC959" i="16"/>
  <c r="AC947" i="16"/>
  <c r="AC934" i="16"/>
  <c r="AC923" i="16"/>
  <c r="AC913" i="16"/>
  <c r="AC902" i="16"/>
  <c r="AC891" i="16"/>
  <c r="AC881" i="16"/>
  <c r="AC870" i="16"/>
  <c r="AC859" i="16"/>
  <c r="AC849" i="16"/>
  <c r="AC838" i="16"/>
  <c r="AC827" i="16"/>
  <c r="AC817" i="16"/>
  <c r="AC806" i="16"/>
  <c r="AC795" i="16"/>
  <c r="AC785" i="16"/>
  <c r="AC774" i="16"/>
  <c r="AC763" i="16"/>
  <c r="AC753" i="16"/>
  <c r="AC742" i="16"/>
  <c r="AC731" i="16"/>
  <c r="AC721" i="16"/>
  <c r="AC710" i="16"/>
  <c r="AC699" i="16"/>
  <c r="AC690" i="16"/>
  <c r="AC681" i="16"/>
  <c r="AC671" i="16"/>
  <c r="AC662" i="16"/>
  <c r="AC653" i="16"/>
  <c r="AC644" i="16"/>
  <c r="AC635" i="16"/>
  <c r="AC626" i="16"/>
  <c r="AC617" i="16"/>
  <c r="AC607" i="16"/>
  <c r="AC598" i="16"/>
  <c r="AC589" i="16"/>
  <c r="AC580" i="16"/>
  <c r="AC1529" i="16"/>
  <c r="AC1511" i="16"/>
  <c r="AC1492" i="16"/>
  <c r="AC1474" i="16"/>
  <c r="AC1456" i="16"/>
  <c r="AC1437" i="16"/>
  <c r="AC1419" i="16"/>
  <c r="AC1401" i="16"/>
  <c r="AC1383" i="16"/>
  <c r="AC1364" i="16"/>
  <c r="AC1346" i="16"/>
  <c r="AC1328" i="16"/>
  <c r="AC1309" i="16"/>
  <c r="AC1291" i="16"/>
  <c r="AC1273" i="16"/>
  <c r="AC1255" i="16"/>
  <c r="AC1240" i="16"/>
  <c r="AC1227" i="16"/>
  <c r="AC1214" i="16"/>
  <c r="AC1202" i="16"/>
  <c r="AC1188" i="16"/>
  <c r="AC1175" i="16"/>
  <c r="AC1163" i="16"/>
  <c r="AC1150" i="16"/>
  <c r="AC1138" i="16"/>
  <c r="AC1124" i="16"/>
  <c r="AC1111" i="16"/>
  <c r="AC1099" i="16"/>
  <c r="AC1086" i="16"/>
  <c r="AC1074" i="16"/>
  <c r="AC1060" i="16"/>
  <c r="AC1047" i="16"/>
  <c r="AC1035" i="16"/>
  <c r="AC1022" i="16"/>
  <c r="AC1010" i="16"/>
  <c r="AC996" i="16"/>
  <c r="AC983" i="16"/>
  <c r="AC971" i="16"/>
  <c r="AC958" i="16"/>
  <c r="AC946" i="16"/>
  <c r="AC932" i="16"/>
  <c r="AC922" i="16"/>
  <c r="AC911" i="16"/>
  <c r="AC900" i="16"/>
  <c r="AC890" i="16"/>
  <c r="AC879" i="16"/>
  <c r="AC868" i="16"/>
  <c r="AC858" i="16"/>
  <c r="AC847" i="16"/>
  <c r="AC836" i="16"/>
  <c r="AC826" i="16"/>
  <c r="AC815" i="16"/>
  <c r="AC804" i="16"/>
  <c r="AC794" i="16"/>
  <c r="AC783" i="16"/>
  <c r="AC772" i="16"/>
  <c r="AC762" i="16"/>
  <c r="AC751" i="16"/>
  <c r="AC740" i="16"/>
  <c r="AC730" i="16"/>
  <c r="AC719" i="16"/>
  <c r="AC708" i="16"/>
  <c r="AC698" i="16"/>
  <c r="AC689" i="16"/>
  <c r="AC679" i="16"/>
  <c r="AC670" i="16"/>
  <c r="AC661" i="16"/>
  <c r="AC652" i="16"/>
  <c r="AC643" i="16"/>
  <c r="AC634" i="16"/>
  <c r="AC625" i="16"/>
  <c r="AC615" i="16"/>
  <c r="AC606" i="16"/>
  <c r="AC597" i="16"/>
  <c r="AC588" i="16"/>
  <c r="AC579" i="16"/>
  <c r="AC570" i="16"/>
  <c r="AC561" i="16"/>
  <c r="AC553" i="16"/>
  <c r="AC545" i="16"/>
  <c r="AC537" i="16"/>
  <c r="AC529" i="16"/>
  <c r="AC521" i="16"/>
  <c r="AC513" i="16"/>
  <c r="AC505" i="16"/>
  <c r="AC497" i="16"/>
  <c r="AC489" i="16"/>
  <c r="AC481" i="16"/>
  <c r="AC473" i="16"/>
  <c r="AC465" i="16"/>
  <c r="AC457" i="16"/>
  <c r="AC449" i="16"/>
  <c r="AC441" i="16"/>
  <c r="AC433" i="16"/>
  <c r="AC425" i="16"/>
  <c r="AC417" i="16"/>
  <c r="AC409" i="16"/>
  <c r="AC401" i="16"/>
  <c r="AC393" i="16"/>
  <c r="AC385" i="16"/>
  <c r="AC377" i="16"/>
  <c r="AC369" i="16"/>
  <c r="AC361" i="16"/>
  <c r="AC353" i="16"/>
  <c r="AC345" i="16"/>
  <c r="AC337" i="16"/>
  <c r="AC329" i="16"/>
  <c r="AC321" i="16"/>
  <c r="AC313" i="16"/>
  <c r="AC305" i="16"/>
  <c r="AC297" i="16"/>
  <c r="AC289" i="16"/>
  <c r="AC281" i="16"/>
  <c r="AC273" i="16"/>
  <c r="AC265" i="16"/>
  <c r="AC257" i="16"/>
  <c r="AC249" i="16"/>
  <c r="AC241" i="16"/>
  <c r="AC233" i="16"/>
  <c r="AC225" i="16"/>
  <c r="AC217" i="16"/>
  <c r="AC209" i="16"/>
  <c r="AC201" i="16"/>
  <c r="AC193" i="16"/>
  <c r="AC185" i="16"/>
  <c r="AC177" i="16"/>
  <c r="AC169" i="16"/>
  <c r="AC161" i="16"/>
  <c r="AC153" i="16"/>
  <c r="AC145" i="16"/>
  <c r="AC137" i="16"/>
  <c r="AC129" i="16"/>
  <c r="AC121" i="16"/>
  <c r="AC113" i="16"/>
  <c r="AC105" i="16"/>
  <c r="AC97" i="16"/>
  <c r="AC89" i="16"/>
  <c r="AC81" i="16"/>
  <c r="AC73" i="16"/>
  <c r="AC65" i="16"/>
  <c r="AC57" i="16"/>
  <c r="AC49" i="16"/>
  <c r="AC41" i="16"/>
  <c r="AC33" i="16"/>
  <c r="AC25" i="16"/>
  <c r="AC17" i="16"/>
  <c r="AC9" i="16"/>
  <c r="AC2" i="16"/>
  <c r="AC1528" i="16"/>
  <c r="AC1509" i="16"/>
  <c r="AC1491" i="16"/>
  <c r="AC1473" i="16"/>
  <c r="AC1455" i="16"/>
  <c r="AC1436" i="16"/>
  <c r="AC1418" i="16"/>
  <c r="AC1400" i="16"/>
  <c r="AC1381" i="16"/>
  <c r="AC1363" i="16"/>
  <c r="AC1345" i="16"/>
  <c r="AC1327" i="16"/>
  <c r="AC1308" i="16"/>
  <c r="AC1290" i="16"/>
  <c r="AC1272" i="16"/>
  <c r="AC1253" i="16"/>
  <c r="AC1239" i="16"/>
  <c r="AC1226" i="16"/>
  <c r="AC1212" i="16"/>
  <c r="AC1199" i="16"/>
  <c r="AC1187" i="16"/>
  <c r="AC1174" i="16"/>
  <c r="AC1162" i="16"/>
  <c r="AC1148" i="16"/>
  <c r="AC1135" i="16"/>
  <c r="AC1123" i="16"/>
  <c r="AC1110" i="16"/>
  <c r="AC1098" i="16"/>
  <c r="AC1084" i="16"/>
  <c r="AC1071" i="16"/>
  <c r="AC1059" i="16"/>
  <c r="AC1046" i="16"/>
  <c r="AC1034" i="16"/>
  <c r="AC1020" i="16"/>
  <c r="AC1007" i="16"/>
  <c r="AC995" i="16"/>
  <c r="AC982" i="16"/>
  <c r="AC970" i="16"/>
  <c r="AC956" i="16"/>
  <c r="AC943" i="16"/>
  <c r="AC931" i="16"/>
  <c r="AC921" i="16"/>
  <c r="AC910" i="16"/>
  <c r="AC899" i="16"/>
  <c r="AC889" i="16"/>
  <c r="AC878" i="16"/>
  <c r="AC867" i="16"/>
  <c r="AC857" i="16"/>
  <c r="AC846" i="16"/>
  <c r="AC835" i="16"/>
  <c r="AC825" i="16"/>
  <c r="AC814" i="16"/>
  <c r="AC803" i="16"/>
  <c r="AC793" i="16"/>
  <c r="AC782" i="16"/>
  <c r="AC771" i="16"/>
  <c r="AC1527" i="16"/>
  <c r="AC1508" i="16"/>
  <c r="AC1490" i="16"/>
  <c r="AC1472" i="16"/>
  <c r="AC1453" i="16"/>
  <c r="AC1435" i="16"/>
  <c r="AC1417" i="16"/>
  <c r="AC1399" i="16"/>
  <c r="AC1380" i="16"/>
  <c r="AC1362" i="16"/>
  <c r="AC1344" i="16"/>
  <c r="AC1325" i="16"/>
  <c r="AC1307" i="16"/>
  <c r="AC1289" i="16"/>
  <c r="AC1271" i="16"/>
  <c r="AC1252" i="16"/>
  <c r="AC1236" i="16"/>
  <c r="AC1223" i="16"/>
  <c r="AC1211" i="16"/>
  <c r="AC1198" i="16"/>
  <c r="AC1186" i="16"/>
  <c r="AC1172" i="16"/>
  <c r="AC1159" i="16"/>
  <c r="AC1147" i="16"/>
  <c r="AC1134" i="16"/>
  <c r="AC1122" i="16"/>
  <c r="AC1108" i="16"/>
  <c r="AC1095" i="16"/>
  <c r="AC1083" i="16"/>
  <c r="AC1070" i="16"/>
  <c r="AC1058" i="16"/>
  <c r="AC1044" i="16"/>
  <c r="AC1031" i="16"/>
  <c r="AC1019" i="16"/>
  <c r="AC1006" i="16"/>
  <c r="AC994" i="16"/>
  <c r="AC980" i="16"/>
  <c r="AC967" i="16"/>
  <c r="AC955" i="16"/>
  <c r="AC942" i="16"/>
  <c r="AC930" i="16"/>
  <c r="AC919" i="16"/>
  <c r="AC908" i="16"/>
  <c r="AC898" i="16"/>
  <c r="AC887" i="16"/>
  <c r="AC876" i="16"/>
  <c r="AC866" i="16"/>
  <c r="AC855" i="16"/>
  <c r="AC844" i="16"/>
  <c r="AC834" i="16"/>
  <c r="AC823" i="16"/>
  <c r="AC812" i="16"/>
  <c r="AC802" i="16"/>
  <c r="AC791" i="16"/>
  <c r="AC780" i="16"/>
  <c r="AC770" i="16"/>
  <c r="AC759" i="16"/>
  <c r="AC748" i="16"/>
  <c r="AC738" i="16"/>
  <c r="AC727" i="16"/>
  <c r="AC716" i="16"/>
  <c r="AC706" i="16"/>
  <c r="AC695" i="16"/>
  <c r="AC686" i="16"/>
  <c r="AC677" i="16"/>
  <c r="AC668" i="16"/>
  <c r="AC659" i="16"/>
  <c r="AC650" i="16"/>
  <c r="AC641" i="16"/>
  <c r="AC631" i="16"/>
  <c r="AC622" i="16"/>
  <c r="AC613" i="16"/>
  <c r="AC604" i="16"/>
  <c r="AC595" i="16"/>
  <c r="AC586" i="16"/>
  <c r="AC577" i="16"/>
  <c r="AC567" i="16"/>
  <c r="AC559" i="16"/>
  <c r="AC551" i="16"/>
  <c r="AC543" i="16"/>
  <c r="AC535" i="16"/>
  <c r="AC527" i="16"/>
  <c r="AC519" i="16"/>
  <c r="AC511" i="16"/>
  <c r="AC503" i="16"/>
  <c r="AC495" i="16"/>
  <c r="AC487" i="16"/>
  <c r="AC479" i="16"/>
  <c r="AC471" i="16"/>
  <c r="AC463" i="16"/>
  <c r="AC455" i="16"/>
  <c r="AC447" i="16"/>
  <c r="AC439" i="16"/>
  <c r="AC431" i="16"/>
  <c r="AC423" i="16"/>
  <c r="AC415" i="16"/>
  <c r="AC407" i="16"/>
  <c r="AC399" i="16"/>
  <c r="AC391" i="16"/>
  <c r="AC383" i="16"/>
  <c r="AC375" i="16"/>
  <c r="AC367" i="16"/>
  <c r="AC359" i="16"/>
  <c r="AC351" i="16"/>
  <c r="AC343" i="16"/>
  <c r="AC335" i="16"/>
  <c r="AC327" i="16"/>
  <c r="AC319" i="16"/>
  <c r="AC311" i="16"/>
  <c r="AC303" i="16"/>
  <c r="AC295" i="16"/>
  <c r="AC287" i="16"/>
  <c r="AC279" i="16"/>
  <c r="AC271" i="16"/>
  <c r="AC263" i="16"/>
  <c r="AC255" i="16"/>
  <c r="AC247" i="16"/>
  <c r="AC239" i="16"/>
  <c r="AC231" i="16"/>
  <c r="AC223" i="16"/>
  <c r="AC215" i="16"/>
  <c r="AC207" i="16"/>
  <c r="AC199" i="16"/>
  <c r="AC191" i="16"/>
  <c r="AC183" i="16"/>
  <c r="AC175" i="16"/>
  <c r="AC167" i="16"/>
  <c r="AC159" i="16"/>
  <c r="AC151" i="16"/>
  <c r="AC143" i="16"/>
  <c r="AC135" i="16"/>
  <c r="AC127" i="16"/>
  <c r="AC119" i="16"/>
  <c r="AC111" i="16"/>
  <c r="AC103" i="16"/>
  <c r="AC95" i="16"/>
  <c r="AC87" i="16"/>
  <c r="AC79" i="16"/>
  <c r="AC71" i="16"/>
  <c r="AC63" i="16"/>
  <c r="AC55" i="16"/>
  <c r="AC1520" i="16"/>
  <c r="AC1501" i="16"/>
  <c r="AC1483" i="16"/>
  <c r="AC1465" i="16"/>
  <c r="AC1447" i="16"/>
  <c r="AC1428" i="16"/>
  <c r="AC1410" i="16"/>
  <c r="AC1392" i="16"/>
  <c r="AC1373" i="16"/>
  <c r="AC1355" i="16"/>
  <c r="AC1337" i="16"/>
  <c r="AC1319" i="16"/>
  <c r="AC1300" i="16"/>
  <c r="AC1282" i="16"/>
  <c r="AC1264" i="16"/>
  <c r="AC1248" i="16"/>
  <c r="AC1234" i="16"/>
  <c r="AC1220" i="16"/>
  <c r="AC1207" i="16"/>
  <c r="AC1195" i="16"/>
  <c r="AC1182" i="16"/>
  <c r="AC1170" i="16"/>
  <c r="AC1156" i="16"/>
  <c r="AC1143" i="16"/>
  <c r="AC1131" i="16"/>
  <c r="AC1118" i="16"/>
  <c r="AC1106" i="16"/>
  <c r="AC1092" i="16"/>
  <c r="AC1079" i="16"/>
  <c r="AC1067" i="16"/>
  <c r="AC1054" i="16"/>
  <c r="AC1042" i="16"/>
  <c r="AC1028" i="16"/>
  <c r="AC1015" i="16"/>
  <c r="AC1003" i="16"/>
  <c r="AC990" i="16"/>
  <c r="AC978" i="16"/>
  <c r="AC964" i="16"/>
  <c r="AC951" i="16"/>
  <c r="AC939" i="16"/>
  <c r="AC927" i="16"/>
  <c r="AC916" i="16"/>
  <c r="AC906" i="16"/>
  <c r="AC895" i="16"/>
  <c r="AC884" i="16"/>
  <c r="AC874" i="16"/>
  <c r="AC863" i="16"/>
  <c r="AC852" i="16"/>
  <c r="AC842" i="16"/>
  <c r="AC831" i="16"/>
  <c r="AC820" i="16"/>
  <c r="AC810" i="16"/>
  <c r="AC799" i="16"/>
  <c r="AC788" i="16"/>
  <c r="AC778" i="16"/>
  <c r="AC767" i="16"/>
  <c r="AC756" i="16"/>
  <c r="AC746" i="16"/>
  <c r="AC735" i="16"/>
  <c r="AC724" i="16"/>
  <c r="AC714" i="16"/>
  <c r="AC703" i="16"/>
  <c r="AC693" i="16"/>
  <c r="AC684" i="16"/>
  <c r="AC675" i="16"/>
  <c r="AC666" i="16"/>
  <c r="AC657" i="16"/>
  <c r="AC647" i="16"/>
  <c r="AC638" i="16"/>
  <c r="AC629" i="16"/>
  <c r="AC620" i="16"/>
  <c r="AC611" i="16"/>
  <c r="AC602" i="16"/>
  <c r="AC593" i="16"/>
  <c r="AC583" i="16"/>
  <c r="AC574" i="16"/>
  <c r="AC565" i="16"/>
  <c r="AC557" i="16"/>
  <c r="AC549" i="16"/>
  <c r="AC541" i="16"/>
  <c r="AC533" i="16"/>
  <c r="AC525" i="16"/>
  <c r="AC517" i="16"/>
  <c r="AC509" i="16"/>
  <c r="AC501" i="16"/>
  <c r="AC493" i="16"/>
  <c r="AC485" i="16"/>
  <c r="AC477" i="16"/>
  <c r="AC469" i="16"/>
  <c r="AC461" i="16"/>
  <c r="AC453" i="16"/>
  <c r="AC445" i="16"/>
  <c r="AC437" i="16"/>
  <c r="AC429" i="16"/>
  <c r="AC421" i="16"/>
  <c r="AC413" i="16"/>
  <c r="AC405" i="16"/>
  <c r="AC397" i="16"/>
  <c r="AC389" i="16"/>
  <c r="AC381" i="16"/>
  <c r="AC373" i="16"/>
  <c r="AC365" i="16"/>
  <c r="AC357" i="16"/>
  <c r="AC349" i="16"/>
  <c r="AC341" i="16"/>
  <c r="AC333" i="16"/>
  <c r="AC325" i="16"/>
  <c r="AC317" i="16"/>
  <c r="AC309" i="16"/>
  <c r="AC301" i="16"/>
  <c r="AC293" i="16"/>
  <c r="AC285" i="16"/>
  <c r="AC277" i="16"/>
  <c r="AC269" i="16"/>
  <c r="AC261" i="16"/>
  <c r="AC253" i="16"/>
  <c r="AC245" i="16"/>
  <c r="AC237" i="16"/>
  <c r="AC229" i="16"/>
  <c r="AC221" i="16"/>
  <c r="AC213" i="16"/>
  <c r="AC205" i="16"/>
  <c r="AC197" i="16"/>
  <c r="AC189" i="16"/>
  <c r="AC181" i="16"/>
  <c r="AC173" i="16"/>
  <c r="AC165" i="16"/>
  <c r="AC157" i="16"/>
  <c r="AC149" i="16"/>
  <c r="AC141" i="16"/>
  <c r="AC133" i="16"/>
  <c r="AC125" i="16"/>
  <c r="AC117" i="16"/>
  <c r="AC109" i="16"/>
  <c r="AC101" i="16"/>
  <c r="AC93" i="16"/>
  <c r="AC85" i="16"/>
  <c r="AC77" i="16"/>
  <c r="AC69" i="16"/>
  <c r="AC61" i="16"/>
  <c r="AC1523" i="16"/>
  <c r="AC1481" i="16"/>
  <c r="AC1427" i="16"/>
  <c r="AC1377" i="16"/>
  <c r="AC1335" i="16"/>
  <c r="AC1281" i="16"/>
  <c r="AC1519" i="16"/>
  <c r="AC1468" i="16"/>
  <c r="AC1426" i="16"/>
  <c r="AC1372" i="16"/>
  <c r="AC1322" i="16"/>
  <c r="AC1280" i="16"/>
  <c r="AC1231" i="16"/>
  <c r="AC1196" i="16"/>
  <c r="AC1166" i="16"/>
  <c r="AC1130" i="16"/>
  <c r="AC1094" i="16"/>
  <c r="AC1063" i="16"/>
  <c r="AC1027" i="16"/>
  <c r="AC991" i="16"/>
  <c r="AC962" i="16"/>
  <c r="AC926" i="16"/>
  <c r="AC897" i="16"/>
  <c r="AC871" i="16"/>
  <c r="AC841" i="16"/>
  <c r="AC811" i="16"/>
  <c r="AC786" i="16"/>
  <c r="AC758" i="16"/>
  <c r="AC737" i="16"/>
  <c r="AC715" i="16"/>
  <c r="AC694" i="16"/>
  <c r="AC676" i="16"/>
  <c r="AC658" i="16"/>
  <c r="AC639" i="16"/>
  <c r="AC621" i="16"/>
  <c r="AC603" i="16"/>
  <c r="AC585" i="16"/>
  <c r="AC569" i="16"/>
  <c r="AC555" i="16"/>
  <c r="AC542" i="16"/>
  <c r="AC530" i="16"/>
  <c r="AC516" i="16"/>
  <c r="AC504" i="16"/>
  <c r="AC491" i="16"/>
  <c r="AC478" i="16"/>
  <c r="AC466" i="16"/>
  <c r="AC452" i="16"/>
  <c r="AC440" i="16"/>
  <c r="AC427" i="16"/>
  <c r="AC414" i="16"/>
  <c r="AC402" i="16"/>
  <c r="AC388" i="16"/>
  <c r="AC376" i="16"/>
  <c r="AC363" i="16"/>
  <c r="AC350" i="16"/>
  <c r="AC338" i="16"/>
  <c r="AC324" i="16"/>
  <c r="AC312" i="16"/>
  <c r="AC299" i="16"/>
  <c r="AC286" i="16"/>
  <c r="AC274" i="16"/>
  <c r="AC260" i="16"/>
  <c r="AC248" i="16"/>
  <c r="AC235" i="16"/>
  <c r="AC222" i="16"/>
  <c r="AC210" i="16"/>
  <c r="AC196" i="16"/>
  <c r="AC184" i="16"/>
  <c r="AC171" i="16"/>
  <c r="AC158" i="16"/>
  <c r="AC146" i="16"/>
  <c r="AC132" i="16"/>
  <c r="AC120" i="16"/>
  <c r="AC107" i="16"/>
  <c r="AC94" i="16"/>
  <c r="AC82" i="16"/>
  <c r="AC68" i="16"/>
  <c r="AC56" i="16"/>
  <c r="AC46" i="16"/>
  <c r="AC37" i="16"/>
  <c r="AC28" i="16"/>
  <c r="AC19" i="16"/>
  <c r="AC10" i="16"/>
  <c r="AC1517" i="16"/>
  <c r="AC1464" i="16"/>
  <c r="AC1413" i="16"/>
  <c r="AC1371" i="16"/>
  <c r="AC1317" i="16"/>
  <c r="AC1267" i="16"/>
  <c r="AC1230" i="16"/>
  <c r="AC1194" i="16"/>
  <c r="AC1158" i="16"/>
  <c r="AC1127" i="16"/>
  <c r="AC1091" i="16"/>
  <c r="AC1055" i="16"/>
  <c r="AC1026" i="16"/>
  <c r="AC988" i="16"/>
  <c r="AC954" i="16"/>
  <c r="AC924" i="16"/>
  <c r="AC894" i="16"/>
  <c r="AC865" i="16"/>
  <c r="AC839" i="16"/>
  <c r="AC809" i="16"/>
  <c r="AC779" i="16"/>
  <c r="AC755" i="16"/>
  <c r="AC734" i="16"/>
  <c r="AC713" i="16"/>
  <c r="AC692" i="16"/>
  <c r="AC674" i="16"/>
  <c r="AC655" i="16"/>
  <c r="AC637" i="16"/>
  <c r="AC619" i="16"/>
  <c r="AC601" i="16"/>
  <c r="AC582" i="16"/>
  <c r="AC566" i="16"/>
  <c r="AC554" i="16"/>
  <c r="AC540" i="16"/>
  <c r="AC528" i="16"/>
  <c r="AC515" i="16"/>
  <c r="AC502" i="16"/>
  <c r="AC490" i="16"/>
  <c r="AC476" i="16"/>
  <c r="AC464" i="16"/>
  <c r="AC451" i="16"/>
  <c r="AC438" i="16"/>
  <c r="AC426" i="16"/>
  <c r="AC412" i="16"/>
  <c r="AC400" i="16"/>
  <c r="AC387" i="16"/>
  <c r="AC374" i="16"/>
  <c r="AC362" i="16"/>
  <c r="AC348" i="16"/>
  <c r="AC336" i="16"/>
  <c r="AC323" i="16"/>
  <c r="AC310" i="16"/>
  <c r="AC298" i="16"/>
  <c r="AC284" i="16"/>
  <c r="AC272" i="16"/>
  <c r="AC259" i="16"/>
  <c r="AC246" i="16"/>
  <c r="AC234" i="16"/>
  <c r="AC220" i="16"/>
  <c r="AC208" i="16"/>
  <c r="AC195" i="16"/>
  <c r="AC182" i="16"/>
  <c r="AC170" i="16"/>
  <c r="AC156" i="16"/>
  <c r="AC144" i="16"/>
  <c r="AC131" i="16"/>
  <c r="AC118" i="16"/>
  <c r="AC106" i="16"/>
  <c r="AC92" i="16"/>
  <c r="AC80" i="16"/>
  <c r="AC67" i="16"/>
  <c r="AC54" i="16"/>
  <c r="AC45" i="16"/>
  <c r="AC36" i="16"/>
  <c r="AC27" i="16"/>
  <c r="AC18" i="16"/>
  <c r="AC8" i="16"/>
  <c r="AC1505" i="16"/>
  <c r="AC1463" i="16"/>
  <c r="AC1409" i="16"/>
  <c r="AC1359" i="16"/>
  <c r="AC1316" i="16"/>
  <c r="AC1263" i="16"/>
  <c r="AC1222" i="16"/>
  <c r="AC1191" i="16"/>
  <c r="AC1155" i="16"/>
  <c r="AC1119" i="16"/>
  <c r="AC1090" i="16"/>
  <c r="AC1052" i="16"/>
  <c r="AC1018" i="16"/>
  <c r="AC987" i="16"/>
  <c r="AC950" i="16"/>
  <c r="AC918" i="16"/>
  <c r="AC892" i="16"/>
  <c r="AC862" i="16"/>
  <c r="AC833" i="16"/>
  <c r="AC807" i="16"/>
  <c r="AC777" i="16"/>
  <c r="AC754" i="16"/>
  <c r="AC732" i="16"/>
  <c r="AC711" i="16"/>
  <c r="AC691" i="16"/>
  <c r="AC673" i="16"/>
  <c r="AC654" i="16"/>
  <c r="AC636" i="16"/>
  <c r="AC618" i="16"/>
  <c r="AC599" i="16"/>
  <c r="AC581" i="16"/>
  <c r="AC564" i="16"/>
  <c r="AC552" i="16"/>
  <c r="AC539" i="16"/>
  <c r="AC526" i="16"/>
  <c r="AC514" i="16"/>
  <c r="AC500" i="16"/>
  <c r="AC488" i="16"/>
  <c r="AC475" i="16"/>
  <c r="AC462" i="16"/>
  <c r="AC450" i="16"/>
  <c r="AC436" i="16"/>
  <c r="AC424" i="16"/>
  <c r="AC411" i="16"/>
  <c r="AC398" i="16"/>
  <c r="AC386" i="16"/>
  <c r="AC372" i="16"/>
  <c r="AC360" i="16"/>
  <c r="AC347" i="16"/>
  <c r="AC334" i="16"/>
  <c r="AC322" i="16"/>
  <c r="AC308" i="16"/>
  <c r="AC296" i="16"/>
  <c r="AC283" i="16"/>
  <c r="AC270" i="16"/>
  <c r="AC258" i="16"/>
  <c r="AC244" i="16"/>
  <c r="AC232" i="16"/>
  <c r="AC219" i="16"/>
  <c r="AC206" i="16"/>
  <c r="AC194" i="16"/>
  <c r="AC180" i="16"/>
  <c r="AC168" i="16"/>
  <c r="AC155" i="16"/>
  <c r="AC142" i="16"/>
  <c r="AC130" i="16"/>
  <c r="AC116" i="16"/>
  <c r="AC104" i="16"/>
  <c r="AC91" i="16"/>
  <c r="AC78" i="16"/>
  <c r="AC66" i="16"/>
  <c r="AC53" i="16"/>
  <c r="AC44" i="16"/>
  <c r="AC35" i="16"/>
  <c r="AC26" i="16"/>
  <c r="AC16" i="16"/>
  <c r="AC7" i="16"/>
  <c r="AC1500" i="16"/>
  <c r="AC1450" i="16"/>
  <c r="AC1408" i="16"/>
  <c r="AC1354" i="16"/>
  <c r="AC1304" i="16"/>
  <c r="AC1261" i="16"/>
  <c r="AC1219" i="16"/>
  <c r="AC1183" i="16"/>
  <c r="AC1154" i="16"/>
  <c r="AC1116" i="16"/>
  <c r="AC1082" i="16"/>
  <c r="AC1051" i="16"/>
  <c r="AC1014" i="16"/>
  <c r="AC979" i="16"/>
  <c r="AC1499" i="16"/>
  <c r="AC1445" i="16"/>
  <c r="AC1395" i="16"/>
  <c r="AC1353" i="16"/>
  <c r="AC1299" i="16"/>
  <c r="AC1249" i="16"/>
  <c r="AC1218" i="16"/>
  <c r="AC1180" i="16"/>
  <c r="AC1146" i="16"/>
  <c r="AC1115" i="16"/>
  <c r="AC1078" i="16"/>
  <c r="AC1043" i="16"/>
  <c r="AC1012" i="16"/>
  <c r="AC975" i="16"/>
  <c r="AC940" i="16"/>
  <c r="AC914" i="16"/>
  <c r="AC883" i="16"/>
  <c r="AC854" i="16"/>
  <c r="AC828" i="16"/>
  <c r="AC798" i="16"/>
  <c r="AC769" i="16"/>
  <c r="AC747" i="16"/>
  <c r="AC726" i="16"/>
  <c r="AC705" i="16"/>
  <c r="AC685" i="16"/>
  <c r="AC667" i="16"/>
  <c r="AC649" i="16"/>
  <c r="AC630" i="16"/>
  <c r="AC612" i="16"/>
  <c r="AC594" i="16"/>
  <c r="AC575" i="16"/>
  <c r="AC562" i="16"/>
  <c r="AC548" i="16"/>
  <c r="AC536" i="16"/>
  <c r="AC523" i="16"/>
  <c r="AC510" i="16"/>
  <c r="AC498" i="16"/>
  <c r="AC484" i="16"/>
  <c r="AC472" i="16"/>
  <c r="AC459" i="16"/>
  <c r="AC446" i="16"/>
  <c r="AC434" i="16"/>
  <c r="AC420" i="16"/>
  <c r="AC408" i="16"/>
  <c r="AC395" i="16"/>
  <c r="AC382" i="16"/>
  <c r="AC370" i="16"/>
  <c r="AC356" i="16"/>
  <c r="AC344" i="16"/>
  <c r="AC331" i="16"/>
  <c r="AC318" i="16"/>
  <c r="AC306" i="16"/>
  <c r="AC292" i="16"/>
  <c r="AC280" i="16"/>
  <c r="AC267" i="16"/>
  <c r="AC254" i="16"/>
  <c r="AC242" i="16"/>
  <c r="AC228" i="16"/>
  <c r="AC216" i="16"/>
  <c r="AC203" i="16"/>
  <c r="AC190" i="16"/>
  <c r="AC178" i="16"/>
  <c r="AC164" i="16"/>
  <c r="AC152" i="16"/>
  <c r="AC139" i="16"/>
  <c r="AC126" i="16"/>
  <c r="AC114" i="16"/>
  <c r="AC100" i="16"/>
  <c r="AC88" i="16"/>
  <c r="AC75" i="16"/>
  <c r="AC62" i="16"/>
  <c r="AC51" i="16"/>
  <c r="AC42" i="16"/>
  <c r="AC32" i="16"/>
  <c r="AC23" i="16"/>
  <c r="AC14" i="16"/>
  <c r="AC5" i="16"/>
  <c r="AC1482" i="16"/>
  <c r="AC1432" i="16"/>
  <c r="AC1389" i="16"/>
  <c r="AC1336" i="16"/>
  <c r="AC1285" i="16"/>
  <c r="AC1244" i="16"/>
  <c r="AC1206" i="16"/>
  <c r="AC1171" i="16"/>
  <c r="AC1140" i="16"/>
  <c r="AC1103" i="16"/>
  <c r="AC1068" i="16"/>
  <c r="AC1038" i="16"/>
  <c r="AC1002" i="16"/>
  <c r="AC966" i="16"/>
  <c r="AC935" i="16"/>
  <c r="AC905" i="16"/>
  <c r="AC875" i="16"/>
  <c r="AC850" i="16"/>
  <c r="AC819" i="16"/>
  <c r="AC790" i="16"/>
  <c r="AC764" i="16"/>
  <c r="AC743" i="16"/>
  <c r="AC722" i="16"/>
  <c r="AC700" i="16"/>
  <c r="AC682" i="16"/>
  <c r="AC663" i="16"/>
  <c r="AC645" i="16"/>
  <c r="AC627" i="16"/>
  <c r="AC609" i="16"/>
  <c r="AC590" i="16"/>
  <c r="AC572" i="16"/>
  <c r="AC558" i="16"/>
  <c r="AC546" i="16"/>
  <c r="AC532" i="16"/>
  <c r="AC520" i="16"/>
  <c r="AC507" i="16"/>
  <c r="AC494" i="16"/>
  <c r="AC482" i="16"/>
  <c r="AC468" i="16"/>
  <c r="AC456" i="16"/>
  <c r="AC443" i="16"/>
  <c r="AC430" i="16"/>
  <c r="AC418" i="16"/>
  <c r="AC404" i="16"/>
  <c r="AC392" i="16"/>
  <c r="AC379" i="16"/>
  <c r="AC366" i="16"/>
  <c r="AC354" i="16"/>
  <c r="AC340" i="16"/>
  <c r="AC328" i="16"/>
  <c r="AC315" i="16"/>
  <c r="AC302" i="16"/>
  <c r="AC290" i="16"/>
  <c r="AC276" i="16"/>
  <c r="AC264" i="16"/>
  <c r="AC251" i="16"/>
  <c r="AC238" i="16"/>
  <c r="AC226" i="16"/>
  <c r="AC212" i="16"/>
  <c r="AC200" i="16"/>
  <c r="AC187" i="16"/>
  <c r="AC174" i="16"/>
  <c r="AC162" i="16"/>
  <c r="AC148" i="16"/>
  <c r="AC136" i="16"/>
  <c r="AC123" i="16"/>
  <c r="AC110" i="16"/>
  <c r="AC98" i="16"/>
  <c r="AC84" i="16"/>
  <c r="AC72" i="16"/>
  <c r="AC59" i="16"/>
  <c r="AC48" i="16"/>
  <c r="AC39" i="16"/>
  <c r="AC1487" i="16"/>
  <c r="AC1204" i="16"/>
  <c r="AC1066" i="16"/>
  <c r="AC938" i="16"/>
  <c r="AC860" i="16"/>
  <c r="AC787" i="16"/>
  <c r="AC723" i="16"/>
  <c r="AC669" i="16"/>
  <c r="AC623" i="16"/>
  <c r="AC573" i="16"/>
  <c r="AC538" i="16"/>
  <c r="AC506" i="16"/>
  <c r="AC470" i="16"/>
  <c r="AC435" i="16"/>
  <c r="AC403" i="16"/>
  <c r="AC368" i="16"/>
  <c r="AC332" i="16"/>
  <c r="AC300" i="16"/>
  <c r="AC266" i="16"/>
  <c r="AC230" i="16"/>
  <c r="AC198" i="16"/>
  <c r="AC163" i="16"/>
  <c r="AC128" i="16"/>
  <c r="AC96" i="16"/>
  <c r="AC60" i="16"/>
  <c r="AC34" i="16"/>
  <c r="AC15" i="16"/>
  <c r="AC1444" i="16"/>
  <c r="AC1179" i="16"/>
  <c r="AC1039" i="16"/>
  <c r="AC929" i="16"/>
  <c r="AC851" i="16"/>
  <c r="AC775" i="16"/>
  <c r="AC718" i="16"/>
  <c r="AC665" i="16"/>
  <c r="AC614" i="16"/>
  <c r="AC571" i="16"/>
  <c r="AC534" i="16"/>
  <c r="AC499" i="16"/>
  <c r="AC467" i="16"/>
  <c r="AC432" i="16"/>
  <c r="AC396" i="16"/>
  <c r="AC364" i="16"/>
  <c r="AC330" i="16"/>
  <c r="AC294" i="16"/>
  <c r="AC262" i="16"/>
  <c r="AC227" i="16"/>
  <c r="AC192" i="16"/>
  <c r="AC160" i="16"/>
  <c r="AC124" i="16"/>
  <c r="AC90" i="16"/>
  <c r="AC58" i="16"/>
  <c r="AC31" i="16"/>
  <c r="AC13" i="16"/>
  <c r="AC1391" i="16"/>
  <c r="AC1167" i="16"/>
  <c r="AC1030" i="16"/>
  <c r="AC915" i="16"/>
  <c r="AC843" i="16"/>
  <c r="AC766" i="16"/>
  <c r="AC707" i="16"/>
  <c r="AC660" i="16"/>
  <c r="AC610" i="16"/>
  <c r="AC563" i="16"/>
  <c r="AC531" i="16"/>
  <c r="AC496" i="16"/>
  <c r="AC460" i="16"/>
  <c r="AC428" i="16"/>
  <c r="AC394" i="16"/>
  <c r="AC358" i="16"/>
  <c r="AC326" i="16"/>
  <c r="AC291" i="16"/>
  <c r="AC256" i="16"/>
  <c r="AC224" i="16"/>
  <c r="AC188" i="16"/>
  <c r="AC154" i="16"/>
  <c r="AC122" i="16"/>
  <c r="AC86" i="16"/>
  <c r="AC52" i="16"/>
  <c r="AC30" i="16"/>
  <c r="AC12" i="16"/>
  <c r="AC1340" i="16"/>
  <c r="AC1142" i="16"/>
  <c r="AC1004" i="16"/>
  <c r="AC907" i="16"/>
  <c r="AC830" i="16"/>
  <c r="AC761" i="16"/>
  <c r="AC702" i="16"/>
  <c r="AC651" i="16"/>
  <c r="AC605" i="16"/>
  <c r="AC560" i="16"/>
  <c r="AC524" i="16"/>
  <c r="AC492" i="16"/>
  <c r="AC458" i="16"/>
  <c r="AC422" i="16"/>
  <c r="AC390" i="16"/>
  <c r="AC355" i="16"/>
  <c r="AC320" i="16"/>
  <c r="AC288" i="16"/>
  <c r="AC252" i="16"/>
  <c r="AC218" i="16"/>
  <c r="AC186" i="16"/>
  <c r="AC150" i="16"/>
  <c r="AC115" i="16"/>
  <c r="AC83" i="16"/>
  <c r="AC50" i="16"/>
  <c r="AC29" i="16"/>
  <c r="AC11" i="16"/>
  <c r="AC1298" i="16"/>
  <c r="AC1132" i="16"/>
  <c r="AC999" i="16"/>
  <c r="AC903" i="16"/>
  <c r="AC822" i="16"/>
  <c r="AC750" i="16"/>
  <c r="AC697" i="16"/>
  <c r="AC646" i="16"/>
  <c r="AC596" i="16"/>
  <c r="AC556" i="16"/>
  <c r="AC522" i="16"/>
  <c r="AC486" i="16"/>
  <c r="AC454" i="16"/>
  <c r="AC419" i="16"/>
  <c r="AC384" i="16"/>
  <c r="AC352" i="16"/>
  <c r="AC316" i="16"/>
  <c r="AC282" i="16"/>
  <c r="AC250" i="16"/>
  <c r="AC214" i="16"/>
  <c r="AC179" i="16"/>
  <c r="AC147" i="16"/>
  <c r="AC112" i="16"/>
  <c r="AC76" i="16"/>
  <c r="AC47" i="16"/>
  <c r="AC24" i="16"/>
  <c r="AC6" i="16"/>
  <c r="AC43" i="16"/>
  <c r="AC138" i="16"/>
  <c r="AC236" i="16"/>
  <c r="AC314" i="16"/>
  <c r="AC410" i="16"/>
  <c r="AC508" i="16"/>
  <c r="AC591" i="16"/>
  <c r="AC739" i="16"/>
  <c r="AC948" i="16"/>
  <c r="AC1245" i="16"/>
  <c r="AE8" i="16"/>
  <c r="AE17" i="16"/>
  <c r="AE26" i="16"/>
  <c r="AE35" i="16"/>
  <c r="AE44" i="16"/>
  <c r="AE53" i="16"/>
  <c r="AE64" i="16"/>
  <c r="AE74" i="16"/>
  <c r="AE85" i="16"/>
  <c r="AE96" i="16"/>
  <c r="AE106" i="16"/>
  <c r="AE117" i="16"/>
  <c r="AE128" i="16"/>
  <c r="AE138" i="16"/>
  <c r="AE149" i="16"/>
  <c r="AE160" i="16"/>
  <c r="AE173" i="16"/>
  <c r="AE185" i="16"/>
  <c r="AE199" i="16"/>
  <c r="AE212" i="16"/>
  <c r="AE224" i="16"/>
  <c r="AE237" i="16"/>
  <c r="AE249" i="16"/>
  <c r="AE265" i="16"/>
  <c r="AE280" i="16"/>
  <c r="AE293" i="16"/>
  <c r="AE312" i="16"/>
  <c r="AE330" i="16"/>
  <c r="AE348" i="16"/>
  <c r="AE366" i="16"/>
  <c r="AE385" i="16"/>
  <c r="AE403" i="16"/>
  <c r="AE421" i="16"/>
  <c r="AE440" i="16"/>
  <c r="AE458" i="16"/>
  <c r="AE476" i="16"/>
  <c r="AE494" i="16"/>
  <c r="AE513" i="16"/>
  <c r="AE531" i="16"/>
  <c r="AE549" i="16"/>
  <c r="AE568" i="16"/>
  <c r="AE592" i="16"/>
  <c r="AE614" i="16"/>
  <c r="AE641" i="16"/>
  <c r="AE669" i="16"/>
  <c r="AE701" i="16"/>
  <c r="AE737" i="16"/>
  <c r="AE770" i="16"/>
  <c r="AE802" i="16"/>
  <c r="AE840" i="16"/>
  <c r="AE873" i="16"/>
  <c r="AE917" i="16"/>
  <c r="AE1012" i="16"/>
  <c r="AE9" i="16"/>
  <c r="AE18" i="16"/>
  <c r="AE27" i="16"/>
  <c r="AE36" i="16"/>
  <c r="AE45" i="16"/>
  <c r="AE55" i="16"/>
  <c r="AE65" i="16"/>
  <c r="AE76" i="16"/>
  <c r="AE87" i="16"/>
  <c r="AE97" i="16"/>
  <c r="AE108" i="16"/>
  <c r="AE119" i="16"/>
  <c r="AE129" i="16"/>
  <c r="AE140" i="16"/>
  <c r="AE151" i="16"/>
  <c r="AE161" i="16"/>
  <c r="AE175" i="16"/>
  <c r="AE188" i="16"/>
  <c r="AE200" i="16"/>
  <c r="AE213" i="16"/>
  <c r="AE225" i="16"/>
  <c r="AE239" i="16"/>
  <c r="AE252" i="16"/>
  <c r="AE266" i="16"/>
  <c r="AE281" i="16"/>
  <c r="AE294" i="16"/>
  <c r="AE313" i="16"/>
  <c r="AE331" i="16"/>
  <c r="AE349" i="16"/>
  <c r="AE368" i="16"/>
  <c r="AE386" i="16"/>
  <c r="AE404" i="16"/>
  <c r="AE422" i="16"/>
  <c r="AE441" i="16"/>
  <c r="AE459" i="16"/>
  <c r="AE477" i="16"/>
  <c r="AE496" i="16"/>
  <c r="AE514" i="16"/>
  <c r="AE532" i="16"/>
  <c r="AE550" i="16"/>
  <c r="AE569" i="16"/>
  <c r="AE595" i="16"/>
  <c r="AE619" i="16"/>
  <c r="AE642" i="16"/>
  <c r="AE673" i="16"/>
  <c r="AE706" i="16"/>
  <c r="AE738" i="16"/>
  <c r="AE776" i="16"/>
  <c r="AE809" i="16"/>
  <c r="AE841" i="16"/>
  <c r="AE878" i="16"/>
  <c r="AE918" i="16"/>
  <c r="AE1029" i="16"/>
  <c r="AE334" i="16"/>
  <c r="AE353" i="16"/>
  <c r="AE371" i="16"/>
  <c r="AE389" i="16"/>
  <c r="AE408" i="16"/>
  <c r="AE426" i="16"/>
  <c r="AE444" i="16"/>
  <c r="AE462" i="16"/>
  <c r="AE481" i="16"/>
  <c r="AE499" i="16"/>
  <c r="AE517" i="16"/>
  <c r="AE536" i="16"/>
  <c r="AE554" i="16"/>
  <c r="AE573" i="16"/>
  <c r="AE596" i="16"/>
  <c r="AE622" i="16"/>
  <c r="AE648" i="16"/>
  <c r="AE674" i="16"/>
  <c r="AE712" i="16"/>
  <c r="AE745" i="16"/>
  <c r="AE777" i="16"/>
  <c r="AE814" i="16"/>
  <c r="AE848" i="16"/>
  <c r="AE880" i="16"/>
  <c r="AE930" i="16"/>
  <c r="AE1531" i="16"/>
  <c r="AE1523" i="16"/>
  <c r="AE1515" i="16"/>
  <c r="AE1507" i="16"/>
  <c r="AE1499" i="16"/>
  <c r="AE1491" i="16"/>
  <c r="AE1483" i="16"/>
  <c r="AE1475" i="16"/>
  <c r="AE1467" i="16"/>
  <c r="AE1459" i="16"/>
  <c r="AE1451" i="16"/>
  <c r="AE1443" i="16"/>
  <c r="AE1435" i="16"/>
  <c r="AE1427" i="16"/>
  <c r="AE1419" i="16"/>
  <c r="AE1411" i="16"/>
  <c r="AE1403" i="16"/>
  <c r="AE1395" i="16"/>
  <c r="AE1387" i="16"/>
  <c r="AE1379" i="16"/>
  <c r="AE1371" i="16"/>
  <c r="AE1363" i="16"/>
  <c r="AE1355" i="16"/>
  <c r="AE1347" i="16"/>
  <c r="AE1534" i="16"/>
  <c r="AE1525" i="16"/>
  <c r="AE1516" i="16"/>
  <c r="AE1506" i="16"/>
  <c r="AE1497" i="16"/>
  <c r="AE1488" i="16"/>
  <c r="AE1479" i="16"/>
  <c r="AE1470" i="16"/>
  <c r="AE1461" i="16"/>
  <c r="AE1452" i="16"/>
  <c r="AE1442" i="16"/>
  <c r="AE1433" i="16"/>
  <c r="AE1424" i="16"/>
  <c r="AE1415" i="16"/>
  <c r="AE1406" i="16"/>
  <c r="AE1397" i="16"/>
  <c r="AE1388" i="16"/>
  <c r="AE1378" i="16"/>
  <c r="AE1369" i="16"/>
  <c r="AE1360" i="16"/>
  <c r="AE1351" i="16"/>
  <c r="AE1342" i="16"/>
  <c r="AE1334" i="16"/>
  <c r="AE1326" i="16"/>
  <c r="AE1318" i="16"/>
  <c r="AE1310" i="16"/>
  <c r="AE1302" i="16"/>
  <c r="AE1294" i="16"/>
  <c r="AE1286" i="16"/>
  <c r="AE1278" i="16"/>
  <c r="AE1270" i="16"/>
  <c r="AE1262" i="16"/>
  <c r="AE1254" i="16"/>
  <c r="AE1246" i="16"/>
  <c r="AE1238" i="16"/>
  <c r="AE1230" i="16"/>
  <c r="AE1222" i="16"/>
  <c r="AE1214" i="16"/>
  <c r="AE1206" i="16"/>
  <c r="AE1198" i="16"/>
  <c r="AE1190" i="16"/>
  <c r="AE1182" i="16"/>
  <c r="AE1174" i="16"/>
  <c r="AE1166" i="16"/>
  <c r="AE1158" i="16"/>
  <c r="AE1150" i="16"/>
  <c r="AE1142" i="16"/>
  <c r="AE1134" i="16"/>
  <c r="AE1126" i="16"/>
  <c r="AE1118" i="16"/>
  <c r="AE1110" i="16"/>
  <c r="AE1102" i="16"/>
  <c r="AE1094" i="16"/>
  <c r="AE1086" i="16"/>
  <c r="AE1078" i="16"/>
  <c r="AE1070" i="16"/>
  <c r="AE1062" i="16"/>
  <c r="AE1054" i="16"/>
  <c r="AE1046" i="16"/>
  <c r="AE1038" i="16"/>
  <c r="AE1030" i="16"/>
  <c r="AE1022" i="16"/>
  <c r="AE1014" i="16"/>
  <c r="AE1006" i="16"/>
  <c r="AE998" i="16"/>
  <c r="AE990" i="16"/>
  <c r="AE1533" i="16"/>
  <c r="AE1524" i="16"/>
  <c r="AE1514" i="16"/>
  <c r="AE1505" i="16"/>
  <c r="AE1496" i="16"/>
  <c r="AE1487" i="16"/>
  <c r="AE1478" i="16"/>
  <c r="AE1469" i="16"/>
  <c r="AE1460" i="16"/>
  <c r="AE1450" i="16"/>
  <c r="AE1441" i="16"/>
  <c r="AE1432" i="16"/>
  <c r="AE1423" i="16"/>
  <c r="AE1414" i="16"/>
  <c r="AE1405" i="16"/>
  <c r="AE1396" i="16"/>
  <c r="AE1386" i="16"/>
  <c r="AE1377" i="16"/>
  <c r="AE1529" i="16"/>
  <c r="AE1520" i="16"/>
  <c r="AE1511" i="16"/>
  <c r="AE1502" i="16"/>
  <c r="AE1493" i="16"/>
  <c r="AE1484" i="16"/>
  <c r="AE1474" i="16"/>
  <c r="AE1465" i="16"/>
  <c r="AE1456" i="16"/>
  <c r="AE1447" i="16"/>
  <c r="AE1438" i="16"/>
  <c r="AE1429" i="16"/>
  <c r="AE1420" i="16"/>
  <c r="AE1410" i="16"/>
  <c r="AE1401" i="16"/>
  <c r="AE1392" i="16"/>
  <c r="AE1383" i="16"/>
  <c r="AE1374" i="16"/>
  <c r="AE1365" i="16"/>
  <c r="AE1356" i="16"/>
  <c r="AE1346" i="16"/>
  <c r="AE1338" i="16"/>
  <c r="AE1330" i="16"/>
  <c r="AE1322" i="16"/>
  <c r="AE1314" i="16"/>
  <c r="AE1306" i="16"/>
  <c r="AE1298" i="16"/>
  <c r="AE1290" i="16"/>
  <c r="AE1282" i="16"/>
  <c r="AE1274" i="16"/>
  <c r="AE1266" i="16"/>
  <c r="AE1258" i="16"/>
  <c r="AE1250" i="16"/>
  <c r="AE1242" i="16"/>
  <c r="AE1234" i="16"/>
  <c r="AE1226" i="16"/>
  <c r="AE1218" i="16"/>
  <c r="AE1210" i="16"/>
  <c r="AE1202" i="16"/>
  <c r="AE1194" i="16"/>
  <c r="AE1186" i="16"/>
  <c r="AE1178" i="16"/>
  <c r="AE1170" i="16"/>
  <c r="AE1162" i="16"/>
  <c r="AE1154" i="16"/>
  <c r="AE1146" i="16"/>
  <c r="AE1527" i="16"/>
  <c r="AE1518" i="16"/>
  <c r="AE1509" i="16"/>
  <c r="AE1500" i="16"/>
  <c r="AE1490" i="16"/>
  <c r="AE1481" i="16"/>
  <c r="AE1472" i="16"/>
  <c r="AE1463" i="16"/>
  <c r="AE1454" i="16"/>
  <c r="AE1445" i="16"/>
  <c r="AE1436" i="16"/>
  <c r="AE1426" i="16"/>
  <c r="AE1417" i="16"/>
  <c r="AE1408" i="16"/>
  <c r="AE1399" i="16"/>
  <c r="AE1390" i="16"/>
  <c r="AE1381" i="16"/>
  <c r="AE1372" i="16"/>
  <c r="AE1362" i="16"/>
  <c r="AE1353" i="16"/>
  <c r="AE1344" i="16"/>
  <c r="AE1336" i="16"/>
  <c r="AE1328" i="16"/>
  <c r="AE1320" i="16"/>
  <c r="AE1312" i="16"/>
  <c r="AE1304" i="16"/>
  <c r="AE1296" i="16"/>
  <c r="AE1288" i="16"/>
  <c r="AE1280" i="16"/>
  <c r="AE1272" i="16"/>
  <c r="AE1264" i="16"/>
  <c r="AE1256" i="16"/>
  <c r="AE1248" i="16"/>
  <c r="AE1240" i="16"/>
  <c r="AE1232" i="16"/>
  <c r="AE1224" i="16"/>
  <c r="AE1216" i="16"/>
  <c r="AE1208" i="16"/>
  <c r="AE1200" i="16"/>
  <c r="AE1192" i="16"/>
  <c r="AE1184" i="16"/>
  <c r="AE1176" i="16"/>
  <c r="AE1168" i="16"/>
  <c r="AE1160" i="16"/>
  <c r="AE1152" i="16"/>
  <c r="AE1144" i="16"/>
  <c r="AE1136" i="16"/>
  <c r="AE1128" i="16"/>
  <c r="AE1120" i="16"/>
  <c r="AE1112" i="16"/>
  <c r="AE1104" i="16"/>
  <c r="AE1096" i="16"/>
  <c r="AE1088" i="16"/>
  <c r="AE1080" i="16"/>
  <c r="AE1072" i="16"/>
  <c r="AE1064" i="16"/>
  <c r="AE1056" i="16"/>
  <c r="AE1048" i="16"/>
  <c r="AE1040" i="16"/>
  <c r="AE1032" i="16"/>
  <c r="AE1024" i="16"/>
  <c r="AE1016" i="16"/>
  <c r="AE1008" i="16"/>
  <c r="AE1519" i="16"/>
  <c r="AE1501" i="16"/>
  <c r="AE1482" i="16"/>
  <c r="AE1464" i="16"/>
  <c r="AE1446" i="16"/>
  <c r="AE1428" i="16"/>
  <c r="AE1409" i="16"/>
  <c r="AE1391" i="16"/>
  <c r="AE1373" i="16"/>
  <c r="AE1358" i="16"/>
  <c r="AE1343" i="16"/>
  <c r="AE1331" i="16"/>
  <c r="AE1317" i="16"/>
  <c r="AE1305" i="16"/>
  <c r="AE1292" i="16"/>
  <c r="AE1279" i="16"/>
  <c r="AE1267" i="16"/>
  <c r="AE1253" i="16"/>
  <c r="AE1241" i="16"/>
  <c r="AE1228" i="16"/>
  <c r="AE1215" i="16"/>
  <c r="AE1203" i="16"/>
  <c r="AE1189" i="16"/>
  <c r="AE1177" i="16"/>
  <c r="AE1164" i="16"/>
  <c r="AE1151" i="16"/>
  <c r="AE1139" i="16"/>
  <c r="AE1129" i="16"/>
  <c r="AE1117" i="16"/>
  <c r="AE1107" i="16"/>
  <c r="AE1097" i="16"/>
  <c r="AE1085" i="16"/>
  <c r="AE1075" i="16"/>
  <c r="AE1065" i="16"/>
  <c r="AE1053" i="16"/>
  <c r="AE1043" i="16"/>
  <c r="AE1033" i="16"/>
  <c r="AE1021" i="16"/>
  <c r="AE1011" i="16"/>
  <c r="AE1001" i="16"/>
  <c r="AE992" i="16"/>
  <c r="AE983" i="16"/>
  <c r="AE975" i="16"/>
  <c r="AE967" i="16"/>
  <c r="AE959" i="16"/>
  <c r="AE951" i="16"/>
  <c r="AE943" i="16"/>
  <c r="AE935" i="16"/>
  <c r="AE927" i="16"/>
  <c r="AE919" i="16"/>
  <c r="AE911" i="16"/>
  <c r="AE903" i="16"/>
  <c r="AE895" i="16"/>
  <c r="AE887" i="16"/>
  <c r="AE879" i="16"/>
  <c r="AE871" i="16"/>
  <c r="AE863" i="16"/>
  <c r="AE855" i="16"/>
  <c r="AE847" i="16"/>
  <c r="AE839" i="16"/>
  <c r="AE831" i="16"/>
  <c r="AE823" i="16"/>
  <c r="AE815" i="16"/>
  <c r="AE807" i="16"/>
  <c r="AE799" i="16"/>
  <c r="AE791" i="16"/>
  <c r="AE783" i="16"/>
  <c r="AE775" i="16"/>
  <c r="AE767" i="16"/>
  <c r="AE759" i="16"/>
  <c r="AE751" i="16"/>
  <c r="AE743" i="16"/>
  <c r="AE735" i="16"/>
  <c r="AE727" i="16"/>
  <c r="AE719" i="16"/>
  <c r="AE711" i="16"/>
  <c r="AE703" i="16"/>
  <c r="AE695" i="16"/>
  <c r="AE687" i="16"/>
  <c r="AE679" i="16"/>
  <c r="AE671" i="16"/>
  <c r="AE663" i="16"/>
  <c r="AE655" i="16"/>
  <c r="AE647" i="16"/>
  <c r="AE639" i="16"/>
  <c r="AE631" i="16"/>
  <c r="AE623" i="16"/>
  <c r="AE615" i="16"/>
  <c r="AE607" i="16"/>
  <c r="AE599" i="16"/>
  <c r="AE591" i="16"/>
  <c r="AE583" i="16"/>
  <c r="AE575" i="16"/>
  <c r="AE567" i="16"/>
  <c r="AE559" i="16"/>
  <c r="AE551" i="16"/>
  <c r="AE543" i="16"/>
  <c r="AE535" i="16"/>
  <c r="AE527" i="16"/>
  <c r="AE519" i="16"/>
  <c r="AE511" i="16"/>
  <c r="AE503" i="16"/>
  <c r="AE495" i="16"/>
  <c r="AE487" i="16"/>
  <c r="AE479" i="16"/>
  <c r="AE471" i="16"/>
  <c r="AE463" i="16"/>
  <c r="AE455" i="16"/>
  <c r="AE447" i="16"/>
  <c r="AE439" i="16"/>
  <c r="AE431" i="16"/>
  <c r="AE423" i="16"/>
  <c r="AE415" i="16"/>
  <c r="AE407" i="16"/>
  <c r="AE399" i="16"/>
  <c r="AE391" i="16"/>
  <c r="AE383" i="16"/>
  <c r="AE375" i="16"/>
  <c r="AE367" i="16"/>
  <c r="AE359" i="16"/>
  <c r="AE351" i="16"/>
  <c r="AE343" i="16"/>
  <c r="AE335" i="16"/>
  <c r="AE327" i="16"/>
  <c r="AE319" i="16"/>
  <c r="AE311" i="16"/>
  <c r="AE303" i="16"/>
  <c r="AE295" i="16"/>
  <c r="AE287" i="16"/>
  <c r="AE279" i="16"/>
  <c r="AE271" i="16"/>
  <c r="AE263" i="16"/>
  <c r="AE255" i="16"/>
  <c r="AE1535" i="16"/>
  <c r="AE1517" i="16"/>
  <c r="AE1498" i="16"/>
  <c r="AE1480" i="16"/>
  <c r="AE1462" i="16"/>
  <c r="AE1444" i="16"/>
  <c r="AE1532" i="16"/>
  <c r="AE1513" i="16"/>
  <c r="AE1495" i="16"/>
  <c r="AE1477" i="16"/>
  <c r="AE1458" i="16"/>
  <c r="AE1440" i="16"/>
  <c r="AE1422" i="16"/>
  <c r="AE1404" i="16"/>
  <c r="AE1385" i="16"/>
  <c r="AE1368" i="16"/>
  <c r="AE1354" i="16"/>
  <c r="AE1340" i="16"/>
  <c r="AE1327" i="16"/>
  <c r="AE1315" i="16"/>
  <c r="AE1301" i="16"/>
  <c r="AE1289" i="16"/>
  <c r="AE1276" i="16"/>
  <c r="AE1263" i="16"/>
  <c r="AE1251" i="16"/>
  <c r="AE1237" i="16"/>
  <c r="AE1225" i="16"/>
  <c r="AE1212" i="16"/>
  <c r="AE1199" i="16"/>
  <c r="AE1187" i="16"/>
  <c r="AE1173" i="16"/>
  <c r="AE1161" i="16"/>
  <c r="AE1148" i="16"/>
  <c r="AE1137" i="16"/>
  <c r="AE1125" i="16"/>
  <c r="AE1115" i="16"/>
  <c r="AE1105" i="16"/>
  <c r="AE1093" i="16"/>
  <c r="AE1083" i="16"/>
  <c r="AE1073" i="16"/>
  <c r="AE1061" i="16"/>
  <c r="AE1530" i="16"/>
  <c r="AE1512" i="16"/>
  <c r="AE1494" i="16"/>
  <c r="AE1476" i="16"/>
  <c r="AE1457" i="16"/>
  <c r="AE1439" i="16"/>
  <c r="AE1421" i="16"/>
  <c r="AE1402" i="16"/>
  <c r="AE1384" i="16"/>
  <c r="AE1367" i="16"/>
  <c r="AE1352" i="16"/>
  <c r="AE1339" i="16"/>
  <c r="AE1325" i="16"/>
  <c r="AE1313" i="16"/>
  <c r="AE1300" i="16"/>
  <c r="AE1287" i="16"/>
  <c r="AE1275" i="16"/>
  <c r="AE1261" i="16"/>
  <c r="AE1249" i="16"/>
  <c r="AE1236" i="16"/>
  <c r="AE1223" i="16"/>
  <c r="AE1211" i="16"/>
  <c r="AE1197" i="16"/>
  <c r="AE1185" i="16"/>
  <c r="AE1172" i="16"/>
  <c r="AE1159" i="16"/>
  <c r="AE1147" i="16"/>
  <c r="AE1135" i="16"/>
  <c r="AE1124" i="16"/>
  <c r="AE1114" i="16"/>
  <c r="AE1103" i="16"/>
  <c r="AE1092" i="16"/>
  <c r="AE1082" i="16"/>
  <c r="AE1071" i="16"/>
  <c r="AE1060" i="16"/>
  <c r="AE1050" i="16"/>
  <c r="AE1039" i="16"/>
  <c r="AE1028" i="16"/>
  <c r="AE1018" i="16"/>
  <c r="AE1007" i="16"/>
  <c r="AE997" i="16"/>
  <c r="AE988" i="16"/>
  <c r="AE980" i="16"/>
  <c r="AE972" i="16"/>
  <c r="AE964" i="16"/>
  <c r="AE956" i="16"/>
  <c r="AE948" i="16"/>
  <c r="AE940" i="16"/>
  <c r="AE932" i="16"/>
  <c r="AE924" i="16"/>
  <c r="AE916" i="16"/>
  <c r="AE908" i="16"/>
  <c r="AE900" i="16"/>
  <c r="AE892" i="16"/>
  <c r="AE884" i="16"/>
  <c r="AE876" i="16"/>
  <c r="AE868" i="16"/>
  <c r="AE860" i="16"/>
  <c r="AE852" i="16"/>
  <c r="AE844" i="16"/>
  <c r="AE836" i="16"/>
  <c r="AE828" i="16"/>
  <c r="AE820" i="16"/>
  <c r="AE812" i="16"/>
  <c r="AE804" i="16"/>
  <c r="AE796" i="16"/>
  <c r="AE788" i="16"/>
  <c r="AE780" i="16"/>
  <c r="AE772" i="16"/>
  <c r="AE764" i="16"/>
  <c r="AE756" i="16"/>
  <c r="AE748" i="16"/>
  <c r="AE740" i="16"/>
  <c r="AE732" i="16"/>
  <c r="AE724" i="16"/>
  <c r="AE716" i="16"/>
  <c r="AE708" i="16"/>
  <c r="AE700" i="16"/>
  <c r="AE692" i="16"/>
  <c r="AE684" i="16"/>
  <c r="AE676" i="16"/>
  <c r="AE668" i="16"/>
  <c r="AE660" i="16"/>
  <c r="AE652" i="16"/>
  <c r="AE644" i="16"/>
  <c r="AE1528" i="16"/>
  <c r="AE1510" i="16"/>
  <c r="AE1492" i="16"/>
  <c r="AE1473" i="16"/>
  <c r="AE1455" i="16"/>
  <c r="AE1437" i="16"/>
  <c r="AE1418" i="16"/>
  <c r="AE1400" i="16"/>
  <c r="AE1382" i="16"/>
  <c r="AE1366" i="16"/>
  <c r="AE1350" i="16"/>
  <c r="AE1337" i="16"/>
  <c r="AE1324" i="16"/>
  <c r="AE1311" i="16"/>
  <c r="AE1299" i="16"/>
  <c r="AE1285" i="16"/>
  <c r="AE1273" i="16"/>
  <c r="AE1260" i="16"/>
  <c r="AE1247" i="16"/>
  <c r="AE1235" i="16"/>
  <c r="AE1221" i="16"/>
  <c r="AE1209" i="16"/>
  <c r="AE1196" i="16"/>
  <c r="AE1183" i="16"/>
  <c r="AE1171" i="16"/>
  <c r="AE1157" i="16"/>
  <c r="AE1145" i="16"/>
  <c r="AE1133" i="16"/>
  <c r="AE1123" i="16"/>
  <c r="AE1113" i="16"/>
  <c r="AE1101" i="16"/>
  <c r="AE1091" i="16"/>
  <c r="AE1081" i="16"/>
  <c r="AE1069" i="16"/>
  <c r="AE1059" i="16"/>
  <c r="AE1049" i="16"/>
  <c r="AE1037" i="16"/>
  <c r="AE1027" i="16"/>
  <c r="AE1017" i="16"/>
  <c r="AE1005" i="16"/>
  <c r="AE996" i="16"/>
  <c r="AE987" i="16"/>
  <c r="AE979" i="16"/>
  <c r="AE971" i="16"/>
  <c r="AE963" i="16"/>
  <c r="AE955" i="16"/>
  <c r="AE947" i="16"/>
  <c r="AE939" i="16"/>
  <c r="AE931" i="16"/>
  <c r="AE923" i="16"/>
  <c r="AE915" i="16"/>
  <c r="AE907" i="16"/>
  <c r="AE899" i="16"/>
  <c r="AE891" i="16"/>
  <c r="AE883" i="16"/>
  <c r="AE875" i="16"/>
  <c r="AE867" i="16"/>
  <c r="AE859" i="16"/>
  <c r="AE851" i="16"/>
  <c r="AE843" i="16"/>
  <c r="AE835" i="16"/>
  <c r="AE827" i="16"/>
  <c r="AE819" i="16"/>
  <c r="AE811" i="16"/>
  <c r="AE803" i="16"/>
  <c r="AE795" i="16"/>
  <c r="AE787" i="16"/>
  <c r="AE779" i="16"/>
  <c r="AE771" i="16"/>
  <c r="AE763" i="16"/>
  <c r="AE755" i="16"/>
  <c r="AE747" i="16"/>
  <c r="AE739" i="16"/>
  <c r="AE731" i="16"/>
  <c r="AE723" i="16"/>
  <c r="AE715" i="16"/>
  <c r="AE707" i="16"/>
  <c r="AE699" i="16"/>
  <c r="AE691" i="16"/>
  <c r="AE683" i="16"/>
  <c r="AE675" i="16"/>
  <c r="AE1522" i="16"/>
  <c r="AE1504" i="16"/>
  <c r="AE1486" i="16"/>
  <c r="AE1468" i="16"/>
  <c r="AE1449" i="16"/>
  <c r="AE1466" i="16"/>
  <c r="AE1413" i="16"/>
  <c r="AE1376" i="16"/>
  <c r="AE1348" i="16"/>
  <c r="AE1321" i="16"/>
  <c r="AE1295" i="16"/>
  <c r="AE1269" i="16"/>
  <c r="AE1244" i="16"/>
  <c r="AE1219" i="16"/>
  <c r="AE1193" i="16"/>
  <c r="AE1167" i="16"/>
  <c r="AE1141" i="16"/>
  <c r="AE1121" i="16"/>
  <c r="AE1099" i="16"/>
  <c r="AE1077" i="16"/>
  <c r="AE1057" i="16"/>
  <c r="AE1041" i="16"/>
  <c r="AE1023" i="16"/>
  <c r="AE1004" i="16"/>
  <c r="AE991" i="16"/>
  <c r="AE977" i="16"/>
  <c r="AE965" i="16"/>
  <c r="AE952" i="16"/>
  <c r="AE938" i="16"/>
  <c r="AE926" i="16"/>
  <c r="AE913" i="16"/>
  <c r="AE901" i="16"/>
  <c r="AE888" i="16"/>
  <c r="AE874" i="16"/>
  <c r="AE862" i="16"/>
  <c r="AE849" i="16"/>
  <c r="AE837" i="16"/>
  <c r="AE824" i="16"/>
  <c r="AE810" i="16"/>
  <c r="AE798" i="16"/>
  <c r="AE785" i="16"/>
  <c r="AE773" i="16"/>
  <c r="AE760" i="16"/>
  <c r="AE746" i="16"/>
  <c r="AE734" i="16"/>
  <c r="AE721" i="16"/>
  <c r="AE709" i="16"/>
  <c r="AE696" i="16"/>
  <c r="AE682" i="16"/>
  <c r="AE670" i="16"/>
  <c r="AE659" i="16"/>
  <c r="AE649" i="16"/>
  <c r="AE638" i="16"/>
  <c r="AE629" i="16"/>
  <c r="AE620" i="16"/>
  <c r="AE611" i="16"/>
  <c r="AE602" i="16"/>
  <c r="AE593" i="16"/>
  <c r="AE584" i="16"/>
  <c r="AE574" i="16"/>
  <c r="AE565" i="16"/>
  <c r="AE556" i="16"/>
  <c r="AE547" i="16"/>
  <c r="AE538" i="16"/>
  <c r="AE529" i="16"/>
  <c r="AE520" i="16"/>
  <c r="AE510" i="16"/>
  <c r="AE501" i="16"/>
  <c r="AE492" i="16"/>
  <c r="AE483" i="16"/>
  <c r="AE474" i="16"/>
  <c r="AE465" i="16"/>
  <c r="AE456" i="16"/>
  <c r="AE446" i="16"/>
  <c r="AE437" i="16"/>
  <c r="AE428" i="16"/>
  <c r="AE419" i="16"/>
  <c r="AE410" i="16"/>
  <c r="AE401" i="16"/>
  <c r="AE392" i="16"/>
  <c r="AE382" i="16"/>
  <c r="AE373" i="16"/>
  <c r="AE364" i="16"/>
  <c r="AE355" i="16"/>
  <c r="AE346" i="16"/>
  <c r="AE337" i="16"/>
  <c r="AE328" i="16"/>
  <c r="AE318" i="16"/>
  <c r="AE309" i="16"/>
  <c r="AE300" i="16"/>
  <c r="AE291" i="16"/>
  <c r="AE282" i="16"/>
  <c r="AE273" i="16"/>
  <c r="AE264" i="16"/>
  <c r="AE254" i="16"/>
  <c r="AE246" i="16"/>
  <c r="AE238" i="16"/>
  <c r="AE230" i="16"/>
  <c r="AE222" i="16"/>
  <c r="AE214" i="16"/>
  <c r="AE206" i="16"/>
  <c r="AE198" i="16"/>
  <c r="AE190" i="16"/>
  <c r="AE182" i="16"/>
  <c r="AE174" i="16"/>
  <c r="AE166" i="16"/>
  <c r="AE158" i="16"/>
  <c r="AE150" i="16"/>
  <c r="AE142" i="16"/>
  <c r="AE134" i="16"/>
  <c r="AE126" i="16"/>
  <c r="AE118" i="16"/>
  <c r="AE110" i="16"/>
  <c r="AE102" i="16"/>
  <c r="AE94" i="16"/>
  <c r="AE86" i="16"/>
  <c r="AE78" i="16"/>
  <c r="AE70" i="16"/>
  <c r="AE62" i="16"/>
  <c r="AE54" i="16"/>
  <c r="AE46" i="16"/>
  <c r="AE38" i="16"/>
  <c r="AE30" i="16"/>
  <c r="AE22" i="16"/>
  <c r="AE14" i="16"/>
  <c r="AE6" i="16"/>
  <c r="AE1526" i="16"/>
  <c r="AE1453" i="16"/>
  <c r="AE1412" i="16"/>
  <c r="AE1375" i="16"/>
  <c r="AE1345" i="16"/>
  <c r="AE1319" i="16"/>
  <c r="AE1293" i="16"/>
  <c r="AE1268" i="16"/>
  <c r="AE1243" i="16"/>
  <c r="AE1217" i="16"/>
  <c r="AE1191" i="16"/>
  <c r="AE1165" i="16"/>
  <c r="AE1140" i="16"/>
  <c r="AE1119" i="16"/>
  <c r="AE1098" i="16"/>
  <c r="AE1076" i="16"/>
  <c r="AE1055" i="16"/>
  <c r="AE1036" i="16"/>
  <c r="AE1020" i="16"/>
  <c r="AE1003" i="16"/>
  <c r="AE989" i="16"/>
  <c r="AE976" i="16"/>
  <c r="AE962" i="16"/>
  <c r="AE950" i="16"/>
  <c r="AE937" i="16"/>
  <c r="AE925" i="16"/>
  <c r="AE912" i="16"/>
  <c r="AE898" i="16"/>
  <c r="AE1521" i="16"/>
  <c r="AE1448" i="16"/>
  <c r="AE1407" i="16"/>
  <c r="AE1370" i="16"/>
  <c r="AE1341" i="16"/>
  <c r="AE1316" i="16"/>
  <c r="AE1291" i="16"/>
  <c r="AE1265" i="16"/>
  <c r="AE1239" i="16"/>
  <c r="AE1213" i="16"/>
  <c r="AE1188" i="16"/>
  <c r="AE1163" i="16"/>
  <c r="AE1138" i="16"/>
  <c r="AE1116" i="16"/>
  <c r="AE1095" i="16"/>
  <c r="AE1074" i="16"/>
  <c r="AE1052" i="16"/>
  <c r="AE1035" i="16"/>
  <c r="AE1019" i="16"/>
  <c r="AE1002" i="16"/>
  <c r="AE986" i="16"/>
  <c r="AE974" i="16"/>
  <c r="AE961" i="16"/>
  <c r="AE949" i="16"/>
  <c r="AE936" i="16"/>
  <c r="AE922" i="16"/>
  <c r="AE910" i="16"/>
  <c r="AE897" i="16"/>
  <c r="AE885" i="16"/>
  <c r="AE872" i="16"/>
  <c r="AE858" i="16"/>
  <c r="AE846" i="16"/>
  <c r="AE833" i="16"/>
  <c r="AE821" i="16"/>
  <c r="AE808" i="16"/>
  <c r="AE794" i="16"/>
  <c r="AE782" i="16"/>
  <c r="AE769" i="16"/>
  <c r="AE757" i="16"/>
  <c r="AE744" i="16"/>
  <c r="AE730" i="16"/>
  <c r="AE718" i="16"/>
  <c r="AE705" i="16"/>
  <c r="AE693" i="16"/>
  <c r="AE680" i="16"/>
  <c r="AE667" i="16"/>
  <c r="AE657" i="16"/>
  <c r="AE646" i="16"/>
  <c r="AE636" i="16"/>
  <c r="AE627" i="16"/>
  <c r="AE618" i="16"/>
  <c r="AE609" i="16"/>
  <c r="AE600" i="16"/>
  <c r="AE590" i="16"/>
  <c r="AE581" i="16"/>
  <c r="AE572" i="16"/>
  <c r="AE1508" i="16"/>
  <c r="AE1434" i="16"/>
  <c r="AE1398" i="16"/>
  <c r="AE1364" i="16"/>
  <c r="AE1335" i="16"/>
  <c r="AE1309" i="16"/>
  <c r="AE1284" i="16"/>
  <c r="AE1259" i="16"/>
  <c r="AE1233" i="16"/>
  <c r="AE1207" i="16"/>
  <c r="AE1181" i="16"/>
  <c r="AE1156" i="16"/>
  <c r="AE1132" i="16"/>
  <c r="AE1111" i="16"/>
  <c r="AE1090" i="16"/>
  <c r="AE1068" i="16"/>
  <c r="AE1051" i="16"/>
  <c r="AE1034" i="16"/>
  <c r="AE1015" i="16"/>
  <c r="AE1000" i="16"/>
  <c r="AE985" i="16"/>
  <c r="AE973" i="16"/>
  <c r="AE960" i="16"/>
  <c r="AE946" i="16"/>
  <c r="AE934" i="16"/>
  <c r="AE921" i="16"/>
  <c r="AE909" i="16"/>
  <c r="AE896" i="16"/>
  <c r="AE882" i="16"/>
  <c r="AE870" i="16"/>
  <c r="AE857" i="16"/>
  <c r="AE845" i="16"/>
  <c r="AE832" i="16"/>
  <c r="AE818" i="16"/>
  <c r="AE806" i="16"/>
  <c r="AE793" i="16"/>
  <c r="AE781" i="16"/>
  <c r="AE768" i="16"/>
  <c r="AE754" i="16"/>
  <c r="AE742" i="16"/>
  <c r="AE729" i="16"/>
  <c r="AE717" i="16"/>
  <c r="AE704" i="16"/>
  <c r="AE690" i="16"/>
  <c r="AE678" i="16"/>
  <c r="AE666" i="16"/>
  <c r="AE656" i="16"/>
  <c r="AE645" i="16"/>
  <c r="AE635" i="16"/>
  <c r="AE626" i="16"/>
  <c r="AE617" i="16"/>
  <c r="AE608" i="16"/>
  <c r="AE598" i="16"/>
  <c r="AE589" i="16"/>
  <c r="AE580" i="16"/>
  <c r="AE571" i="16"/>
  <c r="AE562" i="16"/>
  <c r="AE553" i="16"/>
  <c r="AE544" i="16"/>
  <c r="AE534" i="16"/>
  <c r="AE525" i="16"/>
  <c r="AE516" i="16"/>
  <c r="AE507" i="16"/>
  <c r="AE498" i="16"/>
  <c r="AE489" i="16"/>
  <c r="AE480" i="16"/>
  <c r="AE470" i="16"/>
  <c r="AE461" i="16"/>
  <c r="AE452" i="16"/>
  <c r="AE443" i="16"/>
  <c r="AE434" i="16"/>
  <c r="AE425" i="16"/>
  <c r="AE416" i="16"/>
  <c r="AE406" i="16"/>
  <c r="AE397" i="16"/>
  <c r="AE388" i="16"/>
  <c r="AE379" i="16"/>
  <c r="AE370" i="16"/>
  <c r="AE361" i="16"/>
  <c r="AE352" i="16"/>
  <c r="AE342" i="16"/>
  <c r="AE333" i="16"/>
  <c r="AE324" i="16"/>
  <c r="AE315" i="16"/>
  <c r="AE306" i="16"/>
  <c r="AE297" i="16"/>
  <c r="AE288" i="16"/>
  <c r="AE278" i="16"/>
  <c r="AE269" i="16"/>
  <c r="AE260" i="16"/>
  <c r="AE251" i="16"/>
  <c r="AE243" i="16"/>
  <c r="AE235" i="16"/>
  <c r="AE227" i="16"/>
  <c r="AE219" i="16"/>
  <c r="AE211" i="16"/>
  <c r="AE203" i="16"/>
  <c r="AE195" i="16"/>
  <c r="AE187" i="16"/>
  <c r="AE179" i="16"/>
  <c r="AE171" i="16"/>
  <c r="AE163" i="16"/>
  <c r="AE155" i="16"/>
  <c r="AE147" i="16"/>
  <c r="AE139" i="16"/>
  <c r="AE131" i="16"/>
  <c r="AE123" i="16"/>
  <c r="AE115" i="16"/>
  <c r="AE107" i="16"/>
  <c r="AE99" i="16"/>
  <c r="AE91" i="16"/>
  <c r="AE83" i="16"/>
  <c r="AE75" i="16"/>
  <c r="AE67" i="16"/>
  <c r="AE59" i="16"/>
  <c r="AE1503" i="16"/>
  <c r="AE1431" i="16"/>
  <c r="AE1394" i="16"/>
  <c r="AE1361" i="16"/>
  <c r="AE1333" i="16"/>
  <c r="AE1308" i="16"/>
  <c r="AE1283" i="16"/>
  <c r="AE1257" i="16"/>
  <c r="AE1231" i="16"/>
  <c r="AE1205" i="16"/>
  <c r="AE1180" i="16"/>
  <c r="AE1155" i="16"/>
  <c r="AE1131" i="16"/>
  <c r="AE1109" i="16"/>
  <c r="AE1089" i="16"/>
  <c r="AE1067" i="16"/>
  <c r="AE1047" i="16"/>
  <c r="AE1031" i="16"/>
  <c r="AE1013" i="16"/>
  <c r="AE999" i="16"/>
  <c r="AE984" i="16"/>
  <c r="AE970" i="16"/>
  <c r="AE958" i="16"/>
  <c r="AE945" i="16"/>
  <c r="AE933" i="16"/>
  <c r="AE920" i="16"/>
  <c r="AE906" i="16"/>
  <c r="AE894" i="16"/>
  <c r="AE881" i="16"/>
  <c r="AE869" i="16"/>
  <c r="AE856" i="16"/>
  <c r="AE842" i="16"/>
  <c r="AE830" i="16"/>
  <c r="AE817" i="16"/>
  <c r="AE805" i="16"/>
  <c r="AE792" i="16"/>
  <c r="AE778" i="16"/>
  <c r="AE766" i="16"/>
  <c r="AE753" i="16"/>
  <c r="AE741" i="16"/>
  <c r="AE728" i="16"/>
  <c r="AE714" i="16"/>
  <c r="AE702" i="16"/>
  <c r="AE689" i="16"/>
  <c r="AE677" i="16"/>
  <c r="AE665" i="16"/>
  <c r="AE654" i="16"/>
  <c r="AE643" i="16"/>
  <c r="AE634" i="16"/>
  <c r="AE625" i="16"/>
  <c r="AE616" i="16"/>
  <c r="AE606" i="16"/>
  <c r="AE597" i="16"/>
  <c r="AE588" i="16"/>
  <c r="AE579" i="16"/>
  <c r="AE570" i="16"/>
  <c r="AE561" i="16"/>
  <c r="AE552" i="16"/>
  <c r="AE542" i="16"/>
  <c r="AE533" i="16"/>
  <c r="AE524" i="16"/>
  <c r="AE515" i="16"/>
  <c r="AE506" i="16"/>
  <c r="AE497" i="16"/>
  <c r="AE488" i="16"/>
  <c r="AE478" i="16"/>
  <c r="AE469" i="16"/>
  <c r="AE460" i="16"/>
  <c r="AE451" i="16"/>
  <c r="AE442" i="16"/>
  <c r="AE433" i="16"/>
  <c r="AE424" i="16"/>
  <c r="AE414" i="16"/>
  <c r="AE405" i="16"/>
  <c r="AE396" i="16"/>
  <c r="AE387" i="16"/>
  <c r="AE378" i="16"/>
  <c r="AE369" i="16"/>
  <c r="AE360" i="16"/>
  <c r="AE350" i="16"/>
  <c r="AE341" i="16"/>
  <c r="AE332" i="16"/>
  <c r="AE323" i="16"/>
  <c r="AE314" i="16"/>
  <c r="AE305" i="16"/>
  <c r="AE296" i="16"/>
  <c r="AE286" i="16"/>
  <c r="AE277" i="16"/>
  <c r="AE268" i="16"/>
  <c r="AE259" i="16"/>
  <c r="AE250" i="16"/>
  <c r="AE242" i="16"/>
  <c r="AE234" i="16"/>
  <c r="AE226" i="16"/>
  <c r="AE218" i="16"/>
  <c r="AE210" i="16"/>
  <c r="AE202" i="16"/>
  <c r="AE194" i="16"/>
  <c r="AE186" i="16"/>
  <c r="AE178" i="16"/>
  <c r="AE170" i="16"/>
  <c r="AE162" i="16"/>
  <c r="AE1489" i="16"/>
  <c r="AE1430" i="16"/>
  <c r="AE1393" i="16"/>
  <c r="AE1359" i="16"/>
  <c r="AE1332" i="16"/>
  <c r="AE1307" i="16"/>
  <c r="AE1281" i="16"/>
  <c r="AE1255" i="16"/>
  <c r="AE1229" i="16"/>
  <c r="AE1204" i="16"/>
  <c r="AE1179" i="16"/>
  <c r="AE1153" i="16"/>
  <c r="AE1485" i="16"/>
  <c r="AE1425" i="16"/>
  <c r="AE1389" i="16"/>
  <c r="AE1357" i="16"/>
  <c r="AE1329" i="16"/>
  <c r="AE1303" i="16"/>
  <c r="AE1277" i="16"/>
  <c r="AE1252" i="16"/>
  <c r="AE1227" i="16"/>
  <c r="AE1201" i="16"/>
  <c r="AE1175" i="16"/>
  <c r="AE1149" i="16"/>
  <c r="AE1127" i="16"/>
  <c r="AE1106" i="16"/>
  <c r="AE1084" i="16"/>
  <c r="AE1063" i="16"/>
  <c r="AE1044" i="16"/>
  <c r="AE1026" i="16"/>
  <c r="AE1010" i="16"/>
  <c r="AE994" i="16"/>
  <c r="AE981" i="16"/>
  <c r="AE968" i="16"/>
  <c r="AE954" i="16"/>
  <c r="AE942" i="16"/>
  <c r="AE929" i="16"/>
  <c r="AE1471" i="16"/>
  <c r="AE1416" i="16"/>
  <c r="AE1380" i="16"/>
  <c r="AE1349" i="16"/>
  <c r="AE1323" i="16"/>
  <c r="AE1297" i="16"/>
  <c r="AE1271" i="16"/>
  <c r="AE1245" i="16"/>
  <c r="AE1220" i="16"/>
  <c r="AE1195" i="16"/>
  <c r="AE1169" i="16"/>
  <c r="AE1143" i="16"/>
  <c r="AE1122" i="16"/>
  <c r="AE1100" i="16"/>
  <c r="AE1079" i="16"/>
  <c r="AE1058" i="16"/>
  <c r="AE1042" i="16"/>
  <c r="AE1025" i="16"/>
  <c r="AE1009" i="16"/>
  <c r="AE993" i="16"/>
  <c r="AE978" i="16"/>
  <c r="AE966" i="16"/>
  <c r="AE953" i="16"/>
  <c r="AE941" i="16"/>
  <c r="AE928" i="16"/>
  <c r="AE914" i="16"/>
  <c r="AE902" i="16"/>
  <c r="AE889" i="16"/>
  <c r="AE877" i="16"/>
  <c r="AE864" i="16"/>
  <c r="AE850" i="16"/>
  <c r="AE838" i="16"/>
  <c r="AE825" i="16"/>
  <c r="AE813" i="16"/>
  <c r="AE800" i="16"/>
  <c r="AE786" i="16"/>
  <c r="AE774" i="16"/>
  <c r="AE761" i="16"/>
  <c r="AE749" i="16"/>
  <c r="AE736" i="16"/>
  <c r="AE722" i="16"/>
  <c r="AE710" i="16"/>
  <c r="AE697" i="16"/>
  <c r="AE685" i="16"/>
  <c r="AE672" i="16"/>
  <c r="AE661" i="16"/>
  <c r="AE650" i="16"/>
  <c r="AE640" i="16"/>
  <c r="AE630" i="16"/>
  <c r="AE621" i="16"/>
  <c r="AE612" i="16"/>
  <c r="AE603" i="16"/>
  <c r="AE594" i="16"/>
  <c r="AE585" i="16"/>
  <c r="AE576" i="16"/>
  <c r="AE566" i="16"/>
  <c r="AE557" i="16"/>
  <c r="AE548" i="16"/>
  <c r="AE539" i="16"/>
  <c r="AE530" i="16"/>
  <c r="AE521" i="16"/>
  <c r="AE512" i="16"/>
  <c r="AE502" i="16"/>
  <c r="AE493" i="16"/>
  <c r="AE484" i="16"/>
  <c r="AE475" i="16"/>
  <c r="AE466" i="16"/>
  <c r="AE457" i="16"/>
  <c r="AE448" i="16"/>
  <c r="AE438" i="16"/>
  <c r="AE429" i="16"/>
  <c r="AE420" i="16"/>
  <c r="AE411" i="16"/>
  <c r="AE402" i="16"/>
  <c r="AE393" i="16"/>
  <c r="AE384" i="16"/>
  <c r="AE374" i="16"/>
  <c r="AE365" i="16"/>
  <c r="AE356" i="16"/>
  <c r="AE347" i="16"/>
  <c r="AE338" i="16"/>
  <c r="AE329" i="16"/>
  <c r="AE320" i="16"/>
  <c r="AE310" i="16"/>
  <c r="AE301" i="16"/>
  <c r="AE11" i="16"/>
  <c r="AE20" i="16"/>
  <c r="AE29" i="16"/>
  <c r="AE39" i="16"/>
  <c r="AE48" i="16"/>
  <c r="AE57" i="16"/>
  <c r="AE68" i="16"/>
  <c r="AE79" i="16"/>
  <c r="AE89" i="16"/>
  <c r="AE100" i="16"/>
  <c r="AE111" i="16"/>
  <c r="AE121" i="16"/>
  <c r="AE132" i="16"/>
  <c r="AE143" i="16"/>
  <c r="AE153" i="16"/>
  <c r="AE165" i="16"/>
  <c r="AE177" i="16"/>
  <c r="AE191" i="16"/>
  <c r="AE204" i="16"/>
  <c r="AE216" i="16"/>
  <c r="AE229" i="16"/>
  <c r="AE241" i="16"/>
  <c r="AE256" i="16"/>
  <c r="AE270" i="16"/>
  <c r="AE284" i="16"/>
  <c r="AE299" i="16"/>
  <c r="AE317" i="16"/>
  <c r="AE336" i="16"/>
  <c r="AE354" i="16"/>
  <c r="AE372" i="16"/>
  <c r="AE390" i="16"/>
  <c r="AE409" i="16"/>
  <c r="AE427" i="16"/>
  <c r="AE445" i="16"/>
  <c r="AE464" i="16"/>
  <c r="AE482" i="16"/>
  <c r="AE500" i="16"/>
  <c r="AE518" i="16"/>
  <c r="AE537" i="16"/>
  <c r="AE555" i="16"/>
  <c r="AE577" i="16"/>
  <c r="AE601" i="16"/>
  <c r="AE624" i="16"/>
  <c r="AE651" i="16"/>
  <c r="AE681" i="16"/>
  <c r="AE713" i="16"/>
  <c r="AE750" i="16"/>
  <c r="AE784" i="16"/>
  <c r="AE816" i="16"/>
  <c r="AE853" i="16"/>
  <c r="AE886" i="16"/>
  <c r="AE944" i="16"/>
  <c r="AE1066" i="16"/>
  <c r="AE3" i="16"/>
  <c r="AE12" i="16"/>
  <c r="AE21" i="16"/>
  <c r="AE31" i="16"/>
  <c r="AE40" i="16"/>
  <c r="AE49" i="16"/>
  <c r="AE58" i="16"/>
  <c r="AE69" i="16"/>
  <c r="AE80" i="16"/>
  <c r="AE90" i="16"/>
  <c r="AE101" i="16"/>
  <c r="AE112" i="16"/>
  <c r="AE122" i="16"/>
  <c r="AE133" i="16"/>
  <c r="AE144" i="16"/>
  <c r="AE154" i="16"/>
  <c r="AE167" i="16"/>
  <c r="AE180" i="16"/>
  <c r="AE192" i="16"/>
  <c r="AE205" i="16"/>
  <c r="AE217" i="16"/>
  <c r="AE231" i="16"/>
  <c r="AE244" i="16"/>
  <c r="AE257" i="16"/>
  <c r="AE272" i="16"/>
  <c r="AE285" i="16"/>
  <c r="AE302" i="16"/>
  <c r="AE321" i="16"/>
  <c r="AE339" i="16"/>
  <c r="AE357" i="16"/>
  <c r="AE376" i="16"/>
  <c r="AE394" i="16"/>
  <c r="AE412" i="16"/>
  <c r="AE430" i="16"/>
  <c r="AE449" i="16"/>
  <c r="AE467" i="16"/>
  <c r="AE485" i="16"/>
  <c r="AE504" i="16"/>
  <c r="AE522" i="16"/>
  <c r="AE540" i="16"/>
  <c r="AE558" i="16"/>
  <c r="AE578" i="16"/>
  <c r="AE604" i="16"/>
  <c r="AE628" i="16"/>
  <c r="AE653" i="16"/>
  <c r="AE686" i="16"/>
  <c r="AE720" i="16"/>
  <c r="AE752" i="16"/>
  <c r="AE789" i="16"/>
  <c r="AE822" i="16"/>
  <c r="AE854" i="16"/>
  <c r="AE890" i="16"/>
  <c r="AE957" i="16"/>
  <c r="AE1087" i="16"/>
  <c r="AE4" i="16"/>
  <c r="AE13" i="16"/>
  <c r="AE23" i="16"/>
  <c r="AE32" i="16"/>
  <c r="AE41" i="16"/>
  <c r="AE50" i="16"/>
  <c r="AE60" i="16"/>
  <c r="AE71" i="16"/>
  <c r="AE81" i="16"/>
  <c r="AE92" i="16"/>
  <c r="AE103" i="16"/>
  <c r="AE113" i="16"/>
  <c r="AE124" i="16"/>
  <c r="AE135" i="16"/>
  <c r="AE145" i="16"/>
  <c r="AE156" i="16"/>
  <c r="AE168" i="16"/>
  <c r="AE181" i="16"/>
  <c r="AE193" i="16"/>
  <c r="AE207" i="16"/>
  <c r="AE220" i="16"/>
  <c r="AE232" i="16"/>
  <c r="AE245" i="16"/>
  <c r="AE258" i="16"/>
  <c r="AE274" i="16"/>
  <c r="AE289" i="16"/>
  <c r="AE304" i="16"/>
  <c r="AE322" i="16"/>
  <c r="AE340" i="16"/>
  <c r="AE358" i="16"/>
  <c r="AE377" i="16"/>
  <c r="AE395" i="16"/>
  <c r="AE413" i="16"/>
  <c r="AE432" i="16"/>
  <c r="AE450" i="16"/>
  <c r="AE468" i="16"/>
  <c r="AE486" i="16"/>
  <c r="AE505" i="16"/>
  <c r="AE523" i="16"/>
  <c r="AE541" i="16"/>
  <c r="AE560" i="16"/>
  <c r="AE582" i="16"/>
  <c r="AE605" i="16"/>
  <c r="AE632" i="16"/>
  <c r="AE658" i="16"/>
  <c r="AE688" i="16"/>
  <c r="AE725" i="16"/>
  <c r="AE758" i="16"/>
  <c r="AE790" i="16"/>
  <c r="AE826" i="16"/>
  <c r="AE861" i="16"/>
  <c r="AE893" i="16"/>
  <c r="AE969" i="16"/>
  <c r="AE1108" i="16"/>
  <c r="AE93" i="16"/>
  <c r="AE104" i="16"/>
  <c r="AE114" i="16"/>
  <c r="AE125" i="16"/>
  <c r="AE136" i="16"/>
  <c r="AE146" i="16"/>
  <c r="AE157" i="16"/>
  <c r="AE169" i="16"/>
  <c r="AE183" i="16"/>
  <c r="AE196" i="16"/>
  <c r="AE208" i="16"/>
  <c r="AE221" i="16"/>
  <c r="AE233" i="16"/>
  <c r="AE247" i="16"/>
  <c r="AE261" i="16"/>
  <c r="AE275" i="16"/>
  <c r="AE290" i="16"/>
  <c r="AE307" i="16"/>
  <c r="AE325" i="16"/>
  <c r="AE344" i="16"/>
  <c r="AE362" i="16"/>
  <c r="AE380" i="16"/>
  <c r="AE398" i="16"/>
  <c r="AE417" i="16"/>
  <c r="AE435" i="16"/>
  <c r="AE453" i="16"/>
  <c r="AE472" i="16"/>
  <c r="AE490" i="16"/>
  <c r="AE508" i="16"/>
  <c r="AE526" i="16"/>
  <c r="AE545" i="16"/>
  <c r="AE563" i="16"/>
  <c r="AE586" i="16"/>
  <c r="AE610" i="16"/>
  <c r="AE633" i="16"/>
  <c r="AE662" i="16"/>
  <c r="AE694" i="16"/>
  <c r="AE726" i="16"/>
  <c r="AE762" i="16"/>
  <c r="AE797" i="16"/>
  <c r="AE829" i="16"/>
  <c r="AE865" i="16"/>
  <c r="AE904" i="16"/>
  <c r="AE982" i="16"/>
  <c r="AE1130" i="16"/>
  <c r="AE7" i="16"/>
  <c r="AE16" i="16"/>
  <c r="AE25" i="16"/>
  <c r="AE34" i="16"/>
  <c r="AE43" i="16"/>
  <c r="AE52" i="16"/>
  <c r="AE63" i="16"/>
  <c r="AE73" i="16"/>
  <c r="AE84" i="16"/>
  <c r="AE95" i="16"/>
  <c r="AE105" i="16"/>
  <c r="AE116" i="16"/>
  <c r="AE127" i="16"/>
  <c r="AE137" i="16"/>
  <c r="AE148" i="16"/>
  <c r="AE159" i="16"/>
  <c r="AE172" i="16"/>
  <c r="AE184" i="16"/>
  <c r="AE197" i="16"/>
  <c r="AE209" i="16"/>
  <c r="AE223" i="16"/>
  <c r="AE236" i="16"/>
  <c r="AE248" i="16"/>
  <c r="AE262" i="16"/>
  <c r="AE276" i="16"/>
  <c r="AE292" i="16"/>
  <c r="AE308" i="16"/>
  <c r="AE326" i="16"/>
  <c r="AE345" i="16"/>
  <c r="AE363" i="16"/>
  <c r="AE381" i="16"/>
  <c r="AE400" i="16"/>
  <c r="AE418" i="16"/>
  <c r="AE436" i="16"/>
  <c r="AE454" i="16"/>
  <c r="AE473" i="16"/>
  <c r="AE491" i="16"/>
  <c r="AE509" i="16"/>
  <c r="AE528" i="16"/>
  <c r="AE546" i="16"/>
  <c r="AE564" i="16"/>
  <c r="AE587" i="16"/>
  <c r="AE613" i="16"/>
  <c r="AE637" i="16"/>
  <c r="AE664" i="16"/>
  <c r="AE698" i="16"/>
  <c r="AE733" i="16"/>
  <c r="AE765" i="16"/>
  <c r="AE801" i="16"/>
  <c r="AE834" i="16"/>
  <c r="AE866" i="16"/>
  <c r="AE905" i="16"/>
  <c r="AE995" i="16"/>
  <c r="AF2" i="16"/>
  <c r="AF10" i="16"/>
  <c r="AF19" i="16"/>
  <c r="AF29" i="16"/>
  <c r="AF38" i="16"/>
  <c r="AF47" i="16"/>
  <c r="AF56" i="16"/>
  <c r="AF65" i="16"/>
  <c r="AF74" i="16"/>
  <c r="AF83" i="16"/>
  <c r="AF93" i="16"/>
  <c r="AF102" i="16"/>
  <c r="AF111" i="16"/>
  <c r="AF120" i="16"/>
  <c r="AF129" i="16"/>
  <c r="AF138" i="16"/>
  <c r="AF147" i="16"/>
  <c r="AF157" i="16"/>
  <c r="AF166" i="16"/>
  <c r="AF175" i="16"/>
  <c r="AF186" i="16"/>
  <c r="AF197" i="16"/>
  <c r="AF207" i="16"/>
  <c r="AF219" i="16"/>
  <c r="AF231" i="16"/>
  <c r="AF245" i="16"/>
  <c r="AF259" i="16"/>
  <c r="AF275" i="16"/>
  <c r="AF291" i="16"/>
  <c r="AF309" i="16"/>
  <c r="AF323" i="16"/>
  <c r="AF344" i="16"/>
  <c r="AF360" i="16"/>
  <c r="AF382" i="16"/>
  <c r="AF400" i="16"/>
  <c r="AF419" i="16"/>
  <c r="AF441" i="16"/>
  <c r="AF461" i="16"/>
  <c r="AF486" i="16"/>
  <c r="AF510" i="16"/>
  <c r="AF534" i="16"/>
  <c r="AF559" i="16"/>
  <c r="AF583" i="16"/>
  <c r="AF607" i="16"/>
  <c r="AF632" i="16"/>
  <c r="AF656" i="16"/>
  <c r="AF680" i="16"/>
  <c r="AF707" i="16"/>
  <c r="AF739" i="16"/>
  <c r="AF774" i="16"/>
  <c r="AF809" i="16"/>
  <c r="AF842" i="16"/>
  <c r="AF878" i="16"/>
  <c r="AF918" i="16"/>
  <c r="AF958" i="16"/>
  <c r="AF996" i="16"/>
  <c r="AF1035" i="16"/>
  <c r="AF1073" i="16"/>
  <c r="AF1113" i="16"/>
  <c r="AF1152" i="16"/>
  <c r="AF1192" i="16"/>
  <c r="AF1234" i="16"/>
  <c r="AF1280" i="16"/>
  <c r="AF1324" i="16"/>
  <c r="AF1371" i="16"/>
  <c r="AF1418" i="16"/>
  <c r="AF1472" i="16"/>
  <c r="AF1533" i="16"/>
  <c r="AF1525" i="16"/>
  <c r="AF1517" i="16"/>
  <c r="AF1509" i="16"/>
  <c r="AF1501" i="16"/>
  <c r="AF1493" i="16"/>
  <c r="AF1485" i="16"/>
  <c r="AF1477" i="16"/>
  <c r="AF1469" i="16"/>
  <c r="AF1461" i="16"/>
  <c r="AF1453" i="16"/>
  <c r="AF1445" i="16"/>
  <c r="AF1437" i="16"/>
  <c r="AF1429" i="16"/>
  <c r="AF1421" i="16"/>
  <c r="AF1413" i="16"/>
  <c r="AF1405" i="16"/>
  <c r="AF1397" i="16"/>
  <c r="AF1389" i="16"/>
  <c r="AF1381" i="16"/>
  <c r="AF1373" i="16"/>
  <c r="AF1365" i="16"/>
  <c r="AF1357" i="16"/>
  <c r="AF1349" i="16"/>
  <c r="AF1341" i="16"/>
  <c r="AF1333" i="16"/>
  <c r="AF1325" i="16"/>
  <c r="AF1317" i="16"/>
  <c r="AF1309" i="16"/>
  <c r="AF1301" i="16"/>
  <c r="AF1293" i="16"/>
  <c r="AF1285" i="16"/>
  <c r="AF1277" i="16"/>
  <c r="AF1269" i="16"/>
  <c r="AF1261" i="16"/>
  <c r="AF1253" i="16"/>
  <c r="AF1245" i="16"/>
  <c r="AF1237" i="16"/>
  <c r="AF1229" i="16"/>
  <c r="AF1221" i="16"/>
  <c r="AF1213" i="16"/>
  <c r="AF1205" i="16"/>
  <c r="AF1197" i="16"/>
  <c r="AF1189" i="16"/>
  <c r="AF1181" i="16"/>
  <c r="AF1173" i="16"/>
  <c r="AF1165" i="16"/>
  <c r="AF1157" i="16"/>
  <c r="AF1149" i="16"/>
  <c r="AF1141" i="16"/>
  <c r="AF1133" i="16"/>
  <c r="AF1125" i="16"/>
  <c r="AF1117" i="16"/>
  <c r="AF1109" i="16"/>
  <c r="AF1101" i="16"/>
  <c r="AF1093" i="16"/>
  <c r="AF1085" i="16"/>
  <c r="AF1077" i="16"/>
  <c r="AF1069" i="16"/>
  <c r="AF1061" i="16"/>
  <c r="AF1053" i="16"/>
  <c r="AF1045" i="16"/>
  <c r="AF1037" i="16"/>
  <c r="AF1029" i="16"/>
  <c r="AF1021" i="16"/>
  <c r="AF1013" i="16"/>
  <c r="AF1005" i="16"/>
  <c r="AF997" i="16"/>
  <c r="AF989" i="16"/>
  <c r="AF981" i="16"/>
  <c r="AF973" i="16"/>
  <c r="AF965" i="16"/>
  <c r="AF957" i="16"/>
  <c r="AF949" i="16"/>
  <c r="AF941" i="16"/>
  <c r="AF933" i="16"/>
  <c r="AF925" i="16"/>
  <c r="AF917" i="16"/>
  <c r="AF909" i="16"/>
  <c r="AF901" i="16"/>
  <c r="AF893" i="16"/>
  <c r="AF885" i="16"/>
  <c r="AF877" i="16"/>
  <c r="AF869" i="16"/>
  <c r="AF861" i="16"/>
  <c r="AF1529" i="16"/>
  <c r="AF1521" i="16"/>
  <c r="AF1535" i="16"/>
  <c r="AF1527" i="16"/>
  <c r="AF1519" i="16"/>
  <c r="AF1511" i="16"/>
  <c r="AF1503" i="16"/>
  <c r="AF1495" i="16"/>
  <c r="AF1487" i="16"/>
  <c r="AF1479" i="16"/>
  <c r="AF1471" i="16"/>
  <c r="AF1463" i="16"/>
  <c r="AF1455" i="16"/>
  <c r="AF1447" i="16"/>
  <c r="AF1439" i="16"/>
  <c r="AF1431" i="16"/>
  <c r="AF1423" i="16"/>
  <c r="AF1415" i="16"/>
  <c r="AF1407" i="16"/>
  <c r="AF1399" i="16"/>
  <c r="AF1391" i="16"/>
  <c r="AF1383" i="16"/>
  <c r="AF1375" i="16"/>
  <c r="AF1367" i="16"/>
  <c r="AF1359" i="16"/>
  <c r="AF1351" i="16"/>
  <c r="AF1343" i="16"/>
  <c r="AF1335" i="16"/>
  <c r="AF1327" i="16"/>
  <c r="AF1319" i="16"/>
  <c r="AF1311" i="16"/>
  <c r="AF1303" i="16"/>
  <c r="AF1295" i="16"/>
  <c r="AF1287" i="16"/>
  <c r="AF1279" i="16"/>
  <c r="AF1271" i="16"/>
  <c r="AF1263" i="16"/>
  <c r="AF1255" i="16"/>
  <c r="AF1247" i="16"/>
  <c r="AF1239" i="16"/>
  <c r="AF1231" i="16"/>
  <c r="AF1223" i="16"/>
  <c r="AF1215" i="16"/>
  <c r="AF1207" i="16"/>
  <c r="AF1531" i="16"/>
  <c r="AF1518" i="16"/>
  <c r="AF1507" i="16"/>
  <c r="AF1497" i="16"/>
  <c r="AF1486" i="16"/>
  <c r="AF1475" i="16"/>
  <c r="AF1465" i="16"/>
  <c r="AF1454" i="16"/>
  <c r="AF1443" i="16"/>
  <c r="AF1433" i="16"/>
  <c r="AF1422" i="16"/>
  <c r="AF1411" i="16"/>
  <c r="AF1401" i="16"/>
  <c r="AF1390" i="16"/>
  <c r="AF1379" i="16"/>
  <c r="AF1369" i="16"/>
  <c r="AF1358" i="16"/>
  <c r="AF1347" i="16"/>
  <c r="AF1337" i="16"/>
  <c r="AF1326" i="16"/>
  <c r="AF1315" i="16"/>
  <c r="AF1305" i="16"/>
  <c r="AF1294" i="16"/>
  <c r="AF1283" i="16"/>
  <c r="AF1273" i="16"/>
  <c r="AF1262" i="16"/>
  <c r="AF1251" i="16"/>
  <c r="AF1241" i="16"/>
  <c r="AF1230" i="16"/>
  <c r="AF1219" i="16"/>
  <c r="AF1209" i="16"/>
  <c r="AF1199" i="16"/>
  <c r="AF1190" i="16"/>
  <c r="AF1180" i="16"/>
  <c r="AF1171" i="16"/>
  <c r="AF1162" i="16"/>
  <c r="AF1153" i="16"/>
  <c r="AF1144" i="16"/>
  <c r="AF1135" i="16"/>
  <c r="AF1126" i="16"/>
  <c r="AF1116" i="16"/>
  <c r="AF1107" i="16"/>
  <c r="AF1098" i="16"/>
  <c r="AF1089" i="16"/>
  <c r="AF1080" i="16"/>
  <c r="AF1071" i="16"/>
  <c r="AF1062" i="16"/>
  <c r="AF1052" i="16"/>
  <c r="AF1043" i="16"/>
  <c r="AF1034" i="16"/>
  <c r="AF1025" i="16"/>
  <c r="AF1016" i="16"/>
  <c r="AF1007" i="16"/>
  <c r="AF998" i="16"/>
  <c r="AF988" i="16"/>
  <c r="AF979" i="16"/>
  <c r="AF970" i="16"/>
  <c r="AF961" i="16"/>
  <c r="AF952" i="16"/>
  <c r="AF943" i="16"/>
  <c r="AF934" i="16"/>
  <c r="AF924" i="16"/>
  <c r="AF915" i="16"/>
  <c r="AF906" i="16"/>
  <c r="AF897" i="16"/>
  <c r="AF888" i="16"/>
  <c r="AF879" i="16"/>
  <c r="AF870" i="16"/>
  <c r="AF860" i="16"/>
  <c r="AF852" i="16"/>
  <c r="AF844" i="16"/>
  <c r="AF836" i="16"/>
  <c r="AF828" i="16"/>
  <c r="AF820" i="16"/>
  <c r="AF812" i="16"/>
  <c r="AF804" i="16"/>
  <c r="AF796" i="16"/>
  <c r="AF788" i="16"/>
  <c r="AF780" i="16"/>
  <c r="AF772" i="16"/>
  <c r="AF764" i="16"/>
  <c r="AF756" i="16"/>
  <c r="AF748" i="16"/>
  <c r="AF740" i="16"/>
  <c r="AF732" i="16"/>
  <c r="AF724" i="16"/>
  <c r="AF716" i="16"/>
  <c r="AF708" i="16"/>
  <c r="AF700" i="16"/>
  <c r="AF692" i="16"/>
  <c r="AF684" i="16"/>
  <c r="AF676" i="16"/>
  <c r="AF668" i="16"/>
  <c r="AF660" i="16"/>
  <c r="AF652" i="16"/>
  <c r="AF644" i="16"/>
  <c r="AF636" i="16"/>
  <c r="AF628" i="16"/>
  <c r="AF620" i="16"/>
  <c r="AF612" i="16"/>
  <c r="AF604" i="16"/>
  <c r="AF596" i="16"/>
  <c r="AF588" i="16"/>
  <c r="AF580" i="16"/>
  <c r="AF572" i="16"/>
  <c r="AF564" i="16"/>
  <c r="AF556" i="16"/>
  <c r="AF548" i="16"/>
  <c r="AF540" i="16"/>
  <c r="AF532" i="16"/>
  <c r="AF524" i="16"/>
  <c r="AF516" i="16"/>
  <c r="AF508" i="16"/>
  <c r="AF500" i="16"/>
  <c r="AF492" i="16"/>
  <c r="AF484" i="16"/>
  <c r="AF476" i="16"/>
  <c r="AF468" i="16"/>
  <c r="AF460" i="16"/>
  <c r="AF452" i="16"/>
  <c r="AF444" i="16"/>
  <c r="AF436" i="16"/>
  <c r="AF428" i="16"/>
  <c r="AF420" i="16"/>
  <c r="AF412" i="16"/>
  <c r="AF404" i="16"/>
  <c r="AF396" i="16"/>
  <c r="AF388" i="16"/>
  <c r="AF380" i="16"/>
  <c r="AF372" i="16"/>
  <c r="AF364" i="16"/>
  <c r="AF356" i="16"/>
  <c r="AF348" i="16"/>
  <c r="AF340" i="16"/>
  <c r="AF332" i="16"/>
  <c r="AF324" i="16"/>
  <c r="AF316" i="16"/>
  <c r="AF308" i="16"/>
  <c r="AF300" i="16"/>
  <c r="AF292" i="16"/>
  <c r="AF284" i="16"/>
  <c r="AF276" i="16"/>
  <c r="AF268" i="16"/>
  <c r="AF260" i="16"/>
  <c r="AF1524" i="16"/>
  <c r="AF1513" i="16"/>
  <c r="AF1502" i="16"/>
  <c r="AF1491" i="16"/>
  <c r="AF1481" i="16"/>
  <c r="AF1470" i="16"/>
  <c r="AF1459" i="16"/>
  <c r="AF1449" i="16"/>
  <c r="AF1438" i="16"/>
  <c r="AF1427" i="16"/>
  <c r="AF1417" i="16"/>
  <c r="AF1406" i="16"/>
  <c r="AF1395" i="16"/>
  <c r="AF1385" i="16"/>
  <c r="AF1374" i="16"/>
  <c r="AF1363" i="16"/>
  <c r="AF1353" i="16"/>
  <c r="AF1342" i="16"/>
  <c r="AF1331" i="16"/>
  <c r="AF1321" i="16"/>
  <c r="AF1310" i="16"/>
  <c r="AF1299" i="16"/>
  <c r="AF1289" i="16"/>
  <c r="AF1278" i="16"/>
  <c r="AF1267" i="16"/>
  <c r="AF1257" i="16"/>
  <c r="AF1246" i="16"/>
  <c r="AF1235" i="16"/>
  <c r="AF1225" i="16"/>
  <c r="AF1214" i="16"/>
  <c r="AF1203" i="16"/>
  <c r="AF1194" i="16"/>
  <c r="AF1185" i="16"/>
  <c r="AF1176" i="16"/>
  <c r="AF1167" i="16"/>
  <c r="AF1158" i="16"/>
  <c r="AF1148" i="16"/>
  <c r="AF1139" i="16"/>
  <c r="AF1130" i="16"/>
  <c r="AF1121" i="16"/>
  <c r="AF1112" i="16"/>
  <c r="AF1103" i="16"/>
  <c r="AF1094" i="16"/>
  <c r="AF1084" i="16"/>
  <c r="AF1075" i="16"/>
  <c r="AF1066" i="16"/>
  <c r="AF1057" i="16"/>
  <c r="AF1048" i="16"/>
  <c r="AF1039" i="16"/>
  <c r="AF1030" i="16"/>
  <c r="AF1020" i="16"/>
  <c r="AF1011" i="16"/>
  <c r="AF1002" i="16"/>
  <c r="AF993" i="16"/>
  <c r="AF984" i="16"/>
  <c r="AF975" i="16"/>
  <c r="AF966" i="16"/>
  <c r="AF956" i="16"/>
  <c r="AF947" i="16"/>
  <c r="AF938" i="16"/>
  <c r="AF929" i="16"/>
  <c r="AF920" i="16"/>
  <c r="AF911" i="16"/>
  <c r="AF902" i="16"/>
  <c r="AF892" i="16"/>
  <c r="AF883" i="16"/>
  <c r="AF874" i="16"/>
  <c r="AF865" i="16"/>
  <c r="AF856" i="16"/>
  <c r="AF848" i="16"/>
  <c r="AF840" i="16"/>
  <c r="AF832" i="16"/>
  <c r="AF824" i="16"/>
  <c r="AF816" i="16"/>
  <c r="AF808" i="16"/>
  <c r="AF800" i="16"/>
  <c r="AF792" i="16"/>
  <c r="AF784" i="16"/>
  <c r="AF776" i="16"/>
  <c r="AF768" i="16"/>
  <c r="AF760" i="16"/>
  <c r="AF752" i="16"/>
  <c r="AF744" i="16"/>
  <c r="AF736" i="16"/>
  <c r="AF728" i="16"/>
  <c r="AF1534" i="16"/>
  <c r="AF1522" i="16"/>
  <c r="AF1510" i="16"/>
  <c r="AF1499" i="16"/>
  <c r="AF1489" i="16"/>
  <c r="AF1478" i="16"/>
  <c r="AF1467" i="16"/>
  <c r="AF1457" i="16"/>
  <c r="AF1446" i="16"/>
  <c r="AF1435" i="16"/>
  <c r="AF1425" i="16"/>
  <c r="AF1528" i="16"/>
  <c r="AF1508" i="16"/>
  <c r="AF1492" i="16"/>
  <c r="AF1474" i="16"/>
  <c r="AF1458" i="16"/>
  <c r="AF1441" i="16"/>
  <c r="AF1424" i="16"/>
  <c r="AF1409" i="16"/>
  <c r="AF1394" i="16"/>
  <c r="AF1380" i="16"/>
  <c r="AF1366" i="16"/>
  <c r="AF1352" i="16"/>
  <c r="AF1338" i="16"/>
  <c r="AF1323" i="16"/>
  <c r="AF1308" i="16"/>
  <c r="AF1296" i="16"/>
  <c r="AF1281" i="16"/>
  <c r="AF1266" i="16"/>
  <c r="AF1252" i="16"/>
  <c r="AF1238" i="16"/>
  <c r="AF1224" i="16"/>
  <c r="AF1210" i="16"/>
  <c r="AF1196" i="16"/>
  <c r="AF1184" i="16"/>
  <c r="AF1172" i="16"/>
  <c r="AF1160" i="16"/>
  <c r="AF1147" i="16"/>
  <c r="AF1136" i="16"/>
  <c r="AF1123" i="16"/>
  <c r="AF1111" i="16"/>
  <c r="AF1099" i="16"/>
  <c r="AF1087" i="16"/>
  <c r="AF1074" i="16"/>
  <c r="AF1063" i="16"/>
  <c r="AF1050" i="16"/>
  <c r="AF1038" i="16"/>
  <c r="AF1026" i="16"/>
  <c r="AF1014" i="16"/>
  <c r="AF1001" i="16"/>
  <c r="AF990" i="16"/>
  <c r="AF977" i="16"/>
  <c r="AF964" i="16"/>
  <c r="AF953" i="16"/>
  <c r="AF940" i="16"/>
  <c r="AF928" i="16"/>
  <c r="AF916" i="16"/>
  <c r="AF904" i="16"/>
  <c r="AF891" i="16"/>
  <c r="AF880" i="16"/>
  <c r="AF867" i="16"/>
  <c r="AF855" i="16"/>
  <c r="AF845" i="16"/>
  <c r="AF834" i="16"/>
  <c r="AF823" i="16"/>
  <c r="AF813" i="16"/>
  <c r="AF802" i="16"/>
  <c r="AF791" i="16"/>
  <c r="AF781" i="16"/>
  <c r="AF770" i="16"/>
  <c r="AF759" i="16"/>
  <c r="AF749" i="16"/>
  <c r="AF738" i="16"/>
  <c r="AF727" i="16"/>
  <c r="AF718" i="16"/>
  <c r="AF709" i="16"/>
  <c r="AF699" i="16"/>
  <c r="AF690" i="16"/>
  <c r="AF681" i="16"/>
  <c r="AF672" i="16"/>
  <c r="AF663" i="16"/>
  <c r="AF654" i="16"/>
  <c r="AF645" i="16"/>
  <c r="AF635" i="16"/>
  <c r="AF626" i="16"/>
  <c r="AF617" i="16"/>
  <c r="AF608" i="16"/>
  <c r="AF599" i="16"/>
  <c r="AF590" i="16"/>
  <c r="AF581" i="16"/>
  <c r="AF571" i="16"/>
  <c r="AF562" i="16"/>
  <c r="AF553" i="16"/>
  <c r="AF544" i="16"/>
  <c r="AF535" i="16"/>
  <c r="AF526" i="16"/>
  <c r="AF517" i="16"/>
  <c r="AF507" i="16"/>
  <c r="AF498" i="16"/>
  <c r="AF489" i="16"/>
  <c r="AF480" i="16"/>
  <c r="AF471" i="16"/>
  <c r="AF462" i="16"/>
  <c r="AF453" i="16"/>
  <c r="AF443" i="16"/>
  <c r="AF434" i="16"/>
  <c r="AF425" i="16"/>
  <c r="AF416" i="16"/>
  <c r="AF407" i="16"/>
  <c r="AF398" i="16"/>
  <c r="AF389" i="16"/>
  <c r="AF379" i="16"/>
  <c r="AF370" i="16"/>
  <c r="AF361" i="16"/>
  <c r="AF352" i="16"/>
  <c r="AF343" i="16"/>
  <c r="AF334" i="16"/>
  <c r="AF325" i="16"/>
  <c r="AF315" i="16"/>
  <c r="AF306" i="16"/>
  <c r="AF297" i="16"/>
  <c r="AF288" i="16"/>
  <c r="AF279" i="16"/>
  <c r="AF270" i="16"/>
  <c r="AF261" i="16"/>
  <c r="AF252" i="16"/>
  <c r="AF244" i="16"/>
  <c r="AF236" i="16"/>
  <c r="AF228" i="16"/>
  <c r="AF220" i="16"/>
  <c r="AF212" i="16"/>
  <c r="AF204" i="16"/>
  <c r="AF196" i="16"/>
  <c r="AF188" i="16"/>
  <c r="AF180" i="16"/>
  <c r="AF172" i="16"/>
  <c r="AF164" i="16"/>
  <c r="AF156" i="16"/>
  <c r="AF148" i="16"/>
  <c r="AF140" i="16"/>
  <c r="AF132" i="16"/>
  <c r="AF124" i="16"/>
  <c r="AF116" i="16"/>
  <c r="AF108" i="16"/>
  <c r="AF100" i="16"/>
  <c r="AF92" i="16"/>
  <c r="AF84" i="16"/>
  <c r="AF76" i="16"/>
  <c r="AF68" i="16"/>
  <c r="AF60" i="16"/>
  <c r="AF52" i="16"/>
  <c r="AF44" i="16"/>
  <c r="AF36" i="16"/>
  <c r="AF28" i="16"/>
  <c r="AF20" i="16"/>
  <c r="AF12" i="16"/>
  <c r="AF4" i="16"/>
  <c r="AF1516" i="16"/>
  <c r="AF1500" i="16"/>
  <c r="AF1483" i="16"/>
  <c r="AF1466" i="16"/>
  <c r="AF1450" i="16"/>
  <c r="AF1432" i="16"/>
  <c r="AF1416" i="16"/>
  <c r="AF1402" i="16"/>
  <c r="AF1387" i="16"/>
  <c r="AF1372" i="16"/>
  <c r="AF1360" i="16"/>
  <c r="AF1345" i="16"/>
  <c r="AF1330" i="16"/>
  <c r="AF1316" i="16"/>
  <c r="AF1302" i="16"/>
  <c r="AF1288" i="16"/>
  <c r="AF1274" i="16"/>
  <c r="AF1259" i="16"/>
  <c r="AF1244" i="16"/>
  <c r="AF1232" i="16"/>
  <c r="AF1217" i="16"/>
  <c r="AF1202" i="16"/>
  <c r="AF1191" i="16"/>
  <c r="AF1178" i="16"/>
  <c r="AF1166" i="16"/>
  <c r="AF1154" i="16"/>
  <c r="AF1142" i="16"/>
  <c r="AF1129" i="16"/>
  <c r="AF1118" i="16"/>
  <c r="AF1105" i="16"/>
  <c r="AF1092" i="16"/>
  <c r="AF1081" i="16"/>
  <c r="AF1068" i="16"/>
  <c r="AF1056" i="16"/>
  <c r="AF1044" i="16"/>
  <c r="AF1032" i="16"/>
  <c r="AF1019" i="16"/>
  <c r="AF1008" i="16"/>
  <c r="AF995" i="16"/>
  <c r="AF983" i="16"/>
  <c r="AF971" i="16"/>
  <c r="AF959" i="16"/>
  <c r="AF946" i="16"/>
  <c r="AF935" i="16"/>
  <c r="AF922" i="16"/>
  <c r="AF910" i="16"/>
  <c r="AF898" i="16"/>
  <c r="AF886" i="16"/>
  <c r="AF873" i="16"/>
  <c r="AF862" i="16"/>
  <c r="AF850" i="16"/>
  <c r="AF839" i="16"/>
  <c r="AF829" i="16"/>
  <c r="AF818" i="16"/>
  <c r="AF807" i="16"/>
  <c r="AF797" i="16"/>
  <c r="AF786" i="16"/>
  <c r="AF775" i="16"/>
  <c r="AF765" i="16"/>
  <c r="AF754" i="16"/>
  <c r="AF743" i="16"/>
  <c r="AF733" i="16"/>
  <c r="AF722" i="16"/>
  <c r="AF713" i="16"/>
  <c r="AF704" i="16"/>
  <c r="AF695" i="16"/>
  <c r="AF686" i="16"/>
  <c r="AF677" i="16"/>
  <c r="AF667" i="16"/>
  <c r="AF658" i="16"/>
  <c r="AF649" i="16"/>
  <c r="AF640" i="16"/>
  <c r="AF631" i="16"/>
  <c r="AF622" i="16"/>
  <c r="AF613" i="16"/>
  <c r="AF603" i="16"/>
  <c r="AF594" i="16"/>
  <c r="AF585" i="16"/>
  <c r="AF576" i="16"/>
  <c r="AF567" i="16"/>
  <c r="AF558" i="16"/>
  <c r="AF549" i="16"/>
  <c r="AF539" i="16"/>
  <c r="AF530" i="16"/>
  <c r="AF521" i="16"/>
  <c r="AF512" i="16"/>
  <c r="AF503" i="16"/>
  <c r="AF494" i="16"/>
  <c r="AF485" i="16"/>
  <c r="AF475" i="16"/>
  <c r="AF466" i="16"/>
  <c r="AF457" i="16"/>
  <c r="AF448" i="16"/>
  <c r="AF439" i="16"/>
  <c r="AF430" i="16"/>
  <c r="AF421" i="16"/>
  <c r="AF411" i="16"/>
  <c r="AF402" i="16"/>
  <c r="AF393" i="16"/>
  <c r="AF384" i="16"/>
  <c r="AF375" i="16"/>
  <c r="AF366" i="16"/>
  <c r="AF357" i="16"/>
  <c r="AF347" i="16"/>
  <c r="AF338" i="16"/>
  <c r="AF329" i="16"/>
  <c r="AF320" i="16"/>
  <c r="AF311" i="16"/>
  <c r="AF302" i="16"/>
  <c r="AF293" i="16"/>
  <c r="AF283" i="16"/>
  <c r="AF274" i="16"/>
  <c r="AF265" i="16"/>
  <c r="AF256" i="16"/>
  <c r="AF248" i="16"/>
  <c r="AF240" i="16"/>
  <c r="AF232" i="16"/>
  <c r="AF224" i="16"/>
  <c r="AF216" i="16"/>
  <c r="AF208" i="16"/>
  <c r="AF1532" i="16"/>
  <c r="AF1514" i="16"/>
  <c r="AF1496" i="16"/>
  <c r="AF1480" i="16"/>
  <c r="AF1462" i="16"/>
  <c r="AF1444" i="16"/>
  <c r="AF1428" i="16"/>
  <c r="AF1412" i="16"/>
  <c r="AF1398" i="16"/>
  <c r="AF1384" i="16"/>
  <c r="AF1370" i="16"/>
  <c r="AF1355" i="16"/>
  <c r="AF1340" i="16"/>
  <c r="AF1328" i="16"/>
  <c r="AF1313" i="16"/>
  <c r="AF1298" i="16"/>
  <c r="AF1284" i="16"/>
  <c r="AF1270" i="16"/>
  <c r="AF1256" i="16"/>
  <c r="AF1242" i="16"/>
  <c r="AF1227" i="16"/>
  <c r="AF1212" i="16"/>
  <c r="AF1200" i="16"/>
  <c r="AF1187" i="16"/>
  <c r="AF1175" i="16"/>
  <c r="AF1163" i="16"/>
  <c r="AF1151" i="16"/>
  <c r="AF1138" i="16"/>
  <c r="AF1127" i="16"/>
  <c r="AF1114" i="16"/>
  <c r="AF1102" i="16"/>
  <c r="AF1090" i="16"/>
  <c r="AF1078" i="16"/>
  <c r="AF1065" i="16"/>
  <c r="AF1054" i="16"/>
  <c r="AF1041" i="16"/>
  <c r="AF1028" i="16"/>
  <c r="AF1017" i="16"/>
  <c r="AF1004" i="16"/>
  <c r="AF992" i="16"/>
  <c r="AF980" i="16"/>
  <c r="AF968" i="16"/>
  <c r="AF955" i="16"/>
  <c r="AF944" i="16"/>
  <c r="AF931" i="16"/>
  <c r="AF919" i="16"/>
  <c r="AF907" i="16"/>
  <c r="AF895" i="16"/>
  <c r="AF882" i="16"/>
  <c r="AF871" i="16"/>
  <c r="AF858" i="16"/>
  <c r="AF847" i="16"/>
  <c r="AF837" i="16"/>
  <c r="AF826" i="16"/>
  <c r="AF815" i="16"/>
  <c r="AF805" i="16"/>
  <c r="AF794" i="16"/>
  <c r="AF783" i="16"/>
  <c r="AF773" i="16"/>
  <c r="AF762" i="16"/>
  <c r="AF751" i="16"/>
  <c r="AF741" i="16"/>
  <c r="AF730" i="16"/>
  <c r="AF720" i="16"/>
  <c r="AF711" i="16"/>
  <c r="AF702" i="16"/>
  <c r="AF693" i="16"/>
  <c r="AF1523" i="16"/>
  <c r="AF1494" i="16"/>
  <c r="AF1468" i="16"/>
  <c r="AF1440" i="16"/>
  <c r="AF1414" i="16"/>
  <c r="AF1392" i="16"/>
  <c r="AF1368" i="16"/>
  <c r="AF1346" i="16"/>
  <c r="AF1322" i="16"/>
  <c r="AF1300" i="16"/>
  <c r="AF1276" i="16"/>
  <c r="AF1254" i="16"/>
  <c r="AF1233" i="16"/>
  <c r="AF1208" i="16"/>
  <c r="AF1188" i="16"/>
  <c r="AF1169" i="16"/>
  <c r="AF1150" i="16"/>
  <c r="AF1131" i="16"/>
  <c r="AF1110" i="16"/>
  <c r="AF1091" i="16"/>
  <c r="AF1072" i="16"/>
  <c r="AF1051" i="16"/>
  <c r="AF1033" i="16"/>
  <c r="AF1012" i="16"/>
  <c r="AF994" i="16"/>
  <c r="AF974" i="16"/>
  <c r="AF954" i="16"/>
  <c r="AF936" i="16"/>
  <c r="AF914" i="16"/>
  <c r="AF896" i="16"/>
  <c r="AF876" i="16"/>
  <c r="AF857" i="16"/>
  <c r="AF841" i="16"/>
  <c r="AF822" i="16"/>
  <c r="AF806" i="16"/>
  <c r="AF789" i="16"/>
  <c r="AF771" i="16"/>
  <c r="AF755" i="16"/>
  <c r="AF737" i="16"/>
  <c r="AF721" i="16"/>
  <c r="AF706" i="16"/>
  <c r="AF691" i="16"/>
  <c r="AF679" i="16"/>
  <c r="AF666" i="16"/>
  <c r="AF655" i="16"/>
  <c r="AF642" i="16"/>
  <c r="AF630" i="16"/>
  <c r="AF618" i="16"/>
  <c r="AF606" i="16"/>
  <c r="AF593" i="16"/>
  <c r="AF582" i="16"/>
  <c r="AF569" i="16"/>
  <c r="AF557" i="16"/>
  <c r="AF545" i="16"/>
  <c r="AF533" i="16"/>
  <c r="AF520" i="16"/>
  <c r="AF509" i="16"/>
  <c r="AF496" i="16"/>
  <c r="AF483" i="16"/>
  <c r="AF472" i="16"/>
  <c r="AF459" i="16"/>
  <c r="AF447" i="16"/>
  <c r="AF435" i="16"/>
  <c r="AF423" i="16"/>
  <c r="AF410" i="16"/>
  <c r="AF399" i="16"/>
  <c r="AF386" i="16"/>
  <c r="AF374" i="16"/>
  <c r="AF362" i="16"/>
  <c r="AF350" i="16"/>
  <c r="AF337" i="16"/>
  <c r="AF326" i="16"/>
  <c r="AF313" i="16"/>
  <c r="AF301" i="16"/>
  <c r="AF289" i="16"/>
  <c r="AF277" i="16"/>
  <c r="AF264" i="16"/>
  <c r="AF253" i="16"/>
  <c r="AF242" i="16"/>
  <c r="AF1506" i="16"/>
  <c r="AF1482" i="16"/>
  <c r="AF1452" i="16"/>
  <c r="AF1426" i="16"/>
  <c r="AF1403" i="16"/>
  <c r="AF1378" i="16"/>
  <c r="AF1356" i="16"/>
  <c r="AF1334" i="16"/>
  <c r="AF1312" i="16"/>
  <c r="AF1290" i="16"/>
  <c r="AF1265" i="16"/>
  <c r="AF1243" i="16"/>
  <c r="AF1220" i="16"/>
  <c r="AF1198" i="16"/>
  <c r="AF1179" i="16"/>
  <c r="AF1159" i="16"/>
  <c r="AF1140" i="16"/>
  <c r="AF1120" i="16"/>
  <c r="AF1100" i="16"/>
  <c r="AF1082" i="16"/>
  <c r="AF1060" i="16"/>
  <c r="AF1042" i="16"/>
  <c r="AF1023" i="16"/>
  <c r="AF1003" i="16"/>
  <c r="AF985" i="16"/>
  <c r="AF963" i="16"/>
  <c r="AF945" i="16"/>
  <c r="AF926" i="16"/>
  <c r="AF905" i="16"/>
  <c r="AF887" i="16"/>
  <c r="AF866" i="16"/>
  <c r="AF849" i="16"/>
  <c r="AF831" i="16"/>
  <c r="AF814" i="16"/>
  <c r="AF798" i="16"/>
  <c r="AF779" i="16"/>
  <c r="AF763" i="16"/>
  <c r="AF746" i="16"/>
  <c r="AF729" i="16"/>
  <c r="AF714" i="16"/>
  <c r="AF698" i="16"/>
  <c r="AF685" i="16"/>
  <c r="AF673" i="16"/>
  <c r="AF661" i="16"/>
  <c r="AF648" i="16"/>
  <c r="AF637" i="16"/>
  <c r="AF624" i="16"/>
  <c r="AF611" i="16"/>
  <c r="AF600" i="16"/>
  <c r="AF587" i="16"/>
  <c r="AF575" i="16"/>
  <c r="AF563" i="16"/>
  <c r="AF551" i="16"/>
  <c r="AF538" i="16"/>
  <c r="AF527" i="16"/>
  <c r="AF514" i="16"/>
  <c r="AF502" i="16"/>
  <c r="AF490" i="16"/>
  <c r="AF478" i="16"/>
  <c r="AF465" i="16"/>
  <c r="AF454" i="16"/>
  <c r="AF1505" i="16"/>
  <c r="AF1476" i="16"/>
  <c r="AF1451" i="16"/>
  <c r="AF1420" i="16"/>
  <c r="AF1400" i="16"/>
  <c r="AF1377" i="16"/>
  <c r="AF1354" i="16"/>
  <c r="AF1332" i="16"/>
  <c r="AF1307" i="16"/>
  <c r="AF1286" i="16"/>
  <c r="AF1264" i="16"/>
  <c r="AF1240" i="16"/>
  <c r="AF1218" i="16"/>
  <c r="AF1195" i="16"/>
  <c r="AF1177" i="16"/>
  <c r="AF1156" i="16"/>
  <c r="AF1137" i="16"/>
  <c r="AF1119" i="16"/>
  <c r="AF1097" i="16"/>
  <c r="AF1079" i="16"/>
  <c r="AF1059" i="16"/>
  <c r="AF1040" i="16"/>
  <c r="AF1022" i="16"/>
  <c r="AF1000" i="16"/>
  <c r="AF982" i="16"/>
  <c r="AF962" i="16"/>
  <c r="AF942" i="16"/>
  <c r="AF923" i="16"/>
  <c r="AF903" i="16"/>
  <c r="AF884" i="16"/>
  <c r="AF864" i="16"/>
  <c r="AF846" i="16"/>
  <c r="AF830" i="16"/>
  <c r="AF811" i="16"/>
  <c r="AF795" i="16"/>
  <c r="AF778" i="16"/>
  <c r="AF761" i="16"/>
  <c r="AF745" i="16"/>
  <c r="AF726" i="16"/>
  <c r="AF712" i="16"/>
  <c r="AF697" i="16"/>
  <c r="AF683" i="16"/>
  <c r="AF671" i="16"/>
  <c r="AF659" i="16"/>
  <c r="AF647" i="16"/>
  <c r="AF634" i="16"/>
  <c r="AF623" i="16"/>
  <c r="AF610" i="16"/>
  <c r="AF598" i="16"/>
  <c r="AF586" i="16"/>
  <c r="AF574" i="16"/>
  <c r="AF561" i="16"/>
  <c r="AF550" i="16"/>
  <c r="AF537" i="16"/>
  <c r="AF525" i="16"/>
  <c r="AF513" i="16"/>
  <c r="AF501" i="16"/>
  <c r="AF488" i="16"/>
  <c r="AF477" i="16"/>
  <c r="AF464" i="16"/>
  <c r="AF451" i="16"/>
  <c r="AF440" i="16"/>
  <c r="AF427" i="16"/>
  <c r="AF415" i="16"/>
  <c r="AF403" i="16"/>
  <c r="AF391" i="16"/>
  <c r="AF378" i="16"/>
  <c r="AF367" i="16"/>
  <c r="AF354" i="16"/>
  <c r="AF342" i="16"/>
  <c r="AF330" i="16"/>
  <c r="AF318" i="16"/>
  <c r="AF305" i="16"/>
  <c r="AF294" i="16"/>
  <c r="AF281" i="16"/>
  <c r="AF269" i="16"/>
  <c r="AF257" i="16"/>
  <c r="AF246" i="16"/>
  <c r="AF235" i="16"/>
  <c r="AF225" i="16"/>
  <c r="AF214" i="16"/>
  <c r="AF203" i="16"/>
  <c r="AF194" i="16"/>
  <c r="AF185" i="16"/>
  <c r="AF176" i="16"/>
  <c r="AF1530" i="16"/>
  <c r="AF1504" i="16"/>
  <c r="AF1473" i="16"/>
  <c r="AF1448" i="16"/>
  <c r="AF1419" i="16"/>
  <c r="AF1396" i="16"/>
  <c r="AF1376" i="16"/>
  <c r="AF1350" i="16"/>
  <c r="AF1329" i="16"/>
  <c r="AF1306" i="16"/>
  <c r="AF1282" i="16"/>
  <c r="AF1260" i="16"/>
  <c r="AF1236" i="16"/>
  <c r="AF1216" i="16"/>
  <c r="AF1193" i="16"/>
  <c r="AF1174" i="16"/>
  <c r="AF1155" i="16"/>
  <c r="AF1134" i="16"/>
  <c r="AF1115" i="16"/>
  <c r="AF1096" i="16"/>
  <c r="AF1076" i="16"/>
  <c r="AF1058" i="16"/>
  <c r="AF1036" i="16"/>
  <c r="AF1018" i="16"/>
  <c r="AF999" i="16"/>
  <c r="AF978" i="16"/>
  <c r="AF960" i="16"/>
  <c r="AF939" i="16"/>
  <c r="AF921" i="16"/>
  <c r="AF900" i="16"/>
  <c r="AF881" i="16"/>
  <c r="AF863" i="16"/>
  <c r="AF843" i="16"/>
  <c r="AF827" i="16"/>
  <c r="AF810" i="16"/>
  <c r="AF793" i="16"/>
  <c r="AF777" i="16"/>
  <c r="AF758" i="16"/>
  <c r="AF742" i="16"/>
  <c r="AF725" i="16"/>
  <c r="AF710" i="16"/>
  <c r="AF696" i="16"/>
  <c r="AF682" i="16"/>
  <c r="AF670" i="16"/>
  <c r="AF657" i="16"/>
  <c r="AF646" i="16"/>
  <c r="AF633" i="16"/>
  <c r="AF621" i="16"/>
  <c r="AF609" i="16"/>
  <c r="AF597" i="16"/>
  <c r="AF584" i="16"/>
  <c r="AF573" i="16"/>
  <c r="AF560" i="16"/>
  <c r="AF547" i="16"/>
  <c r="AF536" i="16"/>
  <c r="AF523" i="16"/>
  <c r="AF511" i="16"/>
  <c r="AF499" i="16"/>
  <c r="AF487" i="16"/>
  <c r="AF474" i="16"/>
  <c r="AF463" i="16"/>
  <c r="AF450" i="16"/>
  <c r="AF438" i="16"/>
  <c r="AF426" i="16"/>
  <c r="AF414" i="16"/>
  <c r="AF401" i="16"/>
  <c r="AF390" i="16"/>
  <c r="AF377" i="16"/>
  <c r="AF365" i="16"/>
  <c r="AF353" i="16"/>
  <c r="AF341" i="16"/>
  <c r="AF11" i="16"/>
  <c r="AF21" i="16"/>
  <c r="AF30" i="16"/>
  <c r="AF39" i="16"/>
  <c r="AF48" i="16"/>
  <c r="AF57" i="16"/>
  <c r="AF66" i="16"/>
  <c r="AF75" i="16"/>
  <c r="AF85" i="16"/>
  <c r="AF94" i="16"/>
  <c r="AF103" i="16"/>
  <c r="AF112" i="16"/>
  <c r="AF121" i="16"/>
  <c r="AF130" i="16"/>
  <c r="AF139" i="16"/>
  <c r="AF149" i="16"/>
  <c r="AF158" i="16"/>
  <c r="AF167" i="16"/>
  <c r="AF177" i="16"/>
  <c r="AF187" i="16"/>
  <c r="AF198" i="16"/>
  <c r="AF209" i="16"/>
  <c r="AF221" i="16"/>
  <c r="AF233" i="16"/>
  <c r="AF247" i="16"/>
  <c r="AF262" i="16"/>
  <c r="AF278" i="16"/>
  <c r="AF295" i="16"/>
  <c r="AF310" i="16"/>
  <c r="AF327" i="16"/>
  <c r="AF345" i="16"/>
  <c r="AF363" i="16"/>
  <c r="AF383" i="16"/>
  <c r="AF405" i="16"/>
  <c r="AF422" i="16"/>
  <c r="AF442" i="16"/>
  <c r="AF467" i="16"/>
  <c r="AF491" i="16"/>
  <c r="AF515" i="16"/>
  <c r="AF541" i="16"/>
  <c r="AF565" i="16"/>
  <c r="AF589" i="16"/>
  <c r="AF614" i="16"/>
  <c r="AF638" i="16"/>
  <c r="AF662" i="16"/>
  <c r="AF687" i="16"/>
  <c r="AF715" i="16"/>
  <c r="AF747" i="16"/>
  <c r="AF782" i="16"/>
  <c r="AF817" i="16"/>
  <c r="AF851" i="16"/>
  <c r="AF889" i="16"/>
  <c r="AF927" i="16"/>
  <c r="AF967" i="16"/>
  <c r="AF1006" i="16"/>
  <c r="AF1046" i="16"/>
  <c r="AF1083" i="16"/>
  <c r="AF1122" i="16"/>
  <c r="AF1161" i="16"/>
  <c r="AF1201" i="16"/>
  <c r="AF1248" i="16"/>
  <c r="AF1291" i="16"/>
  <c r="AF1336" i="16"/>
  <c r="AF1382" i="16"/>
  <c r="AF1430" i="16"/>
  <c r="AF1484" i="16"/>
  <c r="AF3" i="16"/>
  <c r="AF13" i="16"/>
  <c r="AF22" i="16"/>
  <c r="AF31" i="16"/>
  <c r="AF40" i="16"/>
  <c r="AF49" i="16"/>
  <c r="AF58" i="16"/>
  <c r="AF67" i="16"/>
  <c r="AF77" i="16"/>
  <c r="AF86" i="16"/>
  <c r="AF95" i="16"/>
  <c r="AF104" i="16"/>
  <c r="AF113" i="16"/>
  <c r="AF122" i="16"/>
  <c r="AF131" i="16"/>
  <c r="AF141" i="16"/>
  <c r="AF150" i="16"/>
  <c r="AF159" i="16"/>
  <c r="AF168" i="16"/>
  <c r="AF178" i="16"/>
  <c r="AF189" i="16"/>
  <c r="AF199" i="16"/>
  <c r="AF210" i="16"/>
  <c r="AF222" i="16"/>
  <c r="AF234" i="16"/>
  <c r="AF249" i="16"/>
  <c r="AF263" i="16"/>
  <c r="AF280" i="16"/>
  <c r="AF296" i="16"/>
  <c r="AF312" i="16"/>
  <c r="AF328" i="16"/>
  <c r="AF346" i="16"/>
  <c r="AF368" i="16"/>
  <c r="AF385" i="16"/>
  <c r="AF406" i="16"/>
  <c r="AF424" i="16"/>
  <c r="AF445" i="16"/>
  <c r="AF469" i="16"/>
  <c r="AF493" i="16"/>
  <c r="AF518" i="16"/>
  <c r="AF542" i="16"/>
  <c r="AF566" i="16"/>
  <c r="AF591" i="16"/>
  <c r="AF615" i="16"/>
  <c r="AF639" i="16"/>
  <c r="AF664" i="16"/>
  <c r="AF688" i="16"/>
  <c r="AF717" i="16"/>
  <c r="AF750" i="16"/>
  <c r="AF785" i="16"/>
  <c r="AF819" i="16"/>
  <c r="AF853" i="16"/>
  <c r="AF890" i="16"/>
  <c r="AF930" i="16"/>
  <c r="AF969" i="16"/>
  <c r="AF1009" i="16"/>
  <c r="AF1047" i="16"/>
  <c r="AF1086" i="16"/>
  <c r="AF1124" i="16"/>
  <c r="AF1164" i="16"/>
  <c r="AF1204" i="16"/>
  <c r="AF1249" i="16"/>
  <c r="AF1292" i="16"/>
  <c r="AF1339" i="16"/>
  <c r="AF1386" i="16"/>
  <c r="AF1434" i="16"/>
  <c r="AF1488" i="16"/>
  <c r="AF41" i="16"/>
  <c r="AF50" i="16"/>
  <c r="AF59" i="16"/>
  <c r="AF69" i="16"/>
  <c r="AF78" i="16"/>
  <c r="AF87" i="16"/>
  <c r="AF96" i="16"/>
  <c r="AF105" i="16"/>
  <c r="AF114" i="16"/>
  <c r="AF123" i="16"/>
  <c r="AF133" i="16"/>
  <c r="AF142" i="16"/>
  <c r="AF151" i="16"/>
  <c r="AF160" i="16"/>
  <c r="AF169" i="16"/>
  <c r="AF179" i="16"/>
  <c r="AF190" i="16"/>
  <c r="AF200" i="16"/>
  <c r="AF211" i="16"/>
  <c r="AF223" i="16"/>
  <c r="AF237" i="16"/>
  <c r="AF250" i="16"/>
  <c r="AF266" i="16"/>
  <c r="AF282" i="16"/>
  <c r="AF298" i="16"/>
  <c r="AF314" i="16"/>
  <c r="AF331" i="16"/>
  <c r="AF349" i="16"/>
  <c r="AF369" i="16"/>
  <c r="AF387" i="16"/>
  <c r="AF408" i="16"/>
  <c r="AF429" i="16"/>
  <c r="AF446" i="16"/>
  <c r="AF470" i="16"/>
  <c r="AF495" i="16"/>
  <c r="AF519" i="16"/>
  <c r="AF543" i="16"/>
  <c r="AF568" i="16"/>
  <c r="AF592" i="16"/>
  <c r="AF616" i="16"/>
  <c r="AF641" i="16"/>
  <c r="AF665" i="16"/>
  <c r="AF689" i="16"/>
  <c r="AF719" i="16"/>
  <c r="AF753" i="16"/>
  <c r="AF787" i="16"/>
  <c r="AF821" i="16"/>
  <c r="AF854" i="16"/>
  <c r="AF894" i="16"/>
  <c r="AF932" i="16"/>
  <c r="AF972" i="16"/>
  <c r="AF1010" i="16"/>
  <c r="AF1049" i="16"/>
  <c r="AF1088" i="16"/>
  <c r="AF1128" i="16"/>
  <c r="AF1168" i="16"/>
  <c r="AF1206" i="16"/>
  <c r="AF1250" i="16"/>
  <c r="AF1297" i="16"/>
  <c r="AF1344" i="16"/>
  <c r="AF1388" i="16"/>
  <c r="AF1436" i="16"/>
  <c r="AF1490" i="16"/>
  <c r="AF7" i="16"/>
  <c r="AF16" i="16"/>
  <c r="AF25" i="16"/>
  <c r="AF34" i="16"/>
  <c r="AF43" i="16"/>
  <c r="AF53" i="16"/>
  <c r="AF62" i="16"/>
  <c r="AF71" i="16"/>
  <c r="AF80" i="16"/>
  <c r="AF89" i="16"/>
  <c r="AF98" i="16"/>
  <c r="AF107" i="16"/>
  <c r="AF117" i="16"/>
  <c r="AF126" i="16"/>
  <c r="AF135" i="16"/>
  <c r="AF144" i="16"/>
  <c r="AF153" i="16"/>
  <c r="AF162" i="16"/>
  <c r="AF171" i="16"/>
  <c r="AF182" i="16"/>
  <c r="AF192" i="16"/>
  <c r="AF202" i="16"/>
  <c r="AF215" i="16"/>
  <c r="AF227" i="16"/>
  <c r="AF239" i="16"/>
  <c r="AF254" i="16"/>
  <c r="AF271" i="16"/>
  <c r="AF286" i="16"/>
  <c r="AF303" i="16"/>
  <c r="AF319" i="16"/>
  <c r="AF335" i="16"/>
  <c r="AF355" i="16"/>
  <c r="AF373" i="16"/>
  <c r="AF394" i="16"/>
  <c r="AF413" i="16"/>
  <c r="AF432" i="16"/>
  <c r="AF455" i="16"/>
  <c r="AF479" i="16"/>
  <c r="AF504" i="16"/>
  <c r="AF528" i="16"/>
  <c r="AF552" i="16"/>
  <c r="AF577" i="16"/>
  <c r="AF601" i="16"/>
  <c r="AF625" i="16"/>
  <c r="AF650" i="16"/>
  <c r="AF674" i="16"/>
  <c r="AF701" i="16"/>
  <c r="AF731" i="16"/>
  <c r="AF766" i="16"/>
  <c r="AF799" i="16"/>
  <c r="AF833" i="16"/>
  <c r="AF868" i="16"/>
  <c r="AF908" i="16"/>
  <c r="AF948" i="16"/>
  <c r="AF986" i="16"/>
  <c r="AF1024" i="16"/>
  <c r="AF1064" i="16"/>
  <c r="AF1104" i="16"/>
  <c r="AF1143" i="16"/>
  <c r="AF1182" i="16"/>
  <c r="AF1222" i="16"/>
  <c r="AF1268" i="16"/>
  <c r="AF1314" i="16"/>
  <c r="AF1361" i="16"/>
  <c r="AF1404" i="16"/>
  <c r="AF1456" i="16"/>
  <c r="AF1512" i="16"/>
  <c r="AF8" i="16"/>
  <c r="AF17" i="16"/>
  <c r="AF26" i="16"/>
  <c r="AF35" i="16"/>
  <c r="AF45" i="16"/>
  <c r="AF54" i="16"/>
  <c r="AF63" i="16"/>
  <c r="AF72" i="16"/>
  <c r="AF81" i="16"/>
  <c r="AF90" i="16"/>
  <c r="AF99" i="16"/>
  <c r="AF109" i="16"/>
  <c r="AF118" i="16"/>
  <c r="AF127" i="16"/>
  <c r="AF136" i="16"/>
  <c r="AF145" i="16"/>
  <c r="AF154" i="16"/>
  <c r="AF163" i="16"/>
  <c r="AF173" i="16"/>
  <c r="AF183" i="16"/>
  <c r="AF193" i="16"/>
  <c r="AF205" i="16"/>
  <c r="AF217" i="16"/>
  <c r="AF229" i="16"/>
  <c r="AF241" i="16"/>
  <c r="AF255" i="16"/>
  <c r="AF272" i="16"/>
  <c r="AF287" i="16"/>
  <c r="AF304" i="16"/>
  <c r="AF321" i="16"/>
  <c r="AF336" i="16"/>
  <c r="AF358" i="16"/>
  <c r="AF376" i="16"/>
  <c r="AF395" i="16"/>
  <c r="AF417" i="16"/>
  <c r="AF433" i="16"/>
  <c r="AF456" i="16"/>
  <c r="AF481" i="16"/>
  <c r="AF505" i="16"/>
  <c r="AF529" i="16"/>
  <c r="AF554" i="16"/>
  <c r="AF578" i="16"/>
  <c r="AF602" i="16"/>
  <c r="AF627" i="16"/>
  <c r="AF651" i="16"/>
  <c r="AF675" i="16"/>
  <c r="AF703" i="16"/>
  <c r="AF734" i="16"/>
  <c r="AF767" i="16"/>
  <c r="AF801" i="16"/>
  <c r="AF835" i="16"/>
  <c r="AF872" i="16"/>
  <c r="AF912" i="16"/>
  <c r="AF950" i="16"/>
  <c r="AF987" i="16"/>
  <c r="AF1027" i="16"/>
  <c r="AF1067" i="16"/>
  <c r="AF1106" i="16"/>
  <c r="AF1145" i="16"/>
  <c r="AF1183" i="16"/>
  <c r="AF1226" i="16"/>
  <c r="AF1272" i="16"/>
  <c r="AF1318" i="16"/>
  <c r="AF1362" i="16"/>
  <c r="AF1408" i="16"/>
  <c r="AF1460" i="16"/>
  <c r="AF1515" i="16"/>
  <c r="G1" i="13" l="1"/>
  <c r="X1719" i="1"/>
  <c r="X1711" i="1"/>
  <c r="X1703" i="1"/>
  <c r="X1695" i="1"/>
  <c r="X1687" i="1"/>
  <c r="X1679" i="1"/>
  <c r="X1671" i="1"/>
  <c r="X1663" i="1"/>
  <c r="X1655" i="1"/>
  <c r="X1647" i="1"/>
  <c r="X1639" i="1"/>
  <c r="X1631" i="1"/>
  <c r="X1623" i="1"/>
  <c r="X1615" i="1"/>
  <c r="X1607" i="1"/>
  <c r="X1599" i="1"/>
  <c r="X1591" i="1"/>
  <c r="X1583" i="1"/>
  <c r="X1575" i="1"/>
  <c r="X1567" i="1"/>
  <c r="X1559" i="1"/>
  <c r="X1551" i="1"/>
  <c r="X1543" i="1"/>
  <c r="X1535"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087" i="1"/>
  <c r="X1079" i="1"/>
  <c r="X1071" i="1"/>
  <c r="X1063" i="1"/>
  <c r="X1055" i="1"/>
  <c r="X1047" i="1"/>
  <c r="X1039" i="1"/>
  <c r="X1031" i="1"/>
  <c r="X1023" i="1"/>
  <c r="X1015" i="1"/>
  <c r="X1007" i="1"/>
  <c r="X999" i="1"/>
  <c r="X991" i="1"/>
  <c r="X983" i="1"/>
  <c r="X975" i="1"/>
  <c r="X967" i="1"/>
  <c r="X959" i="1"/>
  <c r="X951" i="1"/>
  <c r="X943" i="1"/>
  <c r="X935" i="1"/>
  <c r="X927" i="1"/>
  <c r="X919" i="1"/>
  <c r="X911" i="1"/>
  <c r="X903" i="1"/>
  <c r="X895" i="1"/>
  <c r="X887" i="1"/>
  <c r="X879" i="1"/>
  <c r="X871" i="1"/>
  <c r="X863" i="1"/>
  <c r="X855" i="1"/>
  <c r="X847" i="1"/>
  <c r="X839" i="1"/>
  <c r="X831" i="1"/>
  <c r="X823" i="1"/>
  <c r="X815" i="1"/>
  <c r="X807" i="1"/>
  <c r="X799" i="1"/>
  <c r="X791" i="1"/>
  <c r="X783" i="1"/>
  <c r="X775" i="1"/>
  <c r="X767" i="1"/>
  <c r="X759" i="1"/>
  <c r="X751" i="1"/>
  <c r="X743" i="1"/>
  <c r="X735"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471" i="1"/>
  <c r="X463" i="1"/>
  <c r="X455" i="1"/>
  <c r="X447" i="1"/>
  <c r="X439" i="1"/>
  <c r="X431" i="1"/>
  <c r="X423" i="1"/>
  <c r="X415" i="1"/>
  <c r="X407" i="1"/>
  <c r="X399" i="1"/>
  <c r="X391" i="1"/>
  <c r="X383" i="1"/>
  <c r="X375" i="1"/>
  <c r="X367" i="1"/>
  <c r="X359" i="1"/>
  <c r="X351" i="1"/>
  <c r="X343" i="1"/>
  <c r="X335" i="1"/>
  <c r="X327" i="1"/>
  <c r="X319" i="1"/>
  <c r="X311" i="1"/>
  <c r="X303" i="1"/>
  <c r="X295" i="1"/>
  <c r="X287" i="1"/>
  <c r="X279" i="1"/>
  <c r="X271" i="1"/>
  <c r="X263" i="1"/>
  <c r="X255" i="1"/>
  <c r="X247" i="1"/>
  <c r="X239" i="1"/>
  <c r="X231" i="1"/>
  <c r="X223" i="1"/>
  <c r="X215" i="1"/>
  <c r="X207" i="1"/>
  <c r="X1726" i="1"/>
  <c r="X1717" i="1"/>
  <c r="X1708" i="1"/>
  <c r="X1699" i="1"/>
  <c r="X1690" i="1"/>
  <c r="X1681" i="1"/>
  <c r="X1672" i="1"/>
  <c r="X1662" i="1"/>
  <c r="X1653" i="1"/>
  <c r="X1644" i="1"/>
  <c r="X1635" i="1"/>
  <c r="X1626" i="1"/>
  <c r="X1617" i="1"/>
  <c r="X1608" i="1"/>
  <c r="X1598" i="1"/>
  <c r="X1589" i="1"/>
  <c r="X1580" i="1"/>
  <c r="X1571" i="1"/>
  <c r="X1562" i="1"/>
  <c r="X1553" i="1"/>
  <c r="X1544" i="1"/>
  <c r="X1534" i="1"/>
  <c r="X1525" i="1"/>
  <c r="X1516" i="1"/>
  <c r="X1507" i="1"/>
  <c r="X1498" i="1"/>
  <c r="X1489" i="1"/>
  <c r="X1480" i="1"/>
  <c r="X1470" i="1"/>
  <c r="X1461" i="1"/>
  <c r="X1452" i="1"/>
  <c r="X1443" i="1"/>
  <c r="X1434" i="1"/>
  <c r="X1425" i="1"/>
  <c r="X1416" i="1"/>
  <c r="X1406" i="1"/>
  <c r="X1397" i="1"/>
  <c r="X1388" i="1"/>
  <c r="X1379" i="1"/>
  <c r="X1370" i="1"/>
  <c r="X1361" i="1"/>
  <c r="X1352" i="1"/>
  <c r="X1342" i="1"/>
  <c r="X1333" i="1"/>
  <c r="X1324" i="1"/>
  <c r="X1315" i="1"/>
  <c r="X1306" i="1"/>
  <c r="X1297" i="1"/>
  <c r="X1288" i="1"/>
  <c r="X1278" i="1"/>
  <c r="X1269" i="1"/>
  <c r="X1260" i="1"/>
  <c r="X1251" i="1"/>
  <c r="X1242" i="1"/>
  <c r="X1233" i="1"/>
  <c r="X1224" i="1"/>
  <c r="X1214" i="1"/>
  <c r="X1205" i="1"/>
  <c r="X1196" i="1"/>
  <c r="X1187" i="1"/>
  <c r="X1178" i="1"/>
  <c r="X1169" i="1"/>
  <c r="X1160" i="1"/>
  <c r="X1150" i="1"/>
  <c r="X1141" i="1"/>
  <c r="X1132" i="1"/>
  <c r="X1123" i="1"/>
  <c r="X1114" i="1"/>
  <c r="X1105" i="1"/>
  <c r="X1096" i="1"/>
  <c r="X1086" i="1"/>
  <c r="X1077" i="1"/>
  <c r="X1068" i="1"/>
  <c r="X1059" i="1"/>
  <c r="X1050" i="1"/>
  <c r="X1041" i="1"/>
  <c r="X1032" i="1"/>
  <c r="X1022" i="1"/>
  <c r="X1013" i="1"/>
  <c r="X1004" i="1"/>
  <c r="X995" i="1"/>
  <c r="X986" i="1"/>
  <c r="X977" i="1"/>
  <c r="X968" i="1"/>
  <c r="X958" i="1"/>
  <c r="X949" i="1"/>
  <c r="X940" i="1"/>
  <c r="X931" i="1"/>
  <c r="X922" i="1"/>
  <c r="X913" i="1"/>
  <c r="X904" i="1"/>
  <c r="X894" i="1"/>
  <c r="X885" i="1"/>
  <c r="X876" i="1"/>
  <c r="X867" i="1"/>
  <c r="X858" i="1"/>
  <c r="X849" i="1"/>
  <c r="X840" i="1"/>
  <c r="X830" i="1"/>
  <c r="X821" i="1"/>
  <c r="X812" i="1"/>
  <c r="X803" i="1"/>
  <c r="X794" i="1"/>
  <c r="X785" i="1"/>
  <c r="X776" i="1"/>
  <c r="X766" i="1"/>
  <c r="X757" i="1"/>
  <c r="X748" i="1"/>
  <c r="X739" i="1"/>
  <c r="X730" i="1"/>
  <c r="X721" i="1"/>
  <c r="X712" i="1"/>
  <c r="X702" i="1"/>
  <c r="X693" i="1"/>
  <c r="X684" i="1"/>
  <c r="X675" i="1"/>
  <c r="X666" i="1"/>
  <c r="X657" i="1"/>
  <c r="X648" i="1"/>
  <c r="X638" i="1"/>
  <c r="X629" i="1"/>
  <c r="X620" i="1"/>
  <c r="X611" i="1"/>
  <c r="X602" i="1"/>
  <c r="X593" i="1"/>
  <c r="X584" i="1"/>
  <c r="X574" i="1"/>
  <c r="X565" i="1"/>
  <c r="X556" i="1"/>
  <c r="X547" i="1"/>
  <c r="X538" i="1"/>
  <c r="X529" i="1"/>
  <c r="X520" i="1"/>
  <c r="X510" i="1"/>
  <c r="X501" i="1"/>
  <c r="X492" i="1"/>
  <c r="X483" i="1"/>
  <c r="X474" i="1"/>
  <c r="X465" i="1"/>
  <c r="X456" i="1"/>
  <c r="X446" i="1"/>
  <c r="X437" i="1"/>
  <c r="X428" i="1"/>
  <c r="X419" i="1"/>
  <c r="X410" i="1"/>
  <c r="X401" i="1"/>
  <c r="X392" i="1"/>
  <c r="X382" i="1"/>
  <c r="X373" i="1"/>
  <c r="X364" i="1"/>
  <c r="X355" i="1"/>
  <c r="X346" i="1"/>
  <c r="X337" i="1"/>
  <c r="X328" i="1"/>
  <c r="X318" i="1"/>
  <c r="X309" i="1"/>
  <c r="X300" i="1"/>
  <c r="X291" i="1"/>
  <c r="X282" i="1"/>
  <c r="X273" i="1"/>
  <c r="X264" i="1"/>
  <c r="X254" i="1"/>
  <c r="X245" i="1"/>
  <c r="X236" i="1"/>
  <c r="X227" i="1"/>
  <c r="X218" i="1"/>
  <c r="X209" i="1"/>
  <c r="X200" i="1"/>
  <c r="X192" i="1"/>
  <c r="X184" i="1"/>
  <c r="X176" i="1"/>
  <c r="X168" i="1"/>
  <c r="X160" i="1"/>
  <c r="X152" i="1"/>
  <c r="X144" i="1"/>
  <c r="X136" i="1"/>
  <c r="X128" i="1"/>
  <c r="X120" i="1"/>
  <c r="X112" i="1"/>
  <c r="X104" i="1"/>
  <c r="X96" i="1"/>
  <c r="X88" i="1"/>
  <c r="X80" i="1"/>
  <c r="X72" i="1"/>
  <c r="X64" i="1"/>
  <c r="X56" i="1"/>
  <c r="X48" i="1"/>
  <c r="X40" i="1"/>
  <c r="X32" i="1"/>
  <c r="X24" i="1"/>
  <c r="X16" i="1"/>
  <c r="X8" i="1"/>
  <c r="X1724" i="1"/>
  <c r="X1715" i="1"/>
  <c r="X1706" i="1"/>
  <c r="X1697" i="1"/>
  <c r="X1688" i="1"/>
  <c r="X1678" i="1"/>
  <c r="X1669" i="1"/>
  <c r="X1660" i="1"/>
  <c r="X1651" i="1"/>
  <c r="X1642" i="1"/>
  <c r="X1633" i="1"/>
  <c r="X1624" i="1"/>
  <c r="X1614" i="1"/>
  <c r="X1605" i="1"/>
  <c r="X1596" i="1"/>
  <c r="X1587" i="1"/>
  <c r="X1578" i="1"/>
  <c r="X1569" i="1"/>
  <c r="X1560" i="1"/>
  <c r="X1550" i="1"/>
  <c r="X1541" i="1"/>
  <c r="X1532" i="1"/>
  <c r="X1523" i="1"/>
  <c r="X1514" i="1"/>
  <c r="X1505" i="1"/>
  <c r="X1496" i="1"/>
  <c r="X1486" i="1"/>
  <c r="X1477" i="1"/>
  <c r="X1468" i="1"/>
  <c r="X1459" i="1"/>
  <c r="X1450" i="1"/>
  <c r="X1441" i="1"/>
  <c r="X1432" i="1"/>
  <c r="X1422" i="1"/>
  <c r="X1413" i="1"/>
  <c r="X1404" i="1"/>
  <c r="X1395" i="1"/>
  <c r="X1386" i="1"/>
  <c r="X1377" i="1"/>
  <c r="X1368" i="1"/>
  <c r="X1358" i="1"/>
  <c r="X1349" i="1"/>
  <c r="X1340" i="1"/>
  <c r="X1331" i="1"/>
  <c r="X1322" i="1"/>
  <c r="X1313" i="1"/>
  <c r="X1304" i="1"/>
  <c r="X1294" i="1"/>
  <c r="X1285" i="1"/>
  <c r="X1276" i="1"/>
  <c r="X1267" i="1"/>
  <c r="X1258" i="1"/>
  <c r="X1249" i="1"/>
  <c r="X1240" i="1"/>
  <c r="X1230" i="1"/>
  <c r="X1221" i="1"/>
  <c r="X1212" i="1"/>
  <c r="X1203" i="1"/>
  <c r="X1194" i="1"/>
  <c r="X1185" i="1"/>
  <c r="X1176" i="1"/>
  <c r="X1166" i="1"/>
  <c r="X1157" i="1"/>
  <c r="X1148" i="1"/>
  <c r="X1139" i="1"/>
  <c r="X1130" i="1"/>
  <c r="X1121" i="1"/>
  <c r="X1112" i="1"/>
  <c r="X1102" i="1"/>
  <c r="X1093" i="1"/>
  <c r="X1084" i="1"/>
  <c r="X1075" i="1"/>
  <c r="X1066" i="1"/>
  <c r="X1057" i="1"/>
  <c r="X1048" i="1"/>
  <c r="X1038" i="1"/>
  <c r="X1029" i="1"/>
  <c r="X1020" i="1"/>
  <c r="X1011" i="1"/>
  <c r="X1002" i="1"/>
  <c r="X993" i="1"/>
  <c r="X984" i="1"/>
  <c r="X974" i="1"/>
  <c r="X965" i="1"/>
  <c r="X956" i="1"/>
  <c r="X947" i="1"/>
  <c r="X938" i="1"/>
  <c r="X929" i="1"/>
  <c r="X920" i="1"/>
  <c r="X910" i="1"/>
  <c r="X901" i="1"/>
  <c r="X892" i="1"/>
  <c r="X883" i="1"/>
  <c r="X874" i="1"/>
  <c r="X865" i="1"/>
  <c r="X856" i="1"/>
  <c r="X846" i="1"/>
  <c r="X837" i="1"/>
  <c r="X828" i="1"/>
  <c r="X819" i="1"/>
  <c r="X810" i="1"/>
  <c r="X801" i="1"/>
  <c r="X792" i="1"/>
  <c r="X782" i="1"/>
  <c r="X773" i="1"/>
  <c r="X764" i="1"/>
  <c r="X755" i="1"/>
  <c r="X746" i="1"/>
  <c r="X737" i="1"/>
  <c r="X728" i="1"/>
  <c r="X718" i="1"/>
  <c r="X709" i="1"/>
  <c r="X700" i="1"/>
  <c r="X691" i="1"/>
  <c r="X682" i="1"/>
  <c r="X673" i="1"/>
  <c r="X664" i="1"/>
  <c r="X654" i="1"/>
  <c r="X645" i="1"/>
  <c r="X636" i="1"/>
  <c r="X627" i="1"/>
  <c r="X618" i="1"/>
  <c r="X609" i="1"/>
  <c r="X600" i="1"/>
  <c r="X590" i="1"/>
  <c r="X581" i="1"/>
  <c r="X572" i="1"/>
  <c r="X563" i="1"/>
  <c r="X554" i="1"/>
  <c r="X545" i="1"/>
  <c r="X536" i="1"/>
  <c r="X526" i="1"/>
  <c r="X517" i="1"/>
  <c r="X508" i="1"/>
  <c r="X499" i="1"/>
  <c r="X490" i="1"/>
  <c r="X481" i="1"/>
  <c r="X472" i="1"/>
  <c r="X462" i="1"/>
  <c r="X453" i="1"/>
  <c r="X444" i="1"/>
  <c r="X435" i="1"/>
  <c r="X426" i="1"/>
  <c r="X417" i="1"/>
  <c r="X408" i="1"/>
  <c r="X398" i="1"/>
  <c r="X389" i="1"/>
  <c r="X380" i="1"/>
  <c r="X371" i="1"/>
  <c r="X362" i="1"/>
  <c r="X353" i="1"/>
  <c r="X344" i="1"/>
  <c r="X334" i="1"/>
  <c r="X325" i="1"/>
  <c r="X316" i="1"/>
  <c r="X307" i="1"/>
  <c r="X298" i="1"/>
  <c r="X289" i="1"/>
  <c r="X280" i="1"/>
  <c r="X270" i="1"/>
  <c r="X261" i="1"/>
  <c r="X252" i="1"/>
  <c r="X243" i="1"/>
  <c r="X234" i="1"/>
  <c r="X225" i="1"/>
  <c r="X216" i="1"/>
  <c r="X206" i="1"/>
  <c r="X198" i="1"/>
  <c r="X190" i="1"/>
  <c r="X182" i="1"/>
  <c r="X174" i="1"/>
  <c r="X166" i="1"/>
  <c r="X158" i="1"/>
  <c r="X150" i="1"/>
  <c r="X142" i="1"/>
  <c r="X134" i="1"/>
  <c r="X126" i="1"/>
  <c r="X118" i="1"/>
  <c r="X110" i="1"/>
  <c r="X102" i="1"/>
  <c r="X94" i="1"/>
  <c r="X86" i="1"/>
  <c r="X78" i="1"/>
  <c r="X70" i="1"/>
  <c r="X62" i="1"/>
  <c r="X54" i="1"/>
  <c r="X46" i="1"/>
  <c r="X38" i="1"/>
  <c r="X30" i="1"/>
  <c r="X22" i="1"/>
  <c r="X14" i="1"/>
  <c r="X6" i="1"/>
  <c r="X1418" i="1"/>
  <c r="X1198" i="1"/>
  <c r="X1098" i="1"/>
  <c r="X1043" i="1"/>
  <c r="X988" i="1"/>
  <c r="X942" i="1"/>
  <c r="X906" i="1"/>
  <c r="X1723" i="1"/>
  <c r="X1714" i="1"/>
  <c r="X1705" i="1"/>
  <c r="X1696" i="1"/>
  <c r="X1686" i="1"/>
  <c r="X1677" i="1"/>
  <c r="X1668" i="1"/>
  <c r="X1659" i="1"/>
  <c r="X1650" i="1"/>
  <c r="X1641" i="1"/>
  <c r="X1632" i="1"/>
  <c r="X1622" i="1"/>
  <c r="X1613" i="1"/>
  <c r="X1604" i="1"/>
  <c r="X1595" i="1"/>
  <c r="X1586" i="1"/>
  <c r="X1577" i="1"/>
  <c r="X1568" i="1"/>
  <c r="X1558" i="1"/>
  <c r="X1549" i="1"/>
  <c r="X1540" i="1"/>
  <c r="X1531" i="1"/>
  <c r="X1522" i="1"/>
  <c r="X1513" i="1"/>
  <c r="X1504" i="1"/>
  <c r="X1494" i="1"/>
  <c r="X1485" i="1"/>
  <c r="X1476" i="1"/>
  <c r="X1467" i="1"/>
  <c r="X1458" i="1"/>
  <c r="X1449" i="1"/>
  <c r="X1440" i="1"/>
  <c r="X1430" i="1"/>
  <c r="X1421" i="1"/>
  <c r="X1412" i="1"/>
  <c r="X1403" i="1"/>
  <c r="X1394" i="1"/>
  <c r="X1385" i="1"/>
  <c r="X1376" i="1"/>
  <c r="X1366" i="1"/>
  <c r="X1357" i="1"/>
  <c r="X1348" i="1"/>
  <c r="X1339" i="1"/>
  <c r="X1330" i="1"/>
  <c r="X1321" i="1"/>
  <c r="X1312" i="1"/>
  <c r="X1302" i="1"/>
  <c r="X1293" i="1"/>
  <c r="X1284" i="1"/>
  <c r="X1275" i="1"/>
  <c r="X1266" i="1"/>
  <c r="X1257" i="1"/>
  <c r="X1248" i="1"/>
  <c r="X1238" i="1"/>
  <c r="X1229" i="1"/>
  <c r="X1220" i="1"/>
  <c r="X1211" i="1"/>
  <c r="X1202" i="1"/>
  <c r="X1193" i="1"/>
  <c r="X1184" i="1"/>
  <c r="X1174" i="1"/>
  <c r="X1165" i="1"/>
  <c r="X1156" i="1"/>
  <c r="X1147" i="1"/>
  <c r="X1138" i="1"/>
  <c r="X1129" i="1"/>
  <c r="X1120" i="1"/>
  <c r="X1110" i="1"/>
  <c r="X1101" i="1"/>
  <c r="X1092" i="1"/>
  <c r="X1083" i="1"/>
  <c r="X1074" i="1"/>
  <c r="X1065" i="1"/>
  <c r="X1056" i="1"/>
  <c r="X1046" i="1"/>
  <c r="X1037" i="1"/>
  <c r="X1028" i="1"/>
  <c r="X1019" i="1"/>
  <c r="X1010" i="1"/>
  <c r="X1001" i="1"/>
  <c r="X992" i="1"/>
  <c r="X982" i="1"/>
  <c r="X973" i="1"/>
  <c r="X964" i="1"/>
  <c r="X955" i="1"/>
  <c r="X946" i="1"/>
  <c r="X937" i="1"/>
  <c r="X928" i="1"/>
  <c r="X918" i="1"/>
  <c r="X909" i="1"/>
  <c r="X900" i="1"/>
  <c r="X891" i="1"/>
  <c r="X882" i="1"/>
  <c r="X873" i="1"/>
  <c r="X864" i="1"/>
  <c r="X854" i="1"/>
  <c r="X845" i="1"/>
  <c r="X836" i="1"/>
  <c r="X827" i="1"/>
  <c r="X818" i="1"/>
  <c r="X809" i="1"/>
  <c r="X800" i="1"/>
  <c r="X790" i="1"/>
  <c r="X781" i="1"/>
  <c r="X772" i="1"/>
  <c r="X763" i="1"/>
  <c r="X754" i="1"/>
  <c r="X745" i="1"/>
  <c r="X736" i="1"/>
  <c r="X726" i="1"/>
  <c r="X717" i="1"/>
  <c r="X708" i="1"/>
  <c r="X699" i="1"/>
  <c r="X690" i="1"/>
  <c r="X681" i="1"/>
  <c r="X672" i="1"/>
  <c r="X662" i="1"/>
  <c r="X653" i="1"/>
  <c r="X644" i="1"/>
  <c r="X635" i="1"/>
  <c r="X626" i="1"/>
  <c r="X617" i="1"/>
  <c r="X608" i="1"/>
  <c r="X598" i="1"/>
  <c r="X589" i="1"/>
  <c r="X580" i="1"/>
  <c r="X571" i="1"/>
  <c r="X562" i="1"/>
  <c r="X553" i="1"/>
  <c r="X544" i="1"/>
  <c r="X534" i="1"/>
  <c r="X525" i="1"/>
  <c r="X516" i="1"/>
  <c r="X507" i="1"/>
  <c r="X498" i="1"/>
  <c r="X489" i="1"/>
  <c r="X480" i="1"/>
  <c r="X470" i="1"/>
  <c r="X461" i="1"/>
  <c r="X452" i="1"/>
  <c r="X443" i="1"/>
  <c r="X434" i="1"/>
  <c r="X425" i="1"/>
  <c r="X416" i="1"/>
  <c r="X406" i="1"/>
  <c r="X397" i="1"/>
  <c r="X388" i="1"/>
  <c r="X379" i="1"/>
  <c r="X370" i="1"/>
  <c r="X361" i="1"/>
  <c r="X352" i="1"/>
  <c r="X342" i="1"/>
  <c r="X333" i="1"/>
  <c r="X324" i="1"/>
  <c r="X315" i="1"/>
  <c r="X306" i="1"/>
  <c r="X297" i="1"/>
  <c r="X288" i="1"/>
  <c r="X278" i="1"/>
  <c r="X269" i="1"/>
  <c r="X260" i="1"/>
  <c r="X251" i="1"/>
  <c r="X242" i="1"/>
  <c r="X233" i="1"/>
  <c r="X224" i="1"/>
  <c r="X214" i="1"/>
  <c r="X205" i="1"/>
  <c r="X197" i="1"/>
  <c r="X189" i="1"/>
  <c r="X181" i="1"/>
  <c r="X173" i="1"/>
  <c r="X165" i="1"/>
  <c r="X157" i="1"/>
  <c r="X149" i="1"/>
  <c r="X141" i="1"/>
  <c r="X133" i="1"/>
  <c r="X125" i="1"/>
  <c r="X117" i="1"/>
  <c r="X109" i="1"/>
  <c r="X101" i="1"/>
  <c r="X93" i="1"/>
  <c r="X85" i="1"/>
  <c r="X77" i="1"/>
  <c r="X69" i="1"/>
  <c r="X61" i="1"/>
  <c r="X53" i="1"/>
  <c r="X45" i="1"/>
  <c r="X37" i="1"/>
  <c r="X29" i="1"/>
  <c r="X21" i="1"/>
  <c r="X13" i="1"/>
  <c r="X5" i="1"/>
  <c r="X1265" i="1"/>
  <c r="X1082" i="1"/>
  <c r="X1045" i="1"/>
  <c r="X1027" i="1"/>
  <c r="X1009" i="1"/>
  <c r="X990" i="1"/>
  <c r="X972" i="1"/>
  <c r="X954" i="1"/>
  <c r="X945" i="1"/>
  <c r="X926" i="1"/>
  <c r="X908" i="1"/>
  <c r="X899" i="1"/>
  <c r="X881" i="1"/>
  <c r="X872" i="1"/>
  <c r="X853" i="1"/>
  <c r="X835" i="1"/>
  <c r="X817" i="1"/>
  <c r="X808" i="1"/>
  <c r="X789" i="1"/>
  <c r="X771" i="1"/>
  <c r="X744" i="1"/>
  <c r="X725" i="1"/>
  <c r="X707" i="1"/>
  <c r="X689" i="1"/>
  <c r="X670" i="1"/>
  <c r="X652" i="1"/>
  <c r="X643" i="1"/>
  <c r="X625" i="1"/>
  <c r="X606" i="1"/>
  <c r="X588" i="1"/>
  <c r="X570" i="1"/>
  <c r="X552" i="1"/>
  <c r="X533" i="1"/>
  <c r="X524" i="1"/>
  <c r="X506" i="1"/>
  <c r="X497" i="1"/>
  <c r="X478" i="1"/>
  <c r="X460" i="1"/>
  <c r="X442" i="1"/>
  <c r="X424" i="1"/>
  <c r="X414" i="1"/>
  <c r="X396" i="1"/>
  <c r="X387" i="1"/>
  <c r="X369" i="1"/>
  <c r="X350" i="1"/>
  <c r="X332" i="1"/>
  <c r="X314" i="1"/>
  <c r="X305" i="1"/>
  <c r="X286" i="1"/>
  <c r="X268" i="1"/>
  <c r="X259" i="1"/>
  <c r="X241" i="1"/>
  <c r="X213" i="1"/>
  <c r="X196" i="1"/>
  <c r="X180" i="1"/>
  <c r="X172" i="1"/>
  <c r="X156" i="1"/>
  <c r="X140" i="1"/>
  <c r="X124" i="1"/>
  <c r="X108" i="1"/>
  <c r="X76" i="1"/>
  <c r="X60" i="1"/>
  <c r="X52" i="1"/>
  <c r="X36" i="1"/>
  <c r="X28" i="1"/>
  <c r="X12" i="1"/>
  <c r="X1722" i="1"/>
  <c r="X1713" i="1"/>
  <c r="X1704" i="1"/>
  <c r="X1694" i="1"/>
  <c r="X1685" i="1"/>
  <c r="X1676" i="1"/>
  <c r="X1667" i="1"/>
  <c r="X1658" i="1"/>
  <c r="X1649" i="1"/>
  <c r="X1640" i="1"/>
  <c r="X1630" i="1"/>
  <c r="X1621" i="1"/>
  <c r="X1612" i="1"/>
  <c r="X1603" i="1"/>
  <c r="X1594" i="1"/>
  <c r="X1585" i="1"/>
  <c r="X1576" i="1"/>
  <c r="X1566" i="1"/>
  <c r="X1557" i="1"/>
  <c r="X1548" i="1"/>
  <c r="X1539" i="1"/>
  <c r="X1530" i="1"/>
  <c r="X1521" i="1"/>
  <c r="X1512" i="1"/>
  <c r="X1502" i="1"/>
  <c r="X1493" i="1"/>
  <c r="X1484" i="1"/>
  <c r="X1475" i="1"/>
  <c r="X1466" i="1"/>
  <c r="X1457" i="1"/>
  <c r="X1448" i="1"/>
  <c r="X1438" i="1"/>
  <c r="X1429" i="1"/>
  <c r="X1420" i="1"/>
  <c r="X1411" i="1"/>
  <c r="X1402" i="1"/>
  <c r="X1393" i="1"/>
  <c r="X1384" i="1"/>
  <c r="X1374" i="1"/>
  <c r="X1365" i="1"/>
  <c r="X1356" i="1"/>
  <c r="X1347" i="1"/>
  <c r="X1338" i="1"/>
  <c r="X1329" i="1"/>
  <c r="X1320" i="1"/>
  <c r="X1310" i="1"/>
  <c r="X1301" i="1"/>
  <c r="X1292" i="1"/>
  <c r="X1283" i="1"/>
  <c r="X1274" i="1"/>
  <c r="X1256" i="1"/>
  <c r="X1246" i="1"/>
  <c r="X1237" i="1"/>
  <c r="X1228" i="1"/>
  <c r="X1219" i="1"/>
  <c r="X1210" i="1"/>
  <c r="X1201" i="1"/>
  <c r="X1192" i="1"/>
  <c r="X1182" i="1"/>
  <c r="X1173" i="1"/>
  <c r="X1164" i="1"/>
  <c r="X1155" i="1"/>
  <c r="X1146" i="1"/>
  <c r="X1137" i="1"/>
  <c r="X1128" i="1"/>
  <c r="X1118" i="1"/>
  <c r="X1109" i="1"/>
  <c r="X1100" i="1"/>
  <c r="X1091" i="1"/>
  <c r="X1073" i="1"/>
  <c r="X1064" i="1"/>
  <c r="X1054" i="1"/>
  <c r="X1036" i="1"/>
  <c r="X1018" i="1"/>
  <c r="X1000" i="1"/>
  <c r="X981" i="1"/>
  <c r="X963" i="1"/>
  <c r="X936" i="1"/>
  <c r="X917" i="1"/>
  <c r="X890" i="1"/>
  <c r="X862" i="1"/>
  <c r="X844" i="1"/>
  <c r="X826" i="1"/>
  <c r="X798" i="1"/>
  <c r="X780" i="1"/>
  <c r="X762" i="1"/>
  <c r="X753" i="1"/>
  <c r="X734" i="1"/>
  <c r="X716" i="1"/>
  <c r="X698" i="1"/>
  <c r="X680" i="1"/>
  <c r="X661" i="1"/>
  <c r="X634" i="1"/>
  <c r="X616" i="1"/>
  <c r="X597" i="1"/>
  <c r="X579" i="1"/>
  <c r="X561" i="1"/>
  <c r="X542" i="1"/>
  <c r="X515" i="1"/>
  <c r="X488" i="1"/>
  <c r="X469" i="1"/>
  <c r="X451" i="1"/>
  <c r="X433" i="1"/>
  <c r="X405" i="1"/>
  <c r="X378" i="1"/>
  <c r="X360" i="1"/>
  <c r="X341" i="1"/>
  <c r="X323" i="1"/>
  <c r="X296" i="1"/>
  <c r="X277" i="1"/>
  <c r="X250" i="1"/>
  <c r="X232" i="1"/>
  <c r="X222" i="1"/>
  <c r="X204" i="1"/>
  <c r="X188" i="1"/>
  <c r="X164" i="1"/>
  <c r="X148" i="1"/>
  <c r="X132" i="1"/>
  <c r="X116" i="1"/>
  <c r="X100" i="1"/>
  <c r="X92" i="1"/>
  <c r="X84" i="1"/>
  <c r="X68" i="1"/>
  <c r="X44" i="1"/>
  <c r="X20" i="1"/>
  <c r="X4" i="1"/>
  <c r="X1721" i="1"/>
  <c r="X1702" i="1"/>
  <c r="X1684" i="1"/>
  <c r="X1666" i="1"/>
  <c r="X1648" i="1"/>
  <c r="X1629" i="1"/>
  <c r="X1611" i="1"/>
  <c r="X1584" i="1"/>
  <c r="X1574" i="1"/>
  <c r="X1556" i="1"/>
  <c r="X1538" i="1"/>
  <c r="X1520" i="1"/>
  <c r="X1501" i="1"/>
  <c r="X1483" i="1"/>
  <c r="X1474" i="1"/>
  <c r="X1456" i="1"/>
  <c r="X1437" i="1"/>
  <c r="X1419" i="1"/>
  <c r="X1410" i="1"/>
  <c r="X1392" i="1"/>
  <c r="X1373" i="1"/>
  <c r="X1355" i="1"/>
  <c r="X1337" i="1"/>
  <c r="X1328" i="1"/>
  <c r="X1309" i="1"/>
  <c r="X1291" i="1"/>
  <c r="X1273" i="1"/>
  <c r="X1254" i="1"/>
  <c r="X1236" i="1"/>
  <c r="X1218" i="1"/>
  <c r="X1200" i="1"/>
  <c r="X1181" i="1"/>
  <c r="X1163" i="1"/>
  <c r="X1145" i="1"/>
  <c r="X1126" i="1"/>
  <c r="X1108" i="1"/>
  <c r="X1090" i="1"/>
  <c r="X1072" i="1"/>
  <c r="X1053" i="1"/>
  <c r="X1035" i="1"/>
  <c r="X1017" i="1"/>
  <c r="X998" i="1"/>
  <c r="X971" i="1"/>
  <c r="X953" i="1"/>
  <c r="X934" i="1"/>
  <c r="X916" i="1"/>
  <c r="X898" i="1"/>
  <c r="X880" i="1"/>
  <c r="X861" i="1"/>
  <c r="X852" i="1"/>
  <c r="X834" i="1"/>
  <c r="X816" i="1"/>
  <c r="X797" i="1"/>
  <c r="X779" i="1"/>
  <c r="X761" i="1"/>
  <c r="X742" i="1"/>
  <c r="X724" i="1"/>
  <c r="X706" i="1"/>
  <c r="X688" i="1"/>
  <c r="X669" i="1"/>
  <c r="X651" i="1"/>
  <c r="X633" i="1"/>
  <c r="X614" i="1"/>
  <c r="X596" i="1"/>
  <c r="X578" i="1"/>
  <c r="X550" i="1"/>
  <c r="X532" i="1"/>
  <c r="X514" i="1"/>
  <c r="X486" i="1"/>
  <c r="X468" i="1"/>
  <c r="X450" i="1"/>
  <c r="X432" i="1"/>
  <c r="X413" i="1"/>
  <c r="X395" i="1"/>
  <c r="X377" i="1"/>
  <c r="X358" i="1"/>
  <c r="X340" i="1"/>
  <c r="X322" i="1"/>
  <c r="X294" i="1"/>
  <c r="X276" i="1"/>
  <c r="X258" i="1"/>
  <c r="X240" i="1"/>
  <c r="X221" i="1"/>
  <c r="X203" i="1"/>
  <c r="X187" i="1"/>
  <c r="X171" i="1"/>
  <c r="X155" i="1"/>
  <c r="X139" i="1"/>
  <c r="X123" i="1"/>
  <c r="X107" i="1"/>
  <c r="X91" i="1"/>
  <c r="X75" i="1"/>
  <c r="X51" i="1"/>
  <c r="X35" i="1"/>
  <c r="X19" i="1"/>
  <c r="X3" i="1"/>
  <c r="X1710" i="1"/>
  <c r="X1674" i="1"/>
  <c r="X1646" i="1"/>
  <c r="X1619" i="1"/>
  <c r="X1601" i="1"/>
  <c r="X1573" i="1"/>
  <c r="X1555" i="1"/>
  <c r="X1528" i="1"/>
  <c r="X1509" i="1"/>
  <c r="X1482" i="1"/>
  <c r="X1454" i="1"/>
  <c r="X1427" i="1"/>
  <c r="X1390" i="1"/>
  <c r="X1363" i="1"/>
  <c r="X1345" i="1"/>
  <c r="X1317" i="1"/>
  <c r="X1299" i="1"/>
  <c r="X1272" i="1"/>
  <c r="X1253" i="1"/>
  <c r="X1235" i="1"/>
  <c r="X1208" i="1"/>
  <c r="X1171" i="1"/>
  <c r="X1144" i="1"/>
  <c r="X1134" i="1"/>
  <c r="X1107" i="1"/>
  <c r="X1080" i="1"/>
  <c r="X1052" i="1"/>
  <c r="X1034" i="1"/>
  <c r="X1006" i="1"/>
  <c r="X970" i="1"/>
  <c r="X952" i="1"/>
  <c r="X915" i="1"/>
  <c r="X1712" i="1"/>
  <c r="X1693" i="1"/>
  <c r="X1675" i="1"/>
  <c r="X1657" i="1"/>
  <c r="X1638" i="1"/>
  <c r="X1620" i="1"/>
  <c r="X1602" i="1"/>
  <c r="X1593" i="1"/>
  <c r="X1565" i="1"/>
  <c r="X1547" i="1"/>
  <c r="X1529" i="1"/>
  <c r="X1510" i="1"/>
  <c r="X1492" i="1"/>
  <c r="X1465" i="1"/>
  <c r="X1446" i="1"/>
  <c r="X1428" i="1"/>
  <c r="X1401" i="1"/>
  <c r="X1382" i="1"/>
  <c r="X1364" i="1"/>
  <c r="X1346" i="1"/>
  <c r="X1318" i="1"/>
  <c r="X1300" i="1"/>
  <c r="X1282" i="1"/>
  <c r="X1264" i="1"/>
  <c r="X1245" i="1"/>
  <c r="X1227" i="1"/>
  <c r="X1209" i="1"/>
  <c r="X1190" i="1"/>
  <c r="X1172" i="1"/>
  <c r="X1154" i="1"/>
  <c r="X1136" i="1"/>
  <c r="X1117" i="1"/>
  <c r="X1099" i="1"/>
  <c r="X1081" i="1"/>
  <c r="X1062" i="1"/>
  <c r="X1044" i="1"/>
  <c r="X1026" i="1"/>
  <c r="X1008" i="1"/>
  <c r="X989" i="1"/>
  <c r="X980" i="1"/>
  <c r="X962" i="1"/>
  <c r="X944" i="1"/>
  <c r="X925" i="1"/>
  <c r="X907" i="1"/>
  <c r="X889" i="1"/>
  <c r="X870" i="1"/>
  <c r="X843" i="1"/>
  <c r="X825" i="1"/>
  <c r="X806" i="1"/>
  <c r="X788" i="1"/>
  <c r="X770" i="1"/>
  <c r="X752" i="1"/>
  <c r="X733" i="1"/>
  <c r="X715" i="1"/>
  <c r="X697" i="1"/>
  <c r="X678" i="1"/>
  <c r="X660" i="1"/>
  <c r="X642" i="1"/>
  <c r="X624" i="1"/>
  <c r="X605" i="1"/>
  <c r="X587" i="1"/>
  <c r="X569" i="1"/>
  <c r="X560" i="1"/>
  <c r="X541" i="1"/>
  <c r="X523" i="1"/>
  <c r="X505" i="1"/>
  <c r="X496" i="1"/>
  <c r="X477" i="1"/>
  <c r="X459" i="1"/>
  <c r="X441" i="1"/>
  <c r="X422" i="1"/>
  <c r="X404" i="1"/>
  <c r="X386" i="1"/>
  <c r="X368" i="1"/>
  <c r="X349" i="1"/>
  <c r="X331" i="1"/>
  <c r="X313" i="1"/>
  <c r="X304" i="1"/>
  <c r="X285" i="1"/>
  <c r="X267" i="1"/>
  <c r="X249" i="1"/>
  <c r="X230" i="1"/>
  <c r="X212" i="1"/>
  <c r="X195" i="1"/>
  <c r="X179" i="1"/>
  <c r="X163" i="1"/>
  <c r="X147" i="1"/>
  <c r="X131" i="1"/>
  <c r="X115" i="1"/>
  <c r="X99" i="1"/>
  <c r="X83" i="1"/>
  <c r="X67" i="1"/>
  <c r="X59" i="1"/>
  <c r="X43" i="1"/>
  <c r="X27" i="1"/>
  <c r="X11" i="1"/>
  <c r="X1720" i="1"/>
  <c r="X1692" i="1"/>
  <c r="X1665" i="1"/>
  <c r="X1637" i="1"/>
  <c r="X1610" i="1"/>
  <c r="X1592" i="1"/>
  <c r="X1564" i="1"/>
  <c r="X1546" i="1"/>
  <c r="X1518" i="1"/>
  <c r="X1491" i="1"/>
  <c r="X1473" i="1"/>
  <c r="X1445" i="1"/>
  <c r="X1409" i="1"/>
  <c r="X1381" i="1"/>
  <c r="X1354" i="1"/>
  <c r="X1326" i="1"/>
  <c r="X1290" i="1"/>
  <c r="X1262" i="1"/>
  <c r="X1226" i="1"/>
  <c r="X1189" i="1"/>
  <c r="X1153" i="1"/>
  <c r="X1125" i="1"/>
  <c r="X1089" i="1"/>
  <c r="X1061" i="1"/>
  <c r="X1016" i="1"/>
  <c r="X997" i="1"/>
  <c r="X961" i="1"/>
  <c r="X924" i="1"/>
  <c r="X888" i="1"/>
  <c r="X1701" i="1"/>
  <c r="X1683" i="1"/>
  <c r="X1656" i="1"/>
  <c r="X1628" i="1"/>
  <c r="X1582" i="1"/>
  <c r="X1537" i="1"/>
  <c r="X1500" i="1"/>
  <c r="X1464" i="1"/>
  <c r="X1436" i="1"/>
  <c r="X1400" i="1"/>
  <c r="X1372" i="1"/>
  <c r="X1336" i="1"/>
  <c r="X1308" i="1"/>
  <c r="X1281" i="1"/>
  <c r="X1244" i="1"/>
  <c r="X1217" i="1"/>
  <c r="X1180" i="1"/>
  <c r="X1162" i="1"/>
  <c r="X1116" i="1"/>
  <c r="X1070" i="1"/>
  <c r="X1025" i="1"/>
  <c r="X979" i="1"/>
  <c r="X933" i="1"/>
  <c r="X897" i="1"/>
  <c r="X1691" i="1"/>
  <c r="X1654" i="1"/>
  <c r="X1618" i="1"/>
  <c r="X1581" i="1"/>
  <c r="X1545" i="1"/>
  <c r="X1508" i="1"/>
  <c r="X1472" i="1"/>
  <c r="X1435" i="1"/>
  <c r="X1398" i="1"/>
  <c r="X1362" i="1"/>
  <c r="X1325" i="1"/>
  <c r="X1289" i="1"/>
  <c r="X1252" i="1"/>
  <c r="X1216" i="1"/>
  <c r="X1179" i="1"/>
  <c r="X1142" i="1"/>
  <c r="X1106" i="1"/>
  <c r="X1069" i="1"/>
  <c r="X1033" i="1"/>
  <c r="X996" i="1"/>
  <c r="X960" i="1"/>
  <c r="X923" i="1"/>
  <c r="X886" i="1"/>
  <c r="X860" i="1"/>
  <c r="X838" i="1"/>
  <c r="X813" i="1"/>
  <c r="X787" i="1"/>
  <c r="X765" i="1"/>
  <c r="X740" i="1"/>
  <c r="X714" i="1"/>
  <c r="X692" i="1"/>
  <c r="X667" i="1"/>
  <c r="X641" i="1"/>
  <c r="X619" i="1"/>
  <c r="X594" i="1"/>
  <c r="X568" i="1"/>
  <c r="X546" i="1"/>
  <c r="X521" i="1"/>
  <c r="X494" i="1"/>
  <c r="X473" i="1"/>
  <c r="X448" i="1"/>
  <c r="X421" i="1"/>
  <c r="X400" i="1"/>
  <c r="X374" i="1"/>
  <c r="X348" i="1"/>
  <c r="X326" i="1"/>
  <c r="X301" i="1"/>
  <c r="X275" i="1"/>
  <c r="X253" i="1"/>
  <c r="X228" i="1"/>
  <c r="X202" i="1"/>
  <c r="X183" i="1"/>
  <c r="X161" i="1"/>
  <c r="X138" i="1"/>
  <c r="X119" i="1"/>
  <c r="X97" i="1"/>
  <c r="X33" i="1"/>
  <c r="X9" i="1"/>
  <c r="X1609" i="1"/>
  <c r="X1389" i="1"/>
  <c r="X1170" i="1"/>
  <c r="X950" i="1"/>
  <c r="X758" i="1"/>
  <c r="X637" i="1"/>
  <c r="X491" i="1"/>
  <c r="X320" i="1"/>
  <c r="X154" i="1"/>
  <c r="X26" i="1"/>
  <c r="X1725" i="1"/>
  <c r="X1689" i="1"/>
  <c r="X1652" i="1"/>
  <c r="X1616" i="1"/>
  <c r="X1579" i="1"/>
  <c r="X1542" i="1"/>
  <c r="X1506" i="1"/>
  <c r="X1469" i="1"/>
  <c r="X1433" i="1"/>
  <c r="X1396" i="1"/>
  <c r="X1360" i="1"/>
  <c r="X1323" i="1"/>
  <c r="X1286" i="1"/>
  <c r="X1250" i="1"/>
  <c r="X1213" i="1"/>
  <c r="X1177" i="1"/>
  <c r="X1140" i="1"/>
  <c r="X1104" i="1"/>
  <c r="X1067" i="1"/>
  <c r="X1030" i="1"/>
  <c r="X994" i="1"/>
  <c r="X957" i="1"/>
  <c r="X921" i="1"/>
  <c r="X884" i="1"/>
  <c r="X859" i="1"/>
  <c r="X833" i="1"/>
  <c r="X811" i="1"/>
  <c r="X786" i="1"/>
  <c r="X760" i="1"/>
  <c r="X738" i="1"/>
  <c r="X713" i="1"/>
  <c r="X686" i="1"/>
  <c r="X665" i="1"/>
  <c r="X640" i="1"/>
  <c r="X613" i="1"/>
  <c r="X592" i="1"/>
  <c r="X566" i="1"/>
  <c r="X540" i="1"/>
  <c r="X518" i="1"/>
  <c r="X493" i="1"/>
  <c r="X467" i="1"/>
  <c r="X445" i="1"/>
  <c r="X420" i="1"/>
  <c r="X394" i="1"/>
  <c r="X372" i="1"/>
  <c r="X347" i="1"/>
  <c r="X321" i="1"/>
  <c r="X299" i="1"/>
  <c r="X274" i="1"/>
  <c r="X248" i="1"/>
  <c r="X226" i="1"/>
  <c r="X201" i="1"/>
  <c r="X178" i="1"/>
  <c r="X159" i="1"/>
  <c r="X137" i="1"/>
  <c r="X114" i="1"/>
  <c r="X95" i="1"/>
  <c r="X73" i="1"/>
  <c r="X1572" i="1"/>
  <c r="X1353" i="1"/>
  <c r="X1206" i="1"/>
  <c r="X987" i="1"/>
  <c r="X832" i="1"/>
  <c r="X710" i="1"/>
  <c r="X612" i="1"/>
  <c r="X440" i="1"/>
  <c r="X293" i="1"/>
  <c r="X199" i="1"/>
  <c r="X71" i="1"/>
  <c r="X1682" i="1"/>
  <c r="X1462" i="1"/>
  <c r="X1243" i="1"/>
  <c r="X1024" i="1"/>
  <c r="X857" i="1"/>
  <c r="X685" i="1"/>
  <c r="X513" i="1"/>
  <c r="X393" i="1"/>
  <c r="X246" i="1"/>
  <c r="X113" i="1"/>
  <c r="X7" i="1"/>
  <c r="X1716" i="1"/>
  <c r="X1680" i="1"/>
  <c r="X1643" i="1"/>
  <c r="X1606" i="1"/>
  <c r="X1570" i="1"/>
  <c r="X1533" i="1"/>
  <c r="X1497" i="1"/>
  <c r="X1460" i="1"/>
  <c r="X1424" i="1"/>
  <c r="X1387" i="1"/>
  <c r="X1350" i="1"/>
  <c r="X1314" i="1"/>
  <c r="X1277" i="1"/>
  <c r="X1241" i="1"/>
  <c r="X1204" i="1"/>
  <c r="X1168" i="1"/>
  <c r="X1131" i="1"/>
  <c r="X1094" i="1"/>
  <c r="X1058" i="1"/>
  <c r="X1021" i="1"/>
  <c r="X985" i="1"/>
  <c r="X948" i="1"/>
  <c r="X912" i="1"/>
  <c r="X877" i="1"/>
  <c r="X851" i="1"/>
  <c r="X829" i="1"/>
  <c r="X804" i="1"/>
  <c r="X778" i="1"/>
  <c r="X756" i="1"/>
  <c r="X731" i="1"/>
  <c r="X705" i="1"/>
  <c r="X683" i="1"/>
  <c r="X658" i="1"/>
  <c r="X632" i="1"/>
  <c r="X610" i="1"/>
  <c r="X585" i="1"/>
  <c r="X558" i="1"/>
  <c r="X537" i="1"/>
  <c r="X512" i="1"/>
  <c r="X485" i="1"/>
  <c r="X464" i="1"/>
  <c r="X438" i="1"/>
  <c r="X412" i="1"/>
  <c r="X390" i="1"/>
  <c r="X365" i="1"/>
  <c r="X339" i="1"/>
  <c r="X317" i="1"/>
  <c r="X292" i="1"/>
  <c r="X266" i="1"/>
  <c r="X244" i="1"/>
  <c r="X219" i="1"/>
  <c r="X194" i="1"/>
  <c r="X175" i="1"/>
  <c r="X153" i="1"/>
  <c r="X130" i="1"/>
  <c r="X111" i="1"/>
  <c r="X89" i="1"/>
  <c r="X66" i="1"/>
  <c r="X47" i="1"/>
  <c r="X25" i="1"/>
  <c r="X1709" i="1"/>
  <c r="X1673" i="1"/>
  <c r="X1636" i="1"/>
  <c r="X1600" i="1"/>
  <c r="X1563" i="1"/>
  <c r="X1526" i="1"/>
  <c r="X1490" i="1"/>
  <c r="X1453" i="1"/>
  <c r="X1417" i="1"/>
  <c r="X1380" i="1"/>
  <c r="X1344" i="1"/>
  <c r="X1307" i="1"/>
  <c r="X1270" i="1"/>
  <c r="X1234" i="1"/>
  <c r="X1197" i="1"/>
  <c r="X1161" i="1"/>
  <c r="X1124" i="1"/>
  <c r="X1088" i="1"/>
  <c r="X1051" i="1"/>
  <c r="X1014" i="1"/>
  <c r="X978" i="1"/>
  <c r="X941" i="1"/>
  <c r="X905" i="1"/>
  <c r="X875" i="1"/>
  <c r="X850" i="1"/>
  <c r="X824" i="1"/>
  <c r="X802" i="1"/>
  <c r="X777" i="1"/>
  <c r="X750" i="1"/>
  <c r="X729" i="1"/>
  <c r="X704" i="1"/>
  <c r="X677" i="1"/>
  <c r="X656" i="1"/>
  <c r="X630" i="1"/>
  <c r="X604" i="1"/>
  <c r="X582" i="1"/>
  <c r="X557" i="1"/>
  <c r="X531" i="1"/>
  <c r="X509" i="1"/>
  <c r="X484" i="1"/>
  <c r="X458" i="1"/>
  <c r="X436" i="1"/>
  <c r="X411" i="1"/>
  <c r="X385" i="1"/>
  <c r="X363" i="1"/>
  <c r="X338" i="1"/>
  <c r="X312" i="1"/>
  <c r="X290" i="1"/>
  <c r="X265" i="1"/>
  <c r="X238" i="1"/>
  <c r="X217" i="1"/>
  <c r="X193" i="1"/>
  <c r="X170" i="1"/>
  <c r="X151" i="1"/>
  <c r="X129" i="1"/>
  <c r="X106" i="1"/>
  <c r="X87" i="1"/>
  <c r="X65" i="1"/>
  <c r="X42" i="1"/>
  <c r="X23" i="1"/>
  <c r="X2" i="1"/>
  <c r="X1707" i="1"/>
  <c r="X1670" i="1"/>
  <c r="X1634" i="1"/>
  <c r="X1597" i="1"/>
  <c r="X1561" i="1"/>
  <c r="X1524" i="1"/>
  <c r="X1488" i="1"/>
  <c r="X1451" i="1"/>
  <c r="X1414" i="1"/>
  <c r="X1378" i="1"/>
  <c r="X1341" i="1"/>
  <c r="X1305" i="1"/>
  <c r="X1268" i="1"/>
  <c r="X1232" i="1"/>
  <c r="X1195" i="1"/>
  <c r="X1158" i="1"/>
  <c r="X1122" i="1"/>
  <c r="X1085" i="1"/>
  <c r="X1049" i="1"/>
  <c r="X1012" i="1"/>
  <c r="X976" i="1"/>
  <c r="X939" i="1"/>
  <c r="X902" i="1"/>
  <c r="X869" i="1"/>
  <c r="X848" i="1"/>
  <c r="X822" i="1"/>
  <c r="X796" i="1"/>
  <c r="X774" i="1"/>
  <c r="X749" i="1"/>
  <c r="X723" i="1"/>
  <c r="X701" i="1"/>
  <c r="X676" i="1"/>
  <c r="X650" i="1"/>
  <c r="X628" i="1"/>
  <c r="X603" i="1"/>
  <c r="X577" i="1"/>
  <c r="X555" i="1"/>
  <c r="X530" i="1"/>
  <c r="X504" i="1"/>
  <c r="X482" i="1"/>
  <c r="X457" i="1"/>
  <c r="X430" i="1"/>
  <c r="X409" i="1"/>
  <c r="X384" i="1"/>
  <c r="X357" i="1"/>
  <c r="X336" i="1"/>
  <c r="X310" i="1"/>
  <c r="X284" i="1"/>
  <c r="X262" i="1"/>
  <c r="X237" i="1"/>
  <c r="X211" i="1"/>
  <c r="X191" i="1"/>
  <c r="X169" i="1"/>
  <c r="X146" i="1"/>
  <c r="X127" i="1"/>
  <c r="X105" i="1"/>
  <c r="X82" i="1"/>
  <c r="X63" i="1"/>
  <c r="X41" i="1"/>
  <c r="X18" i="1"/>
  <c r="X1718" i="1"/>
  <c r="X1536" i="1"/>
  <c r="X1316" i="1"/>
  <c r="X1133" i="1"/>
  <c r="X914" i="1"/>
  <c r="X805" i="1"/>
  <c r="X659" i="1"/>
  <c r="X539" i="1"/>
  <c r="X418" i="1"/>
  <c r="X272" i="1"/>
  <c r="X177" i="1"/>
  <c r="X49" i="1"/>
  <c r="X1700" i="1"/>
  <c r="X1664" i="1"/>
  <c r="X1627" i="1"/>
  <c r="X1590" i="1"/>
  <c r="X1554" i="1"/>
  <c r="X1517" i="1"/>
  <c r="X1481" i="1"/>
  <c r="X1444" i="1"/>
  <c r="X1408" i="1"/>
  <c r="X1371" i="1"/>
  <c r="X1334" i="1"/>
  <c r="X1298" i="1"/>
  <c r="X1261" i="1"/>
  <c r="X1225" i="1"/>
  <c r="X1188" i="1"/>
  <c r="X1152" i="1"/>
  <c r="X1115" i="1"/>
  <c r="X1078" i="1"/>
  <c r="X1042" i="1"/>
  <c r="X1005" i="1"/>
  <c r="X969" i="1"/>
  <c r="X932" i="1"/>
  <c r="X896" i="1"/>
  <c r="X868" i="1"/>
  <c r="X842" i="1"/>
  <c r="X820" i="1"/>
  <c r="X795" i="1"/>
  <c r="X769" i="1"/>
  <c r="X747" i="1"/>
  <c r="X722" i="1"/>
  <c r="X696" i="1"/>
  <c r="X674" i="1"/>
  <c r="X649" i="1"/>
  <c r="X622" i="1"/>
  <c r="X601" i="1"/>
  <c r="X576" i="1"/>
  <c r="X549" i="1"/>
  <c r="X528" i="1"/>
  <c r="X502" i="1"/>
  <c r="X476" i="1"/>
  <c r="X454" i="1"/>
  <c r="X429" i="1"/>
  <c r="X403" i="1"/>
  <c r="X381" i="1"/>
  <c r="X356" i="1"/>
  <c r="X330" i="1"/>
  <c r="X308" i="1"/>
  <c r="X283" i="1"/>
  <c r="X257" i="1"/>
  <c r="X235" i="1"/>
  <c r="X210" i="1"/>
  <c r="X186" i="1"/>
  <c r="X167" i="1"/>
  <c r="X145" i="1"/>
  <c r="X122" i="1"/>
  <c r="X103" i="1"/>
  <c r="X81" i="1"/>
  <c r="X58" i="1"/>
  <c r="X39" i="1"/>
  <c r="X17" i="1"/>
  <c r="X15" i="1"/>
  <c r="X74" i="1"/>
  <c r="X50" i="1"/>
  <c r="X1645" i="1"/>
  <c r="X1499" i="1"/>
  <c r="X1280" i="1"/>
  <c r="X1097" i="1"/>
  <c r="X878" i="1"/>
  <c r="X732" i="1"/>
  <c r="X586" i="1"/>
  <c r="X466" i="1"/>
  <c r="X366" i="1"/>
  <c r="X220" i="1"/>
  <c r="X90" i="1"/>
  <c r="X1698" i="1"/>
  <c r="X1661" i="1"/>
  <c r="X1625" i="1"/>
  <c r="X1588" i="1"/>
  <c r="X1552" i="1"/>
  <c r="X1515" i="1"/>
  <c r="X1478" i="1"/>
  <c r="X1442" i="1"/>
  <c r="X1405" i="1"/>
  <c r="X1369" i="1"/>
  <c r="X1332" i="1"/>
  <c r="X1296" i="1"/>
  <c r="X1259" i="1"/>
  <c r="X1222" i="1"/>
  <c r="X1186" i="1"/>
  <c r="X1149" i="1"/>
  <c r="X1113" i="1"/>
  <c r="X1076" i="1"/>
  <c r="X1040" i="1"/>
  <c r="X1003" i="1"/>
  <c r="X966" i="1"/>
  <c r="X930" i="1"/>
  <c r="X893" i="1"/>
  <c r="X866" i="1"/>
  <c r="X841" i="1"/>
  <c r="X814" i="1"/>
  <c r="X793" i="1"/>
  <c r="X768" i="1"/>
  <c r="X741" i="1"/>
  <c r="X720" i="1"/>
  <c r="X694" i="1"/>
  <c r="X668" i="1"/>
  <c r="X646" i="1"/>
  <c r="X621" i="1"/>
  <c r="X595" i="1"/>
  <c r="X573" i="1"/>
  <c r="X548" i="1"/>
  <c r="X522" i="1"/>
  <c r="X500" i="1"/>
  <c r="X475" i="1"/>
  <c r="X449" i="1"/>
  <c r="X427" i="1"/>
  <c r="X402" i="1"/>
  <c r="X376" i="1"/>
  <c r="X354" i="1"/>
  <c r="X329" i="1"/>
  <c r="X302" i="1"/>
  <c r="X281" i="1"/>
  <c r="X256" i="1"/>
  <c r="X229" i="1"/>
  <c r="X208" i="1"/>
  <c r="X185" i="1"/>
  <c r="X162" i="1"/>
  <c r="X143" i="1"/>
  <c r="X121" i="1"/>
  <c r="X98" i="1"/>
  <c r="X79" i="1"/>
  <c r="X57" i="1"/>
  <c r="X34" i="1"/>
  <c r="X55" i="1"/>
  <c r="X10" i="1"/>
  <c r="X31" i="1"/>
  <c r="X1426" i="1"/>
  <c r="X1060" i="1"/>
  <c r="X784" i="1"/>
  <c r="X564" i="1"/>
  <c r="X345" i="1"/>
  <c r="X135" i="1"/>
  <c r="G2" i="13"/>
  <c r="G3" i="13" s="1"/>
  <c r="L778" i="10"/>
  <c r="L770" i="10"/>
  <c r="L762" i="10"/>
  <c r="L754" i="10"/>
  <c r="L746" i="10"/>
  <c r="L738" i="10"/>
  <c r="L730" i="10"/>
  <c r="L722" i="10"/>
  <c r="L714" i="10"/>
  <c r="L706" i="10"/>
  <c r="L698" i="10"/>
  <c r="L690" i="10"/>
  <c r="L682" i="10"/>
  <c r="L674" i="10"/>
  <c r="L666" i="10"/>
  <c r="L658" i="10"/>
  <c r="L650" i="10"/>
  <c r="L642" i="10"/>
  <c r="L634" i="10"/>
  <c r="L626" i="10"/>
  <c r="L618" i="10"/>
  <c r="L610" i="10"/>
  <c r="L602" i="10"/>
  <c r="L594" i="10"/>
  <c r="L586" i="10"/>
  <c r="L578" i="10"/>
  <c r="L570" i="10"/>
  <c r="L562" i="10"/>
  <c r="L554" i="10"/>
  <c r="L546" i="10"/>
  <c r="L538" i="10"/>
  <c r="L530" i="10"/>
  <c r="L522" i="10"/>
  <c r="L514" i="10"/>
  <c r="L506" i="10"/>
  <c r="L498" i="10"/>
  <c r="L490" i="10"/>
  <c r="L482" i="10"/>
  <c r="L474" i="10"/>
  <c r="L466" i="10"/>
  <c r="L458" i="10"/>
  <c r="L450" i="10"/>
  <c r="L442" i="10"/>
  <c r="L434" i="10"/>
  <c r="L426" i="10"/>
  <c r="L418" i="10"/>
  <c r="L410" i="10"/>
  <c r="L402" i="10"/>
  <c r="L394" i="10"/>
  <c r="L386" i="10"/>
  <c r="L378" i="10"/>
  <c r="L370" i="10"/>
  <c r="L362" i="10"/>
  <c r="L354" i="10"/>
  <c r="L346" i="10"/>
  <c r="L338" i="10"/>
  <c r="L330" i="10"/>
  <c r="L322" i="10"/>
  <c r="L314" i="10"/>
  <c r="L306" i="10"/>
  <c r="L298" i="10"/>
  <c r="L290" i="10"/>
  <c r="L282" i="10"/>
  <c r="L274" i="10"/>
  <c r="L266" i="10"/>
  <c r="L258" i="10"/>
  <c r="L250" i="10"/>
  <c r="L242" i="10"/>
  <c r="L234" i="10"/>
  <c r="L226" i="10"/>
  <c r="L218" i="10"/>
  <c r="L210" i="10"/>
  <c r="L202" i="10"/>
  <c r="L194" i="10"/>
  <c r="L186" i="10"/>
  <c r="L178" i="10"/>
  <c r="L170" i="10"/>
  <c r="L162" i="10"/>
  <c r="L154" i="10"/>
  <c r="L146" i="10"/>
  <c r="L138" i="10"/>
  <c r="L130" i="10"/>
  <c r="L122" i="10"/>
  <c r="L114" i="10"/>
  <c r="L106" i="10"/>
  <c r="L98" i="10"/>
  <c r="L90" i="10"/>
  <c r="L82" i="10"/>
  <c r="L74" i="10"/>
  <c r="L66" i="10"/>
  <c r="L58" i="10"/>
  <c r="L50" i="10"/>
  <c r="L42" i="10"/>
  <c r="L34" i="10"/>
  <c r="L26" i="10"/>
  <c r="L18" i="10"/>
  <c r="L10" i="10"/>
  <c r="L776" i="10"/>
  <c r="L768" i="10"/>
  <c r="L760" i="10"/>
  <c r="L752" i="10"/>
  <c r="L744" i="10"/>
  <c r="L736" i="10"/>
  <c r="L728" i="10"/>
  <c r="L720" i="10"/>
  <c r="L712" i="10"/>
  <c r="L704" i="10"/>
  <c r="L696" i="10"/>
  <c r="L688" i="10"/>
  <c r="L680" i="10"/>
  <c r="L672" i="10"/>
  <c r="L664" i="10"/>
  <c r="L656" i="10"/>
  <c r="L648" i="10"/>
  <c r="L640" i="10"/>
  <c r="L632" i="10"/>
  <c r="L624" i="10"/>
  <c r="L616" i="10"/>
  <c r="L608" i="10"/>
  <c r="L600" i="10"/>
  <c r="L592" i="10"/>
  <c r="L584" i="10"/>
  <c r="L576" i="10"/>
  <c r="L568" i="10"/>
  <c r="L560" i="10"/>
  <c r="L552" i="10"/>
  <c r="L544" i="10"/>
  <c r="L536" i="10"/>
  <c r="L528" i="10"/>
  <c r="L520" i="10"/>
  <c r="L512" i="10"/>
  <c r="L504" i="10"/>
  <c r="L496" i="10"/>
  <c r="L488" i="10"/>
  <c r="L480" i="10"/>
  <c r="L472" i="10"/>
  <c r="L464" i="10"/>
  <c r="L456" i="10"/>
  <c r="L448" i="10"/>
  <c r="L440" i="10"/>
  <c r="L432" i="10"/>
  <c r="L424" i="10"/>
  <c r="L416" i="10"/>
  <c r="L408" i="10"/>
  <c r="L400" i="10"/>
  <c r="L392" i="10"/>
  <c r="L384" i="10"/>
  <c r="L376" i="10"/>
  <c r="L368" i="10"/>
  <c r="L360" i="10"/>
  <c r="L352" i="10"/>
  <c r="L344" i="10"/>
  <c r="L336" i="10"/>
  <c r="L328" i="10"/>
  <c r="L320" i="10"/>
  <c r="L312" i="10"/>
  <c r="L304" i="10"/>
  <c r="L296" i="10"/>
  <c r="L288" i="10"/>
  <c r="L280" i="10"/>
  <c r="L272" i="10"/>
  <c r="L264" i="10"/>
  <c r="L256" i="10"/>
  <c r="L248" i="10"/>
  <c r="L240" i="10"/>
  <c r="L232" i="10"/>
  <c r="L224" i="10"/>
  <c r="L216" i="10"/>
  <c r="L208" i="10"/>
  <c r="L200" i="10"/>
  <c r="L192" i="10"/>
  <c r="L184" i="10"/>
  <c r="L176" i="10"/>
  <c r="L168" i="10"/>
  <c r="L160" i="10"/>
  <c r="L152" i="10"/>
  <c r="L144" i="10"/>
  <c r="L136" i="10"/>
  <c r="L128" i="10"/>
  <c r="L120" i="10"/>
  <c r="L112" i="10"/>
  <c r="L104" i="10"/>
  <c r="L96" i="10"/>
  <c r="L88" i="10"/>
  <c r="L80" i="10"/>
  <c r="L72" i="10"/>
  <c r="L64" i="10"/>
  <c r="L56" i="10"/>
  <c r="L48" i="10"/>
  <c r="L40" i="10"/>
  <c r="L32" i="10"/>
  <c r="L24" i="10"/>
  <c r="L16" i="10"/>
  <c r="L8" i="10"/>
  <c r="L783" i="10"/>
  <c r="L775" i="10"/>
  <c r="L767" i="10"/>
  <c r="L759" i="10"/>
  <c r="L751" i="10"/>
  <c r="L743" i="10"/>
  <c r="L735" i="10"/>
  <c r="L727" i="10"/>
  <c r="L719" i="10"/>
  <c r="L711" i="10"/>
  <c r="L703" i="10"/>
  <c r="L695" i="10"/>
  <c r="L687" i="10"/>
  <c r="L679" i="10"/>
  <c r="L671" i="10"/>
  <c r="L663" i="10"/>
  <c r="L655" i="10"/>
  <c r="L647" i="10"/>
  <c r="L639" i="10"/>
  <c r="L631" i="10"/>
  <c r="L623" i="10"/>
  <c r="L615" i="10"/>
  <c r="L607" i="10"/>
  <c r="L599" i="10"/>
  <c r="L591" i="10"/>
  <c r="L583" i="10"/>
  <c r="L575" i="10"/>
  <c r="L567" i="10"/>
  <c r="L559" i="10"/>
  <c r="L551" i="10"/>
  <c r="L543" i="10"/>
  <c r="L535" i="10"/>
  <c r="L527" i="10"/>
  <c r="L519" i="10"/>
  <c r="L511" i="10"/>
  <c r="L503" i="10"/>
  <c r="L495" i="10"/>
  <c r="L487" i="10"/>
  <c r="L479" i="10"/>
  <c r="L471" i="10"/>
  <c r="L463" i="10"/>
  <c r="L455" i="10"/>
  <c r="L447" i="10"/>
  <c r="L439" i="10"/>
  <c r="L431" i="10"/>
  <c r="L423" i="10"/>
  <c r="L415" i="10"/>
  <c r="L407" i="10"/>
  <c r="L399" i="10"/>
  <c r="L391" i="10"/>
  <c r="L383" i="10"/>
  <c r="L375" i="10"/>
  <c r="L367" i="10"/>
  <c r="L359" i="10"/>
  <c r="L351" i="10"/>
  <c r="L343" i="10"/>
  <c r="L335" i="10"/>
  <c r="L327" i="10"/>
  <c r="L319" i="10"/>
  <c r="L311" i="10"/>
  <c r="L303" i="10"/>
  <c r="L295" i="10"/>
  <c r="L287" i="10"/>
  <c r="L279" i="10"/>
  <c r="L271" i="10"/>
  <c r="L263" i="10"/>
  <c r="L255" i="10"/>
  <c r="L247" i="10"/>
  <c r="L239" i="10"/>
  <c r="L231" i="10"/>
  <c r="L223" i="10"/>
  <c r="L215" i="10"/>
  <c r="L207" i="10"/>
  <c r="L199" i="10"/>
  <c r="L191" i="10"/>
  <c r="L183" i="10"/>
  <c r="L175" i="10"/>
  <c r="L167" i="10"/>
  <c r="L159" i="10"/>
  <c r="L151" i="10"/>
  <c r="L143" i="10"/>
  <c r="L135" i="10"/>
  <c r="L127" i="10"/>
  <c r="L119" i="10"/>
  <c r="L111" i="10"/>
  <c r="L103" i="10"/>
  <c r="L95" i="10"/>
  <c r="L87" i="10"/>
  <c r="L79" i="10"/>
  <c r="L71" i="10"/>
  <c r="L63" i="10"/>
  <c r="L55" i="10"/>
  <c r="L47" i="10"/>
  <c r="L39" i="10"/>
  <c r="L31" i="10"/>
  <c r="L23" i="10"/>
  <c r="L15" i="10"/>
  <c r="L7" i="10"/>
  <c r="L782" i="10"/>
  <c r="L774" i="10"/>
  <c r="L766" i="10"/>
  <c r="L758" i="10"/>
  <c r="L750" i="10"/>
  <c r="L742" i="10"/>
  <c r="L734" i="10"/>
  <c r="L726" i="10"/>
  <c r="L718" i="10"/>
  <c r="L710" i="10"/>
  <c r="L702" i="10"/>
  <c r="L694" i="10"/>
  <c r="L686" i="10"/>
  <c r="L678" i="10"/>
  <c r="L670" i="10"/>
  <c r="L662" i="10"/>
  <c r="L654" i="10"/>
  <c r="L646" i="10"/>
  <c r="L638" i="10"/>
  <c r="L630" i="10"/>
  <c r="L622" i="10"/>
  <c r="L614" i="10"/>
  <c r="L606" i="10"/>
  <c r="L598" i="10"/>
  <c r="L590" i="10"/>
  <c r="L582" i="10"/>
  <c r="L574" i="10"/>
  <c r="L566" i="10"/>
  <c r="L558" i="10"/>
  <c r="L550" i="10"/>
  <c r="L542" i="10"/>
  <c r="L534" i="10"/>
  <c r="L526" i="10"/>
  <c r="L518" i="10"/>
  <c r="L510" i="10"/>
  <c r="L502" i="10"/>
  <c r="L494" i="10"/>
  <c r="L486" i="10"/>
  <c r="L478" i="10"/>
  <c r="L470" i="10"/>
  <c r="L462" i="10"/>
  <c r="L454" i="10"/>
  <c r="L446" i="10"/>
  <c r="L438" i="10"/>
  <c r="L430" i="10"/>
  <c r="L422" i="10"/>
  <c r="L414" i="10"/>
  <c r="L406" i="10"/>
  <c r="L398" i="10"/>
  <c r="L390" i="10"/>
  <c r="L382" i="10"/>
  <c r="L374" i="10"/>
  <c r="L366" i="10"/>
  <c r="L358" i="10"/>
  <c r="L350" i="10"/>
  <c r="L342" i="10"/>
  <c r="L334" i="10"/>
  <c r="L326" i="10"/>
  <c r="L318" i="10"/>
  <c r="L310" i="10"/>
  <c r="L302" i="10"/>
  <c r="L294" i="10"/>
  <c r="L286" i="10"/>
  <c r="L278" i="10"/>
  <c r="L270" i="10"/>
  <c r="L262" i="10"/>
  <c r="L254" i="10"/>
  <c r="L246" i="10"/>
  <c r="L238" i="10"/>
  <c r="L230" i="10"/>
  <c r="L222" i="10"/>
  <c r="L214" i="10"/>
  <c r="L206" i="10"/>
  <c r="L198" i="10"/>
  <c r="L190" i="10"/>
  <c r="L182" i="10"/>
  <c r="L174" i="10"/>
  <c r="L166" i="10"/>
  <c r="L158" i="10"/>
  <c r="L150" i="10"/>
  <c r="L142" i="10"/>
  <c r="L134" i="10"/>
  <c r="L126" i="10"/>
  <c r="L118" i="10"/>
  <c r="L110" i="10"/>
  <c r="L102" i="10"/>
  <c r="L94" i="10"/>
  <c r="L86" i="10"/>
  <c r="L78" i="10"/>
  <c r="L70" i="10"/>
  <c r="L62" i="10"/>
  <c r="L54" i="10"/>
  <c r="L46" i="10"/>
  <c r="L38" i="10"/>
  <c r="L30" i="10"/>
  <c r="L22" i="10"/>
  <c r="L14" i="10"/>
  <c r="L6" i="10"/>
  <c r="L773" i="10"/>
  <c r="L757" i="10"/>
  <c r="L741" i="10"/>
  <c r="L725" i="10"/>
  <c r="L709" i="10"/>
  <c r="L693" i="10"/>
  <c r="L677" i="10"/>
  <c r="L661" i="10"/>
  <c r="L645" i="10"/>
  <c r="L629" i="10"/>
  <c r="L613" i="10"/>
  <c r="L597" i="10"/>
  <c r="L581" i="10"/>
  <c r="L565" i="10"/>
  <c r="L549" i="10"/>
  <c r="L533" i="10"/>
  <c r="L517" i="10"/>
  <c r="L501" i="10"/>
  <c r="L485" i="10"/>
  <c r="L469" i="10"/>
  <c r="L453" i="10"/>
  <c r="L437" i="10"/>
  <c r="L421" i="10"/>
  <c r="L405" i="10"/>
  <c r="L389" i="10"/>
  <c r="L373" i="10"/>
  <c r="L357" i="10"/>
  <c r="L341" i="10"/>
  <c r="L325" i="10"/>
  <c r="L309" i="10"/>
  <c r="L293" i="10"/>
  <c r="L277" i="10"/>
  <c r="L261" i="10"/>
  <c r="L245" i="10"/>
  <c r="L229" i="10"/>
  <c r="L213" i="10"/>
  <c r="L197" i="10"/>
  <c r="L181" i="10"/>
  <c r="L165" i="10"/>
  <c r="L149" i="10"/>
  <c r="L133" i="10"/>
  <c r="L117" i="10"/>
  <c r="L101" i="10"/>
  <c r="L85" i="10"/>
  <c r="L69" i="10"/>
  <c r="L53" i="10"/>
  <c r="L37" i="10"/>
  <c r="L21" i="10"/>
  <c r="L5" i="10"/>
  <c r="L772" i="10"/>
  <c r="L756" i="10"/>
  <c r="L740" i="10"/>
  <c r="L724" i="10"/>
  <c r="L708" i="10"/>
  <c r="L692" i="10"/>
  <c r="L676" i="10"/>
  <c r="L660" i="10"/>
  <c r="L644" i="10"/>
  <c r="L628" i="10"/>
  <c r="L612" i="10"/>
  <c r="L596" i="10"/>
  <c r="L580" i="10"/>
  <c r="L564" i="10"/>
  <c r="L548" i="10"/>
  <c r="L532" i="10"/>
  <c r="L516" i="10"/>
  <c r="L500" i="10"/>
  <c r="L484" i="10"/>
  <c r="L468" i="10"/>
  <c r="L452" i="10"/>
  <c r="L436" i="10"/>
  <c r="L420" i="10"/>
  <c r="L404" i="10"/>
  <c r="L388" i="10"/>
  <c r="L372" i="10"/>
  <c r="L356" i="10"/>
  <c r="L340" i="10"/>
  <c r="L324" i="10"/>
  <c r="L308" i="10"/>
  <c r="L292" i="10"/>
  <c r="L276" i="10"/>
  <c r="L260" i="10"/>
  <c r="L244" i="10"/>
  <c r="L228" i="10"/>
  <c r="L212" i="10"/>
  <c r="L196" i="10"/>
  <c r="L180" i="10"/>
  <c r="L164" i="10"/>
  <c r="L148" i="10"/>
  <c r="L132" i="10"/>
  <c r="L116" i="10"/>
  <c r="L100" i="10"/>
  <c r="L84" i="10"/>
  <c r="L68" i="10"/>
  <c r="L52" i="10"/>
  <c r="L36" i="10"/>
  <c r="L20" i="10"/>
  <c r="L4" i="10"/>
  <c r="L675" i="10"/>
  <c r="L611" i="10"/>
  <c r="L579" i="10"/>
  <c r="L547" i="10"/>
  <c r="L515" i="10"/>
  <c r="L483" i="10"/>
  <c r="L451" i="10"/>
  <c r="L419" i="10"/>
  <c r="L387" i="10"/>
  <c r="L355" i="10"/>
  <c r="L323" i="10"/>
  <c r="L291" i="10"/>
  <c r="L259" i="10"/>
  <c r="L227" i="10"/>
  <c r="L211" i="10"/>
  <c r="L179" i="10"/>
  <c r="L147" i="10"/>
  <c r="L115" i="10"/>
  <c r="L83" i="10"/>
  <c r="L67" i="10"/>
  <c r="L35" i="10"/>
  <c r="L3" i="10"/>
  <c r="L771" i="10"/>
  <c r="L755" i="10"/>
  <c r="L739" i="10"/>
  <c r="L723" i="10"/>
  <c r="L707" i="10"/>
  <c r="L691" i="10"/>
  <c r="L659" i="10"/>
  <c r="L643" i="10"/>
  <c r="L627" i="10"/>
  <c r="L595" i="10"/>
  <c r="L563" i="10"/>
  <c r="L531" i="10"/>
  <c r="L499" i="10"/>
  <c r="L467" i="10"/>
  <c r="L435" i="10"/>
  <c r="L403" i="10"/>
  <c r="L371" i="10"/>
  <c r="L339" i="10"/>
  <c r="L307" i="10"/>
  <c r="L275" i="10"/>
  <c r="L243" i="10"/>
  <c r="L195" i="10"/>
  <c r="L163" i="10"/>
  <c r="L131" i="10"/>
  <c r="L99" i="10"/>
  <c r="L51" i="10"/>
  <c r="L19" i="10"/>
  <c r="L769" i="10"/>
  <c r="L753" i="10"/>
  <c r="L737" i="10"/>
  <c r="L721" i="10"/>
  <c r="L705" i="10"/>
  <c r="L689" i="10"/>
  <c r="L673" i="10"/>
  <c r="L657" i="10"/>
  <c r="L641" i="10"/>
  <c r="L625" i="10"/>
  <c r="L609" i="10"/>
  <c r="L593" i="10"/>
  <c r="L577" i="10"/>
  <c r="L561" i="10"/>
  <c r="L545" i="10"/>
  <c r="L529" i="10"/>
  <c r="L513" i="10"/>
  <c r="L497" i="10"/>
  <c r="L481" i="10"/>
  <c r="L465" i="10"/>
  <c r="L449" i="10"/>
  <c r="L433" i="10"/>
  <c r="L417" i="10"/>
  <c r="L401" i="10"/>
  <c r="L385" i="10"/>
  <c r="L369" i="10"/>
  <c r="L353" i="10"/>
  <c r="L337" i="10"/>
  <c r="L321" i="10"/>
  <c r="L305" i="10"/>
  <c r="L289" i="10"/>
  <c r="L273" i="10"/>
  <c r="L257" i="10"/>
  <c r="L241" i="10"/>
  <c r="L225" i="10"/>
  <c r="L209" i="10"/>
  <c r="L193" i="10"/>
  <c r="L177" i="10"/>
  <c r="L161" i="10"/>
  <c r="L145" i="10"/>
  <c r="L129" i="10"/>
  <c r="L113" i="10"/>
  <c r="L97" i="10"/>
  <c r="L81" i="10"/>
  <c r="L65" i="10"/>
  <c r="L49" i="10"/>
  <c r="L33" i="10"/>
  <c r="L17" i="10"/>
  <c r="L2" i="10"/>
  <c r="L781" i="10"/>
  <c r="L765" i="10"/>
  <c r="L749" i="10"/>
  <c r="L733" i="10"/>
  <c r="L717" i="10"/>
  <c r="L701" i="10"/>
  <c r="L685" i="10"/>
  <c r="L669" i="10"/>
  <c r="L653" i="10"/>
  <c r="L637" i="10"/>
  <c r="L621" i="10"/>
  <c r="L605" i="10"/>
  <c r="L589" i="10"/>
  <c r="L573" i="10"/>
  <c r="L557" i="10"/>
  <c r="L541" i="10"/>
  <c r="L525" i="10"/>
  <c r="L509" i="10"/>
  <c r="L493" i="10"/>
  <c r="L477" i="10"/>
  <c r="L461" i="10"/>
  <c r="L445" i="10"/>
  <c r="L429" i="10"/>
  <c r="L413" i="10"/>
  <c r="L397" i="10"/>
  <c r="L381" i="10"/>
  <c r="L365" i="10"/>
  <c r="L349" i="10"/>
  <c r="L333" i="10"/>
  <c r="L317" i="10"/>
  <c r="L301" i="10"/>
  <c r="L285" i="10"/>
  <c r="L269" i="10"/>
  <c r="L253" i="10"/>
  <c r="L237" i="10"/>
  <c r="L221" i="10"/>
  <c r="L205" i="10"/>
  <c r="L189" i="10"/>
  <c r="L173" i="10"/>
  <c r="L157" i="10"/>
  <c r="L141" i="10"/>
  <c r="L125" i="10"/>
  <c r="L109" i="10"/>
  <c r="L93" i="10"/>
  <c r="L77" i="10"/>
  <c r="L61" i="10"/>
  <c r="L45" i="10"/>
  <c r="L29" i="10"/>
  <c r="L13" i="10"/>
  <c r="L747" i="10"/>
  <c r="L699" i="10"/>
  <c r="L667" i="10"/>
  <c r="L651" i="10"/>
  <c r="L619" i="10"/>
  <c r="L587" i="10"/>
  <c r="L555" i="10"/>
  <c r="L539" i="10"/>
  <c r="L491" i="10"/>
  <c r="L459" i="10"/>
  <c r="L411" i="10"/>
  <c r="L379" i="10"/>
  <c r="L347" i="10"/>
  <c r="L299" i="10"/>
  <c r="L267" i="10"/>
  <c r="L219" i="10"/>
  <c r="L171" i="10"/>
  <c r="L139" i="10"/>
  <c r="L107" i="10"/>
  <c r="L75" i="10"/>
  <c r="L43" i="10"/>
  <c r="L780" i="10"/>
  <c r="L764" i="10"/>
  <c r="L748" i="10"/>
  <c r="L732" i="10"/>
  <c r="L716" i="10"/>
  <c r="L700" i="10"/>
  <c r="L684" i="10"/>
  <c r="L668" i="10"/>
  <c r="L652" i="10"/>
  <c r="L636" i="10"/>
  <c r="L620" i="10"/>
  <c r="L604" i="10"/>
  <c r="L588" i="10"/>
  <c r="L572" i="10"/>
  <c r="L556" i="10"/>
  <c r="L540" i="10"/>
  <c r="L524" i="10"/>
  <c r="L508" i="10"/>
  <c r="L492" i="10"/>
  <c r="L476" i="10"/>
  <c r="L460" i="10"/>
  <c r="L444" i="10"/>
  <c r="L428" i="10"/>
  <c r="L412" i="10"/>
  <c r="L396" i="10"/>
  <c r="L380" i="10"/>
  <c r="L364" i="10"/>
  <c r="L348" i="10"/>
  <c r="L332" i="10"/>
  <c r="L316" i="10"/>
  <c r="L300" i="10"/>
  <c r="L284" i="10"/>
  <c r="L268" i="10"/>
  <c r="L252" i="10"/>
  <c r="L236" i="10"/>
  <c r="L220" i="10"/>
  <c r="L204" i="10"/>
  <c r="L188" i="10"/>
  <c r="L172" i="10"/>
  <c r="L156" i="10"/>
  <c r="L140" i="10"/>
  <c r="L124" i="10"/>
  <c r="L108" i="10"/>
  <c r="L92" i="10"/>
  <c r="L76" i="10"/>
  <c r="L60" i="10"/>
  <c r="L44" i="10"/>
  <c r="L28" i="10"/>
  <c r="L12" i="10"/>
  <c r="L779" i="10"/>
  <c r="L763" i="10"/>
  <c r="L715" i="10"/>
  <c r="L683" i="10"/>
  <c r="L635" i="10"/>
  <c r="L571" i="10"/>
  <c r="L507" i="10"/>
  <c r="L475" i="10"/>
  <c r="L443" i="10"/>
  <c r="L395" i="10"/>
  <c r="L331" i="10"/>
  <c r="L283" i="10"/>
  <c r="L235" i="10"/>
  <c r="L187" i="10"/>
  <c r="L123" i="10"/>
  <c r="L59" i="10"/>
  <c r="L11" i="10"/>
  <c r="L649" i="10"/>
  <c r="L569" i="10"/>
  <c r="L505" i="10"/>
  <c r="L457" i="10"/>
  <c r="L425" i="10"/>
  <c r="L377" i="10"/>
  <c r="L345" i="10"/>
  <c r="L281" i="10"/>
  <c r="L233" i="10"/>
  <c r="L185" i="10"/>
  <c r="L153" i="10"/>
  <c r="L105" i="10"/>
  <c r="L57" i="10"/>
  <c r="L9" i="10"/>
  <c r="L731" i="10"/>
  <c r="L603" i="10"/>
  <c r="L523" i="10"/>
  <c r="L427" i="10"/>
  <c r="L363" i="10"/>
  <c r="L315" i="10"/>
  <c r="L251" i="10"/>
  <c r="L203" i="10"/>
  <c r="L155" i="10"/>
  <c r="L91" i="10"/>
  <c r="L27" i="10"/>
  <c r="L777" i="10"/>
  <c r="L761" i="10"/>
  <c r="L745" i="10"/>
  <c r="L729" i="10"/>
  <c r="L697" i="10"/>
  <c r="L681" i="10"/>
  <c r="L665" i="10"/>
  <c r="L617" i="10"/>
  <c r="L601" i="10"/>
  <c r="L553" i="10"/>
  <c r="L521" i="10"/>
  <c r="L473" i="10"/>
  <c r="L409" i="10"/>
  <c r="L361" i="10"/>
  <c r="L329" i="10"/>
  <c r="L297" i="10"/>
  <c r="L249" i="10"/>
  <c r="L201" i="10"/>
  <c r="L121" i="10"/>
  <c r="L73" i="10"/>
  <c r="L25" i="10"/>
  <c r="L713" i="10"/>
  <c r="L633" i="10"/>
  <c r="L585" i="10"/>
  <c r="L537" i="10"/>
  <c r="L489" i="10"/>
  <c r="L441" i="10"/>
  <c r="L393" i="10"/>
  <c r="L313" i="10"/>
  <c r="L265" i="10"/>
  <c r="L217" i="10"/>
  <c r="L169" i="10"/>
  <c r="L137" i="10"/>
  <c r="L89" i="10"/>
  <c r="L41" i="10"/>
  <c r="F2" i="16" a="1"/>
  <c r="F1515" i="16" l="1"/>
  <c r="F1507" i="16"/>
  <c r="F1499" i="16"/>
  <c r="F1491" i="16"/>
  <c r="F1483" i="16"/>
  <c r="F1475" i="16"/>
  <c r="F1467" i="16"/>
  <c r="F1459" i="16"/>
  <c r="F1451" i="16"/>
  <c r="F1443" i="16"/>
  <c r="F1435" i="16"/>
  <c r="F1427" i="16"/>
  <c r="F1419" i="16"/>
  <c r="F1411" i="16"/>
  <c r="F1403" i="16"/>
  <c r="F1395" i="16"/>
  <c r="F1387" i="16"/>
  <c r="F1379" i="16"/>
  <c r="F1371" i="16"/>
  <c r="F1363" i="16"/>
  <c r="F1355" i="16"/>
  <c r="F1347" i="16"/>
  <c r="F1339" i="16"/>
  <c r="F1331" i="16"/>
  <c r="F1323" i="16"/>
  <c r="F1315" i="16"/>
  <c r="F1307" i="16"/>
  <c r="F1299" i="16"/>
  <c r="F1291" i="16"/>
  <c r="F1283" i="16"/>
  <c r="F1275" i="16"/>
  <c r="F1267" i="16"/>
  <c r="F1259" i="16"/>
  <c r="F1251" i="16"/>
  <c r="F1243" i="16"/>
  <c r="F1235" i="16"/>
  <c r="F1227" i="16"/>
  <c r="F1219" i="16"/>
  <c r="F1211" i="16"/>
  <c r="F1203" i="16"/>
  <c r="F1195" i="16"/>
  <c r="F1187" i="16"/>
  <c r="F1513" i="16"/>
  <c r="F1505" i="16"/>
  <c r="F1497" i="16"/>
  <c r="F1489" i="16"/>
  <c r="F1481" i="16"/>
  <c r="F1473" i="16"/>
  <c r="F1465" i="16"/>
  <c r="F1457" i="16"/>
  <c r="F1449" i="16"/>
  <c r="F1441" i="16"/>
  <c r="F1433" i="16"/>
  <c r="F1425" i="16"/>
  <c r="F1417" i="16"/>
  <c r="F1409" i="16"/>
  <c r="F1401" i="16"/>
  <c r="F1393" i="16"/>
  <c r="F1385" i="16"/>
  <c r="F1377" i="16"/>
  <c r="F1369" i="16"/>
  <c r="F1361" i="16"/>
  <c r="F1353" i="16"/>
  <c r="F1345" i="16"/>
  <c r="F1337" i="16"/>
  <c r="F1329" i="16"/>
  <c r="F1321" i="16"/>
  <c r="F1313" i="16"/>
  <c r="F1305" i="16"/>
  <c r="F1297" i="16"/>
  <c r="F1289" i="16"/>
  <c r="F1281" i="16"/>
  <c r="F1273" i="16"/>
  <c r="F1265" i="16"/>
  <c r="F1257" i="16"/>
  <c r="F1249" i="16"/>
  <c r="F1241" i="16"/>
  <c r="F1233" i="16"/>
  <c r="F1225" i="16"/>
  <c r="F1217" i="16"/>
  <c r="F1209" i="16"/>
  <c r="F1201" i="16"/>
  <c r="F1193" i="16"/>
  <c r="F1185" i="16"/>
  <c r="F1177" i="16"/>
  <c r="F1516" i="16"/>
  <c r="F1508" i="16"/>
  <c r="F1500" i="16"/>
  <c r="F1492" i="16"/>
  <c r="F1484" i="16"/>
  <c r="F1476" i="16"/>
  <c r="F1512" i="16"/>
  <c r="F1501" i="16"/>
  <c r="F1487" i="16"/>
  <c r="F1474" i="16"/>
  <c r="F1463" i="16"/>
  <c r="F1453" i="16"/>
  <c r="F1442" i="16"/>
  <c r="F1431" i="16"/>
  <c r="F1421" i="16"/>
  <c r="F1410" i="16"/>
  <c r="F1399" i="16"/>
  <c r="F1389" i="16"/>
  <c r="F1378" i="16"/>
  <c r="F1367" i="16"/>
  <c r="F1357" i="16"/>
  <c r="F1346" i="16"/>
  <c r="F1335" i="16"/>
  <c r="F1325" i="16"/>
  <c r="F1314" i="16"/>
  <c r="F1303" i="16"/>
  <c r="F1293" i="16"/>
  <c r="F1282" i="16"/>
  <c r="F1271" i="16"/>
  <c r="F1261" i="16"/>
  <c r="F1250" i="16"/>
  <c r="F1239" i="16"/>
  <c r="F1229" i="16"/>
  <c r="F1218" i="16"/>
  <c r="F1207" i="16"/>
  <c r="F1197" i="16"/>
  <c r="F1186" i="16"/>
  <c r="F1176" i="16"/>
  <c r="F1168" i="16"/>
  <c r="F1160" i="16"/>
  <c r="F1152" i="16"/>
  <c r="F1144" i="16"/>
  <c r="F1136" i="16"/>
  <c r="F1128" i="16"/>
  <c r="F1120" i="16"/>
  <c r="F1112" i="16"/>
  <c r="F1104" i="16"/>
  <c r="F1096" i="16"/>
  <c r="F1088" i="16"/>
  <c r="F1080" i="16"/>
  <c r="F1072" i="16"/>
  <c r="F1064" i="16"/>
  <c r="F1056" i="16"/>
  <c r="F1048" i="16"/>
  <c r="F1040" i="16"/>
  <c r="F1032" i="16"/>
  <c r="F1024" i="16"/>
  <c r="F1016" i="16"/>
  <c r="F1008" i="16"/>
  <c r="F1000" i="16"/>
  <c r="F992" i="16"/>
  <c r="F984" i="16"/>
  <c r="F976" i="16"/>
  <c r="F968" i="16"/>
  <c r="F960" i="16"/>
  <c r="F952" i="16"/>
  <c r="F944" i="16"/>
  <c r="F936" i="16"/>
  <c r="F928" i="16"/>
  <c r="F920" i="16"/>
  <c r="F912" i="16"/>
  <c r="F904" i="16"/>
  <c r="F896" i="16"/>
  <c r="F888" i="16"/>
  <c r="F880" i="16"/>
  <c r="F872" i="16"/>
  <c r="F864" i="16"/>
  <c r="F856" i="16"/>
  <c r="F848" i="16"/>
  <c r="F840" i="16"/>
  <c r="F832" i="16"/>
  <c r="F824" i="16"/>
  <c r="F816" i="16"/>
  <c r="F808" i="16"/>
  <c r="F800" i="16"/>
  <c r="F792" i="16"/>
  <c r="F784" i="16"/>
  <c r="F776" i="16"/>
  <c r="F768" i="16"/>
  <c r="F760" i="16"/>
  <c r="F752" i="16"/>
  <c r="F744" i="16"/>
  <c r="F736" i="16"/>
  <c r="F728" i="16"/>
  <c r="F720" i="16"/>
  <c r="F712" i="16"/>
  <c r="F704" i="16"/>
  <c r="F696" i="16"/>
  <c r="F688" i="16"/>
  <c r="F680" i="16"/>
  <c r="F672" i="16"/>
  <c r="F664" i="16"/>
  <c r="F656" i="16"/>
  <c r="F648" i="16"/>
  <c r="F640" i="16"/>
  <c r="F632" i="16"/>
  <c r="F624" i="16"/>
  <c r="F616" i="16"/>
  <c r="F608" i="16"/>
  <c r="F600" i="16"/>
  <c r="F592" i="16"/>
  <c r="F584" i="16"/>
  <c r="F576" i="16"/>
  <c r="F568" i="16"/>
  <c r="F560" i="16"/>
  <c r="F552" i="16"/>
  <c r="F544" i="16"/>
  <c r="F536" i="16"/>
  <c r="F528" i="16"/>
  <c r="F520" i="16"/>
  <c r="F512" i="16"/>
  <c r="F504" i="16"/>
  <c r="F496" i="16"/>
  <c r="F488" i="16"/>
  <c r="F480" i="16"/>
  <c r="F472" i="16"/>
  <c r="F464" i="16"/>
  <c r="F456" i="16"/>
  <c r="F448" i="16"/>
  <c r="F440" i="16"/>
  <c r="F432" i="16"/>
  <c r="F424" i="16"/>
  <c r="F416" i="16"/>
  <c r="F408" i="16"/>
  <c r="F400" i="16"/>
  <c r="F392" i="16"/>
  <c r="F384" i="16"/>
  <c r="F376" i="16"/>
  <c r="F368" i="16"/>
  <c r="F360" i="16"/>
  <c r="F352" i="16"/>
  <c r="F344" i="16"/>
  <c r="F336" i="16"/>
  <c r="F328" i="16"/>
  <c r="F320" i="16"/>
  <c r="F312" i="16"/>
  <c r="F304" i="16"/>
  <c r="F296" i="16"/>
  <c r="F288" i="16"/>
  <c r="F280" i="16"/>
  <c r="F272" i="16"/>
  <c r="F264" i="16"/>
  <c r="F256" i="16"/>
  <c r="F248" i="16"/>
  <c r="F240" i="16"/>
  <c r="F232" i="16"/>
  <c r="F224" i="16"/>
  <c r="F216" i="16"/>
  <c r="F208" i="16"/>
  <c r="F200" i="16"/>
  <c r="F192" i="16"/>
  <c r="F184" i="16"/>
  <c r="F176" i="16"/>
  <c r="F168" i="16"/>
  <c r="F160" i="16"/>
  <c r="F152" i="16"/>
  <c r="F144" i="16"/>
  <c r="F136" i="16"/>
  <c r="F128" i="16"/>
  <c r="F120" i="16"/>
  <c r="F112" i="16"/>
  <c r="F104" i="16"/>
  <c r="F96" i="16"/>
  <c r="F88" i="16"/>
  <c r="F80" i="16"/>
  <c r="F72" i="16"/>
  <c r="F64" i="16"/>
  <c r="F56" i="16"/>
  <c r="F48" i="16"/>
  <c r="F40" i="16"/>
  <c r="F32" i="16"/>
  <c r="F24" i="16"/>
  <c r="F16" i="16"/>
  <c r="F8" i="16"/>
  <c r="F1511" i="16"/>
  <c r="F1498" i="16"/>
  <c r="F1486" i="16"/>
  <c r="F1472" i="16"/>
  <c r="F1462" i="16"/>
  <c r="F1452" i="16"/>
  <c r="F1440" i="16"/>
  <c r="F1430" i="16"/>
  <c r="F1420" i="16"/>
  <c r="F1408" i="16"/>
  <c r="F1398" i="16"/>
  <c r="F1388" i="16"/>
  <c r="F1376" i="16"/>
  <c r="F1366" i="16"/>
  <c r="F1356" i="16"/>
  <c r="F1344" i="16"/>
  <c r="F1334" i="16"/>
  <c r="F1324" i="16"/>
  <c r="F1312" i="16"/>
  <c r="F1302" i="16"/>
  <c r="F1292" i="16"/>
  <c r="F1280" i="16"/>
  <c r="F1270" i="16"/>
  <c r="F1260" i="16"/>
  <c r="F1248" i="16"/>
  <c r="F1238" i="16"/>
  <c r="F1228" i="16"/>
  <c r="F1216" i="16"/>
  <c r="F1206" i="16"/>
  <c r="F1196" i="16"/>
  <c r="F1184" i="16"/>
  <c r="F1175" i="16"/>
  <c r="F1167" i="16"/>
  <c r="F1159" i="16"/>
  <c r="F1151" i="16"/>
  <c r="F1143" i="16"/>
  <c r="F1135" i="16"/>
  <c r="F1127" i="16"/>
  <c r="F1119" i="16"/>
  <c r="F1111" i="16"/>
  <c r="F1103" i="16"/>
  <c r="F1095" i="16"/>
  <c r="F1087" i="16"/>
  <c r="F1079" i="16"/>
  <c r="F1071" i="16"/>
  <c r="F1063" i="16"/>
  <c r="F1055" i="16"/>
  <c r="F1047" i="16"/>
  <c r="F1039" i="16"/>
  <c r="F1031" i="16"/>
  <c r="F1023" i="16"/>
  <c r="F1015" i="16"/>
  <c r="F1007" i="16"/>
  <c r="F999" i="16"/>
  <c r="F991" i="16"/>
  <c r="F983" i="16"/>
  <c r="F975" i="16"/>
  <c r="F967" i="16"/>
  <c r="F959" i="16"/>
  <c r="F951" i="16"/>
  <c r="F943" i="16"/>
  <c r="F935" i="16"/>
  <c r="F927" i="16"/>
  <c r="F919" i="16"/>
  <c r="F911" i="16"/>
  <c r="F903" i="16"/>
  <c r="F895" i="16"/>
  <c r="F887" i="16"/>
  <c r="F879" i="16"/>
  <c r="F871" i="16"/>
  <c r="F863" i="16"/>
  <c r="F855" i="16"/>
  <c r="F847" i="16"/>
  <c r="F839" i="16"/>
  <c r="F831" i="16"/>
  <c r="F823" i="16"/>
  <c r="F815" i="16"/>
  <c r="F807" i="16"/>
  <c r="F799" i="16"/>
  <c r="F791" i="16"/>
  <c r="F783" i="16"/>
  <c r="F775" i="16"/>
  <c r="F767" i="16"/>
  <c r="F759" i="16"/>
  <c r="F751" i="16"/>
  <c r="F743" i="16"/>
  <c r="F735" i="16"/>
  <c r="F727" i="16"/>
  <c r="F719" i="16"/>
  <c r="F711" i="16"/>
  <c r="F703" i="16"/>
  <c r="F695" i="16"/>
  <c r="F687" i="16"/>
  <c r="F679" i="16"/>
  <c r="F671" i="16"/>
  <c r="F663" i="16"/>
  <c r="F655" i="16"/>
  <c r="F647" i="16"/>
  <c r="F639" i="16"/>
  <c r="F631" i="16"/>
  <c r="F623" i="16"/>
  <c r="F615" i="16"/>
  <c r="F607" i="16"/>
  <c r="F599" i="16"/>
  <c r="F591" i="16"/>
  <c r="F583" i="16"/>
  <c r="F575" i="16"/>
  <c r="F567" i="16"/>
  <c r="F559" i="16"/>
  <c r="F551" i="16"/>
  <c r="F543" i="16"/>
  <c r="F535" i="16"/>
  <c r="F527" i="16"/>
  <c r="F519" i="16"/>
  <c r="F511" i="16"/>
  <c r="F503" i="16"/>
  <c r="F495" i="16"/>
  <c r="F487" i="16"/>
  <c r="F479" i="16"/>
  <c r="F471" i="16"/>
  <c r="F463" i="16"/>
  <c r="F455" i="16"/>
  <c r="F447" i="16"/>
  <c r="F439" i="16"/>
  <c r="F431" i="16"/>
  <c r="F423" i="16"/>
  <c r="F415" i="16"/>
  <c r="F407" i="16"/>
  <c r="F399" i="16"/>
  <c r="F391" i="16"/>
  <c r="F383" i="16"/>
  <c r="F375" i="16"/>
  <c r="F367" i="16"/>
  <c r="F359" i="16"/>
  <c r="F351" i="16"/>
  <c r="F343" i="16"/>
  <c r="F335" i="16"/>
  <c r="F327" i="16"/>
  <c r="F319" i="16"/>
  <c r="F311" i="16"/>
  <c r="F303" i="16"/>
  <c r="F295" i="16"/>
  <c r="F287" i="16"/>
  <c r="F279" i="16"/>
  <c r="F271" i="16"/>
  <c r="F263" i="16"/>
  <c r="F255" i="16"/>
  <c r="F247" i="16"/>
  <c r="F239" i="16"/>
  <c r="F231" i="16"/>
  <c r="F223" i="16"/>
  <c r="F215" i="16"/>
  <c r="F207" i="16"/>
  <c r="F199" i="16"/>
  <c r="F191" i="16"/>
  <c r="F183" i="16"/>
  <c r="F175" i="16"/>
  <c r="F167" i="16"/>
  <c r="F159" i="16"/>
  <c r="F151" i="16"/>
  <c r="F143" i="16"/>
  <c r="F135" i="16"/>
  <c r="F127" i="16"/>
  <c r="F119" i="16"/>
  <c r="F111" i="16"/>
  <c r="F103" i="16"/>
  <c r="F95" i="16"/>
  <c r="F87" i="16"/>
  <c r="F79" i="16"/>
  <c r="F71" i="16"/>
  <c r="F63" i="16"/>
  <c r="F55" i="16"/>
  <c r="F47" i="16"/>
  <c r="F39" i="16"/>
  <c r="F31" i="16"/>
  <c r="F23" i="16"/>
  <c r="F15" i="16"/>
  <c r="F7" i="16"/>
  <c r="F1510" i="16"/>
  <c r="F1496" i="16"/>
  <c r="F1485" i="16"/>
  <c r="F1471" i="16"/>
  <c r="F1461" i="16"/>
  <c r="F1450" i="16"/>
  <c r="F1439" i="16"/>
  <c r="F1429" i="16"/>
  <c r="F1418" i="16"/>
  <c r="F1407" i="16"/>
  <c r="F1397" i="16"/>
  <c r="F1386" i="16"/>
  <c r="F1375" i="16"/>
  <c r="F1365" i="16"/>
  <c r="F1354" i="16"/>
  <c r="F1343" i="16"/>
  <c r="F1333" i="16"/>
  <c r="F1322" i="16"/>
  <c r="F1311" i="16"/>
  <c r="F1301" i="16"/>
  <c r="F1290" i="16"/>
  <c r="F1279" i="16"/>
  <c r="F1269" i="16"/>
  <c r="F1258" i="16"/>
  <c r="F1247" i="16"/>
  <c r="F1237" i="16"/>
  <c r="F1226" i="16"/>
  <c r="F1215" i="16"/>
  <c r="F1205" i="16"/>
  <c r="F1194" i="16"/>
  <c r="F1183" i="16"/>
  <c r="F1174" i="16"/>
  <c r="F1166" i="16"/>
  <c r="F1158" i="16"/>
  <c r="F1150" i="16"/>
  <c r="F1142" i="16"/>
  <c r="F1134" i="16"/>
  <c r="F1126" i="16"/>
  <c r="F1118" i="16"/>
  <c r="F1110" i="16"/>
  <c r="F1102" i="16"/>
  <c r="F1094" i="16"/>
  <c r="F1086" i="16"/>
  <c r="F1078" i="16"/>
  <c r="F1070" i="16"/>
  <c r="F1062" i="16"/>
  <c r="F1054" i="16"/>
  <c r="F1046" i="16"/>
  <c r="F1038" i="16"/>
  <c r="F1030" i="16"/>
  <c r="F1022" i="16"/>
  <c r="F1014" i="16"/>
  <c r="F1006" i="16"/>
  <c r="F998" i="16"/>
  <c r="F990" i="16"/>
  <c r="F982" i="16"/>
  <c r="F974" i="16"/>
  <c r="F966" i="16"/>
  <c r="F958" i="16"/>
  <c r="F950" i="16"/>
  <c r="F942" i="16"/>
  <c r="F934" i="16"/>
  <c r="F926" i="16"/>
  <c r="F918" i="16"/>
  <c r="F910" i="16"/>
  <c r="F902" i="16"/>
  <c r="F894" i="16"/>
  <c r="F886" i="16"/>
  <c r="F878" i="16"/>
  <c r="F870" i="16"/>
  <c r="F862" i="16"/>
  <c r="F854" i="16"/>
  <c r="F846" i="16"/>
  <c r="F838" i="16"/>
  <c r="F830" i="16"/>
  <c r="F822" i="16"/>
  <c r="F814" i="16"/>
  <c r="F806" i="16"/>
  <c r="F798" i="16"/>
  <c r="F790" i="16"/>
  <c r="F782" i="16"/>
  <c r="F774" i="16"/>
  <c r="F766" i="16"/>
  <c r="F758" i="16"/>
  <c r="F750" i="16"/>
  <c r="F742" i="16"/>
  <c r="F734" i="16"/>
  <c r="F726" i="16"/>
  <c r="F718" i="16"/>
  <c r="F710" i="16"/>
  <c r="F702" i="16"/>
  <c r="F694" i="16"/>
  <c r="F686" i="16"/>
  <c r="F678" i="16"/>
  <c r="F670" i="16"/>
  <c r="F662" i="16"/>
  <c r="F654" i="16"/>
  <c r="F646" i="16"/>
  <c r="F638" i="16"/>
  <c r="F630" i="16"/>
  <c r="F622" i="16"/>
  <c r="F614" i="16"/>
  <c r="F606" i="16"/>
  <c r="F598" i="16"/>
  <c r="F590" i="16"/>
  <c r="F582" i="16"/>
  <c r="F574" i="16"/>
  <c r="F566" i="16"/>
  <c r="F558" i="16"/>
  <c r="F550" i="16"/>
  <c r="F542" i="16"/>
  <c r="F534" i="16"/>
  <c r="F526" i="16"/>
  <c r="F518" i="16"/>
  <c r="F510" i="16"/>
  <c r="F502" i="16"/>
  <c r="F494" i="16"/>
  <c r="F486" i="16"/>
  <c r="F478" i="16"/>
  <c r="F470" i="16"/>
  <c r="F462" i="16"/>
  <c r="F454" i="16"/>
  <c r="F446" i="16"/>
  <c r="F438" i="16"/>
  <c r="F430" i="16"/>
  <c r="F422" i="16"/>
  <c r="F414" i="16"/>
  <c r="F406" i="16"/>
  <c r="F398" i="16"/>
  <c r="F390" i="16"/>
  <c r="F382" i="16"/>
  <c r="F374" i="16"/>
  <c r="F366" i="16"/>
  <c r="F358" i="16"/>
  <c r="F350" i="16"/>
  <c r="F342" i="16"/>
  <c r="F334" i="16"/>
  <c r="F326" i="16"/>
  <c r="F318" i="16"/>
  <c r="F310" i="16"/>
  <c r="F302" i="16"/>
  <c r="F294" i="16"/>
  <c r="F286" i="16"/>
  <c r="F278" i="16"/>
  <c r="F270" i="16"/>
  <c r="F262" i="16"/>
  <c r="F254" i="16"/>
  <c r="F246" i="16"/>
  <c r="F238" i="16"/>
  <c r="F230" i="16"/>
  <c r="F222" i="16"/>
  <c r="F214" i="16"/>
  <c r="F206" i="16"/>
  <c r="F198" i="16"/>
  <c r="F190" i="16"/>
  <c r="F182" i="16"/>
  <c r="F174" i="16"/>
  <c r="F166" i="16"/>
  <c r="F158" i="16"/>
  <c r="F150" i="16"/>
  <c r="F142" i="16"/>
  <c r="F134" i="16"/>
  <c r="F126" i="16"/>
  <c r="F118" i="16"/>
  <c r="F110" i="16"/>
  <c r="F102" i="16"/>
  <c r="F94" i="16"/>
  <c r="F86" i="16"/>
  <c r="F78" i="16"/>
  <c r="F70" i="16"/>
  <c r="F62" i="16"/>
  <c r="F54" i="16"/>
  <c r="F46" i="16"/>
  <c r="F38" i="16"/>
  <c r="F30" i="16"/>
  <c r="F22" i="16"/>
  <c r="F14" i="16"/>
  <c r="F6" i="16"/>
  <c r="F1509" i="16"/>
  <c r="F1495" i="16"/>
  <c r="F1482" i="16"/>
  <c r="F1470" i="16"/>
  <c r="F1460" i="16"/>
  <c r="F1448" i="16"/>
  <c r="F1438" i="16"/>
  <c r="F1428" i="16"/>
  <c r="F1416" i="16"/>
  <c r="F1406" i="16"/>
  <c r="F1396" i="16"/>
  <c r="F1384" i="16"/>
  <c r="F1374" i="16"/>
  <c r="F1364" i="16"/>
  <c r="F1352" i="16"/>
  <c r="F1342" i="16"/>
  <c r="F1332" i="16"/>
  <c r="F1320" i="16"/>
  <c r="F1310" i="16"/>
  <c r="F1300" i="16"/>
  <c r="F1288" i="16"/>
  <c r="F1278" i="16"/>
  <c r="F1268" i="16"/>
  <c r="F1256" i="16"/>
  <c r="F1246" i="16"/>
  <c r="F1236" i="16"/>
  <c r="F1224" i="16"/>
  <c r="F1214" i="16"/>
  <c r="F1204" i="16"/>
  <c r="F1192" i="16"/>
  <c r="F1182" i="16"/>
  <c r="F1173" i="16"/>
  <c r="F1165" i="16"/>
  <c r="F1157" i="16"/>
  <c r="F1149" i="16"/>
  <c r="F1141" i="16"/>
  <c r="F1133" i="16"/>
  <c r="F1125" i="16"/>
  <c r="F1117" i="16"/>
  <c r="F1109" i="16"/>
  <c r="F1101" i="16"/>
  <c r="F1093" i="16"/>
  <c r="F1085" i="16"/>
  <c r="F1077" i="16"/>
  <c r="F1069" i="16"/>
  <c r="F1061" i="16"/>
  <c r="F1053" i="16"/>
  <c r="F1045" i="16"/>
  <c r="F1037" i="16"/>
  <c r="F1029" i="16"/>
  <c r="F1021" i="16"/>
  <c r="F1013" i="16"/>
  <c r="F1005" i="16"/>
  <c r="F997" i="16"/>
  <c r="F989" i="16"/>
  <c r="F981" i="16"/>
  <c r="F973" i="16"/>
  <c r="F965" i="16"/>
  <c r="F957" i="16"/>
  <c r="F949" i="16"/>
  <c r="F941" i="16"/>
  <c r="F933" i="16"/>
  <c r="F925" i="16"/>
  <c r="F917" i="16"/>
  <c r="F909" i="16"/>
  <c r="F901" i="16"/>
  <c r="F893" i="16"/>
  <c r="F885" i="16"/>
  <c r="F877" i="16"/>
  <c r="F869" i="16"/>
  <c r="F861" i="16"/>
  <c r="F853" i="16"/>
  <c r="F845" i="16"/>
  <c r="F837" i="16"/>
  <c r="F829" i="16"/>
  <c r="F821" i="16"/>
  <c r="F813" i="16"/>
  <c r="F805" i="16"/>
  <c r="F797" i="16"/>
  <c r="F789" i="16"/>
  <c r="F781" i="16"/>
  <c r="F773" i="16"/>
  <c r="F765" i="16"/>
  <c r="F757" i="16"/>
  <c r="F749" i="16"/>
  <c r="F741" i="16"/>
  <c r="F733" i="16"/>
  <c r="F725" i="16"/>
  <c r="F717" i="16"/>
  <c r="F709" i="16"/>
  <c r="F701" i="16"/>
  <c r="F693" i="16"/>
  <c r="F685" i="16"/>
  <c r="F677" i="16"/>
  <c r="F669" i="16"/>
  <c r="F661" i="16"/>
  <c r="F653" i="16"/>
  <c r="F645" i="16"/>
  <c r="F637" i="16"/>
  <c r="F629" i="16"/>
  <c r="F621" i="16"/>
  <c r="F613" i="16"/>
  <c r="F605" i="16"/>
  <c r="F597" i="16"/>
  <c r="F589" i="16"/>
  <c r="F581" i="16"/>
  <c r="F573" i="16"/>
  <c r="F565" i="16"/>
  <c r="F557" i="16"/>
  <c r="F549" i="16"/>
  <c r="F541" i="16"/>
  <c r="F533" i="16"/>
  <c r="F525" i="16"/>
  <c r="F517" i="16"/>
  <c r="F509" i="16"/>
  <c r="F501" i="16"/>
  <c r="F493" i="16"/>
  <c r="F485" i="16"/>
  <c r="F477" i="16"/>
  <c r="F469" i="16"/>
  <c r="F461" i="16"/>
  <c r="F453" i="16"/>
  <c r="F445" i="16"/>
  <c r="F437" i="16"/>
  <c r="F429" i="16"/>
  <c r="F421" i="16"/>
  <c r="F413" i="16"/>
  <c r="F405" i="16"/>
  <c r="F397" i="16"/>
  <c r="F389" i="16"/>
  <c r="F381" i="16"/>
  <c r="F373" i="16"/>
  <c r="F365" i="16"/>
  <c r="F357" i="16"/>
  <c r="F349" i="16"/>
  <c r="F341" i="16"/>
  <c r="F333" i="16"/>
  <c r="F325" i="16"/>
  <c r="F317" i="16"/>
  <c r="F309" i="16"/>
  <c r="F301" i="16"/>
  <c r="F293" i="16"/>
  <c r="F285" i="16"/>
  <c r="F277" i="16"/>
  <c r="F269" i="16"/>
  <c r="F261" i="16"/>
  <c r="F253" i="16"/>
  <c r="F245" i="16"/>
  <c r="F237" i="16"/>
  <c r="F229" i="16"/>
  <c r="F221" i="16"/>
  <c r="F213" i="16"/>
  <c r="F205" i="16"/>
  <c r="F197" i="16"/>
  <c r="F189" i="16"/>
  <c r="F181" i="16"/>
  <c r="F173" i="16"/>
  <c r="F165" i="16"/>
  <c r="F157" i="16"/>
  <c r="F149" i="16"/>
  <c r="F141" i="16"/>
  <c r="F133" i="16"/>
  <c r="F125" i="16"/>
  <c r="F117" i="16"/>
  <c r="F109" i="16"/>
  <c r="F101" i="16"/>
  <c r="F93" i="16"/>
  <c r="F85" i="16"/>
  <c r="F77" i="16"/>
  <c r="F69" i="16"/>
  <c r="F61" i="16"/>
  <c r="F53" i="16"/>
  <c r="F45" i="16"/>
  <c r="F37" i="16"/>
  <c r="F29" i="16"/>
  <c r="F21" i="16"/>
  <c r="F13" i="16"/>
  <c r="F5" i="16"/>
  <c r="F1506" i="16"/>
  <c r="F1494" i="16"/>
  <c r="F1480" i="16"/>
  <c r="F1469" i="16"/>
  <c r="F1458" i="16"/>
  <c r="F1447" i="16"/>
  <c r="F1437" i="16"/>
  <c r="F1426" i="16"/>
  <c r="F1415" i="16"/>
  <c r="F1405" i="16"/>
  <c r="F1394" i="16"/>
  <c r="F1383" i="16"/>
  <c r="F1373" i="16"/>
  <c r="F1362" i="16"/>
  <c r="F1351" i="16"/>
  <c r="F1341" i="16"/>
  <c r="F1330" i="16"/>
  <c r="F1319" i="16"/>
  <c r="F1309" i="16"/>
  <c r="F1298" i="16"/>
  <c r="F1287" i="16"/>
  <c r="F1277" i="16"/>
  <c r="F1266" i="16"/>
  <c r="F1255" i="16"/>
  <c r="F1245" i="16"/>
  <c r="F1234" i="16"/>
  <c r="F1223" i="16"/>
  <c r="F1213" i="16"/>
  <c r="F1202" i="16"/>
  <c r="F1191" i="16"/>
  <c r="F1181" i="16"/>
  <c r="F1172" i="16"/>
  <c r="F1164" i="16"/>
  <c r="F1156" i="16"/>
  <c r="F1148" i="16"/>
  <c r="F1140" i="16"/>
  <c r="F1132" i="16"/>
  <c r="F1124" i="16"/>
  <c r="F1116" i="16"/>
  <c r="F1108" i="16"/>
  <c r="F1100" i="16"/>
  <c r="F1092" i="16"/>
  <c r="F1084" i="16"/>
  <c r="F1076" i="16"/>
  <c r="F1068" i="16"/>
  <c r="F1060" i="16"/>
  <c r="F1052" i="16"/>
  <c r="F1044" i="16"/>
  <c r="F1036" i="16"/>
  <c r="F1028" i="16"/>
  <c r="F1020" i="16"/>
  <c r="F1012" i="16"/>
  <c r="F1004" i="16"/>
  <c r="F996" i="16"/>
  <c r="F988" i="16"/>
  <c r="F980" i="16"/>
  <c r="F972" i="16"/>
  <c r="F964" i="16"/>
  <c r="F956" i="16"/>
  <c r="F948" i="16"/>
  <c r="F940" i="16"/>
  <c r="F932" i="16"/>
  <c r="F924" i="16"/>
  <c r="F916" i="16"/>
  <c r="F908" i="16"/>
  <c r="F900" i="16"/>
  <c r="F892" i="16"/>
  <c r="F884" i="16"/>
  <c r="F876" i="16"/>
  <c r="F868" i="16"/>
  <c r="F860" i="16"/>
  <c r="F852" i="16"/>
  <c r="F844" i="16"/>
  <c r="F836" i="16"/>
  <c r="F828" i="16"/>
  <c r="F820" i="16"/>
  <c r="F812" i="16"/>
  <c r="F804" i="16"/>
  <c r="F796" i="16"/>
  <c r="F788" i="16"/>
  <c r="F780" i="16"/>
  <c r="F772" i="16"/>
  <c r="F764" i="16"/>
  <c r="F756" i="16"/>
  <c r="F748" i="16"/>
  <c r="F740" i="16"/>
  <c r="F732" i="16"/>
  <c r="F724" i="16"/>
  <c r="F716" i="16"/>
  <c r="F708" i="16"/>
  <c r="F700" i="16"/>
  <c r="F692" i="16"/>
  <c r="F684" i="16"/>
  <c r="F676" i="16"/>
  <c r="F668" i="16"/>
  <c r="F660" i="16"/>
  <c r="F652" i="16"/>
  <c r="F644" i="16"/>
  <c r="F636" i="16"/>
  <c r="F628" i="16"/>
  <c r="F620" i="16"/>
  <c r="F612" i="16"/>
  <c r="F604" i="16"/>
  <c r="F596" i="16"/>
  <c r="F588" i="16"/>
  <c r="F580" i="16"/>
  <c r="F572" i="16"/>
  <c r="F564" i="16"/>
  <c r="F556" i="16"/>
  <c r="F548" i="16"/>
  <c r="F540" i="16"/>
  <c r="F532" i="16"/>
  <c r="F524" i="16"/>
  <c r="F516" i="16"/>
  <c r="F508" i="16"/>
  <c r="F500" i="16"/>
  <c r="F492" i="16"/>
  <c r="F484" i="16"/>
  <c r="F476" i="16"/>
  <c r="F468" i="16"/>
  <c r="F460" i="16"/>
  <c r="F452" i="16"/>
  <c r="F444" i="16"/>
  <c r="F436" i="16"/>
  <c r="F428" i="16"/>
  <c r="F420" i="16"/>
  <c r="F412" i="16"/>
  <c r="F404" i="16"/>
  <c r="F396" i="16"/>
  <c r="F388" i="16"/>
  <c r="F380" i="16"/>
  <c r="F372" i="16"/>
  <c r="F364" i="16"/>
  <c r="F356" i="16"/>
  <c r="F348" i="16"/>
  <c r="F340" i="16"/>
  <c r="F332" i="16"/>
  <c r="F324" i="16"/>
  <c r="F316" i="16"/>
  <c r="F308" i="16"/>
  <c r="F300" i="16"/>
  <c r="F292" i="16"/>
  <c r="F284" i="16"/>
  <c r="F276" i="16"/>
  <c r="F268" i="16"/>
  <c r="F260" i="16"/>
  <c r="F252" i="16"/>
  <c r="F244" i="16"/>
  <c r="F236" i="16"/>
  <c r="F228" i="16"/>
  <c r="F220" i="16"/>
  <c r="F212" i="16"/>
  <c r="F204" i="16"/>
  <c r="F196" i="16"/>
  <c r="F188" i="16"/>
  <c r="F180" i="16"/>
  <c r="F172" i="16"/>
  <c r="F164" i="16"/>
  <c r="F156" i="16"/>
  <c r="F148" i="16"/>
  <c r="F140" i="16"/>
  <c r="F132" i="16"/>
  <c r="F124" i="16"/>
  <c r="F116" i="16"/>
  <c r="F108" i="16"/>
  <c r="F100" i="16"/>
  <c r="F92" i="16"/>
  <c r="F84" i="16"/>
  <c r="F76" i="16"/>
  <c r="F68" i="16"/>
  <c r="F60" i="16"/>
  <c r="F52" i="16"/>
  <c r="F44" i="16"/>
  <c r="F36" i="16"/>
  <c r="F28" i="16"/>
  <c r="F20" i="16"/>
  <c r="F12" i="16"/>
  <c r="F4" i="16"/>
  <c r="F1518" i="16"/>
  <c r="F1504" i="16"/>
  <c r="F1493" i="16"/>
  <c r="F1479" i="16"/>
  <c r="F1468" i="16"/>
  <c r="F1456" i="16"/>
  <c r="F1446" i="16"/>
  <c r="F1436" i="16"/>
  <c r="F1424" i="16"/>
  <c r="F1414" i="16"/>
  <c r="F1404" i="16"/>
  <c r="F1392" i="16"/>
  <c r="F1382" i="16"/>
  <c r="F1372" i="16"/>
  <c r="F1360" i="16"/>
  <c r="F1350" i="16"/>
  <c r="F1340" i="16"/>
  <c r="F1328" i="16"/>
  <c r="F1318" i="16"/>
  <c r="F1308" i="16"/>
  <c r="F1296" i="16"/>
  <c r="F1286" i="16"/>
  <c r="F1276" i="16"/>
  <c r="F1264" i="16"/>
  <c r="F1254" i="16"/>
  <c r="F1244" i="16"/>
  <c r="F1232" i="16"/>
  <c r="F1222" i="16"/>
  <c r="F1212" i="16"/>
  <c r="F1200" i="16"/>
  <c r="F1190" i="16"/>
  <c r="F1180" i="16"/>
  <c r="F1171" i="16"/>
  <c r="F1163" i="16"/>
  <c r="F1155" i="16"/>
  <c r="F1147" i="16"/>
  <c r="F1139" i="16"/>
  <c r="F1131" i="16"/>
  <c r="F1123" i="16"/>
  <c r="F1115" i="16"/>
  <c r="F1107" i="16"/>
  <c r="F1099" i="16"/>
  <c r="F1091" i="16"/>
  <c r="F1083" i="16"/>
  <c r="F1075" i="16"/>
  <c r="F1067" i="16"/>
  <c r="F1059" i="16"/>
  <c r="F1051" i="16"/>
  <c r="F1043" i="16"/>
  <c r="F1035" i="16"/>
  <c r="F1027" i="16"/>
  <c r="F1019" i="16"/>
  <c r="F1011" i="16"/>
  <c r="F1003" i="16"/>
  <c r="F995" i="16"/>
  <c r="F987" i="16"/>
  <c r="F979" i="16"/>
  <c r="F971" i="16"/>
  <c r="F963" i="16"/>
  <c r="F955" i="16"/>
  <c r="F947" i="16"/>
  <c r="F939" i="16"/>
  <c r="F931" i="16"/>
  <c r="F923" i="16"/>
  <c r="F915" i="16"/>
  <c r="F907" i="16"/>
  <c r="F899" i="16"/>
  <c r="F891" i="16"/>
  <c r="F883" i="16"/>
  <c r="F875" i="16"/>
  <c r="F867" i="16"/>
  <c r="F859" i="16"/>
  <c r="F851" i="16"/>
  <c r="F843" i="16"/>
  <c r="F835" i="16"/>
  <c r="F827" i="16"/>
  <c r="F819" i="16"/>
  <c r="F811" i="16"/>
  <c r="F803" i="16"/>
  <c r="F795" i="16"/>
  <c r="F787" i="16"/>
  <c r="F779" i="16"/>
  <c r="F771" i="16"/>
  <c r="F763" i="16"/>
  <c r="F755" i="16"/>
  <c r="F747" i="16"/>
  <c r="F739" i="16"/>
  <c r="F731" i="16"/>
  <c r="F723" i="16"/>
  <c r="F715" i="16"/>
  <c r="F707" i="16"/>
  <c r="F699" i="16"/>
  <c r="F691" i="16"/>
  <c r="F683" i="16"/>
  <c r="F675" i="16"/>
  <c r="F667" i="16"/>
  <c r="F659" i="16"/>
  <c r="F651" i="16"/>
  <c r="F643" i="16"/>
  <c r="F635" i="16"/>
  <c r="F627" i="16"/>
  <c r="F619" i="16"/>
  <c r="F611" i="16"/>
  <c r="F603" i="16"/>
  <c r="F595" i="16"/>
  <c r="F587" i="16"/>
  <c r="F579" i="16"/>
  <c r="F571" i="16"/>
  <c r="F563" i="16"/>
  <c r="F555" i="16"/>
  <c r="F547" i="16"/>
  <c r="F539" i="16"/>
  <c r="F531" i="16"/>
  <c r="F523" i="16"/>
  <c r="F515" i="16"/>
  <c r="F507" i="16"/>
  <c r="F499" i="16"/>
  <c r="F491" i="16"/>
  <c r="F483" i="16"/>
  <c r="F475" i="16"/>
  <c r="F467" i="16"/>
  <c r="F459" i="16"/>
  <c r="F451" i="16"/>
  <c r="F443" i="16"/>
  <c r="F435" i="16"/>
  <c r="F427" i="16"/>
  <c r="F419" i="16"/>
  <c r="F411" i="16"/>
  <c r="F403" i="16"/>
  <c r="F395" i="16"/>
  <c r="F387" i="16"/>
  <c r="F379" i="16"/>
  <c r="F371" i="16"/>
  <c r="F363" i="16"/>
  <c r="F355" i="16"/>
  <c r="F347" i="16"/>
  <c r="F339" i="16"/>
  <c r="F331" i="16"/>
  <c r="F323" i="16"/>
  <c r="F315" i="16"/>
  <c r="F307" i="16"/>
  <c r="F299" i="16"/>
  <c r="F291" i="16"/>
  <c r="F283" i="16"/>
  <c r="F275" i="16"/>
  <c r="F267" i="16"/>
  <c r="F259" i="16"/>
  <c r="F251" i="16"/>
  <c r="F243" i="16"/>
  <c r="F235" i="16"/>
  <c r="F227" i="16"/>
  <c r="F219" i="16"/>
  <c r="F211" i="16"/>
  <c r="F203" i="16"/>
  <c r="F195" i="16"/>
  <c r="F187" i="16"/>
  <c r="F179" i="16"/>
  <c r="F171" i="16"/>
  <c r="F163" i="16"/>
  <c r="F155" i="16"/>
  <c r="F147" i="16"/>
  <c r="F139" i="16"/>
  <c r="F131" i="16"/>
  <c r="F123" i="16"/>
  <c r="F115" i="16"/>
  <c r="F107" i="16"/>
  <c r="F99" i="16"/>
  <c r="F91" i="16"/>
  <c r="F83" i="16"/>
  <c r="F75" i="16"/>
  <c r="F67" i="16"/>
  <c r="F59" i="16"/>
  <c r="F51" i="16"/>
  <c r="F43" i="16"/>
  <c r="F35" i="16"/>
  <c r="F27" i="16"/>
  <c r="F19" i="16"/>
  <c r="F11" i="16"/>
  <c r="F3" i="16"/>
  <c r="F1517" i="16"/>
  <c r="F1503" i="16"/>
  <c r="F1490" i="16"/>
  <c r="F1478" i="16"/>
  <c r="F1466" i="16"/>
  <c r="F1455" i="16"/>
  <c r="F1445" i="16"/>
  <c r="F1434" i="16"/>
  <c r="F1423" i="16"/>
  <c r="F1413" i="16"/>
  <c r="F1402" i="16"/>
  <c r="F1391" i="16"/>
  <c r="F1381" i="16"/>
  <c r="F1370" i="16"/>
  <c r="F1359" i="16"/>
  <c r="F1349" i="16"/>
  <c r="F1338" i="16"/>
  <c r="F1327" i="16"/>
  <c r="F1317" i="16"/>
  <c r="F1306" i="16"/>
  <c r="F1295" i="16"/>
  <c r="F1285" i="16"/>
  <c r="F1274" i="16"/>
  <c r="F1263" i="16"/>
  <c r="F1253" i="16"/>
  <c r="F1242" i="16"/>
  <c r="F1231" i="16"/>
  <c r="F1221" i="16"/>
  <c r="F1210" i="16"/>
  <c r="F1199" i="16"/>
  <c r="F1189" i="16"/>
  <c r="F1179" i="16"/>
  <c r="F1170" i="16"/>
  <c r="F1162" i="16"/>
  <c r="F1154" i="16"/>
  <c r="F1146" i="16"/>
  <c r="F1138" i="16"/>
  <c r="F1130" i="16"/>
  <c r="F1122" i="16"/>
  <c r="F1114" i="16"/>
  <c r="F1106" i="16"/>
  <c r="F1098" i="16"/>
  <c r="F1090" i="16"/>
  <c r="F1082" i="16"/>
  <c r="F1074" i="16"/>
  <c r="F1066" i="16"/>
  <c r="F1058" i="16"/>
  <c r="F1050" i="16"/>
  <c r="F1042" i="16"/>
  <c r="F1034" i="16"/>
  <c r="F1026" i="16"/>
  <c r="F1018" i="16"/>
  <c r="F1010" i="16"/>
  <c r="F1002" i="16"/>
  <c r="F994" i="16"/>
  <c r="F986" i="16"/>
  <c r="F978" i="16"/>
  <c r="F970" i="16"/>
  <c r="F962" i="16"/>
  <c r="F954" i="16"/>
  <c r="F946" i="16"/>
  <c r="F938" i="16"/>
  <c r="F930" i="16"/>
  <c r="F922" i="16"/>
  <c r="F914" i="16"/>
  <c r="F906" i="16"/>
  <c r="F898" i="16"/>
  <c r="F890" i="16"/>
  <c r="F882" i="16"/>
  <c r="F874" i="16"/>
  <c r="F866" i="16"/>
  <c r="F858" i="16"/>
  <c r="F850" i="16"/>
  <c r="F842" i="16"/>
  <c r="F834" i="16"/>
  <c r="F826" i="16"/>
  <c r="F818" i="16"/>
  <c r="F810" i="16"/>
  <c r="F802" i="16"/>
  <c r="F794" i="16"/>
  <c r="F786" i="16"/>
  <c r="F778" i="16"/>
  <c r="F770" i="16"/>
  <c r="F762" i="16"/>
  <c r="F754" i="16"/>
  <c r="F746" i="16"/>
  <c r="F738" i="16"/>
  <c r="F730" i="16"/>
  <c r="F722" i="16"/>
  <c r="F714" i="16"/>
  <c r="F706" i="16"/>
  <c r="F698" i="16"/>
  <c r="F690" i="16"/>
  <c r="F682" i="16"/>
  <c r="F674" i="16"/>
  <c r="F666" i="16"/>
  <c r="F658" i="16"/>
  <c r="F650" i="16"/>
  <c r="F642" i="16"/>
  <c r="F634" i="16"/>
  <c r="F626" i="16"/>
  <c r="F618" i="16"/>
  <c r="F610" i="16"/>
  <c r="F602" i="16"/>
  <c r="F594" i="16"/>
  <c r="F586" i="16"/>
  <c r="F578" i="16"/>
  <c r="F570" i="16"/>
  <c r="F562" i="16"/>
  <c r="F554" i="16"/>
  <c r="F546" i="16"/>
  <c r="F538" i="16"/>
  <c r="F530" i="16"/>
  <c r="F522" i="16"/>
  <c r="F514" i="16"/>
  <c r="F506" i="16"/>
  <c r="F498" i="16"/>
  <c r="F490" i="16"/>
  <c r="F482" i="16"/>
  <c r="F474" i="16"/>
  <c r="F466" i="16"/>
  <c r="F458" i="16"/>
  <c r="F450" i="16"/>
  <c r="F442" i="16"/>
  <c r="F434" i="16"/>
  <c r="F426" i="16"/>
  <c r="F418" i="16"/>
  <c r="F410" i="16"/>
  <c r="F402" i="16"/>
  <c r="F394" i="16"/>
  <c r="F386" i="16"/>
  <c r="F378" i="16"/>
  <c r="F370" i="16"/>
  <c r="F362" i="16"/>
  <c r="F354" i="16"/>
  <c r="F346" i="16"/>
  <c r="F338" i="16"/>
  <c r="F330" i="16"/>
  <c r="F322" i="16"/>
  <c r="F314" i="16"/>
  <c r="F306" i="16"/>
  <c r="F298" i="16"/>
  <c r="F290" i="16"/>
  <c r="F282" i="16"/>
  <c r="F274" i="16"/>
  <c r="F266" i="16"/>
  <c r="F258" i="16"/>
  <c r="F250" i="16"/>
  <c r="F242" i="16"/>
  <c r="F234" i="16"/>
  <c r="F226" i="16"/>
  <c r="F218" i="16"/>
  <c r="F210" i="16"/>
  <c r="F202" i="16"/>
  <c r="F194" i="16"/>
  <c r="F186" i="16"/>
  <c r="F178" i="16"/>
  <c r="F170" i="16"/>
  <c r="F162" i="16"/>
  <c r="F154" i="16"/>
  <c r="F146" i="16"/>
  <c r="F138" i="16"/>
  <c r="F130" i="16"/>
  <c r="F122" i="16"/>
  <c r="F114" i="16"/>
  <c r="F106" i="16"/>
  <c r="F98" i="16"/>
  <c r="F90" i="16"/>
  <c r="F82" i="16"/>
  <c r="F74" i="16"/>
  <c r="F66" i="16"/>
  <c r="F58" i="16"/>
  <c r="F50" i="16"/>
  <c r="F42" i="16"/>
  <c r="F34" i="16"/>
  <c r="F26" i="16"/>
  <c r="F18" i="16"/>
  <c r="F10" i="16"/>
  <c r="F1514" i="16"/>
  <c r="F1502" i="16"/>
  <c r="F1488" i="16"/>
  <c r="F1477" i="16"/>
  <c r="F1464" i="16"/>
  <c r="F1454" i="16"/>
  <c r="F1444" i="16"/>
  <c r="F1432" i="16"/>
  <c r="F1422" i="16"/>
  <c r="F1412" i="16"/>
  <c r="F1400" i="16"/>
  <c r="F1390" i="16"/>
  <c r="F1380" i="16"/>
  <c r="F1368" i="16"/>
  <c r="F1358" i="16"/>
  <c r="F1348" i="16"/>
  <c r="F1336" i="16"/>
  <c r="F1326" i="16"/>
  <c r="F1316" i="16"/>
  <c r="F1304" i="16"/>
  <c r="F1294" i="16"/>
  <c r="F1284" i="16"/>
  <c r="F1272" i="16"/>
  <c r="F1262" i="16"/>
  <c r="F1252" i="16"/>
  <c r="F1240" i="16"/>
  <c r="F1230" i="16"/>
  <c r="F1220" i="16"/>
  <c r="F1208" i="16"/>
  <c r="F1198" i="16"/>
  <c r="F1188" i="16"/>
  <c r="F1178" i="16"/>
  <c r="F1169" i="16"/>
  <c r="F1161" i="16"/>
  <c r="F1153" i="16"/>
  <c r="F1145" i="16"/>
  <c r="F1137" i="16"/>
  <c r="F1129" i="16"/>
  <c r="F1121" i="16"/>
  <c r="F1113" i="16"/>
  <c r="F1105" i="16"/>
  <c r="F1097" i="16"/>
  <c r="F1089" i="16"/>
  <c r="F1081" i="16"/>
  <c r="F1073" i="16"/>
  <c r="F1065" i="16"/>
  <c r="F1057" i="16"/>
  <c r="F1049" i="16"/>
  <c r="F1041" i="16"/>
  <c r="F1033" i="16"/>
  <c r="F1025" i="16"/>
  <c r="F1017" i="16"/>
  <c r="F1009" i="16"/>
  <c r="F1001" i="16"/>
  <c r="F993" i="16"/>
  <c r="F985" i="16"/>
  <c r="F977" i="16"/>
  <c r="F969" i="16"/>
  <c r="F961" i="16"/>
  <c r="F953" i="16"/>
  <c r="F945" i="16"/>
  <c r="F937" i="16"/>
  <c r="F929" i="16"/>
  <c r="F921" i="16"/>
  <c r="F913" i="16"/>
  <c r="F905" i="16"/>
  <c r="F897" i="16"/>
  <c r="F889" i="16"/>
  <c r="F881" i="16"/>
  <c r="F873" i="16"/>
  <c r="F865" i="16"/>
  <c r="F857" i="16"/>
  <c r="F849" i="16"/>
  <c r="F841" i="16"/>
  <c r="F833" i="16"/>
  <c r="F825" i="16"/>
  <c r="F817" i="16"/>
  <c r="F809" i="16"/>
  <c r="F801" i="16"/>
  <c r="F793" i="16"/>
  <c r="F785" i="16"/>
  <c r="F777" i="16"/>
  <c r="F769" i="16"/>
  <c r="F761" i="16"/>
  <c r="F753" i="16"/>
  <c r="F745" i="16"/>
  <c r="F737" i="16"/>
  <c r="F729" i="16"/>
  <c r="F721" i="16"/>
  <c r="F713" i="16"/>
  <c r="F705" i="16"/>
  <c r="F697" i="16"/>
  <c r="F689" i="16"/>
  <c r="F681" i="16"/>
  <c r="F673" i="16"/>
  <c r="F665" i="16"/>
  <c r="F657" i="16"/>
  <c r="F649" i="16"/>
  <c r="F641" i="16"/>
  <c r="F633" i="16"/>
  <c r="F625" i="16"/>
  <c r="F617" i="16"/>
  <c r="F609" i="16"/>
  <c r="F601" i="16"/>
  <c r="F593" i="16"/>
  <c r="F585" i="16"/>
  <c r="F577" i="16"/>
  <c r="F569" i="16"/>
  <c r="F561" i="16"/>
  <c r="F553" i="16"/>
  <c r="F545" i="16"/>
  <c r="F537" i="16"/>
  <c r="F529" i="16"/>
  <c r="F521" i="16"/>
  <c r="F513" i="16"/>
  <c r="F505" i="16"/>
  <c r="F497" i="16"/>
  <c r="F489" i="16"/>
  <c r="F481" i="16"/>
  <c r="F473" i="16"/>
  <c r="F465" i="16"/>
  <c r="F457" i="16"/>
  <c r="F449" i="16"/>
  <c r="F441" i="16"/>
  <c r="F433" i="16"/>
  <c r="F425" i="16"/>
  <c r="F417" i="16"/>
  <c r="F409" i="16"/>
  <c r="F401" i="16"/>
  <c r="F393" i="16"/>
  <c r="F385" i="16"/>
  <c r="F377" i="16"/>
  <c r="F369" i="16"/>
  <c r="F361" i="16"/>
  <c r="F353" i="16"/>
  <c r="F345" i="16"/>
  <c r="F337" i="16"/>
  <c r="F329" i="16"/>
  <c r="F321" i="16"/>
  <c r="F313" i="16"/>
  <c r="F305" i="16"/>
  <c r="F297" i="16"/>
  <c r="F289" i="16"/>
  <c r="F281" i="16"/>
  <c r="F273" i="16"/>
  <c r="F265" i="16"/>
  <c r="F257" i="16"/>
  <c r="F249" i="16"/>
  <c r="F241" i="16"/>
  <c r="F233" i="16"/>
  <c r="F225" i="16"/>
  <c r="F217" i="16"/>
  <c r="F209" i="16"/>
  <c r="F201" i="16"/>
  <c r="F193" i="16"/>
  <c r="F185" i="16"/>
  <c r="F177" i="16"/>
  <c r="F169" i="16"/>
  <c r="F161" i="16"/>
  <c r="F153" i="16"/>
  <c r="F145" i="16"/>
  <c r="F137" i="16"/>
  <c r="F129" i="16"/>
  <c r="F121" i="16"/>
  <c r="F113" i="16"/>
  <c r="F105" i="16"/>
  <c r="F97" i="16"/>
  <c r="F89" i="16"/>
  <c r="F81" i="16"/>
  <c r="F73" i="16"/>
  <c r="F65" i="16"/>
  <c r="F57" i="16"/>
  <c r="F49" i="16"/>
  <c r="F41" i="16"/>
  <c r="F33" i="16"/>
  <c r="F25" i="16"/>
  <c r="F17" i="16"/>
  <c r="F9" i="16"/>
  <c r="F2" i="16"/>
  <c r="AA2" i="16" l="1" a="1"/>
  <c r="AA1534" i="16" l="1"/>
  <c r="AA1526" i="16"/>
  <c r="AA1518" i="16"/>
  <c r="AA1510" i="16"/>
  <c r="AA1502" i="16"/>
  <c r="AA1494" i="16"/>
  <c r="AA1486" i="16"/>
  <c r="AA1478" i="16"/>
  <c r="AA1470" i="16"/>
  <c r="AA1462" i="16"/>
  <c r="AA1454" i="16"/>
  <c r="AA1446" i="16"/>
  <c r="AA1438" i="16"/>
  <c r="AA1430" i="16"/>
  <c r="AA1422" i="16"/>
  <c r="AA1414" i="16"/>
  <c r="AA1406" i="16"/>
  <c r="AA1398" i="16"/>
  <c r="AA1390" i="16"/>
  <c r="AA1382" i="16"/>
  <c r="AA1374" i="16"/>
  <c r="AA1366" i="16"/>
  <c r="AA1358" i="16"/>
  <c r="AA1350" i="16"/>
  <c r="AA1342" i="16"/>
  <c r="AA1334" i="16"/>
  <c r="AA1326" i="16"/>
  <c r="AA1318" i="16"/>
  <c r="AA1310" i="16"/>
  <c r="AA1302" i="16"/>
  <c r="AA1294" i="16"/>
  <c r="AA1286" i="16"/>
  <c r="AA1278" i="16"/>
  <c r="AA1270" i="16"/>
  <c r="AA1262" i="16"/>
  <c r="AA1533" i="16"/>
  <c r="AA1524" i="16"/>
  <c r="AA1515" i="16"/>
  <c r="AA1506" i="16"/>
  <c r="AA1497" i="16"/>
  <c r="AA1488" i="16"/>
  <c r="AA1479" i="16"/>
  <c r="AA1469" i="16"/>
  <c r="AA1460" i="16"/>
  <c r="AA1451" i="16"/>
  <c r="AA1442" i="16"/>
  <c r="AA1433" i="16"/>
  <c r="AA1424" i="16"/>
  <c r="AA1415" i="16"/>
  <c r="AA1405" i="16"/>
  <c r="AA1396" i="16"/>
  <c r="AA1387" i="16"/>
  <c r="AA1378" i="16"/>
  <c r="AA1369" i="16"/>
  <c r="AA1360" i="16"/>
  <c r="AA1351" i="16"/>
  <c r="AA1341" i="16"/>
  <c r="AA1332" i="16"/>
  <c r="AA1323" i="16"/>
  <c r="AA1314" i="16"/>
  <c r="AA1305" i="16"/>
  <c r="AA1296" i="16"/>
  <c r="AA1287" i="16"/>
  <c r="AA1277" i="16"/>
  <c r="AA1268" i="16"/>
  <c r="AA1259" i="16"/>
  <c r="AA1532" i="16"/>
  <c r="AA1523" i="16"/>
  <c r="AA1514" i="16"/>
  <c r="AA1505" i="16"/>
  <c r="AA1496" i="16"/>
  <c r="AA1487" i="16"/>
  <c r="AA1477" i="16"/>
  <c r="AA1468" i="16"/>
  <c r="AA1459" i="16"/>
  <c r="AA1450" i="16"/>
  <c r="AA1441" i="16"/>
  <c r="AA1432" i="16"/>
  <c r="AA1423" i="16"/>
  <c r="AA1413" i="16"/>
  <c r="AA1404" i="16"/>
  <c r="AA1395" i="16"/>
  <c r="AA1386" i="16"/>
  <c r="AA1377" i="16"/>
  <c r="AA1368" i="16"/>
  <c r="AA1359" i="16"/>
  <c r="AA1349" i="16"/>
  <c r="AA1340" i="16"/>
  <c r="AA1331" i="16"/>
  <c r="AA1322" i="16"/>
  <c r="AA1313" i="16"/>
  <c r="AA1304" i="16"/>
  <c r="AA1295" i="16"/>
  <c r="AA1285" i="16"/>
  <c r="AA1276" i="16"/>
  <c r="AA1267" i="16"/>
  <c r="AA1258" i="16"/>
  <c r="AA1250" i="16"/>
  <c r="AA1242" i="16"/>
  <c r="AA1234" i="16"/>
  <c r="AA1226" i="16"/>
  <c r="AA1218" i="16"/>
  <c r="AA1210" i="16"/>
  <c r="AA1202" i="16"/>
  <c r="AA1194" i="16"/>
  <c r="AA1186" i="16"/>
  <c r="AA1178" i="16"/>
  <c r="AA1170" i="16"/>
  <c r="AA1162" i="16"/>
  <c r="AA1154" i="16"/>
  <c r="AA1146" i="16"/>
  <c r="AA1138" i="16"/>
  <c r="AA1130" i="16"/>
  <c r="AA1122" i="16"/>
  <c r="AA1114" i="16"/>
  <c r="AA1106" i="16"/>
  <c r="AA1098" i="16"/>
  <c r="AA1090" i="16"/>
  <c r="AA1082" i="16"/>
  <c r="AA1074" i="16"/>
  <c r="AA1066" i="16"/>
  <c r="AA1058" i="16"/>
  <c r="AA1050" i="16"/>
  <c r="AA1042" i="16"/>
  <c r="AA1034" i="16"/>
  <c r="AA1026" i="16"/>
  <c r="AA1018" i="16"/>
  <c r="AA1010" i="16"/>
  <c r="AA1002" i="16"/>
  <c r="AA994" i="16"/>
  <c r="AA986" i="16"/>
  <c r="AA978" i="16"/>
  <c r="AA970" i="16"/>
  <c r="AA962" i="16"/>
  <c r="AA954" i="16"/>
  <c r="AA946" i="16"/>
  <c r="AA938" i="16"/>
  <c r="AA930" i="16"/>
  <c r="AA922" i="16"/>
  <c r="AA914" i="16"/>
  <c r="AA906" i="16"/>
  <c r="AA898" i="16"/>
  <c r="AA890" i="16"/>
  <c r="AA882" i="16"/>
  <c r="AA874" i="16"/>
  <c r="AA866" i="16"/>
  <c r="AA858" i="16"/>
  <c r="AA850" i="16"/>
  <c r="AA842" i="16"/>
  <c r="AA834" i="16"/>
  <c r="AA826" i="16"/>
  <c r="AA818" i="16"/>
  <c r="AA810" i="16"/>
  <c r="AA802" i="16"/>
  <c r="AA794" i="16"/>
  <c r="AA786" i="16"/>
  <c r="AA778" i="16"/>
  <c r="AA770" i="16"/>
  <c r="AA762" i="16"/>
  <c r="AA754" i="16"/>
  <c r="AA746" i="16"/>
  <c r="AA738" i="16"/>
  <c r="AA730" i="16"/>
  <c r="AA722" i="16"/>
  <c r="AA714" i="16"/>
  <c r="AA706" i="16"/>
  <c r="AA698" i="16"/>
  <c r="AA690" i="16"/>
  <c r="AA682" i="16"/>
  <c r="AA674" i="16"/>
  <c r="AA666" i="16"/>
  <c r="AA658" i="16"/>
  <c r="AA650" i="16"/>
  <c r="AA642" i="16"/>
  <c r="AA634" i="16"/>
  <c r="AA626" i="16"/>
  <c r="AA618" i="16"/>
  <c r="AA610" i="16"/>
  <c r="AA602" i="16"/>
  <c r="AA594" i="16"/>
  <c r="AA586" i="16"/>
  <c r="AA578" i="16"/>
  <c r="AA570" i="16"/>
  <c r="AA562" i="16"/>
  <c r="AA554" i="16"/>
  <c r="AA546" i="16"/>
  <c r="AA538" i="16"/>
  <c r="AA530" i="16"/>
  <c r="AA522" i="16"/>
  <c r="AA514" i="16"/>
  <c r="AA506" i="16"/>
  <c r="AA498" i="16"/>
  <c r="AA490" i="16"/>
  <c r="AA482" i="16"/>
  <c r="AA474" i="16"/>
  <c r="AA466" i="16"/>
  <c r="AA458" i="16"/>
  <c r="AA450" i="16"/>
  <c r="AA442" i="16"/>
  <c r="AA434" i="16"/>
  <c r="AA426" i="16"/>
  <c r="AA418" i="16"/>
  <c r="AA410" i="16"/>
  <c r="AA402" i="16"/>
  <c r="AA394" i="16"/>
  <c r="AA386" i="16"/>
  <c r="AA378" i="16"/>
  <c r="AA370" i="16"/>
  <c r="AA362" i="16"/>
  <c r="AA354" i="16"/>
  <c r="AA346" i="16"/>
  <c r="AA338" i="16"/>
  <c r="AA330" i="16"/>
  <c r="AA322" i="16"/>
  <c r="AA314" i="16"/>
  <c r="AA306" i="16"/>
  <c r="AA298" i="16"/>
  <c r="AA290" i="16"/>
  <c r="AA282" i="16"/>
  <c r="AA274" i="16"/>
  <c r="AA266" i="16"/>
  <c r="AA258" i="16"/>
  <c r="AA250" i="16"/>
  <c r="AA242" i="16"/>
  <c r="AA234" i="16"/>
  <c r="AA226" i="16"/>
  <c r="AA218" i="16"/>
  <c r="AA210" i="16"/>
  <c r="AA202" i="16"/>
  <c r="AA194" i="16"/>
  <c r="AA186" i="16"/>
  <c r="AA178" i="16"/>
  <c r="AA170" i="16"/>
  <c r="AA162" i="16"/>
  <c r="AA154" i="16"/>
  <c r="AA146" i="16"/>
  <c r="AA138" i="16"/>
  <c r="AA130" i="16"/>
  <c r="AA122" i="16"/>
  <c r="AA114" i="16"/>
  <c r="AA106" i="16"/>
  <c r="AA98" i="16"/>
  <c r="AA90" i="16"/>
  <c r="AA82" i="16"/>
  <c r="AA74" i="16"/>
  <c r="AA66" i="16"/>
  <c r="AA58" i="16"/>
  <c r="AA50" i="16"/>
  <c r="AA42" i="16"/>
  <c r="AA34" i="16"/>
  <c r="AA26" i="16"/>
  <c r="AA1531" i="16"/>
  <c r="AA1522" i="16"/>
  <c r="AA1513" i="16"/>
  <c r="AA1504" i="16"/>
  <c r="AA1495" i="16"/>
  <c r="AA1485" i="16"/>
  <c r="AA1476" i="16"/>
  <c r="AA1467" i="16"/>
  <c r="AA1458" i="16"/>
  <c r="AA1449" i="16"/>
  <c r="AA1440" i="16"/>
  <c r="AA1431" i="16"/>
  <c r="AA1421" i="16"/>
  <c r="AA1412" i="16"/>
  <c r="AA1403" i="16"/>
  <c r="AA1394" i="16"/>
  <c r="AA1385" i="16"/>
  <c r="AA1376" i="16"/>
  <c r="AA1367" i="16"/>
  <c r="AA1357" i="16"/>
  <c r="AA1348" i="16"/>
  <c r="AA1339" i="16"/>
  <c r="AA1330" i="16"/>
  <c r="AA1321" i="16"/>
  <c r="AA1312" i="16"/>
  <c r="AA1303" i="16"/>
  <c r="AA1293" i="16"/>
  <c r="AA1284" i="16"/>
  <c r="AA1275" i="16"/>
  <c r="AA1266" i="16"/>
  <c r="AA1257" i="16"/>
  <c r="AA1249" i="16"/>
  <c r="AA1241" i="16"/>
  <c r="AA1233" i="16"/>
  <c r="AA1225" i="16"/>
  <c r="AA1217" i="16"/>
  <c r="AA1209" i="16"/>
  <c r="AA1201" i="16"/>
  <c r="AA1193" i="16"/>
  <c r="AA1185" i="16"/>
  <c r="AA1177" i="16"/>
  <c r="AA1169" i="16"/>
  <c r="AA1161" i="16"/>
  <c r="AA1153" i="16"/>
  <c r="AA1145" i="16"/>
  <c r="AA1137" i="16"/>
  <c r="AA1129" i="16"/>
  <c r="AA1121" i="16"/>
  <c r="AA1113" i="16"/>
  <c r="AA1105" i="16"/>
  <c r="AA1097" i="16"/>
  <c r="AA1089" i="16"/>
  <c r="AA1081" i="16"/>
  <c r="AA1073" i="16"/>
  <c r="AA1065" i="16"/>
  <c r="AA1057" i="16"/>
  <c r="AA1049" i="16"/>
  <c r="AA1041" i="16"/>
  <c r="AA1033" i="16"/>
  <c r="AA1025" i="16"/>
  <c r="AA1017" i="16"/>
  <c r="AA1009" i="16"/>
  <c r="AA1001" i="16"/>
  <c r="AA993" i="16"/>
  <c r="AA985" i="16"/>
  <c r="AA977" i="16"/>
  <c r="AA969" i="16"/>
  <c r="AA961" i="16"/>
  <c r="AA953" i="16"/>
  <c r="AA945" i="16"/>
  <c r="AA937" i="16"/>
  <c r="AA1528" i="16"/>
  <c r="AA1512" i="16"/>
  <c r="AA1499" i="16"/>
  <c r="AA1483" i="16"/>
  <c r="AA1471" i="16"/>
  <c r="AA1455" i="16"/>
  <c r="AA1439" i="16"/>
  <c r="AA1426" i="16"/>
  <c r="AA1410" i="16"/>
  <c r="AA1397" i="16"/>
  <c r="AA1381" i="16"/>
  <c r="AA1365" i="16"/>
  <c r="AA1353" i="16"/>
  <c r="AA1337" i="16"/>
  <c r="AA1324" i="16"/>
  <c r="AA1308" i="16"/>
  <c r="AA1292" i="16"/>
  <c r="AA1280" i="16"/>
  <c r="AA1264" i="16"/>
  <c r="AA1252" i="16"/>
  <c r="AA1240" i="16"/>
  <c r="AA1230" i="16"/>
  <c r="AA1220" i="16"/>
  <c r="AA1208" i="16"/>
  <c r="AA1198" i="16"/>
  <c r="AA1188" i="16"/>
  <c r="AA1176" i="16"/>
  <c r="AA1166" i="16"/>
  <c r="AA1156" i="16"/>
  <c r="AA1144" i="16"/>
  <c r="AA1134" i="16"/>
  <c r="AA1124" i="16"/>
  <c r="AA1112" i="16"/>
  <c r="AA1102" i="16"/>
  <c r="AA1092" i="16"/>
  <c r="AA1080" i="16"/>
  <c r="AA1070" i="16"/>
  <c r="AA1060" i="16"/>
  <c r="AA1048" i="16"/>
  <c r="AA1038" i="16"/>
  <c r="AA1028" i="16"/>
  <c r="AA1016" i="16"/>
  <c r="AA1006" i="16"/>
  <c r="AA996" i="16"/>
  <c r="AA984" i="16"/>
  <c r="AA974" i="16"/>
  <c r="AA964" i="16"/>
  <c r="AA952" i="16"/>
  <c r="AA942" i="16"/>
  <c r="AA932" i="16"/>
  <c r="AA923" i="16"/>
  <c r="AA913" i="16"/>
  <c r="AA904" i="16"/>
  <c r="AA895" i="16"/>
  <c r="AA886" i="16"/>
  <c r="AA877" i="16"/>
  <c r="AA868" i="16"/>
  <c r="AA859" i="16"/>
  <c r="AA849" i="16"/>
  <c r="AA840" i="16"/>
  <c r="AA831" i="16"/>
  <c r="AA822" i="16"/>
  <c r="AA813" i="16"/>
  <c r="AA804" i="16"/>
  <c r="AA795" i="16"/>
  <c r="AA785" i="16"/>
  <c r="AA776" i="16"/>
  <c r="AA767" i="16"/>
  <c r="AA758" i="16"/>
  <c r="AA749" i="16"/>
  <c r="AA740" i="16"/>
  <c r="AA731" i="16"/>
  <c r="AA721" i="16"/>
  <c r="AA712" i="16"/>
  <c r="AA703" i="16"/>
  <c r="AA694" i="16"/>
  <c r="AA685" i="16"/>
  <c r="AA676" i="16"/>
  <c r="AA667" i="16"/>
  <c r="AA657" i="16"/>
  <c r="AA648" i="16"/>
  <c r="AA639" i="16"/>
  <c r="AA630" i="16"/>
  <c r="AA621" i="16"/>
  <c r="AA612" i="16"/>
  <c r="AA603" i="16"/>
  <c r="AA593" i="16"/>
  <c r="AA584" i="16"/>
  <c r="AA575" i="16"/>
  <c r="AA566" i="16"/>
  <c r="AA557" i="16"/>
  <c r="AA548" i="16"/>
  <c r="AA539" i="16"/>
  <c r="AA529" i="16"/>
  <c r="AA520" i="16"/>
  <c r="AA511" i="16"/>
  <c r="AA502" i="16"/>
  <c r="AA493" i="16"/>
  <c r="AA484" i="16"/>
  <c r="AA475" i="16"/>
  <c r="AA465" i="16"/>
  <c r="AA456" i="16"/>
  <c r="AA447" i="16"/>
  <c r="AA438" i="16"/>
  <c r="AA429" i="16"/>
  <c r="AA420" i="16"/>
  <c r="AA411" i="16"/>
  <c r="AA401" i="16"/>
  <c r="AA392" i="16"/>
  <c r="AA383" i="16"/>
  <c r="AA374" i="16"/>
  <c r="AA365" i="16"/>
  <c r="AA356" i="16"/>
  <c r="AA347" i="16"/>
  <c r="AA337" i="16"/>
  <c r="AA328" i="16"/>
  <c r="AA319" i="16"/>
  <c r="AA310" i="16"/>
  <c r="AA301" i="16"/>
  <c r="AA292" i="16"/>
  <c r="AA1527" i="16"/>
  <c r="AA1511" i="16"/>
  <c r="AA1498" i="16"/>
  <c r="AA1482" i="16"/>
  <c r="AA1466" i="16"/>
  <c r="AA1453" i="16"/>
  <c r="AA1437" i="16"/>
  <c r="AA1425" i="16"/>
  <c r="AA1409" i="16"/>
  <c r="AA1393" i="16"/>
  <c r="AA1380" i="16"/>
  <c r="AA1364" i="16"/>
  <c r="AA1352" i="16"/>
  <c r="AA1336" i="16"/>
  <c r="AA1320" i="16"/>
  <c r="AA1307" i="16"/>
  <c r="AA1291" i="16"/>
  <c r="AA1279" i="16"/>
  <c r="AA1263" i="16"/>
  <c r="AA1251" i="16"/>
  <c r="AA1239" i="16"/>
  <c r="AA1229" i="16"/>
  <c r="AA1219" i="16"/>
  <c r="AA1207" i="16"/>
  <c r="AA1197" i="16"/>
  <c r="AA1187" i="16"/>
  <c r="AA1175" i="16"/>
  <c r="AA1165" i="16"/>
  <c r="AA1155" i="16"/>
  <c r="AA1143" i="16"/>
  <c r="AA1133" i="16"/>
  <c r="AA1123" i="16"/>
  <c r="AA1111" i="16"/>
  <c r="AA1101" i="16"/>
  <c r="AA1091" i="16"/>
  <c r="AA1079" i="16"/>
  <c r="AA1069" i="16"/>
  <c r="AA1059" i="16"/>
  <c r="AA1047" i="16"/>
  <c r="AA1037" i="16"/>
  <c r="AA1027" i="16"/>
  <c r="AA1015" i="16"/>
  <c r="AA1005" i="16"/>
  <c r="AA1525" i="16"/>
  <c r="AA1509" i="16"/>
  <c r="AA1493" i="16"/>
  <c r="AA1481" i="16"/>
  <c r="AA1465" i="16"/>
  <c r="AA1452" i="16"/>
  <c r="AA1436" i="16"/>
  <c r="AA1420" i="16"/>
  <c r="AA1408" i="16"/>
  <c r="AA1392" i="16"/>
  <c r="AA1379" i="16"/>
  <c r="AA1363" i="16"/>
  <c r="AA1347" i="16"/>
  <c r="AA1335" i="16"/>
  <c r="AA1319" i="16"/>
  <c r="AA1306" i="16"/>
  <c r="AA1290" i="16"/>
  <c r="AA1274" i="16"/>
  <c r="AA1261" i="16"/>
  <c r="AA1248" i="16"/>
  <c r="AA1238" i="16"/>
  <c r="AA1228" i="16"/>
  <c r="AA1216" i="16"/>
  <c r="AA1206" i="16"/>
  <c r="AA1196" i="16"/>
  <c r="AA1184" i="16"/>
  <c r="AA1174" i="16"/>
  <c r="AA1164" i="16"/>
  <c r="AA1152" i="16"/>
  <c r="AA1142" i="16"/>
  <c r="AA1132" i="16"/>
  <c r="AA1120" i="16"/>
  <c r="AA1110" i="16"/>
  <c r="AA1100" i="16"/>
  <c r="AA1088" i="16"/>
  <c r="AA1078" i="16"/>
  <c r="AA1068" i="16"/>
  <c r="AA1056" i="16"/>
  <c r="AA1046" i="16"/>
  <c r="AA1036" i="16"/>
  <c r="AA1024" i="16"/>
  <c r="AA1014" i="16"/>
  <c r="AA1004" i="16"/>
  <c r="AA992" i="16"/>
  <c r="AA982" i="16"/>
  <c r="AA972" i="16"/>
  <c r="AA960" i="16"/>
  <c r="AA950" i="16"/>
  <c r="AA940" i="16"/>
  <c r="AA929" i="16"/>
  <c r="AA920" i="16"/>
  <c r="AA911" i="16"/>
  <c r="AA902" i="16"/>
  <c r="AA893" i="16"/>
  <c r="AA884" i="16"/>
  <c r="AA875" i="16"/>
  <c r="AA865" i="16"/>
  <c r="AA856" i="16"/>
  <c r="AA847" i="16"/>
  <c r="AA838" i="16"/>
  <c r="AA829" i="16"/>
  <c r="AA820" i="16"/>
  <c r="AA811" i="16"/>
  <c r="AA801" i="16"/>
  <c r="AA792" i="16"/>
  <c r="AA783" i="16"/>
  <c r="AA774" i="16"/>
  <c r="AA765" i="16"/>
  <c r="AA756" i="16"/>
  <c r="AA747" i="16"/>
  <c r="AA737" i="16"/>
  <c r="AA728" i="16"/>
  <c r="AA719" i="16"/>
  <c r="AA710" i="16"/>
  <c r="AA701" i="16"/>
  <c r="AA692" i="16"/>
  <c r="AA683" i="16"/>
  <c r="AA673" i="16"/>
  <c r="AA664" i="16"/>
  <c r="AA655" i="16"/>
  <c r="AA646" i="16"/>
  <c r="AA637" i="16"/>
  <c r="AA628" i="16"/>
  <c r="AA619" i="16"/>
  <c r="AA609" i="16"/>
  <c r="AA600" i="16"/>
  <c r="AA591" i="16"/>
  <c r="AA582" i="16"/>
  <c r="AA573" i="16"/>
  <c r="AA564" i="16"/>
  <c r="AA555" i="16"/>
  <c r="AA545" i="16"/>
  <c r="AA536" i="16"/>
  <c r="AA527" i="16"/>
  <c r="AA518" i="16"/>
  <c r="AA509" i="16"/>
  <c r="AA500" i="16"/>
  <c r="AA491" i="16"/>
  <c r="AA481" i="16"/>
  <c r="AA472" i="16"/>
  <c r="AA463" i="16"/>
  <c r="AA454" i="16"/>
  <c r="AA445" i="16"/>
  <c r="AA436" i="16"/>
  <c r="AA427" i="16"/>
  <c r="AA417" i="16"/>
  <c r="AA408" i="16"/>
  <c r="AA399" i="16"/>
  <c r="AA390" i="16"/>
  <c r="AA381" i="16"/>
  <c r="AA372" i="16"/>
  <c r="AA363" i="16"/>
  <c r="AA353" i="16"/>
  <c r="AA344" i="16"/>
  <c r="AA335" i="16"/>
  <c r="AA326" i="16"/>
  <c r="AA317" i="16"/>
  <c r="AA1520" i="16"/>
  <c r="AA1507" i="16"/>
  <c r="AA1491" i="16"/>
  <c r="AA1475" i="16"/>
  <c r="AA1463" i="16"/>
  <c r="AA1447" i="16"/>
  <c r="AA1434" i="16"/>
  <c r="AA1418" i="16"/>
  <c r="AA1402" i="16"/>
  <c r="AA1389" i="16"/>
  <c r="AA1373" i="16"/>
  <c r="AA1361" i="16"/>
  <c r="AA1345" i="16"/>
  <c r="AA1329" i="16"/>
  <c r="AA1316" i="16"/>
  <c r="AA1300" i="16"/>
  <c r="AA1288" i="16"/>
  <c r="AA1272" i="16"/>
  <c r="AA1256" i="16"/>
  <c r="AA1246" i="16"/>
  <c r="AA1236" i="16"/>
  <c r="AA1224" i="16"/>
  <c r="AA1214" i="16"/>
  <c r="AA1204" i="16"/>
  <c r="AA1192" i="16"/>
  <c r="AA1182" i="16"/>
  <c r="AA1172" i="16"/>
  <c r="AA1160" i="16"/>
  <c r="AA1150" i="16"/>
  <c r="AA1140" i="16"/>
  <c r="AA1128" i="16"/>
  <c r="AA1118" i="16"/>
  <c r="AA1108" i="16"/>
  <c r="AA1096" i="16"/>
  <c r="AA1086" i="16"/>
  <c r="AA1076" i="16"/>
  <c r="AA1064" i="16"/>
  <c r="AA1054" i="16"/>
  <c r="AA1044" i="16"/>
  <c r="AA1032" i="16"/>
  <c r="AA1022" i="16"/>
  <c r="AA1012" i="16"/>
  <c r="AA1000" i="16"/>
  <c r="AA990" i="16"/>
  <c r="AA980" i="16"/>
  <c r="AA968" i="16"/>
  <c r="AA958" i="16"/>
  <c r="AA948" i="16"/>
  <c r="AA936" i="16"/>
  <c r="AA927" i="16"/>
  <c r="AA918" i="16"/>
  <c r="AA909" i="16"/>
  <c r="AA900" i="16"/>
  <c r="AA891" i="16"/>
  <c r="AA881" i="16"/>
  <c r="AA872" i="16"/>
  <c r="AA863" i="16"/>
  <c r="AA854" i="16"/>
  <c r="AA845" i="16"/>
  <c r="AA836" i="16"/>
  <c r="AA827" i="16"/>
  <c r="AA817" i="16"/>
  <c r="AA808" i="16"/>
  <c r="AA799" i="16"/>
  <c r="AA790" i="16"/>
  <c r="AA781" i="16"/>
  <c r="AA772" i="16"/>
  <c r="AA763" i="16"/>
  <c r="AA753" i="16"/>
  <c r="AA744" i="16"/>
  <c r="AA735" i="16"/>
  <c r="AA726" i="16"/>
  <c r="AA717" i="16"/>
  <c r="AA708" i="16"/>
  <c r="AA699" i="16"/>
  <c r="AA689" i="16"/>
  <c r="AA680" i="16"/>
  <c r="AA671" i="16"/>
  <c r="AA662" i="16"/>
  <c r="AA653" i="16"/>
  <c r="AA644" i="16"/>
  <c r="AA635" i="16"/>
  <c r="AA625" i="16"/>
  <c r="AA616" i="16"/>
  <c r="AA607" i="16"/>
  <c r="AA598" i="16"/>
  <c r="AA589" i="16"/>
  <c r="AA580" i="16"/>
  <c r="AA571" i="16"/>
  <c r="AA561" i="16"/>
  <c r="AA552" i="16"/>
  <c r="AA543" i="16"/>
  <c r="AA534" i="16"/>
  <c r="AA525" i="16"/>
  <c r="AA516" i="16"/>
  <c r="AA507" i="16"/>
  <c r="AA497" i="16"/>
  <c r="AA488" i="16"/>
  <c r="AA479" i="16"/>
  <c r="AA1535" i="16"/>
  <c r="AA1519" i="16"/>
  <c r="AA1503" i="16"/>
  <c r="AA1490" i="16"/>
  <c r="AA1474" i="16"/>
  <c r="AA1461" i="16"/>
  <c r="AA1445" i="16"/>
  <c r="AA1429" i="16"/>
  <c r="AA1417" i="16"/>
  <c r="AA1401" i="16"/>
  <c r="AA1388" i="16"/>
  <c r="AA1372" i="16"/>
  <c r="AA1356" i="16"/>
  <c r="AA1344" i="16"/>
  <c r="AA1328" i="16"/>
  <c r="AA1315" i="16"/>
  <c r="AA1299" i="16"/>
  <c r="AA1283" i="16"/>
  <c r="AA1271" i="16"/>
  <c r="AA1255" i="16"/>
  <c r="AA1245" i="16"/>
  <c r="AA1235" i="16"/>
  <c r="AA1223" i="16"/>
  <c r="AA1213" i="16"/>
  <c r="AA1203" i="16"/>
  <c r="AA1191" i="16"/>
  <c r="AA1181" i="16"/>
  <c r="AA1171" i="16"/>
  <c r="AA1159" i="16"/>
  <c r="AA1149" i="16"/>
  <c r="AA1139" i="16"/>
  <c r="AA1127" i="16"/>
  <c r="AA1117" i="16"/>
  <c r="AA1107" i="16"/>
  <c r="AA1095" i="16"/>
  <c r="AA1085" i="16"/>
  <c r="AA1075" i="16"/>
  <c r="AA1063" i="16"/>
  <c r="AA1053" i="16"/>
  <c r="AA1043" i="16"/>
  <c r="AA1031" i="16"/>
  <c r="AA1530" i="16"/>
  <c r="AA1517" i="16"/>
  <c r="AA1501" i="16"/>
  <c r="AA1489" i="16"/>
  <c r="AA1473" i="16"/>
  <c r="AA1457" i="16"/>
  <c r="AA1444" i="16"/>
  <c r="AA1428" i="16"/>
  <c r="AA1416" i="16"/>
  <c r="AA1400" i="16"/>
  <c r="AA1384" i="16"/>
  <c r="AA1371" i="16"/>
  <c r="AA1355" i="16"/>
  <c r="AA1343" i="16"/>
  <c r="AA1327" i="16"/>
  <c r="AA1311" i="16"/>
  <c r="AA1298" i="16"/>
  <c r="AA1282" i="16"/>
  <c r="AA1269" i="16"/>
  <c r="AA1254" i="16"/>
  <c r="AA1244" i="16"/>
  <c r="AA1232" i="16"/>
  <c r="AA1222" i="16"/>
  <c r="AA1212" i="16"/>
  <c r="AA1200" i="16"/>
  <c r="AA1190" i="16"/>
  <c r="AA1180" i="16"/>
  <c r="AA1168" i="16"/>
  <c r="AA1158" i="16"/>
  <c r="AA1148" i="16"/>
  <c r="AA1136" i="16"/>
  <c r="AA1126" i="16"/>
  <c r="AA1116" i="16"/>
  <c r="AA1104" i="16"/>
  <c r="AA1094" i="16"/>
  <c r="AA1084" i="16"/>
  <c r="AA1072" i="16"/>
  <c r="AA1062" i="16"/>
  <c r="AA1052" i="16"/>
  <c r="AA1040" i="16"/>
  <c r="AA1030" i="16"/>
  <c r="AA1020" i="16"/>
  <c r="AA1008" i="16"/>
  <c r="AA998" i="16"/>
  <c r="AA988" i="16"/>
  <c r="AA976" i="16"/>
  <c r="AA966" i="16"/>
  <c r="AA956" i="16"/>
  <c r="AA944" i="16"/>
  <c r="AA934" i="16"/>
  <c r="AA925" i="16"/>
  <c r="AA916" i="16"/>
  <c r="AA907" i="16"/>
  <c r="AA897" i="16"/>
  <c r="AA888" i="16"/>
  <c r="AA879" i="16"/>
  <c r="AA870" i="16"/>
  <c r="AA861" i="16"/>
  <c r="AA852" i="16"/>
  <c r="AA843" i="16"/>
  <c r="AA833" i="16"/>
  <c r="AA824" i="16"/>
  <c r="AA815" i="16"/>
  <c r="AA806" i="16"/>
  <c r="AA797" i="16"/>
  <c r="AA788" i="16"/>
  <c r="AA779" i="16"/>
  <c r="AA769" i="16"/>
  <c r="AA760" i="16"/>
  <c r="AA751" i="16"/>
  <c r="AA742" i="16"/>
  <c r="AA733" i="16"/>
  <c r="AA724" i="16"/>
  <c r="AA715" i="16"/>
  <c r="AA705" i="16"/>
  <c r="AA696" i="16"/>
  <c r="AA687" i="16"/>
  <c r="AA678" i="16"/>
  <c r="AA669" i="16"/>
  <c r="AA660" i="16"/>
  <c r="AA651" i="16"/>
  <c r="AA641" i="16"/>
  <c r="AA632" i="16"/>
  <c r="AA623" i="16"/>
  <c r="AA614" i="16"/>
  <c r="AA605" i="16"/>
  <c r="AA596" i="16"/>
  <c r="AA587" i="16"/>
  <c r="AA577" i="16"/>
  <c r="AA568" i="16"/>
  <c r="AA559" i="16"/>
  <c r="AA550" i="16"/>
  <c r="AA541" i="16"/>
  <c r="AA532" i="16"/>
  <c r="AA523" i="16"/>
  <c r="AA513" i="16"/>
  <c r="AA504" i="16"/>
  <c r="AA495" i="16"/>
  <c r="AA486" i="16"/>
  <c r="AA477" i="16"/>
  <c r="AA468" i="16"/>
  <c r="AA459" i="16"/>
  <c r="AA449" i="16"/>
  <c r="AA440" i="16"/>
  <c r="AA431" i="16"/>
  <c r="AA422" i="16"/>
  <c r="AA413" i="16"/>
  <c r="AA404" i="16"/>
  <c r="AA395" i="16"/>
  <c r="AA385" i="16"/>
  <c r="AA1529" i="16"/>
  <c r="AA1516" i="16"/>
  <c r="AA1500" i="16"/>
  <c r="AA1484" i="16"/>
  <c r="AA1472" i="16"/>
  <c r="AA1456" i="16"/>
  <c r="AA1443" i="16"/>
  <c r="AA1427" i="16"/>
  <c r="AA1411" i="16"/>
  <c r="AA1399" i="16"/>
  <c r="AA1383" i="16"/>
  <c r="AA1370" i="16"/>
  <c r="AA1354" i="16"/>
  <c r="AA1338" i="16"/>
  <c r="AA1325" i="16"/>
  <c r="AA1309" i="16"/>
  <c r="AA1297" i="16"/>
  <c r="AA1281" i="16"/>
  <c r="AA1265" i="16"/>
  <c r="AA1253" i="16"/>
  <c r="AA1243" i="16"/>
  <c r="AA1231" i="16"/>
  <c r="AA1221" i="16"/>
  <c r="AA1211" i="16"/>
  <c r="AA1199" i="16"/>
  <c r="AA1189" i="16"/>
  <c r="AA1179" i="16"/>
  <c r="AA1167" i="16"/>
  <c r="AA1157" i="16"/>
  <c r="AA1147" i="16"/>
  <c r="AA1135" i="16"/>
  <c r="AA1125" i="16"/>
  <c r="AA1115" i="16"/>
  <c r="AA1103" i="16"/>
  <c r="AA1093" i="16"/>
  <c r="AA1083" i="16"/>
  <c r="AA1071" i="16"/>
  <c r="AA1061" i="16"/>
  <c r="AA1051" i="16"/>
  <c r="AA1039" i="16"/>
  <c r="AA1029" i="16"/>
  <c r="AA1019" i="16"/>
  <c r="AA1007" i="16"/>
  <c r="AA997" i="16"/>
  <c r="AA987" i="16"/>
  <c r="AA975" i="16"/>
  <c r="AA965" i="16"/>
  <c r="AA955" i="16"/>
  <c r="AA943" i="16"/>
  <c r="AA933" i="16"/>
  <c r="AA924" i="16"/>
  <c r="AA915" i="16"/>
  <c r="AA905" i="16"/>
  <c r="AA896" i="16"/>
  <c r="AA887" i="16"/>
  <c r="AA878" i="16"/>
  <c r="AA869" i="16"/>
  <c r="AA860" i="16"/>
  <c r="AA851" i="16"/>
  <c r="AA841" i="16"/>
  <c r="AA832" i="16"/>
  <c r="AA823" i="16"/>
  <c r="AA814" i="16"/>
  <c r="AA805" i="16"/>
  <c r="AA796" i="16"/>
  <c r="AA787" i="16"/>
  <c r="AA777" i="16"/>
  <c r="AA768" i="16"/>
  <c r="AA759" i="16"/>
  <c r="AA750" i="16"/>
  <c r="AA741" i="16"/>
  <c r="AA732" i="16"/>
  <c r="AA723" i="16"/>
  <c r="AA713" i="16"/>
  <c r="AA704" i="16"/>
  <c r="AA695" i="16"/>
  <c r="AA686" i="16"/>
  <c r="AA677" i="16"/>
  <c r="AA668" i="16"/>
  <c r="AA659" i="16"/>
  <c r="AA649" i="16"/>
  <c r="AA640" i="16"/>
  <c r="AA631" i="16"/>
  <c r="AA622" i="16"/>
  <c r="AA613" i="16"/>
  <c r="AA604" i="16"/>
  <c r="AA595" i="16"/>
  <c r="AA585" i="16"/>
  <c r="AA576" i="16"/>
  <c r="AA567" i="16"/>
  <c r="AA558" i="16"/>
  <c r="AA549" i="16"/>
  <c r="AA540" i="16"/>
  <c r="AA531" i="16"/>
  <c r="AA521" i="16"/>
  <c r="AA512" i="16"/>
  <c r="AA503" i="16"/>
  <c r="AA494" i="16"/>
  <c r="AA485" i="16"/>
  <c r="AA476" i="16"/>
  <c r="AA467" i="16"/>
  <c r="AA457" i="16"/>
  <c r="AA448" i="16"/>
  <c r="AA439" i="16"/>
  <c r="AA430" i="16"/>
  <c r="AA421" i="16"/>
  <c r="AA412" i="16"/>
  <c r="AA403" i="16"/>
  <c r="AA393" i="16"/>
  <c r="AA384" i="16"/>
  <c r="AA375" i="16"/>
  <c r="AA366" i="16"/>
  <c r="AA357" i="16"/>
  <c r="AA348" i="16"/>
  <c r="AA339" i="16"/>
  <c r="AA1435" i="16"/>
  <c r="AA1317" i="16"/>
  <c r="AA1215" i="16"/>
  <c r="AA1131" i="16"/>
  <c r="AA1045" i="16"/>
  <c r="AA995" i="16"/>
  <c r="AA967" i="16"/>
  <c r="AA939" i="16"/>
  <c r="AA912" i="16"/>
  <c r="AA889" i="16"/>
  <c r="AA864" i="16"/>
  <c r="AA839" i="16"/>
  <c r="AA816" i="16"/>
  <c r="AA791" i="16"/>
  <c r="AA766" i="16"/>
  <c r="AA743" i="16"/>
  <c r="AA718" i="16"/>
  <c r="AA693" i="16"/>
  <c r="AA670" i="16"/>
  <c r="AA645" i="16"/>
  <c r="AA620" i="16"/>
  <c r="AA597" i="16"/>
  <c r="AA572" i="16"/>
  <c r="AA547" i="16"/>
  <c r="AA524" i="16"/>
  <c r="AA499" i="16"/>
  <c r="AA473" i="16"/>
  <c r="AA455" i="16"/>
  <c r="AA437" i="16"/>
  <c r="AA419" i="16"/>
  <c r="AA400" i="16"/>
  <c r="AA382" i="16"/>
  <c r="AA368" i="16"/>
  <c r="AA352" i="16"/>
  <c r="AA340" i="16"/>
  <c r="AA325" i="16"/>
  <c r="AA313" i="16"/>
  <c r="AA303" i="16"/>
  <c r="AA293" i="16"/>
  <c r="AA283" i="16"/>
  <c r="AA273" i="16"/>
  <c r="AA264" i="16"/>
  <c r="AA255" i="16"/>
  <c r="AA246" i="16"/>
  <c r="AA237" i="16"/>
  <c r="AA228" i="16"/>
  <c r="AA219" i="16"/>
  <c r="AA209" i="16"/>
  <c r="AA200" i="16"/>
  <c r="AA191" i="16"/>
  <c r="AA182" i="16"/>
  <c r="AA173" i="16"/>
  <c r="AA164" i="16"/>
  <c r="AA155" i="16"/>
  <c r="AA145" i="16"/>
  <c r="AA136" i="16"/>
  <c r="AA127" i="16"/>
  <c r="AA118" i="16"/>
  <c r="AA109" i="16"/>
  <c r="AA100" i="16"/>
  <c r="AA91" i="16"/>
  <c r="AA81" i="16"/>
  <c r="AA72" i="16"/>
  <c r="AA63" i="16"/>
  <c r="AA54" i="16"/>
  <c r="AA45" i="16"/>
  <c r="AA36" i="16"/>
  <c r="AA27" i="16"/>
  <c r="AA18" i="16"/>
  <c r="AA10" i="16"/>
  <c r="AA1419" i="16"/>
  <c r="AA1301" i="16"/>
  <c r="AA1205" i="16"/>
  <c r="AA1119" i="16"/>
  <c r="AA1035" i="16"/>
  <c r="AA991" i="16"/>
  <c r="AA963" i="16"/>
  <c r="AA935" i="16"/>
  <c r="AA910" i="16"/>
  <c r="AA885" i="16"/>
  <c r="AA862" i="16"/>
  <c r="AA837" i="16"/>
  <c r="AA812" i="16"/>
  <c r="AA789" i="16"/>
  <c r="AA764" i="16"/>
  <c r="AA739" i="16"/>
  <c r="AA716" i="16"/>
  <c r="AA691" i="16"/>
  <c r="AA665" i="16"/>
  <c r="AA643" i="16"/>
  <c r="AA617" i="16"/>
  <c r="AA592" i="16"/>
  <c r="AA569" i="16"/>
  <c r="AA544" i="16"/>
  <c r="AA519" i="16"/>
  <c r="AA496" i="16"/>
  <c r="AA471" i="16"/>
  <c r="AA453" i="16"/>
  <c r="AA435" i="16"/>
  <c r="AA416" i="16"/>
  <c r="AA398" i="16"/>
  <c r="AA380" i="16"/>
  <c r="AA367" i="16"/>
  <c r="AA351" i="16"/>
  <c r="AA336" i="16"/>
  <c r="AA324" i="16"/>
  <c r="AA312" i="16"/>
  <c r="AA302" i="16"/>
  <c r="AA291" i="16"/>
  <c r="AA281" i="16"/>
  <c r="AA272" i="16"/>
  <c r="AA263" i="16"/>
  <c r="AA254" i="16"/>
  <c r="AA245" i="16"/>
  <c r="AA236" i="16"/>
  <c r="AA227" i="16"/>
  <c r="AA217" i="16"/>
  <c r="AA208" i="16"/>
  <c r="AA199" i="16"/>
  <c r="AA190" i="16"/>
  <c r="AA181" i="16"/>
  <c r="AA172" i="16"/>
  <c r="AA163" i="16"/>
  <c r="AA153" i="16"/>
  <c r="AA144" i="16"/>
  <c r="AA135" i="16"/>
  <c r="AA126" i="16"/>
  <c r="AA117" i="16"/>
  <c r="AA108" i="16"/>
  <c r="AA99" i="16"/>
  <c r="AA89" i="16"/>
  <c r="AA80" i="16"/>
  <c r="AA71" i="16"/>
  <c r="AA62" i="16"/>
  <c r="AA53" i="16"/>
  <c r="AA44" i="16"/>
  <c r="AA35" i="16"/>
  <c r="AA25" i="16"/>
  <c r="AA17" i="16"/>
  <c r="AA9" i="16"/>
  <c r="AA2" i="16"/>
  <c r="AA1521" i="16"/>
  <c r="AA1407" i="16"/>
  <c r="AA1289" i="16"/>
  <c r="AA1195" i="16"/>
  <c r="AA1109" i="16"/>
  <c r="AA1023" i="16"/>
  <c r="AA989" i="16"/>
  <c r="AA959" i="16"/>
  <c r="AA931" i="16"/>
  <c r="AA908" i="16"/>
  <c r="AA883" i="16"/>
  <c r="AA857" i="16"/>
  <c r="AA835" i="16"/>
  <c r="AA809" i="16"/>
  <c r="AA784" i="16"/>
  <c r="AA761" i="16"/>
  <c r="AA736" i="16"/>
  <c r="AA711" i="16"/>
  <c r="AA688" i="16"/>
  <c r="AA663" i="16"/>
  <c r="AA638" i="16"/>
  <c r="AA615" i="16"/>
  <c r="AA590" i="16"/>
  <c r="AA565" i="16"/>
  <c r="AA542" i="16"/>
  <c r="AA517" i="16"/>
  <c r="AA492" i="16"/>
  <c r="AA470" i="16"/>
  <c r="AA452" i="16"/>
  <c r="AA433" i="16"/>
  <c r="AA415" i="16"/>
  <c r="AA397" i="16"/>
  <c r="AA379" i="16"/>
  <c r="AA364" i="16"/>
  <c r="AA350" i="16"/>
  <c r="AA334" i="16"/>
  <c r="AA323" i="16"/>
  <c r="AA311" i="16"/>
  <c r="AA300" i="16"/>
  <c r="AA289" i="16"/>
  <c r="AA280" i="16"/>
  <c r="AA271" i="16"/>
  <c r="AA262" i="16"/>
  <c r="AA253" i="16"/>
  <c r="AA244" i="16"/>
  <c r="AA235" i="16"/>
  <c r="AA225" i="16"/>
  <c r="AA216" i="16"/>
  <c r="AA207" i="16"/>
  <c r="AA198" i="16"/>
  <c r="AA189" i="16"/>
  <c r="AA180" i="16"/>
  <c r="AA171" i="16"/>
  <c r="AA161" i="16"/>
  <c r="AA152" i="16"/>
  <c r="AA143" i="16"/>
  <c r="AA134" i="16"/>
  <c r="AA125" i="16"/>
  <c r="AA116" i="16"/>
  <c r="AA107" i="16"/>
  <c r="AA97" i="16"/>
  <c r="AA88" i="16"/>
  <c r="AA79" i="16"/>
  <c r="AA70" i="16"/>
  <c r="AA61" i="16"/>
  <c r="AA52" i="16"/>
  <c r="AA43" i="16"/>
  <c r="AA33" i="16"/>
  <c r="AA24" i="16"/>
  <c r="AA16" i="16"/>
  <c r="AA8" i="16"/>
  <c r="AA1508" i="16"/>
  <c r="AA1391" i="16"/>
  <c r="AA1273" i="16"/>
  <c r="AA1183" i="16"/>
  <c r="AA1099" i="16"/>
  <c r="AA1021" i="16"/>
  <c r="AA983" i="16"/>
  <c r="AA957" i="16"/>
  <c r="AA928" i="16"/>
  <c r="AA903" i="16"/>
  <c r="AA880" i="16"/>
  <c r="AA855" i="16"/>
  <c r="AA830" i="16"/>
  <c r="AA807" i="16"/>
  <c r="AA782" i="16"/>
  <c r="AA757" i="16"/>
  <c r="AA734" i="16"/>
  <c r="AA709" i="16"/>
  <c r="AA684" i="16"/>
  <c r="AA661" i="16"/>
  <c r="AA636" i="16"/>
  <c r="AA611" i="16"/>
  <c r="AA588" i="16"/>
  <c r="AA563" i="16"/>
  <c r="AA537" i="16"/>
  <c r="AA515" i="16"/>
  <c r="AA489" i="16"/>
  <c r="AA469" i="16"/>
  <c r="AA451" i="16"/>
  <c r="AA432" i="16"/>
  <c r="AA414" i="16"/>
  <c r="AA396" i="16"/>
  <c r="AA377" i="16"/>
  <c r="AA361" i="16"/>
  <c r="AA349" i="16"/>
  <c r="AA333" i="16"/>
  <c r="AA321" i="16"/>
  <c r="AA309" i="16"/>
  <c r="AA299" i="16"/>
  <c r="AA288" i="16"/>
  <c r="AA279" i="16"/>
  <c r="AA270" i="16"/>
  <c r="AA261" i="16"/>
  <c r="AA252" i="16"/>
  <c r="AA243" i="16"/>
  <c r="AA233" i="16"/>
  <c r="AA224" i="16"/>
  <c r="AA215" i="16"/>
  <c r="AA206" i="16"/>
  <c r="AA197" i="16"/>
  <c r="AA188" i="16"/>
  <c r="AA179" i="16"/>
  <c r="AA169" i="16"/>
  <c r="AA160" i="16"/>
  <c r="AA151" i="16"/>
  <c r="AA142" i="16"/>
  <c r="AA133" i="16"/>
  <c r="AA124" i="16"/>
  <c r="AA115" i="16"/>
  <c r="AA1492" i="16"/>
  <c r="AA1375" i="16"/>
  <c r="AA1260" i="16"/>
  <c r="AA1173" i="16"/>
  <c r="AA1087" i="16"/>
  <c r="AA1013" i="16"/>
  <c r="AA981" i="16"/>
  <c r="AA951" i="16"/>
  <c r="AA926" i="16"/>
  <c r="AA901" i="16"/>
  <c r="AA876" i="16"/>
  <c r="AA853" i="16"/>
  <c r="AA828" i="16"/>
  <c r="AA803" i="16"/>
  <c r="AA780" i="16"/>
  <c r="AA755" i="16"/>
  <c r="AA729" i="16"/>
  <c r="AA707" i="16"/>
  <c r="AA681" i="16"/>
  <c r="AA656" i="16"/>
  <c r="AA633" i="16"/>
  <c r="AA608" i="16"/>
  <c r="AA583" i="16"/>
  <c r="AA560" i="16"/>
  <c r="AA535" i="16"/>
  <c r="AA510" i="16"/>
  <c r="AA487" i="16"/>
  <c r="AA464" i="16"/>
  <c r="AA446" i="16"/>
  <c r="AA428" i="16"/>
  <c r="AA409" i="16"/>
  <c r="AA391" i="16"/>
  <c r="AA376" i="16"/>
  <c r="AA360" i="16"/>
  <c r="AA345" i="16"/>
  <c r="AA332" i="16"/>
  <c r="AA320" i="16"/>
  <c r="AA308" i="16"/>
  <c r="AA297" i="16"/>
  <c r="AA287" i="16"/>
  <c r="AA278" i="16"/>
  <c r="AA269" i="16"/>
  <c r="AA260" i="16"/>
  <c r="AA251" i="16"/>
  <c r="AA241" i="16"/>
  <c r="AA232" i="16"/>
  <c r="AA223" i="16"/>
  <c r="AA214" i="16"/>
  <c r="AA205" i="16"/>
  <c r="AA196" i="16"/>
  <c r="AA187" i="16"/>
  <c r="AA177" i="16"/>
  <c r="AA168" i="16"/>
  <c r="AA159" i="16"/>
  <c r="AA150" i="16"/>
  <c r="AA141" i="16"/>
  <c r="AA132" i="16"/>
  <c r="AA123" i="16"/>
  <c r="AA113" i="16"/>
  <c r="AA104" i="16"/>
  <c r="AA95" i="16"/>
  <c r="AA86" i="16"/>
  <c r="AA77" i="16"/>
  <c r="AA68" i="16"/>
  <c r="AA59" i="16"/>
  <c r="AA49" i="16"/>
  <c r="AA40" i="16"/>
  <c r="AA31" i="16"/>
  <c r="AA22" i="16"/>
  <c r="AA14" i="16"/>
  <c r="AA6" i="16"/>
  <c r="AA1480" i="16"/>
  <c r="AA1362" i="16"/>
  <c r="AA1247" i="16"/>
  <c r="AA1163" i="16"/>
  <c r="AA1077" i="16"/>
  <c r="AA1011" i="16"/>
  <c r="AA979" i="16"/>
  <c r="AA949" i="16"/>
  <c r="AA921" i="16"/>
  <c r="AA899" i="16"/>
  <c r="AA873" i="16"/>
  <c r="AA848" i="16"/>
  <c r="AA825" i="16"/>
  <c r="AA800" i="16"/>
  <c r="AA775" i="16"/>
  <c r="AA752" i="16"/>
  <c r="AA727" i="16"/>
  <c r="AA702" i="16"/>
  <c r="AA679" i="16"/>
  <c r="AA654" i="16"/>
  <c r="AA629" i="16"/>
  <c r="AA606" i="16"/>
  <c r="AA581" i="16"/>
  <c r="AA556" i="16"/>
  <c r="AA533" i="16"/>
  <c r="AA508" i="16"/>
  <c r="AA483" i="16"/>
  <c r="AA462" i="16"/>
  <c r="AA444" i="16"/>
  <c r="AA425" i="16"/>
  <c r="AA407" i="16"/>
  <c r="AA389" i="16"/>
  <c r="AA373" i="16"/>
  <c r="AA359" i="16"/>
  <c r="AA343" i="16"/>
  <c r="AA331" i="16"/>
  <c r="AA318" i="16"/>
  <c r="AA307" i="16"/>
  <c r="AA296" i="16"/>
  <c r="AA286" i="16"/>
  <c r="AA277" i="16"/>
  <c r="AA268" i="16"/>
  <c r="AA259" i="16"/>
  <c r="AA249" i="16"/>
  <c r="AA240" i="16"/>
  <c r="AA231" i="16"/>
  <c r="AA222" i="16"/>
  <c r="AA213" i="16"/>
  <c r="AA204" i="16"/>
  <c r="AA195" i="16"/>
  <c r="AA185" i="16"/>
  <c r="AA176" i="16"/>
  <c r="AA167" i="16"/>
  <c r="AA158" i="16"/>
  <c r="AA149" i="16"/>
  <c r="AA140" i="16"/>
  <c r="AA131" i="16"/>
  <c r="AA121" i="16"/>
  <c r="AA112" i="16"/>
  <c r="AA103" i="16"/>
  <c r="AA94" i="16"/>
  <c r="AA85" i="16"/>
  <c r="AA76" i="16"/>
  <c r="AA67" i="16"/>
  <c r="AA57" i="16"/>
  <c r="AA48" i="16"/>
  <c r="AA39" i="16"/>
  <c r="AA30" i="16"/>
  <c r="AA21" i="16"/>
  <c r="AA13" i="16"/>
  <c r="AA5" i="16"/>
  <c r="AA1464" i="16"/>
  <c r="AA1346" i="16"/>
  <c r="AA1237" i="16"/>
  <c r="AA1151" i="16"/>
  <c r="AA1067" i="16"/>
  <c r="AA1003" i="16"/>
  <c r="AA973" i="16"/>
  <c r="AA947" i="16"/>
  <c r="AA919" i="16"/>
  <c r="AA894" i="16"/>
  <c r="AA871" i="16"/>
  <c r="AA846" i="16"/>
  <c r="AA821" i="16"/>
  <c r="AA798" i="16"/>
  <c r="AA773" i="16"/>
  <c r="AA748" i="16"/>
  <c r="AA725" i="16"/>
  <c r="AA700" i="16"/>
  <c r="AA675" i="16"/>
  <c r="AA652" i="16"/>
  <c r="AA627" i="16"/>
  <c r="AA601" i="16"/>
  <c r="AA579" i="16"/>
  <c r="AA553" i="16"/>
  <c r="AA528" i="16"/>
  <c r="AA505" i="16"/>
  <c r="AA480" i="16"/>
  <c r="AA461" i="16"/>
  <c r="AA443" i="16"/>
  <c r="AA424" i="16"/>
  <c r="AA406" i="16"/>
  <c r="AA388" i="16"/>
  <c r="AA371" i="16"/>
  <c r="AA358" i="16"/>
  <c r="AA342" i="16"/>
  <c r="AA329" i="16"/>
  <c r="AA316" i="16"/>
  <c r="AA305" i="16"/>
  <c r="AA295" i="16"/>
  <c r="AA285" i="16"/>
  <c r="AA276" i="16"/>
  <c r="AA267" i="16"/>
  <c r="AA257" i="16"/>
  <c r="AA248" i="16"/>
  <c r="AA239" i="16"/>
  <c r="AA230" i="16"/>
  <c r="AA221" i="16"/>
  <c r="AA212" i="16"/>
  <c r="AA203" i="16"/>
  <c r="AA193" i="16"/>
  <c r="AA184" i="16"/>
  <c r="AA175" i="16"/>
  <c r="AA166" i="16"/>
  <c r="AA157" i="16"/>
  <c r="AA148" i="16"/>
  <c r="AA139" i="16"/>
  <c r="AA129" i="16"/>
  <c r="AA120" i="16"/>
  <c r="AA111" i="16"/>
  <c r="AA102" i="16"/>
  <c r="AA93" i="16"/>
  <c r="AA84" i="16"/>
  <c r="AA75" i="16"/>
  <c r="AA65" i="16"/>
  <c r="AA56" i="16"/>
  <c r="AA47" i="16"/>
  <c r="AA38" i="16"/>
  <c r="AA29" i="16"/>
  <c r="AA20" i="16"/>
  <c r="AA12" i="16"/>
  <c r="AA4" i="16"/>
  <c r="AA1448" i="16"/>
  <c r="AA1333" i="16"/>
  <c r="AA1227" i="16"/>
  <c r="AA1141" i="16"/>
  <c r="AA1055" i="16"/>
  <c r="AA999" i="16"/>
  <c r="AA971" i="16"/>
  <c r="AA941" i="16"/>
  <c r="AA917" i="16"/>
  <c r="AA892" i="16"/>
  <c r="AA867" i="16"/>
  <c r="AA844" i="16"/>
  <c r="AA819" i="16"/>
  <c r="AA793" i="16"/>
  <c r="AA771" i="16"/>
  <c r="AA745" i="16"/>
  <c r="AA720" i="16"/>
  <c r="AA697" i="16"/>
  <c r="AA672" i="16"/>
  <c r="AA647" i="16"/>
  <c r="AA624" i="16"/>
  <c r="AA599" i="16"/>
  <c r="AA574" i="16"/>
  <c r="AA551" i="16"/>
  <c r="AA526" i="16"/>
  <c r="AA501" i="16"/>
  <c r="AA478" i="16"/>
  <c r="AA460" i="16"/>
  <c r="AA441" i="16"/>
  <c r="AA423" i="16"/>
  <c r="AA405" i="16"/>
  <c r="AA387" i="16"/>
  <c r="AA369" i="16"/>
  <c r="AA355" i="16"/>
  <c r="AA341" i="16"/>
  <c r="AA327" i="16"/>
  <c r="AA315" i="16"/>
  <c r="AA304" i="16"/>
  <c r="AA294" i="16"/>
  <c r="AA284" i="16"/>
  <c r="AA275" i="16"/>
  <c r="AA265" i="16"/>
  <c r="AA256" i="16"/>
  <c r="AA247" i="16"/>
  <c r="AA183" i="16"/>
  <c r="AA110" i="16"/>
  <c r="AA73" i="16"/>
  <c r="AA37" i="16"/>
  <c r="AA3" i="16"/>
  <c r="AA174" i="16"/>
  <c r="AA105" i="16"/>
  <c r="AA69" i="16"/>
  <c r="AA32" i="16"/>
  <c r="AA238" i="16"/>
  <c r="AA165" i="16"/>
  <c r="AA101" i="16"/>
  <c r="AA64" i="16"/>
  <c r="AA28" i="16"/>
  <c r="AA229" i="16"/>
  <c r="AA156" i="16"/>
  <c r="AA96" i="16"/>
  <c r="AA60" i="16"/>
  <c r="AA23" i="16"/>
  <c r="AA220" i="16"/>
  <c r="AA147" i="16"/>
  <c r="AA92" i="16"/>
  <c r="AA55" i="16"/>
  <c r="AA19" i="16"/>
  <c r="AA211" i="16"/>
  <c r="AA137" i="16"/>
  <c r="AA87" i="16"/>
  <c r="AA51" i="16"/>
  <c r="AA15" i="16"/>
  <c r="AA201" i="16"/>
  <c r="AA128" i="16"/>
  <c r="AA83" i="16"/>
  <c r="AA46" i="16"/>
  <c r="AA11" i="16"/>
  <c r="AA192" i="16"/>
  <c r="AA119" i="16"/>
  <c r="AA78" i="16"/>
  <c r="AA41" i="16"/>
  <c r="AA7" i="16"/>
</calcChain>
</file>

<file path=xl/sharedStrings.xml><?xml version="1.0" encoding="utf-8"?>
<sst xmlns="http://schemas.openxmlformats.org/spreadsheetml/2006/main" count="75315" uniqueCount="13125">
  <si>
    <t>/</t>
  </si>
  <si>
    <t>No</t>
  </si>
  <si>
    <t>ID</t>
  </si>
  <si>
    <t>Tanggal</t>
  </si>
  <si>
    <t>Closing</t>
  </si>
  <si>
    <t>Nama</t>
  </si>
  <si>
    <t>Nama Usaha</t>
  </si>
  <si>
    <t>Jenis Usaha</t>
  </si>
  <si>
    <t>No Whatsapp Bisnis</t>
  </si>
  <si>
    <t>Deskripsi Produk Jasa</t>
  </si>
  <si>
    <t>Lokasi</t>
  </si>
  <si>
    <t>Usia</t>
  </si>
  <si>
    <t>Jenis Kelamin</t>
  </si>
  <si>
    <t>Durasi</t>
  </si>
  <si>
    <t>Mulai</t>
  </si>
  <si>
    <t>Selesai</t>
  </si>
  <si>
    <t>Catatan</t>
  </si>
  <si>
    <t>ChatId</t>
  </si>
  <si>
    <t>Video Selesai</t>
  </si>
  <si>
    <t>Total Bayar</t>
  </si>
  <si>
    <t>CS</t>
  </si>
  <si>
    <t>System Date</t>
  </si>
  <si>
    <t>Nama Singkat</t>
  </si>
  <si>
    <t>Campaign Name</t>
  </si>
  <si>
    <t>AccountId</t>
  </si>
  <si>
    <t>Fanspage</t>
  </si>
  <si>
    <t>Link Whatsapp</t>
  </si>
  <si>
    <t>KampanyeId</t>
  </si>
  <si>
    <t>LimitBudget</t>
  </si>
  <si>
    <t>Advertiser</t>
  </si>
  <si>
    <t>Kategori</t>
  </si>
  <si>
    <t>Tanggal Up</t>
  </si>
  <si>
    <t>Status Pembayaran</t>
  </si>
  <si>
    <t>Baru</t>
  </si>
  <si>
    <t>ORD-1</t>
  </si>
  <si>
    <t>Dummy</t>
  </si>
  <si>
    <t>085777110340</t>
  </si>
  <si>
    <t>17-50</t>
  </si>
  <si>
    <t>perempuan</t>
  </si>
  <si>
    <t>Iklan Tidak Aktif</t>
  </si>
  <si>
    <t>ORD-2</t>
  </si>
  <si>
    <t>ni luh sukasih</t>
  </si>
  <si>
    <t>LK spa n beauty</t>
  </si>
  <si>
    <t>SPA</t>
  </si>
  <si>
    <t>6282341426767</t>
  </si>
  <si>
    <t>profesional family Spa di Denpasar</t>
  </si>
  <si>
    <t>Bali</t>
  </si>
  <si>
    <t>21 sampai max</t>
  </si>
  <si>
    <t>laki laki dan perempuan</t>
  </si>
  <si>
    <t>Devi</t>
  </si>
  <si>
    <t>R11-759724529202804</t>
  </si>
  <si>
    <t>Promo UMKM Bersama-R10-569094022964012</t>
  </si>
  <si>
    <t>Perpanjang</t>
  </si>
  <si>
    <t>ORD-3</t>
  </si>
  <si>
    <t>Veronika Da Costa</t>
  </si>
  <si>
    <t>Verrocosta</t>
  </si>
  <si>
    <t>Kosmetik</t>
  </si>
  <si>
    <t>61459676831</t>
  </si>
  <si>
    <t>Bebonuk</t>
  </si>
  <si>
    <t>17 th ke atas</t>
  </si>
  <si>
    <t>laki-laki dan perempuan</t>
  </si>
  <si>
    <t>Isna</t>
  </si>
  <si>
    <t>R10-174904221976312</t>
  </si>
  <si>
    <t>120225346217950694</t>
  </si>
  <si>
    <t>ORD-4</t>
  </si>
  <si>
    <t>Karyatukang87</t>
  </si>
  <si>
    <t>Furniture Interior</t>
  </si>
  <si>
    <t>628872305953</t>
  </si>
  <si>
    <t>semarang dan jawa tengah</t>
  </si>
  <si>
    <t>21-65</t>
  </si>
  <si>
    <t>semua jenis</t>
  </si>
  <si>
    <t>ORD-5</t>
  </si>
  <si>
    <t>Ni Luh Suparwati</t>
  </si>
  <si>
    <t>Glam Beauty Salon &amp; Spa</t>
  </si>
  <si>
    <t>Salon Kecantikan</t>
  </si>
  <si>
    <t>67076472864</t>
  </si>
  <si>
    <t>Seputaran Bungkulan Kubutambahan, Air Sanih, Sampai Dengan Ponjok Batu Dan Seputaran Buleleng Singaraja Bali</t>
  </si>
  <si>
    <t>Semua Usia</t>
  </si>
  <si>
    <t>Laki-laki &amp; perempuan</t>
  </si>
  <si>
    <t>ORD-6</t>
  </si>
  <si>
    <t>Iwan</t>
  </si>
  <si>
    <t>Iwan Audio</t>
  </si>
  <si>
    <t>Audio Mobil Eropa</t>
  </si>
  <si>
    <t>6285711307707</t>
  </si>
  <si>
    <t>seluruh indonesia</t>
  </si>
  <si>
    <t>25 th ke atas</t>
  </si>
  <si>
    <t>ORD-7</t>
  </si>
  <si>
    <t>Vita</t>
  </si>
  <si>
    <t>Seblak Prasmanan Vita</t>
  </si>
  <si>
    <t>Seblak Prasmanan</t>
  </si>
  <si>
    <t>6285270469663</t>
  </si>
  <si>
    <t>lampahan.lorong koramil bener meriah aceh</t>
  </si>
  <si>
    <t>bebas</t>
  </si>
  <si>
    <t>ORD-9</t>
  </si>
  <si>
    <t>Nur Musvita Ayu</t>
  </si>
  <si>
    <t>AR Salon</t>
  </si>
  <si>
    <t>Salon</t>
  </si>
  <si>
    <t>6285757607630</t>
  </si>
  <si>
    <t>Makassar, Gowa, Maros</t>
  </si>
  <si>
    <t>18 th ke atas</t>
  </si>
  <si>
    <t>ORD-10</t>
  </si>
  <si>
    <t>Winda nainggolan</t>
  </si>
  <si>
    <t>Winda Tebus emas</t>
  </si>
  <si>
    <t>Tebus emas</t>
  </si>
  <si>
    <t>62882015054720</t>
  </si>
  <si>
    <t>Medan dan prapat</t>
  </si>
  <si>
    <t>Perempuan</t>
  </si>
  <si>
    <t>ORD-11</t>
  </si>
  <si>
    <t>Juni meika</t>
  </si>
  <si>
    <t>zL beauty homecare</t>
  </si>
  <si>
    <t>salon perawatan</t>
  </si>
  <si>
    <t>6281549409606</t>
  </si>
  <si>
    <t>smarinda kota</t>
  </si>
  <si>
    <t>Semua usia</t>
  </si>
  <si>
    <t>wanita dan laki2</t>
  </si>
  <si>
    <t>Yuni</t>
  </si>
  <si>
    <t>ORD-12</t>
  </si>
  <si>
    <t>ramli</t>
  </si>
  <si>
    <t xml:space="preserve">Eny Laundry </t>
  </si>
  <si>
    <t>Laundry karpet &amp; Pakaian</t>
  </si>
  <si>
    <t>6283129638348</t>
  </si>
  <si>
    <t>laundry karpet, pakaian,sofa,boneka.profesional murah berkualitas, dan bergaransi (paling diutamakan karpet)</t>
  </si>
  <si>
    <t>lombok tengah</t>
  </si>
  <si>
    <t>25ke atas</t>
  </si>
  <si>
    <t>ORD-13</t>
  </si>
  <si>
    <t>Adi</t>
  </si>
  <si>
    <t xml:space="preserve">AJP ADI </t>
  </si>
  <si>
    <t>PLAFON</t>
  </si>
  <si>
    <t>6283188945188</t>
  </si>
  <si>
    <t>Watukumpul Pemalang Jawa Tengah</t>
  </si>
  <si>
    <t>20-65</t>
  </si>
  <si>
    <t>laki-laki &amp; perempuan</t>
  </si>
  <si>
    <t>ORD-14</t>
  </si>
  <si>
    <t>Yara</t>
  </si>
  <si>
    <t>M&amp;Y mahkota salon &amp; yara wedding</t>
  </si>
  <si>
    <t>wedding dan salon kecantikan</t>
  </si>
  <si>
    <t>wo wedding organizer juga salon kecantikan</t>
  </si>
  <si>
    <t>kalimantan selatan, kalimantan tengah, kalimantan timur</t>
  </si>
  <si>
    <t>15-60</t>
  </si>
  <si>
    <t>ORD-15</t>
  </si>
  <si>
    <t>Mira Cantika</t>
  </si>
  <si>
    <t>Mira Cantika Makeup</t>
  </si>
  <si>
    <t>Makeup pengantin (MUA)</t>
  </si>
  <si>
    <t>6285758792669</t>
  </si>
  <si>
    <t>Tebo , Bungo, Sarolangun, Jambi</t>
  </si>
  <si>
    <t>18th ke atas</t>
  </si>
  <si>
    <t>ORD-16</t>
  </si>
  <si>
    <t>Lina Nalurita</t>
  </si>
  <si>
    <t>Khairan Wedding</t>
  </si>
  <si>
    <t>Salon perawatan rambut,wajah dan MUA</t>
  </si>
  <si>
    <t>6285220903499</t>
  </si>
  <si>
    <t>daerah Sumedang dan sekitarnya, Bandung</t>
  </si>
  <si>
    <t>SMP sd 60 thnan</t>
  </si>
  <si>
    <t>khusus wanita salonnya.</t>
  </si>
  <si>
    <t>ORD-17</t>
  </si>
  <si>
    <t>Neng Ay salon</t>
  </si>
  <si>
    <t>6282290353409</t>
  </si>
  <si>
    <t>kota sorong dan manokwari</t>
  </si>
  <si>
    <t>khusus wanita</t>
  </si>
  <si>
    <t>ORD-18</t>
  </si>
  <si>
    <t>ISAL</t>
  </si>
  <si>
    <t>ISAL SALON</t>
  </si>
  <si>
    <t>PERAWATAN RAMBUT</t>
  </si>
  <si>
    <t>6285240684331</t>
  </si>
  <si>
    <t>Diskon 20% untuk Smoting dan warna rambut</t>
  </si>
  <si>
    <t>kendari</t>
  </si>
  <si>
    <t>semua usia</t>
  </si>
  <si>
    <t>ORD-19</t>
  </si>
  <si>
    <t>Devi Andesta</t>
  </si>
  <si>
    <t xml:space="preserve">Devy Kikim </t>
  </si>
  <si>
    <t>Salon &amp; Wedding</t>
  </si>
  <si>
    <t>6282136666049</t>
  </si>
  <si>
    <t>semua keahlian salon sudah bersertifikasi BNSP sudah bersertifikasi mua level 3 bnsp</t>
  </si>
  <si>
    <t>jabodetabek</t>
  </si>
  <si>
    <t>pria &amp; wanita</t>
  </si>
  <si>
    <t>ORD-20</t>
  </si>
  <si>
    <t>Nyaraa</t>
  </si>
  <si>
    <t>Nyaraa Salon</t>
  </si>
  <si>
    <t>6282348365032</t>
  </si>
  <si>
    <t>desa mattaropuli kecamatan bengo kabupaten bone soppeng dan wajo</t>
  </si>
  <si>
    <t>10-35</t>
  </si>
  <si>
    <t>ORD-21</t>
  </si>
  <si>
    <t>M. Arif Sirajuddin</t>
  </si>
  <si>
    <t>Sunat Pangkep Avacare</t>
  </si>
  <si>
    <t>Jasa Sunat Modern</t>
  </si>
  <si>
    <t>6285355435848</t>
  </si>
  <si>
    <t>Kabupaten Pangkep Sulawesi Selatan</t>
  </si>
  <si>
    <t>pria</t>
  </si>
  <si>
    <t>ORD-22</t>
  </si>
  <si>
    <t>NURKHOLIS</t>
  </si>
  <si>
    <t>PUTRA MANDIRI HARMONIKA</t>
  </si>
  <si>
    <t>PRODUKSI PINTU BESI</t>
  </si>
  <si>
    <t>6281331854948</t>
  </si>
  <si>
    <t>spesialist pintu besi</t>
  </si>
  <si>
    <t>jombang, lamongan, sidoarjo, mojokerto, kediri</t>
  </si>
  <si>
    <t>22-65 th</t>
  </si>
  <si>
    <t>Iklan Aktif</t>
  </si>
  <si>
    <t>ORD-23</t>
  </si>
  <si>
    <t>M. Ramli Zebua</t>
  </si>
  <si>
    <t>PT MAKMUR JAYA ZEBUA</t>
  </si>
  <si>
    <t>jasa tukang bangunan</t>
  </si>
  <si>
    <t>6282173535013</t>
  </si>
  <si>
    <t>jasa tukang bangunan rumah dan kontraktor di bidang pembangunan</t>
  </si>
  <si>
    <t>kota pekanbaru riau dan sekitarnya</t>
  </si>
  <si>
    <t>35 th</t>
  </si>
  <si>
    <t>laki-laki</t>
  </si>
  <si>
    <t>120227423725240200</t>
  </si>
  <si>
    <t>ORD-24</t>
  </si>
  <si>
    <t>Inggie</t>
  </si>
  <si>
    <t>Loundry W&amp;M</t>
  </si>
  <si>
    <t>Londry</t>
  </si>
  <si>
    <t>6288242107169</t>
  </si>
  <si>
    <t>cuci kering setrika bisa antar jemput sesuai jarak</t>
  </si>
  <si>
    <t>dari bundaran samata kampus uin samata</t>
  </si>
  <si>
    <t>Promo Bisnis UMKM-R11-672574572602431</t>
  </si>
  <si>
    <t>ORD-25</t>
  </si>
  <si>
    <t>wedding &amp; salon kecantikan</t>
  </si>
  <si>
    <t>6282159148587</t>
  </si>
  <si>
    <t>15-60 th</t>
  </si>
  <si>
    <t>ORD-26</t>
  </si>
  <si>
    <t>Lisa</t>
  </si>
  <si>
    <t>Lisa Beauty Zone</t>
  </si>
  <si>
    <t>Beauty Studio</t>
  </si>
  <si>
    <t>6282314234523</t>
  </si>
  <si>
    <t>Area Solo dan Sukoharjo, Jawa Tengah</t>
  </si>
  <si>
    <t>18 th keatas</t>
  </si>
  <si>
    <t>ORD-27</t>
  </si>
  <si>
    <t>Bogie Irawan</t>
  </si>
  <si>
    <t>Dapur Florist (Metro Lampung)</t>
  </si>
  <si>
    <t>Jasa Sewa Papan Bunga Premium</t>
  </si>
  <si>
    <t>6281399998259</t>
  </si>
  <si>
    <t>terima pesanan karangan bunga untuk acara wedding, duka cita, sertijab, pelantikan, ulang tahun, wisuda dll.</t>
  </si>
  <si>
    <t>kota metro, lampung timur, lampung tengah, bandar lampung, provinsi lampung.</t>
  </si>
  <si>
    <t>15 th ke atas</t>
  </si>
  <si>
    <t>male n female</t>
  </si>
  <si>
    <t>ORD-28</t>
  </si>
  <si>
    <t>EPE Plavon</t>
  </si>
  <si>
    <t>Pasang Plavon dan interior</t>
  </si>
  <si>
    <t>6285362101860</t>
  </si>
  <si>
    <t>Nias</t>
  </si>
  <si>
    <t>perempua dan laki laki</t>
  </si>
  <si>
    <t>Pakar Bangun Indonesia-R11-706957285826722</t>
  </si>
  <si>
    <t>ORD-29</t>
  </si>
  <si>
    <t>Rina</t>
  </si>
  <si>
    <t>Klinik murabeautycare</t>
  </si>
  <si>
    <t>klinik kecantikan</t>
  </si>
  <si>
    <t>6282274447649</t>
  </si>
  <si>
    <t>Medan</t>
  </si>
  <si>
    <t>15-65 tahun</t>
  </si>
  <si>
    <t>Laki laki dan perempuan</t>
  </si>
  <si>
    <t>120228023839160200</t>
  </si>
  <si>
    <t>ORD-30</t>
  </si>
  <si>
    <t>Ali Rahman</t>
  </si>
  <si>
    <t>Sofie Gorden</t>
  </si>
  <si>
    <t>Usaha gorden</t>
  </si>
  <si>
    <t>6282154795446</t>
  </si>
  <si>
    <t>Jasa pembuatan gorden dan pemesanan gorden</t>
  </si>
  <si>
    <t>seluruh Kalimantan Timur</t>
  </si>
  <si>
    <t>17 Tahun keatas</t>
  </si>
  <si>
    <t>perempuan dan laki laki</t>
  </si>
  <si>
    <t>ORD-32</t>
  </si>
  <si>
    <t>irsyad a gani</t>
  </si>
  <si>
    <t>icad Interior</t>
  </si>
  <si>
    <t>kitchen set interior</t>
  </si>
  <si>
    <t>6285211510282</t>
  </si>
  <si>
    <t>jakarta, tangerang</t>
  </si>
  <si>
    <t>25 - 45</t>
  </si>
  <si>
    <t>wanita</t>
  </si>
  <si>
    <t>ORD-33</t>
  </si>
  <si>
    <t>umam</t>
  </si>
  <si>
    <t>sahabat AC malang</t>
  </si>
  <si>
    <t>servis ac</t>
  </si>
  <si>
    <t>6285737244570</t>
  </si>
  <si>
    <t>servis AC untuk wilayah malang,harga terjangkau, pasti puas bergaransi</t>
  </si>
  <si>
    <t>malang  Jawa timur</t>
  </si>
  <si>
    <t>25++</t>
  </si>
  <si>
    <t>perempuan dan laki-laki</t>
  </si>
  <si>
    <t>Pakar Teknisi-R11-696512170212149</t>
  </si>
  <si>
    <t>ORD-34</t>
  </si>
  <si>
    <t>Ngatini</t>
  </si>
  <si>
    <t>Travel Umroh dan Haji</t>
  </si>
  <si>
    <t>Samira Travel Pati</t>
  </si>
  <si>
    <t>6285290626929</t>
  </si>
  <si>
    <t>pati dan sekitarnya</t>
  </si>
  <si>
    <t>30 ke atas</t>
  </si>
  <si>
    <t>pria dan wanita</t>
  </si>
  <si>
    <t>ORD-35</t>
  </si>
  <si>
    <t>Joko Susilo</t>
  </si>
  <si>
    <t>bengkel mobil sahaja pelita jaya(SPJ)</t>
  </si>
  <si>
    <t>perbaikan dan layanan jasa Mobil</t>
  </si>
  <si>
    <t>6282288123215</t>
  </si>
  <si>
    <t>sukarame,Sukabumi,korpri,jati agung,</t>
  </si>
  <si>
    <t>18+</t>
  </si>
  <si>
    <t>R06-766589657993298</t>
  </si>
  <si>
    <t>Sahabat Otomotif-R11-645488418650292</t>
  </si>
  <si>
    <t>ORD-36</t>
  </si>
  <si>
    <t>Ahmad Bukhori</t>
  </si>
  <si>
    <t>Dani Interior</t>
  </si>
  <si>
    <t>interior</t>
  </si>
  <si>
    <t>6281384925770</t>
  </si>
  <si>
    <t>menerima pesanan kitchen set, backdrop tv, penyekat ruangan, lemari,tolet/meja rias,meja kantor, partisi,meja belajar dll</t>
  </si>
  <si>
    <t>Sukolilo Pati, Jateng</t>
  </si>
  <si>
    <t>18 tahun keatas</t>
  </si>
  <si>
    <t>ORD-38</t>
  </si>
  <si>
    <t>Waldy</t>
  </si>
  <si>
    <t>Yuzef &amp; Kost Homestay Syariah</t>
  </si>
  <si>
    <t>Kost2an</t>
  </si>
  <si>
    <t>628988759290</t>
  </si>
  <si>
    <t>yuzef kost harian &amp; bulanan</t>
  </si>
  <si>
    <t>dekat dengan SMA Taruna, Stikes Payung Negeri Poltekes Riau</t>
  </si>
  <si>
    <t>15-23 th</t>
  </si>
  <si>
    <t>120226464082810694</t>
  </si>
  <si>
    <t>Darmawan</t>
  </si>
  <si>
    <t>Pakis Advertising &amp; Kontruksi</t>
  </si>
  <si>
    <t>Pakis Advertising Menerima pesanan pengerjaan</t>
  </si>
  <si>
    <t>6281934079192</t>
  </si>
  <si>
    <t>Menerima pesanan pengerjaan</t>
  </si>
  <si>
    <t>Pekanbaru</t>
  </si>
  <si>
    <t>25 keatas</t>
  </si>
  <si>
    <t>Perempuan &amp; laki2</t>
  </si>
  <si>
    <t>ORD-39</t>
  </si>
  <si>
    <t>ike ria jelita</t>
  </si>
  <si>
    <t>Griya rias jelita salon</t>
  </si>
  <si>
    <t>salon dan rias pengantin</t>
  </si>
  <si>
    <t>6281335551395</t>
  </si>
  <si>
    <t>salon  kecantikan dan rias pengantin</t>
  </si>
  <si>
    <t>Jetis, Mojokerto</t>
  </si>
  <si>
    <t>Beauty Solution-R11-667346859796665</t>
  </si>
  <si>
    <t>ORD-40</t>
  </si>
  <si>
    <t>Fit Klin</t>
  </si>
  <si>
    <t>6282350524788</t>
  </si>
  <si>
    <t>Rudi</t>
  </si>
  <si>
    <t>120227782745500200</t>
  </si>
  <si>
    <t>ORD-43</t>
  </si>
  <si>
    <t>M Budiman</t>
  </si>
  <si>
    <t>CV Budi Mulia Berkah</t>
  </si>
  <si>
    <t>konstruksi bangunan</t>
  </si>
  <si>
    <t>6285822386125</t>
  </si>
  <si>
    <t>kontruksi bangunan</t>
  </si>
  <si>
    <t>Pontianak</t>
  </si>
  <si>
    <t>ORD-44</t>
  </si>
  <si>
    <t>Danang Istiaji</t>
  </si>
  <si>
    <t>PT Bangun renov Jaya, melayani jasa arsitek,bangun rumah, renovasi, konsultasi, perencanaan dll</t>
  </si>
  <si>
    <t>PT Bangun renov Jaya</t>
  </si>
  <si>
    <t>6281226605001</t>
  </si>
  <si>
    <t>Semarang</t>
  </si>
  <si>
    <t>20 - 50 thn</t>
  </si>
  <si>
    <t>Laki-laki, dan wanita</t>
  </si>
  <si>
    <t>Lombri</t>
  </si>
  <si>
    <t>Umam daffa jaya Bengkel Las</t>
  </si>
  <si>
    <t>Bengkel Las</t>
  </si>
  <si>
    <t>6287715040331</t>
  </si>
  <si>
    <t>melayani las pagar, pintu,balkon,canopy,kusen, aluminium, kontruksi baja wf, tempa Clasic, stainless steel</t>
  </si>
  <si>
    <t>Tangerang,Banten, jakarta,Jabar, Jateng</t>
  </si>
  <si>
    <t>18 keatas</t>
  </si>
  <si>
    <t>Novan Afrianto</t>
  </si>
  <si>
    <t>CV Sejahtera Teknik</t>
  </si>
  <si>
    <t>Jasa perawatan dan perbaikan Ac</t>
  </si>
  <si>
    <t>6281515877050</t>
  </si>
  <si>
    <t>Sidoarjo, Jawa Timur</t>
  </si>
  <si>
    <t>20-55</t>
  </si>
  <si>
    <t>ORD-45</t>
  </si>
  <si>
    <t>Ridwan</t>
  </si>
  <si>
    <t>PG MILAN ROSTER JAYA</t>
  </si>
  <si>
    <t>ROSTER</t>
  </si>
  <si>
    <t>6281318125688</t>
  </si>
  <si>
    <t>Jabotabek</t>
  </si>
  <si>
    <t>Laki laki perempuan</t>
  </si>
  <si>
    <t>ORD-46</t>
  </si>
  <si>
    <t>Supriyanto</t>
  </si>
  <si>
    <t>Bina Karya Marmer</t>
  </si>
  <si>
    <t>Jasa pasang poles Marmer</t>
  </si>
  <si>
    <t>6281219751312</t>
  </si>
  <si>
    <t>Jasa poles marmer kristal,meja dapur, lantai,wastapel dll yang berbahan batu marmer alam,tim handal, material bisa pilih sesuai keinginan</t>
  </si>
  <si>
    <t>Seluruh Indonesia</t>
  </si>
  <si>
    <t>ORD-47</t>
  </si>
  <si>
    <t>M. Rozin/Dyaz</t>
  </si>
  <si>
    <t>TEKNIK DYAZ AC</t>
  </si>
  <si>
    <t>Spesialist AC, Maintenance AC, Service AC, Sedia Unit AC Baru/Second berikut pemasangan sampai Tuntas, Jasa Pasang AC &amp; Electrikal</t>
  </si>
  <si>
    <t>6287845701116</t>
  </si>
  <si>
    <t>kanci-Cirebon,Jawa Barat</t>
  </si>
  <si>
    <t>18Th - 65 Th</t>
  </si>
  <si>
    <t>semua</t>
  </si>
  <si>
    <t>ORD-48</t>
  </si>
  <si>
    <t>05-Juni-2025</t>
  </si>
  <si>
    <t>Ismail</t>
  </si>
  <si>
    <t>Tukang Njatipurno 354</t>
  </si>
  <si>
    <t>jasa borong bangun rumah, renovasi rumah</t>
  </si>
  <si>
    <t>6283134740502</t>
  </si>
  <si>
    <t>wonogiri, karanganyar, girimarto, kec. sidoharjo wonogiri</t>
  </si>
  <si>
    <t>perempuan/laki-laki</t>
  </si>
  <si>
    <t>ORD-49</t>
  </si>
  <si>
    <t>07-Juni-2025</t>
  </si>
  <si>
    <t>Rosita Freitas</t>
  </si>
  <si>
    <t>Rosfreb Shop</t>
  </si>
  <si>
    <t>Online Shop</t>
  </si>
  <si>
    <t>6267074784874</t>
  </si>
  <si>
    <t>pakaian, sepatu, kosmetik, aksesoris &amp; perhiasan, tas, dan kain dekorasi</t>
  </si>
  <si>
    <t>Baucau kota lama</t>
  </si>
  <si>
    <t>120226538247460694</t>
  </si>
  <si>
    <t>ORD-50</t>
  </si>
  <si>
    <t>Medi</t>
  </si>
  <si>
    <t>Abadi Kaca &amp; Almunium Jepara</t>
  </si>
  <si>
    <t>Pembuatan Kusen Pintu Jendela Almunium dan Kaca</t>
  </si>
  <si>
    <t>6282211675028</t>
  </si>
  <si>
    <t>Jln raya wedelan - pltu kaliaman rt 4 rw 2</t>
  </si>
  <si>
    <t>ORD-51</t>
  </si>
  <si>
    <t>bapak yolle suryawan</t>
  </si>
  <si>
    <t>PT. Mengalir Berkat Anugerah</t>
  </si>
  <si>
    <t>Kontraktor</t>
  </si>
  <si>
    <t>6281222110766</t>
  </si>
  <si>
    <t>35 ke atas</t>
  </si>
  <si>
    <t>ORD-53</t>
  </si>
  <si>
    <t>SMA MUHAMMADIYAH SAMARINDA</t>
  </si>
  <si>
    <t>Pendidikan</t>
  </si>
  <si>
    <t>6281340892328</t>
  </si>
  <si>
    <t>Samarindia</t>
  </si>
  <si>
    <t>Lembaga Edukasi Pilihan Anda-R10-581334451725831</t>
  </si>
  <si>
    <t>ORD-54</t>
  </si>
  <si>
    <t>09-Juni-2025</t>
  </si>
  <si>
    <t>Daldiri</t>
  </si>
  <si>
    <t>Mungkid Sejahtera</t>
  </si>
  <si>
    <t>bidang bangunan gedung dan lain-lain. kanopi pintu gerbang dan segala macem</t>
  </si>
  <si>
    <t>6281328119680</t>
  </si>
  <si>
    <t>Purworejo, Magelang, Yogyakarta dan sekitarnya</t>
  </si>
  <si>
    <t>30-50 th</t>
  </si>
  <si>
    <t>120227481491120235</t>
  </si>
  <si>
    <t>ORD-55</t>
  </si>
  <si>
    <t>Arjuna Batara</t>
  </si>
  <si>
    <t>ABATA KARYA</t>
  </si>
  <si>
    <t>tukang bangunan</t>
  </si>
  <si>
    <t>6282399006447</t>
  </si>
  <si>
    <t>Makassar dan Gowa</t>
  </si>
  <si>
    <t>25 sampai 45 th</t>
  </si>
  <si>
    <t>ORD-56</t>
  </si>
  <si>
    <t>hasanah</t>
  </si>
  <si>
    <t>AFIKA DEKORATION AFIKA RIAS</t>
  </si>
  <si>
    <t>SEWA DEKORASI PELAMINAN TENDA Panggung,Make up</t>
  </si>
  <si>
    <t>6285864008882</t>
  </si>
  <si>
    <t>Make up pengantin, lamaran, wisuda dll,DEKORASI  MEYEWAKAN ALAT PESTA untuk wedding dan lamaran</t>
  </si>
  <si>
    <t>Cimanggu, Sukabumi jabar</t>
  </si>
  <si>
    <t>120226539786220694</t>
  </si>
  <si>
    <t>ORD-57</t>
  </si>
  <si>
    <t>Umi Rahmawati</t>
  </si>
  <si>
    <t>Rahma Gallery</t>
  </si>
  <si>
    <t>Furniture dan Interior Design</t>
  </si>
  <si>
    <t>‪‪6282116044279‬‬</t>
  </si>
  <si>
    <t>area jateng</t>
  </si>
  <si>
    <t>20 - 50</t>
  </si>
  <si>
    <t>Erna Damayanti</t>
  </si>
  <si>
    <t>S'three hair and beauty studio</t>
  </si>
  <si>
    <t>salon kecantikan</t>
  </si>
  <si>
    <t>62895401448273</t>
  </si>
  <si>
    <t>hair extension, smoting colouring, face treatment, body treatment</t>
  </si>
  <si>
    <t>ORD-58</t>
  </si>
  <si>
    <t>Deni Afriadi sinaga</t>
  </si>
  <si>
    <t>Abizar plafon</t>
  </si>
  <si>
    <t>jasa pemasangan plafon gypsum dan plafon pvc</t>
  </si>
  <si>
    <t>6281278788088</t>
  </si>
  <si>
    <t>Sumatra Utara</t>
  </si>
  <si>
    <t>25 - 60</t>
  </si>
  <si>
    <t>ORD-59</t>
  </si>
  <si>
    <t>Saba</t>
  </si>
  <si>
    <t>PT AGUS ELTRICAL ELEKTRONIK</t>
  </si>
  <si>
    <t>servis AC cctv intalasi listrik dll</t>
  </si>
  <si>
    <t>6282255726295</t>
  </si>
  <si>
    <t>wangi wangi selatan, Wakatobi Sulawesi tenggara</t>
  </si>
  <si>
    <t>18-55</t>
  </si>
  <si>
    <t>Jasa Service AC Terdekat-R10-522032024316690</t>
  </si>
  <si>
    <t>120227607532660235</t>
  </si>
  <si>
    <t>ORD-60</t>
  </si>
  <si>
    <t>Pranoto hadi</t>
  </si>
  <si>
    <t>Hadi property</t>
  </si>
  <si>
    <t>jasa kontraktor, jasa rancang bangun baru &amp; renovasi, rumah tinggal, ruko, kosan dll.</t>
  </si>
  <si>
    <t>628114170888</t>
  </si>
  <si>
    <t>samarinda dan sekitarnya mecakup satu kaltim</t>
  </si>
  <si>
    <t>remaja sampai tua</t>
  </si>
  <si>
    <t>ORD-61</t>
  </si>
  <si>
    <t>CV REGAN PERMATA ASIA</t>
  </si>
  <si>
    <t>bahan bangunan ( Paving,Batako,Buis Beton ) dan property</t>
  </si>
  <si>
    <t>6285853370682</t>
  </si>
  <si>
    <t>pembuatan design bangunan, pelaksanaan bangunan,</t>
  </si>
  <si>
    <t>Jatim ( Blitar, Tulungagung, Kediri)</t>
  </si>
  <si>
    <t>ORD-62</t>
  </si>
  <si>
    <t>Kukuh Nugroho</t>
  </si>
  <si>
    <t>Griya Terapi Bekam &amp; Gurah "Laa Tahzan"</t>
  </si>
  <si>
    <t>jasa terapi bekam &amp; gurah</t>
  </si>
  <si>
    <t>6281904501876</t>
  </si>
  <si>
    <t>melayani terapi bekam untuk keluhan penyakit ringan maupun berat</t>
  </si>
  <si>
    <t>kabupaten karanganyar</t>
  </si>
  <si>
    <t>20-60 th</t>
  </si>
  <si>
    <t>120226909524250694</t>
  </si>
  <si>
    <t>ORD-63</t>
  </si>
  <si>
    <t>Dedi</t>
  </si>
  <si>
    <t>Jasa Bangun</t>
  </si>
  <si>
    <t>kontraktor</t>
  </si>
  <si>
    <t>6285714611166</t>
  </si>
  <si>
    <t>ORD-65</t>
  </si>
  <si>
    <t>Budiman</t>
  </si>
  <si>
    <t>PT Jujur Jaya Sakti Mamuju</t>
  </si>
  <si>
    <t>Promo Daihatsu Sulawesi Barat Mamuju</t>
  </si>
  <si>
    <t>6282347206488</t>
  </si>
  <si>
    <t>Mamuju</t>
  </si>
  <si>
    <t>31 th ke atas</t>
  </si>
  <si>
    <t>ORD-66</t>
  </si>
  <si>
    <t>Imron</t>
  </si>
  <si>
    <t>Bengkel Las Lima Sodara</t>
  </si>
  <si>
    <t>bengkel las</t>
  </si>
  <si>
    <t>6281519225886</t>
  </si>
  <si>
    <t>lemah abang</t>
  </si>
  <si>
    <t>L/P</t>
  </si>
  <si>
    <t>ORD-67</t>
  </si>
  <si>
    <t>25-Des-2025</t>
  </si>
  <si>
    <t>Agus</t>
  </si>
  <si>
    <t>Bengkel Las dan Pemasangan Plavon</t>
  </si>
  <si>
    <t>bengkel las pagar kanopi dll</t>
  </si>
  <si>
    <t>6282393168368</t>
  </si>
  <si>
    <t>gowa, makassar, maros, takalar, pangkep</t>
  </si>
  <si>
    <t>12-70 th</t>
  </si>
  <si>
    <t>ORD-68</t>
  </si>
  <si>
    <t>Heri Khoerudin</t>
  </si>
  <si>
    <t>Mitra Karya Jaya Aluminium</t>
  </si>
  <si>
    <t>kontruksi aluminium kaca</t>
  </si>
  <si>
    <t>6285353864755</t>
  </si>
  <si>
    <t>bogor, jabodetabek, jawa barat</t>
  </si>
  <si>
    <t>ORD-69</t>
  </si>
  <si>
    <t>Vivi</t>
  </si>
  <si>
    <t>Vie Salon Beauty Malang</t>
  </si>
  <si>
    <t>6281216962242</t>
  </si>
  <si>
    <t>malang</t>
  </si>
  <si>
    <t>mulai 13 th</t>
  </si>
  <si>
    <t>120228392828650200</t>
  </si>
  <si>
    <t>ORD-70</t>
  </si>
  <si>
    <t>Hana Harun</t>
  </si>
  <si>
    <t>Hana Glamour Salon dan Spa</t>
  </si>
  <si>
    <t>salon kecantikan dan spa</t>
  </si>
  <si>
    <t>6281335728695</t>
  </si>
  <si>
    <t>menerima berbagai jasa kecantikan hair treatment dan body treatment</t>
  </si>
  <si>
    <t>kabupaten pasuruan, surabaya dan malang.</t>
  </si>
  <si>
    <t>20-40 th</t>
  </si>
  <si>
    <t>120228395930460200</t>
  </si>
  <si>
    <t>ORD-71</t>
  </si>
  <si>
    <t>Thurman</t>
  </si>
  <si>
    <t>Pt Natama Sarana Tehnik</t>
  </si>
  <si>
    <t>kontruksi sipil design &amp; mep</t>
  </si>
  <si>
    <t>6285261023204</t>
  </si>
  <si>
    <t>sumatera utara &amp; jawa</t>
  </si>
  <si>
    <t>segala usia</t>
  </si>
  <si>
    <t>120227451579360235</t>
  </si>
  <si>
    <t>ORD-72</t>
  </si>
  <si>
    <t>Widianto</t>
  </si>
  <si>
    <t>WD Kontruksi</t>
  </si>
  <si>
    <t>civil building</t>
  </si>
  <si>
    <t>6285747906282</t>
  </si>
  <si>
    <t>jasa bangun rumah atau renovasi</t>
  </si>
  <si>
    <t>area purwokerto jawa tengah dan sekitarnya</t>
  </si>
  <si>
    <t>36 th</t>
  </si>
  <si>
    <t>ORD-73</t>
  </si>
  <si>
    <t>Pulung Windu Hantoro</t>
  </si>
  <si>
    <t>Bangun Griya</t>
  </si>
  <si>
    <t>kontraktor bangunan</t>
  </si>
  <si>
    <t>6281952482523</t>
  </si>
  <si>
    <t>jasa bangun baru dan renovasi</t>
  </si>
  <si>
    <t>solo-boyolali semarang</t>
  </si>
  <si>
    <t>38 th</t>
  </si>
  <si>
    <t>ORD-74</t>
  </si>
  <si>
    <t>Saepul Anwar</t>
  </si>
  <si>
    <t>Mandorbogor</t>
  </si>
  <si>
    <t>jasa bangun dan renovasi</t>
  </si>
  <si>
    <t>6285220216325</t>
  </si>
  <si>
    <t>Jabodetabek</t>
  </si>
  <si>
    <t>ORD-75</t>
  </si>
  <si>
    <t>Abata Karya</t>
  </si>
  <si>
    <t>25-45 th</t>
  </si>
  <si>
    <t>ORD-76</t>
  </si>
  <si>
    <t>bidang bangunan gedung dll, kanopi pintu gerbang dan segala macam</t>
  </si>
  <si>
    <t>purworejo, magelang, yogyakarta dan sekitarnya</t>
  </si>
  <si>
    <t>ORD-77</t>
  </si>
  <si>
    <t>Riza Ramadhon</t>
  </si>
  <si>
    <t>PHONE CELL CENTER</t>
  </si>
  <si>
    <t>toko service handphone</t>
  </si>
  <si>
    <t>6281241440688</t>
  </si>
  <si>
    <t>servis hp berkualitas, bisa di tunggu dan garansi 1 bulan , melayani segala kerusakan handphone</t>
  </si>
  <si>
    <t>jln. Pulau semama. Samping SDN 019 tanjung redeb. Kab. Berau kalimantan timur</t>
  </si>
  <si>
    <t>20-45 th</t>
  </si>
  <si>
    <t>ORD-78</t>
  </si>
  <si>
    <t>Eko Budiono</t>
  </si>
  <si>
    <t>Amanah Interior Jambi</t>
  </si>
  <si>
    <t>Interior Design</t>
  </si>
  <si>
    <t>6282280929802</t>
  </si>
  <si>
    <t>melayani segala macam pembuatan interior. menyesuaikan budget yang di sediakan konsumen. gambar design mengikuti budget. survey dan gambar design free. garansi perawatan</t>
  </si>
  <si>
    <t>kota jambi dan muaro jambi (daerah sawit), batang hari (jambi) dan bayung lencir (kabupaten banyuasin sumsel)</t>
  </si>
  <si>
    <t>ORD-79</t>
  </si>
  <si>
    <t>Randy</t>
  </si>
  <si>
    <t>Bhoemi Kontraktor</t>
  </si>
  <si>
    <t>Kontruksi</t>
  </si>
  <si>
    <t>6283185169816</t>
  </si>
  <si>
    <t>31-59 th</t>
  </si>
  <si>
    <t>ORD-80</t>
  </si>
  <si>
    <t>Samidi</t>
  </si>
  <si>
    <t>Samidi Plafon PVC</t>
  </si>
  <si>
    <t>Pemasangan Plavon</t>
  </si>
  <si>
    <t>6285210107607</t>
  </si>
  <si>
    <t>Muktisari</t>
  </si>
  <si>
    <t>35-60 th</t>
  </si>
  <si>
    <t>ORD-81</t>
  </si>
  <si>
    <t>Dilla</t>
  </si>
  <si>
    <t>Rumah Cantik Drwskincare</t>
  </si>
  <si>
    <t>Salon &amp; Skincare</t>
  </si>
  <si>
    <t>6288215445661</t>
  </si>
  <si>
    <t>Produk kecantikan dari Drwskincare by Dokter Wahyu Triasmara dan All Treatment Salon</t>
  </si>
  <si>
    <t>Purbalingga, Purwokerto, Banjarnegara</t>
  </si>
  <si>
    <t>120228489547990200</t>
  </si>
  <si>
    <t>ORD-82</t>
  </si>
  <si>
    <t>Pa'saoran Batur Batur st.</t>
  </si>
  <si>
    <t>PT. Medan Bangun persada</t>
  </si>
  <si>
    <t>6282162580404</t>
  </si>
  <si>
    <t>Arsitek, interior,exterior,mekanik dan elektrikal</t>
  </si>
  <si>
    <t>Medan, sumatera Utara</t>
  </si>
  <si>
    <t>18 -55</t>
  </si>
  <si>
    <t>120227527913110235</t>
  </si>
  <si>
    <t>Proses OTP</t>
  </si>
  <si>
    <t>ORD-83</t>
  </si>
  <si>
    <t>Kipon</t>
  </si>
  <si>
    <t>Anjas Jaya</t>
  </si>
  <si>
    <t>Mebel furniture</t>
  </si>
  <si>
    <t>6281337029495</t>
  </si>
  <si>
    <t>produksi/pembuatan Furniture dan mebel</t>
  </si>
  <si>
    <t>Sangatta Selatan Kalimantan Timur</t>
  </si>
  <si>
    <t>17-55</t>
  </si>
  <si>
    <t>Jasa Interior dan Exterior Terdekat-R10-514784225046611</t>
  </si>
  <si>
    <t>120227006509980694</t>
  </si>
  <si>
    <t>ORD-84</t>
  </si>
  <si>
    <t>Julia rizkia</t>
  </si>
  <si>
    <t>BATRA SENTUTORAF</t>
  </si>
  <si>
    <t>Pengobatan sendiri tulang otot dan saraf</t>
  </si>
  <si>
    <t>6282258886603</t>
  </si>
  <si>
    <t>Klinik kami memberikan layanan gabungan antara tradisional terapi atw yg dikenal dengan pijit dengan  modern terapi yaitu penggunaan alat fisio seperti lampu uv, ultrasound dan tense.</t>
  </si>
  <si>
    <t>wanita dan ski laki</t>
  </si>
  <si>
    <t>Griya Sehat-R10-576779842182895</t>
  </si>
  <si>
    <t>120227002983460694</t>
  </si>
  <si>
    <t>ORD-85</t>
  </si>
  <si>
    <t>Eko</t>
  </si>
  <si>
    <t>CV Fajar Gemilang</t>
  </si>
  <si>
    <t>kontraktor/aplikator acp , kaca , aluminium , interior , arsitektur gedung dll</t>
  </si>
  <si>
    <t>6281338789995</t>
  </si>
  <si>
    <t>kupang ntt</t>
  </si>
  <si>
    <t>25-60</t>
  </si>
  <si>
    <t>120227535164300235</t>
  </si>
  <si>
    <t>ORD-86</t>
  </si>
  <si>
    <t>Rady</t>
  </si>
  <si>
    <t>Aqila clean</t>
  </si>
  <si>
    <t>jasa cuci karpet kantor cuci karpet masjid cuci sepringbed cuci sofa</t>
  </si>
  <si>
    <t>6281905836259</t>
  </si>
  <si>
    <t>jasa cuci karpet kantor karpet masjid cuci sepringbed sofa panggilan jabodetabek</t>
  </si>
  <si>
    <t>20 tahun keatas</t>
  </si>
  <si>
    <t>Laki laki dan wanita</t>
  </si>
  <si>
    <t>120226995402390694</t>
  </si>
  <si>
    <t>ORD-87</t>
  </si>
  <si>
    <t>Artha Jaya</t>
  </si>
  <si>
    <t>Artha Jaya Kaca Mobil</t>
  </si>
  <si>
    <t>Jasa ganti kaca mobil</t>
  </si>
  <si>
    <t>6285757057088</t>
  </si>
  <si>
    <t>Surakarta</t>
  </si>
  <si>
    <t>Jasa Otomotif Terdekat-R10-476331375569214</t>
  </si>
  <si>
    <t>120227358608350200</t>
  </si>
  <si>
    <t>ORD-88</t>
  </si>
  <si>
    <t>Arifin</t>
  </si>
  <si>
    <t>TERAPY SEHAT QUR'ANY</t>
  </si>
  <si>
    <t>ONLINE Pelatihan Ruqyah Praktis</t>
  </si>
  <si>
    <t>6285274759862</t>
  </si>
  <si>
    <t>Pati Jateng</t>
  </si>
  <si>
    <t>20-50</t>
  </si>
  <si>
    <t>120226549070030694</t>
  </si>
  <si>
    <t>ORD-89</t>
  </si>
  <si>
    <t>Abdul Rozak</t>
  </si>
  <si>
    <t>AR Kontraktor</t>
  </si>
  <si>
    <t>6281316155059</t>
  </si>
  <si>
    <t>jasa kontraktor bangunan sivil renovasi rumah dan bangun baru,serta kontruksi baja, mekanikal electrical dan jasa pengelasan pembuatan kanopi pagar tralis</t>
  </si>
  <si>
    <t>18 ke atas</t>
  </si>
  <si>
    <t>120227616873540235</t>
  </si>
  <si>
    <t>ORD-91</t>
  </si>
  <si>
    <t>Kak Yopi</t>
  </si>
  <si>
    <t>CV BIMA ARSITEKA</t>
  </si>
  <si>
    <t>Kontraktor bangun rumah mewah di Palembang</t>
  </si>
  <si>
    <t>6282176695820</t>
  </si>
  <si>
    <t>Palembang dan sekitarnya</t>
  </si>
  <si>
    <t>20 thn sd 60 tahun</t>
  </si>
  <si>
    <t>Laki-laki dan Perempuan.</t>
  </si>
  <si>
    <t>120227665462840235</t>
  </si>
  <si>
    <t>Ikhsan</t>
  </si>
  <si>
    <t>Heriyana</t>
  </si>
  <si>
    <t>CV permadana dipta</t>
  </si>
  <si>
    <t>booth container kusen almunium tralis canopi dll</t>
  </si>
  <si>
    <t>6289523308892</t>
  </si>
  <si>
    <t>Cirebon Kuningan Brebes</t>
  </si>
  <si>
    <t>25-50</t>
  </si>
  <si>
    <t>120227597002480235</t>
  </si>
  <si>
    <t>ORD-92</t>
  </si>
  <si>
    <t>Sutarno</t>
  </si>
  <si>
    <t>Lintang interior</t>
  </si>
  <si>
    <t>6281632236409</t>
  </si>
  <si>
    <t>Padang, Sumbar</t>
  </si>
  <si>
    <t>120227621495260235</t>
  </si>
  <si>
    <t>ORD-93</t>
  </si>
  <si>
    <t>Etiana</t>
  </si>
  <si>
    <t>Coach Etiana Ris</t>
  </si>
  <si>
    <t>bisnis on line</t>
  </si>
  <si>
    <t>628127962347</t>
  </si>
  <si>
    <t>produk digital</t>
  </si>
  <si>
    <t>Seluruh indonesia</t>
  </si>
  <si>
    <t>laki dan perempuan</t>
  </si>
  <si>
    <t>120227060953170694</t>
  </si>
  <si>
    <t>ORD-94</t>
  </si>
  <si>
    <t>bpk Irawan</t>
  </si>
  <si>
    <t>CV MJB property</t>
  </si>
  <si>
    <t>jasa bangun rumah , desain</t>
  </si>
  <si>
    <t>6282141603091</t>
  </si>
  <si>
    <t>bangun rumah toko kantor baru  dan renovasi ,desain , profesional</t>
  </si>
  <si>
    <t>Gresik, Surabaya, Sidoarjo, Mojokerto, Lamongan</t>
  </si>
  <si>
    <t>120227665552330235</t>
  </si>
  <si>
    <t>ORD-95</t>
  </si>
  <si>
    <t>fery</t>
  </si>
  <si>
    <t>MULTI JASA POOL</t>
  </si>
  <si>
    <t>pembuatan kolam renang, renovasi dan maintenance kolam renang</t>
  </si>
  <si>
    <t>6282324392716</t>
  </si>
  <si>
    <t>Semua</t>
  </si>
  <si>
    <t>120227665559290235</t>
  </si>
  <si>
    <t>ORD-96</t>
  </si>
  <si>
    <t>khafid ali</t>
  </si>
  <si>
    <t>cv adam jaya construction</t>
  </si>
  <si>
    <t>desain dan bangun</t>
  </si>
  <si>
    <t>6281283325291</t>
  </si>
  <si>
    <t>Cibubur,Jaksel,Cipete ,Lebak bulus dan sekitarnya</t>
  </si>
  <si>
    <t>17-55 thn</t>
  </si>
  <si>
    <t>120227665562340235</t>
  </si>
  <si>
    <t>ORD-97</t>
  </si>
  <si>
    <t>12-Des-2025</t>
  </si>
  <si>
    <t>Para Ir. Berpengalaman</t>
  </si>
  <si>
    <t>PT. Panorama Jaya Labana</t>
  </si>
  <si>
    <t>Usaha Jasa Konstruksi spesialist bangun / renovasi Rumah</t>
  </si>
  <si>
    <t>628122102657</t>
  </si>
  <si>
    <t>Radius 10 Km dari lokasi kantor</t>
  </si>
  <si>
    <t>SU</t>
  </si>
  <si>
    <t>R03-768362231010540</t>
  </si>
  <si>
    <t>ORD-98</t>
  </si>
  <si>
    <t>A,R,Huda</t>
  </si>
  <si>
    <t>Uwais property</t>
  </si>
  <si>
    <t>pengembangan perumahan</t>
  </si>
  <si>
    <t>6281575323811</t>
  </si>
  <si>
    <t>lokasi tengah kampung,solo sragen Karanganyar, lokasi perumahan sudah difasilitasi masjid</t>
  </si>
  <si>
    <t>para pasangan muda mudi</t>
  </si>
  <si>
    <t>Rokhma</t>
  </si>
  <si>
    <t>120227596978200235</t>
  </si>
  <si>
    <t>ORD-99</t>
  </si>
  <si>
    <t>Mahmudi</t>
  </si>
  <si>
    <t>CV Cahaya Makmur Sentosa</t>
  </si>
  <si>
    <t>6281327680909</t>
  </si>
  <si>
    <t>Abiansemal</t>
  </si>
  <si>
    <t>Dewasa</t>
  </si>
  <si>
    <t>Laki laki</t>
  </si>
  <si>
    <t>120227597591780235</t>
  </si>
  <si>
    <t>ORD-100</t>
  </si>
  <si>
    <t>Budi Muhdiar</t>
  </si>
  <si>
    <t>Dearhouse</t>
  </si>
  <si>
    <t>6287778562681</t>
  </si>
  <si>
    <t>jasa perbaikan rumah tinggal, renovasi dan bangun baru</t>
  </si>
  <si>
    <t>jakarta tangerang (banten)</t>
  </si>
  <si>
    <t>35 th ke atas</t>
  </si>
  <si>
    <t>120227597633480235</t>
  </si>
  <si>
    <t>ORD-101</t>
  </si>
  <si>
    <t>Ety</t>
  </si>
  <si>
    <t>Salon Ety Wedding</t>
  </si>
  <si>
    <t>salon kecantikan dan rias pengantin</t>
  </si>
  <si>
    <t>6285642607938</t>
  </si>
  <si>
    <t>adiwerna tegal. brebes. slawi dan sekitarnya</t>
  </si>
  <si>
    <t>anak-anak, remaja, dewasa</t>
  </si>
  <si>
    <t>120228726720460200</t>
  </si>
  <si>
    <t>ORD-102</t>
  </si>
  <si>
    <t>Budiyanto</t>
  </si>
  <si>
    <t>Berkah Contruction</t>
  </si>
  <si>
    <t>kontruksi bangunan atau renovasi</t>
  </si>
  <si>
    <t>6283866009989</t>
  </si>
  <si>
    <t>pembangunan rumah pribadi dari 0 atau renovasi kantor, gudang.</t>
  </si>
  <si>
    <t>jawa tengah</t>
  </si>
  <si>
    <t>120227705617350235</t>
  </si>
  <si>
    <t>ORD-103</t>
  </si>
  <si>
    <t>Zaenal Abidin</t>
  </si>
  <si>
    <t>Agen Properti</t>
  </si>
  <si>
    <t>Properti</t>
  </si>
  <si>
    <t>6282224315700</t>
  </si>
  <si>
    <t>rumah siap huni beverly lake parung panjang bogor</t>
  </si>
  <si>
    <t>jakarta selatan, tangerang selatan, serpong, depok, bekasi, bogor</t>
  </si>
  <si>
    <t>ORD-104</t>
  </si>
  <si>
    <t>massudi</t>
  </si>
  <si>
    <t>Masudi property</t>
  </si>
  <si>
    <t>bangun rumah, renovasi rumah, ruko, kontrakan, pasang baja ringan, pasang plafon, pasang partisi, pasang pager beton,dll</t>
  </si>
  <si>
    <t>6287877805175</t>
  </si>
  <si>
    <t>bangun dari 0 dan renovasi</t>
  </si>
  <si>
    <t>Tangerang dan Jakarta</t>
  </si>
  <si>
    <t>laki laki</t>
  </si>
  <si>
    <t>120227763374400235</t>
  </si>
  <si>
    <t>ORD-105</t>
  </si>
  <si>
    <t>m mundho</t>
  </si>
  <si>
    <t>MEKAR JAYA FURNITURE</t>
  </si>
  <si>
    <t>MEBEL</t>
  </si>
  <si>
    <t>6285227384634</t>
  </si>
  <si>
    <t>produksi mebel,melayani berbagai macam produk furniture dan interior,baik itu lokal,garden,indor, custom dll</t>
  </si>
  <si>
    <t>Bali,Seluruh Indonesia</t>
  </si>
  <si>
    <t>120227198746130694</t>
  </si>
  <si>
    <t>ORD-106</t>
  </si>
  <si>
    <t>Advent</t>
  </si>
  <si>
    <t>Gesit Laundry</t>
  </si>
  <si>
    <t>Laundry/Binatu</t>
  </si>
  <si>
    <t>62818585822</t>
  </si>
  <si>
    <t>jasa laundry profesional</t>
  </si>
  <si>
    <t>binjai kota, pekan binjai</t>
  </si>
  <si>
    <t>18-60 th</t>
  </si>
  <si>
    <t>120227123792540694</t>
  </si>
  <si>
    <t>ORD-107</t>
  </si>
  <si>
    <t>Agus Ribowo</t>
  </si>
  <si>
    <t>Jagat Kitchen set Kudus</t>
  </si>
  <si>
    <t>interior dan furniture</t>
  </si>
  <si>
    <t>6281393958199</t>
  </si>
  <si>
    <t>melayani Interior dan furniture , kitchen set, dengan model terbaru,harga sesuai kualitas dll</t>
  </si>
  <si>
    <t>Jepara,kudus,Pati,Demak</t>
  </si>
  <si>
    <t>120227198002550694</t>
  </si>
  <si>
    <t>ORD-108</t>
  </si>
  <si>
    <t>Ela Uhaela</t>
  </si>
  <si>
    <t>BIRRUYA Tour</t>
  </si>
  <si>
    <t>Biro wisata dan perjalanan</t>
  </si>
  <si>
    <t>6285725492572</t>
  </si>
  <si>
    <t>Surakarta, Sukoharjo, Karanganyar, Sragen</t>
  </si>
  <si>
    <t>laki-laki - perempuan</t>
  </si>
  <si>
    <t>120227198252520694</t>
  </si>
  <si>
    <t>ORD-109</t>
  </si>
  <si>
    <t>Yudi Setiawan</t>
  </si>
  <si>
    <t>Soto Padang Sutan Rajo</t>
  </si>
  <si>
    <t>Kuliner</t>
  </si>
  <si>
    <t>6282125465047</t>
  </si>
  <si>
    <t>Melayani pesanan soto Padang,bisa delivery order</t>
  </si>
  <si>
    <t>Jakarta,Depok, Cibinong, Bogor</t>
  </si>
  <si>
    <t>su</t>
  </si>
  <si>
    <t>120228772220510200</t>
  </si>
  <si>
    <t>ORD-110</t>
  </si>
  <si>
    <t>ari</t>
  </si>
  <si>
    <t>Rizky jaya</t>
  </si>
  <si>
    <t>kontruksi kanopi pagar tralis pembuatan gudang pabrik mezanin balkon dll.</t>
  </si>
  <si>
    <t>6281233044823</t>
  </si>
  <si>
    <t>6285180805171</t>
  </si>
  <si>
    <t>Sidoarjo Surabaya Mojokerto gersik</t>
  </si>
  <si>
    <t>120227759007140235</t>
  </si>
  <si>
    <t>ORD-111</t>
  </si>
  <si>
    <t>Nurul Hasanah</t>
  </si>
  <si>
    <t>NH SALON &amp; SPA</t>
  </si>
  <si>
    <t>hydra facial, smooting, creambat nano+ozone, hair tonic, hair mask, potong rambut, perawatan rambut rontok, coloring, blow permanen, hair spa, pijat, totok wajah, eyelash, meni pedi, nail art, perawatan rambut pasca coloring dll</t>
  </si>
  <si>
    <t>banjarmasin dan banjarbaru kalsel</t>
  </si>
  <si>
    <t>21-40 th</t>
  </si>
  <si>
    <t>120228856288560200</t>
  </si>
  <si>
    <t>ORD-112</t>
  </si>
  <si>
    <t>zainul karim</t>
  </si>
  <si>
    <t>Urban Poin</t>
  </si>
  <si>
    <t>jasa laser cutting metal dan nonmetal</t>
  </si>
  <si>
    <t>6289617461806</t>
  </si>
  <si>
    <t>jakarta, tangerang, depok, bekasi,</t>
  </si>
  <si>
    <t>20-55 thn</t>
  </si>
  <si>
    <t>120227852383740235</t>
  </si>
  <si>
    <t>ORD-113</t>
  </si>
  <si>
    <t>soleh fudin</t>
  </si>
  <si>
    <t>Gudang Granit Bali</t>
  </si>
  <si>
    <t>jual granit</t>
  </si>
  <si>
    <t>6281230995752</t>
  </si>
  <si>
    <t>granit ukuran 60x60 warna cream merk sun power double loding, harga per meter 85.000</t>
  </si>
  <si>
    <t>gianyar, denpasar, klungkung, bangli, tabanan, karangasem, singaraja</t>
  </si>
  <si>
    <t>laki /pr</t>
  </si>
  <si>
    <t>120227852469540235</t>
  </si>
  <si>
    <t>ORD-114</t>
  </si>
  <si>
    <t>Muhammad Zulkam</t>
  </si>
  <si>
    <t>Bismillah Meubel</t>
  </si>
  <si>
    <t>Furniture</t>
  </si>
  <si>
    <t>6285733774700</t>
  </si>
  <si>
    <t>.</t>
  </si>
  <si>
    <t>Jawa Timur &amp; Madura</t>
  </si>
  <si>
    <t>27-55</t>
  </si>
  <si>
    <t>Laki - Laki dan perempuan</t>
  </si>
  <si>
    <t>120227268767050694</t>
  </si>
  <si>
    <t>ORD-115</t>
  </si>
  <si>
    <t>Bandi</t>
  </si>
  <si>
    <t>Bandi Karya Furniture</t>
  </si>
  <si>
    <t>mebel/furniture</t>
  </si>
  <si>
    <t>6281215851833</t>
  </si>
  <si>
    <t>menerima segala macam jenis pesanan furniture untuk perumahan, resto, cafe, villa hotel, apartemen dan juga ekspor</t>
  </si>
  <si>
    <t>jawa dan bali</t>
  </si>
  <si>
    <t>20 up</t>
  </si>
  <si>
    <t>120227852333320235</t>
  </si>
  <si>
    <t>ORD-116</t>
  </si>
  <si>
    <t>M Yusuf</t>
  </si>
  <si>
    <t>CV TPTU SERVICE TEKNIK</t>
  </si>
  <si>
    <t>Service Ac, Elektronik &amp; Instalasi Listrik</t>
  </si>
  <si>
    <t>6285361188745</t>
  </si>
  <si>
    <t>dumai kota &amp; sekitarnya. bukit timah, bagan besar, bukit nenas, bukit kapur</t>
  </si>
  <si>
    <t>32 th</t>
  </si>
  <si>
    <t>R04-206726568613432</t>
  </si>
  <si>
    <t>120213718632400554</t>
  </si>
  <si>
    <t>ORD-118</t>
  </si>
  <si>
    <t>Suriadi</t>
  </si>
  <si>
    <t>Berkat Property77</t>
  </si>
  <si>
    <t>Property</t>
  </si>
  <si>
    <t>6282183115806</t>
  </si>
  <si>
    <t>jasa pembangunan rumah mulai dari pondasi sampai siap huni. jasa sekaligus dengan bahan material, harga mulai dari 4 jt an per mtr, harga tergantung spek dan lokasi yang akan di bangun, sistem pembayaran bertahap.</t>
  </si>
  <si>
    <t>kalimantan selatan</t>
  </si>
  <si>
    <t>120227916249590235</t>
  </si>
  <si>
    <t>Pembuatan Iklan</t>
  </si>
  <si>
    <t>ORD-119</t>
  </si>
  <si>
    <t>Diki irwandi</t>
  </si>
  <si>
    <t>CV Masif Jaya Bangun</t>
  </si>
  <si>
    <t>6285797903614</t>
  </si>
  <si>
    <t>pembangunan dari nol atau renovasi bangunan rumah , kios, ruko , kantor dll</t>
  </si>
  <si>
    <t>Cirebon , Majalengka, Indramayu, Kuningan, jakarta , Bogor , kerawang , Bekasi</t>
  </si>
  <si>
    <t>120227916554090235</t>
  </si>
  <si>
    <t>Norma Property</t>
  </si>
  <si>
    <t>property</t>
  </si>
  <si>
    <t>6281514999073</t>
  </si>
  <si>
    <t>21-55</t>
  </si>
  <si>
    <t>120227916651820235</t>
  </si>
  <si>
    <t>ORD-120</t>
  </si>
  <si>
    <t>Ahmad khuzaifah</t>
  </si>
  <si>
    <t>CV cahaya nur property</t>
  </si>
  <si>
    <t>6283151330372</t>
  </si>
  <si>
    <t>Medan Sumatera Utara</t>
  </si>
  <si>
    <t>23-60 tahun</t>
  </si>
  <si>
    <t>laki laki dan wanita</t>
  </si>
  <si>
    <t>120227919944700235</t>
  </si>
  <si>
    <t>ORD-121</t>
  </si>
  <si>
    <t>Tri Suwanto</t>
  </si>
  <si>
    <t>Mekar Mulyo</t>
  </si>
  <si>
    <t>Interior dan Furniture</t>
  </si>
  <si>
    <t>6281932590871</t>
  </si>
  <si>
    <t>belum pernah di komplain</t>
  </si>
  <si>
    <t>Baturiti Bali</t>
  </si>
  <si>
    <t>20 th ke atas</t>
  </si>
  <si>
    <t>ORD-122</t>
  </si>
  <si>
    <t>Alfie</t>
  </si>
  <si>
    <t>Alfie salon</t>
  </si>
  <si>
    <t>salon, eyelash,nail</t>
  </si>
  <si>
    <t>6285775986977</t>
  </si>
  <si>
    <t>lenteng agung Jakarta selatan sekitar nya</t>
  </si>
  <si>
    <t>16 -40thn</t>
  </si>
  <si>
    <t>120228922080020200</t>
  </si>
  <si>
    <t>ORD-123</t>
  </si>
  <si>
    <t>Aang Kurniawan</t>
  </si>
  <si>
    <t>Jaya Lasindo</t>
  </si>
  <si>
    <t>Las besi dan stainless</t>
  </si>
  <si>
    <t>6281383899119</t>
  </si>
  <si>
    <t>Mengerjakan berbagai pengelasan besi dan stainless stell 201,304 dengan kualitas yang terpercaya dan harga bersaing.</t>
  </si>
  <si>
    <t>Bekasi</t>
  </si>
  <si>
    <t>25 th keatas</t>
  </si>
  <si>
    <t>120227927375710235</t>
  </si>
  <si>
    <t>ORD-124</t>
  </si>
  <si>
    <t>Angel</t>
  </si>
  <si>
    <t>Labhu Shop And Grooming Home Service</t>
  </si>
  <si>
    <t>Healthy Meal And Treat For Your Anabul</t>
  </si>
  <si>
    <t>6281299907533</t>
  </si>
  <si>
    <t>Jawa Barat , seluruh Indonesia</t>
  </si>
  <si>
    <t>18-60</t>
  </si>
  <si>
    <t>Perempuan dan laki2</t>
  </si>
  <si>
    <t>120227377048170694</t>
  </si>
  <si>
    <t>ORD-125</t>
  </si>
  <si>
    <t>7-Des-2025</t>
  </si>
  <si>
    <t>Heru Widodo</t>
  </si>
  <si>
    <t>Ragil Mapan 58</t>
  </si>
  <si>
    <t>perdagangan kayu</t>
  </si>
  <si>
    <t>6282230035858</t>
  </si>
  <si>
    <t>utama-magelang, muntilan, sleman, DIY, klaten, purworejo, temanggung.</t>
  </si>
  <si>
    <t>25-65 th</t>
  </si>
  <si>
    <t>ORD-126</t>
  </si>
  <si>
    <t>ORD-127</t>
  </si>
  <si>
    <t>Anang syaifudin</t>
  </si>
  <si>
    <t>zada karya</t>
  </si>
  <si>
    <t>6283135590465</t>
  </si>
  <si>
    <t>melayani pengerjaan bangunan rumah baru , kost, ruko, dan renovasi</t>
  </si>
  <si>
    <t>surabaya</t>
  </si>
  <si>
    <t>semua golongan</t>
  </si>
  <si>
    <t>120227985006820235</t>
  </si>
  <si>
    <t>ORD-128</t>
  </si>
  <si>
    <t>Bengkel Las Lima Sodara (Repeat Order)</t>
  </si>
  <si>
    <t>ORD-129</t>
  </si>
  <si>
    <t>Nuraini</t>
  </si>
  <si>
    <t>TILA GORDEN</t>
  </si>
  <si>
    <t>GORDEN</t>
  </si>
  <si>
    <t>6285358461095</t>
  </si>
  <si>
    <t>menerima Tempahan GORDYN, vertikel Blind,Role blind dll</t>
  </si>
  <si>
    <t>NAD dan Sumut</t>
  </si>
  <si>
    <t>16-55</t>
  </si>
  <si>
    <t>SEMUA</t>
  </si>
  <si>
    <t>ORD-131</t>
  </si>
  <si>
    <t>MA- AL ISLAM</t>
  </si>
  <si>
    <t>Lowongan Pekerjaan Guru Mapel PPKN</t>
  </si>
  <si>
    <t>kota surakarta, kabupaten sukoharjo, karanganyar.</t>
  </si>
  <si>
    <t>20-35 th</t>
  </si>
  <si>
    <t>pria / wanita</t>
  </si>
  <si>
    <t>120229044697080200</t>
  </si>
  <si>
    <t>ORD-132</t>
  </si>
  <si>
    <t>Heri</t>
  </si>
  <si>
    <t>Abadi Tehnik Spring</t>
  </si>
  <si>
    <t>Spring/Per</t>
  </si>
  <si>
    <t>6285711667433</t>
  </si>
  <si>
    <t>jabodetabek dan sekitarnya</t>
  </si>
  <si>
    <t>semua umur</t>
  </si>
  <si>
    <t>pria/wanita</t>
  </si>
  <si>
    <t>120229045975790200</t>
  </si>
  <si>
    <t>ORD-133</t>
  </si>
  <si>
    <t>Sutrisno</t>
  </si>
  <si>
    <t>BMT (Bangun manunggal</t>
  </si>
  <si>
    <t>Kontraktor dan perdagangan umum</t>
  </si>
  <si>
    <t>6287874945781</t>
  </si>
  <si>
    <t>design, rab,maket,pelaksanan konstruksi</t>
  </si>
  <si>
    <t>ORD-134</t>
  </si>
  <si>
    <t>https</t>
  </si>
  <si>
    <t>ORD-135</t>
  </si>
  <si>
    <t>okta fitriansyah</t>
  </si>
  <si>
    <t>Deriano</t>
  </si>
  <si>
    <t>jasa pengadaan perlengkapan umroh</t>
  </si>
  <si>
    <t>6282122880328</t>
  </si>
  <si>
    <t>seluruh Indonesia</t>
  </si>
  <si>
    <t>Data iklan</t>
  </si>
  <si>
    <t>120229042729450200</t>
  </si>
  <si>
    <t>ORD-136</t>
  </si>
  <si>
    <t>Bambang</t>
  </si>
  <si>
    <t>Terafis Sinergi</t>
  </si>
  <si>
    <t>Terapi</t>
  </si>
  <si>
    <t>6281253792753</t>
  </si>
  <si>
    <t>pijet sinergi,kretek, hibernasi,tai dll</t>
  </si>
  <si>
    <t>Bontang , Kalimantan Timur</t>
  </si>
  <si>
    <t>120229043111840200</t>
  </si>
  <si>
    <t>ORD-138</t>
  </si>
  <si>
    <t>Antoni</t>
  </si>
  <si>
    <t>Antoni kontruksi</t>
  </si>
  <si>
    <t>Pemborong bangunan</t>
  </si>
  <si>
    <t>6281383434602</t>
  </si>
  <si>
    <t>menerima jasa renovasi rumah, pemasangan plafon, pembuatan kolam ikan , pengecatan motif marmer dll</t>
  </si>
  <si>
    <t>Jonggol, Cileungsi, Bekasi</t>
  </si>
  <si>
    <t>120228074253530235</t>
  </si>
  <si>
    <t>Diosty Sembiring</t>
  </si>
  <si>
    <t>Toko Emas Sembiring</t>
  </si>
  <si>
    <t>perhiasan jual beli emas</t>
  </si>
  <si>
    <t>6281263113266</t>
  </si>
  <si>
    <t>jual beli emas</t>
  </si>
  <si>
    <t>sumatera utara kabupaten langkat dan kota medan</t>
  </si>
  <si>
    <t>25-80 th</t>
  </si>
  <si>
    <t>ORD-139</t>
  </si>
  <si>
    <t>Basuki R</t>
  </si>
  <si>
    <t>CV TRUNOJOYO</t>
  </si>
  <si>
    <t>6282385989828</t>
  </si>
  <si>
    <t>Jasa kontruksi bangunan dari nol dan renovasi rumah ,ruko, perkantoran dll</t>
  </si>
  <si>
    <t>Kota Batam, Kepulauan Riau</t>
  </si>
  <si>
    <t>18-56</t>
  </si>
  <si>
    <t>Bangun karya-R11-703817629479483</t>
  </si>
  <si>
    <t>120228358432290235</t>
  </si>
  <si>
    <t>ORD-140</t>
  </si>
  <si>
    <t>Teguh yuli</t>
  </si>
  <si>
    <t>Mebel Yuca Sidomakmur</t>
  </si>
  <si>
    <t>6282399721881</t>
  </si>
  <si>
    <t>Sentani Jayapura</t>
  </si>
  <si>
    <t>laki dan wanita</t>
  </si>
  <si>
    <t>120227435971340694</t>
  </si>
  <si>
    <t>ORD-141</t>
  </si>
  <si>
    <t>Heri Ay</t>
  </si>
  <si>
    <t>PT Cahaya kreasi konstruksi</t>
  </si>
  <si>
    <t>6281293309300</t>
  </si>
  <si>
    <t>Tangerang</t>
  </si>
  <si>
    <t>sesuaikan</t>
  </si>
  <si>
    <t>120228145704780235</t>
  </si>
  <si>
    <t>ORD-142</t>
  </si>
  <si>
    <t>Yuni irawati</t>
  </si>
  <si>
    <t>Langgeng salon</t>
  </si>
  <si>
    <t>salon /barber coffe shop</t>
  </si>
  <si>
    <t>6281315230027</t>
  </si>
  <si>
    <t>promo salon + barber + kopi</t>
  </si>
  <si>
    <t>Cibubur/Depok</t>
  </si>
  <si>
    <t>wanita dan pria</t>
  </si>
  <si>
    <t>120227493222350694</t>
  </si>
  <si>
    <t>ORD-144</t>
  </si>
  <si>
    <t>Pt Natama Sarana Tehnik (repeat order)</t>
  </si>
  <si>
    <t>kontruksi sipil, design, &amp; mep</t>
  </si>
  <si>
    <t>kota medan</t>
  </si>
  <si>
    <t>ORD-145</t>
  </si>
  <si>
    <t>Vasta Agency</t>
  </si>
  <si>
    <t>Perumahan Puri Resonegaran</t>
  </si>
  <si>
    <t>Rumah Subsidi</t>
  </si>
  <si>
    <t>6282214481223</t>
  </si>
  <si>
    <t>rumah subsidi uk 30/60</t>
  </si>
  <si>
    <t>kendal, semarang, weleri, kaliwungu, boja</t>
  </si>
  <si>
    <t>19-65 th</t>
  </si>
  <si>
    <t>ORD-146</t>
  </si>
  <si>
    <t>Masrurim</t>
  </si>
  <si>
    <t>Toko Maju Lancar</t>
  </si>
  <si>
    <t>meubel</t>
  </si>
  <si>
    <t>6282325874670</t>
  </si>
  <si>
    <t>menyediakan berbagai springbed kasur busa, model rak dapur, lemari hias, lemari baju, lemari besi, kulkas, mesin cuci</t>
  </si>
  <si>
    <t>jalan kedung cowek trowolu ngaringan grobogan</t>
  </si>
  <si>
    <t>120227514790550694</t>
  </si>
  <si>
    <t>ORD-147</t>
  </si>
  <si>
    <t>Doni</t>
  </si>
  <si>
    <t>Doni PVC Dhamasraya</t>
  </si>
  <si>
    <t>Plafon PVC</t>
  </si>
  <si>
    <t>6281374115054</t>
  </si>
  <si>
    <t>luppong plapon pvc, plapon kuba interior, gipsum, kerangka baja, wolmoding, wpc</t>
  </si>
  <si>
    <t>Dharmasraya, Solok Selatan, Sijunjung, Bungo</t>
  </si>
  <si>
    <t>120228212238230235</t>
  </si>
  <si>
    <t>ORD-148</t>
  </si>
  <si>
    <t>Nihayah</t>
  </si>
  <si>
    <t>Remnaskin</t>
  </si>
  <si>
    <t>Skincare</t>
  </si>
  <si>
    <t>6285777110340</t>
  </si>
  <si>
    <t>skincare kosmetik wajah bpom aman di gunakan jangka panjang</t>
  </si>
  <si>
    <t>menyeluruh</t>
  </si>
  <si>
    <t>15-50 th</t>
  </si>
  <si>
    <t>120229123250420200</t>
  </si>
  <si>
    <t>ORD-149</t>
  </si>
  <si>
    <t>Noer Fadillah</t>
  </si>
  <si>
    <t>bangun, renov rumah dan gedung</t>
  </si>
  <si>
    <t>6285722222257</t>
  </si>
  <si>
    <t>bangun rumah dari nol, renovasi rumah industrial, scandinavian dll</t>
  </si>
  <si>
    <t>jawa barat</t>
  </si>
  <si>
    <t>ORD-150</t>
  </si>
  <si>
    <t>Riyan Permana</t>
  </si>
  <si>
    <t>Cipta Gading Interior</t>
  </si>
  <si>
    <t>Interior Desain</t>
  </si>
  <si>
    <t>628158830325</t>
  </si>
  <si>
    <t>bisa membuat furniture custom sesuai dengan keinginan klien</t>
  </si>
  <si>
    <t>120229240969330200</t>
  </si>
  <si>
    <t>ORD-151</t>
  </si>
  <si>
    <t>Audy Thomas</t>
  </si>
  <si>
    <t>SPESIALIS TAMAN MANADO</t>
  </si>
  <si>
    <t>Tanaman Hias</t>
  </si>
  <si>
    <t>6285240694097</t>
  </si>
  <si>
    <t>jual tanaman hias dan berbagai jenis rumput taman</t>
  </si>
  <si>
    <t>manado, sulut, dan sekitarnya</t>
  </si>
  <si>
    <t>120227562313950694</t>
  </si>
  <si>
    <t>ORD-152</t>
  </si>
  <si>
    <t>Bayu S</t>
  </si>
  <si>
    <t>Bayu Meble Costum</t>
  </si>
  <si>
    <t>Interior custom</t>
  </si>
  <si>
    <t>6281938563373</t>
  </si>
  <si>
    <t>mengerjakan pembuatan kitchen set ,room set, backdrop tv, partisi, plavon PVC, kanopi galvalum,pintu,kusen dll</t>
  </si>
  <si>
    <t>Mojokerto, Sidoarjo , Surabaya,Jatim</t>
  </si>
  <si>
    <t>120227588173480694</t>
  </si>
  <si>
    <t>ORD-153</t>
  </si>
  <si>
    <t>Karna Saputra</t>
  </si>
  <si>
    <t>MULIA KUBAH JAYA</t>
  </si>
  <si>
    <t>Waterprofing membran bakar</t>
  </si>
  <si>
    <t>6282365004117</t>
  </si>
  <si>
    <t>bengkel las,Waterprofing membran bakar ,kubah enamel, kubah,tralis dll</t>
  </si>
  <si>
    <t>Jawa Tengah</t>
  </si>
  <si>
    <t>120228297169230235</t>
  </si>
  <si>
    <t>ORD-154</t>
  </si>
  <si>
    <t>Gilang Izul Fikri</t>
  </si>
  <si>
    <t>HomelyNest</t>
  </si>
  <si>
    <t>Specialist Aluminium</t>
  </si>
  <si>
    <t>6285167182620</t>
  </si>
  <si>
    <t>Specialist Aluminium Kaca, Pintu, Jendela, Kaca Kanopi, Partisi Kaca dan Aluminium, ACP</t>
  </si>
  <si>
    <t>120228212386970235</t>
  </si>
  <si>
    <t>ORD-155</t>
  </si>
  <si>
    <t>sukiyat</t>
  </si>
  <si>
    <t>GK Trans</t>
  </si>
  <si>
    <t>pengiriman barang</t>
  </si>
  <si>
    <t>6281399731413</t>
  </si>
  <si>
    <t>jasa muat barang dari Tangerang ke seluruh Jabodetabek</t>
  </si>
  <si>
    <t>120229191444440200</t>
  </si>
  <si>
    <t>ORD-156</t>
  </si>
  <si>
    <t>Riyanto</t>
  </si>
  <si>
    <t>Riyanto kontruksi</t>
  </si>
  <si>
    <t>jasa konstruksi</t>
  </si>
  <si>
    <t>6285950836788</t>
  </si>
  <si>
    <t>konstruksi</t>
  </si>
  <si>
    <t>120228611861660235</t>
  </si>
  <si>
    <t>ORD-157</t>
  </si>
  <si>
    <t>A.saripudin</t>
  </si>
  <si>
    <t>Arsyad kontruksi</t>
  </si>
  <si>
    <t>6281384442619</t>
  </si>
  <si>
    <t>jawabarat</t>
  </si>
  <si>
    <t>120229086165990235</t>
  </si>
  <si>
    <t>ORD-158</t>
  </si>
  <si>
    <t>Rumah cantik DRWSKINCARE</t>
  </si>
  <si>
    <t>Skincare salon</t>
  </si>
  <si>
    <t>gondrong kec Cipondoh dan Jakarta barat juga</t>
  </si>
  <si>
    <t>anak anak sampai ortu</t>
  </si>
  <si>
    <t>ORD-159</t>
  </si>
  <si>
    <t>Yadi Supriadi</t>
  </si>
  <si>
    <t>CV. ACHAY Boga mandiri</t>
  </si>
  <si>
    <t>Catering Services</t>
  </si>
  <si>
    <t>6281649155643</t>
  </si>
  <si>
    <t>Menyediakan Nasi Box,untuk perusahaan dan perorangan</t>
  </si>
  <si>
    <t>Kalimantan Timur</t>
  </si>
  <si>
    <t>120229259206600200</t>
  </si>
  <si>
    <t>ORD-160</t>
  </si>
  <si>
    <t>Yolandha</t>
  </si>
  <si>
    <t>Salon Yolandha</t>
  </si>
  <si>
    <t>Salon kecantikan</t>
  </si>
  <si>
    <t>6281248936324</t>
  </si>
  <si>
    <t>melayani jasa potong rambut,make up, smoting, warna rambut,Terapi demam, terapi capek, saraf kejepit, terapi telinga,spa body dll</t>
  </si>
  <si>
    <t>Sorong</t>
  </si>
  <si>
    <t>120229243324970200</t>
  </si>
  <si>
    <t>ORD-161</t>
  </si>
  <si>
    <t>tomi sumito</t>
  </si>
  <si>
    <t>Bumi persada interior</t>
  </si>
  <si>
    <t>interior exterior</t>
  </si>
  <si>
    <t>6285266218699</t>
  </si>
  <si>
    <t>melayani jasa interior dan exterior,kamar set, backdrop tv, partisi, kitchen set,dinding pintu hpl, pintu kayu , pemasangan plafon dll</t>
  </si>
  <si>
    <t>Bengkulu</t>
  </si>
  <si>
    <t>120227577856870694</t>
  </si>
  <si>
    <t>ORD-162</t>
  </si>
  <si>
    <t>gede artawa</t>
  </si>
  <si>
    <t>mitra kurir</t>
  </si>
  <si>
    <t>kurir lokal</t>
  </si>
  <si>
    <t>628174741283</t>
  </si>
  <si>
    <t>Mataram, lombok barat</t>
  </si>
  <si>
    <t>19 - 45</t>
  </si>
  <si>
    <t>120229259471270200</t>
  </si>
  <si>
    <t>ORD-163</t>
  </si>
  <si>
    <t>ORD-164</t>
  </si>
  <si>
    <t>Aan Nurdian</t>
  </si>
  <si>
    <t>Qui Panel dak dan di dinding beton ringan</t>
  </si>
  <si>
    <t>bahan bangunan jadi</t>
  </si>
  <si>
    <t>6285715856120</t>
  </si>
  <si>
    <t>kami memproduksi dak dan di dinding jadi,telah banyak di gunakan untuk berbagai bangunan dari rumah, sekolah, gedung, workshop, pesantren,kos kosan,ruko, dan banyak di gunakan untuk area tambang di Kalimantan, untuk mesh, kantor,dan bangunan lainnya</t>
  </si>
  <si>
    <t>Jabodetabek sekitar,pulau Jawa, Sumatra, Kalimantan</t>
  </si>
  <si>
    <t>47 tahun</t>
  </si>
  <si>
    <t>Maya</t>
  </si>
  <si>
    <t>120228359386110235</t>
  </si>
  <si>
    <t>RUMAH SOFA PONTIANAK</t>
  </si>
  <si>
    <t>SOFA</t>
  </si>
  <si>
    <t>6281347156140</t>
  </si>
  <si>
    <t>SAMBAS , SINGKAWANG , PONTIANAK</t>
  </si>
  <si>
    <t>17 ke atas</t>
  </si>
  <si>
    <t>LAKI DAN PEREMPUAN</t>
  </si>
  <si>
    <t>120227687103840694</t>
  </si>
  <si>
    <t>ORD-165</t>
  </si>
  <si>
    <t>Bang Banten</t>
  </si>
  <si>
    <t>Rumah Sehat Bang Banten (Repeat Order)</t>
  </si>
  <si>
    <t>6282172291579</t>
  </si>
  <si>
    <t>pekanbaru</t>
  </si>
  <si>
    <t>46 th</t>
  </si>
  <si>
    <t>ORD-166</t>
  </si>
  <si>
    <t>SAMIDI</t>
  </si>
  <si>
    <t>SAMIDI PLAFON PVC (Repeat Order)</t>
  </si>
  <si>
    <t>Bikin Plafon Rumah</t>
  </si>
  <si>
    <t>kualitas premium aman dan terpercaya</t>
  </si>
  <si>
    <t>seluruh luwu utara dan sekitarnya</t>
  </si>
  <si>
    <t>18-65 th</t>
  </si>
  <si>
    <t>ORD-167</t>
  </si>
  <si>
    <t>MITRA JASA PONDASI</t>
  </si>
  <si>
    <t>jasa bore pile</t>
  </si>
  <si>
    <t>6282134333004</t>
  </si>
  <si>
    <t>jakarta -semarang</t>
  </si>
  <si>
    <t>30-60 th</t>
  </si>
  <si>
    <t>120228484512880235</t>
  </si>
  <si>
    <t>ORD-170</t>
  </si>
  <si>
    <t>JUAL RUMAH</t>
  </si>
  <si>
    <t>6282115973014</t>
  </si>
  <si>
    <t>Jual rumah harga 5M nego</t>
  </si>
  <si>
    <t>Bandung,Jawa barat, seluruh Indonesia</t>
  </si>
  <si>
    <t>ORD-171</t>
  </si>
  <si>
    <t>bpk Aris Suharto</t>
  </si>
  <si>
    <t>CV MJB Property</t>
  </si>
  <si>
    <t>6281235549299</t>
  </si>
  <si>
    <t>ORD-172</t>
  </si>
  <si>
    <t>M. Iqbal</t>
  </si>
  <si>
    <t>Berkah Doa ibu Meubel</t>
  </si>
  <si>
    <t>interior costum dan furniture</t>
  </si>
  <si>
    <t>6285340323663</t>
  </si>
  <si>
    <t>jasa furniture dan interior,bisa costum dll</t>
  </si>
  <si>
    <t>Sulawesi</t>
  </si>
  <si>
    <t>120227814407090694</t>
  </si>
  <si>
    <t>ORD-173</t>
  </si>
  <si>
    <t>Litna br Sembiring</t>
  </si>
  <si>
    <t>LITNASALON</t>
  </si>
  <si>
    <t>Salon pengantin (MUA)&amp; salon kecantikan</t>
  </si>
  <si>
    <t>6281269441611</t>
  </si>
  <si>
    <t>makeup pengantin &amp; tudung pengantin karo, menerima murid kursus salon, privat makeup, menerima kursus salon pengantin dan kecantikan,</t>
  </si>
  <si>
    <t>binjai, Langkat, Medan, Sumatera Utara dan sekitarnya.</t>
  </si>
  <si>
    <t>15-30th</t>
  </si>
  <si>
    <t>120229308500110200</t>
  </si>
  <si>
    <t>ORD-174</t>
  </si>
  <si>
    <t>Iwayan Nyabuh Danuja</t>
  </si>
  <si>
    <t>PT SURYA HARTA JAYA PROPERTY</t>
  </si>
  <si>
    <t>6281138301069</t>
  </si>
  <si>
    <t>ubud</t>
  </si>
  <si>
    <t>17 th keatas</t>
  </si>
  <si>
    <t>120228406075090235</t>
  </si>
  <si>
    <t>Ipin</t>
  </si>
  <si>
    <t>Rimbun Nursery</t>
  </si>
  <si>
    <t>tanaman hias dan landscape</t>
  </si>
  <si>
    <t>6281213589905</t>
  </si>
  <si>
    <t>jasa pembuatan taman rumah, kantor, factory, dan supplier tanaman hias dan maintenance taman</t>
  </si>
  <si>
    <t>120227687637880694</t>
  </si>
  <si>
    <t>ORD-175</t>
  </si>
  <si>
    <t>Ni Luh Ratna Wati</t>
  </si>
  <si>
    <t>Seven table coffe and resto</t>
  </si>
  <si>
    <t>makanan / culinary</t>
  </si>
  <si>
    <t>6281364147407</t>
  </si>
  <si>
    <t>culinary</t>
  </si>
  <si>
    <t>Bintan dan batam</t>
  </si>
  <si>
    <t>wanita dan laki laki</t>
  </si>
  <si>
    <t>120227729897120694</t>
  </si>
  <si>
    <t>ORD-176</t>
  </si>
  <si>
    <t>Nasikun</t>
  </si>
  <si>
    <t>Aqip Custom interior</t>
  </si>
  <si>
    <t>6288228976100</t>
  </si>
  <si>
    <t>120227814470580694</t>
  </si>
  <si>
    <t>ORD-177</t>
  </si>
  <si>
    <t>Priyo aji</t>
  </si>
  <si>
    <t>Wijaya sakti</t>
  </si>
  <si>
    <t>Bidang design interior dan Pembuatan furniture</t>
  </si>
  <si>
    <t>6285863299162</t>
  </si>
  <si>
    <t>Menerima jasa design interior dan Pembuatan Furniture dan interior</t>
  </si>
  <si>
    <t>bogor dan bekasi</t>
  </si>
  <si>
    <t>120228492671520235</t>
  </si>
  <si>
    <t>ORD-178</t>
  </si>
  <si>
    <t>Deni</t>
  </si>
  <si>
    <t>HOME CARE THERAPY</t>
  </si>
  <si>
    <t>Jasa panggilan Terapi Cidera Otot dan Sendi</t>
  </si>
  <si>
    <t>6287777241263</t>
  </si>
  <si>
    <t>Purwokerto</t>
  </si>
  <si>
    <t>120229445720680200</t>
  </si>
  <si>
    <t>ORD-179</t>
  </si>
  <si>
    <t>Bangun Griya (repeat order)</t>
  </si>
  <si>
    <t>ORD-181</t>
  </si>
  <si>
    <t>Irian Nasri</t>
  </si>
  <si>
    <t>Kampus Bina Sriwijaya</t>
  </si>
  <si>
    <t>6281366622333</t>
  </si>
  <si>
    <t>wilayah palembang dan Indralaya</t>
  </si>
  <si>
    <t>18-50 th</t>
  </si>
  <si>
    <t>120229368849020200</t>
  </si>
  <si>
    <t>ORD-183</t>
  </si>
  <si>
    <t>Juli Setiawan</t>
  </si>
  <si>
    <t>Pratama Abadi Chemical</t>
  </si>
  <si>
    <t>distributor bahan kimia industri</t>
  </si>
  <si>
    <t>6281282183261</t>
  </si>
  <si>
    <t>30-55 th</t>
  </si>
  <si>
    <t>120229371867210200</t>
  </si>
  <si>
    <t>ORD-184</t>
  </si>
  <si>
    <t>Aziz Zyahrul Yahya</t>
  </si>
  <si>
    <t>AZY Baja &amp; Plafon</t>
  </si>
  <si>
    <t>kontruksi atap baja ringan dan plafon</t>
  </si>
  <si>
    <t>6287822304727</t>
  </si>
  <si>
    <t>22-70 th</t>
  </si>
  <si>
    <t>120228409156980235</t>
  </si>
  <si>
    <t>ORD-185</t>
  </si>
  <si>
    <t>Ahmad Suhendi</t>
  </si>
  <si>
    <t>Putra Bakti Teknik</t>
  </si>
  <si>
    <t>Service AC dan Elektronik</t>
  </si>
  <si>
    <t>6285668750416</t>
  </si>
  <si>
    <t>jasa service ac, bongkar pasang ac, jual ac baru atau seken, service mesin cuci, kulkas, dispenser dan elektronik lainnya.</t>
  </si>
  <si>
    <t>kota bandar lampung</t>
  </si>
  <si>
    <t>27 th ke atas</t>
  </si>
  <si>
    <t>120227721507770554</t>
  </si>
  <si>
    <t>ORD-186</t>
  </si>
  <si>
    <t>Shopia</t>
  </si>
  <si>
    <t>CV Shopia Steal</t>
  </si>
  <si>
    <t>Pintu dan Jendela Almunium dan Atap Kanopi</t>
  </si>
  <si>
    <t>6281351666729</t>
  </si>
  <si>
    <t>almunium dan bajaringan dan besi holo/galvanis</t>
  </si>
  <si>
    <t>kota samarinda, balikpapan, dan tenggarong</t>
  </si>
  <si>
    <t>40 th ke atas</t>
  </si>
  <si>
    <t>120228955202740235</t>
  </si>
  <si>
    <t>ORD-188</t>
  </si>
  <si>
    <t>WD Kontruksi (repeat order)</t>
  </si>
  <si>
    <t>Ester Okowali</t>
  </si>
  <si>
    <t>Healty Wellnes</t>
  </si>
  <si>
    <t>6281343148204</t>
  </si>
  <si>
    <t>Alpha Shop jual produk kesehatan dan kecantikan dari Bzzworld – mulai dari nutrisi (seperti AlphaMeta), perawatan wanita (Angel Moon), sampai alat penyeimbang energi (AlphaSpin).</t>
  </si>
  <si>
    <t>Papua</t>
  </si>
  <si>
    <t>120227849330500694</t>
  </si>
  <si>
    <t>ORD-187</t>
  </si>
  <si>
    <t>atar</t>
  </si>
  <si>
    <t>GAST TRAVEL</t>
  </si>
  <si>
    <t>sewa mobil bandung(city tour area bandung dan sekitar nya,bisa antar jemput bandara internasional soetta)</t>
  </si>
  <si>
    <t>6285169568997</t>
  </si>
  <si>
    <t>iklan pemasaran</t>
  </si>
  <si>
    <t>Indonesia</t>
  </si>
  <si>
    <t>120229470774300200</t>
  </si>
  <si>
    <t>Rahmat Hidayat</t>
  </si>
  <si>
    <t>Urut 10 Jari &amp; Totok Syaraf Kang Rahmat</t>
  </si>
  <si>
    <t>jasa pengobatan alternatif</t>
  </si>
  <si>
    <t>6281291128945</t>
  </si>
  <si>
    <t>120228835604680554</t>
  </si>
  <si>
    <t>ORD-189</t>
  </si>
  <si>
    <t>Pralisata Babut</t>
  </si>
  <si>
    <t>Jaya Salon Bridal Decoration</t>
  </si>
  <si>
    <t>salon &amp; bridal</t>
  </si>
  <si>
    <t>6282145068631</t>
  </si>
  <si>
    <t>salon dan wedding dekorasi</t>
  </si>
  <si>
    <t>labuan bajo</t>
  </si>
  <si>
    <t>17-60 th</t>
  </si>
  <si>
    <t>120229882963860200</t>
  </si>
  <si>
    <t>ORD-190</t>
  </si>
  <si>
    <t>Iklas Hakim Khotimah</t>
  </si>
  <si>
    <t>LPK BANGSA BERJAYA</t>
  </si>
  <si>
    <t>pendidikan &amp; kecantikan</t>
  </si>
  <si>
    <t>6285974999484</t>
  </si>
  <si>
    <t>kursus spa skala internasional</t>
  </si>
  <si>
    <t>LPK Bangsa Berjaya</t>
  </si>
  <si>
    <t>Forum Edukasi-R11-685883047935688</t>
  </si>
  <si>
    <t>120229470786530200</t>
  </si>
  <si>
    <t>ORD-191</t>
  </si>
  <si>
    <t>Muhidin</t>
  </si>
  <si>
    <t>Cahaya Lestari</t>
  </si>
  <si>
    <t>jasa pembangunan rumah dan renovasi</t>
  </si>
  <si>
    <t>6282211473253</t>
  </si>
  <si>
    <t>renovasi/pambangunan rumah, bongkar pasang keramik, walpaper, toilet, kanopi, pengelasan, perapihan dll</t>
  </si>
  <si>
    <t>seluruh bekasi, jakarta (jabodetabek)</t>
  </si>
  <si>
    <t>120228787856060235</t>
  </si>
  <si>
    <t>ORD-192</t>
  </si>
  <si>
    <t>Saepudin</t>
  </si>
  <si>
    <t>Las Sukses Bersama</t>
  </si>
  <si>
    <t>Bengkel tralis las listrik</t>
  </si>
  <si>
    <t>6285774217794</t>
  </si>
  <si>
    <t>Pembuatan kanopi,atap alderon, kanopi kaca,pagar,reling tangga, pintu gerbang, tralis jendela dan kontruksi dll</t>
  </si>
  <si>
    <t>jakarta barat, jakarta selatan, jakarta pusat, Tangerang Selatan , Tanggerang kota</t>
  </si>
  <si>
    <t>120228554321480235</t>
  </si>
  <si>
    <t>ORD-193</t>
  </si>
  <si>
    <t>rini hernowo</t>
  </si>
  <si>
    <t>Griya Relaxology solo</t>
  </si>
  <si>
    <t>massage khusus wanita&amp; anak</t>
  </si>
  <si>
    <t>6285869122507</t>
  </si>
  <si>
    <t>jasa</t>
  </si>
  <si>
    <t>solo, colomadu, boyolali, kartasura</t>
  </si>
  <si>
    <t>9 - 65</t>
  </si>
  <si>
    <t>120227846413390694</t>
  </si>
  <si>
    <t>ORD-194</t>
  </si>
  <si>
    <t>rafi</t>
  </si>
  <si>
    <t>Thibun nabawi</t>
  </si>
  <si>
    <t>terapi homecare</t>
  </si>
  <si>
    <t>6285263289844</t>
  </si>
  <si>
    <t>homecare terapi bekam dan akupuntur</t>
  </si>
  <si>
    <t>Rokan hulu Riau</t>
  </si>
  <si>
    <t>unisex</t>
  </si>
  <si>
    <t>120228023753380694</t>
  </si>
  <si>
    <t>ORD-195</t>
  </si>
  <si>
    <t>Aldo Manuhuwa</t>
  </si>
  <si>
    <t>Allang Transport</t>
  </si>
  <si>
    <t>Transportasi tour Bali</t>
  </si>
  <si>
    <t>6282247030008</t>
  </si>
  <si>
    <t>Paket tour Bali</t>
  </si>
  <si>
    <t>17-65</t>
  </si>
  <si>
    <t>120227942620930694</t>
  </si>
  <si>
    <t>ORD-196</t>
  </si>
  <si>
    <t>Mochtar Sanjaya</t>
  </si>
  <si>
    <t>Terapis Ahli Indonesia</t>
  </si>
  <si>
    <t>Terapi Kesehatan</t>
  </si>
  <si>
    <t>6282131666003</t>
  </si>
  <si>
    <t>Surabaya</t>
  </si>
  <si>
    <t>10 - 65</t>
  </si>
  <si>
    <t>120227930753850694</t>
  </si>
  <si>
    <t>ORD-197</t>
  </si>
  <si>
    <t>Aplikator acp, kaca tempered, aluminium, interior, Arsitektur dll</t>
  </si>
  <si>
    <t>ORD-198</t>
  </si>
  <si>
    <t>Indah Keumala</t>
  </si>
  <si>
    <t>Rumoh Aceh Pango</t>
  </si>
  <si>
    <t>jasa event organizer</t>
  </si>
  <si>
    <t>6281323910830</t>
  </si>
  <si>
    <t>menyewakan ruangan (rumah) untuk acara2 kumpul keluarga, komunitas, arisan atau event2 kecil lainnya, dengan nuansa khas adat Aceh</t>
  </si>
  <si>
    <t>Banda Aceh</t>
  </si>
  <si>
    <t>BisnisKlik-R10-61577805940511</t>
  </si>
  <si>
    <t>120228197282100694</t>
  </si>
  <si>
    <t>ORD-199</t>
  </si>
  <si>
    <t>Fadli</t>
  </si>
  <si>
    <t>Pelatihan Bekan Sop Pekanbaru Angjatan 93</t>
  </si>
  <si>
    <t>Pelatihan bekam</t>
  </si>
  <si>
    <t>6282285691485</t>
  </si>
  <si>
    <t>pelatihan bekam tgl 5 dan 6 juli</t>
  </si>
  <si>
    <t>Riau</t>
  </si>
  <si>
    <t>18-55 th</t>
  </si>
  <si>
    <t>120229724121770200</t>
  </si>
  <si>
    <t>ORD-201</t>
  </si>
  <si>
    <t>Johny Andrean Lim</t>
  </si>
  <si>
    <t>Mega Karya Tour &amp; Rent Car</t>
  </si>
  <si>
    <t>rental mobil</t>
  </si>
  <si>
    <t>6281352626888</t>
  </si>
  <si>
    <t>haice pontianak</t>
  </si>
  <si>
    <t>pontianak kuching</t>
  </si>
  <si>
    <t>120228126189510694</t>
  </si>
  <si>
    <t>ORD-202</t>
  </si>
  <si>
    <t>Jomo Susilo</t>
  </si>
  <si>
    <t>Melek Tea / Es Teh Melek</t>
  </si>
  <si>
    <t>Minuman</t>
  </si>
  <si>
    <t>6285727410479</t>
  </si>
  <si>
    <t>peluang usaha untuk minuman es teh</t>
  </si>
  <si>
    <t>pulau jawa</t>
  </si>
  <si>
    <t>25-55 th</t>
  </si>
  <si>
    <t>120228126211140694</t>
  </si>
  <si>
    <t>ORD-203</t>
  </si>
  <si>
    <t>Kadek Erix Saputra</t>
  </si>
  <si>
    <t>MRX Lovina Bali</t>
  </si>
  <si>
    <t>lovina dolphin snorkeling</t>
  </si>
  <si>
    <t>6281246211381</t>
  </si>
  <si>
    <t>sunrise dolphin watching, swim with wild dolphin, snorkeling lovina coral reef garden, fun fishing, sunset tour</t>
  </si>
  <si>
    <t>120229743171470200</t>
  </si>
  <si>
    <t>ORD-204</t>
  </si>
  <si>
    <t>Yusni</t>
  </si>
  <si>
    <t>Griya srikandi</t>
  </si>
  <si>
    <t>sunat moderen</t>
  </si>
  <si>
    <t>6282188390340</t>
  </si>
  <si>
    <t>Fba</t>
  </si>
  <si>
    <t>desa tambu kec baleesang dan sekitarnya</t>
  </si>
  <si>
    <t>bayi sampai dewasa</t>
  </si>
  <si>
    <t>Laki- Laki</t>
  </si>
  <si>
    <t>120227935104870694</t>
  </si>
  <si>
    <t>ORD-205</t>
  </si>
  <si>
    <t>Danang Wijayanto</t>
  </si>
  <si>
    <t>Hara Utama Propertindo</t>
  </si>
  <si>
    <t>jasa perencanaan pembangunan rumah tinggal dan rumah kost, private pool &amp; renovasi</t>
  </si>
  <si>
    <t>6288980619907</t>
  </si>
  <si>
    <t>jasa perencanaan design dan Rab, pembangunan rumah tinggal dan rumah kost, renovasi interior dan ekterior, serta pengerjaan private pool</t>
  </si>
  <si>
    <t>Semarang (perumahan elite di Semarang)</t>
  </si>
  <si>
    <t>30-50</t>
  </si>
  <si>
    <t>120228738482020235</t>
  </si>
  <si>
    <t>ORD-206</t>
  </si>
  <si>
    <t>Ohar Juhara</t>
  </si>
  <si>
    <t>Sport Massage Perumnas</t>
  </si>
  <si>
    <t>Massage</t>
  </si>
  <si>
    <t>6282114053996</t>
  </si>
  <si>
    <t>Spesialis Rawatan Otot dan Sendi untuk cedera olahraga atau umum</t>
  </si>
  <si>
    <t>Karawang Jawa Barat</t>
  </si>
  <si>
    <t>20-55th</t>
  </si>
  <si>
    <t>120228021443610694</t>
  </si>
  <si>
    <t>ORD-207</t>
  </si>
  <si>
    <t>Johan</t>
  </si>
  <si>
    <t>Johan distributor</t>
  </si>
  <si>
    <t>distributor</t>
  </si>
  <si>
    <t>628111988553</t>
  </si>
  <si>
    <t>25-55</t>
  </si>
  <si>
    <t>Pria dan wanita</t>
  </si>
  <si>
    <t>120229583304160200</t>
  </si>
  <si>
    <t>ORD-208</t>
  </si>
  <si>
    <t>Yudi</t>
  </si>
  <si>
    <t>Mitra Bangun Lift Cor</t>
  </si>
  <si>
    <t>Jasa Pengecoran</t>
  </si>
  <si>
    <t>6282338171577</t>
  </si>
  <si>
    <t>madura, surabaya, sidoarjo, pasuruan, probolinggo</t>
  </si>
  <si>
    <t>25-60 th</t>
  </si>
  <si>
    <t>120228609133620235</t>
  </si>
  <si>
    <t>ORD-209</t>
  </si>
  <si>
    <t>Mujib</t>
  </si>
  <si>
    <t>Al Bayt Tours Semarang</t>
  </si>
  <si>
    <t>Haji dan Umroh</t>
  </si>
  <si>
    <t>62882003293835</t>
  </si>
  <si>
    <t>Semarang dan sekitarnya</t>
  </si>
  <si>
    <t>30-60th</t>
  </si>
  <si>
    <t>120229743215840200</t>
  </si>
  <si>
    <t>ORD-210</t>
  </si>
  <si>
    <t>Ilham Pranata</t>
  </si>
  <si>
    <t>Jalan Kesehatan Holistic</t>
  </si>
  <si>
    <t>terapi totok saraf</t>
  </si>
  <si>
    <t>6281934879222</t>
  </si>
  <si>
    <t>jalan kesehatan holistic</t>
  </si>
  <si>
    <t>all gender</t>
  </si>
  <si>
    <t>120228048232230694</t>
  </si>
  <si>
    <t>ORD-211</t>
  </si>
  <si>
    <t>Herlin</t>
  </si>
  <si>
    <t>CV Prima Aluminium</t>
  </si>
  <si>
    <t>Kusen Aluminium Kusen UPVC</t>
  </si>
  <si>
    <t>6285216582806</t>
  </si>
  <si>
    <t>sulawesi</t>
  </si>
  <si>
    <t>30 th ke atas</t>
  </si>
  <si>
    <t>120228901325500235</t>
  </si>
  <si>
    <t>ORD-212</t>
  </si>
  <si>
    <t>M Taufik</t>
  </si>
  <si>
    <t>Pengobatan Tabib Sihah</t>
  </si>
  <si>
    <t>pengobatan alternatif</t>
  </si>
  <si>
    <t>6282169851900</t>
  </si>
  <si>
    <t>pengobatan lintah, lebah, bekam, akupuntur, fashdu, gurah, stroke, saraf kejepit, sakit kepala, sakit pinggang, prostat, darah tinggi dll</t>
  </si>
  <si>
    <t>riau dan sekitarnya</t>
  </si>
  <si>
    <t>15-70 th</t>
  </si>
  <si>
    <t>120228050555460694</t>
  </si>
  <si>
    <t>ORD-214</t>
  </si>
  <si>
    <t>Santo Petrus Siemadhitya Wicaksono</t>
  </si>
  <si>
    <t>Sketsa Rumahmu</t>
  </si>
  <si>
    <t>Desain &amp; Kontruksi</t>
  </si>
  <si>
    <t>6285647189964</t>
  </si>
  <si>
    <t>pembuatan desain dan pembangunan rumah hunian atau bangunan lain (gudang, ruko)</t>
  </si>
  <si>
    <t>salatiga, kabupaten semarang</t>
  </si>
  <si>
    <t>24 th sampai lansia</t>
  </si>
  <si>
    <t>120228711950990235</t>
  </si>
  <si>
    <t>ORD-215</t>
  </si>
  <si>
    <t>Nasri</t>
  </si>
  <si>
    <t>Refleksi kretek-kretek bang anas</t>
  </si>
  <si>
    <t>terapi urut tradisional</t>
  </si>
  <si>
    <t>6281378152512</t>
  </si>
  <si>
    <t>120228050560700694</t>
  </si>
  <si>
    <t>ORD-216</t>
  </si>
  <si>
    <t>Hj, Marwa</t>
  </si>
  <si>
    <t>Kue Zam Zam</t>
  </si>
  <si>
    <t>kue oleh" khas makassar</t>
  </si>
  <si>
    <t>6281355026552</t>
  </si>
  <si>
    <t>produksi Kue Tori/cucuru</t>
  </si>
  <si>
    <t>Makassar Sulawesi Selatan</t>
  </si>
  <si>
    <t>120228074485140694</t>
  </si>
  <si>
    <t>ORD-217</t>
  </si>
  <si>
    <t>Astri</t>
  </si>
  <si>
    <t>Astri Salon</t>
  </si>
  <si>
    <t>6282228737559</t>
  </si>
  <si>
    <t>Sidoarjo</t>
  </si>
  <si>
    <t>Wanita</t>
  </si>
  <si>
    <t>120229742893620200</t>
  </si>
  <si>
    <t>ORD-218</t>
  </si>
  <si>
    <t>ina puspita sari</t>
  </si>
  <si>
    <t>by inapuspita make up</t>
  </si>
  <si>
    <t>makeup artis</t>
  </si>
  <si>
    <t>6288297718776</t>
  </si>
  <si>
    <t>jasa makeup</t>
  </si>
  <si>
    <t>18-50 tahun</t>
  </si>
  <si>
    <t>120229679993030200</t>
  </si>
  <si>
    <t>bafh</t>
  </si>
  <si>
    <t>TAHU CRISPY YASSALAAM</t>
  </si>
  <si>
    <t>Tahu crispy</t>
  </si>
  <si>
    <t>6282227027805</t>
  </si>
  <si>
    <t>tahu crispy</t>
  </si>
  <si>
    <t>Umbulharjo, Yogyakarta</t>
  </si>
  <si>
    <t>120228126228710694</t>
  </si>
  <si>
    <t>Maykel</t>
  </si>
  <si>
    <t>Fricil Rental Mobil</t>
  </si>
  <si>
    <t>Rental mobil</t>
  </si>
  <si>
    <t>6282192773278</t>
  </si>
  <si>
    <t>Rental mobil Manado, tujuan seluruh Indonesia</t>
  </si>
  <si>
    <t>se indonesia</t>
  </si>
  <si>
    <t>17-60</t>
  </si>
  <si>
    <t>120228126253480694</t>
  </si>
  <si>
    <t>ORD-219</t>
  </si>
  <si>
    <t>Iwan waterproofing</t>
  </si>
  <si>
    <t>CV. IBI</t>
  </si>
  <si>
    <t>jasa aplikator injeksi beton</t>
  </si>
  <si>
    <t>6281290414113</t>
  </si>
  <si>
    <t>IBI adalah salah satu perusahaan yang bergerak dibidang jasa aplikator injeksi beton, spesialis perbaikkan atau penanganan struktur bangunan beton mengalami retak, bocor dan keropos dengan hasil lebih efisien</t>
  </si>
  <si>
    <t>JABODETABEK</t>
  </si>
  <si>
    <t>20 keatas</t>
  </si>
  <si>
    <t>120228812487620235</t>
  </si>
  <si>
    <t>ORD-220</t>
  </si>
  <si>
    <t>Azka salon</t>
  </si>
  <si>
    <t>6282164919126</t>
  </si>
  <si>
    <t>jasa n produk</t>
  </si>
  <si>
    <t>20-50 th</t>
  </si>
  <si>
    <t>120229743331990200</t>
  </si>
  <si>
    <t>ORD-221</t>
  </si>
  <si>
    <t>Dana Rusman nst</t>
  </si>
  <si>
    <t>CV LAS VEGAS</t>
  </si>
  <si>
    <t>Jasa Las</t>
  </si>
  <si>
    <t>6282124027899</t>
  </si>
  <si>
    <t>jasa pembuatan kanopi, pagar, pintu dan tralis lainnya, pembuatan dump truck segala ukuran, pembuatan pintu kaca, skat kaca, maupun kaca tempered</t>
  </si>
  <si>
    <t>labuhan batu</t>
  </si>
  <si>
    <t>120228812505780235</t>
  </si>
  <si>
    <t>ORD-222</t>
  </si>
  <si>
    <t>Erlina</t>
  </si>
  <si>
    <t>Erlina Traditional Massage Bekam Bandung</t>
  </si>
  <si>
    <t>pijat rilexasi</t>
  </si>
  <si>
    <t>6282115608585</t>
  </si>
  <si>
    <t>layanan terapi pijat oleh terapis profesional di jamin badan rilex kembali</t>
  </si>
  <si>
    <t>area kota bandung</t>
  </si>
  <si>
    <t>120228126257510694</t>
  </si>
  <si>
    <t>ORD-223</t>
  </si>
  <si>
    <t>Nur asiah / Muhammad nurdin</t>
  </si>
  <si>
    <t>Terapis Bekam Alternatif</t>
  </si>
  <si>
    <t>terapis bekam</t>
  </si>
  <si>
    <t>6285238093436</t>
  </si>
  <si>
    <t>saraf kejepit, terkilir, bekam, patah tulang, kolesterol, obat herbal</t>
  </si>
  <si>
    <t>tembilahan, bayasjaya, rengat dan sekitarnya</t>
  </si>
  <si>
    <t>120228438263720694</t>
  </si>
  <si>
    <t>ORD-224</t>
  </si>
  <si>
    <t>Sugiyarto</t>
  </si>
  <si>
    <t>CV GAMA TEKNIK UTAMA</t>
  </si>
  <si>
    <t>62818763108</t>
  </si>
  <si>
    <t>renovasi atau bangun rumah baru, ruko, gudang bangunan sarana umum</t>
  </si>
  <si>
    <t>umum</t>
  </si>
  <si>
    <t>120228848820430235</t>
  </si>
  <si>
    <t>ORD-225</t>
  </si>
  <si>
    <t>Berkat Property77 (repeat order)</t>
  </si>
  <si>
    <t>Jasa Kontraktor</t>
  </si>
  <si>
    <t>0</t>
  </si>
  <si>
    <t>jasa pembangunan rumah mulai dari pondasi sampai siap huni. jasa sekaligus dengan bahan material, harga mulai dari 4 jt an per meter, harga tergantung sfek dan lokasi yang akan di bangun, sistem pembayaran bertahab.</t>
  </si>
  <si>
    <t>kalimantan, khususnya kalimantan selatan</t>
  </si>
  <si>
    <t>Vastu Agency</t>
  </si>
  <si>
    <t>Perumahan Puri Resonegaran (repeat order)</t>
  </si>
  <si>
    <t>ORD-226</t>
  </si>
  <si>
    <t>Patan</t>
  </si>
  <si>
    <t>treveling / trekking rinjani</t>
  </si>
  <si>
    <t>6281943398970</t>
  </si>
  <si>
    <t>tour guide</t>
  </si>
  <si>
    <t>prancis</t>
  </si>
  <si>
    <t>120228159100540694</t>
  </si>
  <si>
    <t>ORD-228</t>
  </si>
  <si>
    <t>Romsi Bahroni</t>
  </si>
  <si>
    <t>KLINIK RUMAH SEHAT ROMSY TERAPI</t>
  </si>
  <si>
    <t>terapi</t>
  </si>
  <si>
    <t>6282125330919</t>
  </si>
  <si>
    <t>LP</t>
  </si>
  <si>
    <t>120228167773120694</t>
  </si>
  <si>
    <t>ORD-229</t>
  </si>
  <si>
    <t>Firmansyah Arub</t>
  </si>
  <si>
    <t>Rinjani Tour &amp; Transport</t>
  </si>
  <si>
    <t>Penyewaan Hiace Commuter</t>
  </si>
  <si>
    <t>628111508569</t>
  </si>
  <si>
    <t>Sewa Hiace Tangerang+ Driver</t>
  </si>
  <si>
    <t>18-50</t>
  </si>
  <si>
    <t>120228159276850694</t>
  </si>
  <si>
    <t>ORD-230</t>
  </si>
  <si>
    <t>Samarinda &amp; balikpapan</t>
  </si>
  <si>
    <t>ORD-231</t>
  </si>
  <si>
    <t>Gondo Edi Tri Wibowo</t>
  </si>
  <si>
    <t>Rumah Resista</t>
  </si>
  <si>
    <t>Kesehatan</t>
  </si>
  <si>
    <t>6285702653554</t>
  </si>
  <si>
    <t>Semarang,Solo, Yogyakarta jawa tengah</t>
  </si>
  <si>
    <t>Perempuan dan Laki laki</t>
  </si>
  <si>
    <t>120228197327090694</t>
  </si>
  <si>
    <t>ORD-232</t>
  </si>
  <si>
    <t>Zainal</t>
  </si>
  <si>
    <t>Gejayan Innova prayan</t>
  </si>
  <si>
    <t>spesial interior jok mobil dan kaca film</t>
  </si>
  <si>
    <t>628562943274</t>
  </si>
  <si>
    <t>pusatnya cover jok dan karpet mobil,cepat murah dan terlengkap</t>
  </si>
  <si>
    <t>Yogyakarta</t>
  </si>
  <si>
    <t>120229884317520200</t>
  </si>
  <si>
    <t>ORD-233</t>
  </si>
  <si>
    <t>Riza Romadhon</t>
  </si>
  <si>
    <t>Phone Cell Center (repeat order)</t>
  </si>
  <si>
    <t>Toko Service Hp</t>
  </si>
  <si>
    <t>service hp berkualitas, bisa ditunggu dan garansi 1 bulan, melayani segala kerusakan handphone</t>
  </si>
  <si>
    <t>jl. Pulau semama tanjung redeb kabupaten berau kaltim</t>
  </si>
  <si>
    <t>Bagus Jam</t>
  </si>
  <si>
    <t>Bagus jam Digital</t>
  </si>
  <si>
    <t>62812279574</t>
  </si>
  <si>
    <t>MENERIMA SERVICE &amp; UBAH MODIFIKASI JAM MASJID ANDA
JADI SYSTEM ANDROID
APAUN KERUSAKANNYA
Pusat pembuatan Jam Digital Masjid Modern 
Pusat Perakitan Jam Digital Masjid Running Teks
Pusat Jam Digital Tv Android
Semua setting cukup pakai Hp Android mudah tanpa Ribet</t>
  </si>
  <si>
    <t>klaten jogja magelang</t>
  </si>
  <si>
    <t>Andika</t>
  </si>
  <si>
    <t>Andika Jaya</t>
  </si>
  <si>
    <t>Interior Rumah/Ruangan</t>
  </si>
  <si>
    <t>6282315669271</t>
  </si>
  <si>
    <t>Makassar dan Sekitarnya</t>
  </si>
  <si>
    <t>19 th ke atas</t>
  </si>
  <si>
    <t>ORD-236</t>
  </si>
  <si>
    <t>Bu Sriyatun</t>
  </si>
  <si>
    <t>Lembaga Kursus dan Pelatihan Abbasy</t>
  </si>
  <si>
    <t>Program Kemandirian</t>
  </si>
  <si>
    <t>6285779532526</t>
  </si>
  <si>
    <t>pelatihan pembuatan massage cream, massage oil, whitening body lotion, lulur</t>
  </si>
  <si>
    <t>sekitar madiun, magetan, ngawi, ponorogo, pacitan, jawa timur</t>
  </si>
  <si>
    <t>18-40 th</t>
  </si>
  <si>
    <t>120228197370240694</t>
  </si>
  <si>
    <t>ORD-237</t>
  </si>
  <si>
    <t>Susanto</t>
  </si>
  <si>
    <t>Rumah Terapi Berkah Sehat</t>
  </si>
  <si>
    <t>Terapi Totok Punggung</t>
  </si>
  <si>
    <t>6281779578317</t>
  </si>
  <si>
    <t>karawang</t>
  </si>
  <si>
    <t>120228197353990694</t>
  </si>
  <si>
    <t>ORD-241</t>
  </si>
  <si>
    <t>Assund</t>
  </si>
  <si>
    <t>AMT Sukabumi</t>
  </si>
  <si>
    <t>Layanan Jasa Pijat Kretek Penanganan keluhan dan Syaraf kejepit</t>
  </si>
  <si>
    <t>6285311472244</t>
  </si>
  <si>
    <t>Kota Sukabumi</t>
  </si>
  <si>
    <t>25-55 tahun</t>
  </si>
  <si>
    <t>120228233649940694</t>
  </si>
  <si>
    <t>ORD-239</t>
  </si>
  <si>
    <t>Andrian m.y C.H</t>
  </si>
  <si>
    <t>THERA VIDA THERAPY</t>
  </si>
  <si>
    <t>Akupuntur, Akupresur, Fisioterapi, Hipnoterapi</t>
  </si>
  <si>
    <t>6289635171849</t>
  </si>
  <si>
    <t>Akupuntur &amp; Akupresur, Fisioterapi Manual&amp; Rehabilitasi Ringan, Hipnoterapi Relaksasi &amp; Penyembuhan</t>
  </si>
  <si>
    <t>Cimahi, Kabupaten Bandung</t>
  </si>
  <si>
    <t>45-60</t>
  </si>
  <si>
    <t>Laki Laki dan Perempuan</t>
  </si>
  <si>
    <t>Tika</t>
  </si>
  <si>
    <t>120228233677210694</t>
  </si>
  <si>
    <t>ORD-240</t>
  </si>
  <si>
    <t>Okta</t>
  </si>
  <si>
    <t>Nakayami tour &amp; travel</t>
  </si>
  <si>
    <t>server aplikasi dan travel</t>
  </si>
  <si>
    <t>6283162052952</t>
  </si>
  <si>
    <t>Jawa Barat</t>
  </si>
  <si>
    <t>40-60</t>
  </si>
  <si>
    <t>120228233660420694</t>
  </si>
  <si>
    <t>Hadi Sutrisno</t>
  </si>
  <si>
    <t>M Hisyam Interior</t>
  </si>
  <si>
    <t>Intetior Design</t>
  </si>
  <si>
    <t>62895800343940</t>
  </si>
  <si>
    <t>Jebol, Jepara, Jawa Tengah</t>
  </si>
  <si>
    <t>120228976993950235</t>
  </si>
  <si>
    <t>ORD-242</t>
  </si>
  <si>
    <t>ORD-244</t>
  </si>
  <si>
    <t>Randow</t>
  </si>
  <si>
    <t>Randow Rinjani</t>
  </si>
  <si>
    <t>Hikking Mountain Rinjani</t>
  </si>
  <si>
    <t>6283845117965</t>
  </si>
  <si>
    <t>Prancis</t>
  </si>
  <si>
    <t>15 sampai 50 tahun</t>
  </si>
  <si>
    <t>120228233696520694</t>
  </si>
  <si>
    <t>ORD-245</t>
  </si>
  <si>
    <t>Goris Toifin</t>
  </si>
  <si>
    <t>Sakti Desain Konsultan</t>
  </si>
  <si>
    <t>Jasa Arsitek &amp; Kontraktor</t>
  </si>
  <si>
    <t>628112999165</t>
  </si>
  <si>
    <t>jasa arsitek rumah, villa, glamping, masjid, sekolah, pondok pesantren, resto, hotel, kawasan perumahan, jasa kontraktor dan interior furniture</t>
  </si>
  <si>
    <t>wonosobo, temanggung, banjarnegara, magelang, pekalongan, purworejo, salatiga, ambarawa, kendal, cilacap, tegal</t>
  </si>
  <si>
    <t>24-60</t>
  </si>
  <si>
    <t>120229076354780235</t>
  </si>
  <si>
    <t>ORD-246</t>
  </si>
  <si>
    <t>Diya</t>
  </si>
  <si>
    <t>D' Elina Bali Beaty Salon</t>
  </si>
  <si>
    <t>6282258462258</t>
  </si>
  <si>
    <t>hair keratin, treatment, smooting keratin, essentials treatment, dandruff scalp detox</t>
  </si>
  <si>
    <t>canggu, babakan, bali, dalung, denpasar</t>
  </si>
  <si>
    <t>19-48</t>
  </si>
  <si>
    <t>120229929357510200</t>
  </si>
  <si>
    <t>ORD-247</t>
  </si>
  <si>
    <t>Asep Barkah</t>
  </si>
  <si>
    <t>Pengobatan Non Medis</t>
  </si>
  <si>
    <t>alhikmah</t>
  </si>
  <si>
    <t>6281412281953</t>
  </si>
  <si>
    <t>pengobatan non medis, ruqyah, ijazah ilmu hikmah, pengisian badan, buka aura, mengatasi berbagai masalah</t>
  </si>
  <si>
    <t>cicurug-sukabumi jawa barat</t>
  </si>
  <si>
    <t>120228233716420694</t>
  </si>
  <si>
    <t>ORD-249</t>
  </si>
  <si>
    <t>120228955178950235</t>
  </si>
  <si>
    <t>ORD-251</t>
  </si>
  <si>
    <t>Tian Hadun</t>
  </si>
  <si>
    <t>Labajo Flores Transport</t>
  </si>
  <si>
    <t>Rental Mobil</t>
  </si>
  <si>
    <t>6285338137835</t>
  </si>
  <si>
    <t>indonesia</t>
  </si>
  <si>
    <t>120228233644960694</t>
  </si>
  <si>
    <t>ORD-252</t>
  </si>
  <si>
    <t>Lily</t>
  </si>
  <si>
    <t>Salon Eleanor</t>
  </si>
  <si>
    <t>62811339289839</t>
  </si>
  <si>
    <t>kota kupang</t>
  </si>
  <si>
    <t>120229929388390200</t>
  </si>
  <si>
    <t>ORD-253</t>
  </si>
  <si>
    <t>Rini</t>
  </si>
  <si>
    <t>Dwi Asia Wisata Tour &amp; Travel</t>
  </si>
  <si>
    <t>server aplikasi dan tour travel domistic &amp; inter</t>
  </si>
  <si>
    <t>6281287982295</t>
  </si>
  <si>
    <t>120228233684810694</t>
  </si>
  <si>
    <t>ORD-254</t>
  </si>
  <si>
    <t>Fauzan</t>
  </si>
  <si>
    <t>Lombok Heaven Tour and Travel</t>
  </si>
  <si>
    <t>Travel Agent</t>
  </si>
  <si>
    <t>6287754552859</t>
  </si>
  <si>
    <t>Tour Package, Fullday Tour, 2D1N, 3D2N, 4D3N, Honeymoon Package</t>
  </si>
  <si>
    <t>belanda, prancis, jakarta, jogjakarta, kuala lumpur</t>
  </si>
  <si>
    <t>120228233639460694</t>
  </si>
  <si>
    <t>ORD-256</t>
  </si>
  <si>
    <t>Arie Susanto</t>
  </si>
  <si>
    <t>Toko Kerta Jaya Stationary</t>
  </si>
  <si>
    <t>alat tulis kantor</t>
  </si>
  <si>
    <t>628972861717</t>
  </si>
  <si>
    <t>temukan berbagai kebutuhan atk dan alat tulis kantor di kertajaya stationary, pusat distributor grosir dan toko retail termurah dan terlengkap di kotabumi</t>
  </si>
  <si>
    <t>lampung utara, lampung</t>
  </si>
  <si>
    <t>6-25 th</t>
  </si>
  <si>
    <t>ShopEasy-R11-626281007244939</t>
  </si>
  <si>
    <t>120228483625130694</t>
  </si>
  <si>
    <t>Rental Mobil Tangsel</t>
  </si>
  <si>
    <t>6287782749624</t>
  </si>
  <si>
    <t>22-55 th</t>
  </si>
  <si>
    <t>ORD-255</t>
  </si>
  <si>
    <t>ASTUTIK IRAWATINI</t>
  </si>
  <si>
    <t>SNACK KILOAN &amp; ES AIR TERJUN</t>
  </si>
  <si>
    <t>DAGANG MAKANAN DAN MINUMAN</t>
  </si>
  <si>
    <t>6288215032728</t>
  </si>
  <si>
    <t>SELURUH DESA KECAMATAN BAKI DAN KECAMATAN GROGOL KABUPATEN SUKOHARJO PROVINSI JAWA TENGAH</t>
  </si>
  <si>
    <t>SEMUA USIA</t>
  </si>
  <si>
    <t>120228372507050694</t>
  </si>
  <si>
    <t>belanda, roma, jakarta, jogjakarta, kuala lumpur</t>
  </si>
  <si>
    <t>I Wayan wardana</t>
  </si>
  <si>
    <t>Rentals scooter and tour guide Nusapenida</t>
  </si>
  <si>
    <t>rental scooter and tour</t>
  </si>
  <si>
    <t>6281237893904</t>
  </si>
  <si>
    <t>Jasa rental scooter and tour</t>
  </si>
  <si>
    <t>TravelPartner-R08-751031078084301</t>
  </si>
  <si>
    <t>120228295016870694</t>
  </si>
  <si>
    <t>ORD-257</t>
  </si>
  <si>
    <t>Dirga</t>
  </si>
  <si>
    <t>Bimbelku, Jokiku, Darma Studio, dan Cortov Creative</t>
  </si>
  <si>
    <t>Bimbingan Belajar, Studio Foto, Pengembang Website dan Aplikasi</t>
  </si>
  <si>
    <t>6281361879826</t>
  </si>
  <si>
    <t>10 Tahun - 50 Tahun</t>
  </si>
  <si>
    <t>Pria dan Wanita</t>
  </si>
  <si>
    <t>120228295034530694</t>
  </si>
  <si>
    <t>ORD-258</t>
  </si>
  <si>
    <t>Surya</t>
  </si>
  <si>
    <t>CV. Sun Rizky Mandiri</t>
  </si>
  <si>
    <t>Spesialis Renovasi dan bangun rumah</t>
  </si>
  <si>
    <t>6282111180648</t>
  </si>
  <si>
    <t>menerima jasa renovasi rumah, bangun baru,pemasangan plafon pvc, pengecatan dll</t>
  </si>
  <si>
    <t>Depok, Cibubur, Cibinong dan Bekasi</t>
  </si>
  <si>
    <t>120229015584420235</t>
  </si>
  <si>
    <t>ORD-260</t>
  </si>
  <si>
    <t>Waluyo</t>
  </si>
  <si>
    <t>Varel Laundry</t>
  </si>
  <si>
    <t>Laundry</t>
  </si>
  <si>
    <t>6285713536070</t>
  </si>
  <si>
    <t>cuci setrika murah antar jemput</t>
  </si>
  <si>
    <t>Mojosongo, Clolo  kadipiro, joglo, Banjarsari solo jateng</t>
  </si>
  <si>
    <t>120228372571790694</t>
  </si>
  <si>
    <t>ORD-261</t>
  </si>
  <si>
    <t>Sucipto</t>
  </si>
  <si>
    <t>Kanopi Innovation Glass</t>
  </si>
  <si>
    <t>bengkel las, kusen, aluminium dan kaca</t>
  </si>
  <si>
    <t>6281214999292</t>
  </si>
  <si>
    <t>Tangerang Selatan, Tangerang kota, propinsi Banten, DKI Jakarta, Depok, Bekasi, Bogor</t>
  </si>
  <si>
    <t>120229036607430235</t>
  </si>
  <si>
    <t>ORD-262</t>
  </si>
  <si>
    <t>Gunadi Ibnu Sutopo</t>
  </si>
  <si>
    <t>Primagriya.com</t>
  </si>
  <si>
    <t>Kontraktor Rumah Tinggal</t>
  </si>
  <si>
    <t>6281239874761</t>
  </si>
  <si>
    <t>karanganyar, solo, sukoharjo</t>
  </si>
  <si>
    <t>120229167268640235</t>
  </si>
  <si>
    <t>ORD-263</t>
  </si>
  <si>
    <t>Didik Budi Prayitno</t>
  </si>
  <si>
    <t>Budi Holistik Therapy</t>
  </si>
  <si>
    <t>Jasa Terapi Kesehatan</t>
  </si>
  <si>
    <t>6281240144744</t>
  </si>
  <si>
    <t>Propinsi Papua Barat Daya</t>
  </si>
  <si>
    <t>Bebas</t>
  </si>
  <si>
    <t>120228372516080694</t>
  </si>
  <si>
    <t>ORD-264</t>
  </si>
  <si>
    <t>Pak Hendri</t>
  </si>
  <si>
    <t>SURYA JAYA PVC</t>
  </si>
  <si>
    <t>distribusi plavon PVC dan WPC panel</t>
  </si>
  <si>
    <t>6282184019830</t>
  </si>
  <si>
    <t>distribusi plavon PVC dan WPC panel, interior, pemasangan hasil dijamin bagus dan rapih</t>
  </si>
  <si>
    <t>17-70</t>
  </si>
  <si>
    <t>120229015521600235</t>
  </si>
  <si>
    <t>ORD-265</t>
  </si>
  <si>
    <t>baim al batawi</t>
  </si>
  <si>
    <t>Bintang cleaning</t>
  </si>
  <si>
    <t>jasa cleaning</t>
  </si>
  <si>
    <t>6285956579758</t>
  </si>
  <si>
    <t>homecare penyedia jasa cleaning cuci kasur sofa ,dayli rumah pasca renov ,poles marmer ,salon toilet ,detok saluran pipa2 air keran dll</t>
  </si>
  <si>
    <t>120228363286610694</t>
  </si>
  <si>
    <t>ORD-267</t>
  </si>
  <si>
    <t>Nana Maulana</t>
  </si>
  <si>
    <t>Keynaara Kontruksi</t>
  </si>
  <si>
    <t>6289525439559</t>
  </si>
  <si>
    <t>bangun rumah dari nol, renovasi rumah, gedung, toko dll</t>
  </si>
  <si>
    <t>tangerang selatan, tangerang</t>
  </si>
  <si>
    <t>120229086303930235</t>
  </si>
  <si>
    <t>ORD-268</t>
  </si>
  <si>
    <t>Siti Yuliani</t>
  </si>
  <si>
    <t>UI WEDDING ORGANIZER</t>
  </si>
  <si>
    <t>jasa pernikahan (WO)</t>
  </si>
  <si>
    <t>6282128714101</t>
  </si>
  <si>
    <t>Menyewakan alat alat pesta catering,baju, pengantin,sewa alat masak dll</t>
  </si>
  <si>
    <t>jawa barat dan sekitarnya</t>
  </si>
  <si>
    <t>17 tahun ke atas</t>
  </si>
  <si>
    <t>120228301291470694</t>
  </si>
  <si>
    <t>ORD-269</t>
  </si>
  <si>
    <t>Ilham</t>
  </si>
  <si>
    <t>Halmahera Trips</t>
  </si>
  <si>
    <t>Tour Agent</t>
  </si>
  <si>
    <t>6281212295448</t>
  </si>
  <si>
    <t>jasa travel untuk tujuan keseluruh Indonesia timur,wisata dll</t>
  </si>
  <si>
    <t>Indonesia timur</t>
  </si>
  <si>
    <t>120228294985800694</t>
  </si>
  <si>
    <t>ORD-270</t>
  </si>
  <si>
    <t>i kadek puspa edy aryanto</t>
  </si>
  <si>
    <t>Adventure by 4WD Jeep</t>
  </si>
  <si>
    <t>6281337504727</t>
  </si>
  <si>
    <t>seluruh wilayah Indonesia</t>
  </si>
  <si>
    <t>5th ke atas</t>
  </si>
  <si>
    <t>laki-perempuan</t>
  </si>
  <si>
    <t>120228362043940694</t>
  </si>
  <si>
    <t>ORD-271</t>
  </si>
  <si>
    <t>Mutiara Wisata</t>
  </si>
  <si>
    <t>Biro Wisata</t>
  </si>
  <si>
    <t>6282136273086</t>
  </si>
  <si>
    <t>indoesia</t>
  </si>
  <si>
    <t>120228294992050694</t>
  </si>
  <si>
    <t>ORD-272</t>
  </si>
  <si>
    <t>Vita Elsa</t>
  </si>
  <si>
    <t>Pt Alkarim Berkah Sukses Mulia</t>
  </si>
  <si>
    <t>Travel Umroh</t>
  </si>
  <si>
    <t>6283878405768</t>
  </si>
  <si>
    <t>tanjungpinang</t>
  </si>
  <si>
    <t>20-75 th</t>
  </si>
  <si>
    <t>120228363289550694</t>
  </si>
  <si>
    <t>ORD-273</t>
  </si>
  <si>
    <t>Faisal</t>
  </si>
  <si>
    <t>CV Selvira Transport</t>
  </si>
  <si>
    <t>transportasi darat travel</t>
  </si>
  <si>
    <t>6282238154676</t>
  </si>
  <si>
    <t>asal usaha kota kendari sulawesi tenggara</t>
  </si>
  <si>
    <t>morowali, ampana, poso, gorontalo, tentena, palu, toli-toli, manado, makassar, toraja, pinrang</t>
  </si>
  <si>
    <t>anak-anak, dewasa, orang tua</t>
  </si>
  <si>
    <t>120228438216280694</t>
  </si>
  <si>
    <t>ORD-274</t>
  </si>
  <si>
    <t>Fadhil</t>
  </si>
  <si>
    <t>Terapi Al Fatah</t>
  </si>
  <si>
    <t>Terapi kesehatan</t>
  </si>
  <si>
    <t>6288229559606</t>
  </si>
  <si>
    <t>layanan terapi kesehatan (bekam,gurah mata ,gurah telinga, Fasdhu,sangkal Putung ,pijat refleksi, pelurusan tulang belakang dll)</t>
  </si>
  <si>
    <t>Kandis,Siak Riau</t>
  </si>
  <si>
    <t>120228372528960694</t>
  </si>
  <si>
    <t>ORD-276</t>
  </si>
  <si>
    <t>imam kobul</t>
  </si>
  <si>
    <t>PT. AL IMAM BANJARI TOUR &amp; TRAVEL</t>
  </si>
  <si>
    <t>BIRO PERJALANAN WISATA &amp; ORGANIZER/ AGEN PERJALANAN WISATA</t>
  </si>
  <si>
    <t>62859130962516</t>
  </si>
  <si>
    <t>wilayah Jawa Tengah</t>
  </si>
  <si>
    <t>120228372539220694</t>
  </si>
  <si>
    <t>ORD-277</t>
  </si>
  <si>
    <t>Sariman</t>
  </si>
  <si>
    <t>Jasa Renofasi Bangunan</t>
  </si>
  <si>
    <t>6285279489086</t>
  </si>
  <si>
    <t>Serang, Cilegon, Pandeglang</t>
  </si>
  <si>
    <t>120229086275170235</t>
  </si>
  <si>
    <t>ORD-278</t>
  </si>
  <si>
    <t>Bandung,Jawa barat</t>
  </si>
  <si>
    <t>ORD-279</t>
  </si>
  <si>
    <t>Rokok Herbal</t>
  </si>
  <si>
    <t>Rokok herbal</t>
  </si>
  <si>
    <t>Laki-laki</t>
  </si>
  <si>
    <t>120228372580060694</t>
  </si>
  <si>
    <t>ORD-280</t>
  </si>
  <si>
    <t>Wijie</t>
  </si>
  <si>
    <t>RD Rental Mobil</t>
  </si>
  <si>
    <t>6282154541012</t>
  </si>
  <si>
    <t>Melayani antar jemput tamu Medan kuala namu kuala namu Medan.</t>
  </si>
  <si>
    <t>semua Umur</t>
  </si>
  <si>
    <t>Laki-laki Dan Perempuan</t>
  </si>
  <si>
    <t>120228438224700694</t>
  </si>
  <si>
    <t>ORD-281</t>
  </si>
  <si>
    <t>Achmad Tobiin</t>
  </si>
  <si>
    <t>CV KALIGIRI JAYa</t>
  </si>
  <si>
    <t>6281213766426</t>
  </si>
  <si>
    <t>Bangun baru, renovasi rumah</t>
  </si>
  <si>
    <t>20-55 tahun</t>
  </si>
  <si>
    <t>120229086284220235</t>
  </si>
  <si>
    <t>ORD-282</t>
  </si>
  <si>
    <t>Toridin</t>
  </si>
  <si>
    <t>Tory Reflexi</t>
  </si>
  <si>
    <t>6282298717014</t>
  </si>
  <si>
    <t>Apartemen kalibata</t>
  </si>
  <si>
    <t>120228372547560694</t>
  </si>
  <si>
    <t>ORD-283</t>
  </si>
  <si>
    <t>Lowongan pekerjaan Guru Mapel Teknologi Informatika dan Komputer</t>
  </si>
  <si>
    <t>Kota Surakarta Kabupaten Sukoharjo dan Karanganyar</t>
  </si>
  <si>
    <t>20-35 tahun</t>
  </si>
  <si>
    <t>120230276941670200</t>
  </si>
  <si>
    <t>ORD-284</t>
  </si>
  <si>
    <t>Hana Glamour Salon</t>
  </si>
  <si>
    <t>kabupaten pasuruan</t>
  </si>
  <si>
    <t>ORD-287</t>
  </si>
  <si>
    <t>Service AC  dan Elektronik</t>
  </si>
  <si>
    <t>jasa service ac, bongkar pasang ac, jual ac baru atau seken, service mesin cuci, kulkas dispenser dan elektronik lainnya</t>
  </si>
  <si>
    <t>Saputra jaya steel</t>
  </si>
  <si>
    <t>bengkel las stainlis</t>
  </si>
  <si>
    <t>6281310204991</t>
  </si>
  <si>
    <t>Menerima pekerjaan ,reling tangga,kanopi,pintu ,pagar,meja kabinet,stenlis,alumunium dan besi.</t>
  </si>
  <si>
    <t>120229167309450235</t>
  </si>
  <si>
    <t>ORD-288</t>
  </si>
  <si>
    <t>Danang Agung Kisworo Alias Abeng</t>
  </si>
  <si>
    <t>Bengkel Las Karya Agung</t>
  </si>
  <si>
    <t>6281394618785</t>
  </si>
  <si>
    <t>mengerjakan kanopi, pagar, tralis, stainless, dan minimalis</t>
  </si>
  <si>
    <t>Samarinda Kota, Samarinda Sebarang, Balikpapan</t>
  </si>
  <si>
    <t>30 tahun keatas</t>
  </si>
  <si>
    <t>120229167352240235</t>
  </si>
  <si>
    <t>ORD-289</t>
  </si>
  <si>
    <t>S Purwanto</t>
  </si>
  <si>
    <t xml:space="preserve">Safa Bag Production </t>
  </si>
  <si>
    <t>Produsen Tas koper dan perlengkapan umroh dan haji</t>
  </si>
  <si>
    <t>6287715704997</t>
  </si>
  <si>
    <t>disamping produksi tas dan koper kami juga menyediakan perlengkapan lainnya untuk umroh dan haji</t>
  </si>
  <si>
    <t>120228438250160694</t>
  </si>
  <si>
    <t>ORD-291</t>
  </si>
  <si>
    <t>Lovina Dolphin</t>
  </si>
  <si>
    <t>Sunrise Dolphin watching</t>
  </si>
  <si>
    <t>Ahmad Alfi Syukri</t>
  </si>
  <si>
    <t>Bekam Syar'i Nganjuk</t>
  </si>
  <si>
    <t>jasa terapis dan bekam</t>
  </si>
  <si>
    <t>6281252595912</t>
  </si>
  <si>
    <t>menyediakan terapis atau pembekaam wanita</t>
  </si>
  <si>
    <t>Nganjuk (radius 20km)</t>
  </si>
  <si>
    <t>120228438234360694</t>
  </si>
  <si>
    <t>Rachmat Darmawan</t>
  </si>
  <si>
    <t>ALSES SARANA TOUR</t>
  </si>
  <si>
    <t>Tour and Travel</t>
  </si>
  <si>
    <t>6285889229948</t>
  </si>
  <si>
    <t>seluruh Jawa timur</t>
  </si>
  <si>
    <t>120228438227100694</t>
  </si>
  <si>
    <t>ORD-290</t>
  </si>
  <si>
    <t>Diah</t>
  </si>
  <si>
    <t>Wifi Myrepulic</t>
  </si>
  <si>
    <t>wifi, internet</t>
  </si>
  <si>
    <t>6285282777679</t>
  </si>
  <si>
    <t>120228438254870694</t>
  </si>
  <si>
    <t>ORD-292</t>
  </si>
  <si>
    <t>indrianto</t>
  </si>
  <si>
    <t>PT RAHAYU MANDIRI TOUR</t>
  </si>
  <si>
    <t>JASA (PERORANGAN)</t>
  </si>
  <si>
    <t>6283183643221</t>
  </si>
  <si>
    <t>Penyedia jasa perjalanan wisata yang berdedikasi untuk memberikan pengalaman tak terlupakan bagi setiap pelanggan. Kami menawarkan berbagai layanan perjalanan, mulai dari perencanaan hingga pelaksanaan, baik untuk perjalanan domestik maupun internasional. Dengan tim profesional dan berpengalaman, kami berkomitmen untuk mewujudkan setiap impian perjalanan anda.</t>
  </si>
  <si>
    <t>Malaysia</t>
  </si>
  <si>
    <t>120228518640940694</t>
  </si>
  <si>
    <t>ORD-293</t>
  </si>
  <si>
    <t>Jeddah masid</t>
  </si>
  <si>
    <t>Rumah Phonsel Kendari</t>
  </si>
  <si>
    <t>jasa service handphone</t>
  </si>
  <si>
    <t>6285184844621</t>
  </si>
  <si>
    <t>jasa service handphone Android tab juga iPhone</t>
  </si>
  <si>
    <t>kota Kendari Sulawesi tenggara</t>
  </si>
  <si>
    <t>7 sampai 70 tahun</t>
  </si>
  <si>
    <t>Pria &amp; wanita</t>
  </si>
  <si>
    <t>120228481722520694</t>
  </si>
  <si>
    <t>ORD-294</t>
  </si>
  <si>
    <t>Abdul Rohim</t>
  </si>
  <si>
    <t>PT Rohim Sriwijaya Akademi</t>
  </si>
  <si>
    <t>Kemitraan Terapis Herbalis</t>
  </si>
  <si>
    <t>6285789446955</t>
  </si>
  <si>
    <t>pelatihan terapis, kemitraan herbal dan pendampingan penyehat tradisional. bisa di kerjakan dengan konsep kemitraan di tempat masing-masing</t>
  </si>
  <si>
    <t>Oku Timur, Oki, Oku Selatan , Oku Induk</t>
  </si>
  <si>
    <t>Laki Laki</t>
  </si>
  <si>
    <t>ORD-295</t>
  </si>
  <si>
    <t>Arif Rohman</t>
  </si>
  <si>
    <t>Karya Jasa</t>
  </si>
  <si>
    <t>Jasa Pertukangan</t>
  </si>
  <si>
    <t>6285811444456</t>
  </si>
  <si>
    <t>jasa pertukangan home service</t>
  </si>
  <si>
    <t>Jakarta</t>
  </si>
  <si>
    <t>30 th keatas</t>
  </si>
  <si>
    <t>ORD-296</t>
  </si>
  <si>
    <t>Anto Hapsa</t>
  </si>
  <si>
    <t>Pijat Sehat Mantap</t>
  </si>
  <si>
    <t>Pijat Badan</t>
  </si>
  <si>
    <t>6282142833445</t>
  </si>
  <si>
    <t>Kediri, Jawa Timur</t>
  </si>
  <si>
    <t>120229733096140694</t>
  </si>
  <si>
    <t>ORD-297</t>
  </si>
  <si>
    <t>Rido</t>
  </si>
  <si>
    <t>Aqiqah Go</t>
  </si>
  <si>
    <t>Jasa Layanan Aqiqah</t>
  </si>
  <si>
    <t>6281274238899</t>
  </si>
  <si>
    <t>Keunggulan usaha</t>
  </si>
  <si>
    <t>pasangan muda baru menikah, pasangan suami istri yang mempunyai anak,orang orang yang terkait dengan aqiqah</t>
  </si>
  <si>
    <t>120228518632400694</t>
  </si>
  <si>
    <t>ORD-298</t>
  </si>
  <si>
    <t>Farid</t>
  </si>
  <si>
    <t>TRIFAR TOUR</t>
  </si>
  <si>
    <t>biro perjalanan wisata</t>
  </si>
  <si>
    <t>6281252228100</t>
  </si>
  <si>
    <t>Surabaya, Malang, Madiun, Sidoarjo, Dan Nganjuk</t>
  </si>
  <si>
    <t>120228564358140694</t>
  </si>
  <si>
    <t>ORD-299</t>
  </si>
  <si>
    <t>Suparni Apriyanto/Dhany</t>
  </si>
  <si>
    <t>Ragam LASINDO Engineering (RLE)</t>
  </si>
  <si>
    <t>Menjual mesin mesin las rekondisi siap pakai</t>
  </si>
  <si>
    <t>6285814054475</t>
  </si>
  <si>
    <t>Keunggulan usaha(wajib)</t>
  </si>
  <si>
    <t>Delivery jabodetabek.luar pulau via expedisi</t>
  </si>
  <si>
    <t>120229258460030235</t>
  </si>
  <si>
    <t>ORD-300</t>
  </si>
  <si>
    <t>PT ZTP TRAVEL PHU</t>
  </si>
  <si>
    <t>Event Organizer &amp; Travel</t>
  </si>
  <si>
    <t>6287856746423</t>
  </si>
  <si>
    <t>Zans Team Production</t>
  </si>
  <si>
    <t>120228564413840694</t>
  </si>
  <si>
    <t>ORD-301</t>
  </si>
  <si>
    <t>Suharjo</t>
  </si>
  <si>
    <t>Theraphy Kang Harjo</t>
  </si>
  <si>
    <t>Jasa Theraphy</t>
  </si>
  <si>
    <t>6281253629810</t>
  </si>
  <si>
    <t>Layanan terapi</t>
  </si>
  <si>
    <t>Sangatta Utara, Kutai Timur kaltim</t>
  </si>
  <si>
    <t>120228564409340694</t>
  </si>
  <si>
    <t>ORD-302</t>
  </si>
  <si>
    <t>Ajang Nurjaman</t>
  </si>
  <si>
    <t>Amelia Trans</t>
  </si>
  <si>
    <t>jasa pelayanan transportasi wisata dll</t>
  </si>
  <si>
    <t>6285624268413</t>
  </si>
  <si>
    <t>pelayanan transportasi, wisata ke seluruh kota Bandung</t>
  </si>
  <si>
    <t>120228518679910694</t>
  </si>
  <si>
    <t>ORD-303</t>
  </si>
  <si>
    <t>CV mobil rental nurma</t>
  </si>
  <si>
    <t>CV Nurma Rental mobil manokwari</t>
  </si>
  <si>
    <t>Rental</t>
  </si>
  <si>
    <t>6289517787985</t>
  </si>
  <si>
    <t>Jakarta,bali, manokwari</t>
  </si>
  <si>
    <t>120228564398480694</t>
  </si>
  <si>
    <t>ORD-304</t>
  </si>
  <si>
    <t>CATUR CHERY</t>
  </si>
  <si>
    <t>Chery Bekasi Catur Sales Consultan</t>
  </si>
  <si>
    <t>Mobil</t>
  </si>
  <si>
    <t>6285150556695</t>
  </si>
  <si>
    <t>Laki" / Perempuan</t>
  </si>
  <si>
    <t>120228518668640694</t>
  </si>
  <si>
    <t>ORD-305</t>
  </si>
  <si>
    <t>Bang Abdul</t>
  </si>
  <si>
    <t>Terapi Barqun Palembang</t>
  </si>
  <si>
    <t>Terapi Barqun</t>
  </si>
  <si>
    <t>62895374644456</t>
  </si>
  <si>
    <t>semua usia dari bayi sampai ortu</t>
  </si>
  <si>
    <t>120228564395340694</t>
  </si>
  <si>
    <t>ORD-306</t>
  </si>
  <si>
    <t>jasa bangunan dan renovasi rumah</t>
  </si>
  <si>
    <t>Melayani Kebutuhan sedia rumah klaster di blitar,paving batako,buis beton beserta pasang.bangun dan renovasi rumah.desain dan pelaksanaannya  proyek rumah</t>
  </si>
  <si>
    <t>Blitar, Tulungagung,Kediri</t>
  </si>
  <si>
    <t>Semua Umur</t>
  </si>
  <si>
    <t>120229311743320235</t>
  </si>
  <si>
    <t>ORD-307</t>
  </si>
  <si>
    <t>Jemmy</t>
  </si>
  <si>
    <t>Jemmy Tour Malang</t>
  </si>
  <si>
    <t>paket tour wisata</t>
  </si>
  <si>
    <t>6281252867949</t>
  </si>
  <si>
    <t>perjalanan dan paket tour wisata</t>
  </si>
  <si>
    <t>Laki Laki Dan Perempuan</t>
  </si>
  <si>
    <t>120228518650790694</t>
  </si>
  <si>
    <t>ORD-308</t>
  </si>
  <si>
    <t>Abdul Aziz</t>
  </si>
  <si>
    <t>Jasa Motif Profil Beton</t>
  </si>
  <si>
    <t>Jasa Motif</t>
  </si>
  <si>
    <t>6283177154244</t>
  </si>
  <si>
    <t>Jakarta, Pulau Jawa (Jawa Tengah, Jawa Timur, Jawa Barat)</t>
  </si>
  <si>
    <t>120229311612590235</t>
  </si>
  <si>
    <t>ORD-309</t>
  </si>
  <si>
    <t>6281223544456</t>
  </si>
  <si>
    <t>120229311654050235</t>
  </si>
  <si>
    <t>ORD-310</t>
  </si>
  <si>
    <t>Munadi</t>
  </si>
  <si>
    <t>Cv Nuansa Profil</t>
  </si>
  <si>
    <t>6282310465999</t>
  </si>
  <si>
    <t>Kontraktor bidang bangunan,bangun dari nol/renovasi ,juga menjual berbagai macam jenis/motif ornament</t>
  </si>
  <si>
    <t>samarinda, balikpapan, Tenggarong</t>
  </si>
  <si>
    <t>remaja sampai dewasa</t>
  </si>
  <si>
    <t>laki/perempuan</t>
  </si>
  <si>
    <t>ORD-311</t>
  </si>
  <si>
    <t>Jerni Nggili</t>
  </si>
  <si>
    <t>D’Vanny salon</t>
  </si>
  <si>
    <t>6285339158435</t>
  </si>
  <si>
    <t>salon kecantikan melayani jasa potong rambut, smoting,spa rambut,warna rambut,make up dll</t>
  </si>
  <si>
    <t>Kota Kefamenanu Kab Timor Tengah Utara</t>
  </si>
  <si>
    <t>5-70 tahun</t>
  </si>
  <si>
    <t>ORD-312</t>
  </si>
  <si>
    <t>hayatur rohman</t>
  </si>
  <si>
    <t>El Baha Trans</t>
  </si>
  <si>
    <t>Travel</t>
  </si>
  <si>
    <t>6285696765224</t>
  </si>
  <si>
    <t>sewa bus medium, bersih dan nyaman</t>
  </si>
  <si>
    <t>malang,Jawa Timur</t>
  </si>
  <si>
    <t>ORD-314</t>
  </si>
  <si>
    <t>Mas Ari</t>
  </si>
  <si>
    <t>PT WIRA JOGJA WISATA</t>
  </si>
  <si>
    <t>Biro Perjalanan Wisata</t>
  </si>
  <si>
    <t>6281229745253</t>
  </si>
  <si>
    <t>ORD-316</t>
  </si>
  <si>
    <t>ORD-317</t>
  </si>
  <si>
    <t>Sodep</t>
  </si>
  <si>
    <t>Zila Lombok Trans</t>
  </si>
  <si>
    <t>Jasa Transportasi &amp; travel</t>
  </si>
  <si>
    <t>6287757150828</t>
  </si>
  <si>
    <t>Seluruh Dunia</t>
  </si>
  <si>
    <t>ORD-319</t>
  </si>
  <si>
    <t>Indah</t>
  </si>
  <si>
    <t>Suka Sehat</t>
  </si>
  <si>
    <t>Terapi Holistik</t>
  </si>
  <si>
    <t>6282277773540</t>
  </si>
  <si>
    <t>Jasa Layanan Terapi Bekam, Pijat Kretek, Pijat Full body massage, Gurah Hidung dll.</t>
  </si>
  <si>
    <t>Kota Bogor 20 KM Radiusnya</t>
  </si>
  <si>
    <t>40-60 tahun</t>
  </si>
  <si>
    <t>ORD-320</t>
  </si>
  <si>
    <t>Herwani Arifin</t>
  </si>
  <si>
    <t>Hery Service</t>
  </si>
  <si>
    <t>Service</t>
  </si>
  <si>
    <t>6281316839343</t>
  </si>
  <si>
    <t>jakarta barat dan tangerang ditekankan wilayah kedoya kb jeruk serengaeng meruya dan sekitarnya</t>
  </si>
  <si>
    <t>ORD-321</t>
  </si>
  <si>
    <t>Sholeh</t>
  </si>
  <si>
    <t>Reklame Hafiz</t>
  </si>
  <si>
    <t>Advertising</t>
  </si>
  <si>
    <t>6285384321677</t>
  </si>
  <si>
    <t>Pembuatan Hurup Timbul Akrilik Plang Merek Papan Reklame Neon Bok, neonsign, hurup timbul stenlis, hurup timbul galpanis, plat mobil timbul, plakat akrilik, DLL</t>
  </si>
  <si>
    <t>Lampung dan Sekitarnya</t>
  </si>
  <si>
    <t>ORD-322</t>
  </si>
  <si>
    <t>Agus Priyanto</t>
  </si>
  <si>
    <t>Fabrikasi Dan Sparepart Mesin</t>
  </si>
  <si>
    <t>pembuatan meja kerja, trolley, rak, gear, bearing, baut, per dll</t>
  </si>
  <si>
    <t>6281284410725</t>
  </si>
  <si>
    <t>Pembuatan meja kerja,Rak,trolley,per,gear,bearing,baut</t>
  </si>
  <si>
    <t>20-65 th</t>
  </si>
  <si>
    <t>120229629563170235</t>
  </si>
  <si>
    <t>ORD-323</t>
  </si>
  <si>
    <t>Rina Lombok</t>
  </si>
  <si>
    <t>CV Rheina Anugrah Lombok</t>
  </si>
  <si>
    <t>TOUR DAN TRAVEL</t>
  </si>
  <si>
    <t>6282339444339</t>
  </si>
  <si>
    <t>Malaysia , Jawa, Batam, Jakarta, Aceh Seluruh Provinsi Indonesia</t>
  </si>
  <si>
    <t>ORD-324</t>
  </si>
  <si>
    <t>Bambang Toto R</t>
  </si>
  <si>
    <t>Indointerior</t>
  </si>
  <si>
    <t>6285169411418</t>
  </si>
  <si>
    <t>Pekerjaan bangunan interior dan eksterior (baja ringan,plafon,tralis.pengecetan,epoxy lantai, Wallpaper,Alunium dll)</t>
  </si>
  <si>
    <t>Semarang-Jawa Tengah</t>
  </si>
  <si>
    <t>20-70 thn</t>
  </si>
  <si>
    <t>ORD-325</t>
  </si>
  <si>
    <t>M Yusup</t>
  </si>
  <si>
    <t>Buana Plavon</t>
  </si>
  <si>
    <t>Jasa Pemasangan Plavon PVC ,Gypsum,Dan Rangka Atap Baja Ringan</t>
  </si>
  <si>
    <t>62895416149255</t>
  </si>
  <si>
    <t>Kami melayani pemasangan plafon PVC,Plavon Gypsum (flat dan drop ceiling),wallding,serta rangka atap baja ringan untuk rumah,kantor,toko,dan bangunan lainnya.pelayanan cepat,rapi,dan harga transparan</t>
  </si>
  <si>
    <t>Kebumen,Gombong,Puring, Purworejo, Kutoarjo, Wonosobo,Dan Sekitarnya ( Jawa Tengah )</t>
  </si>
  <si>
    <t>25-50 th</t>
  </si>
  <si>
    <t>120229628510180235</t>
  </si>
  <si>
    <t>ORD-327</t>
  </si>
  <si>
    <t>Ayu</t>
  </si>
  <si>
    <t>Bali Ayu Massage Salon &amp; Spa</t>
  </si>
  <si>
    <t>Spa &amp; Salon</t>
  </si>
  <si>
    <t>6281916331011</t>
  </si>
  <si>
    <t>home service &amp; home studio</t>
  </si>
  <si>
    <t>canggu, dalung, Ubud, kuta</t>
  </si>
  <si>
    <t>ORD-330</t>
  </si>
  <si>
    <t>ORD-331</t>
  </si>
  <si>
    <t>Seluruh Provinsi Indonesia &amp; Asia</t>
  </si>
  <si>
    <t>ORD-332</t>
  </si>
  <si>
    <t>Ustad Asep Barkah</t>
  </si>
  <si>
    <t>Alhikmah</t>
  </si>
  <si>
    <t>ORD-333</t>
  </si>
  <si>
    <t>Iyus Yusman</t>
  </si>
  <si>
    <t>Pangauban Endah Residence</t>
  </si>
  <si>
    <t>Developer</t>
  </si>
  <si>
    <t>6285186029090</t>
  </si>
  <si>
    <t>radius batujajar, cihampelas cimahi padalarang</t>
  </si>
  <si>
    <t>24-48 th</t>
  </si>
  <si>
    <t>ORD-336</t>
  </si>
  <si>
    <t>Li Lie</t>
  </si>
  <si>
    <t>Li Lie Salon</t>
  </si>
  <si>
    <t>6289608357133</t>
  </si>
  <si>
    <t>creambath, smoothing, many padi, kriting, gunting, cuci blow, rebonding, semir/toning, hair spa, lulur, facial, make up, pijat kaki/reflexy, cabut alis, kerik/kop, pedicure/manicure dll</t>
  </si>
  <si>
    <t>Sunter, Pluit, Mangga Besar dan Sekitarnya (Jakarta Utara &amp; Jakarta Barat)</t>
  </si>
  <si>
    <t>01-Des-2025</t>
  </si>
  <si>
    <t>yahya</t>
  </si>
  <si>
    <t>Yahya kaca mobil</t>
  </si>
  <si>
    <t>kaca mobil</t>
  </si>
  <si>
    <t>6285746861553</t>
  </si>
  <si>
    <t>Kediri - Nganjuk - Blitar - Tulung agung - Jombang - Mojokerto -sidoarjo</t>
  </si>
  <si>
    <t>Jenis kelamin: semua</t>
  </si>
  <si>
    <t>Satrio</t>
  </si>
  <si>
    <t>Rehab Hati Jambi</t>
  </si>
  <si>
    <t>Layanan Terapi dan Pengobatan</t>
  </si>
  <si>
    <t>6283147736523</t>
  </si>
  <si>
    <t>Provinsi Jambi</t>
  </si>
  <si>
    <t>18 - 65 tahun</t>
  </si>
  <si>
    <t>120228850143500694</t>
  </si>
  <si>
    <t>ORD-334</t>
  </si>
  <si>
    <t>Enal</t>
  </si>
  <si>
    <t>Suzuki Mamuju</t>
  </si>
  <si>
    <t>PT Megahputra Sejahtera</t>
  </si>
  <si>
    <t>6281221788919</t>
  </si>
  <si>
    <t>Mamuju Tengah, Pasangkayu, Mamuju Kota</t>
  </si>
  <si>
    <t>ORD-335</t>
  </si>
  <si>
    <t>Rahmat Hidayatulloh</t>
  </si>
  <si>
    <t>Ilham Trans Wisata Bekasi</t>
  </si>
  <si>
    <t>Sewa Bus Pariwisata dan Paket Wisata</t>
  </si>
  <si>
    <t>6285714141525</t>
  </si>
  <si>
    <t>120228850479450694</t>
  </si>
  <si>
    <t>ORD-337</t>
  </si>
  <si>
    <t>Ali Sholeh</t>
  </si>
  <si>
    <t>Pijat Sehat Harmony</t>
  </si>
  <si>
    <t>Pijat Tradisional</t>
  </si>
  <si>
    <t>6281217985917</t>
  </si>
  <si>
    <t>solusi sehat tanpa obat, mengatasi sakit pinggang, syaraf kejepit,salah urat,kesleo,relokasi otot tulang sendi, perawatan kesehatan tradisional holistik</t>
  </si>
  <si>
    <t>Dusun Cimahi,Bandung</t>
  </si>
  <si>
    <t>120228849580430694</t>
  </si>
  <si>
    <t>ORD-338</t>
  </si>
  <si>
    <t>Ki Parjito M.E.L</t>
  </si>
  <si>
    <t>Terapi Jalur Langit</t>
  </si>
  <si>
    <t>Pengobatan, Penyembuhan</t>
  </si>
  <si>
    <t>6287839406770</t>
  </si>
  <si>
    <t>ramuan banyu urip, madu kejantanan, beauty banyu urip, terapi telapak petir</t>
  </si>
  <si>
    <t>Jogjakarta</t>
  </si>
  <si>
    <t>10-70 th</t>
  </si>
  <si>
    <t>120228809828280694</t>
  </si>
  <si>
    <t>Sadam</t>
  </si>
  <si>
    <t>Ibi waterproofing</t>
  </si>
  <si>
    <t>Waterproofing</t>
  </si>
  <si>
    <t>6281317170441</t>
  </si>
  <si>
    <t>jasa aplikator injeksi beton, spesialis perbaikkan atau penanganan struktur bangunan beton mengalami retak, bocor dan keropos</t>
  </si>
  <si>
    <t>20-60</t>
  </si>
  <si>
    <t>120229631942740235</t>
  </si>
  <si>
    <t>Abing Gusti</t>
  </si>
  <si>
    <t>Bengkel Las Abing Putra Kemang (APK)</t>
  </si>
  <si>
    <t>Bengkel Las APK</t>
  </si>
  <si>
    <t>6288274090631</t>
  </si>
  <si>
    <t>Palembang dan Banyuasin</t>
  </si>
  <si>
    <t>ORD-339</t>
  </si>
  <si>
    <t>Suprayetno</t>
  </si>
  <si>
    <t>Sumatra Jungle Tours</t>
  </si>
  <si>
    <t>Jungle Trekking &amp; Sumatra Tour</t>
  </si>
  <si>
    <t>6283870060603</t>
  </si>
  <si>
    <t>Inggris, Perancis, Jerman, Spanyol, Jepang, Indonesia, Amerika, Italy, Kanada, Denmark, Rusia, Singapore, Australia, Swiss, Irlandia, Belgia, Belanda, Korea, Ceko</t>
  </si>
  <si>
    <t>6 tahun - 60 tahun</t>
  </si>
  <si>
    <t>120228872320170694</t>
  </si>
  <si>
    <t>ORD-340</t>
  </si>
  <si>
    <t>Made</t>
  </si>
  <si>
    <t>Superman Interior and Furniture Custom</t>
  </si>
  <si>
    <t>62881038177010</t>
  </si>
  <si>
    <t>21 th ke atas</t>
  </si>
  <si>
    <t>120229631170150235</t>
  </si>
  <si>
    <t>ORD-341</t>
  </si>
  <si>
    <t>Paijan</t>
  </si>
  <si>
    <t>Terapi Bekam Center</t>
  </si>
  <si>
    <t>Terapis</t>
  </si>
  <si>
    <t>6282307376695</t>
  </si>
  <si>
    <t>Jl Tribrata Dekat Simpang 4 Polda Bengkulu</t>
  </si>
  <si>
    <t>3 th ke atas</t>
  </si>
  <si>
    <t>120228872304560694</t>
  </si>
  <si>
    <t>ORD-342</t>
  </si>
  <si>
    <t>Farah</t>
  </si>
  <si>
    <t>Pelatihan Bekam Nasional PBI-Zaytun Jember</t>
  </si>
  <si>
    <t>6283865096870</t>
  </si>
  <si>
    <t>Jember</t>
  </si>
  <si>
    <t>20 tahun-60 tahun</t>
  </si>
  <si>
    <t>Laki-laki dan Perempuan</t>
  </si>
  <si>
    <t>120228849804790694</t>
  </si>
  <si>
    <t>ORD-343</t>
  </si>
  <si>
    <t>CV mz banyu agung</t>
  </si>
  <si>
    <t>Lanang Tunggal jaya</t>
  </si>
  <si>
    <t>bengkel Las</t>
  </si>
  <si>
    <t>62882001677470</t>
  </si>
  <si>
    <t>Cirebon,kuningan,</t>
  </si>
  <si>
    <t>21-60 th</t>
  </si>
  <si>
    <t>ORD-344</t>
  </si>
  <si>
    <t>Nofan Adi Saputro</t>
  </si>
  <si>
    <t>Manunggal Jaya Teknik</t>
  </si>
  <si>
    <t>jasa jasa service</t>
  </si>
  <si>
    <t>6285716210341</t>
  </si>
  <si>
    <t>menerima service/cuci ac, pembelian unit baru/second, bergaransi</t>
  </si>
  <si>
    <t>Jakarta Timur</t>
  </si>
  <si>
    <t>120229629764880235</t>
  </si>
  <si>
    <t>ORD-345</t>
  </si>
  <si>
    <t>Nur Yanti</t>
  </si>
  <si>
    <t>Interior Termurah Sejabodetabek</t>
  </si>
  <si>
    <t>6287878863000</t>
  </si>
  <si>
    <t>kitchen set, vinyl, kisi-kisi plafon, walpaper, perumahan, perkantoran, tk, lemari pakaian, lemari pakaian, lemari dapur, lemari perpustakaan dll</t>
  </si>
  <si>
    <t>120229703214050235</t>
  </si>
  <si>
    <t>ORD-346</t>
  </si>
  <si>
    <t>Conny</t>
  </si>
  <si>
    <t>Marros Tour</t>
  </si>
  <si>
    <t>6281223055720</t>
  </si>
  <si>
    <t>pelayanan marros tour ke pulau bali</t>
  </si>
  <si>
    <t>seluruh kalbar</t>
  </si>
  <si>
    <t>120228850824210694</t>
  </si>
  <si>
    <t>ORD-348</t>
  </si>
  <si>
    <t>Yusril Mahendra</t>
  </si>
  <si>
    <t>APRILIA GYPSUM</t>
  </si>
  <si>
    <t>plafon pvc dan gypsum</t>
  </si>
  <si>
    <t>6281230288300</t>
  </si>
  <si>
    <t>Gianyar, Sukawati, Tegallalang, Ubud dll</t>
  </si>
  <si>
    <t>120230607244050235</t>
  </si>
  <si>
    <t>ORD-349</t>
  </si>
  <si>
    <t>Irfan</t>
  </si>
  <si>
    <t>Wedding Organizer</t>
  </si>
  <si>
    <t>WO</t>
  </si>
  <si>
    <t>628563562851</t>
  </si>
  <si>
    <t>make up, rias pengantin, menyewakan alat2 pernikahan, dekorasi dll</t>
  </si>
  <si>
    <t>jawa timur</t>
  </si>
  <si>
    <t>20 th keatas</t>
  </si>
  <si>
    <t>120228872269930694</t>
  </si>
  <si>
    <t>ORD-350</t>
  </si>
  <si>
    <t>Litna Br Sembiring</t>
  </si>
  <si>
    <t>MUA, salon pengantin karo</t>
  </si>
  <si>
    <t>menerima kursus MUA &amp; salon pengantin</t>
  </si>
  <si>
    <t>binjai. kabupaten langkat</t>
  </si>
  <si>
    <t>18-22 th</t>
  </si>
  <si>
    <t>120230563130010200</t>
  </si>
  <si>
    <t>ORD-351</t>
  </si>
  <si>
    <t>ORD-353</t>
  </si>
  <si>
    <t>Eka Setia Karsa</t>
  </si>
  <si>
    <t>AURIGA KONTRAKTOR</t>
  </si>
  <si>
    <t>KONTRAKTOR</t>
  </si>
  <si>
    <t>6287856230745</t>
  </si>
  <si>
    <t>Bali,Denpasar, Jimbaran , Canggu , Seminyak ,Badung,ubud</t>
  </si>
  <si>
    <t>120229653449750235</t>
  </si>
  <si>
    <t>ORD-354</t>
  </si>
  <si>
    <t>ORD-355</t>
  </si>
  <si>
    <t>Naufal</t>
  </si>
  <si>
    <t>Naufal interior</t>
  </si>
  <si>
    <t>6281347321820</t>
  </si>
  <si>
    <t>Kota Penajam Peser Utara</t>
  </si>
  <si>
    <t>10-70 tahun</t>
  </si>
  <si>
    <t>ORD-356</t>
  </si>
  <si>
    <t>ORD-357</t>
  </si>
  <si>
    <t>ORD-359</t>
  </si>
  <si>
    <t>Sahdan anwar</t>
  </si>
  <si>
    <t>Cv my trans lombok</t>
  </si>
  <si>
    <t>Transportasi dan wisata</t>
  </si>
  <si>
    <t>6281933176790</t>
  </si>
  <si>
    <t>Kuala lumpur, jakarta, bandung</t>
  </si>
  <si>
    <t>20-60 tahun</t>
  </si>
  <si>
    <t>120228872333430694</t>
  </si>
  <si>
    <t>ORD-360</t>
  </si>
  <si>
    <t>ORD-363</t>
  </si>
  <si>
    <t>M.Muslihudin</t>
  </si>
  <si>
    <t>Griya Mahalona Herbal</t>
  </si>
  <si>
    <t>Pengobatan Tradisional Dan Herbal</t>
  </si>
  <si>
    <t>6282292283543</t>
  </si>
  <si>
    <t>Keunggulan Usaha</t>
  </si>
  <si>
    <t>Mahalona Raya,Timampu,Kampung Baru,Matompi,Warondula,Sorowako,Wasuponda</t>
  </si>
  <si>
    <t>18thn keatas</t>
  </si>
  <si>
    <t>120229733176230694</t>
  </si>
  <si>
    <t>ORD-361</t>
  </si>
  <si>
    <t>Syahrul Partawijawa</t>
  </si>
  <si>
    <t>Klasika Kontraktor/ Klakon</t>
  </si>
  <si>
    <t>Kontraktor Rancang Bangun</t>
  </si>
  <si>
    <t>6281298551100</t>
  </si>
  <si>
    <t>Kontraktor Rancang bangun, untuk mbangun baru rumah kost, rumah mewah, kantor, rukan, apartemen, hotel dan interior</t>
  </si>
  <si>
    <t>kota besar Jabodetabek, Bandung, Surabaya</t>
  </si>
  <si>
    <t>35 thn keatas</t>
  </si>
  <si>
    <t>120229653461430235</t>
  </si>
  <si>
    <t>ORD-362</t>
  </si>
  <si>
    <t>Wahyu Saputra</t>
  </si>
  <si>
    <t>Simetris Transport</t>
  </si>
  <si>
    <t>Persewaan Mobil Hiace Premio, Hiace comuter, bus medium seat 35 dan big bus seat 50</t>
  </si>
  <si>
    <t>6285191259285</t>
  </si>
  <si>
    <t>Persewaan mobil Hiace premio, Hiace coomuter,bus medium seat 35,dan big bus seat 50</t>
  </si>
  <si>
    <t>120230152654400694</t>
  </si>
  <si>
    <t>Alfian</t>
  </si>
  <si>
    <t>REKARUANG GRUOP</t>
  </si>
  <si>
    <t>Interior Design Dan Aplikator</t>
  </si>
  <si>
    <t>6287888068088</t>
  </si>
  <si>
    <t>Desain Interior untuk menciptakan lingkungan yang fungsional,estetis,dan nyaman.dengan mempertimbangkan kaidah kaidah2 arsitektur dalam sebuah desain seperti</t>
  </si>
  <si>
    <t>Cibubur,Bogor,Bekasi,Jakarta,Bandung</t>
  </si>
  <si>
    <t>120229653484070235</t>
  </si>
  <si>
    <t>ORD-364</t>
  </si>
  <si>
    <t>wartawan</t>
  </si>
  <si>
    <t>Bengkel las canopy sumber rejeki</t>
  </si>
  <si>
    <t>Las canopy</t>
  </si>
  <si>
    <t>6281385001244</t>
  </si>
  <si>
    <t>Bandung, depok</t>
  </si>
  <si>
    <t>21th ke atas</t>
  </si>
  <si>
    <t>120229653471350235</t>
  </si>
  <si>
    <t>ORD-365</t>
  </si>
  <si>
    <t>Adhitya Prawindayana</t>
  </si>
  <si>
    <t>Lubijo Berkah Jaya</t>
  </si>
  <si>
    <t>kontruksi dan interior</t>
  </si>
  <si>
    <t>6281233038880</t>
  </si>
  <si>
    <t>jogja, jateng, diy</t>
  </si>
  <si>
    <t>ORD-368</t>
  </si>
  <si>
    <t>putranto</t>
  </si>
  <si>
    <t>Bengkel las karya putra mandiri</t>
  </si>
  <si>
    <t>6281311129854</t>
  </si>
  <si>
    <t>menerima pesanan kanopi,pagar tralis , konstruksi baja dan jasa pengelasan lainnya</t>
  </si>
  <si>
    <t>Tangerang jakarta</t>
  </si>
  <si>
    <t>120229703200400235</t>
  </si>
  <si>
    <t>ORD-369</t>
  </si>
  <si>
    <t>elan</t>
  </si>
  <si>
    <t>Ghadi Auto wrapp</t>
  </si>
  <si>
    <t>wrapping stiker mobil</t>
  </si>
  <si>
    <t>6285268101557</t>
  </si>
  <si>
    <t>Jasa pasang wrapping stiker mobil,paint protection film, windows film,sunblasd, freelance ,pasang kaca film gedung kantor dan rumah</t>
  </si>
  <si>
    <t>120228921978330694</t>
  </si>
  <si>
    <t>ORD-370</t>
  </si>
  <si>
    <t>ORD-371</t>
  </si>
  <si>
    <t>Arif Endra Susilo</t>
  </si>
  <si>
    <t>PT. KINANTAN JAYA TEKNIK</t>
  </si>
  <si>
    <t>Bengkel las dan kontruksi baja ringan</t>
  </si>
  <si>
    <t>628116655901</t>
  </si>
  <si>
    <t>mengerjakan Pagar,Pintu,Teralis,Kanopi,Rolling Folding Gate,Tangga,Neon Box,Baja Ringan, Alumunium,Stainless Steel,Aksesoris rumah tangga dll</t>
  </si>
  <si>
    <t>kota Padang</t>
  </si>
  <si>
    <t>120229703172750235</t>
  </si>
  <si>
    <t>ORD-372</t>
  </si>
  <si>
    <t>Gres</t>
  </si>
  <si>
    <t>Satria Karya Baja, Plafon PVC Bekasi Utara</t>
  </si>
  <si>
    <t>Renovasi Atap &amp; Plafon PVC</t>
  </si>
  <si>
    <t>6287734875393</t>
  </si>
  <si>
    <t>21-65 th</t>
  </si>
  <si>
    <t>120229703123630235</t>
  </si>
  <si>
    <t>Asep</t>
  </si>
  <si>
    <t>Rumah Terapy</t>
  </si>
  <si>
    <t>Teraphy</t>
  </si>
  <si>
    <t>6287829346006</t>
  </si>
  <si>
    <t>120229858753520694</t>
  </si>
  <si>
    <t>ORD-373</t>
  </si>
  <si>
    <t>POM MIGOR SANTARA</t>
  </si>
  <si>
    <t>Kemitraan Pom Minyak Goreng Curah Berkualitas</t>
  </si>
  <si>
    <t>bisnis kemitraan dengan produk kualitas dan legalitas lengkap</t>
  </si>
  <si>
    <t>kabupaten oku timur dan kabupaten oki</t>
  </si>
  <si>
    <t>120228880858690694</t>
  </si>
  <si>
    <t>ORD-374</t>
  </si>
  <si>
    <t>Lalu Sadam</t>
  </si>
  <si>
    <t>Tours Lombok</t>
  </si>
  <si>
    <t>paket tour dan driver</t>
  </si>
  <si>
    <t>6281936030924</t>
  </si>
  <si>
    <t>Jakarta Kalimantan Surabaya makasar</t>
  </si>
  <si>
    <t>ORD-376</t>
  </si>
  <si>
    <t>Andri</t>
  </si>
  <si>
    <t>Gemilang Gordyn Jakarta</t>
  </si>
  <si>
    <t>Interior Hordeng</t>
  </si>
  <si>
    <t>6283891332074</t>
  </si>
  <si>
    <t>pusat gorden &amp; walpaper modern gorden (walpaper, aneka fashion blinds, flooring vinyl)</t>
  </si>
  <si>
    <t>35-45 th</t>
  </si>
  <si>
    <t>120228921980570694</t>
  </si>
  <si>
    <t>ORD-377</t>
  </si>
  <si>
    <t>Eljokael Elsa</t>
  </si>
  <si>
    <t>Elsa Eljokael Elsa</t>
  </si>
  <si>
    <t>Penyambilan Puing</t>
  </si>
  <si>
    <t>62882015555380</t>
  </si>
  <si>
    <t>Dalung, Denpasar, Tabanan</t>
  </si>
  <si>
    <t>120229762908150235</t>
  </si>
  <si>
    <t>ORD-378</t>
  </si>
  <si>
    <t>Budi Santoso</t>
  </si>
  <si>
    <t>Griya Sehat Holistik</t>
  </si>
  <si>
    <t>Terapi Fisik</t>
  </si>
  <si>
    <t>6285741977776</t>
  </si>
  <si>
    <t>DKI Jakarta</t>
  </si>
  <si>
    <t>120228961278530694</t>
  </si>
  <si>
    <t>ORD-379</t>
  </si>
  <si>
    <t>Jefri Andrian</t>
  </si>
  <si>
    <t>Pesona Lift Cor</t>
  </si>
  <si>
    <t>Jasa Pengecoran Dengan Lift Cor</t>
  </si>
  <si>
    <t>6287821760177</t>
  </si>
  <si>
    <t>Sidoarjo, Surabaya, Gresik, Krian, Mojokerto, Pasuruan, Pandaan</t>
  </si>
  <si>
    <t>120229762913500235</t>
  </si>
  <si>
    <t>ORD-380</t>
  </si>
  <si>
    <t>Herlan</t>
  </si>
  <si>
    <t>Cidahu Camping Ground</t>
  </si>
  <si>
    <t>informasi jasa camp dan sewa alat camp</t>
  </si>
  <si>
    <t>6285773570295</t>
  </si>
  <si>
    <t>Jakarta, Bekasi, Depok, Bogor, Tangerang</t>
  </si>
  <si>
    <t>20-50 tahun</t>
  </si>
  <si>
    <t>120228961277470694</t>
  </si>
  <si>
    <t>ORD-381</t>
  </si>
  <si>
    <t>Ferdian</t>
  </si>
  <si>
    <t>Interior Dn Custom Minimalis</t>
  </si>
  <si>
    <t>Interior Furniture</t>
  </si>
  <si>
    <t>62895329361572</t>
  </si>
  <si>
    <t>melayani desain untuk rumah, kantor, villa, toko, gedung dll</t>
  </si>
  <si>
    <t>Denpasar, Bali</t>
  </si>
  <si>
    <t>120229762920720235</t>
  </si>
  <si>
    <t>ORD-383</t>
  </si>
  <si>
    <t>Anjar</t>
  </si>
  <si>
    <t>Cendekia Tiara Tour</t>
  </si>
  <si>
    <t>Organizer Outbond dan Tour Travel</t>
  </si>
  <si>
    <t>6281215284044</t>
  </si>
  <si>
    <t>Kalimantan. Sulawesi. Jakarta. Jawa Timur. Sumatera.</t>
  </si>
  <si>
    <t>120228961274500694</t>
  </si>
  <si>
    <t>Berkat Property</t>
  </si>
  <si>
    <t>pembangunan rumah mulai dari pondasi sampai siap huni.jasa sekali Gus dengan bahan material ,,harga mulai dari 4 JT an permtr,,harga tergantung sfek dan lukasi yg akan di bangun..sistim pembayaran bertahap.</t>
  </si>
  <si>
    <t>Kalimantan, khususnya kalimantan selatan</t>
  </si>
  <si>
    <t>Farhan</t>
  </si>
  <si>
    <t>HM VIP TRANSPORT</t>
  </si>
  <si>
    <t>6281225745133</t>
  </si>
  <si>
    <t>23-55</t>
  </si>
  <si>
    <t>L &amp; P</t>
  </si>
  <si>
    <t>120229016012180694</t>
  </si>
  <si>
    <t>ORD-384</t>
  </si>
  <si>
    <t>Didi Darmadi</t>
  </si>
  <si>
    <t>Tanjung Transport</t>
  </si>
  <si>
    <t>paket wisata jogja</t>
  </si>
  <si>
    <t>6287762707927</t>
  </si>
  <si>
    <t>120229015015230694</t>
  </si>
  <si>
    <t>ORD-385</t>
  </si>
  <si>
    <t>Rini Rachmasari</t>
  </si>
  <si>
    <t>Solo, colamadu &amp; sekitarnya</t>
  </si>
  <si>
    <t>7-65 tahun</t>
  </si>
  <si>
    <t>120229187529730694</t>
  </si>
  <si>
    <t>ORD-389</t>
  </si>
  <si>
    <t>i Gusti Ngurah Nyoman juniartha</t>
  </si>
  <si>
    <t>panti sehat herbal Jero melati</t>
  </si>
  <si>
    <t>kesehatan</t>
  </si>
  <si>
    <t>6281999375257</t>
  </si>
  <si>
    <t>bali</t>
  </si>
  <si>
    <t>Tua muda</t>
  </si>
  <si>
    <t>120228961280990694</t>
  </si>
  <si>
    <t>ORD-390</t>
  </si>
  <si>
    <t>ORD-391</t>
  </si>
  <si>
    <t>terapi stroke, saraf kejepit, asam urat, kolesterol, diabet, sakit sendi saraf dan tulang</t>
  </si>
  <si>
    <t>ORD-394</t>
  </si>
  <si>
    <t>Maijar Saswedi Hasibuan</t>
  </si>
  <si>
    <t>CV ATN TRAVEL DUMAI</t>
  </si>
  <si>
    <t>6282169354443</t>
  </si>
  <si>
    <t>melayani penompang yang mau menuju,Dumai ke Batam lewat feri Ataupun kapal Roro. Gitu Aja angkutan</t>
  </si>
  <si>
    <t>Batam, Sidimpuan, Sibolga, Dumai, Gunung Tua.</t>
  </si>
  <si>
    <t>120229016139180694</t>
  </si>
  <si>
    <t>ORD-396</t>
  </si>
  <si>
    <t>Pudji Endarwati</t>
  </si>
  <si>
    <t>Srikandi Tour</t>
  </si>
  <si>
    <t>6281392854108</t>
  </si>
  <si>
    <t>Kabupaten Purworejo, Wates, Kebumen</t>
  </si>
  <si>
    <t>120229858774150694</t>
  </si>
  <si>
    <t>Asep Saepudin</t>
  </si>
  <si>
    <t>CV Karya Cahaya Gemilang</t>
  </si>
  <si>
    <t>6285888590045</t>
  </si>
  <si>
    <t>Kontruksi, Interior, Exterior, Reklame, Renovasi Bangunan</t>
  </si>
  <si>
    <t>Jabodetabek dan Bandung</t>
  </si>
  <si>
    <t>120229834020980235</t>
  </si>
  <si>
    <t>ORD-393</t>
  </si>
  <si>
    <t>Nilawati rahim</t>
  </si>
  <si>
    <t>FANILA PIZZA</t>
  </si>
  <si>
    <t>PIZZA</t>
  </si>
  <si>
    <t>6282197248722</t>
  </si>
  <si>
    <t>seluruh masyarakat makassar</t>
  </si>
  <si>
    <t>30 thun keatas</t>
  </si>
  <si>
    <t>120229064566250694</t>
  </si>
  <si>
    <t>ORD-395</t>
  </si>
  <si>
    <t>Ali Soleh Ibrahim</t>
  </si>
  <si>
    <t>Pijat Sehat</t>
  </si>
  <si>
    <t>6281219329853</t>
  </si>
  <si>
    <t>Pijat Sehat Harmony – Solusi Nyeri &amp; Relaksasi Tanpa Obat</t>
  </si>
  <si>
    <t>kotamadya Bandung dan Cimahi</t>
  </si>
  <si>
    <t>28-55 tahun</t>
  </si>
  <si>
    <t>120229014994180694</t>
  </si>
  <si>
    <t>Yusuf</t>
  </si>
  <si>
    <t>CV SEJAHTERA JAYA ABADI</t>
  </si>
  <si>
    <t>6285268858846</t>
  </si>
  <si>
    <t>jasa kontraktor pembuatan rumah mewah, ruko, renovasi, pembangunan dari nol dll</t>
  </si>
  <si>
    <t>Jambi</t>
  </si>
  <si>
    <t>120229833999110235</t>
  </si>
  <si>
    <t>ORD-397</t>
  </si>
  <si>
    <t>Roby</t>
  </si>
  <si>
    <t>Kharisma Wedding Official</t>
  </si>
  <si>
    <t>Wedding</t>
  </si>
  <si>
    <t>628155157779</t>
  </si>
  <si>
    <t>Surabaya dan Sidoarjo</t>
  </si>
  <si>
    <t>120229402614490694</t>
  </si>
  <si>
    <t>ORD-398</t>
  </si>
  <si>
    <t>Ahmad imron</t>
  </si>
  <si>
    <t>HZ Teknik</t>
  </si>
  <si>
    <t>Jasa service ac</t>
  </si>
  <si>
    <t>6282123039124</t>
  </si>
  <si>
    <t>Keunggulan usaha (wajib)</t>
  </si>
  <si>
    <t>Tempuran , karawang</t>
  </si>
  <si>
    <t>120229014978770694</t>
  </si>
  <si>
    <t>ORD-400</t>
  </si>
  <si>
    <t>Samijan</t>
  </si>
  <si>
    <t>Herbal Mantun Official</t>
  </si>
  <si>
    <t>Pengobatan Alternatif Dan Herbal</t>
  </si>
  <si>
    <t>62816904358</t>
  </si>
  <si>
    <t>Tangerang Selatan dan Sekitarnya</t>
  </si>
  <si>
    <t>120229015025980694</t>
  </si>
  <si>
    <t>ORD-401</t>
  </si>
  <si>
    <t>6283131677011</t>
  </si>
  <si>
    <t>120229014990400694</t>
  </si>
  <si>
    <t>ORD-402</t>
  </si>
  <si>
    <t>ORD-403</t>
  </si>
  <si>
    <t>Asdin</t>
  </si>
  <si>
    <t>PT Umbara Lombok Perkasa</t>
  </si>
  <si>
    <t>6285955053385</t>
  </si>
  <si>
    <t>Pulau Lombok dan Sumbawa</t>
  </si>
  <si>
    <t>120229934645850235</t>
  </si>
  <si>
    <t>ORD-404</t>
  </si>
  <si>
    <t>Solahudin</t>
  </si>
  <si>
    <t>PERCUTIAN BANDUNG</t>
  </si>
  <si>
    <t>6285186697099</t>
  </si>
  <si>
    <t>Malaysia, Singapura, Brunei</t>
  </si>
  <si>
    <t>120229187265180694</t>
  </si>
  <si>
    <t>ORD-406</t>
  </si>
  <si>
    <t>Agung Pribadi</t>
  </si>
  <si>
    <t>EFB COURSE</t>
  </si>
  <si>
    <t>Kursus Bahasa Inggris</t>
  </si>
  <si>
    <t>6285234005559</t>
  </si>
  <si>
    <t>Probolinggo</t>
  </si>
  <si>
    <t>7-40 th</t>
  </si>
  <si>
    <t>120229064596120694</t>
  </si>
  <si>
    <t>ORD-405</t>
  </si>
  <si>
    <t>Djohan</t>
  </si>
  <si>
    <t>Rumah Ruqyah dan PAZ Mojokerto</t>
  </si>
  <si>
    <t>Pengobatan Ruqyah dan PAZ AI KASAW</t>
  </si>
  <si>
    <t>6285645050058</t>
  </si>
  <si>
    <t>Solusi sehat tanpa obat untuk stroke,jantung,diabet syaraf kejepit,gangguan psikis, arthritis, sesak napas, nyeri punggung, kaki,pinggang,sinusitis,</t>
  </si>
  <si>
    <t>Mojokerto dan kota sekitarnya</t>
  </si>
  <si>
    <t>120229064603960694</t>
  </si>
  <si>
    <t>ORD-408</t>
  </si>
  <si>
    <t>Gus Alif Rekso Jiwo</t>
  </si>
  <si>
    <t>Penyehat Tradisional</t>
  </si>
  <si>
    <t>Kesehatan Specialis Stroke/Saraf Kejepit</t>
  </si>
  <si>
    <t>6285657238556</t>
  </si>
  <si>
    <t>Bogor</t>
  </si>
  <si>
    <t>30-70 th</t>
  </si>
  <si>
    <t>120229064589270694</t>
  </si>
  <si>
    <t>ORD-409</t>
  </si>
  <si>
    <t>menerima jasa renovasi rumah, bangun baru,ruko, kontrakan, desain rumah dll</t>
  </si>
  <si>
    <t>ORD-407</t>
  </si>
  <si>
    <t>Husni Zein</t>
  </si>
  <si>
    <t>Pena Tour Riau</t>
  </si>
  <si>
    <t>Tour Travel Umroh Dan Haji</t>
  </si>
  <si>
    <t>6285267044893</t>
  </si>
  <si>
    <t>Riau Pekanbaru</t>
  </si>
  <si>
    <t>120229064602730694</t>
  </si>
  <si>
    <t>Shaka</t>
  </si>
  <si>
    <t>Sentuhan Alam Landscape</t>
  </si>
  <si>
    <t>Jasa Pembuatan Taman Dan Perawatan Taman Bergaransi</t>
  </si>
  <si>
    <t>6285921009099</t>
  </si>
  <si>
    <t>menerima jasa pembuatan taman dry garden,Japanese garden,vertical garden,kolam minimalis,relif tebing,aquatic,waterfall,sungai buatan,aviary,pesanan pohon pelindung,jasa perawatan taman</t>
  </si>
  <si>
    <t>Tangerang,Pik 3, Pondok Indah,BSD City,Alam sutera,Jakarta Selatan,Bogor, Jabodetabek</t>
  </si>
  <si>
    <t>30-60thn</t>
  </si>
  <si>
    <t>120230137838120235</t>
  </si>
  <si>
    <t>ORD-410</t>
  </si>
  <si>
    <t>Purwadi</t>
  </si>
  <si>
    <t>Addy Therapy</t>
  </si>
  <si>
    <t>Pijat,Bekam,Kerokan,Totok wajah</t>
  </si>
  <si>
    <t>6289524188028</t>
  </si>
  <si>
    <t>Bantul</t>
  </si>
  <si>
    <t>120229064588010694</t>
  </si>
  <si>
    <t>ORD-411</t>
  </si>
  <si>
    <t>Mokhamad Zaeni Rosul</t>
  </si>
  <si>
    <t>Mas Bra Kontraktor</t>
  </si>
  <si>
    <t>Jasa Renovasi Bangunan Rumah/Gedung</t>
  </si>
  <si>
    <t>6281325757271</t>
  </si>
  <si>
    <t>Jasa Renovasi dan Bangunan rumah,gedung dll</t>
  </si>
  <si>
    <t>Bali,Tabanan,Baturiti dan mengawi</t>
  </si>
  <si>
    <t>25thn keatas</t>
  </si>
  <si>
    <t>120229934662560235</t>
  </si>
  <si>
    <t>Agung Irdiyanto</t>
  </si>
  <si>
    <t>Terapi modern Quantum pulih waras</t>
  </si>
  <si>
    <t>jasa terapi</t>
  </si>
  <si>
    <t>6289607006888</t>
  </si>
  <si>
    <t>terapi dengan menggunakan alat teknologi terbaru, dari perusahaan global yang berdiri di Russia 2007 dan sudah menyebar di 43 negara.. Dengan teknik khusus untuk menangani masalah otot syaraf dan penyakit dalam</t>
  </si>
  <si>
    <t>Kota Bekasi</t>
  </si>
  <si>
    <t>35-60</t>
  </si>
  <si>
    <t>mayoritas ibu ibu ( ibu ibu 75 % bapak bapak hanya 25%)</t>
  </si>
  <si>
    <t>120229125535880694</t>
  </si>
  <si>
    <t>ORD-412</t>
  </si>
  <si>
    <t>ORD-413</t>
  </si>
  <si>
    <t>Rizqi</t>
  </si>
  <si>
    <t>Derra.id</t>
  </si>
  <si>
    <t>Renovasi, eksterior dan interior</t>
  </si>
  <si>
    <t>085719003688</t>
  </si>
  <si>
    <t>Bekasi dan sekitarnya</t>
  </si>
  <si>
    <t>30 keatas</t>
  </si>
  <si>
    <t>120230019184310235</t>
  </si>
  <si>
    <t>ORD-414</t>
  </si>
  <si>
    <t>Suryo</t>
  </si>
  <si>
    <t>Putra Djaya</t>
  </si>
  <si>
    <t>Home Lift/Eskalator Chairs</t>
  </si>
  <si>
    <t>62895632627969</t>
  </si>
  <si>
    <t>120230396018330235</t>
  </si>
  <si>
    <t>ORD-416</t>
  </si>
  <si>
    <t>Anang</t>
  </si>
  <si>
    <t>SAFWA STUDIO</t>
  </si>
  <si>
    <t>Foto Studio</t>
  </si>
  <si>
    <t>62811693222</t>
  </si>
  <si>
    <t>Johor Bahru, Singapura, Batam</t>
  </si>
  <si>
    <t>120229187535320694</t>
  </si>
  <si>
    <t>ORD-417</t>
  </si>
  <si>
    <t>Rani</t>
  </si>
  <si>
    <t>Master Home Dekor</t>
  </si>
  <si>
    <t>Desain Interior</t>
  </si>
  <si>
    <t>6281378757554</t>
  </si>
  <si>
    <t>Khusus Pekanbaru, Dumai, Jambi, dan Sumatera Barat</t>
  </si>
  <si>
    <t>ORD-420</t>
  </si>
  <si>
    <t>Robi Maesa</t>
  </si>
  <si>
    <t>MGM Manunggal Griya Makmur</t>
  </si>
  <si>
    <t>kanopi garasi rumah, relling tangga, pintu besi dan tangga besi</t>
  </si>
  <si>
    <t>6285778471007</t>
  </si>
  <si>
    <t>Cibubur - Cileungsi dan Sekitarnya</t>
  </si>
  <si>
    <t>120230019159550235</t>
  </si>
  <si>
    <t>ORD-421</t>
  </si>
  <si>
    <t>Mikael Renda Lero</t>
  </si>
  <si>
    <t>BLACK BALI DRIVER PRIVATE TOUR</t>
  </si>
  <si>
    <t>Tour Service</t>
  </si>
  <si>
    <t>6282133271189</t>
  </si>
  <si>
    <t>Singapore, Australia, Amerika, Eropa</t>
  </si>
  <si>
    <t>18-70 th</t>
  </si>
  <si>
    <t>120229125432300694</t>
  </si>
  <si>
    <t>ORD-422</t>
  </si>
  <si>
    <t>Mas Topan</t>
  </si>
  <si>
    <t>Penyehat Tradisional Rekso Jiwo Group</t>
  </si>
  <si>
    <t>Terapi Specialis Stroke/Saraf Kejepit</t>
  </si>
  <si>
    <t>6289672163096</t>
  </si>
  <si>
    <t>Semarang dan Purworejo</t>
  </si>
  <si>
    <t>25-70 th</t>
  </si>
  <si>
    <t>ORD-423</t>
  </si>
  <si>
    <t>Hariyanto</t>
  </si>
  <si>
    <t>Las Listrik</t>
  </si>
  <si>
    <t>6285281921180</t>
  </si>
  <si>
    <t>120230019165430235</t>
  </si>
  <si>
    <t>ORD-424</t>
  </si>
  <si>
    <t>ORD-426</t>
  </si>
  <si>
    <t>Iin Inayati</t>
  </si>
  <si>
    <t>In Fashion</t>
  </si>
  <si>
    <t>Toko Pakaian Jadi</t>
  </si>
  <si>
    <t>6285397990632</t>
  </si>
  <si>
    <t>Kota Sangatta Kabupaten Kutai Timur Kalimantan Timur</t>
  </si>
  <si>
    <t>dari TK sampai orang tua</t>
  </si>
  <si>
    <t>120229187523010694</t>
  </si>
  <si>
    <t>Mulya Hidayat</t>
  </si>
  <si>
    <t>Fatih Herbal Store</t>
  </si>
  <si>
    <t>Herbal</t>
  </si>
  <si>
    <t>62881010278235</t>
  </si>
  <si>
    <t>50 th ke atas</t>
  </si>
  <si>
    <t>120229402687150694</t>
  </si>
  <si>
    <t>Denpasar, Jimbaran , Canggu , Seminyak</t>
  </si>
  <si>
    <t>ORD-425</t>
  </si>
  <si>
    <t>lukman syarief</t>
  </si>
  <si>
    <t>FR bromo adventure</t>
  </si>
  <si>
    <t>tour wisata</t>
  </si>
  <si>
    <t>6282333203355</t>
  </si>
  <si>
    <t>Jawa Barat,Jawa tengah,Kalimantan, Sulawesi</t>
  </si>
  <si>
    <t>120229250081840694</t>
  </si>
  <si>
    <t>Herwanto</t>
  </si>
  <si>
    <t>Indihome Telkomsel Gresik</t>
  </si>
  <si>
    <t>layanan internet</t>
  </si>
  <si>
    <t>628113311777</t>
  </si>
  <si>
    <t>gresik</t>
  </si>
  <si>
    <t>Laki laki &amp; perempuan</t>
  </si>
  <si>
    <t>120229250087800694</t>
  </si>
  <si>
    <t>ORD-427</t>
  </si>
  <si>
    <t>Erick</t>
  </si>
  <si>
    <t>PT TAMA TOUR TRAVEL</t>
  </si>
  <si>
    <t>tour travel agent</t>
  </si>
  <si>
    <t>62823885166777</t>
  </si>
  <si>
    <t>sunset trip batam tour sighseesing</t>
  </si>
  <si>
    <t>Singapura</t>
  </si>
  <si>
    <t>120229258353210694</t>
  </si>
  <si>
    <t>ORD-428</t>
  </si>
  <si>
    <t>Pujiono</t>
  </si>
  <si>
    <t>Best kaca film Kediri</t>
  </si>
  <si>
    <t>pemasangan kaca film mobil dan bekled jok.</t>
  </si>
  <si>
    <t>6281553075560</t>
  </si>
  <si>
    <t>pemasangan kaca film mobil dan gedung &amp; bekled jok mobil</t>
  </si>
  <si>
    <t>Kediri</t>
  </si>
  <si>
    <t>17 keatas</t>
  </si>
  <si>
    <t>120229252933720694</t>
  </si>
  <si>
    <t>ORD-429</t>
  </si>
  <si>
    <t>Sapto Aji</t>
  </si>
  <si>
    <t>PT Sapto Karya Mandiri</t>
  </si>
  <si>
    <t>Penjualan Aksesoris mobil/ produk otomotif</t>
  </si>
  <si>
    <t>6281280241630</t>
  </si>
  <si>
    <t>SAVE PEDAL adalah rem tambahan khusus untuk mobil matic yang bisa langsung dipasang tanpa bongkar. Produk ini membantu guru stir, orang tua, dan pemilik bengkel agar lebih aman saat belajar atau mengajar mobil matic.</t>
  </si>
  <si>
    <t>Jabodetabek dan seluruh Indonesia</t>
  </si>
  <si>
    <t>mulai dari 16 tahun ke atas</t>
  </si>
  <si>
    <t>120229402745300694</t>
  </si>
  <si>
    <t>ORD-431</t>
  </si>
  <si>
    <t>Gusnimanerpendi</t>
  </si>
  <si>
    <t>Rr Renctar Mobil</t>
  </si>
  <si>
    <t>Renal Mobil</t>
  </si>
  <si>
    <t>6282123587173</t>
  </si>
  <si>
    <t>Batam dan Singapore</t>
  </si>
  <si>
    <t>120229402765400694</t>
  </si>
  <si>
    <t>ORD-432</t>
  </si>
  <si>
    <t>120229125412490694</t>
  </si>
  <si>
    <t>ORD-434</t>
  </si>
  <si>
    <t>MARGIYANTO</t>
  </si>
  <si>
    <t>PT. DEVANA INDO TRANS</t>
  </si>
  <si>
    <t>SEWA ANGKUTAN PARIWISATA</t>
  </si>
  <si>
    <t>6281327457634</t>
  </si>
  <si>
    <t>melayani sewa</t>
  </si>
  <si>
    <t>JATENG-JABAR-JATIM-DKI JAKARTA</t>
  </si>
  <si>
    <t>120229250088570694</t>
  </si>
  <si>
    <t>ORD-435</t>
  </si>
  <si>
    <t>Nino</t>
  </si>
  <si>
    <t>MGM FURNITURE</t>
  </si>
  <si>
    <t>6282299236521</t>
  </si>
  <si>
    <t>120230019192850235</t>
  </si>
  <si>
    <t>ORD-436</t>
  </si>
  <si>
    <t>iqbal</t>
  </si>
  <si>
    <t>IQBAL ROSTER BETON KALBAR</t>
  </si>
  <si>
    <t>Roster beton</t>
  </si>
  <si>
    <t>6281258553437</t>
  </si>
  <si>
    <t>Menyediakan banyak motif roster, cocok buat pagar, sekat dinding, ruangan, caffe, masjid.</t>
  </si>
  <si>
    <t>120230246686590235</t>
  </si>
  <si>
    <t>ORD-437</t>
  </si>
  <si>
    <t>Herwani</t>
  </si>
  <si>
    <t>Jakarta Barat Dan Tangerang ditekankan wilayah kedoya KB jeruk serengaeng meruya dan sekitarnya</t>
  </si>
  <si>
    <t>ORD-438</t>
  </si>
  <si>
    <t>Dafit Harkan</t>
  </si>
  <si>
    <t>Harkan Adventure</t>
  </si>
  <si>
    <t>Rafting</t>
  </si>
  <si>
    <t>6281286402030</t>
  </si>
  <si>
    <t>rafting, outbound, family gathering</t>
  </si>
  <si>
    <t>jabodetabek (bogor, puncak), depok, sentul</t>
  </si>
  <si>
    <t>19-45 th</t>
  </si>
  <si>
    <t>120229187526060694</t>
  </si>
  <si>
    <t>ORD-439</t>
  </si>
  <si>
    <t>Reynold</t>
  </si>
  <si>
    <t>Interior Design 5150</t>
  </si>
  <si>
    <t>6285373309275</t>
  </si>
  <si>
    <t>Backdrop Tv, Kitchen set, Partisi ruangan, lemari pakaian, dipan dll..</t>
  </si>
  <si>
    <t>Lampung</t>
  </si>
  <si>
    <t>30th keatas</t>
  </si>
  <si>
    <t>Wanita &amp; Pria</t>
  </si>
  <si>
    <t>120230347381050235</t>
  </si>
  <si>
    <t>class privat hair cut dan hair colour</t>
  </si>
  <si>
    <t>Area Pasuruan</t>
  </si>
  <si>
    <t>18 tahun tanpa batas usia</t>
  </si>
  <si>
    <t>ORD-440</t>
  </si>
  <si>
    <t>Komang Suntaka</t>
  </si>
  <si>
    <t>Bagus Bali Tour</t>
  </si>
  <si>
    <t>Layanan Transportasi dan Tour di Bali</t>
  </si>
  <si>
    <t>6282340878030</t>
  </si>
  <si>
    <t>jasa transpotasi</t>
  </si>
  <si>
    <t>seluruh dunia</t>
  </si>
  <si>
    <t>10 th ke atas</t>
  </si>
  <si>
    <t>120229335675450694</t>
  </si>
  <si>
    <t>ORD-442</t>
  </si>
  <si>
    <t>ORD-444</t>
  </si>
  <si>
    <t>Komang Surya Mahardana</t>
  </si>
  <si>
    <t>Sunshine Lovinaku Dolphin Tour</t>
  </si>
  <si>
    <t>melihat lumba-lumba dan snorkeling di Lovina Bali Utara</t>
  </si>
  <si>
    <t>6287826386983</t>
  </si>
  <si>
    <t>Eropa, China, Korea, Bali</t>
  </si>
  <si>
    <t>17-75 th</t>
  </si>
  <si>
    <t>120229335683890694</t>
  </si>
  <si>
    <t>ORD-445</t>
  </si>
  <si>
    <t>Bambang Irawan</t>
  </si>
  <si>
    <t>Toko Dhini Jaya Keramik</t>
  </si>
  <si>
    <t>Menjual keramik, granit, closet, pintu kamar mandi, kanal, hollow galvnum, gypsum, GRC, water heater, cat, BCP, Pipa PVC, dan bahan bangunan lainnya</t>
  </si>
  <si>
    <t>6281270765156</t>
  </si>
  <si>
    <t>kota Padang, kota Pariaman, pasaman barat, pesisir Selatan, kota Solok, dan kabupaten Dharmasraya Sumbar</t>
  </si>
  <si>
    <t>25-45 tahun</t>
  </si>
  <si>
    <t>120230347313640235</t>
  </si>
  <si>
    <t>ORD-446</t>
  </si>
  <si>
    <t>Sofi Topten</t>
  </si>
  <si>
    <t>Bromo Atta Tour</t>
  </si>
  <si>
    <t>Tour Travel &amp; Rent Car</t>
  </si>
  <si>
    <t>6282333358533</t>
  </si>
  <si>
    <t>Asia dan Eropa</t>
  </si>
  <si>
    <t>120229335687740694</t>
  </si>
  <si>
    <t>ORD-447</t>
  </si>
  <si>
    <t>Triyono</t>
  </si>
  <si>
    <t>CV Rabbani Jaya Lestari</t>
  </si>
  <si>
    <t>jual beli madu dan turunan produknya</t>
  </si>
  <si>
    <t>6281347245985</t>
  </si>
  <si>
    <t>sangatta kutai timur kaltim</t>
  </si>
  <si>
    <t>120229733274240694</t>
  </si>
  <si>
    <t>Jangkauan Batam, tanjung pinang, dan sekitarnya</t>
  </si>
  <si>
    <t>sariman</t>
  </si>
  <si>
    <t>Hafizh Jaya Teknik</t>
  </si>
  <si>
    <t>service AC, service kulkas &amp; mesin cuci</t>
  </si>
  <si>
    <t>6281366479393</t>
  </si>
  <si>
    <t>melayani jasa service panggilan, bongkar-pasang baru/second (Ac,kipas angin, kulkas,mesin cuci dll)</t>
  </si>
  <si>
    <t>tanjung bintang, pugung Raharjo Lampung Timur</t>
  </si>
  <si>
    <t>120229402854490694</t>
  </si>
  <si>
    <t>Ayon</t>
  </si>
  <si>
    <t>KHARISMA JAYA FILM</t>
  </si>
  <si>
    <t>kaca film</t>
  </si>
  <si>
    <t>6287790276733</t>
  </si>
  <si>
    <t>Deskripsi</t>
  </si>
  <si>
    <t>wilayah Banjaran kabupaten Badung</t>
  </si>
  <si>
    <t>120229419901610694</t>
  </si>
  <si>
    <t>ORD-448</t>
  </si>
  <si>
    <t>Febriadi</t>
  </si>
  <si>
    <t>TAMPIAN TRANS</t>
  </si>
  <si>
    <t>jasa sewa bus pariwisata dan paket wisata</t>
  </si>
  <si>
    <t>6285727626320</t>
  </si>
  <si>
    <t>tersedia berbagai pilihan bus pariwisata</t>
  </si>
  <si>
    <t>20-80</t>
  </si>
  <si>
    <t>120229419981000694</t>
  </si>
  <si>
    <t>ORD-449</t>
  </si>
  <si>
    <t>Gunawan</t>
  </si>
  <si>
    <t>AL FAZZA ALUMINIUM</t>
  </si>
  <si>
    <t>Kontruksi, Jasa, Supplier</t>
  </si>
  <si>
    <t>6281321528899</t>
  </si>
  <si>
    <t>jawa barat dan jawa tengah</t>
  </si>
  <si>
    <t>20-70 th</t>
  </si>
  <si>
    <t>120230347357100235</t>
  </si>
  <si>
    <t>ORD-452</t>
  </si>
  <si>
    <t>Putu Yudha Mahendra</t>
  </si>
  <si>
    <t>ATEKOR DOLPHIN TOUR</t>
  </si>
  <si>
    <t>WISATA DOLPHIN TOUR</t>
  </si>
  <si>
    <t>6287846030252</t>
  </si>
  <si>
    <t>Bali dan sekitarnya</t>
  </si>
  <si>
    <t>5+</t>
  </si>
  <si>
    <t>120229258359640694</t>
  </si>
  <si>
    <t>ORD-456</t>
  </si>
  <si>
    <t>Roni Firnanda</t>
  </si>
  <si>
    <t>Kretek Jambi (kejam)</t>
  </si>
  <si>
    <t>Jasa</t>
  </si>
  <si>
    <t>6282285205998</t>
  </si>
  <si>
    <t>jambi</t>
  </si>
  <si>
    <t>120229402815410694</t>
  </si>
  <si>
    <t>ORD-458</t>
  </si>
  <si>
    <t>RM Dony Basrah</t>
  </si>
  <si>
    <t>Jasa Transportasi</t>
  </si>
  <si>
    <t>6281938384000</t>
  </si>
  <si>
    <t>Sumatra, Jawa, Jakarta, Jawa Barat, Bandar Lampung, serang, Palembang</t>
  </si>
  <si>
    <t>25 tahun ke atas</t>
  </si>
  <si>
    <t>120229419937260694</t>
  </si>
  <si>
    <t>ORD-453</t>
  </si>
  <si>
    <t>Firwan</t>
  </si>
  <si>
    <t>ASKHALTRANS</t>
  </si>
  <si>
    <t>travel perjalanan &amp; transportasi dor to dor</t>
  </si>
  <si>
    <t>6281399886462</t>
  </si>
  <si>
    <t>Tranportasi</t>
  </si>
  <si>
    <t>jakarta bogor bandung indramayu subang cianjur sukabumi</t>
  </si>
  <si>
    <t>120229419953480694</t>
  </si>
  <si>
    <t>ORD-454</t>
  </si>
  <si>
    <t>Eko Wahyudi</t>
  </si>
  <si>
    <t>Rumah Sehat Syaifupunktur</t>
  </si>
  <si>
    <t>Pengobatan Alternatif</t>
  </si>
  <si>
    <t>6281378305888</t>
  </si>
  <si>
    <t>seprovinsi riau sekabupaten kuantan singingi</t>
  </si>
  <si>
    <t>120230152666470694</t>
  </si>
  <si>
    <t>ORD-455</t>
  </si>
  <si>
    <t>Darwan Profil</t>
  </si>
  <si>
    <t>Jasa Pembuatan Profil Beton</t>
  </si>
  <si>
    <t>Bangunan</t>
  </si>
  <si>
    <t>6282297965454</t>
  </si>
  <si>
    <t>jasa pembangunan dan renovasi rumah, profil beton dll</t>
  </si>
  <si>
    <t>jakarta, jawa tengah, jawa barat</t>
  </si>
  <si>
    <t>120230460415200235</t>
  </si>
  <si>
    <t>Anty</t>
  </si>
  <si>
    <t>AGVINK MASSAGE</t>
  </si>
  <si>
    <t>Pijat Tradisional, Bekam</t>
  </si>
  <si>
    <t>6287745180632</t>
  </si>
  <si>
    <t>solo raya dan solo baru</t>
  </si>
  <si>
    <t>120229532165960694</t>
  </si>
  <si>
    <t>ORD-457</t>
  </si>
  <si>
    <t>H. Widiyono Agung Sulistyo</t>
  </si>
  <si>
    <t>ARA (ARRAEHAN ARAFAH GROUP)</t>
  </si>
  <si>
    <t>Layanan haji,  umroh dan halal tour</t>
  </si>
  <si>
    <t>628111099911</t>
  </si>
  <si>
    <t>kota Batam</t>
  </si>
  <si>
    <t>25-62 tahun</t>
  </si>
  <si>
    <t>120229864796910694</t>
  </si>
  <si>
    <t>ORD-459</t>
  </si>
  <si>
    <t>Ahmad sunnar</t>
  </si>
  <si>
    <t>ratu pukiss</t>
  </si>
  <si>
    <t>kuliner</t>
  </si>
  <si>
    <t>6281255005229</t>
  </si>
  <si>
    <t>ratu pukiss ratunya semua pukiss dan gurih pas dan mantap</t>
  </si>
  <si>
    <t>120229404221990694</t>
  </si>
  <si>
    <t>ORD-460</t>
  </si>
  <si>
    <t>Indra Warman</t>
  </si>
  <si>
    <t>ADH TOUR &amp; TREVEL</t>
  </si>
  <si>
    <t>umroh dan haji</t>
  </si>
  <si>
    <t>6285207285812</t>
  </si>
  <si>
    <t>Medan. Padang Sidempuan. Sibolga. Padang. Pekanbaru. Bengkulu</t>
  </si>
  <si>
    <t>27-65 th</t>
  </si>
  <si>
    <t>120229531929920694</t>
  </si>
  <si>
    <t>ORD-461</t>
  </si>
  <si>
    <t>Prayudah</t>
  </si>
  <si>
    <t>Prayudah Tour &amp; Travel</t>
  </si>
  <si>
    <t>Travel Company</t>
  </si>
  <si>
    <t>6282186829904</t>
  </si>
  <si>
    <t>120229531848040694</t>
  </si>
  <si>
    <t>Jonia Da Silva Marques</t>
  </si>
  <si>
    <t>Rodrimar Aifunan Fresku</t>
  </si>
  <si>
    <t>jual bunga fresh</t>
  </si>
  <si>
    <t>6777619002</t>
  </si>
  <si>
    <t>timor-leste</t>
  </si>
  <si>
    <t>120229277862450694</t>
  </si>
  <si>
    <t>ORD-462</t>
  </si>
  <si>
    <t>Jakarta Barat</t>
  </si>
  <si>
    <t>ORD-463</t>
  </si>
  <si>
    <t>Mudhofir</t>
  </si>
  <si>
    <t>Specialis Plafon &amp; Kusen Aluminium</t>
  </si>
  <si>
    <t>Design Dan Interior</t>
  </si>
  <si>
    <t>6285785858869</t>
  </si>
  <si>
    <t>Jombang Jawa Timur</t>
  </si>
  <si>
    <t>120230460483040235</t>
  </si>
  <si>
    <t>ORD-464</t>
  </si>
  <si>
    <t>Bu Ova</t>
  </si>
  <si>
    <t>Bu Djempol</t>
  </si>
  <si>
    <t>Produksi Sambel Pecel</t>
  </si>
  <si>
    <t>6281217126285</t>
  </si>
  <si>
    <t>Sambel Pecel Khas Kediri</t>
  </si>
  <si>
    <t>120229532083270694</t>
  </si>
  <si>
    <t>ORD-466</t>
  </si>
  <si>
    <t>Rudiansyah</t>
  </si>
  <si>
    <t>CV SAKTI WIJAYA GRUB TRAVEL</t>
  </si>
  <si>
    <t>travel+tiket kapal dan pesawat</t>
  </si>
  <si>
    <t>6285820117323</t>
  </si>
  <si>
    <t>Antar jemput penumpang melayani 24 jam</t>
  </si>
  <si>
    <t>Pelabuhan Kumai</t>
  </si>
  <si>
    <t>120229631186880694</t>
  </si>
  <si>
    <t>ORD-467</t>
  </si>
  <si>
    <t>IWAN PARNO SEPUTRO,SH., CH., C.CHT.,M.Ph.(Gus i )</t>
  </si>
  <si>
    <t>GRIYA JAGAD ASYIFA</t>
  </si>
  <si>
    <t>Pengobatan Tradisional.</t>
  </si>
  <si>
    <t>628123264621</t>
  </si>
  <si>
    <t>Pengobatan tradisional</t>
  </si>
  <si>
    <t>Kalimantan Timur ( terutama, Bontang,Tenggarong,Balikpapan &amp; Samarinda )</t>
  </si>
  <si>
    <t>Laki2 &amp; Perempuan.</t>
  </si>
  <si>
    <t>120229733204860694</t>
  </si>
  <si>
    <t>ORD-468</t>
  </si>
  <si>
    <t>Budi Harto</t>
  </si>
  <si>
    <t>Dua Saudara</t>
  </si>
  <si>
    <t>Jasa Bangunan</t>
  </si>
  <si>
    <t>6281326160059</t>
  </si>
  <si>
    <t>Magelang dan sekitarnya</t>
  </si>
  <si>
    <t>120230607264320235</t>
  </si>
  <si>
    <t>ORD-469</t>
  </si>
  <si>
    <t>Cha'un</t>
  </si>
  <si>
    <t>KARYA TEKNIK</t>
  </si>
  <si>
    <t>Bengkel Las Kontruksi</t>
  </si>
  <si>
    <t>6282164564557</t>
  </si>
  <si>
    <t>Bukittinggi</t>
  </si>
  <si>
    <t>120230460532150235</t>
  </si>
  <si>
    <t>ORD-470</t>
  </si>
  <si>
    <t>Dian Andriyanto</t>
  </si>
  <si>
    <t>ASALAKUR PROJECT</t>
  </si>
  <si>
    <t>interior dan exterior decoration</t>
  </si>
  <si>
    <t>6282177410110</t>
  </si>
  <si>
    <t>120230460539270235</t>
  </si>
  <si>
    <t>ORD-471</t>
  </si>
  <si>
    <t>pengecoran/lift cor</t>
  </si>
  <si>
    <t>sidoarjo, surabaya, gresik, madura, pandaan, krian</t>
  </si>
  <si>
    <t>ORD-474</t>
  </si>
  <si>
    <t>M.S SADIPUN</t>
  </si>
  <si>
    <t>FLOREST RENT CAR</t>
  </si>
  <si>
    <t>Rental Car, Tour The Florest, Airport Taxi</t>
  </si>
  <si>
    <t>6282352307329</t>
  </si>
  <si>
    <t>Florest -NTT Kota Maumere, Larantuka, Ende, Bajawa, Nagekeo, Ruteng dan Labuan Bajo</t>
  </si>
  <si>
    <t>120229733304480694</t>
  </si>
  <si>
    <t>ORD-475</t>
  </si>
  <si>
    <t>ORD-476</t>
  </si>
  <si>
    <t>Taufik Eka Gunawan</t>
  </si>
  <si>
    <t>Rumah Sehat Hypno Therapy Subang</t>
  </si>
  <si>
    <t>6281111121020</t>
  </si>
  <si>
    <t>Subang-Jawa barat</t>
  </si>
  <si>
    <t>25 thn keatas</t>
  </si>
  <si>
    <t>Laki-laki dan  perempuan</t>
  </si>
  <si>
    <t>120229631201780694</t>
  </si>
  <si>
    <t>ORD-477</t>
  </si>
  <si>
    <t>Yogi Harfan M</t>
  </si>
  <si>
    <t>Rent Camping Madasari</t>
  </si>
  <si>
    <t>penyewaan peralatan camping</t>
  </si>
  <si>
    <t>6285223186555</t>
  </si>
  <si>
    <t>Bandung</t>
  </si>
  <si>
    <t>dewasa</t>
  </si>
  <si>
    <t>120229733418240694</t>
  </si>
  <si>
    <t>ORD-480</t>
  </si>
  <si>
    <t>nias dan Gunungsitoli</t>
  </si>
  <si>
    <t>ORD-481</t>
  </si>
  <si>
    <t>Khairuddin</t>
  </si>
  <si>
    <t>Therapy pijat</t>
  </si>
  <si>
    <t>Teraphy syaraf dan patah tulang</t>
  </si>
  <si>
    <t>6287865111033</t>
  </si>
  <si>
    <t>Lombok Barat dan sekitarnya</t>
  </si>
  <si>
    <t>120229631197260694</t>
  </si>
  <si>
    <t>ORD-484</t>
  </si>
  <si>
    <t>taufik</t>
  </si>
  <si>
    <t>Graf print</t>
  </si>
  <si>
    <t>Percetakan, sablon, Dgtl print</t>
  </si>
  <si>
    <t>6283831211890</t>
  </si>
  <si>
    <t>120229733434130694</t>
  </si>
  <si>
    <t>ORD-485</t>
  </si>
  <si>
    <t>Indarto</t>
  </si>
  <si>
    <t>Cahaya Al Faateh</t>
  </si>
  <si>
    <t>Terapi pijat panggilan</t>
  </si>
  <si>
    <t>6281330410391</t>
  </si>
  <si>
    <t>Solo dan Boyolali</t>
  </si>
  <si>
    <t>120229631192390694</t>
  </si>
  <si>
    <t>ORD-487</t>
  </si>
  <si>
    <t>Achmad Zhakaria</t>
  </si>
  <si>
    <t>RJK (Rokhim Jaya Kontraktor)</t>
  </si>
  <si>
    <t>62895635983361</t>
  </si>
  <si>
    <t>120230527746140235</t>
  </si>
  <si>
    <t>ORD-488</t>
  </si>
  <si>
    <t>Cek Awim</t>
  </si>
  <si>
    <t>WIKINARA</t>
  </si>
  <si>
    <t>Bisnis Wikinara punya dr.oky pratama,  Papi Putra Siregar, Dewi Bambang Soesatyo, Ina Rachman</t>
  </si>
  <si>
    <t>628127126274</t>
  </si>
  <si>
    <t>17 tahun keatas</t>
  </si>
  <si>
    <t>120231654243270200</t>
  </si>
  <si>
    <t>Hasmila</t>
  </si>
  <si>
    <t>LMC BEAUTY SPA</t>
  </si>
  <si>
    <t>Pijat&amp; Bekam</t>
  </si>
  <si>
    <t>6282154233977</t>
  </si>
  <si>
    <t>Balikpapan</t>
  </si>
  <si>
    <t>10-60 tahun</t>
  </si>
  <si>
    <t>khusus perempuan</t>
  </si>
  <si>
    <t>120229631211390694</t>
  </si>
  <si>
    <t>ORD-486</t>
  </si>
  <si>
    <t>Agus s</t>
  </si>
  <si>
    <t>Gudang matic bali</t>
  </si>
  <si>
    <t>Sewa mobil lepas kunci dan dengan driver</t>
  </si>
  <si>
    <t>6287762605372</t>
  </si>
  <si>
    <t>Menyediakan jasa sewa mobil terlengkap di BALI</t>
  </si>
  <si>
    <t>pria - wanita</t>
  </si>
  <si>
    <t>120229631219370694</t>
  </si>
  <si>
    <t>Yusuf Puad</t>
  </si>
  <si>
    <t>Yasa Jayendra Konstruksi</t>
  </si>
  <si>
    <t>Kontraktor dan Properti</t>
  </si>
  <si>
    <t>6287709999980</t>
  </si>
  <si>
    <t>20-60th</t>
  </si>
  <si>
    <t>120230677267270235</t>
  </si>
  <si>
    <t>ORD-489</t>
  </si>
  <si>
    <t>Ishak Irwan</t>
  </si>
  <si>
    <t>Ayam Bakul Banjar</t>
  </si>
  <si>
    <t>6285286258400</t>
  </si>
  <si>
    <t>Menu ayam bakar, sambal gami khas Kalimantan</t>
  </si>
  <si>
    <t>Jakarta Barat Semanan</t>
  </si>
  <si>
    <t>Semua khalangan usia</t>
  </si>
  <si>
    <t>120229733481350694</t>
  </si>
  <si>
    <t>ORD-490</t>
  </si>
  <si>
    <t>kadimin</t>
  </si>
  <si>
    <t>Mie Kadimin</t>
  </si>
  <si>
    <t>Produksi kulit Dimsum</t>
  </si>
  <si>
    <t>6285691146546</t>
  </si>
  <si>
    <t>Wil Jabotabek</t>
  </si>
  <si>
    <t>segmen  ukm</t>
  </si>
  <si>
    <t>120229981666700694</t>
  </si>
  <si>
    <t>Ahmadi Anwar</t>
  </si>
  <si>
    <t>Keliling Sumatra</t>
  </si>
  <si>
    <t>Jasa Pemandu Wisata</t>
  </si>
  <si>
    <t>6281362440234</t>
  </si>
  <si>
    <t>Sumatra Utara dan Sumatera Barat</t>
  </si>
  <si>
    <t>18-70 tahun</t>
  </si>
  <si>
    <t>120229858998360694</t>
  </si>
  <si>
    <t>Dewil</t>
  </si>
  <si>
    <t>Raja Sehat</t>
  </si>
  <si>
    <t>Pengobatan Terapi</t>
  </si>
  <si>
    <t>6282249348536</t>
  </si>
  <si>
    <t>Keunggulan Pengobatan Terapi Menularkan Kesehatan Sehat bersama kami therapist Pasutri Dewil Berpengalaman Bersertifikat Berlegalitas</t>
  </si>
  <si>
    <t>Pekanbaru Riau dan Sekitarnya</t>
  </si>
  <si>
    <t>1-80 tahun</t>
  </si>
  <si>
    <t>120229948029920694</t>
  </si>
  <si>
    <t>Nurudin</t>
  </si>
  <si>
    <t>Borobudur Tourism Service</t>
  </si>
  <si>
    <t>Paket Wisata</t>
  </si>
  <si>
    <t>628122703083</t>
  </si>
  <si>
    <t>International, Yogyakarta dan Borobudur Hotel Area</t>
  </si>
  <si>
    <t>120229976836830694</t>
  </si>
  <si>
    <t>ORD-491</t>
  </si>
  <si>
    <t>Hendri</t>
  </si>
  <si>
    <t>Hendri Family Team Project</t>
  </si>
  <si>
    <t>Jasa Bangunan, Teknik Sipil</t>
  </si>
  <si>
    <t>6282384370009</t>
  </si>
  <si>
    <t>Kota Pekanbaru Riau</t>
  </si>
  <si>
    <t>120230677332000235</t>
  </si>
  <si>
    <t>ORD-492</t>
  </si>
  <si>
    <t>Maria ermelinda menge</t>
  </si>
  <si>
    <t>Bajawa lash</t>
  </si>
  <si>
    <t>6281299298585</t>
  </si>
  <si>
    <t>jati warna bekasi</t>
  </si>
  <si>
    <t>18-60th</t>
  </si>
  <si>
    <t>120231553583210200</t>
  </si>
  <si>
    <t>ORD-493</t>
  </si>
  <si>
    <t>Rizky Malik Saputra</t>
  </si>
  <si>
    <t>Duaputra Travel</t>
  </si>
  <si>
    <t>Tour Travel</t>
  </si>
  <si>
    <t>6282118113002</t>
  </si>
  <si>
    <t>Selamat datang di Duaputra Travel, jasa travel yang berdedikasi untuk memberikan pengalaman wisata yang tak terlupakan di Pulau Pramuka! Sebagai penduduk asli Pulau Pramuka, kami memiliki pengetahuan yang mendalam tentang keindahan dan keunikan pulau ini.</t>
  </si>
  <si>
    <t>120229859103650694</t>
  </si>
  <si>
    <t>ORD-495</t>
  </si>
  <si>
    <t>Tofik Hidayat</t>
  </si>
  <si>
    <t>Transformasi Quantum Semesta</t>
  </si>
  <si>
    <t>Pelatihan pengobatan</t>
  </si>
  <si>
    <t>6285294617773</t>
  </si>
  <si>
    <t>18 -60 tahun</t>
  </si>
  <si>
    <t>Pria Dan wanita</t>
  </si>
  <si>
    <t>120229858895420694</t>
  </si>
  <si>
    <t>ORD-496</t>
  </si>
  <si>
    <t>Somala</t>
  </si>
  <si>
    <t>Somala Waterproofing Sistem</t>
  </si>
  <si>
    <t>6285737375137</t>
  </si>
  <si>
    <t>Bali, Lombok, Sumbawa</t>
  </si>
  <si>
    <t>120230677278600235</t>
  </si>
  <si>
    <t>ORD-497</t>
  </si>
  <si>
    <t>Bu Nonik</t>
  </si>
  <si>
    <t>Pijat Kesehatan Bu Nonik</t>
  </si>
  <si>
    <t>Jasa Pijat Urut Urat Syaraf</t>
  </si>
  <si>
    <t>6288802749485</t>
  </si>
  <si>
    <t>Jogyakarta, Sleman, Bantul, Magelang, Temanggung, Wonosobo, dan sekitarnya</t>
  </si>
  <si>
    <t>120229948412370694</t>
  </si>
  <si>
    <t>ORD-498</t>
  </si>
  <si>
    <t>Jaya Prana S.Cht</t>
  </si>
  <si>
    <t>Bumi Terapi Nusantara</t>
  </si>
  <si>
    <t>Pengobatan Alternatif Hipnotherapy &amp; Accupressure</t>
  </si>
  <si>
    <t>628990145388</t>
  </si>
  <si>
    <t>Bogor, Jakarta, Sukabumi</t>
  </si>
  <si>
    <t>Bebas (anak-anak sampai dewasa)</t>
  </si>
  <si>
    <t>120229981700810694</t>
  </si>
  <si>
    <t>ORD-499</t>
  </si>
  <si>
    <t>afianudin</t>
  </si>
  <si>
    <t>Tukangg Jabodetabek</t>
  </si>
  <si>
    <t>jasa kontraktor</t>
  </si>
  <si>
    <t>628811252834</t>
  </si>
  <si>
    <t>jasa bangun rumah,bangun baru, renovasi, maintenance, subkon, jasa harian tukang dan mandor, borongan</t>
  </si>
  <si>
    <t>18-80</t>
  </si>
  <si>
    <t>120230782315340235</t>
  </si>
  <si>
    <t>ORD-500</t>
  </si>
  <si>
    <t>khusus kecamatan Bojonggede</t>
  </si>
  <si>
    <t>ORD-501</t>
  </si>
  <si>
    <t>ORD-502</t>
  </si>
  <si>
    <t>PESONA BOGOR RAFTING</t>
  </si>
  <si>
    <t>628557182563</t>
  </si>
  <si>
    <t>Jabodetabek (Bogor, Puncak) Depok, Sentul</t>
  </si>
  <si>
    <t>19-40 th</t>
  </si>
  <si>
    <t>120230101018580694</t>
  </si>
  <si>
    <t>ORD-503</t>
  </si>
  <si>
    <t>Dwi Ningsih</t>
  </si>
  <si>
    <t>Vania collection</t>
  </si>
  <si>
    <t>Fashion</t>
  </si>
  <si>
    <t>6285326750989</t>
  </si>
  <si>
    <t>semua lokasi</t>
  </si>
  <si>
    <t>17- 60 tahun</t>
  </si>
  <si>
    <t>120229948033670694</t>
  </si>
  <si>
    <t>ORD-504</t>
  </si>
  <si>
    <t>Rahmat Saputra</t>
  </si>
  <si>
    <t>PT KURNIA GROUP INDONESIA</t>
  </si>
  <si>
    <t>Jasa Technical dan Maintenance</t>
  </si>
  <si>
    <t>6282384544939</t>
  </si>
  <si>
    <t>Kota Batam dan Sekitarnya</t>
  </si>
  <si>
    <t>120230020025350694</t>
  </si>
  <si>
    <t>ORD-505</t>
  </si>
  <si>
    <t>Ahmad supaino</t>
  </si>
  <si>
    <t>Furniture Jati Abadi</t>
  </si>
  <si>
    <t>6282322308711</t>
  </si>
  <si>
    <t>menyediakan berbagai macam furniture berkualitas dari kayu jati dan perhutani</t>
  </si>
  <si>
    <t>seluruh pulau jawa</t>
  </si>
  <si>
    <t>120230750838030235</t>
  </si>
  <si>
    <t>ORD-507</t>
  </si>
  <si>
    <t>JAFAR ABDULLAH</t>
  </si>
  <si>
    <t>KARIMUN DJAVA TOUR</t>
  </si>
  <si>
    <t>biro wisata</t>
  </si>
  <si>
    <t>6281226950679</t>
  </si>
  <si>
    <t>AGEN TRAVEL/ BIRO WISATA KARIMUN JAWA</t>
  </si>
  <si>
    <t>0-5 tahun</t>
  </si>
  <si>
    <t>120229981698070694</t>
  </si>
  <si>
    <t>ORD-508</t>
  </si>
  <si>
    <t>ORD-510</t>
  </si>
  <si>
    <t>Paulo</t>
  </si>
  <si>
    <t>Paulo Bali Tour (EXPLORE TO KOMODO)</t>
  </si>
  <si>
    <t>6287751970643</t>
  </si>
  <si>
    <t>Germany</t>
  </si>
  <si>
    <t>Male and Female</t>
  </si>
  <si>
    <t>120230100999360694</t>
  </si>
  <si>
    <t>ORD-511</t>
  </si>
  <si>
    <t>Renovasi Atap Rangka Baja Ringan</t>
  </si>
  <si>
    <t>jasa renovasi</t>
  </si>
  <si>
    <t>6285694618282</t>
  </si>
  <si>
    <t>26-65 th</t>
  </si>
  <si>
    <t>120230787159600235</t>
  </si>
  <si>
    <t>ORD-512</t>
  </si>
  <si>
    <t>Mohamad Junaedi</t>
  </si>
  <si>
    <t>Bintang Jaya Las</t>
  </si>
  <si>
    <t>Bengkel Las dan Aluminium</t>
  </si>
  <si>
    <t>6289609613105</t>
  </si>
  <si>
    <t>Jabodetabek dan Pulau Jawa</t>
  </si>
  <si>
    <t>120230816962730235</t>
  </si>
  <si>
    <t>ORD-513</t>
  </si>
  <si>
    <t>Asgaf</t>
  </si>
  <si>
    <t>Matantimali Adventure</t>
  </si>
  <si>
    <t>Tandem &amp; Course Paragliding</t>
  </si>
  <si>
    <t>6281543365581</t>
  </si>
  <si>
    <t>Palu, Sulawesi Tengah</t>
  </si>
  <si>
    <t>120230020048200694</t>
  </si>
  <si>
    <t>Jimmy ardiansya,S.pd.AIFMO-P</t>
  </si>
  <si>
    <t>griya sehat Meranti</t>
  </si>
  <si>
    <t>Kesehatan alternatif bidang masase olahraga,cedera umum&amp; olahraga berkaitan dengan otot,ligamen,tendon, syaraf dan persendian</t>
  </si>
  <si>
    <t>6285378141823</t>
  </si>
  <si>
    <t>provinsi Bengkulu yang terdekat dengan kota Bengkulu ( kota Bengkulu UTAMA Bengkulu Tengah, Seluma, Bengkulu Utara)</t>
  </si>
  <si>
    <t>25-50 tahun</t>
  </si>
  <si>
    <t>120230020180060694</t>
  </si>
  <si>
    <t>CV.BAGUS DAN EVI TRANS</t>
  </si>
  <si>
    <t>*Sewa Mobil plus driver*</t>
  </si>
  <si>
    <t>6281357754513</t>
  </si>
  <si>
    <t>Dari radius lokasi kita 50 km</t>
  </si>
  <si>
    <t>25-55 thn</t>
  </si>
  <si>
    <t>laki2 &amp; perempuan</t>
  </si>
  <si>
    <t>120230020091000694</t>
  </si>
  <si>
    <t>ORD-514</t>
  </si>
  <si>
    <t>ORD-515</t>
  </si>
  <si>
    <t>02-Des-2025</t>
  </si>
  <si>
    <t>BEKAM ZAYTUN</t>
  </si>
  <si>
    <t>Jember,Lumajang,Probolinggo,Bondowoso,Situbondo,Banyuwangi,Bali</t>
  </si>
  <si>
    <t>20-70 tahun</t>
  </si>
  <si>
    <t>120230020133510694</t>
  </si>
  <si>
    <t>Jibran Hasan</t>
  </si>
  <si>
    <t>Jibran Holiday</t>
  </si>
  <si>
    <t>sewe elf long giga</t>
  </si>
  <si>
    <t>6285920572002</t>
  </si>
  <si>
    <t>120229976834950694</t>
  </si>
  <si>
    <t>ORD-516</t>
  </si>
  <si>
    <t>Tego Suprayitno</t>
  </si>
  <si>
    <t>Terapi Saraf Kejepit dan Sangkal Putung</t>
  </si>
  <si>
    <t>Terapi Pijat Tradisional</t>
  </si>
  <si>
    <t>6281326757091</t>
  </si>
  <si>
    <t>Kota Semarang, Kendal, Ungaran, Gubuk, Purwodadi, Demak, Pati, Kudus dan sekitarnya</t>
  </si>
  <si>
    <t>120230020115050694</t>
  </si>
  <si>
    <t>ORD-517</t>
  </si>
  <si>
    <t>Rikson Sinaga</t>
  </si>
  <si>
    <t>pijat refleksi pria medan</t>
  </si>
  <si>
    <t>pijat refleksi</t>
  </si>
  <si>
    <t>6285780314346</t>
  </si>
  <si>
    <t>120229976831950694</t>
  </si>
  <si>
    <t>ORD-518</t>
  </si>
  <si>
    <t>Ahmad Fahri</t>
  </si>
  <si>
    <t>Zam Zam Travel</t>
  </si>
  <si>
    <t>Sewa Armada Bus Pariwisata</t>
  </si>
  <si>
    <t>6285946504405</t>
  </si>
  <si>
    <t>120230020060160694</t>
  </si>
  <si>
    <t>Henni Herawati</t>
  </si>
  <si>
    <t>Gelatopedia</t>
  </si>
  <si>
    <t>Gelato</t>
  </si>
  <si>
    <t>6285214612372</t>
  </si>
  <si>
    <t>100m dari jalan utama Sekitar Dusun Timur Kabupaten Barito Timur Tamiang Layang Kalimantan Tengah</t>
  </si>
  <si>
    <t>120231472299230694</t>
  </si>
  <si>
    <t>ORD-524</t>
  </si>
  <si>
    <t>1-Augst-2025</t>
  </si>
  <si>
    <t>Zainul Arifin</t>
  </si>
  <si>
    <t>Rumah Terapi Joossada</t>
  </si>
  <si>
    <t>6282245454940</t>
  </si>
  <si>
    <t>Lumajang Jember</t>
  </si>
  <si>
    <t>ORD-525</t>
  </si>
  <si>
    <t>29-Des-2025</t>
  </si>
  <si>
    <t>Firdaus</t>
  </si>
  <si>
    <t>Jannah Interior</t>
  </si>
  <si>
    <t>Interior Custom Furniture</t>
  </si>
  <si>
    <t>6285767074516</t>
  </si>
  <si>
    <t>Kota Jambi dan Sekitarnya</t>
  </si>
  <si>
    <t>120230817011630235</t>
  </si>
  <si>
    <t>ORD-526</t>
  </si>
  <si>
    <t>Tuti</t>
  </si>
  <si>
    <t>Tuti Tour Travel</t>
  </si>
  <si>
    <t>Travel dan Eo</t>
  </si>
  <si>
    <t>6282241824727</t>
  </si>
  <si>
    <t>Jakarta dan Bali</t>
  </si>
  <si>
    <t>120230020221970694</t>
  </si>
  <si>
    <t>ORD-527</t>
  </si>
  <si>
    <t>Suarno</t>
  </si>
  <si>
    <t>Rumah Sehat Griya Aisyah</t>
  </si>
  <si>
    <t>Pengobatan Tradisional</t>
  </si>
  <si>
    <t>6285244535934</t>
  </si>
  <si>
    <t>Sulawesi Tengah</t>
  </si>
  <si>
    <t>25- 65 tahun</t>
  </si>
  <si>
    <t>120230020213320694</t>
  </si>
  <si>
    <t>ORD-528</t>
  </si>
  <si>
    <t>Toni</t>
  </si>
  <si>
    <t>DA'2 BODY REPAIR</t>
  </si>
  <si>
    <t>Bengkel Perbaikan Body &amp; Cat</t>
  </si>
  <si>
    <t>6287721853921</t>
  </si>
  <si>
    <t>Karawang, Cikampek</t>
  </si>
  <si>
    <t>120230020209670694</t>
  </si>
  <si>
    <t>ORD-529</t>
  </si>
  <si>
    <t>ORD-530</t>
  </si>
  <si>
    <t>02-Agust-2025</t>
  </si>
  <si>
    <t>kharisma</t>
  </si>
  <si>
    <t>KHARISMA AUTO FILM</t>
  </si>
  <si>
    <t>KACA FILM</t>
  </si>
  <si>
    <t>6282129364133</t>
  </si>
  <si>
    <t>Bojongsoang Bandung</t>
  </si>
  <si>
    <t>18-65</t>
  </si>
  <si>
    <t>120230101033460694</t>
  </si>
  <si>
    <t>Heri Irawan</t>
  </si>
  <si>
    <t>Jom Liburan Lombok</t>
  </si>
  <si>
    <t>biro perjalanan wisata tour and travel</t>
  </si>
  <si>
    <t>6287864812126</t>
  </si>
  <si>
    <t>Malaysia, Brunai Darussalam, Thailand, Australia</t>
  </si>
  <si>
    <t>70-60 th</t>
  </si>
  <si>
    <t>120230587921900694</t>
  </si>
  <si>
    <t>M Muhaimin</t>
  </si>
  <si>
    <t>PT Kirana Transpot Batam</t>
  </si>
  <si>
    <t>6281363504410</t>
  </si>
  <si>
    <t>Kuala Lumpur, Malaysia</t>
  </si>
  <si>
    <t>120230101046170694</t>
  </si>
  <si>
    <t>ORD-531</t>
  </si>
  <si>
    <t>Dewi Taqira</t>
  </si>
  <si>
    <t>TAQIRA HD HAROMAIN</t>
  </si>
  <si>
    <t>Umroh</t>
  </si>
  <si>
    <t>6281374844270</t>
  </si>
  <si>
    <t>Sumatra Barat</t>
  </si>
  <si>
    <t>18 tahun ke atas</t>
  </si>
  <si>
    <t>120230101042280694</t>
  </si>
  <si>
    <t>ORD-533</t>
  </si>
  <si>
    <t>Joko Susanto</t>
  </si>
  <si>
    <t>Riffy Travel</t>
  </si>
  <si>
    <t>Travel Haji &amp; Umroh</t>
  </si>
  <si>
    <t>6281558225822</t>
  </si>
  <si>
    <t>Jabodetabek, Jabar, Jateng, Jatim, Lampung</t>
  </si>
  <si>
    <t>25-90 th</t>
  </si>
  <si>
    <t>120230020218190694</t>
  </si>
  <si>
    <t>ORD-534</t>
  </si>
  <si>
    <t>ORD-535</t>
  </si>
  <si>
    <t>I Nyoman contenner</t>
  </si>
  <si>
    <t>Dolphin Lovina tours</t>
  </si>
  <si>
    <t>Tours Bali</t>
  </si>
  <si>
    <t>6281238115957</t>
  </si>
  <si>
    <t>120230101049360694</t>
  </si>
  <si>
    <t>ORD-536</t>
  </si>
  <si>
    <t>Surfing Course</t>
  </si>
  <si>
    <t>Renting Sufboards</t>
  </si>
  <si>
    <t>6285338700113</t>
  </si>
  <si>
    <t>Menyewakan papan dan mengajari untuk berselancar bagi pemula</t>
  </si>
  <si>
    <t>Internasional</t>
  </si>
  <si>
    <t>120230152650350694</t>
  </si>
  <si>
    <t>ORD-537</t>
  </si>
  <si>
    <t>ORD-538</t>
  </si>
  <si>
    <t>Wancik</t>
  </si>
  <si>
    <t>Fahri mandiri sejahtera</t>
  </si>
  <si>
    <t>Jasa Sewa Mobil Includ Driver</t>
  </si>
  <si>
    <t>6289515920603</t>
  </si>
  <si>
    <t>Jabodetabek, Kota Palembang, Surabaya dan kota batam</t>
  </si>
  <si>
    <t>120230246156910694</t>
  </si>
  <si>
    <t>ORD-539</t>
  </si>
  <si>
    <t>Bu Wiwien</t>
  </si>
  <si>
    <t>Villa Jogja</t>
  </si>
  <si>
    <t>Penginapan/Homestay</t>
  </si>
  <si>
    <t>6281291436933</t>
  </si>
  <si>
    <t>Jawa Barat, Jawa Timur, Jawa Tengah. DKI Jakarta, Batam, Makassar, Riau, Palembang.</t>
  </si>
  <si>
    <t>25 ke atas</t>
  </si>
  <si>
    <t>all</t>
  </si>
  <si>
    <t>ORD-540</t>
  </si>
  <si>
    <t>Leonel</t>
  </si>
  <si>
    <t>Manggarai store</t>
  </si>
  <si>
    <t>Jualan sepatu/pakaian second bekas</t>
  </si>
  <si>
    <t>6285241858483</t>
  </si>
  <si>
    <t>kota Kendari, provinsi Sulawesi Tenggara</t>
  </si>
  <si>
    <t>14-60thn</t>
  </si>
  <si>
    <t>laki, perempuan</t>
  </si>
  <si>
    <t>120230101023470694</t>
  </si>
  <si>
    <t>ORD-541</t>
  </si>
  <si>
    <t>ORD-542</t>
  </si>
  <si>
    <t>Rere</t>
  </si>
  <si>
    <t>Syakira Refleksi</t>
  </si>
  <si>
    <t>6285821233475</t>
  </si>
  <si>
    <t>Banjarbaru, Banjarmasin, Martapura, Pelaihari, Tanah Bambu</t>
  </si>
  <si>
    <t>120230101052880694</t>
  </si>
  <si>
    <t>ORD-543</t>
  </si>
  <si>
    <t>Wadhy</t>
  </si>
  <si>
    <t>Dbugissunda</t>
  </si>
  <si>
    <t>Catering</t>
  </si>
  <si>
    <t>6285299991164</t>
  </si>
  <si>
    <t>Makassar</t>
  </si>
  <si>
    <t>Mitra Kuliner-R11-641986379006091</t>
  </si>
  <si>
    <t>120230152662530694</t>
  </si>
  <si>
    <t>ORD-544</t>
  </si>
  <si>
    <t>Zaki</t>
  </si>
  <si>
    <t>PT AULIA PERDANA WISATA</t>
  </si>
  <si>
    <t>trevel umroh</t>
  </si>
  <si>
    <t>6281225101319</t>
  </si>
  <si>
    <t>25-70 tahun</t>
  </si>
  <si>
    <t>120230101056260694</t>
  </si>
  <si>
    <t>ORD-545</t>
  </si>
  <si>
    <t>ORD-546</t>
  </si>
  <si>
    <t>ORD-547</t>
  </si>
  <si>
    <t>Inong</t>
  </si>
  <si>
    <t>Sabena Tours</t>
  </si>
  <si>
    <t>Tours &amp; Travel</t>
  </si>
  <si>
    <t>6285710003464</t>
  </si>
  <si>
    <t>Area Pulau Jawa dan Pulau Sumatera</t>
  </si>
  <si>
    <t>30-65 tahun</t>
  </si>
  <si>
    <t>120231988186460694</t>
  </si>
  <si>
    <t>ORD-548</t>
  </si>
  <si>
    <t>I Gusti Ngurah Nyoman juniartha</t>
  </si>
  <si>
    <t>ORD-549</t>
  </si>
  <si>
    <t>ORD-550</t>
  </si>
  <si>
    <t>Pengobatan alternatif MANTRA ( manjur tradisional)</t>
  </si>
  <si>
    <t>terapi pijat urat</t>
  </si>
  <si>
    <t>6285338373761</t>
  </si>
  <si>
    <t>Malang, Jember Probolinggo Pasuruan</t>
  </si>
  <si>
    <t>120230200389240694</t>
  </si>
  <si>
    <t>ORD-551</t>
  </si>
  <si>
    <t>Vania</t>
  </si>
  <si>
    <t>vania_sentulcity</t>
  </si>
  <si>
    <t>6282130129819</t>
  </si>
  <si>
    <t>Jakarta,pik, Jakarta Timur</t>
  </si>
  <si>
    <t>27-60 tahun</t>
  </si>
  <si>
    <t>120231018083740235</t>
  </si>
  <si>
    <t>ORD-552</t>
  </si>
  <si>
    <t>ORD-553</t>
  </si>
  <si>
    <t>Bapak Yolle Suryawan</t>
  </si>
  <si>
    <t>Bali dan Surabaya dll</t>
  </si>
  <si>
    <t>ORD-554</t>
  </si>
  <si>
    <t>ORD-555</t>
  </si>
  <si>
    <t>ORD-556</t>
  </si>
  <si>
    <t>Ni Luh Kunarastini</t>
  </si>
  <si>
    <t>The Travel Ubud Bali</t>
  </si>
  <si>
    <t>Hotel/Villas Management</t>
  </si>
  <si>
    <t>6285333751528</t>
  </si>
  <si>
    <t>Pemasaran</t>
  </si>
  <si>
    <t>27-60 th</t>
  </si>
  <si>
    <t>120230152656480694</t>
  </si>
  <si>
    <t>ORD-558</t>
  </si>
  <si>
    <t>28-Des-2025</t>
  </si>
  <si>
    <t>Aris Prasetyo</t>
  </si>
  <si>
    <t>Multi Gemilang</t>
  </si>
  <si>
    <t>Alat Teknik</t>
  </si>
  <si>
    <t>628170204528</t>
  </si>
  <si>
    <t>Pulau Jawa</t>
  </si>
  <si>
    <t>18 - 60</t>
  </si>
  <si>
    <t>120230200404320694</t>
  </si>
  <si>
    <t>ORD-559</t>
  </si>
  <si>
    <t>Mojokerto</t>
  </si>
  <si>
    <t>ORD-561</t>
  </si>
  <si>
    <t>Ainur Rofiq</t>
  </si>
  <si>
    <t>Terapi ku</t>
  </si>
  <si>
    <t>Klinik terapi modern</t>
  </si>
  <si>
    <t>6285602235226</t>
  </si>
  <si>
    <t>Jawa Timur - Jawa Tengah</t>
  </si>
  <si>
    <t>40 tahun ke atas</t>
  </si>
  <si>
    <t>laki2 dan perempuan</t>
  </si>
  <si>
    <t>120230246163560694</t>
  </si>
  <si>
    <t>ORD-562</t>
  </si>
  <si>
    <t>5-Agu-2025</t>
  </si>
  <si>
    <t>mujtahidin</t>
  </si>
  <si>
    <t>Amanah Jaya</t>
  </si>
  <si>
    <t>6281353489660</t>
  </si>
  <si>
    <t>melayani pembuatan pagar, tralis, kanopi,pagar dll</t>
  </si>
  <si>
    <t>jawa tengah ( semarang, kendal, magelang, temanggung, banjarnegara )</t>
  </si>
  <si>
    <t>25-60 thn</t>
  </si>
  <si>
    <t>semua gender</t>
  </si>
  <si>
    <t>120231199201140235</t>
  </si>
  <si>
    <t>ORD-563</t>
  </si>
  <si>
    <t>koper,kain ihrom,mukenah,bergo,bantal leher,tas pasport dll</t>
  </si>
  <si>
    <t>ORD-564</t>
  </si>
  <si>
    <t>Wadi SE</t>
  </si>
  <si>
    <t>SYABANA PROPERTY</t>
  </si>
  <si>
    <t>kontraktor bangun rumah</t>
  </si>
  <si>
    <t>6283856759344</t>
  </si>
  <si>
    <t>Subang dan Indramayu</t>
  </si>
  <si>
    <t>20 - 55 tahun</t>
  </si>
  <si>
    <t>120231199197800235</t>
  </si>
  <si>
    <t>ORD-565</t>
  </si>
  <si>
    <t>ORD-566</t>
  </si>
  <si>
    <t>Konstruksi, Tralis, Aluminium, Renovasi Bangunan dan Bangun Ruko Dari 0</t>
  </si>
  <si>
    <t>Se-jabodetabek</t>
  </si>
  <si>
    <t>120231117413460235</t>
  </si>
  <si>
    <t>ORD-567</t>
  </si>
  <si>
    <t>Reklame dan Advertising</t>
  </si>
  <si>
    <t>Se-jabodetabek sampai bandung</t>
  </si>
  <si>
    <t>120231117646850235</t>
  </si>
  <si>
    <t>ORD-568</t>
  </si>
  <si>
    <t>Interior dan Exterior</t>
  </si>
  <si>
    <t>120231117791520235</t>
  </si>
  <si>
    <t>ORD-569</t>
  </si>
  <si>
    <t>h mufadil</t>
  </si>
  <si>
    <t>PWG (Prife Wellness Gallery) KEBUMEN</t>
  </si>
  <si>
    <t>TERAPI MODERN &amp; GALLERY Penjualan Produck2 ITERA Care dan TERAHERTS (alat2 kesehatan) dari PT Prife Internasional</t>
  </si>
  <si>
    <t>6281915041833</t>
  </si>
  <si>
    <t>Kebumen &amp; Sekitarnya</t>
  </si>
  <si>
    <t>25-75</t>
  </si>
  <si>
    <t>120230152667870694</t>
  </si>
  <si>
    <t>ORD-570</t>
  </si>
  <si>
    <t>ORD-571</t>
  </si>
  <si>
    <t>ORD-572</t>
  </si>
  <si>
    <t>Rizki</t>
  </si>
  <si>
    <t>plesir4n</t>
  </si>
  <si>
    <t>Tour Organizer/Travel</t>
  </si>
  <si>
    <t>62882001438924</t>
  </si>
  <si>
    <t>120230246175370694</t>
  </si>
  <si>
    <t>ORD-573</t>
  </si>
  <si>
    <t>Agus Setiawan</t>
  </si>
  <si>
    <t>CV PERMATA NUSANTARA TOUR</t>
  </si>
  <si>
    <t>Sewa Mobil + Driver di Jogjakarta &amp; Paket Wisata Nusantara</t>
  </si>
  <si>
    <t>6285328883803</t>
  </si>
  <si>
    <t>Indonesia dan Malaysia</t>
  </si>
  <si>
    <t>120230246176670694</t>
  </si>
  <si>
    <t>ORD-574</t>
  </si>
  <si>
    <t>Zamzami</t>
  </si>
  <si>
    <t>Jasa renovasi kontruksi</t>
  </si>
  <si>
    <t>tukang buat rumah dan ruko</t>
  </si>
  <si>
    <t>6282236053835</t>
  </si>
  <si>
    <t>Banda Aceh, Aceh besar, Aceh barat</t>
  </si>
  <si>
    <t>25-60 tahun</t>
  </si>
  <si>
    <t>120231245102660235</t>
  </si>
  <si>
    <t>ORD-575</t>
  </si>
  <si>
    <t>ORD-576</t>
  </si>
  <si>
    <t>6285668750426</t>
  </si>
  <si>
    <t>ORD-577</t>
  </si>
  <si>
    <t>Raga/ er ge</t>
  </si>
  <si>
    <t>Jasa pembuatan interior</t>
  </si>
  <si>
    <t>Pembuatan membuat interior, kitchen set,wardrobe dll</t>
  </si>
  <si>
    <t>6285814213281</t>
  </si>
  <si>
    <t>material yang di gunakan great A</t>
  </si>
  <si>
    <t>kp carangpulang RT 04/03 desa Cikarawang kabupaten Bogor kecamatan Dramaga, Jawa Barat</t>
  </si>
  <si>
    <t>30-55 tahun</t>
  </si>
  <si>
    <t>120231245112130235</t>
  </si>
  <si>
    <t>ORD-578</t>
  </si>
  <si>
    <t>ORD-579</t>
  </si>
  <si>
    <t>ORD-580</t>
  </si>
  <si>
    <t>ORD-582</t>
  </si>
  <si>
    <t>ORD-583</t>
  </si>
  <si>
    <t>6289563598336</t>
  </si>
  <si>
    <t>Surakarta, Sukoharjo, Klaten</t>
  </si>
  <si>
    <t>ORD-585</t>
  </si>
  <si>
    <t>Novi</t>
  </si>
  <si>
    <t>Kharisma Filter</t>
  </si>
  <si>
    <t>Alat Penjernih Air Berkualitas</t>
  </si>
  <si>
    <t>6285893658659</t>
  </si>
  <si>
    <t>ORD-586</t>
  </si>
  <si>
    <t>Dewa Nyoman Subagia</t>
  </si>
  <si>
    <t>Catur Lawa Gelemping</t>
  </si>
  <si>
    <t>Gelemping</t>
  </si>
  <si>
    <t>6287797504113</t>
  </si>
  <si>
    <t>120230291864890694</t>
  </si>
  <si>
    <t>ORD-587</t>
  </si>
  <si>
    <t>CV. Heri multi konstruksi</t>
  </si>
  <si>
    <t>Kontruksi baja, pergudangan,dan pengaspalan</t>
  </si>
  <si>
    <t>62895321637812</t>
  </si>
  <si>
    <t>pulau Jawa dan Bali</t>
  </si>
  <si>
    <t>30 th sampai 60 th</t>
  </si>
  <si>
    <t>laki2</t>
  </si>
  <si>
    <t>120231245137910235</t>
  </si>
  <si>
    <t>ORD-588</t>
  </si>
  <si>
    <t>ORD-589</t>
  </si>
  <si>
    <t>Lailatul</t>
  </si>
  <si>
    <t>Lailatul Furniture</t>
  </si>
  <si>
    <t>perlengkapan rumah tangga khusus di bidang aluminium</t>
  </si>
  <si>
    <t>6285100570275</t>
  </si>
  <si>
    <t>Wajak dan sekitarnya</t>
  </si>
  <si>
    <t>120231313010130235</t>
  </si>
  <si>
    <t>ORD-590</t>
  </si>
  <si>
    <t>Pelita Jaya Kontruksi</t>
  </si>
  <si>
    <t>Pembuatan Struktur Baja Gudang, Gedung, Cafe</t>
  </si>
  <si>
    <t>30-65 th</t>
  </si>
  <si>
    <t>120231375171530235</t>
  </si>
  <si>
    <t>ORD-591</t>
  </si>
  <si>
    <t>Hadi Yus</t>
  </si>
  <si>
    <t>Mudatama Tour</t>
  </si>
  <si>
    <t>6281288245836</t>
  </si>
  <si>
    <t>Tangerang Selatan, Cibubur, Malang, Bandung</t>
  </si>
  <si>
    <t>120230431465780694</t>
  </si>
  <si>
    <t>ORD-593</t>
  </si>
  <si>
    <t>ORD-594</t>
  </si>
  <si>
    <t>LCM BEAUTY SPA</t>
  </si>
  <si>
    <t>Lulur cantik Mila spa</t>
  </si>
  <si>
    <t>17-65 tahun</t>
  </si>
  <si>
    <t>Sutejo</t>
  </si>
  <si>
    <t>Villa Helly Batulayang</t>
  </si>
  <si>
    <t>Sewa Villa</t>
  </si>
  <si>
    <t>62817262229</t>
  </si>
  <si>
    <t>promo dibulan Agustus kapasitas 25 orang hanya 900rb saja, Fasilitas full area bisa dinikmati</t>
  </si>
  <si>
    <t>120230431500500694</t>
  </si>
  <si>
    <t>ORD-595</t>
  </si>
  <si>
    <t>ORD-597</t>
  </si>
  <si>
    <t>Cakra Aluminium</t>
  </si>
  <si>
    <t>Jasa Pemasangan Aluminium Kaca</t>
  </si>
  <si>
    <t>6287768646729</t>
  </si>
  <si>
    <t>Cirebon Kuningan Majalengka Indramayu</t>
  </si>
  <si>
    <t>120231375167700235</t>
  </si>
  <si>
    <t>ORD-598</t>
  </si>
  <si>
    <t>Sangkuriang</t>
  </si>
  <si>
    <t>Sewa Tenda Family Camp</t>
  </si>
  <si>
    <t>Rental Tenda dan Peralatan Camping</t>
  </si>
  <si>
    <t>6281324481252</t>
  </si>
  <si>
    <t>Jakarta dan Sekitarnya, Bandung.</t>
  </si>
  <si>
    <t>120230431493980694</t>
  </si>
  <si>
    <t>ORD-599</t>
  </si>
  <si>
    <t>Trekking Tour &amp; Travel</t>
  </si>
  <si>
    <t>Inggris, Amerika, Jerman, Spanyol, Belanda, Denmark, Swiss, Belgia, Perancis, Singapore, Italy, Australia, Jepang, Irlandia, Portugal, Polandia</t>
  </si>
  <si>
    <t>120230431515330694</t>
  </si>
  <si>
    <t>ORD-600</t>
  </si>
  <si>
    <t>Alshan Ur Rehman</t>
  </si>
  <si>
    <t>Al Nasir Carpet Pekanbaru</t>
  </si>
  <si>
    <t>Karpet dan Rugs</t>
  </si>
  <si>
    <t>6282112042148</t>
  </si>
  <si>
    <t>Pekanbaru atau Riau</t>
  </si>
  <si>
    <t>24 th ke atas</t>
  </si>
  <si>
    <t>120230431508170694</t>
  </si>
  <si>
    <t>ORD-602</t>
  </si>
  <si>
    <t>Nurhaini</t>
  </si>
  <si>
    <t>nur beauty spa</t>
  </si>
  <si>
    <t>massage dan spa</t>
  </si>
  <si>
    <t>6285138380189</t>
  </si>
  <si>
    <t>Home service</t>
  </si>
  <si>
    <t>balikpapan</t>
  </si>
  <si>
    <t>21- 65</t>
  </si>
  <si>
    <t>120231982838360200</t>
  </si>
  <si>
    <t>ORD-604</t>
  </si>
  <si>
    <t>I Kadek Wiranata</t>
  </si>
  <si>
    <t>Bali Embers tour</t>
  </si>
  <si>
    <t>Tour Service, Activities Bali, airport/ hotel transfer</t>
  </si>
  <si>
    <t>6287886480138</t>
  </si>
  <si>
    <t>luar negri seluruh</t>
  </si>
  <si>
    <t>120230431521710694</t>
  </si>
  <si>
    <t>ORD-606</t>
  </si>
  <si>
    <t>Fendi</t>
  </si>
  <si>
    <t>BERKAH  TEKNIK PENDINGIN ( 1 TF)</t>
  </si>
  <si>
    <t>SERVIS AC</t>
  </si>
  <si>
    <t>6285748377961</t>
  </si>
  <si>
    <t>cuci AC 60 ribu jual beli AC seken dan baru</t>
  </si>
  <si>
    <t>120230431475070694</t>
  </si>
  <si>
    <t>Pasuruan</t>
  </si>
  <si>
    <t>120230431475250694</t>
  </si>
  <si>
    <t>ORD-607</t>
  </si>
  <si>
    <t>Asrofi</t>
  </si>
  <si>
    <t>ARROFEE</t>
  </si>
  <si>
    <t>Grosir dan Eceran Celana Sirwal Outdoor Tactical Adventure Pria Dewasa Premium</t>
  </si>
  <si>
    <t>6282241382009</t>
  </si>
  <si>
    <t>Jawa, Sumatera, Kalimantan, Sulawesi, NTB</t>
  </si>
  <si>
    <t>120230493222150694</t>
  </si>
  <si>
    <t>ORD-608</t>
  </si>
  <si>
    <t>Hery Saputra</t>
  </si>
  <si>
    <t>Bengkel Las Karya Teknik Steel</t>
  </si>
  <si>
    <t>6282184823441</t>
  </si>
  <si>
    <t>Menerima &amp; Mengerjakan</t>
  </si>
  <si>
    <t>Kota Muara Enim, Lahat, Tanjung Enim, Gunung Megang, Simpang Belimbing</t>
  </si>
  <si>
    <t>120231436272860235</t>
  </si>
  <si>
    <t>ORD-609</t>
  </si>
  <si>
    <t>Dayang</t>
  </si>
  <si>
    <t>Kutai Holiday TOUR</t>
  </si>
  <si>
    <t>6282153090123</t>
  </si>
  <si>
    <t>Kalimantan Timur ( Tenggarong, Kutai Kartanegara Samarinda Bontang Sangata penajam Berau )</t>
  </si>
  <si>
    <t>27-65 Tahun</t>
  </si>
  <si>
    <t>120230493216610694</t>
  </si>
  <si>
    <t>ORD-610</t>
  </si>
  <si>
    <t>Heri Husaeri</t>
  </si>
  <si>
    <t>Mitra Jaya Plafon</t>
  </si>
  <si>
    <t>Mengerjakan Pemasangan plafon, Walmolding, Pengecatan,Kerja interior Rumah</t>
  </si>
  <si>
    <t>6281342202869</t>
  </si>
  <si>
    <t>Kami mengerjakan pesanan pemasangan plafon rumah, pertokoan, perkantoran, fasilitas ibadah dll</t>
  </si>
  <si>
    <t>kabupaten Bulukumba, kabupaten Bantaeng, kabupaten Sinjai, kabupaten Jeneponto, kabupaten takalar dan Wilayah Sulawesi Selatan</t>
  </si>
  <si>
    <t>25- 50 tahun</t>
  </si>
  <si>
    <t>120231483644390235</t>
  </si>
  <si>
    <t>ORD-611</t>
  </si>
  <si>
    <t>Batri</t>
  </si>
  <si>
    <t>Pupuk Paten Organik Teknologi Nano</t>
  </si>
  <si>
    <t>pupuk</t>
  </si>
  <si>
    <t>6282382535847</t>
  </si>
  <si>
    <t>120230493219220694</t>
  </si>
  <si>
    <t>Aurora</t>
  </si>
  <si>
    <t>Aurora Teknik</t>
  </si>
  <si>
    <t>Service Elektronik</t>
  </si>
  <si>
    <t>6285376667233</t>
  </si>
  <si>
    <t>30 th</t>
  </si>
  <si>
    <t>TOKO TANI MAX</t>
  </si>
  <si>
    <t>Pupuk organik cair</t>
  </si>
  <si>
    <t>120230493227470694</t>
  </si>
  <si>
    <t>ORD-612</t>
  </si>
  <si>
    <t>Nur Hasan Basri</t>
  </si>
  <si>
    <t>CV.PUTERA PERSADA</t>
  </si>
  <si>
    <t>KONTRUKSI PEMBANGUNAN RUMAH TUNGGAL</t>
  </si>
  <si>
    <t>6281231728008</t>
  </si>
  <si>
    <t>seluruh Jawa Timur</t>
  </si>
  <si>
    <t>30-70 tahun</t>
  </si>
  <si>
    <t>semua kelamin</t>
  </si>
  <si>
    <t>120231463832720235</t>
  </si>
  <si>
    <t>ORD-613</t>
  </si>
  <si>
    <t>MAS DEDE</t>
  </si>
  <si>
    <t>UD WIJAYA GIPSUM</t>
  </si>
  <si>
    <t>plavon</t>
  </si>
  <si>
    <t>6281243260218</t>
  </si>
  <si>
    <t>Luwuk,Sulawesi Tengah</t>
  </si>
  <si>
    <t>120231436126160235</t>
  </si>
  <si>
    <t>ORD-614</t>
  </si>
  <si>
    <t>M Zakariya</t>
  </si>
  <si>
    <t>CV MZ Banyu Agung</t>
  </si>
  <si>
    <t>Cirebon, Indramayu, Kuningan, Majalengka</t>
  </si>
  <si>
    <t>ORD-615</t>
  </si>
  <si>
    <t>Bangun dan Renovasi</t>
  </si>
  <si>
    <t>ORD-616</t>
  </si>
  <si>
    <t>Dewa Permans</t>
  </si>
  <si>
    <t>Bali Trip Tour</t>
  </si>
  <si>
    <t>628179780980</t>
  </si>
  <si>
    <t>Indonesia, Singapore, Malaysia, India</t>
  </si>
  <si>
    <t>120230493232120694</t>
  </si>
  <si>
    <t>ORD-617</t>
  </si>
  <si>
    <t>ORD-618</t>
  </si>
  <si>
    <t>ORD-619</t>
  </si>
  <si>
    <t>ORD-620</t>
  </si>
  <si>
    <t>Yonosragen</t>
  </si>
  <si>
    <t>Yono motor masaran</t>
  </si>
  <si>
    <t>Bengkel sepeda motor spesialis injeksi dan matik</t>
  </si>
  <si>
    <t>6287701349406</t>
  </si>
  <si>
    <t>Masaran (+-10km)</t>
  </si>
  <si>
    <t>17-55 tahun</t>
  </si>
  <si>
    <t>120230493234410694</t>
  </si>
  <si>
    <t>ORD-622</t>
  </si>
  <si>
    <t>Dudut Djoko</t>
  </si>
  <si>
    <t>49_Interior</t>
  </si>
  <si>
    <t>jasa design dan produksi interior</t>
  </si>
  <si>
    <t>628156516849</t>
  </si>
  <si>
    <t>Pulau Jawa (Jabar, Jateng, Jatim)</t>
  </si>
  <si>
    <t>120231436127760235</t>
  </si>
  <si>
    <t>ORD-623</t>
  </si>
  <si>
    <t>workshop master alkemis hybird</t>
  </si>
  <si>
    <t>pelatihan Pengobatan medis dan non medis</t>
  </si>
  <si>
    <t>Jabodetabek Jabar Jateng Cirebon Indramayu Kuningan Majalengka Tegal Karawang</t>
  </si>
  <si>
    <t>18- 60 tahun</t>
  </si>
  <si>
    <t>120230523394180694</t>
  </si>
  <si>
    <t>ORD-624</t>
  </si>
  <si>
    <t>topik</t>
  </si>
  <si>
    <t>Madu Rabbani</t>
  </si>
  <si>
    <t>62881010328220</t>
  </si>
  <si>
    <t>pulau Jawa</t>
  </si>
  <si>
    <t>120230523366990694</t>
  </si>
  <si>
    <t>ORD-626</t>
  </si>
  <si>
    <t>ORD-627</t>
  </si>
  <si>
    <t>M HAFIDZ</t>
  </si>
  <si>
    <t>CV HAFIDZ MANDIRI TEKNIK</t>
  </si>
  <si>
    <t>service AC, instalasi &amp; instalasi listrik</t>
  </si>
  <si>
    <t>bukit timah,bagan besar, bukit kapur dan sekitarnya</t>
  </si>
  <si>
    <t>30 tahun</t>
  </si>
  <si>
    <t>120230523454030694</t>
  </si>
  <si>
    <t>ORD-628</t>
  </si>
  <si>
    <t>Rosyid fachruroji</t>
  </si>
  <si>
    <t>jasa pengaspalan jalan</t>
  </si>
  <si>
    <t>kontruksi jalan dan sipil</t>
  </si>
  <si>
    <t>628997485901</t>
  </si>
  <si>
    <t>jakarta,Bogor,Depok, Tangerang, Bekasi Karawang Sukabumi dan sekitarnya</t>
  </si>
  <si>
    <t>20-56 tahun</t>
  </si>
  <si>
    <t>laki-laki 80% perempuan 20%</t>
  </si>
  <si>
    <t>120231463910940235</t>
  </si>
  <si>
    <t>ORD-630</t>
  </si>
  <si>
    <t>Purnawan</t>
  </si>
  <si>
    <t>Pembuatan kanopi, kanopi balkon ( Meizanin) dll</t>
  </si>
  <si>
    <t>pembuatan kanopi</t>
  </si>
  <si>
    <t>62882008302847</t>
  </si>
  <si>
    <t>semarang dan sekitarnya</t>
  </si>
  <si>
    <t>120231641956320235</t>
  </si>
  <si>
    <t>ORD-631</t>
  </si>
  <si>
    <t>Ahmeed</t>
  </si>
  <si>
    <t>Sahabat Kontruksi</t>
  </si>
  <si>
    <t>6281215552664</t>
  </si>
  <si>
    <t>Depok dan Jabodetabek</t>
  </si>
  <si>
    <t>120231537903680235</t>
  </si>
  <si>
    <t>ORD-632</t>
  </si>
  <si>
    <t>Sejahtera</t>
  </si>
  <si>
    <t>PT Sejahtera Risky Wardani</t>
  </si>
  <si>
    <t>120231463934420235</t>
  </si>
  <si>
    <t>ORD-633</t>
  </si>
  <si>
    <t>Alhijaz Indowisata</t>
  </si>
  <si>
    <t>Travel Umroh dan Haji Khusus</t>
  </si>
  <si>
    <t>Jakarta, Bogor, Depok, Tangerang, Bekasi, Cilegon, Anyer, Serang, Cikarang, Cibitung, Karawang, Indramayu, Cianjur, Cimahi, Sukabumi, Purwakarta, Bandung, Kuningan, Kepulauan Seribu, Cirebon.</t>
  </si>
  <si>
    <t>120230586627670694</t>
  </si>
  <si>
    <t>ORD-634</t>
  </si>
  <si>
    <t>Siman rofie</t>
  </si>
  <si>
    <t>Kapling Griya muda jaya</t>
  </si>
  <si>
    <t>jual tanah kapling</t>
  </si>
  <si>
    <t>6285217189178</t>
  </si>
  <si>
    <t>Bekasi dan Jakarta</t>
  </si>
  <si>
    <t>25 - 50 tahun</t>
  </si>
  <si>
    <t>120231537936690235</t>
  </si>
  <si>
    <t>ORD-636</t>
  </si>
  <si>
    <t>Huzairi</t>
  </si>
  <si>
    <t>Ani Rental Padang</t>
  </si>
  <si>
    <t>Jasa Transportasi Tour Wisata dan Bisnis</t>
  </si>
  <si>
    <t>6282390759437</t>
  </si>
  <si>
    <t>120230586633470694</t>
  </si>
  <si>
    <t>ORD-637</t>
  </si>
  <si>
    <t>Febrian</t>
  </si>
  <si>
    <t>Rumahku Makmur Sejahtera</t>
  </si>
  <si>
    <t>Kontraktor Bangunan</t>
  </si>
  <si>
    <t>6282328059129</t>
  </si>
  <si>
    <t>120231463994600235</t>
  </si>
  <si>
    <t>ORD-638</t>
  </si>
  <si>
    <t>Muhammad Tursi</t>
  </si>
  <si>
    <t>Bengkulu rak indo gondala</t>
  </si>
  <si>
    <t>Rak Minimarket</t>
  </si>
  <si>
    <t>6283129404339</t>
  </si>
  <si>
    <t>Menjual bermacam Rak Minimarket dari ukuran 150cm , 170cm , 2meter</t>
  </si>
  <si>
    <t>Kota Bengkulu, Bengkulu Selatan, Bengkulu Utara, Bengkulu tengah</t>
  </si>
  <si>
    <t>25-60tahun</t>
  </si>
  <si>
    <t>120230523491400694</t>
  </si>
  <si>
    <t>ORD-639</t>
  </si>
  <si>
    <t>Sudarsono</t>
  </si>
  <si>
    <t>pusat roster,bata exspose tempel Terakota</t>
  </si>
  <si>
    <t>bahan bangunan dll</t>
  </si>
  <si>
    <t>6285925102815</t>
  </si>
  <si>
    <t>semua kalangan dewasa</t>
  </si>
  <si>
    <t>semua jenis kelamin</t>
  </si>
  <si>
    <t>120231463952160235</t>
  </si>
  <si>
    <t>ORD-640</t>
  </si>
  <si>
    <t>Maulana feansyah</t>
  </si>
  <si>
    <t>Pratama jaya aspal</t>
  </si>
  <si>
    <t>jasa pengaspalan hotmix</t>
  </si>
  <si>
    <t>6283117425214</t>
  </si>
  <si>
    <t>Cirebon</t>
  </si>
  <si>
    <t>17-60 tahun</t>
  </si>
  <si>
    <t>120231537835460235</t>
  </si>
  <si>
    <t>ORD-641</t>
  </si>
  <si>
    <t>Endang Kurniady</t>
  </si>
  <si>
    <t>CV Karunia Logam Jaya</t>
  </si>
  <si>
    <t>Besi Baja dan Baja Ringan</t>
  </si>
  <si>
    <t>62818200980</t>
  </si>
  <si>
    <t>Banten dan Jabodetabek</t>
  </si>
  <si>
    <t>120232303378610235</t>
  </si>
  <si>
    <t>Gus Yoga</t>
  </si>
  <si>
    <t>Brahmana Tour &amp; Travel Bali</t>
  </si>
  <si>
    <t>6282221896658</t>
  </si>
  <si>
    <t>Bali, Jakarta, Surabaya, Jogja</t>
  </si>
  <si>
    <t>20-55 th</t>
  </si>
  <si>
    <t>120230586637170694</t>
  </si>
  <si>
    <t>Wilayah Sumatera Barat dan diutamakan domisili Bukittinggi</t>
  </si>
  <si>
    <t>ORD-642</t>
  </si>
  <si>
    <t>Haris</t>
  </si>
  <si>
    <t>Madina Tech Digital</t>
  </si>
  <si>
    <t>Jasa Panduan Service Handphone</t>
  </si>
  <si>
    <t>6285166200242</t>
  </si>
  <si>
    <t>Sulawesi Selatan</t>
  </si>
  <si>
    <t>120231053347960694</t>
  </si>
  <si>
    <t>ORD-643</t>
  </si>
  <si>
    <t>Leon</t>
  </si>
  <si>
    <t>Komodo Nusa Traveling</t>
  </si>
  <si>
    <t>6281339823715</t>
  </si>
  <si>
    <t>Eropa</t>
  </si>
  <si>
    <t>Male &amp; Female</t>
  </si>
  <si>
    <t>120230586646720694</t>
  </si>
  <si>
    <t>ORD-645</t>
  </si>
  <si>
    <t>62077619002</t>
  </si>
  <si>
    <t>ORD-646</t>
  </si>
  <si>
    <t>6277619002</t>
  </si>
  <si>
    <t>ORD-647</t>
  </si>
  <si>
    <t>Idi Supriadi, C.HTE</t>
  </si>
  <si>
    <t>Rumah Sehat Terapi Anur</t>
  </si>
  <si>
    <t>Terapi dan Herbal</t>
  </si>
  <si>
    <t>6281320188313</t>
  </si>
  <si>
    <t>bisa menangani pijat, gurah, bekam, ruqyah, akupuntur dan ada juga jamu herbal dan madunya</t>
  </si>
  <si>
    <t>Ciamis, Kawali, Rajadesa dan sekitarnya</t>
  </si>
  <si>
    <t>18-60 tahun</t>
  </si>
  <si>
    <t>120230588818740694</t>
  </si>
  <si>
    <t>ORD-648</t>
  </si>
  <si>
    <t>Eric</t>
  </si>
  <si>
    <t>massage dan refleksi</t>
  </si>
  <si>
    <t>jasa pijat</t>
  </si>
  <si>
    <t>bekam angin sangat di butuhkan buat pekerja keras dan tentunya badan banyak masuk angin yang bisa membuat badan hangat,jadi bekam anginlah solusinya untuk membuang patogen angin dan membantu mempercepat proses pemulihan kesehatan</t>
  </si>
  <si>
    <t>Medan dan sekitarnya</t>
  </si>
  <si>
    <t>15-80 tahun</t>
  </si>
  <si>
    <t>120230650437170694</t>
  </si>
  <si>
    <t>ORD-649</t>
  </si>
  <si>
    <t>Hari jumat- Minggu di Semarang, Minggu sampai iklan habis di Pekalongan</t>
  </si>
  <si>
    <t>ORD-651</t>
  </si>
  <si>
    <t>Travel Umroh Dan Haji Khusus</t>
  </si>
  <si>
    <t>Jakarta, Bogor, Depok, Tangerang, Bekasi</t>
  </si>
  <si>
    <t>ORD-650</t>
  </si>
  <si>
    <t>Eeng Sudirman</t>
  </si>
  <si>
    <t>PT Sakha Agung Cemerlang (PT. SAC)</t>
  </si>
  <si>
    <t>AC Kontraktor AC (Air Conditioner)/Instalasi AC</t>
  </si>
  <si>
    <t>628561302381</t>
  </si>
  <si>
    <t>Specialist Air Conditioner, Sales-Service-Instalation-Repair&amp; Sparepart.</t>
  </si>
  <si>
    <t>Jakarta Timur, jakarta Selatan, Jakarta Pusat</t>
  </si>
  <si>
    <t>120230640136330694</t>
  </si>
  <si>
    <t>Spesialis Taman Manado</t>
  </si>
  <si>
    <t>18 th</t>
  </si>
  <si>
    <t>ORD-652</t>
  </si>
  <si>
    <t>Wilta Sinaga Djawahir Salim</t>
  </si>
  <si>
    <t>CV Sendang Jaya</t>
  </si>
  <si>
    <t>Toko Besi dan Kontraktor</t>
  </si>
  <si>
    <t>6285640123555</t>
  </si>
  <si>
    <t>jasa kontraktor renovasi/ bangun baru, Menyediakan bahan bangunan terlengkap dari besi, pasir dll</t>
  </si>
  <si>
    <t>Solo, Yogya</t>
  </si>
  <si>
    <t>120231641686510235</t>
  </si>
  <si>
    <t>ORD-653</t>
  </si>
  <si>
    <t>14-Agu- 2025</t>
  </si>
  <si>
    <t>carolus candra setya purnawan</t>
  </si>
  <si>
    <t>Sutanto aneka teknik</t>
  </si>
  <si>
    <t>kontruktis bangunan</t>
  </si>
  <si>
    <t>628971115941</t>
  </si>
  <si>
    <t>jasa perhitungan struktur dan jasa pengurusan pbg</t>
  </si>
  <si>
    <t>yogyakarta sekitarnya</t>
  </si>
  <si>
    <t>120231641714970235</t>
  </si>
  <si>
    <t>ORD-655</t>
  </si>
  <si>
    <t>Kota Jambi dan Kabupaten Muaro Jambi</t>
  </si>
  <si>
    <t>ORD-656</t>
  </si>
  <si>
    <t>26-Des-2025</t>
  </si>
  <si>
    <t>Bustam hamim</t>
  </si>
  <si>
    <t>PUSAT TERAPI PAZ DAN BEKAM SALSABILA TERNATE</t>
  </si>
  <si>
    <t>Terapi PAZ, BEKAM &amp; LINTAH</t>
  </si>
  <si>
    <t>6285240194507</t>
  </si>
  <si>
    <t>Ternate</t>
  </si>
  <si>
    <t>120230715148940694</t>
  </si>
  <si>
    <t>ORD-657</t>
  </si>
  <si>
    <t>Mukim darmawan</t>
  </si>
  <si>
    <t>Darma travel</t>
  </si>
  <si>
    <t>6285189492568</t>
  </si>
  <si>
    <t>tumbang ,talaken, palangkaraya, sampit , Banjarmasin</t>
  </si>
  <si>
    <t>120230715153830694</t>
  </si>
  <si>
    <t>ORD-658</t>
  </si>
  <si>
    <t>Bang Zali</t>
  </si>
  <si>
    <t>Cv zhafira pool</t>
  </si>
  <si>
    <t>Proyek kolam renang dan renovasi dan perawatan kolam renang</t>
  </si>
  <si>
    <t>6281990865975</t>
  </si>
  <si>
    <t>120231747029380235</t>
  </si>
  <si>
    <t>ORD-659</t>
  </si>
  <si>
    <t>Misnadi</t>
  </si>
  <si>
    <t>Mebel jaya abadi</t>
  </si>
  <si>
    <t>kitchen set aluminium</t>
  </si>
  <si>
    <t>6285944023744</t>
  </si>
  <si>
    <t>Pontianak dan sekitarnya</t>
  </si>
  <si>
    <t>20- 4o tahun</t>
  </si>
  <si>
    <t>120231746934060235</t>
  </si>
  <si>
    <t>ORD-660</t>
  </si>
  <si>
    <t>Sulastri</t>
  </si>
  <si>
    <t>Panda Wound Care</t>
  </si>
  <si>
    <t>jasa layanan kesehatan perawatan luka modern dan home care</t>
  </si>
  <si>
    <t>6285811111804</t>
  </si>
  <si>
    <t>sekitar kota tangerang</t>
  </si>
  <si>
    <t>120230715168360694</t>
  </si>
  <si>
    <t>ORD-661</t>
  </si>
  <si>
    <t>Tegar</t>
  </si>
  <si>
    <t>Tegarrentcar</t>
  </si>
  <si>
    <t>6281313889118</t>
  </si>
  <si>
    <t>Tangerang Area, Jakarta Area</t>
  </si>
  <si>
    <t>120230715203020694</t>
  </si>
  <si>
    <t>ORD-662</t>
  </si>
  <si>
    <t>Purwanto</t>
  </si>
  <si>
    <t>Terapi Pijit dan Bekam "Mas Poer"</t>
  </si>
  <si>
    <t>Pijit dan Bekam</t>
  </si>
  <si>
    <t>6282112073155</t>
  </si>
  <si>
    <t>Purworejo, Kutoarjo, Magelang, Wonosobo, Kebumen</t>
  </si>
  <si>
    <t>120230715236420694</t>
  </si>
  <si>
    <t>ORD-663</t>
  </si>
  <si>
    <t>Sanusi Fani</t>
  </si>
  <si>
    <t>Kuladika</t>
  </si>
  <si>
    <t>CCTV</t>
  </si>
  <si>
    <t>628195131666</t>
  </si>
  <si>
    <t>Kandangan, Hulu Sungai Selatan, Tapen, Amuntai, Barabai</t>
  </si>
  <si>
    <t>120230771988760694</t>
  </si>
  <si>
    <t>ORD-664</t>
  </si>
  <si>
    <t>19-Des-2025</t>
  </si>
  <si>
    <t>Akbar setiawan</t>
  </si>
  <si>
    <t>Yoca interior Malili</t>
  </si>
  <si>
    <t>Interior</t>
  </si>
  <si>
    <t>6285283208198</t>
  </si>
  <si>
    <t>Kabupaten luwu timur Sulawesi selatan</t>
  </si>
  <si>
    <t>120231816665950235</t>
  </si>
  <si>
    <t>ORD-665</t>
  </si>
  <si>
    <t>Nico Achmad Setiawan</t>
  </si>
  <si>
    <t>Go Kretek Kediri</t>
  </si>
  <si>
    <t>Bone Setting &amp; Bekam Center</t>
  </si>
  <si>
    <t>628815361682</t>
  </si>
  <si>
    <t>Karesidenan Kediri</t>
  </si>
  <si>
    <t>12-60 tahun</t>
  </si>
  <si>
    <t>Pria wanita</t>
  </si>
  <si>
    <t>120230771991510694</t>
  </si>
  <si>
    <t>ORD-666</t>
  </si>
  <si>
    <t>wilta sinaga</t>
  </si>
  <si>
    <t>CV SENDANG JAYA kontruksi</t>
  </si>
  <si>
    <t>Klaten,gunung kidul,boyolali,sukoharjo,solo,jogja</t>
  </si>
  <si>
    <t>120231816707910235</t>
  </si>
  <si>
    <t>ORD-667</t>
  </si>
  <si>
    <t>Andika Jaya Kontruksi</t>
  </si>
  <si>
    <t>628131361661</t>
  </si>
  <si>
    <t>Kabupaten Bekasi</t>
  </si>
  <si>
    <t>120231816644370235</t>
  </si>
  <si>
    <t>ORD-668</t>
  </si>
  <si>
    <t>ojik</t>
  </si>
  <si>
    <t>Transport lombok</t>
  </si>
  <si>
    <t>tour &amp; travel</t>
  </si>
  <si>
    <t>6285967129366</t>
  </si>
  <si>
    <t>paket wisata lombok,paket tour,paket honeymoon dan sewa mobil harian</t>
  </si>
  <si>
    <t>Jawa, jakarta,sumatera, Kalimantan, Malaysia</t>
  </si>
  <si>
    <t>120230772048060694</t>
  </si>
  <si>
    <t>ORD-669</t>
  </si>
  <si>
    <t>16-Agu-2025</t>
  </si>
  <si>
    <t>Hidayat</t>
  </si>
  <si>
    <t>HITSBAH TRANSPORT</t>
  </si>
  <si>
    <t>Trevel</t>
  </si>
  <si>
    <t>6289514176661</t>
  </si>
  <si>
    <t>Trevel pengauban melayani jasa Trevel seluruh wilayah Indramayu, Cirebon dan sekitarnya.dari regular,Carter dan wisata</t>
  </si>
  <si>
    <t>Cirebon dan Indramayu</t>
  </si>
  <si>
    <t>120230772054480694</t>
  </si>
  <si>
    <t>ORD-670</t>
  </si>
  <si>
    <t>Bramantya</t>
  </si>
  <si>
    <t>C&amp;A building construction</t>
  </si>
  <si>
    <t>kontruksi/ kontraktor</t>
  </si>
  <si>
    <t>6281380503300</t>
  </si>
  <si>
    <t>solo raya ( Surakarta, Sukoharjo, Karanganyar, Sragen, Wonogiri, Klaten, Boyolali, Jogja, Semarang)</t>
  </si>
  <si>
    <t>35-55 tahun</t>
  </si>
  <si>
    <t>120231900370010235</t>
  </si>
  <si>
    <t>ORD-671</t>
  </si>
  <si>
    <t>Nadya</t>
  </si>
  <si>
    <t>Spa dina</t>
  </si>
  <si>
    <t>kecantikan</t>
  </si>
  <si>
    <t>6287833789401</t>
  </si>
  <si>
    <t>Balik papan</t>
  </si>
  <si>
    <t>25- 60 tahun</t>
  </si>
  <si>
    <t>120232486286240200</t>
  </si>
  <si>
    <t>ORD-672</t>
  </si>
  <si>
    <t>bapak ari</t>
  </si>
  <si>
    <t>Ari kontraktor</t>
  </si>
  <si>
    <t>pemborong bangunan</t>
  </si>
  <si>
    <t>6281222788601</t>
  </si>
  <si>
    <t>Jawa Barat , Jabodetabek</t>
  </si>
  <si>
    <t>120231900298090235</t>
  </si>
  <si>
    <t>ORD-673</t>
  </si>
  <si>
    <t>Omo</t>
  </si>
  <si>
    <t>Someah Tour</t>
  </si>
  <si>
    <t>Tour &amp; Travel</t>
  </si>
  <si>
    <t>6285702241111</t>
  </si>
  <si>
    <t>City tour dan sewa mobil Yogyakarta star from 600k</t>
  </si>
  <si>
    <t>remaja keatas</t>
  </si>
  <si>
    <t>120230872794600694</t>
  </si>
  <si>
    <t>ORD-674</t>
  </si>
  <si>
    <t>Al Mahbub</t>
  </si>
  <si>
    <t>Berkah Karya Lesatri</t>
  </si>
  <si>
    <t>Kontruksi Bangunan</t>
  </si>
  <si>
    <t>6285854789952</t>
  </si>
  <si>
    <t>Madiun, Ngawi, Ponorogo</t>
  </si>
  <si>
    <t>120231900334200235</t>
  </si>
  <si>
    <t>ORD-675</t>
  </si>
  <si>
    <t>18-Agu-2025</t>
  </si>
  <si>
    <t>candra</t>
  </si>
  <si>
    <t>Lombok best holiday</t>
  </si>
  <si>
    <t>6287862271550</t>
  </si>
  <si>
    <t>menyediakan paket wisata lombok dan sumbawa,bali.</t>
  </si>
  <si>
    <t>Mataram, NTB</t>
  </si>
  <si>
    <t>17keats</t>
  </si>
  <si>
    <t>smua</t>
  </si>
  <si>
    <t>120230973109790694</t>
  </si>
  <si>
    <t>ORD-676</t>
  </si>
  <si>
    <t>Abdullah Syafi'i</t>
  </si>
  <si>
    <t>Griya Sehat Al Fatih</t>
  </si>
  <si>
    <t>6285255115894</t>
  </si>
  <si>
    <t>kota palopo dan luwu raya</t>
  </si>
  <si>
    <t>120230973097360694</t>
  </si>
  <si>
    <t>ORD-677</t>
  </si>
  <si>
    <t>Laili</t>
  </si>
  <si>
    <t>Aufadina Tour</t>
  </si>
  <si>
    <t>6281513169730</t>
  </si>
  <si>
    <t>120231297494900694</t>
  </si>
  <si>
    <t>ORD-678</t>
  </si>
  <si>
    <t>Arif</t>
  </si>
  <si>
    <t>Arin abadi teknik</t>
  </si>
  <si>
    <t>Pagar kanopi dan kusen aluminium</t>
  </si>
  <si>
    <t>6285864637086</t>
  </si>
  <si>
    <t>cianjur raya dan JABODETABEK</t>
  </si>
  <si>
    <t>120231900402850235</t>
  </si>
  <si>
    <t>ORD-679</t>
  </si>
  <si>
    <t>Mpuh Sembiring</t>
  </si>
  <si>
    <t>Rumah Sehat Mpuh Sembiring</t>
  </si>
  <si>
    <t>Pengobatan Alternatif Medis dan non medis</t>
  </si>
  <si>
    <t>6282160743576</t>
  </si>
  <si>
    <t>120230872851490694</t>
  </si>
  <si>
    <t>ORD-680</t>
  </si>
  <si>
    <t>Tabib Koby</t>
  </si>
  <si>
    <t>Terapi Mengobati Medis Non Medis</t>
  </si>
  <si>
    <t>6287740636181</t>
  </si>
  <si>
    <t>Kami Pengobatan Medis dan non medis (wajib)</t>
  </si>
  <si>
    <t>Sukabumi, Cianjur, Bogor</t>
  </si>
  <si>
    <t>120230872954540694</t>
  </si>
  <si>
    <t>ORD-681</t>
  </si>
  <si>
    <t>Arjuna</t>
  </si>
  <si>
    <t>Seribu Harapan Trevel tour</t>
  </si>
  <si>
    <t>Trevel your</t>
  </si>
  <si>
    <t>6282154318629</t>
  </si>
  <si>
    <t>Trip seribu harapan,open trip dan private trip</t>
  </si>
  <si>
    <t>120230973127600694</t>
  </si>
  <si>
    <t>ORD-682</t>
  </si>
  <si>
    <t>62076472864</t>
  </si>
  <si>
    <t>jualan online juga bisa antar ke rumah</t>
  </si>
  <si>
    <t>ORD-683</t>
  </si>
  <si>
    <t>Zaman</t>
  </si>
  <si>
    <t>Anindiyajayapool</t>
  </si>
  <si>
    <t>Kontrtor Kolam Renang</t>
  </si>
  <si>
    <t>6285888452389</t>
  </si>
  <si>
    <t>Laki Laki dan perempuan</t>
  </si>
  <si>
    <t>120231967239760235</t>
  </si>
  <si>
    <t>ORD-684</t>
  </si>
  <si>
    <t>egwin Gunawan</t>
  </si>
  <si>
    <t>Las panggilan</t>
  </si>
  <si>
    <t>Bangkel las panggilan</t>
  </si>
  <si>
    <t>6285333355756</t>
  </si>
  <si>
    <t>Kendari</t>
  </si>
  <si>
    <t>120231967237590235</t>
  </si>
  <si>
    <t>ORD-685</t>
  </si>
  <si>
    <t>Rezy</t>
  </si>
  <si>
    <t>Ayojalan Rent Car</t>
  </si>
  <si>
    <t>Sewa Mobil Hiace Elf dan Mobil Mewah Lainnya</t>
  </si>
  <si>
    <t>6281210801646</t>
  </si>
  <si>
    <t>120230973115790694</t>
  </si>
  <si>
    <t>ORD-686</t>
  </si>
  <si>
    <t>ORD-687</t>
  </si>
  <si>
    <t>Singapore, Malaysia, India, Indonesia</t>
  </si>
  <si>
    <t>120230872830310694</t>
  </si>
  <si>
    <t>ORD-688</t>
  </si>
  <si>
    <t>Teknik Sipil Bangunan</t>
  </si>
  <si>
    <t>ORD-689</t>
  </si>
  <si>
    <t>M Ramli Zebua</t>
  </si>
  <si>
    <t>PT MAKMUR JAYA ZEBUA (repeat order)</t>
  </si>
  <si>
    <t>jasa tukang bangunan rumah dan kontraktor</t>
  </si>
  <si>
    <t>sekitar riau dan sekitarnya</t>
  </si>
  <si>
    <t>ORD-690</t>
  </si>
  <si>
    <t>ORD-691</t>
  </si>
  <si>
    <t>rokim almunium</t>
  </si>
  <si>
    <t>pembuatan kcenset kusen lemari dll</t>
  </si>
  <si>
    <t>120231967256890235</t>
  </si>
  <si>
    <t>ORD-692</t>
  </si>
  <si>
    <t>Djuwahir</t>
  </si>
  <si>
    <t>INTITOUR</t>
  </si>
  <si>
    <t>6287842913251</t>
  </si>
  <si>
    <t>120231245316910694</t>
  </si>
  <si>
    <t>ORD-693</t>
  </si>
  <si>
    <t>Sri Sabariyah</t>
  </si>
  <si>
    <t>Jari Jempol Reflexy (JJR)</t>
  </si>
  <si>
    <t>6285642368174</t>
  </si>
  <si>
    <t>kabupaten magelang</t>
  </si>
  <si>
    <t>5 th ke atas</t>
  </si>
  <si>
    <t>120231245318220694</t>
  </si>
  <si>
    <t>ORD-694</t>
  </si>
  <si>
    <t>Hendry</t>
  </si>
  <si>
    <t>EFGHAN MASSAGE MEDAN</t>
  </si>
  <si>
    <t>Pijat Laki-laki</t>
  </si>
  <si>
    <t>62082287715351</t>
  </si>
  <si>
    <t>kota medan dan sekitarnya</t>
  </si>
  <si>
    <t>17 th sampai lansia</t>
  </si>
  <si>
    <t>120231053297970694</t>
  </si>
  <si>
    <t>ORD-695</t>
  </si>
  <si>
    <t>Helmy Priwardani</t>
  </si>
  <si>
    <t>Jatisari Transport</t>
  </si>
  <si>
    <t>Rental Mobil Hiace</t>
  </si>
  <si>
    <t>62818533354</t>
  </si>
  <si>
    <t>Jakarta dan Bandung</t>
  </si>
  <si>
    <t>20-50 Tahun</t>
  </si>
  <si>
    <t>120231472377420694</t>
  </si>
  <si>
    <t>ORD-696</t>
  </si>
  <si>
    <t>Rosyid</t>
  </si>
  <si>
    <t>Sumber Semangat Motor</t>
  </si>
  <si>
    <t>Spesialist Bengkel Motor Panggilan</t>
  </si>
  <si>
    <t>6289667480162</t>
  </si>
  <si>
    <t>Semarang Tengah, Semarang Barat, Semarang Selatan, Kecamatan Tembalang, Semarang Timur, Kecamatan Pedurungan, Semarang Utara (Area Semarang)</t>
  </si>
  <si>
    <t>17-58 th</t>
  </si>
  <si>
    <t>120231053307600694</t>
  </si>
  <si>
    <t>ORD-697</t>
  </si>
  <si>
    <t>CV Sun Rizky Mandiri</t>
  </si>
  <si>
    <t>Specialis Renovasi dan Bangun Rumah</t>
  </si>
  <si>
    <t>Depok, Cibubur, Cibinong, dan Bekasi</t>
  </si>
  <si>
    <t>120232026651190235</t>
  </si>
  <si>
    <t>ORD-698</t>
  </si>
  <si>
    <t>bisa mengatasi sakit kepala, sakit bahu, tulang belikat, boyok kecetit, asam lambung, cidera olahraga, masalah kejantanan pria bermasalah, dan masih banyak keluhan lain yang bisa di atasi</t>
  </si>
  <si>
    <t>ORD-699</t>
  </si>
  <si>
    <t>ORD-700</t>
  </si>
  <si>
    <t>Halid Furqon</t>
  </si>
  <si>
    <t>Dude Tour And Trans Lombok</t>
  </si>
  <si>
    <t>Travel Perjalanan Wisata</t>
  </si>
  <si>
    <t>6287777304498</t>
  </si>
  <si>
    <t>Jakarta, Surabaya, Yogyakarta</t>
  </si>
  <si>
    <t>26-55 th</t>
  </si>
  <si>
    <t>120231297517560694</t>
  </si>
  <si>
    <t>ORD-701</t>
  </si>
  <si>
    <t>Wem Y Edah, Sth</t>
  </si>
  <si>
    <t>PT lima Bersaudara Wejj</t>
  </si>
  <si>
    <t>Kontraktor leveransir perdagangan</t>
  </si>
  <si>
    <t>6282171933337</t>
  </si>
  <si>
    <t>Sulawesi Utara</t>
  </si>
  <si>
    <t>120232026677780235</t>
  </si>
  <si>
    <t>ORD-702</t>
  </si>
  <si>
    <t>M Rafi</t>
  </si>
  <si>
    <t>RAFI'S MASSUEER Karawang</t>
  </si>
  <si>
    <t>terapis holistik</t>
  </si>
  <si>
    <t>f</t>
  </si>
  <si>
    <t>Karawang Jabar</t>
  </si>
  <si>
    <t>120231053332770694</t>
  </si>
  <si>
    <t>ORD-703</t>
  </si>
  <si>
    <t>ORD-704</t>
  </si>
  <si>
    <t>ORD-705</t>
  </si>
  <si>
    <t>Ibu Sifa</t>
  </si>
  <si>
    <t>MASSAGE 88</t>
  </si>
  <si>
    <t>6281334257715</t>
  </si>
  <si>
    <t>Area sekitar graha raya alam sutra Sumarecon Serpong  dan sekitarnya KK radios 5/ 10 km / daerah kotawisata dan sekitarnya</t>
  </si>
  <si>
    <t>120231116807020694</t>
  </si>
  <si>
    <t>ORD-706</t>
  </si>
  <si>
    <t>-Waterprofing membran bakar</t>
  </si>
  <si>
    <t>120232103570240235</t>
  </si>
  <si>
    <t>ORD-707</t>
  </si>
  <si>
    <t>120231297540580694</t>
  </si>
  <si>
    <t>ORD-708</t>
  </si>
  <si>
    <t>Anggi</t>
  </si>
  <si>
    <t>Raga Als Travel</t>
  </si>
  <si>
    <t>Sewa Mobil+Driver</t>
  </si>
  <si>
    <t>6287821734079</t>
  </si>
  <si>
    <t>Bandara Sokarno Hatta Tangerang -Kota Bandung</t>
  </si>
  <si>
    <t>120231116837410694</t>
  </si>
  <si>
    <t>ORD-709</t>
  </si>
  <si>
    <t>ORD-710</t>
  </si>
  <si>
    <t>ORD-711</t>
  </si>
  <si>
    <t>Rizki satria Nugroho</t>
  </si>
  <si>
    <t>Rizat project</t>
  </si>
  <si>
    <t>renovasi bangunan/ kontruksi</t>
  </si>
  <si>
    <t>6282137097189</t>
  </si>
  <si>
    <t>Magelang, Jogja, Semarang</t>
  </si>
  <si>
    <t>120232302816490235</t>
  </si>
  <si>
    <t>ORD-712</t>
  </si>
  <si>
    <t>Nirwan</t>
  </si>
  <si>
    <t>31 studio</t>
  </si>
  <si>
    <t>kontruksi bangunan ( rumah, kantor dll) dan interior</t>
  </si>
  <si>
    <t>6285251757431</t>
  </si>
  <si>
    <t>Sulawesi Selatan Makassar</t>
  </si>
  <si>
    <t>120232103560110235</t>
  </si>
  <si>
    <t>ORD-713</t>
  </si>
  <si>
    <t>Abdul Latif</t>
  </si>
  <si>
    <t>HRAtour.id</t>
  </si>
  <si>
    <t>kmm</t>
  </si>
  <si>
    <t>Kota Bekasi, Kabupaten Bekasi, Jakarta Timur, Jakarta Barat, Jakarta Utara, Jakarta Selatan, Jakarta Pusat, Karawang, Purwakarta, Bandung, Kab Bandung, Cirebon, Kuningan, Bogor, Depok, Tangerang, Serang, Cilegon, Semarang, Pekalongan, Tegal, Pemalang, Grobogan, Demak, Kudus, Pati, Rembang, Sragen, Salatiga, Surakarta, Yogyakarta, Palembang, Padang, Pekanbaru, Medan, Bukitinggi, pariaman, Bandar Lampung, Metro, Lampung Tengah, Banjarmasin, Banjarbaru, Makassar, Kendari, Palu, Kediri, Madiun, Cepu, Tuban, Malang, Balikpapan, Samarinda, Pontianak, Bangka Belitung, Bengkulu</t>
  </si>
  <si>
    <t>22-45 tahun</t>
  </si>
  <si>
    <t>120231116939100694</t>
  </si>
  <si>
    <t>ORD-714</t>
  </si>
  <si>
    <t>Irvan Hilmi</t>
  </si>
  <si>
    <t>Andin Berkah Wisata</t>
  </si>
  <si>
    <t>6285741888828</t>
  </si>
  <si>
    <t>120231232306370694</t>
  </si>
  <si>
    <t>ORD-715</t>
  </si>
  <si>
    <t>Jasmin JR</t>
  </si>
  <si>
    <t>TOYOTA TUNAS CINERE</t>
  </si>
  <si>
    <t>Otomotif</t>
  </si>
  <si>
    <t>6281316807185</t>
  </si>
  <si>
    <t>ORD-716</t>
  </si>
  <si>
    <t>Medy Raden Mas</t>
  </si>
  <si>
    <t>Totok Syaraf</t>
  </si>
  <si>
    <t>6285169730762</t>
  </si>
  <si>
    <t>Taman Ciruas Permai (TCP) Pelawad Kab Serang Banten</t>
  </si>
  <si>
    <t>37 th</t>
  </si>
  <si>
    <t>120231232350610694</t>
  </si>
  <si>
    <t>ORD-717</t>
  </si>
  <si>
    <t>Spectrum Holiday (Zam Zam Travel)</t>
  </si>
  <si>
    <t>ORD-718</t>
  </si>
  <si>
    <t>ORD-719</t>
  </si>
  <si>
    <t>ORD-720</t>
  </si>
  <si>
    <t>Totok saraf punggung jari petir</t>
  </si>
  <si>
    <t>Semarang, Jogjakarta, Soloraya, Purwodadi (Grobogan), Salatiga</t>
  </si>
  <si>
    <t>120231116960580694</t>
  </si>
  <si>
    <t>ORD-721</t>
  </si>
  <si>
    <t>120231116975740694</t>
  </si>
  <si>
    <t>ORD-722</t>
  </si>
  <si>
    <t>Wildan</t>
  </si>
  <si>
    <t>WD FURNITURE</t>
  </si>
  <si>
    <t>6289630527354</t>
  </si>
  <si>
    <t>Jakarta, Bekasi</t>
  </si>
  <si>
    <t>120232220558110235</t>
  </si>
  <si>
    <t>ORD-723</t>
  </si>
  <si>
    <t>ORD-724</t>
  </si>
  <si>
    <t>Abdul Jafar Solehudin</t>
  </si>
  <si>
    <t>Ameera utama travel</t>
  </si>
  <si>
    <t>biro travel umroh &amp; haji</t>
  </si>
  <si>
    <t>628112656686</t>
  </si>
  <si>
    <t>solo raya,( Boyolali Karanganyar seragen dan Wonogiri, Sukoharjo)</t>
  </si>
  <si>
    <t>120231232321340694</t>
  </si>
  <si>
    <t>ORD-725</t>
  </si>
  <si>
    <t>Robin</t>
  </si>
  <si>
    <t>PHINISEA</t>
  </si>
  <si>
    <t>labuan bajo tour</t>
  </si>
  <si>
    <t>6281315163838</t>
  </si>
  <si>
    <t>Indonesia, Malaysia</t>
  </si>
  <si>
    <t>120231232325940694</t>
  </si>
  <si>
    <t>ORD-726</t>
  </si>
  <si>
    <t>Endang Kurnia</t>
  </si>
  <si>
    <t>Tasya Rental Mobil Bandung</t>
  </si>
  <si>
    <t>rental mobil, sewa mobil</t>
  </si>
  <si>
    <t>6281224628935</t>
  </si>
  <si>
    <t>rental mobil dan sewa mobil.</t>
  </si>
  <si>
    <t>Indonesia (bandung, jakarta, luar kota, bebas), Malaysia.</t>
  </si>
  <si>
    <t>120232327681280694</t>
  </si>
  <si>
    <t>ORD-727</t>
  </si>
  <si>
    <t>Lilis Suryani</t>
  </si>
  <si>
    <t>Aylis Beauty Salon</t>
  </si>
  <si>
    <t>Jasa Kecantikan</t>
  </si>
  <si>
    <t>6282267832085</t>
  </si>
  <si>
    <t>Langsa Aceh</t>
  </si>
  <si>
    <t>120232767414420200</t>
  </si>
  <si>
    <t>ORD-728</t>
  </si>
  <si>
    <t>Qomarudin</t>
  </si>
  <si>
    <t>gallery interiors</t>
  </si>
  <si>
    <t>628970060010</t>
  </si>
  <si>
    <t>Timur ( Brebes,Tegal,pemalang Pekalongan Semarang )</t>
  </si>
  <si>
    <t>120232220634250235</t>
  </si>
  <si>
    <t>ORD-729</t>
  </si>
  <si>
    <t>Rizal</t>
  </si>
  <si>
    <t>Nusa Penida Fun Trip</t>
  </si>
  <si>
    <t>6281239004410</t>
  </si>
  <si>
    <t>120231433959200694</t>
  </si>
  <si>
    <t>ORD-730</t>
  </si>
  <si>
    <t>Efendy</t>
  </si>
  <si>
    <t>FG teknik</t>
  </si>
  <si>
    <t>Pasang dan service AC</t>
  </si>
  <si>
    <t>6282171085542</t>
  </si>
  <si>
    <t>pasang bongkar AC service cuci AC kulkas mesin cuci instalasi listrik dll</t>
  </si>
  <si>
    <t>Pekanbaru dan sekitarnya</t>
  </si>
  <si>
    <t>120231232345850694</t>
  </si>
  <si>
    <t>ORD-731</t>
  </si>
  <si>
    <t>Efendy TEST2</t>
  </si>
  <si>
    <t>ORD-732</t>
  </si>
  <si>
    <t>ORD-733</t>
  </si>
  <si>
    <t>Cv Nuansa Alam Profil</t>
  </si>
  <si>
    <t>samarinda, balikpapan, Tenggarong,Bontang</t>
  </si>
  <si>
    <t>ORD-734</t>
  </si>
  <si>
    <t>Al Aziz</t>
  </si>
  <si>
    <t>Fiberglass</t>
  </si>
  <si>
    <t>Talang Air, Septictank</t>
  </si>
  <si>
    <t>6289508681093</t>
  </si>
  <si>
    <t>Produksi Fiberglass</t>
  </si>
  <si>
    <t>Jabodetabek, Jawa Barat, Banten</t>
  </si>
  <si>
    <t>120232302845550235</t>
  </si>
  <si>
    <t>ORD-735</t>
  </si>
  <si>
    <t>BERKAH TEKNIK PENDINGIN</t>
  </si>
  <si>
    <t>ORD-737</t>
  </si>
  <si>
    <t>6285888411685</t>
  </si>
  <si>
    <t>ORD-738</t>
  </si>
  <si>
    <t>ORD-739</t>
  </si>
  <si>
    <t>M.jamil</t>
  </si>
  <si>
    <t>PT Muria karya sejahtera</t>
  </si>
  <si>
    <t>628119913004</t>
  </si>
  <si>
    <t>Jabodetabek, bandung</t>
  </si>
  <si>
    <t>120232302853190235</t>
  </si>
  <si>
    <t>ORD-740</t>
  </si>
  <si>
    <t>Muhammad Arifin</t>
  </si>
  <si>
    <t>Bagus Uniform</t>
  </si>
  <si>
    <t>Konveksi Vendor Seragam Kerja</t>
  </si>
  <si>
    <t>6287836691500</t>
  </si>
  <si>
    <t>Makassar, Kalimantan Timur, Kalimantan Barat, NTT, Jakarta, Ternate, Papua, Bali, Surabaya</t>
  </si>
  <si>
    <t>17-50 tn</t>
  </si>
  <si>
    <t>120231297554520694</t>
  </si>
  <si>
    <t>ORD-741</t>
  </si>
  <si>
    <t>R Dian Mahendra</t>
  </si>
  <si>
    <t>Kamila Cahaya Trans Semarang</t>
  </si>
  <si>
    <t>Rental Mobil and Tour</t>
  </si>
  <si>
    <t>628122577723</t>
  </si>
  <si>
    <t>Kota Semarang dan Sekitarnya</t>
  </si>
  <si>
    <t>120231297556960694</t>
  </si>
  <si>
    <t>ORD-742</t>
  </si>
  <si>
    <t>Pembuatan kolam renang, Renovasi kolam renang dan perawatan kolam renang</t>
  </si>
  <si>
    <t>ORD-744</t>
  </si>
  <si>
    <t>ORD-745</t>
  </si>
  <si>
    <t>Edy Susanto</t>
  </si>
  <si>
    <t>Pandawa Transport</t>
  </si>
  <si>
    <t>6281231382365</t>
  </si>
  <si>
    <t>solo raya , Sukoharjo,solo, Wonogiri, Klaten Karanganyar Boyolali sragen</t>
  </si>
  <si>
    <t>ORD-746</t>
  </si>
  <si>
    <t>Ajun</t>
  </si>
  <si>
    <t>Ajun travel</t>
  </si>
  <si>
    <t>Travel dan rental</t>
  </si>
  <si>
    <t>6281359605566</t>
  </si>
  <si>
    <t>Singkawang Kalimantan Barat</t>
  </si>
  <si>
    <t>120231433740160694</t>
  </si>
  <si>
    <t>ORD-747</t>
  </si>
  <si>
    <t>Dadang Spd. (Abah Asri)</t>
  </si>
  <si>
    <t>TERAPHY HIPNOSIS</t>
  </si>
  <si>
    <t>628720705874</t>
  </si>
  <si>
    <t>Jabar, DKI, Banten</t>
  </si>
  <si>
    <t>10-60 th</t>
  </si>
  <si>
    <t>ORD-748</t>
  </si>
  <si>
    <t>ORD-749</t>
  </si>
  <si>
    <t>Rini Purwanti</t>
  </si>
  <si>
    <t>Happy Jogja tour</t>
  </si>
  <si>
    <t>Tour travel</t>
  </si>
  <si>
    <t>6281328027701</t>
  </si>
  <si>
    <t>35-60 tahun</t>
  </si>
  <si>
    <t>ORD-750</t>
  </si>
  <si>
    <t>Bunda Mirna MHU</t>
  </si>
  <si>
    <t>travel and tour MHU ( manasik haji umroh)</t>
  </si>
  <si>
    <t>HAJI DAN UMROH</t>
  </si>
  <si>
    <t>628152343305</t>
  </si>
  <si>
    <t>ORD-751</t>
  </si>
  <si>
    <t>Herianto sukses mandiri</t>
  </si>
  <si>
    <t>Pembuatan kanopi pagar pintu dorong pintu lipat tralis balkon reling dan kusen almini</t>
  </si>
  <si>
    <t>6281234132926</t>
  </si>
  <si>
    <t>Surabaya, Gresik Sidoarjo dan Bangkalan</t>
  </si>
  <si>
    <t>ORD-752</t>
  </si>
  <si>
    <t>ORD-753</t>
  </si>
  <si>
    <t>Dani</t>
  </si>
  <si>
    <t>Terazzo dan semen polish</t>
  </si>
  <si>
    <t>Terazzo</t>
  </si>
  <si>
    <t>6287849666629</t>
  </si>
  <si>
    <t>pemasangan Terazzo service dan polishing</t>
  </si>
  <si>
    <t>Seminyak,Pecatu,canggu,Sanur,Ubud,kuta ,se bali</t>
  </si>
  <si>
    <t>Pria</t>
  </si>
  <si>
    <t>ORD-754</t>
  </si>
  <si>
    <t>8-Des-2025</t>
  </si>
  <si>
    <t>6285720705874</t>
  </si>
  <si>
    <t>Sukabumi, Cianjur, Bekasi, Depok, Banten</t>
  </si>
  <si>
    <t>ORD-755</t>
  </si>
  <si>
    <t>ORD-756</t>
  </si>
  <si>
    <t>Nur Hadi</t>
  </si>
  <si>
    <t>Jasa Renovasi</t>
  </si>
  <si>
    <t>Jasa tukang cat dan kramik renovasi rumah dan villa</t>
  </si>
  <si>
    <t>6281353892010</t>
  </si>
  <si>
    <t>Denpasar, Bali, Seminyak, Canggu, Sanur, Legiyan</t>
  </si>
  <si>
    <t>120232419542630235</t>
  </si>
  <si>
    <t>ORD-757</t>
  </si>
  <si>
    <t>Aliasming</t>
  </si>
  <si>
    <t>PT. Rizmia Sejahtera Selalu</t>
  </si>
  <si>
    <t>kontruksi</t>
  </si>
  <si>
    <t>6281376129355</t>
  </si>
  <si>
    <t>Batam Tanjung pinang, Tanjung Balai Karimun Kepulauan Riau.</t>
  </si>
  <si>
    <t>25-65</t>
  </si>
  <si>
    <t>120232483394360235</t>
  </si>
  <si>
    <t>ORD-758</t>
  </si>
  <si>
    <t>H Muhammad Thohir</t>
  </si>
  <si>
    <t>Sangkal Putung berkah</t>
  </si>
  <si>
    <t>Alternatif patah tulang, terkilir,lepas sendiri dll</t>
  </si>
  <si>
    <t>6281226825253</t>
  </si>
  <si>
    <t>Boyolali dan sekitarnya</t>
  </si>
  <si>
    <t>Laki2 dan perempuan</t>
  </si>
  <si>
    <t>120231433978760694</t>
  </si>
  <si>
    <t>ORD-759</t>
  </si>
  <si>
    <t>Ezy</t>
  </si>
  <si>
    <t>Klinik physio bunda Mardiah care</t>
  </si>
  <si>
    <t>Klinik kesehatan</t>
  </si>
  <si>
    <t>6287863509004</t>
  </si>
  <si>
    <t>pengobatan pasien stroke, syaraf kejepit,cidera olahraga, rematik,sakit pinggang,nyeri sendi asam urat,dan gangguan fungsi tubuh lainnya</t>
  </si>
  <si>
    <t>lombok tengah, Lombok Timur,dan pulau lombok umumnya</t>
  </si>
  <si>
    <t>120231475161930694</t>
  </si>
  <si>
    <t>ORD-760</t>
  </si>
  <si>
    <t>Mukini</t>
  </si>
  <si>
    <t>LKP/LPK amoeskin griya therapist</t>
  </si>
  <si>
    <t>Pelatihan pijat kesehatan tradisional</t>
  </si>
  <si>
    <t>6285194619788</t>
  </si>
  <si>
    <t>120231539695120694</t>
  </si>
  <si>
    <t>ORD-761</t>
  </si>
  <si>
    <t>Untuk wilayah Ciaul, Cikole, Baros, Bayangkara,Citamiang, sama gunung puyuh</t>
  </si>
  <si>
    <t>25-56 tahun</t>
  </si>
  <si>
    <t>ORD-762</t>
  </si>
  <si>
    <t>ORD-763</t>
  </si>
  <si>
    <t>suryana</t>
  </si>
  <si>
    <t>MEGAH PLAFON</t>
  </si>
  <si>
    <t>6281323291817</t>
  </si>
  <si>
    <t>120232953619000235</t>
  </si>
  <si>
    <t>ORD-764</t>
  </si>
  <si>
    <t>sulaeman</t>
  </si>
  <si>
    <t>ORD-765</t>
  </si>
  <si>
    <t>Wartawan</t>
  </si>
  <si>
    <t>Bengkel Las Canopy Sumber Rejeki</t>
  </si>
  <si>
    <t>Las Canopy</t>
  </si>
  <si>
    <t>ORD-766</t>
  </si>
  <si>
    <t>Fasihah</t>
  </si>
  <si>
    <t>Rumah sehat sehati 38</t>
  </si>
  <si>
    <t>Bekam dan pijat refleksi dan ruqyah</t>
  </si>
  <si>
    <t>6289606523838</t>
  </si>
  <si>
    <t>buka tiap hari 24 jam, menerima undangan sewilayah Tegalgubug,bayar seikhlasnya kami bekerja lebih ke menelong sesama</t>
  </si>
  <si>
    <t>satu kelurahan Tegalgubug aja</t>
  </si>
  <si>
    <t>balita sampai lansia</t>
  </si>
  <si>
    <t>120231476740570694</t>
  </si>
  <si>
    <t>ORD-767</t>
  </si>
  <si>
    <t>Didik bintoro</t>
  </si>
  <si>
    <t>Mbarep abiyasa line</t>
  </si>
  <si>
    <t>Tour &amp; TTAVEK</t>
  </si>
  <si>
    <t>6281545971465</t>
  </si>
  <si>
    <t>Karesidenan Pekalongan, kabupaten Pekalongan, kabupaten batang, kabupaten Pemalang,dan Semarang sekitarnya</t>
  </si>
  <si>
    <t>7 tahun-65 tahun</t>
  </si>
  <si>
    <t>120231476757780694</t>
  </si>
  <si>
    <t>ORD-768</t>
  </si>
  <si>
    <t>Reza</t>
  </si>
  <si>
    <t>Dapoer hamasah</t>
  </si>
  <si>
    <t>Frozen food</t>
  </si>
  <si>
    <t>62811955059</t>
  </si>
  <si>
    <t>kota Bandung</t>
  </si>
  <si>
    <t>120231476762700694</t>
  </si>
  <si>
    <t>ORD-769</t>
  </si>
  <si>
    <t>Nia Badriah</t>
  </si>
  <si>
    <t>Pijat Tunanetra Bersertifikat Badriah Ceria</t>
  </si>
  <si>
    <t>Pijat Panggilan Khusus Customer Perempuan</t>
  </si>
  <si>
    <t>6285864550854</t>
  </si>
  <si>
    <t>120231476779270694</t>
  </si>
  <si>
    <t>ORD-770</t>
  </si>
  <si>
    <t>putra</t>
  </si>
  <si>
    <t>Putra kontraktor waterproofing</t>
  </si>
  <si>
    <t>waterproofing</t>
  </si>
  <si>
    <t>6281212231218</t>
  </si>
  <si>
    <t>membran bakar/waterproofing, injeksi tembok,epoxy lantai</t>
  </si>
  <si>
    <t>120232467432460235</t>
  </si>
  <si>
    <t>ORD-771</t>
  </si>
  <si>
    <t>120231436663390694</t>
  </si>
  <si>
    <t>ORD-772</t>
  </si>
  <si>
    <t>Piramsi</t>
  </si>
  <si>
    <t>Cipta karya mandiri</t>
  </si>
  <si>
    <t>aplikator waterproofing / jasa anti bocor bangunan beton</t>
  </si>
  <si>
    <t>6285788382935</t>
  </si>
  <si>
    <t>jasa waterproofing anti bocor,bagunan beton</t>
  </si>
  <si>
    <t>bali lampung jakarta</t>
  </si>
  <si>
    <t>120232552932910235</t>
  </si>
  <si>
    <t>ORD-773</t>
  </si>
  <si>
    <t>Agus H</t>
  </si>
  <si>
    <t>JJ Disgn Interior dan sipil</t>
  </si>
  <si>
    <t>Jasa Properti dan Interior</t>
  </si>
  <si>
    <t>6289637761233</t>
  </si>
  <si>
    <t>30 tahun ke atas</t>
  </si>
  <si>
    <t>120232467388430235</t>
  </si>
  <si>
    <t>ORD-774</t>
  </si>
  <si>
    <t>A Syahroni</t>
  </si>
  <si>
    <t>RAYTRANS</t>
  </si>
  <si>
    <t>Travel Atau Sewa Hiace</t>
  </si>
  <si>
    <t>6281381118500</t>
  </si>
  <si>
    <t>17-55 th</t>
  </si>
  <si>
    <t>120231472379340694</t>
  </si>
  <si>
    <t>ORD-776</t>
  </si>
  <si>
    <t>Jamal</t>
  </si>
  <si>
    <t>Nunce Gemilang Transport (NGT)</t>
  </si>
  <si>
    <t>Transportasi Darat (Travel)</t>
  </si>
  <si>
    <t>6285787104091</t>
  </si>
  <si>
    <t>Samboja, Ikn, Balikpapan, Penajam, Gerogot, Muara Jawa, Samarinda, Tenggarong, Bontang.</t>
  </si>
  <si>
    <t>120231472384240694</t>
  </si>
  <si>
    <t>ORD-777</t>
  </si>
  <si>
    <t>ORD-778</t>
  </si>
  <si>
    <t>ORD-779</t>
  </si>
  <si>
    <t>ORD-780</t>
  </si>
  <si>
    <t>Iwan Saputra</t>
  </si>
  <si>
    <t>Terapi Kretek (Bone Setting)</t>
  </si>
  <si>
    <t>6285771466144</t>
  </si>
  <si>
    <t>Klapanunggal</t>
  </si>
  <si>
    <t>120231472406770694</t>
  </si>
  <si>
    <t>ORD-781</t>
  </si>
  <si>
    <t>Yasa Santiana</t>
  </si>
  <si>
    <t>Bungsu Raja Steel</t>
  </si>
  <si>
    <t>Bengkel las listrik</t>
  </si>
  <si>
    <t>6282130257988</t>
  </si>
  <si>
    <t>Menerima Pemasangan</t>
  </si>
  <si>
    <t>Bandung Cimahi</t>
  </si>
  <si>
    <t>20 tahun ke atas</t>
  </si>
  <si>
    <t>120232462651160235</t>
  </si>
  <si>
    <t>ORD-782</t>
  </si>
  <si>
    <t>Hendra</t>
  </si>
  <si>
    <t>Auto dingin solo</t>
  </si>
  <si>
    <t>Auto dingin service AC no 1 solo, auto dingin - jasa cuci AC solo</t>
  </si>
  <si>
    <t>6285600822636</t>
  </si>
  <si>
    <t>solo raya dan sekitarnya</t>
  </si>
  <si>
    <t>120231705596250694</t>
  </si>
  <si>
    <t>ORD-783</t>
  </si>
  <si>
    <t>H. Tarmuji</t>
  </si>
  <si>
    <t>HT KACAMATA</t>
  </si>
  <si>
    <t>jual kacamata</t>
  </si>
  <si>
    <t>6285655300070</t>
  </si>
  <si>
    <t>sedia lensa baca/plus,lensa minus, servis kacamata,Fram</t>
  </si>
  <si>
    <t>120231623508840694</t>
  </si>
  <si>
    <t>ORD-784</t>
  </si>
  <si>
    <t>Andreas</t>
  </si>
  <si>
    <t>Diva Teknik AC</t>
  </si>
  <si>
    <t>Service AC</t>
  </si>
  <si>
    <t>6285338058843</t>
  </si>
  <si>
    <t>jasa pasang AC, bongkar pasang AC, instalasi pipa AC di proyek service/cuci, ganti sperpat AC mati/ eror, mengatasi AC bocor freon</t>
  </si>
  <si>
    <t>jalan paku sari3a Denpasar</t>
  </si>
  <si>
    <t>120231472401420694</t>
  </si>
  <si>
    <t>ORD-785</t>
  </si>
  <si>
    <t>ORD-787</t>
  </si>
  <si>
    <t>M Irwan</t>
  </si>
  <si>
    <t>Bangun kreasi Bontang</t>
  </si>
  <si>
    <t>6281223735839</t>
  </si>
  <si>
    <t>Melayani Pemasangan</t>
  </si>
  <si>
    <t>Kota Bontang, Sagata/Kutai Timur</t>
  </si>
  <si>
    <t>120232569625710235</t>
  </si>
  <si>
    <t>ORD-789</t>
  </si>
  <si>
    <t>Berkah teknik pendingin</t>
  </si>
  <si>
    <t>SERVICE AC</t>
  </si>
  <si>
    <t>120231548383330694</t>
  </si>
  <si>
    <t>ORD-790</t>
  </si>
  <si>
    <t>ORD-791</t>
  </si>
  <si>
    <t>Fitri Priyanti</t>
  </si>
  <si>
    <t>HDG Trip Planner &amp; Event Organizer</t>
  </si>
  <si>
    <t>Travel &amp; EO (mengatur perjalanan)</t>
  </si>
  <si>
    <t>6282217300224</t>
  </si>
  <si>
    <t>120231548388720694</t>
  </si>
  <si>
    <t>ORD-793</t>
  </si>
  <si>
    <t>Nurdin</t>
  </si>
  <si>
    <t>PT Lehor Megah Jaya Kontruksi</t>
  </si>
  <si>
    <t>Kontraktor Bangunan dan Renovasi Gudang Ruko dll</t>
  </si>
  <si>
    <t>6281222895502</t>
  </si>
  <si>
    <t>Jabodetabek Jawa Barat</t>
  </si>
  <si>
    <t>120232569653340235</t>
  </si>
  <si>
    <t>ORD-794</t>
  </si>
  <si>
    <t>ORD-797</t>
  </si>
  <si>
    <t>Sugeng Widodo</t>
  </si>
  <si>
    <t>Susu Kambing Etawa Gomilku</t>
  </si>
  <si>
    <t>Susu</t>
  </si>
  <si>
    <t>6285645712595</t>
  </si>
  <si>
    <t>Madiun, Magetan, Pacitan, Ngawi, Nganjuk, Ponorogo.</t>
  </si>
  <si>
    <t>1 th ke atas</t>
  </si>
  <si>
    <t>120231548386570694</t>
  </si>
  <si>
    <t>ORD-798</t>
  </si>
  <si>
    <t>ORD-799</t>
  </si>
  <si>
    <t>ORD-800</t>
  </si>
  <si>
    <t>ORD-801</t>
  </si>
  <si>
    <t>Muhammad Eko</t>
  </si>
  <si>
    <t>Rayyan Interior Pekanbaru</t>
  </si>
  <si>
    <t>6285375555590</t>
  </si>
  <si>
    <t>Pekanbaru/Riau</t>
  </si>
  <si>
    <t>28 th ke atas</t>
  </si>
  <si>
    <t>120232569679620235</t>
  </si>
  <si>
    <t>ORD-803</t>
  </si>
  <si>
    <t>Aep Sunendar SH MH</t>
  </si>
  <si>
    <t>PO TARUNA GALUH UTAMA</t>
  </si>
  <si>
    <t>Bus pariwisata</t>
  </si>
  <si>
    <t>6281222200099</t>
  </si>
  <si>
    <t>Angkutan bus pariwisata</t>
  </si>
  <si>
    <t>Jawabarat DKI dan Banten</t>
  </si>
  <si>
    <t>Tidak terhingga</t>
  </si>
  <si>
    <t>120231548394590694</t>
  </si>
  <si>
    <t>ORD-804</t>
  </si>
  <si>
    <t>Mas Andik</t>
  </si>
  <si>
    <t>Karya Mandiri</t>
  </si>
  <si>
    <t>6285225512004</t>
  </si>
  <si>
    <t>120232569685040235</t>
  </si>
  <si>
    <t>ORD-805</t>
  </si>
  <si>
    <t>Anis Joko Marsono</t>
  </si>
  <si>
    <t>Putra Mandiri Contractor</t>
  </si>
  <si>
    <t>Kontraktor Perumahan</t>
  </si>
  <si>
    <t>6281281230009</t>
  </si>
  <si>
    <t>17-65 th</t>
  </si>
  <si>
    <t>120233488790310235</t>
  </si>
  <si>
    <t>ORD-806</t>
  </si>
  <si>
    <t>Anto</t>
  </si>
  <si>
    <t>adhidezign.com</t>
  </si>
  <si>
    <t>Jasa pembuatan desain Logo, Brosure, Company Profile dll</t>
  </si>
  <si>
    <t>6285719003688</t>
  </si>
  <si>
    <t>Semua (All)</t>
  </si>
  <si>
    <t>120231548401010694</t>
  </si>
  <si>
    <t>ORD-807</t>
  </si>
  <si>
    <t>Yulianto</t>
  </si>
  <si>
    <t>CV. Arthamas Graha</t>
  </si>
  <si>
    <t>Jasa kontraktor bangunan</t>
  </si>
  <si>
    <t>6281328881949</t>
  </si>
  <si>
    <t>Banyumas, Purbalingga</t>
  </si>
  <si>
    <t>30-55</t>
  </si>
  <si>
    <t>120232600118300235</t>
  </si>
  <si>
    <t>Endang</t>
  </si>
  <si>
    <t>Segar bugar heritage</t>
  </si>
  <si>
    <t>pijat relaksasi keluarga</t>
  </si>
  <si>
    <t>6281262080126</t>
  </si>
  <si>
    <t>Citra indah city, Jonggol,dan Cibarusah</t>
  </si>
  <si>
    <t>30-60 tahun</t>
  </si>
  <si>
    <t>120231580940900694</t>
  </si>
  <si>
    <t>Yana</t>
  </si>
  <si>
    <t>Rahma Jaya Solusindo</t>
  </si>
  <si>
    <t>Kontraktor (renovasi rumah &amp; bangun baru)</t>
  </si>
  <si>
    <t>6285776131462</t>
  </si>
  <si>
    <t>120232526299400235</t>
  </si>
  <si>
    <t>ORD-808</t>
  </si>
  <si>
    <t>Agus Gunadi</t>
  </si>
  <si>
    <t>Pijat Tradisional &amp; Totok Syaraf Kang Agus</t>
  </si>
  <si>
    <t>Kesehatan &amp; Kebugaran</t>
  </si>
  <si>
    <t>6281317409433</t>
  </si>
  <si>
    <t>120231575973100694</t>
  </si>
  <si>
    <t>ORD-809</t>
  </si>
  <si>
    <t>Riko</t>
  </si>
  <si>
    <t>Bintang Cahaya Interior (BCI)</t>
  </si>
  <si>
    <t>Plafon PVC dan baja ringan serta kelengkapan interior</t>
  </si>
  <si>
    <t>6287885910719</t>
  </si>
  <si>
    <t>Provinsi Banten</t>
  </si>
  <si>
    <t>120232600058110235</t>
  </si>
  <si>
    <t>ORD-810</t>
  </si>
  <si>
    <t>Kontraktor Kolam Renang</t>
  </si>
  <si>
    <t>ORD-811</t>
  </si>
  <si>
    <t>Leo</t>
  </si>
  <si>
    <t>Satria Jaya Teknik</t>
  </si>
  <si>
    <t>jasa pengeboran air dan service pompa air jakarta</t>
  </si>
  <si>
    <t>6281283204192</t>
  </si>
  <si>
    <t>Jakarta Selatan, Jakarta Pusat, Jakarta Barat, Jakarta Timur</t>
  </si>
  <si>
    <t>120232600073020235</t>
  </si>
  <si>
    <t>ORD-812</t>
  </si>
  <si>
    <t>Jakarta Tangerang (Banten)</t>
  </si>
  <si>
    <t>120232600082980235</t>
  </si>
  <si>
    <t>ORD-813</t>
  </si>
  <si>
    <t>30-Agust-2025</t>
  </si>
  <si>
    <t>ORD-814</t>
  </si>
  <si>
    <t>ORD-815</t>
  </si>
  <si>
    <t>ORD-816</t>
  </si>
  <si>
    <t>Mulyadi</t>
  </si>
  <si>
    <t>Bambo Rumpin Squad</t>
  </si>
  <si>
    <t>Distributor Gazebo &amp; Rumah Bambu</t>
  </si>
  <si>
    <t>6282110903007</t>
  </si>
  <si>
    <t>120232665941790235</t>
  </si>
  <si>
    <t>ORD-817</t>
  </si>
  <si>
    <t>ORD-818</t>
  </si>
  <si>
    <t>Ayni</t>
  </si>
  <si>
    <t>Lucas Salon</t>
  </si>
  <si>
    <t>6287835601400</t>
  </si>
  <si>
    <t>Area Pringgolayan Banguntapan Bantul Jogjakarta</t>
  </si>
  <si>
    <t>120233169858540200</t>
  </si>
  <si>
    <t>ORD-819</t>
  </si>
  <si>
    <t>Ilmishanum Berkah</t>
  </si>
  <si>
    <t>Kontruksi bangunan/Renovasi rumah dan bikin rumah dari nol</t>
  </si>
  <si>
    <t>6285742130079</t>
  </si>
  <si>
    <t>Kedung Waringin dan Cikarang</t>
  </si>
  <si>
    <t>20 ke atas</t>
  </si>
  <si>
    <t>120232665946130235</t>
  </si>
  <si>
    <t>ORD-820</t>
  </si>
  <si>
    <t>PT Wastu Konstruksi</t>
  </si>
  <si>
    <t>Jasa Bangun Dan Renovasi</t>
  </si>
  <si>
    <t>628562882464</t>
  </si>
  <si>
    <t>Jasa Bangun Renovasi Rumah, Ruko, Kos kosan. Spesialis Bangun Kos-Kosan Mode hemat</t>
  </si>
  <si>
    <t>Kota Yogyakarta</t>
  </si>
  <si>
    <t>120232737541400235</t>
  </si>
  <si>
    <t>ORD-821</t>
  </si>
  <si>
    <t>Nasran Nasir</t>
  </si>
  <si>
    <t>Sehat Holistik Alfathan &amp; Homecare</t>
  </si>
  <si>
    <t>6285243442275</t>
  </si>
  <si>
    <t>Sleman, Jogja</t>
  </si>
  <si>
    <t>14-70 th</t>
  </si>
  <si>
    <t>ORD-822</t>
  </si>
  <si>
    <t>6287888330007</t>
  </si>
  <si>
    <t>120231705615490694</t>
  </si>
  <si>
    <t>ORD-823</t>
  </si>
  <si>
    <t>Rikson</t>
  </si>
  <si>
    <t>Pandawa massage and refleksi</t>
  </si>
  <si>
    <t>Usaha pijat dan refleksi</t>
  </si>
  <si>
    <t>bayi sampai lansia</t>
  </si>
  <si>
    <t>120231705644050694</t>
  </si>
  <si>
    <t>ORD-824</t>
  </si>
  <si>
    <t>Sihono/Gondrong</t>
  </si>
  <si>
    <t>MUB Pangkalanbun</t>
  </si>
  <si>
    <t>Pembuatan Rumah</t>
  </si>
  <si>
    <t>6281351572278</t>
  </si>
  <si>
    <t>Kalimantan Tengah, Bali, Jawa</t>
  </si>
  <si>
    <t>120232737521140235</t>
  </si>
  <si>
    <t>ORD-825</t>
  </si>
  <si>
    <t>ORD-826</t>
  </si>
  <si>
    <t>Nazwan</t>
  </si>
  <si>
    <t>NAZWAN POLL</t>
  </si>
  <si>
    <t>Kontraktor kolam renang</t>
  </si>
  <si>
    <t>6282125057012</t>
  </si>
  <si>
    <t>120232737530780235</t>
  </si>
  <si>
    <t>ORD-827</t>
  </si>
  <si>
    <t>ORD-828</t>
  </si>
  <si>
    <t>ORD-829</t>
  </si>
  <si>
    <t>1-sept-2025</t>
  </si>
  <si>
    <t>ORD-830</t>
  </si>
  <si>
    <t>ORD-831</t>
  </si>
  <si>
    <t>Ibu Selvi</t>
  </si>
  <si>
    <t>Kimora Refleksi Family</t>
  </si>
  <si>
    <t>Jasa Pijat Urut</t>
  </si>
  <si>
    <t>6285242515222</t>
  </si>
  <si>
    <t>Kotaraja, jangkauan dari titik lokasi 5-10 kilometer</t>
  </si>
  <si>
    <t>120231766621200694</t>
  </si>
  <si>
    <t>ORD-832</t>
  </si>
  <si>
    <t>Nendar</t>
  </si>
  <si>
    <t>ANT STUDIO</t>
  </si>
  <si>
    <t>628112000639</t>
  </si>
  <si>
    <t>120232807513060235</t>
  </si>
  <si>
    <t>ORD-833</t>
  </si>
  <si>
    <t>Rifa'i</t>
  </si>
  <si>
    <t>Spesialis Atap Bocor</t>
  </si>
  <si>
    <t>Jasa Renovasi Rumah</t>
  </si>
  <si>
    <t>6285888851587</t>
  </si>
  <si>
    <t>Melayani Spesialis Atap Bocor, Perbaikan Dak Rembes, Jasa Renovasi Rumah/ Bangun Baru Rumah Ruko, Kos Kosan, Kontrakan, Dll</t>
  </si>
  <si>
    <t>Kota Bekasi, Depok, Bogor, Dan sekitarnya</t>
  </si>
  <si>
    <t>120232807517300235</t>
  </si>
  <si>
    <t>ORD-834</t>
  </si>
  <si>
    <t>Rokim Almunium</t>
  </si>
  <si>
    <t>Pemasangan Kaca &amp; Almunium</t>
  </si>
  <si>
    <t>120240083042210235</t>
  </si>
  <si>
    <t>ORD-836</t>
  </si>
  <si>
    <t>ORD-837</t>
  </si>
  <si>
    <t>Trisno/ Agus Rizal Hotmix</t>
  </si>
  <si>
    <t>CV Abu putra mandiri</t>
  </si>
  <si>
    <t>Pengaspalan Jalan</t>
  </si>
  <si>
    <t>6285353523822</t>
  </si>
  <si>
    <t>Layanan kami</t>
  </si>
  <si>
    <t>Cianjur, Sukabumi, Bandung, Bogor, Tangerang Dll</t>
  </si>
  <si>
    <t>120232807524150235</t>
  </si>
  <si>
    <t>ORD-838</t>
  </si>
  <si>
    <t>ORD-839</t>
  </si>
  <si>
    <t>Herry</t>
  </si>
  <si>
    <t>Jasa kontruksi manado</t>
  </si>
  <si>
    <t>6281543128320</t>
  </si>
  <si>
    <t>Manado, Sulawesi Utara dan Indonesia timur</t>
  </si>
  <si>
    <t>120232807531960235</t>
  </si>
  <si>
    <t>ORD-840</t>
  </si>
  <si>
    <t>karanganyar, solo, sukoharjo, wonogiri</t>
  </si>
  <si>
    <t>120232807548110235</t>
  </si>
  <si>
    <t>ORD-841</t>
  </si>
  <si>
    <t>ORD-842</t>
  </si>
  <si>
    <t>ORD-843</t>
  </si>
  <si>
    <t>Pancaka Setiadi</t>
  </si>
  <si>
    <t>Dicta Design &amp; Build</t>
  </si>
  <si>
    <t>Kontraktor &amp; Konsultan</t>
  </si>
  <si>
    <t>628129696801</t>
  </si>
  <si>
    <t>25 th ke</t>
  </si>
  <si>
    <t>120232926633120235</t>
  </si>
  <si>
    <t>ORD-844</t>
  </si>
  <si>
    <t>Perhiasan Jual Beli Emas</t>
  </si>
  <si>
    <t>Sumatera Utara Kabupaten Langkat dan Kota Medan</t>
  </si>
  <si>
    <t>Daru</t>
  </si>
  <si>
    <t>Kiara trans</t>
  </si>
  <si>
    <t>Sewa mobill all in+ paket wisata</t>
  </si>
  <si>
    <t>6282266469686</t>
  </si>
  <si>
    <t>sewa mobil all in( driver+BBM)</t>
  </si>
  <si>
    <t>120232057839610694</t>
  </si>
  <si>
    <t>ORD-845</t>
  </si>
  <si>
    <t>Imam Rizal</t>
  </si>
  <si>
    <t>Pondok Kayu Custom Furniture</t>
  </si>
  <si>
    <t>628886255082</t>
  </si>
  <si>
    <t>Provinsi DIY</t>
  </si>
  <si>
    <t>120232878027060235</t>
  </si>
  <si>
    <t>ORD-846</t>
  </si>
  <si>
    <t>Hasanuddin</t>
  </si>
  <si>
    <t>Rumah Terapi Samata</t>
  </si>
  <si>
    <t>62895804080442</t>
  </si>
  <si>
    <t>Kabupaten Gowa Sulawesi Selatan</t>
  </si>
  <si>
    <t>120231843946330694</t>
  </si>
  <si>
    <t>ORD-847</t>
  </si>
  <si>
    <t>Daeng ruppa</t>
  </si>
  <si>
    <t>Totok saraf Makassar</t>
  </si>
  <si>
    <t>totok saraf</t>
  </si>
  <si>
    <t>6285341061917</t>
  </si>
  <si>
    <t>seluruh Indonesia (khusunya Indonesia bagian timur)</t>
  </si>
  <si>
    <t>ORD-848</t>
  </si>
  <si>
    <t>Jaja sukarja</t>
  </si>
  <si>
    <t>Rumah terapi dzikir</t>
  </si>
  <si>
    <t>6287838234518</t>
  </si>
  <si>
    <t>Jabodetabek atau lebih luas</t>
  </si>
  <si>
    <t>120231844104280694</t>
  </si>
  <si>
    <t>ORD-849</t>
  </si>
  <si>
    <t>Lukman Nuryadi</t>
  </si>
  <si>
    <t>Faris.Clean</t>
  </si>
  <si>
    <t>Konstruksi dan Renovasi</t>
  </si>
  <si>
    <t>6285741941594</t>
  </si>
  <si>
    <t>Karesidenan Surakarta</t>
  </si>
  <si>
    <t>21-55 tahun</t>
  </si>
  <si>
    <t>120232878042810235</t>
  </si>
  <si>
    <t>ORD-850</t>
  </si>
  <si>
    <t>Bambang harimisjianto</t>
  </si>
  <si>
    <t>Ozay adventure Nusantara</t>
  </si>
  <si>
    <t>tour travel</t>
  </si>
  <si>
    <t>6282229433259</t>
  </si>
  <si>
    <t>120231843997570694</t>
  </si>
  <si>
    <t>ORD-852</t>
  </si>
  <si>
    <t>Sunari</t>
  </si>
  <si>
    <t>Calvina Tour &amp; Travel</t>
  </si>
  <si>
    <t>6282362576312</t>
  </si>
  <si>
    <t>Indonesia atau Malaysia</t>
  </si>
  <si>
    <t>120231844014220694</t>
  </si>
  <si>
    <t>ORD-853</t>
  </si>
  <si>
    <t>Yustinus S</t>
  </si>
  <si>
    <t>Reflexoligi dan body massage</t>
  </si>
  <si>
    <t>Jasa pijat</t>
  </si>
  <si>
    <t>62817308228</t>
  </si>
  <si>
    <t>Pijat facial totok wajah scrub/lulur</t>
  </si>
  <si>
    <t>yogjakarta dan Cirebon</t>
  </si>
  <si>
    <t>120231844024880694</t>
  </si>
  <si>
    <t>ORD-854</t>
  </si>
  <si>
    <t>Rapih</t>
  </si>
  <si>
    <t>Rapih Plafon dan Baja Ringan</t>
  </si>
  <si>
    <t>Aplikator Plafon baja ringan wall molding kitchen seat dll</t>
  </si>
  <si>
    <t>6281323207611</t>
  </si>
  <si>
    <t>Pemasangan plafon PVC, Gypsum, Baja ringan wall molding dll, melayani pemasangan luar dan dalam kota Palangkaraya Kalteng</t>
  </si>
  <si>
    <t>Luar dan kota Palangkaraya Kalteng</t>
  </si>
  <si>
    <t>35 tahun ke atas</t>
  </si>
  <si>
    <t>120232878064490235</t>
  </si>
  <si>
    <t>ORD-855</t>
  </si>
  <si>
    <t>Sulawesi Barat</t>
  </si>
  <si>
    <t>ORD-856</t>
  </si>
  <si>
    <t>Cepi</t>
  </si>
  <si>
    <t>Disolusi Therapy</t>
  </si>
  <si>
    <t>Layanan jasa pijat dan terapi</t>
  </si>
  <si>
    <t>6285786318640</t>
  </si>
  <si>
    <t>Wilayah terdekat di jakarta delatan radius 10-15 KM</t>
  </si>
  <si>
    <t>120231844056850694</t>
  </si>
  <si>
    <t>ORD-857</t>
  </si>
  <si>
    <t>Kardho</t>
  </si>
  <si>
    <t>Hilal Therapys</t>
  </si>
  <si>
    <t>Pijat Refleksi</t>
  </si>
  <si>
    <t>6287849856444</t>
  </si>
  <si>
    <t>Malang Kota</t>
  </si>
  <si>
    <t>120231844067990694</t>
  </si>
  <si>
    <t>ORD-858</t>
  </si>
  <si>
    <t>120233401356730694</t>
  </si>
  <si>
    <t>ORD-859</t>
  </si>
  <si>
    <t>Budi Wijaya</t>
  </si>
  <si>
    <t>Terapi sehat Qur'ani dan kretek zamatera</t>
  </si>
  <si>
    <t>Penyehat tradisional</t>
  </si>
  <si>
    <t>6285384956538</t>
  </si>
  <si>
    <t>Lampung Utara,barat dan way kanan</t>
  </si>
  <si>
    <t>120231844087310694</t>
  </si>
  <si>
    <t>ORD-860</t>
  </si>
  <si>
    <t>ORD-861</t>
  </si>
  <si>
    <t>ORD-862</t>
  </si>
  <si>
    <t>Kholidin</t>
  </si>
  <si>
    <t>Fawaz Thnik</t>
  </si>
  <si>
    <t>Jasa las perbengkelan</t>
  </si>
  <si>
    <t>6287871214170</t>
  </si>
  <si>
    <t>Kecamatan se kabupaten</t>
  </si>
  <si>
    <t>120233003401180235</t>
  </si>
  <si>
    <t>ORD-863</t>
  </si>
  <si>
    <t>Agus Prasetyo</t>
  </si>
  <si>
    <t>Jasa Desain Rumah</t>
  </si>
  <si>
    <t>Desain Rumah</t>
  </si>
  <si>
    <t>6281296182529</t>
  </si>
  <si>
    <t>Jawa Timur, Jawa Tengah</t>
  </si>
  <si>
    <t>ORD-864</t>
  </si>
  <si>
    <t>Tofan Dwi K</t>
  </si>
  <si>
    <t>PT Alfa Mas Sakti</t>
  </si>
  <si>
    <t>Importir mesin-mesin industri, farmasi, food processing</t>
  </si>
  <si>
    <t>6285921481643</t>
  </si>
  <si>
    <t>120231890406560694</t>
  </si>
  <si>
    <t>ORD-865</t>
  </si>
  <si>
    <t>Wiris</t>
  </si>
  <si>
    <t>Wirisvariasi</t>
  </si>
  <si>
    <t>Bengkel Custom Lampu</t>
  </si>
  <si>
    <t>6282242925264</t>
  </si>
  <si>
    <t>Jepara, Demak, Kudus, Pati, Rembang, Purwodadi, Blora</t>
  </si>
  <si>
    <t>ORD-866</t>
  </si>
  <si>
    <t>ORD-867</t>
  </si>
  <si>
    <t>120232926660020235</t>
  </si>
  <si>
    <t>ORD-868</t>
  </si>
  <si>
    <t>Wakdo</t>
  </si>
  <si>
    <t>Kretek Wakdo Batam</t>
  </si>
  <si>
    <t>62895614711817</t>
  </si>
  <si>
    <t>120231890435330694</t>
  </si>
  <si>
    <t>ORD-869</t>
  </si>
  <si>
    <t>Asep Denny</t>
  </si>
  <si>
    <t>CV Satria Multi Mandiri</t>
  </si>
  <si>
    <t>6283890485112</t>
  </si>
  <si>
    <t>bandung raya, garut, tasik, purwakarta, cimahi</t>
  </si>
  <si>
    <t>ORD-870</t>
  </si>
  <si>
    <t>Rossy alfan</t>
  </si>
  <si>
    <t>Yolivia wisata</t>
  </si>
  <si>
    <t>Tour and travel</t>
  </si>
  <si>
    <t>6282286608220</t>
  </si>
  <si>
    <t>Spesial promo one day tour Singapore Rp 1.250.000 sampai akhir tahun</t>
  </si>
  <si>
    <t>Riau dan sekitarnya, kepulauan Riau dan sekitarnya, Sumatra dan sekitarnya</t>
  </si>
  <si>
    <t>120231926711890694</t>
  </si>
  <si>
    <t>ORD-871</t>
  </si>
  <si>
    <t>Arya</t>
  </si>
  <si>
    <t>Bali super tour</t>
  </si>
  <si>
    <t>6281558822937</t>
  </si>
  <si>
    <t>Tour dan travel, tour paket, airport transfer</t>
  </si>
  <si>
    <t>Singapore</t>
  </si>
  <si>
    <t>30-50 tahun</t>
  </si>
  <si>
    <t>120231890449630694</t>
  </si>
  <si>
    <t>ORD-872</t>
  </si>
  <si>
    <t>6282318568540</t>
  </si>
  <si>
    <t>120232953207390235</t>
  </si>
  <si>
    <t>ORD-873</t>
  </si>
  <si>
    <t>ORD-874</t>
  </si>
  <si>
    <t>Ade Wawan Koswara</t>
  </si>
  <si>
    <t>Restu buana steell</t>
  </si>
  <si>
    <t>Bidang pintu lipat press pabrikkasi</t>
  </si>
  <si>
    <t>6285272737979</t>
  </si>
  <si>
    <t>pekan baru,siak</t>
  </si>
  <si>
    <t>120232970748790235</t>
  </si>
  <si>
    <t>ORD-875</t>
  </si>
  <si>
    <t>Silva dan riyan</t>
  </si>
  <si>
    <t>Ranu Wijaya consultant</t>
  </si>
  <si>
    <t>arcitech and build</t>
  </si>
  <si>
    <t>62895420142524</t>
  </si>
  <si>
    <t>Jawabarat dan Jabodetabek</t>
  </si>
  <si>
    <t>120232970755700235</t>
  </si>
  <si>
    <t>ORD-876</t>
  </si>
  <si>
    <t>Alimudin</t>
  </si>
  <si>
    <t>Terapis Indonesia</t>
  </si>
  <si>
    <t>terapi jari petir,terapi sendok, ruqyah</t>
  </si>
  <si>
    <t>6281341637566</t>
  </si>
  <si>
    <t>120232112981010694</t>
  </si>
  <si>
    <t>ORD-878</t>
  </si>
  <si>
    <t>Ni Luh Kumarastini</t>
  </si>
  <si>
    <t>24-78 th</t>
  </si>
  <si>
    <t>120231890469390694</t>
  </si>
  <si>
    <t>ORD-879</t>
  </si>
  <si>
    <t>6283890485123</t>
  </si>
  <si>
    <t>120232956546570235</t>
  </si>
  <si>
    <t>ORD-880</t>
  </si>
  <si>
    <t>120231926759280694</t>
  </si>
  <si>
    <t>ORD-883</t>
  </si>
  <si>
    <t>Soeparno</t>
  </si>
  <si>
    <t>PT Berkah Wisata Alharamain</t>
  </si>
  <si>
    <t>Haji &amp; Umroh</t>
  </si>
  <si>
    <t>6285654251369</t>
  </si>
  <si>
    <t>Travel Umroh Dan Haji</t>
  </si>
  <si>
    <t>120231926769840694</t>
  </si>
  <si>
    <t>ORD-884</t>
  </si>
  <si>
    <t>Yayan Taryana</t>
  </si>
  <si>
    <t>Bisalagi Bekam &amp; Pijat Stroke</t>
  </si>
  <si>
    <t>Jasa Terapi</t>
  </si>
  <si>
    <t>6285600287735</t>
  </si>
  <si>
    <t>Bandung, Kab Bandung radius 10km</t>
  </si>
  <si>
    <t>120231950640710694</t>
  </si>
  <si>
    <t>ORD-885</t>
  </si>
  <si>
    <t>Gede Suadnyana SE.MM</t>
  </si>
  <si>
    <t>Suras Bali Tour and Adventure</t>
  </si>
  <si>
    <t>Jasa Pariwisata</t>
  </si>
  <si>
    <t>6285280808856</t>
  </si>
  <si>
    <t>Europa, Australian, Indian, dan Timor Tengah</t>
  </si>
  <si>
    <t>120231950649510694</t>
  </si>
  <si>
    <t>ORD-887</t>
  </si>
  <si>
    <t>suroto</t>
  </si>
  <si>
    <t>Andalan group</t>
  </si>
  <si>
    <t>kontraktor, arsitek, interior</t>
  </si>
  <si>
    <t>6285602235618</t>
  </si>
  <si>
    <t>melayani, kontraktor, arsitek, interior</t>
  </si>
  <si>
    <t>magetan, ponorogo, madiun, ngawi</t>
  </si>
  <si>
    <t>120233021997770235</t>
  </si>
  <si>
    <t>ORD-888</t>
  </si>
  <si>
    <t>agus</t>
  </si>
  <si>
    <t>CAHAYA GEMILANG</t>
  </si>
  <si>
    <t>PIJAT</t>
  </si>
  <si>
    <t>6287722264777</t>
  </si>
  <si>
    <t>pijat tradisional, kretek2 reposisi tulang belakang dan sendi dan fisio terapi</t>
  </si>
  <si>
    <t>Mojokerto dan Jombang</t>
  </si>
  <si>
    <t>120231950656090694</t>
  </si>
  <si>
    <t>ORD-889</t>
  </si>
  <si>
    <t>ORD-890</t>
  </si>
  <si>
    <t>AJP Adi Jaya Plafon</t>
  </si>
  <si>
    <t>Plafon</t>
  </si>
  <si>
    <t>Watukumpul, Pemalang, Pekalongan, Purbalingga, Batang, Jawa Tengah</t>
  </si>
  <si>
    <t>120233003402740235</t>
  </si>
  <si>
    <t>ORD-891</t>
  </si>
  <si>
    <t>Resi Pratiwi</t>
  </si>
  <si>
    <t>Taman Nyingkur Camping Ground Rahang</t>
  </si>
  <si>
    <t>Camping Ground, Rafting, Paintball, ATV, Offroad</t>
  </si>
  <si>
    <t>62881022356673</t>
  </si>
  <si>
    <t>anak dan dewasa</t>
  </si>
  <si>
    <t>120231988179110694</t>
  </si>
  <si>
    <t>ORD-892</t>
  </si>
  <si>
    <t>ORD-893</t>
  </si>
  <si>
    <t>Lemah Abang</t>
  </si>
  <si>
    <t>120233022015300235</t>
  </si>
  <si>
    <t>ORD-894</t>
  </si>
  <si>
    <t>Jakarta Selatan, Jakarta Pusat</t>
  </si>
  <si>
    <t>Sulton</t>
  </si>
  <si>
    <t>Bekam Panggilan</t>
  </si>
  <si>
    <t>Bekam</t>
  </si>
  <si>
    <t>6283149477297</t>
  </si>
  <si>
    <t>jasa bekam panggilan</t>
  </si>
  <si>
    <t>Malang</t>
  </si>
  <si>
    <t>Laki-laki dan perempuan</t>
  </si>
  <si>
    <t>120232057862510694</t>
  </si>
  <si>
    <t>Sony sundoyo</t>
  </si>
  <si>
    <t>Ramayana tour's and travel</t>
  </si>
  <si>
    <t>Biro perjalanan wisata</t>
  </si>
  <si>
    <t>6281249008778</t>
  </si>
  <si>
    <t>25-65 tahun</t>
  </si>
  <si>
    <t>120232057868100694</t>
  </si>
  <si>
    <t>ORD-895</t>
  </si>
  <si>
    <t>Mr latul</t>
  </si>
  <si>
    <t>Jasa badut sulap MC Mr latul batam</t>
  </si>
  <si>
    <t>Jasa hiburan ulang tahun anak</t>
  </si>
  <si>
    <t>6282391199993</t>
  </si>
  <si>
    <t>Jasa badut sulap sekalian MC untuk acara ulang tahun anak, anniversary, grand opening di rumah, sekolah, mall, hotel, kafe, dll.</t>
  </si>
  <si>
    <t>Kota Batam Kepri</t>
  </si>
  <si>
    <t>25 tahun keatas</t>
  </si>
  <si>
    <t>120232057843080694</t>
  </si>
  <si>
    <t>ORD-896</t>
  </si>
  <si>
    <t>ORD-897</t>
  </si>
  <si>
    <t>ORD-899</t>
  </si>
  <si>
    <t>CV zhafira pool</t>
  </si>
  <si>
    <t>Proyek kolam renang dan renovasi perawatan kolam renang</t>
  </si>
  <si>
    <t>ORD-900</t>
  </si>
  <si>
    <t>Pengobatan Alternatif Medis &amp; Non Medis Medy Raden Mas</t>
  </si>
  <si>
    <t>Majalengka, Cirebon, Kuningan, Indramayu</t>
  </si>
  <si>
    <t>ORD-901</t>
  </si>
  <si>
    <t>Fadila</t>
  </si>
  <si>
    <t>Fadila Terapi</t>
  </si>
  <si>
    <t>6281460494182</t>
  </si>
  <si>
    <t>Kuningan, Cirebon, Majalengka, Jawa Tengah, Indramayu</t>
  </si>
  <si>
    <t>120232057881990694</t>
  </si>
  <si>
    <t>ORD-902</t>
  </si>
  <si>
    <t>Terapi Ala Al-Qur'an Cepat Ilmiah Alamiah Ilahiah</t>
  </si>
  <si>
    <t>Palembang dan Sekitarnya</t>
  </si>
  <si>
    <t>Bayi sampai Tua</t>
  </si>
  <si>
    <t>120232112937950694</t>
  </si>
  <si>
    <t>ORD-903</t>
  </si>
  <si>
    <t>Senerdin</t>
  </si>
  <si>
    <t>PT Zahiraindo Multi Kreasi</t>
  </si>
  <si>
    <t>Contruksi Bangunan</t>
  </si>
  <si>
    <t>6282393369967</t>
  </si>
  <si>
    <t>Contruksi, Interior, &amp; Exterior</t>
  </si>
  <si>
    <t>ORD-904</t>
  </si>
  <si>
    <t>Zubair</t>
  </si>
  <si>
    <t>PT global wisata travelindo cab Makassar</t>
  </si>
  <si>
    <t>Travel umrah dan haji plus</t>
  </si>
  <si>
    <t>6281355662725</t>
  </si>
  <si>
    <t>Sulawesi,Maluku,dan Papua</t>
  </si>
  <si>
    <t>18-65 tahun</t>
  </si>
  <si>
    <t>120232112944700694</t>
  </si>
  <si>
    <t>ORD-905</t>
  </si>
  <si>
    <t>Nakamura Massage</t>
  </si>
  <si>
    <t>Massage Panggilan</t>
  </si>
  <si>
    <t>6282220371971</t>
  </si>
  <si>
    <t>120232112958060694</t>
  </si>
  <si>
    <t>ORD-906</t>
  </si>
  <si>
    <t>Wisnu bintoro</t>
  </si>
  <si>
    <t>Refleksi jitu sumber sehat</t>
  </si>
  <si>
    <t>6282280771367 6282280771367</t>
  </si>
  <si>
    <t>Lampung Utara barat dan way kanan</t>
  </si>
  <si>
    <t>20- 60 tahun</t>
  </si>
  <si>
    <t>120232057896990694</t>
  </si>
  <si>
    <t>ORD-907</t>
  </si>
  <si>
    <t>Heru Wahyudi</t>
  </si>
  <si>
    <t>Jasa tukang bangunan Pekanbaru dan sekitarnya</t>
  </si>
  <si>
    <t>pembuatan rumah/ renovasi rumah,kos2an, ruko , kolam koi, kolam renang,taman dll</t>
  </si>
  <si>
    <t>6282364480929</t>
  </si>
  <si>
    <t>pembuatan/renovasi rumah,kos2an,kantor ,ruko,kolam koi,kolam renang,taman dll</t>
  </si>
  <si>
    <t>120233176710500235</t>
  </si>
  <si>
    <t>ORD-908</t>
  </si>
  <si>
    <t>Syahuri ( Dery-MHU)</t>
  </si>
  <si>
    <t>Dery MHU tour and travel</t>
  </si>
  <si>
    <t>jasa Haji dan Umroh</t>
  </si>
  <si>
    <t>6281348215665</t>
  </si>
  <si>
    <t>wilayah Kalimantan,( Kalteng,Kalsel,Kalbar, Kaltim)</t>
  </si>
  <si>
    <t>120232112961650694</t>
  </si>
  <si>
    <t>ORD-909</t>
  </si>
  <si>
    <t>Hapidin</t>
  </si>
  <si>
    <t>Tirtagucipools</t>
  </si>
  <si>
    <t>6282111518881</t>
  </si>
  <si>
    <t>jakarta, Jawa Tengah,barat,dan timur, Kalimantan</t>
  </si>
  <si>
    <t>120233176856810235</t>
  </si>
  <si>
    <t>ORD-910</t>
  </si>
  <si>
    <t>Maliki Transport</t>
  </si>
  <si>
    <t>Maliki Transport dan Tour jogja</t>
  </si>
  <si>
    <t>Transportasi dan Wisata Jogja</t>
  </si>
  <si>
    <t>6282135496939</t>
  </si>
  <si>
    <t>Keunggulan</t>
  </si>
  <si>
    <t>se-Indonesia</t>
  </si>
  <si>
    <t>120232159050810694</t>
  </si>
  <si>
    <t>ORD-911</t>
  </si>
  <si>
    <t>Johor Baru dan Indonesia</t>
  </si>
  <si>
    <t>ORD-912</t>
  </si>
  <si>
    <t>Alim</t>
  </si>
  <si>
    <t>Griya Sehat Tabibmu</t>
  </si>
  <si>
    <t>62817164567</t>
  </si>
  <si>
    <t>Kendari, Sulawesi Tenggara</t>
  </si>
  <si>
    <t>120232348562520694</t>
  </si>
  <si>
    <t>ORD-913</t>
  </si>
  <si>
    <t>6282195508557</t>
  </si>
  <si>
    <t>120233100979890235</t>
  </si>
  <si>
    <t>ORD-914</t>
  </si>
  <si>
    <t>Banjarbaru, Martapura, Bati-Bati, Pelaihari, Liang anggang, dan Tanah bumbu</t>
  </si>
  <si>
    <t>ORD-915</t>
  </si>
  <si>
    <t>Jumani</t>
  </si>
  <si>
    <t>Travel Antar Lintas Provinsi</t>
  </si>
  <si>
    <t>6285213857442</t>
  </si>
  <si>
    <t>Riau dan Sumatera Utara</t>
  </si>
  <si>
    <t>120232159058340694</t>
  </si>
  <si>
    <t>ORD-916</t>
  </si>
  <si>
    <t>Lisayanti</t>
  </si>
  <si>
    <t>Shinta massage</t>
  </si>
  <si>
    <t>Layanan pijat panggilan 24 jam</t>
  </si>
  <si>
    <t>6282220945171</t>
  </si>
  <si>
    <t>wilayah Jogja,Sleman,Bantul dan sekitarnya</t>
  </si>
  <si>
    <t>120232114255400694</t>
  </si>
  <si>
    <t>ORD-917</t>
  </si>
  <si>
    <t>muchri setiawan</t>
  </si>
  <si>
    <t>Griya Jaya</t>
  </si>
  <si>
    <t>Las &amp; Alumunium</t>
  </si>
  <si>
    <t>6285161653332</t>
  </si>
  <si>
    <t>Tangerang Kabupaten, Tangerang Selatan, Jaksel, Depok, Bogor, Banten, Cisauk</t>
  </si>
  <si>
    <t>120233177046340235</t>
  </si>
  <si>
    <t>ORD-918</t>
  </si>
  <si>
    <t>tri yulianto</t>
  </si>
  <si>
    <t>Adam steel las</t>
  </si>
  <si>
    <t>628990570840</t>
  </si>
  <si>
    <t>kab semarang</t>
  </si>
  <si>
    <t>120233236616540235</t>
  </si>
  <si>
    <t>ORD-919</t>
  </si>
  <si>
    <t>Gus Alif rekso jiwo</t>
  </si>
  <si>
    <t>Pengobatan Tradisional rekso jiwo</t>
  </si>
  <si>
    <t>Pengobatan Tradisional dengan berbagai macam metode sesuai kebutuhan pasien</t>
  </si>
  <si>
    <t>Lokasi Bojong gede</t>
  </si>
  <si>
    <t>22-56 tahun</t>
  </si>
  <si>
    <t>Laki dan perempuan</t>
  </si>
  <si>
    <t>120232250802720694</t>
  </si>
  <si>
    <t>ORD-921</t>
  </si>
  <si>
    <t>ORD-922</t>
  </si>
  <si>
    <t>ORD-923</t>
  </si>
  <si>
    <t>ORD-924</t>
  </si>
  <si>
    <t>ORD-925</t>
  </si>
  <si>
    <t>ORD-926</t>
  </si>
  <si>
    <t>ORD-928</t>
  </si>
  <si>
    <t>Madu Juara (Madu Strong)</t>
  </si>
  <si>
    <t>Se Sulawesi Selatan, Terutama di daerah Luwu Raya</t>
  </si>
  <si>
    <t>dewasa (sudah beristri)</t>
  </si>
  <si>
    <t>120232327591530694</t>
  </si>
  <si>
    <t>ORD-929</t>
  </si>
  <si>
    <t>ORD-930</t>
  </si>
  <si>
    <t>gemolong, Soloraya, Klaten, Jogja</t>
  </si>
  <si>
    <t>ORD-931</t>
  </si>
  <si>
    <t>Irawan</t>
  </si>
  <si>
    <t>mitra jasa bangun</t>
  </si>
  <si>
    <t>jasa bangun rumah dan Tanah kavling</t>
  </si>
  <si>
    <t>jual tanah kavling dan jasa bangun rumah, kantor dan ruko"</t>
  </si>
  <si>
    <t>Gresik, Surabaya Barat, Mojokerto</t>
  </si>
  <si>
    <t>17 +</t>
  </si>
  <si>
    <t>laki" / wanita</t>
  </si>
  <si>
    <t>120233255429340235</t>
  </si>
  <si>
    <t>ORD-932</t>
  </si>
  <si>
    <t>MAC arcitec &amp; contractor</t>
  </si>
  <si>
    <t>kontraktor bangunan dan interior custom</t>
  </si>
  <si>
    <t>6281911256837</t>
  </si>
  <si>
    <t>Cilegon,Serang Banten dan keseluruhan</t>
  </si>
  <si>
    <t>120233255438140235</t>
  </si>
  <si>
    <t>ORD-933</t>
  </si>
  <si>
    <t>Kang Rudi (Imah Meditasi Nusantara)</t>
  </si>
  <si>
    <t>Pelatihan Meditasi Weruh Sakdurunge Winarah Dan pelatihan pengobat alternatif</t>
  </si>
  <si>
    <t>6281338383022</t>
  </si>
  <si>
    <t>Meditasi diri sejati weruh sakdurunge Winarah &amp; Pelatihan Pengobat Alternatif untuk ketenangan batin, kesehatan jiwa raya, serta penyembuhan enerdu alami</t>
  </si>
  <si>
    <t>21-60 tahun</t>
  </si>
  <si>
    <t>120232271942870694</t>
  </si>
  <si>
    <t>ORD-934</t>
  </si>
  <si>
    <t>Joko</t>
  </si>
  <si>
    <t>Veronica Tour and Travel</t>
  </si>
  <si>
    <t>Travel &amp; Rencar</t>
  </si>
  <si>
    <t>6281232743716</t>
  </si>
  <si>
    <t>Malang &amp; Surabaya</t>
  </si>
  <si>
    <t>120232271950980694</t>
  </si>
  <si>
    <t>ORD-935</t>
  </si>
  <si>
    <t>Intra spa</t>
  </si>
  <si>
    <t>6285750574301</t>
  </si>
  <si>
    <t>balik papan</t>
  </si>
  <si>
    <t>5-60 tahun</t>
  </si>
  <si>
    <t>120232271958600694</t>
  </si>
  <si>
    <t>ORD-936</t>
  </si>
  <si>
    <t>Sumanto</t>
  </si>
  <si>
    <t>pijat refleksi seitai duo</t>
  </si>
  <si>
    <t>terapi refleksi</t>
  </si>
  <si>
    <t>6282249145533</t>
  </si>
  <si>
    <t>18 tahun ke atasnya</t>
  </si>
  <si>
    <t>120232271962150694</t>
  </si>
  <si>
    <t>ORD-937</t>
  </si>
  <si>
    <t>Isnawati</t>
  </si>
  <si>
    <t>GZ Transport</t>
  </si>
  <si>
    <t>Transport</t>
  </si>
  <si>
    <t>6281328710760</t>
  </si>
  <si>
    <t>ORD-938</t>
  </si>
  <si>
    <t>Fairuz Arif</t>
  </si>
  <si>
    <t>Shidqia Properti</t>
  </si>
  <si>
    <t>6285792806011</t>
  </si>
  <si>
    <t>Kapling Indah Sragi Siwalan</t>
  </si>
  <si>
    <t>Karisidenan Pekalongan</t>
  </si>
  <si>
    <t>All</t>
  </si>
  <si>
    <t>120233255484140235</t>
  </si>
  <si>
    <t>ORD-939</t>
  </si>
  <si>
    <t>ORD-940</t>
  </si>
  <si>
    <t>Teo Adi</t>
  </si>
  <si>
    <t>Adi Family Kontruksi</t>
  </si>
  <si>
    <t>Jasa Bangun, Renovasi, dan Desain</t>
  </si>
  <si>
    <t>6285136983356</t>
  </si>
  <si>
    <t>DIY, Jawa Tengah</t>
  </si>
  <si>
    <t>120233255495340235</t>
  </si>
  <si>
    <t>ORD-941</t>
  </si>
  <si>
    <t>120233255505180235</t>
  </si>
  <si>
    <t>ORD-942</t>
  </si>
  <si>
    <t>Wendi</t>
  </si>
  <si>
    <t>Wendi Furniture</t>
  </si>
  <si>
    <t>Mebel &amp; Interior</t>
  </si>
  <si>
    <t>6282193434799</t>
  </si>
  <si>
    <t>120233255514250235</t>
  </si>
  <si>
    <t>menjual berbagai list-list Gipsum</t>
  </si>
  <si>
    <t>ORD-943</t>
  </si>
  <si>
    <t>ORD-944</t>
  </si>
  <si>
    <t>ORD-945</t>
  </si>
  <si>
    <t>Fajar</t>
  </si>
  <si>
    <t>Pelangi Gorden</t>
  </si>
  <si>
    <t>Gorden</t>
  </si>
  <si>
    <t>6285245301996</t>
  </si>
  <si>
    <t>Sintang dan Melawi</t>
  </si>
  <si>
    <t>120232327586330694</t>
  </si>
  <si>
    <t>ORD-946</t>
  </si>
  <si>
    <t>Nia Setiawati</t>
  </si>
  <si>
    <t>Bersih Laundry</t>
  </si>
  <si>
    <t>6287822292311</t>
  </si>
  <si>
    <t>Baleendah (radius 1 km)</t>
  </si>
  <si>
    <t>120232327638160694</t>
  </si>
  <si>
    <t>ORD-947</t>
  </si>
  <si>
    <t>Jamaludin</t>
  </si>
  <si>
    <t>Tukang Bangunan Tangerang</t>
  </si>
  <si>
    <t>Jasa Renovasi Rumah dan Bangun Rumah (Kontraktor Jabodetabek &amp; Banten)</t>
  </si>
  <si>
    <t>6289638779870</t>
  </si>
  <si>
    <t>Jabodetabek &amp; Banten</t>
  </si>
  <si>
    <t>120233314082110235</t>
  </si>
  <si>
    <t>ORD-948</t>
  </si>
  <si>
    <t>Sumini Mitro Suwarno</t>
  </si>
  <si>
    <t>Rumah Sehat Tradisional Holistic "AZELA"</t>
  </si>
  <si>
    <t>Kesehatan Tradisional</t>
  </si>
  <si>
    <t>6281316122975</t>
  </si>
  <si>
    <t>Batam, Johor</t>
  </si>
  <si>
    <t>120232475992850694</t>
  </si>
  <si>
    <t>ORD-949</t>
  </si>
  <si>
    <t>Erik Sanjaya</t>
  </si>
  <si>
    <t>CV Sanjaya Group</t>
  </si>
  <si>
    <t>6285237233077</t>
  </si>
  <si>
    <t>Tasikmalaya, Ciamis (Priangan Timur)</t>
  </si>
  <si>
    <t>120233314085430235</t>
  </si>
  <si>
    <t>ORD-950</t>
  </si>
  <si>
    <t>Karisoh</t>
  </si>
  <si>
    <t>Griya Sehat Nyi Elang Sangkar</t>
  </si>
  <si>
    <t>Therapist</t>
  </si>
  <si>
    <t>6283107086952</t>
  </si>
  <si>
    <t>Brebes, Cirebon</t>
  </si>
  <si>
    <t>120232327678110694</t>
  </si>
  <si>
    <t>ORD-951</t>
  </si>
  <si>
    <t>6282225676438</t>
  </si>
  <si>
    <t>120232295891310694</t>
  </si>
  <si>
    <t>ORD-952</t>
  </si>
  <si>
    <t>Raymond Abelto</t>
  </si>
  <si>
    <t>Orlin Teknik</t>
  </si>
  <si>
    <t>6282154770550</t>
  </si>
  <si>
    <t>Banjarmasin. banjarbaru</t>
  </si>
  <si>
    <t>20 tahuan ke atas</t>
  </si>
  <si>
    <t>Laki2 dan Perempuan</t>
  </si>
  <si>
    <t>120233314088480235</t>
  </si>
  <si>
    <t>ORD-953</t>
  </si>
  <si>
    <t>Ujang</t>
  </si>
  <si>
    <t>Ujang Plafon</t>
  </si>
  <si>
    <t>Plafon PVC dan Bengkel Las</t>
  </si>
  <si>
    <t>6282115969323</t>
  </si>
  <si>
    <t>Palangkaraya</t>
  </si>
  <si>
    <t>120233314093810235</t>
  </si>
  <si>
    <t>ORD-954</t>
  </si>
  <si>
    <t>Suwandi</t>
  </si>
  <si>
    <t>CV I.Design Decorative</t>
  </si>
  <si>
    <t>6285278894266</t>
  </si>
  <si>
    <t>Batam Kepulauan Riau</t>
  </si>
  <si>
    <t>ORD-956</t>
  </si>
  <si>
    <t>H.solihin</t>
  </si>
  <si>
    <t>PT MAS ( ma,isyah alam sadaya)</t>
  </si>
  <si>
    <t>kontraktor/ properti</t>
  </si>
  <si>
    <t>6282322433383</t>
  </si>
  <si>
    <t>Cianjur, Sukabumi, bogor ,bandung</t>
  </si>
  <si>
    <t>120233354207270235</t>
  </si>
  <si>
    <t>ORD-957</t>
  </si>
  <si>
    <t>ORD-958</t>
  </si>
  <si>
    <t>GNR INTERIOR LAMPUNG</t>
  </si>
  <si>
    <t>INTERIOR DAN KONTRUKSI</t>
  </si>
  <si>
    <t>6285269882188</t>
  </si>
  <si>
    <t>LAMPUNG</t>
  </si>
  <si>
    <t>18 TAHUN KE ATAS</t>
  </si>
  <si>
    <t>LAKI LAKI DAN PEREMPUAN</t>
  </si>
  <si>
    <t>120233354212950235</t>
  </si>
  <si>
    <t>ORD-959</t>
  </si>
  <si>
    <t>Shiwon bali</t>
  </si>
  <si>
    <t>Bali adventure experience</t>
  </si>
  <si>
    <t>tour and travel</t>
  </si>
  <si>
    <t>6287751068360</t>
  </si>
  <si>
    <t>Bali privat tour</t>
  </si>
  <si>
    <t>120232416385530694</t>
  </si>
  <si>
    <t>ORD-960</t>
  </si>
  <si>
    <t>ORD-961</t>
  </si>
  <si>
    <t>Nur Cholis</t>
  </si>
  <si>
    <t>Oma Property</t>
  </si>
  <si>
    <t>6283824541579</t>
  </si>
  <si>
    <t>Sidoarjo dan Surabaya</t>
  </si>
  <si>
    <t>120233354286310235</t>
  </si>
  <si>
    <t>ORD-962</t>
  </si>
  <si>
    <t>ORD-963</t>
  </si>
  <si>
    <t>Lala</t>
  </si>
  <si>
    <t>Pijat Ayu Sehat88</t>
  </si>
  <si>
    <t>Pijat</t>
  </si>
  <si>
    <t>6285357908485</t>
  </si>
  <si>
    <t>18-75 th</t>
  </si>
  <si>
    <t>120232389378180694</t>
  </si>
  <si>
    <t>ORD-965</t>
  </si>
  <si>
    <t>Jerry</t>
  </si>
  <si>
    <t>Batu Bata Merah Super</t>
  </si>
  <si>
    <t>bahan bangunan</t>
  </si>
  <si>
    <t>6281283416732</t>
  </si>
  <si>
    <t>batu bata merah</t>
  </si>
  <si>
    <t>Jakarta, Tangerang, Bekasi</t>
  </si>
  <si>
    <t>120233354333060235</t>
  </si>
  <si>
    <t>ORD-966</t>
  </si>
  <si>
    <t>NAZWAN POOL</t>
  </si>
  <si>
    <t>ORD-967</t>
  </si>
  <si>
    <t>Sewa Hiace</t>
  </si>
  <si>
    <t>Sewa Hiace Jakarta Timur</t>
  </si>
  <si>
    <t>628179231111</t>
  </si>
  <si>
    <t>120232922156320694</t>
  </si>
  <si>
    <t>ORD-968</t>
  </si>
  <si>
    <t>Ajma</t>
  </si>
  <si>
    <t>AJMA PROPERTY</t>
  </si>
  <si>
    <t>6289678497690</t>
  </si>
  <si>
    <t>Banjarmasin dan sekitarnya</t>
  </si>
  <si>
    <t>120233427893860235</t>
  </si>
  <si>
    <t>ORD-969</t>
  </si>
  <si>
    <t>Riezky Amalia</t>
  </si>
  <si>
    <t>MFZ Studio</t>
  </si>
  <si>
    <t>Arsitektur &amp; Desain Interior</t>
  </si>
  <si>
    <t>6287838501890</t>
  </si>
  <si>
    <t>Desain Arsitektural, Desain Interior, Custom Interior (Kitchen set, bedroom set, kantor, cafe, dll)</t>
  </si>
  <si>
    <t>Batulicin, Kotabaru dan sekitarnya</t>
  </si>
  <si>
    <t>23 tahun ke atas</t>
  </si>
  <si>
    <t>Laki laki dan Perempuan</t>
  </si>
  <si>
    <t>120233375482890235</t>
  </si>
  <si>
    <t>ORD-970</t>
  </si>
  <si>
    <t>Mitra Beton Bengkulu</t>
  </si>
  <si>
    <t>Aneka Ornamen dan Pembetonan</t>
  </si>
  <si>
    <t>6285379989666</t>
  </si>
  <si>
    <t>Kota Bengkulu</t>
  </si>
  <si>
    <t>120233375494480235</t>
  </si>
  <si>
    <t>ORD-971</t>
  </si>
  <si>
    <t>Mustofa</t>
  </si>
  <si>
    <t>Bumi Mas</t>
  </si>
  <si>
    <t>Sipil &amp; Interior</t>
  </si>
  <si>
    <t>6285168611197</t>
  </si>
  <si>
    <t>Gresik Kebomas / Pondok Permata Suci (PPS)</t>
  </si>
  <si>
    <t>120233375505120235</t>
  </si>
  <si>
    <t>ORD-972</t>
  </si>
  <si>
    <t>ORD-973</t>
  </si>
  <si>
    <t>Agung Suprayogi</t>
  </si>
  <si>
    <t>Zaratri cat Grooming</t>
  </si>
  <si>
    <t>Salon Kucing Cirebon</t>
  </si>
  <si>
    <t>6282320232344</t>
  </si>
  <si>
    <t>Semua umur</t>
  </si>
  <si>
    <t>120232476025050694</t>
  </si>
  <si>
    <t>ORD-974</t>
  </si>
  <si>
    <t>Indra Kurniawan</t>
  </si>
  <si>
    <t>Quick service</t>
  </si>
  <si>
    <t>bengkel mobil</t>
  </si>
  <si>
    <t>6287777144455</t>
  </si>
  <si>
    <t>bengkel mobil dengan peralatan yang canggih dan amanah dengan tagline #cepat#murah# bergaransi</t>
  </si>
  <si>
    <t>kota Cilincing,kelapa gading, Plumpang,tj Priok, swasembada</t>
  </si>
  <si>
    <t>26-50 tahun</t>
  </si>
  <si>
    <t>120232416393660694</t>
  </si>
  <si>
    <t>ORD-975</t>
  </si>
  <si>
    <t>Abdul Kadir,Amd tem st</t>
  </si>
  <si>
    <t>istana herbal</t>
  </si>
  <si>
    <t>toko herbal skincare herbal</t>
  </si>
  <si>
    <t>6285255550388</t>
  </si>
  <si>
    <t>sabun wajah wudhu abqa</t>
  </si>
  <si>
    <t>Sulawesi Selatan Sulawesi Tengah Dan Sulawesi tenggara</t>
  </si>
  <si>
    <t>14 - 45 tahun</t>
  </si>
  <si>
    <t>wanita ( berhijab, hijabers)dan cadar</t>
  </si>
  <si>
    <t>120232475988000694</t>
  </si>
  <si>
    <t>ORD-976</t>
  </si>
  <si>
    <t>Nano devano</t>
  </si>
  <si>
    <t>Bintang99 massage</t>
  </si>
  <si>
    <t>massage</t>
  </si>
  <si>
    <t>6281990022760</t>
  </si>
  <si>
    <t>melayani pijat panggilan rumah,kos, kantor, apartemen dan hotel untuk pria</t>
  </si>
  <si>
    <t>jakarta selatan jakarta barat dan pusat</t>
  </si>
  <si>
    <t>pria dewasa</t>
  </si>
  <si>
    <t>120232475966210694</t>
  </si>
  <si>
    <t>ORD-977</t>
  </si>
  <si>
    <t>Rohmat Shodiq</t>
  </si>
  <si>
    <t>Rash Teknik</t>
  </si>
  <si>
    <t>Bengkel las</t>
  </si>
  <si>
    <t>6287761318839</t>
  </si>
  <si>
    <t>Kami Menyediakan solusi terbaik untuk kebutuhan rumah anda, dengan pengalaman dan keahlian di bidang pembuatan berbagai produk</t>
  </si>
  <si>
    <t>Sekitar Wilayah Banten</t>
  </si>
  <si>
    <t>120233427875820235</t>
  </si>
  <si>
    <t>ORD-978</t>
  </si>
  <si>
    <t>Jabar, DKI, Banten (minta area diperdekat)</t>
  </si>
  <si>
    <t>ORD-979</t>
  </si>
  <si>
    <t>Parlindungan</t>
  </si>
  <si>
    <t>PT Raya Cakrawala Andalas</t>
  </si>
  <si>
    <t>Bangun Rumah &amp; Renovasi</t>
  </si>
  <si>
    <t>6281325100200</t>
  </si>
  <si>
    <t>Batam</t>
  </si>
  <si>
    <t>120233427864850235</t>
  </si>
  <si>
    <t>ORD-980</t>
  </si>
  <si>
    <t>ORD-981</t>
  </si>
  <si>
    <t>ORD-983</t>
  </si>
  <si>
    <t>Zuleha</t>
  </si>
  <si>
    <t>Urut sehat bude leha</t>
  </si>
  <si>
    <t>6285375422999</t>
  </si>
  <si>
    <t>ORD-984</t>
  </si>
  <si>
    <t>Ramdan</t>
  </si>
  <si>
    <t>DF Interior</t>
  </si>
  <si>
    <t>Kontraktor Interior Custom</t>
  </si>
  <si>
    <t>6282122386711</t>
  </si>
  <si>
    <t>Melayani Jasa Pembuatan furniture custom rumah, cafe, kantor dsb</t>
  </si>
  <si>
    <t>Jakarta dan Jabodetabek melayani luar jawa</t>
  </si>
  <si>
    <t>120233488791920235</t>
  </si>
  <si>
    <t>ORD-985</t>
  </si>
  <si>
    <t>Sukanto</t>
  </si>
  <si>
    <t>KM Production</t>
  </si>
  <si>
    <t>6285806682200</t>
  </si>
  <si>
    <t>Interior, Booth Stand Pameran</t>
  </si>
  <si>
    <t>Jakarta dan sekitarnya</t>
  </si>
  <si>
    <t>120233488805270235</t>
  </si>
  <si>
    <t>ORD-986</t>
  </si>
  <si>
    <t>Muhammad Rasid</t>
  </si>
  <si>
    <t>Biro teknik D Konstruksi</t>
  </si>
  <si>
    <t>Penyelesaian bangunan dan lainnya (membangun, renovasi, interior dan eksterior gedung dan rumah)</t>
  </si>
  <si>
    <t>6285359314400</t>
  </si>
  <si>
    <t>Membangun dan perawatan gedung dan juga rumah</t>
  </si>
  <si>
    <t>Sumatra Utara, Sumatra Barat, Aceh, Dan Pekanbaru</t>
  </si>
  <si>
    <t>120233488812460235</t>
  </si>
  <si>
    <t>ORD-988</t>
  </si>
  <si>
    <t>BJA Jasa Corlif</t>
  </si>
  <si>
    <t>6288227630708</t>
  </si>
  <si>
    <t>melayani meteran,borongan,sewa,alat.,keunggulan</t>
  </si>
  <si>
    <t>semua wilayah Jawa ,jawa barat,jawa timur,jeteng</t>
  </si>
  <si>
    <t>120233488813750235</t>
  </si>
  <si>
    <t>ORD-989</t>
  </si>
  <si>
    <t>Ade Subagja</t>
  </si>
  <si>
    <t>ARDA JAYA UTAMA</t>
  </si>
  <si>
    <t>pengaspalan &amp; paving block</t>
  </si>
  <si>
    <t>6285218573607</t>
  </si>
  <si>
    <t>120233427900060235</t>
  </si>
  <si>
    <t>ORD-991</t>
  </si>
  <si>
    <t>Kolbin</t>
  </si>
  <si>
    <t>CV Adiyatma Persada</t>
  </si>
  <si>
    <t>Arsitek &amp; Kontraktor</t>
  </si>
  <si>
    <t>6282266152909</t>
  </si>
  <si>
    <t>Jogja, Magelang, Klaten, Purworejo, dan kebumen</t>
  </si>
  <si>
    <t>120233545002040235</t>
  </si>
  <si>
    <t>ORD-992</t>
  </si>
  <si>
    <t>Imam Budiman</t>
  </si>
  <si>
    <t>Travel FBI</t>
  </si>
  <si>
    <t>6281389082618</t>
  </si>
  <si>
    <t>29-60 th</t>
  </si>
  <si>
    <t>120232595968810694</t>
  </si>
  <si>
    <t>ORD-993</t>
  </si>
  <si>
    <t>ORD-995</t>
  </si>
  <si>
    <t>randy</t>
  </si>
  <si>
    <t>konstrukai</t>
  </si>
  <si>
    <t>kota Medan</t>
  </si>
  <si>
    <t>25 - 63</t>
  </si>
  <si>
    <t>laki laki perempuan</t>
  </si>
  <si>
    <t>120233591829950235</t>
  </si>
  <si>
    <t>ORD-996</t>
  </si>
  <si>
    <t>Ikram akbar</t>
  </si>
  <si>
    <t>batako ilham</t>
  </si>
  <si>
    <t>6281256662335</t>
  </si>
  <si>
    <t>120233545005090235</t>
  </si>
  <si>
    <t>ORD-997</t>
  </si>
  <si>
    <t>rumah pijat urat syaraf sehat barokah</t>
  </si>
  <si>
    <t>Pengobatan syaraf tradisional</t>
  </si>
  <si>
    <t>6285233857272</t>
  </si>
  <si>
    <t>solo raya</t>
  </si>
  <si>
    <t>1-70 tahun</t>
  </si>
  <si>
    <t>120232595972470694</t>
  </si>
  <si>
    <t>ORD-998</t>
  </si>
  <si>
    <t>ORD-999</t>
  </si>
  <si>
    <t>ORD-1000</t>
  </si>
  <si>
    <t>ORD-1001</t>
  </si>
  <si>
    <t>ORD-1002</t>
  </si>
  <si>
    <t>Java Bali Trips</t>
  </si>
  <si>
    <t>Tour and y</t>
  </si>
  <si>
    <t>6281318819599</t>
  </si>
  <si>
    <t>Singapore, Australia, Belanda, Germany, Spain, Belgium, Malaysia, US</t>
  </si>
  <si>
    <t>27-65</t>
  </si>
  <si>
    <t>120232551845790694</t>
  </si>
  <si>
    <t>Garasi Kontraktor Indonesia</t>
  </si>
  <si>
    <t>Jasa Konstruksi, Pembangunan rumah, renovasi rumah, ruko, perkantoran, gedung dan interior</t>
  </si>
  <si>
    <t>6285811687779</t>
  </si>
  <si>
    <t>27 tahun keatas</t>
  </si>
  <si>
    <t>120233591839130235</t>
  </si>
  <si>
    <t>Melly</t>
  </si>
  <si>
    <t>MTRIP</t>
  </si>
  <si>
    <t>6281220005953</t>
  </si>
  <si>
    <t>Jakarta, Jawa Barat</t>
  </si>
  <si>
    <t>120232595990950694</t>
  </si>
  <si>
    <t>dedi</t>
  </si>
  <si>
    <t>bengkel las Pasundan</t>
  </si>
  <si>
    <t>pembuatan baja ringan</t>
  </si>
  <si>
    <t>6282193198971</t>
  </si>
  <si>
    <t>semaluku utara</t>
  </si>
  <si>
    <t>15- 70 tahun</t>
  </si>
  <si>
    <t>120233591843880235</t>
  </si>
  <si>
    <t>ORD-1003</t>
  </si>
  <si>
    <t>Beni</t>
  </si>
  <si>
    <t>Interior home desain</t>
  </si>
  <si>
    <t>Penjualan bahan dan jasa</t>
  </si>
  <si>
    <t>6285848731489</t>
  </si>
  <si>
    <t>jual material berikut terpasang</t>
  </si>
  <si>
    <t>kabupaten Karangasem dan sekitarnya</t>
  </si>
  <si>
    <t>15-60 tahun</t>
  </si>
  <si>
    <t>120233591847800235</t>
  </si>
  <si>
    <t>ORD-1005</t>
  </si>
  <si>
    <t>Andi Ardiman</t>
  </si>
  <si>
    <t>CV Muda mulia perkasa (MMP)</t>
  </si>
  <si>
    <t>General Kontraktor</t>
  </si>
  <si>
    <t>6282190655084</t>
  </si>
  <si>
    <t>120233591861870235</t>
  </si>
  <si>
    <t>ORD-1006</t>
  </si>
  <si>
    <t>Luthfi</t>
  </si>
  <si>
    <t>Hakasia project</t>
  </si>
  <si>
    <t>6282142466407</t>
  </si>
  <si>
    <t>Surabaya Gresik Sidoarjo</t>
  </si>
  <si>
    <t>22-60 tahun</t>
  </si>
  <si>
    <t>120233591849790235</t>
  </si>
  <si>
    <t>ORD-1007</t>
  </si>
  <si>
    <t>ORD-1008</t>
  </si>
  <si>
    <t>Ibrahim</t>
  </si>
  <si>
    <t>home interior</t>
  </si>
  <si>
    <t>interior kantor dan rumah</t>
  </si>
  <si>
    <t>6281244854040</t>
  </si>
  <si>
    <t>fokus kerja..interior kantor, toko  seperti partisi, bedrop dinding, meka resepsiionis dan interior rumah ( kitchen set dan kamar tidur)</t>
  </si>
  <si>
    <t>kota kendari, kab konawe, kab kolaka, kab konawe utara, kab. konawe selatan dan kab. bombona.</t>
  </si>
  <si>
    <t>120233591853020235</t>
  </si>
  <si>
    <t>ORD-1009</t>
  </si>
  <si>
    <t>Hartoyo rosad</t>
  </si>
  <si>
    <t>Hariteknik arthabadi</t>
  </si>
  <si>
    <t>6287823423000</t>
  </si>
  <si>
    <t>120233595925480235</t>
  </si>
  <si>
    <t>ORD-1010</t>
  </si>
  <si>
    <t>Apartemen Student Castel</t>
  </si>
  <si>
    <t>Jual Apartemen</t>
  </si>
  <si>
    <t>Seturan</t>
  </si>
  <si>
    <t>120233617275410235</t>
  </si>
  <si>
    <t>ORD-1011</t>
  </si>
  <si>
    <t>Ifan</t>
  </si>
  <si>
    <t>6285788482665</t>
  </si>
  <si>
    <t>Perancis</t>
  </si>
  <si>
    <t>120233110172570694</t>
  </si>
  <si>
    <t>ORD-1012</t>
  </si>
  <si>
    <t>Liki Sakaliou</t>
  </si>
  <si>
    <t>Masilok Fishing Camp</t>
  </si>
  <si>
    <t>Homestay</t>
  </si>
  <si>
    <t>6282311906512</t>
  </si>
  <si>
    <t>Pulau Masilo</t>
  </si>
  <si>
    <t>120232649913880694</t>
  </si>
  <si>
    <t>ORD-1013</t>
  </si>
  <si>
    <t>ORD-1014</t>
  </si>
  <si>
    <t>Indra wadi</t>
  </si>
  <si>
    <t>Sejahtera Bangunan</t>
  </si>
  <si>
    <t>Kontraktor Pembuatan Rumah mewah ruko renovasi dll</t>
  </si>
  <si>
    <t>Pembuatan Rumah Mewah, Ruko, kolam renang dll</t>
  </si>
  <si>
    <t>Provinsi Jambi dan kota jambi</t>
  </si>
  <si>
    <t>120233617290190235</t>
  </si>
  <si>
    <t>ORD-1016</t>
  </si>
  <si>
    <t>Hidayat hadi</t>
  </si>
  <si>
    <t>Hadi bekam</t>
  </si>
  <si>
    <t>Terapis bekam</t>
  </si>
  <si>
    <t>62823332108583</t>
  </si>
  <si>
    <t>Probolinggo sekitarnya</t>
  </si>
  <si>
    <t>120232675266100694</t>
  </si>
  <si>
    <t>ORD-1017</t>
  </si>
  <si>
    <t>Amir</t>
  </si>
  <si>
    <t>PT NKS (Natural Kreasindo Solusi)</t>
  </si>
  <si>
    <t>Jasa Advertising branding dan jasa konstruksi</t>
  </si>
  <si>
    <t>6281802101982</t>
  </si>
  <si>
    <t>Jasa Advertising branding indoor dan outdoor (neon box, shop sign, meja Cs interior design) Maintenance dan renovasi office/gudang jasa konstruksi</t>
  </si>
  <si>
    <t>Area DIY, Kab.Sleman, Kab.Bantul, Kab. Yogyakarta, Kab.Gunubgkidul,Kab.Kulonprogo, Kab.Pruworejo, Kab.Kebumen, Kab.Cilacap, Kab.Surakarta, Kab.Karanganyar, Kab Sukoharjo Solo, Kab.Sragen,Kab.Wonogiri,Kab.Boyolali,Kab.Klaten</t>
  </si>
  <si>
    <t>120233617334270235</t>
  </si>
  <si>
    <t>ORD-1018</t>
  </si>
  <si>
    <t>Alit Gunawan</t>
  </si>
  <si>
    <t>benofon dan viralfon</t>
  </si>
  <si>
    <t>Plafon PVC dan baja ringan</t>
  </si>
  <si>
    <t>6282381329891</t>
  </si>
  <si>
    <t>Lampung sekitarnya</t>
  </si>
  <si>
    <t>120233617335550235</t>
  </si>
  <si>
    <t>ORD-1019</t>
  </si>
  <si>
    <t>said ahmad</t>
  </si>
  <si>
    <t>Aulian furniture</t>
  </si>
  <si>
    <t>6281311406604</t>
  </si>
  <si>
    <t>melayani pembuatan segala macam furniture interior rumah, kitchen set dll</t>
  </si>
  <si>
    <t>kalimantan dan jabodetabek</t>
  </si>
  <si>
    <t>120233545011490235</t>
  </si>
  <si>
    <t>ORD-1020</t>
  </si>
  <si>
    <t>YUCA</t>
  </si>
  <si>
    <t>JURAGAN RUMAH DAN TANAH SENTANI JAYAPURA PAPUA</t>
  </si>
  <si>
    <t>jual beli tanah dan rumah</t>
  </si>
  <si>
    <t>30-60</t>
  </si>
  <si>
    <t>120233617285040235</t>
  </si>
  <si>
    <t>ORD-1021</t>
  </si>
  <si>
    <t>Grand House Interior</t>
  </si>
  <si>
    <t>6281170038881</t>
  </si>
  <si>
    <t>120233617282790235</t>
  </si>
  <si>
    <t>Odang Toel</t>
  </si>
  <si>
    <t>Terapi Toel</t>
  </si>
  <si>
    <t>62881022322099</t>
  </si>
  <si>
    <t>Bandung Jawa Barat</t>
  </si>
  <si>
    <t>120232675271840694</t>
  </si>
  <si>
    <t>ORD-1023</t>
  </si>
  <si>
    <t>Agus Supriyanto</t>
  </si>
  <si>
    <t>Affana Tour and Travel</t>
  </si>
  <si>
    <t>6282225676546</t>
  </si>
  <si>
    <t>Jogjakarta, Jawa Tengah Bagian Selatan</t>
  </si>
  <si>
    <t>120232697827460694</t>
  </si>
  <si>
    <t>ORD-1024</t>
  </si>
  <si>
    <t>Vonny</t>
  </si>
  <si>
    <t>PDLM Fashion Institute</t>
  </si>
  <si>
    <t>Lembaga Kursus Fashion Mode</t>
  </si>
  <si>
    <t>6282110222282</t>
  </si>
  <si>
    <t>BSD, Gading Serpong dan Sekitarnya</t>
  </si>
  <si>
    <t>10-30 th</t>
  </si>
  <si>
    <t>120232697830740694</t>
  </si>
  <si>
    <t>ORD-1025</t>
  </si>
  <si>
    <t>ORD-1026</t>
  </si>
  <si>
    <t>Demak, Ungaran, Salatiga, Ambarawa, Kendal</t>
  </si>
  <si>
    <t>ORD-1027</t>
  </si>
  <si>
    <t>ORD-1028</t>
  </si>
  <si>
    <t>ORD-1029</t>
  </si>
  <si>
    <t>ORD-1030</t>
  </si>
  <si>
    <t>Ahmadi</t>
  </si>
  <si>
    <t>Jaya Baja Contruction Welsing</t>
  </si>
  <si>
    <t>Pengelasan</t>
  </si>
  <si>
    <t>6282133932170</t>
  </si>
  <si>
    <t>Magelang Jogja</t>
  </si>
  <si>
    <t>120233639522940235</t>
  </si>
  <si>
    <t>ORD-1031</t>
  </si>
  <si>
    <t>Ahmad Khoirul Huda</t>
  </si>
  <si>
    <t>Uwais kontraktor</t>
  </si>
  <si>
    <t>menerima jasa pembuatan ruko rumah gudang dan renovasi</t>
  </si>
  <si>
    <t>Jawa tengah</t>
  </si>
  <si>
    <t>mulai yang berumah tangga</t>
  </si>
  <si>
    <t>120233641844760235</t>
  </si>
  <si>
    <t>ORD-1032</t>
  </si>
  <si>
    <t>6289653773632</t>
  </si>
  <si>
    <t>120233618235240235</t>
  </si>
  <si>
    <t>Rizkan Fauzian Noor</t>
  </si>
  <si>
    <t>Bianca Id</t>
  </si>
  <si>
    <t>Interior design and build/pembuatan furniture custom</t>
  </si>
  <si>
    <t>6288242676434</t>
  </si>
  <si>
    <t>melayani jasa desain interior dan pembuatan furniture custom berkualitas tinggi. Mulai dari perencanaan, desain 3D, hingga realisasi build &amp; pemasangan. Cocok untuk rumah, kantor, kafe, hotel, dan ruang usaha.</t>
  </si>
  <si>
    <t>120233685388000235</t>
  </si>
  <si>
    <t>ORD-1033</t>
  </si>
  <si>
    <t>ORD-1034</t>
  </si>
  <si>
    <t>Hary</t>
  </si>
  <si>
    <t>PT Mitra Bangun Anda</t>
  </si>
  <si>
    <t>Jasa pembangunan dan renovasi rumah, design dan interior</t>
  </si>
  <si>
    <t>6285746851999</t>
  </si>
  <si>
    <t>21 tahun keatas</t>
  </si>
  <si>
    <t>120233727185280235</t>
  </si>
  <si>
    <t>ORD-1035</t>
  </si>
  <si>
    <t>BRC</t>
  </si>
  <si>
    <t>BRC Cabang Kosambi Tangerang</t>
  </si>
  <si>
    <t>6282219980006</t>
  </si>
  <si>
    <t>Kosambi, Tangerang, Salembaran, Dadap, Teluk Naga, Kampung Melayu, Pik dan Pik2</t>
  </si>
  <si>
    <t>7 th ke atas</t>
  </si>
  <si>
    <t>120232763903630694</t>
  </si>
  <si>
    <t>ORD-1036</t>
  </si>
  <si>
    <t>ORD-1037</t>
  </si>
  <si>
    <t>Yanuar Adiwijaya</t>
  </si>
  <si>
    <t>CV Adiwijaya Kontraktor</t>
  </si>
  <si>
    <t>Kontruksi Bangunan dan Kontruksi Baja</t>
  </si>
  <si>
    <t>6285285660299</t>
  </si>
  <si>
    <t>Seluruh Jawa</t>
  </si>
  <si>
    <t>120233685395090235</t>
  </si>
  <si>
    <t>ORD-1038</t>
  </si>
  <si>
    <t>Jakarta, Bogor, Depok, Bekasi</t>
  </si>
  <si>
    <t>ORD-1039</t>
  </si>
  <si>
    <t>6282224215385</t>
  </si>
  <si>
    <t>Melayani</t>
  </si>
  <si>
    <t>Kabupaten Wonosobo, Banjarnegara, Temanggung, Magelang, dan Purworejo</t>
  </si>
  <si>
    <t>120233727188450235</t>
  </si>
  <si>
    <t>ORD-1040</t>
  </si>
  <si>
    <t>Victorius</t>
  </si>
  <si>
    <t>kolamrenangku.id</t>
  </si>
  <si>
    <t>kontraktor kolam renang</t>
  </si>
  <si>
    <t>6282225454797</t>
  </si>
  <si>
    <t>Semarang dan DIY Yogyakarta</t>
  </si>
  <si>
    <t>120233685386400235</t>
  </si>
  <si>
    <t>ORD-1041</t>
  </si>
  <si>
    <t>ORD-1042</t>
  </si>
  <si>
    <t>ORD-1043</t>
  </si>
  <si>
    <t>Umam</t>
  </si>
  <si>
    <t>Sahabat Teknik</t>
  </si>
  <si>
    <t>120232823038490694</t>
  </si>
  <si>
    <t>ORD-1044</t>
  </si>
  <si>
    <t>6285891693677</t>
  </si>
  <si>
    <t>ORD-1045</t>
  </si>
  <si>
    <t>Lenny.MJ</t>
  </si>
  <si>
    <t>Multi Niaga Indonesia</t>
  </si>
  <si>
    <t>Jual Mesin UMKM</t>
  </si>
  <si>
    <t>6281230656664</t>
  </si>
  <si>
    <t>Best seller</t>
  </si>
  <si>
    <t>27 tahun ke atas</t>
  </si>
  <si>
    <t>120232868606340694</t>
  </si>
  <si>
    <t>ORD-1046</t>
  </si>
  <si>
    <t>Ki yitno</t>
  </si>
  <si>
    <t>Griyo terapi sekarlangit</t>
  </si>
  <si>
    <t>pengobatan tradisional</t>
  </si>
  <si>
    <t>6281390669379</t>
  </si>
  <si>
    <t>Magelang</t>
  </si>
  <si>
    <t>dewasa sampai orang tua</t>
  </si>
  <si>
    <t>120232868603190694</t>
  </si>
  <si>
    <t>ORD-1047</t>
  </si>
  <si>
    <t>ORD-1048</t>
  </si>
  <si>
    <t>Jabodetabek, Bandung Jawa Barat dan sekitarnya</t>
  </si>
  <si>
    <t>ORD-1049</t>
  </si>
  <si>
    <t>ORD-1050</t>
  </si>
  <si>
    <t>ORD-1051</t>
  </si>
  <si>
    <t>Dadan ramdan</t>
  </si>
  <si>
    <t>PT Just Metal Manufacture</t>
  </si>
  <si>
    <t>Industri</t>
  </si>
  <si>
    <t>6281297252309</t>
  </si>
  <si>
    <t>tidak terbatas</t>
  </si>
  <si>
    <t>120233837388320235</t>
  </si>
  <si>
    <t>ORD-1052</t>
  </si>
  <si>
    <t>ORD-1053</t>
  </si>
  <si>
    <t>Batam, Tanjung Pinang, Tanjung Balai Karimun Belakang Padang Johor</t>
  </si>
  <si>
    <t>ORD-1054</t>
  </si>
  <si>
    <t>Elva Desmita</t>
  </si>
  <si>
    <t>Wiraloka Tour</t>
  </si>
  <si>
    <t>6282241290026</t>
  </si>
  <si>
    <t>Purworejo, Temanggung, Wonosobo, Kebumen dan Semarang</t>
  </si>
  <si>
    <t>PAUD sampai 70 th</t>
  </si>
  <si>
    <t>120232922135270694</t>
  </si>
  <si>
    <t>ORD-1055</t>
  </si>
  <si>
    <t>ORD-1056</t>
  </si>
  <si>
    <t>Eko Y</t>
  </si>
  <si>
    <t>CV fajar gemilang plus</t>
  </si>
  <si>
    <t>Kontraktor Fasade, Kaca, Acp, Alumunium, Arsitektur, Interior dll</t>
  </si>
  <si>
    <t>kota Kupang dan NTT</t>
  </si>
  <si>
    <t>120233894265750235</t>
  </si>
  <si>
    <t>ORD-1057</t>
  </si>
  <si>
    <t>Ari</t>
  </si>
  <si>
    <t>Putra Teknisi Listrik</t>
  </si>
  <si>
    <t>Jasa Panggilan Teknisi Listrik (Electrical)</t>
  </si>
  <si>
    <t>6283196194949</t>
  </si>
  <si>
    <t>Medan, Deli Serdang, Hamparan Perak, Sumatra Utara</t>
  </si>
  <si>
    <t>120232988080700694</t>
  </si>
  <si>
    <t>ORD-1058</t>
  </si>
  <si>
    <t>ORD-1059</t>
  </si>
  <si>
    <t>ORD-1060</t>
  </si>
  <si>
    <t>Syaiful</t>
  </si>
  <si>
    <t>ipol Usaha mandiri</t>
  </si>
  <si>
    <t>pemasangan atap baja ringan dan plafon</t>
  </si>
  <si>
    <t>6285849693521</t>
  </si>
  <si>
    <t>Kalimantan Barat sekitarnya</t>
  </si>
  <si>
    <t>120233932292930235</t>
  </si>
  <si>
    <t>ORD-1061</t>
  </si>
  <si>
    <t>Darmo</t>
  </si>
  <si>
    <t>Griya bangun</t>
  </si>
  <si>
    <t>6281310674130</t>
  </si>
  <si>
    <t>Cibubur dan sekitarnya</t>
  </si>
  <si>
    <t>desawa</t>
  </si>
  <si>
    <t>120234046093950235</t>
  </si>
  <si>
    <t>ORD-1062</t>
  </si>
  <si>
    <t>Bagus</t>
  </si>
  <si>
    <t>Zena Kontruksi</t>
  </si>
  <si>
    <t>62895426264600</t>
  </si>
  <si>
    <t>Gresik, Lamongan, Surabaya, Tuban</t>
  </si>
  <si>
    <t>120233894246940235</t>
  </si>
  <si>
    <t>ORD-1063</t>
  </si>
  <si>
    <t>Totok Syaraf Medy Raden Mas</t>
  </si>
  <si>
    <t>ORD-1064</t>
  </si>
  <si>
    <t>Hanafi</t>
  </si>
  <si>
    <t>CV Mutiara Indah</t>
  </si>
  <si>
    <t>Genting</t>
  </si>
  <si>
    <t>6285924240918</t>
  </si>
  <si>
    <t>Pulau Bali/Indonesia</t>
  </si>
  <si>
    <t>120233894280510235</t>
  </si>
  <si>
    <t>ORD-1066</t>
  </si>
  <si>
    <t>RM Dony</t>
  </si>
  <si>
    <t>Raflesia Rental</t>
  </si>
  <si>
    <t>ORD-1067</t>
  </si>
  <si>
    <t>Terapi totok syaraf di batam</t>
  </si>
  <si>
    <t>Jasa terapi</t>
  </si>
  <si>
    <t>terapi totok syaraf akupresur</t>
  </si>
  <si>
    <t>kota batam</t>
  </si>
  <si>
    <t>120233018729010694</t>
  </si>
  <si>
    <t>ORD-1068</t>
  </si>
  <si>
    <t>ORD-1069</t>
  </si>
  <si>
    <t>ORD-1070</t>
  </si>
  <si>
    <t>62818833829</t>
  </si>
  <si>
    <t>ORD-1071</t>
  </si>
  <si>
    <t>ORD-1072</t>
  </si>
  <si>
    <t>Riska Sari</t>
  </si>
  <si>
    <t>Kleen Wash</t>
  </si>
  <si>
    <t>General cleaning service</t>
  </si>
  <si>
    <t>6281112009646</t>
  </si>
  <si>
    <t>menawarkan general cleaning untuk rumah,kantor, karpet dan fogging yang berkualitas dengan hasil yang bersih</t>
  </si>
  <si>
    <t>120233110225370694</t>
  </si>
  <si>
    <t>ORD-1073</t>
  </si>
  <si>
    <t>6283140427590</t>
  </si>
  <si>
    <t>ORD-1074</t>
  </si>
  <si>
    <t>ORD-1075</t>
  </si>
  <si>
    <t>Muhammad Azizi</t>
  </si>
  <si>
    <t>Pembangunan pondok pesantren atthahiriyah putri</t>
  </si>
  <si>
    <t>open donasi pembangunan pondok pesantren</t>
  </si>
  <si>
    <t>6285387148899</t>
  </si>
  <si>
    <t>pembangunan akan di mulai awal tahun 2026/ Maret 2026,</t>
  </si>
  <si>
    <t>Kalimantan Selatan</t>
  </si>
  <si>
    <t>120233204327880694</t>
  </si>
  <si>
    <t>ORD-1076</t>
  </si>
  <si>
    <t>Idham Kolid/aby anugrah jaya</t>
  </si>
  <si>
    <t>Aby anugrah jaya</t>
  </si>
  <si>
    <t>Perlengkapan FODTRAY, STREAMER,MEJA, PENGERING,KOMPOR,WAJAN,DLL</t>
  </si>
  <si>
    <t>6289668245188</t>
  </si>
  <si>
    <t>Jawa Tengah,Aceh, Sumatra</t>
  </si>
  <si>
    <t>120233110221860694</t>
  </si>
  <si>
    <t>ORD-1077</t>
  </si>
  <si>
    <t>Agus Mustofa</t>
  </si>
  <si>
    <t>cv. samoda abadi</t>
  </si>
  <si>
    <t>jasa bangun dan jual rumah kavling</t>
  </si>
  <si>
    <t>6281336570262</t>
  </si>
  <si>
    <t>gresik,,,surabaya,,,sidoarjo</t>
  </si>
  <si>
    <t>Pria/Wanita</t>
  </si>
  <si>
    <t>120235967258310235</t>
  </si>
  <si>
    <t>ORD-1078</t>
  </si>
  <si>
    <t>Sumber Semangat Thermal</t>
  </si>
  <si>
    <t>Penjualan Printer Kasir Thermal EPPOS (Bluetooth)</t>
  </si>
  <si>
    <t>18-58 th</t>
  </si>
  <si>
    <t>120233204254440694</t>
  </si>
  <si>
    <t>ORD-1079</t>
  </si>
  <si>
    <t>Wahyu Hagono</t>
  </si>
  <si>
    <t>Hago Transport</t>
  </si>
  <si>
    <t>Privat Tour, City Tour, Rent Car All In</t>
  </si>
  <si>
    <t>62895405794474</t>
  </si>
  <si>
    <t>120233204311610694</t>
  </si>
  <si>
    <t>ORD-1080</t>
  </si>
  <si>
    <t>ORD-1081</t>
  </si>
  <si>
    <t>Rudy</t>
  </si>
  <si>
    <t>Kurnia Damai</t>
  </si>
  <si>
    <t>Interior Design &amp; Renovasi</t>
  </si>
  <si>
    <t>628118472727</t>
  </si>
  <si>
    <t>120234165281490235</t>
  </si>
  <si>
    <t>ORD-1082</t>
  </si>
  <si>
    <t>ORD-1083</t>
  </si>
  <si>
    <t>Catur</t>
  </si>
  <si>
    <t>JURAGAN RUMAH &amp; RUKO</t>
  </si>
  <si>
    <t>jual ruko</t>
  </si>
  <si>
    <t>6285344060945</t>
  </si>
  <si>
    <t>Jayapura Sentani</t>
  </si>
  <si>
    <t>120234165303110235</t>
  </si>
  <si>
    <t>ORD-1084</t>
  </si>
  <si>
    <t>Ridwan Saepulloh</t>
  </si>
  <si>
    <t>Ruqyah Online</t>
  </si>
  <si>
    <t>Terapi Ruqyah</t>
  </si>
  <si>
    <t>6285314630194</t>
  </si>
  <si>
    <t>Jakarta Timur, Jakarta Pusat, Jakarta Utara, Cikarang Bekasi, Tambun Bekasi</t>
  </si>
  <si>
    <t>120233259921680694</t>
  </si>
  <si>
    <t>ORD-1085</t>
  </si>
  <si>
    <t>ORD-1086</t>
  </si>
  <si>
    <t>4-Des-2025</t>
  </si>
  <si>
    <t>Saiful Anwar</t>
  </si>
  <si>
    <t>ahlibangun.com</t>
  </si>
  <si>
    <t>Jasa Bangun dan Renovasi</t>
  </si>
  <si>
    <t>Ngawi</t>
  </si>
  <si>
    <t>120234227824820235</t>
  </si>
  <si>
    <t>ORD-1087</t>
  </si>
  <si>
    <t>Hermin</t>
  </si>
  <si>
    <t>Terapi Adif Tahta Makassar</t>
  </si>
  <si>
    <t>Terapi Kesehatan Tradisional</t>
  </si>
  <si>
    <t>6285299623063</t>
  </si>
  <si>
    <t>Sulawesi Selatan, Sulawesi Tengah, Timika</t>
  </si>
  <si>
    <t>120233208035390694</t>
  </si>
  <si>
    <t>ORD-1088</t>
  </si>
  <si>
    <t>ORD-1089</t>
  </si>
  <si>
    <t>1-Okt-2025</t>
  </si>
  <si>
    <t>ORD-1090</t>
  </si>
  <si>
    <t>ORD-1091</t>
  </si>
  <si>
    <t>Nafis</t>
  </si>
  <si>
    <t>CALLWA ART DECORATIONS</t>
  </si>
  <si>
    <t>CALLIGRAPHY AND ARCHITECTURE ISLAMY</t>
  </si>
  <si>
    <t>6281227074313</t>
  </si>
  <si>
    <t>bebas (orang dewasa)</t>
  </si>
  <si>
    <t>120239724017790235</t>
  </si>
  <si>
    <t>ORD-1092</t>
  </si>
  <si>
    <t>ORD-1093</t>
  </si>
  <si>
    <t>ORD-1095</t>
  </si>
  <si>
    <t>2-Okt-2025</t>
  </si>
  <si>
    <t>Semarang, Jogjakarta, Soloraya Grobogan, Salatiga, temanggung, Klaten, gemolong Demak Ungaran</t>
  </si>
  <si>
    <t>ORD-1096</t>
  </si>
  <si>
    <t>ORD-1097</t>
  </si>
  <si>
    <t>ORD-1099</t>
  </si>
  <si>
    <t>Gordon</t>
  </si>
  <si>
    <t>Maju Mando Advertising (kommo)</t>
  </si>
  <si>
    <t>Huruf Timbul dan advertising</t>
  </si>
  <si>
    <t>6281356480021</t>
  </si>
  <si>
    <t>mau usaha makin dikenal? ✨ Kami siap bikin huruf timbul &amp; advertising dengan desain modern, kuat &amp; elegan. Cocok untuk toko, cafe, kantor, hingga brand usaha Anda! 🚀</t>
  </si>
  <si>
    <t>120233328414000694</t>
  </si>
  <si>
    <t>ORD-1100</t>
  </si>
  <si>
    <t>Semarang, Magelang, dan Purworejo</t>
  </si>
  <si>
    <t>ORD-1101</t>
  </si>
  <si>
    <t>ORD-1102</t>
  </si>
  <si>
    <t>ORD-1105</t>
  </si>
  <si>
    <t>Sri Rahyuni</t>
  </si>
  <si>
    <t>Djampi Thera</t>
  </si>
  <si>
    <t>Kafe Jamu dan Therapy</t>
  </si>
  <si>
    <t>62859175514516</t>
  </si>
  <si>
    <t>Sedia minuman wedang dan es sehat herbal/ jamu</t>
  </si>
  <si>
    <t>Seluruh wilayah Jogja dan jateng</t>
  </si>
  <si>
    <t>5 tahun ke atas</t>
  </si>
  <si>
    <t>120233328418840694</t>
  </si>
  <si>
    <t>ORD-1106</t>
  </si>
  <si>
    <t>ORD-1107</t>
  </si>
  <si>
    <t>3-Okt-2025</t>
  </si>
  <si>
    <t>Supriyadi</t>
  </si>
  <si>
    <t>PT LWT LUCKYWIJAYA TEKNIK (Kommo)</t>
  </si>
  <si>
    <t>6287778585820</t>
  </si>
  <si>
    <t>Tanggerang Banten, jakarta</t>
  </si>
  <si>
    <t>120234408284350235</t>
  </si>
  <si>
    <t>ORD-1108</t>
  </si>
  <si>
    <t>Nur Ch</t>
  </si>
  <si>
    <t>Jasa Bangun Omah</t>
  </si>
  <si>
    <t>Ingin Rumah Baru atau Renovasi hunian lama jadi lebih modern, nyaman, dan fungsional? kami hadirkan dengan layanan lengkap dan tim profesional yang siap wujudkan rumah impian anda!</t>
  </si>
  <si>
    <t>27-60 tahun ke atas</t>
  </si>
  <si>
    <t>120234408284770235</t>
  </si>
  <si>
    <t>ORD-1110</t>
  </si>
  <si>
    <t>PT Wastu Kontraktor Hutama</t>
  </si>
  <si>
    <t>6285641004233</t>
  </si>
  <si>
    <t>Yogyakarta radius 15 km</t>
  </si>
  <si>
    <t>120234453144950235</t>
  </si>
  <si>
    <t>ORD-1111</t>
  </si>
  <si>
    <t>Supatoni</t>
  </si>
  <si>
    <t>Rizky Contruksi</t>
  </si>
  <si>
    <t>Jasa Desain dan jasa bangun rumah tinggal dan gedung</t>
  </si>
  <si>
    <t>6282160889408</t>
  </si>
  <si>
    <t>Bandar Lampung Lampung Selatan dan Pesawaran</t>
  </si>
  <si>
    <t>120234408287250235</t>
  </si>
  <si>
    <t>ORD-1112</t>
  </si>
  <si>
    <t>ORD-1116</t>
  </si>
  <si>
    <t>saipul Latahzan</t>
  </si>
  <si>
    <t>KLINIK TERAPI LATAHZAN</t>
  </si>
  <si>
    <t>Menjual berbagai jenis Herbal  dan Melayani Jasa Terapi kesehatan</t>
  </si>
  <si>
    <t>6281917803566</t>
  </si>
  <si>
    <t>Kabupaten Lombok Timur NTB</t>
  </si>
  <si>
    <t>di atas 17 thn</t>
  </si>
  <si>
    <t>120233401364670694</t>
  </si>
  <si>
    <t>Hotel/Villas</t>
  </si>
  <si>
    <t>Bali, Gilli Island, Nusa Penida &amp; Nusa Lembongan</t>
  </si>
  <si>
    <t>120233446031150694</t>
  </si>
  <si>
    <t>ORD-1117</t>
  </si>
  <si>
    <t>Kusuma Tiara</t>
  </si>
  <si>
    <t>Kusuma Tiara Course</t>
  </si>
  <si>
    <t>Kursus Kecantikan</t>
  </si>
  <si>
    <t>6282170648491</t>
  </si>
  <si>
    <t>Batam &amp; Jogja</t>
  </si>
  <si>
    <t>120233446040310694</t>
  </si>
  <si>
    <t>ORD-1118</t>
  </si>
  <si>
    <t>ORD-1119</t>
  </si>
  <si>
    <t>ORD-1120</t>
  </si>
  <si>
    <t>Saiful oksigen ambuwaru</t>
  </si>
  <si>
    <t>Klinik ruqyah oksigen Cimahi (kommo)</t>
  </si>
  <si>
    <t>ruqyah syar'i</t>
  </si>
  <si>
    <t>6282129900978</t>
  </si>
  <si>
    <t>Penyakit 2 yang tidak terdeteksi dengan dokter atau udah berobat ke dokter dengan waktu yang cukup lama tapi hasilnya masih belum ada maka insyaallah dengan rumah ruqyah oksigen Cimahi Allah biidznillah di beri kesembuhan mulai penyakit,ODGJ,cancer dan lain2</t>
  </si>
  <si>
    <t>Cimahi, bandung,dan jabar</t>
  </si>
  <si>
    <t>ibu2 muda dan orang dewasa</t>
  </si>
  <si>
    <t>120233446047140694</t>
  </si>
  <si>
    <t>ORD-1121</t>
  </si>
  <si>
    <t>6287758080333</t>
  </si>
  <si>
    <t>ORD-1122</t>
  </si>
  <si>
    <t>ORD-1123</t>
  </si>
  <si>
    <t>Abu Syamil Al Makassary</t>
  </si>
  <si>
    <t>Ruqyah Syar'iyyah Al Fath</t>
  </si>
  <si>
    <t>Ruqyah Syar'iyyah, Bekam/Hijamah, Kretek/Chiropraktic</t>
  </si>
  <si>
    <t>6282311117783</t>
  </si>
  <si>
    <t>120233446058760694</t>
  </si>
  <si>
    <t>ORD-1125</t>
  </si>
  <si>
    <t>Jabodetabek - Jawa Barat</t>
  </si>
  <si>
    <t>ORD-1126</t>
  </si>
  <si>
    <t>Didik Suwanto</t>
  </si>
  <si>
    <t>PT JFE kontruksi</t>
  </si>
  <si>
    <t>6282136210727</t>
  </si>
  <si>
    <t>seluruh jatim</t>
  </si>
  <si>
    <t>120234516713460235</t>
  </si>
  <si>
    <t>ORD-1127</t>
  </si>
  <si>
    <t>Erwin</t>
  </si>
  <si>
    <t>Asy-Asyifa Terapi Center</t>
  </si>
  <si>
    <t>Jasa Kesehatan</t>
  </si>
  <si>
    <t>6282120547879</t>
  </si>
  <si>
    <t>18-66 th</t>
  </si>
  <si>
    <t>120233446085550694</t>
  </si>
  <si>
    <t>ORD-1128</t>
  </si>
  <si>
    <t>Bengkel Las Nurdin</t>
  </si>
  <si>
    <t>Logam</t>
  </si>
  <si>
    <t>6281280900781</t>
  </si>
  <si>
    <t>Pembuatan pagar, tralis kanopi,menjani, pintu alumunium, jendela alumunium, pagar setenlis dll.</t>
  </si>
  <si>
    <t>120234453202160235</t>
  </si>
  <si>
    <t>ORD-1129</t>
  </si>
  <si>
    <t>menjual berbagai peralatan bengkel cuci mobil dan motor</t>
  </si>
  <si>
    <t>ORD-1130</t>
  </si>
  <si>
    <t>Ebi Salabi Hadi</t>
  </si>
  <si>
    <t>Rumah Sehat Tazkiyah</t>
  </si>
  <si>
    <t>Terapi Holistik Thibbun Mabawi dan Kafe Herbal</t>
  </si>
  <si>
    <t>6287817756006</t>
  </si>
  <si>
    <t>Bandung dan Jawa Barat serta Jabodetabek sekitarnya</t>
  </si>
  <si>
    <t>120233503832110694</t>
  </si>
  <si>
    <t>ORD-1131</t>
  </si>
  <si>
    <t>Gugum Gumelar</t>
  </si>
  <si>
    <t>Ipong interior</t>
  </si>
  <si>
    <t>furniture dan interior</t>
  </si>
  <si>
    <t>6281460966685</t>
  </si>
  <si>
    <t>furniture, renovasi rumah dll</t>
  </si>
  <si>
    <t>Tanggerang</t>
  </si>
  <si>
    <t>120234516714680235</t>
  </si>
  <si>
    <t>ORD-1132</t>
  </si>
  <si>
    <t>ORD-1133</t>
  </si>
  <si>
    <t>bromoiswonderland.com</t>
  </si>
  <si>
    <t>Singapore &amp; Spanyol</t>
  </si>
  <si>
    <t>ORD-1134</t>
  </si>
  <si>
    <t>PT Putra Agung Waway</t>
  </si>
  <si>
    <t>Developer Rumah Subsidi</t>
  </si>
  <si>
    <t>Bandar Lampung, Lampung Selatan dan Pesawaran</t>
  </si>
  <si>
    <t>22 th ke atas</t>
  </si>
  <si>
    <t>120234516718140235</t>
  </si>
  <si>
    <t>ORD-1135</t>
  </si>
  <si>
    <t>Tholhah</t>
  </si>
  <si>
    <t>Rumah terapi Al hijrah</t>
  </si>
  <si>
    <t>terapi kesehatan</t>
  </si>
  <si>
    <t>6281533867110</t>
  </si>
  <si>
    <t>kabupaten Bintan</t>
  </si>
  <si>
    <t>anak2- orangtua</t>
  </si>
  <si>
    <t>120233565447540694</t>
  </si>
  <si>
    <t>ORD-1136</t>
  </si>
  <si>
    <t>ORD-1137</t>
  </si>
  <si>
    <t>ORD-1138</t>
  </si>
  <si>
    <t>ORD-1140</t>
  </si>
  <si>
    <t>Griya sehat holistik (kommo)</t>
  </si>
  <si>
    <t>Pelayanan terapi</t>
  </si>
  <si>
    <t>Bintara, Kranji Bekasi Barat, Bekasi timur, Bekasi Utara, Bekasi Selatan, kota Bekasi, Cakung, penggilingan, pondok kopi, pondok kelapa, pondok bambu, Klender, duren sawit, Jatinegara, Pulo gadung pangkalan jati rawa Mangun Cipinang Klapa gading</t>
  </si>
  <si>
    <t>23-65 tahun</t>
  </si>
  <si>
    <t>120233565448960694</t>
  </si>
  <si>
    <t>ORD-1142</t>
  </si>
  <si>
    <t>Johan Arifin</t>
  </si>
  <si>
    <t>Rumah Ruqyah dan paz Mojokerto</t>
  </si>
  <si>
    <t>Ikhtiar Sehat tanpa obat (Kommo)</t>
  </si>
  <si>
    <t>mengobati syaraf kejepit, diabet, sesak nafas, insomnia, anxiety, dan stroke, gelisah sakit lambung 10 tahun, kesurupan, lambung vertigo, jantung bocor, jantung bengkak</t>
  </si>
  <si>
    <t>Kabupaten Kota Mojokerto dan sekitar</t>
  </si>
  <si>
    <t>120233630108740694</t>
  </si>
  <si>
    <t>ORD-1143</t>
  </si>
  <si>
    <t>Dede Suryadin</t>
  </si>
  <si>
    <t>Dika'r Furniture</t>
  </si>
  <si>
    <t>Dekorasi Interior (Mebel)</t>
  </si>
  <si>
    <t>6282120205382</t>
  </si>
  <si>
    <t>Garut Selatan</t>
  </si>
  <si>
    <t>120234569650480235</t>
  </si>
  <si>
    <t>ORD-1144</t>
  </si>
  <si>
    <t>Pemalang, Pekalongan, Purbalingga Jawa Tengah</t>
  </si>
  <si>
    <t>ORD-1145</t>
  </si>
  <si>
    <t>ORD-1146</t>
  </si>
  <si>
    <t>6287776264559</t>
  </si>
  <si>
    <t>ORD-1149</t>
  </si>
  <si>
    <t>ORD-1151</t>
  </si>
  <si>
    <t>perempuan dan laki</t>
  </si>
  <si>
    <t>Edokolo</t>
  </si>
  <si>
    <t>Tukang Bajaringan Pontianak</t>
  </si>
  <si>
    <t>Kontruksi Bangunan Rumah Gudang dan Kantor</t>
  </si>
  <si>
    <t>6281286882004</t>
  </si>
  <si>
    <t>120234639302760235</t>
  </si>
  <si>
    <t>Nila Fitriasari</t>
  </si>
  <si>
    <t>Endes Kitchen</t>
  </si>
  <si>
    <t>6281804207532</t>
  </si>
  <si>
    <t>120233630132540694</t>
  </si>
  <si>
    <t>ORD-1152</t>
  </si>
  <si>
    <t>Kab Mamuju, Kab Mamuju Tengah, Kab Pasangkayu Kab Majene, Kab Mamasa, Kab Polman Sulawesi Barat</t>
  </si>
  <si>
    <t>ORD-1153</t>
  </si>
  <si>
    <t>Wanto Pranoto</t>
  </si>
  <si>
    <t>Kripik Tempe dan Kripik Pisang Hana</t>
  </si>
  <si>
    <t>UMKM</t>
  </si>
  <si>
    <t>6281808567531</t>
  </si>
  <si>
    <t>Anak2-Dewasa</t>
  </si>
  <si>
    <t>ORD-1154</t>
  </si>
  <si>
    <t>ORD-1155</t>
  </si>
  <si>
    <t>Kaka</t>
  </si>
  <si>
    <t>Jasa Bangun dan Renovasi Rumah</t>
  </si>
  <si>
    <t>Tukang Bangunan</t>
  </si>
  <si>
    <t>6282197803231</t>
  </si>
  <si>
    <t>keunggulan usaha</t>
  </si>
  <si>
    <t>25 Sampai 60 Tahun</t>
  </si>
  <si>
    <t>120234639362010235</t>
  </si>
  <si>
    <t>ORD-1156</t>
  </si>
  <si>
    <t>Nizam</t>
  </si>
  <si>
    <t>Nizam Traveling</t>
  </si>
  <si>
    <t>Travel Wisata</t>
  </si>
  <si>
    <t>6285361118289</t>
  </si>
  <si>
    <t>Sumatera Utara (Medan, Binjai, Deli Serdang, Langkat)</t>
  </si>
  <si>
    <t>ORD-1157</t>
  </si>
  <si>
    <t>6289509489308</t>
  </si>
  <si>
    <t>120233630125160694</t>
  </si>
  <si>
    <t>ORD-1158</t>
  </si>
  <si>
    <t>ORD-1159</t>
  </si>
  <si>
    <t>ORD-1160</t>
  </si>
  <si>
    <t>Rumah Komersil Murah</t>
  </si>
  <si>
    <t>Pembangunan Rumah Komersial</t>
  </si>
  <si>
    <t>Bandar Lampung dan Sekitarnya</t>
  </si>
  <si>
    <t>120234639355540235</t>
  </si>
  <si>
    <t>ORD-1161</t>
  </si>
  <si>
    <t>Rudik warjito</t>
  </si>
  <si>
    <t>Rudy jaya</t>
  </si>
  <si>
    <t>electrical/listrik (kommo)</t>
  </si>
  <si>
    <t>6285280985750</t>
  </si>
  <si>
    <t>universal</t>
  </si>
  <si>
    <t>120233682523930694</t>
  </si>
  <si>
    <t>ORD-1162</t>
  </si>
  <si>
    <t>Abdul Fatah</t>
  </si>
  <si>
    <t>Karya Cipta Mandiri (kommo)</t>
  </si>
  <si>
    <t>Pengelasan, pemasangan ACP, renovasi rumah</t>
  </si>
  <si>
    <t>6288289347121</t>
  </si>
  <si>
    <t>bsd,pik 2, Karawaci,Rajeg, jakarta barat,Bogor, Serpong, Balaraja,Dadap, Tangerang, Bintaro</t>
  </si>
  <si>
    <t>120234706830250235</t>
  </si>
  <si>
    <t>ORD-1164</t>
  </si>
  <si>
    <t>Abata Karya (kommo)</t>
  </si>
  <si>
    <t>Makassar dan gowa</t>
  </si>
  <si>
    <t>120234706863980235</t>
  </si>
  <si>
    <t>ORD-1165</t>
  </si>
  <si>
    <t>Syahroni</t>
  </si>
  <si>
    <t>Prosphera Home</t>
  </si>
  <si>
    <t>Custom Furniture</t>
  </si>
  <si>
    <t>6282230860291</t>
  </si>
  <si>
    <t>120234750376470235</t>
  </si>
  <si>
    <t>ORD-1166</t>
  </si>
  <si>
    <t>Steven Suawa</t>
  </si>
  <si>
    <t>Berkat teknik Manado</t>
  </si>
  <si>
    <t>6281355539323</t>
  </si>
  <si>
    <t>🔧 Bengkel Las Pagar Galvanis &amp; Stainless – Kuat, Rapi, dan Berkualitas 🔧</t>
  </si>
  <si>
    <t>120234750373600235</t>
  </si>
  <si>
    <t>ORD-1167</t>
  </si>
  <si>
    <t>ORD-1168</t>
  </si>
  <si>
    <t>ORD-1169</t>
  </si>
  <si>
    <t>Rustoyo</t>
  </si>
  <si>
    <t>BANDUNG AUTO FILM</t>
  </si>
  <si>
    <t>Bandung kota</t>
  </si>
  <si>
    <t>120233767132080694</t>
  </si>
  <si>
    <t>ORD-1170</t>
  </si>
  <si>
    <t>Seven Angles phinisi</t>
  </si>
  <si>
    <t>live aboard</t>
  </si>
  <si>
    <t>pariwisata</t>
  </si>
  <si>
    <t>6282396657937</t>
  </si>
  <si>
    <t>Keunggulan &amp; Keunikan Usaha</t>
  </si>
  <si>
    <t>Indonesia/Mancanegara</t>
  </si>
  <si>
    <t>120233719845870694</t>
  </si>
  <si>
    <t>ORD-1171</t>
  </si>
  <si>
    <t>✨ Maju Manado Sign &amp; Advertising ✨</t>
  </si>
  <si>
    <t>ORD-1172</t>
  </si>
  <si>
    <t>Maju Manado Sign &amp; Advertising</t>
  </si>
  <si>
    <t>ORD-1173</t>
  </si>
  <si>
    <t>Elly Andriani</t>
  </si>
  <si>
    <t>Es kulkas kita kita</t>
  </si>
  <si>
    <t>food n beverage</t>
  </si>
  <si>
    <t>6281234383696</t>
  </si>
  <si>
    <t>Kampus UGM, UNY, SMA Santa dharma, UTY, UPN, RS sarjit, panti rapih, YAP dll</t>
  </si>
  <si>
    <t>16-45 tahun (Mahasiswa, Pelajar, Karyawan kantor radius 5 km)</t>
  </si>
  <si>
    <t>120233834588400694</t>
  </si>
  <si>
    <t>ORD-1174</t>
  </si>
  <si>
    <t>ORD-1176</t>
  </si>
  <si>
    <t>Rumah Terapi Joossada (Kommo)</t>
  </si>
  <si>
    <t>120233767136980694</t>
  </si>
  <si>
    <t>Reza Syahputra</t>
  </si>
  <si>
    <t>Rumah Terapi Ash shihha</t>
  </si>
  <si>
    <t>Layanan Kesehatan</t>
  </si>
  <si>
    <t>6285850248298</t>
  </si>
  <si>
    <t>pelayanan Kesehatan</t>
  </si>
  <si>
    <t>120233891595550694</t>
  </si>
  <si>
    <t>ORD-1177</t>
  </si>
  <si>
    <t>Kanopi Karawang X RenovYukk</t>
  </si>
  <si>
    <t>Kontraktor kanopi dan bangun rumah</t>
  </si>
  <si>
    <t>628118055948</t>
  </si>
  <si>
    <t>Kanopi karawang, Pasti beres ✨</t>
  </si>
  <si>
    <t>Karawang dan sekitarnya</t>
  </si>
  <si>
    <t>24-55 tahun</t>
  </si>
  <si>
    <t>ORD-1178</t>
  </si>
  <si>
    <t>ORD-1179</t>
  </si>
  <si>
    <t>26-Nov--2025</t>
  </si>
  <si>
    <t>Iyan Mulyana</t>
  </si>
  <si>
    <t>Jasa Bangun Asri</t>
  </si>
  <si>
    <t>6282119195533</t>
  </si>
  <si>
    <t>Bandung, Garut, Jabodetabek</t>
  </si>
  <si>
    <t>120234863810050235</t>
  </si>
  <si>
    <t>ORD-1180</t>
  </si>
  <si>
    <t>9-Des-2025</t>
  </si>
  <si>
    <t>Cipta Jaya Kreasindo</t>
  </si>
  <si>
    <t>Glass &amp; Almunium</t>
  </si>
  <si>
    <t>Pulau Jawa (dari banten sampai jawa timur)</t>
  </si>
  <si>
    <t>120234863812680235</t>
  </si>
  <si>
    <t>ORD-1181</t>
  </si>
  <si>
    <t>Bali times journey</t>
  </si>
  <si>
    <t>pengalaman yang dipersonalisasi, kenyamanan, layanan terpadu dan membuat pengalaman baru untuk pelanggan</t>
  </si>
  <si>
    <t>ORD-1182</t>
  </si>
  <si>
    <t>Fairuz Abadi Land</t>
  </si>
  <si>
    <t>Coba Bayangkan Punya rumah sendiri di lokasi yang sangat strategis Perumahan Subsidi Griya Tengeng Madani</t>
  </si>
  <si>
    <t>120234863817270235</t>
  </si>
  <si>
    <t>ORD-1183</t>
  </si>
  <si>
    <t>ORD-1184</t>
  </si>
  <si>
    <t>ORD-1185</t>
  </si>
  <si>
    <t>ORD-1186</t>
  </si>
  <si>
    <t>Mengerjakan Fasade Gedung Acp kaca alumunium interior renovasi dan bikin baru</t>
  </si>
  <si>
    <t>Khusus kota Kupang dan NTT</t>
  </si>
  <si>
    <t>ORD-1187</t>
  </si>
  <si>
    <t>Sunny Firdaus</t>
  </si>
  <si>
    <t>Namira Interior</t>
  </si>
  <si>
    <t>Jasa Desain &amp; Interior</t>
  </si>
  <si>
    <t>6282159753331</t>
  </si>
  <si>
    <t>Balikpapan, Kalimantan Timur  (Balikpapan radius 10-15 km)</t>
  </si>
  <si>
    <t>30-48 th</t>
  </si>
  <si>
    <t>120234918059200235</t>
  </si>
  <si>
    <t>ORD-1188</t>
  </si>
  <si>
    <t>ORD-1189</t>
  </si>
  <si>
    <t>CV RHEINA ANUGRAH LOMBOK</t>
  </si>
  <si>
    <t>Indonesia dan Asia</t>
  </si>
  <si>
    <t>ORD-1190</t>
  </si>
  <si>
    <t>ORD-1192</t>
  </si>
  <si>
    <t>I Wayan Ariana</t>
  </si>
  <si>
    <t>Kori Bali Trip</t>
  </si>
  <si>
    <t>Treking &amp; Tour Wisata</t>
  </si>
  <si>
    <t>62881037282380</t>
  </si>
  <si>
    <t>Eropa, France, Jerman, Italy, Swiss, Malaysia, Singapore</t>
  </si>
  <si>
    <t>120234008783200694</t>
  </si>
  <si>
    <t>ORD-1193</t>
  </si>
  <si>
    <t>Ustadz chayun Hamidi</t>
  </si>
  <si>
    <t>Therapy sehat waras</t>
  </si>
  <si>
    <t>therapist profesional</t>
  </si>
  <si>
    <t>6282232143251</t>
  </si>
  <si>
    <t>120233891607970694</t>
  </si>
  <si>
    <t>14-Okt-2025</t>
  </si>
  <si>
    <t>ORD-1194</t>
  </si>
  <si>
    <t>Semarang, Jogjakarta, Soloraya Grobogan, Salatiga, temanggung, Purwodadi, Klaten, gemolong Demak Ungaran</t>
  </si>
  <si>
    <t>ORD-1195</t>
  </si>
  <si>
    <t>ORD-1196</t>
  </si>
  <si>
    <t>ORD-1197</t>
  </si>
  <si>
    <t>Sugix</t>
  </si>
  <si>
    <t>Spectrum Raya</t>
  </si>
  <si>
    <t>Toko Handphone</t>
  </si>
  <si>
    <t>6281337173939</t>
  </si>
  <si>
    <t>Denpasar Area</t>
  </si>
  <si>
    <t>21 - 59 tahun</t>
  </si>
  <si>
    <t>120233951320910694</t>
  </si>
  <si>
    <t>ORD-1198</t>
  </si>
  <si>
    <t>Aria Dwi Pratama</t>
  </si>
  <si>
    <t>Aria Property</t>
  </si>
  <si>
    <t>628562571037</t>
  </si>
  <si>
    <t>klaten, solo, sukoharjo, wonogiri, boyolali, karanganyar</t>
  </si>
  <si>
    <t>40-80 tahun</t>
  </si>
  <si>
    <t>120234969888690235</t>
  </si>
  <si>
    <t>ORD-1199</t>
  </si>
  <si>
    <t>Soto Padang Sultan</t>
  </si>
  <si>
    <t>120234008786970694</t>
  </si>
  <si>
    <t>ORD-1200</t>
  </si>
  <si>
    <t>15-Okt-2025</t>
  </si>
  <si>
    <t>ORD-1201</t>
  </si>
  <si>
    <t>ORD-1202</t>
  </si>
  <si>
    <t>Pak Ari</t>
  </si>
  <si>
    <t>Ari Kontraktor</t>
  </si>
  <si>
    <t>ORD-1203</t>
  </si>
  <si>
    <t>Dian Frastyo</t>
  </si>
  <si>
    <t>Lovina Massage</t>
  </si>
  <si>
    <t>Pijat Panggilan di Malang</t>
  </si>
  <si>
    <t>6285155158766</t>
  </si>
  <si>
    <t>Malang kota</t>
  </si>
  <si>
    <t>20-40</t>
  </si>
  <si>
    <t>120234059066090694</t>
  </si>
  <si>
    <t>ORD-1204</t>
  </si>
  <si>
    <t>iklas hakim khotimah</t>
  </si>
  <si>
    <t>kursus SPA skala internasional</t>
  </si>
  <si>
    <t>jasa dan pelatihan</t>
  </si>
  <si>
    <t>18-55 tahun</t>
  </si>
  <si>
    <t>120234059079750694</t>
  </si>
  <si>
    <t>ORD-1205</t>
  </si>
  <si>
    <t>ORD-1206</t>
  </si>
  <si>
    <t>Soni Cahyana</t>
  </si>
  <si>
    <t>CV Tirta Anugrah Agung</t>
  </si>
  <si>
    <t>Jual Air Bersih</t>
  </si>
  <si>
    <t>6285295804136</t>
  </si>
  <si>
    <t>Bandung dan Sekitarnya</t>
  </si>
  <si>
    <t>120234059106190694</t>
  </si>
  <si>
    <t>ORD-1208</t>
  </si>
  <si>
    <t>Jogja Duta Wisata</t>
  </si>
  <si>
    <t>Travel Agency</t>
  </si>
  <si>
    <t>6282134821545</t>
  </si>
  <si>
    <t>Yogyakarta, Klaten, Solo, Madiun, Ponorogo, Nganjuk, Jombang, Surabaya</t>
  </si>
  <si>
    <t>120234059110550694</t>
  </si>
  <si>
    <t>ORD-1209</t>
  </si>
  <si>
    <t>ORD-1210</t>
  </si>
  <si>
    <t>ORD-1211</t>
  </si>
  <si>
    <t>ORD-1212</t>
  </si>
  <si>
    <t>Aa Sudarsono</t>
  </si>
  <si>
    <t>yayasan AA Soedharsono</t>
  </si>
  <si>
    <t>pendidikan kecantikan,kulit,dan rambut</t>
  </si>
  <si>
    <t>6281932016179</t>
  </si>
  <si>
    <t>Jawa Barat, jakarta, Banten</t>
  </si>
  <si>
    <t>120234225511110694</t>
  </si>
  <si>
    <t>ORD-1213</t>
  </si>
  <si>
    <t>Eddy Soetardjo</t>
  </si>
  <si>
    <t>Tiariz Tour &amp; Travel</t>
  </si>
  <si>
    <t>Tour &amp; Pariwisata</t>
  </si>
  <si>
    <t>6281327272773</t>
  </si>
  <si>
    <t>Tour bersama Travel yang amanah</t>
  </si>
  <si>
    <t>120234102708700694</t>
  </si>
  <si>
    <t>ORD-1214</t>
  </si>
  <si>
    <t>Adnan</t>
  </si>
  <si>
    <t>Adnan Pijat Rileksasi</t>
  </si>
  <si>
    <t>Jasa Pijat Panggilan</t>
  </si>
  <si>
    <t>6282228814370</t>
  </si>
  <si>
    <t>Jakarta Selatan</t>
  </si>
  <si>
    <t>120234102711380694</t>
  </si>
  <si>
    <t>ORD-1215</t>
  </si>
  <si>
    <t>Murfati</t>
  </si>
  <si>
    <t>Klinik Beauty 7</t>
  </si>
  <si>
    <t>Klinik Kecantikan</t>
  </si>
  <si>
    <t>6289504615502</t>
  </si>
  <si>
    <t>Jalan Harapan indah Raya blok FA 15 Harapan indah Kel pejuang kota Bekasi</t>
  </si>
  <si>
    <t>Harapan Indah Seputarnya</t>
  </si>
  <si>
    <t>ORD-1216</t>
  </si>
  <si>
    <t>Lowongan Pekerjaan Guru Mapel Bahasa Jawa</t>
  </si>
  <si>
    <t>Kota Surakarta, Klaten, Boyolali, Kabupaten Sukoharjo dan Karanganyar</t>
  </si>
  <si>
    <t>ORD-1217</t>
  </si>
  <si>
    <t>Desi</t>
  </si>
  <si>
    <t>Desi - Marketing Suzuki Pusat</t>
  </si>
  <si>
    <t>tukar tambah mobil, cash dan kredit mobil Suzuki</t>
  </si>
  <si>
    <t>6287782210321</t>
  </si>
  <si>
    <t>jakarta timur, selatan, utara, pusat, barat, bogor, bandung, tangerang, bogor</t>
  </si>
  <si>
    <t>120234102714540694</t>
  </si>
  <si>
    <t>ORD-1218</t>
  </si>
  <si>
    <t>ORD-1219</t>
  </si>
  <si>
    <t>Vania Dyan Aurelia</t>
  </si>
  <si>
    <t>17COFFE</t>
  </si>
  <si>
    <t>Kopi</t>
  </si>
  <si>
    <t>6283834613639</t>
  </si>
  <si>
    <t>Jogja, Bantul, Sleman, Kulonprogo, Wonosari</t>
  </si>
  <si>
    <t>120234102736170694</t>
  </si>
  <si>
    <t>ORD-1220</t>
  </si>
  <si>
    <t>Adha</t>
  </si>
  <si>
    <t>SAE project</t>
  </si>
  <si>
    <t>jasa bangun kontraktor</t>
  </si>
  <si>
    <t>6285177465204</t>
  </si>
  <si>
    <t>120235141065200235</t>
  </si>
  <si>
    <t>ORD-1221</t>
  </si>
  <si>
    <t>ORD-1222</t>
  </si>
  <si>
    <t>Kamal</t>
  </si>
  <si>
    <t>Klein reality</t>
  </si>
  <si>
    <t>memasarkan kavling the Hanjawong Villas</t>
  </si>
  <si>
    <t>6281287627383</t>
  </si>
  <si>
    <t>38-60 tahun</t>
  </si>
  <si>
    <t>ORD-1223</t>
  </si>
  <si>
    <t>6285869301245</t>
  </si>
  <si>
    <t>kabupaten Karangasem sekitarnya dan sepulo bali</t>
  </si>
  <si>
    <t>ORD-1224</t>
  </si>
  <si>
    <t>PT Kirana Transport</t>
  </si>
  <si>
    <t>Malaka, Johor, Malaysia</t>
  </si>
  <si>
    <t>ORD-1226</t>
  </si>
  <si>
    <t>Mohamad roidin</t>
  </si>
  <si>
    <t>wifi myrepublic</t>
  </si>
  <si>
    <t>6282226387170</t>
  </si>
  <si>
    <t>pemasangan wifi myrepublic</t>
  </si>
  <si>
    <t>jakarta</t>
  </si>
  <si>
    <t>19-45 tahun</t>
  </si>
  <si>
    <t>120234144432570694</t>
  </si>
  <si>
    <t>ORD-1227</t>
  </si>
  <si>
    <t>Kursus salon,rias pengantin,make up artist,eyelash,nail art dan bar ershop</t>
  </si>
  <si>
    <t>Jogja ,Klaten,Purworejo,Gunung Kidul,Magelang,Bantul</t>
  </si>
  <si>
    <t>ORD-1229</t>
  </si>
  <si>
    <t>Kleik reality</t>
  </si>
  <si>
    <t>120235193055180235</t>
  </si>
  <si>
    <t>ORD-1230</t>
  </si>
  <si>
    <t>ORD-1231</t>
  </si>
  <si>
    <t>Misni Arwati</t>
  </si>
  <si>
    <t>Hydroterapi Air</t>
  </si>
  <si>
    <t>Alkabest</t>
  </si>
  <si>
    <t>6281330759646</t>
  </si>
  <si>
    <t>Medan dan Wilayah Sumbagut</t>
  </si>
  <si>
    <t>120234144472620694</t>
  </si>
  <si>
    <t>ORD-1232</t>
  </si>
  <si>
    <t>Wahyudi Darmawan</t>
  </si>
  <si>
    <t>Ray White Bintaro Jaya Tiga</t>
  </si>
  <si>
    <t>6281287393915</t>
  </si>
  <si>
    <t>120235193401000235</t>
  </si>
  <si>
    <t>ORD-1233</t>
  </si>
  <si>
    <t>Edi Putra</t>
  </si>
  <si>
    <t xml:space="preserve">Bintang Motor </t>
  </si>
  <si>
    <t>Penjualan &amp; Servis Sepeda Motor Honda</t>
  </si>
  <si>
    <t>6285145256777</t>
  </si>
  <si>
    <t>Luwu Timur, Luwu Raya dan Toraja</t>
  </si>
  <si>
    <t>120234144475080694</t>
  </si>
  <si>
    <t>ORD-1234</t>
  </si>
  <si>
    <t>Asoni</t>
  </si>
  <si>
    <t>MOVINITE</t>
  </si>
  <si>
    <t>Perawatan Tubuh</t>
  </si>
  <si>
    <t>628112349706</t>
  </si>
  <si>
    <t>Kota Bandung, Kab. Bandung, Kab. Bandung Barat dan Kota Cimahi (Se Bandung Raya)</t>
  </si>
  <si>
    <t>120234225524230694</t>
  </si>
  <si>
    <t>ORD-1235</t>
  </si>
  <si>
    <t>Anne</t>
  </si>
  <si>
    <t>Omega Life Home Spa</t>
  </si>
  <si>
    <t>62895703252001</t>
  </si>
  <si>
    <t>Jakarta Utara</t>
  </si>
  <si>
    <t>120234144481870694</t>
  </si>
  <si>
    <t>ORD-1236</t>
  </si>
  <si>
    <t>18-Okt-2025</t>
  </si>
  <si>
    <t>ORD-1237</t>
  </si>
  <si>
    <t>ORD-1238</t>
  </si>
  <si>
    <t>ORD-1239</t>
  </si>
  <si>
    <t>Amin Murtandlo</t>
  </si>
  <si>
    <t>Alpha Sparepart HP Karanggede</t>
  </si>
  <si>
    <t>Service Hp</t>
  </si>
  <si>
    <t>6285191214595</t>
  </si>
  <si>
    <t>SPAREPART TERLENGKAP DI KARANGGEDE</t>
  </si>
  <si>
    <t>Karanggede Boyolali Jawa Tengah</t>
  </si>
  <si>
    <t>120234225538450694</t>
  </si>
  <si>
    <t>ORD-1240</t>
  </si>
  <si>
    <t>Yudi AC</t>
  </si>
  <si>
    <t>Selecta Technical Service</t>
  </si>
  <si>
    <t>Service Panggilan</t>
  </si>
  <si>
    <t>6287711729293</t>
  </si>
  <si>
    <t>Service AC, Kulkas, Mesin Cuci dll</t>
  </si>
  <si>
    <t>Tangerang Selatan dan Depok</t>
  </si>
  <si>
    <t>ORD-1241</t>
  </si>
  <si>
    <t>ORD-1243</t>
  </si>
  <si>
    <t>An Chung</t>
  </si>
  <si>
    <t>An Chung Water</t>
  </si>
  <si>
    <t>Pemasangan depo air minum isi ulang</t>
  </si>
  <si>
    <t>6282155336565</t>
  </si>
  <si>
    <t>Peluang Usaha Depo Air Minum Isi Ulang Ingin punya bisnis yang modal terjangkau, permintaan tinggi, dan laba berkelanjutan? Usaha depo air minum adalah jawabannya!</t>
  </si>
  <si>
    <t>kaltim dan kaltara</t>
  </si>
  <si>
    <t>120234225666200694</t>
  </si>
  <si>
    <t>ORD-1244</t>
  </si>
  <si>
    <t>desain, bangun baru, renovasi rumah</t>
  </si>
  <si>
    <t>bogor</t>
  </si>
  <si>
    <t>David sentosa</t>
  </si>
  <si>
    <t>Agen properti</t>
  </si>
  <si>
    <t>62817260911</t>
  </si>
  <si>
    <t>Tangerang,alam sutera, gading Serpong, Cikupa, citra raya,</t>
  </si>
  <si>
    <t>120235263785550235</t>
  </si>
  <si>
    <t>Kurniawan</t>
  </si>
  <si>
    <t>Saputra car wash</t>
  </si>
  <si>
    <t>Pelayanan jasa</t>
  </si>
  <si>
    <t>6287874019135</t>
  </si>
  <si>
    <t>120234225673540694</t>
  </si>
  <si>
    <t>Okta viadi</t>
  </si>
  <si>
    <t>Wahana honda</t>
  </si>
  <si>
    <t>Penjualan sepeda motor honda( cash&amp; credit)</t>
  </si>
  <si>
    <t>6285779204213</t>
  </si>
  <si>
    <t>Tangerang kota dan kabupaten</t>
  </si>
  <si>
    <t>21-45 tahun</t>
  </si>
  <si>
    <t>120234225691330694</t>
  </si>
  <si>
    <t>Eri Riana</t>
  </si>
  <si>
    <t>BUMDES bangun Sentosa mandiri</t>
  </si>
  <si>
    <t>investasi syariah (bagi hasil) jual beli kambing dan domba</t>
  </si>
  <si>
    <t>6285536645859</t>
  </si>
  <si>
    <t>seluruh kota di jawa</t>
  </si>
  <si>
    <t>50 tahun ke atas</t>
  </si>
  <si>
    <t>120234225694450694</t>
  </si>
  <si>
    <t>ORD-1242</t>
  </si>
  <si>
    <t>Rizal Jondi</t>
  </si>
  <si>
    <t>Gowes Untuk Bumi</t>
  </si>
  <si>
    <t>Event Organizer</t>
  </si>
  <si>
    <t>6285692993799</t>
  </si>
  <si>
    <t>120234363016390694</t>
  </si>
  <si>
    <t>Oim</t>
  </si>
  <si>
    <t>Sahila Trans</t>
  </si>
  <si>
    <t>Jasa Transportasi, Tour dan Travel.</t>
  </si>
  <si>
    <t>6281224803384</t>
  </si>
  <si>
    <t>Lampung Selatan, Lampung Timur, dan Bandar Lampung</t>
  </si>
  <si>
    <t>21- 50</t>
  </si>
  <si>
    <t>Perempuan &amp; Laki - Laki</t>
  </si>
  <si>
    <t>120234289984480694</t>
  </si>
  <si>
    <t>Esther</t>
  </si>
  <si>
    <t>Rumah Sehat Esther</t>
  </si>
  <si>
    <t>62881026498889</t>
  </si>
  <si>
    <t>Malang-Batu</t>
  </si>
  <si>
    <t>1-65 th</t>
  </si>
  <si>
    <t>120234289995580694</t>
  </si>
  <si>
    <t>ORD-1245</t>
  </si>
  <si>
    <t>Muzayyin</t>
  </si>
  <si>
    <t>Global Tour Jepara</t>
  </si>
  <si>
    <t>Travel Pariwisata</t>
  </si>
  <si>
    <t>6288238489812</t>
  </si>
  <si>
    <t>jawa Tengah. kabupaten, jepara, pati, kudus, demak</t>
  </si>
  <si>
    <t>120234600020540694</t>
  </si>
  <si>
    <t>ORD-1246</t>
  </si>
  <si>
    <t>Sri Herlina</t>
  </si>
  <si>
    <t>Herlins Furniture</t>
  </si>
  <si>
    <t>Kerajinan Tangan</t>
  </si>
  <si>
    <t>6285135535559</t>
  </si>
  <si>
    <t>terbuat dari bahan berkualitas tinggi</t>
  </si>
  <si>
    <t>Semarang Jakarta Bogor Bali Sumatra Kalimantan Palembang</t>
  </si>
  <si>
    <t>120235420654190235</t>
  </si>
  <si>
    <t>ORD-1247</t>
  </si>
  <si>
    <t>Dyah</t>
  </si>
  <si>
    <t>Teras Bu Dyah (u Catering</t>
  </si>
  <si>
    <t>Kuliner F&amp;B</t>
  </si>
  <si>
    <t>6281517599665</t>
  </si>
  <si>
    <t>UMKM &amp; Catering</t>
  </si>
  <si>
    <t>Jakarta, Bogor, Bekasi</t>
  </si>
  <si>
    <t>120234363021380694</t>
  </si>
  <si>
    <t>ORD-1248</t>
  </si>
  <si>
    <t>Evawani Febriyanti</t>
  </si>
  <si>
    <t>Kopi Juwara Gonoderma PT Shuang Hor</t>
  </si>
  <si>
    <t>MLM, Penjualan Berjenjang</t>
  </si>
  <si>
    <t>62895712902288</t>
  </si>
  <si>
    <t>120234289999560694</t>
  </si>
  <si>
    <t>ORD-1249</t>
  </si>
  <si>
    <t>13-Des-2025</t>
  </si>
  <si>
    <t>Faishal Filter</t>
  </si>
  <si>
    <t>Alat Penjernih Air</t>
  </si>
  <si>
    <t>6288296589477</t>
  </si>
  <si>
    <t>Se-Jabodetabek</t>
  </si>
  <si>
    <t>20-67 th</t>
  </si>
  <si>
    <t>120234289992330694</t>
  </si>
  <si>
    <t>ORD-1250</t>
  </si>
  <si>
    <t>Rigo</t>
  </si>
  <si>
    <t>Rigo Wi-Fi MyRepublik Pekanbaru</t>
  </si>
  <si>
    <t>Wi-Fi MyRepublik</t>
  </si>
  <si>
    <t>6282283028020</t>
  </si>
  <si>
    <t>120234290151310694</t>
  </si>
  <si>
    <t>ORD-1251</t>
  </si>
  <si>
    <t>Tofan Dwi Kristanto</t>
  </si>
  <si>
    <t>Kost Eksklusif</t>
  </si>
  <si>
    <t>6285727826488</t>
  </si>
  <si>
    <t>Semarang dan Jawa Tengah</t>
  </si>
  <si>
    <t>120235420220350235</t>
  </si>
  <si>
    <t>ORD-1252</t>
  </si>
  <si>
    <t>Amirul M</t>
  </si>
  <si>
    <t>Kavling kampung Melayu batu besar Batam</t>
  </si>
  <si>
    <t>Lahan kavling/tapak rumah ukuran 6x 10m²</t>
  </si>
  <si>
    <t>6282288320550</t>
  </si>
  <si>
    <t>Wilayah Batam</t>
  </si>
  <si>
    <t>120235420251390235</t>
  </si>
  <si>
    <t>ORD-1253</t>
  </si>
  <si>
    <t>ORD-1254</t>
  </si>
  <si>
    <t>ORD-1255</t>
  </si>
  <si>
    <t>Hikmat</t>
  </si>
  <si>
    <t>Patriot Genteng</t>
  </si>
  <si>
    <t>Jual Genteng Keramik, Genteng flat, beton, genteng Jatiwangi</t>
  </si>
  <si>
    <t>6282227534335</t>
  </si>
  <si>
    <t>Jabar, Banten DKI</t>
  </si>
  <si>
    <t>120235420586830235</t>
  </si>
  <si>
    <t>ORD-1256</t>
  </si>
  <si>
    <t>14-Des-2025</t>
  </si>
  <si>
    <t>Maniaka</t>
  </si>
  <si>
    <t>Maniaka Catering</t>
  </si>
  <si>
    <t>6281246072868</t>
  </si>
  <si>
    <t>Bali (Badung, Denpasar, Gianyar, Tabanan, Klungkung, Karangasem)</t>
  </si>
  <si>
    <t>120234436313700694</t>
  </si>
  <si>
    <t>ORD-1257</t>
  </si>
  <si>
    <t>Jasa Corlif BJA</t>
  </si>
  <si>
    <t>Jasa Corlif</t>
  </si>
  <si>
    <t>Jawa Barat, Jawa Tengah</t>
  </si>
  <si>
    <t>120235501529200235</t>
  </si>
  <si>
    <t>ORD-1258</t>
  </si>
  <si>
    <t>Wahyu</t>
  </si>
  <si>
    <t>Agen Dana Tunai</t>
  </si>
  <si>
    <t>Jasa Keuangan</t>
  </si>
  <si>
    <t>628111122017</t>
  </si>
  <si>
    <t>25-40 th</t>
  </si>
  <si>
    <t>ORD-1259</t>
  </si>
  <si>
    <t>Rusdy Trianto</t>
  </si>
  <si>
    <t>Schonheit Official</t>
  </si>
  <si>
    <t>628976305757</t>
  </si>
  <si>
    <t>120234436294510694</t>
  </si>
  <si>
    <t>ORD-1260</t>
  </si>
  <si>
    <t>Dr Hj Susi Suzana Astono MPH, FISQUA, CHAE</t>
  </si>
  <si>
    <t>Zie Laundry</t>
  </si>
  <si>
    <t>628119221176</t>
  </si>
  <si>
    <t>Pulomas, Pacuan Kuda, Kampung Ambon, Rawasari, Rawamangun, Puloasem</t>
  </si>
  <si>
    <t>120234489533490694</t>
  </si>
  <si>
    <t>ORD-1261</t>
  </si>
  <si>
    <t>Tarli</t>
  </si>
  <si>
    <t>Tarlie Tehnik</t>
  </si>
  <si>
    <t>Bengkel Las dan Sipil</t>
  </si>
  <si>
    <t>6285136912407</t>
  </si>
  <si>
    <t>27-61 th</t>
  </si>
  <si>
    <t>120235501604980235</t>
  </si>
  <si>
    <t>ORD-1262</t>
  </si>
  <si>
    <t>Bambang Supriyanto</t>
  </si>
  <si>
    <t>mebel sifjepara</t>
  </si>
  <si>
    <t>Meubel/furniture</t>
  </si>
  <si>
    <t>6281325669787</t>
  </si>
  <si>
    <t>melayani pembuatan tempat tidur barong mewah,meja kursi belajar sekolah SD SMP SMK,meja makan, gazebo,almari pakaian</t>
  </si>
  <si>
    <t>jakarta,Bali,Medan, bandung,Jogja, Kalimantan</t>
  </si>
  <si>
    <t>22-55 tahun</t>
  </si>
  <si>
    <t>120235501618400235</t>
  </si>
  <si>
    <t>ORD-1263</t>
  </si>
  <si>
    <t>Heri Wahyudianto</t>
  </si>
  <si>
    <t>Consultan Umroh (Ventour)</t>
  </si>
  <si>
    <t>Consultan Umroh</t>
  </si>
  <si>
    <t>120234436307050694</t>
  </si>
  <si>
    <t>ORD-1264</t>
  </si>
  <si>
    <t>Bindo Prtama</t>
  </si>
  <si>
    <t>Dhatia Tour and Travel</t>
  </si>
  <si>
    <t>6282358936888</t>
  </si>
  <si>
    <t>Tenggarong/Samarinda Kalimantan Timur</t>
  </si>
  <si>
    <t>17-50 th</t>
  </si>
  <si>
    <t>120234489535040694</t>
  </si>
  <si>
    <t>ORD-1265</t>
  </si>
  <si>
    <t>62075670898</t>
  </si>
  <si>
    <t>ORD-1266</t>
  </si>
  <si>
    <t>ORD-1267</t>
  </si>
  <si>
    <t>Darman Wang</t>
  </si>
  <si>
    <t>Dcar Detailer Carwash</t>
  </si>
  <si>
    <t>Salon mobil dan motor</t>
  </si>
  <si>
    <t>6281236788148</t>
  </si>
  <si>
    <t>Bulusan Tembalang Semarang</t>
  </si>
  <si>
    <t>Pria Wanita</t>
  </si>
  <si>
    <t>120234489533730694</t>
  </si>
  <si>
    <t>ORD-1268</t>
  </si>
  <si>
    <t>Riyan</t>
  </si>
  <si>
    <t>Riyan Interior</t>
  </si>
  <si>
    <t>6282148973454</t>
  </si>
  <si>
    <t>Jayapura</t>
  </si>
  <si>
    <t>120235583382570235</t>
  </si>
  <si>
    <t>ORD-1269</t>
  </si>
  <si>
    <t>Dody</t>
  </si>
  <si>
    <t>Sultan Aquarium</t>
  </si>
  <si>
    <t>Aquarium</t>
  </si>
  <si>
    <t>6281357656901</t>
  </si>
  <si>
    <t>Jawa Timur terutama wilayah terdekat Sidoarjo</t>
  </si>
  <si>
    <t>ORD-1270</t>
  </si>
  <si>
    <t>Putu Arzha</t>
  </si>
  <si>
    <t>Ratu Isyana beauty ubud</t>
  </si>
  <si>
    <t>SPA dan Salon</t>
  </si>
  <si>
    <t>6287750640871</t>
  </si>
  <si>
    <t>Other services coming soon such as creambath, hair spa, hair braiding, spa manicure, pedicure, hair wash and etc.</t>
  </si>
  <si>
    <t>Denpasar, Kuta, Sanur, nusa dua dan Ubud Gianyar</t>
  </si>
  <si>
    <t>5 Tahun keatas</t>
  </si>
  <si>
    <t>120236226598790200</t>
  </si>
  <si>
    <t>ORD-1271</t>
  </si>
  <si>
    <t>ORD-1272</t>
  </si>
  <si>
    <t>ORD-1273</t>
  </si>
  <si>
    <t>Solo, Jogja, Sukoharjo, Klaten, Boyolali, Wonogiri, Salatiga</t>
  </si>
  <si>
    <t>ORD-1274</t>
  </si>
  <si>
    <t>ORD-1275</t>
  </si>
  <si>
    <t>Sahabat Tegar</t>
  </si>
  <si>
    <t>Penjualan langsung</t>
  </si>
  <si>
    <t>6281369013633</t>
  </si>
  <si>
    <t>Produk kesehatan, kecantikan, peternakan, pertanian</t>
  </si>
  <si>
    <t>120234562274690694</t>
  </si>
  <si>
    <t>ORD-1276</t>
  </si>
  <si>
    <t>Julaspi</t>
  </si>
  <si>
    <t>Villa glamping prigen</t>
  </si>
  <si>
    <t>jual villa glamping dan kavling</t>
  </si>
  <si>
    <t>6285141091362</t>
  </si>
  <si>
    <t>Surabaya, Sidoarjo,Pandaan,prigen</t>
  </si>
  <si>
    <t>120235691080270235</t>
  </si>
  <si>
    <t>ORD-1277</t>
  </si>
  <si>
    <t>120235691082710235</t>
  </si>
  <si>
    <t>ORD-1278</t>
  </si>
  <si>
    <t>Azzam</t>
  </si>
  <si>
    <t>Pondok Tahfidz</t>
  </si>
  <si>
    <t>Pondok Pesantren</t>
  </si>
  <si>
    <t>62881010320770</t>
  </si>
  <si>
    <t>120234599976620694</t>
  </si>
  <si>
    <t>ORD-1279</t>
  </si>
  <si>
    <t>Roji</t>
  </si>
  <si>
    <t>Yamaha Motor Bali</t>
  </si>
  <si>
    <t>Dealer Yamaha Motor</t>
  </si>
  <si>
    <t>6282266256678</t>
  </si>
  <si>
    <t>120234562277970694</t>
  </si>
  <si>
    <t>ORD-1280</t>
  </si>
  <si>
    <t>Kontruksi dan Interior</t>
  </si>
  <si>
    <t>Jateng, DIY</t>
  </si>
  <si>
    <t>ORD-1281</t>
  </si>
  <si>
    <t>Ja'far Sobari</t>
  </si>
  <si>
    <t>Amanah Tour Travel</t>
  </si>
  <si>
    <t>Jasa Travel</t>
  </si>
  <si>
    <t>6281282788282</t>
  </si>
  <si>
    <t>Travel haji dan umroh</t>
  </si>
  <si>
    <t>120234562279750694</t>
  </si>
  <si>
    <t>ORD-1282</t>
  </si>
  <si>
    <t>Afianudin</t>
  </si>
  <si>
    <t>Tukang-jabodetabek</t>
  </si>
  <si>
    <t>pemborong bangunan/ kontraktor</t>
  </si>
  <si>
    <t>Jabodetabek terutama jakarta timur, Bekasi, jakarta barat, jakarta selatan, jakarta pusat, Depok</t>
  </si>
  <si>
    <t>ORD-1283</t>
  </si>
  <si>
    <t>Pali</t>
  </si>
  <si>
    <t>Profesional terapi</t>
  </si>
  <si>
    <t>6285337776770</t>
  </si>
  <si>
    <t>melayani pijat, Bekam, ruqyah,gurah suara dan totok syaraf</t>
  </si>
  <si>
    <t>kecamatan Bahodopi dan sekitarnya</t>
  </si>
  <si>
    <t>120234562284110694</t>
  </si>
  <si>
    <t>ORD-1285</t>
  </si>
  <si>
    <t>sulton</t>
  </si>
  <si>
    <t>kelas online membuat video cerita AI</t>
  </si>
  <si>
    <t>kelas online</t>
  </si>
  <si>
    <t>6285714094023</t>
  </si>
  <si>
    <t>produktif</t>
  </si>
  <si>
    <t>120234599990210694</t>
  </si>
  <si>
    <t>ORD-1286</t>
  </si>
  <si>
    <t>Nario Prabowo Hutagalung</t>
  </si>
  <si>
    <t>NarioDaihatsuPas</t>
  </si>
  <si>
    <t>Mobil Daihatsu</t>
  </si>
  <si>
    <t>6282181277069</t>
  </si>
  <si>
    <t>Medan dan Deli Serdang</t>
  </si>
  <si>
    <t>120234562282040694</t>
  </si>
  <si>
    <t>ORD-1287</t>
  </si>
  <si>
    <t>Bu Yati</t>
  </si>
  <si>
    <t>Bakery Broti</t>
  </si>
  <si>
    <t>6282120480802</t>
  </si>
  <si>
    <t>Pasar Cihapit, Paskal, Setia Budhi, Lembang, Ciwalk</t>
  </si>
  <si>
    <t>120234718205490694</t>
  </si>
  <si>
    <t>ORD-1288</t>
  </si>
  <si>
    <t>Rudi Jaya Elektrical</t>
  </si>
  <si>
    <t>Elektrical/Listrik</t>
  </si>
  <si>
    <t>120234562282820694</t>
  </si>
  <si>
    <t>Sugianto</t>
  </si>
  <si>
    <t>Sugi Ornament</t>
  </si>
  <si>
    <t>Ornamen Masjid, musholah dan rumah</t>
  </si>
  <si>
    <t>6287830703946</t>
  </si>
  <si>
    <t>Tegal Pekalongan, Batang, Weleri</t>
  </si>
  <si>
    <t>laki-laki &amp; perempuang</t>
  </si>
  <si>
    <t>120235648608020235</t>
  </si>
  <si>
    <t>ORD-1289</t>
  </si>
  <si>
    <t>24-Okt-2025</t>
  </si>
  <si>
    <t>ORD-1290</t>
  </si>
  <si>
    <t>ORD-1291</t>
  </si>
  <si>
    <t>Artha anagata</t>
  </si>
  <si>
    <t>Spesialis aluminium upvc bali,relling, kanopi,</t>
  </si>
  <si>
    <t>Jasa pemasangan dan pembuatan atau fabrikasi</t>
  </si>
  <si>
    <t>6285179930885</t>
  </si>
  <si>
    <t>Denpasar,tubanan, Ubud,Canggu,Sanur,nusa dua</t>
  </si>
  <si>
    <t>22-65 tahun</t>
  </si>
  <si>
    <t>120235691088320235</t>
  </si>
  <si>
    <t>ORD-1292</t>
  </si>
  <si>
    <t>apartemen taman melati Surabaya (https</t>
  </si>
  <si>
    <t>Jual sewa apartemen</t>
  </si>
  <si>
    <t>6287782059170</t>
  </si>
  <si>
    <t>Seluruh kota besar di Indonesia</t>
  </si>
  <si>
    <t>20-45 tahun</t>
  </si>
  <si>
    <t>120235691089750235</t>
  </si>
  <si>
    <t>ORD-1293</t>
  </si>
  <si>
    <t>Zulpadli</t>
  </si>
  <si>
    <t>RUMAH SEHAT ALFATIH</t>
  </si>
  <si>
    <t>PENGOBATAN TRADISIONAL</t>
  </si>
  <si>
    <t>PEKANBARU SEKITARNYA</t>
  </si>
  <si>
    <t>18 SAMPAI 65 THN</t>
  </si>
  <si>
    <t>120234600002560694</t>
  </si>
  <si>
    <t>ORD-1294</t>
  </si>
  <si>
    <t>Riyadi</t>
  </si>
  <si>
    <t>Mega Cemerlang Center</t>
  </si>
  <si>
    <t>One stop cleaning solution</t>
  </si>
  <si>
    <t>6287852936679</t>
  </si>
  <si>
    <t>Peluang Bisnis Menguntungkan Bersama Mega Cemerlang Cleaning Center</t>
  </si>
  <si>
    <t>120234600007400694</t>
  </si>
  <si>
    <t>ORD-1295</t>
  </si>
  <si>
    <t>produk unik harga antik</t>
  </si>
  <si>
    <t>jual produk unik kekinian dengan harga discount yang besar</t>
  </si>
  <si>
    <t>seluruh kota besar di Jawa</t>
  </si>
  <si>
    <t>120234663220340694</t>
  </si>
  <si>
    <t>ORD-1296</t>
  </si>
  <si>
    <t>Nurilan</t>
  </si>
  <si>
    <t>Service Water Heater Terdekat</t>
  </si>
  <si>
    <t>Service Water Heater</t>
  </si>
  <si>
    <t>628111820815</t>
  </si>
  <si>
    <t>service water heater, solahart, wika swh, ariston dll</t>
  </si>
  <si>
    <t>Jakarta, Bogor, Tangerang, Depok</t>
  </si>
  <si>
    <t>120234600014180694</t>
  </si>
  <si>
    <t>ORD-1297</t>
  </si>
  <si>
    <t>Wasis Al Aziz</t>
  </si>
  <si>
    <t>Hidayah Jaya Abadi Farm</t>
  </si>
  <si>
    <t>Peternakan Kambing &amp; Domba Genetik Unggul</t>
  </si>
  <si>
    <t>6282135671899</t>
  </si>
  <si>
    <t>120234663244120694</t>
  </si>
  <si>
    <t>ORD-1298</t>
  </si>
  <si>
    <t>ORD-1299</t>
  </si>
  <si>
    <t>Muntamah</t>
  </si>
  <si>
    <t>BP Grup/Komunitas PPQ (Pengusaha Pencinta Qur'an</t>
  </si>
  <si>
    <t>Produk Kesehatan dan kecantikan</t>
  </si>
  <si>
    <t>6285602588779</t>
  </si>
  <si>
    <t>120234663317600694</t>
  </si>
  <si>
    <t>ORD-1301</t>
  </si>
  <si>
    <t>Therapy kang harjo</t>
  </si>
  <si>
    <t>therapy syaraf, kejepit, stroke,bekam,fashdu,asam urat, kolesterol,gula darah, nyeri lutut,bahu leher,ksleo, vertigo,darah tinggi,kebas, kesemutan dll</t>
  </si>
  <si>
    <t>6287754649850</t>
  </si>
  <si>
    <t>kecamatan Sangatta Utara, kecamatan sanggata selatan, kecamatan rantaupulung,kecamatan bengalon</t>
  </si>
  <si>
    <t>120234663322280694</t>
  </si>
  <si>
    <t>ORD-1303</t>
  </si>
  <si>
    <t>ERIQ</t>
  </si>
  <si>
    <t>oke laundry Ersa profesional</t>
  </si>
  <si>
    <t>laundry kiloan</t>
  </si>
  <si>
    <t>628116612224</t>
  </si>
  <si>
    <t>120234663323450694</t>
  </si>
  <si>
    <t>ORD-1304</t>
  </si>
  <si>
    <t>Joko Santoso</t>
  </si>
  <si>
    <t>Sam Transa</t>
  </si>
  <si>
    <t>Tour Travel and Cargo</t>
  </si>
  <si>
    <t>6282142550427</t>
  </si>
  <si>
    <t>Melayani Travel Reguler, Travel Cargo</t>
  </si>
  <si>
    <t>Jawa Timur &amp; Jawa Tengah</t>
  </si>
  <si>
    <t>120234663325370694</t>
  </si>
  <si>
    <t>ORD-1305</t>
  </si>
  <si>
    <t>ORD-1306</t>
  </si>
  <si>
    <t>ORD-1307</t>
  </si>
  <si>
    <t>Andy</t>
  </si>
  <si>
    <t>Berkah Cleaning service dan laundry</t>
  </si>
  <si>
    <t>laundry</t>
  </si>
  <si>
    <t>6287858406222</t>
  </si>
  <si>
    <t>Jasa bersih bersih</t>
  </si>
  <si>
    <t>Seluruh Batam</t>
  </si>
  <si>
    <t>120234663301120694</t>
  </si>
  <si>
    <t>ORD-1309</t>
  </si>
  <si>
    <t>Kasir</t>
  </si>
  <si>
    <t>Erka Solution</t>
  </si>
  <si>
    <t>Pelatihan dan Konsultan</t>
  </si>
  <si>
    <t>6281395812234</t>
  </si>
  <si>
    <t>Bandung (Kota dan Kabupaten) dan Seluruh Indonesia</t>
  </si>
  <si>
    <t>35-50 th</t>
  </si>
  <si>
    <t>120234718194200694</t>
  </si>
  <si>
    <t>ORD-1310</t>
  </si>
  <si>
    <t>Taoufik Suaidi</t>
  </si>
  <si>
    <t>Sobocar Autodetailing</t>
  </si>
  <si>
    <t>Salon Mobil/Bengkel</t>
  </si>
  <si>
    <t>6282250370505</t>
  </si>
  <si>
    <t>Salon Perawatan mobil pertama di kota Sambas</t>
  </si>
  <si>
    <t>Sambas Kalimantan Barat</t>
  </si>
  <si>
    <t>120234718195610694</t>
  </si>
  <si>
    <t>ORD-1311</t>
  </si>
  <si>
    <t>Abdus salam</t>
  </si>
  <si>
    <t>Hamdalah Computer</t>
  </si>
  <si>
    <t>jual beli laptop dan service</t>
  </si>
  <si>
    <t>6281936003881</t>
  </si>
  <si>
    <t>Denpasar Barat</t>
  </si>
  <si>
    <t>20 - 35 tahun</t>
  </si>
  <si>
    <t>120234718199970694</t>
  </si>
  <si>
    <t>ORD-1312</t>
  </si>
  <si>
    <t>mbskotacimahi</t>
  </si>
  <si>
    <t>MBS AJA BAGUS</t>
  </si>
  <si>
    <t>travel umrah dan hajI</t>
  </si>
  <si>
    <t>62816690928</t>
  </si>
  <si>
    <t>TRAVEL UMRAH DAN HAJ</t>
  </si>
  <si>
    <t>jawa barat khusus area Kota CIMAHI,KAB KBB,Kota Bandung,Kab bandung, Subang, Garut ,Tasik, purwakarta</t>
  </si>
  <si>
    <t>18keatas</t>
  </si>
  <si>
    <t>120234785027910694</t>
  </si>
  <si>
    <t>Suyanto</t>
  </si>
  <si>
    <t>Rumah sehat sumber maron/pusat sunat tidak sakit</t>
  </si>
  <si>
    <t>sunat tidak sakit</t>
  </si>
  <si>
    <t>6285334003008</t>
  </si>
  <si>
    <t>Promo liburan ceria nih yuk gunain liburan di kecil dengan sunat di pusat sunat tidak sakit . Dapat hadiah menarik dan dapatkan pelayanan yang nyaman buat anak anda sudah dipercaya,Ibu ayah jangan tunda lagi hadiah istimewa untuk buah hati di liburan ini adalah khitan</t>
  </si>
  <si>
    <t>Kepanjen, pagelaran,Bululawang,turen,Gondanglegi</t>
  </si>
  <si>
    <t>120234785037400694</t>
  </si>
  <si>
    <t>Mindia sari</t>
  </si>
  <si>
    <t>Ciptakarya paramacitra</t>
  </si>
  <si>
    <t>ikatan Penerbit buku Indonesia</t>
  </si>
  <si>
    <t>6289506338444</t>
  </si>
  <si>
    <t>Indonesia khusunya jakarta, bandung,malang, Surabaya,Medan, Sumatra, Sulawesi</t>
  </si>
  <si>
    <t>27-50 tahun</t>
  </si>
  <si>
    <t>120234785057310694</t>
  </si>
  <si>
    <t>ORD-1313</t>
  </si>
  <si>
    <t>ORD-1314</t>
  </si>
  <si>
    <t>6289504615501</t>
  </si>
  <si>
    <t>120236385680840200</t>
  </si>
  <si>
    <t>ORD-1315</t>
  </si>
  <si>
    <t>Angga</t>
  </si>
  <si>
    <t>Bengkel Las Karya Sodara</t>
  </si>
  <si>
    <t>Kanopi Pintu</t>
  </si>
  <si>
    <t>6281282148369</t>
  </si>
  <si>
    <t>120235907010000235</t>
  </si>
  <si>
    <t>ORD-1316</t>
  </si>
  <si>
    <t>Sukabumi, Cianjur, Bogor, Depok, Rangkas Bitung</t>
  </si>
  <si>
    <t>ORD-1317</t>
  </si>
  <si>
    <t>A.Jeffry</t>
  </si>
  <si>
    <t>Aatha Trans</t>
  </si>
  <si>
    <t>Agent Travel</t>
  </si>
  <si>
    <t>6282315999337</t>
  </si>
  <si>
    <t>Malaysia, Singapore, Thailand, China</t>
  </si>
  <si>
    <t>120234785053460694</t>
  </si>
  <si>
    <t>ORD-1318</t>
  </si>
  <si>
    <t>Upi</t>
  </si>
  <si>
    <t>Wifi My Republik</t>
  </si>
  <si>
    <t>Wifi</t>
  </si>
  <si>
    <t>62882008728060</t>
  </si>
  <si>
    <t>Sekabupaten Cilacap</t>
  </si>
  <si>
    <t>120234837775530694</t>
  </si>
  <si>
    <t>ORD-1322</t>
  </si>
  <si>
    <t>Sarwin Syahputra</t>
  </si>
  <si>
    <t>PT Rizki Berkah Mitra Mandiri</t>
  </si>
  <si>
    <t>Jasa Kepengurusan</t>
  </si>
  <si>
    <t>6285275329089</t>
  </si>
  <si>
    <t>Kami menyediakan jasa kepengurusan</t>
  </si>
  <si>
    <t>120234837803740694</t>
  </si>
  <si>
    <t>ORD-1324</t>
  </si>
  <si>
    <t>jasa bangun baru/renovasi rumah,ruko,pabrik, kitchen set, kanopi, atap baja,pagar dll</t>
  </si>
  <si>
    <t>ORD-1325</t>
  </si>
  <si>
    <t>Samarinda , Tenggarong &amp; balikpapan</t>
  </si>
  <si>
    <t>ORD-1326</t>
  </si>
  <si>
    <t>Jakarta utara</t>
  </si>
  <si>
    <t>ORD-1327</t>
  </si>
  <si>
    <t>Adi Sucipto</t>
  </si>
  <si>
    <t>Sumber Rezeki</t>
  </si>
  <si>
    <t>Perbengkelan</t>
  </si>
  <si>
    <t>6287889902933</t>
  </si>
  <si>
    <t>Jabodetabek dan Karawang</t>
  </si>
  <si>
    <t>120235967264090235</t>
  </si>
  <si>
    <t>ORD-1328</t>
  </si>
  <si>
    <t>Nitha</t>
  </si>
  <si>
    <t>Holly Ice-cream</t>
  </si>
  <si>
    <t>Ice cream</t>
  </si>
  <si>
    <t>628114207593</t>
  </si>
  <si>
    <t>Kami berkomitmen dan bertanggung jawab untuk menghasilkan produk halal dengan hanya menggunakan bahan yang telah disetujui oleh BPJH dan LPH, serta diproduksi dengan menggunakan peralatan yang bebas dari najis, kami akan mencapainya dengan membentuk tim manajemen halal dan melaksanakan dengan sungguh sungguh sistem jaminan produk halal</t>
  </si>
  <si>
    <t>Kec.Nuha, Kec. Towuti, Desa Langkea Raya, Desa Wawondula, Desa Pekaloa, Desa Matompi, Desa Lioka, Desa Timampu, Desa Mahalona, Desa Asuli, Desa Baruga, Desa Bantilang, Desa Rante angin, Desa Tokalimbo, Desa Leoha Kec. Wasuponda, Kec. Malili, Kec. Mangkutana, Kec. Tomoni, Kec. Luwu Timur</t>
  </si>
  <si>
    <t>6-60 tahun</t>
  </si>
  <si>
    <t>120234907308350694</t>
  </si>
  <si>
    <t>ORD-1331</t>
  </si>
  <si>
    <t>ZULPADLI</t>
  </si>
  <si>
    <t>Pelatihan Bekam SOP PBI</t>
  </si>
  <si>
    <t>pelatihan bekam</t>
  </si>
  <si>
    <t>22 sampai 50</t>
  </si>
  <si>
    <t>ORD-1332</t>
  </si>
  <si>
    <t>CV. bangun dunia akhirat</t>
  </si>
  <si>
    <t>ORD-1333</t>
  </si>
  <si>
    <t>bengkel maju bersama</t>
  </si>
  <si>
    <t>ORD-1334</t>
  </si>
  <si>
    <t>Martinus Gunadi</t>
  </si>
  <si>
    <t>Turtle Property</t>
  </si>
  <si>
    <t>Agen Property</t>
  </si>
  <si>
    <t>6285716918108</t>
  </si>
  <si>
    <t>Jabodetabek dengan kemampuan data beli di income &gt;20jt/bln</t>
  </si>
  <si>
    <t>120235967265750235</t>
  </si>
  <si>
    <t>ORD-1335</t>
  </si>
  <si>
    <t>CV Karya Cahaya Gemilang (1 TF)</t>
  </si>
  <si>
    <t>ORD-1336</t>
  </si>
  <si>
    <t>ORD-1337</t>
  </si>
  <si>
    <t>Roni Vitanus</t>
  </si>
  <si>
    <t>Thata Property</t>
  </si>
  <si>
    <t>Marketing Perumahan</t>
  </si>
  <si>
    <t>6281374879424</t>
  </si>
  <si>
    <t>Pekanbaru, Pelalawan, Siak, Kampar, Riau</t>
  </si>
  <si>
    <t>120235967268540235</t>
  </si>
  <si>
    <t>ORD-1338</t>
  </si>
  <si>
    <t>electrical/listrik</t>
  </si>
  <si>
    <t>ORD-1340</t>
  </si>
  <si>
    <t>ORD-1341</t>
  </si>
  <si>
    <t>Tabib Abu Fadhilah Assy'a Bani</t>
  </si>
  <si>
    <t>Minyak Balur herbal Ruqyah Cita Karya Rampah</t>
  </si>
  <si>
    <t>6281260058715</t>
  </si>
  <si>
    <t>Semut, Pekanbaru, Riau, dan Sumatera Utara</t>
  </si>
  <si>
    <t>1 tahun sampai lanjut usia</t>
  </si>
  <si>
    <t>120234902274820694</t>
  </si>
  <si>
    <t>ORD-1343</t>
  </si>
  <si>
    <t>Santoso</t>
  </si>
  <si>
    <t>Putra Tidar Kontruksi</t>
  </si>
  <si>
    <t>Karoseri Foodtruck</t>
  </si>
  <si>
    <t>6285329035057</t>
  </si>
  <si>
    <t>Pembuatan mobil box untuk jualan makanan-minuman</t>
  </si>
  <si>
    <t>120235967272510235</t>
  </si>
  <si>
    <t>ORD-1345</t>
  </si>
  <si>
    <t>Shandy mqndasia</t>
  </si>
  <si>
    <t>TMT Garage by QQQ</t>
  </si>
  <si>
    <t>Bengkel motor</t>
  </si>
  <si>
    <t>6281293111178</t>
  </si>
  <si>
    <t>Service/Tune Up/Sparepart/cuci motor</t>
  </si>
  <si>
    <t>15km seputaran lokasi bengkel</t>
  </si>
  <si>
    <t>120234902291120694</t>
  </si>
  <si>
    <t>ORD-1342</t>
  </si>
  <si>
    <t>ORD-1347</t>
  </si>
  <si>
    <t>Didi Rosidi</t>
  </si>
  <si>
    <t>Barokah Tehnik Cirebon</t>
  </si>
  <si>
    <t>Jasa Cuci toren</t>
  </si>
  <si>
    <t>628990666173</t>
  </si>
  <si>
    <t>jasa cuci toren Cirebon dan sekitarnya,ahli perwakilan dan instalasi Air di Cirebon ,tambal toren ,pipa/WC mampet dll</t>
  </si>
  <si>
    <t>Cirebon dan sekitarnya</t>
  </si>
  <si>
    <t>120234902294260694</t>
  </si>
  <si>
    <t>ORD-1346</t>
  </si>
  <si>
    <t>6285285589041</t>
  </si>
  <si>
    <t>ORD-1348</t>
  </si>
  <si>
    <t>Denny Ibrahim</t>
  </si>
  <si>
    <t>Raja Daging Sajifood</t>
  </si>
  <si>
    <t>Daging Frozen</t>
  </si>
  <si>
    <t>6281223331880</t>
  </si>
  <si>
    <t>120234902299180694</t>
  </si>
  <si>
    <t>Muhammad Faiq</t>
  </si>
  <si>
    <t>Villa.Puncak.com</t>
  </si>
  <si>
    <t>Persewaan villa di puncak Bogor</t>
  </si>
  <si>
    <t>6281296671835</t>
  </si>
  <si>
    <t>Jakarta, kab.bogor, kota Bogor, kota Depok, kab.bekasi kota Bekasi, kan.tangerang selatan kab.tangerang kota Tangerang</t>
  </si>
  <si>
    <t>120236027657260235</t>
  </si>
  <si>
    <t>ORD-1349</t>
  </si>
  <si>
    <t>Sultan Aquarium (Dodi Aquarium)</t>
  </si>
  <si>
    <t>120235906990380235</t>
  </si>
  <si>
    <t>ORD-1352</t>
  </si>
  <si>
    <t>Wagiman</t>
  </si>
  <si>
    <t>6285839388829</t>
  </si>
  <si>
    <t>120234948864400694</t>
  </si>
  <si>
    <t>ORD-1351</t>
  </si>
  <si>
    <t>ORD-1362</t>
  </si>
  <si>
    <t>Imaniar</t>
  </si>
  <si>
    <t>NiarBeauty Store</t>
  </si>
  <si>
    <t>Kosmetik dan Herbal</t>
  </si>
  <si>
    <t>6285817484675</t>
  </si>
  <si>
    <t>Ratusan produk kosmetik branded</t>
  </si>
  <si>
    <t>Cikampek, Karawang, Jawa Barat</t>
  </si>
  <si>
    <t>17-45 tahun</t>
  </si>
  <si>
    <t>120234948865510694</t>
  </si>
  <si>
    <t>ORD-1364</t>
  </si>
  <si>
    <t>Sifa</t>
  </si>
  <si>
    <t>Pijat Trapis</t>
  </si>
  <si>
    <t>6285189067481</t>
  </si>
  <si>
    <t>Kabupaten Temanggung dan Sekitarnya. Maron Parakan Kedu Kragan Temanggung Kota, Magelang dan Sekitarnya</t>
  </si>
  <si>
    <t>120234948868720694</t>
  </si>
  <si>
    <t>ORD-1353</t>
  </si>
  <si>
    <t>ORD-1354</t>
  </si>
  <si>
    <t>ORD-1355</t>
  </si>
  <si>
    <t>ORD-1356</t>
  </si>
  <si>
    <t>ORD-1357</t>
  </si>
  <si>
    <t>ORD-1358</t>
  </si>
  <si>
    <t>Thobib Abdullah</t>
  </si>
  <si>
    <t>Griya Sehat Al fatih</t>
  </si>
  <si>
    <t>Ruqyah Syar'iyyah,bekam dan gurah</t>
  </si>
  <si>
    <t>kota Palopo(Luwu Raya)</t>
  </si>
  <si>
    <t>ORD-1360</t>
  </si>
  <si>
    <t>ORD-1361</t>
  </si>
  <si>
    <t>ORD-1365</t>
  </si>
  <si>
    <t>Slamet</t>
  </si>
  <si>
    <t>BIR'ALI TOUR &amp; TRAVEL</t>
  </si>
  <si>
    <t>6287788161343</t>
  </si>
  <si>
    <t>Se-Jawa Timur</t>
  </si>
  <si>
    <t>120234948872330694</t>
  </si>
  <si>
    <t>ORD-1363</t>
  </si>
  <si>
    <t>ORD-1369</t>
  </si>
  <si>
    <t>Kadri</t>
  </si>
  <si>
    <t>Flyglow</t>
  </si>
  <si>
    <t>skincare</t>
  </si>
  <si>
    <t>6285754778814</t>
  </si>
  <si>
    <t>facial wash,toner,day cream, night cream dll</t>
  </si>
  <si>
    <t>12 tahun ke atas</t>
  </si>
  <si>
    <t>120234948882650694</t>
  </si>
  <si>
    <t>ORD-1370</t>
  </si>
  <si>
    <t>Villa Alibaba Batu Regency</t>
  </si>
  <si>
    <t>Persewaan Villa</t>
  </si>
  <si>
    <t>6281235675956</t>
  </si>
  <si>
    <t>Melayani Persewaan Villa</t>
  </si>
  <si>
    <t>Kota Batu</t>
  </si>
  <si>
    <t>120236074875580235</t>
  </si>
  <si>
    <t>ORD-1366</t>
  </si>
  <si>
    <t>Ninis</t>
  </si>
  <si>
    <t>Samira Travel</t>
  </si>
  <si>
    <t>travel umroh dan haji</t>
  </si>
  <si>
    <t>6281216704496</t>
  </si>
  <si>
    <t>Surabaya, Sidoarjo, Gresik</t>
  </si>
  <si>
    <t>25-40 tahun (milenial)</t>
  </si>
  <si>
    <t>120234948877560694</t>
  </si>
  <si>
    <t>ORD-1367</t>
  </si>
  <si>
    <t>ORD-1368</t>
  </si>
  <si>
    <t>Bahan multiplek, dan pvc boart,  pinishing HPL luar dalam</t>
  </si>
  <si>
    <t>05-Des-2026</t>
  </si>
  <si>
    <t>windu</t>
  </si>
  <si>
    <t>PT FREMONT GREEN VISION</t>
  </si>
  <si>
    <t>jasa arsitektur pengurusan PPKPR , SLF dan PBG</t>
  </si>
  <si>
    <t>6285270194027</t>
  </si>
  <si>
    <t>Pekanbaru, Sumatra Utara,Jawa</t>
  </si>
  <si>
    <t>120235967267480235</t>
  </si>
  <si>
    <t>ORD-1350</t>
  </si>
  <si>
    <t>Mughoffar</t>
  </si>
  <si>
    <t>Fartek Pool</t>
  </si>
  <si>
    <t>Kontraktor Specialis Kolam Renang</t>
  </si>
  <si>
    <t>6281617770477</t>
  </si>
  <si>
    <t>Jakarta, Bogor, Tangerang, Bekasi, Depok, Depok, Bandung, Garut, Banten, Yogyakarta</t>
  </si>
  <si>
    <t>120236115427480235</t>
  </si>
  <si>
    <t>ORD-1372</t>
  </si>
  <si>
    <t>Syamsuddin</t>
  </si>
  <si>
    <t>Sehat Impian Bersama</t>
  </si>
  <si>
    <t>Bekam, Ruqyah, Syar'iyyah dan MLS (Methode Limbic System)</t>
  </si>
  <si>
    <t>6285338813949</t>
  </si>
  <si>
    <t>Kecamatan Sambaliung, Kabupaten kabupaten Berau, Kalimantan Timur</t>
  </si>
  <si>
    <t>120234989992760694</t>
  </si>
  <si>
    <t>ORD-1391</t>
  </si>
  <si>
    <t>Subiyakto</t>
  </si>
  <si>
    <t>Seminar Bisnis Buka Rumah Terapi Canggih penghasilan puluhan juta /bulan</t>
  </si>
  <si>
    <t>Sekolah terapi kesehatan Canggih</t>
  </si>
  <si>
    <t>6281445321599</t>
  </si>
  <si>
    <t>Home care Terapi canggih</t>
  </si>
  <si>
    <t>16-60 thn</t>
  </si>
  <si>
    <t>120235043338070694</t>
  </si>
  <si>
    <t>ORD-1374</t>
  </si>
  <si>
    <t>ija</t>
  </si>
  <si>
    <t>R'Can kontruksi</t>
  </si>
  <si>
    <t>6282351028887</t>
  </si>
  <si>
    <t>120236160103700235</t>
  </si>
  <si>
    <t>ORD-1373</t>
  </si>
  <si>
    <t>ORD-1375</t>
  </si>
  <si>
    <t>Sarah</t>
  </si>
  <si>
    <t>Paotere travel</t>
  </si>
  <si>
    <t>travel haji dan umroh</t>
  </si>
  <si>
    <t>6285398802006</t>
  </si>
  <si>
    <t>anak,remaja, orang tua,lansia</t>
  </si>
  <si>
    <t>120235043349630694</t>
  </si>
  <si>
    <t>ORD-1376</t>
  </si>
  <si>
    <t>Suranta</t>
  </si>
  <si>
    <t>Mulia jaya teknik</t>
  </si>
  <si>
    <t>layanan perawatan AC jual dan beli baik baru/ second</t>
  </si>
  <si>
    <t>6285878882667</t>
  </si>
  <si>
    <t>Yogjakarta ( Sleman,kota Yogyakarta, bantul)</t>
  </si>
  <si>
    <t>20-65 tahun</t>
  </si>
  <si>
    <t>120235043353620694</t>
  </si>
  <si>
    <t>ORD-1390</t>
  </si>
  <si>
    <t>Hj One Utari</t>
  </si>
  <si>
    <t>Bior Global Ecommerce</t>
  </si>
  <si>
    <t>Ecommerce</t>
  </si>
  <si>
    <t>6287712052457</t>
  </si>
  <si>
    <t>120235043359420694</t>
  </si>
  <si>
    <t>ORD-1377</t>
  </si>
  <si>
    <t>Karisma</t>
  </si>
  <si>
    <t>6281321441646</t>
  </si>
  <si>
    <t>Pembuatan pagar canopy, tralis kaca, Henderson, alumunium,partisi,balkon,tralis tangga dll</t>
  </si>
  <si>
    <t>Bandung, Buah batu, bojongsoang, Ciwastra, Kiaracondong, Antapani, kopo, Cibaduyut, Soreang, Arjasari, banjaran, Baleendah, Ciparay, Batununggal,Gede bage,Tegalega, Rancamanyar, Katapang</t>
  </si>
  <si>
    <t>ORD-1378</t>
  </si>
  <si>
    <t>ORD-1379</t>
  </si>
  <si>
    <t>ORD-1380</t>
  </si>
  <si>
    <t>Usman</t>
  </si>
  <si>
    <t>Ma'had Nurul Iman Batu Batu</t>
  </si>
  <si>
    <t>6285255452796</t>
  </si>
  <si>
    <t>Pulau Sulawesi</t>
  </si>
  <si>
    <t>13 th ke atas</t>
  </si>
  <si>
    <t>ORD-1381</t>
  </si>
  <si>
    <t>ORD-1382</t>
  </si>
  <si>
    <t>Mohammad chayun</t>
  </si>
  <si>
    <t>Therapy Sehat Waras</t>
  </si>
  <si>
    <t>35-50 tahun</t>
  </si>
  <si>
    <t>Victor</t>
  </si>
  <si>
    <t>ciptagriya.id</t>
  </si>
  <si>
    <t>kontraktor rumah</t>
  </si>
  <si>
    <t>jasa pembangunan dan renovasi rumah</t>
  </si>
  <si>
    <t>120236222200600235</t>
  </si>
  <si>
    <t>ORD-1384</t>
  </si>
  <si>
    <t>ORD-1386</t>
  </si>
  <si>
    <t>ORD-1387</t>
  </si>
  <si>
    <t>ORD-1388</t>
  </si>
  <si>
    <t>ORD-1371</t>
  </si>
  <si>
    <t>Daniel</t>
  </si>
  <si>
    <t>Brand Dante Stainless Equipment (PT Bangkit Laris Gemilang)</t>
  </si>
  <si>
    <t>Fabrikasi Stainless Food and Beverages</t>
  </si>
  <si>
    <t>6285133445758</t>
  </si>
  <si>
    <t>Jabodetabek, Bandung, dan Kota Besar Kuliner</t>
  </si>
  <si>
    <t>120235115208870694</t>
  </si>
  <si>
    <t>ORD-1383</t>
  </si>
  <si>
    <t>Fahmi</t>
  </si>
  <si>
    <t>karraz learning centre</t>
  </si>
  <si>
    <t>pendidikan</t>
  </si>
  <si>
    <t>6285657199451</t>
  </si>
  <si>
    <t>kecamatan Tamalanrea kota Makassar, kecamatan biringkanaya kota Makasar dan kecamatan mocongloe kab maros</t>
  </si>
  <si>
    <t>anak SD 6-12 tahun</t>
  </si>
  <si>
    <t>120235115254160694</t>
  </si>
  <si>
    <t>ORD-1389</t>
  </si>
  <si>
    <t>Dzul Fadli Dikri</t>
  </si>
  <si>
    <t>PT Mandar Setara Konstruksi</t>
  </si>
  <si>
    <t>6281524365621</t>
  </si>
  <si>
    <t>jasa desain rancang bangunan, jasa kontruksi bangun baru dan renovasi rumah ruko kantor toko serta kios</t>
  </si>
  <si>
    <t>Sulawesi Selatan dan Sulawesi Barat</t>
  </si>
  <si>
    <t>120236222218580235</t>
  </si>
  <si>
    <t>ORD-1403</t>
  </si>
  <si>
    <t>Kamto</t>
  </si>
  <si>
    <t>Mie Owi</t>
  </si>
  <si>
    <t>Mie Ayam dan Nasi Tim Ayam</t>
  </si>
  <si>
    <t>6289508272900</t>
  </si>
  <si>
    <t>di semua Kecamatan Bandar Lampung</t>
  </si>
  <si>
    <t>120235115246510694</t>
  </si>
  <si>
    <t>ORD-1409</t>
  </si>
  <si>
    <t>Eny</t>
  </si>
  <si>
    <t>Eny J Therapy Training Center(offline &amp; online)</t>
  </si>
  <si>
    <t>62882008315520</t>
  </si>
  <si>
    <t>Jawa Tengah, Jawa Timur, Jawa Barat, jakarta</t>
  </si>
  <si>
    <t>120235129040270694</t>
  </si>
  <si>
    <t>ORD-1396</t>
  </si>
  <si>
    <t>ORD-1397</t>
  </si>
  <si>
    <t>Adam stell las</t>
  </si>
  <si>
    <t>ORD-1393</t>
  </si>
  <si>
    <t>Samudra Creatif</t>
  </si>
  <si>
    <t>Renovasi dan interior</t>
  </si>
  <si>
    <t>6282147314512</t>
  </si>
  <si>
    <t>Bali, Denpasar dan sekitarnya</t>
  </si>
  <si>
    <t>120236282215070235</t>
  </si>
  <si>
    <t>ORD-1394</t>
  </si>
  <si>
    <t>Tri avina</t>
  </si>
  <si>
    <t>Klinik bidan vina</t>
  </si>
  <si>
    <t>6282124101919</t>
  </si>
  <si>
    <t>Cipayung depok</t>
  </si>
  <si>
    <t>20-40 tahun</t>
  </si>
  <si>
    <t>perempuan dan laki2</t>
  </si>
  <si>
    <t>120235179742500694</t>
  </si>
  <si>
    <t>ORD-1395</t>
  </si>
  <si>
    <t>Kutai holiday</t>
  </si>
  <si>
    <t>travel</t>
  </si>
  <si>
    <t>120235115234390694</t>
  </si>
  <si>
    <t>ORD-1401</t>
  </si>
  <si>
    <t>Jember, Lumajang, Probolinggo, Situbondo, Bondowoso, Banyuwangi</t>
  </si>
  <si>
    <t>ORD-1399</t>
  </si>
  <si>
    <t>anwar safii</t>
  </si>
  <si>
    <t>Anti sambat projek</t>
  </si>
  <si>
    <t>6281299670702</t>
  </si>
  <si>
    <t>jasa bangun rumah kos hotel, renovasi, pemasangan plavon dll</t>
  </si>
  <si>
    <t>Yogyakarta dan sekitarnya</t>
  </si>
  <si>
    <t>120236282228410235</t>
  </si>
  <si>
    <t>ORD-1402</t>
  </si>
  <si>
    <t>Suto carito</t>
  </si>
  <si>
    <t>Jasa bangun utama</t>
  </si>
  <si>
    <t>design and build</t>
  </si>
  <si>
    <t>6281275085000</t>
  </si>
  <si>
    <t>Riau sumbar</t>
  </si>
  <si>
    <t>120236282236830235</t>
  </si>
  <si>
    <t>ORD-1404</t>
  </si>
  <si>
    <t>Boston Tony</t>
  </si>
  <si>
    <t>Japro Boston Studio Arsitektur</t>
  </si>
  <si>
    <t>Jasa Konsultansi</t>
  </si>
  <si>
    <t>628119581969</t>
  </si>
  <si>
    <t>Melayani jasa perencanaan dan manajemen konstruksi</t>
  </si>
  <si>
    <t>ORD-1405</t>
  </si>
  <si>
    <t>Melayani Pijat Capek, Bekam Pijat struk, saraf kejepit, vitalitas</t>
  </si>
  <si>
    <t>ORD-1406</t>
  </si>
  <si>
    <t>ORD-1398</t>
  </si>
  <si>
    <t>Topano Irawan</t>
  </si>
  <si>
    <t>Jasa Sertifikasi dan Perijinan Usaha</t>
  </si>
  <si>
    <t>Jasa Sertifikasi</t>
  </si>
  <si>
    <t>6285888695439</t>
  </si>
  <si>
    <t>120235179745380694</t>
  </si>
  <si>
    <t>ORD-1400</t>
  </si>
  <si>
    <t>sutarman</t>
  </si>
  <si>
    <t>omah terapi hasanah</t>
  </si>
  <si>
    <t>6282134406672</t>
  </si>
  <si>
    <t>DI.Yogyakarta dan Jawa Tengah</t>
  </si>
  <si>
    <t>40-75</t>
  </si>
  <si>
    <t>laki perempuan</t>
  </si>
  <si>
    <t>120235179748620694</t>
  </si>
  <si>
    <t>ORD-1410</t>
  </si>
  <si>
    <t>Melayani Bangun Rumah Dari Nol, Renovasi Bangunan, Rumah, Kantor, Ruko dll</t>
  </si>
  <si>
    <t>ORD-1411</t>
  </si>
  <si>
    <t>CV Kaligiri Jaya</t>
  </si>
  <si>
    <t>ORD-1407</t>
  </si>
  <si>
    <t>H Wandira</t>
  </si>
  <si>
    <t>Pengobatan alat vital</t>
  </si>
  <si>
    <t>Terapis Pijat</t>
  </si>
  <si>
    <t>6285775337574</t>
  </si>
  <si>
    <t>Pengobatan tradisional alat vital dari Sukabumi berpengalaman dan terpercaya, mengobati masalah kejantanan pria dan spiritual dengan metode tradisional pedalaman Banten melalui terapi pijat di luar serta asupan ramuan herbal di dalam, jaminan tidak timbulnya efek samping dan ketergantungan</t>
  </si>
  <si>
    <t>Tarakan</t>
  </si>
  <si>
    <t>120235179756330694</t>
  </si>
  <si>
    <t>ORD-1413</t>
  </si>
  <si>
    <t>Kalimantan Timur, Kalimantan Selatan, Makassar</t>
  </si>
  <si>
    <t>ORD-1414</t>
  </si>
  <si>
    <t>YUCA SIDO MAKMUR SENTANI</t>
  </si>
  <si>
    <t>sentani jayapura papua</t>
  </si>
  <si>
    <t>ORD-1415</t>
  </si>
  <si>
    <t>Indrawati</t>
  </si>
  <si>
    <t>Flamboyan spa home service</t>
  </si>
  <si>
    <t>tradisional massage dan bekam ( kesehatan dan kecantikan)</t>
  </si>
  <si>
    <t>Kendari dan sekitarnya</t>
  </si>
  <si>
    <t>20-65 tahun'</t>
  </si>
  <si>
    <t>120235179775570694</t>
  </si>
  <si>
    <t>ORD-1417</t>
  </si>
  <si>
    <t>Uwais</t>
  </si>
  <si>
    <t>HKT Jasa Service Ac</t>
  </si>
  <si>
    <t>Jasa Service Ac</t>
  </si>
  <si>
    <t>6289653336063</t>
  </si>
  <si>
    <t>kami hanya melayani dan janji temu  dengan pelanggan  jasa cuci AC berkala cuci besar pergantian sparepart AC perbaikan AC jual beli ac baru dan bekas jasa pasang AC baru dan bekas jasa bongkar pasang AC intalisi jalur pipa AC  rumah sekolahan perkantoran rumah sakit dll kami bisa service AC  setending powler AC central AC cassete AC splite dll</t>
  </si>
  <si>
    <t>Kecamatan Rumpin Kabupaten Bogor</t>
  </si>
  <si>
    <t>120235251036710694</t>
  </si>
  <si>
    <t>ORD-1416</t>
  </si>
  <si>
    <t>ORD-1419</t>
  </si>
  <si>
    <t>Adit</t>
  </si>
  <si>
    <t>Jaya Artha Sentosa</t>
  </si>
  <si>
    <t>6285238063446</t>
  </si>
  <si>
    <t>Pembangunan Villa, Rumah Tinggal, Renovasi villa , desain MEP</t>
  </si>
  <si>
    <t>120236345562780235</t>
  </si>
  <si>
    <t>ORD-1423</t>
  </si>
  <si>
    <t>Wahyudi Suryanto</t>
  </si>
  <si>
    <t>CSA Folding Gate</t>
  </si>
  <si>
    <t>6281802736799</t>
  </si>
  <si>
    <t>Jogja &amp; Jateng</t>
  </si>
  <si>
    <t>120236345564980235</t>
  </si>
  <si>
    <t>ORD-1412</t>
  </si>
  <si>
    <t>Denial Chan</t>
  </si>
  <si>
    <t>Denial Sumbar Trip</t>
  </si>
  <si>
    <t>6282286110903</t>
  </si>
  <si>
    <t>120235318096150694</t>
  </si>
  <si>
    <t>ORD-1420</t>
  </si>
  <si>
    <t>Niluh Kumarastini</t>
  </si>
  <si>
    <t>Bali, Indonesia, Internasional</t>
  </si>
  <si>
    <t>18-56 th</t>
  </si>
  <si>
    <t>ORD-1421</t>
  </si>
  <si>
    <t>ORD-1422</t>
  </si>
  <si>
    <t>ORD-1418</t>
  </si>
  <si>
    <t>Yasmin</t>
  </si>
  <si>
    <t>Yasmine health staycation</t>
  </si>
  <si>
    <t>health staycation</t>
  </si>
  <si>
    <t>6282265277099</t>
  </si>
  <si>
    <t>50keatas</t>
  </si>
  <si>
    <t>120235318108440694</t>
  </si>
  <si>
    <t>ORD-1425</t>
  </si>
  <si>
    <t>ORD-1428</t>
  </si>
  <si>
    <t>Muhammad Syafii</t>
  </si>
  <si>
    <t>Umroh dan Haji</t>
  </si>
  <si>
    <t>6285381277559</t>
  </si>
  <si>
    <t>Medan dan Sumatera Utara</t>
  </si>
  <si>
    <t>120235317962870694</t>
  </si>
  <si>
    <t>ORD-1435</t>
  </si>
  <si>
    <t>CV Damai Fajar Indah Abadi</t>
  </si>
  <si>
    <t>Jasa Kontraktor, Renovasi, Jasa Perijinan Lokasi DIY</t>
  </si>
  <si>
    <t>6285713820117</t>
  </si>
  <si>
    <t>Kami adalah kontraktor renovasi rumah profesional yang berpengalaman dalam menangani berbagai proyek perbaikan dan pembangunan, mulai dari renovasi ringan hingga renovasi total. Dengan tenaga kerja terampil, material berkualitas, dan perencanaan yang matang, kami siap mewujudkan hunian yang nyaman, fungsional, dan estetis sesuai kebutuhan</t>
  </si>
  <si>
    <t>Daerah Istimewa Yogyakarta</t>
  </si>
  <si>
    <t>120236400063350235</t>
  </si>
  <si>
    <t>ORD-1484</t>
  </si>
  <si>
    <t>Muhammad</t>
  </si>
  <si>
    <t>Rumah Asri</t>
  </si>
  <si>
    <t>Jual Property Rumah Second thn 2022</t>
  </si>
  <si>
    <t>6282315459098</t>
  </si>
  <si>
    <t>Cisaranten, Arcamanik radius 3-10 km, Antapani, Uber, Soekarno Hatta, Cibaduyut, Cigondewah, Pusat Kota Bandung, Dago, Tamansari</t>
  </si>
  <si>
    <t>30 - 55 tahun</t>
  </si>
  <si>
    <t>120236400137750235</t>
  </si>
  <si>
    <t>ORD-1526</t>
  </si>
  <si>
    <t>Heri Siswanto</t>
  </si>
  <si>
    <t>Cahaya Timoer Project</t>
  </si>
  <si>
    <t>Kusen PVC</t>
  </si>
  <si>
    <t>6285878711093</t>
  </si>
  <si>
    <t>Pintu Swing Jendela Sliding Door</t>
  </si>
  <si>
    <t>Purwokerto, Purbalingga, Cilacap</t>
  </si>
  <si>
    <t>120236400107800235</t>
  </si>
  <si>
    <t>Darno</t>
  </si>
  <si>
    <t>Shela plafon</t>
  </si>
  <si>
    <t>pasang plafon gypsum dan plafon PVC</t>
  </si>
  <si>
    <t>dewas</t>
  </si>
  <si>
    <t>120236282290560235</t>
  </si>
  <si>
    <t>ORD-1427</t>
  </si>
  <si>
    <t>Fahad</t>
  </si>
  <si>
    <t>Beli barang bekas ex hotel dan villa</t>
  </si>
  <si>
    <t>Barang bekas ex hotel villa resto rumah dll</t>
  </si>
  <si>
    <t>6281237058617</t>
  </si>
  <si>
    <t>melayani jual beli barang bekas ex hotel villa resto rumah</t>
  </si>
  <si>
    <t>Denpasar, Badung,Legian,kita,Ubud,nusa dua,Gianyar,canggu</t>
  </si>
  <si>
    <t>120235400810480694</t>
  </si>
  <si>
    <t>ORD-1454</t>
  </si>
  <si>
    <t>Kiswandi</t>
  </si>
  <si>
    <t>Deradja Gingko Coffee</t>
  </si>
  <si>
    <t>6281904149328</t>
  </si>
  <si>
    <t>📕 Kopi de RADJA &amp; GINGKO BEBAS BKO.</t>
  </si>
  <si>
    <t>DIY</t>
  </si>
  <si>
    <t>Gingko (9 tahun ke atas), Deradja (dewasa)</t>
  </si>
  <si>
    <t>ORD-1461</t>
  </si>
  <si>
    <t>ORD-1463</t>
  </si>
  <si>
    <t>H. Abdullah</t>
  </si>
  <si>
    <t>Pengobatan Vitalitas</t>
  </si>
  <si>
    <t>6282261110051</t>
  </si>
  <si>
    <t>Palembang</t>
  </si>
  <si>
    <t>ORD-1467</t>
  </si>
  <si>
    <t>ORD-1469</t>
  </si>
  <si>
    <t>AA Travel</t>
  </si>
  <si>
    <t>ORD-1429</t>
  </si>
  <si>
    <t>citra rosita siahaan</t>
  </si>
  <si>
    <t>Vendidit store</t>
  </si>
  <si>
    <t>grosir buah</t>
  </si>
  <si>
    <t>6285834603770</t>
  </si>
  <si>
    <t>jual buah online</t>
  </si>
  <si>
    <t>aceh dan sekitarnya (pelaku MBG)</t>
  </si>
  <si>
    <t>120235400812270694</t>
  </si>
  <si>
    <t>ORD-1432</t>
  </si>
  <si>
    <t>120235400811880694</t>
  </si>
  <si>
    <t>ORD-1511</t>
  </si>
  <si>
    <t>Caleb Williady</t>
  </si>
  <si>
    <t>FLO Architects</t>
  </si>
  <si>
    <t>Konsultasi Fengshui</t>
  </si>
  <si>
    <t>628172829797</t>
  </si>
  <si>
    <t>Jasa Konsultan Fengshui</t>
  </si>
  <si>
    <t>120236462995750235</t>
  </si>
  <si>
    <t>ORD-1509</t>
  </si>
  <si>
    <t>Setiajaya</t>
  </si>
  <si>
    <t>Setiajaya Printing</t>
  </si>
  <si>
    <t>Printing</t>
  </si>
  <si>
    <t>6283142837128</t>
  </si>
  <si>
    <t>Menerima Cetak Brosur, Kalender, Kartu Nama, Stiker, Buku dll</t>
  </si>
  <si>
    <t>12 - 70 thn</t>
  </si>
  <si>
    <t>120235453396810694</t>
  </si>
  <si>
    <t>ORD-1513</t>
  </si>
  <si>
    <t>ihsan</t>
  </si>
  <si>
    <t>teman main playmate</t>
  </si>
  <si>
    <t>lembaga stimulasi bimbel</t>
  </si>
  <si>
    <t>6289627431774</t>
  </si>
  <si>
    <t>Palembang (radius 5 km dari map lokasi)</t>
  </si>
  <si>
    <t>26-40 tahun</t>
  </si>
  <si>
    <t>120235453407060694</t>
  </si>
  <si>
    <t>ORD-1519</t>
  </si>
  <si>
    <t>Agus Yahya Efendi</t>
  </si>
  <si>
    <t>Toko Agus Yahya</t>
  </si>
  <si>
    <t>jual toko</t>
  </si>
  <si>
    <t>62818752345</t>
  </si>
  <si>
    <t>Toko pasar kebayoran lama</t>
  </si>
  <si>
    <t>120236493907140235</t>
  </si>
  <si>
    <t>ORD-1533</t>
  </si>
  <si>
    <t>Usup</t>
  </si>
  <si>
    <t>Jaya Mandiri Las</t>
  </si>
  <si>
    <t>Bengkel Las Pembuatan Kanopi Aldero</t>
  </si>
  <si>
    <t>6287786425009</t>
  </si>
  <si>
    <t>mengerjakan dan menerima pesanan pembuatan kanopi Aldero</t>
  </si>
  <si>
    <t>120236493915620235</t>
  </si>
  <si>
    <t>ORD-1517</t>
  </si>
  <si>
    <t>27-Des-2025</t>
  </si>
  <si>
    <t>Arfi</t>
  </si>
  <si>
    <t>AJP Arfi jaya perkasa</t>
  </si>
  <si>
    <t>Jasa sewa lift cor dan molen</t>
  </si>
  <si>
    <t>6289673319845</t>
  </si>
  <si>
    <t>ORD-1437</t>
  </si>
  <si>
    <t>120235532483310694</t>
  </si>
  <si>
    <t>ORD-1523</t>
  </si>
  <si>
    <t>ORD-1525</t>
  </si>
  <si>
    <t>ORD-1474</t>
  </si>
  <si>
    <t>Haerul Fariza</t>
  </si>
  <si>
    <t>Jasa Sertifikat Postel/SDPPI/KOMDIGI</t>
  </si>
  <si>
    <t>6285591221799</t>
  </si>
  <si>
    <t>📡 Sertifikasi Postel bikin pusing?</t>
  </si>
  <si>
    <t>Pulau Jawa, Kalimantan, Sulawesi, Sumatra</t>
  </si>
  <si>
    <t>25-75 tahun</t>
  </si>
  <si>
    <t>120235400814140694</t>
  </si>
  <si>
    <t>ORD-1528</t>
  </si>
  <si>
    <t>CV. ARTHAMAS GRAHA melayani jasa konstruksi di berbagai sektor proyek, baik skala kecil maupun besar.</t>
  </si>
  <si>
    <t>ORD-1531</t>
  </si>
  <si>
    <t>ORD-1532</t>
  </si>
  <si>
    <t>Penerimaan Murid Baru</t>
  </si>
  <si>
    <t>Penerimaan Murid Baru Tahun Pelajaran 2026/2027</t>
  </si>
  <si>
    <t>Solo Raya (Surakarta Sragen Klaten Boyolali Sukoharjo Wonogiri)</t>
  </si>
  <si>
    <t>30-50 th (orang tua yang punya anak usia 15 th)</t>
  </si>
  <si>
    <t>ORD-1488</t>
  </si>
  <si>
    <t>Solatun</t>
  </si>
  <si>
    <t>Yodish Property</t>
  </si>
  <si>
    <t>Jual Rumah</t>
  </si>
  <si>
    <t>6289672274848</t>
  </si>
  <si>
    <t>semua kecamatan Bandung Kota, semua kecamatan kab. Bandung, Bandung Timur, Cimahi, Bandung Barat, Sumedang, Jakarta</t>
  </si>
  <si>
    <t>23 - 65 tahun</t>
  </si>
  <si>
    <t>120236548437890235</t>
  </si>
  <si>
    <t>ORD-1535</t>
  </si>
  <si>
    <t>ORD-1536</t>
  </si>
  <si>
    <t>ORD-1537</t>
  </si>
  <si>
    <t>melayani pembangunan rumah,kantor,sekolah kantor dll</t>
  </si>
  <si>
    <t>ORD-1539</t>
  </si>
  <si>
    <t>ORD-1541</t>
  </si>
  <si>
    <t>Melisa Wetik</t>
  </si>
  <si>
    <t>CV Woloan Cipta Jaya</t>
  </si>
  <si>
    <t>Menjual dan menerima pesanan rumah kayu manado</t>
  </si>
  <si>
    <t>6289658272184</t>
  </si>
  <si>
    <t>Menjual &amp; menerima pesanan Rumah Kayu Manado</t>
  </si>
  <si>
    <t>Tana Toraja &amp; Toraja Utara</t>
  </si>
  <si>
    <t>35-65 tahun</t>
  </si>
  <si>
    <t>120236550345100235</t>
  </si>
  <si>
    <t>ORD-1542</t>
  </si>
  <si>
    <t>Alfaiz</t>
  </si>
  <si>
    <t>Distributor resmi AFC, Utsukushi, SOP subarashi, Hikari</t>
  </si>
  <si>
    <t>Kesehatan dan Kecantikan</t>
  </si>
  <si>
    <t>62887435792882</t>
  </si>
  <si>
    <t>17-63 tahun</t>
  </si>
  <si>
    <t>120235532491940694</t>
  </si>
  <si>
    <t>ORD-1545</t>
  </si>
  <si>
    <t>Naylah</t>
  </si>
  <si>
    <t>Berkah jaya teknik</t>
  </si>
  <si>
    <t>Jasa, Teknisi panggilan, home service, jasa perbaikan elektronik</t>
  </si>
  <si>
    <t>6282325548836</t>
  </si>
  <si>
    <t>Brebes</t>
  </si>
  <si>
    <t>120235532498470694</t>
  </si>
  <si>
    <t>ORD-1546</t>
  </si>
  <si>
    <t>Dewi</t>
  </si>
  <si>
    <t>rumah nisan Pekanbaru</t>
  </si>
  <si>
    <t>batu nisan</t>
  </si>
  <si>
    <t>6281318378049</t>
  </si>
  <si>
    <t>120236550364110235</t>
  </si>
  <si>
    <t>ORD-1548</t>
  </si>
  <si>
    <t>ORD-1550</t>
  </si>
  <si>
    <t>ORD-1551</t>
  </si>
  <si>
    <t>ORD-1554</t>
  </si>
  <si>
    <t>Puspita</t>
  </si>
  <si>
    <t>Sales Counter Daihatsu</t>
  </si>
  <si>
    <t>Perdagangan Mobil</t>
  </si>
  <si>
    <t>6281249560405</t>
  </si>
  <si>
    <t>All Kabupaten Banyuwangi</t>
  </si>
  <si>
    <t>120235532502990694</t>
  </si>
  <si>
    <t>ORD-1556</t>
  </si>
  <si>
    <t>Saefullah</t>
  </si>
  <si>
    <t>Griya Sehat Holistik Cilacap</t>
  </si>
  <si>
    <t>Jasa Pijat, bekam, gurah hidung, akupuntur</t>
  </si>
  <si>
    <t>6281391117757</t>
  </si>
  <si>
    <t>Cilacap</t>
  </si>
  <si>
    <t>120235532508260694</t>
  </si>
  <si>
    <t>ORD-1557</t>
  </si>
  <si>
    <t>Andy Abi Kholid Al Bughisy</t>
  </si>
  <si>
    <t>Rumah Sehat AL Bughisy</t>
  </si>
  <si>
    <t>Kesehatan Tradisional Holistick</t>
  </si>
  <si>
    <t>6287864923726</t>
  </si>
  <si>
    <t>Holistik pengobatannya banyak macam terapi yang kami kuasai, bekam api dan basah, fasdhu, Bone Setting Kretek, sport message (MCO), Dry Neddling, Zhendao, Paz Al Kassaw, Akupuntur, Ruqyah Syar'iyyah</t>
  </si>
  <si>
    <t>Parepare Sulawesi Selatan</t>
  </si>
  <si>
    <t>120235532509150694</t>
  </si>
  <si>
    <t>ORD-1560</t>
  </si>
  <si>
    <t>ORD-1561</t>
  </si>
  <si>
    <t>ORD-1562</t>
  </si>
  <si>
    <t>ORD-1563</t>
  </si>
  <si>
    <t>ORD-1565</t>
  </si>
  <si>
    <t>ORD-1566</t>
  </si>
  <si>
    <t>ORD-1568</t>
  </si>
  <si>
    <t>A.A Ngr Eka Setia Karsa</t>
  </si>
  <si>
    <t>Denpasar, Badung, Ubud, Tabanan</t>
  </si>
  <si>
    <t>ORD-1477</t>
  </si>
  <si>
    <t>Khris Kurniwan</t>
  </si>
  <si>
    <t>Terapi Stroke Yogya</t>
  </si>
  <si>
    <t>6281915553329</t>
  </si>
  <si>
    <t>Terapi stroke Homecare kerumah dan datang kerumah terapi</t>
  </si>
  <si>
    <t>Jogja, Sleman, Bantul, Solo, Semarang, Klaten, Kediri</t>
  </si>
  <si>
    <t>120235615172110694</t>
  </si>
  <si>
    <t>ORD-1569</t>
  </si>
  <si>
    <t>Dr Irma Dewi Anggreini Napitupulu</t>
  </si>
  <si>
    <t>SNS Aesthetic and Wellness Clinic</t>
  </si>
  <si>
    <t>Dokter Aesthetic (Kecantikan)</t>
  </si>
  <si>
    <t>6287880869986</t>
  </si>
  <si>
    <t>22-45 th</t>
  </si>
  <si>
    <t>120237440138740200</t>
  </si>
  <si>
    <t>ORD-1478</t>
  </si>
  <si>
    <t>Tata</t>
  </si>
  <si>
    <t>Sahabat rumah murah</t>
  </si>
  <si>
    <t>properti rumah</t>
  </si>
  <si>
    <t>6281218826764</t>
  </si>
  <si>
    <t>120236679302310235</t>
  </si>
  <si>
    <t>ORD-1479</t>
  </si>
  <si>
    <t>Bali semesta healing</t>
  </si>
  <si>
    <t>Bali Semesta healing</t>
  </si>
  <si>
    <t>Therapy alternatif holistik</t>
  </si>
  <si>
    <t>6281999413489</t>
  </si>
  <si>
    <t>Ubud</t>
  </si>
  <si>
    <t>8 tahun dan dewasa</t>
  </si>
  <si>
    <t>120235694980030694</t>
  </si>
  <si>
    <t>ORD-1480</t>
  </si>
  <si>
    <t>ORD-1481</t>
  </si>
  <si>
    <t>Imam Yahya</t>
  </si>
  <si>
    <t>Lapak pasar Citayam</t>
  </si>
  <si>
    <t>Lapak daging,sayur dan ayam</t>
  </si>
  <si>
    <t>6287799044400</t>
  </si>
  <si>
    <t>Depok dan kab Bogor</t>
  </si>
  <si>
    <t>17-50 tahun</t>
  </si>
  <si>
    <t>120235684265960694</t>
  </si>
  <si>
    <t>ORD-1483</t>
  </si>
  <si>
    <t>H Saihrudin</t>
  </si>
  <si>
    <t>Mandiri</t>
  </si>
  <si>
    <t>Usaha Dagang</t>
  </si>
  <si>
    <t>628129170528</t>
  </si>
  <si>
    <t>Tanah murah strategis pinggir jalan cocok untuk segala keperluan usaha, rumah tinggal, kontrakan, villa, dll</t>
  </si>
  <si>
    <t>18-80 tahun</t>
  </si>
  <si>
    <t>120235764254700694</t>
  </si>
  <si>
    <t>Khoirotun Nasekha</t>
  </si>
  <si>
    <t>Pelatihan Bekam Basic &amp; Pendalaman</t>
  </si>
  <si>
    <t>Pelatihan Bekam</t>
  </si>
  <si>
    <t>6289529314651</t>
  </si>
  <si>
    <t>keunggulan Usaha</t>
  </si>
  <si>
    <t>120235761901380694</t>
  </si>
  <si>
    <t>ORD-1486</t>
  </si>
  <si>
    <t>Diditz</t>
  </si>
  <si>
    <t>Sales Truk Hino</t>
  </si>
  <si>
    <t>6281219102600</t>
  </si>
  <si>
    <t>Jabodetabek JAKARTA, TANGERANG/BEKASI</t>
  </si>
  <si>
    <t>30 - 50 Th</t>
  </si>
  <si>
    <t>ORD-1487</t>
  </si>
  <si>
    <t>Sanny dena</t>
  </si>
  <si>
    <t>Toko ayo ayo</t>
  </si>
  <si>
    <t>toko minimarket</t>
  </si>
  <si>
    <t>6281130542444</t>
  </si>
  <si>
    <t>SE Indonesia</t>
  </si>
  <si>
    <t>120235761907610694</t>
  </si>
  <si>
    <t>Nanang</t>
  </si>
  <si>
    <t>Orlindo Maju Jaya</t>
  </si>
  <si>
    <t>Pengadaan Cargo Lift dan Overhead Crane</t>
  </si>
  <si>
    <t>628179859231</t>
  </si>
  <si>
    <t>sebuah alat angkut untuk memindahkan material dalam ruangan bertikat dengan beban ringan sampai yang paling berat</t>
  </si>
  <si>
    <t>Jababeka</t>
  </si>
  <si>
    <t>120236731160110235</t>
  </si>
  <si>
    <t>ORD-1490</t>
  </si>
  <si>
    <t>amanah</t>
  </si>
  <si>
    <t>jasa sedot WC amanah Medan</t>
  </si>
  <si>
    <t>sedot tinja</t>
  </si>
  <si>
    <t>6285222823353</t>
  </si>
  <si>
    <t>jasa sedot WC mampet, saluran dan wastafel tersumbat, Sedot limbah lemak stp dll</t>
  </si>
  <si>
    <t>120235761912970694</t>
  </si>
  <si>
    <t>ORD-1491</t>
  </si>
  <si>
    <t>25 - 50 Th</t>
  </si>
  <si>
    <t>ORD-1492</t>
  </si>
  <si>
    <t>ORD-1515</t>
  </si>
  <si>
    <t>Hanggoro Surono</t>
  </si>
  <si>
    <t>bengkel layur</t>
  </si>
  <si>
    <t>las, cat ketok Duco, perbaikan body mobil dan motor</t>
  </si>
  <si>
    <t>6287765670288</t>
  </si>
  <si>
    <t>120235827887910694</t>
  </si>
  <si>
    <t>ORD-1493</t>
  </si>
  <si>
    <t>Rangga</t>
  </si>
  <si>
    <t>Internet/wifi indihome</t>
  </si>
  <si>
    <t>Pemasangan baru internet/wifi indihome</t>
  </si>
  <si>
    <t>6285167231114</t>
  </si>
  <si>
    <t>Balikpapan, Sukaraja, IKN, Grogot, Batu kajang</t>
  </si>
  <si>
    <t>18 -55 tahun</t>
  </si>
  <si>
    <t>ORD-1494</t>
  </si>
  <si>
    <t>ORD-1495</t>
  </si>
  <si>
    <t>Kharisma Tour</t>
  </si>
  <si>
    <t>Biro Umroh Haji</t>
  </si>
  <si>
    <t>6282295851975</t>
  </si>
  <si>
    <t>Surakarta, Karanganyar, Sragen, Boyolali, Klaten, Sukoharjo, Wonogiri, Purwodadi</t>
  </si>
  <si>
    <t>35 - 50 tahun</t>
  </si>
  <si>
    <t>120235827905050694</t>
  </si>
  <si>
    <t>ORD-1496</t>
  </si>
  <si>
    <t>hawinli</t>
  </si>
  <si>
    <t>Gorden Hawinli</t>
  </si>
  <si>
    <t>6287774555328</t>
  </si>
  <si>
    <t>pembuatan Gorden, kualitas terjamin,model terbaru dengan harga Terjangkau</t>
  </si>
  <si>
    <t>Banten</t>
  </si>
  <si>
    <t>120235827908480694</t>
  </si>
  <si>
    <t>ORD-1497</t>
  </si>
  <si>
    <t>Mas Ato</t>
  </si>
  <si>
    <t>Mandiri Gorden_Kroya</t>
  </si>
  <si>
    <t>Jasa Costum Gorden</t>
  </si>
  <si>
    <t>6287718286882</t>
  </si>
  <si>
    <t>Cilacap, Banyumas, Kebumen, Purbalingga</t>
  </si>
  <si>
    <t>120235827908950694</t>
  </si>
  <si>
    <t>ORD-1498</t>
  </si>
  <si>
    <t>ORD-1499</t>
  </si>
  <si>
    <t>ORD-1500</t>
  </si>
  <si>
    <t>ORD-1501</t>
  </si>
  <si>
    <t>Surakarta, Karanganyar, Sragen, Boyolali, Klaten, Sukoharjo</t>
  </si>
  <si>
    <t>ORD-1502</t>
  </si>
  <si>
    <t>ORD-1503</t>
  </si>
  <si>
    <t>ORD-1505</t>
  </si>
  <si>
    <t>ORD-1506</t>
  </si>
  <si>
    <t>ORD-1507</t>
  </si>
  <si>
    <t>Ramli</t>
  </si>
  <si>
    <t>Quality Zoon</t>
  </si>
  <si>
    <t>Spesialis Pemasangan Depo Air</t>
  </si>
  <si>
    <t>628125813214</t>
  </si>
  <si>
    <t>25 - 60 tahun</t>
  </si>
  <si>
    <t>120237719590970200</t>
  </si>
  <si>
    <t>ORD-1508</t>
  </si>
  <si>
    <t>Sewa lift cor dan molen bangunan + tenaga juga bisa alat" komplit</t>
  </si>
  <si>
    <t>Pijat Terapi Alfada</t>
  </si>
  <si>
    <t>Pijat Terapi</t>
  </si>
  <si>
    <t>120235895999510694</t>
  </si>
  <si>
    <t>ORD-1510</t>
  </si>
  <si>
    <t>Ali Imron</t>
  </si>
  <si>
    <t>Sinar Gorden Interior</t>
  </si>
  <si>
    <t>Gorden, wallpaper, kaca film, flooring</t>
  </si>
  <si>
    <t>628156626447</t>
  </si>
  <si>
    <t>Semarang, Ungaran</t>
  </si>
  <si>
    <t>120235896017380694</t>
  </si>
  <si>
    <t>ORD-1512</t>
  </si>
  <si>
    <t>ORD-1518</t>
  </si>
  <si>
    <t>Irfan Arfani</t>
  </si>
  <si>
    <t>AF chemy</t>
  </si>
  <si>
    <t>produk perawatan kendaraan</t>
  </si>
  <si>
    <t>6282213959236</t>
  </si>
  <si>
    <t>Pulau jawa</t>
  </si>
  <si>
    <t>120235896014320694</t>
  </si>
  <si>
    <t>ORD-1514</t>
  </si>
  <si>
    <t>Pengobatan alternatif mpuh Sembiring</t>
  </si>
  <si>
    <t>Pengobatan medis dan non medis</t>
  </si>
  <si>
    <t>628137914558</t>
  </si>
  <si>
    <t>ORD-1516</t>
  </si>
  <si>
    <t>ikhlas hakim/khotimah</t>
  </si>
  <si>
    <t>Bispa ( Bandung internasional spa academy)</t>
  </si>
  <si>
    <t>kursus dan pelatihan dan penyaluran kerja dalam dan luar negeri</t>
  </si>
  <si>
    <t>18-45 tahun</t>
  </si>
  <si>
    <t>120235987228070694</t>
  </si>
  <si>
    <t>Lokasi Utama (Prioritas Tinggi)</t>
  </si>
  <si>
    <t>120235987293970694</t>
  </si>
  <si>
    <t>ORD-1520</t>
  </si>
  <si>
    <t>Ian Sofyan</t>
  </si>
  <si>
    <t>Artekelasik</t>
  </si>
  <si>
    <t>6288210583484</t>
  </si>
  <si>
    <t>Jabodetabek dan Jawa barat</t>
  </si>
  <si>
    <t>120236915051060235</t>
  </si>
  <si>
    <t>ORD-1522</t>
  </si>
  <si>
    <t>Rumah Asri Modern</t>
  </si>
  <si>
    <t>Cisaranten, Arcamanik radius 3-10 km, Antapani, Uber, Soekarno Hatta, Cibaduyut, Pusat Kota Bandung, Dago, Tamansari, Cigadung, Margahayu, Pasir Impun</t>
  </si>
  <si>
    <t>28 - 55 tahun</t>
  </si>
  <si>
    <t>ORD-964</t>
  </si>
  <si>
    <t>Kami menerima jasa pembuatan</t>
  </si>
  <si>
    <t>Magelang Jogja dan Sekitarnya</t>
  </si>
  <si>
    <t>120233354304600235</t>
  </si>
  <si>
    <t>Usman Cleaning</t>
  </si>
  <si>
    <t>Deep Cleaning Panggilan</t>
  </si>
  <si>
    <t>6288971067899</t>
  </si>
  <si>
    <t>Rancaekek, Cinunuk, Cileunyi</t>
  </si>
  <si>
    <t>120236050566360694</t>
  </si>
  <si>
    <t>ID-1763421991423</t>
  </si>
  <si>
    <t>24-Des-2025</t>
  </si>
  <si>
    <t>Jaya Baja Contruction Welding</t>
  </si>
  <si>
    <t>Magelang Jogja, Semarang dan Sekitarnya</t>
  </si>
  <si>
    <t>ORD-1524</t>
  </si>
  <si>
    <t>Drs I Wayan Sudana MSI</t>
  </si>
  <si>
    <t>Institut Olah Pikir Nusantara</t>
  </si>
  <si>
    <t>Workshop dan Terapi Hipnoterapi Klinis</t>
  </si>
  <si>
    <t>6281775758999</t>
  </si>
  <si>
    <t>Pelatihan Hypnoterapi</t>
  </si>
  <si>
    <t>Semarang dan Sekitarnya</t>
  </si>
  <si>
    <t>28-65 th</t>
  </si>
  <si>
    <t>21thn keatas, keluarga muda, lansia</t>
  </si>
  <si>
    <t>ORD-1527</t>
  </si>
  <si>
    <t>Imam Asri Gorden</t>
  </si>
  <si>
    <t>Grosir Gordyn</t>
  </si>
  <si>
    <t>Gordyn</t>
  </si>
  <si>
    <t>628156563072</t>
  </si>
  <si>
    <t>Pekalongan, Batang, Pemalang, Kajen dan Sekitarnya</t>
  </si>
  <si>
    <t>120236050566750694</t>
  </si>
  <si>
    <t>ID-1763421938769</t>
  </si>
  <si>
    <t>Clean Jaya Abadi Filter</t>
  </si>
  <si>
    <t>Jasa pemasangan depot</t>
  </si>
  <si>
    <t>Provinsi Bengkulu</t>
  </si>
  <si>
    <t>120237055110920235</t>
  </si>
  <si>
    <t>ORD-1529</t>
  </si>
  <si>
    <t>6281288965454</t>
  </si>
  <si>
    <t>ORD-1530</t>
  </si>
  <si>
    <t>Pekanbaru dan Sumatra Utara</t>
  </si>
  <si>
    <t>3-Des-2025</t>
  </si>
  <si>
    <t>Elha Furniture</t>
  </si>
  <si>
    <t>Furniture interior</t>
  </si>
  <si>
    <t>6287753731364</t>
  </si>
  <si>
    <t>Bekasi, kabupaten Bogor, Jakarta Timur, Cibubur, area dekat dekat zona warkshop</t>
  </si>
  <si>
    <t>120237055103560235</t>
  </si>
  <si>
    <t>Menerima pemasangan baru internet Indihome</t>
  </si>
  <si>
    <t>ORD-1534</t>
  </si>
  <si>
    <t>Marlinus</t>
  </si>
  <si>
    <t>brother aluminium</t>
  </si>
  <si>
    <t>vendor aluminium</t>
  </si>
  <si>
    <t>6281398408303</t>
  </si>
  <si>
    <t>120237055109140235</t>
  </si>
  <si>
    <t>ORD-1228</t>
  </si>
  <si>
    <t>120235192901930235</t>
  </si>
  <si>
    <t>ORD-1431</t>
  </si>
  <si>
    <t>Jimmi</t>
  </si>
  <si>
    <t>Graha Trijasa Office</t>
  </si>
  <si>
    <t>Sewa Ruang Kantor &amp; Virtual office</t>
  </si>
  <si>
    <t>6282127669779</t>
  </si>
  <si>
    <t>24-45 tahun</t>
  </si>
  <si>
    <t>120236460808250235</t>
  </si>
  <si>
    <t>ID-1763428895116</t>
  </si>
  <si>
    <t>Alex</t>
  </si>
  <si>
    <t>Pelatihan Terapi sot</t>
  </si>
  <si>
    <t>Bandung 40km</t>
  </si>
  <si>
    <t>120236106866140694</t>
  </si>
  <si>
    <t>ID-1763430057611</t>
  </si>
  <si>
    <t>Yasmine stroke health staycation</t>
  </si>
  <si>
    <t>Jabodetabek dan Surakarta, Yogyakarta,Semarang ,Boyolali , Karanggede Karanganyar,Klaten , sragen,solo baru ,Magetan ,malang ,surabaya ,Madura ,Medan ,Aceh</t>
  </si>
  <si>
    <t>ID-1763434370864</t>
  </si>
  <si>
    <t>Cari Mitra</t>
  </si>
  <si>
    <t>Snack</t>
  </si>
  <si>
    <t>ID-1763514872916</t>
  </si>
  <si>
    <t>Faizin</t>
  </si>
  <si>
    <t>LPK Djieneka Abadi</t>
  </si>
  <si>
    <t>Program Pelatihan Bahasa Jepang untuk Kerja ke Jepang</t>
  </si>
  <si>
    <t>Kota Semarang</t>
  </si>
  <si>
    <t>18-25 tahun</t>
  </si>
  <si>
    <t>120236106873510694</t>
  </si>
  <si>
    <t>ORD-743</t>
  </si>
  <si>
    <t>120231297562940694</t>
  </si>
  <si>
    <t>ORD-1392</t>
  </si>
  <si>
    <t>120235115231190694</t>
  </si>
  <si>
    <t>ID-1763519160344</t>
  </si>
  <si>
    <t>Bapak Adi</t>
  </si>
  <si>
    <t>Pijat dan Bekam</t>
  </si>
  <si>
    <t>Kota Surabaya</t>
  </si>
  <si>
    <t>khusus laki laki</t>
  </si>
  <si>
    <t>Donny</t>
  </si>
  <si>
    <t>BIG Media Advertising</t>
  </si>
  <si>
    <t>jasa pasang umbul umbul</t>
  </si>
  <si>
    <t>628973668569</t>
  </si>
  <si>
    <t>Ingin Event/Acara Anda lebih meriah &amp; dikunjungi banyak orang? Gunakan jasa pasang umbul-umbul Jakarta berkualitas dari BIG Media Advertising</t>
  </si>
  <si>
    <t>120236159302540694</t>
  </si>
  <si>
    <t>ID-1763527790791</t>
  </si>
  <si>
    <t>Yalasena Suganda</t>
  </si>
  <si>
    <t>Yasmin Herbal</t>
  </si>
  <si>
    <t>Herbal Jamsi 250 ml</t>
  </si>
  <si>
    <t>40-70 tahun</t>
  </si>
  <si>
    <t>120236159927320694</t>
  </si>
  <si>
    <t>ID-1763527816067</t>
  </si>
  <si>
    <t>Edy Kuswanto</t>
  </si>
  <si>
    <t>PT Anugerah Teknik Sidoarjo</t>
  </si>
  <si>
    <t>Service AC, Kulkas, Mesin Cuci dan instalasi, pengadaan</t>
  </si>
  <si>
    <t>Sidoarjo Jawa Timur</t>
  </si>
  <si>
    <t>120236159927810694</t>
  </si>
  <si>
    <t>ID-1763539194473</t>
  </si>
  <si>
    <t>Shiva MU</t>
  </si>
  <si>
    <t>Raudhah aqiqah karawang</t>
  </si>
  <si>
    <t>aqiqah dan catering</t>
  </si>
  <si>
    <t>Karawang, Cikarang</t>
  </si>
  <si>
    <t>120236159928460694</t>
  </si>
  <si>
    <t>ID-1763548809083</t>
  </si>
  <si>
    <t>NN, Refleksi dan Bekam</t>
  </si>
  <si>
    <t>120236159929640694</t>
  </si>
  <si>
    <t>ORD-64</t>
  </si>
  <si>
    <t>120226804141930694</t>
  </si>
  <si>
    <t>ORD-143</t>
  </si>
  <si>
    <t>120229096485460200</t>
  </si>
  <si>
    <t>ORD-473</t>
  </si>
  <si>
    <t>120230460387290235</t>
  </si>
  <si>
    <t>ORD-877</t>
  </si>
  <si>
    <t>120232926696870235</t>
  </si>
  <si>
    <t>ORD-982</t>
  </si>
  <si>
    <t>Pak Su'ud</t>
  </si>
  <si>
    <t>Sukmajaya Makmur Indo</t>
  </si>
  <si>
    <t>6285655442852</t>
  </si>
  <si>
    <t>Surabaya, Lamongan, Gresik, Sidoarjo, Mojokerto</t>
  </si>
  <si>
    <t>120233685385720235</t>
  </si>
  <si>
    <t>ORD-1319</t>
  </si>
  <si>
    <t>120236074851720235</t>
  </si>
  <si>
    <t>ID-1763567396162</t>
  </si>
  <si>
    <t>Andrean Yoseph</t>
  </si>
  <si>
    <t>Suzuki Cinere</t>
  </si>
  <si>
    <t>Otomotive</t>
  </si>
  <si>
    <t>120236159929750694</t>
  </si>
  <si>
    <t>ORD-1521</t>
  </si>
  <si>
    <t>Neneng Lestari  Ningrum</t>
  </si>
  <si>
    <t>syahdu massage</t>
  </si>
  <si>
    <t>6285385070717</t>
  </si>
  <si>
    <t>bogor kota</t>
  </si>
  <si>
    <t>pria/ wanita</t>
  </si>
  <si>
    <t>120235453448000694</t>
  </si>
  <si>
    <t>ID-1763603133554</t>
  </si>
  <si>
    <t>Surya Purba</t>
  </si>
  <si>
    <t>Papua Cares</t>
  </si>
  <si>
    <t>Sosial dan donasi</t>
  </si>
  <si>
    <t>Jawa, Bali</t>
  </si>
  <si>
    <t>120236223977600694</t>
  </si>
  <si>
    <t>ID-1763614557011</t>
  </si>
  <si>
    <t>Edi Susanto</t>
  </si>
  <si>
    <t>Bimbel Antusias</t>
  </si>
  <si>
    <t>Les Privat Tk, SD, SMP, SMA semua Pelajaran</t>
  </si>
  <si>
    <t>DKI (Jakarta Barat, Jakarta Pusat, Jakarta Timur, Jakarta Selatan, Jakarta Utara)</t>
  </si>
  <si>
    <t>120236223977780694</t>
  </si>
  <si>
    <t>ID-1763677957135</t>
  </si>
  <si>
    <t>Mujiono</t>
  </si>
  <si>
    <t>Mandiri Home Service</t>
  </si>
  <si>
    <t>Jasa Service</t>
  </si>
  <si>
    <t>Magelang Kota dan Kabupaten</t>
  </si>
  <si>
    <t>120237191021900235</t>
  </si>
  <si>
    <t>ORD-31</t>
  </si>
  <si>
    <t>ORD-621</t>
  </si>
  <si>
    <t>ID-1763778401786</t>
  </si>
  <si>
    <t>Surianti</t>
  </si>
  <si>
    <t>Toko Maxxis Central Ban</t>
  </si>
  <si>
    <t>dagang ban luar motor dan ban sepeda listrik</t>
  </si>
  <si>
    <t>Lombok Barat dan Lombok Tengah</t>
  </si>
  <si>
    <t>120236331783740694</t>
  </si>
  <si>
    <t>ORD-519</t>
  </si>
  <si>
    <t>120231313028040235</t>
  </si>
  <si>
    <t>ORD-775</t>
  </si>
  <si>
    <t>120231472381160694</t>
  </si>
  <si>
    <t>Heru Purwanto</t>
  </si>
  <si>
    <t>CV Athawidya jaya Pratama</t>
  </si>
  <si>
    <t>distributor benih jagung hibrida</t>
  </si>
  <si>
    <t>6285729738492</t>
  </si>
  <si>
    <t>120235987314660694</t>
  </si>
  <si>
    <t>ID-1763798079355</t>
  </si>
  <si>
    <t>Muswandi</t>
  </si>
  <si>
    <t>Ahsan Terapi Holistik</t>
  </si>
  <si>
    <t>120236386367330694</t>
  </si>
  <si>
    <t>ID-1763910858950</t>
  </si>
  <si>
    <t>Budiawati</t>
  </si>
  <si>
    <t>Magnet Rejeki</t>
  </si>
  <si>
    <t>Pelatihan dan Training</t>
  </si>
  <si>
    <t>Cimahi</t>
  </si>
  <si>
    <t>120236386367630694</t>
  </si>
  <si>
    <t>ID-1763910891910</t>
  </si>
  <si>
    <t>Ardiansyah</t>
  </si>
  <si>
    <t>Rumah Soto Anek Racik</t>
  </si>
  <si>
    <t>120236386368280694</t>
  </si>
  <si>
    <t>ID-1763910910162</t>
  </si>
  <si>
    <t>Dr H Soehardjito</t>
  </si>
  <si>
    <t>Prife Wealness Gallery</t>
  </si>
  <si>
    <t>Malang Raya</t>
  </si>
  <si>
    <t>di atas 10 th</t>
  </si>
  <si>
    <t>120236386369420694</t>
  </si>
  <si>
    <t>ID-1763874743402</t>
  </si>
  <si>
    <t>16-Des-2025</t>
  </si>
  <si>
    <t>Abdur Ro’uf</t>
  </si>
  <si>
    <t>B-Care (Bekam Care)</t>
  </si>
  <si>
    <t>Jasa Terapi Bekam &amp; Home Care</t>
  </si>
  <si>
    <t>Situbondo &amp; sekitarnya</t>
  </si>
  <si>
    <t>20 – 60 tahun</t>
  </si>
  <si>
    <t>120236386369700694</t>
  </si>
  <si>
    <t>ORD-920</t>
  </si>
  <si>
    <t>AJIK BAGUS</t>
  </si>
  <si>
    <t>GRAHA WAJA UTAMA</t>
  </si>
  <si>
    <t>Konstruksi Baja Berat WF/H-Beam,konstruksi tingkat Composit baja beton.</t>
  </si>
  <si>
    <t>usia.pengusaha mulai 23.th sampai 60 th.</t>
  </si>
  <si>
    <t>120233236624190235</t>
  </si>
  <si>
    <t>ORD-1424</t>
  </si>
  <si>
    <t>120235317876820694</t>
  </si>
  <si>
    <t>ID-1764034005715</t>
  </si>
  <si>
    <t>Chandra</t>
  </si>
  <si>
    <t>Mandiri pool</t>
  </si>
  <si>
    <t>Jasa pembuatan kolam berenang dan kolam koi</t>
  </si>
  <si>
    <t>Medan,Aceh, Sumatra</t>
  </si>
  <si>
    <t>120237413323750235</t>
  </si>
  <si>
    <t>ID-1764034054067</t>
  </si>
  <si>
    <t>FRZ properti</t>
  </si>
  <si>
    <t>agen properti</t>
  </si>
  <si>
    <t>kota bandung</t>
  </si>
  <si>
    <t>40 ke atas</t>
  </si>
  <si>
    <t>120237413330100235</t>
  </si>
  <si>
    <t>ID-1763883563053</t>
  </si>
  <si>
    <t>Efrulwan</t>
  </si>
  <si>
    <t>Khusyu' 30 Desibel plus</t>
  </si>
  <si>
    <t>Pelatihan solat khusyuk</t>
  </si>
  <si>
    <t>45-70 tahun</t>
  </si>
  <si>
    <t>120236497348580694</t>
  </si>
  <si>
    <t>ID-1764036911803</t>
  </si>
  <si>
    <t>INUNG</t>
  </si>
  <si>
    <t>CLEAN UP LAUNDRY</t>
  </si>
  <si>
    <t>LAUNDRY EXPRESS</t>
  </si>
  <si>
    <t>Usia:</t>
  </si>
  <si>
    <t>Jenis kelamin:</t>
  </si>
  <si>
    <t>Durasi:5</t>
  </si>
  <si>
    <t>120236497676500694</t>
  </si>
  <si>
    <t>ID-1764047441428</t>
  </si>
  <si>
    <t>5-Des-2025</t>
  </si>
  <si>
    <t>Aria Junior</t>
  </si>
  <si>
    <t>Batu Bata Bermutu Bagus</t>
  </si>
  <si>
    <t>Bahan Bangunan</t>
  </si>
  <si>
    <t>Sumbar, Padang dan Sekitarnya</t>
  </si>
  <si>
    <t>120237470938980235</t>
  </si>
  <si>
    <t>ORD-1552</t>
  </si>
  <si>
    <t>Abdul Wahid Santoso</t>
  </si>
  <si>
    <t>penjualan e-book peluang bisnis</t>
  </si>
  <si>
    <t>Jabodetabek, bandung, Surabaya, Semarang, Jogja</t>
  </si>
  <si>
    <t>25-45 Tahun</t>
  </si>
  <si>
    <t>120236542621720694</t>
  </si>
  <si>
    <t>ID-1764237456373</t>
  </si>
  <si>
    <t>Pijet urat &amp; pijet kesehatan</t>
  </si>
  <si>
    <t>pijet dan terapi kesehatan</t>
  </si>
  <si>
    <t>Bantul dan Sleman</t>
  </si>
  <si>
    <t>dari balita, remaja, orang dewasa, tua maximal 80 tahun</t>
  </si>
  <si>
    <t>120236593428680694</t>
  </si>
  <si>
    <t>03-Des-2025</t>
  </si>
  <si>
    <t>arjuna</t>
  </si>
  <si>
    <t>arjuna trevel tour</t>
  </si>
  <si>
    <t>wisata pulau seribu</t>
  </si>
  <si>
    <t>ID-1764253987403</t>
  </si>
  <si>
    <t>Pelatihan Fasdhu Basic</t>
  </si>
  <si>
    <t>Pelatihan Fasdhu</t>
  </si>
  <si>
    <t>Demak</t>
  </si>
  <si>
    <t>120236593433230694</t>
  </si>
  <si>
    <t>ID-1764300610051</t>
  </si>
  <si>
    <t>*Gunawan*</t>
  </si>
  <si>
    <t>*CV.BAGUS DAN EVI TRANS*</t>
  </si>
  <si>
    <t>ID-1764311115873</t>
  </si>
  <si>
    <t>Sasanti Auk Murat</t>
  </si>
  <si>
    <t>Beyond Lights</t>
  </si>
  <si>
    <t>*Wellbeing*</t>
  </si>
  <si>
    <t>Kota besar diseluruh indonesia</t>
  </si>
  <si>
    <t>85% wanita, 15% pria</t>
  </si>
  <si>
    <t>120236659961590694</t>
  </si>
  <si>
    <t>ID-1764388129141</t>
  </si>
  <si>
    <t>Sablon karung</t>
  </si>
  <si>
    <t>ID-1764406571176</t>
  </si>
  <si>
    <t>jasa sedot WC Berkah Medan</t>
  </si>
  <si>
    <t>ID-1764406584811</t>
  </si>
  <si>
    <t>Eny J</t>
  </si>
  <si>
    <t>Eny J Therapy Training Center</t>
  </si>
  <si>
    <t>Pelatihan Bekam Dan Fasdhu</t>
  </si>
  <si>
    <t>23 keatas</t>
  </si>
  <si>
    <t>ID-1764421572487</t>
  </si>
  <si>
    <t>PT Samira Ali Wisata</t>
  </si>
  <si>
    <t>Surabaya, Gresik, Sidoarjo, Malang</t>
  </si>
  <si>
    <t>120236757618620694</t>
  </si>
  <si>
    <t>ORD-1564</t>
  </si>
  <si>
    <t>Spesialis kaca mobil &amp; spion retract</t>
  </si>
  <si>
    <t>ID-1764570533993</t>
  </si>
  <si>
    <t>Mahkota Reici</t>
  </si>
  <si>
    <t>Klinik Akupunktur dan Bekam Mahkota Reici</t>
  </si>
  <si>
    <t>Pengobatan Keterapian Herbal dan Moderen</t>
  </si>
  <si>
    <t>Jetis RT 01/02 Gemantar, Jumantono, Karanganyar, Jawa Tengah</t>
  </si>
  <si>
    <t>7 Th-70 th</t>
  </si>
  <si>
    <t>Laki-Laki dan Perempuan</t>
  </si>
  <si>
    <t>120236879254170694</t>
  </si>
  <si>
    <t>1-Des-2025</t>
  </si>
  <si>
    <t>Romi Novriandi</t>
  </si>
  <si>
    <t>Vinity</t>
  </si>
  <si>
    <t>Kelas Edukasi Affiliate</t>
  </si>
  <si>
    <t>Sumatera</t>
  </si>
  <si>
    <t>120236815424490694</t>
  </si>
  <si>
    <t>Bekam BRC Cimahi</t>
  </si>
  <si>
    <t>Jasa, Pengobatan Tradisional, bekam</t>
  </si>
  <si>
    <t>120236815426340694</t>
  </si>
  <si>
    <t>ORD-1570</t>
  </si>
  <si>
    <t>ORD-1571</t>
  </si>
  <si>
    <t>ORD-1572</t>
  </si>
  <si>
    <t>ORD-1573</t>
  </si>
  <si>
    <t>ORD-1574</t>
  </si>
  <si>
    <t>ORD-1575</t>
  </si>
  <si>
    <t>2-Des-2025</t>
  </si>
  <si>
    <t>ORD-1576</t>
  </si>
  <si>
    <t>ORD-1577</t>
  </si>
  <si>
    <t>Kota Pekanbaru, Kampar Riau</t>
  </si>
  <si>
    <t>ORD-1578</t>
  </si>
  <si>
    <t>ORD-1579</t>
  </si>
  <si>
    <t>Pemalang, Pekalongan, Tegal, Batang, Purbalingga Jawa Tengah</t>
  </si>
  <si>
    <t>ORD-1580</t>
  </si>
  <si>
    <t>ID-1764753564400</t>
  </si>
  <si>
    <t>Heriyanto</t>
  </si>
  <si>
    <t>Raja Pasir</t>
  </si>
  <si>
    <t>supplier Pasir dan batu terpercaya di jabodetabek</t>
  </si>
  <si>
    <t>minimal 28</t>
  </si>
  <si>
    <t>120237933419770235</t>
  </si>
  <si>
    <t>ORD-1582</t>
  </si>
  <si>
    <t>ORD-1583</t>
  </si>
  <si>
    <t>ORD-1584</t>
  </si>
  <si>
    <t>ID-1764818355589</t>
  </si>
  <si>
    <t>04-Des-2025</t>
  </si>
  <si>
    <t>Tri Purwanto</t>
  </si>
  <si>
    <t>Eshan Aqiqah &amp; Qurban</t>
  </si>
  <si>
    <t>Kambing Aqiqah, Qurban, Gulling</t>
  </si>
  <si>
    <t>18-75</t>
  </si>
  <si>
    <t>120237049534640694</t>
  </si>
  <si>
    <t>ID-1764831018379</t>
  </si>
  <si>
    <t>Brilliant Acsesoris</t>
  </si>
  <si>
    <t>Acsesoris mobil</t>
  </si>
  <si>
    <t>Jawa Timur dan Surabaya</t>
  </si>
  <si>
    <t>120237049548980694</t>
  </si>
  <si>
    <t>ID-1764857674827</t>
  </si>
  <si>
    <t>HM Kuswadji Aziz S.Ked</t>
  </si>
  <si>
    <t>Fisioterapi (Terapi Fisik Tanpa Obat)</t>
  </si>
  <si>
    <t>120237049543160694</t>
  </si>
  <si>
    <t>ID-1764858279934</t>
  </si>
  <si>
    <t>ID-1764900072392</t>
  </si>
  <si>
    <t>Muhammad Ma'tuf</t>
  </si>
  <si>
    <t>Rumah Sehat Asy-syifa</t>
  </si>
  <si>
    <t>terapi alternatif</t>
  </si>
  <si>
    <t>Kabupaten Tangerang</t>
  </si>
  <si>
    <t>120237049566540694</t>
  </si>
  <si>
    <t>ID-1764931855669</t>
  </si>
  <si>
    <t>Irman</t>
  </si>
  <si>
    <t>PT Abuubaidah</t>
  </si>
  <si>
    <t>Umroh berkah</t>
  </si>
  <si>
    <t>120237150968730694</t>
  </si>
  <si>
    <t>ID-1764944633537</t>
  </si>
  <si>
    <t>05-Des-2025</t>
  </si>
  <si>
    <t>mustakim</t>
  </si>
  <si>
    <t>Tahu bulat Karisma</t>
  </si>
  <si>
    <t>tahu bulat</t>
  </si>
  <si>
    <t>Makasar,Maros,Gowa</t>
  </si>
  <si>
    <t>21-60 thn</t>
  </si>
  <si>
    <t>120237049566640694</t>
  </si>
  <si>
    <t>ID-1765011133874</t>
  </si>
  <si>
    <t>ID-1765012259980</t>
  </si>
  <si>
    <t>06-Des-2025</t>
  </si>
  <si>
    <t>yuda</t>
  </si>
  <si>
    <t>Queen Car Interior</t>
  </si>
  <si>
    <t>jasa interior mobil</t>
  </si>
  <si>
    <t>kota padang,solok,pesisir,darmasraya</t>
  </si>
  <si>
    <t>25 - 60 th</t>
  </si>
  <si>
    <t>laki2 - perempuan</t>
  </si>
  <si>
    <t>120237150910140694</t>
  </si>
  <si>
    <t>ID-1765015752517</t>
  </si>
  <si>
    <t>afdol</t>
  </si>
  <si>
    <t>Sahabat Madinah Travel</t>
  </si>
  <si>
    <t>Perjalanan Wisata</t>
  </si>
  <si>
    <t>jabotabek dan jawa barat</t>
  </si>
  <si>
    <t>17-60 thn</t>
  </si>
  <si>
    <t>120237150951710694</t>
  </si>
  <si>
    <t>ID-1765023717487</t>
  </si>
  <si>
    <t>agung</t>
  </si>
  <si>
    <t>Rumah kavling Agung</t>
  </si>
  <si>
    <t>sidoarjo</t>
  </si>
  <si>
    <t>120238116084030235</t>
  </si>
  <si>
    <t>ID-1765025862578</t>
  </si>
  <si>
    <t>6-Des-2025</t>
  </si>
  <si>
    <t>Mischela</t>
  </si>
  <si>
    <t>Roney Beauty</t>
  </si>
  <si>
    <t>Beauty Salon</t>
  </si>
  <si>
    <t>Dili, Timor Leste</t>
  </si>
  <si>
    <t>120238814736560200</t>
  </si>
  <si>
    <t>ID-1765064179941</t>
  </si>
  <si>
    <t>Bobby Kreshna Syahril</t>
  </si>
  <si>
    <t>Mazaya Private Cluster</t>
  </si>
  <si>
    <t>25-58 th</t>
  </si>
  <si>
    <t>120238116127640235</t>
  </si>
  <si>
    <t>ID-1765082566596</t>
  </si>
  <si>
    <t>Nophie Catering</t>
  </si>
  <si>
    <t>Cateringan rantangan</t>
  </si>
  <si>
    <t>Medan Helvetia (jangkauan jarang 2-3km dari lokasi)</t>
  </si>
  <si>
    <t>120237211572080694</t>
  </si>
  <si>
    <t>ID-1765096657404</t>
  </si>
  <si>
    <t>07-Des-2025</t>
  </si>
  <si>
    <t>klinik nyeri</t>
  </si>
  <si>
    <t>KLINIK NYERI LUTUT, STROKE, DAN TULANG BELAKANG</t>
  </si>
  <si>
    <t>Solo raya</t>
  </si>
  <si>
    <t>ID-1765151488862</t>
  </si>
  <si>
    <t>Sandy L</t>
  </si>
  <si>
    <t>Torajahighland Coffee</t>
  </si>
  <si>
    <t>Jual kopi biji sudah roasting/sangrai biji dan bubuk</t>
  </si>
  <si>
    <t>kota Makassar</t>
  </si>
  <si>
    <t>120237511032540694</t>
  </si>
  <si>
    <t>ID-1765161459036</t>
  </si>
  <si>
    <t>ki yetno</t>
  </si>
  <si>
    <t>totok syaraf jari petir Magelang</t>
  </si>
  <si>
    <t>pelatihan</t>
  </si>
  <si>
    <t>Jawa Tengah dan DIY</t>
  </si>
  <si>
    <t>120237115666210694</t>
  </si>
  <si>
    <t>ID-1765165172995</t>
  </si>
  <si>
    <t>08-Des-2025</t>
  </si>
  <si>
    <t>Arip</t>
  </si>
  <si>
    <t>Pratama Digital</t>
  </si>
  <si>
    <t>Jasa Pembuatan NPWP</t>
  </si>
  <si>
    <t>19–45 tahun</t>
  </si>
  <si>
    <t>Laki-laki &amp; Perempuan</t>
  </si>
  <si>
    <t>120237284107320694</t>
  </si>
  <si>
    <t>ID-1765187410500</t>
  </si>
  <si>
    <t>Distributor Resmi AFC Farmasi</t>
  </si>
  <si>
    <t>ID-1765188174897</t>
  </si>
  <si>
    <t>Diana</t>
  </si>
  <si>
    <t>Putri Diana Snacks</t>
  </si>
  <si>
    <t>Makanan Ringan, Dessert</t>
  </si>
  <si>
    <t>Surabaya Utara,jatim</t>
  </si>
  <si>
    <t>29 tahun</t>
  </si>
  <si>
    <t>120237284129270694</t>
  </si>
  <si>
    <t>ID-1765189152489</t>
  </si>
  <si>
    <t>Alex Wijaya</t>
  </si>
  <si>
    <t>Ayam Geprek Gatotkaca</t>
  </si>
  <si>
    <t>Sugihwaras, Balen, Temayang, Dander, Kedungadem</t>
  </si>
  <si>
    <t>120237284197530694</t>
  </si>
  <si>
    <t>ID-1765252060119</t>
  </si>
  <si>
    <t>Sukriadi</t>
  </si>
  <si>
    <t>Bengkel Rama Las</t>
  </si>
  <si>
    <t>Luwu Utara dan sekitarnya, Palopo dan sekitarnya, tana lili dan sekitarnya, Luwu Timur dan sekitarnya</t>
  </si>
  <si>
    <t>120238172877960235</t>
  </si>
  <si>
    <t>ID-1765273716677</t>
  </si>
  <si>
    <t>Maratus sholikhah</t>
  </si>
  <si>
    <t>Batik motif custom</t>
  </si>
  <si>
    <t>konveksi</t>
  </si>
  <si>
    <t>120237344209370694</t>
  </si>
  <si>
    <t>ID-1765318628307</t>
  </si>
  <si>
    <t>Pelatihan Pengobatan Kejantanan &amp; Kesuburan Serta Promil</t>
  </si>
  <si>
    <t>Pelatihan Pengobatan</t>
  </si>
  <si>
    <t>21-55 th</t>
  </si>
  <si>
    <t>120237284246300694</t>
  </si>
  <si>
    <t>ID-1765318716564</t>
  </si>
  <si>
    <t>Muhammad Radhi Mafazi</t>
  </si>
  <si>
    <t>Jersi Sufi Real</t>
  </si>
  <si>
    <t>Jersey Original</t>
  </si>
  <si>
    <t>DIY, Jawa Tengah, DKI, Jawa Barat, Jawa Timur, Kalimantan Barat, Kalimantan Tengah, Kalimantan Utara, Sulawesi Tengah, Sulawesi Tenggara, Sulawesi Selatan, Kuala Lumpur</t>
  </si>
  <si>
    <t>23-40 th</t>
  </si>
  <si>
    <t>120237344215680694</t>
  </si>
  <si>
    <t>ID-1765363734098</t>
  </si>
  <si>
    <t>10-Des-2025</t>
  </si>
  <si>
    <t>Burhan</t>
  </si>
  <si>
    <t>Burhan Berdikari</t>
  </si>
  <si>
    <t>120238277703840235</t>
  </si>
  <si>
    <t>ID-1765411559991</t>
  </si>
  <si>
    <t>Juwariyah</t>
  </si>
  <si>
    <t>Agen plus BP</t>
  </si>
  <si>
    <t>suplemen</t>
  </si>
  <si>
    <t>120237344222860694</t>
  </si>
  <si>
    <t>ID-1765422547517</t>
  </si>
  <si>
    <t>11-Des-2025</t>
  </si>
  <si>
    <t>Dono Pardi</t>
  </si>
  <si>
    <t>Diva Interior</t>
  </si>
  <si>
    <t>Custom Interior</t>
  </si>
  <si>
    <t>Klaten dan DIY</t>
  </si>
  <si>
    <t>120237413306340694</t>
  </si>
  <si>
    <t>ID-1765426166755</t>
  </si>
  <si>
    <t>Muzakir</t>
  </si>
  <si>
    <t>Pengobatan Tradisional/Tionghoa</t>
  </si>
  <si>
    <t>Purwakarta, Karawang,dan Subang</t>
  </si>
  <si>
    <t>10 tahun ke atas</t>
  </si>
  <si>
    <t>120237344227700694</t>
  </si>
  <si>
    <t>ID-1765430360676</t>
  </si>
  <si>
    <t>Alfi</t>
  </si>
  <si>
    <t>Baitul Kreatif Dakwah</t>
  </si>
  <si>
    <t>Donasi Yayasan</t>
  </si>
  <si>
    <t>120237413312440694</t>
  </si>
  <si>
    <t>ID-1765441874730</t>
  </si>
  <si>
    <t>Nur Amin</t>
  </si>
  <si>
    <t>PT Banyuwangi Osing Trip</t>
  </si>
  <si>
    <t>Banyuwangi jakarta Surabaya bali</t>
  </si>
  <si>
    <t>120237413318280694</t>
  </si>
  <si>
    <t>ID-1765499386298</t>
  </si>
  <si>
    <t>Tanur Mutmainnah Tour</t>
  </si>
  <si>
    <t>Cimahi dan Bandung</t>
  </si>
  <si>
    <t>120237505058220694</t>
  </si>
  <si>
    <t>ID-1765509224287</t>
  </si>
  <si>
    <t>Akhmad Mukhtarom</t>
  </si>
  <si>
    <t>Jadi Indah</t>
  </si>
  <si>
    <t>Affiliate</t>
  </si>
  <si>
    <t>kota besar di jakarta, bandung, surabaya, palembang, samarinda</t>
  </si>
  <si>
    <t>120237505059190694</t>
  </si>
  <si>
    <t>ID-1765551262631</t>
  </si>
  <si>
    <t>Pa Yana</t>
  </si>
  <si>
    <t>Soto Ayam Mawar</t>
  </si>
  <si>
    <t>Kel Harjamukti, Kecamatan Cimanggis, Depok</t>
  </si>
  <si>
    <t>12-60 th</t>
  </si>
  <si>
    <t>120237505061570694</t>
  </si>
  <si>
    <t>ID-1765551342808</t>
  </si>
  <si>
    <t>Novana</t>
  </si>
  <si>
    <t>Condong Raos</t>
  </si>
  <si>
    <t>Penjualan Sambal Berbagai Varian</t>
  </si>
  <si>
    <t>120237505063070694</t>
  </si>
  <si>
    <t>ID-1765699730039</t>
  </si>
  <si>
    <t>Aisha</t>
  </si>
  <si>
    <t>Aisha Hijab</t>
  </si>
  <si>
    <t>Grosiran</t>
  </si>
  <si>
    <t>120237637275770694</t>
  </si>
  <si>
    <t>ID-1765765891007</t>
  </si>
  <si>
    <t>15-Des-2025</t>
  </si>
  <si>
    <t>Budi</t>
  </si>
  <si>
    <t>Flow pilates</t>
  </si>
  <si>
    <t>studio pilates</t>
  </si>
  <si>
    <t>Teluk gong</t>
  </si>
  <si>
    <t>25-40 tahun</t>
  </si>
  <si>
    <t>120237637281700694</t>
  </si>
  <si>
    <t>ID-1765861371633</t>
  </si>
  <si>
    <t>ID-1765889735537</t>
  </si>
  <si>
    <t>Rahman</t>
  </si>
  <si>
    <t>CuciSepatuOmway</t>
  </si>
  <si>
    <t>Cuci Sepatu</t>
  </si>
  <si>
    <t>Jaktim, Penggilingan, Duren Sawit dan Sekitarnya</t>
  </si>
  <si>
    <t>17-40 th</t>
  </si>
  <si>
    <t>120237715261040694</t>
  </si>
  <si>
    <t>ID-1765930465601</t>
  </si>
  <si>
    <t>17-Des-2025</t>
  </si>
  <si>
    <t>Citra</t>
  </si>
  <si>
    <t>Senyoom Dental Care</t>
  </si>
  <si>
    <t>Klinik Gigi</t>
  </si>
  <si>
    <t>Kota Cimahi, Kabupaten Bandung, Kabupaten Bandung Barat, Bandung Raya</t>
  </si>
  <si>
    <t>21-60th</t>
  </si>
  <si>
    <t>120237826819370694</t>
  </si>
  <si>
    <t>ID-1765930527853</t>
  </si>
  <si>
    <t>Mitra Natama Tehnik</t>
  </si>
  <si>
    <t>Bangun/Rehab/Desain</t>
  </si>
  <si>
    <t>Sumatera Utara</t>
  </si>
  <si>
    <t>ID-1765931886590</t>
  </si>
  <si>
    <t>Nur Hamid</t>
  </si>
  <si>
    <t>Gaza Safes Solo Raya</t>
  </si>
  <si>
    <t>Jual Brankas New</t>
  </si>
  <si>
    <t>Jawa Tengah &amp; Jawa Timur</t>
  </si>
  <si>
    <t>120237715261280694</t>
  </si>
  <si>
    <t>ID-1766101853066</t>
  </si>
  <si>
    <t>18-Des-2025</t>
  </si>
  <si>
    <t>MRA Travel</t>
  </si>
  <si>
    <t>Umroh Bahagia, Berlimpah barokah</t>
  </si>
  <si>
    <t>Kab. Bantaeng, Jeneponto, Bulukumba, Takalar dan kab. gowa</t>
  </si>
  <si>
    <t>22-64 tahun</t>
  </si>
  <si>
    <t>ID-1766125800283</t>
  </si>
  <si>
    <t>Lia</t>
  </si>
  <si>
    <t>Distributor Resmi AFC</t>
  </si>
  <si>
    <t>Distributor</t>
  </si>
  <si>
    <t>120237912076160694</t>
  </si>
  <si>
    <t>ID-1766321701403</t>
  </si>
  <si>
    <t>21-Des-2025</t>
  </si>
  <si>
    <t>Riska indriani</t>
  </si>
  <si>
    <t>BS_PROJECT</t>
  </si>
  <si>
    <t>BENGKEL LAS</t>
  </si>
  <si>
    <t>Gresik dan lamongan</t>
  </si>
  <si>
    <t>15-60 thun</t>
  </si>
  <si>
    <t>Semua gender</t>
  </si>
  <si>
    <t>asti</t>
  </si>
  <si>
    <t>120238805623120235</t>
  </si>
  <si>
    <t>ID-1766322300065</t>
  </si>
  <si>
    <t>Muostofa</t>
  </si>
  <si>
    <t>Jasa Renovasi dan Bangunan Rumah</t>
  </si>
  <si>
    <t>Jasa Renovasi dan Bangun Baru</t>
  </si>
  <si>
    <t>Gresik Kota, Menganti, Kedamean, Mojokerto</t>
  </si>
  <si>
    <t>37-60 th</t>
  </si>
  <si>
    <t>120238805623510235</t>
  </si>
  <si>
    <t>ID-1766403205013</t>
  </si>
  <si>
    <t>22-Des-2025</t>
  </si>
  <si>
    <t>Abdul Rasyid R pakaya</t>
  </si>
  <si>
    <t>RBA ( rumah Bekam Ar ruzain)</t>
  </si>
  <si>
    <t>Terapis bekam, ruqyah, stroke,dan saraf kejepit</t>
  </si>
  <si>
    <t>kota Ternate provinsi Maluku Utara</t>
  </si>
  <si>
    <t>120238104795750694</t>
  </si>
  <si>
    <t>ID-1766450945118</t>
  </si>
  <si>
    <t>Suroto</t>
  </si>
  <si>
    <t>Arsitek, Kontraktor</t>
  </si>
  <si>
    <t>jasa bangun rumah</t>
  </si>
  <si>
    <t>Magetan, Madiun, Ponorogo, Ngawi</t>
  </si>
  <si>
    <t>120238980113330235</t>
  </si>
  <si>
    <t>ID-1766456560633</t>
  </si>
  <si>
    <t>23-Des-2025</t>
  </si>
  <si>
    <t>Rino</t>
  </si>
  <si>
    <t>Therapist Bonesetting manajemen nyeri</t>
  </si>
  <si>
    <t>mengobati bermacam-macam keluhan syaraf kejepit</t>
  </si>
  <si>
    <t>kita Ternate Maluku Utara</t>
  </si>
  <si>
    <t>120238104783660694</t>
  </si>
  <si>
    <t>ID-1766457277647</t>
  </si>
  <si>
    <t>Thabib Fahmi perangin angin S.Pd,C.RM,.C.MTr,C,KM</t>
  </si>
  <si>
    <t>Rumah terapi holistik karo</t>
  </si>
  <si>
    <t>ruqyah,bekam,bio elektrik/pen akupuntur, Oukup Karo,lintah,fisio terapi/gelombang hert,terapi,gurah,pijat getar saraf kretek,dan Herbalis</t>
  </si>
  <si>
    <t>kab Karo,Medan, Sumatera Utara</t>
  </si>
  <si>
    <t>120238104801840694</t>
  </si>
  <si>
    <t>ID-1766460530811</t>
  </si>
  <si>
    <t>agung Utomo</t>
  </si>
  <si>
    <t>terapi pengobatan alternatif mas agung</t>
  </si>
  <si>
    <t>jasa terapi pengobatan</t>
  </si>
  <si>
    <t>Purwokerto sokaraja Purbalingga Cilacap dan sekitarnya</t>
  </si>
  <si>
    <t>Jenis kelamin: bebas</t>
  </si>
  <si>
    <t>120238104805280694</t>
  </si>
  <si>
    <t>ID-1766542884726</t>
  </si>
  <si>
    <t>M Abduh</t>
  </si>
  <si>
    <t>Rumah spiritual healing</t>
  </si>
  <si>
    <t>jasa terapi sehat keluarga</t>
  </si>
  <si>
    <t>Jakarta, kota Bogor, kab Bogor, Depok, kita Tangerang, kan Tangerang, kota Bekasi, kab bekasi Indramayu, Karawang</t>
  </si>
  <si>
    <t>120238136621780694</t>
  </si>
  <si>
    <t>ID-1766543290034</t>
  </si>
  <si>
    <t>Amir mba</t>
  </si>
  <si>
    <t>kavling teluk mata ikan</t>
  </si>
  <si>
    <t>lahan kavling dan tapak rumah</t>
  </si>
  <si>
    <t>Batam Kepulauan Riau,batu besar nongsa</t>
  </si>
  <si>
    <t>120238980383230235</t>
  </si>
  <si>
    <t>ID-1766561202892</t>
  </si>
  <si>
    <t>H Ir Aprizal</t>
  </si>
  <si>
    <t>PT karya cipta tecture</t>
  </si>
  <si>
    <t>jasa design dan pelaksanaan bangunan gedung</t>
  </si>
  <si>
    <t>120239021274460235</t>
  </si>
  <si>
    <t>ID-1766576686580</t>
  </si>
  <si>
    <t>tabib noto</t>
  </si>
  <si>
    <t>rumah terapi alfito</t>
  </si>
  <si>
    <t>layanan kesehatan</t>
  </si>
  <si>
    <t>120238156535400694</t>
  </si>
  <si>
    <t>ID-1766582808024</t>
  </si>
  <si>
    <t>condro</t>
  </si>
  <si>
    <t>PT cdr jaya properti</t>
  </si>
  <si>
    <t>120239025652310235</t>
  </si>
  <si>
    <t>ID-1766587677282</t>
  </si>
  <si>
    <t>Dr Muhammad kabari, M.Si</t>
  </si>
  <si>
    <t>akunpuntur medik</t>
  </si>
  <si>
    <t>terapi akupunktur</t>
  </si>
  <si>
    <t>kota Banda Aceh,Aceh besar dan wilayah Aceh lainya</t>
  </si>
  <si>
    <t>120238156536060694</t>
  </si>
  <si>
    <t>ID-1766631629453</t>
  </si>
  <si>
    <t>Agus triastono tofik</t>
  </si>
  <si>
    <t>PT Broto makmur jaya</t>
  </si>
  <si>
    <t>Jawa Tengah, Jawa Timur, Jabodetabek</t>
  </si>
  <si>
    <t>120239021272160235</t>
  </si>
  <si>
    <t>ID-1766636166468</t>
  </si>
  <si>
    <t>Fathurrahman</t>
  </si>
  <si>
    <t>kretek shakti bekasi</t>
  </si>
  <si>
    <t>pijat kretek (reposisi tulang dan sendi)</t>
  </si>
  <si>
    <t>kita Bekasi</t>
  </si>
  <si>
    <t>120238156536410694</t>
  </si>
  <si>
    <t>ID-1766643702764</t>
  </si>
  <si>
    <t>Kasman</t>
  </si>
  <si>
    <t>AKSES ENGLISH CENTER</t>
  </si>
  <si>
    <t>Kursus bahasa inggris dan Bimbel</t>
  </si>
  <si>
    <t>Kota Kendari... Kabupaten Konawe.. Kabupaten Konawe Selatan</t>
  </si>
  <si>
    <t>mulai dari 6 tahun keatas</t>
  </si>
  <si>
    <t>120238136565530694</t>
  </si>
  <si>
    <t>ID-1766649810306</t>
  </si>
  <si>
    <t>jasa pijat dan bekam mas poer</t>
  </si>
  <si>
    <t>pijat dan bekam</t>
  </si>
  <si>
    <t>Kabupaten Purworejo dan sekitarnya</t>
  </si>
  <si>
    <t>120238156537180694</t>
  </si>
  <si>
    <t>ID-1766660221062</t>
  </si>
  <si>
    <t>totok syaraf jari petir Nusantara</t>
  </si>
  <si>
    <t>Jogjakarta ( restoran taman pring Sewu)</t>
  </si>
  <si>
    <t>120238104812620694</t>
  </si>
  <si>
    <t>ID-1766760099827</t>
  </si>
  <si>
    <t>Mariyah</t>
  </si>
  <si>
    <t>Warkop'e Bolodewe (4 warkop) &amp; Internet XL Satu</t>
  </si>
  <si>
    <t>Warkop dan Jasa Layanan Internet</t>
  </si>
  <si>
    <t>Sidoarjo, Krian untuk warkop dan internet cover Surabaya, Gresik, Sidoarjo</t>
  </si>
  <si>
    <t>anak2 sampai dewasa</t>
  </si>
  <si>
    <t>120238156538390694</t>
  </si>
  <si>
    <t>ID-1766760118176</t>
  </si>
  <si>
    <t>Titik Widiningsih</t>
  </si>
  <si>
    <t>Titik Bekam</t>
  </si>
  <si>
    <t>Nusupan Salaman Magelang/Bisa di panggil ke rumah tergantung jarak</t>
  </si>
  <si>
    <t>120238156538730694</t>
  </si>
  <si>
    <t>ID-1766807752988</t>
  </si>
  <si>
    <t>didik Ariyanto</t>
  </si>
  <si>
    <t>Jepara interior</t>
  </si>
  <si>
    <t>se Jawa dan madura</t>
  </si>
  <si>
    <t>120239079238730235</t>
  </si>
  <si>
    <t>ID-1766841430571</t>
  </si>
  <si>
    <t>endik</t>
  </si>
  <si>
    <t>balihandyman</t>
  </si>
  <si>
    <t>renovasi plumbing, electric, dll</t>
  </si>
  <si>
    <t>20-65 ( bule)</t>
  </si>
  <si>
    <t>120239079239350235</t>
  </si>
  <si>
    <t>ID-1766872941797</t>
  </si>
  <si>
    <t>Bob Sobirin Haris</t>
  </si>
  <si>
    <t>Bob Sobirin Haris Brand Officer Purwokerto</t>
  </si>
  <si>
    <t>Telekomunikasi Basis Internet Fiber Optic</t>
  </si>
  <si>
    <t>Purwokerto, Purbalingga, Cilacap, Banyumas</t>
  </si>
  <si>
    <t>ID-1766970242019</t>
  </si>
  <si>
    <t>120238159638890694</t>
  </si>
  <si>
    <t>ID-1767316598550</t>
  </si>
  <si>
    <t>Mardi</t>
  </si>
  <si>
    <t>Tirta agung water solution</t>
  </si>
  <si>
    <t>Sumur bor</t>
  </si>
  <si>
    <t>Wilayah DIY dan sekitarnya</t>
  </si>
  <si>
    <t>120239248263670235</t>
  </si>
  <si>
    <t>ID-1767323239248</t>
  </si>
  <si>
    <t>Yudi Susanto</t>
  </si>
  <si>
    <t>Bekam Muslimah</t>
  </si>
  <si>
    <t>Curup dan sekitarnya</t>
  </si>
  <si>
    <t>12-70</t>
  </si>
  <si>
    <t>120238391572920694</t>
  </si>
  <si>
    <t>ID-1767326874219</t>
  </si>
  <si>
    <t>02-Des-2026</t>
  </si>
  <si>
    <t>Agen Pupuk NPK 12-6-32 Agrosawit</t>
  </si>
  <si>
    <t>Pupuk sawit</t>
  </si>
  <si>
    <t>Tanah Grogot Kab. Paser Kalimantan Timur</t>
  </si>
  <si>
    <t>Laki" Dan perempuan</t>
  </si>
  <si>
    <t>120238391573220694</t>
  </si>
  <si>
    <t>ID-1767337099727</t>
  </si>
  <si>
    <t>gemilang</t>
  </si>
  <si>
    <t>Gemilang Movers</t>
  </si>
  <si>
    <t>Jasa pindahan</t>
  </si>
  <si>
    <t>25 up</t>
  </si>
  <si>
    <t>120238391573640694</t>
  </si>
  <si>
    <t>ID-1767358024757</t>
  </si>
  <si>
    <t>indra yani</t>
  </si>
  <si>
    <t>RJ teknik</t>
  </si>
  <si>
    <t>penjualan pompa air dan filterisasi air perbaikan dan perencanaan</t>
  </si>
  <si>
    <t>area Jimbaran,kuta,Ubud ( sasaran hotel dan villa)</t>
  </si>
  <si>
    <t>120238391573800694</t>
  </si>
  <si>
    <t>ID-1767361650553</t>
  </si>
  <si>
    <t>Mahdi</t>
  </si>
  <si>
    <t>Al Maz Holistic</t>
  </si>
  <si>
    <t>Jasa Trapiz</t>
  </si>
  <si>
    <t>Area Pengandaran</t>
  </si>
  <si>
    <t>120238391574400694</t>
  </si>
  <si>
    <t>ID-1767414911865</t>
  </si>
  <si>
    <t>Hadrianus</t>
  </si>
  <si>
    <t>Green Woloan Residence</t>
  </si>
  <si>
    <t>Perumahan Subsidi dan Komersial Kota Tomohon</t>
  </si>
  <si>
    <t>Target kota: Tomohon, Manado,Bitung,Minahasa Utara, Tondano</t>
  </si>
  <si>
    <t>120239248269100235</t>
  </si>
  <si>
    <t>ID-1767422865008</t>
  </si>
  <si>
    <t>Suprayitno</t>
  </si>
  <si>
    <t>toko komputer Prapatan</t>
  </si>
  <si>
    <t>retail</t>
  </si>
  <si>
    <t>Kediri kota,kab Kediri,kab Nganjuk,kab Tulungagung,kab Blitar,kab Jombang</t>
  </si>
  <si>
    <t>120238439298970694</t>
  </si>
  <si>
    <t>ID-1767426993485</t>
  </si>
  <si>
    <t>puguh sajaya</t>
  </si>
  <si>
    <t>jasa kontraktor dan arsitektur</t>
  </si>
  <si>
    <t>kontraktor, design arsitektur dan perhitungan struktur rumah tinggal</t>
  </si>
  <si>
    <t>wilayah Jawa Timur</t>
  </si>
  <si>
    <t>120239322538830235</t>
  </si>
  <si>
    <t>ID-1767444555705</t>
  </si>
  <si>
    <t>Ali Hamris</t>
  </si>
  <si>
    <t>Konfeksi Bordier Butik Almamater Hamris</t>
  </si>
  <si>
    <t>Konveksi</t>
  </si>
  <si>
    <t>Sulawesi dan Indonesia Timur</t>
  </si>
  <si>
    <t>120238439300680694</t>
  </si>
  <si>
    <t>ID-1767445692692</t>
  </si>
  <si>
    <t>Bpk Yolle Suryawan</t>
  </si>
  <si>
    <t>PT Mengalir Berkat Anugerah</t>
  </si>
  <si>
    <t>Bali dan Bandung</t>
  </si>
  <si>
    <t>ID-1767446090443</t>
  </si>
  <si>
    <t>Salman</t>
  </si>
  <si>
    <t>PT Sarana Perkasa Global</t>
  </si>
  <si>
    <t>Penjualan Besi dan Baja</t>
  </si>
  <si>
    <t>120239323638170235</t>
  </si>
  <si>
    <t>ID-1767446168484</t>
  </si>
  <si>
    <t>Elfiyan</t>
  </si>
  <si>
    <t>PT Marawa Holidays</t>
  </si>
  <si>
    <t>Malaysia dan Indonesia</t>
  </si>
  <si>
    <t>120238476998220694</t>
  </si>
  <si>
    <t>ID-1767587718857</t>
  </si>
  <si>
    <t>Adi winoto</t>
  </si>
  <si>
    <t>PT Garuda muda karya</t>
  </si>
  <si>
    <t>Perlengkapan alat dapur MBG</t>
  </si>
  <si>
    <t>Jabodetabek,Jawa Barat,banten</t>
  </si>
  <si>
    <t>min 25</t>
  </si>
  <si>
    <t>120238476998550694</t>
  </si>
  <si>
    <t>ID-1767669364976</t>
  </si>
  <si>
    <t>Syukur Aqikah</t>
  </si>
  <si>
    <t>Aqiqah</t>
  </si>
  <si>
    <t>120238476999290694</t>
  </si>
  <si>
    <t>ID-1767699945803</t>
  </si>
  <si>
    <t>Eko Abdul ghani</t>
  </si>
  <si>
    <t>terapi kesehatan waragad</t>
  </si>
  <si>
    <t>wilayah Bandung dan sekitarnya</t>
  </si>
  <si>
    <t>anak anak sampai lansia</t>
  </si>
  <si>
    <t>120238512667280694</t>
  </si>
  <si>
    <t>ID-1767712338112</t>
  </si>
  <si>
    <t>Rumahku Rancang Bangun</t>
  </si>
  <si>
    <t>Tegal, Pemalang, Pekalongan, Batang</t>
  </si>
  <si>
    <t>ID-1767712769437</t>
  </si>
  <si>
    <t>Candra</t>
  </si>
  <si>
    <t>Auto Custom</t>
  </si>
  <si>
    <t>Jasa Custom Lampu Mobil dan Motor di Bali</t>
  </si>
  <si>
    <t>120238512668670694</t>
  </si>
  <si>
    <t>ID-1767757115127</t>
  </si>
  <si>
    <t>Murtandloh</t>
  </si>
  <si>
    <t>DW Mkarya</t>
  </si>
  <si>
    <t>Jateng, Jatim,bali</t>
  </si>
  <si>
    <t>120239483595090235</t>
  </si>
  <si>
    <t>ID-1767757136402</t>
  </si>
  <si>
    <t>Lpk Kenzo</t>
  </si>
  <si>
    <t>Jenis Usaha:Lpk Kenzo Cirebon</t>
  </si>
  <si>
    <t>Lpk Kenzo Cirebon</t>
  </si>
  <si>
    <t>Jawabarat</t>
  </si>
  <si>
    <t>19-35 tahun</t>
  </si>
  <si>
    <t>120238555786480694</t>
  </si>
  <si>
    <t>ID-1767761425435</t>
  </si>
  <si>
    <t>Muhammad Idris</t>
  </si>
  <si>
    <t>MADU AMANAH</t>
  </si>
  <si>
    <t>Jual madu</t>
  </si>
  <si>
    <t>KOTA PAYAKUMBUH DAN KABUPATEN 50 KOTA, SUMATRA BARAT</t>
  </si>
  <si>
    <t>120238555786870694</t>
  </si>
  <si>
    <t>ID-1767774027748</t>
  </si>
  <si>
    <t>M sugim</t>
  </si>
  <si>
    <t>gusmus Terapy</t>
  </si>
  <si>
    <t>Cikarang, Bekasi,Sukatani, kerawang</t>
  </si>
  <si>
    <t>120238555786920694</t>
  </si>
  <si>
    <t>ID-1767839728890</t>
  </si>
  <si>
    <t>Nanang Hermansyah</t>
  </si>
  <si>
    <t>PT bisa internasional</t>
  </si>
  <si>
    <t>obat herbal, pupuk herbal dan skincare</t>
  </si>
  <si>
    <t>1 tahun- 60 tahun</t>
  </si>
  <si>
    <t>120238601863450694</t>
  </si>
  <si>
    <t>ID-1767840208816</t>
  </si>
  <si>
    <t>Yayan</t>
  </si>
  <si>
    <t>Bekam Panggilan Bandung</t>
  </si>
  <si>
    <t>Kota Bandung</t>
  </si>
  <si>
    <t>120238601863620694</t>
  </si>
  <si>
    <t>ID-1767877278509</t>
  </si>
  <si>
    <t>lisa</t>
  </si>
  <si>
    <t>kredit toko mutiara</t>
  </si>
  <si>
    <t>furniture dan elektronik</t>
  </si>
  <si>
    <t>Punggur,Nongsa,tiban,Batam center</t>
  </si>
  <si>
    <t>120238645880620694</t>
  </si>
  <si>
    <t>ID-1767888662908</t>
  </si>
  <si>
    <t>Ayni Ratnawati</t>
  </si>
  <si>
    <t>Salon Lucas</t>
  </si>
  <si>
    <t>Lowongan Pekerjaan</t>
  </si>
  <si>
    <t>ID-1767888856487</t>
  </si>
  <si>
    <t>-</t>
  </si>
  <si>
    <t>SMA ISTIQOMAH</t>
  </si>
  <si>
    <t>SMA ISTIQOMAH MUHAMMADIYAH BOARDING SAMARINDA</t>
  </si>
  <si>
    <t>16-60 th</t>
  </si>
  <si>
    <t>ID-1767931980332</t>
  </si>
  <si>
    <t>Abu Fadhillah</t>
  </si>
  <si>
    <t>E.O RSQ</t>
  </si>
  <si>
    <t>Pelatihan terapi holistik</t>
  </si>
  <si>
    <t>Hotel Raz, Jl. Dr. Mansyur Medan</t>
  </si>
  <si>
    <t>120238672135930694</t>
  </si>
  <si>
    <t>ID-1767933842215</t>
  </si>
  <si>
    <t>ferman</t>
  </si>
  <si>
    <t>PT luyu manchinary group</t>
  </si>
  <si>
    <t>penjualan alat berat dan alat pertanian</t>
  </si>
  <si>
    <t>32 tahun ke atas</t>
  </si>
  <si>
    <t>120239602788740235</t>
  </si>
  <si>
    <t>ID-1767948621071</t>
  </si>
  <si>
    <t>edi</t>
  </si>
  <si>
    <t>king auto ac</t>
  </si>
  <si>
    <t>bengkel AC dan kapak kapak mobil</t>
  </si>
  <si>
    <t>batuaji sekitarnya</t>
  </si>
  <si>
    <t>120238672136120694</t>
  </si>
  <si>
    <t>ID-1768129318262</t>
  </si>
  <si>
    <t>Abdul Rasyid Pakaya</t>
  </si>
  <si>
    <t>Rumah Qur'an Ar -Ruzain kota Ternate</t>
  </si>
  <si>
    <t>rumah Qur'an</t>
  </si>
  <si>
    <t>kota Ternate</t>
  </si>
  <si>
    <t>120238744086480694</t>
  </si>
  <si>
    <t>ID-1768140680574</t>
  </si>
  <si>
    <t>Ida Ayu Putu O</t>
  </si>
  <si>
    <t>PT Uber Sari Cargo</t>
  </si>
  <si>
    <t>packing &amp; shoping (Cargo)</t>
  </si>
  <si>
    <t>120238744086250694</t>
  </si>
  <si>
    <t>ID-1768230824629</t>
  </si>
  <si>
    <t>Solihin Mansur</t>
  </si>
  <si>
    <t>Hemart Trans</t>
  </si>
  <si>
    <t>Pangandaran, Banjar, Ciamis, Tasik, Sumedang, Garut, Bandung</t>
  </si>
  <si>
    <t>120238744086390694</t>
  </si>
  <si>
    <t>ID-1768258214130</t>
  </si>
  <si>
    <t>Rukmini</t>
  </si>
  <si>
    <t>Budi Interior</t>
  </si>
  <si>
    <t>Jayapura, Sentani</t>
  </si>
  <si>
    <t>120239678679740235</t>
  </si>
  <si>
    <t>ID-1768297397831</t>
  </si>
  <si>
    <t>HARIS</t>
  </si>
  <si>
    <t>HUMAIROH TRAVEL SINJAI</t>
  </si>
  <si>
    <t>biro perjalanan ibada Umroh atau haji</t>
  </si>
  <si>
    <t>kab sinjai , kajuara</t>
  </si>
  <si>
    <t>120238776980250694</t>
  </si>
  <si>
    <t>ID-1768344775482</t>
  </si>
  <si>
    <t>Budhi</t>
  </si>
  <si>
    <t>alkana store</t>
  </si>
  <si>
    <t>British propolis</t>
  </si>
  <si>
    <t>kota besar Indonesia</t>
  </si>
  <si>
    <t>30- 55 tahub</t>
  </si>
  <si>
    <t>120238776980160694</t>
  </si>
  <si>
    <t>ID-1768695576874</t>
  </si>
  <si>
    <t>ID-1768695672464</t>
  </si>
  <si>
    <t>irmawan</t>
  </si>
  <si>
    <t>Ud.sas harmonika</t>
  </si>
  <si>
    <t>120239920416560235</t>
  </si>
  <si>
    <t>ID-1768747500177</t>
  </si>
  <si>
    <t>Sarana Perkasa</t>
  </si>
  <si>
    <t>Toko</t>
  </si>
  <si>
    <t>Bandung, Cimahi, Kbb</t>
  </si>
  <si>
    <t>120239920418950235</t>
  </si>
  <si>
    <t>ID-1768771321399</t>
  </si>
  <si>
    <t>Teddy</t>
  </si>
  <si>
    <t>Deler Honda</t>
  </si>
  <si>
    <t>Marketing</t>
  </si>
  <si>
    <t>120238965258630694</t>
  </si>
  <si>
    <t>ID-1768862936742</t>
  </si>
  <si>
    <t>MA Al-Islam Surakarta</t>
  </si>
  <si>
    <t>Kegiatan AMT (Achievement Motivation Training)</t>
  </si>
  <si>
    <t>Penyelenggaraan Seminar/Pelatihan Motivasi untuk pelajar SMP, MTS, &amp; SMA, MA, SMK dan Ponpes</t>
  </si>
  <si>
    <t>120239034771370694</t>
  </si>
  <si>
    <t>ID-1769130808800</t>
  </si>
  <si>
    <t>Yuli</t>
  </si>
  <si>
    <t>BNETFIT</t>
  </si>
  <si>
    <t>INTERNET</t>
  </si>
  <si>
    <t>Denpasar dan sekitarnya, Tabanan,</t>
  </si>
  <si>
    <t>laki</t>
  </si>
  <si>
    <t>120239105052930694</t>
  </si>
  <si>
    <t>ID-1769173733463</t>
  </si>
  <si>
    <t>Syfa</t>
  </si>
  <si>
    <t>Urut Tradisional Sumber Waras</t>
  </si>
  <si>
    <t>Cikarang Pusat/Cikarang Jababeka dan sekitarnya kabupaten Bekasi</t>
  </si>
  <si>
    <t>tua muda dan dewasa( khusus anak anak laki-laki dan perempuan)</t>
  </si>
  <si>
    <t>120239194659610694</t>
  </si>
  <si>
    <t>ID-1769216945216</t>
  </si>
  <si>
    <t>kusmiasih</t>
  </si>
  <si>
    <t>ilham shop</t>
  </si>
  <si>
    <t>120239194660040694</t>
  </si>
  <si>
    <t>ID-1769409473712</t>
  </si>
  <si>
    <t>Plumbing solution</t>
  </si>
  <si>
    <t>perbaikan WC mampet pembuangan air mampet dan kebocoran</t>
  </si>
  <si>
    <t>120240255701090235</t>
  </si>
  <si>
    <t>ID-1769482421937</t>
  </si>
  <si>
    <t>Apip Jaelani ST</t>
  </si>
  <si>
    <t>PT Lam Alif Contruction</t>
  </si>
  <si>
    <t>Jasa Kontruksi</t>
  </si>
  <si>
    <t>120240292582830235</t>
  </si>
  <si>
    <t>ID-1769653165189</t>
  </si>
  <si>
    <t>Bambang tri cahyono</t>
  </si>
  <si>
    <t>Bangun rumah arsitek77</t>
  </si>
  <si>
    <t>kontraktor dan desain rumah</t>
  </si>
  <si>
    <t>jabotabek</t>
  </si>
  <si>
    <t>64 th</t>
  </si>
  <si>
    <t>120240292583580235</t>
  </si>
  <si>
    <t>ID-1769680120515</t>
  </si>
  <si>
    <t>M Samiruddin Pademmui</t>
  </si>
  <si>
    <t>HERBALKU</t>
  </si>
  <si>
    <t>Pengobatan Herbal</t>
  </si>
  <si>
    <t>Pulau Jawa, Bali dan Sulawesi</t>
  </si>
  <si>
    <t>120239419945970694</t>
  </si>
  <si>
    <t>ID-1769685005908</t>
  </si>
  <si>
    <t>SULTAN TOUR &amp; TRAVEL</t>
  </si>
  <si>
    <t>HAJI DAN UMRAH</t>
  </si>
  <si>
    <t>banten</t>
  </si>
  <si>
    <t>120239363734900694</t>
  </si>
  <si>
    <t>ID-1769938084212</t>
  </si>
  <si>
    <t>Mia</t>
  </si>
  <si>
    <t>Rumah Bekam Berkah</t>
  </si>
  <si>
    <t>Kabupaten Tabalong, kecamatan murung pudak dan Tanjung, kelua dan tanta, kabupaten Paringin ,Tamiang layang</t>
  </si>
  <si>
    <t>bayi orang tua /  dewasa</t>
  </si>
  <si>
    <t>120239492484200694</t>
  </si>
  <si>
    <t>ID-1769996983567</t>
  </si>
  <si>
    <t>Yasmin health staycation</t>
  </si>
  <si>
    <t>ID-1770002671528</t>
  </si>
  <si>
    <t>Gresik, Lamongan</t>
  </si>
  <si>
    <t>ID-1770074035834</t>
  </si>
  <si>
    <t>Rimayanti</t>
  </si>
  <si>
    <t>Nizam Travel Hiace/Elf Long</t>
  </si>
  <si>
    <t>Sumatera, Seluruh Indonesia, dan Luar Negeri yang bisa di jangkau</t>
  </si>
  <si>
    <t>ID-1770190769161</t>
  </si>
  <si>
    <t>Bangun omah</t>
  </si>
  <si>
    <t>Sidoarjo, Surabaya, Mojokerto</t>
  </si>
  <si>
    <t>120240618644910235</t>
  </si>
  <si>
    <t>ID-1770251784233</t>
  </si>
  <si>
    <t>Firman</t>
  </si>
  <si>
    <t>Dimensi desain</t>
  </si>
  <si>
    <t>Perijinan bangunan dan desain arsitek</t>
  </si>
  <si>
    <t>jawa Barat</t>
  </si>
  <si>
    <t>120240618637510235</t>
  </si>
  <si>
    <t>ID-1770443073692</t>
  </si>
  <si>
    <t>Eka</t>
  </si>
  <si>
    <t>Berkat Parcel Salatiga</t>
  </si>
  <si>
    <t>Parcel</t>
  </si>
  <si>
    <t>Salatiga - Jawa Tengah</t>
  </si>
  <si>
    <t>120239687732320694</t>
  </si>
  <si>
    <t>ID-1770555890063</t>
  </si>
  <si>
    <t>Cv Zalipool</t>
  </si>
  <si>
    <t>ID-1770607654262</t>
  </si>
  <si>
    <t>Rumah Terapi Untuk Semua</t>
  </si>
  <si>
    <t>Terapi Pengobatan Alternatif</t>
  </si>
  <si>
    <t>120239687732660694</t>
  </si>
  <si>
    <t>ID-1770697127594</t>
  </si>
  <si>
    <t>Herni</t>
  </si>
  <si>
    <t>Bengkel Las Warna Kanopy Stell</t>
  </si>
  <si>
    <t>Las Aluminium</t>
  </si>
  <si>
    <t>Depok dan Tangerang</t>
  </si>
  <si>
    <t>120240794926270235</t>
  </si>
  <si>
    <t>ID-1770734424178</t>
  </si>
  <si>
    <t>Thoyibah Hasanah</t>
  </si>
  <si>
    <t>Paotere tour and travel</t>
  </si>
  <si>
    <t>biro perjalanan</t>
  </si>
  <si>
    <t>Indonesia tengah dan timur</t>
  </si>
  <si>
    <t>120239750733810694</t>
  </si>
  <si>
    <t>ID-1770767392791</t>
  </si>
  <si>
    <t>Mom Usman</t>
  </si>
  <si>
    <t>Rumah Sehat</t>
  </si>
  <si>
    <t>Message/Urut Tradisional</t>
  </si>
  <si>
    <t>anak-anak - dewasa</t>
  </si>
  <si>
    <t>120239750734000694</t>
  </si>
  <si>
    <t>ID-1770768607174</t>
  </si>
  <si>
    <t>Anterin. Rent</t>
  </si>
  <si>
    <t>menyewakan mobil+driver tidak lepas kunci</t>
  </si>
  <si>
    <t>120239750734160694</t>
  </si>
  <si>
    <t>ID-1770773073094</t>
  </si>
  <si>
    <t>Gejayan Innova</t>
  </si>
  <si>
    <t>interior Cover Jok Mobil, hiace dsb</t>
  </si>
  <si>
    <t>jogja, klaten, solo, purworejo, cilacap. semarang, (jawa tengah)</t>
  </si>
  <si>
    <t>17-60th</t>
  </si>
  <si>
    <t>laki-laki, perempuan</t>
  </si>
  <si>
    <t>120239750734230694</t>
  </si>
  <si>
    <t>ID-1770861160755</t>
  </si>
  <si>
    <t>MEGAH PLAFON Gypsum</t>
  </si>
  <si>
    <t>Gypsum</t>
  </si>
  <si>
    <t>ID-1770870624574</t>
  </si>
  <si>
    <t>haris</t>
  </si>
  <si>
    <t>STARLINK</t>
  </si>
  <si>
    <t>jaringan internet</t>
  </si>
  <si>
    <t>kab sinjai dan kecamatan kajuara 77</t>
  </si>
  <si>
    <t>25keatas</t>
  </si>
  <si>
    <t>120239870197460694</t>
  </si>
  <si>
    <t>ID-1771039003526</t>
  </si>
  <si>
    <t>Damey AC &amp; Service elektronik</t>
  </si>
  <si>
    <t>Service AC dan service elektronik</t>
  </si>
  <si>
    <t>Depok, Bogor, Cibubur, Cilengsi, Jakarta Selatan</t>
  </si>
  <si>
    <t>120239898038330694</t>
  </si>
  <si>
    <t>ID-1771044358295</t>
  </si>
  <si>
    <t>Erik Nurdiansyah</t>
  </si>
  <si>
    <t>PT Lintang Jaya Konstruksi Desain And Building</t>
  </si>
  <si>
    <t>Jawa Barat, Banten, Jabodetabek</t>
  </si>
  <si>
    <t>120240982872990235</t>
  </si>
  <si>
    <t>ID-1771048665067</t>
  </si>
  <si>
    <t>Anwar</t>
  </si>
  <si>
    <t>Ganesha Group</t>
  </si>
  <si>
    <t>Pengecatan dan Waterproofing</t>
  </si>
  <si>
    <t>Surabaya, Sidoarjo, Malang Kota</t>
  </si>
  <si>
    <t>120240952296170235</t>
  </si>
  <si>
    <t>ID-1771048869902</t>
  </si>
  <si>
    <t>Andri Suhandri</t>
  </si>
  <si>
    <t>Arsitektur Andri</t>
  </si>
  <si>
    <t>Design gambar dan bangun</t>
  </si>
  <si>
    <t>120240952296430235</t>
  </si>
  <si>
    <t>ID-1771058043884</t>
  </si>
  <si>
    <t>ID-1771114762194</t>
  </si>
  <si>
    <t>Supandi</t>
  </si>
  <si>
    <t>Angkutan dalam dan luar kota supandi</t>
  </si>
  <si>
    <t>Jasa Angkutan</t>
  </si>
  <si>
    <t>seluruh Kalimantan</t>
  </si>
  <si>
    <t>120239898038100694</t>
  </si>
  <si>
    <t>ID-1771131484489</t>
  </si>
  <si>
    <t>MHD. ABDURAHIM.AL MASRI</t>
  </si>
  <si>
    <t>MY REPUBLIK</t>
  </si>
  <si>
    <t>WIFI CEPAT</t>
  </si>
  <si>
    <t>18 - 50</t>
  </si>
  <si>
    <t>LK/PR</t>
  </si>
  <si>
    <t>120239960648930694</t>
  </si>
  <si>
    <t>ID-1771456202683</t>
  </si>
  <si>
    <t>Trigger: #inputlaporan#
Laporan CS Jasa Iklan UMKM
-------
Nama CS: Isna
Tanggal: 13-Nov-2025
Leads:60
Jumlah Closing:
Paket 1:
Paket 2:
Paket 3: 
Paket 4: 
Paket 5:
Repeat Paket 1:
Repeat Paket 2:
Repeat Paket 3: 
Repeat Paket 4: 
Repeat Paket 5:
Catatan:
26 nores
18 cek harga
10 tanya tanya
  5 isi data
  1 ngga jadi</t>
  </si>
  <si>
    <t>ERROR: ReferenceError: parseLaporanCS is not defined</t>
  </si>
  <si>
    <t>Exception: De parameters (String,String,String) komen niet overeen met de methodehandtekening voor Utilities.formatDate.</t>
  </si>
  <si>
    <t>LAPORAN SAVED: false</t>
  </si>
  <si>
    <t>Trigger: /start</t>
  </si>
  <si>
    <t>Trigger: #inputorder#
Data Pesanan Jasa Iklan UMKM
Data Pemesan
----
Tanggal: 15-Nov-2025
Nama: Para Ir. Berpengalaman
Nama Usaha: PT. Panorama Jaya Labana
Jenis Usaha: Usaha Jasa Konstruksi spesialist bangun / renovasi Rumah
No Whatsapp Bisnis: 628122102657
Alamat usaha: Bandung 
Deskripsi produk/jasa:
AHLI BANGUNAN
KAMI YANG BERGERAK DIBIDANG JASA PROPERTY DAN KONTRUKSI
JASA BANGUN RUMAH, RENOVASI PROFESIONAL , INT,ERIOR DESN
ANDA BUTUH RENOVASI RUMAH ATAU BANGUN RUMAH?? DENGAN DESAIN GAMBAR SERTA RencanaAnggaran Biaya (RAB).
KAMI SIAP MEMBANTU ANDA!!!
Jasa Kontraktor, Konstruksi, Bangun Baru Bangunan,Rumah tinggal, kos-kosan, kantor, tempat usaha, ruko, cafe,rumah butik, rumah kantor, rumah gudang/pabrik dll.
Free:
– Konsultasi arsitek &amp; sipil bangunan
– Desain arsitektur 3D
– Gambar kerja lengkap
– Sket denah ruangan dan interior
– RAB
Harga berdasarkan RAB bisa disesuaikan budget berdasar rencana gambar setelah survey lokasi dan atau konsultasi
Perkiraan:
Rumah sederhana: 3,2 Jt/m2 s.d. 3.5 Jt/m2
Rumah mewah (1 Lantai): 3.6 Jt/m2 s.d. 4,0 Jt/m2
Rumah mewah (2 Lantai): 4,2 Jt/m2 s.d. 5,0 Jt/m2
Rumah exclusive: lebih dari 5,0 Jt/m2
Juga melayani:
– Renovasi dan Perbaikan bangunan
– Jasa Desain Eksterior (Gambar Kerja Bangunan), Gambar Syarat IMB, Gambar 3D, Hitung Struktur, RAB | Perencanaan
– Jasa Desain Interior dan Pembuatan Custom Furniture
– Jasa penambahan ruang / pengalihan ruang seperti garasi menjadi butik, rumah menjadi rumah butik
KONSULTASI dan SURVEY LOKASI GRATISS
masalah harga NEGOTIABLE
Data Target Iklan
----
Lokasi: Bandung,Jawa barat, seluruh Indonesia 
Usia: 17-55
Jenis kelamin:SU
Data iklan
----
Durasi:14
Data Pembayaran
----
Total Bayar: 500000
Cs: Yuni
Status: Perpanjang</t>
  </si>
  <si>
    <t>Memeriksa nomor WA setelah dibersihkan: '628122102657' (Tipe: string)</t>
  </si>
  <si>
    <t>Hasil validasi: Valid</t>
  </si>
  <si>
    <t>ORDER SAVED: ORD-1512</t>
  </si>
  <si>
    <t>Trigger: #inputorder#
Data Pesanan Jasa Iklan UMKM
Data Pemesan
----
Tanggal: 14-Nov-2025
Nama: Ali Imron 
Nama Usaha: Sinar Gorden Interior 
Jenis Usaha: Gorden, wallpaper, kaca film, flooring
No Whatsapp Bisnis: 628156626447
Alamat: Jl Kol HR Hadijanto Banaran Sekaran Gunungpati Semarang 
Durasi: 14
Deskripsi produk/jasa: 
*Keunggulan usaha (wajib):*Gorden ukuran custom, gratis survey, konsultasi, pemasangan
*keunikan usaha (wajib):* Banyak pilihan jenis motif dan warna. Kualitas bagus, harga bersahabat
Promo:
-Roller Blinds
Harga mulai Rp.400.000 permeter persegi
-Vertical Blinds
Harga mulai Rp.300.000 permeter persegi
-Venetian Blinds
Mulai harga Rp.300.000 permeter persegi
-Paket Super A :
Jendela Lebar 130 - 160 cm
Spesifikasi :
- Gorden Blackout (L 200 cm T maks 300 cm) x 2 pcs
- Vitrase L 320 cm T 300 cm
- Roulet (pipa) tebal P 160 cm
- Rel kotak tebal P 160 cm
- Tali dan Gantungan
- Free antar dan pasang
 ~Rp.1.300.000~ 
Rp.1.200.000
Gratis Survey
Area Semarang dan sekitarnya
Data Target Iklan
----
Lokasi: Semarang, Ungaran 
Usia: 25-60 th
Jenis kelamin: laki-laki dan perempuan 
Data Pembayaran
----
Total Bayar: 550000
Cs: Isna
Status: Baru</t>
  </si>
  <si>
    <t>Memeriksa nomor WA setelah dibersihkan: '628156626447' (Tipe: string)</t>
  </si>
  <si>
    <t>ORDER SAVED: ORD-1513</t>
  </si>
  <si>
    <t>Trigger: #inputorder#
Data Pesanan Jasa Iklan UMKM
Data Pemesan
----
Tanggal: 14-Nov-2025
Nama: Sumini Mitro Suwarno 
Nama Usaha: Rumah Sehat Tradisional Holistic "AZELA"
Jenis Usaha: Kesehatan Tradisional 
No Whatsapp Bisnis: 6281316122975
Alamat: Ruko Megalegenda 2 Blok D3 no 15 Batam Center 
Durasi: 7
Deskripsi produk/jasa: 
Menangani patah tulang, treatment perut + masker, treatment pasca melahirkan, lulur/body scrub, pijat tradisional, perawatan stroke, bekam tanduk, bekam api, hijamah dll
Data Target Iklan
----
Lokasi: Batam
Usia: semua umur 
Jenis kelamin: laki-laki dan perempuan 
Data Pembayaran
----
Total Bayar: 297000
Cs: Isna
Status: Perpanjang</t>
  </si>
  <si>
    <t>Memeriksa nomor WA setelah dibersihkan: '6281316122975' (Tipe: string)</t>
  </si>
  <si>
    <t>ORDER SAVED: ORD-1514</t>
  </si>
  <si>
    <t>Trigger: #inputorder#
Data Pesanan Jasa Iklan UMKM
Data Pemesan
----
Tanggal: 14-Nov-2025
Nama: Supatoni
Nama Usaha: Rizky Contruksi 
Jenis Usaha: Jasa Desain dan jasa bangun rumah tinggal dan gedung 
No Whatsapp Bisnis: 6282160889408
Alamat usaha: Jalan Imam Bonjol gang Marwan 40 Bandar Lampung 
Durasi: 5
Deskripsi produk/jasa: 
*Keunggulan usaha*: Harga murah kualitas standar SNI
*Keunikan usaha*: Desain sesuai request klien dan harga di bawah pasaran 
Data Target Iklan
----
Lokasi: Bandar Lampung Lampung Selatan dan Pesawaran 
Usia: 20 tahun ke atas
Jenis kelamin: All
Data Pembayaran
----
Total Bayar: 197000
Cs: Isna
Status: Perpanjang</t>
  </si>
  <si>
    <t>Memeriksa nomor WA setelah dibersihkan: '6282160889408' (Tipe: string)</t>
  </si>
  <si>
    <t>ORDER SAVED: ORD-1515</t>
  </si>
  <si>
    <t>Trigger: #inputlaporan#
Laporan CS Jasa Iklan UMKM
------- 
Nama CS: Isna
Tanggal: 14-Nov-2025
Leads:5
Jumlah Closing: 3
Paket 1: 
Paket 2: 
Paket 3:1
Paket 4: 
Paket 5: 
Repeat Paket 1:1
Repeat Paket 2:1
Repeat Paket 3: 
Repeat Paket 4: 
Repeat Paket 5: 
Catatan:
2 nores 
2 cek harga
1 tanya-tanya</t>
  </si>
  <si>
    <t>Trigger: #inputorder#
Data Pesanan Jasa Iklan UMKM
Data Pemesan
----
Tanggal: 15-Nov-2025
Nama: ikhlas hakim/khotimah 
Nama Usaha: Bispa ( Bandung internasional spa academy)
Jenis Usaha: kursus dan pelatihan dan penyaluran kerja dalam dan luar negeri 
Alamat usaha: komplek perumahan shankara mountain view residence jl letda Lukito cisempud baturumpil kabupaten Sumedang Bandung Jawa Barat 
No Whatsapp Bisnis:6285974999484
Durasi: 5
Deskripsi produk/jasa:
jasa:kursus dan pelatihan
*Keunggulan usaha (wajib):*Kursus Spa skala internasional
*keunikan usaha (wajib):*Langsung disalurkan kerja dalam &amp; luar negeri, usaha dan berpenghasilan
Promo:Tersedia dana talang untuk ke Turki tanpa agunan untuk resort dan hotel
Data Target Iklan
----
Lokasi: seluruh Indonesia 
Usia:18-45 tahun
Jenis kelamin: pria dan wanita 
Data Pembayaran
----
Total Bayar: 197000
Cs: Maya
Status: Baru</t>
  </si>
  <si>
    <t>Memeriksa nomor WA setelah dibersihkan: '6285974999484' (Tipe: string)</t>
  </si>
  <si>
    <t>ORDER SAVED: ORD-1516</t>
  </si>
  <si>
    <t>Trigger: #inputorder#
Data Pesanan Jasa Iklan UMKM
Data Pemesan
----
Tanggal: 15-Nov-2025
Nama: Mpuh Sembiring 
Nama Usaha: Pengobatan alternatif mpuh Sembiring 
Jenis Usaha: Pengobatan medis dan non medis
No Whatsapp Bisnis: 628137914558
Alamat: Rumah Sehat Mpuh Sembiring jalan Soekarno Hatta tanah tinggi Binjai timur Sumatra Utara (samping rumah makan khas Karo BPK otaman)
Durasi: 5
Deskripsi produk/jasa: Rumah Sehat Mpuh Sembiring
Ikhtiar Sehat Lahir &amp; Batin – Medis &amp; Non-Medis
Rumah Sehat Mpuh Sembiring merupakan pusat penyembuhan holistik yang menghadirkan solusi bagi berbagai keluhan kesehatan, baik non-medis akibat sihir, energi negatif, gangguan batin, maupun penyakit medis yang membutuhkan terapi alami.
Spesialisasi Layanan
Non-Medis: Penanganan gangguan akibat sihir, santet, energi negatif, rasa gelisah, insomnia, dan gangguan batin lainnya.
Medis dengan Totok Saraf:
Asam urat
Diabetes
Hipertensi
Stroke ringan (pemulihan saraf)
Nyeri sendi dan otot
Migrain dan sakit kepala menahun
Masalah pencernaan (maag, asam lambung, sembelit)
Gangguan kesuburan &amp; program hamil (lama hamil)
Keluhan vitalitas pria &amp; wanita
Stres, cemas, dan gangguan psikosomatis
Mengapa Memilih Rumah Sehat Mpuh Sembiring?
Pendekatan menyeluruh dengan totok saraf, herbal, doa, dan terapi spiritual.
Menangani akar masalah kesehatan, bukan sekadar gejala.
Spesialis dalam membantu pasangan yang lama menantikan hadirnya buah hati.
Layanan penuh empati dan privasi, ditangani langsung oleh Mpuh Sembiring.
Rumah Sehat Mpuh Sembiring – Tempat ikhtiar sehat lahir batin, memulihkan tubuh, membersihkan energi, dan membuka jalan untuk kesembuhan serta kebahagiaan keluarga Anda.
------
Keunggulan Rumah Sehat Mpuh Sembiring
1. Gabungan Medis &amp; Non-Medis
Tidak hanya fokus pada kesehatan fisik (asam urat, diabetes, hipertensi, stroke ringan), tetapi juga menangani gangguan non-medis akibat sihir, energi negatif, dan batin yang tidak tenang.
2. Metode Totok Saraf yang Terbukti
Terapi alami yang membantu melancarkan peredaran darah, memperbaiki fungsi organ, mengurangi nyeri, serta meningkatkan kesuburan pasangan yang lama menanti kehamilan.
3. Spesialis Program Hamil
Pendampingan intensif untuk pasangan yang sulit memiliki keturunan, dengan ikhtiar lahir (totok saraf &amp; herbal) dan batin (doa &amp; pembersihan energi).
4. Pendekatan Personal &amp; Empati
Setiap pasien didampingi langsung oleh Mpuh Sembiring dengan penuh perhatian, menjaga privasi, dan memberi bimbingan lahir-batin.
5. Holistik &amp; Menyeluruh
Penyembuhan tidak hanya mengatasi gejala, tetapi mencari akar masalah—baik medis maupun non-medis—sehingga hasil lebih optimal.
6. Berpengalaman &amp; Terpercaya
Mpuh Sembiring telah menangani berbagai kasus kesehatan, mulai dari penyakit ringan hingga kasus non-medis yang rumit, dengan banyak pasien merasakan perubahan positif.
7. Ikhtiar Sehat Lahir Batin
Rumah Sehat Mpuh Sembiring menjadi tempat ikhtiar untuk menyatukan usaha medis, tradisional, dan spiritual demi kesembuhan serta ketenangan hidup.
*keunikan usaha (wajib):*
Keunikan Rumah Sehat Mpuh Sembiring
1. Menggabungkan Ilmu Medis &amp; Non-Medis
Tidak hanya fokus pada penyakit fisik (seperti asam urat, diabetes, hipertensi, stroke ringan), tetapi juga menangani gangguan non-medis seperti sihir, santet, dan energi negatif.
2. Spesialis Totok Saraf untuk Kesuburan
Banyak tempat terapi totok saraf, tetapi Mpuh Sembiring menekankan pada program hamil—membantu pasangan yang sudah lama menanti keturunan.
3. Pendekatan Lahir &amp; Batin
Terapi dilakukan dengan kombinasi totok saraf, herbal alami, doa, dan pembersihan energi, sehingga pasien mendapat penyembuhan yang menyeluruh.
4. Sentuhan Personal &amp; Kekeluargaan
Pasien tidak hanya ditangani sebagai “klien”, tetapi didampingi layaknya keluarga—dengan empati, doa, dan dukungan spiritual.</t>
  </si>
  <si>
    <t>Memeriksa nomor WA setelah dibersihkan: '628137914558' (Tipe: string)</t>
  </si>
  <si>
    <t>ORDER SAVED: ORD-1517</t>
  </si>
  <si>
    <t>Trigger: 5. Solusi untuk Kasus yang Sulit
Menangani banyak pasien yang sudah berobat ke medis modern namun belum menemukan hasil, terutama dalam kasus gangguan non-medis dan masalah kehamilan.
6. Mengutamakan Keseimbangan
Tidak hanya menghilangkan sakit, tapi mengembalikan harmoni tubuh, pikiran, dan jiwa agar pasien lebih sehat, tenang, dan bahagia.
Data Target Iklan
----
Lokasi: Lokasi Utama (Prioritas Tinggi) 
Kota Binjai (pusat lokasi usaha)
Kota Medan (dekat &amp; populasi besar)
Kabupaten Deli Serdang (Lubuk Pakam, Percut Sei Tuan, Pancur Batu, Sunggal)
Kabupaten Langkat (Stabat, Tanjung Pura, Pangkalan Brandan)
Lokasi Penyangga (Sekitar Sumatera Utara)
Kabupaten Karo (Kabanjahe, Berastagi)
Perluasan (Target Luar Sumut – untuk pasien yang rela datang jauh)
Provinsi Aceh (Lhokseumawe, Banda Aceh, Langsa, Aceh Tamiang)
---
 Strategi Target di FB Ads
1. Radius Ads
Buat iklan dengan radius 30–50 km dari lokasi Binjai (ini mencakup Medan, Langkat, Deli Serdang).
Untuk tahap awal, fokus ke area ini agar lebih hemat biaya iklan.
2. Kampanye Regional
Gunakan bahasa promosi yang menekankan “Jarak bukan masalah, banyak pasien luar kota datang ke Binjai untuk berobat.”
3. Target Diaspora &amp; Komunitas
Orang Sumut yang tinggal di luar kota tapi masih sering pulang (gunakan interest: Sumatera Utara, Binjai, Medan).
Komunitas ibu rumah tangga, pasangan baru menikah, penderita diabetes, asam urat, dll
Usia: 20-70 tahun
Jenis kelamin: semua
Data Pembayaran
----
Total Bayar: 197000
Cs: Tika 
Status: Baru</t>
  </si>
  <si>
    <t>Trigger: #inputorder#
Data Pesanan Jasa Iklan UMKM
Data Pemesan
----
Tanggal: 14-Nov-2025
Nama: Irfan Arfani 
Nama Usaha: AF chemy 
Jenis Usaha: produk perawatan kendaraan 
Alamat usaha: perum jati unggul blok B7 no 5 RT 003 RW 014 harapan jaya Bekasi Utara kota Bekasi 17124
No Whatsapp Bisnis:6282213959236
Durasi: 7
Deskripsi produk/jasa:
PRODUK
1. AF Chemy Sealant Spray Wax
Adalah produk pengkilap mobil motor, sangat cocok untuk warna glossy (bukan warna mate), hasil instant cukup dengan spray dan lap dengan kain micro fiber, non silikon, tidak lengket, efek wetlook (efek basah), hydrophobic (efek daun talas), perlindungan maksimal thd cuaca tropis
2. AF Chemy Black RESTORER
Adalah produk penghitam trim plastik kendaraan yang terbuat dari plastik kasar, menghitamkan secara instan tampak seperti baru lagi, tahan lama (lebih dari 6 bulan), anti air, melindungi dari cuaca
3. AF Chemy Semir Ban
Adalah produk semir ban premium, mengkilap kan dan menghitamkan ban, anti air, tahan lama, melindungi kekenyalan karet, melindungi dari cuaca, bisa digunakan untuk semua material karet baik ban, karet pintu, selang2 mesin dll
Harga :
1. Paket isi 3 produk 99 rb
2. Sealant Spray Wax 45 rb
3. Black RESTORER 40 rb
. Volume
1. Spray wax 250 ml
2. Black RESTORER 100 ml
3. Semir ban 250 ml
Tambahan info
1. Sealant spray wax
Non silicon, premium kualitas, aman untuk semua cat
2. Black RESTORER
Waterbase, cepat kering, aman untuk materian plastik 
3. Semir ban
Premium silikon waterbase gel, melindungi karet, menjaga kekenyalan karet
Promo : 
Cod &amp; free ongkir se-Jawa
Data Target Iklan
----
Lokasi: Pulau jawa
Usia:18 ke atas
Jenis kelamin: bebas
Data Pembayaran
----
Total Bayar: 297000
Cs: Maya
Status: Baru</t>
  </si>
  <si>
    <t>Memeriksa nomor WA setelah dibersihkan: '6282213959236' (Tipe: string)</t>
  </si>
  <si>
    <t>ORDER SAVED: ORD-1518</t>
  </si>
  <si>
    <t>Trigger: #inputorder#
Data Pesanan Jasa Iklan UMKM
Data Pemesan
----
Tanggal: 15-Nov-2025
Nama: Mpuh Sembiring 
Nama Usaha: Pengobatan alternatif mpuh Sembiring 
Jenis Usaha: Pengobatan medis dan non medis
No Whatsapp Bisnis: 628137914558
Alamat: Rumah Sehat Mpuh Sembiring jalan Soekarno Hatta tanah tinggi Binjai timur Sumatra Utara (samping rumah makan khas Karo BPK otaman)
Durasi: 5
Deskripsi produk/jasa: Rumah Sehat Mpuh Sembiring
Ikhtiar Sehat Lahir &amp; Batin – Medis &amp; Non-Medis
Spesialisasi Layanan
Non-Medis: Penanganan gangguan akibat sihir, santet, energi negatif, rasa gelisah, insomnia, dan gangguan batin lainnya.
Medis dengan Totok Saraf:
Asam urat
Diabetes
Hipertensi
Stroke ringan (pemulihan saraf)
Nyeri sendi dan otot
Migrain dan sakit kepala menahun
Masalah pencernaan (maag, asam lambung, sembelit)
Gangguan kesuburan &amp; program hamil (lama hamil)
Keluhan vitalitas pria &amp; wanita
Stres, cemas, dan gangguan psikosomatis
------
Keunggulan Rumah Sehat Mpuh Sembiring
1. Gabungan Medis &amp; Non-Medis
2. Metode Totok Saraf yang Terbukti
3. Spesialis Program Hamil
4. Pendekatan Personal &amp; Empati
5. Holistik &amp; Menyeluruh
6. Berpengalaman &amp; Terpercaya.
7. Ikhtiar Sehat Lahir Batin
*keunikan usaha (wajib):*
1. Menggabungkan Ilmu Medis &amp; Non-Medis
2. Spesialis Totok Saraf untuk Kesuburan
3. Pendekatan Lahir &amp; Batin
4. Sentuhan Personal &amp; Kekeluargaan
5. Solusi untuk Kasus yang Sulit
6. Mengutamakan Keseimbangan
Data Target Iklan
----
Lokasi: Lokasi Utama (Prioritas Tinggi) 
Kota Binjai (pusat lokasi usaha)
Kota Medan (dekat &amp; populasi besar)
Kabupaten Deli Serdang (Lubuk Pakam, Percut Sei Tuan, Pancur Batu, Sunggal)
Kabupaten Langkat (Stabat, Tanjung Pura, Pangkalan Brandan)
Lokasi Penyangga (Sekitar Sumatera Utara)
Kabupaten Karo (Kabanjahe, Berastagi)
Perluasan (Target Luar Sumut – untuk pasien yang rela datang jauh)
Provinsi Aceh (Lhokseumawe, Banda Aceh, Langsa, Aceh Tamiang)
Buat iklan dengan radius 30–50 km dari lokasi Binjai (ini mencakup Medan, Langkat, Deli Serdang)
Usia: 20-70 tahun
Jenis kelamin: semua
Data Pembayaran
----
Total Bayar: 197000
Cs: Tika 
Status: Baru</t>
  </si>
  <si>
    <t>ORDER SAVED: ORD-1519</t>
  </si>
  <si>
    <t>Memeriksa nomor WA setelah dibersihkan: '6288210583484' (Tipe: string)</t>
  </si>
  <si>
    <t>Memeriksa nomor WA setelah dibersihkan: '6285729738492' (Tipe: string)</t>
  </si>
  <si>
    <t>Memeriksa nomor WA setelah dibersihkan: '6282315459098' (Tipe: string)</t>
  </si>
  <si>
    <t>Trigger: #inputorder#
Data Pesanan Jasa Iklan UMKM
Data Pemesan
----
Tanggal: 05-Nov-2025
Nama: Muhammad
Nama Usaha: Rumah Asri Modern
Jenis Usaha: Jual Property Rumah Second thn 2022
No Whatsapp Bisnis: 6282315459098
Alamat Usaha: Jl. Permata Inten, Cisaranten, Arcamanik, Kota Bandung
Durasi: 10
Deskripsi produk/jasa: 
Bangunan tahun 2022
Shm on hand, legalitas lengkap
Luas tanah 115
Luas bangunan 147
3 kt
2 km
3 lantai
Garasi muat 1 mobil
Carpot muat 2 mobil
Ada kolam renang pribadi ukuran 2mx5m
Air submersible
Listrik 2200 watt
Rumah hadap barat, akses timur ada
Rooftop view gunung Manglayang
*Keunggulan (wajib):*
- Bangunan kokoh, karena bangun sendiri dengan jasa arsitek
- Ruangnya mudah jika akan rubah layout sesuai kebutuhan
- Sirkulasi udara sangat baik
- Dapat setting kantor, untuk rumah huni saja pun sangat nyaman
- Lingkungan kondusif
- Banyak sarana pendidikan TK, SD, SMP, SMA
- Dekat ke RS Hermina Arcamanik, RS Al Islam, RSUD Ujung berung
- Pusat belanja ada Griya, Borma, Superindo, indomaret, alfamart, yomart, dll
- 1,7 km dengan Sport Jabar
- Bebas banjir
- *Harga 1,6 Miliar Furnished, Unfurnished 1,55 Miliar*
- Sangat terawat dan legalitas lengkap
- dekat dengan Sport Center Arcamanik
- Strategis di tengah kota Bandung
Data Target Iklan
----
Lokasi: Cisaranten, Arcamanik radius 3-10 km, Antapani, Uber, Soekarno Hatta, Cibaduyut, Pusat Kota Bandung, Dago, Tamansari, Cigadung, Margahayu, Pasir Impun
Usia: 28 - 55 tahun
Jenis kelamin: Laki-laki dan perempuan
Data Pembayaran
----
Total Bayar: 375000
Cs: Rina
Status: Perpanjang</t>
  </si>
  <si>
    <t>ERROR: Exception: The data you entered in cell U1524 violates the data validation rules set on this cell. Please enter one of the following values: Isna, Devi, Yuni, Rudi, Jeff, Ilham, Rokhma, Maya, Tika.</t>
  </si>
  <si>
    <t>Trigger: #inputlaporan#
Laporan CS Jasa Iklan UMKM
------- 
Nama CS: Yuni
Tanggal: 15-Nov-2025
Leads:
Jumlah Closing: 1
Paket 1: 
Paket 2: 
Paket 3: 
Paket 4: 
Paket 5: 
Repeat Paket 1: 
Repeat Paket 2: 
Repeat Paket 3: 1
Repeat Paket 4: 
Repeat Paket 5: 
Catatan:</t>
  </si>
  <si>
    <t>Trigger: #inputorder#
Data Pesanan Jasa Iklan UMKM
Data Pemesan
----
Tanggal: 16-Nov-2025
Nama: Drs I Wayan Sudana MSI
Nama Usaha: Institut Olah Pikir Nusantara 
Jenis Usaha: Workshop dan Terapi Hipnoterapi Klinis
No Whatsapp Bisnis: 6281775758999
Alamat: Jomblang legok tanah putih RT 03 RW 02 No 8 kelurahan Jomblang kecamatan Candisari kota Semarang 50256 
Durasi: 10
Deskripsi produk/jasa: Pelatihan Hypnoterapi
Keunggulan Usaha: legal terpercaya mendidik calon Hypnoterapi klinis profesional ,kompeten,berdaya saing tinggi gelar MCH prestisius bergengsi
Keunikan Usaha: Dibimbing trainer berpendidikan tinggi dan berpengalaman sebagai praktisi dan trainer. materi program lengkap teratur sistematis 
Promo: Dua hari program fundamental Hipnoterapis klinis
Data Target Iklan
----
Lokasi: Semarang dan Sekitarnya 
Usia: 28-65 th
Jenis kelamin: laki-laki dan perempuan 
Data Pembayaran
----
Total Bayar: 375000
Cs: Isna
Status: Baru</t>
  </si>
  <si>
    <t>Memeriksa nomor WA setelah dibersihkan: '6281775758999' (Tipe: string)</t>
  </si>
  <si>
    <t>ORDER SAVED: ORD-1524</t>
  </si>
  <si>
    <t>Trigger: #inputorder#
Data Pesanan Jasa Iklan UMKM
Data Pemesan
----
Tanggal: 16-Nov-2025
Nama: Ninis 
Nama Usaha: Samira Travel 
Jenis Usaha: Travel Umroh 
No Whatsapp Bisnis: 6281216704496
Alamat: Jalan Padmosusastro 74 A Surabaya 
Durasi: 10
Deskripsi produk/jasa: keunggulan Usaha: Legal, Amanah, Berpengalaman melayani ribuan jamaah, muthawwif berilmu, sabar dan profesional, Terpercaya, Fasilitas nyaman, melayani dengan hati
Keunikan Usaha: Harga Transparan dan bisa dicicil Tanpa riba
Promo: Gratis Paspor 
Trus nanti saya ada tambahan "free kereta cepat bulan november dan desember 2025"
Data Target Iklan
----
Lokasi: Surabaya, Sidoarjo, Gresik 
Usia: 21thn keatas, keluarga muda, lansia
Jenis kelamin: Laki-laki Dan Perempuan 
Data Pembayaran
----
Total Bayar: 375000
Cs: Isna
Status: Perpanjang</t>
  </si>
  <si>
    <t>Memeriksa nomor WA setelah dibersihkan: '6281216704496' (Tipe: string)</t>
  </si>
  <si>
    <t>ORDER SAVED: ORD-1525</t>
  </si>
  <si>
    <t>Trigger: #inputorder#
Data Pesanan Jasa Iklan UMKM
Data Pemesan
----
Tanggal: 16-Nov-2025
Nama: Usman
Nama Usaha: Usman Cleaning 
Jenis Usaha: Deep Cleaning Panggilan 
No Whatsapp Bisnis: 6288971067899
Alamat: Cihaur RT 03 RW 02 Desa Sukamulya kecamatan Rancaekek kabupaten Bandung 
Durasi: 7
Deskripsi produk/jasa: Keunggulan Usaha: Hasil cleaning Maksimal 
Keunikan Usaha: Hasil Cleaning Maksimal
Data Target Iklan
----
Lokasi: Rancaekek, Cinunuk, Cileunyi 
Usia: 20 th keatas 
Jenis kelamin: laki-laki dan perempuan 
Data Pembayaran
----
Total Bayar: 297000
Cs: Isna
Status: Baru</t>
  </si>
  <si>
    <t>Memeriksa nomor WA setelah dibersihkan: '6288971067899' (Tipe: string)</t>
  </si>
  <si>
    <t>ORDER SAVED: ORD-1526</t>
  </si>
  <si>
    <t>Trigger: #inputlaporan#
Laporan CS Jasa Iklan UMKM
------- 
Nama CS: Isna
Tanggal: 15-Nov-2025
Leads:45
Jumlah Closing: 1
Paket 1:
Paket 2: 
Paket 3:1
Paket 4: 
Paket 5: 
Repeat Paket 1: 
Repeat Paket 2: 
Repeat Paket 3: 
Repeat Paket 4: 
Repeat Paket 5: 
Catatan:
14 nores
12 tanya-tanya 
10 cek harga
  6 belum kirim video 
  2 belum isi data</t>
  </si>
  <si>
    <t>Trigger: #inputorder#
Data Pesanan Jasa Iklan UMKM
Data Pemesan
----
Tanggal: 15-Nov-2025
Nama: Imam Asri Gorden 
Nama Usaha: Grosir Gordyn 
Jenis Usaha: Gordyn 
No Whatsapp Bisnis: 628156563072
Alamat: toko imam asri gordyn 
Durasi: 24
Deskripsi produk/jasa: 
produk..vertical horizontal blinds..Roller blinds
Keunggulan: harga murah berkualitas 
Keunikan: pengukuran dan pemasangan gratis 
Data Target Iklan
----
Lokasi: Pekalongan, Batang, Pemalang, Kajen dan Sekitarnya 
Usia: 20 th keatas 
Jenis kelamin: laki-laki dan perempuan 
Data Pembayaran
----
Total Bayar: 550000
Cs: Isna
Status: Baru</t>
  </si>
  <si>
    <t>Memeriksa nomor WA setelah dibersihkan: '628156563072' (Tipe: string)</t>
  </si>
  <si>
    <t>ORDER SAVED: ORD-1527</t>
  </si>
  <si>
    <t>Trigger: #inputlaporan#
Laporan CS Jasa Iklan UMKM
------- 
Nama CS: Isna
Tanggal: 16-Nov-2025
Leads:3
Jumlah Closing:3
Paket 1:
Paket 2:1
Paket 3: 
Paket 4: 
Paket 5: 
Repeat Paket 1: 
Repeat Paket 2:2
Repeat Paket 3: 
Repeat Paket 4: 
Repeat Paket 5: 
Catatan:</t>
  </si>
  <si>
    <t>Trigger: #inputlaporan#
Laporan CS Jasa Iklan UMKM
------- 
Nama CS: Yuni
Tanggal: 16-Nov-2025
Leads:
Jumlah Closing: 1
Paket 1: 
Paket 2: 
Paket 3: 
Paket 4: 
Paket 5: 
Repeat Paket 1: 
Repeat Paket 2: 
Repeat Paket 3: 
Repeat Paket 4: 
Repeat Paket 5: 1
Catatan:</t>
  </si>
  <si>
    <t>Trigger: #inputorder#
Data Pesanan Jasa Iklan UMKM
Data Pemesan
Tanggal:16-Nov-2025
Nama: Rustoyo
Nama Usaha: BANDUNG AUTO FILM
Jenis Usaha: KACA FILM
No Whatsapp Bisnis:6287790276733
Alamat usaha: jln. Terusan Jakarta no. 360 , suka miskin , kec Arcamanik , Bandung , Jawa Barat , 40125
 Deskripsi produk/jasa:
Pusat kaca film terlengkap &amp; berkualitas di bandung 
By Produc :
- LLUMAR SUPERBLACK PREMIUM
- SOLARGARD BLACKPHANTOM PREMIIUM
- 3M AUTO FILM
- ICEBERG NIGHTVISION
- AC PREMIUM LUXURY
- SOLAR MASK
- SUN PROTEC 
Tips memilih kaca film , agar tidak salah pilih :
1. Pilihlah kaca film yang merk bahan terkenal ,  berkualitas , original 
2. Pilihlah bahan yang IRR ( Tolak panas) &amp; UVR ( Tolak sinar ultra violet ) nya tinggi , supaya tidak terlalu panas ke ruangan kabin
3. Sesuaikan tingkat kegelapannya ( 20% , 40% , 60% , 80% )
4. Pilihlah yng bergaransi 5 - 7 tahun
5. Pilihlah pandangan yang gelap dariluar , tetapi terang dari dalam ( night vision )
6. Pilihlah teknisi yng profesional &amp; berpengalaman supaya hasil pemasangan memuaskan
*Keunggulan usaha (wajib):*
*keunikan usaha (wajib):*
Promo: Diskon 10%
Data Target Iklan 
Lokasi: Bandung kota
Usia:18-65
Jenis kelamin:semua
Durasi:30
Data Pembayaran
----
Total Bayar: 1000000
Cs: Yuni
Status: Perpanjang</t>
  </si>
  <si>
    <t>Memeriksa nomor WA setelah dibersihkan: '6287790276733' (Tipe: string)</t>
  </si>
  <si>
    <t>ORDER SAVED: ORD-1528</t>
  </si>
  <si>
    <t>Trigger: #inputorder#
Data Pesanan Jasa Iklan UMKM
Data Pemesan
Tanggal:17-Nov-2025
Nama:Yasmin
Nama Usaha: Yasmine health staycation 
Jenis Usaha: health staycation
No Whatsapp Bisnis:6281288965454
Alamat usaha:
Deskripsi produk/jasa:
3 days pain free on the weekend.
Jumat Sabtu Minggu
*Keunggulan usaha (wajib):*
Keunggulan usaha 
1 Tekhnologi kedokteran intervensi nyeri dari Jerman dan Rusia &gt;&gt; sekali datang nyeri hilang ...sekali talaksana nyeri reda .satu satunya di Jabodetabek 
2 merangsang regenerasi perbaikan jaringan yang rusak penyebab nyeri kronis berkepanjangan.BUKAN HANYA SEKEDAR TARGET BEBAS NYERI .
3.TAK PERLU OPERASI .CUKUP 30 MENIT ..PERBAIKAN NYERI LANGSUNG DAPAT DIRASAKAN DI KEDATANGAN KE 1 
4.PROSEDUR TANPA PERLU BIUS UMUM DAN PASIEN SADAR ,RASA SAKIT SANGAT MINIMAL
5.PENGALAMAN 15 TAHUN .RIBUAN PASIEN NYERI LUTUT DAN NYERI SARAF KEJEPIT TELAH DITANGANI 
6.MURAH , BERKUALITAS INTERNASIONAL 
7.PASIEN SELESAI TINDAKAN LANGSUNG PULANG DAN  BERAKTIVITAS 
8 .TIDAK ADA PANTANGAN DALAM PROSES TINDAKAN
*keunikan usaha(wajib):* Keunikan usaha 
1 Tekhnologi stimulasi ke aktivasi stem Cell endogen ( alamiah tubuh pasien )
2.satu satunya di Jabodetabek 
3 tak perlu masuk ke kamar operasi 
4.cukup rawat jalan 
5 .hasil langsung dirasakan 95 persen di kedatangan ke 1 
6.untik nyeri lutut dan nyeri saraf kejepit rerata hanya 5 kali kedatangan saja setiap sebulan sekali
Promo:
Data Target Iklan 
Lokasi: Jabodetabek
Usia:50keatas
Jenis kelamin: semua 
Durasi:5
Data Pembayaran
----
Total Bayar: 197000
Cs: Yuni
Status: Perpanjang</t>
  </si>
  <si>
    <t>Memeriksa nomor WA setelah dibersihkan: '6281288965454' (Tipe: string)</t>
  </si>
  <si>
    <t>ORDER SAVED: ORD-1529</t>
  </si>
  <si>
    <t>Trigger: #inputorder#
Data Pesanan Jasa Iklan UMKM
Data Pemesan
Tanggal:17-Nov-2025
Nama: windu 
Nama Usaha: PT FREMONT GREEN VISION 
Jenis Usaha: jasa arsitektur pengurusan PPKPR , SLF dan PBG
No Whatsapp Bisnis:6285270194027
Alamat usaha: Mansyur USU Regency,jl. SMTK 6 blok A no. 1 Padang bulan selayang 1,Medan selayang 
Deskripsi produk/jasa:
jasa arsitektur, interior ,pengurusan PPKPR , FS,SLF dan PBG
Pengurusan PBG Mulai dari 5 Jutaan saja.
*Keunggulan usaha (wajib):Tenaga Ahli Berpengalaman, Sudah Banyak Menangani Pengurusan Ijin PBG dan SLF*
*keunikan usaha (wajib):*
Promo:
Data Target Iklan 
Lokasi: Pekanbaru dan Sumatra Utara 
Usia: 25-55
Jenis kelamin: semua 
Durasi:10
Data Pembayaran
----
Total Bayar:375000
Cs: Yuni
Status: Perpanjang</t>
  </si>
  <si>
    <t>Memeriksa nomor WA setelah dibersihkan: '6285270194027' (Tipe: string)</t>
  </si>
  <si>
    <t>ORDER SAVED: ORD-1530</t>
  </si>
  <si>
    <t>Trigger: #inputlaporan#
Laporan CS Jasa Iklan UMKM
------- 
Nama CS: Isna
Tanggal: 16-Nov-2025
Leads:3
Jumlah Closing:3
Paket 1:
Paket 2:2
Paket 3: 
Paket 4: 
Paket 5: 
Repeat Paket 1: 
Repeat Paket 2:1
Repeat Paket 3: 
Repeat Paket 4: 
Repeat Paket 5: 
Catatan:</t>
  </si>
  <si>
    <t>Trigger: #inputorder#
Data Pesanan Jasa Iklan UMKM
Data Pemesan
----
Tanggal: 16-Nov-2025
Nama: Ari
Nama Usaha: Elha Furniture 
Jenis Usaha: Furniture interior 
No Whatsapp Bisnis: 6287753731364
Alamat: Jalan raya kp. sawah no.24 Jatimurni pondok melati Bekasi Utara 
Durasi: 7
Deskripsi produk/jasa: Kita menggunakan material blokckmint atau multiplek berbeda dengan particel board atau mdf yang terbuat dari serbuk, finishing yang kita gunakan adalah hpl yang lebih solid dan kuat karena materialnya tebak SE solid kayu jadi tidak akan sobek dll.
*Keunggulan usaha*: Pengerjaan lebih rapi dan kokoh karena kita menggunakan material utamanya 18mm, harga jaminan paling murah di banding kompetitor dengan material yang sama 
Promo: 5-10% 
Data Target Iklan
----
Lokasi: Bekasi, kabupaten Bogor, Jakarta Timur, Cibubur, area dekat dekat zona warkshop 
Usia: 25-55 tahun 
Jenis kelamin: semua 
Data Pembayaran
----
Total Bayar: 297000
Cs: Tika 
Status: Baru</t>
  </si>
  <si>
    <t>Memeriksa nomor WA setelah dibersihkan: '6287753731364' (Tipe: string)</t>
  </si>
  <si>
    <t>ORDER SAVED: ORD-1531</t>
  </si>
  <si>
    <t>Trigger: #inputlaporan#
Laporan CS Jasa Iklan UMKM
------- 
Nama CS: Tika
Tanggal: 16-Nov-2025
Leads:
Jumlah Closing:1
Paket 1: 1
Paket 2: 
Paket 3: 
Paket 4: 
Paket 5: 
Repeat Paket 1: 
Repeat Paket 2: 
Repeat Paket 3: 
Repeat Paket 4: 
Repeat Paket 5: 
Catatan:
1 DP</t>
  </si>
  <si>
    <t>Trigger: #inputorder#
Data Pesanan Jasa Iklan UMKM
Data Pemesan
----
Tanggal: 17-Nov-2025
Nama: Rangga
Nama Usaha: Internet/wifi indihome 
Jenis Usaha: Pemasangan baru internet/wifi indihome 
No Whatsapp Bisnis: 6285167231114
Alamat: Jalan MT Haryono Balikpapan Sukuraja sepaku IKN
Durasi: 5
Deskripsi produk/jasa: Menerima pemasangan baru internet Indihome 
*Keunggulan usaha*: Jaringan stabil, harga murah &amp; flat, wifi tidak lemot 
Promo: Gratis biaya pemasangan 
Data Target Iklan
----
Lokasi: Balikpapan, Sukaraja, IKN, Grogot, Batu kajang
Usia: 18 -55 tahun 
Jenis kelamin: Bebas
Data Pembayaran
----
Total Bayar: 197000
Cs: Tika 
Status: Perpanjang</t>
  </si>
  <si>
    <t>Memeriksa nomor WA setelah dibersihkan: '6285167231114' (Tipe: string)</t>
  </si>
  <si>
    <t>ORDER SAVED: ORD-1532</t>
  </si>
  <si>
    <t>Trigger: #inputorder#
Data Pesanan Jasa Iklan UMKM
Data Pemesan
----
Tanggal: 17-Nov-2025
Nama: Indarto
Nama Usaha: Totok saraf punggung jari petir
Jenis Usaha: Terapi pijat panggilan 
No Whatsapp Bisnis: 6281330410391
Durasi: 7
Deskripsi produk/jasa: Melayani Pijat Capek, Bekam Pijat struk, saraf kejepit, vitalitas
*Keunggulan usaha*: Terapi Penyembuhan metode, totok saraf punggung dan totok saraf jari petir
Promo: 90RB 1 jam+ jamu herbal gratis dan ada juga menu terapi kejantanan pria 
Data Target Iklan
----
Lokasi: Semarang, Jogjakarta, Soloraya, Purwodadi (Grobogan), Salatiga 
Usia: semua usia 
Jenis kelamin: Laki laki dan perempuan 
Data Pembayaran
----
Total Bayar: 297000
Cs: Tika
Status: Perpanjang</t>
  </si>
  <si>
    <t>Memeriksa nomor WA setelah dibersihkan: '6281330410391' (Tipe: string)</t>
  </si>
  <si>
    <t>ORDER SAVED: ORD-1533</t>
  </si>
  <si>
    <t>Trigger: halo</t>
  </si>
  <si>
    <t>Trigger: #inputorder#
Data Pesanan Jasa Iklan UMKM
Data Pemesan
----
Tanggal: 14-Nov-2025
Nama: Ali Imron 
Nama Usaha: Sinar Gorden Interior 
Jenis Usaha: Gorden, wallpaper, kaca film, flooring
No Whatsapp Bisnis: 628156626447
Alamat: Jl Kol HR Hadijanto Banaran Sekaran Gunungpati Semarang 
Durasi: 14
Deskripsi produk/jasa: 
*Keunggulan usaha (wajib):*Gorden ukuran custom, gratis survey, konsultasi, pemasangan
*keunikan usaha (wajib):* Banyak pilihan jenis motif dan warna. Kualitas bagus, harga bersahabat
Promo:
-Roller Blinds
Harga mulai Rp.400.000 permeter persegi
-Vertical Blinds
Harga mulai Rp.300.000 permeter persegi
-Venetian Blinds
Mulai harga Rp.300.000 permeter persegi
-Paket Super A :
Jendela Lebar 130 - 160 cm
Spesifikasi :
- Gorden Blackout (L 200 cm T maks 300 cm) x 2 pcs
- Vitrase L 320 cm T 300 cm
- Roulet (pipa) tebal P 160 cm
- Rel kotak tebal P 160 cm
- Tali dan Gantungan
- Free antar dan pasang
~Rp.1.300.000~ 
Rp.1.200.000
Gratis Survey
Area Semarang dan sekitarnya
Data Target Iklan
----
Lokasi: Semarang, Ungaran 
Usia: 25-60 th
Jenis kelamin: laki-laki dan perempuan 
Data Pembayaran
----
Total Bayar: 550000
Cs: Isna
Status: Baru</t>
  </si>
  <si>
    <t>ORDER SAVED: ORD-1534</t>
  </si>
  <si>
    <t>Trigger: test</t>
  </si>
  <si>
    <t>Trigger: https://t.me/+LiZ2LVW8y8E3MWNl</t>
  </si>
  <si>
    <t xml:space="preserve">Trigger: </t>
  </si>
  <si>
    <t>ERROR: Exception: Verzoek voor https://api.telegram.org is mislukt. Foutcode: 400. Ingekorte serverreactie: {"ok":false,"error_code":400,"description":"Bad Request: chat_id is empty"} (Gebruik de optie muteHttpExceptions om de volledige reactie te onderzoeken.)</t>
  </si>
  <si>
    <t>ERROR: Exception: Verzoek voor https://api.telegram.org is mislukt. Foutcode: 400. Ingekorte serverreactie: {"ok":false,"error_code":400,"description":"Bad Request: group chat was upgraded to a supergroup chat","parameters":{"migrate_to_chat_id":-10034703... (Gebruik de optie muteHttpExceptions om de volledige reactie te onderzoeken.)</t>
  </si>
  <si>
    <t>Trigger: #inputorder#
Data Pesanan Jasa Iklan UMKM
Data Pemesan
Tanggal:17-Nov-2025
Nama: windu 
Nama Usaha: PT FREMONT GREEN VISION 
Jenis Usaha: jasa arsitektur pengurusan PPKPR , SLF dan PBG
No Whatsapp Bisnis:6285270194027
Alamat usaha: Mansyur USU Regency,jl. SMTK 6 blok A no. 1 Padang bulan selayang 1,Medan selayang 
Deskripsi produk/jasa:
jasa arsitektur, interior ,pengurusan PPKPR , FS,SLF dan PBG
Pengurusan PBG Mulai dari 5 Jutaan saja.
Keunggulan usaha (wajib):Tenaga Ahli Berpengalaman, Sudah Banyak Menangani Pengurusan Ijin PBG dan SLF
keunikan usaha (wajib):
Promo:
Data Target Iklan 
Lokasi: Pekanbaru dan Sumatra Utara 
Usia: 25-55
Jenis kelamin: semua 
Durasi:10
Data Pembayaran
----
Total Bayar:375000
Cs: Yuni
Status: Perpanjang</t>
  </si>
  <si>
    <t>ORDER SAVED: ORD-1535</t>
  </si>
  <si>
    <t>ERROR: TypeError: Cannot read properties of undefined (reading 'contents')</t>
  </si>
  <si>
    <t>Trigger: #inputorder#
Data Pesanan Jasa Iklan UMKM
Data Pemesan
----
Tanggal: 15-Nov-2025
Nama: Imam Asri Gorden 
Nama Usaha: Grosir Gordyn 
Jenis Usaha: Gordyn 
No Whatsapp Bisnis: 628156563072
Alamat: toko imam asri gordyn 
Durasi: 24
Deskripsi produk/jasa: 
produk..vertical horizontal blinds..Roller blinds
Keunggulan: harga murah berkualitas 
Keunikan: pengukuran dan pemasangan gratis 
Data Target Iklan
----
Lokasi: Pekalongan, Batang, Pemalang, Kajen dan Sekitarnya 
Usia: 20 th keatas 
Jenis kelamin: laki-laki
Data Pembayaran
----
Total Bayar: 550000
Cs: Isna
Status: Baru</t>
  </si>
  <si>
    <t>ORDER SAVED: ORD-1536</t>
  </si>
  <si>
    <t>Trigger: #inputorder#
Data Pesanan Jasa Iklan UMKM
Data Pemesan
----
Tanggal: 17-Nov-2025
Nama: Marlinus 
Nama Usaha: brother aluminium 
Jenis Usaha: vendor aluminium 
Alamat usaha: jl sunan giri no 104A RT 003rw 002 pondok Bahar kecamatan karang Tengah, Tangerang 
No Whatsapp Bisnis:6281398408303
Durasi: 5
Deskripsi produk/jasa:
Brother Aluminium bergerak di bidang konstruksi dan pengerjaan aluminium untuk kebutuhan bangunan modern. Mengutamakan kualitas material serta ketelitian dalam proses produksi, Brother Aluminium menghadirkan berbagai produk seperti pintu aluminium, jendela aluminium, kusen, kaca tempered, kanopi, dan partisi ruangan.
Dengan menggunakan bahan aluminium berkualitas tinggi yang tahan cuaca, anti karat, dan ringan, Brother Aluminium menawarkan solusi bangunan yang tidak hanya kuat, tetapi juga memiliki tampilan estetik yang elegan.
Didukung oleh tenaga kerja berpengalaman dan teknologi produksi yang presisi, Brother Aluminium berkomitmen memberikan hasil terbaik sesuai kebutuhan desain rumah, kantor, maupun proyek skala besar. Pelayanan cepat, pengerjaan rapi, serta harga kompetitif menjadikan Brother Aluminium pilihan terpercaya bagi pelanggan.
*Keunggulan usaha (wajib): menyediakan berbagai model yg modern dan pengerjaan yg sangat cepat dan profesional 
*keunikan usaha (wajib): pengerjaan yg sangat cepat
Promo:
Data Target Iklan
----
Lokasi: Jabodetabek 
Usia: 23 tahun ke atas
Jenis kelamin:bebas
Data Pembayaran
----
Total Bayar: 197000
Cs: Maya
Status: Baru</t>
  </si>
  <si>
    <t>Memeriksa nomor WA setelah dibersihkan: '6281398408303' (Tipe: string)</t>
  </si>
  <si>
    <t>ORDER SAVED: ORD-1537</t>
  </si>
  <si>
    <t>Trigger: #inputorder#
Data Pesanan Jasa Iklan UMKM
Data Pemesan
----
Tanggal: 15-Nov-2025
Nama: Imam Asri Gorden 
Nama Usaha: Grosir Gordyn 
Jenis Usaha: Gordyn 
No Whatsapp Bisnis: 628156563072
Alamat: toko imam asri gordyn 
Durasi: 24
Deskripsi produk/jasa: 
produk..vertical horizontal blinds..Roller blinds
Keunggulan: harga murah berkualitas 
Keunikan: pengukuran dan pemasangan gratis 
Data Target Iklan
----
Lokasi: Pekalongan, Batang, Pemalang, Kajen dan Sekitarnya 
Usia: 25 th keatas 
Jenis kelamin: perempuan
Data Pembayaran
----
Total Bayar: 550000
Cs: Isna
Status: Baru</t>
  </si>
  <si>
    <t xml:space="preserve">Trigger: 
#inputorder#
Nama: Budi
Nama Usaha: Toko Sukses
Jenis Usaha: Laundry
No Whatsapp Bisnis: 6281234567890
Deskripsi Produk Jasa: Cuci kilat
Lokasi: Bekasi
Usia: 30
Jenis Kelamin: Laki-laki
Durasi: 7
Mulai: 2025-11-17
Selesai: 2025-11-24
Catatan: Test debug
Total Bayar: 200000
CS: Rina
</t>
  </si>
  <si>
    <t>Memeriksa nomor WA setelah dibersihkan: '6281234567890' (Tipe: string)</t>
  </si>
  <si>
    <t>ERROR: Exception: Request failed for https://api.telegram.org returned code 400. Truncated server response: {"ok":false,"error_code":400,"description":"Bad Request: chat not found"} (use muteHttpExceptions option to examine full response)</t>
  </si>
  <si>
    <t xml:space="preserve">Trigger: 
#inputorder#
Status: Baru
Nama: Budi
Nama Usaha: Toko Sukses
Jenis Usaha: Laundry
No Whatsapp Bisnis: 6281234567890
Deskripsi Produk Jasa: Cuci kilat
Lokasi: Bekasi
Usia: 30
Jenis Kelamin: Laki-laki
Durasi: 7
Mulai: 2025-11-17
Selesai: 2025-11-24
Catatan: Test debug
Total Bayar: 200000
CS: Rina
</t>
  </si>
  <si>
    <t xml:space="preserve">Trigger: 
#inputorder#
Status: Baru
Nama: Budi Radman
Nama Usaha: Toko Sukses
Jenis Usaha: Laundry
No Whatsapp Bisnis: 6281234567890
Deskripsi Produk Jasa: Cuci kilat
Lokasi: Bekasi
Usia: 30
Jenis Kelamin: Laki-laki
Durasi: 7
Mulai: 2025-11-17
Selesai: 2025-11-24
Catatan: Test debug
Total Bayar: 200000
CS: Rina
</t>
  </si>
  <si>
    <t xml:space="preserve">Trigger: 
#inputorder#
Status: Baru
Nama: Budi Radman
Nama Usaha: Toko Sukses
Jenis Usaha: Laundry
No Whatsapp Bisnis: 6281234567890
Deskripsi Produk Jasa: Cuci kilat
Lokasi: Bekasi
Usia: 45
Jenis Kelamin: Laki-laki
Durasi: 7
Mulai: 2025-11-17
Selesai: 2025-11-24
Catatan: Test debug
Total Bayar: 200000
CS: Rina
</t>
  </si>
  <si>
    <t xml:space="preserve">Trigger: 
#inputorder#
Status: Baru
Nama: Budi Radman
Nama Usaha: Toko Sukses
Jenis Usaha: Laundry Sukses
No Whatsapp Bisnis: 6281234567890
Deskripsi Produk Jasa: Cuci kilat
Lokasi: Bekasi
Usia: 45
Jenis Kelamin: Laki-laki
Durasi: 7
Mulai: 2025-11-17
Selesai: 2025-11-24
Catatan: Test debug
Total Bayar: 200000
CS: Rina
</t>
  </si>
  <si>
    <t xml:space="preserve">Trigger: 
#inputorder#
Status: Baru
Nama: Budi Radman
Tanggal: 2025-18-11
Nama Usaha: Toko Sukses
Jenis Usaha: Laundry Sukses
No Whatsapp Bisnis: 6281234567890
Deskripsi Produk Jasa: Cuci kilat
Lokasi: Bekasi
Usia: 45
Jenis Kelamin: Laki-laki
Durasi: 7
Mulai: 2025-11-17
Selesai: 2025-11-24
Catatan: Test debug
Total Bayar: 200000
CS: Rina
</t>
  </si>
  <si>
    <t xml:space="preserve">Trigger: 
#inputorder#
Status: Baru
Nama: Budi Radman
Tanggal: 17-Nov-2025
Nama Usaha: Toko Sukses
Jenis Usaha: Laundry Sukses
No Whatsapp Bisnis: 6281234567890
Deskripsi Produk Jasa: Cuci kilat
Lokasi: Bekasi
Usia: 45
Jenis Kelamin: Laki-laki
Durasi: 7
Mulai: 2025-11-17
Selesai: 2025-11-24
Catatan: Test debug
Total Bayar: 200000
CS: Rina
</t>
  </si>
  <si>
    <t xml:space="preserve">Trigger: 
#inputorder#
Status: Baru
Nama: Budi Radman
Tanggal: 17-Nov-2025
Nama Usaha: Toko Sukses
Jenis Usaha: Laundry Sukses
No Whatsapp Bisnis: 6281234567890
Deskripsi Produk Jasa: Cuci kilat sukses
Lokasi: Bekasi
Usia: 45
Jenis Kelamin: Laki-laki
Durasi: 7
Mulai: 2025-11-17
Selesai: 2025-11-24
Catatan: Test debug
Total Bayar: 200000
CS: Rina
</t>
  </si>
  <si>
    <t xml:space="preserve">Trigger: 
#inputorder#
Status: Baru
Nama: Budi Radman
Tanggal: 17-Nov-2025
Nama Usaha: Toko Sukses
Jenis Usaha: Laundry Sukses
No Whatsapp Bisnis: 6281234567890
Deskripsi Produk Jasa: Cuci kilat sukses ya
Lokasi: Bekasi
Usia: 45
Jenis Kelamin: Laki-laki
Durasi: 7
Mulai: 2025-11-17
Selesai: 2025-11-24
Catatan: Test debug
Total Bayar: 200000
CS: Rina
</t>
  </si>
  <si>
    <t xml:space="preserve">Trigger: 
#inputorder#
Status: Baru
Nama: Budi Radman
Tanggal: 17-Nov-2025
Nama Usaha: Toko Sukses
Jenis Usaha: Laundry Sukses
No Whatsapp Bisnis: 6281234567890
Deskripsi Produk Jasa: Cuci kilat sukses ya
Lokasi: Bekasi
Usia: 45
Jenis Kelamin: Laki-laki - Perempuan
Durasi: 10
Mulai: 2025-11-17
Selesai: 2025-11-24
Catatan: Test debug ok
Total Bayar: 197000/dp
CS: Rina
</t>
  </si>
  <si>
    <t xml:space="preserve">Trigger: 
#inputorder#
Status: Baru
Nama: Budi Radman
Tanggal: 17-Nov-2025
Nama Usaha: Toko Sukses
Jenis Usaha: Laundry Sukses
No Whatsapp Bisnis: 6281234567890
Deskripsi Produk Jasa: Cuci kilat sukses ya
Lokasi: Bekasi
Usia: 45
Jenis Kelamin: Laki-laki - Perempuan
Durasi: 10
Mulai: 2025-11-17
Selesai: 2025-11-24
Catatan: Test debug ok
Total Bayar: 197000
CS: Rina
Status Pembayaran: DP
</t>
  </si>
  <si>
    <t>Memeriksa nomor WA setelah dibersihkan: 'undefined' (Tipe: string)</t>
  </si>
  <si>
    <t>Hasil validasi: Salah</t>
  </si>
  <si>
    <t>Memeriksa nomor WA setelah dibersihkan: '' (Tipe: string)</t>
  </si>
  <si>
    <t xml:space="preserve">Trigger: 
#inputorder#
Status: Baru
Nama: Budi Radman
Tanggal: 17-Nov-2025
Nama Usaha: Toko Sukses
Jenis Usaha: Laundry Sukses
No Whatsapp Bisnis: 6281234567890
Deskripsi Produk Jasa: Cuci kilat sukses ya
Lokasi: Bekasi
Usia: 45
Jenis Kelamin: Laki-laki - Perempuan - Pria
Durasi: 10
Mulai: 2025-11-17
Selesai: 2025-11-24
Catatan: Test debug ok kak
Total Bayar: 1970000
CS: Rina S
Status Pembayaran: DP
</t>
  </si>
  <si>
    <t xml:space="preserve">Trigger: 
#inputorder#
Status: Baru
Nama: Budi Radman
Tanggal: 17-Nov-2025
Nama Usaha: Toko Sukses
Jenis Usaha: Laundry Sukses
No Whatsapp Bisnis: 6281234567890
Deskripsi Produk Jasa: Cuci kilat sukses ya
Lokasi: Bekasi
Usia: 45
Jenis Kelamin: Laki-laki - Perempuan - Pria
Durasi: 10
Mulai: 2025-11-17
Selesai: 2025-11-24
Catatan: Test debug ok kak
Total Bayar: 1970000
CS: Rina
Status Pembayaran: DP
</t>
  </si>
  <si>
    <t xml:space="preserve">Trigger: 
#inputorder#
Status: Baru
Nama: Budi Radman
Tanggal: 17-Nov-2025
Nama Usaha: Toko Sukses
Jenis Usaha: Laundry Sukses
No Whatsapp Bisnis: 6281234567890
Deskripsi Produk Jasa: Cuci kilat sukses ya
Lokasi: Bekasi
Usia: 45
Jenis Kelamin: Laki-laki - Perempuan - Pria
Durasi: 7
Mulai: 2025-11-17
Selesai: 2025-11-24
Catatan: Test debug ok kak
Total Bayar: 297000
CS: Rina
Status Pembayaran: DP
</t>
  </si>
  <si>
    <t>Trigger: #inputlaporan#
Laporan CS Jasa Iklan UMKM
------- 
Nama CS: Yuni
Tanggal: 17-Nov-2025
Leads:11
Jumlah Closing: 2
Paket 1: 
Paket 2: 
Paket 3: 
Paket 4: 
Paket 5: 
Repeat Paket 1: 1
Repeat Paket 2: 1
Repeat Paket 3: 
Repeat Paket 4: 
Repeat Paket 5: 
Catatan:
7 tanya2
3 no respon 
1 save no dulu</t>
  </si>
  <si>
    <t>Trigger: #inputorder#
Data Pesanan Jasa Iklan UMKM
Data Pemesan
----
Tanggal: 17-Nov-2025
Nama: Ahmadi 
Nama Usaha: Jaya Baja Contruction Welsing 
Jenis Usaha: Pengelasan 
No Whatsapp Bisnis: 6282133932170
Alamat: Pesidi 1 Rt 01 Rw 02 grabag magelang jawa tengah 
Durasi: 7
Deskripsi produk/jasa: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</si>
  <si>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Memeriksa nomor WA setelah dibersihkan: '6282133932170' (Tipe: string)</t>
  </si>
  <si>
    <t>Trigger: #inputorder#
Data Pesanan Jasa Iklan UMKM
Data Pemesan
----
Tanggal: 17-Nov-2025
Nama: Ahmadi 
Nama Usaha: Jaya Baja Contruction Welsing 
Jenis Usaha: Pengelasan 
No Whatsapp Bisnis: 6282133932170
Alamat: Pesidi 1 Rt 01 Rw 02 grabag magelang jawa tengah 
Durasi: 7
Deskripsi produk 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</si>
  <si>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Trigger: #inputorder#
Data Pesanan Jasa Iklan UMKM
Data Pemesan
----
Tanggal: 17-Nov-2025
Nama: Adi
Nama Usaha: Clean Jaya Abadi Filter 
Jenis Usaha: Jasa pemasangan depot 
No Whatsapp Bisnis: 6282373417891
Alamat: Jl Halmahera simp 4 nakau dpn perum sopoh indah kel surabaya kec sungai arut kota bengkulu 
Durasi: 10
Deskripsi produk/jasa: 
kami melayani jasa pemasangan depot isi ulang air minum, service dan juga menyediakan sparepart untuk depot isi ulang , Sperti tutup galon tisue, filter air dll 
*Keunggulan usaha (wajib):*harga murah, kwalitas terjamin, dan dikerjakan oleh teknisi yang berpengalaman lebih dari 18 tahun di bidangnya
*keunikan usaha (wajib):lemari display menggunakan bahan Acp bukan triplek yang mudah hancur tampilan menarik dan anti air.
Promo: 20 jutaan sudah dapat usaha depot
Data Target Iklan
----
Lokasi: Provinsi Bengkulu 
Usia: 25-55 th
Jenis kelamin: laki-laki dan perempuan 
Data Pembayaran
----
Total Bayar: 375000
Cs: Isna
Status: Baru</t>
  </si>
  <si>
    <t>Memeriksa nomor WA setelah dibersihkan: '6282373417891' (Tipe: string)</t>
  </si>
  <si>
    <t>ORDER SAVED: ID-1763421938769</t>
  </si>
  <si>
    <t>Trigger: #inputorder#
Data Pesanan Jasa Iklan UMKM
Data Pemesan
----
Tanggal: 17-Nov-2025
Nama: Ahmadi 
Nama Usaha: Jaya Baja Contruction Welding 
Jenis Usaha: Pengelasan 
No Whatsapp Bisnis: 6282133932170
Alamat: Pesidi 1 Rt 01 Rw 02 grabag magelang jawa tengah 
Durasi: 7
Deskripsi produk/jasa: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</si>
  <si>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ORDER SAVED: ID-1763421991423</t>
  </si>
  <si>
    <t>Trigger: #inputorder#
Data Pesanan Jasa Iklan UMKM
Data Pemesan
----
Tanggal: 17-Nov-2025
Nama: Ahmadi 
Nama Usaha: Jaya Baja Contruction Welding 
Jenis Usaha: Pengelasan 
No Whatsapp Bisnis: 6282133932170
Alamat: Pesidi 1 Rt 01 Rw 02 grabag magelang jawa tengah 
Durasi: 7
Deskripsi produk 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</si>
  <si>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 xml:space="preserve">Trigger: 
#inputorder#
Data Pesanan Jasa Iklan UMKM
Data Pemesan
----
Tanggal: 17-Nov-2025
Nama: Ahmadi
Nama Usaha: Jaya Baja Contruction Welding
Jenis Usaha: Pengelasan
No Whatsapp Bisnis: 6282133932170
Alamat: Pesidi 1 Rt 01 Rw 02 grabag magelang jawa tengah
Durasi: 7
Deskripsi Produk 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
</t>
  </si>
  <si>
    <t>Trigger: #inputorder#
Data Pesanan Jasa Iklan UMKM
Data Pemesan
----
Tanggal: 17-Nov-2025
Nama: Ahmadi 
Nama Usaha: Jaya Baja Contruction Welding 
Jenis Usaha: Pengelasan 
No Whatsapp Bisnis: 6282133932170
Alamat: Pesidi 1 Rt 01 Rw 02 grabag magelang jawa tengah 
Durasi: 7
Deskripsi produk jasa: 
Kami menerima jasa pembuatan test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</si>
  <si>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ERROR: TypeError: Cannot read properties of undefined (reading 'TEXT')</t>
  </si>
  <si>
    <t>Trigger: #inputorder#
Data Pesanan Jasa Iklan UMKM
Data Pemesan
----
Tanggal: 17-Nov-2025
Nama: Ahmadi 
Nama Usaha: Jaya Baja Contruction Welding 
Jenis Usaha: Pengelasan baja
No Whatsapp Bisnis: 6282133932170
Alamat: Pesidi 1 Rt 01 Rw 02 grabag magelang jawa tengah 
Durasi: 7
Deskripsi produk jasa: 
Kami menerima jasa pembuatan
Pintu
Pagar
Tralis
Kanopi
Raling tangga
Balkon
Baja Ringan
Kontruksi Baja
Dll
Kami jg menerima jasa servis/renofasi
Data Target Iklan
----
Lokasi: Magelang Jogja dan Sekitarnya 
Usia: 20-55 th
Jenis kelamin: laki-laki dan perempuan 
Data Pembayaran
----
Total Bayar: 297000
Cs: Isna
Status: Perpanjang</t>
  </si>
  <si>
    <t>ORDER UPDATED: UPDATE-ID-1763421991423</t>
  </si>
  <si>
    <t>Ignored non-text update</t>
  </si>
  <si>
    <t>Trigger: #inputorder#
Data Pesanan Jasa Iklan UMKM
Data Pemesan
----
Tanggal: 18-Nov-2025
Nama: Alex
Nama Usaha: Pelatihan Terapi sot
Jenis Usaha: terapi 
No Whatsapp Bisnis: 6285624000805
Alamat: Jalan Mekar wangi V no.3 Cinunuk bandung 
Durasi: 
Deskripsi produk/jasa:MAU JADI TERAPIS HEBAT..? 
Mau belajar cara terapi saraf otot tulang?
Gabung saja disini. 
Anda akan dibimbing sampai bisa..
Benefit yg didapatkan : 
1. Bersertifikat LKP
2. Modul &amp; Kaos
3. Makan siang + Coffeebreak
4. Langsung praktek
5. Grup WA 
6. Trainer berpengalaman 13 tahun
Materi pelatihan : 
1. Cara terapi saraf kejepit
2. Cara terapi cedera 
3. Cara reposisi saraf otot tulang
4. ALAT BANTU PENYEMBUHAN
5. CARA DIAGNOSA PASIEN
6. Kontraindikasi pasien
Cocok untuk Terapis, Mahasiswa, Perawat, Penggerak Kesehatan, Guru Olah Raga dan Umum.
Pelaksanaan : 
Minggu : 21 desember 2025
Start : Jam 08.00 - 17.00 WIB
Biaya : Rp. 650.000
*Keunggulan usaha*: 
1. Dilatih oleh trainer berpengalaman 13 tahun
2. praktisi terapis saraf otot tulang 
3. dibina sampai bisa
*Keunikan usaha*: Diberikan metode penyembuhan yang praktis dan aman bagi pasien 
Data Target Iklan
----
Lokasi: Bandung 40km 
Usia: 24-55 tahun 
Jenis kelamin: semua 
Data Pembayaran
----
Total Bayar: 297000
Cs: Tika 
Status: Baru</t>
  </si>
  <si>
    <t>Memeriksa nomor WA setelah dibersihkan: '6285624000805' (Tipe: string)</t>
  </si>
  <si>
    <t>Trigger: #inputorder#
Data Pesanan Jasa Iklan UMKM
Data Pemesan
----
Tanggal: 18-Nov-2025
Nama: Alex
Nama Usaha: Pelatihan Terapi sot
Jenis Usaha: terapi 
No Whatsapp Bisnis: 6285624000805
Alamat: Jalan Mekar wangi V no.3 Cinunuk bandung 
Durasi: 7
Deskripsi produk/jasa:MAU JADI TERAPIS HEBAT..? 
Mau belajar cara terapi saraf otot tulang?
Gabung saja disini. 
Anda akan dibimbing sampai bisa..
Benefit yg didapatkan : 
1. Bersertifikat LKP
2. Modul &amp; Kaos
3. Makan siang + Coffeebreak
4. Langsung praktek
5. Grup WA 
6. Trainer berpengalaman 13 tahun
Materi pelatihan : 
1. Cara terapi saraf kejepit
2. Cara terapi cedera 
3. Cara reposisi saraf otot tulang
4. ALAT BANTU PENYEMBUHAN
5. CARA DIAGNOSA PASIEN
6. Kontraindikasi pasien
Cocok untuk Terapis, Mahasiswa, Perawat, Penggerak Kesehatan, Guru Olah Raga dan Umum.
Pelaksanaan : 
Minggu : 21 desember 2025
Start : Jam 08.00 - 17.00 WIB
Biaya : Rp. 650.000
*Keunggulan usaha*: 
1. Dilatih oleh trainer berpengalaman 13 tahun
2. praktisi terapis saraf otot tulang 
3. dibina sampai bisa
*Keunikan usaha*: Diberikan metode penyembuhan yang praktis dan aman bagi pasien 
Data Target Iklan
----
Lokasi: Bandung 40km 
Usia: 24-55 tahun 
Jenis kelamin: semua 
Data Pembayaran
----
Total Bayar: 297000
Cs: Tika 
Status: Baru</t>
  </si>
  <si>
    <t>ORDER SAVED: ID-1763428895116</t>
  </si>
  <si>
    <t>Trigger: #inputlaporan#
Laporan CS Jasa Iklan UMKM
------- 
Nama CS: Isna
Tanggal: 17-Nov-2025
Leads:25
Jumlah Closing:2
Paket 1: 
Paket 2:1
Paket 3: 
Paket 4: 
Paket 5: 
Repeat Paket 1: 
Repeat Paket 2:1
Repeat Paket 3: 
Repeat Paket 4: 
Repeat Paket 5:
Catatan:
7 nores
8 cek harga 
6 tanya-tanya 
4 belum kirim video</t>
  </si>
  <si>
    <t>Trigger: #inputlaporan#
Laporan CS Jasa Iklan UMKM
------- 
Nama CS: Tika
Tanggal: 17-Nov-2025
Leads:12
Jumlah Closing:2
Paket 1: 
Paket 2: 
Paket 3: 
Paket 4: 
Paket 5: 
Repeat Paket 1: 2
Repeat Paket 2: 
Repeat Paket 3: 
Repeat Paket 4: 
Repeat Paket 5: 
Catatan:
5 nores
2 cek harga 
2 dikabari lagi 
3 tanya tanya</t>
  </si>
  <si>
    <t>Trigger: #inputlaporan#
Laporan CS Jasa Iklan UMKM
------- 
Nama CS: Rina
Tanggal: 17-Nov-2025
Leads:11
Jumlah Closing: 
Paket 1: 
Paket 2: 
Paket 3: 
Paket 4: 
Paket 5: 
Repeat Paket 1: 
Repeat Paket 2: 
Repeat Paket 3: 
Repeat Paket 4: 
Repeat Paket 5: 
Catatan:
4 Nores
2 Isi data
2 Tunggu foto / video
3 tanya tanya</t>
  </si>
  <si>
    <t>Trigger: #inputorder#
Data Pesanan Jasa Iklan UMKM
Data Pemesan
----
Tanggal: 18-Nov-2025
Nama: Jimmi
Nama Usaha: Graha Trijasa Office 
Jenis Usaha: Sewa Ruang Kantor &amp; Virtual office 
No Whatsapp Bisnis: 6282127669779
Alamat usaha: Jalan Moh Toha no 244B Antara Soekarno Hatta &amp; Exit Tol Toha
Durasi: 5
Deskripsi produk/jasa: Sewa Kantor Bulanan Bandung Dengan Fasilitas Lengkap &amp; Furnish
Berlokasi Di Mainroad Jalan Moh Toha no 244B Antara Soekarno Hatta &amp; Exit Tol Toha.
Sudah Terdapat Meja, Kursi, WIFI &amp; AC Di Dalam Ruangan Kantor.
Ruangan Kantor Berada Paling Depan Gedung Dan Akses Langsung.
🔅GRAHA TRIJASA OFFICE 🔅
Fasilitas :
Listrik
Wifi
AC
Resepsionis
Office Boy
Air Minum
Meeting Room
Space Plang Perusahaan
Tinggal Bawa Laptop
Ruang Standar
Kapasitas 2-3 Orang
Harga Sewa 2.5 Juta/Bulan
Ruang Medium 
(Akses Pintu Depan)
Kapasitas 4-5 Orang
Harga Sewa 3.5 Juta/Bulan
Ada Discount Untuk Penyewaan Per 6 Bulan &amp; 12 Bulan
Tersedia Juga Virtual Office
Dengan Harga Sewa 3 Juta/Tahun
Data Target Iklan
----
Lokasi: Bandung
Usia: 24-45 tahun
Jenis kelamin: Laki laki dan perempuan 
Data Pembayaran
----
Total Bayar: 197000
Cs: Tika 
Status: Perpanjang</t>
  </si>
  <si>
    <t>Memeriksa nomor WA setelah dibersihkan: '6282127669779' (Tipe: string)</t>
  </si>
  <si>
    <t>ORDER UPDATED: UPDATE-ORD-1431</t>
  </si>
  <si>
    <t>Trigger: #inputorder#
Data Pesanan Jasa Iklan UMKM
Data Pemesan
Tanggal:18-Nov-2025
Nama:Yasmin
Nama Usaha: Yasmine stroke health staycation
Jenis Usaha: health staycation
No Whatsapp Bisnis:6282265277099
Alamat usaha:
Deskripsi produk/jasa:
Iya 
Keistimewaan tata laksana di Yasmin health staycation
1. Untuk gangguan pergerakan pasca stroke ,langsung dapat dirasakan perubahan pada kunjungan ke 1 
2. Bukan terapi alternatif,dilakukan oleh dokter berpengalaman lebih dari 15 tahun dibidang nya 
3. Tanpa operasi 
4. Tanpa herbal 
5. Langsung ke masalah pergerakan pasca stroke di lakukan tindakan menstimulasi sistem saraf motorik pergerakan 
6. Murah dibanding rawat inap di berbagai sentra stroke lainnya
-10 hari tata laksana perbaikan kekuatan motorik dan pergerakan pasca stroke di Yasmin health staycation..
Uang bisa dicari kembali apabila anda sudah sembuh dari dari stroke yang anda alami
Data Target Iklan 
Lokasi: Jabodetabek dan Surakarta, Yogyakarta,Semarang ,Boyolali , Karanggede Karanganyar,Klaten , sragen,solo baru ,Magetan ,malang ,surabaya ,Madura ,Medan ,Aceh
Usia:50keatas
Jenis kelamin: semua 
Durasi:5
Data Pembayaran
----
Total Bayar: 197000
Cs: Yuni
Status: Perpanjang</t>
  </si>
  <si>
    <t>Memeriksa nomor WA setelah dibersihkan: '6282265277099' (Tipe: string)</t>
  </si>
  <si>
    <t>ORDER SAVED: ID-1763430057611</t>
  </si>
  <si>
    <t>Trigger: #inputorder#
Data Pesanan Jasa Iklan UMKM
Data Pemesan
----
Tanggal: 18-Nov-2025
Nama: Deni
Nama Usaha: Karisma
Jenis Usaha: Bengkel las 
No Whatsapp Bisnis: 6281321441646
Durasi: 10
Deskripsi produk/jasa: Pembuatan pagar canopy, tralis kaca, Henderson, alumunium,partisi,balkon,tralis tangga dll
*Keunggulan usaha*: Hasilnya Kuat, Rapi, dan tahan lama, menggunakan bahan yang berkualitas tinggi, hasilnya ngga cuma kuat dijamin bagus
*Keunikan usaha*:
Data Target Iklan
----
Lokasi: Bandung, Buah batu, bojongsoang, Ciwastra, Kiaracondong, Antapani, kopo, Cibaduyut, Soreang, Arjasari, banjaran, Baleendah, Ciparay, Batununggal,Gede bage,Tegalega, Rancamanyar, Katapang 
Usia: Bebas
Jenis kelamin: Bebas
Data Pembayaran
----
Total Bayar: 375000
Cs: Tika 
Status: Perpanjang</t>
  </si>
  <si>
    <t>Memeriksa nomor WA setelah dibersihkan: '6281321441646' (Tipe: string)</t>
  </si>
  <si>
    <t>ORDER UPDATED: UPDATE-ORD-1228</t>
  </si>
  <si>
    <t>Trigger: #inputorder#
Data Pesanan Jasa Iklan UMKM
Data Pemesan
----
Tanggal: 18-Nov-2025
Nama: Deni
Nama Usaha: Karisma
Jenis Usaha: Bengkel las 
No Whatsapp Bisnis: 62813214416466
Durasi: 10
Deskripsi produk/jasa: Pembuatan pagar canopy, tralis kaca, Henderson, alumunium,partisi,balkon,tralis tangga dll
*Keunggulan usaha*: Hasilnya Kuat, Rapi, dan tahan lama, menggunakan bahan yang berkualitas tinggi, hasilnya ngga cuma kuat dijamin bagus
*Keunikan usaha*:
Data Target Iklan
----
Lokasi: Bandung, Buah batu, bojongsoang, Ciwastra, Kiaracondong, Antapani, kopo, Cibaduyut, Soreang, Arjasari, banjaran, Baleendah, Ciparay, Batununggal,Gede bage,Tegalega, Rancamanyar, Katapang 
Usia: Bebas
Jenis kelamin: Bebas
Data Pembayaran
----
Total Bayar: 375000
Cs: Tika 
Status: Perpanjang</t>
  </si>
  <si>
    <t>Memeriksa nomor WA setelah dibersihkan: '62813214416466' (Tipe: string)</t>
  </si>
  <si>
    <t>ORDER SAVED: ID-1763432218290</t>
  </si>
  <si>
    <t xml:space="preserve">Trigger: 
#inputorder#
Data Pesanan Jasa Iklan UMKM
Data Pemesan
----
Tanggal: 18-Nov-2025
Nama: Deni
Nama Usaha: Karisma
Jenis Usaha: Bengkel las 
No Whatsapp Bisnis: 62813214416466
Durasi: 10
Deskripsi produk/jasa: Pembuatan pagar canopy, tralis kaca, Henderson, alumunium,partisi,balkon,tralis tangga dll
*Keunggulan usaha*: Hasilnya Kuat, Rapi, dan tahan lama, menggunakan bahan yang berkualitas tinggi, hasilnya ngga cuma kuat dijamin bagus
*Keunikan usaha*:
Data Target Iklan
----
Lokasi: Bandung, Buah batu, bojongsoang, Ciwastra, Kiaracondong, Antapani, kopo, Cibaduyut, Soreang, Arjasari, banjaran, Baleendah, Ciparay, Batununggal,Gede bage,Tegalega, Rancamanyar, Katapang 
Usia: Bebas
Jenis kelamin: Bebas
Data Pembayaran
----
Total Bayar: 375000
Cs: Tika 
Status: Perpanjang
</t>
  </si>
  <si>
    <t>ORDER UPDATED: UPDATE-ID-1763432218290</t>
  </si>
  <si>
    <t>ORDER SAVED: ID-1763432571244</t>
  </si>
  <si>
    <t>Trigger: #inputorder#
Data Pesanan Jasa Iklan UMKM
Data Pemesan
----
Tanggal: 18-Nov-2025
Nama: Kolbin
Nama Usaha: Cari Mitra
Jenis Usaha: Snack
No Whatsapp Bisnis: 6281325416869
Alamat: Sitimulyo, Piyungan 
Durasi: 5
Deskripsi produk/jasa: Dicari mitra usaha 
*Keunggulan usaha*:
*Keunikan usaha*: 
Promo: Sukses bersama 
Data Target Iklan
----
Lokasi: DIY
Usia: 20 tahun ke atas
Jenis kelamin: semua
Data Pembayaran
----
Total Bayar: 197000
Cs: Tika 
Status: Perpanjang</t>
  </si>
  <si>
    <t>Memeriksa nomor WA setelah dibersihkan: '6281325416869' (Tipe: string)</t>
  </si>
  <si>
    <t>ORDER SAVED: ID-1763433595416</t>
  </si>
  <si>
    <t>Cashflow saved for 6281325416869</t>
  </si>
  <si>
    <t>ERROR: ReferenceError: saveKomisi is not defined</t>
  </si>
  <si>
    <t>ORDER UPDATED: UPDATE-ID-1763434370864</t>
  </si>
  <si>
    <t>Trigger: #inputorder#
Data Pesanan Jasa Iklan UMKM
Data Pemesan
----
Tanggal: 18-Nov-2025
Nama: Alex TESTING
Nama Usaha: Pelatihan Terapi sot
Jenis Usaha: terapi 
No Whatsapp Bisnis: 62856240008055
Alamat: Jalan Mekar wangi V no.3 Cinunuk bandung 
Durasi: 7
Deskripsi produk/jasa:MAU JADI TERAPIS HEBAT..? 
Mau belajar cara terapi saraf otot tulang?
Gabung saja disini. 
Anda akan dibimbing sampai bisa..
Benefit yg didapatkan : 
1. Bersertifikat LKP
2. Modul &amp; Kaos
3. Makan siang + Coffeebreak
4. Langsung praktek
5. Grup WA 
6. Trainer berpengalaman 13 tahun
Materi pelatihan : 
1. Cara terapi saraf kejepit
2. Cara terapi cedera 
3. Cara reposisi saraf otot tulang
4. ALAT BANTU PENYEMBUHAN
5. CARA DIAGNOSA PASIEN
6. Kontraindikasi pasien
Cocok untuk Terapis, Mahasiswa, Perawat, Penggerak Kesehatan, Guru Olah Raga dan Umum.
Pelaksanaan : 
Minggu : 21 desember 2025
Start : Jam 08.00 - 17.00 WIB
Biaya : Rp. 650.000
*Keunggulan usaha*: 
1. Dilatih oleh trainer berpengalaman 13 tahun
2. praktisi terapis saraf otot tulang 
3. dibina sampai bisa
*Keunikan usaha*: Diberikan metode penyembuhan yang praktis dan aman bagi pasien 
Data Target Iklan
----
Lokasi: Bandung 40km 
Usia: 24-55 tahun 
Jenis kelamin: semua 
Data Pembayaran
----
Total Bayar: 297000
Cs: Tika 
Status: Baru</t>
  </si>
  <si>
    <t>Memeriksa nomor WA setelah dibersihkan: '62856240008055' (Tipe: string)</t>
  </si>
  <si>
    <t>Cashflow saved for 62856240008055</t>
  </si>
  <si>
    <t>ORDER SAVED: ID-1763441593953</t>
  </si>
  <si>
    <t>Trigger: #inputlaporan#
Laporan CS Jasa Iklan UMKM
------- 
Nama CS: Yuni
Tanggal: 18-Nov-2025
Leads:9
Jumlah Closing: 1
Paket 1: 
Paket 2: 
Paket 3: 
Paket 4: 
Paket 5: 
Repeat Paket 1: 1
Repeat Paket 2: 
Repeat Paket 3: 
Repeat Paket 4: 
Repeat Paket 5: 
Catatan:
 4 tanya2
3 no respon 
1 Berhenti diformat 
1 pikir2 dulu</t>
  </si>
  <si>
    <t>Trigger: #inputlaporan#
Laporan CS Jasa Iklan UMKM
------- 
Nama CS: Tika
Tanggal: 18-Nov-2025
Leads:10
Jumlah Closing:4
Paket 1: 1
Paket 2: 
Paket 3: 
Paket 4: 
Paket 5: 
Repeat Paket 1: 2
Repeat Paket 2: 1
Repeat Paket 3: 
Repeat Paket 4: 
Repeat Paket 5: 
Catatan:
3 nanti dikabari lagi 
3 tanya tanya 
2 nores 
1 belum isi data
1 nunggu tf</t>
  </si>
  <si>
    <t>Trigger: #inputlaporan#
Laporan CS Jasa Iklan UMKM
-------
Nama CS: Maya
Tanggal: 17-Nov-2025
Leads:11
Jumlah Closing:1
Paket 1: 1
Paket 2: 
Paket 3: 
Paket 4: 
Paket 5: 
Repeat Paket 1: 
Repeat Paket 2: 
Repeat Paket 3: 
Repeat Paket 4: 
Repeat Paket 5: 
Catatan:
8 nores 
3 di kabari lagi</t>
  </si>
  <si>
    <t>Trigger: #inputlaporan#
Laporan CS Jasa Iklan UMKM
-------
Nama CS: Rina
Tanggal: 18-Nov-2025
Leads:5
Jumlah Closing:
Paket 1: 
Paket 2: 
Paket 3: 
Paket 4: 
Paket 5: 
Repeat Paket 1: 
Repeat Paket 2: 
Repeat Paket 3: 
Repeat Paket 4: 
Repeat Paket 5: 
Catatan:
1 nores 
2 di kabari lagi
1 isi data
1 tanya harga</t>
  </si>
  <si>
    <t>Trigger: #inputlaporan#
Laporan CS Jasa Iklan UMKM
------- 
Nama CS: Isna 
Tanggal: 18-Nov-2025
Leads:19
Jumlah Closing:
Paket 1: DP
Paket 2: 
Paket 3: 
Paket 4: 
Paket 5: 
Repeat Paket 1: 
Repeat Paket 2: 
Repeat Paket 3: 
Repeat Paket 4: 
Repeat Paket 5:
Catatan:
9 nores 
5 cek harga
4 tanya-tanya 
1 dikira 20k</t>
  </si>
  <si>
    <t>Trigger: #inputlaporan#
Laporan CS Jasa Iklan UMKM
-------
Nama CS: Rina
Tanggal: 18-Nov-2025
Leads:5
Jumlah Closing:1
Paket 1: 
Paket 2: 1
Paket 3: 
Paket 4: 
Paket 5: 
Repeat Paket 1: 
Repeat Paket 2: 
Repeat Paket 3: 
Repeat Paket 4: 
Repeat Paket 5: 
Catatan:
1 nores 
2 di kabari lagi
1 tanya harga</t>
  </si>
  <si>
    <t>Trigger: #inputorder#
Data Pesanan Jasa Iklan UMKM
Data Pemesan
----
Tanggal: 18-Sep-2025
Nama: Faizin
Nama Usaha: LPK Djieneka Abadi
Jenis Usaha: Program Pelatihan Bahasa Jepang untuk Kerja ke Jepang
No Whatsapp Bisnis: 6281325742288
Alamat Usaha: Jl. Pedurungan Tengah IV No. 51 RT 05 RW I Kel. Pedurungan Tengah Kec. Pedurungan Kota Semarang Jawa Tengah
Durasi: 10
Deskripsi produk/jasa: 
Program Pelatihan Bahasa Jepang untuk Kerja ke Jepang di LPK DJIENEKA ABADI. Pelatihan Bahasa Jepang dari Nol sd lulus JFT A2 / JLPT N4 dan Lulus SSW sesuai pilihan peserta, selama 6 bulan. Selanjutnya Proses Job Matching  sd lolos JOB JEPANG, serta 
1. Penempatan Kerja ke Jepang menggunakan VISA MAGANG melalui SO : Sending Organization.
2.  Penempatan Kerja ke Jepang menggunakan VISA KERJA oleh Perusahaan Penempatan Pekerja Migran Indonesia PT Yanbu Al Bahar 
*Keunggulan Usaha (wajib)*: BIAYA AWAL Rp 0,- ( Biaya Pelatihan Bahasa Jepang sd Pemberangkatan Ke Jepang).
Jadi KURSUS DULU, Bayar Saat Kerja di Jepang. Fasilitas 100% DANA TAlANGAN, Tanpa Jaminan, KUR Penempatan PMI dari Bank Pemerintah Indonesia.
*Keunikan Usaha (wajib)*: BISA KERJA KE JEPANG dengan BIAYA AWAL Rp 0,-
Promo: Khusus Pendaftaran sd 30 November 2025 ada support dari Lembaga Amil Zakat ZISWAP berupa GRATIS ASRAMA dan GRATIS MAKAN 3x per hari selama 8 bulan ( dari Awal Pelatihan Bahasa Jepang sd Pemberangkatan ke Jepang )
Data Target Iklan
----
Lokasi: Kota Semarang
Usia: 18-25 tahun
Jenis kelamin: Laki-laki dan Perempuan
Data Pembayaran
----
Total Bayar: 375000
Cs: Rina
Status: Baru</t>
  </si>
  <si>
    <t>Memeriksa nomor WA setelah dibersihkan: '6281325742288' (Tipe: string)</t>
  </si>
  <si>
    <t>Cashflow saved for 6281325742288</t>
  </si>
  <si>
    <t>ORDER SAVED: ID-1763514872916</t>
  </si>
  <si>
    <t>Trigger: #inputorder#
Data Pesanan Jasa Iklan UMKM
Data Pemesan
----
Tanggal: 18-Nov-2025
Nama: Faizin
Nama Usaha: LPK Djieneka Abadi
Jenis Usaha: Program Pelatihan Bahasa Jepang untuk Kerja ke Jepang
No Whatsapp Bisnis: 6281325742288
Alamat Usaha: Jl. Pedurungan Tengah IV No. 51 RT 05 RW I Kel. Pedurungan Tengah Kec. Pedurungan Kota Semarang Jawa Tengah
Durasi: 10
Deskripsi produk/jasa: 
Program Pelatihan Bahasa Jepang untuk Kerja ke Jepang di LPK DJIENEKA ABADI. Pelatihan Bahasa Jepang dari Nol sd lulus JFT A2 / JLPT N4 dan Lulus SSW sesuai pilihan peserta, selama 6 bulan. Selanjutnya Proses Job Matching  sd lolos JOB JEPANG, serta 
1. Penempatan Kerja ke Jepang menggunakan VISA MAGANG melalui SO : Sending Organization.
2.  Penempatan Kerja ke Jepang menggunakan VISA KERJA oleh Perusahaan Penempatan Pekerja Migran Indonesia PT Yanbu Al Bahar 
*Keunggulan Usaha (wajib)*: BIAYA AWAL Rp 0,- ( Biaya Pelatihan Bahasa Jepang sd Pemberangkatan Ke Jepang).
Jadi KURSUS DULU, Bayar Saat Kerja di Jepang. Fasilitas 100% DANA TAlANGAN, Tanpa Jaminan, KUR Penempatan PMI dari Bank Pemerintah Indonesia.
*Keunikan Usaha (wajib)*: BISA KERJA KE JEPANG dengan BIAYA AWAL Rp 0,-
Promo: Khusus Pendaftaran sd 30 November 2025 ada support dari Lembaga Amil Zakat ZISWAP berupa GRATIS ASRAMA dan GRATIS MAKAN 3x per hari selama 8 bulan ( dari Awal Pelatihan Bahasa Jepang sd Pemberangkatan ke Jepang )
Data Target Iklan
----
Lokasi: Kota Semarang
Usia: 18-25 tahun
Jenis kelamin: Laki-laki dan Perempuan
Data Pembayaran
----
Total Bayar: 375000
Cs: Rina
Status: Baru</t>
  </si>
  <si>
    <t>ORDER UPDATED: UPDATE-ID-1763514872916</t>
  </si>
  <si>
    <t>Trigger: #inputorder#
Data Pesanan Jasa Iklan UMKM
Data Pemesan
----
Tanggal: 19-Nov-2025
Nama: Bapak Adi
Nama Usaha: Pijat dan Bekam
Jenis Usaha: Jasa 
No Whatsapp Bisnis: 6287780880807
Durasi: 5
Deskripsi produk/jasa: melayani panggilan pijat dan bekam
*Keunggulan usaha*: dilakukan oleh terapis profesional 
Data Target Iklan
----
Lokasi: Kota Surabaya 
Usia: semua usia 
Jenis kelamin: khusus laki laki
Data Pembayaran
----
Total Bayar: 197000
Cs: Tika 
Status: Baru</t>
  </si>
  <si>
    <t>Memeriksa nomor WA setelah dibersihkan: '6287780880807' (Tipe: string)</t>
  </si>
  <si>
    <t>Cashflow saved for 6287780880807</t>
  </si>
  <si>
    <t>ORDER SAVED: ID-1763519160344</t>
  </si>
  <si>
    <t>Trigger: #inputorder#
Data Pesanan Jasa Iklan UMKM
Data Pemesan
Tanggal: 19-Nov-2025
Nama: Diditz 
Nama Usaha: Sales Truk Hino 
Jenis Usaha: Otomotif 
No Whatsapp Bisnis:6281219102600
Alamat usaha: Jl Jend. A. Yani No 52 Jakarta Pusat 
Deskripsi produk/jasa : TERSEDIA TYPE 115 SDL, 115 LD, 136 HDX , 136 HDL , FG 260 TH , FM 280 JD, FL 280 JW
HINO PROMO AKHIR TAHUN DISKON BESAR SEBELUM HARGA NAIK
Promo: TRUCK HINO PROMO AKHIR TAHUN TERMURAH DAN UNIT READY 
Data Target Iklan 
Lokasi: Jabodetabek 
Usia: 25 - 50 Th 
Jenis kelamin: L/P
Durasi:5
Data Pembayaran
----
Total Bayar: 197000
Cs: Yuni
Status: Perpanjang</t>
  </si>
  <si>
    <t>Memeriksa nomor WA setelah dibersihkan: '6281219102600' (Tipe: string)</t>
  </si>
  <si>
    <t>ORDER UPDATED: UPDATE-ORD-1392</t>
  </si>
  <si>
    <t>Trigger: #inputorder#
Data Pesanan Jasa Iklan UMKM
Data Pemesan
----
Tanggal: 25-Sep-2025
Nama: RM Dony 
Nama Usaha: Raflesia Rental
Jenis Usaha: Jasa Transportasi 
No Whatsapp Bisnis:6281938384000
Durasi: 10
Deskripsi produk/jasa:
Keunggulan usaha: Melayani antar jemput bandara, rental mobil harian, mingguan, bulanan &amp; tahunan, dan jasa rental mobil+ driver 
Keunikan usaha: Bisa rental mobil lepas kunci dengan driver sekalian 
Data Target Iklan
----
Lokasi: Sumatra, Jawa, Jakarta, Jawa Barat, Bandar Lampung, serang, Palembang 
Usia: 25 tahun ke atas 
Jenis kelamin: laki laki dan perempuan 
Data Pembayaran
----
Total Bayar: 375000
Cs: Tika
Status: Perpanjang</t>
  </si>
  <si>
    <t>Memeriksa nomor WA setelah dibersihkan: '6281938384000' (Tipe: string)</t>
  </si>
  <si>
    <t>ORDER UPDATED: UPDATE-ORD-743</t>
  </si>
  <si>
    <t>Trigger: #inputorder#
Data Pesanan Jasa Iklan UMKM
Data Pemesan
----
Tanggal: 19-Nov-2025
Nama: Yalasena Suganda
Nama Usaha: Yasmin Herbal 
Jenis Usaha: Herbal Jamsi 250 ml
No Whatsapp Bisnis: 6283875530291
Alamat: Jalan Sukarame II No.44 RT 03/08 belakang BCA A Yani Cicaheum kota bandung 
Durasi: 5
Deskripsi produk/jasa: 
*Keunggulan usaha*: Bisa bersaing dengan herbal lain karena telah teruji khasiatnya selama bertahun-tahun karena herbal Jamsi ini dapat menurunkan gula darah bahkan dapat menormalkan HBS1C jika rutin dikonsumsi, telah terdaftar di BPOM dan halal MUI
*Keunikan Usaha: Herbal ini berbentuk cairan yang bisa menyerap cepat ke dalam tubuh 
Promo: harga 200 RB per botol ukuran 250 ml 
Data Target Iklan
----
Lokasi: Bandung dan Sekitarnya 
Usia: 40-70 tahun 
Jenis kelamin: laki-laki dan perempuan 
Data Pembayaran
----
Total Bayar: 197000
Cs: Isna
Status: Baru</t>
  </si>
  <si>
    <t>Memeriksa nomor WA setelah dibersihkan: '6283875530291' (Tipe: string)</t>
  </si>
  <si>
    <t>Cashflow saved for 6283875530291</t>
  </si>
  <si>
    <t>ORDER SAVED: ID-1763527790791</t>
  </si>
  <si>
    <t>Trigger: #inputorder#
Data Pesanan Jasa Iklan UMKM
Data Pemesan
----
Tanggal: 19-Nov-2025
Nama: Edy Kuswanto 
Nama Usaha: PT Anugerah Teknik Sidoarjo 
Jenis Usaha: Service AC, Kulkas, Mesin Cuci dan instalasi, pengadaan 
No Whatsapp Bisnis: 6282333466436
Alamat: Perum Surya Residen Blok 2D-48 dukuh tengah buduran sidoarjo 
Durasi: 5
Deskripsi produk/jasa:
Service AC, Kulkas, Mesin Cuci dan instalasi, pengadaan 
*keunggulan usaha*: Bergaransi, Teknisi yang ahli dalam bidangnya 
Data Target Iklan
----
Lokasi: Sidoarjo Jawa Timur 
Usia: 18 tahun ke atas
Jenis kelamin: Laki laki dan perempuan 
Data Pembayaran
----
Total Bayar: 197000
Cs: Isna
Status: Baru</t>
  </si>
  <si>
    <t>Memeriksa nomor WA setelah dibersihkan: '6282333466436' (Tipe: string)</t>
  </si>
  <si>
    <t>Cashflow saved for 6282333466436</t>
  </si>
  <si>
    <t>ORDER SAVED: ID-1763527816067</t>
  </si>
  <si>
    <t>Trigger: #inputorder#
Data Pesanan Jasa Iklan UMKM
Data Pemesan
----
Tanggal: 19-Nov-2025
Nama: Shiva MU
Nama Usaha: Raudhah aqiqah karawang 
Jenis Usaha: aqiqah dan catering 
No Whatsapp Bisnis: 6285332218714
Alamat: Pusat kuliner GOR cinema bunderan sutet - perumnas bumi Telukjambe Timur (samping masjid raya perumna BTJ) Karawang 
Durasi: 5
Deskripsi produk/jasa: Dikenal karena enaknya, menyaksikan penyembelihan dan pilih hewan secara langsung, kemasan yang menarik 
*Keunggulan usaha*: free fasilitas sewa alat bayi 1 bulan 
Promo: free biaya pengiriman Bekasi Karawang kota, free undangan digital, free kartu ucapan, free sertifikat, free souvernir lainnya
Data Target Iklan
----
Lokasi: Karawang, Cikarang 
Usia: 21-55 tahun 
Jenis kelamin: semua
Data Pembayaran
----
Total Bayar: 197000
Cs: Tika 
Status: Baru</t>
  </si>
  <si>
    <t>Memeriksa nomor WA setelah dibersihkan: '6285332218714' (Tipe: string)</t>
  </si>
  <si>
    <t>Cashflow saved for 6285332218714</t>
  </si>
  <si>
    <t>ERROR: Exception: In de service Spreadsheets is een fout opgetreden bij het openen van het document met ID 18Ooyg1zb2IdzmTMrtH8llwfAUTK3x5DQ6Pv2QEdRPOA.</t>
  </si>
  <si>
    <t>Trigger: #inputorder#
Data Pesanan Jasa Iklan UMKM
Data Pemesan
----
Tanggal: 25-Sep-2025
Nama: RM Dony 
Nama Usaha: Raflesia Rental
Jenis Usaha: Jasa Transportasi 
No Whatsapp Bisnis: 6281938384000
Durasi: 10
Deskripsi produk/jasa:
Keunggulan usaha: Melayani antar jemput bandara, rental mobil harian, mingguan, bulanan &amp; tahunan, dan jasa rental mobil+ driver 
Keunikan usaha: Bisa rental mobil lepas kunci dengan driver sekalian 
Data Target Iklan
----
Lokasi: Sumatra, Jawa, Jakarta, Jawa Barat, Bandar Lampung, serang, Palembang 
Usia: 25 tahun ke atas 
Jenis kelamin: laki laki dan perempuan 
Data Pembayaran
----
Total Bayar: 375000
Cs: Tika
Status: Perpanjang</t>
  </si>
  <si>
    <t>Trigger: #inputorder#
Data Pesanan Jasa Iklan UMKM
Data Pemesan
----
Tanggal: 19-Nov-2025
Nama: RM Dony 
Nama Usaha: Raflesia Rental
Jenis Usaha: Jasa Transportasi 
No Whatsapp Bisnis: 6281938384000
Durasi: 10
Deskripsi produk/jasa:
Keunggulan usaha: Melayani antar jemput bandara, rental mobil harian, mingguan, bulanan &amp; tahunan, dan jasa rental mobil+ driver 
Keunikan usaha: Bisa rental mobil lepas kunci dengan driver sekalian 
Data Target Iklan
----
Lokasi: Sumatra, Jawa, Jakarta, Jawa Barat, Bandar Lampung, serang, Palembang 
Usia: 25 tahun ke atas 
Jenis kelamin: laki laki dan perempuan 
Data Pembayaran
----
Total Bayar: 375000
Cs: Tika
Status: Perpanjang</t>
  </si>
  <si>
    <t>Trigger: #inputorder#
Data Pesanan Jasa Iklan UMKM
Data Pemesan
----
Tanggal: 19-Nov-2025
Nama: Bapak Adi
Nama Usaha: NN, Refleksi dan Bekam 
Jenis Usaha: Jasa 
No Whatsapp Bisnis: 6287780880807
Durasi: 5
Deskripsi produk/jasa: melayani panggilan pijat dan bekam
*Keunggulan usaha*: dilakukan oleh terapis profesional 
Data Target Iklan
----
Lokasi: Kota Surabaya 
Usia: semua usia 
Jenis kelamin: khusus laki laki
Data Pembayaran
----
Total Bayar: 197000
Cs: Tika 
Status: Baru</t>
  </si>
  <si>
    <t>ORDER SAVED: ID-1763548809083</t>
  </si>
  <si>
    <t>Trigger: #inputorder#
Data Pesanan Jasa Iklan UMKM
Data Pemesan
----
Tanggal: 19-Nov-2025
Nama: Andrean Yoseph
Nama Usaha: Suzuki Cinere
Jenis Usaha: Otomotive
No Whatsapp Bisnis: 6281321213934
Alamat Usaha: Suzuki DCA Cinere, Jl. Raya Cinere No 32, Cinere Depok
Durasi: 5
Deskripsi produk/jasa: 
*Keunggulan Usaha:* Harga Terbaik, Pelayanan Ramah &amp; Profesional, Konsultasi Kebutuhan yang Tepat, Proses Cepat &amp; Transparan
*Keunikan Usaha: Harga Terbaik, Informasi Harga &amp; Promo Terupdate
Promo: DP 20%
Data Target Iklan
----
Lokasi: Jabodetabek
Usia: 30-65 tahun
Jenis kelamin: Laki-laki dan Perempuan
Data Pembayaran
----
Total Bayar: 197000
Cs: Rina
Status: Baru</t>
  </si>
  <si>
    <t>Memeriksa nomor WA setelah dibersihkan: '6281321213934' (Tipe: string)</t>
  </si>
  <si>
    <t>Cashflow saved for 6281321213934</t>
  </si>
  <si>
    <t>ORDER SAVED: ID-1763567396162</t>
  </si>
  <si>
    <t>Trigger: #inputlaporan#
Laporan CS Jasa Iklan UMKM
------- 
Nama CS: Yuni
Tanggal: 19-Nov-2025
Leads:7
Jumlah Closing: 1
Paket 1: 
Paket 2: 
Paket 3: 
Paket 4: 
Paket 5: 
Repeat Paket 1: 1
Repeat Paket 2: 
Repeat Paket 3: 
Repeat Paket 4: 
Repeat Paket 5: 
Catatan:
3 tanya2
3 no respon 
1 Berhenti diformat</t>
  </si>
  <si>
    <t>Trigger: #inputlaporan#
Laporan CS Jasa Iklan UMKM
------- 
Nama CS: Isna
Tanggal: 19-Nov-2025
Leads:15
Jumlah Closing:2
Paket 1:2
Paket 2: 
Paket 3: 
Paket 4: 
Paket 5: 
Repeat Paket 1: 
Repeat Paket 2: 
Repeat Paket 3: 
Repeat Paket 4: 
Repeat Paket 5: 
Catatan:
7 nores
3 cek harga 
4 tanya-tanya 
1 belum isi data</t>
  </si>
  <si>
    <t>Trigger: #inputorder#
Data Pesanan Jasa Iklan UMKM
Data Pemesan
----
Tanggal: 20-Nov-2025
Nama: Novi
Nama Usaha: Kharisma Filter
Jenis Usaha: Alat Penjernih Air Berkualitas 
No Whatsapp Bisnis: 6285893658659
Alamat: Jalan Raya Puri Asri, blok F3 no 6
Durasi: 10
Deskripsi produk/jasa:
Kharisma filter 
Mengerjakan instalasi 
1. Filter rumah tangga 
2. Instalasi mesin Demin
3. Instalasi mesin RO 
4.  Service dan penggantian media filter 
5. Supplier media 
     * Carbon aktif 
     * Manganese 
     * Aktif sand
     * Silica sand 
     * Ziolite
     * Resin cation anion
Kharisma filter mengatasi permasalahan air di rmh anda seperti 
1. Berbau
2. Keruh
3. Berminyak 
4. Lumut
5. Dll 
Kharisma filter tidak di ragukan kualitas nya , dengan harga yang terjangkau untuk semua kalangan dengan media filter terbaik.
Kharisma filter mengerjakan instalasi water treatment 
1. Pabrik
2. Apartement
3. Gedung perkantoran 
4. Hotel 
5.Rumah sakit 
6. Resort 
7.  Perumahan 
Dll
Keunggulan Usaha: Demineralisasi, mesin RO, alat penjernih air
Promo: Harga mulai dari 1.900.000
Data Target Iklan
----
Lokasi: Jabodetabek 
Usia: 20-65 th
Jenis kelamin: Laki-laki Dan Perempuan 
Data Pembayaran
----
Total Bayar: 375000
Cs: Isna 
Status: Perpanjang</t>
  </si>
  <si>
    <t>Memeriksa nomor WA setelah dibersihkan: '6285893658659' (Tipe: string)</t>
  </si>
  <si>
    <t>ORDER UPDATED: UPDATE-ORD-473</t>
  </si>
  <si>
    <t>Trigger: #inputlaporan#
Laporan CS Jasa Iklan UMKM
------- 
Nama CS: Tika
Tanggal: 19-Nov-2025
Leads:7
Jumlah Closing:3
Paket 1: 2
Paket 2: 
Paket 3: 
Paket 4: 
Paket 5: 
Repeat Paket 1: 
Repeat Paket 2: 1
Repeat Paket 3: 
Repeat Paket 4: 
Repeat Paket 5: 
Catatan:
3 nores
3 tanya tanya 
2 DP
1 nunggu TF</t>
  </si>
  <si>
    <t>Trigger: #inputlaporan#
Laporan CS Jasa Iklan UMKM
------- 
Nama CS: Rina
Tanggal: 19-Nov-2025
Leads:7
Jumlah Closing:1
Paket 1: 1
Paket 2: 
Paket 3: 
Paket 4: 
Paket 5: 
Repeat Paket 1: 
Repeat Paket 2: 
Repeat Paket 3: 
Repeat Paket 4: 
Repeat Paket 5: 
Catatan:
2 nores
4 tanya harga
1 isi data</t>
  </si>
  <si>
    <t>Trigger: #inputorder#
Data Pesanan Jasa Iklan UMKM
Data Pemesan
----
Tanggal: 20-Nov-2025
Nama: Surya Purba
Nama Usaha: Papua Cares 
Jenis Usaha: Sosial dan donasi 
No Whatsapp Bisnis: 6285355119665
Durasi: 10
Deskripsi produk/jasa: PROGRAM KAMI
Setiap program kami dirancang untuk mengatasi tantangan pendidikan di Papua secara komprehensif, dari awal hingga akhir. Berikut adalah inisiatif-inisiatif utama kami:
SCHOLARSHIP PROGRAM
Memberikan bantuan biaya kuliah lengkap (biaya kuliah, uang muka, seragam, buku)Bimbingan akademik dan motivasi bagi penerima beasiswaProgram bimbingan dengan para profesional dari berbagai bidang
DECENT SCHOOL
Pembangunan dan renovasi ruang kelas, perpustakaan, dan laboratorium sederhanaPenyediaan fasilitas sanitasi dan air bersihPembangunan asrama guru untuk daerah terpencil
VANGUARD TEACHER
Pelatihan kompetensi guru regulerPenyediaan modul pengajaran kontekstual untuk PapuaInsentif bagi guru yang bertugas di daerah terpencilProgram pertukaran guru dengan daerah lain
*Keunggulan usaha*: Bantuan untuk anak sekolah Papua
*Keunikan usaha*: Fokus untuk pendidikan dan keperluan sekolah 
Data Target Iklan
----
Lokasi: Jawa, Bali
Usia: 23-60 tahun 
Jenis kelamin: pria dan wanita 
Data Pembayaran
----
Total Bayar: 375000
Cs: Tika 
Status: Baru</t>
  </si>
  <si>
    <t>Memeriksa nomor WA setelah dibersihkan: '6285355119665' (Tipe: string)</t>
  </si>
  <si>
    <t>Cashflow saved for 6285355119665</t>
  </si>
  <si>
    <t>ORDER SAVED: ID-1763603133554</t>
  </si>
  <si>
    <t>Trigger: #inputorder#
Data Pesanan Jasa Iklan UMKM
Data Pemesan
Tanggal:20-Nov-2025
Nama: Neneng Lestari  Ningrum
Nama Usaha: syahdu massage
Jenis Usaha: massage
No Whatsapp Bisnis:6285385070717
Alamat usaha:
Deskripsi produk/jasa: Terapis profesional dan bersertifikat 
melayani: pijat sehat,pijat tradisional,bekam, refleksi,totok wajah,kop kering,kerokan dll
*Keunggulan usaha (wajib):*
*keunikan usaha (wajib):Refleksi khusus panggilan*
Promo:
Data Target Iklan 
Lokasi: bogor kota
Usia: 18-55
Jenis kelamin: pria/ wanita
Durasi:5
Data Pembayaran
----
Total Bayar: 197000
Cs: Yuni
Status: Perpanjang</t>
  </si>
  <si>
    <t>Memeriksa nomor WA setelah dibersihkan: '6285385070717' (Tipe: string)</t>
  </si>
  <si>
    <t>ORDER UPDATED: UPDATE-ORD-1521</t>
  </si>
  <si>
    <t>Trigger: #inputorder#
Data Pesanan Jasa Iklan UMKM
Data Pemesan
----
Tanggal: 20-Nov-2025
Nama: Edi Susanto
Nama Usaha: Bimbel Antusias
Jenis Usaha: Les Privat Tk, SD, SMP, SMA semua Pelajaran
No Whatsapp Bisnis: 6285292365257
Alamat usaha: Jl. Mulawarman Selatan Raya Tembalang Semarang
Durasi: 10
Deskripsi produk/jasa: 
*Keunggulan usaha (wajib):*
* Tentor kompeten dan komunikatif 
* Disediakan bank soal
* Disediakan tes bakat 
* Diberikan laporan hasil belajar siswa 
* Harga terjangkau 
*Keunikan* *usaha* ( *wajib* ):
* Bisa pilih tentor yg diinginkan
* Bebas menentukan jadwal sendiri 
* Jika tidak cocok, tentor bisa diganti
Promo: 10 pendafta pertama sebelum 30 Nov mendapatkan 
* e-book Speed Mathematic 
* e-book Rangkuman Pelajaran
* e-book Parenting 
Data Target Iklan
----
Lokasi: DKI (Jakarta Barat, Jakarta Pusat, Jakarta Timur, Jakarta Selatan, Jakarta Utara) 
Usia: 30-55 tahun
Jenis kelamin: Laki-laki dan Perempuan 
Data Pembayaran
----
Total Bayar: 375000
Cs: Rina
Status: Baru</t>
  </si>
  <si>
    <t>Memeriksa nomor WA setelah dibersihkan: '6285292365257' (Tipe: string)</t>
  </si>
  <si>
    <t>Cashflow saved for 6285292365257</t>
  </si>
  <si>
    <t>ORDER SAVED: ID-1763614557011</t>
  </si>
  <si>
    <t>Trigger: #inputorder#
Data Pesanan Jasa Iklan UMKM
Data Pemesan
----
Tanggal: 20-Nov-2025
Nama: Arfi
Nama Usaha: AJP Arfi jaya perkasa 
Jenis Usaha: Jasa sewa lift cor dan molen 
No Whatsapp Bisnis: 6289673319845
Alamat usaha: Mranggen Demak 
Durasi: 5
Deskripsi produk/jasa: Sewa lift cor dan molen bangunan + tenaga juga bisa alat" komplit 
*Keunggulan usaha*: Bisa masuk gang sempit
*Keunikan usaha*: Pengecoran tidak membutuhkan orang lebih dari 10 sampai 30 
Data Target Iklan
----
Lokasi: Semarang
Usia: 20 tahun ke atas
Jenis kelamin: semua
Data Pembayaran
----
Total Bayar: 197000
Cs: Tika 
Status: Perpanjang</t>
  </si>
  <si>
    <t>Memeriksa nomor WA setelah dibersihkan: '6289673319845' (Tipe: string)</t>
  </si>
  <si>
    <t>ORDER UPDATED: UPDATE-ORD-1319</t>
  </si>
  <si>
    <t>Trigger: #inputorder#
Data Pesanan Jasa Iklan UMKM
Data Pemesan
Tanggal:20-Nov-2025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</si>
  <si>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Memeriksa nomor WA setelah dibersihkan: '6282399721881' (Tipe: string)</t>
  </si>
  <si>
    <t>ORDER UPDATED: UPDATE-ORD-877</t>
  </si>
  <si>
    <t>Trigger: #inputorder#
Data Pesanan Jasa Iklan UMKM
Data Pemesan
----
Tanggal: 20-Nov-2025
Nama: Muhammad Faiq
Nama Usaha: Villa.Puncak.com
Jenis Usaha: Persewaan villa di puncak Bogor 
No Whatsapp Bisnis: 6281296671835
Alamat usaha:kampung urug, desa jogjogan, Cisarua puncak 
Durasi: 10
Deskripsi produk/jasa: Weekday 1.850k, Weekend 2.850k kapasitas 20 orang 
Khusus untuk kegiatan positif manfaat tidak diperkenankan untuk kegiatan yang melanggar norma agama, norma kesusilaan, hukum&amp;adat, masyarakat setempat. dilarang keras membawa &amp; mengkonsumsi minuman keras/narkoba di seluruh area villa sahabat &amp; kampus alam
Daftar harga sewa per malam
- weekday 1.850k
- Jumat-Sabtu 2.350k
- Sabtu-Minggu &amp; hari libur 2.850k
Fasilitas 
5 kamar mandi
6 kamar mandi
pendopo bale2 serbaguna
mushola 
dapur+alat BBQ lengkap
smart TV, Wifi, mini sound
kolam renang privat pinggir tebing
lokasi tinggi, pemandangan bagus 
area api unggun dll
Deskripsi produk/jasa:
*Keunggulan usaha (wajib):* Villa Murah di Puncak dengan kolam renang privat dan pemandangan bagus"
*keunikan usaha (wajib):* Lokasi strategis dekat wisata &amp; kuliner puncak, best price, desain villa unik estetik instagrammable, tiap villa ada mushola &amp; pendopo serbaguna, bebas memetik hasil perkebunan di area villa, penjaga villa 24 jam ready standby ramah melayani kebutuhan tamu"
Data Target Iklan
----
Lokasi: Jakarta, kab.bogor, kota Bogor, kota Depok, kab.bekasi kota Bekasi, kan.tangerang selatan kab.tangerang kota Tangerang 
Usia: semua
Jenis kelamin: Laki laki dan perempuan 
Data Pembayaran
----
Total Bayar: 375000
Cs: Tika 
Status: Perpanjang</t>
  </si>
  <si>
    <t>Memeriksa nomor WA setelah dibersihkan: '6281296671835' (Tipe: string)</t>
  </si>
  <si>
    <t>ORDER UPDATED: UPDATE-ORD-1343</t>
  </si>
  <si>
    <t>Trigger: #inputorder#
Data Pesanan Jasa Iklan UMKM
Data Pemesan
----
Tanggal: 20-Nov-2025
Nama: Pak Su'ud
Nama Usaha: Sukmajaya Makmur Indo
Jenis Usaha: Kontraktor 
No Whatsapp Bisnis: 6285655442852
Durasi: 14
Deskripsi produk/jasa: 
Melayani pembangunan dari nol, renovasi rumah gedung toko dll
Keunggulan: sudah berpengalaman dan profesional, kualitas kerjaan terjamin, kerja cepat hasil rapi
Data Target Iklan
----
Lokasi: Surabaya, Lamongan, Gresik, Sidoarjo, Mojokerto 
Usia: 30 th keatas 
Jenis kelamin: laki-laki dan perempuan 
Data Pembayaran
----
Total Bayar: 550000
Cs: Isna
Status: Perpanjang</t>
  </si>
  <si>
    <t>Memeriksa nomor WA setelah dibersihkan: '6285655442852' (Tipe: string)</t>
  </si>
  <si>
    <t>ORDER UPDATED: UPDATE-ORD-982</t>
  </si>
  <si>
    <t>Trigger: #inputorder#
Data Pesanan Jasa Iklan UMKM
Data Pemesan
----
Tanggal: 20-Nov-2025
Nama: Adhitya Prawindayana
Nama Usaha: Lubijo Berkah Jaya
Jenis Usaha: Kontruksi dan Interior 
No Whatsapp Bisnis: 6281233038880
Durasi: 10
Deskripsi produk/jasa:
Kami melayani berbagai proyek pembangunan rumah tinggal, ruko, kantor, hingga gedung Komersil serta menyediakan layanan desain dan pengerjaan interior untuk menciptakan ruang yang nyaman, fungsional dan elegan.
Keunggulan: Dengan tenaga ahli berpengalaman, dan penggunaan meterial terbaik, kerja cepat hasil rapi.
Promo: bonus kitchen set untuk pembangunan rumah dari 0
Data Target Iklan
----
Lokasi: Jateng, DIY
Usia: 20 th keatas
Jenis kelamin: laki-laki &amp; perempuan
Data Pembayaran
----
Total Bayar: 375000
Cs: Isna
Status: Perpanjang</t>
  </si>
  <si>
    <t>Memeriksa nomor WA setelah dibersihkan: '6281233038880' (Tipe: string)</t>
  </si>
  <si>
    <t>ORDER UPDATED: UPDATE-ORD-143</t>
  </si>
  <si>
    <t>Trigger: #inputorder#
Data Pesanan Jasa Iklan UMKM
Data Pemesan
----
Tanggal: 20-Nov-2025
Nama: Enal
Nama Usaha: Suzuki Mamuju 
Jenis Usaha: PT Megahputra Sejahtera 
No Whatsapp Bisnis: 6281221788919
Durasi: 5
Deskripsi produk/jasa: 
Promo: promo spesial mobil suzuki melayani pembelian cash &amp; kredit jaminan harga murah, cashback besar dan pelayanan terbaik 
Keunggulan: berkas dimudahkan, nego sampai deal, melayani pembelian sul-sulbar 
Data Target Iklan
----
Lokasi: Kab Mamuju, Kab Mamuju Tengah, Kab Pasangkayu Kab Majene, Kab Mamasa, Kab Polman Sulawesi Barat
Usia: 25-60 th
Jenis kelamin: laki-laki dan perempuan 
Data Pembayaran
----
Total Bayar: 197000
Cs: Isna
Status: Perpanjang</t>
  </si>
  <si>
    <t>Memeriksa nomor WA setelah dibersihkan: '6281221788919' (Tipe: string)</t>
  </si>
  <si>
    <t>ORDER UPDATED: UPDATE-ORD-64</t>
  </si>
  <si>
    <t>Trigger: #inputorder#
Data Pesanan Jasa Iklan UMKM
Data Pemesan
----
Tanggal: 20-Nov-2025
Nama: Mujiono 
Nama Usaha: Mandiri Home Service 
Jenis Usaha: Jasa Service 
No Whatsapp Bisnis: 6285123658125
Durasi: 5
Deskripsi produk/jasa: serahkan urusan kerusakan rumah anda kepada kami  
"Mandiri HOME  Service"
Seperti;
# DINDING Retak, 
rembes ,
cat mengelupas
 dan cat baru
 #bukan hanya itu kami juga   melayani:
 pasang
 Keramik 
 Granit
 Talang
 Lisplang 
Plavon pvc dan gipsum
Glassblok
Roster
#Instalasi listrik (pebaikan dan pasang baru) kantor, ruko, perumahan
 juga perbaikan kamar mandi seperti ganti Keramik dan klosed juga Water hiiter
Mandiri HOME Service dengan tukang tukang yang berpengalaman,
☝️Terpercaya 
☝️Kerja sampai jadi 
☝️Dan bergaransi
Keunggulan: tukang profesional, kerja sampai jadi dan bergaransi 
Data Target Iklan
----
Lokasi: Magelang Kota dan Kabupaten 
Usia: bebas
Jenis kelamin: laki-laki dan perempuan 
Data Pembayaran
----
Total Bayar: 197000
Cs: Isna
Status: Baru</t>
  </si>
  <si>
    <t>Memeriksa nomor WA setelah dibersihkan: '6285123658125' (Tipe: string)</t>
  </si>
  <si>
    <t>Cashflow saved for 6285123658125</t>
  </si>
  <si>
    <t>ORDER SAVED: ID-1763677957135</t>
  </si>
  <si>
    <t>Trigger: #inputlaporan#
Laporan CS Jasa Iklan UMKM
------- 
Nama CS: Isna
Tanggal: 20-Nov-2025
Leads:5
Jumlah Closing:5
Paket 1:1
Paket 2: 
Paket 3: 
Paket 4: 
Paket 5: 
Repeat Paket 1:1
Repeat Paket 2:2
Repeat Paket 3:1
Repeat Paket 4: 
Repeat Paket 5:
Catatan:
2 nores
2 tanya-tanya 
1 cek harga</t>
  </si>
  <si>
    <t>Exception: Les paramètres (String,String,String) ne correspondent pas à la signature de la méthode "Utilities.formatDate".</t>
  </si>
  <si>
    <t>Trigger: #inputlaporan#
Laporan CS Jasa Iklan UMKM
------- 
Nama CS: Yuni
Tanggal: 20-Nov-2025
Leads:5
Jumlah Closing: 2
Paket 1: 
Paket 2: 
Paket 3: 
Paket 4: 
Paket 5: 
Repeat Paket 1: 1
Repeat Paket 2: 1
Repeat Paket 3: 
Repeat Paket 4: 
Repeat Paket 5: 
Catatan:
3 tanya2
2 no respon</t>
  </si>
  <si>
    <t>Trigger: #inputlaporan#
Laporan CS Jasa Iklan UMKM
------- 
Nama CS: Tika
Tanggal: 20-Nov-2025
Leads:4
Jumlah Closing:3
Paket 1: 
Paket 2: 1
Paket 3: 
Paket 4: 
Paket 5: 
Repeat Paket 1: 1
Repeat Paket 2: 1
Repeat Paket 3: 
Repeat Paket 4: 
Repeat Paket 5: 
Catatan:
4 nores</t>
  </si>
  <si>
    <t>Trigger: #inputlaporan#
Laporan CS Jasa Iklan UMKM
------- 
Nama CS: Rina
Tanggal: 20-Nov-2025
Leads:4
Jumlah Closing:1
Paket 1: 
Paket 2: 1
Paket 3: 
Paket 4: 
Paket 5: 
Repeat Paket 1: 
Repeat Paket 2: 
Repeat Paket 3: 
Repeat Paket 4: 
Repeat Paket 5: 
Catatan:
3 nores
1 tanya tanya</t>
  </si>
  <si>
    <t>Trigger: #inputorder#
Data Pesanan Jasa Iklan UMKM
Data Pemesan
----
Tanggal: 21-Nov-2025
Nama: Naufal
Nama Usaha: Naufal interior 
Jenis Usaha: Furniture 
No Whatsapp Bisnis: 6281347321820
Durasi: 5
Deskripsi produk/jasa: Bahan multiplek, dan pvc boart,  pinishing HPL luar dalam
*Keunggulan usaha*: Pemasangan oleh teknisi berpengalaman dalam bidangnya, harga terbaik di kelasnya
Data Target Iklan
----
Lokasi: Kota Penajam Peser Utara 
Usia: 10-70 tahun 
Jenis kelamin: Laki laki dan perempuan 
Data Pembayaran
----
Total Bayar: 197000
Cs: Tika 
Status: Perpanjang</t>
  </si>
  <si>
    <t>Memeriksa nomor WA setelah dibersihkan: '6281347321820' (Tipe: string)</t>
  </si>
  <si>
    <t>ORDER UPDATED: UPDATE-ORD-31</t>
  </si>
  <si>
    <t>Trigger: #inputorder#
Data Pesanan Jasa Iklan UMKM
Data Pemesan
----
Tanggal: 21-Nov-2025
Nama: Wiris
Nama Usaha: Wirisvariasi
Jenis Usaha: Bengkel Custom Lampu
No Whatsapp Bisnis: 6282242925264
Durasi: 10
Deskripsi produk/jasa: 
musim hujan lampu mobil redup gk kelihatan jalan. kami hadir untuk melayani problem perlampuan mobil anda yang redup. satu satu nya bengkel perlampuan mobil dengan garansi resmi di jepara dan mekanik yang sudah terpercaya di bidang nya. pengerjaan tidak perlu di ragukan lagi karna kerapian dan keamanan adalah prosesur nomor 1 bagi kami. kami sedia berbagai macam jenis lampu yang sesuai dengan kebutuhan mobil anda. sudah ratusan mobil yang sudah kami tangani di area jepara. tunggu apa lagi segera konsultasikan lampu mobil anda pada kami.
Data Target Iklan
----
Lokasi: Jepara, Demak, Kudus, Pati, Rembang, Purwodadi, Blora
Usia: 20 th keatas 
Jenis kelamin: laki-laki dan perempuan 
Data Pembayaran
----
Total Bayar: 375000
Cs: Yuni
Status: Perpanjang</t>
  </si>
  <si>
    <t>Memeriksa nomor WA setelah dibersihkan: '6282242925264' (Tipe: string)</t>
  </si>
  <si>
    <t>ORDER UPDATED: UPDATE-ORD-621</t>
  </si>
  <si>
    <t>Trigger: #inputorder#
Data Pesanan Jasa Iklan UMKM
Data Pemesan
----
Tanggal: 21-Nov-2025
Nama: Wiris
Nama Usaha: Wirisvariasi
Jenis Usaha: Bengkel Custom Lampu
No Whatsapp Bisnis: 6282242925264
Durasi: 10
Deskripsi produk/jasa: 
musim hujan lampu mobil redup gk kelihatan jalan. kami hadir untuk melayani problem perlampuan mobil anda yang redup. satu satu nya bengkel perlampuan mobil dengan garansi resmi di jepara dan mekanik yang sudah terpercaya di bidang nya. pengerjaan tidak perlu di ragukan lagi karna kerapian dan keamanan adalah prosesur nomor 1 bagi kami. kami sedia berbagai macam jenis lampu yang sesuai dengan kebutuhan mobil anda. sudah ratusan mobil yang sudah kami tangani di area jepara. tunggu apa lagi segera konsultasikan lampu mobil anda pada kami.
Data Target Iklan
----
Lokasi: Jepara, Demak, Kudus, Pati, Rembang, Purwodadi, Blora
Usia: 20 th keatas 
Jenis kelamin: laki-laki dan perempuan 
Data Pembayaran
----
Total Bayar: 375000
Cs: Isna
Status: Perpanjang</t>
  </si>
  <si>
    <t>Trigger: #inputlaporan#
Laporan CS Jasa Iklan UMKM
------- 
Nama CS: Isna
Tanggal: 21-Nov-2025
Leads:10
Jumlah Closing:3
Paket 1: 
Paket 2:1
Paket 3: 
Paket 4: 
Paket 5: 
Repeat Paket 1: 
Repeat Paket 2:1
Repeat Paket 3: 
Repeat Paket 4:1
Repeat Paket 5:
Catatan:
4 nores
2 tanya-tanya 
3 cek harga</t>
  </si>
  <si>
    <t>Trigger: #inputlaporan#
Laporan CS Jasa Iklan UMKM
------- 
Nama CS: Yuni
Tanggal: 21-Nov-2025
Leads:5
Jumlah Closing: 
Paket 1: 
Paket 2: 
Paket 3: 
Paket 4: 
Paket 5: 
Repeat Paket 1:
Repeat Paket 2: 
Repeat Paket 3: 
Repeat Paket 4: 
Repeat Paket 5: 
Catatan:
2 tanya2
1 no respon
1 nanti dikabari 
1 format order</t>
  </si>
  <si>
    <t>Trigger: #inputlaporan#
Laporan CS Jasa Iklan UMKM
------- 
Nama CS: Tika
Tanggal: 21-Nov-2025
Leads:6
Jumlah Closing:1
Paket 1: 
Paket 2: 
Paket 3: 
Paket 4: 
Paket 5: 
Repeat Paket 1: 1
Repeat Paket 2: 
Repeat Paket 3: 
Repeat Paket 4: 
Repeat Paket 5: 
Catatan:
3 nores 
2 tanya tanya 
1 nanti dikabari lagi</t>
  </si>
  <si>
    <t>Trigger: #inputlaporan#
Laporan CS Jasa Iklan UMKM
------- 
Nama CS: Rina
Tanggal: 21-Nov-2025
Leads:3
Jumlah Closing: 
Paket 1: 
Paket 2: 
Paket 3: 
Paket 4: 
Paket 5: 
Repeat Paket 1:
Repeat Paket 2: 
Repeat Paket 3: 
Repeat Paket 4: 
Repeat Paket 5: 
Catatan:
1 no respon
1 tanya harga
1 tanya tanya</t>
  </si>
  <si>
    <t>Trigger: #inputorder#
Data Pesanan Jasa Iklan UMKM
Data Pemesan
----
Tanggal: 21-Nov-2025
Nama: Surianti 
Nama Usaha: Toko Maxxis Central Ban 
Jenis Usaha: dagang ban luar motor dan ban sepeda listrik 
No Whatsapp Bisnis: 6287838914455
Alamat: Jln tumpangsari 32 karangsiluman cakranegara lombok barat 
Durasi: 5
Deskripsi produk/jasa: 
menjual ban luar dalam oli kampasrem sepedamotor dan ban luar dlm sepedalistrik
Ready semua ukuran ban luar motor lengkap ring 10,12,13,14,16,17
Keunggulan usaha beli ban luar motor free pasang dgn mesin tyre changer dan free nitrogen
Bisa beli ecer dan grosir
Ready byk merk Maxxis,irc, FDR,tomimoto,corsa,federalhonda
Keunikan: toko model m2tc ntb maxxis center
 kualitas terjamin pasang cepat dan aman
Promo: beli ban motor gratis psg dan nitrogen
Dapatkan diskon harga spesial bulan ini
“STOP! Jangan beli Ban Motormu sebelum dengar ini!”
Jangan buru-buru beli ban motor sebelum dengar ini…
Serius, banyak orang rugi karena salah beli ban, pasangnya asal-asalan dan nggak aman.
Makanya sekarang banyak yang pindah beli ban ke Toko Maxxis NTB ( Central Ban ) di jalan Tumpang Sari 32A Karangsiluman Cakranegara.
Di sini, beli ban luar motor
Gratis pasang pakai mesin tyre changer—lebih cepat, lebih aman—plus gratis nitrogen selamanya.
Mau ecer? Bisa..
Mau grosir? Bisa banget..
Ukuran lengkap dari ring 10, 12, 13, 14, 16, sampai 17.
Merk pun banyak: Maxxis, IRC, FDR, Tomimoto, Corsa, Federal Honda dll
Promo bulan ini juga gokil!
Ban Tomimoto Motor Matic
80/90-14 cuma 210ribu
90/90-14 cuma 240ribu
Kalau mau ban bagus, aman, kualitas terjamin.
Data Target Iklan
----
Lokasi: Lombok Barat dan Lombok Tengah 
Usia: 17-60 th
Jenis kelamin: laki-laki dan perempuan 
Data Pembayaran
----
Total Bayar: 197000
Cs: Isna
Status: Baru</t>
  </si>
  <si>
    <t>Memeriksa nomor WA setelah dibersihkan: '6287838914455' (Tipe: string)</t>
  </si>
  <si>
    <t>Cashflow saved for 6287838914455</t>
  </si>
  <si>
    <t>ORDER SAVED: ID-1763778401786</t>
  </si>
  <si>
    <t>Trigger: #inputorder#
Data Pesanan Jasa Iklan UMKM
Data Pemesan
----
Tanggal: 21-Nov-2025
Nama: Surianti 
Nama Usaha: Toko Maxxis Central Ban 
Jenis Usaha: dagang ban luar motor dan ban sepeda listrik 
No Whatsapp Bisnis: 6287838914455
Alamat: Jln tumpangsari 32 karangsiluman cakranegara lombok barat 
Durasi: 7
Deskripsi produk/jasa: 
menjual ban luar dalam oli kampasrem sepedamotor dan ban luar dlm sepedalistrik
Ready semua ukuran ban luar motor lengkap ring 10,12,13,14,16,17
Keunggulan usaha beli ban luar motor free pasang dgn mesin tyre changer dan free nitrogen
Bisa beli ecer dan grosir
Ready byk merk Maxxis,irc, FDR,tomimoto,corsa,federalhonda
Keunikan: toko model m2tc ntb maxxis center
 kualitas terjamin pasang cepat dan aman
Promo: beli ban motor gratis psg dan nitrogen
Dapatkan diskon harga spesial bulan ini
“STOP! Jangan beli Ban Motormu sebelum dengar ini!”
Jangan buru-buru beli ban motor sebelum dengar ini…
Serius, banyak orang rugi karena salah beli ban, pasangnya asal-asalan dan nggak aman.
Makanya sekarang banyak yang pindah beli ban ke Toko Maxxis NTB ( Central Ban ) di jalan Tumpang Sari 32A Karangsiluman Cakranegara.
Di sini, beli ban luar motor
Gratis pasang pakai mesin tyre changer—lebih cepat, lebih aman—plus gratis nitrogen selamanya.
Mau ecer? Bisa..
Mau grosir? Bisa banget..
Ukuran lengkap dari ring 10, 12, 13, 14, 16, sampai 17.
Merk pun banyak: Maxxis, IRC, FDR, Tomimoto, Corsa, Federal Honda dll
Promo bulan ini juga gokil!
Ban Tomimoto Motor Matic
80/90-14 cuma 210ribu
90/90-14 cuma 240ribu
Kalau mau ban bagus, aman, kualitas terjamin.
Data Target Iklan
----
Lokasi: Lombok Barat dan Lombok Tengah 
Usia: 17-60 th
Jenis kelamin: laki-laki dan perempuan 
Data Pembayaran
----
Total Bayar: 297000
Cs: Isna
Status: Baru</t>
  </si>
  <si>
    <t>ORDER UPDATED: UPDATE-ID-1763778401786</t>
  </si>
  <si>
    <t>Trigger: #inputorder#
Data Pesanan Jasa Iklan UMKM
Data Pemesan
----
Tanggal: 22-Nov-2025
Nama: Muswandi
Nama Usaha: Ahsan Terapi Holistik
Jenis Usaha: Terapi Kesehatan
No Whatsapp Bisnis: 6281274175987
Alamat usaha: Perum Bandaramas Blok D3 No 10, Kel. Belian, Batam Kota
Durasi: 7
Deskripsi produk/jasa: 
Ahsan Terapi/Neo Sangkal Putung Batam, Penyehat tradisional, Izin  no: *5/STPT/DPMPTSP-BTM/01/V/2025* In Syaa Allah Melayani Terapi :
&gt;Patah Tulang
&gt;Saraf kejepit
&gt;Dislokasi sendi
&gt;Sakit Pinggang,
&gt;Bahu kaku
&gt;leher kaku
&gt;Sakit Kepala, Migrain
&gt;Sakit Kaki(Engkel, lutut, betis)
&gt;Sakit Lengan(Siku, pergelangan)
&gt;Semutan, kebas2, dll
&gt;Keseleo, capek,urut badan, pegal pegal, dll
Tersedia terapi (Bekam, Fashdu, Totok Punggung, Urut/pijat, reposisi tulang dan sendi)
*Keunggulan usaha:* 
- Lingkungan Ruangan yang Nyaman &amp; Higienis
- Terapi Bisa Dipanggil ke Rumah (Home Service)
- Pelayanan Ramah &amp; Profesional
*Keunikan usaha:* 
- Harga Transparan dan Terjangkau
- Terapi dengan Pendekatan Holistik
Data Target Iklan
----
Lokasi: Batam
Usia: 20-60 tahun
Jenis kelamin: laki-laki
Data Pembayaran
----
Total Bayar: 397000
Cs: Rina
Status: Baru</t>
  </si>
  <si>
    <t>Memeriksa nomor WA setelah dibersihkan: '6281274175987' (Tipe: string)</t>
  </si>
  <si>
    <t>Cashflow saved for 6281274175987</t>
  </si>
  <si>
    <t>ORDER SAVED: ID-1763798079355</t>
  </si>
  <si>
    <t>Trigger: #inputorder#
Data Pesanan Jasa Iklan UMKM
Data Pemesan
----
Tanggal: 22-Nov-2025
Nama: Heru Purwanto 
Nama Usaha: CV Athawidya jaya Pratama 
Jenis Usaha: distributor benih jagung hibrida 
No Whatsapp Bisnis: 6285729738492
Alamat: Bandarejo Tama 47 Sememi- Benowo Surabaya 
Durasi: 5
Deskripsi produk/jasa: menjual Benih jagung hibrida 
*Keunggulan usaha*: 
- Potensi hasil tinggi hingga 12 ton/ha
- Tahan penyakit bulai dan hawar daun
- tongkol besar dan rendemen tinggi (80%)
- Warna biji orange kemerahan 
- dapat ditanam pada daratan rendah-menengah
- tanaman kokoh tahan rebah 
*Keunikan usaha*: tahan bulai 
Data Target Iklan
----
Lokasi: Indonesia 
Usia: 30-70 tahun 
Jenis kelamin: semua
Data Pembayaran
----
Total Bayar: 197000
Cs: Tika 
Status: Perpanjang</t>
  </si>
  <si>
    <t>Trigger: #inputorder#
Data Pesanan Jasa Iklan UMKM
Data Pemesan
Tanggal:22-Nov-2025
Nama: suryana
Nama Usaha: MEGAH PLAFON
Jenis Usaha: plavon
No Whatsapp Bisnis:6281323291817
Alamat usaha: jalan Dewi Sartika,Palu
Deskripsi produk/jasa: menjual berbagai list-list Gipsum
menerima pemasangan plafon gypsum, PVC,profil beton, molding,atap baja ringan dll
*Keunggulan usaha (wajib):*
*keunikan usaha (wajib):*
Promo:
Data Target Iklan 
Lokasi: Sulawesi Tengah 
Usia: 18-60
Jenis kelamin:semua
Durasi:30
Data Pembayaran
----
Total Bayar: 1000000
Cs: Yuni
Status: Perpanjang</t>
  </si>
  <si>
    <t>Memeriksa nomor WA setelah dibersihkan: '6281323291817' (Tipe: string)</t>
  </si>
  <si>
    <t>ORDER UPDATED: UPDATE-ORD-519</t>
  </si>
  <si>
    <t>Trigger: #inputlaporan#
Laporan CS Jasa Iklan UMKM
------- 
Nama CS: Yuni
Tanggal: 22-Nov-2025
Leads:
Jumlah Closing: 1
Paket 1: 
Paket 2: 
Paket 3: 
Paket 4: 
Paket 5: 
Repeat Paket 1:
Repeat Paket 2: 
Repeat Paket 3: 
Repeat Paket 4: 
Repeat Paket 5: 1
Catatan:</t>
  </si>
  <si>
    <t>Trigger: #inputlaporan#
Laporan CS Jasa Iklan UMKM
------- 
Nama CS: Tika
Tanggal: 22-Nov-2025
Leads:
Jumlah Closing:1
Paket 1: 
Paket 2: 
Paket 3: 
Paket 4: 
Paket 5: 
Repeat Paket 1: 1
Repeat Paket 2: 
Repeat Paket 3: 
Repeat Paket 4: 
Repeat Paket 5: 
Catatan:</t>
  </si>
  <si>
    <t>Trigger: #inputlaporan#
Laporan CS Jasa Iklan UMKM
------- 
Nama CS: Rina
Tanggal: 22-Nov-2025
Leads:
Jumlah Closing:1
Paket 1: 
Paket 2: 1
Paket 3: 
Paket 4: 
Paket 5: 
Repeat Paket 1: 
Repeat Paket 2: 
Repeat Paket 3: 
Repeat Paket 4: 
Repeat Paket 5: 
Catatan:</t>
  </si>
  <si>
    <t>Trigger: #inputlaporan#
Laporan CS Jasa Iklan UMKM
------- 
Nama CS: Isna
Tanggal: 22-Nov-2025
Leads:19
Jumlah Closing:3
Paket 1:2
Paket 2: 
Paket 3: 
Paket 4: 
Paket 5: 
Repeat Paket 1:1
Repeat Paket 2: 
Repeat Paket 3: 
Repeat Paket 4: 
Repeat Paket 5:
Catatan:
5 nores
7 tanya-tanya 
4 cek harga
2 ragu
1 belum isi data</t>
  </si>
  <si>
    <t>Trigger: #inputorder#
Data Pesanan Jasa Iklan UMKM 
Data Pemesan
Tanggal: 24-Nov-2025
Nama: Abdur Ro’uf
Nama Usaha: B-Care (Bekam Care)
Jenis Usaha: Jasa Terapi Bekam &amp; Home Care
No WhatsApp Bisnis:6281217256721
Alamat Usaha: Kendit, Situbondo – *layanan panggilan / home care* (belum ada izin klinik permanen)
Deskripsi Produk/Jasa:
Layanan terapi bekam professional untuk Kesehatan tubuh, meredakan pegal dan nyeri otot, melancarkan peredaran darah, detoksifikasi alami, dan perawatan kebugaran. Sistem home care (datang ke rumah pasien).
Keunggulan Usaha (wajib):
*✔ Terapis bersertifikat PBI*
*✔ Alat steril &amp; higienis, jarum sekali pakai*
*✔ Pelayanan panggilan ke rumah*
*✔ Perbaikan pegal &amp; kebugaran terasa hanya dalam 1 sesi*
Keunikan Usaha (wajib):
*• Fokus pada pelanggan laki-laki yang ingin kebugaran dan relaksasi setelah bekerja*
*• Proses cepat dan nyaman tanpa ribet — cocok untuk pekerja yang sulit menyediakan Waktu*
*• Menggabungkan metode bekam sunnah &amp; Teknik modern*
Promo (tanpa cek darah):
Promo Bulan Ini — Bekam Basic Rp100.000 → jadi hanya Rp80.000 untuk pelanggan baru
Data Target Iklan
Lokasi: Situbondo &amp; sekitarnya
Usia: 20 – 60 tahun
Jenis Kelamin: Laki-laki
Durasi:5
Data Pembayaran
----
Total Bayar:197000
Cs:Yuni
Status:Baru</t>
  </si>
  <si>
    <t>Memeriksa nomor WA setelah dibersihkan: '6281217256721' (Tipe: string)</t>
  </si>
  <si>
    <t>Cashflow saved for 6281217256721</t>
  </si>
  <si>
    <t>ORDER SAVED: ID-1763874743402</t>
  </si>
  <si>
    <t>Trigger: #inputorder#
Data Pesanan Jasa Iklan UMKM
Data Pemesan
----
Tanggal: 23-Nov-2025
Nama: Efrulwan
Nama Usaha: Khusyu' 30 Desibel plus 
Jenis Usaha: Pelatihan solat khusyuk 
No Whatsapp Bisnis: 6285179911662
Alamat: Jalan Rajawali 33 Rwwin, Waru, Sidoarjo, Jawa Timur 
Durasi: 5
Deskripsi produk/jasa: Deskripsi produk/jasa
Khusyu’ 30 Desibel Plus adalah program pelatihan sholat khusyuk yang mudah dipelajari, praktis, dan bisa langsung dipraktikkan sejak sesi pertama.
Metode ini tidak memakai teori rumit, tidak menggunakan istilah tinggi, dan tidak membutuhkan syarat khusus—cukup memiliki suara dan pendengaran yang normal.
Dengan pendekatan suara pelan 30 desibel yang dipadukan dengan fokus sederhana dan panduan langkah demi langkah, peserta dibimbing agar mampu memulai sholat dengan tenang, menghadirkan makna, dan merasakan kekhusyukan secara alami.
Program ini dilengkapi buku panduan, resume pelatihan, serta dukungan Add-On 21 Hari &amp; Konsultasi 30 Hari (gratis khusus pendaftar November 2025)
Data Target Iklan
----
Lokasi: Indonesia 
Usia: 45-70 tahun 
Jenis kelamin: Semua
Data Pembayaran
----
Total Bayar: 197000
Cs: Tika 
Status: Baru</t>
  </si>
  <si>
    <t>Memeriksa nomor WA setelah dibersihkan: '6285179911662' (Tipe: string)</t>
  </si>
  <si>
    <t>Cashflow saved for 6285179911662</t>
  </si>
  <si>
    <t>ORDER SAVED: ID-1763883563053</t>
  </si>
  <si>
    <t>Trigger: #inputorder#
Data Pesanan Jasa Iklan UMKM
Data Pemesan
----
Tanggal: 22-Nov-2025
Nama: Nizam
Nama Usaha: Nizam Traveling 
Jenis Usaha: Travel Wisata 
No Whatsapp Bisnis: 6285361118289
Alamat: Jl Dr Wahidin km 19 Binjai Kota Binjai Sumatera Utara 
Durasi: 5
Deskripsi produk/jasa: 
 *Ingin Liburan Kesabang? ini Jadwal Open Tripnya*
✓.5-9 Desember
✓.16-20 Desember
✓.21-25 Desember
✓.26-30 Desember
✓ Start Medan jam 1 siang
✓Nginapnya 2 malam donk  lebih puas
✓Harga cuma Rp.1.300.000/org
✓Keberangkatan dijemput kerumah biar kamu gak repot
*Hari pertama*
Start dari medan jam 13.30
*Hari kedua*
mengunjungi
▶️.Klah view point
▶ Puncak Goa sarang
▶ Pantai Iboih 
▶ Cek in penginapan 
▶ .Kilometer nol
*Hari ketiga*
▶ Snorkling
▶ Pantai sumur tiga
▶ Pantai freddies
▶ Pantai UKCC
▶ Cek in penginapan
▶️.Liat sunset disabang fair
▶️.Makan malam dimenara merah putih
*Hari ke empat*
▶️.Museum Tsunami
▶️.Kapal PLTD Apung
▶️.Masjid raya aceh
▶️.Pantai lampuuk
jam 16.00 pulang kemedan
*Hari kelima*
Jam 09.00 pagi tiba udah tiba dimedan
 Harga sudah termasuk :
✓Minyak
✓Sopir
✓Mobil
✓Parkir
✓.Tol
✓Penyebrangan PP
✓Penginapan 2 malam
✓.Alat Snorkling
✓ Kamera underwater
✓ Guide 
✓ Speedboad
Harga tidak termasuk :
1.Makan
2.Dolpin Trip
HARGA ANAK ANAK
0-2 tahun gratis
2-6 tahun 650.000
diatas 6 tahun 1.300.000
*Kenapa memilih nizam traveling*
✓.Sopir tidak merokok
✓.Mobil berhenti ketika masuk waktu sholat
✓.Penginapan tepi pantai
✓.Mobil bersih dan sehat
✓.Banyak ketawanya
✓.Difotoin dan dibantu buat konten 
#murah #sabang #snorkling #bandaaceh #pulauweh #travel
Data Target Iklan
----
Lokasi: Sumatera Utara (Medan, Binjai, Deli Serdang, Langkat)
Usia: 18-65 th
Jenis kelamin: laki-laki dan perempuan 
Data Pembayaran
----
Total Bayar: 197000
Cs: Isna
Status: Perpanjang</t>
  </si>
  <si>
    <t>Memeriksa nomor WA setelah dibersihkan: '6285361118289' (Tipe: string)</t>
  </si>
  <si>
    <t>ORDER UPDATED: UPDATE-ORD-775</t>
  </si>
  <si>
    <t>Trigger: #inputorder#
Data Pesanan Jasa Iklan UMKM
Data Pemesan
----
Tanggal: 22-Nov-2025
Nama: Budiawati 
Nama Usaha: Magnet Rejeki 
Jenis Usaha: Pelatihan dan Training 
No Whatsapp Bisnis: 6281931902977
Durasi: 5
Deskripsi produk/jasa: 
*Seminar dan Training ini diadakan di 100 lebih titik di Seluruh Indonesia dan Mancanegara, puluhan Ribu orang sudah mengalami perubahan dalam kehidupannya mengalami keajaiban :*
*Banyak orang yang Mengikuti seminar dan Training mengalami keajaiban saat mereka sedang mengikuti Training ,contohnya seorang bapak mengikuti training saat itu istrinya sedang diperiksa di dokter karena ada tumor ,istri mengabari bahwa tumor nya dinyatakan oleh dokter sudah kempes Masya Allah 
*Seminar Hybrid Magnet Rezeki Cimahi* 
_Refleksi Diri Di Penghujung Tahun_
Menjelang pergantian tahun, ada baiknya kita mengambil waktu sejenak untuk melihat kembali perjalanan yang sudah dilewati. Hanya untuk memahami, mengapresiasi, dan menata langkah baru.
Dalam sesi ini, kita akan bersama-sama: 
🌿 Menyadari jejak kebaikan dan pertolongan Allah sepanjang tahun
🧘‍♀️ Melepaskan energi-energi yang menahan aliran rezeki
✨ Menata niat, mindset, dan getaran hati agar lebih siap menyambut tahun baru
🌙 Menguatkan syukur sebagai magnet rezeki yang paling utama
💎Belajar Langsung bersama : *Ust. Nasrullah* (Founder Magnet Rezeki dan Penulis Best Seller) Secara Online dan Offline bersama :
💎 *Pak Huda , CT.MR* (Ketua Korwil Bandung &amp; Priangan Timur)
💎 *Bunda Budia, CT.MR* (Certified Trainer Magnet Rezeki)
📅 Sabtu, 6 Desember 2025
🕒 07.30 - 12.00 WIB
📍Hotel Valore 
JL. Raya Baros no 57 Cimahi 
Hanya ruang hangat untuk membersihkan hati, menenangkan jiwa, dan menyelaraskan energi agar rezeki lebih mudah mengalir.
Data Target Iklan
----
Lokasi: Cimahi 
Usia: 27-60 th 
Jenis kelamin: laki-laki dan perempuan 
Data Pembayaran
----
Total Bayar: 197000
Cs: Isna
Status: Baru</t>
  </si>
  <si>
    <t>Memeriksa nomor WA setelah dibersihkan: '6281931902977' (Tipe: string)</t>
  </si>
  <si>
    <t>Cashflow saved for 6281931902977</t>
  </si>
  <si>
    <t>ORDER SAVED: ID-1763910858950</t>
  </si>
  <si>
    <t>Trigger: #inputorder#
Data Pesanan Jasa Iklan UMKM
Data Pemesan
----
Tanggal: 22-Nov-2025
Nama: Ardiansyah 
Nama Usaha: Rumah Soto Anek Racik
Jenis Usaha: Kuliner 
No Whatsapp Bisnis: 6287897730462
Alamat: Jl Menteng Sukabumi Gg 16 No 28 Rt 12 Rw 03 Menteng Jakarta Pusat 
Durasi: 5
Deskripsi produk/jasa: 
Terima pesanan aneka soto, capcay, nasi goreng, mie goreng/rebus, kwetiau, bihun
*Keunggulan usaha (wajib):*Harga bersahabat dan enak rasanya
*keunikan usaha (wajib):*Masakan ala Jakarta dan Jawa
Promo: Semakin besar harga yang diambil maka ada promo yang menarik. 
Data Target Iklan
----
Lokasi: Jakarta 
Usia: bebas 
Jenis kelamin: laki-laki dan perempuan 
Data Pembayaran
----
Total Bayar: 197000
Cs: Isna
Status: Baru</t>
  </si>
  <si>
    <t>Memeriksa nomor WA setelah dibersihkan: '6287897730462' (Tipe: string)</t>
  </si>
  <si>
    <t>Cashflow saved for 6287897730462</t>
  </si>
  <si>
    <t>ORDER SAVED: ID-1763910891910</t>
  </si>
  <si>
    <t>Trigger: #inputorder#
Data Pesanan Jasa Iklan UMKM
Data Pemesan
----
Tanggal: 23-Nov-2025
Nama: Dr H Soehardjito 
Nama Usaha: Prife Wealness Gallery 
Jenis Usaha: Terapi Kesehatan 
No Whatsapp Bisnis: 6281222666815
Alamat: Jl Tumenggung Suryo no 25
Durasi: 5
Deskripsi produk/jasa: 
*Keunggulan usaha (Terapi sekali langsung bisa dirasakan Khasiatnya):*
*Keunikan usaha)* Keunikan terapi di PWG Dr. Soehardjito Malang:
Terapi itera care adalah terapi Modern dg sinar Gelombang Terahertz , alatnya sudah terdaftar di Kementerian Kesehatan RI. Terapi aman, nyaman, dan efektif...
Gelombang Terahertz mampu menembus sampai tulang sumsum, membantu meningkatkan kekebalan tubuh dan regenenerasi sel.. Membantu mempercepat penyembuhan sakit   yg belum ada kemajuan di dunia medis. 
Fasilitas Magnoseek (General Check Up Modern Teknologi AI) ):*
Price : 200ribu (Terapi 1 jam)
Data Target Iklan
----
Lokasi: Malang Raya
Usia: di atas 10 th
Jenis kelamin: laki-laki dan perempuan 
Data Pembayaran
----
Total Bayar: 197000
Cs: Isna
Status: Baru</t>
  </si>
  <si>
    <t>Memeriksa nomor WA setelah dibersihkan: '6281222666815' (Tipe: string)</t>
  </si>
  <si>
    <t>Cashflow saved for 6281222666815</t>
  </si>
  <si>
    <t>ORDER SAVED: ID-1763910910162</t>
  </si>
  <si>
    <t>Trigger: #inputlaporan#
Laporan CS Jasa Iklan UMKM
------- 
Nama CS: Tika
Tanggal: 23-Nov-2025
Leads:
Jumlah Closing:1
Paket 1: 1
Paket 2: 
Paket 3: 
Paket 4: 
Paket 5: 
Repeat Paket 1: 
Repeat Paket 2: 
Repeat Paket 3: 
Repeat Paket 4: 
Repeat Paket 5: 
Catatan:</t>
  </si>
  <si>
    <t>Trigger: #inputlaporan#
Laporan CS Jasa Iklan UMKM
------- 
Nama CS: Yuni
Tanggal: 23-Nov-2025
Leads:
Jumlah Closing: 1
Paket 1: 1
Paket 2: 
Paket 3: 
Paket 4: 
Paket 5: 
Repeat Paket 1:
Repeat Paket 2: 
Repeat Paket 3: 
Repeat Paket 4: 
Repeat Paket 5: 
Catatan:</t>
  </si>
  <si>
    <t>Trigger: #inputorder#
Data pesanan Jasa iklan UMKM 
Data Pemesan
Tanggal: 24-Nov-2025
Nama : AJIK BAGUS
Nama usaha:GRAHA WAJA UTAMA
Jenis usaha :Konstruksi Baja Berat WF/H-Beam,konstruksi tingkat Composit baja beton.
No Whatsapp Bisnis:6287758080333
Alamat usaha 
Jl Gunung Himalaya 1B
Gatsu barat.
Deskripsi: Yuks yang masih bingung menentukan jenis konstruksi bangunan yang Anda pilih sesuai kondisi dan ukuran bangunan yang akan anda buat.
Kalau urusan bangunan untuk  usaha Anda percayakan pada kami 
GRAHA WAJA UTAMA
Berpengalaman lebih dari 25 tahun 
Sangat cocok.utk bangunan usaha dengan lebar bangunan lebih dari 10 mt hingga 20 mt
Tanpa ada Tiang berserakan.di dalam bangunan Gudang,showroom,Kandang ayam,atau gudang mobil truck/bus usaha Anda.
Harga mulai 650 rb/m2
Atau dalam kilogram berat 26 rb/kg.
Juga menerima service gudang lama Anda atau pengecatan ulang konstruksi Anda dengan Harga Terjangkau.
Keunggulan dari usaha kami 
Bisa menyelesaikan konstruksi Gudang dengan cepat dan efisien.
Menerima konsultasi gratis...
Design gratis...kalau ada kecocokan harga.
Data target iklan
Lokasi wilayah: Denpasar,Tabanan,Gianyar,seluruh Bali.
Usia : usia.pengusaha mulai 23.th sampai 60 th.
Jenis kelamin: pria/wanita
Durasi: 5
Data pembayaran 
Total Bayar:197000
Cs:Yuni
Status: Perpanjang</t>
  </si>
  <si>
    <t>Memeriksa nomor WA setelah dibersihkan: '6287758080333' (Tipe: string)</t>
  </si>
  <si>
    <t>ORDER UPDATED: UPDATE-ORD-920</t>
  </si>
  <si>
    <t>Trigger: #inputorder#
Data Pesanan Jasa Iklan UMKM
Data Pemesan
----
Tanggal: 24-Nov-2025
Nama: Rangga
Nama Usaha: Internet/wifi indihome 
Jenis Usaha: Pemasangan baru internet/wifi indihome 
No Whatsapp Bisnis: 6285167231114
Alamat: Jalan MT Haryono Balikpapan Sukuraja sepaku IKN
Durasi: 5
Deskripsi produk/jasa: Menerima pemasangan baru internet Indihome 
*Keunggulan usaha*: Jaringan stabil, harga murah &amp; flat, wifi tidak lemot 
Promo: internet murah mulai dari 190.000 
Data Target Iklan
----
Lokasi: Balikpapan, Sukaraja, IKN, Grogot, Batu kajang
Usia: 18 -55 tahun 
Jenis kelamin: Bebas
Data Pembayaran
----
Total Bayar: 197000
Cs: Tika 
Status: Perpanjang</t>
  </si>
  <si>
    <t>ORDER UPDATED: UPDATE-ORD-1424</t>
  </si>
  <si>
    <t>Trigger: #inputlaporan#
Laporan CS Jasa Iklan UMKM
------- 
Nama CS: Rina
Tanggal: 23-Nov-2025
Leads:
Jumlah Closing: 
Paket 1: 
Paket 2: 
Paket 3: 
Paket 4: 
Paket 5: 
Repeat Paket 1:
Repeat Paket 2: 
Repeat Paket 3: 
Repeat Paket 4: 
Repeat Paket 5: 
Catatan:</t>
  </si>
  <si>
    <t>Trigger: #inputlaporan#
Laporan CS Jasa Iklan UMKM
------- 
Nama CS: Yuni
Tanggal: 24-Nov-2025
Leads:
Jumlah Closing: 1
Paket 1: 
Paket 2: 
Paket 3: 
Paket 4: 
Paket 5: 
Repeat Paket 1:1
Repeat Paket 2: 
Repeat Paket 3: 
Repeat Paket 4: 
Repeat Paket 5: 
Catatan:</t>
  </si>
  <si>
    <t>Trigger: #inputlaporan#
Laporan CS Jasa Iklan UMKM
------- 
Nama CS: Tika
Tanggal: 24-Nov-2025
Leads:3
Jumlah Closing:1
Paket 1: 
Paket 2: 
Paket 3: 
Paket 4: 
Paket 5: 
Repeat Paket 1: 1
Repeat Paket 2: 
Repeat Paket 3: 
Repeat Paket 4: 
Repeat Paket 5: 
Catatan:
2 nores
1 tanya tanya</t>
  </si>
  <si>
    <t>Trigger: #inputorder#
Data Pesanan Jasa Iklan UMKM
Data Pemesan
----
Tanggal: 23-Nov-2025
Nama: Chandra 
Nama Usaha: Mandiri pool
Jenis Usaha: Jasa pembuatan kolam berenang dan kolam koi
Alamat usaha:Medan Marelan pasar.2 barat gg utama no.102
No Whatsapp Bisnis:6282160932266
Durasi:10
Deskripsi produk/jasa: melayani pembuatan kolam renang dan kolam koi
Keunggulan: material berkualitas tinggi,desain menarik,ramah lingkungan,di kerjakan oleh tenaga ahli 
Data Target Iklana
----
Lokasi: Medan,Aceh, Sumatra 
Usia:30-55 tahun
Jenis kelamin:bebas
Data Pembayaran
----
Total Bayar: 375000
Cs: Maya
Status: Baru</t>
  </si>
  <si>
    <t>Memeriksa nomor WA setelah dibersihkan: '6282160932266' (Tipe: string)</t>
  </si>
  <si>
    <t>Cashflow saved for 6282160932266</t>
  </si>
  <si>
    <t>ORDER SAVED: ID-1764034005715</t>
  </si>
  <si>
    <t>Trigger: #inputorder#
Data Pesanan Jasa Iklan UMKM
Data Pemesan
----
Tanggal: 24-Nov-2025
Nama: Reza
Nama Usaha: FRZ properti 
Jenis Usaha: agen properti 
Alamat usaha: jalan sedap malam no 32
No Whatsapp Bisnis:6281232240833
Durasi: 30
Deskripsi produk/jasa:
Keunggulan: lokasi di pusat kota Bandung,harga di bawah pasar
Keunikan: bangunan kolonial, tempat tinggalnya orang kaya bandung 
Promo : buka harga 18,6M masih nego
Data Target Iklan
----
Lokasi: kota bandung 
Usia: 40 ke atas 
Jenis kelamin: laki dan perempuan 
Data Pembayaran
----
Total Bayar: 1000000
Cs: Maya
Status: Baru</t>
  </si>
  <si>
    <t>Memeriksa nomor WA setelah dibersihkan: '6281232240833' (Tipe: string)</t>
  </si>
  <si>
    <t>Cashflow saved for 6281232240833</t>
  </si>
  <si>
    <t>ORDER SAVED: ID-1764034054067</t>
  </si>
  <si>
    <t>Trigger: #inputorder#
Data Pesanan Jasa Iklan UMKM 
Data Pemesan
Tanggal: 25-Nov-2025
Nama: INUNG
Nama Usaha: CLEAN UP LAUNDRY
Jenis Usaha: LAUNDRY EXPRESS
No Whatsapp Bisnis:6283114705844
Alamat usaha: outlet 1 jl. Kol sugiono no. 31 (depan bakso balungan) 
Outlet 2 jl bausasran 67 
Depan techno partner
Deskripsi produk/jasa:
*Keunggulan usaha (wajib):*
-  *1mesin 1 customer dan tdk dijemur*
- *free antar jemput cucian*
- *Menggunakan setrika uap.*
*keunikan usaha (wajib):*1 hari langsung jadi*
Promo : 6rb free antar jemput 
Data Target Iklan 
Lokasi:
Usia:
Jenis kelamin:
Durasi:5
Data Pembayaran
----
Total Bayar: 197000
Cs: Yuni
Status:Baru</t>
  </si>
  <si>
    <t>Memeriksa nomor WA setelah dibersihkan: '6283114705844' (Tipe: string)</t>
  </si>
  <si>
    <t>Cashflow saved for 6283114705844</t>
  </si>
  <si>
    <t>ORDER SAVED: ID-1764036911803</t>
  </si>
  <si>
    <t>Trigger: #inputorder#
Data Pesanan Jasa Iklan UMKM
Data Pemesan
----
Tanggal: 25-Nov-2025
Nama: Aria Junior 
Nama Usaha: Batu Bata Bermutu Bagus 
Jenis Usaha: Bahan Bangunan 
No Whatsapp Bisnis: 6281364568015
Alamat: Jln Raya Padang Bukittinggi no 25 Parit Malintang 
Durasi: 5
Deskripsi produk/jasa: Batu Bata ukuran standar dan super 
Keunggulan: Bata Super dan Kokoh 
Keunikan: Dibuat secara manual, tahan kena hujan dan tahan kepanasan. bertahun kena hujan pun tak akan hancur
Data Target Iklan
----
Lokasi: Sumbar, Padang dan Sekitarnya 
Usia: 25 th ke atas 
Jenis kelamin: laki-laki dan perempuan 
Data Pembayaran
----
Total Bayar: 197000
Cs: Isna
Status: Baru</t>
  </si>
  <si>
    <t>Memeriksa nomor WA setelah dibersihkan: '6281364568015' (Tipe: string)</t>
  </si>
  <si>
    <t>Cashflow saved for 6281364568015</t>
  </si>
  <si>
    <t>ORDER SAVED: ID-1764047441428</t>
  </si>
  <si>
    <t>Trigger: #inputorder#
Data Pesanan Jasa Iklan UMKM
Data Pemesan
----
Tanggal: 25-Nov-2025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</si>
  <si>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Memeriksa nomor WA setelah dibersihkan: '6287856230745' (Tipe: string)</t>
  </si>
  <si>
    <t>ORDER UPDATED: UPDATE-ORD-353</t>
  </si>
  <si>
    <t>Trigger: #inputlaporan#
Laporan CS Jasa Iklan UMKM
------- 
Nama CS: Rina
Tanggal: 24-Nov-2025
Leads:4
Jumlah Closing:
Paket 1: 
Paket 2: 
Paket 3: 
Paket 4: 
Paket 5: 
Repeat Paket 1: 
Repeat Paket 2: 
Repeat Paket 3: 
Repeat Paket 4: 
Repeat Paket 5: 
Catatan:
3 nores
1 cs lain</t>
  </si>
  <si>
    <t>Trigger: #inputlaporan#
Laporan CS Jasa Iklan UMKM
------- 
Nama CS: Yuni
Tanggal: 25-Nov-2025
Leads:2
Jumlah Closing: 2
Paket 1: 1
Paket 2: 
Paket 3: 
Paket 4: 
Paket 5: 
Repeat Paket 1:
Repeat Paket 2: 1
Repeat Paket 3: 
Repeat Paket 4: 
Repeat Paket 5: 
Catatan:
1 tanya2
1 no respon</t>
  </si>
  <si>
    <t>Trigger: #inputlaporan#
Laporan CS Jasa Iklan UMKM
------- 
Nama CS: Isna
Tanggal: 24-Nov-2025
Leads:6
Jumlah Closing:
Paket 1: 
Paket 2: 
Paket 3: 
Paket 4: 
Paket 5: 
Repeat Paket 1:
Repeat Paket 2: 
Repeat Paket 3: 
Repeat Paket 4: 
Repeat Paket 5:
Catatan:
2 nores
2 tanya-tanya 
1 cek harga
1 belum isi data</t>
  </si>
  <si>
    <t>Trigger: #inputorder#
Data Pesanan Jasa Iklan UMKM
Data Pemesan
----
Tanggal: 25-Nov-2025
Nama: Joko Susanto 
Nama Usaha: Alhijaz Indowisata 
Jenis Usaha: Travel Umroh dan Haji Khusus 
No Whatsapp Bisnis: 6281558225822
Alamat: Graha Alhijaz. Jl Dewi Sartika No 239A Cawang - Jakarta 
Durasi: 7
Deskripsi produk/jasa: 
*Keunggulan usaha (wajib):*
*Alhijaz Indowisata:*
*1. Pasti Travel nya resmi berizin KEMENAG*
*2. Pasti Jadwal keberangkatannya*
*3. Pasti Visa Umroh dan Hajinya*
*4. Pasti Pesawatnya direct/tanpa transit*
*5. Pasti hotelnya nyaman.*
*6. Pasti gedungnya 4 lantai milik sendiri  dan tersedia aula khusus untuk Manasik.*
*keunikan usaha (wajib):*
*UMROH PROMO AWAL TAHUN*
Promo:
*💥UMROH PROMO REGULER AWAL TAHUN 2026 🔥*
Mau Umroh Awal Tahun dengan Harga TERJANGKAU?
Ini saatnya! 1 Januari 2026 – 9 Hari, berangkat di awal tahun dengan fasilitas lengkap dan hotel berbintang!
💥 Harga Mulai Rp 28,5 Juta!
• Quad: 28,5 JT
• Triple: 29,5 JT
• Double: 31,5 JT
⭐ Hotel Mekkah: Le Meridien Tower
⭐ Hotel Madinah: Al Ritz Al Madinah / Setaraf
KENAPA HARUS AMBIL SEKARANG?
✔ Harga promo — bisa naik kapan saja
✔ Seat terbatas, rebutan seluruh Indonesia
✔ Paket sudah SUPER lengkap: tiket PP, transport bus AC, citytour, makan fullboard, 2x umrah, manasik, mutawif Indonesia, air zamzam, perlengkapan, handling
✔ FREE Ayam Albaik + Asuransi Syariah
Jangan tunggu penuh. Jangan tunggu harga naik.
Yang cepat pasti dapat!
*Alhijaz Indowisata melayani Umroh bersama Keluarga, Perusahaan, Majlis maupun Umroh Private dimana anda bisa memilih sendiri pesawat, hotel dan jadwalnya*
Data Target Iklan
----
Lokasi: Jakarta, Bogor, Depok, Tangerang, Bekasi, Cilegon, Anyer, Serang, Cikarang, Cibitung, Karawang, Indramayu, Cianjur, Cimahi, Sukabumi, Purwakarta, Bandung, Kuningan, Kepulauan Seribu, Cirebon.
Usia: 25-70 th
Jenis kelamin: laki-laki dan perempuan 
Data Pembayaran
----
Total Bayar: 297000
Cs: Isna
Status: Perpanjang</t>
  </si>
  <si>
    <t>Memeriksa nomor WA setelah dibersihkan: '6281558225822' (Tipe: string)</t>
  </si>
  <si>
    <t>ORDER UPDATED: UPDATE-ORD-633</t>
  </si>
  <si>
    <t>Trigger: #inputlaporan#
Laporan CS Jasa Iklan UMKM
------- 
Nama CS: Isna 
Tanggal: 25-Nov-2025
Leads:5
Jumlah Closing:2
Paket 1:1
Paket 2: 
Paket 3: 
Paket 4: 
Paket 5: 
Repeat Paket 1:
Repeat Paket 2:1
Repeat Paket 3: 
Repeat Paket 4: 
Repeat Paket 5:
Catatan:
2 nores
1 cek harga 
1 tanya-tanya 
1 belum ada uang</t>
  </si>
  <si>
    <t>Trigger: #inputorder#
Data Pesanan Jasa Iklan UMKM
Data Pemesan
----
Tanggal: 26-Nov-2025
Nama: Sumini Mitro Suwarno 
Nama Usaha: Rumah Sehat Tradisional Holistic "AZELA"
Jenis Usaha: Kesehatan Tradisional 
No Whatsapp Bisnis: 6281316122975
Alamat: Ruko Megalegenda 2 Blok D3 no 15 Batam Center 
Durasi: 5
Deskripsi produk/jasa: 
Menangani patah tulang, treatment perut + masker, treatment pasca melahirkan, lulur/body scrub, pijat tradisional, perawatan stroke, bekam tanduk, bekam api, hijamah dll
Data Target Iklan
----
Lokasi: Batam
Usia: semua umur 
Jenis kelamin: laki-laki dan perempuan 
Data Pembayaran
----
Total Bayar: 197000
Cs: Isna
Status: Perpanjang</t>
  </si>
  <si>
    <t>ORDER UPDATED: UPDATE-ORD-948</t>
  </si>
  <si>
    <t>Trigger: #inputorder#
Data Pesanan Jasa Iklan UMKM
Data Pemesan
----
Tanggal: 26-Nov--2025
Nama: Iyan Mulyana
Nama Usaha: Jasa Bangun Asri 
Jenis Usaha: Kontraktor 
No Whatsapp Bisnis: 6282119195533
Alamat: Jl Masjid Jami Al Ikhwan Samarang Garut
Durasi: 10
Deskripsi produk/jasa: 
Jasa Bangun Asri merupakan kontraktor handal , terpercaya dan berpengalaman . Anda tidak perlu meragukan lagi kualitas kami , karena sudah terbukti dari banyaknya hasil proyek pembangunan dan renovasi hunian rumah yang telah kami kerjakan , semua customer kami sangat puas dan senang dengan hasil nya karena sesuai dengan design dan Rab proyek . Waktu kerja nya juga sesuai kesepakatan kontrak kerja. 
Jasa Bangun Asri  juga melayani jasa berikut ini : 
1. Pembagunan dari 0 (ahli struktur 1- 4 lantai )
2. Renovasi sebagian atau Total 
3. Bangun Dapur rumah cluster dan subsidi 
4. Penambahan Ruangan 
5. Jasa Design rumah &amp; Buat RAB
6. Pemasangan / ganti Atap Bajaringan
7. Pasang Plafond 
8. Perbaikan kebocoran dan lainnya 
Layanan Free yang diberikan : 
1. Free Konsultasi 
2. Free survei dan design 3D &amp; RAB* (jika memilih jasa bangun asri sebagai Kontraktor nya ) 
3. Pembayaran Fleksibel (Termin by progress)
4. Bergaransi maksimal 3 bulan 
5. Budget bisa menyesuaikan (Akan disesuaikan juga dengan luas bangunan dan spesifikasi material nya ) 
Web :https://www.jasabangunasri.com
Tiktok : https://www.tiktok.com/@jasa_bangun_asri?_t=8r1wxt9TQrx&amp;_r=1
Alamat Kami : 
https://maps.app.goo.gl/QzJhpjwhQvCK771Y7
Data Target Iklan
----
Lokasi: Bandung, Garut, Jabodetabek 
Usia: 30-70 th
Jenis kelamin: laki-laki dan perempuan 
Data Pembayaran
----
Total Bayar:375000
Cs: Isna
Status: Perpanjang</t>
  </si>
  <si>
    <t>Memeriksa nomor WA setelah dibersihkan: '6282119195533' (Tipe: string)</t>
  </si>
  <si>
    <t>ORDER UPDATED: UPDATE-ORD-1179</t>
  </si>
  <si>
    <t>Trigger: #inputorder#
Data Pesanan Jasa Iklan UMKM
Data Pemesan
----
Tanggal: 26-Nov-2025
Nama: Arfi
Nama Usaha: AJP Arfi jaya perkasa 
Jenis Usaha: Jasa sewa lift cor dan molen 
No Whatsapp Bisnis: 6289673319845
Alamat usaha: Mranggen Demak 
Durasi: 5
Deskripsi produk/jasa: Sewa lift cor dan molen bangunan + tenaga juga bisa alat" komplit 
*Keunggulan usaha*: Bisa masuk gang sempit
*Keunikan usaha*: Pengecoran tidak membutuhkan orang lebih dari 10 sampai 30 
Data Target Iklan
----
Lokasi: Semarang
Usia: 20 tahun ke atas
Jenis kelamin: semua
Data Pembayaran
----
Total Bayar: 197000
Cs: Tika 
Status: Perpanjang</t>
  </si>
  <si>
    <t>ORDER UPDATED: UPDATE-ORD-1517</t>
  </si>
  <si>
    <t>Trigger: #inputorder#
Data Pesanan Jasa Iklan UMKM
Data Pemesan
----
Tanggal: 26-Nov-2025
Nama: Nur Cholis 
Nama Usaha: Oma Property 
Jenis Usaha: Kontraktor 
No Whatsapp Bisnis: 6283824541579
Alamat usaha: Office di perumtas 5 blok G 45 Prambon Sidoarjo 
Durasi: 14
Deskripsi produk/jasa: Jasa Bangun rumah dari nol, kos-kosan, Ruko, renovasi total/ sebagian, Desain Arsitektur &amp; interior, Gambar kerja &amp; hitungan struktur, Pemasangan plafon, atap, lantai, dinding, listrik dan plumbing, Konsultasi material dan budget
*Keunggulan usaha*:
- Tim Berpengalaman dan terpercaya
- RAB jelas, harga transparan 
- Desain bisa custom sesuai keinginan 
- hasil rapih &amp; tepat waktu 
- garansi pekerjaan 
*Keunikan usaha*: Free Design, Free konsultasi, dan free survei 
Promo: Harga mulai dari 2.700.000 per meternya 
Data Target Iklan
----
Lokasi: Sidoarjo dan Surabaya 
Usia: 27-60 tahun 
Jenis kelamin: Laki laki dan perempuan 
Data Pembayaran
----
Total Bayar: 550000
Cs: Tika 
Status: Perpanjang</t>
  </si>
  <si>
    <t>Memeriksa nomor WA setelah dibersihkan: '6283824541579' (Tipe: string)</t>
  </si>
  <si>
    <t>ORDER UPDATED: UPDATE-ORD-961</t>
  </si>
  <si>
    <t>Memeriksa nomor WA setelah dibersihkan: '6285210436926' (Tipe: string)</t>
  </si>
  <si>
    <t>Trigger: #inputlaporan#
Laporan CS Jasa Iklan UMKM
------- 
Nama CS: Rina
Tanggal: 25-Nov-2025
Leads:4
Jumlah Closing:
Paket 1:
Paket 2: 
Paket 3: 
Paket 4: 
Paket 5: 
Repeat Paket 1:
Repeat Paket 2:
Repeat Paket 3: 
Repeat Paket 4: 
Repeat Paket 5:
Catatan:
2 nores
1 belum kirim video
1 cs lain</t>
  </si>
  <si>
    <t>Trigger: #inputlaporan#
Laporan CS Jasa Iklan UMKM
------- 
Nama CS: Yuni
Tanggal: 26-Nov-2025
Leads:4
Jumlah Closing: 1
Paket 1: 
Paket 2: 
Paket 3: 
Paket 4: 
Paket 5: 
Repeat Paket 1:
Repeat Paket 2: 1
Repeat Paket 3: 
Repeat Paket 4: 
Repeat Paket 5: 
Catatan:
3 tanya2</t>
  </si>
  <si>
    <t>Trigger: #inputlaporan#
Laporan CS Jasa Iklan UMKM
------- 
Nama CS: Isna
Tanggal: 26-Nov-2025
Leads:6
Jumlah Closing:2
Paket 1:1
Paket 2: 
Paket 3: 
Paket 4: 
Paket 5: 
Repeat Paket 1:1
Repeat Paket 2: 
Repeat Paket 3: 
Repeat Paket 4: 
Repeat Paket 5:
Catatan:
2 nores
3 cek harga 
1 tanya-tanya</t>
  </si>
  <si>
    <t>Trigger: #inputlaporan#
Laporan CS Jasa Iklan UMKM
------- 
Nama CS: Tika 
Tanggal: 26-Nov-2025
Leads:1
Jumlah Closing:2
Paket 1:
Paket 2: 
Paket 3: 
Paket 4: 
Paket 5: 
Repeat Paket 1:1
Repeat Paket 2: 
Repeat Paket 3: 1
Repeat Paket 4: 
Repeat Paket 5:
Catatan:
1 cek harga</t>
  </si>
  <si>
    <t>Trigger: #inputorder#
Data Pesanan Jasa Iklan UMKM
Data Pemesan
----
Tanggal: 26-Nov-2025
Nama:Abdul Wahid Santoso 
Nama Usaha: penjualan e-book peluang bisnis 
Jenis Usaha: penjualan e-book peluang bisnis 
Alamat usaha: perum grand Kartika A19 Lumajang Jawa Timur 
No Whatsapp Bisnis:6285210436926
Durasi: 5
Deskripsi produk/jasa:
Keunggulan: e-book data peluang bisnis akurat
Keunikan: 
Data di sajikan sangat lengkap dan mudah di pahami
Disertai kontak langsung ke owner usaha
Promo: 
diskon 50% 
Data Target Iklan
----
Lokasi: Jabodetabek, bandung, Surabaya, Semarang, Jogja 
Usia:25-45 Tahun 
Jenis kelamin:laki dan perempuan 
Data Pembayaran
----
Total Bayar: 197000
Cs: Maya
Status: Baru</t>
  </si>
  <si>
    <t>ORDER UPDATED: UPDATE-ORD-1552</t>
  </si>
  <si>
    <t>Trigger: #inputorder#
Data Pesanan Jasa Iklan UMKM
Data Pemesan
----
Tanggal: 27-Nov-2025
Nama: Bu Nonik
Nama Usaha: Pijet urat &amp; pijet kesehatan 
Jenis Usaha: pijet dan terapi kesehatan 
No Whatsapp Bisnis: 6288802749485
Alamat: Bedingin wetan, jalan Simpang lantai 2 rumah kost Cebongan asri 
Durasi: 5
Deskripsi produk/jasa: Bekam, sauna, lulur,pijet kesehatan dan kebugaran, terapi berbagai penyakit yang berhubungan dengan urat
*Keunggulan usaha*: Sudah banyak yang membuktikan dan rekomended 
*Keunikan usaha*: Sedia kopi khusu kejantanan untuk mengobati Mr P yang loyo 
Promo: Jual obat kuat lelaki dan obat kencing nanah, harga terjangkau dan bersahabat 
Data Target Iklan
----
Lokasi: Bantul dan Sleman 
Usia: dari balita, remaja, orang dewasa, tua maximal 80 tahun 
Jenis kelamin: semua 
Data Pembayaran
----
Total Bayar: 197000
Cs: Tika 
Status: Baru</t>
  </si>
  <si>
    <t>Memeriksa nomor WA setelah dibersihkan: '6288802749485' (Tipe: string)</t>
  </si>
  <si>
    <t>Cashflow saved for 6288802749485</t>
  </si>
  <si>
    <t>ORDER SAVED: ID-1764237456373</t>
  </si>
  <si>
    <t>Trigger: Bimbel antusias</t>
  </si>
  <si>
    <t>Memeriksa nomor WA setelah dibersihkan: '6282154318629' (Tipe: string)</t>
  </si>
  <si>
    <t>Trigger: #inputorder#
Data Pesanan Jasa Iklan UMKM
Data Pemesan
Tanggal: 27-Nov-2025
Nama: arjuna
Nama Usaha: arjuna trevel tour
Jenis Usaha: wisata pulau seribu
No Whatsapp Bisnis:6282154318629
Alamat usaha: pulau Harapan Rt 03 Rw 02 kec pulau seribu utara 
Deskripsi produk/jasa:
*Keunggulan usaha (wajib):*
*keunikan usaha (wajib):*
Promo:
Data Target Iklan 
Lokasi: Jabodetabek 
Usia: 20-55
Jenis kelamin: semua 
Durasi:5
Data Pembayaran
----
Total Bayar: 197000
Cs: Yuni
Status: Perpanjang</t>
  </si>
  <si>
    <t>ORDER UPDATED: UPDATE-ORD-1554</t>
  </si>
  <si>
    <t>Trigger: #inputorder#
Data Pesanan Jasa Iklan UMKM
Data Pemesan
----
Tanggal: 26-Nov-2025
Nama: Khoirotun Nasekha
Nama Usaha: Pelatihan Fasdhu Basic
Jenis Usaha: Pelatihan Fasdhu 
No Whatsapp Bisnis: 6289529314651
Alamat : Hotel Muria Semarang Jalan Dokter Cipto no 73 Sari Rejo Kota Semarang 
Durasi: 5
Deskripsi produk/jasa: keunggulan Usaha: Bersertifikat 
Keunikan Usaha: Jasa terapi lengkap
"✨ *Pelatihan FASHDU Dasar dan Pendalaman – Tingkatkan Keahlian Anda!* ✨
👉Ingin mempelajari ilmu Fashdu dari dasar atau memperdalam teknik Fashdu yang sudah Anda miliki?
👉Sudah paham teori tapi belum kunjung bisa atau lancar teknis penusukan fashdu ?
&gt; Teknis Penusukan Fashdu memang dikenal agak sulit alias tidak mudah.. karena itulah perlu pelatihan khusus kelas tersendiri.
&gt; Pengalaman bertahun - tahun menangani berbagai lika liku kendala dan solusinya dalam teknis penusukan fashdu kami akan  berbagi kepada anda
 Kami hadirkan *Pelatihan FASHDU Dasar dan Pendalaman* yang dirancang khusus untuk *umum, terapis, dan tenaga kesehatan* yang ingin meningkatkan kemampuan di bidang terapi kesehatan tradisional.
🌿 *Materi Pelatihan:*
✅ Teknik  Fashdu dasar untuk pemula.
✅ Pendalaman metode  / Tehnik Fashdu profesional.
✅ Manfaat  Fashdu untuk kesehatan tubuh.
✅ Standar kebersihan dan keamanan dalam praktik fashdu / SOP praktek Fashdu 
✅Dan masih banyak lagi pembahasan materi terkait Fashdu ini,yg akan kita kupas tuntas di pelatihan nanti.
💡 *Mengapa Anda Harus Bergabung?*
- Dibimbing langsung oleh instruktur berpengalaman dan Bersertifikasi BNSP level 4.
- Trainerny merupakan exs. pengajar Perkuliahan D1 Kesehatan Tradisional di sebuah Lembaga ternama selama 5 periode.
- Sertifikat resmi sebagai bekal profesional.
- Materi lengkap dari teori hingga praktik.
📜 *Siapa yang Bisa Ikut?*
- Anda yang baru ingin belajar Fashdu / Pemula.
- Terapis yang ingin mengasah keahlian/ Meningkatkan skil keahlian Ilmu fashdu.
- Tenaga kesehatan yang ingin menambah keterampilan.
Jadikan kesempatan ini sebagai langkah awal untuk menjadi praktisi Fashdu  yang profesional dan terpercaya. Yuk, daftar sekarang! 🌟"
Data Target Iklan
----
Lokasi: 
Demak
Mranggen 
Semarang  
Pedurungan 
Ungaran 
Pati 
Rembang 
Purwodadi 
Kudus
Usia: 20 th keatas 
Jenis kelamin: laki-laki dan perempuan 
Data Pembayaran
----
Total Bayar: 197000
Cs: Isna
Status: Baru</t>
  </si>
  <si>
    <t>Memeriksa nomor WA setelah dibersihkan: '6289529314651' (Tipe: string)</t>
  </si>
  <si>
    <t>Cashflow saved for 6289529314651</t>
  </si>
  <si>
    <t>ORDER SAVED: ID-1764253987403</t>
  </si>
  <si>
    <t>Trigger: #inputlaporan#
Laporan CS Jasa Iklan UMKM
------- 
Nama CS: Rina
Tanggal: 26-Nov-2025
Leads:3
Jumlah Closing:
Paket 1:
Paket 2: 
Paket 3: 
Paket 4: 
Paket 5: 
Repeat Paket 1:
Repeat Paket 2: 
Repeat Paket 3: 
Repeat Paket 4: 
Repeat Paket 5:
Catatan:
3 cs lain</t>
  </si>
  <si>
    <t>Trigger: #inputlaporan#
Laporan CS Jasa Iklan UMKM
------- 
Nama CS: Yuni
Tanggal: 27-Nov-2025
Leads:1
Jumlah Closing: 1
Paket 1: 
Paket 2: 
Paket 3: 
Paket 4: 
Paket 5: 
Repeat Paket 1:1
Repeat Paket 2: 
Repeat Paket 3: 
Repeat Paket 4: 
Repeat Paket 5: 
Catatan:
1 tanya2</t>
  </si>
  <si>
    <t>Trigger: #inputorder#
Data Pesanan Jasa Iklan UMKM
Data Pemesan
Tanggal:28-Nov-2025
Nama:*Gunawan*
Nama Usaha:*CV.BAGUS DAN EVI TRANS*
Jenis Usaha:*Sewa Mobil plus driver*
No Whatsapp Bisnis:6281357754513
Alamat usaha: *( Jalan Masjid baitus salam,Beciro,Jumputrejo,Sukodono, Sidoarjo)*
Deskripsi produk/jasa:
*Keunggulan usaha (wajib):*CV.BAGUS DAN EVI TRANS adalah Perusahaan jasa Persewaan kendaraan plus driver,Dengan armada terbaru,mulai dari Avanza, innova reborn, Zenik Hybrid, Hiace comuter, hiace premio,alphard dll*
*keunikan usaha (wajib):Berlegalitas resmi PKP,cocok untuk Instansi pemerintah, perusahaan2 swasta,bumn dan juga orang pribadi yang memerlukan efaktur pajak*
Promo:*Customer yang baru booking pertama kali,diskon 50k-100k per hari*
Data Target Iklan 
Lokasi:Dari radius lokasi kita 50 km
Usia:25-55 thn
Jenis kelamin:laki2 &amp; perempuan 
Durasi:30
Data Pembayaran
----
Total Bayar: 1000000
Cs: Yuni
Status: Perpanjang</t>
  </si>
  <si>
    <t>Memeriksa nomor WA setelah dibersihkan: '6281357754513' (Tipe: string)</t>
  </si>
  <si>
    <t>Cashflow saved for 6281357754513</t>
  </si>
  <si>
    <t>ORDER SAVED: ID-1764300610051</t>
  </si>
  <si>
    <t>Trigger: #inputorder#
Data Pesanan Jasa Iklan UMKM
Data Pemesan
Tanggal:28-Nov-2025
Nama: MAS DEDE
Nama Usaha: UD WIJAYA GIPSUM 
Jenis Usaha: plavon
No Whatsapp Bisnis:6281243260218
Alamat usaha: jalan jendral Sudirman no. 5 Simpong,Luwuk Banggai (depan Roti O Simpong)
Deskripsi produk/jasa: menjual berbagai list-list Gipsum
menerima pemasangan plafon gypsum, PVC,profil beton, molding,atap baja ringan dll
*Keunggulan usaha (wajib):Tim berpengalaman dan ahli dari bandung*
*keunikan usaha (wajib):*
Promo:
Data Target Iklan 
Lokasi: Luwuk,Sulawesi Tengah 
Usia: 18-60
Jenis kelamin:semua
Durasi:14
Data Pembayaran
----
Total Bayar: 550000
Cs: Yuni
Status: Perpanjang</t>
  </si>
  <si>
    <t>Memeriksa nomor WA setelah dibersihkan: '6281243260218' (Tipe: string)</t>
  </si>
  <si>
    <t>ORDER UPDATED: UPDATE-ORD-613</t>
  </si>
  <si>
    <t>Trigger: #inputlaporan#
Laporan CS Jasa Iklan UMKM
------- 
Nama CS: Tika 
Tanggal: 27-Nov-2025
Leads:2
Jumlah Closing:1
Paket 1:1
Paket 2: 
Paket 3: 
Paket 4: 
Paket 5: 
Repeat Paket 1:
Repeat Paket 2: 
Repeat Paket 3: 
Repeat Paket 4: 
Repeat Paket 5:
Catatan:
2 nores</t>
  </si>
  <si>
    <t>Trigger: #inputorder#
Data Pesanan Jasa Iklan UMKM
Data Pemesan
----
Tanggal: 28-Nov-2025
Nama: Hariyanto
Nama Usaha: Kharisma Tour
Jenis Usaha: Biro Umroh Haji
No Whatsapp Bisnis: 6282295851975
Alamat usaha: Jl. Ahmad Yani No 335 Manahan, Surakarta
Durasi: 5
Deskripsi produk/jasa: 
🕌 FLASH SALE UMROH AKHIR TAHUN! 🕌
Tutup Tahun Dengan Ibadah Penuh Berkah
❌ HARGA NORMAL: Rp 35.000.000
✅HARGA SPESIAL: Rp 30.650.000!
⏳ SISA KUOTA TINGGAL 6 SEAT lagi saja!
Bisa memanfaatkan program Umroh Dulu, Bayar Belakangan, Tanpa Jaminan
📞 Hubungi leneral Manager Kharisma Tour untuk mendapatkan TAMBAHAN DISCOUNT di nomor 082295851975
⚠️ PERHATIAN
Program akan BERAKHIR otomatis setelah kuota 6 seat terpenuhi! Tidak ada perpanjangan waktu.
Jangan tunda niat mulia Anda! Kuota sangat terbatas, kenyamanan ibadah Anda menjadi prioritas kami.
👉 Kontak sekarang juga langsung ke GM KHARISMA Tour, di nomor 082295851975
Kharisma Tour
• Ijin lengkap dan resmi dari Kemenag RI untuk Haji dan Umroh
• Perusahaan Terakreditasi A dengan layanan Umroh dan Haji terbaik
• Gedung Perusahaan milik sendiri (tidak kontrak)
Data Target Iklan
----
Lokasi: Surakarta, Karanganyar, Sragen, Boyolali, Klaten, Sukoharjo, Wonogiri, Purwodadi
Usia: 35 - 50 tahun
Jenis kelamin: Laki-laki dan perempuan
Data Pembayaran
----
Total Bayar: 197000
Cs: Rina
Status: Perpanjang</t>
  </si>
  <si>
    <t>Memeriksa nomor WA setelah dibersihkan: '6282295851975' (Tipe: string)</t>
  </si>
  <si>
    <t>ORDER UPDATED: UPDATE-ORD-1495</t>
  </si>
  <si>
    <t>Trigger: #inputorder#
Data Pesanan Jasa Iklan UMKM
Data Pemesan
Tanggal: 28-Nov-2025
Nama: Sasanti Auk Murat
Nama Usaha: Beyond Lights
Jenis Usaha: *Wellbeing*
No Whatsapp Bisnis:6281385926707
Alamat usaha: *Jl. Lembah pinus no.28 bukit golf hijau, sentul city, bogor.*
Deskripsi produk/jasa: 
*Banyak manusia memiliki problem yang berulang dan kehidupannya tidak bertumbuh sesuai impian. Itu karena mereka masih memiliki cerita lama yang belum disembuhkan atau tidak mau disembuhkan karena mereka takut merasakan traumanya.  Kebaikan tidak masuk di kehidupan yang energinya tidak bersih, karena sistem magnet selalu bekerja dengan jenis energi yang sama. Kebaikan menarik kebaikan, begitupun sebaliknya.*
*Kalau mau sukses harus mau sembuh. Sama saja seperti kita mau sehat, kita harus mau berobat.*
*Keunggulan usaha (wajib):* *Personal touch dan memberikan proses penyembuhan dari sumber akar problem. dan memberikan energi didalam sistem emosi untuk di transformasikan menjadi hasil yang baru*
*keunikan usaha (wajib):* *Spesialisasi trauma antar generasi dan pernafasan untuk manifestasi hasil terbaik lahir batin*
Promo: *dari harga 600.000 menjadi 150.000 untuk 50 pendaftar pertama*
Data Target Iklan 
Lokasi: Kota besar diseluruh indonesia
Usia: 25-50 tahun
Jenis kelamin: 85% wanita, 15% pria
Durasi:7
Data Pembayaran
----
Total Bayar: 297000
Cs: Yuni
Status:Baru</t>
  </si>
  <si>
    <t>Memeriksa nomor WA setelah dibersihkan: '6281385926707' (Tipe: string)</t>
  </si>
  <si>
    <t>Cashflow saved for 6281385926707</t>
  </si>
  <si>
    <t>ORDER SAVED: ID-1764311115873</t>
  </si>
  <si>
    <t>Trigger: #inputorder#
Data Pesanan Jasa Iklan UMKM
Data Pemesan
Tanggal:28-Nov-2025
Nama: Aliasming
Nama Usaha: PT. Rizmia Sejahtera Selalu 
Jenis Usaha: kontruksi 
No Whatsapp Bisnis:6281376129355
Alamat usaha: Kavling patam madani 02 Blok B no 18 kelurahan patam lestari Sekupang kota Batam Kepri
Deskripsi produk/jasa: jasa pemasangan keramik plafon dan instalasi listrik dan bangunan lainnya 
*Keunggulan usaha (wajib):*
*keunikan usaha (wajib):*
Promo:
Data Target Iklan 
Lokasi: Batam Tanjung pinang, Tanjung Balai Karimun Kepulauan Riau.
Usia:25-65
Jenis kelamin: semua
Durasi:7
Data Pembayaran
----
Total Bayar: 297000
Cs: Yuni
Status: Perpanjang</t>
  </si>
  <si>
    <t>Memeriksa nomor WA setelah dibersihkan: '6281376129355' (Tipe: string)</t>
  </si>
  <si>
    <t>ORDER UPDATED: UPDATE-ORD-757</t>
  </si>
  <si>
    <t>Trigger: #inputlaporan#
Laporan CS Jasa Iklan UMKM
------- 
Nama CS: Yuni
Tanggal: 28-Nov-2025
Leads:
Jumlah Closing: 4
Paket 1: 1
Paket 2: 
Paket 3: 
Paket 4: 
Paket 5: 
Repeat Paket 1:1
Repeat Paket 2: 
Repeat Paket 3: 1
Repeat Paket 4: 
Repeat Paket 5: 1
Catatan:</t>
  </si>
  <si>
    <t>Trigger: #inputlaporan#
Laporan CS Jasa Iklan UMKM
------- 
Nama CS: Tika
Tanggal: 28-Nov-2025
Leads:
Jumlah Closing:
Paket 1:
Paket 2: 
Paket 3: 
Paket 4: 
Paket 5: 
Repeat Paket 1:
Repeat Paket 2: 
Repeat Paket 3: 
Repeat Paket 4: 
Repeat Paket 5:
Catatan:</t>
  </si>
  <si>
    <t>Trigger: #inputlaporan#
Laporan CS Jasa Iklan UMKM
------- 
Nama CS: Rina
Tanggal: 27-Nov-2025
Leads:2
Jumlah Closing:
Paket 1:
Paket 2: 
Paket 3: 
Paket 4: 
Paket 5: 
Repeat Paket 1:
Repeat Paket 2: 
Repeat Paket 3: 
Repeat Paket 4: 
Repeat Paket 5:
Catatan:
2 stop di harga</t>
  </si>
  <si>
    <t>Trigger: #inputlaporan#
Laporan CS Jasa Iklan UMKM
------- 
Nama CS: Rina
Tanggal: 28-Nov-2025
Leads:1
Jumlah Closing:1
Paket 1:
Paket 2: 
Paket 3: 
Paket 4: 
Paket 5: 
Repeat Paket 1:1
Repeat Paket 2: 
Repeat Paket 3: 
Repeat Paket 4: 
Repeat Paket 5:
Catatan:
1 tanya tanya</t>
  </si>
  <si>
    <t>Trigger: #inputorder#
Data Pesanan Jasa Iklan UMKM
Data Pemesan
----
Tanggal: 29-Nov-2025
Nama: Heru Purwanto 
Nama Usaha: CV Athawidya jaya Pratama 
Jenis Usaha: Percetakan plastik dan karung
No Whatsapp Bisnis: 6282139742007
Durasi: 5
Alamat: Jalan Bandarejo Tama 47 Sememi Benowo Surabaya 
Deskripsi produk/jasa: Melayani pemesanan plastik atau karung beserta sablon/cetak
*Keunggulan usaha*: Harga fleksibel, minimal order bisa bernegosiasi 
Data Target Iklan
----
Lokasi: Indonesia 
Usia: 30-70 tahun 
Jenis kelamin: Semua
Data Pembayaran
----
Total Bayar: 197000
Cs: Tika 
Status: Perpanjang</t>
  </si>
  <si>
    <t>Memeriksa nomor WA setelah dibersihkan: '6282139742007' (Tipe: string)</t>
  </si>
  <si>
    <t>Cashflow saved for 6282139742007</t>
  </si>
  <si>
    <t>ORDER SAVED: ID-1764388129141</t>
  </si>
  <si>
    <t>Trigger: #inputorder#
Data Pesanan Jasa Iklan UMKM
Data Pemesan
Tanggal:29-Nov-2025
Nama: amanah 
Nama Usaha: jasa sedot WC Berkah Medan 
Jenis Usaha: sedot tinja 
No Whatsapp Bisnis:6281265779848
Alamat usaha: jln gatot Subroto medan
Deskripsi produk/jasa: jasa sedot WC mampet, saluran dan wastafel tersumbat, Sedot limbah lemak stp dll
*Keunggulan usaha (wajib):Team ahli berpengalaman, kinerja tanpa bongkar*
*keunikan usaha (wajib): bergaransi dan survei gratis 24jam*
Promo:
Data Target Iklan 
Lokasi: Medan dan sekitarnya 
Usia:25-50
Jenis kelamin: semua 
Durasi:5
Data Pembayaran
----
Total Bayar: 197000
Cs: Yuni
Status: Perpanjang</t>
  </si>
  <si>
    <t>Memeriksa nomor WA setelah dibersihkan: '6281265779848' (Tipe: string)</t>
  </si>
  <si>
    <t>Cashflow saved for 6281265779848</t>
  </si>
  <si>
    <t>ORDER SAVED: ID-1764406571176</t>
  </si>
  <si>
    <t>Trigger: #inputorder#
Data Pesanan Jasa Iklan UMKM
Data Pemesan
Tanggal:29-Nov-2025
Nama: Eny J
Nama Usaha: Eny J Therapy Training Center 
Jenis Usaha: Pelatihan Bekam Dan Fasdhu
No Whatsapp Bisnis:62882008315520
Alamat usaha: 
Deskripsi produk/jasa:
Di Eny J therapy training Center, kita bisa ikut berbagai macam pelatihan bisa online ataupun Offline,kita  Sinau Bareng di sini,  contohnya pelatihan Bekam
*Keunggulan usaha (wajib):*
*keunikan usaha (wajib):*
Promo:
Data Target Iklan 
Lokasi: Indonesia
Usia: 23 keatas
Jenis kelamin: umum
Durasi:5
Data Pembayaran
----
Total Bayar: 197000
Cs: Yuni
Status: Perpanjang</t>
  </si>
  <si>
    <t>Memeriksa nomor WA setelah dibersihkan: '62882008315520' (Tipe: string)</t>
  </si>
  <si>
    <t>Cashflow saved for 62882008315520</t>
  </si>
  <si>
    <t>ORDER SAVED: ID-1764406584811</t>
  </si>
  <si>
    <t>Trigger: #inputorder#
Data Pesanan Jasa Iklan UMKM
Data Pemesan
----
Tanggal: 28-Nov-2025
Nama: Ninis 
Nama Usaha: Samira Travel 
Jenis Usaha: Travel Umroh 
No Whatsapp Bisnis: 6281216704496
Alamat: Jalan Padmosusastro 74 A Surabaya 
Durasi: 5
Deskripsi produk/jasa: keunggulan Usaha: Legal, Amanah, Berpengalaman melayani ribuan jamaah, muthawwif berilmu, sabar dan profesional, Terpercaya, Fasilitas nyaman, melayani dengan hati
Keunikan Usaha: Harga Transparan dan bisa dicicil Tanpa riba
Promo: Gratis Paspor 
Trus nanti saya ada tambahan "free kereta cepat bulan november dan desember 2025"
Data Target Iklan
----
Lokasi: Surabaya, Sidoarjo, Gresik 
Usia: 21thn keatas, keluarga muda, lansia
Jenis kelamin: Laki-laki Dan Perempuan 
Data Pembayaran
----
Total Bayar: 197000
Cs: Isna
Status: Perpanjang</t>
  </si>
  <si>
    <t>ORDER UPDATED: UPDATE-ORD-1366</t>
  </si>
  <si>
    <t>Trigger: #inputorder#
Data Pesanan Jasa Iklan UMKM
Data Pemesan
----
Tanggal: 29-Nov-2025
Nama: Ninis 
Nama Usaha: PT Samira Ali Wisata 
Jenis Usaha: Travel Umroh dan Haji 
No Whatsapp Bisnis: 6281216704496
Alamat: Jalan Padmosusastro 74 A Surabaya 
Durasi: 5
Deskripsi produk/jasa: 
*Keunggulan usaha (wajib):*
- bisnis resmi &amp; terpercaya
- berkesempatan menjadi tour leader
- bimbingan sampai sukses
- umroh berkali kali
- mendapat ujroh/fee 2-4 juta
*keunikan usaha (wajib):*
- modal kecil komisi besar
Promo: promo mitra harga 350.000 (normal : 1.500.000)
Data Target Iklan
----
Lokasi: Surabaya, Gresik, Sidoarjo, Malang 
Usia: 20 th keatas 
Jenis kelamin: laki-laki dan perempuan 
Data Pembayaran
----
Total Bayar: 197000
Cs: Isna
Status: Baru</t>
  </si>
  <si>
    <t>Cashflow saved for 6281216704496</t>
  </si>
  <si>
    <t>ORDER SAVED: ID-1764421572487</t>
  </si>
  <si>
    <t>Trigger: #inputlaporan#
Laporan CS Jasa Iklan UMKM
------- 
Nama CS: Yuni
Tanggal: 29-Nov-2025
Leads:
Jumlah Closing: 2
Paket 1: 
Paket 2: 
Paket 3: 
Paket 4: 
Paket 5: 
Repeat Paket 1:2
Repeat Paket 2: 
Repeat Paket 3: 
Repeat Paket 4: 
Repeat Paket 5: 
Catatan:</t>
  </si>
  <si>
    <t>Trigger: #inputlaporan#
Laporan CS Jasa Iklan UMKM
------- 
Nama CS: Isna
Tanggal: 27-Nov-2025
Leads:3
Jumlah Closing:
Paket 1:
Paket 2: 
Paket 3: 
Paket 4: 
Paket 5: 
Repeat Paket 1:
Repeat Paket 2: 
Repeat Paket 3: 
Repeat Paket 4: 
Repeat Paket 5:
Catatan:
1 nores
1 cek harga 
1 tanya-tanya</t>
  </si>
  <si>
    <t>Trigger: #inputlaporan#
Laporan CS Jasa Iklan UMKM
------- 
Nama CS: Isna
Tanggal: 28-Nov-2025
Leads:
Jumlah Closing:1
Paket 1:
Paket 2: 
Paket 3: 
Paket 4: 
Paket 5: 
Repeat Paket 1:1
Repeat Paket 2: 
Repeat Paket 3: 
Repeat Paket 4: 
Repeat Paket 5:
Catatan:</t>
  </si>
  <si>
    <t>Trigger: #inputlaporan#
Laporan CS Jasa Iklan UMKM
------- 
Nama CS: Isna
Tanggal: 29-Nov-2025
Leads:3
Jumlah Closing:1
Paket 1:1
Paket 2: 
Paket 3: 
Paket 4: 
Paket 5: 
Repeat Paket 1:
Repeat Paket 2: 
Repeat Paket 3: 
Repeat Paket 4: 
Repeat Paket 5:
Catatan:
2 nores
1 cek harga</t>
  </si>
  <si>
    <t>Trigger: #inputlaporan#
Laporan CS Jasa Iklan UMKM
------- 
Nama CS: Tika
Tanggal: 29-Nov-2025
Leads:1
Jumlah Closing:1
Paket 1:
Paket 2: 
Paket 3: 
Paket 4: 
Paket 5: 
Repeat Paket 1:1
Repeat Paket 2: 
Repeat Paket 3: 
Repeat Paket 4: 
Repeat Paket 5:
Catatan:
1 nores</t>
  </si>
  <si>
    <t>Trigger: #inputlaporan#
Laporan CS Jasa Iklan UMKM
------- 
Nama CS: Rina
Tanggal: 29-Nov-2025
Leads:1
Jumlah Closing:
Paket 1:
Paket 2: 
Paket 3: 
Paket 4: 
Paket 5: 
Repeat Paket 1:
Repeat Paket 2: 
Repeat Paket 3: 
Repeat Paket 4: 
Repeat Paket 5:
Catatan:
1 nores</t>
  </si>
  <si>
    <t>Trigger: #inputlaporan#
Laporan CS Jasa Iklan UMKM
------- 
Nama CS: Yuni
Tanggal: 30-Nov-2025
Leads:
Jumlah Closing: 1
Paket 1: 
Paket 2: 
Paket 3: 
Paket 4: 
Paket 5: 
Repeat Paket 1:1
Repeat Paket 2: 
Repeat Paket 3: 
Repeat Paket 4: 
Repeat Paket 5: 
Catatan:</t>
  </si>
  <si>
    <t>Memeriksa nomor WA setelah dibersihkan: '6285746861553' (Tipe: string)</t>
  </si>
  <si>
    <t>Trigger: #inputorder#
Data Pesanan Jasa Iklan UMKM
Data Pemesan
Tanggal:01-Des-2025
Nama: yahya
Nama Usaha: Yahya kaca mobil
Jenis Usaha: kaca mobil
No Whatsapp Bisnis:6285746861553
Alamat usaha: kapas kunjang kediri
Deskripsi produk/jasa: Spesialis kaca mobil &amp; spion retract
*Keunggulan usaha (wajib):*
*keunikan usaha (wajib):*
Promo:
Data Target Iklan 
Lokasi: Kediri - Nganjuk - Blitar - Tulung agung - Jombang - Mojokerto -sidoarjo
Usia:
Jenis kelamin: semua
Durasi:20
Data Pembayaran
----
Total Bayar: 700000
Cs: Yuni
Status: Perpanjang</t>
  </si>
  <si>
    <t>ORDER UPDATED: UPDATE-ORD-332</t>
  </si>
  <si>
    <t>Memeriksa nomor WA setelah dibersihkan: '6281338789995' (Tipe: string)</t>
  </si>
  <si>
    <t>Trigger: #inputorder#
Data Pesanan Jasa Iklan UMKM
Data Pemesan
----
Tanggal: 01-Des-2025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Durasi:10
Data Pembayaran
----
Total Bayar: 375000
Cs: Yuni
Status: Perpanjang</t>
  </si>
  <si>
    <t>ORDER UPDATED: UPDATE-ORD-85</t>
  </si>
  <si>
    <t>Trigger: #inputorder#
Data Pesanan Jasa Iklan UMKM
Data Pemesan
Tanggal:01-Des-2025
Nama: Munadi
Nama Usaha: Cv Nuansa Alam Profil
Jenis Usaha: Kontraktor
No Whatsapp Bisnis:6282310465999
Alamat usaha: Jl. Hm Rifaddin Rt 25 Samarinda Sebrang
Deskripsi produk/jasa: Kontraktor bidang bangunan,bangun dari nol/renovasi ,juga menjual berbagai macam jenis/motif ornament
*Keunggulan usaha (Kualitas lebih halus):*
*keunikan usaha (Spesialis bangunan klasik):*
Promo:
Data Target Iklan 
Lokasi: samarinda, balikpapan, Tenggarong,Bontang
Usia:remaja sampai dewasa
Jenis kelamin: laki/perempuan
Durasi:30
Data Pembayaran
----
Total Bayar: 1000000
Cs: Yuni
Status: Perpanjang</t>
  </si>
  <si>
    <t>Memeriksa nomor WA setelah dibersihkan: '6282310465999' (Tipe: string)</t>
  </si>
  <si>
    <t>ORDER UPDATED: UPDATE-ORD-733</t>
  </si>
  <si>
    <t>Trigger: #inputlaporan#
Laporan CS Jasa Iklan UMKM
------- 
Nama CS: Tika
Tanggal: 30-Nov-2025
Leads:
Jumlah Closing:
Paket 1:
Paket 2: 
Paket 3: 
Paket 4: 
Paket 5: 
Repeat Paket 1:
Repeat Paket 2: 
Repeat Paket 3: 
Repeat Paket 4: 
Repeat Paket 5:
Catatan:</t>
  </si>
  <si>
    <t>Trigger: #inputorder#
Data Pesanan Jasa Iklan UMKM
Data Pemesan
----
Tanggal: 1-Des-2025
Nama: Rangga
Nama Usaha: Internet/wifi indihome 
Jenis Usaha: Pemasangan baru internet/wifi indihome 
No Whatsapp Bisnis: 6285167231114
Alamat: Jalan MT Haryono Balikpapan Sukuraja sepaku IKN
Durasi: 5
Deskripsi produk/jasa: Menerima pemasangan baru internet Indihome 
*Keunggulan usaha*: Jaringan stabil, harga murah &amp; flat, wifi tidak lemot 
Promo: internet murah mulai dari 190.000 
Data Target Iklan
----
Lokasi: Balikpapan, Sukaraja, IKN, Grogot, Batu kajang
Usia: 18 -55 tahun 
Jenis kelamin: Bebas
Data Pembayaran
----
Total Bayar: 197000
Cs: Tika 
Status: Perpanjang</t>
  </si>
  <si>
    <t>ORDER UPDATED: UPDATE-ORD-1493</t>
  </si>
  <si>
    <t>Trigger: #inputorder#
Data Pesanan Jasa Iklan UMKM
Data Pemesan
Tanggal:01-Des-2025
Nama: Mahkota Reici 
Nama Usaha: Klinik Akupunktur dan Bekam Mahkota Reici 
Jenis Usaha: Pengobatan Keterapian Herbal dan Moderen
No Whatsapp Bisnis:6282136395328
Alamat usaha: Jetis RT 01/ RW 02, Gemantar, Jumantono, Karanganyar, Jawa Tengah 
Deskripsi produk/jasa: Jasa
*Keunggulan usaha : Spesialis Kanker dan Tumor Tanpa Operasi, Lumpuh, Stroke kembali berjalan normal, Asam Urat Cholesterol Ambyar*
*keunikan usaha : Resep Kusus Herbal yang tidak Dimiliki Pengobatan Lain.*
Promo: Akupuntur Rp 50.000
Bekam Rp 50.000
Data Target Iklan: Jawa Tengah, Jawa Timur 
Lokasi: Jetis RT 01/02 Gemantar, Jumantono, Karanganyar, Jawa Tengah 
Usia: 7 Th-70 th
Jenis kelamin: Laki-Laki dan Perempuan 
Durasi: 7
Data Pembayaran
----
Total Bayar: 297000
Cs: Yuni
Status:Baru</t>
  </si>
  <si>
    <t>Memeriksa nomor WA setelah dibersihkan: '6282136395328' (Tipe: string)</t>
  </si>
  <si>
    <t>Cashflow saved for 6282136395328</t>
  </si>
  <si>
    <t>ORDER SAVED: ID-1764570533993</t>
  </si>
  <si>
    <t>Memeriksa nomor WA setelah dibersihkan: '6282173211212' (Tipe: string)</t>
  </si>
  <si>
    <t>Memeriksa nomor WA setelah dibersihkan: '6281222858582' (Tipe: string)</t>
  </si>
  <si>
    <t>Memeriksa nomor WA setelah dibersihkan: '6281213766426' (Tipe: string)</t>
  </si>
  <si>
    <t>Exception: Parameter (String,String,String) tidak cocok dengan tanda tangan metode untuk Utilities.formatDate.</t>
  </si>
  <si>
    <t>Trigger: #inputlaporan#
Laporan CS Jasa Iklan UMKM
------- 
Nama CS: Isna
Tanggal: 30-Nov-2025
Leads:
Jumlah Closing:2
Paket 1:1
Paket 2: 
Paket 3: 
Paket 4: 
Paket 5: 
Repeat Paket 1:1
Repeat Paket 2: 
Repeat Paket 3: 
Repeat Paket 4: 
Repeat Paket 5:
Catatan:</t>
  </si>
  <si>
    <t>Trigger: #inputlaporan#
Laporan CS Jasa Iklan UMKM
------- 
Nama CS: Isna
Tanggal: 1-Des-2025
Leads:1
Jumlah Closing:4
Paket 1:1
Paket 2: 
Paket 3: 
Paket 4: 
Paket 5: 
Repeat Paket 1:
Repeat Paket 2:3
Repeat Paket 3: 
Repeat Paket 4: 
Repeat Paket 5:
Catatan:</t>
  </si>
  <si>
    <t>Trigger: #inputlaporan#
Laporan CS Jasa Iklan UMKM
------- 
Nama CS: Yuni
Tanggal: 01-Des-2025
Leads:2
Jumlah Closing: 4
Paket 1: 1
Paket 2: 
Paket 3: 
Paket 4: 
Paket 5: 
Repeat Paket 1:
Repeat Paket 2: 1
Repeat Paket 3: 
Repeat Paket 4: 1
Repeat Paket 5: 1
Catatan:
2 no respon</t>
  </si>
  <si>
    <t>Trigger: #inputorder#
Data Pesanan Jasa Iklan UMKM
Data Pemesan
Tanggal:02-Des-2025
Nama:Farah
Nama Usaha: BEKAM ZAYTUN
Jenis Usaha:Kesehatan
No Whatsapp Bisnis:6283865096870
Alamat usaha: Jl Hayam Wuruk 1/16,Kaliwates - Jember
Deskripsi produk/jasa: pelatihan bekam bersertifikat dan rumah sehat di Jember 
Bisa Home care(datang ke rumah klien)
Dan Datang ke Griya Bekam
*Keunggulan usaha (wajib):*Diagnosa pra Bekam*
*keunikan usaha (wajib):*Herbal pasca Bekam*
Promo:-Bekam solusi Sehat tanpa Obat
Data Target Iklan 
Lokasi:Jember,Lumajang,Probolinggo,Bondowoso,Situbondo,Banyuwangi,Bali
Usia:20-70 tahun
Jenis kelamin:wanita dan pria
Durasi:5
Data Pembayaran
----
Total Bayar: 197000
Cs: Yuni
Status: Perpanjang</t>
  </si>
  <si>
    <t>Memeriksa nomor WA setelah dibersihkan: '6283865096870' (Tipe: string)</t>
  </si>
  <si>
    <t>ORDER UPDATED: UPDATE-ORD-515</t>
  </si>
  <si>
    <t>Trigger: #inputlaporan#
Laporan CS Jasa Iklan UMKM
------- 
Nama CS: Rina
Tanggal: 30-Nov-2025
Leads:2
Jumlah Closing: 
Paket 1: 
Paket 2: 
Paket 3: 
Paket 4: 
Paket 5: 
Repeat Paket 1:
Repeat Paket 2: 
Repeat Paket 3: 
Repeat Paket 4: 
Repeat Paket 5: 
Catatan:
2 nores</t>
  </si>
  <si>
    <t>Trigger: #inputlaporan#
Laporan CS Jasa Iklan UMKM
------- 
Nama CS: Rina
Tanggal: 01-Des-2025
Leads:1
Jumlah Closing: 
Paket 1: 
Paket 2: 
Paket 3: 
Paket 4: 
Paket 5: 
Repeat Paket 1:
Repeat Paket 2: 
Repeat Paket 3: 
Repeat Paket 4: 
Repeat Paket 5: 
Catatan:
1 isi data</t>
  </si>
  <si>
    <t>Trigger: #inputlaporan#
Laporan CS Jasa Iklan UMKM
------- 
Nama CS: Yuni
Tanggal: 02-Des-2025
Leads:
Jumlah Closing: 1
Paket 1: 
Paket 2: 
Paket 3: 
Paket 4: 
Paket 5: 
Repeat Paket 1:1
Repeat Paket 2: 
Repeat Paket 3: 
Repeat Paket 4: 
Repeat Paket 5: 
Catatan:</t>
  </si>
  <si>
    <t>Memeriksa nomor WA setelah dibersihkan: '6282384370009' (Tipe: string)</t>
  </si>
  <si>
    <t>Memeriksa nomor WA setelah dibersihkan: '6282338171577' (Tipe: string)</t>
  </si>
  <si>
    <t>Memeriksa nomor WA setelah dibersihkan: '6283188945188' (Tipe: string)</t>
  </si>
  <si>
    <t>Exception: The parameters (String,String,String) don't match the method signature for Utilities.formatDate.</t>
  </si>
  <si>
    <t>Trigger: #inputlaporan#
Laporan CS Jasa Iklan UMKM
------- 
Nama CS: Isna
Tanggal: 2-Des-2025
Leads:4
Jumlah Closing:5
Paket 1:3
Paket 2: 
Paket 3: 
Paket 4: 
Paket 5: 
Repeat Paket 1:
Repeat Paket 2:1
Repeat Paket 3: 
Repeat Paket 4: 
Repeat Paket 5:1
Catatan:
3 nores
1 cek harga</t>
  </si>
  <si>
    <t>Memeriksa nomor WA setelah dibersihkan: '6282391199993' (Tipe: string)</t>
  </si>
  <si>
    <t>Trigger: #inputorder#
Data Pesanan Jasa Iklan UMKM
Data Pemesan
Tanggal: 03-Des-2025
Nama: arjuna
Nama Usaha: arjuna trevel tour
Jenis Usaha: wisata pulau seribu
No Whatsapp Bisnis:6282154318629
Alamat usaha: pulau Harapan Rt 03 Rw 02 kec pulau seribu utara 
Deskripsi produk/jasa:
*Keunggulan usaha (wajib):*
*keunikan usaha (wajib):*
Promo:
Data Target Iklan 
Lokasi: Jabodetabek 
Usia: 20-55
Jenis kelamin: semua 
Durasi:5
Data Pembayaran
----
Total Bayar: 197000
Cs: Yuni
Status: Perpanjang</t>
  </si>
  <si>
    <t>Trigger: #inputorder#
Data Pesanan Jasa Iklan UMKM
Data Pemesan
Tanggal:03-Des-2025
Nama: Heriyanto
Nama Usaha: Raja Pasir 
Jenis Usaha:supplier Pasir dan batu terpercaya di jabodetabek
No Whatsapp Bisnis:6288983421843
Alamat usaha: (Jl. Raya Serpong,  Kec. Serpong, Kota Tangerang Selatan, Banten 15311
Deskripsi produk/jasa: Raja Pasir :Supplier Pasir &amp; Batu terlengkap di jabodetabek.Menyediakan material berkualitas untuk proyek konstruksi renovasi rumah,gedung,gudang,kantor, ruko, Kost, dll Harga kompetitif, pengiriman cepat dan tepat waktu. Siap melayani se jabodetabek
Produk: pasir plester, pasir hitam Cor, Pasir bangka, pasir rangkas, pasir cilegon cuci, pasir cilegon ayak, Pasir jalupang, pasir jawilan, sirdam, sirtu, makadam, tanah urug/taman
Batu split, Batu kali/belah ,abu batu, scrining, 
Basecose,, 
*Keunggulan usaha (wajib):
#Material Murni, Kualitas Terjamin.(Menekankan kemurnian dan jaminan mutu.)
#Pasir Pilihan untuk Konstruksi Kuat dan Tahan Lama.( memprioritaskan kekuatan bangunan.)
#Batu Split Berkualitas Tinggi, Sesuai Standar SNI. 
#Rendah kadar Lumpur  dan Kotoran, sehingga Menghemat Waktu Pengerjaan Anda." (Menunjukkan manfaat langsung: material bersih mempercepat proyek anda.)
#Pelayanan Prima, Kemudahan Pemesanan, Transaksi Aman dan Transparan.
#Harga Kompetitif Langsung dari Sumber, Tanpa Perantara."
#Muatan/volume Real 
#Konsultasi Gratis
*keunikan usaha (wajib):*
#Gratis Ongkir dan Bongkar Muat Tanpa Batas Minimum (Area Terbatas)
*Layanan Pesan-Antar-Bayar di Tempat" (COD)*
Promo: 
Data Target Iklan 
Lokasi: jabodetabek
Usia: minimal 28 
Jenis kelamin: laki dan perempuan
Durasi:5 
Data Pembayaran
----
Total Bayar: 197000
Cs: Yuni
Status:Baru</t>
  </si>
  <si>
    <t>Memeriksa nomor WA setelah dibersihkan: '6288983421843' (Tipe: string)</t>
  </si>
  <si>
    <t>Cashflow saved for 6288983421843</t>
  </si>
  <si>
    <t>ORDER SAVED: ID-1764753564400</t>
  </si>
  <si>
    <t>Memeriksa nomor WA setelah dibersihkan: '6285925102815' (Tipe: string)</t>
  </si>
  <si>
    <t>Memeriksa nomor WA setelah dibersihkan: '6285750574301' (Tipe: string)</t>
  </si>
  <si>
    <t>Trigger: #inputorder#
Data Pesanan Jasa Iklan UMKM
Data Pemesan
----
Tanggal: 3-Des-2025
Nama: Ari
Nama Usaha: Elha Furniture 
Jenis Usaha: Furniture interior 
No Whatsapp Bisnis: 6287753731364
Alamat: Jalan raya kp. sawah no.24 Jatimurni pondok melati Bekasi Utara 
Durasi: 14
Deskripsi produk/jasa: Kita menggunakan material blokckmint atau multiplek berbeda dengan particel board atau mdf yang terbuat dari serbuk, finishing yang kita gunakan adalah hpl yang lebih solid dan kuat karena materialnya tebak SE solid kayu jadi tidak akan sobek dll.
*Keunggulan usaha*: Pengerjaan lebih rapi dan kokoh karena kita menggunakan material utamanya 18mm, harga jaminan paling murah di banding kompetitor dengan material yang sama 
Promo: 5-10% 
Data Target Iklan
----
Lokasi: Bekasi, kabupaten Bogor, Jakarta Timur, Cibubur, area dekat dekat zona warkshop 
Usia: 25-55 tahun 
Jenis kelamin: semua 
Data Pembayaran
----
Total Bayar: 550000
Cs: Tika 
Status: Perpanjang</t>
  </si>
  <si>
    <t>ORDER UPDATED: UPDATE-ORD-1531</t>
  </si>
  <si>
    <t>Trigger: #inputlaporan#
Laporan CS Jasa Iklan UMKM
------- 
Nama CS: Yuni
Tanggal: 03-Des-2025
Leads:
Jumlah Closing: 2
Paket 1: 1
Paket 2: 
Paket 3: 
Paket 4: 
Paket 5: 
Repeat Paket 1:1
Repeat Paket 2: 
Repeat Paket 3: 
Repeat Paket 4: 
Repeat Paket 5: 
Catatan:</t>
  </si>
  <si>
    <t>Trigger: #inputorder#
Data Pesanan Jasa Iklan UMKM
Data Pemesan
----
Tanggal: 04-Des-2025
Nama: Tri Purwanto
Nama Usaha: Eshan Aqiqah &amp; Qurban
Jenis Usaha: Kambing Aqiqah, Qurban, Gulling
No Whatsapp Bisnis: 085695504319
Alamat usaha: RPH Pulogadung Kandang No 21&amp;14
Durasi: 7
Deskripsi produk/jasa: 
*Keunggulan usaha:* Tentunya Kambing Aqiqah Mengikuti Syariat &amp; Standar Halal, Besar Besar, Harga Transparan &amp; Terjangkau, Banyak Keuntungannya, Paket Lengkap &amp; Praktis, Amanah &amp; Profesional
*Keunikan usaha:* bisa pilih hewan Aqiqah yang di mau, bisa sembelih hewan sendiri
Promo: Free Ongkir Jabodetabek
Data Target Iklan
----
Lokasi: Jabodetabek
Usia: 18-75
Jenis kelamin: laki-laki dan perempuan
Data Pembayaran
----
Total Bayar: 297000
Cs: Rina
Status: Baru</t>
  </si>
  <si>
    <t>Memeriksa nomor WA setelah dibersihkan: '085695504319' (Tipe: string)</t>
  </si>
  <si>
    <t>Trigger: #inputorder#
Data Pesanan Jasa Iklan UMKM
Data Pemesan
----
Tanggal: 04-Des-2025
Nama: Tri Purwanto
Nama Usaha: Eshan Aqiqah &amp; Qurban
Jenis Usaha: Kambing Aqiqah, Qurban, Gulling
No Whatsapp Bisnis: 6285695504319
Alamat usaha: RPH Pulogadung Kandang No 21&amp;14
Durasi: 7
Deskripsi produk/jasa: 
*Keunggulan usaha:* Tentunya Kambing Aqiqah Mengikuti Syariat &amp; Standar Halal, Besar Besar, Harga Transparan &amp; Terjangkau, Banyak Keuntungannya, Paket Lengkap &amp; Praktis, Amanah &amp; Profesional
*Keunikan usaha:* bisa pilih hewan Aqiqah yang di mau, bisa sembelih hewan sendiri
Promo: Free Ongkir Jabodetabek
Data Target Iklan
----
Lokasi: Jabodetabek
Usia: 18-75
Jenis kelamin: laki-laki dan perempuan
Data Pembayaran
----
Total Bayar: 297000
Cs: Rina
Status: Baru</t>
  </si>
  <si>
    <t>Memeriksa nomor WA setelah dibersihkan: '6285695504319' (Tipe: string)</t>
  </si>
  <si>
    <t>Cashflow saved for 6285695504319</t>
  </si>
  <si>
    <t>ORDER SAVED: ID-1764818355589</t>
  </si>
  <si>
    <t>Trigger: #inputorder#
Data Pesanan Jasa Iklan UMKM
Data Pemesan
Tanggal:04-Des-2025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</si>
  <si>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ORDER UPDATED: UPDATE-ORD-1414</t>
  </si>
  <si>
    <t>Trigger: #inputorder#
Data Pesanan Jasa Iklan UMKM
Data Pemesan
----
Tanggal: 4-Des-2025
Nama: Johan
Nama Usaha: Brilliant Acsesoris 
Jenis Usaha: Acsesoris mobil 
No Whatsapp Bisnis:6282311311119
Alamat: Simohilir raya 2F Surabaya (alamat jangan ditampilkan)
Durasi: 5
Deskripsi produk/jasa: 
*Keunggulan usaha*: Marketplace shopee 
menjual acsesoris mobil
*Keunikan usaha*: 
Promo 
- Harga kompetitif 
- Transaksi masuk sebelum jam 16 kirim hari yang sama
- Sesama Surabaya siap instan 
- Produk branded dan berkualitas 
link: https://id.shp.ee/YyZVmoK
Data Target Iklan
----
Lokasi: Jawa Timur dan Surabaya 
Usia: 25-50 tahun 
Jenis kelamin: Laki laki
Data Pembayaran
----
Total Bayar: 150000
Cs: Tika 
Status: Baru</t>
  </si>
  <si>
    <t>Memeriksa nomor WA setelah dibersihkan: '6282311311119' (Tipe: string)</t>
  </si>
  <si>
    <t>Cashflow saved for 6282311311119</t>
  </si>
  <si>
    <t>ORDER SAVED: ID-1764831018379</t>
  </si>
  <si>
    <t>Trigger: #inputorder#
Data Pesanan Jasa Iklan UMKM
Data Pemesan
----
Tanggal: 4-Des-2025
Nama: Eko Y
Nama Usaha: CV fajar gemilang plus 
Jenis Usaha: Kontraktor Fasade, Kaca, Acp, Alumunium, Arsitektur, Interior dll
No Whatsapp Bisnis: 6281338789995
Alamat usaha: Jalan Thamrin 78 Depan SMA 5 Kupang kantor CV fajar gemilang plus 
Durasi: 14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550000
Cs: Tika 
Status: Perpanjang</t>
  </si>
  <si>
    <t>ORDER UPDATED: UPDATE-ORD-1056</t>
  </si>
  <si>
    <t>Trigger: #inputorder#
Data Pesanan Jasa Iklan UMKM
Data Pemesan
----
Tanggal: 4-Des-2025
Nama: Saiful Anwar 
Nama Usaha: ahlibangun.com
Jenis Usaha: Jasa Bangun dan Renovasi 
No Whatsapp Bisnis: 6285220216325
Alamat: Jl Parung Aleng Rt 3 Rw 3 Kel. Cikeas Kec. Sukaraja 
Durasi: 10
Deskripsi produk/jasa: Melayani Bangun Rumah Dari Nol, Renovasi Bangunan, Rumah, Kantor, Ruko dll
Keunggulan: 
- Kontraktor Profesional 
- Harga Transparan &amp; Paket Jelas
- Hasil Rapi &amp; Berkualitas 
- Tepat Waktu 
- Kualitas Terjamin 
Data Target Iklan
----
Lokasi: Ngawi
Madiun
Nganjuk
Jombang
Sidoarjo
Pasuruan
Surabaya
Malang
Jawa timur
Usia: 30 th keatas 
Jenis kelamin: laki-laki dan perempuan 
Data Pembayaran
----
Total Bayar: 375000
Cs: Tika
Status: Perpanjang</t>
  </si>
  <si>
    <t>Memeriksa nomor WA setelah dibersihkan: '6285220216325' (Tipe: string)</t>
  </si>
  <si>
    <t>ORDER UPDATED: UPDATE-ORD-1086</t>
  </si>
  <si>
    <t>Trigger: #inputlaporan#
Laporan CS Jasa Iklan UMKM
------- 
Nama CS: Tika
Tanggal: 03-Des-2025
Leads:
Jumlah Closing: 1
Paket 1: 
Paket 2: 
Paket 3: 
Paket 4: 
Paket 5: 
Repeat Paket 1:
Repeat Paket 2: 
Repeat Paket 3: 1
Repeat Paket 4: 
Repeat Paket 5: 
Catatan:</t>
  </si>
  <si>
    <t>Trigger: #inputorder#
Data Pesanan Jasa Iklan UMKM
Data Pemesan
----
Tanggal: 4-Des-2025
Nama: HM Kuswadji Aziz S.Ked
Nama Usaha: Fisioterapi (Terapi Fisik Tanpa Obat)
Jenis Usaha: Terapi Kesehatan 
No Whatsapp Bisnis: 6282234163461
Alamat: Klinik Tandya Jln Semeru 43 Malang
Durasi: 5
Deskripsi produk/jasa: Membantu mempercepat penyembuhan Stroke, Post Stroke, Diabetes, Saraf Kejepit, Kanker Prostat, Kanker Payudara, Kista, Vertigo, Migrain, Nyeri Lutut, Kesemutan, Kebas2, dan Gangguan Otot Saraf Lainnya.
Data Target Iklan
----
Lokasi: Malang Raya 
Usia: 20 th keatas 
Jenis kelamin: laki-laki dan perempuan 
Data Pembayaran
----
Total Bayar: 197000
Cs: Isna
Status: Baru</t>
  </si>
  <si>
    <t>Memeriksa nomor WA setelah dibersihkan: '6282234163461' (Tipe: string)</t>
  </si>
  <si>
    <t>Cashflow saved for 6282234163461</t>
  </si>
  <si>
    <t>ORDER SAVED: ID-1764857674827</t>
  </si>
  <si>
    <t>Trigger: #inputorder#
Data Pesanan Jasa Iklan UMKM
Data Pemesan
Tanggal:04-Des-2025
Nama:Rosyid
Nama Usaha: Samudra Creatif
Jenis Usaha: Renovasi dan interior
No Whatsapp Bisnis:628131383719
Alamat usaha: Jln baypas ngurah rai
Gg swadaya/lapangan kapten japa
Kesiman kerta langu
Denpasar timur
Deskripsi produk/jasa:
Mengerjakan 
Plafon gypsum
Plafon pvc
Plafon kalsi board
Plamir-cat
Sekat ruangan/partisi
Dan Renovasi rumah, kos"an dll sampai finis
Mengatasi dak beton rembes/bocor yg mengakibatkan plafon rusak
*Keunggulan usaha (wajib): dikerjakan tim profesional*
*keunikan usaha (wajib):*
Promo:
Data Target Iklan 
Lokasi:Bali, Denpasar dan sekitarnya 
Usia:20-55
Jenis kelamin: semua 
Durasi:7
Data Pembayaran
----
Total Bayar: 297000
Cs: Yuni
Status: Perpanjang</t>
  </si>
  <si>
    <t>Memeriksa nomor WA setelah dibersihkan: '628131383719' (Tipe: string)</t>
  </si>
  <si>
    <t>Cashflow saved for 628131383719</t>
  </si>
  <si>
    <t>ORDER SAVED: ID-1764858279934</t>
  </si>
  <si>
    <t>Trigger: #inputlaporan#
Laporan CS Jasa Iklan UMKM
------- 
Nama CS: Rina
Tanggal: 02-Des-2025
Leads:
Jumlah Closing: 
Paket 1: 
Paket 2: 
Paket 3: 
Paket 4: 
Paket 5: 
Repeat Paket 1:
Repeat Paket 2: 
Repeat Paket 3: 
Repeat Paket 4: 
Repeat Paket 5: 
Catatan:</t>
  </si>
  <si>
    <t>Trigger: #inputlaporan#
Laporan CS Jasa Iklan UMKM
------- 
Nama CS: Rina
Tanggal: 03-Des-2025
Leads:
Jumlah Closing: 
Paket 1: 
Paket 2: 
Paket 3: 
Paket 4: 
Paket 5: 
Repeat Paket 1:
Repeat Paket 2: 
Repeat Paket 3: 
Repeat Paket 4: 
Repeat Paket 5: 
Catatan:</t>
  </si>
  <si>
    <t>Trigger: #inputlaporan#
Laporan CS Jasa Iklan UMKM
------- 
Nama CS: Yuni
Tanggal: 04-Des-2025
Leads:
Jumlah Closing: 3
Paket 1: 
Paket 2: 
Paket 3: 
Paket 4: 
Paket 5: 
Repeat Paket 1: 2
Repeat Paket 2: 1
Repeat Paket 3: 
Repeat Paket 4: 
Repeat Paket 5: 
Catatan:</t>
  </si>
  <si>
    <t>Trigger: #inputlaporan#
Laporan CS Jasa Iklan UMKM
------- 
Nama CS: Tika
Tanggal: 04-Des-2025
Leads:
Jumlah Closing: 3
Paket 1: 1
Paket 2: 
Paket 3: 
Paket 4: 
Paket 5: 
Repeat Paket 1: 
Repeat Paket 2: 1
Repeat Paket 3: 1
Repeat Paket 4: 
Repeat Paket 5: 
Catatan:
1 DP</t>
  </si>
  <si>
    <t>Trigger: #inputorder#
Data Pesanan Jasa Iklan UMKM
Data Pemesan
----
Tanggal: 5-Des-2025
Nama: Muhammad Ma'tuf
Nama Usaha: Rumah Sehat Asy-syifa
Jenis Usaha: terapi alternatif 
No Whatsapp Bisnis: 6281311045317
Alamat: Perumahan bumi pasar Kemis indah blok A4 no 12 pasar Kemis Tangerang 
Durasi: 5
Deskripsi produk/jasa: Specialis penanganan stroke dan saraf kejepit tanpa operasi 
*Keunggulan usaha*: Tanpa alat, tanpa obat, tanpa operasi 
Promo: Biaya seikhlasnya 
Data Target Iklan
----
Lokasi: Kabupaten Tangerang 
Usia: 25-60 tahun 
Jenis kelamin: semua
Data Pembayaran
----
Total Bayar: 150000
Cs: Tika 
Status: Baru</t>
  </si>
  <si>
    <t>Memeriksa nomor WA setelah dibersihkan: '6281311045317' (Tipe: string)</t>
  </si>
  <si>
    <t>Cashflow saved for 6281311045317</t>
  </si>
  <si>
    <t>ORDER SAVED: ID-1764900072392</t>
  </si>
  <si>
    <t>Trigger: #inputorder#
Data Pesanan Jasa Iklan UMKM
Data Pemesan
Tanggal:05-Des-2025
Nama: Neneng Lestari  Ningrum
Nama Usaha: syahdu massage
Jenis Usaha: massage
No Whatsapp Bisnis:6285385070717
Alamat usaha:
Deskripsi produk/jasa: Terapis profesional dan bersertifikat 
melayani: pijat sehat,pijat tradisional,bekam, refleksi,totok wajah,kop kering,kerokan dll
*Keunggulan usaha (wajib):*
*keunikan usaha (wajib):Refleksi khusus panggilan*
Promo:
Data Target Iklan 
Lokasi: bogor kota
Usia: 18-55
Jenis kelamin: pria/ wanita
Durasi:5
Data Pembayaran
----
Total Bayar: 197000
Cs: Yuni
Status: Perpanjang</t>
  </si>
  <si>
    <t>Trigger: #inputorder#
Data Pesanan Jasa Iklan UMKM
Data Pemesan
----
Tanggal: 05-Des-2025
Nama: khafid ali
Nama Usaha: cv adam jaya construction
Jenis Usaha: desain dan bangun
No Whatsapp Bisnis:6281283325291
Alamat usaha: perum vila gading permai b3 no 25 jabon mekar
Deskripsi produk/jasa: desain, bangun baru, renovasi rumah
Data Target Iklan
----
Lokasi: bogor, depok, bekasi , dejabotabek
Usia: 17-55 thn
Jenis kelamin: laki laki dan perempuan 
Data iklan
----
Durasi:5
Data Pembayaran
----
Total Bayar:197000
Cs: Yuni
Status: Perpanjang</t>
  </si>
  <si>
    <t>Memeriksa nomor WA setelah dibersihkan: '6281283325291' (Tipe: string)</t>
  </si>
  <si>
    <t>ORDER UPDATED: UPDATE-ORD-96</t>
  </si>
  <si>
    <t>Trigger: #inputorder#
Data Pesanan Jasa Iklan UMKM
Data Pemesan
----
Tanggal: 5-Des-2025
Nama: Irman
Nama Usaha: PT Abuubaidah 
Jenis Usaha: Umroh berkah 
No Whatsapp Bisnis: 6285824373432
Alamat: Panaikang kecamatan bissappu kabupaten Bantaeng Sulawesi Selatan 
Durasi: 5
Deskripsi produk/jasa: 
*Keunggulan usaha*: Umroh berkah dibulan Ramadhan free kota toif
Data Target Iklan
----
Lokasi: Sulawesi Selatan 
Usia: 25-55 tahun
Jenis kelamin: Semua 
Data Pembayaran
----
Total Bayar: 150000
Cs: Tika 
Status: Baru</t>
  </si>
  <si>
    <t>Memeriksa nomor WA setelah dibersihkan: '6285824373432' (Tipe: string)</t>
  </si>
  <si>
    <t>Cashflow saved for 6285824373432</t>
  </si>
  <si>
    <t>ORDER SAVED: ID-1764931855669</t>
  </si>
  <si>
    <t>Trigger: #inputorder#
Data Pesanan Jasa Iklan UMKM
Data Pemesan
Tanggal:05-Des-2025
Nama:mustakim
Nama Usaha: Tahu bulat Karisma 
Jenis Usaha: tahu bulat
No Whatsapp Bisnis:62882019221880
Alamat usaha: (nama jalan, no rumah/bangunan)kota makasar
Deskripsi produk/jasa:🔥 Peluang Usaha Modal Kecil, Untung Besar! 🔥
Bergabung bersama Tahu Bulat Karisma hanya dengan Rp 5,5 Juta!
✅ Modal ringan &amp; cepat balik modal
✅ Brand sudah dikenal luas dan disukai semua kalangan
✅ Support penuh dari tim (bimbingan, bahan baku, strategi jualan)
✅ Konsep fleksibel, bisa keliling atau mangkal
✅ Tidak perlu pengalaman, siapa saja bisa!
💰 Dengan modal terjangkau, Anda sudah bisa punya usaha sendiri dan mulai meraih penghasilan tambahan.
Jangan tunggu lama!
✨ Yuk, jadi bagian dari keluarga besar Tahu Bulat Karisma! Tunggu apa lagi guysss!! ✨
Hubungi kami sekarang, slot mitra terbatas lohhh! 🚚💨hub langsung di no wa 0882019221880
*Keunggulan usaha (wajib):*mudah dan simple
*keunikan usaha (wajib):*belum ada kompetitor
Promo:bayar 5,5 juta sudah siap usaha tinggal cari tempat sama orang yg jaga saja
Data Target Iklan 
Lokasi:Makasar,Maros,Gowa
Usia:21-60 thn
Jenis kelamin:laki laki dan perempuan
Durasi:5
Data Pembayaran
----
Total Bayar: 197000
Cs: Yuni
Status:Baru</t>
  </si>
  <si>
    <t>Memeriksa nomor WA setelah dibersihkan: '62882019221880' (Tipe: string)</t>
  </si>
  <si>
    <t>Cashflow saved for 62882019221880</t>
  </si>
  <si>
    <t>ORDER SAVED: ID-1764944633537</t>
  </si>
  <si>
    <t>Trigger: #inputlaporan#
Laporan CS Jasa Iklan UMKM
------- 
Nama CS: Rina
Tanggal: 04-Des-2025
Leads:
Jumlah Closing: 1
Paket 1: 
Paket 2: 1
Paket 3: 
Paket 4: 
Paket 5: 
Repeat Paket 1: 
Repeat Paket 2: 
Repeat Paket 3: 
Repeat Paket 4: 
Repeat Paket 5: 
Catatan:</t>
  </si>
  <si>
    <t>Trigger: #inputlaporan#
Laporan CS Jasa Iklan UMKM
------- 
Nama CS: Yuni
Tanggal: 05-Des-2025
Leads:12
Jumlah Closing: 3
Paket 1: 1
Paket 2: 
Paket 3: 
Paket 4: 
Paket 5: 
Repeat Paket 1: 2
Repeat Paket 2: 
Repeat Paket 3: 
Repeat Paket 4: 
Repeat Paket 5: 
Catatan:
7 tanya2
3 no respon
1 belum ada uang</t>
  </si>
  <si>
    <t>Trigger: #inputlaporan#
Laporan CS Jasa Iklan UMKM
------- 
Nama CS: Tika
Tanggal: 05-Des-2025
Leads:21
Jumlah Closing:2
Paket 1: 2
Paket 2: 
Paket 3: 
Paket 4: 
Paket 5: 
Repeat Paket 1: 
Repeat Paket 2: 
Repeat Paket 3: 
Repeat Paket 4: 
Repeat Paket 5: 
Catatan:
10 nores
4 cek harga
4 tanya tanya 
2 belum isi data
1 minta diskon</t>
  </si>
  <si>
    <t>Trigger: #inputorder#
Data Pesanan Jasa Iklan UMKM
Data Pemesan
----
Tanggal: 06-Des-2025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</si>
  <si>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#inputorder#
Data Pesanan Jasa Iklan UMKM
Data Pemesan
Tanggal:06-Des-2025
Nama:Yasmin
Nama Usaha: Yasmine health staycation
Jenis Usaha: health staycation
No Whatsapp Bisnis:6287708424140
Alamat usaha:Jalan jeprah no 69 Palasari .SAMPING RSUD CIMACAN 
Cipanas .CIANJUR 
JAWA BARAT
Deskripsi produk/jasa:
Iya 
Keistimewaan tata laksana di Yasmin health staycation
1. Untuk gangguan pergerakan pasca stroke ,langsung dapat dirasakan perubahan pada kunjungan ke 1 
2. Bukan terapi alternatif,dilakukan oleh dokter berpengalaman lebih dari 15 tahun dibidang nya 
3. Tanpa operasi 
4. Tanpa herbal 
5. Langsung ke masalah pergerakan pasca stroke di lakukan tindakan menstimulasi sistem saraf motorik pergerakan 
6. Murah dibanding rawat inap di berbagai sentra stroke lainnya
-10 hari tata laksana perbaikan kekuatan motorik dan pergerakan pasca stroke di Yasmin health staycation..
Uang bisa dicari kembali apabila anda sudah sembuh dari dari stroke yang anda alami
Data Target Iklan 
Lokasi: Jabodetabek,Jateng,jatim, Aceh,Riau,Sumut,Sumbar,Madura,malaysia
Usia:50keatas
Jenis kelamin: semua 
Durasi:5
Data Pembayaran
----
Total Bayar: 197000
Cs: Yuni
Status: Perpanjang</t>
  </si>
  <si>
    <t>Memeriksa nomor WA setelah dibersihkan: '6287708424140' (Tipe: string)</t>
  </si>
  <si>
    <t>Cashflow saved for 6287708424140</t>
  </si>
  <si>
    <t>ORDER SAVED: ID-1765011133874</t>
  </si>
  <si>
    <t>Trigger: #inputorder#
Data Pesanan Jasa Iklan UMKM
Data Pemesan
Tanggal: 06-Des-2025
Nama: yuda
Nama Usaha: Queen Car Interior
Jenis Usaha: jasa interior mobil
No Whatsapp Bisnis:6289530316907
Alamat usaha: jl bypass km 11 depan shorom mithsubisi simpang balai baru kuranji padang
Deskripsi produk/jasa:
*Keunggulan usaha (wajib):pengerjaan bergaransi 5 tahun untuk busa kempes dan jaitan*
*keunikan usaha (wajib):menyediakan layanan home delivery bagi konsumen yang sibuk tidak punya waktu untuk datang ke workshop kami untuk pergantian interior mobil*
Promo: *potongan harga 300K*
Data Target Iklan 
Lokasi: kota padang,solok,pesisir,darmasraya
Usia: 25 - 60 th
Jenis kelamin: laki2 - perempuan
Durasi:5
Data Pembayaran
----
Total Bayar: 197000
Cs: Yuni
Status:Baru</t>
  </si>
  <si>
    <t>Memeriksa nomor WA setelah dibersihkan: '6289530316907' (Tipe: string)</t>
  </si>
  <si>
    <t>Cashflow saved for 6289530316907</t>
  </si>
  <si>
    <t>ORDER SAVED: ID-1765012259980</t>
  </si>
  <si>
    <t>Trigger: #inputorder#
Data Pesanan Jasa Iklan UMKM
Data Pemesan
Tanggal:06-Des-2025
Nama: afdol
Nama Usaha: Sahabat Madinah Travel
Jenis Usaha: Perjalanan Wisata
No Whatsapp Bisnis:628132117968
Alamat usaha: Jl. Boulevard grand residence city RK 1AP setu bekasi
Deskripsi produk/jasa:
*Keunggulan usaha (wajib): pendampingan profesional dari pembimbing dan muthowif, harga transparan tanpa biaya tersembunyi, pelayanan ramah, legalitas resmi,*
*keunikan usaha (wajib): Konsep “Umroh Plus Edukasi Sejarah”Bimbingan yang tidak hanya memandu ibadah, tetapi juga menjelaskan kisah-kisah perjuangan Islam di setiap lokasi*
Promo:
Ayam al bayk dan makan makanan khas timur tengah
Data Target Iklan 
Lokasi: jabotabek dan jawa barat
Usia: 17-60 thn 
Jenis kelamin: L &amp; P
Durasi:14
Data Pembayaran
----
Total Bayar: 550000
Cs: Yuni
Status:Baru</t>
  </si>
  <si>
    <t>Memeriksa nomor WA setelah dibersihkan: '628132117968' (Tipe: string)</t>
  </si>
  <si>
    <t>Cashflow saved for 628132117968</t>
  </si>
  <si>
    <t>ORDER SAVED: ID-1765015752517</t>
  </si>
  <si>
    <t>Trigger: #inputorder#
Data Pesanan Jasa Iklan UMKM
Data Pemesan
Tanggal:06-Des-2025
Nama: agung 
Nama Usaha: Rumah kavling Agung
Jenis Usaha: property 
No Whatsapp Bisnis:6281331117198
Alamat usaha: jl sawo plumbungan - sukodono
Deskripsi produk/jasa:
*Keunggulan usaha (wajib):*- Ukuran 5x10 
- Harga cash 165jt
- DP 85jt angsuran 2,4jt/48 bulan
- 2 kamar tidur, 1 kamar mandi,Dapur, Rumah tamu, 
Carpot
- sertifikat SHM splitz pecah 
- tinggal pajak + balik nama asumsi 10jt 
- lokasi jl. al Ikhlas desa sawo sukodono 
Hub : agung
081331117198
*keunikan usaha (wajib):*
Promo: free SHM splitz
Data Target Iklan 
Lokasi: surabaya dan sidoarjo
Usia: 25-60
Jenis kelamin: laki-laki dan perempuan
Durasi:5
Data Pembayaran
----
Total Bayar: 197000
Cs: Yuni
Status:Baru</t>
  </si>
  <si>
    <t>Memeriksa nomor WA setelah dibersihkan: '6281331117198' (Tipe: string)</t>
  </si>
  <si>
    <t>Cashflow saved for 6281331117198</t>
  </si>
  <si>
    <t>ORDER SAVED: ID-1765023717487</t>
  </si>
  <si>
    <t>Trigger: #inputorder#
Data Pesanan Jasa Iklan UMKM
Data Pemesan
----
Tanggal: 6-Des-2025
Nama: Mischela
Nama Usaha: Roney Beauty 
Jenis Usaha: Beauty Salon 
No Whatsapp Bisnis: 67074028372
Alamat: (Villa-Verde, Edukasaun Travessa Ai-Samtuku I)
Durasi: 5
Deskripsi produk/jasa: 
*Keunggulan usaha (wajib):*"Kami memberikan pelayanan yang sangat nyaman dan ramah. Kami memastikan setiap pelangan yang datang puas dengan hasil yang sesuai mereka mau.
*keunikan usaha (wajib):*Keunikan utama [Rhoney Beauty Salon ] terletak pada fokus kami terhadap personalisasi mendalam dan kualitas yang jarang ditemukan di tempat lain.
Promo: kami sekarang lagi promo di Nail Art  desing apa saja hanya $10 
Data Target Iklan
----
Lokasi: Dili, Timor Leste 
Usia: 17 th ke atas 
Jenis kelamin: Perempuan 
Data Pembayaran
----
Total Bayar: 197000
Cs: Isna
Status: Baru</t>
  </si>
  <si>
    <t>Memeriksa nomor WA setelah dibersihkan: '67074028372' (Tipe: string)</t>
  </si>
  <si>
    <t>Trigger: #inputorder#
Data Pesanan Jasa Iklan UMKM
Data Pemesan
----
Tanggal: 6-Des-2025
Nama: Mischela
Nama Usaha: Roney Beauty 
Jenis Usaha: Beauty Salon 
No Whatsapp Bisnis: 62074028372
Alamat: (Villa-Verde, Edukasaun Travessa Ai-Samtuku I)
Durasi: 5
Deskripsi produk/jasa: 
*Keunggulan usaha (wajib):*"Kami memberikan pelayanan yang sangat nyaman dan ramah. Kami memastikan setiap pelangan yang datang puas dengan hasil yang sesuai mereka mau.
*keunikan usaha (wajib):*Keunikan utama [Rhoney Beauty Salon ] terletak pada fokus kami terhadap personalisasi mendalam dan kualitas yang jarang ditemukan di tempat lain.
Promo: kami sekarang lagi promo di Nail Art  desing apa saja hanya $10 
Data Target Iklan
----
Lokasi: Dili, Timor Leste 
Usia: 17 th ke atas 
Jenis kelamin: Perempuan 
Data Pembayaran
----
Total Bayar: 197000
Cs: Isna
Status: Baru</t>
  </si>
  <si>
    <t>Memeriksa nomor WA setelah dibersihkan: '62074028372' (Tipe: string)</t>
  </si>
  <si>
    <t>Cashflow saved for 62074028372</t>
  </si>
  <si>
    <t>ORDER SAVED: ID-1765025862578</t>
  </si>
  <si>
    <t>Trigger: #inputorder#
Data Pesanan Jasa Iklan UMKM
Data Pemesan
----
Tanggal: 5-Des-2025
Nama: Aria Junior 
Nama Usaha: Batu Bata Bermutu Bagus 
Jenis Usaha: Bahan Bangunan 
No Whatsapp Bisnis: 6281364568015
Alamat: Jln Raya Padang Bukittinggi no 25 Parit Malintang 
Durasi: 5
Deskripsi produk/jasa: Batu Bata ukuran standar dan super 
Keunggulan: Bata Super dan Kokoh 
Keunikan: Dibuat secara manual, tahan kena hujan dan tahan kepanasan. bertahun kena hujan pun tak akan hancur
Data Target Iklan
----
Lokasi: Sumbar, Padang dan Sekitarnya 
Usia: 25 th ke atas 
Jenis kelamin: laki-laki dan perempuan 
Data Pembayaran
----
Total Bayar: 197000
Cs: Isna
Status: Perpanjang</t>
  </si>
  <si>
    <t>ORDER UPDATED: UPDATE-ID-1764047441428</t>
  </si>
  <si>
    <t>Trigger: #inputlaporan#
Laporan CS Jasa Iklan UMKM
------- 
Nama CS: Rina
Tanggal: 05-Des-2025
Leads:
Jumlah Closing: 
Paket 1: 
Paket 2: 
Paket 3: 
Paket 4: 
Paket 5: 
Repeat Paket 1: 
Repeat Paket 2: 
Repeat Paket 3: 
Repeat Paket 4: 
Repeat Paket 5: 
Catatan:</t>
  </si>
  <si>
    <t>Trigger: #inputorder#
Data Pesanan Jasa Iklan UMKM
Data Pemesan
----
Tanggal: 6-Des-2025
Nama: Bobby Kreshna Syahril 
Nama Usaha: Mazaya Private Cluster 
Jenis Usaha: Properti 
No Whatsapp Bisnis: 6282121160054
Durasi: 5
Deskripsi produk/jasa: 
Private Cluster harga terjangkau di kodya Bandung dengan konsep syariah 
*Keunggulan usaha (wajib):*
- lokasi strategis, dekat ke pintu tol summarecon &amp; mesjid Al Jabbar 
- 5 menit ke RS Al Islam &amp; Metro Indah Mall
- 50 meter ke SMA Negeri dan SMP Negeri
- 15 menit ke UIN dan Univ.Muhamadiyah
*Keunikan usaha (wajib):*
- Tidak perlu BI checking
- Pembayaran bertahap / bisa cicil ke developer 
- Tanpa bunga dan denda
*Promo:* Cash keras 495 juta (diskon 100 jt dari 595 juta)
Data Target Iklan
----
Lokasi: Jawa Barat 
Usia: 25-55 th 
Jenis kelamin: laki-laki dan perempuan 
Data Pembayaran
----
Total Bayar: 197000
Cs: Isna
Status: Baru</t>
  </si>
  <si>
    <t>Memeriksa nomor WA setelah dibersihkan: '6282121160054' (Tipe: string)</t>
  </si>
  <si>
    <t>Cashflow saved for 6282121160054</t>
  </si>
  <si>
    <t>ORDER SAVED: ID-1765064179941</t>
  </si>
  <si>
    <t>Trigger: #inputlaporan#
Laporan CS Jasa Iklan UMKM
------- 
Nama CS:Isna
Tanggal: 05-Des-2025
Leads:40
Jumlah Closing:1
Paket 1:
Paket 2: 
Paket 3: 
Paket 4: 
Paket 5: 
Repeat Paket 1:1
Repeat Paket 2: 
Repeat Paket 3: 
Repeat Paket 4: 
Repeat Paket 5: 
Catatan:</t>
  </si>
  <si>
    <t>Exception: المعلمات (String,String,String) لا تطابق توقيع الطريقة لـ Utilities.formatDate.</t>
  </si>
  <si>
    <t>Trigger: #inputlaporan#
Laporan CS Jasa Iklan UMKM
------- 
Nama CS:Isna
Tanggal: 06-Des-2025
Leads:24
Jumlah Closing:2
Paket 1:2
Paket 2: 
Paket 3: 
Paket 4: 
Paket 5: 
Repeat Paket 1:
Repeat Paket 2: 
Repeat Paket 3: 
Repeat Paket 4: 
Repeat Paket 5: 
Catatan:
7 nores
9 cek harga
7 tanya-tanya 
1 belum ada uang</t>
  </si>
  <si>
    <t>Trigger: #inputlaporan#
Laporan CS Jasa Iklan UMKM
------- 
Nama CS: Yuni
Tanggal: 06-Des-2025
Leads:49
Jumlah Closing: 5
Paket 1: 1
Paket 2: 1
Paket 3: 
Paket 4: 
Paket 5: 
Repeat Paket 1: 2
Repeat Paket 2: 
Repeat Paket 3: 1
Repeat Paket 4: 
Repeat Paket 5: 
Catatan:
29 tanya2
11 no respon
3 berhenti diformat 
2 belum ada uang
1 hasil dulu</t>
  </si>
  <si>
    <t>Trigger: #inputlaporan#
Laporan CS Jasa Iklan UMKM
------- 
Nama CS: Tika
Tanggal: 06-Des-2025
Leads:18
Jumlah Closing:
Paket 1: 
Paket 2: 
Paket 3: 
Paket 4: 
Paket 5: 
Repeat Paket 1: 
Repeat Paket 2: 
Repeat Paket 3: 
Repeat Paket 4: 
Repeat Paket 5: 
Catatan:
5 nores
5 cek harga 
4 tanya tanya 
2 nanti dikabari lagi 
2 isi data</t>
  </si>
  <si>
    <t>Trigger: #inputorder#
Data Pesanan Jasa Iklan UMKM
Data Pemesan
----
Tanggal: 7-Des-2025
Nama: Novi
Nama Usaha: Nophie Catering 
Jenis Usaha: Cateringan rantangan 
No Whatsapp Bisnis: 6387896175092
Alamat: Perumnas Helvita 
Durasi: 5
Deskripsi produk/jasa: 
*Keunggulan usaha*: bisa bayar mingguan atau bulanan dengan yang lebih hemat
*Keunikan usaha*: Menu tantangan citarasa masakan rumahan 
Data Target Iklan
----
Lokasi: Medan Helvetia (jangkauan jarang 2-3km dari lokasi)
Usia: 18-65 tahun 
Jenis kelamin: semua
Data Pembayaran
----
Total Bayar: 197000
Cs: Tika 
Status: Baru</t>
  </si>
  <si>
    <t>Memeriksa nomor WA setelah dibersihkan: '6387896175092' (Tipe: string)</t>
  </si>
  <si>
    <t>Trigger: #inputorder#
Data Pesanan Jasa Iklan UMKM
Data Pemesan
----
Tanggal: 7-Des-2025
Nama: Novi
Nama Usaha: Nophie Catering 
Jenis Usaha: Cateringan rantangan 
No Whatsapp Bisnis: 6287896175092
Alamat: Perumnas Helvita 
Durasi: 5
Deskripsi produk/jasa: 
*Keunggulan usaha*: bisa bayar mingguan atau bulanan dengan yang lebih hemat
*Keunikan usaha*: Menu tantangan citarasa masakan rumahan 
Data Target Iklan
----
Lokasi: Medan Helvetia (jangkauan jarang 2-3km dari lokasi)
Usia: 18-65 tahun 
Jenis kelamin: semua
Data Pembayaran
----
Total Bayar: 197000
Cs: Tika 
Status: Baru</t>
  </si>
  <si>
    <t>Memeriksa nomor WA setelah dibersihkan: '6287896175092' (Tipe: string)</t>
  </si>
  <si>
    <t>Cashflow saved for 6287896175092</t>
  </si>
  <si>
    <t>ORDER SAVED: ID-1765082566596</t>
  </si>
  <si>
    <t>Trigger: #inputorder#
Data Pesanan Jasa Iklan UMKM
Data Pemesan
----
Tanggal: 7-Des-2025
Nama: Arfi
Nama Usaha: AJP Arfi jaya perkasa 
Jenis Usaha: Jasa sewa lift cor dan molen 
No Whatsapp Bisnis: 6289673319845
Alamat usaha: Mranggen Demak 
Durasi: 5
Deskripsi produk/jasa: Sewa lift cor dan molen bangunan + tenaga juga bisa alat" komplit 
*Keunggulan usaha*: Bisa masuk gang sempit
*Keunikan usaha*: Pengecoran tidak membutuhkan orang lebih dari 10 sampai 30 
Data Target Iklan
----
Lokasi: Semarang
Usia: 20 tahun ke atas
Jenis kelamin: semua
Data Pembayaran
----
Total Bayar: 197000
Cs: Tika 
Status: Perpanjang</t>
  </si>
  <si>
    <t>Trigger: #inputorder#
Data Pesanan Jasa Iklan UMKM
Data Pemesan
Tanggal:07-Des-2025
Nama: klinik nyeri
Nama Usaha: KLINIK NYERI LUTUT, STROKE, DAN TULANG BELAKANG
Jenis Usaha: Klinik kesehatan 
No Whatsapp Bisnis:6281288965454
Alamat usaha: jalan pratidina nomor 7 kepoh tohudan colomadu Karanganyar Jawa Tengah 
Deskripsi produk/jasa:
KLINIK NYERI LUTUT, STROKE DAN TULANG BELAKANG 
Kelumpuhan pasca stroke&gt;&gt; 5 hari berturut turut kekuatan pergerakan stroke terlihat bedanya menjadi &gt;&gt; kelumpuhan pasca stroke penyumbatan ( bukan stroke pecah pembuluh darah ) 15 hari berturut turut ,kekuatan pergerakan pasca stroke penyumbatan nya terlihat bedanya
Data Target Iklan 
Lokasi: Solo raya
Sukoharjo
Wonogiri
Klaten 
Karangnganyar
Boyolali
Usia:50keatas
Jenis kelamin: semua 
Durasi:5
Data Pembayaran
----
Total Bayar: 197000
Cs: Yuni
Status: Perpanjang</t>
  </si>
  <si>
    <t>Cashflow saved for 6281288965454</t>
  </si>
  <si>
    <t>ORDER SAVED: ID-1765096657404</t>
  </si>
  <si>
    <t>Trigger: #inputlaporan#
Laporan CS Jasa Iklan UMKM
------- 
Nama CS: Rina
Tanggal: 06-Des-2025
Leads:
Jumlah Closing: 
Paket 1: 
Paket 2: 
Paket 3: 
Paket 4: 
Paket 5: 
Repeat Paket 1: 
Repeat Paket 2: 
Repeat Paket 3: 
Repeat Paket 4: 
Repeat Paket 5: 
Catatan:</t>
  </si>
  <si>
    <t>Trigger: #inputorder#
Data Pesanan Jasa Iklan UMKM
Data Pemesan
----
Tanggal: 7-Des-2025
Nama: Heru Widodo 
Nama Usaha: Ragil Mapan 58
Jenis Usaha: perdagangan kayu
No Whatsapp Bisnis: 6282230035858
Alamat: Jl Lettu Sugiarno Rt 001 Rw 004, slokopan, sokorini, muntilan
Durasi: 5
Deskripsi produk/jasa: 
Pusat Kayu Kalimantan. Melayani Grosir dan Eceran. Kualitas terbaik. Harga Murah. Banyak diskon. Siap kirim². 
Menyediakan Bengkirai, Kruing, Kamper, Decking, Papan, Usuk, Reng, Ram, Bahan Jendela dan Kusen dll.
Keunggulan usaha: Memberikan Pelayanan dan Kualitas terbaik. Kualitas adalah Prioritas
Data Target Iklan
----
Lokasi: utama-magelang, muntilan, sleman, DIY, klaten, purworejo, temanggung.
Usia: 25-65 th
Jenis kelamin: laki-laki dan perempuan 
Data Pembayaran
----
Total Bayar: 197000
Cs: Isna
Status: Perpanjang</t>
  </si>
  <si>
    <t>Memeriksa nomor WA setelah dibersihkan: '6282230035858' (Tipe: string)</t>
  </si>
  <si>
    <t>ORDER UPDATED: UPDATE-ORD-125</t>
  </si>
  <si>
    <t>Trigger: #inputlaporan#
Laporan CS Jasa Iklan UMKM
------- 
Nama CS: Isna 
Tanggal: 07-Des-2025
Leads:
Jumlah Closing:1
Paket 1: 
Paket 2: 
Paket 3: 
Paket 4: 
Paket 5: 
Repeat Paket 1:1
Repeat Paket 2: 
Repeat Paket 3: 
Repeat Paket 4: 
Repeat Paket 5: 
Catatan:</t>
  </si>
  <si>
    <t>Trigger: #inputorder#
Data Pesanan Jasa Iklan UMKM
Data Pemesan
----
Tanggal: 8-Des-2025
Nama: Sandy L
Nama Usaha: Torajahighland Coffee 
Jenis Usaha: Jual kopi biji sudah roasting/sangrai biji dan bubuk
No Whatsapp Bisnis: 6282193076208
Alamat: Jalan Mappanyukki 69 Komp.Kehutanan Makasar 
Durasi: 5
Deskripsi produk/jasa: 
*Keunggulan usaha*: Menjual kopi siap seduh biji dan bubuk yang fresh kurang dari 3 hari usai sangrai/roasting, menerima jasa roasting kopi, jual kopi mentah/green Beans coffee 
*Keunikan usaha*: Free Ongkir dalan kota Makassar dan bisa cod dalam kota Makassar, untuk jasa roasting murah cuma 15.000 kg (berat roast Beans) untuk jualan Green Beans kami menyediakan biji biji kopi berkualitas dengan harga terjangkau 
Promo: Untuk jualan kopi siap seduh bisa free ongkir dan cod dalam kota Makassar, fast respon, cocok untuk oleh oleh kota Makassar 
Data Target Iklan
----
Lokasi: kota Makassar 
Usia: 30-55 tahun 
Jenis kelamin: semua 
Data Pembayaran
----
Total Bayar: 150000
Cs: Tika 
Status: Baru</t>
  </si>
  <si>
    <t>Memeriksa nomor WA setelah dibersihkan: '6282193076208' (Tipe: string)</t>
  </si>
  <si>
    <t>Cashflow saved for 6282193076208</t>
  </si>
  <si>
    <t>ORDER SAVED: ID-1765151488862</t>
  </si>
  <si>
    <t>Trigger: #inputlaporan#
Laporan CS Jasa Iklan UMKM
------- 
Nama CS: Tika
Tanggal: 07-Des-2025
Leads:14
Jumlah Closing:2
Paket 1: 1
Paket 2: 
Paket 3: 
Paket 4: 
Paket 5: 
Repeat Paket 1:1
Repeat Paket 2: 
Repeat Paket 3: 
Repeat Paket 4: 
Repeat Paket 5: 
Catatan:
4 nores
7 cek harga
1 tanya tanya 
1 nunggu TF 
1 DP</t>
  </si>
  <si>
    <t>Trigger: #inputlaporan#
Laporan CS Jasa Iklan UMKM
------- 
Nama CS: Yuni
Tanggal: 07-Des-2025
Leads:
Jumlah Closing: 1
Paket 1: 
Paket 2: 
Paket 3: 
Paket 4: 
Paket 5: 
Repeat Paket 1: 1
Repeat Paket 2: 
Repeat Paket 3: 
Repeat Paket 4: 
Repeat Paket 5: 
Catatan:</t>
  </si>
  <si>
    <t>Trigger: #inputorder#
Data Pesanan Jasa Iklan UMKM
Data Pemesan
----
Tanggal: 6-Des-2025
Nama: ki yetno 
Nama Usaha: totok syaraf jari petir Magelang 
Jenis Usaha: pelatihan 
Alamat usaha: jln sunan geseng no 08 RT 01/01 Tlogorejo sekarlangit Grabag Magelang Jawa Tengah 
No Whatsapp Bisnis:6282241377832
Durasi: 10
Deskripsi produk/jasa:
Keunggulan: bisa langsung di buktikan 
Keunikan: tanpa mantra
Data Target Iklan
----
Lokasi: Jawa Tengah dan DIY 
Usia: bebas 
Jenis kelamin:laki dan perempuan 
Data Pembayaran
----
Total Bayar: 375000
Cs: Maya
Status: Baru</t>
  </si>
  <si>
    <t>Memeriksa nomor WA setelah dibersihkan: '6282241377832' (Tipe: string)</t>
  </si>
  <si>
    <t>Cashflow saved for 6282241377832</t>
  </si>
  <si>
    <t>ORDER SAVED: ID-1765161459036</t>
  </si>
  <si>
    <t>Trigger: #inputorder#
Data Pesanan Jasa Iklan UMKM
Data Pemesan
Tanggal: 08-Des-2025  
Nama:Arip
Nama Usaha: Pratama Digital  
Jenis Usaha: Jasa Pembuatan NPWP
No Whatsapp Bisnis:6281347069998
Alamat usaha: -
*Deskripsi produk/jasa:*  
Pratama Digital menyediakan layanan pembuatan NPWP pribadi dan badan secara online, cepat, dan terpercaya. Cocok untuk UMKM, karyawan, freelancer, dan pemilik usaha di seluruh Indonesia.
*Keunggulan usaha (wajib):*  
✅ Buka setiap hari termasuk hari libur
✅ Pembayaran bisa di akhir (setelah NPWP Selesai)  
✅ Proses cepat kilat (1 jam jadi)  
✅ Garansi resmi, dokumen valid dan sah  
✅ CS ramah, siap membantu sampai NPWP selesai  
*Keunikan usaha (wajib):*  
• Layanan full online, tanpa perlu keluar rumah
• Melayani seluruh Indonesia  
• konsultasi gratis untuk setiap pelanggan
• Bisa urus NPWP pribadi &amp; badan sekaligus  
*Promo:*  
—
*Data Target Iklan*  
Lokasi: Seluruh Indonesia  
Usia: 19–45 tahun  
Jenis kelamin: Laki-laki &amp; Perempuan  
Durasi: 5
Data Pembayaran
Total Bayar: 197.000  
CS: Yuni  
Status: Baru</t>
  </si>
  <si>
    <t>Memeriksa nomor WA setelah dibersihkan: '6281347069998' (Tipe: string)</t>
  </si>
  <si>
    <t>Cashflow saved for 6281347069998</t>
  </si>
  <si>
    <t>ORDER SAVED: ID-1765165172995</t>
  </si>
  <si>
    <t>Trigger: #inputorder#
Data Pesanan Jasa Iklan UMKM
Data Pemesan
----
Tanggal: 8-Des-2025
Nama: Alfaiz
Nama Usaha: Distributor Resmi AFC Farmasi 
Jenis Usaha: Kesehatan 
No Whatsapp Bisnis: 62887435792882
Durasi: 5
Deskripsi produk/jasa: 
Distributor Resmi AFC Farmasi Tertua dan Terbesar di Jepang Utsukushi SOP Subarashi dan Hikari 
Yg lagi berjuang sehat dari cancer, tumor, yg lagi pengobatan dokter atau sudah kemo, boleh sembari konsumsi makanan kesehatan dari farmasi Jepang ini ya.. Sudah ribuan orang yg sudah sembuh bahkan ketua Yayasan kanker Indonesia pun menganjurkan ini dikonsumsi oleh pejuang kanker.. 
Prodak AFC sudah uji klinis dan Panten pungsi
Data Target Iklan
----
Lokasi: Gowa Makassar 
Usia: 25-65 th
Jenis kelamin: laki-laki dan perempuan 
Data Pembayaran
----
Total Bayar: 197000
Cs: Isna
Status: Perpanjang</t>
  </si>
  <si>
    <t>Memeriksa nomor WA setelah dibersihkan: '62887435792882' (Tipe: string)</t>
  </si>
  <si>
    <t>Cashflow saved for 62887435792882</t>
  </si>
  <si>
    <t>ORDER SAVED: ID-1765187410500</t>
  </si>
  <si>
    <t>Trigger: #inputorder#
Data Pesanan Jasa Iklan UMKM
Data Pemesan
----
Tanggal: 8-Des-2025
Nama: Dadang Spd. (Abah Asri)
Nama Usaha: TERAPHY HIPNOSIS 
Jenis Usaha: terapi 
No Whatsapp Bisnis: 6285720705874
Alamat: Jln Jend Sudirman no 28 Jajaway RT 02 Rw 17 Desa Citepus (Sanggar Sekar Jaladri) Pelabuhanratu Sukabumi 
Durasi: 10
Deskripsi produk/jasa: 
🌿✨ KUNFAYAKUN THERAPY HYPNOSIS
“Dengan izin Allah, segala sesuatu bisa terjadi — Kunfayakun.”
⸻
🔮 Butuh Solusi untuk Masalah Hidup yang Tak Kunjung Selesai?
Jangan biarkan stres, kebiasaan buruk, atau gangguan batin menghambat kebahagiaan Anda.
Kini saatnya menemukan ketenangan, kesembuhan, dan keseimbangan hidup dengan terapi hipnosis dan spiritual modern di Kunfayakun Therapy Hypnosis.
⸻
💫 Layanan Unggulan Kami
🧠 Terapi Psikologis &amp; Emosional
Atasi masalah yang membebani pikiran dan hati:
 • Stres, depresi, cemas, insomnia
 • Trauma, fobia, amnesia
 • Baby blues, nervous, psikosomatis
💪 Terapi Fisik
 • Penyembuhan keseleo tanpa rasa sakit dengan relaksasi bawah sadar dan sugesti penyembuhan alami.
🔁 Perbaikan Kebiasaan &amp; Perilaku
 • Mengatasi malas belajar
 • Menghentikan kecanduan game
 • Mengurangi latah / refleks berlebihan (gehgeran, elodan, beragan)
🌙 Terapi Spiritual &amp; Metafisika
 • Membantu mengatasi pelet, gendam, gangguan jin, guna-guna, dan energi negatif
 • Pembersihan aura dan pemulihan energi diri
⸻
🌟 Mengapa Memilih Kunfayakun Therapy Hypnosis?
✅ Pendekatan holistik — memadukan kekuatan hipnoterapi modern dan doa spiritual Islami
✅ Terapi tanpa obat &amp; tanpa efek samping
✅ Ditangani langsung oleh Abah Asri, praktisi berpengalaman
✅ Layanan ramah, aman, dan penuh ketulusan
✅ Terbuka untuk semua kalangan — dari anak-anak hingga dewasa
⸻
📍 Alamat Praktek
Sanggar Sekar Jaladri
Jl. Sudirman No. 28, Jajaway RT 02 RW 17
Desa Citepus, Palabuhanratu, Kab. Sukabumi
🕘 Buka Setiap Hari: 09.00 – 20.00 WIB
📞 Hubungi: 0572-070-5874 (Abah Asri)
⸻
💬 “Bukan sekadar terapi, tapi perjalanan menuju keseimbangan diri.”
✨ Rasakan keajaiban perubahan melalui Kunfayakun Therapy Hypnosis —
Saat pikiran, tubuh, dan jiwa menyatu dalam ketenangan.
Melayani jasa hipnoteraphi praktek setiap hari buka jam 9.00 tutup jam 20.00
Data Target Iklan
----
Lokasi: Sukabumi, Cianjur, Bekasi, Depok, Banten 
Usia: 10-60 th
Jenis kelamin: laki-laki dan perempuan 
Data Pembayaran
----
Total Bayar: 375000
Cs: Isna
Status: Perpanjang</t>
  </si>
  <si>
    <t>Memeriksa nomor WA setelah dibersihkan: '6285720705874' (Tipe: string)</t>
  </si>
  <si>
    <t>ORDER UPDATED: UPDATE-ORD-754</t>
  </si>
  <si>
    <t>Trigger: Data Pesanan Jasa Iklan UMKM
Data Pemesan
Tanggal:08-Des-2025
Nama: Diana
Nama Usaha: Putri Diana Snacks
Jenis Usaha: Makanan Ringan, Dessert
No Whatsapp Bisnis:6281913223387
Alamat usaha: jl  nyamplungan gg 4 no 28 surabaya
Deskripsi produk/jasa: Makanan Ringan, Dessert
seperti:puding vla, kripik pisang, kripik singkong, makaroni,mie lidi dll
*Keunggulan usaha (wajib):*Dalam Keadaan Kemasan, aman untuk Dikonsumsi*
*keunikan usaha (wajib):*Ada citarasa khas di Produk kami*
Promo:
Data Target Iklan 
Lokasi: Surabaya Utara,jatim
Usia: 29 tahun
Jenis kelamin: semua
Durasi:5
Data Pembayaran
----
Total Bayar: 197000
Cs: Yuni
Status:Baru</t>
  </si>
  <si>
    <t>Trigger: #inputorder#
Data Pesanan Jasa Iklan UMKM
Data Pemesan
Tanggal:08-Des-2025
Nama: Diana
Nama Usaha: Putri Diana Snacks
Jenis Usaha: Makanan Ringan, Dessert
No Whatsapp Bisnis:6281913223387
Alamat usaha: jl  nyamplungan gg 4 no 28 surabaya
Deskripsi produk/jasa: Makanan Ringan, Dessert
seperti:puding vla, kripik pisang, kripik singkong, makaroni,mie lidi dll
*Keunggulan usaha (wajib):*Dalam Keadaan Kemasan, aman untuk Dikonsumsi*
*keunikan usaha (wajib):*Ada citarasa khas di Produk kami*
Promo:
Data Target Iklan 
Lokasi: Surabaya Utara,jatim
Usia: 29 tahun
Jenis kelamin: semua
Durasi:5
Data Pembayaran
----
Total Bayar: 197000
Cs: Yuni
Status:Baru</t>
  </si>
  <si>
    <t>Memeriksa nomor WA setelah dibersihkan: '6281913223387' (Tipe: string)</t>
  </si>
  <si>
    <t>Cashflow saved for 6281913223387</t>
  </si>
  <si>
    <t>ORDER SAVED: ID-1765188174897</t>
  </si>
  <si>
    <t>Trigger: #inputorder#
Data Pesanan Jasa Iklan UMKM
Data Pemesan
----
Tanggal: 8-Des-2025
Nama: Alex Wijaya
Nama Usaha: Ayam Geprek Gatotkaca 
Jenis Usaha: UMKM
No Whatsapp Bisnis: 6282335993848
Alamat usaha: Jalan raya Sugihwaras Bojonegoro depan gedung serbaguna samping Indomaret 
Durasi: 5
Deskripsi produk/jasa: 
Ayam geprek Gatotkaca pedesnya bikin nagih, renyahnya seperti helm Gatotkaca yang tak tertembus!
💥 Daging juicy, bumbu rahasia 7 rempah, disajikan dengan sambal ijo ekstra Pedas dan topping keju meleleh.
*Keunggulan usaha*: 
- Renyah diluar, lembut di dalam 
- Pedas yang terkontrol 
- Harga bersahabat 
Promo: Promo seumur hidup bebas pilih dimulai dari paha dada sayap
Data Target Iklan
----
Lokasi: Sugihwaras, Balen, Temayang, Dander, Kedungadem 
Usia: 17-60 tahun 
Jenis kelamin: Semua 
Data Pembayaran
----
Total Bayar: 197000
Cs: Tika 
Status: Baru</t>
  </si>
  <si>
    <t>Memeriksa nomor WA setelah dibersihkan: '6282335993848' (Tipe: string)</t>
  </si>
  <si>
    <t>Cashflow saved for 6282335993848</t>
  </si>
  <si>
    <t>ORDER SAVED: ID-1765189152489</t>
  </si>
  <si>
    <t>Trigger: #inputorder#
Data Pesanan Jasa Iklan UMKM
Data Pemesan
----
Tanggal: 8-Des-2025
Nama: Rangga
Nama Usaha: Internet/wifi indihome 
Jenis Usaha: Pemasangan baru internet/wifi indihome 
No Whatsapp Bisnis: 6285167231114
Alamat: Jalan MT Haryono Balikpapan Sukuraja sepaku IKN
Durasi: 30
Deskripsi produk/jasa: Menerima pemasangan baru internet Indihome 
*Keunggulan usaha*: Jaringan stabil, harga murah &amp; flat, wifi tidak lemot 
Promo: internet murah mulai dari 89.000 
Data Target Iklan
----
Lokasi: Balikpapan, Sukaraja, IKN, Grogot, Batu kajang
Usia: 18 -55 tahun 
Jenis kelamin: Bebas
Data Pembayaran
----
Total Bayar: 1000000
Cs: Tika 
Status: Perpanjang</t>
  </si>
  <si>
    <t>Trigger: #inputlaporan#
Laporan CS Jasa Iklan UMKM
------- 
Nama CS: Yuni
Tanggal: 08-Des-2025
Leads:54
Jumlah Closing: 2
Paket 1: 2
Paket 2: 
Paket 3: 
Paket 4: 
Paket 5: 
Repeat Paket 1: 
Repeat Paket 2: 
Repeat Paket 3: 
Repeat Paket 4: 
Repeat Paket 5: 
Catatan:
35 tanya2
12 no respon 
2 format order
2 hasil dulu
1 diblok</t>
  </si>
  <si>
    <t>Trigger: #inputlaporan#
Laporan CS Jasa Iklan UMKM
------- 
Nama CS: Tika
Tanggal: 08-Des-2025
Leads:2
Jumlah Closing:3
Paket 1: 2
Paket 2: 
Paket 3: 
Paket 4: 
Paket 5: 
Repeat Paket 1: 
Repeat Paket 2: 
Repeat Paket 3: 
Repeat Paket 4: 
Repeat Paket 5: 1
Catatan:
1 nores
1 cek harga</t>
  </si>
  <si>
    <t>Trigger: #inputorder#
Data Pesanan Jasa Iklan UMKM
Data Pemesan
----
Tanggal: 8-Des-2025
Nama: Sukriadi 
Nama Usaha: Bengkel Rama Las 
Jenis Usaha: Bengkel Las 
No Whatsapp Bisnis: 6282343826004
Alamat: salulemo kecamatan sukamaju 
Durasi: 5
Deskripsi produk/jasa: Proses pengerjaan baja ringan dan pembesian 
*Keunggulan usaha*: Bahan kualitas dan rapi merespon dengan kinerja cepat 
*Keunikan usaha*: Tergantung saling bertukar pendapat dengan konsumen 
Data Target Iklan
----
Lokasi: Luwu Utara dan sekitarnya, Palopo dan sekitarnya, tana lili dan sekitarnya, Luwu Timur dan sekitarnya 
Usia: 25 tahun ke atas 
Jenis kelamin: Semua
Data Pembayaran
----
Total Bayar: 197000
Cs: Isna
Status: Baru</t>
  </si>
  <si>
    <t>Memeriksa nomor WA setelah dibersihkan: '6282343826004' (Tipe: string)</t>
  </si>
  <si>
    <t>Cashflow saved for 6282343826004</t>
  </si>
  <si>
    <t>ORDER SAVED: ID-1765252060119</t>
  </si>
  <si>
    <t>9 Des 2025</t>
  </si>
  <si>
    <t>Trigger: #inputorder#
Data Pesanan Jasa Iklan UMKM
Data Pemesan
Tanggal:9-Des-2025
Nama:Maratus sholikhah 
Nama Usaha: Batik motif custom
Jenis Usaha:konveksi
No Whatsapp Bisnis:6285640688815
Alamat usaha: Gejaban RT 01 RW 06 Banyusari Grabag kab Magelang 
Deskripsi produk/jasa:
Cetak batik Satu hari jadi
Tanpa minimal order
Free sampel
Hasil tajam 
Warna bebas
Kain berkualitas dan nyaman dipakai
Bisa buat komunitas ,instansi ,sekolah dan bisnis
Bingung design?
Tenang
Tersedia katalog design batik keren
Pesan sekarang juga
Tinggal pilih langsung cetak
*Keunggulan usaha (wajib):kain berkualitas*
*keunikan usaha (wajib):hasil tajam*
Promo:
Data Target Iklan 
Lokasi: seluruh Indonesia 
Usia: 48
Jenis kelamin:Perempuan
Durasi:5
Data Pembayaran
----
Total Bayar: 197000
Cs: Yuni
Status:Baru</t>
  </si>
  <si>
    <t>Memeriksa nomor WA setelah dibersihkan: '6285640688815' (Tipe: string)</t>
  </si>
  <si>
    <t>Cashflow saved for 6285640688815</t>
  </si>
  <si>
    <t>ORDER SAVED: ID-1765273716677</t>
  </si>
  <si>
    <t>Trigger: #inputorder#
Data Pesanan Jasa Iklan UMKM
Data Pemesan
----
Tanggal: 8-Des-2025
Nama: Zulpadli
Nama Usaha: Pelatihan Pengobatan Kejantanan &amp; Kesuburan Serta Promil 
Jenis Usaha: Pelatihan Pengobatan 
No Whatsapp Bisnis: 6282285691485
Alamat: Hotel Cempaka Syariah Jl Arifin Ahmad Pekanbaru 
Durasi: 7
Deskripsi produk/jasa: 
*Keunggulan usaha (wajib):*
*keunikan usaha (wajib):*PELATIHAN INI SPESIAL PENANGANAN  KEJANTANAN DAN KESUBURAN SERTA PROGRAM KEHAMILAN
Promo: BAGI YG DAFTAR LANGSUNG BAYAR MINIMAL DP .DAPAT DISKON 500 RIBU ...
*HADIR DI KOTA PEKANBARU*
*PELATIHAN PENANGANAN KEJANTANAN PRIA DAN PROGRAM HAMIL*
▪️▪️▪️▪️▪️▪️
*BERSAMA TRAINER*
*▪️SINSE NURSIN .S.Ud.CAHTM*
===============
*▪️PRAKTISI PIJAT KEJANTANAN ATAU PASTURI*
*▪️TRAINER PIJAT DAN SENAM GINJAL*
*▪️DIREKTUR LKP LEBAH MAS*
===============
*MATERI*
*💠SISTEMATIKA TERAPI HOLISTIK TERKAIT PENINGKATAN STAMINA*
*💠KAIDAH KAIDAH LELAKIBPERKASA*
*💠LEBIH DARI 10 JENIS TEKNIK TERAPI KESUBURAN PASTURI*
➖➖➖➖➖➖
*FASILITAS*
*▶️MATERI PDF*
*▶️SERTIFIKAT PELATIHAN*
*▶️MINYAK DAN HERBAL STAMINA   PRIA*SENILAI 300RB*
*▶️FREE PENGINAPAN 1 MALAM*
*▶️MAKAN DAN SNACK SELAMA ACARA*
*▶️KOSULTASI DIGRUP*
===============
🔲
HARI/TGL: SABTU/AHAD 20DAN 21 DESEMBER 2025
Jam : 08:00/17:00
===============
💵INVESTASI Rp.2500.000.
🏬TEMPAT : HOTEL CEMPAKA SYARIAH JL ARIFIN AHMAD PEKANBARU .
Data Target Iklan
----
Lokasi: Riau 
Usia: 21-55 th
Jenis kelamin: laki-laki 
Data Pembayaran
----
Total Bayar: 297000
Cs: Isna
Status: Baru</t>
  </si>
  <si>
    <t>Memeriksa nomor WA setelah dibersihkan: '6282285691485' (Tipe: string)</t>
  </si>
  <si>
    <t>Cashflow saved for 6282285691485</t>
  </si>
  <si>
    <t>ORDER SAVED: ID-1765318628307</t>
  </si>
  <si>
    <t>Trigger: #inputorder#
Data Pesanan Jasa Iklan UMKM
Data Pemesan
----
Tanggal: 9-Des-2025
Nama: Muhammad Radhi Mafazi 
Nama Usaha: Jersi Sufi Real 
Jenis Usaha: Jersey Original 
No Whatsapp Bisnis: 6285339145161
Alamat: Toko Online Alamat Pengiriman Jogja 
Durasi: 10
Deskripsi produk/jasa: 
Keunggulan usaha: Jersey Original Penuh Kenangan 
Keunikan: Berani beda Dari yang lain
Promo: Pembelian Direct Transfer Free Ongkir Keseluruhan Indonesia 
Data Target Iklan
----
Lokasi: DIY, Jawa Tengah, DKI, Jawa Barat, Jawa Timur, Kalimantan Barat, Kalimantan Tengah, Kalimantan Utara, Sulawesi Tengah, Sulawesi Tenggara, Sulawesi Selatan, Kuala Lumpur 
Usia: 23-40 th
Jenis kelamin: laki-laki 
Data Pembayaran
----
Total Bayar: 375000
Cs: Isna
Status: Baru</t>
  </si>
  <si>
    <t>Memeriksa nomor WA setelah dibersihkan: '6285339145161' (Tipe: string)</t>
  </si>
  <si>
    <t>Cashflow saved for 6285339145161</t>
  </si>
  <si>
    <t>ORDER SAVED: ID-1765318716564</t>
  </si>
  <si>
    <t>Trigger: #inputorder#
Data Pesanan Jasa Iklan UMKM
Data Pemesan
----
Tanggal: 9-Des-2025
Nama: Wanto Pranoto 
Nama Usaha: Cipta Jaya Kreasindo 
Jenis Usaha: Glass &amp; Almunium 
No Whatsapp Bisnis: 6289509489308
Alamat: Kp Cisereh rt 03 rw 06 desa kadu jaya kecamatan curug tangerang banten 
Durasi: 30
Deskripsi produk/jasa: 
Specialist:
- pemasangan kaca
- kusen almunium 
- kusen uvpc
- relling tangga kaca
- kanopi kaca
- cermin dekorasi 
- pintu otomatis kaca
- pagar besi, kanopi besi
- etalase dll
Keunggulan: tahan lama dan berkualitas, desain modern dan elegan, perawatan mudah, ramah lingkungan, proses pengerjaan cepat
Data Target Iklan
----
Lokasi: Pulau Jawa (dari banten sampai jawa timur)
Usia: 25 th ke atas 
Jenis kelamin: laki-laki dan perempuan 
Data Pembayaran
----
Total Bayar: 1000000
Cs: Isna
Status: Perpanjang</t>
  </si>
  <si>
    <t>Memeriksa nomor WA setelah dibersihkan: '6289509489308' (Tipe: string)</t>
  </si>
  <si>
    <t>ORDER UPDATED: UPDATE-ORD-1180</t>
  </si>
  <si>
    <t>Trigger: #inputlaporan#
Laporan CS Jasa Iklan UMKM
------- 
Nama CS: Yuni
Tanggal: 09-Des-2025
Leads:11
Jumlah Closing: 1
Paket 1: 1
Paket 2: 
Paket 3: 
Paket 4: 
Paket 5: 
Repeat Paket 1: 
Repeat Paket 2: 
Repeat Paket 3: 
Repeat Paket 4: 
Repeat Paket 5: 
Catatan:
6 tanya2
3 no respon 
1 ga ada uang
1 diblok</t>
  </si>
  <si>
    <t>Trigger: #inputlaporan#
Laporan CS Jasa Iklan UMKM
------- 
Nama CS: Isna
Tanggal: 08-Des-2025
Leads:27
Jumlah Closing:4
Paket 1:1
Paket 2:1
Paket 3: 
Paket 4: 
Paket 5: 
Repeat Paket 1:1
Repeat Paket 2:1
Repeat Paket 3: 
Repeat Paket 4: 
Repeat Paket 5:
Catatan:
12 cek harga
  4 nores
  8 tanya-tanya 
  2 belum isi data</t>
  </si>
  <si>
    <t>Trigger: #inputlaporan#
Laporan CS Jasa Iklan UMKM
------- 
Nama CS: Isna
Tanggal: 09-Des-2025
Leads:46
Jumlah Closing:2
Paket 1:
Paket 2:1
Paket 3: 
Paket 4: 
Paket 5: 
Repeat Paket 1:
Repeat Paket 2:
Repeat Paket 3: 
Repeat Paket 4: 
Repeat Paket 5:1
Catatan:
14 cek harga
13 nores
18 tanya-tanya 
  1 belum isi data</t>
  </si>
  <si>
    <t>Trigger: #inputlaporan#
Laporan CS Jasa Iklan UMKM
------- 
Nama CS: Tika
Tanggal: 09-Des-2025
Leads:15
Jumlah Closing:
Paket 1: 
Paket 2: 
Paket 3: 
Paket 4: 
Paket 5: 
Repeat Paket 1: 
Repeat Paket 2: 
Repeat Paket 3: 
Repeat Paket 4: 
Repeat Paket 5: 
Catatan:
6 tanya tanya 
4 cek harga 
3 belum kirim vidio 
1 nanti dikabari lagi
1 nores</t>
  </si>
  <si>
    <t>Trigger: #inputorder#
Data Pesanan Jasa Iklan UMKM
Data Pemesan
----
Tanggal: 10-Des-2025
Nama: Burhan
Nama Usaha: Burhan Berdikari 
Jenis Usaha: Bengkel las
No Whatsapp Bisnis: 6285725312977
Alamat: Brogo RT 1 RW 4 Donohudan Ngemplak Boyolali Surakarta 
Durasi: 5
Deskripsi produk/jasa: 
Melayani pengerjaan 
- besi
- stenlis
- baja ringan
- konstruksi baja
- plafon gypsum 
- partisi 
- kaca
- alumunium 
*Keunggulan usaha*: harga bersahabat, kualitas terjamin
Data Target Iklan
----
Lokasi: Surakarta 
Usia: Bebas
Jenis kelamin: Semua
Data Pembayaran
----
Total Bayar: 197000
Cs: Tika 
Status: Baru</t>
  </si>
  <si>
    <t>Memeriksa nomor WA setelah dibersihkan: '6285725312977' (Tipe: string)</t>
  </si>
  <si>
    <t>Cashflow saved for 6285725312977</t>
  </si>
  <si>
    <t>ORDER SAVED: ID-1765363734098</t>
  </si>
  <si>
    <t>Trigger: #inputlaporan#
Laporan CS Jasa Iklan UMKM
------- 
Nama CS: Isna
Tanggal: 10-Des-2025
Leads:62
Jumlah Closing: 
Paket 1:
Paket 2: 
Paket 3: 
Paket 4: 
Paket 5: 
Repeat Paket 1: 
Repeat Paket 2: 
Repeat Paket 3: 
Repeat Paket 4: 
Repeat Paket 5: 
Catatan:
23 nores
20 cek harga 
13 tanya-tanya 
  4 belum isi data 
  2 nunggu TF</t>
  </si>
  <si>
    <t>Trigger: #inputorder#
Data Pesanan Jasa Iklan UMKM
Data Pemesan
----
Tanggal: 11-Des-2025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Durasi:10
Data Pembayaran
----
Total Bayar: 375000
Cs: Yuni
Status: Perpanjang</t>
  </si>
  <si>
    <t>Trigger: #inputlaporan#
Laporan CS Jasa Iklan UMKM
------- 
Nama CS: Yuni
Tanggal: 10-Des-2025
Leads:16
Jumlah Closing: 
Paket 1: 
Paket 2: 
Paket 3: 
Paket 4: 
Paket 5: 
Repeat Paket 1: 
Repeat Paket 2: 
Repeat Paket 3: 
Repeat Paket 4: 
Repeat Paket 5: 
Catatan:
8 tanya2
4 no respon 
2 ga ada uang
2 pelajari dulu</t>
  </si>
  <si>
    <t>Trigger: #inputorder#
Data Pesanan Jasa Iklan UMKM
Data Pemesan
----
Tanggal: 10-Des-2025
Nama: Juwariyah 
Nama Usaha: Agen plus BP 
Jenis Usaha: suplemen 
Alamat usaha: 
No Whatsapp Bisnis:6282113490142
Durasi: 5
Deskripsi produk/jasa:
Keunggulan: British propolis.produknya kental menandakan asli ngak ada campuran.British propolis adalah cairan rekomendasi alquran terdapat pada (surah An nahl ayat 69).cairan yg di hasilkan oleh lebah ada 4 macam antara lain 
1.Royal jelly
2.madu
3.Beepolen
4 Propolis
nah di antara ke empat ini Propolis yg paling unggul khasiatnya.
Aromanya beda 
standar dunia aman di konsumsi.
3 hari konsumsi rutin terasa manfaatnya.
sudah bersertifikat Halal, Bpom,dan bahkan sudah memiliki sertifikat FDA( Badan sertifikasi internasional)
selain di rekomendasi kan langit banyak di rekomendasi oleh artis ,ulama dan tokoh nasional
*keunikan usaha (wajib):*British propolis berasal dari Inggris yg mempunyai 4 musim.dan terkenal dengan kualitas produknya
Promo:
beli 2 hemat 50rb
beli 3 hemat 100rb
beli 4 hemat 250rb
Data Target Iklan
----
Lokasi: Indonesia 
Usia: bebas
Jenis kelamin:laki dan perempuan 
Data Pembayaran
----
Total Bayar: 197000
Cs: Maya
Status: Baru</t>
  </si>
  <si>
    <t>Memeriksa nomor WA setelah dibersihkan: '6282113490142' (Tipe: string)</t>
  </si>
  <si>
    <t>Cashflow saved for 6282113490142</t>
  </si>
  <si>
    <t>ORDER SAVED: ID-1765411559991</t>
  </si>
  <si>
    <t>Trigger: #inputlaporan#
Laporan CS Jasa Iklan UMKM
-------
Nama CS: Maya
Tanggal: 10-Des-2025
Leads:22
Jumlah Closing:1
Paket 1: 1
Paket 2: 
Paket 3: 
Paket 4: 
Paket 5: 
Repeat Paket 1: 
Repeat Paket 2: 
Repeat Paket 3: 
Repeat Paket 4: 
Repeat Paket 5: 
Catatan:
15 nores
5 tanya2
1 isi data
1 DP</t>
  </si>
  <si>
    <t>Trigger: #inputlaporan#
Laporan CS Jasa Iklan UMKM
------- 
Nama CS: Tika
Tanggal: 10-Des-2025
Leads:10
Jumlah Closing:1
Paket 1: 1
Paket 2: 
Paket 3: 
Paket 4: 
Paket 5: 
Repeat Paket 1: 
Repeat Paket 2: 
Repeat Paket 3: 
Repeat Paket 4: 
Repeat Paket 5: 
Catatan:
3 tanya tanya 
3 cek harga
2 nores
2 belum isi data</t>
  </si>
  <si>
    <t>Trigger: #inputorder#
Data Pesanan Jasa Iklan UMKM
Data Pemesan
----
Tanggal: 11-Des-2025
Nama: Dono Pardi 
Nama Usaha: Diva Interior 
Jenis Usaha: Custom Interior 
No Whatsapp Bisnis: 6281548619752
Alamat: Rt 01 Rw 13 Sidorejo Sajen Trucuk Klaten 
Durasi: 10
Deskripsi produk/jasa: Menyediakan berbagai furniture interior dan eksterior langsung dari perajin 
Keunggulan: kita langsung dari perajin, harga lebih terjangkau 
Data Target Iklan
----
Lokasi: Klaten dan DIY
Usia: bebas
Jenis kelamin: laki-laki dan perempuan 
Data Pembayaran
----
Total Bayar: 375000
Cs: Isna
Status: Baru</t>
  </si>
  <si>
    <t>Memeriksa nomor WA setelah dibersihkan: '6281548619752' (Tipe: string)</t>
  </si>
  <si>
    <t>Cashflow saved for 6281548619752</t>
  </si>
  <si>
    <t>ORDER SAVED: ID-1765422547517</t>
  </si>
  <si>
    <t>Trigger: #inputorder#
Data Pesanan Jasa Iklan UMKM
Data Pemesan
----
Tanggal: 10-Des-2025
Nama: Muzakir 
Nama Usaha: Pengobatan Tradisional/Tionghoa 
Jenis Usaha: kesehatan
Alamat usaha: Ln veteran no 157 kota Purwakarta 
No Whatsapp Bisnis:6287778844410
Durasi: 20
Deskripsi produk/jasa: herbal dan jasa 
Keunggulan: akupuntur/tusuk jarum 
Keunikan: pengobatan syaraf kejepit dan stroke 
Promo: 
Data Target Iklan
----
Lokasi: Purwakarta, Karawang,dan Subang 
Usia:10 tahun ke atas
Jenis kelamin: laki dan perempuan 
Data Pembayaran
----
Total Bayar: 550000
Cs: Maya
Status: Baru</t>
  </si>
  <si>
    <t>Memeriksa nomor WA setelah dibersihkan: '6287778844410' (Tipe: string)</t>
  </si>
  <si>
    <t>Cashflow saved for 6287778844410</t>
  </si>
  <si>
    <t>ORDER SAVED: ID-1765426166755</t>
  </si>
  <si>
    <t>Trigger: #inputorder#
Data Pesanan Jasa Iklan UMKM
Data Pemesan
----
Tanggal: 11-Des-2025
Nama: Alfi
Nama Usaha: Baitul Kreatif Dakwah 
Jenis Usaha: Donasi Yayasan 
No Whatsapp Bisnis: 6285849304643
Alamat: Pontianak Kalimantan Barat 
Durasi: 5
Deskripsi produk/jasa: 
*Keunggulan usaha*: Program sedekah subuh harian ini dibuat supaya kita bisa konsisten beramal, meski sedikit tapi terus mengalir setiap hari. kamu tinggal masuk ke grup setor sedekahmu dan insyaallah bersama sama kita jaga ruhiyah setiap pagi.
yang ikut program ini bukan karena mereka punya banyak, tapi karena ingin dekat dengan Allah setiap habis subuh, melalui amal yang ringan tapi berpahala besar
*keunikan usaha*: bisa sedekah mulai dari 1.000 rupiah 
Promo: 
- Daftar Gratis 
- free ikut kajian online dari Baitul Kreatif Dakwah Ulul Al-Bab bersama para ustadz &amp; ustadzah 
Data Target Iklan
----
Lokasi: Indonesia 
Usia: 18-60 tahun 
Jenis kelamin: semua
Data Pembayaran
----
Total Bayar: 197000
Cs: Tika 
Status: Baru</t>
  </si>
  <si>
    <t>Memeriksa nomor WA setelah dibersihkan: '6285849304643' (Tipe: string)</t>
  </si>
  <si>
    <t>Cashflow saved for 6285849304643</t>
  </si>
  <si>
    <t>ORDER SAVED: ID-1765430360676</t>
  </si>
  <si>
    <t>Trigger: #inputorder#
Data Pesanan Jasa Iklan UMKM
Data Pemesan
----
Tanggal: 11-Des-2025
Nama: Nur Amin
Nama Usaha: PT Banyuwangi Osing Trip 
Jenis Usaha: Travel Agent
No Whatsapp Bisnis: 6285141325957
Alamat: Jalan KH Agus Salim no.36 Kel taman baru kec. Banyuwangi 
Durasi: 5
Deskripsi produk/jasa: Melayani perjalanan wisata di Banyuwangi dengan budget hemat dengan layanan prima terbaik 
*Keunggulan usaha*: Memiliki legalitas usaha jelas dan sering melayani tamu luar negri China dan Eropa dengan layanan terbaik dan murah
*Keunikan usaha*: Kami mengatur perjalanan serba mudah dan nyaman tanpa membuat pelanggan bingung dan kami pastikan semua jalan sesuai harapan 
Promo: khusus bulan Desember natal dan tahun baru banyak wisata yang harga diskon 10%-20% bagi 10 pelanggan pertama order dan DP
Data Target Iklan
----
Lokasi: Banyuwangi jakarta Surabaya bali
Usia: 18-45 tahun
Jenis kelamin: Semua
Data Pembayaran
----
Total Bayar: 197000
Cs: Tika 
Status: Baru</t>
  </si>
  <si>
    <t>Memeriksa nomor WA setelah dibersihkan: '6285141325957' (Tipe: string)</t>
  </si>
  <si>
    <t>Cashflow saved for 6285141325957</t>
  </si>
  <si>
    <t>ORDER SAVED: ID-1765441874730</t>
  </si>
  <si>
    <t>Trigger: #inputlaporan#
Laporan CS Jasa Iklan UMKM
------- 
Nama CS: Isna
Tanggal: 11-Des-2025
Leads:10
Jumlah Closing:2
Paket 1:
Paket 2:1
Paket 3: 
Paket 4: 
Paket 5: 
Repeat Paket 1:1
Repeat Paket 2:
Repeat Paket 3: 
Repeat Paket 4: 
Repeat Paket 5: 
Catatan:
5 nores
4 cek harga
1 tanya-tanya</t>
  </si>
  <si>
    <t>Trigger: #inputorder#
Data Pesanan Jasa Iklan UMKM
Data Pemesan
----
Tanggal: 11-Des-2025
Nama: HM Kuswadji Aziz S.Ked
Nama Usaha: Fisioterapi (Terapi Fisik Tanpa Obat)
Jenis Usaha: Terapi Kesehatan 
No Whatsapp Bisnis: 6282234163461
Alamat: Klinik Tandya Jln Semeru 43 Malang
Durasi: 5
Deskripsi produk/jasa: Membantu mempercepat penyembuhan Stroke, Post Stroke, Diabetes, Saraf Kejepit, Kanker Prostat, Kanker Payudara, Kista, Vertigo, Migrain, Nyeri Lutut, Kesemutan, Kebas2, dan Gangguan Otot Saraf Lainnya.
Data Target Iklan
----
Lokasi: Malang Raya 
Usia: 20 th keatas 
Jenis kelamin: laki-laki dan perempuan 
Data Pembayaran
----
Total Bayar: 197000
Cs: Isna
Status: Perpanjang</t>
  </si>
  <si>
    <t>ORDER UPDATED: UPDATE-ID-1764857674827</t>
  </si>
  <si>
    <t>Trigger: #inputlaporan#
Laporan CS Jasa Iklan UMKM
------- 
Nama CS: Yuni
Tanggal: 11-Des-2025
Leads:26
Jumlah Closing: 1
Paket 1: 
Paket 2: 
Paket 3: 
Paket 4: 
Paket 5: 
Repeat Paket 1: 
Repeat Paket 2: 1
Repeat Paket 3: 
Repeat Paket 4: 
Repeat Paket 5: 
Catatan:
16 tanya2
5 no respon
1 format order
1 ga ada uang
2 iklan uang
1 diblok</t>
  </si>
  <si>
    <t>Trigger: #inputlaporan#
Laporan CS Jasa Iklan UMKM
------- 
Nama CS: Tika
Tanggal: 12-Des-2025
Leads:37
Jumlah Closing:2
Paket 1: 2
Paket 2: 
Paket 3: 
Paket 4: 
Paket 5: 
Repeat Paket 1: 
Repeat Paket 2: 
Repeat Paket 3: 
Repeat Paket 4: 
Repeat Paket 5: 
Catatan:
13 nores
10 tanya tanya
7 cek harga 
3 belum isi data
3 pelajari dulu</t>
  </si>
  <si>
    <t>Trigger: #inputlaporan#
Laporan CS Jasa Iklan UMKM
------- 
Nama CS: Tika
Tanggal: 11-Des-2025
Leads:37
Jumlah Closing:2
Paket 1: 2
Paket 2: 
Paket 3: 
Paket 4: 
Paket 5: 
Repeat Paket 1: 
Repeat Paket 2: 
Repeat Paket 3: 
Repeat Paket 4: 
Repeat Paket 5: 
Catatan:
13 nores
10 tanya tanya
7 cek harga 
3 belum isi data
3 pelajari dulu</t>
  </si>
  <si>
    <t>Trigger: #inputorder#
Data Pesanan Jasa Iklan UMKM
Data Pemesan
----
Tanggal: 12-Des-2025
Nama: Budiawati 
Nama Usaha: Tanur Mutmainnah Tour 
Jenis Usaha: Travel Umroh 
No Whatsapp Bisnis: 6281931902977
Durasi: 5
Deskripsi produk/jasa: 
*Keunggulan usaha (wajib):*Tanur Mutmainnah Tour adalah Travel umroh dan haji ke 3 terbesar di Indonesia 
*keunikan usaha (wajib):*Insya Allah keberangkatan ada di setiap bulannya
Promo:
Data Target Iklan
----
Lokasi: Cimahi dan Bandung 
Usia: 25-60 th
Jenis kelamin: laki-laki dan perempuan 
Data Pembayaran
----
Total Bayar: 197000
Cs: Isna
Status: Baru</t>
  </si>
  <si>
    <t>ORDER SAVED: ID-1765499386298</t>
  </si>
  <si>
    <t>Trigger: #inputorder#
Data Pemesan
Tanggal: 12-Des-2025
Nama: Akhmad Mukhtarom
Nama Usaha: Jadi Indah
Jenis Usaha: Affiliate
No Whatsapp Bisnis:6285219420348
Alamat usaha:
Deskripsi produk/jasa: E-book/digital marketing
*Keunggulan usaha (wajib):*mudah diaplikasikan tanpa modal besar*
*keunikan usaha (wajib):*PRODUK TEMBUS OMSET 1,5 MILYAR DALAM WAKTU 6 BULAN*
Data Target Iklan 
Lokasi: kota besar di jakarta, bandung, surabaya, palembang, samarinda
Usia: 18-60
Jenis kelamin: perempuan
Durasi:5
Data Pembayaran
----
Total Bayar: 150000
Cs: Yuni
Status:Baru</t>
  </si>
  <si>
    <t>Memeriksa nomor WA setelah dibersihkan: '6285219420348' (Tipe: string)</t>
  </si>
  <si>
    <t>Cashflow saved for 6285219420348</t>
  </si>
  <si>
    <t>ORDER SAVED: ID-1765509224287</t>
  </si>
  <si>
    <t>Trigger: #inputorder#
Data Pesanan Jasa Iklan UMKM
Data Pemesan
----
Tanggal: 12-Des-2025
Nama: Para Ir. Berpengalaman
Nama Usaha: PT. Panorama Jaya Labana
Jenis Usaha: Usaha Jasa Konstruksi spesialist bangun / renovasi Rumah
No Whatsapp Bisnis: 628122102657
Alamat usaha: Jl. Melur I no. 2 RT.01 / RW. 15 Blok 15 Perumahan Bumi Rancaekek Kelurahan Rancaekek Kencana Kecamatan Rancaekek
Deskripsi produk/jasa:
AHLI BANGUNAN
KAMI YANG BERGERAK DIBIDANG JASA PROPERTY DAN KONTRUKSI
JASA BANGUN RUMAH, RENOVASI PROFESIONAL , INT,ERIOR DESN
ANDA BUTUH RENOVASI RUMAH ATAU BANGUN RUMAH?? DENGAN DESAIN GAMBAR SERTA RencanaAnggaran Biaya (RAB).
KAMI SIAP MEMBANTU ANDA!!!
Jasa Kontraktor, Konstruksi, Bangun Baru Bangunan,Rumah tinggal, kos-kosan, kantor, tempat usaha, ruko, cafe,rumah butik, rumah kantor, rumah gudang/pabrik dll.
Free:
– Konsultasi arsitek &amp; sipil bangunan
– Desain arsitektur 3D
– Gambar kerja lengkap
– Sket denah ruangan dan interior
– RAB
Harga berdasarkan RAB bisa disesuaikan budget berdasar rencana gambar setelah survey lokasi dan atau konsultasi
Perkiraan:
Rumah sederhana: 3,2 Jt/m2 s.d. 3.5 Jt/m2
Rumah mewah (1 Lantai): 3.6 Jt/m2 s.d. 4,0 Jt/m2
Rumah mewah (2 Lantai): 4,2 Jt/m2 s.d. 5,0 Jt/m2
Rumah exclusive: lebih dari 5,0 Jt/m2
Juga melayani:
– Renovasi dan Perbaikan bangunan
– Jasa Desain Eksterior (Gambar Kerja Bangunan), Gambar Syarat IMB, Gambar 3D, Hitung Struktur, RAB | Perencanaan
– Jasa Desain Interior dan Pembuatan Custom Furniture
– Jasa penambahan ruang / pengalihan ruang seperti garasi menjadi butik, rumah menjadi rumah butik
KONSULTASI dan SURVEY LOKASI GRATISS
masalah harga NEGOTIABLE
Data Target Iklan
----
Lokasi: Radius 10 Km dari lokasi kantor 
Usia: 17-55
Jenis kelamin:SU
Data iklan
----
Durasi:30
Data Pembayaran
----
Total Bayar: 1000000
Cs: Yuni
Status: Perpanjang</t>
  </si>
  <si>
    <t>ORDER UPDATED: UPDATE-ORD-97</t>
  </si>
  <si>
    <t>Trigger: #inputorder#
Data Pesanan Jasa Iklan UMKM
Data Pemesan
Tanggal:12-Des-2025
Nama: bapak ari
Nama Usaha: Ari kontraktor 
Jenis Usaha: pemborong bangunan 
No Whatsapp Bisnis:6281222788601
Alamat usaha: kp. Sindangsari no. 5 manggahang Baleendah Bandung 
Deskripsi produk/jasa:jasa bangun baru/renovasi rumah,ruko,pabrik, kitchen set, kanopi, atap baja,pagar dll
*Keunggulan usaha (wajib):*
*keunikan usaha (wajib):*
Promo:
Data Target Iklan 
Lokasi:Jawa Barat 
Usia: 20-50
Jenis kelamin: semua 
Durasi:5
Data Pembayaran
----
Total Bayar: 197000
Cs: Yuni
Status: Perpanjang</t>
  </si>
  <si>
    <t>Memeriksa nomor WA setelah dibersihkan: '6281222788601' (Tipe: string)</t>
  </si>
  <si>
    <t>ORDER UPDATED: UPDATE-ORD-672</t>
  </si>
  <si>
    <t>Trigger: #inputorder#
Data Pesanan Jasa Iklan UMKM
Data Pemesan
----
Tanggal: 12-Des-2025
Nama: Pa Yana 
Nama Usaha: Soto Ayam Mawar 
Jenis Usaha: Kuliner 
No Whatsapp Bisnis: 6285776131462
Alamat: Jl Putri Tunggal No 80 A, Harjamukti Depok
Durasi: 5
Deskripsi produk/jasa: 
Keunggulan: Rasanya nikmat dan pas di kantong 
Promo: bisa makan di tempat, parkiran luas dan toilet 
Data Target Iklan
----
Lokasi: Kel Harjamukti, Kecamatan Cimanggis, Depok 
Usia: 12-60 th
Jenis kelamin: laki-laki dan perempuan 
Data Pembayaran
----
Total Bayar: 197000
Cs: Isna
Status: Baru</t>
  </si>
  <si>
    <t>Memeriksa nomor WA setelah dibersihkan: '6285776131462' (Tipe: string)</t>
  </si>
  <si>
    <t>Cashflow saved for 6285776131462</t>
  </si>
  <si>
    <t>ORDER SAVED: ID-1765551262631</t>
  </si>
  <si>
    <t>Trigger: #inputorder#
Data Pesanan Jasa Iklan UMKM
Data Pemesan
----
Tanggal: 12-Des-2025
Nama: Novana
Nama Usaha: Condong Raos 
Jenis Usaha: Penjualan Sambal Berbagai Varian
No Whatsapp Bisnis: 6282313901699
Durasi: 5
Deskripsi produk/jasa: 
sambal medhog condong dengan kemasan sachet praktis di bawa kemana hadir dengan 3 varian full topping 
- BACUM ( BABY CUMI)
- EDAN ( TERI MEDAN
- REBON
*Keunggulan usaha (wajib):*
Kemasan praktis
Mudah di bawa kemana - kemana 
Bertahan hingga 3 bulan
Kemasan 20 gram 
1 box isi 20 pcs 
*keunikan usaha (wajib):*
Promo: untuk pembelian 1 box free ongkir ,
Pembelian di atas 2 box fre ongkir plus potongan harga 15% 
Data Target Iklan
----
Lokasi: Kalimantan Timur 
Usia: 17-50 th
Jenis kelamin: laki-laki dan perempuan 
Data Pembayaran
----
Total Bayar: 197000
Cs: Isna
Status: Baru</t>
  </si>
  <si>
    <t>Memeriksa nomor WA setelah dibersihkan: '6282313901699' (Tipe: string)</t>
  </si>
  <si>
    <t>Cashflow saved for 6282313901699</t>
  </si>
  <si>
    <t>ORDER SAVED: ID-1765551342808</t>
  </si>
  <si>
    <t>Trigger: #inputorder#
Data Pesanan Jasa Iklan UMKM
Data Pemesan
----
Tanggal: 12-Des-2025
Nama: Budiawati 
Nama Usaha: Tanur Mutmainnah Tour 
Jenis Usaha: Travel Umroh 
No Whatsapp Bisnis: 6281931902977
Durasi: 5
Deskripsi produk/jasa: 
Keunggulan Pembimbing Berpengalaman, Harga Terjangkau, Jadwal Keberangkatan Jelas, Pelayanan Ramah 
Data Target Iklan
----
Lokasi: Cimahi dan Bandung 
Usia: 25-60 th
Jenis kelamin: laki-laki dan perempuan 
Data Pembayaran
----
Total Bayar: 197000
Cs: Isna
Status: Baru</t>
  </si>
  <si>
    <t>ORDER UPDATED: UPDATE-ID-1765499386298</t>
  </si>
  <si>
    <t>Trigger: #inputlaporan#
Laporan CS Jasa Iklan UMKM
------- 
Nama CS: Isna
Tanggal: 12-Des-2025
Leads:
Jumlah Closing:3
Paket 1:3
Paket 2: 
Paket 3: 
Paket 4: 
Paket 5: 
Repeat Paket 1:
Repeat Paket 2:
Repeat Paket 3: 
Repeat Paket 4: 
Repeat Paket 5: 
Catatan:</t>
  </si>
  <si>
    <t>13 Des 2025</t>
  </si>
  <si>
    <t>Trigger: #inputorder#
Data Pesanan Jasa Iklan UMKM
Data Pemesan
Tanggal:13-Des-2025
Nama: Ajma
Nama Usaha: AJMA PROPERTY 
Jenis Usaha: Kontraktor 
No Whatsapp Bisnis:6289678497690
Alamat usaha: Banjarmasin 
Deskripsi produk/jasa: melayani pembangunan rumah,kantor,sekolah kantor dll
-dari jasa sekaligus dgn bahan material
-harga dari 5 JT an permeter dari pondasi sampai siap huni
-dgn sistim pembayaran bertahap selama pembanguan
-lokasi dan spek yg anda ingin akan menentukan harga dan biaya pembangun 
*Keunggulan usaha (wajib):*
*keunikan usaha (wajib):*
Promo:
Data Target Iklan 
Lokasi: Banjarmasin dan sekitarnya 
Usia:25-60
Jenis kelamin:semua
Durasi:5
Data Pembayaran
----
Total Bayar: 197000
Cs: Yuni
Status: Perpanjang</t>
  </si>
  <si>
    <t>Memeriksa nomor WA setelah dibersihkan: '6289678497690' (Tipe: string)</t>
  </si>
  <si>
    <t>ORDER UPDATED: UPDATE-ORD-968</t>
  </si>
  <si>
    <t>Trigger: #inputorder#
Data Pesanan Jasa Iklan UMKM
Data Pemesan
----
Tanggal: 13-Des-2025
Nama: Naufal
Nama Usaha: Naufal interior 
Jenis Usaha: Furniture 
No Whatsapp Bisnis: 6281347321820
Durasi: 5
Deskripsi produk/jasa: Bahan multiplek, dan pvc boart,  pinishing HPL luar dalam
*Keunggulan usaha*: Pemasangan oleh teknisi berpengalaman dalam bidangnya, harga terbaik di kelasnya
Data Target Iklan
----
Lokasi: Kota Penajam Peser Utara 
Usia: 10-70 tahun 
Jenis kelamin: Laki laki dan perempuan 
Data Pembayaran
----
Total Bayar: 197000
Cs: Tika 
Status: Perpanjang</t>
  </si>
  <si>
    <t>ORDER UPDATED: UPDATE-ORD-355</t>
  </si>
  <si>
    <t>Trigger: #inputorder#
Data Pesanan Jasa Iklan UMKM
Data Pemesan
----
Tanggal: 13-Des-2025
Nama: Heru Purwanto 
Nama Usaha: CV Athawidya jaya Pratama 
Jenis Usaha: Percetakan plastik dan karung
No Whatsapp Bisnis: 6282139742007
Durasi: 10
Alamat: Jalan Bandarejo Tama 47 Sememi Benowo Surabaya 
Deskripsi produk/jasa: Melayani pemesanan plastik atau karung beserta sablon/cetak
*Keunggulan usaha*: Harga fleksibel, minimal order bisa bernegosiasi 
Data Target Iklan
----
Lokasi: Indonesia 
Usia: 30-70 tahun 
Jenis kelamin: Semua
Data Pembayaran
----
Total Bayar: 375000
Cs: Tika 
Status: Perpanjang</t>
  </si>
  <si>
    <t>ORDER UPDATED: UPDATE-ID-1764388129141</t>
  </si>
  <si>
    <t>Trigger: #inputlaporan#
Laporan CS Jasa Iklan UMKM
------- 
Nama CS: Tika
Tanggal: 13-Des-2025
Leads:
Jumlah Closing:2
Paket 1: 
Paket 2: 
Paket 3: 
Paket 4: 
Paket 5: 
Repeat Paket 1: 1
Repeat Paket 2: 1
Repeat Paket 3: 
Repeat Paket 4: 
Repeat Paket 5: 
Catatan:
1 DP</t>
  </si>
  <si>
    <t>Trigger: #inputorder#
Data Pesanan Jasa Iklan UMKM
Data Pemesan
----
Tanggal: 13-Des-2025
Nama: Heru Purwanto 
Nama Usaha: CV Athawidya jaya Pratama 
Jenis Usaha: Sablon karung
No Whatsapp Bisnis: 6282139742007
Durasi: 10
Alamat: Jalan Bandarejo Tama 47 Sememi Benowo Surabaya 
Deskripsi produk/jasa: Melayani pemesanan karung dan sablon untuk produk pupuk, beras, arang, dan lainnya
*Keunggulan usaha*: Harga fleksibel, minimal order bisa bernegosiasi 
Data Target Iklan
----
Lokasi: Indonesia 
Usia: 30-70 tahun 
Jenis kelamin: Semua
Data Pembayaran
----
Total Bayar: 375000
Cs: Tika 
Status: Perpanjang</t>
  </si>
  <si>
    <t>Trigger: #inputorder#
Data Pesanan Jasa Iklan UMKM
Data Pemesan
Tanggal:14-Des-2025
Nama: Mahkota Reici 
Nama Usaha: Klinik Akupunktur dan Bekam Mahkota Reici 
Jenis Usaha: Pengobatan Keterapian Herbal dan Moderen
No Whatsapp Bisnis:6282136395328
Alamat usaha: Jetis RT 01/ RW 02, Gemantar, Jumantono, Karanganyar, Jawa Tengah 
Deskripsi produk/jasa: Jasa
*Keunggulan usaha : Spesialis Kanker dan Tumor Tanpa Operasi, Lumpuh, Stroke kembali berjalan normal, Asam Urat Cholesterol Ambyar*
*keunikan usaha : Resep Kusus Herbal yang tidak Dimiliki Pengobatan Lain.*
Promo: Akupuntur Rp 50.000
Bekam Rp 50.000
Data Target Iklan: Jawa Tengah, Jawa Timur 
Lokasi: Jetis RT 01/02 Gemantar, Jumantono, Karanganyar, Jawa Tengah 
Usia: 7 Th-70 th
Jenis kelamin: Laki-Laki dan Perempuan 
Durasi: 7
Data Pembayaran
----
Total Bayar: 297000
Cs: Yuni
Status: Perpanjang</t>
  </si>
  <si>
    <t>ORDER UPDATED: UPDATE-ID-1764570533993</t>
  </si>
  <si>
    <t>Trigger: #inputorder#
Data Pesanan Jasa Iklan UMKM
Data Pemesan
Tanggal:14-Des-2025
Nama: Heriyanto
Nama Usaha: Raja Pasir 
Jenis Usaha:supplier Pasir dan batu terpercaya di jabodetabek
No Whatsapp Bisnis:6288983421843
Alamat usaha: (Jl. Raya Serpong,  Kec. Serpong, Kota Tangerang Selatan, Banten 15311
Deskripsi produk/jasa: Raja Pasir :Supplier Pasir &amp; Batu terlengkap di jabodetabek.Menyediakan material berkualitas untuk proyek konstruksi renovasi rumah,gedung,gudang,kantor, ruko, Kost, dll Harga kompetitif, pengiriman cepat dan tepat waktu. Siap melayani se jabodetabek
Produk: pasir plester, pasir hitam Cor, Pasir bangka, pasir rangkas, pasir cilegon cuci, pasir cilegon ayak, Pasir jalupang, pasir jawilan, sirdam, sirtu, makadam, tanah urug/taman
Batu split, Batu kali/belah ,abu batu, scrining, 
Basecose,, 
*Keunggulan usaha (wajib):
#Material Murni, Kualitas Terjamin.(Menekankan kemurnian dan jaminan mutu.)
#Pasir Pilihan untuk Konstruksi Kuat dan Tahan Lama.( memprioritaskan kekuatan bangunan.)
#Batu Split Berkualitas Tinggi, Sesuai Standar SNI. 
#Rendah kadar Lumpur  dan Kotoran, sehingga Menghemat Waktu Pengerjaan Anda." (Menunjukkan manfaat langsung: material bersih mempercepat proyek anda.)
#Pelayanan Prima, Kemudahan Pemesanan, Transaksi Aman dan Transparan.
#Harga Kompetitif Langsung dari Sumber, Tanpa Perantara."
#Muatan/volume Real 
#Konsultasi Gratis
*keunikan usaha (wajib):*
#Gratis Ongkir dan Bongkar Muat Tanpa Batas Minimum (Area Terbatas)
*Layanan Pesan-Antar-Bayar di Tempat" (COD)*
Promo: 
Data Target Iklan 
Lokasi: jabodetabek
Usia: minimal 28 
Jenis kelamin: laki dan perempuan
Durasi:7
Data Pembayaran
----
Total Bayar: 297000
Cs: Yuni
Status: Perpanjang</t>
  </si>
  <si>
    <t>ORDER UPDATED: UPDATE-ID-1764753564400</t>
  </si>
  <si>
    <t>Trigger: #inputorder#
Data Pesanan Jasa Iklan UMKM
Data Pemesan
----
Tanggal: 14-Des-2025
Nama: RM Dony 
Nama Usaha: Raflesia Rental
Jenis Usaha: Jasa Transportasi 
No Whatsapp Bisnis:6281938384000
Durasi: 10
Deskripsi produk/jasa:
Keunggulan usaha: Melayani antar jemput bandara, rental mobil harian, mingguan, bulanan &amp; tahunan, dan jasa rental mobil+ driver 
Keunikan usaha: Bisa rental mobil lepas kunci dengan driver sekalian 
Data Target Iklan
----
Lokasi: Sumatra, Jawa, Jakarta, Jawa Barat, Bandar Lampung, serang, Palembang 
Usia: 25 tahun ke atas 
Jenis kelamin: laki laki dan perempuan 
Data Pembayaran
----
Total Bayar: 375000
Cs: Tika
Status: Perpanjang</t>
  </si>
  <si>
    <t>ORDER UPDATED: UPDATE-ORD-1066</t>
  </si>
  <si>
    <t>Trigger: #inputorder#
Data Pesanan Jasa Iklan UMKM
Data Pemesan
----
Tanggal: 14-Des-2025
Nama: RM Dony
Nama Usaha: Raflesia rental 
Jenis Usaha: Jasa Transportasi 
No Whatsapp Bisnis: 6281938384000
Durasi: 10
Deskripsi produk/jasa:
*Keunggulan usaha*: Melayani antar jemput bandara, rental mobil harian, mingguan, bulanan &amp; tahunan, dan jasa rental mobil + driver 
*Keunikan usaha*: Bisa rental mobil lepas kunci dengan driver sekalian 
Data Target Iklan
----
Lokasi: Sumatra, Jawa, Jakarta, Jawa Barat, Bandar Lampung, Serang, Palembang 
Usia: 25 tahun ke atas 
Jenis kelamin: Semua
Data Pembayaran
----
Total Bayar: 375000
Cs: Tika 
Status: Perpanjang</t>
  </si>
  <si>
    <t>Trigger: #inputorder#
Data Pesanan Jasa Iklan UMKM
Data Pemesan
Tanggal:14-Des-2025 
Nama: amanah 
Nama Usaha: jasa sedot WC Berkah Medan 
Jenis Usaha: sedot tinja 
No Whatsapp Bisnis:6281265779848
Alamat usaha: jln gatot Subroto medan
Deskripsi produk/jasa: jasa sedot WC mampet, saluran dan wastafel tersumbat, Sedot limbah lemak stp dll
*Keunggulan usaha (wajib):Team ahli berpengalaman, kinerja tanpa bongkar*
*keunikan usaha (wajib): bergaransi dan survei gratis 24jam*
Promo:
Data Target Iklan 
Lokasi: Medan dan sekitarnya 
Usia:25-50
Jenis kelamin: semua 
Durasi:5
Data Pembayaran
----
Total Bayar: 197000
Cs: Yuni
Status: Perpanjang</t>
  </si>
  <si>
    <t>ORDER UPDATED: UPDATE-ID-1764406571176</t>
  </si>
  <si>
    <t>Trigger: #inputorder#
Data Pesanan Jasa Iklan UMKM
Data Pemesan
----
Tanggal: 13-Des-2025
Nama: Ninis 
Nama Usaha: Samira Travel 
Jenis Usaha: Travel Umroh 
No Whatsapp Bisnis: 6281216704496
Alamat: Jalan Padmosusastro 74 A Surabaya 
Durasi: 5
Deskripsi produk/jasa: keunggulan Usaha: Legal, Amanah, Berpengalaman melayani ribuan jamaah, muthawwif berilmu, sabar dan profesional, Terpercaya, Fasilitas nyaman, melayani dengan hati
Keunikan Usaha: Harga Transparan dan bisa dicicil Tanpa riba
Promo: Gratis Paspor 
Trus nanti saya ada tambahan "free kereta cepat bulan november dan desember 2025"
Data Target Iklan
----
Lokasi: Surabaya, Sidoarjo, Gresik 
Usia: 21thn keatas, keluarga muda, lansia
Jenis kelamin: Laki-laki Dan Perempuan 
Data Pembayaran
----
Total Bayar: 197000
Cs: Isna
Status: Perpanjang</t>
  </si>
  <si>
    <t>Trigger: #inputorder#
Data Pesanan Jasa Iklan UMKM
Data Pemesan
----
Tanggal: 13-Des-2025
Nama: Novi
Nama Usaha: Kharisma Filter
Jenis Usaha: Alat Penjernih Air Berkualitas 
No Whatsapp Bisnis: 6285893658659
Alamat: Jalan Raya Puri Asri, blok F3 no 6
Durasi: 10
Deskripsi produk/jasa:
Kharisma filter 
Mengerjakan instalasi 
1. Filter rumah tangga 
2. Instalasi mesin Demin
3. Instalasi mesin RO 
4.  Service dan penggantian media filter 
5. Supplier media 
     * Carbon aktif 
     * Manganese 
     * Aktif sand
     * Silica sand 
     * Ziolite
     * Resin cation anion
Kharisma filter mengatasi permasalahan air di rmh anda seperti 
1. Berbau
2. Keruh
3. Berminyak 
4. Lumut
5. Dll 
Kharisma filter tidak di ragukan kualitas nya , dengan harga yang terjangkau untuk semua kalangan dengan media filter terbaik.
Kharisma filter mengerjakan instalasi water treatment 
1. Pabrik
2. Apartement
3. Gedung perkantoran 
4. Hotel 
5.Rumah sakit 
6. Resort 
7.  Perumahan 
Dll
Keunggulan Usaha: Demineralisasi, mesin RO, alat penjernih air
Promo: Harga mulai dari 1.900.000
Data Target Iklan
----
Lokasi: Jabodetabek 
Usia: 20-65 th
Jenis kelamin: Laki-laki Dan Perempuan 
Data Pembayaran
----
Total Bayar: 375000
Cs: Isna 
Status: Perpanjang</t>
  </si>
  <si>
    <t>ORDER UPDATED: UPDATE-ORD-585</t>
  </si>
  <si>
    <t>Trigger: #inputorder#
Data Pesanan Jasa Iklan UMKM
Data Pemesan
----
Tanggal: 13-Des-2025
Nama: Novi
Nama Usaha: Faishal Filter 
Jenis Usaha: Alat Penjernih Air 
No Whatsapp Bisnis: 6288296589477
Alamat: Jl raya puri asri blok f3 no 6
Durasi: 10
Deskripsi produk/jasa: depot air, mesin demineralisasi, mesin RO, tabung filter berbagai macam ukuran 
Promo: harga mulai dari 2 jt
Data Target Iklan
----
Lokasi: Se-Jabodetabek 
Usia: 20-67 th
Jenis kelamin: laki-laki dan perempuan 
Data Pembayaran
----
Total Bayar: 375000
Cs: Isna
Status: Perpanjang</t>
  </si>
  <si>
    <t>Memeriksa nomor WA setelah dibersihkan: '6288296589477' (Tipe: string)</t>
  </si>
  <si>
    <t>ORDER UPDATED: UPDATE-ORD-1249</t>
  </si>
  <si>
    <t>Trigger: #inputlaporan#
Laporan CS Jasa Iklan UMKM
------- 
Nama CS: Isna 
Tanggal: 13-Des-2025
Leads:
Jumlah Closing:3
Paket 1: 
Paket 2: 
Paket 3: 
Paket 4: 
Paket 5: 
Repeat Paket 1:1
Repeat Paket 2:2
Repeat Paket 3: 
Repeat Paket 4: 
Repeat Paket 5: 
Catatan:</t>
  </si>
  <si>
    <t>Trigger: #inputorder#
Data Pesanan Jasa Iklan UMKM
Data Pemesan
----
Tanggal: 14-Des-2025
Nama: Maniaka
Nama Usaha: Maniaka Catering 
Jenis Usaha: Catering 
No Whatsapp Bisnis: 6281246072868
Durasi: 20
Deskripsi produk/jasa: 
Catering maniaka menyediakan juga prasmanan.nasi kotak. Nasi bungkus. Nasi tumpeng dll.
Keunggulan: 
Cepat, tepat waktu dan rasa yang enak
Murah dan Enak
Keunikan: semua jenis makanan nusantara bali, west japanis dll
Promo: semakin besar harga yg di ambil akan ada promo
Data Target Iklan
----
Lokasi: Bali (Badung, Denpasar, Gianyar, Tabanan, Klungkung, Karangasem)
Usia: bebas
Jenis kelamin: laki-laki dan perempuan 
Data Pembayaran
----
Total Bayar: 700000
Cs: Isna
Status: Perpanjang</t>
  </si>
  <si>
    <t>Memeriksa nomor WA setelah dibersihkan: '6281246072868' (Tipe: string)</t>
  </si>
  <si>
    <t>ORDER UPDATED: UPDATE-ORD-1256</t>
  </si>
  <si>
    <t>Trigger: #inputorder#
Data Pesanan Jasa Iklan UMKM
Data Pemesan
----
Tanggal: 14-Des-2025
Nama: Wiris
Nama Usaha: Wirisvariasi
Jenis Usaha: Bengkel Custom Lampu
No Whatsapp Bisnis: 6282242925264
Durasi: 20
Deskripsi produk/jasa: 
musim hujan lampu mobil redup gk kelihatan jalan. kami hadir untuk melayani problem perlampuan mobil anda yang redup. satu satu nya bengkel perlampuan mobil dengan garansi resmi di jepara dan mekanik yang sudah terpercaya di bidang nya. pengerjaan tidak perlu di ragukan lagi karna kerapian dan keamanan adalah prosesur nomor 1 bagi kami. kami sedia berbagai macam jenis lampu yang sesuai dengan kebutuhan mobil anda. sudah ratusan mobil yang sudah kami tangani di area jepara. tunggu apa lagi segera konsultasikan lampu mobil anda pada kami.
Data Target Iklan
----
Lokasi: Jepara, Demak, Kudus, Pati, Rembang, Purwodadi, Blora
Usia: 20 th keatas 
Jenis kelamin: laki-laki dan perempuan 
Data Pembayaran
----
Total Bayar: 700000
Cs: Isna
Status: Perpanjang</t>
  </si>
  <si>
    <t>ORDER UPDATED: UPDATE-ORD-865</t>
  </si>
  <si>
    <t>Trigger: #inputorder#
Data Pesanan Jasa Iklan UMKM
Data Pemesan
----
Tanggal: 14-Des-2025
Nama: Aisha
Nama Usaha: Aisha Hijab 
Jenis Usaha: Grosiran 
No Whatsapp Bisnis: 628122833297
Alamat: jalan sunan muria no 33 rt 03 rw 02 kecamatan/kota kudus
Durasi: 5
Deskripsi produk/jasa: 
Grosiran untuk oleh-oleh umroh dan haji di pasar kliwon blok A no 20
melayani grosir utk oleh2 umroh utk pesanan kaos utk pesanan jenang utk pesanan mukena utk pesanan sajadah, utk pesanan hijab juga.
Data Target Iklan
----
Lokasi: Seluruh Indonesia 
Usia: bebas
Jenis kelamin: laki-laki dan perempuan 
Data Pembayaran
----
Total Bayar: 197000
Cs: Isna
Status: Baru</t>
  </si>
  <si>
    <t>Memeriksa nomor WA setelah dibersihkan: '628122833297' (Tipe: string)</t>
  </si>
  <si>
    <t>Cashflow saved for 628122833297</t>
  </si>
  <si>
    <t>ORDER SAVED: ID-1765699730039</t>
  </si>
  <si>
    <t>Trigger: #inputlaporan#
Laporan CS Jasa Iklan UMKM
------- 
Nama CS: Yuni
Tanggal: 12-Des-2025
Leads:
Jumlah Closing: 3
Paket 1: 1
Paket 2: 
Paket 3: 
Paket 4: 
Paket 5: 
Repeat Paket 1: 1
Repeat Paket 2: 
Repeat Paket 3: 
Repeat Paket 4: 
Repeat Paket 5: 1
Catatan:</t>
  </si>
  <si>
    <t>Trigger: #inputlaporan#
Laporan CS Jasa Iklan UMKM
------- 
Nama CS: Yuni
Tanggal: 13-Des-2025
Leads:
Jumlah Closing: 1
Paket 1: 
Paket 2: 
Paket 3: 
Paket 4: 
Paket 5: 
Repeat Paket 1: 1
Repeat Paket 2: 
Repeat Paket 3: 
Repeat Paket 4: 
Repeat Paket 5: 
Catatan:</t>
  </si>
  <si>
    <t>Trigger: #inputlaporan#
Laporan CS Jasa Iklan UMKM
------- 
Nama CS: Yuni
Tanggal: 14-Des-2025
Leads:
Jumlah Closing: 3
Paket 1: 
Paket 2: 
Paket 3: 
Paket 4: 
Paket 5: 
Repeat Paket 1: 3
Repeat Paket 2: 
Repeat Paket 3: 
Repeat Paket 4: 
Repeat Paket 5: 
Catatan:</t>
  </si>
  <si>
    <t>Trigger: #inputlaporan#
Laporan CS Jasa Iklan UMKM
------- 
Nama CS: Tika
Tanggal: 14-Des-2025
Leads:
Jumlah Closing:1
Paket 1: 
Paket 2: 
Paket 3: 
Paket 4: 
Paket 5: 
Repeat Paket 1: 
Repeat Paket 2: 1
Repeat Paket 3: 
Repeat Paket 4: 
Repeat Paket 5: 
Catatan:</t>
  </si>
  <si>
    <t>Trigger: #inputorder#
Data Pesanan Jasa Iklan UMKM
Data Pemesan
----
Tanggal: 15-Des-2025
Nama: Budi 
Nama Usaha: Flow pilates 
Jenis Usaha: studio pilates 
No Whatsapp Bisnis: 6281908083633
Alamat: Apartemen teluk intan tower safir c16 teluk gong jakarta Utara 
Durasi: 5
Deskripsi produk/jasa: Studio pilates 
*Keunggulan usaha*: Instruktur sertifikat stott pilates, ada kelas reformer, tower dan chair, harga lebih kompetitif 
*Keunikan usaha*: Kelas semi private maksimal 3 orang, kelas buka setiap hari dari jam 8.00 sampai 21.00 jadi pilihan waktu kelas lebih banyak 
Promo: Promo diskon 10% untuk pembelian paket 5 sesi, diskon 20% untuk pembeli paket 10 sesi, promo trial 200rb buat 2 sesi
Data Target Iklan
----
Lokasi: Teluk gong
Usia: 25-40 tahun 
Jenis kelamin: Wanita
Data Pembayaran
----
Total Bayar: 197000
Cs: Tika 
Status: Baru</t>
  </si>
  <si>
    <t>Memeriksa nomor WA setelah dibersihkan: '6281908083633' (Tipe: string)</t>
  </si>
  <si>
    <t>Cashflow saved for 6281908083633</t>
  </si>
  <si>
    <t>ORDER SAVED: ID-1765765891007</t>
  </si>
  <si>
    <t>Trigger: #inputlaporan#
Laporan CS Jasa Iklan UMKM
------- 
Nama CS: Yuni
Tanggal: 14-Des-2025
Leads:
Jumlah Closing:4
Paket 1:1
Paket 2: 
Paket 3: 
Paket 4: 
Paket 5: 
Repeat Paket 1:1
Repeat Paket 2: 
Repeat Paket 3: 
Repeat Paket 4:2
Repeat Paket 5:
Catatan:</t>
  </si>
  <si>
    <t>Trigger: #inputorder#
Data Pesanan Jasa Iklan UMKM
Data Pemesan
----
Tanggal: 15-Des-2025
Nama: Arfi
Nama Usaha: AJP Arfi jaya perkasa 
Jenis Usaha: Jasa sewa lift cor dan molen 
No Whatsapp Bisnis: 6289673319845
Alamat usaha: Mranggen Demak 
Durasi: 5
Deskripsi produk/jasa: Sewa lift cor dan molen bangunan + tenaga juga bisa alat" komplit 
*Keunggulan usaha*: Bisa masuk gang sempit
*Keunikan usaha*: Pengecoran tidak membutuhkan orang lebih dari 10 sampai 30 
Data Target Iklan
----
Lokasi: Semarang
Usia: 20 tahun ke atas
Jenis kelamin: semua
Data Pembayaran
----
Total Bayar: 197000
Cs: Tika 
Status: Perpanjang</t>
  </si>
  <si>
    <t>Trigger: #inputlaporan#
Laporan CS Jasa Iklan UMKM
------- 
Nama CS: Tika
Tanggal: 15-Des-2025
Leads:
Jumlah Closing:2
Paket 1: 1
Paket 2: 
Paket 3: 
Paket 4: 
Paket 5: 
Repeat Paket 1: 1
Repeat Paket 2: 
Repeat Paket 3: 
Repeat Paket 4: 
Repeat Paket 5: 
Catatan:</t>
  </si>
  <si>
    <t>Trigger: #inputorder#
Data Pesanan Jasa Iklan UMKM
Data Pemesan
Tanggal:16-Des-2025
Nama: Aris Prasetyo
Nama Usaha: Multi Gemilang
Jenis Usaha: Alat Teknik
No Whatsapp Bisnis:628170204528
Alamat usaha: Jl Imogiri Timur Km 15, Minggiran, Imogiri, Bantul, DIY
Deskripsi produk/jasa: menjual berbagai peralatan bengkel cuci mobil dan motor, robotic carwash, chemical carwash
*Keunggulan usaha (wajib):* Harga kompetitif
*keunikan usaha (wajib):* Garansi Servis seumur hidup
Promo:
Data Target Iklan 
Lokasi: Pulau Jawa
Usia: 18 - 60
Jenis kelamin: semua
Durasi:5
Data Pembayaran
----
Total Bayar: 197000
Cs: Yuni
Status: Perpanjang</t>
  </si>
  <si>
    <t>Memeriksa nomor WA setelah dibersihkan: '628170204528' (Tipe: string)</t>
  </si>
  <si>
    <t>ORDER UPDATED: UPDATE-ORD-558</t>
  </si>
  <si>
    <t>Trigger: #inputlaporan#
Laporan CS Jasa Iklan UMKM
------- 
Nama CS: Isna 
Tanggal: 14-Des-2025
Leads:
Jumlah Closing:4
Paket 1:1
Paket 2: 
Paket 3: 
Paket 4: 
Paket 5: 
Repeat Paket 1:1
Repeat Paket 2: 
Repeat Paket 3: 
Repeat Paket 4:2
Repeat Paket 5:
Catatan:</t>
  </si>
  <si>
    <t>Trigger: #inputorder#
Data Pesanan Jasa Iklan UMKM
Data Pemesan
----
Tanggal: 14-Des-2025
Nama: Aisha
Nama Usaha: Aisha Hijab 
Jenis Usaha: Grosiran 
No Whatsapp Bisnis: 6285185088849
Alamat: jalan sunan muria no 33 rt 03 rw 02 kecamatan/kota kudus
Durasi: 5
Deskripsi produk/jasa: 
Grosiran untuk oleh-oleh umroh dan haji di pasar kliwon blok A no 20
melayani grosir utk oleh2 umroh utk pesanan kaos utk pesanan jenang utk pesanan mukena utk pesanan sajadah, utk pesanan hijab juga.
Data Target Iklan
----
Lokasi: Seluruh Indonesia 
Usia: bebas
Jenis kelamin: laki-laki dan perempuan 
Data Pembayaran
----
Total Bayar: 197000
Cs: Isna
Status: Baru</t>
  </si>
  <si>
    <t>Memeriksa nomor WA setelah dibersihkan: '6285185088849' (Tipe: string)</t>
  </si>
  <si>
    <t>Cashflow saved for 6285185088849</t>
  </si>
  <si>
    <t>ORDER SAVED: ID-1765861371633</t>
  </si>
  <si>
    <t>Trigger: #inputorder#
Data Pesanan jasa iklan UMKM 
Data Pemesan
----
Tanggal: 16-Des-2025
Nama: Abdur Ro’uf
Nama Usaha: B-Care (Bekam Care)
Jenis Usaha: Jasa Terapi Bekam &amp; Home Care
No WhatsApp Bisnis:6281217256721
Alamat Usaha: Kendit, Situbondo – layanan panggilan / home care (belum ada izin klinik permanen)
Deskripsi Produk/Jasa:
Layanan terapi bekam professional untuk Kesehatan tubuh, meredakan pegal dan nyeri otot, melancarkan peredaran darah, detoksifikasi alami, dan perawatan kebugaran. Sistem home care (datang ke rumah pasien).
Keunggulan Usaha (wajib):
✔ Terapis bersertifikat PBI
✔ Alat steril &amp; higienis, jarum sekali pakai
✔ Pelayanan panggilan ke rumah
✔ Perbaikan pegal &amp; kebugaran terasa hanya dalam 1 sesi
Keunikan Usaha (wajib):
• Fokus pada pelanggan laki-laki yang ingin kebugaran dan relaksasi setelah bekerja
• Proses cepat dan nyaman tanpa ribet — cocok untuk pekerja yang sulit menyediakan Waktu
• Menggabungkan metode bekam sunnah &amp; Teknik modern
Promo : Hanya 100rb
Data Target Iklan
Lokasi: Situbondo &amp; sekitarnya
Usia: 20 – 60 tahun
Jenis Kelamin: Laki-laki
Durasi:10
Data Pembayaran
----
Total Bayar:375000
Cs:Yuni
Status: Perpanjang</t>
  </si>
  <si>
    <t>ORDER UPDATED: UPDATE-ID-1763874743402</t>
  </si>
  <si>
    <t>Trigger: #inputorder#
Data Pesanan Jasa Iklan UMKM
Data Pemesan
Tanggal:16-Des-2025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</si>
  <si>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Trigger: #inputorder#
Data Pesanan Jasa Iklan UMKM
Data Pemesan
----
Tanggal: 15-Des-2025
Nama: Rahman
Nama Usaha: CuciSepatuOmway 
Jenis Usaha: Cuci Sepatu
No Whatsapp Bisnis: 6281282237855
Alamat: Jl Marzuki 9, gang Nurul Yaqin 1 no 41 C Penggilingan (Persis Depan Tukang Mie Ayam Bakso)
Durasi: 5
Deskripsi produk/jasa: 
*Keunggulan usaha (wajib):* BERSIH DENGAN DETAIL , MEWAH TAK PERLU MAHAL
*keunikan usaha (wajib):* FREE ANTER JEMPUT SEPATU KOTOR ANADA BUARAN PENGGILINGAN DUREN SAWIT DAN SEKITARNNYA
Promo: SEKOTOR APAPUN SEPATU KAMU CUMA 30 K
Data Target Iklan
----
Lokasi: Jaktim, Penggilingan, Duren Sawit dan Sekitarnya 
Usia: 17-40 th
Jenis kelamin: laki-laki dan perempuan 
Data Pembayaran
----
Total Bayar: 197000
Cs: Isna
Status: Baru</t>
  </si>
  <si>
    <t>Memeriksa nomor WA setelah dibersihkan: '6281282237855' (Tipe: string)</t>
  </si>
  <si>
    <t>Cashflow saved for 6281282237855</t>
  </si>
  <si>
    <t>ORDER SAVED: ID-1765889735537</t>
  </si>
  <si>
    <t>Trigger: #inputorder#
Data Pesanan Jasa Iklan UMKM
Data Pemesan
----
Tanggal: 17-Des-2025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</si>
  <si>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#inputlaporan#
Laporan CS Jasa Iklan UMKM
------- 
Nama CS: Yuni
Tanggal: 16-Des-2025
Leads:
Jumlah Closing: 3
Paket 1: 
Paket 2: 
Paket 3: 
Paket 4: 
Paket 5: 
Repeat Paket 1: 1
Repeat Paket 2: 2
Repeat Paket 3: 
Repeat Paket 4: 
Repeat Paket 5: 
Catatan:</t>
  </si>
  <si>
    <t>Trigger: #inputorder#
Data Pesanan Jasa Iklan UMKM
Data Pemesan
Tanggal: 17-Des-2025
Nama: Citra
Nama Usaha: Senyoom Dental Care
Jenis Usaha: Klinik Gigi
No Whatsapp Bisnis:6285720376378
Alamat usaha: Jl Jend Sudirman No 5G, Asrama Basis, Baros, Cimahi Tengah
Deskripsi produk/jasa: 
*Keunggulan usaha (wajib):* 
• Harga Terjangkau, Kualitas Terjaga
• Pelayanan profesional dengan standar medis tinggi tanpa biaya mahal.
• Biaya Transparan Sejak Awal
Estimasi harga dijelaskan sebelum tindakan, tanpa biaya tambahan tersembunyi.
• Kualitas Premium, Harga Bersahabat
Ditangani dokter gigi berpengalaman dengan peralatan modern dan steril.
*keunikan usaha (wajib):* 
• Nyaman untuk Semua Usia
Suasana tenang dan homey, cocok untuk remaja, dewasa, hingga lansia.
• Pelayanan Ramah &amp; Sabar
Dokter dan staf komunikatif, sabar melayani pasien muda maupun lanjut usia.
• Pendekatan Personal Sesuai Usia
Setiap pasien ditangani dengan metode yang disesuaikan kebutuhan dan kondisi usia.
• Akses Mudah &amp; Aman untuk Lansia
• Ruang klinik mudah dijangkau, tempat duduk nyaman, dan ramah bagi lansia.
• Nuansa Modern tapi Tetap Hangat
• Desain kekinian untuk anak muda, namun tetap tenang dan nyaman bagi orang tua.
intinya klinik ini bukan sekadar tempat perawatan, tapi tempat di mana pasien merasa didengar, nyaman, dan aman, terutama bagi yang takut atau baru pertama kali ke dokter gigi.
Promo: Promo Opening
Scalling 350&gt;100
Tambal promo 10%
bleaching 699 from 2,5
Gigi Tiruan start from 500k
Data Target Iklan 
Lokasi: Kota Cimahi, Kabupaten Bandung, Kabupaten Bandung Barat, Bandung Raya
Usia: 21-60th
Jenis kelamin: laki-laki &amp; perempuan
Durasi:30
Data Pembayaran
----
Total Bayar: 750000
Cs: Yuni
Status:Baru</t>
  </si>
  <si>
    <t>Memeriksa nomor WA setelah dibersihkan: '6285720376378' (Tipe: string)</t>
  </si>
  <si>
    <t>Cashflow saved for 6285720376378</t>
  </si>
  <si>
    <t>ORDER SAVED: ID-1765930465601</t>
  </si>
  <si>
    <t>Trigger: #inputorder#
Data Pesanan Jasa Iklan UMKM
Data Pemesan
----
Tanggal: 16-Des-2025
Nama: Thurman
Nama Usaha: Mitra Natama Tehnik 
Jenis Usaha: Bangun/Rehab/Desain 
No Whatsapp Bisnis: 6281228409107
Durasi: 5
Deskripsi produk/jasa: Bangun/Rehab/Desain Rumah, Cafe, Kantor, Gudang dll
*Keunggulan usaha (wajib):* berpengalaman puluhan tahun
*keunikan usaha (wajib):* mempunyai tenaga yg terampil dan hrg bersaing
Promo: 
Data Target Iklan
----
Lokasi: Sumatera Utara 
Usia: 25-60 th
Jenis kelamin: laki-laki dan perempuan 
Data Pembayaran
----
Total Bayar: 197000
Cs: Isna
Status: Perpanjang</t>
  </si>
  <si>
    <t>Memeriksa nomor WA setelah dibersihkan: '6281228409107' (Tipe: string)</t>
  </si>
  <si>
    <t>Cashflow saved for 6281228409107</t>
  </si>
  <si>
    <t>ORDER SAVED: ID-1765930527853</t>
  </si>
  <si>
    <t>Trigger: #inputorder#
Data Pesanan Jasa Iklan UMKM
Data Pemesan
----
Tanggal: 16-Des-2025
Nama: Nur Hamid
Nama Usaha: Gaza Safes Solo Raya 
Jenis Usaha: Jual Brankas New
No Whatsapp Bisnis: 6282164558425
Alamat: Jl KH Samanhudi Tanjung Sukoharjo 57551
Durasi: 14
Deskripsi produk/jasa: 
*Keunggulan usaha (wajib):* Gaza safes dan kingdom internasional merupakan lemari besi tahan api dan tahan dobrak yg memiliki standart perlindungan khusus untuk bank, toko emas,toko handphone, ruko, rumah, kantor dan tempat usaha lainnya
*keunikan usaha (wajib):
#dengan penguncian 3 way&amp; Relocking
#lebih tahan congkel/dobrak dan tahan api
#Desain dengan warna exlusive 
#Hardwere Stainles steel meningkatkan usia pemakaian
# Rak Heavy Duty kuat menahan barang
#Bersertifikat SNI
Promo: free ongkir Jawa tengah &amp; Jawa timur pembayaran Cod
Data Target Iklan
----
Lokasi: Jawa Tengah &amp; Jawa Timur 
Usia: 17 th ke atas 
Jenis kelamin: laki-laki dan perempuan 
Data Pembayaran
----
Total Bayar: 550000
Cs: Isna
Status: Baru</t>
  </si>
  <si>
    <t>Memeriksa nomor WA setelah dibersihkan: '6282164558425' (Tipe: string)</t>
  </si>
  <si>
    <t>Cashflow saved for 6282164558425</t>
  </si>
  <si>
    <t>ORDER SAVED: ID-1765931886590</t>
  </si>
  <si>
    <t>Trigger: #inputorder#
Data Pesanan Jasa Iklan UMKM
Data Pemesan
----
Tanggal: 16-Des-2025
Nama: Andika
Nama Usaha: Andika Jaya 
Jenis Usaha: Interior Rumah/Ruangan
No Whatsapp Bisnis: 6282315669271
Alamat: Kelurahan Lembo Kecamatan Tallo Kota Makassar 
Durasi: 7
Deskripsi produk/jasa: 
Mengerjakan Interior Rumah
- Wallmoulding
- Panel Dinding 
- Pemasangan PVC &amp; WPC Marmer
- Kaca Bevel &amp; List Mirror Gold
- Plafon Gypsum &amp; PVC
- Finishing Cat dan Lain-lain
*Keunggulan usaha (wajib): 
Membuat Ruangan Terlihat Mewah dan Estetik
*keunikan usaha (wajib):
Dikerjakan dengan Tim kami yang Profesional 
Promo: Tidak ada Promo Kembali ke harga normal Rp. 22.000
Data Target Iklan
----
Lokasi: Makassar dan Sekitarnya 
Usia: 19 th ke atas 
Jenis kelamin: laki-laki dan perempuan 
Data Pembayaran
----
Total Bayar: 297000
Cs: Isna
Status: Perpanjang</t>
  </si>
  <si>
    <t>Memeriksa nomor WA setelah dibersihkan: '6282315669271' (Tipe: string)</t>
  </si>
  <si>
    <t>ORDER UPDATED: UPDATE-</t>
  </si>
  <si>
    <t>Trigger: #inputlaporan#
Laporan CS Jasa Iklan UMKM
------- 
Nama CS: Yuni
Tanggal: 17-Des-2025
Leads:
Jumlah Closing: 2
Paket 1: 
Paket 2: 
Paket 3: 
Paket 4: 
Paket 5: 
Repeat Paket 1: 
Repeat Paket 2: 1
Repeat Paket 3: 
Repeat Paket 4: 
Repeat Paket 5: 1
Catatan:</t>
  </si>
  <si>
    <t>Trigger: #inputorder#
Data Pesanan Jasa Iklan UMKM
Data Pemesan
----
Tanggal: 17-Des-2025
Nama: Alfaiz
Nama Usaha: Distributor Resmi AFC Farmasi 
Jenis Usaha: Kesehatan 
No Whatsapp Bisnis: 62887435792882
Durasi: 5
Deskripsi produk/jasa: 
Distributor Resmi AFC Farmasi Tertua dan Terbesar di Jepang Utsukushi SOP Subarashi dan Hikari 
Jangan biarkan kanker, tumor, kista/miom mengganggu hidupmu.
Ada solusi aman tanpa operasi:
✨ SOP Subarashi &amp; Utsukushhii Gold ✨
Diformulasikan di Jepang, dengan kualitas premium, siap membantu keluhanmu.
📦 Free Ongkir Seluruh Indonesia
 Wa distributor AFC
Data Target Iklan
----
Lokasi: Sulawesi Selatan 
Usia: 25-65 th
Jenis kelamin: laki-laki dan perempuan 
Data Pembayaran
----
Total Bayar: 197000
Cs: Isna
Status: Perpanjang</t>
  </si>
  <si>
    <t>ORDER UPDATED: UPDATE-ID-1765187410500</t>
  </si>
  <si>
    <t>Trigger: #inputlaporan#
Laporan CS Jasa Iklan UMKM
------- 
Nama CS: Isna
Tanggal: 17-Des-2025
Leads:
Jumlah Closing:1
Paket 1: 
Paket 2: 
Paket 3: 
Paket 4: 
Paket 5: 
Repeat Paket 1:1
Repeat Paket 2:
Repeat Paket 3: 
Repeat Paket 4: 
Repeat Paket 5:
Catatan:</t>
  </si>
  <si>
    <t>Trigger: #inputlaporan#
Laporan CS Jasa Iklan UMKM
------- 
Nama CS: Isna
Tanggal: 16-Des-2025
Leads:
Jumlah Closing:3
Paket 1:1
Paket 2: 
Paket 3: 
Paket 4: 
Paket 5: 
Repeat Paket 1:1
Repeat Paket 2:1
Repeat Paket 3: 
Repeat Paket 4: 
Repeat Paket 5:
Catatan:</t>
  </si>
  <si>
    <t>Trigger: #inputlaporan#
Laporan CS Jasa Iklan UMKM
------- 
Nama CS: Isna
Tanggal: 15-Des-2025
Leads:
Jumlah Closing:1
Paket 1:1
Paket 2: 
Paket 3: 
Paket 4: 
Paket 5: 
Repeat Paket 1:
Repeat Paket 2:
Repeat Paket 3: 
Repeat Paket 4: 
Repeat Paket 5:
Catatan:</t>
  </si>
  <si>
    <t>Trigger: #inputorder#
Data Pesanan Jasa Iklan UMKM
Data Pemesan
----
Tanggal: 18-Des-2025
Nama: Irman 
Nama Usaha: MRA Travel 
Jenis Usaha: Umroh Bahagia, Berlimpah barokah 
No Whatsapp Bisnis: 6282399312016
Alamat: Panaikang jalan poros morowa kab. Bantaeng 
Durasi: 5
Deskripsi produk/jasa: 
*Keunggulan usaha*: Pembimbing berpengalaman dan amanah, umroh 33 hari
Promo: Umroh Promo 45.500.000 selama 33 hari 
Data Target Iklan
----
Lokasi: Kab. Bantaeng, Jeneponto, Bulukumba, Takalar dan kab. gowa
Usia: 22-64 tahun 
Jenis kelamin: Semua 
Data Pembayaran
----
Total Bayar: 197000
Cs: Tika 
Status: Perpanjang</t>
  </si>
  <si>
    <t>Memeriksa nomor WA setelah dibersihkan: '6282399312016' (Tipe: string)</t>
  </si>
  <si>
    <t>Cashflow saved for 6282399312016</t>
  </si>
  <si>
    <t>ORDER SAVED: ID-1766101853066</t>
  </si>
  <si>
    <t>Trigger: #inputlaporan#
Laporan CS Jasa Iklan UMKM
------- 
Nama CS: Tika
Tanggal: 18-Des-2025
Leads:
Jumlah Closing:1
Paket 1:
Paket 2: 
Paket 3: 
Paket 4: 
Paket 5: 
Repeat Paket 1:1
Repeat Paket 2:
Repeat Paket 3: 
Repeat Paket 4: 
Repeat Paket 5:
Catatan:</t>
  </si>
  <si>
    <t>Trigger: #inputorder#
Data Pesanan Jasa Iklan UMKM
Data Pemesan
Tanggal:19-Des-2025
Nama:Rosyid
Nama Usaha: Samudra Creatif
Jenis Usaha: Renovasi dan interior
No Whatsapp Bisnis:628131383719
Alamat usaha: Jln baypas ngurah rai
Gg swadaya/lapangan kapten japa
Kesiman kerta langu
Denpasar timur
Deskripsi produk/jasa:
Mengerjakan 
Plafon gypsum
Plafon pvc
Plafon kalsi board
Plamir-cat
Sekat ruangan/partisi
Dan Renovasi rumah, kos"an dll sampai finis
Mengatasi dak beton rembes/bocor yg mengakibatkan plafon rusak
*Keunggulan usaha (wajib): dikerjakan tim profesional*
*keunikan usaha (wajib):*
Promo:
Data Target Iklan 
Lokasi:Bali, Denpasar dan sekitarnya 
Usia:20-55
Jenis kelamin: semua 
Durasi:7
Data Pembayaran
----
Total Bayar: 297000
Cs: Yuni
Status: Perpanjang</t>
  </si>
  <si>
    <t>ORDER UPDATED: UPDATE-ID-1764858279934</t>
  </si>
  <si>
    <t>Trigger: #inputorder#
Data Pesanan Jasa Iklan UMKM
Data Pemesan
----
Tanggal: 18-Des-2025
Nama: Lia
Nama Usaha: Distributor Resmi AFC 
Jenis Usaha: Distributor 
No Whatsapp Bisnis: 628133032755
Alamat: Surabaya Jawa Timur 
Durasi: 5
Deskripsi produk/jasa: 
Produknya AFC bisa dikonsumsi segala usia mulai ibu hamil, balita, anak-anak, remaja, dewasa, orang tua
Keunggulan: Produk Original Dari Jepang
Promo: gratis ongkir kirim (untuk wilayah jawa) &amp; bisa COD utk Indonesia 
Data Target Iklan
----
Lokasi: Seluruh Indonesia 
Usia: bebas
Jenis kelamin: laki-laki dan perempuan 
Data Pembayaran
----
Total Bayar: 197000
Cs: Isna
Status: Baru</t>
  </si>
  <si>
    <t>Memeriksa nomor WA setelah dibersihkan: '628133032755' (Tipe: string)</t>
  </si>
  <si>
    <t>Cashflow saved for 628133032755</t>
  </si>
  <si>
    <t>ORDER SAVED: ID-1766125800283</t>
  </si>
  <si>
    <t>Trigger: #inputorder#
Data Pesanan Jasa Iklan UMKM
Data Pemesan
Tanggal:19-Des-2025
Nama: Akbar setiawan
Nama Usaha: Yoca interior Malili
Jenis Usaha: Interior
No Whatsapp Bisnis:6285283208198
Alamat usaha: jalan poros lakawali kecamatan malili kab. Luwu timur Sulawesi selatan indonesia
Deskripsi produk/jasa:
Menerima pembuatan segal jenis interior rumah ,kantor ,kitchen set , kamar set . Dll dengan menggunakan bahan bahan yg berkualitas tinggi ,dengan bayak pilihan bahan finising yg berfariasi dan bayak model” terbaru dan moderen , tentunya dengan hasil pengerjaan dijamin rapi dan persisi , dengan harga yg terjangku dan tentunya dengan penawaran yg menarik , kami juga menerima konsultasi gratis mengenai interior yg akan di buat
Promo: untuk pemesan di buln ini  ada diskon yg menarik 
Data Target Iklan 
Lokasi: Kabupaten luwu timur Sulawesi selatan 
Usia: 25 ke atas 
Jenis kelamin: laki laki dan wanita 
Durasi:7
Data Pembayaran
----
Total Bayar: 297000
Cs: Yuni
Status: Perpanjang</t>
  </si>
  <si>
    <t>Memeriksa nomor WA setelah dibersihkan: '6285283208198' (Tipe: string)</t>
  </si>
  <si>
    <t>ORDER UPDATED: UPDATE-ORD-664</t>
  </si>
  <si>
    <t>Trigger: #inputorder#
Data Pesanan Jasa Iklan UMKM
Data Pemesan
----
Tanggal: 19-Des-2025
Nama: Sandy L
Nama Usaha: Torajahighland Coffee 
Jenis Usaha: Jual kopi biji sudah roasting/sangrai biji dan bubuk
No Whatsapp Bisnis: 6282193076208
Alamat: Jalan Mappanyukki 69 Komp.Kehutanan Makasar 
Durasi: 10
Deskripsi produk/jasa: 
*Keunggulan usaha*: Menjual kopi siap seduh biji dan bubuk yang fresh kurang dari 3 hari usai sangrai/roasting, menerima jasa roasting kopi, jual kopi mentah/green Beans coffee 
*Keunikan usaha*: Free Ongkir dalan kota Makassar dan bisa cod dalam kota Makassar, untuk jasa roasting murah cuma 15.000 kg (berat roast Beans) untuk jualan Green Beans kami menyediakan biji biji kopi berkualitas dengan harga terjangkau 
Promo: Untuk jualan kopi siap seduh bisa free ongkir dan cod dalam kota Makassar, fast respon, cocok untuk oleh oleh kota Makassar 
Data Target Iklan
----
Lokasi: kota Makassar 
Usia: 30-55 tahun 
Jenis kelamin: semua 
Data Pembayaran
----
Total Bayar: 375000
Cs: Tika 
Status: Perpanjang</t>
  </si>
  <si>
    <t>ORDER UPDATED: UPDATE-ID-1765151488862</t>
  </si>
  <si>
    <t>Trigger: #inputlaporan#
Laporan CS Jasa Iklan UMKM
------- 
Nama CS: Yuni
Tanggal: 19-Des-2025
Leads:
Jumlah Closing: 2
Paket 1: 
Paket 2: 
Paket 3: 
Paket 4: 
Paket 5: 
Repeat Paket 1: 2
Repeat Paket 2: 
Repeat Paket 3: 
Repeat Paket 4: 
Repeat Paket 5: 
Catatan:</t>
  </si>
  <si>
    <t>Trigger: #inputorder#
Data Pesanan Jasa Iklan UMKM
Data Pemesan
----
Tanggal: 20-Des-2025
Nama: Eko Y
Nama Usaha: CV fajar gemilang plus 
Jenis Usaha: Kontraktor Fasade, Kaca, Acp, Alumunium, Arsitektur, Interior dll
No Whatsapp Bisnis: 6281338789995
Alamat usaha: Jalan Thamrin 78 Depan SMA 5 Kupang kantor CV fajar gemilang plus 
Durasi: 14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550000
Cs: Tika 
Status: Perpanjang</t>
  </si>
  <si>
    <t>Trigger: #inputlaporan#
Laporan CS Jasa Iklan UMKM
------- 
Nama CS: Tika
Tanggal: 19-Des-2025
Leads:
Jumlah Closing: 1
Paket 1: 
Paket 2: 
Paket 3: 
Paket 4: 
Paket 5: 
Repeat Paket 1: 
Repeat Paket 2: 1
Repeat Paket 3: 
Repeat Paket 4: 
Repeat Paket 5: 
Catatan:
 1 bikin vidio</t>
  </si>
  <si>
    <t>Trigger: #inputlaporan#
Laporan CS Jasa Iklan UMKM
------- 
Nama CS: Tika
Tanggal: 20-Des-2025
Leads:2
Jumlah Closing: 1
Paket 1: 
Paket 2: 
Paket 3: 
Paket 4: 
Paket 5: 
Repeat Paket 1: 
Repeat Paket 2: 
Repeat Paket 3: 1
Repeat Paket 4: 
Repeat Paket 5: 
Catatan:
1 belum kirim vidio
1 cek harga</t>
  </si>
  <si>
    <t>Trigger: #inputorder#
Data Pesanan Jasa Iklan UMKM
Data Pemesan
----
Tanggal: 21-Des-2025
Nama: Riska indriani
Nama Usaha:BS_PROJECT
Jenis Usaha:BENGKEL LAS 
No Whatsapp Bisnis:6282234857245
Alamat usaha: sidayu
Durasi: 7
Deskripsi produk/jasa: 
*Keunggulan usaha (wajib):*garansi 1 thun
*keunikan usaha (wajib):*custem Desian sesuai keinginan pelanggan..survey gratis
Promo:
Harga bisa nego smpek deal
Data Target Iklan
----
Lokasi:Gresik dan lamongan
Usia:15-60 thun
Jenis kelamin:Semua gender 
Data Pembayaran
----
Total Bayar: 297000
Cs: asti
Status: Baru</t>
  </si>
  <si>
    <t>Memeriksa nomor WA setelah dibersihkan: '6282234857245' (Tipe: string)</t>
  </si>
  <si>
    <t>Cashflow saved for 6282234857245</t>
  </si>
  <si>
    <t>ORDER SAVED: ID-1766321701403</t>
  </si>
  <si>
    <t>Trigger: #inputorder#
Data Pesanan Jasa Iklan UMKM
Data Pemesan
----
Tanggal: 20-Des-2025
Nama: Muostofa 
Nama Usaha: Jasa Renovasi dan Bangunan Rumah 
Jenis Usaha: Jasa Renovasi dan Bangun Baru
No Whatsapp Bisnis: 6285730668168
Alamat: Gresik Jawa Timur 
Durasi: 5
Deskripsi produk/jasa: 
melayani segala macam bangunan, renovasi, bangun baru,pembuatan kanopi, pagar., kusen alumunium
*Keunggulan usaha (wajib):* amanah, bisamenyesuaikan budget dan bergaransi
*keunikan usaha (wajib):* melayani segala macam bangunan dan renovasi mulai dari yg kecil sampai gedung bertingkat
Promo:
Gratis survey dan konsultasi
Data Target Iklan
----
Lokasi: Gresik Kota, Menganti, Kedamean, Mojokerto 
Usia: 37-60 th
Jenis kelamin: laki-laki dan perempuan 
Data Pembayaran
----
Total Bayar: 197000
Cs: Isna
Status: Baru</t>
  </si>
  <si>
    <t>Memeriksa nomor WA setelah dibersihkan: '6285730668168' (Tipe: string)</t>
  </si>
  <si>
    <t>Cashflow saved for 6285730668168</t>
  </si>
  <si>
    <t>ORDER SAVED: ID-1766322300065</t>
  </si>
  <si>
    <t>Trigger: #inputlaporan#
Laporan CS Jasa Iklan UMKM
------- 
Nama CS: Isna
Tanggal: 20-Des-2025
Leads:
Jumlah Closing:2
Paket 1:1
Paket 2: 
Paket 3: 
Paket 4: 
Paket 5: 
Repeat Paket 1:1
Repeat Paket 2:
Repeat Paket 3: 
Repeat Paket 4: 
Repeat Paket 5: 
Catatan:</t>
  </si>
  <si>
    <t>Trigger: #inputorder#
Data Pesanan Jasa Iklan UMKM
Data Pemesan
----
Tanggal: 20-Des-2025
Nama: Ninis 
Nama Usaha: Samira Travel 
Jenis Usaha: Travel Umroh 
No Whatsapp Bisnis: 6281216704496
Alamat: Jalan Padmosusastro 74 A Surabaya 
Durasi: 5
Deskripsi produk/jasa: keunggulan Usaha: Legal, Amanah, Berpengalaman melayani ribuan jamaah, muthawwif berilmu, sabar dan profesional, Terpercaya, Fasilitas nyaman, melayani dengan hati
Keunikan Usaha: Harga Transparan dan bisa dicicil Tanpa riba
Promo: Gratis Paspor 
Trus nanti saya ada tambahan "free kereta cepat bulan november dan desember 2025"
Data Target Iklan
----
Lokasi: Surabaya, Sidoarjo, Gresik 
Usia: 21thn keatas, keluarga muda, lansia
Jenis kelamin: Laki-laki Dan Perempuan 
Data Pembayaran
----
Total Bayar: 197000
Cs: Isna
Status: Perpanjang</t>
  </si>
  <si>
    <t>Trigger: #inputlaporan#
Laporan CS Jasa Iklan UMKM
------- 
Nama CS: Isna
Tanggal: 19-Des-2025
Leads:
Jumlah Closing:
Paket 1:
Paket 2: 
Paket 3: 
Paket 4: 
Paket 5: 
Repeat Paket 1:
Repeat Paket 2:
Repeat Paket 3: 
Repeat Paket 4: 
Repeat Paket 5: 
Catatan:</t>
  </si>
  <si>
    <t>Trigger: #inputlaporan#
Laporan CS Jasa Iklan UMKM
------- 
Nama CS: Isna
Tanggal: 18-Des-2025
Leads:
Jumlah Closing:1
Paket 1:1
Paket 2: 
Paket 3: 
Paket 4: 
Paket 5: 
Repeat Paket 1:
Repeat Paket 2:
Repeat Paket 3: 
Repeat Paket 4: 
Repeat Paket 5: 
Catatan:</t>
  </si>
  <si>
    <t>Trigger: #inputlaporan#
Laporan CS Jasa Iklan UMKM
------- 
Nama CS: Isna
Tanggal: 21-Des-2025
Leads:
Jumlah Closing:
Paket 1:
Paket 2: 
Paket 3: 
Paket 4: 
Paket 5: 
Repeat Paket 1:
Repeat Paket 2:
Repeat Paket 3: 
Repeat Paket 4: 
Repeat Paket 5: 
Catatan:</t>
  </si>
  <si>
    <t>Trigger: #inputorder#
Data Pesanan Jasa Iklan UMKM
Data Pemesan
----
Tanggal: 22-Des-2025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Durasi:10
Data Pembayaran
----
Total Bayar: 375000
Cs: Yuni
Status: Perpanjang</t>
  </si>
  <si>
    <t>Trigger: #inputorder#
Data Pesanan Jasa Iklan UMKM
Data Pemesan
Tanggal:22-Des-2025
Nama: bapak ari
Nama Usaha: Ari kontraktor 
Jenis Usaha: pemborong bangunan 
No Whatsapp Bisnis:6281222788601
Alamat usaha: kp. Sindangsari no. 5 manggahang Baleendah Bandung 
Deskripsi produk/jasa:jasa bangun baru/renovasi rumah,ruko,pabrik, kitchen set, kanopi, atap baja,pagar dll
*Keunggulan usaha (wajib):*
*keunikan usaha (wajib):*
Promo:
Data Target Iklan 
Lokasi:Jawa Barat 
Usia: 20-50
Jenis kelamin: semua 
Durasi:5
Data Pembayaran
----
Total Bayar: 197000
Cs: Yuni
Status: Perpanjang</t>
  </si>
  <si>
    <t>Trigger: #inputorder#
Data Pesanan Jasa Iklan UMKM
Data Pemesan
----
Tanggal: 22-Des-2025
Nama: Abdul Rasyid R pakaya
Nama Usaha: RBA ( rumah Bekam Ar ruzain)
Jenis Usaha: Terapis bekam, ruqyah, stroke,dan saraf kejepit 
Alamat usaha: jalan jati lurus kelurahan mangga dua RT 04/rw 02 Ternate Selatan ( depan data grid turun kalau pertigaan pertama rumah kedua)
No Whatsapp Bisnis:6285241716176
Durasi: 5
Deskripsi produk/jasa:terapis bekam Sunnah, ruqyah Syariah stroke dan syarat kejepit 
Promo :
Setiap guru ngaji yang berbekam 3x bekam gratis sekali dan untuk umum 5x bekam gratis sekali
Data Target Iklan
----
Lokasi:kota Ternate provinsi Maluku Utara 
Usia:25-70 tahun
Jenis kelamin:laki dan perempuan 
Data Pembayaran
----
Total Bayar: 197000
Cs: Maya
Status: Baru</t>
  </si>
  <si>
    <t>Memeriksa nomor WA setelah dibersihkan: '6285241716176' (Tipe: string)</t>
  </si>
  <si>
    <t>Cashflow saved for 6285241716176</t>
  </si>
  <si>
    <t>ORDER SAVED: ID-1766403205013</t>
  </si>
  <si>
    <t>Trigger: #inputlaporan#
Laporan CS Jasa Iklan UMKM
------- 
Nama CS: Yuni
Tanggal: 22-Des-2025
Leads:
Jumlah Closing: 2
Paket 1: 
Paket 2: 
Paket 3: 
Paket 4: 
Paket 5: 
Repeat Paket 1: 1
Repeat Paket 2: 1
Repeat Paket 3: 
Repeat Paket 4: 
Repeat Paket 5: 
Catatan:</t>
  </si>
  <si>
    <t>ORDER UPDATED: UPDATE-ID-1766403205013</t>
  </si>
  <si>
    <t>Trigger: #inputorder#
Data Pesanan Jasa Iklan UMKM
Data Pemesan
----
Tanggal: 22-Des-2025
Nama: Abdul Rasyid R pakaya
Nama Usaha: RBA ( rumah Bekam Ar ruzain)
Jenis Usaha: Terapis bekam, ruqyah, stroke,dan saraf kejepit 
Alamat usaha: jalan jati lurus kelurahan mangga dua RT 04/rw 02 Ternate Selatan ( depan data grid turun kalau pertigaan pertama rumah kedua)
No Whatsapp Bisnis: 6285241716176
Durasi: 5
Deskripsi produk/jasa:terapis bekam Sunnah, ruqyah Syariah stroke dan syarat kejepit 
Promo :
Setiap guru ngaji yang berbekam 3x bekam gratis sekali dan untuk umum 5x bekam gratis sekali
Data Target Iklan
----
Lokasi:kota Ternate provinsi Maluku Utara 
Usia:25-70 tahun
Jenis kelamin:laki dan perempuan 
Data Pembayaran
----
Total Bayar: 197000
Cs: Maya
Status: Baru</t>
  </si>
  <si>
    <t>Trigger: #inputlaporan#
Laporan CS Jasa Iklan UMKM
------- 
Nama CS: Tika
Tanggal: 22-Des-2025
Leads:57
Jumlah Closing:
Paket 1: 
Paket 2: 
Paket 3: 
Paket 4: 
Paket 5: 
Repeat Paket 1: 
Repeat Paket 2: 
Repeat Paket 3: 
Repeat Paket 4: 
Repeat Paket 5: 
Catatan:
13 cek harga 
11 tanya tanya
12 nores
8 nanti dikabari lagi 
2 belum kirim vidio 
2 isi data
9 iseng</t>
  </si>
  <si>
    <t>Trigger: #inputorder#
Data Pesanan Jasa Iklan UMKM
Data Pemesan
----
Tanggal: 23-Des-2025
Nama: Suroto 
Nama Usaha: Arsitek, Kontraktor 
Jenis Usaha: jasa bangun rumah 
No Whatsapp Bisnis: 6285602235618
Alamat: Andalan group, ngiliran, Panekan, magetan
Durasi: 10
Deskripsi produk/jasa: Jasa bangun rumah, kantor, kos kosan, renovasi, interior 
*Keunggulan usaha*: Melayani dengan sepenuh hati, Melayani segala macam bangunan dan renovasi
*Keunikan usaha*: dikerjakan oleh tim yang profesional 
Data Target Iklan
----
Lokasi: Magetan, Madiun, Ponorogo, Ngawi
Usia: 25 tahun keatas 
Jenis kelamin: Semua 
Data Pembayaran
----
Total Bayar: 375000
Cs: Tika 
Status: Baru</t>
  </si>
  <si>
    <t>Memeriksa nomor WA setelah dibersihkan: '6285602235618' (Tipe: string)</t>
  </si>
  <si>
    <t>Cashflow saved for 6285602235618</t>
  </si>
  <si>
    <t>ORDER SAVED: ID-1766450945118</t>
  </si>
  <si>
    <t>Trigger: #inputorder#
Data Pesanan Jasa Iklan UMKM
Data Pemesan
----
Tanggal: 23-Des-2025
Nama: Rino
Nama Usaha: Therapist Bonesetting manajemen nyeri 
Jenis Usaha: mengobati bermacam-macam keluhan syaraf kejepit 
Alamat usaha: Salero Pante kota Ternate Maluku Utara jalan pemuda kos hijau
No Whatsapp Bisnis:6281245194434
Durasi: 7
Deskripsi produk/jasa:
Keunggulan: 
Penanganan sakit pada sendi tulang dan lain2
Data Target Iklan
----
Lokasi:kita Ternate Maluku Utara 
Usia:10 tahun ke atas
Jenis kelamin: laki dan perempuan 
Data Pembayaran
----
Total Bayar: 297000
Cs: Maya
Status: Baru</t>
  </si>
  <si>
    <t>Memeriksa nomor WA setelah dibersihkan: '6281245194434' (Tipe: string)</t>
  </si>
  <si>
    <t>Cashflow saved for 6281245194434</t>
  </si>
  <si>
    <t>ORDER SAVED: ID-1766456560633</t>
  </si>
  <si>
    <t>Trigger: #inputorder#
Data Pesanan Jasa Iklan UMKM
Data Pemesan
----
Tanggal: 23-Des-2025
Nama:Thabib Fahmi perangin angin S.Pd,C.RM,.C.MTr,C,KM
Nama Usaha: Rumah terapi holistik karo 
Jenis Usaha: ruqyah,bekam,bio elektrik/pen akupuntur, Oukup Karo,lintah,fisio terapi/gelombang hert,terapi,gurah,pijat getar saraf kretek,dan Herbalis
Alamat usaha: jalan ujung aji desa rumah Berastagi,rumah ustadz Fahmi perangin angin 
No Whatsapp Bisnis:6282132423880
Durasi: 5
Deskripsi produk/jasa:
Manfaat Terapi Holistik Karo Tambar Malem 🌿
Terapi Holistik Karo Tambar Malem hadir sebagai solusi kesehatan menyeluruh (jasmani, rohani, dan energi tubuh) dengan mengombinasikan metode terapi tradisional, sunnah, dan modern alami. Pendekatan ini bertujuan membantu tubuh kembali pada keseimbangan alaminya serta mempercepat proses pemulihan.
✨ Metode dan Manfaat Terapi:
🔹 Ruqyah Syar’iyah
Membersihkan gangguan non-medis, menenangkan jiwa, mengurangi kecemasan, memperkuat iman, serta membantu pemulihan penyakit yang berkaitan dengan psikis dan spiritual.
🔹 Terapi Bekam
Melancarkan peredaran darah, membuang racun (toksin), mengurangi nyeri, pegal, migrain, darah tinggi, kolesterol, serta meningkatkan daya tahan tubuh.
🔹 Bio Elektrik / Pen Akupuntur
Merangsang titik saraf dan meridian tubuh untuk mengurangi nyeri, memperbaiki fungsi organ, melancarkan aliran energi, dan membantu pemulihan saraf kejepit.
🔹 Oukup Karo (Terapi Uap Rempah)
Membantu detoksifikasi melalui keringat, melancarkan peredaran darah, menghangatkan tubuh, meredakan masuk angin, pegal, serta meningkatkan stamina dan imunitas.
🔹 Terapi Lintah
Membantu melancarkan sirkulasi darah, mengurangi penyumbatan pembuluh darah, mempercepat penyembuhan luka, serta baik untuk masalah pembengkakan dan nyeri tertentu.
🔹 Pijat Getar Saraf Kretek
Mengendurkan otot tegang, melancarkan saraf, mengurangi nyeri sendi, kaku otot, serta membantu relaksasi tubuh secara mendalam.
🔹 Gurah
Membersihkan lendir berlebih di saluran pernapasan, membantu mengatasi sinusitis, asma, batuk menahun, dan meningkatkan kualitas pernapasan.
🔹 Fisio Terapi / Itera Terapi
Membantu pemulihan cedera, memperbaiki postur tubuh, meningkatkan fleksibilitas, kekuatan otot, dan mempercepat rehabilitasi pasca sakit atau kecelakaan.
🔹 Herbalis Alami
Menggunakan racikan herbal tradisional untuk mendukung proses penyembuhan dari dalam, membantu menyeimbangkan fungsi organ, meningkatkan daya tahan tubuh, serta menjaga kesehatan jangka panjang.:*
*keunikan usaha perpaduan dengan pengobatan oukup karo:*
Promo:
Data Target Iklan
----
Lokasi:kab Karo,Medan, Sumatera Utara 
Usia:bebas
Jenis kelamin:laki dan perempuan 
Data Pembayaran
----
Total Bayar: 197000
Cs: Maya
Status: Baru</t>
  </si>
  <si>
    <t>Memeriksa nomor WA setelah dibersihkan: '6282132423880' (Tipe: string)</t>
  </si>
  <si>
    <t>Cashflow saved for 6282132423880</t>
  </si>
  <si>
    <t>ORDER SAVED: ID-1766457277647</t>
  </si>
  <si>
    <t>Trigger: #inputorder#
Data Pesanan Jasa Iklan UMKM
Data Pemesan
----
Tanggal:23-Des-2025
Nama: agung Utomo 
Nama Usaha: terapi pengobatan alternatif mas agung 
Jenis Usaha:jasa terapi pengobatan 
Alamat usaha: jalan kecepit/jalan mawar RT 03 RW 07 karang nanas sokaraja Banyumas Jawa Tengah 
No Whatsapp Bisnis:628566449071
Durasi: 5
Deskripsi produk/jasa: terapi pengobatan 
Keunggulan: terapi pengobatan alternatif terlengkap 
Keunikan: pasien langsung terasa fresh
Promo : 5 hari
Data Target Iklan
----
Lokasi: Purwokerto sokaraja Purbalingga Cilacap dan sekitarnya 
Usia:
Jenis kelamin: bebas 
Data Pembayaran
----
Total Bayar: 197000
Cs: Maya
Status: Baru</t>
  </si>
  <si>
    <t>Memeriksa nomor WA setelah dibersihkan: '628566449071' (Tipe: string)</t>
  </si>
  <si>
    <t>Cashflow saved for 628566449071</t>
  </si>
  <si>
    <t>ORDER SAVED: ID-1766460530811</t>
  </si>
  <si>
    <t>Trigger: #inputlaporan#
Laporan CS Jasa Iklan UMKM
------- 
Nama CS: Tika
Tanggal: 23-Des-2025
Leads:45
Jumlah Closing:1
Paket 1: 
Paket 2: 1
Paket 3: 
Paket 4: 
Paket 5: 
Repeat Paket 1: 
Repeat Paket 2: 
Repeat Paket 3: 
Repeat Paket 4: 
Repeat Paket 5: 
Catatan:
17 tanya tanya 
14 cek harga 
9 nores
3 isi data 
2 iseng</t>
  </si>
  <si>
    <t>Trigger: #inputorder#
Data Pesanan Jasa Iklan UMKM
Data Pemesan
----
Tanggal: 24-Des-2025
Nama: M Abduh 
Nama Usaha: Rumah spiritual healing 
Jenis Usaha: jasa terapi sehat keluarga 
No Whatsapp Bisnis: 6285959674295
Alamat: Perumahan Relife Greenville RT 01 RW 10 no. A-1 kec Setu kab bekasi
Durasi: 10
Deskripsi produk/jasa: Terapi Holistik menggunakan teknologi micro current, quantum holistik menggunakan teknologi micro current, quantum totok otak, magic akupuntur, hipnoterapi, dan seft yang dapat membuat penyembuhan penyakit fisik seperti pasca stroke, nyeri leher, punggung pinggang, betis, dan penyakit psikosomatis seperti: gerd, anxiety (cemas), insomnia, phobia, dan migren. serta layanan khusus terutama anda yang mau ngecilin lingkar perut dan bagi anda para pria yah mau jadi pria perkasa dihadapan istrinya 
*Keunggulan usaha*: Metode yang komprehensife antara teknologi, keterampilan khusus terapis, penguasaan teknik fisik dan psikis yang akan membuat proses penyembuhan akan lebih cepat 
*Keunikan usaha*: Penguasaan teknik yang banyak membuat proses terapi tidak monoton, plus kekuatan spiritual yang mampu menciptakan ketenangan jiwa dan kesehatan fisik 
ditambah terapi quantum totok otak sangat membantu anda yang pasca stroke, anak berkebutuhan khusus yang lemah dalam berfikir, melatih fokus, meningkatkan daya ingat 
*Promo*: Tarif terapi 350 ribu 
khusu buat paket awal tahun 2026: 4× terapi = 1 juta saja 
Data Target Iklan
----
Lokasi: Jakarta, kota Bogor, kab Bogor, Depok, kita Tangerang, kan Tangerang, kota Bekasi, kab bekasi Indramayu, Karawang 
Usia: 17-65 tahun 
Jenis kelamin: semua 
Data Pembayaran
----
Total Bayar: 375000
Cs: Tika 
Status: Baru</t>
  </si>
  <si>
    <t>Memeriksa nomor WA setelah dibersihkan: '6285959674295' (Tipe: string)</t>
  </si>
  <si>
    <t>Cashflow saved for 6285959674295</t>
  </si>
  <si>
    <t>ORDER SAVED: ID-1766542884726</t>
  </si>
  <si>
    <t>Trigger: #inputorder#
Data Pesanan Jasa Iklan UMKM
Data Pemesan
----
Tanggal: 23-Des-2025
Nama: Amir mba 
Nama Usaha: kavling teluk mata ikan
Jenis Usaha:lahan kavling dan tapak rumah 
Alamat usaha: jalan clt BLK A no 1 batu besar
No Whatsapp Bisnis:6282288320550
Durasi: 10
Deskripsi produk/jasa:
Keunggulan: lokasi view laut lepas
Keunikan: posisi sangat bagus dan strategis 
ukuran nya 6 x 10m2 dan 8 x 10m2
Data Target Iklan
----
Lokasi: Batam Kepulauan Riau,batu besar nongsa
Usia:bebas
Jenis kelamin:laki dan perempuan 
Data Pembayaran
----
Total Bayar: 375000
Cs: Maya
Status: Baru</t>
  </si>
  <si>
    <t>Memeriksa nomor WA setelah dibersihkan: '6282288320550' (Tipe: string)</t>
  </si>
  <si>
    <t>Cashflow saved for 6282288320550</t>
  </si>
  <si>
    <t>ORDER SAVED: ID-1766543290034</t>
  </si>
  <si>
    <t>Trigger: #inputorder#
Data Pesanan Jasa Iklan UMKM
Data Pemesan
----
Tanggal: 24-Des-2025
Nama: H Ir Aprizal
Nama Usaha: PT karya cipta tecture 
Jenis Usaha: jasa design dan pelaksanaan bangunan gedung 
No Whatsapp Bisnis: 628132211405
Alamat: Jalan Papanggo 2C RT 01 RW 06 
Durasi: 14
Deskripsi produk/jasa: melayani jasa bangun rumah, kos kosan, kantor, pabrik, ruko, rumah ibadah dll 
*Keunggulan usaha*: budget bisa menyesuaikan dengan kondisi keuangan owner
Data Target Iklan
----
Lokasi: Jabodetabek 
Usia: 18-70 tahun 
Jenis kelamin: semua
Data Pembayaran
----
Total Bayar: 450000
Cs: Tika 
Status: Baru</t>
  </si>
  <si>
    <t>Memeriksa nomor WA setelah dibersihkan: '628132211405' (Tipe: string)</t>
  </si>
  <si>
    <t>Cashflow saved for 628132211405</t>
  </si>
  <si>
    <t>ORDER SAVED: ID-1766561202892</t>
  </si>
  <si>
    <t>Trigger: #inputorder#
Data Pesanan Jasa Iklan UMKM
Data Pemesan
----
Tanggal: 24-Des-2025
Nama: tabib noto
Nama Usaha: rumah terapi alfito 
Jenis Usaha: layanan kesehatan 
No Whatsapp Bisnis:6281386087555
Durasi: 5
Deskripsi produk/jasa: melayani terapi bekam akunpuntur sport massage pijat ramuan herbal ruqyah 
Keunggulan &amp; Keunikan Terapi StroQi Holistik
Terapi StroQi Holistik adalah terapi alami dan menyeluruh, tidak hanya meredakan keluhan tetapi membantu memulihkan tubuh dari dalam.
✔️ Menggabungkan akupunktur, bekam, pijat, herbal, dan doa/ruqyah
✔️ Fokus pada saraf, stroke, nyeri, dan tubuh lemah
✔️ Terapi dilakukan bertahap dan terukur, tidak instan
✔️ Disesuaikan dengan kondisi masing-masing pasien
✔️ Aman, alami, dan minim efek samping
✔️ Bisa dilakukan di rumah pasien
✍️ Keunikannya, StroQi Holistik menggabungkan pengobatan tradisional dengan ketenangan batin, sehingga tubuh lebih rileks, aliran darah dan energi lebih lancar, dan proses pemulihan lebih optimal.
StroQi Holistik — Terapi alami untuk pemulihan saraf dan tubuh secara menyeluruh.
Data Target Iklan
----
Lokasi: Jabodetabek 
Usia:35 tahun ke atas 
Jenis kelamin: pria dan wanita 
Data Pembayaran
----
Total Bayar: 197000
Cs: Maya
Status: Baru</t>
  </si>
  <si>
    <t>Memeriksa nomor WA setelah dibersihkan: '6281386087555' (Tipe: string)</t>
  </si>
  <si>
    <t>Cashflow saved for 6281386087555</t>
  </si>
  <si>
    <t>ORDER SAVED: ID-1766576686580</t>
  </si>
  <si>
    <t>Trigger: #inputorder#
Data Pesanan Jasa Iklan UMKM
Data Pemesan
----
Tanggal: 24-Des-2025
Nama: condro
Nama Usaha: PT cdr jaya properti 
Jenis Usaha: kontraktor 
Alamat usaha: jalan puri Gading blok pertokoan ruko puri Gading Jimbaran Kuta Selatan 
No Whatsapp Bisnis:6285640670857
Durasi: 5
Deskripsi produk/jasa:
Keunggulan: pelayan ramah,di kerjakan oleh tenaga ahli profesional, kualitas terjamin, 
Data Target Iklan
----
Lokasi: bali
Usia:25 ke atas
Jenis kelamin: laki dan perempuan 
Data Pembayaran
----
Total Bayar: 197000
Cs: Maya
Status: Baru</t>
  </si>
  <si>
    <t>Memeriksa nomor WA setelah dibersihkan: '6285640670857' (Tipe: string)</t>
  </si>
  <si>
    <t>Cashflow saved for 6285640670857</t>
  </si>
  <si>
    <t>ORDER SAVED: ID-1766582808024</t>
  </si>
  <si>
    <t>Trigger: #inputorder#
Data Pesanan Jasa Iklan UMKM
Data Pemesan
----
Tanggal: 24-Des-2025
Nama: Dr Muhammad kabari, M.Si
Nama Usaha:akunpuntur medik
Alamat usaha: perumahan mutiara blok B nomer 7 Gampong baet kecamatan Baitussalam kabupaten Aceh besar 
Jenis Usaha: terapi akupunktur 
No Whatsapp Bisnis:6285954786519
Durasi: 5
Deskripsi produk/jasa:
Menghilangkan beberapa keluhan berbagai nyeri
Data Target Iklan
----
Lokasi:kota Banda Aceh,Aceh besar dan wilayah Aceh lainya 
Usia: bebas
Jenis kelamin:pria dan wanita 
Data Pembayaran
----
Total Bayar: 197000
Cs: Maya
Status: Baru</t>
  </si>
  <si>
    <t>Memeriksa nomor WA setelah dibersihkan: '6285954786519' (Tipe: string)</t>
  </si>
  <si>
    <t>Cashflow saved for 6285954786519</t>
  </si>
  <si>
    <t>ORDER SAVED: ID-1766587677282</t>
  </si>
  <si>
    <t>Trigger: #inputlaporan#
Laporan CS Jasa Iklan UMKM
------- 
Nama CS: Tika
Tanggal: 24-Des-2025
Leads:
Jumlah Closing:3
Paket 1: 
Paket 2: 1
Paket 3: 1
Paket 4: 
Paket 5: 
Repeat Paket 1: 1
Repeat Paket 2: 
Repeat Paket 3: 
Repeat Paket 4: 
Repeat Paket 5: 
Catatan:
1 dp</t>
  </si>
  <si>
    <t>Trigger: #inputlaporan#
Laporan CS Jasa Iklan UMKM
------- 
Nama CS: Yuni
Tanggal: 24-Des-2025
Leads:48
Jumlah Closing: 
Paket 1: 
Paket 2: 
Paket 3: 
Paket 4: 
Paket 5: 
Repeat Paket 1: 
Repeat Paket 2: 
Repeat Paket 3: 
Repeat Paket 4: 
Repeat Paket 5: 
Catatan:
DP 1
23 tanya2
14 no respon 
2 berhenti diformat 
3 gratis 
3 hasil dulu
2 mahal</t>
  </si>
  <si>
    <t>Trigger: #inputlaporan#
Laporan CS Jasa Iklan UMKM
------- 
Nama CS: Isna
Tanggal: 23-Des-2025
Leads:
Jumlah Closing:1
Paket 1: 
Paket 2: 
Paket 3: 
Paket 4: 
Paket 5: 
Repeat Paket 1: 1
Repeat Paket 2: 
Repeat Paket 3: 
Repeat Paket 4: 
Repeat Paket 5: 
Catatan:</t>
  </si>
  <si>
    <t>Trigger: #inputlaporan#
Laporan CS Jasa Iklan UMKM
------- 
Nama CS: Isna
Tanggal: 22-Des-2025
Leads:
Jumlah Closing:
Paket 1: 
Paket 2: 
Paket 3: 
Paket 4: 
Paket 5: 
Repeat Paket 1:
Repeat Paket 2: 
Repeat Paket 3: 
Repeat Paket 4: 
Repeat Paket 5: 
Catatan:</t>
  </si>
  <si>
    <t>Trigger: #inputlaporan#
Laporan CS Jasa Iklan UMKM
------- 
Nama CS: Isna
Tanggal: 24-Des-2025
Leads:53
Jumlah Closing:1
Paket 1: 
Paket 2: 
Paket 3: 
Paket 4: 
Paket 5: 
Repeat Paket 1:1
Repeat Paket 2: 
Repeat Paket 3: 
Repeat Paket 4: 
Repeat Paket 5: 
Catatan:
20 nores
15 cek harga
11 tanya-tanya 
  4 nanti di kabari 
  2 belum isi data 
  1 nunggu TF</t>
  </si>
  <si>
    <t>Trigger: #inputorder#
Data Pesanan Jasa Iklan UMKM
Data Pemesan
----
Tanggal: 25-Des-2025
Nama: Agus triastono tofik
Nama Usaha: PT Broto makmur jaya 
Jenis Usaha: kontraktor 
No Whatsapp Bisnis: 6285930018999
Alamat: Karanganyar RT 04 RW 01 kelurahan karang Tengah kecamatan sragen kabupaten Sragen provinsi Jawa Tengah 
Durasi: 10
Deskripsi produk/jasa: solusi jasa bangun, jasa renovasi, jasa gambar tepercaya anda 
*Keunggulan usaha*: Tidak perlu ragu lagi dengan kami, tukang kami yang berpengalaman di bidangnya
*Keunikan usaha*: wujudkan desain rumah impian Anda kami akan membantu mendesain sampai membangun nya 
Data Target Iklan
----
Lokasi: Jawa Tengah, Jawa Timur, Jabodetabek 
Usia: 25 tahun keatas 
Jenis kelamin: semua
Data Pembayaran
----
Total Bayar: 375000
Cs: Tika 
Status: Baru</t>
  </si>
  <si>
    <t>Memeriksa nomor WA setelah dibersihkan: '6285930018999' (Tipe: string)</t>
  </si>
  <si>
    <t>Cashflow saved for 6285930018999</t>
  </si>
  <si>
    <t>ORDER SAVED: ID-1766631629453</t>
  </si>
  <si>
    <t>Trigger: #inputorder#
Data Pesanan Jasa Iklan UMKM
Data Pemesan
----
Tanggal: 25-Des-2025
Nama: Fathurrahman 
Nama Usaha: kretek shakti bekasi 
Jenis Usaha:pijat kretek (reposisi tulang dan sendi)
Alamat usaha: ruko ms no 51 jl bulak Sentul harapan jaya Bekasi Utara kota Bekasi 
No Whatsapp Bisnis:6281945071777
Durasi: 5
Deskripsi produk/jasa:
Pelayanan bagus dan tempat strategis dan terapis bersertifikat 
Keunikan: diagnosa lengkap dan terapis profesional berpengalaman dan bersertifikat 
Data Target Iklan
----
Lokasi:kita Bekasi 
Usia:15-60 tahun 
Jenis kelamin:laki dan perempuan 
Data Pembayaran
----
Total Bayar: 197000
Cs: Maya
Status: Baru</t>
  </si>
  <si>
    <t>Memeriksa nomor WA setelah dibersihkan: '6281945071777' (Tipe: string)</t>
  </si>
  <si>
    <t>Cashflow saved for 6281945071777</t>
  </si>
  <si>
    <t>ORDER SAVED: ID-1766636166468</t>
  </si>
  <si>
    <t>Trigger: #inputorder#
Data Pesanan Jasa Iklan UMKM
Data Pemesan
Tanggal:25-Des-2025
Nama: Kasman 
Nama Usaha: AKSES ENGLISH CENTER
Jenis Usaha: Kursus bahasa inggris dan Bimbel 
No Whatsapp Bisnis:6282225601525
Alamat usaha: Jl. Jenderal A. H. Nasution no 109 Kambu Kota Kendari
Deskripsi produk/jasa:Kami membantu Anda untuk bisa berbahasa Inggris dengan cepat dan lancar , melayani kursus bahasa Inggrus dari nol dan Bimbel Matematika dan CALISTUNG
*Keunggulan usaha (wajib):Tenaga pengajar adalah magister yang berpengalaman dengan metode belajar cepat pintar*
*keunikan usaha (wajib): 3 bulan langsung bisa bercakap bahasa inggris, In shaa ALLAH*
Promo: khusus biaya kursus bahasa Inggris bayar 6 bulan langsung FREE uang Pendaftaran (kalau bayar perbulan 400rb)
Untuk bimbel hanya 250 ribu per bulan
Data Target Iklan 
Lokasi:Kota Kendari... Kabupaten Konawe.. Kabupaten Konawe Selatan
Usia: mulai dari 6 tahun keatas
Jenis kelamin:semua
Durasi:5
Data Pembayaran
----
Total Bayar: 197000
Cs: Yuni
Status:Baru</t>
  </si>
  <si>
    <t>Memeriksa nomor WA setelah dibersihkan: '6282225601525' (Tipe: string)</t>
  </si>
  <si>
    <t>Cashflow saved for 6282225601525</t>
  </si>
  <si>
    <t>ORDER SAVED: ID-1766643702764</t>
  </si>
  <si>
    <t>Trigger: #inputorder#
Data Pesanan Jasa Iklan UMKM
Data Pemesan
Tanggal:25-Des-2025
Nama: suryana
Nama Usaha: MEGAH PLAFON
Jenis Usaha: plavon
No Whatsapp Bisnis:6281323291817
Alamat usaha: jalan Dewi Sartika,Palu
Deskripsi produk/jasa: menjual berbagai list-list Gipsum
menerima pemasangan plafon gypsum, PVC,profil beton, molding,atap baja ringan dll
*Keunggulan usaha (wajib):*
*keunikan usaha (wajib):*
Promo:
Data Target Iklan 
Lokasi: Sulawesi Tengah 
Usia: 18-60
Jenis kelamin:semua
Durasi:30
Data Pembayaran
----
Total Bayar: 1000000
Cs: Yuni
Status: Perpanjang</t>
  </si>
  <si>
    <t>ORDER UPDATED: UPDATE-ORD-763</t>
  </si>
  <si>
    <t>Trigger: #inputorder#
Data Pesanan Jasa Iklan UMKM
Data Pemesan
----
Tanggal: 25-Des-2025
Nama: Purwanto 
Nama Usaha:jasa pijat dan bekam mas poer
Jenis Usaha:pijat dan bekam
Alamat usaha: jln Sukarno Hatta Kledung Kradenan RT 02 RW 01 kecamatan banyuurip kabupaten Purworejo 54171
No Whatsapp Bisnis:6282112073155
Durasi: 5
Deskripsi produk/jasa:
Keunggulan: tarif terjangkau, akses strategis,tempat nyaman 
Keunikan: terjangkau dan nyaman
Promo: 5x terapi free 1x
Data Target Iklan
----
Lokasi: Kabupaten Purworejo dan sekitarnya 
Usia: bebas
Jenis kelamin:laki dan perempuan 
Data Pembayaran
----
Total Bayar: 197000
Cs: Maya
Status: Baru</t>
  </si>
  <si>
    <t>Memeriksa nomor WA setelah dibersihkan: '6282112073155' (Tipe: string)</t>
  </si>
  <si>
    <t>Cashflow saved for 6282112073155</t>
  </si>
  <si>
    <t>ORDER SAVED: ID-1766649810306</t>
  </si>
  <si>
    <t>Trigger: #inputorder#
Data Pesanan Jasa Iklan UMKM
Data Pemesan
----
Tanggal: 25-Des-2025
Nama: ki yetno 
Nama Usaha: totok syaraf jari petir Nusantara 
Jenis Usaha: pelatihan 
Alamat usaha: jln sunan geseng no 08 RT 01/01 Tlogorejo sekarlangit Grabag Magelang Jawa Tengah 
No Whatsapp Bisnis:6282241377832
Durasi: 30
Deskripsi produk/jasa:
Keunggulan: bisa langsung di buktikan 
1 hari di jamin bisa. Ilmu bisa langsung di buktikan tingkat kesembuhan nya
Bisa untuk menangani segala keluhan
Keunikan: tanpa mantra
Data Target Iklan
----
Lokasi:  Jogjakarta ( restoran taman pring Sewu)
Usia: bebas 
Jenis kelamin:laki dan perempuan 
Data Pembayaran
----
Total Bayar: 1000000
Cs: Maya
Status: Baru</t>
  </si>
  <si>
    <t>ORDER SAVED: ID-1766660221062</t>
  </si>
  <si>
    <t>Trigger: #inputorder#
Data Pesanan Jasa Iklan UMKM
Data Pemesan
Tanggal:25-Des-2025
Nama: agung 
Nama Usaha: Rumah kavling Agung
Jenis Usaha: property 
No Whatsapp Bisnis:6281331117198
Alamat usaha: jl sawo plumbungan - sukodono
Deskripsi produk/jasa:
*Keunggulan usaha (wajib):*- Ukuran 5x10 
- Harga cash 165jt
- DP 85jt angsuran 2,4jt/48 bulan
- 2 kamar tidur, 1 kamar mandi,Dapur, Rumah tamu, 
Carpot
- sertifikat SHM splitz pecah 
- tinggal pajak + balik nama asumsi 10jt 
- lokasi jl. al Ikhlas desa sawo sukodono 
Hub : agung
081331117198
*keunikan usaha (wajib):*
Promo: free SHM splitz
Data Target Iklan 
Lokasi: surabaya dan sidoarjo
Usia: 25-60
Jenis kelamin: laki-laki dan perempuan
Durasi:20
Data Pembayaran
----
Total Bayar: 700000
Cs: Yuni
Status: Perpanjang</t>
  </si>
  <si>
    <t>ORDER UPDATED: UPDATE-ID-1765023717487</t>
  </si>
  <si>
    <t>Trigger: #inputlaporan#
Laporan CS Jasa Iklan UMKM
------- 
Nama CS: Isna
Tanggal: 25-Des-2025
Leads:
Jumlah Closing:3
Paket 1: 
Paket 2: 
Paket 3: 
Paket 4: 
Paket 5: 
Repeat Paket 1:1
Repeat Paket 2:1
Repeat Paket 3: 
Repeat Paket 4: 
Repeat Paket 5:1
Catatan:</t>
  </si>
  <si>
    <t>Trigger: #inputorder#
Data Pesanan Jasa Iklan UMKM
Data Pemesan
----
Tanggal: 25-Des-2025
Nama: Made
Nama Usaha: Superman Interior and Furniture Custom 
Jenis Usaha: Furniture Interior 
No Whatsapp Bisnis: 62818833829
Alamat: jl bungtomo xB denpasar barat bali
Durasi: 10
Deskripsi produk/jasa: 
*kitchenset bahan ACP( aluminium composite panel) anti rayap. Tahan panas. Tahan air. Tidak korosi.
*produk kami satu satunya di bali yang mengerjakan bahan ACP double layer, tanpa terlihat screw dan paku rivet, yang ketebalannya sama dengan multiplek 18mm.
Data Target Iklan
----
Lokasi: Bali
Usia: 21 th ke atas 
Jenis kelamin: laki-laki dan perempuan 
Data Pembayaran
----
Total Bayar: 375000
Cs: Isna
Status: Perpanjang</t>
  </si>
  <si>
    <t>Memeriksa nomor WA setelah dibersihkan: '62818833829' (Tipe: string)</t>
  </si>
  <si>
    <t>ORDER UPDATED: UPDATE-ORD-1070</t>
  </si>
  <si>
    <t>Trigger: #inputorder#
Data Pesanan Jasa Iklan UMKM
Data Pemesan
----
Tanggal: 25-Des-2025
Nama: Agus
Nama Usaha: Bengkel Las dan Pemasangan Plavon
Jenis Usaha: bengkel las pagar kanopi dll
No Whatsapp Bisnis: 6282393168368
Durasi: 30
Deskripsi produk/jasa:
Menerima Pesanan:
-Kanopi
-Pagar
-Reiling Tangga
-Pintu Ruko
-Pengaman pintu/jendela
-Pemasangan Plafon UPVC dll
Keunggulan:
Dikerjakan tim profesional, kerja cepat hasil rapi, kualitas terjamin.
Data Target Iklan
----
Lokasi: gowa, makassar, maros, takalar, pangkep
Usia: 12-70 th
Jenis kelamin: laki-laki &amp; perempuan 
Data Pembayaran
----
Total Bayar: 950000
Cs: Isna
Status: Perpanjang</t>
  </si>
  <si>
    <t>Memeriksa nomor WA setelah dibersihkan: '6282393168368' (Tipe: string)</t>
  </si>
  <si>
    <t>ORDER UPDATED: UPDATE-ORD-67</t>
  </si>
  <si>
    <t>Trigger: #inputorder#
Data Pesanan Jasa Iklan UMKM
Data Pemesan
----
Tanggal: 25-Des-2025
Nama: Ninis 
Nama Usaha: Samira Travel 
Jenis Usaha: Travel Umroh 
No Whatsapp Bisnis: 6281216704496
Alamat: Jalan Padmosusastro 74 A Surabaya 
Durasi: 5
Deskripsi produk/jasa: keunggulan Usaha: Legal, Amanah, Berpengalaman melayani ribuan jamaah, muthawwif berilmu, sabar dan profesional, Terpercaya, Fasilitas nyaman, melayani dengan hati
Keunikan Usaha: Harga Transparan dan bisa dicicil Tanpa riba
Promo: Gratis Paspor 
Trus nanti saya ada tambahan "free kereta cepat bulan november dan desember 2025"
Data Target Iklan
----
Lokasi: Surabaya, Sidoarjo, Gresik 
Usia: 25-40 th (milenial)
Jenis kelamin: Laki-laki Dan Perempuan 
Data Pembayaran
----
Total Bayar: 197000
Cs: Isna
Status: Perpanjang</t>
  </si>
  <si>
    <t>Trigger: #inputorder#
Data Pesanan Jasa Iklan UMKM
Data Pemesan
----
Tanggal: 24-Des-2025
Nama: Ahmadi 
Nama Usaha: Jaya Baja Contruction Welding 
Jenis Usaha: Pengelasan 
No Whatsapp Bisnis: 6282133932170
Alamat: Pesidi 1 Rt 01 Rw 02 grabag magelang jawa tengah 
Durasi: 5
Deskripsi produk/jasa: 
Jaya Baja Spesialis Kontruksi Baja IWF:
 ☕ Cafe Industrial
 🏭 Gudang Modern
🏠 Rumah Tinggal Cepat &amp; Kuat
Data Target Iklan
----
Lokasi: Magelang Jogja, Semarang dan Sekitarnya 
Usia: 20-55 th
Jenis kelamin: laki-laki dan perempuan 
Data Pembayaran
----
Total Bayar: 197000
Cs: Isna
Status: Perpanjang</t>
  </si>
  <si>
    <t>Trigger: #inputorder#
Data Pesanan Jasa Iklan UMKM
Data Pemesan
----
Tanggal: 23-Des-2025
Nama: HM Kuswadji Aziz S.Ked
Nama Usaha: Fisioterapi (Terapi Fisik Tanpa Obat)
Jenis Usaha: Terapi Kesehatan 
No Whatsapp Bisnis: 6282234163461
Alamat: Klinik Tandya Jln Semeru 43 Malang
Durasi: 5
Deskripsi produk/jasa: Membantu mempercepat penyembuhan Stroke, Post Stroke, Diabetes, Saraf Kejepit, Kanker Prostat, Kanker Payudara, Kista, Vertigo, Migrain, Nyeri Lutut, Kesemutan, Kebas2, dan Gangguan Otot Saraf Lainnya.
Data Target Iklan
----
Lokasi: Malang Raya 
Usia: 20 th keatas 
Jenis kelamin: laki-laki dan perempuan 
Data Pembayaran
----
Total Bayar: 197000
Cs: Isna
Status: Perpanjang</t>
  </si>
  <si>
    <t>Trigger: #inputlaporan#
Laporan CS Jasa Iklan UMKM
------- 
Nama CS: Yuni
Tanggal: 25-Des-2025
Leads:
Jumlah Closing: 3
Paket 1: 1
Paket 2: 
Paket 3: 
Paket 4: 
Paket 5: 
Repeat Paket 1: 
Repeat Paket 2: 
Repeat Paket 3: 
Repeat Paket 4: 1
Repeat Paket 5: 1
Catatan:</t>
  </si>
  <si>
    <t>Trigger: #inputlaporan#
Laporan CS Jasa Iklan UMKM
------- 
Nama CS: Tika
Tanggal: 25-Des-2025
Leads:
Jumlah Closing: 1
Paket 1: 
Paket 2: 1
Paket 3: 
Paket 4: 
Paket 5: 
Repeat Paket 1: 
Repeat Paket 2: 
Repeat Paket 3: 
Repeat Paket 4: 
Repeat Paket 5: 
Catatan:</t>
  </si>
  <si>
    <t>Trigger: #inputorder#
Data Pesanan Jasa Iklan UMKM
Data Pemesan
Tanggal:26-Des-2025
Nama: Bustam hamim
Nama Usaha:PUSAT TERAPI PAZ DAN BEKAM SALSABILA TERNATE
Jenis Usaha:Terapi PAZ, BEKAM &amp; LINTAH
No Whatsapp Bisnis:6285240194507
Alamat usaha: kota Ternate 
Deskripsi produk/jasa:
Halo warga Ternate 
Apakah anda merasakan 
1. Nyeri dada
2. Sesak napas 
3. Jantung berdebar 
4. Mudah lelah, lemas
5. Kaki bengkak
Jangan janagn anda keluhan *Jantung*
In Shaa Allah keluhan tersebut sangat baik di terapi PAZ , Bekam dan Lintah.
Kabar baiknya kami buka  praktek di Ternate.
Jangan tunda,  hubungi kami,  lebih cepat lebih baik di 08 52 40 19 45 07
*Keunggulan usaha (wajib):*
*keunikan usaha (wajib):*
Promo:
Data Target Iklan 
Lokasi: Ternate
Usia:17-65
Jenis kelamin:semua
Durasi:10
Data Pembayaran
----
Total Bayar: 375000
Cs: Yuni
Status: Perpanjang</t>
  </si>
  <si>
    <t>Memeriksa nomor WA setelah dibersihkan: '6285240194507' (Tipe: string)</t>
  </si>
  <si>
    <t>ORDER UPDATED: UPDATE-ORD-656</t>
  </si>
  <si>
    <t>Trigger: #inputorder#
Data Pesanan Jasa Iklan UMKM
Data Pemesan
----
Tanggal: 26-Des-2025
Nama: khafid ali
Nama Usaha: cv adam jaya construction
Jenis Usaha: desain dan bangun
No Whatsapp Bisnis:6281283325291
Alamat usaha: perum vila gading permai b3 no 25 jabon mekar
Deskripsi produk/jasa: desain, bangun baru, renovasi rumah
Data Target Iklan
----
Lokasi:purbingga,Purwokerto 
Usia: 17-55 thn
Jenis kelamin: laki laki dan perempuan 
Data iklan
----
Durasi:5
Data Pembayaran
----
Total Bayar:197000
Cs: Yuni
Status: Perpanjang</t>
  </si>
  <si>
    <t>Trigger: #inputorder#
Data Pesanan Jasa Iklan UMKM
Data Pemesan
----
Tanggal: 26-Des-2025
Nama: Mariyah
Nama Usaha: Warkop'e Bolodewe (4 warkop) &amp; Internet XL Satu
Jenis Usaha: Warkop dan Jasa Layanan Internet 
No Whatsapp Bisnis: 6282333302435
Alamat: Raya Bluru 73 Sidoarjo Tambak Kemerakan Samping SDN Sidomojo Krian, Yos Sudarso 62 Sidoarjo, Lingkar Timur NPP Sidoarjo 
Durasi: 5
Deskripsi produk/jasa: Warkop dan Internet 
Keunggulan: Ada lesehan, kursi, all item sachet kopi &amp; minuman, bakaran(tambak kemerakan), nasi goreng (raya bluru ) 
Trima sewa stan makanan 
Bisa makan di tempat 
Free wifi
Warkop bluru &amp; krian tambak kemerakan trima kos dan sewa stan 
Internet XL satu area surabaya, gresik, sidoarjo
Paket 30 mb keatas free biaya pasang
Unlimited
Harga flat
Sdh include pon
Simetris 1:1
Data Target Iklan
----
Lokasi: Sidoarjo, Krian untuk warkop dan internet cover Surabaya, Gresik, Sidoarjo 
Usia: anak2 sampai dewasa 
Jenis kelamin: laki-laki dan perempuan 
Data Pembayaran
----
Total Bayar: 197000
Cs: Isna
Status: Baru</t>
  </si>
  <si>
    <t>Memeriksa nomor WA setelah dibersihkan: '6282333302435' (Tipe: string)</t>
  </si>
  <si>
    <t>Cashflow saved for 6282333302435</t>
  </si>
  <si>
    <t>ORDER SAVED: ID-1766760099827</t>
  </si>
  <si>
    <t>Trigger: #inputorder#
Data Pesanan Jasa Iklan UMKM
Data Pemesan
----
Tanggal: 26-Des-2025
Nama: Titik Widiningsih
Nama Usaha: Titik Bekam
Jenis Usaha: Pijat dan Bekam
No Whatsapp Bisnis: 6287762765927
Alamat: nusupan, salaman rt rw 1
Durasi: 5
Deskripsi produk/jasa: melayani berbagai macam terapis dan bekam serta pijat urut
*Keunggulan usaha (wajib):Menjadikan badan lebih enak dan harga terjangkau*
*keunikan usaha (wajib):Bisa mengeluarkan darah kotor*
Promo: harga 100rb dapat berbagai terapis yaitu Pijat Bekam Dan Totok wajah 
Data Target Iklan
----
Lokasi: Nusupan Salaman Magelang/Bisa di panggil ke rumah tergantung jarak
Usia: bebas
Jenis kelamin: laki-laki dan perempuan 
Data Pembayaran
----
Total Bayar: 197000
Cs: Isna
Status: Baru</t>
  </si>
  <si>
    <t>Memeriksa nomor WA setelah dibersihkan: '6287762765927' (Tipe: string)</t>
  </si>
  <si>
    <t>Cashflow saved for 6287762765927</t>
  </si>
  <si>
    <t>ORDER SAVED: ID-1766760118176</t>
  </si>
  <si>
    <t>Trigger: #inputlaporan#
Laporan CS Jasa Iklan UMKM
------- 
Nama CS: Yuni
Tanggal: 26-Des-2025
Leads:5
Jumlah Closing: 2
Paket 1: 
Paket 2: 
Paket 3: 
Paket 4: 
Paket 5: 
Repeat Paket 1: 1
Repeat Paket 2: 1
Repeat Paket 3: 
Repeat Paket 4: 
Repeat Paket 5: 
Catatan:
2 berhenti diformat 
3 tanya2</t>
  </si>
  <si>
    <t>Trigger: #inputlaporan#
Laporan CS Jasa Iklan UMKM
------- 
Nama CS: Tika
Tanggal: 26-Des-2025
Leads:86
Jumlah Closing:
Paket 1: 
Paket 2: 
Paket 3: 
Paket 4: 
Paket 5: 
Repeat Paket 1: 
Repeat Paket 2: 
Repeat Paket 3: 
Repeat Paket 4: 
Repeat Paket 5: 
Catatan:
38 cek harga 
22 nores
17 tanya tanya 
6 nanti dikabari lagi 
3 isi data</t>
  </si>
  <si>
    <t>Trigger: #inputorder#
Data Pesanan Jasa Iklan UMKM
Data Pemesan
----
Tanggal: 27-Des-2025
Nama:didik Ariyanto 
Nama Usaha: Jepara interior 
Jenis Usaha: interior 
Alamat usaha: Jepara mlonggo jambu Timur RT 29/6 
No Whatsapp Bisnis:6281328834878
Durasi: 5
Deskripsi produk/jasa:
Keunggulan: anti jamur dan rayap barang custom tidak ada di toko
Garansi 1 tahun kerusakan 
Data Target Iklan
----
Lokasi: se Jawa dan madura
Usia:20-65
Jenis kelamin:laki dan perempuan 
Data Pembayaran
----
Total Bayar: 197000
Cs: Maya
Status: Baru</t>
  </si>
  <si>
    <t>Memeriksa nomor WA setelah dibersihkan: '6281328834878' (Tipe: string)</t>
  </si>
  <si>
    <t>Cashflow saved for 6281328834878</t>
  </si>
  <si>
    <t>ORDER SAVED: ID-1766807752988</t>
  </si>
  <si>
    <t>Trigger: #inputorder#
Data Pesanan Jasa Iklan UMKM
Data Pemesan
Tanggal:27-Des-2025
Nama:Rosyid
Nama Usaha: Samudra Creatif
Jenis Usaha: Renovasi dan interior
No Whatsapp Bisnis:628131383719
Alamat usaha: Jln baypas ngurah rai
Gg swadaya/lapangan kapten japa
Kesiman kerta langu
Denpasar timur
Deskripsi produk/jasa:
Mengerjakan 
Plafon gypsum
Plafon pvc
Plafon kalsi board
Plamir-cat
Sekat ruangan/partisi
Dan Renovasi rumah, kos"an dll sampai finis
Mengatasi dak beton rembes/bocor yg mengakibatkan plafon rusak
*Keunggulan usaha (wajib): dikerjakan tim profesional*
*keunikan usaha (wajib):*
Promo:
Data Target Iklan 
Lokasi:Bali, Denpasar dan sekitarnya 
Usia:20-55
Jenis kelamin: semua 
Durasi:7
Data Pembayaran
----
Total Bayar: 297000
Cs: Yuni
Status: Perpanjang</t>
  </si>
  <si>
    <t>Trigger: #inputorder#
Data Pesanan Jasa Iklan UMKM
Data Pemesan
----
Tanggal: 27-Des-2025
Nama: Arfi
Nama Usaha: AJP Arfi jaya perkasa 
Jenis Usaha: Jasa sewa lift cor dan molen 
No Whatsapp Bisnis: 6289673319845
Alamat usaha: Mranggen Demak 
Durasi: 5
Deskripsi produk/jasa: Sewa lift cor dan molen bangunan + tenaga juga bisa alat" komplit 
*Keunggulan usaha*: Bisa masuk gang sempit
*Keunikan usaha*: Pengecoran tidak membutuhkan orang lebih dari 10 sampai 30 
Data Target Iklan
----
Lokasi: Semarang
Usia: 20 tahun ke atas
Jenis kelamin: semua
Data Pembayaran
----
Total Bayar: 197000
Cs: Tika 
Status: Perpanjang</t>
  </si>
  <si>
    <t>Trigger: #inputorder#
Data pesanan Jasa iklan UMKM 
Data Pemesan
Tanggal: 27-Des-2025
Nama : AJIK BAGUS
Nama usaha:GRAHA WAJA UTAMA
Jenis usaha :Konstruksi Baja Berat WF/H-Beam,konstruksi tingkat Composit baja beton.
No Whatsapp Bisnis:6287758080333
Alamat usaha 
Jl Gunung Himalaya 1B
Gatsu barat.
Deskripsi: Yuks yang masih bingung menentukan jenis konstruksi bangunan yang Anda pilih sesuai kondisi dan ukuran bangunan yang akan anda buat.
Kalau urusan bangunan untuk  usaha Anda percayakan pada kami 
GRAHA WAJA UTAMA
Berpengalaman lebih dari 25 tahun 
Sangat cocok.utk bangunan usaha dengan lebar bangunan lebih dari 10 mt hingga 20 mt
Tanpa ada Tiang berserakan.di dalam bangunan Gudang,showroom,Kandang ayam,atau gudang mobil truck/bus usaha Anda.
Harga mulai 650 rb/m2
Atau dalam kilogram berat 26 rb/kg.
Juga menerima service gudang lama Anda atau pengecatan ulang konstruksi Anda dengan Harga Terjangkau.
Keunggulan dari usaha kami 
Bisa menyelesaikan konstruksi Gudang dengan cepat dan efisien.
Menerima konsultasi gratis...
Design gratis...kalau ada kecocokan harga.
Data target iklan
Lokasi wilayah: Denpasar,Tabanan,Gianyar,seluruh Bali.
Usia : usia.pengusaha mulai 23.th sampai 60 th.
Jenis kelamin: pria/wanita
Durasi: 5
Data pembayaran 
Total Bayar:197000
Cs:Yuni
Status: Perpanjang</t>
  </si>
  <si>
    <t>Trigger: #inputorder#
Data Pesanan Jasa Iklan UMKM
Data Pemesan
----
Tanggal: 27-Des-2025
Nama: endik
Nama Usaha: balihandyman 
Jenis Usaha: renovasi plumbing, electric, dll 
Alamat usaha: jln raya muding Krobokan bali
No Whatsapp Bisnis:6287719015093
Durasi: 5
Deskripsi produk/jasa:
Keunggulan: harga dan hasil yang memuaskan 
Keunikan: kita akan memberikan garansi 
Data Target Iklan
----
Lokasi: Bali 
Usia:20-65 ( bule)
Jenis kelamin:laki dan perempuan 
Note: target bule atau tamu luar negeri kalau biasa pakai bahasa Inggris 
Data Pembayaran
----
Total Bayar: 197000
Cs: Maya
Status: Baru</t>
  </si>
  <si>
    <t>Memeriksa nomor WA setelah dibersihkan: '6287719015093' (Tipe: string)</t>
  </si>
  <si>
    <t>Cashflow saved for 6287719015093</t>
  </si>
  <si>
    <t>ORDER SAVED: ID-1766841430571</t>
  </si>
  <si>
    <t>Trigger: #inputorder#
Data Pesanan Jasa Iklan UMKM
Data Pemesan
----
Tanggal: 27-Des-2025
Nama: Bob Sobirin Haris
Nama Usaha: Bob Sobirin Haris Brand Officer Purwokerto 
Jenis Usaha: Telekomunikasi Basis Internet Fiber Optic 
No Whatsapp Bisnis: 6285212235687
Alamat: Jalan Mesjid Komplek Kantor Pemerintahan Kabupaten Banyumas Sokanegara-Purwokerto-Purwekerto Timur
Durasi: 5
Deskripsi produk/jasa: 
Keunggulan: Best Seller Pemasangan Instalasi Wifi Terbanyak Nasional 
Promo: Spesial Mega Promo Speed Up My Republik Akhir Tahun 2025 dari 30MBPS menjadi 200MBPS Harga Ekonomi 233 RB Took Bayaran Flaatt Setiap Bulan
Data Target Iklan
----
Lokasi: Purwokerto, Purbalingga, Cilacap, Banyumas 
Usia: 21-60 th
Jenis kelamin: laki-laki dan perempuan 
Data Pembayaran
----
Total Bayar: 197000
Cs: Isna
Status: Baru</t>
  </si>
  <si>
    <t>Memeriksa nomor WA setelah dibersihkan: '6285212235687' (Tipe: string)</t>
  </si>
  <si>
    <t>Cashflow saved for 6285212235687</t>
  </si>
  <si>
    <t>ORDER SAVED: ID-1766872941797</t>
  </si>
  <si>
    <t>Trigger: #inputlaporan#
Laporan CS Jasa Iklan UMKM
------- 
Nama CS: Yuni
Tanggal: 27-Des-2025
Leads:
Jumlah Closing: 2
Paket 1: 
Paket 2: 
Paket 3: 
Paket 4: 
Paket 5: 
Repeat Paket 1: 2
Repeat Paket 2: 
Repeat Paket 3: 
Repeat Paket 4: 
Repeat Paket 5: 
Catatan:</t>
  </si>
  <si>
    <t>Trigger: #inputorder#
Data Pesanan Jasa Iklan UMKM
Data Pemesan
Tanggal:28-Des-2025
Nama: Aris Prasetyo
Nama Usaha: Multi Gemilang
Jenis Usaha: Alat Teknik
No Whatsapp Bisnis: 628170204528
Alamat usaha: Jl Imogiri Timur Km 15, Minggiran, Imogiri, Bantul, DIY
Deskripsi produk/jasa: menjual berbagai peralatan bengkel cuci mobil dan motor
*Keunggulan usaha (wajib):* Harga kompetitif
*keunikan usaha (wajib):* Garansi Servis seumur hidup
Promo:
Data Target Iklan 
Lokasi: Pulau Jawa
Usia: 18 - 60
Jenis kelamin: semua
Durasi:10
Data Pembayaran
----
Total Bayar: 375000
Cs: Yuni
Status: Perpanjang</t>
  </si>
  <si>
    <t>Trigger: #inputorder#
Data Pesanan Jasa Iklan UMKM
Data Pemesan
----
Tanggal: 27-Des-2025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</si>
  <si>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#inputlaporan#
Laporan CS Jasa Iklan UMKM
------- 
Nama CS: Tika
Tanggal: 27-Des-2025
Leads:
Jumlah Closing: 1
Paket 1: 
Paket 2: 
Paket 3: 
Paket 4: 
Paket 5: 
Repeat Paket 1: 1
Repeat Paket 2: 
Repeat Paket 3: 
Repeat Paket 4: 
Repeat Paket 5: 
Catatan:</t>
  </si>
  <si>
    <t>Trigger: #inputlaporan#
Laporan CS Jasa Iklan UMKM
------- 
Nama CS: Isna
Tanggal: 27-Des-2025
Leads:
Jumlah Closing:1
Paket 1:1
Paket 2: 
Paket 3: 
Paket 4: 
Paket 5: 
Repeat Paket 1: 
Repeat Paket 2: 
Repeat Paket 3: 
Repeat Paket 4: 
Repeat Paket 5: 
Catatan:</t>
  </si>
  <si>
    <t>Trigger: #inputlaporan#
Laporan CS Jasa Iklan UMKM
------- 
Nama CS: Yuni
Tanggal: 28-Des-2025
Leads:
Jumlah Closing: 2
Paket 1: 
Paket 2: 
Paket 3: 
Paket 4: 
Paket 5: 
Repeat Paket 1: 
Repeat Paket 2: 2
Repeat Paket 3: 
Repeat Paket 4: 
Repeat Paket 5: 
Catatan:</t>
  </si>
  <si>
    <t>Trigger: #inputorder#
Data Pesanan Jasa Iklan UMKM
Data Pemesan
----
Tanggal: 27-Des-2025
Nama: Bob Sobirin Haris
Nama Usaha: Bob Sobirin Haris Brand Officer Purwokerto 
Jenis Usaha: Telekomunikasi Basis Internet Fiber Optic 
No Whatsapp Bisnis: 6288239584588
Alamat: Jalan Mesjid Komplek Kantor Pemerintahan Kabupaten Banyumas Sokanegara-Purwokerto-Purwekerto Timur
Durasi: 5
Deskripsi produk/jasa: 
Keunggulan: Best Seller Pemasangan Instalasi Wifi Terbanyak Nasional 
Promo: Spesial Mega Promo Speed Up My Republik Akhir Tahun 2025 dari 30MBPS menjadi 200MBPS Harga Ekonomi 233 RB Took Bayaran Flaatt Setiap Bulan
Data Target Iklan
----
Lokasi: Purwokerto, Purbalingga, Cilacap, Banyumas 
Usia: 21-60 th
Jenis kelamin: laki-laki dan perempuan 
Data Pembayaran
----
Total Bayar: 197000
Cs: Isna
Status: Baru</t>
  </si>
  <si>
    <t>Memeriksa nomor WA setelah dibersihkan: '6288239584588' (Tipe: string)</t>
  </si>
  <si>
    <t>Cashflow saved for 6288239584588</t>
  </si>
  <si>
    <t>ORDER SAVED: ID-1766970242019</t>
  </si>
  <si>
    <t>Trigger: #inputorder#
Data Pesanan Jasa Iklan UMKM
Data Pemesan
Tanggal:29-Des-2025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</si>
  <si>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Trigger: #inputorder#
Data Pesanan Jasa Iklan UMKM
Data Pemesan
----
Tanggal: 29-Des-2025
Nama: Firdaus 
Nama Usaha: Jannah Interior 
Jenis Usaha: Interior Custom Furniture 
No Whatsapp Bisnis: 6285767074516
Alamat: Jl Patimura Perumahan Guru Kenali Besar Kec Kota Baru
Durasi: 14
Deskripsi produk/jasa: 
*Keunggulan usaha (wajib):* Desain custom sesuai kebutuhan klien
Tidak template, tapi menyesuaikan selera, fungsi ruang, dan budget.
Kualitas pengerjaan rapi &amp; detail
Finishing halus, presisi, dan tahan lama.
Pemilihan material berkualitas
Bisa merekomendasikan bahan yang awet, estetik, dan sesuai anggaran.
Konsultasi yang komunikatif &amp; edukatif
Klien dibantu memahami desain, fungsi ruang, dan pilihan terbaik.
Harga kompetitif &amp; transparan
Rincian biaya jelas, tidak ada biaya tersembunyi.
Pengerjaan tepat waktu
Komitmen pada deadline proyek.
Tenaga berpengalaman / profesional
Dikerjakan oleh tim yang paham teknik dan estetika interior.
Gaya desain mengikuti tren
Minimalis, modern, klasik, industrial, dll.
After-sales service
Ada garansi atau layanan perbaikan jika ada masalah.
*keunikan usaha (wajib):*
Promo:
Data Target Iklan
----
Lokasi: Kota Jambi dan Sekitarnya 
Usia: 18-70 th
Jenis kelamin: laki-laki dan perempuan 
Data Pembayaran
----
Total Bayar: 550000
Cs: Isna
Status: Baru</t>
  </si>
  <si>
    <t>Memeriksa nomor WA setelah dibersihkan: '6285767074516' (Tipe: string)</t>
  </si>
  <si>
    <t>ORDER UPDATED: UPDATE-ORD-525</t>
  </si>
  <si>
    <t>Trigger: #inputorder#
Data Pesanan Jasa Iklan UMKM
Data Pemesan
----
Tanggal: 29-Des-2025
Nama: Abdul Aziz 
Nama Usaha: Jasa Motif Profil Beton
Jenis Usaha: Jasa Motif
No Whatsapp Bisnis: 6282111000133
Durasi: 10
Deskripsi produk/jasa: 
Jasa Motif Profil Beton, Ornamen Beton, Bikin Taman, Mempercantik Rumah, Seni Ukir, AA Propil
Keunggulan: Harga di jamin murah kualitas bagus, kalau kualitas jelek ngga usah di bayar, harga terjangkau, harga tergantung ukuran.
Jenis yang di propil beton manual: jendela, tihang, lisplang, ornamen, taman dll
Data Target Iklan
----
Lokasi: Jakarta, Pulau Jawa (Jawa Tengah, Jawa Timur, Jawa Barat)
Usia: 30 th keatas 
Jenis kelamin: laki-laki dan perempuan 
Data Pembayaran
----
Total Bayar: 370000
Cs: Isna
Status: Perpanjang</t>
  </si>
  <si>
    <t>Memeriksa nomor WA setelah dibersihkan: '6282111000133' (Tipe: string)</t>
  </si>
  <si>
    <t>ORDER UPDATED: UPDATE-ORD-308</t>
  </si>
  <si>
    <t>Trigger: #inputorder#
Data Pesanan Jasa Iklan UMKM
Data Pemesan
----
Tanggal: 29-Des-2025
Nama: Bobby Kreshna Syahril 
Nama Usaha: Mazaya Private Cluster 
Jenis Usaha: Properti 
No Whatsapp Bisnis: 6282121160054
Durasi: 5
Deskripsi produk/jasa: 
Private Cluster harga terjangkau di kodya Bandung dengan konsep syariah 
*Keunggulan usaha (wajib):*
- lokasi strategis, dekat ke pintu tol summarecon &amp; mesjid Al Jabbar 
- 5 menit ke RS Al Islam &amp; Metro Indah Mall
- 50 meter ke SMA Negeri dan SMP Negeri
- 15 menit ke UIN dan Univ.Muhamadiyah
*Keunikan usaha (wajib):*
- Rumah baru harga terjangkau di kodya Bandung 
- Pembayaran bertahap / bisa cicil ke developer 
- Tanpa bunga dan denda
*Promo:* Cash keras 495 juta (diskon 100 jt dari 595 juta)
Data Target Iklan
----
Lokasi: Jawa Barat 
Usia: 25-58 th 
Jenis kelamin: laki-laki dan perempuan 
Data Pembayaran
----
Total Bayar: 197000
Cs: Isna
Status: Perpanjang</t>
  </si>
  <si>
    <t>ORDER UPDATED: UPDATE-ID-1765064179941</t>
  </si>
  <si>
    <t>Trigger: #inputorder#
Data Pesanan Jasa Iklan UMKM
Data Pemesan
----
Tanggal: 28-Des-2025
Nama: Riyan
Nama Usaha: Riyan Interior 
Jenis Usaha: Furniture Interior 
No Whatsapp Bisnis: 6282148973454
Alamat: Jayapura Sentani Perumahan Graha Nendali Blok H 8
Durasi: 5
Deskripsi produk/jasa: 
Pelapon pfc wool panel Diding  interior. Dll
Bidang furniture interior  pelapon pfc wool panel Diding pengecetan  pinising
Data Target Iklan
----
Lokasi: Jayapura 
Usia: 30 th keatas 
Jenis kelamin: laki-laki dan perempuan 
Data Pembayaran
----
Total Bayar: 197000
Cs: Isna
Status: Perpanjang</t>
  </si>
  <si>
    <t>Memeriksa nomor WA setelah dibersihkan: '6282148973454' (Tipe: string)</t>
  </si>
  <si>
    <t>ORDER UPDATED: UPDATE-ORD-1268</t>
  </si>
  <si>
    <t>Trigger: #inputlaporan#
Laporan CS Jasa Iklan UMKM
------- 
Nama CS: Yuni
Tanggal: 29-Des-2025
Leads:
Jumlah Closing: 1
Paket 1: 
Paket 2: 
Paket 3: 
Paket 4: 
Paket 5: 
Repeat Paket 1: 
Repeat Paket 2: 1
Repeat Paket 3: 
Repeat Paket 4: 
Repeat Paket 5: 
Catatan:</t>
  </si>
  <si>
    <t>Trigger: #inputlaporan#
Laporan CS Jasa Iklan UMKM
------- 
Nama CS:Isna
Tanggal: 28-Des-2025
Leads:
Jumlah Closing:1
Paket 1: 
Paket 2: 
Paket 3: 
Paket 4: 
Paket 5: 
Repeat Paket 1:1
Repeat Paket 2:
Repeat Paket 3: 
Repeat Paket 4: 
Repeat Paket 5: 
Catatan:</t>
  </si>
  <si>
    <t>Trigger: #inputlaporan#
Laporan CS Jasa Iklan UMKM
------- 
Nama CS:Isna
Tanggal: 29-Des-2025
Leads:
Jumlah Closing:3
Paket 1: 
Paket 2: 
Paket 3:1
Paket 4: 
Paket 5: 
Repeat Paket 1:1
Repeat Paket 2:1
Repeat Paket 3: 
Repeat Paket 4: 
Repeat Paket 5: 
Catatan:</t>
  </si>
  <si>
    <t>Trigger: #inputlaporan#
Laporan CS Jasa Iklan UMKM
------- 
Nama CS:Isna
Tanggal: 27-Des-2025
Leads:
Jumlah Closing:1
Paket 1:1
Paket 2: 
Paket 3: 
Paket 4: 
Paket 5: 
Repeat Paket 1:
Repeat Paket 2:
Repeat Paket 3: 
Repeat Paket 4: 
Repeat Paket 5: 
Catatan:</t>
  </si>
  <si>
    <t>Trigger: #inputlaporan#
Laporan CS Jasa Iklan UMKM
------- 
Nama CS: Tika
Tanggal: 29-Des-2025
Leads:
Jumlah Closing:1
Paket 1:
Paket 2: 
Paket 3: 
Paket 4: 
Paket 5: 
Repeat Paket 1: 1
Repeat Paket 2: 
Repeat Paket 3: 
Repeat Paket 4: 
Repeat Paket 5: 
Catatan:</t>
  </si>
  <si>
    <t>Trigger: #inputorder#
Data Pesanan Jasa Iklan UMKM
Data Pemesan
Tanggal:01-Jan-2026
Nama: Munadi
Nama Usaha: Cv Nuansa Alam Profil
Jenis Usaha: Kontraktor
No Whatsapp Bisnis:6282310465999
Alamat usaha: Jl. Hm Rifaddin Rt 25 Samarinda Sebrang
Deskripsi produk/jasa: Kontraktor bidang bangunan,bangun dari nol/renovasi ,juga menjual berbagai macam jenis/motif ornament
*Keunggulan usaha (Kualitas lebih halus):*
*keunikan usaha (Spesialis bangunan klasik):*
Promo:
Data Target Iklan 
Lokasi: samarinda, balikpapan, Tenggarong,Bontang
Usia:remaja sampai dewasa
Jenis kelamin: laki/perempuan
Durasi:30
Data Pembayaran
----
Total Bayar: 1000000
Cs: Yuni
Status: Perpanjang</t>
  </si>
  <si>
    <t>Trigger: #inputlaporan#
Laporan CS Jasa Iklan UMKM
------- 
Nama CS: Yuni
Tanggal: 01-Jan-2025
Leads:
Jumlah Closing: 1
Paket 1: 
Paket 2: 
Paket 3: 
Paket 4: 
Paket 5: 
Repeat Paket 1: 
Repeat Paket 2: 
Repeat Paket 3: 
Repeat Paket 4: 
Repeat Paket 5: 1
Catatan:</t>
  </si>
  <si>
    <t>Trigger: #inputlaporan#
Laporan CS Jasa Iklan UMKM
------- 
Nama CS: Isna
Tanggal: 01-Jan-2025
Leads:
Jumlah Closing:1
Paket 1: 
Paket 2: 
Paket 3: 
Paket 4: 
Paket 5: 
Repeat Paket 1: 
Repeat Paket 2:1
Repeat Paket 3: 
Repeat Paket 4: 
Repeat Paket 5:
Catatan:</t>
  </si>
  <si>
    <t>Trigger: #inputorder#
Data Pesanan Jasa Iklan UMKM
Data Pemesan
----
Tanggal: 2-Jan-2025
Nama: Mardi 
Nama Usaha: Tirta agung water solution 
Jenis Usaha: Sumur bor 
No Whatsapp Bisnis: 6285291886699
Alamat: Blowong.  Trimulyo Jetis Bantul jgj
Durasi: 5
Deskripsi produk/jasa: Layanan kami 
- Sumur bor berbagai kedalaman (10-100 meter)
- pemasangan pompa submersible &amp; jet pump
- servis &amp; perbaikian sumur mati/mampet
- deteksi sumber air &amp; pengecekan debit air
- pembuatan sumur resapan &amp; sumur pantek
- instalasi pipa air dan tondon lengkap 
*Keunggulan usaha* 
- tim tukang berpengalaman &amp; alat bor moderen 
- hasil air jernih, kuat, dan tahan lama
- gratis survei lokasi dan konsultasi 
- pengerjaan cepat, rapi dan bergaransi 
- harga bersahabat bisa disesuaikan dengan kebutuhan dan kedalaman tanah anda 
Data Target Iklan
----
Lokasi: Wilayah DIY dan sekitarnya 
Usia: 17 tahun keatas 
Jenis kelamin: semua
Data Pembayaran
----
Total Bayar: 197000
Cs: Tika 
Status: Baru</t>
  </si>
  <si>
    <t>Memeriksa nomor WA setelah dibersihkan: '6285291886699' (Tipe: string)</t>
  </si>
  <si>
    <t>Cashflow saved for 6285291886699</t>
  </si>
  <si>
    <t>ORDER SAVED: ID-1767316598550</t>
  </si>
  <si>
    <t>Trigger: #inputorder#
Data Pesanan Jasa Iklan UMKM
Data Pemesan
Tanggal:02-Jan-2026
Nama: Yudi Susanto 
Nama Usaha: Bekam Muslimah 
Jenis Usaha: Bekam
No Whatsapp Bisnis:628117108802
Alamat usaha:Jl Iskandar Ong RT. 06 RW 03 Kel timbul Rejo Curup
Deskripsi produk/jasa:
Pengobatan tradisional dengan metode Bekam dan Akupuntur, dilakukan oleh tenaga kesehatan (nakes)
Peralatan kami steril dan 1 kali pakai
Menerima pasien pria dan wanita mengobati berbagai keluhan kesehatan dan menerima pasien stroke dan syaraf terjepit
*Keunggulan usaha (wajib):*
*keunikan usaha (wajib):*
Promo:
Data Target Iklan 
Lokasi: Curup dan sekitarnya 
Usia:12-70
Jenis kelamin: semua 
Durasi:5
Data Pembayaran
----
Total Bayar: 197000
Cs: Yuni
Status:Baru</t>
  </si>
  <si>
    <t>Memeriksa nomor WA setelah dibersihkan: '628117108802' (Tipe: string)</t>
  </si>
  <si>
    <t>Cashflow saved for 628117108802</t>
  </si>
  <si>
    <t>ORDER SAVED: ID-1767323239248</t>
  </si>
  <si>
    <t>Trigger: #inputorder#
Agen Pupuk NPK 12-6-32 Agrosawit</t>
  </si>
  <si>
    <t>Trigger: #inputorder#
Data Pesanan Jasa Iklan UMKM
Data Pemesan
Tanggal: 02-Des-2026
Nama: Riyan
Nama Usaha: Agen Pupuk NPK 12-6-32 Agrosawit
Jenis Usaha: Pupuk sawit
No Whatsapp Bisnis:6285933260198
Alamat usaha: Tanah Grogot kab. Paser
Deskripsi produk/jasa:
NPK Agrosawit memang dirancang super komplit sehingga tidak perlu lagi pupuk tambahan.
Formulasinya menggabungkan:
Unsur hara makro lengkap (N, P, K) untuk kebutuhan utama tanaman.
Unsur hara mikro seperti Mg, Ca, S, Zn, B, Cu, dan lain-lain untuk kelengkapan nutrisi.
Asam amino &amp; asam humat untuk mempercepat penyerapan dan memperbaiki struktur tanah.
Zat pembenah tanah untuk menjaga pH dan meningkatkan ketersediaan nutrisi.
Teknologi Water Soluble Fertilizer sehingga semua unsur cepat larut &amp; cepat diserap akar.
📌 Keuntungannya:
1. Satu pupuk untuk semua kebutuhan – menghemat biaya dan waktu pemupukan.
2. Tidak perlu pupuk pendamping seperti MOP, Kieserite, Borat, atau Dolomit.
3. Efisiensi tinggi – nutrisi langsung tersedia untuk tanaman.
4. Hasil panen optimal – target panen sawit bisa tembus 2–3 ton/ha/bulan bila dosis tepat.
*Keunggulan usaha (wajib):*
*keunikan usaha (wajib):*
Promo:
Data Target Iklan 
Lokasi: Tanah Grogot Kab. Paser Kalimantan Timur
Usia: 30 ke atas
Jenis kelamin:
Laki" Dan perempuan
Durasi:5
Data Pembayaran
----
Total Bayar: 197000
Cs: Yuni
Status:Baru</t>
  </si>
  <si>
    <t>Memeriksa nomor WA setelah dibersihkan: '6285933260198' (Tipe: string)</t>
  </si>
  <si>
    <t>Cashflow saved for 6285933260198</t>
  </si>
  <si>
    <t>ORDER SAVED: ID-1767326874219</t>
  </si>
  <si>
    <t>Trigger: #inputorder #
Data Pesanan Jasa Iklan UMKM
Data Pemesan
Tanggal: 02-Des-2026
Nama: gemilang
Nama Usaha: Gemilang Movers
Jenis Usaha: Jasa pindahan
No Whatsapp Bisnis:62817624685
Alamat usaha:
Deskripsi produk/jasa:Gemilang Movers adalah perusahaan yang bergerak di bidang jasa pengepakan dan pemindahan barang rumah tangga yang terpercaya di Jabodetabek. Berdiri sejak tahun 2015, kami hadir untuk membantu kebutuhan Anda dalam memindahkan barang dengan aman, efisien, dan profesional. Dengan pengalaman bertahun-tahun, kami siap memberikan layanan terbaik mulai dari pengepakan hingga pengiriman, memastikan barang Anda tiba di tujuan dengan kondisi sempurna. Kami berkomitmen untuk memberikan solusi perpindahan yang mudah, cepat, dan nyaman sesuai kebutuhan Anda.
*Keunggulan usaha (wajib):*mindahin barang ga pake ribet*
*keunikan usaha (wajib):*pindahin barang seharga aplikasi servisnya sampe reposisi*
Promo:
Data Target Iklan 
Lokasi: jabodetabek
Usia:25 up
Jenis kelamin:all gender
Durasi:5
Data Pembayaran
----
Total Bayar: 197000
Cs: Yuni
Status:Baru</t>
  </si>
  <si>
    <t>Memeriksa nomor WA setelah dibersihkan: '62817624685' (Tipe: string)</t>
  </si>
  <si>
    <t>Cashflow saved for 62817624685</t>
  </si>
  <si>
    <t>ORDER SAVED: ID-1767337099727</t>
  </si>
  <si>
    <t>Trigger: #inputorder#
Data Pesanan Jasa Iklan UMKM
Data Pemesan
----
Tanggal: 2-jan-2026
Nama:indra yani
Nama Usaha: RJ teknik 
Jenis Usaha: penjualan pompa air dan filterisasi air perbaikan dan perencanaan 
Alamat usaha: kantor pusat jalan kintamani plaga cabang sidakarya Denpasar Selatan 
No Whatsapp Bisnis:6287848662692
Durasi: 10
Deskripsi produk/jasa:
Keunggulan: pengecekan cepat, penanganan dan teknisi mobile seluruh Bali
Promo: survey gratis dan amanah 
Data Target Iklan
----
Lokasi:area Jimbaran,kuta,Ubud ( sasaran hotel dan villa)
Usia:25-40 tahun
Jenis kelamin:laki dan perempuan 
Data Pembayaran
----
Total Bayar: 375000
Cs: Maya
Status: Baru</t>
  </si>
  <si>
    <t>Memeriksa nomor WA setelah dibersihkan: '6287848662692' (Tipe: string)</t>
  </si>
  <si>
    <t>Cashflow saved for 6287848662692</t>
  </si>
  <si>
    <t>ORDER SAVED: ID-1767358024757</t>
  </si>
  <si>
    <t>Trigger: #inputorder#
Data Pesanan Jasa Iklan UMKM
Data Pemesan
----
Tanggal: 2-Jan-2025
Nama: Novi
Nama Usaha: Kharisma Filter
Jenis Usaha: Alat Penjernih Air Berkualitas 
No Whatsapp Bisnis: 6285893658659
Alamat: Jalan Raya Puri Asri, blok F3 no 6
Durasi: 10
Deskripsi produk/jasa:
Kharisma filter 
Mengerjakan instalasi 
1. Filter rumah tangga 
2. Instalasi mesin Demin
3. Instalasi mesin RO 
4.  Service dan penggantian media filter 
5. Supplier media 
     * Carbon aktif 
     * Manganese 
     * Aktif sand
     * Silica sand 
     * Ziolite
     * Resin cation anion
Kharisma filter mengatasi permasalahan air di rmh anda seperti 
1. Berbau
2. Keruh
3. Berminyak 
4. Lumut
5. Dll 
Kharisma filter tidak di ragukan kualitas nya , dengan harga yang terjangkau untuk semua kalangan dengan media filter terbaik.
Kharisma filter mengerjakan instalasi water treatment 
1. Pabrik
2. Apartement
3. Gedung perkantoran 
4. Hotel 
5.Rumah sakit 
6. Resort 
7.  Perumahan 
Dll
Keunggulan Usaha: Demineralisasi, mesin RO, alat penjernih air
Promo: Harga mulai dari 1.900.000
*Ada tambahan " Jasa penggantian media filter"  se-jabodetabek*
Data Target Iklan
----
Lokasi: Jabodetabek 
Usia: 20-65 th
Jenis kelamin: Laki-laki Dan Perempuan 
Data Pembayaran
----
Total Bayar: 375000
Cs: Isna 
Status: Perpanjang</t>
  </si>
  <si>
    <t>Trigger: #inputorder#
Data Pesanan Jasa Iklan UMKM
Data Pemesan
----
Tanggal: 2-Jan-2026
Nama: Ninis
Nama Usaha: Samira Travel 
Jenis Usaha: travel umroh dan haji 
No Whatsapp Bisnis: 6281216704496
Alamat: Jalan Padmosusastro 74 A Surabaya 
Durasi: 5
Deskripsi produk/jasa: 
*Keunggulan usaha:*
- Legal
- Amanah
- Berpengalaman melayani ribuan jamaah
- Muthawwif berilmu, sabar dan profesional
- Terpercaya
- Fasilitas nyaman 
- maskapai direct
- hotel berbintang, dekat masjidil haram &amp; masjid nabawi 
- komsumsi halal indonesia 
- harga terjangkau bisa dicicil tanpa riba 
- transportasi full selama di saudi
- Melayani dengan hati
*keunikan usaha:*
Ramah anak dan lansia
*Promo: Gratis Paspor*
- untuk cicilan tanpa riba di video dihilangkan, cukup  ditulis di caption saja, ganti *ramah anak dan lansia*
- untuk area surabaya, gresik, sidoarja juga gak perlu disebutkan cuman buat target iklan saja
Data Target Iklan
----
Lokasi: Surabaya, Sidoarjo, Gresik 
Usia: 25-40 tahun (milenial)
Jenis kelamin: laki-laki dan perempuan 
Data Pembayaran
----
Total Bayar: 197000
Cs: Isna
Status: Perpanjang</t>
  </si>
  <si>
    <t>Trigger: #inputorder#
Data Pesanan Jasa Iklan UMKM
Data Pemesan
----
Tanggal: 2-Jan-2026
Nama: Didik Budi Prayitno 
Nama Usaha: Budi Holistik Therapy 
Jenis Usaha: Jasa Terapi Kesehatan 
No Whatsapp Bisnis: 6281240144744
Alamat: Halte Malanu-Jln F.Kalasuat-Kota Sorong -Papua Barat Daya 
Durasi: 14
Deskripsi produk/jasa: Bekam, Akupuntur, Massage Cedera Olahraga, Terapi Kretek, Totok Syaraf, Pijat Kebugaran, Tuina Chuzan
Keunggulan: Akupuntur - Spesialis Syaraf Kejepit, Stroke, Penyakit Dalam
Data Target Iklan
----
Lokasi: Propinsi Papua Barat Daya 
Usia: Bebas 
Jenis kelamin: laki-laki dan perempuan 
Data Pembayaran
----
Total Bayar: 550000
Cs: Isna
Status: Perpanjang</t>
  </si>
  <si>
    <t>Memeriksa nomor WA setelah dibersihkan: '6281240144744' (Tipe: string)</t>
  </si>
  <si>
    <t>ORDER UPDATED: UPDATE-ORD-263</t>
  </si>
  <si>
    <t>Trigger: #inputorder#
Data Pesanan Jasa Iklan UMKM
Data Pemesan
----
Tanggal: 2-Jan-2026
Nama: Mahdi
Nama Usaha: Al Maz Holistic 
Jenis Usaha: Jasa Trapiz
No Whatsapp Bisnis: 6285941336226
Alamat: (Jalan bendung Manganti bantarsari RT 15 RW 07 Kertajaya Mangunjaya Pengandaran Jabar 
Durasi: 5
Deskripsi produk/jasa: ACUPUNTUR,BEKAM,LINTAH, GURAH,ACUPRESURE,PIJAT,TOPUNG,MOKSA
keunggulan usaha: pelayanan yang ramah,telaten,cepet Tanpa harus antri Berjam jam
Keunikan usaha: tempat terapi pinggir sawah,bisa terapi sambil healing dengan pemandangan sawah yang hijau,dan angin sepoi, Sepoi 
Promo: 100rb saja
Data Target Iklan
----
Lokasi: Area Pengandaran 
Usia: 30 tahun ke atas 
Jenis kelamin: laki laki dan perempuan
Data Pembayaran
----
Total Bayar: 197000
Cs: Isna
Status: Baru</t>
  </si>
  <si>
    <t>Memeriksa nomor WA setelah dibersihkan: '6285941336226' (Tipe: string)</t>
  </si>
  <si>
    <t>Cashflow saved for 6285941336226</t>
  </si>
  <si>
    <t>ORDER SAVED: ID-1767361650553</t>
  </si>
  <si>
    <t>Trigger: #inputlaporan#
Laporan CS Jasa Iklan UMKM
------- 
Nama CS: Yuni
Tanggal: 02-Jan-2025
Leads:64
Jumlah Closing: 3
Paket 1: 3
Paket 2: 
Paket 3: 
Paket 4: 
Paket 5: 
Repeat Paket 1: 
Repeat Paket 2: 
Repeat Paket 3: 
Repeat Paket 4: 
Repeat Paket 5: 
Catatan:
46 tanya2
18 no respon 
3 nanti dinfokan
2 berhenti diformat 
2 cari kerja</t>
  </si>
  <si>
    <t>Trigger: #inputlaporan#
Laporan CS Jasa Iklan UMKM
------- 
Nama CS: Isna
Tanggal: 02-Jan-2025
Leads:54
Jumlah Closing:5
Paket 1:1
Paket 2: 
Paket 3:1
Paket 4: 
Paket 5: 
Repeat Paket 1:1
Repeat Paket 2:1
Repeat Paket 3:1
Repeat Paket 4: 
Repeat Paket 5: 
Catatan:
20 tanya-tanya 
14 no respon 
15 cek harga 
  2 masih ragu 
  1 cancel</t>
  </si>
  <si>
    <t>Trigger: #inputorder#
Data Pesanan Jasa Iklan UMKM
Data Pemesan
----
Tanggal: 2-Jan-2026
Nama: Hadrianus
Nama Usaha: Green Woloan Residence 
Jenis Usaha: Perumahan Subsidi dan Komersial Kota Tomohon 
No Whatsapp Bisnis: 6285927375989
Alamat: Jl. Sreko, Woloan Satu, Kec. Tomohon Bar., Kota Tomohon, Sulawesi Utara
Durasi: 5
Deskripsi produk/jasa: 
- Tipe36 Lahan 105m2
- Lahan 7x15 105m2
- Tipe58 Lahan 150m2 Lahan 10x15 isi 150m2
- Fasilitas 3Kamar Tidur 2Kamar Mandi 1Dapur Bersih 1Ruang Tamu Parkiran 2 Mobil
- Hanya 40unit 
20subsidi tipe36 sisa 2unit dipasarkan sekarang konsepnya tipe58 komersil 3kamar
*Keunggulan:* lokasi strategis 3menit ke pusat kota Tomohon 3menit ke kompleks perkantoran 3menit ke rumah sakit 2menit ke pasar tradisional 1mebit ke pusat kuliner Woloan satu
3 Menit ke Sekolah sekolah dan Universitas
Data Target Iklan
----
Lokasi: Target kota: Tomohon, Manado,Bitung,Minahasa Utara, Tondano
Target kota luar area Manado : Tembagapura,Sorong, Maluku Utara, dan Palu,Kendari
Usia: 20 th ke atas 
Jenis kelamin: laki-laki dan perempuan 
Data Pembayaran
----
Total Bayar: 550000
Cs: Isna
Status: Baru</t>
  </si>
  <si>
    <t>Memeriksa nomor WA setelah dibersihkan: '6285927375989' (Tipe: string)</t>
  </si>
  <si>
    <t>Cashflow saved for 6285927375989</t>
  </si>
  <si>
    <t>ORDER SAVED: ID-1767414911865</t>
  </si>
  <si>
    <t>Trigger: #inputorder#
Data Pesanan Jasa Iklan UMKM
Data Pemesan
----
Tanggal: 2-Jan-2026
Nama: Hadrianus
Nama Usaha: Green Woloan Residence 
Jenis Usaha: Perumahan Subsidi dan Komersial Kota Tomohon 
No Whatsapp Bisnis: 6285927375989
Alamat: Jl. Sreko, Woloan Satu, Kec. Tomohon Bar., Kota Tomohon, Sulawesi Utara
Durasi: 14
Deskripsi produk/jasa: 
- Tipe36 Lahan 105m2
- Lahan 7x15 105m2
- Tipe58 Lahan 150m2 Lahan 10x15 isi 150m2
- Fasilitas 3Kamar Tidur 2Kamar Mandi 1Dapur Bersih 1Ruang Tamu Parkiran 2 Mobil
- Hanya 40unit 
20subsidi tipe36 sisa 2unit dipasarkan sekarang konsepnya tipe58 komersil 3kamar
*Keunggulan:* lokasi strategis 3menit ke pusat kota Tomohon 3menit ke kompleks perkantoran 3menit ke rumah sakit 2menit ke pasar tradisional 1mebit ke pusat kuliner Woloan satu
3 Menit ke Sekolah sekolah dan Universitas
Data Target Iklan
----
Lokasi: Target kota: Tomohon, Manado,Bitung,Minahasa Utara, Tondano
Target kota luar area Manado : Tembagapura,Sorong, Maluku Utara, dan Palu,Kendari
Usia: 20 th ke atas 
Jenis kelamin: laki-laki dan perempuan 
Data Pembayaran
----
Total Bayar: 550000
Cs: Isna
Status: Baru</t>
  </si>
  <si>
    <t>ORDER UPDATED: UPDATE-ID-1767414911865</t>
  </si>
  <si>
    <t>Trigger: #inputorder#
Data Pesanan Jasa Iklan UMKM
Data Pemesan
----
Tanggal: 3-jan-2026
Nama: Suprayitno 
Nama Usaha: toko komputer Prapatan 
Jenis Usaha: retail
Alamat usaha:jalan Joyoboyo 32 kecamatan kota Kediri Jawa Timur 
No Whatsapp Bisnis:6281216650175
Durasi: 7
Deskripsi produk/jasa: jual laptop, komputer, printer,cctv, aksesoris 
Keunggulan: barang ready stok 
Keunikan: tempat luas, bersih,nyaman,
Promo: beli laptop, komputer gratis ongkir wilayah Kediri 
Data Target Iklan
----
Lokasi: Kediri kota,kab Kediri,kab Nganjuk,kab Tulungagung,kab Blitar,kab Jombang 
Usia:18-55 tahun
Jenis kelamin:laki dan perempuan 
Data Pembayaran
----
Total Bayar: 297000
Cs: Maya
Status: Baru</t>
  </si>
  <si>
    <t>Memeriksa nomor WA setelah dibersihkan: '6281216650175' (Tipe: string)</t>
  </si>
  <si>
    <t>Cashflow saved for 6281216650175</t>
  </si>
  <si>
    <t>ORDER SAVED: ID-1767422865008</t>
  </si>
  <si>
    <t>Trigger: #inputorder#
Data Pesanan Jasa Iklan UMKM
Data Pemesan
----
Tanggal: 3-jan-2026
Nama:puguh sajaya
Nama Usaha: jasa kontraktor dan arsitektur 
Jenis Usaha: kontraktor, design arsitektur dan perhitungan struktur rumah tinggal 
Alamat usaha: jalan Gubeng Kertajaya 9F no 9 Surabaya Jawa Timur 
No Whatsapp Bisnis:6281332873809
Durasi: 5
Deskripsi produk/jasa:
Keunggulan: bangun dan renovasi rumah tinggal dan lain2
Keunikan: renovasi rumah tinggal dan bangun baru
Promo: design gratis untuk apabila bangun di jasa kami
Data Target Iklan
----
Lokasi: wilayah Jawa Timur 
Usia:18 tahun ke atas
Jenis kelamin: laki dan perempuan 
Data Pembayaran
----
Total Bayar: 197000
Cs: Maya
Status: Baru</t>
  </si>
  <si>
    <t>Memeriksa nomor WA setelah dibersihkan: '6281332873809' (Tipe: string)</t>
  </si>
  <si>
    <t>Cashflow saved for 6281332873809</t>
  </si>
  <si>
    <t>ORDER SAVED: ID-1767426993485</t>
  </si>
  <si>
    <t>Trigger: #inputorder#
Data Pesanan Jasa Iklan UMKM
Data Pemesan
----
Tanggal: 03-Jan-2025
Nama: khafid ali
Nama Usaha: cv adam jaya construction
Jenis Usaha: desain dan bangun
No Whatsapp Bisnis:6281283325291
Alamat usaha: perum vila gading permai b3 no 25 jabon mekar
Deskripsi produk/jasa: desain, bangun baru, renovasi rumah
Data Target Iklan
----
Lokasi:Parung,Bogor kota dan sekitarnya 
Usia: 17-55 thn
Jenis kelamin: laki laki dan perempuan 
Data iklan
----
Durasi:5
Data Pembayaran
----
Total Bayar:197000
Cs: Yuni
Status: Perpanjang</t>
  </si>
  <si>
    <t>Trigger: #inputorder#
Data Pesanan Jasa Iklan UMKM
Data Pemesan
----
Tanggal: 3-Jan-2026
Nama: Ali Hamris 
Nama Usaha: Konfeksi Bordier Butik Almamater Hamris 
Jenis Usaha: Konveksi 
No Whatsapp Bisnis: 6285397034019
Alamat: Jl Perintis Kemerdekaan KM9 No 28 (Poros) Berhadapan LIVING PLAZA INFORMA TAMALANREA 
Durasi: 5
Deskripsi produk/jasa: 
Melayani: Jas Almamater, Paket Seragam Wisuda, Rompi, Baju, Kaos, Bordier Computer dll.
Data Target Iklan
----
Lokasi: Sulawesi dan Indonesia Timur 
Usia: bebas
Jenis kelamin: laki-laki dan perempuan 
Data Pembayaran
----
Total Bayar: 147000
Cs: Isna
Status: Baru</t>
  </si>
  <si>
    <t>Memeriksa nomor WA setelah dibersihkan: '6285397034019' (Tipe: string)</t>
  </si>
  <si>
    <t>Cashflow saved for 6285397034019</t>
  </si>
  <si>
    <t>ORDER SAVED: ID-1767444555705</t>
  </si>
  <si>
    <t>Trigger: Data Pesanan Jasa Iklan UMKM
Data Pemesan
----
Tanggal: 3-Des-2025
Nama: Yudi
Nama Usaha: Mitra Bangun Lift Cor 
Jenis Usaha: Jasa Pengecoran 
No Whatsapp Bisnis: 6282338171577
Alamat: kec larangan kab sidoarjo jatim 
Durasi: 30
Deskripsi produk/jasa: pengecoran/lift cor 
Keunggulan: lebih cepat, lebih hemat biaya
Promo: harga disc 10% untuk volume di atas 100m/2
Data Target Iklan
----
Lokasi: madura, surabaya, sidoarjo, pasuruan, probolinggo
Usia: 25-60 th
Jenis kelamin: laki-laki dan perempuan 
Data Pembayaran
----
Total Bayar: 1000000
Cs: Isna
Status: Perpanjang</t>
  </si>
  <si>
    <t>Trigger: #inputorder#
Data Pesanan Jasa Iklan UMKM
Data Pemesan
----
Tanggal: 3-Des-2025
Nama: Yudi
Nama Usaha: Mitra Bangun Lift Cor 
Jenis Usaha: Jasa Pengecoran 
No Whatsapp Bisnis: 6282338171577
Alamat: kec larangan kab sidoarjo jatim 
Durasi: 30
Deskripsi produk/jasa: pengecoran/lift cor 
Keunggulan: lebih cepat, lebih hemat biaya
Promo: harga disc 10% untuk volume di atas 100m/2
Data Target Iklan
----
Lokasi: madura, surabaya, sidoarjo, pasuruan, probolinggo
Usia: 25-60 th
Jenis kelamin: laki-laki dan perempuan 
Data Pembayaran
----
Total Bayar: 1000000
Cs: Isna
Status: Perpanjang</t>
  </si>
  <si>
    <t>ORDER UPDATED: UPDATE-ORD-208</t>
  </si>
  <si>
    <t>Trigger: #inputorder#
Data Pesanan Jasa Iklan UMKM
Data Pemesan
----
Tanggal: 3-Jan-2026
Nama: HM Kuswadji Aziz S.Ked
Nama Usaha: Fisioterapi (Terapi Fisik Tanpa Obat)
Jenis Usaha: Terapi Kesehatan 
No Whatsapp Bisnis: 6282234163461
Alamat: Klinik Tandya Jln Semeru 43 Malang
Durasi: 7
Deskripsi produk/jasa: Membantu mempercepat penyembuhan Stroke, Post Stroke, Diabetes, Saraf Kejepit, Kanker Prostat, Kanker Payudara, Kista, Vertigo, Migrain, Nyeri Lutut, Kesemutan, Kebas2, dan Gangguan Otot Saraf Lainnya.
Data Target Iklan
----
Lokasi: Malang Raya 
Usia: 20 th keatas 
Jenis kelamin: laki-laki dan perempuan 
Data Pembayaran
----
Total Bayar: 297000
Cs: Isna
Status: Perpanjang</t>
  </si>
  <si>
    <t>Trigger: #inputorder#
Data Pesanan Jasa Iklan UMKM
Data Pemesan
----
Tanggal: 3-Jan-2026
Nama: Abing Gusti 
Nama Usaha: Bengkel Las Abing Putra Kemang (APK)
Jenis Usaha: Bengkel Las APK
No Whatsapp Bisnis: 6288274090631 &amp; 6282182396001
Alamat: Jln Pesonan Perumahan Pratama Borang Residence Block c 12 Sako Borang
Durasi: 5
Deskripsi produk/jasa: 
bergerak dibidang pembuatan teralis+pagar dorong+baja ringan+kanopy+reling tangga+ tangga keong dan bisa juga dibagian bangunan seperti rehap rumah tipe 3x6 bikin dapur+bikin teras rumah kekinian+ bergeransi dan berkualitas
Keunggulan usaha:(bergeransi, tahan lama,hemat biaya, dan tak lupa dikerjakan tukang berpengalaman dibidangny,)
bergaransi dicat anti karat dan besi koko dan kuat.
Keunikan usaha: di setiap pengelasan selalu diuji dengan kekutanya,, dan dicat tahan karat.
*Geransi 10 tahun*
Data Target Iklan
----
Lokasi: Palembang dan Banyuasin 
Usia: 25 th ke atas 
Jenis kelamin: laki-laki dan perempuan 
Data Pembayaran
----
Total Bayar: 197000
Cs: Isna
Status: Perpanjang</t>
  </si>
  <si>
    <t>Memeriksa nomor WA setelah dibersihkan: '6288274090631 &amp; 6282182396001' (Tipe: string)</t>
  </si>
  <si>
    <t>Trigger: #inputorder#
Data Pesanan Jasa Iklan UMKM
Data Pemesan
----
Tanggal: 3-Jan-2026
Nama: Abing Gusti 
Nama Usaha: Bengkel Las Abing Putra Kemang (APK)
Jenis Usaha: Bengkel Las APK
No Whatsapp Bisnis: 6288274090631
Alamat: Jln Pesonan Perumahan Pratama Borang Residence Block c 12 Sako Borang
Durasi: 5
Deskripsi produk/jasa: 
bergerak dibidang pembuatan teralis+pagar dorong+baja ringan+kanopy+reling tangga+ tangga keong dan bisa juga dibagian bangunan seperti rehap rumah tipe 3x6 bikin dapur+bikin teras rumah kekinian+ bergeransi dan berkualitas
Keunggulan usaha:(bergeransi, tahan lama,hemat biaya, dan tak lupa dikerjakan tukang berpengalaman dibidangny,)
bergaransi dicat anti karat dan besi koko dan kuat.
Keunikan usaha: di setiap pengelasan selalu diuji dengan kekutanya,, dan dicat tahan karat.
*Geransi 10 tahun*
Data Target Iklan
----
Lokasi: Palembang dan Banyuasin 
Usia: 25 th ke atas 
Jenis kelamin: laki-laki dan perempuan 
Data Pembayaran
----
Total Bayar: 197000
Cs: Isna
Status: Perpanjang</t>
  </si>
  <si>
    <t>Memeriksa nomor WA setelah dibersihkan: '6288274090631' (Tipe: string)</t>
  </si>
  <si>
    <t>ORDER UPDATED: UPDATE-ORD-338</t>
  </si>
  <si>
    <t>Trigger: #inputorder#
Data Pesanan Jasa Iklan UMKM
Data Pemesan
----
Tanggal: 3-Jan-2026
Nama: Elfiyan 
Nama Usaha: PT 
Jenis Usaha: Tour and Travel 
No Whatsapp Bisnis: 62895351318400
Alamat: Jalan Raya Ampang no 5
Durasi: 5
Deskripsi produk/jasa: 
*Keunggulan usaha (wajib):* *melayani tamu dengan baik* 
*keunikan usaha (wajib):* *setiap trip perjalanan boleh request kemana tamu mau include dengan makan mau dimana* 
Promo: promo berlaku jika tamu memiliki 10 orang 
- Air terjun sipiso piso
- Kolam abadi
- Bukit holbung
- Air terjun efrata
- Kebun teh sidamanik
Simarjarunjung
Data Target Iklan
----
Lokasi: Malaysia dan Indonesia 
Usia: 17 th ke atas 
Jenis kelamin: laki-laki dan perempuan 
Data Pembayaran
----
Total Bayar: 197000
Cs: Isna
Status: Baru</t>
  </si>
  <si>
    <t>Memeriksa nomor WA setelah dibersihkan: '62895351318400' (Tipe: string)</t>
  </si>
  <si>
    <t>Cashflow saved for 62895351318400</t>
  </si>
  <si>
    <t>ORDER SAVED: ID-1767445446665</t>
  </si>
  <si>
    <t>Trigger: #inputorder#
Data Pesanan Jasa Iklan UMKM
Data Pemesan
----
Tanggal: 3-Jan-2026
Nama: Bpk Yolle Suryawan 
Nama Usaha: PT Mengalir Berkat Anugerah 
Jenis Usaha: Kontraktor 
No Whatsapp Bisnis: 6281222110766
Alamat: Office Jimbaran Bali 
Durasi: 10
Deskripsi produk/jasa: 
Kontraktor pembangunan villa, rumah, hotel, gedung dll
Terima kepengurusan PBG dan SLF
*Keunggulan:*
✅ Pengerjaan rapi &amp; presisi – detail diperhatikan, hasil akhir enak dilihat dan kuat dipakai jangka panjang
✅ Menggunakan material berkualitas sesuai spesifikasi, bukan asal murah
✅ Tenaga berpengalaman &amp; profesional, sudah biasa menangani berbagai jenis proyek
✅ Sesuai RAB &amp; gambar kerja, minim revisi dan pemborosan
✅ Pengawasan ketat di lapangan, kualitas tetap terjaga dari awal sampai finishing
Data Target Iklan
----
Lokasi: Bali dan Bandung 
Usia: 30 th keatas 
Jenis kelamin: laki-laki dan perempuan 
Data Pembayaran
----
Total Bayar: 375000
Cs: Isna
Status: Perpanjang</t>
  </si>
  <si>
    <t>Memeriksa nomor WA setelah dibersihkan: '6281222110766' (Tipe: string)</t>
  </si>
  <si>
    <t>Cashflow saved for 6281222110766</t>
  </si>
  <si>
    <t>ORDER SAVED: ID-1767445692692</t>
  </si>
  <si>
    <t>Trigger: #inputorder#
Data Pesanan Jasa Iklan UMKM
Data Pemesan
----
Tanggal: 3-Jan-2026
Nama: Salman
Nama Usaha: PT Sarana Perkasa Global 
Jenis Usaha: Penjualan Besi dan Baja
No Whatsapp Bisnis: 6285722290661
Alamat: Perumahan Gaharu Residence Blok Maleo 2 no 18
Durasi: 5
Deskripsi produk/jasa: 
Penjualan Besi dan Baja dan Kontruksi dan Renovasi Rumah Sipil dan Pembuatan Rumah Dari Nol.
*Keunggulan usaha (wajib):* hl menyediakan produk besi dan baja dengan harga relatif murah
*keunikan usaha (wajib):* menyediakan bahan dan juga tenaga ahli yang berpengalaman di bidangnya,
Promo: free konsultasi dan survey. 
Data Target Iklan
----
Lokasi: Bandung 
Usia: 25-50 th
Jenis kelamin: laki-laki dan perempuan 
Data Pembayaran
----
Total Bayar: 197000
Cs: Isna
Status: Baru</t>
  </si>
  <si>
    <t>Memeriksa nomor WA setelah dibersihkan: '6285722290661' (Tipe: string)</t>
  </si>
  <si>
    <t>Cashflow saved for 6285722290661</t>
  </si>
  <si>
    <t>ORDER SAVED: ID-1767446090443</t>
  </si>
  <si>
    <t>Trigger: #inputorder#
Data Pesanan Jasa Iklan UMKM
Data Pemesan
----
Tanggal: 3-Jan-2026
Nama: Elfiyan 
Nama Usaha: PT Marawa Holidays 
Jenis Usaha: Tour and Travel 
No Whatsapp Bisnis: 62895351318400
Alamat: Jalan Raya Ampang no 5
Durasi: 5
Deskripsi produk/jasa: 
*Keunggulan usaha (wajib):* *melayani tamu dengan baik* 
*keunikan usaha (wajib):* *setiap trip perjalanan boleh request kemana tamu mau include dengan makan mau dimana* 
Promo: promo berlaku jika tamu memiliki 10 orang 
- Air terjun sipiso piso
- Kolam abadi
- Bukit holbung
- Air terjun efrata
- Kebun teh sidamanik
Simarjarunjung
Data Target Iklan
----
Lokasi: Malaysia dan Indonesia 
Usia: 17 th ke atas 
Jenis kelamin: laki-laki dan perempuan 
Data Pembayaran
----
Total Bayar: 197000
Cs: Isna
Status: Baru</t>
  </si>
  <si>
    <t>ORDER SAVED: ID-1767446168484</t>
  </si>
  <si>
    <t>Trigger: #inputlaporan#
Laporan CS Jasa Iklan UMKM
------- 
Nama CS: Yuni
Tanggal: 03-Jan-2025
Leads:54
Jumlah Closing: 1
Paket 1: 
Paket 2: 
Paket 3: 
Paket 4: 
Paket 5: 
Repeat Paket 1: 1
Repeat Paket 2: 
Repeat Paket 3: 
Repeat Paket 4: 
Repeat Paket 5: 
Catatan:
29 tanya2
16 no respon 
4 nanti dinfokan
3 berhenti diformat 
2 hasil dulu</t>
  </si>
  <si>
    <t>Trigger: #inputlaporan#
Laporan CS Jasa Iklan UMKM
------- 
Nama CS: Isna
Tanggal: 03-Jan-2025
Leads:47
Jumlah Closing:7
Paket 1:3
Paket 2: 
Paket 3:
Paket 4: 
Paket 5: 
Repeat Paket 1:1
Repeat Paket 2:2
Repeat Paket 3:
Repeat Paket 4: 
Repeat Paket 5:1
Catatan:
14 tanya-tanya 
16 no respon 
10 cek harga 
  5 nanti dulu 
  1 belum isi data</t>
  </si>
  <si>
    <t>Trigger: #inputorder#
Data Pesanan Jasa Iklan UMKM
Data Pemesan
----
Tanggal: 3-Jan-2026
Nama: Bang Zali
Nama Usaha: Cv zhafira pool 
Jenis Usaha: Proyek kolam renang dan renovasi dan perawatan kolam renang 
No Whatsapp Bisnis: 6281990865975
Alamat usaha: Jalan Raya Serang Bitung Kaya RT 04 RW 02 Kecamatan Cikupa Kabupaten Tangerang Banten 
Durasi: 5
Deskripsi produk/jasa: Pembuatan kolam renang, Renovasi kolam renang dan perawatan kolam renang
*Keunggulan usaha (wajib)*: Teknisi berpengalaman, harga terjangkau 
Data Target Iklan
----
Lokasi: Jabodetabek 
Usia: semua
Jenis kelamin: semua
Data Pembayaran
----
Total Bayar: 197000
Cs: Tika 
Status: Perpanjang</t>
  </si>
  <si>
    <t>Memeriksa nomor WA setelah dibersihkan: '6281990865975' (Tipe: string)</t>
  </si>
  <si>
    <t>ORDER UPDATED: UPDATE-ORD-658</t>
  </si>
  <si>
    <t>Trigger: #inputorder#
Data Pesanan Jasa Iklan UMKM
Data Pemesan
Tanggal:04-Des-2025
Nama: Rustoyo
Nama Usaha: BANDUNG AUTO FILM
Jenis Usaha: KACA FILM
No Whatsapp Bisnis:6287790276733
Alamat usaha: jln. Terusan Jakarta no. 360 , suka miskin , kec Arcamanik , Bandung , Jawa Barat , 40125
 Deskripsi produk/jasa:
Pusat kaca film terlengkap &amp; berkualitas di bandung 
By Produc :
- LLUMAR SUPERBLACK PREMIUM
- SOLARGARD BLACKPHANTOM PREMIIUM
- 3M AUTO FILM
- ICEBERG NIGHTVISION
- AC PREMIUM LUXURY
- SOLAR MASK
- SUN PROTEC 
Tips memilih kaca film , agar tidak salah pilih :
1. Pilihlah kaca film yang merk bahan terkenal ,  berkualitas , original 
2. Pilihlah bahan yang IRR ( Tolak panas) &amp; UVR ( Tolak sinar ultra violet ) nya tinggi , supaya tidak terlalu panas ke ruangan kabin
3. Sesuaikan tingkat kegelapannya ( 20% , 40% , 60% , 80% )
4. Pilihlah yng bergaransi 5 - 7 tahun
5. Pilihlah pandangan yang gelap dariluar , tetapi terang dari dalam ( night vision )
6. Pilihlah teknisi yng profesional &amp; berpengalaman supaya hasil pemasangan memuaskan
https://www.bandungautofilm.com
*Keunggulan usaha (wajib):*
*keunikan usaha (wajib):*
Promo: Diskon 10%
Data Target Iklan 
Lokasi: Bandung kota
Usia:18-65
Jenis kelamin:semua
Durasi:7
Data Pembayaran
----
Total Bayar: 297000
Cs: Yuni
Status: Perpanjang</t>
  </si>
  <si>
    <t>ORDER UPDATED: UPDATE-ORD-1169</t>
  </si>
  <si>
    <t>Trigger: #inputorder#
Data Pesanan Jasa Iklan UMKM
Data Pemesan
----
Tanggal: 4-Jan-2026
Nama: Zaman 
Nama Usaha: Anindiyajayapool
Jenis Usaha: Kontrtor Kolam Renang 
No Whatsapp Bisnis:6285888452389
Alamat usaha: Kampung Cipedak RT 09/ RW 07 Serengseng Sawah Kecamatan Jagakarsa Jakarta Selatan 
Durasi: 10
Deskripsi produk/jasa: Kontraktor Kolam Renang 
*Keunikan Usaha*: 
- Pelayanan Fast Respon 
- Profesional Tapi Tidak Kaku
- Free konsultasi 
Promo: Gratis Konsultasi 
Data Target Iklan
----
Lokasi: Jabodetabek 
Usia: 20-50 tahun 
Jenis kelamin: Laki Laki dan perempuan 
Data Pembayaran
----
Total Bayar: 375000
Cs: Tika 
Status: Perpanjang</t>
  </si>
  <si>
    <t>Memeriksa nomor WA setelah dibersihkan: '6285888452389' (Tipe: string)</t>
  </si>
  <si>
    <t>ORDER UPDATED: UPDATE-ORD-683</t>
  </si>
  <si>
    <t>Trigger: #inputlaporan#
Laporan CS Jasa Iklan UMKM
-------
Nama CS: Isna
Tanggal: 4-jan-2026
Leads:27
Jumlah Closing:1
Paket 1:
Paket 2:
Paket 3: 
Paket 4: 
Paket 5: 
Repeat Paket 1: 
Repeat Paket 2: 
Repeat Paket 3: 
Repeat Paket 4: 
Repeat Paket 5:1
Catatan:
13 nores
  7 tanya-tanya 
  5 cek harga 
  2 belum isi data</t>
  </si>
  <si>
    <t>Trigger: #inputorder#
Data Pesanan Jasa Iklan UMKM
Data Pemesan
----
Tanggal: 05-Jan-2026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Durasi:10
Data Pembayaran
----
Total Bayar: 375000
Cs: Yuni
Status: Perpanjang</t>
  </si>
  <si>
    <t>Trigger: #inputlaporan#
Laporan CS Jasa Iklan UMKM
------- 
Nama CS: Yuni
Tanggal: 04-Jan-2025
Leads:27
Jumlah Closing: 1
Paket 1: 
Paket 2: 
Paket 3: 
Paket 4: 
Paket 5: 
Repeat Paket 1: 1
Repeat Paket 2: 
Repeat Paket 3: 
Repeat Paket 4: 
Repeat Paket 5: 
Catatan:
15 tanya2
9 no respon 
2 nanti dinfokan
1 cari kerja</t>
  </si>
  <si>
    <t>Trigger: #inputprder#
Data Pesanan Jasa Iklan UMKM
Data Pemesan
Tanggal:05-Jan-2026
Nama : *Yuli Susilowati*
Nama Usaha : *ALLEXA MEDICA HOLISTICARE*
Jenis Usaha : *Layanan Rehab Stroke dan Saraf Kejepit*
No Whatsapp Bisnis :6282221832308
Alamat usaha: *Jl. Raya Somagede, Desa Somagede, Banyumas, Jawa Tengah*
Deskripsi produk/jasa:
*Layanan Terapi / Rehab Stroke dan Saraf Kejepit :*
*Keunikan usaha :* 
Ditangani oleh terapis professional berpengalaman. 
Menangani dengan setulus hati dan cinta yang memberikan psikologi positif dan keceriaan pada pasien
*Ini google shareloct nya*
https://share.google/nPiKKmYPPgOF21DoB
Data Target Iklan
Lokasi: Karang anyar
(RedDoorz Wima Taman Sari Karanganyar, Kabupaten Karanganyar, Jawa Tengah)
Usia : *47*
Jenis kelamin : *Perempuan*
Durasi :5
Data Pembayaran
----
Total Bayar : 197000
Cs : Yuni
Status : Perpanjang</t>
  </si>
  <si>
    <t>Trigger: #inputprder#
Data Pesanan Jasa Iklan UMKM
Data Pemesan
Tanggal:05-Jan-2026
Nama :Yuli Susilowati
Nama Usaha :ALLEXA MEDICA HOLISTICARE
Jenis Usaha :Layanan Rehab Stroke dan Saraf Kejepit
No Whatsapp Bisnis :6282221832308
Alamat usaha: Jl. Raya Somagede, Desa Somagede, Banyumas, Jawa Tengah
Deskripsi produk/jasa:
*Layanan Terapi / Rehab Stroke dan Saraf Kejepit :*
*Keunikan usaha :* 
Ditangani oleh terapis professional berpengalaman. 
Menangani dengan setulus hati dan cinta yang memberikan psikologi positif dan keceriaan pada pasien
*Ini google shareloct nya*
https://share.google/nPiKKmYPPgOF21DoB
Data Target Iklan
Lokasi: Karang anyar
(RedDoorz Wima Taman Sari Karanganyar, Kabupaten Karanganyar, Jawa Tengah)
Usia : *47*
Jenis kelamin : *Perempuan*
Durasi :5
Data Pembayaran
----
Total Bayar : 197000
Cs : Yuni
Status : Perpanjang</t>
  </si>
  <si>
    <t>Trigger: #inputorder#
Data Pesanan Jasa Iklan UMKM
Data Pemesan
Tanggal:05-Jan-2026
Nama: Adi winoto
Nama Usaha:PT Garuda muda karya
Jenis Usaha: Perlengkapan alat dapur MBG
No Whatsapp Bisnis:6282261184459
Alamat usaha:
Ruko Podomoro Golf View
Blok B3-60
Jl Mohamad Thohir 
Cikuday,Bogor
Deskripsi produk/jasa:
Melayani pembelian alat2 dapur terlengkap untuk Dapur MBG
*Keunggulan usaha (wajib):*Ready Stock, Pembelian hari ini kirim hari ini keseluruhan Indonesia*
*keunikan usaha (wajib):*Pelayanan yg cepat, unit ready stock no inden*
Promo:*Pengiriman Gratis ke Seluruh Indonesia*
Data Target Iklan 
Lokasi: Seluruh Indonesia
Usia: min 25
Jenis kelamin:
Bebas
Durasi:5
Data Pembayaran
----
Total Bayar: 197000
Cs: Yuni
Status:Baru</t>
  </si>
  <si>
    <t>Memeriksa nomor WA setelah dibersihkan: '6282261184459' (Tipe: string)</t>
  </si>
  <si>
    <t>Cashflow saved for 6282261184459</t>
  </si>
  <si>
    <t>ORDER SAVED: ID-1767587718857</t>
  </si>
  <si>
    <t>Trigger: #inputorder#
Data Pesanan Jasa Iklan UMKM
Data Pemesan
----
Tanggal: 05-Des-2026
Nama: okta fitriansyah
Nama Usaha: Deriano 
Jenis Usaha: jasa pengadaan perlengkapan umroh
No Whatsapp Bisnis: 6282122880328
Alamat usaha:toko tas deriano blok f1 lt 6..los aks..no.56-65..pasar tanah abang
Deskripsi produk/jasa:koper,kain ihrom,mukenah,bergo,bantal leher,tas pasport dll
Data Target Iklan
Lokasi: seluruh Indonesia 
Usia: 17-55
Jenis kelamin:
Data iklan
----
Durasi:14
Data Pembayaran
----
Total Bayar: 910000
Cs: Yuni
Status: Perpanjang</t>
  </si>
  <si>
    <t>Memeriksa nomor WA setelah dibersihkan: '6282122880328' (Tipe: string)</t>
  </si>
  <si>
    <t>ORDER UPDATED: UPDATE-ORD-135</t>
  </si>
  <si>
    <t>Trigger: #inputorder#
Data Pesanan Jasa Iklan UMKM
Data Pemesan
----
Tanggal: 5-Jan-2026
Nama: Indarto
Nama Usaha: Totok saraf punggung jari petir
Jenis Usaha: Terapi pijat panggilan 
No Whatsapp Bisnis: 6281330410391
Durasi: 7
Deskripsi produk/jasa: Melayani Pijat Capek, Bekam Pijat struk, saraf kejepit, vitalitas
*Keunggulan usaha*: Terapi Penyembuhan metode, totok saraf punggung dan totok saraf jari petir
Promo: 90RB 1 jam+ jamu herbal gratis dan ada juga menu terapi kejantanan pria 
Data Target Iklan
----
Lokasi: Semarang, Jogjakarta, Soloraya, Purwodadi (Grobogan), Salatiga 
Usia: semua usia 
Jenis kelamin: Laki laki dan perempuan 
Data Pembayaran
----
Total Bayar: 297000
Cs: Tika
Status: Perpanjang</t>
  </si>
  <si>
    <t>ORDER UPDATED: UPDATE-ORD-720</t>
  </si>
  <si>
    <t>Trigger: #inputorder#
Data Pesanan Jasa Iklan UMKM
Data Pemesan
Tanggal:05-Des-2026
Nama: windu 
Nama Usaha: PT FREMONT GREEN VISION 
Jenis Usaha: jasa arsitektur pengurusan PPKPR , SLF dan PBG
No Whatsapp Bisnis:6285270194027
Alamat usaha: Mansyur USU Regency,jl. SMTK 6 blok A no. 1 Padang bulan selayang 1,Medan selayang
Deskripsi produk/jasa
Produk Jasanya Meliputi :
1. Design Arsitektur untuk : Rumah, Cafe, Gudang,Supermarket, Pabrik, Hotel, dan Rumah Sakit 
2. Pembuatan Perijinan Bangunan Gedung ( PBG)
3. Pembuatan Sertifikat Laik Fungsi ( SLF)
Keunggulan :
1. Memilik Tenaga Arsitektur inhouse yang berpengalaman dan memiliki  Stra dan SKK (Arsitektur, struktur dan MEP)
2. Sudah berpengalaman pembuatan PBG dan SLF
3. Cepat dan Tepat serta anti ribet
4. Harga Terjangkau 
*keunikan usaha (wajib):*
Prom
Data Target Iklan 
Lokasi: Pekanbaru, Sumatra Utara,Jawa
Usia: 25-55
Jenis kelamin: semua 
Durasi:30
Data Pembayaran
----
Total Bayar:1000000
Cs: Yuni
Status: Perpanjang</t>
  </si>
  <si>
    <t>ORDER UPDATED: UPDATE-ORD-1342</t>
  </si>
  <si>
    <t>Trigger: #inputlaporan#
Laporan CS Jasa Iklan UMKM
------- 
Nama CS: Yuni
Tanggal: 05-Jan-2025
Leads:53
Jumlah Closing: 5
Paket 1: 1
Paket 2: 
Paket 3: 
Paket 4: 
Paket 5: 
Repeat Paket 1: 1
Repeat Paket 2: 1
Repeat Paket 3: 1
Repeat Paket 4: 
Repeat Paket 5: 1
Catatan:
31 tanya2
18 no respon 
2 nanti dinfokan
2 cari kerja</t>
  </si>
  <si>
    <t>Trigger: #inputorder#
Data Pesanan Jasa Iklan UMKM
Data Pemesan
Tanggal:06-Jan-2026
Nama:Gunawan
Nama Usaha: CV.BAGUS DAN EVI TRANS
Jenis Usaha:*Sewa Mobil plus driver*
No Whatsapp Bisnis:6281357754513
Alamat usaha:Jalan Masjid baitus salam,Beciro,Jumputrejo,Sukodono, Sidoarjo)*
Deskripsi produk/jasa:
*Keunggulan usaha (wajib):*CV.BAGUS DAN EVI TRANS adalah Perusahaan jasa Persewaan kendaraan plus driver,Dengan armada terbaru,mulai dari Avanza, innova reborn, Zenik Hybrid, Hiace comuter, hiace premio,alphard dll*
*keunikan usaha (wajib):Berlegalitas resmi PKP,cocok untuk Instansi pemerintah, perusahaan2 swasta,bumn dan juga orang pribadi yang memerlukan efaktur pajak*
Promo:*Customer yang baru booking pertama kali,diskon 50k-100k per hari*
Data Target Iklan 
Lokasi:Dari radius lokasi kita 50 km
Usia:25-55 thn
Jenis kelamin:laki2 &amp; perempuan 
Durasi:30
Data Pembayaran
----
Total Bayar: 1000000
Cs: Yuni
Status: Perpanjang</t>
  </si>
  <si>
    <t>ORDER UPDATED: UPDATE-ORD-513</t>
  </si>
  <si>
    <t>Trigger: #inputorder#
Data Pesanan Jasa Iklan UMKM
Data Pemesan
----
Tanggal: 6-Jan-2026
Nama: Irfan
Nama Usaha: Syukur Aqikah 
Jenis Usaha: Aqiqah 
No Whatsapp Bisnis: 6285361983960
Alamat: Jln Tuba 3 gang Tengah No 90
Durasi: 5
Deskripsi produk/jasa: Kambing Aqiqah Paket mentah, siap saji dan nasi kotak 
*Paket dikerjakan oleh ahlinya dan tidak perlu repot tinggal tunggu dirumah*
*keunikan usaha : Sebahagian keuntungan di sedekahkan kepada Anak yatim dan orang2 yang membutuhkan*
Promo: Paket Siap saji : 1.500.000
Paket nasi kotak
Hemat : 1.950.000
Mewah : 2.150.000
Istimewa : 2.550.000
Data Target Iklan
----
Lokasi: Medan
Usia: bebas
Jenis kelamin: laki-laki dan perempuan 
Data Pembayaran
----
Total Bayar: 197000
Cs: Isna
Status: Baru</t>
  </si>
  <si>
    <t>Memeriksa nomor WA setelah dibersihkan: '6285361983960' (Tipe: string)</t>
  </si>
  <si>
    <t>Cashflow saved for 6285361983960</t>
  </si>
  <si>
    <t>ORDER SAVED: ID-1767669364976</t>
  </si>
  <si>
    <t>Trigger: #inputorder#
Data Pesanan Jasa Iklan UMKM
Data Pemesan
Tanggal:06-Jan-2026
Nama:Yasmin
Nama Usaha: Yasmine health staycation
Jenis Usaha: health staycation
No Whatsapp Bisnis:6287708424140
Alamat usaha:Jalan jeprah no 69 Palasari .SAMPING RSUD CIMACAN 
Cipanas .CIANJUR 
JAWA BARAT
Deskripsi produk/jasa:
Iya 
Keistimewaan tata laksana di Yasmin health staycation
1. Untuk gangguan pergerakan pasca stroke ,langsung dapat dirasakan perubahan pada kunjungan ke 1 
2. Bukan terapi alternatif,dilakukan oleh dokter berpengalaman lebih dari 15 tahun dibidang nya 
3. Tanpa operasi 
4. Tanpa herbal 
5. Langsung ke masalah pergerakan pasca stroke di lakukan tindakan menstimulasi sistem saraf motorik pergerakan 
6. Murah dibanding rawat inap di berbagai sentra stroke lainnya
-10 hari tata laksana perbaikan kekuatan motorik dan pergerakan pasca stroke di Yasmin health staycation..
Uang bisa dicari kembali apabila anda sudah sembuh dari dari stroke yang anda alami
Data Target Iklan 
Lokasi: Jabodetabek,Jateng,jatim, Aceh,Riau,Sumut,Sumbar,Madura,malaysia
Usia:50keatas
Jenis kelamin: semua 
Durasi:5
Data Pembayaran
----
Total Bayar: 197000
Cs: Yuni
Status: Perpanjang</t>
  </si>
  <si>
    <t>ORDER UPDATED: UPDATE-ID-1765011133874</t>
  </si>
  <si>
    <t>Trigger: #inputorder#
Data Pesanan Jasa Iklan UMKM
Data Pemesan
----
Tanggal: 5-Jan-2026
Nama:Eko Abdul ghani
Nama Usaha: terapi kesehatan waragad 
Jenis Usaha:jasa terapi 
Alamat usaha: kp barunagri RT 02 RW 03 desa Sukajaya Lembang Bandung barat
No Whatsapp Bisnis:6289618523308
Durasi: 5
Deskripsi produk/jasa:
Keunggulan usaha: Terrapy kesehatan WARAGAD membantu mengatasi keluhan mah Asam, lambung, vertigo, Hipertensi, asma sesak, syaraf kejepit pinggang, Frozen shoulder leher kaku, capek pegal dan masuk Angin
*keunikan usaha (wajib):*Sehat tanpa obat membangun imunitas dengan menguatkan organ dalam dan energy tubuh
Promo:
Awal tahun ambil paket 10x discont 30% ajak teman dan keluarga minimal 2 orang gratis satu orang
Data Target Iklan
----
Lokasi: wilayah Bandung dan sekitarnya 
Usia:anak anak sampai lansia
Jenis kelamin:pria dan wanita 
Data Pembayaran
----
Total Bayar: 197000
Cs: Maya
Status: Baru</t>
  </si>
  <si>
    <t>Memeriksa nomor WA setelah dibersihkan: '6289618523308' (Tipe: string)</t>
  </si>
  <si>
    <t>Cashflow saved for 6289618523308</t>
  </si>
  <si>
    <t>ORDER SAVED: ID-1767699945803</t>
  </si>
  <si>
    <t>Trigger: #inputorder#
Data Pesanan Jasa Iklan UMKM 
Data Pemesan
----
Tanggal: 5-Jan-2026
Nama: Murfati
Nama Usaha: Klinik Beauty 7
Jenis Usaha: Klinik Kecantikan 
No Whatsapp Bisnis: 6289504615501
Durasi: 5
Deskripsi produk/jasa: Jalan Harapan indah Raya blok FA 15 Harapan indah Kel pejuang kota Bekasi
*Keunggulan usaha*: Memudarkan melasma, Skin tag, melia, bopeng dan menyembuhkan jerawat 
*Keunikan usaha*: 
Promo: Promo tindakan dokter hasilnya 80% sembuh 
Data Target Iklan
----
Lokasi: Harapan Indah Seputarnya 
Usia: 20-60 tahun
Jenis kelamin: Perempuan dan Laki laki 
Data Pembayaran
----
Total Bayar: 197000
Cs: Isna
Status: Perpanjang</t>
  </si>
  <si>
    <t>Memeriksa nomor WA setelah dibersihkan: '6289504615501' (Tipe: string)</t>
  </si>
  <si>
    <t>ORDER UPDATED: UPDATE-ORD-1314</t>
  </si>
  <si>
    <t>Trigger: #inputorder#
Data Pesanan Jasa Iklan UMKM
Data Pemesan
----
Tanggal: 5-Jan-2026
Nama: Budiman
Nama Usaha: PT Jujur Jaya Sakti Mamuju
Jenis Usaha: Promo Daihatsu Sulawesi Barat Mamuju 
No Whatsapp Bisnis: 6282347206488
Durasi: 5
Deskripsi produk/jasa: 
𝘿𝙀𝘼𝙇𝙀𝙍 𝙍𝙀𝙎𝙈𝙄 𝘿𝘼𝙄𝙃𝘼𝙏𝙎𝙐 
𝙎𝙊𝙇𝙐𝙎𝙄 𝙐𝙉𝙏𝙐𝙆 𝙋𝙐𝙉𝙔𝘼 𝙈𝙊𝘽𝙄𝙇 𝘽𝘼𝙍𝙐
Konsultasikan Rencana Pembelian kendaraan 
Promo: free servis gratis/garansi mesin 5 tahun
Data Target Iklan
----
Lokasi: Mamuju
Usia: 31 th ke atas 
Jenis kelamin: laki-laki dan perempuan 
Data Pembayaran
----
Total Bayar: 197000
Cs: Isna
Status: Perpanjang</t>
  </si>
  <si>
    <t>Memeriksa nomor WA setelah dibersihkan: '6282347206488' (Tipe: string)</t>
  </si>
  <si>
    <t>ORDER UPDATED: UPDATE-ORD-65</t>
  </si>
  <si>
    <t>Trigger: #inputorder#
Data Pesanan Jasa Iklan UMKM
Data Pemesan
----
Tanggal: 5-Jan-2026
Nama: Wiris
Nama Usaha: Wirisvariasi
Jenis Usaha: Bengkel Custom Lampu
No Whatsapp Bisnis: 6282242925264
Durasi: 20
Deskripsi produk/jasa: 
musim hujan lampu mobil redup gk kelihatan jalan. kami hadir untuk melayani problem perlampuan mobil anda yang redup. satu satu nya bengkel perlampuan mobil dengan garansi resmi di jepara dan mekanik yang sudah terpercaya di bidang nya. pengerjaan tidak perlu di ragukan lagi karna kerapian dan keamanan adalah prosesur nomor 1 bagi kami. kami sedia berbagai macam jenis lampu yang sesuai dengan kebutuhan mobil anda. sudah ratusan mobil yang sudah kami tangani di area jepara. tunggu apa lagi segera konsultasikan lampu mobil anda pada kami.
Data Target Iklan
----
Lokasi: Jepara, Demak, Kudus, Pati, Rembang, Purwodadi, Blora
Usia: 20 th keatas 
Jenis kelamin: laki-laki dan perempuan 
Data Pembayaran
----
Total Bayar: 700000
Cs: Isna
Status: Perpanjang</t>
  </si>
  <si>
    <t>Trigger: #inputorder#
Data Pesanan Jasa Iklan UMKM
Data Pemesan
----
Tanggal: 5-Jan-2026
Nama: Herlan
Nama Usaha: Cidahu Camping Ground
Jenis Usaha: informasi jasa camp dan sewa alat camp
No Whatsapp Bisnis: 6285773570295
Alamat: Jalan Javanaspa kp panagan desa cidahu kecamatan cidahu kabupaten Sukabumi Jawa Barat 
Durasi: 5
Deskripsi produk/jasa: keunggulan usaha: 56.500/org include tiket masuk camping 2 hari/1 malam kebersihan mck tereking air terjun tereking kawah ratu
Data Target Iklan
----
Lokasi: Jakarta, Bekasi, Depok, Bogor, Tangerang 
Usia: 20-50 tahun
Jenis kelamin: laki laki dan perempuan 
Data Pembayaran
----
Total Bayar: 197000
Cs: Isna
Status: Perpanjang</t>
  </si>
  <si>
    <t>Memeriksa nomor WA setelah dibersihkan: '6285773570295' (Tipe: string)</t>
  </si>
  <si>
    <t>ORDER UPDATED: UPDATE-ORD-380</t>
  </si>
  <si>
    <t>Trigger: #inputorder#
Data Pesanan Jasa Iklan UMKM
Data Pemesan
----
Tanggal: 5-Jan-2026
Nama: Febrian 
Nama Usaha: Rumahku Rancang Bangun 
Jenis Usaha: Kontraktor 
No Whatsapp Bisnis: 6285642450197
Alamat: Jl Raya Ampelgading (Depan Kantor Kec Ampelgading) Kabupaten Pemalang 
Durasi: 7 (custom)
Deskripsi produk/jasa: 
Kami adalah kontraktor terpercaya yang siap mewujudkan bangunan impian Anda dengan hasil rapi, kuat, dan tepat waktu. Mengutamakan kualitas pekerjaan, transparansi biaya, serta pelayanan profesional dari awal hingga proyek selesai.
*Keunggulan usaha (wajib):*
- Tepat Mutu
- Tepat Waktu
- Tepat Biaya
*keunikan usaha (wajib):*
Promo:
- Desain dan Bangun Terpadu
- Transparasi Biaya
- Pendampingan dari perencanaan sampai layak huni
- Garansi Pekerjaan
- Fleksibel dan solutif
- Mengutamakan efisiensi material, prosedur kerja &amp; anggaran
- 
Data Target Iklan
----
Lokasi: Tegal, Pemalang, Pekalongan, Batang
Usia: 20 th keatas 
Jenis kelamin: laki-laki dan perempuan 
Data Pembayaran
----
Total Bayar: 697000
Cs: Isna
Status: Perpanjang</t>
  </si>
  <si>
    <t>Memeriksa nomor WA setelah dibersihkan: '6285642450197' (Tipe: string)</t>
  </si>
  <si>
    <t>Trigger: #inputorder#
Data Pesanan Jasa Iklan UMKM
Data Pemesan
----
Tanggal: 5-Jan-2026
Nama: Febrian 
Nama Usaha: Rumahku Rancang Bangun 
Jenis Usaha: Kontraktor 
No Whatsapp Bisnis: 6285642450197
Alamat: Jl Raya Ampelgading (Depan Kantor Kec Ampelgading) Kabupaten Pemalang 
Durasi: 7 
Deskripsi produk/jasa: 
Kami adalah kontraktor terpercaya yang siap mewujudkan bangunan impian Anda dengan hasil rapi, kuat, dan tepat waktu. Mengutamakan kualitas pekerjaan, transparansi biaya, serta pelayanan profesional dari awal hingga proyek selesai.
*Keunggulan usaha (wajib):*
- Tepat Mutu
- Tepat Waktu
- Tepat Biaya
*keunikan usaha (wajib):*
Promo:
- Desain dan Bangun Terpadu
- Transparasi Biaya
- Pendampingan dari perencanaan sampai layak huni
- Garansi Pekerjaan
- Fleksibel dan solutif
- Mengutamakan efisiensi material, prosedur kerja &amp; anggaran
- 
Data Target Iklan
----
Lokasi: Tegal, Pemalang, Pekalongan, Batang
Usia: 20 th keatas 
Jenis kelamin: laki-laki dan perempuan 
Data Pembayaran
----
Total Bayar: 697000
Cs: Isna
Status: Perpanjang</t>
  </si>
  <si>
    <t>Cashflow saved for 6285642450197</t>
  </si>
  <si>
    <t>ORDER SAVED: ID-1767712338112</t>
  </si>
  <si>
    <t>Trigger: #inputorder#
Data Pesanan Jasa Iklan UMKM
Data Pemesan
----
Tanggal: 5-Jan-2026
Nama: Candra
Nama Usaha: Auto Custom 
Jenis Usaha: Jasa Custom Lampu Mobil dan Motor di Bali
No Whatsapp Bisnis: 6281337541776
Alamat: Jalan Batas Dukuhsari no 8 Sesetan - Denpasar Selatan 
Durasi: 7
Deskripsi produk/jasa: 
Keunggulan usaha (wajib): *Tehnisi Berpengalaman dan Profesional, Bahan Berkualitas Premium, Hasil Custom Presisi, Tepat waktu Dan BERGARANSI*
*keunikan usaha (wajib):* Owner yang Ramah, Konsultasi gratis.
Promo:
*PROMO AWAL TAHUN, DISKON HINGGA 50%*
Data Target Iklan
----
Lokasi: Bali 
Usia: 35-60 th
Jenis kelamin: laki-laki 
Data Pembayaran
----
Total Bayar: 297000
Cs: Isna
Status: Baru</t>
  </si>
  <si>
    <t>Memeriksa nomor WA setelah dibersihkan: '6281337541776' (Tipe: string)</t>
  </si>
  <si>
    <t>Cashflow saved for 6281337541776</t>
  </si>
  <si>
    <t>ORDER SAVED: ID-1767712769437</t>
  </si>
  <si>
    <t>Trigger: #inputorder#
Data Pesanan Jasa Iklan UMKM
Data Pemesan
----
Tanggal: 6-Jan-2026
Nama: Pak Su'ud
Nama Usaha: Sukmajaya Makmur Indo
Jenis Usaha: Kontraktor 
No Whatsapp Bisnis: 6285655442852
Durasi: 14
Deskripsi produk/jasa: 
Melayani pembangunan dari nol, renovasi rumah gedung toko dll
Keunggulan: sudah berpengalaman dan profesional, kualitas kerjaan terjamin, kerja cepat hasil rapi
Data Target Iklan
----
Lokasi: Surabaya, Lamongan, Gresik, Sidoarjo, Mojokerto 
Usia: 30 th keatas 
Jenis kelamin: laki-laki dan perempuan 
Data Pembayaran
----
Total Bayar: 550000
Cs: Isna
Status: Perpanjang</t>
  </si>
  <si>
    <t>Trigger: #inputlaporan#
Laporan CS Jasa Iklan UMKM
------- 
Nama CS: Isna
Tanggal: 05-Jan-2025
Leads:37
Jumlah Closing: 6
Paket 1: 
Paket 2:1
Paket 3: 
Paket 4: 
Paket 5: 
Repeat Paket 1:2
Repeat Paket 2:2 
Repeat Paket 3: 
Repeat Paket 4:1
Repeat Paket 5: 
Catatan:</t>
  </si>
  <si>
    <t>Trigger: #inputlaporan#
Laporan CS Jasa Iklan UMKM
------- 
Nama CS: Isna
Tanggal: 06-Jan-2025
Leads:
Jumlah Closing:2
Paket 1:1
Paket 2: 
Paket 3: 
Paket 4: 
Paket 5: 
Repeat Paket 1: 
Repeat Paket 2: 
Repeat Paket 3:1 
Repeat Paket 4: 
Repeat Paket 5: 
Catatan:</t>
  </si>
  <si>
    <t>Trigger: #inputlaporan#
Laporan CS Jasa Iklan UMKM
------- 
Nama CS: Yuni
Tanggal: 06-Jan-2025
Leads:
Jumlah Closing: 2
Paket 1: 
Paket 2: 
Paket 3: 
Paket 4: 
Paket 5: 
Repeat Paket 1: 1
Repeat Paket 2: 
Repeat Paket 3: 
Repeat Paket 4: 
Repeat Paket 5: 1
Catatan:</t>
  </si>
  <si>
    <t>Trigger: #inputorder#
Data Pesanan Jasa Iklan UMKM
Data Pemesan
----
Tanggal: 7-Jan-2026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</si>
  <si>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#inputorder#
Data Pesanan Jasa Iklan UMKM
Data Pemesan
----
Tanggal: 6-Jan-2026
Nama: Nur Cholis 
Nama Usaha: Oma Property 
Jenis Usaha: Kontraktor 
No Whatsapp Bisnis: 6283824541579
Durasi: 10
Deskripsi produk/jasa: Jasa Bangun rumah dari nol, kos-kosan, Ruko, renovasi total/ sebagian, Desain Arsitektur &amp; interior, Gambar kerja &amp; hitungan struktur, Pemasangan plafon, atap, lantai, dinding, listrik dan plumbing, Konsultasi material dan budget
*Keunggulan usaha*:
- Tim Berpengalaman dan terpercaya
- RAB jelas, harga transparan 
- Desain bisa custom sesuai keinginan 
- hasil rapih &amp; tepat waktu 
- garansi pekerjaan 
*Keunikan usaha*: Free Design, Free konsultasi, dan free survei 
Promo: Harga mulai dari 2.900.000 per meternya 
Data Target Iklan
----
Lokasi: Sidoarjo dan Surabaya 
Usia: 27-60 tahun 
Jenis kelamin: Laki laki dan perempuan 
Data Pembayaran
----
Total Bayar: 375000
Cs: Tika 
Status: Perpanjang</t>
  </si>
  <si>
    <t>Trigger: #inputorder#
Data Pesanan Jasa Iklan UMKM
Data Pemesan
Tanggal:7-Jan-2025
Nama: Ajma
Nama Usaha: AJMA PROPERTY 
Jenis Usaha: Kontraktor 
No Whatsapp Bisnis:6289678497690
Alamat usaha: Banjarmasin 
Deskripsi produk/jasa: melayani pembangunan rumah,kantor,sekolah kantor dll
-dari jasa sekaligus dgn bahan material
-harga dari 5 JT an permeter dari pondasi sampai siap huni
-dgn sistim pembayaran bertahap selama pembanguan
-lokasi dan spek yg anda ingin akan menentukan harga dan biaya pembangun 
*Keunggulan usaha (wajib):*
*keunikan usaha (wajib):*
Promo:
Data Target Iklan 
Lokasi: Banjarmasin dan sekitarnya 
Usia:25-60
Jenis kelamin:semua
Durasi:5
Data Pembayaran
----
Total Bayar: 197000
Cs: Yuni
Status: Perpanjang</t>
  </si>
  <si>
    <t>Trigger: #inputorder#
Data Pesanan Jasa Iklan UMKM
Data Pemesan
----
Tanggal: 7-jan-2026
Nama:Murtandloh
Nama Usaha:DW Mkarya
Jenis Usaha: kontraktor 
Alamat usaha: jalan gersikan ll/15 pacarkeling tambak sari- Surabaya 
No Whatsapp Bisnis:6282343985114
Durasi: 5
Deskripsi produk/jasa:
Free desain, survey dan konsultasi gratis 
Data Target Iklan
----
Lokasi:Jateng, Jatim,bali
Usia:30 ke atas
Jenis kelamin:bebas
Data Pembayaran
----
Total Bayar: 197000
Cs: Maya
Status: Baru</t>
  </si>
  <si>
    <t>Memeriksa nomor WA setelah dibersihkan: '6282343985114' (Tipe: string)</t>
  </si>
  <si>
    <t>Cashflow saved for 6282343985114</t>
  </si>
  <si>
    <t>ORDER SAVED: ID-1767757115127</t>
  </si>
  <si>
    <t>Trigger: #inputorder#
Data Pesanan Jasa Iklan UMKM
Data Pemesan
----
Tanggal: 6-Jan-2026
Nama: Lpk Kenzo 
Nama Usaha:
Jenis Usaha:Lpk Kenzo Cirebon 
Alamat usaha:jalan Tamansari blok Karangmalang RT 006/001 desa bodesari kecamatan Plumbon kabupaten Cirebon 
No Whatsapp Bisnis:6281277777325
Durasi: 5
Deskripsi produk/jasa:
Keunggulan: terakditasi, terdaftar di Kemenaker, Disnaker, tersedia dana talangan 
Data Target Iklan
----
Lokasi: Jawabarat 
Usia:19-35 tahun
Jenis kelamin: pria dan wanita 
Data Pembayaran
----
Total Bayar: 700000
Cs: Maya
Status: Baru</t>
  </si>
  <si>
    <t>Memeriksa nomor WA setelah dibersihkan: '6281277777325' (Tipe: string)</t>
  </si>
  <si>
    <t>Cashflow saved for 6281277777325</t>
  </si>
  <si>
    <t>ORDER SAVED: ID-1767757136402</t>
  </si>
  <si>
    <t>Trigger: #inputorder#
Data Pesanan Jasa Iklan UMKM
Data Pemesan
Tanggal: 7-Jan-2026
Nama: Muhammad Idris 
Nama Usaha: MADU AMANAH
Jenis Usaha: Jual madu
No Whatsapp Bisnis:6282173042032
Alamat usaha: SICINCIN HILIR, PAYAKUMBUH TIMUR.
Deskripsi produk/jasa: PRODUK
*Keunggulan usaha (wajib):* TERJAMIN MURNI, SUDAH P-IRT DAN HALAL JUGA
*keunikan usaha (wajib):* BISA IKUT LANGSUNG PANEN 
Promo: GRATIS ONGKIR 
Data Target Iklan 
Lokasi: KOTA PAYAKUMBUH DAN KABUPATEN 50 KOTA, SUMATRA BARAT
Usia: 18keatas
Jenis kelamin: semua 
Durasi:5
Data Pembayaran
----
Total Bayar: 150000
Cs: Yuni
Status:Baru</t>
  </si>
  <si>
    <t>Memeriksa nomor WA setelah dibersihkan: '6282173042032' (Tipe: string)</t>
  </si>
  <si>
    <t>Cashflow saved for 6282173042032</t>
  </si>
  <si>
    <t>ORDER SAVED: ID-1767761425435</t>
  </si>
  <si>
    <t>Trigger: #inputorder#
Data Pesanan Jasa Iklan UMKM
Data Pemesan
----
Tanggal: 7-Jan-2026
Nama: Eko Y
Nama Usaha: CV fajar gemilang plus 
Jenis Usaha: Kontraktor Fasade, Kaca, Acp, Alumunium, Arsitektur, Interior dll
No Whatsapp Bisnis: 6281338789995
Alamat usaha: Jalan Thamrin 78 Depan SMA 5 Kupang kantor CV fajar gemilang plus 
Durasi: 14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550000
Cs: Tika 
Status: Perpanjang</t>
  </si>
  <si>
    <t>Trigger: #inputorder#
Data Pesanan Jasa Iklan UMKM
Data Pemesan
----
Tanggal: 7-Jan-2026
Nama:M sugim
Nama Usaha:gusmus Terapy 
Jenis Usaha: terapi kesehatan 
Alamat usaha: perum Magnolia grande blok D2 no 29
No Whatsapp Bisnis:6285892656287
Durasi: 5
Deskripsi produk/jasa:jasa terapi dan herbal
Keunggulan: mengobati segala macem penyakit 
Keunikan: menggunakan motede pijat saraf bekam akunpuntur gurah ,tht, totok wajah/ aura ruqyah, herbal 
Data Target Iklan
----
Lokasi: Cikarang, Bekasi,Sukatani, kerawang 
Usia:20-60 tahun
Jenis kelamin: laki dan perempuan 
Data Pembayaran
----
Total Bayar: 197000
Cs: Maya
Status: Baru</t>
  </si>
  <si>
    <t>Memeriksa nomor WA setelah dibersihkan: '6285892656287' (Tipe: string)</t>
  </si>
  <si>
    <t>Cashflow saved for 6285892656287</t>
  </si>
  <si>
    <t>ORDER SAVED: ID-1767774027748</t>
  </si>
  <si>
    <t>Trigger: #inputlaporan#
Laporan CS Jasa Iklan UMKM
------- 
Nama CS: Yuni
Tanggal: 07-Jan-2025
Leads:
Jumlah Closing: 3
Paket 1: 1
Paket 2: 
Paket 3: 
Paket 4: 
Paket 5: 
Repeat Paket 1: 1
Repeat Paket 2: 1
Repeat Paket 3: 
Repeat Paket 4: 
Repeat Paket 5: 
Catatan:</t>
  </si>
  <si>
    <t>Trigger: #inputorder#
Data Pesanan Jasa Iklan UMKM
Data Pemesan
----
Tanggal: 7-Jan-2026
Nama: Nanang Hermansyah 
Nama Usaha:PT bisa internasional 
Jenis Usaha:obat herbal, pupuk herbal dan skincare 
Alamat usaha: pondok pesantren ishlahul Dadap kecamatan Pujut lombok tengah 
No Whatsapp Bisnis:6283856077914 (081572422349)
Durasi: 7
Deskripsi produk/jasa:
Ramuan herbal alami,maxprim dan bioethes
Keunggulan: lebih dari 1000 pasien tertangani dengan baik dan sembuh
Keunikan: wasilah bantuan doa dari 250 santri dan santriwati 
Promo: Rp 150K per orang terapi tangan dan pemberian obat jamu maxprim dan bioethes 
Resmi berbadan dom
Data Target Iklan
----
Lokasi:SE Indonesia 
Usia:1 tahun- 60 tahun
Jenis kelamin: pria dan wanita 
Data Pembayaran
----
Total Bayar: 297000
Cs: Maya
Status: Baru</t>
  </si>
  <si>
    <t>Memeriksa nomor WA setelah dibersihkan: '6283856077914 (081572422349)' (Tipe: string)</t>
  </si>
  <si>
    <t>Trigger: #inputorder#
Data Pesanan Jasa Iklan UMKM
Data Pemesan
----
Tanggal: 7-Jan-2026
Nama: Nanang Hermansyah 
Nama Usaha:PT bisa internasional 
Jenis Usaha:obat herbal, pupuk herbal dan skincare 
Alamat usaha: pondok pesantren ishlahul Dadap kecamatan Pujut lombok tengah 
No Whatsapp Bisnis: 6283856077914 (081572422349)
Durasi: 7
Deskripsi produk/jasa:
Ramuan herbal alami,maxprim dan bioethes
Keunggulan: lebih dari 1000 pasien tertangani dengan baik dan sembuh
Keunikan: wasilah bantuan doa dari 250 santri dan santriwati 
Promo: Rp 150K per orang terapi tangan dan pemberian obat jamu maxprim dan bioethes 
Resmi berbadan dom
Data Target Iklan
----
Lokasi:SE Indonesia 
Usia:1 tahun- 60 tahun
Jenis kelamin: pria dan wanita 
Data Pembayaran
----
Total Bayar: 297000
Cs: Maya
Status: Baru</t>
  </si>
  <si>
    <t>Trigger: #inputorder#
Data Pesanan Jasa Iklan UMKM
Data Pemesan
----
Tanggal: 7-Jan-2026
Nama: Nanang Hermansyah 
Nama Usaha:PT bisa internasional 
Jenis Usaha:obat herbal, pupuk herbal dan skincare 
Alamat usaha: pondok pesantren ishlahul Dadap kecamatan Pujut lombok tengah 
No Whatsapp Bisnis: 6283856077914 
Durasi: 7
Deskripsi produk/jasa:
Ramuan herbal alami,maxprim dan bioethes
Keunggulan: lebih dari 1000 pasien tertangani dengan baik dan sembuh
Keunikan: wasilah bantuan doa dari 250 santri dan santriwati 
Promo: Rp 150K per orang terapi tangan dan pemberian obat jamu maxprim dan bioethes 
Resmi berbadan dom
Data Target Iklan
----
Lokasi:SE Indonesia 
Usia:1 tahun- 60 tahun
Jenis kelamin: pria dan wanita 
Data Pembayaran
----
Total Bayar: 297000
Cs: Maya
Status: Baru</t>
  </si>
  <si>
    <t>Memeriksa nomor WA setelah dibersihkan: '6283856077914' (Tipe: string)</t>
  </si>
  <si>
    <t>Cashflow saved for 6283856077914</t>
  </si>
  <si>
    <t>ORDER SAVED: ID-1767839728890</t>
  </si>
  <si>
    <t>Trigger: #inputorder#
Data Pesanan Jasa Iklan UMKM
Data Pemesan
----
Tanggal: 7-Jan-2026
Nama: Yayan
Nama Usaha: Bekam Panggilan Bandung 
Jenis Usaha: Bekam
No Whatsapp Bisnis: 6285600287735
Alamat: Jln Sadangsari Rt 04 Rw 04 Kel Andir Kec Baleendah Bandung 
Durasi: 5
Deskripsi produk/jasa: 
Keunggulan: terapis telah berpengalaman selama 14 th
Keunikan: bersertifikat, steril, aman
Promo: hanya 100 rb untuk wilayah bandung 
Data Target Iklan
----
Lokasi: Kota Bandung 
Usia: 25-70 th
Jenis kelamin: laki-laki 
Data Pembayaran
----
Total Bayar: 197000
Cs: Isna
Status: Baru</t>
  </si>
  <si>
    <t>Memeriksa nomor WA setelah dibersihkan: '6285600287735' (Tipe: string)</t>
  </si>
  <si>
    <t>Cashflow saved for 6285600287735</t>
  </si>
  <si>
    <t>ORDER SAVED: ID-1767840208816</t>
  </si>
  <si>
    <t>Trigger: #inputorder#
Data Pesanan Jasa Iklan UMKM
Data Pemesan
Tanggal:8-Jan-2025
Nama:Yasmin
Nama Usaha: Yasmine health staycation
Jenis Usaha: health staycation
No Whatsapp Bisnis:6287708424140
Alamat usaha:Jalan jeprah no 69 Palasari .SAMPING RSUD CIMACAN 
Cipanas .CIANJUR 
JAWA BARAT
Deskripsi produk/jasa:
Iya 
Keistimewaan tata laksana di Yasmin health staycation
1. Untuk gangguan pergerakan pasca stroke ,langsung dapat dirasakan perubahan pada kunjungan ke 1 
2. Bukan terapi alternatif,dilakukan oleh dokter berpengalaman lebih dari 15 tahun dibidang nya 
3. Tanpa operasi 
4. Tanpa herbal 
5. Langsung ke masalah pergerakan pasca stroke di lakukan tindakan menstimulasi sistem saraf motorik pergerakan 
6. Murah dibanding rawat inap di berbagai sentra stroke lainnya
-10 hari tata laksana perbaikan kekuatan motorik dan pergerakan pasca stroke di Yasmin health staycation..
Uang bisa dicari kembali apabila anda sudah sembuh dari dari stroke yang anda alami
Data Target Iklan 
Lokasi: Jabodetabek,Jateng,jatim, Aceh,Riau,Sumut,Sumbar,Madura,malaysia
Usia:50keatas
Jenis kelamin: semua 
Durasi:5
Data Pembayaran
----
Total Bayar: 197000
Cs: Yuni
Status: Perpanjang</t>
  </si>
  <si>
    <t>Trigger: #inputorder#
Data Pesanan Jasa Iklan UMKM
Data Pemesan
----
Tanggal: 8-Jan-2026
Nama:lisa
Nama Usaha: kredit toko mutiara 
Jenis Usaha: furniture dan elektronik 
Alamat usaha: showroom prioritas bengkong jlan Laksamana Bintan ruko stm aljabar blok c no 1&amp;2
No Whatsapp Bisnis:6282286712200
Durasi: 5
Deskripsi produk/jasa: kredit elektronik furniture 
Keunggulan: tanpa slik ojk/BI cheking,tenor panjang 15 bulan gratis pengiriman seluruh Batam
Keunikan: tanpa denda keterlambatan, survey online,one day service 
Promo: spesial awal tahun 
Data Target Iklan
----
Lokasi:Punggur,Nongsa,tiban,Batam center 
Usia:17-60 tahun
Jenis kelamin:laki dan perempuan 
Data Pembayaran
----
Total Bayar: 197000
Cs: Maya
Status: Baru</t>
  </si>
  <si>
    <t>Memeriksa nomor WA setelah dibersihkan: '6282286712200' (Tipe: string)</t>
  </si>
  <si>
    <t>Cashflow saved for 6282286712200</t>
  </si>
  <si>
    <t>ORDER SAVED: ID-1767877278509</t>
  </si>
  <si>
    <t>Trigger: #inputorder#
Data Pesanan Jasa Iklan UMKM
Data Pemesan
----
Tanggal: 7-Jan-2025
Nama: Ayni Ratnawati 
Nama Usaha: Salon Lucas
Jenis Usaha: Lowongan Pekerjaan
No Whatsapp Bisnis: 6287835601400
Alamat: Salon Lucas Jl Gedongkuning 185, Pringgolayan, Banguntapan Bantul Yogyakarta 
Durasi: 5
Deskripsi produk/jasa: 
Keunggulan: Smoothing, Hair Cut
Keunikan: One stop Beauty, untuk semua gender, anak, ABG dan dewasa 
Data Target Iklan
----
Lokasi: Yogyakarta 
Usia: 18-50 th
Jenis kelamin: laki-laki dan perempuan 
Data Pembayaran
----
Total Bayar: 197000
Cs: Isna
Status: Perpanjang</t>
  </si>
  <si>
    <t>Memeriksa nomor WA setelah dibersihkan: '6287835601400' (Tipe: string)</t>
  </si>
  <si>
    <t>Cashflow saved for 6287835601400</t>
  </si>
  <si>
    <t>ORDER SAVED: ID-1767888662908</t>
  </si>
  <si>
    <t>Trigger: #inputorder#
Data Pesanan Jasa Iklan UMKM
Data Pemesan
----
Tanggal: 7-Jan-2026
Nama:  -
Nama Usaha:  SMA ISTIQOMAH
Jenis Usaha: SMA ISTIQOMAH MUHAMMADIYAH BOARDING SAMARINDA
No Whatsapp Bisnis: 6281340892328
Alamat: Jl KH Wahid Hasyim GG Ahim 1
Durasi: *7 (Paket Custom)*
Deskripsi produk/jasa: 
*Keunggulan usaha (wajib): *sekolah yang memadukan kurikulum nasional dan pesantren, serta di ajarkan kewirausahaan, kemandirian dan IT*
*keunikan usaha (wajib):*sekolah boarding yang bertempat di lingkungan yang representatif, jauh dari kebisingan dan polusi*
Promo:
Data Target Iklan
----
Lokasi: Kalimantan Timur 
Usia: 16-60 th
Jenis kelamin: laki-laki dan perempuan 
Data Pembayaran
----
Total Bayar: 397000
Cs: Isna
Status: Perpanjang</t>
  </si>
  <si>
    <t>Memeriksa nomor WA setelah dibersihkan: '6281340892328' (Tipe: string)</t>
  </si>
  <si>
    <t>Trigger: #inputorder#
Data Pesanan Jasa Iklan UMKM
Data Pemesan
----
Tanggal: 7-Jan-2026
Nama:  -
Nama Usaha:  SMA ISTIQOMAH
Jenis Usaha: SMA ISTIQOMAH MUHAMMADIYAH BOARDING SAMARINDA
No Whatsapp Bisnis: 6281340892328
Alamat: Jl KH Wahid Hasyim GG Ahim 1
Durasi: 7 
Deskripsi produk/jasa: 
*Keunggulan usaha (wajib): *sekolah yang memadukan kurikulum nasional dan pesantren, serta di ajarkan kewirausahaan, kemandirian dan IT*
*keunikan usaha (wajib):*sekolah boarding yang bertempat di lingkungan yang representatif, jauh dari kebisingan dan polusi*
Promo:
Data Target Iklan
----
Lokasi: Kalimantan Timur 
Usia: 16-60 th
Jenis kelamin: laki-laki dan perempuan 
Data Pembayaran
----
Total Bayar: 397000
Cs: Isna
Status: Perpanjang</t>
  </si>
  <si>
    <t>Cashflow saved for 6281340892328</t>
  </si>
  <si>
    <t>ORDER SAVED: ID-1767888856487</t>
  </si>
  <si>
    <t>Trigger: #inputorder#
Data Pesanan Jasa Iklan UMKM
Data Pemesan
----
Tanggal: 8-Jan-2025
Nama: Alfaiz
Nama Usaha: Distributor Resmi AFC Farmasi 
Jenis Usaha: Kesehatan 
No Whatsapp Bisnis: 62887435792882
Durasi: 5
Deskripsi produk/jasa: 
Distributor Resmi AFC Farmasi Tertua dan Terbesar di Jepang Utsukushi SOP Subarashi dan Hikari 
Produk kami  merupakan makanan kesehatan organik yg diproduksi oleh perusahaan farmasi tertua diJEPANG dapat dikonsumsi bagi penderita Diabetes, Kanker, tumor, jantung, dan penyakit kronis lainya. Cocok untuk semua kalangan umur. Untuk informasi selengkapnya hubungi Yunik Distributor resmi AFC jepang
Jangan biarkan kanker, tumor, kista/miom mengganggu hidupmu.
Ada solusi aman tanpa operasi:
✨ SOP Subarashi &amp; Utsukushhii Gold ✨
Diformulasikan di Jepang, dengan kualitas premium, siap membantu keluhanmu.
📦 Free Ongkir Seluruh Indonesia
 Wa distributor AFC
Data Target Iklan
----
Lokasi: Sulawesi Selatan 
Usia: 25-65 th
Jenis kelamin: laki-laki dan perempuan 
Data Pembayaran
----
Total Bayar: 197000
Cs: Isna
Status: Perpanjang</t>
  </si>
  <si>
    <t>Trigger: #inputlaporan#
Laporan CS Jasa Iklan UMKM
------- 
Nama CS: Yuni
Tanggal: 08-Jan-2025
Leads:
Jumlah Closing: 1
Paket 1: 
Paket 2: 
Paket 3: 
Paket 4: 
Paket 5: 
Repeat Paket 1: 1
Repeat Paket 2: 
Repeat Paket 3: 
Repeat Paket 4: 
Repeat Paket 5: 
Catatan:</t>
  </si>
  <si>
    <t>Trigger: #inputlaporan#
Laporan CS Jasa Iklan UMKM
------- 
Nama CS: Isna
Tanggal: 08-Jan-2025
Leads:
Jumlah Closing:1
Paket 1: 
Paket 2: 
Paket 3: 
Paket 4: 
Paket 5: 
Repeat Paket 1:1
Repeat Paket 2: 
Repeat Paket 3: 
Repeat Paket 4: 
Repeat Paket 5: 
Catatan:</t>
  </si>
  <si>
    <t>Trigger: #inputorder#
Data Pesanan Jasa Iklan UMKM
Data Pemesan
----
Tanggal: 9-Jan-2026
Nama: Abu Fadhillah 
Nama Usaha: E.O RSQ
Jenis Usaha: Pelatihan terapi holistik 
No Whatsapp Bisnis: 6281260058715
Alamat: Jalan Pertahanan Patumbak 2 pasar 5 Deli Serdang Sumut 
Durasi: 5
Deskripsi produk/jasa: "🚀 TINGKATKAN SKILL &amp; VALUE BISNIS TERAPI ANDA KE LEVEL PROFESIONAL!
Pernah merasa teknik terapi Anda jalan di tempat? Atau ingin punya layanan "High-Value" yang paling dicari klien saat ini?
Dunia kecantikan dan kesehatan terus berkembang! Jangan sampai kompetitor Anda melangkah lebih jauh. Saatnya Anda menguasai Training Skill Profesional: Bekam Kecantikan &amp; Akupoin Estetika! 💎✨
Kenapa Event Ini WAJIB Anda Ikuti?
Bukan sekadar teori, kami menghadirkan kombinasi teknik pengobatan tradisional dan estetika modern yang sudah terbukti meningkatkan omzet para praktisi.
🔥 INVESTASI TERBAIK UNTUK KARIR ANDA:
Kami menyediakan dua pilihan fleksibel sesuai kebutuhan Anda:
1. OFFLINE (Praktek Langsung!)
📍 Lokasi: Hotel Raz, Jl. Dr. Mansyur Medan
💰 PROMO KHUSUS JANUARI: Rp 1.050.000,- (Daftar sekarang sebelum harga normal Rp 1.550.000,- saat bayar di tempat!)
🎁 Fasilitas Mewah: Makan + Coffee Break (2 Hari), 3 Lembar Sertifikat Resmi bernomor NPSN, Ruang Belajar Nyaman, Materi PDF, &amp; Bimbingan Alumni via WA Group.
2. ONLINE (Via ZOOM - Fleksibel &amp; Hemat!)
💰 PROMO JANUARI: Hanya Rp 550.000,-
🎁 Fasilitas: Sertifikat Resmi 3 Lembar, Rekaman Zoom (Bisa diputar ulang!), Materi PDF, &amp; Bimbingan WA Group.
🌟 BONUS SPESIAL (HANYA DI EVENT INI!):
Dapatkan materi eksklusif: "Massage Scar Tissue Release" (Teknik dari Inggris!). Ini adalah rahasia tambahan untuk hasil terapi yang lebih maksimal dan memuaskan klien Anda!
Menghadirkan Trainer Ahli:
Keynote Speaker: Miss Tri Ayu Eka Paksi, S.E., M.M.
Bintang Tamu &amp; Trainer Resmi LKHI BNSP: Muhammad N Ikhsan, A.Md, Akup., S.Tr., Akup (c)., S.Pd., M.I.Kom.
⏳ JANGAN TUNGGU KUOTA PENUH!
📅 Waktu: Sabtu - Ahad, 24 - 25 Januari 2026
⏰ Jam: 08:30 WIB - Selesai
SIAPA YANG HARUS IKUT?
Tenaga Medis, Praktisi Kesehatan, Mahasiswa Kesehatan, hingga Masyarakat Umum yang ingin serius terjun di dunia upgrading skill terapi profesional.
*Keunggulan usaha*: Sertifikat resmi ber nomor NPSN dan dilatih oleh trainer yang berpengalaman dan profesional 
1. 3 lembar sertifikat resmi 
2. ada bonus skill massage from inggris 
3. dilatih langsung oleh trainer resmi dan berpengalaman serta profesional 
4. dibina pasca pelatihan via grup wathsaap 
Data Target Iklan
----
Lokasi: Sumut-sumbar dan Pekanbaru 
Usia: 20-65 tahun 
Jenis kelamin: Semua 
Data Pembayaran
----
Total Bayar: 150000
Cs: Tika 
Status: Baru</t>
  </si>
  <si>
    <t>Memeriksa nomor WA setelah dibersihkan: '6281260058715' (Tipe: string)</t>
  </si>
  <si>
    <t>Cashflow saved for 6281260058715</t>
  </si>
  <si>
    <t>ORDER SAVED: ID-1767931980332</t>
  </si>
  <si>
    <t>Trigger: #inputorder#
Data Pesanan Jasa Iklan UMKM
Data Pemesan
----
Tanggal: 9-Jan-2026
Nama:ferman 
Nama Usaha: PT luyu manchinary group 
Jenis Usaha: penjualan alat berat dan alat pertanian 
Alamat usaha: jalan poros Makasar Maros dekat mie gacoan Maros 
No Whatsapp Bisnis:6282190622077
Durasi: 30
Deskripsi produk/jasa:
Keunggulan: hemat bahan bakar dan tenaga kuat 
Keunikan: dapat kredit tanpa bicheking 
Promo: dapatkan 0% bunga setiap pembelian wheel loader
Data Target Iklan
----
Lokasi: Indonesia 
Usia:32 tahun ke atas
Jenis kelamin: bebas 
Data Pembayaran
----
Total Bayar: 1000000
Cs: Maya
Status: Baru</t>
  </si>
  <si>
    <t>Memeriksa nomor WA setelah dibersihkan: '6282190622077' (Tipe: string)</t>
  </si>
  <si>
    <t>Cashflow saved for 6282190622077</t>
  </si>
  <si>
    <t>ORDER SAVED: ID-1767933842215</t>
  </si>
  <si>
    <t>Trigger: #inputorder#
Data Pesanan Jasa Iklan UMKM
Data Pemesan
----
Tanggal: 8-Jan-2026
Nama:edi
Nama Usaha:king auto ac 
Jenis Usaha:bengkel AC dan kapak kapak mobil
Alamat usaha: perumahan citra Pendawa asri blok e7 no10 batuaji
No Whatsapp Bisnis:62895603690686
Durasi: 5
Deskripsi produk/jasa:
Mekanik spesialis AC mobil dan kapak mobi
Buka bengkel dan pengalaman selama 15 tahun
Data Target Iklan
----
Lokasi:batuaji sekitarnya 
Usia:20 tahun ke atas
Jenis kelamin: bebas 
Data Pembayaran
----
Total Bayar: 197000
Cs: Maya
Status: Baru</t>
  </si>
  <si>
    <t>Memeriksa nomor WA setelah dibersihkan: '62895603690686' (Tipe: string)</t>
  </si>
  <si>
    <t>Cashflow saved for 62895603690686</t>
  </si>
  <si>
    <t>ORDER SAVED: ID-1767948621071</t>
  </si>
  <si>
    <t>Trigger: #inputorder#
Data Pesanan Jasa Iklan UMKM
Data Pemesan
Tanggal:9-Jan-2026
Nama: agung 
Nama Usaha: Rumah kavling Agung
Jenis Usaha: property 
No Whatsapp Bisnis:6281331117198
Alamat usaha: cemengkalang - sidoarjo kota ( depan perumahan puri indah) 
Deskripsi produk/jasa:
- rumah inhouse tanpa bank
- Ukuran 5x6,7 = harga cash 155jt selama promo bulan ini 
- DP 90jt angsuran 2jt/4th 
- 2 kamar tidur, 1 kamar mandi,Dapur, Ruang tamu, 
Carpot
- listrik 1300 watt
- sumur bor
- sertifikat SHM splitz pecah 
- tinggal pajak + balik nama asumsi 10jt 
-  jalan depan rumah 1,5 meter
Jalan utama 5,5 meter ( 2 mobil sisipan bisa ) 
Hub : agung
081331117198
Data Target Iklan 
Lokasi: sidoarjo
Usia: 25-60
Jenis kelamin: laki-laki dan perempuan
Durasi:7
Data Pembayaran
----
Total Bayar: 297000
Cs: Yuni
Status: Perpanjang</t>
  </si>
  <si>
    <t>Trigger: #inputlaporan#
Laporan CS Jasa Iklan UMKM
------- 
Nama CS: Yuni
Tanggal: 09-Jan-2025
Leads:
Jumlah Closing: 1
Paket 1: 
Paket 2: 
Paket 3: 
Paket 4: 
Paket 5: 
Repeat Paket 1: 1
Repeat Paket 2: 
Repeat Paket 3: 
Repeat Paket 4: 
Repeat Paket 5: 
Catatan:</t>
  </si>
  <si>
    <t>Trigger: #inputorder#
Data Pesanan Jasa Iklan UMKM
Data Pemesan
Tanggal:10-Jan-2026
Nama: Yudi Susanto 
Nama Usaha: Bekam Muslimah 
Jenis Usaha: Bekam
No Whatsapp Bisnis:628117108802
Alamat usaha:Jl Iskandar Ong RT. 06 RW 03 Kel timbul Rejo Curup
Deskripsi produk/jasa:
Pengobatan tradisional dengan metode Bekam dan Akupuntur, dilakukan oleh tenaga kesehatan (nakes)
Peralatan kami steril dan 1 kali pakai
Menerima pasien pria dan wanita mengobati berbagai keluhan kesehatan dan menerima pasien stroke dan syaraf terjepit
*Keunggulan usaha (wajib):*
*keunikan usaha (wajib):*
Promo:
Data Target Iklan 
Lokasi: Curup dan sekitarnya 
Usia:12-70
Jenis kelamin: semua 
Durasi:5
Data Pembayaran
----
Total Bayar: 197000
Cs: Yuni
Status: Perpanjang</t>
  </si>
  <si>
    <t>ORDER UPDATED: UPDATE-ID-1767323239248</t>
  </si>
  <si>
    <t>Trigger: #inputlaporan#
Laporan CS Jasa Iklan UMKM
------- 
Nama CS: Tika
Tanggal: 09-Jan-2025
Leads:
Jumlah Closing: 1
Paket 1: 1
Paket 2: 
Paket 3: 
Paket 4: 
Paket 5: 
Repeat Paket 1: 
Repeat Paket 2:
Repeat Paket 3: 
Repeat Paket 4: 
Repeat Paket 5: 
Catatan:</t>
  </si>
  <si>
    <t>Trigger: #inputorder#
Data Pesanan Jasa Iklan UMKM
Data Pemesan
----
Tanggal: 10-Jan-2026
Nama: H Ir Aprizal
Nama Usaha: PT karya cipta tecture 
Jenis Usaha: jasa design dan pelaksanaan bangunan gedung 
No Whatsapp Bisnis: 628132211405
Alamat: Jalan Papanggo 2C RT 01 RW 06 
Durasi: 14
Deskripsi produk/jasa: melayani jasa bangun rumah, kos kosan, kantor, pabrik, ruko, rumah ibadah dll 
*Keunggulan usaha*: budget bisa menyesuaikan dengan kondisi keuangan owner
Data Target Iklan
----
Lokasi: Jabodetabek 
Usia: 18-70 tahun 
Jenis kelamin: semua
Data Pembayaran
----
Total Bayar: 550000
Cs: Tika 
Status: Perpanjang</t>
  </si>
  <si>
    <t>ORDER UPDATED: UPDATE-ID-1766561202892</t>
  </si>
  <si>
    <t>Trigger: #inputorder#
Data Pesanan Jasa Iklan UMKM
Data Pemesan
----
Tanggal: 10-Jan-2025
Nama: khafid ali
Nama Usaha: cv adam jaya construction
Jenis Usaha: desain dan bangun
No Whatsapp Bisnis:6281283325291
Alamat usaha: perum vila gading permai b3 no 25 jabon mekar
Deskripsi produk/jasa: desain, bangun baru, renovasi rumah
Data Target Iklan
----
Lokasi:Parung, Bojongsari,sawangan Depok Bogor kota dan sekitarnya 
Usia: 17-55 thn
Jenis kelamin: laki laki dan perempuan 
Data iklan
----
Durasi:5
Data Pembayaran
----
Total Bayar:197000
Cs: Yuni
Status: Perpanjang</t>
  </si>
  <si>
    <t>Trigger: #inputorder#
Data Pesanan Jasa Iklan UMKM
Data Pemesan
----
Tanggal: 10-Jan-2026
Nama: RM Dony 
Nama Usaha: Raflesia Rental
Jenis Usaha: Jasa Transportasi 
No Whatsapp Bisnis:6281938384000
Durasi: 10
Deskripsi produk/jasa:
Keunggulan usaha: Melayani antar jemput bandara, rental mobil harian, mingguan, bulanan &amp; tahunan, dan jasa rental mobil+ driver 
Keunikan usaha: Bisa rental mobil lepas kunci dengan driver sekalian 
Data Target Iklan
----
Lokasi: Sumatra, Jawa, Jakarta, Jawa Barat, Bandar Lampung, serang, Palembang 
Usia: 25 tahun ke atas 
Jenis kelamin: laki laki dan perempuan 
Data Pembayaran
----
Total Bayar: 375000
Cs: Tika
Status: Perpanjang</t>
  </si>
  <si>
    <t>ORDER UPDATED: UPDATE-ID-1767877278509</t>
  </si>
  <si>
    <t>Trigger: #inputorder#
Data Pesanan Jasa Iklan UMKM
Data Pemesan
----
Tanggal: 10-Jan-2026
Nama:lisa
Nama Usaha: kredit toko mutiara 
Jenis Usaha: furniture dan elektronik 
Alamat usaha: showroom prioritas bengkong jlan Laksamana Bintan ruko stm aljabar blok c no 1&amp;2
No Whatsapp Bisnis:6282286712200
Durasi: 5
Deskripsi produk/jasa: kredit elektronik furniture 
Keunggulan: tanpa slik ojk/BI cheking,tenor panjang 15 bulan gratis pengiriman seluruh Batam
Keunikan: tanpa denda keterlambatan, survey online,one day service 
Promo: spesial awal tahun 
Data Target Iklan
----
Lokasi:Punggur,Nongsa,tiban,Batam center 
Usia:17-60 tahun
Jenis kelamin:laki dan perempuan 
Data Pembayaran
----
Total Bayar: 197000
Cs: Maya
Status: Baru</t>
  </si>
  <si>
    <t>Trigger: #inputlaporan#
Laporan CS Jasa Iklan UMKM
------- 
Nama CS: Yuni
Tanggal: 10-Jan-2025
Leads:
Jumlah Closing: 2
Paket 1: 
Paket 2: 
Paket 3: 
Paket 4: 
Paket 5: 
Repeat Paket 1: 2
Repeat Paket 2: 
Repeat Paket 3: 
Repeat Paket 4: 
Repeat Paket 5: 
Catatan:</t>
  </si>
  <si>
    <t>Trigger: #inputlaporan#
Laporan CS Jasa Iklan UMKM
------- 
Nama CS: Tika
Tanggal: 10-Jan-2025
Leads:
Jumlah Closing: 2
Paket 1: 
Paket 2: 
Paket 3: 
Paket 4: 
Paket 5: 
Repeat Paket 1: 
Repeat Paket 2: 1
Repeat Paket 3: 1
Repeat Paket 4: 
Repeat Paket 5: 
Catatan:</t>
  </si>
  <si>
    <t>Trigger: #inputorder#
Data Pesanan Jasa Iklan UMKM
Data Pemesan
----
Tanggal: 11-Jan-2026
Nama:Abdul Rasyid Pakaya 
Nama Usaha: Rumah Qur'an Ar -Ruzain kota Ternate 
Jenis Usaha:rumah Qur'an 
Alamat usaha: jalan jati lurus kel mangga dua RT 04/02 Ternate Selatan ( depan data grid turun kalau pertigaan pertama rumah kedua)
No Whatsapp Bisnis:6285241716176
Durasi: 5
Deskripsi produk/jasa: 
Keunggulan: mengunakan metode tilawati yang mudah dan menyenangkan seperti latihan talawah bahasa Arab dasar,hadis2 pendek,doa2 sehari dan doa shalat lengkap 
Data Target Iklan
----
Lokasi:kota Ternate 
Usia: bebas 
Jenis kelamin:bebas
Data Pembayaran
----
Total Bayar: 197000
Cs: Maya
Status: Baru</t>
  </si>
  <si>
    <t>ORDER SAVED: ID-1768129318262</t>
  </si>
  <si>
    <t>Trigger: #inputorder#
Data Pesanan Jasa Iklan UMKM
Data Pemesan
----
Tanggal: 11-Jan-2026
Nama: Muostofa 
Nama Usaha: Jasa Renovasi dan Bangunan Rumah 
Jenis Usaha: Jasa Renovasi dan Bangun Baru
No Whatsapp Bisnis: 6285730668168
Alamat: Gresik Jawa Timur 
Durasi: 10
Deskripsi produk/jasa: 
melayani segala macam bangunan, renovasi, bangun baru,pembuatan kanopi, pagar., kusen alumunium
*Keunggulan usaha (wajib):* amanah, bisamenyesuaikan budget dan bergaransi
*keunikan usaha (wajib):* melayani segala macam bangunan dan renovasi mulai dari yg kecil sampai gedung bertingkat
Promo:
Gratis survey dan konsultasi
Data Target Iklan
----
Lokasi: Gresik Kota, Menganti, Kedamean, Mojokerto 
Usia: 37-60 th
Jenis kelamin: laki-laki dan perempuan 
Data Pembayaran
----
Total Bayar: 375000
Cs: Isna
Status: Perpanjang</t>
  </si>
  <si>
    <t>ORDER UPDATED: UPDATE-ID-1766322300065</t>
  </si>
  <si>
    <t>Trigger: #inputorder#
Data Pesanan Jasa Iklan UMKM
Data Pemesan
Tanggal:11-Jan-2025
Nama:Ida Ayu Putu Oktiani
Nama Usaha: PT Uber Sari Cargo
Jenis Usaha: packing &amp; shoping (Cargo)
No Whatsapp Bisnis:6282147663578
Alamat usaha: Jl Seruni gang Brahma.2 Denpasar.
Workshop Jl Bypass ida bagus Mantra Br Pabean Gianyar Bali.
Deskripsi produk/jasa:
*Keunggulan usaha (wajib): -kualitas packing terbaik 
-Barang sampai ditempat tujuan dengan aman
-Pick up ,packing,handling barang customer 
*keunikan usaha (wajib):
Memberikan penawaran harga shipping terbaik
Promo:
Data Target Iklan 
Lokasi: Jl.Prof.Dr.Ida Bagus Mantra No. 368, Banjar Pabean Kec.Sukawati, Ketewel, Kec. Gianyar, Bali 80582
Usia:47
Jenis kelamin: Perempuan
Durasi:5
Data Pembayaran
----
Total Bayar: 197000
Cs: Yuni
Status:Baru</t>
  </si>
  <si>
    <t>Memeriksa nomor WA setelah dibersihkan: '6282147663578' (Tipe: string)</t>
  </si>
  <si>
    <t>Cashflow saved for 6282147663578</t>
  </si>
  <si>
    <t>ORDER SAVED: ID-1768140680574</t>
  </si>
  <si>
    <t>Trigger: #inputlaporan#
Laporan CS Jasa Iklan UMKM
------- 
Nama CS: Yuni
Tanggal: 11-Jan-2025
Leads:
Jumlah Closing: 1
Paket 1: 1
Paket 2: 
Paket 3: 
Paket 4: 
Paket 5: 
Repeat Paket 1: 
Repeat Paket 2: 
Repeat Paket 3: 
Repeat Paket 4: 
Repeat Paket 5: 
Catatan:</t>
  </si>
  <si>
    <t>Trigger: #inputorder#
Data Pesanan Jasa Iklan UMKM
Data Pemesan
Tanggal:12-Jan-2025
Nama: bapak ari
Nama Usaha: Ari kontraktor 
Jenis Usaha: pemborong bangunan 
No Whatsapp Bisnis:6281222788601
Alamat usaha: kp. Sindangsari no. 5 manggahang Baleendah Bandung 
Deskripsi produk/jasa:jasa bangun baru/renovasi rumah,ruko,pabrik, kitchen set, kanopi, atap baja,pagar dll
*Keunggulan usaha (wajib):*
*keunikan usaha (wajib):*
Promo:
Data Target Iklan 
Lokasi:Jawa Barat 
Usia: 20-50
Jenis kelamin: semua 
Durasi:5
Data Pembayaran
----
Total Bayar: 197000
Cs: Yuni
Status: Perpanjang</t>
  </si>
  <si>
    <t>Trigger: #inputorder#
Data Pesanan Jasa Iklan UMKM
Data Pemesan
----
Tanggal: 11-Jan-2025
Nama: Abdul Aziz 
Nama Usaha: Jasa Motif Profil Beton
Jenis Usaha: Jasa Motif
No Whatsapp Bisnis: 6282111000133
Durasi: 5
Deskripsi produk/jasa: 
Jasa Motif Profil Beton, Ornamen Beton, Bikin Taman, Mempercantik Rumah, Seni Ukir, AA Propil
Keunggulan: Harga di jamin murah kualitas bagus, kalau kualitas jelek ngga usah di bayar, harga terjangkau, harga tergantung ukuran.
Jenis yang di propil beton manual: jendela, tihang, lisplang, ornamen, taman dll
Data Target Iklan
----
Lokasi: Jakarta, Pulau Jawa (Jawa Tengah, Jawa Timur, Jawa Barat)
Usia: 30 th keatas 
Jenis kelamin: laki-laki dan perempuan 
Data Pembayaran
----
Total Bayar: 197000
Cs: Isna
Status: Perpanjang</t>
  </si>
  <si>
    <t>Trigger: #inputorder#
Data Pesanan Jasa Iklan UMKM
Data Pemesan
Tanggal:12-Jan-2026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</si>
  <si>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Trigger: #inputorder#
Data Pesanan Jasa Iklan UMKM
Data Pemesan
----
Tanggal: 12-Jan-2026
Nama: Solihin Mansur
Nama Usaha: Hemart Trans 
Jenis Usaha: Trevel 
No Whatsapp Bisnis: 6282298507962
Durasi: 5
Deskripsi produk/jasa: 
Travel, Travel Dor to Dor, Rental dll
Keunggulan: Amanah
Keunikan: Ready 24 Jam 
Data Target Iklan
----
Lokasi: Pangandaran, Banjar, Ciamis, Tasik, Sumedang, Garut, Bandung 
Usia: bebas
Jenis kelamin: laki-laki dan perempuan 
Data Pembayaran
----
Total Bayar: 197000
Cs: Isna
Status: Baru</t>
  </si>
  <si>
    <t>Memeriksa nomor WA setelah dibersihkan: '6282298507962' (Tipe: string)</t>
  </si>
  <si>
    <t>Cashflow saved for 6282298507962</t>
  </si>
  <si>
    <t>ORDER SAVED: ID-1768230824629</t>
  </si>
  <si>
    <t>Trigger: #inputlaporan#
Laporan CS Jasa Iklan UMKM
------- 
Nama CS: Yuni
Tanggal: 12-Jan-2025
Leads:
Jumlah Closing: 2
Paket 1: 
Paket 2: 
Paket 3: 
Paket 4: 
Paket 5: 
Repeat Paket 1: 1
Repeat Paket 2: 1
Repeat Paket 3: 
Repeat Paket 4: 
Repeat Paket 5: 
Catatan:</t>
  </si>
  <si>
    <t>Trigger: #inputorder#
Data Pesanan Jasa Iklan UMKM
Data Pemesan
----
Tanggal: 12-Jan-2026
Nama: Rukmini 
Nama Usaha: Budi Interior 
Jenis Usaha: Interior 
No Whatsapp Bisnis: 6282159686991
Alamat: Lokasi Jayapura Sentani Alamat BTN Puskopad BLK k 8 
Durasi: 5
Deskripsi produk/jasa: 
Bidang interior kitchen set lemari backdrop tv
Bidang pengecetan interior nya wool molding dinding wpc pelapon 
Data Target Iklan
----
Lokasi: Jayapura, Sentani 
Usia: 25 th ke atas 
Jenis kelamin: laki-laki dan perempuan 
Data Pembayaran
----
Total Bayar: 197000
Cs: Isna
Status: Baru</t>
  </si>
  <si>
    <t>Memeriksa nomor WA setelah dibersihkan: '6282159686991' (Tipe: string)</t>
  </si>
  <si>
    <t>Cashflow saved for 6282159686991</t>
  </si>
  <si>
    <t>ORDER SAVED: ID-1768258214130</t>
  </si>
  <si>
    <t>Trigger: #inputorder#
Data Pesanan Jasa Iklan UMKM
Data Pemesan
Tanggal:13-Jan-2026
Nama: Rustoyo
Nama Usaha: BANDUNG AUTO FILM
Jenis Usaha: KACA FILM
No Whatsapp Bisnis:6287790276733
Alamat usaha: jln. Terusan Jakarta no. 360 , suka miskin , kec Arcamanik , Bandung , Jawa Barat , 40125
 Deskripsi produk/jasa:
Pusat kaca film terlengkap &amp; berkualitas di bandung 
By Produc :
- LLUMAR SUPERBLACK PREMIUM
- SOLARGARD BLACKPHANTOM PREMIIUM
- 3M AUTO FILM
- ICEBERG NIGHTVISION
- AC PREMIUM LUXURY
- SOLAR MASK
- SUN PROTEC 
Tips memilih kaca film , agar tidak salah pilih :
1. Pilihlah kaca film yang merk bahan terkenal ,  berkualitas , original 
2. Pilihlah bahan yang IRR ( Tolak panas) &amp; UVR ( Tolak sinar ultra violet ) nya tinggi , supaya tidak terlalu panas ke ruangan kabin
3. Sesuaikan tingkat kegelapannya ( 20% , 40% , 60% , 80% )
4. Pilihlah yng bergaransi 5 - 7 tahun
5. Pilihlah pandangan yang gelap dariluar , tetapi terang dari dalam ( night vision )
6. Pilihlah teknisi yng profesional &amp; berpengalaman supaya hasil pemasangan memuaskan
https://www.bandungautofilm.com
*Keunggulan usaha (wajib):*
*keunikan usaha (wajib):*
Promo: Diskon 10%
Data Target Iklan 
Lokasi: Bandung kota
Usia:18-65
Jenis kelamin:semua
Durasi:7
Data Pembayaran
----
Total Bayar: 297000
Cs: Yuni
Status: Perpanjang</t>
  </si>
  <si>
    <t>Trigger: #inputorder#
Data Pesanan Jasa Iklan UMKM
Data Pemesan
Tanggal:10-Des-2025
Nama: Ajma
Nama Usaha: AJMA PROPERTY 
Jenis Usaha: Kontraktor 
No Whatsapp Bisnis:6289678497690
Alamat usaha: Banjarmasin 
Deskripsi produk/jasa: melayani pembangunan rumah,kantor,sekolah kantor dll
-dari jasa sekaligus dgn bahan material
-harga dari 5 JT an permeter dari pondasi sampai siap huni
-dgn sistim pembayaran bertahap selama pembanguan
-lokasi dan spek yg anda ingin akan menentukan harga dan biaya pembangun 
*Keunggulan usaha (wajib):*
*keunikan usaha (wajib):*
Promo:
Data Target Iklan 
Lokasi: Banjarmasin dan sekitarnya 
Usia:25-60
Jenis kelamin:semua
Durasi:5
Data Pembayaran
----
Total Bayar: 197000
Cs: Yuni
Status: Perpanjang</t>
  </si>
  <si>
    <t>Trigger: #inputorder#
Data Pesanan Nyala Digital 
----
Data Pemesan
Nama: nafis
Nama Usaha: CALLWA ART DECORATIONS
Jenis Usaha: CALLIGRAPHY AND ARCHITECTURE ISLAMY
No Whatsapp Bisnis: 081227074313 (Nmer sama d WA yg ini)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</si>
  <si>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Memeriksa nomor WA setelah dibersihkan: '081227074313 (Nmer sama d WA yg ini)' (Tipe: string)</t>
  </si>
  <si>
    <t>Trigger: #inputorder#
Data Pesanan Nyala Digital 
----
Data Pemesan
Nama: nafis
Nama Usaha: CALLWA ART DECORATIONS
Jenis Usaha: CALLIGRAPHY AND ARCHITECTURE ISLAMY
No Whatsapp Bisnis: 6381227074313 (Nmer sama d WA yg ini)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</si>
  <si>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Memeriksa nomor WA setelah dibersihkan: '6381227074313 (Nmer sama d WA yg ini)' (Tipe: string)</t>
  </si>
  <si>
    <t>Trigger: #inputorder#
Data Pesanan Nyala Digital 
----
Data Pemesan
Nama: nafis
Nama Usaha: CALLWA ART DECORATIONS
Jenis Usaha: CALLIGRAPHY AND ARCHITECTURE ISLAMY
No Whatsapp Bisnis: 6281227074313 (Nmer sama d WA yg ini)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</si>
  <si>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Memeriksa nomor WA setelah dibersihkan: '6281227074313 (Nmer sama d WA yg ini)' (Tipe: string)</t>
  </si>
  <si>
    <t>Trigger: #inputorder#
Data Pesanan Nyala Digital 
----
Data Pemesan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</si>
  <si>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Memeriksa nomor WA setelah dibersihkan: '6281227074313' (Tipe: string)</t>
  </si>
  <si>
    <t>ERROR: Exception: The data you entered in cell U1076 violates the data validation rules set on this cell. Please enter one of the following values: Isna, Devi, Yuni, Rudi, Jeff, Ilham, Rokhma, Maya, Tika, Rina.</t>
  </si>
  <si>
    <t>Trigger: #inputorder#
Data Pesanan Jasa Iklan UMKM
Data Pemesan
----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</si>
  <si>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</si>
  <si>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Trigger: Data Pesanan Jasa Iklan UMKM
Data Pemesan
----
Tanggal: 13-jan-2026
Nama:HARIS
Nama Usaha:HUMAIROH TRAVEL SINJAI
Jenis Usaha:biro perjalanan ibada Umroh atau haji
No Whatsapp Bisnis:6285242640112
Alamat usaha: (Jalan pettapunggawae lita benteng mas blok A47 kab sinjai utara)
Durasi:5
Deskripsi produk/jasa:
*Keunggulan usaha (wajib):*memberikan pelayanan terbaik kepada jamaah Umroh , Amanah dan profesional
*keunikan usaha (wajib):*
Promo: promo Umroh Romadhan
Data Target Iklan 
----
Lokasi:kab sinjai , kajuara
Usia:25-60 tahun
Jenis kelamin:laki laki dan perempuan
Data Pembayaran
----
Total Bayar: 197000
Cs: asti
Status: baru</t>
  </si>
  <si>
    <t>Trigger: #inputorder#
Data Pesanan Jasa Iklan UMKM
Data Pemesan
----
Tanggal: 13-jan-2026
Nama:HARIS
Nama Usaha:HUMAIROH TRAVEL SINJAI
Jenis Usaha:biro perjalanan ibada Umroh atau haji
No Whatsapp Bisnis:6285242640112
Alamat usaha: (Jalan pettapunggawae lita benteng mas blok A47 kab sinjai utara)
Durasi:5
Deskripsi produk/jasa:
*Keunggulan usaha (wajib):*memberikan pelayanan terbaik kepada jamaah Umroh , Amanah dan profesional
*keunikan usaha (wajib):*
Promo: promo Umroh Romadhan
Data Target Iklan 
----
Lokasi:kab sinjai , kajuara
Usia:25-60 tahun
Jenis kelamin:laki laki dan perempuan
Data Pembayaran
----
Total Bayar: 197000
Cs: asti
Status: baru</t>
  </si>
  <si>
    <t>Memeriksa nomor WA setelah dibersihkan: '6285242640112' (Tipe: string)</t>
  </si>
  <si>
    <t>Cashflow saved for 6285242640112</t>
  </si>
  <si>
    <t>ORDER SAVED: ID-1768297397831</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</si>
  <si>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</si>
  <si>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Trigger: #inputorder#
Data Pesanan Jasa Iklan UMKM
Data Pemesan
----
Tanggal: 13-Jan-2026
Nama: nafis
Nama Usaha: CALLWA ART DECORATIONS
Jenis Usaha: CALLIGRAPHY AND ARCHITECTURE ISLAMY
No Whatsapp Bisnis :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
Data Pembayaran
----
Total Bayar: 375000
Cs: Asti
Status: Baru</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</si>
  <si>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laki-laki 
Data Pembayaran
----
Total Bayar: 375000
Cs: Asti
Status: Baru</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</si>
  <si>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sluruh Indonesia
Usia: bebas (orang dwasa) 
Jenis kelamin: laki-laki 
Data Pembayaran
----
Total Bayar: 375000
Cs: Asti
Status: Baru</t>
  </si>
  <si>
    <t>Trigger: #inputorder#
Data Pesanan Jasa Iklan UMKM
Data Pemesan
----
Tanggal: 13-Jan-2026
Nama:Nafis
Nama Usaha:CALLWA ART DECORATIONS
Jenis Usaha:CALLIGRAPHY AND ARCHITECTURE ISLAMY 
Alamat usaha: jalan karang Tengah RT 03 RW 01 tugu wetan wonowoso kecamatan Karangtengah kabupaten Demak Jawa Tengah 59561
No Whatsapp Bisnis:
Durasi: 10
Deskripsi produk/jasa: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seluruh Indonesia 
Usia:bebas ( orang dewasa)
Jenis kelamin: laki-laki 
Data Pembayaran
----
Total Bayar: 375000
Cs: Asti
Status: Baru</t>
  </si>
  <si>
    <t>Memeriksa nomor WA setelah dibersihkan: 'Durasi: 10' (Tipe: string)</t>
  </si>
  <si>
    <t>Trigger: #inputorder#
Data Pesanan Jasa Iklan UMKM
Data Pemesan
----
Tanggal: 13-Jan-2026
Nama:Nafis
Nama Usaha:CALLWA ART DECORATIONS
Jenis Usaha:CALLIGRAPHY AND ARCHITECTURE ISLAMY 
Alamat usaha: jalan karang Tengah RT 03 RW 01 tugu wetan wonowoso kecamatan Karangtengah kabupaten Demak Jawa Tengah 59561
No Whatsapp Bisnis:6281227074313
Durasi: 10
Deskripsi produk/jasa: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seluruh Indonesia 
Usia:bebas ( orang dewasa)
Jenis kelamin: laki-laki 
Data Pembayaran
----
Total Bayar: 375000
Cs: Asti
Status: Baru</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</si>
  <si>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Seluruh Indonesia
Usia: bebas (orang dewasa) 
Jenis kelamin: laki-laki 
Data Pembayaran
----
Total Bayar: 375000
Cs: Asti
Status: Baru</t>
  </si>
  <si>
    <t>Trigger: #inputorder#
Data Pesanan Jasa Iklan UMKM
Data Pemesan
----
Tanggal: 13-Jan-2026
Nama:Nafis
Nama Usaha:CALLWA ART DECORATIONS
Jenis Usaha:CALLIGRAPHY AND ARCHITECTURE ISLAMY 
Alamat usaha: jalan karang Tengah RT 03 RW 01 tugu wetan wonowoso kecamatan Karangtengah kabupaten Demak Jawa Tengah 59561
No Whatsapp Bisnis:6281227074313
Durasi: 10
Deskripsi produk/jasa: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seluruh Indonesia 
Usia:bebas ( orang dewasa)
Jenis kelamin: laki-laki 
Data Pembayaran
----
Total Bayar: 375000
Cs: Isna
Status: Baru</t>
  </si>
  <si>
    <t>ORDER UPDATED: UPDATE-ORD-1091</t>
  </si>
  <si>
    <t>Trigger: #inputorder#
Data Pesanan Jasa Iklan UMKM
Data Pemesan
----
Tanggal: 13-Jan-2026
Nama: Nafis 
Nama Usaha: CALLWA ART DECORATIONS
Jenis Usaha: CALLIGRAPHY AND ARCHITECTURE ISLAMY
No Whatsapp Bisnis: 6281227074313
Alamat usaha: Jl. Karang Tengah, RT.03/RW.01, Tugu Wetan, Wonowoso, Kec. Karangtengah, Kabupaten Demak, Jawa Tengah 59561
Durasi: 10
Deskripsi produk/jasa:
*Keunggulan usaha (wajib):*🔹 Material Modern &amp; Berkualitas Tinggi
Menggunakan PVC pilihan yang kuat, ringan, dan tahan lama—tidak mudah retak, lapuk, atau terpengaruh kelembapan masjid.
🔹 Detail Presisi &amp; Estetika Tinggi
Mampu menghasilkan ornamen mihrab, plafon, kaligrafi, dan motif Islami dengan detail tajam, rapi, dan berkelas.
🔹 Tampilan Elegan &amp; Islami Modern
Perpaduan desain arsitektural Islami dengan sentuhan modern, menjadikan interior masjid lebih khusyuk, indah, dan bernilai estetika tinggi.
🔹 Pengerjaan Rapi &amp; Profesional
Dikerjakan oleh tenaga berpengalaman dengan standar kerja presisi—mulai dari desain, produksi, hingga pemasangan.
🔹 Efisien Waktu &amp; Biaya
Material PVC lebih cepat diproduksi dan dipasang, sehingga menghemat waktu pengerjaan tanpa mengurangi kualitas hasil akhir.
🔹 Custom Desain Sesuai Kebutuhan Masjid
Bebas request ukuran, motif, warna, dan konsep—disesuaikan dengan karakter masjid, mushola, maupun interior Islami modern.
🔹 Perawatan Mudah &amp; Tahan Lama
Mudah dibersihkan, minim perawatan, dan cocok untuk penggunaan jangka panjang.
*keunikan usaha (wajib):*Menghadirkan dekorasi masjid berbahan PVC dengan sentuhan seni Islami dan presisi arsitektural.
Setiap karya dirancang khusus, dikerjakan profesional, dan ditujukan untuk menghadirkan keindahan yang khusyuk, rapi, dan bernilai jangka panjang.
Promo: 
Percantik masjid di bulan penuh berkah dengan dekorasi Islami berbahan PVC yang rapi, elegan, dan tahan lama.
Solusi dekorasi mihrab, plafon, dan ornamen Islami untuk menghadirkan suasana ibadah yang lebih khusyuk.
✨ Harga spesial Ramadhan
✨ Desain custom sesuai konsep masjid
✨ Pengerjaan profesional &amp; tepat waktu
Ramadhan lebih bermakna dengan masjid yang indah dan tertata.
Data Target Iklan 
----
Lokasi: Seluruh Indonesia
Usia: bebas (orang dewasa) 
Jenis kelamin: laki-laki 
Data Pembayaran
----
Total Bayar: 375000
Cs: Isna
Status: Baru</t>
  </si>
  <si>
    <t>Trigger: #inputlaporan#
Laporan CS Jasa Iklan UMKM
------- 
Nama CS: Yuni
Tanggal: 13-Jan-2025
Leads:
Jumlah Closing: 2
Paket 1: 
Paket 2: 
Paket 3: 
Paket 4: 
Paket 5: 
Repeat Paket 1: 2
Repeat Paket 2: 
Repeat Paket 3: 
Repeat Paket 4: 
Repeat Paket 5: 
Catatan:</t>
  </si>
  <si>
    <t>Trigger: #inputorder#
Data Pesanan Jasa Iklan UMKM
Data Pemesan
----
Tanggal: 13-Jan-2026
Nama: Budhi 
Nama Usaha:alkana store 
Jenis Usaha: British propolis 
No Whatsapp Bisnis:6281390004341
Durasi: 10
Deskripsi produk/jasa:
🎉 EDISI SPESIAL Kuliah “Sebulan Jadi Pengusaha”
🌟 Bersama Dude Herlino!
💸 100% gratis | sudah 7 batch sukses!
Ingin mulai bisnis tapi bingung dari mana?
Atau ingin belajar langsung dari sosok inspiratif yang berpengalaman di dunia dakwah dan bisnis?
✨ Kini saatnya upgrade ilmu dan semangatmu bersama para mentor luar biasa:
🎤 Dude Herlino  – Artis &amp; entrepreneur muslim
📘 Ippho Santosa – Penulis bestseller 7 Keajaiban Rezeki
🕌 Dr. Amir Faishol – Juri Hafidz Indonesia
💼 Mr. Joss – Founder Pengusaha Pencinta Qur’an
📢 Habib Nabiel – Pendakwah nasional
💻 8 sesi via Zoom
🗓 Mulai 7 Februari  2025
🕕 Setiap Sabtu &amp; Ahad, pukul 06.00 WIB
💸 Gratis tanpa syarat
🎯 Sudah 7 batch sukses diikuti ribuan peserta dari seluruh Indonesia.
Sekarang giliran kamu ikut edisi spesial ini — belajar langsung dari sosok-sosok hebat yang memadukan iman dan bisnis.
🔥 Kuota terbatas, jangan sampai ketinggalan!
📲
Data Target Iklan
----
Lokasi:kota besar Indonesia
Usia:30- 55 tahub
Jenis kelamin:laki dan perempuan 
Data Pembayaran
----
Total Bayar: 375000
Cs: Maya
Status: Baru</t>
  </si>
  <si>
    <t>Memeriksa nomor WA setelah dibersihkan: '6281390004341' (Tipe: string)</t>
  </si>
  <si>
    <t>Cashflow saved for 6281390004341</t>
  </si>
  <si>
    <t>ORDER SAVED: ID-1768344775482</t>
  </si>
  <si>
    <t>Trigger: #inputorder#
Data Pesanan Jasa Iklan UMKM
Data Pemesan
Tanggal:14-Jan-2026
Nama:Yasmin
Nama Usaha: Yasmine health staycation 
Jenis Usaha: health staycation
No Whatsapp Bisnis:6282265277099
Alamat usaha: Jalan jeprah no 69 Palasari Cipanas Cianjur Jawa Barat
Deskripsi produk/jasa:
3 days pain free on the weekend.
Jumat Sabtu Minggu
*Keunggulan usaha (wajib):*
Keunggulan usaha 
1 Tekhnologi kedokteran intervensi nyeri dari Jerman dan Rusia &gt;&gt; sekali datang nyeri hilang ...sekali talaksana nyeri reda .satu satunya di Jabodetabek 
2 merangsang regenerasi perbaikan jaringan yang rusak penyebab nyeri kronis berkepanjangan.BUKAN HANYA SEKEDAR TARGET BEBAS NYERI .
3.TAK PERLU OPERASI .CUKUP 30 MENIT ..PERBAIKAN NYERI LANGSUNG DAPAT DIRASAKAN DI KEDATANGAN KE 1 
4.PROSEDUR TANPA PERLU BIUS UMUM DAN PASIEN SADAR ,RASA SAKIT SANGAT MINIMAL
5.PENGALAMAN 15 TAHUN .RIBUAN PASIEN NYERI LUTUT DAN NYERI SARAF KEJEPIT TELAH DITANGANI 
6.MURAH , BERKUALITAS INTERNASIONAL 
7.PASIEN SELESAI TINDAKAN LANGSUNG PULANG DAN  BERAKTIVITAS 
8 .TIDAK ADA PANTANGAN DALAM PROSES TINDAKAN
*keunikan usaha(wajib):* Keunikan usaha 
1 Tekhnologi stimulasi ke aktivasi stem Cell endogen ( alamiah tubuh pasien )
2.satu satunya di Jabodetabek 
3 tak perlu masuk ke kamar operasi 
4.cukup rawat jalan 
5 .hasil langsung dirasakan 95 persen di kedatangan ke 1 
Promo:
Data Target Iklan 
Lokasi: Indonesia, Malaysia 
Usia:50keatas
Jenis kelamin: semua 
Durasi:5
Data Pembayaran
----
Total Bayar: 197000
Cs: Yuni
Status: Perpanjang</t>
  </si>
  <si>
    <t>ORDER UPDATED: UPDATE-ORD-1418</t>
  </si>
  <si>
    <t>Trigger: #inputlaporan#
Laporan CS Jasa Iklan UMKM
------- 
Nama CS: Yuni
Tanggal: 14-Jan-2025
Leads:
Jumlah Closing: 1
Paket 1: 
Paket 2: 
Paket 3: 
Paket 4: 
Paket 5: 
Repeat Paket 1: 1
Repeat Paket 2: 
Repeat Paket 3: 
Repeat Paket 4: 
Repeat Paket 5: 
Catatan:</t>
  </si>
  <si>
    <t>Trigger: #inputorder#
Data Pesanan Jasa Iklan UMKM
Data Pemesan
----
Tanggal: 16-Jan-2026
Nama: Bang Zali
Nama Usaha: Cv zhafira pool 
Jenis Usaha: Proyek kolam renang dan renovasi dan perawatan kolam renang 
No Whatsapp Bisnis: 6281990865975
Alamat usaha: Jalan Raya Serang Bitung Kaya RT 04 RW 02 Kecamatan Cikupa Kabupaten Tangerang Banten 
Durasi: 10
Deskripsi produk/jasa: Pembuatan kolam renang, Renovasi kolam renang dan perawatan kolam renang
*Keunggulan usaha (wajib)*: Teknisi berpengalaman, harga terjangkau 
Data Target Iklan
----
Lokasi: Jabodetabek 
Usia: semua
Jenis kelamin: semua
Data Pembayaran
----
Total Bayar: 375000
Cs: Tika 
Status: Perpanjang</t>
  </si>
  <si>
    <t>Trigger: #inputorder#
Data Pesanan Jasa Iklan UMKM
Data Pemesan
Tanggal:16-Jan-2026
Nama: Neneng Lestari  Ningrum
Nama Usaha: syahdu massage
Jenis Usaha: massage
No Whatsapp Bisnis:6285385070717
Alamat usaha:
Deskripsi produk/jasa: Terapis profesional dan bersertifikat 
melayani: pijat sehat,pijat tradisional,bekam, refleksi,totok wajah,kop kering,kerokan dll
*Keunggulan usaha (wajib):*
*keunikan usaha (wajib):Refleksi khusus panggilan*
Promo:
Data Target Iklan 
Lokasi: bogor kota
Usia: 18-55
Jenis kelamin: pria/ wanita
Durasi:5
Data Pembayaran
----
Total Bayar: 197000
Cs: Yuni
Status: Perpanjang</t>
  </si>
  <si>
    <t>Trigger: #inputorder#
Data Pesanan Jasa Iklan UMKM
Data Pemesan
----
Tanggal: 16-Jan-2026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Durasi:10
Data Pembayaran
----
Total Bayar: 375000
Cs: Yuni
Status: Perpanjang</t>
  </si>
  <si>
    <t>Trigger: #inputlaporan#
Laporan CS Jasa Iklan UMKM
------- 
Nama CS: Yuni
Tanggal: 16-Jan-2025
Leads:
Jumlah Closing: 2
Paket 1: 
Paket 2: 
Paket 3: 
Paket 4: 
Paket 5: 
Repeat Paket 1: 1
Repeat Paket 2: 1
Repeat Paket 3: 
Repeat Paket 4: 
Repeat Paket 5: 
Catatan:</t>
  </si>
  <si>
    <t>Trigger: #inputorder#
Data Pesanan Jasa Iklan UMKM
Data Pemesan
----
Tanggal: 17-Jan-2026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</si>
  <si>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#inputorder#
Data Pesanan Jasa Iklan UMKM
Data Pemesan
----
Tanggal: 17-Jan-2026
Nama: Suroto 
Nama Usaha: Arsitek, Kontraktor 
Jenis Usaha: jasa bangun rumah 
No Whatsapp Bisnis: 6285602235618
Alamat: Andalan group, ngiliran, Panekan, magetan
Durasi: 10
Deskripsi produk/jasa: Jasa bangun rumah, kantor, kos kosan, renovasi, interior 
*Keunggulan usaha*: Melayani dengan sepenuh hati, Melayani segala macam bangunan dan renovasi
*Keunikan usaha*: dikerjakan oleh tim yang profesional 
Data Target Iklan
----
Lokasi: Magetan, Madiun, Ponorogo, Ngawi
Usia: 25 tahun keatas 
Jenis kelamin: Semua 
Data Pembayaran
----
Total Bayar: 375000
Cs: Tika 
Status: Perpanjang</t>
  </si>
  <si>
    <t>ORDER UPDATED: UPDATE-ID-1766450945118</t>
  </si>
  <si>
    <t>Trigger: #inputorder#
Data Pesanan Jasa Iklan UMKM
Data Pemesan
----
Tanggal: 17-Jan-2026
Nama: khafid ali
Nama Usaha: cv adam jaya construction
Jenis Usaha: desain dan bangun
No Whatsapp Bisnis:6281283325291
Alamat usaha: perum vila gading permai b3 no 25 jabon mekar
Deskripsi produk/jasa: desain, bangun baru, renovasi rumah
Data Target Iklan
----
Lokasi:Parung, Bojongsari,sawangan Depok Bogor kota dan sekitarnya 
Usia: 17-55 thn
Jenis kelamin: laki laki dan perempuan 
Data iklan
----
Durasi:5
Data Pembayaran
----
Total Bayar:197000
Cs: Yuni
Status: Perpanjang</t>
  </si>
  <si>
    <t>Trigger: #inputlaporan#
Laporan CS Jasa Iklan UMKM
------- 
Nama CS: Yuni
Tanggal: 17-Jan-2025
Leads:
Jumlah Closing: 2
Paket 1: 
Paket 2: 
Paket 3: 
Paket 4: 
Paket 5: 
Repeat Paket 1: 1
Repeat Paket 2: 1
Repeat Paket 3: 
Repeat Paket 4: 
Repeat Paket 5: 
Catatan:</t>
  </si>
  <si>
    <t>Trigger: #inputlaporan#
Laporan CS Jasa Iklan UMKM
------- 
Nama CS: Tika
Tanggal: 17-Jan-2025
Leads:
Jumlah Closing: 1
Paket 1: 
Paket 2: 
Paket 3: 
Paket 4: 
Paket 5: 
Repeat Paket 1: 
Repeat Paket 2: 1
Repeat Paket 3: 
Repeat Paket 4: 
Repeat Paket 5: 
Catatan:</t>
  </si>
  <si>
    <t>Trigger: #inputorder#
Data Pesanan Jasa Iklan UMKM
Data Pemesan
----
Tanggal: 16-Jan-2026
Nama: Samidi
Nama Usaha: Samidi Plafon PVC 
Jenis Usaha: Pemasangan Plavon 
No Whatsapp Bisnis: 6285210107607
Durasi: 7
Deskripsi produk/jasa: 
Menerima jasa pemasangan plafon dengan segala model pemasangan amanah dan konsisten 
Keunggulan: bahan kualitas premium 
Keunikan: membuat karya plafon dengan sesuai request customer 
Promo: gratis pemasangan lampu 
Data Target Iklan
----
Lokasi: Muktisari 
Usia: 35-60 th
Jenis kelamin: laki-laki dan perempuan 
Data Pembayaran
----
Total Bayar: 297000
Cs: Isna
Status: Perpanjang</t>
  </si>
  <si>
    <t>Memeriksa nomor WA setelah dibersihkan: '6285210107607' (Tipe: string)</t>
  </si>
  <si>
    <t>ORDER UPDATED: UPDATE-ORD-80</t>
  </si>
  <si>
    <t>Trigger: #inputorder#
Data Pesanan Jasa Iklan UMKM
Data Pemesan
----
Tanggal: 17-Jan-2026
Nama: Nasran Nasir
Nama Usaha: Sehat Holistik Alfathan &amp; Homecare 
Jenis Usaha: Pijat Tradisional 
No Whatsapp Bisnis: 6287888330007
Alamat: Lapangan Belakang Apotek Kimia Farma Jl Palagan Tentara Pelajar 
Durasi: 5
Deskripsi produk/jasa:
1. Trigger Point Dry Needling:
- "Melayani terapi dry needling untuk mengurangi rasa sakit (nyeri) dan meningkatkan fungsi tubuh dengan menggunakan jarum tipis untuk merangsang titik-titik tertentu pada tubuh."
2. Akupunktur:
- "Melayani terapi akupunktur untuk meningkatkan keseimbangan tubuh dan mengurangi rasa sakit dengan menggunakan jarum tipis untuk merangsang titik-titik tertentu pada meridian tubuh."
3. Reposisi Tulang Sendi:
- "Melayani terapi reposisi tulang sendi untuk memperbaiki posisi tulang dan sendi yang tidak normal, sehingga mengurangi rasa sakit dan meningkatkan mobilitas."
4. Pijat Vitalitas:
- "Melayani pijat vital untuk meningkatkan energi dan keseimbangan tubuh, serta mengurangi stres dan kecemasan dengan menggunakan teknik pijat yang lembut dan efektif."
5. Pijat Cedera Olahraga:
- "Melayani pijat cedera olahraga untuk mengurangi rasa sakit dan peradangan pada cedera olahraga, serta meningkatkan fleksibilitas dan mobilitas dengan menggunakan teknik pijat yang khusus dirancang untuk atlet."
6. Pijat Thailand:
- "Melayani pijat Thailand untuk meningkatkan fleksibilitas dan keseimbangan tubuh, serta mengurangi stres dan kecemasan dengan menggunakan teknik pijat tradisional Thailand."
7. Refleksi:
- "Melayani terapi refleksi untuk meningkatkan keseimbangan tubuh dan mengurangi stres dengan menggunakan teknik pijat pada titik-titik tertentu pada kaki dan tangan yang terkait dengan organ-organ tubuh lainnya."
8. Guasha/Kerokan:
- "Melayani terapi guasha/kerokan untuk meningkatkan sirkulasi darah dan mengurangi peradangan dengan menggunakan alat khusus untuk menggosok dan merangsang kulit."
Dengan menawarkan deskripsi produk/jasa yang jelas dan efektif, Anda dapat membantu klien memahami layanan yang Anda tawarkan dan meningkatkan kepercayaan diri mereka dalam menggunakan layanan tersebut.
*Keunggulan usaha (wajib):* sudah sembuh beberapa pasien/klien mengalami kelelahan, pegal-pegal, nyeri leher, nyeri bahu (Frozen shoulder), nyeri punggung, Syaraf kejepit, Skiatika, hamstring, cedera olahraga, cedera pinggul, lutut, tumit, sakit kepala, migrain, vertigo, asam urat, insomnia, tukak lambung, muntah, diare, batuk
*keunikan usaha (wajib):* Terapi dilakukan oleh ahli yg profesional dan sudah pengalaman menangani berbagai macam keluhan, sudah banyak testimoni dan bersertifikat, atlet dan mahasiswa Akupunktur.
*Bisa kerumah Anda, kantoran, hotel, apartemen* 
Data Target Iklan
----
Lokasi: Sleman, Jogja
Usia: 14-70 th
Jenis kelamin: laki-laki dan perempuan 
Data Pembayaran
----
Total Bayar: 197000
Cs: Isna
Status: Perpanjang</t>
  </si>
  <si>
    <t>Memeriksa nomor WA setelah dibersihkan: '6287888330007' (Tipe: string)</t>
  </si>
  <si>
    <t>ORDER UPDATED: UPDATE-ORD-822</t>
  </si>
  <si>
    <t>Trigger: #inputorder#
Data Pesanan Jasa Iklan UMKM
Data Pemesan
----
Tanggal: 15-Jan-2026
Nama: Maniaka
Nama Usaha: Maniaka Catering 
Jenis Usaha: Catering 
No Whatsapp Bisnis: 08132699871
Durasi: 20
Deskripsi produk/jasa: 
Catering maniaka menyediakan juga prasmanan.nasi kotak. Nasi bungkus. Nasi tumpeng dll.
Keunggulan: 
Cepat, tepat waktu dan rasa yang enak
Murah dan Enak
Keunikan: semua jenis makanan nusantara bali, west japanis dll
Promo: semakin besar harga yg di ambil akan ada promo
Data Target Iklan
----
Lokasi: Bali (Badung, Denpasar, Gianyar, Tabanan, Klungkung, Karangasem)
Usia: bebas
Jenis kelamin: laki-laki dan perempuan 
Data Pembayaran
----
Total Bayar: 700000
Cs: Isna
Status: Perpanjang</t>
  </si>
  <si>
    <t>Memeriksa nomor WA setelah dibersihkan: '08132699871' (Tipe: string)</t>
  </si>
  <si>
    <t>Trigger: #inputorder#
Data Pesanan Jasa Iklan UMKM
Data Pemesan
----
Tanggal: 15-Jan-2026
Nama: Bang Banten
Nama Usaha: Rumah Sehat Bang Banten (Repeat Order)
Jenis Usaha: Terapi
No Whatsapp Bisnis: 6282172291579
Durasi: 10
Deskripsi produk/jasa: terapi stroke, saraf kejepit, asam urat, kolesterol, diabet, sakit sendi saraf dan tulang
Data Target Iklan
----
Lokasi: pekanbaru
Usia: 46 th
Jenis kelamin: laki-laki
Data Pembayaran
----
Total Bayar: 375000
Cs: Isna
Status: Perpanjang</t>
  </si>
  <si>
    <t>Memeriksa nomor WA setelah dibersihkan: '6282172291579' (Tipe: string)</t>
  </si>
  <si>
    <t>ORDER UPDATED: UPDATE-ORD-165</t>
  </si>
  <si>
    <t>Trigger: #inputorder#
Data Pesanan Jasa Iklan UMKM
Data Pemesan
----
Tanggal: 15-Jan-2026
Nama: Maniaka
Nama Usaha: Maniaka Catering 
Jenis Usaha: Catering 
No Whatsapp Bisnis: 628132699871
Durasi: 20
Deskripsi produk/jasa: 
Catering maniaka menyediakan juga prasmanan.nasi kotak. Nasi bungkus. Nasi tumpeng dll.
Keunggulan: 
Cepat, tepat waktu dan rasa yang enak
Murah dan Enak
Keunikan: semua jenis makanan nusantara bali, west japanis dll
Promo: semakin besar harga yg di ambil akan ada promo
Data Target Iklan
----
Lokasi: Bali (Badung, Denpasar, Gianyar, Tabanan, Klungkung, Karangasem)
Usia: bebas
Jenis kelamin: laki-laki dan perempuan 
Data Pembayaran
----
Total Bayar: 700000
Cs: Isna
Status: Perpanjang</t>
  </si>
  <si>
    <t>Memeriksa nomor WA setelah dibersihkan: '628132699871' (Tipe: string)</t>
  </si>
  <si>
    <t>Cashflow saved for 628132699871</t>
  </si>
  <si>
    <t>ORDER SAVED: ID-1768695576874</t>
  </si>
  <si>
    <t>Trigger: #inputorder#
Data Pesanan Jasa Iklan UMKM
Data Pemesan
----
Tanggal: 15-Jan-2026
Nama: Novi
Nama Usaha: Kharisma Filter
Jenis Usaha: Alat Penjernih Air Berkualitas 
No Whatsapp Bisnis: 6285893658659
Alamat: Jalan Raya Puri Asri, blok F3 no 6
Durasi: 10
Deskripsi produk/jasa:
Kharisma filter 
Mengerjakan instalasi 
1. Filter rumah tangga 
2. Instalasi mesin Demin
3. Instalasi mesin RO 
4.  Service dan penggantian media filter 
5. Supplier media 
     * Carbon aktif 
     * Manganese 
     * Aktif sand
     * Silica sand 
     * Ziolite
     * Resin cation anion
Kharisma filter mengatasi permasalahan air di rmh anda seperti 
1. Berbau
2. Keruh
3. Berminyak 
4. Lumut
5. Dll 
Kharisma filter tidak di ragukan kualitas nya , dengan harga yang terjangkau untuk semua kalangan dengan media filter terbaik.
Kharisma filter mengerjakan instalasi water treatment 
1. Pabrik
2. Apartement
3. Gedung perkantoran 
4. Hotel 
5.Rumah sakit 
6. Resort 
7.  Perumahan 
Dll
Keunggulan Usaha: Demineralisasi, mesin RO, alat penjernih air
Promo: Harga mulai dari 1.900.000
*Ada tambahan " Jasa penggantian media filter"  se-jabodetabek*
Data Target Iklan
----
Lokasi: Jabodetabek 
Usia: 20-65 th
Jenis kelamin: Laki-laki Dan Perempuan 
Data Pembayaran
----
Total Bayar: 375000
Cs: Isna 
Status: Perpanjang</t>
  </si>
  <si>
    <t>Trigger: #inputorder#
Data Pesanan Jasa Iklan UMKM
Data Pemesan
----
Tanggal: 14-Jan-2026
Nama: Ayni
Nama Usaha: Lucas Salon 
Jenis Usaha: Salon Kecantikan 
No Whatsapp Bisnis: 6287835601400
Alamat: Jl Gedongkuning 185 Pringgolayan Banguntapan Bantul 
Durasi: 5
Deskripsi produk/jasa: 
melayani: hair cut, treatment kepala ( rambut dan kulit kepala) , facial, bodyspa, make up, styling / penataan rambut, hair extension, eyelash, lentik bl mata, smoothing, keriting.
Keunggulan: di smoothing 
Keunikan: jasa terlengkap 
Promo: smoothing, paket hair cut dan creambath 
alamat 2: cabang   , jl. adisucipto km 7 ruko pernah janti  dan jl. gedongkuning 185 , Yogyakarta
Data Target Iklan
----
Lokasi: Area Pringgolayan Banguntapan Bantul Jogjakarta 
Usia: 17 th ke atas 
Jenis kelamin: laki-laki dan perempuan 
Data Pembayaran
----
Total Bayar: 197000
Cs: Isna
Status: Perpanjang</t>
  </si>
  <si>
    <t>ORDER UPDATED: UPDATE-ORD-818</t>
  </si>
  <si>
    <t>Trigger: #inputorder#
Data Pesanan Jasa Iklan UMKM
Data Pemesan
----
Tanggal: 15-Jan-2026
Nama: irmawan
Nama Usaha: Ud.sas harmonika 
Jenis Usaha: Bengkel las
No Whatsapp Bisnis: 081231954006
Durasi: 5
Alamat: Mojowarno kab.jombang 
Deskripsi produk/jasa: Pintu harmonika berkualitas 
*Keunggulan usaha*: Pintu harmonika kokoh dan tahan lama
*Keunikan usaha*: 
Promo: Dikerjakan tukang berpengalaman 
Data Target Iklan
----
Lokasi: Sulawesi 
Usia: 25-50 tahun 
Jenis kelamin: Laki laki
Data Pembayaran
----
Total Bayar: 197000
Cs: Isna
Status: Baru</t>
  </si>
  <si>
    <t>Memeriksa nomor WA setelah dibersihkan: '081231954006' (Tipe: string)</t>
  </si>
  <si>
    <t>Trigger: #inputorder#
Data Pesanan Jasa Iklan UMKM
Data Pemesan
----
Tanggal: 15-Jan-2026
Nama: irmawan
Nama Usaha: Ud.sas harmonika 
Jenis Usaha: Bengkel las
No Whatsapp Bisnis: 6281231954006
Durasi: 5
Alamat: Mojowarno kab.jombang 
Deskripsi produk/jasa: Pintu harmonika berkualitas 
*Keunggulan usaha*: Pintu harmonika kokoh dan tahan lama
*Keunikan usaha*: 
Promo: Dikerjakan tukang berpengalaman 
Data Target Iklan
----
Lokasi: Sulawesi 
Usia: 25-50 tahun 
Jenis kelamin: Laki laki
Data Pembayaran
----
Total Bayar: 197000
Cs: Isna
Status: Baru</t>
  </si>
  <si>
    <t>Memeriksa nomor WA setelah dibersihkan: '6281231954006' (Tipe: string)</t>
  </si>
  <si>
    <t>Cashflow saved for 6281231954006</t>
  </si>
  <si>
    <t>ORDER SAVED: ID-1768695672464</t>
  </si>
  <si>
    <t>Trigger: #inputorder#
Data Pesanan Jasa Iklan UMKM
Data Pemesan
Tanggal: 18-Jan-2026
Nama: Yulianto
Nama Usaha: CV. Arthamas Graha
Jenis Usaha: Jasa kontraktor bangunan
No Whatsapp Bisnis:6281328881949
Alamat usaha: Jl. Gerilya Timur no 8 Purwokerto kabupaten Bamyumas
Deskripsi produk/jasa:   CV. ARTHAMAS GRAHA melayani jasa konstruksi di berbagai sektor proyek, baik skala kecil maupun besar.
Didukung oleh tenaga ahli dan pengalaman luas, perusahaan kami berkomitmen memberikan hasil terbaik sesuai standar dan jadwal proyek.
*Keunggulan usaha (wajib):Bangun rumah berkualitas,dan kami siapkan desain nya ,harga mulai 2.9 juta atau harga bisa disesuaikan dg budget*
Promo: Free konsultasi dan free desain
Data Target Iklan 
Lokasi:Banyumas, Purbalingga
Usia: 30-55 
Jenis kelamin: laki-laki dan perempuan
Durasi:10
Data Pembayaran
----
Total Bayar: 375000
Cs: Yuni
Status: Perpanjang</t>
  </si>
  <si>
    <t>Memeriksa nomor WA setelah dibersihkan: '6281328881949' (Tipe: string)</t>
  </si>
  <si>
    <t>ORDER UPDATED: UPDATE-ORD-807</t>
  </si>
  <si>
    <t>Trigger: #inputorder#
Data Pesanan Jasa Iklan UMKM
Data Pemesan
----
Tanggal: 12-Jan-2026
Nama: Salman
Nama Usaha: Sarana Perkasa 
Jenis Usaha: Toko
No Whatsapp Bisnis: 6285722290661
Alamat: Katapang Bandung 
Durasi: 5
Deskripsi produk/jasa: 
Keunggulan: menyediakan besi dan baja dengan spek berkualitas dan harga relatif murah 
Promo: pembayaran bisa cod/titip supir 
Data Target Iklan
----
Lokasi: Bandung, Cimahi, Kbb
Usia: 30 th keatas 
Jenis kelamin: laki-laki 
Data Pembayaran
----
Total Bayar: 197000
Cs: Isna
Status: Baru</t>
  </si>
  <si>
    <t>ORDER SAVED: ID-1768747500177</t>
  </si>
  <si>
    <t>Trigger: #inputorder#
Data Pesanan Jasa Iklan UMKM
Data Pemesan
----
Tanggal: 18-Jan-2026
Nama: Teddy 
Nama Usaha: Deler Honda 
Jenis Usaha: Marketing 
No Whatsapp Bisnis: 6287861389777
Durasi: 5
Deskripsi produk/jasa: 
Silahkan yang mau ngajuin kredit motor/cash bia hubungi kami 
Promo: DP Murah dari 800rb
Data Target Iklan
----
Lokasi: Bekasi
Usia: bebas 
Jenis kelamin: laki-laki dan perempuan 
Data Pembayaran
----
Total Bayar: 197000
Cs: Isna
Status: Baru</t>
  </si>
  <si>
    <t>Memeriksa nomor WA setelah dibersihkan: '6287861389777' (Tipe: string)</t>
  </si>
  <si>
    <t>Cashflow saved for 6287861389777</t>
  </si>
  <si>
    <t>ORDER SAVED: ID-1768771321399</t>
  </si>
  <si>
    <t>Trigger: #inputlaporan#
Laporan CS Jasa Iklan UMKM
------- 
Nama CS: Yuni
Tanggal: 18-Jan-2025
Leads:
Jumlah Closing: 1
Paket 1: 
Paket 2: 
Paket 3: 
Paket 4: 
Paket 5: 
Repeat Paket 1: 
Repeat Paket 2: 1
Repeat Paket 3: 
Repeat Paket 4: 
Repeat Paket 5: 
Catatan:</t>
  </si>
  <si>
    <t>Trigger: #inputlaporan#
Laporan CS Jasa Iklan UMKM
------- 
Nama CS: Isna
Tanggal: 18-Jan-2025
Leads:
Jumlah Closing:1
Paket 1:1
Paket 2: 
Paket 3: 
Paket 4: 
Paket 5: 
Repeat Paket 1: 
Repeat Paket 2:
Repeat Paket 3: 
Repeat Paket 4: 
Repeat Paket 5: 
Catatan:</t>
  </si>
  <si>
    <t>Trigger: #inputorder#
Data Pesanan Jasa Iklan UMKM
Data Pemesan
----
Tanggal: 19-Jan-2026
Nama: MA Al-Islam Surakarta 
Nama Usaha: Kegiatan AMT (Achievement Motivation Training)
Jenis Usaha: Penyelenggaraan Seminar/Pelatihan Motivasi untuk pelajar SMP, MTS, &amp; SMA, MA, SMK dan Ponpes
No Whatsapp Bisnis: 6281904501876
Alamat: Jln Veteran 263 Serengan Surakarta Jawa Tengah 
Durasi: 30
Deskripsi produk/jasa: 
Siap mengisi kegiatan seminar motivasi dan pelatihan pemberdayaan diri di Lembaga prndidikan sperti : SMP, SMA, ponpes dll.
*Keunggulan usaha (wajib):AMT yang membantu pelajar berani mengenal dirinya, bukan sekadar mengejar prestasi.
*keunikan usaha (wajib):*
AMT saya adalah pelatihan yang membantu pelajar menemukan jati diri
yang merasa bingung dengan masa depannya
melalui refleksi nilai, pengalaman emosional, dan dialog bermakna
sehingga mereka berani menentukan arah hidup dan belajar dengan kesadaran
Promo: Diskon biaya sebesar 30% untuk bulan Januari - April 2026. 
Data Target Iklan
----
Lokasi: Jawa Tengah 
Usia: 25-65 th
Jenis kelamin: laki-laki dan perempuan 
Data Pembayaran
----
Total Bayar: 1000000
Cs: Isna
Status: Baru</t>
  </si>
  <si>
    <t>Memeriksa nomor WA setelah dibersihkan: '6281904501876' (Tipe: string)</t>
  </si>
  <si>
    <t>Cashflow saved for 6281904501876</t>
  </si>
  <si>
    <t>ORDER SAVED: ID-1768862936742</t>
  </si>
  <si>
    <t>Trigger: #inputorder#
Data Pesanan Jasa Iklan UMKM
Data Pemesan
Tanggal:20-Jan-2026
Nama: Ajma
Nama Usaha: AJMA PROPERTY 
Jenis Usaha: Kontraktor 
No Whatsapp Bisnis:6289678497690
Alamat usaha: Banjarmasin 
Deskripsi produk/jasa: melayani pembangunan rumah,kantor,sekolah kantor dll
-dari jasa sekaligus dgn bahan material
-harga dari 5 JT an permeter dari pondasi sampai siap huni
-dgn sistim pembayaran bertahap selama pembanguan
-lokasi dan spek yg anda ingin akan menentukan harga dan biaya pembangun 
*Keunggulan usaha (wajib):*
*keunikan usaha (wajib):*
Promo:
Data Target Iklan 
Lokasi: Banjarmasin dan sekitarnya 
Usia:25-60
Jenis kelamin:semua
Durasi:14
Data Pembayaran
----
Total Bayar: 550000
Cs: Yuni
Status: Perpanjang</t>
  </si>
  <si>
    <t>Trigger: #inputorder #
Data Pesanan Jasa Iklan UMKM
Data Pemesan
Tanggal:20-Jan-2026
Nama: Adi winoto
Nama Usaha:PT Garuda muda karya
Jenis Usaha: Perlengkapan alat dapur MBG
No Whatsapp Bisnis:6282261184459
Alamat usaha:
Ruko Podomoro Golf View
Blok B3-60
Jl Mohamad Thohir 
Cikuday,Bogor
Deskripsi produk/jasa:
Melayani pembelian alat2 dapur terlengkap untuk Dapur MBG
*Keunggulan usaha (wajib):*Ready Stock, Pembelian hari ini kirim hari ini keseluruhan Indonesia*
*keunikan usaha (wajib):*Pelayanan yg cepat, unit ready stock no inden*
Promo:*Pengiriman Gratis ke Seluruh Indonesia*
Data Target Iklan 
Lokasi: Seluruh Indonesia
Usia: min 25
Jenis kelamin:
Bebas
Durasi:14
Data Pembayaran
----
Total Bayar: 550000
Cs: Yuni
Status: Perpanjang</t>
  </si>
  <si>
    <t>ORDER UPDATED: UPDATE-ID-1767587718857</t>
  </si>
  <si>
    <t>Trigger: #inputlaporan#
Laporan CS Jasa Iklan UMKM
------- 
Nama CS: Yuni
Tanggal: 20-Jan-2025
Leads:
Jumlah Closing: 2
Paket 1: 
Paket 2: 
Paket 3: 
Paket 4: 
Paket 5: 
Repeat Paket 1: 
Repeat Paket 2: 
Repeat Paket 3: 2
Repeat Paket 4: 
Repeat Paket 5: 
Catatan:</t>
  </si>
  <si>
    <t>Trigger: #inputorder#
Data Pesanan Jasa Iklan UMKM
Data Pemesan
Tanggal:21-Jan-2026
Nama: Rustoyo
Nama Usaha: BANDUNG AUTO FILM
Jenis Usaha: KACA FILM
No Whatsapp Bisnis:6287790276733
Alamat usaha: jln. Terusan Jakarta no. 360 , suka miskin , kec Arcamanik , Bandung , Jawa Barat , 40125
 Deskripsi produk/jasa:
Pusat kaca film terlengkap &amp; berkualitas di bandung 
By Produc :
- LLUMAR SUPERBLACK PREMIUM
- SOLARGARD BLACKPHANTOM PREMIIUM
- 3M AUTO FILM
- ICEBERG NIGHTVISION
- AC PREMIUM LUXURY
- SOLAR MASK
- SUN PROTEC 
Tips memilih kaca film , agar tidak salah pilih :
1. Pilihlah kaca film yang merk bahan terkenal ,  berkualitas , original 
2. Pilihlah bahan yang IRR ( Tolak panas) &amp; UVR ( Tolak sinar ultra violet ) nya tinggi , supaya tidak terlalu panas ke ruangan kabin
3. Sesuaikan tingkat kegelapannya ( 20% , 40% , 60% , 80% )
4. Pilihlah yng bergaransi 5 - 7 tahun
5. Pilihlah pandangan yang gelap dariluar , tetapi terang dari dalam ( night vision )
6. Pilihlah teknisi yng profesional &amp; berpengalaman supaya hasil pemasangan memuaskan
https://www.bandungautofilm.com
*Keunggulan usaha (wajib):*
*keunikan usaha (wajib):*
Promo: Diskon 10%
Data Target Iklan 
Lokasi: Bandung kota
Usia:18-65
Jenis kelamin:semua
Durasi:7
Data Pembayaran
----
Total Bayar: 297000
Cs: Yuni
Status: Perpanjang</t>
  </si>
  <si>
    <t>Trigger: #inputlaporan#
Laporan CS Jasa Iklan UMKM
------- 
Nama CS: Yuni
Tanggal: 21-Jan-2026
Leads:
Jumlah Closing: 1
Paket 1: 
Paket 2: 
Paket 3: 
Paket 4: 
Paket 5: 
Repeat Paket 1: 1
Repeat Paket 2: 
Repeat Paket 3: 
Repeat Paket 4: 
Repeat Paket 5: 
Catatan:</t>
  </si>
  <si>
    <t>Trigger: #inputorder#
Data Pesanan Jasa Iklan UMKM
Data Pemesan
----
Tanggal: 22-Jan-2026
Nama: Yuli
Nama Usaha: BNETFIT
Jenis Usaha: INTERNET 
No Whatsapp Bisnis: 6281325505225
Durasi: 5 Day
Deskripsi produk/jasa: internet kosan, rumah, kantor, restoran, cafe 
Keunggulan usaha :
🌐 1. Koneksi Cepat dan Stabil
Bnetfit menggunakan teknologi fiber optik 100%, yang umumnya memberikan kecepatan dan kestabilan koneksi lebih baik dibandingkan teknologi DSL atau ADSL tradisional. Fiber optik juga mendukung streaming, browsing, kerja, atau sekolah online tanpa gangguan buffering berlebihan. �
📶 2. Unlimited &amp; Tanpa Kuota (Unlimited Data)
Layanan internet ini tidak menerapkan batasan kuota bulanan atau FUP (Fair Usage Policy), sehingga kamu bisa internet tanpa khawatir habisnya kuota setiap bulan. �
💸 3. Harga Terjangkau &amp; Pakai Flat
Bnetfit menyediakan paket internet dengan harga bulanan yang kompetitif, mulai dari paket rendah (misalnya sampai puluhan Mbps) hingga paket yang jauh lebih cepat, sesuai kebutuhan rumah atau bisnis kamu. �
🛠️ 4. Gratis Instalasi &amp; Perangkat Wifi
Banyak paket Bnetfit mencakup gratis pemasangan (instalasi) serta gratis peminjaman modem Wifi, jadi tidak perlu bayar biaya instalasi awal atau sewa modem tambahan. �
💁‍♂️ 5. Customer Service dan Dukungan Teknis
Layanan ini biasanya menyediakan layanan dukungan pelanggan (customer service) 24 jam, sehingga jika ada gangguan koneksi atau kebutuhan teknis bisa dibantu kapan saja. �
📍 6. Pilihan Paket Sesuai Kebutuhan
Bnetfit menawarkan beragam kecepatan dan paket, mulai dari yang cocok untuk penggunaan ringan (misalnya browsing &amp; sosial media) hingga paket untuk streaming dan gaming di banyak perangkat sekaligus. �
🖥️ 7. Cakupan Layanan Luas di Beberapa Kota
Walaupun awalnya populer di area seperti Bogor dan sekitarnya, Bnetfit juga hadir di kota-kota besar lain di Indonesia (Jakarta, Bekasi, Tangerang, Bali, Medan, Semarang, dan lainnya) untuk menjangkau lebih banyak pelanggan
Data Target Iklan
----
Lokasi: Denpasar dan sekitarnya, Tabanan,
Usia: 30-60 tahun
Jenis kelamin: laki
Data Pembayaran
----
Total Bayar: 197000
Cs: asti
Status: CRM</t>
  </si>
  <si>
    <t>Memeriksa nomor WA setelah dibersihkan: '6281325505225' (Tipe: string)</t>
  </si>
  <si>
    <t>Trigger: #inputorder#
Data Pesanan Jasa Iklan UMKM
Data Pemesan
----
Tanggal: 22-Jan-2026
Nama: Yuli
Nama Usaha: BNETFIT
Jenis Usaha: INTERNET 
No Whatsapp Bisnis: 6281325505225
Durasi: 5
Deskripsi produk/jasa: internet kosan, rumah, kantor, restoran, cafe 
Keunggulan usaha :
🌐 1. Koneksi Cepat dan Stabil
Bnetfit menggunakan teknologi fiber optik 100%, yang umumnya memberikan kecepatan dan kestabilan koneksi lebih baik dibandingkan teknologi DSL atau ADSL tradisional. Fiber optik juga mendukung streaming, browsing, kerja, atau sekolah online tanpa gangguan buffering berlebihan. �
📶 2. Unlimited &amp; Tanpa Kuota (Unlimited Data)
Layanan internet ini tidak menerapkan batasan kuota bulanan atau FUP (Fair Usage Policy), sehingga kamu bisa internet tanpa khawatir habisnya kuota setiap bulan. �
💸 3. Harga Terjangkau &amp; Pakai Flat
Bnetfit menyediakan paket internet dengan harga bulanan yang kompetitif, mulai dari paket rendah (misalnya sampai puluhan Mbps) hingga paket yang jauh lebih cepat, sesuai kebutuhan rumah atau bisnis kamu. �
🛠️ 4. Gratis Instalasi &amp; Perangkat Wifi
Banyak paket Bnetfit mencakup gratis pemasangan (instalasi) serta gratis peminjaman modem Wifi, jadi tidak perlu bayar biaya instalasi awal atau sewa modem tambahan. �
💁‍♂️ 5. Customer Service dan Dukungan Teknis
Layanan ini biasanya menyediakan layanan dukungan pelanggan (customer service) 24 jam, sehingga jika ada gangguan koneksi atau kebutuhan teknis bisa dibantu kapan saja. �
📍 6. Pilihan Paket Sesuai Kebutuhan
Bnetfit menawarkan beragam kecepatan dan paket, mulai dari yang cocok untuk penggunaan ringan (misalnya browsing &amp; sosial media) hingga paket untuk streaming dan gaming di banyak perangkat sekaligus. �
🖥️ 7. Cakupan Layanan Luas di Beberapa Kota
Walaupun awalnya populer di area seperti Bogor dan sekitarnya, Bnetfit juga hadir di kota-kota besar lain di Indonesia (Jakarta, Bekasi, Tangerang, Bali, Medan, Semarang, dan lainnya) untuk menjangkau lebih banyak pelanggan
Data Target Iklan
----
Lokasi: Denpasar dan sekitarnya, Tabanan,
Usia: 30-60 tahun
Jenis kelamin: laki
Data Pembayaran
----
Total Bayar: 197000
Cs: asti
Status: CRM</t>
  </si>
  <si>
    <t>Cashflow saved for 6281325505225</t>
  </si>
  <si>
    <t>ORDER SAVED: ID-1769130808800</t>
  </si>
  <si>
    <t>Trigger: #inputorder#
Data Pesanan Jasa Iklan UMKM
Data Pemesan
----
Tanggal: 22-Jan-2026
Nama: Lailatul 
Nama Usaha: rokim almunium 
Jenis Usaha: pembuatan kcenset kusen lemari dll
No Whatsapp Bisnis:6285100570275
Durasi: 5
Deskripsi produk/jasa: Pembuatan kcenset dari bahan almunium lemari kusen jendela pintu bahan awet anti rayap dan model kekinian 
Data Target Iklan
----
Lokasi:Wajak dan sekitarnya 
Usia:38
Jenis kelamin: perempuan 
Data Pembayaran
----
Total Bayar: 197000
Cs: asti
Status: CRM</t>
  </si>
  <si>
    <t>Memeriksa nomor WA setelah dibersihkan: '6285100570275' (Tipe: string)</t>
  </si>
  <si>
    <t>ERROR: Exception: The data you entered in cell U685 violates the data validation rules set on this cell. Please enter one of the following values: Isna, Devi, Yuni, Rudi, Jeff, Ilham, Rokhma, Maya, Tika, Rina.</t>
  </si>
  <si>
    <t>Trigger: #inputorder#
Data Pesanan Jasa Iklan UMKM
Data Pemesan
Tanggal:23-Jan-2026
Nama:Ida Ayu Putu O
Nama Usaha: PT Uber Sari Cargo
Jenis Usaha: packing &amp; shoping (Cargo)
No Whatsapp Bisnis:6282147663578
Alamat usaha: Jl Seruni gang Brahma.2 Denpasar.
Workshop Jl Bypass ida bagus Mantra Br Pabean Gianyar Bali.
Deskripsi produk/jasa:
*Keunggulan usaha (wajib):*
*keunikan usaha (wajib):*
Promo:
Data Target Iklan 
Lokasi:
Usia:
Jenis kelamin:
Durasi:5
Data Pembayaran
----
Total Bayar: 197000
Cs: Yuni
Status: Perpanjang</t>
  </si>
  <si>
    <t>ORDER UPDATED: UPDATE-ID-1768140680574</t>
  </si>
  <si>
    <t>Trigger: Data Pesanan Jasa Iklan UMKM
Data Pemesan
----
Tanggal: 23-Jan-2026
Nama: Eko Y
Nama Usaha: CV fajar gemilang plus 
Jenis Usaha: Kontraktor Fasade, Kaca, Acp, Alumunium, Arsitektur, Interior dll
No Whatsapp Bisnis: 6281338789995
Alamat usaha: Jalan Thamrin 78 Depan SMA 5 Kupang kantor CV fajar gemilang plus 
Durasi: 14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550000
Cs: Tika 
Status: Perpanjang</t>
  </si>
  <si>
    <t>Trigger: #inputorder#
Data Pesanan Jasa Iklan UMKM
Data Pemesan
----
Tanggal: 23-Jan-2026
Nama: Eko Y
Nama Usaha: CV fajar gemilang plus 
Jenis Usaha: Kontraktor Fasade, Kaca, Acp, Alumunium, Arsitektur, Interior dll
No Whatsapp Bisnis: 6281338789995
Alamat usaha: Jalan Thamrin 78 Depan SMA 5 Kupang kantor CV fajar gemilang plus 
Durasi: 14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550000
Cs: Tika 
Status: Perpanjang</t>
  </si>
  <si>
    <t>Trigger: #inputorder#
Data Pesanan Jasa Iklan UMKM
Data Pemesan
----
Tanggal: 23-Jan-2026
Nama: Syfa
Nama Usaha: Urut Tradisional Sumber Waras 
Jenis Usaha: Jasa
No Whatsapp Bisnis: 6285189067481
Alamat: Jalan Tarum Bar I No 70 Jayamukti kecamatan Cikarang Pusat, kabupaten Bekasi Jawa Barat 17530
Durasi: 5
Deskripsi produk/jasa: Capek setelah seharian beraktivitas?Reflexology/urut tradisional 88 hadir untuk anda! terapis berpengalaman siap memijat refleksi dan tradisional langsung di lokasi anda (rumah/kantor). Rasakan manfaat melancarkan peredaran darah,mengendurkan otot tegang,dan relaksasi maksimal.Booking mudah, harga terjangkau.Hubungu kami sekarang 
Keunggulan usaha: Memberikan yang terbaik customer bisa di tempat dan panggilan luar kota dalam kota
Keunikan usaha:tangan yang kuat,sering difokuskan untuk mengatasi pegal linu berat,saraf kejepit ringan.
adaa paket lengkap .lulur .totok wajah juga
Lulur dan totok wajah ..biasa nya  sekalian .pijat urut 
Data Target Iklan
----
Lokasi: Cikarang Pusat/Cikarang Jababeka dan sekitarnya kabupaten Bekasi 
Usia: tua muda dan dewasa( khusus anak anak laki-laki dan perempuan)
Jenis kelamin: laki-laki dan perempuan 
Data Pembayaran
----
Total Bayar: 197000
Cs: Isna
Status: Baru</t>
  </si>
  <si>
    <t>Memeriksa nomor WA setelah dibersihkan: '6285189067481' (Tipe: string)</t>
  </si>
  <si>
    <t>Cashflow saved for 6285189067481</t>
  </si>
  <si>
    <t>ORDER SAVED: ID-1769173733463</t>
  </si>
  <si>
    <t>Trigger: #inputlaporan#
Laporan CS Jasa Iklan UMKM
------- 
Nama CS: Yuni
Tanggal: 23-Jan-2026
Leads:
Jumlah Closing: 1
Paket 1: 
Paket 2: 
Paket 3: 
Paket 4: 
Paket 5: 
Repeat Paket 1: 1
Repeat Paket 2: 
Repeat Paket 3: 
Repeat Paket 4: 
Repeat Paket 5: 
Catatan:</t>
  </si>
  <si>
    <t>Trigger: #inputorder#
Data Pesanan Jasa Iklan UMKM
Data Pemesan
----
Tanggal: 24-Jan-2026
Nama:kusmiasih 
Nama Usaha: ilham shop 
Jenis Usaha: British propolis 
Alamat usaha: jalan kegirangan BTN Citra buana sentayani Jayapura 
No Whatsapp Bisnis:6282191641790
Durasi: 5
Deskripsi produk/jasa:
Keunggulan: BP satu satunya propolis yang beredar di Indonesia yang sertifikat standart FDA
Data Target Iklan
----
Lokasi: seluruh Indonesia 
Usia:35 ke atas
Jenis kelamin:laki dan perempuan 
Data Pembayaran
----
Total Bayar: 197000
Cs: Maya
Status: Baru</t>
  </si>
  <si>
    <t>Memeriksa nomor WA setelah dibersihkan: '6282191641790' (Tipe: string)</t>
  </si>
  <si>
    <t>Cashflow saved for 6282191641790</t>
  </si>
  <si>
    <t>ORDER SAVED: ID-1769216945216</t>
  </si>
  <si>
    <t>Trigger: #inputlaporan#
Laporan CS Jasa Iklan UMKM
------- 
Nama CS: Yuni
Tanggal: 24-Jan-2026
Leads:23
Jumlah Closing: 0
Paket 1: 
Paket 2: 
Paket 3: 
Paket 4: 
Paket 5: 
Repeat Paket 1: 
Repeat Paket 2: 
Repeat Paket 3: 
Repeat Paket 4: 
Repeat Paket 5: 
Catatan:
16 tanya2
2 no respon 
3 format order 
2 pelajari dulu</t>
  </si>
  <si>
    <t>Trigger: #inputorder#
Data Pesanan Jasa Iklan UMKM
Data Pemesan
Tanggal:25-Jan-2026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</si>
  <si>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Trigger: #inputorder#
Data Pesanan Jasa Iklan UMKM
Data Pemesan
----
Tanggal: 25-Jan-2026
Nama: Bang Zali
Nama Usaha: Cv zhafira pool 
Jenis Usaha: Proyek kolam renang dan renovasi dan perawatan kolam renang 
No Whatsapp Bisnis: 6281990865975
Alamat usaha: Jalan Raya Serang Bitung Kaya RT 04 RW 02 Kecamatan Cikupa Kabupaten Tangerang Banten 
Durasi: 10
Deskripsi produk/jasa: Pembuatan kolam renang, Renovasi kolam renang dan perawatan kolam renang
*Keunggulan usaha (wajib)*: Teknisi berpengalaman, harga terjangkau 
Data Target Iklan
----
Lokasi: Jabodetabek 
Usia: semua
Jenis kelamin: semua
Data Pembayaran
----
Total Bayar: 375000
Cs: Tika 
Status: Perpanjang</t>
  </si>
  <si>
    <t>Trigger: #inputorder#
Data Pesanan Jasa Iklan UMKM
Data Pemesan
----
Tanggal: 25-Jan-2026
Nama: khafid ali
Nama Usaha: cv adam jaya construction
Jenis Usaha: desain dan bangun
No Whatsapp Bisnis:6281283325291
Alamat usaha: perum vila gading permai b3 no 25 jabon mekar
Deskripsi produk/jasa: desain, bangun baru, renovasi rumah
Data Target Iklan
----
Lokasi: Cibubur,Jaksel,Cipete ,Lebak bulus dan sekitarnya 
Usia: 17-55 thn
Jenis kelamin: laki laki dan perempuan 
Data iklan
----
Durasi:5
Data Pembayaran
----
Total Bayar:197000
Cs: Yuni
Status: Perpanjang</t>
  </si>
  <si>
    <t>Trigger: #inputlaporan#
Laporan CS Jasa Iklan UMKM
------- 
Nama CS: Yuni
Tanggal: 25-Jan-2026
Leads:
Jumlah Closing: 2
Paket 1: 
Paket 2: 
Paket 3: 
Paket 4: 
Paket 5: 
Repeat Paket 1: 1
Repeat Paket 2: 1
Repeat Paket 3: 
Repeat Paket 4: 
Repeat Paket 5: 
Catatan:</t>
  </si>
  <si>
    <t>Trigger: #inputorder#
Data Pesanan Jasa Iklan UMKM
Data Pemesan
Tanggal:26-Jan-2026
Nama: suryana
Nama Usaha: MEGAH PLAFON
Jenis Usaha: plavon
No Whatsapp Bisnis:6281323291817
Alamat usaha: jalan Dewi Sartika,Palu
Deskripsi produk/jasa: menjual berbagai list-list Gipsum
menerima pemasangan plafon gypsum, PVC,profil beton, molding,atap baja ringan dll
*Keunggulan usaha (wajib):*
*keunikan usaha (wajib):*
Promo:
Data Target Iklan 
Lokasi: Sulawesi Tengah 
Usia: 18-60
Jenis kelamin:semua
Durasi:30
Data Pembayaran
----
Total Bayar: 1000000
Cs: Yuni
Status: Perpanjang</t>
  </si>
  <si>
    <t>Trigger: #inputorder#
Data Pesanan Jasa Iklan UMKM
Data Pemesan
----
Tanggal: 26-Jan-2026
Nama: H Ir Aprizal
Nama Usaha: PT karya cipta tecture 
Jenis Usaha: jasa design dan pelaksanaan bangunan gedung 
No Whatsapp Bisnis: 628132211405
Alamat: Jalan Papanggo 2C RT 01 RW 06 
Durasi: 14
Deskripsi produk/jasa: melayani jasa bangun rumah, kos kosan, kantor, pabrik, ruko, rumah ibadah dll 
*Keunggulan usaha*: budget bisa menyesuaikan dengan kondisi keuangan owner
Data Target Iklan
----
Lokasi: Jabodetabek 
Usia: 18-70 tahun 
Jenis kelamin: semua
Data Pembayaran
----
Total Bayar: 550000
Cs: Tika 
Status: Perpanjang</t>
  </si>
  <si>
    <t>Trigger: #inputorder#
Data Pesanan Jasa Iklan UMKM
Data Pemesan
Tanggal:26-Jan-2026
Nama: Yudi Susanto 
Nama Usaha: Bekam Muslimah 
Jenis Usaha: Bekam
No Whatsapp Bisnis:628117108802
Alamat usaha:Jl Iskandar Ong RT. 06 RW 03 Kel timbul Rejo Curup
Deskripsi produk/jasa:
Pengobatan tradisional dengan metode Bekam dan Akupuntur, dilakukan oleh tenaga kesehatan (nakes)
Peralatan kami steril dan 1 kali pakai
Menerima pasien pria dan wanita mengobati berbagai keluhan kesehatan dan menerima pasien stroke dan syaraf terjepit
*Keunggulan usaha (wajib):*
*keunikan usaha (wajib):*
Promo:
Data Target Iklan 
Lokasi: Curup dan sekitarnya 
Usia:12-70
Jenis kelamin: semua 
Durasi:5
Data Pembayaran
----
Total Bayar: 197000
Cs: Yuni
Status: Perpanjang</t>
  </si>
  <si>
    <t>Trigger: #inputorder#
Data Pesanan Jasa Iklan UMKM
Data Pemesan
----
Tanggal: 26-Jan-2026
Nama:endik
Nama Usaha: Plumbing solution 
Jenis Usaha: perbaikan WC mampet pembuangan air mampet dan kebocoran 
Alamat usaha: jalan mudeng Krobokan bali 
No Whatsapp Bisnis:6287719015093
Durasi: 5
Deskripsi produk/jasa:
Memperbaiki closed mampet pembuangan mampet dan kebocoran pipa
Keunggulan: fast respon dan bergaransi 
Melayani 24 jam
Data Target Iklan
----
Lokasi:bali
Usia: bebas
Jenis kelamin:bebas
Data Pembayaran
----
Total Bayar: 197000
Cs: Maya
Status: Baru</t>
  </si>
  <si>
    <t>ORDER SAVED: ID-1769409473712</t>
  </si>
  <si>
    <t>Trigger: #inputorder#
Data Pesanan Jasa Iklan UMKM
Data Pemesan
----
Tanggal: 26-Jan-2026
Nama: Nur Cholis 
Nama Usaha: Oma Property 
Jenis Usaha: Kontraktor 
No Whatsapp Bisnis: 6283824541579
Durasi: 14
Deskripsi produk/jasa: Jasa Bangun rumah dari nol, kos-kosan, Ruko, renovasi total/ sebagian, Desain Arsitektur &amp; interior, Gambar kerja &amp; hitungan struktur, Pemasangan plafon, atap, lantai, dinding, listrik dan plumbing, Konsultasi material dan budget
*Keunggulan usaha*:
- Tim Berpengalaman dan terpercaya
- RAB jelas, harga transparan 
- Desain bisa custom sesuai keinginan 
- hasil rapih &amp; tepat waktu 
- garansi pekerjaan 
*Keunikan usaha*: Free Design, Free konsultasi, dan free survei 
Promo: Harga mulai dari 2.900.000 per meternya 
Data Target Iklan
----
Lokasi: Sidoarjo dan Surabaya 
Usia: 27-60 tahun 
Jenis kelamin: Laki laki dan perempuan 
Data Pembayaran
----
Total Bayar: 550000
Cs: Tika 
Status: Perpanjang</t>
  </si>
  <si>
    <t>Trigger: #inputorder#
Data Pesanan Jasa Iklan UMKM
Data Pemesan
Tanggal:26-Jan-2026
Nama:Yasmin
Nama Usaha: Yasmine health staycation 
Jenis Usaha: health staycation
No Whatsapp Bisnis:
Alamat usaha: Jalan jeprah no 69 Palasari Cipanas Cianjur Jawa Barat
Deskripsi produk/jasa:
3 days pain free on the weekend.
Jumat Sabtu Minggu
*Keunggulan usaha (wajib):*
Keunggulan usaha 
1 Tekhnologi kedokteran intervensi nyeri dari Jerman dan Rusia &gt;&gt; sekali datang nyeri hilang ...sekali talaksana nyeri reda .satu satunya di Jabodetabek 
2 merangsang regenerasi perbaikan jaringan yang rusak penyebab nyeri kronis berkepanjangan.BUKAN HANYA SEKEDAR TARGET BEBAS NYERI .
3.TAK PERLU OPERASI .CUKUP 30 MENIT ..PERBAIKAN NYERI LANGSUNG DAPAT DIRASAKAN DI KEDATANGAN KE 1 
4.PROSEDUR TANPA PERLU BIUS UMUM DAN PASIEN SADAR ,RASA SAKIT SANGAT MINIMAL
5.PENGALAMAN 15 TAHUN .RIBUAN PASIEN NYERI LUTUT DAN NYERI SARAF KEJEPIT TELAH DITANGANI 
6.MURAH , BERKUALITAS INTERNASIONAL 
7.PASIEN SELESAI TINDAKAN LANGSUNG PULANG DAN  BERAKTIVITAS 
8 .TIDAK ADA PANTANGAN DALAM PROSES TINDAKAN
*keunikan usaha(wajib):* Keunikan usaha 
1 Tekhnologi stimulasi ke aktivasi stem Cell endogen ( alamiah tubuh pasien )
2.satu satunya di Jabodetabek 
3 tak perlu masuk ke kamar operasi 
4.cukup rawat jalan 
5 .hasil langsung dirasakan 95 persen di kedatangan ke 1 
Promo:
Data Target Iklan 
Lokasi: Indonesia, Malaysia 
Usia:50keatas
Jenis kelamin: semua 
Durasi:5
Data Pembayaran
----
Total Bayar: 197000
Cs: Yuni
Status: Perpanjang</t>
  </si>
  <si>
    <t>Memeriksa nomor WA setelah dibersihkan: 'Alamat usaha: Jalan jeprah no 69 Palasari Cipanas Cianjur Jawa Barat' (Tipe: string)</t>
  </si>
  <si>
    <t>Trigger: #inputlaporan#
Laporan CS Jasa Iklan UMKM
------- 
Nama CS: Tika
Tanggal: 23-Jan-2026
Leads:
Jumlah Closing: 1
Paket 1: 
Paket 2: 
Paket 3: 
Paket 4: 
Paket 5: 
Repeat Paket 1: 
Repeat Paket 2: 
Repeat Paket 3: 1
Repeat Paket 4: 
Repeat Paket 5: 
Catatan:</t>
  </si>
  <si>
    <t>Trigger: #inputlaporan#
Laporan CS Jasa Iklan UMKM
------- 
Nama CS: Tika
Tanggal: 25-Jan-2026
Leads:
Jumlah Closing: 1
Paket 1: 
Paket 2: 
Paket 3: 
Paket 4: 
Paket 5: 
Repeat Paket 1: 
Repeat Paket 2: 1
Repeat Paket 3:
Repeat Paket 4: 
Repeat Paket 5: 
Catatan:</t>
  </si>
  <si>
    <t>Trigger: #inputlaporan#
Laporan CS Jasa Iklan UMKM
------- 
Nama CS: Tika
Tanggal: 26-Jan-2026
Leads:
Jumlah Closing: 2
Paket 1: 
Paket 2: 
Paket 3: 
Paket 4: 
Paket 5: 
Repeat Paket 1: 
Repeat Paket 2: 
Repeat Paket 3: 2
Repeat Paket 4: 
Repeat Paket 5: 
Catatan:</t>
  </si>
  <si>
    <t>Trigger: #inputlaporan#
Laporan CS Jasa Iklan UMKM
------- 
Nama CS: Yuni
Tanggal: 26-Jan-2026
Leads:24
Jumlah Closing: 2
Paket 1: 
Paket 2: 
Paket 3: 
Paket 4: 
Paket 5: 
Repeat Paket 1: 1
Repeat Paket 2: 
Repeat Paket 3: 
Repeat Paket 4: 
Repeat Paket 5: 1
Catatan:
15 tanya2
7 no respon 
1 diblok
1 format order</t>
  </si>
  <si>
    <t>Trigger: #inputorder#
Data Pesanan Jasa Iklan UMKM
Data Pemesan
----
Tanggal: 27-Jan-2026
Nama: Hartoyo rosad
Nama Usaha: Hariteknik arthabadi 
Jenis Usaha: Interior 
Alamat usaha: jlan perhubungan IX no 64 jati Pulo gadung Jakarta Timur 
No Whatsapp Bisnis:6287823423000
Durasi: 5
Deskripsi produk/jasa:
Pekerjaan interior dan furniture,kamar set, kitchen set, interior apartemen,rumah,hotel, showroom dll
Keunggulan: pekerjaan rapih dan bagus
Harga bersaing 
Data Target Iklan
----
Lokasi: Jawa Barat 
Usia: 25 - 50 tahun 
Jenis kelamin: Bebas 
Data Pembayaran
----
Total Bayar: 197000
Cs: Maya
Status: Baru</t>
  </si>
  <si>
    <t>Memeriksa nomor WA setelah dibersihkan: '6287823423000' (Tipe: string)</t>
  </si>
  <si>
    <t>ORDER UPDATED: UPDATE-ORD-1009</t>
  </si>
  <si>
    <t>Trigger: #inputorder#
Data Pesanan Jasa Iklan UMKM
Data Pemesan
----
Tanggal: 27-Jan-2026
Nama: Naufal
Nama Usaha: Naufal interior 
Jenis Usaha: Furniture 
No Whatsapp Bisnis: 6281347321820
Durasi: 5
Deskripsi produk/jasa: Bahan multiplek, dan pvc boart,  pinishing HPL luar dalam
*Keunggulan usaha*: Pemasangan oleh teknisi berpengalaman dalam bidangnya, harga terbaik di kelasnya
Data Target Iklan
----
Lokasi: Kota Penajam Peser Utara 
Usia: 10-70 tahun 
Jenis kelamin: Laki laki dan perempuan 
Data Pembayaran
----
Total Bayar: 197000
Cs: Tika 
Status: Perpanjang</t>
  </si>
  <si>
    <t>Trigger: #inputorder#
Data Pesanan Jasa Iklan UMKM
Data Pemesan
----
Tanggal: 26-Jan-2026
Nama: Apip Jaelani ST
Nama Usaha: PT Lam Alif Contruction 
Jenis Usaha: Jasa Kontruksi 
No Whatsapp Bisnis: 6281808700968
Alamat: Jl Kayu Manis no 21C
Durasi: 5
Deskripsi produk/jasa: 
*Keunggulan usaha (wajib): Biaya terjangkau, Kualitas maksimal. Dan tepat waktu.
*keunikan usaha (wajib): Bisa Custom 
Promo: 4 jt/m2 harga normal 5 jt/m2
Data Target Iklan
----
Lokasi: Jabodetabek 
Usia: 20-70 th
Jenis kelamin: laki-laki dan perempuan 
Data Pembayaran
----
Total Bayar: 197000
Cs: Isna
Status: Baru</t>
  </si>
  <si>
    <t>Memeriksa nomor WA setelah dibersihkan: '6281808700968' (Tipe: string)</t>
  </si>
  <si>
    <t>Cashflow saved for 6281808700968</t>
  </si>
  <si>
    <t>ORDER SAVED: ID-1769482421937</t>
  </si>
  <si>
    <t>Trigger: #inputorder#
Data Pesanan Jasa Iklan UMKM
Data Pemesan
Tanggal:27-Jan-2025
Nama: bapak ari
Nama Usaha: Ari kontraktor 
Jenis Usaha: pemborong bangunan 
No Whatsapp Bisnis:6281222788601
Alamat usaha: kp. Sindangsari no. 5 manggahang Baleendah Bandung 
Deskripsi produk/jasa:jasa bangun baru/renovasi rumah,ruko,pabrik, kitchen set, kanopi, atap baja,pagar dll
*Keunggulan usaha (wajib):*
*keunikan usaha (wajib):*
Promo:
Data Target Iklan 
Lokasi:Jawa Barat , Jabodetabek 
Usia: 20-50
Jenis kelamin: semua 
Durasi:5
Data Pembayaran
----
Total Bayar: 197000
Cs: Yuni
Status: Perpanjang</t>
  </si>
  <si>
    <t>Trigger: #inputorder#
Data Pesanan Jasa Iklan UMKM
Data Pemesan
Tanggal:27-Jan-2026
Nama:Yasmin
Nama Usaha: Yasmine health staycation 
Jenis Usaha: health staycation
No Whatsapp Bisnis:6287708424140
Alamat usaha: Jalan jeprah no 69 Palasari Cipanas Cianjur Jawa Barat
Deskripsi produk/jasa:
Data Target Iklan 
Lokasi: Indonesia, Malaysia 
Usia:50keatas
Jenis kelamin: semua 
Durasi:5
Data Pembayaran
----
Total Bayar: 197000
Cs: Yuni
Status: Perpanjang</t>
  </si>
  <si>
    <t>Trigger: #inputlaporan#
Laporan CS Jasa Iklan UMKM
------- 
Nama CS: Yuni
Tanggal: 27-Jan-2026
Leads:
Jumlah Closing: 2
Paket 1: 
Paket 2: 
Paket 3: 
Paket 4: 
Paket 5: 
Repeat Paket 1: 2
Repeat Paket 2: 
Repeat Paket 3: 
Repeat Paket 4: 
Repeat Paket 5: 
Catatan:</t>
  </si>
  <si>
    <t>Trigger: #inputorder#
Data Pesanan Jasa Iklan UMKM
Data Pemesan
----
Tanggal: 28-Jan-2026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</si>
  <si>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ORDER UPDATED: UPDATE-ID-1769409473712</t>
  </si>
  <si>
    <t>Trigger: #inputorder#
Data Pesanan Jasa Iklan UMKM
Data Pemesan
----
Tanggal: 26-Jan-2026
Nama:endik
Nama Usaha: Plumbing solution 
Jenis Usaha: perbaikan WC mampet pembuangan air mampet dan kebocoran 
Alamat usaha: jalan mudeng Krobokan bali 
No Whatsapp Bisnis: 6287719015093
Durasi: 5
Deskripsi produk/jasa:
Memperbaiki closed mampet pembuangan mampet dan kebocoran pipa
Keunggulan: fast respon dan bergaransi 
Melayani 24 jam
Data Target Iklan
----
Lokasi: bali
Usia: bebas
Jenis kelamin: bebas
Data Pembayaran
----
Total Bayar: 197000
Cs: Maya
Status: Baru</t>
  </si>
  <si>
    <t>Trigger: #inputlaporan#
Laporan CS Jasa Iklan UMKM
------- 
Nama CS: Yuni
Tanggal: 28-Jan-2026
Leads:
Jumlah Closing: 1
Paket 1: 
Paket 2: 
Paket 3: 
Paket 4: 
Paket 5: 
Repeat Paket 1: 
Repeat Paket 2: 1
Repeat Paket 3: 
Repeat Paket 4: 
Repeat Paket 5: 
Catatan:</t>
  </si>
  <si>
    <t>Trigger: #inputorder#
Data Pesanan Jasa Iklan UMKM
Data Pemesan
----
Tanggal: 29-Jan-2026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Durasi:14
Data Pembayaran
----
Total Bayar: 550000
Cs: Yuni
Status: Perpanjang</t>
  </si>
  <si>
    <t>Trigger: #inputorder#
Data Pesanan Nyala Digital 
Data Pemesan
----
Tanggal: 28-Jan-2026
Nama: Bambang tri cahyono
Nama Usaha: Bangun rumah arsitek77
Jenis Usaha: kontraktor dan desain rumah
No Whatsapp Bisnis: 6287841350882
Durasi: 5
Deskripsi produk/jasa: bangun / desain rumah
*Keunggulan usaha (wajib)*:
*keunikan usaha (wajib)*:
Promo:
Data Target Iklan
----
Lokasi: jabotabek
Usia: 64 th
Jenis kelamin: laki2
Data Pembayaran
----
Total Bayar: 197000
Cs: asti
Status: baru</t>
  </si>
  <si>
    <t>Memeriksa nomor WA setelah dibersihkan: '6287841350882' (Tipe: string)</t>
  </si>
  <si>
    <t>Cashflow saved for 6287841350882</t>
  </si>
  <si>
    <t>ORDER SAVED: ID-1769653165189</t>
  </si>
  <si>
    <t>Trigger: #inputorder#
Data Pesanan Jasa Iklan UMKM
Data Pemesan
----
Tanggal: 28-Jan-2026
Nama: M Samiruddin Pademmui
Nama Usaha: HERBALKU 
Jenis Usaha: Pengobatan Herbal 
No Whatsapp Bisnis: 6285124176685
Alamat: Purbonegaran GK V-1200 Yogyakarta 
Durasi: 10
Deskripsi produk/jasa: 
Keunggulan usaha :
Selain bisa memberi solusi untuk beberapa penyakit yang terkait dengan kesehatan saraf, jantung, sendi, lambung, serta kasus gagal dan sulit hamil, juga bisa dikonsumsi untuk menjaga kesehatan agar fisik tetap bugar dan prima. 
Keunikan Usaha:
Herbalku adalah herbal tradisional yang diracik dari bahan pilihan dengan air doa rukyah, dan dengan izin Allah Subhanahu Wata'ala dapat membantu proses kesembuhan hingga anda sehat kembali, sebagaimana yang sudah dirasakan oleh ratusan testimoni pasien. 
Data Target Iklan
----
Lokasi: Pulau Jawa, Bali dan Sulawesi 
Usia: 20 th keatas 
Jenis kelamin: laki-laki dan perempuan 
Data Pembayaran
----
Total Bayar: 375000
Cs: Isna
Status: Baru</t>
  </si>
  <si>
    <t>Memeriksa nomor WA setelah dibersihkan: '6285124176685' (Tipe: string)</t>
  </si>
  <si>
    <t>Cashflow saved for 6285124176685</t>
  </si>
  <si>
    <t>ORDER SAVED: ID-1769680120515</t>
  </si>
  <si>
    <t>Trigger: #inputorder#
Data Pesanan Jasa Iklan UMKM
Data Pemesan
----
Tanggal: 29-Jan-2026
Nama: Suwandi
Nama Usaha: SULTAN TOUR &amp; TRAVEL 
Jenis Usaha: HAJI DAN UMRAH 
Alamat usaha: Krakatau juction no 31 KH Yasin beji Purwakarta kota Cilegon Banten 
No Whatsapp Bisnis:6287873636555
Durasi: 20
Deskripsi produk/jasa:
Promo: umrah bukan Juli 2026 Rp 25,5juta batas akhir pendaftaran 30 maret 2026
Data Target Iklan
----
Lokasi:banten
Usia:bebas 
Jenis kelamin:bebas
Data Pembayaran
----
Total Bayar: 700000
Cs: Maya
Status: Baru</t>
  </si>
  <si>
    <t>Memeriksa nomor WA setelah dibersihkan: '6287873636555' (Tipe: string)</t>
  </si>
  <si>
    <t>Cashflow saved for 6287873636555</t>
  </si>
  <si>
    <t>ORDER SAVED: ID-1769685005908</t>
  </si>
  <si>
    <t>Trigger: #inputlaporan#
Laporan CS Jasa Iklan UMKM
------- 
Nama CS: Yuni
Tanggal: 29-Jan-2026
Leads:
Jumlah Closing: 1
Paket 1: 
Paket 2: 
Paket 3: 
Paket 4: 
Paket 5: 
Repeat Paket 1: 
Repeat Paket 2: 1
Repeat Paket 3: 
Repeat Paket 4: 
Repeat Paket 5: 
Catatan:</t>
  </si>
  <si>
    <t>Trigger: #inputorder#
Data Pesanan Jasa Iklan UMKM
Data Pemesan
----
Tanggal: 01-Feb-2026
Nama: khafid ali
Nama Usaha: cv adam jaya construction
Jenis Usaha: desain dan bangun
No Whatsapp Bisnis:6281283325291
Alamat usaha: perum vila gading permai b3 no 25 jabon mekar
Deskripsi produk/jasa: desain, bangun baru, renovasi rumah
Data Target Iklan
----
Lokasi: Cibubur,Jaksel,Cipete ,Lebak bulus dan sekitarnya 
Usia: 17-55 thn
Jenis kelamin: laki laki dan perempuan 
Data iklan
----
Durasi:5
Data Pembayaran
----
Total Bayar:197000
Cs: Yuni
Status: Perpanjang</t>
  </si>
  <si>
    <t>Trigger: #inputorder#
Data Pesanan Jasa Iklan UMKM
Data Pemesan
Tanggal:01-Feb-2026
Nama: Munadi
Nama Usaha: Cv Nuansa Alam Profil
Jenis Usaha: Kontraktor
No Whatsapp Bisnis:6282310465999
Alamat usaha: Jl. Hm Rifaddin Rt 25 Samarinda Sebrang
Deskripsi produk/jasa: Kontraktor bidang bangunan,bangun dari nol/renovasi ,juga menjual berbagai macam jenis/motif ornament
*Keunggulan usaha (Kualitas lebih halus):*
*keunikan usaha (Spesialis bangunan klasik):*
Promo:
Data Target Iklan 
Lokasi: samarinda, balikpapan, Tenggarong,Bontang
Usia:remaja sampai dewasa
Jenis kelamin: laki/perempuan
Durasi:30
Data Pembayaran
----
Total Bayar: 1000000
Cs: Yuni
Status: Perpanjang</t>
  </si>
  <si>
    <t>Trigger: #inputorder#
Data Pesanan Jasa Iklan UMKM
Data Pemesan
----
Tanggal: 30-Jan-2026
Nama: Mia
Nama Usaha: Rumah Bekam Berkah
Jenis Usaha: Bekam 
No Whatsapp Bisnis: 6282264571765
Alamat Rumah: Jalan Ahmad Yani Pembataan RT 1 Gang purnama belakang toko Azahra/ serba 35 
Durasi: 5
Deskripsi produk/jasa: 
Bekam, pijit refleksi, terapi patah tulang/dislokasi, timung, lulur.
Data Target Iklan
----
Lokasi: Kabupaten Tabalong, kecamatan murung pudak dan Tanjung, kelua dan tanta, kabupaten Paringin ,Tamiang layang 
Usia: bayi orang tua /  dewasa
Jenis kelamin: Perempuan 
Data Pembayaran
----
Total Bayar: 147000
Cs: Isna
Status: Baru</t>
  </si>
  <si>
    <t>Memeriksa nomor WA setelah dibersihkan: '6282264571765' (Tipe: string)</t>
  </si>
  <si>
    <t>Cashflow saved for 6282264571765</t>
  </si>
  <si>
    <t>ORDER SAVED: ID-1769938084212</t>
  </si>
  <si>
    <t>Trigger: #inputorder#
Data Pesanan Jasa Iklan UMKM
Data Pemesan
----
Tanggal: 01-Feb-2026
Nama: Wiris
Nama Usaha: Wirisvariasi
Jenis Usaha: Bengkel Custom Lampu
No Whatsapp Bisnis: 6282242925264
Durasi: 20
Deskripsi produk/jasa: 
musim hujan lampu mobil redup gk kelihatan jalan. kami hadir untuk melayani problem perlampuan mobil anda yang redup. satu satu nya bengkel perlampuan mobil dengan garansi resmi di jepara dan mekanik yang sudah terpercaya di bidang nya. pengerjaan tidak perlu di ragukan lagi karna kerapian dan keamanan adalah prosesur nomor 1 bagi kami. kami sedia berbagai macam jenis lampu yang sesuai dengan kebutuhan mobil anda. sudah ratusan mobil yang sudah kami tangani di area jepara. tunggu apa lagi segera konsultasikan lampu mobil anda pada kami.
Data Target Iklan
----
Lokasi: Jepara, Demak, Kudus, Pati, Rembang, Purwodadi, Blora
Usia: 20 th keatas 
Jenis kelamin: laki-laki dan perempuan 
Data Pembayaran
----
Total Bayar: 700000
Cs: Isna
Status: Perpanjang</t>
  </si>
  <si>
    <t>Trigger: #inputorder#
Data Pesanan Jasa Iklan UMKM
Data Pemesan
----
Tanggal: 1-Feb-2026
Nama: Medy Raden Mas 
Nama Usaha: Totok Syaraf 
Jenis Usaha: Pengobatan Alternatif 
No Whatsapp Bisnis: 6285169730762
Alamat: Taman Ciruas Permai (TCP) Blok R6 No.15 Serang Banten 
Durasi: 5
Deskripsi produk/jasa: 
Keunggulan Usaha: Memberi pelayanan semaksimal mungkin untuk kesembuhan disetiap keluhan penyakit
Keunikan Usaha: tidak dibebankan biaya,bayar seikhlasnya
Data Target Iklan
----
Lokasi: Taman Ciruas Permai (TCP) Pelawad Kab Serang Banten 
Usia: 37 th
Jenis kelamin: laki-laki 
Data Pembayaran
----
Total Bayar: 197000
Cs: Isna
Status: Perpanjang</t>
  </si>
  <si>
    <t>Memeriksa nomor WA setelah dibersihkan: '6285169730762' (Tipe: string)</t>
  </si>
  <si>
    <t>ORDER UPDATED: UPDATE-ORD-716</t>
  </si>
  <si>
    <t>Trigger: #inputlaporan#
Laporan CS Jasa Iklan UMKM
------- 
Nama CS: Yuni
Tanggal: 01-Feb-2026
Leads:
Jumlah Closing: 2
Paket 1: 
Paket 2: 
Paket 3: 
Paket 4: 
Paket 5: 
Repeat Paket 1: 1
Repeat Paket 2: 
Repeat Paket 3: 
Repeat Paket 4: 
Repeat Paket 5: 1
Catatan:</t>
  </si>
  <si>
    <t>Trigger: #inputlaporan#
Laporan CS Jasa Iklan UMKM
------- 
Nama CS: Isna
Tanggal: 01-Feb-2026
Leads:
Jumlah Closing:3
Paket 1: 
Paket 2: 
Paket 3: 
Paket 4: 
Paket 5: 
Repeat Paket 1:1
Repeat Paket 2:1
Repeat Paket 3: 
Repeat Paket 4:1
Repeat Paket 5:
Catatan:</t>
  </si>
  <si>
    <t>Trigger: #inputorder#
Data Pesanan Jasa Iklan UMKM
Data Pemesan
Tanggal:02-Feb-2026
Nama:Yasmin
Nama Usaha: Yasmin health staycation 
Jenis Usaha: health staycation
No Whatsapp Bisnis:6287708424140
Alamat usaha: Jalan jeprah no 69 Palasari Cipanas Cianjur Jawa Barat (pusat)
Deskripsi produk/jasa:
Solusi terakhir stroke ,nyeri saraf kejepit dan nyeri lutut osteoartritis bahkan nyeri kanker anda ..
Bahkan meski anda sudah gagal dengan berbagai terapi alternatif atau ke luar negeri...
Data Target Iklan 
Lokasi: Indonesia, Malaysia 
Usia:50keatas
Jenis kelamin: semua 
Durasi:5
Data Pembayaran
----
Total Bayar: 197000
Cs: Yuni
Status: Perpanjang</t>
  </si>
  <si>
    <t>ORDER SAVED: ID-1769996983567</t>
  </si>
  <si>
    <t>Trigger: #inputorder#
Data Pesanan Jasa Iklan UMKM
Data Pemesan
----
Tanggal: 2-Feb-2026
Nama: Bagus
Nama Usaha: Zena Kontruksi 
Jenis Usaha: Kontruksi 
No Whatsapp Bisnis: 6282234857245
Alamat: Gresik Kecamatan Sidayu
Durasi: 7
Deskripsi produk/jasa: 
Pagar sama canopy, railing tangga, kontruksi, plafon, interior dinding, special segala jenis Almunium.
Keunggulan: kualitas kami garansi dengan matrial berstandar 
Keunikan: harga di jamin paling murah dan berani bersaing kualitas 
Data Target Iklan
----
Lokasi: Gresik, Lamongan
Usia: 20-70 th
Jenis kelamin: laki-laki dan perempuan 
Data Pembayaran
----
Total Bayar: 297000
Cs: Isna
Status: Perpanjang</t>
  </si>
  <si>
    <t>ORDER SAVED: ID-1770002671528</t>
  </si>
  <si>
    <t>Trigger: #inputorder#
Data Pesanan Jasa Iklan UMKM
Data Pemesan
Tanggal:02-Feb-2026
Nama: Aliasming
Nama Usaha: PT. Rizmia Sejahtera Selalu 
Jenis Usaha: kontruksi 
No Whatsapp Bisnis:6281376129355
Alamat usaha: Kavling patam madani 02 Blok B no 18 kelurahan patam lestari Sekupang kota Batam Kepri
Deskripsi produk/jasa: jasa pemasangan keramik plafon dan instalasi listrik dan bangunan lainnya 
*Keunggulan usaha (wajib):*
*keunikan usaha (wajib):*
Promo:
Data Target Iklan 
Lokasi: Batam Tanjung pinang, Tanjung Balai Karimun Kepulauan Riau.
Usia:25-65
Jenis kelamin: semua
Durasi:5
Data Pembayaran
----
Total Bayar: 197000
Cs: Yuni
Status: Perpanjang</t>
  </si>
  <si>
    <t>Trigger: #inputlaporan#
Laporan CS Jasa Iklan UMKM
------- 
Nama CS: Yuni
Tanggal: 02-Feb-2026
Leads:
Jumlah Closing: 2
Paket 1: 
Paket 2: 
Paket 3: 
Paket 4: 
Paket 5: 
Repeat Paket 1: 2
Repeat Paket 2: 
Repeat Paket 3: 
Repeat Paket 4: 
Repeat Paket 5: 
Catatan:</t>
  </si>
  <si>
    <t>Trigger: #inputlaporan#
Laporan CS Jasa Iklan UMKM
------- 
Nama CS: Isna
Tanggal: 02-Feb-2026
Leads:
Jumlah Closing:5
Paket 1: 
Paket 2: 
Paket 3: 
Paket 4: 
Paket 5: 
Repeat Paket 1:1
Repeat Paket 2:2
Repeat Paket 3: 
Repeat Paket 4: 
Repeat Paket 5:2
Catatan:</t>
  </si>
  <si>
    <t>Trigger: #inputorder#
Data Pesanan Jasa Iklan UMKM
Data Pemesan
----
Tanggal: 2-Feb-2026
Nama: Andika
Nama Usaha: Andika Jaya 
Jenis Usaha: Interior Rumah/Ruangan
No Whatsapp Bisnis: 6282315669271
Alamat: Kelurahan Lembo Kecamatan Tallo Kota Makassar 
Durasi: 7
Deskripsi produk/jasa: 
Mengerjakan Interior Rumah
- Wallmoulding
- Panel Dinding 
- Pemasangan PVC &amp; WPC Marmer
- Kaca Bevel &amp; List Mirror Gold
- Plafon Gypsum &amp; PVC
- Finishing Cat dan Lain-lain
*Keunggulan usaha (wajib): 
Membuat Ruangan Terlihat Mewah dan Estetik
*keunikan usaha (wajib):
Dikerjakan dengan Tim kami yang Profesional 
Promo: Tidak ada Promo Kembali ke harga normal Rp. 22.000
Data Target Iklan
----
Lokasi: Makassar dan Sekitarnya 
Usia: 19 th ke atas 
Jenis kelamin: laki-laki dan perempuan 
Data Pembayaran
----
Total Bayar: 297000
Cs: Isna
Status: Perpanjang</t>
  </si>
  <si>
    <t>Trigger: #inputorder#
Data Pesanan Jasa Iklan UMKM
Data Pemesan
----
Tanggal: 2-Feb-2026
Nama: Rimayanti
Nama Usaha: Nizam Travel Hiace/Elf Long 
Jenis Usaha: Travel 
No Whatsapp Bisnis: 6285296244975
Alamat: Jl Gunung Bendahara No Psr 1 Kelurahan Pujidadi Kecamatan Binjai Selatan Kota Binjai
Durasi: 30
Deskripsi produk/jasa: 
*Keunggulan usaha (wajib):*nyaman, tenang, terkesan 
*keunikan usaha (wajib):*liburan hemat hatipun terpikat 
Promo:
Data Target Iklan
----
Lokasi: Sumatera, Seluruh Indonesia, dan Luar Negeri yang bisa di jangkau
Usia: bebas
Jenis kelamin: laki-laki dan perempuan 
Data Pembayaran
----
Total Bayar: 1000000
Cs: Isna
Status: Perpanjang</t>
  </si>
  <si>
    <t>Memeriksa nomor WA setelah dibersihkan: '6285296244975' (Tipe: string)</t>
  </si>
  <si>
    <t>Cashflow saved for 6285296244975</t>
  </si>
  <si>
    <t>ORDER SAVED: ID-1770074035834</t>
  </si>
  <si>
    <t>Trigger: Data Pesanan Jasa Iklan UMKM
Data Pemesan
----
Tanggal: 2-Feb-2026
Nama: Yudi
Nama Usaha: Mitra Bangun Lift Cor 
Jenis Usaha: Jasa Pengecoran 
No Whatsapp Bisnis: 6282338171577
Alamat: kec larangan kab sidoarjo jatim 
Durasi: 30
Deskripsi produk/jasa: pengecoran/lift cor 
Keunggulan: lebih cepat, lebih hemat biaya
Promo: harga disc 10% untuk volume di atas 100m/2
Data Target Iklan
----
Lokasi: madura, surabaya, sidoarjo, pasuruan, probolinggo
Usia: 25-60 th
Jenis kelamin: laki-laki dan perempuan 
Data Pembayaran
----
Total Bayar: 1000000
Cs: Isna
Status: Perpanjang</t>
  </si>
  <si>
    <t>Trigger: #inputorder#
Data Pesanan Jasa Iklan UMKM
Data Pemesan
----
Tanggal: 2-Feb-2026
Nama: Yudi
Nama Usaha: Mitra Bangun Lift Cor 
Jenis Usaha: Jasa Pengecoran 
No Whatsapp Bisnis: 6282338171577
Alamat: kec larangan kab sidoarjo jatim 
Durasi: 30
Deskripsi produk/jasa: pengecoran/lift cor 
Keunggulan: lebih cepat, lebih hemat biaya
Promo: harga disc 10% untuk volume di atas 100m/2
Data Target Iklan
----
Lokasi: madura, surabaya, sidoarjo, pasuruan, probolinggo
Usia: 25-60 th
Jenis kelamin: laki-laki dan perempuan 
Data Pembayaran
----
Total Bayar: 1000000
Cs: Isna
Status: Perpanjang</t>
  </si>
  <si>
    <t>Trigger: #inputorder#
Data Pesanan Jasa Iklan UMKM
Data Pemesan
----
Tanggal: 2-Feb-2026
Nama: Abdul Aziz 
Nama Usaha: Jasa Motif Profil Beton
Jenis Usaha: Jasa Motif
No Whatsapp Bisnis: 6283177154244
Durasi: 5
Deskripsi produk/jasa: 
Jasa Motif Profil Beton, Ornamen Beton, Bikin Taman, Mempercantik Rumah, Seni Ukir, AA Propil
Keunggulan: Harga di jamin murah kualitas bagus, kalau kualitas jelek ngga usah di bayar, harga terjangkau, harga tergantung ukuran.
Jenis yang di propil beton manual: jendela, tihang, lisplang, ornamen, taman dll
Data Target Iklan
----
Lokasi: Jakarta, Pulau Jawa (Jawa Tengah, Jawa Timur, Jawa Barat)
Usia: 30 th keatas 
Jenis kelamin: laki-laki dan perempuan 
Data Pembayaran
----
Total Bayar: 197000
Cs: Isna
Status: Perpanjang</t>
  </si>
  <si>
    <t>Memeriksa nomor WA setelah dibersihkan: '6283177154244' (Tipe: string)</t>
  </si>
  <si>
    <t>Trigger: #inputorder#
Data Pesanan Jasa Iklan UMKM
Data Pemesan
----
Tanggal: 01-Feb-2026
Nama: Bang Banten
Nama Usaha: Rumah Sehat Bang Banten (Repeat Order)
Jenis Usaha: Terapi
No Whatsapp Bisnis: 6282172291579
Durasi: 10
Deskripsi produk/jasa: terapi stroke, saraf kejepit, asam urat, kolesterol, diabet, sakit sendi saraf dan tulang
Data Target Iklan
----
Lokasi: pekanbaru
Usia: 46 th
Jenis kelamin: laki-laki
Data Pembayaran
----
Total Bayar: 375000
Cs: Isna
Status: Perpanjang</t>
  </si>
  <si>
    <t>Trigger: #inputorder#
Data Pesanan Jasa Iklan UMKM
Data Pemesan
Tanggal:02-Feb-2026
Nama: Aliasming
Nama Usaha: PT. Rizmia Sejahtera Selalu 
Jenis Usaha: kontruksi 
No Whatsapp Bisnis:6281376129355
Alamat usaha: Kavling patam madani 02 Blok B no 18 kelurahan patam lestari Sekupang kota Batam Kepri
Deskripsi produk/jasa: jasa pemasangan keramik plafon dan instalasi listrik dan bangunan lainnya 
*Keunggulan usaha (wajib):*
*keunikan usaha (wajib):*
Promo:
Data Target Iklan 
Lokasi: Batam Tanjung pinang, Tanjung Balai Karimun Kepulauan Riau.
Usia:25-65
Jenis kelamin: semua
Durasi:7
Data Pembayaran
----
Total Bayar: 297000
Cs: Yuni
Status: Perpanjang</t>
  </si>
  <si>
    <t>Trigger: #inputorder#
Data Pesanan Jasa Iklan UMKM
Data Pemesan
Tanggal:03-Feb-2026
Nama: Yudi Susanto 
Nama Usaha: Bekam Muslimah 
Jenis Usaha: Bekam
No Whatsapp Bisnis:628117108802
Alamat usaha:Jl Iskandar Ong RT. 06 RW 03 Kel timbul Rejo Curup
Deskripsi produk/jasa:
Pengobatan tradisional dengan metode Bekam dan Akupuntur, dilakukan oleh tenaga kesehatan (nakes)
Peralatan kami steril dan 1 kali pakai
Menerima pasien pria dan wanita mengobati berbagai keluhan kesehatan dan menerima pasien stroke dan syaraf terjepit
*Keunggulan usaha (wajib):*
*keunikan usaha (wajib):*
Promo:
Data Target Iklan 
Lokasi: Curup dan sekitarnya 
Usia:12-70
Jenis kelamin: semua 
Durasi:5
Data Pembayaran
----
Total Bayar: 197000
Cs: Yuni
Status: Perpanjang</t>
  </si>
  <si>
    <t>Trigger: #inputorder#
Data Pesanan Jasa Iklan UMKM
Data Pemesan
----
Tanggal: 3-Feb-2026
Nama: Sumini Mitro Suwarno 
Nama Usaha: Rumah Sehat Tradisional Holistic "AZELA"
Jenis Usaha: Kesehatan Tradisional 
No Whatsapp Bisnis: 6281316122975
Alamat: Ruko Megalegenda 2 Blok D3 no 15 Batam Center 
Durasi: 5
Deskripsi produk/jasa: 
Menangani patah tulang, treatment perut + masker, treatment pasca melahirkan, lulur/body scrub, pijat tradisional, perawatan stroke, bekam tanduk, bekam api, hijamah dll
Boleh tambahin 
Totok aura wajah.
Facial
Herbal massage
Hot stone
Data Target Iklan
----
Lokasi: Batam, Johor
Usia: semua umur 
Jenis kelamin: laki-laki dan perempuan 
Data Pembayaran
----
Total Bayar: 197000
Cs: Isna
Status: Perpanjang</t>
  </si>
  <si>
    <t>Trigger: #inputlaporan#
Laporan CS Jasa Iklan UMKM
------- 
Nama CS: Isna
Tanggal: 03-Feb-2026
Leads:
Jumlah Closing:1
Paket 1: 
Paket 2: 
Paket 3: 
Paket 4: 
Paket 5: 
Repeat Paket 1:1
Repeat Paket 2:
Repeat Paket 3: 
Repeat Paket 4: 
Repeat Paket 5:
Catatan:</t>
  </si>
  <si>
    <t>Trigger: #inputlaporan#
Laporan CS Jasa Iklan UMKM
------- 
Nama CS: Yuni
Tanggal: 03-Feb-2026
Leads:
Jumlah Closing: 1
Paket 1: 
Paket 2: 
Paket 3: 
Paket 4: 
Paket 5: 
Repeat Paket 1: 1
Repeat Paket 2: 
Repeat Paket 3: 
Repeat Paket 4: 
Repeat Paket 5: 
Catatan:</t>
  </si>
  <si>
    <t>Trigger: #inputorder#
Data Pesanan Jasa Iklan UMKM
Data Pemesan
----
Tanggal: 4-Feb-2026
Nama: Kurniawan 
Nama Usaha: Bangun omah 
Jenis Usaha: Kontraktor 
No Whatsapp Bisnis: 628133331583
Alamat: Desa Wonoayu Sidoarjo 
Durasi: 10
Deskripsi produk/jasa: 
*Keunggulan usaha*: Free design, free konsultasi, free survey 
*Keunikan usaha*: Dengan hitangan yang tepat 
Promo: ramadhan harga 2.9
Data Target Iklan
----
Lokasi: Sidoarjo, Surabaya, Mojokerto 
Usia: 27-60 tahun 
Jenis kelamin: Semua
Data Pembayaran
----
Total Bayar: 375000
Cs: Tika 
Status: Baru</t>
  </si>
  <si>
    <t>Memeriksa nomor WA setelah dibersihkan: '628133331583' (Tipe: string)</t>
  </si>
  <si>
    <t>Cashflow saved for 628133331583</t>
  </si>
  <si>
    <t>ORDER SAVED: ID-1770190769161</t>
  </si>
  <si>
    <t>Trigger: #inputorder#
Data Pesanan Jasa Iklan UMKM
Data Pemesan
----
Tanggal: 4-Jan-2026
Nama:Firman
Nama Usaha: Dimensi desain 
Jenis Usaha: Perijinan bangunan dan desain arsitek 
No Whatsapp Bisnis:6281385838481
Alamat usaha: jalan terusan pembangunan rancabogo kecamatan Tarogong kidul garut
Durasi: 5
Deskripsi produk/jasa:
Keunggulan: usaha cepat dan akurat 
Data Target Iklan
----
Lokasi:jawa Barat 
Usia:25 tahun ke atas
Jenis kelamin:Laki dan perempuan 
Data Pembayaran
----
Total Bayar: 197000
Cs: Maya
Status: Baru</t>
  </si>
  <si>
    <t>Memeriksa nomor WA setelah dibersihkan: '6281385838481' (Tipe: string)</t>
  </si>
  <si>
    <t>Cashflow saved for 6281385838481</t>
  </si>
  <si>
    <t>ORDER SAVED: ID-1770251784233</t>
  </si>
  <si>
    <t>Trigger: #inputorder#
Data Pesanan Jasa Iklan UMKM
Data Pemesan
Tanggal:05-Feb-2026
Nama: Adi winoto
Nama Usaha:PT Garuda muda karya
Jenis Usaha: Perlengkapan alat dapur MBG
No Whatsapp Bisnis:6282261184459
Alamat usaha:
Ruko Podomoro Golf View
Blok B3-60
Jl Mohamad Thohir 
Cikuday,Bogor
Deskripsi produk/jasa:
Melayani pembelian alat2 dapur terlengkap untuk Dapur MBG
*Keunggulan usaha (wajib):*Ready Stock, Pembelian hari ini kirim hari ini keseluruhan Indonesia*
*keunikan usaha (wajib):*Pelayanan yg cepat, unit ready stock no inden*
Promo:*Pengiriman Gratis ke Seluruh Indonesia*
Data Target Iklan 
Lokasi: Jabodetabek,Jawa Barat,banten
Usia: min 25
Jenis kelamin:
Bebas
Durasi:14
Data Pembayaran
----
Total Bayar: 550000
Cs: Yuni
Status: Perpanjang</t>
  </si>
  <si>
    <t>Trigger: #inputorder#
Data Pesanan Jasa Iklan UMKM
Data Pemesan
Tanggal: 05-Feb-2026
Nama: Diditz 
Nama Usaha: Sales Truk Hino 
Jenis Usaha: Otomotif 
No Whatsapp Bisnis:6281219102600
Alamat usaha: Jl Jend. A. Yani No 52 Jakarta Pusat 
Deskripsi produk/jasa : TERSEDIA TYPE HINO 115 SD, 115 SDL, 136 HDX, 136 HDL, 136 MDL-R, FG 260 TH, SG280TH, FL 280 JW, FM280JW, FM280JD
PROMO AWAL TAHUN TERMURAH DAN UNIT READY 
Data Target Iklan 
Lokasi: Jabodetabek 
Usia: 30 - 50 Th 
Jenis kelamin: L/P
Durasi:5
Data Pembayaran
----
Total Bayar: 197000
Cs: Yuni
Status: Perpanjang</t>
  </si>
  <si>
    <t>ORDER UPDATED: UPDATE-ORD-1486</t>
  </si>
  <si>
    <t>Trigger: #inputorder#
Data pesanan Jasa iklan UMKM 
Data Pemesan
Tanggal: 05-Feb-2026
Nama : AJIK BAGUS
Nama usaha:GRAHA WAJA UTAMA
Jenis usaha :Konstruksi Baja Berat WF/H-Beam,konstruksi tingkat Composit baja beton.
No Whatsapp Bisnis:6287758080333
Alamat usaha 
Jl Gunung Himalaya 1B
Gatsu barat.
Deskripsi: Yuks yang masih bingung menentukan jenis konstruksi bangunan yang Anda pilih sesuai kondisi dan ukuran bangunan yang akan anda buat.
Kalau urusan bangunan untuk  usaha Anda percayakan pada kami 
GRAHA WAJA UTAMA
Berpengalaman lebih dari 25 tahun 
Sangat cocok.utk bangunan usaha dengan lebar bangunan lebih dari 10 mt hingga 20 mt
Tanpa ada Tiang berserakan.di dalam bangunan Gudang,showroom,Kandang ayam,atau gudang mobil truck/bus usaha Anda.
Harga mulai 650 rb/m2
Atau dalam kilogram berat 26 rb/kg.
Juga menerima service gudang lama Anda atau pengecatan ulang konstruksi Anda dengan Harga Terjangkau.
Keunggulan dari usaha kami 
Bisa menyelesaikan konstruksi Gudang dengan cepat dan efisien.
Menerima konsultasi gratis...
Design gratis...kalau ada kecocokan harga.
Data target iklan
Lokasi wilayah: Denpasar,Tabanan,Gianyar,seluruh Bali.
Usia : usia.pengusaha mulai 23.th sampai 60 th.
Jenis kelamin: pria/wanita
Durasi: 10
Data pembayaran 
Total Bayar:375000
Cs:Yuni
Status: Perpanjang</t>
  </si>
  <si>
    <t>Trigger: #inputlaporan#
Laporan CS Jasa Iklan UMKM
------- 
Nama CS: Yuni
Tanggal: 05-Feb-2026
Leads:
Jumlah Closing: 3
Paket 1: 
Paket 2: 
Paket 3: 
Paket 4: 
Paket 5: 
Repeat Paket 1: 1
Repeat Paket 2: 1
Repeat Paket 3: 1
Repeat Paket 4: 
Repeat Paket 5: 
Catatan:</t>
  </si>
  <si>
    <t>Trigger: #inputorder#
Data Pesanan Jasa Iklan UMKM
Data Pemesan
Tanggal:06-Feb-2026
Nama: Ajma
Nama Usaha: AJMA PROPERTY 
Jenis Usaha: Kontraktor 
No Whatsapp Bisnis:6289678497690
Alamat usaha: Banjarmasin 
Deskripsi produk/jasa: melayani pembangunan rumah,kantor,sekolah kantor dll
-dari jasa sekaligus dgn bahan material
-harga dari 5 JT an permeter dari pondasi sampai siap huni
-dgn sistim pembayaran bertahap selama pembanguan
-lokasi dan spek yg anda ingin akan menentukan harga dan biaya pembangun 
*Keunggulan usaha (wajib):*
*keunikan usaha (wajib):*
Promo:
Data Target Iklan 
Lokasi: Banjarmasin dan sekitarnya 
Usia:25-60
Jenis kelamin:semua
Durasi:14
Data Pembayaran
----
Total Bayar: 550000
Cs: Yuni
Status: Perpanjang</t>
  </si>
  <si>
    <t>Trigger: #inputorder#
Data Pesanan Jasa Iklan UMKM
Data Pemesan
Tanggal:06-Feb-2026
Nama:Gunawan
Nama Usaha: CV.BAGUS DAN EVI TRANS
Jenis Usaha:*Sewa Mobil plus driver*
No Whatsapp Bisnis:6281357754513
Alamat usaha:Jalan Masjid baitus salam,Beciro,Jumputrejo,Sukodono, Sidoarjo)*
Deskripsi produk/jasa:
*Keunggulan usaha (wajib):*CV.BAGUS DAN EVI TRANS adalah Perusahaan jasa Persewaan kendaraan plus driver,Dengan armada terbaru,mulai dari Avanza, innova reborn, Zenik Hybrid, Hiace comuter, hiace premio,alphard dll*
*keunikan usaha (wajib):Berlegalitas resmi PKP,cocok untuk Instansi pemerintah, perusahaan2 swasta,bumn dan juga orang pribadi yang memerlukan efaktur pajak*
Promo:*Customer yang baru booking pertama kali,diskon 50k-100k per hari*
Data Target Iklan 
Lokasi:Dari radius lokasi kita 50 km
Usia:25-55 thn
Jenis kelamin:laki2 &amp; perempuan 
Durasi:30
Data Pembayaran
----
Total Bayar: 1000000
Cs: Yuni
Status: Perpanjang</t>
  </si>
  <si>
    <t>Trigger: #inputlaporan#
Laporan CS Jasa Iklan UMKM
------- 
Nama CS: Yuni
Tanggal: 06-Feb-2026
Leads:
Jumlah Closing: 2
Paket 1: 
Paket 2: 
Paket 3: 
Paket 4: 
Paket 5: 
Repeat Paket 1: 
Repeat Paket 2: 
Repeat Paket 3: 1
Repeat Paket 4: 
Repeat Paket 5: 1
Catatan:</t>
  </si>
  <si>
    <t>Trigger: #inputorder#
Data Pesanan Jasa Iklan UMKM
Data Pemesan
----
Tanggal: 07-Feb-2026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</si>
  <si>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#inputorder#
#inputorder#
Data Pesanan Jasa Iklan UMKM
Data Pemesan
----
Tanggal: 07-Feb-2026
Nama: okta fitriansyah
Nama Usaha: Deriano 
Jenis Usaha: jasa pengadaan perlengkapan umroh
No Whatsapp Bisnis: 6282122880328
Alamat usaha:toko tas deriano blok f1 lt 6..los aks..no.56-65..pasar tanah abang
Deskripsi produk/jasa:koper,kain ihrom,mukenah,bergo,bantal leher,tas pasport dll
Data Target Iklan
Lokasi: seluruh Indonesia 
Usia: 17-55
Jenis kelamin:
Data iklan
----
Durasi:14
Data Pembayaran
----
Total Bayar: 910000
Cs: Yuni
Status: Perpanjang</t>
  </si>
  <si>
    <t>Trigger: #inputorder#
Data Pesanan Jasa Iklan UMKM
Data Pemesan
----
Tanggal: 6-Feb-2026
Nama: Eka
Nama Usaha: Berkat Parcel Salatiga 
Jenis Usaha: Parcel 
No Whatsapp Bisnis: 6289648416177
Alamat Usaha: Ruko Pandawa ni 16- salatiga - jateng
Durasi: 10
Deskripsi produk/jasa: 
Data Target Iklan
----
Lokasi: Salatiga - Jawa Tengah 
Usia: bebas
Jenis kelamin: laki-laki dan perempuan 
Data Pembayaran
----
Total Bayar: 375000
Cs: Isna
Status: Baru</t>
  </si>
  <si>
    <t>Memeriksa nomor WA setelah dibersihkan: '6289648416177' (Tipe: string)</t>
  </si>
  <si>
    <t>Cashflow saved for 6289648416177</t>
  </si>
  <si>
    <t>ORDER SAVED: ID-1770443073692</t>
  </si>
  <si>
    <t>Trigger: #inputlaporan#
Laporan CS Jasa Iklan UMKM
------- 
Nama CS: Yuni
Tanggal: 07-Feb-2026
Leads:
Jumlah Closing: 2
Paket 1: 
Paket 2: 
Paket 3: 
Paket 4: 
Paket 5: 
Repeat Paket 1: 
Repeat Paket 2: 1
Repeat Paket 3: 1
Repeat Paket 4: 
Repeat Paket 5: 
Catatan:</t>
  </si>
  <si>
    <t>Trigger: #inputlaporan#
Laporan CS Jasa Iklan UMKM
------- 
Nama CS: Isna 
Tanggal: 07-Feb-2026
Leads:
Jumlah Closing:1
Paket 1: 
Paket 2: 
Paket 3: 
Paket 4: 
Paket 5: 
Repeat Paket 1: 
Repeat Paket 2:1
Repeat Paket 3:
Repeat Paket 4: 
Repeat Paket 5: 
Catatan:</t>
  </si>
  <si>
    <t>Trigger: #inputlaporan#
Laporan CS Jasa Iklan UMKM
------- 
Nama CS: Isna 
Tanggal: 06-Feb-2026
Leads:
Jumlah Closing:3
Paket 1: 
Paket 2:2
Paket 3: 
Paket 4: 
Paket 5: 
Repeat Paket 1: 
Repeat Paket 2:
Repeat Paket 3:1
Repeat Paket 4: 
Repeat Paket 5:1
Catatan:</t>
  </si>
  <si>
    <t>Trigger: #inputlaporan#
Laporan CS Jasa Iklan UMKM
------- 
Nama CS: Isna 
Tanggal: 05-Feb-2026
Leads:
Jumlah Closing:
Paket 1:1
Paket 2:
Paket 3: 
Paket 4: 
Paket 5: 
Repeat Paket 1: 
Repeat Paket 2:
Repeat Paket 3:
Repeat Paket 4: 
Repeat Paket 5:
Catatan:</t>
  </si>
  <si>
    <t>Trigger: #inputlaporan#
Laporan CS Jasa Iklan UMKM
------- 
Nama CS: Isna 
Tanggal: 04-Feb-2026
Leads:
Jumlah Closing:1
Paket 1:
Paket 2:
Paket 3: 
Paket 4: 
Paket 5: 
Repeat Paket 1:1
Repeat Paket 2:
Repeat Paket 3:
Repeat Paket 4: 
Repeat Paket 5:
Catatan:</t>
  </si>
  <si>
    <t>Trigger: #inputorder#
Data Pesanan Jasa Iklan UMKM
Data Pemesan
Tanggal:08-Feb-2026
Nama: YUCA 
Nama Usaha: YUCA SIDO MAKMUR SENTANI
Jenis Usaha: bengkel las
No Whatsapp Bisnis:6282399721881
Alamat usaha: BTN Purwodadi DOBONSOLO, Sentani 
Deskripsi produk/jasa: menerima pesanan 
aneka teralis, pintu pagar, kanopi,relling tangga,stenlis steel, pintu lipat, container box,kursi,meja dll
menerima juga pembuatan reklame,huruf timbul,neon box dll
*Keunggulan usaha (wajib):*
*keunikan usaha (wajib):*
Promo:
Data Target Iklan 
Lokasi:sentani jayapura papua
Usia:25-50
Jenis kelamin: semua
Durasi:10
Data Pembayaran
----
Total Bayar: 375000
Cs: Yuni
Status: Perpanjang</t>
  </si>
  <si>
    <t>Trigger: #inputlaporan#
Laporan CS Jasa Iklan UMKM
------- 
Nama CS: Tika
Tanggal: 01-Feb-2026
Leads:
Jumlah Closing: 2
Paket 1: 
Paket 2: 
Paket 3: 
Paket 4: 
Paket 5: 
Repeat Paket 1: 2
Repeat Paket 2: 
Repeat Paket 3: 
Repeat Paket 4: 
Repeat Paket 5: 
Catatan:</t>
  </si>
  <si>
    <t>Trigger: #inputlaporan#
Laporan CS Jasa Iklan UMKM
------- 
Nama CS: Tika
Tanggal: 03-Feb-2026
Leads:
Jumlah Closing: 2
Paket 1: 
Paket 2: 1
Paket 3: 
Paket 4: 
Paket 5: 
Repeat Paket 1: 1
Repeat Paket 2: 
Repeat Paket 3: 
Repeat Paket 4: 
Repeat Paket 5: 
Catatan:</t>
  </si>
  <si>
    <t>Trigger: #inputlaporan#
Laporan CS Jasa Iklan UMKM
------- 
Nama CS: Tika
Tanggal: 07-Feb-2026
Leads:
Jumlah Closing: 1
Paket 1: 
Paket 2: 
Paket 3: 
Paket 4: 
Paket 5: 
Repeat Paket 1: 
Repeat Paket 2: 
Repeat Paket 3: 
Repeat Paket 4: 
Repeat Paket 5: 1
Catatan:</t>
  </si>
  <si>
    <t>Trigger: #inputorder#
Data Pesanan Jasa Iklan UMKM
Data Pemesan
----
Tanggal: 8-Feb-2026
Nama: Eko Y
Nama Usaha: CV fajar gemilang plus 
Jenis Usaha: Kontraktor Fasade, Kaca, Acp, Alumunium, Arsitektur, Interior dll
No Whatsapp Bisnis: 6281338789995
Alamat usaha: Jalan Thamrin 78 Depan SMA 5 Kupang kantor CV fajar gemilang plus 
Durasi: 30
Deskripsi produk/jasa: Mengerjakan Fasade Gedung Acp kaca alumunium interior renovasi dan bikin baru 
*Keunggulan usaha*: Bergaransi dan gratis konsultasi dan desain 
Alamat web: https://Arsitekturfajar.com
Data Target Iklan
----
Lokasi: kota Kupang dan NTT
Usia: 30-65 tahun
Jenis kelamin: Laki laki dan Perempuan 
Data Pembayaran
----
Total Bayar: 1000000
Cs: Tika 
Status: Perpanjang</t>
  </si>
  <si>
    <t>Trigger: #inputorder#
Data Pesanan Jasa Iklan UMKM
Data Pemesan
----
Tanggal: 8-Feb-2026
Nama: Bang Zali
Nama Usaha: Cv Zalipool 
Jenis Usaha: Proyek kolam renang dan renovasi dan perawatan kolam renang 
No Whatsapp Bisnis: 6281990865975
Alamat usaha: Jalan Raya Serang Bitung Jaya RT 04 RW 02 Kecamatan Cikupa Kabupaten Tangerang Banten 
Durasi: 5
Deskripsi produk/jasa: Pembuatan kolam renang, Renovasi kolam renang dan perawatan kolam renang
*Keunggulan usaha (wajib)*: Teknisi berpengalaman, harga terjangkau 
Data Target Iklan
----
Lokasi: Jabodetabek 
Usia: semua
Jenis kelamin: semua
Data Pembayaran
----
Total Bayar: 197000
Cs: Tika 
Status: Perpanjang</t>
  </si>
  <si>
    <t>Cashflow saved for 6281990865975</t>
  </si>
  <si>
    <t>ORDER SAVED: ID-1770555890063</t>
  </si>
  <si>
    <t>Trigger: @userinfobot</t>
  </si>
  <si>
    <t>Trigger: #inputlaporan#
Laporan CS Jasa Iklan UMKM
------- 
Nama CS: Tika
Tanggal: 08-Feb-2026
Leads:
Jumlah Closing: 1
Paket 1: 
Paket 2: 
Paket 3: 
Paket 4: 
Paket 5: 
Repeat Paket 1: 1
Repeat Paket 2: 
Repeat Paket 3: 
Repeat Paket 4: 
Repeat Paket 5: 
Catatan:</t>
  </si>
  <si>
    <t>ChatId: 313440605</t>
  </si>
  <si>
    <t>Trigger: test bot</t>
  </si>
  <si>
    <t>ChatId: -1003470351325</t>
  </si>
  <si>
    <t>Trigger: #inputorder#
Data Pesanan Jasa Iklan UMKM
Data Pemesan
----
Tanggal: 8-Feb-2026
Nama: Iwan
Nama Usaha: Rumah Terapi Untuk Semua 
Jenis Usaha: Terapi Pengobatan Alternatif 
No Whatsapp Bisnis: 6281277547708
Alamat: Ruko Buana Impian 2 Boulevar A No.07 Simpang Barelang Tembesi Kec Sagulung Kota Batam dan Cabang Batu Aji Ruko Ruko Buana Point Blok A No.12b Depan Polsek Sagulung Kota Batam 
Durasi: 7
Deskripsi produk/jasa: 
*Keunggulan usaha (wajib):* melayani pijat tradisional,pijat refleksi,pijat kretek bone setting, pijat syarat,pijat vitalitas dan ejakulasi dini ,Bekam,patah tulang, terapi lintah,terapi gurah,totok punggung,al fasdu,sedia berbagai macam herbal untuk semua keluhan penyakit
Data Target Iklan
----
Lokasi: Batam
Usia: bebas
Jenis kelamin: laki-laki dan perempuan 
Data Pembayaran
----
Total Bayar: 297000
Cs: Isna
Status: Baru</t>
  </si>
  <si>
    <t>Cashflow saved for 6281277547708</t>
  </si>
  <si>
    <t>ORDER SAVED: ID-1770607654262</t>
  </si>
  <si>
    <t>ChatId: -5263303873</t>
  </si>
  <si>
    <t>Trigger: #inputorder#
Data Pesanan Jasa Iklan UMKM
Data Pemesan
----
Tanggal: 9-Feb-2026
Nama: Herni
Nama Usaha: Bengkel Las Warna Kanopy Stell 
Jenis Usaha: Las Aluminium 
No Whatsapp Bisnis: 628131428282
Alamat: Jln Abdullah Wahai Cinaka Indah Pokok Cabe Depok
Durasi: 30
Deskripsi produk/jasa: Melayani semua jenis kanopi pagar, plafon pvc, kusen aluminium, Kontruksi baja wf dan baja ringan 
melayani pemasangan se-jabodetabek survei lokasi dan konsultasi gratis, harga nego di lokasi sampai deal
*Keunggulan usaha (wajib):*material besi holo galvanis anti karat # waktu pengerjaan tepat waktu #harga transparan  -  tidak ada biaya tersembunyi #tim teknisi berpengalaman lebih dari 5thn#
*keunikan usaha (wajib):*
Promo: desain dengan nuansa lokal sunda motif batik/opname siger#survei lokasi  dan konsultasi gratis 
Data Target Iklan
----
Lokasi: Depok dan Tangerang 
Usia: 21 th ke atas 
Jenis kelamin: laki-laki dan perempuan 
Data Pembayaran
----
Total Bayar: 1000000
Cs: Isna
Status: Baru</t>
  </si>
  <si>
    <t>Cashflow saved for 628131428282</t>
  </si>
  <si>
    <t>ORDER SAVED: ID-1770697127594</t>
  </si>
  <si>
    <t>Trigger: #inputorder#
Data Pesanan Jasa Iklan UMKM
Data Pemesan
----
Tanggal: 10-Feb-2026
Nama: Thoyibah Hasanah 
Nama Usaha: Paotere tour and travel 
Jenis Usaha: biro perjalanan 
Alamat usaha: jl Abdullah daeng sirua no 336 paropo kecamatan Panakkukang,kota Makassar Sulawesi Selatan 90233
No Whatsapp Bisnis:6281228061933
Durasi: 10
Deskripsi produk/jasa:
Keunggulan: aman dan amanah 
Keunikan: harga terjangkau untuk semua kalangan 
Promo: setiap pendaftar akan mendapatkan diskon 500- 1 juta / jamaah 
Data Target Iklan
----
Lokasi: Indonesia tengah dan timur 
Usia: 25 tahun ke atas
Jenis kelamin: perempuan dan laki-laki 
Data Pembayaran
----
Total Bayar: 375000
Cs: Maya
Status: Baru</t>
  </si>
  <si>
    <t>Cashflow saved for 6281228061933</t>
  </si>
  <si>
    <t>ORDER SAVED: ID-1770734424178</t>
  </si>
  <si>
    <t>Trigger: #inputorder#
Data Pesanan Jasa Iklan UMKM
Data Pemesan
----
Tanggal: 10-Feb-2026
Nama: Mom Usman
Nama Usaha: Rumah Sehat 
Jenis Usaha: Message/Urut Tradisional 
No Whatsapp Bisnis: 6287842727430
Durasi: 5
Deskripsi produk/jasa: 
Kami melayani massage &amp; urut tradisional untuk membantu meredakan pegal, lelah, dan menjaga kebugaran tubuh, dengan teknik tradisional yang aman dan nyaman.
*Keunggulan:*
- Praktis &amp; hemat waktu
- Lebih rileks &amp; nyaman
- Privasi terjaga
- Fleksibel waktu
Data Target Iklan
----
Lokasi: Batam
Usia: anak-anak - dewasa
Jenis kelamin: khusus wanita 
Data Pembayaran
----
Total Bayar: 197000
Cs: Isna
Status: Baru</t>
  </si>
  <si>
    <t>Cashflow saved for 6287842727430</t>
  </si>
  <si>
    <t>ORDER SAVED: ID-1770767392791</t>
  </si>
  <si>
    <t>Trigger: #inputorder#
Data Pesanan Nyala Digital 
Data Pemesan
----
Tanggal: 10-Feb-2026
Nama: Heri 
Nama Usaha: Anterin. Rent
Jenis Usaha: menyewakan mobil+driver tidak lepas kunci
No Whatsapp Bisnis: 6287782749624
Durasi: 10
Deskripsi produk/jasa: jasa sewa mobil hiace+driver
*Keunggulan usaha (wajib)*: aman nyaman amanah dan terpercaya
*keunikan usaha (wajib)*:
Promo:free air mineral harga wajib nego
Data Target Iklan
----
Lokasi: jabodetabek
Usia: bebas
Jenis kelamin: bebas
Data Pembayaran
----
Total Bayar: 350000
Cs: asti
Status: CRM</t>
  </si>
  <si>
    <t>Cashflow saved for 6287782749624</t>
  </si>
  <si>
    <t>ORDER SAVED: ID-1770768607174</t>
  </si>
  <si>
    <t>Trigger: #inputorder#
Data Pesanan Nyala Digital 
Data Pemesan
----
Tanggal: 10-Feb-2026
Nama: Zainal
Nama Usaha: Gejayan Innova
Jenis Usaha: interior Cover Jok Mobil, hiace dsb
No Whatsapp Bisnis: 628562943274
Durasi: 5
Deskripsi produk/jasa:
*Keunggulan usaha (wajib)*: Cover jok " *BUKAN SARUNG* " pemasangan semi paten, hasil lebih rapi dan presisi. Bahan berkualitas , dekat pusat kota
*keunikan usaha (wajib)*: estimasi pengerjeaan (ayla, brio, raize dsb) 1-2 jam. (avanza, calya, innova ) 3-4 jam,
Data Target Iklan
----
Lokasi: jogja, klaten, solo, purworejo, cilacap. semarang, (jawa tengah)
Usia: 17-60th
Jenis kelamin: laki-laki, perempuan
Data Pembayaran
----
Total Bayar: 197000
Cs: asti
Status: CRM</t>
  </si>
  <si>
    <t>Cashflow saved for 628562943274</t>
  </si>
  <si>
    <t>ORDER SAVED: ID-1770773073094</t>
  </si>
  <si>
    <t>Trigger: #inputorder#
Data Pesanan Jasa Iklan UMKM
Data Pemesan
Tanggal: 11-Feb-2026
Nama: Diditz 
Nama Usaha: Sales Truk Hino 
Jenis Usaha: Otomotif 
No Whatsapp Bisnis:6281219102600
Alamat usaha: Jl Jend. A. Yani No 52 Jakarta Pusat 
Deskripsi produk/jasa : TERSEDIA TYPE HINO 115 SD, 115 SDL, 136 HDX, 136 HDL, 136 MDL-R, FG 260 TH, SG280TH, FL 280 JW, FM280JW, FM280JD
PROMO AWAL TAHUN TERMURAH DAN UNIT READY 
Data Target Iklan 
Lokasi: Jabodetabek JAKARTA, TANGERANG/BEKASI
Usia: 30 - 50 Th 
Jenis kelamin: L/P
Durasi:5
Data Pembayaran
----
Total Bayar: 197000
Cs: Yuni
Status: Perpanjang</t>
  </si>
  <si>
    <t>Trigger: #inputorder#
Data Pesanan Jasa Iklan UMKM
Data Pemesan
----
Tanggal: 11-Feb-2026
Nama: khafid ali
Nama Usaha: cv adam jaya construction
Jenis Usaha: desain dan bangun
No Whatsapp Bisnis:6281283325291
Alamat usaha: perum vila gading permai b3 no 25 jabon mekar
Deskripsi produk/jasa: desain, bangun baru, renovasi rumah
Data Target Iklan
----
Lokasi: Cibubur,Jaksel,Cipete ,Lebak bulus dan sekitarnya 
Usia: 17-55 thn
Jenis kelamin: laki laki dan perempuan 
Data iklan
----
Durasi:5
Data Pembayaran
----
Total Bayar:197000
Cs: Yuni
Status: Perpanjang</t>
  </si>
  <si>
    <t>Trigger: #inputlaporan#
Laporan CS Jasa Iklan UMKM
------- 
Nama CS: Yuni
Tanggal: 12-Feb-2026
Leads:
Jumlah Closing: 2
Paket 1: 
Paket 2: 
Paket 3: 
Paket 4: 
Paket 5: 
Repeat Paket 1: 2
Repeat Paket 2: 
Repeat Paket 3: 
Repeat Paket 4: 
Repeat Paket 5: 
Catatan:</t>
  </si>
  <si>
    <t>LAPORAN SAVED: 1517</t>
  </si>
  <si>
    <t>Trigger: #inputorder#
Data Pesanan Jasa Iklan UMKM
Data Pemesan
Tanggal:12-Feb-2026
Nama:Yasmin
Nama Usaha: Yasmin health staycation 
Jenis Usaha: health staycation
No Whatsapp Bisnis:6287708424140
Alamat usaha: Jalan jeprah no 69 Palasari Cipanas Cianjur Jawa Barat
Deskripsi produk/jasa:
Solusi terakhir stroke ,nyeri saraf kejepit dan nyeri lutut osteoartritis bahkan nyeri kanker anda ..
Bahkan meski anda sudah gagal dengan berbagai terapi alternatif atau ke luar negeri...
Data Target Iklan 
Lokasi: Indonesia, Malaysia 
Usia:50keatas
Jenis kelamin: semua 
Durasi:5
Data Pembayaran
----
Total Bayar: 197000
Cs: Yuni
Status: Perpanjang</t>
  </si>
  <si>
    <t>ORDER UPDATED: UPDATE-ID-1769996983567</t>
  </si>
  <si>
    <t>Trigger: #inputorder#
Data Pesanan Jasa Iklan UMKM
Data Pemesan
Tanggal:12-Feb-2026
Nama: bapak ari
Nama Usaha: Ari kontraktor 
Jenis Usaha: pemborong bangunan 
No Whatsapp Bisnis:6281222788601
Alamat usaha: kp. Sindangsari no. 5 manggahang Baleendah Bandung 
Deskripsi produk/jasa:jasa bangun baru/renovasi rumah,ruko,pabrik, kitchen set, kanopi, atap baja,pagar dll
*Keunggulan usaha (wajib):*
*keunikan usaha (wajib):*
Promo:
Data Target Iklan 
Lokasi:Jawa Barat , Jabodetabek 
Usia: 20-50
Jenis kelamin: semua 
Durasi:5
Data Pembayaran
----
Total Bayar: 197000
Cs: Yuni
Status: Perpanjang</t>
  </si>
  <si>
    <t>Trigger: #inputorder#
Data Pesanan Jasa Iklan UMKM
Data Pemesan
----
Tanggal: 12-Feb-2026
Nama: Eko
Nama Usaha: CV Fajar Gemilang
Jenis Usaha: kontraktor/aplikator acp , kaca , aluminium , interior , arsitektur gedung dll
No Whatsapp Bisnis:6281338789995
Alamat usaha: jln thamrin 78 Kota Kupang 
Deskripsi produk/jasa: Aplikator acp, kaca tempered, aluminium, interior, Arsitektur dll
Keunggulan: Bergaransi,Gratis konsultasi dan desain
Data Target Iklan
----
Lokasi: kupang ntt
Usia: 25-60
Jenis kelamin:semua
Data iklan
----
Durasi:14
Data Pembayaran
----
Total Bayar: 550000
Cs: Yuni
Status: Perpanjang</t>
  </si>
  <si>
    <t>Trigger: #inputorder#
Data Pesanan Jasa Iklan UMKM
Data Pemesan
Tanggal:12-Feb-2026
Nama: suryana
Nama Usaha: MEGAH PLAFON Gypsum 
Jenis Usaha: Gypsum
No Whatsapp Bisnis:6281323291817
Alamat usaha: jalan Dewi Sartika,Palu
Deskripsi produk/jasa: menjual berbagai list-list Gipsum
menerima pemasangan plafon gypsum, PVC
*Keunggulan usaha (wajib): Kualitas terpercaya*
*keunikan usaha (wajib):*
Promo:Harga partai dan eceran, mulai harga paling kecil 13rb
Data Target Iklan 
Lokasi: Sulawesi Tengah 
Usia: 18-60
Jenis kelamin:semua
Durasi:20
Data Pembayaran
----
Total Bayar:700000
Cs: Yuni
Status: Perpanjang</t>
  </si>
  <si>
    <t>Cashflow saved for 6281323291817</t>
  </si>
  <si>
    <t>ORDER SAVED: ID-1770861160755</t>
  </si>
  <si>
    <t>Trigger: #inputorder#
Data Pesanan Jasa Iklan UMKM
Data Pemesan
Tanggal:12-Feb-2026
Nama:haris
Nama Usaha: STARLINK
Jenis Usaha:jaringan internet
No Whatsapp Bisnis:6285242640112
Alamat usaha: jalan petta punggawa kab sinjai 
Deskripsi produk/jasa:menyediakan wifi jaringan internet , menyediakan paket internet tanpa dibatasi pengguna 
*Keunggulan usaha (wajib):*jaringan kuat*
*keunikan usaha (wajib):*bisa internet walaupun berada di tengah laut atau gunung*
Promo:
Data Target Iklan 
Lokasi:kab sinjai dan kecamatan kajuara 77
Usia:25keatas
Jenis kelamin: semua 
Durasi:3
Data Pembayaran
----
Total Bayar: 147000
Cs: Yuni
Status:Baru</t>
  </si>
  <si>
    <t>ORDER SAVED: ID-1770870624574</t>
  </si>
  <si>
    <t>Trigger: #inputlaporan#
Laporan CS Jasa Iklan UMKM
------- 
Nama CS: Yuni
Tanggal: 12-Feb-2026
Leads:
Jumlah Closing: 5
Paket 1: 1
Paket 2: 
Paket 3: 
Paket 4: 
Paket 5: 
Repeat Paket 1: 2
Repeat Paket 2: 
Repeat Paket 3: 1
Repeat Paket 4: 1
Repeat Paket 5: 
Catatan:
8 no respon 
13 tanya2
3 nanti dikabarin 
2 diskusikan dulu
1 Minggu depan</t>
  </si>
  <si>
    <t>LAPORAN SAVED: 1518</t>
  </si>
  <si>
    <t>Trigger: #inputlaporan#
Laporan CS Jasa Iklan UMKM
------- 
Nama CS: Yuni
Tanggal: 12-Feb-2026
Leads:27
Jumlah Closing: 5
Paket 1: 1
Paket 2: 
Paket 3: 
Paket 4: 
Paket 5: 
Repeat Paket 1: 2
Repeat Paket 2: 
Repeat Paket 3: 1
Repeat Paket 4: 1
Repeat Paket 5: 
Catatan:
8 no respon 
13 tanya2
3 nanti dikabarin 
2 diskusikan dulu
1 Minggu depan</t>
  </si>
  <si>
    <t>LAPORAN SAVED: 1519</t>
  </si>
  <si>
    <t>Trigger: #inputlaporan#
Laporan CS Jasa Iklan UMKM
------- 
Nama CS: Yuni
Tanggal: 13-Feb-2026
Leads:30
Jumlah Closing: 
Paket 1: 
Paket 2: 
Paket 3: 
Paket 4: 
Paket 5: 
Repeat Paket 1: 
Repeat Paket 2: 
Repeat Paket 3: 
Repeat Paket 4: 
Repeat Paket 5: 
Catatan:
13 no respon 
14 tanya2
3 batal harga</t>
  </si>
  <si>
    <t>LAPORAN SAVED: 1520</t>
  </si>
  <si>
    <t>Trigger: #inputlaporan#
Laporan CS Jasa Iklan UMKM
------- 
Nama CS: Tika
Tanggal: 13-Feb-2026
Leads:16
Jumlah Closing: 
Paket 1: 
Paket 2: 
Paket 3: 
Paket 4: 
Paket 5: 
Repeat Paket 1: 
Repeat Paket 2: 
Repeat Paket 3: 
Repeat Paket 4: 
Repeat Paket 5: 
Catatan:
9 nores
5 harga 
1 nunggu tf
1 diskusikan dulu</t>
  </si>
  <si>
    <t>LAPORAN SAVED: 1521</t>
  </si>
  <si>
    <t>Trigger: #inputorder#
Data Pesanan Jasa Iklan UMKM
Data Pemesan
Tanggal:14-Feb-2026
Nama: Nazwan 
Nama Usaha: NAZWAN POOL
Jenis Usaha: Kontraktor kolam renang 
No Whatsapp Bisnis: 6282125057012
Alamat usaha: Jl H, Tholib RT 02/RW 10 kec, ciepete utara kel, kebayoran baru jakarta selatan
Deskripsi produk/jasa:
melayani jasa Pembuatan kolam renang, Renovasi kolam renang, Perawatan kolam renang,Maupun Instalasi kolam renang, dari kolam renang pribadi, waterboom, sampai kolam renang berukuran olympic.
Kami Selalu Menerapkan
-Konsen terhadap Design kolam renang.
-Kerapian pekerjaan menjadi fokus kami.
-Ketepatan waktu pekerjaan.
-Serta komunikasi dalam hal pekerjaan di lapangan.
*Keunggulan usaha (wajib):*
*keunikan usaha (wajib):*
Promo:
Data Target Iklan 
Lokasi: Jabodetabek 
Usia: 25-50
Jenis kelamin: semua 
Durasi:10
Data Pembayaran
----
Total Bayar: 375000
Cs: Yuni
Status: Perpanjang</t>
  </si>
  <si>
    <t>ORDER UPDATED: UPDATE-ORD-966</t>
  </si>
  <si>
    <t>Trigger: #inputorder#
Data Pesanan Jasa Iklan UMKM
Data Pemesan
----
Tanggal: 24-Feb-2026
Nama: Daniel 
Nama Usaha: Damey AC &amp; Service elektronik 
Jenis Usaha: Service AC dan service elektronik 
No Whatsapp Bisnis: 6285888105671
Durasi: 5
Alamat: Zhafran residence, jalan Abdul gani Cilodong kota Depok Jawa barat
Deskripsi produk/jasa: 
*Keunggulan usaha*: Jasa lebih bersih, lebih jujur dan tentunya murah 
*Kelebihan usaha*: Cuci AC dan perbaikan lebih aman dengan harga yang transparan dan dikerjakan oleh teknisi profesional 
Data Target Iklan
----
Lokasi: Depok, Bogor, Cibubur, Cilengsi, Jakarta Selatan 
Usia: 25-50 tahun 
Jenis kelamin: Semua
Data Pembayaran
----
Total Bayar: 197000
Cs: Tika 
Status: Baru</t>
  </si>
  <si>
    <t>Cashflow saved for 6285888105671</t>
  </si>
  <si>
    <t>ORDER SAVED: ID-1771039003526</t>
  </si>
  <si>
    <t>Trigger: #inputorder#
Data Pesanan Jasa Iklan UMKM
Data Pemesan
----
Tanggal: 14-Feb-2026
Nama: Erik Nurdiansyah 
Nama Usaha: PT Lintang Jaya Konstruksi Desain And Building 
Jenis Usaha: Kontruksi 
No Whatsapp Bisnis: 6285871503571
Alamat: cihaur rt003 rw005 desa bojongsari kec jampangkulon kab sukabumi , rencana buka lg kantor di jl.sukaresmi rt08 rw04 kec cisaat kab sukabumi dekat kolam renang cigunung dan  bogor utara kota bogor provinsi jawabarat 
Durasi: 5
Deskripsi produk/jasa: 
pembangunan dan renovasi rumah,kantor,gudang,kontrakan,pemagaran ,interior,kitchenshet,kanopi dll
*Keunggulan usaha (wajib):cepat,tepat,flexsibel dan dikerjakan oleh ahlinya 
*keunikan usaha (wajib):bisa konsep rumah tumbuh dan di pt kami ada jasa pemeliharaan yg kecil2 seperti pemelihaaraan dak beton bocor ganti kramik lamar mandi ,ganti kabel kelistrikan dan hal kecil lainnya 
Promo:free konsultasi,desain gratis ketika pembangunan di laksanakan oleh pt kami(promo terbatas)
Data Target Iklan
----
Lokasi: Jawa Barat, Banten, Jabodetabek 
Usia: 25 th ke atas 
Jenis kelamin: laki-laki dan perempuan 
Data Pembayaran
----
Total Bayar: 197000
Cs: Isna
Status: Baru</t>
  </si>
  <si>
    <t>Cashflow saved for 6285871503571</t>
  </si>
  <si>
    <t>ORDER SAVED: ID-1771044358295</t>
  </si>
  <si>
    <t>Trigger: #inputorder#
Data Pesanan Jasa Iklan UMKM
Data Pemesan
----
Tanggal: 14-Feb-2026
Nama: Anwar
Nama Usaha: Ganesha Group 
Jenis Usaha: Pengecatan dan Waterproofing
No Whatsapp Bisnis: 6281515661112
Alamat: amertha safira C4 no 12 B candi sidoarjo
Durasi: 10
Deskripsi produk/jasa: 
jasa pengecatan gedung lama jadi baru , pelapis cegah dan atasi kebocoran 
*Keunggulan usaha (wajib):*bergaransi 3th
*keunikan usaha (wajib):*tenaga profesional di bidang nya dan bersertivikasi
Promo:
Data Target Iklan
----
Lokasi: Surabaya, Sidoarjo, Malang Kota
Usia: 30-60 th
Jenis kelamin: laki-laki dan perempuan 
Data Pembayaran
----
Total Bayar: 375000
Cs: Isna
Status: Baru</t>
  </si>
  <si>
    <t>Cashflow saved for 6281515661112</t>
  </si>
  <si>
    <t>ORDER SAVED: ID-1771048665067</t>
  </si>
  <si>
    <t>Trigger: #inputorder#
Data Pesanan Jasa Iklan UMKM
Data Pemesan
----
Tanggal: 14-Feb-2026
Nama: Andri Suhandri
Nama Usaha: Arsitektur Andri
Jenis Usaha: Design gambar dan bangun 
No Whatsapp Bisnis: 62895326008269
Durasi: 5
Alamat: Rangkas Bitung kabupaten Lebak banten, komplek tulip residence blok E1 No.570
Deskripsi produk/jasa: 
*Keunggulan usaha*: Harga murah bikin mewah 
Data Target Iklan
----
Lokasi: seluruh Indonesia 
Usia: bebas
Jenis kelamin: bebas
Data Pembayaran
----
Total Bayar: 197000
Cs: Tika 
Status: Baru</t>
  </si>
  <si>
    <t>Cashflow saved for 62895326008269</t>
  </si>
  <si>
    <t>ORDER SAVED: ID-1771048869902</t>
  </si>
  <si>
    <t>Trigger: #inputorder#
Data Pesanan Jasa Iklan UMKM
Data Pemesan
Tanggal: 14-Feb-2026
Nama: Agus Yahya Efendi
Nama Usaha: Toko Agus Yahya
Jenis Usaha: jual toko 
No Whatsapp Bisnis:620881010138777
Alamat usaha: (nama jalan, no rumah/bangunan)
Deskripsi produk/jasa: 
🏪 DIJUAL CEPAT TOKO STRATEGIS – PASAR KEBAYORAN LAMA BLOK A
Lokasi Premium:
📍 Pasar Kebayoran Lama – Blok A Lantai Dasar L00, Blok BKS No 002
➡ Posisi sangat strategis, area ramai pengunjung &amp; pembeli
Spesifikasi:
Luas: 6,5 m²
Surat: Sertifikat Hak Pemakaian Tempat Usaha (SHPTU)
Posisi: Lantai Dasar (paling dicari)
Cocok: kios dagang, aksesoris, HP, fashion, kosmetik, kuliner kering, dll
Keunggulan: ✅ Lalu lintas pembeli sangat ramai
✅ Lokasi pasar legendaris &amp; hidup
✅ Potensi omset tinggi
✅ Investasi cepat balik modal
Harga:
💰 Rp 200.000.000 (Nego langsung pemilik)
📞 Minat serius hubungi:
0881-0101-38777
Data Target Iklan 
Lokasi: Jabodetabek 
Usia: 20 tahun ke atas
Jenis kelamin: semua
Durasi:5
Data Pembayaran
----
Total Bayar: 197000
Cs: Yuni
Status: Perpanjang</t>
  </si>
  <si>
    <t>Cashflow saved for 620881010138777</t>
  </si>
  <si>
    <t>ORDER SAVED: ID-1771058043884</t>
  </si>
  <si>
    <t>Trigger: #inputlaporan#
Laporan CS Jasa Iklan UMKM
------- 
Nama CS: Yuni
Tanggal: 14-Feb-2026
Leads:9
Jumlah Closing: 2
Paket 1: 
Paket 2: 
Paket 3: 
Paket 4: 
Paket 5: 
Repeat Paket 1: 1
Repeat Paket 2: 
Repeat Paket 3: 1
Repeat Paket 4: 
Repeat Paket 5: 
Catatan:
6 no respon 
2 tanya2
1 ga ada uang</t>
  </si>
  <si>
    <t>LAPORAN SAVED: 1522</t>
  </si>
  <si>
    <t>Trigger: #inputlaporan#
Laporan CS Jasa Iklan UMKM
------- 
Nama CS: Tika
Tanggal: 14-Feb-2026
Leads:88
Jumlah Closing: 3
Paket 1: 2
Paket 2: 
Paket 3: 
Paket 4: 
Paket 5: 
Repeat Paket 1: 1
Repeat Paket 2: 
Repeat Paket 3: 
Repeat Paket 4: 
Repeat Paket 5: 
Catatan:
34 nores
28 tanya tanya 
6 berhenti di harga
3 nanti dulu
15 iseng
1 dp</t>
  </si>
  <si>
    <t>LAPORAN SAVED: 1523</t>
  </si>
  <si>
    <t>Trigger: #inputorder#
Data Pesanan Jasa Iklan UMKM
Data Pemesan
----
Tanggal: 15-Feb-2026
Nama: Supandi
Nama Usaha: Angkutan dalam dan luar kota supandi
Jenis Usaha: Jasa Angkutan 
No Whatsapp Bisnis: 628135084276
Durasi: 5
Alamat: Balikpapan Samarinda km29
Deskripsi produk/jasa: 
*Keunggulan usaha*: Tepat sasaran 
*Keunikan usaha*: amanah dan terpercaya 
Data Target Iklan
----
Lokasi: seluruh Kalimantan 
Usia: bebas
Jenis kelamin: bebas
Data Pembayaran
----
Total Bayar: 197000
Cs: Tika 
Status: Baru</t>
  </si>
  <si>
    <t>Cashflow saved for 628135084276</t>
  </si>
  <si>
    <t>ORDER SAVED: ID-1771114762194</t>
  </si>
  <si>
    <t>Trigger: #inputorder#
Data Pesanan Jasa Iklan UMKM
Data Pemesan
Tanggal: 16-feb-2026
Nama: MHD. ABDURAHIM.AL MASRI
Nama Usaha: MY REPUBLIK
Jenis Usaha: WIFI CEPAT
No Whatsapp Bisnis:6282318574594
Alamat usaha: Jl.kereta api,gg.tiung
Deskripsi produk/jasa: 🚀 Internet Lemot? Saatnya Beralih ke WiFi Cepat &amp; Stabil!
Daripada terus boros beli paket data tiap minggu, mending pasang WiFi — lebih hemat, lebih kencang, dan tanpa ribet!
✨ Keuntungan yang kamu dapat: 
✅ GRATIS biaya pemasangan 
✅ Internet tanpa batas kuota — bebas streaming &amp; gaming 
✅ Harga flat — tagihan jelas tiap bulan 
✅ Customer service siap bantu 24/7 
✅ Paket Nexus ke atas GRATIS aplikasi hiburan untuk nonton film &amp; series favorit 
✅ Koneksi tetap stabil meski cuaca ekstrem 
✅ Internet simetris 1:1 — download dan upload sama cepatnya
🔥 Cocok untuk kerja, sekolah online, gaming, streaming, dan usaha!
Yuk pasang sekarang dan rasakan internet tanpa batas!
*Keunggulan usaha (wajib):* wifi cepat,tahan d cuaca extream,harga flat
*keunikan usaha (wajib):* gratis biaya pasang,proses cepat,bisa d pasang d hari yang sama
Promo:
Neo 200mbps  -&gt; 233.100
Velo 300mbps -&gt; 277.500
Nexus 400mbps -&gt; 333.000 (free vidio lite)
Prime 500mbps -&gt; 555.000 (free vidio lite)
Wonder 750mbps -&gt; 721.000 (free vidio lite)
Ultra 1gbps -&gt; 943.500 (free vidio lite)
Data Target Iklan 
Lokasi: pekanbaru
Usia: 18 - 50
Jenis kelamin: LK/PR
Durasi:5
Data Pembayaran
----
Total Bayar: 197000
Cs: Yuni
Status:Baru</t>
  </si>
  <si>
    <t>Cashflow saved for 6282318574594</t>
  </si>
  <si>
    <t>ORDER SAVED: ID-1771131484489</t>
  </si>
  <si>
    <t>Trigger: #inputlaporan#
Laporan CS Jasa Iklan UMKM
------- 
Nama CS: Yuni
Tanggal: 15-Feb-2026
Leads:9
Jumlah Closing: 1
Paket 1: 1
Paket 2: 
Paket 3: 
Paket 4: 
Paket 5: 
Repeat Paket 1: 
Repeat Paket 2: 
Repeat Paket 3: 
Repeat Paket 4: 
Repeat Paket 5: 
Catatan:</t>
  </si>
  <si>
    <t>LAPORAN SAVED: 1524</t>
  </si>
  <si>
    <t>Trigger: #inputlaporan#
Laporan CS Jasa Iklan UMKM
------- 
Nama CS: Tika
Tanggal: 15-Feb-2026
Leads:
Jumlah Closing: 1
Paket 1: 1
Paket 2: 
Paket 3: 
Paket 4: 
Paket 5: 
Repeat Paket 1: 
Repeat Paket 2: 
Repeat Paket 3: 
Repeat Paket 4: 
Repeat Paket 5: 
Catatan:</t>
  </si>
  <si>
    <t>LAPORAN SAVED: 1525</t>
  </si>
  <si>
    <t>Trigger: Ini tanggal input nya 14 yang benar ya kak?</t>
  </si>
  <si>
    <t>Trigger: #inputorder#
Data Pesanan Jasa Iklan UMKM
Data Pemesan
----
Tanggal: 17-Feb-2026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</si>
  <si>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Trigger: #inputorder#
Data Pesanan Jasa Iklan UMKM
Data Pemesan
----
Tanggal: 17/02/2026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Status:perpanjang</t>
  </si>
  <si>
    <t>Cashflow saved for 6287856230745</t>
  </si>
  <si>
    <t>saveKomisi dipanggil (dummy)</t>
  </si>
  <si>
    <t>Perpanjang valid → cashflow + komisi added</t>
  </si>
  <si>
    <t>Duplicate update ignored: 457854395</t>
  </si>
  <si>
    <t>Duplicate message ignored</t>
  </si>
  <si>
    <t>Trigger: #inputorder#
Data Pesanan Jasa Iklan UMKM
Data Pemesan
----
Tanggal: 05/05/2026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Status:perpanjang</t>
  </si>
  <si>
    <t>{"parameters":{},"parameter":{},"postData":{"contents":"{\"update_id\":457854406,\n\"message\":{\"message_id\":1931,\"from\":{\"id\":313440605,\"is_bot\":false,\"first_name\":\"rudiantoselalu\",\"language_code\":\"en\"},\"chat\":{\"id\":-1003470351325,\"title\":\"Nyala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Yuni\\nStatus:perpanjang\",\"entities\":[{\"offset\":0,\"length\":11,\"type\":\"text_link\",\"url\":\"tg://search_hashtag?hashtag=inputorder\"}]}}","length":993,"name":"postData","type":"application/json"},"queryString":"","contextPath":"","contentLength":993}</t>
  </si>
  <si>
    <t>{"contextPath":"","parameters":{},"contentLength":993,"parameter":{},"queryString":"","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t>
  </si>
  <si>
    <t>{"contextPath":"","postData":{"contents":"{\"update_id\":457854406,\n\"message\":{\"message_id\":1931,\"from\":{\"id\":313440605,\"is_bot\":false,\"first_name\":\"rudiantoselalu\",\"language_code\":\"en\"},\"chat\":{\"id\":-1003470351325,\"title\":\"Nyala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Yuni\\nStatus:perpanjang\",\"entities\":[{\"offset\":0,\"length\":11,\"type\":\"text_link\",\"url\":\"tg://search_hashtag?hashtag=inputorder\"}]}}","length":993,"name":"postData","type":"application/json"},"contentLength":993,"parameters":{},"parameter":{},"queryString":""}</t>
  </si>
  <si>
    <t>{"contextPath":"","postData":{"contents":"{\"update_id\":457854406,\n\"message\":{\"message_id\":1931,\"from\":{\"id\":313440605,\"is_bot\":false,\"first_name\":\"rudiantoselalu\",\"language_code\":\"en\"},\"chat\":{\"id\":-1003470351325,\"title\":\"Nyala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Yuni\\nStatus:perpanjang\",\"entities\":[{\"offset\":0,\"length\":11,\"type\":\"text_link\",\"url\":\"tg://search_hashtag?hashtag=inputorder\"}]}}","length":993,"name":"postData","type":"application/json"},"queryString":"","parameters":{},"contentLength":993,"parameter":{}}</t>
  </si>
  <si>
    <t>{"parameters":{},"contentLength":993,"parameter":{},"queryString":"","contextPath":"","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t>
  </si>
  <si>
    <t>{"queryString":"","postData":{"contents":"{\"update_id\":457854406,\n\"message\":{\"message_id\":1931,\"from\":{\"id\":313440605,\"is_bot\":false,\"first_name\":\"rudiantoselalu\",\"language_code\":\"en\"},\"chat\":{\"id\":-1003470351325,\"title\":\"Nyala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Yuni\\nStatus:perpanjang\",\"entities\":[{\"offset\":0,\"length\":11,\"type\":\"text_link\",\"url\":\"tg://search_hashtag?hashtag=inputorder\"}]}}","length":993,"name":"postData","type":"application/json"},"contextPath":"","parameters":{},"contentLength":993,"parameter":{}}</t>
  </si>
  <si>
    <t>{"contextPath":"","postData":{"contents":"{\"update_id\":457854406,\n\"message\":{\"message_id\":1931,\"from\":{\"id\":313440605,\"is_bot\":false,\"first_name\":\"rudiantoselalu\",\"language_code\":\"en\"},\"chat\":{\"id\":-1003470351325,\"title\":\"Nyala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Yuni\\nStatus:perpanjang\",\"entities\":[{\"offset\":0,\"length\":11,\"type\":\"text_link\",\"url\":\"tg://search_hashtag?hashtag=inputorder\"}]}}","length":993,"name":"postData","type":"application/json"},"parameter":{},"contentLength":993,"queryString":"","parameters":{}}</t>
  </si>
  <si>
    <t>{"queryString":"","parameter":{},"contextPath":"","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Yuni\\nStatus:perpanjang\",\"entities\":[{\"offset\":0,\"length\":11,\"type\":\"text_link\",\"url\":\"tg://search_hashtag?hashtag=inputorder\"}]}}","length":993,"name":"postData","type":"application/json"},"contentLength":993,"parameters":{}}</t>
  </si>
  <si>
    <t>{"contentLength":993,"contextPath":"","queryString":"","postData":{"contents":"{\"update_id\":457854406,\n\"message\":{\"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Yuni\\nStatus:perpanjang\",\"entities\":[{\"offset\":0,\"length\":11,\"type\":\"text_link\",\"url\":\"tg://search_hashtag?hashtag=inputorder\"}]}}","length":993,"name":"postData","type":"application/json"},"parameters":{},"parameter":{}}</t>
  </si>
  <si>
    <t>STEP 1: JSON PARSED</t>
  </si>
  <si>
    <t>STEP 2: MESSAGE {"message_id":1931,"from":{"id":313440605,"is_bot":false,"first_name":"rudiantoselalu","language_code":"en"},"chat":{"id":-1003470351325,"title":"Nyala Digital Group Bot","type":"supergroup"},"date":1771368633,"text":"#inputorder#\nData Pesanan Jasa Iklan UMKM\n\nData Pemesan\n----\nTanggal: 05/05/2026\nNama: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t>
  </si>
  <si>
    <t>STEP 3: TRY LOCK</t>
  </si>
  <si>
    <t>LOCKED MESSAGE</t>
  </si>
  <si>
    <t>STEP 4: LOCK SUCCESS</t>
  </si>
  <si>
    <t>STEP 5: TEXT = #inputorder#
Data Pesanan Jasa Iklan UMKM
Data Pemesan
----
Tanggal: 05/05/2026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Status:perpanjang</t>
  </si>
  <si>
    <t>STEP 6: KEYWORD = inputorder</t>
  </si>
  <si>
    <t>STEP 7: PARSED = {"tanggal":"05/05/2026","nama":"Eka Setia Karsa","namaUsaha":"AURIGA KONTRAKTOR","jenisUsaha":"KONTRAKTOR","noWhatsappBisnis":"6287856230745","deskripsi":"","lokasi":"Bali,Denpasar, Jimbaran , Canggu , Seminyak ,Badung,ubud","usia":"17-60","gender":"laki-laki dan perempuan","durasi":"10","mulai":"","selesai":"","catatan":"","totalBayar":"375000","cs":"Yuni","status":"perpanjang","statusPembayaran":""}</t>
  </si>
  <si>
    <t>ERROR saveCashflow: Cannot read properties of null (reading 'getLastRow')</t>
  </si>
  <si>
    <t>STEP 2: MESSAGE {"message_id":1932,"from":{"id":7486128115,"is_bot":false,"first_name":"Dani","last_name":"Sari","username":"Dani3a","language_code":"id"},"chat":{"id":-1003470351325,"title":"Nyala Digital Group Bot","type":"supergroup"},"date":1771368914,"text":"#inputlaporan#\n\nLaporan CS Jasa Iklan UMKM\n------- \nNama CS: Yuni\nTanggal: 17-Feb-2026\n\nLeads:11\nJumlah Closing: 1\n\nPaket 1: \nPaket 2: \nPaket 3: \nPaket 4: \nPaket 5: \n\nRepeat Paket 1: \nRepeat Paket 2: 1\nRepeat Paket 3: \nRepeat Paket 4: \nRepeat Paket 5: \n\nCatatan:\n\n8 no respon \n2 tanya2\n1 ga ada uang"}</t>
  </si>
  <si>
    <t>Trigger: #inputlaporan#
Laporan CS Jasa Iklan UMKM
------- 
Nama CS: Yuni
Tanggal: 17-Feb-2026
Leads:11
Jumlah Closing: 1
Paket 1: 
Paket 2: 
Paket 3: 
Paket 4: 
Paket 5: 
Repeat Paket 1: 
Repeat Paket 2: 1
Repeat Paket 3: 
Repeat Paket 4: 
Repeat Paket 5: 
Catatan:
8 no respon 
2 tanya2
1 ga ada uang</t>
  </si>
  <si>
    <t>STEP 5: TEXT = #inputlaporan#
Laporan CS Jasa Iklan UMKM
------- 
Nama CS: Yuni
Tanggal: 17-Feb-2026
Leads:11
Jumlah Closing: 1
Paket 1: 
Paket 2: 
Paket 3: 
Paket 4: 
Paket 5: 
Repeat Paket 1: 
Repeat Paket 2: 1
Repeat Paket 3: 
Repeat Paket 4: 
Repeat Paket 5: 
Catatan:
8 no respon 
2 tanya2
1 ga ada uang</t>
  </si>
  <si>
    <t>STEP 6: KEYWORD = inputlaporan</t>
  </si>
  <si>
    <t>LAPORAN SAVED: 1526</t>
  </si>
  <si>
    <t>LAPORAN SAVED: 1527</t>
  </si>
  <si>
    <t>LAPORAN SAVED: 1528</t>
  </si>
  <si>
    <t>LAPORAN SAVED: 1529</t>
  </si>
  <si>
    <t>LAPORAN SAVED: 1530</t>
  </si>
  <si>
    <t>LAPORAN SAVED: 1531</t>
  </si>
  <si>
    <t>LAPORAN SAVED: 1532</t>
  </si>
  <si>
    <t>LAPORAN SAVED: 1533</t>
  </si>
  <si>
    <t>LAPORAN SAVED: 1534</t>
  </si>
  <si>
    <t>LAPORAN SAVED: 1535</t>
  </si>
  <si>
    <t>STEP 2: MESSAGE {"message_id":1933,"from":{"id":313440605,"is_bot":false,"first_name":"rudiantoselalu","language_code":"en"},"chat":{"id":-1003470351325,"title":"Nyala Digital Group Bot","type":"supergroup"},"date":1771369336,"text":"#inputorder#\nData Pesanan Jasa Iklan UMKM\n\nData Pemesan\n----\nTanggal: 05/06/2026\nNama: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Yuni\nStatus:perpanjang","entities":[{"offset":0,"length":11,"type":"text_link","url":"tg://search_hashtag?hashtag=inputorder"}]}</t>
  </si>
  <si>
    <t>Trigger: #inputorder#
Data Pesanan Jasa Iklan UMKM
Data Pemesan
----
Tanggal: 05/06/2026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Status:perpanjang</t>
  </si>
  <si>
    <t>STEP 5: TEXT = #inputorder#
Data Pesanan Jasa Iklan UMKM
Data Pemesan
----
Tanggal: 05/06/2026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Status:perpanjang</t>
  </si>
  <si>
    <t>STEP 7: PARSED = {"tanggal":"05/06/2026","nama":"Eka Setia Karsa","namaUsaha":"AURIGA KONTRAKTOR","jenisUsaha":"KONTRAKTOR","noWhatsappBisnis":"6287856230745","deskripsi":"","lokasi":"Bali,Denpasar, Jimbaran , Canggu , Seminyak ,Badung,ubud","usia":"17-60","gender":"laki-laki dan perempuan","durasi":"10","mulai":"","selesai":"","catatan":"","totalBayar":"375000","cs":"Yuni","status":"perpanjang","statusPembayaran":""}</t>
  </si>
  <si>
    <t>STEP 2: MESSAGE {"message_id":1934,"from":{"id":313440605,"is_bot":false,"first_name":"rudiantoselalu","language_code":"en"},"chat":{"id":-1003470351325,"title":"Nyala Digital Group Bot","type":"supergroup"},"date":1771369800,"text":"#inputorder#\nData Pesanan Jasa Iklan UMKM\n\nData Pemesan\n----\nTanggal: 05/07/2026\nNama: Eka Setia Karsa\nNama Usaha: AURIGA KONTRAKTOR \nJenis Usaha: KONTRAKTOR\nNo Whatsapp Bisnis: 6287856230745\nAlamat usaha: Jl Trijata Denpasar \nDeskripsi produk/jasa: : Jasa kontraktor membangun Rumah tinggal, Villa , ruko , gedung dari desain rancang bangun maupun pekerjaan Renovasi \n\nData Target Iklan\n----\nLokasi: Bali,Denpasar, Jimbaran , Canggu , Seminyak ,Badung,ubud\nUsia: 17-60\nJenis kelamin: laki-laki dan perempuan \n\nData iklan\n----\n\nDurasi:10\n\nData Pembayaran\n----\nTotal Bayar: 375000\nCs: Yuni\nStatus: Perpanjang","entities":[{"offset":0,"length":11,"type":"text_link","url":"tg://search_hashtag?hashtag=inputorder"}]}</t>
  </si>
  <si>
    <t>Trigger: #inputorder#
Data Pesanan Jasa Iklan UMKM
Data Pemesan
----
Tanggal: 05/07/2026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</si>
  <si>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STEP 5: TEXT = #inputorder#
Data Pesanan Jasa Iklan UMKM
Data Pemesan
----
Tanggal: 05/07/2026
Nama: Eka Setia Karsa
Nama Usaha: AURIGA KONTRAKTOR 
Jenis Usaha: KONTRAKTOR
No Whatsapp Bisnis: 6287856230745
Alamat usaha: Jl Trijata Denpasar 
Deskripsi produk/jasa: : Jasa kontraktor membangun Rumah tinggal, Villa , ruko , gedung dari desain rancang bangun maupun pekerjaan Renovasi 
Data Target Iklan
----
Lokasi: Bali,Denpasar, Jimbaran , Canggu , Seminyak ,Badung,ubud
Usia: 17-60
Jenis kelamin: laki-laki dan perempuan 
Data iklan
----
Durasi:10
Data Pembayaran
----
Total Bayar: 375000
Cs: Yuni
Status: Perpanjang</t>
  </si>
  <si>
    <t>STEP 7: PARSED = {"tanggal":"05/07/2026","nama":"Eka Setia Karsa","namaUsaha":"AURIGA KONTRAKTOR","jenisUsaha":"KONTRAKTOR","noWhatsappBisnis":"6287856230745","deskripsi":"","lokasi":"Bali,Denpasar, Jimbaran , Canggu , Seminyak ,Badung,ubud","usia":"17-60","gender":"laki-laki dan perempuan","durasi":"10","mulai":"","selesai":"","catatan":"","totalBayar":"375000","cs":"Yuni","status":"Perpanjang","statusPembayaran":""}</t>
  </si>
  <si>
    <t>STEP 2: MESSAGE {"message_id":1935,"from":{"id":7525294258,"is_bot":false,"first_name":"Isna","language_code":"id"},"chat":{"id":-1003470351325,"title":"Nyala Digital Group Bot","type":"supergroup"},"date":1771370446,"text":"#inputorder#\nData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t>
  </si>
  <si>
    <t>Trigger: #inputorder#
Data Pesanan Jasa Iklan UMKM
Data Pemesan
----
Tanggal: 14-Feb-2026
Nama: Erik Nurdiansyah 
Nama Usaha: PT Lintang Jaya Konstruksi Desain And Building 
Jenis Usaha: Kontruksi 
No Whatsapp Bisnis: 6287791212283
Alamat: cihaur rt003 rw005 desa bojongsari kec jampangkulon kab sukabumi , rencana buka lg kantor di jl.sukaresmi rt08 rw04 kec cisaat kab sukabumi dekat kolam renang cigunung dan  bogor utara kota bogor provinsi jawabarat 
Durasi: 5
Deskripsi produk/jasa: 
pembangunan dan renovasi rumah,kantor,gudang,kontrakan,pemagaran ,interior,kitchenshet,kanopi dll
*Keunggulan usaha (wajib):cepat,tepat,flexsibel dan dikerjakan oleh ahlinya 
*keunikan usaha (wajib):bisa konsep rumah tumbuh dan di pt kami ada jasa pemeliharaan yg kecil2 seperti pemelihaaraan dak beton bocor ganti kramik lamar mandi ,ganti kabel kelistrikan dan hal kecil lainnya 
Promo:free konsultasi,desain gratis ketika pembangunan di laksanakan oleh pt kami(promo terbatas)
Data Target Iklan
----
Lokasi: Jawa Barat, Banten, Jabodetabek 
Usia: 25 th ke atas 
Jenis kelamin: laki-laki dan perempuan 
Data Pembayaran
----
Total Bayar: 197000
Cs: Isna
Status: Baru</t>
  </si>
  <si>
    <t>STEP 5: TEXT = #inputorder#
Data Pesanan Jasa Iklan UMKM
Data Pemesan
----
Tanggal: 14-Feb-2026
Nama: Erik Nurdiansyah 
Nama Usaha: PT Lintang Jaya Konstruksi Desain And Building 
Jenis Usaha: Kontruksi 
No Whatsapp Bisnis: 6287791212283
Alamat: cihaur rt003 rw005 desa bojongsari kec jampangkulon kab sukabumi , rencana buka lg kantor di jl.sukaresmi rt08 rw04 kec cisaat kab sukabumi dekat kolam renang cigunung dan  bogor utara kota bogor provinsi jawabarat 
Durasi: 5
Deskripsi produk/jasa: 
pembangunan dan renovasi rumah,kantor,gudang,kontrakan,pemagaran ,interior,kitchenshet,kanopi dll
*Keunggulan usaha (wajib):cepat,tepat,flexsibel dan dikerjakan oleh ahlinya 
*keunikan usaha (wajib):bisa konsep rumah tumbuh dan di pt kami ada jasa pemeliharaan yg kecil2 seperti pemelihaaraan dak beton bocor ganti kramik lamar mandi ,ganti kabel kelistrikan dan hal kecil lainnya 
Promo:free konsultasi,desain gratis ketika pembangunan di laksanakan oleh pt kami(promo terbatas)
Data Target Iklan
----
Lokasi: Jawa Barat, Banten, Jabodetabek 
Usia: 25 th ke atas 
Jenis kelamin: laki-laki dan perempuan 
Data Pembayaran
----
Total Bayar: 197000
Cs: Isna
Status: Baru</t>
  </si>
  <si>
    <t>STEP 7: PARSED = {"tanggal":"14-Feb-2026","nama":"Erik Nurdiansyah","namaUsaha":"PT Lintang Jaya Konstruksi Desain And Building","jenisUsaha":"Kontruksi","noWhatsappBisnis":"6287791212283","deskripsi":"","lokasi":"Jawa Barat, Banten, Jabodetabek","usia":"25 th ke atas","gender":"laki-laki dan perempuan","durasi":"5","mulai":"","selesai":"","catatan":"","totalBayar":"197000","cs":"Isna","status":"Baru","statusPembayaran":""}</t>
  </si>
  <si>
    <t>ORDER SAVED: ID-1771456202683</t>
  </si>
  <si>
    <t>ORDER UPDATED: UPDATE-ID-1771456202683</t>
  </si>
  <si>
    <t>STEP 2: MESSAGE {"message_id":1936,"from":{"id":313440605,"is_bot":false,"first_name":"rudiantoselalu","language_code":"en"},"chat":{"id":-1003470351325,"title":"Nyala Digital Group Bot","type":"supergroup"},"date":1771371194,"text":"#inputorder#\nData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</si>
  <si>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{"message_id":1937,"from":{"id":313440605,"is_bot":false,"first_name":"rudiantoselalu","language_code":"en"},"chat":{"id":-1003470351325,"title":"Nyala Digital Group Bot","type":"supergroup"},"date":1771371285,"text":"#inputorder#\nData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</si>
  <si>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{"message_id":1938,"from":{"id":313440605,"is_bot":false,"first_name":"rudiantoselalu","language_code":"en"},"chat":{"id":-1003470351325,"title":"Nyala Digital Group Bot","type":"supergroup"},"date":1771371501,"text":"#inputorder#\nData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</si>
  <si>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{"message_id":1939,"from":{"id":313440605,"is_bot":false,"first_name":"rudiantoselalu","language_code":"en"},"chat":{"id":-1003470351325,"title":"Nyala Digital Group Bot","type":"supergroup"},"date":1771375048,"text":"#inputorder#\nData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</si>
  <si>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{"message_id":1940,"from":{"id":313440605,"is_bot":false,"first_name":"rudiantoselalu","language_code":"en"},"chat":{"id":-1003470351325,"title":"Nyala Digital Group Bot","type":"supergroup"},"date":1771375110,"text":"#inputorder#\nData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</si>
  <si>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{"message_id":1941,"from":{"id":313440605,"is_bot":false,"first_name":"rudiantoselalu","language_code":"en"},"chat":{"id":-1003470351325,"title":"Nyala Digital Group Bot","type":"supergroup"},"date":1771375344,"text":"#inputorder#\nData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</si>
  <si>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{"message_id":1942,"from":{"id":313440605,"is_bot":false,"first_name":"rudiantoselalu","language_code":"en"},"chat":{"id":-1003470351325,"title":"Nyala Digital Group Bot","type":"supergroup"},"date":1771375450,"text":"#inputorder#\nData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</si>
  <si>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{"message_id":1943,"from":{"id":313440605,"is_bot":false,"first_name":"rudiantoselalu","language_code":"en"},"chat":{"id":-1003470351325,"title":"Nyala Digital Group Bot","type":"supergroup"},"date":1771375708,"text":"#inputorder#\nData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</si>
  <si>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{"message_id":1944,"from":{"id":313440605,"is_bot":false,"first_name":"rudiantoselalu","language_code":"en"},"chat":{"id":-1003470351325,"title":"Nyala Digital Group Bot","type":"supergroup"},"date":1771376026,"text":"#inputorder#\nData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</si>
  <si>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{"message_id":1945,"from":{"id":313440605,"is_bot":false,"first_name":"rudiantoselalu","language_code":"en"},"chat":{"id":-1003470351325,"title":"Nyala Digital Group Bot","type":"supergroup"},"date":1771376151,"text":"#inputorder#\nData Pesanan Jasa Iklan UMKM\n\nData Pemesan\n----\nTanggal: 14-Feb-2026\nNama: Erik Nurdiansyah \nNama Usaha: PT Lintang Jaya Konstruksi Desain And Building \nJenis Usaha: Kontruksi \nNo Whatsapp Bisnis: 6287791212283\nAlamat: cihaur rt003 rw005 desa bojongsari kec jampangkulon kab sukabumi , rencana buka lg kantor di jl.sukaresmi rt08 rw04 kec cisaat kab sukabumi dekat kolam renang cigunung dan  bogor utara kota bogor provinsi jawabarat \nDurasi: 5\nDeskripsi produk/jasa: \npembangunan dan renovasi rumah,kantor,gudang,kontrakan,pemagaran ,interior,kitchenshet,kanopi dll\n*Keunggulan usaha (wajib):cepat,tepat,flexsibel dan dikerjakan oleh ahlinya \n*keunikan usaha (wajib):bisa konsep rumah tumbuh dan di pt kami ada jasa pemeliharaan yg kecil2 seperti pemelihaaraan dak beton bocor ganti kramik lamar mandi ,ganti kabel kelistrikan dan hal kecil lainnya \nPromo:free konsultasi,desain gratis ketika pembangunan di laksanakan oleh pt kami(promo terbatas)\n\n\nData Target Iklan\n----\nLokasi: Jawa Barat, Banten, Jabodetabek \nUsia: 25 th ke atas \nJenis kelamin: laki-laki dan perempuan \n\nData Pembayaran\n----\nTotal Bayar: 197000\nCs: Isna\nStatus: Baru","entities":[{"offset":0,"length":11,"type":"text_link","url":"tg://search_hashtag?hashtag=inputorder"}]}</t>
  </si>
  <si>
    <t>STEP 2: MESSAGE {"message_id":1957,"from":{"id":7172646929,"is_bot":false,"first_name":"krtikaaa","username":"uytregs","language_code":"id"},"chat":{"id":-1003470351325,"title":"Nyala Digital Group Bot","type":"supergroup"},"date":1771462037,"text":"#inputorder#\nData Pesanan Jasa Iklan UMKM\n\nData Pemesan\n----\nTanggal: 18-Feb-2026\nNama: Hj Devi ayu \nNama Usaha: CV pujaman trans \nJenis Usaha: Transportasi dan pariwisata \nNo Whatsapp Bisnis: 085770714055\nDurasi: 5\nAlamat: Jalan Kosambi 2 RT 031 RW 009 Babakan Bogor (no.58) duren Klari Karawang, Jawa Barat\nDeskripsi produk/jasa: Sebuah jasa yang melayani para konsumen untuk pergi ke manapun menggunakan mobil Hiace dengan interior yang menarik dan nyaman \n*Keunggulan usaha*: Wifi, TV, karaoke, free roti dan mineral, fasilitas premium, harga ekonomis, legroom luas, konfigurasi kursi yang nyaman \n*Keunikan usaha*: Supir menguasai segala Medan jalan (berpengalaman), eksklusif, bukan hanya jual jasa tapi juga pengalaman (momen) yang nyaman dan tak terlupakan, bisa mengantar ke manapun dan di manapun, dapat request dipaketkan dengan wisata tujuan \nPromo: penyewaan lebih dari 2 hari harga lebih murah 10% \n\nData Target Iklan\n----\nLokasi: Jabodetabek \nUsia: 15 tahun ke atas\nJenis kelamin: Semua \n\nData Pembayaran\n----\nTotal Bayar: 197000\nCs: Tika \nStatus: Baru","entities":[{"offset":193,"length":12,"type":"phone_number"}]}</t>
  </si>
  <si>
    <t>Trigger: #inputorder#
Data Pesanan Jasa Iklan UMKM
Data Pemesan
----
Tanggal: 18-Feb-2026
Nama: Hj Devi ayu 
Nama Usaha: CV pujaman trans 
Jenis Usaha: Transportasi dan pariwisata 
No Whatsapp Bisnis: 085770714055
Durasi: 5
Alamat: Jalan Kosambi 2 RT 031 RW 009 Babakan Bogor (no.58) duren Klari Karawang, Jawa Barat
Deskripsi produk/jasa: Sebuah jasa yang melayani para konsumen untuk pergi ke manapun menggunakan mobil Hiace dengan interior yang menarik dan nyaman 
*Keunggulan usaha*: Wifi, TV, karaoke, free roti dan mineral, fasilitas premium, harga ekonomis, legroom luas, konfigurasi kursi yang nyaman 
*Keunikan usaha*: Supir menguasai segala Medan jalan (berpengalaman), eksklusif, bukan hanya jual jasa tapi juga pengalaman (momen) yang nyaman dan tak terlupakan, bisa mengantar ke manapun dan di manapun, dapat request dipaketkan dengan wisata tujuan 
Promo: penyewaan lebih dari 2 hari harga lebih murah 10% 
Data Target Iklan
----
Lokasi: Jabodetabek 
Usia: 15 tahun ke atas
Jenis kelamin: Semua 
Data Pembayaran
----
Total Bayar: 197000
Cs: Tika 
Status: Baru</t>
  </si>
  <si>
    <t>STEP 5: TEXT = #inputorder#
Data Pesanan Jasa Iklan UMKM
Data Pemesan
----
Tanggal: 18-Feb-2026
Nama: Hj Devi ayu 
Nama Usaha: CV pujaman trans 
Jenis Usaha: Transportasi dan pariwisata 
No Whatsapp Bisnis: 085770714055
Durasi: 5
Alamat: Jalan Kosambi 2 RT 031 RW 009 Babakan Bogor (no.58) duren Klari Karawang, Jawa Barat
Deskripsi produk/jasa: Sebuah jasa yang melayani para konsumen untuk pergi ke manapun menggunakan mobil Hiace dengan interior yang menarik dan nyaman 
*Keunggulan usaha*: Wifi, TV, karaoke, free roti dan mineral, fasilitas premium, harga ekonomis, legroom luas, konfigurasi kursi yang nyaman 
*Keunikan usaha*: Supir menguasai segala Medan jalan (berpengalaman), eksklusif, bukan hanya jual jasa tapi juga pengalaman (momen) yang nyaman dan tak terlupakan, bisa mengantar ke manapun dan di manapun, dapat request dipaketkan dengan wisata tujuan 
Promo: penyewaan lebih dari 2 hari harga lebih murah 10% 
Data Target Iklan
----
Lokasi: Jabodetabek 
Usia: 15 tahun ke atas
Jenis kelamin: Semua 
Data Pembayaran
----
Total Bayar: 197000
Cs: Tika 
Status: Baru</t>
  </si>
  <si>
    <t>STEP 7: PARSED = {"tanggal":"18-Feb-2026","nama":"Hj Devi ayu","namaUsaha":"CV pujaman trans","jenisUsaha":"Transportasi dan pariwisata","noWhatsappBisnis":"085770714055","deskripsi":"","lokasi":"Jabodetabek","usia":"15 tahun ke atas","gender":"Semua","durasi":"5","mulai":"","selesai":"","catatan":"","totalBayar":"197000","cs":"Tika","status":"Baru","statusPembayaran":""}</t>
  </si>
  <si>
    <t>ERROR: Exception: Adres niet beschikbaar: https://api.telegram.org/bot8436220370:AAGaJCOF0BI8iMTzYeMWrN6ECzB6YZ9HbxI/sendMessage</t>
  </si>
  <si>
    <t>Ignored duplicate update_id: 457854426</t>
  </si>
  <si>
    <t>AkunIklanId</t>
  </si>
  <si>
    <t>NamaAkun</t>
  </si>
  <si>
    <t>Whatsapp</t>
  </si>
  <si>
    <t>Reach</t>
  </si>
  <si>
    <t>CPM</t>
  </si>
  <si>
    <t>LinkKlik</t>
  </si>
  <si>
    <t>Spend</t>
  </si>
  <si>
    <t>KlikWA</t>
  </si>
  <si>
    <t>VideoView</t>
  </si>
  <si>
    <t>Komentar</t>
  </si>
  <si>
    <t>Nama Kampanye</t>
  </si>
  <si>
    <t>Column 1</t>
  </si>
  <si>
    <t>R11</t>
  </si>
  <si>
    <t>120227433380380200</t>
  </si>
  <si>
    <t>ON-Sunat Pangkep Avacare-02062025+7-6285255435848-ilham</t>
  </si>
  <si>
    <t>120227432781140200</t>
  </si>
  <si>
    <t>ON-PUTRA MANDIRI HARMONIKA-02062025+10-6281331854948-ilham</t>
  </si>
  <si>
    <t>120227429269270200</t>
  </si>
  <si>
    <t>ON-Nyaraa Salon-02062025+5-6282348365032-ilham</t>
  </si>
  <si>
    <t>ON-PT MAKMUR JAYA ZEBUA-01062025+5-6285220903499-ilham</t>
  </si>
  <si>
    <t>120227403909070200</t>
  </si>
  <si>
    <t>khairan Wedding, Hair and Beauty</t>
  </si>
  <si>
    <t>ON-khairan Wedding, Hair and Beauty-01062025+6285220903499-ilham</t>
  </si>
  <si>
    <t>120227400653870200</t>
  </si>
  <si>
    <t>ON-ISAL SALON-01062025+5-6285240684331-ilham</t>
  </si>
  <si>
    <t>120227397964810200</t>
  </si>
  <si>
    <t>ON-Neng Ay salon-01062025+10-6282154483973-ilham</t>
  </si>
  <si>
    <t>ON-Artha Jaya-30052025+30-6285757057088</t>
  </si>
  <si>
    <t>120227357012290200</t>
  </si>
  <si>
    <t>Devy Kikim Salon &amp; Wedding Organizer</t>
  </si>
  <si>
    <t>ON-Devy Kikim Salon &amp; Wedding Organizer-31052025+5-6282136666049-ilham</t>
  </si>
  <si>
    <t>120227286789550200</t>
  </si>
  <si>
    <t>Eny M&amp;Y mahkota salon &amp; yara wedding</t>
  </si>
  <si>
    <t>ON-Eny M&amp;Y mahkota salon &amp; yara wedding-29052025+5-6282159148587-ilham</t>
  </si>
  <si>
    <t>120227218075240200</t>
  </si>
  <si>
    <t>AJP.ADI JAYA PLAFON</t>
  </si>
  <si>
    <t>ON-AJP.ADI JAYA PLAFON</t>
  </si>
  <si>
    <t>120227217218600200</t>
  </si>
  <si>
    <t>Eny Laundry karpet &amp; Pakaian</t>
  </si>
  <si>
    <t>ON-Eny Laundry karpet &amp; Pakaian -28052025+5-6283129638348-ilham</t>
  </si>
  <si>
    <t>120227215523910200</t>
  </si>
  <si>
    <t>ON-zL beauty homecare -27052025+5-6281549409606-ilham</t>
  </si>
  <si>
    <t>R10</t>
  </si>
  <si>
    <t>120225732846460694</t>
  </si>
  <si>
    <t>SMA Madina</t>
  </si>
  <si>
    <t>ON-SMA Madina-29052025+20-6281348555887</t>
  </si>
  <si>
    <t>120225732456000694</t>
  </si>
  <si>
    <t>ON-Aurora Teknik-29052025+5-6285376667233</t>
  </si>
  <si>
    <t>120225711165240694</t>
  </si>
  <si>
    <t>ON-Bang Banten-31042025+10-6282172291579-Rudi</t>
  </si>
  <si>
    <t>120225575002440694</t>
  </si>
  <si>
    <t>ON-Toko Emas Sembiring-15052025+30-6281263113266-Ilham - 2 - RCVR</t>
  </si>
  <si>
    <t>ON-Verrocosta-23052025+10-6282226594414-ilham - Copy</t>
  </si>
  <si>
    <t>120225230850710694</t>
  </si>
  <si>
    <t>CV MZ banyu agung</t>
  </si>
  <si>
    <t>ON-CV MZ banyu agung-29052025+5-62882001677470-ilham</t>
  </si>
  <si>
    <t>120225065069670694</t>
  </si>
  <si>
    <t>ON-LK spa n beauty-19052025+14-6282341426767-ilham</t>
  </si>
  <si>
    <t>120227459128820200</t>
  </si>
  <si>
    <t>Karya Tukang</t>
  </si>
  <si>
    <t>ON-Karya Tukang-25052025+5-628872305953-ilham - Copy</t>
  </si>
  <si>
    <t>120225943524550694</t>
  </si>
  <si>
    <t>Dapur Florist</t>
  </si>
  <si>
    <t>ON-Dapur Florist-03062025+10-6281399998259-ilham</t>
  </si>
  <si>
    <t>120225924609850694</t>
  </si>
  <si>
    <t>Amanah Interior</t>
  </si>
  <si>
    <t>ON- Amanah Interior-21052025+5-6282183184641 -ilham - NEW</t>
  </si>
  <si>
    <t>120225366947220694</t>
  </si>
  <si>
    <t>LPK ERBANSA AKADEMI</t>
  </si>
  <si>
    <t>ON-LPK ERBANSA AKADEMI-25052025+5-6282226594414-ilham - Copy</t>
  </si>
  <si>
    <t>120224822861740694</t>
  </si>
  <si>
    <t>Daihatsu Mamuju</t>
  </si>
  <si>
    <t>ON-Daihatsu Mamuju-02062025+5-6282347206488-Ilham</t>
  </si>
  <si>
    <t>120227526331870200</t>
  </si>
  <si>
    <t>Sahabat AC</t>
  </si>
  <si>
    <t>ON-Sahabat AC-03062025+5-6285737244570</t>
  </si>
  <si>
    <t>120225980267140694</t>
  </si>
  <si>
    <t>Icad Interior</t>
  </si>
  <si>
    <t>ON-Icad Interior-03062025+5-6285211510282-ilham - Copy</t>
  </si>
  <si>
    <t>R06</t>
  </si>
  <si>
    <t>120226449010810235</t>
  </si>
  <si>
    <t>ON-Naufal interior-03062025+5-6281347321820</t>
  </si>
  <si>
    <t>120226446980020235</t>
  </si>
  <si>
    <t>ON-Loundry W&amp;M-03062025+5-088242107169</t>
  </si>
  <si>
    <t>120226052237140694</t>
  </si>
  <si>
    <t>Umam daffa</t>
  </si>
  <si>
    <t>ON-Umam daffa-02-Juni-2025+5-+62 877-1504-0331 - Copy</t>
  </si>
  <si>
    <t>120226032160860694</t>
  </si>
  <si>
    <t>ON-EPE Plavon-04062025+5-085362101860</t>
  </si>
  <si>
    <t>120226524173690235</t>
  </si>
  <si>
    <t>Bangun Renov</t>
  </si>
  <si>
    <t>ON-Bangun Renov-04062025+5-62812-2660-5001</t>
  </si>
  <si>
    <t>120226503616670235</t>
  </si>
  <si>
    <t>ON-bengkel mobil-01062025+10-6282288123215 - Copy</t>
  </si>
  <si>
    <t>120226497822570235</t>
  </si>
  <si>
    <t>ON-Sofie Gorden-04062025+5-6282154795446</t>
  </si>
  <si>
    <t>120226603543830235</t>
  </si>
  <si>
    <t>Pelatihan Gurah Latahzan</t>
  </si>
  <si>
    <t>ON-Pelatihan Gurah Latahzan-06062025-10-6281904501876</t>
  </si>
  <si>
    <t>Klin</t>
  </si>
  <si>
    <t>ON-Klin-03062025+30-6282350524788 - Copy 2-ilham</t>
  </si>
  <si>
    <t>120226089458750694</t>
  </si>
  <si>
    <t>Griya rias</t>
  </si>
  <si>
    <t>ON-Griya rias-02062025+5-081335551395 - Copy</t>
  </si>
  <si>
    <t>120226715098090235</t>
  </si>
  <si>
    <t>Bina Karya</t>
  </si>
  <si>
    <t>ON-Bina Karya-05062025+14-6281219751312 - Copy</t>
  </si>
  <si>
    <t>120226709514130235</t>
  </si>
  <si>
    <t>TEKNIK DYAZ</t>
  </si>
  <si>
    <t>ON-TEKNIK DYAZ-05062025+5-6287845701116-Copy</t>
  </si>
  <si>
    <t>120226675628850235</t>
  </si>
  <si>
    <t>PG MILAN</t>
  </si>
  <si>
    <t>OFF-PG MILAN-05062025+5hari-081318125688 - Copy 2</t>
  </si>
  <si>
    <t>120226575228680235</t>
  </si>
  <si>
    <t>CV Sejahtera</t>
  </si>
  <si>
    <t>ON-CV Sejahtera-05062025+5-6281515877050 - Copy</t>
  </si>
  <si>
    <t>120226553971780235</t>
  </si>
  <si>
    <t>ON-Dani Interior-01062025+5-6281384925770 - Copy</t>
  </si>
  <si>
    <t>120226351716450694</t>
  </si>
  <si>
    <t>ON-Toko Emas Sembiring-15052025+30-6281263113266-Ilham - 2 - RCVR - Copy</t>
  </si>
  <si>
    <t>Murabeautycare</t>
  </si>
  <si>
    <t>ON-Murabeautycare-11062025+5-6282274447649</t>
  </si>
  <si>
    <t>120224403680120694</t>
  </si>
  <si>
    <t>Phone Cell Center</t>
  </si>
  <si>
    <t>ON-Phone Cell Center-25052025+5-6281241440688-ilham</t>
  </si>
  <si>
    <t>120226918169510235</t>
  </si>
  <si>
    <t>Tukang Njatipurno</t>
  </si>
  <si>
    <t>ON-Tukang Njatipurno-10-Juni-2025+5-6283134740502 - Copy</t>
  </si>
  <si>
    <t>Yuzef homestay</t>
  </si>
  <si>
    <t>ON-Yuzef homestay-11062025+13-628988759290</t>
  </si>
  <si>
    <t>120227060405810235</t>
  </si>
  <si>
    <t>ON-ABATA KARYA-09-Juni-2025+10-6282399006447 - Copy</t>
  </si>
  <si>
    <t>120227162549440235</t>
  </si>
  <si>
    <t>ON-Bangun Griya-12062025+10-6281952482523</t>
  </si>
  <si>
    <t>120227093810110235</t>
  </si>
  <si>
    <t>Abadi Kaca</t>
  </si>
  <si>
    <t>ON-Abadi Kaca-07-Juni-2025+5-6282211675028 - Copy 2</t>
  </si>
  <si>
    <t>120227061721700235</t>
  </si>
  <si>
    <t>PT. Mengalir</t>
  </si>
  <si>
    <t>ON-PT. Mengalir-07062025+7-6281222110766 - Copy</t>
  </si>
  <si>
    <t>ON-Rosfreb Shop-07-Juni-2025+10-67074784874 - Copy</t>
  </si>
  <si>
    <t>120227224515880235</t>
  </si>
  <si>
    <t>ON-Abizar plafon-11062025+5-6281278788088</t>
  </si>
  <si>
    <t>120227143125540235</t>
  </si>
  <si>
    <t>SMA MUHAMMADIYAH</t>
  </si>
  <si>
    <t>ON-SMA MUHAMMADIYAH-09062025+30-6281340892328</t>
  </si>
  <si>
    <t>Hana Glamour</t>
  </si>
  <si>
    <t>ON-Hana Glamour-11062025+5-6281335728695 - Copy</t>
  </si>
  <si>
    <t>Vie Salon</t>
  </si>
  <si>
    <t>ON-Vie Salon-11062025+5-6281216962242 - Copy</t>
  </si>
  <si>
    <t>ON-Suzuki Mamuju-12062025+5-6281221788919 - Copy</t>
  </si>
  <si>
    <t>AFIKA DEKORATION</t>
  </si>
  <si>
    <t>ON-AFIKA DEKORATION-07062025+5-6285864008882 - Copy</t>
  </si>
  <si>
    <t>120227332148190235</t>
  </si>
  <si>
    <t>Samidi Plafon</t>
  </si>
  <si>
    <t>ON-Samidi Plafon-13062025+5-6285210107607</t>
  </si>
  <si>
    <t>120227272424500235</t>
  </si>
  <si>
    <t>ON-Bengkel Las-11062025+5-6282393168368 - Copy</t>
  </si>
  <si>
    <t>120227229623580235</t>
  </si>
  <si>
    <t>Las Lima Saudara</t>
  </si>
  <si>
    <t>ON-Las Lima Saudara-11062025+5-6281519225886</t>
  </si>
  <si>
    <t>120226642991680694</t>
  </si>
  <si>
    <t>ON-Rahma Gallery-10062025+10 hari-082116044279 - Copy</t>
  </si>
  <si>
    <t>120227451758450235</t>
  </si>
  <si>
    <t>Pt Natama</t>
  </si>
  <si>
    <t>ON-Pt Natama-11062025+5-6285261023204 - Copy</t>
  </si>
  <si>
    <t>120226887056380694</t>
  </si>
  <si>
    <t>SMK CENDEKIA</t>
  </si>
  <si>
    <t>ON-SMK CENDEKIA-20052025+26-6282129040031 - Copy</t>
  </si>
  <si>
    <t>120226351656870694</t>
  </si>
  <si>
    <t>ON-Rodrimar Aifunan Fresku-16052025+14-67077619002-Ilham - 2 - Copy</t>
  </si>
  <si>
    <t>120227535188790235</t>
  </si>
  <si>
    <t>CV Fajar</t>
  </si>
  <si>
    <t>ON-CV Fajar-14062025+14-6281338789995 - Copy</t>
  </si>
  <si>
    <t>120227529488890235</t>
  </si>
  <si>
    <t>PT. Medan</t>
  </si>
  <si>
    <t>ON-PT. Medan-12062025+5-6282162580404 - Copy</t>
  </si>
  <si>
    <t>120227511849950235</t>
  </si>
  <si>
    <t>ON-PT. Panorama Jaya Labana-16062025+14-628122102657</t>
  </si>
  <si>
    <t>120227481511780235</t>
  </si>
  <si>
    <t>ON-Mungkid Sejahtera-09-Juni-2025+5-081328119680 - Copy</t>
  </si>
  <si>
    <t>120227332233440235</t>
  </si>
  <si>
    <t>ON-Jasa Bangun-12062025+5-6285714611166 - Copy</t>
  </si>
  <si>
    <t>120227281869150235</t>
  </si>
  <si>
    <t>Mitra Karya</t>
  </si>
  <si>
    <t>ON-Mitra Karya-11062025+5-6285353864755 - Copy</t>
  </si>
  <si>
    <t>120227261375460235</t>
  </si>
  <si>
    <t>ON-WD Kontruksi-10062025+10-6285747906282 - Copy</t>
  </si>
  <si>
    <t>120227228355510235</t>
  </si>
  <si>
    <t>CV REGAN</t>
  </si>
  <si>
    <t>ON-CV REGAN-11062025+5-6285853370682</t>
  </si>
  <si>
    <t>120227228189250235</t>
  </si>
  <si>
    <t>ON-Hadi property-11062025+5-628114170888</t>
  </si>
  <si>
    <t>120227144320660235</t>
  </si>
  <si>
    <t>ON-Mandorbogor-12062025+5-6285220216325</t>
  </si>
  <si>
    <t>120228387388660200</t>
  </si>
  <si>
    <t>ON-Rumah Cantik Drwskincare-13062025+5-6288215545661</t>
  </si>
  <si>
    <t>120227065288400694</t>
  </si>
  <si>
    <t>Coach Etiana</t>
  </si>
  <si>
    <t>ON-Coach Etiana-15062025+10-628127962347 - Copy</t>
  </si>
  <si>
    <t>120227059548820694</t>
  </si>
  <si>
    <t>ON-BATRA SENTUTORAF-14062025+5-6282258886603 - Copy</t>
  </si>
  <si>
    <t>120226909635070694</t>
  </si>
  <si>
    <t>Griya Terapi</t>
  </si>
  <si>
    <t>ON-Griya Terapi-12062025+5-6281904501876 - Copy</t>
  </si>
  <si>
    <t>ON-Gesit Laundry-18062025+30-62818585822</t>
  </si>
  <si>
    <t>120226995405450694</t>
  </si>
  <si>
    <t>ON-Aqila clean-14062025+7-6281905836259 - Copy</t>
  </si>
  <si>
    <t>PAUSE-Yuzef homestay-11062025+13-628988759290</t>
  </si>
  <si>
    <t>120227621644090235</t>
  </si>
  <si>
    <t>ON-Lintang interior-15062025+5-6281632236409 - Copy</t>
  </si>
  <si>
    <t>PT AGUS</t>
  </si>
  <si>
    <t>ON-PT AGUS-10062025+5-6282255726295</t>
  </si>
  <si>
    <t>120227599304890235</t>
  </si>
  <si>
    <t>ON-AR Kontraktor-15062025+5-6281316155059</t>
  </si>
  <si>
    <t>OFF-Dearhouse-15062025+10-6287778562681</t>
  </si>
  <si>
    <t>120227597018130235</t>
  </si>
  <si>
    <t>CV permadana</t>
  </si>
  <si>
    <t>ON-CV permadana-15062025+5-6289523308892 - Copy</t>
  </si>
  <si>
    <t>120228727080240200</t>
  </si>
  <si>
    <t>Salon Ety</t>
  </si>
  <si>
    <t>ON-Salon Ety-15062025+5-6285642607938 - Copy</t>
  </si>
  <si>
    <t>ON-Gesit Laundry-18062025+30-6287858585808</t>
  </si>
  <si>
    <t>OFF-Aurora Teknik-29052025+5-6285376667233</t>
  </si>
  <si>
    <t>120222033176120694</t>
  </si>
  <si>
    <t>Wiris Variasi</t>
  </si>
  <si>
    <t>ON-Wiris Variasi-30052025+7-6282242925264-Rudi</t>
  </si>
  <si>
    <t>120227705972040235</t>
  </si>
  <si>
    <t>ON-Berkah Contruction-16062025+10-6283866009989</t>
  </si>
  <si>
    <t>MULTI JASA</t>
  </si>
  <si>
    <t>ON-MULTI JASA-16062025+5-6282324392716</t>
  </si>
  <si>
    <t>CV MJB</t>
  </si>
  <si>
    <t>ON-CV MJB-16062025+5-6282141603091</t>
  </si>
  <si>
    <t>120227332096230235</t>
  </si>
  <si>
    <t>ON-Bhoemi Kontraktor-13062025+5-6283185169816</t>
  </si>
  <si>
    <t>R03</t>
  </si>
  <si>
    <t>120227296626920731</t>
  </si>
  <si>
    <t>Uwais Property</t>
  </si>
  <si>
    <t>ON-Uwais Property-19062025+5-6281575323811 - Copy</t>
  </si>
  <si>
    <t>120227277507390731</t>
  </si>
  <si>
    <t>ON-Agen Property-19062025+5-6282224315700</t>
  </si>
  <si>
    <t>120228796214480200</t>
  </si>
  <si>
    <t>Soto Padang</t>
  </si>
  <si>
    <t>ON-Soto Padang-17062025+5-6282125465047</t>
  </si>
  <si>
    <t>120227216728120694</t>
  </si>
  <si>
    <t>Jagat Kitchen</t>
  </si>
  <si>
    <t>ON-Jagat Kitchen-17062025+7-6281393958199</t>
  </si>
  <si>
    <t>120227216143480694</t>
  </si>
  <si>
    <t>ON-BIRRUYA Tour-17062025+5-6285725492572</t>
  </si>
  <si>
    <t>120227215734130694</t>
  </si>
  <si>
    <t>MEKAR JAYA</t>
  </si>
  <si>
    <t>ON-MEKAR JAYA-16062025+7-6285227384634</t>
  </si>
  <si>
    <t>120227771574780235</t>
  </si>
  <si>
    <t>ON-Masudi property-16062025+5-6287877805175</t>
  </si>
  <si>
    <t>120228860995180200</t>
  </si>
  <si>
    <t>NH SALON</t>
  </si>
  <si>
    <t>ON-NH SALON-17062025+5-6285180805171</t>
  </si>
  <si>
    <t>120227271468170694</t>
  </si>
  <si>
    <t>ON-Bismillah Meubel-18062025+5-6285733774700</t>
  </si>
  <si>
    <t>OFF-Rahma Gallery-10062025+10 hari-082116044279 - Copy</t>
  </si>
  <si>
    <t>120227857030580235</t>
  </si>
  <si>
    <t>Gudang Granit</t>
  </si>
  <si>
    <t>ON-Gudang Granit-18062025+10-6281230995752 - Salin</t>
  </si>
  <si>
    <t>120227854419480235</t>
  </si>
  <si>
    <t>ON-Rizky jaya-17062025+5-6281233044823</t>
  </si>
  <si>
    <t>120227853904900235</t>
  </si>
  <si>
    <t>cv adam</t>
  </si>
  <si>
    <t>ON-cv adam-16062025+5-6281283325291</t>
  </si>
  <si>
    <t>120227853313460235</t>
  </si>
  <si>
    <t>ON-Urban Poin-18062025+7-6289617461806 - Salin</t>
  </si>
  <si>
    <t>120227852715640235</t>
  </si>
  <si>
    <t>Bandi Karya</t>
  </si>
  <si>
    <t>ON-Bandi Karya-17062025+30-6281215851833</t>
  </si>
  <si>
    <t>ON-Dearhouse-15062025+10-6287778562681</t>
  </si>
  <si>
    <t>120227926808950235</t>
  </si>
  <si>
    <t>ON-Norma Property-17062025+5-6281514999073</t>
  </si>
  <si>
    <t>120227926378210235</t>
  </si>
  <si>
    <t>ON-Berkat Property77-18062025+10-6282183115806</t>
  </si>
  <si>
    <t>120227925985760235</t>
  </si>
  <si>
    <t>CV cahaya</t>
  </si>
  <si>
    <t>ON-CV cahaya-18062025+5-6283151330372</t>
  </si>
  <si>
    <t>120228159361750200</t>
  </si>
  <si>
    <t>ON-S'three hair and beauty studio-12062025+5-62895401448273</t>
  </si>
  <si>
    <t>120227436680530694</t>
  </si>
  <si>
    <t>Mebel Yuca</t>
  </si>
  <si>
    <t>ON-Mebel Yuca-21062025+14-6282399721881</t>
  </si>
  <si>
    <t>120227399886270694</t>
  </si>
  <si>
    <t>Labhu Shop</t>
  </si>
  <si>
    <t>ON-Labhu Shop-20062025+10-6281299907533</t>
  </si>
  <si>
    <t>120228014435350235</t>
  </si>
  <si>
    <t>ON-zada karya-20062025+5-6283135590465</t>
  </si>
  <si>
    <t>R04</t>
  </si>
  <si>
    <t>120220128857930554</t>
  </si>
  <si>
    <t>AndikaJaya</t>
  </si>
  <si>
    <t>ON-AndikaJaya-05032025+10-6282194694492 - Copy</t>
  </si>
  <si>
    <t>120229046011260200</t>
  </si>
  <si>
    <t>Abadi Tehnik</t>
  </si>
  <si>
    <t>ON-Abadi Tehnik-21062025+5-6285711667433</t>
  </si>
  <si>
    <t>120229044952270200</t>
  </si>
  <si>
    <t>ON-Alfie salon-19062025+5-6285775986977 - Salin</t>
  </si>
  <si>
    <t>120229044725650200</t>
  </si>
  <si>
    <t>MA</t>
  </si>
  <si>
    <t>ON-MA- AL-21062025+7-6281904501876</t>
  </si>
  <si>
    <t>120229043131290200</t>
  </si>
  <si>
    <t>ON-Terafis Sinergi-22062025+5-6281253792753</t>
  </si>
  <si>
    <t>ON-Deriano-20062025+5-6282122880328</t>
  </si>
  <si>
    <t>120227497328100694</t>
  </si>
  <si>
    <t>OFF- Amanah Interior-21052025+5-6282183184641 -ilham - NEW</t>
  </si>
  <si>
    <t>120228082065700235</t>
  </si>
  <si>
    <t>ON-Antoni kontruksi-22062025+5-6281383434602</t>
  </si>
  <si>
    <t>120228074309660235</t>
  </si>
  <si>
    <t>ON-Jaya Lasindo-19062025+5-6281383899119</t>
  </si>
  <si>
    <t>ON-CV BIMA-15062025+7-6282176695820</t>
  </si>
  <si>
    <t>120229042741890200</t>
  </si>
  <si>
    <t>CV BIMA</t>
  </si>
  <si>
    <t>edit-Mandorbogor-12062025+5-6285220216325</t>
  </si>
  <si>
    <t>120229127021080200</t>
  </si>
  <si>
    <t>Lubijo Berkah</t>
  </si>
  <si>
    <t>ON-Lubijo Berkah-23062025+10-6281233038880</t>
  </si>
  <si>
    <t>120229124392540200</t>
  </si>
  <si>
    <t>ON-Remnaskin-23062025+5-6285777110340</t>
  </si>
  <si>
    <t>120227519164270694</t>
  </si>
  <si>
    <t>Toko Maju</t>
  </si>
  <si>
    <t>ON-Toko Maju-23062025+5-6282325874670 - Salin</t>
  </si>
  <si>
    <t>120228145715320235</t>
  </si>
  <si>
    <t>PT Cahaya</t>
  </si>
  <si>
    <t>ON-PT Cahaya-14062025+5-6281293309300</t>
  </si>
  <si>
    <t>ON-GK Trans-24062025+5-6281399731413</t>
  </si>
  <si>
    <t>120227588298590694</t>
  </si>
  <si>
    <t>Bayu Meble</t>
  </si>
  <si>
    <t>ON-Bayu Meble-24062025+5-6281938563373</t>
  </si>
  <si>
    <t>120227578600790694</t>
  </si>
  <si>
    <t>Bumi persada</t>
  </si>
  <si>
    <t>ON-Bumi persada-24062025+7-6285266218699</t>
  </si>
  <si>
    <t>120227564446300694</t>
  </si>
  <si>
    <t>SPESIALIS TAMAN</t>
  </si>
  <si>
    <t>ON-SPESIALIS TAMAN-24062025+5-6285240694097</t>
  </si>
  <si>
    <t>120228214040310235</t>
  </si>
  <si>
    <t>Doni PVC</t>
  </si>
  <si>
    <t>ON-Doni PVC-23062025+5-6281374115054</t>
  </si>
  <si>
    <t>120227720523590731</t>
  </si>
  <si>
    <t>PT PANORAMA JAYA LABANA</t>
  </si>
  <si>
    <t>ON-PT PANORAMA JAYA LABANA</t>
  </si>
  <si>
    <t>120229310340250200</t>
  </si>
  <si>
    <t>ON-mitra kurir-25062025+5-628174741283 - Copy</t>
  </si>
  <si>
    <t>120229259533260200</t>
  </si>
  <si>
    <t>ON-mitra kurir-25062025+5-628174741283</t>
  </si>
  <si>
    <t>120229259215650200</t>
  </si>
  <si>
    <t>CV. ACHAY</t>
  </si>
  <si>
    <t>ON-CV. ACHAY-24062025+5-6281649155643</t>
  </si>
  <si>
    <t>120229243414420200</t>
  </si>
  <si>
    <t>ON-Salon Yolandha-24062025+5-6281248936324</t>
  </si>
  <si>
    <t>120229240968870200</t>
  </si>
  <si>
    <t>Cipta Gading</t>
  </si>
  <si>
    <t>ON-Cipta Gading-23062025+5-628158830325</t>
  </si>
  <si>
    <t>120228297236490235</t>
  </si>
  <si>
    <t>MULIA KUBAH</t>
  </si>
  <si>
    <t>ON-MULIA KUBAH-24062025+5-6282365004117</t>
  </si>
  <si>
    <t>120228286701160235</t>
  </si>
  <si>
    <t>ON-HomelyNest-24062025+5-6285167182620</t>
  </si>
  <si>
    <t>120229316074150200</t>
  </si>
  <si>
    <t>ON-LITNASALON-25062025+7-6281269441611</t>
  </si>
  <si>
    <t>120227698210920694</t>
  </si>
  <si>
    <t>ON-Rimbun Nursery-26062025+10-6281213589905</t>
  </si>
  <si>
    <t>120227693238420694</t>
  </si>
  <si>
    <t>RUMAH SOFA</t>
  </si>
  <si>
    <t>ON-RUMAH SOFA-25062025+5-6281347156140 - Salin</t>
  </si>
  <si>
    <t>120228406232970235</t>
  </si>
  <si>
    <t>PT SURYA</t>
  </si>
  <si>
    <t>ON-PT SURYA-26062025+5-6281138301069</t>
  </si>
  <si>
    <t>120228364900400235</t>
  </si>
  <si>
    <t>Qui Panel</t>
  </si>
  <si>
    <t>ON-Qui Panel-25062025+5-6285715856120</t>
  </si>
  <si>
    <t>120228364654980235</t>
  </si>
  <si>
    <t>ON-CV TRUNOJOYO-23062025+7-6282385989828</t>
  </si>
  <si>
    <t>AZY Baja</t>
  </si>
  <si>
    <t>ON-AZY Baja-27062025+5-6287822304727</t>
  </si>
  <si>
    <t>120229489313280200</t>
  </si>
  <si>
    <t>Pratama Abadi</t>
  </si>
  <si>
    <t>ON-Pratama Abadi-27062025+20-6281282183261 - Salin</t>
  </si>
  <si>
    <t>120229484888710200</t>
  </si>
  <si>
    <t>ON-GAST TRAVEL-28062025+5-6285169568997</t>
  </si>
  <si>
    <t>120229472269830200</t>
  </si>
  <si>
    <t>LPK BANGSA</t>
  </si>
  <si>
    <t>ON-LPK BANGSA-28062025+5-6285974999484</t>
  </si>
  <si>
    <t>120229445775520200</t>
  </si>
  <si>
    <t>HOME CARE</t>
  </si>
  <si>
    <t>ON-HOME CARE-27062025+5-6287777241263</t>
  </si>
  <si>
    <t>120227828357290694</t>
  </si>
  <si>
    <t>ON-Bayu Meble-24062025+5-6281938563373 - Salin</t>
  </si>
  <si>
    <t>120227825449170694</t>
  </si>
  <si>
    <t>Berkah Doa</t>
  </si>
  <si>
    <t>ON-Berkah Doa-25062025+5-6285340323663 - Copy</t>
  </si>
  <si>
    <t>120227814930420694</t>
  </si>
  <si>
    <t>Aqip Custom</t>
  </si>
  <si>
    <t>ON-Aqip Custom-27062025+30-6288228976100</t>
  </si>
  <si>
    <t>Kampus Bina</t>
  </si>
  <si>
    <t>ON-Kampus Bina-27062025+10-6281366622333</t>
  </si>
  <si>
    <t>120227890334950694</t>
  </si>
  <si>
    <t>Urut 10</t>
  </si>
  <si>
    <t>ON-Urut 10-28062025+5-6281291128945 - Salin</t>
  </si>
  <si>
    <t>120228586109730235</t>
  </si>
  <si>
    <t>Las Sukses</t>
  </si>
  <si>
    <t>ON-Las Sukses-29062025+5-6285774217794 - Salin</t>
  </si>
  <si>
    <t>120228513630470235</t>
  </si>
  <si>
    <t>MITRA JASA</t>
  </si>
  <si>
    <t>ON-MITRA JASA-26062025+5-6282134333004 - Salin</t>
  </si>
  <si>
    <t>120229583661640200</t>
  </si>
  <si>
    <t>ON-Johan distributor-27062025+30-628111988553 - Salin</t>
  </si>
  <si>
    <t>EDIT NO HP-PT MAKMUR JAYA ZEBUA-01062025+5-6285220903499-ilham</t>
  </si>
  <si>
    <t>OFF-Artha Jaya-30052025+30-6285757057088</t>
  </si>
  <si>
    <t>120227947213130694</t>
  </si>
  <si>
    <t>ON-Allang Transport-30062025+5-6282247030008 - Salin</t>
  </si>
  <si>
    <t>120227938431120694</t>
  </si>
  <si>
    <t>ON-Griya srikandi-27062025+5-6282188390340 - Salin</t>
  </si>
  <si>
    <t>120227891726170694</t>
  </si>
  <si>
    <t>ON-Healty Wellnes-28062025+5-6281343148204 - Salin</t>
  </si>
  <si>
    <t>120228612470250235</t>
  </si>
  <si>
    <t>ON-Riyanto kontruksi-23062025+20-6285950836788 - Salin</t>
  </si>
  <si>
    <t>120228610165220235</t>
  </si>
  <si>
    <t>Mitra Bangun</t>
  </si>
  <si>
    <t>ON-Mitra Bangun-28062025+30-6282338171577 - Salin</t>
  </si>
  <si>
    <t>120227805827950554</t>
  </si>
  <si>
    <t>Putra Bakti</t>
  </si>
  <si>
    <t>ON-Putra Bakti-27062025+5-6285668750416 - Salin</t>
  </si>
  <si>
    <t>120229680154090200</t>
  </si>
  <si>
    <t>by inapuspita</t>
  </si>
  <si>
    <t>ON-by inapuspita-28062025+5-6288297718776 - Salin</t>
  </si>
  <si>
    <t>120229679951170200</t>
  </si>
  <si>
    <t>ON-PT MAKMUR JAYA ZEBUA-01062025+5-6285220903499-ilham - Copy</t>
  </si>
  <si>
    <t>120228048305310694</t>
  </si>
  <si>
    <t>Jalan Kesehatan</t>
  </si>
  <si>
    <t>ON-Jalan Kesehatan-01072025+5-6281934879222 - Salin</t>
  </si>
  <si>
    <t>120228023842860694</t>
  </si>
  <si>
    <t>ON-Thibun nabawi-30062025+5-6285263289844 - Salin</t>
  </si>
  <si>
    <t>120228021613470694</t>
  </si>
  <si>
    <t>Sport Massage</t>
  </si>
  <si>
    <t>ON-Sport Massage-29062025+5-6282114053996 - Salin</t>
  </si>
  <si>
    <t>120228017355590694</t>
  </si>
  <si>
    <t>Terapis Ahli</t>
  </si>
  <si>
    <t>ON-Terapis Ahli-01072025+5-6282131666003 - Salin</t>
  </si>
  <si>
    <t>120227891949720694</t>
  </si>
  <si>
    <t>Griya Relaxology</t>
  </si>
  <si>
    <t>ON-Griya Relaxology-30062025+5-6285869122507 - Salin</t>
  </si>
  <si>
    <t>120228711977590235</t>
  </si>
  <si>
    <t>ON-Sketsa Rumahmu-01072025+10-6285647189964 - Salin</t>
  </si>
  <si>
    <t>120229796298590200</t>
  </si>
  <si>
    <t>SCALE-Deriano-Enggagement Manual 1</t>
  </si>
  <si>
    <t>120229794304570200</t>
  </si>
  <si>
    <t>OFF-Deriano-Enggagement Advance</t>
  </si>
  <si>
    <t>120229789530480200</t>
  </si>
  <si>
    <t>SCALE-Deriano-20062025+5-6282122880328 - Salin</t>
  </si>
  <si>
    <t>120229782482070200</t>
  </si>
  <si>
    <t>ON-Azka salon-02072025+5-6282164919126 - Salin</t>
  </si>
  <si>
    <t>120229781163600200</t>
  </si>
  <si>
    <t>Al Bayt</t>
  </si>
  <si>
    <t>ON-Al Bayt-01072025+5-62882003293835 - Salin</t>
  </si>
  <si>
    <t>120229777078600200</t>
  </si>
  <si>
    <t>ON-Astri Salon-28062025+5-6282228737559 - Salin</t>
  </si>
  <si>
    <t>120229754781060200</t>
  </si>
  <si>
    <t>ON-Pelatihan Bekam-30062025+5-6282285691485 - Salin</t>
  </si>
  <si>
    <t>120229746465130200</t>
  </si>
  <si>
    <t>MRX Lovina</t>
  </si>
  <si>
    <t>ON-MRX Lovina-30062025+5-6281246211381 - Salin</t>
  </si>
  <si>
    <t>OFF-Deriano-20062025+5-6282122880328</t>
  </si>
  <si>
    <t>OFF-Klin-03062025+30-6282350524788 - Copy 2-ilham</t>
  </si>
  <si>
    <t>120228084912580694</t>
  </si>
  <si>
    <t>Refleksi kretek</t>
  </si>
  <si>
    <t>ON-Refleksi kretek-kretek-01072025+5-6281378152512 - Salin</t>
  </si>
  <si>
    <t>120224708398910694</t>
  </si>
  <si>
    <t>ON-Rodrimar Aifunan Fresku-16052025+14-67077619002-Ilham - 2</t>
  </si>
  <si>
    <t>120228787960370235</t>
  </si>
  <si>
    <t>ON-Cahaya Lestari-29062025+5-6282211473253 - Salin</t>
  </si>
  <si>
    <t>120228753116090235</t>
  </si>
  <si>
    <t>Hara Utama</t>
  </si>
  <si>
    <t>ON-Hara Utama-26062025+5-6288980619907 - Salin</t>
  </si>
  <si>
    <t>120227919393880554</t>
  </si>
  <si>
    <t>ON-AndikaJaya-05032025+10-6282194694492 - Copy - Salin</t>
  </si>
  <si>
    <t>120228143940810694</t>
  </si>
  <si>
    <t>Erlina Traditional</t>
  </si>
  <si>
    <t>ON-Erlina Traditional-02072025+5-6282115608585 - Salin</t>
  </si>
  <si>
    <t>120228143698380694</t>
  </si>
  <si>
    <t>Fricil Rental</t>
  </si>
  <si>
    <t>ON-Fricil Rental-02072025+5-6282192773278 - Salin</t>
  </si>
  <si>
    <t>120228143312350694</t>
  </si>
  <si>
    <t>TAHU CRISPY</t>
  </si>
  <si>
    <t>ON-TAHU CRISPY-02072025+5-6282227027805 - Salin</t>
  </si>
  <si>
    <t>120228138398410694</t>
  </si>
  <si>
    <t>Melek Tea</t>
  </si>
  <si>
    <t>cek-Melek Tea-30062025+10-6282125000978 - Salin</t>
  </si>
  <si>
    <t>120228138031140694</t>
  </si>
  <si>
    <t>Mega Karya</t>
  </si>
  <si>
    <t>ON-Mega Karya-30062025+5-6281352626888 - Salin</t>
  </si>
  <si>
    <t>COBA-Rodrimar Aifunan Fresku-16052025+14-67077619002-Ilham - 2</t>
  </si>
  <si>
    <t>120228849272030235</t>
  </si>
  <si>
    <t>CV LAS</t>
  </si>
  <si>
    <t>ON-CV LAS-02072025+30-6282124027899 - Salin</t>
  </si>
  <si>
    <t>120228848957610235</t>
  </si>
  <si>
    <t>ON-CV. IBI-02072025+5-6281290414113 - Salin</t>
  </si>
  <si>
    <t>120228848825870235</t>
  </si>
  <si>
    <t>CV GAMA</t>
  </si>
  <si>
    <t>ON-CV GAMA-02062025+5-62818763108 - Salin</t>
  </si>
  <si>
    <t>120229883458350200</t>
  </si>
  <si>
    <t>Jaya Salon</t>
  </si>
  <si>
    <t>ON-Jaya Salon-28062025+5-6282145068631 - Salin</t>
  </si>
  <si>
    <t>120228198210790694</t>
  </si>
  <si>
    <t>Rumoh Aceh</t>
  </si>
  <si>
    <t>ON-Rumoh Aceh-01072025+10-6281323910830 - Salin</t>
  </si>
  <si>
    <t>120228196067880694</t>
  </si>
  <si>
    <t>Pengobatan Tabib</t>
  </si>
  <si>
    <t>ON-Pengobatan Tabib-01072025+5-6282169851900 - Salin</t>
  </si>
  <si>
    <t>120228167785840694</t>
  </si>
  <si>
    <t>KLINIK RUMAH</t>
  </si>
  <si>
    <t>ON-KLINIK RUMAH-03072025+5-6282125330919 - Salin</t>
  </si>
  <si>
    <t>120228159283580694</t>
  </si>
  <si>
    <t>Rinjani Tour</t>
  </si>
  <si>
    <t>ON-Rinjani Tour-03072025+5-628111508569 - Salin</t>
  </si>
  <si>
    <t>ON-Melek Tea-30062025+10-6282125000978 - Salin</t>
  </si>
  <si>
    <t>120228138360020694</t>
  </si>
  <si>
    <t>Kue Zam</t>
  </si>
  <si>
    <t>ON-Kue Zam-01072025+5-6281355026552 - Salin</t>
  </si>
  <si>
    <t>OFF-Sketsa Rumahmu-01072025+10-6285647189964 - Salin</t>
  </si>
  <si>
    <t>120229902029190200</t>
  </si>
  <si>
    <t>ON-Gejayan Innova-03072025+7-628562943274 - Salin</t>
  </si>
  <si>
    <t>120228232443180694</t>
  </si>
  <si>
    <t>Lembaga Kursus</t>
  </si>
  <si>
    <t>ON-Lembaga Kursus-03072025+5-6285779532526 - Salin</t>
  </si>
  <si>
    <t>120228232279080694</t>
  </si>
  <si>
    <t>ON-Rumah Resista-01072025+5-6285702653554 - Salin</t>
  </si>
  <si>
    <t>OFF-SMA Madina-29052025+20-6281348555887</t>
  </si>
  <si>
    <t>120228960290140235</t>
  </si>
  <si>
    <t>SketsaRumahmu</t>
  </si>
  <si>
    <t>ON-SketsaRumahmu-Enggagement</t>
  </si>
  <si>
    <t>120228956634140235</t>
  </si>
  <si>
    <t>ON-Qui Panel-25062025+5-6285715856120 - JABODETABEK</t>
  </si>
  <si>
    <t>120228301612890694</t>
  </si>
  <si>
    <t>UI WEDDING</t>
  </si>
  <si>
    <t>ON-UI WEDDING-05072025+5-6282128714101 - Salin</t>
  </si>
  <si>
    <t>120228298516200694</t>
  </si>
  <si>
    <t>Bimbelku, Jokiku,</t>
  </si>
  <si>
    <t>ON-Bimbelku, Jokiku,-05072025+5-6281361879826 - Salin</t>
  </si>
  <si>
    <t>120228297893450694</t>
  </si>
  <si>
    <t>Rentals scooter</t>
  </si>
  <si>
    <t>ON-Rentals scooter-05072025+7-6281237893904 - Salin</t>
  </si>
  <si>
    <t>120228297491300694</t>
  </si>
  <si>
    <t>Labajo Flores</t>
  </si>
  <si>
    <t>ON-Labajo Flores-04072025+30-6285338137835 - Salin</t>
  </si>
  <si>
    <t>120228297292730694</t>
  </si>
  <si>
    <t>Lombok Heaven</t>
  </si>
  <si>
    <t>ON-Lombok Heaven-04072025+5-6287754552859 - Salin</t>
  </si>
  <si>
    <t>120228262403810694</t>
  </si>
  <si>
    <t>THERA VIDA</t>
  </si>
  <si>
    <t>ON-THERA VIDA-04072025+5-6289635171849 - Salin</t>
  </si>
  <si>
    <t>120228261048710694</t>
  </si>
  <si>
    <t>Nakayami tour</t>
  </si>
  <si>
    <t>ON-Nakayami tour-04072025+7-6283162052952 - Salin</t>
  </si>
  <si>
    <t>120228259582540694</t>
  </si>
  <si>
    <t>ON-AMT Sukabumi-04072025+5-6285311472244 - Salin</t>
  </si>
  <si>
    <t>ON-Melek Tea-30062025+10-6285727410479- Salin</t>
  </si>
  <si>
    <t>120224030796970694</t>
  </si>
  <si>
    <t>Prima Beauty Centre</t>
  </si>
  <si>
    <t>ON-Prima Beauty Centre-10052025+5-628115424402-ilham</t>
  </si>
  <si>
    <t>120229036686860235</t>
  </si>
  <si>
    <t>Kanopi Innovation</t>
  </si>
  <si>
    <t>ON-Kanopi Innovation-05072025+5-6281214999292 - Salin</t>
  </si>
  <si>
    <t>120229018787610235</t>
  </si>
  <si>
    <t>SURYA JAYA</t>
  </si>
  <si>
    <t>ON-SURYA JAYA-05072025+14-6282184019830 - Salin</t>
  </si>
  <si>
    <t>120228977541530235</t>
  </si>
  <si>
    <t>CV Shopia</t>
  </si>
  <si>
    <t>ON-CV Shopia-28062025+5-6281351666729 - Salin</t>
  </si>
  <si>
    <t>120228977263800235</t>
  </si>
  <si>
    <t>M Hisyam</t>
  </si>
  <si>
    <t>ON-M Hisyam-04072025+5-62895800343940 - Salin</t>
  </si>
  <si>
    <t>OFF-PT SURYA-26062025+5-6281138301069</t>
  </si>
  <si>
    <t>120228363859420694</t>
  </si>
  <si>
    <t>Pt Alkarim</t>
  </si>
  <si>
    <t>ON-Pt Alkarim-06072025+5-6283878405768 - Salin</t>
  </si>
  <si>
    <t>120228363354470694</t>
  </si>
  <si>
    <t>ON-Bintang cleaning-02072025+10-6285956579758 - Salin</t>
  </si>
  <si>
    <t>120228362069230694</t>
  </si>
  <si>
    <t>ON-Bali-MT-Jeep-06072025+5-6281337504727</t>
  </si>
  <si>
    <t>120228361482710694</t>
  </si>
  <si>
    <t>ON-Mutiara Wisata-06072024+10-6282136273086 - Salin</t>
  </si>
  <si>
    <t>120228360684830694</t>
  </si>
  <si>
    <t>Rumah Terapi</t>
  </si>
  <si>
    <t>ON-Rumah Terapi-03072025+5-6281779578317 - Salin</t>
  </si>
  <si>
    <t>120228340733710694</t>
  </si>
  <si>
    <t>Pengobatan Non</t>
  </si>
  <si>
    <t>ON-Pengobatan Non-04072025+5-6281412281953 - Salin</t>
  </si>
  <si>
    <t>120228320527520694</t>
  </si>
  <si>
    <t>ON-Halmahera Trips-06072025+10-6281212295448 - Salin</t>
  </si>
  <si>
    <t>120229094467260235</t>
  </si>
  <si>
    <t>PANORAMA</t>
  </si>
  <si>
    <t>SCALE-PANORAMA-Enggagement</t>
  </si>
  <si>
    <t>120229076677840235</t>
  </si>
  <si>
    <t>Sakti Desain</t>
  </si>
  <si>
    <t>ON-Sakti Desain-04072025+10-628112999165 - Salin</t>
  </si>
  <si>
    <t>120229074253780235</t>
  </si>
  <si>
    <t>CV. Sun</t>
  </si>
  <si>
    <t>ON-CV. Sun-05072025+10-6282111180648 - Salin</t>
  </si>
  <si>
    <t>OFF-PT. Panorama Jaya Labana-16062025+14-628122102657</t>
  </si>
  <si>
    <t>120230102083340200</t>
  </si>
  <si>
    <t>ON-Salon Eleanor-04072025+5-62811339289839 - Salin</t>
  </si>
  <si>
    <t>120228421229490694</t>
  </si>
  <si>
    <t>ON-Rokok Herbal-07072025+5-6285274759862 - Salin</t>
  </si>
  <si>
    <t>120228420949230694</t>
  </si>
  <si>
    <t>ON-Varel Laundry-05072025+5-6285713536070 - Salin</t>
  </si>
  <si>
    <t>120228420201590694</t>
  </si>
  <si>
    <t>ON-Tory Reflexi-07072025+5-6282298717014 - Salin</t>
  </si>
  <si>
    <t>120228420024580694</t>
  </si>
  <si>
    <t>PT. AL</t>
  </si>
  <si>
    <t>ON-PT. AL-07072025+5-62859130962516 - Salin</t>
  </si>
  <si>
    <t>120228419715390694</t>
  </si>
  <si>
    <t>Terapi Al</t>
  </si>
  <si>
    <t>ON-Terapi Al-07072025+5-6288229559606 - Salin</t>
  </si>
  <si>
    <t>120228399025620694</t>
  </si>
  <si>
    <t>Budi Holistik</t>
  </si>
  <si>
    <t>ON-Budi Holistik-05072025+30-6281240144744 - Salin</t>
  </si>
  <si>
    <t>120228398605530694</t>
  </si>
  <si>
    <t>SNACK KILOAN</t>
  </si>
  <si>
    <t>ON-SNACK KILOAN-05072025+7-6288215032728 - Salin</t>
  </si>
  <si>
    <t>120228159122310694</t>
  </si>
  <si>
    <t>rinjani trekking</t>
  </si>
  <si>
    <t>ON-rinjani trekking-03072025+5-6281943398970 - Salin</t>
  </si>
  <si>
    <t>120229146041110235</t>
  </si>
  <si>
    <t>ON-Keynaara Kontruksi-06072025+5-6289525439559 - Salin</t>
  </si>
  <si>
    <t>120229145408470235</t>
  </si>
  <si>
    <t>Jasa Renofasi</t>
  </si>
  <si>
    <t>ON-Jasa Renofasi-07072025+5-6285279489086 - Salin</t>
  </si>
  <si>
    <t>120229145167880235</t>
  </si>
  <si>
    <t>CV KALIGIRI</t>
  </si>
  <si>
    <t>ON-CV KALIGIRI-07072025+10-6281213766426 - Salin</t>
  </si>
  <si>
    <t>120229115814120235</t>
  </si>
  <si>
    <t>ON-Arsyad kontruksi-23062025+5-6281384442619 - Salin</t>
  </si>
  <si>
    <t>120228482422020694</t>
  </si>
  <si>
    <t>CV Selvira</t>
  </si>
  <si>
    <t>ON-CV Selvira-06072025+5-6282238154676 - Salin</t>
  </si>
  <si>
    <t>120228482134960694</t>
  </si>
  <si>
    <t>Terapis Bekam</t>
  </si>
  <si>
    <t>ON-Terapis Bekam-02072025+5-6285238093436 - Salin</t>
  </si>
  <si>
    <t>120228481767620694</t>
  </si>
  <si>
    <t>Rumah Phonsel</t>
  </si>
  <si>
    <t>ON-Rumah Phonsel-04072025+5-6285184844621 - Salin</t>
  </si>
  <si>
    <t>120228481112260694</t>
  </si>
  <si>
    <t>ON-Wifi Myrepulic-08072025+5-6285282777679 - Salin</t>
  </si>
  <si>
    <t>120228480915950694</t>
  </si>
  <si>
    <t>Safa Bag</t>
  </si>
  <si>
    <t>ON-Safa Bag-08072025+7-6287715704997 - Salin</t>
  </si>
  <si>
    <t>OFF-Toko Emas Sembiring-15052025+30-6281263113266-Ilham - 2 - RCVR</t>
  </si>
  <si>
    <t>120229221136410235</t>
  </si>
  <si>
    <t>Saputra jaya</t>
  </si>
  <si>
    <t>ON-Saputra jaya-08072025+5-6281310204991 - Salin</t>
  </si>
  <si>
    <t>120229219083550235</t>
  </si>
  <si>
    <t>ON-Bengkel Las-08072025+5-6281394618785 - Salin</t>
  </si>
  <si>
    <t>120229218876160235</t>
  </si>
  <si>
    <t>ON-Primagriya.com-05072025+20-6281239874761 - Salin</t>
  </si>
  <si>
    <t>120230277020900200</t>
  </si>
  <si>
    <t>Lowongan</t>
  </si>
  <si>
    <t>ON-Lowongan-Pekerjaan-IT-21062025+7-6281904501876 - Salin</t>
  </si>
  <si>
    <t>120228568209730694</t>
  </si>
  <si>
    <t>PT ZTP</t>
  </si>
  <si>
    <t>ON-PT ZTP-10072025+5-6287856746423 - Salin</t>
  </si>
  <si>
    <t>120228567832020694</t>
  </si>
  <si>
    <t>Theraphy Kang</t>
  </si>
  <si>
    <t>ON-Theraphy Kang-10072025+10-6281253629810 - Salin</t>
  </si>
  <si>
    <t>120228567563920694</t>
  </si>
  <si>
    <t>CV Nurma</t>
  </si>
  <si>
    <t>ON-CV Nurma-07072025+5-6289517787985 - Salin</t>
  </si>
  <si>
    <t>120228567413050694</t>
  </si>
  <si>
    <t>ON-Terapi Barqun-10072025+5-62895374644456 - Salin</t>
  </si>
  <si>
    <t>120228564831170694</t>
  </si>
  <si>
    <t>ON-TRIFAR TOUR-09072025+5-6281252228100 - Salin</t>
  </si>
  <si>
    <t>120228540636860694</t>
  </si>
  <si>
    <t>120228534954200694</t>
  </si>
  <si>
    <t>Chery Bekasi</t>
  </si>
  <si>
    <t>ON-Chery Bekasi-10072025+7-6285150556695 - Salin</t>
  </si>
  <si>
    <t>120228534838660694</t>
  </si>
  <si>
    <t>ON-Amelia Trans-10072025+5-6285624268413 - Salin</t>
  </si>
  <si>
    <t>120228534648940694</t>
  </si>
  <si>
    <t>Jemmy Tour</t>
  </si>
  <si>
    <t>ON-Jemmy Tour-10072025+5-6281252867949 - Salin</t>
  </si>
  <si>
    <t>120228534502600694</t>
  </si>
  <si>
    <t>PT RAHAYU</t>
  </si>
  <si>
    <t>ON-PT RAHAYU-09072025+20-6283183643221 - Salin</t>
  </si>
  <si>
    <t>120228533962270694</t>
  </si>
  <si>
    <t>ON-Aqiqah Go-09072025+5-6281274238899 - Salin</t>
  </si>
  <si>
    <t>120229315008770235</t>
  </si>
  <si>
    <t>ON-CV REGAN-10072025+5-6285853370682 - Salin</t>
  </si>
  <si>
    <t>120229313795910235</t>
  </si>
  <si>
    <t>ON-Bangun Renov-04062025+5-62812-2660-5001 - Salin</t>
  </si>
  <si>
    <t>120229312414330235</t>
  </si>
  <si>
    <t>ON-Jasa Motif-10072025+10-6282111000133 - Salin</t>
  </si>
  <si>
    <t>120229274552110235</t>
  </si>
  <si>
    <t>Ragam LASINDO</t>
  </si>
  <si>
    <t>ON-Ragam LASINDO-09072025+10-6285814054475 - Salin</t>
  </si>
  <si>
    <t>ON-PANORAMA-Enggagement</t>
  </si>
  <si>
    <t>120230399162310200</t>
  </si>
  <si>
    <t>D' Elina</t>
  </si>
  <si>
    <t>ON-D' Elina-04072025+5-6282258462258 - Salin</t>
  </si>
  <si>
    <t>120228663053790694</t>
  </si>
  <si>
    <t>ON-PT WIRA JOGJA WISATA</t>
  </si>
  <si>
    <t>120228662115630694</t>
  </si>
  <si>
    <t>ON-El Baha Trans</t>
  </si>
  <si>
    <t>120228661886700694</t>
  </si>
  <si>
    <t>ON-PT Rohim Sriwijaya Akademi</t>
  </si>
  <si>
    <t>120229446391380235</t>
  </si>
  <si>
    <t>KARYA JASA</t>
  </si>
  <si>
    <t>ON-KARYA JASA</t>
  </si>
  <si>
    <t>120229445583580235</t>
  </si>
  <si>
    <t>CV NUANSA PROFIL</t>
  </si>
  <si>
    <t>ON-CV NUANSA PROFIL</t>
  </si>
  <si>
    <t>120230422931920200</t>
  </si>
  <si>
    <t>ON-D’Vanny salon</t>
  </si>
  <si>
    <t>120230422523240200</t>
  </si>
  <si>
    <t>ON-Bali Ayu Massage Salon &amp; Spa</t>
  </si>
  <si>
    <t>120228691389180694</t>
  </si>
  <si>
    <t>ON-Hery Service</t>
  </si>
  <si>
    <t>120228690955610694</t>
  </si>
  <si>
    <t>ON-CV Rheina Anugrah Lombok</t>
  </si>
  <si>
    <t>120228690635530694</t>
  </si>
  <si>
    <t>ON-Zila Lombok Trans</t>
  </si>
  <si>
    <t>120228686186680694</t>
  </si>
  <si>
    <t>ON-Reklame Hafiz</t>
  </si>
  <si>
    <t>120228683700970694</t>
  </si>
  <si>
    <t>ON-Randow Rinjani-04072025+5-6283845117965 - Salin</t>
  </si>
  <si>
    <t>120229482872540235</t>
  </si>
  <si>
    <t>ON-Indointerior</t>
  </si>
  <si>
    <t>120230489011020200</t>
  </si>
  <si>
    <t>ON-Li Lie-13072025+5-6289608357133</t>
  </si>
  <si>
    <t>ON-D’Vanny salon-11072025+5-6285339158435</t>
  </si>
  <si>
    <t>Bali Ayu</t>
  </si>
  <si>
    <t>ON-Bali Ayu-12062025+5-6281916331011</t>
  </si>
  <si>
    <t>120228759857360694</t>
  </si>
  <si>
    <t>ON-Suka Sehat-12072025+5-6282277773540</t>
  </si>
  <si>
    <t>ON-Hery Service-12072025+5-6281316839343</t>
  </si>
  <si>
    <t>CV Rheina</t>
  </si>
  <si>
    <t>ON-CV Rheina-12072025+5-6282339444339</t>
  </si>
  <si>
    <t>Zila Lombok</t>
  </si>
  <si>
    <t>ON-Zila Lombok-12072025+5-6287757150828</t>
  </si>
  <si>
    <t>ON-Reklame Hafiz-12072025+5-6285384321677</t>
  </si>
  <si>
    <t>PT WIRA</t>
  </si>
  <si>
    <t>ON-PT WIRA-11072025+30-6281229745253</t>
  </si>
  <si>
    <t>El Baha</t>
  </si>
  <si>
    <t>ON-El Baha-11072025+5-6285696765224</t>
  </si>
  <si>
    <t>PT Rohim</t>
  </si>
  <si>
    <t>ON-PT Rohim-09072025+5-6285789446955</t>
  </si>
  <si>
    <t>120229584743470235</t>
  </si>
  <si>
    <t>ON-Bengkel Las-10072025+5-6288274090631</t>
  </si>
  <si>
    <t>120229570652970235</t>
  </si>
  <si>
    <t>ON-Naufal interior-03062025+5-6281347321820 - Copy</t>
  </si>
  <si>
    <t>120229500053770235</t>
  </si>
  <si>
    <t>Pangauban Endah</t>
  </si>
  <si>
    <t>ON-Pangauban Endah-13072025+5-6285186029090</t>
  </si>
  <si>
    <t>ON-Indointerior-12072025+5-6285169411418</t>
  </si>
  <si>
    <t>ON-Karya Jasa-09072025+5-6285811444456</t>
  </si>
  <si>
    <t>Cv Nuansa</t>
  </si>
  <si>
    <t>ON-Cv Nuansa-11072025+30-6282310465999</t>
  </si>
  <si>
    <t>120228850834280694</t>
  </si>
  <si>
    <t>ON-Marros Tour-15072025+5-6281223055720</t>
  </si>
  <si>
    <t>120228850490520694</t>
  </si>
  <si>
    <t>Ilham Trans</t>
  </si>
  <si>
    <t>ON-Ilham Trans-14072025+5-6285714141525</t>
  </si>
  <si>
    <t>120228850146110694</t>
  </si>
  <si>
    <t>Rehab Hati</t>
  </si>
  <si>
    <t>ON-Rehab Hati-12072025+5-6283147736523</t>
  </si>
  <si>
    <t>120228849808840694</t>
  </si>
  <si>
    <t>ON-Pelatihan Bekam-15072025+5-6283865096870 - Salin</t>
  </si>
  <si>
    <t>120228849636070694</t>
  </si>
  <si>
    <t>ON-Pijat Sehat-15072025+5-6281217985917</t>
  </si>
  <si>
    <t>Dwi Asia</t>
  </si>
  <si>
    <t>ON-Dwi Asia-14072025+5-6281287982295</t>
  </si>
  <si>
    <t>120229632014130235</t>
  </si>
  <si>
    <t>ON-Ibi waterproofing-15072025+10-6281317170441</t>
  </si>
  <si>
    <t>120229631182820235</t>
  </si>
  <si>
    <t>Superman Interior</t>
  </si>
  <si>
    <t>ON-Superman Interior-15072025+5-62881038177010 - Salin</t>
  </si>
  <si>
    <t>120229629770720235</t>
  </si>
  <si>
    <t>Manunggal Jaya</t>
  </si>
  <si>
    <t>ON-Manunggal Jaya-15072025+5-6285716210341</t>
  </si>
  <si>
    <t>120229629574190235</t>
  </si>
  <si>
    <t>Fabrikasi Dan</t>
  </si>
  <si>
    <t>ON-Fabrikasi Dan-12072025+5-6281284410725</t>
  </si>
  <si>
    <t>120229628582980235</t>
  </si>
  <si>
    <t>ON-Buana Plavon-12072025+7-62895416149255 - Salin</t>
  </si>
  <si>
    <t>120230570117160200</t>
  </si>
  <si>
    <t>ON-LITNASALON-15072025+7-6281269441611</t>
  </si>
  <si>
    <t>120228880895420694</t>
  </si>
  <si>
    <t>POM MIGOR</t>
  </si>
  <si>
    <t>ON-POM MIGOR-17072025+5-6285789446955</t>
  </si>
  <si>
    <t>120228878890380694</t>
  </si>
  <si>
    <t>Cv my</t>
  </si>
  <si>
    <t>ON-Cv my-16072025+5-6281933176790</t>
  </si>
  <si>
    <t>120228878659740694</t>
  </si>
  <si>
    <t>Sumatra Jungle</t>
  </si>
  <si>
    <t>ON-Sumatra Jungle-15072025+10-6283870060603</t>
  </si>
  <si>
    <t>120228878484580694</t>
  </si>
  <si>
    <t>Terapi Bekam</t>
  </si>
  <si>
    <t>ON-Terapi Bekam-11072025+5-6282307376695</t>
  </si>
  <si>
    <t>120228878146570694</t>
  </si>
  <si>
    <t>ON-Wedding Organizer-15072025+5-628563562851</t>
  </si>
  <si>
    <t>OFF-Aqip Custom-27062025+30-6288228976100</t>
  </si>
  <si>
    <t>120229663641750235</t>
  </si>
  <si>
    <t>ON-REKARUANG GRUOP-16072025+10-6287888068088</t>
  </si>
  <si>
    <t>120229663429770235</t>
  </si>
  <si>
    <t>ON-Bengkel las-16072025+30-6281385001244</t>
  </si>
  <si>
    <t>120229663117000235</t>
  </si>
  <si>
    <t>Klasika Kontraktor/</t>
  </si>
  <si>
    <t>ON-Klasika Kontraktor/-16072025+10-6281298551100</t>
  </si>
  <si>
    <t>120229662655330235</t>
  </si>
  <si>
    <t>ON-AURIGA KONTRAKTOR-16072025+5-6287856230745</t>
  </si>
  <si>
    <t>120228944259850694</t>
  </si>
  <si>
    <t>New Sales Campaign</t>
  </si>
  <si>
    <t>120228937956880694</t>
  </si>
  <si>
    <t>ON-UI WEDDING-05072025+5-6282128714101 - Salin - Copy</t>
  </si>
  <si>
    <t>120228926103550694</t>
  </si>
  <si>
    <t>Gemilang Gordyn</t>
  </si>
  <si>
    <t>ON-Gemilang Gordyn-17072025+5-6283891332074</t>
  </si>
  <si>
    <t>120228925862700694</t>
  </si>
  <si>
    <t>Ghadi Auto</t>
  </si>
  <si>
    <t>ON-Ghadi Auto-17072025+10-6285268101557</t>
  </si>
  <si>
    <t>120228923411520694</t>
  </si>
  <si>
    <t>Bekam Syar'i</t>
  </si>
  <si>
    <t>ON-Bekam Syar'i-08072025+5-6281252595912</t>
  </si>
  <si>
    <t>120229706818760235</t>
  </si>
  <si>
    <t>Interior Termurah</t>
  </si>
  <si>
    <t>ON-Interior Termurah-15072025+5-6287878863000</t>
  </si>
  <si>
    <t>120229706693350235</t>
  </si>
  <si>
    <t>ON-Bengkel las-17072025+5-6281311129854</t>
  </si>
  <si>
    <t>120229705795080235</t>
  </si>
  <si>
    <t>PT. KINANTAN</t>
  </si>
  <si>
    <t>ON-PT. KINANTAN-17072025+5-628116655901</t>
  </si>
  <si>
    <t>120229705279970235</t>
  </si>
  <si>
    <t>Satria Karya</t>
  </si>
  <si>
    <t>ON-Satria Karya-17072025+10-6287734875393</t>
  </si>
  <si>
    <t>Samidi Plaf13062025+5</t>
  </si>
  <si>
    <t>OFF-Samidi Plaf13062025+5-6285210107607</t>
  </si>
  <si>
    <t>120228961595190694</t>
  </si>
  <si>
    <t>panti sehat</t>
  </si>
  <si>
    <t>ON-panti sehat-17072025+5-6281999375257</t>
  </si>
  <si>
    <t>120228961524660694</t>
  </si>
  <si>
    <t>Cidahu Camping</t>
  </si>
  <si>
    <t>ON-Cidahu Camping-18072025+5-6285773570295</t>
  </si>
  <si>
    <t>120228961494080694</t>
  </si>
  <si>
    <t>Cendekia Tiara</t>
  </si>
  <si>
    <t>ON-Cendekia Tiara-18072025+5-6281215284044</t>
  </si>
  <si>
    <t>120229763540830235</t>
  </si>
  <si>
    <t>Interior Dn</t>
  </si>
  <si>
    <t>ON-Interior Dn-18072025+5-62895329361572</t>
  </si>
  <si>
    <t>120229763209960235</t>
  </si>
  <si>
    <t>Pesona Lift</t>
  </si>
  <si>
    <t>ON-Pesona Lift-18072025+30-6287821760177</t>
  </si>
  <si>
    <t>120229763003210235</t>
  </si>
  <si>
    <t>Elsa Eljokael</t>
  </si>
  <si>
    <t>ON-Elsa Eljokael-18072025+14-62882015555380</t>
  </si>
  <si>
    <t>120229016256900694</t>
  </si>
  <si>
    <t>Herbal Mantun</t>
  </si>
  <si>
    <t>ON-Herbal Mantun-20072025+30-62816904358</t>
  </si>
  <si>
    <t>120229016148350694</t>
  </si>
  <si>
    <t>CV ATN</t>
  </si>
  <si>
    <t>ON-CV ATN-19072025+5-6282169354443</t>
  </si>
  <si>
    <t>120229016020190694</t>
  </si>
  <si>
    <t>HM VIP</t>
  </si>
  <si>
    <t>ON-HM VIP-16072025+14-6281225745133</t>
  </si>
  <si>
    <t>120229015913570694</t>
  </si>
  <si>
    <t>ON-Tanjung Transport-19072025+5-6287762707927</t>
  </si>
  <si>
    <t>120229015403650694</t>
  </si>
  <si>
    <t>ON-Pijat Sehat-20072025+10-6281219329853</t>
  </si>
  <si>
    <t>120229015330400694</t>
  </si>
  <si>
    <t>Terapi Jalur</t>
  </si>
  <si>
    <t>ON-Terapi Jalur-14072025+5-6283131677011</t>
  </si>
  <si>
    <t>120229015252810694</t>
  </si>
  <si>
    <t>ON-HZ Teknik-18072025+5-6282123039124</t>
  </si>
  <si>
    <t>120229015032510694</t>
  </si>
  <si>
    <t>Griya Sehat</t>
  </si>
  <si>
    <t>ON-Griya Sehat-18072025+5-6285741977776</t>
  </si>
  <si>
    <t>120224679214120694</t>
  </si>
  <si>
    <t>Master Home Decor+15052025</t>
  </si>
  <si>
    <t>ON-Master Home Decor+15052025-5-6281378757554-Ilham - 2</t>
  </si>
  <si>
    <t>120229839631960235</t>
  </si>
  <si>
    <t>CV Karya</t>
  </si>
  <si>
    <t>ON-CV Karya-19072025+7-6285888590045</t>
  </si>
  <si>
    <t>120229839202590235</t>
  </si>
  <si>
    <t>CV SEJAHTERA</t>
  </si>
  <si>
    <t>ON-CV SEJAHTERA-19072025+5-6285268858846</t>
  </si>
  <si>
    <t>120229070573230694</t>
  </si>
  <si>
    <t>Rumah Ruqyah</t>
  </si>
  <si>
    <t>ON-Rumah Ruqyah-21072025+5-6285645050058</t>
  </si>
  <si>
    <t>120229070072380694</t>
  </si>
  <si>
    <t>Pena Tour</t>
  </si>
  <si>
    <t>ON-Pena Tour-21072025+5-6285267044893</t>
  </si>
  <si>
    <t>120229069355830694</t>
  </si>
  <si>
    <t>ON-Penyehat Tradisional-21072025+5-6285657238556</t>
  </si>
  <si>
    <t>120229068427860694</t>
  </si>
  <si>
    <t>ON-Addy Therapy-21072025+5-6289524188028</t>
  </si>
  <si>
    <t>120229065114710694</t>
  </si>
  <si>
    <t>ON-EFB COURSE-21072025+5-6285234005559</t>
  </si>
  <si>
    <t>120229064636490694</t>
  </si>
  <si>
    <t>ON-FANILA PIZZA-20072025+10-6282197248722</t>
  </si>
  <si>
    <t>120229935945510235</t>
  </si>
  <si>
    <t>Mas Bra</t>
  </si>
  <si>
    <t>ON-Mas Bra-21072025+5-6281325757271</t>
  </si>
  <si>
    <t>120229935832610235</t>
  </si>
  <si>
    <t>PT Umbara</t>
  </si>
  <si>
    <t>ON-PT Umbara-20072025+20-6285955053385</t>
  </si>
  <si>
    <t>120229130184660694</t>
  </si>
  <si>
    <t>Terapi modern</t>
  </si>
  <si>
    <t>ON-Terapi modern-21072025+5-6289607006888</t>
  </si>
  <si>
    <t>120229129775820694</t>
  </si>
  <si>
    <t>BLACK BALI</t>
  </si>
  <si>
    <t>ON-BLACK BALI-22072025+7-6282133271189</t>
  </si>
  <si>
    <t>120229127805640694</t>
  </si>
  <si>
    <t>ON-Penyehat Tradisional-22072025+5-6285657238556 - Salin</t>
  </si>
  <si>
    <t>120230031655260235</t>
  </si>
  <si>
    <t>ON-MGM FURNITURE-22072025+10-6282299236521</t>
  </si>
  <si>
    <t>120230028166360235</t>
  </si>
  <si>
    <t>ON-Derra.id-22072025+14-085719003688</t>
  </si>
  <si>
    <t>120230026398020235</t>
  </si>
  <si>
    <t>ON-Bengkel Las-22072025+5-6285281921180</t>
  </si>
  <si>
    <t>120230026230590235</t>
  </si>
  <si>
    <t>MGM Manunggal</t>
  </si>
  <si>
    <t>ON-MGM Manunggal-22072025+5-6285778471007</t>
  </si>
  <si>
    <t>120229188907560694</t>
  </si>
  <si>
    <t>ON-SAFWA STUDIO-22072025+7-62811693222</t>
  </si>
  <si>
    <t>120229188727430694</t>
  </si>
  <si>
    <t>ON-Griya Relaxology-19072025+5-6285869122507</t>
  </si>
  <si>
    <t>120229188527800694</t>
  </si>
  <si>
    <t>ON-Harkan Adventure-23072025+20-6281286402030</t>
  </si>
  <si>
    <t>120229188144990694</t>
  </si>
  <si>
    <t>ON-In Fashion-23072025+5-6285397990632</t>
  </si>
  <si>
    <t>120229187562570694</t>
  </si>
  <si>
    <t>ON-PERCUTIAN BANDUNG-20072025+10-6285186697099</t>
  </si>
  <si>
    <t>ONN-Cv my-16072025+5-6281933176790</t>
  </si>
  <si>
    <t>120230138850420235</t>
  </si>
  <si>
    <t>Sentuhan Alam</t>
  </si>
  <si>
    <t>ON-Sentuhan Alam-21072025+5-6285921009099</t>
  </si>
  <si>
    <t>120229280519010694</t>
  </si>
  <si>
    <t>DOUBLE-Rodrimar Aifunan Fresku-16052025+14-67077619002-Ilham - 2 - Copy</t>
  </si>
  <si>
    <t>120229259403190694</t>
  </si>
  <si>
    <t>ATEKOR DOLPHIN</t>
  </si>
  <si>
    <t>ON-ATEKOR DOLPHIN-23072025+7-6287846030252</t>
  </si>
  <si>
    <t>120229253481400694</t>
  </si>
  <si>
    <t>PT. DEVANA</t>
  </si>
  <si>
    <t>ON-PT. DEVANA-23072025+7-6281327457634</t>
  </si>
  <si>
    <t>120229253354330694</t>
  </si>
  <si>
    <t>Indihome Telkomsel</t>
  </si>
  <si>
    <t>ON-Indihome Telkomsel-23072025+7-628113311777</t>
  </si>
  <si>
    <t>120229252947620694</t>
  </si>
  <si>
    <t>Best kaca</t>
  </si>
  <si>
    <t>ON-Best kaca-23072025+7-6281553075560</t>
  </si>
  <si>
    <t>120229250160850694</t>
  </si>
  <si>
    <t>FR bromo</t>
  </si>
  <si>
    <t>ON-FR bromo-23072025+14-6282333203355</t>
  </si>
  <si>
    <t>120230250559660235</t>
  </si>
  <si>
    <t>IQBAL ROSTER</t>
  </si>
  <si>
    <t>ON-IQBAL ROSTER-23072025+5-6281258553437</t>
  </si>
  <si>
    <t>120229339382760694</t>
  </si>
  <si>
    <t>Bromo Atta</t>
  </si>
  <si>
    <t>ON-Bromo Atta-24072025+5-6282333358533</t>
  </si>
  <si>
    <t>120229338279800694</t>
  </si>
  <si>
    <t>Sunshine Lovinaku</t>
  </si>
  <si>
    <t>ON-Sunshine Lovinaku-24072025+5-6287826386983</t>
  </si>
  <si>
    <t>120229337944090694</t>
  </si>
  <si>
    <t>Bagus Bali</t>
  </si>
  <si>
    <t>ON-Bagus Bali-24072025+5-6282340878030</t>
  </si>
  <si>
    <t>120229427577300694</t>
  </si>
  <si>
    <t>ON-TAMPIAN TRANS-25072025+5-6285727626320</t>
  </si>
  <si>
    <t>120229427059860694</t>
  </si>
  <si>
    <t>ON-ASKHALTRANS-25072025+5-6281399886462</t>
  </si>
  <si>
    <t>120229422230120694</t>
  </si>
  <si>
    <t>ON-Rental mobil-25072025+7-6281938384000</t>
  </si>
  <si>
    <t>120229420166220694</t>
  </si>
  <si>
    <t>KHARISMA JAYA</t>
  </si>
  <si>
    <t>ON-KHARISMA JAYA-25072025+5-6287790276733</t>
  </si>
  <si>
    <t>120229418365250694</t>
  </si>
  <si>
    <t>Kretek Jambi</t>
  </si>
  <si>
    <t>ON-Kretek Jambi-24072025+-6282285205998</t>
  </si>
  <si>
    <t>120229415938980694</t>
  </si>
  <si>
    <t>PT Sapto</t>
  </si>
  <si>
    <t>ON-PT Sapto-23072025+7-6281280241630</t>
  </si>
  <si>
    <t>120229404588410694</t>
  </si>
  <si>
    <t>ON-ratu pukiss-21072025+-6281255005229</t>
  </si>
  <si>
    <t>120229403735200694</t>
  </si>
  <si>
    <t>Kharisma Wedding</t>
  </si>
  <si>
    <t>ON-Kharisma Wedding-20072025+5-628155157779</t>
  </si>
  <si>
    <t>120229403412790694</t>
  </si>
  <si>
    <t>Hafizh Jaya</t>
  </si>
  <si>
    <t>ON-Hafizh Jaya-25072025+5-6281366479393</t>
  </si>
  <si>
    <t>120229403125990694</t>
  </si>
  <si>
    <t>Rr Renctar</t>
  </si>
  <si>
    <t>ON-Rr Renctar-23072025+5-6282123587173</t>
  </si>
  <si>
    <t>120229402979650694</t>
  </si>
  <si>
    <t>Fatih Herbal</t>
  </si>
  <si>
    <t>ON-Fatih Herbal-23072025+5-62881010278235</t>
  </si>
  <si>
    <t>OFF-Gesit Laundry-18062025+30-6287858585808</t>
  </si>
  <si>
    <t>120230396785660235</t>
  </si>
  <si>
    <t>ON-Putra Djaya-22072025+5-62895632627969</t>
  </si>
  <si>
    <t>120229539357380694</t>
  </si>
  <si>
    <t>ON-AGVINK MASSAGE-26072025+5-6287745180632</t>
  </si>
  <si>
    <t>120229538953550694</t>
  </si>
  <si>
    <t>ON-Bu Djempol-26072025+5-6281217126285</t>
  </si>
  <si>
    <t>120229536549420694</t>
  </si>
  <si>
    <t>ADH TOUR</t>
  </si>
  <si>
    <t>ON-ADH TOUR-26072025+5-6285207285812</t>
  </si>
  <si>
    <t>120229536211020694</t>
  </si>
  <si>
    <t>Prayudah Tour</t>
  </si>
  <si>
    <t>ON-Prayudah Tour-26072025+5-6282186829904</t>
  </si>
  <si>
    <t>120230463174070235</t>
  </si>
  <si>
    <t>ON-KARYA TEKNIK-27072025+5-6282164564557</t>
  </si>
  <si>
    <t>120230463035880235</t>
  </si>
  <si>
    <t>ON-ASALAKUR PROJECT-27072025+5-6282177410110</t>
  </si>
  <si>
    <t>120230462746020235</t>
  </si>
  <si>
    <t>Specialis Plafon</t>
  </si>
  <si>
    <t>ON-Specialis Plafon-26072025+5-6285785858869</t>
  </si>
  <si>
    <t>120230462474680235</t>
  </si>
  <si>
    <t>Jasa Pembuatan</t>
  </si>
  <si>
    <t>ON-Jasa Pembuatan-26072025+5-6282297965454</t>
  </si>
  <si>
    <t>120230462264890235</t>
  </si>
  <si>
    <t>ON-Kharisma Filter-21072025+10-6285893658659</t>
  </si>
  <si>
    <t>120230348327900235</t>
  </si>
  <si>
    <t>AL FAZZA</t>
  </si>
  <si>
    <t>ON-AL FAZZA-25072025+5-6281321528899</t>
  </si>
  <si>
    <t>120230348158250235</t>
  </si>
  <si>
    <t>ON-Interior Design-24072025+5-6285373309275</t>
  </si>
  <si>
    <t>120229636262830694</t>
  </si>
  <si>
    <t>Gudang matic</t>
  </si>
  <si>
    <t>ON-Gudang matic-28072025+5-6287762605372</t>
  </si>
  <si>
    <t>120229634636490694</t>
  </si>
  <si>
    <t>LMC BEAUTY</t>
  </si>
  <si>
    <t>ON-LMC BEAUTY-28072025+5-6282154233977</t>
  </si>
  <si>
    <t>120229633717880694</t>
  </si>
  <si>
    <t>ON-Rumah Sehat-28072025+5-6281111121020</t>
  </si>
  <si>
    <t>120229632849320694</t>
  </si>
  <si>
    <t>ON-Therapy pijat-28072025+5-6287865111033</t>
  </si>
  <si>
    <t>120229631636590694</t>
  </si>
  <si>
    <t>Cahaya Al</t>
  </si>
  <si>
    <t>ON-Cahaya Al-28072025+7-6281330410391</t>
  </si>
  <si>
    <t>120229631437820694</t>
  </si>
  <si>
    <t>CV SAKTI</t>
  </si>
  <si>
    <t>ON-CV SAKTI-27072025+5-6285820117323</t>
  </si>
  <si>
    <t>120229259021980694</t>
  </si>
  <si>
    <t>PT TAMA</t>
  </si>
  <si>
    <t>ON-PT TAMA-23072025+5-62823885166777</t>
  </si>
  <si>
    <t>120229740294440694</t>
  </si>
  <si>
    <t>ON-Graf print-28072025+5-6283831211890</t>
  </si>
  <si>
    <t>120229739691850694</t>
  </si>
  <si>
    <t>Rent Camping</t>
  </si>
  <si>
    <t>ON-Rent Camping-28072025+7-6285223186555</t>
  </si>
  <si>
    <t>120229738054670694</t>
  </si>
  <si>
    <t>FLOREST RENT</t>
  </si>
  <si>
    <t>ON-FLOREST RENT-27072025+5-6282352307329</t>
  </si>
  <si>
    <t>120229737136600694</t>
  </si>
  <si>
    <t>CV Rabbani</t>
  </si>
  <si>
    <t>ON-CV Rabbani-24072025+5-6281347245985</t>
  </si>
  <si>
    <t>120229736695660694</t>
  </si>
  <si>
    <t>GRIYA JAGAD</t>
  </si>
  <si>
    <t>ON-GRIYA JAGAD-26072025+20-628123264621</t>
  </si>
  <si>
    <t>120229734535510694</t>
  </si>
  <si>
    <t>Griya Mahalona</t>
  </si>
  <si>
    <t>ON-Griya Mahalona-16072025+5-6282292283543 - Salin</t>
  </si>
  <si>
    <t>120229733787950694</t>
  </si>
  <si>
    <t>ON-Pijat Sehat-09072025+5-6282142833445</t>
  </si>
  <si>
    <t>120228480638570694</t>
  </si>
  <si>
    <t>ALSES SARANA</t>
  </si>
  <si>
    <t>ON-ALSES SARANA-08072025+5-6285889229948</t>
  </si>
  <si>
    <t>120229867334710694</t>
  </si>
  <si>
    <t>ON-Srikandi Tour-15072025+5-6281392854108</t>
  </si>
  <si>
    <t>120229866087510694</t>
  </si>
  <si>
    <t>ON-Rumah Terapy-17072025+-6287829346006</t>
  </si>
  <si>
    <t>120229865135390694</t>
  </si>
  <si>
    <t>ARA (ARRAEHAN</t>
  </si>
  <si>
    <t>ON-ARA (ARRAEHAN-26072025+5-628111099911</t>
  </si>
  <si>
    <t>OFF-Cahaya Al-28072025+7-6281330410391</t>
  </si>
  <si>
    <t>120230681708590235</t>
  </si>
  <si>
    <t>Somala Waterproofing</t>
  </si>
  <si>
    <t>ON-Somala Waterproofing-29072025+7-6285737375137</t>
  </si>
  <si>
    <t>120230681195060235</t>
  </si>
  <si>
    <t>Yasa Jayendra</t>
  </si>
  <si>
    <t>ON-Yasa Jayendra-28072025+7-6287709999980</t>
  </si>
  <si>
    <t>120230608770750235</t>
  </si>
  <si>
    <t>ON-Dua Saudara-27072025+5-6281326160059</t>
  </si>
  <si>
    <t>120230607617770235</t>
  </si>
  <si>
    <t>ON-APRILIA GYPSUM-15072025+5-6281230288300</t>
  </si>
  <si>
    <t>120230531310920235</t>
  </si>
  <si>
    <t>RJK (Rokhim</t>
  </si>
  <si>
    <t>ON-RJK (Rokhim-25072025+5-62895635983361</t>
  </si>
  <si>
    <t>120231605979100200</t>
  </si>
  <si>
    <t>ON-Bajawa lash-29072025+5-6281299298585</t>
  </si>
  <si>
    <t>120229949254840694</t>
  </si>
  <si>
    <t>ON-Vania collection-30072025+5-6285326750989</t>
  </si>
  <si>
    <t>120229949048250694</t>
  </si>
  <si>
    <t>ON-Raja Sehat-29072025+5-6282249348536</t>
  </si>
  <si>
    <t>120229948422580694</t>
  </si>
  <si>
    <t>Pijat Kesehatan</t>
  </si>
  <si>
    <t>ON-Pijat Kesehatan-30072025+5-6288802749485</t>
  </si>
  <si>
    <t>120229944823140694</t>
  </si>
  <si>
    <t>ON-Duaputra Travel-29072025+5-6282118113002</t>
  </si>
  <si>
    <t>120229943921030694</t>
  </si>
  <si>
    <t>ON-Keliling Sumatra-29072025+5-6281362440234</t>
  </si>
  <si>
    <t>120229943482960694</t>
  </si>
  <si>
    <t>Transformasi Quantum</t>
  </si>
  <si>
    <t>ON-Transformasi Quantum-29072025+20-6285294617773</t>
  </si>
  <si>
    <t>120229741385100694</t>
  </si>
  <si>
    <t>Ayam Bakul</t>
  </si>
  <si>
    <t>ON-Ayam Bakul-28072025+10-6285286258400</t>
  </si>
  <si>
    <t>120230750875670235</t>
  </si>
  <si>
    <t>Furniture Jati</t>
  </si>
  <si>
    <t>ON-Furniture Jati-30072025+5-6282322308711 - Salin</t>
  </si>
  <si>
    <t>120230688221810235</t>
  </si>
  <si>
    <t>Hendri Family</t>
  </si>
  <si>
    <t>ON-Hendri Family-29072025+5-6282384370009</t>
  </si>
  <si>
    <t>120229983962720694</t>
  </si>
  <si>
    <t>Bumi Terapi</t>
  </si>
  <si>
    <t>ON-Bumi Terapi-30072025+5-628990145388</t>
  </si>
  <si>
    <t>120229983590020694</t>
  </si>
  <si>
    <t>KARIMUN DJAVA</t>
  </si>
  <si>
    <t>ON-KARIMUN DJAVA-30072025+5-6281226950679</t>
  </si>
  <si>
    <t>120229983154530694</t>
  </si>
  <si>
    <t>ON-Mie Kadimin-29072025+7-6285691146546</t>
  </si>
  <si>
    <t>120229982659360694</t>
  </si>
  <si>
    <t>Borobudur Tourism</t>
  </si>
  <si>
    <t>ON-Borobudur Tourism-29072025+10-628122703083</t>
  </si>
  <si>
    <t>120229982208650694</t>
  </si>
  <si>
    <t>ON-Jibran Holiday-31072025+7-6285920572002</t>
  </si>
  <si>
    <t>120229981713820694</t>
  </si>
  <si>
    <t>ON-pijat refleksi-31072025+5-6285780314346</t>
  </si>
  <si>
    <t>120231665720200200</t>
  </si>
  <si>
    <t>ON-WIKINARA-28072025+5-628127126274</t>
  </si>
  <si>
    <t>120230032290790694</t>
  </si>
  <si>
    <t>Tuti Tour</t>
  </si>
  <si>
    <t>ON-Tuti Tour-01082025+5-6282241824727</t>
  </si>
  <si>
    <t>120230032002500694</t>
  </si>
  <si>
    <t>ON-Riffy Travel-30072025+14-6281558225822</t>
  </si>
  <si>
    <t>120230031719520694</t>
  </si>
  <si>
    <t>ON-Rumah Sehat-01082025+5-6285244535934</t>
  </si>
  <si>
    <t>120230031554680694</t>
  </si>
  <si>
    <t>DA'2 BODY</t>
  </si>
  <si>
    <t>ON-DA'2 BODY-01082025+10-6287721853921</t>
  </si>
  <si>
    <t>120230031385670694</t>
  </si>
  <si>
    <t>griya sehat</t>
  </si>
  <si>
    <t>ON-griya sehat-30072025+5-6285378141823</t>
  </si>
  <si>
    <t>120230031289610694</t>
  </si>
  <si>
    <t>ON-BEKAM ZAYTUN-31072025+5-6283865096870</t>
  </si>
  <si>
    <t>120230031060080694</t>
  </si>
  <si>
    <t>Terapi Saraf</t>
  </si>
  <si>
    <t>ON-Terapi Saraf-31072025+5-6281326757091</t>
  </si>
  <si>
    <t>120230030877630694</t>
  </si>
  <si>
    <t>CV.BAGUS DAN</t>
  </si>
  <si>
    <t>ON-CV.BAGUS DAN-31072025+30-6281357754513</t>
  </si>
  <si>
    <t>120230030751300694</t>
  </si>
  <si>
    <t>Zam Zam</t>
  </si>
  <si>
    <t>ON-Zam Zam-31072025+5-6285946504405</t>
  </si>
  <si>
    <t>120230030663890694</t>
  </si>
  <si>
    <t>ON-Matantimali Adventure-31072025+30-628154336558</t>
  </si>
  <si>
    <t>120230030546360694</t>
  </si>
  <si>
    <t>PT KURNIA</t>
  </si>
  <si>
    <t>ON-PT KURNIA-30072025+30-6282384544939</t>
  </si>
  <si>
    <t>120230105512900694</t>
  </si>
  <si>
    <t>PT AULIA</t>
  </si>
  <si>
    <t>ON-PT AULIA-03082025+30-6281225101319</t>
  </si>
  <si>
    <t>120230105029980694</t>
  </si>
  <si>
    <t>ON-Syakira Refleksi-03082025+5-6285821233475</t>
  </si>
  <si>
    <t>120230104881210694</t>
  </si>
  <si>
    <t>Dolphin Lovina</t>
  </si>
  <si>
    <t>ON-Dolphin Lovina-02082025+7-6281238115957</t>
  </si>
  <si>
    <t>120230104636090694</t>
  </si>
  <si>
    <t>PT Kirana</t>
  </si>
  <si>
    <t>ON-PT Kirana-02082025+7-6281363504410</t>
  </si>
  <si>
    <t>120230104017690694</t>
  </si>
  <si>
    <t>TAQIRA HD</t>
  </si>
  <si>
    <t>ON-TAQIRA HD-02082025+14-6281374844270</t>
  </si>
  <si>
    <t>120230103577590694</t>
  </si>
  <si>
    <t>KHARISMA AUTO</t>
  </si>
  <si>
    <t>ON-KHARISMA AUTO-02-Agust-2025+10-6282129364133</t>
  </si>
  <si>
    <t>120230102653090694</t>
  </si>
  <si>
    <t>ON-Manggarai store-30072025+5-6285241858483</t>
  </si>
  <si>
    <t>120230102442580694</t>
  </si>
  <si>
    <t>PESONA BOGOR</t>
  </si>
  <si>
    <t>ON-PESONA BOGOR-30072025+20-628557182563</t>
  </si>
  <si>
    <t>120230101256100694</t>
  </si>
  <si>
    <t>Paulo Bali</t>
  </si>
  <si>
    <t>ON-Paulo Bali-30072025+5-6287751970643</t>
  </si>
  <si>
    <t>ON-PT WIRA-11072025+30-6281229745253-revilham</t>
  </si>
  <si>
    <t>120230153711420694</t>
  </si>
  <si>
    <t>PWG (Prife</t>
  </si>
  <si>
    <t>ON-PWG (Prife-02082025+5-6281915041833</t>
  </si>
  <si>
    <t>120230153286200694</t>
  </si>
  <si>
    <t>ON-Rumah Sehat-25072025+5-6281378305888</t>
  </si>
  <si>
    <t>120230153099780694</t>
  </si>
  <si>
    <t>ON-Dbugissunda-03082025+10-6285299991164</t>
  </si>
  <si>
    <t>120230152814350694</t>
  </si>
  <si>
    <t>The Travel</t>
  </si>
  <si>
    <t>ON-The Travel-04082025+30-6285333751528</t>
  </si>
  <si>
    <t>120230152687050694</t>
  </si>
  <si>
    <t>ON-Surfing Course-02082025+5-6285338700113</t>
  </si>
  <si>
    <t>120230200770220694</t>
  </si>
  <si>
    <t>ON-Multi Gemilang-05082025+5-628170204528</t>
  </si>
  <si>
    <t>120230200663390694</t>
  </si>
  <si>
    <t>Pengobatan alternatif</t>
  </si>
  <si>
    <t>ON-Pengobatan alternatif-04082025+5-6285338373761</t>
  </si>
  <si>
    <t>120230200566270694</t>
  </si>
  <si>
    <t>ON-Simetris Transport-16072025+5-6285191259285</t>
  </si>
  <si>
    <t>120230248027720694</t>
  </si>
  <si>
    <t>CV PERMATA</t>
  </si>
  <si>
    <t>ON-CV PERMATA-06082025+10-6285328883803</t>
  </si>
  <si>
    <t>120230247893620694</t>
  </si>
  <si>
    <t>ON-plesir4n-06082025+5-62882001438924</t>
  </si>
  <si>
    <t>120230247721570694</t>
  </si>
  <si>
    <t>ON-Terapi ku-05082025+20-6285602235226</t>
  </si>
  <si>
    <t>120230247451720694</t>
  </si>
  <si>
    <t>Fahri mandiri</t>
  </si>
  <si>
    <t>ON-Fahri mandiri-03082025+5-6289515920603</t>
  </si>
  <si>
    <t>120231200403370235</t>
  </si>
  <si>
    <t>ON-SYABANA PROPERTY-05082025+5-6283856759344</t>
  </si>
  <si>
    <t>120231117829430235</t>
  </si>
  <si>
    <t>ON-CV Karya-05082025+7-6285888590045</t>
  </si>
  <si>
    <t>120231117671640235</t>
  </si>
  <si>
    <t>120231117427430235</t>
  </si>
  <si>
    <t>120231018888730235</t>
  </si>
  <si>
    <t>ON-vania_sentulcity-04082025+5-6282130129819</t>
  </si>
  <si>
    <t>120230838244790235</t>
  </si>
  <si>
    <t>ON-Jannah Interior-01082025+14-6285767074516</t>
  </si>
  <si>
    <t>120230838084460235</t>
  </si>
  <si>
    <t>Bintang Jaya</t>
  </si>
  <si>
    <t>ON-Bintang Jaya-30072025+5-6289609613105</t>
  </si>
  <si>
    <t>120230789620270235</t>
  </si>
  <si>
    <t>Renovasi Atap</t>
  </si>
  <si>
    <t>ON-Renovasi Atap-30072025+20-6285694618282</t>
  </si>
  <si>
    <t>ON-Yasa Jayendra-28072025+7-6287709999980-revilham</t>
  </si>
  <si>
    <t>120230292981560694</t>
  </si>
  <si>
    <t>Catur Lawa</t>
  </si>
  <si>
    <t>ON-Catur Lawa-07082025+30-6287797504113</t>
  </si>
  <si>
    <t>ON-Borobudur Tourism-29072025+10-628122703083-revilham</t>
  </si>
  <si>
    <t>120231247515380235</t>
  </si>
  <si>
    <t>CV. Heri</t>
  </si>
  <si>
    <t>ON-CV. Heri-05082025+5-62895321637812</t>
  </si>
  <si>
    <t>120231247466460235</t>
  </si>
  <si>
    <t>Jasa pembuatan</t>
  </si>
  <si>
    <t>ON-Jasa pembuatan-06082025+5-6285814213281</t>
  </si>
  <si>
    <t>120231247426310235</t>
  </si>
  <si>
    <t>Jasa renovasi</t>
  </si>
  <si>
    <t>ON-Jasa renovasi-06082025+5-6282236053835</t>
  </si>
  <si>
    <t>120231247351770235</t>
  </si>
  <si>
    <t>ON-Amanah Jaya-5-Agu-2025+5-6281353489660</t>
  </si>
  <si>
    <t>120231314779900235</t>
  </si>
  <si>
    <t>ON-Lailatul Furniture-08082025+5-6285100570275</t>
  </si>
  <si>
    <t>120231313504010235</t>
  </si>
  <si>
    <t>ON-MEGAH PLAFON-01082025+14-6281323291817</t>
  </si>
  <si>
    <t>120231287389280235</t>
  </si>
  <si>
    <t>OFF-PT. Panorama Jaya Labana-16062025+14-628122102657 - baru 10/8</t>
  </si>
  <si>
    <t>120231985215890200</t>
  </si>
  <si>
    <t>nur beauty</t>
  </si>
  <si>
    <t>ON-nur beauty-09082025+5-6285138380189</t>
  </si>
  <si>
    <t>120230433528630694</t>
  </si>
  <si>
    <t>Bali Embers</t>
  </si>
  <si>
    <t>ON-Bali Embers-09082025+5-6287886480138</t>
  </si>
  <si>
    <t>120230433393450694</t>
  </si>
  <si>
    <t>ON-Sumatra Jungle-09082025+20-6283870060603</t>
  </si>
  <si>
    <t>120230433288220694</t>
  </si>
  <si>
    <t>Al Nasir</t>
  </si>
  <si>
    <t>ON-Al Nasir-09082025+10-6282112042148</t>
  </si>
  <si>
    <t>120230433186760694</t>
  </si>
  <si>
    <t>Villa Helly</t>
  </si>
  <si>
    <t>ON-Villa Helly-09082025+5-62817262229</t>
  </si>
  <si>
    <t>120230433021380694</t>
  </si>
  <si>
    <t>Sewa Tenda</t>
  </si>
  <si>
    <t>ON-Sewa Tenda-09082025+5-6281324481252</t>
  </si>
  <si>
    <t>120230432938410694</t>
  </si>
  <si>
    <t>BERKAH  TEKNIK</t>
  </si>
  <si>
    <t>ON-BERKAH  TEKNIK-07082025+10-6285748377961</t>
  </si>
  <si>
    <t>120230432872870694</t>
  </si>
  <si>
    <t>120230432275000694</t>
  </si>
  <si>
    <t>ON-Mudatama Tour-08082025+20-6281288245836</t>
  </si>
  <si>
    <t>120230494969540694</t>
  </si>
  <si>
    <t>Yono motor</t>
  </si>
  <si>
    <t>ON-Yono motor-11082025+5-6287701349406</t>
  </si>
  <si>
    <t>120230494825900694</t>
  </si>
  <si>
    <t>Bali Trip</t>
  </si>
  <si>
    <t>ON-Bali Trip-11082025+10-628179780980</t>
  </si>
  <si>
    <t>120230494428050694</t>
  </si>
  <si>
    <t>TOKO TANI</t>
  </si>
  <si>
    <t>ON-TOKO TANI-11082025+10-628127962347</t>
  </si>
  <si>
    <t>120230494321050694</t>
  </si>
  <si>
    <t>ON-ARROFEE-10082025+5-6282241382009</t>
  </si>
  <si>
    <t>120230493966180694</t>
  </si>
  <si>
    <t>Pupuk Paten</t>
  </si>
  <si>
    <t>ON-Pupuk Paten-11082025+5-6282382535847</t>
  </si>
  <si>
    <t>120230493864380694</t>
  </si>
  <si>
    <t>Kutai Holiday</t>
  </si>
  <si>
    <t>ON-Kutai Holiday-10082025+20-6282153090123</t>
  </si>
  <si>
    <t>120230526567290694</t>
  </si>
  <si>
    <t>Bengkulu rak</t>
  </si>
  <si>
    <t>OFF-Bengkulu rak-12082025+5-6283129404339</t>
  </si>
  <si>
    <t>120230526254600694</t>
  </si>
  <si>
    <t>CV HAFIDZ</t>
  </si>
  <si>
    <t>OFF-CV HAFIDZ-12082025+5-6285361188745</t>
  </si>
  <si>
    <t>120230526115890694</t>
  </si>
  <si>
    <t>workshop master</t>
  </si>
  <si>
    <t>ON-workshop master-11082025+20-6285294617773</t>
  </si>
  <si>
    <t>120230525743980694</t>
  </si>
  <si>
    <t>ON-Madu Rabbani-11082025+5-62881010328220</t>
  </si>
  <si>
    <t>ON-SPESIALIS TAMAN-14082025+10-6285240694097</t>
  </si>
  <si>
    <t>120230589652200694</t>
  </si>
  <si>
    <t>Jom Liburan</t>
  </si>
  <si>
    <t>ON-Jom Liburan-02082025+5-6287864812126</t>
  </si>
  <si>
    <t>120230588843930694</t>
  </si>
  <si>
    <t>ON-Rumah Sehat-13082025+5-6281320188313</t>
  </si>
  <si>
    <t>120230588570800694</t>
  </si>
  <si>
    <t>Komodo Nusa</t>
  </si>
  <si>
    <t>ON-Komodo Nusa-13082025+10-6281339823715</t>
  </si>
  <si>
    <t>120230588507090694</t>
  </si>
  <si>
    <t>Brahmana Tour</t>
  </si>
  <si>
    <t>ON-Brahmana Tour-13082025+5-6282221896658</t>
  </si>
  <si>
    <t>120230588419380694</t>
  </si>
  <si>
    <t>Ani Rental</t>
  </si>
  <si>
    <t>ON-Ani Rental-12082025+5-6282390759437</t>
  </si>
  <si>
    <t>120230588333970694</t>
  </si>
  <si>
    <t>ON-Alhijaz Indowisata-12082025+7-6281558225822</t>
  </si>
  <si>
    <t>120231543097380235</t>
  </si>
  <si>
    <t>Kapling Griya</t>
  </si>
  <si>
    <t>ON-Kapling Griya-12082025+10-6285217189178</t>
  </si>
  <si>
    <t>120231542288540235</t>
  </si>
  <si>
    <t>ON-Sahabat Kontruksi-12082025+5-6281215552664</t>
  </si>
  <si>
    <t>120231541589610235</t>
  </si>
  <si>
    <t>Pratama jaya</t>
  </si>
  <si>
    <t>ON-Pratama jaya-12082025+5-6283117425214</t>
  </si>
  <si>
    <t>120231499303500235</t>
  </si>
  <si>
    <t>ON-RJK (Rokhim-25072025+5-62895635983361 - rev</t>
  </si>
  <si>
    <t>120231483671990235</t>
  </si>
  <si>
    <t>Mitra Jaya</t>
  </si>
  <si>
    <t>ON-Mitra Jaya-10082025+5-6281342202869</t>
  </si>
  <si>
    <t>120231482670400235</t>
  </si>
  <si>
    <t>Rumahku Makmur</t>
  </si>
  <si>
    <t>ON-Rumahku Makmur-09082025+5-6282328059129</t>
  </si>
  <si>
    <t>120231482568200235</t>
  </si>
  <si>
    <t>pusat roster,bata</t>
  </si>
  <si>
    <t>ON-pusat roster,bata-12082025+14-6285925102815</t>
  </si>
  <si>
    <t>120231478764880235</t>
  </si>
  <si>
    <t>PT Sejahtera</t>
  </si>
  <si>
    <t>ON-PT Sejahtera-12082025+7-6285268858846</t>
  </si>
  <si>
    <t>120231467644280235</t>
  </si>
  <si>
    <t>jasa pengaspalan</t>
  </si>
  <si>
    <t>ON-jasa pengaspalan-12082025+10-628997485901</t>
  </si>
  <si>
    <t>120231467426820235</t>
  </si>
  <si>
    <t>ON-CV.PUTERA PERSADA-11082025+5-6281231728008</t>
  </si>
  <si>
    <t>120231436593960235</t>
  </si>
  <si>
    <t>ON-49_Interior-11082025+14-628156516849</t>
  </si>
  <si>
    <t>120231436393170235</t>
  </si>
  <si>
    <t>UD WIJAYA</t>
  </si>
  <si>
    <t>ON-UD WIJAYA-11082025+10-6281243260218</t>
  </si>
  <si>
    <t>120231436280770235</t>
  </si>
  <si>
    <t>ON-Bengkel Las-10082025+5-6282184823441</t>
  </si>
  <si>
    <t>120231375499440235</t>
  </si>
  <si>
    <t>Pelita Jaya</t>
  </si>
  <si>
    <t>ON-Pelita Jaya-08082025+7-6283185169816</t>
  </si>
  <si>
    <t>120231375225040235</t>
  </si>
  <si>
    <t>ON-Cakra Aluminium-09082025+5-6287768646729</t>
  </si>
  <si>
    <t>120230650450110694</t>
  </si>
  <si>
    <t>massage dan</t>
  </si>
  <si>
    <t>ON-massage dan-14082025+5-6285780314346</t>
  </si>
  <si>
    <t>120230643397020694</t>
  </si>
  <si>
    <t>PT Sakha</t>
  </si>
  <si>
    <t>ON-PT Sakha-14082025+5-628561302381</t>
  </si>
  <si>
    <t>120231651390020235</t>
  </si>
  <si>
    <t>Sutanto aneka</t>
  </si>
  <si>
    <t>ON-Sutanto aneka-14-Agu- 2025+7-628971115941</t>
  </si>
  <si>
    <t>120231648405350235</t>
  </si>
  <si>
    <t>CV Sendang</t>
  </si>
  <si>
    <t>ON-CV Sendang-14082025+5-6285640123555</t>
  </si>
  <si>
    <t>120231642082840235</t>
  </si>
  <si>
    <t>Pembuatan kanopi,</t>
  </si>
  <si>
    <t>ON-Pembuatan kanopi,-12082025+5-62882008302847</t>
  </si>
  <si>
    <t>120230722307480694</t>
  </si>
  <si>
    <t>Terapi Pijit</t>
  </si>
  <si>
    <t>ON-Terapi Pijit-15082025+5-6282112073155</t>
  </si>
  <si>
    <t>120230722239150694</t>
  </si>
  <si>
    <t>ON-Tegarrentcar-15082025+5-6281313889118</t>
  </si>
  <si>
    <t>120230722176300694</t>
  </si>
  <si>
    <t>Panda Wound</t>
  </si>
  <si>
    <t>ON-Panda Wound-14082025+5-6285811111804</t>
  </si>
  <si>
    <t>120230722106900694</t>
  </si>
  <si>
    <t>ON-Darma travel-15082025+5-6285189492568</t>
  </si>
  <si>
    <t>120230722040750694</t>
  </si>
  <si>
    <t>PUSAT TERAPI</t>
  </si>
  <si>
    <t>ON-PUSAT TERAPI-15082025+5-6285240194507</t>
  </si>
  <si>
    <t>120230774682990694</t>
  </si>
  <si>
    <t>ON-HITSBAH TRANSPORT-16-Agu-2025+7-6289514176661</t>
  </si>
  <si>
    <t>120230774466620694</t>
  </si>
  <si>
    <t>ON-Transport lombok-16082025+5-6285967129366</t>
  </si>
  <si>
    <t>120230773935980694</t>
  </si>
  <si>
    <t>Go Kretek</t>
  </si>
  <si>
    <t>ON-Go Kretek-16082025+5-628815361682</t>
  </si>
  <si>
    <t>120230772135890694</t>
  </si>
  <si>
    <t>ON-Kuladika-16082025+5-628195131666</t>
  </si>
  <si>
    <t>120232488433800200</t>
  </si>
  <si>
    <t>ON-Spa dina-12082025+5-6287833789401</t>
  </si>
  <si>
    <t>120230880083390694</t>
  </si>
  <si>
    <t>ON-Pengobatan Alternatif-18082025+10-6287740636181</t>
  </si>
  <si>
    <t>120230878618490694</t>
  </si>
  <si>
    <t>ON-Rumah Sehat-16082025+30-6282160743576</t>
  </si>
  <si>
    <t>120230877844000694</t>
  </si>
  <si>
    <t>ON-Bali Trip-16082025+10-628179780980</t>
  </si>
  <si>
    <t>120230877077130694</t>
  </si>
  <si>
    <t>ON-Someah Tour-17082025+5-6285702241111</t>
  </si>
  <si>
    <t>120230974481300694</t>
  </si>
  <si>
    <t>Seribu Harapan</t>
  </si>
  <si>
    <t>ON-Seribu Harapan-18082025+5-6282154318629</t>
  </si>
  <si>
    <t>120230974169070694</t>
  </si>
  <si>
    <t>Ayojalan Rent</t>
  </si>
  <si>
    <t>ON-Ayojalan Rent-18082025+14-6281210801646</t>
  </si>
  <si>
    <t>120230974064560694</t>
  </si>
  <si>
    <t>Lombok best</t>
  </si>
  <si>
    <t>ON-Lombok best-18-Agu-2025+5-6287862271550</t>
  </si>
  <si>
    <t>120230973891570694</t>
  </si>
  <si>
    <t>ON-Griya Sehat-18082025+5-6285255115894</t>
  </si>
  <si>
    <t>120231054975200694</t>
  </si>
  <si>
    <t>Madina Tech</t>
  </si>
  <si>
    <t>ON-Madina Tech-13082025+5-6285166200242</t>
  </si>
  <si>
    <t>120231054261380694</t>
  </si>
  <si>
    <t>RAFI'S MASSUEER</t>
  </si>
  <si>
    <t>ON-RAFI'S MASSUEER-19082025+5-6287776264559</t>
  </si>
  <si>
    <t>120231053893780694</t>
  </si>
  <si>
    <t>Sumber Semangat</t>
  </si>
  <si>
    <t>ON-Sumber Semangat-19082025+5-6289667480162</t>
  </si>
  <si>
    <t>120231053440480694</t>
  </si>
  <si>
    <t>EFGHAN MASSAGE</t>
  </si>
  <si>
    <t>ON-EFGHAN MASSAGE-19082025+5-62082287715351</t>
  </si>
  <si>
    <t>120231118865480694</t>
  </si>
  <si>
    <t>TOYOTA TUNAS</t>
  </si>
  <si>
    <t>ON-TOYOTA TUNAS-21082025+5-6281316807185</t>
  </si>
  <si>
    <t>120231118398810694</t>
  </si>
  <si>
    <t>Totok saraf</t>
  </si>
  <si>
    <t>ON-Totok saraf-21082025+7-6281330410391</t>
  </si>
  <si>
    <t>120231118151600694</t>
  </si>
  <si>
    <t>ON-HRAtour.id-21082025+7-6285710239729</t>
  </si>
  <si>
    <t>120231117798000694</t>
  </si>
  <si>
    <t>Raga Als</t>
  </si>
  <si>
    <t>ON-Raga Als-20082025+5-6287821734079</t>
  </si>
  <si>
    <t>120231117105190694</t>
  </si>
  <si>
    <t>ON-MASSAGE 88-20082025+5-6281334257715</t>
  </si>
  <si>
    <t>120232776985740200</t>
  </si>
  <si>
    <t>Aylis Beauty</t>
  </si>
  <si>
    <t>ON-Aylis Beauty-22082025+5-6282267832085</t>
  </si>
  <si>
    <t>120231245397520694</t>
  </si>
  <si>
    <t>ON-INTITOUR-19082025+5-6287842913251</t>
  </si>
  <si>
    <t>120231241330280694</t>
  </si>
  <si>
    <t>ON-Totok Syaraf-21082025+5-6285169730762</t>
  </si>
  <si>
    <t>120231241160470694</t>
  </si>
  <si>
    <t>ON-FG teknik-22082025+5-6282171085542</t>
  </si>
  <si>
    <t>120231233043910694</t>
  </si>
  <si>
    <t>ON-PHINISEA-22082025+30-6281315163838</t>
  </si>
  <si>
    <t>120231232791260694</t>
  </si>
  <si>
    <t>Ameera utama</t>
  </si>
  <si>
    <t>ON-Ameera utama-22082025+5-628112656686</t>
  </si>
  <si>
    <t>120231232396990694</t>
  </si>
  <si>
    <t>Andin Berkah</t>
  </si>
  <si>
    <t>ON-Andin Berkah-21082025+5-6285741888828</t>
  </si>
  <si>
    <t>120232238598290235</t>
  </si>
  <si>
    <t>ON-gallery interiors-22082025+14-628970060010</t>
  </si>
  <si>
    <t>120232238423920235</t>
  </si>
  <si>
    <t>ON-WD FURNITURE-22082025+5-6289630527354</t>
  </si>
  <si>
    <t>120232106119620235</t>
  </si>
  <si>
    <t>ON-MULIA KUBAH-20082025+5-6282365004117</t>
  </si>
  <si>
    <t>120232105906320235</t>
  </si>
  <si>
    <t>ON-31 studio-20082025+5-6285251757431</t>
  </si>
  <si>
    <t>120232028435550235</t>
  </si>
  <si>
    <t>PT lima</t>
  </si>
  <si>
    <t>ON-PT lima-19082025+5-6282171933337</t>
  </si>
  <si>
    <t>120232028046030235</t>
  </si>
  <si>
    <t>CV Sun</t>
  </si>
  <si>
    <t>ON-CV Sun-19082025+10-6282111180648</t>
  </si>
  <si>
    <t>120231968557870235</t>
  </si>
  <si>
    <t>ON-Rokim Almunium-18082025+5-6285100570275</t>
  </si>
  <si>
    <t>120231968346310235</t>
  </si>
  <si>
    <t>ON-Anindiyajayapool-18082025+10-6285888452389</t>
  </si>
  <si>
    <t>120231968086600235</t>
  </si>
  <si>
    <t>ON-Las panggilan-18082025+5-6285333355756</t>
  </si>
  <si>
    <t>120231901930330235</t>
  </si>
  <si>
    <t>Arin abadi</t>
  </si>
  <si>
    <t>ON-Arin abadi-16082025+7-6285864637086</t>
  </si>
  <si>
    <t>120231901449320235</t>
  </si>
  <si>
    <t>C&amp;A building</t>
  </si>
  <si>
    <t>ON-C&amp;A building-16082025+5-6281380503300</t>
  </si>
  <si>
    <t>120231901190220235</t>
  </si>
  <si>
    <t>Berkah Karya</t>
  </si>
  <si>
    <t>ON-Berkah Karya-17082025+5-6285854789952</t>
  </si>
  <si>
    <t>120231900991410235</t>
  </si>
  <si>
    <t>ON-Ari kontraktor-17082025+5-6281222788601</t>
  </si>
  <si>
    <t>120231755357370235</t>
  </si>
  <si>
    <t>Cv zhafira</t>
  </si>
  <si>
    <t>ON-Cv zhafira-15082025+5-6281990865975</t>
  </si>
  <si>
    <t>120231303251770694</t>
  </si>
  <si>
    <t>ON-Raflesia Rental-23082025+10-6281938384000</t>
  </si>
  <si>
    <t>120231302907100694</t>
  </si>
  <si>
    <t>Kamila Cahaya</t>
  </si>
  <si>
    <t>ON-Kamila Cahaya-23082025+20-628122577723</t>
  </si>
  <si>
    <t>120231302535890694</t>
  </si>
  <si>
    <t>ON-Bagus Uniform-23082025+5-6287836691500</t>
  </si>
  <si>
    <t>120231299560650694</t>
  </si>
  <si>
    <t>ON-Jibran Holiday-20082025+7-6285920572002</t>
  </si>
  <si>
    <t>120231299258430694</t>
  </si>
  <si>
    <t>Dude Tour</t>
  </si>
  <si>
    <t>ON-Dude Tour-19082025+14-6287777304498</t>
  </si>
  <si>
    <t>120231299073280694</t>
  </si>
  <si>
    <t>Jari Jempol</t>
  </si>
  <si>
    <t>ON-Jari Jempol-19082025+5-6285642368174</t>
  </si>
  <si>
    <t>120231298639100694</t>
  </si>
  <si>
    <t>ON-Aufadina Tour-18082025+5-6281513169730</t>
  </si>
  <si>
    <t>120231370751180694</t>
  </si>
  <si>
    <t>travel and tour MHU</t>
  </si>
  <si>
    <t>ON-travel and tour MHU-27082025+5-628152343305</t>
  </si>
  <si>
    <t>120231369762640694</t>
  </si>
  <si>
    <t>ON-Happy Jogja tour-27082025+10-6281328027701</t>
  </si>
  <si>
    <t>120231366267850694</t>
  </si>
  <si>
    <t>Therapy Hipnosis</t>
  </si>
  <si>
    <t>ON-Therapy Hipnosis-27082025+10-6285720705874</t>
  </si>
  <si>
    <t>120231436669930694</t>
  </si>
  <si>
    <t>ON-Alhijaz Indowisata-23082025+7-6281558225822</t>
  </si>
  <si>
    <t>120231435871590694</t>
  </si>
  <si>
    <t>Sangkal Putung</t>
  </si>
  <si>
    <t>ON-Sangkal Putung-25082025+7-6281226825253</t>
  </si>
  <si>
    <t>120231435649290694</t>
  </si>
  <si>
    <t>Nusa Penida</t>
  </si>
  <si>
    <t>ON-Nusa Penida-22082025+20-6281239004410</t>
  </si>
  <si>
    <t>120231435421690694</t>
  </si>
  <si>
    <t>LKP/LPK amoeskin</t>
  </si>
  <si>
    <t>ON-LKP/LPK amoeskin-25082025+5-6285194619788</t>
  </si>
  <si>
    <t>120231434999530694</t>
  </si>
  <si>
    <t>Klinik physio</t>
  </si>
  <si>
    <t>ON-Klinik physio-25082025+5-6287863509004</t>
  </si>
  <si>
    <t>120231434063200694</t>
  </si>
  <si>
    <t>ON-Ajun travel-23082025+5-6281359605566-R1 2908 rusdian</t>
  </si>
  <si>
    <t>ON-Happy Jogja tour-27082025+10-6281328027701-R1 2908 rusdian</t>
  </si>
  <si>
    <t>120231364279680694</t>
  </si>
  <si>
    <t>ON-Pandawa Transport -27082025+5-6281231382365</t>
  </si>
  <si>
    <t>ON-Kamila Cahaya-23082025+20-628122577723-R1 2908 rusdian</t>
  </si>
  <si>
    <t>ON-Bagus Uniform-23082025+5-6287836691500-R1 2908 rusdian</t>
  </si>
  <si>
    <t>ON-Dude Tour-19082025+14-6287777304498-R1 2908 rusdian</t>
  </si>
  <si>
    <t>ON-Aufadina Tour-18082025+5-6281513169730-R1 2908 rusdian</t>
  </si>
  <si>
    <t>ON-INTITOUR-19082025+5-6287842913251-R1 2908 rusdian</t>
  </si>
  <si>
    <t>ON-Catur Lawa-07082025+30-6287797504113 rev1 28agus rusdi</t>
  </si>
  <si>
    <t>ON-PT AULIA-03082025+30-6281225101319-R1 29 agust rusdi</t>
  </si>
  <si>
    <t>ON-CV.BAGUS DAN-31072025+30-6281357754513 rev1 28 agus rusdi</t>
  </si>
  <si>
    <t>ON-Matantimali Adventure-31072025+30-628154336558-R1 29 agust Rusdi</t>
  </si>
  <si>
    <t>ON-PT KURNIA-30072025+30-6282384544939-Rev1 28 agus rusdi</t>
  </si>
  <si>
    <t>ON-Rental mobil-25072025+7-6281938384000-R1 2908 rusdian</t>
  </si>
  <si>
    <t>ON-Jagat Kitchen-17062025+7-6281393958199-R1 29 agust rusdi</t>
  </si>
  <si>
    <t>120231478133960694</t>
  </si>
  <si>
    <t>ON-Dapoer hamasah-26082025+5-62811955059</t>
  </si>
  <si>
    <t>120231477014990694</t>
  </si>
  <si>
    <t>Mbarep abiyasa</t>
  </si>
  <si>
    <t>ON-Mbarep abiyasa-26082025+5-6281545971465</t>
  </si>
  <si>
    <t>120231473546720694</t>
  </si>
  <si>
    <t>Diva Teknik</t>
  </si>
  <si>
    <t>ON-Diva Teknik-27082025+5-6285338058843</t>
  </si>
  <si>
    <t>120231473309640694</t>
  </si>
  <si>
    <t>Nunce Gemilang</t>
  </si>
  <si>
    <t>ON-Nunce Gemilang-27082025+5-6285787104091</t>
  </si>
  <si>
    <t>120231473177720694</t>
  </si>
  <si>
    <t>ON-Nizam Traveling-27082025+5-6285361118289</t>
  </si>
  <si>
    <t>120231473075480694</t>
  </si>
  <si>
    <t>ON-RAYTRANS-27082025+5-6281381118500</t>
  </si>
  <si>
    <t>120231472987580694</t>
  </si>
  <si>
    <t>ON-Jatisari Transport-19082025+30-62818533354</t>
  </si>
  <si>
    <t>120231472313090694</t>
  </si>
  <si>
    <t>ON-Gelatopedia-01082025+5-6285214612372</t>
  </si>
  <si>
    <t>OFF-Klinik physio-25082025+5-6287863509004</t>
  </si>
  <si>
    <t>120231550435920694</t>
  </si>
  <si>
    <t>Berkah teknik</t>
  </si>
  <si>
    <t>ON-Berkah teknik-28082025+10-6285748377961</t>
  </si>
  <si>
    <t>120231549446640694</t>
  </si>
  <si>
    <t>PO TARUNA</t>
  </si>
  <si>
    <t>ON-PO TARUNA-28082025+5-6281222200099</t>
  </si>
  <si>
    <t>120231548764730694</t>
  </si>
  <si>
    <t>Susu Kambing</t>
  </si>
  <si>
    <t>ON-Susu Kambing-28082025+5-6285645712595</t>
  </si>
  <si>
    <t>120231542885150694</t>
  </si>
  <si>
    <t>Terapi Kretek</t>
  </si>
  <si>
    <t>ON-Terapi Kretek-27082025+5-6285771466144</t>
  </si>
  <si>
    <t>120231541326030694</t>
  </si>
  <si>
    <t>Pijat Tunanetra</t>
  </si>
  <si>
    <t>ON-Pijat Tunanetra-26082025+5-6285864550854</t>
  </si>
  <si>
    <t>120231540880250694</t>
  </si>
  <si>
    <t>Rumah sehat</t>
  </si>
  <si>
    <t>ON-Rumah sehat-26082025+5-6289606523838</t>
  </si>
  <si>
    <t>120231540839570694</t>
  </si>
  <si>
    <t>ON-Klinik physio-25082025+5-6287863509004 - R1 0109 rusdian</t>
  </si>
  <si>
    <t>120231539717410694</t>
  </si>
  <si>
    <t>ON-Diva Teknik-27082025+5-6285338058843-R1 0109 rusdian</t>
  </si>
  <si>
    <t>ON-Nunce Gemilang-27082025+5-6285787104091-R1 0109 rusdian</t>
  </si>
  <si>
    <t>ON-Gelatopedia-01082025+5-6285214612372-R1 0109 rusdian</t>
  </si>
  <si>
    <t>ON-PWG (Prife-02082025+5-6281915041833-R1 0109 rusdian</t>
  </si>
  <si>
    <t>ON-The Travel-04082025+30-6285333751528-R1 0109 rusdian</t>
  </si>
  <si>
    <t>120231585902330694</t>
  </si>
  <si>
    <t>ON-Pijat Tradisional-29082025+10-6281317409433</t>
  </si>
  <si>
    <t>120231580965850694</t>
  </si>
  <si>
    <t>Segar bugar</t>
  </si>
  <si>
    <t>ON-Segar bugar-29082025+5-6281262080126</t>
  </si>
  <si>
    <t>120231574977920694</t>
  </si>
  <si>
    <t>ON-adhidezign.com-28082025+14-6285719003688</t>
  </si>
  <si>
    <t>120231574468460694</t>
  </si>
  <si>
    <t>HDG Trip</t>
  </si>
  <si>
    <t>ON-HDG Trip-28082025+30-6282217300224</t>
  </si>
  <si>
    <t>ON-Susu Kambing-28082025+5-6285645712595-R1 0209 rusdian</t>
  </si>
  <si>
    <t>ON-Terapi Kretek-27082025+5-6285771466144-R1 0109 rusdian</t>
  </si>
  <si>
    <t>ON-Rumah sehat-26082025+5-6289606523838-R1 0209 rusdian</t>
  </si>
  <si>
    <t>ON-Dapoer hamasah-26082025+5-62811955059-R1 0209 rusdian</t>
  </si>
  <si>
    <t>ON-Mbarep abiyasa-26082025+5-6281545971465-R1 0209 rusdian</t>
  </si>
  <si>
    <t>ON-RAYTRANS-27082025+5-6281381118500-R1 0209 rusdian</t>
  </si>
  <si>
    <t>ON-Jatisari Transport-19082025+30-62818533354-R1 0209 rusdian</t>
  </si>
  <si>
    <t>ON-Alhijaz Indowisata-23082025+7-6281558225822-R1 0209 rusdian</t>
  </si>
  <si>
    <t>ON-Nusa Penida-22082025+20-6281239004410-R1 0209 rusdian</t>
  </si>
  <si>
    <t>ON-Raflesia Rental-23082025+10-6281938384000-R1 0109 rusdian</t>
  </si>
  <si>
    <t>ON-PHINISEA-22082025+30-6281315163838-R1 0209 rusdian</t>
  </si>
  <si>
    <t>ON-Ayojalan Rent-18082025+14-6281210801646-R1 0209 rusdian</t>
  </si>
  <si>
    <t>ON-KHARISMA AUTO-02-Agust-2025+10-6282129364133-R1 0109 rusdian</t>
  </si>
  <si>
    <t>ON-Therapy pijat-28072025+5-6287865111033-ext:0109-5</t>
  </si>
  <si>
    <t>ON-KHARISMA JAYA-25072025+5-6287790276733-R1 0109 rusdian</t>
  </si>
  <si>
    <t>120233172775550200</t>
  </si>
  <si>
    <t>ON-Lucas Salon-30082025+5-6287835601400</t>
  </si>
  <si>
    <t>120231626031550694</t>
  </si>
  <si>
    <t>ON-HT KACAMATA-27082025+5-6285655300070</t>
  </si>
  <si>
    <t>ON-Segar bugar-29082025+5-6281262080126-R1 0309 rusdian</t>
  </si>
  <si>
    <t>ON-adhidezign.com-28082025+14-6285719003688-R1 0309 rusdian</t>
  </si>
  <si>
    <t>ON-HDG Trip-28082025+30-6282217300224-R1 0309 rusdian</t>
  </si>
  <si>
    <t>120231707486140694</t>
  </si>
  <si>
    <t>Pandawa massage</t>
  </si>
  <si>
    <t>ON-Pandawa massage-31082025+5-6285780314346</t>
  </si>
  <si>
    <t>120231707265610694</t>
  </si>
  <si>
    <t>Sehat Holistik</t>
  </si>
  <si>
    <t>ON-Sehat Holistik-31082025+5-6287888330007</t>
  </si>
  <si>
    <t>120231707002020694</t>
  </si>
  <si>
    <t>Auto dingin</t>
  </si>
  <si>
    <t>ON-Auto dingin-27082025+10-6285600822636-R1 0409 rusdian</t>
  </si>
  <si>
    <t>ON-PO TARUNA-28082025+5-6281222200099-R1 0309 rusdian</t>
  </si>
  <si>
    <t>ON-Kamila Cahaya-23082025+20-628122577723-R2 0409 rusdian</t>
  </si>
  <si>
    <t>ON-Dude Tour-19082025+14-6287777304498-R2 0309 rusdian</t>
  </si>
  <si>
    <t>ON-Lombok best-18-Agu-2025+5-6287862271550-ext:0309/5</t>
  </si>
  <si>
    <t>ON-Catur Lawa-07082025+30-6287797504113-R2 0409 rusdian</t>
  </si>
  <si>
    <t>ON-Zam Zam-31072025+5-6285946504405-R1 0409 rusdian</t>
  </si>
  <si>
    <t>120231766664170694</t>
  </si>
  <si>
    <t>Kimora Refleksi</t>
  </si>
  <si>
    <t>ON-Kimora Refleksi-01092025+5-6285242515222</t>
  </si>
  <si>
    <t>ON-Madu Rabbani-11082025+5-62881010328220-ext: 0409/5</t>
  </si>
  <si>
    <t>120231849584150694</t>
  </si>
  <si>
    <t>Rumah terapi</t>
  </si>
  <si>
    <t>ON-Rumah terapi-02092025+5-6287838234518</t>
  </si>
  <si>
    <t>120231847646080694</t>
  </si>
  <si>
    <t>Terapi sehat</t>
  </si>
  <si>
    <t>ON-Terapi sehat-02092025+5-6285384956538-R1 0609 rusdian</t>
  </si>
  <si>
    <t>120231847309410694</t>
  </si>
  <si>
    <t>ON-Hilal Therapys-02092025+5-6287849856444</t>
  </si>
  <si>
    <t>120231847087390694</t>
  </si>
  <si>
    <t>ON-Disolusi Therapy-02092025+5-6285786318640-R1 0609 rusdian</t>
  </si>
  <si>
    <t>120231846864380694</t>
  </si>
  <si>
    <t>Reflexoligi dan</t>
  </si>
  <si>
    <t>ON-Reflexoligi dan-02092025+7-62817308228</t>
  </si>
  <si>
    <t>120231846522060694</t>
  </si>
  <si>
    <t>Calvina Tour</t>
  </si>
  <si>
    <t>ON-Calvina Tour-02092025+5-6282362576312-R1 0609 rusdian</t>
  </si>
  <si>
    <t>120231844479670694</t>
  </si>
  <si>
    <t>Ozay adventure</t>
  </si>
  <si>
    <t>ON-Ozay adventure-02092025+5-6282229433259-R1 0609 rusdian</t>
  </si>
  <si>
    <t>120231844321490694</t>
  </si>
  <si>
    <t>ON-Rumah Terapi-02092025+5-62895804080442</t>
  </si>
  <si>
    <t>ON-Auto dingin-27082025+10-6285600822636-R2 0609 rusdian</t>
  </si>
  <si>
    <t>ON-Pengobatan alternatif-04082025+5-6285338373761-ext: 0509-10</t>
  </si>
  <si>
    <t>120231913299820694</t>
  </si>
  <si>
    <t>Bali super</t>
  </si>
  <si>
    <t>ON-Bali super-03092025+10-6281558822937-TT0609</t>
  </si>
  <si>
    <t>120231913056310694</t>
  </si>
  <si>
    <t>ON-The Travel-03092025+30-6285333751528-TT0609</t>
  </si>
  <si>
    <t>120231912777610694</t>
  </si>
  <si>
    <t>Kretek Wakdo</t>
  </si>
  <si>
    <t>ON-Kretek Wakdo-03092025+5-62895614711817-TT0609</t>
  </si>
  <si>
    <t>120231912198630694</t>
  </si>
  <si>
    <t>PT Alfa</t>
  </si>
  <si>
    <t>ON-PT Alfa-03092025+30-6285921481643-TT0609</t>
  </si>
  <si>
    <t>ON-adhidezign.com-28082025+14-6285719003688-R2 0609 rusdian</t>
  </si>
  <si>
    <t>ON-Nusa Penida-22082025+20-6281239004410-R2 0609 rusdian</t>
  </si>
  <si>
    <t>ON-Lombok best-18-Agu-2025+5-6287862271550-ext:0309/5-R1 0609 rusdian</t>
  </si>
  <si>
    <t>ON-Madu Rabbani-11082025+5-62881010328220-ext: 0409/5-R1  0609 rusdian</t>
  </si>
  <si>
    <t>120231974061480694</t>
  </si>
  <si>
    <t>ON-CAHAYA GEMILANG-04092025+5-6287722264777-TT0709</t>
  </si>
  <si>
    <t>120231972961220694</t>
  </si>
  <si>
    <t>Suras Bali</t>
  </si>
  <si>
    <t>ON-Suras Bali-04092025+5-6285280808856-TT0709</t>
  </si>
  <si>
    <t>120231972137420694</t>
  </si>
  <si>
    <t>Bisalagi Bekam</t>
  </si>
  <si>
    <t>ON-Bisalagi Bekam-04092025+5-6285600287735-TT0709</t>
  </si>
  <si>
    <t>120231927932960694</t>
  </si>
  <si>
    <t>PT Berkah</t>
  </si>
  <si>
    <t>ON-PT Berkah-04092025+5-6285654251369-TT0709</t>
  </si>
  <si>
    <t>120231927753270694</t>
  </si>
  <si>
    <t>ON-Pelatihan Bekam-04092025+5-6283865096870-TT0709</t>
  </si>
  <si>
    <t>120231927421490694</t>
  </si>
  <si>
    <t>ON-Yolivia wisata-03092025+5-6282286608220-TT0709</t>
  </si>
  <si>
    <t>ON-Nunce Gemilang-27082025+5-6285787104091-R1 0109-10-rusdian-ext 0709-</t>
  </si>
  <si>
    <t>120232004138370694</t>
  </si>
  <si>
    <t>Taman Nyingkur</t>
  </si>
  <si>
    <t>ON-Taman Nyingkur-05092025+5-62881022356673-TT0809</t>
  </si>
  <si>
    <t>120232003950460694</t>
  </si>
  <si>
    <t>ON-Sabena Tours-04082025+5-6285710003464-TT0809</t>
  </si>
  <si>
    <t>ON-PT Berkah-04092025+5-6285654251369-TT0709-R1 0909 rusdian</t>
  </si>
  <si>
    <t>ON-Yolivia wisata-03092025+5-6282286608220-TT0709-R1 0909 rusdian</t>
  </si>
  <si>
    <t>ON-Bali super-03092025+10-6281558822937-TT0609-R1 0909 rusdian</t>
  </si>
  <si>
    <t>ON-The Travel-03092025+30-6285333751528-TT0609-R1 0909 rusdian</t>
  </si>
  <si>
    <t>ON-Reflexoligi dan-02092025+7-62817308228-R1 0909 rusdian</t>
  </si>
  <si>
    <t>ON-HDG Trip-28082025+30-6282217300224-R2 0909 rusdian</t>
  </si>
  <si>
    <t>ON-Nunce Gemilang-27082025+5-6285787104091-R2 0909-10-rusdian-ext 0709-</t>
  </si>
  <si>
    <t>ON-Jatisari Transport-19082025+30-62818533354-R2 0909 rusdian</t>
  </si>
  <si>
    <t>ON-Totok Syaraf-21082025+5-6285169730762-ext: 08/09-5</t>
  </si>
  <si>
    <t>ON-PHINISEA-22082025+30-6281315163838-R2 0909 rusdian</t>
  </si>
  <si>
    <t>120232058949570694</t>
  </si>
  <si>
    <t>Refleksi jitu</t>
  </si>
  <si>
    <t>ON-Refleksi jitu-03092025+5-6282280771367-TT0909-R1 1009 rusdian</t>
  </si>
  <si>
    <t>120232058801810694</t>
  </si>
  <si>
    <t>ON-Fadila Terapi-06092025+5-6281460494182-TT0909</t>
  </si>
  <si>
    <t>120232058410160694</t>
  </si>
  <si>
    <t>Ramayana tour's</t>
  </si>
  <si>
    <t>ON-Ramayana tour's-06092025+10-6281249008778-TT0909</t>
  </si>
  <si>
    <t>120232058332040694</t>
  </si>
  <si>
    <t>ON-Bekam Panggilan-06092025+5-6283149477297-TT0909-R1 1009 rusdian</t>
  </si>
  <si>
    <t>120232058185790694</t>
  </si>
  <si>
    <t>Jasa badut</t>
  </si>
  <si>
    <t>ON-Jasa badut-05092025+5-6282391199993-TT0909</t>
  </si>
  <si>
    <t>120232058077190694</t>
  </si>
  <si>
    <t>ON-Kiara trans-02092025+5-6282266469686-TT0909-R1 1009 rusdian</t>
  </si>
  <si>
    <t>ON-The Travel-03092025+30-6285333751528-TT0609-R2 1009 rusdian</t>
  </si>
  <si>
    <t>ON-PT Alfa-03092025+30-6285921481643-TT0609-R1 1009 rusdian</t>
  </si>
  <si>
    <t>ON-Ozay adventure-02092025+5-6282229433259-R1 0609 rusdian- ext:10/09-10</t>
  </si>
  <si>
    <t>BERKAH TEKNIK SIDOARJO</t>
  </si>
  <si>
    <t>ON-BERKAH TEKNIK SIDOARJO-28082025+10-6285748377961</t>
  </si>
  <si>
    <t>ON-Prayudah Tour-26072025+5-6282186829904-R1 1009 rusdian</t>
  </si>
  <si>
    <t>ON-KHARISMA JAYA-25072025+5-6287790276733-R2 1009 rusdian</t>
  </si>
  <si>
    <t>120232114498080694</t>
  </si>
  <si>
    <t>ON-Terapis Indonesia-04092025+5-6281341637566-TT1009</t>
  </si>
  <si>
    <t>120232114306460694</t>
  </si>
  <si>
    <t>ON-Shinta massage-04092025+5-6282220945171-TT1009</t>
  </si>
  <si>
    <t>120232114145450694</t>
  </si>
  <si>
    <t>Dery MHU</t>
  </si>
  <si>
    <t>ON-Dery MHU-07092025+10-6281348215665-TT1009-R1 1109 rusdian</t>
  </si>
  <si>
    <t>120232113949300694</t>
  </si>
  <si>
    <t>ON-Nakamura Massage-07092025+10-6282220371971-TT1009</t>
  </si>
  <si>
    <t>120232113386830694</t>
  </si>
  <si>
    <t>PT global</t>
  </si>
  <si>
    <t>ON-PT global-07092025+20-6281355662725-TT1009-R1 1109 rusdian</t>
  </si>
  <si>
    <t>120232113190750694</t>
  </si>
  <si>
    <t>ON-Terapi Barqun-07092025+5-62895374644456-TT1009</t>
  </si>
  <si>
    <t>ON-Ramayana tour's-06092025+10-6281249008778-TT0909-R1 1109 rusdian</t>
  </si>
  <si>
    <t>ON-Sehat Holistik-31082025+5-6287888330007-R1 1009 rusdian</t>
  </si>
  <si>
    <t>120232159611040694</t>
  </si>
  <si>
    <t>Travel Antar</t>
  </si>
  <si>
    <t>ON-Travel Antar-08092025+5-6285213857442-TT1109-R1 1209 rusdian</t>
  </si>
  <si>
    <t>120232159174090694</t>
  </si>
  <si>
    <t>ON-Maliki Transport-08092025+5-6282135496939-TT1109</t>
  </si>
  <si>
    <t>ON-Fadila Terapi-06092025+5-6281460494182-TT0909-R1 1209 rusdian</t>
  </si>
  <si>
    <t>120233179681010235</t>
  </si>
  <si>
    <t>ON-Griya Jaya-08092025+5-6285161653332-TT1109</t>
  </si>
  <si>
    <t>120233178781660235</t>
  </si>
  <si>
    <t>ON-Tirtagucipools-08092025+10-6282111518881-TT1109</t>
  </si>
  <si>
    <t>120233178619080235</t>
  </si>
  <si>
    <t>Jasa tukang</t>
  </si>
  <si>
    <t>ON-Jasa tukang-08092025+20-6282364480929-TT1109</t>
  </si>
  <si>
    <t>120233101827990235</t>
  </si>
  <si>
    <t>PT Zahiraindo</t>
  </si>
  <si>
    <t>ON-PT Zahiraindo-04092025+5-6282195508557-TT0909-R1 1109 rusdian</t>
  </si>
  <si>
    <t>120233049130950235</t>
  </si>
  <si>
    <t>ON-Andalan group-05092025+5-6285602235618-TT0809-R1 0909 rusdian</t>
  </si>
  <si>
    <t>120233003549470235</t>
  </si>
  <si>
    <t>AJP Adi</t>
  </si>
  <si>
    <t>ON-AJP Adi-05092025+10-6283188945188-TT0709-R1 0909 rusdian</t>
  </si>
  <si>
    <t>120233003413400235</t>
  </si>
  <si>
    <t>ON-Fawaz Thnik-03092025+5-6287871214170-TT0709-R1 0909 rusdian</t>
  </si>
  <si>
    <t>120232988169650235</t>
  </si>
  <si>
    <t>Ranu Wijaya</t>
  </si>
  <si>
    <t>ON-Ranu Wijaya-04092025+7-62895420142524-TT0709-R1 0909 rusdian</t>
  </si>
  <si>
    <t>120232986647510235</t>
  </si>
  <si>
    <t>Restu buana</t>
  </si>
  <si>
    <t>ON-Restu buana-04092025+10-6285272737979-TT0709</t>
  </si>
  <si>
    <t>120232956559750235</t>
  </si>
  <si>
    <t>CV Satria</t>
  </si>
  <si>
    <t>ON-CV Satria-03092025+14-6283890485123-TT0609-R2 1109 rusdian</t>
  </si>
  <si>
    <t>120232953632150235</t>
  </si>
  <si>
    <t>ON-MEGAH PLAFON-26082025+30-6281323291817-TT0609</t>
  </si>
  <si>
    <t>120232953213670235</t>
  </si>
  <si>
    <t>Dicta Design</t>
  </si>
  <si>
    <t>ON-Dicta Design-02092025+5-6282318568540-TT0609-R1 0709 rusdian</t>
  </si>
  <si>
    <t>120232928017890235</t>
  </si>
  <si>
    <t>YUCA SIDO</t>
  </si>
  <si>
    <t>ON-YUCA SIDO-03092025+10-6282399721881-TT0609</t>
  </si>
  <si>
    <t>120232916950590235</t>
  </si>
  <si>
    <t>Rapih Plafon</t>
  </si>
  <si>
    <t>ON-Rapih Plafon-02092025+10-6281323207611-R2 1109 rusdian</t>
  </si>
  <si>
    <t>120232811430490235</t>
  </si>
  <si>
    <t>ON-Primagriya.com-01092025+20-6281239874761-R2 0909 rusdian</t>
  </si>
  <si>
    <t>120232811191080235</t>
  </si>
  <si>
    <t>Jasa kontruksi</t>
  </si>
  <si>
    <t>ON-Jasa kontruksi-01092025+7-6281543128320</t>
  </si>
  <si>
    <t>120232739904620235</t>
  </si>
  <si>
    <t>ON-MUB Pangkalanbun-31082025+30-6281351572278-R2-1109 rusdian</t>
  </si>
  <si>
    <t>120232610636700235</t>
  </si>
  <si>
    <t>ON-Dearhouse-29082025+10-6287778562681-R2 0709 rusdian</t>
  </si>
  <si>
    <t>120232606675200235</t>
  </si>
  <si>
    <t>Satria Jaya</t>
  </si>
  <si>
    <t>ON-Satria Jaya-29082025+5-6281283204192-ext: 0609-14</t>
  </si>
  <si>
    <t>120232600848910235</t>
  </si>
  <si>
    <t>CV. Arthamas</t>
  </si>
  <si>
    <t>ON-CV. Arthamas-29082025+10-6281328881949</t>
  </si>
  <si>
    <t>120232599183480235</t>
  </si>
  <si>
    <t>ON-Karya Mandiri-28082025+20-6285225512004-R2 1109 rusdian</t>
  </si>
  <si>
    <t>120232304884750235</t>
  </si>
  <si>
    <t>ON-Fiberglass-23082025+5-6289508681093-R1 1109 rusdian</t>
  </si>
  <si>
    <t>ON-Anindiyajayapool-18082025+10-6285888452389-ext:1209-20</t>
  </si>
  <si>
    <t>ON-Las panggilan-18082025+5-6285333355756-ext: 0709-5-R1 0909 rusdian</t>
  </si>
  <si>
    <t>ON-Cv zhafira-15082025+5-6281990865975-R1 1009 rusdian</t>
  </si>
  <si>
    <t>ON-pusat roster,bata-12082025+14-6285925102815-R2 0309 rusdian</t>
  </si>
  <si>
    <t>ON-MEGAH PLAFON-01082025+14-6281323291817-R1 0909 rusdian</t>
  </si>
  <si>
    <t>ON-Kharisma Filter-21072025+10-6285893658659-ext:0209-10-R1 1009 rusdian</t>
  </si>
  <si>
    <t>ON-Bengkel las-16072025+30-6281385001244-R2 0709 rusdian</t>
  </si>
  <si>
    <t>ON-AURIGA KONTRAKTOR-16072025+5-6287856230745-R1 0309 rusdian</t>
  </si>
  <si>
    <t>ON-Superman Interior-15072025+5-62881038177010 - R1 3108 rusdian-ext: 0709/5</t>
  </si>
  <si>
    <t>ON-Cv Nuansa-11072025+30-6282310465999- R2 0709 rusdian</t>
  </si>
  <si>
    <t>120232250835440694</t>
  </si>
  <si>
    <t>ON-Pengobatan Tradisional-09092025+5-6285657238556-TT1209</t>
  </si>
  <si>
    <t>ON-Pandawa massage-31082025+5-6285780314346-ext: 1209/5</t>
  </si>
  <si>
    <t>ON-Totok saraf-21082025+7-6281330410391-ext 1209/7</t>
  </si>
  <si>
    <t>120232295972450694</t>
  </si>
  <si>
    <t>ON-GZ Transport-10092025+7-6282225676438-TT1309</t>
  </si>
  <si>
    <t>120232278491810694</t>
  </si>
  <si>
    <t>ON-pijat refleksi-10092025+5-6282249145533-TT1309</t>
  </si>
  <si>
    <t>120232276829050694</t>
  </si>
  <si>
    <t>ON-Intra spa-10092025+5-6285750574301-TT1309</t>
  </si>
  <si>
    <t>120232275624570694</t>
  </si>
  <si>
    <t>Veronica Tour</t>
  </si>
  <si>
    <t>ON-Veronica Tour-10092025+5-6281232743716-TT1309</t>
  </si>
  <si>
    <t>120232275153200694</t>
  </si>
  <si>
    <t>Pelatihan Meditasi</t>
  </si>
  <si>
    <t>ON-Pelatihan Meditasi-10092025+5-6281338383022-TT1309</t>
  </si>
  <si>
    <t>ON-Bisalagi Bekam-04092025+5-6285600287735-TT0709-ext 13/09-5</t>
  </si>
  <si>
    <t>120232348569550694</t>
  </si>
  <si>
    <t>ON-Griya Sehat-08092025+5-62817164567-TT1409</t>
  </si>
  <si>
    <t>120232348204770694</t>
  </si>
  <si>
    <t>Tasya Rental</t>
  </si>
  <si>
    <t>ON-Tasya Rental-22082025+5-6281224628935-TT1409</t>
  </si>
  <si>
    <t>120232348017250694</t>
  </si>
  <si>
    <t>ON-Bersih Laundry-11092025+30-6287822292311-TT1409</t>
  </si>
  <si>
    <t>120232330305980694</t>
  </si>
  <si>
    <t>ON-Griya Sehat-10092025+5-6285255115894-TT1409</t>
  </si>
  <si>
    <t>120232327804180694</t>
  </si>
  <si>
    <t>ON-Pelangi Gorden-11092025+7-6285245301996-TT1409</t>
  </si>
  <si>
    <t>120232390053940694</t>
  </si>
  <si>
    <t>Pijat Ayu</t>
  </si>
  <si>
    <t>ON-Pijat Ayu-12092025+5-6285357908485-TT1509</t>
  </si>
  <si>
    <t>ON-Pelangi Gorden-11092025+7-6285245301996-TT1409-R1 1609 rusdian</t>
  </si>
  <si>
    <t>ON-Dery MHU-07092025+10-6281348215665-TT1009-R2 1609 rusdian</t>
  </si>
  <si>
    <t>ON-PT Alfa-03092025+30-6285921481643-TT0609-R2 1609 rusdian</t>
  </si>
  <si>
    <t>ON-Prayudah Tour-26072025+5-6282186829904-R2 1609 rusdian</t>
  </si>
  <si>
    <t>120232438678280694</t>
  </si>
  <si>
    <t>ON-Quick service-13092025+10-6287777144455-TT1609</t>
  </si>
  <si>
    <t>120232438619900694</t>
  </si>
  <si>
    <t>Bali adventure</t>
  </si>
  <si>
    <t>ON-Bali adventure-12092025+5-6287751068360-TT1609</t>
  </si>
  <si>
    <t>ON-Therapy Hipnosis-27082025+10-6285720705874-ext: 1609-10</t>
  </si>
  <si>
    <t>120232493738960694</t>
  </si>
  <si>
    <t>Zaratri cat</t>
  </si>
  <si>
    <t>ON-Zaratri cat-13092025+5-6282320232344-TT1709</t>
  </si>
  <si>
    <t>120232493664810694</t>
  </si>
  <si>
    <t>ON-Rumah Sehat-11092025+5-6281316122975-TT1709</t>
  </si>
  <si>
    <t>120232493582410694</t>
  </si>
  <si>
    <t>ON-istana herbal-03092025+5-6285255550388-TT1709</t>
  </si>
  <si>
    <t>120232493438140694</t>
  </si>
  <si>
    <t>ON-Bintang99 massage-14092025+5-6281990022760-TT1709</t>
  </si>
  <si>
    <t>ON-Quick service-13092025+10-6287777144455-TT1609-R1 1809 rusdian</t>
  </si>
  <si>
    <t>ON-Tasya Rental-22082025+5-6281224628935-TT1409-R1 1809 rusdian</t>
  </si>
  <si>
    <t>ON-Bersih Laundry-11092025+30-6287822292311-TT1409-R1 1809 rusdian</t>
  </si>
  <si>
    <t>ON-Pelangi Gorden-11092025+7-6285245301996-TT1409-R2 1809 rusdian</t>
  </si>
  <si>
    <t>120232551939720694</t>
  </si>
  <si>
    <t>Java Bali</t>
  </si>
  <si>
    <t>ON-Java Bali-15092025+5-6281318819599-TT1809</t>
  </si>
  <si>
    <t>120232551859150694</t>
  </si>
  <si>
    <t>ON-Griya Sehat-11092025+5-6283107086952-TT1809-R1 1909 rusdian</t>
  </si>
  <si>
    <t>ON-istana herbal-03092025+5-6285255550388-TT1709-R1 1909 rusdian</t>
  </si>
  <si>
    <t>ON-Bali adventure-12092025+5-6287751068360-TT1609-R1 1909 rusdian</t>
  </si>
  <si>
    <t>ON-GZ Transport-10092025+7-6282225676438-TT1309-R1 1909 rusdian</t>
  </si>
  <si>
    <t>ON-PT global-07092025+20-6281355662725-TT1009-R2 1809 rusdian</t>
  </si>
  <si>
    <t>ON-Sehat Holistik-31082025+5-6287888330007-R1 1009- rusdian-ext 1809-5</t>
  </si>
  <si>
    <t>120232596393070694</t>
  </si>
  <si>
    <t>rumah pijat</t>
  </si>
  <si>
    <t>ON-rumah pijat-16092025+5-6285233857272-TT1909</t>
  </si>
  <si>
    <t>120232596101660694</t>
  </si>
  <si>
    <t>ON-MTRIP-17092025+14-6281220005953-TT1909</t>
  </si>
  <si>
    <t>120232596013120694</t>
  </si>
  <si>
    <t>ON-Travel FBI-16092025+5-6281389082618-TT1909</t>
  </si>
  <si>
    <t>120232650034850694</t>
  </si>
  <si>
    <t>Masilok Fishing</t>
  </si>
  <si>
    <t>ON-Masilok Fishing-17092025+5-6282311906512-TT2009</t>
  </si>
  <si>
    <t>ON-MTRIP-17092025+14-6281220005953-TT1909-R1 2109 Rusdian</t>
  </si>
  <si>
    <t>ON-Rumah Sehat-11092025+5-6281316122975-TT1709-R1 2109 Rusdian</t>
  </si>
  <si>
    <t>ON-Jagat Kitchen-17062025+7-6281393958199-R2 19 sept rusdi-ext: 12/09-30</t>
  </si>
  <si>
    <t>ON-Terapi Toel-18092025+5-62881022322099-TT2109</t>
  </si>
  <si>
    <t>ON-Hadi bekam-18092025+5-62823332108583-TT2109</t>
  </si>
  <si>
    <t>ON-Masilok Fishing-17092025+5-6282311906512-TT2009-R1 2209 rusdian</t>
  </si>
  <si>
    <t>ON-Travel FBI-16092025+5-6281389082618-TT1909-R1 2209 rusdian</t>
  </si>
  <si>
    <t>PDLM Fashion</t>
  </si>
  <si>
    <t>ON-PDLM Fashion-19092025+5-6282110222282-TT2209-R1 2309 rusdian</t>
  </si>
  <si>
    <t>Affana Tour</t>
  </si>
  <si>
    <t>ON-Affana Tour-19092025+5-6282225676546-TT2209</t>
  </si>
  <si>
    <t>ON-Hadi bekam-18092025+5-62823332108583-TT2109-R1 2309 rusdian</t>
  </si>
  <si>
    <t>BRC Cabang</t>
  </si>
  <si>
    <t>ON-BRC Cabang-20092025+5-6282219980006-TT2309</t>
  </si>
  <si>
    <t>ON-Zam Zam-31072025+5-6285946504405-ext 2309-10</t>
  </si>
  <si>
    <t>ON-Sahabat Teknik-22092025+5-6285737244570-TT2409-R1 2509 rusdian</t>
  </si>
  <si>
    <t>ON-BRC Cabang-20092025+5-6282219980006-TT2309-R1 2509 rusdian</t>
  </si>
  <si>
    <t>ON-Sewa Hiace-12092025+14-628179231111-TT2609-R1 2609 rusdian</t>
  </si>
  <si>
    <t>ON-Wiraloka Tour-23092025+10-6282241290026-TT2609</t>
  </si>
  <si>
    <t>Multi Niaga</t>
  </si>
  <si>
    <t>ON-Multi Niaga-23092025+10-6281230656664-TT2509-R1 2609 rusdian</t>
  </si>
  <si>
    <t>Griyo terapi</t>
  </si>
  <si>
    <t>ON-Griyo terapi-23092025+30-6281390669379-TT2509</t>
  </si>
  <si>
    <t>ON-Affana Tour-19092025+5-6282225676546-TT2209-R1 2609 rusdian</t>
  </si>
  <si>
    <t>ON-Bersih Laundry-11092025+30-6287822292311-TT1409-R2 2609 rusdian</t>
  </si>
  <si>
    <t>ON-Pelangi Gorden-11092025+7-6285245301996-TT1409-R2 ext 2509-10</t>
  </si>
  <si>
    <t>ON-Terapi Barqun-07092025+5-62895374644456-TT1009-R1 2609 rusdian</t>
  </si>
  <si>
    <t>ON-Lucas Salon-30082025+5-6287835601400-ext 2709-5</t>
  </si>
  <si>
    <t>Putra Teknisi</t>
  </si>
  <si>
    <t>ON-Putra Teknisi-23092025+5-6283196194949-TT2709</t>
  </si>
  <si>
    <t>ON-Wiraloka Tour-23092025+10-6282241290026-TT2609-R1 2809 rusdian</t>
  </si>
  <si>
    <t>ON-Sehat Holistik-31082025+5-6287888330007-ext 2709-5</t>
  </si>
  <si>
    <t>ON-Raflesia Rental-23082025+10-6281938384000-ext:2709--10</t>
  </si>
  <si>
    <t>ON-Totok Syaraf-21082025+5-6285169730762-ext: 278/09-20</t>
  </si>
  <si>
    <t>KampanyeName</t>
  </si>
  <si>
    <t>Budget</t>
  </si>
  <si>
    <t>KlikWhatsapp</t>
  </si>
  <si>
    <t>NamaUsaha</t>
  </si>
  <si>
    <t>NoWhatsapp</t>
  </si>
  <si>
    <t>PesanWhatsapp</t>
  </si>
  <si>
    <t>120241465022560200</t>
  </si>
  <si>
    <t>Custom-Deriano-Baru</t>
  </si>
  <si>
    <t>*Laporan Jasa Iklan UMKM*
📅 19-02-2026
👨‍💼 Data Klient
KampanyeId: 120241465022560200
Nama: *Deriano*
📊 Performa Iklan
Jangkauan: 1162
Hasil: *7 klik Whatsapp*
Video Ditonton: 451
Komentar: 0
Linkklik: 44
Catatan:
Hasil = Jumlah klik whatsapp jumlahnya suka berbeda dengan real Whatsapp masuk. Semoga banyak yang DEAL ya Kak!
Mau konsultasi? Langsung balas aja chatnya, mimin siap membantu.😊</t>
  </si>
  <si>
    <t>Gagal: Data tidak lengkap</t>
  </si>
  <si>
    <t>ON-CV.BAGUS DAN-31072025+30-6281357754513-ext 0702-30 - R3 1902 Rusdian</t>
  </si>
  <si>
    <t>*Laporan Jasa Iklan UMKM*
📅 19-02-2026
👨‍💼 Data Klient
KampanyeId: 120230030877630694
Nama: *CV.BAGUS DAN*
📊 Performa Iklan
Jangkauan: 445
Hasil: *3 klik Whatsapp*
Video Ditonton: 1
Komentar: 0
Linkklik: 14
Catatan:
Hasil = Jumlah klik whatsapp jumlahnya suka berbeda dengan real Whatsapp masuk. Semoga banyak yang DEAL ya Kak!
Mau konsultasi? Langsung balas aja chatnya, mimin siap membantu.😊</t>
  </si>
  <si>
    <t>Gagal: {"status":404,"message":"WhatsApp account doesn't exist!","data":false}</t>
  </si>
  <si>
    <t>ON-Yono motor-11082025+5-6287701349406-1602-5</t>
  </si>
  <si>
    <t>*Laporan Jasa Iklan UMKM*
📅 19-02-2026
👨‍💼 Data Klient
KampanyeId: 120230494969540694
Nama: *Yono motor*
📊 Performa Iklan
Jangkauan: 2546
Hasil: *0 klik Whatsapp*
Video Ditonton: 100
Komentar: 0
Linkklik: 89
Catatan:
Hasil = Jumlah klik whatsapp jumlahnya suka berbeda dengan real Whatsapp masuk. Semoga banyak yang DEAL ya Kak!
Mau konsultasi? Langsung balas aja chatnya, mimin siap membantu.😊</t>
  </si>
  <si>
    <t>ON-Rumah Sehat-16082025+30-6282166986254-ext 2601-30 - R1 1302 Rusdian</t>
  </si>
  <si>
    <t>*Laporan Jasa Iklan UMKM*
📅 19-02-2026
👨‍💼 Data Klient
KampanyeId: 120230878618490694
Nama: *Rumah Sehat*
📊 Performa Iklan
Jangkauan: 720
Hasil: *8 klik Whatsapp*
Video Ditonton: 333
Komentar: 0
Linkklik: 42
Catatan:
Hasil = Jumlah klik whatsapp jumlahnya suka berbeda dengan real Whatsapp masuk. Semoga banyak yang DEAL ya Kak!
Mau konsultasi? Langsung balas aja chatnya, mimin siap membantu.😊</t>
  </si>
  <si>
    <t>ON-Nizam Traveling-27082025+5-6285361118289-ext: 0402-30 - R4 1902 Rusdian</t>
  </si>
  <si>
    <t>*Laporan Jasa Iklan UMKM*
📅 19-02-2026
👨‍💼 Data Klient
KampanyeId: 120231473177720694
Nama: *Nizam Traveling*
📊 Performa Iklan
Jangkauan: 776
Hasil: *1 klik Whatsapp*
Video Ditonton: 12
Komentar: 0
Linkklik: 26
Catatan:
Hasil = Jumlah klik whatsapp jumlahnya suka berbeda dengan real Whatsapp masuk. Semoga banyak yang DEAL ya Kak!
Mau konsultasi? Langsung balas aja chatnya, mimin siap membantu.😊</t>
  </si>
  <si>
    <t>ON-Rumah Sehat-11092025+5-6281316122975-TT1709-ext 1202-5</t>
  </si>
  <si>
    <t>*Laporan Jasa Iklan UMKM*
📅 19-02-2026
👨‍💼 Data Klient
KampanyeId: 120232493664810694
Nama: *Rumah Sehat*
📊 Performa Iklan
Jangkauan: 642
Hasil: *2 klik Whatsapp*
Video Ditonton: 219
Komentar: 0
Linkklik: 17
Catatan:
Hasil = Jumlah klik whatsapp jumlahnya suka berbeda dengan real Whatsapp masuk. Semoga banyak yang DEAL ya Kak!
Mau konsultasi? Langsung balas aja chatnya, mimin siap membantu.😊</t>
  </si>
  <si>
    <t>ON-Maniaka Catering-21102025+20-6281246072868-TT2410-ext 1002-20 - R3 1702 Rusdian</t>
  </si>
  <si>
    <t>*Laporan Jasa Iklan UMKM*
📅 19-02-2026
👨‍💼 Data Klient
KampanyeId: 120234436313700694
Nama: *Maniaka Catering*
📊 Performa Iklan
Jangkauan: 531
Hasil: *4 klik Whatsapp*
Video Ditonton: 178
Komentar: 0
Linkklik: 29
Catatan:
Hasil = Jumlah klik whatsapp jumlahnya suka berbeda dengan real Whatsapp masuk. Semoga banyak yang DEAL ya Kak!
Mau konsultasi? Langsung balas aja chatnya, mimin siap membantu.😊</t>
  </si>
  <si>
    <t>120236224250950694</t>
  </si>
  <si>
    <t>ON-Bimbel Antusias-20112025+10-6285292365257-TT2211-ext 0802-14 - R3 1502 Rusdian</t>
  </si>
  <si>
    <t>*Laporan Jasa Iklan UMKM*
📅 19-02-2026
👨‍💼 Data Klient
KampanyeId: 120236224250950694
Nama: *Bimbel Antusias*
📊 Performa Iklan
Jangkauan: 599
Hasil: *0 klik Whatsapp*
Video Ditonton: 0
Komentar: 0
Linkklik: 9
Catatan:
Hasil = Jumlah klik whatsapp jumlahnya suka berbeda dengan real Whatsapp masuk. Semoga banyak yang DEAL ya Kak!
Mau konsultasi? Langsung balas aja chatnya, mimin siap membantu.😊</t>
  </si>
  <si>
    <t>ON-PT Garuda-05012026+5-6282261184459-TT0701 - ext 0602-14 - R3 1502 Rusdian</t>
  </si>
  <si>
    <t>PT Garuda</t>
  </si>
  <si>
    <t>*Laporan Jasa Iklan UMKM*
📅 19-02-2026
👨‍💼 Data Klient
KampanyeId: 120238476998550694
Nama: *PT Garuda*
📊 Performa Iklan
Jangkauan: 300
Hasil: *2 klik Whatsapp*
Video Ditonton: 0
Komentar: 0
Linkklik: 8
Catatan:
Hasil = Jumlah klik whatsapp jumlahnya suka berbeda dengan real Whatsapp masuk. Semoga banyak yang DEAL ya Kak!
Mau konsultasi? Langsung balas aja chatnya, mimin siap membantu.😊</t>
  </si>
  <si>
    <t>ON-kredit toko-11012026+5-6282286712200-TT1101-ext 1602-5</t>
  </si>
  <si>
    <t>kredit toko</t>
  </si>
  <si>
    <t>*Laporan Jasa Iklan UMKM*
📅 19-02-2026
👨‍💼 Data Klient
KampanyeId: 120238645880620694
Nama: *kredit toko*
📊 Performa Iklan
Jangkauan: 730
Hasil: *7 klik Whatsapp*
Video Ditonton: 183
Komentar: 0
Linkklik: 47
Catatan:
Hasil = Jumlah klik whatsapp jumlahnya suka berbeda dengan real Whatsapp masuk. Semoga banyak yang DEAL ya Kak!
Mau konsultasi? Langsung balas aja chatnya, mimin siap membantu.😊</t>
  </si>
  <si>
    <t>ON-king auto-09012026+5-62895603690686-TT1201-ext 1902-7</t>
  </si>
  <si>
    <t>king auto</t>
  </si>
  <si>
    <t>*Laporan Jasa Iklan UMKM*
📅 19-02-2026
👨‍💼 Data Klient
KampanyeId: 120238672136120694
Nama: *king auto*
📊 Performa Iklan
Jangkauan: 1011
Hasil: *0 klik Whatsapp*
Video Ditonton: 439
Komentar: 0
Linkklik: 43
Catatan:
Hasil = Jumlah klik whatsapp jumlahnya suka berbeda dengan real Whatsapp masuk. Semoga banyak yang DEAL ya Kak!
Mau konsultasi? Langsung balas aja chatnya, mimin siap membantu.😊</t>
  </si>
  <si>
    <t>ON-Deler Honda-19012026+5-6287861389777-TT2001-ext 1802-7</t>
  </si>
  <si>
    <t>*Laporan Jasa Iklan UMKM*
📅 19-02-2026
👨‍💼 Data Klient
KampanyeId: 120238965258630694
Nama: *Deler Honda*
📊 Performa Iklan
Jangkauan: 714
Hasil: *11 klik Whatsapp*
Video Ditonton: 2
Komentar: 3
Linkklik: 63
Catatan:
Hasil = Jumlah klik whatsapp jumlahnya suka berbeda dengan real Whatsapp masuk. Semoga banyak yang DEAL ya Kak!
Mau konsultasi? Langsung balas aja chatnya, mimin siap membantu.😊</t>
  </si>
  <si>
    <t>ON-Kegiatan AMT-20012026+30-6281904501876-TT2201 - R6 1302 Rusdian</t>
  </si>
  <si>
    <t>Kegiatan AMT</t>
  </si>
  <si>
    <t>*Laporan Jasa Iklan UMKM*
📅 19-02-2026
👨‍💼 Data Klient
KampanyeId: 120239034771370694
Nama: *Kegiatan AMT*
📊 Performa Iklan
Jangkauan: 617
Hasil: *2 klik Whatsapp*
Video Ditonton: 0
Komentar: 0
Linkklik: 22
Catatan:
Hasil = Jumlah klik whatsapp jumlahnya suka berbeda dengan real Whatsapp masuk. Semoga banyak yang DEAL ya Kak!
Mau konsultasi? Langsung balas aja chatnya, mimin siap membantu.😊</t>
  </si>
  <si>
    <t>120239137641670694</t>
  </si>
  <si>
    <t>ON-Spectrum Holiday-25012025+5-6285946504405-ext  2501-30 - R3 1902 Rusdian</t>
  </si>
  <si>
    <t>Spectrum Holiday</t>
  </si>
  <si>
    <t>*Laporan Jasa Iklan UMKM*
📅 19-02-2026
👨‍💼 Data Klient
KampanyeId: 120239137641670694
Nama: *Spectrum Holiday*
📊 Performa Iklan
Jangkauan: 1150
Hasil: *1 klik Whatsapp*
Video Ditonton: 0
Komentar: 0
Linkklik: 20
Catatan:
Hasil = Jumlah klik whatsapp jumlahnya suka berbeda dengan real Whatsapp masuk. Semoga banyak yang DEAL ya Kak!
Mau konsultasi? Langsung balas aja chatnya, mimin siap membantu.😊</t>
  </si>
  <si>
    <t>ON-SULTAN TOUR-29012026+20-6287873636555-TT3101 - R4 1502 Rusdian</t>
  </si>
  <si>
    <t>SULTAN TOUR</t>
  </si>
  <si>
    <t>*Laporan Jasa Iklan UMKM*
📅 19-02-2026
👨‍💼 Data Klient
KampanyeId: 120239363734900694
Nama: *SULTAN TOUR*
📊 Performa Iklan
Jangkauan: 368
Hasil: *0 klik Whatsapp*
Video Ditonton: 0
Komentar: 0
Linkklik: 240
Catatan:
Hasil = Jumlah klik whatsapp jumlahnya suka berbeda dengan real Whatsapp masuk. Semoga banyak yang DEAL ya Kak!
Mau konsultasi? Langsung balas aja chatnya, mimin siap membantu.😊</t>
  </si>
  <si>
    <t>ON-Berkat Parcel-07022026+10-6289648416177-TT1002 - R3 1702 Rusdian</t>
  </si>
  <si>
    <t>Berkat Parcel</t>
  </si>
  <si>
    <t>*Laporan Jasa Iklan UMKM*
📅 19-02-2026
👨‍💼 Data Klient
KampanyeId: 120239687732320694
Nama: *Berkat Parcel*
📊 Performa Iklan
Jangkauan: 966
Hasil: *1 klik Whatsapp*
Video Ditonton: 282
Komentar: 0
Linkklik: 24
Catatan:
Hasil = Jumlah klik whatsapp jumlahnya suka berbeda dengan real Whatsapp masuk. Semoga banyak yang DEAL ya Kak!
Mau konsultasi? Langsung balas aja chatnya, mimin siap membantu.😊</t>
  </si>
  <si>
    <t>ON-Paotere tour-10022026+10-6281228061933-TT1202 - R3 1902 Rusdian</t>
  </si>
  <si>
    <t>Paotere tour</t>
  </si>
  <si>
    <t>*Laporan Jasa Iklan UMKM*
📅 19-02-2026
👨‍💼 Data Klient
KampanyeId: 120239750733810694
Nama: *Paotere tour*
📊 Performa Iklan
Jangkauan: 281
Hasil: *1 klik Whatsapp*
Video Ditonton: 0
Komentar: 1
Linkklik: 13
Catatan:
Hasil = Jumlah klik whatsapp jumlahnya suka berbeda dengan real Whatsapp masuk. Semoga banyak yang DEAL ya Kak!
Mau konsultasi? Langsung balas aja chatnya, mimin siap membantu.😊</t>
  </si>
  <si>
    <t>ON-Anterin. Rent-11022026+10-6287782749624-TT1202 - R3 1902 Rusdian</t>
  </si>
  <si>
    <t>*Laporan Jasa Iklan UMKM*
📅 19-02-2026
👨‍💼 Data Klient
KampanyeId: 120239750734160694
Nama: *Anterin. Rent*
📊 Performa Iklan
Jangkauan: 350
Hasil: *3 klik Whatsapp*
Video Ditonton: 0
Komentar: 0
Linkklik: 11
Catatan:
Hasil = Jumlah klik whatsapp jumlahnya suka berbeda dengan real Whatsapp masuk. Semoga banyak yang DEAL ya Kak!
Mau konsultasi? Langsung balas aja chatnya, mimin siap membantu.😊</t>
  </si>
  <si>
    <t>ON-Angkutan dalam-15022026+5-628135084276-TT1702</t>
  </si>
  <si>
    <t>Angkutan dalam</t>
  </si>
  <si>
    <t>*Laporan Jasa Iklan UMKM*
📅 19-02-2026
👨‍💼 Data Klient
KampanyeId: 120239898038100694
Nama: *Angkutan dalam*
📊 Performa Iklan
Jangkauan: 967
Hasil: *1 klik Whatsapp*
Video Ditonton: 420
Komentar: 1
Linkklik: 31
Catatan:
Hasil = Jumlah klik whatsapp jumlahnya suka berbeda dengan real Whatsapp masuk. Semoga banyak yang DEAL ya Kak!
Mau konsultasi? Langsung balas aja chatnya, mimin siap membantu.😊</t>
  </si>
  <si>
    <t>ON-Damey AC-14022026+5-6285888105671-TT1802</t>
  </si>
  <si>
    <t>Damey AC</t>
  </si>
  <si>
    <t>*Laporan Jasa Iklan UMKM*
📅 19-02-2026
👨‍💼 Data Klient
KampanyeId: 120239898038330694
Nama: *Damey AC*
📊 Performa Iklan
Jangkauan: 375
Hasil: *1 klik Whatsapp*
Video Ditonton: 104
Komentar: 0
Linkklik: 6
Catatan:
Hasil = Jumlah klik whatsapp jumlahnya suka berbeda dengan real Whatsapp masuk. Semoga banyak yang DEAL ya Kak!
Mau konsultasi? Langsung balas aja chatnya, mimin siap membantu.😊</t>
  </si>
  <si>
    <t>ON-MY REPUBLIK-15022026+5-6282318574594-TT1902</t>
  </si>
  <si>
    <t>*Laporan Jasa Iklan UMKM*
📅 19-02-2026
👨‍💼 Data Klient
KampanyeId: 120239960648930694
Nama: *MY REPUBLIK*
📊 Performa Iklan
Jangkauan: 579
Hasil: *1 klik Whatsapp*
Video Ditonton: 0
Komentar: 0
Linkklik: 12
Catatan:
Hasil = Jumlah klik whatsapp jumlahnya suka berbeda dengan real Whatsapp masuk. Semoga banyak yang DEAL ya Kak!
Mau konsultasi? Langsung balas aja chatnya, mimin siap membantu.😊</t>
  </si>
  <si>
    <t>ON-CV Fajar-14062025+14-6281338789995 --ext: 1302-14 - R3 1902 Rusdian</t>
  </si>
  <si>
    <t>*Laporan Jasa Iklan UMKM*
📅 19-02-2026
👨‍💼 Data Klient
KampanyeId: 120227535188790235
Nama: *CV Fajar*
📊 Performa Iklan
Jangkauan: 867
Hasil: *1 klik Whatsapp*
Video Ditonton: 14
Komentar: 0
Linkklik: 16
Catatan:
Hasil = Jumlah klik whatsapp jumlahnya suka berbeda dengan real Whatsapp masuk. Semoga banyak yang DEAL ya Kak!
Mau konsultasi? Langsung balas aja chatnya, mimin siap membantu.😊</t>
  </si>
  <si>
    <t>ON-AURIGA KONTRAKTOR-16072025+5-6287856230745--ext 1702-10- R1 1902 Rusdian</t>
  </si>
  <si>
    <t>*Laporan Jasa Iklan UMKM*
📅 19-02-2026
👨‍💼 Data Klient
KampanyeId: 120229662655330235
Nama: *AURIGA KONTRAKTOR*
📊 Performa Iklan
Jangkauan: 366
Hasil: *0 klik Whatsapp*
Video Ditonton: 0
Komentar: 0
Linkklik: 6
Catatan:
Hasil = Jumlah klik whatsapp jumlahnya suka berbeda dengan real Whatsapp masuk. Semoga banyak yang DEAL ya Kak!
Mau konsultasi? Langsung balas aja chatnya, mimin siap membantu.😊</t>
  </si>
  <si>
    <t>ON-Putra Djaya-22072025+5-62895632627969-ext 1702</t>
  </si>
  <si>
    <t>*Laporan Jasa Iklan UMKM*
📅 19-02-2026
👨‍💼 Data Klient
KampanyeId: 120230396785660235
Nama: *Putra Djaya*
📊 Performa Iklan
Jangkauan: 542
Hasil: *4 klik Whatsapp*
Video Ditonton: 272
Komentar: 0
Linkklik: 22
Catatan:
Hasil = Jumlah klik whatsapp jumlahnya suka berbeda dengan real Whatsapp masuk. Semoga banyak yang DEAL ya Kak!
Mau konsultasi? Langsung balas aja chatnya, mimin siap membantu.😊</t>
  </si>
  <si>
    <t>ON-Kharisma Filter-21072025+10-6285893658659-ext:1102-10</t>
  </si>
  <si>
    <t>*Laporan Jasa Iklan UMKM*
📅 19-02-2026
👨‍💼 Data Klient
KampanyeId: 120230462264890235
Nama: *Kharisma Filter*
📊 Performa Iklan
Jangkauan: 459
Hasil: *1 klik Whatsapp*
Video Ditonton: 1
Komentar: 0
Linkklik: 10
Catatan:
Hasil = Jumlah klik whatsapp jumlahnya suka berbeda dengan real Whatsapp masuk. Semoga banyak yang DEAL ya Kak!
Mau konsultasi? Langsung balas aja chatnya, mimin siap membantu.😊</t>
  </si>
  <si>
    <t>120232740215810235</t>
  </si>
  <si>
    <t>ON-NAZWAN POLL-31082025+7-6282125057012-ext 1602 - R1 1902 Rusdian</t>
  </si>
  <si>
    <t>*Laporan Jasa Iklan UMKM*
📅 19-02-2026
👨‍💼 Data Klient
KampanyeId: 120232740215810235
Nama: *NAZWAN POLL*
📊 Performa Iklan
Jangkauan: 423
Hasil: *0 klik Whatsapp*
Video Ditonton: 169
Komentar: 0
Linkklik: 12
Catatan:
Hasil = Jumlah klik whatsapp jumlahnya suka berbeda dengan real Whatsapp masuk. Semoga banyak yang DEAL ya Kak!
Mau konsultasi? Langsung balas aja chatnya, mimin siap membantu.😊</t>
  </si>
  <si>
    <t>ON-MEGAH PLAFON-26082025+30-6281323291817-TT0609-ext: 2601-30</t>
  </si>
  <si>
    <t>*Laporan Jasa Iklan UMKM*
📅 19-02-2026
👨‍💼 Data Klient
KampanyeId: 120232953632150235
Nama: *MEGAH PLAFON*
📊 Performa Iklan
Jangkauan: 1859
Hasil: *3 klik Whatsapp*
Video Ditonton: 661
Komentar: 1
Linkklik: 59
Catatan:
Hasil = Jumlah klik whatsapp jumlahnya suka berbeda dengan real Whatsapp masuk. Semoga banyak yang DEAL ya Kak!
Mau konsultasi? Langsung balas aja chatnya, mimin siap membantu.😊</t>
  </si>
  <si>
    <t>ON-Restu buana-04092025+10-6285272737979-TT0709-ext 1102-10 - R2 1502 Rusdian</t>
  </si>
  <si>
    <t>*Laporan Jasa Iklan UMKM*
📅 19-02-2026
👨‍💼 Data Klient
KampanyeId: 120232986647510235
Nama: *Restu buana*
📊 Performa Iklan
Jangkauan: 1200
Hasil: *1 klik Whatsapp*
Video Ditonton: 443
Komentar: 0
Linkklik: 19
Catatan:
Hasil = Jumlah klik whatsapp jumlahnya suka berbeda dengan real Whatsapp masuk. Semoga banyak yang DEAL ya Kak!
Mau konsultasi? Langsung balas aja chatnya, mimin siap membantu.😊</t>
  </si>
  <si>
    <t>120233355562460235</t>
  </si>
  <si>
    <t>ON-Oma Property-12092025+5-6283824541579-TT1509-ext 1902-14</t>
  </si>
  <si>
    <t>*Laporan Jasa Iklan UMKM*
📅 19-02-2026
👨‍💼 Data Klient
KampanyeId: 120233355562460235
Nama: *Oma Property*
📊 Performa Iklan
Jangkauan: 354
Hasil: *1 klik Whatsapp*
Video Ditonton: 42
Komentar: 0
Linkklik: 12
Catatan:
Hasil = Jumlah klik whatsapp jumlahnya suka berbeda dengan real Whatsapp masuk. Semoga banyak yang DEAL ya Kak!
Mau konsultasi? Langsung balas aja chatnya, mimin siap membantu.😊</t>
  </si>
  <si>
    <t>120233445257140235</t>
  </si>
  <si>
    <t>ON-AJMA PROPERTY-13092025+20-6289678497690-TT1709-ext 0602-14 - R3 1702 Rusdian</t>
  </si>
  <si>
    <t>*Laporan Jasa Iklan UMKM*
📅 19-02-2026
👨‍💼 Data Klient
KampanyeId: 120233445257140235
Nama: *AJMA PROPERTY*
📊 Performa Iklan
Jangkauan: 455
Hasil: *2 klik Whatsapp*
Video Ditonton: 17
Komentar: 0
Linkklik: 12
Catatan:
Hasil = Jumlah klik whatsapp jumlahnya suka berbeda dengan real Whatsapp masuk. Semoga banyak yang DEAL ya Kak!
Mau konsultasi? Langsung balas aja chatnya, mimin siap membantu.😊</t>
  </si>
  <si>
    <t>120233635983150235</t>
  </si>
  <si>
    <t>ON-Cv Nuansa-11072025+30-6282310465999- ext 0202-30 - R6 1902 Rusdian</t>
  </si>
  <si>
    <t>*Laporan Jasa Iklan UMKM*
📅 19-02-2026
👨‍💼 Data Klient
KampanyeId: 120233635983150235
Nama: *Cv Nuansa*
📊 Performa Iklan
Jangkauan: 426
Hasil: *0 klik Whatsapp*
Video Ditonton: 0
Komentar: 0
Linkklik: 8
Catatan:
Hasil = Jumlah klik whatsapp jumlahnya suka berbeda dengan real Whatsapp masuk. Semoga banyak yang DEAL ya Kak!
Mau konsultasi? Langsung balas aja chatnya, mimin siap membantu.😊</t>
  </si>
  <si>
    <t>ON-Toko Agus-07112025+5-62818752345-TT1011-1602-5 - R1 1902 Rusdian</t>
  </si>
  <si>
    <t>Toko Agus</t>
  </si>
  <si>
    <t>*Laporan Jasa Iklan UMKM*
📅 19-02-2026
👨‍💼 Data Klient
KampanyeId: 120236493907140235
Nama: *Toko Agus*
📊 Performa Iklan
Jangkauan: 507
Hasil: *1 klik Whatsapp*
Video Ditonton: 7
Komentar: 0
Linkklik: 25
Catatan:
Hasil = Jumlah klik whatsapp jumlahnya suka berbeda dengan real Whatsapp masuk. Semoga banyak yang DEAL ya Kak!
Mau konsultasi? Langsung balas aja chatnya, mimin siap membantu.😊</t>
  </si>
  <si>
    <t>120236572156690235</t>
  </si>
  <si>
    <t>ON-Mitra Bangun-28062025+30-6282338171577 - ext 0202-30 - R5 1902 Rusdian</t>
  </si>
  <si>
    <t>*Laporan Jasa Iklan UMKM*
📅 19-02-2026
👨‍💼 Data Klient
KampanyeId: 120236572156690235
Nama: *Mitra Bangun*
📊 Performa Iklan
Jangkauan: 360
Hasil: *1 klik Whatsapp*
Video Ditonton: 0
Komentar: 0
Linkklik: 5
Catatan:
Hasil = Jumlah klik whatsapp jumlahnya suka berbeda dengan real Whatsapp masuk. Semoga banyak yang DEAL ya Kak!
Mau konsultasi? Langsung balas aja chatnya, mimin siap membantu.😊</t>
  </si>
  <si>
    <t>120237257734160235</t>
  </si>
  <si>
    <t>ON-Orlindo Maju-11112025+30-628179859231-TT1411-ext 1802-30</t>
  </si>
  <si>
    <t>Orlindo Maju</t>
  </si>
  <si>
    <t>*Laporan Jasa Iklan UMKM*
📅 19-02-2026
👨‍💼 Data Klient
KampanyeId: 120237257734160235
Nama: *Orlindo Maju*
📊 Performa Iklan
Jangkauan: 538
Hasil: *1 klik Whatsapp*
Video Ditonton: 123
Komentar: 0
Linkklik: 13
Catatan:
Hasil = Jumlah klik whatsapp jumlahnya suka berbeda dengan real Whatsapp masuk. Semoga banyak yang DEAL ya Kak!
Mau konsultasi? Langsung balas aja chatnya, mimin siap membantu.😊</t>
  </si>
  <si>
    <t>120237413398190235</t>
  </si>
  <si>
    <t>ON-Mandiri pool-23112025+10-6282160932266-TT2611-ext 1102-10 - R1 1312 Rusdian</t>
  </si>
  <si>
    <t>*Laporan Jasa Iklan UMKM*
📅 19-02-2026
👨‍💼 Data Klient
KampanyeId: 120237413398190235
Nama: *Mandiri pool*
📊 Performa Iklan
Jangkauan: 903
Hasil: *6 klik Whatsapp*
Video Ditonton: 397
Komentar: 0
Linkklik: 31
Catatan:
Hasil = Jumlah klik whatsapp jumlahnya suka berbeda dengan real Whatsapp masuk. Semoga banyak yang DEAL ya Kak!
Mau konsultasi? Langsung balas aja chatnya, mimin siap membantu.😊</t>
  </si>
  <si>
    <t>120238124867990235</t>
  </si>
  <si>
    <t>ON-Mazaya Private-06122025+5-6282121160054-TT0912-ext 0702-30 - R1 1302 Rusdian</t>
  </si>
  <si>
    <t>Mazaya Private</t>
  </si>
  <si>
    <t>*Laporan Jasa Iklan UMKM*
📅 19-02-2026
👨‍💼 Data Klient
KampanyeId: 120238124867990235
Nama: *Mazaya Private*
📊 Performa Iklan
Jangkauan: 240
Hasil: *6 klik Whatsapp*
Video Ditonton: 0
Komentar: 0
Linkklik: 32
Catatan:
Hasil = Jumlah klik whatsapp jumlahnya suka berbeda dengan real Whatsapp masuk. Semoga banyak yang DEAL ya Kak!
Mau konsultasi? Langsung balas aja chatnya, mimin siap membantu.😊</t>
  </si>
  <si>
    <t>120240757085690235</t>
  </si>
  <si>
    <t>ON-kavling teluk-23122025+10-6282288320550-TT2812-ext 1102-10 -iklan 2</t>
  </si>
  <si>
    <t>kavling teluk</t>
  </si>
  <si>
    <t>*Laporan Jasa Iklan UMKM*
📅 19-02-2026
👨‍💼 Data Klient
KampanyeId: 120240757085690235
Nama: *kavling teluk*
📊 Performa Iklan
Jangkauan: 1507
Hasil: *7 klik Whatsapp*
Video Ditonton: 50
Komentar: 2
Linkklik: 102
Catatan:
Hasil = Jumlah klik whatsapp jumlahnya suka berbeda dengan real Whatsapp masuk. Semoga banyak yang DEAL ya Kak!
Mau konsultasi? Langsung balas aja chatnya, mimin siap membantu.😊</t>
  </si>
  <si>
    <t>ON-Bengkel Las-10022026+30-628131428282 - R3 1902 Rusdian</t>
  </si>
  <si>
    <t>*Laporan Jasa Iklan UMKM*
📅 19-02-2026
👨‍💼 Data Klient
KampanyeId: 120240794926270235
Nama: *Bengkel Las*
📊 Performa Iklan
Jangkauan: 191
Hasil: *0 klik Whatsapp*
Video Ditonton: 0
Komentar: 0
Linkklik: 6
Catatan:
Hasil = Jumlah klik whatsapp jumlahnya suka berbeda dengan real Whatsapp masuk. Semoga banyak yang DEAL ya Kak!
Mau konsultasi? Langsung balas aja chatnya, mimin siap membantu.😊</t>
  </si>
  <si>
    <t>120240843211830235</t>
  </si>
  <si>
    <t>ON-MEGAH PLAFON-26082025+30-6281323291817-TT0609-ext: 1302-20</t>
  </si>
  <si>
    <t>*Laporan Jasa Iklan UMKM*
📅 19-02-2026
👨‍💼 Data Klient
KampanyeId: 120240843211830235
Nama: *MEGAH PLAFON*
📊 Performa Iklan
Jangkauan: 1483
Hasil: *9 klik Whatsapp*
Video Ditonton: 617
Komentar: 0
Linkklik: 58
Catatan:
Hasil = Jumlah klik whatsapp jumlahnya suka berbeda dengan real Whatsapp masuk. Semoga banyak yang DEAL ya Kak!
Mau konsultasi? Langsung balas aja chatnya, mimin siap membantu.😊</t>
  </si>
  <si>
    <t>ON-Ganesha Group-14022026+10-6281515661112-TT1802</t>
  </si>
  <si>
    <t>*Laporan Jasa Iklan UMKM*
📅 19-02-2026
👨‍💼 Data Klient
KampanyeId: 120240952296170235
Nama: *Ganesha Group*
📊 Performa Iklan
Jangkauan: 826
Hasil: *1 klik Whatsapp*
Video Ditonton: 6
Komentar: 0
Linkklik: 25
Catatan:
Hasil = Jumlah klik whatsapp jumlahnya suka berbeda dengan real Whatsapp masuk. Semoga banyak yang DEAL ya Kak!
Mau konsultasi? Langsung balas aja chatnya, mimin siap membantu.😊</t>
  </si>
  <si>
    <t>ON-Arsitektur Andri-14022026+5-62895326008269 - R1 1902 Rusdian</t>
  </si>
  <si>
    <t>*Laporan Jasa Iklan UMKM*
📅 19-02-2026
👨‍💼 Data Klient
KampanyeId: 120240952296430235
Nama: *Arsitektur Andri*
📊 Performa Iklan
Jangkauan: 542
Hasil: *2 klik Whatsapp*
Video Ditonton: 8
Komentar: 0
Linkklik: 12
Catatan:
Hasil = Jumlah klik whatsapp jumlahnya suka berbeda dengan real Whatsapp masuk. Semoga banyak yang DEAL ya Kak!
Mau konsultasi? Langsung balas aja chatnya, mimin siap membantu.😊</t>
  </si>
  <si>
    <t>ON-PT Lintang-14022026+5-6285871503571-TT1802</t>
  </si>
  <si>
    <t>PT Lintang</t>
  </si>
  <si>
    <t>*Laporan Jasa Iklan UMKM*
📅 19-02-2026
👨‍💼 Data Klient
KampanyeId: 120240982872990235
Nama: *PT Lintang*
📊 Performa Iklan
Jangkauan: 241
Hasil: *1 klik Whatsapp*
Video Ditonton: 43
Komentar: 0
Linkklik: 16
Catatan:
Hasil = Jumlah klik whatsapp jumlahnya suka berbeda dengan real Whatsapp masuk. Semoga banyak yang DEAL ya Kak!
Mau konsultasi? Langsung balas aja chatnya, mimin siap membantu.😊</t>
  </si>
  <si>
    <t>120214821270640554</t>
  </si>
  <si>
    <t>ON-15rb-Yunia gorden-22012025+10-6281246763143-ext 1002-10</t>
  </si>
  <si>
    <t>15rb</t>
  </si>
  <si>
    <t>*Laporan Jasa Iklan UMKM*
📅 19-02-2026
👨‍💼 Data Klient
KampanyeId: 120214821270640554
Nama: *15rb*
📊 Performa Iklan
Jangkauan: 661
Hasil: *0 klik Whatsapp*
Video Ditonton: 79
Komentar: 0
Linkklik: 15
Catatan:
Hasil = Jumlah klik whatsapp jumlahnya suka berbeda dengan real Whatsapp masuk. Semoga banyak yang DEAL ya Kak!
Mau konsultasi? Langsung balas aja chatnya, mimin siap membantu.😊</t>
  </si>
  <si>
    <t>120235983090370554</t>
  </si>
  <si>
    <t>ON-Wiris Variasi-05042025+7-6282242925264-ext: 2211-10</t>
  </si>
  <si>
    <t>*Laporan Jasa Iklan UMKM*
📅 19-02-2026
👨‍💼 Data Klient
KampanyeId: 120235983090370554
Nama: *Wiris Variasi*
📊 Performa Iklan
Jangkauan: 2133
Hasil: *1 klik Whatsapp*
Video Ditonton: 687
Komentar: 0
Linkklik: 75
Catatan:
Hasil = Jumlah klik whatsapp jumlahnya suka berbeda dengan real Whatsapp masuk. Semoga banyak yang DEAL ya Kak!
Mau konsultasi? Langsung balas aja chatnya, mimin siap membantu.😊</t>
  </si>
  <si>
    <t>18-24</t>
  </si>
  <si>
    <t>25-34</t>
  </si>
  <si>
    <t>35-44</t>
  </si>
  <si>
    <t>45-54</t>
  </si>
  <si>
    <t>55-64</t>
  </si>
  <si>
    <t>65+</t>
  </si>
  <si>
    <t>Unknown</t>
  </si>
  <si>
    <t>Tipe Lokasi</t>
  </si>
  <si>
    <t>Impression</t>
  </si>
  <si>
    <t>region</t>
  </si>
  <si>
    <t>West Java</t>
  </si>
  <si>
    <t>Central Java</t>
  </si>
  <si>
    <t>Special Region of Yogyakarta</t>
  </si>
  <si>
    <t>East Kalimantan</t>
  </si>
  <si>
    <t>Aceh</t>
  </si>
  <si>
    <t>Central Kalimantan</t>
  </si>
  <si>
    <t>Central Sulawesi</t>
  </si>
  <si>
    <t>East Java</t>
  </si>
  <si>
    <t>East Nusa Tenggara</t>
  </si>
  <si>
    <t>Gorontalo</t>
  </si>
  <si>
    <t>Maluku</t>
  </si>
  <si>
    <t>North Kalimantan</t>
  </si>
  <si>
    <t>North Maluku</t>
  </si>
  <si>
    <t>North Sulawesi</t>
  </si>
  <si>
    <t>North Sumatra</t>
  </si>
  <si>
    <t>Papua (province)</t>
  </si>
  <si>
    <t>Riau Islands Province</t>
  </si>
  <si>
    <t>South Kalimantan</t>
  </si>
  <si>
    <t>South Sulawesi</t>
  </si>
  <si>
    <t>South Sumatra</t>
  </si>
  <si>
    <t>Southeast Sulawesi</t>
  </si>
  <si>
    <t>Bangka–Belitung Islands</t>
  </si>
  <si>
    <t>West Sulawesi</t>
  </si>
  <si>
    <t>Timor-Leste</t>
  </si>
  <si>
    <t>West Nusa Tenggara</t>
  </si>
  <si>
    <t>West Papua</t>
  </si>
  <si>
    <t>West Sumatra</t>
  </si>
  <si>
    <t>Al Daayen</t>
  </si>
  <si>
    <t>Al Rayyan</t>
  </si>
  <si>
    <t>Doha</t>
  </si>
  <si>
    <t>Madinat ash Shamal</t>
  </si>
  <si>
    <t>Umm Salal</t>
  </si>
  <si>
    <t>West Kalimantan</t>
  </si>
  <si>
    <t>Al Khor</t>
  </si>
  <si>
    <t>Al Wakrah</t>
  </si>
  <si>
    <t>Penempatan</t>
  </si>
  <si>
    <t>13-11-2025</t>
  </si>
  <si>
    <t>14-11-2025</t>
  </si>
  <si>
    <t>15-11-2025</t>
  </si>
  <si>
    <t>16-11-2025</t>
  </si>
  <si>
    <t>18-11-2025</t>
  </si>
  <si>
    <t>19-11-2025</t>
  </si>
  <si>
    <t>20-11-2025</t>
  </si>
  <si>
    <t>21-11-2025</t>
  </si>
  <si>
    <t>22-11-2025</t>
  </si>
  <si>
    <t>23-11-2025</t>
  </si>
  <si>
    <t>24-11-2025</t>
  </si>
  <si>
    <t>25-11-2025</t>
  </si>
  <si>
    <t>26-11-2025</t>
  </si>
  <si>
    <t>27-11-2025</t>
  </si>
  <si>
    <t>28-11-2025</t>
  </si>
  <si>
    <t>29-11-2025</t>
  </si>
  <si>
    <t>30-11-2025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</si>
  <si>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</si>
  <si>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</si>
  <si>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</si>
  <si>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</si>
  <si>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</si>
  <si>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</si>
  <si>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</si>
  <si>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</si>
  <si>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</si>
  <si>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</si>
  <si>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</si>
  <si>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</si>
  <si>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</si>
  <si>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</si>
  <si>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</si>
  <si>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</si>
  <si>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</si>
  <si>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</si>
  <si>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</si>
  <si>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</si>
  <si>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</si>
  <si>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</si>
  <si>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</si>
  <si>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</si>
  <si>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</si>
  <si>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</si>
  <si>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</si>
  <si>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</si>
  <si>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</si>
  <si>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</si>
  <si>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</si>
  <si>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</si>
  <si>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</si>
  <si>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</si>
  <si>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</si>
  <si>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</si>
  <si>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</si>
  <si>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</si>
  <si>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13-02-2026</t>
  </si>
  <si>
    <t>14-02-2026</t>
  </si>
  <si>
    <t>15-02-2026</t>
  </si>
  <si>
    <t>16-02-2026</t>
  </si>
  <si>
    <t>17-02-2026</t>
  </si>
  <si>
    <t>18-02-2026</t>
  </si>
  <si>
    <t>Link Iklan</t>
  </si>
  <si>
    <t>Status</t>
  </si>
  <si>
    <t>cpm mahal &gt;20rb</t>
  </si>
  <si>
    <t>leads &lt; 5</t>
  </si>
  <si>
    <t>cpr&gt;7000</t>
  </si>
  <si>
    <t>api_key_astii</t>
  </si>
  <si>
    <t>94d4b223-7edc-4af1-b742-1ce4cf9af425</t>
  </si>
  <si>
    <t>urlsend_dripsender</t>
  </si>
  <si>
    <t>https://api.dripsender.id/send</t>
  </si>
  <si>
    <t>Umum</t>
  </si>
  <si>
    <t>api_key_rudi</t>
  </si>
  <si>
    <t>f1211448-31b4-4cbe-9183-1c481e72ddfc</t>
  </si>
  <si>
    <t>Edukasi</t>
  </si>
  <si>
    <t>Kebersihan</t>
  </si>
  <si>
    <t>Kecantikan</t>
  </si>
  <si>
    <t>Teknisi</t>
  </si>
  <si>
    <t>Paket 1</t>
  </si>
  <si>
    <t>Paket 2</t>
  </si>
  <si>
    <t>Paket 3</t>
  </si>
  <si>
    <t>Paket 5</t>
  </si>
  <si>
    <t>Repeat Paket 1</t>
  </si>
  <si>
    <t>Repeat Paket 2</t>
  </si>
  <si>
    <t>Repeat Paket 3</t>
  </si>
  <si>
    <t>Repeat Paket 4</t>
  </si>
  <si>
    <t>Repeat Paket 5</t>
  </si>
  <si>
    <t>Lap Id</t>
  </si>
  <si>
    <t>Leads</t>
  </si>
  <si>
    <t>cek harga 6, tanya tanya 2 , norespon 5</t>
  </si>
  <si>
    <t>cek harga 5 , norespon 10</t>
  </si>
  <si>
    <t>cek harga 16, pikir-pikir dulu 2, belum punya uang 2, nores 17, tanya-tanya 10, minta nego 1, belum kirim video 5, nanti di kabari 3</t>
  </si>
  <si>
    <t>nores 12, cek harga 10, tanya-tanya 14, belum kirim video 3, belum isi data 3, nanti dikabari 3, belum wa bisnis 2, ragu 1, minta ketemuan 1</t>
  </si>
  <si>
    <t>cek harga 15, pikir-pikir dulu 5, nores 17, tanya-tanya 13, belum kirim video 4, nanti di kabari 7, belum isi data 3, minta harga 500k (20 hari), save no 2, nunggu tf 1, harga mahal 2, minta tayang dulu baru bayar 2, minta harga 250k (10 hari)</t>
  </si>
  <si>
    <t>nores 20, cek harga 18, nanti dikabari 3, tanya-tanya 9, nunggu TF 2, belum isi data 2, order bulan depan 1, harga mahal 1</t>
  </si>
  <si>
    <t>nores 2, cek harga 3,</t>
  </si>
  <si>
    <t>nores 20, cek harga 16, belum kirim video 5, belum isi data 3, nanti dikabari 3, tanya-tanya 11, bayar setelah tayang 1, nunggu tf 1, mahal 1, belum ada uang 1, ragu 1</t>
  </si>
  <si>
    <t>nores 9, cek harga 6, belum kirim video 1, mau diskusi dulu 1, tanya-tanya 5</t>
  </si>
  <si>
    <t>nores 18, cek harga 11, nanti dulu 6, tanya-tanya 9, nunggu tf 1, belum isi data 4, diskusi dulu 2, tayang dulu baru bayar 2, save no 1</t>
  </si>
  <si>
    <t>nores 11, cek harga 15, tanya-tanya 10, nunggu tf 1, belum kirim video 2, diskusi dulu 1, pikir-pikir dulu 2, nanti di kabari 3</t>
  </si>
  <si>
    <t>cek harga 1</t>
  </si>
  <si>
    <t>cek harga 4, nores 5, tanya-tanya 6, belum isi data 1, minta 300k 1 bulan, mau ganti  bisnis 1</t>
  </si>
  <si>
    <t>Cek harga 3, nores 2, tanya-tanya 3, belum kirim video 1</t>
  </si>
  <si>
    <t>nores 2, tanya-tanya 1, di kabarin lagi 1</t>
  </si>
  <si>
    <t>nores 11, tanya-tanya 3, di kabarin lagi 5,DP 1,3 pikir dulu</t>
  </si>
  <si>
    <t>Cek harga 16, nores 17, tanya-tanya 13, belum kirim video 3, nanti dikabari 2</t>
  </si>
  <si>
    <t>(belum ke input)</t>
  </si>
  <si>
    <t>nores 19, tanya-tanya 12, ragu 1, cek harga 11, nunggu tf 1, belum kirim video 3, belum isi data 2, nanti dulu 4</t>
  </si>
  <si>
    <t>nores 26, tanya-tanya 17, cek harga 13, nunggu tf 1, belum kirim video 6, belum isi data 1, nanti dulu 5, belum ada uang 3, nunggu pelunasan 2, tanya suami 1, nunggu tf 1</t>
  </si>
  <si>
    <t>nores 10, closing 1,5 tanya2</t>
  </si>
  <si>
    <t>nores 4, cek harga 6, diskusi dulu 1, tanya-tanya 1, belum kirim video 1</t>
  </si>
  <si>
    <t>nores 9, cek harga 10, dikira gratis 1, tanya-tanya 6, nanti dulu 4</t>
  </si>
  <si>
    <t>nores 27, nunggu tf 1, nanti di kabari 6, bulan agustus 1, cek harga 13, belum kirim video 3, awal bulan 1, tanya-tanya 15, belum ada uang 2</t>
  </si>
  <si>
    <t>nores 32, nunggu tf 1, nanti di kabari 6, tanya-tanya 18, cek harga 17, belum ada uang 4, mau berobat 1</t>
  </si>
  <si>
    <t>nores 2</t>
  </si>
  <si>
    <t>nores 52, cek harga 22, tanya-tanya 23, nanti dulu 5, nunggu tf 3, ragu 2, belum kirim video 6, belum ada uang 2, mau berobat 1</t>
  </si>
  <si>
    <t>hp kereset</t>
  </si>
  <si>
    <t>(lupa)</t>
  </si>
  <si>
    <t>cek harga 2</t>
  </si>
  <si>
    <t>nores 31, tanya-tanya 30, nanti di kabari 13, cek harga 36, belum kirim video dan data 6, mahal 2, belum ada uang 3, tanya suami 2, nunggu tf 1, baru DP 2</t>
  </si>
  <si>
    <t>nores 40, cek harga 43, tanya-tanya 38, nanti dulu 19, belum kirim video 7, nunggu TF 4, akhir bulan 1, belum isi data 2, baru DP 1</t>
  </si>
  <si>
    <t>nores 14, cek harga 13, tanya-tanya 11, nanti dulu 5, minta diiklankan dulu 2, belum kirim video 3, belum isi data 2</t>
  </si>
  <si>
    <t>nores 40, cek harga 24, tanya-tanya 35, belum ada uang 5, ragu 3, mahal 5, nanti dikabari 11, belum kirim video 6, nunggu TF 2, belum isi data 3</t>
  </si>
  <si>
    <t>nores 37, cek harga 20, tanya-tanya 30, belum ada uang 4, ragu 2, mahal 3, nanti dikabari 14, belum kirim video 6, nunggu TF 2, belum isi data 4, minta di iklankan dulu 2</t>
  </si>
  <si>
    <t>nores 26, cek harga 32, tanya-tanya 17, belum kirim video 4, nanti di kabari 7, belum isi data 2, minta di tayangkan dulu 4, mahal1</t>
  </si>
  <si>
    <t>bikin konten video 1</t>
  </si>
  <si>
    <t>baru DP 1</t>
  </si>
  <si>
    <t>1 bikin video 50k</t>
  </si>
  <si>
    <t>DP 1</t>
  </si>
  <si>
    <t>DP 50rb</t>
  </si>
  <si>
    <t>DP 2</t>
  </si>
  <si>
    <t>DP</t>
  </si>
  <si>
    <t>00-Oct-2025</t>
  </si>
  <si>
    <t>09-Des-2025</t>
  </si>
  <si>
    <t>20-Des-2025</t>
  </si>
  <si>
    <t>Bulan</t>
  </si>
  <si>
    <t>06</t>
  </si>
  <si>
    <t>Total Profit</t>
  </si>
  <si>
    <t>Total Order Baru</t>
  </si>
  <si>
    <t>Tahun</t>
  </si>
  <si>
    <t>Repeat Order</t>
  </si>
  <si>
    <t>Persentase Repeat</t>
  </si>
  <si>
    <t>Phone</t>
  </si>
  <si>
    <t>apikey</t>
  </si>
  <si>
    <t>Posisi</t>
  </si>
  <si>
    <t>Aktif</t>
  </si>
  <si>
    <t>048da176-e390-44e3-a904-8fd34dacc1e0</t>
  </si>
  <si>
    <t>CustomerService</t>
  </si>
  <si>
    <t>10186f67-366b-4017-bd71-d2ab607b8645</t>
  </si>
  <si>
    <t>68539988-c8af-455d-ab36-a2ef0018f702</t>
  </si>
  <si>
    <t>6e633adc-1d48-4cb0-acfd-d91038a235d9</t>
  </si>
  <si>
    <t>Astii</t>
  </si>
  <si>
    <t>AccountName</t>
  </si>
  <si>
    <t>Account</t>
  </si>
  <si>
    <t>Spent</t>
  </si>
  <si>
    <t>Lead</t>
  </si>
  <si>
    <t>Omset</t>
  </si>
  <si>
    <t>P1</t>
  </si>
  <si>
    <t>P2</t>
  </si>
  <si>
    <t>P3</t>
  </si>
  <si>
    <t>P4</t>
  </si>
  <si>
    <t>P5</t>
  </si>
  <si>
    <t>RP1</t>
  </si>
  <si>
    <t>RP2</t>
  </si>
  <si>
    <t>RP3</t>
  </si>
  <si>
    <t>RP4</t>
  </si>
  <si>
    <t>RP5</t>
  </si>
  <si>
    <t>OP1</t>
  </si>
  <si>
    <t>OP2</t>
  </si>
  <si>
    <t>OP3</t>
  </si>
  <si>
    <t>OP4</t>
  </si>
  <si>
    <t>OP5</t>
  </si>
  <si>
    <t>ORP1</t>
  </si>
  <si>
    <t>ORP2</t>
  </si>
  <si>
    <t>ORP3</t>
  </si>
  <si>
    <t>ORP4</t>
  </si>
  <si>
    <t>ORP5</t>
  </si>
  <si>
    <t>Profit</t>
  </si>
  <si>
    <t>Rate Closing</t>
  </si>
  <si>
    <t>CPR</t>
  </si>
  <si>
    <t>Helper</t>
  </si>
  <si>
    <t>OrderBaru</t>
  </si>
  <si>
    <t>RepeatOrder</t>
  </si>
  <si>
    <t>Puji</t>
  </si>
  <si>
    <t xml:space="preserve"> Isna</t>
  </si>
  <si>
    <t xml:space="preserve"> YUNI</t>
  </si>
  <si>
    <t xml:space="preserve"> TIKA</t>
  </si>
  <si>
    <t xml:space="preserve"> ISNA</t>
  </si>
  <si>
    <t xml:space="preserve"> RINA</t>
  </si>
  <si>
    <t>ISNA</t>
  </si>
  <si>
    <t>RINA</t>
  </si>
  <si>
    <t>jasaiklan UMKM</t>
  </si>
  <si>
    <t>//</t>
  </si>
  <si>
    <t xml:space="preserve"> </t>
  </si>
  <si>
    <t xml:space="preserve"> TIMOR LESTE </t>
  </si>
  <si>
    <t xml:space="preserve"> TIMOR LESTE</t>
  </si>
  <si>
    <t xml:space="preserve"> ADV </t>
  </si>
  <si>
    <t xml:space="preserve">ilham </t>
  </si>
  <si>
    <t>ilham</t>
  </si>
  <si>
    <t>FanspageId</t>
  </si>
  <si>
    <t>FanspageName</t>
  </si>
  <si>
    <t>Promo UMKM Bersama</t>
  </si>
  <si>
    <t>Lembaga Edukasi Pilihan Anda</t>
  </si>
  <si>
    <t>Jasa Iklan Usaha UMKM</t>
  </si>
  <si>
    <t>Jasa Otomotif Terdekat</t>
  </si>
  <si>
    <t>Jasa Interior dan Exterior Terdekat</t>
  </si>
  <si>
    <t>Jasa Advertising UMKM</t>
  </si>
  <si>
    <t>Jasa Home Cleaning</t>
  </si>
  <si>
    <t>Jasa Service AC Terdekat</t>
  </si>
  <si>
    <t>ServiceAC</t>
  </si>
  <si>
    <t>Forum Edukasi</t>
  </si>
  <si>
    <t>Beauty Solution</t>
  </si>
  <si>
    <t>Pakar Bangun Indonesia</t>
  </si>
  <si>
    <t>Promo Bisnis UMKM</t>
  </si>
  <si>
    <t>JasaIklan</t>
  </si>
  <si>
    <t>Mitra Kuliner</t>
  </si>
  <si>
    <t>Sahabat Otomotif</t>
  </si>
  <si>
    <t>Pakar Teknisi</t>
  </si>
  <si>
    <t>Bangun karya</t>
  </si>
  <si>
    <t>BisnisKlik</t>
  </si>
  <si>
    <t>FoodiePilihan</t>
  </si>
  <si>
    <t>ShopEasy</t>
  </si>
  <si>
    <t>TravelPartner</t>
  </si>
  <si>
    <t>R08</t>
  </si>
  <si>
    <t>Paket</t>
  </si>
  <si>
    <t>Harga</t>
  </si>
  <si>
    <t>Biaya Iklan Per Hari Klien</t>
  </si>
  <si>
    <t>Total Biaya Iklan Klien</t>
  </si>
  <si>
    <t>Profit Kotor</t>
  </si>
  <si>
    <t>Paket 4</t>
  </si>
  <si>
    <t>Biaya Iklan</t>
  </si>
  <si>
    <t>Klik</t>
  </si>
  <si>
    <t>Impresi</t>
  </si>
  <si>
    <t>Results</t>
  </si>
  <si>
    <t>ON-JasaIklan-CTWA-Yuni2-Ilham</t>
  </si>
  <si>
    <t>ON-JasaIklan-CTWA-Yuni1-Ilham</t>
  </si>
  <si>
    <t>ON-JasaIklan-CTWA-Isna3-ASC-TimorLeste-Ilham</t>
  </si>
  <si>
    <t>ON-JasaIklan-CTWA-Isna1-Ilham-TimorLeste</t>
  </si>
  <si>
    <t>ON-JasaIklan-CTWA-Isna2-Ilham</t>
  </si>
  <si>
    <t>ON-JasaIklan-CTWA1-Yuni-Ilham</t>
  </si>
  <si>
    <t>ON-JasaIklan-CTWA-Yuni-Ilham</t>
  </si>
  <si>
    <t>ON-JasaIklan-CTWA-Isna-ASC-TimorLeste-Ilham</t>
  </si>
  <si>
    <t>ON-JasaIklan-CTWA-Isna-Ilham-TimorLeste</t>
  </si>
  <si>
    <t>ON-JasaIklan-CTWA1-Devi-Ilham</t>
  </si>
  <si>
    <t>ON-JasaIklan-CTWA-Isna-Ilham</t>
  </si>
  <si>
    <t>OFF-JasaIklan-CTWA1-yuni-Ilham - Copy</t>
  </si>
  <si>
    <t>yuni</t>
  </si>
  <si>
    <t>OFF-JasaIklan-CTWA1-Devi-Ilham</t>
  </si>
  <si>
    <t>ON-JasaIklan-CTWA1-Isna-Rudi-New</t>
  </si>
  <si>
    <t>ON-JasaIklan-CTWA1-Devi-Ilham - Copy</t>
  </si>
  <si>
    <t>OFF-JasaIklan-CTWA1-Yuni-Ilham - Copy</t>
  </si>
  <si>
    <t>ON-JasaIklan-CTWA1-Isna-Rudi-New-2</t>
  </si>
  <si>
    <t>ON-JasaIklan-CTWA1-Isna-Rudi-New-3</t>
  </si>
  <si>
    <t>ON-JasaIklan-CTWA1-Devi-Rudi-New-2</t>
  </si>
  <si>
    <t>ON-JasaIklan-CTWA1-Devi-Rudi-New-3</t>
  </si>
  <si>
    <t>ON-JasaIklan-CTWA1-Devi-Rudi-New-1</t>
  </si>
  <si>
    <t>ON-JasaIklan-CTWA1-Isna-Rudi-New-1</t>
  </si>
  <si>
    <t>ON-JasaIklan-CTWA1-Yuni-Rudi-New-2</t>
  </si>
  <si>
    <t>ON-JasaIklan-CTWA1-Yuni-Rudi-New-3</t>
  </si>
  <si>
    <t>ON-JasaIklan-CTWA1-Yuni-Rudi-New-1</t>
  </si>
  <si>
    <t>ON-JasaIklan-CTWA1-Puji-Rudi-New-1 - Copy</t>
  </si>
  <si>
    <t>ON-JasaIklan-CTWA1-Puji-Rudi-New-1</t>
  </si>
  <si>
    <t>ON-JasaIklan-CTWA1-Puji-Rudi-New-2</t>
  </si>
  <si>
    <t>ON-JasaIklan-CTWA1-Rokhma-Rudi-New-1 - Copy</t>
  </si>
  <si>
    <t>ON-JasaIklan-CTWA1-Rokhma-Rudi-New-1 - Copy 2</t>
  </si>
  <si>
    <t>ON-JasaIklan-CTWA1-Rokhma-Rudi-New-3</t>
  </si>
  <si>
    <t>ON-JasaIklan-CTWA1-Rokhma-Rudi-New-2</t>
  </si>
  <si>
    <t>ON-JasaIklan-CTWA1-Rokhma-Rudi-New-1</t>
  </si>
  <si>
    <t>ON-JasaIklan-CTWA1-Yuni-Rudi-New-4</t>
  </si>
  <si>
    <t>ON-JasaIklan-CTWA1-Yuni-Rudi-New-5</t>
  </si>
  <si>
    <t>ON-JasaIklan-CTWA1-Isna-Rudi-New-4</t>
  </si>
  <si>
    <t>ON-JasaIklan-CTWA1-Isna-Rudi-New-5</t>
  </si>
  <si>
    <t>ON-JasaIklan-CTWA-Devi-NewAds</t>
  </si>
  <si>
    <t>ON-JasaIklan-CTWA-Yuni-NewAds</t>
  </si>
  <si>
    <t>ON-JasaIklan-CTWA-Isna-NewAds</t>
  </si>
  <si>
    <t>OFF-JasaIklan-CTWA1-Rokhma-Rudi-Old-3</t>
  </si>
  <si>
    <t>OFF-JasaIklan-CTWA1-Rokhma-Rudi-Old-2</t>
  </si>
  <si>
    <t>OFF-JasaIklan-CTWA1-Rokhma-Rudi-Old-1</t>
  </si>
  <si>
    <t>ON-JasaIklan-CTWA1-Rokhma-Rudi-New-4 - Copy</t>
  </si>
  <si>
    <t>ON-JasaIklan-CTWA1-Rokhma-Rudi-New-5 - Copy</t>
  </si>
  <si>
    <t>ON-JasaIklan-CTWA1-Yuni-Rudi-New-1-Expand</t>
  </si>
  <si>
    <t>ON-JasaIklan-CTWA1-Devi-Rudi-New-1-Expand</t>
  </si>
  <si>
    <t>ON-JasaIklan-CTWA1-Isna-Rudi-New-1-Expand</t>
  </si>
  <si>
    <t>ON-JasaIklan-CTWA1-Maya-Rudi-New-1</t>
  </si>
  <si>
    <t>ON-JasaIklan-CTWA1-Maya-Rudi-New-2</t>
  </si>
  <si>
    <t>ON-JasaIklan-CTWA1-Devi-Rudi-New-4 - Copy</t>
  </si>
  <si>
    <t>ON-JasaIklan-CTWA1-Maya-Rudi-New-4 - Copy</t>
  </si>
  <si>
    <t>ON-JasaIklan-CTWA1-Maya-Rudi-Old-2</t>
  </si>
  <si>
    <t>ON-JasaIklan-CTWA1-Tika-ilham - Copy 2</t>
  </si>
  <si>
    <t>ON-JasaIklan-CTWA1-Tika-ilham - Copy</t>
  </si>
  <si>
    <t>ON-JasaIklan-CTWA1-Maya-Rudi-New-5 - Copy</t>
  </si>
  <si>
    <t>OFF-JasaIklan-CTWA1-Isna-Rudi-New-1-Expand</t>
  </si>
  <si>
    <t>OFF-JasaIklan-CTWA1-Maya-Rudi-New-4 - Copy</t>
  </si>
  <si>
    <t>OFF-JasaIklan-CTWA1-Maya-Rudi-New-5 - Copy</t>
  </si>
  <si>
    <t>OFF-JasaIklan-CTWA1-Maya-Rudi-New-1</t>
  </si>
  <si>
    <t>OFF-JasaIklan-CTWA1-Maya-Rudi-New-2</t>
  </si>
  <si>
    <t>OFF-JasaIklan-CTWA1-Isna-Rudi-New-3</t>
  </si>
  <si>
    <t>OFF-JasaIklan-CTWA1-Tika-ilham - Copy</t>
  </si>
  <si>
    <t>ON-JasaIklan-CTWA1-Yuni-Rudi-New-1 - Copy 2</t>
  </si>
  <si>
    <t>ON-JasaIklan-CTWA1-Yuni-Rudi-New-1 - Copy</t>
  </si>
  <si>
    <t>ON-JasaIklan-CTWA1-Isna-Rudi-New-3 - Copy 2</t>
  </si>
  <si>
    <t>ON-JasaIklan-CTWA1-Isna-Rudi-New-3 - Copy</t>
  </si>
  <si>
    <t>ON-JasaIklan-CTWA1-Maya-Baru2</t>
  </si>
  <si>
    <t>ON-JasaIklan-CTWA1-Maya-Baru3</t>
  </si>
  <si>
    <t>ON-JasaIklan-CTWA1-Maya-Baru5</t>
  </si>
  <si>
    <t>ON-JasaIklan-CTWA1-Maya-Baru4</t>
  </si>
  <si>
    <t>ON-JasaIklan-CTWA1-Maya-Baru1</t>
  </si>
  <si>
    <t>ON-JasaIklan-CTWA1-Tika-Baru5</t>
  </si>
  <si>
    <t>ON-JasaIklan-CTWA1-Tika-Baru3</t>
  </si>
  <si>
    <t>ON-JasaIklan-CTWA1-Tika-Baru4</t>
  </si>
  <si>
    <t>ON-JasaIklan-CTWA1-Tika-Baru2</t>
  </si>
  <si>
    <t>ON-JasaIklan-CTWA1-Yuni-Baru3</t>
  </si>
  <si>
    <t>ON-JasaIklan-CTWA1-Yuni-Baru4</t>
  </si>
  <si>
    <t>ON-JasaIklan-CTWA1-Yuni-Baru2</t>
  </si>
  <si>
    <t>ON-JasaIklan-CTWA1-Yuni-Baru5</t>
  </si>
  <si>
    <t>ON-JasaIklan-CTWA1-Yuni-Baru1</t>
  </si>
  <si>
    <t>ON-JasaIklan-CTWA1-Isna-Baru1</t>
  </si>
  <si>
    <t>ON-JasaIklan-CTWA1-Isna-Winning1</t>
  </si>
  <si>
    <t>ON-JasaIklan-CTWA1-Isna-Baru2</t>
  </si>
  <si>
    <t>ON-JasaIklan-CTWA1-Tika-Baru1</t>
  </si>
  <si>
    <t>ON-JasaIklan-CTWA1-Maya-Lama2</t>
  </si>
  <si>
    <t>ON-JasaIklan-CTWA1-Maya-Lama1</t>
  </si>
  <si>
    <t>TESTING-JasaIklan-CTWA1-Isna-Sora</t>
  </si>
  <si>
    <t>OFF-JasaIklan-CTWA1-Tika-Baru5</t>
  </si>
  <si>
    <t>OFF-JasaIklan-CTWA1-Tika-Baru3</t>
  </si>
  <si>
    <t>OFF-JasaIklan-CTWA1-Tika-Baru4</t>
  </si>
  <si>
    <t>OFF-JasaIklan-CTWA1-Tika-Baru2</t>
  </si>
  <si>
    <t>OFF-JasaIklan-CTWA1-Yuni-Baru4</t>
  </si>
  <si>
    <t>OFF-JasaIklan-CTWA1-Yuni-Baru2</t>
  </si>
  <si>
    <t>OFF-JasaIklan-CTWA1-Yuni-Baru5</t>
  </si>
  <si>
    <t>OFF-JasaIklan-CTWA1-Yuni-Baru1</t>
  </si>
  <si>
    <t>ON-JasaIklan-CTWA1- Isna-18/8</t>
  </si>
  <si>
    <t>OFF-JasaIklan-CTWA1-Yuni-Baru3</t>
  </si>
  <si>
    <t>OFF-JasaIklan-CTWA1-Tika-Baru1</t>
  </si>
  <si>
    <t>ON-JasaIklan-CTWA1- Isna-3-19/8</t>
  </si>
  <si>
    <t>ON-JasaIklan-CTWA1- Isna-2-19/8</t>
  </si>
  <si>
    <t>ON-JasaIklan-CTWA1- Isna-1-18/8</t>
  </si>
  <si>
    <t>OFF-JasaIklan-CTWA1-Maya-Baru2</t>
  </si>
  <si>
    <t>OFF-JasaIklan-CTWA1-Maya-Baru3</t>
  </si>
  <si>
    <t>OFF-JasaIklan-CTWA1-Maya-Baru5</t>
  </si>
  <si>
    <t>OFF-JasaIklan-CTWA1-Maya-Baru4</t>
  </si>
  <si>
    <t>OFF-JasaIklan-CTWA1-Maya-Baru1</t>
  </si>
  <si>
    <t>OFF-JasaIklan-CTWA1-Isna-Baru1</t>
  </si>
  <si>
    <t>OFF-JasaIklan-CTWA1-Isna-Winning1</t>
  </si>
  <si>
    <t>ON-JasaIklan-CTWA1- YUNI-23/08</t>
  </si>
  <si>
    <t>ON-JasaIklan-CTWA1- Isna-1-18/8 - Copy</t>
  </si>
  <si>
    <t>ON-JasaIklan-CTWA1- Isna-1-18/8 - Copy 2</t>
  </si>
  <si>
    <t>ON-JasaIklan-CTWA1- YUNI-24/08 - Copy</t>
  </si>
  <si>
    <t>ON-JasaIklan-CTWA1-Tika-27/8</t>
  </si>
  <si>
    <t>OFF-JasaIklan-CTWA1- Isna-1-18/8 - Copy</t>
  </si>
  <si>
    <t>OFF-JasaIklan-CTWA1- Isna-3-19/8</t>
  </si>
  <si>
    <t>ON-JasaIklan-CTWA1- TIKA-01/09 - 2</t>
  </si>
  <si>
    <t>ON-JasaIklan-CTWA1- TIKA-01/09 - Copy</t>
  </si>
  <si>
    <t>ON-JasaIklan-CTWA1- TIKA-01/09</t>
  </si>
  <si>
    <t>ON-JasaIklan-CTWA1- ISNA-0209 - 3</t>
  </si>
  <si>
    <t>ON-JasaIklan-CTWA1- ISNA-0209 - 2</t>
  </si>
  <si>
    <t>ON-JasaIklan-CTWA1- ISNA-0209</t>
  </si>
  <si>
    <t>ON-JasaIklan-CTWA1- RINA-0609 - 2</t>
  </si>
  <si>
    <t>ON-JasaIklan-CTWA1- RINA-0609</t>
  </si>
  <si>
    <t>ON-JasaIklan-CTWATRAVEL-ISNA-1409 - 3</t>
  </si>
  <si>
    <t>ON-JasaIklan-CTWATRAVEL-ISNA-1409 - 2</t>
  </si>
  <si>
    <t>ON-JasaIklan-CTWATRAVEL-ISNA-1409</t>
  </si>
  <si>
    <t>NyalaDigital - Leads Whatsapp</t>
  </si>
  <si>
    <t>ON-JasaIklan-ctwatravel-RINA-1709 3</t>
  </si>
  <si>
    <t>ON-RINA-KONTRAKTOR-jasaiklan UMKM-1709 - 2</t>
  </si>
  <si>
    <t>ON-RINA-KONTRAKTOR-jasaiklan UMKM-1709</t>
  </si>
  <si>
    <t>ON-JasaIklan-ctwatravel-RINA-1709 2</t>
  </si>
  <si>
    <t>ON-JasaIklan-ctwatravel-RINA-1709 1</t>
  </si>
  <si>
    <t>OFF-JasaIklan-CTWA1- TIKA-01/09 - Copy</t>
  </si>
  <si>
    <t>NyalaDigital - Leads Whatsapp - Jeff</t>
  </si>
  <si>
    <t>ON-JasaIklan-CTWA1- RINA-0609 - 2 - Copy</t>
  </si>
  <si>
    <t>ON-NYALA-CTWA1-30/09/25-ilham - 3</t>
  </si>
  <si>
    <t>ON-NYALA-CTWA1-30/09/25-ilham - 2</t>
  </si>
  <si>
    <t>ON-NYALA-CTWA1-30/09/25-ilham</t>
  </si>
  <si>
    <t>ON-NYALA-CTWA-0210-ilham 2 - Copy</t>
  </si>
  <si>
    <t>ON-NYALA-CTWA-0210-ilham 2</t>
  </si>
  <si>
    <t>ON-NYALA-CTWA-0210-ilham 1</t>
  </si>
  <si>
    <t>ON-NYALA-CTWA-0810 - Copy</t>
  </si>
  <si>
    <t>ON-NYALA-CTWA-0810 - 2</t>
  </si>
  <si>
    <t>ON-NYALA-CTWA-0810</t>
  </si>
  <si>
    <t>ON-NYALA-CTWA-0810-ilham 1</t>
  </si>
  <si>
    <t>ON-NYALA-CTWA-0910</t>
  </si>
  <si>
    <t>ON-NYALA-CTWA-0810 - 2 - duplikat</t>
  </si>
  <si>
    <t>ON-NYALA-CTWA-0210-ilham 1 - duplikat</t>
  </si>
  <si>
    <t>ON-NYALA-CTWA-1410 - TIGA</t>
  </si>
  <si>
    <t>ON-NYALA-CTWA-1410 - DUA</t>
  </si>
  <si>
    <t>ON-NYALA-CTWA-1410 - SATU</t>
  </si>
  <si>
    <t>ON-NYALA-CTWA-1610 - SATU</t>
  </si>
  <si>
    <t>ON-NYALA-CTWA-1610 - SATU - 3</t>
  </si>
  <si>
    <t>ON-NYALA-CTWA-1610 - SATU - 2</t>
  </si>
  <si>
    <t>ON-NYALA-CTWA-2410-2</t>
  </si>
  <si>
    <t>ON-NYALA-CTWA-2410-1</t>
  </si>
  <si>
    <t>ON-NYALA-CTWA-2410 - WIN2</t>
  </si>
  <si>
    <t>ON-NYALA-CTWA-2410 - WIN1</t>
  </si>
  <si>
    <t>ON-NYALA-CTWA-1610 - WIN3</t>
  </si>
  <si>
    <t>ON-NYALA-CTWA-1610 - WIN2</t>
  </si>
  <si>
    <t>ON-NYALA-CTWA-1610 - WIN1</t>
  </si>
  <si>
    <t>ON-NYALA-CTWA-2710-ABO-2</t>
  </si>
  <si>
    <t>ON-NYALA-CTWA-2710-ABO-1</t>
  </si>
  <si>
    <t>ON CTWA-3110 - 2</t>
  </si>
  <si>
    <t>ON CTWA-3110</t>
  </si>
  <si>
    <t>ON CTWA-3110 - 2 - TIMOR LESTE - 2</t>
  </si>
  <si>
    <t>ON CTWA-3110 - 2 - TIMOR LESTE</t>
  </si>
  <si>
    <t>ON CTWA-0411</t>
  </si>
  <si>
    <t>ON-CTWA-0511- ADV 2</t>
  </si>
  <si>
    <t>ON-CTWA-0511- ADV 3</t>
  </si>
  <si>
    <t>ON-CTWA-0511- ADV 1</t>
  </si>
  <si>
    <t>ON-NYALA-1011-2</t>
  </si>
  <si>
    <t>ON-NYALA-1011-1</t>
  </si>
  <si>
    <t>ON-NYALA-1011-1 - Copy</t>
  </si>
  <si>
    <t>ON-NYALA-1911-ilham - 2</t>
  </si>
  <si>
    <t>ON-NYALA-1911-ilham</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</si>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</sst>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d&quot;-&quot;mmm&quot;-&quot;yyyy"/>
    <numFmt numFmtId="165" formatCode="[$Rp]#,##0"/>
    <numFmt numFmtId="166" formatCode="d\-mmmm\-yyyy"/>
    <numFmt numFmtId="167" formatCode="d\-mmm\-yyyy"/>
    <numFmt numFmtId="168" formatCode="[$Rp]#,##0.000"/>
    <numFmt numFmtId="169" formatCode="dd\-mmm\-yyyy"/>
    <numFmt numFmtId="170" formatCode="mm/dd/yyyy"/>
    <numFmt numFmtId="171" formatCode="d\-mmm\-yy"/>
    <numFmt numFmtId="172" formatCode="yyyy\-mm\-dd"/>
    <numFmt numFmtId="173" formatCode="m/d/yyyy\ h:mm:ss"/>
    <numFmt numFmtId="174" formatCode="d\ mmm\ yyyy"/>
    <numFmt numFmtId="175" formatCode="yyyy&quot;-&quot;mm&quot;-&quot;dd"/>
    <numFmt numFmtId="176" formatCode="mm\-dd\-yyyy"/>
    <numFmt numFmtId="177" formatCode="m\-d\-yyyy"/>
    <numFmt numFmtId="178" formatCode="mmmm\-yyyy"/>
    <numFmt numFmtId="179" formatCode="mmm\-yyyy"/>
    <numFmt numFmtId="180" formatCode="m/d/yyyy"/>
  </numFmts>
  <fonts count="31">
    <font>
      <sz val="10"/>
      <color rgb="FF000000"/>
      <name val="Arial"/>
      <scheme val="minor"/>
    </font>
    <font>
      <b/>
      <sz val="10"/>
      <color theme="1"/>
      <name val="Arial"/>
    </font>
    <font>
      <sz val="10"/>
      <color theme="1"/>
      <name val="Arial"/>
    </font>
    <font>
      <u/>
      <sz val="10"/>
      <color rgb="FF0000FF"/>
      <name val="Arial"/>
    </font>
    <font>
      <sz val="10"/>
      <color rgb="FF434343"/>
      <name val="Arial"/>
    </font>
    <font>
      <sz val="10"/>
      <color theme="1"/>
      <name val="Arial"/>
      <scheme val="minor"/>
    </font>
    <font>
      <sz val="12"/>
      <color rgb="FF434343"/>
      <name val="Arial"/>
    </font>
    <font>
      <u/>
      <sz val="10"/>
      <color rgb="FF0000FF"/>
      <name val="Arial"/>
    </font>
    <font>
      <sz val="10"/>
      <color theme="1"/>
      <name val="Arial"/>
      <scheme val="minor"/>
    </font>
    <font>
      <sz val="9"/>
      <color theme="1"/>
      <name val="Arial"/>
      <scheme val="minor"/>
    </font>
    <font>
      <u/>
      <sz val="10"/>
      <color rgb="FF434343"/>
      <name val="Arial"/>
    </font>
    <font>
      <u/>
      <sz val="10"/>
      <color rgb="FF434343"/>
      <name val="Arial"/>
    </font>
    <font>
      <u/>
      <sz val="10"/>
      <color rgb="FF434343"/>
      <name val="Arial"/>
    </font>
    <font>
      <sz val="10"/>
      <color rgb="FF434343"/>
      <name val="Arial"/>
    </font>
    <font>
      <u/>
      <sz val="10"/>
      <color rgb="FF0000FF"/>
      <name val="Roboto"/>
    </font>
    <font>
      <u/>
      <sz val="10"/>
      <color rgb="FF0000FF"/>
      <name val="Arial"/>
    </font>
    <font>
      <b/>
      <sz val="9"/>
      <color rgb="FFFFFFFF"/>
      <name val="Arial"/>
      <scheme val="minor"/>
    </font>
    <font>
      <b/>
      <sz val="9"/>
      <color rgb="FFFFFFFF"/>
      <name val="Arial"/>
    </font>
    <font>
      <b/>
      <sz val="10"/>
      <color rgb="FFFFFFFF"/>
      <name val="Arial"/>
      <scheme val="minor"/>
    </font>
    <font>
      <sz val="9"/>
      <color theme="1"/>
      <name val="Arial"/>
    </font>
    <font>
      <u/>
      <sz val="9"/>
      <color rgb="FF0000FF"/>
      <name val="Arial"/>
    </font>
    <font>
      <u/>
      <sz val="9"/>
      <color rgb="FF0000FF"/>
      <name val="Arial"/>
    </font>
    <font>
      <u/>
      <sz val="9"/>
      <color rgb="FF0000FF"/>
      <name val="Arial"/>
    </font>
    <font>
      <u/>
      <sz val="9"/>
      <color rgb="FF0000FF"/>
      <name val="Arial"/>
    </font>
    <font>
      <u/>
      <sz val="10"/>
      <color rgb="FF0000FF"/>
      <name val="Arial"/>
    </font>
    <font>
      <u/>
      <sz val="10"/>
      <color rgb="FF0000FF"/>
      <name val="Arial"/>
    </font>
    <font>
      <u/>
      <sz val="10"/>
      <color rgb="FF0000FF"/>
      <name val="Arial"/>
    </font>
    <font>
      <sz val="12"/>
      <color theme="1"/>
      <name val="Arial"/>
      <scheme val="minor"/>
    </font>
    <font>
      <b/>
      <sz val="12"/>
      <color theme="1"/>
      <name val="Arial"/>
      <scheme val="minor"/>
    </font>
    <font>
      <sz val="12"/>
      <color rgb="FF1C2B33"/>
      <name val="&quot;Optimistic Display&quot;"/>
    </font>
    <font>
      <b/>
      <sz val="11"/>
      <color rgb="FF1C2B33"/>
      <name val="&quot;Optimistic Display&quot;"/>
    </font>
  </fonts>
  <fills count="6">
    <fill>
      <patternFill patternType="none"/>
    </fill>
    <fill>
      <patternFill patternType="gray125"/>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5">
    <xf numFmtId="0" fontId="0" fillId="0" borderId="0" xfId="0" applyFont="1" applyAlignment="1"/>
    <xf numFmtId="0" fontId="1" fillId="0" borderId="0" xfId="0" applyFont="1" applyAlignment="1">
      <alignment horizontal="center"/>
    </xf>
    <xf numFmtId="0" fontId="1" fillId="0" borderId="0" xfId="0" applyFont="1" applyAlignment="1">
      <alignment horizontal="center"/>
    </xf>
    <xf numFmtId="49" fontId="1" fillId="0" borderId="0" xfId="0" applyNumberFormat="1" applyFont="1" applyAlignment="1">
      <alignment horizontal="center"/>
    </xf>
    <xf numFmtId="164" fontId="1" fillId="0" borderId="0" xfId="0" applyNumberFormat="1" applyFont="1" applyAlignment="1">
      <alignment horizontal="center"/>
    </xf>
    <xf numFmtId="49" fontId="1" fillId="0" borderId="0" xfId="0" applyNumberFormat="1" applyFont="1" applyAlignment="1">
      <alignment horizontal="center"/>
    </xf>
    <xf numFmtId="165" fontId="1" fillId="0" borderId="0" xfId="0" applyNumberFormat="1" applyFont="1" applyAlignment="1">
      <alignment horizontal="right"/>
    </xf>
    <xf numFmtId="164" fontId="1"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xf>
    <xf numFmtId="49" fontId="2" fillId="0" borderId="0" xfId="0" applyNumberFormat="1" applyFont="1" applyAlignment="1">
      <alignment horizontal="center"/>
    </xf>
    <xf numFmtId="164" fontId="2" fillId="0" borderId="0" xfId="0" applyNumberFormat="1" applyFont="1" applyAlignment="1">
      <alignment horizontal="center"/>
    </xf>
    <xf numFmtId="49" fontId="2" fillId="0" borderId="0" xfId="0" applyNumberFormat="1" applyFont="1" applyAlignment="1">
      <alignment horizontal="left"/>
    </xf>
    <xf numFmtId="0" fontId="2" fillId="0" borderId="0" xfId="0" applyFont="1" applyAlignment="1">
      <alignment horizontal="center"/>
    </xf>
    <xf numFmtId="0" fontId="2" fillId="0" borderId="0" xfId="0" applyFont="1" applyAlignment="1">
      <alignment horizontal="center"/>
    </xf>
    <xf numFmtId="165" fontId="2" fillId="0" borderId="0" xfId="0" applyNumberFormat="1" applyFont="1" applyAlignment="1">
      <alignment horizontal="right"/>
    </xf>
    <xf numFmtId="0" fontId="2" fillId="0" borderId="0" xfId="0" applyFont="1" applyAlignment="1"/>
    <xf numFmtId="164" fontId="2" fillId="0" borderId="0" xfId="0" applyNumberFormat="1" applyFont="1" applyAlignment="1"/>
    <xf numFmtId="0" fontId="2" fillId="0" borderId="0" xfId="0" applyFont="1" applyAlignment="1"/>
    <xf numFmtId="0" fontId="2" fillId="0" borderId="0" xfId="0" applyFont="1" applyAlignment="1"/>
    <xf numFmtId="164" fontId="2" fillId="0" borderId="0" xfId="0" applyNumberFormat="1" applyFont="1" applyAlignment="1"/>
    <xf numFmtId="166" fontId="2" fillId="0" borderId="0" xfId="0" applyNumberFormat="1" applyFont="1" applyAlignment="1">
      <alignment horizontal="center"/>
    </xf>
    <xf numFmtId="0" fontId="3" fillId="0" borderId="0" xfId="0" applyFont="1" applyAlignment="1"/>
    <xf numFmtId="0" fontId="4" fillId="0" borderId="0" xfId="0" applyFont="1" applyAlignment="1"/>
    <xf numFmtId="164" fontId="4" fillId="0" borderId="0" xfId="0" applyNumberFormat="1" applyFont="1" applyAlignment="1"/>
    <xf numFmtId="49" fontId="2" fillId="0" borderId="0" xfId="0" quotePrefix="1" applyNumberFormat="1" applyFont="1" applyAlignment="1">
      <alignment horizontal="left"/>
    </xf>
    <xf numFmtId="0" fontId="4" fillId="0" borderId="0" xfId="0" applyFont="1" applyAlignment="1"/>
    <xf numFmtId="0" fontId="5" fillId="0" borderId="0" xfId="0" applyFont="1" applyAlignment="1"/>
    <xf numFmtId="164" fontId="5" fillId="0" borderId="0" xfId="0" applyNumberFormat="1" applyFont="1" applyAlignment="1"/>
    <xf numFmtId="167" fontId="2" fillId="0" borderId="0" xfId="0" applyNumberFormat="1" applyFont="1" applyAlignment="1">
      <alignment horizontal="center"/>
    </xf>
    <xf numFmtId="168" fontId="2" fillId="0" borderId="0" xfId="0" applyNumberFormat="1" applyFont="1" applyAlignment="1">
      <alignment horizontal="right"/>
    </xf>
    <xf numFmtId="0" fontId="4" fillId="0" borderId="0" xfId="0" applyFont="1" applyAlignment="1">
      <alignment horizontal="left"/>
    </xf>
    <xf numFmtId="0" fontId="4" fillId="0" borderId="0" xfId="0" applyFont="1" applyAlignment="1">
      <alignment horizontal="center"/>
    </xf>
    <xf numFmtId="49" fontId="4" fillId="0" borderId="0" xfId="0" applyNumberFormat="1" applyFont="1" applyAlignment="1">
      <alignment horizontal="center"/>
    </xf>
    <xf numFmtId="164" fontId="4" fillId="0" borderId="0" xfId="0" applyNumberFormat="1" applyFont="1" applyAlignment="1">
      <alignment horizontal="center"/>
    </xf>
    <xf numFmtId="49" fontId="4" fillId="0" borderId="0" xfId="0" applyNumberFormat="1" applyFont="1" applyAlignment="1">
      <alignment horizontal="left"/>
    </xf>
    <xf numFmtId="0" fontId="4" fillId="0" borderId="0" xfId="0" applyFont="1" applyAlignment="1">
      <alignment horizontal="center"/>
    </xf>
    <xf numFmtId="0" fontId="4" fillId="0" borderId="0" xfId="0" applyFont="1" applyAlignment="1">
      <alignment horizontal="center"/>
    </xf>
    <xf numFmtId="165" fontId="4" fillId="0" borderId="0" xfId="0" applyNumberFormat="1" applyFont="1" applyAlignment="1">
      <alignment horizontal="right"/>
    </xf>
    <xf numFmtId="0" fontId="4" fillId="0" borderId="0" xfId="0" applyFont="1" applyAlignment="1"/>
    <xf numFmtId="164" fontId="4" fillId="0" borderId="0" xfId="0" applyNumberFormat="1" applyFont="1" applyAlignment="1"/>
    <xf numFmtId="0" fontId="4" fillId="0" borderId="0" xfId="0" applyFont="1" applyAlignment="1"/>
    <xf numFmtId="167" fontId="4" fillId="0" borderId="0" xfId="0" applyNumberFormat="1" applyFont="1" applyAlignment="1">
      <alignment horizontal="center"/>
    </xf>
    <xf numFmtId="169" fontId="4" fillId="0" borderId="0" xfId="0" applyNumberFormat="1" applyFont="1" applyAlignment="1">
      <alignment horizontal="center"/>
    </xf>
    <xf numFmtId="164" fontId="4" fillId="0" borderId="0" xfId="0" applyNumberFormat="1" applyFont="1" applyAlignment="1"/>
    <xf numFmtId="0" fontId="6" fillId="0" borderId="0" xfId="0" applyFont="1" applyAlignment="1">
      <alignment horizontal="left"/>
    </xf>
    <xf numFmtId="164" fontId="4" fillId="0" borderId="0" xfId="0" applyNumberFormat="1" applyFont="1" applyAlignment="1"/>
    <xf numFmtId="0" fontId="7" fillId="0" borderId="0" xfId="0" applyFont="1" applyAlignment="1"/>
    <xf numFmtId="0" fontId="8" fillId="0" borderId="0" xfId="0" applyFont="1" applyAlignment="1"/>
    <xf numFmtId="0" fontId="9" fillId="0" borderId="0" xfId="0" applyFont="1"/>
    <xf numFmtId="164" fontId="9" fillId="0" borderId="0" xfId="0" applyNumberFormat="1" applyFont="1"/>
    <xf numFmtId="0" fontId="4" fillId="0" borderId="0" xfId="0" applyFont="1" applyAlignment="1">
      <alignment horizontal="left" wrapText="1"/>
    </xf>
    <xf numFmtId="164" fontId="10" fillId="0" borderId="0" xfId="0" applyNumberFormat="1" applyFont="1" applyAlignment="1">
      <alignment horizontal="center"/>
    </xf>
    <xf numFmtId="0" fontId="11" fillId="0" borderId="0" xfId="0" applyFont="1" applyAlignment="1">
      <alignment horizontal="left"/>
    </xf>
    <xf numFmtId="0" fontId="12" fillId="0" borderId="0" xfId="0" applyFont="1" applyAlignment="1"/>
    <xf numFmtId="170" fontId="4" fillId="0" borderId="0" xfId="0" applyNumberFormat="1" applyFont="1" applyAlignment="1">
      <alignment horizontal="center"/>
    </xf>
    <xf numFmtId="171" fontId="5" fillId="0" borderId="0" xfId="0" applyNumberFormat="1" applyFont="1" applyAlignment="1"/>
    <xf numFmtId="166" fontId="4" fillId="0" borderId="0" xfId="0" applyNumberFormat="1" applyFont="1" applyAlignment="1">
      <alignment horizontal="center"/>
    </xf>
    <xf numFmtId="172" fontId="4" fillId="0" borderId="0" xfId="0" applyNumberFormat="1" applyFont="1" applyAlignment="1">
      <alignment horizontal="center"/>
    </xf>
    <xf numFmtId="0" fontId="4" fillId="0" borderId="0" xfId="0" applyFont="1" applyAlignment="1">
      <alignment horizontal="right"/>
    </xf>
    <xf numFmtId="173" fontId="4" fillId="0" borderId="0" xfId="0" applyNumberFormat="1" applyFont="1" applyAlignment="1"/>
    <xf numFmtId="164" fontId="2" fillId="0" borderId="0" xfId="0" applyNumberFormat="1" applyFont="1" applyAlignment="1"/>
    <xf numFmtId="14" fontId="4" fillId="0" borderId="0" xfId="0" applyNumberFormat="1" applyFont="1" applyAlignment="1">
      <alignment horizontal="center"/>
    </xf>
    <xf numFmtId="164" fontId="13" fillId="0" borderId="0" xfId="0" applyNumberFormat="1" applyFont="1" applyAlignment="1">
      <alignment horizontal="center"/>
    </xf>
    <xf numFmtId="164" fontId="13" fillId="0" borderId="0" xfId="0" applyNumberFormat="1" applyFont="1" applyAlignment="1">
      <alignment horizontal="center"/>
    </xf>
    <xf numFmtId="173" fontId="8" fillId="0" borderId="0" xfId="0" applyNumberFormat="1" applyFont="1" applyAlignment="1"/>
    <xf numFmtId="174" fontId="8" fillId="0" borderId="0" xfId="0" applyNumberFormat="1" applyFont="1" applyAlignment="1"/>
    <xf numFmtId="0" fontId="8" fillId="0" borderId="0" xfId="0" applyFont="1" applyAlignment="1"/>
    <xf numFmtId="0" fontId="8" fillId="0" borderId="0" xfId="0" applyFont="1" applyAlignment="1">
      <alignment horizontal="left" vertical="center"/>
    </xf>
    <xf numFmtId="3" fontId="8" fillId="0" borderId="0" xfId="0" applyNumberFormat="1" applyFont="1" applyAlignment="1">
      <alignment horizontal="left" vertical="center"/>
    </xf>
    <xf numFmtId="1" fontId="8" fillId="0" borderId="0" xfId="0" applyNumberFormat="1" applyFont="1" applyAlignment="1">
      <alignment horizontal="left" vertical="center"/>
    </xf>
    <xf numFmtId="3" fontId="8" fillId="0" borderId="0" xfId="0" applyNumberFormat="1" applyFont="1" applyAlignment="1">
      <alignment horizontal="right" vertical="center"/>
    </xf>
    <xf numFmtId="165" fontId="8" fillId="0" borderId="0" xfId="0" applyNumberFormat="1"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xf>
    <xf numFmtId="175" fontId="8" fillId="0" borderId="0" xfId="0" applyNumberFormat="1" applyFont="1" applyAlignment="1">
      <alignment vertical="center"/>
    </xf>
    <xf numFmtId="3" fontId="8" fillId="0" borderId="0" xfId="0" applyNumberFormat="1" applyFont="1" applyAlignment="1">
      <alignment vertical="center"/>
    </xf>
    <xf numFmtId="1" fontId="8" fillId="0" borderId="0" xfId="0" applyNumberFormat="1" applyFont="1" applyAlignment="1">
      <alignment vertical="center"/>
    </xf>
    <xf numFmtId="165" fontId="8" fillId="0" borderId="0" xfId="0" applyNumberFormat="1" applyFont="1" applyAlignment="1">
      <alignment vertical="center"/>
    </xf>
    <xf numFmtId="0" fontId="8" fillId="0" borderId="0" xfId="0" applyFont="1" applyAlignment="1">
      <alignment vertical="center"/>
    </xf>
    <xf numFmtId="164" fontId="8" fillId="0" borderId="0" xfId="0" applyNumberFormat="1" applyFont="1" applyAlignment="1">
      <alignment vertical="center"/>
    </xf>
    <xf numFmtId="172" fontId="8" fillId="0" borderId="0" xfId="0" applyNumberFormat="1" applyFont="1" applyAlignment="1">
      <alignment vertical="center"/>
    </xf>
    <xf numFmtId="0" fontId="8" fillId="0" borderId="0" xfId="0" applyFont="1" applyAlignment="1">
      <alignment vertical="center"/>
    </xf>
    <xf numFmtId="172" fontId="8" fillId="0" borderId="0" xfId="0" applyNumberFormat="1" applyFont="1" applyAlignment="1">
      <alignment vertical="center"/>
    </xf>
    <xf numFmtId="3" fontId="8" fillId="0" borderId="0" xfId="0" applyNumberFormat="1" applyFont="1" applyAlignment="1">
      <alignment vertical="center"/>
    </xf>
    <xf numFmtId="1" fontId="8" fillId="0" borderId="0" xfId="0" applyNumberFormat="1" applyFont="1" applyAlignment="1">
      <alignment vertical="center"/>
    </xf>
    <xf numFmtId="3" fontId="8" fillId="0" borderId="0" xfId="0" applyNumberFormat="1" applyFont="1" applyAlignment="1">
      <alignment horizontal="right" vertical="center"/>
    </xf>
    <xf numFmtId="165" fontId="8" fillId="0" borderId="0" xfId="0" applyNumberFormat="1" applyFont="1" applyAlignment="1">
      <alignment vertical="center"/>
    </xf>
    <xf numFmtId="0" fontId="14" fillId="0" borderId="0" xfId="0" applyFont="1" applyAlignment="1">
      <alignment vertical="center"/>
    </xf>
    <xf numFmtId="167" fontId="8" fillId="0" borderId="0" xfId="0" applyNumberFormat="1" applyFont="1" applyAlignment="1">
      <alignment vertical="center"/>
    </xf>
    <xf numFmtId="164" fontId="8" fillId="0" borderId="0" xfId="0" applyNumberFormat="1" applyFont="1" applyAlignment="1">
      <alignment vertical="center"/>
    </xf>
    <xf numFmtId="169" fontId="8" fillId="0" borderId="0" xfId="0" applyNumberFormat="1" applyFont="1" applyAlignment="1">
      <alignment vertical="center"/>
    </xf>
    <xf numFmtId="0" fontId="8" fillId="0" borderId="0" xfId="0" applyFont="1" applyAlignment="1"/>
    <xf numFmtId="172" fontId="8" fillId="0" borderId="0" xfId="0" applyNumberFormat="1" applyFont="1" applyAlignment="1"/>
    <xf numFmtId="3" fontId="8" fillId="0" borderId="0" xfId="0" applyNumberFormat="1" applyFont="1" applyAlignment="1"/>
    <xf numFmtId="3" fontId="8" fillId="0" borderId="0" xfId="0" applyNumberFormat="1" applyFont="1"/>
    <xf numFmtId="0" fontId="15" fillId="0" borderId="0" xfId="0" applyFont="1"/>
    <xf numFmtId="1" fontId="8" fillId="0" borderId="0" xfId="0" applyNumberFormat="1" applyFont="1" applyAlignment="1"/>
    <xf numFmtId="3" fontId="8" fillId="0" borderId="0" xfId="0" applyNumberFormat="1" applyFont="1" applyAlignment="1">
      <alignment horizontal="right"/>
    </xf>
    <xf numFmtId="165" fontId="8" fillId="0" borderId="0" xfId="0" applyNumberFormat="1" applyFont="1" applyAlignment="1"/>
    <xf numFmtId="165" fontId="8" fillId="0" borderId="0" xfId="0" applyNumberFormat="1" applyFont="1"/>
    <xf numFmtId="176" fontId="8" fillId="0" borderId="1" xfId="0" applyNumberFormat="1" applyFont="1" applyBorder="1" applyAlignment="1"/>
    <xf numFmtId="0" fontId="8" fillId="0" borderId="1" xfId="0" applyFont="1" applyBorder="1" applyAlignment="1"/>
    <xf numFmtId="9" fontId="8" fillId="0" borderId="1" xfId="0" applyNumberFormat="1" applyFont="1" applyBorder="1" applyAlignment="1"/>
    <xf numFmtId="0" fontId="8" fillId="0" borderId="1" xfId="0" applyFont="1" applyBorder="1" applyAlignment="1"/>
    <xf numFmtId="177" fontId="8" fillId="0" borderId="1" xfId="0" applyNumberFormat="1" applyFont="1" applyBorder="1" applyAlignment="1"/>
    <xf numFmtId="0" fontId="16" fillId="0" borderId="0" xfId="0" applyFont="1" applyAlignment="1">
      <alignment horizontal="center"/>
    </xf>
    <xf numFmtId="0" fontId="17" fillId="0" borderId="0" xfId="0" applyFont="1" applyAlignment="1">
      <alignment horizontal="center"/>
    </xf>
    <xf numFmtId="3" fontId="17" fillId="0" borderId="0" xfId="0" applyNumberFormat="1" applyFont="1" applyAlignment="1">
      <alignment horizontal="center"/>
    </xf>
    <xf numFmtId="3" fontId="16" fillId="0" borderId="0" xfId="0" applyNumberFormat="1" applyFont="1" applyAlignment="1">
      <alignment horizontal="center"/>
    </xf>
    <xf numFmtId="165" fontId="16" fillId="0" borderId="0" xfId="0" applyNumberFormat="1" applyFont="1" applyAlignment="1">
      <alignment horizontal="center"/>
    </xf>
    <xf numFmtId="4" fontId="16" fillId="0" borderId="0" xfId="0" applyNumberFormat="1" applyFont="1" applyAlignment="1">
      <alignment horizontal="center"/>
    </xf>
    <xf numFmtId="1" fontId="16" fillId="0" borderId="0" xfId="0" applyNumberFormat="1" applyFont="1" applyAlignment="1">
      <alignment horizontal="center"/>
    </xf>
    <xf numFmtId="0" fontId="16" fillId="0" borderId="0" xfId="0" applyFont="1" applyAlignment="1">
      <alignment horizontal="center"/>
    </xf>
    <xf numFmtId="0" fontId="18" fillId="0" borderId="0" xfId="0" applyFont="1" applyAlignment="1">
      <alignment horizontal="center"/>
    </xf>
    <xf numFmtId="0" fontId="9" fillId="0" borderId="0" xfId="0" applyFont="1"/>
    <xf numFmtId="0" fontId="19" fillId="0" borderId="0" xfId="0" applyFont="1"/>
    <xf numFmtId="3" fontId="20" fillId="0" borderId="0" xfId="0" applyNumberFormat="1" applyFont="1"/>
    <xf numFmtId="3" fontId="19" fillId="0" borderId="0" xfId="0" applyNumberFormat="1" applyFont="1"/>
    <xf numFmtId="3" fontId="9" fillId="0" borderId="0" xfId="0" applyNumberFormat="1" applyFont="1"/>
    <xf numFmtId="165" fontId="9" fillId="0" borderId="0" xfId="0" applyNumberFormat="1" applyFont="1"/>
    <xf numFmtId="4" fontId="9" fillId="0" borderId="0" xfId="0" applyNumberFormat="1" applyFont="1"/>
    <xf numFmtId="1" fontId="9" fillId="0" borderId="0" xfId="0" applyNumberFormat="1" applyFont="1"/>
    <xf numFmtId="0" fontId="21" fillId="0" borderId="0" xfId="0" applyFont="1"/>
    <xf numFmtId="0" fontId="5" fillId="0" borderId="0" xfId="0" applyFont="1"/>
    <xf numFmtId="0" fontId="5" fillId="0" borderId="0" xfId="0" applyFont="1" applyAlignment="1"/>
    <xf numFmtId="0" fontId="5" fillId="2" borderId="0" xfId="0" applyFont="1" applyFill="1"/>
    <xf numFmtId="0" fontId="5" fillId="3" borderId="0" xfId="0" applyFont="1" applyFill="1"/>
    <xf numFmtId="0" fontId="5" fillId="4" borderId="0" xfId="0" applyFont="1" applyFill="1"/>
    <xf numFmtId="3" fontId="22" fillId="0" borderId="0" xfId="0" applyNumberFormat="1" applyFont="1"/>
    <xf numFmtId="3" fontId="9" fillId="0" borderId="0" xfId="0" applyNumberFormat="1" applyFont="1"/>
    <xf numFmtId="165" fontId="9" fillId="0" borderId="0" xfId="0" applyNumberFormat="1" applyFont="1"/>
    <xf numFmtId="4" fontId="9" fillId="0" borderId="0" xfId="0" applyNumberFormat="1" applyFont="1"/>
    <xf numFmtId="1" fontId="9" fillId="0" borderId="0" xfId="0" applyNumberFormat="1" applyFont="1"/>
    <xf numFmtId="0" fontId="23" fillId="0" borderId="0" xfId="0" applyFont="1"/>
    <xf numFmtId="3" fontId="24" fillId="0" borderId="0" xfId="0" applyNumberFormat="1" applyFont="1"/>
    <xf numFmtId="3" fontId="5" fillId="0" borderId="0" xfId="0" applyNumberFormat="1" applyFont="1"/>
    <xf numFmtId="165" fontId="5" fillId="0" borderId="0" xfId="0" applyNumberFormat="1" applyFont="1"/>
    <xf numFmtId="4" fontId="5" fillId="0" borderId="0" xfId="0" applyNumberFormat="1" applyFont="1"/>
    <xf numFmtId="1" fontId="5" fillId="0" borderId="0" xfId="0" applyNumberFormat="1" applyFont="1"/>
    <xf numFmtId="0" fontId="25" fillId="0" borderId="0" xfId="0" applyFont="1"/>
    <xf numFmtId="0" fontId="26" fillId="0" borderId="0" xfId="0" applyFont="1" applyAlignment="1"/>
    <xf numFmtId="0" fontId="27" fillId="0" borderId="0" xfId="0" applyFont="1" applyAlignment="1"/>
    <xf numFmtId="164" fontId="28" fillId="0" borderId="0" xfId="0" applyNumberFormat="1" applyFont="1" applyAlignment="1">
      <alignment horizontal="center"/>
    </xf>
    <xf numFmtId="0" fontId="28" fillId="0" borderId="0" xfId="0" applyFont="1" applyAlignment="1">
      <alignment horizontal="center"/>
    </xf>
    <xf numFmtId="0" fontId="28" fillId="0" borderId="0" xfId="0" applyFont="1" applyAlignment="1">
      <alignment horizontal="center"/>
    </xf>
    <xf numFmtId="167" fontId="28" fillId="0" borderId="0" xfId="0" applyNumberFormat="1" applyFont="1" applyAlignment="1">
      <alignment horizontal="center"/>
    </xf>
    <xf numFmtId="169" fontId="28" fillId="0" borderId="0" xfId="0" applyNumberFormat="1" applyFont="1" applyAlignment="1">
      <alignment horizontal="center"/>
    </xf>
    <xf numFmtId="0" fontId="28" fillId="0" borderId="0" xfId="0" applyFont="1" applyAlignment="1"/>
    <xf numFmtId="49" fontId="27" fillId="0" borderId="0" xfId="0" applyNumberFormat="1" applyFont="1" applyAlignment="1"/>
    <xf numFmtId="165" fontId="28" fillId="0" borderId="0" xfId="0" applyNumberFormat="1" applyFont="1"/>
    <xf numFmtId="0" fontId="27" fillId="0" borderId="0" xfId="0" applyFont="1"/>
    <xf numFmtId="165" fontId="28" fillId="0" borderId="0" xfId="0" applyNumberFormat="1" applyFont="1" applyAlignment="1">
      <alignment horizontal="center"/>
    </xf>
    <xf numFmtId="10" fontId="28" fillId="0" borderId="0" xfId="0" applyNumberFormat="1" applyFont="1" applyAlignment="1"/>
    <xf numFmtId="0" fontId="27" fillId="0" borderId="0" xfId="0" applyFont="1" applyAlignment="1"/>
    <xf numFmtId="165" fontId="27" fillId="0" borderId="0" xfId="0" applyNumberFormat="1" applyFont="1"/>
    <xf numFmtId="178" fontId="27" fillId="0" borderId="0" xfId="0" applyNumberFormat="1" applyFont="1" applyAlignment="1"/>
    <xf numFmtId="179" fontId="27" fillId="0" borderId="0" xfId="0" applyNumberFormat="1" applyFont="1" applyAlignment="1"/>
    <xf numFmtId="1" fontId="8" fillId="0" borderId="0" xfId="0" applyNumberFormat="1" applyFont="1"/>
    <xf numFmtId="0" fontId="8" fillId="0" borderId="0" xfId="0" applyFont="1"/>
    <xf numFmtId="180" fontId="28" fillId="0" borderId="0" xfId="0" applyNumberFormat="1" applyFont="1" applyAlignment="1">
      <alignment horizontal="center"/>
    </xf>
    <xf numFmtId="165" fontId="28" fillId="0" borderId="0" xfId="0" applyNumberFormat="1" applyFont="1" applyAlignment="1">
      <alignment horizontal="center"/>
    </xf>
    <xf numFmtId="3" fontId="28" fillId="0" borderId="0" xfId="0" applyNumberFormat="1" applyFont="1" applyAlignment="1">
      <alignment horizontal="center"/>
    </xf>
    <xf numFmtId="9" fontId="28" fillId="0" borderId="0" xfId="0" applyNumberFormat="1" applyFont="1" applyAlignment="1">
      <alignment horizontal="center"/>
    </xf>
    <xf numFmtId="49" fontId="28" fillId="0" borderId="0" xfId="0" applyNumberFormat="1" applyFont="1" applyAlignment="1">
      <alignment horizontal="center"/>
    </xf>
    <xf numFmtId="166" fontId="27" fillId="0" borderId="0" xfId="0" applyNumberFormat="1" applyFont="1" applyAlignment="1"/>
    <xf numFmtId="165" fontId="27" fillId="0" borderId="0" xfId="0" applyNumberFormat="1" applyFont="1" applyAlignment="1"/>
    <xf numFmtId="3" fontId="27" fillId="0" borderId="0" xfId="0" applyNumberFormat="1" applyFont="1"/>
    <xf numFmtId="9" fontId="8" fillId="0" borderId="0" xfId="0" applyNumberFormat="1" applyFont="1"/>
    <xf numFmtId="0" fontId="27" fillId="0" borderId="0" xfId="0" applyFont="1"/>
    <xf numFmtId="49" fontId="27" fillId="0" borderId="0" xfId="0" applyNumberFormat="1" applyFont="1"/>
    <xf numFmtId="3" fontId="27" fillId="0" borderId="0" xfId="0" applyNumberFormat="1" applyFont="1" applyAlignment="1"/>
    <xf numFmtId="169" fontId="27" fillId="0" borderId="0" xfId="0" applyNumberFormat="1" applyFont="1" applyAlignment="1"/>
    <xf numFmtId="167" fontId="27" fillId="0" borderId="0" xfId="0" applyNumberFormat="1" applyFont="1" applyAlignment="1"/>
    <xf numFmtId="173" fontId="27" fillId="0" borderId="0" xfId="0" applyNumberFormat="1" applyFont="1" applyAlignment="1"/>
    <xf numFmtId="0" fontId="29" fillId="5" borderId="0" xfId="0" applyFont="1" applyFill="1" applyAlignment="1"/>
    <xf numFmtId="0" fontId="30" fillId="5" borderId="0" xfId="0" applyFont="1" applyFill="1" applyAlignment="1"/>
    <xf numFmtId="164" fontId="27" fillId="0" borderId="0" xfId="0" applyNumberFormat="1" applyFont="1" applyAlignment="1">
      <alignment horizontal="center"/>
    </xf>
    <xf numFmtId="0" fontId="27" fillId="0" borderId="0" xfId="0" applyFont="1" applyAlignment="1">
      <alignment horizontal="left"/>
    </xf>
    <xf numFmtId="165" fontId="27" fillId="0" borderId="0" xfId="0" applyNumberFormat="1" applyFont="1" applyAlignment="1">
      <alignment horizontal="right"/>
    </xf>
    <xf numFmtId="0" fontId="27" fillId="0" borderId="0" xfId="0" applyFont="1" applyAlignment="1">
      <alignment horizontal="center"/>
    </xf>
    <xf numFmtId="0" fontId="27" fillId="0" borderId="0" xfId="0" applyFont="1" applyAlignment="1">
      <alignment horizontal="center"/>
    </xf>
  </cellXfs>
  <cellStyles count="1">
    <cellStyle name="Normal" xfId="0" builtinId="0"/>
  </cellStyles>
  <dxfs count="15">
    <dxf>
      <fill>
        <patternFill patternType="solid">
          <fgColor theme="5"/>
          <bgColor theme="5"/>
        </patternFill>
      </fill>
    </dxf>
    <dxf>
      <fill>
        <patternFill patternType="solid">
          <fgColor rgb="FF00FFFF"/>
          <bgColor rgb="FF00FFFF"/>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F2CC"/>
          <bgColor rgb="FFFFF2CC"/>
        </patternFill>
      </fill>
    </dxf>
    <dxf>
      <fill>
        <patternFill patternType="solid">
          <fgColor rgb="FFFFFFFF"/>
          <bgColor rgb="FFFFFFFF"/>
        </patternFill>
      </fill>
    </dxf>
    <dxf>
      <fill>
        <patternFill patternType="solid">
          <fgColor rgb="FFF46524"/>
          <bgColor rgb="FFF4652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Performa Iklan Klien-style" pivot="0" count="4" xr9:uid="{00000000-0011-0000-FFFF-FFFF00000000}">
      <tableStyleElement type="wholeTable" size="0" dxfId="11"/>
      <tableStyleElement type="headerRow" dxfId="14"/>
      <tableStyleElement type="firstRowStripe" dxfId="13"/>
      <tableStyleElement type="secondRowStripe" dxfId="12"/>
    </tableStyle>
    <tableStyle name="Resume Iklan-style" pivot="0" count="3" xr9:uid="{00000000-0011-0000-FFFF-FFFF01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Tren Jumlah Klien per Kategori</a:t>
            </a:r>
          </a:p>
        </c:rich>
      </c:tx>
      <c:overlay val="0"/>
    </c:title>
    <c:autoTitleDeleted val="0"/>
    <c:plotArea>
      <c:layout/>
      <c:lineChart>
        <c:grouping val="standard"/>
        <c:varyColors val="1"/>
        <c:ser>
          <c:idx val="0"/>
          <c:order val="0"/>
          <c:spPr>
            <a:ln cmpd="sng">
              <a:solidFill>
                <a:srgbClr val="4285F4"/>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Iklan'!$B$1:$B$105</c:f>
              <c:numCache>
                <c:formatCode>General</c:formatCode>
                <c:ptCount val="105"/>
                <c:pt idx="0">
                  <c:v>93</c:v>
                </c:pt>
                <c:pt idx="1">
                  <c:v>120</c:v>
                </c:pt>
                <c:pt idx="2">
                  <c:v>120</c:v>
                </c:pt>
                <c:pt idx="3">
                  <c:v>94</c:v>
                </c:pt>
                <c:pt idx="4">
                  <c:v>85</c:v>
                </c:pt>
                <c:pt idx="5">
                  <c:v>87</c:v>
                </c:pt>
                <c:pt idx="6">
                  <c:v>86</c:v>
                </c:pt>
                <c:pt idx="7">
                  <c:v>85</c:v>
                </c:pt>
                <c:pt idx="8">
                  <c:v>89</c:v>
                </c:pt>
                <c:pt idx="9">
                  <c:v>85</c:v>
                </c:pt>
                <c:pt idx="10">
                  <c:v>91</c:v>
                </c:pt>
                <c:pt idx="11">
                  <c:v>85</c:v>
                </c:pt>
                <c:pt idx="12">
                  <c:v>72</c:v>
                </c:pt>
                <c:pt idx="13">
                  <c:v>75</c:v>
                </c:pt>
                <c:pt idx="14">
                  <c:v>74</c:v>
                </c:pt>
                <c:pt idx="15">
                  <c:v>77</c:v>
                </c:pt>
                <c:pt idx="16">
                  <c:v>82</c:v>
                </c:pt>
                <c:pt idx="17">
                  <c:v>88</c:v>
                </c:pt>
                <c:pt idx="18">
                  <c:v>82</c:v>
                </c:pt>
                <c:pt idx="19">
                  <c:v>77</c:v>
                </c:pt>
                <c:pt idx="20">
                  <c:v>76</c:v>
                </c:pt>
                <c:pt idx="21">
                  <c:v>72</c:v>
                </c:pt>
                <c:pt idx="22">
                  <c:v>71</c:v>
                </c:pt>
                <c:pt idx="23">
                  <c:v>70</c:v>
                </c:pt>
                <c:pt idx="24">
                  <c:v>67</c:v>
                </c:pt>
                <c:pt idx="25">
                  <c:v>63</c:v>
                </c:pt>
                <c:pt idx="26">
                  <c:v>59</c:v>
                </c:pt>
                <c:pt idx="27">
                  <c:v>56</c:v>
                </c:pt>
                <c:pt idx="28">
                  <c:v>57</c:v>
                </c:pt>
                <c:pt idx="29">
                  <c:v>61</c:v>
                </c:pt>
                <c:pt idx="30">
                  <c:v>62</c:v>
                </c:pt>
                <c:pt idx="31">
                  <c:v>55</c:v>
                </c:pt>
                <c:pt idx="32">
                  <c:v>54</c:v>
                </c:pt>
                <c:pt idx="33">
                  <c:v>56</c:v>
                </c:pt>
                <c:pt idx="34">
                  <c:v>60</c:v>
                </c:pt>
                <c:pt idx="35">
                  <c:v>59</c:v>
                </c:pt>
                <c:pt idx="36">
                  <c:v>57</c:v>
                </c:pt>
                <c:pt idx="37">
                  <c:v>53</c:v>
                </c:pt>
                <c:pt idx="38">
                  <c:v>56</c:v>
                </c:pt>
                <c:pt idx="39">
                  <c:v>47</c:v>
                </c:pt>
                <c:pt idx="40">
                  <c:v>55</c:v>
                </c:pt>
                <c:pt idx="41">
                  <c:v>53</c:v>
                </c:pt>
                <c:pt idx="42">
                  <c:v>52</c:v>
                </c:pt>
                <c:pt idx="43">
                  <c:v>48</c:v>
                </c:pt>
                <c:pt idx="44">
                  <c:v>47</c:v>
                </c:pt>
                <c:pt idx="45">
                  <c:v>43</c:v>
                </c:pt>
                <c:pt idx="46">
                  <c:v>40</c:v>
                </c:pt>
                <c:pt idx="47">
                  <c:v>37</c:v>
                </c:pt>
                <c:pt idx="48">
                  <c:v>31</c:v>
                </c:pt>
                <c:pt idx="49">
                  <c:v>33</c:v>
                </c:pt>
                <c:pt idx="50">
                  <c:v>33</c:v>
                </c:pt>
                <c:pt idx="51">
                  <c:v>36</c:v>
                </c:pt>
                <c:pt idx="52">
                  <c:v>40</c:v>
                </c:pt>
                <c:pt idx="53">
                  <c:v>45</c:v>
                </c:pt>
                <c:pt idx="54">
                  <c:v>51</c:v>
                </c:pt>
                <c:pt idx="55">
                  <c:v>54</c:v>
                </c:pt>
                <c:pt idx="56">
                  <c:v>54</c:v>
                </c:pt>
                <c:pt idx="57">
                  <c:v>49</c:v>
                </c:pt>
                <c:pt idx="58">
                  <c:v>48</c:v>
                </c:pt>
                <c:pt idx="59">
                  <c:v>43</c:v>
                </c:pt>
                <c:pt idx="60">
                  <c:v>42</c:v>
                </c:pt>
                <c:pt idx="61">
                  <c:v>52</c:v>
                </c:pt>
                <c:pt idx="62">
                  <c:v>62</c:v>
                </c:pt>
                <c:pt idx="63">
                  <c:v>71</c:v>
                </c:pt>
                <c:pt idx="64">
                  <c:v>67</c:v>
                </c:pt>
                <c:pt idx="65">
                  <c:v>62</c:v>
                </c:pt>
                <c:pt idx="66">
                  <c:v>59</c:v>
                </c:pt>
                <c:pt idx="67">
                  <c:v>54</c:v>
                </c:pt>
                <c:pt idx="68">
                  <c:v>53</c:v>
                </c:pt>
                <c:pt idx="69">
                  <c:v>57</c:v>
                </c:pt>
                <c:pt idx="70">
                  <c:v>47</c:v>
                </c:pt>
                <c:pt idx="71">
                  <c:v>51</c:v>
                </c:pt>
                <c:pt idx="72">
                  <c:v>45</c:v>
                </c:pt>
                <c:pt idx="73">
                  <c:v>32</c:v>
                </c:pt>
                <c:pt idx="74">
                  <c:v>42</c:v>
                </c:pt>
                <c:pt idx="75">
                  <c:v>42</c:v>
                </c:pt>
                <c:pt idx="76">
                  <c:v>41</c:v>
                </c:pt>
                <c:pt idx="77">
                  <c:v>42</c:v>
                </c:pt>
                <c:pt idx="78">
                  <c:v>17</c:v>
                </c:pt>
                <c:pt idx="79">
                  <c:v>45</c:v>
                </c:pt>
                <c:pt idx="80">
                  <c:v>5</c:v>
                </c:pt>
                <c:pt idx="81">
                  <c:v>39</c:v>
                </c:pt>
                <c:pt idx="82">
                  <c:v>46</c:v>
                </c:pt>
                <c:pt idx="83">
                  <c:v>45</c:v>
                </c:pt>
                <c:pt idx="84">
                  <c:v>43</c:v>
                </c:pt>
                <c:pt idx="85">
                  <c:v>49</c:v>
                </c:pt>
                <c:pt idx="86">
                  <c:v>49</c:v>
                </c:pt>
                <c:pt idx="87">
                  <c:v>45</c:v>
                </c:pt>
                <c:pt idx="88">
                  <c:v>50</c:v>
                </c:pt>
                <c:pt idx="89">
                  <c:v>51</c:v>
                </c:pt>
                <c:pt idx="90">
                  <c:v>53</c:v>
                </c:pt>
                <c:pt idx="91">
                  <c:v>46</c:v>
                </c:pt>
                <c:pt idx="92">
                  <c:v>50</c:v>
                </c:pt>
                <c:pt idx="93">
                  <c:v>51</c:v>
                </c:pt>
                <c:pt idx="94">
                  <c:v>52</c:v>
                </c:pt>
                <c:pt idx="95">
                  <c:v>45</c:v>
                </c:pt>
                <c:pt idx="96">
                  <c:v>46</c:v>
                </c:pt>
                <c:pt idx="97">
                  <c:v>43</c:v>
                </c:pt>
                <c:pt idx="98">
                  <c:v>49</c:v>
                </c:pt>
                <c:pt idx="99">
                  <c:v>49</c:v>
                </c:pt>
                <c:pt idx="100">
                  <c:v>45</c:v>
                </c:pt>
                <c:pt idx="101">
                  <c:v>44</c:v>
                </c:pt>
                <c:pt idx="102">
                  <c:v>45</c:v>
                </c:pt>
                <c:pt idx="103">
                  <c:v>37</c:v>
                </c:pt>
                <c:pt idx="104">
                  <c:v>41</c:v>
                </c:pt>
              </c:numCache>
            </c:numRef>
          </c:val>
          <c:smooth val="1"/>
          <c:extLst>
            <c:ext xmlns:c16="http://schemas.microsoft.com/office/drawing/2014/chart" uri="{C3380CC4-5D6E-409C-BE32-E72D297353CC}">
              <c16:uniqueId val="{00000000-3D46-4786-A38E-17F7AC7C4FF4}"/>
            </c:ext>
          </c:extLst>
        </c:ser>
        <c:ser>
          <c:idx val="1"/>
          <c:order val="1"/>
          <c:spPr>
            <a:ln cmpd="sng">
              <a:solidFill>
                <a:srgbClr val="EA4335"/>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Iklan'!$C$1:$C$105</c:f>
              <c:numCache>
                <c:formatCode>General</c:formatCode>
                <c:ptCount val="105"/>
                <c:pt idx="0">
                  <c:v>23</c:v>
                </c:pt>
                <c:pt idx="1">
                  <c:v>10</c:v>
                </c:pt>
                <c:pt idx="2">
                  <c:v>5</c:v>
                </c:pt>
                <c:pt idx="3">
                  <c:v>16</c:v>
                </c:pt>
                <c:pt idx="4">
                  <c:v>18</c:v>
                </c:pt>
                <c:pt idx="5">
                  <c:v>23</c:v>
                </c:pt>
                <c:pt idx="6">
                  <c:v>19</c:v>
                </c:pt>
                <c:pt idx="7">
                  <c:v>16</c:v>
                </c:pt>
                <c:pt idx="8">
                  <c:v>21</c:v>
                </c:pt>
                <c:pt idx="9">
                  <c:v>17</c:v>
                </c:pt>
                <c:pt idx="10">
                  <c:v>14</c:v>
                </c:pt>
                <c:pt idx="11">
                  <c:v>16</c:v>
                </c:pt>
                <c:pt idx="12">
                  <c:v>15</c:v>
                </c:pt>
                <c:pt idx="13">
                  <c:v>17</c:v>
                </c:pt>
                <c:pt idx="14">
                  <c:v>19</c:v>
                </c:pt>
                <c:pt idx="15">
                  <c:v>12</c:v>
                </c:pt>
                <c:pt idx="16">
                  <c:v>13</c:v>
                </c:pt>
                <c:pt idx="17">
                  <c:v>21</c:v>
                </c:pt>
                <c:pt idx="18">
                  <c:v>16</c:v>
                </c:pt>
                <c:pt idx="19">
                  <c:v>17</c:v>
                </c:pt>
                <c:pt idx="20">
                  <c:v>18</c:v>
                </c:pt>
                <c:pt idx="21">
                  <c:v>17</c:v>
                </c:pt>
                <c:pt idx="22">
                  <c:v>15</c:v>
                </c:pt>
                <c:pt idx="23">
                  <c:v>17</c:v>
                </c:pt>
                <c:pt idx="24">
                  <c:v>16</c:v>
                </c:pt>
                <c:pt idx="25">
                  <c:v>12</c:v>
                </c:pt>
                <c:pt idx="26">
                  <c:v>8</c:v>
                </c:pt>
                <c:pt idx="27">
                  <c:v>6</c:v>
                </c:pt>
                <c:pt idx="28">
                  <c:v>11</c:v>
                </c:pt>
                <c:pt idx="29">
                  <c:v>10</c:v>
                </c:pt>
                <c:pt idx="30">
                  <c:v>12</c:v>
                </c:pt>
                <c:pt idx="31">
                  <c:v>10</c:v>
                </c:pt>
                <c:pt idx="32">
                  <c:v>9</c:v>
                </c:pt>
                <c:pt idx="33">
                  <c:v>15</c:v>
                </c:pt>
                <c:pt idx="34">
                  <c:v>8</c:v>
                </c:pt>
                <c:pt idx="35">
                  <c:v>11</c:v>
                </c:pt>
                <c:pt idx="36">
                  <c:v>10</c:v>
                </c:pt>
                <c:pt idx="37">
                  <c:v>8</c:v>
                </c:pt>
                <c:pt idx="38">
                  <c:v>11</c:v>
                </c:pt>
                <c:pt idx="39">
                  <c:v>11</c:v>
                </c:pt>
                <c:pt idx="40">
                  <c:v>8</c:v>
                </c:pt>
                <c:pt idx="41">
                  <c:v>8</c:v>
                </c:pt>
                <c:pt idx="42">
                  <c:v>8</c:v>
                </c:pt>
                <c:pt idx="43">
                  <c:v>7</c:v>
                </c:pt>
                <c:pt idx="44">
                  <c:v>16</c:v>
                </c:pt>
                <c:pt idx="45">
                  <c:v>11</c:v>
                </c:pt>
                <c:pt idx="46">
                  <c:v>10</c:v>
                </c:pt>
                <c:pt idx="47">
                  <c:v>10</c:v>
                </c:pt>
                <c:pt idx="48">
                  <c:v>5</c:v>
                </c:pt>
                <c:pt idx="49">
                  <c:v>8</c:v>
                </c:pt>
                <c:pt idx="50">
                  <c:v>9</c:v>
                </c:pt>
                <c:pt idx="51">
                  <c:v>8</c:v>
                </c:pt>
                <c:pt idx="52">
                  <c:v>8</c:v>
                </c:pt>
                <c:pt idx="53">
                  <c:v>4</c:v>
                </c:pt>
                <c:pt idx="54">
                  <c:v>7</c:v>
                </c:pt>
                <c:pt idx="55">
                  <c:v>12</c:v>
                </c:pt>
                <c:pt idx="56">
                  <c:v>13</c:v>
                </c:pt>
                <c:pt idx="57">
                  <c:v>5</c:v>
                </c:pt>
                <c:pt idx="58">
                  <c:v>10</c:v>
                </c:pt>
                <c:pt idx="59">
                  <c:v>5</c:v>
                </c:pt>
                <c:pt idx="60">
                  <c:v>3</c:v>
                </c:pt>
                <c:pt idx="61">
                  <c:v>8</c:v>
                </c:pt>
                <c:pt idx="62">
                  <c:v>8</c:v>
                </c:pt>
                <c:pt idx="63">
                  <c:v>8</c:v>
                </c:pt>
                <c:pt idx="64">
                  <c:v>8</c:v>
                </c:pt>
                <c:pt idx="65">
                  <c:v>9</c:v>
                </c:pt>
                <c:pt idx="66">
                  <c:v>11</c:v>
                </c:pt>
                <c:pt idx="67">
                  <c:v>8</c:v>
                </c:pt>
                <c:pt idx="68">
                  <c:v>8</c:v>
                </c:pt>
                <c:pt idx="69">
                  <c:v>5</c:v>
                </c:pt>
                <c:pt idx="70">
                  <c:v>5</c:v>
                </c:pt>
                <c:pt idx="71">
                  <c:v>9</c:v>
                </c:pt>
                <c:pt idx="72">
                  <c:v>6</c:v>
                </c:pt>
                <c:pt idx="73">
                  <c:v>5</c:v>
                </c:pt>
                <c:pt idx="74">
                  <c:v>2</c:v>
                </c:pt>
                <c:pt idx="75">
                  <c:v>5</c:v>
                </c:pt>
                <c:pt idx="76">
                  <c:v>6</c:v>
                </c:pt>
                <c:pt idx="77">
                  <c:v>5</c:v>
                </c:pt>
                <c:pt idx="78">
                  <c:v>2</c:v>
                </c:pt>
                <c:pt idx="79">
                  <c:v>6</c:v>
                </c:pt>
                <c:pt idx="80">
                  <c:v>1</c:v>
                </c:pt>
                <c:pt idx="81">
                  <c:v>4</c:v>
                </c:pt>
                <c:pt idx="82">
                  <c:v>8</c:v>
                </c:pt>
                <c:pt idx="83">
                  <c:v>6</c:v>
                </c:pt>
                <c:pt idx="84">
                  <c:v>3</c:v>
                </c:pt>
                <c:pt idx="85">
                  <c:v>6</c:v>
                </c:pt>
                <c:pt idx="86">
                  <c:v>7</c:v>
                </c:pt>
                <c:pt idx="87">
                  <c:v>1</c:v>
                </c:pt>
                <c:pt idx="88">
                  <c:v>10</c:v>
                </c:pt>
                <c:pt idx="89">
                  <c:v>6</c:v>
                </c:pt>
                <c:pt idx="90">
                  <c:v>11</c:v>
                </c:pt>
                <c:pt idx="91">
                  <c:v>14</c:v>
                </c:pt>
                <c:pt idx="92">
                  <c:v>7</c:v>
                </c:pt>
                <c:pt idx="93">
                  <c:v>15</c:v>
                </c:pt>
                <c:pt idx="94">
                  <c:v>11</c:v>
                </c:pt>
                <c:pt idx="95">
                  <c:v>8</c:v>
                </c:pt>
                <c:pt idx="96">
                  <c:v>5</c:v>
                </c:pt>
                <c:pt idx="97">
                  <c:v>9</c:v>
                </c:pt>
                <c:pt idx="98">
                  <c:v>6</c:v>
                </c:pt>
                <c:pt idx="99">
                  <c:v>7</c:v>
                </c:pt>
                <c:pt idx="100">
                  <c:v>11</c:v>
                </c:pt>
                <c:pt idx="101">
                  <c:v>14</c:v>
                </c:pt>
                <c:pt idx="102">
                  <c:v>10</c:v>
                </c:pt>
                <c:pt idx="103">
                  <c:v>3</c:v>
                </c:pt>
                <c:pt idx="104">
                  <c:v>6</c:v>
                </c:pt>
              </c:numCache>
            </c:numRef>
          </c:val>
          <c:smooth val="1"/>
          <c:extLst>
            <c:ext xmlns:c16="http://schemas.microsoft.com/office/drawing/2014/chart" uri="{C3380CC4-5D6E-409C-BE32-E72D297353CC}">
              <c16:uniqueId val="{00000001-3D46-4786-A38E-17F7AC7C4FF4}"/>
            </c:ext>
          </c:extLst>
        </c:ser>
        <c:ser>
          <c:idx val="2"/>
          <c:order val="2"/>
          <c:spPr>
            <a:ln cmpd="sng">
              <a:solidFill>
                <a:srgbClr val="FBBC04"/>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Iklan'!$D$1:$D$105</c:f>
              <c:numCache>
                <c:formatCode>0%</c:formatCode>
                <c:ptCount val="105"/>
                <c:pt idx="0">
                  <c:v>0.25</c:v>
                </c:pt>
                <c:pt idx="1">
                  <c:v>0.25</c:v>
                </c:pt>
                <c:pt idx="2">
                  <c:v>0.25</c:v>
                </c:pt>
                <c:pt idx="3">
                  <c:v>0.17</c:v>
                </c:pt>
                <c:pt idx="4">
                  <c:v>0.21</c:v>
                </c:pt>
                <c:pt idx="5">
                  <c:v>0.26</c:v>
                </c:pt>
                <c:pt idx="6">
                  <c:v>0.22</c:v>
                </c:pt>
                <c:pt idx="7">
                  <c:v>0.19</c:v>
                </c:pt>
                <c:pt idx="8">
                  <c:v>0.24</c:v>
                </c:pt>
                <c:pt idx="9">
                  <c:v>0.2</c:v>
                </c:pt>
                <c:pt idx="10">
                  <c:v>0.15</c:v>
                </c:pt>
                <c:pt idx="11">
                  <c:v>0.19</c:v>
                </c:pt>
                <c:pt idx="12">
                  <c:v>0.21</c:v>
                </c:pt>
                <c:pt idx="13">
                  <c:v>0.23</c:v>
                </c:pt>
                <c:pt idx="14">
                  <c:v>0.26</c:v>
                </c:pt>
                <c:pt idx="15">
                  <c:v>0.16</c:v>
                </c:pt>
                <c:pt idx="16">
                  <c:v>0.16</c:v>
                </c:pt>
                <c:pt idx="17">
                  <c:v>0.24</c:v>
                </c:pt>
                <c:pt idx="18">
                  <c:v>0.2</c:v>
                </c:pt>
                <c:pt idx="19">
                  <c:v>0.22</c:v>
                </c:pt>
                <c:pt idx="20">
                  <c:v>0.24</c:v>
                </c:pt>
                <c:pt idx="21">
                  <c:v>0.24</c:v>
                </c:pt>
                <c:pt idx="22">
                  <c:v>0.21</c:v>
                </c:pt>
                <c:pt idx="23">
                  <c:v>0.24</c:v>
                </c:pt>
                <c:pt idx="24">
                  <c:v>0.24</c:v>
                </c:pt>
                <c:pt idx="25">
                  <c:v>0.19</c:v>
                </c:pt>
                <c:pt idx="26">
                  <c:v>0.14000000000000001</c:v>
                </c:pt>
                <c:pt idx="27">
                  <c:v>0.11</c:v>
                </c:pt>
                <c:pt idx="28">
                  <c:v>0.19</c:v>
                </c:pt>
                <c:pt idx="29">
                  <c:v>0.16</c:v>
                </c:pt>
                <c:pt idx="30">
                  <c:v>0.19</c:v>
                </c:pt>
                <c:pt idx="31">
                  <c:v>0.18</c:v>
                </c:pt>
                <c:pt idx="32">
                  <c:v>0.17</c:v>
                </c:pt>
                <c:pt idx="33">
                  <c:v>0.27</c:v>
                </c:pt>
                <c:pt idx="34">
                  <c:v>0.13</c:v>
                </c:pt>
                <c:pt idx="35">
                  <c:v>0.19</c:v>
                </c:pt>
                <c:pt idx="36">
                  <c:v>0.18</c:v>
                </c:pt>
                <c:pt idx="37">
                  <c:v>0.15</c:v>
                </c:pt>
                <c:pt idx="38">
                  <c:v>0.2</c:v>
                </c:pt>
                <c:pt idx="39">
                  <c:v>0.23</c:v>
                </c:pt>
                <c:pt idx="40">
                  <c:v>0.15</c:v>
                </c:pt>
                <c:pt idx="41">
                  <c:v>0.15</c:v>
                </c:pt>
                <c:pt idx="42">
                  <c:v>0.15</c:v>
                </c:pt>
                <c:pt idx="43">
                  <c:v>0.15</c:v>
                </c:pt>
                <c:pt idx="44">
                  <c:v>0.34</c:v>
                </c:pt>
                <c:pt idx="45">
                  <c:v>0.26</c:v>
                </c:pt>
                <c:pt idx="46">
                  <c:v>0.25</c:v>
                </c:pt>
                <c:pt idx="47">
                  <c:v>0.27</c:v>
                </c:pt>
                <c:pt idx="48">
                  <c:v>0.16</c:v>
                </c:pt>
                <c:pt idx="49">
                  <c:v>0.24</c:v>
                </c:pt>
                <c:pt idx="50">
                  <c:v>0.27</c:v>
                </c:pt>
                <c:pt idx="51">
                  <c:v>0.22</c:v>
                </c:pt>
                <c:pt idx="52">
                  <c:v>0.2</c:v>
                </c:pt>
                <c:pt idx="53">
                  <c:v>0.09</c:v>
                </c:pt>
                <c:pt idx="54">
                  <c:v>0.14000000000000001</c:v>
                </c:pt>
                <c:pt idx="55">
                  <c:v>0.22</c:v>
                </c:pt>
                <c:pt idx="56">
                  <c:v>0.24</c:v>
                </c:pt>
                <c:pt idx="57">
                  <c:v>0.1</c:v>
                </c:pt>
                <c:pt idx="58">
                  <c:v>0.21</c:v>
                </c:pt>
                <c:pt idx="59">
                  <c:v>0.12</c:v>
                </c:pt>
                <c:pt idx="60">
                  <c:v>7.0000000000000007E-2</c:v>
                </c:pt>
                <c:pt idx="61">
                  <c:v>0.15</c:v>
                </c:pt>
                <c:pt idx="62">
                  <c:v>0.13</c:v>
                </c:pt>
                <c:pt idx="63">
                  <c:v>0.11</c:v>
                </c:pt>
                <c:pt idx="64">
                  <c:v>0.12</c:v>
                </c:pt>
                <c:pt idx="65">
                  <c:v>0.15</c:v>
                </c:pt>
                <c:pt idx="66">
                  <c:v>0.19</c:v>
                </c:pt>
                <c:pt idx="67">
                  <c:v>0.15</c:v>
                </c:pt>
                <c:pt idx="68">
                  <c:v>0.15</c:v>
                </c:pt>
                <c:pt idx="69">
                  <c:v>0.09</c:v>
                </c:pt>
                <c:pt idx="70">
                  <c:v>0.11</c:v>
                </c:pt>
                <c:pt idx="71">
                  <c:v>0.18</c:v>
                </c:pt>
                <c:pt idx="72">
                  <c:v>0.13</c:v>
                </c:pt>
                <c:pt idx="73">
                  <c:v>0.16</c:v>
                </c:pt>
                <c:pt idx="74">
                  <c:v>0.05</c:v>
                </c:pt>
                <c:pt idx="75">
                  <c:v>0.12</c:v>
                </c:pt>
                <c:pt idx="76">
                  <c:v>0.15</c:v>
                </c:pt>
                <c:pt idx="77">
                  <c:v>0.12</c:v>
                </c:pt>
                <c:pt idx="78">
                  <c:v>0.12</c:v>
                </c:pt>
                <c:pt idx="79">
                  <c:v>0.13</c:v>
                </c:pt>
                <c:pt idx="80">
                  <c:v>0.2</c:v>
                </c:pt>
                <c:pt idx="81">
                  <c:v>0.1</c:v>
                </c:pt>
                <c:pt idx="82">
                  <c:v>0.17</c:v>
                </c:pt>
                <c:pt idx="83">
                  <c:v>0.13</c:v>
                </c:pt>
                <c:pt idx="84">
                  <c:v>7.0000000000000007E-2</c:v>
                </c:pt>
                <c:pt idx="85">
                  <c:v>0.12</c:v>
                </c:pt>
                <c:pt idx="86">
                  <c:v>0.14000000000000001</c:v>
                </c:pt>
                <c:pt idx="87">
                  <c:v>0.02</c:v>
                </c:pt>
                <c:pt idx="88">
                  <c:v>0.2</c:v>
                </c:pt>
                <c:pt idx="89">
                  <c:v>0.12</c:v>
                </c:pt>
                <c:pt idx="90">
                  <c:v>0.21</c:v>
                </c:pt>
                <c:pt idx="91">
                  <c:v>0.3</c:v>
                </c:pt>
                <c:pt idx="92">
                  <c:v>0.14000000000000001</c:v>
                </c:pt>
                <c:pt idx="93">
                  <c:v>0.28999999999999998</c:v>
                </c:pt>
                <c:pt idx="94">
                  <c:v>0.21</c:v>
                </c:pt>
                <c:pt idx="95">
                  <c:v>0.18</c:v>
                </c:pt>
                <c:pt idx="96">
                  <c:v>0.11</c:v>
                </c:pt>
                <c:pt idx="97">
                  <c:v>0.21</c:v>
                </c:pt>
                <c:pt idx="98">
                  <c:v>0.12</c:v>
                </c:pt>
                <c:pt idx="99">
                  <c:v>0.14000000000000001</c:v>
                </c:pt>
                <c:pt idx="100">
                  <c:v>0.24</c:v>
                </c:pt>
                <c:pt idx="101">
                  <c:v>0.32</c:v>
                </c:pt>
                <c:pt idx="102">
                  <c:v>0.22</c:v>
                </c:pt>
                <c:pt idx="103">
                  <c:v>0.08</c:v>
                </c:pt>
                <c:pt idx="104">
                  <c:v>0.15</c:v>
                </c:pt>
              </c:numCache>
            </c:numRef>
          </c:val>
          <c:smooth val="1"/>
          <c:extLst>
            <c:ext xmlns:c16="http://schemas.microsoft.com/office/drawing/2014/chart" uri="{C3380CC4-5D6E-409C-BE32-E72D297353CC}">
              <c16:uniqueId val="{00000002-3D46-4786-A38E-17F7AC7C4FF4}"/>
            </c:ext>
          </c:extLst>
        </c:ser>
        <c:ser>
          <c:idx val="3"/>
          <c:order val="3"/>
          <c:spPr>
            <a:ln cmpd="sng">
              <a:solidFill>
                <a:srgbClr val="34A853"/>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Iklan'!$E$1:$E$105</c:f>
              <c:numCache>
                <c:formatCode>General</c:formatCode>
                <c:ptCount val="105"/>
                <c:pt idx="0">
                  <c:v>35</c:v>
                </c:pt>
                <c:pt idx="1">
                  <c:v>52</c:v>
                </c:pt>
                <c:pt idx="2">
                  <c:v>57</c:v>
                </c:pt>
                <c:pt idx="3">
                  <c:v>41</c:v>
                </c:pt>
                <c:pt idx="4">
                  <c:v>38</c:v>
                </c:pt>
                <c:pt idx="5">
                  <c:v>32</c:v>
                </c:pt>
                <c:pt idx="6">
                  <c:v>30</c:v>
                </c:pt>
                <c:pt idx="7">
                  <c:v>39</c:v>
                </c:pt>
                <c:pt idx="8">
                  <c:v>37</c:v>
                </c:pt>
                <c:pt idx="9">
                  <c:v>40</c:v>
                </c:pt>
                <c:pt idx="10">
                  <c:v>42</c:v>
                </c:pt>
                <c:pt idx="11">
                  <c:v>38</c:v>
                </c:pt>
                <c:pt idx="12">
                  <c:v>21</c:v>
                </c:pt>
                <c:pt idx="13">
                  <c:v>33</c:v>
                </c:pt>
                <c:pt idx="14">
                  <c:v>27</c:v>
                </c:pt>
                <c:pt idx="15">
                  <c:v>36</c:v>
                </c:pt>
                <c:pt idx="16">
                  <c:v>38</c:v>
                </c:pt>
                <c:pt idx="17">
                  <c:v>34</c:v>
                </c:pt>
                <c:pt idx="18">
                  <c:v>34</c:v>
                </c:pt>
                <c:pt idx="19">
                  <c:v>30</c:v>
                </c:pt>
                <c:pt idx="20">
                  <c:v>27</c:v>
                </c:pt>
                <c:pt idx="21">
                  <c:v>24</c:v>
                </c:pt>
                <c:pt idx="22">
                  <c:v>26</c:v>
                </c:pt>
                <c:pt idx="23">
                  <c:v>25</c:v>
                </c:pt>
                <c:pt idx="24">
                  <c:v>23</c:v>
                </c:pt>
                <c:pt idx="25">
                  <c:v>25</c:v>
                </c:pt>
                <c:pt idx="26">
                  <c:v>26</c:v>
                </c:pt>
                <c:pt idx="27">
                  <c:v>22</c:v>
                </c:pt>
                <c:pt idx="28">
                  <c:v>20</c:v>
                </c:pt>
                <c:pt idx="29">
                  <c:v>27</c:v>
                </c:pt>
                <c:pt idx="30">
                  <c:v>26</c:v>
                </c:pt>
                <c:pt idx="31">
                  <c:v>23</c:v>
                </c:pt>
                <c:pt idx="32">
                  <c:v>21</c:v>
                </c:pt>
                <c:pt idx="33">
                  <c:v>18</c:v>
                </c:pt>
                <c:pt idx="34">
                  <c:v>22</c:v>
                </c:pt>
                <c:pt idx="35">
                  <c:v>23</c:v>
                </c:pt>
                <c:pt idx="36">
                  <c:v>23</c:v>
                </c:pt>
                <c:pt idx="37">
                  <c:v>18</c:v>
                </c:pt>
                <c:pt idx="38">
                  <c:v>26</c:v>
                </c:pt>
                <c:pt idx="39">
                  <c:v>11</c:v>
                </c:pt>
                <c:pt idx="40">
                  <c:v>23</c:v>
                </c:pt>
                <c:pt idx="41">
                  <c:v>21</c:v>
                </c:pt>
                <c:pt idx="42">
                  <c:v>18</c:v>
                </c:pt>
                <c:pt idx="43">
                  <c:v>19</c:v>
                </c:pt>
                <c:pt idx="44">
                  <c:v>17</c:v>
                </c:pt>
                <c:pt idx="45">
                  <c:v>17</c:v>
                </c:pt>
                <c:pt idx="46">
                  <c:v>15</c:v>
                </c:pt>
                <c:pt idx="47">
                  <c:v>15</c:v>
                </c:pt>
                <c:pt idx="48">
                  <c:v>10</c:v>
                </c:pt>
                <c:pt idx="49">
                  <c:v>12</c:v>
                </c:pt>
                <c:pt idx="50">
                  <c:v>11</c:v>
                </c:pt>
                <c:pt idx="51">
                  <c:v>9</c:v>
                </c:pt>
                <c:pt idx="52">
                  <c:v>16</c:v>
                </c:pt>
                <c:pt idx="53">
                  <c:v>16</c:v>
                </c:pt>
                <c:pt idx="54">
                  <c:v>20</c:v>
                </c:pt>
                <c:pt idx="55">
                  <c:v>14</c:v>
                </c:pt>
                <c:pt idx="56">
                  <c:v>15</c:v>
                </c:pt>
                <c:pt idx="57">
                  <c:v>17</c:v>
                </c:pt>
                <c:pt idx="58">
                  <c:v>16</c:v>
                </c:pt>
                <c:pt idx="59">
                  <c:v>17</c:v>
                </c:pt>
                <c:pt idx="60">
                  <c:v>16</c:v>
                </c:pt>
                <c:pt idx="61">
                  <c:v>21</c:v>
                </c:pt>
                <c:pt idx="62">
                  <c:v>27</c:v>
                </c:pt>
                <c:pt idx="63">
                  <c:v>26</c:v>
                </c:pt>
                <c:pt idx="64">
                  <c:v>27</c:v>
                </c:pt>
                <c:pt idx="65">
                  <c:v>30</c:v>
                </c:pt>
                <c:pt idx="66">
                  <c:v>22</c:v>
                </c:pt>
                <c:pt idx="67">
                  <c:v>19</c:v>
                </c:pt>
                <c:pt idx="68">
                  <c:v>22</c:v>
                </c:pt>
                <c:pt idx="69">
                  <c:v>29</c:v>
                </c:pt>
                <c:pt idx="70">
                  <c:v>22</c:v>
                </c:pt>
                <c:pt idx="71">
                  <c:v>15</c:v>
                </c:pt>
                <c:pt idx="72">
                  <c:v>13</c:v>
                </c:pt>
                <c:pt idx="73">
                  <c:v>12</c:v>
                </c:pt>
                <c:pt idx="74">
                  <c:v>22</c:v>
                </c:pt>
                <c:pt idx="75">
                  <c:v>12</c:v>
                </c:pt>
                <c:pt idx="76">
                  <c:v>14</c:v>
                </c:pt>
                <c:pt idx="77">
                  <c:v>17</c:v>
                </c:pt>
                <c:pt idx="78">
                  <c:v>4</c:v>
                </c:pt>
                <c:pt idx="79">
                  <c:v>16</c:v>
                </c:pt>
                <c:pt idx="80">
                  <c:v>1</c:v>
                </c:pt>
                <c:pt idx="81">
                  <c:v>16</c:v>
                </c:pt>
                <c:pt idx="82">
                  <c:v>11</c:v>
                </c:pt>
                <c:pt idx="83">
                  <c:v>9</c:v>
                </c:pt>
                <c:pt idx="84">
                  <c:v>18</c:v>
                </c:pt>
                <c:pt idx="85">
                  <c:v>15</c:v>
                </c:pt>
                <c:pt idx="86">
                  <c:v>20</c:v>
                </c:pt>
                <c:pt idx="87">
                  <c:v>21</c:v>
                </c:pt>
                <c:pt idx="88">
                  <c:v>21</c:v>
                </c:pt>
                <c:pt idx="89">
                  <c:v>20</c:v>
                </c:pt>
                <c:pt idx="90">
                  <c:v>21</c:v>
                </c:pt>
                <c:pt idx="91">
                  <c:v>15</c:v>
                </c:pt>
                <c:pt idx="92">
                  <c:v>23</c:v>
                </c:pt>
                <c:pt idx="93">
                  <c:v>17</c:v>
                </c:pt>
                <c:pt idx="94">
                  <c:v>17</c:v>
                </c:pt>
                <c:pt idx="95">
                  <c:v>16</c:v>
                </c:pt>
                <c:pt idx="96">
                  <c:v>19</c:v>
                </c:pt>
                <c:pt idx="97">
                  <c:v>14</c:v>
                </c:pt>
                <c:pt idx="98">
                  <c:v>18</c:v>
                </c:pt>
                <c:pt idx="99">
                  <c:v>23</c:v>
                </c:pt>
                <c:pt idx="100">
                  <c:v>15</c:v>
                </c:pt>
                <c:pt idx="101">
                  <c:v>16</c:v>
                </c:pt>
                <c:pt idx="102">
                  <c:v>15</c:v>
                </c:pt>
                <c:pt idx="103">
                  <c:v>20</c:v>
                </c:pt>
                <c:pt idx="104">
                  <c:v>15</c:v>
                </c:pt>
              </c:numCache>
            </c:numRef>
          </c:val>
          <c:smooth val="1"/>
          <c:extLst>
            <c:ext xmlns:c16="http://schemas.microsoft.com/office/drawing/2014/chart" uri="{C3380CC4-5D6E-409C-BE32-E72D297353CC}">
              <c16:uniqueId val="{00000003-3D46-4786-A38E-17F7AC7C4FF4}"/>
            </c:ext>
          </c:extLst>
        </c:ser>
        <c:ser>
          <c:idx val="4"/>
          <c:order val="4"/>
          <c:spPr>
            <a:ln cmpd="sng">
              <a:solidFill>
                <a:srgbClr val="FF6D01"/>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Iklan'!$F$1:$F$105</c:f>
              <c:numCache>
                <c:formatCode>0%</c:formatCode>
                <c:ptCount val="105"/>
                <c:pt idx="0">
                  <c:v>0.38</c:v>
                </c:pt>
                <c:pt idx="1">
                  <c:v>0.38</c:v>
                </c:pt>
                <c:pt idx="2">
                  <c:v>0.38</c:v>
                </c:pt>
                <c:pt idx="3">
                  <c:v>0.44</c:v>
                </c:pt>
                <c:pt idx="4">
                  <c:v>0.45</c:v>
                </c:pt>
                <c:pt idx="5">
                  <c:v>0.37</c:v>
                </c:pt>
                <c:pt idx="6">
                  <c:v>0.35</c:v>
                </c:pt>
                <c:pt idx="7">
                  <c:v>0.46</c:v>
                </c:pt>
                <c:pt idx="8">
                  <c:v>0.42</c:v>
                </c:pt>
                <c:pt idx="9">
                  <c:v>0.47</c:v>
                </c:pt>
                <c:pt idx="10">
                  <c:v>0.46</c:v>
                </c:pt>
                <c:pt idx="11">
                  <c:v>0.45</c:v>
                </c:pt>
                <c:pt idx="12">
                  <c:v>0.28999999999999998</c:v>
                </c:pt>
                <c:pt idx="13">
                  <c:v>0.44</c:v>
                </c:pt>
                <c:pt idx="14">
                  <c:v>0.36</c:v>
                </c:pt>
                <c:pt idx="15">
                  <c:v>0.47</c:v>
                </c:pt>
                <c:pt idx="16">
                  <c:v>0.46</c:v>
                </c:pt>
                <c:pt idx="17">
                  <c:v>0.39</c:v>
                </c:pt>
                <c:pt idx="18">
                  <c:v>0.41</c:v>
                </c:pt>
                <c:pt idx="19">
                  <c:v>0.39</c:v>
                </c:pt>
                <c:pt idx="20">
                  <c:v>0.36</c:v>
                </c:pt>
                <c:pt idx="21">
                  <c:v>0.33</c:v>
                </c:pt>
                <c:pt idx="22">
                  <c:v>0.37</c:v>
                </c:pt>
                <c:pt idx="23">
                  <c:v>0.36</c:v>
                </c:pt>
                <c:pt idx="24">
                  <c:v>0.34</c:v>
                </c:pt>
                <c:pt idx="25">
                  <c:v>0.4</c:v>
                </c:pt>
                <c:pt idx="26">
                  <c:v>0.44</c:v>
                </c:pt>
                <c:pt idx="27">
                  <c:v>0.39</c:v>
                </c:pt>
                <c:pt idx="28">
                  <c:v>0.35</c:v>
                </c:pt>
                <c:pt idx="29">
                  <c:v>0.44</c:v>
                </c:pt>
                <c:pt idx="30">
                  <c:v>0.42</c:v>
                </c:pt>
                <c:pt idx="31">
                  <c:v>0.42</c:v>
                </c:pt>
                <c:pt idx="32">
                  <c:v>0.39</c:v>
                </c:pt>
                <c:pt idx="33">
                  <c:v>0.32</c:v>
                </c:pt>
                <c:pt idx="34">
                  <c:v>0.37</c:v>
                </c:pt>
                <c:pt idx="35">
                  <c:v>0.39</c:v>
                </c:pt>
                <c:pt idx="36">
                  <c:v>0.4</c:v>
                </c:pt>
                <c:pt idx="37">
                  <c:v>0.34</c:v>
                </c:pt>
                <c:pt idx="38">
                  <c:v>0.46</c:v>
                </c:pt>
                <c:pt idx="39">
                  <c:v>0.23</c:v>
                </c:pt>
                <c:pt idx="40">
                  <c:v>0.42</c:v>
                </c:pt>
                <c:pt idx="41">
                  <c:v>0.4</c:v>
                </c:pt>
                <c:pt idx="42">
                  <c:v>0.35</c:v>
                </c:pt>
                <c:pt idx="43">
                  <c:v>0.4</c:v>
                </c:pt>
                <c:pt idx="44">
                  <c:v>0.36</c:v>
                </c:pt>
                <c:pt idx="45">
                  <c:v>0.4</c:v>
                </c:pt>
                <c:pt idx="46">
                  <c:v>0.38</c:v>
                </c:pt>
                <c:pt idx="47">
                  <c:v>0.41</c:v>
                </c:pt>
                <c:pt idx="48">
                  <c:v>0.32</c:v>
                </c:pt>
                <c:pt idx="49">
                  <c:v>0.36</c:v>
                </c:pt>
                <c:pt idx="50">
                  <c:v>0.33</c:v>
                </c:pt>
                <c:pt idx="51">
                  <c:v>0.25</c:v>
                </c:pt>
                <c:pt idx="52">
                  <c:v>0.4</c:v>
                </c:pt>
                <c:pt idx="53">
                  <c:v>0.36</c:v>
                </c:pt>
                <c:pt idx="54">
                  <c:v>0.39</c:v>
                </c:pt>
                <c:pt idx="55">
                  <c:v>0.26</c:v>
                </c:pt>
                <c:pt idx="56">
                  <c:v>0.28000000000000003</c:v>
                </c:pt>
                <c:pt idx="57">
                  <c:v>0.35</c:v>
                </c:pt>
                <c:pt idx="58">
                  <c:v>0.33</c:v>
                </c:pt>
                <c:pt idx="59">
                  <c:v>0.4</c:v>
                </c:pt>
                <c:pt idx="60">
                  <c:v>0.38</c:v>
                </c:pt>
                <c:pt idx="61">
                  <c:v>0.4</c:v>
                </c:pt>
                <c:pt idx="62">
                  <c:v>0.44</c:v>
                </c:pt>
                <c:pt idx="63">
                  <c:v>0.37</c:v>
                </c:pt>
                <c:pt idx="64">
                  <c:v>0.4</c:v>
                </c:pt>
                <c:pt idx="65">
                  <c:v>0.48</c:v>
                </c:pt>
                <c:pt idx="66">
                  <c:v>0.37</c:v>
                </c:pt>
                <c:pt idx="67">
                  <c:v>0.35</c:v>
                </c:pt>
                <c:pt idx="68">
                  <c:v>0.42</c:v>
                </c:pt>
                <c:pt idx="69">
                  <c:v>0.51</c:v>
                </c:pt>
                <c:pt idx="70">
                  <c:v>0.47</c:v>
                </c:pt>
                <c:pt idx="71">
                  <c:v>0.28999999999999998</c:v>
                </c:pt>
                <c:pt idx="72">
                  <c:v>0.28999999999999998</c:v>
                </c:pt>
                <c:pt idx="73">
                  <c:v>0.38</c:v>
                </c:pt>
                <c:pt idx="74">
                  <c:v>0.52</c:v>
                </c:pt>
                <c:pt idx="75">
                  <c:v>0.28999999999999998</c:v>
                </c:pt>
                <c:pt idx="76">
                  <c:v>0.34</c:v>
                </c:pt>
                <c:pt idx="77">
                  <c:v>0.4</c:v>
                </c:pt>
                <c:pt idx="78">
                  <c:v>0.24</c:v>
                </c:pt>
                <c:pt idx="79">
                  <c:v>0.36</c:v>
                </c:pt>
                <c:pt idx="80">
                  <c:v>0.2</c:v>
                </c:pt>
                <c:pt idx="81">
                  <c:v>0.41</c:v>
                </c:pt>
                <c:pt idx="82">
                  <c:v>0.24</c:v>
                </c:pt>
                <c:pt idx="83">
                  <c:v>0.2</c:v>
                </c:pt>
                <c:pt idx="84">
                  <c:v>0.42</c:v>
                </c:pt>
                <c:pt idx="85">
                  <c:v>0.31</c:v>
                </c:pt>
                <c:pt idx="86">
                  <c:v>0.41</c:v>
                </c:pt>
                <c:pt idx="87">
                  <c:v>0.47</c:v>
                </c:pt>
                <c:pt idx="88">
                  <c:v>0.42</c:v>
                </c:pt>
                <c:pt idx="89">
                  <c:v>0.39</c:v>
                </c:pt>
                <c:pt idx="90">
                  <c:v>0.4</c:v>
                </c:pt>
                <c:pt idx="91">
                  <c:v>0.33</c:v>
                </c:pt>
                <c:pt idx="92">
                  <c:v>0.46</c:v>
                </c:pt>
                <c:pt idx="93">
                  <c:v>0.33</c:v>
                </c:pt>
                <c:pt idx="94">
                  <c:v>0.33</c:v>
                </c:pt>
                <c:pt idx="95">
                  <c:v>0.36</c:v>
                </c:pt>
                <c:pt idx="96">
                  <c:v>0.41</c:v>
                </c:pt>
                <c:pt idx="97">
                  <c:v>0.33</c:v>
                </c:pt>
                <c:pt idx="98">
                  <c:v>0.37</c:v>
                </c:pt>
                <c:pt idx="99">
                  <c:v>0.47</c:v>
                </c:pt>
                <c:pt idx="100">
                  <c:v>0.33</c:v>
                </c:pt>
                <c:pt idx="101">
                  <c:v>0.36</c:v>
                </c:pt>
                <c:pt idx="102">
                  <c:v>0.33</c:v>
                </c:pt>
                <c:pt idx="103">
                  <c:v>0.54</c:v>
                </c:pt>
                <c:pt idx="104">
                  <c:v>0.37</c:v>
                </c:pt>
              </c:numCache>
            </c:numRef>
          </c:val>
          <c:smooth val="1"/>
          <c:extLst>
            <c:ext xmlns:c16="http://schemas.microsoft.com/office/drawing/2014/chart" uri="{C3380CC4-5D6E-409C-BE32-E72D297353CC}">
              <c16:uniqueId val="{00000004-3D46-4786-A38E-17F7AC7C4FF4}"/>
            </c:ext>
          </c:extLst>
        </c:ser>
        <c:ser>
          <c:idx val="5"/>
          <c:order val="5"/>
          <c:spPr>
            <a:ln cmpd="sng">
              <a:solidFill>
                <a:srgbClr val="46BDC6"/>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Iklan'!$G$1:$G$105</c:f>
              <c:numCache>
                <c:formatCode>General</c:formatCode>
                <c:ptCount val="105"/>
                <c:pt idx="0">
                  <c:v>26</c:v>
                </c:pt>
                <c:pt idx="1">
                  <c:v>26</c:v>
                </c:pt>
                <c:pt idx="2">
                  <c:v>26</c:v>
                </c:pt>
                <c:pt idx="3">
                  <c:v>33</c:v>
                </c:pt>
                <c:pt idx="4">
                  <c:v>27</c:v>
                </c:pt>
                <c:pt idx="5">
                  <c:v>29</c:v>
                </c:pt>
                <c:pt idx="6">
                  <c:v>32</c:v>
                </c:pt>
                <c:pt idx="7">
                  <c:v>28</c:v>
                </c:pt>
                <c:pt idx="8">
                  <c:v>26</c:v>
                </c:pt>
                <c:pt idx="9">
                  <c:v>20</c:v>
                </c:pt>
                <c:pt idx="10">
                  <c:v>30</c:v>
                </c:pt>
                <c:pt idx="11">
                  <c:v>25</c:v>
                </c:pt>
                <c:pt idx="12">
                  <c:v>30</c:v>
                </c:pt>
                <c:pt idx="13">
                  <c:v>18</c:v>
                </c:pt>
                <c:pt idx="14">
                  <c:v>21</c:v>
                </c:pt>
                <c:pt idx="15">
                  <c:v>19</c:v>
                </c:pt>
                <c:pt idx="16">
                  <c:v>22</c:v>
                </c:pt>
                <c:pt idx="17">
                  <c:v>28</c:v>
                </c:pt>
                <c:pt idx="18">
                  <c:v>28</c:v>
                </c:pt>
                <c:pt idx="19">
                  <c:v>25</c:v>
                </c:pt>
                <c:pt idx="20">
                  <c:v>23</c:v>
                </c:pt>
                <c:pt idx="21">
                  <c:v>22</c:v>
                </c:pt>
                <c:pt idx="22">
                  <c:v>25</c:v>
                </c:pt>
                <c:pt idx="23">
                  <c:v>23</c:v>
                </c:pt>
                <c:pt idx="24">
                  <c:v>23</c:v>
                </c:pt>
                <c:pt idx="25">
                  <c:v>19</c:v>
                </c:pt>
                <c:pt idx="26">
                  <c:v>20</c:v>
                </c:pt>
                <c:pt idx="27">
                  <c:v>23</c:v>
                </c:pt>
                <c:pt idx="28">
                  <c:v>22</c:v>
                </c:pt>
                <c:pt idx="29">
                  <c:v>17</c:v>
                </c:pt>
                <c:pt idx="30">
                  <c:v>19</c:v>
                </c:pt>
                <c:pt idx="31">
                  <c:v>18</c:v>
                </c:pt>
                <c:pt idx="32">
                  <c:v>18</c:v>
                </c:pt>
                <c:pt idx="33">
                  <c:v>16</c:v>
                </c:pt>
                <c:pt idx="34">
                  <c:v>24</c:v>
                </c:pt>
                <c:pt idx="35">
                  <c:v>17</c:v>
                </c:pt>
                <c:pt idx="36">
                  <c:v>18</c:v>
                </c:pt>
                <c:pt idx="37">
                  <c:v>25</c:v>
                </c:pt>
                <c:pt idx="38">
                  <c:v>16</c:v>
                </c:pt>
                <c:pt idx="39">
                  <c:v>22</c:v>
                </c:pt>
                <c:pt idx="40">
                  <c:v>19</c:v>
                </c:pt>
                <c:pt idx="41">
                  <c:v>21</c:v>
                </c:pt>
                <c:pt idx="42">
                  <c:v>24</c:v>
                </c:pt>
                <c:pt idx="43">
                  <c:v>17</c:v>
                </c:pt>
                <c:pt idx="44">
                  <c:v>14</c:v>
                </c:pt>
                <c:pt idx="45">
                  <c:v>15</c:v>
                </c:pt>
                <c:pt idx="46">
                  <c:v>11</c:v>
                </c:pt>
                <c:pt idx="47">
                  <c:v>8</c:v>
                </c:pt>
                <c:pt idx="48">
                  <c:v>12</c:v>
                </c:pt>
                <c:pt idx="49">
                  <c:v>9</c:v>
                </c:pt>
                <c:pt idx="50">
                  <c:v>9</c:v>
                </c:pt>
                <c:pt idx="51">
                  <c:v>17</c:v>
                </c:pt>
                <c:pt idx="52">
                  <c:v>15</c:v>
                </c:pt>
                <c:pt idx="53">
                  <c:v>19</c:v>
                </c:pt>
                <c:pt idx="54">
                  <c:v>18</c:v>
                </c:pt>
                <c:pt idx="55">
                  <c:v>21</c:v>
                </c:pt>
                <c:pt idx="56">
                  <c:v>20</c:v>
                </c:pt>
                <c:pt idx="57">
                  <c:v>16</c:v>
                </c:pt>
                <c:pt idx="58">
                  <c:v>15</c:v>
                </c:pt>
                <c:pt idx="59">
                  <c:v>18</c:v>
                </c:pt>
                <c:pt idx="60">
                  <c:v>15</c:v>
                </c:pt>
                <c:pt idx="61">
                  <c:v>16</c:v>
                </c:pt>
                <c:pt idx="62">
                  <c:v>17</c:v>
                </c:pt>
                <c:pt idx="63">
                  <c:v>31</c:v>
                </c:pt>
                <c:pt idx="64">
                  <c:v>23</c:v>
                </c:pt>
                <c:pt idx="65">
                  <c:v>15</c:v>
                </c:pt>
                <c:pt idx="66">
                  <c:v>16</c:v>
                </c:pt>
                <c:pt idx="67">
                  <c:v>16</c:v>
                </c:pt>
                <c:pt idx="68">
                  <c:v>15</c:v>
                </c:pt>
                <c:pt idx="69">
                  <c:v>15</c:v>
                </c:pt>
                <c:pt idx="70">
                  <c:v>9</c:v>
                </c:pt>
                <c:pt idx="71">
                  <c:v>19</c:v>
                </c:pt>
                <c:pt idx="72">
                  <c:v>19</c:v>
                </c:pt>
                <c:pt idx="73">
                  <c:v>9</c:v>
                </c:pt>
                <c:pt idx="74">
                  <c:v>9</c:v>
                </c:pt>
                <c:pt idx="75">
                  <c:v>20</c:v>
                </c:pt>
                <c:pt idx="76">
                  <c:v>16</c:v>
                </c:pt>
                <c:pt idx="77">
                  <c:v>17</c:v>
                </c:pt>
                <c:pt idx="78">
                  <c:v>10</c:v>
                </c:pt>
                <c:pt idx="79">
                  <c:v>18</c:v>
                </c:pt>
                <c:pt idx="80">
                  <c:v>2</c:v>
                </c:pt>
                <c:pt idx="81">
                  <c:v>16</c:v>
                </c:pt>
                <c:pt idx="82">
                  <c:v>21</c:v>
                </c:pt>
                <c:pt idx="83">
                  <c:v>22</c:v>
                </c:pt>
                <c:pt idx="84">
                  <c:v>16</c:v>
                </c:pt>
                <c:pt idx="85">
                  <c:v>22</c:v>
                </c:pt>
                <c:pt idx="86">
                  <c:v>17</c:v>
                </c:pt>
                <c:pt idx="87">
                  <c:v>18</c:v>
                </c:pt>
                <c:pt idx="88">
                  <c:v>13</c:v>
                </c:pt>
                <c:pt idx="89">
                  <c:v>20</c:v>
                </c:pt>
                <c:pt idx="90">
                  <c:v>14</c:v>
                </c:pt>
                <c:pt idx="91">
                  <c:v>12</c:v>
                </c:pt>
                <c:pt idx="92">
                  <c:v>14</c:v>
                </c:pt>
                <c:pt idx="93">
                  <c:v>14</c:v>
                </c:pt>
                <c:pt idx="94">
                  <c:v>18</c:v>
                </c:pt>
                <c:pt idx="95">
                  <c:v>16</c:v>
                </c:pt>
                <c:pt idx="96">
                  <c:v>19</c:v>
                </c:pt>
                <c:pt idx="97">
                  <c:v>18</c:v>
                </c:pt>
                <c:pt idx="98">
                  <c:v>21</c:v>
                </c:pt>
                <c:pt idx="99">
                  <c:v>15</c:v>
                </c:pt>
                <c:pt idx="100">
                  <c:v>17</c:v>
                </c:pt>
                <c:pt idx="101">
                  <c:v>10</c:v>
                </c:pt>
                <c:pt idx="102">
                  <c:v>16</c:v>
                </c:pt>
                <c:pt idx="103">
                  <c:v>13</c:v>
                </c:pt>
                <c:pt idx="104">
                  <c:v>17</c:v>
                </c:pt>
              </c:numCache>
            </c:numRef>
          </c:val>
          <c:smooth val="1"/>
          <c:extLst>
            <c:ext xmlns:c16="http://schemas.microsoft.com/office/drawing/2014/chart" uri="{C3380CC4-5D6E-409C-BE32-E72D297353CC}">
              <c16:uniqueId val="{00000005-3D46-4786-A38E-17F7AC7C4FF4}"/>
            </c:ext>
          </c:extLst>
        </c:ser>
        <c:ser>
          <c:idx val="6"/>
          <c:order val="6"/>
          <c:spPr>
            <a:ln cmpd="sng">
              <a:solidFill>
                <a:srgbClr val="7BAAF7"/>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Iklan'!$H$1:$H$105</c:f>
              <c:numCache>
                <c:formatCode>0%</c:formatCode>
                <c:ptCount val="105"/>
                <c:pt idx="0">
                  <c:v>0.28000000000000003</c:v>
                </c:pt>
                <c:pt idx="1">
                  <c:v>0.28000000000000003</c:v>
                </c:pt>
                <c:pt idx="2">
                  <c:v>0.28000000000000003</c:v>
                </c:pt>
                <c:pt idx="3">
                  <c:v>0.35</c:v>
                </c:pt>
                <c:pt idx="4">
                  <c:v>0.32</c:v>
                </c:pt>
                <c:pt idx="5">
                  <c:v>0.33</c:v>
                </c:pt>
                <c:pt idx="6">
                  <c:v>0.37</c:v>
                </c:pt>
                <c:pt idx="7">
                  <c:v>0.33</c:v>
                </c:pt>
                <c:pt idx="8">
                  <c:v>0.28999999999999998</c:v>
                </c:pt>
                <c:pt idx="9">
                  <c:v>0.24</c:v>
                </c:pt>
                <c:pt idx="10">
                  <c:v>0.33</c:v>
                </c:pt>
                <c:pt idx="11">
                  <c:v>0.28999999999999998</c:v>
                </c:pt>
                <c:pt idx="12">
                  <c:v>0.42</c:v>
                </c:pt>
                <c:pt idx="13">
                  <c:v>0.24</c:v>
                </c:pt>
                <c:pt idx="14">
                  <c:v>0.28000000000000003</c:v>
                </c:pt>
                <c:pt idx="15">
                  <c:v>0.25</c:v>
                </c:pt>
                <c:pt idx="16">
                  <c:v>0.27</c:v>
                </c:pt>
                <c:pt idx="17">
                  <c:v>0.32</c:v>
                </c:pt>
                <c:pt idx="18">
                  <c:v>0.34</c:v>
                </c:pt>
                <c:pt idx="19">
                  <c:v>0.32</c:v>
                </c:pt>
                <c:pt idx="20">
                  <c:v>0.3</c:v>
                </c:pt>
                <c:pt idx="21">
                  <c:v>0.31</c:v>
                </c:pt>
                <c:pt idx="22">
                  <c:v>0.35</c:v>
                </c:pt>
                <c:pt idx="23">
                  <c:v>0.33</c:v>
                </c:pt>
                <c:pt idx="24">
                  <c:v>0.34</c:v>
                </c:pt>
                <c:pt idx="25">
                  <c:v>0.3</c:v>
                </c:pt>
                <c:pt idx="26">
                  <c:v>0.34</c:v>
                </c:pt>
                <c:pt idx="27">
                  <c:v>0.41</c:v>
                </c:pt>
                <c:pt idx="28">
                  <c:v>0.39</c:v>
                </c:pt>
                <c:pt idx="29">
                  <c:v>0.28000000000000003</c:v>
                </c:pt>
                <c:pt idx="30">
                  <c:v>0.31</c:v>
                </c:pt>
                <c:pt idx="31">
                  <c:v>0.33</c:v>
                </c:pt>
                <c:pt idx="32">
                  <c:v>0.33</c:v>
                </c:pt>
                <c:pt idx="33">
                  <c:v>0.28999999999999998</c:v>
                </c:pt>
                <c:pt idx="34">
                  <c:v>0.4</c:v>
                </c:pt>
                <c:pt idx="35">
                  <c:v>0.28999999999999998</c:v>
                </c:pt>
                <c:pt idx="36">
                  <c:v>0.32</c:v>
                </c:pt>
                <c:pt idx="37">
                  <c:v>0.47</c:v>
                </c:pt>
                <c:pt idx="38">
                  <c:v>0.28999999999999998</c:v>
                </c:pt>
                <c:pt idx="39">
                  <c:v>0.47</c:v>
                </c:pt>
                <c:pt idx="40">
                  <c:v>0.35</c:v>
                </c:pt>
                <c:pt idx="41">
                  <c:v>0.4</c:v>
                </c:pt>
                <c:pt idx="42">
                  <c:v>0.46</c:v>
                </c:pt>
                <c:pt idx="43">
                  <c:v>0.35</c:v>
                </c:pt>
                <c:pt idx="44">
                  <c:v>0.3</c:v>
                </c:pt>
                <c:pt idx="45">
                  <c:v>0.35</c:v>
                </c:pt>
                <c:pt idx="46">
                  <c:v>0.28000000000000003</c:v>
                </c:pt>
                <c:pt idx="47">
                  <c:v>0.22</c:v>
                </c:pt>
                <c:pt idx="48">
                  <c:v>0.39</c:v>
                </c:pt>
                <c:pt idx="49">
                  <c:v>0.27</c:v>
                </c:pt>
                <c:pt idx="50">
                  <c:v>0.27</c:v>
                </c:pt>
                <c:pt idx="51">
                  <c:v>0.47</c:v>
                </c:pt>
                <c:pt idx="52">
                  <c:v>0.38</c:v>
                </c:pt>
                <c:pt idx="53">
                  <c:v>0.42</c:v>
                </c:pt>
                <c:pt idx="54">
                  <c:v>0.35</c:v>
                </c:pt>
                <c:pt idx="55">
                  <c:v>0.39</c:v>
                </c:pt>
                <c:pt idx="56">
                  <c:v>0.37</c:v>
                </c:pt>
                <c:pt idx="57">
                  <c:v>0.33</c:v>
                </c:pt>
                <c:pt idx="58">
                  <c:v>0.31</c:v>
                </c:pt>
                <c:pt idx="59">
                  <c:v>0.42</c:v>
                </c:pt>
                <c:pt idx="60">
                  <c:v>0.36</c:v>
                </c:pt>
                <c:pt idx="61">
                  <c:v>0.31</c:v>
                </c:pt>
                <c:pt idx="62">
                  <c:v>0.27</c:v>
                </c:pt>
                <c:pt idx="63">
                  <c:v>0.44</c:v>
                </c:pt>
                <c:pt idx="64">
                  <c:v>0.34</c:v>
                </c:pt>
                <c:pt idx="65">
                  <c:v>0.24</c:v>
                </c:pt>
                <c:pt idx="66">
                  <c:v>0.27</c:v>
                </c:pt>
                <c:pt idx="67">
                  <c:v>0.3</c:v>
                </c:pt>
                <c:pt idx="68">
                  <c:v>0.28000000000000003</c:v>
                </c:pt>
                <c:pt idx="69">
                  <c:v>0.26</c:v>
                </c:pt>
                <c:pt idx="70">
                  <c:v>0.19</c:v>
                </c:pt>
                <c:pt idx="71">
                  <c:v>0.37</c:v>
                </c:pt>
                <c:pt idx="72">
                  <c:v>0.42</c:v>
                </c:pt>
                <c:pt idx="73">
                  <c:v>0.28000000000000003</c:v>
                </c:pt>
                <c:pt idx="74">
                  <c:v>0.21</c:v>
                </c:pt>
                <c:pt idx="75">
                  <c:v>0.48</c:v>
                </c:pt>
                <c:pt idx="76">
                  <c:v>0.39</c:v>
                </c:pt>
                <c:pt idx="77">
                  <c:v>0.4</c:v>
                </c:pt>
                <c:pt idx="78">
                  <c:v>0.59</c:v>
                </c:pt>
                <c:pt idx="79">
                  <c:v>0.4</c:v>
                </c:pt>
                <c:pt idx="80">
                  <c:v>0.4</c:v>
                </c:pt>
                <c:pt idx="81">
                  <c:v>0.41</c:v>
                </c:pt>
                <c:pt idx="82">
                  <c:v>0.46</c:v>
                </c:pt>
                <c:pt idx="83">
                  <c:v>0.49</c:v>
                </c:pt>
                <c:pt idx="84">
                  <c:v>0.37</c:v>
                </c:pt>
                <c:pt idx="85">
                  <c:v>0.45</c:v>
                </c:pt>
                <c:pt idx="86">
                  <c:v>0.35</c:v>
                </c:pt>
                <c:pt idx="87">
                  <c:v>0.4</c:v>
                </c:pt>
                <c:pt idx="88">
                  <c:v>0.26</c:v>
                </c:pt>
                <c:pt idx="89">
                  <c:v>0.39</c:v>
                </c:pt>
                <c:pt idx="90">
                  <c:v>0.26</c:v>
                </c:pt>
                <c:pt idx="91">
                  <c:v>0.26</c:v>
                </c:pt>
                <c:pt idx="92">
                  <c:v>0.28000000000000003</c:v>
                </c:pt>
                <c:pt idx="93">
                  <c:v>0.27</c:v>
                </c:pt>
                <c:pt idx="94">
                  <c:v>0.35</c:v>
                </c:pt>
                <c:pt idx="95">
                  <c:v>0.36</c:v>
                </c:pt>
                <c:pt idx="96">
                  <c:v>0.41</c:v>
                </c:pt>
                <c:pt idx="97">
                  <c:v>0.42</c:v>
                </c:pt>
                <c:pt idx="98">
                  <c:v>0.43</c:v>
                </c:pt>
                <c:pt idx="99">
                  <c:v>0.31</c:v>
                </c:pt>
                <c:pt idx="100">
                  <c:v>0.38</c:v>
                </c:pt>
                <c:pt idx="101">
                  <c:v>0.23</c:v>
                </c:pt>
                <c:pt idx="102">
                  <c:v>0.36</c:v>
                </c:pt>
                <c:pt idx="103">
                  <c:v>0.35</c:v>
                </c:pt>
                <c:pt idx="104">
                  <c:v>0.41</c:v>
                </c:pt>
              </c:numCache>
            </c:numRef>
          </c:val>
          <c:smooth val="1"/>
          <c:extLst>
            <c:ext xmlns:c16="http://schemas.microsoft.com/office/drawing/2014/chart" uri="{C3380CC4-5D6E-409C-BE32-E72D297353CC}">
              <c16:uniqueId val="{00000006-3D46-4786-A38E-17F7AC7C4FF4}"/>
            </c:ext>
          </c:extLst>
        </c:ser>
        <c:ser>
          <c:idx val="7"/>
          <c:order val="7"/>
          <c:spPr>
            <a:ln cmpd="sng">
              <a:solidFill>
                <a:srgbClr val="F07B72"/>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Iklan'!$I$1:$I$105</c:f>
              <c:numCache>
                <c:formatCode>General</c:formatCode>
                <c:ptCount val="105"/>
                <c:pt idx="0">
                  <c:v>9</c:v>
                </c:pt>
                <c:pt idx="1">
                  <c:v>9</c:v>
                </c:pt>
                <c:pt idx="2">
                  <c:v>9</c:v>
                </c:pt>
                <c:pt idx="3">
                  <c:v>4</c:v>
                </c:pt>
                <c:pt idx="4">
                  <c:v>2</c:v>
                </c:pt>
                <c:pt idx="5">
                  <c:v>3</c:v>
                </c:pt>
                <c:pt idx="6">
                  <c:v>5</c:v>
                </c:pt>
                <c:pt idx="7">
                  <c:v>2</c:v>
                </c:pt>
                <c:pt idx="8">
                  <c:v>5</c:v>
                </c:pt>
                <c:pt idx="9">
                  <c:v>8</c:v>
                </c:pt>
                <c:pt idx="10">
                  <c:v>5</c:v>
                </c:pt>
                <c:pt idx="11">
                  <c:v>6</c:v>
                </c:pt>
                <c:pt idx="12">
                  <c:v>6</c:v>
                </c:pt>
                <c:pt idx="13">
                  <c:v>7</c:v>
                </c:pt>
                <c:pt idx="14">
                  <c:v>7</c:v>
                </c:pt>
                <c:pt idx="15">
                  <c:v>10</c:v>
                </c:pt>
                <c:pt idx="16">
                  <c:v>9</c:v>
                </c:pt>
                <c:pt idx="17">
                  <c:v>5</c:v>
                </c:pt>
                <c:pt idx="18">
                  <c:v>4</c:v>
                </c:pt>
                <c:pt idx="19">
                  <c:v>5</c:v>
                </c:pt>
                <c:pt idx="20">
                  <c:v>8</c:v>
                </c:pt>
                <c:pt idx="21">
                  <c:v>9</c:v>
                </c:pt>
                <c:pt idx="22">
                  <c:v>5</c:v>
                </c:pt>
                <c:pt idx="23">
                  <c:v>5</c:v>
                </c:pt>
                <c:pt idx="24">
                  <c:v>5</c:v>
                </c:pt>
                <c:pt idx="25">
                  <c:v>7</c:v>
                </c:pt>
                <c:pt idx="26">
                  <c:v>5</c:v>
                </c:pt>
                <c:pt idx="27">
                  <c:v>5</c:v>
                </c:pt>
                <c:pt idx="28">
                  <c:v>4</c:v>
                </c:pt>
                <c:pt idx="29">
                  <c:v>7</c:v>
                </c:pt>
                <c:pt idx="30">
                  <c:v>5</c:v>
                </c:pt>
                <c:pt idx="31">
                  <c:v>4</c:v>
                </c:pt>
                <c:pt idx="32">
                  <c:v>6</c:v>
                </c:pt>
                <c:pt idx="33">
                  <c:v>7</c:v>
                </c:pt>
                <c:pt idx="34">
                  <c:v>6</c:v>
                </c:pt>
                <c:pt idx="35">
                  <c:v>8</c:v>
                </c:pt>
                <c:pt idx="36">
                  <c:v>6</c:v>
                </c:pt>
                <c:pt idx="37">
                  <c:v>2</c:v>
                </c:pt>
                <c:pt idx="38">
                  <c:v>3</c:v>
                </c:pt>
                <c:pt idx="39">
                  <c:v>3</c:v>
                </c:pt>
                <c:pt idx="40">
                  <c:v>5</c:v>
                </c:pt>
                <c:pt idx="41">
                  <c:v>3</c:v>
                </c:pt>
                <c:pt idx="42">
                  <c:v>2</c:v>
                </c:pt>
                <c:pt idx="43">
                  <c:v>5</c:v>
                </c:pt>
                <c:pt idx="44">
                  <c:v>0</c:v>
                </c:pt>
                <c:pt idx="45">
                  <c:v>0</c:v>
                </c:pt>
                <c:pt idx="46">
                  <c:v>4</c:v>
                </c:pt>
                <c:pt idx="47">
                  <c:v>4</c:v>
                </c:pt>
                <c:pt idx="48">
                  <c:v>4</c:v>
                </c:pt>
                <c:pt idx="49">
                  <c:v>4</c:v>
                </c:pt>
                <c:pt idx="50">
                  <c:v>4</c:v>
                </c:pt>
                <c:pt idx="51">
                  <c:v>2</c:v>
                </c:pt>
                <c:pt idx="52">
                  <c:v>1</c:v>
                </c:pt>
                <c:pt idx="53">
                  <c:v>6</c:v>
                </c:pt>
                <c:pt idx="54">
                  <c:v>6</c:v>
                </c:pt>
                <c:pt idx="55">
                  <c:v>7</c:v>
                </c:pt>
                <c:pt idx="56">
                  <c:v>6</c:v>
                </c:pt>
                <c:pt idx="57">
                  <c:v>11</c:v>
                </c:pt>
                <c:pt idx="58">
                  <c:v>7</c:v>
                </c:pt>
                <c:pt idx="59">
                  <c:v>3</c:v>
                </c:pt>
                <c:pt idx="60">
                  <c:v>8</c:v>
                </c:pt>
                <c:pt idx="61">
                  <c:v>7</c:v>
                </c:pt>
                <c:pt idx="62">
                  <c:v>10</c:v>
                </c:pt>
                <c:pt idx="63">
                  <c:v>6</c:v>
                </c:pt>
                <c:pt idx="64">
                  <c:v>9</c:v>
                </c:pt>
                <c:pt idx="65">
                  <c:v>8</c:v>
                </c:pt>
                <c:pt idx="66">
                  <c:v>10</c:v>
                </c:pt>
                <c:pt idx="67">
                  <c:v>11</c:v>
                </c:pt>
                <c:pt idx="68">
                  <c:v>8</c:v>
                </c:pt>
                <c:pt idx="69">
                  <c:v>8</c:v>
                </c:pt>
                <c:pt idx="70">
                  <c:v>11</c:v>
                </c:pt>
                <c:pt idx="71">
                  <c:v>8</c:v>
                </c:pt>
                <c:pt idx="72">
                  <c:v>7</c:v>
                </c:pt>
                <c:pt idx="73">
                  <c:v>6</c:v>
                </c:pt>
                <c:pt idx="74">
                  <c:v>9</c:v>
                </c:pt>
                <c:pt idx="75">
                  <c:v>5</c:v>
                </c:pt>
                <c:pt idx="76">
                  <c:v>5</c:v>
                </c:pt>
                <c:pt idx="77">
                  <c:v>3</c:v>
                </c:pt>
                <c:pt idx="78">
                  <c:v>1</c:v>
                </c:pt>
                <c:pt idx="79">
                  <c:v>5</c:v>
                </c:pt>
                <c:pt idx="80">
                  <c:v>1</c:v>
                </c:pt>
                <c:pt idx="81">
                  <c:v>3</c:v>
                </c:pt>
                <c:pt idx="82">
                  <c:v>6</c:v>
                </c:pt>
                <c:pt idx="83">
                  <c:v>8</c:v>
                </c:pt>
                <c:pt idx="84">
                  <c:v>6</c:v>
                </c:pt>
                <c:pt idx="85">
                  <c:v>6</c:v>
                </c:pt>
                <c:pt idx="86">
                  <c:v>5</c:v>
                </c:pt>
                <c:pt idx="87">
                  <c:v>5</c:v>
                </c:pt>
                <c:pt idx="88">
                  <c:v>6</c:v>
                </c:pt>
                <c:pt idx="89">
                  <c:v>5</c:v>
                </c:pt>
                <c:pt idx="90">
                  <c:v>7</c:v>
                </c:pt>
                <c:pt idx="91">
                  <c:v>5</c:v>
                </c:pt>
                <c:pt idx="92">
                  <c:v>6</c:v>
                </c:pt>
                <c:pt idx="93">
                  <c:v>5</c:v>
                </c:pt>
                <c:pt idx="94">
                  <c:v>6</c:v>
                </c:pt>
                <c:pt idx="95">
                  <c:v>5</c:v>
                </c:pt>
                <c:pt idx="96">
                  <c:v>3</c:v>
                </c:pt>
                <c:pt idx="97">
                  <c:v>2</c:v>
                </c:pt>
                <c:pt idx="98">
                  <c:v>4</c:v>
                </c:pt>
                <c:pt idx="99">
                  <c:v>4</c:v>
                </c:pt>
                <c:pt idx="100">
                  <c:v>2</c:v>
                </c:pt>
                <c:pt idx="101">
                  <c:v>4</c:v>
                </c:pt>
                <c:pt idx="102">
                  <c:v>4</c:v>
                </c:pt>
                <c:pt idx="103">
                  <c:v>1</c:v>
                </c:pt>
                <c:pt idx="104">
                  <c:v>3</c:v>
                </c:pt>
              </c:numCache>
            </c:numRef>
          </c:val>
          <c:smooth val="1"/>
          <c:extLst>
            <c:ext xmlns:c16="http://schemas.microsoft.com/office/drawing/2014/chart" uri="{C3380CC4-5D6E-409C-BE32-E72D297353CC}">
              <c16:uniqueId val="{00000007-3D46-4786-A38E-17F7AC7C4FF4}"/>
            </c:ext>
          </c:extLst>
        </c:ser>
        <c:ser>
          <c:idx val="8"/>
          <c:order val="8"/>
          <c:spPr>
            <a:ln cmpd="sng">
              <a:solidFill>
                <a:srgbClr val="FCD04F"/>
              </a:solidFill>
            </a:ln>
          </c:spPr>
          <c:marker>
            <c:symbol val="none"/>
          </c:marker>
          <c:cat>
            <c:strRef>
              <c:f>'Rekap Performa Iklan'!$A$1:$A$105</c:f>
              <c:strCache>
                <c:ptCount val="105"/>
                <c:pt idx="0">
                  <c:v>05-11-2025</c:v>
                </c:pt>
                <c:pt idx="1">
                  <c:v>06-11-2025</c:v>
                </c:pt>
                <c:pt idx="2">
                  <c:v>07-11-2025</c:v>
                </c:pt>
                <c:pt idx="3">
                  <c:v>06-11-2025</c:v>
                </c:pt>
                <c:pt idx="4">
                  <c:v>07-11-2025</c:v>
                </c:pt>
                <c:pt idx="5">
                  <c:v>08-11-2025</c:v>
                </c:pt>
                <c:pt idx="6">
                  <c:v>09-11-2025</c:v>
                </c:pt>
                <c:pt idx="7">
                  <c:v>10-11-2025</c:v>
                </c:pt>
                <c:pt idx="8">
                  <c:v>11-11-2025</c:v>
                </c:pt>
                <c:pt idx="9">
                  <c:v>13-11-2025</c:v>
                </c:pt>
                <c:pt idx="10">
                  <c:v>14-11-2025</c:v>
                </c:pt>
                <c:pt idx="11">
                  <c:v>15-11-2025</c:v>
                </c:pt>
                <c:pt idx="12">
                  <c:v>16-11-2025</c:v>
                </c:pt>
                <c:pt idx="13">
                  <c:v>18-11-2025</c:v>
                </c:pt>
                <c:pt idx="14">
                  <c:v>19-11-2025</c:v>
                </c:pt>
                <c:pt idx="15">
                  <c:v>20-11-2025</c:v>
                </c:pt>
                <c:pt idx="16">
                  <c:v>21-11-2025</c:v>
                </c:pt>
                <c:pt idx="17">
                  <c:v>22-11-2025</c:v>
                </c:pt>
                <c:pt idx="18">
                  <c:v>23-11-2025</c:v>
                </c:pt>
                <c:pt idx="19">
                  <c:v>24-11-2025</c:v>
                </c:pt>
                <c:pt idx="20">
                  <c:v>25-11-2025</c:v>
                </c:pt>
                <c:pt idx="21">
                  <c:v>26-11-2025</c:v>
                </c:pt>
                <c:pt idx="22">
                  <c:v>27-11-2025</c:v>
                </c:pt>
                <c:pt idx="23">
                  <c:v>28-11-2025</c:v>
                </c:pt>
                <c:pt idx="24">
                  <c:v>29-11-2025</c:v>
                </c:pt>
                <c:pt idx="25">
                  <c:v>30-11-2025</c:v>
                </c:pt>
                <c:pt idx="26">
                  <c:v>01-12-2025</c:v>
                </c:pt>
                <c:pt idx="27">
                  <c:v>02-12-2025</c:v>
                </c:pt>
                <c:pt idx="28">
                  <c:v>03-12-2025</c:v>
                </c:pt>
                <c:pt idx="29">
                  <c:v>04-12-2025</c:v>
                </c:pt>
                <c:pt idx="30">
                  <c:v>05-12-2025</c:v>
                </c:pt>
                <c:pt idx="31">
                  <c:v>06-12-2025</c:v>
                </c:pt>
                <c:pt idx="32">
                  <c:v>07-12-2025</c:v>
                </c:pt>
                <c:pt idx="33">
                  <c:v>08-12-2025</c:v>
                </c:pt>
                <c:pt idx="34">
                  <c:v>09-12-2025</c:v>
                </c:pt>
                <c:pt idx="35">
                  <c:v>10-12-2025</c:v>
                </c:pt>
                <c:pt idx="36">
                  <c:v>11-12-2025</c:v>
                </c:pt>
                <c:pt idx="37">
                  <c:v>12-12-2025</c:v>
                </c:pt>
                <c:pt idx="38">
                  <c:v>13-12-2025</c:v>
                </c:pt>
                <c:pt idx="39">
                  <c:v>14-12-2025</c:v>
                </c:pt>
                <c:pt idx="40">
                  <c:v>15-12-2025</c:v>
                </c:pt>
                <c:pt idx="41">
                  <c:v>16-12-2025</c:v>
                </c:pt>
                <c:pt idx="42">
                  <c:v>17-12-2025</c:v>
                </c:pt>
                <c:pt idx="43">
                  <c:v>18-12-2025</c:v>
                </c:pt>
                <c:pt idx="44">
                  <c:v>19-12-2025</c:v>
                </c:pt>
                <c:pt idx="45">
                  <c:v>20-12-2025</c:v>
                </c:pt>
                <c:pt idx="46">
                  <c:v>21-12-2025</c:v>
                </c:pt>
                <c:pt idx="47">
                  <c:v>22-12-2025</c:v>
                </c:pt>
                <c:pt idx="48">
                  <c:v>23-12-2025</c:v>
                </c:pt>
                <c:pt idx="49">
                  <c:v>24-12-2025</c:v>
                </c:pt>
                <c:pt idx="50">
                  <c:v>25-12-2025</c:v>
                </c:pt>
                <c:pt idx="51">
                  <c:v>26-12-2025</c:v>
                </c:pt>
                <c:pt idx="52">
                  <c:v>27-12-2025</c:v>
                </c:pt>
                <c:pt idx="53">
                  <c:v>28-12-2025</c:v>
                </c:pt>
                <c:pt idx="54">
                  <c:v>29-12-2025</c:v>
                </c:pt>
                <c:pt idx="55">
                  <c:v>30-12-2025</c:v>
                </c:pt>
                <c:pt idx="56">
                  <c:v>31-12-2025</c:v>
                </c:pt>
                <c:pt idx="57">
                  <c:v>01-01-2026</c:v>
                </c:pt>
                <c:pt idx="58">
                  <c:v>02-01-2026</c:v>
                </c:pt>
                <c:pt idx="59">
                  <c:v>03-01-2026</c:v>
                </c:pt>
                <c:pt idx="60">
                  <c:v>04-01-2026</c:v>
                </c:pt>
                <c:pt idx="61">
                  <c:v>05-01-2026</c:v>
                </c:pt>
                <c:pt idx="62">
                  <c:v>06-01-2026</c:v>
                </c:pt>
                <c:pt idx="63">
                  <c:v>07-01-2026</c:v>
                </c:pt>
                <c:pt idx="64">
                  <c:v>08-01-2026</c:v>
                </c:pt>
                <c:pt idx="65">
                  <c:v>09-01-2026</c:v>
                </c:pt>
                <c:pt idx="66">
                  <c:v>10-01-2026</c:v>
                </c:pt>
                <c:pt idx="67">
                  <c:v>11-01-2026</c:v>
                </c:pt>
                <c:pt idx="68">
                  <c:v>13-01-2026</c:v>
                </c:pt>
                <c:pt idx="69">
                  <c:v>14-01-2026</c:v>
                </c:pt>
                <c:pt idx="70">
                  <c:v>15-01-2026</c:v>
                </c:pt>
                <c:pt idx="71">
                  <c:v>16-01-2026</c:v>
                </c:pt>
                <c:pt idx="72">
                  <c:v>17-01-2026</c:v>
                </c:pt>
                <c:pt idx="73">
                  <c:v>18-01-2026</c:v>
                </c:pt>
                <c:pt idx="74">
                  <c:v>19-01-2026</c:v>
                </c:pt>
                <c:pt idx="75">
                  <c:v>20-01-2026</c:v>
                </c:pt>
                <c:pt idx="76">
                  <c:v>21-01-2026</c:v>
                </c:pt>
                <c:pt idx="77">
                  <c:v>22-01-2026</c:v>
                </c:pt>
                <c:pt idx="78">
                  <c:v>23-01-2026</c:v>
                </c:pt>
                <c:pt idx="79">
                  <c:v>24-01-2026</c:v>
                </c:pt>
                <c:pt idx="80">
                  <c:v>25-01-2026</c:v>
                </c:pt>
                <c:pt idx="81">
                  <c:v>26-01-2026</c:v>
                </c:pt>
                <c:pt idx="82">
                  <c:v>27-01-2026</c:v>
                </c:pt>
                <c:pt idx="83">
                  <c:v>28-01-2026</c:v>
                </c:pt>
                <c:pt idx="84">
                  <c:v>29-01-2026</c:v>
                </c:pt>
                <c:pt idx="85">
                  <c:v>30-01-2026</c:v>
                </c:pt>
                <c:pt idx="86">
                  <c:v>31-01-2026</c:v>
                </c:pt>
                <c:pt idx="87">
                  <c:v>01-02-2026</c:v>
                </c:pt>
                <c:pt idx="88">
                  <c:v>02-02-2026</c:v>
                </c:pt>
                <c:pt idx="89">
                  <c:v>03-02-2026</c:v>
                </c:pt>
                <c:pt idx="90">
                  <c:v>04-02-2026</c:v>
                </c:pt>
                <c:pt idx="91">
                  <c:v>05-02-2026</c:v>
                </c:pt>
                <c:pt idx="92">
                  <c:v>06-02-2026</c:v>
                </c:pt>
                <c:pt idx="93">
                  <c:v>07-02-2026</c:v>
                </c:pt>
                <c:pt idx="94">
                  <c:v>08-02-2026</c:v>
                </c:pt>
                <c:pt idx="95">
                  <c:v>09-02-2026</c:v>
                </c:pt>
                <c:pt idx="96">
                  <c:v>10-02-2026</c:v>
                </c:pt>
                <c:pt idx="97">
                  <c:v>11-02-2026</c:v>
                </c:pt>
                <c:pt idx="98">
                  <c:v>12-02-2026</c:v>
                </c:pt>
                <c:pt idx="99">
                  <c:v>13-02-2026</c:v>
                </c:pt>
                <c:pt idx="100">
                  <c:v>14-02-2026</c:v>
                </c:pt>
                <c:pt idx="101">
                  <c:v>15-02-2026</c:v>
                </c:pt>
                <c:pt idx="102">
                  <c:v>16-02-2026</c:v>
                </c:pt>
                <c:pt idx="103">
                  <c:v>17-02-2026</c:v>
                </c:pt>
                <c:pt idx="104">
                  <c:v>18-02-2026</c:v>
                </c:pt>
              </c:strCache>
            </c:strRef>
          </c:cat>
          <c:val>
            <c:numRef>
              <c:f>'Rekap Performa Iklan'!$J$1:$J$105</c:f>
              <c:numCache>
                <c:formatCode>0%</c:formatCode>
                <c:ptCount val="105"/>
                <c:pt idx="0">
                  <c:v>0.1</c:v>
                </c:pt>
                <c:pt idx="1">
                  <c:v>0.1</c:v>
                </c:pt>
                <c:pt idx="2">
                  <c:v>0.1</c:v>
                </c:pt>
                <c:pt idx="3">
                  <c:v>0.04</c:v>
                </c:pt>
                <c:pt idx="4">
                  <c:v>0.02</c:v>
                </c:pt>
                <c:pt idx="5">
                  <c:v>0.03</c:v>
                </c:pt>
                <c:pt idx="6">
                  <c:v>0.06</c:v>
                </c:pt>
                <c:pt idx="7">
                  <c:v>0.02</c:v>
                </c:pt>
                <c:pt idx="8">
                  <c:v>0.06</c:v>
                </c:pt>
                <c:pt idx="9">
                  <c:v>0.09</c:v>
                </c:pt>
                <c:pt idx="10">
                  <c:v>0.05</c:v>
                </c:pt>
                <c:pt idx="11">
                  <c:v>7.0000000000000007E-2</c:v>
                </c:pt>
                <c:pt idx="12">
                  <c:v>0.08</c:v>
                </c:pt>
                <c:pt idx="13">
                  <c:v>0.09</c:v>
                </c:pt>
                <c:pt idx="14">
                  <c:v>0.09</c:v>
                </c:pt>
                <c:pt idx="15">
                  <c:v>0.13</c:v>
                </c:pt>
                <c:pt idx="16">
                  <c:v>0.11</c:v>
                </c:pt>
                <c:pt idx="17">
                  <c:v>0.06</c:v>
                </c:pt>
                <c:pt idx="18">
                  <c:v>0.05</c:v>
                </c:pt>
                <c:pt idx="19">
                  <c:v>0.06</c:v>
                </c:pt>
                <c:pt idx="20">
                  <c:v>0.11</c:v>
                </c:pt>
                <c:pt idx="21">
                  <c:v>0.13</c:v>
                </c:pt>
                <c:pt idx="22">
                  <c:v>7.0000000000000007E-2</c:v>
                </c:pt>
                <c:pt idx="23">
                  <c:v>7.0000000000000007E-2</c:v>
                </c:pt>
                <c:pt idx="24">
                  <c:v>7.0000000000000007E-2</c:v>
                </c:pt>
                <c:pt idx="25">
                  <c:v>0.11</c:v>
                </c:pt>
                <c:pt idx="26">
                  <c:v>0.08</c:v>
                </c:pt>
                <c:pt idx="27">
                  <c:v>0.09</c:v>
                </c:pt>
                <c:pt idx="28">
                  <c:v>7.0000000000000007E-2</c:v>
                </c:pt>
                <c:pt idx="29">
                  <c:v>0.11</c:v>
                </c:pt>
                <c:pt idx="30">
                  <c:v>0.08</c:v>
                </c:pt>
                <c:pt idx="31">
                  <c:v>7.0000000000000007E-2</c:v>
                </c:pt>
                <c:pt idx="32">
                  <c:v>0.11</c:v>
                </c:pt>
                <c:pt idx="33">
                  <c:v>0.13</c:v>
                </c:pt>
                <c:pt idx="34">
                  <c:v>0.1</c:v>
                </c:pt>
                <c:pt idx="35">
                  <c:v>0.14000000000000001</c:v>
                </c:pt>
                <c:pt idx="36">
                  <c:v>0.11</c:v>
                </c:pt>
                <c:pt idx="37">
                  <c:v>0.04</c:v>
                </c:pt>
                <c:pt idx="38">
                  <c:v>0.05</c:v>
                </c:pt>
                <c:pt idx="39">
                  <c:v>0.06</c:v>
                </c:pt>
                <c:pt idx="40">
                  <c:v>0.09</c:v>
                </c:pt>
                <c:pt idx="41">
                  <c:v>0.06</c:v>
                </c:pt>
                <c:pt idx="42">
                  <c:v>0.04</c:v>
                </c:pt>
                <c:pt idx="43">
                  <c:v>0.1</c:v>
                </c:pt>
                <c:pt idx="44">
                  <c:v>0</c:v>
                </c:pt>
                <c:pt idx="45">
                  <c:v>0</c:v>
                </c:pt>
                <c:pt idx="46">
                  <c:v>0.1</c:v>
                </c:pt>
                <c:pt idx="47">
                  <c:v>0.11</c:v>
                </c:pt>
                <c:pt idx="48">
                  <c:v>0.13</c:v>
                </c:pt>
                <c:pt idx="49">
                  <c:v>0.12</c:v>
                </c:pt>
                <c:pt idx="50">
                  <c:v>0.12</c:v>
                </c:pt>
                <c:pt idx="51">
                  <c:v>0.06</c:v>
                </c:pt>
                <c:pt idx="52">
                  <c:v>0.03</c:v>
                </c:pt>
                <c:pt idx="53">
                  <c:v>0.13</c:v>
                </c:pt>
                <c:pt idx="54">
                  <c:v>0.12</c:v>
                </c:pt>
                <c:pt idx="55">
                  <c:v>0.13</c:v>
                </c:pt>
                <c:pt idx="56">
                  <c:v>0.11</c:v>
                </c:pt>
                <c:pt idx="57">
                  <c:v>0.22</c:v>
                </c:pt>
                <c:pt idx="58">
                  <c:v>0.15</c:v>
                </c:pt>
                <c:pt idx="59">
                  <c:v>7.0000000000000007E-2</c:v>
                </c:pt>
                <c:pt idx="60">
                  <c:v>0.19</c:v>
                </c:pt>
                <c:pt idx="61">
                  <c:v>0.13</c:v>
                </c:pt>
                <c:pt idx="62">
                  <c:v>0.16</c:v>
                </c:pt>
                <c:pt idx="63">
                  <c:v>0.08</c:v>
                </c:pt>
                <c:pt idx="64">
                  <c:v>0.13</c:v>
                </c:pt>
                <c:pt idx="65">
                  <c:v>0.13</c:v>
                </c:pt>
                <c:pt idx="66">
                  <c:v>0.17</c:v>
                </c:pt>
                <c:pt idx="67">
                  <c:v>0.2</c:v>
                </c:pt>
                <c:pt idx="68">
                  <c:v>0.15</c:v>
                </c:pt>
                <c:pt idx="69">
                  <c:v>0.14000000000000001</c:v>
                </c:pt>
                <c:pt idx="70">
                  <c:v>0.23</c:v>
                </c:pt>
                <c:pt idx="71">
                  <c:v>0.16</c:v>
                </c:pt>
                <c:pt idx="72">
                  <c:v>0.16</c:v>
                </c:pt>
                <c:pt idx="73">
                  <c:v>0.19</c:v>
                </c:pt>
                <c:pt idx="74">
                  <c:v>0.21</c:v>
                </c:pt>
                <c:pt idx="75">
                  <c:v>0.12</c:v>
                </c:pt>
                <c:pt idx="76">
                  <c:v>0.12</c:v>
                </c:pt>
                <c:pt idx="77">
                  <c:v>7.0000000000000007E-2</c:v>
                </c:pt>
                <c:pt idx="78">
                  <c:v>0.06</c:v>
                </c:pt>
                <c:pt idx="79">
                  <c:v>0.11</c:v>
                </c:pt>
                <c:pt idx="80">
                  <c:v>0.2</c:v>
                </c:pt>
                <c:pt idx="81">
                  <c:v>0.08</c:v>
                </c:pt>
                <c:pt idx="82">
                  <c:v>0.13</c:v>
                </c:pt>
                <c:pt idx="83">
                  <c:v>0.18</c:v>
                </c:pt>
                <c:pt idx="84">
                  <c:v>0.14000000000000001</c:v>
                </c:pt>
                <c:pt idx="85">
                  <c:v>0.12</c:v>
                </c:pt>
                <c:pt idx="86">
                  <c:v>0.1</c:v>
                </c:pt>
                <c:pt idx="87">
                  <c:v>0.11</c:v>
                </c:pt>
                <c:pt idx="88">
                  <c:v>0.12</c:v>
                </c:pt>
                <c:pt idx="89">
                  <c:v>0.1</c:v>
                </c:pt>
                <c:pt idx="90">
                  <c:v>0.13</c:v>
                </c:pt>
                <c:pt idx="91">
                  <c:v>0.11</c:v>
                </c:pt>
                <c:pt idx="92">
                  <c:v>0.12</c:v>
                </c:pt>
                <c:pt idx="93">
                  <c:v>0.1</c:v>
                </c:pt>
                <c:pt idx="94">
                  <c:v>0.12</c:v>
                </c:pt>
                <c:pt idx="95">
                  <c:v>0.11</c:v>
                </c:pt>
                <c:pt idx="96">
                  <c:v>7.0000000000000007E-2</c:v>
                </c:pt>
                <c:pt idx="97">
                  <c:v>0.05</c:v>
                </c:pt>
                <c:pt idx="98">
                  <c:v>0.08</c:v>
                </c:pt>
                <c:pt idx="99">
                  <c:v>0.08</c:v>
                </c:pt>
                <c:pt idx="100">
                  <c:v>0.04</c:v>
                </c:pt>
                <c:pt idx="101">
                  <c:v>0.09</c:v>
                </c:pt>
                <c:pt idx="102">
                  <c:v>0.09</c:v>
                </c:pt>
                <c:pt idx="103">
                  <c:v>0.03</c:v>
                </c:pt>
                <c:pt idx="104">
                  <c:v>7.0000000000000007E-2</c:v>
                </c:pt>
              </c:numCache>
            </c:numRef>
          </c:val>
          <c:smooth val="1"/>
          <c:extLst>
            <c:ext xmlns:c16="http://schemas.microsoft.com/office/drawing/2014/chart" uri="{C3380CC4-5D6E-409C-BE32-E72D297353CC}">
              <c16:uniqueId val="{00000008-3D46-4786-A38E-17F7AC7C4FF4}"/>
            </c:ext>
          </c:extLst>
        </c:ser>
        <c:dLbls>
          <c:showLegendKey val="0"/>
          <c:showVal val="0"/>
          <c:showCatName val="0"/>
          <c:showSerName val="0"/>
          <c:showPercent val="0"/>
          <c:showBubbleSize val="0"/>
        </c:dLbls>
        <c:smooth val="0"/>
        <c:axId val="2033573752"/>
        <c:axId val="1860216299"/>
      </c:lineChart>
      <c:catAx>
        <c:axId val="20335737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60216299"/>
        <c:crosses val="autoZero"/>
        <c:auto val="1"/>
        <c:lblAlgn val="ctr"/>
        <c:lblOffset val="100"/>
        <c:noMultiLvlLbl val="1"/>
      </c:catAx>
      <c:valAx>
        <c:axId val="1860216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33573752"/>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0</xdr:colOff>
      <xdr:row>2</xdr:row>
      <xdr:rowOff>0</xdr:rowOff>
    </xdr:from>
    <xdr:ext cx="5715000" cy="3533775"/>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6829">
  <tableColumns count="15">
    <tableColumn id="1" xr3:uid="{00000000-0010-0000-0000-000001000000}" name="AkunIklanId"/>
    <tableColumn id="2" xr3:uid="{00000000-0010-0000-0000-000002000000}" name="NamaAkun"/>
    <tableColumn id="3" xr3:uid="{00000000-0010-0000-0000-000003000000}" name="KampanyeId"/>
    <tableColumn id="4" xr3:uid="{00000000-0010-0000-0000-000004000000}" name="Nama Usaha"/>
    <tableColumn id="5" xr3:uid="{00000000-0010-0000-0000-000005000000}" name="Whatsapp"/>
    <tableColumn id="6" xr3:uid="{00000000-0010-0000-0000-000006000000}" name="Tanggal"/>
    <tableColumn id="7" xr3:uid="{00000000-0010-0000-0000-000007000000}" name="Reach"/>
    <tableColumn id="8" xr3:uid="{00000000-0010-0000-0000-000008000000}" name="CPM"/>
    <tableColumn id="9" xr3:uid="{00000000-0010-0000-0000-000009000000}" name="LinkKlik"/>
    <tableColumn id="10" xr3:uid="{00000000-0010-0000-0000-00000A000000}" name="Spend"/>
    <tableColumn id="11" xr3:uid="{00000000-0010-0000-0000-00000B000000}" name="KlikWA"/>
    <tableColumn id="12" xr3:uid="{00000000-0010-0000-0000-00000C000000}" name="VideoView"/>
    <tableColumn id="13" xr3:uid="{00000000-0010-0000-0000-00000D000000}" name="Komentar"/>
    <tableColumn id="14" xr3:uid="{00000000-0010-0000-0000-00000E000000}" name="Nama Kampanye"/>
    <tableColumn id="15" xr3:uid="{00000000-0010-0000-0000-00000F000000}" name="Column 1"/>
  </tableColumns>
  <tableStyleInfo name="Performa Iklan Klie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a.me/6285167231114" TargetMode="External"/><Relationship Id="rId21" Type="http://schemas.openxmlformats.org/officeDocument/2006/relationships/hyperlink" Target="https://wa.me/6288242107169" TargetMode="External"/><Relationship Id="rId170" Type="http://schemas.openxmlformats.org/officeDocument/2006/relationships/hyperlink" Target="https://wa.me/6285863299162" TargetMode="External"/><Relationship Id="rId268" Type="http://schemas.openxmlformats.org/officeDocument/2006/relationships/hyperlink" Target="https://wa.me/6283845117965" TargetMode="External"/><Relationship Id="rId475" Type="http://schemas.openxmlformats.org/officeDocument/2006/relationships/hyperlink" Target="https://wa.me/6283831211890" TargetMode="External"/><Relationship Id="rId682" Type="http://schemas.openxmlformats.org/officeDocument/2006/relationships/hyperlink" Target="https://wa.me/6282384370009" TargetMode="External"/><Relationship Id="rId128" Type="http://schemas.openxmlformats.org/officeDocument/2006/relationships/hyperlink" Target="https://wa.me/6282122880328" TargetMode="External"/><Relationship Id="rId335" Type="http://schemas.openxmlformats.org/officeDocument/2006/relationships/hyperlink" Target="https://wa.me/6283870060603" TargetMode="External"/><Relationship Id="rId542" Type="http://schemas.openxmlformats.org/officeDocument/2006/relationships/hyperlink" Target="https://wa.me/6282245454940" TargetMode="External"/><Relationship Id="rId987" Type="http://schemas.openxmlformats.org/officeDocument/2006/relationships/hyperlink" Target="https://wa.me/6287888330007" TargetMode="External"/><Relationship Id="rId1172" Type="http://schemas.openxmlformats.org/officeDocument/2006/relationships/hyperlink" Target="https://wa.me/6281338789995" TargetMode="External"/><Relationship Id="rId402" Type="http://schemas.openxmlformats.org/officeDocument/2006/relationships/hyperlink" Target="https://wa.me/6285267044893" TargetMode="External"/><Relationship Id="rId847" Type="http://schemas.openxmlformats.org/officeDocument/2006/relationships/hyperlink" Target="https://wa.me/62817308228" TargetMode="External"/><Relationship Id="rId1032" Type="http://schemas.openxmlformats.org/officeDocument/2006/relationships/hyperlink" Target="https://wa.me/6282225454797" TargetMode="External"/><Relationship Id="rId1477" Type="http://schemas.openxmlformats.org/officeDocument/2006/relationships/hyperlink" Target="https://wa.me/6281219102600" TargetMode="External"/><Relationship Id="rId1684" Type="http://schemas.openxmlformats.org/officeDocument/2006/relationships/hyperlink" Target="https://wa.me/6282261184459" TargetMode="External"/><Relationship Id="rId707" Type="http://schemas.openxmlformats.org/officeDocument/2006/relationships/hyperlink" Target="http://hratour.id/" TargetMode="External"/><Relationship Id="rId914" Type="http://schemas.openxmlformats.org/officeDocument/2006/relationships/hyperlink" Target="https://wa.me/6281393958199" TargetMode="External"/><Relationship Id="rId1337" Type="http://schemas.openxmlformats.org/officeDocument/2006/relationships/hyperlink" Target="https://wa.me/6281296671835" TargetMode="External"/><Relationship Id="rId1544" Type="http://schemas.openxmlformats.org/officeDocument/2006/relationships/hyperlink" Target="https://wa.me/6282399721881" TargetMode="External"/><Relationship Id="rId43" Type="http://schemas.openxmlformats.org/officeDocument/2006/relationships/hyperlink" Target="https://wa.me/6287845701116" TargetMode="External"/><Relationship Id="rId1404" Type="http://schemas.openxmlformats.org/officeDocument/2006/relationships/hyperlink" Target="https://wa.me/6282153090123" TargetMode="External"/><Relationship Id="rId1611" Type="http://schemas.openxmlformats.org/officeDocument/2006/relationships/hyperlink" Target="https://wa.me/6289530316907" TargetMode="External"/><Relationship Id="rId192" Type="http://schemas.openxmlformats.org/officeDocument/2006/relationships/hyperlink" Target="https://wa.me/6282285691485" TargetMode="External"/><Relationship Id="rId1709" Type="http://schemas.openxmlformats.org/officeDocument/2006/relationships/hyperlink" Target="https://wa.me/6285722290661" TargetMode="External"/><Relationship Id="rId497" Type="http://schemas.openxmlformats.org/officeDocument/2006/relationships/hyperlink" Target="https://wa.me/628557182563" TargetMode="External"/><Relationship Id="rId357" Type="http://schemas.openxmlformats.org/officeDocument/2006/relationships/hyperlink" Target="https://wa.me/6285191259285" TargetMode="External"/><Relationship Id="rId1194" Type="http://schemas.openxmlformats.org/officeDocument/2006/relationships/hyperlink" Target="https://wa.me/6281223735839" TargetMode="External"/><Relationship Id="rId217" Type="http://schemas.openxmlformats.org/officeDocument/2006/relationships/hyperlink" Target="https://wa.me/62818763108" TargetMode="External"/><Relationship Id="rId564" Type="http://schemas.openxmlformats.org/officeDocument/2006/relationships/hyperlink" Target="https://wa.me/6282172291579" TargetMode="External"/><Relationship Id="rId771" Type="http://schemas.openxmlformats.org/officeDocument/2006/relationships/hyperlink" Target="https://wa.me/6281380503300" TargetMode="External"/><Relationship Id="rId869" Type="http://schemas.openxmlformats.org/officeDocument/2006/relationships/hyperlink" Target="https://wa.me/6285272737979" TargetMode="External"/><Relationship Id="rId1499" Type="http://schemas.openxmlformats.org/officeDocument/2006/relationships/hyperlink" Target="https://wa.me/6282147314512" TargetMode="External"/><Relationship Id="rId424" Type="http://schemas.openxmlformats.org/officeDocument/2006/relationships/hyperlink" Target="https://wa.me/62823885166777" TargetMode="External"/><Relationship Id="rId631" Type="http://schemas.openxmlformats.org/officeDocument/2006/relationships/hyperlink" Target="https://wa.me/6285925102815" TargetMode="External"/><Relationship Id="rId729" Type="http://schemas.openxmlformats.org/officeDocument/2006/relationships/hyperlink" Target="https://wa.me/6282310465999" TargetMode="External"/><Relationship Id="rId1054" Type="http://schemas.openxmlformats.org/officeDocument/2006/relationships/hyperlink" Target="https://wa.me/62895426264600" TargetMode="External"/><Relationship Id="rId1261" Type="http://schemas.openxmlformats.org/officeDocument/2006/relationships/hyperlink" Target="https://wa.me/6281357656901" TargetMode="External"/><Relationship Id="rId1359" Type="http://schemas.openxmlformats.org/officeDocument/2006/relationships/hyperlink" Target="https://wa.me/6281617770477" TargetMode="External"/><Relationship Id="rId936" Type="http://schemas.openxmlformats.org/officeDocument/2006/relationships/hyperlink" Target="https://wa.me/6285780314346" TargetMode="External"/><Relationship Id="rId1121" Type="http://schemas.openxmlformats.org/officeDocument/2006/relationships/hyperlink" Target="http://bromoiswonderland.com/" TargetMode="External"/><Relationship Id="rId1219" Type="http://schemas.openxmlformats.org/officeDocument/2006/relationships/hyperlink" Target="https://wa.me/62895703252001" TargetMode="External"/><Relationship Id="rId1566" Type="http://schemas.openxmlformats.org/officeDocument/2006/relationships/hyperlink" Target="https://wa.me/6281232240833" TargetMode="External"/><Relationship Id="rId65" Type="http://schemas.openxmlformats.org/officeDocument/2006/relationships/hyperlink" Target="https://wa.me/6285261023204" TargetMode="External"/><Relationship Id="rId1426" Type="http://schemas.openxmlformats.org/officeDocument/2006/relationships/hyperlink" Target="https://wa.me/6285381277559" TargetMode="External"/><Relationship Id="rId1633" Type="http://schemas.openxmlformats.org/officeDocument/2006/relationships/hyperlink" Target="https://wa.me/6285141325957" TargetMode="External"/><Relationship Id="rId1700" Type="http://schemas.openxmlformats.org/officeDocument/2006/relationships/hyperlink" Target="https://wa.me/62895603690686" TargetMode="External"/><Relationship Id="rId281" Type="http://schemas.openxmlformats.org/officeDocument/2006/relationships/hyperlink" Target="https://wa.me/6281394618785" TargetMode="External"/><Relationship Id="rId141" Type="http://schemas.openxmlformats.org/officeDocument/2006/relationships/hyperlink" Target="https://wa.me/6285722222257" TargetMode="External"/><Relationship Id="rId379" Type="http://schemas.openxmlformats.org/officeDocument/2006/relationships/hyperlink" Target="https://wa.me/6287762707927" TargetMode="External"/><Relationship Id="rId586" Type="http://schemas.openxmlformats.org/officeDocument/2006/relationships/hyperlink" Target="https://wa.me/6282393168368" TargetMode="External"/><Relationship Id="rId793" Type="http://schemas.openxmlformats.org/officeDocument/2006/relationships/hyperlink" Target="http://adhidezign.com/" TargetMode="External"/><Relationship Id="rId7" Type="http://schemas.openxmlformats.org/officeDocument/2006/relationships/hyperlink" Target="https://wa.me/62882015054720" TargetMode="External"/><Relationship Id="rId239" Type="http://schemas.openxmlformats.org/officeDocument/2006/relationships/hyperlink" Target="https://wa.me/6282258462258" TargetMode="External"/><Relationship Id="rId446" Type="http://schemas.openxmlformats.org/officeDocument/2006/relationships/hyperlink" Target="https://wa.me/6281321528899" TargetMode="External"/><Relationship Id="rId653" Type="http://schemas.openxmlformats.org/officeDocument/2006/relationships/hyperlink" Target="https://wa.me/6285944023744" TargetMode="External"/><Relationship Id="rId1076" Type="http://schemas.openxmlformats.org/officeDocument/2006/relationships/hyperlink" Target="https://wa.me/6285314630194" TargetMode="External"/><Relationship Id="rId1283" Type="http://schemas.openxmlformats.org/officeDocument/2006/relationships/hyperlink" Target="https://wa.me/6285179930885" TargetMode="External"/><Relationship Id="rId1490" Type="http://schemas.openxmlformats.org/officeDocument/2006/relationships/hyperlink" Target="https://wa.me/6282295851975" TargetMode="External"/><Relationship Id="rId306" Type="http://schemas.openxmlformats.org/officeDocument/2006/relationships/hyperlink" Target="https://wa.me/6282310465999" TargetMode="External"/><Relationship Id="rId860" Type="http://schemas.openxmlformats.org/officeDocument/2006/relationships/hyperlink" Target="https://wa.me/6282242925264" TargetMode="External"/><Relationship Id="rId958" Type="http://schemas.openxmlformats.org/officeDocument/2006/relationships/hyperlink" Target="https://wa.me/6281223735839" TargetMode="External"/><Relationship Id="rId1143" Type="http://schemas.openxmlformats.org/officeDocument/2006/relationships/hyperlink" Target="https://wa.me/6289509489308" TargetMode="External"/><Relationship Id="rId1588" Type="http://schemas.openxmlformats.org/officeDocument/2006/relationships/hyperlink" Target="https://wa.me/6285893658659" TargetMode="External"/><Relationship Id="rId87" Type="http://schemas.openxmlformats.org/officeDocument/2006/relationships/hyperlink" Target="https://wa.me/628127962347" TargetMode="External"/><Relationship Id="rId513" Type="http://schemas.openxmlformats.org/officeDocument/2006/relationships/hyperlink" Target="https://wa.me/6285780314346" TargetMode="External"/><Relationship Id="rId720" Type="http://schemas.openxmlformats.org/officeDocument/2006/relationships/hyperlink" Target="https://wa.me/628112656686" TargetMode="External"/><Relationship Id="rId818" Type="http://schemas.openxmlformats.org/officeDocument/2006/relationships/hyperlink" Target="https://wa.me/6282315669271" TargetMode="External"/><Relationship Id="rId1350" Type="http://schemas.openxmlformats.org/officeDocument/2006/relationships/hyperlink" Target="https://wa.me/6285141091362" TargetMode="External"/><Relationship Id="rId1448" Type="http://schemas.openxmlformats.org/officeDocument/2006/relationships/hyperlink" Target="https://wa.me/6289658272184" TargetMode="External"/><Relationship Id="rId1655" Type="http://schemas.openxmlformats.org/officeDocument/2006/relationships/hyperlink" Target="https://wa.me/6282288320550" TargetMode="External"/><Relationship Id="rId1003" Type="http://schemas.openxmlformats.org/officeDocument/2006/relationships/hyperlink" Target="https://wa.me/62895374644456" TargetMode="External"/><Relationship Id="rId1210" Type="http://schemas.openxmlformats.org/officeDocument/2006/relationships/hyperlink" Target="https://wa.me/6281363504410" TargetMode="External"/><Relationship Id="rId1308" Type="http://schemas.openxmlformats.org/officeDocument/2006/relationships/hyperlink" Target="https://wa.me/6285720705874" TargetMode="External"/><Relationship Id="rId1515" Type="http://schemas.openxmlformats.org/officeDocument/2006/relationships/hyperlink" Target="https://wa.me/6281216704496" TargetMode="External"/><Relationship Id="rId1722" Type="http://schemas.openxmlformats.org/officeDocument/2006/relationships/hyperlink" Target="https://wa.me/6282234857245" TargetMode="External"/><Relationship Id="rId14" Type="http://schemas.openxmlformats.org/officeDocument/2006/relationships/hyperlink" Target="https://wa.me/6282290353409" TargetMode="External"/><Relationship Id="rId163" Type="http://schemas.openxmlformats.org/officeDocument/2006/relationships/hyperlink" Target="https://wa.me/6285340323663" TargetMode="External"/><Relationship Id="rId370" Type="http://schemas.openxmlformats.org/officeDocument/2006/relationships/hyperlink" Target="https://wa.me/62882015555380" TargetMode="External"/><Relationship Id="rId230" Type="http://schemas.openxmlformats.org/officeDocument/2006/relationships/hyperlink" Target="https://wa.me/6285779532526" TargetMode="External"/><Relationship Id="rId468" Type="http://schemas.openxmlformats.org/officeDocument/2006/relationships/hyperlink" Target="https://wa.me/6282352307329" TargetMode="External"/><Relationship Id="rId675" Type="http://schemas.openxmlformats.org/officeDocument/2006/relationships/hyperlink" Target="https://wa.me/6282154318629" TargetMode="External"/><Relationship Id="rId882" Type="http://schemas.openxmlformats.org/officeDocument/2006/relationships/hyperlink" Target="https://wa.me/62881022356673" TargetMode="External"/><Relationship Id="rId1098" Type="http://schemas.openxmlformats.org/officeDocument/2006/relationships/hyperlink" Target="https://wa.me/6287778585820" TargetMode="External"/><Relationship Id="rId328" Type="http://schemas.openxmlformats.org/officeDocument/2006/relationships/hyperlink" Target="https://wa.me/6281221788919" TargetMode="External"/><Relationship Id="rId535" Type="http://schemas.openxmlformats.org/officeDocument/2006/relationships/hyperlink" Target="https://wa.me/6285821233475" TargetMode="External"/><Relationship Id="rId742" Type="http://schemas.openxmlformats.org/officeDocument/2006/relationships/hyperlink" Target="https://wa.me/6281779578317" TargetMode="External"/><Relationship Id="rId1165" Type="http://schemas.openxmlformats.org/officeDocument/2006/relationships/hyperlink" Target="https://wa.me/6282119195533" TargetMode="External"/><Relationship Id="rId1372" Type="http://schemas.openxmlformats.org/officeDocument/2006/relationships/hyperlink" Target="https://wa.me/6282232143251" TargetMode="External"/><Relationship Id="rId602" Type="http://schemas.openxmlformats.org/officeDocument/2006/relationships/hyperlink" Target="https://wa.me/6281342202869" TargetMode="External"/><Relationship Id="rId1025" Type="http://schemas.openxmlformats.org/officeDocument/2006/relationships/hyperlink" Target="https://wa.me/6282219980006" TargetMode="External"/><Relationship Id="rId1232" Type="http://schemas.openxmlformats.org/officeDocument/2006/relationships/hyperlink" Target="https://wa.me/6285536645859" TargetMode="External"/><Relationship Id="rId1677" Type="http://schemas.openxmlformats.org/officeDocument/2006/relationships/hyperlink" Target="https://wa.me/6285927375989" TargetMode="External"/><Relationship Id="rId907" Type="http://schemas.openxmlformats.org/officeDocument/2006/relationships/hyperlink" Target="https://wa.me/6285821233475" TargetMode="External"/><Relationship Id="rId1537" Type="http://schemas.openxmlformats.org/officeDocument/2006/relationships/hyperlink" Target="https://wa.me/6283875530291" TargetMode="External"/><Relationship Id="rId36" Type="http://schemas.openxmlformats.org/officeDocument/2006/relationships/hyperlink" Target="https://wa.me/6282350524788" TargetMode="External"/><Relationship Id="rId1604" Type="http://schemas.openxmlformats.org/officeDocument/2006/relationships/hyperlink" Target="https://wa.me/6282311311119" TargetMode="External"/><Relationship Id="rId185" Type="http://schemas.openxmlformats.org/officeDocument/2006/relationships/hyperlink" Target="https://wa.me/6285774217794" TargetMode="External"/><Relationship Id="rId392" Type="http://schemas.openxmlformats.org/officeDocument/2006/relationships/hyperlink" Target="https://wa.me/62816904358" TargetMode="External"/><Relationship Id="rId697" Type="http://schemas.openxmlformats.org/officeDocument/2006/relationships/hyperlink" Target="https://wa.me/6282129364133" TargetMode="External"/><Relationship Id="rId252" Type="http://schemas.openxmlformats.org/officeDocument/2006/relationships/hyperlink" Target="https://wa.me/6282111180648" TargetMode="External"/><Relationship Id="rId1187" Type="http://schemas.openxmlformats.org/officeDocument/2006/relationships/hyperlink" Target="https://wa.me/6282315669271" TargetMode="External"/><Relationship Id="rId112" Type="http://schemas.openxmlformats.org/officeDocument/2006/relationships/hyperlink" Target="https://wa.me/6285797903614" TargetMode="External"/><Relationship Id="rId557" Type="http://schemas.openxmlformats.org/officeDocument/2006/relationships/hyperlink" Target="https://wa.me/6282122880328" TargetMode="External"/><Relationship Id="rId764" Type="http://schemas.openxmlformats.org/officeDocument/2006/relationships/hyperlink" Target="https://wa.me/6281212231218" TargetMode="External"/><Relationship Id="rId971" Type="http://schemas.openxmlformats.org/officeDocument/2006/relationships/hyperlink" Target="https://wa.me/6287778562681" TargetMode="External"/><Relationship Id="rId1394" Type="http://schemas.openxmlformats.org/officeDocument/2006/relationships/hyperlink" Target="https://wa.me/628119581969" TargetMode="External"/><Relationship Id="rId1699" Type="http://schemas.openxmlformats.org/officeDocument/2006/relationships/hyperlink" Target="https://wa.me/6282190622077" TargetMode="External"/><Relationship Id="rId417" Type="http://schemas.openxmlformats.org/officeDocument/2006/relationships/hyperlink" Target="https://wa.me/6285281921180" TargetMode="External"/><Relationship Id="rId624" Type="http://schemas.openxmlformats.org/officeDocument/2006/relationships/hyperlink" Target="https://wa.me/6281215552664" TargetMode="External"/><Relationship Id="rId831" Type="http://schemas.openxmlformats.org/officeDocument/2006/relationships/hyperlink" Target="https://wa.me/6281543128320" TargetMode="External"/><Relationship Id="rId1047" Type="http://schemas.openxmlformats.org/officeDocument/2006/relationships/hyperlink" Target="https://wa.me/6285893658659" TargetMode="External"/><Relationship Id="rId1254" Type="http://schemas.openxmlformats.org/officeDocument/2006/relationships/hyperlink" Target="https://wa.me/6281325669787" TargetMode="External"/><Relationship Id="rId1461" Type="http://schemas.openxmlformats.org/officeDocument/2006/relationships/hyperlink" Target="https://wa.me/6288227630708" TargetMode="External"/><Relationship Id="rId929" Type="http://schemas.openxmlformats.org/officeDocument/2006/relationships/hyperlink" Target="https://wa.me/6285792806011" TargetMode="External"/><Relationship Id="rId1114" Type="http://schemas.openxmlformats.org/officeDocument/2006/relationships/hyperlink" Target="https://wa.me/6282120547879" TargetMode="External"/><Relationship Id="rId1321" Type="http://schemas.openxmlformats.org/officeDocument/2006/relationships/hyperlink" Target="https://wa.me/6285888590045" TargetMode="External"/><Relationship Id="rId1559" Type="http://schemas.openxmlformats.org/officeDocument/2006/relationships/hyperlink" Target="https://wa.me/6281931902977" TargetMode="External"/><Relationship Id="rId58" Type="http://schemas.openxmlformats.org/officeDocument/2006/relationships/hyperlink" Target="https://wa.me/6285714611166" TargetMode="External"/><Relationship Id="rId1419" Type="http://schemas.openxmlformats.org/officeDocument/2006/relationships/hyperlink" Target="https://wa.me/6282315459098" TargetMode="External"/><Relationship Id="rId1626" Type="http://schemas.openxmlformats.org/officeDocument/2006/relationships/hyperlink" Target="https://wa.me/6282285691485" TargetMode="External"/><Relationship Id="rId274" Type="http://schemas.openxmlformats.org/officeDocument/2006/relationships/hyperlink" Target="https://wa.me/6282154541012" TargetMode="External"/><Relationship Id="rId481" Type="http://schemas.openxmlformats.org/officeDocument/2006/relationships/hyperlink" Target="https://wa.me/6287709999980" TargetMode="External"/><Relationship Id="rId134" Type="http://schemas.openxmlformats.org/officeDocument/2006/relationships/hyperlink" Target="https://wa.me/6281293309300" TargetMode="External"/><Relationship Id="rId579" Type="http://schemas.openxmlformats.org/officeDocument/2006/relationships/hyperlink" Target="https://wa.me/6287797504113" TargetMode="External"/><Relationship Id="rId786" Type="http://schemas.openxmlformats.org/officeDocument/2006/relationships/hyperlink" Target="https://wa.me/6282122880328" TargetMode="External"/><Relationship Id="rId993" Type="http://schemas.openxmlformats.org/officeDocument/2006/relationships/hyperlink" Target="https://wa.me/6285848731489" TargetMode="External"/><Relationship Id="rId341" Type="http://schemas.openxmlformats.org/officeDocument/2006/relationships/hyperlink" Target="https://wa.me/6287878863000" TargetMode="External"/><Relationship Id="rId439" Type="http://schemas.openxmlformats.org/officeDocument/2006/relationships/hyperlink" Target="https://wa.me/6281270765156" TargetMode="External"/><Relationship Id="rId646" Type="http://schemas.openxmlformats.org/officeDocument/2006/relationships/hyperlink" Target="https://wa.me/6285640123555" TargetMode="External"/><Relationship Id="rId1069" Type="http://schemas.openxmlformats.org/officeDocument/2006/relationships/hyperlink" Target="https://wa.me/6281336570262" TargetMode="External"/><Relationship Id="rId1276" Type="http://schemas.openxmlformats.org/officeDocument/2006/relationships/hyperlink" Target="https://wa.me/6285714094023" TargetMode="External"/><Relationship Id="rId1483" Type="http://schemas.openxmlformats.org/officeDocument/2006/relationships/hyperlink" Target="https://wa.me/6282236053835" TargetMode="External"/><Relationship Id="rId201" Type="http://schemas.openxmlformats.org/officeDocument/2006/relationships/hyperlink" Target="https://wa.me/62882003293835" TargetMode="External"/><Relationship Id="rId506" Type="http://schemas.openxmlformats.org/officeDocument/2006/relationships/hyperlink" Target="https://wa.me/6281543365581" TargetMode="External"/><Relationship Id="rId853" Type="http://schemas.openxmlformats.org/officeDocument/2006/relationships/hyperlink" Target="https://wa.me/6285384956538" TargetMode="External"/><Relationship Id="rId1136" Type="http://schemas.openxmlformats.org/officeDocument/2006/relationships/hyperlink" Target="https://wa.me/6281286882004" TargetMode="External"/><Relationship Id="rId1690" Type="http://schemas.openxmlformats.org/officeDocument/2006/relationships/hyperlink" Target="https://wa.me/6281277777325" TargetMode="External"/><Relationship Id="rId713" Type="http://schemas.openxmlformats.org/officeDocument/2006/relationships/hyperlink" Target="https://wa.me/6285946504405" TargetMode="External"/><Relationship Id="rId920" Type="http://schemas.openxmlformats.org/officeDocument/2006/relationships/hyperlink" Target="https://wa.me/6287888330007" TargetMode="External"/><Relationship Id="rId1343" Type="http://schemas.openxmlformats.org/officeDocument/2006/relationships/hyperlink" Target="https://wa.me/6285715856120" TargetMode="External"/><Relationship Id="rId1550" Type="http://schemas.openxmlformats.org/officeDocument/2006/relationships/hyperlink" Target="https://wa.me/6285292365257" TargetMode="External"/><Relationship Id="rId1648" Type="http://schemas.openxmlformats.org/officeDocument/2006/relationships/hyperlink" Target="https://wa.me/6285730668168" TargetMode="External"/><Relationship Id="rId1203" Type="http://schemas.openxmlformats.org/officeDocument/2006/relationships/hyperlink" Target="https://wa.me/6287782210321" TargetMode="External"/><Relationship Id="rId1410" Type="http://schemas.openxmlformats.org/officeDocument/2006/relationships/hyperlink" Target="https://wa.me/6281802736799" TargetMode="External"/><Relationship Id="rId1508" Type="http://schemas.openxmlformats.org/officeDocument/2006/relationships/hyperlink" Target="https://wa.me/6288210583484" TargetMode="External"/><Relationship Id="rId1715" Type="http://schemas.openxmlformats.org/officeDocument/2006/relationships/hyperlink" Target="https://wa.me/6287719015093" TargetMode="External"/><Relationship Id="rId296" Type="http://schemas.openxmlformats.org/officeDocument/2006/relationships/hyperlink" Target="https://wa.me/6287856746423" TargetMode="External"/><Relationship Id="rId156" Type="http://schemas.openxmlformats.org/officeDocument/2006/relationships/hyperlink" Target="https://wa.me/6285715856120" TargetMode="External"/><Relationship Id="rId363" Type="http://schemas.openxmlformats.org/officeDocument/2006/relationships/hyperlink" Target="https://wa.me/6281233038880" TargetMode="External"/><Relationship Id="rId570" Type="http://schemas.openxmlformats.org/officeDocument/2006/relationships/hyperlink" Target="https://wa.me/6285789446955" TargetMode="External"/><Relationship Id="rId223" Type="http://schemas.openxmlformats.org/officeDocument/2006/relationships/hyperlink" Target="https://wa.me/628114170888" TargetMode="External"/><Relationship Id="rId430" Type="http://schemas.openxmlformats.org/officeDocument/2006/relationships/hyperlink" Target="https://wa.me/6282299236521" TargetMode="External"/><Relationship Id="rId668" Type="http://schemas.openxmlformats.org/officeDocument/2006/relationships/hyperlink" Target="https://wa.me/6285854789952" TargetMode="External"/><Relationship Id="rId875" Type="http://schemas.openxmlformats.org/officeDocument/2006/relationships/hyperlink" Target="https://wa.me/6285654251369" TargetMode="External"/><Relationship Id="rId1060" Type="http://schemas.openxmlformats.org/officeDocument/2006/relationships/hyperlink" Target="https://wa.me/628122102657" TargetMode="External"/><Relationship Id="rId1298" Type="http://schemas.openxmlformats.org/officeDocument/2006/relationships/hyperlink" Target="https://wa.me/6281395812234" TargetMode="External"/><Relationship Id="rId528" Type="http://schemas.openxmlformats.org/officeDocument/2006/relationships/hyperlink" Target="https://wa.me/6281238115957" TargetMode="External"/><Relationship Id="rId735" Type="http://schemas.openxmlformats.org/officeDocument/2006/relationships/hyperlink" Target="https://wa.me/6287836691500" TargetMode="External"/><Relationship Id="rId942" Type="http://schemas.openxmlformats.org/officeDocument/2006/relationships/hyperlink" Target="https://wa.me/6283107086952" TargetMode="External"/><Relationship Id="rId1158" Type="http://schemas.openxmlformats.org/officeDocument/2006/relationships/hyperlink" Target="https://wa.me/6281356480021" TargetMode="External"/><Relationship Id="rId1365" Type="http://schemas.openxmlformats.org/officeDocument/2006/relationships/hyperlink" Target="https://wa.me/6285878882667" TargetMode="External"/><Relationship Id="rId1572" Type="http://schemas.openxmlformats.org/officeDocument/2006/relationships/hyperlink" Target="https://wa.me/6282154318629" TargetMode="External"/><Relationship Id="rId1018" Type="http://schemas.openxmlformats.org/officeDocument/2006/relationships/hyperlink" Target="https://wa.me/6282183115806" TargetMode="External"/><Relationship Id="rId1225" Type="http://schemas.openxmlformats.org/officeDocument/2006/relationships/hyperlink" Target="https://wa.me/6287711729293" TargetMode="External"/><Relationship Id="rId1432" Type="http://schemas.openxmlformats.org/officeDocument/2006/relationships/hyperlink" Target="https://wa.me/6289627431774" TargetMode="External"/><Relationship Id="rId71" Type="http://schemas.openxmlformats.org/officeDocument/2006/relationships/hyperlink" Target="https://wa.me/6281241440688" TargetMode="External"/><Relationship Id="rId802" Type="http://schemas.openxmlformats.org/officeDocument/2006/relationships/hyperlink" Target="https://wa.me/6285888452389" TargetMode="External"/><Relationship Id="rId1737" Type="http://schemas.openxmlformats.org/officeDocument/2006/relationships/hyperlink" Target="https://wa.me/6285871503571" TargetMode="External"/><Relationship Id="rId29" Type="http://schemas.openxmlformats.org/officeDocument/2006/relationships/hyperlink" Target="https://wa.me/6285737244570" TargetMode="External"/><Relationship Id="rId178" Type="http://schemas.openxmlformats.org/officeDocument/2006/relationships/hyperlink" Target="https://wa.me/6285747906282" TargetMode="External"/><Relationship Id="rId385" Type="http://schemas.openxmlformats.org/officeDocument/2006/relationships/hyperlink" Target="https://wa.me/6281392854108" TargetMode="External"/><Relationship Id="rId592" Type="http://schemas.openxmlformats.org/officeDocument/2006/relationships/hyperlink" Target="https://wa.me/6281324481252" TargetMode="External"/><Relationship Id="rId245" Type="http://schemas.openxmlformats.org/officeDocument/2006/relationships/hyperlink" Target="https://wa.me/6287754552859" TargetMode="External"/><Relationship Id="rId452" Type="http://schemas.openxmlformats.org/officeDocument/2006/relationships/hyperlink" Target="https://wa.me/6282297965454" TargetMode="External"/><Relationship Id="rId897" Type="http://schemas.openxmlformats.org/officeDocument/2006/relationships/hyperlink" Target="https://wa.me/6281355662725" TargetMode="External"/><Relationship Id="rId1082" Type="http://schemas.openxmlformats.org/officeDocument/2006/relationships/hyperlink" Target="https://wa.me/6282338171577" TargetMode="External"/><Relationship Id="rId105" Type="http://schemas.openxmlformats.org/officeDocument/2006/relationships/hyperlink" Target="https://wa.me/6285180805171" TargetMode="External"/><Relationship Id="rId312" Type="http://schemas.openxmlformats.org/officeDocument/2006/relationships/hyperlink" Target="https://wa.me/6287757150828" TargetMode="External"/><Relationship Id="rId757" Type="http://schemas.openxmlformats.org/officeDocument/2006/relationships/hyperlink" Target="https://wa.me/6281323291817" TargetMode="External"/><Relationship Id="rId964" Type="http://schemas.openxmlformats.org/officeDocument/2006/relationships/hyperlink" Target="https://wa.me/6282320232344" TargetMode="External"/><Relationship Id="rId1387" Type="http://schemas.openxmlformats.org/officeDocument/2006/relationships/hyperlink" Target="https://wa.me/628990570840" TargetMode="External"/><Relationship Id="rId1594" Type="http://schemas.openxmlformats.org/officeDocument/2006/relationships/hyperlink" Target="https://wa.me/6281222666815" TargetMode="External"/><Relationship Id="rId93" Type="http://schemas.openxmlformats.org/officeDocument/2006/relationships/hyperlink" Target="https://wa.me/6281327680909" TargetMode="External"/><Relationship Id="rId617" Type="http://schemas.openxmlformats.org/officeDocument/2006/relationships/hyperlink" Target="https://wa.me/628156516849" TargetMode="External"/><Relationship Id="rId824" Type="http://schemas.openxmlformats.org/officeDocument/2006/relationships/hyperlink" Target="https://wa.me/6285242515222" TargetMode="External"/><Relationship Id="rId1247" Type="http://schemas.openxmlformats.org/officeDocument/2006/relationships/hyperlink" Target="https://wa.me/6282227534335" TargetMode="External"/><Relationship Id="rId1454" Type="http://schemas.openxmlformats.org/officeDocument/2006/relationships/hyperlink" Target="https://wa.me/6289504615501" TargetMode="External"/><Relationship Id="rId1661" Type="http://schemas.openxmlformats.org/officeDocument/2006/relationships/hyperlink" Target="https://wa.me/6281945071777" TargetMode="External"/><Relationship Id="rId1107" Type="http://schemas.openxmlformats.org/officeDocument/2006/relationships/hyperlink" Target="https://wa.me/6282160889408" TargetMode="External"/><Relationship Id="rId1314" Type="http://schemas.openxmlformats.org/officeDocument/2006/relationships/hyperlink" Target="https://wa.me/6281283325291" TargetMode="External"/><Relationship Id="rId1521" Type="http://schemas.openxmlformats.org/officeDocument/2006/relationships/hyperlink" Target="https://wa.me/6287753731364" TargetMode="External"/><Relationship Id="rId1619" Type="http://schemas.openxmlformats.org/officeDocument/2006/relationships/hyperlink" Target="https://wa.me/6282241377832" TargetMode="External"/><Relationship Id="rId20" Type="http://schemas.openxmlformats.org/officeDocument/2006/relationships/hyperlink" Target="https://wa.me/6282173535013" TargetMode="External"/><Relationship Id="rId267" Type="http://schemas.openxmlformats.org/officeDocument/2006/relationships/hyperlink" Target="https://wa.me/6282238154676" TargetMode="External"/><Relationship Id="rId474" Type="http://schemas.openxmlformats.org/officeDocument/2006/relationships/hyperlink" Target="https://wa.me/6287865111033" TargetMode="External"/><Relationship Id="rId127" Type="http://schemas.openxmlformats.org/officeDocument/2006/relationships/hyperlink" Target="https://wa.me/6285220216325" TargetMode="External"/><Relationship Id="rId681" Type="http://schemas.openxmlformats.org/officeDocument/2006/relationships/hyperlink" Target="https://wa.me/628179780980" TargetMode="External"/><Relationship Id="rId779" Type="http://schemas.openxmlformats.org/officeDocument/2006/relationships/hyperlink" Target="https://wa.me/6281223735839" TargetMode="External"/><Relationship Id="rId986" Type="http://schemas.openxmlformats.org/officeDocument/2006/relationships/hyperlink" Target="https://wa.me/62076472864" TargetMode="External"/><Relationship Id="rId334" Type="http://schemas.openxmlformats.org/officeDocument/2006/relationships/hyperlink" Target="https://wa.me/6288274090631" TargetMode="External"/><Relationship Id="rId541" Type="http://schemas.openxmlformats.org/officeDocument/2006/relationships/hyperlink" Target="https://wa.me/6281779578317" TargetMode="External"/><Relationship Id="rId639" Type="http://schemas.openxmlformats.org/officeDocument/2006/relationships/hyperlink" Target="https://wa.me/6277619002" TargetMode="External"/><Relationship Id="rId1171" Type="http://schemas.openxmlformats.org/officeDocument/2006/relationships/hyperlink" Target="https://wa.me/6285341061917" TargetMode="External"/><Relationship Id="rId1269" Type="http://schemas.openxmlformats.org/officeDocument/2006/relationships/hyperlink" Target="https://wa.me/6285141091362" TargetMode="External"/><Relationship Id="rId1476" Type="http://schemas.openxmlformats.org/officeDocument/2006/relationships/hyperlink" Target="https://wa.me/6285222823353" TargetMode="External"/><Relationship Id="rId401" Type="http://schemas.openxmlformats.org/officeDocument/2006/relationships/hyperlink" Target="https://wa.me/6282111180648" TargetMode="External"/><Relationship Id="rId846" Type="http://schemas.openxmlformats.org/officeDocument/2006/relationships/hyperlink" Target="https://wa.me/6282362576312" TargetMode="External"/><Relationship Id="rId1031" Type="http://schemas.openxmlformats.org/officeDocument/2006/relationships/hyperlink" Target="http://kolamrenangku.id/" TargetMode="External"/><Relationship Id="rId1129" Type="http://schemas.openxmlformats.org/officeDocument/2006/relationships/hyperlink" Target="https://wa.me/6285645050058" TargetMode="External"/><Relationship Id="rId1683" Type="http://schemas.openxmlformats.org/officeDocument/2006/relationships/hyperlink" Target="https://wa.me/62895351318400" TargetMode="External"/><Relationship Id="rId706" Type="http://schemas.openxmlformats.org/officeDocument/2006/relationships/hyperlink" Target="https://wa.me/6285251757431" TargetMode="External"/><Relationship Id="rId913" Type="http://schemas.openxmlformats.org/officeDocument/2006/relationships/hyperlink" Target="https://wa.me/6287790276733" TargetMode="External"/><Relationship Id="rId1336" Type="http://schemas.openxmlformats.org/officeDocument/2006/relationships/hyperlink" Target="http://villa.puncak.com/" TargetMode="External"/><Relationship Id="rId1543" Type="http://schemas.openxmlformats.org/officeDocument/2006/relationships/hyperlink" Target="https://wa.me/6285893658659" TargetMode="External"/><Relationship Id="rId42" Type="http://schemas.openxmlformats.org/officeDocument/2006/relationships/hyperlink" Target="https://wa.me/6281219751312" TargetMode="External"/><Relationship Id="rId1403" Type="http://schemas.openxmlformats.org/officeDocument/2006/relationships/hyperlink" Target="https://wa.me/6285775337574" TargetMode="External"/><Relationship Id="rId1610" Type="http://schemas.openxmlformats.org/officeDocument/2006/relationships/hyperlink" Target="https://wa.me/6287708424140" TargetMode="External"/><Relationship Id="rId191" Type="http://schemas.openxmlformats.org/officeDocument/2006/relationships/hyperlink" Target="https://wa.me/6281323910830" TargetMode="External"/><Relationship Id="rId1708" Type="http://schemas.openxmlformats.org/officeDocument/2006/relationships/hyperlink" Target="https://wa.me/6281231954006" TargetMode="External"/><Relationship Id="rId289" Type="http://schemas.openxmlformats.org/officeDocument/2006/relationships/hyperlink" Target="https://wa.me/6285184844621" TargetMode="External"/><Relationship Id="rId496" Type="http://schemas.openxmlformats.org/officeDocument/2006/relationships/hyperlink" Target="https://wa.me/6285657238556" TargetMode="External"/><Relationship Id="rId149" Type="http://schemas.openxmlformats.org/officeDocument/2006/relationships/hyperlink" Target="https://wa.me/6281384442619" TargetMode="External"/><Relationship Id="rId356" Type="http://schemas.openxmlformats.org/officeDocument/2006/relationships/hyperlink" Target="https://wa.me/6281298551100" TargetMode="External"/><Relationship Id="rId563" Type="http://schemas.openxmlformats.org/officeDocument/2006/relationships/hyperlink" Target="https://wa.me/6281915041833" TargetMode="External"/><Relationship Id="rId770" Type="http://schemas.openxmlformats.org/officeDocument/2006/relationships/hyperlink" Target="https://wa.me/6281380503300" TargetMode="External"/><Relationship Id="rId1193" Type="http://schemas.openxmlformats.org/officeDocument/2006/relationships/hyperlink" Target="https://wa.me/6282134821545" TargetMode="External"/><Relationship Id="rId216" Type="http://schemas.openxmlformats.org/officeDocument/2006/relationships/hyperlink" Target="https://wa.me/6285238093436" TargetMode="External"/><Relationship Id="rId423" Type="http://schemas.openxmlformats.org/officeDocument/2006/relationships/hyperlink" Target="https://wa.me/628113311777" TargetMode="External"/><Relationship Id="rId868" Type="http://schemas.openxmlformats.org/officeDocument/2006/relationships/hyperlink" Target="https://wa.me/6281241440688" TargetMode="External"/><Relationship Id="rId1053" Type="http://schemas.openxmlformats.org/officeDocument/2006/relationships/hyperlink" Target="https://wa.me/6281310674130" TargetMode="External"/><Relationship Id="rId1260" Type="http://schemas.openxmlformats.org/officeDocument/2006/relationships/hyperlink" Target="https://wa.me/6282148973454" TargetMode="External"/><Relationship Id="rId1498" Type="http://schemas.openxmlformats.org/officeDocument/2006/relationships/hyperlink" Target="https://wa.me/628119913004" TargetMode="External"/><Relationship Id="rId630" Type="http://schemas.openxmlformats.org/officeDocument/2006/relationships/hyperlink" Target="https://wa.me/6283129404339" TargetMode="External"/><Relationship Id="rId728" Type="http://schemas.openxmlformats.org/officeDocument/2006/relationships/hyperlink" Target="https://wa.me/6282171085542" TargetMode="External"/><Relationship Id="rId935" Type="http://schemas.openxmlformats.org/officeDocument/2006/relationships/hyperlink" Target="https://wa.me/6285780314346" TargetMode="External"/><Relationship Id="rId1358" Type="http://schemas.openxmlformats.org/officeDocument/2006/relationships/hyperlink" Target="https://wa.me/6285270194027" TargetMode="External"/><Relationship Id="rId1565" Type="http://schemas.openxmlformats.org/officeDocument/2006/relationships/hyperlink" Target="https://wa.me/6282160932266" TargetMode="External"/><Relationship Id="rId64" Type="http://schemas.openxmlformats.org/officeDocument/2006/relationships/hyperlink" Target="https://wa.me/6281335728695" TargetMode="External"/><Relationship Id="rId1120" Type="http://schemas.openxmlformats.org/officeDocument/2006/relationships/hyperlink" Target="http://bromoiswonderland.com/" TargetMode="External"/><Relationship Id="rId1218" Type="http://schemas.openxmlformats.org/officeDocument/2006/relationships/hyperlink" Target="https://wa.me/628112349706" TargetMode="External"/><Relationship Id="rId1425" Type="http://schemas.openxmlformats.org/officeDocument/2006/relationships/hyperlink" Target="https://wa.me/6282261110051" TargetMode="External"/><Relationship Id="rId1632" Type="http://schemas.openxmlformats.org/officeDocument/2006/relationships/hyperlink" Target="https://wa.me/6285849304643" TargetMode="External"/><Relationship Id="rId280" Type="http://schemas.openxmlformats.org/officeDocument/2006/relationships/hyperlink" Target="https://wa.me/6281310204991" TargetMode="External"/><Relationship Id="rId140" Type="http://schemas.openxmlformats.org/officeDocument/2006/relationships/hyperlink" Target="https://wa.me/6285777110340" TargetMode="External"/><Relationship Id="rId378" Type="http://schemas.openxmlformats.org/officeDocument/2006/relationships/hyperlink" Target="https://wa.me/6281225745133" TargetMode="External"/><Relationship Id="rId585" Type="http://schemas.openxmlformats.org/officeDocument/2006/relationships/hyperlink" Target="https://wa.me/6281288245836" TargetMode="External"/><Relationship Id="rId792" Type="http://schemas.openxmlformats.org/officeDocument/2006/relationships/hyperlink" Target="https://wa.me/6281281230009" TargetMode="External"/><Relationship Id="rId6" Type="http://schemas.openxmlformats.org/officeDocument/2006/relationships/hyperlink" Target="https://wa.me/6285757607630" TargetMode="External"/><Relationship Id="rId238" Type="http://schemas.openxmlformats.org/officeDocument/2006/relationships/hyperlink" Target="https://wa.me/628112999165" TargetMode="External"/><Relationship Id="rId445" Type="http://schemas.openxmlformats.org/officeDocument/2006/relationships/hyperlink" Target="https://wa.me/6285727626320" TargetMode="External"/><Relationship Id="rId652" Type="http://schemas.openxmlformats.org/officeDocument/2006/relationships/hyperlink" Target="https://wa.me/6281990865975" TargetMode="External"/><Relationship Id="rId1075" Type="http://schemas.openxmlformats.org/officeDocument/2006/relationships/hyperlink" Target="https://wa.me/6285344060945" TargetMode="External"/><Relationship Id="rId1282" Type="http://schemas.openxmlformats.org/officeDocument/2006/relationships/hyperlink" Target="https://wa.me/6282245454940" TargetMode="External"/><Relationship Id="rId305" Type="http://schemas.openxmlformats.org/officeDocument/2006/relationships/hyperlink" Target="https://wa.me/6281223544456" TargetMode="External"/><Relationship Id="rId512" Type="http://schemas.openxmlformats.org/officeDocument/2006/relationships/hyperlink" Target="https://wa.me/6281326757091" TargetMode="External"/><Relationship Id="rId957" Type="http://schemas.openxmlformats.org/officeDocument/2006/relationships/hyperlink" Target="https://wa.me/628179231111" TargetMode="External"/><Relationship Id="rId1142" Type="http://schemas.openxmlformats.org/officeDocument/2006/relationships/hyperlink" Target="https://wa.me/6285361118289" TargetMode="External"/><Relationship Id="rId1587" Type="http://schemas.openxmlformats.org/officeDocument/2006/relationships/hyperlink" Target="https://wa.me/6281222858582" TargetMode="External"/><Relationship Id="rId86" Type="http://schemas.openxmlformats.org/officeDocument/2006/relationships/hyperlink" Target="https://wa.me/6281632236409" TargetMode="External"/><Relationship Id="rId817" Type="http://schemas.openxmlformats.org/officeDocument/2006/relationships/hyperlink" Target="https://wa.me/6281351572278" TargetMode="External"/><Relationship Id="rId1002" Type="http://schemas.openxmlformats.org/officeDocument/2006/relationships/hyperlink" Target="https://wa.me/6282311906512" TargetMode="External"/><Relationship Id="rId1447" Type="http://schemas.openxmlformats.org/officeDocument/2006/relationships/hyperlink" Target="https://wa.me/6285850248298" TargetMode="External"/><Relationship Id="rId1654" Type="http://schemas.openxmlformats.org/officeDocument/2006/relationships/hyperlink" Target="https://wa.me/6285959674295" TargetMode="External"/><Relationship Id="rId1307" Type="http://schemas.openxmlformats.org/officeDocument/2006/relationships/hyperlink" Target="https://wa.me/6281282148369" TargetMode="External"/><Relationship Id="rId1514" Type="http://schemas.openxmlformats.org/officeDocument/2006/relationships/hyperlink" Target="https://wa.me/6281775758999" TargetMode="External"/><Relationship Id="rId1721" Type="http://schemas.openxmlformats.org/officeDocument/2006/relationships/hyperlink" Target="https://wa.me/6287708424140" TargetMode="External"/><Relationship Id="rId13" Type="http://schemas.openxmlformats.org/officeDocument/2006/relationships/hyperlink" Target="https://wa.me/6285220903499" TargetMode="External"/><Relationship Id="rId162" Type="http://schemas.openxmlformats.org/officeDocument/2006/relationships/hyperlink" Target="https://wa.me/6281235549299" TargetMode="External"/><Relationship Id="rId467" Type="http://schemas.openxmlformats.org/officeDocument/2006/relationships/hyperlink" Target="https://wa.me/6282338171577" TargetMode="External"/><Relationship Id="rId1097" Type="http://schemas.openxmlformats.org/officeDocument/2006/relationships/hyperlink" Target="https://wa.me/6287856230745" TargetMode="External"/><Relationship Id="rId674" Type="http://schemas.openxmlformats.org/officeDocument/2006/relationships/hyperlink" Target="https://wa.me/6287740636181" TargetMode="External"/><Relationship Id="rId881" Type="http://schemas.openxmlformats.org/officeDocument/2006/relationships/hyperlink" Target="https://wa.me/6283188945188" TargetMode="External"/><Relationship Id="rId979" Type="http://schemas.openxmlformats.org/officeDocument/2006/relationships/hyperlink" Target="https://wa.me/6282266152909" TargetMode="External"/><Relationship Id="rId327" Type="http://schemas.openxmlformats.org/officeDocument/2006/relationships/hyperlink" Target="https://wa.me/6283147736523" TargetMode="External"/><Relationship Id="rId534" Type="http://schemas.openxmlformats.org/officeDocument/2006/relationships/hyperlink" Target="https://wa.me/62881038177010" TargetMode="External"/><Relationship Id="rId741" Type="http://schemas.openxmlformats.org/officeDocument/2006/relationships/hyperlink" Target="https://wa.me/628720705874" TargetMode="External"/><Relationship Id="rId839" Type="http://schemas.openxmlformats.org/officeDocument/2006/relationships/hyperlink" Target="https://wa.me/6282266469686" TargetMode="External"/><Relationship Id="rId1164" Type="http://schemas.openxmlformats.org/officeDocument/2006/relationships/hyperlink" Target="https://wa.me/6285668750426" TargetMode="External"/><Relationship Id="rId1371" Type="http://schemas.openxmlformats.org/officeDocument/2006/relationships/hyperlink" Target="https://wa.me/6287758080333" TargetMode="External"/><Relationship Id="rId1469" Type="http://schemas.openxmlformats.org/officeDocument/2006/relationships/hyperlink" Target="https://wa.me/6282261110051" TargetMode="External"/><Relationship Id="rId601" Type="http://schemas.openxmlformats.org/officeDocument/2006/relationships/hyperlink" Target="https://wa.me/6282153090123" TargetMode="External"/><Relationship Id="rId1024" Type="http://schemas.openxmlformats.org/officeDocument/2006/relationships/hyperlink" Target="https://wa.me/6285746851999" TargetMode="External"/><Relationship Id="rId1231" Type="http://schemas.openxmlformats.org/officeDocument/2006/relationships/hyperlink" Target="https://wa.me/6285779204213" TargetMode="External"/><Relationship Id="rId1676" Type="http://schemas.openxmlformats.org/officeDocument/2006/relationships/hyperlink" Target="https://wa.me/6285941336226" TargetMode="External"/><Relationship Id="rId906" Type="http://schemas.openxmlformats.org/officeDocument/2006/relationships/hyperlink" Target="https://wa.me/6282195508557" TargetMode="External"/><Relationship Id="rId1329" Type="http://schemas.openxmlformats.org/officeDocument/2006/relationships/hyperlink" Target="https://wa.me/6285329035057" TargetMode="External"/><Relationship Id="rId1536" Type="http://schemas.openxmlformats.org/officeDocument/2006/relationships/hyperlink" Target="https://wa.me/628973668569" TargetMode="External"/><Relationship Id="rId1743" Type="http://schemas.openxmlformats.org/officeDocument/2006/relationships/hyperlink" Target="https://wa.me/6287791212283" TargetMode="External"/><Relationship Id="rId35" Type="http://schemas.openxmlformats.org/officeDocument/2006/relationships/hyperlink" Target="https://wa.me/6281335551395" TargetMode="External"/><Relationship Id="rId1603" Type="http://schemas.openxmlformats.org/officeDocument/2006/relationships/hyperlink" Target="https://wa.me/6285695504319" TargetMode="External"/><Relationship Id="rId184" Type="http://schemas.openxmlformats.org/officeDocument/2006/relationships/hyperlink" Target="https://wa.me/6282211473253" TargetMode="External"/><Relationship Id="rId391" Type="http://schemas.openxmlformats.org/officeDocument/2006/relationships/hyperlink" Target="https://wa.me/6282123039124" TargetMode="External"/><Relationship Id="rId251" Type="http://schemas.openxmlformats.org/officeDocument/2006/relationships/hyperlink" Target="https://wa.me/6281361879826" TargetMode="External"/><Relationship Id="rId489" Type="http://schemas.openxmlformats.org/officeDocument/2006/relationships/hyperlink" Target="https://wa.me/6282118113002" TargetMode="External"/><Relationship Id="rId696" Type="http://schemas.openxmlformats.org/officeDocument/2006/relationships/hyperlink" Target="https://wa.me/f" TargetMode="External"/><Relationship Id="rId349" Type="http://schemas.openxmlformats.org/officeDocument/2006/relationships/hyperlink" Target="https://wa.me/6281932590871" TargetMode="External"/><Relationship Id="rId556" Type="http://schemas.openxmlformats.org/officeDocument/2006/relationships/hyperlink" Target="https://wa.me/6281353489660" TargetMode="External"/><Relationship Id="rId763" Type="http://schemas.openxmlformats.org/officeDocument/2006/relationships/hyperlink" Target="https://wa.me/6285864550854" TargetMode="External"/><Relationship Id="rId1186" Type="http://schemas.openxmlformats.org/officeDocument/2006/relationships/hyperlink" Target="https://wa.me/6285888452389" TargetMode="External"/><Relationship Id="rId1393" Type="http://schemas.openxmlformats.org/officeDocument/2006/relationships/hyperlink" Target="https://wa.me/6281275085000" TargetMode="External"/><Relationship Id="rId111" Type="http://schemas.openxmlformats.org/officeDocument/2006/relationships/hyperlink" Target="https://wa.me/6282183115806" TargetMode="External"/><Relationship Id="rId209" Type="http://schemas.openxmlformats.org/officeDocument/2006/relationships/hyperlink" Target="https://wa.me/6288297718776" TargetMode="External"/><Relationship Id="rId416" Type="http://schemas.openxmlformats.org/officeDocument/2006/relationships/hyperlink" Target="https://wa.me/6289672163096" TargetMode="External"/><Relationship Id="rId970" Type="http://schemas.openxmlformats.org/officeDocument/2006/relationships/hyperlink" Target="https://wa.me/6281325100200" TargetMode="External"/><Relationship Id="rId1046" Type="http://schemas.openxmlformats.org/officeDocument/2006/relationships/hyperlink" Target="https://wa.me/6282241290026" TargetMode="External"/><Relationship Id="rId1253" Type="http://schemas.openxmlformats.org/officeDocument/2006/relationships/hyperlink" Target="https://wa.me/6285136912407" TargetMode="External"/><Relationship Id="rId1698" Type="http://schemas.openxmlformats.org/officeDocument/2006/relationships/hyperlink" Target="https://wa.me/6281260058715" TargetMode="External"/><Relationship Id="rId623" Type="http://schemas.openxmlformats.org/officeDocument/2006/relationships/hyperlink" Target="https://wa.me/62882008302847" TargetMode="External"/><Relationship Id="rId830" Type="http://schemas.openxmlformats.org/officeDocument/2006/relationships/hyperlink" Target="https://wa.me/6287862271550" TargetMode="External"/><Relationship Id="rId928" Type="http://schemas.openxmlformats.org/officeDocument/2006/relationships/hyperlink" Target="https://wa.me/6281328710760" TargetMode="External"/><Relationship Id="rId1460" Type="http://schemas.openxmlformats.org/officeDocument/2006/relationships/hyperlink" Target="https://wa.me/6281237058617" TargetMode="External"/><Relationship Id="rId1558" Type="http://schemas.openxmlformats.org/officeDocument/2006/relationships/hyperlink" Target="https://wa.me/6281274175987" TargetMode="External"/><Relationship Id="rId57" Type="http://schemas.openxmlformats.org/officeDocument/2006/relationships/hyperlink" Target="https://wa.me/6281904501876" TargetMode="External"/><Relationship Id="rId1113" Type="http://schemas.openxmlformats.org/officeDocument/2006/relationships/hyperlink" Target="https://wa.me/6282136210727" TargetMode="External"/><Relationship Id="rId1320" Type="http://schemas.openxmlformats.org/officeDocument/2006/relationships/hyperlink" Target="https://wa.me/6285716918108" TargetMode="External"/><Relationship Id="rId1418" Type="http://schemas.openxmlformats.org/officeDocument/2006/relationships/hyperlink" Target="https://wa.me/6285713820117" TargetMode="External"/><Relationship Id="rId1625" Type="http://schemas.openxmlformats.org/officeDocument/2006/relationships/hyperlink" Target="https://wa.me/6285640688815" TargetMode="External"/><Relationship Id="rId273" Type="http://schemas.openxmlformats.org/officeDocument/2006/relationships/hyperlink" Target="https://wa.me/6285274759862" TargetMode="External"/><Relationship Id="rId480" Type="http://schemas.openxmlformats.org/officeDocument/2006/relationships/hyperlink" Target="https://wa.me/6287762605372" TargetMode="External"/><Relationship Id="rId133" Type="http://schemas.openxmlformats.org/officeDocument/2006/relationships/hyperlink" Target="https://wa.me/6282399721881" TargetMode="External"/><Relationship Id="rId340" Type="http://schemas.openxmlformats.org/officeDocument/2006/relationships/hyperlink" Target="https://wa.me/6285716210341" TargetMode="External"/><Relationship Id="rId578" Type="http://schemas.openxmlformats.org/officeDocument/2006/relationships/hyperlink" Target="https://wa.me/6285893658659" TargetMode="External"/><Relationship Id="rId785" Type="http://schemas.openxmlformats.org/officeDocument/2006/relationships/hyperlink" Target="https://wa.me/6285645712595" TargetMode="External"/><Relationship Id="rId992" Type="http://schemas.openxmlformats.org/officeDocument/2006/relationships/hyperlink" Target="https://wa.me/6282193198971" TargetMode="External"/><Relationship Id="rId200" Type="http://schemas.openxmlformats.org/officeDocument/2006/relationships/hyperlink" Target="https://wa.me/6282338171577" TargetMode="External"/><Relationship Id="rId438" Type="http://schemas.openxmlformats.org/officeDocument/2006/relationships/hyperlink" Target="https://wa.me/6287826386983" TargetMode="External"/><Relationship Id="rId645" Type="http://schemas.openxmlformats.org/officeDocument/2006/relationships/hyperlink" Target="https://wa.me/6285240694097" TargetMode="External"/><Relationship Id="rId852" Type="http://schemas.openxmlformats.org/officeDocument/2006/relationships/hyperlink" Target="https://wa.me/6285341061917" TargetMode="External"/><Relationship Id="rId1068" Type="http://schemas.openxmlformats.org/officeDocument/2006/relationships/hyperlink" Target="https://wa.me/6289668245188" TargetMode="External"/><Relationship Id="rId1275" Type="http://schemas.openxmlformats.org/officeDocument/2006/relationships/hyperlink" Target="https://wa.me/6285337776770" TargetMode="External"/><Relationship Id="rId1482" Type="http://schemas.openxmlformats.org/officeDocument/2006/relationships/hyperlink" Target="https://wa.me/6285167231114" TargetMode="External"/><Relationship Id="rId505" Type="http://schemas.openxmlformats.org/officeDocument/2006/relationships/hyperlink" Target="https://wa.me/6289609613105" TargetMode="External"/><Relationship Id="rId712" Type="http://schemas.openxmlformats.org/officeDocument/2006/relationships/hyperlink" Target="https://wa.me/6285169730762" TargetMode="External"/><Relationship Id="rId1135" Type="http://schemas.openxmlformats.org/officeDocument/2006/relationships/hyperlink" Target="https://wa.me/6282236053835" TargetMode="External"/><Relationship Id="rId1342" Type="http://schemas.openxmlformats.org/officeDocument/2006/relationships/hyperlink" Target="https://wa.me/6285189067481" TargetMode="External"/><Relationship Id="rId79" Type="http://schemas.openxmlformats.org/officeDocument/2006/relationships/hyperlink" Target="https://wa.me/6281338789995" TargetMode="External"/><Relationship Id="rId1202" Type="http://schemas.openxmlformats.org/officeDocument/2006/relationships/hyperlink" Target="https://wa.me/6281904501876" TargetMode="External"/><Relationship Id="rId1647" Type="http://schemas.openxmlformats.org/officeDocument/2006/relationships/hyperlink" Target="https://wa.me/6282234857245" TargetMode="External"/><Relationship Id="rId1507" Type="http://schemas.openxmlformats.org/officeDocument/2006/relationships/hyperlink" Target="https://wa.me/628137914558" TargetMode="External"/><Relationship Id="rId1714" Type="http://schemas.openxmlformats.org/officeDocument/2006/relationships/hyperlink" Target="https://wa.me/6282191641790" TargetMode="External"/><Relationship Id="rId295" Type="http://schemas.openxmlformats.org/officeDocument/2006/relationships/hyperlink" Target="https://wa.me/6285814054475" TargetMode="External"/><Relationship Id="rId155" Type="http://schemas.openxmlformats.org/officeDocument/2006/relationships/hyperlink" Target="https://wa.me/6282258886603" TargetMode="External"/><Relationship Id="rId362" Type="http://schemas.openxmlformats.org/officeDocument/2006/relationships/hyperlink" Target="https://wa.me/6285268101557" TargetMode="External"/><Relationship Id="rId1297" Type="http://schemas.openxmlformats.org/officeDocument/2006/relationships/hyperlink" Target="https://wa.me/6287858406222" TargetMode="External"/><Relationship Id="rId222" Type="http://schemas.openxmlformats.org/officeDocument/2006/relationships/hyperlink" Target="https://wa.me/628111508569" TargetMode="External"/><Relationship Id="rId667" Type="http://schemas.openxmlformats.org/officeDocument/2006/relationships/hyperlink" Target="https://wa.me/6285702241111" TargetMode="External"/><Relationship Id="rId874" Type="http://schemas.openxmlformats.org/officeDocument/2006/relationships/hyperlink" Target="https://wa.me/6283865096870" TargetMode="External"/><Relationship Id="rId527" Type="http://schemas.openxmlformats.org/officeDocument/2006/relationships/hyperlink" Target="https://wa.me/6281394618785" TargetMode="External"/><Relationship Id="rId734" Type="http://schemas.openxmlformats.org/officeDocument/2006/relationships/hyperlink" Target="https://wa.me/628119913004" TargetMode="External"/><Relationship Id="rId941" Type="http://schemas.openxmlformats.org/officeDocument/2006/relationships/hyperlink" Target="https://wa.me/6285237233077" TargetMode="External"/><Relationship Id="rId1157" Type="http://schemas.openxmlformats.org/officeDocument/2006/relationships/hyperlink" Target="https://wa.me/6281356480021" TargetMode="External"/><Relationship Id="rId1364" Type="http://schemas.openxmlformats.org/officeDocument/2006/relationships/hyperlink" Target="https://wa.me/6285398802006" TargetMode="External"/><Relationship Id="rId1571" Type="http://schemas.openxmlformats.org/officeDocument/2006/relationships/hyperlink" Target="https://wa.me/6288802749485" TargetMode="External"/><Relationship Id="rId70" Type="http://schemas.openxmlformats.org/officeDocument/2006/relationships/hyperlink" Target="https://wa.me/6281328119680" TargetMode="External"/><Relationship Id="rId801" Type="http://schemas.openxmlformats.org/officeDocument/2006/relationships/hyperlink" Target="https://wa.me/6287885910719" TargetMode="External"/><Relationship Id="rId1017" Type="http://schemas.openxmlformats.org/officeDocument/2006/relationships/hyperlink" Target="https://wa.me/6282183115806" TargetMode="External"/><Relationship Id="rId1224" Type="http://schemas.openxmlformats.org/officeDocument/2006/relationships/hyperlink" Target="https://wa.me/6285191214595" TargetMode="External"/><Relationship Id="rId1431" Type="http://schemas.openxmlformats.org/officeDocument/2006/relationships/hyperlink" Target="https://wa.me/6283142837128" TargetMode="External"/><Relationship Id="rId1669" Type="http://schemas.openxmlformats.org/officeDocument/2006/relationships/hyperlink" Target="https://wa.me/6285212235687" TargetMode="External"/><Relationship Id="rId1529" Type="http://schemas.openxmlformats.org/officeDocument/2006/relationships/hyperlink" Target="https://wa.me/6285624000805" TargetMode="External"/><Relationship Id="rId1736" Type="http://schemas.openxmlformats.org/officeDocument/2006/relationships/hyperlink" Target="https://wa.me/6285888105671" TargetMode="External"/><Relationship Id="rId28" Type="http://schemas.openxmlformats.org/officeDocument/2006/relationships/hyperlink" Target="https://wa.me/6285211510282" TargetMode="External"/><Relationship Id="rId177" Type="http://schemas.openxmlformats.org/officeDocument/2006/relationships/hyperlink" Target="https://wa.me/6281351666729" TargetMode="External"/><Relationship Id="rId384" Type="http://schemas.openxmlformats.org/officeDocument/2006/relationships/hyperlink" Target="https://wa.me/6282169354443" TargetMode="External"/><Relationship Id="rId591" Type="http://schemas.openxmlformats.org/officeDocument/2006/relationships/hyperlink" Target="https://wa.me/6287768646729" TargetMode="External"/><Relationship Id="rId244" Type="http://schemas.openxmlformats.org/officeDocument/2006/relationships/hyperlink" Target="https://wa.me/6281287982295" TargetMode="External"/><Relationship Id="rId689" Type="http://schemas.openxmlformats.org/officeDocument/2006/relationships/hyperlink" Target="https://wa.me/62818533354" TargetMode="External"/><Relationship Id="rId896" Type="http://schemas.openxmlformats.org/officeDocument/2006/relationships/hyperlink" Target="https://wa.me/6282393369967" TargetMode="External"/><Relationship Id="rId1081" Type="http://schemas.openxmlformats.org/officeDocument/2006/relationships/hyperlink" Target="https://wa.me/6285299623063" TargetMode="External"/><Relationship Id="rId451" Type="http://schemas.openxmlformats.org/officeDocument/2006/relationships/hyperlink" Target="https://wa.me/6281378305888" TargetMode="External"/><Relationship Id="rId549" Type="http://schemas.openxmlformats.org/officeDocument/2006/relationships/hyperlink" Target="https://wa.me/6281222110766" TargetMode="External"/><Relationship Id="rId756" Type="http://schemas.openxmlformats.org/officeDocument/2006/relationships/hyperlink" Target="https://wa.me/628122102657" TargetMode="External"/><Relationship Id="rId1179" Type="http://schemas.openxmlformats.org/officeDocument/2006/relationships/hyperlink" Target="https://wa.me/6281330410391" TargetMode="External"/><Relationship Id="rId1386" Type="http://schemas.openxmlformats.org/officeDocument/2006/relationships/hyperlink" Target="https://wa.me/6287856230745" TargetMode="External"/><Relationship Id="rId1593" Type="http://schemas.openxmlformats.org/officeDocument/2006/relationships/hyperlink" Target="https://wa.me/6281316122975" TargetMode="External"/><Relationship Id="rId104" Type="http://schemas.openxmlformats.org/officeDocument/2006/relationships/hyperlink" Target="https://wa.me/6281233044823" TargetMode="External"/><Relationship Id="rId311" Type="http://schemas.openxmlformats.org/officeDocument/2006/relationships/hyperlink" Target="https://wa.me/6281352626888" TargetMode="External"/><Relationship Id="rId409" Type="http://schemas.openxmlformats.org/officeDocument/2006/relationships/hyperlink" Target="http://derra.id/" TargetMode="External"/><Relationship Id="rId963" Type="http://schemas.openxmlformats.org/officeDocument/2006/relationships/hyperlink" Target="https://wa.me/6282183115806" TargetMode="External"/><Relationship Id="rId1039" Type="http://schemas.openxmlformats.org/officeDocument/2006/relationships/hyperlink" Target="https://wa.me/628990570840" TargetMode="External"/><Relationship Id="rId1246" Type="http://schemas.openxmlformats.org/officeDocument/2006/relationships/hyperlink" Target="https://wa.me/6285645050058" TargetMode="External"/><Relationship Id="rId92" Type="http://schemas.openxmlformats.org/officeDocument/2006/relationships/hyperlink" Target="https://wa.me/6281575323811" TargetMode="External"/><Relationship Id="rId616" Type="http://schemas.openxmlformats.org/officeDocument/2006/relationships/hyperlink" Target="https://wa.me/6287701349406" TargetMode="External"/><Relationship Id="rId823" Type="http://schemas.openxmlformats.org/officeDocument/2006/relationships/hyperlink" Target="https://wa.me/6287865111033" TargetMode="External"/><Relationship Id="rId1453" Type="http://schemas.openxmlformats.org/officeDocument/2006/relationships/hyperlink" Target="https://wa.me/6285925102815" TargetMode="External"/><Relationship Id="rId1660" Type="http://schemas.openxmlformats.org/officeDocument/2006/relationships/hyperlink" Target="https://wa.me/6285930018999" TargetMode="External"/><Relationship Id="rId1106" Type="http://schemas.openxmlformats.org/officeDocument/2006/relationships/hyperlink" Target="https://wa.me/6285600287735" TargetMode="External"/><Relationship Id="rId1313" Type="http://schemas.openxmlformats.org/officeDocument/2006/relationships/hyperlink" Target="https://wa.me/628114170888" TargetMode="External"/><Relationship Id="rId1520" Type="http://schemas.openxmlformats.org/officeDocument/2006/relationships/hyperlink" Target="https://wa.me/6285270194027" TargetMode="External"/><Relationship Id="rId1618" Type="http://schemas.openxmlformats.org/officeDocument/2006/relationships/hyperlink" Target="https://wa.me/6282193076208" TargetMode="External"/><Relationship Id="rId199" Type="http://schemas.openxmlformats.org/officeDocument/2006/relationships/hyperlink" Target="https://wa.me/628111988553" TargetMode="External"/><Relationship Id="rId266" Type="http://schemas.openxmlformats.org/officeDocument/2006/relationships/hyperlink" Target="https://wa.me/6283878405768" TargetMode="External"/><Relationship Id="rId473" Type="http://schemas.openxmlformats.org/officeDocument/2006/relationships/hyperlink" Target="https://wa.me/6285362101860" TargetMode="External"/><Relationship Id="rId680" Type="http://schemas.openxmlformats.org/officeDocument/2006/relationships/hyperlink" Target="https://wa.me/62818763108" TargetMode="External"/><Relationship Id="rId126" Type="http://schemas.openxmlformats.org/officeDocument/2006/relationships/hyperlink" Target="https://wa.me/6287874945781" TargetMode="External"/><Relationship Id="rId333" Type="http://schemas.openxmlformats.org/officeDocument/2006/relationships/hyperlink" Target="https://wa.me/6281317170441" TargetMode="External"/><Relationship Id="rId540" Type="http://schemas.openxmlformats.org/officeDocument/2006/relationships/hyperlink" Target="https://wa.me/6285279489086" TargetMode="External"/><Relationship Id="rId778" Type="http://schemas.openxmlformats.org/officeDocument/2006/relationships/hyperlink" Target="https://wa.me/6285946504405" TargetMode="External"/><Relationship Id="rId985" Type="http://schemas.openxmlformats.org/officeDocument/2006/relationships/hyperlink" Target="https://wa.me/62895632627969" TargetMode="External"/><Relationship Id="rId1170" Type="http://schemas.openxmlformats.org/officeDocument/2006/relationships/hyperlink" Target="https://wa.me/6287856230745" TargetMode="External"/><Relationship Id="rId638" Type="http://schemas.openxmlformats.org/officeDocument/2006/relationships/hyperlink" Target="https://wa.me/62077619002" TargetMode="External"/><Relationship Id="rId845" Type="http://schemas.openxmlformats.org/officeDocument/2006/relationships/hyperlink" Target="https://wa.me/6282229433259" TargetMode="External"/><Relationship Id="rId1030" Type="http://schemas.openxmlformats.org/officeDocument/2006/relationships/hyperlink" Target="http://kolamrenangku.id/" TargetMode="External"/><Relationship Id="rId1268" Type="http://schemas.openxmlformats.org/officeDocument/2006/relationships/hyperlink" Target="https://wa.me/6285141091362" TargetMode="External"/><Relationship Id="rId1475" Type="http://schemas.openxmlformats.org/officeDocument/2006/relationships/hyperlink" Target="https://wa.me/628179859231" TargetMode="External"/><Relationship Id="rId1682" Type="http://schemas.openxmlformats.org/officeDocument/2006/relationships/hyperlink" Target="https://wa.me/6285722290661" TargetMode="External"/><Relationship Id="rId400" Type="http://schemas.openxmlformats.org/officeDocument/2006/relationships/hyperlink" Target="https://wa.me/6285657238556" TargetMode="External"/><Relationship Id="rId705" Type="http://schemas.openxmlformats.org/officeDocument/2006/relationships/hyperlink" Target="https://wa.me/6282137097189" TargetMode="External"/><Relationship Id="rId1128" Type="http://schemas.openxmlformats.org/officeDocument/2006/relationships/hyperlink" Target="https://wa.me/6285741977776" TargetMode="External"/><Relationship Id="rId1335" Type="http://schemas.openxmlformats.org/officeDocument/2006/relationships/hyperlink" Target="http://villa.puncak.com/" TargetMode="External"/><Relationship Id="rId1542" Type="http://schemas.openxmlformats.org/officeDocument/2006/relationships/hyperlink" Target="https://wa.me/6281233038880" TargetMode="External"/><Relationship Id="rId912" Type="http://schemas.openxmlformats.org/officeDocument/2006/relationships/hyperlink" Target="https://wa.me/6285657238556" TargetMode="External"/><Relationship Id="rId41" Type="http://schemas.openxmlformats.org/officeDocument/2006/relationships/hyperlink" Target="https://wa.me/6281318125688" TargetMode="External"/><Relationship Id="rId1402" Type="http://schemas.openxmlformats.org/officeDocument/2006/relationships/hyperlink" Target="https://wa.me/6281213766426" TargetMode="External"/><Relationship Id="rId1707" Type="http://schemas.openxmlformats.org/officeDocument/2006/relationships/hyperlink" Target="https://wa.me/628132699871" TargetMode="External"/><Relationship Id="rId190" Type="http://schemas.openxmlformats.org/officeDocument/2006/relationships/hyperlink" Target="https://wa.me/6281338789995" TargetMode="External"/><Relationship Id="rId288" Type="http://schemas.openxmlformats.org/officeDocument/2006/relationships/hyperlink" Target="https://wa.me/6282227027805" TargetMode="External"/><Relationship Id="rId495" Type="http://schemas.openxmlformats.org/officeDocument/2006/relationships/hyperlink" Target="https://wa.me/6285657238556" TargetMode="External"/><Relationship Id="rId148" Type="http://schemas.openxmlformats.org/officeDocument/2006/relationships/hyperlink" Target="https://wa.me/6285950836788" TargetMode="External"/><Relationship Id="rId355" Type="http://schemas.openxmlformats.org/officeDocument/2006/relationships/hyperlink" Target="https://wa.me/6282292283543" TargetMode="External"/><Relationship Id="rId562" Type="http://schemas.openxmlformats.org/officeDocument/2006/relationships/hyperlink" Target="https://wa.me/6285888590045" TargetMode="External"/><Relationship Id="rId1192" Type="http://schemas.openxmlformats.org/officeDocument/2006/relationships/hyperlink" Target="https://wa.me/6285295804136" TargetMode="External"/><Relationship Id="rId215" Type="http://schemas.openxmlformats.org/officeDocument/2006/relationships/hyperlink" Target="https://wa.me/6282115608585" TargetMode="External"/><Relationship Id="rId422" Type="http://schemas.openxmlformats.org/officeDocument/2006/relationships/hyperlink" Target="https://wa.me/6282333203355" TargetMode="External"/><Relationship Id="rId867" Type="http://schemas.openxmlformats.org/officeDocument/2006/relationships/hyperlink" Target="https://wa.me/6282318568540" TargetMode="External"/><Relationship Id="rId1052" Type="http://schemas.openxmlformats.org/officeDocument/2006/relationships/hyperlink" Target="https://wa.me/6285849693521" TargetMode="External"/><Relationship Id="rId1497" Type="http://schemas.openxmlformats.org/officeDocument/2006/relationships/hyperlink" Target="https://wa.me/6285255452796" TargetMode="External"/><Relationship Id="rId727" Type="http://schemas.openxmlformats.org/officeDocument/2006/relationships/hyperlink" Target="https://wa.me/6282171085542" TargetMode="External"/><Relationship Id="rId934" Type="http://schemas.openxmlformats.org/officeDocument/2006/relationships/hyperlink" Target="https://wa.me/6281243260218" TargetMode="External"/><Relationship Id="rId1357" Type="http://schemas.openxmlformats.org/officeDocument/2006/relationships/hyperlink" Target="https://wa.me/6281347321820" TargetMode="External"/><Relationship Id="rId1564" Type="http://schemas.openxmlformats.org/officeDocument/2006/relationships/hyperlink" Target="https://wa.me/6285167231114" TargetMode="External"/><Relationship Id="rId63" Type="http://schemas.openxmlformats.org/officeDocument/2006/relationships/hyperlink" Target="https://wa.me/6281216962242" TargetMode="External"/><Relationship Id="rId1217" Type="http://schemas.openxmlformats.org/officeDocument/2006/relationships/hyperlink" Target="https://wa.me/6285145256777" TargetMode="External"/><Relationship Id="rId1424" Type="http://schemas.openxmlformats.org/officeDocument/2006/relationships/hyperlink" Target="https://wa.me/6285888452389" TargetMode="External"/><Relationship Id="rId1631" Type="http://schemas.openxmlformats.org/officeDocument/2006/relationships/hyperlink" Target="https://wa.me/6287778844410" TargetMode="External"/><Relationship Id="rId1729" Type="http://schemas.openxmlformats.org/officeDocument/2006/relationships/hyperlink" Target="https://wa.me/628131428282" TargetMode="External"/><Relationship Id="rId377" Type="http://schemas.openxmlformats.org/officeDocument/2006/relationships/hyperlink" Target="https://wa.me/628158830325" TargetMode="External"/><Relationship Id="rId584" Type="http://schemas.openxmlformats.org/officeDocument/2006/relationships/hyperlink" Target="https://wa.me/6283185169816" TargetMode="External"/><Relationship Id="rId5" Type="http://schemas.openxmlformats.org/officeDocument/2006/relationships/hyperlink" Target="https://wa.me/6285270469663" TargetMode="External"/><Relationship Id="rId237" Type="http://schemas.openxmlformats.org/officeDocument/2006/relationships/hyperlink" Target="https://wa.me/6283845117965" TargetMode="External"/><Relationship Id="rId791" Type="http://schemas.openxmlformats.org/officeDocument/2006/relationships/hyperlink" Target="https://wa.me/6285225512004" TargetMode="External"/><Relationship Id="rId889" Type="http://schemas.openxmlformats.org/officeDocument/2006/relationships/hyperlink" Target="https://wa.me/6282391199993" TargetMode="External"/><Relationship Id="rId1074" Type="http://schemas.openxmlformats.org/officeDocument/2006/relationships/hyperlink" Target="https://wa.me/6285210107607" TargetMode="External"/><Relationship Id="rId444" Type="http://schemas.openxmlformats.org/officeDocument/2006/relationships/hyperlink" Target="https://wa.me/6287790276733" TargetMode="External"/><Relationship Id="rId651" Type="http://schemas.openxmlformats.org/officeDocument/2006/relationships/hyperlink" Target="https://wa.me/6285189492568" TargetMode="External"/><Relationship Id="rId749" Type="http://schemas.openxmlformats.org/officeDocument/2006/relationships/hyperlink" Target="https://wa.me/6281915041833" TargetMode="External"/><Relationship Id="rId1281" Type="http://schemas.openxmlformats.org/officeDocument/2006/relationships/hyperlink" Target="https://wa.me/6281330410391" TargetMode="External"/><Relationship Id="rId1379" Type="http://schemas.openxmlformats.org/officeDocument/2006/relationships/hyperlink" Target="https://wa.me/6281233038880" TargetMode="External"/><Relationship Id="rId1586" Type="http://schemas.openxmlformats.org/officeDocument/2006/relationships/hyperlink" Target="https://wa.me/6282173211212" TargetMode="External"/><Relationship Id="rId304" Type="http://schemas.openxmlformats.org/officeDocument/2006/relationships/hyperlink" Target="https://wa.me/6283177154244" TargetMode="External"/><Relationship Id="rId511" Type="http://schemas.openxmlformats.org/officeDocument/2006/relationships/hyperlink" Target="https://wa.me/6285920572002" TargetMode="External"/><Relationship Id="rId609" Type="http://schemas.openxmlformats.org/officeDocument/2006/relationships/hyperlink" Target="https://wa.me/6281243260218" TargetMode="External"/><Relationship Id="rId956" Type="http://schemas.openxmlformats.org/officeDocument/2006/relationships/hyperlink" Target="https://wa.me/6282125057012" TargetMode="External"/><Relationship Id="rId1141" Type="http://schemas.openxmlformats.org/officeDocument/2006/relationships/hyperlink" Target="https://wa.me/6282197803231" TargetMode="External"/><Relationship Id="rId1239" Type="http://schemas.openxmlformats.org/officeDocument/2006/relationships/hyperlink" Target="https://wa.me/6281517599665" TargetMode="External"/><Relationship Id="rId85" Type="http://schemas.openxmlformats.org/officeDocument/2006/relationships/hyperlink" Target="https://wa.me/6289523308892" TargetMode="External"/><Relationship Id="rId816" Type="http://schemas.openxmlformats.org/officeDocument/2006/relationships/hyperlink" Target="https://wa.me/6285780314346" TargetMode="External"/><Relationship Id="rId1001" Type="http://schemas.openxmlformats.org/officeDocument/2006/relationships/hyperlink" Target="https://wa.me/6287885910719" TargetMode="External"/><Relationship Id="rId1446" Type="http://schemas.openxmlformats.org/officeDocument/2006/relationships/hyperlink" Target="https://wa.me/6289678497690" TargetMode="External"/><Relationship Id="rId1653" Type="http://schemas.openxmlformats.org/officeDocument/2006/relationships/hyperlink" Target="https://wa.me/6285166449071" TargetMode="External"/><Relationship Id="rId1306" Type="http://schemas.openxmlformats.org/officeDocument/2006/relationships/hyperlink" Target="https://wa.me/6289504615501" TargetMode="External"/><Relationship Id="rId1513" Type="http://schemas.openxmlformats.org/officeDocument/2006/relationships/hyperlink" Target="https://wa.me/6282133932170" TargetMode="External"/><Relationship Id="rId1720" Type="http://schemas.openxmlformats.org/officeDocument/2006/relationships/hyperlink" Target="https://wa.me/6282264571765" TargetMode="External"/><Relationship Id="rId12" Type="http://schemas.openxmlformats.org/officeDocument/2006/relationships/hyperlink" Target="https://wa.me/6285758792669" TargetMode="External"/><Relationship Id="rId161" Type="http://schemas.openxmlformats.org/officeDocument/2006/relationships/hyperlink" Target="https://wa.me/6282115973014" TargetMode="External"/><Relationship Id="rId399" Type="http://schemas.openxmlformats.org/officeDocument/2006/relationships/hyperlink" Target="https://wa.me/6285645050058" TargetMode="External"/><Relationship Id="rId259" Type="http://schemas.openxmlformats.org/officeDocument/2006/relationships/hyperlink" Target="https://wa.me/6282184019830" TargetMode="External"/><Relationship Id="rId466" Type="http://schemas.openxmlformats.org/officeDocument/2006/relationships/hyperlink" Target="https://wa.me/6282177410110" TargetMode="External"/><Relationship Id="rId673" Type="http://schemas.openxmlformats.org/officeDocument/2006/relationships/hyperlink" Target="https://wa.me/6282160743576" TargetMode="External"/><Relationship Id="rId880" Type="http://schemas.openxmlformats.org/officeDocument/2006/relationships/hyperlink" Target="https://wa.me/6281223735839" TargetMode="External"/><Relationship Id="rId1096" Type="http://schemas.openxmlformats.org/officeDocument/2006/relationships/hyperlink" Target="https://wa.me/6285600287735" TargetMode="External"/><Relationship Id="rId119" Type="http://schemas.openxmlformats.org/officeDocument/2006/relationships/hyperlink" Target="https://wa.me/6282230035858" TargetMode="External"/><Relationship Id="rId326" Type="http://schemas.openxmlformats.org/officeDocument/2006/relationships/hyperlink" Target="https://wa.me/6285746861553" TargetMode="External"/><Relationship Id="rId533" Type="http://schemas.openxmlformats.org/officeDocument/2006/relationships/hyperlink" Target="https://wa.me/6285241858483" TargetMode="External"/><Relationship Id="rId978" Type="http://schemas.openxmlformats.org/officeDocument/2006/relationships/hyperlink" Target="https://wa.me/6285218573607" TargetMode="External"/><Relationship Id="rId1163" Type="http://schemas.openxmlformats.org/officeDocument/2006/relationships/hyperlink" Target="https://wa.me/628118055948" TargetMode="External"/><Relationship Id="rId1370" Type="http://schemas.openxmlformats.org/officeDocument/2006/relationships/hyperlink" Target="https://wa.me/6285255452796" TargetMode="External"/><Relationship Id="rId740" Type="http://schemas.openxmlformats.org/officeDocument/2006/relationships/hyperlink" Target="https://wa.me/6281359605566" TargetMode="External"/><Relationship Id="rId838" Type="http://schemas.openxmlformats.org/officeDocument/2006/relationships/hyperlink" Target="https://wa.me/6281263113266" TargetMode="External"/><Relationship Id="rId1023" Type="http://schemas.openxmlformats.org/officeDocument/2006/relationships/hyperlink" Target="https://wa.me/6289653773632" TargetMode="External"/><Relationship Id="rId1468" Type="http://schemas.openxmlformats.org/officeDocument/2006/relationships/hyperlink" Target="https://wa.me/6281999413489" TargetMode="External"/><Relationship Id="rId1675" Type="http://schemas.openxmlformats.org/officeDocument/2006/relationships/hyperlink" Target="https://wa.me/6287848662692" TargetMode="External"/><Relationship Id="rId600" Type="http://schemas.openxmlformats.org/officeDocument/2006/relationships/hyperlink" Target="https://wa.me/6282184823441" TargetMode="External"/><Relationship Id="rId1230" Type="http://schemas.openxmlformats.org/officeDocument/2006/relationships/hyperlink" Target="https://wa.me/6287874019135" TargetMode="External"/><Relationship Id="rId1328" Type="http://schemas.openxmlformats.org/officeDocument/2006/relationships/hyperlink" Target="https://wa.me/6281393958199" TargetMode="External"/><Relationship Id="rId1535" Type="http://schemas.openxmlformats.org/officeDocument/2006/relationships/hyperlink" Target="https://wa.me/6287780880807" TargetMode="External"/><Relationship Id="rId905" Type="http://schemas.openxmlformats.org/officeDocument/2006/relationships/hyperlink" Target="https://wa.me/62817164567" TargetMode="External"/><Relationship Id="rId1742" Type="http://schemas.openxmlformats.org/officeDocument/2006/relationships/hyperlink" Target="https://wa.me/6282318574594" TargetMode="External"/><Relationship Id="rId34" Type="http://schemas.openxmlformats.org/officeDocument/2006/relationships/hyperlink" Target="https://wa.me/6281934079192" TargetMode="External"/><Relationship Id="rId1602" Type="http://schemas.openxmlformats.org/officeDocument/2006/relationships/hyperlink" Target="https://wa.me/6285750574301" TargetMode="External"/><Relationship Id="rId183" Type="http://schemas.openxmlformats.org/officeDocument/2006/relationships/hyperlink" Target="https://wa.me/6285974999484" TargetMode="External"/><Relationship Id="rId390" Type="http://schemas.openxmlformats.org/officeDocument/2006/relationships/hyperlink" Target="https://wa.me/628155157779" TargetMode="External"/><Relationship Id="rId250" Type="http://schemas.openxmlformats.org/officeDocument/2006/relationships/hyperlink" Target="https://wa.me/6281237893904" TargetMode="External"/><Relationship Id="rId488" Type="http://schemas.openxmlformats.org/officeDocument/2006/relationships/hyperlink" Target="https://wa.me/6281299298585" TargetMode="External"/><Relationship Id="rId695" Type="http://schemas.openxmlformats.org/officeDocument/2006/relationships/hyperlink" Target="https://wa.me/6282171933337" TargetMode="External"/><Relationship Id="rId110" Type="http://schemas.openxmlformats.org/officeDocument/2006/relationships/hyperlink" Target="https://wa.me/6285361188745" TargetMode="External"/><Relationship Id="rId348" Type="http://schemas.openxmlformats.org/officeDocument/2006/relationships/hyperlink" Target="https://wa.me/6287856230745" TargetMode="External"/><Relationship Id="rId555" Type="http://schemas.openxmlformats.org/officeDocument/2006/relationships/hyperlink" Target="https://wa.me/6285602235226" TargetMode="External"/><Relationship Id="rId762" Type="http://schemas.openxmlformats.org/officeDocument/2006/relationships/hyperlink" Target="https://wa.me/62811955059" TargetMode="External"/><Relationship Id="rId1185" Type="http://schemas.openxmlformats.org/officeDocument/2006/relationships/hyperlink" Target="https://wa.me/6282125465047" TargetMode="External"/><Relationship Id="rId1392" Type="http://schemas.openxmlformats.org/officeDocument/2006/relationships/hyperlink" Target="https://wa.me/6281299670702" TargetMode="External"/><Relationship Id="rId208" Type="http://schemas.openxmlformats.org/officeDocument/2006/relationships/hyperlink" Target="https://wa.me/6282228737559" TargetMode="External"/><Relationship Id="rId415" Type="http://schemas.openxmlformats.org/officeDocument/2006/relationships/hyperlink" Target="https://wa.me/6282133271189" TargetMode="External"/><Relationship Id="rId622" Type="http://schemas.openxmlformats.org/officeDocument/2006/relationships/hyperlink" Target="https://wa.me/628997485901" TargetMode="External"/><Relationship Id="rId1045" Type="http://schemas.openxmlformats.org/officeDocument/2006/relationships/hyperlink" Target="https://wa.me/6281316122975" TargetMode="External"/><Relationship Id="rId1252" Type="http://schemas.openxmlformats.org/officeDocument/2006/relationships/hyperlink" Target="https://wa.me/628119221176" TargetMode="External"/><Relationship Id="rId1697" Type="http://schemas.openxmlformats.org/officeDocument/2006/relationships/hyperlink" Target="https://wa.me/6281340892328" TargetMode="External"/><Relationship Id="rId927" Type="http://schemas.openxmlformats.org/officeDocument/2006/relationships/hyperlink" Target="https://wa.me/6282249145533" TargetMode="External"/><Relationship Id="rId1112" Type="http://schemas.openxmlformats.org/officeDocument/2006/relationships/hyperlink" Target="https://wa.me/6287823423000" TargetMode="External"/><Relationship Id="rId1557" Type="http://schemas.openxmlformats.org/officeDocument/2006/relationships/hyperlink" Target="https://wa.me/6285729738492" TargetMode="External"/><Relationship Id="rId56" Type="http://schemas.openxmlformats.org/officeDocument/2006/relationships/hyperlink" Target="https://wa.me/6285853370682" TargetMode="External"/><Relationship Id="rId1417" Type="http://schemas.openxmlformats.org/officeDocument/2006/relationships/hyperlink" Target="https://wa.me/6285381277559" TargetMode="External"/><Relationship Id="rId1624" Type="http://schemas.openxmlformats.org/officeDocument/2006/relationships/hyperlink" Target="https://wa.me/6282343826004" TargetMode="External"/><Relationship Id="rId272" Type="http://schemas.openxmlformats.org/officeDocument/2006/relationships/hyperlink" Target="https://wa.me/628122102657" TargetMode="External"/><Relationship Id="rId577" Type="http://schemas.openxmlformats.org/officeDocument/2006/relationships/hyperlink" Target="https://wa.me/6289563598336" TargetMode="External"/><Relationship Id="rId132" Type="http://schemas.openxmlformats.org/officeDocument/2006/relationships/hyperlink" Target="https://wa.me/6282385989828" TargetMode="External"/><Relationship Id="rId784" Type="http://schemas.openxmlformats.org/officeDocument/2006/relationships/hyperlink" Target="https://wa.me/62881038177010" TargetMode="External"/><Relationship Id="rId991" Type="http://schemas.openxmlformats.org/officeDocument/2006/relationships/hyperlink" Target="https://wa.me/6281220005953" TargetMode="External"/><Relationship Id="rId1067" Type="http://schemas.openxmlformats.org/officeDocument/2006/relationships/hyperlink" Target="https://wa.me/6285387148899" TargetMode="External"/><Relationship Id="rId437" Type="http://schemas.openxmlformats.org/officeDocument/2006/relationships/hyperlink" Target="https://wa.me/6281335728695" TargetMode="External"/><Relationship Id="rId644" Type="http://schemas.openxmlformats.org/officeDocument/2006/relationships/hyperlink" Target="https://wa.me/628561302381" TargetMode="External"/><Relationship Id="rId851" Type="http://schemas.openxmlformats.org/officeDocument/2006/relationships/hyperlink" Target="https://wa.me/6287849856444" TargetMode="External"/><Relationship Id="rId1274" Type="http://schemas.openxmlformats.org/officeDocument/2006/relationships/hyperlink" Target="https://wa.me/628811252834" TargetMode="External"/><Relationship Id="rId1481" Type="http://schemas.openxmlformats.org/officeDocument/2006/relationships/hyperlink" Target="https://wa.me/628119913004" TargetMode="External"/><Relationship Id="rId1579" Type="http://schemas.openxmlformats.org/officeDocument/2006/relationships/hyperlink" Target="https://wa.me/6281265779848" TargetMode="External"/><Relationship Id="rId504" Type="http://schemas.openxmlformats.org/officeDocument/2006/relationships/hyperlink" Target="https://wa.me/6285694618282" TargetMode="External"/><Relationship Id="rId711" Type="http://schemas.openxmlformats.org/officeDocument/2006/relationships/hyperlink" Target="https://wa.me/6281316807185" TargetMode="External"/><Relationship Id="rId949" Type="http://schemas.openxmlformats.org/officeDocument/2006/relationships/hyperlink" Target="https://wa.me/6285269882188" TargetMode="External"/><Relationship Id="rId1134" Type="http://schemas.openxmlformats.org/officeDocument/2006/relationships/hyperlink" Target="https://wa.me/6287776264559" TargetMode="External"/><Relationship Id="rId1341" Type="http://schemas.openxmlformats.org/officeDocument/2006/relationships/hyperlink" Target="https://wa.me/6285817484675" TargetMode="External"/><Relationship Id="rId78" Type="http://schemas.openxmlformats.org/officeDocument/2006/relationships/hyperlink" Target="https://wa.me/6282258886603" TargetMode="External"/><Relationship Id="rId809" Type="http://schemas.openxmlformats.org/officeDocument/2006/relationships/hyperlink" Target="https://wa.me/6282110903007" TargetMode="External"/><Relationship Id="rId1201" Type="http://schemas.openxmlformats.org/officeDocument/2006/relationships/hyperlink" Target="https://wa.me/6289504615502" TargetMode="External"/><Relationship Id="rId1439" Type="http://schemas.openxmlformats.org/officeDocument/2006/relationships/hyperlink" Target="https://wa.me/6285591221799" TargetMode="External"/><Relationship Id="rId1646" Type="http://schemas.openxmlformats.org/officeDocument/2006/relationships/hyperlink" Target="https://wa.me/628133032755" TargetMode="External"/><Relationship Id="rId1506" Type="http://schemas.openxmlformats.org/officeDocument/2006/relationships/hyperlink" Target="https://wa.me/6285974999484" TargetMode="External"/><Relationship Id="rId1713" Type="http://schemas.openxmlformats.org/officeDocument/2006/relationships/hyperlink" Target="https://wa.me/6285189067481" TargetMode="External"/><Relationship Id="rId294" Type="http://schemas.openxmlformats.org/officeDocument/2006/relationships/hyperlink" Target="https://wa.me/6281252228100" TargetMode="External"/><Relationship Id="rId154" Type="http://schemas.openxmlformats.org/officeDocument/2006/relationships/hyperlink" Target="https://wa.me/628174741283" TargetMode="External"/><Relationship Id="rId361" Type="http://schemas.openxmlformats.org/officeDocument/2006/relationships/hyperlink" Target="https://wa.me/6281311129854" TargetMode="External"/><Relationship Id="rId599" Type="http://schemas.openxmlformats.org/officeDocument/2006/relationships/hyperlink" Target="https://wa.me/6282241382009" TargetMode="External"/><Relationship Id="rId459" Type="http://schemas.openxmlformats.org/officeDocument/2006/relationships/hyperlink" Target="https://wa.me/6285282777679" TargetMode="External"/><Relationship Id="rId666" Type="http://schemas.openxmlformats.org/officeDocument/2006/relationships/hyperlink" Target="https://wa.me/6281222788601" TargetMode="External"/><Relationship Id="rId873" Type="http://schemas.openxmlformats.org/officeDocument/2006/relationships/hyperlink" Target="https://wa.me/6283890485123" TargetMode="External"/><Relationship Id="rId1089" Type="http://schemas.openxmlformats.org/officeDocument/2006/relationships/hyperlink" Target="https://wa.me/62817164567" TargetMode="External"/><Relationship Id="rId1296" Type="http://schemas.openxmlformats.org/officeDocument/2006/relationships/hyperlink" Target="https://wa.me/62881022322099" TargetMode="External"/><Relationship Id="rId221" Type="http://schemas.openxmlformats.org/officeDocument/2006/relationships/hyperlink" Target="https://wa.me/6282125330919" TargetMode="External"/><Relationship Id="rId319" Type="http://schemas.openxmlformats.org/officeDocument/2006/relationships/hyperlink" Target="https://wa.me/62895416149255" TargetMode="External"/><Relationship Id="rId526" Type="http://schemas.openxmlformats.org/officeDocument/2006/relationships/hyperlink" Target="https://wa.me/6281558225822" TargetMode="External"/><Relationship Id="rId1156" Type="http://schemas.openxmlformats.org/officeDocument/2006/relationships/hyperlink" Target="https://wa.me/6282396657937" TargetMode="External"/><Relationship Id="rId1363" Type="http://schemas.openxmlformats.org/officeDocument/2006/relationships/hyperlink" Target="https://wa.me/628122102657" TargetMode="External"/><Relationship Id="rId733" Type="http://schemas.openxmlformats.org/officeDocument/2006/relationships/hyperlink" Target="https://wa.me/6281558225822" TargetMode="External"/><Relationship Id="rId940" Type="http://schemas.openxmlformats.org/officeDocument/2006/relationships/hyperlink" Target="https://wa.me/6281316122975" TargetMode="External"/><Relationship Id="rId1016" Type="http://schemas.openxmlformats.org/officeDocument/2006/relationships/hyperlink" Target="https://wa.me/6282183115806" TargetMode="External"/><Relationship Id="rId1570" Type="http://schemas.openxmlformats.org/officeDocument/2006/relationships/hyperlink" Target="https://wa.me/6285210436926" TargetMode="External"/><Relationship Id="rId1668" Type="http://schemas.openxmlformats.org/officeDocument/2006/relationships/hyperlink" Target="https://wa.me/6287719015093" TargetMode="External"/><Relationship Id="rId800" Type="http://schemas.openxmlformats.org/officeDocument/2006/relationships/hyperlink" Target="https://wa.me/6281317409433" TargetMode="External"/><Relationship Id="rId1223" Type="http://schemas.openxmlformats.org/officeDocument/2006/relationships/hyperlink" Target="https://wa.me/6281316122975" TargetMode="External"/><Relationship Id="rId1430" Type="http://schemas.openxmlformats.org/officeDocument/2006/relationships/hyperlink" Target="https://wa.me/628172829797" TargetMode="External"/><Relationship Id="rId1528" Type="http://schemas.openxmlformats.org/officeDocument/2006/relationships/hyperlink" Target="https://wa.me/6282127669779" TargetMode="External"/><Relationship Id="rId1735" Type="http://schemas.openxmlformats.org/officeDocument/2006/relationships/hyperlink" Target="https://wa.me/6285242640112" TargetMode="External"/><Relationship Id="rId27" Type="http://schemas.openxmlformats.org/officeDocument/2006/relationships/hyperlink" Target="https://wa.me/6282154795446" TargetMode="External"/><Relationship Id="rId176" Type="http://schemas.openxmlformats.org/officeDocument/2006/relationships/hyperlink" Target="https://wa.me/6285668750416" TargetMode="External"/><Relationship Id="rId383" Type="http://schemas.openxmlformats.org/officeDocument/2006/relationships/hyperlink" Target="https://wa.me/6282172291579" TargetMode="External"/><Relationship Id="rId590" Type="http://schemas.openxmlformats.org/officeDocument/2006/relationships/hyperlink" Target="https://wa.me/6281326757091" TargetMode="External"/><Relationship Id="rId243" Type="http://schemas.openxmlformats.org/officeDocument/2006/relationships/hyperlink" Target="https://wa.me/62811339289839" TargetMode="External"/><Relationship Id="rId450" Type="http://schemas.openxmlformats.org/officeDocument/2006/relationships/hyperlink" Target="https://wa.me/6281399886462" TargetMode="External"/><Relationship Id="rId688" Type="http://schemas.openxmlformats.org/officeDocument/2006/relationships/hyperlink" Target="https://wa.me/62082287715351" TargetMode="External"/><Relationship Id="rId895" Type="http://schemas.openxmlformats.org/officeDocument/2006/relationships/hyperlink" Target="https://wa.me/62895374644456" TargetMode="External"/><Relationship Id="rId1080" Type="http://schemas.openxmlformats.org/officeDocument/2006/relationships/hyperlink" Target="https://wa.me/6285220216325" TargetMode="External"/><Relationship Id="rId103" Type="http://schemas.openxmlformats.org/officeDocument/2006/relationships/hyperlink" Target="https://wa.me/6282125465047" TargetMode="External"/><Relationship Id="rId310" Type="http://schemas.openxmlformats.org/officeDocument/2006/relationships/hyperlink" Target="https://wa.me/6282298717014" TargetMode="External"/><Relationship Id="rId548" Type="http://schemas.openxmlformats.org/officeDocument/2006/relationships/hyperlink" Target="https://wa.me/6285715856120" TargetMode="External"/><Relationship Id="rId755" Type="http://schemas.openxmlformats.org/officeDocument/2006/relationships/hyperlink" Target="https://wa.me/6285311472244" TargetMode="External"/><Relationship Id="rId962" Type="http://schemas.openxmlformats.org/officeDocument/2006/relationships/hyperlink" Target="https://wa.me/6285168611197" TargetMode="External"/><Relationship Id="rId1178" Type="http://schemas.openxmlformats.org/officeDocument/2006/relationships/hyperlink" Target="https://wa.me/6282232143251" TargetMode="External"/><Relationship Id="rId1385" Type="http://schemas.openxmlformats.org/officeDocument/2006/relationships/hyperlink" Target="https://wa.me/62882008315520" TargetMode="External"/><Relationship Id="rId1592" Type="http://schemas.openxmlformats.org/officeDocument/2006/relationships/hyperlink" Target="https://wa.me/6281938384000" TargetMode="External"/><Relationship Id="rId91" Type="http://schemas.openxmlformats.org/officeDocument/2006/relationships/hyperlink" Target="https://wa.me/628122102657" TargetMode="External"/><Relationship Id="rId408" Type="http://schemas.openxmlformats.org/officeDocument/2006/relationships/hyperlink" Target="http://derra.id/" TargetMode="External"/><Relationship Id="rId615" Type="http://schemas.openxmlformats.org/officeDocument/2006/relationships/hyperlink" Target="https://wa.me/6283185169816" TargetMode="External"/><Relationship Id="rId822" Type="http://schemas.openxmlformats.org/officeDocument/2006/relationships/hyperlink" Target="https://wa.me/6287865111033" TargetMode="External"/><Relationship Id="rId1038" Type="http://schemas.openxmlformats.org/officeDocument/2006/relationships/hyperlink" Target="https://wa.me/6281390669379" TargetMode="External"/><Relationship Id="rId1245" Type="http://schemas.openxmlformats.org/officeDocument/2006/relationships/hyperlink" Target="https://wa.me/6285245301996" TargetMode="External"/><Relationship Id="rId1452" Type="http://schemas.openxmlformats.org/officeDocument/2006/relationships/hyperlink" Target="https://wa.me/6281932016179" TargetMode="External"/><Relationship Id="rId1105" Type="http://schemas.openxmlformats.org/officeDocument/2006/relationships/hyperlink" Target="https://wa.me/6282170648491" TargetMode="External"/><Relationship Id="rId1312" Type="http://schemas.openxmlformats.org/officeDocument/2006/relationships/hyperlink" Target="https://wa.me/6281222788601" TargetMode="External"/><Relationship Id="rId49" Type="http://schemas.openxmlformats.org/officeDocument/2006/relationships/hyperlink" Target="https://wa.me/6281328119680" TargetMode="External"/><Relationship Id="rId1617" Type="http://schemas.openxmlformats.org/officeDocument/2006/relationships/hyperlink" Target="https://wa.me/6281288965454" TargetMode="External"/><Relationship Id="rId198" Type="http://schemas.openxmlformats.org/officeDocument/2006/relationships/hyperlink" Target="https://wa.me/6282114053996" TargetMode="External"/><Relationship Id="rId265" Type="http://schemas.openxmlformats.org/officeDocument/2006/relationships/hyperlink" Target="https://wa.me/6282136273086" TargetMode="External"/><Relationship Id="rId472" Type="http://schemas.openxmlformats.org/officeDocument/2006/relationships/hyperlink" Target="https://wa.me/6285223186555" TargetMode="External"/><Relationship Id="rId125" Type="http://schemas.openxmlformats.org/officeDocument/2006/relationships/hyperlink" Target="https://wa.me/6285711667433" TargetMode="External"/><Relationship Id="rId332" Type="http://schemas.openxmlformats.org/officeDocument/2006/relationships/hyperlink" Target="https://wa.me/6285668750416" TargetMode="External"/><Relationship Id="rId777" Type="http://schemas.openxmlformats.org/officeDocument/2006/relationships/hyperlink" Target="https://wa.me/6285338058843" TargetMode="External"/><Relationship Id="rId984" Type="http://schemas.openxmlformats.org/officeDocument/2006/relationships/hyperlink" Target="https://wa.me/6285233857272" TargetMode="External"/><Relationship Id="rId637" Type="http://schemas.openxmlformats.org/officeDocument/2006/relationships/hyperlink" Target="https://wa.me/6281339823715" TargetMode="External"/><Relationship Id="rId844" Type="http://schemas.openxmlformats.org/officeDocument/2006/relationships/hyperlink" Target="https://wa.me/6285741941594" TargetMode="External"/><Relationship Id="rId1267" Type="http://schemas.openxmlformats.org/officeDocument/2006/relationships/hyperlink" Target="https://wa.me/6281369013633" TargetMode="External"/><Relationship Id="rId1474" Type="http://schemas.openxmlformats.org/officeDocument/2006/relationships/hyperlink" Target="https://wa.me/6281130542444" TargetMode="External"/><Relationship Id="rId1681" Type="http://schemas.openxmlformats.org/officeDocument/2006/relationships/hyperlink" Target="https://wa.me/6281222110766" TargetMode="External"/><Relationship Id="rId704" Type="http://schemas.openxmlformats.org/officeDocument/2006/relationships/hyperlink" Target="https://wa.me/6287856230745" TargetMode="External"/><Relationship Id="rId911" Type="http://schemas.openxmlformats.org/officeDocument/2006/relationships/hyperlink" Target="https://wa.me/628990570840" TargetMode="External"/><Relationship Id="rId1127" Type="http://schemas.openxmlformats.org/officeDocument/2006/relationships/hyperlink" Target="https://wa.me/62881010328220" TargetMode="External"/><Relationship Id="rId1334" Type="http://schemas.openxmlformats.org/officeDocument/2006/relationships/hyperlink" Target="https://wa.me/6281223331880" TargetMode="External"/><Relationship Id="rId1541" Type="http://schemas.openxmlformats.org/officeDocument/2006/relationships/hyperlink" Target="https://wa.me/6281221788919" TargetMode="External"/><Relationship Id="rId40" Type="http://schemas.openxmlformats.org/officeDocument/2006/relationships/hyperlink" Target="https://wa.me/6281515877050" TargetMode="External"/><Relationship Id="rId136" Type="http://schemas.openxmlformats.org/officeDocument/2006/relationships/hyperlink" Target="https://wa.me/6285261023204" TargetMode="External"/><Relationship Id="rId343" Type="http://schemas.openxmlformats.org/officeDocument/2006/relationships/hyperlink" Target="https://wa.me/6281230288300" TargetMode="External"/><Relationship Id="rId550" Type="http://schemas.openxmlformats.org/officeDocument/2006/relationships/hyperlink" Target="https://wa.me/6282172291579" TargetMode="External"/><Relationship Id="rId788" Type="http://schemas.openxmlformats.org/officeDocument/2006/relationships/hyperlink" Target="https://wa.me/6285251757431" TargetMode="External"/><Relationship Id="rId995" Type="http://schemas.openxmlformats.org/officeDocument/2006/relationships/hyperlink" Target="https://wa.me/6282142466407" TargetMode="External"/><Relationship Id="rId1180" Type="http://schemas.openxmlformats.org/officeDocument/2006/relationships/hyperlink" Target="https://wa.me/6281330410391" TargetMode="External"/><Relationship Id="rId1401" Type="http://schemas.openxmlformats.org/officeDocument/2006/relationships/hyperlink" Target="https://wa.me/6285220216325" TargetMode="External"/><Relationship Id="rId1639" Type="http://schemas.openxmlformats.org/officeDocument/2006/relationships/hyperlink" Target="https://wa.me/6281908083633" TargetMode="External"/><Relationship Id="rId203" Type="http://schemas.openxmlformats.org/officeDocument/2006/relationships/hyperlink" Target="https://wa.me/6285216582806" TargetMode="External"/><Relationship Id="rId648" Type="http://schemas.openxmlformats.org/officeDocument/2006/relationships/hyperlink" Target="https://wa.me/6282280929802" TargetMode="External"/><Relationship Id="rId855" Type="http://schemas.openxmlformats.org/officeDocument/2006/relationships/hyperlink" Target="https://wa.me/6285946504405" TargetMode="External"/><Relationship Id="rId1040" Type="http://schemas.openxmlformats.org/officeDocument/2006/relationships/hyperlink" Target="https://wa.me/6285925102815" TargetMode="External"/><Relationship Id="rId1278" Type="http://schemas.openxmlformats.org/officeDocument/2006/relationships/hyperlink" Target="https://wa.me/6282120480802" TargetMode="External"/><Relationship Id="rId1485" Type="http://schemas.openxmlformats.org/officeDocument/2006/relationships/hyperlink" Target="https://wa.me/6287774555328" TargetMode="External"/><Relationship Id="rId1692" Type="http://schemas.openxmlformats.org/officeDocument/2006/relationships/hyperlink" Target="https://wa.me/6285892656287" TargetMode="External"/><Relationship Id="rId1706" Type="http://schemas.openxmlformats.org/officeDocument/2006/relationships/hyperlink" Target="https://wa.me/6281390004341" TargetMode="External"/><Relationship Id="rId287" Type="http://schemas.openxmlformats.org/officeDocument/2006/relationships/hyperlink" Target="https://wa.me/6283183643221" TargetMode="External"/><Relationship Id="rId410" Type="http://schemas.openxmlformats.org/officeDocument/2006/relationships/hyperlink" Target="https://wa.me/085719003688" TargetMode="External"/><Relationship Id="rId494" Type="http://schemas.openxmlformats.org/officeDocument/2006/relationships/hyperlink" Target="https://wa.me/628811252834" TargetMode="External"/><Relationship Id="rId508" Type="http://schemas.openxmlformats.org/officeDocument/2006/relationships/hyperlink" Target="https://wa.me/6281357754513" TargetMode="External"/><Relationship Id="rId715" Type="http://schemas.openxmlformats.org/officeDocument/2006/relationships/hyperlink" Target="https://wa.me/6285893658659" TargetMode="External"/><Relationship Id="rId922" Type="http://schemas.openxmlformats.org/officeDocument/2006/relationships/hyperlink" Target="https://wa.me/6282141603091" TargetMode="External"/><Relationship Id="rId1138" Type="http://schemas.openxmlformats.org/officeDocument/2006/relationships/hyperlink" Target="https://wa.me/6281221788919" TargetMode="External"/><Relationship Id="rId1345" Type="http://schemas.openxmlformats.org/officeDocument/2006/relationships/hyperlink" Target="https://wa.me/6287865111033" TargetMode="External"/><Relationship Id="rId1552" Type="http://schemas.openxmlformats.org/officeDocument/2006/relationships/hyperlink" Target="https://wa.me/6281347321820" TargetMode="External"/><Relationship Id="rId147" Type="http://schemas.openxmlformats.org/officeDocument/2006/relationships/hyperlink" Target="https://wa.me/6281399731413" TargetMode="External"/><Relationship Id="rId354" Type="http://schemas.openxmlformats.org/officeDocument/2006/relationships/hyperlink" Target="https://wa.me/6282393168368" TargetMode="External"/><Relationship Id="rId799" Type="http://schemas.openxmlformats.org/officeDocument/2006/relationships/hyperlink" Target="https://wa.me/6285776131462" TargetMode="External"/><Relationship Id="rId1191" Type="http://schemas.openxmlformats.org/officeDocument/2006/relationships/hyperlink" Target="https://wa.me/6282229433259" TargetMode="External"/><Relationship Id="rId1205" Type="http://schemas.openxmlformats.org/officeDocument/2006/relationships/hyperlink" Target="https://wa.me/6283834613639" TargetMode="External"/><Relationship Id="rId51" Type="http://schemas.openxmlformats.org/officeDocument/2006/relationships/hyperlink" Target="https://wa.me/6285864008882" TargetMode="External"/><Relationship Id="rId561" Type="http://schemas.openxmlformats.org/officeDocument/2006/relationships/hyperlink" Target="https://wa.me/6285888590045" TargetMode="External"/><Relationship Id="rId659" Type="http://schemas.openxmlformats.org/officeDocument/2006/relationships/hyperlink" Target="https://wa.me/628815361682" TargetMode="External"/><Relationship Id="rId866" Type="http://schemas.openxmlformats.org/officeDocument/2006/relationships/hyperlink" Target="https://wa.me/6281558822937" TargetMode="External"/><Relationship Id="rId1289" Type="http://schemas.openxmlformats.org/officeDocument/2006/relationships/hyperlink" Target="https://wa.me/6282135671899" TargetMode="External"/><Relationship Id="rId1412" Type="http://schemas.openxmlformats.org/officeDocument/2006/relationships/hyperlink" Target="https://wa.me/6285333751528" TargetMode="External"/><Relationship Id="rId1496" Type="http://schemas.openxmlformats.org/officeDocument/2006/relationships/hyperlink" Target="https://wa.me/6289673319845" TargetMode="External"/><Relationship Id="rId1717" Type="http://schemas.openxmlformats.org/officeDocument/2006/relationships/hyperlink" Target="https://wa.me/6287841350882" TargetMode="External"/><Relationship Id="rId214" Type="http://schemas.openxmlformats.org/officeDocument/2006/relationships/hyperlink" Target="https://wa.me/6282124027899" TargetMode="External"/><Relationship Id="rId298" Type="http://schemas.openxmlformats.org/officeDocument/2006/relationships/hyperlink" Target="https://wa.me/6285624268413" TargetMode="External"/><Relationship Id="rId421" Type="http://schemas.openxmlformats.org/officeDocument/2006/relationships/hyperlink" Target="https://wa.me/6287856230745" TargetMode="External"/><Relationship Id="rId519" Type="http://schemas.openxmlformats.org/officeDocument/2006/relationships/hyperlink" Target="https://wa.me/6285244535934" TargetMode="External"/><Relationship Id="rId1051" Type="http://schemas.openxmlformats.org/officeDocument/2006/relationships/hyperlink" Target="https://wa.me/6281779578317" TargetMode="External"/><Relationship Id="rId1149" Type="http://schemas.openxmlformats.org/officeDocument/2006/relationships/hyperlink" Target="https://wa.me/6282399006447" TargetMode="External"/><Relationship Id="rId1356" Type="http://schemas.openxmlformats.org/officeDocument/2006/relationships/hyperlink" Target="https://wa.me/6285333355756" TargetMode="External"/><Relationship Id="rId158" Type="http://schemas.openxmlformats.org/officeDocument/2006/relationships/hyperlink" Target="https://wa.me/6282172291579" TargetMode="External"/><Relationship Id="rId726" Type="http://schemas.openxmlformats.org/officeDocument/2006/relationships/hyperlink" Target="https://wa.me/6282171085542" TargetMode="External"/><Relationship Id="rId933" Type="http://schemas.openxmlformats.org/officeDocument/2006/relationships/hyperlink" Target="https://wa.me/6282193434799" TargetMode="External"/><Relationship Id="rId1009" Type="http://schemas.openxmlformats.org/officeDocument/2006/relationships/hyperlink" Target="https://wa.me/6282399721881" TargetMode="External"/><Relationship Id="rId1563" Type="http://schemas.openxmlformats.org/officeDocument/2006/relationships/hyperlink" Target="https://wa.me/6287758080333" TargetMode="External"/><Relationship Id="rId62" Type="http://schemas.openxmlformats.org/officeDocument/2006/relationships/hyperlink" Target="https://wa.me/6285353864755" TargetMode="External"/><Relationship Id="rId365" Type="http://schemas.openxmlformats.org/officeDocument/2006/relationships/hyperlink" Target="https://wa.me/6287734875393" TargetMode="External"/><Relationship Id="rId572" Type="http://schemas.openxmlformats.org/officeDocument/2006/relationships/hyperlink" Target="https://wa.me/6285814213281" TargetMode="External"/><Relationship Id="rId1216" Type="http://schemas.openxmlformats.org/officeDocument/2006/relationships/hyperlink" Target="https://wa.me/6281287393915" TargetMode="External"/><Relationship Id="rId1423" Type="http://schemas.openxmlformats.org/officeDocument/2006/relationships/hyperlink" Target="https://wa.me/6281904149328" TargetMode="External"/><Relationship Id="rId1630" Type="http://schemas.openxmlformats.org/officeDocument/2006/relationships/hyperlink" Target="https://wa.me/6281548619752" TargetMode="External"/><Relationship Id="rId225" Type="http://schemas.openxmlformats.org/officeDocument/2006/relationships/hyperlink" Target="https://wa.me/628562943274" TargetMode="External"/><Relationship Id="rId432" Type="http://schemas.openxmlformats.org/officeDocument/2006/relationships/hyperlink" Target="https://wa.me/6281316839343" TargetMode="External"/><Relationship Id="rId877" Type="http://schemas.openxmlformats.org/officeDocument/2006/relationships/hyperlink" Target="https://wa.me/6285280808856" TargetMode="External"/><Relationship Id="rId1062" Type="http://schemas.openxmlformats.org/officeDocument/2006/relationships/hyperlink" Target="https://wa.me/62818833829" TargetMode="External"/><Relationship Id="rId1728" Type="http://schemas.openxmlformats.org/officeDocument/2006/relationships/hyperlink" Target="https://wa.me/6281277547708" TargetMode="External"/><Relationship Id="rId737" Type="http://schemas.openxmlformats.org/officeDocument/2006/relationships/hyperlink" Target="https://wa.me/6281990865975" TargetMode="External"/><Relationship Id="rId944" Type="http://schemas.openxmlformats.org/officeDocument/2006/relationships/hyperlink" Target="https://wa.me/6282154770550" TargetMode="External"/><Relationship Id="rId1367" Type="http://schemas.openxmlformats.org/officeDocument/2006/relationships/hyperlink" Target="https://wa.me/6281321441646" TargetMode="External"/><Relationship Id="rId1574" Type="http://schemas.openxmlformats.org/officeDocument/2006/relationships/hyperlink" Target="https://wa.me/6289529314651" TargetMode="External"/><Relationship Id="rId73" Type="http://schemas.openxmlformats.org/officeDocument/2006/relationships/hyperlink" Target="https://wa.me/6283185169816" TargetMode="External"/><Relationship Id="rId169" Type="http://schemas.openxmlformats.org/officeDocument/2006/relationships/hyperlink" Target="https://wa.me/6288228976100" TargetMode="External"/><Relationship Id="rId376" Type="http://schemas.openxmlformats.org/officeDocument/2006/relationships/hyperlink" Target="https://wa.me/6282183115806" TargetMode="External"/><Relationship Id="rId583" Type="http://schemas.openxmlformats.org/officeDocument/2006/relationships/hyperlink" Target="https://wa.me/6285100570275" TargetMode="External"/><Relationship Id="rId790" Type="http://schemas.openxmlformats.org/officeDocument/2006/relationships/hyperlink" Target="https://wa.me/6281222200099" TargetMode="External"/><Relationship Id="rId804" Type="http://schemas.openxmlformats.org/officeDocument/2006/relationships/hyperlink" Target="https://wa.me/6287778562681" TargetMode="External"/><Relationship Id="rId1227" Type="http://schemas.openxmlformats.org/officeDocument/2006/relationships/hyperlink" Target="https://wa.me/6282155336565" TargetMode="External"/><Relationship Id="rId1434" Type="http://schemas.openxmlformats.org/officeDocument/2006/relationships/hyperlink" Target="https://wa.me/6287786425009" TargetMode="External"/><Relationship Id="rId1641" Type="http://schemas.openxmlformats.org/officeDocument/2006/relationships/hyperlink" Target="https://wa.me/6281282237855" TargetMode="External"/><Relationship Id="rId4" Type="http://schemas.openxmlformats.org/officeDocument/2006/relationships/hyperlink" Target="https://wa.me/6285711307707" TargetMode="External"/><Relationship Id="rId236" Type="http://schemas.openxmlformats.org/officeDocument/2006/relationships/hyperlink" Target="https://wa.me/6285715856120" TargetMode="External"/><Relationship Id="rId443" Type="http://schemas.openxmlformats.org/officeDocument/2006/relationships/hyperlink" Target="https://wa.me/6281366479393" TargetMode="External"/><Relationship Id="rId650" Type="http://schemas.openxmlformats.org/officeDocument/2006/relationships/hyperlink" Target="https://wa.me/6285240194507" TargetMode="External"/><Relationship Id="rId888" Type="http://schemas.openxmlformats.org/officeDocument/2006/relationships/hyperlink" Target="https://wa.me/6285787104091" TargetMode="External"/><Relationship Id="rId1073" Type="http://schemas.openxmlformats.org/officeDocument/2006/relationships/hyperlink" Target="https://wa.me/628118472727" TargetMode="External"/><Relationship Id="rId1280" Type="http://schemas.openxmlformats.org/officeDocument/2006/relationships/hyperlink" Target="https://wa.me/6287830703946" TargetMode="External"/><Relationship Id="rId1501" Type="http://schemas.openxmlformats.org/officeDocument/2006/relationships/hyperlink" Target="https://wa.me/628122102657" TargetMode="External"/><Relationship Id="rId1739" Type="http://schemas.openxmlformats.org/officeDocument/2006/relationships/hyperlink" Target="https://wa.me/62895326008269" TargetMode="External"/><Relationship Id="rId303" Type="http://schemas.openxmlformats.org/officeDocument/2006/relationships/hyperlink" Target="https://wa.me/6281252867949" TargetMode="External"/><Relationship Id="rId748" Type="http://schemas.openxmlformats.org/officeDocument/2006/relationships/hyperlink" Target="https://wa.me/6285720705874" TargetMode="External"/><Relationship Id="rId955" Type="http://schemas.openxmlformats.org/officeDocument/2006/relationships/hyperlink" Target="https://wa.me/6281283416732" TargetMode="External"/><Relationship Id="rId1140" Type="http://schemas.openxmlformats.org/officeDocument/2006/relationships/hyperlink" Target="https://wa.me/6283865096870" TargetMode="External"/><Relationship Id="rId1378" Type="http://schemas.openxmlformats.org/officeDocument/2006/relationships/hyperlink" Target="https://wa.me/6285361118289" TargetMode="External"/><Relationship Id="rId1585" Type="http://schemas.openxmlformats.org/officeDocument/2006/relationships/hyperlink" Target="https://wa.me/6282136395328" TargetMode="External"/><Relationship Id="rId84" Type="http://schemas.openxmlformats.org/officeDocument/2006/relationships/hyperlink" Target="https://wa.me/6282176695820" TargetMode="External"/><Relationship Id="rId387" Type="http://schemas.openxmlformats.org/officeDocument/2006/relationships/hyperlink" Target="https://wa.me/6282197248722" TargetMode="External"/><Relationship Id="rId510" Type="http://schemas.openxmlformats.org/officeDocument/2006/relationships/hyperlink" Target="https://wa.me/6283865096870" TargetMode="External"/><Relationship Id="rId594" Type="http://schemas.openxmlformats.org/officeDocument/2006/relationships/hyperlink" Target="https://wa.me/6282112042148" TargetMode="External"/><Relationship Id="rId608" Type="http://schemas.openxmlformats.org/officeDocument/2006/relationships/hyperlink" Target="https://wa.me/6281231728008" TargetMode="External"/><Relationship Id="rId815" Type="http://schemas.openxmlformats.org/officeDocument/2006/relationships/hyperlink" Target="https://wa.me/6287888330007" TargetMode="External"/><Relationship Id="rId1238" Type="http://schemas.openxmlformats.org/officeDocument/2006/relationships/hyperlink" Target="https://wa.me/6285135535559" TargetMode="External"/><Relationship Id="rId1445" Type="http://schemas.openxmlformats.org/officeDocument/2006/relationships/hyperlink" Target="https://wa.me/6281904501876" TargetMode="External"/><Relationship Id="rId1652" Type="http://schemas.openxmlformats.org/officeDocument/2006/relationships/hyperlink" Target="https://wa.me/6282132423880" TargetMode="External"/><Relationship Id="rId247" Type="http://schemas.openxmlformats.org/officeDocument/2006/relationships/hyperlink" Target="https://wa.me/6287782749624" TargetMode="External"/><Relationship Id="rId899" Type="http://schemas.openxmlformats.org/officeDocument/2006/relationships/hyperlink" Target="https://wa.me/6285376667233" TargetMode="External"/><Relationship Id="rId1000" Type="http://schemas.openxmlformats.org/officeDocument/2006/relationships/hyperlink" Target="https://wa.me/6285788482665" TargetMode="External"/><Relationship Id="rId1084" Type="http://schemas.openxmlformats.org/officeDocument/2006/relationships/hyperlink" Target="https://wa.me/6285888851587" TargetMode="External"/><Relationship Id="rId1305" Type="http://schemas.openxmlformats.org/officeDocument/2006/relationships/hyperlink" Target="https://wa.me/6285779204213" TargetMode="External"/><Relationship Id="rId107" Type="http://schemas.openxmlformats.org/officeDocument/2006/relationships/hyperlink" Target="https://wa.me/6281230995752" TargetMode="External"/><Relationship Id="rId454" Type="http://schemas.openxmlformats.org/officeDocument/2006/relationships/hyperlink" Target="https://wa.me/628111099911" TargetMode="External"/><Relationship Id="rId661" Type="http://schemas.openxmlformats.org/officeDocument/2006/relationships/hyperlink" Target="https://wa.me/628131361661" TargetMode="External"/><Relationship Id="rId759" Type="http://schemas.openxmlformats.org/officeDocument/2006/relationships/hyperlink" Target="https://wa.me/6281385001244" TargetMode="External"/><Relationship Id="rId966" Type="http://schemas.openxmlformats.org/officeDocument/2006/relationships/hyperlink" Target="https://wa.me/6285255550388" TargetMode="External"/><Relationship Id="rId1291" Type="http://schemas.openxmlformats.org/officeDocument/2006/relationships/hyperlink" Target="https://wa.me/6285602588779" TargetMode="External"/><Relationship Id="rId1389" Type="http://schemas.openxmlformats.org/officeDocument/2006/relationships/hyperlink" Target="https://wa.me/6282124101919" TargetMode="External"/><Relationship Id="rId1512" Type="http://schemas.openxmlformats.org/officeDocument/2006/relationships/hyperlink" Target="https://wa.me/6288971067899" TargetMode="External"/><Relationship Id="rId1596" Type="http://schemas.openxmlformats.org/officeDocument/2006/relationships/hyperlink" Target="https://wa.me/6282338171577" TargetMode="External"/><Relationship Id="rId11" Type="http://schemas.openxmlformats.org/officeDocument/2006/relationships/hyperlink" Target="https://wa.me/" TargetMode="External"/><Relationship Id="rId314" Type="http://schemas.openxmlformats.org/officeDocument/2006/relationships/hyperlink" Target="https://wa.me/6281316839343" TargetMode="External"/><Relationship Id="rId398" Type="http://schemas.openxmlformats.org/officeDocument/2006/relationships/hyperlink" Target="https://wa.me/6282183115806" TargetMode="External"/><Relationship Id="rId521" Type="http://schemas.openxmlformats.org/officeDocument/2006/relationships/hyperlink" Target="https://wa.me/6287790276733" TargetMode="External"/><Relationship Id="rId619" Type="http://schemas.openxmlformats.org/officeDocument/2006/relationships/hyperlink" Target="https://wa.me/62881010328220" TargetMode="External"/><Relationship Id="rId1151" Type="http://schemas.openxmlformats.org/officeDocument/2006/relationships/hyperlink" Target="https://wa.me/6282230860291" TargetMode="External"/><Relationship Id="rId1249" Type="http://schemas.openxmlformats.org/officeDocument/2006/relationships/hyperlink" Target="https://wa.me/6288227630708" TargetMode="External"/><Relationship Id="rId95" Type="http://schemas.openxmlformats.org/officeDocument/2006/relationships/hyperlink" Target="https://wa.me/6285642607938" TargetMode="External"/><Relationship Id="rId160" Type="http://schemas.openxmlformats.org/officeDocument/2006/relationships/hyperlink" Target="https://wa.me/6282134333004" TargetMode="External"/><Relationship Id="rId826" Type="http://schemas.openxmlformats.org/officeDocument/2006/relationships/hyperlink" Target="https://wa.me/6285888851587" TargetMode="External"/><Relationship Id="rId1011" Type="http://schemas.openxmlformats.org/officeDocument/2006/relationships/hyperlink" Target="https://wa.me/62881022322099" TargetMode="External"/><Relationship Id="rId1109" Type="http://schemas.openxmlformats.org/officeDocument/2006/relationships/hyperlink" Target="https://wa.me/6287758080333" TargetMode="External"/><Relationship Id="rId1456" Type="http://schemas.openxmlformats.org/officeDocument/2006/relationships/hyperlink" Target="https://wa.me/6281391117757" TargetMode="External"/><Relationship Id="rId1663" Type="http://schemas.openxmlformats.org/officeDocument/2006/relationships/hyperlink" Target="https://wa.me/6282112073155" TargetMode="External"/><Relationship Id="rId258" Type="http://schemas.openxmlformats.org/officeDocument/2006/relationships/hyperlink" Target="https://wa.me/6281240144744" TargetMode="External"/><Relationship Id="rId465" Type="http://schemas.openxmlformats.org/officeDocument/2006/relationships/hyperlink" Target="https://wa.me/6282164564557" TargetMode="External"/><Relationship Id="rId672" Type="http://schemas.openxmlformats.org/officeDocument/2006/relationships/hyperlink" Target="https://wa.me/6285864637086" TargetMode="External"/><Relationship Id="rId1095" Type="http://schemas.openxmlformats.org/officeDocument/2006/relationships/hyperlink" Target="https://wa.me/62859175514516" TargetMode="External"/><Relationship Id="rId1316" Type="http://schemas.openxmlformats.org/officeDocument/2006/relationships/hyperlink" Target="https://wa.me/628114207593" TargetMode="External"/><Relationship Id="rId1523" Type="http://schemas.openxmlformats.org/officeDocument/2006/relationships/hyperlink" Target="https://wa.me/6281330410391" TargetMode="External"/><Relationship Id="rId1730" Type="http://schemas.openxmlformats.org/officeDocument/2006/relationships/hyperlink" Target="https://wa.me/6281228061933" TargetMode="External"/><Relationship Id="rId22" Type="http://schemas.openxmlformats.org/officeDocument/2006/relationships/hyperlink" Target="https://wa.me/6282159148587" TargetMode="External"/><Relationship Id="rId118" Type="http://schemas.openxmlformats.org/officeDocument/2006/relationships/hyperlink" Target="https://wa.me/6281299907533" TargetMode="External"/><Relationship Id="rId325" Type="http://schemas.openxmlformats.org/officeDocument/2006/relationships/hyperlink" Target="https://wa.me/6289608357133" TargetMode="External"/><Relationship Id="rId532" Type="http://schemas.openxmlformats.org/officeDocument/2006/relationships/hyperlink" Target="https://wa.me/6281291436933" TargetMode="External"/><Relationship Id="rId977" Type="http://schemas.openxmlformats.org/officeDocument/2006/relationships/hyperlink" Target="https://wa.me/6288227630708" TargetMode="External"/><Relationship Id="rId1162" Type="http://schemas.openxmlformats.org/officeDocument/2006/relationships/hyperlink" Target="https://wa.me/6285850248298" TargetMode="External"/><Relationship Id="rId171" Type="http://schemas.openxmlformats.org/officeDocument/2006/relationships/hyperlink" Target="https://wa.me/6287777241263" TargetMode="External"/><Relationship Id="rId837" Type="http://schemas.openxmlformats.org/officeDocument/2006/relationships/hyperlink" Target="https://wa.me/628129696801" TargetMode="External"/><Relationship Id="rId1022" Type="http://schemas.openxmlformats.org/officeDocument/2006/relationships/hyperlink" Target="https://wa.me/6288242676434" TargetMode="External"/><Relationship Id="rId1467" Type="http://schemas.openxmlformats.org/officeDocument/2006/relationships/hyperlink" Target="https://wa.me/6281218826764" TargetMode="External"/><Relationship Id="rId1674" Type="http://schemas.openxmlformats.org/officeDocument/2006/relationships/hyperlink" Target="https://wa.me/62817624685" TargetMode="External"/><Relationship Id="rId269" Type="http://schemas.openxmlformats.org/officeDocument/2006/relationships/hyperlink" Target="https://wa.me/6288229559606" TargetMode="External"/><Relationship Id="rId476" Type="http://schemas.openxmlformats.org/officeDocument/2006/relationships/hyperlink" Target="https://wa.me/6281330410391" TargetMode="External"/><Relationship Id="rId683" Type="http://schemas.openxmlformats.org/officeDocument/2006/relationships/hyperlink" Target="https://wa.me/6282173535013" TargetMode="External"/><Relationship Id="rId890" Type="http://schemas.openxmlformats.org/officeDocument/2006/relationships/hyperlink" Target="https://wa.me/6285333355756" TargetMode="External"/><Relationship Id="rId904" Type="http://schemas.openxmlformats.org/officeDocument/2006/relationships/hyperlink" Target="https://wa.me/6282186829904" TargetMode="External"/><Relationship Id="rId1327" Type="http://schemas.openxmlformats.org/officeDocument/2006/relationships/hyperlink" Target="https://wa.me/6281260058715" TargetMode="External"/><Relationship Id="rId1534" Type="http://schemas.openxmlformats.org/officeDocument/2006/relationships/hyperlink" Target="https://wa.me/6281219102600" TargetMode="External"/><Relationship Id="rId1741" Type="http://schemas.openxmlformats.org/officeDocument/2006/relationships/hyperlink" Target="https://wa.me/628135084276" TargetMode="External"/><Relationship Id="rId33" Type="http://schemas.openxmlformats.org/officeDocument/2006/relationships/hyperlink" Target="https://wa.me/628988759290" TargetMode="External"/><Relationship Id="rId129" Type="http://schemas.openxmlformats.org/officeDocument/2006/relationships/hyperlink" Target="https://wa.me/6281253792753" TargetMode="External"/><Relationship Id="rId336" Type="http://schemas.openxmlformats.org/officeDocument/2006/relationships/hyperlink" Target="https://wa.me/62881038177010" TargetMode="External"/><Relationship Id="rId543" Type="http://schemas.openxmlformats.org/officeDocument/2006/relationships/hyperlink" Target="https://wa.me/6285710003464" TargetMode="External"/><Relationship Id="rId988" Type="http://schemas.openxmlformats.org/officeDocument/2006/relationships/hyperlink" Target="https://wa.me/6281779578317" TargetMode="External"/><Relationship Id="rId1173" Type="http://schemas.openxmlformats.org/officeDocument/2006/relationships/hyperlink" Target="https://wa.me/6282159753331" TargetMode="External"/><Relationship Id="rId1380" Type="http://schemas.openxmlformats.org/officeDocument/2006/relationships/hyperlink" Target="https://wa.me/6285133445758" TargetMode="External"/><Relationship Id="rId1601" Type="http://schemas.openxmlformats.org/officeDocument/2006/relationships/hyperlink" Target="https://wa.me/6285925102815" TargetMode="External"/><Relationship Id="rId182" Type="http://schemas.openxmlformats.org/officeDocument/2006/relationships/hyperlink" Target="https://wa.me/6282145068631" TargetMode="External"/><Relationship Id="rId403" Type="http://schemas.openxmlformats.org/officeDocument/2006/relationships/hyperlink" Target="https://wa.me/6285921009099" TargetMode="External"/><Relationship Id="rId750" Type="http://schemas.openxmlformats.org/officeDocument/2006/relationships/hyperlink" Target="https://wa.me/6281353892010" TargetMode="External"/><Relationship Id="rId848" Type="http://schemas.openxmlformats.org/officeDocument/2006/relationships/hyperlink" Target="https://wa.me/6281323207611" TargetMode="External"/><Relationship Id="rId1033" Type="http://schemas.openxmlformats.org/officeDocument/2006/relationships/hyperlink" Target="https://wa.me/6287856230745" TargetMode="External"/><Relationship Id="rId1478" Type="http://schemas.openxmlformats.org/officeDocument/2006/relationships/hyperlink" Target="https://wa.me/628990570840" TargetMode="External"/><Relationship Id="rId1685" Type="http://schemas.openxmlformats.org/officeDocument/2006/relationships/hyperlink" Target="https://wa.me/6285361983960" TargetMode="External"/><Relationship Id="rId487" Type="http://schemas.openxmlformats.org/officeDocument/2006/relationships/hyperlink" Target="https://wa.me/6282384370009" TargetMode="External"/><Relationship Id="rId610" Type="http://schemas.openxmlformats.org/officeDocument/2006/relationships/hyperlink" Target="https://wa.me/62882001677470" TargetMode="External"/><Relationship Id="rId694" Type="http://schemas.openxmlformats.org/officeDocument/2006/relationships/hyperlink" Target="https://wa.me/6287777304498" TargetMode="External"/><Relationship Id="rId708" Type="http://schemas.openxmlformats.org/officeDocument/2006/relationships/hyperlink" Target="http://hratour.id/" TargetMode="External"/><Relationship Id="rId915" Type="http://schemas.openxmlformats.org/officeDocument/2006/relationships/hyperlink" Target="https://wa.me/6282229433259" TargetMode="External"/><Relationship Id="rId1240" Type="http://schemas.openxmlformats.org/officeDocument/2006/relationships/hyperlink" Target="https://wa.me/62895712902288" TargetMode="External"/><Relationship Id="rId1338" Type="http://schemas.openxmlformats.org/officeDocument/2006/relationships/hyperlink" Target="https://wa.me/6285285589041" TargetMode="External"/><Relationship Id="rId1545" Type="http://schemas.openxmlformats.org/officeDocument/2006/relationships/hyperlink" Target="https://wa.me/6285655442852" TargetMode="External"/><Relationship Id="rId347" Type="http://schemas.openxmlformats.org/officeDocument/2006/relationships/hyperlink" Target="https://wa.me/6281779578317" TargetMode="External"/><Relationship Id="rId999" Type="http://schemas.openxmlformats.org/officeDocument/2006/relationships/hyperlink" Target="https://wa.me/6287835601400" TargetMode="External"/><Relationship Id="rId1100" Type="http://schemas.openxmlformats.org/officeDocument/2006/relationships/hyperlink" Target="https://wa.me/6285641004233" TargetMode="External"/><Relationship Id="rId1184" Type="http://schemas.openxmlformats.org/officeDocument/2006/relationships/hyperlink" Target="https://wa.me/628562571037" TargetMode="External"/><Relationship Id="rId1405" Type="http://schemas.openxmlformats.org/officeDocument/2006/relationships/hyperlink" Target="https://wa.me/6282399721881" TargetMode="External"/><Relationship Id="rId44" Type="http://schemas.openxmlformats.org/officeDocument/2006/relationships/hyperlink" Target="https://wa.me/6283134740502" TargetMode="External"/><Relationship Id="rId554" Type="http://schemas.openxmlformats.org/officeDocument/2006/relationships/hyperlink" Target="https://wa.me/6285645050058" TargetMode="External"/><Relationship Id="rId761" Type="http://schemas.openxmlformats.org/officeDocument/2006/relationships/hyperlink" Target="https://wa.me/6281545971465" TargetMode="External"/><Relationship Id="rId859" Type="http://schemas.openxmlformats.org/officeDocument/2006/relationships/hyperlink" Target="https://wa.me/6285921481643" TargetMode="External"/><Relationship Id="rId1391" Type="http://schemas.openxmlformats.org/officeDocument/2006/relationships/hyperlink" Target="https://wa.me/6283865096870" TargetMode="External"/><Relationship Id="rId1489" Type="http://schemas.openxmlformats.org/officeDocument/2006/relationships/hyperlink" Target="https://wa.me/6285333355756" TargetMode="External"/><Relationship Id="rId1612" Type="http://schemas.openxmlformats.org/officeDocument/2006/relationships/hyperlink" Target="https://wa.me/628132117968" TargetMode="External"/><Relationship Id="rId1696" Type="http://schemas.openxmlformats.org/officeDocument/2006/relationships/hyperlink" Target="https://wa.me/6287835601400" TargetMode="External"/><Relationship Id="rId193" Type="http://schemas.openxmlformats.org/officeDocument/2006/relationships/hyperlink" Target="https://wa.me/6281352626888" TargetMode="External"/><Relationship Id="rId207" Type="http://schemas.openxmlformats.org/officeDocument/2006/relationships/hyperlink" Target="https://wa.me/6281355026552" TargetMode="External"/><Relationship Id="rId414" Type="http://schemas.openxmlformats.org/officeDocument/2006/relationships/hyperlink" Target="https://wa.me/6285778471007" TargetMode="External"/><Relationship Id="rId498" Type="http://schemas.openxmlformats.org/officeDocument/2006/relationships/hyperlink" Target="https://wa.me/6285326750989" TargetMode="External"/><Relationship Id="rId621" Type="http://schemas.openxmlformats.org/officeDocument/2006/relationships/hyperlink" Target="https://wa.me/6285361188745" TargetMode="External"/><Relationship Id="rId1044" Type="http://schemas.openxmlformats.org/officeDocument/2006/relationships/hyperlink" Target="https://wa.me/6285245301996" TargetMode="External"/><Relationship Id="rId1251" Type="http://schemas.openxmlformats.org/officeDocument/2006/relationships/hyperlink" Target="https://wa.me/628976305757" TargetMode="External"/><Relationship Id="rId1349" Type="http://schemas.openxmlformats.org/officeDocument/2006/relationships/hyperlink" Target="https://wa.me/6285141091362" TargetMode="External"/><Relationship Id="rId260" Type="http://schemas.openxmlformats.org/officeDocument/2006/relationships/hyperlink" Target="https://wa.me/6285956579758" TargetMode="External"/><Relationship Id="rId719" Type="http://schemas.openxmlformats.org/officeDocument/2006/relationships/hyperlink" Target="https://wa.me/6285376667233" TargetMode="External"/><Relationship Id="rId926" Type="http://schemas.openxmlformats.org/officeDocument/2006/relationships/hyperlink" Target="https://wa.me/6285750574301" TargetMode="External"/><Relationship Id="rId1111" Type="http://schemas.openxmlformats.org/officeDocument/2006/relationships/hyperlink" Target="https://wa.me/6282311117783" TargetMode="External"/><Relationship Id="rId1556" Type="http://schemas.openxmlformats.org/officeDocument/2006/relationships/hyperlink" Target="https://wa.me/6285361118289" TargetMode="External"/><Relationship Id="rId55" Type="http://schemas.openxmlformats.org/officeDocument/2006/relationships/hyperlink" Target="https://wa.me/628114170888" TargetMode="External"/><Relationship Id="rId120" Type="http://schemas.openxmlformats.org/officeDocument/2006/relationships/hyperlink" Target="https://wa.me/628114170888" TargetMode="External"/><Relationship Id="rId358" Type="http://schemas.openxmlformats.org/officeDocument/2006/relationships/hyperlink" Target="https://wa.me/6287888068088" TargetMode="External"/><Relationship Id="rId565" Type="http://schemas.openxmlformats.org/officeDocument/2006/relationships/hyperlink" Target="https://wa.me/6282230035858" TargetMode="External"/><Relationship Id="rId772" Type="http://schemas.openxmlformats.org/officeDocument/2006/relationships/hyperlink" Target="https://wa.me/6285854789952" TargetMode="External"/><Relationship Id="rId1195" Type="http://schemas.openxmlformats.org/officeDocument/2006/relationships/hyperlink" Target="https://wa.me/628562882464" TargetMode="External"/><Relationship Id="rId1209" Type="http://schemas.openxmlformats.org/officeDocument/2006/relationships/hyperlink" Target="https://wa.me/6285869301245" TargetMode="External"/><Relationship Id="rId1416" Type="http://schemas.openxmlformats.org/officeDocument/2006/relationships/hyperlink" Target="https://wa.me/6285893658659" TargetMode="External"/><Relationship Id="rId1623" Type="http://schemas.openxmlformats.org/officeDocument/2006/relationships/hyperlink" Target="https://wa.me/6282335993848" TargetMode="External"/><Relationship Id="rId218" Type="http://schemas.openxmlformats.org/officeDocument/2006/relationships/hyperlink" Target="https://wa.me/0" TargetMode="External"/><Relationship Id="rId425" Type="http://schemas.openxmlformats.org/officeDocument/2006/relationships/hyperlink" Target="https://wa.me/6281553075560" TargetMode="External"/><Relationship Id="rId632" Type="http://schemas.openxmlformats.org/officeDocument/2006/relationships/hyperlink" Target="https://wa.me/6283117425214" TargetMode="External"/><Relationship Id="rId1055" Type="http://schemas.openxmlformats.org/officeDocument/2006/relationships/hyperlink" Target="https://wa.me/6285169730762" TargetMode="External"/><Relationship Id="rId1262" Type="http://schemas.openxmlformats.org/officeDocument/2006/relationships/hyperlink" Target="https://wa.me/6287750640871" TargetMode="External"/><Relationship Id="rId271" Type="http://schemas.openxmlformats.org/officeDocument/2006/relationships/hyperlink" Target="https://wa.me/6285279489086" TargetMode="External"/><Relationship Id="rId937" Type="http://schemas.openxmlformats.org/officeDocument/2006/relationships/hyperlink" Target="https://wa.me/6285245301996" TargetMode="External"/><Relationship Id="rId1122" Type="http://schemas.openxmlformats.org/officeDocument/2006/relationships/hyperlink" Target="https://wa.me/6285788482665" TargetMode="External"/><Relationship Id="rId1567" Type="http://schemas.openxmlformats.org/officeDocument/2006/relationships/hyperlink" Target="https://wa.me/6285179911662" TargetMode="External"/><Relationship Id="rId66" Type="http://schemas.openxmlformats.org/officeDocument/2006/relationships/hyperlink" Target="https://wa.me/6285747906282" TargetMode="External"/><Relationship Id="rId131" Type="http://schemas.openxmlformats.org/officeDocument/2006/relationships/hyperlink" Target="https://wa.me/6281263113266" TargetMode="External"/><Relationship Id="rId369" Type="http://schemas.openxmlformats.org/officeDocument/2006/relationships/hyperlink" Target="https://wa.me/6283891332074" TargetMode="External"/><Relationship Id="rId576" Type="http://schemas.openxmlformats.org/officeDocument/2006/relationships/hyperlink" Target="https://wa.me/6282183115806" TargetMode="External"/><Relationship Id="rId783" Type="http://schemas.openxmlformats.org/officeDocument/2006/relationships/hyperlink" Target="https://wa.me/6281222895502" TargetMode="External"/><Relationship Id="rId990" Type="http://schemas.openxmlformats.org/officeDocument/2006/relationships/hyperlink" Target="https://wa.me/6285811687779" TargetMode="External"/><Relationship Id="rId1427" Type="http://schemas.openxmlformats.org/officeDocument/2006/relationships/hyperlink" Target="https://wa.me/6285381277559" TargetMode="External"/><Relationship Id="rId1634" Type="http://schemas.openxmlformats.org/officeDocument/2006/relationships/hyperlink" Target="https://wa.me/6281931902977" TargetMode="External"/><Relationship Id="rId229" Type="http://schemas.openxmlformats.org/officeDocument/2006/relationships/hyperlink" Target="https://wa.me/6282315669271" TargetMode="External"/><Relationship Id="rId436" Type="http://schemas.openxmlformats.org/officeDocument/2006/relationships/hyperlink" Target="https://wa.me/6282340878030" TargetMode="External"/><Relationship Id="rId643" Type="http://schemas.openxmlformats.org/officeDocument/2006/relationships/hyperlink" Target="https://wa.me/6281558225822" TargetMode="External"/><Relationship Id="rId1066" Type="http://schemas.openxmlformats.org/officeDocument/2006/relationships/hyperlink" Target="https://wa.me/6287865111033" TargetMode="External"/><Relationship Id="rId1273" Type="http://schemas.openxmlformats.org/officeDocument/2006/relationships/hyperlink" Target="https://wa.me/6281282788282" TargetMode="External"/><Relationship Id="rId1480" Type="http://schemas.openxmlformats.org/officeDocument/2006/relationships/hyperlink" Target="https://wa.me/6285280985750" TargetMode="External"/><Relationship Id="rId850" Type="http://schemas.openxmlformats.org/officeDocument/2006/relationships/hyperlink" Target="https://wa.me/6285786318640" TargetMode="External"/><Relationship Id="rId948" Type="http://schemas.openxmlformats.org/officeDocument/2006/relationships/hyperlink" Target="https://wa.me/6285888452389" TargetMode="External"/><Relationship Id="rId1133" Type="http://schemas.openxmlformats.org/officeDocument/2006/relationships/hyperlink" Target="https://wa.me/6287776264559" TargetMode="External"/><Relationship Id="rId1578" Type="http://schemas.openxmlformats.org/officeDocument/2006/relationships/hyperlink" Target="https://wa.me/6282139742007" TargetMode="External"/><Relationship Id="rId1701" Type="http://schemas.openxmlformats.org/officeDocument/2006/relationships/hyperlink" Target="https://wa.me/6285241716176" TargetMode="External"/><Relationship Id="rId77" Type="http://schemas.openxmlformats.org/officeDocument/2006/relationships/hyperlink" Target="https://wa.me/6281337029495" TargetMode="External"/><Relationship Id="rId282" Type="http://schemas.openxmlformats.org/officeDocument/2006/relationships/hyperlink" Target="https://wa.me/6287715704997" TargetMode="External"/><Relationship Id="rId503" Type="http://schemas.openxmlformats.org/officeDocument/2006/relationships/hyperlink" Target="https://wa.me/6287751970643" TargetMode="External"/><Relationship Id="rId587" Type="http://schemas.openxmlformats.org/officeDocument/2006/relationships/hyperlink" Target="https://wa.me/6282154233977" TargetMode="External"/><Relationship Id="rId710" Type="http://schemas.openxmlformats.org/officeDocument/2006/relationships/hyperlink" Target="https://wa.me/6285741888828" TargetMode="External"/><Relationship Id="rId808" Type="http://schemas.openxmlformats.org/officeDocument/2006/relationships/hyperlink" Target="https://wa.me/6282172291579" TargetMode="External"/><Relationship Id="rId1340" Type="http://schemas.openxmlformats.org/officeDocument/2006/relationships/hyperlink" Target="https://wa.me/6281316122975" TargetMode="External"/><Relationship Id="rId1438" Type="http://schemas.openxmlformats.org/officeDocument/2006/relationships/hyperlink" Target="https://wa.me/6285850248298" TargetMode="External"/><Relationship Id="rId1645" Type="http://schemas.openxmlformats.org/officeDocument/2006/relationships/hyperlink" Target="https://wa.me/6282399312016" TargetMode="External"/><Relationship Id="rId8" Type="http://schemas.openxmlformats.org/officeDocument/2006/relationships/hyperlink" Target="https://wa.me/6281549409606" TargetMode="External"/><Relationship Id="rId142" Type="http://schemas.openxmlformats.org/officeDocument/2006/relationships/hyperlink" Target="https://wa.me/628158830325" TargetMode="External"/><Relationship Id="rId447" Type="http://schemas.openxmlformats.org/officeDocument/2006/relationships/hyperlink" Target="https://wa.me/6287846030252" TargetMode="External"/><Relationship Id="rId794" Type="http://schemas.openxmlformats.org/officeDocument/2006/relationships/hyperlink" Target="http://adhidezign.com/" TargetMode="External"/><Relationship Id="rId1077" Type="http://schemas.openxmlformats.org/officeDocument/2006/relationships/hyperlink" Target="https://wa.me/6282242925264" TargetMode="External"/><Relationship Id="rId1200" Type="http://schemas.openxmlformats.org/officeDocument/2006/relationships/hyperlink" Target="https://wa.me/6282228814370" TargetMode="External"/><Relationship Id="rId654" Type="http://schemas.openxmlformats.org/officeDocument/2006/relationships/hyperlink" Target="https://wa.me/6285811111804" TargetMode="External"/><Relationship Id="rId861" Type="http://schemas.openxmlformats.org/officeDocument/2006/relationships/hyperlink" Target="https://wa.me/6285741941594" TargetMode="External"/><Relationship Id="rId959" Type="http://schemas.openxmlformats.org/officeDocument/2006/relationships/hyperlink" Target="https://wa.me/6289678497690" TargetMode="External"/><Relationship Id="rId1284" Type="http://schemas.openxmlformats.org/officeDocument/2006/relationships/hyperlink" Target="https://wa.me/6287782059170" TargetMode="External"/><Relationship Id="rId1491" Type="http://schemas.openxmlformats.org/officeDocument/2006/relationships/hyperlink" Target="https://wa.me/6282141603091" TargetMode="External"/><Relationship Id="rId1505" Type="http://schemas.openxmlformats.org/officeDocument/2006/relationships/hyperlink" Target="https://wa.me/628137914558" TargetMode="External"/><Relationship Id="rId1589" Type="http://schemas.openxmlformats.org/officeDocument/2006/relationships/hyperlink" Target="https://wa.me/6282160889408" TargetMode="External"/><Relationship Id="rId1712" Type="http://schemas.openxmlformats.org/officeDocument/2006/relationships/hyperlink" Target="https://wa.me/6281325505225" TargetMode="External"/><Relationship Id="rId293" Type="http://schemas.openxmlformats.org/officeDocument/2006/relationships/hyperlink" Target="https://wa.me/6281274238899" TargetMode="External"/><Relationship Id="rId307" Type="http://schemas.openxmlformats.org/officeDocument/2006/relationships/hyperlink" Target="https://wa.me/6285339158435" TargetMode="External"/><Relationship Id="rId514" Type="http://schemas.openxmlformats.org/officeDocument/2006/relationships/hyperlink" Target="https://wa.me/6285946504405" TargetMode="External"/><Relationship Id="rId721" Type="http://schemas.openxmlformats.org/officeDocument/2006/relationships/hyperlink" Target="https://wa.me/6281315163838" TargetMode="External"/><Relationship Id="rId1144" Type="http://schemas.openxmlformats.org/officeDocument/2006/relationships/hyperlink" Target="https://wa.me/6285376667233" TargetMode="External"/><Relationship Id="rId1351" Type="http://schemas.openxmlformats.org/officeDocument/2006/relationships/hyperlink" Target="https://wa.me/6287788161343" TargetMode="External"/><Relationship Id="rId1449" Type="http://schemas.openxmlformats.org/officeDocument/2006/relationships/hyperlink" Target="https://wa.me/62887435792882" TargetMode="External"/><Relationship Id="rId88" Type="http://schemas.openxmlformats.org/officeDocument/2006/relationships/hyperlink" Target="https://wa.me/6282141603091" TargetMode="External"/><Relationship Id="rId153" Type="http://schemas.openxmlformats.org/officeDocument/2006/relationships/hyperlink" Target="https://wa.me/6285266218699" TargetMode="External"/><Relationship Id="rId360" Type="http://schemas.openxmlformats.org/officeDocument/2006/relationships/hyperlink" Target="https://wa.me/6281233038880" TargetMode="External"/><Relationship Id="rId598" Type="http://schemas.openxmlformats.org/officeDocument/2006/relationships/hyperlink" Target="https://wa.me/6285748377961" TargetMode="External"/><Relationship Id="rId819" Type="http://schemas.openxmlformats.org/officeDocument/2006/relationships/hyperlink" Target="https://wa.me/6282125057012" TargetMode="External"/><Relationship Id="rId1004" Type="http://schemas.openxmlformats.org/officeDocument/2006/relationships/hyperlink" Target="https://wa.me/6285268858846" TargetMode="External"/><Relationship Id="rId1211" Type="http://schemas.openxmlformats.org/officeDocument/2006/relationships/hyperlink" Target="https://wa.me/6282226387170" TargetMode="External"/><Relationship Id="rId1656" Type="http://schemas.openxmlformats.org/officeDocument/2006/relationships/hyperlink" Target="https://wa.me/628132211405" TargetMode="External"/><Relationship Id="rId220" Type="http://schemas.openxmlformats.org/officeDocument/2006/relationships/hyperlink" Target="https://wa.me/6281943398970" TargetMode="External"/><Relationship Id="rId458" Type="http://schemas.openxmlformats.org/officeDocument/2006/relationships/hyperlink" Target="https://wa.me/6777619002" TargetMode="External"/><Relationship Id="rId665" Type="http://schemas.openxmlformats.org/officeDocument/2006/relationships/hyperlink" Target="https://wa.me/6287833789401" TargetMode="External"/><Relationship Id="rId872" Type="http://schemas.openxmlformats.org/officeDocument/2006/relationships/hyperlink" Target="https://wa.me/6285333751528" TargetMode="External"/><Relationship Id="rId1088" Type="http://schemas.openxmlformats.org/officeDocument/2006/relationships/hyperlink" Target="https://wa.me/6281330410391" TargetMode="External"/><Relationship Id="rId1295" Type="http://schemas.openxmlformats.org/officeDocument/2006/relationships/hyperlink" Target="https://wa.me/6282242925264" TargetMode="External"/><Relationship Id="rId1309" Type="http://schemas.openxmlformats.org/officeDocument/2006/relationships/hyperlink" Target="https://wa.me/6282315999337" TargetMode="External"/><Relationship Id="rId1516" Type="http://schemas.openxmlformats.org/officeDocument/2006/relationships/hyperlink" Target="https://wa.me/628156563072" TargetMode="External"/><Relationship Id="rId1723" Type="http://schemas.openxmlformats.org/officeDocument/2006/relationships/hyperlink" Target="https://wa.me/6285296244975" TargetMode="External"/><Relationship Id="rId15" Type="http://schemas.openxmlformats.org/officeDocument/2006/relationships/hyperlink" Target="https://wa.me/6285240684331" TargetMode="External"/><Relationship Id="rId318" Type="http://schemas.openxmlformats.org/officeDocument/2006/relationships/hyperlink" Target="https://wa.me/6285169411418" TargetMode="External"/><Relationship Id="rId525" Type="http://schemas.openxmlformats.org/officeDocument/2006/relationships/hyperlink" Target="https://wa.me/6281374844270" TargetMode="External"/><Relationship Id="rId732" Type="http://schemas.openxmlformats.org/officeDocument/2006/relationships/hyperlink" Target="https://wa.me/6285888411685" TargetMode="External"/><Relationship Id="rId1155" Type="http://schemas.openxmlformats.org/officeDocument/2006/relationships/hyperlink" Target="https://wa.me/6287790276733" TargetMode="External"/><Relationship Id="rId1362" Type="http://schemas.openxmlformats.org/officeDocument/2006/relationships/hyperlink" Target="https://wa.me/6282351028887" TargetMode="External"/><Relationship Id="rId99" Type="http://schemas.openxmlformats.org/officeDocument/2006/relationships/hyperlink" Target="https://wa.me/6285227384634" TargetMode="External"/><Relationship Id="rId164" Type="http://schemas.openxmlformats.org/officeDocument/2006/relationships/hyperlink" Target="https://wa.me/6281269441611" TargetMode="External"/><Relationship Id="rId371" Type="http://schemas.openxmlformats.org/officeDocument/2006/relationships/hyperlink" Target="https://wa.me/6285741977776" TargetMode="External"/><Relationship Id="rId1015" Type="http://schemas.openxmlformats.org/officeDocument/2006/relationships/hyperlink" Target="https://wa.me/6281330410391" TargetMode="External"/><Relationship Id="rId1222" Type="http://schemas.openxmlformats.org/officeDocument/2006/relationships/hyperlink" Target="https://wa.me/6285925102815" TargetMode="External"/><Relationship Id="rId1667" Type="http://schemas.openxmlformats.org/officeDocument/2006/relationships/hyperlink" Target="https://wa.me/6281328834878" TargetMode="External"/><Relationship Id="rId469" Type="http://schemas.openxmlformats.org/officeDocument/2006/relationships/hyperlink" Target="https://wa.me/6285668750416" TargetMode="External"/><Relationship Id="rId676" Type="http://schemas.openxmlformats.org/officeDocument/2006/relationships/hyperlink" Target="https://wa.me/62076472864" TargetMode="External"/><Relationship Id="rId883" Type="http://schemas.openxmlformats.org/officeDocument/2006/relationships/hyperlink" Target="https://wa.me/6281394618785" TargetMode="External"/><Relationship Id="rId1099" Type="http://schemas.openxmlformats.org/officeDocument/2006/relationships/hyperlink" Target="https://wa.me/6283824541579" TargetMode="External"/><Relationship Id="rId1527" Type="http://schemas.openxmlformats.org/officeDocument/2006/relationships/hyperlink" Target="https://wa.me/6281321441646" TargetMode="External"/><Relationship Id="rId1734" Type="http://schemas.openxmlformats.org/officeDocument/2006/relationships/hyperlink" Target="https://wa.me/6281323291817" TargetMode="External"/><Relationship Id="rId26" Type="http://schemas.openxmlformats.org/officeDocument/2006/relationships/hyperlink" Target="https://wa.me/6282274447649" TargetMode="External"/><Relationship Id="rId231" Type="http://schemas.openxmlformats.org/officeDocument/2006/relationships/hyperlink" Target="https://wa.me/6281779578317" TargetMode="External"/><Relationship Id="rId329" Type="http://schemas.openxmlformats.org/officeDocument/2006/relationships/hyperlink" Target="https://wa.me/6285714141525" TargetMode="External"/><Relationship Id="rId536" Type="http://schemas.openxmlformats.org/officeDocument/2006/relationships/hyperlink" Target="https://wa.me/6285299991164" TargetMode="External"/><Relationship Id="rId1166" Type="http://schemas.openxmlformats.org/officeDocument/2006/relationships/hyperlink" Target="https://wa.me/6289509489308" TargetMode="External"/><Relationship Id="rId1373" Type="http://schemas.openxmlformats.org/officeDocument/2006/relationships/hyperlink" Target="http://ciptagriya.id/" TargetMode="External"/><Relationship Id="rId175" Type="http://schemas.openxmlformats.org/officeDocument/2006/relationships/hyperlink" Target="https://wa.me/6287822304727" TargetMode="External"/><Relationship Id="rId743" Type="http://schemas.openxmlformats.org/officeDocument/2006/relationships/hyperlink" Target="https://wa.me/6281328027701" TargetMode="External"/><Relationship Id="rId950" Type="http://schemas.openxmlformats.org/officeDocument/2006/relationships/hyperlink" Target="https://wa.me/6287751068360" TargetMode="External"/><Relationship Id="rId1026" Type="http://schemas.openxmlformats.org/officeDocument/2006/relationships/hyperlink" Target="https://wa.me/6282122880328" TargetMode="External"/><Relationship Id="rId1580" Type="http://schemas.openxmlformats.org/officeDocument/2006/relationships/hyperlink" Target="https://wa.me/62882008315520" TargetMode="External"/><Relationship Id="rId1678" Type="http://schemas.openxmlformats.org/officeDocument/2006/relationships/hyperlink" Target="https://wa.me/6281216650175" TargetMode="External"/><Relationship Id="rId382" Type="http://schemas.openxmlformats.org/officeDocument/2006/relationships/hyperlink" Target="https://wa.me/6281338789995" TargetMode="External"/><Relationship Id="rId603" Type="http://schemas.openxmlformats.org/officeDocument/2006/relationships/hyperlink" Target="https://wa.me/6282382535847" TargetMode="External"/><Relationship Id="rId687" Type="http://schemas.openxmlformats.org/officeDocument/2006/relationships/hyperlink" Target="https://wa.me/6285642368174" TargetMode="External"/><Relationship Id="rId810" Type="http://schemas.openxmlformats.org/officeDocument/2006/relationships/hyperlink" Target="https://wa.me/6281330410391" TargetMode="External"/><Relationship Id="rId908" Type="http://schemas.openxmlformats.org/officeDocument/2006/relationships/hyperlink" Target="https://wa.me/6285213857442" TargetMode="External"/><Relationship Id="rId1233" Type="http://schemas.openxmlformats.org/officeDocument/2006/relationships/hyperlink" Target="https://wa.me/6285811687779" TargetMode="External"/><Relationship Id="rId1440" Type="http://schemas.openxmlformats.org/officeDocument/2006/relationships/hyperlink" Target="https://wa.me/6281328881949" TargetMode="External"/><Relationship Id="rId1538" Type="http://schemas.openxmlformats.org/officeDocument/2006/relationships/hyperlink" Target="https://wa.me/6282333466436" TargetMode="External"/><Relationship Id="rId242" Type="http://schemas.openxmlformats.org/officeDocument/2006/relationships/hyperlink" Target="https://wa.me/6285338137835" TargetMode="External"/><Relationship Id="rId894" Type="http://schemas.openxmlformats.org/officeDocument/2006/relationships/hyperlink" Target="https://wa.me/6281460494182" TargetMode="External"/><Relationship Id="rId1177" Type="http://schemas.openxmlformats.org/officeDocument/2006/relationships/hyperlink" Target="https://wa.me/62881037282380" TargetMode="External"/><Relationship Id="rId1300" Type="http://schemas.openxmlformats.org/officeDocument/2006/relationships/hyperlink" Target="https://wa.me/6281936003881" TargetMode="External"/><Relationship Id="rId37" Type="http://schemas.openxmlformats.org/officeDocument/2006/relationships/hyperlink" Target="https://wa.me/6285822386125" TargetMode="External"/><Relationship Id="rId102" Type="http://schemas.openxmlformats.org/officeDocument/2006/relationships/hyperlink" Target="https://wa.me/6285725492572" TargetMode="External"/><Relationship Id="rId547" Type="http://schemas.openxmlformats.org/officeDocument/2006/relationships/hyperlink" Target="https://wa.me/6282130129819" TargetMode="External"/><Relationship Id="rId754" Type="http://schemas.openxmlformats.org/officeDocument/2006/relationships/hyperlink" Target="https://wa.me/6285194619788" TargetMode="External"/><Relationship Id="rId961" Type="http://schemas.openxmlformats.org/officeDocument/2006/relationships/hyperlink" Target="https://wa.me/6285379989666" TargetMode="External"/><Relationship Id="rId1384" Type="http://schemas.openxmlformats.org/officeDocument/2006/relationships/hyperlink" Target="https://wa.me/6289508272900" TargetMode="External"/><Relationship Id="rId1591" Type="http://schemas.openxmlformats.org/officeDocument/2006/relationships/hyperlink" Target="https://wa.me/6289529314651" TargetMode="External"/><Relationship Id="rId1605" Type="http://schemas.openxmlformats.org/officeDocument/2006/relationships/hyperlink" Target="https://wa.me/6282234163461" TargetMode="External"/><Relationship Id="rId1689" Type="http://schemas.openxmlformats.org/officeDocument/2006/relationships/hyperlink" Target="https://wa.me/6282343985114" TargetMode="External"/><Relationship Id="rId90" Type="http://schemas.openxmlformats.org/officeDocument/2006/relationships/hyperlink" Target="https://wa.me/6281283325291" TargetMode="External"/><Relationship Id="rId186" Type="http://schemas.openxmlformats.org/officeDocument/2006/relationships/hyperlink" Target="https://wa.me/6285869122507" TargetMode="External"/><Relationship Id="rId393" Type="http://schemas.openxmlformats.org/officeDocument/2006/relationships/hyperlink" Target="https://wa.me/6283131677011" TargetMode="External"/><Relationship Id="rId407" Type="http://schemas.openxmlformats.org/officeDocument/2006/relationships/hyperlink" Target="https://wa.me/6281933176790" TargetMode="External"/><Relationship Id="rId614" Type="http://schemas.openxmlformats.org/officeDocument/2006/relationships/hyperlink" Target="https://wa.me/6281938384000" TargetMode="External"/><Relationship Id="rId821" Type="http://schemas.openxmlformats.org/officeDocument/2006/relationships/hyperlink" Target="https://wa.me/6287856230745" TargetMode="External"/><Relationship Id="rId1037" Type="http://schemas.openxmlformats.org/officeDocument/2006/relationships/hyperlink" Target="https://wa.me/6281230656664" TargetMode="External"/><Relationship Id="rId1244" Type="http://schemas.openxmlformats.org/officeDocument/2006/relationships/hyperlink" Target="https://wa.me/6282288320550" TargetMode="External"/><Relationship Id="rId1451" Type="http://schemas.openxmlformats.org/officeDocument/2006/relationships/hyperlink" Target="https://wa.me/6281318378049" TargetMode="External"/><Relationship Id="rId253" Type="http://schemas.openxmlformats.org/officeDocument/2006/relationships/hyperlink" Target="https://wa.me/6285713536070" TargetMode="External"/><Relationship Id="rId460" Type="http://schemas.openxmlformats.org/officeDocument/2006/relationships/hyperlink" Target="https://wa.me/6285785858869" TargetMode="External"/><Relationship Id="rId698" Type="http://schemas.openxmlformats.org/officeDocument/2006/relationships/hyperlink" Target="https://wa.me/6287790276733" TargetMode="External"/><Relationship Id="rId919" Type="http://schemas.openxmlformats.org/officeDocument/2006/relationships/hyperlink" Target="https://wa.me/6285255115894" TargetMode="External"/><Relationship Id="rId1090" Type="http://schemas.openxmlformats.org/officeDocument/2006/relationships/hyperlink" Target="https://wa.me/6282266152909" TargetMode="External"/><Relationship Id="rId1104" Type="http://schemas.openxmlformats.org/officeDocument/2006/relationships/hyperlink" Target="https://wa.me/6285333751528" TargetMode="External"/><Relationship Id="rId1311" Type="http://schemas.openxmlformats.org/officeDocument/2006/relationships/hyperlink" Target="https://wa.me/6285275329089" TargetMode="External"/><Relationship Id="rId1549" Type="http://schemas.openxmlformats.org/officeDocument/2006/relationships/hyperlink" Target="https://wa.me/6285355119665" TargetMode="External"/><Relationship Id="rId48" Type="http://schemas.openxmlformats.org/officeDocument/2006/relationships/hyperlink" Target="https://wa.me/6281340892328" TargetMode="External"/><Relationship Id="rId113" Type="http://schemas.openxmlformats.org/officeDocument/2006/relationships/hyperlink" Target="https://wa.me/6281514999073" TargetMode="External"/><Relationship Id="rId320" Type="http://schemas.openxmlformats.org/officeDocument/2006/relationships/hyperlink" Target="https://wa.me/6281916331011" TargetMode="External"/><Relationship Id="rId558" Type="http://schemas.openxmlformats.org/officeDocument/2006/relationships/hyperlink" Target="https://wa.me/6283856759344" TargetMode="External"/><Relationship Id="rId765" Type="http://schemas.openxmlformats.org/officeDocument/2006/relationships/hyperlink" Target="https://wa.me/6281558225822" TargetMode="External"/><Relationship Id="rId972" Type="http://schemas.openxmlformats.org/officeDocument/2006/relationships/hyperlink" Target="https://wa.me/6282230035858" TargetMode="External"/><Relationship Id="rId1188" Type="http://schemas.openxmlformats.org/officeDocument/2006/relationships/hyperlink" Target="https://wa.me/6281222788601" TargetMode="External"/><Relationship Id="rId1395" Type="http://schemas.openxmlformats.org/officeDocument/2006/relationships/hyperlink" Target="https://wa.me/6281330410391" TargetMode="External"/><Relationship Id="rId1409" Type="http://schemas.openxmlformats.org/officeDocument/2006/relationships/hyperlink" Target="https://wa.me/6285238063446" TargetMode="External"/><Relationship Id="rId1616" Type="http://schemas.openxmlformats.org/officeDocument/2006/relationships/hyperlink" Target="https://wa.me/6287896175092" TargetMode="External"/><Relationship Id="rId197" Type="http://schemas.openxmlformats.org/officeDocument/2006/relationships/hyperlink" Target="https://wa.me/6288980619907" TargetMode="External"/><Relationship Id="rId418" Type="http://schemas.openxmlformats.org/officeDocument/2006/relationships/hyperlink" Target="https://wa.me/6281217985917" TargetMode="External"/><Relationship Id="rId625" Type="http://schemas.openxmlformats.org/officeDocument/2006/relationships/hyperlink" Target="https://wa.me/6285268858846" TargetMode="External"/><Relationship Id="rId832" Type="http://schemas.openxmlformats.org/officeDocument/2006/relationships/hyperlink" Target="http://primagriya.com/" TargetMode="External"/><Relationship Id="rId1048" Type="http://schemas.openxmlformats.org/officeDocument/2006/relationships/hyperlink" Target="https://wa.me/6281338789995" TargetMode="External"/><Relationship Id="rId1255" Type="http://schemas.openxmlformats.org/officeDocument/2006/relationships/hyperlink" Target="https://wa.me/628111122017" TargetMode="External"/><Relationship Id="rId1462" Type="http://schemas.openxmlformats.org/officeDocument/2006/relationships/hyperlink" Target="https://wa.me/6285600287735" TargetMode="External"/><Relationship Id="rId264" Type="http://schemas.openxmlformats.org/officeDocument/2006/relationships/hyperlink" Target="https://wa.me/6281337504727" TargetMode="External"/><Relationship Id="rId471" Type="http://schemas.openxmlformats.org/officeDocument/2006/relationships/hyperlink" Target="https://wa.me/6281111121020" TargetMode="External"/><Relationship Id="rId1115" Type="http://schemas.openxmlformats.org/officeDocument/2006/relationships/hyperlink" Target="https://wa.me/6281280900781" TargetMode="External"/><Relationship Id="rId1322" Type="http://schemas.openxmlformats.org/officeDocument/2006/relationships/hyperlink" Target="https://wa.me/6285888590045" TargetMode="External"/><Relationship Id="rId59" Type="http://schemas.openxmlformats.org/officeDocument/2006/relationships/hyperlink" Target="https://wa.me/6282347206488" TargetMode="External"/><Relationship Id="rId124" Type="http://schemas.openxmlformats.org/officeDocument/2006/relationships/hyperlink" Target="https://wa.me/6281904501876" TargetMode="External"/><Relationship Id="rId569" Type="http://schemas.openxmlformats.org/officeDocument/2006/relationships/hyperlink" Target="https://wa.me/6282236053835" TargetMode="External"/><Relationship Id="rId776" Type="http://schemas.openxmlformats.org/officeDocument/2006/relationships/hyperlink" Target="https://wa.me/6285655300070" TargetMode="External"/><Relationship Id="rId983" Type="http://schemas.openxmlformats.org/officeDocument/2006/relationships/hyperlink" Target="https://wa.me/6281256662335" TargetMode="External"/><Relationship Id="rId1199" Type="http://schemas.openxmlformats.org/officeDocument/2006/relationships/hyperlink" Target="https://wa.me/6281327272773" TargetMode="External"/><Relationship Id="rId1627" Type="http://schemas.openxmlformats.org/officeDocument/2006/relationships/hyperlink" Target="https://wa.me/6285339145161" TargetMode="External"/><Relationship Id="rId331" Type="http://schemas.openxmlformats.org/officeDocument/2006/relationships/hyperlink" Target="https://wa.me/6287839406770" TargetMode="External"/><Relationship Id="rId429" Type="http://schemas.openxmlformats.org/officeDocument/2006/relationships/hyperlink" Target="https://wa.me/6281327457634" TargetMode="External"/><Relationship Id="rId636" Type="http://schemas.openxmlformats.org/officeDocument/2006/relationships/hyperlink" Target="https://wa.me/6285166200242" TargetMode="External"/><Relationship Id="rId1059" Type="http://schemas.openxmlformats.org/officeDocument/2006/relationships/hyperlink" Target="https://wa.me/6282391199993" TargetMode="External"/><Relationship Id="rId1266" Type="http://schemas.openxmlformats.org/officeDocument/2006/relationships/hyperlink" Target="https://wa.me/628562571037" TargetMode="External"/><Relationship Id="rId1473" Type="http://schemas.openxmlformats.org/officeDocument/2006/relationships/hyperlink" Target="https://wa.me/6281219102600" TargetMode="External"/><Relationship Id="rId843" Type="http://schemas.openxmlformats.org/officeDocument/2006/relationships/hyperlink" Target="https://wa.me/6287838234518" TargetMode="External"/><Relationship Id="rId1126" Type="http://schemas.openxmlformats.org/officeDocument/2006/relationships/hyperlink" Target="https://wa.me/6282229433259" TargetMode="External"/><Relationship Id="rId1680" Type="http://schemas.openxmlformats.org/officeDocument/2006/relationships/hyperlink" Target="https://wa.me/6285397034019" TargetMode="External"/><Relationship Id="rId275" Type="http://schemas.openxmlformats.org/officeDocument/2006/relationships/hyperlink" Target="https://wa.me/6281213766426" TargetMode="External"/><Relationship Id="rId482" Type="http://schemas.openxmlformats.org/officeDocument/2006/relationships/hyperlink" Target="https://wa.me/6285286258400" TargetMode="External"/><Relationship Id="rId703" Type="http://schemas.openxmlformats.org/officeDocument/2006/relationships/hyperlink" Target="https://wa.me/6282365004117" TargetMode="External"/><Relationship Id="rId910" Type="http://schemas.openxmlformats.org/officeDocument/2006/relationships/hyperlink" Target="https://wa.me/6285161653332" TargetMode="External"/><Relationship Id="rId1333" Type="http://schemas.openxmlformats.org/officeDocument/2006/relationships/hyperlink" Target="https://wa.me/6285285589041" TargetMode="External"/><Relationship Id="rId1540" Type="http://schemas.openxmlformats.org/officeDocument/2006/relationships/hyperlink" Target="https://wa.me/6287780880807" TargetMode="External"/><Relationship Id="rId1638" Type="http://schemas.openxmlformats.org/officeDocument/2006/relationships/hyperlink" Target="https://wa.me/628122833297" TargetMode="External"/><Relationship Id="rId135" Type="http://schemas.openxmlformats.org/officeDocument/2006/relationships/hyperlink" Target="https://wa.me/6281315230027" TargetMode="External"/><Relationship Id="rId342" Type="http://schemas.openxmlformats.org/officeDocument/2006/relationships/hyperlink" Target="https://wa.me/6281223055720" TargetMode="External"/><Relationship Id="rId787" Type="http://schemas.openxmlformats.org/officeDocument/2006/relationships/hyperlink" Target="https://wa.me/6285925102815" TargetMode="External"/><Relationship Id="rId994" Type="http://schemas.openxmlformats.org/officeDocument/2006/relationships/hyperlink" Target="https://wa.me/6282190655084" TargetMode="External"/><Relationship Id="rId1400" Type="http://schemas.openxmlformats.org/officeDocument/2006/relationships/hyperlink" Target="http://ahlibangun.com/" TargetMode="External"/><Relationship Id="rId202" Type="http://schemas.openxmlformats.org/officeDocument/2006/relationships/hyperlink" Target="https://wa.me/6281934879222" TargetMode="External"/><Relationship Id="rId647" Type="http://schemas.openxmlformats.org/officeDocument/2006/relationships/hyperlink" Target="https://wa.me/628971115941" TargetMode="External"/><Relationship Id="rId854" Type="http://schemas.openxmlformats.org/officeDocument/2006/relationships/hyperlink" Target="https://wa.me/62881010328220" TargetMode="External"/><Relationship Id="rId1277" Type="http://schemas.openxmlformats.org/officeDocument/2006/relationships/hyperlink" Target="https://wa.me/6282181277069" TargetMode="External"/><Relationship Id="rId1484" Type="http://schemas.openxmlformats.org/officeDocument/2006/relationships/hyperlink" Target="https://wa.me/6282295851975" TargetMode="External"/><Relationship Id="rId1691" Type="http://schemas.openxmlformats.org/officeDocument/2006/relationships/hyperlink" Target="https://wa.me/6282173042032" TargetMode="External"/><Relationship Id="rId1705" Type="http://schemas.openxmlformats.org/officeDocument/2006/relationships/hyperlink" Target="https://wa.me/6285242640112" TargetMode="External"/><Relationship Id="rId286" Type="http://schemas.openxmlformats.org/officeDocument/2006/relationships/hyperlink" Target="https://wa.me/6285282777679" TargetMode="External"/><Relationship Id="rId493" Type="http://schemas.openxmlformats.org/officeDocument/2006/relationships/hyperlink" Target="https://wa.me/628990145388" TargetMode="External"/><Relationship Id="rId507" Type="http://schemas.openxmlformats.org/officeDocument/2006/relationships/hyperlink" Target="https://wa.me/6285378141823" TargetMode="External"/><Relationship Id="rId714" Type="http://schemas.openxmlformats.org/officeDocument/2006/relationships/hyperlink" Target="https://wa.me/62881038177010" TargetMode="External"/><Relationship Id="rId921" Type="http://schemas.openxmlformats.org/officeDocument/2006/relationships/hyperlink" Target="https://wa.me/6281330410391" TargetMode="External"/><Relationship Id="rId1137" Type="http://schemas.openxmlformats.org/officeDocument/2006/relationships/hyperlink" Target="https://wa.me/6281804207532" TargetMode="External"/><Relationship Id="rId1344" Type="http://schemas.openxmlformats.org/officeDocument/2006/relationships/hyperlink" Target="https://wa.me/6282399006447" TargetMode="External"/><Relationship Id="rId1551" Type="http://schemas.openxmlformats.org/officeDocument/2006/relationships/hyperlink" Target="https://wa.me/6285123658125" TargetMode="External"/><Relationship Id="rId50" Type="http://schemas.openxmlformats.org/officeDocument/2006/relationships/hyperlink" Target="https://wa.me/6282399006447" TargetMode="External"/><Relationship Id="rId146" Type="http://schemas.openxmlformats.org/officeDocument/2006/relationships/hyperlink" Target="https://wa.me/6285167182620" TargetMode="External"/><Relationship Id="rId353" Type="http://schemas.openxmlformats.org/officeDocument/2006/relationships/hyperlink" Target="https://wa.me/6281933176790" TargetMode="External"/><Relationship Id="rId560" Type="http://schemas.openxmlformats.org/officeDocument/2006/relationships/hyperlink" Target="https://wa.me/6285888590045" TargetMode="External"/><Relationship Id="rId798" Type="http://schemas.openxmlformats.org/officeDocument/2006/relationships/hyperlink" Target="https://wa.me/6282393168368" TargetMode="External"/><Relationship Id="rId1190" Type="http://schemas.openxmlformats.org/officeDocument/2006/relationships/hyperlink" Target="https://wa.me/6285974999484" TargetMode="External"/><Relationship Id="rId1204" Type="http://schemas.openxmlformats.org/officeDocument/2006/relationships/hyperlink" Target="https://wa.me/6281779578317" TargetMode="External"/><Relationship Id="rId1411" Type="http://schemas.openxmlformats.org/officeDocument/2006/relationships/hyperlink" Target="https://wa.me/6282286110903" TargetMode="External"/><Relationship Id="rId1649" Type="http://schemas.openxmlformats.org/officeDocument/2006/relationships/hyperlink" Target="https://wa.me/6285241716176" TargetMode="External"/><Relationship Id="rId213" Type="http://schemas.openxmlformats.org/officeDocument/2006/relationships/hyperlink" Target="https://wa.me/6282164919126" TargetMode="External"/><Relationship Id="rId420" Type="http://schemas.openxmlformats.org/officeDocument/2006/relationships/hyperlink" Target="https://wa.me/62881010278235" TargetMode="External"/><Relationship Id="rId658" Type="http://schemas.openxmlformats.org/officeDocument/2006/relationships/hyperlink" Target="https://wa.me/6285283208198" TargetMode="External"/><Relationship Id="rId865" Type="http://schemas.openxmlformats.org/officeDocument/2006/relationships/hyperlink" Target="https://wa.me/6282286608220" TargetMode="External"/><Relationship Id="rId1050" Type="http://schemas.openxmlformats.org/officeDocument/2006/relationships/hyperlink" Target="https://wa.me/6281338789995" TargetMode="External"/><Relationship Id="rId1288" Type="http://schemas.openxmlformats.org/officeDocument/2006/relationships/hyperlink" Target="https://wa.me/628111820815" TargetMode="External"/><Relationship Id="rId1495" Type="http://schemas.openxmlformats.org/officeDocument/2006/relationships/hyperlink" Target="https://wa.me/628125813214" TargetMode="External"/><Relationship Id="rId1509" Type="http://schemas.openxmlformats.org/officeDocument/2006/relationships/hyperlink" Target="https://wa.me/6282315459098" TargetMode="External"/><Relationship Id="rId1716" Type="http://schemas.openxmlformats.org/officeDocument/2006/relationships/hyperlink" Target="https://wa.me/6281808700968" TargetMode="External"/><Relationship Id="rId297" Type="http://schemas.openxmlformats.org/officeDocument/2006/relationships/hyperlink" Target="https://wa.me/6281253629810" TargetMode="External"/><Relationship Id="rId518" Type="http://schemas.openxmlformats.org/officeDocument/2006/relationships/hyperlink" Target="https://wa.me/6282241824727" TargetMode="External"/><Relationship Id="rId725" Type="http://schemas.openxmlformats.org/officeDocument/2006/relationships/hyperlink" Target="https://wa.me/6281239004410" TargetMode="External"/><Relationship Id="rId932" Type="http://schemas.openxmlformats.org/officeDocument/2006/relationships/hyperlink" Target="https://wa.me/6285210107607" TargetMode="External"/><Relationship Id="rId1148" Type="http://schemas.openxmlformats.org/officeDocument/2006/relationships/hyperlink" Target="https://wa.me/6288289347121" TargetMode="External"/><Relationship Id="rId1355" Type="http://schemas.openxmlformats.org/officeDocument/2006/relationships/hyperlink" Target="https://wa.me/6281216704496" TargetMode="External"/><Relationship Id="rId1562" Type="http://schemas.openxmlformats.org/officeDocument/2006/relationships/hyperlink" Target="https://wa.me/6281217256721" TargetMode="External"/><Relationship Id="rId157" Type="http://schemas.openxmlformats.org/officeDocument/2006/relationships/hyperlink" Target="https://wa.me/6281347156140" TargetMode="External"/><Relationship Id="rId364" Type="http://schemas.openxmlformats.org/officeDocument/2006/relationships/hyperlink" Target="https://wa.me/628116655901" TargetMode="External"/><Relationship Id="rId1008" Type="http://schemas.openxmlformats.org/officeDocument/2006/relationships/hyperlink" Target="https://wa.me/6281311406604" TargetMode="External"/><Relationship Id="rId1215" Type="http://schemas.openxmlformats.org/officeDocument/2006/relationships/hyperlink" Target="https://wa.me/6281330759646" TargetMode="External"/><Relationship Id="rId1422" Type="http://schemas.openxmlformats.org/officeDocument/2006/relationships/hyperlink" Target="https://wa.me/6281237058617" TargetMode="External"/><Relationship Id="rId61" Type="http://schemas.openxmlformats.org/officeDocument/2006/relationships/hyperlink" Target="https://wa.me/6282393168368" TargetMode="External"/><Relationship Id="rId571" Type="http://schemas.openxmlformats.org/officeDocument/2006/relationships/hyperlink" Target="https://wa.me/6285668750426" TargetMode="External"/><Relationship Id="rId669" Type="http://schemas.openxmlformats.org/officeDocument/2006/relationships/hyperlink" Target="https://wa.me/6287862271550" TargetMode="External"/><Relationship Id="rId876" Type="http://schemas.openxmlformats.org/officeDocument/2006/relationships/hyperlink" Target="https://wa.me/6285600287735" TargetMode="External"/><Relationship Id="rId1299" Type="http://schemas.openxmlformats.org/officeDocument/2006/relationships/hyperlink" Target="https://wa.me/6282250370505" TargetMode="External"/><Relationship Id="rId1727" Type="http://schemas.openxmlformats.org/officeDocument/2006/relationships/hyperlink" Target="https://wa.me/6281990865975" TargetMode="External"/><Relationship Id="rId19" Type="http://schemas.openxmlformats.org/officeDocument/2006/relationships/hyperlink" Target="https://wa.me/6281331854948" TargetMode="External"/><Relationship Id="rId224" Type="http://schemas.openxmlformats.org/officeDocument/2006/relationships/hyperlink" Target="https://wa.me/6285702653554" TargetMode="External"/><Relationship Id="rId431" Type="http://schemas.openxmlformats.org/officeDocument/2006/relationships/hyperlink" Target="https://wa.me/6281258553437" TargetMode="External"/><Relationship Id="rId529" Type="http://schemas.openxmlformats.org/officeDocument/2006/relationships/hyperlink" Target="https://wa.me/6285338700113" TargetMode="External"/><Relationship Id="rId736" Type="http://schemas.openxmlformats.org/officeDocument/2006/relationships/hyperlink" Target="https://wa.me/628122577723" TargetMode="External"/><Relationship Id="rId1061" Type="http://schemas.openxmlformats.org/officeDocument/2006/relationships/hyperlink" Target="https://wa.me/6281338789995" TargetMode="External"/><Relationship Id="rId1159" Type="http://schemas.openxmlformats.org/officeDocument/2006/relationships/hyperlink" Target="https://wa.me/6281234383696" TargetMode="External"/><Relationship Id="rId1366" Type="http://schemas.openxmlformats.org/officeDocument/2006/relationships/hyperlink" Target="https://wa.me/6287712052457" TargetMode="External"/><Relationship Id="rId168" Type="http://schemas.openxmlformats.org/officeDocument/2006/relationships/hyperlink" Target="https://wa.me/6281364147407" TargetMode="External"/><Relationship Id="rId943" Type="http://schemas.openxmlformats.org/officeDocument/2006/relationships/hyperlink" Target="https://wa.me/6282225676438" TargetMode="External"/><Relationship Id="rId1019" Type="http://schemas.openxmlformats.org/officeDocument/2006/relationships/hyperlink" Target="https://wa.me/6282133932170" TargetMode="External"/><Relationship Id="rId1573" Type="http://schemas.openxmlformats.org/officeDocument/2006/relationships/hyperlink" Target="https://wa.me/6289529314651" TargetMode="External"/><Relationship Id="rId72" Type="http://schemas.openxmlformats.org/officeDocument/2006/relationships/hyperlink" Target="https://wa.me/6282280929802" TargetMode="External"/><Relationship Id="rId375" Type="http://schemas.openxmlformats.org/officeDocument/2006/relationships/hyperlink" Target="https://wa.me/6281215284044" TargetMode="External"/><Relationship Id="rId582" Type="http://schemas.openxmlformats.org/officeDocument/2006/relationships/hyperlink" Target="https://wa.me/6282347206488" TargetMode="External"/><Relationship Id="rId803" Type="http://schemas.openxmlformats.org/officeDocument/2006/relationships/hyperlink" Target="https://wa.me/6281283204192" TargetMode="External"/><Relationship Id="rId1226" Type="http://schemas.openxmlformats.org/officeDocument/2006/relationships/hyperlink" Target="https://wa.me/6287823423000" TargetMode="External"/><Relationship Id="rId1433" Type="http://schemas.openxmlformats.org/officeDocument/2006/relationships/hyperlink" Target="https://wa.me/62818752345" TargetMode="External"/><Relationship Id="rId1640" Type="http://schemas.openxmlformats.org/officeDocument/2006/relationships/hyperlink" Target="https://wa.me/6285185088849" TargetMode="External"/><Relationship Id="rId1738" Type="http://schemas.openxmlformats.org/officeDocument/2006/relationships/hyperlink" Target="https://wa.me/6281515661112" TargetMode="External"/><Relationship Id="rId3" Type="http://schemas.openxmlformats.org/officeDocument/2006/relationships/hyperlink" Target="https://wa.me/67076472864" TargetMode="External"/><Relationship Id="rId235" Type="http://schemas.openxmlformats.org/officeDocument/2006/relationships/hyperlink" Target="https://wa.me/62895800343940" TargetMode="External"/><Relationship Id="rId442" Type="http://schemas.openxmlformats.org/officeDocument/2006/relationships/hyperlink" Target="https://wa.me/6285274759862" TargetMode="External"/><Relationship Id="rId887" Type="http://schemas.openxmlformats.org/officeDocument/2006/relationships/hyperlink" Target="https://wa.me/6281249008778" TargetMode="External"/><Relationship Id="rId1072" Type="http://schemas.openxmlformats.org/officeDocument/2006/relationships/hyperlink" Target="https://wa.me/6281394618785" TargetMode="External"/><Relationship Id="rId1500" Type="http://schemas.openxmlformats.org/officeDocument/2006/relationships/hyperlink" Target="https://wa.me/628156626447" TargetMode="External"/><Relationship Id="rId302" Type="http://schemas.openxmlformats.org/officeDocument/2006/relationships/hyperlink" Target="https://wa.me/6285853370682" TargetMode="External"/><Relationship Id="rId747" Type="http://schemas.openxmlformats.org/officeDocument/2006/relationships/hyperlink" Target="https://wa.me/6287849666629" TargetMode="External"/><Relationship Id="rId954" Type="http://schemas.openxmlformats.org/officeDocument/2006/relationships/hyperlink" Target="https://wa.me/6285357908485" TargetMode="External"/><Relationship Id="rId1377" Type="http://schemas.openxmlformats.org/officeDocument/2006/relationships/hyperlink" Target="https://wa.me/6281394618785" TargetMode="External"/><Relationship Id="rId1584" Type="http://schemas.openxmlformats.org/officeDocument/2006/relationships/hyperlink" Target="https://wa.me/6281338789995" TargetMode="External"/><Relationship Id="rId83" Type="http://schemas.openxmlformats.org/officeDocument/2006/relationships/hyperlink" Target="https://wa.me/6281316155059" TargetMode="External"/><Relationship Id="rId179" Type="http://schemas.openxmlformats.org/officeDocument/2006/relationships/hyperlink" Target="https://wa.me/6281343148204" TargetMode="External"/><Relationship Id="rId386" Type="http://schemas.openxmlformats.org/officeDocument/2006/relationships/hyperlink" Target="https://wa.me/6285888590045" TargetMode="External"/><Relationship Id="rId593" Type="http://schemas.openxmlformats.org/officeDocument/2006/relationships/hyperlink" Target="https://wa.me/6283870060603" TargetMode="External"/><Relationship Id="rId607" Type="http://schemas.openxmlformats.org/officeDocument/2006/relationships/hyperlink" Target="https://wa.me/628127962347" TargetMode="External"/><Relationship Id="rId814" Type="http://schemas.openxmlformats.org/officeDocument/2006/relationships/hyperlink" Target="https://wa.me/6285243442275" TargetMode="External"/><Relationship Id="rId1237" Type="http://schemas.openxmlformats.org/officeDocument/2006/relationships/hyperlink" Target="https://wa.me/6288238489812" TargetMode="External"/><Relationship Id="rId1444" Type="http://schemas.openxmlformats.org/officeDocument/2006/relationships/hyperlink" Target="https://wa.me/6282225676546" TargetMode="External"/><Relationship Id="rId1651" Type="http://schemas.openxmlformats.org/officeDocument/2006/relationships/hyperlink" Target="https://wa.me/6281245194434" TargetMode="External"/><Relationship Id="rId246" Type="http://schemas.openxmlformats.org/officeDocument/2006/relationships/hyperlink" Target="https://wa.me/628972861717" TargetMode="External"/><Relationship Id="rId453" Type="http://schemas.openxmlformats.org/officeDocument/2006/relationships/hyperlink" Target="https://wa.me/6287745180632" TargetMode="External"/><Relationship Id="rId660" Type="http://schemas.openxmlformats.org/officeDocument/2006/relationships/hyperlink" Target="https://wa.me/6285640123555" TargetMode="External"/><Relationship Id="rId898" Type="http://schemas.openxmlformats.org/officeDocument/2006/relationships/hyperlink" Target="https://wa.me/6282220371971" TargetMode="External"/><Relationship Id="rId1083" Type="http://schemas.openxmlformats.org/officeDocument/2006/relationships/hyperlink" Target="https://wa.me/6285888452389" TargetMode="External"/><Relationship Id="rId1290" Type="http://schemas.openxmlformats.org/officeDocument/2006/relationships/hyperlink" Target="https://wa.me/6282155336565" TargetMode="External"/><Relationship Id="rId1304" Type="http://schemas.openxmlformats.org/officeDocument/2006/relationships/hyperlink" Target="https://wa.me/6289506338444" TargetMode="External"/><Relationship Id="rId1511" Type="http://schemas.openxmlformats.org/officeDocument/2006/relationships/hyperlink" Target="https://wa.me/6282133932170" TargetMode="External"/><Relationship Id="rId106" Type="http://schemas.openxmlformats.org/officeDocument/2006/relationships/hyperlink" Target="https://wa.me/6289617461806" TargetMode="External"/><Relationship Id="rId313" Type="http://schemas.openxmlformats.org/officeDocument/2006/relationships/hyperlink" Target="https://wa.me/6282277773540" TargetMode="External"/><Relationship Id="rId758" Type="http://schemas.openxmlformats.org/officeDocument/2006/relationships/hyperlink" Target="https://wa.me/6282154318629" TargetMode="External"/><Relationship Id="rId965" Type="http://schemas.openxmlformats.org/officeDocument/2006/relationships/hyperlink" Target="https://wa.me/6287777144455" TargetMode="External"/><Relationship Id="rId1150" Type="http://schemas.openxmlformats.org/officeDocument/2006/relationships/hyperlink" Target="https://wa.me/6285924240918" TargetMode="External"/><Relationship Id="rId1388" Type="http://schemas.openxmlformats.org/officeDocument/2006/relationships/hyperlink" Target="https://wa.me/6282147314512" TargetMode="External"/><Relationship Id="rId1595" Type="http://schemas.openxmlformats.org/officeDocument/2006/relationships/hyperlink" Target="https://wa.me/6282384370009" TargetMode="External"/><Relationship Id="rId1609" Type="http://schemas.openxmlformats.org/officeDocument/2006/relationships/hyperlink" Target="https://wa.me/62882019221880" TargetMode="External"/><Relationship Id="rId10" Type="http://schemas.openxmlformats.org/officeDocument/2006/relationships/hyperlink" Target="https://wa.me/6283188945188" TargetMode="External"/><Relationship Id="rId94" Type="http://schemas.openxmlformats.org/officeDocument/2006/relationships/hyperlink" Target="https://wa.me/6287778562681" TargetMode="External"/><Relationship Id="rId397" Type="http://schemas.openxmlformats.org/officeDocument/2006/relationships/hyperlink" Target="https://wa.me/6285234005559" TargetMode="External"/><Relationship Id="rId520" Type="http://schemas.openxmlformats.org/officeDocument/2006/relationships/hyperlink" Target="https://wa.me/6287721853921" TargetMode="External"/><Relationship Id="rId618" Type="http://schemas.openxmlformats.org/officeDocument/2006/relationships/hyperlink" Target="https://wa.me/6285294617773" TargetMode="External"/><Relationship Id="rId825" Type="http://schemas.openxmlformats.org/officeDocument/2006/relationships/hyperlink" Target="https://wa.me/628112000639" TargetMode="External"/><Relationship Id="rId1248" Type="http://schemas.openxmlformats.org/officeDocument/2006/relationships/hyperlink" Target="https://wa.me/6281246072868" TargetMode="External"/><Relationship Id="rId1455" Type="http://schemas.openxmlformats.org/officeDocument/2006/relationships/hyperlink" Target="https://wa.me/6281249560405" TargetMode="External"/><Relationship Id="rId1662" Type="http://schemas.openxmlformats.org/officeDocument/2006/relationships/hyperlink" Target="https://wa.me/6282225601525" TargetMode="External"/><Relationship Id="rId257" Type="http://schemas.openxmlformats.org/officeDocument/2006/relationships/hyperlink" Target="https://wa.me/6281239874761" TargetMode="External"/><Relationship Id="rId464" Type="http://schemas.openxmlformats.org/officeDocument/2006/relationships/hyperlink" Target="https://wa.me/6281326160059" TargetMode="External"/><Relationship Id="rId1010" Type="http://schemas.openxmlformats.org/officeDocument/2006/relationships/hyperlink" Target="https://wa.me/6281170038881" TargetMode="External"/><Relationship Id="rId1094" Type="http://schemas.openxmlformats.org/officeDocument/2006/relationships/hyperlink" Target="https://wa.me/6285748377961" TargetMode="External"/><Relationship Id="rId1108" Type="http://schemas.openxmlformats.org/officeDocument/2006/relationships/hyperlink" Target="https://wa.me/6282129900978" TargetMode="External"/><Relationship Id="rId1315" Type="http://schemas.openxmlformats.org/officeDocument/2006/relationships/hyperlink" Target="https://wa.me/6287889902933" TargetMode="External"/><Relationship Id="rId117" Type="http://schemas.openxmlformats.org/officeDocument/2006/relationships/hyperlink" Target="https://wa.me/6281383899119" TargetMode="External"/><Relationship Id="rId671" Type="http://schemas.openxmlformats.org/officeDocument/2006/relationships/hyperlink" Target="https://wa.me/6281513169730" TargetMode="External"/><Relationship Id="rId769" Type="http://schemas.openxmlformats.org/officeDocument/2006/relationships/hyperlink" Target="https://wa.me/6285787104091" TargetMode="External"/><Relationship Id="rId976" Type="http://schemas.openxmlformats.org/officeDocument/2006/relationships/hyperlink" Target="https://wa.me/6285359314400" TargetMode="External"/><Relationship Id="rId1399" Type="http://schemas.openxmlformats.org/officeDocument/2006/relationships/hyperlink" Target="http://ahlibangun.com/" TargetMode="External"/><Relationship Id="rId324" Type="http://schemas.openxmlformats.org/officeDocument/2006/relationships/hyperlink" Target="https://wa.me/6285186029090" TargetMode="External"/><Relationship Id="rId531" Type="http://schemas.openxmlformats.org/officeDocument/2006/relationships/hyperlink" Target="https://wa.me/6289515920603" TargetMode="External"/><Relationship Id="rId629" Type="http://schemas.openxmlformats.org/officeDocument/2006/relationships/hyperlink" Target="https://wa.me/6282328059129" TargetMode="External"/><Relationship Id="rId1161" Type="http://schemas.openxmlformats.org/officeDocument/2006/relationships/hyperlink" Target="https://wa.me/6282245454940" TargetMode="External"/><Relationship Id="rId1259" Type="http://schemas.openxmlformats.org/officeDocument/2006/relationships/hyperlink" Target="https://wa.me/6281236788148" TargetMode="External"/><Relationship Id="rId1466" Type="http://schemas.openxmlformats.org/officeDocument/2006/relationships/hyperlink" Target="https://wa.me/6287880869986" TargetMode="External"/><Relationship Id="rId836" Type="http://schemas.openxmlformats.org/officeDocument/2006/relationships/hyperlink" Target="https://wa.me/6281233038880" TargetMode="External"/><Relationship Id="rId1021" Type="http://schemas.openxmlformats.org/officeDocument/2006/relationships/hyperlink" Target="https://wa.me/6289653773632" TargetMode="External"/><Relationship Id="rId1119" Type="http://schemas.openxmlformats.org/officeDocument/2006/relationships/hyperlink" Target="https://wa.me/6285893658659" TargetMode="External"/><Relationship Id="rId1673" Type="http://schemas.openxmlformats.org/officeDocument/2006/relationships/hyperlink" Target="https://wa.me/6285933260198" TargetMode="External"/><Relationship Id="rId903" Type="http://schemas.openxmlformats.org/officeDocument/2006/relationships/hyperlink" Target="https://wa.me/6282135496939" TargetMode="External"/><Relationship Id="rId1326" Type="http://schemas.openxmlformats.org/officeDocument/2006/relationships/hyperlink" Target="https://wa.me/6283188945188" TargetMode="External"/><Relationship Id="rId1533" Type="http://schemas.openxmlformats.org/officeDocument/2006/relationships/hyperlink" Target="https://wa.me/6281938384000" TargetMode="External"/><Relationship Id="rId1740" Type="http://schemas.openxmlformats.org/officeDocument/2006/relationships/hyperlink" Target="https://wa.me/620881010138777" TargetMode="External"/><Relationship Id="rId32" Type="http://schemas.openxmlformats.org/officeDocument/2006/relationships/hyperlink" Target="https://wa.me/6281384925770" TargetMode="External"/><Relationship Id="rId1600" Type="http://schemas.openxmlformats.org/officeDocument/2006/relationships/hyperlink" Target="https://wa.me/6282391199993" TargetMode="External"/><Relationship Id="rId181" Type="http://schemas.openxmlformats.org/officeDocument/2006/relationships/hyperlink" Target="https://wa.me/6281291128945" TargetMode="External"/><Relationship Id="rId279" Type="http://schemas.openxmlformats.org/officeDocument/2006/relationships/hyperlink" Target="https://wa.me/6285668750416" TargetMode="External"/><Relationship Id="rId486" Type="http://schemas.openxmlformats.org/officeDocument/2006/relationships/hyperlink" Target="https://wa.me/628122703083" TargetMode="External"/><Relationship Id="rId693" Type="http://schemas.openxmlformats.org/officeDocument/2006/relationships/hyperlink" Target="https://wa.me/6282393168368" TargetMode="External"/><Relationship Id="rId139" Type="http://schemas.openxmlformats.org/officeDocument/2006/relationships/hyperlink" Target="https://wa.me/6281374115054" TargetMode="External"/><Relationship Id="rId346" Type="http://schemas.openxmlformats.org/officeDocument/2006/relationships/hyperlink" Target="https://wa.me/6282230035858" TargetMode="External"/><Relationship Id="rId553" Type="http://schemas.openxmlformats.org/officeDocument/2006/relationships/hyperlink" Target="https://wa.me/628170204528" TargetMode="External"/><Relationship Id="rId760" Type="http://schemas.openxmlformats.org/officeDocument/2006/relationships/hyperlink" Target="https://wa.me/6289606523838" TargetMode="External"/><Relationship Id="rId998" Type="http://schemas.openxmlformats.org/officeDocument/2006/relationships/hyperlink" Target="https://wa.me/6287823423000" TargetMode="External"/><Relationship Id="rId1183" Type="http://schemas.openxmlformats.org/officeDocument/2006/relationships/hyperlink" Target="https://wa.me/6281337173939" TargetMode="External"/><Relationship Id="rId1390" Type="http://schemas.openxmlformats.org/officeDocument/2006/relationships/hyperlink" Target="https://wa.me/6282153090123" TargetMode="External"/><Relationship Id="rId206" Type="http://schemas.openxmlformats.org/officeDocument/2006/relationships/hyperlink" Target="https://wa.me/6281378152512" TargetMode="External"/><Relationship Id="rId413" Type="http://schemas.openxmlformats.org/officeDocument/2006/relationships/hyperlink" Target="https://wa.me/6281378757554" TargetMode="External"/><Relationship Id="rId858" Type="http://schemas.openxmlformats.org/officeDocument/2006/relationships/hyperlink" Target="https://wa.me/6281296182529" TargetMode="External"/><Relationship Id="rId1043" Type="http://schemas.openxmlformats.org/officeDocument/2006/relationships/hyperlink" Target="https://wa.me/6281297252309" TargetMode="External"/><Relationship Id="rId1488" Type="http://schemas.openxmlformats.org/officeDocument/2006/relationships/hyperlink" Target="https://wa.me/6281338789995" TargetMode="External"/><Relationship Id="rId1695" Type="http://schemas.openxmlformats.org/officeDocument/2006/relationships/hyperlink" Target="https://wa.me/6282286712200" TargetMode="External"/><Relationship Id="rId620" Type="http://schemas.openxmlformats.org/officeDocument/2006/relationships/hyperlink" Target="https://wa.me/6281938384000" TargetMode="External"/><Relationship Id="rId718" Type="http://schemas.openxmlformats.org/officeDocument/2006/relationships/hyperlink" Target="https://wa.me/6289630527354" TargetMode="External"/><Relationship Id="rId925" Type="http://schemas.openxmlformats.org/officeDocument/2006/relationships/hyperlink" Target="https://wa.me/6281232743716" TargetMode="External"/><Relationship Id="rId1250" Type="http://schemas.openxmlformats.org/officeDocument/2006/relationships/hyperlink" Target="https://wa.me/628111122017" TargetMode="External"/><Relationship Id="rId1348" Type="http://schemas.openxmlformats.org/officeDocument/2006/relationships/hyperlink" Target="https://wa.me/6285255115894" TargetMode="External"/><Relationship Id="rId1555" Type="http://schemas.openxmlformats.org/officeDocument/2006/relationships/hyperlink" Target="https://wa.me/6281323291817" TargetMode="External"/><Relationship Id="rId1110" Type="http://schemas.openxmlformats.org/officeDocument/2006/relationships/hyperlink" Target="https://wa.me/6287758080333" TargetMode="External"/><Relationship Id="rId1208" Type="http://schemas.openxmlformats.org/officeDocument/2006/relationships/hyperlink" Target="https://wa.me/6281287627383" TargetMode="External"/><Relationship Id="rId1415" Type="http://schemas.openxmlformats.org/officeDocument/2006/relationships/hyperlink" Target="https://wa.me/6282265277099" TargetMode="External"/><Relationship Id="rId54" Type="http://schemas.openxmlformats.org/officeDocument/2006/relationships/hyperlink" Target="https://wa.me/6282255726295" TargetMode="External"/><Relationship Id="rId1622" Type="http://schemas.openxmlformats.org/officeDocument/2006/relationships/hyperlink" Target="https://wa.me/6281913223387" TargetMode="External"/><Relationship Id="rId270" Type="http://schemas.openxmlformats.org/officeDocument/2006/relationships/hyperlink" Target="https://wa.me/62859130962516" TargetMode="External"/><Relationship Id="rId130" Type="http://schemas.openxmlformats.org/officeDocument/2006/relationships/hyperlink" Target="https://wa.me/6281383434602" TargetMode="External"/><Relationship Id="rId368" Type="http://schemas.openxmlformats.org/officeDocument/2006/relationships/hyperlink" Target="https://wa.me/6281936030924" TargetMode="External"/><Relationship Id="rId575" Type="http://schemas.openxmlformats.org/officeDocument/2006/relationships/hyperlink" Target="https://wa.me/628114170888" TargetMode="External"/><Relationship Id="rId782" Type="http://schemas.openxmlformats.org/officeDocument/2006/relationships/hyperlink" Target="https://wa.me/6282217300224" TargetMode="External"/><Relationship Id="rId228" Type="http://schemas.openxmlformats.org/officeDocument/2006/relationships/hyperlink" Target="https://wa.me/62812279574" TargetMode="External"/><Relationship Id="rId435" Type="http://schemas.openxmlformats.org/officeDocument/2006/relationships/hyperlink" Target="https://wa.me/6281335728695" TargetMode="External"/><Relationship Id="rId642" Type="http://schemas.openxmlformats.org/officeDocument/2006/relationships/hyperlink" Target="https://wa.me/6281330410391" TargetMode="External"/><Relationship Id="rId1065" Type="http://schemas.openxmlformats.org/officeDocument/2006/relationships/hyperlink" Target="https://wa.me/6283140427590" TargetMode="External"/><Relationship Id="rId1272" Type="http://schemas.openxmlformats.org/officeDocument/2006/relationships/hyperlink" Target="https://wa.me/6281233038880" TargetMode="External"/><Relationship Id="rId502" Type="http://schemas.openxmlformats.org/officeDocument/2006/relationships/hyperlink" Target="https://wa.me/6281233038880" TargetMode="External"/><Relationship Id="rId947" Type="http://schemas.openxmlformats.org/officeDocument/2006/relationships/hyperlink" Target="https://wa.me/6282322433383" TargetMode="External"/><Relationship Id="rId1132" Type="http://schemas.openxmlformats.org/officeDocument/2006/relationships/hyperlink" Target="https://wa.me/6285849693521" TargetMode="External"/><Relationship Id="rId1577" Type="http://schemas.openxmlformats.org/officeDocument/2006/relationships/hyperlink" Target="https://wa.me/6281385926707" TargetMode="External"/><Relationship Id="rId76" Type="http://schemas.openxmlformats.org/officeDocument/2006/relationships/hyperlink" Target="https://wa.me/6282162580404" TargetMode="External"/><Relationship Id="rId807" Type="http://schemas.openxmlformats.org/officeDocument/2006/relationships/hyperlink" Target="https://wa.me/6285268858846" TargetMode="External"/><Relationship Id="rId1437" Type="http://schemas.openxmlformats.org/officeDocument/2006/relationships/hyperlink" Target="https://wa.me/6285850248298" TargetMode="External"/><Relationship Id="rId1644" Type="http://schemas.openxmlformats.org/officeDocument/2006/relationships/hyperlink" Target="https://wa.me/6282164558425" TargetMode="External"/><Relationship Id="rId1504" Type="http://schemas.openxmlformats.org/officeDocument/2006/relationships/hyperlink" Target="https://wa.me/6282160889408" TargetMode="External"/><Relationship Id="rId1711" Type="http://schemas.openxmlformats.org/officeDocument/2006/relationships/hyperlink" Target="https://wa.me/6281904501876" TargetMode="External"/><Relationship Id="rId292" Type="http://schemas.openxmlformats.org/officeDocument/2006/relationships/hyperlink" Target="https://wa.me/6282142833445" TargetMode="External"/><Relationship Id="rId597" Type="http://schemas.openxmlformats.org/officeDocument/2006/relationships/hyperlink" Target="https://wa.me/6285748377961" TargetMode="External"/><Relationship Id="rId152" Type="http://schemas.openxmlformats.org/officeDocument/2006/relationships/hyperlink" Target="https://wa.me/6281248936324" TargetMode="External"/><Relationship Id="rId457" Type="http://schemas.openxmlformats.org/officeDocument/2006/relationships/hyperlink" Target="https://wa.me/6282186829904" TargetMode="External"/><Relationship Id="rId1087" Type="http://schemas.openxmlformats.org/officeDocument/2006/relationships/hyperlink" Target="https://wa.me/6287835601400" TargetMode="External"/><Relationship Id="rId1294" Type="http://schemas.openxmlformats.org/officeDocument/2006/relationships/hyperlink" Target="https://wa.me/6282142550427" TargetMode="External"/><Relationship Id="rId664" Type="http://schemas.openxmlformats.org/officeDocument/2006/relationships/hyperlink" Target="https://wa.me/6281380503300" TargetMode="External"/><Relationship Id="rId871" Type="http://schemas.openxmlformats.org/officeDocument/2006/relationships/hyperlink" Target="https://wa.me/6281341637566" TargetMode="External"/><Relationship Id="rId969" Type="http://schemas.openxmlformats.org/officeDocument/2006/relationships/hyperlink" Target="https://wa.me/6285720705874" TargetMode="External"/><Relationship Id="rId1599" Type="http://schemas.openxmlformats.org/officeDocument/2006/relationships/hyperlink" Target="https://wa.me/6288983421843" TargetMode="External"/><Relationship Id="rId317" Type="http://schemas.openxmlformats.org/officeDocument/2006/relationships/hyperlink" Target="https://wa.me/6282339444339" TargetMode="External"/><Relationship Id="rId524" Type="http://schemas.openxmlformats.org/officeDocument/2006/relationships/hyperlink" Target="https://wa.me/6281363504410" TargetMode="External"/><Relationship Id="rId731" Type="http://schemas.openxmlformats.org/officeDocument/2006/relationships/hyperlink" Target="https://wa.me/6285748377961" TargetMode="External"/><Relationship Id="rId1154" Type="http://schemas.openxmlformats.org/officeDocument/2006/relationships/hyperlink" Target="https://wa.me/6285748377961" TargetMode="External"/><Relationship Id="rId1361" Type="http://schemas.openxmlformats.org/officeDocument/2006/relationships/hyperlink" Target="https://wa.me/6281445321599" TargetMode="External"/><Relationship Id="rId1459" Type="http://schemas.openxmlformats.org/officeDocument/2006/relationships/hyperlink" Target="https://wa.me/6281904501876" TargetMode="External"/><Relationship Id="rId98" Type="http://schemas.openxmlformats.org/officeDocument/2006/relationships/hyperlink" Target="https://wa.me/6287877805175" TargetMode="External"/><Relationship Id="rId829" Type="http://schemas.openxmlformats.org/officeDocument/2006/relationships/hyperlink" Target="https://wa.me/6285353523822" TargetMode="External"/><Relationship Id="rId1014" Type="http://schemas.openxmlformats.org/officeDocument/2006/relationships/hyperlink" Target="https://wa.me/6287865111033" TargetMode="External"/><Relationship Id="rId1221" Type="http://schemas.openxmlformats.org/officeDocument/2006/relationships/hyperlink" Target="https://wa.me/6287778585820" TargetMode="External"/><Relationship Id="rId1666" Type="http://schemas.openxmlformats.org/officeDocument/2006/relationships/hyperlink" Target="https://wa.me/6287762765927" TargetMode="External"/><Relationship Id="rId1319" Type="http://schemas.openxmlformats.org/officeDocument/2006/relationships/hyperlink" Target="https://wa.me/628114170888" TargetMode="External"/><Relationship Id="rId1526" Type="http://schemas.openxmlformats.org/officeDocument/2006/relationships/hyperlink" Target="https://wa.me/6281398408303" TargetMode="External"/><Relationship Id="rId1733" Type="http://schemas.openxmlformats.org/officeDocument/2006/relationships/hyperlink" Target="https://wa.me/628562943274" TargetMode="External"/><Relationship Id="rId25" Type="http://schemas.openxmlformats.org/officeDocument/2006/relationships/hyperlink" Target="https://wa.me/6285362101860" TargetMode="External"/><Relationship Id="rId174" Type="http://schemas.openxmlformats.org/officeDocument/2006/relationships/hyperlink" Target="https://wa.me/6281282183261" TargetMode="External"/><Relationship Id="rId381" Type="http://schemas.openxmlformats.org/officeDocument/2006/relationships/hyperlink" Target="https://wa.me/6281999375257" TargetMode="External"/><Relationship Id="rId241" Type="http://schemas.openxmlformats.org/officeDocument/2006/relationships/hyperlink" Target="https://wa.me/62895800343940" TargetMode="External"/><Relationship Id="rId479" Type="http://schemas.openxmlformats.org/officeDocument/2006/relationships/hyperlink" Target="https://wa.me/6282154233977" TargetMode="External"/><Relationship Id="rId686" Type="http://schemas.openxmlformats.org/officeDocument/2006/relationships/hyperlink" Target="https://wa.me/6287842913251" TargetMode="External"/><Relationship Id="rId893" Type="http://schemas.openxmlformats.org/officeDocument/2006/relationships/hyperlink" Target="https://wa.me/6285169730762" TargetMode="External"/><Relationship Id="rId339" Type="http://schemas.openxmlformats.org/officeDocument/2006/relationships/hyperlink" Target="https://wa.me/62882001677470" TargetMode="External"/><Relationship Id="rId546" Type="http://schemas.openxmlformats.org/officeDocument/2006/relationships/hyperlink" Target="https://wa.me/6285338373761" TargetMode="External"/><Relationship Id="rId753" Type="http://schemas.openxmlformats.org/officeDocument/2006/relationships/hyperlink" Target="https://wa.me/6287863509004" TargetMode="External"/><Relationship Id="rId1176" Type="http://schemas.openxmlformats.org/officeDocument/2006/relationships/hyperlink" Target="https://wa.me/62818833829" TargetMode="External"/><Relationship Id="rId1383" Type="http://schemas.openxmlformats.org/officeDocument/2006/relationships/hyperlink" Target="https://wa.me/6281524365621" TargetMode="External"/><Relationship Id="rId101" Type="http://schemas.openxmlformats.org/officeDocument/2006/relationships/hyperlink" Target="https://wa.me/6281393958199" TargetMode="External"/><Relationship Id="rId406" Type="http://schemas.openxmlformats.org/officeDocument/2006/relationships/hyperlink" Target="https://wa.me/6289607006888" TargetMode="External"/><Relationship Id="rId960" Type="http://schemas.openxmlformats.org/officeDocument/2006/relationships/hyperlink" Target="https://wa.me/6287838501890" TargetMode="External"/><Relationship Id="rId1036" Type="http://schemas.openxmlformats.org/officeDocument/2006/relationships/hyperlink" Target="https://wa.me/6285891693677" TargetMode="External"/><Relationship Id="rId1243" Type="http://schemas.openxmlformats.org/officeDocument/2006/relationships/hyperlink" Target="https://wa.me/6285727826488" TargetMode="External"/><Relationship Id="rId1590" Type="http://schemas.openxmlformats.org/officeDocument/2006/relationships/hyperlink" Target="https://wa.me/6281213766426" TargetMode="External"/><Relationship Id="rId1688" Type="http://schemas.openxmlformats.org/officeDocument/2006/relationships/hyperlink" Target="https://wa.me/6281337541776" TargetMode="External"/><Relationship Id="rId613" Type="http://schemas.openxmlformats.org/officeDocument/2006/relationships/hyperlink" Target="https://wa.me/62882001677470" TargetMode="External"/><Relationship Id="rId820" Type="http://schemas.openxmlformats.org/officeDocument/2006/relationships/hyperlink" Target="https://wa.me/6282338171577" TargetMode="External"/><Relationship Id="rId918" Type="http://schemas.openxmlformats.org/officeDocument/2006/relationships/hyperlink" Target="https://wa.me/6289508681093" TargetMode="External"/><Relationship Id="rId1450" Type="http://schemas.openxmlformats.org/officeDocument/2006/relationships/hyperlink" Target="https://wa.me/6282325548836" TargetMode="External"/><Relationship Id="rId1548" Type="http://schemas.openxmlformats.org/officeDocument/2006/relationships/hyperlink" Target="https://wa.me/6285385070717" TargetMode="External"/><Relationship Id="rId1103" Type="http://schemas.openxmlformats.org/officeDocument/2006/relationships/hyperlink" Target="https://wa.me/6281917803566" TargetMode="External"/><Relationship Id="rId1310" Type="http://schemas.openxmlformats.org/officeDocument/2006/relationships/hyperlink" Target="https://wa.me/62882008728060" TargetMode="External"/><Relationship Id="rId1408" Type="http://schemas.openxmlformats.org/officeDocument/2006/relationships/hyperlink" Target="https://wa.me/6287852936679" TargetMode="External"/><Relationship Id="rId47" Type="http://schemas.openxmlformats.org/officeDocument/2006/relationships/hyperlink" Target="https://wa.me/6281222110766" TargetMode="External"/><Relationship Id="rId1615" Type="http://schemas.openxmlformats.org/officeDocument/2006/relationships/hyperlink" Target="https://wa.me/6282121160054" TargetMode="External"/><Relationship Id="rId196" Type="http://schemas.openxmlformats.org/officeDocument/2006/relationships/hyperlink" Target="https://wa.me/6282188390340" TargetMode="External"/><Relationship Id="rId263" Type="http://schemas.openxmlformats.org/officeDocument/2006/relationships/hyperlink" Target="https://wa.me/6281212295448" TargetMode="External"/><Relationship Id="rId470" Type="http://schemas.openxmlformats.org/officeDocument/2006/relationships/hyperlink" Target="https://wa.me/6281779578317" TargetMode="External"/><Relationship Id="rId123" Type="http://schemas.openxmlformats.org/officeDocument/2006/relationships/hyperlink" Target="https://wa.me/6285358461095" TargetMode="External"/><Relationship Id="rId330" Type="http://schemas.openxmlformats.org/officeDocument/2006/relationships/hyperlink" Target="https://wa.me/6281217985917" TargetMode="External"/><Relationship Id="rId568" Type="http://schemas.openxmlformats.org/officeDocument/2006/relationships/hyperlink" Target="https://wa.me/6285328883803" TargetMode="External"/><Relationship Id="rId775" Type="http://schemas.openxmlformats.org/officeDocument/2006/relationships/hyperlink" Target="https://wa.me/6285600822636" TargetMode="External"/><Relationship Id="rId982" Type="http://schemas.openxmlformats.org/officeDocument/2006/relationships/hyperlink" Target="https://wa.me/6283185169816" TargetMode="External"/><Relationship Id="rId1198" Type="http://schemas.openxmlformats.org/officeDocument/2006/relationships/hyperlink" Target="https://wa.me/6281932016179" TargetMode="External"/><Relationship Id="rId428" Type="http://schemas.openxmlformats.org/officeDocument/2006/relationships/hyperlink" Target="https://wa.me/6285657238556" TargetMode="External"/><Relationship Id="rId635" Type="http://schemas.openxmlformats.org/officeDocument/2006/relationships/hyperlink" Target="https://wa.me/6282164564557" TargetMode="External"/><Relationship Id="rId842" Type="http://schemas.openxmlformats.org/officeDocument/2006/relationships/hyperlink" Target="https://wa.me/6285341061917" TargetMode="External"/><Relationship Id="rId1058" Type="http://schemas.openxmlformats.org/officeDocument/2006/relationships/hyperlink" Target="https://wa.me/6281223735839" TargetMode="External"/><Relationship Id="rId1265" Type="http://schemas.openxmlformats.org/officeDocument/2006/relationships/hyperlink" Target="https://wa.me/628562571037" TargetMode="External"/><Relationship Id="rId1472" Type="http://schemas.openxmlformats.org/officeDocument/2006/relationships/hyperlink" Target="https://wa.me/6289529314651" TargetMode="External"/><Relationship Id="rId702" Type="http://schemas.openxmlformats.org/officeDocument/2006/relationships/hyperlink" Target="https://wa.me/6287821734079" TargetMode="External"/><Relationship Id="rId1125" Type="http://schemas.openxmlformats.org/officeDocument/2006/relationships/hyperlink" Target="https://wa.me/6287865111033" TargetMode="External"/><Relationship Id="rId1332" Type="http://schemas.openxmlformats.org/officeDocument/2006/relationships/hyperlink" Target="https://wa.me/628990666173" TargetMode="External"/><Relationship Id="rId69" Type="http://schemas.openxmlformats.org/officeDocument/2006/relationships/hyperlink" Target="https://wa.me/6282399006447" TargetMode="External"/><Relationship Id="rId1637" Type="http://schemas.openxmlformats.org/officeDocument/2006/relationships/hyperlink" Target="https://wa.me/6282313901699" TargetMode="External"/><Relationship Id="rId1704" Type="http://schemas.openxmlformats.org/officeDocument/2006/relationships/hyperlink" Target="https://wa.me/6282159686991" TargetMode="External"/><Relationship Id="rId285" Type="http://schemas.openxmlformats.org/officeDocument/2006/relationships/hyperlink" Target="https://wa.me/6285889229948" TargetMode="External"/><Relationship Id="rId492" Type="http://schemas.openxmlformats.org/officeDocument/2006/relationships/hyperlink" Target="https://wa.me/6288802749485" TargetMode="External"/><Relationship Id="rId797" Type="http://schemas.openxmlformats.org/officeDocument/2006/relationships/hyperlink" Target="https://wa.me/6281262080126" TargetMode="External"/><Relationship Id="rId145" Type="http://schemas.openxmlformats.org/officeDocument/2006/relationships/hyperlink" Target="https://wa.me/6282365004117" TargetMode="External"/><Relationship Id="rId352" Type="http://schemas.openxmlformats.org/officeDocument/2006/relationships/hyperlink" Target="https://wa.me/6281932590871" TargetMode="External"/><Relationship Id="rId1287" Type="http://schemas.openxmlformats.org/officeDocument/2006/relationships/hyperlink" Target="https://wa.me/6287782059170" TargetMode="External"/><Relationship Id="rId212" Type="http://schemas.openxmlformats.org/officeDocument/2006/relationships/hyperlink" Target="https://wa.me/6281290414113" TargetMode="External"/><Relationship Id="rId657" Type="http://schemas.openxmlformats.org/officeDocument/2006/relationships/hyperlink" Target="https://wa.me/628195131666" TargetMode="External"/><Relationship Id="rId864" Type="http://schemas.openxmlformats.org/officeDocument/2006/relationships/hyperlink" Target="https://wa.me/6283890485112" TargetMode="External"/><Relationship Id="rId1494" Type="http://schemas.openxmlformats.org/officeDocument/2006/relationships/hyperlink" Target="https://wa.me/6285750574301" TargetMode="External"/><Relationship Id="rId517" Type="http://schemas.openxmlformats.org/officeDocument/2006/relationships/hyperlink" Target="https://wa.me/6285767074516" TargetMode="External"/><Relationship Id="rId724" Type="http://schemas.openxmlformats.org/officeDocument/2006/relationships/hyperlink" Target="https://wa.me/628970060010" TargetMode="External"/><Relationship Id="rId931" Type="http://schemas.openxmlformats.org/officeDocument/2006/relationships/hyperlink" Target="https://wa.me/6285136983356" TargetMode="External"/><Relationship Id="rId1147" Type="http://schemas.openxmlformats.org/officeDocument/2006/relationships/hyperlink" Target="https://wa.me/6285280985750" TargetMode="External"/><Relationship Id="rId1354" Type="http://schemas.openxmlformats.org/officeDocument/2006/relationships/hyperlink" Target="https://wa.me/6281235675956" TargetMode="External"/><Relationship Id="rId1561" Type="http://schemas.openxmlformats.org/officeDocument/2006/relationships/hyperlink" Target="https://wa.me/6281222666815" TargetMode="External"/><Relationship Id="rId60" Type="http://schemas.openxmlformats.org/officeDocument/2006/relationships/hyperlink" Target="https://wa.me/6281519225886" TargetMode="External"/><Relationship Id="rId1007" Type="http://schemas.openxmlformats.org/officeDocument/2006/relationships/hyperlink" Target="https://wa.me/6282381329891" TargetMode="External"/><Relationship Id="rId1214" Type="http://schemas.openxmlformats.org/officeDocument/2006/relationships/hyperlink" Target="https://wa.me/6285869301245" TargetMode="External"/><Relationship Id="rId1421" Type="http://schemas.openxmlformats.org/officeDocument/2006/relationships/hyperlink" Target="https://wa.me/6281310674130" TargetMode="External"/><Relationship Id="rId1659" Type="http://schemas.openxmlformats.org/officeDocument/2006/relationships/hyperlink" Target="https://wa.me/6285954786519" TargetMode="External"/><Relationship Id="rId1519" Type="http://schemas.openxmlformats.org/officeDocument/2006/relationships/hyperlink" Target="https://wa.me/6281288965454" TargetMode="External"/><Relationship Id="rId1726" Type="http://schemas.openxmlformats.org/officeDocument/2006/relationships/hyperlink" Target="https://wa.me/6289648416177" TargetMode="External"/><Relationship Id="rId18" Type="http://schemas.openxmlformats.org/officeDocument/2006/relationships/hyperlink" Target="https://wa.me/6285355435848" TargetMode="External"/><Relationship Id="rId167" Type="http://schemas.openxmlformats.org/officeDocument/2006/relationships/hyperlink" Target="https://wa.me/6281393958199" TargetMode="External"/><Relationship Id="rId374" Type="http://schemas.openxmlformats.org/officeDocument/2006/relationships/hyperlink" Target="https://wa.me/62895329361572" TargetMode="External"/><Relationship Id="rId581" Type="http://schemas.openxmlformats.org/officeDocument/2006/relationships/hyperlink" Target="https://wa.me/62895321637812" TargetMode="External"/><Relationship Id="rId234" Type="http://schemas.openxmlformats.org/officeDocument/2006/relationships/hyperlink" Target="https://wa.me/6283162052952" TargetMode="External"/><Relationship Id="rId679" Type="http://schemas.openxmlformats.org/officeDocument/2006/relationships/hyperlink" Target="https://wa.me/6281210801646" TargetMode="External"/><Relationship Id="rId886" Type="http://schemas.openxmlformats.org/officeDocument/2006/relationships/hyperlink" Target="https://wa.me/6283149477297" TargetMode="External"/><Relationship Id="rId2" Type="http://schemas.openxmlformats.org/officeDocument/2006/relationships/hyperlink" Target="https://wa.me/628872305953" TargetMode="External"/><Relationship Id="rId441" Type="http://schemas.openxmlformats.org/officeDocument/2006/relationships/hyperlink" Target="https://wa.me/6281347245985" TargetMode="External"/><Relationship Id="rId539" Type="http://schemas.openxmlformats.org/officeDocument/2006/relationships/hyperlink" Target="https://wa.me/6285715856120" TargetMode="External"/><Relationship Id="rId746" Type="http://schemas.openxmlformats.org/officeDocument/2006/relationships/hyperlink" Target="https://wa.me/6282393168368" TargetMode="External"/><Relationship Id="rId1071" Type="http://schemas.openxmlformats.org/officeDocument/2006/relationships/hyperlink" Target="https://wa.me/62895405794474" TargetMode="External"/><Relationship Id="rId1169" Type="http://schemas.openxmlformats.org/officeDocument/2006/relationships/hyperlink" Target="https://wa.me/6281338789995" TargetMode="External"/><Relationship Id="rId1376" Type="http://schemas.openxmlformats.org/officeDocument/2006/relationships/hyperlink" Target="https://wa.me/6282288320550" TargetMode="External"/><Relationship Id="rId1583" Type="http://schemas.openxmlformats.org/officeDocument/2006/relationships/hyperlink" Target="https://wa.me/6285746861553" TargetMode="External"/><Relationship Id="rId301" Type="http://schemas.openxmlformats.org/officeDocument/2006/relationships/hyperlink" Target="https://wa.me/62895374644456" TargetMode="External"/><Relationship Id="rId953" Type="http://schemas.openxmlformats.org/officeDocument/2006/relationships/hyperlink" Target="https://wa.me/6285893658659" TargetMode="External"/><Relationship Id="rId1029" Type="http://schemas.openxmlformats.org/officeDocument/2006/relationships/hyperlink" Target="https://wa.me/6282224215385" TargetMode="External"/><Relationship Id="rId1236" Type="http://schemas.openxmlformats.org/officeDocument/2006/relationships/hyperlink" Target="https://wa.me/62881026498889" TargetMode="External"/><Relationship Id="rId82" Type="http://schemas.openxmlformats.org/officeDocument/2006/relationships/hyperlink" Target="https://wa.me/6285274759862" TargetMode="External"/><Relationship Id="rId606" Type="http://schemas.openxmlformats.org/officeDocument/2006/relationships/hyperlink" Target="https://wa.me/6285376667233" TargetMode="External"/><Relationship Id="rId813" Type="http://schemas.openxmlformats.org/officeDocument/2006/relationships/hyperlink" Target="https://wa.me/628562882464" TargetMode="External"/><Relationship Id="rId1443" Type="http://schemas.openxmlformats.org/officeDocument/2006/relationships/hyperlink" Target="https://wa.me/6289672274848" TargetMode="External"/><Relationship Id="rId1650" Type="http://schemas.openxmlformats.org/officeDocument/2006/relationships/hyperlink" Target="https://wa.me/6285602235618" TargetMode="External"/><Relationship Id="rId1303" Type="http://schemas.openxmlformats.org/officeDocument/2006/relationships/hyperlink" Target="https://wa.me/6285334003008" TargetMode="External"/><Relationship Id="rId1510" Type="http://schemas.openxmlformats.org/officeDocument/2006/relationships/hyperlink" Target="https://wa.me/6282315459098" TargetMode="External"/><Relationship Id="rId1608" Type="http://schemas.openxmlformats.org/officeDocument/2006/relationships/hyperlink" Target="https://wa.me/6285824373432" TargetMode="External"/><Relationship Id="rId189" Type="http://schemas.openxmlformats.org/officeDocument/2006/relationships/hyperlink" Target="https://wa.me/6282131666003" TargetMode="External"/><Relationship Id="rId396" Type="http://schemas.openxmlformats.org/officeDocument/2006/relationships/hyperlink" Target="https://wa.me/6285186697099" TargetMode="External"/><Relationship Id="rId256" Type="http://schemas.openxmlformats.org/officeDocument/2006/relationships/hyperlink" Target="http://primagriya.com/" TargetMode="External"/><Relationship Id="rId463" Type="http://schemas.openxmlformats.org/officeDocument/2006/relationships/hyperlink" Target="https://wa.me/628123264621" TargetMode="External"/><Relationship Id="rId670" Type="http://schemas.openxmlformats.org/officeDocument/2006/relationships/hyperlink" Target="https://wa.me/6285255115894" TargetMode="External"/><Relationship Id="rId1093" Type="http://schemas.openxmlformats.org/officeDocument/2006/relationships/hyperlink" Target="https://wa.me/6287782749624" TargetMode="External"/><Relationship Id="rId116" Type="http://schemas.openxmlformats.org/officeDocument/2006/relationships/hyperlink" Target="https://wa.me/6285775986977" TargetMode="External"/><Relationship Id="rId323" Type="http://schemas.openxmlformats.org/officeDocument/2006/relationships/hyperlink" Target="https://wa.me/6281412281953" TargetMode="External"/><Relationship Id="rId530" Type="http://schemas.openxmlformats.org/officeDocument/2006/relationships/hyperlink" Target="https://wa.me/6281394618785" TargetMode="External"/><Relationship Id="rId768" Type="http://schemas.openxmlformats.org/officeDocument/2006/relationships/hyperlink" Target="https://wa.me/6281381118500" TargetMode="External"/><Relationship Id="rId975" Type="http://schemas.openxmlformats.org/officeDocument/2006/relationships/hyperlink" Target="https://wa.me/6285806682200" TargetMode="External"/><Relationship Id="rId1160" Type="http://schemas.openxmlformats.org/officeDocument/2006/relationships/hyperlink" Target="https://wa.me/6281385001244" TargetMode="External"/><Relationship Id="rId1398" Type="http://schemas.openxmlformats.org/officeDocument/2006/relationships/hyperlink" Target="https://wa.me/6282134406672" TargetMode="External"/><Relationship Id="rId628" Type="http://schemas.openxmlformats.org/officeDocument/2006/relationships/hyperlink" Target="https://wa.me/6282390759437" TargetMode="External"/><Relationship Id="rId835" Type="http://schemas.openxmlformats.org/officeDocument/2006/relationships/hyperlink" Target="https://wa.me/6285893658659" TargetMode="External"/><Relationship Id="rId1258" Type="http://schemas.openxmlformats.org/officeDocument/2006/relationships/hyperlink" Target="https://wa.me/6285237233077" TargetMode="External"/><Relationship Id="rId1465" Type="http://schemas.openxmlformats.org/officeDocument/2006/relationships/hyperlink" Target="https://wa.me/6281915553329" TargetMode="External"/><Relationship Id="rId1672" Type="http://schemas.openxmlformats.org/officeDocument/2006/relationships/hyperlink" Target="https://wa.me/628117108802" TargetMode="External"/><Relationship Id="rId1020" Type="http://schemas.openxmlformats.org/officeDocument/2006/relationships/hyperlink" Target="https://wa.me/6281575323811" TargetMode="External"/><Relationship Id="rId1118" Type="http://schemas.openxmlformats.org/officeDocument/2006/relationships/hyperlink" Target="https://wa.me/6281460966685" TargetMode="External"/><Relationship Id="rId1325" Type="http://schemas.openxmlformats.org/officeDocument/2006/relationships/hyperlink" Target="https://wa.me/6283188945188" TargetMode="External"/><Relationship Id="rId1532" Type="http://schemas.openxmlformats.org/officeDocument/2006/relationships/hyperlink" Target="https://wa.me/6281325742288" TargetMode="External"/><Relationship Id="rId902" Type="http://schemas.openxmlformats.org/officeDocument/2006/relationships/hyperlink" Target="https://wa.me/6282111518881" TargetMode="External"/><Relationship Id="rId31" Type="http://schemas.openxmlformats.org/officeDocument/2006/relationships/hyperlink" Target="https://wa.me/6282288123215" TargetMode="External"/><Relationship Id="rId180" Type="http://schemas.openxmlformats.org/officeDocument/2006/relationships/hyperlink" Target="https://wa.me/6285169568997" TargetMode="External"/><Relationship Id="rId278" Type="http://schemas.openxmlformats.org/officeDocument/2006/relationships/hyperlink" Target="https://wa.me/6281335728695" TargetMode="External"/><Relationship Id="rId485" Type="http://schemas.openxmlformats.org/officeDocument/2006/relationships/hyperlink" Target="https://wa.me/6282249348536" TargetMode="External"/><Relationship Id="rId692" Type="http://schemas.openxmlformats.org/officeDocument/2006/relationships/hyperlink" Target="https://wa.me/6288802749485" TargetMode="External"/><Relationship Id="rId138" Type="http://schemas.openxmlformats.org/officeDocument/2006/relationships/hyperlink" Target="https://wa.me/6282325874670" TargetMode="External"/><Relationship Id="rId345" Type="http://schemas.openxmlformats.org/officeDocument/2006/relationships/hyperlink" Target="https://wa.me/6281269441611" TargetMode="External"/><Relationship Id="rId552" Type="http://schemas.openxmlformats.org/officeDocument/2006/relationships/hyperlink" Target="https://wa.me/6285333751528" TargetMode="External"/><Relationship Id="rId997" Type="http://schemas.openxmlformats.org/officeDocument/2006/relationships/hyperlink" Target="https://wa.me/6281244854040" TargetMode="External"/><Relationship Id="rId1182" Type="http://schemas.openxmlformats.org/officeDocument/2006/relationships/hyperlink" Target="https://wa.me/6285893658659" TargetMode="External"/><Relationship Id="rId205" Type="http://schemas.openxmlformats.org/officeDocument/2006/relationships/hyperlink" Target="https://wa.me/6285647189964" TargetMode="External"/><Relationship Id="rId412" Type="http://schemas.openxmlformats.org/officeDocument/2006/relationships/hyperlink" Target="https://wa.me/62811693222" TargetMode="External"/><Relationship Id="rId857" Type="http://schemas.openxmlformats.org/officeDocument/2006/relationships/hyperlink" Target="https://wa.me/6287871214170" TargetMode="External"/><Relationship Id="rId1042" Type="http://schemas.openxmlformats.org/officeDocument/2006/relationships/hyperlink" Target="https://wa.me/6285811687779" TargetMode="External"/><Relationship Id="rId1487" Type="http://schemas.openxmlformats.org/officeDocument/2006/relationships/hyperlink" Target="https://wa.me/6281390669379" TargetMode="External"/><Relationship Id="rId1694" Type="http://schemas.openxmlformats.org/officeDocument/2006/relationships/hyperlink" Target="https://wa.me/6285600287735" TargetMode="External"/><Relationship Id="rId717" Type="http://schemas.openxmlformats.org/officeDocument/2006/relationships/hyperlink" Target="https://wa.me/6281316807185" TargetMode="External"/><Relationship Id="rId924" Type="http://schemas.openxmlformats.org/officeDocument/2006/relationships/hyperlink" Target="https://wa.me/6281338383022" TargetMode="External"/><Relationship Id="rId1347" Type="http://schemas.openxmlformats.org/officeDocument/2006/relationships/hyperlink" Target="https://wa.me/6281369013633" TargetMode="External"/><Relationship Id="rId1554" Type="http://schemas.openxmlformats.org/officeDocument/2006/relationships/hyperlink" Target="https://wa.me/6287838914455" TargetMode="External"/><Relationship Id="rId53" Type="http://schemas.openxmlformats.org/officeDocument/2006/relationships/hyperlink" Target="https://wa.me/6281278788088" TargetMode="External"/><Relationship Id="rId1207" Type="http://schemas.openxmlformats.org/officeDocument/2006/relationships/hyperlink" Target="https://wa.me/6287790276733" TargetMode="External"/><Relationship Id="rId1414" Type="http://schemas.openxmlformats.org/officeDocument/2006/relationships/hyperlink" Target="https://wa.me/6282393168368" TargetMode="External"/><Relationship Id="rId1621" Type="http://schemas.openxmlformats.org/officeDocument/2006/relationships/hyperlink" Target="https://wa.me/62887435792882" TargetMode="External"/><Relationship Id="rId1719" Type="http://schemas.openxmlformats.org/officeDocument/2006/relationships/hyperlink" Target="https://wa.me/6287873636555" TargetMode="External"/><Relationship Id="rId367" Type="http://schemas.openxmlformats.org/officeDocument/2006/relationships/hyperlink" Target="https://wa.me/6285789446955" TargetMode="External"/><Relationship Id="rId574" Type="http://schemas.openxmlformats.org/officeDocument/2006/relationships/hyperlink" Target="https://wa.me/6281393958199" TargetMode="External"/><Relationship Id="rId227" Type="http://schemas.openxmlformats.org/officeDocument/2006/relationships/hyperlink" Target="https://wa.me/6281241440688" TargetMode="External"/><Relationship Id="rId781" Type="http://schemas.openxmlformats.org/officeDocument/2006/relationships/hyperlink" Target="https://wa.me/6287782749624" TargetMode="External"/><Relationship Id="rId879" Type="http://schemas.openxmlformats.org/officeDocument/2006/relationships/hyperlink" Target="https://wa.me/6287722264777" TargetMode="External"/><Relationship Id="rId434" Type="http://schemas.openxmlformats.org/officeDocument/2006/relationships/hyperlink" Target="https://wa.me/6285373309275" TargetMode="External"/><Relationship Id="rId641" Type="http://schemas.openxmlformats.org/officeDocument/2006/relationships/hyperlink" Target="https://wa.me/6285780314346" TargetMode="External"/><Relationship Id="rId739" Type="http://schemas.openxmlformats.org/officeDocument/2006/relationships/hyperlink" Target="https://wa.me/6281231382365" TargetMode="External"/><Relationship Id="rId1064" Type="http://schemas.openxmlformats.org/officeDocument/2006/relationships/hyperlink" Target="https://wa.me/6281112009646" TargetMode="External"/><Relationship Id="rId1271" Type="http://schemas.openxmlformats.org/officeDocument/2006/relationships/hyperlink" Target="https://wa.me/6282266256678" TargetMode="External"/><Relationship Id="rId1369" Type="http://schemas.openxmlformats.org/officeDocument/2006/relationships/hyperlink" Target="https://wa.me/6289504615501" TargetMode="External"/><Relationship Id="rId1576" Type="http://schemas.openxmlformats.org/officeDocument/2006/relationships/hyperlink" Target="https://wa.me/6281357754513" TargetMode="External"/><Relationship Id="rId501" Type="http://schemas.openxmlformats.org/officeDocument/2006/relationships/hyperlink" Target="https://wa.me/6281226950679" TargetMode="External"/><Relationship Id="rId946" Type="http://schemas.openxmlformats.org/officeDocument/2006/relationships/hyperlink" Target="https://wa.me/6285278894266" TargetMode="External"/><Relationship Id="rId1131" Type="http://schemas.openxmlformats.org/officeDocument/2006/relationships/hyperlink" Target="https://wa.me/6283188945188" TargetMode="External"/><Relationship Id="rId1229" Type="http://schemas.openxmlformats.org/officeDocument/2006/relationships/hyperlink" Target="https://wa.me/62817260911" TargetMode="External"/><Relationship Id="rId75" Type="http://schemas.openxmlformats.org/officeDocument/2006/relationships/hyperlink" Target="https://wa.me/6288215445661" TargetMode="External"/><Relationship Id="rId806" Type="http://schemas.openxmlformats.org/officeDocument/2006/relationships/hyperlink" Target="https://wa.me/6282129364133" TargetMode="External"/><Relationship Id="rId1436" Type="http://schemas.openxmlformats.org/officeDocument/2006/relationships/hyperlink" Target="https://wa.me/6282261110051" TargetMode="External"/><Relationship Id="rId1643" Type="http://schemas.openxmlformats.org/officeDocument/2006/relationships/hyperlink" Target="https://wa.me/6281228409107" TargetMode="External"/><Relationship Id="rId1503" Type="http://schemas.openxmlformats.org/officeDocument/2006/relationships/hyperlink" Target="https://wa.me/6281316122975" TargetMode="External"/><Relationship Id="rId1710" Type="http://schemas.openxmlformats.org/officeDocument/2006/relationships/hyperlink" Target="https://wa.me/6287861389777" TargetMode="External"/><Relationship Id="rId291" Type="http://schemas.openxmlformats.org/officeDocument/2006/relationships/hyperlink" Target="https://wa.me/6285811444456" TargetMode="External"/><Relationship Id="rId151" Type="http://schemas.openxmlformats.org/officeDocument/2006/relationships/hyperlink" Target="https://wa.me/6281649155643" TargetMode="External"/><Relationship Id="rId389" Type="http://schemas.openxmlformats.org/officeDocument/2006/relationships/hyperlink" Target="https://wa.me/6285268858846" TargetMode="External"/><Relationship Id="rId596" Type="http://schemas.openxmlformats.org/officeDocument/2006/relationships/hyperlink" Target="https://wa.me/6287886480138" TargetMode="External"/><Relationship Id="rId249" Type="http://schemas.openxmlformats.org/officeDocument/2006/relationships/hyperlink" Target="https://wa.me/6287754552859" TargetMode="External"/><Relationship Id="rId456" Type="http://schemas.openxmlformats.org/officeDocument/2006/relationships/hyperlink" Target="https://wa.me/6285207285812" TargetMode="External"/><Relationship Id="rId663" Type="http://schemas.openxmlformats.org/officeDocument/2006/relationships/hyperlink" Target="https://wa.me/6289514176661" TargetMode="External"/><Relationship Id="rId870" Type="http://schemas.openxmlformats.org/officeDocument/2006/relationships/hyperlink" Target="https://wa.me/62895420142524" TargetMode="External"/><Relationship Id="rId1086" Type="http://schemas.openxmlformats.org/officeDocument/2006/relationships/hyperlink" Target="https://wa.me/6282310465999" TargetMode="External"/><Relationship Id="rId1293" Type="http://schemas.openxmlformats.org/officeDocument/2006/relationships/hyperlink" Target="https://wa.me/628116612224" TargetMode="External"/><Relationship Id="rId109" Type="http://schemas.openxmlformats.org/officeDocument/2006/relationships/hyperlink" Target="https://wa.me/6281215851833" TargetMode="External"/><Relationship Id="rId316" Type="http://schemas.openxmlformats.org/officeDocument/2006/relationships/hyperlink" Target="https://wa.me/6281284410725" TargetMode="External"/><Relationship Id="rId523" Type="http://schemas.openxmlformats.org/officeDocument/2006/relationships/hyperlink" Target="https://wa.me/6287864812126" TargetMode="External"/><Relationship Id="rId968" Type="http://schemas.openxmlformats.org/officeDocument/2006/relationships/hyperlink" Target="https://wa.me/6287761318839" TargetMode="External"/><Relationship Id="rId1153" Type="http://schemas.openxmlformats.org/officeDocument/2006/relationships/hyperlink" Target="https://wa.me/6281310674130" TargetMode="External"/><Relationship Id="rId1598" Type="http://schemas.openxmlformats.org/officeDocument/2006/relationships/hyperlink" Target="https://wa.me/6282391199993" TargetMode="External"/><Relationship Id="rId97" Type="http://schemas.openxmlformats.org/officeDocument/2006/relationships/hyperlink" Target="https://wa.me/6282224315700" TargetMode="External"/><Relationship Id="rId730" Type="http://schemas.openxmlformats.org/officeDocument/2006/relationships/hyperlink" Target="https://wa.me/6289508681093" TargetMode="External"/><Relationship Id="rId828" Type="http://schemas.openxmlformats.org/officeDocument/2006/relationships/hyperlink" Target="https://wa.me/6283117425214" TargetMode="External"/><Relationship Id="rId1013" Type="http://schemas.openxmlformats.org/officeDocument/2006/relationships/hyperlink" Target="https://wa.me/6282110222282" TargetMode="External"/><Relationship Id="rId1360" Type="http://schemas.openxmlformats.org/officeDocument/2006/relationships/hyperlink" Target="https://wa.me/6285338813949" TargetMode="External"/><Relationship Id="rId1458" Type="http://schemas.openxmlformats.org/officeDocument/2006/relationships/hyperlink" Target="https://wa.me/6282172291579" TargetMode="External"/><Relationship Id="rId1665" Type="http://schemas.openxmlformats.org/officeDocument/2006/relationships/hyperlink" Target="https://wa.me/6282333302435" TargetMode="External"/><Relationship Id="rId1220" Type="http://schemas.openxmlformats.org/officeDocument/2006/relationships/hyperlink" Target="https://wa.me/6285280985750" TargetMode="External"/><Relationship Id="rId1318" Type="http://schemas.openxmlformats.org/officeDocument/2006/relationships/hyperlink" Target="https://wa.me/628114170888" TargetMode="External"/><Relationship Id="rId1525" Type="http://schemas.openxmlformats.org/officeDocument/2006/relationships/hyperlink" Target="https://wa.me/628156563072" TargetMode="External"/><Relationship Id="rId1732" Type="http://schemas.openxmlformats.org/officeDocument/2006/relationships/hyperlink" Target="https://wa.me/6287782749624" TargetMode="External"/><Relationship Id="rId24" Type="http://schemas.openxmlformats.org/officeDocument/2006/relationships/hyperlink" Target="https://wa.me/6281399998259" TargetMode="External"/><Relationship Id="rId173" Type="http://schemas.openxmlformats.org/officeDocument/2006/relationships/hyperlink" Target="https://wa.me/6281366622333" TargetMode="External"/><Relationship Id="rId380" Type="http://schemas.openxmlformats.org/officeDocument/2006/relationships/hyperlink" Target="https://wa.me/6285869122507" TargetMode="External"/><Relationship Id="rId240" Type="http://schemas.openxmlformats.org/officeDocument/2006/relationships/hyperlink" Target="https://wa.me/6281412281953" TargetMode="External"/><Relationship Id="rId478" Type="http://schemas.openxmlformats.org/officeDocument/2006/relationships/hyperlink" Target="https://wa.me/628127126274" TargetMode="External"/><Relationship Id="rId685" Type="http://schemas.openxmlformats.org/officeDocument/2006/relationships/hyperlink" Target="https://wa.me/6285100570275" TargetMode="External"/><Relationship Id="rId892" Type="http://schemas.openxmlformats.org/officeDocument/2006/relationships/hyperlink" Target="https://wa.me/6281990865975" TargetMode="External"/><Relationship Id="rId100" Type="http://schemas.openxmlformats.org/officeDocument/2006/relationships/hyperlink" Target="https://wa.me/62818585822" TargetMode="External"/><Relationship Id="rId338" Type="http://schemas.openxmlformats.org/officeDocument/2006/relationships/hyperlink" Target="https://wa.me/6283865096870" TargetMode="External"/><Relationship Id="rId545" Type="http://schemas.openxmlformats.org/officeDocument/2006/relationships/hyperlink" Target="https://wa.me/6287865111033" TargetMode="External"/><Relationship Id="rId752" Type="http://schemas.openxmlformats.org/officeDocument/2006/relationships/hyperlink" Target="https://wa.me/6281226825253" TargetMode="External"/><Relationship Id="rId1175" Type="http://schemas.openxmlformats.org/officeDocument/2006/relationships/hyperlink" Target="https://wa.me/6282339444339" TargetMode="External"/><Relationship Id="rId1382" Type="http://schemas.openxmlformats.org/officeDocument/2006/relationships/hyperlink" Target="https://wa.me/6281323291817" TargetMode="External"/><Relationship Id="rId405" Type="http://schemas.openxmlformats.org/officeDocument/2006/relationships/hyperlink" Target="https://wa.me/6281325757271" TargetMode="External"/><Relationship Id="rId612" Type="http://schemas.openxmlformats.org/officeDocument/2006/relationships/hyperlink" Target="https://wa.me/628179780980" TargetMode="External"/><Relationship Id="rId1035" Type="http://schemas.openxmlformats.org/officeDocument/2006/relationships/hyperlink" Target="https://wa.me/6285737244570" TargetMode="External"/><Relationship Id="rId1242" Type="http://schemas.openxmlformats.org/officeDocument/2006/relationships/hyperlink" Target="https://wa.me/6282283028020" TargetMode="External"/><Relationship Id="rId1687" Type="http://schemas.openxmlformats.org/officeDocument/2006/relationships/hyperlink" Target="https://wa.me/6285642450197" TargetMode="External"/><Relationship Id="rId917" Type="http://schemas.openxmlformats.org/officeDocument/2006/relationships/hyperlink" Target="https://wa.me/6285668750426" TargetMode="External"/><Relationship Id="rId1102" Type="http://schemas.openxmlformats.org/officeDocument/2006/relationships/hyperlink" Target="https://wa.me/6281323291817" TargetMode="External"/><Relationship Id="rId1547" Type="http://schemas.openxmlformats.org/officeDocument/2006/relationships/hyperlink" Target="https://wa.me/6281321213934" TargetMode="External"/><Relationship Id="rId46" Type="http://schemas.openxmlformats.org/officeDocument/2006/relationships/hyperlink" Target="https://wa.me/6282211675028" TargetMode="External"/><Relationship Id="rId1407" Type="http://schemas.openxmlformats.org/officeDocument/2006/relationships/hyperlink" Target="https://wa.me/6289653336063" TargetMode="External"/><Relationship Id="rId1614" Type="http://schemas.openxmlformats.org/officeDocument/2006/relationships/hyperlink" Target="https://wa.me/62074028372" TargetMode="External"/><Relationship Id="rId195" Type="http://schemas.openxmlformats.org/officeDocument/2006/relationships/hyperlink" Target="https://wa.me/6281246211381" TargetMode="External"/><Relationship Id="rId262" Type="http://schemas.openxmlformats.org/officeDocument/2006/relationships/hyperlink" Target="https://wa.me/6282128714101" TargetMode="External"/><Relationship Id="rId567" Type="http://schemas.openxmlformats.org/officeDocument/2006/relationships/hyperlink" Target="https://wa.me/62882001438924" TargetMode="External"/><Relationship Id="rId1197" Type="http://schemas.openxmlformats.org/officeDocument/2006/relationships/hyperlink" Target="https://wa.me/628122102657" TargetMode="External"/><Relationship Id="rId122" Type="http://schemas.openxmlformats.org/officeDocument/2006/relationships/hyperlink" Target="https://wa.me/6281519225886" TargetMode="External"/><Relationship Id="rId774" Type="http://schemas.openxmlformats.org/officeDocument/2006/relationships/hyperlink" Target="https://wa.me/6282130257988" TargetMode="External"/><Relationship Id="rId981" Type="http://schemas.openxmlformats.org/officeDocument/2006/relationships/hyperlink" Target="https://wa.me/6282242925264" TargetMode="External"/><Relationship Id="rId1057" Type="http://schemas.openxmlformats.org/officeDocument/2006/relationships/hyperlink" Target="https://wa.me/6281938384000" TargetMode="External"/><Relationship Id="rId427" Type="http://schemas.openxmlformats.org/officeDocument/2006/relationships/hyperlink" Target="https://wa.me/6282123587173" TargetMode="External"/><Relationship Id="rId634" Type="http://schemas.openxmlformats.org/officeDocument/2006/relationships/hyperlink" Target="https://wa.me/6282221896658" TargetMode="External"/><Relationship Id="rId841" Type="http://schemas.openxmlformats.org/officeDocument/2006/relationships/hyperlink" Target="https://wa.me/62895804080442" TargetMode="External"/><Relationship Id="rId1264" Type="http://schemas.openxmlformats.org/officeDocument/2006/relationships/hyperlink" Target="https://wa.me/6287856230745" TargetMode="External"/><Relationship Id="rId1471" Type="http://schemas.openxmlformats.org/officeDocument/2006/relationships/hyperlink" Target="https://wa.me/628129170528" TargetMode="External"/><Relationship Id="rId1569" Type="http://schemas.openxmlformats.org/officeDocument/2006/relationships/hyperlink" Target="https://wa.me/6281364568015" TargetMode="External"/><Relationship Id="rId701" Type="http://schemas.openxmlformats.org/officeDocument/2006/relationships/hyperlink" Target="https://wa.me/6285920572002" TargetMode="External"/><Relationship Id="rId939" Type="http://schemas.openxmlformats.org/officeDocument/2006/relationships/hyperlink" Target="https://wa.me/6289638779870" TargetMode="External"/><Relationship Id="rId1124" Type="http://schemas.openxmlformats.org/officeDocument/2006/relationships/hyperlink" Target="https://wa.me/6281533867110" TargetMode="External"/><Relationship Id="rId1331" Type="http://schemas.openxmlformats.org/officeDocument/2006/relationships/hyperlink" Target="https://wa.me/6287888330007" TargetMode="External"/><Relationship Id="rId68" Type="http://schemas.openxmlformats.org/officeDocument/2006/relationships/hyperlink" Target="https://wa.me/6285220216325" TargetMode="External"/><Relationship Id="rId1429" Type="http://schemas.openxmlformats.org/officeDocument/2006/relationships/hyperlink" Target="https://wa.me/6281904149328" TargetMode="External"/><Relationship Id="rId1636" Type="http://schemas.openxmlformats.org/officeDocument/2006/relationships/hyperlink" Target="https://wa.me/6285776131462" TargetMode="External"/><Relationship Id="rId1703" Type="http://schemas.openxmlformats.org/officeDocument/2006/relationships/hyperlink" Target="https://wa.me/6282298507962" TargetMode="External"/><Relationship Id="rId284" Type="http://schemas.openxmlformats.org/officeDocument/2006/relationships/hyperlink" Target="https://wa.me/6281252595912" TargetMode="External"/><Relationship Id="rId491" Type="http://schemas.openxmlformats.org/officeDocument/2006/relationships/hyperlink" Target="https://wa.me/6285737375137" TargetMode="External"/><Relationship Id="rId144" Type="http://schemas.openxmlformats.org/officeDocument/2006/relationships/hyperlink" Target="https://wa.me/6281938563373" TargetMode="External"/><Relationship Id="rId589" Type="http://schemas.openxmlformats.org/officeDocument/2006/relationships/hyperlink" Target="https://wa.me/62817262229" TargetMode="External"/><Relationship Id="rId796" Type="http://schemas.openxmlformats.org/officeDocument/2006/relationships/hyperlink" Target="https://wa.me/6281328881949" TargetMode="External"/><Relationship Id="rId351" Type="http://schemas.openxmlformats.org/officeDocument/2006/relationships/hyperlink" Target="https://wa.me/6281779578317" TargetMode="External"/><Relationship Id="rId449" Type="http://schemas.openxmlformats.org/officeDocument/2006/relationships/hyperlink" Target="https://wa.me/6281938384000" TargetMode="External"/><Relationship Id="rId656" Type="http://schemas.openxmlformats.org/officeDocument/2006/relationships/hyperlink" Target="https://wa.me/6282112073155" TargetMode="External"/><Relationship Id="rId863" Type="http://schemas.openxmlformats.org/officeDocument/2006/relationships/hyperlink" Target="https://wa.me/62895614711817" TargetMode="External"/><Relationship Id="rId1079" Type="http://schemas.openxmlformats.org/officeDocument/2006/relationships/hyperlink" Target="http://ahlibangun.com/" TargetMode="External"/><Relationship Id="rId1286" Type="http://schemas.openxmlformats.org/officeDocument/2006/relationships/hyperlink" Target="https://wa.me/6287852936679" TargetMode="External"/><Relationship Id="rId1493" Type="http://schemas.openxmlformats.org/officeDocument/2006/relationships/hyperlink" Target="https://wa.me/6289506338444" TargetMode="External"/><Relationship Id="rId211" Type="http://schemas.openxmlformats.org/officeDocument/2006/relationships/hyperlink" Target="https://wa.me/6282192773278" TargetMode="External"/><Relationship Id="rId309" Type="http://schemas.openxmlformats.org/officeDocument/2006/relationships/hyperlink" Target="https://wa.me/6281229745253" TargetMode="External"/><Relationship Id="rId516" Type="http://schemas.openxmlformats.org/officeDocument/2006/relationships/hyperlink" Target="https://wa.me/6282245454940" TargetMode="External"/><Relationship Id="rId1146" Type="http://schemas.openxmlformats.org/officeDocument/2006/relationships/hyperlink" Target="https://wa.me/6282160889408" TargetMode="External"/><Relationship Id="rId723" Type="http://schemas.openxmlformats.org/officeDocument/2006/relationships/hyperlink" Target="https://wa.me/6282267832085" TargetMode="External"/><Relationship Id="rId930" Type="http://schemas.openxmlformats.org/officeDocument/2006/relationships/hyperlink" Target="https://wa.me/6287856230745" TargetMode="External"/><Relationship Id="rId1006" Type="http://schemas.openxmlformats.org/officeDocument/2006/relationships/hyperlink" Target="https://wa.me/6281802101982" TargetMode="External"/><Relationship Id="rId1353" Type="http://schemas.openxmlformats.org/officeDocument/2006/relationships/hyperlink" Target="https://wa.me/6285754778814" TargetMode="External"/><Relationship Id="rId1560" Type="http://schemas.openxmlformats.org/officeDocument/2006/relationships/hyperlink" Target="https://wa.me/6287897730462" TargetMode="External"/><Relationship Id="rId1658" Type="http://schemas.openxmlformats.org/officeDocument/2006/relationships/hyperlink" Target="https://wa.me/6285640670857" TargetMode="External"/><Relationship Id="rId1213" Type="http://schemas.openxmlformats.org/officeDocument/2006/relationships/hyperlink" Target="https://wa.me/6281287627383" TargetMode="External"/><Relationship Id="rId1420" Type="http://schemas.openxmlformats.org/officeDocument/2006/relationships/hyperlink" Target="https://wa.me/6285878711093" TargetMode="External"/><Relationship Id="rId1518" Type="http://schemas.openxmlformats.org/officeDocument/2006/relationships/hyperlink" Target="https://wa.me/6287790276733" TargetMode="External"/><Relationship Id="rId1725" Type="http://schemas.openxmlformats.org/officeDocument/2006/relationships/hyperlink" Target="https://wa.me/6281385838481" TargetMode="External"/><Relationship Id="rId17" Type="http://schemas.openxmlformats.org/officeDocument/2006/relationships/hyperlink" Target="https://wa.me/6282348365032" TargetMode="External"/><Relationship Id="rId166" Type="http://schemas.openxmlformats.org/officeDocument/2006/relationships/hyperlink" Target="https://wa.me/6281213589905" TargetMode="External"/><Relationship Id="rId373" Type="http://schemas.openxmlformats.org/officeDocument/2006/relationships/hyperlink" Target="https://wa.me/6285773570295" TargetMode="External"/><Relationship Id="rId580" Type="http://schemas.openxmlformats.org/officeDocument/2006/relationships/hyperlink" Target="https://wa.me/6287856230745" TargetMode="External"/><Relationship Id="rId1" Type="http://schemas.openxmlformats.org/officeDocument/2006/relationships/hyperlink" Target="https://wa.me/61459676831" TargetMode="External"/><Relationship Id="rId233" Type="http://schemas.openxmlformats.org/officeDocument/2006/relationships/hyperlink" Target="https://wa.me/6289635171849" TargetMode="External"/><Relationship Id="rId440" Type="http://schemas.openxmlformats.org/officeDocument/2006/relationships/hyperlink" Target="https://wa.me/6282333358533" TargetMode="External"/><Relationship Id="rId678" Type="http://schemas.openxmlformats.org/officeDocument/2006/relationships/hyperlink" Target="https://wa.me/6285333355756" TargetMode="External"/><Relationship Id="rId885" Type="http://schemas.openxmlformats.org/officeDocument/2006/relationships/hyperlink" Target="https://wa.me/6281283204192" TargetMode="External"/><Relationship Id="rId1070" Type="http://schemas.openxmlformats.org/officeDocument/2006/relationships/hyperlink" Target="https://wa.me/6289667480162" TargetMode="External"/><Relationship Id="rId300" Type="http://schemas.openxmlformats.org/officeDocument/2006/relationships/hyperlink" Target="https://wa.me/6285150556695" TargetMode="External"/><Relationship Id="rId538" Type="http://schemas.openxmlformats.org/officeDocument/2006/relationships/hyperlink" Target="https://wa.me/6285715856120" TargetMode="External"/><Relationship Id="rId745" Type="http://schemas.openxmlformats.org/officeDocument/2006/relationships/hyperlink" Target="https://wa.me/6281234132926" TargetMode="External"/><Relationship Id="rId952" Type="http://schemas.openxmlformats.org/officeDocument/2006/relationships/hyperlink" Target="https://wa.me/6283824541579" TargetMode="External"/><Relationship Id="rId1168" Type="http://schemas.openxmlformats.org/officeDocument/2006/relationships/hyperlink" Target="https://wa.me/6285792806011" TargetMode="External"/><Relationship Id="rId1375" Type="http://schemas.openxmlformats.org/officeDocument/2006/relationships/hyperlink" Target="https://wa.me/6282225454797" TargetMode="External"/><Relationship Id="rId1582" Type="http://schemas.openxmlformats.org/officeDocument/2006/relationships/hyperlink" Target="https://wa.me/6281398408303" TargetMode="External"/><Relationship Id="rId81" Type="http://schemas.openxmlformats.org/officeDocument/2006/relationships/hyperlink" Target="https://wa.me/6285757057088" TargetMode="External"/><Relationship Id="rId605" Type="http://schemas.openxmlformats.org/officeDocument/2006/relationships/hyperlink" Target="https://wa.me/6285376667233" TargetMode="External"/><Relationship Id="rId812" Type="http://schemas.openxmlformats.org/officeDocument/2006/relationships/hyperlink" Target="https://wa.me/6285742130079" TargetMode="External"/><Relationship Id="rId1028" Type="http://schemas.openxmlformats.org/officeDocument/2006/relationships/hyperlink" Target="https://wa.me/6282125465047" TargetMode="External"/><Relationship Id="rId1235" Type="http://schemas.openxmlformats.org/officeDocument/2006/relationships/hyperlink" Target="https://wa.me/6281224803384" TargetMode="External"/><Relationship Id="rId1442" Type="http://schemas.openxmlformats.org/officeDocument/2006/relationships/hyperlink" Target="https://wa.me/6281904501876" TargetMode="External"/><Relationship Id="rId1302" Type="http://schemas.openxmlformats.org/officeDocument/2006/relationships/hyperlink" Target="https://wa.me/6281338789995" TargetMode="External"/><Relationship Id="rId39" Type="http://schemas.openxmlformats.org/officeDocument/2006/relationships/hyperlink" Target="https://wa.me/6287715040331" TargetMode="External"/><Relationship Id="rId1607" Type="http://schemas.openxmlformats.org/officeDocument/2006/relationships/hyperlink" Target="https://wa.me/6281311045317" TargetMode="External"/><Relationship Id="rId188" Type="http://schemas.openxmlformats.org/officeDocument/2006/relationships/hyperlink" Target="https://wa.me/6282247030008" TargetMode="External"/><Relationship Id="rId395" Type="http://schemas.openxmlformats.org/officeDocument/2006/relationships/hyperlink" Target="https://wa.me/6285955053385" TargetMode="External"/><Relationship Id="rId255" Type="http://schemas.openxmlformats.org/officeDocument/2006/relationships/hyperlink" Target="http://primagriya.com/" TargetMode="External"/><Relationship Id="rId462" Type="http://schemas.openxmlformats.org/officeDocument/2006/relationships/hyperlink" Target="https://wa.me/6285820117323" TargetMode="External"/><Relationship Id="rId1092" Type="http://schemas.openxmlformats.org/officeDocument/2006/relationships/hyperlink" Target="https://wa.me/6282266152909" TargetMode="External"/><Relationship Id="rId1397" Type="http://schemas.openxmlformats.org/officeDocument/2006/relationships/hyperlink" Target="https://wa.me/6285888695439" TargetMode="External"/><Relationship Id="rId115" Type="http://schemas.openxmlformats.org/officeDocument/2006/relationships/hyperlink" Target="https://wa.me/6281932590871" TargetMode="External"/><Relationship Id="rId322" Type="http://schemas.openxmlformats.org/officeDocument/2006/relationships/hyperlink" Target="https://wa.me/6282339444339" TargetMode="External"/><Relationship Id="rId767" Type="http://schemas.openxmlformats.org/officeDocument/2006/relationships/hyperlink" Target="https://wa.me/6289637761233" TargetMode="External"/><Relationship Id="rId974" Type="http://schemas.openxmlformats.org/officeDocument/2006/relationships/hyperlink" Target="https://wa.me/6282122386711" TargetMode="External"/><Relationship Id="rId627" Type="http://schemas.openxmlformats.org/officeDocument/2006/relationships/hyperlink" Target="https://wa.me/6285217189178" TargetMode="External"/><Relationship Id="rId834" Type="http://schemas.openxmlformats.org/officeDocument/2006/relationships/hyperlink" Target="https://wa.me/6281239874761" TargetMode="External"/><Relationship Id="rId1257" Type="http://schemas.openxmlformats.org/officeDocument/2006/relationships/hyperlink" Target="https://wa.me/62075670898" TargetMode="External"/><Relationship Id="rId1464" Type="http://schemas.openxmlformats.org/officeDocument/2006/relationships/hyperlink" Target="https://wa.me/6287856230745" TargetMode="External"/><Relationship Id="rId1671" Type="http://schemas.openxmlformats.org/officeDocument/2006/relationships/hyperlink" Target="https://wa.me/6285291886699" TargetMode="External"/><Relationship Id="rId901" Type="http://schemas.openxmlformats.org/officeDocument/2006/relationships/hyperlink" Target="https://wa.me/6281348215665" TargetMode="External"/><Relationship Id="rId1117" Type="http://schemas.openxmlformats.org/officeDocument/2006/relationships/hyperlink" Target="https://wa.me/6287817756006" TargetMode="External"/><Relationship Id="rId1324" Type="http://schemas.openxmlformats.org/officeDocument/2006/relationships/hyperlink" Target="https://wa.me/6285280985750" TargetMode="External"/><Relationship Id="rId1531" Type="http://schemas.openxmlformats.org/officeDocument/2006/relationships/hyperlink" Target="https://wa.me/6281325416869" TargetMode="External"/><Relationship Id="rId30" Type="http://schemas.openxmlformats.org/officeDocument/2006/relationships/hyperlink" Target="https://wa.me/6285290626929" TargetMode="External"/><Relationship Id="rId1629" Type="http://schemas.openxmlformats.org/officeDocument/2006/relationships/hyperlink" Target="https://wa.me/6282113490142" TargetMode="External"/><Relationship Id="rId277" Type="http://schemas.openxmlformats.org/officeDocument/2006/relationships/hyperlink" Target="https://wa.me/6281904501876" TargetMode="External"/><Relationship Id="rId484" Type="http://schemas.openxmlformats.org/officeDocument/2006/relationships/hyperlink" Target="https://wa.me/6281362440234" TargetMode="External"/><Relationship Id="rId137" Type="http://schemas.openxmlformats.org/officeDocument/2006/relationships/hyperlink" Target="https://wa.me/6282214481223" TargetMode="External"/><Relationship Id="rId344" Type="http://schemas.openxmlformats.org/officeDocument/2006/relationships/hyperlink" Target="https://wa.me/628563562851" TargetMode="External"/><Relationship Id="rId691" Type="http://schemas.openxmlformats.org/officeDocument/2006/relationships/hyperlink" Target="https://wa.me/6282111180648" TargetMode="External"/><Relationship Id="rId789" Type="http://schemas.openxmlformats.org/officeDocument/2006/relationships/hyperlink" Target="https://wa.me/6285375555590" TargetMode="External"/><Relationship Id="rId996" Type="http://schemas.openxmlformats.org/officeDocument/2006/relationships/hyperlink" Target="https://wa.me/6287835601400" TargetMode="External"/><Relationship Id="rId551" Type="http://schemas.openxmlformats.org/officeDocument/2006/relationships/hyperlink" Target="https://wa.me/6281222110766" TargetMode="External"/><Relationship Id="rId649" Type="http://schemas.openxmlformats.org/officeDocument/2006/relationships/hyperlink" Target="https://wa.me/6285274759862" TargetMode="External"/><Relationship Id="rId856" Type="http://schemas.openxmlformats.org/officeDocument/2006/relationships/hyperlink" Target="https://wa.me/6285338373761" TargetMode="External"/><Relationship Id="rId1181" Type="http://schemas.openxmlformats.org/officeDocument/2006/relationships/hyperlink" Target="https://wa.me/6283890485123" TargetMode="External"/><Relationship Id="rId1279" Type="http://schemas.openxmlformats.org/officeDocument/2006/relationships/hyperlink" Target="https://wa.me/6285280985750" TargetMode="External"/><Relationship Id="rId1486" Type="http://schemas.openxmlformats.org/officeDocument/2006/relationships/hyperlink" Target="https://wa.me/6287718286882" TargetMode="External"/><Relationship Id="rId204" Type="http://schemas.openxmlformats.org/officeDocument/2006/relationships/hyperlink" Target="https://wa.me/6282169851900" TargetMode="External"/><Relationship Id="rId411" Type="http://schemas.openxmlformats.org/officeDocument/2006/relationships/hyperlink" Target="https://wa.me/62895632627969" TargetMode="External"/><Relationship Id="rId509" Type="http://schemas.openxmlformats.org/officeDocument/2006/relationships/hyperlink" Target="https://wa.me/628562943274" TargetMode="External"/><Relationship Id="rId1041" Type="http://schemas.openxmlformats.org/officeDocument/2006/relationships/hyperlink" Target="https://wa.me/6281390669379" TargetMode="External"/><Relationship Id="rId1139" Type="http://schemas.openxmlformats.org/officeDocument/2006/relationships/hyperlink" Target="https://wa.me/6281808567531" TargetMode="External"/><Relationship Id="rId1346" Type="http://schemas.openxmlformats.org/officeDocument/2006/relationships/hyperlink" Target="https://wa.me/6281338789995" TargetMode="External"/><Relationship Id="rId1693" Type="http://schemas.openxmlformats.org/officeDocument/2006/relationships/hyperlink" Target="https://wa.me/6283856077914" TargetMode="External"/><Relationship Id="rId716" Type="http://schemas.openxmlformats.org/officeDocument/2006/relationships/hyperlink" Target="https://wa.me/6281330410391" TargetMode="External"/><Relationship Id="rId923" Type="http://schemas.openxmlformats.org/officeDocument/2006/relationships/hyperlink" Target="https://wa.me/6281911256837" TargetMode="External"/><Relationship Id="rId1553" Type="http://schemas.openxmlformats.org/officeDocument/2006/relationships/hyperlink" Target="https://wa.me/6282242925264" TargetMode="External"/><Relationship Id="rId52" Type="http://schemas.openxmlformats.org/officeDocument/2006/relationships/hyperlink" Target="https://wa.me/62895401448273" TargetMode="External"/><Relationship Id="rId1206" Type="http://schemas.openxmlformats.org/officeDocument/2006/relationships/hyperlink" Target="https://wa.me/6285177465204" TargetMode="External"/><Relationship Id="rId1413" Type="http://schemas.openxmlformats.org/officeDocument/2006/relationships/hyperlink" Target="https://wa.me/6282135671899" TargetMode="External"/><Relationship Id="rId1620" Type="http://schemas.openxmlformats.org/officeDocument/2006/relationships/hyperlink" Target="https://wa.me/6281347069998" TargetMode="External"/><Relationship Id="rId1718" Type="http://schemas.openxmlformats.org/officeDocument/2006/relationships/hyperlink" Target="https://wa.me/6285124176685" TargetMode="External"/><Relationship Id="rId299" Type="http://schemas.openxmlformats.org/officeDocument/2006/relationships/hyperlink" Target="https://wa.me/6289517787985" TargetMode="External"/><Relationship Id="rId159" Type="http://schemas.openxmlformats.org/officeDocument/2006/relationships/hyperlink" Target="https://wa.me/6285210107607" TargetMode="External"/><Relationship Id="rId366" Type="http://schemas.openxmlformats.org/officeDocument/2006/relationships/hyperlink" Target="https://wa.me/6287829346006" TargetMode="External"/><Relationship Id="rId573" Type="http://schemas.openxmlformats.org/officeDocument/2006/relationships/hyperlink" Target="https://wa.me/6281338789995" TargetMode="External"/><Relationship Id="rId780" Type="http://schemas.openxmlformats.org/officeDocument/2006/relationships/hyperlink" Target="https://wa.me/6285748377961" TargetMode="External"/><Relationship Id="rId226" Type="http://schemas.openxmlformats.org/officeDocument/2006/relationships/hyperlink" Target="https://wa.me/6285362101860" TargetMode="External"/><Relationship Id="rId433" Type="http://schemas.openxmlformats.org/officeDocument/2006/relationships/hyperlink" Target="https://wa.me/6281286402030" TargetMode="External"/><Relationship Id="rId878" Type="http://schemas.openxmlformats.org/officeDocument/2006/relationships/hyperlink" Target="https://wa.me/6285602235618" TargetMode="External"/><Relationship Id="rId1063" Type="http://schemas.openxmlformats.org/officeDocument/2006/relationships/hyperlink" Target="https://wa.me/6287888330007" TargetMode="External"/><Relationship Id="rId1270" Type="http://schemas.openxmlformats.org/officeDocument/2006/relationships/hyperlink" Target="https://wa.me/62881010320770" TargetMode="External"/><Relationship Id="rId640" Type="http://schemas.openxmlformats.org/officeDocument/2006/relationships/hyperlink" Target="https://wa.me/6281320188313" TargetMode="External"/><Relationship Id="rId738" Type="http://schemas.openxmlformats.org/officeDocument/2006/relationships/hyperlink" Target="https://wa.me/6281338789995" TargetMode="External"/><Relationship Id="rId945" Type="http://schemas.openxmlformats.org/officeDocument/2006/relationships/hyperlink" Target="https://wa.me/6282115969323" TargetMode="External"/><Relationship Id="rId1368" Type="http://schemas.openxmlformats.org/officeDocument/2006/relationships/hyperlink" Target="https://wa.me/6281321441646" TargetMode="External"/><Relationship Id="rId1575" Type="http://schemas.openxmlformats.org/officeDocument/2006/relationships/hyperlink" Target="https://wa.me/6281316122975" TargetMode="External"/><Relationship Id="rId74" Type="http://schemas.openxmlformats.org/officeDocument/2006/relationships/hyperlink" Target="https://wa.me/6285210107607" TargetMode="External"/><Relationship Id="rId500" Type="http://schemas.openxmlformats.org/officeDocument/2006/relationships/hyperlink" Target="https://wa.me/6282322308711" TargetMode="External"/><Relationship Id="rId805" Type="http://schemas.openxmlformats.org/officeDocument/2006/relationships/hyperlink" Target="https://wa.me/6287790276733" TargetMode="External"/><Relationship Id="rId1130" Type="http://schemas.openxmlformats.org/officeDocument/2006/relationships/hyperlink" Target="https://wa.me/6282120205382" TargetMode="External"/><Relationship Id="rId1228" Type="http://schemas.openxmlformats.org/officeDocument/2006/relationships/hyperlink" Target="https://wa.me/6281283325291" TargetMode="External"/><Relationship Id="rId1435" Type="http://schemas.openxmlformats.org/officeDocument/2006/relationships/hyperlink" Target="https://wa.me/6289673319845" TargetMode="External"/><Relationship Id="rId1642" Type="http://schemas.openxmlformats.org/officeDocument/2006/relationships/hyperlink" Target="https://wa.me/6285720376378" TargetMode="External"/><Relationship Id="rId1502" Type="http://schemas.openxmlformats.org/officeDocument/2006/relationships/hyperlink" Target="https://wa.me/6282213959236" TargetMode="External"/><Relationship Id="rId290" Type="http://schemas.openxmlformats.org/officeDocument/2006/relationships/hyperlink" Target="https://wa.me/6285789446955" TargetMode="External"/><Relationship Id="rId388" Type="http://schemas.openxmlformats.org/officeDocument/2006/relationships/hyperlink" Target="https://wa.me/6281219329853" TargetMode="External"/><Relationship Id="rId150" Type="http://schemas.openxmlformats.org/officeDocument/2006/relationships/hyperlink" Target="https://wa.me/6288215445661" TargetMode="External"/><Relationship Id="rId595" Type="http://schemas.openxmlformats.org/officeDocument/2006/relationships/hyperlink" Target="https://wa.me/6285138380189" TargetMode="External"/><Relationship Id="rId248" Type="http://schemas.openxmlformats.org/officeDocument/2006/relationships/hyperlink" Target="https://wa.me/6288215032728" TargetMode="External"/><Relationship Id="rId455" Type="http://schemas.openxmlformats.org/officeDocument/2006/relationships/hyperlink" Target="https://wa.me/6281255005229" TargetMode="External"/><Relationship Id="rId662" Type="http://schemas.openxmlformats.org/officeDocument/2006/relationships/hyperlink" Target="https://wa.me/6285967129366" TargetMode="External"/><Relationship Id="rId1085" Type="http://schemas.openxmlformats.org/officeDocument/2006/relationships/hyperlink" Target="https://wa.me/6281227074313" TargetMode="External"/><Relationship Id="rId1292" Type="http://schemas.openxmlformats.org/officeDocument/2006/relationships/hyperlink" Target="https://wa.me/6287754649850" TargetMode="External"/><Relationship Id="rId108" Type="http://schemas.openxmlformats.org/officeDocument/2006/relationships/hyperlink" Target="https://wa.me/6285733774700" TargetMode="External"/><Relationship Id="rId315" Type="http://schemas.openxmlformats.org/officeDocument/2006/relationships/hyperlink" Target="https://wa.me/6285384321677" TargetMode="External"/><Relationship Id="rId522" Type="http://schemas.openxmlformats.org/officeDocument/2006/relationships/hyperlink" Target="https://wa.me/6282129364133" TargetMode="External"/><Relationship Id="rId967" Type="http://schemas.openxmlformats.org/officeDocument/2006/relationships/hyperlink" Target="https://wa.me/6281990022760" TargetMode="External"/><Relationship Id="rId1152" Type="http://schemas.openxmlformats.org/officeDocument/2006/relationships/hyperlink" Target="https://wa.me/6281355539323" TargetMode="External"/><Relationship Id="rId1597" Type="http://schemas.openxmlformats.org/officeDocument/2006/relationships/hyperlink" Target="https://wa.me/6283188945188" TargetMode="External"/><Relationship Id="rId96" Type="http://schemas.openxmlformats.org/officeDocument/2006/relationships/hyperlink" Target="https://wa.me/6283866009989" TargetMode="External"/><Relationship Id="rId827" Type="http://schemas.openxmlformats.org/officeDocument/2006/relationships/hyperlink" Target="https://wa.me/6285100570275" TargetMode="External"/><Relationship Id="rId1012" Type="http://schemas.openxmlformats.org/officeDocument/2006/relationships/hyperlink" Target="https://wa.me/6282225676546" TargetMode="External"/><Relationship Id="rId1457" Type="http://schemas.openxmlformats.org/officeDocument/2006/relationships/hyperlink" Target="https://wa.me/6287864923726" TargetMode="External"/><Relationship Id="rId1664" Type="http://schemas.openxmlformats.org/officeDocument/2006/relationships/hyperlink" Target="https://wa.me/6282241377832" TargetMode="External"/><Relationship Id="rId1317" Type="http://schemas.openxmlformats.org/officeDocument/2006/relationships/hyperlink" Target="https://wa.me/6282285691485" TargetMode="External"/><Relationship Id="rId1524" Type="http://schemas.openxmlformats.org/officeDocument/2006/relationships/hyperlink" Target="https://wa.me/628156626447" TargetMode="External"/><Relationship Id="rId1731" Type="http://schemas.openxmlformats.org/officeDocument/2006/relationships/hyperlink" Target="https://wa.me/6287842727430" TargetMode="External"/><Relationship Id="rId23" Type="http://schemas.openxmlformats.org/officeDocument/2006/relationships/hyperlink" Target="https://wa.me/6282314234523" TargetMode="External"/><Relationship Id="rId172" Type="http://schemas.openxmlformats.org/officeDocument/2006/relationships/hyperlink" Target="https://wa.me/6281952482523" TargetMode="External"/><Relationship Id="rId477" Type="http://schemas.openxmlformats.org/officeDocument/2006/relationships/hyperlink" Target="https://wa.me/62895635983361" TargetMode="External"/><Relationship Id="rId684" Type="http://schemas.openxmlformats.org/officeDocument/2006/relationships/hyperlink" Target="https://wa.me/6281779578317" TargetMode="External"/><Relationship Id="rId337" Type="http://schemas.openxmlformats.org/officeDocument/2006/relationships/hyperlink" Target="https://wa.me/6282307376695" TargetMode="External"/><Relationship Id="rId891" Type="http://schemas.openxmlformats.org/officeDocument/2006/relationships/hyperlink" Target="https://wa.me/62881038177010" TargetMode="External"/><Relationship Id="rId989" Type="http://schemas.openxmlformats.org/officeDocument/2006/relationships/hyperlink" Target="https://wa.me/6281318819599" TargetMode="External"/><Relationship Id="rId544" Type="http://schemas.openxmlformats.org/officeDocument/2006/relationships/hyperlink" Target="https://wa.me/6281999375257" TargetMode="External"/><Relationship Id="rId751" Type="http://schemas.openxmlformats.org/officeDocument/2006/relationships/hyperlink" Target="https://wa.me/6281376129355" TargetMode="External"/><Relationship Id="rId849" Type="http://schemas.openxmlformats.org/officeDocument/2006/relationships/hyperlink" Target="https://wa.me/6281221788919" TargetMode="External"/><Relationship Id="rId1174" Type="http://schemas.openxmlformats.org/officeDocument/2006/relationships/hyperlink" Target="https://wa.me/6282242925264" TargetMode="External"/><Relationship Id="rId1381" Type="http://schemas.openxmlformats.org/officeDocument/2006/relationships/hyperlink" Target="https://wa.me/6285657199451" TargetMode="External"/><Relationship Id="rId1479" Type="http://schemas.openxmlformats.org/officeDocument/2006/relationships/hyperlink" Target="https://wa.me/6287765670288" TargetMode="External"/><Relationship Id="rId1686" Type="http://schemas.openxmlformats.org/officeDocument/2006/relationships/hyperlink" Target="https://wa.me/6289618523308" TargetMode="External"/><Relationship Id="rId404" Type="http://schemas.openxmlformats.org/officeDocument/2006/relationships/hyperlink" Target="https://wa.me/6289524188028" TargetMode="External"/><Relationship Id="rId611" Type="http://schemas.openxmlformats.org/officeDocument/2006/relationships/hyperlink" Target="https://wa.me/62882001677470" TargetMode="External"/><Relationship Id="rId1034" Type="http://schemas.openxmlformats.org/officeDocument/2006/relationships/hyperlink" Target="https://wa.me/6285946504405" TargetMode="External"/><Relationship Id="rId1241" Type="http://schemas.openxmlformats.org/officeDocument/2006/relationships/hyperlink" Target="https://wa.me/6288296589477" TargetMode="External"/><Relationship Id="rId1339" Type="http://schemas.openxmlformats.org/officeDocument/2006/relationships/hyperlink" Target="https://wa.me/6285839388829" TargetMode="External"/><Relationship Id="rId709" Type="http://schemas.openxmlformats.org/officeDocument/2006/relationships/hyperlink" Target="https://wa.me/kmm" TargetMode="External"/><Relationship Id="rId916" Type="http://schemas.openxmlformats.org/officeDocument/2006/relationships/hyperlink" Target="https://wa.me/6281338789995" TargetMode="External"/><Relationship Id="rId1101" Type="http://schemas.openxmlformats.org/officeDocument/2006/relationships/hyperlink" Target="https://wa.me/6282160889408" TargetMode="External"/><Relationship Id="rId1546" Type="http://schemas.openxmlformats.org/officeDocument/2006/relationships/hyperlink" Target="https://wa.me/6289673319845" TargetMode="External"/><Relationship Id="rId45" Type="http://schemas.openxmlformats.org/officeDocument/2006/relationships/hyperlink" Target="https://wa.me/6267074784874" TargetMode="External"/><Relationship Id="rId1406" Type="http://schemas.openxmlformats.org/officeDocument/2006/relationships/hyperlink" Target="https://wa.me/6285750574301" TargetMode="External"/><Relationship Id="rId1613" Type="http://schemas.openxmlformats.org/officeDocument/2006/relationships/hyperlink" Target="https://wa.me/6281331117198" TargetMode="External"/><Relationship Id="rId194" Type="http://schemas.openxmlformats.org/officeDocument/2006/relationships/hyperlink" Target="https://wa.me/6285727410479" TargetMode="External"/><Relationship Id="rId261" Type="http://schemas.openxmlformats.org/officeDocument/2006/relationships/hyperlink" Target="https://wa.me/6289525439559" TargetMode="External"/><Relationship Id="rId499" Type="http://schemas.openxmlformats.org/officeDocument/2006/relationships/hyperlink" Target="https://wa.me/6282384544939" TargetMode="External"/><Relationship Id="rId359" Type="http://schemas.openxmlformats.org/officeDocument/2006/relationships/hyperlink" Target="https://wa.me/6281385001244" TargetMode="External"/><Relationship Id="rId566" Type="http://schemas.openxmlformats.org/officeDocument/2006/relationships/hyperlink" Target="https://wa.me/6285715856120" TargetMode="External"/><Relationship Id="rId773" Type="http://schemas.openxmlformats.org/officeDocument/2006/relationships/hyperlink" Target="https://wa.me/6285771466144" TargetMode="External"/><Relationship Id="rId1196" Type="http://schemas.openxmlformats.org/officeDocument/2006/relationships/hyperlink" Target="https://wa.me/6281355539323" TargetMode="External"/><Relationship Id="rId121" Type="http://schemas.openxmlformats.org/officeDocument/2006/relationships/hyperlink" Target="https://wa.me/6283135590465" TargetMode="External"/><Relationship Id="rId219" Type="http://schemas.openxmlformats.org/officeDocument/2006/relationships/hyperlink" Target="https://wa.me/6282214481223" TargetMode="External"/><Relationship Id="rId426" Type="http://schemas.openxmlformats.org/officeDocument/2006/relationships/hyperlink" Target="https://wa.me/6281280241630" TargetMode="External"/><Relationship Id="rId633" Type="http://schemas.openxmlformats.org/officeDocument/2006/relationships/hyperlink" Target="https://wa.me/62818200980" TargetMode="External"/><Relationship Id="rId980" Type="http://schemas.openxmlformats.org/officeDocument/2006/relationships/hyperlink" Target="https://wa.me/6281389082618" TargetMode="External"/><Relationship Id="rId1056" Type="http://schemas.openxmlformats.org/officeDocument/2006/relationships/hyperlink" Target="https://wa.me/6285924240918" TargetMode="External"/><Relationship Id="rId1263" Type="http://schemas.openxmlformats.org/officeDocument/2006/relationships/hyperlink" Target="https://wa.me/6282236053835" TargetMode="External"/><Relationship Id="rId840" Type="http://schemas.openxmlformats.org/officeDocument/2006/relationships/hyperlink" Target="https://wa.me/628886255082" TargetMode="External"/><Relationship Id="rId938" Type="http://schemas.openxmlformats.org/officeDocument/2006/relationships/hyperlink" Target="https://wa.me/6287822292311" TargetMode="External"/><Relationship Id="rId1470" Type="http://schemas.openxmlformats.org/officeDocument/2006/relationships/hyperlink" Target="https://wa.me/6287799044400" TargetMode="External"/><Relationship Id="rId1568" Type="http://schemas.openxmlformats.org/officeDocument/2006/relationships/hyperlink" Target="https://wa.me/6283114705844" TargetMode="External"/><Relationship Id="rId67" Type="http://schemas.openxmlformats.org/officeDocument/2006/relationships/hyperlink" Target="https://wa.me/6281952482523" TargetMode="External"/><Relationship Id="rId700" Type="http://schemas.openxmlformats.org/officeDocument/2006/relationships/hyperlink" Target="https://wa.me/6282365004117" TargetMode="External"/><Relationship Id="rId1123" Type="http://schemas.openxmlformats.org/officeDocument/2006/relationships/hyperlink" Target="https://wa.me/6282160889408" TargetMode="External"/><Relationship Id="rId1330" Type="http://schemas.openxmlformats.org/officeDocument/2006/relationships/hyperlink" Target="https://wa.me/6281293111178" TargetMode="External"/><Relationship Id="rId1428" Type="http://schemas.openxmlformats.org/officeDocument/2006/relationships/hyperlink" Target="https://wa.me/6285834603770" TargetMode="External"/><Relationship Id="rId1635" Type="http://schemas.openxmlformats.org/officeDocument/2006/relationships/hyperlink" Target="https://wa.me/6285219420348" TargetMode="External"/><Relationship Id="rId1702" Type="http://schemas.openxmlformats.org/officeDocument/2006/relationships/hyperlink" Target="https://wa.me/6282147663578" TargetMode="External"/><Relationship Id="rId283" Type="http://schemas.openxmlformats.org/officeDocument/2006/relationships/hyperlink" Target="https://wa.me/6281246211381" TargetMode="External"/><Relationship Id="rId490" Type="http://schemas.openxmlformats.org/officeDocument/2006/relationships/hyperlink" Target="https://wa.me/6285294617773" TargetMode="External"/><Relationship Id="rId143" Type="http://schemas.openxmlformats.org/officeDocument/2006/relationships/hyperlink" Target="https://wa.me/6285240694097" TargetMode="External"/><Relationship Id="rId350" Type="http://schemas.openxmlformats.org/officeDocument/2006/relationships/hyperlink" Target="https://wa.me/6281347321820" TargetMode="External"/><Relationship Id="rId588" Type="http://schemas.openxmlformats.org/officeDocument/2006/relationships/hyperlink" Target="https://wa.me/628122102657" TargetMode="External"/><Relationship Id="rId795" Type="http://schemas.openxmlformats.org/officeDocument/2006/relationships/hyperlink" Target="https://wa.me/6285719003688" TargetMode="External"/><Relationship Id="rId9" Type="http://schemas.openxmlformats.org/officeDocument/2006/relationships/hyperlink" Target="https://wa.me/6283129638348" TargetMode="External"/><Relationship Id="rId210" Type="http://schemas.openxmlformats.org/officeDocument/2006/relationships/hyperlink" Target="https://wa.me/6282227027805" TargetMode="External"/><Relationship Id="rId448" Type="http://schemas.openxmlformats.org/officeDocument/2006/relationships/hyperlink" Target="https://wa.me/6282285205998" TargetMode="External"/><Relationship Id="rId655" Type="http://schemas.openxmlformats.org/officeDocument/2006/relationships/hyperlink" Target="https://wa.me/6281313889118" TargetMode="External"/><Relationship Id="rId862" Type="http://schemas.openxmlformats.org/officeDocument/2006/relationships/hyperlink" Target="https://wa.me/6281296182529" TargetMode="External"/><Relationship Id="rId1078" Type="http://schemas.openxmlformats.org/officeDocument/2006/relationships/hyperlink" Target="http://ahlibangun.com/" TargetMode="External"/><Relationship Id="rId1285" Type="http://schemas.openxmlformats.org/officeDocument/2006/relationships/hyperlink" Target="https://wa.me/6282285691485" TargetMode="External"/><Relationship Id="rId1492" Type="http://schemas.openxmlformats.org/officeDocument/2006/relationships/hyperlink" Target="https://wa.me/6287856230745" TargetMode="External"/><Relationship Id="rId308" Type="http://schemas.openxmlformats.org/officeDocument/2006/relationships/hyperlink" Target="https://wa.me/6285696765224" TargetMode="External"/><Relationship Id="rId515" Type="http://schemas.openxmlformats.org/officeDocument/2006/relationships/hyperlink" Target="https://wa.me/6285214612372" TargetMode="External"/><Relationship Id="rId722" Type="http://schemas.openxmlformats.org/officeDocument/2006/relationships/hyperlink" Target="https://wa.me/6281224628935" TargetMode="External"/><Relationship Id="rId1145" Type="http://schemas.openxmlformats.org/officeDocument/2006/relationships/hyperlink" Target="https://wa.me/62895405794474" TargetMode="External"/><Relationship Id="rId1352" Type="http://schemas.openxmlformats.org/officeDocument/2006/relationships/hyperlink" Target="https://wa.me/6281215552664" TargetMode="External"/><Relationship Id="rId89" Type="http://schemas.openxmlformats.org/officeDocument/2006/relationships/hyperlink" Target="https://wa.me/6282324392716" TargetMode="External"/><Relationship Id="rId1005" Type="http://schemas.openxmlformats.org/officeDocument/2006/relationships/hyperlink" Target="https://wa.me/62823332108583" TargetMode="External"/><Relationship Id="rId1212" Type="http://schemas.openxmlformats.org/officeDocument/2006/relationships/hyperlink" Target="https://wa.me/6282170648491" TargetMode="External"/><Relationship Id="rId1657" Type="http://schemas.openxmlformats.org/officeDocument/2006/relationships/hyperlink" Target="https://wa.me/6281386087555" TargetMode="External"/><Relationship Id="rId1517" Type="http://schemas.openxmlformats.org/officeDocument/2006/relationships/hyperlink" Target="https://wa.me/6282373417891" TargetMode="External"/><Relationship Id="rId1724" Type="http://schemas.openxmlformats.org/officeDocument/2006/relationships/hyperlink" Target="https://wa.me/628133331583" TargetMode="External"/><Relationship Id="rId16" Type="http://schemas.openxmlformats.org/officeDocument/2006/relationships/hyperlink" Target="https://wa.me/6282136666049" TargetMode="External"/><Relationship Id="rId165" Type="http://schemas.openxmlformats.org/officeDocument/2006/relationships/hyperlink" Target="https://wa.me/6281138301069" TargetMode="External"/><Relationship Id="rId372" Type="http://schemas.openxmlformats.org/officeDocument/2006/relationships/hyperlink" Target="https://wa.me/6287821760177" TargetMode="External"/><Relationship Id="rId677" Type="http://schemas.openxmlformats.org/officeDocument/2006/relationships/hyperlink" Target="https://wa.me/6285888452389" TargetMode="External"/><Relationship Id="rId232" Type="http://schemas.openxmlformats.org/officeDocument/2006/relationships/hyperlink" Target="https://wa.me/6285311472244" TargetMode="External"/><Relationship Id="rId884" Type="http://schemas.openxmlformats.org/officeDocument/2006/relationships/hyperlink" Target="https://wa.me/6281519225886" TargetMode="External"/><Relationship Id="rId537" Type="http://schemas.openxmlformats.org/officeDocument/2006/relationships/hyperlink" Target="https://wa.me/6281225101319" TargetMode="External"/><Relationship Id="rId744" Type="http://schemas.openxmlformats.org/officeDocument/2006/relationships/hyperlink" Target="https://wa.me/628152343305" TargetMode="External"/><Relationship Id="rId951" Type="http://schemas.openxmlformats.org/officeDocument/2006/relationships/hyperlink" Target="https://wa.me/6285600287735" TargetMode="External"/><Relationship Id="rId1167" Type="http://schemas.openxmlformats.org/officeDocument/2006/relationships/hyperlink" Target="https://wa.me/6287886480138" TargetMode="External"/><Relationship Id="rId1374" Type="http://schemas.openxmlformats.org/officeDocument/2006/relationships/hyperlink" Target="http://ciptagriya.id/" TargetMode="External"/><Relationship Id="rId1581" Type="http://schemas.openxmlformats.org/officeDocument/2006/relationships/hyperlink" Target="https://wa.me/6281216704496" TargetMode="External"/><Relationship Id="rId1679" Type="http://schemas.openxmlformats.org/officeDocument/2006/relationships/hyperlink" Target="https://wa.me/6281332873809" TargetMode="External"/><Relationship Id="rId80" Type="http://schemas.openxmlformats.org/officeDocument/2006/relationships/hyperlink" Target="https://wa.me/6281905836259" TargetMode="External"/><Relationship Id="rId604" Type="http://schemas.openxmlformats.org/officeDocument/2006/relationships/hyperlink" Target="https://wa.me/6281241440688" TargetMode="External"/><Relationship Id="rId811" Type="http://schemas.openxmlformats.org/officeDocument/2006/relationships/hyperlink" Target="https://wa.me/6287835601400" TargetMode="External"/><Relationship Id="rId1027" Type="http://schemas.openxmlformats.org/officeDocument/2006/relationships/hyperlink" Target="https://wa.me/6285285660299" TargetMode="External"/><Relationship Id="rId1234" Type="http://schemas.openxmlformats.org/officeDocument/2006/relationships/hyperlink" Target="https://wa.me/6285692993799" TargetMode="External"/><Relationship Id="rId1441" Type="http://schemas.openxmlformats.org/officeDocument/2006/relationships/hyperlink" Target="https://wa.me/6282225676546" TargetMode="External"/><Relationship Id="rId909" Type="http://schemas.openxmlformats.org/officeDocument/2006/relationships/hyperlink" Target="https://wa.me/6282220945171" TargetMode="External"/><Relationship Id="rId1301" Type="http://schemas.openxmlformats.org/officeDocument/2006/relationships/hyperlink" Target="https://wa.me/62816690928" TargetMode="External"/><Relationship Id="rId1539" Type="http://schemas.openxmlformats.org/officeDocument/2006/relationships/hyperlink" Target="https://wa.me/6285332218714" TargetMode="External"/><Relationship Id="rId38" Type="http://schemas.openxmlformats.org/officeDocument/2006/relationships/hyperlink" Target="https://wa.me/6281226605001" TargetMode="External"/><Relationship Id="rId1606" Type="http://schemas.openxmlformats.org/officeDocument/2006/relationships/hyperlink" Target="https://wa.me/628131383719" TargetMode="External"/><Relationship Id="rId187" Type="http://schemas.openxmlformats.org/officeDocument/2006/relationships/hyperlink" Target="https://wa.me/6285263289844" TargetMode="External"/><Relationship Id="rId394" Type="http://schemas.openxmlformats.org/officeDocument/2006/relationships/hyperlink" Target="https://wa.me/6285668750416" TargetMode="External"/><Relationship Id="rId254" Type="http://schemas.openxmlformats.org/officeDocument/2006/relationships/hyperlink" Target="https://wa.me/6281214999292" TargetMode="External"/><Relationship Id="rId699" Type="http://schemas.openxmlformats.org/officeDocument/2006/relationships/hyperlink" Target="https://wa.me/6281334257715" TargetMode="External"/><Relationship Id="rId1091" Type="http://schemas.openxmlformats.org/officeDocument/2006/relationships/hyperlink" Target="https://wa.me/6281356480021" TargetMode="External"/><Relationship Id="rId114" Type="http://schemas.openxmlformats.org/officeDocument/2006/relationships/hyperlink" Target="https://wa.me/6283151330372" TargetMode="External"/><Relationship Id="rId461" Type="http://schemas.openxmlformats.org/officeDocument/2006/relationships/hyperlink" Target="https://wa.me/6281217126285" TargetMode="External"/><Relationship Id="rId559" Type="http://schemas.openxmlformats.org/officeDocument/2006/relationships/hyperlink" Target="https://wa.me/62818763108" TargetMode="External"/><Relationship Id="rId766" Type="http://schemas.openxmlformats.org/officeDocument/2006/relationships/hyperlink" Target="https://wa.me/6285788382935" TargetMode="External"/><Relationship Id="rId1189" Type="http://schemas.openxmlformats.org/officeDocument/2006/relationships/hyperlink" Target="https://wa.me/6285155158766" TargetMode="External"/><Relationship Id="rId1396" Type="http://schemas.openxmlformats.org/officeDocument/2006/relationships/hyperlink" Target="https://wa.me/6282122880328" TargetMode="External"/><Relationship Id="rId321" Type="http://schemas.openxmlformats.org/officeDocument/2006/relationships/hyperlink" Target="https://wa.me/6281241440688" TargetMode="External"/><Relationship Id="rId419" Type="http://schemas.openxmlformats.org/officeDocument/2006/relationships/hyperlink" Target="https://wa.me/6285397990632" TargetMode="External"/><Relationship Id="rId626" Type="http://schemas.openxmlformats.org/officeDocument/2006/relationships/hyperlink" Target="https://wa.me/6281558225822" TargetMode="External"/><Relationship Id="rId973" Type="http://schemas.openxmlformats.org/officeDocument/2006/relationships/hyperlink" Target="https://wa.me/6285375422999" TargetMode="External"/><Relationship Id="rId1049" Type="http://schemas.openxmlformats.org/officeDocument/2006/relationships/hyperlink" Target="https://wa.me/6283196194949" TargetMode="External"/><Relationship Id="rId1256" Type="http://schemas.openxmlformats.org/officeDocument/2006/relationships/hyperlink" Target="https://wa.me/6282358936888" TargetMode="External"/><Relationship Id="rId833" Type="http://schemas.openxmlformats.org/officeDocument/2006/relationships/hyperlink" Target="http://primagriya.com/" TargetMode="External"/><Relationship Id="rId1116" Type="http://schemas.openxmlformats.org/officeDocument/2006/relationships/hyperlink" Target="https://wa.me/628170204528" TargetMode="External"/><Relationship Id="rId1463" Type="http://schemas.openxmlformats.org/officeDocument/2006/relationships/hyperlink" Target="https://wa.me/6282230035858" TargetMode="External"/><Relationship Id="rId1670" Type="http://schemas.openxmlformats.org/officeDocument/2006/relationships/hyperlink" Target="https://wa.me/6288239584588" TargetMode="External"/><Relationship Id="rId900" Type="http://schemas.openxmlformats.org/officeDocument/2006/relationships/hyperlink" Target="https://wa.me/6282364480929" TargetMode="External"/><Relationship Id="rId1323" Type="http://schemas.openxmlformats.org/officeDocument/2006/relationships/hyperlink" Target="https://wa.me/6281374879424" TargetMode="External"/><Relationship Id="rId1530" Type="http://schemas.openxmlformats.org/officeDocument/2006/relationships/hyperlink" Target="https://wa.me/6282265277099" TargetMode="External"/><Relationship Id="rId1628" Type="http://schemas.openxmlformats.org/officeDocument/2006/relationships/hyperlink" Target="https://wa.me/6285725312977" TargetMode="External"/><Relationship Id="rId276" Type="http://schemas.openxmlformats.org/officeDocument/2006/relationships/hyperlink" Target="https://wa.me/6282298717014" TargetMode="External"/><Relationship Id="rId483" Type="http://schemas.openxmlformats.org/officeDocument/2006/relationships/hyperlink" Target="https://wa.me/6285691146546" TargetMode="External"/><Relationship Id="rId690" Type="http://schemas.openxmlformats.org/officeDocument/2006/relationships/hyperlink" Target="https://wa.me/628966748016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primagriya.com/" TargetMode="External"/><Relationship Id="rId18" Type="http://schemas.openxmlformats.org/officeDocument/2006/relationships/hyperlink" Target="http://hratour.id/" TargetMode="External"/><Relationship Id="rId26" Type="http://schemas.openxmlformats.org/officeDocument/2006/relationships/hyperlink" Target="http://adhidezign.com/" TargetMode="External"/><Relationship Id="rId39" Type="http://schemas.openxmlformats.org/officeDocument/2006/relationships/hyperlink" Target="http://adhidezign.com/" TargetMode="External"/><Relationship Id="rId21" Type="http://schemas.openxmlformats.org/officeDocument/2006/relationships/hyperlink" Target="http://hratour.id/" TargetMode="External"/><Relationship Id="rId34" Type="http://schemas.openxmlformats.org/officeDocument/2006/relationships/hyperlink" Target="http://adhidezign.com/" TargetMode="External"/><Relationship Id="rId7" Type="http://schemas.openxmlformats.org/officeDocument/2006/relationships/hyperlink" Target="http://primagriya.com/" TargetMode="External"/><Relationship Id="rId12" Type="http://schemas.openxmlformats.org/officeDocument/2006/relationships/hyperlink" Target="http://derra.id/" TargetMode="External"/><Relationship Id="rId17" Type="http://schemas.openxmlformats.org/officeDocument/2006/relationships/hyperlink" Target="http://derra.id/" TargetMode="External"/><Relationship Id="rId25" Type="http://schemas.openxmlformats.org/officeDocument/2006/relationships/hyperlink" Target="http://adhidezign.com/" TargetMode="External"/><Relationship Id="rId33" Type="http://schemas.openxmlformats.org/officeDocument/2006/relationships/hyperlink" Target="http://adhidezign.com/" TargetMode="External"/><Relationship Id="rId38" Type="http://schemas.openxmlformats.org/officeDocument/2006/relationships/hyperlink" Target="http://adhidezign.com/" TargetMode="External"/><Relationship Id="rId2" Type="http://schemas.openxmlformats.org/officeDocument/2006/relationships/hyperlink" Target="http://primagriya.com/" TargetMode="External"/><Relationship Id="rId16" Type="http://schemas.openxmlformats.org/officeDocument/2006/relationships/hyperlink" Target="http://derra.id/" TargetMode="External"/><Relationship Id="rId20" Type="http://schemas.openxmlformats.org/officeDocument/2006/relationships/hyperlink" Target="http://hratour.id/" TargetMode="External"/><Relationship Id="rId29" Type="http://schemas.openxmlformats.org/officeDocument/2006/relationships/hyperlink" Target="http://adhidezign.com/" TargetMode="External"/><Relationship Id="rId1" Type="http://schemas.openxmlformats.org/officeDocument/2006/relationships/hyperlink" Target="http://primagriya.com/" TargetMode="External"/><Relationship Id="rId6" Type="http://schemas.openxmlformats.org/officeDocument/2006/relationships/hyperlink" Target="http://primagriya.com/" TargetMode="External"/><Relationship Id="rId11" Type="http://schemas.openxmlformats.org/officeDocument/2006/relationships/hyperlink" Target="http://primagriya.com/" TargetMode="External"/><Relationship Id="rId24" Type="http://schemas.openxmlformats.org/officeDocument/2006/relationships/hyperlink" Target="http://hratour.id/" TargetMode="External"/><Relationship Id="rId32" Type="http://schemas.openxmlformats.org/officeDocument/2006/relationships/hyperlink" Target="http://adhidezign.com/" TargetMode="External"/><Relationship Id="rId37" Type="http://schemas.openxmlformats.org/officeDocument/2006/relationships/hyperlink" Target="http://adhidezign.com/" TargetMode="External"/><Relationship Id="rId40" Type="http://schemas.openxmlformats.org/officeDocument/2006/relationships/table" Target="../tables/table1.xml"/><Relationship Id="rId5" Type="http://schemas.openxmlformats.org/officeDocument/2006/relationships/hyperlink" Target="http://primagriya.com/" TargetMode="External"/><Relationship Id="rId15" Type="http://schemas.openxmlformats.org/officeDocument/2006/relationships/hyperlink" Target="http://primagriya.com/" TargetMode="External"/><Relationship Id="rId23" Type="http://schemas.openxmlformats.org/officeDocument/2006/relationships/hyperlink" Target="http://hratour.id/" TargetMode="External"/><Relationship Id="rId28" Type="http://schemas.openxmlformats.org/officeDocument/2006/relationships/hyperlink" Target="http://adhidezign.com/" TargetMode="External"/><Relationship Id="rId36" Type="http://schemas.openxmlformats.org/officeDocument/2006/relationships/hyperlink" Target="http://primagriya.com/" TargetMode="External"/><Relationship Id="rId10" Type="http://schemas.openxmlformats.org/officeDocument/2006/relationships/hyperlink" Target="http://derra.id/" TargetMode="External"/><Relationship Id="rId19" Type="http://schemas.openxmlformats.org/officeDocument/2006/relationships/hyperlink" Target="http://hratour.id/" TargetMode="External"/><Relationship Id="rId31" Type="http://schemas.openxmlformats.org/officeDocument/2006/relationships/hyperlink" Target="http://adhidezign.com/" TargetMode="External"/><Relationship Id="rId4" Type="http://schemas.openxmlformats.org/officeDocument/2006/relationships/hyperlink" Target="http://primagriya.com/" TargetMode="External"/><Relationship Id="rId9" Type="http://schemas.openxmlformats.org/officeDocument/2006/relationships/hyperlink" Target="http://primagriya.com/" TargetMode="External"/><Relationship Id="rId14" Type="http://schemas.openxmlformats.org/officeDocument/2006/relationships/hyperlink" Target="http://derra.id/" TargetMode="External"/><Relationship Id="rId22" Type="http://schemas.openxmlformats.org/officeDocument/2006/relationships/hyperlink" Target="http://hratour.id/" TargetMode="External"/><Relationship Id="rId27" Type="http://schemas.openxmlformats.org/officeDocument/2006/relationships/hyperlink" Target="http://adhidezign.com/" TargetMode="External"/><Relationship Id="rId30" Type="http://schemas.openxmlformats.org/officeDocument/2006/relationships/hyperlink" Target="http://adhidezign.com/" TargetMode="External"/><Relationship Id="rId35" Type="http://schemas.openxmlformats.org/officeDocument/2006/relationships/hyperlink" Target="http://adhidezign.com/" TargetMode="External"/><Relationship Id="rId8" Type="http://schemas.openxmlformats.org/officeDocument/2006/relationships/hyperlink" Target="http://primagriya.com/" TargetMode="External"/><Relationship Id="rId3" Type="http://schemas.openxmlformats.org/officeDocument/2006/relationships/hyperlink" Target="http://primagriya.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1" Type="http://schemas.openxmlformats.org/officeDocument/2006/relationships/hyperlink" Target="https://wa.me/6282172291579" TargetMode="External"/><Relationship Id="rId170" Type="http://schemas.openxmlformats.org/officeDocument/2006/relationships/hyperlink" Target="https://adsmanager.facebook.com/adsmanager/manage/campaigns/edit/standalone?act=174904221976312&amp;selected_campaign_ids=120228363354470694" TargetMode="External"/><Relationship Id="rId268" Type="http://schemas.openxmlformats.org/officeDocument/2006/relationships/hyperlink" Target="https://wa.me/6285268101557" TargetMode="External"/><Relationship Id="rId475" Type="http://schemas.openxmlformats.org/officeDocument/2006/relationships/hyperlink" Target="https://wa.me/6285299991164" TargetMode="External"/><Relationship Id="rId682" Type="http://schemas.openxmlformats.org/officeDocument/2006/relationships/hyperlink" Target="https://wa.me/6282217300224" TargetMode="External"/><Relationship Id="rId128" Type="http://schemas.openxmlformats.org/officeDocument/2006/relationships/hyperlink" Target="https://adsmanager.facebook.com/adsmanager/manage/campaigns/edit/standalone?act=174904221976312&amp;selected_campaign_ids=120228159122310694" TargetMode="External"/><Relationship Id="rId335" Type="http://schemas.openxmlformats.org/officeDocument/2006/relationships/hyperlink" Target="https://adsmanager.facebook.com/adsmanager/manage/campaigns/edit/standalone?act=174904221976312&amp;selected_campaign_ids=120229259403190694" TargetMode="External"/><Relationship Id="rId542" Type="http://schemas.openxmlformats.org/officeDocument/2006/relationships/hyperlink" Target="https://adsmanager.facebook.com/adsmanager/manage/campaigns/edit/standalone?act=174904221976312&amp;selected_campaign_ids=120230588843930694" TargetMode="External"/><Relationship Id="rId987" Type="http://schemas.openxmlformats.org/officeDocument/2006/relationships/hyperlink" Target="https://adsmanager.facebook.com/adsmanager/manage/campaigns/edit/standalone?act=766589657993298&amp;selected_campaign_ids=120226503616670235" TargetMode="External"/><Relationship Id="rId1172" Type="http://schemas.openxmlformats.org/officeDocument/2006/relationships/hyperlink" Target="https://wa.me/6285186029090" TargetMode="External"/><Relationship Id="rId402" Type="http://schemas.openxmlformats.org/officeDocument/2006/relationships/hyperlink" Target="https://adsmanager.facebook.com/adsmanager/manage/campaigns/edit/standalone?act=174904221976312&amp;selected_campaign_ids=120229865135390694" TargetMode="External"/><Relationship Id="rId847" Type="http://schemas.openxmlformats.org/officeDocument/2006/relationships/hyperlink" Target="https://wa.me/6283129638348" TargetMode="External"/><Relationship Id="rId1032" Type="http://schemas.openxmlformats.org/officeDocument/2006/relationships/hyperlink" Target="https://adsmanager.facebook.com/adsmanager/manage/campaigns/edit/standalone?act=766589657993298&amp;selected_campaign_ids=120227332148190235" TargetMode="External"/><Relationship Id="rId707" Type="http://schemas.openxmlformats.org/officeDocument/2006/relationships/hyperlink" Target="https://wa.me/62817308228" TargetMode="External"/><Relationship Id="rId914" Type="http://schemas.openxmlformats.org/officeDocument/2006/relationships/hyperlink" Target="https://adsmanager.facebook.com/adsmanager/manage/campaigns/edit/standalone?act=759724529202804&amp;selected_campaign_ids=120229259533260200" TargetMode="External"/><Relationship Id="rId1337" Type="http://schemas.openxmlformats.org/officeDocument/2006/relationships/hyperlink" Target="https://adsmanager.facebook.com/adsmanager/manage/campaigns/edit/standalone?act=766589657993298&amp;selected_campaign_ids=120231968086600235" TargetMode="External"/><Relationship Id="rId43" Type="http://schemas.openxmlformats.org/officeDocument/2006/relationships/hyperlink" Target="https://adsmanager.facebook.com/adsmanager/manage/campaigns/edit/standalone?act=174904221976312&amp;selected_campaign_ids=120226539786220694" TargetMode="External"/><Relationship Id="rId192" Type="http://schemas.openxmlformats.org/officeDocument/2006/relationships/hyperlink" Target="https://adsmanager.facebook.com/adsmanager/manage/campaigns/edit/standalone?act=174904221976312&amp;selected_campaign_ids=120228481112260694" TargetMode="External"/><Relationship Id="rId497" Type="http://schemas.openxmlformats.org/officeDocument/2006/relationships/hyperlink" Target="https://wa.me/6281288245836" TargetMode="External"/><Relationship Id="rId357" Type="http://schemas.openxmlformats.org/officeDocument/2006/relationships/hyperlink" Target="https://wa.me/6287790276733" TargetMode="External"/><Relationship Id="rId1194" Type="http://schemas.openxmlformats.org/officeDocument/2006/relationships/hyperlink" Target="https://wa.me/6287888068088" TargetMode="External"/><Relationship Id="rId217" Type="http://schemas.openxmlformats.org/officeDocument/2006/relationships/hyperlink" Target="https://wa.me/6281253629810" TargetMode="External"/><Relationship Id="rId564" Type="http://schemas.openxmlformats.org/officeDocument/2006/relationships/hyperlink" Target="https://adsmanager.facebook.com/adsmanager/manage/campaigns/edit/standalone?act=174904221976312&amp;selected_campaign_ids=120230774466620694" TargetMode="External"/><Relationship Id="rId771" Type="http://schemas.openxmlformats.org/officeDocument/2006/relationships/hyperlink" Target="https://wa.me/6281338383022" TargetMode="External"/><Relationship Id="rId869" Type="http://schemas.openxmlformats.org/officeDocument/2006/relationships/hyperlink" Target="https://wa.me/628872305953" TargetMode="External"/><Relationship Id="rId424" Type="http://schemas.openxmlformats.org/officeDocument/2006/relationships/hyperlink" Target="https://adsmanager.facebook.com/adsmanager/manage/campaigns/edit/standalone?act=174904221976312&amp;selected_campaign_ids=120229982659360694" TargetMode="External"/><Relationship Id="rId631" Type="http://schemas.openxmlformats.org/officeDocument/2006/relationships/hyperlink" Target="https://adsmanager.facebook.com/adsmanager/manage/campaigns/edit/standalone?act=174904221976312&amp;selected_campaign_ids=120231366267850694" TargetMode="External"/><Relationship Id="rId729" Type="http://schemas.openxmlformats.org/officeDocument/2006/relationships/hyperlink" Target="https://wa.me/6285654251369" TargetMode="External"/><Relationship Id="rId1054" Type="http://schemas.openxmlformats.org/officeDocument/2006/relationships/hyperlink" Target="https://wa.me/6281632236409" TargetMode="External"/><Relationship Id="rId1261" Type="http://schemas.openxmlformats.org/officeDocument/2006/relationships/hyperlink" Target="https://adsmanager.facebook.com/adsmanager/manage/campaigns/edit/standalone?act=766589657993298&amp;selected_campaign_ids=120230789620270235" TargetMode="External"/><Relationship Id="rId1359" Type="http://schemas.openxmlformats.org/officeDocument/2006/relationships/hyperlink" Target="https://adsmanager.facebook.com/adsmanager/manage/campaigns/edit/standalone?act=766589657993298&amp;selected_campaign_ids=120232600848910235" TargetMode="External"/><Relationship Id="rId936" Type="http://schemas.openxmlformats.org/officeDocument/2006/relationships/hyperlink" Target="https://adsmanager.facebook.com/adsmanager/manage/campaigns/edit/standalone?act=759724529202804&amp;selected_campaign_ids=120229746465130200" TargetMode="External"/><Relationship Id="rId1121" Type="http://schemas.openxmlformats.org/officeDocument/2006/relationships/hyperlink" Target="https://adsmanager.facebook.com/adsmanager/manage/campaigns/edit/standalone?act=766589657993298&amp;selected_campaign_ids=120228848957610235" TargetMode="External"/><Relationship Id="rId1219" Type="http://schemas.openxmlformats.org/officeDocument/2006/relationships/hyperlink" Target="https://adsmanager.facebook.com/adsmanager/manage/campaigns/edit/standalone?act=766589657993298&amp;selected_campaign_ids=120230026230590235" TargetMode="External"/><Relationship Id="rId65" Type="http://schemas.openxmlformats.org/officeDocument/2006/relationships/hyperlink" Target="https://wa.me/6281393958199" TargetMode="External"/><Relationship Id="rId281" Type="http://schemas.openxmlformats.org/officeDocument/2006/relationships/hyperlink" Target="https://adsmanager.facebook.com/adsmanager/manage/campaigns/edit/standalone?act=174904221976312&amp;selected_campaign_ids=120229015032510694" TargetMode="External"/><Relationship Id="rId141" Type="http://schemas.openxmlformats.org/officeDocument/2006/relationships/hyperlink" Target="https://wa.me/6281287982295" TargetMode="External"/><Relationship Id="rId379" Type="http://schemas.openxmlformats.org/officeDocument/2006/relationships/hyperlink" Target="https://wa.me/6281111121020" TargetMode="External"/><Relationship Id="rId586" Type="http://schemas.openxmlformats.org/officeDocument/2006/relationships/hyperlink" Target="https://adsmanager.facebook.com/adsmanager/manage/campaigns/edit/standalone?act=174904221976312&amp;selected_campaign_ids=120231053893780694" TargetMode="External"/><Relationship Id="rId793" Type="http://schemas.openxmlformats.org/officeDocument/2006/relationships/hyperlink" Target="https://wa.me/6287751068360" TargetMode="External"/><Relationship Id="rId7" Type="http://schemas.openxmlformats.org/officeDocument/2006/relationships/hyperlink" Target="https://adsmanager.facebook.com/adsmanager/manage/campaigns/edit/standalone?act=174904221976312&amp;selected_campaign_ids=120224679214120694" TargetMode="External"/><Relationship Id="rId239" Type="http://schemas.openxmlformats.org/officeDocument/2006/relationships/hyperlink" Target="https://adsmanager.facebook.com/adsmanager/manage/campaigns/edit/standalone?act=174904221976312&amp;selected_campaign_ids=120228690955610694" TargetMode="External"/><Relationship Id="rId446" Type="http://schemas.openxmlformats.org/officeDocument/2006/relationships/hyperlink" Target="https://adsmanager.facebook.com/adsmanager/manage/campaigns/edit/standalone?act=174904221976312&amp;selected_campaign_ids=120230031554680694" TargetMode="External"/><Relationship Id="rId653" Type="http://schemas.openxmlformats.org/officeDocument/2006/relationships/hyperlink" Target="https://adsmanager.facebook.com/adsmanager/manage/campaigns/edit/standalone?act=174904221976312&amp;selected_campaign_ids=120231473075480694" TargetMode="External"/><Relationship Id="rId1076" Type="http://schemas.openxmlformats.org/officeDocument/2006/relationships/hyperlink" Target="https://wa.me/6283151330372" TargetMode="External"/><Relationship Id="rId1283" Type="http://schemas.openxmlformats.org/officeDocument/2006/relationships/hyperlink" Target="https://adsmanager.facebook.com/adsmanager/manage/campaigns/edit/standalone?act=766589657993298&amp;selected_campaign_ids=120231247515380235" TargetMode="External"/><Relationship Id="rId306" Type="http://schemas.openxmlformats.org/officeDocument/2006/relationships/hyperlink" Target="https://wa.me/6285645050058" TargetMode="External"/><Relationship Id="rId860" Type="http://schemas.openxmlformats.org/officeDocument/2006/relationships/hyperlink" Target="https://adsmanager.facebook.com/adsmanager/manage/campaigns/edit/standalone?act=759724529202804&amp;selected_campaign_ids=120227403909070200" TargetMode="External"/><Relationship Id="rId958" Type="http://schemas.openxmlformats.org/officeDocument/2006/relationships/hyperlink" Target="https://adsmanager.facebook.com/adsmanager/manage/campaigns/edit/standalone?act=759724529202804&amp;selected_campaign_ids=120230399162310200" TargetMode="External"/><Relationship Id="rId1143" Type="http://schemas.openxmlformats.org/officeDocument/2006/relationships/hyperlink" Target="https://adsmanager.facebook.com/adsmanager/manage/campaigns/edit/standalone?act=766589657993298&amp;selected_campaign_ids=120229145167880235" TargetMode="External"/><Relationship Id="rId87" Type="http://schemas.openxmlformats.org/officeDocument/2006/relationships/hyperlink" Target="https://wa.me/6288228976100" TargetMode="External"/><Relationship Id="rId513" Type="http://schemas.openxmlformats.org/officeDocument/2006/relationships/hyperlink" Target="https://wa.me/6282153090123" TargetMode="External"/><Relationship Id="rId720" Type="http://schemas.openxmlformats.org/officeDocument/2006/relationships/hyperlink" Target="https://adsmanager.facebook.com/adsmanager/manage/campaigns/edit/standalone?act=174904221976312&amp;selected_campaign_ids=120231912777610694" TargetMode="External"/><Relationship Id="rId818" Type="http://schemas.openxmlformats.org/officeDocument/2006/relationships/hyperlink" Target="https://adsmanager.facebook.com/adsmanager/manage/campaigns/edit/standalone?act=174904221976312&amp;selected_campaign_ids=120232675266100694" TargetMode="External"/><Relationship Id="rId1350" Type="http://schemas.openxmlformats.org/officeDocument/2006/relationships/hyperlink" Target="https://wa.me/6289630527354" TargetMode="External"/><Relationship Id="rId1003" Type="http://schemas.openxmlformats.org/officeDocument/2006/relationships/hyperlink" Target="https://wa.me/6282399006447" TargetMode="External"/><Relationship Id="rId1210" Type="http://schemas.openxmlformats.org/officeDocument/2006/relationships/hyperlink" Target="https://wa.me/6285268858846" TargetMode="External"/><Relationship Id="rId1308" Type="http://schemas.openxmlformats.org/officeDocument/2006/relationships/hyperlink" Target="https://wa.me/6282328059129" TargetMode="External"/><Relationship Id="rId14" Type="http://schemas.openxmlformats.org/officeDocument/2006/relationships/hyperlink" Target="https://adsmanager.facebook.com/adsmanager/manage/campaigns/edit/standalone?act=174904221976312&amp;selected_campaign_ids=120225230850710694" TargetMode="External"/><Relationship Id="rId163" Type="http://schemas.openxmlformats.org/officeDocument/2006/relationships/hyperlink" Target="https://wa.me/6281779578317" TargetMode="External"/><Relationship Id="rId370" Type="http://schemas.openxmlformats.org/officeDocument/2006/relationships/hyperlink" Target="https://adsmanager.facebook.com/adsmanager/manage/campaigns/edit/standalone?act=174904221976312&amp;selected_campaign_ids=120229538953550694" TargetMode="External"/><Relationship Id="rId230" Type="http://schemas.openxmlformats.org/officeDocument/2006/relationships/hyperlink" Target="https://wa.me/6283845117965" TargetMode="External"/><Relationship Id="rId468" Type="http://schemas.openxmlformats.org/officeDocument/2006/relationships/hyperlink" Target="https://adsmanager.facebook.com/adsmanager/manage/campaigns/edit/standalone?act=174904221976312&amp;selected_campaign_ids=120230105029980694" TargetMode="External"/><Relationship Id="rId675" Type="http://schemas.openxmlformats.org/officeDocument/2006/relationships/hyperlink" Target="https://adsmanager.facebook.com/adsmanager/manage/campaigns/edit/standalone?act=174904221976312&amp;selected_campaign_ids=120231548764730694" TargetMode="External"/><Relationship Id="rId882" Type="http://schemas.openxmlformats.org/officeDocument/2006/relationships/hyperlink" Target="https://adsmanager.facebook.com/adsmanager/manage/campaigns/edit/standalone?act=759724529202804&amp;selected_campaign_ids=120228392828650200" TargetMode="External"/><Relationship Id="rId1098" Type="http://schemas.openxmlformats.org/officeDocument/2006/relationships/hyperlink" Target="https://wa.me/6285715856120" TargetMode="External"/><Relationship Id="rId328" Type="http://schemas.openxmlformats.org/officeDocument/2006/relationships/hyperlink" Target="https://wa.me/628113311777" TargetMode="External"/><Relationship Id="rId535" Type="http://schemas.openxmlformats.org/officeDocument/2006/relationships/hyperlink" Target="https://wa.me/6282390759437" TargetMode="External"/><Relationship Id="rId742" Type="http://schemas.openxmlformats.org/officeDocument/2006/relationships/hyperlink" Target="https://adsmanager.facebook.com/adsmanager/manage/campaigns/edit/standalone?act=174904221976312&amp;selected_campaign_ids=120232058077190694" TargetMode="External"/><Relationship Id="rId1165" Type="http://schemas.openxmlformats.org/officeDocument/2006/relationships/hyperlink" Target="https://adsmanager.facebook.com/adsmanager/manage/campaigns/edit/standalone?act=766589657993298&amp;selected_campaign_ids=120229445583580235" TargetMode="External"/><Relationship Id="rId1372" Type="http://schemas.openxmlformats.org/officeDocument/2006/relationships/hyperlink" Target="https://adsmanager.facebook.com/adsmanager/manage/campaigns/edit/standalone?act=766589657993298&amp;selected_campaign_ids=120232916950590235" TargetMode="External"/><Relationship Id="rId602" Type="http://schemas.openxmlformats.org/officeDocument/2006/relationships/hyperlink" Target="https://wa.me/6285741888828" TargetMode="External"/><Relationship Id="rId1025" Type="http://schemas.openxmlformats.org/officeDocument/2006/relationships/hyperlink" Target="https://wa.me/6282393168368" TargetMode="External"/><Relationship Id="rId1232" Type="http://schemas.openxmlformats.org/officeDocument/2006/relationships/hyperlink" Target="https://wa.me/6281321528899" TargetMode="External"/><Relationship Id="rId907" Type="http://schemas.openxmlformats.org/officeDocument/2006/relationships/hyperlink" Target="https://wa.me/628158830325" TargetMode="External"/><Relationship Id="rId36" Type="http://schemas.openxmlformats.org/officeDocument/2006/relationships/hyperlink" Target="https://adsmanager.facebook.com/adsmanager/manage/campaigns/edit/standalone?act=174904221976312&amp;selected_campaign_ids=120226351656870694" TargetMode="External"/><Relationship Id="rId185" Type="http://schemas.openxmlformats.org/officeDocument/2006/relationships/hyperlink" Target="https://wa.me/6285274759862" TargetMode="External"/><Relationship Id="rId392" Type="http://schemas.openxmlformats.org/officeDocument/2006/relationships/hyperlink" Target="https://adsmanager.facebook.com/adsmanager/manage/campaigns/edit/standalone?act=174904221976312&amp;selected_campaign_ids=120229737136600694" TargetMode="External"/><Relationship Id="rId697" Type="http://schemas.openxmlformats.org/officeDocument/2006/relationships/hyperlink" Target="https://wa.me/6285780314346" TargetMode="External"/><Relationship Id="rId252" Type="http://schemas.openxmlformats.org/officeDocument/2006/relationships/hyperlink" Target="https://wa.me/6285714141525" TargetMode="External"/><Relationship Id="rId1187" Type="http://schemas.openxmlformats.org/officeDocument/2006/relationships/hyperlink" Target="https://adsmanager.facebook.com/adsmanager/manage/campaigns/edit/standalone?act=766589657993298&amp;selected_campaign_ids=120229632014130235" TargetMode="External"/><Relationship Id="rId112" Type="http://schemas.openxmlformats.org/officeDocument/2006/relationships/hyperlink" Target="https://adsmanager.facebook.com/adsmanager/manage/campaigns/edit/standalone?act=174904221976312&amp;selected_campaign_ids=120228084912580694" TargetMode="External"/><Relationship Id="rId557" Type="http://schemas.openxmlformats.org/officeDocument/2006/relationships/hyperlink" Target="https://wa.me/6282112073155" TargetMode="External"/><Relationship Id="rId764" Type="http://schemas.openxmlformats.org/officeDocument/2006/relationships/hyperlink" Target="https://adsmanager.facebook.com/adsmanager/manage/campaigns/edit/standalone?act=174904221976312&amp;selected_campaign_ids=120232114498080694" TargetMode="External"/><Relationship Id="rId971" Type="http://schemas.openxmlformats.org/officeDocument/2006/relationships/hyperlink" Target="https://wa.me/628127126274" TargetMode="External"/><Relationship Id="rId1394" Type="http://schemas.openxmlformats.org/officeDocument/2006/relationships/hyperlink" Target="https://adsmanager.facebook.com/adsmanager/manage/campaigns/edit/standalone?act=766589657993298&amp;selected_campaign_ids=120233178619080235" TargetMode="External"/><Relationship Id="rId417" Type="http://schemas.openxmlformats.org/officeDocument/2006/relationships/hyperlink" Target="https://wa.me/6285326750989" TargetMode="External"/><Relationship Id="rId624" Type="http://schemas.openxmlformats.org/officeDocument/2006/relationships/hyperlink" Target="https://wa.me/628122577723" TargetMode="External"/><Relationship Id="rId831" Type="http://schemas.openxmlformats.org/officeDocument/2006/relationships/hyperlink" Target="https://wa.me/6281230656664" TargetMode="External"/><Relationship Id="rId1047" Type="http://schemas.openxmlformats.org/officeDocument/2006/relationships/hyperlink" Target="https://adsmanager.facebook.com/adsmanager/manage/campaigns/edit/standalone?act=766589657993298&amp;selected_campaign_ids=120227597018130235" TargetMode="External"/><Relationship Id="rId1254" Type="http://schemas.openxmlformats.org/officeDocument/2006/relationships/hyperlink" Target="https://wa.me/6285737375137" TargetMode="External"/><Relationship Id="rId929" Type="http://schemas.openxmlformats.org/officeDocument/2006/relationships/hyperlink" Target="https://wa.me/628111988553" TargetMode="External"/><Relationship Id="rId1114" Type="http://schemas.openxmlformats.org/officeDocument/2006/relationships/hyperlink" Target="https://wa.me/6288980619907" TargetMode="External"/><Relationship Id="rId1321" Type="http://schemas.openxmlformats.org/officeDocument/2006/relationships/hyperlink" Target="https://adsmanager.facebook.com/adsmanager/manage/campaigns/edit/standalone?act=766589657993298&amp;selected_campaign_ids=120231642082840235" TargetMode="External"/><Relationship Id="rId58" Type="http://schemas.openxmlformats.org/officeDocument/2006/relationships/hyperlink" Target="https://adsmanager.facebook.com/adsmanager/manage/campaigns/edit/standalone?act=174904221976312&amp;selected_campaign_ids=120227123792540694" TargetMode="External"/><Relationship Id="rId274" Type="http://schemas.openxmlformats.org/officeDocument/2006/relationships/hyperlink" Target="https://wa.me/6281215284044" TargetMode="External"/><Relationship Id="rId481" Type="http://schemas.openxmlformats.org/officeDocument/2006/relationships/hyperlink" Target="https://wa.me/6285191259285" TargetMode="External"/><Relationship Id="rId134" Type="http://schemas.openxmlformats.org/officeDocument/2006/relationships/hyperlink" Target="https://adsmanager.facebook.com/adsmanager/manage/campaigns/edit/standalone?act=174904221976312&amp;selected_campaign_ids=120228196067880694" TargetMode="External"/><Relationship Id="rId579" Type="http://schemas.openxmlformats.org/officeDocument/2006/relationships/hyperlink" Target="https://wa.me/6281210801646" TargetMode="External"/><Relationship Id="rId786" Type="http://schemas.openxmlformats.org/officeDocument/2006/relationships/hyperlink" Target="https://adsmanager.facebook.com/adsmanager/manage/campaigns/edit/standalone?act=174904221976312&amp;selected_campaign_ids=120232348017250694" TargetMode="External"/><Relationship Id="rId993" Type="http://schemas.openxmlformats.org/officeDocument/2006/relationships/hyperlink" Target="https://adsmanager.facebook.com/adsmanager/manage/campaigns/edit/standalone?act=766589657993298&amp;selected_campaign_ids=120226575228680235" TargetMode="External"/><Relationship Id="rId341" Type="http://schemas.openxmlformats.org/officeDocument/2006/relationships/hyperlink" Target="https://wa.me/6282333358533" TargetMode="External"/><Relationship Id="rId439" Type="http://schemas.openxmlformats.org/officeDocument/2006/relationships/hyperlink" Target="https://wa.me/6281326757091" TargetMode="External"/><Relationship Id="rId646" Type="http://schemas.openxmlformats.org/officeDocument/2006/relationships/hyperlink" Target="https://wa.me/6281558225822" TargetMode="External"/><Relationship Id="rId1069" Type="http://schemas.openxmlformats.org/officeDocument/2006/relationships/hyperlink" Target="https://adsmanager.facebook.com/adsmanager/manage/campaigns/edit/standalone?act=766589657993298&amp;selected_campaign_ids=120227853313460235" TargetMode="External"/><Relationship Id="rId1276" Type="http://schemas.openxmlformats.org/officeDocument/2006/relationships/hyperlink" Target="https://wa.me/6281353489660" TargetMode="External"/><Relationship Id="rId201" Type="http://schemas.openxmlformats.org/officeDocument/2006/relationships/hyperlink" Target="https://wa.me/6283183643221" TargetMode="External"/><Relationship Id="rId506" Type="http://schemas.openxmlformats.org/officeDocument/2006/relationships/hyperlink" Target="https://adsmanager.facebook.com/adsmanager/manage/campaigns/edit/standalone?act=174904221976312&amp;selected_campaign_ids=120230433186760694" TargetMode="External"/><Relationship Id="rId853" Type="http://schemas.openxmlformats.org/officeDocument/2006/relationships/hyperlink" Target="https://adsmanager.facebook.com/adsmanager/manage/campaigns/edit/standalone?act=759724529202804&amp;selected_campaign_ids=120227357012290200" TargetMode="External"/><Relationship Id="rId1136" Type="http://schemas.openxmlformats.org/officeDocument/2006/relationships/hyperlink" Target="https://adsmanager.facebook.com/adsmanager/manage/campaigns/edit/standalone?act=766589657993298&amp;selected_campaign_ids=120229074253780235" TargetMode="External"/><Relationship Id="rId713" Type="http://schemas.openxmlformats.org/officeDocument/2006/relationships/hyperlink" Target="https://wa.me/6285384956538" TargetMode="External"/><Relationship Id="rId920" Type="http://schemas.openxmlformats.org/officeDocument/2006/relationships/hyperlink" Target="https://adsmanager.facebook.com/adsmanager/manage/campaigns/edit/standalone?act=759724529202804&amp;selected_campaign_ids=120229368849020200" TargetMode="External"/><Relationship Id="rId1343" Type="http://schemas.openxmlformats.org/officeDocument/2006/relationships/hyperlink" Target="https://adsmanager.facebook.com/adsmanager/manage/campaigns/edit/standalone?act=766589657993298&amp;selected_campaign_ids=120232028046030235" TargetMode="External"/><Relationship Id="rId1203" Type="http://schemas.openxmlformats.org/officeDocument/2006/relationships/hyperlink" Target="https://adsmanager.facebook.com/adsmanager/manage/campaigns/edit/standalone?act=766589657993298&amp;selected_campaign_ids=120229706818760235" TargetMode="External"/><Relationship Id="rId296" Type="http://schemas.openxmlformats.org/officeDocument/2006/relationships/hyperlink" Target="https://wa.me/6282197248722" TargetMode="External"/><Relationship Id="rId156" Type="http://schemas.openxmlformats.org/officeDocument/2006/relationships/hyperlink" Target="https://adsmanager.facebook.com/adsmanager/manage/campaigns/edit/standalone?act=174904221976312&amp;selected_campaign_ids=120228298516200694" TargetMode="External"/><Relationship Id="rId363" Type="http://schemas.openxmlformats.org/officeDocument/2006/relationships/hyperlink" Target="https://wa.me/6285727626320" TargetMode="External"/><Relationship Id="rId570" Type="http://schemas.openxmlformats.org/officeDocument/2006/relationships/hyperlink" Target="https://adsmanager.facebook.com/adsmanager/manage/campaigns/edit/standalone?act=174904221976312&amp;selected_campaign_ids=120230877844000694" TargetMode="External"/><Relationship Id="rId223" Type="http://schemas.openxmlformats.org/officeDocument/2006/relationships/hyperlink" Target="https://adsmanager.facebook.com/adsmanager/manage/campaigns/edit/standalone?act=174904221976312&amp;selected_campaign_ids=120228661886700694" TargetMode="External"/><Relationship Id="rId430" Type="http://schemas.openxmlformats.org/officeDocument/2006/relationships/hyperlink" Target="https://adsmanager.facebook.com/adsmanager/manage/campaigns/edit/standalone?act=174904221976312&amp;selected_campaign_ids=120229983962720694" TargetMode="External"/><Relationship Id="rId668" Type="http://schemas.openxmlformats.org/officeDocument/2006/relationships/hyperlink" Target="https://wa.me/6289606523838" TargetMode="External"/><Relationship Id="rId875" Type="http://schemas.openxmlformats.org/officeDocument/2006/relationships/hyperlink" Target="https://wa.me/6282274447649" TargetMode="External"/><Relationship Id="rId1060" Type="http://schemas.openxmlformats.org/officeDocument/2006/relationships/hyperlink" Target="https://wa.me/6282324392716" TargetMode="External"/><Relationship Id="rId1298" Type="http://schemas.openxmlformats.org/officeDocument/2006/relationships/hyperlink" Target="https://wa.me/628156516849" TargetMode="External"/><Relationship Id="rId528" Type="http://schemas.openxmlformats.org/officeDocument/2006/relationships/hyperlink" Target="https://adsmanager.facebook.com/adsmanager/manage/campaigns/edit/standalone?act=174904221976312&amp;selected_campaign_ids=120230526115890694" TargetMode="External"/><Relationship Id="rId735" Type="http://schemas.openxmlformats.org/officeDocument/2006/relationships/hyperlink" Target="https://wa.me/6287722264777" TargetMode="External"/><Relationship Id="rId942" Type="http://schemas.openxmlformats.org/officeDocument/2006/relationships/hyperlink" Target="https://adsmanager.facebook.com/adsmanager/manage/campaigns/edit/standalone?act=759724529202804&amp;selected_campaign_ids=120229781163600200" TargetMode="External"/><Relationship Id="rId1158" Type="http://schemas.openxmlformats.org/officeDocument/2006/relationships/hyperlink" Target="https://adsmanager.facebook.com/adsmanager/manage/campaigns/edit/standalone?act=766589657993298&amp;selected_campaign_ids=120229312414330235" TargetMode="External"/><Relationship Id="rId1365" Type="http://schemas.openxmlformats.org/officeDocument/2006/relationships/hyperlink" Target="https://adsmanager.facebook.com/adsmanager/manage/campaigns/edit/standalone?act=766589657993298&amp;selected_campaign_ids=120232739904620235" TargetMode="External"/><Relationship Id="rId1018" Type="http://schemas.openxmlformats.org/officeDocument/2006/relationships/hyperlink" Target="https://adsmanager.facebook.com/adsmanager/manage/campaigns/edit/standalone?act=766589657993298&amp;selected_campaign_ids=120227228189250235" TargetMode="External"/><Relationship Id="rId1225" Type="http://schemas.openxmlformats.org/officeDocument/2006/relationships/hyperlink" Target="https://adsmanager.facebook.com/adsmanager/manage/campaigns/edit/standalone?act=766589657993298&amp;selected_campaign_ids=120230031655260235" TargetMode="External"/><Relationship Id="rId71" Type="http://schemas.openxmlformats.org/officeDocument/2006/relationships/hyperlink" Target="https://wa.me/6282399721881" TargetMode="External"/><Relationship Id="rId802" Type="http://schemas.openxmlformats.org/officeDocument/2006/relationships/hyperlink" Target="https://adsmanager.facebook.com/adsmanager/manage/campaigns/edit/standalone?act=174904221976312&amp;selected_campaign_ids=120232493664810694" TargetMode="External"/><Relationship Id="rId29" Type="http://schemas.openxmlformats.org/officeDocument/2006/relationships/hyperlink" Target="https://wa.me/6281399998259" TargetMode="External"/><Relationship Id="rId178" Type="http://schemas.openxmlformats.org/officeDocument/2006/relationships/hyperlink" Target="https://adsmanager.facebook.com/adsmanager/manage/campaigns/edit/standalone?act=174904221976312&amp;selected_campaign_ids=120228419715390694" TargetMode="External"/><Relationship Id="rId385" Type="http://schemas.openxmlformats.org/officeDocument/2006/relationships/hyperlink" Target="https://wa.me/6282142833445" TargetMode="External"/><Relationship Id="rId592" Type="http://schemas.openxmlformats.org/officeDocument/2006/relationships/hyperlink" Target="https://adsmanager.facebook.com/adsmanager/manage/campaigns/edit/standalone?act=174904221976312&amp;selected_campaign_ids=120231117105190694" TargetMode="External"/><Relationship Id="rId245" Type="http://schemas.openxmlformats.org/officeDocument/2006/relationships/hyperlink" Target="https://adsmanager.facebook.com/adsmanager/manage/campaigns/edit/standalone?act=174904221976312&amp;selected_campaign_ids=120228759857360694" TargetMode="External"/><Relationship Id="rId452" Type="http://schemas.openxmlformats.org/officeDocument/2006/relationships/hyperlink" Target="https://adsmanager.facebook.com/adsmanager/manage/campaigns/edit/standalone?act=174904221976312&amp;selected_campaign_ids=120230032290790694" TargetMode="External"/><Relationship Id="rId897" Type="http://schemas.openxmlformats.org/officeDocument/2006/relationships/hyperlink" Target="https://wa.me/6285775986977" TargetMode="External"/><Relationship Id="rId1082" Type="http://schemas.openxmlformats.org/officeDocument/2006/relationships/hyperlink" Target="https://wa.me/6283135590465" TargetMode="External"/><Relationship Id="rId105" Type="http://schemas.openxmlformats.org/officeDocument/2006/relationships/hyperlink" Target="https://wa.me/6282114053996" TargetMode="External"/><Relationship Id="rId312" Type="http://schemas.openxmlformats.org/officeDocument/2006/relationships/hyperlink" Target="https://wa.me/6289607006888" TargetMode="External"/><Relationship Id="rId757" Type="http://schemas.openxmlformats.org/officeDocument/2006/relationships/hyperlink" Target="https://wa.me/6282220371971" TargetMode="External"/><Relationship Id="rId964" Type="http://schemas.openxmlformats.org/officeDocument/2006/relationships/hyperlink" Target="https://adsmanager.facebook.com/adsmanager/manage/campaigns/edit/standalone?act=759724529202804&amp;selected_campaign_ids=120230422931920200" TargetMode="External"/><Relationship Id="rId1387" Type="http://schemas.openxmlformats.org/officeDocument/2006/relationships/hyperlink" Target="https://wa.me/6283188945188" TargetMode="External"/><Relationship Id="rId93" Type="http://schemas.openxmlformats.org/officeDocument/2006/relationships/hyperlink" Target="https://wa.me/6281291128945" TargetMode="External"/><Relationship Id="rId617" Type="http://schemas.openxmlformats.org/officeDocument/2006/relationships/hyperlink" Target="https://adsmanager.facebook.com/adsmanager/manage/campaigns/edit/standalone?act=174904221976312&amp;selected_campaign_ids=120231299073280694" TargetMode="External"/><Relationship Id="rId824" Type="http://schemas.openxmlformats.org/officeDocument/2006/relationships/hyperlink" Target="https://adsmanager.facebook.com/adsmanager/manage/campaigns/edit/standalone?act=174904221976312&amp;selected_campaign_ids=120232697830740694" TargetMode="External"/><Relationship Id="rId1247" Type="http://schemas.openxmlformats.org/officeDocument/2006/relationships/hyperlink" Target="https://adsmanager.facebook.com/adsmanager/manage/campaigns/edit/standalone?act=766589657993298&amp;selected_campaign_ids=120230531310920235" TargetMode="External"/><Relationship Id="rId1107" Type="http://schemas.openxmlformats.org/officeDocument/2006/relationships/hyperlink" Target="https://adsmanager.facebook.com/adsmanager/manage/campaigns/edit/standalone?act=766589657993298&amp;selected_campaign_ids=120228586109730235" TargetMode="External"/><Relationship Id="rId1314" Type="http://schemas.openxmlformats.org/officeDocument/2006/relationships/hyperlink" Target="https://wa.me/6283117425214" TargetMode="External"/><Relationship Id="rId20" Type="http://schemas.openxmlformats.org/officeDocument/2006/relationships/hyperlink" Target="https://adsmanager.facebook.com/adsmanager/manage/campaigns/edit/standalone?act=174904221976312&amp;selected_campaign_ids=120225575002440694" TargetMode="External"/><Relationship Id="rId267" Type="http://schemas.openxmlformats.org/officeDocument/2006/relationships/hyperlink" Target="https://adsmanager.facebook.com/adsmanager/manage/campaigns/edit/standalone?act=174904221976312&amp;selected_campaign_ids=120228923411520694" TargetMode="External"/><Relationship Id="rId474" Type="http://schemas.openxmlformats.org/officeDocument/2006/relationships/hyperlink" Target="https://adsmanager.facebook.com/adsmanager/manage/campaigns/edit/standalone?act=174904221976312&amp;selected_campaign_ids=120230152814350694" TargetMode="External"/><Relationship Id="rId127" Type="http://schemas.openxmlformats.org/officeDocument/2006/relationships/hyperlink" Target="https://wa.me/6281943398970" TargetMode="External"/><Relationship Id="rId681" Type="http://schemas.openxmlformats.org/officeDocument/2006/relationships/hyperlink" Target="https://adsmanager.facebook.com/adsmanager/manage/campaigns/edit/standalone?act=174904221976312&amp;selected_campaign_ids=120231550435920694" TargetMode="External"/><Relationship Id="rId779" Type="http://schemas.openxmlformats.org/officeDocument/2006/relationships/hyperlink" Target="https://wa.me/6282225676438" TargetMode="External"/><Relationship Id="rId986" Type="http://schemas.openxmlformats.org/officeDocument/2006/relationships/hyperlink" Target="https://wa.me/6282288123215" TargetMode="External"/><Relationship Id="rId334" Type="http://schemas.openxmlformats.org/officeDocument/2006/relationships/hyperlink" Target="https://wa.me/6287846030252" TargetMode="External"/><Relationship Id="rId541" Type="http://schemas.openxmlformats.org/officeDocument/2006/relationships/hyperlink" Target="https://wa.me/6281320188313" TargetMode="External"/><Relationship Id="rId639" Type="http://schemas.openxmlformats.org/officeDocument/2006/relationships/hyperlink" Target="https://adsmanager.facebook.com/adsmanager/manage/campaigns/edit/standalone?act=174904221976312&amp;selected_campaign_ids=120231434999530694" TargetMode="External"/><Relationship Id="rId1171" Type="http://schemas.openxmlformats.org/officeDocument/2006/relationships/hyperlink" Target="https://adsmanager.facebook.com/adsmanager/manage/campaigns/edit/standalone?act=766589657993298&amp;selected_campaign_ids=120229482872540235" TargetMode="External"/><Relationship Id="rId1269" Type="http://schemas.openxmlformats.org/officeDocument/2006/relationships/hyperlink" Target="https://adsmanager.facebook.com/adsmanager/manage/campaigns/edit/standalone?act=766589657993298&amp;selected_campaign_ids=120231117427430235" TargetMode="External"/><Relationship Id="rId401" Type="http://schemas.openxmlformats.org/officeDocument/2006/relationships/hyperlink" Target="https://wa.me/628111099911" TargetMode="External"/><Relationship Id="rId846" Type="http://schemas.openxmlformats.org/officeDocument/2006/relationships/hyperlink" Target="https://adsmanager.facebook.com/adsmanager/manage/campaigns/edit/standalone?act=759724529202804&amp;selected_campaign_ids=120227215523910200" TargetMode="External"/><Relationship Id="rId1031" Type="http://schemas.openxmlformats.org/officeDocument/2006/relationships/hyperlink" Target="https://wa.me/6285210107607" TargetMode="External"/><Relationship Id="rId1129" Type="http://schemas.openxmlformats.org/officeDocument/2006/relationships/hyperlink" Target="https://wa.me/6281351666729" TargetMode="External"/><Relationship Id="rId706" Type="http://schemas.openxmlformats.org/officeDocument/2006/relationships/hyperlink" Target="https://adsmanager.facebook.com/adsmanager/manage/campaigns/edit/standalone?act=174904221976312&amp;selected_campaign_ids=120231846522060694" TargetMode="External"/><Relationship Id="rId913" Type="http://schemas.openxmlformats.org/officeDocument/2006/relationships/hyperlink" Target="https://wa.me/628174741283" TargetMode="External"/><Relationship Id="rId1336" Type="http://schemas.openxmlformats.org/officeDocument/2006/relationships/hyperlink" Target="https://wa.me/6285333355756" TargetMode="External"/><Relationship Id="rId42" Type="http://schemas.openxmlformats.org/officeDocument/2006/relationships/hyperlink" Target="https://wa.me/6285864008882" TargetMode="External"/><Relationship Id="rId1403" Type="http://schemas.openxmlformats.org/officeDocument/2006/relationships/hyperlink" Target="https://adsmanager.facebook.com/adsmanager/manage/campaigns/edit/standalone?act=768362231010540&amp;selected_campaign_ids=120227720523590731" TargetMode="External"/><Relationship Id="rId191" Type="http://schemas.openxmlformats.org/officeDocument/2006/relationships/hyperlink" Target="https://wa.me/6285282777679" TargetMode="External"/><Relationship Id="rId289" Type="http://schemas.openxmlformats.org/officeDocument/2006/relationships/hyperlink" Target="https://adsmanager.facebook.com/adsmanager/manage/campaigns/edit/standalone?act=174904221976312&amp;selected_campaign_ids=120229015913570694" TargetMode="External"/><Relationship Id="rId496" Type="http://schemas.openxmlformats.org/officeDocument/2006/relationships/hyperlink" Target="https://adsmanager.facebook.com/adsmanager/manage/campaigns/edit/standalone?act=174904221976312&amp;selected_campaign_ids=120230292981560694" TargetMode="External"/><Relationship Id="rId149" Type="http://schemas.openxmlformats.org/officeDocument/2006/relationships/hyperlink" Target="https://wa.me/6287754552859" TargetMode="External"/><Relationship Id="rId356" Type="http://schemas.openxmlformats.org/officeDocument/2006/relationships/hyperlink" Target="https://adsmanager.facebook.com/adsmanager/manage/campaigns/edit/standalone?act=174904221976312&amp;selected_campaign_ids=120229418365250694" TargetMode="External"/><Relationship Id="rId563" Type="http://schemas.openxmlformats.org/officeDocument/2006/relationships/hyperlink" Target="https://wa.me/6285967129366" TargetMode="External"/><Relationship Id="rId770" Type="http://schemas.openxmlformats.org/officeDocument/2006/relationships/hyperlink" Target="https://adsmanager.facebook.com/adsmanager/manage/campaigns/edit/standalone?act=174904221976312&amp;selected_campaign_ids=120232250835440694" TargetMode="External"/><Relationship Id="rId1193" Type="http://schemas.openxmlformats.org/officeDocument/2006/relationships/hyperlink" Target="https://adsmanager.facebook.com/adsmanager/manage/campaigns/edit/standalone?act=766589657993298&amp;selected_campaign_ids=120229663429770235" TargetMode="External"/><Relationship Id="rId216" Type="http://schemas.openxmlformats.org/officeDocument/2006/relationships/hyperlink" Target="https://adsmanager.facebook.com/adsmanager/manage/campaigns/edit/standalone?act=174904221976312&amp;selected_campaign_ids=120228567563920694" TargetMode="External"/><Relationship Id="rId423" Type="http://schemas.openxmlformats.org/officeDocument/2006/relationships/hyperlink" Target="https://wa.me/628122703083" TargetMode="External"/><Relationship Id="rId868" Type="http://schemas.openxmlformats.org/officeDocument/2006/relationships/hyperlink" Target="https://adsmanager.facebook.com/adsmanager/manage/campaigns/edit/standalone?act=759724529202804&amp;selected_campaign_ids=120227433380380200" TargetMode="External"/><Relationship Id="rId1053" Type="http://schemas.openxmlformats.org/officeDocument/2006/relationships/hyperlink" Target="https://adsmanager.facebook.com/adsmanager/manage/campaigns/edit/standalone?act=766589657993298&amp;selected_campaign_ids=120227607532660235" TargetMode="External"/><Relationship Id="rId1260" Type="http://schemas.openxmlformats.org/officeDocument/2006/relationships/hyperlink" Target="https://wa.me/6285694618282" TargetMode="External"/><Relationship Id="rId630" Type="http://schemas.openxmlformats.org/officeDocument/2006/relationships/hyperlink" Target="https://wa.me/6285720705874" TargetMode="External"/><Relationship Id="rId728" Type="http://schemas.openxmlformats.org/officeDocument/2006/relationships/hyperlink" Target="https://adsmanager.facebook.com/adsmanager/manage/campaigns/edit/standalone?act=174904221976312&amp;selected_campaign_ids=120231927753270694" TargetMode="External"/><Relationship Id="rId935" Type="http://schemas.openxmlformats.org/officeDocument/2006/relationships/hyperlink" Target="https://wa.me/6281246211381" TargetMode="External"/><Relationship Id="rId1358" Type="http://schemas.openxmlformats.org/officeDocument/2006/relationships/hyperlink" Target="https://wa.me/6281328881949" TargetMode="External"/><Relationship Id="rId64" Type="http://schemas.openxmlformats.org/officeDocument/2006/relationships/hyperlink" Target="https://adsmanager.facebook.com/adsmanager/manage/campaigns/edit/standalone?act=174904221976312&amp;selected_campaign_ids=120227216143480694" TargetMode="External"/><Relationship Id="rId1120" Type="http://schemas.openxmlformats.org/officeDocument/2006/relationships/hyperlink" Target="https://wa.me/6281290414113" TargetMode="External"/><Relationship Id="rId1218" Type="http://schemas.openxmlformats.org/officeDocument/2006/relationships/hyperlink" Target="https://wa.me/6285778471007" TargetMode="External"/><Relationship Id="rId280" Type="http://schemas.openxmlformats.org/officeDocument/2006/relationships/hyperlink" Target="https://wa.me/6285741977776" TargetMode="External"/><Relationship Id="rId140" Type="http://schemas.openxmlformats.org/officeDocument/2006/relationships/hyperlink" Target="https://adsmanager.facebook.com/adsmanager/manage/campaigns/edit/standalone?act=174904221976312&amp;selected_campaign_ids=120228232443180694" TargetMode="External"/><Relationship Id="rId378" Type="http://schemas.openxmlformats.org/officeDocument/2006/relationships/hyperlink" Target="https://adsmanager.facebook.com/adsmanager/manage/campaigns/edit/standalone?act=174904221976312&amp;selected_campaign_ids=120229632849320694" TargetMode="External"/><Relationship Id="rId585" Type="http://schemas.openxmlformats.org/officeDocument/2006/relationships/hyperlink" Target="https://wa.me/6289667480162" TargetMode="External"/><Relationship Id="rId792" Type="http://schemas.openxmlformats.org/officeDocument/2006/relationships/hyperlink" Target="https://adsmanager.facebook.com/adsmanager/manage/campaigns/edit/standalone?act=174904221976312&amp;selected_campaign_ids=120232390053940694" TargetMode="External"/><Relationship Id="rId6" Type="http://schemas.openxmlformats.org/officeDocument/2006/relationships/hyperlink" Target="https://wa.me/6281378757554" TargetMode="External"/><Relationship Id="rId238" Type="http://schemas.openxmlformats.org/officeDocument/2006/relationships/hyperlink" Target="https://wa.me/6282339444339" TargetMode="External"/><Relationship Id="rId445" Type="http://schemas.openxmlformats.org/officeDocument/2006/relationships/hyperlink" Target="https://wa.me/6287721853921" TargetMode="External"/><Relationship Id="rId652" Type="http://schemas.openxmlformats.org/officeDocument/2006/relationships/hyperlink" Target="https://wa.me/6281381118500" TargetMode="External"/><Relationship Id="rId1075" Type="http://schemas.openxmlformats.org/officeDocument/2006/relationships/hyperlink" Target="https://adsmanager.facebook.com/adsmanager/manage/campaigns/edit/standalone?act=766589657993298&amp;selected_campaign_ids=120227857030580235" TargetMode="External"/><Relationship Id="rId1282" Type="http://schemas.openxmlformats.org/officeDocument/2006/relationships/hyperlink" Target="https://wa.me/62895321637812" TargetMode="External"/><Relationship Id="rId305" Type="http://schemas.openxmlformats.org/officeDocument/2006/relationships/hyperlink" Target="https://adsmanager.facebook.com/adsmanager/manage/campaigns/edit/standalone?act=174904221976312&amp;selected_campaign_ids=120229070072380694" TargetMode="External"/><Relationship Id="rId512" Type="http://schemas.openxmlformats.org/officeDocument/2006/relationships/hyperlink" Target="https://adsmanager.facebook.com/adsmanager/manage/campaigns/edit/standalone?act=174904221976312&amp;selected_campaign_ids=120230433528630694" TargetMode="External"/><Relationship Id="rId957" Type="http://schemas.openxmlformats.org/officeDocument/2006/relationships/hyperlink" Target="https://wa.me/6282258462258" TargetMode="External"/><Relationship Id="rId1142" Type="http://schemas.openxmlformats.org/officeDocument/2006/relationships/hyperlink" Target="https://wa.me/6281213766426" TargetMode="External"/><Relationship Id="rId86" Type="http://schemas.openxmlformats.org/officeDocument/2006/relationships/hyperlink" Target="https://adsmanager.facebook.com/adsmanager/manage/campaigns/edit/standalone?act=174904221976312&amp;selected_campaign_ids=120227698210920694" TargetMode="External"/><Relationship Id="rId817" Type="http://schemas.openxmlformats.org/officeDocument/2006/relationships/hyperlink" Target="https://wa.me/62823332108583" TargetMode="External"/><Relationship Id="rId1002" Type="http://schemas.openxmlformats.org/officeDocument/2006/relationships/hyperlink" Target="https://adsmanager.facebook.com/adsmanager/manage/campaigns/edit/standalone?act=766589657993298&amp;selected_campaign_ids=120226918169510235" TargetMode="External"/><Relationship Id="rId1307" Type="http://schemas.openxmlformats.org/officeDocument/2006/relationships/hyperlink" Target="https://adsmanager.facebook.com/adsmanager/manage/campaigns/edit/standalone?act=766589657993298&amp;selected_campaign_ids=120231482568200235" TargetMode="External"/><Relationship Id="rId13" Type="http://schemas.openxmlformats.org/officeDocument/2006/relationships/hyperlink" Target="https://wa.me/62882001677470" TargetMode="External"/><Relationship Id="rId162" Type="http://schemas.openxmlformats.org/officeDocument/2006/relationships/hyperlink" Target="https://adsmanager.facebook.com/adsmanager/manage/campaigns/edit/standalone?act=174904221976312&amp;selected_campaign_ids=120228340733710694" TargetMode="External"/><Relationship Id="rId467" Type="http://schemas.openxmlformats.org/officeDocument/2006/relationships/hyperlink" Target="https://wa.me/6285821233475" TargetMode="External"/><Relationship Id="rId1097" Type="http://schemas.openxmlformats.org/officeDocument/2006/relationships/hyperlink" Target="https://adsmanager.facebook.com/adsmanager/manage/campaigns/edit/standalone?act=766589657993298&amp;selected_campaign_ids=120228364654980235" TargetMode="External"/><Relationship Id="rId674" Type="http://schemas.openxmlformats.org/officeDocument/2006/relationships/hyperlink" Target="https://wa.me/6285645712595" TargetMode="External"/><Relationship Id="rId881" Type="http://schemas.openxmlformats.org/officeDocument/2006/relationships/hyperlink" Target="https://wa.me/6281216962242" TargetMode="External"/><Relationship Id="rId979" Type="http://schemas.openxmlformats.org/officeDocument/2006/relationships/hyperlink" Target="https://wa.me/6287835601400" TargetMode="External"/><Relationship Id="rId327" Type="http://schemas.openxmlformats.org/officeDocument/2006/relationships/hyperlink" Target="https://adsmanager.facebook.com/adsmanager/manage/campaigns/edit/standalone?act=174904221976312&amp;selected_campaign_ids=120229252947620694" TargetMode="External"/><Relationship Id="rId534" Type="http://schemas.openxmlformats.org/officeDocument/2006/relationships/hyperlink" Target="https://adsmanager.facebook.com/adsmanager/manage/campaigns/edit/standalone?act=174904221976312&amp;selected_campaign_ids=120230588333970694" TargetMode="External"/><Relationship Id="rId741" Type="http://schemas.openxmlformats.org/officeDocument/2006/relationships/hyperlink" Target="https://wa.me/6282266469686" TargetMode="External"/><Relationship Id="rId839" Type="http://schemas.openxmlformats.org/officeDocument/2006/relationships/hyperlink" Target="https://wa.me/6282194694492" TargetMode="External"/><Relationship Id="rId1164" Type="http://schemas.openxmlformats.org/officeDocument/2006/relationships/hyperlink" Target="https://wa.me/6282310465999" TargetMode="External"/><Relationship Id="rId1371" Type="http://schemas.openxmlformats.org/officeDocument/2006/relationships/hyperlink" Target="https://wa.me/6281323207611" TargetMode="External"/><Relationship Id="rId601" Type="http://schemas.openxmlformats.org/officeDocument/2006/relationships/hyperlink" Target="https://adsmanager.facebook.com/adsmanager/manage/campaigns/edit/standalone?act=174904221976312&amp;selected_campaign_ids=120231118865480694" TargetMode="External"/><Relationship Id="rId1024" Type="http://schemas.openxmlformats.org/officeDocument/2006/relationships/hyperlink" Target="https://adsmanager.facebook.com/adsmanager/manage/campaigns/edit/standalone?act=766589657993298&amp;selected_campaign_ids=120227261375460235" TargetMode="External"/><Relationship Id="rId1231" Type="http://schemas.openxmlformats.org/officeDocument/2006/relationships/hyperlink" Target="https://adsmanager.facebook.com/adsmanager/manage/campaigns/edit/standalone?act=766589657993298&amp;selected_campaign_ids=120230348158250235" TargetMode="External"/><Relationship Id="rId906" Type="http://schemas.openxmlformats.org/officeDocument/2006/relationships/hyperlink" Target="https://adsmanager.facebook.com/adsmanager/manage/campaigns/edit/standalone?act=759724529202804&amp;selected_campaign_ids=120229191444440200" TargetMode="External"/><Relationship Id="rId1329" Type="http://schemas.openxmlformats.org/officeDocument/2006/relationships/hyperlink" Target="https://adsmanager.facebook.com/adsmanager/manage/campaigns/edit/standalone?act=766589657993298&amp;selected_campaign_ids=120231900991410235" TargetMode="External"/><Relationship Id="rId35" Type="http://schemas.openxmlformats.org/officeDocument/2006/relationships/hyperlink" Target="https://adsmanager.facebook.com/adsmanager/manage/campaigns/edit/standalone?act=174904221976312&amp;selected_campaign_ids=120226089458750694" TargetMode="External"/><Relationship Id="rId184" Type="http://schemas.openxmlformats.org/officeDocument/2006/relationships/hyperlink" Target="https://adsmanager.facebook.com/adsmanager/manage/campaigns/edit/standalone?act=174904221976312&amp;selected_campaign_ids=120228420949230694" TargetMode="External"/><Relationship Id="rId391" Type="http://schemas.openxmlformats.org/officeDocument/2006/relationships/hyperlink" Target="https://wa.me/6281347245985" TargetMode="External"/><Relationship Id="rId251" Type="http://schemas.openxmlformats.org/officeDocument/2006/relationships/hyperlink" Target="https://adsmanager.facebook.com/adsmanager/manage/campaigns/edit/standalone?act=174904221976312&amp;selected_campaign_ids=120228850146110694" TargetMode="External"/><Relationship Id="rId489" Type="http://schemas.openxmlformats.org/officeDocument/2006/relationships/hyperlink" Target="https://wa.me/6285602235226" TargetMode="External"/><Relationship Id="rId696" Type="http://schemas.openxmlformats.org/officeDocument/2006/relationships/hyperlink" Target="https://adsmanager.facebook.com/adsmanager/manage/campaigns/edit/standalone?act=174904221976312&amp;selected_campaign_ids=120231707265610694" TargetMode="External"/><Relationship Id="rId349" Type="http://schemas.openxmlformats.org/officeDocument/2006/relationships/hyperlink" Target="https://wa.me/628155157779" TargetMode="External"/><Relationship Id="rId556" Type="http://schemas.openxmlformats.org/officeDocument/2006/relationships/hyperlink" Target="https://adsmanager.facebook.com/adsmanager/manage/campaigns/edit/standalone?act=174904221976312&amp;selected_campaign_ids=120230722239150694" TargetMode="External"/><Relationship Id="rId763" Type="http://schemas.openxmlformats.org/officeDocument/2006/relationships/hyperlink" Target="https://wa.me/6281341637566" TargetMode="External"/><Relationship Id="rId1186" Type="http://schemas.openxmlformats.org/officeDocument/2006/relationships/hyperlink" Target="https://wa.me/6281317170441" TargetMode="External"/><Relationship Id="rId1393" Type="http://schemas.openxmlformats.org/officeDocument/2006/relationships/hyperlink" Target="https://wa.me/6282364480929" TargetMode="External"/><Relationship Id="rId111" Type="http://schemas.openxmlformats.org/officeDocument/2006/relationships/hyperlink" Target="https://wa.me/6281378152512" TargetMode="External"/><Relationship Id="rId209" Type="http://schemas.openxmlformats.org/officeDocument/2006/relationships/hyperlink" Target="https://wa.me/6281263113266" TargetMode="External"/><Relationship Id="rId416" Type="http://schemas.openxmlformats.org/officeDocument/2006/relationships/hyperlink" Target="https://adsmanager.facebook.com/adsmanager/manage/campaigns/edit/standalone?act=174904221976312&amp;selected_campaign_ids=120229949048250694" TargetMode="External"/><Relationship Id="rId970" Type="http://schemas.openxmlformats.org/officeDocument/2006/relationships/hyperlink" Target="https://adsmanager.facebook.com/adsmanager/manage/campaigns/edit/standalone?act=759724529202804&amp;selected_campaign_ids=120231605979100200" TargetMode="External"/><Relationship Id="rId1046" Type="http://schemas.openxmlformats.org/officeDocument/2006/relationships/hyperlink" Target="https://wa.me/6289523308892" TargetMode="External"/><Relationship Id="rId1253" Type="http://schemas.openxmlformats.org/officeDocument/2006/relationships/hyperlink" Target="https://adsmanager.facebook.com/adsmanager/manage/campaigns/edit/standalone?act=766589657993298&amp;selected_campaign_ids=120230681195060235" TargetMode="External"/><Relationship Id="rId623" Type="http://schemas.openxmlformats.org/officeDocument/2006/relationships/hyperlink" Target="https://adsmanager.facebook.com/adsmanager/manage/campaigns/edit/standalone?act=174904221976312&amp;selected_campaign_ids=120231302535890694" TargetMode="External"/><Relationship Id="rId830" Type="http://schemas.openxmlformats.org/officeDocument/2006/relationships/hyperlink" Target="https://adsmanager.facebook.com/adsmanager/manage/campaigns/edit/standalone?act=174904221976312&amp;selected_campaign_ids=120232868603190694" TargetMode="External"/><Relationship Id="rId928" Type="http://schemas.openxmlformats.org/officeDocument/2006/relationships/hyperlink" Target="https://adsmanager.facebook.com/adsmanager/manage/campaigns/edit/standalone?act=759724529202804&amp;selected_campaign_ids=120229489313280200" TargetMode="External"/><Relationship Id="rId57" Type="http://schemas.openxmlformats.org/officeDocument/2006/relationships/hyperlink" Target="https://wa.me/62818585822" TargetMode="External"/><Relationship Id="rId1113" Type="http://schemas.openxmlformats.org/officeDocument/2006/relationships/hyperlink" Target="https://adsmanager.facebook.com/adsmanager/manage/campaigns/edit/standalone?act=766589657993298&amp;selected_campaign_ids=120228711977590235" TargetMode="External"/><Relationship Id="rId1320" Type="http://schemas.openxmlformats.org/officeDocument/2006/relationships/hyperlink" Target="https://wa.me/62882008302847" TargetMode="External"/><Relationship Id="rId427" Type="http://schemas.openxmlformats.org/officeDocument/2006/relationships/hyperlink" Target="https://wa.me/6281226950679" TargetMode="External"/><Relationship Id="rId634" Type="http://schemas.openxmlformats.org/officeDocument/2006/relationships/hyperlink" Target="https://wa.me/628152343305" TargetMode="External"/><Relationship Id="rId841" Type="http://schemas.openxmlformats.org/officeDocument/2006/relationships/hyperlink" Target="https://wa.me/6285668750416" TargetMode="External"/><Relationship Id="rId1264" Type="http://schemas.openxmlformats.org/officeDocument/2006/relationships/hyperlink" Target="https://wa.me/6285767074516" TargetMode="External"/><Relationship Id="rId273" Type="http://schemas.openxmlformats.org/officeDocument/2006/relationships/hyperlink" Target="https://adsmanager.facebook.com/adsmanager/manage/campaigns/edit/standalone?act=174904221976312&amp;selected_campaign_ids=120228937956880694" TargetMode="External"/><Relationship Id="rId480" Type="http://schemas.openxmlformats.org/officeDocument/2006/relationships/hyperlink" Target="https://adsmanager.facebook.com/adsmanager/manage/campaigns/edit/standalone?act=174904221976312&amp;selected_campaign_ids=120230153711420694" TargetMode="External"/><Relationship Id="rId701" Type="http://schemas.openxmlformats.org/officeDocument/2006/relationships/hyperlink" Target="https://wa.me/62895804080442" TargetMode="External"/><Relationship Id="rId939" Type="http://schemas.openxmlformats.org/officeDocument/2006/relationships/hyperlink" Target="https://wa.me/6282228737559" TargetMode="External"/><Relationship Id="rId1124" Type="http://schemas.openxmlformats.org/officeDocument/2006/relationships/hyperlink" Target="https://wa.me/6285715856120" TargetMode="External"/><Relationship Id="rId1331" Type="http://schemas.openxmlformats.org/officeDocument/2006/relationships/hyperlink" Target="https://adsmanager.facebook.com/adsmanager/manage/campaigns/edit/standalone?act=766589657993298&amp;selected_campaign_ids=120231901190220235" TargetMode="External"/><Relationship Id="rId68" Type="http://schemas.openxmlformats.org/officeDocument/2006/relationships/hyperlink" Target="https://adsmanager.facebook.com/adsmanager/manage/campaigns/edit/standalone?act=174904221976312&amp;selected_campaign_ids=120227271468170694" TargetMode="External"/><Relationship Id="rId133" Type="http://schemas.openxmlformats.org/officeDocument/2006/relationships/hyperlink" Target="https://wa.me/6282169851900" TargetMode="External"/><Relationship Id="rId340" Type="http://schemas.openxmlformats.org/officeDocument/2006/relationships/hyperlink" Target="https://adsmanager.facebook.com/adsmanager/manage/campaigns/edit/standalone?act=174904221976312&amp;selected_campaign_ids=120229338279800694" TargetMode="External"/><Relationship Id="rId578" Type="http://schemas.openxmlformats.org/officeDocument/2006/relationships/hyperlink" Target="https://adsmanager.facebook.com/adsmanager/manage/campaigns/edit/standalone?act=174904221976312&amp;selected_campaign_ids=120230974064560694" TargetMode="External"/><Relationship Id="rId785" Type="http://schemas.openxmlformats.org/officeDocument/2006/relationships/hyperlink" Target="https://wa.me/6287822292311" TargetMode="External"/><Relationship Id="rId992" Type="http://schemas.openxmlformats.org/officeDocument/2006/relationships/hyperlink" Target="https://wa.me/6281515877050" TargetMode="External"/><Relationship Id="rId200" Type="http://schemas.openxmlformats.org/officeDocument/2006/relationships/hyperlink" Target="https://adsmanager.facebook.com/adsmanager/manage/campaigns/edit/standalone?act=174904221976312&amp;selected_campaign_ids=120228533962270694" TargetMode="External"/><Relationship Id="rId438" Type="http://schemas.openxmlformats.org/officeDocument/2006/relationships/hyperlink" Target="https://adsmanager.facebook.com/adsmanager/manage/campaigns/edit/standalone?act=174904221976312&amp;selected_campaign_ids=120230030877630694" TargetMode="External"/><Relationship Id="rId645" Type="http://schemas.openxmlformats.org/officeDocument/2006/relationships/hyperlink" Target="https://adsmanager.facebook.com/adsmanager/manage/campaigns/edit/standalone?act=174904221976312&amp;selected_campaign_ids=120231435871590694" TargetMode="External"/><Relationship Id="rId852" Type="http://schemas.openxmlformats.org/officeDocument/2006/relationships/hyperlink" Target="https://wa.me/6282136666049" TargetMode="External"/><Relationship Id="rId1068" Type="http://schemas.openxmlformats.org/officeDocument/2006/relationships/hyperlink" Target="https://wa.me/6289617461806" TargetMode="External"/><Relationship Id="rId1275" Type="http://schemas.openxmlformats.org/officeDocument/2006/relationships/hyperlink" Target="https://adsmanager.facebook.com/adsmanager/manage/campaigns/edit/standalone?act=766589657993298&amp;selected_campaign_ids=120231200403370235" TargetMode="External"/><Relationship Id="rId284" Type="http://schemas.openxmlformats.org/officeDocument/2006/relationships/hyperlink" Target="https://wa.me/6283131677011" TargetMode="External"/><Relationship Id="rId491" Type="http://schemas.openxmlformats.org/officeDocument/2006/relationships/hyperlink" Target="https://wa.me/62882001438924" TargetMode="External"/><Relationship Id="rId505" Type="http://schemas.openxmlformats.org/officeDocument/2006/relationships/hyperlink" Target="https://wa.me/62817262229" TargetMode="External"/><Relationship Id="rId712" Type="http://schemas.openxmlformats.org/officeDocument/2006/relationships/hyperlink" Target="https://adsmanager.facebook.com/adsmanager/manage/campaigns/edit/standalone?act=174904221976312&amp;selected_campaign_ids=120231847309410694" TargetMode="External"/><Relationship Id="rId1135" Type="http://schemas.openxmlformats.org/officeDocument/2006/relationships/hyperlink" Target="https://wa.me/6282111180648" TargetMode="External"/><Relationship Id="rId1342" Type="http://schemas.openxmlformats.org/officeDocument/2006/relationships/hyperlink" Target="https://wa.me/6282111180648" TargetMode="External"/><Relationship Id="rId79" Type="http://schemas.openxmlformats.org/officeDocument/2006/relationships/hyperlink" Target="https://wa.me/6285266218699" TargetMode="External"/><Relationship Id="rId144" Type="http://schemas.openxmlformats.org/officeDocument/2006/relationships/hyperlink" Target="https://adsmanager.facebook.com/adsmanager/manage/campaigns/edit/standalone?act=174904221976312&amp;selected_campaign_ids=120228259582540694" TargetMode="External"/><Relationship Id="rId589" Type="http://schemas.openxmlformats.org/officeDocument/2006/relationships/hyperlink" Target="https://wa.me/6285166200242" TargetMode="External"/><Relationship Id="rId796" Type="http://schemas.openxmlformats.org/officeDocument/2006/relationships/hyperlink" Target="https://adsmanager.facebook.com/adsmanager/manage/campaigns/edit/standalone?act=174904221976312&amp;selected_campaign_ids=120232438678280694" TargetMode="External"/><Relationship Id="rId1202" Type="http://schemas.openxmlformats.org/officeDocument/2006/relationships/hyperlink" Target="https://wa.me/6287878863000" TargetMode="External"/><Relationship Id="rId351" Type="http://schemas.openxmlformats.org/officeDocument/2006/relationships/hyperlink" Target="https://wa.me/6281255005229" TargetMode="External"/><Relationship Id="rId449" Type="http://schemas.openxmlformats.org/officeDocument/2006/relationships/hyperlink" Target="https://wa.me/6281558225822" TargetMode="External"/><Relationship Id="rId656" Type="http://schemas.openxmlformats.org/officeDocument/2006/relationships/hyperlink" Target="https://wa.me/6285787104091" TargetMode="External"/><Relationship Id="rId863" Type="http://schemas.openxmlformats.org/officeDocument/2006/relationships/hyperlink" Target="https://wa.me/6282348365032" TargetMode="External"/><Relationship Id="rId1079" Type="http://schemas.openxmlformats.org/officeDocument/2006/relationships/hyperlink" Target="https://adsmanager.facebook.com/adsmanager/manage/campaigns/edit/standalone?act=766589657993298&amp;selected_campaign_ids=120227926378210235" TargetMode="External"/><Relationship Id="rId1286" Type="http://schemas.openxmlformats.org/officeDocument/2006/relationships/hyperlink" Target="https://wa.me/6281323291817" TargetMode="External"/><Relationship Id="rId211" Type="http://schemas.openxmlformats.org/officeDocument/2006/relationships/hyperlink" Target="https://wa.me/6281252228100" TargetMode="External"/><Relationship Id="rId295" Type="http://schemas.openxmlformats.org/officeDocument/2006/relationships/hyperlink" Target="https://adsmanager.facebook.com/adsmanager/manage/campaigns/edit/standalone?act=174904221976312&amp;selected_campaign_ids=120229016256900694" TargetMode="External"/><Relationship Id="rId309" Type="http://schemas.openxmlformats.org/officeDocument/2006/relationships/hyperlink" Target="https://adsmanager.facebook.com/adsmanager/manage/campaigns/edit/standalone?act=174904221976312&amp;selected_campaign_ids=120229127805640694" TargetMode="External"/><Relationship Id="rId516" Type="http://schemas.openxmlformats.org/officeDocument/2006/relationships/hyperlink" Target="https://adsmanager.facebook.com/adsmanager/manage/campaigns/edit/standalone?act=174904221976312&amp;selected_campaign_ids=120230493966180694" TargetMode="External"/><Relationship Id="rId1146" Type="http://schemas.openxmlformats.org/officeDocument/2006/relationships/hyperlink" Target="https://wa.me/6289525439559" TargetMode="External"/><Relationship Id="rId723" Type="http://schemas.openxmlformats.org/officeDocument/2006/relationships/hyperlink" Target="https://wa.me/6281558822937" TargetMode="External"/><Relationship Id="rId930" Type="http://schemas.openxmlformats.org/officeDocument/2006/relationships/hyperlink" Target="https://adsmanager.facebook.com/adsmanager/manage/campaigns/edit/standalone?act=759724529202804&amp;selected_campaign_ids=120229583661640200" TargetMode="External"/><Relationship Id="rId1006" Type="http://schemas.openxmlformats.org/officeDocument/2006/relationships/hyperlink" Target="https://adsmanager.facebook.com/adsmanager/manage/campaigns/edit/standalone?act=766589657993298&amp;selected_campaign_ids=120227061721700235" TargetMode="External"/><Relationship Id="rId1353" Type="http://schemas.openxmlformats.org/officeDocument/2006/relationships/hyperlink" Target="https://adsmanager.facebook.com/adsmanager/manage/campaigns/edit/standalone?act=766589657993298&amp;selected_campaign_ids=120232238598290235" TargetMode="External"/><Relationship Id="rId155" Type="http://schemas.openxmlformats.org/officeDocument/2006/relationships/hyperlink" Target="https://wa.me/6281361879826" TargetMode="External"/><Relationship Id="rId362" Type="http://schemas.openxmlformats.org/officeDocument/2006/relationships/hyperlink" Target="https://adsmanager.facebook.com/adsmanager/manage/campaigns/edit/standalone?act=174904221976312&amp;selected_campaign_ids=120229427059860694" TargetMode="External"/><Relationship Id="rId1213" Type="http://schemas.openxmlformats.org/officeDocument/2006/relationships/hyperlink" Target="https://adsmanager.facebook.com/adsmanager/manage/campaigns/edit/standalone?act=766589657993298&amp;selected_campaign_ids=120229839631960235" TargetMode="External"/><Relationship Id="rId1297" Type="http://schemas.openxmlformats.org/officeDocument/2006/relationships/hyperlink" Target="https://adsmanager.facebook.com/adsmanager/manage/campaigns/edit/standalone?act=766589657993298&amp;selected_campaign_ids=120231436393170235" TargetMode="External"/><Relationship Id="rId222" Type="http://schemas.openxmlformats.org/officeDocument/2006/relationships/hyperlink" Target="https://adsmanager.facebook.com/adsmanager/manage/campaigns/edit/standalone?act=174904221976312&amp;selected_campaign_ids=120228661886700694" TargetMode="External"/><Relationship Id="rId667" Type="http://schemas.openxmlformats.org/officeDocument/2006/relationships/hyperlink" Target="https://adsmanager.facebook.com/adsmanager/manage/campaigns/edit/standalone?act=174904221976312&amp;selected_campaign_ids=120231540839570694" TargetMode="External"/><Relationship Id="rId874" Type="http://schemas.openxmlformats.org/officeDocument/2006/relationships/hyperlink" Target="https://adsmanager.facebook.com/adsmanager/manage/campaigns/edit/standalone?act=759724529202804&amp;selected_campaign_ids=120227782745500200" TargetMode="External"/><Relationship Id="rId17" Type="http://schemas.openxmlformats.org/officeDocument/2006/relationships/hyperlink" Target="https://wa.me/6282226594414" TargetMode="External"/><Relationship Id="rId527" Type="http://schemas.openxmlformats.org/officeDocument/2006/relationships/hyperlink" Target="https://wa.me/6285294617773" TargetMode="External"/><Relationship Id="rId734" Type="http://schemas.openxmlformats.org/officeDocument/2006/relationships/hyperlink" Target="https://adsmanager.facebook.com/adsmanager/manage/campaigns/edit/standalone?act=174904221976312&amp;selected_campaign_ids=120231972961220694" TargetMode="External"/><Relationship Id="rId941" Type="http://schemas.openxmlformats.org/officeDocument/2006/relationships/hyperlink" Target="https://wa.me/62882003293835" TargetMode="External"/><Relationship Id="rId1157" Type="http://schemas.openxmlformats.org/officeDocument/2006/relationships/hyperlink" Target="https://wa.me/6282111000133" TargetMode="External"/><Relationship Id="rId1364" Type="http://schemas.openxmlformats.org/officeDocument/2006/relationships/hyperlink" Target="https://wa.me/6281351572278" TargetMode="External"/><Relationship Id="rId70" Type="http://schemas.openxmlformats.org/officeDocument/2006/relationships/hyperlink" Target="https://adsmanager.facebook.com/adsmanager/manage/campaigns/edit/standalone?act=174904221976312&amp;selected_campaign_ids=120227399886270694" TargetMode="External"/><Relationship Id="rId166" Type="http://schemas.openxmlformats.org/officeDocument/2006/relationships/hyperlink" Target="https://adsmanager.facebook.com/adsmanager/manage/campaigns/edit/standalone?act=174904221976312&amp;selected_campaign_ids=120228361482710694" TargetMode="External"/><Relationship Id="rId373" Type="http://schemas.openxmlformats.org/officeDocument/2006/relationships/hyperlink" Target="https://wa.me/6285820117323" TargetMode="External"/><Relationship Id="rId580" Type="http://schemas.openxmlformats.org/officeDocument/2006/relationships/hyperlink" Target="https://adsmanager.facebook.com/adsmanager/manage/campaigns/edit/standalone?act=174904221976312&amp;selected_campaign_ids=120230974169070694" TargetMode="External"/><Relationship Id="rId801" Type="http://schemas.openxmlformats.org/officeDocument/2006/relationships/hyperlink" Target="https://wa.me/6281316122975" TargetMode="External"/><Relationship Id="rId1017" Type="http://schemas.openxmlformats.org/officeDocument/2006/relationships/hyperlink" Target="https://wa.me/628114170888" TargetMode="External"/><Relationship Id="rId1224" Type="http://schemas.openxmlformats.org/officeDocument/2006/relationships/hyperlink" Target="https://wa.me/6282299236521" TargetMode="External"/><Relationship Id="rId1" Type="http://schemas.openxmlformats.org/officeDocument/2006/relationships/hyperlink" Target="https://wa.me/6282242925264" TargetMode="External"/><Relationship Id="rId233" Type="http://schemas.openxmlformats.org/officeDocument/2006/relationships/hyperlink" Target="https://wa.me/6285384321677" TargetMode="External"/><Relationship Id="rId440" Type="http://schemas.openxmlformats.org/officeDocument/2006/relationships/hyperlink" Target="https://adsmanager.facebook.com/adsmanager/manage/campaigns/edit/standalone?act=174904221976312&amp;selected_campaign_ids=120230031060080694" TargetMode="External"/><Relationship Id="rId678" Type="http://schemas.openxmlformats.org/officeDocument/2006/relationships/hyperlink" Target="https://wa.me/6285748377961" TargetMode="External"/><Relationship Id="rId885" Type="http://schemas.openxmlformats.org/officeDocument/2006/relationships/hyperlink" Target="https://wa.me/6285642607938" TargetMode="External"/><Relationship Id="rId1070" Type="http://schemas.openxmlformats.org/officeDocument/2006/relationships/hyperlink" Target="https://wa.me/6281283325291" TargetMode="External"/><Relationship Id="rId28" Type="http://schemas.openxmlformats.org/officeDocument/2006/relationships/hyperlink" Target="https://adsmanager.facebook.com/adsmanager/manage/campaigns/edit/standalone?act=174904221976312&amp;selected_campaign_ids=120225924609850694" TargetMode="External"/><Relationship Id="rId300" Type="http://schemas.openxmlformats.org/officeDocument/2006/relationships/hyperlink" Target="https://wa.me/6289524188028" TargetMode="External"/><Relationship Id="rId538" Type="http://schemas.openxmlformats.org/officeDocument/2006/relationships/hyperlink" Target="https://adsmanager.facebook.com/adsmanager/manage/campaigns/edit/standalone?act=174904221976312&amp;selected_campaign_ids=120230588507090694" TargetMode="External"/><Relationship Id="rId745" Type="http://schemas.openxmlformats.org/officeDocument/2006/relationships/hyperlink" Target="https://wa.me/6283149477297" TargetMode="External"/><Relationship Id="rId952" Type="http://schemas.openxmlformats.org/officeDocument/2006/relationships/hyperlink" Target="https://adsmanager.facebook.com/adsmanager/manage/campaigns/edit/standalone?act=759724529202804&amp;selected_campaign_ids=120229902029190200" TargetMode="External"/><Relationship Id="rId1168" Type="http://schemas.openxmlformats.org/officeDocument/2006/relationships/hyperlink" Target="https://adsmanager.facebook.com/adsmanager/manage/campaigns/edit/standalone?act=766589657993298&amp;selected_campaign_ids=120229446391380235" TargetMode="External"/><Relationship Id="rId1375" Type="http://schemas.openxmlformats.org/officeDocument/2006/relationships/hyperlink" Target="https://wa.me/6282318568540" TargetMode="External"/><Relationship Id="rId81" Type="http://schemas.openxmlformats.org/officeDocument/2006/relationships/hyperlink" Target="https://wa.me/6281938563373" TargetMode="External"/><Relationship Id="rId177" Type="http://schemas.openxmlformats.org/officeDocument/2006/relationships/hyperlink" Target="https://wa.me/6288229559606" TargetMode="External"/><Relationship Id="rId384" Type="http://schemas.openxmlformats.org/officeDocument/2006/relationships/hyperlink" Target="https://adsmanager.facebook.com/adsmanager/manage/campaigns/edit/standalone?act=174904221976312&amp;selected_campaign_ids=120229636262830694" TargetMode="External"/><Relationship Id="rId591" Type="http://schemas.openxmlformats.org/officeDocument/2006/relationships/hyperlink" Target="https://wa.me/6281334257715" TargetMode="External"/><Relationship Id="rId605" Type="http://schemas.openxmlformats.org/officeDocument/2006/relationships/hyperlink" Target="https://adsmanager.facebook.com/adsmanager/manage/campaigns/edit/standalone?act=174904221976312&amp;selected_campaign_ids=120231232791260694" TargetMode="External"/><Relationship Id="rId812" Type="http://schemas.openxmlformats.org/officeDocument/2006/relationships/hyperlink" Target="https://adsmanager.facebook.com/adsmanager/manage/campaigns/edit/standalone?act=174904221976312&amp;selected_campaign_ids=120232596101660694" TargetMode="External"/><Relationship Id="rId1028" Type="http://schemas.openxmlformats.org/officeDocument/2006/relationships/hyperlink" Target="https://adsmanager.facebook.com/adsmanager/manage/campaigns/edit/standalone?act=766589657993298&amp;selected_campaign_ids=120227281869150235" TargetMode="External"/><Relationship Id="rId1235" Type="http://schemas.openxmlformats.org/officeDocument/2006/relationships/hyperlink" Target="https://adsmanager.facebook.com/adsmanager/manage/campaigns/edit/standalone?act=766589657993298&amp;selected_campaign_ids=120230396785660235" TargetMode="External"/><Relationship Id="rId244" Type="http://schemas.openxmlformats.org/officeDocument/2006/relationships/hyperlink" Target="https://wa.me/6282277773540" TargetMode="External"/><Relationship Id="rId689" Type="http://schemas.openxmlformats.org/officeDocument/2006/relationships/hyperlink" Target="https://wa.me/6281317409433" TargetMode="External"/><Relationship Id="rId896" Type="http://schemas.openxmlformats.org/officeDocument/2006/relationships/hyperlink" Target="https://adsmanager.facebook.com/adsmanager/manage/campaigns/edit/standalone?act=759724529202804&amp;selected_campaign_ids=120229044725650200" TargetMode="External"/><Relationship Id="rId1081" Type="http://schemas.openxmlformats.org/officeDocument/2006/relationships/hyperlink" Target="https://adsmanager.facebook.com/adsmanager/manage/campaigns/edit/standalone?act=766589657993298&amp;selected_campaign_ids=120227926808950235" TargetMode="External"/><Relationship Id="rId1302" Type="http://schemas.openxmlformats.org/officeDocument/2006/relationships/hyperlink" Target="https://wa.me/628997485901" TargetMode="External"/><Relationship Id="rId39" Type="http://schemas.openxmlformats.org/officeDocument/2006/relationships/hyperlink" Target="https://wa.me/628988759290" TargetMode="External"/><Relationship Id="rId451" Type="http://schemas.openxmlformats.org/officeDocument/2006/relationships/hyperlink" Target="https://wa.me/6282241824727" TargetMode="External"/><Relationship Id="rId549" Type="http://schemas.openxmlformats.org/officeDocument/2006/relationships/hyperlink" Target="https://wa.me/6285240194507" TargetMode="External"/><Relationship Id="rId756" Type="http://schemas.openxmlformats.org/officeDocument/2006/relationships/hyperlink" Target="https://adsmanager.facebook.com/adsmanager/manage/campaigns/edit/standalone?act=174904221976312&amp;selected_campaign_ids=120232113386830694" TargetMode="External"/><Relationship Id="rId1179" Type="http://schemas.openxmlformats.org/officeDocument/2006/relationships/hyperlink" Target="https://adsmanager.facebook.com/adsmanager/manage/campaigns/edit/standalone?act=766589657993298&amp;selected_campaign_ids=120229628582980235" TargetMode="External"/><Relationship Id="rId1386" Type="http://schemas.openxmlformats.org/officeDocument/2006/relationships/hyperlink" Target="https://adsmanager.facebook.com/adsmanager/manage/campaigns/edit/standalone?act=766589657993298&amp;selected_campaign_ids=120233003413400235" TargetMode="External"/><Relationship Id="rId104" Type="http://schemas.openxmlformats.org/officeDocument/2006/relationships/hyperlink" Target="https://adsmanager.facebook.com/adsmanager/manage/campaigns/edit/standalone?act=174904221976312&amp;selected_campaign_ids=120228017355590694" TargetMode="External"/><Relationship Id="rId188" Type="http://schemas.openxmlformats.org/officeDocument/2006/relationships/hyperlink" Target="https://adsmanager.facebook.com/adsmanager/manage/campaigns/edit/standalone?act=174904221976312&amp;selected_campaign_ids=120228480638570694" TargetMode="External"/><Relationship Id="rId311" Type="http://schemas.openxmlformats.org/officeDocument/2006/relationships/hyperlink" Target="https://adsmanager.facebook.com/adsmanager/manage/campaigns/edit/standalone?act=174904221976312&amp;selected_campaign_ids=120229129775820694" TargetMode="External"/><Relationship Id="rId395" Type="http://schemas.openxmlformats.org/officeDocument/2006/relationships/hyperlink" Target="https://wa.me/6285223186555" TargetMode="External"/><Relationship Id="rId409" Type="http://schemas.openxmlformats.org/officeDocument/2006/relationships/hyperlink" Target="https://wa.me/6281362440234" TargetMode="External"/><Relationship Id="rId963" Type="http://schemas.openxmlformats.org/officeDocument/2006/relationships/hyperlink" Target="https://wa.me/6285339158435" TargetMode="External"/><Relationship Id="rId1039" Type="http://schemas.openxmlformats.org/officeDocument/2006/relationships/hyperlink" Target="https://adsmanager.facebook.com/adsmanager/manage/campaigns/edit/standalone?act=766589657993298&amp;selected_campaign_ids=120227481511780235" TargetMode="External"/><Relationship Id="rId1246" Type="http://schemas.openxmlformats.org/officeDocument/2006/relationships/hyperlink" Target="https://wa.me/62895635983361" TargetMode="External"/><Relationship Id="rId92" Type="http://schemas.openxmlformats.org/officeDocument/2006/relationships/hyperlink" Target="https://adsmanager.facebook.com/adsmanager/manage/campaigns/edit/standalone?act=174904221976312&amp;selected_campaign_ids=120227828357290694" TargetMode="External"/><Relationship Id="rId616" Type="http://schemas.openxmlformats.org/officeDocument/2006/relationships/hyperlink" Target="https://wa.me/6285642368174" TargetMode="External"/><Relationship Id="rId823" Type="http://schemas.openxmlformats.org/officeDocument/2006/relationships/hyperlink" Target="https://wa.me/6282110222282" TargetMode="External"/><Relationship Id="rId255" Type="http://schemas.openxmlformats.org/officeDocument/2006/relationships/hyperlink" Target="https://adsmanager.facebook.com/adsmanager/manage/campaigns/edit/standalone?act=174904221976312&amp;selected_campaign_ids=120228850834280694" TargetMode="External"/><Relationship Id="rId462" Type="http://schemas.openxmlformats.org/officeDocument/2006/relationships/hyperlink" Target="https://adsmanager.facebook.com/adsmanager/manage/campaigns/edit/standalone?act=174904221976312&amp;selected_campaign_ids=120230104017690694" TargetMode="External"/><Relationship Id="rId1092" Type="http://schemas.openxmlformats.org/officeDocument/2006/relationships/hyperlink" Target="https://wa.me/6285167182620" TargetMode="External"/><Relationship Id="rId1106" Type="http://schemas.openxmlformats.org/officeDocument/2006/relationships/hyperlink" Target="https://wa.me/6285774217794" TargetMode="External"/><Relationship Id="rId1313" Type="http://schemas.openxmlformats.org/officeDocument/2006/relationships/hyperlink" Target="https://adsmanager.facebook.com/adsmanager/manage/campaigns/edit/standalone?act=766589657993298&amp;selected_campaign_ids=120231499303500235" TargetMode="External"/><Relationship Id="rId1397" Type="http://schemas.openxmlformats.org/officeDocument/2006/relationships/hyperlink" Target="https://wa.me/6285161653332" TargetMode="External"/><Relationship Id="rId115" Type="http://schemas.openxmlformats.org/officeDocument/2006/relationships/hyperlink" Target="https://wa.me/6281355026552" TargetMode="External"/><Relationship Id="rId322" Type="http://schemas.openxmlformats.org/officeDocument/2006/relationships/hyperlink" Target="https://wa.me/62811693222" TargetMode="External"/><Relationship Id="rId767" Type="http://schemas.openxmlformats.org/officeDocument/2006/relationships/hyperlink" Target="https://wa.me/6285213857442" TargetMode="External"/><Relationship Id="rId974" Type="http://schemas.openxmlformats.org/officeDocument/2006/relationships/hyperlink" Target="https://adsmanager.facebook.com/adsmanager/manage/campaigns/edit/standalone?act=759724529202804&amp;selected_campaign_ids=120231985215890200" TargetMode="External"/><Relationship Id="rId199" Type="http://schemas.openxmlformats.org/officeDocument/2006/relationships/hyperlink" Target="https://wa.me/6281274238899" TargetMode="External"/><Relationship Id="rId627" Type="http://schemas.openxmlformats.org/officeDocument/2006/relationships/hyperlink" Target="https://adsmanager.facebook.com/adsmanager/manage/campaigns/edit/standalone?act=174904221976312&amp;selected_campaign_ids=120231303251770694" TargetMode="External"/><Relationship Id="rId834" Type="http://schemas.openxmlformats.org/officeDocument/2006/relationships/hyperlink" Target="https://adsmanager.facebook.com/adsmanager/manage/campaigns/edit/standalone?act=174904221976312&amp;selected_campaign_ids=120232922135270694" TargetMode="External"/><Relationship Id="rId1257" Type="http://schemas.openxmlformats.org/officeDocument/2006/relationships/hyperlink" Target="https://adsmanager.facebook.com/adsmanager/manage/campaigns/edit/standalone?act=766589657993298&amp;selected_campaign_ids=120230688221810235" TargetMode="External"/><Relationship Id="rId266" Type="http://schemas.openxmlformats.org/officeDocument/2006/relationships/hyperlink" Target="https://wa.me/6281252595912" TargetMode="External"/><Relationship Id="rId473" Type="http://schemas.openxmlformats.org/officeDocument/2006/relationships/hyperlink" Target="https://wa.me/6285333751528" TargetMode="External"/><Relationship Id="rId680" Type="http://schemas.openxmlformats.org/officeDocument/2006/relationships/hyperlink" Target="https://wa.me/6285748377961" TargetMode="External"/><Relationship Id="rId901" Type="http://schemas.openxmlformats.org/officeDocument/2006/relationships/hyperlink" Target="https://wa.me/6285777110340" TargetMode="External"/><Relationship Id="rId1117" Type="http://schemas.openxmlformats.org/officeDocument/2006/relationships/hyperlink" Target="https://adsmanager.facebook.com/adsmanager/manage/campaigns/edit/standalone?act=766589657993298&amp;selected_campaign_ids=120228787960370235" TargetMode="External"/><Relationship Id="rId1324" Type="http://schemas.openxmlformats.org/officeDocument/2006/relationships/hyperlink" Target="https://wa.me/628971115941" TargetMode="External"/><Relationship Id="rId30" Type="http://schemas.openxmlformats.org/officeDocument/2006/relationships/hyperlink" Target="https://adsmanager.facebook.com/adsmanager/manage/campaigns/edit/standalone?act=174904221976312&amp;selected_campaign_ids=120225943524550694" TargetMode="External"/><Relationship Id="rId126" Type="http://schemas.openxmlformats.org/officeDocument/2006/relationships/hyperlink" Target="https://adsmanager.facebook.com/adsmanager/manage/campaigns/edit/standalone?act=174904221976312&amp;selected_campaign_ids=120228143940810694" TargetMode="External"/><Relationship Id="rId333" Type="http://schemas.openxmlformats.org/officeDocument/2006/relationships/hyperlink" Target="https://adsmanager.facebook.com/adsmanager/manage/campaigns/edit/standalone?act=174904221976312&amp;selected_campaign_ids=120229259021980694" TargetMode="External"/><Relationship Id="rId540" Type="http://schemas.openxmlformats.org/officeDocument/2006/relationships/hyperlink" Target="https://adsmanager.facebook.com/adsmanager/manage/campaigns/edit/standalone?act=174904221976312&amp;selected_campaign_ids=120230588570800694" TargetMode="External"/><Relationship Id="rId778" Type="http://schemas.openxmlformats.org/officeDocument/2006/relationships/hyperlink" Target="https://adsmanager.facebook.com/adsmanager/manage/campaigns/edit/standalone?act=174904221976312&amp;selected_campaign_ids=120232278491810694" TargetMode="External"/><Relationship Id="rId985" Type="http://schemas.openxmlformats.org/officeDocument/2006/relationships/hyperlink" Target="https://adsmanager.facebook.com/adsmanager/manage/campaigns/edit/standalone?act=766589657993298&amp;selected_campaign_ids=120226497822570235" TargetMode="External"/><Relationship Id="rId1170" Type="http://schemas.openxmlformats.org/officeDocument/2006/relationships/hyperlink" Target="https://wa.me/6285169411418" TargetMode="External"/><Relationship Id="rId638" Type="http://schemas.openxmlformats.org/officeDocument/2006/relationships/hyperlink" Target="https://wa.me/6287863509004" TargetMode="External"/><Relationship Id="rId845" Type="http://schemas.openxmlformats.org/officeDocument/2006/relationships/hyperlink" Target="https://wa.me/6281549409606" TargetMode="External"/><Relationship Id="rId1030" Type="http://schemas.openxmlformats.org/officeDocument/2006/relationships/hyperlink" Target="https://adsmanager.facebook.com/adsmanager/manage/campaigns/edit/standalone?act=766589657993298&amp;selected_campaign_ids=120227332096230235" TargetMode="External"/><Relationship Id="rId1268" Type="http://schemas.openxmlformats.org/officeDocument/2006/relationships/hyperlink" Target="https://wa.me/6285888590045" TargetMode="External"/><Relationship Id="rId277" Type="http://schemas.openxmlformats.org/officeDocument/2006/relationships/hyperlink" Target="https://adsmanager.facebook.com/adsmanager/manage/campaigns/edit/standalone?act=174904221976312&amp;selected_campaign_ids=120228961524660694" TargetMode="External"/><Relationship Id="rId400" Type="http://schemas.openxmlformats.org/officeDocument/2006/relationships/hyperlink" Target="https://adsmanager.facebook.com/adsmanager/manage/campaigns/edit/standalone?act=174904221976312&amp;selected_campaign_ids=120229741385100694" TargetMode="External"/><Relationship Id="rId484" Type="http://schemas.openxmlformats.org/officeDocument/2006/relationships/hyperlink" Target="https://adsmanager.facebook.com/adsmanager/manage/campaigns/edit/standalone?act=174904221976312&amp;selected_campaign_ids=120230200663390694" TargetMode="External"/><Relationship Id="rId705" Type="http://schemas.openxmlformats.org/officeDocument/2006/relationships/hyperlink" Target="https://wa.me/6282362576312" TargetMode="External"/><Relationship Id="rId1128" Type="http://schemas.openxmlformats.org/officeDocument/2006/relationships/hyperlink" Target="https://adsmanager.facebook.com/adsmanager/manage/campaigns/edit/standalone?act=766589657993298&amp;selected_campaign_ids=120228977263800235" TargetMode="External"/><Relationship Id="rId1335" Type="http://schemas.openxmlformats.org/officeDocument/2006/relationships/hyperlink" Target="https://adsmanager.facebook.com/adsmanager/manage/campaigns/edit/standalone?act=766589657993298&amp;selected_campaign_ids=120231901930330235" TargetMode="External"/><Relationship Id="rId137" Type="http://schemas.openxmlformats.org/officeDocument/2006/relationships/hyperlink" Target="https://wa.me/6285702653554" TargetMode="External"/><Relationship Id="rId344" Type="http://schemas.openxmlformats.org/officeDocument/2006/relationships/hyperlink" Target="https://adsmanager.facebook.com/adsmanager/manage/campaigns/edit/standalone?act=174904221976312&amp;selected_campaign_ids=120229402979650694" TargetMode="External"/><Relationship Id="rId691" Type="http://schemas.openxmlformats.org/officeDocument/2006/relationships/hyperlink" Target="https://wa.me/6285655300070" TargetMode="External"/><Relationship Id="rId789" Type="http://schemas.openxmlformats.org/officeDocument/2006/relationships/hyperlink" Target="https://wa.me/62817164567" TargetMode="External"/><Relationship Id="rId912" Type="http://schemas.openxmlformats.org/officeDocument/2006/relationships/hyperlink" Target="https://adsmanager.facebook.com/adsmanager/manage/campaigns/edit/standalone?act=759724529202804&amp;selected_campaign_ids=120229259215650200" TargetMode="External"/><Relationship Id="rId996" Type="http://schemas.openxmlformats.org/officeDocument/2006/relationships/hyperlink" Target="https://adsmanager.facebook.com/adsmanager/manage/campaigns/edit/standalone?act=766589657993298&amp;selected_campaign_ids=120226675628850235" TargetMode="External"/><Relationship Id="rId41" Type="http://schemas.openxmlformats.org/officeDocument/2006/relationships/hyperlink" Target="https://adsmanager.facebook.com/adsmanager/manage/campaigns/edit/standalone?act=174904221976312&amp;selected_campaign_ids=120226538247460694" TargetMode="External"/><Relationship Id="rId551" Type="http://schemas.openxmlformats.org/officeDocument/2006/relationships/hyperlink" Target="https://wa.me/6285189492568" TargetMode="External"/><Relationship Id="rId649" Type="http://schemas.openxmlformats.org/officeDocument/2006/relationships/hyperlink" Target="https://adsmanager.facebook.com/adsmanager/manage/campaigns/edit/standalone?act=174904221976312&amp;selected_campaign_ids=120231472313090694" TargetMode="External"/><Relationship Id="rId856" Type="http://schemas.openxmlformats.org/officeDocument/2006/relationships/hyperlink" Target="https://wa.me/6282154483973" TargetMode="External"/><Relationship Id="rId1181" Type="http://schemas.openxmlformats.org/officeDocument/2006/relationships/hyperlink" Target="https://adsmanager.facebook.com/adsmanager/manage/campaigns/edit/standalone?act=766589657993298&amp;selected_campaign_ids=120229629574190235" TargetMode="External"/><Relationship Id="rId1279" Type="http://schemas.openxmlformats.org/officeDocument/2006/relationships/hyperlink" Target="https://adsmanager.facebook.com/adsmanager/manage/campaigns/edit/standalone?act=766589657993298&amp;selected_campaign_ids=120231247426310235" TargetMode="External"/><Relationship Id="rId1402" Type="http://schemas.openxmlformats.org/officeDocument/2006/relationships/hyperlink" Target="https://adsmanager.facebook.com/adsmanager/manage/campaigns/edit/standalone?act=768362231010540&amp;selected_campaign_ids=120227296626920731" TargetMode="External"/><Relationship Id="rId190" Type="http://schemas.openxmlformats.org/officeDocument/2006/relationships/hyperlink" Target="https://adsmanager.facebook.com/adsmanager/manage/campaigns/edit/standalone?act=174904221976312&amp;selected_campaign_ids=120228480915950694" TargetMode="External"/><Relationship Id="rId204" Type="http://schemas.openxmlformats.org/officeDocument/2006/relationships/hyperlink" Target="https://adsmanager.facebook.com/adsmanager/manage/campaigns/edit/standalone?act=174904221976312&amp;selected_campaign_ids=120228534648940694" TargetMode="External"/><Relationship Id="rId288" Type="http://schemas.openxmlformats.org/officeDocument/2006/relationships/hyperlink" Target="https://wa.me/6287762707927" TargetMode="External"/><Relationship Id="rId411" Type="http://schemas.openxmlformats.org/officeDocument/2006/relationships/hyperlink" Target="https://wa.me/6282118113002" TargetMode="External"/><Relationship Id="rId509" Type="http://schemas.openxmlformats.org/officeDocument/2006/relationships/hyperlink" Target="https://wa.me/6283870060603" TargetMode="External"/><Relationship Id="rId1041" Type="http://schemas.openxmlformats.org/officeDocument/2006/relationships/hyperlink" Target="https://adsmanager.facebook.com/adsmanager/manage/campaigns/edit/standalone?act=766589657993298&amp;selected_campaign_ids=120227511849950235" TargetMode="External"/><Relationship Id="rId1139" Type="http://schemas.openxmlformats.org/officeDocument/2006/relationships/hyperlink" Target="https://adsmanager.facebook.com/adsmanager/manage/campaigns/edit/standalone?act=766589657993298&amp;selected_campaign_ids=120229094467260235" TargetMode="External"/><Relationship Id="rId1346" Type="http://schemas.openxmlformats.org/officeDocument/2006/relationships/hyperlink" Target="https://wa.me/6285251757431" TargetMode="External"/><Relationship Id="rId495" Type="http://schemas.openxmlformats.org/officeDocument/2006/relationships/hyperlink" Target="https://wa.me/6287797504113" TargetMode="External"/><Relationship Id="rId716" Type="http://schemas.openxmlformats.org/officeDocument/2006/relationships/hyperlink" Target="https://adsmanager.facebook.com/adsmanager/manage/campaigns/edit/standalone?act=174904221976312&amp;selected_campaign_ids=120231849584150694" TargetMode="External"/><Relationship Id="rId923" Type="http://schemas.openxmlformats.org/officeDocument/2006/relationships/hyperlink" Target="https://wa.me/6285974999484" TargetMode="External"/><Relationship Id="rId52" Type="http://schemas.openxmlformats.org/officeDocument/2006/relationships/hyperlink" Target="https://adsmanager.facebook.com/adsmanager/manage/campaigns/edit/standalone?act=174904221976312&amp;selected_campaign_ids=120226995405450694" TargetMode="External"/><Relationship Id="rId148" Type="http://schemas.openxmlformats.org/officeDocument/2006/relationships/hyperlink" Target="https://adsmanager.facebook.com/adsmanager/manage/campaigns/edit/standalone?act=174904221976312&amp;selected_campaign_ids=120228262403810694" TargetMode="External"/><Relationship Id="rId355" Type="http://schemas.openxmlformats.org/officeDocument/2006/relationships/hyperlink" Target="https://wa.me/6282285205998" TargetMode="External"/><Relationship Id="rId562" Type="http://schemas.openxmlformats.org/officeDocument/2006/relationships/hyperlink" Target="https://adsmanager.facebook.com/adsmanager/manage/campaigns/edit/standalone?act=174904221976312&amp;selected_campaign_ids=120230773935980694" TargetMode="External"/><Relationship Id="rId1192" Type="http://schemas.openxmlformats.org/officeDocument/2006/relationships/hyperlink" Target="https://wa.me/6281385001244" TargetMode="External"/><Relationship Id="rId1206" Type="http://schemas.openxmlformats.org/officeDocument/2006/relationships/hyperlink" Target="https://wa.me/6287821760177" TargetMode="External"/><Relationship Id="rId215" Type="http://schemas.openxmlformats.org/officeDocument/2006/relationships/hyperlink" Target="https://wa.me/6289517787985" TargetMode="External"/><Relationship Id="rId422" Type="http://schemas.openxmlformats.org/officeDocument/2006/relationships/hyperlink" Target="https://adsmanager.facebook.com/adsmanager/manage/campaigns/edit/standalone?act=174904221976312&amp;selected_campaign_ids=120229982208650694" TargetMode="External"/><Relationship Id="rId867" Type="http://schemas.openxmlformats.org/officeDocument/2006/relationships/hyperlink" Target="https://wa.me/6285255435848" TargetMode="External"/><Relationship Id="rId1052" Type="http://schemas.openxmlformats.org/officeDocument/2006/relationships/hyperlink" Target="https://wa.me/6282255726295" TargetMode="External"/><Relationship Id="rId299" Type="http://schemas.openxmlformats.org/officeDocument/2006/relationships/hyperlink" Target="https://adsmanager.facebook.com/adsmanager/manage/campaigns/edit/standalone?act=174904221976312&amp;selected_campaign_ids=120229065114710694" TargetMode="External"/><Relationship Id="rId727" Type="http://schemas.openxmlformats.org/officeDocument/2006/relationships/hyperlink" Target="https://wa.me/6283865096870" TargetMode="External"/><Relationship Id="rId934" Type="http://schemas.openxmlformats.org/officeDocument/2006/relationships/hyperlink" Target="https://adsmanager.facebook.com/adsmanager/manage/campaigns/edit/standalone?act=759724529202804&amp;selected_campaign_ids=120229680154090200" TargetMode="External"/><Relationship Id="rId1357" Type="http://schemas.openxmlformats.org/officeDocument/2006/relationships/hyperlink" Target="https://adsmanager.facebook.com/adsmanager/manage/campaigns/edit/standalone?act=766589657993298&amp;selected_campaign_ids=120232599183480235" TargetMode="External"/><Relationship Id="rId63" Type="http://schemas.openxmlformats.org/officeDocument/2006/relationships/hyperlink" Target="https://wa.me/6285725492572" TargetMode="External"/><Relationship Id="rId159" Type="http://schemas.openxmlformats.org/officeDocument/2006/relationships/hyperlink" Target="https://wa.me/6281212295448" TargetMode="External"/><Relationship Id="rId366" Type="http://schemas.openxmlformats.org/officeDocument/2006/relationships/hyperlink" Target="https://adsmanager.facebook.com/adsmanager/manage/campaigns/edit/standalone?act=174904221976312&amp;selected_campaign_ids=120229536211020694" TargetMode="External"/><Relationship Id="rId573" Type="http://schemas.openxmlformats.org/officeDocument/2006/relationships/hyperlink" Target="https://wa.me/6287740636181" TargetMode="External"/><Relationship Id="rId780" Type="http://schemas.openxmlformats.org/officeDocument/2006/relationships/hyperlink" Target="https://adsmanager.facebook.com/adsmanager/manage/campaigns/edit/standalone?act=174904221976312&amp;selected_campaign_ids=120232295972450694" TargetMode="External"/><Relationship Id="rId1217" Type="http://schemas.openxmlformats.org/officeDocument/2006/relationships/hyperlink" Target="https://adsmanager.facebook.com/adsmanager/manage/campaigns/edit/standalone?act=766589657993298&amp;selected_campaign_ids=120229935945510235" TargetMode="External"/><Relationship Id="rId226" Type="http://schemas.openxmlformats.org/officeDocument/2006/relationships/hyperlink" Target="https://adsmanager.facebook.com/adsmanager/manage/campaigns/edit/standalone?act=174904221976312&amp;selected_campaign_ids=120228662115630694" TargetMode="External"/><Relationship Id="rId433" Type="http://schemas.openxmlformats.org/officeDocument/2006/relationships/hyperlink" Target="https://wa.me/628154336558" TargetMode="External"/><Relationship Id="rId878" Type="http://schemas.openxmlformats.org/officeDocument/2006/relationships/hyperlink" Target="https://adsmanager.facebook.com/adsmanager/manage/campaigns/edit/standalone?act=759724529202804&amp;selected_campaign_ids=120228159361750200" TargetMode="External"/><Relationship Id="rId1063" Type="http://schemas.openxmlformats.org/officeDocument/2006/relationships/hyperlink" Target="https://adsmanager.facebook.com/adsmanager/manage/campaigns/edit/standalone?act=766589657993298&amp;selected_campaign_ids=120227705972040235" TargetMode="External"/><Relationship Id="rId1270" Type="http://schemas.openxmlformats.org/officeDocument/2006/relationships/hyperlink" Target="https://wa.me/6285888590045" TargetMode="External"/><Relationship Id="rId640" Type="http://schemas.openxmlformats.org/officeDocument/2006/relationships/hyperlink" Target="https://wa.me/6285194619788" TargetMode="External"/><Relationship Id="rId738" Type="http://schemas.openxmlformats.org/officeDocument/2006/relationships/hyperlink" Target="https://adsmanager.facebook.com/adsmanager/manage/campaigns/edit/standalone?act=174904221976312&amp;selected_campaign_ids=120232003950460694" TargetMode="External"/><Relationship Id="rId945" Type="http://schemas.openxmlformats.org/officeDocument/2006/relationships/hyperlink" Target="https://wa.me/6282122880328" TargetMode="External"/><Relationship Id="rId1368" Type="http://schemas.openxmlformats.org/officeDocument/2006/relationships/hyperlink" Target="http://primagriya.com/" TargetMode="External"/><Relationship Id="rId74" Type="http://schemas.openxmlformats.org/officeDocument/2006/relationships/hyperlink" Target="https://adsmanager.facebook.com/adsmanager/manage/campaigns/edit/standalone?act=174904221976312&amp;selected_campaign_ids=120227497328100694" TargetMode="External"/><Relationship Id="rId377" Type="http://schemas.openxmlformats.org/officeDocument/2006/relationships/hyperlink" Target="https://wa.me/6287865111033" TargetMode="External"/><Relationship Id="rId500" Type="http://schemas.openxmlformats.org/officeDocument/2006/relationships/hyperlink" Target="https://adsmanager.facebook.com/adsmanager/manage/campaigns/edit/standalone?act=174904221976312&amp;selected_campaign_ids=120230432872870694" TargetMode="External"/><Relationship Id="rId584" Type="http://schemas.openxmlformats.org/officeDocument/2006/relationships/hyperlink" Target="https://adsmanager.facebook.com/adsmanager/manage/campaigns/edit/standalone?act=174904221976312&amp;selected_campaign_ids=120231053440480694" TargetMode="External"/><Relationship Id="rId805" Type="http://schemas.openxmlformats.org/officeDocument/2006/relationships/hyperlink" Target="https://wa.me/6283107086952" TargetMode="External"/><Relationship Id="rId1130" Type="http://schemas.openxmlformats.org/officeDocument/2006/relationships/hyperlink" Target="https://adsmanager.facebook.com/adsmanager/manage/campaigns/edit/standalone?act=766589657993298&amp;selected_campaign_ids=120228977541530235" TargetMode="External"/><Relationship Id="rId1228" Type="http://schemas.openxmlformats.org/officeDocument/2006/relationships/hyperlink" Target="https://wa.me/6281258553437" TargetMode="External"/><Relationship Id="rId5" Type="http://schemas.openxmlformats.org/officeDocument/2006/relationships/hyperlink" Target="https://adsmanager.facebook.com/adsmanager/manage/campaigns/edit/standalone?act=174904221976312&amp;selected_campaign_ids=120224403680120694" TargetMode="External"/><Relationship Id="rId237" Type="http://schemas.openxmlformats.org/officeDocument/2006/relationships/hyperlink" Target="https://adsmanager.facebook.com/adsmanager/manage/campaigns/edit/standalone?act=174904221976312&amp;selected_campaign_ids=120228690635530694" TargetMode="External"/><Relationship Id="rId791" Type="http://schemas.openxmlformats.org/officeDocument/2006/relationships/hyperlink" Target="https://wa.me/6285357908485" TargetMode="External"/><Relationship Id="rId889" Type="http://schemas.openxmlformats.org/officeDocument/2006/relationships/hyperlink" Target="https://wa.me/6285180805171" TargetMode="External"/><Relationship Id="rId1074" Type="http://schemas.openxmlformats.org/officeDocument/2006/relationships/hyperlink" Target="https://wa.me/6281230995752" TargetMode="External"/><Relationship Id="rId444" Type="http://schemas.openxmlformats.org/officeDocument/2006/relationships/hyperlink" Target="https://adsmanager.facebook.com/adsmanager/manage/campaigns/edit/standalone?act=174904221976312&amp;selected_campaign_ids=120230031385670694" TargetMode="External"/><Relationship Id="rId651" Type="http://schemas.openxmlformats.org/officeDocument/2006/relationships/hyperlink" Target="https://adsmanager.facebook.com/adsmanager/manage/campaigns/edit/standalone?act=174904221976312&amp;selected_campaign_ids=120231472987580694" TargetMode="External"/><Relationship Id="rId749" Type="http://schemas.openxmlformats.org/officeDocument/2006/relationships/hyperlink" Target="https://wa.me/6281460494182" TargetMode="External"/><Relationship Id="rId1281" Type="http://schemas.openxmlformats.org/officeDocument/2006/relationships/hyperlink" Target="https://adsmanager.facebook.com/adsmanager/manage/campaigns/edit/standalone?act=766589657993298&amp;selected_campaign_ids=120231247466460235" TargetMode="External"/><Relationship Id="rId1379" Type="http://schemas.openxmlformats.org/officeDocument/2006/relationships/hyperlink" Target="https://wa.me/6283890485123" TargetMode="External"/><Relationship Id="rId290" Type="http://schemas.openxmlformats.org/officeDocument/2006/relationships/hyperlink" Target="https://wa.me/6281225745133" TargetMode="External"/><Relationship Id="rId304" Type="http://schemas.openxmlformats.org/officeDocument/2006/relationships/hyperlink" Target="https://wa.me/6285267044893" TargetMode="External"/><Relationship Id="rId388" Type="http://schemas.openxmlformats.org/officeDocument/2006/relationships/hyperlink" Target="https://adsmanager.facebook.com/adsmanager/manage/campaigns/edit/standalone?act=174904221976312&amp;selected_campaign_ids=120229734535510694" TargetMode="External"/><Relationship Id="rId511" Type="http://schemas.openxmlformats.org/officeDocument/2006/relationships/hyperlink" Target="https://wa.me/6287886480138" TargetMode="External"/><Relationship Id="rId609" Type="http://schemas.openxmlformats.org/officeDocument/2006/relationships/hyperlink" Target="https://adsmanager.facebook.com/adsmanager/manage/campaigns/edit/standalone?act=174904221976312&amp;selected_campaign_ids=120231241160470694" TargetMode="External"/><Relationship Id="rId956" Type="http://schemas.openxmlformats.org/officeDocument/2006/relationships/hyperlink" Target="https://adsmanager.facebook.com/adsmanager/manage/campaigns/edit/standalone?act=759724529202804&amp;selected_campaign_ids=120230277020900200" TargetMode="External"/><Relationship Id="rId1141" Type="http://schemas.openxmlformats.org/officeDocument/2006/relationships/hyperlink" Target="https://adsmanager.facebook.com/adsmanager/manage/campaigns/edit/standalone?act=766589657993298&amp;selected_campaign_ids=120229115814120235" TargetMode="External"/><Relationship Id="rId1239" Type="http://schemas.openxmlformats.org/officeDocument/2006/relationships/hyperlink" Target="https://adsmanager.facebook.com/adsmanager/manage/campaigns/edit/standalone?act=766589657993298&amp;selected_campaign_ids=120230462474680235" TargetMode="External"/><Relationship Id="rId85" Type="http://schemas.openxmlformats.org/officeDocument/2006/relationships/hyperlink" Target="https://wa.me/6281213589905" TargetMode="External"/><Relationship Id="rId150" Type="http://schemas.openxmlformats.org/officeDocument/2006/relationships/hyperlink" Target="https://adsmanager.facebook.com/adsmanager/manage/campaigns/edit/standalone?act=174904221976312&amp;selected_campaign_ids=120228297292730694" TargetMode="External"/><Relationship Id="rId595" Type="http://schemas.openxmlformats.org/officeDocument/2006/relationships/hyperlink" Target="http://hratour.id/" TargetMode="External"/><Relationship Id="rId816" Type="http://schemas.openxmlformats.org/officeDocument/2006/relationships/hyperlink" Target="https://adsmanager.facebook.com/adsmanager/manage/campaigns/edit/standalone?act=174904221976312&amp;selected_campaign_ids=120232650034850694" TargetMode="External"/><Relationship Id="rId1001" Type="http://schemas.openxmlformats.org/officeDocument/2006/relationships/hyperlink" Target="https://wa.me/6283134740502" TargetMode="External"/><Relationship Id="rId248" Type="http://schemas.openxmlformats.org/officeDocument/2006/relationships/hyperlink" Target="https://wa.me/6283865096870" TargetMode="External"/><Relationship Id="rId455" Type="http://schemas.openxmlformats.org/officeDocument/2006/relationships/hyperlink" Target="https://wa.me/628557182563" TargetMode="External"/><Relationship Id="rId662" Type="http://schemas.openxmlformats.org/officeDocument/2006/relationships/hyperlink" Target="https://wa.me/62811955059" TargetMode="External"/><Relationship Id="rId1085" Type="http://schemas.openxmlformats.org/officeDocument/2006/relationships/hyperlink" Target="https://adsmanager.facebook.com/adsmanager/manage/campaigns/edit/standalone?act=766589657993298&amp;selected_campaign_ids=120228074309660235" TargetMode="External"/><Relationship Id="rId1292" Type="http://schemas.openxmlformats.org/officeDocument/2006/relationships/hyperlink" Target="https://wa.me/6283185169816" TargetMode="External"/><Relationship Id="rId1306" Type="http://schemas.openxmlformats.org/officeDocument/2006/relationships/hyperlink" Target="https://wa.me/6285925102815" TargetMode="External"/><Relationship Id="rId12" Type="http://schemas.openxmlformats.org/officeDocument/2006/relationships/hyperlink" Target="https://adsmanager.facebook.com/adsmanager/manage/campaigns/edit/standalone?act=174904221976312&amp;selected_campaign_ids=120225065069670694" TargetMode="External"/><Relationship Id="rId108" Type="http://schemas.openxmlformats.org/officeDocument/2006/relationships/hyperlink" Target="https://adsmanager.facebook.com/adsmanager/manage/campaigns/edit/standalone?act=174904221976312&amp;selected_campaign_ids=120228023842860694" TargetMode="External"/><Relationship Id="rId315" Type="http://schemas.openxmlformats.org/officeDocument/2006/relationships/hyperlink" Target="https://adsmanager.facebook.com/adsmanager/manage/campaigns/edit/standalone?act=174904221976312&amp;selected_campaign_ids=120229187562570694" TargetMode="External"/><Relationship Id="rId522" Type="http://schemas.openxmlformats.org/officeDocument/2006/relationships/hyperlink" Target="https://adsmanager.facebook.com/adsmanager/manage/campaigns/edit/standalone?act=174904221976312&amp;selected_campaign_ids=120230494825900694" TargetMode="External"/><Relationship Id="rId967" Type="http://schemas.openxmlformats.org/officeDocument/2006/relationships/hyperlink" Target="https://wa.me/6281269441611" TargetMode="External"/><Relationship Id="rId1152" Type="http://schemas.openxmlformats.org/officeDocument/2006/relationships/hyperlink" Target="https://adsmanager.facebook.com/adsmanager/manage/campaigns/edit/standalone?act=766589657993298&amp;selected_campaign_ids=120229219083550235" TargetMode="External"/><Relationship Id="rId96" Type="http://schemas.openxmlformats.org/officeDocument/2006/relationships/hyperlink" Target="https://adsmanager.facebook.com/adsmanager/manage/campaigns/edit/standalone?act=174904221976312&amp;selected_campaign_ids=120227891726170694" TargetMode="External"/><Relationship Id="rId161" Type="http://schemas.openxmlformats.org/officeDocument/2006/relationships/hyperlink" Target="https://wa.me/6281412281953" TargetMode="External"/><Relationship Id="rId399" Type="http://schemas.openxmlformats.org/officeDocument/2006/relationships/hyperlink" Target="https://wa.me/6285286258400" TargetMode="External"/><Relationship Id="rId827" Type="http://schemas.openxmlformats.org/officeDocument/2006/relationships/hyperlink" Target="https://wa.me/6285737244570" TargetMode="External"/><Relationship Id="rId1012" Type="http://schemas.openxmlformats.org/officeDocument/2006/relationships/hyperlink" Target="https://adsmanager.facebook.com/adsmanager/manage/campaigns/edit/standalone?act=766589657993298&amp;selected_campaign_ids=120227144320660235" TargetMode="External"/><Relationship Id="rId259" Type="http://schemas.openxmlformats.org/officeDocument/2006/relationships/hyperlink" Target="https://adsmanager.facebook.com/adsmanager/manage/campaigns/edit/standalone?act=174904221976312&amp;selected_campaign_ids=120228878484580694" TargetMode="External"/><Relationship Id="rId466" Type="http://schemas.openxmlformats.org/officeDocument/2006/relationships/hyperlink" Target="https://adsmanager.facebook.com/adsmanager/manage/campaigns/edit/standalone?act=174904221976312&amp;selected_campaign_ids=120230104881210694" TargetMode="External"/><Relationship Id="rId673" Type="http://schemas.openxmlformats.org/officeDocument/2006/relationships/hyperlink" Target="https://adsmanager.facebook.com/adsmanager/manage/campaigns/edit/standalone?act=174904221976312&amp;selected_campaign_ids=120231542885150694" TargetMode="External"/><Relationship Id="rId880" Type="http://schemas.openxmlformats.org/officeDocument/2006/relationships/hyperlink" Target="https://adsmanager.facebook.com/adsmanager/manage/campaigns/edit/standalone?act=759724529202804&amp;selected_campaign_ids=120228387388660200" TargetMode="External"/><Relationship Id="rId1096" Type="http://schemas.openxmlformats.org/officeDocument/2006/relationships/hyperlink" Target="https://wa.me/6282385989828" TargetMode="External"/><Relationship Id="rId1317" Type="http://schemas.openxmlformats.org/officeDocument/2006/relationships/hyperlink" Target="https://adsmanager.facebook.com/adsmanager/manage/campaigns/edit/standalone?act=766589657993298&amp;selected_campaign_ids=120231542288540235" TargetMode="External"/><Relationship Id="rId23" Type="http://schemas.openxmlformats.org/officeDocument/2006/relationships/hyperlink" Target="https://wa.me/6285376667233" TargetMode="External"/><Relationship Id="rId119" Type="http://schemas.openxmlformats.org/officeDocument/2006/relationships/hyperlink" Target="https://wa.me/6285727410479" TargetMode="External"/><Relationship Id="rId326" Type="http://schemas.openxmlformats.org/officeDocument/2006/relationships/hyperlink" Target="https://wa.me/6281553075560" TargetMode="External"/><Relationship Id="rId533" Type="http://schemas.openxmlformats.org/officeDocument/2006/relationships/hyperlink" Target="https://wa.me/6281558225822" TargetMode="External"/><Relationship Id="rId978" Type="http://schemas.openxmlformats.org/officeDocument/2006/relationships/hyperlink" Target="https://adsmanager.facebook.com/adsmanager/manage/campaigns/edit/standalone?act=759724529202804&amp;selected_campaign_ids=120232776985740200" TargetMode="External"/><Relationship Id="rId1163" Type="http://schemas.openxmlformats.org/officeDocument/2006/relationships/hyperlink" Target="https://adsmanager.facebook.com/adsmanager/manage/campaigns/edit/standalone?act=766589657993298&amp;selected_campaign_ids=120229445583580235" TargetMode="External"/><Relationship Id="rId1370" Type="http://schemas.openxmlformats.org/officeDocument/2006/relationships/hyperlink" Target="https://adsmanager.facebook.com/adsmanager/manage/campaigns/edit/standalone?act=766589657993298&amp;selected_campaign_ids=120232811430490235" TargetMode="External"/><Relationship Id="rId740" Type="http://schemas.openxmlformats.org/officeDocument/2006/relationships/hyperlink" Target="https://adsmanager.facebook.com/adsmanager/manage/campaigns/edit/standalone?act=174904221976312&amp;selected_campaign_ids=120232004138370694" TargetMode="External"/><Relationship Id="rId838" Type="http://schemas.openxmlformats.org/officeDocument/2006/relationships/hyperlink" Target="https://adsmanager.facebook.com/adsmanager/manage/campaigns/edit/standalone?act=174904221976312&amp;selected_campaign_ids=120232988080700694" TargetMode="External"/><Relationship Id="rId1023" Type="http://schemas.openxmlformats.org/officeDocument/2006/relationships/hyperlink" Target="https://wa.me/6285747906282" TargetMode="External"/><Relationship Id="rId172" Type="http://schemas.openxmlformats.org/officeDocument/2006/relationships/hyperlink" Target="https://adsmanager.facebook.com/adsmanager/manage/campaigns/edit/standalone?act=174904221976312&amp;selected_campaign_ids=120228363859420694" TargetMode="External"/><Relationship Id="rId477" Type="http://schemas.openxmlformats.org/officeDocument/2006/relationships/hyperlink" Target="https://wa.me/6281378305888" TargetMode="External"/><Relationship Id="rId600" Type="http://schemas.openxmlformats.org/officeDocument/2006/relationships/hyperlink" Target="https://wa.me/6281316807185" TargetMode="External"/><Relationship Id="rId684" Type="http://schemas.openxmlformats.org/officeDocument/2006/relationships/hyperlink" Target="http://adhidezign.com/" TargetMode="External"/><Relationship Id="rId1230" Type="http://schemas.openxmlformats.org/officeDocument/2006/relationships/hyperlink" Target="https://wa.me/6285373309275" TargetMode="External"/><Relationship Id="rId1328" Type="http://schemas.openxmlformats.org/officeDocument/2006/relationships/hyperlink" Target="https://wa.me/6281222788601" TargetMode="External"/><Relationship Id="rId337" Type="http://schemas.openxmlformats.org/officeDocument/2006/relationships/hyperlink" Target="https://wa.me/6282340878030" TargetMode="External"/><Relationship Id="rId891" Type="http://schemas.openxmlformats.org/officeDocument/2006/relationships/hyperlink" Target="https://wa.me/6282122880328" TargetMode="External"/><Relationship Id="rId905" Type="http://schemas.openxmlformats.org/officeDocument/2006/relationships/hyperlink" Target="https://wa.me/6281399731413" TargetMode="External"/><Relationship Id="rId989" Type="http://schemas.openxmlformats.org/officeDocument/2006/relationships/hyperlink" Target="https://adsmanager.facebook.com/adsmanager/manage/campaigns/edit/standalone?act=766589657993298&amp;selected_campaign_ids=120226524173690235" TargetMode="External"/><Relationship Id="rId34" Type="http://schemas.openxmlformats.org/officeDocument/2006/relationships/hyperlink" Target="https://adsmanager.facebook.com/adsmanager/manage/campaigns/edit/standalone?act=174904221976312&amp;selected_campaign_ids=120226052237140694" TargetMode="External"/><Relationship Id="rId544" Type="http://schemas.openxmlformats.org/officeDocument/2006/relationships/hyperlink" Target="https://adsmanager.facebook.com/adsmanager/manage/campaigns/edit/standalone?act=174904221976312&amp;selected_campaign_ids=120230589652200694" TargetMode="External"/><Relationship Id="rId751" Type="http://schemas.openxmlformats.org/officeDocument/2006/relationships/hyperlink" Target="https://wa.me/6282280771367" TargetMode="External"/><Relationship Id="rId849" Type="http://schemas.openxmlformats.org/officeDocument/2006/relationships/hyperlink" Target="https://adsmanager.facebook.com/adsmanager/manage/campaigns/edit/standalone?act=759724529202804&amp;selected_campaign_ids=120227218075240200" TargetMode="External"/><Relationship Id="rId1174" Type="http://schemas.openxmlformats.org/officeDocument/2006/relationships/hyperlink" Target="https://wa.me/6281347321820" TargetMode="External"/><Relationship Id="rId1381" Type="http://schemas.openxmlformats.org/officeDocument/2006/relationships/hyperlink" Target="https://wa.me/6285272737979" TargetMode="External"/><Relationship Id="rId183" Type="http://schemas.openxmlformats.org/officeDocument/2006/relationships/hyperlink" Target="https://wa.me/6285713536070" TargetMode="External"/><Relationship Id="rId390" Type="http://schemas.openxmlformats.org/officeDocument/2006/relationships/hyperlink" Target="https://adsmanager.facebook.com/adsmanager/manage/campaigns/edit/standalone?act=174904221976312&amp;selected_campaign_ids=120229736695660694" TargetMode="External"/><Relationship Id="rId404" Type="http://schemas.openxmlformats.org/officeDocument/2006/relationships/hyperlink" Target="https://adsmanager.facebook.com/adsmanager/manage/campaigns/edit/standalone?act=174904221976312&amp;selected_campaign_ids=120229866087510694" TargetMode="External"/><Relationship Id="rId611" Type="http://schemas.openxmlformats.org/officeDocument/2006/relationships/hyperlink" Target="https://adsmanager.facebook.com/adsmanager/manage/campaigns/edit/standalone?act=174904221976312&amp;selected_campaign_ids=120231241330280694" TargetMode="External"/><Relationship Id="rId1034" Type="http://schemas.openxmlformats.org/officeDocument/2006/relationships/hyperlink" Target="https://adsmanager.facebook.com/adsmanager/manage/campaigns/edit/standalone?act=766589657993298&amp;selected_campaign_ids=120227332148190235" TargetMode="External"/><Relationship Id="rId1241" Type="http://schemas.openxmlformats.org/officeDocument/2006/relationships/hyperlink" Target="https://adsmanager.facebook.com/adsmanager/manage/campaigns/edit/standalone?act=766589657993298&amp;selected_campaign_ids=120230462746020235" TargetMode="External"/><Relationship Id="rId1339" Type="http://schemas.openxmlformats.org/officeDocument/2006/relationships/hyperlink" Target="https://adsmanager.facebook.com/adsmanager/manage/campaigns/edit/standalone?act=766589657993298&amp;selected_campaign_ids=120231968346310235" TargetMode="External"/><Relationship Id="rId250" Type="http://schemas.openxmlformats.org/officeDocument/2006/relationships/hyperlink" Target="https://wa.me/6283147736523" TargetMode="External"/><Relationship Id="rId488" Type="http://schemas.openxmlformats.org/officeDocument/2006/relationships/hyperlink" Target="https://adsmanager.facebook.com/adsmanager/manage/campaigns/edit/standalone?act=174904221976312&amp;selected_campaign_ids=120230247451720694" TargetMode="External"/><Relationship Id="rId695" Type="http://schemas.openxmlformats.org/officeDocument/2006/relationships/hyperlink" Target="https://wa.me/6287888330007" TargetMode="External"/><Relationship Id="rId709" Type="http://schemas.openxmlformats.org/officeDocument/2006/relationships/hyperlink" Target="https://wa.me/6285786318640" TargetMode="External"/><Relationship Id="rId916" Type="http://schemas.openxmlformats.org/officeDocument/2006/relationships/hyperlink" Target="https://adsmanager.facebook.com/adsmanager/manage/campaigns/edit/standalone?act=759724529202804&amp;selected_campaign_ids=120229310340250200" TargetMode="External"/><Relationship Id="rId1101" Type="http://schemas.openxmlformats.org/officeDocument/2006/relationships/hyperlink" Target="https://adsmanager.facebook.com/adsmanager/manage/campaigns/edit/standalone?act=766589657993298&amp;selected_campaign_ids=120228406232970235" TargetMode="External"/><Relationship Id="rId45" Type="http://schemas.openxmlformats.org/officeDocument/2006/relationships/hyperlink" Target="https://wa.me/6281221788919" TargetMode="External"/><Relationship Id="rId110" Type="http://schemas.openxmlformats.org/officeDocument/2006/relationships/hyperlink" Target="https://adsmanager.facebook.com/adsmanager/manage/campaigns/edit/standalone?act=174904221976312&amp;selected_campaign_ids=120228048305310694" TargetMode="External"/><Relationship Id="rId348" Type="http://schemas.openxmlformats.org/officeDocument/2006/relationships/hyperlink" Target="https://adsmanager.facebook.com/adsmanager/manage/campaigns/edit/standalone?act=174904221976312&amp;selected_campaign_ids=120229403412790694" TargetMode="External"/><Relationship Id="rId555" Type="http://schemas.openxmlformats.org/officeDocument/2006/relationships/hyperlink" Target="https://wa.me/6281313889118" TargetMode="External"/><Relationship Id="rId762" Type="http://schemas.openxmlformats.org/officeDocument/2006/relationships/hyperlink" Target="https://adsmanager.facebook.com/adsmanager/manage/campaigns/edit/standalone?act=174904221976312&amp;selected_campaign_ids=120232114306460694" TargetMode="External"/><Relationship Id="rId1185" Type="http://schemas.openxmlformats.org/officeDocument/2006/relationships/hyperlink" Target="https://adsmanager.facebook.com/adsmanager/manage/campaigns/edit/standalone?act=766589657993298&amp;selected_campaign_ids=120229631182820235" TargetMode="External"/><Relationship Id="rId1392" Type="http://schemas.openxmlformats.org/officeDocument/2006/relationships/hyperlink" Target="https://adsmanager.facebook.com/adsmanager/manage/campaigns/edit/standalone?act=766589657993298&amp;selected_campaign_ids=120233101827990235" TargetMode="External"/><Relationship Id="rId194" Type="http://schemas.openxmlformats.org/officeDocument/2006/relationships/hyperlink" Target="https://adsmanager.facebook.com/adsmanager/manage/campaigns/edit/standalone?act=174904221976312&amp;selected_campaign_ids=120228481767620694" TargetMode="External"/><Relationship Id="rId208" Type="http://schemas.openxmlformats.org/officeDocument/2006/relationships/hyperlink" Target="https://adsmanager.facebook.com/adsmanager/manage/campaigns/edit/standalone?act=174904221976312&amp;selected_campaign_ids=120228534954200694" TargetMode="External"/><Relationship Id="rId415" Type="http://schemas.openxmlformats.org/officeDocument/2006/relationships/hyperlink" Target="https://wa.me/6282249348536" TargetMode="External"/><Relationship Id="rId622" Type="http://schemas.openxmlformats.org/officeDocument/2006/relationships/hyperlink" Target="https://wa.me/6287836691500" TargetMode="External"/><Relationship Id="rId1045" Type="http://schemas.openxmlformats.org/officeDocument/2006/relationships/hyperlink" Target="https://adsmanager.facebook.com/adsmanager/manage/campaigns/edit/standalone?act=766589657993298&amp;selected_campaign_ids=120227535188790235" TargetMode="External"/><Relationship Id="rId1252" Type="http://schemas.openxmlformats.org/officeDocument/2006/relationships/hyperlink" Target="https://wa.me/6287709999980" TargetMode="External"/><Relationship Id="rId261" Type="http://schemas.openxmlformats.org/officeDocument/2006/relationships/hyperlink" Target="https://adsmanager.facebook.com/adsmanager/manage/campaigns/edit/standalone?act=174904221976312&amp;selected_campaign_ids=120228878659740694" TargetMode="External"/><Relationship Id="rId499" Type="http://schemas.openxmlformats.org/officeDocument/2006/relationships/hyperlink" Target="https://wa.me/6285748377961" TargetMode="External"/><Relationship Id="rId927" Type="http://schemas.openxmlformats.org/officeDocument/2006/relationships/hyperlink" Target="https://wa.me/6281282183261" TargetMode="External"/><Relationship Id="rId1112" Type="http://schemas.openxmlformats.org/officeDocument/2006/relationships/hyperlink" Target="https://wa.me/6285647189964" TargetMode="External"/><Relationship Id="rId56" Type="http://schemas.openxmlformats.org/officeDocument/2006/relationships/hyperlink" Target="https://adsmanager.facebook.com/adsmanager/manage/campaigns/edit/standalone?act=174904221976312&amp;selected_campaign_ids=120227065288400694" TargetMode="External"/><Relationship Id="rId359" Type="http://schemas.openxmlformats.org/officeDocument/2006/relationships/hyperlink" Target="https://wa.me/6281938384000" TargetMode="External"/><Relationship Id="rId566" Type="http://schemas.openxmlformats.org/officeDocument/2006/relationships/hyperlink" Target="https://adsmanager.facebook.com/adsmanager/manage/campaigns/edit/standalone?act=174904221976312&amp;selected_campaign_ids=120230774682990694" TargetMode="External"/><Relationship Id="rId773" Type="http://schemas.openxmlformats.org/officeDocument/2006/relationships/hyperlink" Target="https://wa.me/6281232743716" TargetMode="External"/><Relationship Id="rId1196" Type="http://schemas.openxmlformats.org/officeDocument/2006/relationships/hyperlink" Target="https://wa.me/6287734875393" TargetMode="External"/><Relationship Id="rId121" Type="http://schemas.openxmlformats.org/officeDocument/2006/relationships/hyperlink" Target="https://wa.me/6282227027805" TargetMode="External"/><Relationship Id="rId219" Type="http://schemas.openxmlformats.org/officeDocument/2006/relationships/hyperlink" Target="https://wa.me/6287856746423" TargetMode="External"/><Relationship Id="rId426" Type="http://schemas.openxmlformats.org/officeDocument/2006/relationships/hyperlink" Target="https://adsmanager.facebook.com/adsmanager/manage/campaigns/edit/standalone?act=174904221976312&amp;selected_campaign_ids=120229983154530694" TargetMode="External"/><Relationship Id="rId633" Type="http://schemas.openxmlformats.org/officeDocument/2006/relationships/hyperlink" Target="https://adsmanager.facebook.com/adsmanager/manage/campaigns/edit/standalone?act=174904221976312&amp;selected_campaign_ids=120231369762640694" TargetMode="External"/><Relationship Id="rId980" Type="http://schemas.openxmlformats.org/officeDocument/2006/relationships/hyperlink" Target="https://adsmanager.facebook.com/adsmanager/manage/campaigns/edit/standalone?act=759724529202804&amp;selected_campaign_ids=120233172775550200" TargetMode="External"/><Relationship Id="rId1056" Type="http://schemas.openxmlformats.org/officeDocument/2006/relationships/hyperlink" Target="https://wa.me/6282176695820" TargetMode="External"/><Relationship Id="rId1263" Type="http://schemas.openxmlformats.org/officeDocument/2006/relationships/hyperlink" Target="https://adsmanager.facebook.com/adsmanager/manage/campaigns/edit/standalone?act=766589657993298&amp;selected_campaign_ids=120230838084460235" TargetMode="External"/><Relationship Id="rId840" Type="http://schemas.openxmlformats.org/officeDocument/2006/relationships/hyperlink" Target="https://adsmanager.facebook.com/adsmanager/manage/campaigns/edit/standalone?act=206726568613432&amp;selected_campaign_ids=120220128857930554" TargetMode="External"/><Relationship Id="rId938" Type="http://schemas.openxmlformats.org/officeDocument/2006/relationships/hyperlink" Target="https://adsmanager.facebook.com/adsmanager/manage/campaigns/edit/standalone?act=759724529202804&amp;selected_campaign_ids=120229754781060200" TargetMode="External"/><Relationship Id="rId67" Type="http://schemas.openxmlformats.org/officeDocument/2006/relationships/hyperlink" Target="https://wa.me/6285733774700" TargetMode="External"/><Relationship Id="rId272" Type="http://schemas.openxmlformats.org/officeDocument/2006/relationships/hyperlink" Target="https://wa.me/6282128714101" TargetMode="External"/><Relationship Id="rId577" Type="http://schemas.openxmlformats.org/officeDocument/2006/relationships/hyperlink" Target="https://wa.me/6287862271550" TargetMode="External"/><Relationship Id="rId700" Type="http://schemas.openxmlformats.org/officeDocument/2006/relationships/hyperlink" Target="https://adsmanager.facebook.com/adsmanager/manage/campaigns/edit/standalone?act=174904221976312&amp;selected_campaign_ids=120231766664170694" TargetMode="External"/><Relationship Id="rId1123" Type="http://schemas.openxmlformats.org/officeDocument/2006/relationships/hyperlink" Target="https://adsmanager.facebook.com/adsmanager/manage/campaigns/edit/standalone?act=766589657993298&amp;selected_campaign_ids=120228849272030235" TargetMode="External"/><Relationship Id="rId1330" Type="http://schemas.openxmlformats.org/officeDocument/2006/relationships/hyperlink" Target="https://wa.me/6285854789952" TargetMode="External"/><Relationship Id="rId132" Type="http://schemas.openxmlformats.org/officeDocument/2006/relationships/hyperlink" Target="https://adsmanager.facebook.com/adsmanager/manage/campaigns/edit/standalone?act=174904221976312&amp;selected_campaign_ids=120228167785840694" TargetMode="External"/><Relationship Id="rId784" Type="http://schemas.openxmlformats.org/officeDocument/2006/relationships/hyperlink" Target="https://adsmanager.facebook.com/adsmanager/manage/campaigns/edit/standalone?act=174904221976312&amp;selected_campaign_ids=120232330305980694" TargetMode="External"/><Relationship Id="rId991" Type="http://schemas.openxmlformats.org/officeDocument/2006/relationships/hyperlink" Target="https://adsmanager.facebook.com/adsmanager/manage/campaigns/edit/standalone?act=766589657993298&amp;selected_campaign_ids=120226553971780235" TargetMode="External"/><Relationship Id="rId1067" Type="http://schemas.openxmlformats.org/officeDocument/2006/relationships/hyperlink" Target="https://adsmanager.facebook.com/adsmanager/manage/campaigns/edit/standalone?act=766589657993298&amp;selected_campaign_ids=120227852715640235" TargetMode="External"/><Relationship Id="rId437" Type="http://schemas.openxmlformats.org/officeDocument/2006/relationships/hyperlink" Target="https://wa.me/6281357754513" TargetMode="External"/><Relationship Id="rId644" Type="http://schemas.openxmlformats.org/officeDocument/2006/relationships/hyperlink" Target="https://wa.me/6281226825253" TargetMode="External"/><Relationship Id="rId851" Type="http://schemas.openxmlformats.org/officeDocument/2006/relationships/hyperlink" Target="https://adsmanager.facebook.com/adsmanager/manage/campaigns/edit/standalone?act=759724529202804&amp;selected_campaign_ids=120227286789550200" TargetMode="External"/><Relationship Id="rId1274" Type="http://schemas.openxmlformats.org/officeDocument/2006/relationships/hyperlink" Target="https://wa.me/6283856759344" TargetMode="External"/><Relationship Id="rId283" Type="http://schemas.openxmlformats.org/officeDocument/2006/relationships/hyperlink" Target="https://adsmanager.facebook.com/adsmanager/manage/campaigns/edit/standalone?act=174904221976312&amp;selected_campaign_ids=120229015252810694" TargetMode="External"/><Relationship Id="rId490" Type="http://schemas.openxmlformats.org/officeDocument/2006/relationships/hyperlink" Target="https://adsmanager.facebook.com/adsmanager/manage/campaigns/edit/standalone?act=174904221976312&amp;selected_campaign_ids=120230247721570694" TargetMode="External"/><Relationship Id="rId504" Type="http://schemas.openxmlformats.org/officeDocument/2006/relationships/hyperlink" Target="https://adsmanager.facebook.com/adsmanager/manage/campaigns/edit/standalone?act=174904221976312&amp;selected_campaign_ids=120230433021380694" TargetMode="External"/><Relationship Id="rId711" Type="http://schemas.openxmlformats.org/officeDocument/2006/relationships/hyperlink" Target="https://wa.me/6287849856444" TargetMode="External"/><Relationship Id="rId949" Type="http://schemas.openxmlformats.org/officeDocument/2006/relationships/hyperlink" Target="https://wa.me/6282145068631" TargetMode="External"/><Relationship Id="rId1134" Type="http://schemas.openxmlformats.org/officeDocument/2006/relationships/hyperlink" Target="https://adsmanager.facebook.com/adsmanager/manage/campaigns/edit/standalone?act=766589657993298&amp;selected_campaign_ids=120229036686860235" TargetMode="External"/><Relationship Id="rId1341" Type="http://schemas.openxmlformats.org/officeDocument/2006/relationships/hyperlink" Target="https://adsmanager.facebook.com/adsmanager/manage/campaigns/edit/standalone?act=766589657993298&amp;selected_campaign_ids=120231968557870235" TargetMode="External"/><Relationship Id="rId78" Type="http://schemas.openxmlformats.org/officeDocument/2006/relationships/hyperlink" Target="https://adsmanager.facebook.com/adsmanager/manage/campaigns/edit/standalone?act=174904221976312&amp;selected_campaign_ids=120227564446300694" TargetMode="External"/><Relationship Id="rId143" Type="http://schemas.openxmlformats.org/officeDocument/2006/relationships/hyperlink" Target="https://wa.me/6285311472244" TargetMode="External"/><Relationship Id="rId350" Type="http://schemas.openxmlformats.org/officeDocument/2006/relationships/hyperlink" Target="https://adsmanager.facebook.com/adsmanager/manage/campaigns/edit/standalone?act=174904221976312&amp;selected_campaign_ids=120229403735200694" TargetMode="External"/><Relationship Id="rId588" Type="http://schemas.openxmlformats.org/officeDocument/2006/relationships/hyperlink" Target="https://adsmanager.facebook.com/adsmanager/manage/campaigns/edit/standalone?act=174904221976312&amp;selected_campaign_ids=120231054261380694" TargetMode="External"/><Relationship Id="rId795" Type="http://schemas.openxmlformats.org/officeDocument/2006/relationships/hyperlink" Target="https://wa.me/6287777144455" TargetMode="External"/><Relationship Id="rId809" Type="http://schemas.openxmlformats.org/officeDocument/2006/relationships/hyperlink" Target="https://wa.me/6281389082618" TargetMode="External"/><Relationship Id="rId1201" Type="http://schemas.openxmlformats.org/officeDocument/2006/relationships/hyperlink" Target="https://adsmanager.facebook.com/adsmanager/manage/campaigns/edit/standalone?act=766589657993298&amp;selected_campaign_ids=120229706693350235" TargetMode="External"/><Relationship Id="rId9" Type="http://schemas.openxmlformats.org/officeDocument/2006/relationships/hyperlink" Target="https://wa.me/6282347206488" TargetMode="External"/><Relationship Id="rId210" Type="http://schemas.openxmlformats.org/officeDocument/2006/relationships/hyperlink" Target="https://adsmanager.facebook.com/adsmanager/manage/campaigns/edit/standalone?act=174904221976312&amp;selected_campaign_ids=120228540636860694" TargetMode="External"/><Relationship Id="rId448" Type="http://schemas.openxmlformats.org/officeDocument/2006/relationships/hyperlink" Target="https://adsmanager.facebook.com/adsmanager/manage/campaigns/edit/standalone?act=174904221976312&amp;selected_campaign_ids=120230031719520694" TargetMode="External"/><Relationship Id="rId655" Type="http://schemas.openxmlformats.org/officeDocument/2006/relationships/hyperlink" Target="https://adsmanager.facebook.com/adsmanager/manage/campaigns/edit/standalone?act=174904221976312&amp;selected_campaign_ids=120231473177720694" TargetMode="External"/><Relationship Id="rId862" Type="http://schemas.openxmlformats.org/officeDocument/2006/relationships/hyperlink" Target="https://adsmanager.facebook.com/adsmanager/manage/campaigns/edit/standalone?act=759724529202804&amp;selected_campaign_ids=120227423725240200" TargetMode="External"/><Relationship Id="rId1078" Type="http://schemas.openxmlformats.org/officeDocument/2006/relationships/hyperlink" Target="https://wa.me/6282183115806" TargetMode="External"/><Relationship Id="rId1285" Type="http://schemas.openxmlformats.org/officeDocument/2006/relationships/hyperlink" Target="https://adsmanager.facebook.com/adsmanager/manage/campaigns/edit/standalone?act=766589657993298&amp;selected_campaign_ids=120231287389280235" TargetMode="External"/><Relationship Id="rId294" Type="http://schemas.openxmlformats.org/officeDocument/2006/relationships/hyperlink" Target="https://wa.me/62816904358" TargetMode="External"/><Relationship Id="rId308" Type="http://schemas.openxmlformats.org/officeDocument/2006/relationships/hyperlink" Target="https://wa.me/6285657238556" TargetMode="External"/><Relationship Id="rId515" Type="http://schemas.openxmlformats.org/officeDocument/2006/relationships/hyperlink" Target="https://wa.me/6282382535847" TargetMode="External"/><Relationship Id="rId722" Type="http://schemas.openxmlformats.org/officeDocument/2006/relationships/hyperlink" Target="https://adsmanager.facebook.com/adsmanager/manage/campaigns/edit/standalone?act=174904221976312&amp;selected_campaign_ids=120231913056310694" TargetMode="External"/><Relationship Id="rId1145" Type="http://schemas.openxmlformats.org/officeDocument/2006/relationships/hyperlink" Target="https://adsmanager.facebook.com/adsmanager/manage/campaigns/edit/standalone?act=766589657993298&amp;selected_campaign_ids=120229145408470235" TargetMode="External"/><Relationship Id="rId1352" Type="http://schemas.openxmlformats.org/officeDocument/2006/relationships/hyperlink" Target="https://wa.me/628970060010" TargetMode="External"/><Relationship Id="rId89" Type="http://schemas.openxmlformats.org/officeDocument/2006/relationships/hyperlink" Target="https://wa.me/6285340323663" TargetMode="External"/><Relationship Id="rId154" Type="http://schemas.openxmlformats.org/officeDocument/2006/relationships/hyperlink" Target="https://adsmanager.facebook.com/adsmanager/manage/campaigns/edit/standalone?act=174904221976312&amp;selected_campaign_ids=120228297893450694" TargetMode="External"/><Relationship Id="rId361" Type="http://schemas.openxmlformats.org/officeDocument/2006/relationships/hyperlink" Target="https://wa.me/6281399886462" TargetMode="External"/><Relationship Id="rId599" Type="http://schemas.openxmlformats.org/officeDocument/2006/relationships/hyperlink" Target="https://adsmanager.facebook.com/adsmanager/manage/campaigns/edit/standalone?act=174904221976312&amp;selected_campaign_ids=120231118398810694" TargetMode="External"/><Relationship Id="rId1005" Type="http://schemas.openxmlformats.org/officeDocument/2006/relationships/hyperlink" Target="https://wa.me/6281222110766" TargetMode="External"/><Relationship Id="rId1212" Type="http://schemas.openxmlformats.org/officeDocument/2006/relationships/hyperlink" Target="https://wa.me/6285888590045" TargetMode="External"/><Relationship Id="rId459" Type="http://schemas.openxmlformats.org/officeDocument/2006/relationships/hyperlink" Target="https://wa.me/6282129364133" TargetMode="External"/><Relationship Id="rId666" Type="http://schemas.openxmlformats.org/officeDocument/2006/relationships/hyperlink" Target="https://wa.me/6287863509004" TargetMode="External"/><Relationship Id="rId873" Type="http://schemas.openxmlformats.org/officeDocument/2006/relationships/hyperlink" Target="https://wa.me/6282350524788" TargetMode="External"/><Relationship Id="rId1089" Type="http://schemas.openxmlformats.org/officeDocument/2006/relationships/hyperlink" Target="https://adsmanager.facebook.com/adsmanager/manage/campaigns/edit/standalone?act=766589657993298&amp;selected_campaign_ids=120228145715320235" TargetMode="External"/><Relationship Id="rId1296" Type="http://schemas.openxmlformats.org/officeDocument/2006/relationships/hyperlink" Target="https://wa.me/6281243260218" TargetMode="External"/><Relationship Id="rId16" Type="http://schemas.openxmlformats.org/officeDocument/2006/relationships/hyperlink" Target="https://adsmanager.facebook.com/adsmanager/manage/campaigns/edit/standalone?act=174904221976312&amp;selected_campaign_ids=120225346217950694" TargetMode="External"/><Relationship Id="rId221" Type="http://schemas.openxmlformats.org/officeDocument/2006/relationships/hyperlink" Target="https://wa.me/6285789446955" TargetMode="External"/><Relationship Id="rId319" Type="http://schemas.openxmlformats.org/officeDocument/2006/relationships/hyperlink" Target="https://adsmanager.facebook.com/adsmanager/manage/campaigns/edit/standalone?act=174904221976312&amp;selected_campaign_ids=120229188527800694" TargetMode="External"/><Relationship Id="rId526" Type="http://schemas.openxmlformats.org/officeDocument/2006/relationships/hyperlink" Target="https://adsmanager.facebook.com/adsmanager/manage/campaigns/edit/standalone?act=174904221976312&amp;selected_campaign_ids=120230525743980694" TargetMode="External"/><Relationship Id="rId1156" Type="http://schemas.openxmlformats.org/officeDocument/2006/relationships/hyperlink" Target="https://adsmanager.facebook.com/adsmanager/manage/campaigns/edit/standalone?act=766589657993298&amp;selected_campaign_ids=120229274552110235" TargetMode="External"/><Relationship Id="rId1363" Type="http://schemas.openxmlformats.org/officeDocument/2006/relationships/hyperlink" Target="https://adsmanager.facebook.com/adsmanager/manage/campaigns/edit/standalone?act=766589657993298&amp;selected_campaign_ids=120232610636700235" TargetMode="External"/><Relationship Id="rId733" Type="http://schemas.openxmlformats.org/officeDocument/2006/relationships/hyperlink" Target="https://wa.me/6285280808856" TargetMode="External"/><Relationship Id="rId940" Type="http://schemas.openxmlformats.org/officeDocument/2006/relationships/hyperlink" Target="https://adsmanager.facebook.com/adsmanager/manage/campaigns/edit/standalone?act=759724529202804&amp;selected_campaign_ids=120229777078600200" TargetMode="External"/><Relationship Id="rId1016" Type="http://schemas.openxmlformats.org/officeDocument/2006/relationships/hyperlink" Target="https://adsmanager.facebook.com/adsmanager/manage/campaigns/edit/standalone?act=766589657993298&amp;selected_campaign_ids=120227224515880235" TargetMode="External"/><Relationship Id="rId165" Type="http://schemas.openxmlformats.org/officeDocument/2006/relationships/hyperlink" Target="https://wa.me/6282136273086" TargetMode="External"/><Relationship Id="rId372" Type="http://schemas.openxmlformats.org/officeDocument/2006/relationships/hyperlink" Target="https://adsmanager.facebook.com/adsmanager/manage/campaigns/edit/standalone?act=174904221976312&amp;selected_campaign_ids=120229539357380694" TargetMode="External"/><Relationship Id="rId677" Type="http://schemas.openxmlformats.org/officeDocument/2006/relationships/hyperlink" Target="https://adsmanager.facebook.com/adsmanager/manage/campaigns/edit/standalone?act=174904221976312&amp;selected_campaign_ids=120231549446640694" TargetMode="External"/><Relationship Id="rId800" Type="http://schemas.openxmlformats.org/officeDocument/2006/relationships/hyperlink" Target="https://adsmanager.facebook.com/adsmanager/manage/campaigns/edit/standalone?act=174904221976312&amp;selected_campaign_ids=120232493582410694" TargetMode="External"/><Relationship Id="rId1223" Type="http://schemas.openxmlformats.org/officeDocument/2006/relationships/hyperlink" Target="https://adsmanager.facebook.com/adsmanager/manage/campaigns/edit/standalone?act=766589657993298&amp;selected_campaign_ids=120230028166360235" TargetMode="External"/><Relationship Id="rId232" Type="http://schemas.openxmlformats.org/officeDocument/2006/relationships/hyperlink" Target="https://adsmanager.facebook.com/adsmanager/manage/campaigns/edit/standalone?act=174904221976312&amp;selected_campaign_ids=120228686186680694" TargetMode="External"/><Relationship Id="rId884" Type="http://schemas.openxmlformats.org/officeDocument/2006/relationships/hyperlink" Target="https://adsmanager.facebook.com/adsmanager/manage/campaigns/edit/standalone?act=759724529202804&amp;selected_campaign_ids=120228395930460200" TargetMode="External"/><Relationship Id="rId27" Type="http://schemas.openxmlformats.org/officeDocument/2006/relationships/hyperlink" Target="https://wa.me/6282183184641" TargetMode="External"/><Relationship Id="rId537" Type="http://schemas.openxmlformats.org/officeDocument/2006/relationships/hyperlink" Target="https://wa.me/6282221896658" TargetMode="External"/><Relationship Id="rId744" Type="http://schemas.openxmlformats.org/officeDocument/2006/relationships/hyperlink" Target="https://adsmanager.facebook.com/adsmanager/manage/campaigns/edit/standalone?act=174904221976312&amp;selected_campaign_ids=120232058185790694" TargetMode="External"/><Relationship Id="rId951" Type="http://schemas.openxmlformats.org/officeDocument/2006/relationships/hyperlink" Target="https://wa.me/628562943274" TargetMode="External"/><Relationship Id="rId1167" Type="http://schemas.openxmlformats.org/officeDocument/2006/relationships/hyperlink" Target="https://wa.me/6285811444456" TargetMode="External"/><Relationship Id="rId1374" Type="http://schemas.openxmlformats.org/officeDocument/2006/relationships/hyperlink" Target="https://adsmanager.facebook.com/adsmanager/manage/campaigns/edit/standalone?act=766589657993298&amp;selected_campaign_ids=120232928017890235" TargetMode="External"/><Relationship Id="rId80" Type="http://schemas.openxmlformats.org/officeDocument/2006/relationships/hyperlink" Target="https://adsmanager.facebook.com/adsmanager/manage/campaigns/edit/standalone?act=174904221976312&amp;selected_campaign_ids=120227578600790694" TargetMode="External"/><Relationship Id="rId176" Type="http://schemas.openxmlformats.org/officeDocument/2006/relationships/hyperlink" Target="https://adsmanager.facebook.com/adsmanager/manage/campaigns/edit/standalone?act=174904221976312&amp;selected_campaign_ids=120228399025620694" TargetMode="External"/><Relationship Id="rId383" Type="http://schemas.openxmlformats.org/officeDocument/2006/relationships/hyperlink" Target="https://wa.me/6287762605372" TargetMode="External"/><Relationship Id="rId590" Type="http://schemas.openxmlformats.org/officeDocument/2006/relationships/hyperlink" Target="https://adsmanager.facebook.com/adsmanager/manage/campaigns/edit/standalone?act=174904221976312&amp;selected_campaign_ids=120231054975200694" TargetMode="External"/><Relationship Id="rId604" Type="http://schemas.openxmlformats.org/officeDocument/2006/relationships/hyperlink" Target="https://wa.me/628112656686" TargetMode="External"/><Relationship Id="rId811" Type="http://schemas.openxmlformats.org/officeDocument/2006/relationships/hyperlink" Target="https://wa.me/6281220005953" TargetMode="External"/><Relationship Id="rId1027" Type="http://schemas.openxmlformats.org/officeDocument/2006/relationships/hyperlink" Target="https://wa.me/6285353864755" TargetMode="External"/><Relationship Id="rId1234" Type="http://schemas.openxmlformats.org/officeDocument/2006/relationships/hyperlink" Target="https://wa.me/62895632627969" TargetMode="External"/><Relationship Id="rId243" Type="http://schemas.openxmlformats.org/officeDocument/2006/relationships/hyperlink" Target="https://adsmanager.facebook.com/adsmanager/manage/campaigns/edit/standalone?act=174904221976312&amp;selected_campaign_ids=120228691389180694" TargetMode="External"/><Relationship Id="rId450" Type="http://schemas.openxmlformats.org/officeDocument/2006/relationships/hyperlink" Target="https://adsmanager.facebook.com/adsmanager/manage/campaigns/edit/standalone?act=174904221976312&amp;selected_campaign_ids=120230032002500694" TargetMode="External"/><Relationship Id="rId688" Type="http://schemas.openxmlformats.org/officeDocument/2006/relationships/hyperlink" Target="https://adsmanager.facebook.com/adsmanager/manage/campaigns/edit/standalone?act=174904221976312&amp;selected_campaign_ids=120231580965850694" TargetMode="External"/><Relationship Id="rId895" Type="http://schemas.openxmlformats.org/officeDocument/2006/relationships/hyperlink" Target="https://wa.me/6281904501876" TargetMode="External"/><Relationship Id="rId909" Type="http://schemas.openxmlformats.org/officeDocument/2006/relationships/hyperlink" Target="https://wa.me/6281248936324" TargetMode="External"/><Relationship Id="rId1080" Type="http://schemas.openxmlformats.org/officeDocument/2006/relationships/hyperlink" Target="https://wa.me/6281514999073" TargetMode="External"/><Relationship Id="rId1301" Type="http://schemas.openxmlformats.org/officeDocument/2006/relationships/hyperlink" Target="https://adsmanager.facebook.com/adsmanager/manage/campaigns/edit/standalone?act=766589657993298&amp;selected_campaign_ids=120231467426820235" TargetMode="External"/><Relationship Id="rId38" Type="http://schemas.openxmlformats.org/officeDocument/2006/relationships/hyperlink" Target="https://adsmanager.facebook.com/adsmanager/manage/campaigns/edit/standalone?act=174904221976312&amp;selected_campaign_ids=120226351716450694" TargetMode="External"/><Relationship Id="rId103" Type="http://schemas.openxmlformats.org/officeDocument/2006/relationships/hyperlink" Target="https://wa.me/6282131666003" TargetMode="External"/><Relationship Id="rId310" Type="http://schemas.openxmlformats.org/officeDocument/2006/relationships/hyperlink" Target="https://wa.me/6282133271189" TargetMode="External"/><Relationship Id="rId548" Type="http://schemas.openxmlformats.org/officeDocument/2006/relationships/hyperlink" Target="https://adsmanager.facebook.com/adsmanager/manage/campaigns/edit/standalone?act=174904221976312&amp;selected_campaign_ids=120230650450110694" TargetMode="External"/><Relationship Id="rId755" Type="http://schemas.openxmlformats.org/officeDocument/2006/relationships/hyperlink" Target="https://wa.me/6281355662725" TargetMode="External"/><Relationship Id="rId962" Type="http://schemas.openxmlformats.org/officeDocument/2006/relationships/hyperlink" Target="https://adsmanager.facebook.com/adsmanager/manage/campaigns/edit/standalone?act=759724529202804&amp;selected_campaign_ids=120230422931920200" TargetMode="External"/><Relationship Id="rId1178" Type="http://schemas.openxmlformats.org/officeDocument/2006/relationships/hyperlink" Target="https://wa.me/62895416149255" TargetMode="External"/><Relationship Id="rId1385" Type="http://schemas.openxmlformats.org/officeDocument/2006/relationships/hyperlink" Target="https://wa.me/6287871214170" TargetMode="External"/><Relationship Id="rId91" Type="http://schemas.openxmlformats.org/officeDocument/2006/relationships/hyperlink" Target="https://wa.me/6281938563373" TargetMode="External"/><Relationship Id="rId187" Type="http://schemas.openxmlformats.org/officeDocument/2006/relationships/hyperlink" Target="https://wa.me/6285889229948" TargetMode="External"/><Relationship Id="rId394" Type="http://schemas.openxmlformats.org/officeDocument/2006/relationships/hyperlink" Target="https://adsmanager.facebook.com/adsmanager/manage/campaigns/edit/standalone?act=174904221976312&amp;selected_campaign_ids=120229738054670694" TargetMode="External"/><Relationship Id="rId408" Type="http://schemas.openxmlformats.org/officeDocument/2006/relationships/hyperlink" Target="https://adsmanager.facebook.com/adsmanager/manage/campaigns/edit/standalone?act=174904221976312&amp;selected_campaign_ids=120229943482960694" TargetMode="External"/><Relationship Id="rId615" Type="http://schemas.openxmlformats.org/officeDocument/2006/relationships/hyperlink" Target="https://adsmanager.facebook.com/adsmanager/manage/campaigns/edit/standalone?act=174904221976312&amp;selected_campaign_ids=120231298639100694" TargetMode="External"/><Relationship Id="rId822" Type="http://schemas.openxmlformats.org/officeDocument/2006/relationships/hyperlink" Target="https://adsmanager.facebook.com/adsmanager/manage/campaigns/edit/standalone?act=174904221976312&amp;selected_campaign_ids=120232697827460694" TargetMode="External"/><Relationship Id="rId1038" Type="http://schemas.openxmlformats.org/officeDocument/2006/relationships/hyperlink" Target="https://adsmanager.facebook.com/adsmanager/manage/campaigns/edit/standalone?act=766589657993298&amp;selected_campaign_ids=120227451758450235" TargetMode="External"/><Relationship Id="rId1245" Type="http://schemas.openxmlformats.org/officeDocument/2006/relationships/hyperlink" Target="https://adsmanager.facebook.com/adsmanager/manage/campaigns/edit/standalone?act=766589657993298&amp;selected_campaign_ids=120230463174070235" TargetMode="External"/><Relationship Id="rId254" Type="http://schemas.openxmlformats.org/officeDocument/2006/relationships/hyperlink" Target="https://wa.me/6281223055720" TargetMode="External"/><Relationship Id="rId699" Type="http://schemas.openxmlformats.org/officeDocument/2006/relationships/hyperlink" Target="https://wa.me/6285242515222" TargetMode="External"/><Relationship Id="rId1091" Type="http://schemas.openxmlformats.org/officeDocument/2006/relationships/hyperlink" Target="https://adsmanager.facebook.com/adsmanager/manage/campaigns/edit/standalone?act=766589657993298&amp;selected_campaign_ids=120228214040310235" TargetMode="External"/><Relationship Id="rId1105" Type="http://schemas.openxmlformats.org/officeDocument/2006/relationships/hyperlink" Target="https://adsmanager.facebook.com/adsmanager/manage/campaigns/edit/standalone?act=766589657993298&amp;selected_campaign_ids=120228513630470235" TargetMode="External"/><Relationship Id="rId1312" Type="http://schemas.openxmlformats.org/officeDocument/2006/relationships/hyperlink" Target="https://wa.me/62895635983361" TargetMode="External"/><Relationship Id="rId49" Type="http://schemas.openxmlformats.org/officeDocument/2006/relationships/hyperlink" Target="https://wa.me/6281904501876" TargetMode="External"/><Relationship Id="rId114" Type="http://schemas.openxmlformats.org/officeDocument/2006/relationships/hyperlink" Target="https://adsmanager.facebook.com/adsmanager/manage/campaigns/edit/standalone?act=174904221976312&amp;selected_campaign_ids=120228138031140694" TargetMode="External"/><Relationship Id="rId461" Type="http://schemas.openxmlformats.org/officeDocument/2006/relationships/hyperlink" Target="https://wa.me/6281374844270" TargetMode="External"/><Relationship Id="rId559" Type="http://schemas.openxmlformats.org/officeDocument/2006/relationships/hyperlink" Target="https://wa.me/628195131666" TargetMode="External"/><Relationship Id="rId766" Type="http://schemas.openxmlformats.org/officeDocument/2006/relationships/hyperlink" Target="https://adsmanager.facebook.com/adsmanager/manage/campaigns/edit/standalone?act=174904221976312&amp;selected_campaign_ids=120232159174090694" TargetMode="External"/><Relationship Id="rId1189" Type="http://schemas.openxmlformats.org/officeDocument/2006/relationships/hyperlink" Target="https://adsmanager.facebook.com/adsmanager/manage/campaigns/edit/standalone?act=766589657993298&amp;selected_campaign_ids=120229662655330235" TargetMode="External"/><Relationship Id="rId1396" Type="http://schemas.openxmlformats.org/officeDocument/2006/relationships/hyperlink" Target="https://adsmanager.facebook.com/adsmanager/manage/campaigns/edit/standalone?act=766589657993298&amp;selected_campaign_ids=120233178781660235" TargetMode="External"/><Relationship Id="rId198" Type="http://schemas.openxmlformats.org/officeDocument/2006/relationships/hyperlink" Target="https://adsmanager.facebook.com/adsmanager/manage/campaigns/edit/standalone?act=174904221976312&amp;selected_campaign_ids=120228482422020694" TargetMode="External"/><Relationship Id="rId321" Type="http://schemas.openxmlformats.org/officeDocument/2006/relationships/hyperlink" Target="https://adsmanager.facebook.com/adsmanager/manage/campaigns/edit/standalone?act=174904221976312&amp;selected_campaign_ids=120229188727430694" TargetMode="External"/><Relationship Id="rId419" Type="http://schemas.openxmlformats.org/officeDocument/2006/relationships/hyperlink" Target="https://wa.me/6285780314346" TargetMode="External"/><Relationship Id="rId626" Type="http://schemas.openxmlformats.org/officeDocument/2006/relationships/hyperlink" Target="https://wa.me/6281938384000" TargetMode="External"/><Relationship Id="rId973" Type="http://schemas.openxmlformats.org/officeDocument/2006/relationships/hyperlink" Target="https://wa.me/6285138380189" TargetMode="External"/><Relationship Id="rId1049" Type="http://schemas.openxmlformats.org/officeDocument/2006/relationships/hyperlink" Target="https://adsmanager.facebook.com/adsmanager/manage/campaigns/edit/standalone?act=766589657993298&amp;selected_campaign_ids=120227597633480235" TargetMode="External"/><Relationship Id="rId1256" Type="http://schemas.openxmlformats.org/officeDocument/2006/relationships/hyperlink" Target="https://wa.me/6282384370009" TargetMode="External"/><Relationship Id="rId833" Type="http://schemas.openxmlformats.org/officeDocument/2006/relationships/hyperlink" Target="https://wa.me/6282241290026" TargetMode="External"/><Relationship Id="rId1116" Type="http://schemas.openxmlformats.org/officeDocument/2006/relationships/hyperlink" Target="https://wa.me/6282211473253" TargetMode="External"/><Relationship Id="rId265" Type="http://schemas.openxmlformats.org/officeDocument/2006/relationships/hyperlink" Target="https://adsmanager.facebook.com/adsmanager/manage/campaigns/edit/standalone?act=174904221976312&amp;selected_campaign_ids=120228880895420694" TargetMode="External"/><Relationship Id="rId472" Type="http://schemas.openxmlformats.org/officeDocument/2006/relationships/hyperlink" Target="https://adsmanager.facebook.com/adsmanager/manage/campaigns/edit/standalone?act=174904221976312&amp;selected_campaign_ids=120230152687050694" TargetMode="External"/><Relationship Id="rId900" Type="http://schemas.openxmlformats.org/officeDocument/2006/relationships/hyperlink" Target="https://adsmanager.facebook.com/adsmanager/manage/campaigns/edit/standalone?act=759724529202804&amp;selected_campaign_ids=120229046011260200" TargetMode="External"/><Relationship Id="rId1323" Type="http://schemas.openxmlformats.org/officeDocument/2006/relationships/hyperlink" Target="https://adsmanager.facebook.com/adsmanager/manage/campaigns/edit/standalone?act=766589657993298&amp;selected_campaign_ids=120231648405350235" TargetMode="External"/><Relationship Id="rId125" Type="http://schemas.openxmlformats.org/officeDocument/2006/relationships/hyperlink" Target="https://wa.me/6282115608585" TargetMode="External"/><Relationship Id="rId332" Type="http://schemas.openxmlformats.org/officeDocument/2006/relationships/hyperlink" Target="https://wa.me/62823885166777" TargetMode="External"/><Relationship Id="rId777" Type="http://schemas.openxmlformats.org/officeDocument/2006/relationships/hyperlink" Target="https://wa.me/6282249145533" TargetMode="External"/><Relationship Id="rId984" Type="http://schemas.openxmlformats.org/officeDocument/2006/relationships/hyperlink" Target="https://wa.me/6282154795446" TargetMode="External"/><Relationship Id="rId637" Type="http://schemas.openxmlformats.org/officeDocument/2006/relationships/hyperlink" Target="https://adsmanager.facebook.com/adsmanager/manage/campaigns/edit/standalone?act=174904221976312&amp;selected_campaign_ids=120231434063200694" TargetMode="External"/><Relationship Id="rId844" Type="http://schemas.openxmlformats.org/officeDocument/2006/relationships/hyperlink" Target="https://adsmanager.facebook.com/adsmanager/manage/campaigns/edit/standalone?act=206726568613432&amp;selected_campaign_ids=120227919393880554" TargetMode="External"/><Relationship Id="rId1267" Type="http://schemas.openxmlformats.org/officeDocument/2006/relationships/hyperlink" Target="https://adsmanager.facebook.com/adsmanager/manage/campaigns/edit/standalone?act=766589657993298&amp;selected_campaign_ids=120231018888730235" TargetMode="External"/><Relationship Id="rId276" Type="http://schemas.openxmlformats.org/officeDocument/2006/relationships/hyperlink" Target="https://wa.me/6285773570295" TargetMode="External"/><Relationship Id="rId483" Type="http://schemas.openxmlformats.org/officeDocument/2006/relationships/hyperlink" Target="https://wa.me/6285338373761" TargetMode="External"/><Relationship Id="rId690" Type="http://schemas.openxmlformats.org/officeDocument/2006/relationships/hyperlink" Target="https://adsmanager.facebook.com/adsmanager/manage/campaigns/edit/standalone?act=174904221976312&amp;selected_campaign_ids=120231585902330694" TargetMode="External"/><Relationship Id="rId704" Type="http://schemas.openxmlformats.org/officeDocument/2006/relationships/hyperlink" Target="https://adsmanager.facebook.com/adsmanager/manage/campaigns/edit/standalone?act=174904221976312&amp;selected_campaign_ids=120231844479670694" TargetMode="External"/><Relationship Id="rId911" Type="http://schemas.openxmlformats.org/officeDocument/2006/relationships/hyperlink" Target="https://wa.me/6281649155643" TargetMode="External"/><Relationship Id="rId1127" Type="http://schemas.openxmlformats.org/officeDocument/2006/relationships/hyperlink" Target="https://wa.me/62895800343940" TargetMode="External"/><Relationship Id="rId1334" Type="http://schemas.openxmlformats.org/officeDocument/2006/relationships/hyperlink" Target="https://wa.me/6285864637086" TargetMode="External"/><Relationship Id="rId40" Type="http://schemas.openxmlformats.org/officeDocument/2006/relationships/hyperlink" Target="https://adsmanager.facebook.com/adsmanager/manage/campaigns/edit/standalone?act=174904221976312&amp;selected_campaign_ids=120226464082810694" TargetMode="External"/><Relationship Id="rId136" Type="http://schemas.openxmlformats.org/officeDocument/2006/relationships/hyperlink" Target="https://adsmanager.facebook.com/adsmanager/manage/campaigns/edit/standalone?act=174904221976312&amp;selected_campaign_ids=120228198210790694" TargetMode="External"/><Relationship Id="rId343" Type="http://schemas.openxmlformats.org/officeDocument/2006/relationships/hyperlink" Target="https://wa.me/62881010278235" TargetMode="External"/><Relationship Id="rId550" Type="http://schemas.openxmlformats.org/officeDocument/2006/relationships/hyperlink" Target="https://adsmanager.facebook.com/adsmanager/manage/campaigns/edit/standalone?act=174904221976312&amp;selected_campaign_ids=120230722040750694" TargetMode="External"/><Relationship Id="rId788" Type="http://schemas.openxmlformats.org/officeDocument/2006/relationships/hyperlink" Target="https://adsmanager.facebook.com/adsmanager/manage/campaigns/edit/standalone?act=174904221976312&amp;selected_campaign_ids=120232348204770694" TargetMode="External"/><Relationship Id="rId995" Type="http://schemas.openxmlformats.org/officeDocument/2006/relationships/hyperlink" Target="https://adsmanager.facebook.com/adsmanager/manage/campaigns/edit/standalone?act=766589657993298&amp;selected_campaign_ids=120226603543830235" TargetMode="External"/><Relationship Id="rId1180" Type="http://schemas.openxmlformats.org/officeDocument/2006/relationships/hyperlink" Target="https://wa.me/6281284410725" TargetMode="External"/><Relationship Id="rId1401" Type="http://schemas.openxmlformats.org/officeDocument/2006/relationships/hyperlink" Target="https://wa.me/6281575323811" TargetMode="External"/><Relationship Id="rId203" Type="http://schemas.openxmlformats.org/officeDocument/2006/relationships/hyperlink" Target="https://wa.me/6281252867949" TargetMode="External"/><Relationship Id="rId648" Type="http://schemas.openxmlformats.org/officeDocument/2006/relationships/hyperlink" Target="https://wa.me/6285214612372" TargetMode="External"/><Relationship Id="rId855" Type="http://schemas.openxmlformats.org/officeDocument/2006/relationships/hyperlink" Target="https://adsmanager.facebook.com/adsmanager/manage/campaigns/edit/standalone?act=759724529202804&amp;selected_campaign_ids=120227358608350200" TargetMode="External"/><Relationship Id="rId1040" Type="http://schemas.openxmlformats.org/officeDocument/2006/relationships/hyperlink" Target="https://wa.me/628122102657" TargetMode="External"/><Relationship Id="rId1278" Type="http://schemas.openxmlformats.org/officeDocument/2006/relationships/hyperlink" Target="https://wa.me/6282236053835" TargetMode="External"/><Relationship Id="rId287" Type="http://schemas.openxmlformats.org/officeDocument/2006/relationships/hyperlink" Target="https://adsmanager.facebook.com/adsmanager/manage/campaigns/edit/standalone?act=174904221976312&amp;selected_campaign_ids=120229015403650694" TargetMode="External"/><Relationship Id="rId410" Type="http://schemas.openxmlformats.org/officeDocument/2006/relationships/hyperlink" Target="https://adsmanager.facebook.com/adsmanager/manage/campaigns/edit/standalone?act=174904221976312&amp;selected_campaign_ids=120229943921030694" TargetMode="External"/><Relationship Id="rId494" Type="http://schemas.openxmlformats.org/officeDocument/2006/relationships/hyperlink" Target="https://adsmanager.facebook.com/adsmanager/manage/campaigns/edit/standalone?act=174904221976312&amp;selected_campaign_ids=120230248027720694" TargetMode="External"/><Relationship Id="rId508" Type="http://schemas.openxmlformats.org/officeDocument/2006/relationships/hyperlink" Target="https://adsmanager.facebook.com/adsmanager/manage/campaigns/edit/standalone?act=174904221976312&amp;selected_campaign_ids=120230433288220694" TargetMode="External"/><Relationship Id="rId715" Type="http://schemas.openxmlformats.org/officeDocument/2006/relationships/hyperlink" Target="https://wa.me/6287838234518" TargetMode="External"/><Relationship Id="rId922" Type="http://schemas.openxmlformats.org/officeDocument/2006/relationships/hyperlink" Target="https://adsmanager.facebook.com/adsmanager/manage/campaigns/edit/standalone?act=759724529202804&amp;selected_campaign_ids=120229445775520200" TargetMode="External"/><Relationship Id="rId1138" Type="http://schemas.openxmlformats.org/officeDocument/2006/relationships/hyperlink" Target="https://adsmanager.facebook.com/adsmanager/manage/campaigns/edit/standalone?act=766589657993298&amp;selected_campaign_ids=120229076677840235" TargetMode="External"/><Relationship Id="rId1345" Type="http://schemas.openxmlformats.org/officeDocument/2006/relationships/hyperlink" Target="https://adsmanager.facebook.com/adsmanager/manage/campaigns/edit/standalone?act=766589657993298&amp;selected_campaign_ids=120232028435550235" TargetMode="External"/><Relationship Id="rId147" Type="http://schemas.openxmlformats.org/officeDocument/2006/relationships/hyperlink" Target="https://wa.me/6289635171849" TargetMode="External"/><Relationship Id="rId354" Type="http://schemas.openxmlformats.org/officeDocument/2006/relationships/hyperlink" Target="https://adsmanager.facebook.com/adsmanager/manage/campaigns/edit/standalone?act=174904221976312&amp;selected_campaign_ids=120229415938980694" TargetMode="External"/><Relationship Id="rId799" Type="http://schemas.openxmlformats.org/officeDocument/2006/relationships/hyperlink" Target="https://wa.me/6285255550388" TargetMode="External"/><Relationship Id="rId1191" Type="http://schemas.openxmlformats.org/officeDocument/2006/relationships/hyperlink" Target="https://adsmanager.facebook.com/adsmanager/manage/campaigns/edit/standalone?act=766589657993298&amp;selected_campaign_ids=120229663117000235" TargetMode="External"/><Relationship Id="rId1205" Type="http://schemas.openxmlformats.org/officeDocument/2006/relationships/hyperlink" Target="https://adsmanager.facebook.com/adsmanager/manage/campaigns/edit/standalone?act=766589657993298&amp;selected_campaign_ids=120229763003210235" TargetMode="External"/><Relationship Id="rId51" Type="http://schemas.openxmlformats.org/officeDocument/2006/relationships/hyperlink" Target="https://wa.me/6281905836259" TargetMode="External"/><Relationship Id="rId561" Type="http://schemas.openxmlformats.org/officeDocument/2006/relationships/hyperlink" Target="https://wa.me/628815361682" TargetMode="External"/><Relationship Id="rId659" Type="http://schemas.openxmlformats.org/officeDocument/2006/relationships/hyperlink" Target="https://adsmanager.facebook.com/adsmanager/manage/campaigns/edit/standalone?act=174904221976312&amp;selected_campaign_ids=120231473546720694" TargetMode="External"/><Relationship Id="rId866" Type="http://schemas.openxmlformats.org/officeDocument/2006/relationships/hyperlink" Target="https://adsmanager.facebook.com/adsmanager/manage/campaigns/edit/standalone?act=759724529202804&amp;selected_campaign_ids=120227432781140200" TargetMode="External"/><Relationship Id="rId1289" Type="http://schemas.openxmlformats.org/officeDocument/2006/relationships/hyperlink" Target="https://adsmanager.facebook.com/adsmanager/manage/campaigns/edit/standalone?act=766589657993298&amp;selected_campaign_ids=120231314779900235" TargetMode="External"/><Relationship Id="rId214" Type="http://schemas.openxmlformats.org/officeDocument/2006/relationships/hyperlink" Target="https://adsmanager.facebook.com/adsmanager/manage/campaigns/edit/standalone?act=174904221976312&amp;selected_campaign_ids=120228567413050694" TargetMode="External"/><Relationship Id="rId298" Type="http://schemas.openxmlformats.org/officeDocument/2006/relationships/hyperlink" Target="https://wa.me/6285234005559" TargetMode="External"/><Relationship Id="rId421" Type="http://schemas.openxmlformats.org/officeDocument/2006/relationships/hyperlink" Target="https://wa.me/6285920572002" TargetMode="External"/><Relationship Id="rId519" Type="http://schemas.openxmlformats.org/officeDocument/2006/relationships/hyperlink" Target="https://wa.me/628127962347" TargetMode="External"/><Relationship Id="rId1051" Type="http://schemas.openxmlformats.org/officeDocument/2006/relationships/hyperlink" Target="https://adsmanager.facebook.com/adsmanager/manage/campaigns/edit/standalone?act=766589657993298&amp;selected_campaign_ids=120227599304890235" TargetMode="External"/><Relationship Id="rId1149" Type="http://schemas.openxmlformats.org/officeDocument/2006/relationships/hyperlink" Target="https://wa.me/6281239874761" TargetMode="External"/><Relationship Id="rId1356" Type="http://schemas.openxmlformats.org/officeDocument/2006/relationships/hyperlink" Target="https://wa.me/6285225512004" TargetMode="External"/><Relationship Id="rId158" Type="http://schemas.openxmlformats.org/officeDocument/2006/relationships/hyperlink" Target="https://adsmanager.facebook.com/adsmanager/manage/campaigns/edit/standalone?act=174904221976312&amp;selected_campaign_ids=120228301612890694" TargetMode="External"/><Relationship Id="rId726" Type="http://schemas.openxmlformats.org/officeDocument/2006/relationships/hyperlink" Target="https://adsmanager.facebook.com/adsmanager/manage/campaigns/edit/standalone?act=174904221976312&amp;selected_campaign_ids=120231927421490694" TargetMode="External"/><Relationship Id="rId933" Type="http://schemas.openxmlformats.org/officeDocument/2006/relationships/hyperlink" Target="https://wa.me/6288297718776" TargetMode="External"/><Relationship Id="rId1009" Type="http://schemas.openxmlformats.org/officeDocument/2006/relationships/hyperlink" Target="https://wa.me/6281340892328" TargetMode="External"/><Relationship Id="rId62" Type="http://schemas.openxmlformats.org/officeDocument/2006/relationships/hyperlink" Target="https://adsmanager.facebook.com/adsmanager/manage/campaigns/edit/standalone?act=174904221976312&amp;selected_campaign_ids=120227215734130694" TargetMode="External"/><Relationship Id="rId365" Type="http://schemas.openxmlformats.org/officeDocument/2006/relationships/hyperlink" Target="https://wa.me/6282186829904" TargetMode="External"/><Relationship Id="rId572" Type="http://schemas.openxmlformats.org/officeDocument/2006/relationships/hyperlink" Target="https://adsmanager.facebook.com/adsmanager/manage/campaigns/edit/standalone?act=174904221976312&amp;selected_campaign_ids=120230878618490694" TargetMode="External"/><Relationship Id="rId1216" Type="http://schemas.openxmlformats.org/officeDocument/2006/relationships/hyperlink" Target="https://wa.me/6281325757271" TargetMode="External"/><Relationship Id="rId225" Type="http://schemas.openxmlformats.org/officeDocument/2006/relationships/hyperlink" Target="https://adsmanager.facebook.com/adsmanager/manage/campaigns/edit/standalone?act=174904221976312&amp;selected_campaign_ids=120228662115630694" TargetMode="External"/><Relationship Id="rId432" Type="http://schemas.openxmlformats.org/officeDocument/2006/relationships/hyperlink" Target="https://adsmanager.facebook.com/adsmanager/manage/campaigns/edit/standalone?act=174904221976312&amp;selected_campaign_ids=120230030546360694" TargetMode="External"/><Relationship Id="rId877" Type="http://schemas.openxmlformats.org/officeDocument/2006/relationships/hyperlink" Target="https://wa.me/62895401448273" TargetMode="External"/><Relationship Id="rId1062" Type="http://schemas.openxmlformats.org/officeDocument/2006/relationships/hyperlink" Target="https://wa.me/6283866009989" TargetMode="External"/><Relationship Id="rId737" Type="http://schemas.openxmlformats.org/officeDocument/2006/relationships/hyperlink" Target="https://wa.me/6285710003464" TargetMode="External"/><Relationship Id="rId944" Type="http://schemas.openxmlformats.org/officeDocument/2006/relationships/hyperlink" Target="https://adsmanager.facebook.com/adsmanager/manage/campaigns/edit/standalone?act=759724529202804&amp;selected_campaign_ids=120229782482070200" TargetMode="External"/><Relationship Id="rId1367" Type="http://schemas.openxmlformats.org/officeDocument/2006/relationships/hyperlink" Target="https://adsmanager.facebook.com/adsmanager/manage/campaigns/edit/standalone?act=766589657993298&amp;selected_campaign_ids=120232811191080235" TargetMode="External"/><Relationship Id="rId73" Type="http://schemas.openxmlformats.org/officeDocument/2006/relationships/hyperlink" Target="https://wa.me/6282183184641" TargetMode="External"/><Relationship Id="rId169" Type="http://schemas.openxmlformats.org/officeDocument/2006/relationships/hyperlink" Target="https://wa.me/6285956579758" TargetMode="External"/><Relationship Id="rId376" Type="http://schemas.openxmlformats.org/officeDocument/2006/relationships/hyperlink" Target="https://adsmanager.facebook.com/adsmanager/manage/campaigns/edit/standalone?act=174904221976312&amp;selected_campaign_ids=120229631636590694" TargetMode="External"/><Relationship Id="rId583" Type="http://schemas.openxmlformats.org/officeDocument/2006/relationships/hyperlink" Target="https://wa.me/62082287715351" TargetMode="External"/><Relationship Id="rId790" Type="http://schemas.openxmlformats.org/officeDocument/2006/relationships/hyperlink" Target="https://adsmanager.facebook.com/adsmanager/manage/campaigns/edit/standalone?act=174904221976312&amp;selected_campaign_ids=120232348569550694" TargetMode="External"/><Relationship Id="rId804" Type="http://schemas.openxmlformats.org/officeDocument/2006/relationships/hyperlink" Target="https://adsmanager.facebook.com/adsmanager/manage/campaigns/edit/standalone?act=174904221976312&amp;selected_campaign_ids=120232493738960694" TargetMode="External"/><Relationship Id="rId1227" Type="http://schemas.openxmlformats.org/officeDocument/2006/relationships/hyperlink" Target="https://adsmanager.facebook.com/adsmanager/manage/campaigns/edit/standalone?act=766589657993298&amp;selected_campaign_ids=120230138850420235" TargetMode="External"/><Relationship Id="rId4" Type="http://schemas.openxmlformats.org/officeDocument/2006/relationships/hyperlink" Target="https://wa.me/6281241440688" TargetMode="External"/><Relationship Id="rId236" Type="http://schemas.openxmlformats.org/officeDocument/2006/relationships/hyperlink" Target="https://adsmanager.facebook.com/adsmanager/manage/campaigns/edit/standalone?act=174904221976312&amp;selected_campaign_ids=120228690635530694" TargetMode="External"/><Relationship Id="rId443" Type="http://schemas.openxmlformats.org/officeDocument/2006/relationships/hyperlink" Target="https://wa.me/6285378141823" TargetMode="External"/><Relationship Id="rId650" Type="http://schemas.openxmlformats.org/officeDocument/2006/relationships/hyperlink" Target="https://wa.me/62818533354" TargetMode="External"/><Relationship Id="rId888" Type="http://schemas.openxmlformats.org/officeDocument/2006/relationships/hyperlink" Target="https://adsmanager.facebook.com/adsmanager/manage/campaigns/edit/standalone?act=759724529202804&amp;selected_campaign_ids=120228796214480200" TargetMode="External"/><Relationship Id="rId1073" Type="http://schemas.openxmlformats.org/officeDocument/2006/relationships/hyperlink" Target="https://adsmanager.facebook.com/adsmanager/manage/campaigns/edit/standalone?act=766589657993298&amp;selected_campaign_ids=120227854419480235" TargetMode="External"/><Relationship Id="rId1280" Type="http://schemas.openxmlformats.org/officeDocument/2006/relationships/hyperlink" Target="https://wa.me/6285814213281" TargetMode="External"/><Relationship Id="rId303" Type="http://schemas.openxmlformats.org/officeDocument/2006/relationships/hyperlink" Target="https://adsmanager.facebook.com/adsmanager/manage/campaigns/edit/standalone?act=174904221976312&amp;selected_campaign_ids=120229069355830694" TargetMode="External"/><Relationship Id="rId748" Type="http://schemas.openxmlformats.org/officeDocument/2006/relationships/hyperlink" Target="https://adsmanager.facebook.com/adsmanager/manage/campaigns/edit/standalone?act=174904221976312&amp;selected_campaign_ids=120232058410160694" TargetMode="External"/><Relationship Id="rId955" Type="http://schemas.openxmlformats.org/officeDocument/2006/relationships/hyperlink" Target="https://wa.me/6281904501876" TargetMode="External"/><Relationship Id="rId1140" Type="http://schemas.openxmlformats.org/officeDocument/2006/relationships/hyperlink" Target="https://wa.me/6281384442619" TargetMode="External"/><Relationship Id="rId1378" Type="http://schemas.openxmlformats.org/officeDocument/2006/relationships/hyperlink" Target="https://adsmanager.facebook.com/adsmanager/manage/campaigns/edit/standalone?act=766589657993298&amp;selected_campaign_ids=120232953632150235" TargetMode="External"/><Relationship Id="rId84" Type="http://schemas.openxmlformats.org/officeDocument/2006/relationships/hyperlink" Target="https://adsmanager.facebook.com/adsmanager/manage/campaigns/edit/standalone?act=174904221976312&amp;selected_campaign_ids=120227693238420694" TargetMode="External"/><Relationship Id="rId387" Type="http://schemas.openxmlformats.org/officeDocument/2006/relationships/hyperlink" Target="https://wa.me/6282292283543" TargetMode="External"/><Relationship Id="rId510" Type="http://schemas.openxmlformats.org/officeDocument/2006/relationships/hyperlink" Target="https://adsmanager.facebook.com/adsmanager/manage/campaigns/edit/standalone?act=174904221976312&amp;selected_campaign_ids=120230433393450694" TargetMode="External"/><Relationship Id="rId594" Type="http://schemas.openxmlformats.org/officeDocument/2006/relationships/hyperlink" Target="https://adsmanager.facebook.com/adsmanager/manage/campaigns/edit/standalone?act=174904221976312&amp;selected_campaign_ids=120231117798000694" TargetMode="External"/><Relationship Id="rId608" Type="http://schemas.openxmlformats.org/officeDocument/2006/relationships/hyperlink" Target="https://wa.me/6282171085542" TargetMode="External"/><Relationship Id="rId815" Type="http://schemas.openxmlformats.org/officeDocument/2006/relationships/hyperlink" Target="https://wa.me/6282311906512" TargetMode="External"/><Relationship Id="rId1238" Type="http://schemas.openxmlformats.org/officeDocument/2006/relationships/hyperlink" Target="https://wa.me/6282297965454" TargetMode="External"/><Relationship Id="rId247" Type="http://schemas.openxmlformats.org/officeDocument/2006/relationships/hyperlink" Target="https://adsmanager.facebook.com/adsmanager/manage/campaigns/edit/standalone?act=174904221976312&amp;selected_campaign_ids=120228849636070694" TargetMode="External"/><Relationship Id="rId899" Type="http://schemas.openxmlformats.org/officeDocument/2006/relationships/hyperlink" Target="https://wa.me/6285711667433" TargetMode="External"/><Relationship Id="rId1000" Type="http://schemas.openxmlformats.org/officeDocument/2006/relationships/hyperlink" Target="https://adsmanager.facebook.com/adsmanager/manage/campaigns/edit/standalone?act=766589657993298&amp;selected_campaign_ids=120226715098090235" TargetMode="External"/><Relationship Id="rId1084" Type="http://schemas.openxmlformats.org/officeDocument/2006/relationships/hyperlink" Target="https://wa.me/6281383899119" TargetMode="External"/><Relationship Id="rId1305" Type="http://schemas.openxmlformats.org/officeDocument/2006/relationships/hyperlink" Target="https://adsmanager.facebook.com/adsmanager/manage/campaigns/edit/standalone?act=766589657993298&amp;selected_campaign_ids=120231478764880235" TargetMode="External"/><Relationship Id="rId107" Type="http://schemas.openxmlformats.org/officeDocument/2006/relationships/hyperlink" Target="https://wa.me/6285263289844" TargetMode="External"/><Relationship Id="rId454" Type="http://schemas.openxmlformats.org/officeDocument/2006/relationships/hyperlink" Target="https://adsmanager.facebook.com/adsmanager/manage/campaigns/edit/standalone?act=174904221976312&amp;selected_campaign_ids=120230101256100694" TargetMode="External"/><Relationship Id="rId661" Type="http://schemas.openxmlformats.org/officeDocument/2006/relationships/hyperlink" Target="https://adsmanager.facebook.com/adsmanager/manage/campaigns/edit/standalone?act=174904221976312&amp;selected_campaign_ids=120231477014990694" TargetMode="External"/><Relationship Id="rId759" Type="http://schemas.openxmlformats.org/officeDocument/2006/relationships/hyperlink" Target="https://wa.me/6281348215665" TargetMode="External"/><Relationship Id="rId966" Type="http://schemas.openxmlformats.org/officeDocument/2006/relationships/hyperlink" Target="https://adsmanager.facebook.com/adsmanager/manage/campaigns/edit/standalone?act=759724529202804&amp;selected_campaign_ids=120230489011020200" TargetMode="External"/><Relationship Id="rId1291" Type="http://schemas.openxmlformats.org/officeDocument/2006/relationships/hyperlink" Target="https://adsmanager.facebook.com/adsmanager/manage/campaigns/edit/standalone?act=766589657993298&amp;selected_campaign_ids=120231375225040235" TargetMode="External"/><Relationship Id="rId1389" Type="http://schemas.openxmlformats.org/officeDocument/2006/relationships/hyperlink" Target="https://wa.me/6285602235618" TargetMode="External"/><Relationship Id="rId11" Type="http://schemas.openxmlformats.org/officeDocument/2006/relationships/hyperlink" Target="https://wa.me/6282341426767" TargetMode="External"/><Relationship Id="rId314" Type="http://schemas.openxmlformats.org/officeDocument/2006/relationships/hyperlink" Target="https://wa.me/6285186697099" TargetMode="External"/><Relationship Id="rId398" Type="http://schemas.openxmlformats.org/officeDocument/2006/relationships/hyperlink" Target="https://adsmanager.facebook.com/adsmanager/manage/campaigns/edit/standalone?act=174904221976312&amp;selected_campaign_ids=120229740294440694" TargetMode="External"/><Relationship Id="rId521" Type="http://schemas.openxmlformats.org/officeDocument/2006/relationships/hyperlink" Target="https://wa.me/628179780980" TargetMode="External"/><Relationship Id="rId619" Type="http://schemas.openxmlformats.org/officeDocument/2006/relationships/hyperlink" Target="https://adsmanager.facebook.com/adsmanager/manage/campaigns/edit/standalone?act=174904221976312&amp;selected_campaign_ids=120231299258430694" TargetMode="External"/><Relationship Id="rId1151" Type="http://schemas.openxmlformats.org/officeDocument/2006/relationships/hyperlink" Target="https://wa.me/6281394618785" TargetMode="External"/><Relationship Id="rId1249" Type="http://schemas.openxmlformats.org/officeDocument/2006/relationships/hyperlink" Target="https://adsmanager.facebook.com/adsmanager/manage/campaigns/edit/standalone?act=766589657993298&amp;selected_campaign_ids=120230607617770235" TargetMode="External"/><Relationship Id="rId95" Type="http://schemas.openxmlformats.org/officeDocument/2006/relationships/hyperlink" Target="https://wa.me/6281343148204" TargetMode="External"/><Relationship Id="rId160" Type="http://schemas.openxmlformats.org/officeDocument/2006/relationships/hyperlink" Target="https://adsmanager.facebook.com/adsmanager/manage/campaigns/edit/standalone?act=174904221976312&amp;selected_campaign_ids=120228320527520694" TargetMode="External"/><Relationship Id="rId826" Type="http://schemas.openxmlformats.org/officeDocument/2006/relationships/hyperlink" Target="https://adsmanager.facebook.com/adsmanager/manage/campaigns/edit/standalone?act=174904221976312&amp;selected_campaign_ids=120232763903630694" TargetMode="External"/><Relationship Id="rId1011" Type="http://schemas.openxmlformats.org/officeDocument/2006/relationships/hyperlink" Target="https://wa.me/6285220216325" TargetMode="External"/><Relationship Id="rId1109" Type="http://schemas.openxmlformats.org/officeDocument/2006/relationships/hyperlink" Target="https://adsmanager.facebook.com/adsmanager/manage/campaigns/edit/standalone?act=766589657993298&amp;selected_campaign_ids=120228610165220235" TargetMode="External"/><Relationship Id="rId258" Type="http://schemas.openxmlformats.org/officeDocument/2006/relationships/hyperlink" Target="https://wa.me/6282307376695" TargetMode="External"/><Relationship Id="rId465" Type="http://schemas.openxmlformats.org/officeDocument/2006/relationships/hyperlink" Target="https://wa.me/6281238115957" TargetMode="External"/><Relationship Id="rId672" Type="http://schemas.openxmlformats.org/officeDocument/2006/relationships/hyperlink" Target="https://wa.me/6285771466144" TargetMode="External"/><Relationship Id="rId1095" Type="http://schemas.openxmlformats.org/officeDocument/2006/relationships/hyperlink" Target="https://adsmanager.facebook.com/adsmanager/manage/campaigns/edit/standalone?act=766589657993298&amp;selected_campaign_ids=120228297236490235" TargetMode="External"/><Relationship Id="rId1316" Type="http://schemas.openxmlformats.org/officeDocument/2006/relationships/hyperlink" Target="https://wa.me/6281215552664" TargetMode="External"/><Relationship Id="rId22" Type="http://schemas.openxmlformats.org/officeDocument/2006/relationships/hyperlink" Target="https://adsmanager.facebook.com/adsmanager/manage/campaigns/edit/standalone?act=174904221976312&amp;selected_campaign_ids=120225711165240694" TargetMode="External"/><Relationship Id="rId118" Type="http://schemas.openxmlformats.org/officeDocument/2006/relationships/hyperlink" Target="https://adsmanager.facebook.com/adsmanager/manage/campaigns/edit/standalone?act=174904221976312&amp;selected_campaign_ids=120228138398410694" TargetMode="External"/><Relationship Id="rId325" Type="http://schemas.openxmlformats.org/officeDocument/2006/relationships/hyperlink" Target="https://adsmanager.facebook.com/adsmanager/manage/campaigns/edit/standalone?act=174904221976312&amp;selected_campaign_ids=120229250160850694" TargetMode="External"/><Relationship Id="rId532" Type="http://schemas.openxmlformats.org/officeDocument/2006/relationships/hyperlink" Target="https://adsmanager.facebook.com/adsmanager/manage/campaigns/edit/standalone?act=174904221976312&amp;selected_campaign_ids=120230526567290694" TargetMode="External"/><Relationship Id="rId977" Type="http://schemas.openxmlformats.org/officeDocument/2006/relationships/hyperlink" Target="https://wa.me/6282267832085" TargetMode="External"/><Relationship Id="rId1162" Type="http://schemas.openxmlformats.org/officeDocument/2006/relationships/hyperlink" Target="https://adsmanager.facebook.com/adsmanager/manage/campaigns/edit/standalone?act=766589657993298&amp;selected_campaign_ids=120229315008770235" TargetMode="External"/><Relationship Id="rId171" Type="http://schemas.openxmlformats.org/officeDocument/2006/relationships/hyperlink" Target="https://wa.me/6283878405768" TargetMode="External"/><Relationship Id="rId837" Type="http://schemas.openxmlformats.org/officeDocument/2006/relationships/hyperlink" Target="https://wa.me/6283196194949" TargetMode="External"/><Relationship Id="rId1022" Type="http://schemas.openxmlformats.org/officeDocument/2006/relationships/hyperlink" Target="https://adsmanager.facebook.com/adsmanager/manage/campaigns/edit/standalone?act=766589657993298&amp;selected_campaign_ids=120227229623580235" TargetMode="External"/><Relationship Id="rId269" Type="http://schemas.openxmlformats.org/officeDocument/2006/relationships/hyperlink" Target="https://adsmanager.facebook.com/adsmanager/manage/campaigns/edit/standalone?act=174904221976312&amp;selected_campaign_ids=120228925862700694" TargetMode="External"/><Relationship Id="rId476" Type="http://schemas.openxmlformats.org/officeDocument/2006/relationships/hyperlink" Target="https://adsmanager.facebook.com/adsmanager/manage/campaigns/edit/standalone?act=174904221976312&amp;selected_campaign_ids=120230153099780694" TargetMode="External"/><Relationship Id="rId683" Type="http://schemas.openxmlformats.org/officeDocument/2006/relationships/hyperlink" Target="https://adsmanager.facebook.com/adsmanager/manage/campaigns/edit/standalone?act=174904221976312&amp;selected_campaign_ids=120231574468460694" TargetMode="External"/><Relationship Id="rId890" Type="http://schemas.openxmlformats.org/officeDocument/2006/relationships/hyperlink" Target="https://adsmanager.facebook.com/adsmanager/manage/campaigns/edit/standalone?act=759724529202804&amp;selected_campaign_ids=120228860995180200" TargetMode="External"/><Relationship Id="rId904" Type="http://schemas.openxmlformats.org/officeDocument/2006/relationships/hyperlink" Target="https://adsmanager.facebook.com/adsmanager/manage/campaigns/edit/standalone?act=759724529202804&amp;selected_campaign_ids=120229127021080200" TargetMode="External"/><Relationship Id="rId1327" Type="http://schemas.openxmlformats.org/officeDocument/2006/relationships/hyperlink" Target="https://adsmanager.facebook.com/adsmanager/manage/campaigns/edit/standalone?act=766589657993298&amp;selected_campaign_ids=120231755357370235" TargetMode="External"/><Relationship Id="rId33" Type="http://schemas.openxmlformats.org/officeDocument/2006/relationships/hyperlink" Target="https://adsmanager.facebook.com/adsmanager/manage/campaigns/edit/standalone?act=174904221976312&amp;selected_campaign_ids=120226032160860694" TargetMode="External"/><Relationship Id="rId129" Type="http://schemas.openxmlformats.org/officeDocument/2006/relationships/hyperlink" Target="https://wa.me/628111508569" TargetMode="External"/><Relationship Id="rId336" Type="http://schemas.openxmlformats.org/officeDocument/2006/relationships/hyperlink" Target="https://adsmanager.facebook.com/adsmanager/manage/campaigns/edit/standalone?act=174904221976312&amp;selected_campaign_ids=120229280519010694" TargetMode="External"/><Relationship Id="rId543" Type="http://schemas.openxmlformats.org/officeDocument/2006/relationships/hyperlink" Target="https://wa.me/6287864812126" TargetMode="External"/><Relationship Id="rId988" Type="http://schemas.openxmlformats.org/officeDocument/2006/relationships/hyperlink" Target="https://wa.me/62812" TargetMode="External"/><Relationship Id="rId1173" Type="http://schemas.openxmlformats.org/officeDocument/2006/relationships/hyperlink" Target="https://adsmanager.facebook.com/adsmanager/manage/campaigns/edit/standalone?act=766589657993298&amp;selected_campaign_ids=120229500053770235" TargetMode="External"/><Relationship Id="rId1380" Type="http://schemas.openxmlformats.org/officeDocument/2006/relationships/hyperlink" Target="https://adsmanager.facebook.com/adsmanager/manage/campaigns/edit/standalone?act=766589657993298&amp;selected_campaign_ids=120232956559750235" TargetMode="External"/><Relationship Id="rId182" Type="http://schemas.openxmlformats.org/officeDocument/2006/relationships/hyperlink" Target="https://adsmanager.facebook.com/adsmanager/manage/campaigns/edit/standalone?act=174904221976312&amp;selected_campaign_ids=120228420201590694" TargetMode="External"/><Relationship Id="rId403" Type="http://schemas.openxmlformats.org/officeDocument/2006/relationships/hyperlink" Target="https://wa.me/6287829346006" TargetMode="External"/><Relationship Id="rId750" Type="http://schemas.openxmlformats.org/officeDocument/2006/relationships/hyperlink" Target="https://adsmanager.facebook.com/adsmanager/manage/campaigns/edit/standalone?act=174904221976312&amp;selected_campaign_ids=120232058801810694" TargetMode="External"/><Relationship Id="rId848" Type="http://schemas.openxmlformats.org/officeDocument/2006/relationships/hyperlink" Target="https://adsmanager.facebook.com/adsmanager/manage/campaigns/edit/standalone?act=759724529202804&amp;selected_campaign_ids=120227217218600200" TargetMode="External"/><Relationship Id="rId1033" Type="http://schemas.openxmlformats.org/officeDocument/2006/relationships/hyperlink" Target="https://wa.me/6285210107607" TargetMode="External"/><Relationship Id="rId487" Type="http://schemas.openxmlformats.org/officeDocument/2006/relationships/hyperlink" Target="https://wa.me/6289515920603" TargetMode="External"/><Relationship Id="rId610" Type="http://schemas.openxmlformats.org/officeDocument/2006/relationships/hyperlink" Target="https://wa.me/6285169730762" TargetMode="External"/><Relationship Id="rId694" Type="http://schemas.openxmlformats.org/officeDocument/2006/relationships/hyperlink" Target="https://adsmanager.facebook.com/adsmanager/manage/campaigns/edit/standalone?act=174904221976312&amp;selected_campaign_ids=120231707002020694" TargetMode="External"/><Relationship Id="rId708" Type="http://schemas.openxmlformats.org/officeDocument/2006/relationships/hyperlink" Target="https://adsmanager.facebook.com/adsmanager/manage/campaigns/edit/standalone?act=174904221976312&amp;selected_campaign_ids=120231846864380694" TargetMode="External"/><Relationship Id="rId915" Type="http://schemas.openxmlformats.org/officeDocument/2006/relationships/hyperlink" Target="https://wa.me/628174741283" TargetMode="External"/><Relationship Id="rId1240" Type="http://schemas.openxmlformats.org/officeDocument/2006/relationships/hyperlink" Target="https://wa.me/6285785858869" TargetMode="External"/><Relationship Id="rId1338" Type="http://schemas.openxmlformats.org/officeDocument/2006/relationships/hyperlink" Target="https://wa.me/6285888452389" TargetMode="External"/><Relationship Id="rId347" Type="http://schemas.openxmlformats.org/officeDocument/2006/relationships/hyperlink" Target="https://wa.me/6281366479393" TargetMode="External"/><Relationship Id="rId999" Type="http://schemas.openxmlformats.org/officeDocument/2006/relationships/hyperlink" Target="https://wa.me/6281219751312" TargetMode="External"/><Relationship Id="rId1100" Type="http://schemas.openxmlformats.org/officeDocument/2006/relationships/hyperlink" Target="https://wa.me/6281138301069" TargetMode="External"/><Relationship Id="rId1184" Type="http://schemas.openxmlformats.org/officeDocument/2006/relationships/hyperlink" Target="https://wa.me/62881038177010" TargetMode="External"/><Relationship Id="rId44" Type="http://schemas.openxmlformats.org/officeDocument/2006/relationships/hyperlink" Target="https://adsmanager.facebook.com/adsmanager/manage/campaigns/edit/standalone?act=174904221976312&amp;selected_campaign_ids=120226642991680694" TargetMode="External"/><Relationship Id="rId554" Type="http://schemas.openxmlformats.org/officeDocument/2006/relationships/hyperlink" Target="https://adsmanager.facebook.com/adsmanager/manage/campaigns/edit/standalone?act=174904221976312&amp;selected_campaign_ids=120230722176300694" TargetMode="External"/><Relationship Id="rId761" Type="http://schemas.openxmlformats.org/officeDocument/2006/relationships/hyperlink" Target="https://wa.me/6282220945171" TargetMode="External"/><Relationship Id="rId859" Type="http://schemas.openxmlformats.org/officeDocument/2006/relationships/hyperlink" Target="https://adsmanager.facebook.com/adsmanager/manage/campaigns/edit/standalone?act=759724529202804&amp;selected_campaign_ids=120227400653870200" TargetMode="External"/><Relationship Id="rId1391" Type="http://schemas.openxmlformats.org/officeDocument/2006/relationships/hyperlink" Target="https://wa.me/6282195508557" TargetMode="External"/><Relationship Id="rId193" Type="http://schemas.openxmlformats.org/officeDocument/2006/relationships/hyperlink" Target="https://wa.me/6285184844621" TargetMode="External"/><Relationship Id="rId207" Type="http://schemas.openxmlformats.org/officeDocument/2006/relationships/hyperlink" Target="https://wa.me/6285150556695" TargetMode="External"/><Relationship Id="rId414" Type="http://schemas.openxmlformats.org/officeDocument/2006/relationships/hyperlink" Target="https://adsmanager.facebook.com/adsmanager/manage/campaigns/edit/standalone?act=174904221976312&amp;selected_campaign_ids=120229948422580694" TargetMode="External"/><Relationship Id="rId498" Type="http://schemas.openxmlformats.org/officeDocument/2006/relationships/hyperlink" Target="https://adsmanager.facebook.com/adsmanager/manage/campaigns/edit/standalone?act=174904221976312&amp;selected_campaign_ids=120230432275000694" TargetMode="External"/><Relationship Id="rId621" Type="http://schemas.openxmlformats.org/officeDocument/2006/relationships/hyperlink" Target="https://adsmanager.facebook.com/adsmanager/manage/campaigns/edit/standalone?act=174904221976312&amp;selected_campaign_ids=120231299560650694" TargetMode="External"/><Relationship Id="rId1044" Type="http://schemas.openxmlformats.org/officeDocument/2006/relationships/hyperlink" Target="https://wa.me/6281338789995" TargetMode="External"/><Relationship Id="rId1251" Type="http://schemas.openxmlformats.org/officeDocument/2006/relationships/hyperlink" Target="https://adsmanager.facebook.com/adsmanager/manage/campaigns/edit/standalone?act=766589657993298&amp;selected_campaign_ids=120230608770750235" TargetMode="External"/><Relationship Id="rId1349" Type="http://schemas.openxmlformats.org/officeDocument/2006/relationships/hyperlink" Target="https://adsmanager.facebook.com/adsmanager/manage/campaigns/edit/standalone?act=766589657993298&amp;selected_campaign_ids=120232106119620235" TargetMode="External"/><Relationship Id="rId260" Type="http://schemas.openxmlformats.org/officeDocument/2006/relationships/hyperlink" Target="https://wa.me/6283870060603" TargetMode="External"/><Relationship Id="rId719" Type="http://schemas.openxmlformats.org/officeDocument/2006/relationships/hyperlink" Target="https://wa.me/62895614711817" TargetMode="External"/><Relationship Id="rId926" Type="http://schemas.openxmlformats.org/officeDocument/2006/relationships/hyperlink" Target="https://adsmanager.facebook.com/adsmanager/manage/campaigns/edit/standalone?act=759724529202804&amp;selected_campaign_ids=120229484888710200" TargetMode="External"/><Relationship Id="rId1111" Type="http://schemas.openxmlformats.org/officeDocument/2006/relationships/hyperlink" Target="https://adsmanager.facebook.com/adsmanager/manage/campaigns/edit/standalone?act=766589657993298&amp;selected_campaign_ids=120228612470250235" TargetMode="External"/><Relationship Id="rId55" Type="http://schemas.openxmlformats.org/officeDocument/2006/relationships/hyperlink" Target="https://wa.me/628127962347" TargetMode="External"/><Relationship Id="rId120" Type="http://schemas.openxmlformats.org/officeDocument/2006/relationships/hyperlink" Target="https://adsmanager.facebook.com/adsmanager/manage/campaigns/edit/standalone?act=174904221976312&amp;selected_campaign_ids=120228138398410694" TargetMode="External"/><Relationship Id="rId358" Type="http://schemas.openxmlformats.org/officeDocument/2006/relationships/hyperlink" Target="https://adsmanager.facebook.com/adsmanager/manage/campaigns/edit/standalone?act=174904221976312&amp;selected_campaign_ids=120229420166220694" TargetMode="External"/><Relationship Id="rId565" Type="http://schemas.openxmlformats.org/officeDocument/2006/relationships/hyperlink" Target="https://wa.me/6289514176661" TargetMode="External"/><Relationship Id="rId772" Type="http://schemas.openxmlformats.org/officeDocument/2006/relationships/hyperlink" Target="https://adsmanager.facebook.com/adsmanager/manage/campaigns/edit/standalone?act=174904221976312&amp;selected_campaign_ids=120232275153200694" TargetMode="External"/><Relationship Id="rId1195" Type="http://schemas.openxmlformats.org/officeDocument/2006/relationships/hyperlink" Target="https://adsmanager.facebook.com/adsmanager/manage/campaigns/edit/standalone?act=766589657993298&amp;selected_campaign_ids=120229663641750235" TargetMode="External"/><Relationship Id="rId1209" Type="http://schemas.openxmlformats.org/officeDocument/2006/relationships/hyperlink" Target="https://adsmanager.facebook.com/adsmanager/manage/campaigns/edit/standalone?act=766589657993298&amp;selected_campaign_ids=120229763540830235" TargetMode="External"/><Relationship Id="rId218" Type="http://schemas.openxmlformats.org/officeDocument/2006/relationships/hyperlink" Target="https://adsmanager.facebook.com/adsmanager/manage/campaigns/edit/standalone?act=174904221976312&amp;selected_campaign_ids=120228567832020694" TargetMode="External"/><Relationship Id="rId425" Type="http://schemas.openxmlformats.org/officeDocument/2006/relationships/hyperlink" Target="https://wa.me/6285691146546" TargetMode="External"/><Relationship Id="rId632" Type="http://schemas.openxmlformats.org/officeDocument/2006/relationships/hyperlink" Target="https://wa.me/6281328027701" TargetMode="External"/><Relationship Id="rId1055" Type="http://schemas.openxmlformats.org/officeDocument/2006/relationships/hyperlink" Target="https://adsmanager.facebook.com/adsmanager/manage/campaigns/edit/standalone?act=766589657993298&amp;selected_campaign_ids=120227621644090235" TargetMode="External"/><Relationship Id="rId1262" Type="http://schemas.openxmlformats.org/officeDocument/2006/relationships/hyperlink" Target="https://wa.me/6289609613105" TargetMode="External"/><Relationship Id="rId271" Type="http://schemas.openxmlformats.org/officeDocument/2006/relationships/hyperlink" Target="https://adsmanager.facebook.com/adsmanager/manage/campaigns/edit/standalone?act=174904221976312&amp;selected_campaign_ids=120228926103550694" TargetMode="External"/><Relationship Id="rId937" Type="http://schemas.openxmlformats.org/officeDocument/2006/relationships/hyperlink" Target="https://wa.me/6282285691485" TargetMode="External"/><Relationship Id="rId1122" Type="http://schemas.openxmlformats.org/officeDocument/2006/relationships/hyperlink" Target="https://wa.me/6282124027899" TargetMode="External"/><Relationship Id="rId66" Type="http://schemas.openxmlformats.org/officeDocument/2006/relationships/hyperlink" Target="https://adsmanager.facebook.com/adsmanager/manage/campaigns/edit/standalone?act=174904221976312&amp;selected_campaign_ids=120227216728120694" TargetMode="External"/><Relationship Id="rId131" Type="http://schemas.openxmlformats.org/officeDocument/2006/relationships/hyperlink" Target="https://wa.me/6282125330919" TargetMode="External"/><Relationship Id="rId369" Type="http://schemas.openxmlformats.org/officeDocument/2006/relationships/hyperlink" Target="https://wa.me/6281217126285" TargetMode="External"/><Relationship Id="rId576" Type="http://schemas.openxmlformats.org/officeDocument/2006/relationships/hyperlink" Target="https://adsmanager.facebook.com/adsmanager/manage/campaigns/edit/standalone?act=174904221976312&amp;selected_campaign_ids=120230973891570694" TargetMode="External"/><Relationship Id="rId783" Type="http://schemas.openxmlformats.org/officeDocument/2006/relationships/hyperlink" Target="https://wa.me/6285255115894" TargetMode="External"/><Relationship Id="rId990" Type="http://schemas.openxmlformats.org/officeDocument/2006/relationships/hyperlink" Target="https://wa.me/6281384925770" TargetMode="External"/><Relationship Id="rId229" Type="http://schemas.openxmlformats.org/officeDocument/2006/relationships/hyperlink" Target="https://adsmanager.facebook.com/adsmanager/manage/campaigns/edit/standalone?act=174904221976312&amp;selected_campaign_ids=120228663053790694" TargetMode="External"/><Relationship Id="rId436" Type="http://schemas.openxmlformats.org/officeDocument/2006/relationships/hyperlink" Target="https://adsmanager.facebook.com/adsmanager/manage/campaigns/edit/standalone?act=174904221976312&amp;selected_campaign_ids=120230030751300694" TargetMode="External"/><Relationship Id="rId643" Type="http://schemas.openxmlformats.org/officeDocument/2006/relationships/hyperlink" Target="https://adsmanager.facebook.com/adsmanager/manage/campaigns/edit/standalone?act=174904221976312&amp;selected_campaign_ids=120231435649290694" TargetMode="External"/><Relationship Id="rId1066" Type="http://schemas.openxmlformats.org/officeDocument/2006/relationships/hyperlink" Target="https://wa.me/6281215851833" TargetMode="External"/><Relationship Id="rId1273" Type="http://schemas.openxmlformats.org/officeDocument/2006/relationships/hyperlink" Target="https://adsmanager.facebook.com/adsmanager/manage/campaigns/edit/standalone?act=766589657993298&amp;selected_campaign_ids=120231117829430235" TargetMode="External"/><Relationship Id="rId850" Type="http://schemas.openxmlformats.org/officeDocument/2006/relationships/hyperlink" Target="https://wa.me/6282159148587" TargetMode="External"/><Relationship Id="rId948" Type="http://schemas.openxmlformats.org/officeDocument/2006/relationships/hyperlink" Target="https://adsmanager.facebook.com/adsmanager/manage/campaigns/edit/standalone?act=759724529202804&amp;selected_campaign_ids=120229796298590200" TargetMode="External"/><Relationship Id="rId1133" Type="http://schemas.openxmlformats.org/officeDocument/2006/relationships/hyperlink" Target="https://wa.me/6281214999292" TargetMode="External"/><Relationship Id="rId77" Type="http://schemas.openxmlformats.org/officeDocument/2006/relationships/hyperlink" Target="https://wa.me/6285240694097" TargetMode="External"/><Relationship Id="rId282" Type="http://schemas.openxmlformats.org/officeDocument/2006/relationships/hyperlink" Target="https://wa.me/6282123039124" TargetMode="External"/><Relationship Id="rId503" Type="http://schemas.openxmlformats.org/officeDocument/2006/relationships/hyperlink" Target="https://wa.me/6281324481252" TargetMode="External"/><Relationship Id="rId587" Type="http://schemas.openxmlformats.org/officeDocument/2006/relationships/hyperlink" Target="https://wa.me/6287776264559" TargetMode="External"/><Relationship Id="rId710" Type="http://schemas.openxmlformats.org/officeDocument/2006/relationships/hyperlink" Target="https://adsmanager.facebook.com/adsmanager/manage/campaigns/edit/standalone?act=174904221976312&amp;selected_campaign_ids=120231847087390694" TargetMode="External"/><Relationship Id="rId808" Type="http://schemas.openxmlformats.org/officeDocument/2006/relationships/hyperlink" Target="https://adsmanager.facebook.com/adsmanager/manage/campaigns/edit/standalone?act=174904221976312&amp;selected_campaign_ids=120232551939720694" TargetMode="External"/><Relationship Id="rId1340" Type="http://schemas.openxmlformats.org/officeDocument/2006/relationships/hyperlink" Target="https://wa.me/6285100570275" TargetMode="External"/><Relationship Id="rId8" Type="http://schemas.openxmlformats.org/officeDocument/2006/relationships/hyperlink" Target="https://adsmanager.facebook.com/adsmanager/manage/campaigns/edit/standalone?act=174904221976312&amp;selected_campaign_ids=120224708398910694" TargetMode="External"/><Relationship Id="rId142" Type="http://schemas.openxmlformats.org/officeDocument/2006/relationships/hyperlink" Target="https://adsmanager.facebook.com/adsmanager/manage/campaigns/edit/standalone?act=174904221976312&amp;selected_campaign_ids=120228233684810694" TargetMode="External"/><Relationship Id="rId447" Type="http://schemas.openxmlformats.org/officeDocument/2006/relationships/hyperlink" Target="https://wa.me/6285244535934" TargetMode="External"/><Relationship Id="rId794" Type="http://schemas.openxmlformats.org/officeDocument/2006/relationships/hyperlink" Target="https://adsmanager.facebook.com/adsmanager/manage/campaigns/edit/standalone?act=174904221976312&amp;selected_campaign_ids=120232438619900694" TargetMode="External"/><Relationship Id="rId1077" Type="http://schemas.openxmlformats.org/officeDocument/2006/relationships/hyperlink" Target="https://adsmanager.facebook.com/adsmanager/manage/campaigns/edit/standalone?act=766589657993298&amp;selected_campaign_ids=120227925985760235" TargetMode="External"/><Relationship Id="rId1200" Type="http://schemas.openxmlformats.org/officeDocument/2006/relationships/hyperlink" Target="https://wa.me/6281311129854" TargetMode="External"/><Relationship Id="rId654" Type="http://schemas.openxmlformats.org/officeDocument/2006/relationships/hyperlink" Target="https://wa.me/6285361118289" TargetMode="External"/><Relationship Id="rId861" Type="http://schemas.openxmlformats.org/officeDocument/2006/relationships/hyperlink" Target="https://wa.me/6285220903499" TargetMode="External"/><Relationship Id="rId959" Type="http://schemas.openxmlformats.org/officeDocument/2006/relationships/hyperlink" Target="https://wa.me/6281916331011" TargetMode="External"/><Relationship Id="rId1284" Type="http://schemas.openxmlformats.org/officeDocument/2006/relationships/hyperlink" Target="https://wa.me/628122102657" TargetMode="External"/><Relationship Id="rId293" Type="http://schemas.openxmlformats.org/officeDocument/2006/relationships/hyperlink" Target="https://adsmanager.facebook.com/adsmanager/manage/campaigns/edit/standalone?act=174904221976312&amp;selected_campaign_ids=120229016148350694" TargetMode="External"/><Relationship Id="rId307" Type="http://schemas.openxmlformats.org/officeDocument/2006/relationships/hyperlink" Target="https://adsmanager.facebook.com/adsmanager/manage/campaigns/edit/standalone?act=174904221976312&amp;selected_campaign_ids=120229070573230694" TargetMode="External"/><Relationship Id="rId514" Type="http://schemas.openxmlformats.org/officeDocument/2006/relationships/hyperlink" Target="https://adsmanager.facebook.com/adsmanager/manage/campaigns/edit/standalone?act=174904221976312&amp;selected_campaign_ids=120230493864380694" TargetMode="External"/><Relationship Id="rId721" Type="http://schemas.openxmlformats.org/officeDocument/2006/relationships/hyperlink" Target="https://wa.me/6285333751528" TargetMode="External"/><Relationship Id="rId1144" Type="http://schemas.openxmlformats.org/officeDocument/2006/relationships/hyperlink" Target="https://wa.me/6285279489086" TargetMode="External"/><Relationship Id="rId1351" Type="http://schemas.openxmlformats.org/officeDocument/2006/relationships/hyperlink" Target="https://adsmanager.facebook.com/adsmanager/manage/campaigns/edit/standalone?act=766589657993298&amp;selected_campaign_ids=120232238423920235" TargetMode="External"/><Relationship Id="rId88" Type="http://schemas.openxmlformats.org/officeDocument/2006/relationships/hyperlink" Target="https://adsmanager.facebook.com/adsmanager/manage/campaigns/edit/standalone?act=174904221976312&amp;selected_campaign_ids=120227814930420694" TargetMode="External"/><Relationship Id="rId153" Type="http://schemas.openxmlformats.org/officeDocument/2006/relationships/hyperlink" Target="https://wa.me/6281237893904" TargetMode="External"/><Relationship Id="rId360" Type="http://schemas.openxmlformats.org/officeDocument/2006/relationships/hyperlink" Target="https://adsmanager.facebook.com/adsmanager/manage/campaigns/edit/standalone?act=174904221976312&amp;selected_campaign_ids=120229422230120694" TargetMode="External"/><Relationship Id="rId598" Type="http://schemas.openxmlformats.org/officeDocument/2006/relationships/hyperlink" Target="https://wa.me/6281330410391" TargetMode="External"/><Relationship Id="rId819" Type="http://schemas.openxmlformats.org/officeDocument/2006/relationships/hyperlink" Target="https://wa.me/62881022322099" TargetMode="External"/><Relationship Id="rId1004" Type="http://schemas.openxmlformats.org/officeDocument/2006/relationships/hyperlink" Target="https://adsmanager.facebook.com/adsmanager/manage/campaigns/edit/standalone?act=766589657993298&amp;selected_campaign_ids=120227060405810235" TargetMode="External"/><Relationship Id="rId1211" Type="http://schemas.openxmlformats.org/officeDocument/2006/relationships/hyperlink" Target="https://adsmanager.facebook.com/adsmanager/manage/campaigns/edit/standalone?act=766589657993298&amp;selected_campaign_ids=120229839202590235" TargetMode="External"/><Relationship Id="rId220" Type="http://schemas.openxmlformats.org/officeDocument/2006/relationships/hyperlink" Target="https://adsmanager.facebook.com/adsmanager/manage/campaigns/edit/standalone?act=174904221976312&amp;selected_campaign_ids=120228568209730694" TargetMode="External"/><Relationship Id="rId458" Type="http://schemas.openxmlformats.org/officeDocument/2006/relationships/hyperlink" Target="https://adsmanager.facebook.com/adsmanager/manage/campaigns/edit/standalone?act=174904221976312&amp;selected_campaign_ids=120230102653090694" TargetMode="External"/><Relationship Id="rId665" Type="http://schemas.openxmlformats.org/officeDocument/2006/relationships/hyperlink" Target="https://adsmanager.facebook.com/adsmanager/manage/campaigns/edit/standalone?act=174904221976312&amp;selected_campaign_ids=120231539717410694" TargetMode="External"/><Relationship Id="rId872" Type="http://schemas.openxmlformats.org/officeDocument/2006/relationships/hyperlink" Target="https://adsmanager.facebook.com/adsmanager/manage/campaigns/edit/standalone?act=759724529202804&amp;selected_campaign_ids=120227526331870200" TargetMode="External"/><Relationship Id="rId1088" Type="http://schemas.openxmlformats.org/officeDocument/2006/relationships/hyperlink" Target="https://wa.me/6281293309300" TargetMode="External"/><Relationship Id="rId1295" Type="http://schemas.openxmlformats.org/officeDocument/2006/relationships/hyperlink" Target="https://adsmanager.facebook.com/adsmanager/manage/campaigns/edit/standalone?act=766589657993298&amp;selected_campaign_ids=120231436280770235" TargetMode="External"/><Relationship Id="rId1309" Type="http://schemas.openxmlformats.org/officeDocument/2006/relationships/hyperlink" Target="https://adsmanager.facebook.com/adsmanager/manage/campaigns/edit/standalone?act=766589657993298&amp;selected_campaign_ids=120231482670400235" TargetMode="External"/><Relationship Id="rId15" Type="http://schemas.openxmlformats.org/officeDocument/2006/relationships/hyperlink" Target="https://wa.me/6282226594414" TargetMode="External"/><Relationship Id="rId318" Type="http://schemas.openxmlformats.org/officeDocument/2006/relationships/hyperlink" Target="https://wa.me/6281286402030" TargetMode="External"/><Relationship Id="rId525" Type="http://schemas.openxmlformats.org/officeDocument/2006/relationships/hyperlink" Target="https://wa.me/62881010328220" TargetMode="External"/><Relationship Id="rId732" Type="http://schemas.openxmlformats.org/officeDocument/2006/relationships/hyperlink" Target="https://adsmanager.facebook.com/adsmanager/manage/campaigns/edit/standalone?act=174904221976312&amp;selected_campaign_ids=120231972137420694" TargetMode="External"/><Relationship Id="rId1155" Type="http://schemas.openxmlformats.org/officeDocument/2006/relationships/hyperlink" Target="https://wa.me/6285814054475" TargetMode="External"/><Relationship Id="rId1362" Type="http://schemas.openxmlformats.org/officeDocument/2006/relationships/hyperlink" Target="https://wa.me/6287778562681" TargetMode="External"/><Relationship Id="rId99" Type="http://schemas.openxmlformats.org/officeDocument/2006/relationships/hyperlink" Target="https://wa.me/6282188390340" TargetMode="External"/><Relationship Id="rId164" Type="http://schemas.openxmlformats.org/officeDocument/2006/relationships/hyperlink" Target="https://adsmanager.facebook.com/adsmanager/manage/campaigns/edit/standalone?act=174904221976312&amp;selected_campaign_ids=120228360684830694" TargetMode="External"/><Relationship Id="rId371" Type="http://schemas.openxmlformats.org/officeDocument/2006/relationships/hyperlink" Target="https://wa.me/6287745180632" TargetMode="External"/><Relationship Id="rId1015" Type="http://schemas.openxmlformats.org/officeDocument/2006/relationships/hyperlink" Target="https://wa.me/6281278788088" TargetMode="External"/><Relationship Id="rId1222" Type="http://schemas.openxmlformats.org/officeDocument/2006/relationships/hyperlink" Target="http://derra.id/" TargetMode="External"/><Relationship Id="rId469" Type="http://schemas.openxmlformats.org/officeDocument/2006/relationships/hyperlink" Target="https://wa.me/6281225101319" TargetMode="External"/><Relationship Id="rId676" Type="http://schemas.openxmlformats.org/officeDocument/2006/relationships/hyperlink" Target="https://wa.me/6281222200099" TargetMode="External"/><Relationship Id="rId883" Type="http://schemas.openxmlformats.org/officeDocument/2006/relationships/hyperlink" Target="https://wa.me/6281335728695" TargetMode="External"/><Relationship Id="rId1099" Type="http://schemas.openxmlformats.org/officeDocument/2006/relationships/hyperlink" Target="https://adsmanager.facebook.com/adsmanager/manage/campaigns/edit/standalone?act=766589657993298&amp;selected_campaign_ids=120228364900400235" TargetMode="External"/><Relationship Id="rId26" Type="http://schemas.openxmlformats.org/officeDocument/2006/relationships/hyperlink" Target="https://adsmanager.facebook.com/adsmanager/manage/campaigns/edit/standalone?act=174904221976312&amp;selected_campaign_ids=120225732846460694" TargetMode="External"/><Relationship Id="rId231" Type="http://schemas.openxmlformats.org/officeDocument/2006/relationships/hyperlink" Target="https://adsmanager.facebook.com/adsmanager/manage/campaigns/edit/standalone?act=174904221976312&amp;selected_campaign_ids=120228683700970694" TargetMode="External"/><Relationship Id="rId329" Type="http://schemas.openxmlformats.org/officeDocument/2006/relationships/hyperlink" Target="https://adsmanager.facebook.com/adsmanager/manage/campaigns/edit/standalone?act=174904221976312&amp;selected_campaign_ids=120229253354330694" TargetMode="External"/><Relationship Id="rId536" Type="http://schemas.openxmlformats.org/officeDocument/2006/relationships/hyperlink" Target="https://adsmanager.facebook.com/adsmanager/manage/campaigns/edit/standalone?act=174904221976312&amp;selected_campaign_ids=120230588419380694" TargetMode="External"/><Relationship Id="rId1166" Type="http://schemas.openxmlformats.org/officeDocument/2006/relationships/hyperlink" Target="https://adsmanager.facebook.com/adsmanager/manage/campaigns/edit/standalone?act=766589657993298&amp;selected_campaign_ids=120229446391380235" TargetMode="External"/><Relationship Id="rId1373" Type="http://schemas.openxmlformats.org/officeDocument/2006/relationships/hyperlink" Target="https://wa.me/6282399721881" TargetMode="External"/><Relationship Id="rId175" Type="http://schemas.openxmlformats.org/officeDocument/2006/relationships/hyperlink" Target="https://wa.me/6281240144744" TargetMode="External"/><Relationship Id="rId743" Type="http://schemas.openxmlformats.org/officeDocument/2006/relationships/hyperlink" Target="https://wa.me/6282391199993" TargetMode="External"/><Relationship Id="rId950" Type="http://schemas.openxmlformats.org/officeDocument/2006/relationships/hyperlink" Target="https://adsmanager.facebook.com/adsmanager/manage/campaigns/edit/standalone?act=759724529202804&amp;selected_campaign_ids=120229883458350200" TargetMode="External"/><Relationship Id="rId1026" Type="http://schemas.openxmlformats.org/officeDocument/2006/relationships/hyperlink" Target="https://adsmanager.facebook.com/adsmanager/manage/campaigns/edit/standalone?act=766589657993298&amp;selected_campaign_ids=120227272424500235" TargetMode="External"/><Relationship Id="rId382" Type="http://schemas.openxmlformats.org/officeDocument/2006/relationships/hyperlink" Target="https://adsmanager.facebook.com/adsmanager/manage/campaigns/edit/standalone?act=174904221976312&amp;selected_campaign_ids=120229634636490694" TargetMode="External"/><Relationship Id="rId603" Type="http://schemas.openxmlformats.org/officeDocument/2006/relationships/hyperlink" Target="https://adsmanager.facebook.com/adsmanager/manage/campaigns/edit/standalone?act=174904221976312&amp;selected_campaign_ids=120231232396990694" TargetMode="External"/><Relationship Id="rId687" Type="http://schemas.openxmlformats.org/officeDocument/2006/relationships/hyperlink" Target="https://wa.me/6281262080126" TargetMode="External"/><Relationship Id="rId810" Type="http://schemas.openxmlformats.org/officeDocument/2006/relationships/hyperlink" Target="https://adsmanager.facebook.com/adsmanager/manage/campaigns/edit/standalone?act=174904221976312&amp;selected_campaign_ids=120232596013120694" TargetMode="External"/><Relationship Id="rId908" Type="http://schemas.openxmlformats.org/officeDocument/2006/relationships/hyperlink" Target="https://adsmanager.facebook.com/adsmanager/manage/campaigns/edit/standalone?act=759724529202804&amp;selected_campaign_ids=120229240968870200" TargetMode="External"/><Relationship Id="rId1233" Type="http://schemas.openxmlformats.org/officeDocument/2006/relationships/hyperlink" Target="https://adsmanager.facebook.com/adsmanager/manage/campaigns/edit/standalone?act=766589657993298&amp;selected_campaign_ids=120230348327900235" TargetMode="External"/><Relationship Id="rId242" Type="http://schemas.openxmlformats.org/officeDocument/2006/relationships/hyperlink" Target="https://wa.me/6281316839343" TargetMode="External"/><Relationship Id="rId894" Type="http://schemas.openxmlformats.org/officeDocument/2006/relationships/hyperlink" Target="https://adsmanager.facebook.com/adsmanager/manage/campaigns/edit/standalone?act=759724529202804&amp;selected_campaign_ids=120229043131290200" TargetMode="External"/><Relationship Id="rId1177" Type="http://schemas.openxmlformats.org/officeDocument/2006/relationships/hyperlink" Target="https://adsmanager.facebook.com/adsmanager/manage/campaigns/edit/standalone?act=766589657993298&amp;selected_campaign_ids=120229584743470235" TargetMode="External"/><Relationship Id="rId1300" Type="http://schemas.openxmlformats.org/officeDocument/2006/relationships/hyperlink" Target="https://wa.me/6281231728008" TargetMode="External"/><Relationship Id="rId37" Type="http://schemas.openxmlformats.org/officeDocument/2006/relationships/hyperlink" Target="https://wa.me/6281263113266" TargetMode="External"/><Relationship Id="rId102" Type="http://schemas.openxmlformats.org/officeDocument/2006/relationships/hyperlink" Target="https://adsmanager.facebook.com/adsmanager/manage/campaigns/edit/standalone?act=174904221976312&amp;selected_campaign_ids=120227947213130694" TargetMode="External"/><Relationship Id="rId547" Type="http://schemas.openxmlformats.org/officeDocument/2006/relationships/hyperlink" Target="https://wa.me/6285780314346" TargetMode="External"/><Relationship Id="rId754" Type="http://schemas.openxmlformats.org/officeDocument/2006/relationships/hyperlink" Target="https://adsmanager.facebook.com/adsmanager/manage/campaigns/edit/standalone?act=174904221976312&amp;selected_campaign_ids=120232113190750694" TargetMode="External"/><Relationship Id="rId961" Type="http://schemas.openxmlformats.org/officeDocument/2006/relationships/hyperlink" Target="https://adsmanager.facebook.com/adsmanager/manage/campaigns/edit/standalone?act=759724529202804&amp;selected_campaign_ids=120230422523240200" TargetMode="External"/><Relationship Id="rId1384" Type="http://schemas.openxmlformats.org/officeDocument/2006/relationships/hyperlink" Target="https://adsmanager.facebook.com/adsmanager/manage/campaigns/edit/standalone?act=766589657993298&amp;selected_campaign_ids=120232988169650235" TargetMode="External"/><Relationship Id="rId90" Type="http://schemas.openxmlformats.org/officeDocument/2006/relationships/hyperlink" Target="https://adsmanager.facebook.com/adsmanager/manage/campaigns/edit/standalone?act=174904221976312&amp;selected_campaign_ids=120227825449170694" TargetMode="External"/><Relationship Id="rId186" Type="http://schemas.openxmlformats.org/officeDocument/2006/relationships/hyperlink" Target="https://adsmanager.facebook.com/adsmanager/manage/campaigns/edit/standalone?act=174904221976312&amp;selected_campaign_ids=120228421229490694" TargetMode="External"/><Relationship Id="rId393" Type="http://schemas.openxmlformats.org/officeDocument/2006/relationships/hyperlink" Target="https://wa.me/6282352307329" TargetMode="External"/><Relationship Id="rId407" Type="http://schemas.openxmlformats.org/officeDocument/2006/relationships/hyperlink" Target="https://wa.me/6285294617773" TargetMode="External"/><Relationship Id="rId614" Type="http://schemas.openxmlformats.org/officeDocument/2006/relationships/hyperlink" Target="https://wa.me/6281513169730" TargetMode="External"/><Relationship Id="rId821" Type="http://schemas.openxmlformats.org/officeDocument/2006/relationships/hyperlink" Target="https://wa.me/6282225676546" TargetMode="External"/><Relationship Id="rId1037" Type="http://schemas.openxmlformats.org/officeDocument/2006/relationships/hyperlink" Target="https://wa.me/6285261023204" TargetMode="External"/><Relationship Id="rId1244" Type="http://schemas.openxmlformats.org/officeDocument/2006/relationships/hyperlink" Target="https://wa.me/6282164564557" TargetMode="External"/><Relationship Id="rId253" Type="http://schemas.openxmlformats.org/officeDocument/2006/relationships/hyperlink" Target="https://adsmanager.facebook.com/adsmanager/manage/campaigns/edit/standalone?act=174904221976312&amp;selected_campaign_ids=120228850490520694" TargetMode="External"/><Relationship Id="rId460" Type="http://schemas.openxmlformats.org/officeDocument/2006/relationships/hyperlink" Target="https://adsmanager.facebook.com/adsmanager/manage/campaigns/edit/standalone?act=174904221976312&amp;selected_campaign_ids=120230103577590694" TargetMode="External"/><Relationship Id="rId698" Type="http://schemas.openxmlformats.org/officeDocument/2006/relationships/hyperlink" Target="https://adsmanager.facebook.com/adsmanager/manage/campaigns/edit/standalone?act=174904221976312&amp;selected_campaign_ids=120231707486140694" TargetMode="External"/><Relationship Id="rId919" Type="http://schemas.openxmlformats.org/officeDocument/2006/relationships/hyperlink" Target="https://wa.me/6281366622333" TargetMode="External"/><Relationship Id="rId1090" Type="http://schemas.openxmlformats.org/officeDocument/2006/relationships/hyperlink" Target="https://wa.me/6281374115054" TargetMode="External"/><Relationship Id="rId1104" Type="http://schemas.openxmlformats.org/officeDocument/2006/relationships/hyperlink" Target="https://wa.me/6282134333004" TargetMode="External"/><Relationship Id="rId1311" Type="http://schemas.openxmlformats.org/officeDocument/2006/relationships/hyperlink" Target="https://adsmanager.facebook.com/adsmanager/manage/campaigns/edit/standalone?act=766589657993298&amp;selected_campaign_ids=120231483671990235" TargetMode="External"/><Relationship Id="rId48" Type="http://schemas.openxmlformats.org/officeDocument/2006/relationships/hyperlink" Target="https://adsmanager.facebook.com/adsmanager/manage/campaigns/edit/standalone?act=174904221976312&amp;selected_campaign_ids=120226887056380694" TargetMode="External"/><Relationship Id="rId113" Type="http://schemas.openxmlformats.org/officeDocument/2006/relationships/hyperlink" Target="https://wa.me/6281352626888" TargetMode="External"/><Relationship Id="rId320" Type="http://schemas.openxmlformats.org/officeDocument/2006/relationships/hyperlink" Target="https://wa.me/6285869122507" TargetMode="External"/><Relationship Id="rId558" Type="http://schemas.openxmlformats.org/officeDocument/2006/relationships/hyperlink" Target="https://adsmanager.facebook.com/adsmanager/manage/campaigns/edit/standalone?act=174904221976312&amp;selected_campaign_ids=120230722307480694" TargetMode="External"/><Relationship Id="rId765" Type="http://schemas.openxmlformats.org/officeDocument/2006/relationships/hyperlink" Target="https://wa.me/6282135496939" TargetMode="External"/><Relationship Id="rId972" Type="http://schemas.openxmlformats.org/officeDocument/2006/relationships/hyperlink" Target="https://adsmanager.facebook.com/adsmanager/manage/campaigns/edit/standalone?act=759724529202804&amp;selected_campaign_ids=120231665720200200" TargetMode="External"/><Relationship Id="rId1188" Type="http://schemas.openxmlformats.org/officeDocument/2006/relationships/hyperlink" Target="https://wa.me/6287856230745" TargetMode="External"/><Relationship Id="rId1395" Type="http://schemas.openxmlformats.org/officeDocument/2006/relationships/hyperlink" Target="https://wa.me/6282111518881" TargetMode="External"/><Relationship Id="rId197" Type="http://schemas.openxmlformats.org/officeDocument/2006/relationships/hyperlink" Target="https://wa.me/6282238154676" TargetMode="External"/><Relationship Id="rId418" Type="http://schemas.openxmlformats.org/officeDocument/2006/relationships/hyperlink" Target="https://adsmanager.facebook.com/adsmanager/manage/campaigns/edit/standalone?act=174904221976312&amp;selected_campaign_ids=120229949254840694" TargetMode="External"/><Relationship Id="rId625" Type="http://schemas.openxmlformats.org/officeDocument/2006/relationships/hyperlink" Target="https://adsmanager.facebook.com/adsmanager/manage/campaigns/edit/standalone?act=174904221976312&amp;selected_campaign_ids=120231302907100694" TargetMode="External"/><Relationship Id="rId832" Type="http://schemas.openxmlformats.org/officeDocument/2006/relationships/hyperlink" Target="https://adsmanager.facebook.com/adsmanager/manage/campaigns/edit/standalone?act=174904221976312&amp;selected_campaign_ids=120232868606340694" TargetMode="External"/><Relationship Id="rId1048" Type="http://schemas.openxmlformats.org/officeDocument/2006/relationships/hyperlink" Target="https://wa.me/6287778562681" TargetMode="External"/><Relationship Id="rId1255" Type="http://schemas.openxmlformats.org/officeDocument/2006/relationships/hyperlink" Target="https://adsmanager.facebook.com/adsmanager/manage/campaigns/edit/standalone?act=766589657993298&amp;selected_campaign_ids=120230681708590235" TargetMode="External"/><Relationship Id="rId264" Type="http://schemas.openxmlformats.org/officeDocument/2006/relationships/hyperlink" Target="https://wa.me/6285789446955" TargetMode="External"/><Relationship Id="rId471" Type="http://schemas.openxmlformats.org/officeDocument/2006/relationships/hyperlink" Target="https://wa.me/6285338700113" TargetMode="External"/><Relationship Id="rId1115" Type="http://schemas.openxmlformats.org/officeDocument/2006/relationships/hyperlink" Target="https://adsmanager.facebook.com/adsmanager/manage/campaigns/edit/standalone?act=766589657993298&amp;selected_campaign_ids=120228753116090235" TargetMode="External"/><Relationship Id="rId1322" Type="http://schemas.openxmlformats.org/officeDocument/2006/relationships/hyperlink" Target="https://wa.me/6285640123555" TargetMode="External"/><Relationship Id="rId59" Type="http://schemas.openxmlformats.org/officeDocument/2006/relationships/hyperlink" Target="https://wa.me/6287858585808" TargetMode="External"/><Relationship Id="rId124" Type="http://schemas.openxmlformats.org/officeDocument/2006/relationships/hyperlink" Target="https://adsmanager.facebook.com/adsmanager/manage/campaigns/edit/standalone?act=174904221976312&amp;selected_campaign_ids=120228143698380694" TargetMode="External"/><Relationship Id="rId569" Type="http://schemas.openxmlformats.org/officeDocument/2006/relationships/hyperlink" Target="https://wa.me/628179780980" TargetMode="External"/><Relationship Id="rId776" Type="http://schemas.openxmlformats.org/officeDocument/2006/relationships/hyperlink" Target="https://adsmanager.facebook.com/adsmanager/manage/campaigns/edit/standalone?act=174904221976312&amp;selected_campaign_ids=120232276829050694" TargetMode="External"/><Relationship Id="rId983" Type="http://schemas.openxmlformats.org/officeDocument/2006/relationships/hyperlink" Target="https://adsmanager.facebook.com/adsmanager/manage/campaigns/edit/standalone?act=766589657993298&amp;selected_campaign_ids=120226449010810235" TargetMode="External"/><Relationship Id="rId1199" Type="http://schemas.openxmlformats.org/officeDocument/2006/relationships/hyperlink" Target="https://adsmanager.facebook.com/adsmanager/manage/campaigns/edit/standalone?act=766589657993298&amp;selected_campaign_ids=120229705795080235" TargetMode="External"/><Relationship Id="rId331" Type="http://schemas.openxmlformats.org/officeDocument/2006/relationships/hyperlink" Target="https://adsmanager.facebook.com/adsmanager/manage/campaigns/edit/standalone?act=174904221976312&amp;selected_campaign_ids=120229253481400694" TargetMode="External"/><Relationship Id="rId429" Type="http://schemas.openxmlformats.org/officeDocument/2006/relationships/hyperlink" Target="https://wa.me/628990145388" TargetMode="External"/><Relationship Id="rId636" Type="http://schemas.openxmlformats.org/officeDocument/2006/relationships/hyperlink" Target="https://wa.me/6281359605566" TargetMode="External"/><Relationship Id="rId1059" Type="http://schemas.openxmlformats.org/officeDocument/2006/relationships/hyperlink" Target="https://adsmanager.facebook.com/adsmanager/manage/campaigns/edit/standalone?act=766589657993298&amp;selected_campaign_ids=120227665552330235" TargetMode="External"/><Relationship Id="rId1266" Type="http://schemas.openxmlformats.org/officeDocument/2006/relationships/hyperlink" Target="https://wa.me/6282130129819" TargetMode="External"/><Relationship Id="rId843" Type="http://schemas.openxmlformats.org/officeDocument/2006/relationships/hyperlink" Target="https://wa.me/6282194694492" TargetMode="External"/><Relationship Id="rId1126" Type="http://schemas.openxmlformats.org/officeDocument/2006/relationships/hyperlink" Target="https://adsmanager.facebook.com/adsmanager/manage/campaigns/edit/standalone?act=766589657993298&amp;selected_campaign_ids=120228960290140235" TargetMode="External"/><Relationship Id="rId275" Type="http://schemas.openxmlformats.org/officeDocument/2006/relationships/hyperlink" Target="https://adsmanager.facebook.com/adsmanager/manage/campaigns/edit/standalone?act=174904221976312&amp;selected_campaign_ids=120228961494080694" TargetMode="External"/><Relationship Id="rId482" Type="http://schemas.openxmlformats.org/officeDocument/2006/relationships/hyperlink" Target="https://adsmanager.facebook.com/adsmanager/manage/campaigns/edit/standalone?act=174904221976312&amp;selected_campaign_ids=120230200566270694" TargetMode="External"/><Relationship Id="rId703" Type="http://schemas.openxmlformats.org/officeDocument/2006/relationships/hyperlink" Target="https://wa.me/6282229433259" TargetMode="External"/><Relationship Id="rId910" Type="http://schemas.openxmlformats.org/officeDocument/2006/relationships/hyperlink" Target="https://adsmanager.facebook.com/adsmanager/manage/campaigns/edit/standalone?act=759724529202804&amp;selected_campaign_ids=120229243414420200" TargetMode="External"/><Relationship Id="rId1333" Type="http://schemas.openxmlformats.org/officeDocument/2006/relationships/hyperlink" Target="https://adsmanager.facebook.com/adsmanager/manage/campaigns/edit/standalone?act=766589657993298&amp;selected_campaign_ids=120231901449320235" TargetMode="External"/><Relationship Id="rId135" Type="http://schemas.openxmlformats.org/officeDocument/2006/relationships/hyperlink" Target="https://wa.me/6281323910830" TargetMode="External"/><Relationship Id="rId342" Type="http://schemas.openxmlformats.org/officeDocument/2006/relationships/hyperlink" Target="https://adsmanager.facebook.com/adsmanager/manage/campaigns/edit/standalone?act=174904221976312&amp;selected_campaign_ids=120229339382760694" TargetMode="External"/><Relationship Id="rId787" Type="http://schemas.openxmlformats.org/officeDocument/2006/relationships/hyperlink" Target="https://wa.me/6281224628935" TargetMode="External"/><Relationship Id="rId994" Type="http://schemas.openxmlformats.org/officeDocument/2006/relationships/hyperlink" Target="https://wa.me/6281904501876" TargetMode="External"/><Relationship Id="rId1400" Type="http://schemas.openxmlformats.org/officeDocument/2006/relationships/hyperlink" Target="https://adsmanager.facebook.com/adsmanager/manage/campaigns/edit/standalone?act=768362231010540&amp;selected_campaign_ids=120227277507390731" TargetMode="External"/><Relationship Id="rId202" Type="http://schemas.openxmlformats.org/officeDocument/2006/relationships/hyperlink" Target="https://adsmanager.facebook.com/adsmanager/manage/campaigns/edit/standalone?act=174904221976312&amp;selected_campaign_ids=120228534502600694" TargetMode="External"/><Relationship Id="rId647" Type="http://schemas.openxmlformats.org/officeDocument/2006/relationships/hyperlink" Target="https://adsmanager.facebook.com/adsmanager/manage/campaigns/edit/standalone?act=174904221976312&amp;selected_campaign_ids=120231436669930694" TargetMode="External"/><Relationship Id="rId854" Type="http://schemas.openxmlformats.org/officeDocument/2006/relationships/hyperlink" Target="https://wa.me/6285757057088" TargetMode="External"/><Relationship Id="rId1277" Type="http://schemas.openxmlformats.org/officeDocument/2006/relationships/hyperlink" Target="https://adsmanager.facebook.com/adsmanager/manage/campaigns/edit/standalone?act=766589657993298&amp;selected_campaign_ids=120231247351770235" TargetMode="External"/><Relationship Id="rId286" Type="http://schemas.openxmlformats.org/officeDocument/2006/relationships/hyperlink" Target="https://wa.me/6281219329853" TargetMode="External"/><Relationship Id="rId493" Type="http://schemas.openxmlformats.org/officeDocument/2006/relationships/hyperlink" Target="https://wa.me/6285328883803" TargetMode="External"/><Relationship Id="rId507" Type="http://schemas.openxmlformats.org/officeDocument/2006/relationships/hyperlink" Target="https://wa.me/6282112042148" TargetMode="External"/><Relationship Id="rId714" Type="http://schemas.openxmlformats.org/officeDocument/2006/relationships/hyperlink" Target="https://adsmanager.facebook.com/adsmanager/manage/campaigns/edit/standalone?act=174904221976312&amp;selected_campaign_ids=120231847646080694" TargetMode="External"/><Relationship Id="rId921" Type="http://schemas.openxmlformats.org/officeDocument/2006/relationships/hyperlink" Target="https://wa.me/6287777241263" TargetMode="External"/><Relationship Id="rId1137" Type="http://schemas.openxmlformats.org/officeDocument/2006/relationships/hyperlink" Target="https://wa.me/628112999165" TargetMode="External"/><Relationship Id="rId1344" Type="http://schemas.openxmlformats.org/officeDocument/2006/relationships/hyperlink" Target="https://wa.me/6282171933337" TargetMode="External"/><Relationship Id="rId50" Type="http://schemas.openxmlformats.org/officeDocument/2006/relationships/hyperlink" Target="https://adsmanager.facebook.com/adsmanager/manage/campaigns/edit/standalone?act=174904221976312&amp;selected_campaign_ids=120226909635070694" TargetMode="External"/><Relationship Id="rId146" Type="http://schemas.openxmlformats.org/officeDocument/2006/relationships/hyperlink" Target="https://adsmanager.facebook.com/adsmanager/manage/campaigns/edit/standalone?act=174904221976312&amp;selected_campaign_ids=120228261048710694" TargetMode="External"/><Relationship Id="rId353" Type="http://schemas.openxmlformats.org/officeDocument/2006/relationships/hyperlink" Target="https://wa.me/6281280241630" TargetMode="External"/><Relationship Id="rId560" Type="http://schemas.openxmlformats.org/officeDocument/2006/relationships/hyperlink" Target="https://adsmanager.facebook.com/adsmanager/manage/campaigns/edit/standalone?act=174904221976312&amp;selected_campaign_ids=120230772135890694" TargetMode="External"/><Relationship Id="rId798" Type="http://schemas.openxmlformats.org/officeDocument/2006/relationships/hyperlink" Target="https://adsmanager.facebook.com/adsmanager/manage/campaigns/edit/standalone?act=174904221976312&amp;selected_campaign_ids=120232493438140694" TargetMode="External"/><Relationship Id="rId1190" Type="http://schemas.openxmlformats.org/officeDocument/2006/relationships/hyperlink" Target="https://wa.me/6281298551100" TargetMode="External"/><Relationship Id="rId1204" Type="http://schemas.openxmlformats.org/officeDocument/2006/relationships/hyperlink" Target="https://wa.me/62882015555380" TargetMode="External"/><Relationship Id="rId213" Type="http://schemas.openxmlformats.org/officeDocument/2006/relationships/hyperlink" Target="https://wa.me/62895374644456" TargetMode="External"/><Relationship Id="rId420" Type="http://schemas.openxmlformats.org/officeDocument/2006/relationships/hyperlink" Target="https://adsmanager.facebook.com/adsmanager/manage/campaigns/edit/standalone?act=174904221976312&amp;selected_campaign_ids=120229981713820694" TargetMode="External"/><Relationship Id="rId658" Type="http://schemas.openxmlformats.org/officeDocument/2006/relationships/hyperlink" Target="https://wa.me/6285338058843" TargetMode="External"/><Relationship Id="rId865" Type="http://schemas.openxmlformats.org/officeDocument/2006/relationships/hyperlink" Target="https://wa.me/6281331854948" TargetMode="External"/><Relationship Id="rId1050" Type="http://schemas.openxmlformats.org/officeDocument/2006/relationships/hyperlink" Target="https://wa.me/6281316155059" TargetMode="External"/><Relationship Id="rId1288" Type="http://schemas.openxmlformats.org/officeDocument/2006/relationships/hyperlink" Target="https://wa.me/6285100570275" TargetMode="External"/><Relationship Id="rId297" Type="http://schemas.openxmlformats.org/officeDocument/2006/relationships/hyperlink" Target="https://adsmanager.facebook.com/adsmanager/manage/campaigns/edit/standalone?act=174904221976312&amp;selected_campaign_ids=120229064636490694" TargetMode="External"/><Relationship Id="rId518" Type="http://schemas.openxmlformats.org/officeDocument/2006/relationships/hyperlink" Target="https://adsmanager.facebook.com/adsmanager/manage/campaigns/edit/standalone?act=174904221976312&amp;selected_campaign_ids=120230494321050694" TargetMode="External"/><Relationship Id="rId725" Type="http://schemas.openxmlformats.org/officeDocument/2006/relationships/hyperlink" Target="https://wa.me/6282286608220" TargetMode="External"/><Relationship Id="rId932" Type="http://schemas.openxmlformats.org/officeDocument/2006/relationships/hyperlink" Target="https://adsmanager.facebook.com/adsmanager/manage/campaigns/edit/standalone?act=759724529202804&amp;selected_campaign_ids=120229679951170200" TargetMode="External"/><Relationship Id="rId1148" Type="http://schemas.openxmlformats.org/officeDocument/2006/relationships/hyperlink" Target="http://primagriya.com/" TargetMode="External"/><Relationship Id="rId1355" Type="http://schemas.openxmlformats.org/officeDocument/2006/relationships/hyperlink" Target="https://adsmanager.facebook.com/adsmanager/manage/campaigns/edit/standalone?act=766589657993298&amp;selected_campaign_ids=120232304884750235" TargetMode="External"/><Relationship Id="rId157" Type="http://schemas.openxmlformats.org/officeDocument/2006/relationships/hyperlink" Target="https://wa.me/6282128714101" TargetMode="External"/><Relationship Id="rId364" Type="http://schemas.openxmlformats.org/officeDocument/2006/relationships/hyperlink" Target="https://adsmanager.facebook.com/adsmanager/manage/campaigns/edit/standalone?act=174904221976312&amp;selected_campaign_ids=120229427577300694" TargetMode="External"/><Relationship Id="rId1008" Type="http://schemas.openxmlformats.org/officeDocument/2006/relationships/hyperlink" Target="https://adsmanager.facebook.com/adsmanager/manage/campaigns/edit/standalone?act=766589657993298&amp;selected_campaign_ids=120227093810110235" TargetMode="External"/><Relationship Id="rId1215" Type="http://schemas.openxmlformats.org/officeDocument/2006/relationships/hyperlink" Target="https://adsmanager.facebook.com/adsmanager/manage/campaigns/edit/standalone?act=766589657993298&amp;selected_campaign_ids=120229935832610235" TargetMode="External"/><Relationship Id="rId61" Type="http://schemas.openxmlformats.org/officeDocument/2006/relationships/hyperlink" Target="https://wa.me/6285227384634" TargetMode="External"/><Relationship Id="rId571" Type="http://schemas.openxmlformats.org/officeDocument/2006/relationships/hyperlink" Target="https://wa.me/6282160743576" TargetMode="External"/><Relationship Id="rId669" Type="http://schemas.openxmlformats.org/officeDocument/2006/relationships/hyperlink" Target="https://adsmanager.facebook.com/adsmanager/manage/campaigns/edit/standalone?act=174904221976312&amp;selected_campaign_ids=120231540880250694" TargetMode="External"/><Relationship Id="rId876" Type="http://schemas.openxmlformats.org/officeDocument/2006/relationships/hyperlink" Target="https://adsmanager.facebook.com/adsmanager/manage/campaigns/edit/standalone?act=759724529202804&amp;selected_campaign_ids=120228023839160200" TargetMode="External"/><Relationship Id="rId1299" Type="http://schemas.openxmlformats.org/officeDocument/2006/relationships/hyperlink" Target="https://adsmanager.facebook.com/adsmanager/manage/campaigns/edit/standalone?act=766589657993298&amp;selected_campaign_ids=120231436593960235" TargetMode="External"/><Relationship Id="rId19" Type="http://schemas.openxmlformats.org/officeDocument/2006/relationships/hyperlink" Target="https://wa.me/6281263113266" TargetMode="External"/><Relationship Id="rId224" Type="http://schemas.openxmlformats.org/officeDocument/2006/relationships/hyperlink" Target="https://wa.me/6285696765224" TargetMode="External"/><Relationship Id="rId431" Type="http://schemas.openxmlformats.org/officeDocument/2006/relationships/hyperlink" Target="https://wa.me/6282384544939" TargetMode="External"/><Relationship Id="rId529" Type="http://schemas.openxmlformats.org/officeDocument/2006/relationships/hyperlink" Target="https://wa.me/6285361188745" TargetMode="External"/><Relationship Id="rId736" Type="http://schemas.openxmlformats.org/officeDocument/2006/relationships/hyperlink" Target="https://adsmanager.facebook.com/adsmanager/manage/campaigns/edit/standalone?act=174904221976312&amp;selected_campaign_ids=120231974061480694" TargetMode="External"/><Relationship Id="rId1061" Type="http://schemas.openxmlformats.org/officeDocument/2006/relationships/hyperlink" Target="https://adsmanager.facebook.com/adsmanager/manage/campaigns/edit/standalone?act=766589657993298&amp;selected_campaign_ids=120227665559290235" TargetMode="External"/><Relationship Id="rId1159" Type="http://schemas.openxmlformats.org/officeDocument/2006/relationships/hyperlink" Target="https://wa.me/62812" TargetMode="External"/><Relationship Id="rId1366" Type="http://schemas.openxmlformats.org/officeDocument/2006/relationships/hyperlink" Target="https://wa.me/6281543128320" TargetMode="External"/><Relationship Id="rId168" Type="http://schemas.openxmlformats.org/officeDocument/2006/relationships/hyperlink" Target="https://adsmanager.facebook.com/adsmanager/manage/campaigns/edit/standalone?act=174904221976312&amp;selected_campaign_ids=120228362069230694" TargetMode="External"/><Relationship Id="rId943" Type="http://schemas.openxmlformats.org/officeDocument/2006/relationships/hyperlink" Target="https://wa.me/6282164919126" TargetMode="External"/><Relationship Id="rId1019" Type="http://schemas.openxmlformats.org/officeDocument/2006/relationships/hyperlink" Target="https://wa.me/6285853370682" TargetMode="External"/><Relationship Id="rId72" Type="http://schemas.openxmlformats.org/officeDocument/2006/relationships/hyperlink" Target="https://adsmanager.facebook.com/adsmanager/manage/campaigns/edit/standalone?act=174904221976312&amp;selected_campaign_ids=120227436680530694" TargetMode="External"/><Relationship Id="rId375" Type="http://schemas.openxmlformats.org/officeDocument/2006/relationships/hyperlink" Target="https://wa.me/6281330410391" TargetMode="External"/><Relationship Id="rId582" Type="http://schemas.openxmlformats.org/officeDocument/2006/relationships/hyperlink" Target="https://adsmanager.facebook.com/adsmanager/manage/campaigns/edit/standalone?act=174904221976312&amp;selected_campaign_ids=120230974481300694" TargetMode="External"/><Relationship Id="rId803" Type="http://schemas.openxmlformats.org/officeDocument/2006/relationships/hyperlink" Target="https://wa.me/6282320232344" TargetMode="External"/><Relationship Id="rId1226" Type="http://schemas.openxmlformats.org/officeDocument/2006/relationships/hyperlink" Target="https://wa.me/6285921009099" TargetMode="External"/><Relationship Id="rId3" Type="http://schemas.openxmlformats.org/officeDocument/2006/relationships/hyperlink" Target="https://adsmanager.facebook.com/adsmanager/manage/campaigns/edit/standalone?act=174904221976312&amp;selected_campaign_ids=120224030796970694" TargetMode="External"/><Relationship Id="rId235" Type="http://schemas.openxmlformats.org/officeDocument/2006/relationships/hyperlink" Target="https://wa.me/6287757150828" TargetMode="External"/><Relationship Id="rId442" Type="http://schemas.openxmlformats.org/officeDocument/2006/relationships/hyperlink" Target="https://adsmanager.facebook.com/adsmanager/manage/campaigns/edit/standalone?act=174904221976312&amp;selected_campaign_ids=120230031289610694" TargetMode="External"/><Relationship Id="rId887" Type="http://schemas.openxmlformats.org/officeDocument/2006/relationships/hyperlink" Target="https://wa.me/6282125465047" TargetMode="External"/><Relationship Id="rId1072" Type="http://schemas.openxmlformats.org/officeDocument/2006/relationships/hyperlink" Target="https://wa.me/6281233044823" TargetMode="External"/><Relationship Id="rId302" Type="http://schemas.openxmlformats.org/officeDocument/2006/relationships/hyperlink" Target="https://wa.me/6285657238556" TargetMode="External"/><Relationship Id="rId747" Type="http://schemas.openxmlformats.org/officeDocument/2006/relationships/hyperlink" Target="https://wa.me/6281249008778" TargetMode="External"/><Relationship Id="rId954" Type="http://schemas.openxmlformats.org/officeDocument/2006/relationships/hyperlink" Target="https://adsmanager.facebook.com/adsmanager/manage/campaigns/edit/standalone?act=759724529202804&amp;selected_campaign_ids=120230102083340200" TargetMode="External"/><Relationship Id="rId1377" Type="http://schemas.openxmlformats.org/officeDocument/2006/relationships/hyperlink" Target="https://wa.me/6281323291817" TargetMode="External"/><Relationship Id="rId83" Type="http://schemas.openxmlformats.org/officeDocument/2006/relationships/hyperlink" Target="https://wa.me/6281347156140" TargetMode="External"/><Relationship Id="rId179" Type="http://schemas.openxmlformats.org/officeDocument/2006/relationships/hyperlink" Target="https://wa.me/62859130962516" TargetMode="External"/><Relationship Id="rId386" Type="http://schemas.openxmlformats.org/officeDocument/2006/relationships/hyperlink" Target="https://adsmanager.facebook.com/adsmanager/manage/campaigns/edit/standalone?act=174904221976312&amp;selected_campaign_ids=120229733787950694" TargetMode="External"/><Relationship Id="rId593" Type="http://schemas.openxmlformats.org/officeDocument/2006/relationships/hyperlink" Target="https://wa.me/6287821734079" TargetMode="External"/><Relationship Id="rId607" Type="http://schemas.openxmlformats.org/officeDocument/2006/relationships/hyperlink" Target="https://adsmanager.facebook.com/adsmanager/manage/campaigns/edit/standalone?act=174904221976312&amp;selected_campaign_ids=120231233043910694" TargetMode="External"/><Relationship Id="rId814" Type="http://schemas.openxmlformats.org/officeDocument/2006/relationships/hyperlink" Target="https://adsmanager.facebook.com/adsmanager/manage/campaigns/edit/standalone?act=174904221976312&amp;selected_campaign_ids=120232596393070694" TargetMode="External"/><Relationship Id="rId1237" Type="http://schemas.openxmlformats.org/officeDocument/2006/relationships/hyperlink" Target="https://adsmanager.facebook.com/adsmanager/manage/campaigns/edit/standalone?act=766589657993298&amp;selected_campaign_ids=120230462264890235" TargetMode="External"/><Relationship Id="rId246" Type="http://schemas.openxmlformats.org/officeDocument/2006/relationships/hyperlink" Target="https://wa.me/6281217985917" TargetMode="External"/><Relationship Id="rId453" Type="http://schemas.openxmlformats.org/officeDocument/2006/relationships/hyperlink" Target="https://wa.me/6287751970643" TargetMode="External"/><Relationship Id="rId660" Type="http://schemas.openxmlformats.org/officeDocument/2006/relationships/hyperlink" Target="https://wa.me/6281545971465" TargetMode="External"/><Relationship Id="rId898" Type="http://schemas.openxmlformats.org/officeDocument/2006/relationships/hyperlink" Target="https://adsmanager.facebook.com/adsmanager/manage/campaigns/edit/standalone?act=759724529202804&amp;selected_campaign_ids=120229044952270200" TargetMode="External"/><Relationship Id="rId1083" Type="http://schemas.openxmlformats.org/officeDocument/2006/relationships/hyperlink" Target="https://adsmanager.facebook.com/adsmanager/manage/campaigns/edit/standalone?act=766589657993298&amp;selected_campaign_ids=120228014435350235" TargetMode="External"/><Relationship Id="rId1290" Type="http://schemas.openxmlformats.org/officeDocument/2006/relationships/hyperlink" Target="https://wa.me/6287768646729" TargetMode="External"/><Relationship Id="rId1304" Type="http://schemas.openxmlformats.org/officeDocument/2006/relationships/hyperlink" Target="https://wa.me/6285268858846" TargetMode="External"/><Relationship Id="rId106" Type="http://schemas.openxmlformats.org/officeDocument/2006/relationships/hyperlink" Target="https://adsmanager.facebook.com/adsmanager/manage/campaigns/edit/standalone?act=174904221976312&amp;selected_campaign_ids=120228021613470694" TargetMode="External"/><Relationship Id="rId313" Type="http://schemas.openxmlformats.org/officeDocument/2006/relationships/hyperlink" Target="https://adsmanager.facebook.com/adsmanager/manage/campaigns/edit/standalone?act=174904221976312&amp;selected_campaign_ids=120229130184660694" TargetMode="External"/><Relationship Id="rId758" Type="http://schemas.openxmlformats.org/officeDocument/2006/relationships/hyperlink" Target="https://adsmanager.facebook.com/adsmanager/manage/campaigns/edit/standalone?act=174904221976312&amp;selected_campaign_ids=120232113949300694" TargetMode="External"/><Relationship Id="rId965" Type="http://schemas.openxmlformats.org/officeDocument/2006/relationships/hyperlink" Target="https://wa.me/6289608357133" TargetMode="External"/><Relationship Id="rId1150" Type="http://schemas.openxmlformats.org/officeDocument/2006/relationships/hyperlink" Target="https://adsmanager.facebook.com/adsmanager/manage/campaigns/edit/standalone?act=766589657993298&amp;selected_campaign_ids=120229218876160235" TargetMode="External"/><Relationship Id="rId1388" Type="http://schemas.openxmlformats.org/officeDocument/2006/relationships/hyperlink" Target="https://adsmanager.facebook.com/adsmanager/manage/campaigns/edit/standalone?act=766589657993298&amp;selected_campaign_ids=120233003549470235" TargetMode="External"/><Relationship Id="rId10" Type="http://schemas.openxmlformats.org/officeDocument/2006/relationships/hyperlink" Target="https://adsmanager.facebook.com/adsmanager/manage/campaigns/edit/standalone?act=174904221976312&amp;selected_campaign_ids=120224822861740694" TargetMode="External"/><Relationship Id="rId94" Type="http://schemas.openxmlformats.org/officeDocument/2006/relationships/hyperlink" Target="https://adsmanager.facebook.com/adsmanager/manage/campaigns/edit/standalone?act=174904221976312&amp;selected_campaign_ids=120227890334950694" TargetMode="External"/><Relationship Id="rId397" Type="http://schemas.openxmlformats.org/officeDocument/2006/relationships/hyperlink" Target="https://wa.me/6283831211890" TargetMode="External"/><Relationship Id="rId520" Type="http://schemas.openxmlformats.org/officeDocument/2006/relationships/hyperlink" Target="https://adsmanager.facebook.com/adsmanager/manage/campaigns/edit/standalone?act=174904221976312&amp;selected_campaign_ids=120230494428050694" TargetMode="External"/><Relationship Id="rId618" Type="http://schemas.openxmlformats.org/officeDocument/2006/relationships/hyperlink" Target="https://wa.me/6287777304498" TargetMode="External"/><Relationship Id="rId825" Type="http://schemas.openxmlformats.org/officeDocument/2006/relationships/hyperlink" Target="https://wa.me/6282219980006" TargetMode="External"/><Relationship Id="rId1248" Type="http://schemas.openxmlformats.org/officeDocument/2006/relationships/hyperlink" Target="https://wa.me/6281230288300" TargetMode="External"/><Relationship Id="rId257" Type="http://schemas.openxmlformats.org/officeDocument/2006/relationships/hyperlink" Target="https://adsmanager.facebook.com/adsmanager/manage/campaigns/edit/standalone?act=174904221976312&amp;selected_campaign_ids=120228878146570694" TargetMode="External"/><Relationship Id="rId464" Type="http://schemas.openxmlformats.org/officeDocument/2006/relationships/hyperlink" Target="https://adsmanager.facebook.com/adsmanager/manage/campaigns/edit/standalone?act=174904221976312&amp;selected_campaign_ids=120230104636090694" TargetMode="External"/><Relationship Id="rId1010" Type="http://schemas.openxmlformats.org/officeDocument/2006/relationships/hyperlink" Target="https://adsmanager.facebook.com/adsmanager/manage/campaigns/edit/standalone?act=766589657993298&amp;selected_campaign_ids=120227143125540235" TargetMode="External"/><Relationship Id="rId1094" Type="http://schemas.openxmlformats.org/officeDocument/2006/relationships/hyperlink" Target="https://wa.me/6282365004117" TargetMode="External"/><Relationship Id="rId1108" Type="http://schemas.openxmlformats.org/officeDocument/2006/relationships/hyperlink" Target="https://wa.me/6282338171577" TargetMode="External"/><Relationship Id="rId1315" Type="http://schemas.openxmlformats.org/officeDocument/2006/relationships/hyperlink" Target="https://adsmanager.facebook.com/adsmanager/manage/campaigns/edit/standalone?act=766589657993298&amp;selected_campaign_ids=120231541589610235" TargetMode="External"/><Relationship Id="rId117" Type="http://schemas.openxmlformats.org/officeDocument/2006/relationships/hyperlink" Target="https://wa.me/6282125000978" TargetMode="External"/><Relationship Id="rId671" Type="http://schemas.openxmlformats.org/officeDocument/2006/relationships/hyperlink" Target="https://adsmanager.facebook.com/adsmanager/manage/campaigns/edit/standalone?act=174904221976312&amp;selected_campaign_ids=120231541326030694" TargetMode="External"/><Relationship Id="rId769" Type="http://schemas.openxmlformats.org/officeDocument/2006/relationships/hyperlink" Target="https://wa.me/6285657238556" TargetMode="External"/><Relationship Id="rId976" Type="http://schemas.openxmlformats.org/officeDocument/2006/relationships/hyperlink" Target="https://adsmanager.facebook.com/adsmanager/manage/campaigns/edit/standalone?act=759724529202804&amp;selected_campaign_ids=120232488433800200" TargetMode="External"/><Relationship Id="rId1399" Type="http://schemas.openxmlformats.org/officeDocument/2006/relationships/hyperlink" Target="https://wa.me/6282224315700" TargetMode="External"/><Relationship Id="rId324" Type="http://schemas.openxmlformats.org/officeDocument/2006/relationships/hyperlink" Target="https://wa.me/6282333203355" TargetMode="External"/><Relationship Id="rId531" Type="http://schemas.openxmlformats.org/officeDocument/2006/relationships/hyperlink" Target="https://wa.me/6283129404339" TargetMode="External"/><Relationship Id="rId629" Type="http://schemas.openxmlformats.org/officeDocument/2006/relationships/hyperlink" Target="https://adsmanager.facebook.com/adsmanager/manage/campaigns/edit/standalone?act=174904221976312&amp;selected_campaign_ids=120231364279680694" TargetMode="External"/><Relationship Id="rId1161" Type="http://schemas.openxmlformats.org/officeDocument/2006/relationships/hyperlink" Target="https://wa.me/6285853370682" TargetMode="External"/><Relationship Id="rId1259" Type="http://schemas.openxmlformats.org/officeDocument/2006/relationships/hyperlink" Target="https://adsmanager.facebook.com/adsmanager/manage/campaigns/edit/standalone?act=766589657993298&amp;selected_campaign_ids=120230750875670235" TargetMode="External"/><Relationship Id="rId836" Type="http://schemas.openxmlformats.org/officeDocument/2006/relationships/hyperlink" Target="https://adsmanager.facebook.com/adsmanager/manage/campaigns/edit/standalone?act=174904221976312&amp;selected_campaign_ids=120232922156320694" TargetMode="External"/><Relationship Id="rId1021" Type="http://schemas.openxmlformats.org/officeDocument/2006/relationships/hyperlink" Target="https://wa.me/6281519225886" TargetMode="External"/><Relationship Id="rId1119" Type="http://schemas.openxmlformats.org/officeDocument/2006/relationships/hyperlink" Target="https://adsmanager.facebook.com/adsmanager/manage/campaigns/edit/standalone?act=766589657993298&amp;selected_campaign_ids=120228848825870235" TargetMode="External"/><Relationship Id="rId903" Type="http://schemas.openxmlformats.org/officeDocument/2006/relationships/hyperlink" Target="https://wa.me/6281233038880" TargetMode="External"/><Relationship Id="rId1326" Type="http://schemas.openxmlformats.org/officeDocument/2006/relationships/hyperlink" Target="https://wa.me/6281990865975" TargetMode="External"/><Relationship Id="rId32" Type="http://schemas.openxmlformats.org/officeDocument/2006/relationships/hyperlink" Target="https://adsmanager.facebook.com/adsmanager/manage/campaigns/edit/standalone?act=174904221976312&amp;selected_campaign_ids=120225980267140694" TargetMode="External"/><Relationship Id="rId181" Type="http://schemas.openxmlformats.org/officeDocument/2006/relationships/hyperlink" Target="https://wa.me/6282298717014" TargetMode="External"/><Relationship Id="rId279" Type="http://schemas.openxmlformats.org/officeDocument/2006/relationships/hyperlink" Target="https://adsmanager.facebook.com/adsmanager/manage/campaigns/edit/standalone?act=174904221976312&amp;selected_campaign_ids=120228961595190694" TargetMode="External"/><Relationship Id="rId486" Type="http://schemas.openxmlformats.org/officeDocument/2006/relationships/hyperlink" Target="https://adsmanager.facebook.com/adsmanager/manage/campaigns/edit/standalone?act=174904221976312&amp;selected_campaign_ids=120230200770220694" TargetMode="External"/><Relationship Id="rId693" Type="http://schemas.openxmlformats.org/officeDocument/2006/relationships/hyperlink" Target="https://wa.me/6285600822636" TargetMode="External"/><Relationship Id="rId139" Type="http://schemas.openxmlformats.org/officeDocument/2006/relationships/hyperlink" Target="https://wa.me/6285779532526" TargetMode="External"/><Relationship Id="rId346" Type="http://schemas.openxmlformats.org/officeDocument/2006/relationships/hyperlink" Target="https://adsmanager.facebook.com/adsmanager/manage/campaigns/edit/standalone?act=174904221976312&amp;selected_campaign_ids=120229403125990694" TargetMode="External"/><Relationship Id="rId553" Type="http://schemas.openxmlformats.org/officeDocument/2006/relationships/hyperlink" Target="https://wa.me/6285811111804" TargetMode="External"/><Relationship Id="rId760" Type="http://schemas.openxmlformats.org/officeDocument/2006/relationships/hyperlink" Target="https://adsmanager.facebook.com/adsmanager/manage/campaigns/edit/standalone?act=174904221976312&amp;selected_campaign_ids=120232114145450694" TargetMode="External"/><Relationship Id="rId998" Type="http://schemas.openxmlformats.org/officeDocument/2006/relationships/hyperlink" Target="https://adsmanager.facebook.com/adsmanager/manage/campaigns/edit/standalone?act=766589657993298&amp;selected_campaign_ids=120226709514130235" TargetMode="External"/><Relationship Id="rId1183" Type="http://schemas.openxmlformats.org/officeDocument/2006/relationships/hyperlink" Target="https://adsmanager.facebook.com/adsmanager/manage/campaigns/edit/standalone?act=766589657993298&amp;selected_campaign_ids=120229629770720235" TargetMode="External"/><Relationship Id="rId1390" Type="http://schemas.openxmlformats.org/officeDocument/2006/relationships/hyperlink" Target="https://adsmanager.facebook.com/adsmanager/manage/campaigns/edit/standalone?act=766589657993298&amp;selected_campaign_ids=120233049130950235" TargetMode="External"/><Relationship Id="rId206" Type="http://schemas.openxmlformats.org/officeDocument/2006/relationships/hyperlink" Target="https://adsmanager.facebook.com/adsmanager/manage/campaigns/edit/standalone?act=174904221976312&amp;selected_campaign_ids=120228534838660694" TargetMode="External"/><Relationship Id="rId413" Type="http://schemas.openxmlformats.org/officeDocument/2006/relationships/hyperlink" Target="https://wa.me/6288802749485" TargetMode="External"/><Relationship Id="rId858" Type="http://schemas.openxmlformats.org/officeDocument/2006/relationships/hyperlink" Target="https://wa.me/6285240684331" TargetMode="External"/><Relationship Id="rId1043" Type="http://schemas.openxmlformats.org/officeDocument/2006/relationships/hyperlink" Target="https://adsmanager.facebook.com/adsmanager/manage/campaigns/edit/standalone?act=766589657993298&amp;selected_campaign_ids=120227529488890235" TargetMode="External"/><Relationship Id="rId620" Type="http://schemas.openxmlformats.org/officeDocument/2006/relationships/hyperlink" Target="https://wa.me/6285920572002" TargetMode="External"/><Relationship Id="rId718" Type="http://schemas.openxmlformats.org/officeDocument/2006/relationships/hyperlink" Target="https://adsmanager.facebook.com/adsmanager/manage/campaigns/edit/standalone?act=174904221976312&amp;selected_campaign_ids=120231912198630694" TargetMode="External"/><Relationship Id="rId925" Type="http://schemas.openxmlformats.org/officeDocument/2006/relationships/hyperlink" Target="https://wa.me/6285169568997" TargetMode="External"/><Relationship Id="rId1250" Type="http://schemas.openxmlformats.org/officeDocument/2006/relationships/hyperlink" Target="https://wa.me/6281326160059" TargetMode="External"/><Relationship Id="rId1348" Type="http://schemas.openxmlformats.org/officeDocument/2006/relationships/hyperlink" Target="https://wa.me/6282365004117" TargetMode="External"/><Relationship Id="rId1110" Type="http://schemas.openxmlformats.org/officeDocument/2006/relationships/hyperlink" Target="https://wa.me/6285950836788" TargetMode="External"/><Relationship Id="rId1208" Type="http://schemas.openxmlformats.org/officeDocument/2006/relationships/hyperlink" Target="https://wa.me/62895329361572" TargetMode="External"/><Relationship Id="rId54" Type="http://schemas.openxmlformats.org/officeDocument/2006/relationships/hyperlink" Target="https://adsmanager.facebook.com/adsmanager/manage/campaigns/edit/standalone?act=174904221976312&amp;selected_campaign_ids=120227059548820694" TargetMode="External"/><Relationship Id="rId270" Type="http://schemas.openxmlformats.org/officeDocument/2006/relationships/hyperlink" Target="https://wa.me/6283891332074" TargetMode="External"/><Relationship Id="rId130" Type="http://schemas.openxmlformats.org/officeDocument/2006/relationships/hyperlink" Target="https://adsmanager.facebook.com/adsmanager/manage/campaigns/edit/standalone?act=174904221976312&amp;selected_campaign_ids=120228159283580694" TargetMode="External"/><Relationship Id="rId368" Type="http://schemas.openxmlformats.org/officeDocument/2006/relationships/hyperlink" Target="https://adsmanager.facebook.com/adsmanager/manage/campaigns/edit/standalone?act=174904221976312&amp;selected_campaign_ids=120229536549420694" TargetMode="External"/><Relationship Id="rId575" Type="http://schemas.openxmlformats.org/officeDocument/2006/relationships/hyperlink" Target="https://wa.me/6285255115894" TargetMode="External"/><Relationship Id="rId782" Type="http://schemas.openxmlformats.org/officeDocument/2006/relationships/hyperlink" Target="https://adsmanager.facebook.com/adsmanager/manage/campaigns/edit/standalone?act=174904221976312&amp;selected_campaign_ids=120232327804180694" TargetMode="External"/><Relationship Id="rId228" Type="http://schemas.openxmlformats.org/officeDocument/2006/relationships/hyperlink" Target="https://adsmanager.facebook.com/adsmanager/manage/campaigns/edit/standalone?act=174904221976312&amp;selected_campaign_ids=120228663053790694" TargetMode="External"/><Relationship Id="rId435" Type="http://schemas.openxmlformats.org/officeDocument/2006/relationships/hyperlink" Target="https://wa.me/6285946504405" TargetMode="External"/><Relationship Id="rId642" Type="http://schemas.openxmlformats.org/officeDocument/2006/relationships/hyperlink" Target="https://wa.me/6281239004410" TargetMode="External"/><Relationship Id="rId1065" Type="http://schemas.openxmlformats.org/officeDocument/2006/relationships/hyperlink" Target="https://adsmanager.facebook.com/adsmanager/manage/campaigns/edit/standalone?act=766589657993298&amp;selected_campaign_ids=120227771574780235" TargetMode="External"/><Relationship Id="rId1272" Type="http://schemas.openxmlformats.org/officeDocument/2006/relationships/hyperlink" Target="https://wa.me/6285888590045" TargetMode="External"/><Relationship Id="rId502" Type="http://schemas.openxmlformats.org/officeDocument/2006/relationships/hyperlink" Target="https://adsmanager.facebook.com/adsmanager/manage/campaigns/edit/standalone?act=174904221976312&amp;selected_campaign_ids=120230432938410694" TargetMode="External"/><Relationship Id="rId947" Type="http://schemas.openxmlformats.org/officeDocument/2006/relationships/hyperlink" Target="https://adsmanager.facebook.com/adsmanager/manage/campaigns/edit/standalone?act=759724529202804&amp;selected_campaign_ids=120229794304570200" TargetMode="External"/><Relationship Id="rId1132" Type="http://schemas.openxmlformats.org/officeDocument/2006/relationships/hyperlink" Target="https://adsmanager.facebook.com/adsmanager/manage/campaigns/edit/standalone?act=766589657993298&amp;selected_campaign_ids=120229018787610235" TargetMode="External"/><Relationship Id="rId76" Type="http://schemas.openxmlformats.org/officeDocument/2006/relationships/hyperlink" Target="https://adsmanager.facebook.com/adsmanager/manage/campaigns/edit/standalone?act=174904221976312&amp;selected_campaign_ids=120227519164270694" TargetMode="External"/><Relationship Id="rId807" Type="http://schemas.openxmlformats.org/officeDocument/2006/relationships/hyperlink" Target="https://wa.me/6281318819599" TargetMode="External"/><Relationship Id="rId292" Type="http://schemas.openxmlformats.org/officeDocument/2006/relationships/hyperlink" Target="https://wa.me/6282169354443" TargetMode="External"/><Relationship Id="rId597" Type="http://schemas.openxmlformats.org/officeDocument/2006/relationships/hyperlink" Target="https://adsmanager.facebook.com/adsmanager/manage/campaigns/edit/standalone?act=174904221976312&amp;selected_campaign_ids=120231118151600694" TargetMode="External"/><Relationship Id="rId152" Type="http://schemas.openxmlformats.org/officeDocument/2006/relationships/hyperlink" Target="https://adsmanager.facebook.com/adsmanager/manage/campaigns/edit/standalone?act=174904221976312&amp;selected_campaign_ids=120228297491300694" TargetMode="External"/><Relationship Id="rId457" Type="http://schemas.openxmlformats.org/officeDocument/2006/relationships/hyperlink" Target="https://wa.me/6285241858483" TargetMode="External"/><Relationship Id="rId1087" Type="http://schemas.openxmlformats.org/officeDocument/2006/relationships/hyperlink" Target="https://adsmanager.facebook.com/adsmanager/manage/campaigns/edit/standalone?act=766589657993298&amp;selected_campaign_ids=120228082065700235" TargetMode="External"/><Relationship Id="rId1294" Type="http://schemas.openxmlformats.org/officeDocument/2006/relationships/hyperlink" Target="https://wa.me/6282184823441" TargetMode="External"/><Relationship Id="rId664" Type="http://schemas.openxmlformats.org/officeDocument/2006/relationships/hyperlink" Target="https://wa.me/6285194619788" TargetMode="External"/><Relationship Id="rId871" Type="http://schemas.openxmlformats.org/officeDocument/2006/relationships/hyperlink" Target="https://wa.me/6285737244570" TargetMode="External"/><Relationship Id="rId969" Type="http://schemas.openxmlformats.org/officeDocument/2006/relationships/hyperlink" Target="https://wa.me/6281299298585" TargetMode="External"/><Relationship Id="rId317" Type="http://schemas.openxmlformats.org/officeDocument/2006/relationships/hyperlink" Target="https://adsmanager.facebook.com/adsmanager/manage/campaigns/edit/standalone?act=174904221976312&amp;selected_campaign_ids=120229188144990694" TargetMode="External"/><Relationship Id="rId524" Type="http://schemas.openxmlformats.org/officeDocument/2006/relationships/hyperlink" Target="https://adsmanager.facebook.com/adsmanager/manage/campaigns/edit/standalone?act=174904221976312&amp;selected_campaign_ids=120230494969540694" TargetMode="External"/><Relationship Id="rId731" Type="http://schemas.openxmlformats.org/officeDocument/2006/relationships/hyperlink" Target="https://wa.me/6285600287735" TargetMode="External"/><Relationship Id="rId1154" Type="http://schemas.openxmlformats.org/officeDocument/2006/relationships/hyperlink" Target="https://adsmanager.facebook.com/adsmanager/manage/campaigns/edit/standalone?act=766589657993298&amp;selected_campaign_ids=120229221136410235" TargetMode="External"/><Relationship Id="rId1361" Type="http://schemas.openxmlformats.org/officeDocument/2006/relationships/hyperlink" Target="https://adsmanager.facebook.com/adsmanager/manage/campaigns/edit/standalone?act=766589657993298&amp;selected_campaign_ids=120232606675200235" TargetMode="External"/><Relationship Id="rId98" Type="http://schemas.openxmlformats.org/officeDocument/2006/relationships/hyperlink" Target="https://adsmanager.facebook.com/adsmanager/manage/campaigns/edit/standalone?act=174904221976312&amp;selected_campaign_ids=120227891949720694" TargetMode="External"/><Relationship Id="rId829" Type="http://schemas.openxmlformats.org/officeDocument/2006/relationships/hyperlink" Target="https://wa.me/6281390669379" TargetMode="External"/><Relationship Id="rId1014" Type="http://schemas.openxmlformats.org/officeDocument/2006/relationships/hyperlink" Target="https://adsmanager.facebook.com/adsmanager/manage/campaigns/edit/standalone?act=766589657993298&amp;selected_campaign_ids=120227162549440235" TargetMode="External"/><Relationship Id="rId1221" Type="http://schemas.openxmlformats.org/officeDocument/2006/relationships/hyperlink" Target="https://adsmanager.facebook.com/adsmanager/manage/campaigns/edit/standalone?act=766589657993298&amp;selected_campaign_ids=120230026398020235" TargetMode="External"/><Relationship Id="rId1319" Type="http://schemas.openxmlformats.org/officeDocument/2006/relationships/hyperlink" Target="https://adsmanager.facebook.com/adsmanager/manage/campaigns/edit/standalone?act=766589657993298&amp;selected_campaign_ids=120231543097380235" TargetMode="External"/><Relationship Id="rId25" Type="http://schemas.openxmlformats.org/officeDocument/2006/relationships/hyperlink" Target="https://wa.me/6281348555887" TargetMode="External"/><Relationship Id="rId174" Type="http://schemas.openxmlformats.org/officeDocument/2006/relationships/hyperlink" Target="https://adsmanager.facebook.com/adsmanager/manage/campaigns/edit/standalone?act=174904221976312&amp;selected_campaign_ids=120228398605530694" TargetMode="External"/><Relationship Id="rId381" Type="http://schemas.openxmlformats.org/officeDocument/2006/relationships/hyperlink" Target="https://wa.me/6282154233977" TargetMode="External"/><Relationship Id="rId241" Type="http://schemas.openxmlformats.org/officeDocument/2006/relationships/hyperlink" Target="https://adsmanager.facebook.com/adsmanager/manage/campaigns/edit/standalone?act=174904221976312&amp;selected_campaign_ids=120228691389180694" TargetMode="External"/><Relationship Id="rId479" Type="http://schemas.openxmlformats.org/officeDocument/2006/relationships/hyperlink" Target="https://wa.me/6281915041833" TargetMode="External"/><Relationship Id="rId686" Type="http://schemas.openxmlformats.org/officeDocument/2006/relationships/hyperlink" Target="https://adsmanager.facebook.com/adsmanager/manage/campaigns/edit/standalone?act=174904221976312&amp;selected_campaign_ids=120231574977920694" TargetMode="External"/><Relationship Id="rId893" Type="http://schemas.openxmlformats.org/officeDocument/2006/relationships/hyperlink" Target="https://wa.me/6281253792753" TargetMode="External"/><Relationship Id="rId339" Type="http://schemas.openxmlformats.org/officeDocument/2006/relationships/hyperlink" Target="https://wa.me/6287826386983" TargetMode="External"/><Relationship Id="rId546" Type="http://schemas.openxmlformats.org/officeDocument/2006/relationships/hyperlink" Target="https://adsmanager.facebook.com/adsmanager/manage/campaigns/edit/standalone?act=174904221976312&amp;selected_campaign_ids=120230643397020694" TargetMode="External"/><Relationship Id="rId753" Type="http://schemas.openxmlformats.org/officeDocument/2006/relationships/hyperlink" Target="https://wa.me/62895374644456" TargetMode="External"/><Relationship Id="rId1176" Type="http://schemas.openxmlformats.org/officeDocument/2006/relationships/hyperlink" Target="https://wa.me/6288274090631" TargetMode="External"/><Relationship Id="rId1383" Type="http://schemas.openxmlformats.org/officeDocument/2006/relationships/hyperlink" Target="https://wa.me/62895420142524" TargetMode="External"/><Relationship Id="rId101" Type="http://schemas.openxmlformats.org/officeDocument/2006/relationships/hyperlink" Target="https://wa.me/6282247030008" TargetMode="External"/><Relationship Id="rId406" Type="http://schemas.openxmlformats.org/officeDocument/2006/relationships/hyperlink" Target="https://adsmanager.facebook.com/adsmanager/manage/campaigns/edit/standalone?act=174904221976312&amp;selected_campaign_ids=120229867334710694" TargetMode="External"/><Relationship Id="rId960" Type="http://schemas.openxmlformats.org/officeDocument/2006/relationships/hyperlink" Target="https://adsmanager.facebook.com/adsmanager/manage/campaigns/edit/standalone?act=759724529202804&amp;selected_campaign_ids=120230422523240200" TargetMode="External"/><Relationship Id="rId1036" Type="http://schemas.openxmlformats.org/officeDocument/2006/relationships/hyperlink" Target="https://adsmanager.facebook.com/adsmanager/manage/campaigns/edit/standalone?act=766589657993298&amp;selected_campaign_ids=120227332233440235" TargetMode="External"/><Relationship Id="rId1243" Type="http://schemas.openxmlformats.org/officeDocument/2006/relationships/hyperlink" Target="https://adsmanager.facebook.com/adsmanager/manage/campaigns/edit/standalone?act=766589657993298&amp;selected_campaign_ids=120230463035880235" TargetMode="External"/><Relationship Id="rId613" Type="http://schemas.openxmlformats.org/officeDocument/2006/relationships/hyperlink" Target="https://adsmanager.facebook.com/adsmanager/manage/campaigns/edit/standalone?act=174904221976312&amp;selected_campaign_ids=120231245397520694" TargetMode="External"/><Relationship Id="rId820" Type="http://schemas.openxmlformats.org/officeDocument/2006/relationships/hyperlink" Target="https://adsmanager.facebook.com/adsmanager/manage/campaigns/edit/standalone?act=174904221976312&amp;selected_campaign_ids=120232675271840694" TargetMode="External"/><Relationship Id="rId918" Type="http://schemas.openxmlformats.org/officeDocument/2006/relationships/hyperlink" Target="https://adsmanager.facebook.com/adsmanager/manage/campaigns/edit/standalone?act=759724529202804&amp;selected_campaign_ids=120229316074150200" TargetMode="External"/><Relationship Id="rId1103" Type="http://schemas.openxmlformats.org/officeDocument/2006/relationships/hyperlink" Target="https://adsmanager.facebook.com/adsmanager/manage/campaigns/edit/standalone?act=766589657993298&amp;selected_campaign_ids=120228409156980235" TargetMode="External"/><Relationship Id="rId1310" Type="http://schemas.openxmlformats.org/officeDocument/2006/relationships/hyperlink" Target="https://wa.me/6281342202869" TargetMode="External"/><Relationship Id="rId47" Type="http://schemas.openxmlformats.org/officeDocument/2006/relationships/hyperlink" Target="https://wa.me/6282129040031" TargetMode="External"/><Relationship Id="rId196" Type="http://schemas.openxmlformats.org/officeDocument/2006/relationships/hyperlink" Target="https://adsmanager.facebook.com/adsmanager/manage/campaigns/edit/standalone?act=174904221976312&amp;selected_campaign_ids=120228482134960694" TargetMode="External"/><Relationship Id="rId263" Type="http://schemas.openxmlformats.org/officeDocument/2006/relationships/hyperlink" Target="https://adsmanager.facebook.com/adsmanager/manage/campaigns/edit/standalone?act=174904221976312&amp;selected_campaign_ids=120228878890380694" TargetMode="External"/><Relationship Id="rId470" Type="http://schemas.openxmlformats.org/officeDocument/2006/relationships/hyperlink" Target="https://adsmanager.facebook.com/adsmanager/manage/campaigns/edit/standalone?act=174904221976312&amp;selected_campaign_ids=120230105512900694" TargetMode="External"/><Relationship Id="rId123" Type="http://schemas.openxmlformats.org/officeDocument/2006/relationships/hyperlink" Target="https://wa.me/6282192773278" TargetMode="External"/><Relationship Id="rId330" Type="http://schemas.openxmlformats.org/officeDocument/2006/relationships/hyperlink" Target="https://wa.me/6281327457634" TargetMode="External"/><Relationship Id="rId568" Type="http://schemas.openxmlformats.org/officeDocument/2006/relationships/hyperlink" Target="https://adsmanager.facebook.com/adsmanager/manage/campaigns/edit/standalone?act=174904221976312&amp;selected_campaign_ids=120230877077130694" TargetMode="External"/><Relationship Id="rId775" Type="http://schemas.openxmlformats.org/officeDocument/2006/relationships/hyperlink" Target="https://wa.me/6285750574301" TargetMode="External"/><Relationship Id="rId982" Type="http://schemas.openxmlformats.org/officeDocument/2006/relationships/hyperlink" Target="https://wa.me/6281347321820" TargetMode="External"/><Relationship Id="rId1198" Type="http://schemas.openxmlformats.org/officeDocument/2006/relationships/hyperlink" Target="https://wa.me/628116655901" TargetMode="External"/><Relationship Id="rId428" Type="http://schemas.openxmlformats.org/officeDocument/2006/relationships/hyperlink" Target="https://adsmanager.facebook.com/adsmanager/manage/campaigns/edit/standalone?act=174904221976312&amp;selected_campaign_ids=120229983590020694" TargetMode="External"/><Relationship Id="rId635" Type="http://schemas.openxmlformats.org/officeDocument/2006/relationships/hyperlink" Target="https://adsmanager.facebook.com/adsmanager/manage/campaigns/edit/standalone?act=174904221976312&amp;selected_campaign_ids=120231370751180694" TargetMode="External"/><Relationship Id="rId842" Type="http://schemas.openxmlformats.org/officeDocument/2006/relationships/hyperlink" Target="https://adsmanager.facebook.com/adsmanager/manage/campaigns/edit/standalone?act=206726568613432&amp;selected_campaign_ids=120227805827950554" TargetMode="External"/><Relationship Id="rId1058" Type="http://schemas.openxmlformats.org/officeDocument/2006/relationships/hyperlink" Target="https://wa.me/6282141603091" TargetMode="External"/><Relationship Id="rId1265" Type="http://schemas.openxmlformats.org/officeDocument/2006/relationships/hyperlink" Target="https://adsmanager.facebook.com/adsmanager/manage/campaigns/edit/standalone?act=766589657993298&amp;selected_campaign_ids=120230838244790235" TargetMode="External"/><Relationship Id="rId702" Type="http://schemas.openxmlformats.org/officeDocument/2006/relationships/hyperlink" Target="https://adsmanager.facebook.com/adsmanager/manage/campaigns/edit/standalone?act=174904221976312&amp;selected_campaign_ids=120231844321490694" TargetMode="External"/><Relationship Id="rId1125" Type="http://schemas.openxmlformats.org/officeDocument/2006/relationships/hyperlink" Target="https://adsmanager.facebook.com/adsmanager/manage/campaigns/edit/standalone?act=766589657993298&amp;selected_campaign_ids=120228956634140235" TargetMode="External"/><Relationship Id="rId1332" Type="http://schemas.openxmlformats.org/officeDocument/2006/relationships/hyperlink" Target="https://wa.me/6281380503300" TargetMode="External"/><Relationship Id="rId69" Type="http://schemas.openxmlformats.org/officeDocument/2006/relationships/hyperlink" Target="https://wa.me/6281299907533" TargetMode="External"/><Relationship Id="rId285" Type="http://schemas.openxmlformats.org/officeDocument/2006/relationships/hyperlink" Target="https://adsmanager.facebook.com/adsmanager/manage/campaigns/edit/standalone?act=174904221976312&amp;selected_campaign_ids=120229015330400694" TargetMode="External"/><Relationship Id="rId492" Type="http://schemas.openxmlformats.org/officeDocument/2006/relationships/hyperlink" Target="https://adsmanager.facebook.com/adsmanager/manage/campaigns/edit/standalone?act=174904221976312&amp;selected_campaign_ids=120230247893620694" TargetMode="External"/><Relationship Id="rId797" Type="http://schemas.openxmlformats.org/officeDocument/2006/relationships/hyperlink" Target="https://wa.me/6281990022760" TargetMode="External"/><Relationship Id="rId145" Type="http://schemas.openxmlformats.org/officeDocument/2006/relationships/hyperlink" Target="https://wa.me/6283162052952" TargetMode="External"/><Relationship Id="rId352" Type="http://schemas.openxmlformats.org/officeDocument/2006/relationships/hyperlink" Target="https://adsmanager.facebook.com/adsmanager/manage/campaigns/edit/standalone?act=174904221976312&amp;selected_campaign_ids=120229404588410694" TargetMode="External"/><Relationship Id="rId1287" Type="http://schemas.openxmlformats.org/officeDocument/2006/relationships/hyperlink" Target="https://adsmanager.facebook.com/adsmanager/manage/campaigns/edit/standalone?act=766589657993298&amp;selected_campaign_ids=120231313504010235" TargetMode="External"/><Relationship Id="rId212" Type="http://schemas.openxmlformats.org/officeDocument/2006/relationships/hyperlink" Target="https://adsmanager.facebook.com/adsmanager/manage/campaigns/edit/standalone?act=174904221976312&amp;selected_campaign_ids=120228564831170694" TargetMode="External"/><Relationship Id="rId657" Type="http://schemas.openxmlformats.org/officeDocument/2006/relationships/hyperlink" Target="https://adsmanager.facebook.com/adsmanager/manage/campaigns/edit/standalone?act=174904221976312&amp;selected_campaign_ids=120231473309640694" TargetMode="External"/><Relationship Id="rId864" Type="http://schemas.openxmlformats.org/officeDocument/2006/relationships/hyperlink" Target="https://adsmanager.facebook.com/adsmanager/manage/campaigns/edit/standalone?act=759724529202804&amp;selected_campaign_ids=120227429269270200" TargetMode="External"/><Relationship Id="rId517" Type="http://schemas.openxmlformats.org/officeDocument/2006/relationships/hyperlink" Target="https://wa.me/6282241382009" TargetMode="External"/><Relationship Id="rId724" Type="http://schemas.openxmlformats.org/officeDocument/2006/relationships/hyperlink" Target="https://adsmanager.facebook.com/adsmanager/manage/campaigns/edit/standalone?act=174904221976312&amp;selected_campaign_ids=120231913299820694" TargetMode="External"/><Relationship Id="rId931" Type="http://schemas.openxmlformats.org/officeDocument/2006/relationships/hyperlink" Target="https://wa.me/6285220903499" TargetMode="External"/><Relationship Id="rId1147" Type="http://schemas.openxmlformats.org/officeDocument/2006/relationships/hyperlink" Target="https://adsmanager.facebook.com/adsmanager/manage/campaigns/edit/standalone?act=766589657993298&amp;selected_campaign_ids=120229146041110235" TargetMode="External"/><Relationship Id="rId1354" Type="http://schemas.openxmlformats.org/officeDocument/2006/relationships/hyperlink" Target="https://wa.me/6289508681093" TargetMode="External"/><Relationship Id="rId60" Type="http://schemas.openxmlformats.org/officeDocument/2006/relationships/hyperlink" Target="https://adsmanager.facebook.com/adsmanager/manage/campaigns/edit/standalone?act=174904221976312&amp;selected_campaign_ids=120227123792540694" TargetMode="External"/><Relationship Id="rId1007" Type="http://schemas.openxmlformats.org/officeDocument/2006/relationships/hyperlink" Target="https://wa.me/6282211675028" TargetMode="External"/><Relationship Id="rId1214" Type="http://schemas.openxmlformats.org/officeDocument/2006/relationships/hyperlink" Target="https://wa.me/6285955053385" TargetMode="External"/><Relationship Id="rId18" Type="http://schemas.openxmlformats.org/officeDocument/2006/relationships/hyperlink" Target="https://adsmanager.facebook.com/adsmanager/manage/campaigns/edit/standalone?act=174904221976312&amp;selected_campaign_ids=120225366947220694" TargetMode="External"/><Relationship Id="rId167" Type="http://schemas.openxmlformats.org/officeDocument/2006/relationships/hyperlink" Target="https://wa.me/6281337504727" TargetMode="External"/><Relationship Id="rId374" Type="http://schemas.openxmlformats.org/officeDocument/2006/relationships/hyperlink" Target="https://adsmanager.facebook.com/adsmanager/manage/campaigns/edit/standalone?act=174904221976312&amp;selected_campaign_ids=120229631437820694" TargetMode="External"/><Relationship Id="rId581" Type="http://schemas.openxmlformats.org/officeDocument/2006/relationships/hyperlink" Target="https://wa.me/6282154318629" TargetMode="External"/><Relationship Id="rId234" Type="http://schemas.openxmlformats.org/officeDocument/2006/relationships/hyperlink" Target="https://adsmanager.facebook.com/adsmanager/manage/campaigns/edit/standalone?act=174904221976312&amp;selected_campaign_ids=120228686186680694" TargetMode="External"/><Relationship Id="rId679" Type="http://schemas.openxmlformats.org/officeDocument/2006/relationships/hyperlink" Target="https://adsmanager.facebook.com/adsmanager/manage/campaigns/edit/standalone?act=174904221976312&amp;selected_campaign_ids=120231550435920694" TargetMode="External"/><Relationship Id="rId886" Type="http://schemas.openxmlformats.org/officeDocument/2006/relationships/hyperlink" Target="https://adsmanager.facebook.com/adsmanager/manage/campaigns/edit/standalone?act=759724529202804&amp;selected_campaign_ids=120228727080240200" TargetMode="External"/><Relationship Id="rId2" Type="http://schemas.openxmlformats.org/officeDocument/2006/relationships/hyperlink" Target="https://wa.me/628115424402" TargetMode="External"/><Relationship Id="rId441" Type="http://schemas.openxmlformats.org/officeDocument/2006/relationships/hyperlink" Target="https://wa.me/6283865096870" TargetMode="External"/><Relationship Id="rId539" Type="http://schemas.openxmlformats.org/officeDocument/2006/relationships/hyperlink" Target="https://wa.me/6281339823715" TargetMode="External"/><Relationship Id="rId746" Type="http://schemas.openxmlformats.org/officeDocument/2006/relationships/hyperlink" Target="https://adsmanager.facebook.com/adsmanager/manage/campaigns/edit/standalone?act=174904221976312&amp;selected_campaign_ids=120232058332040694" TargetMode="External"/><Relationship Id="rId1071" Type="http://schemas.openxmlformats.org/officeDocument/2006/relationships/hyperlink" Target="https://adsmanager.facebook.com/adsmanager/manage/campaigns/edit/standalone?act=766589657993298&amp;selected_campaign_ids=120227853904900235" TargetMode="External"/><Relationship Id="rId1169" Type="http://schemas.openxmlformats.org/officeDocument/2006/relationships/hyperlink" Target="https://adsmanager.facebook.com/adsmanager/manage/campaigns/edit/standalone?act=766589657993298&amp;selected_campaign_ids=120229482872540235" TargetMode="External"/><Relationship Id="rId1376" Type="http://schemas.openxmlformats.org/officeDocument/2006/relationships/hyperlink" Target="https://adsmanager.facebook.com/adsmanager/manage/campaigns/edit/standalone?act=766589657993298&amp;selected_campaign_ids=120232953213670235" TargetMode="External"/><Relationship Id="rId301" Type="http://schemas.openxmlformats.org/officeDocument/2006/relationships/hyperlink" Target="https://adsmanager.facebook.com/adsmanager/manage/campaigns/edit/standalone?act=174904221976312&amp;selected_campaign_ids=120229068427860694" TargetMode="External"/><Relationship Id="rId953" Type="http://schemas.openxmlformats.org/officeDocument/2006/relationships/hyperlink" Target="https://wa.me/62811339289839" TargetMode="External"/><Relationship Id="rId1029" Type="http://schemas.openxmlformats.org/officeDocument/2006/relationships/hyperlink" Target="https://wa.me/6283185169816" TargetMode="External"/><Relationship Id="rId1236" Type="http://schemas.openxmlformats.org/officeDocument/2006/relationships/hyperlink" Target="https://wa.me/6285893658659" TargetMode="External"/><Relationship Id="rId82" Type="http://schemas.openxmlformats.org/officeDocument/2006/relationships/hyperlink" Target="https://adsmanager.facebook.com/adsmanager/manage/campaigns/edit/standalone?act=174904221976312&amp;selected_campaign_ids=120227588298590694" TargetMode="External"/><Relationship Id="rId606" Type="http://schemas.openxmlformats.org/officeDocument/2006/relationships/hyperlink" Target="https://wa.me/6281315163838" TargetMode="External"/><Relationship Id="rId813" Type="http://schemas.openxmlformats.org/officeDocument/2006/relationships/hyperlink" Target="https://wa.me/6285233857272" TargetMode="External"/><Relationship Id="rId1303" Type="http://schemas.openxmlformats.org/officeDocument/2006/relationships/hyperlink" Target="https://adsmanager.facebook.com/adsmanager/manage/campaigns/edit/standalone?act=766589657993298&amp;selected_campaign_ids=120231467644280235" TargetMode="External"/><Relationship Id="rId189" Type="http://schemas.openxmlformats.org/officeDocument/2006/relationships/hyperlink" Target="https://wa.me/6287715704997" TargetMode="External"/><Relationship Id="rId396" Type="http://schemas.openxmlformats.org/officeDocument/2006/relationships/hyperlink" Target="https://adsmanager.facebook.com/adsmanager/manage/campaigns/edit/standalone?act=174904221976312&amp;selected_campaign_ids=120229739691850694" TargetMode="External"/><Relationship Id="rId256" Type="http://schemas.openxmlformats.org/officeDocument/2006/relationships/hyperlink" Target="https://wa.me/628563562851" TargetMode="External"/><Relationship Id="rId463" Type="http://schemas.openxmlformats.org/officeDocument/2006/relationships/hyperlink" Target="https://wa.me/6281363504410" TargetMode="External"/><Relationship Id="rId670" Type="http://schemas.openxmlformats.org/officeDocument/2006/relationships/hyperlink" Target="https://wa.me/6285864550854" TargetMode="External"/><Relationship Id="rId1093" Type="http://schemas.openxmlformats.org/officeDocument/2006/relationships/hyperlink" Target="https://adsmanager.facebook.com/adsmanager/manage/campaigns/edit/standalone?act=766589657993298&amp;selected_campaign_ids=120228286701160235" TargetMode="External"/><Relationship Id="rId116" Type="http://schemas.openxmlformats.org/officeDocument/2006/relationships/hyperlink" Target="https://adsmanager.facebook.com/adsmanager/manage/campaigns/edit/standalone?act=174904221976312&amp;selected_campaign_ids=120228138360020694" TargetMode="External"/><Relationship Id="rId323" Type="http://schemas.openxmlformats.org/officeDocument/2006/relationships/hyperlink" Target="https://adsmanager.facebook.com/adsmanager/manage/campaigns/edit/standalone?act=174904221976312&amp;selected_campaign_ids=120229188907560694" TargetMode="External"/><Relationship Id="rId530" Type="http://schemas.openxmlformats.org/officeDocument/2006/relationships/hyperlink" Target="https://adsmanager.facebook.com/adsmanager/manage/campaigns/edit/standalone?act=174904221976312&amp;selected_campaign_ids=120230526254600694" TargetMode="External"/><Relationship Id="rId768" Type="http://schemas.openxmlformats.org/officeDocument/2006/relationships/hyperlink" Target="https://adsmanager.facebook.com/adsmanager/manage/campaigns/edit/standalone?act=174904221976312&amp;selected_campaign_ids=120232159611040694" TargetMode="External"/><Relationship Id="rId975" Type="http://schemas.openxmlformats.org/officeDocument/2006/relationships/hyperlink" Target="https://wa.me/6287833789401" TargetMode="External"/><Relationship Id="rId1160" Type="http://schemas.openxmlformats.org/officeDocument/2006/relationships/hyperlink" Target="https://adsmanager.facebook.com/adsmanager/manage/campaigns/edit/standalone?act=766589657993298&amp;selected_campaign_ids=120229313795910235" TargetMode="External"/><Relationship Id="rId1398" Type="http://schemas.openxmlformats.org/officeDocument/2006/relationships/hyperlink" Target="https://adsmanager.facebook.com/adsmanager/manage/campaigns/edit/standalone?act=766589657993298&amp;selected_campaign_ids=120233179681010235" TargetMode="External"/><Relationship Id="rId628" Type="http://schemas.openxmlformats.org/officeDocument/2006/relationships/hyperlink" Target="https://wa.me/6281231382365" TargetMode="External"/><Relationship Id="rId835" Type="http://schemas.openxmlformats.org/officeDocument/2006/relationships/hyperlink" Target="https://wa.me/628179231111" TargetMode="External"/><Relationship Id="rId1258" Type="http://schemas.openxmlformats.org/officeDocument/2006/relationships/hyperlink" Target="https://wa.me/6282322308711" TargetMode="External"/><Relationship Id="rId1020" Type="http://schemas.openxmlformats.org/officeDocument/2006/relationships/hyperlink" Target="https://adsmanager.facebook.com/adsmanager/manage/campaigns/edit/standalone?act=766589657993298&amp;selected_campaign_ids=120227228355510235" TargetMode="External"/><Relationship Id="rId1118" Type="http://schemas.openxmlformats.org/officeDocument/2006/relationships/hyperlink" Target="https://wa.me/62818763108" TargetMode="External"/><Relationship Id="rId1325" Type="http://schemas.openxmlformats.org/officeDocument/2006/relationships/hyperlink" Target="https://adsmanager.facebook.com/adsmanager/manage/campaigns/edit/standalone?act=766589657993298&amp;selected_campaign_ids=120231651390020235" TargetMode="External"/><Relationship Id="rId902" Type="http://schemas.openxmlformats.org/officeDocument/2006/relationships/hyperlink" Target="https://adsmanager.facebook.com/adsmanager/manage/campaigns/edit/standalone?act=759724529202804&amp;selected_campaign_ids=120229124392540200" TargetMode="External"/><Relationship Id="rId31" Type="http://schemas.openxmlformats.org/officeDocument/2006/relationships/hyperlink" Target="https://wa.me/6285211510282" TargetMode="External"/><Relationship Id="rId180" Type="http://schemas.openxmlformats.org/officeDocument/2006/relationships/hyperlink" Target="https://adsmanager.facebook.com/adsmanager/manage/campaigns/edit/standalone?act=174904221976312&amp;selected_campaign_ids=120228420024580694" TargetMode="External"/><Relationship Id="rId278" Type="http://schemas.openxmlformats.org/officeDocument/2006/relationships/hyperlink" Target="https://wa.me/6281999375257" TargetMode="External"/><Relationship Id="rId485" Type="http://schemas.openxmlformats.org/officeDocument/2006/relationships/hyperlink" Target="https://wa.me/628170204528" TargetMode="External"/><Relationship Id="rId692" Type="http://schemas.openxmlformats.org/officeDocument/2006/relationships/hyperlink" Target="https://adsmanager.facebook.com/adsmanager/manage/campaigns/edit/standalone?act=174904221976312&amp;selected_campaign_ids=120231626031550694" TargetMode="External"/><Relationship Id="rId138" Type="http://schemas.openxmlformats.org/officeDocument/2006/relationships/hyperlink" Target="https://adsmanager.facebook.com/adsmanager/manage/campaigns/edit/standalone?act=174904221976312&amp;selected_campaign_ids=120228232279080694" TargetMode="External"/><Relationship Id="rId345" Type="http://schemas.openxmlformats.org/officeDocument/2006/relationships/hyperlink" Target="https://wa.me/6282123587173" TargetMode="External"/><Relationship Id="rId552" Type="http://schemas.openxmlformats.org/officeDocument/2006/relationships/hyperlink" Target="https://adsmanager.facebook.com/adsmanager/manage/campaigns/edit/standalone?act=174904221976312&amp;selected_campaign_ids=120230722106900694" TargetMode="External"/><Relationship Id="rId997" Type="http://schemas.openxmlformats.org/officeDocument/2006/relationships/hyperlink" Target="https://wa.me/6287845701116" TargetMode="External"/><Relationship Id="rId1182" Type="http://schemas.openxmlformats.org/officeDocument/2006/relationships/hyperlink" Target="https://wa.me/6285716210341" TargetMode="External"/><Relationship Id="rId205" Type="http://schemas.openxmlformats.org/officeDocument/2006/relationships/hyperlink" Target="https://wa.me/6285624268413" TargetMode="External"/><Relationship Id="rId412" Type="http://schemas.openxmlformats.org/officeDocument/2006/relationships/hyperlink" Target="https://adsmanager.facebook.com/adsmanager/manage/campaigns/edit/standalone?act=174904221976312&amp;selected_campaign_ids=120229944823140694" TargetMode="External"/><Relationship Id="rId857" Type="http://schemas.openxmlformats.org/officeDocument/2006/relationships/hyperlink" Target="https://adsmanager.facebook.com/adsmanager/manage/campaigns/edit/standalone?act=759724529202804&amp;selected_campaign_ids=120227397964810200" TargetMode="External"/><Relationship Id="rId1042" Type="http://schemas.openxmlformats.org/officeDocument/2006/relationships/hyperlink" Target="https://wa.me/6282162580404" TargetMode="External"/><Relationship Id="rId717" Type="http://schemas.openxmlformats.org/officeDocument/2006/relationships/hyperlink" Target="https://wa.me/6285921481643" TargetMode="External"/><Relationship Id="rId924" Type="http://schemas.openxmlformats.org/officeDocument/2006/relationships/hyperlink" Target="https://adsmanager.facebook.com/adsmanager/manage/campaigns/edit/standalone?act=759724529202804&amp;selected_campaign_ids=120229472269830200" TargetMode="External"/><Relationship Id="rId1347" Type="http://schemas.openxmlformats.org/officeDocument/2006/relationships/hyperlink" Target="https://adsmanager.facebook.com/adsmanager/manage/campaigns/edit/standalone?act=766589657993298&amp;selected_campaign_ids=120232105906320235" TargetMode="External"/><Relationship Id="rId53" Type="http://schemas.openxmlformats.org/officeDocument/2006/relationships/hyperlink" Target="https://wa.me/6282258886603" TargetMode="External"/><Relationship Id="rId1207" Type="http://schemas.openxmlformats.org/officeDocument/2006/relationships/hyperlink" Target="https://adsmanager.facebook.com/adsmanager/manage/campaigns/edit/standalone?act=766589657993298&amp;selected_campaign_ids=120229763209960235" TargetMode="External"/><Relationship Id="rId367" Type="http://schemas.openxmlformats.org/officeDocument/2006/relationships/hyperlink" Target="https://wa.me/6285207285812" TargetMode="External"/><Relationship Id="rId574" Type="http://schemas.openxmlformats.org/officeDocument/2006/relationships/hyperlink" Target="https://adsmanager.facebook.com/adsmanager/manage/campaigns/edit/standalone?act=174904221976312&amp;selected_campaign_ids=120230880083390694" TargetMode="External"/><Relationship Id="rId227" Type="http://schemas.openxmlformats.org/officeDocument/2006/relationships/hyperlink" Target="https://wa.me/6281229745253" TargetMode="External"/><Relationship Id="rId781" Type="http://schemas.openxmlformats.org/officeDocument/2006/relationships/hyperlink" Target="https://wa.me/6285245301996" TargetMode="External"/><Relationship Id="rId879" Type="http://schemas.openxmlformats.org/officeDocument/2006/relationships/hyperlink" Target="https://wa.me/6288215545661" TargetMode="External"/><Relationship Id="rId434" Type="http://schemas.openxmlformats.org/officeDocument/2006/relationships/hyperlink" Target="https://adsmanager.facebook.com/adsmanager/manage/campaigns/edit/standalone?act=174904221976312&amp;selected_campaign_ids=120230030663890694" TargetMode="External"/><Relationship Id="rId641" Type="http://schemas.openxmlformats.org/officeDocument/2006/relationships/hyperlink" Target="https://adsmanager.facebook.com/adsmanager/manage/campaigns/edit/standalone?act=174904221976312&amp;selected_campaign_ids=120231435421690694" TargetMode="External"/><Relationship Id="rId739" Type="http://schemas.openxmlformats.org/officeDocument/2006/relationships/hyperlink" Target="https://wa.me/62881022356673" TargetMode="External"/><Relationship Id="rId1064" Type="http://schemas.openxmlformats.org/officeDocument/2006/relationships/hyperlink" Target="https://wa.me/6287877805175" TargetMode="External"/><Relationship Id="rId1271" Type="http://schemas.openxmlformats.org/officeDocument/2006/relationships/hyperlink" Target="https://adsmanager.facebook.com/adsmanager/manage/campaigns/edit/standalone?act=766589657993298&amp;selected_campaign_ids=120231117671640235" TargetMode="External"/><Relationship Id="rId1369" Type="http://schemas.openxmlformats.org/officeDocument/2006/relationships/hyperlink" Target="https://wa.me/6281239874761" TargetMode="External"/><Relationship Id="rId501" Type="http://schemas.openxmlformats.org/officeDocument/2006/relationships/hyperlink" Target="https://wa.me/6285748377961" TargetMode="External"/><Relationship Id="rId946" Type="http://schemas.openxmlformats.org/officeDocument/2006/relationships/hyperlink" Target="https://adsmanager.facebook.com/adsmanager/manage/campaigns/edit/standalone?act=759724529202804&amp;selected_campaign_ids=120229789530480200" TargetMode="External"/><Relationship Id="rId1131" Type="http://schemas.openxmlformats.org/officeDocument/2006/relationships/hyperlink" Target="https://wa.me/6282184019830" TargetMode="External"/><Relationship Id="rId1229" Type="http://schemas.openxmlformats.org/officeDocument/2006/relationships/hyperlink" Target="https://adsmanager.facebook.com/adsmanager/manage/campaigns/edit/standalone?act=766589657993298&amp;selected_campaign_ids=120230250559660235" TargetMode="External"/><Relationship Id="rId75" Type="http://schemas.openxmlformats.org/officeDocument/2006/relationships/hyperlink" Target="https://wa.me/6282325874670" TargetMode="External"/><Relationship Id="rId806" Type="http://schemas.openxmlformats.org/officeDocument/2006/relationships/hyperlink" Target="https://adsmanager.facebook.com/adsmanager/manage/campaigns/edit/standalone?act=174904221976312&amp;selected_campaign_ids=120232551859150694" TargetMode="External"/><Relationship Id="rId291" Type="http://schemas.openxmlformats.org/officeDocument/2006/relationships/hyperlink" Target="https://adsmanager.facebook.com/adsmanager/manage/campaigns/edit/standalone?act=174904221976312&amp;selected_campaign_ids=120229016020190694" TargetMode="External"/><Relationship Id="rId151" Type="http://schemas.openxmlformats.org/officeDocument/2006/relationships/hyperlink" Target="https://wa.me/6285338137835" TargetMode="External"/><Relationship Id="rId389" Type="http://schemas.openxmlformats.org/officeDocument/2006/relationships/hyperlink" Target="https://wa.me/628123264621" TargetMode="External"/><Relationship Id="rId596" Type="http://schemas.openxmlformats.org/officeDocument/2006/relationships/hyperlink" Target="https://wa.me/6285710239729" TargetMode="External"/><Relationship Id="rId249" Type="http://schemas.openxmlformats.org/officeDocument/2006/relationships/hyperlink" Target="https://adsmanager.facebook.com/adsmanager/manage/campaigns/edit/standalone?act=174904221976312&amp;selected_campaign_ids=120228849808840694" TargetMode="External"/><Relationship Id="rId456" Type="http://schemas.openxmlformats.org/officeDocument/2006/relationships/hyperlink" Target="https://adsmanager.facebook.com/adsmanager/manage/campaigns/edit/standalone?act=174904221976312&amp;selected_campaign_ids=120230102442580694" TargetMode="External"/><Relationship Id="rId663" Type="http://schemas.openxmlformats.org/officeDocument/2006/relationships/hyperlink" Target="https://adsmanager.facebook.com/adsmanager/manage/campaigns/edit/standalone?act=174904221976312&amp;selected_campaign_ids=120231478133960694" TargetMode="External"/><Relationship Id="rId870" Type="http://schemas.openxmlformats.org/officeDocument/2006/relationships/hyperlink" Target="https://adsmanager.facebook.com/adsmanager/manage/campaigns/edit/standalone?act=759724529202804&amp;selected_campaign_ids=120227459128820200" TargetMode="External"/><Relationship Id="rId1086" Type="http://schemas.openxmlformats.org/officeDocument/2006/relationships/hyperlink" Target="https://wa.me/6281383434602" TargetMode="External"/><Relationship Id="rId1293" Type="http://schemas.openxmlformats.org/officeDocument/2006/relationships/hyperlink" Target="https://adsmanager.facebook.com/adsmanager/manage/campaigns/edit/standalone?act=766589657993298&amp;selected_campaign_ids=120231375499440235" TargetMode="External"/><Relationship Id="rId109" Type="http://schemas.openxmlformats.org/officeDocument/2006/relationships/hyperlink" Target="https://wa.me/6281934879222" TargetMode="External"/><Relationship Id="rId316" Type="http://schemas.openxmlformats.org/officeDocument/2006/relationships/hyperlink" Target="https://wa.me/6285397990632" TargetMode="External"/><Relationship Id="rId523" Type="http://schemas.openxmlformats.org/officeDocument/2006/relationships/hyperlink" Target="https://wa.me/6287701349406" TargetMode="External"/><Relationship Id="rId968" Type="http://schemas.openxmlformats.org/officeDocument/2006/relationships/hyperlink" Target="https://adsmanager.facebook.com/adsmanager/manage/campaigns/edit/standalone?act=759724529202804&amp;selected_campaign_ids=120230570117160200" TargetMode="External"/><Relationship Id="rId1153" Type="http://schemas.openxmlformats.org/officeDocument/2006/relationships/hyperlink" Target="https://wa.me/6281310204991" TargetMode="External"/><Relationship Id="rId97" Type="http://schemas.openxmlformats.org/officeDocument/2006/relationships/hyperlink" Target="https://wa.me/6285869122507" TargetMode="External"/><Relationship Id="rId730" Type="http://schemas.openxmlformats.org/officeDocument/2006/relationships/hyperlink" Target="https://adsmanager.facebook.com/adsmanager/manage/campaigns/edit/standalone?act=174904221976312&amp;selected_campaign_ids=120231927932960694" TargetMode="External"/><Relationship Id="rId828" Type="http://schemas.openxmlformats.org/officeDocument/2006/relationships/hyperlink" Target="https://adsmanager.facebook.com/adsmanager/manage/campaigns/edit/standalone?act=174904221976312&amp;selected_campaign_ids=120232823038490694" TargetMode="External"/><Relationship Id="rId1013" Type="http://schemas.openxmlformats.org/officeDocument/2006/relationships/hyperlink" Target="https://wa.me/6281952482523" TargetMode="External"/><Relationship Id="rId1360" Type="http://schemas.openxmlformats.org/officeDocument/2006/relationships/hyperlink" Target="https://wa.me/6281283204192" TargetMode="External"/><Relationship Id="rId1220" Type="http://schemas.openxmlformats.org/officeDocument/2006/relationships/hyperlink" Target="https://wa.me/6285281921180" TargetMode="External"/><Relationship Id="rId1318" Type="http://schemas.openxmlformats.org/officeDocument/2006/relationships/hyperlink" Target="https://wa.me/6285217189178" TargetMode="External"/><Relationship Id="rId24" Type="http://schemas.openxmlformats.org/officeDocument/2006/relationships/hyperlink" Target="https://adsmanager.facebook.com/adsmanager/manage/campaigns/edit/standalone?act=174904221976312&amp;selected_campaign_ids=120225732456000694" TargetMode="External"/><Relationship Id="rId173" Type="http://schemas.openxmlformats.org/officeDocument/2006/relationships/hyperlink" Target="https://wa.me/6288215032728" TargetMode="External"/><Relationship Id="rId380" Type="http://schemas.openxmlformats.org/officeDocument/2006/relationships/hyperlink" Target="https://adsmanager.facebook.com/adsmanager/manage/campaigns/edit/standalone?act=174904221976312&amp;selected_campaign_ids=120229633717880694" TargetMode="External"/><Relationship Id="rId240" Type="http://schemas.openxmlformats.org/officeDocument/2006/relationships/hyperlink" Target="https://adsmanager.facebook.com/adsmanager/manage/campaigns/edit/standalone?act=174904221976312&amp;selected_campaign_ids=120228690955610694" TargetMode="External"/><Relationship Id="rId478" Type="http://schemas.openxmlformats.org/officeDocument/2006/relationships/hyperlink" Target="https://adsmanager.facebook.com/adsmanager/manage/campaigns/edit/standalone?act=174904221976312&amp;selected_campaign_ids=120230153286200694" TargetMode="External"/><Relationship Id="rId685" Type="http://schemas.openxmlformats.org/officeDocument/2006/relationships/hyperlink" Target="https://wa.me/6285719003688" TargetMode="External"/><Relationship Id="rId892" Type="http://schemas.openxmlformats.org/officeDocument/2006/relationships/hyperlink" Target="https://adsmanager.facebook.com/adsmanager/manage/campaigns/edit/standalone?act=759724529202804&amp;selected_campaign_ids=120229042741890200" TargetMode="External"/><Relationship Id="rId100" Type="http://schemas.openxmlformats.org/officeDocument/2006/relationships/hyperlink" Target="https://adsmanager.facebook.com/adsmanager/manage/campaigns/edit/standalone?act=174904221976312&amp;selected_campaign_ids=120227938431120694" TargetMode="External"/><Relationship Id="rId338" Type="http://schemas.openxmlformats.org/officeDocument/2006/relationships/hyperlink" Target="https://adsmanager.facebook.com/adsmanager/manage/campaigns/edit/standalone?act=174904221976312&amp;selected_campaign_ids=120229337944090694" TargetMode="External"/><Relationship Id="rId545" Type="http://schemas.openxmlformats.org/officeDocument/2006/relationships/hyperlink" Target="https://wa.me/628561302381" TargetMode="External"/><Relationship Id="rId752" Type="http://schemas.openxmlformats.org/officeDocument/2006/relationships/hyperlink" Target="https://adsmanager.facebook.com/adsmanager/manage/campaigns/edit/standalone?act=174904221976312&amp;selected_campaign_ids=120232058949570694" TargetMode="External"/><Relationship Id="rId1175" Type="http://schemas.openxmlformats.org/officeDocument/2006/relationships/hyperlink" Target="https://adsmanager.facebook.com/adsmanager/manage/campaigns/edit/standalone?act=766589657993298&amp;selected_campaign_ids=120229570652970235" TargetMode="External"/><Relationship Id="rId1382" Type="http://schemas.openxmlformats.org/officeDocument/2006/relationships/hyperlink" Target="https://adsmanager.facebook.com/adsmanager/manage/campaigns/edit/standalone?act=766589657993298&amp;selected_campaign_ids=120232986647510235" TargetMode="External"/><Relationship Id="rId405" Type="http://schemas.openxmlformats.org/officeDocument/2006/relationships/hyperlink" Target="https://wa.me/6281392854108" TargetMode="External"/><Relationship Id="rId612" Type="http://schemas.openxmlformats.org/officeDocument/2006/relationships/hyperlink" Target="https://wa.me/6287842913251" TargetMode="External"/><Relationship Id="rId1035" Type="http://schemas.openxmlformats.org/officeDocument/2006/relationships/hyperlink" Target="https://wa.me/6285714611166" TargetMode="External"/><Relationship Id="rId1242" Type="http://schemas.openxmlformats.org/officeDocument/2006/relationships/hyperlink" Target="https://wa.me/6282177410110" TargetMode="External"/><Relationship Id="rId917" Type="http://schemas.openxmlformats.org/officeDocument/2006/relationships/hyperlink" Target="https://wa.me/6281269441611" TargetMode="External"/><Relationship Id="rId1102" Type="http://schemas.openxmlformats.org/officeDocument/2006/relationships/hyperlink" Target="https://wa.me/6287822304727" TargetMode="External"/><Relationship Id="rId46" Type="http://schemas.openxmlformats.org/officeDocument/2006/relationships/hyperlink" Target="https://adsmanager.facebook.com/adsmanager/manage/campaigns/edit/standalone?act=174904221976312&amp;selected_campaign_ids=120226804141930694" TargetMode="External"/><Relationship Id="rId195" Type="http://schemas.openxmlformats.org/officeDocument/2006/relationships/hyperlink" Target="https://wa.me/6285238093436" TargetMode="External"/><Relationship Id="rId262" Type="http://schemas.openxmlformats.org/officeDocument/2006/relationships/hyperlink" Target="https://wa.me/6281933176790" TargetMode="External"/><Relationship Id="rId567" Type="http://schemas.openxmlformats.org/officeDocument/2006/relationships/hyperlink" Target="https://wa.me/6285702241111" TargetMode="External"/><Relationship Id="rId1197" Type="http://schemas.openxmlformats.org/officeDocument/2006/relationships/hyperlink" Target="https://adsmanager.facebook.com/adsmanager/manage/campaigns/edit/standalone?act=766589657993298&amp;selected_campaign_ids=120229705279970235" TargetMode="External"/><Relationship Id="rId122" Type="http://schemas.openxmlformats.org/officeDocument/2006/relationships/hyperlink" Target="https://adsmanager.facebook.com/adsmanager/manage/campaigns/edit/standalone?act=174904221976312&amp;selected_campaign_ids=120228143312350694" TargetMode="External"/><Relationship Id="rId774" Type="http://schemas.openxmlformats.org/officeDocument/2006/relationships/hyperlink" Target="https://adsmanager.facebook.com/adsmanager/manage/campaigns/edit/standalone?act=174904221976312&amp;selected_campaign_ids=120232275624570694" TargetMode="External"/><Relationship Id="rId981" Type="http://schemas.openxmlformats.org/officeDocument/2006/relationships/hyperlink" Target="https://adsmanager.facebook.com/adsmanager/manage/campaigns/edit/standalone?act=766589657993298&amp;selected_campaign_ids=120226446980020235" TargetMode="External"/><Relationship Id="rId1057" Type="http://schemas.openxmlformats.org/officeDocument/2006/relationships/hyperlink" Target="https://adsmanager.facebook.com/adsmanager/manage/campaigns/edit/standalone?act=766589657993298&amp;selected_campaign_ids=120227665462840235"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i.dripsender.id/se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726"/>
  <sheetViews>
    <sheetView tabSelected="1" workbookViewId="0">
      <pane xSplit="7" ySplit="1" topLeftCell="H2" activePane="bottomRight" state="frozen"/>
      <selection pane="topRight" activeCell="H1" sqref="H1"/>
      <selection pane="bottomLeft" activeCell="A2" sqref="A2"/>
      <selection pane="bottomRight" activeCell="A2" sqref="A2:XFD2"/>
    </sheetView>
  </sheetViews>
  <sheetFormatPr defaultColWidth="12.5703125" defaultRowHeight="15.75" customHeight="1"/>
  <cols>
    <col min="1" max="1" width="14.5703125" customWidth="1"/>
    <col min="2" max="3" width="9" hidden="1" customWidth="1"/>
    <col min="4" max="4" width="10.7109375" customWidth="1"/>
    <col min="5" max="5" width="11.140625" customWidth="1"/>
    <col min="6" max="6" width="23" customWidth="1"/>
    <col min="7" max="7" width="18.42578125" customWidth="1"/>
    <col min="8" max="8" width="13.7109375" customWidth="1"/>
    <col min="9" max="9" width="16.5703125" customWidth="1"/>
    <col min="10" max="10" width="21" customWidth="1"/>
    <col min="11" max="16" width="9" customWidth="1"/>
    <col min="17" max="19" width="9" hidden="1" customWidth="1"/>
    <col min="20" max="20" width="9" customWidth="1"/>
    <col min="21" max="21" width="10.5703125" customWidth="1"/>
    <col min="22" max="22" width="9" customWidth="1"/>
    <col min="23" max="23" width="19.42578125" customWidth="1"/>
    <col min="24" max="24" width="9" customWidth="1"/>
    <col min="25" max="25" width="31.28515625" customWidth="1"/>
    <col min="26" max="26" width="47.140625" customWidth="1"/>
    <col min="27" max="27" width="22.28515625" customWidth="1"/>
    <col min="28" max="28" width="15.85546875" customWidth="1"/>
    <col min="29" max="33" width="9" customWidth="1"/>
  </cols>
  <sheetData>
    <row r="1" spans="1:33" ht="15.75" customHeight="1">
      <c r="A1" s="1" t="s">
        <v>0</v>
      </c>
      <c r="B1" s="2" t="s">
        <v>1</v>
      </c>
      <c r="C1" s="3" t="s">
        <v>2</v>
      </c>
      <c r="D1" s="4" t="s">
        <v>3</v>
      </c>
      <c r="E1" s="1" t="s">
        <v>4</v>
      </c>
      <c r="F1" s="2" t="s">
        <v>5</v>
      </c>
      <c r="G1" s="5" t="s">
        <v>6</v>
      </c>
      <c r="H1" s="2" t="s">
        <v>7</v>
      </c>
      <c r="I1" s="5" t="s">
        <v>8</v>
      </c>
      <c r="J1" s="2" t="s">
        <v>9</v>
      </c>
      <c r="K1" s="3" t="s">
        <v>10</v>
      </c>
      <c r="L1" s="2" t="s">
        <v>11</v>
      </c>
      <c r="M1" s="2" t="s">
        <v>12</v>
      </c>
      <c r="N1" s="2" t="s">
        <v>13</v>
      </c>
      <c r="O1" s="1" t="s">
        <v>14</v>
      </c>
      <c r="P1" s="1" t="s">
        <v>15</v>
      </c>
      <c r="Q1" s="2" t="s">
        <v>16</v>
      </c>
      <c r="R1" s="2" t="s">
        <v>17</v>
      </c>
      <c r="S1" s="1" t="s">
        <v>18</v>
      </c>
      <c r="T1" s="6" t="s">
        <v>19</v>
      </c>
      <c r="U1" s="1" t="s">
        <v>20</v>
      </c>
      <c r="V1" s="7" t="s">
        <v>21</v>
      </c>
      <c r="W1" s="1" t="s">
        <v>22</v>
      </c>
      <c r="X1" s="1" t="s">
        <v>23</v>
      </c>
      <c r="Y1" s="1" t="s">
        <v>24</v>
      </c>
      <c r="Z1" s="1" t="s">
        <v>25</v>
      </c>
      <c r="AA1" s="8" t="s">
        <v>26</v>
      </c>
      <c r="AB1" s="8" t="s">
        <v>27</v>
      </c>
      <c r="AC1" s="8" t="s">
        <v>28</v>
      </c>
      <c r="AD1" s="8" t="s">
        <v>29</v>
      </c>
      <c r="AE1" s="8" t="s">
        <v>30</v>
      </c>
      <c r="AF1" s="8" t="s">
        <v>31</v>
      </c>
      <c r="AG1" s="8" t="s">
        <v>32</v>
      </c>
    </row>
    <row r="2" spans="1:33" ht="15.75" customHeight="1">
      <c r="A2" s="9" t="s">
        <v>33</v>
      </c>
      <c r="B2" s="10">
        <v>1</v>
      </c>
      <c r="C2" s="11" t="s">
        <v>34</v>
      </c>
      <c r="D2" s="12">
        <v>45779</v>
      </c>
      <c r="E2" s="12">
        <v>45792</v>
      </c>
      <c r="F2" s="9" t="s">
        <v>35</v>
      </c>
      <c r="G2" s="9" t="s">
        <v>35</v>
      </c>
      <c r="H2" s="9" t="s">
        <v>35</v>
      </c>
      <c r="I2" s="13" t="s">
        <v>36</v>
      </c>
      <c r="J2" s="9" t="s">
        <v>35</v>
      </c>
      <c r="K2" s="9" t="s">
        <v>35</v>
      </c>
      <c r="L2" s="9" t="s">
        <v>37</v>
      </c>
      <c r="M2" s="9" t="s">
        <v>38</v>
      </c>
      <c r="N2" s="14">
        <v>0</v>
      </c>
      <c r="O2" s="12"/>
      <c r="P2" s="12"/>
      <c r="Q2" s="15"/>
      <c r="R2" s="10">
        <v>-4633975755</v>
      </c>
      <c r="S2" s="14"/>
      <c r="T2" s="16">
        <v>0</v>
      </c>
      <c r="U2" s="17"/>
      <c r="V2" s="18">
        <f t="array" ref="V2:V63">E2:E1726</f>
        <v>45792</v>
      </c>
      <c r="W2" s="19" t="str">
        <f ca="1">IFERROR(__xludf.DUMMYFUNCTION("ARRAYFORMULA(IF(G2:G1726="""", """", 
  IFERROR(REGEXEXTRACT(G2:G1726, ""^(\S+\s+\S+)""), G2:G1726)
))
"),"Dummy")</f>
        <v>Dummy</v>
      </c>
      <c r="X2" s="19" t="str">
        <f t="array" aca="1" ref="X2:X1726" ca="1">IF(W2:W1726="", "", "ON-" &amp; W2:W1726 &amp; "-" &amp; TEXT(V2:V1726, "DDMMYYYY") &amp; "+" &amp; N2:N1726 &amp; "-" &amp; I2:I1726)</f>
        <v>ON-Dummy-15052025+0-085777110340</v>
      </c>
      <c r="Y2" s="19"/>
      <c r="Z2" s="19"/>
      <c r="AA2" s="20"/>
      <c r="AB2" s="20"/>
      <c r="AC2" s="20"/>
      <c r="AD2" s="20"/>
      <c r="AE2" s="20"/>
      <c r="AF2" s="21"/>
      <c r="AG2" s="21"/>
    </row>
    <row r="3" spans="1:33" ht="15.75" customHeight="1">
      <c r="A3" s="9" t="s">
        <v>39</v>
      </c>
      <c r="B3" s="10">
        <v>2</v>
      </c>
      <c r="C3" s="11" t="s">
        <v>40</v>
      </c>
      <c r="D3" s="12">
        <v>45795</v>
      </c>
      <c r="E3" s="12">
        <v>45795</v>
      </c>
      <c r="F3" s="9" t="s">
        <v>41</v>
      </c>
      <c r="G3" s="9" t="s">
        <v>42</v>
      </c>
      <c r="H3" s="9" t="s">
        <v>43</v>
      </c>
      <c r="I3" s="13" t="s">
        <v>44</v>
      </c>
      <c r="J3" s="9" t="s">
        <v>45</v>
      </c>
      <c r="K3" s="9" t="s">
        <v>46</v>
      </c>
      <c r="L3" s="9" t="s">
        <v>47</v>
      </c>
      <c r="M3" s="9" t="s">
        <v>48</v>
      </c>
      <c r="N3" s="14">
        <v>14</v>
      </c>
      <c r="O3" s="22"/>
      <c r="P3" s="12"/>
      <c r="Q3" s="15"/>
      <c r="R3" s="10">
        <v>-4633975755</v>
      </c>
      <c r="S3" s="14"/>
      <c r="T3" s="16">
        <v>500000</v>
      </c>
      <c r="U3" s="17" t="s">
        <v>49</v>
      </c>
      <c r="V3" s="18">
        <v>45795</v>
      </c>
      <c r="W3" s="19" t="str">
        <f ca="1">IFERROR(__xludf.DUMMYFUNCTION("""COMPUTED_VALUE"""),"LK spa")</f>
        <v>LK spa</v>
      </c>
      <c r="X3" s="19" t="str">
        <f ca="1"/>
        <v>ON-LK spa-18052025+14-6282341426767</v>
      </c>
      <c r="Y3" s="17" t="s">
        <v>50</v>
      </c>
      <c r="Z3" s="17" t="s">
        <v>51</v>
      </c>
      <c r="AA3" s="23" t="str">
        <f t="array" ref="AA3:AA1726">"https://wa.me/" &amp; I3:I1726</f>
        <v>https://wa.me/6282341426767</v>
      </c>
      <c r="AB3" s="24"/>
      <c r="AC3" s="20"/>
      <c r="AD3" s="24"/>
      <c r="AE3" s="24"/>
      <c r="AF3" s="25"/>
      <c r="AG3" s="25"/>
    </row>
    <row r="4" spans="1:33" ht="15.75" customHeight="1">
      <c r="A4" s="9" t="s">
        <v>52</v>
      </c>
      <c r="B4" s="10">
        <v>3</v>
      </c>
      <c r="C4" s="11" t="s">
        <v>53</v>
      </c>
      <c r="D4" s="12">
        <v>45798</v>
      </c>
      <c r="E4" s="22">
        <v>45796</v>
      </c>
      <c r="F4" s="9" t="s">
        <v>54</v>
      </c>
      <c r="G4" s="9" t="s">
        <v>55</v>
      </c>
      <c r="H4" s="9" t="s">
        <v>56</v>
      </c>
      <c r="I4" s="26" t="s">
        <v>57</v>
      </c>
      <c r="J4" s="9"/>
      <c r="K4" s="9" t="s">
        <v>58</v>
      </c>
      <c r="L4" s="9" t="s">
        <v>59</v>
      </c>
      <c r="M4" s="9" t="s">
        <v>60</v>
      </c>
      <c r="N4" s="14">
        <v>10</v>
      </c>
      <c r="O4" s="12">
        <v>45850</v>
      </c>
      <c r="P4" s="12">
        <v>45859</v>
      </c>
      <c r="Q4" s="15"/>
      <c r="R4" s="10">
        <v>-4633975755</v>
      </c>
      <c r="S4" s="14"/>
      <c r="T4" s="16">
        <v>375000</v>
      </c>
      <c r="U4" s="17" t="s">
        <v>61</v>
      </c>
      <c r="V4" s="18">
        <v>45796</v>
      </c>
      <c r="W4" s="19" t="str">
        <f ca="1">IFERROR(__xludf.DUMMYFUNCTION("""COMPUTED_VALUE"""),"Verrocosta")</f>
        <v>Verrocosta</v>
      </c>
      <c r="X4" s="19" t="str">
        <f ca="1"/>
        <v>ON-Verrocosta-19052025+10-61459676831</v>
      </c>
      <c r="Y4" s="17" t="s">
        <v>62</v>
      </c>
      <c r="Z4" s="17" t="s">
        <v>51</v>
      </c>
      <c r="AA4" s="23" t="str">
        <v>https://wa.me/61459676831</v>
      </c>
      <c r="AB4" s="27" t="s">
        <v>63</v>
      </c>
      <c r="AC4" s="24"/>
      <c r="AD4" s="24"/>
      <c r="AE4" s="24"/>
      <c r="AF4" s="25"/>
      <c r="AG4" s="25"/>
    </row>
    <row r="5" spans="1:33" ht="15.75" customHeight="1">
      <c r="A5" s="9" t="s">
        <v>39</v>
      </c>
      <c r="B5" s="10">
        <v>4</v>
      </c>
      <c r="C5" s="11" t="s">
        <v>64</v>
      </c>
      <c r="D5" s="12">
        <v>45799</v>
      </c>
      <c r="E5" s="12">
        <v>45798</v>
      </c>
      <c r="F5" s="9" t="s">
        <v>65</v>
      </c>
      <c r="G5" s="9" t="s">
        <v>65</v>
      </c>
      <c r="H5" s="9" t="s">
        <v>66</v>
      </c>
      <c r="I5" s="13" t="s">
        <v>67</v>
      </c>
      <c r="J5" s="9"/>
      <c r="K5" s="9" t="s">
        <v>68</v>
      </c>
      <c r="L5" s="9" t="s">
        <v>69</v>
      </c>
      <c r="M5" s="9" t="s">
        <v>70</v>
      </c>
      <c r="N5" s="14">
        <v>5</v>
      </c>
      <c r="O5" s="12"/>
      <c r="P5" s="12"/>
      <c r="Q5" s="15"/>
      <c r="R5" s="10">
        <v>-4633975755</v>
      </c>
      <c r="S5" s="14"/>
      <c r="T5" s="16">
        <v>197000</v>
      </c>
      <c r="U5" s="17" t="s">
        <v>49</v>
      </c>
      <c r="V5" s="18">
        <v>45798</v>
      </c>
      <c r="W5" s="19" t="str">
        <f ca="1">IFERROR(__xludf.DUMMYFUNCTION("""COMPUTED_VALUE"""),"Karyatukang87")</f>
        <v>Karyatukang87</v>
      </c>
      <c r="X5" s="19" t="str">
        <f ca="1"/>
        <v>ON-Karyatukang87-21052025+5-628872305953</v>
      </c>
      <c r="Y5" s="17"/>
      <c r="Z5" s="17"/>
      <c r="AA5" s="23" t="str">
        <v>https://wa.me/628872305953</v>
      </c>
      <c r="AB5" s="24"/>
      <c r="AC5" s="24"/>
      <c r="AD5" s="24"/>
      <c r="AE5" s="24"/>
      <c r="AF5" s="25"/>
      <c r="AG5" s="25"/>
    </row>
    <row r="6" spans="1:33" ht="15.75" customHeight="1">
      <c r="A6" s="9" t="s">
        <v>39</v>
      </c>
      <c r="B6" s="10">
        <v>5</v>
      </c>
      <c r="C6" s="11" t="s">
        <v>71</v>
      </c>
      <c r="D6" s="12">
        <v>45799</v>
      </c>
      <c r="E6" s="12">
        <v>45797</v>
      </c>
      <c r="F6" s="9" t="s">
        <v>72</v>
      </c>
      <c r="G6" s="9" t="s">
        <v>73</v>
      </c>
      <c r="H6" s="9" t="s">
        <v>74</v>
      </c>
      <c r="I6" s="26" t="s">
        <v>75</v>
      </c>
      <c r="J6" s="9"/>
      <c r="K6" s="9" t="s">
        <v>76</v>
      </c>
      <c r="L6" s="9" t="s">
        <v>77</v>
      </c>
      <c r="M6" s="9" t="s">
        <v>78</v>
      </c>
      <c r="N6" s="14">
        <v>10</v>
      </c>
      <c r="O6" s="12"/>
      <c r="P6" s="12"/>
      <c r="Q6" s="15"/>
      <c r="R6" s="10">
        <v>-4633975755</v>
      </c>
      <c r="S6" s="14"/>
      <c r="T6" s="16">
        <v>375000</v>
      </c>
      <c r="U6" s="17" t="s">
        <v>61</v>
      </c>
      <c r="V6" s="18">
        <v>45797</v>
      </c>
      <c r="W6" s="19" t="str">
        <f ca="1">IFERROR(__xludf.DUMMYFUNCTION("""COMPUTED_VALUE"""),"Glam Beauty")</f>
        <v>Glam Beauty</v>
      </c>
      <c r="X6" s="19" t="str">
        <f ca="1"/>
        <v>ON-Glam Beauty-20052025+10-67076472864</v>
      </c>
      <c r="Y6" s="17"/>
      <c r="Z6" s="17"/>
      <c r="AA6" s="23" t="str">
        <v>https://wa.me/67076472864</v>
      </c>
      <c r="AB6" s="24"/>
      <c r="AC6" s="24"/>
      <c r="AD6" s="24"/>
      <c r="AE6" s="24"/>
      <c r="AF6" s="25"/>
      <c r="AG6" s="25"/>
    </row>
    <row r="7" spans="1:33" ht="15.75" customHeight="1">
      <c r="A7" s="9" t="s">
        <v>39</v>
      </c>
      <c r="B7" s="10">
        <v>6</v>
      </c>
      <c r="C7" s="11" t="s">
        <v>79</v>
      </c>
      <c r="D7" s="12">
        <v>45799</v>
      </c>
      <c r="E7" s="12">
        <v>45798</v>
      </c>
      <c r="F7" s="9" t="s">
        <v>80</v>
      </c>
      <c r="G7" s="9" t="s">
        <v>81</v>
      </c>
      <c r="H7" s="9" t="s">
        <v>82</v>
      </c>
      <c r="I7" s="13" t="s">
        <v>83</v>
      </c>
      <c r="J7" s="9"/>
      <c r="K7" s="9" t="s">
        <v>84</v>
      </c>
      <c r="L7" s="9" t="s">
        <v>85</v>
      </c>
      <c r="M7" s="9" t="s">
        <v>60</v>
      </c>
      <c r="N7" s="14">
        <v>5</v>
      </c>
      <c r="O7" s="12"/>
      <c r="P7" s="12"/>
      <c r="Q7" s="15"/>
      <c r="R7" s="10">
        <v>-4633975755</v>
      </c>
      <c r="S7" s="14"/>
      <c r="T7" s="16">
        <v>197000</v>
      </c>
      <c r="U7" s="17" t="s">
        <v>61</v>
      </c>
      <c r="V7" s="18">
        <v>45798</v>
      </c>
      <c r="W7" s="19" t="str">
        <f ca="1">IFERROR(__xludf.DUMMYFUNCTION("""COMPUTED_VALUE"""),"Iwan Audio")</f>
        <v>Iwan Audio</v>
      </c>
      <c r="X7" s="19" t="str">
        <f ca="1"/>
        <v>ON-Iwan Audio-21052025+5-6285711307707</v>
      </c>
      <c r="Y7" s="17"/>
      <c r="Z7" s="17"/>
      <c r="AA7" s="23" t="str">
        <v>https://wa.me/6285711307707</v>
      </c>
      <c r="AB7" s="24"/>
      <c r="AC7" s="24"/>
      <c r="AD7" s="24"/>
      <c r="AE7" s="24"/>
      <c r="AF7" s="25"/>
      <c r="AG7" s="25"/>
    </row>
    <row r="8" spans="1:33" ht="15.75" customHeight="1">
      <c r="A8" s="9" t="s">
        <v>39</v>
      </c>
      <c r="B8" s="10">
        <v>7</v>
      </c>
      <c r="C8" s="11" t="s">
        <v>86</v>
      </c>
      <c r="D8" s="12">
        <v>45802.749794432872</v>
      </c>
      <c r="E8" s="12">
        <v>45802.749794432872</v>
      </c>
      <c r="F8" s="9" t="s">
        <v>87</v>
      </c>
      <c r="G8" s="9" t="s">
        <v>88</v>
      </c>
      <c r="H8" s="9" t="s">
        <v>89</v>
      </c>
      <c r="I8" s="13" t="s">
        <v>90</v>
      </c>
      <c r="J8" s="9"/>
      <c r="K8" s="9" t="s">
        <v>91</v>
      </c>
      <c r="L8" s="9" t="s">
        <v>92</v>
      </c>
      <c r="M8" s="9" t="s">
        <v>70</v>
      </c>
      <c r="N8" s="14">
        <v>0</v>
      </c>
      <c r="O8" s="12"/>
      <c r="P8" s="12"/>
      <c r="Q8" s="15"/>
      <c r="R8" s="10">
        <v>-4633975755</v>
      </c>
      <c r="S8" s="14"/>
      <c r="T8" s="16">
        <v>50000</v>
      </c>
      <c r="U8" s="17" t="s">
        <v>61</v>
      </c>
      <c r="V8" s="18">
        <v>45802.749794432872</v>
      </c>
      <c r="W8" s="19" t="str">
        <f ca="1">IFERROR(__xludf.DUMMYFUNCTION("""COMPUTED_VALUE"""),"Seblak Prasmanan")</f>
        <v>Seblak Prasmanan</v>
      </c>
      <c r="X8" s="19" t="str">
        <f ca="1"/>
        <v>ON-Seblak Prasmanan-25052025+0-6285270469663</v>
      </c>
      <c r="Y8" s="17"/>
      <c r="Z8" s="17"/>
      <c r="AA8" s="23" t="str">
        <v>https://wa.me/6285270469663</v>
      </c>
      <c r="AB8" s="24"/>
      <c r="AC8" s="24"/>
      <c r="AD8" s="24"/>
      <c r="AE8" s="24"/>
      <c r="AF8" s="25"/>
      <c r="AG8" s="25"/>
    </row>
    <row r="9" spans="1:33" ht="15.75" customHeight="1">
      <c r="A9" s="9" t="s">
        <v>39</v>
      </c>
      <c r="B9" s="10">
        <v>9</v>
      </c>
      <c r="C9" s="11" t="s">
        <v>93</v>
      </c>
      <c r="D9" s="12">
        <v>45802.754500763884</v>
      </c>
      <c r="E9" s="12">
        <v>45801</v>
      </c>
      <c r="F9" s="9" t="s">
        <v>94</v>
      </c>
      <c r="G9" s="9" t="s">
        <v>95</v>
      </c>
      <c r="H9" s="9" t="s">
        <v>96</v>
      </c>
      <c r="I9" s="13" t="s">
        <v>97</v>
      </c>
      <c r="J9" s="9"/>
      <c r="K9" s="9" t="s">
        <v>98</v>
      </c>
      <c r="L9" s="9" t="s">
        <v>99</v>
      </c>
      <c r="M9" s="9" t="s">
        <v>38</v>
      </c>
      <c r="N9" s="14">
        <v>5</v>
      </c>
      <c r="O9" s="12"/>
      <c r="P9" s="12"/>
      <c r="Q9" s="15"/>
      <c r="R9" s="10">
        <v>-4633975755</v>
      </c>
      <c r="S9" s="14"/>
      <c r="T9" s="16">
        <v>197000</v>
      </c>
      <c r="U9" s="17" t="s">
        <v>61</v>
      </c>
      <c r="V9" s="18">
        <v>45801</v>
      </c>
      <c r="W9" s="19" t="str">
        <f ca="1">IFERROR(__xludf.DUMMYFUNCTION("""COMPUTED_VALUE"""),"AR Salon")</f>
        <v>AR Salon</v>
      </c>
      <c r="X9" s="19" t="str">
        <f ca="1"/>
        <v>ON-AR Salon-24052025+5-6285757607630</v>
      </c>
      <c r="Y9" s="17"/>
      <c r="Z9" s="17"/>
      <c r="AA9" s="23" t="str">
        <v>https://wa.me/6285757607630</v>
      </c>
      <c r="AB9" s="24"/>
      <c r="AC9" s="24"/>
      <c r="AD9" s="24"/>
      <c r="AE9" s="24"/>
      <c r="AF9" s="25"/>
      <c r="AG9" s="25"/>
    </row>
    <row r="10" spans="1:33" ht="15.75" customHeight="1">
      <c r="A10" s="9" t="s">
        <v>39</v>
      </c>
      <c r="B10" s="10">
        <v>10</v>
      </c>
      <c r="C10" s="11" t="s">
        <v>100</v>
      </c>
      <c r="D10" s="12">
        <v>45802.764765972221</v>
      </c>
      <c r="E10" s="12">
        <v>45801</v>
      </c>
      <c r="F10" s="9" t="s">
        <v>101</v>
      </c>
      <c r="G10" s="9" t="s">
        <v>102</v>
      </c>
      <c r="H10" s="9" t="s">
        <v>103</v>
      </c>
      <c r="I10" s="13" t="s">
        <v>104</v>
      </c>
      <c r="J10" s="9"/>
      <c r="K10" s="9" t="s">
        <v>105</v>
      </c>
      <c r="L10" s="9"/>
      <c r="M10" s="9" t="s">
        <v>106</v>
      </c>
      <c r="N10" s="14">
        <v>5</v>
      </c>
      <c r="O10" s="12"/>
      <c r="P10" s="12"/>
      <c r="Q10" s="15"/>
      <c r="R10" s="10">
        <v>-4633975755</v>
      </c>
      <c r="S10" s="14"/>
      <c r="T10" s="16">
        <v>197000</v>
      </c>
      <c r="U10" s="17" t="s">
        <v>49</v>
      </c>
      <c r="V10" s="18">
        <v>45801</v>
      </c>
      <c r="W10" s="19" t="str">
        <f ca="1">IFERROR(__xludf.DUMMYFUNCTION("""COMPUTED_VALUE"""),"Winda Tebus")</f>
        <v>Winda Tebus</v>
      </c>
      <c r="X10" s="19" t="str">
        <f ca="1"/>
        <v>ON-Winda Tebus-24052025+5-62882015054720</v>
      </c>
      <c r="Y10" s="17"/>
      <c r="Z10" s="17"/>
      <c r="AA10" s="23" t="str">
        <v>https://wa.me/62882015054720</v>
      </c>
      <c r="AB10" s="24"/>
      <c r="AC10" s="24"/>
      <c r="AD10" s="24"/>
      <c r="AE10" s="24"/>
      <c r="AF10" s="25"/>
      <c r="AG10" s="25"/>
    </row>
    <row r="11" spans="1:33" ht="15.75" customHeight="1">
      <c r="A11" s="9" t="s">
        <v>39</v>
      </c>
      <c r="B11" s="10">
        <v>11</v>
      </c>
      <c r="C11" s="11" t="s">
        <v>107</v>
      </c>
      <c r="D11" s="12">
        <v>45802.844509849536</v>
      </c>
      <c r="E11" s="12">
        <v>45802.844509849536</v>
      </c>
      <c r="F11" s="9" t="s">
        <v>108</v>
      </c>
      <c r="G11" s="9" t="s">
        <v>109</v>
      </c>
      <c r="H11" s="9" t="s">
        <v>110</v>
      </c>
      <c r="I11" s="13" t="s">
        <v>111</v>
      </c>
      <c r="J11" s="9"/>
      <c r="K11" s="9" t="s">
        <v>112</v>
      </c>
      <c r="L11" s="9" t="s">
        <v>113</v>
      </c>
      <c r="M11" s="9" t="s">
        <v>114</v>
      </c>
      <c r="N11" s="14">
        <v>7</v>
      </c>
      <c r="O11" s="12"/>
      <c r="P11" s="12"/>
      <c r="Q11" s="15"/>
      <c r="R11" s="10">
        <v>-4633975755</v>
      </c>
      <c r="S11" s="14"/>
      <c r="T11" s="16">
        <v>297000</v>
      </c>
      <c r="U11" s="17" t="s">
        <v>115</v>
      </c>
      <c r="V11" s="18">
        <v>45802.844509849536</v>
      </c>
      <c r="W11" s="19" t="str">
        <f ca="1">IFERROR(__xludf.DUMMYFUNCTION("""COMPUTED_VALUE"""),"zL beauty")</f>
        <v>zL beauty</v>
      </c>
      <c r="X11" s="19" t="str">
        <f ca="1"/>
        <v>ON-zL beauty-25052025+7-6281549409606</v>
      </c>
      <c r="Y11" s="17"/>
      <c r="Z11" s="17"/>
      <c r="AA11" s="23" t="str">
        <v>https://wa.me/6281549409606</v>
      </c>
      <c r="AB11" s="24"/>
      <c r="AC11" s="24"/>
      <c r="AD11" s="24"/>
      <c r="AE11" s="24"/>
      <c r="AF11" s="25"/>
      <c r="AG11" s="25"/>
    </row>
    <row r="12" spans="1:33" ht="15.75" customHeight="1">
      <c r="A12" s="9" t="s">
        <v>39</v>
      </c>
      <c r="B12" s="10">
        <v>12</v>
      </c>
      <c r="C12" s="11" t="s">
        <v>116</v>
      </c>
      <c r="D12" s="12">
        <v>45803.851348576391</v>
      </c>
      <c r="E12" s="12">
        <v>45802.844509849536</v>
      </c>
      <c r="F12" s="9" t="s">
        <v>117</v>
      </c>
      <c r="G12" s="9" t="s">
        <v>118</v>
      </c>
      <c r="H12" s="9" t="s">
        <v>119</v>
      </c>
      <c r="I12" s="13" t="s">
        <v>120</v>
      </c>
      <c r="J12" s="9" t="s">
        <v>121</v>
      </c>
      <c r="K12" s="9" t="s">
        <v>122</v>
      </c>
      <c r="L12" s="9" t="s">
        <v>123</v>
      </c>
      <c r="M12" s="9" t="s">
        <v>38</v>
      </c>
      <c r="N12" s="14">
        <v>5</v>
      </c>
      <c r="O12" s="12"/>
      <c r="P12" s="12"/>
      <c r="Q12" s="15"/>
      <c r="R12" s="10">
        <v>-4633975755</v>
      </c>
      <c r="S12" s="14"/>
      <c r="T12" s="16">
        <v>197000</v>
      </c>
      <c r="U12" s="17" t="s">
        <v>115</v>
      </c>
      <c r="V12" s="18">
        <v>45802.844509849536</v>
      </c>
      <c r="W12" s="19" t="str">
        <f ca="1">IFERROR(__xludf.DUMMYFUNCTION("""COMPUTED_VALUE"""),"Eny Laundry")</f>
        <v>Eny Laundry</v>
      </c>
      <c r="X12" s="19" t="str">
        <f ca="1"/>
        <v>ON-Eny Laundry-25052025+5-6283129638348</v>
      </c>
      <c r="Y12" s="17"/>
      <c r="Z12" s="17"/>
      <c r="AA12" s="23" t="str">
        <v>https://wa.me/6283129638348</v>
      </c>
      <c r="AB12" s="24"/>
      <c r="AC12" s="24"/>
      <c r="AD12" s="24"/>
      <c r="AE12" s="24"/>
      <c r="AF12" s="25"/>
      <c r="AG12" s="25"/>
    </row>
    <row r="13" spans="1:33" ht="15.75" customHeight="1">
      <c r="A13" s="9" t="s">
        <v>39</v>
      </c>
      <c r="B13" s="10">
        <v>13</v>
      </c>
      <c r="C13" s="11" t="s">
        <v>124</v>
      </c>
      <c r="D13" s="12">
        <v>45805.228776898148</v>
      </c>
      <c r="E13" s="12">
        <v>45803</v>
      </c>
      <c r="F13" s="9" t="s">
        <v>125</v>
      </c>
      <c r="G13" s="9" t="s">
        <v>126</v>
      </c>
      <c r="H13" s="9" t="s">
        <v>127</v>
      </c>
      <c r="I13" s="13" t="s">
        <v>128</v>
      </c>
      <c r="J13" s="9"/>
      <c r="K13" s="9" t="s">
        <v>129</v>
      </c>
      <c r="L13" s="9" t="s">
        <v>130</v>
      </c>
      <c r="M13" s="9" t="s">
        <v>131</v>
      </c>
      <c r="N13" s="14">
        <v>5</v>
      </c>
      <c r="O13" s="12"/>
      <c r="P13" s="12"/>
      <c r="Q13" s="15"/>
      <c r="R13" s="10">
        <v>-4633975755</v>
      </c>
      <c r="S13" s="14"/>
      <c r="T13" s="16">
        <v>197000</v>
      </c>
      <c r="U13" s="17" t="s">
        <v>61</v>
      </c>
      <c r="V13" s="18">
        <v>45803</v>
      </c>
      <c r="W13" s="19" t="str">
        <f ca="1">IFERROR(__xludf.DUMMYFUNCTION("""COMPUTED_VALUE"""),"AJP ADI")</f>
        <v>AJP ADI</v>
      </c>
      <c r="X13" s="19" t="str">
        <f ca="1"/>
        <v>ON-AJP ADI-26052025+5-6283188945188</v>
      </c>
      <c r="Y13" s="17"/>
      <c r="Z13" s="17"/>
      <c r="AA13" s="23" t="str">
        <v>https://wa.me/6283188945188</v>
      </c>
      <c r="AB13" s="24"/>
      <c r="AC13" s="24"/>
      <c r="AD13" s="24"/>
      <c r="AE13" s="24"/>
      <c r="AF13" s="25"/>
      <c r="AG13" s="25"/>
    </row>
    <row r="14" spans="1:33" ht="15.75" customHeight="1">
      <c r="A14" s="9" t="s">
        <v>39</v>
      </c>
      <c r="B14" s="10">
        <v>14</v>
      </c>
      <c r="C14" s="11" t="s">
        <v>132</v>
      </c>
      <c r="D14" s="12">
        <v>45805.231930000002</v>
      </c>
      <c r="E14" s="12">
        <v>45804</v>
      </c>
      <c r="F14" s="9" t="s">
        <v>133</v>
      </c>
      <c r="G14" s="9" t="s">
        <v>134</v>
      </c>
      <c r="H14" s="9" t="s">
        <v>135</v>
      </c>
      <c r="I14" s="13"/>
      <c r="J14" s="9" t="s">
        <v>136</v>
      </c>
      <c r="K14" s="9" t="s">
        <v>137</v>
      </c>
      <c r="L14" s="9" t="s">
        <v>138</v>
      </c>
      <c r="M14" s="9" t="s">
        <v>38</v>
      </c>
      <c r="N14" s="14">
        <v>5</v>
      </c>
      <c r="O14" s="12"/>
      <c r="P14" s="12"/>
      <c r="Q14" s="15"/>
      <c r="R14" s="10">
        <v>-4633975755</v>
      </c>
      <c r="S14" s="14"/>
      <c r="T14" s="16">
        <v>197000</v>
      </c>
      <c r="U14" s="17" t="s">
        <v>61</v>
      </c>
      <c r="V14" s="18">
        <v>45804</v>
      </c>
      <c r="W14" s="19" t="str">
        <f ca="1">IFERROR(__xludf.DUMMYFUNCTION("""COMPUTED_VALUE"""),"M&amp;Y mahkota")</f>
        <v>M&amp;Y mahkota</v>
      </c>
      <c r="X14" s="19" t="str">
        <f ca="1"/>
        <v>ON-M&amp;Y mahkota-27052025+5-</v>
      </c>
      <c r="Y14" s="17"/>
      <c r="Z14" s="17"/>
      <c r="AA14" s="23" t="str">
        <v>https://wa.me/</v>
      </c>
      <c r="AB14" s="24"/>
      <c r="AC14" s="24"/>
      <c r="AD14" s="24"/>
      <c r="AE14" s="24"/>
      <c r="AF14" s="25"/>
      <c r="AG14" s="25"/>
    </row>
    <row r="15" spans="1:33" ht="15.75" customHeight="1">
      <c r="A15" s="9" t="s">
        <v>39</v>
      </c>
      <c r="B15" s="10">
        <v>15</v>
      </c>
      <c r="C15" s="11" t="s">
        <v>139</v>
      </c>
      <c r="D15" s="12">
        <v>45806.486587222222</v>
      </c>
      <c r="E15" s="12">
        <v>45804</v>
      </c>
      <c r="F15" s="9" t="s">
        <v>140</v>
      </c>
      <c r="G15" s="9" t="s">
        <v>141</v>
      </c>
      <c r="H15" s="9" t="s">
        <v>142</v>
      </c>
      <c r="I15" s="13" t="s">
        <v>143</v>
      </c>
      <c r="J15" s="9"/>
      <c r="K15" s="9" t="s">
        <v>144</v>
      </c>
      <c r="L15" s="9" t="s">
        <v>145</v>
      </c>
      <c r="M15" s="9" t="s">
        <v>38</v>
      </c>
      <c r="N15" s="14">
        <v>5</v>
      </c>
      <c r="O15" s="12"/>
      <c r="P15" s="12"/>
      <c r="Q15" s="15"/>
      <c r="R15" s="10">
        <v>-4633975755</v>
      </c>
      <c r="S15" s="14"/>
      <c r="T15" s="16">
        <v>197000</v>
      </c>
      <c r="U15" s="17" t="s">
        <v>49</v>
      </c>
      <c r="V15" s="18">
        <v>45804</v>
      </c>
      <c r="W15" s="19" t="str">
        <f ca="1">IFERROR(__xludf.DUMMYFUNCTION("""COMPUTED_VALUE"""),"Mira Cantika")</f>
        <v>Mira Cantika</v>
      </c>
      <c r="X15" s="19" t="str">
        <f ca="1"/>
        <v>ON-Mira Cantika-27052025+5-6285758792669</v>
      </c>
      <c r="Y15" s="17"/>
      <c r="Z15" s="17"/>
      <c r="AA15" s="23" t="str">
        <v>https://wa.me/6285758792669</v>
      </c>
      <c r="AB15" s="24"/>
      <c r="AC15" s="24"/>
      <c r="AD15" s="24"/>
      <c r="AE15" s="24"/>
      <c r="AF15" s="25"/>
      <c r="AG15" s="25"/>
    </row>
    <row r="16" spans="1:33" ht="15.75" customHeight="1">
      <c r="A16" s="9" t="s">
        <v>39</v>
      </c>
      <c r="B16" s="10">
        <v>16</v>
      </c>
      <c r="C16" s="11" t="s">
        <v>146</v>
      </c>
      <c r="D16" s="12">
        <v>45806.491551203704</v>
      </c>
      <c r="E16" s="12">
        <v>45805</v>
      </c>
      <c r="F16" s="9" t="s">
        <v>147</v>
      </c>
      <c r="G16" s="9" t="s">
        <v>148</v>
      </c>
      <c r="H16" s="9" t="s">
        <v>149</v>
      </c>
      <c r="I16" s="13" t="s">
        <v>150</v>
      </c>
      <c r="J16" s="9"/>
      <c r="K16" s="9" t="s">
        <v>151</v>
      </c>
      <c r="L16" s="9" t="s">
        <v>152</v>
      </c>
      <c r="M16" s="9" t="s">
        <v>153</v>
      </c>
      <c r="N16" s="14">
        <v>5</v>
      </c>
      <c r="O16" s="12"/>
      <c r="P16" s="12"/>
      <c r="Q16" s="15"/>
      <c r="R16" s="10">
        <v>-4633975755</v>
      </c>
      <c r="S16" s="14"/>
      <c r="T16" s="16">
        <v>197000</v>
      </c>
      <c r="U16" s="17" t="s">
        <v>49</v>
      </c>
      <c r="V16" s="18">
        <v>45805</v>
      </c>
      <c r="W16" s="19" t="str">
        <f ca="1">IFERROR(__xludf.DUMMYFUNCTION("""COMPUTED_VALUE"""),"Khairan Wedding")</f>
        <v>Khairan Wedding</v>
      </c>
      <c r="X16" s="19" t="str">
        <f ca="1"/>
        <v>ON-Khairan Wedding-28052025+5-6285220903499</v>
      </c>
      <c r="Y16" s="17"/>
      <c r="Z16" s="17"/>
      <c r="AA16" s="23" t="str">
        <v>https://wa.me/6285220903499</v>
      </c>
      <c r="AB16" s="24"/>
      <c r="AC16" s="24"/>
      <c r="AD16" s="24"/>
      <c r="AE16" s="24"/>
      <c r="AF16" s="25"/>
      <c r="AG16" s="25"/>
    </row>
    <row r="17" spans="1:33" ht="15.75" customHeight="1">
      <c r="A17" s="9" t="s">
        <v>39</v>
      </c>
      <c r="B17" s="10">
        <v>17</v>
      </c>
      <c r="C17" s="11" t="s">
        <v>154</v>
      </c>
      <c r="D17" s="12">
        <v>45806.494102523153</v>
      </c>
      <c r="E17" s="12">
        <v>45805</v>
      </c>
      <c r="F17" s="9" t="s">
        <v>155</v>
      </c>
      <c r="G17" s="9" t="s">
        <v>155</v>
      </c>
      <c r="H17" s="9" t="s">
        <v>96</v>
      </c>
      <c r="I17" s="13" t="s">
        <v>156</v>
      </c>
      <c r="J17" s="9"/>
      <c r="K17" s="9" t="s">
        <v>157</v>
      </c>
      <c r="L17" s="9"/>
      <c r="M17" s="9" t="s">
        <v>158</v>
      </c>
      <c r="N17" s="14">
        <v>10</v>
      </c>
      <c r="O17" s="12"/>
      <c r="P17" s="12"/>
      <c r="Q17" s="15"/>
      <c r="R17" s="10">
        <v>-4633975755</v>
      </c>
      <c r="S17" s="14"/>
      <c r="T17" s="16">
        <v>375000</v>
      </c>
      <c r="U17" s="17" t="s">
        <v>49</v>
      </c>
      <c r="V17" s="18">
        <v>45805</v>
      </c>
      <c r="W17" s="19" t="str">
        <f ca="1">IFERROR(__xludf.DUMMYFUNCTION("""COMPUTED_VALUE"""),"Neng Ay")</f>
        <v>Neng Ay</v>
      </c>
      <c r="X17" s="19" t="str">
        <f ca="1"/>
        <v>ON-Neng Ay-28052025+10-6282290353409</v>
      </c>
      <c r="Y17" s="17"/>
      <c r="Z17" s="17"/>
      <c r="AA17" s="23" t="str">
        <v>https://wa.me/6282290353409</v>
      </c>
      <c r="AB17" s="24"/>
      <c r="AC17" s="24"/>
      <c r="AD17" s="24"/>
      <c r="AE17" s="24"/>
      <c r="AF17" s="25"/>
      <c r="AG17" s="25"/>
    </row>
    <row r="18" spans="1:33" ht="15.75" customHeight="1">
      <c r="A18" s="9" t="s">
        <v>39</v>
      </c>
      <c r="B18" s="10">
        <v>18</v>
      </c>
      <c r="C18" s="11" t="s">
        <v>159</v>
      </c>
      <c r="D18" s="12">
        <v>45806.497515497686</v>
      </c>
      <c r="E18" s="12">
        <v>45805</v>
      </c>
      <c r="F18" s="9" t="s">
        <v>160</v>
      </c>
      <c r="G18" s="9" t="s">
        <v>161</v>
      </c>
      <c r="H18" s="9" t="s">
        <v>162</v>
      </c>
      <c r="I18" s="13" t="s">
        <v>163</v>
      </c>
      <c r="J18" s="9" t="s">
        <v>164</v>
      </c>
      <c r="K18" s="9" t="s">
        <v>165</v>
      </c>
      <c r="L18" s="9" t="s">
        <v>166</v>
      </c>
      <c r="M18" s="9" t="s">
        <v>60</v>
      </c>
      <c r="N18" s="14">
        <v>5</v>
      </c>
      <c r="O18" s="12"/>
      <c r="P18" s="12"/>
      <c r="Q18" s="15"/>
      <c r="R18" s="10">
        <v>-4633975755</v>
      </c>
      <c r="S18" s="14"/>
      <c r="T18" s="16">
        <v>197000</v>
      </c>
      <c r="U18" s="17" t="s">
        <v>49</v>
      </c>
      <c r="V18" s="18">
        <v>45805</v>
      </c>
      <c r="W18" s="19" t="str">
        <f ca="1">IFERROR(__xludf.DUMMYFUNCTION("""COMPUTED_VALUE"""),"ISAL SALON")</f>
        <v>ISAL SALON</v>
      </c>
      <c r="X18" s="19" t="str">
        <f ca="1"/>
        <v>ON-ISAL SALON-28052025+5-6285240684331</v>
      </c>
      <c r="Y18" s="17"/>
      <c r="Z18" s="17"/>
      <c r="AA18" s="23" t="str">
        <v>https://wa.me/6285240684331</v>
      </c>
      <c r="AB18" s="24"/>
      <c r="AC18" s="24"/>
      <c r="AD18" s="24"/>
      <c r="AE18" s="24"/>
      <c r="AF18" s="25"/>
      <c r="AG18" s="25"/>
    </row>
    <row r="19" spans="1:33" ht="15.75" customHeight="1">
      <c r="A19" s="9" t="s">
        <v>39</v>
      </c>
      <c r="B19" s="10">
        <v>19</v>
      </c>
      <c r="C19" s="11" t="s">
        <v>167</v>
      </c>
      <c r="D19" s="12">
        <v>45807.3590253125</v>
      </c>
      <c r="E19" s="12">
        <v>45805</v>
      </c>
      <c r="F19" s="9" t="s">
        <v>168</v>
      </c>
      <c r="G19" s="9" t="s">
        <v>169</v>
      </c>
      <c r="H19" s="9" t="s">
        <v>170</v>
      </c>
      <c r="I19" s="13" t="s">
        <v>171</v>
      </c>
      <c r="J19" s="9" t="s">
        <v>172</v>
      </c>
      <c r="K19" s="9" t="s">
        <v>173</v>
      </c>
      <c r="L19" s="9" t="s">
        <v>166</v>
      </c>
      <c r="M19" s="9" t="s">
        <v>174</v>
      </c>
      <c r="N19" s="14">
        <v>5</v>
      </c>
      <c r="O19" s="12"/>
      <c r="P19" s="12"/>
      <c r="Q19" s="15"/>
      <c r="R19" s="10">
        <v>-4633975755</v>
      </c>
      <c r="S19" s="14"/>
      <c r="T19" s="16">
        <v>197000</v>
      </c>
      <c r="U19" s="17" t="s">
        <v>61</v>
      </c>
      <c r="V19" s="18">
        <v>45805</v>
      </c>
      <c r="W19" s="19" t="str">
        <f ca="1">IFERROR(__xludf.DUMMYFUNCTION("""COMPUTED_VALUE"""),"Devy Kikim")</f>
        <v>Devy Kikim</v>
      </c>
      <c r="X19" s="19" t="str">
        <f ca="1"/>
        <v>ON-Devy Kikim-28052025+5-6282136666049</v>
      </c>
      <c r="Y19" s="17"/>
      <c r="Z19" s="17"/>
      <c r="AA19" s="23" t="str">
        <v>https://wa.me/6282136666049</v>
      </c>
      <c r="AB19" s="24"/>
      <c r="AC19" s="24"/>
      <c r="AD19" s="24"/>
      <c r="AE19" s="24"/>
      <c r="AF19" s="25"/>
      <c r="AG19" s="25"/>
    </row>
    <row r="20" spans="1:33" ht="15.75" customHeight="1">
      <c r="A20" s="9" t="s">
        <v>39</v>
      </c>
      <c r="B20" s="10">
        <v>20</v>
      </c>
      <c r="C20" s="11" t="s">
        <v>175</v>
      </c>
      <c r="D20" s="12">
        <v>45807.363002349535</v>
      </c>
      <c r="E20" s="12">
        <v>45805</v>
      </c>
      <c r="F20" s="9" t="s">
        <v>176</v>
      </c>
      <c r="G20" s="9" t="s">
        <v>177</v>
      </c>
      <c r="H20" s="9" t="s">
        <v>96</v>
      </c>
      <c r="I20" s="13" t="s">
        <v>178</v>
      </c>
      <c r="J20" s="9"/>
      <c r="K20" s="9" t="s">
        <v>179</v>
      </c>
      <c r="L20" s="9" t="s">
        <v>180</v>
      </c>
      <c r="M20" s="9" t="s">
        <v>38</v>
      </c>
      <c r="N20" s="14">
        <v>5</v>
      </c>
      <c r="O20" s="12"/>
      <c r="P20" s="12"/>
      <c r="Q20" s="15"/>
      <c r="R20" s="10">
        <v>-4633975755</v>
      </c>
      <c r="S20" s="14"/>
      <c r="T20" s="16">
        <v>197000</v>
      </c>
      <c r="U20" s="17" t="s">
        <v>61</v>
      </c>
      <c r="V20" s="18">
        <v>45805</v>
      </c>
      <c r="W20" s="19" t="str">
        <f ca="1">IFERROR(__xludf.DUMMYFUNCTION("""COMPUTED_VALUE"""),"Nyaraa Salon")</f>
        <v>Nyaraa Salon</v>
      </c>
      <c r="X20" s="19" t="str">
        <f ca="1"/>
        <v>ON-Nyaraa Salon-28052025+5-6282348365032</v>
      </c>
      <c r="Y20" s="17"/>
      <c r="Z20" s="17"/>
      <c r="AA20" s="23" t="str">
        <v>https://wa.me/6282348365032</v>
      </c>
      <c r="AB20" s="24"/>
      <c r="AC20" s="24"/>
      <c r="AD20" s="24"/>
      <c r="AE20" s="24"/>
      <c r="AF20" s="25"/>
      <c r="AG20" s="25"/>
    </row>
    <row r="21" spans="1:33" ht="15.75" customHeight="1">
      <c r="A21" s="9" t="s">
        <v>39</v>
      </c>
      <c r="B21" s="10">
        <v>21</v>
      </c>
      <c r="C21" s="11" t="s">
        <v>181</v>
      </c>
      <c r="D21" s="12">
        <v>45807.741997025463</v>
      </c>
      <c r="E21" s="22">
        <v>45807</v>
      </c>
      <c r="F21" s="9" t="s">
        <v>182</v>
      </c>
      <c r="G21" s="9" t="s">
        <v>183</v>
      </c>
      <c r="H21" s="9" t="s">
        <v>184</v>
      </c>
      <c r="I21" s="13" t="s">
        <v>185</v>
      </c>
      <c r="J21" s="9"/>
      <c r="K21" s="9" t="s">
        <v>186</v>
      </c>
      <c r="L21" s="9"/>
      <c r="M21" s="9" t="s">
        <v>187</v>
      </c>
      <c r="N21" s="14">
        <v>5</v>
      </c>
      <c r="O21" s="12"/>
      <c r="P21" s="12"/>
      <c r="Q21" s="15"/>
      <c r="R21" s="10">
        <v>-4633975755</v>
      </c>
      <c r="S21" s="14"/>
      <c r="T21" s="16">
        <v>297000</v>
      </c>
      <c r="U21" s="17" t="s">
        <v>115</v>
      </c>
      <c r="V21" s="18">
        <v>45807</v>
      </c>
      <c r="W21" s="19" t="str">
        <f ca="1">IFERROR(__xludf.DUMMYFUNCTION("""COMPUTED_VALUE"""),"Sunat Pangkep")</f>
        <v>Sunat Pangkep</v>
      </c>
      <c r="X21" s="19" t="str">
        <f ca="1"/>
        <v>ON-Sunat Pangkep-30052025+5-6285355435848</v>
      </c>
      <c r="Y21" s="17"/>
      <c r="Z21" s="17"/>
      <c r="AA21" s="23" t="str">
        <v>https://wa.me/6285355435848</v>
      </c>
      <c r="AB21" s="24"/>
      <c r="AC21" s="24"/>
      <c r="AD21" s="24"/>
      <c r="AE21" s="24"/>
      <c r="AF21" s="25"/>
      <c r="AG21" s="25"/>
    </row>
    <row r="22" spans="1:33" ht="15.75" customHeight="1">
      <c r="A22" s="9" t="s">
        <v>39</v>
      </c>
      <c r="B22" s="10">
        <v>22</v>
      </c>
      <c r="C22" s="11" t="s">
        <v>188</v>
      </c>
      <c r="D22" s="12">
        <v>45808.392627303241</v>
      </c>
      <c r="E22" s="22">
        <v>45807</v>
      </c>
      <c r="F22" s="9" t="s">
        <v>189</v>
      </c>
      <c r="G22" s="9" t="s">
        <v>190</v>
      </c>
      <c r="H22" s="9" t="s">
        <v>191</v>
      </c>
      <c r="I22" s="13" t="s">
        <v>192</v>
      </c>
      <c r="J22" s="9" t="s">
        <v>193</v>
      </c>
      <c r="K22" s="9" t="s">
        <v>194</v>
      </c>
      <c r="L22" s="9" t="s">
        <v>195</v>
      </c>
      <c r="M22" s="9" t="s">
        <v>70</v>
      </c>
      <c r="N22" s="14">
        <v>10</v>
      </c>
      <c r="O22" s="12"/>
      <c r="P22" s="12"/>
      <c r="Q22" s="15"/>
      <c r="R22" s="10">
        <v>-4633975755</v>
      </c>
      <c r="S22" s="14"/>
      <c r="T22" s="16">
        <v>375000</v>
      </c>
      <c r="U22" s="17" t="s">
        <v>61</v>
      </c>
      <c r="V22" s="18">
        <v>45807</v>
      </c>
      <c r="W22" s="19" t="str">
        <f ca="1">IFERROR(__xludf.DUMMYFUNCTION("""COMPUTED_VALUE"""),"PUTRA MANDIRI")</f>
        <v>PUTRA MANDIRI</v>
      </c>
      <c r="X22" s="19" t="str">
        <f ca="1"/>
        <v>ON-PUTRA MANDIRI-30052025+10-6281331854948</v>
      </c>
      <c r="Y22" s="17"/>
      <c r="Z22" s="17"/>
      <c r="AA22" s="23" t="str">
        <v>https://wa.me/6281331854948</v>
      </c>
      <c r="AB22" s="24"/>
      <c r="AC22" s="24"/>
      <c r="AD22" s="24"/>
      <c r="AE22" s="24"/>
      <c r="AF22" s="25"/>
      <c r="AG22" s="25"/>
    </row>
    <row r="23" spans="1:33" ht="15.75" customHeight="1">
      <c r="A23" s="9" t="s">
        <v>196</v>
      </c>
      <c r="B23" s="10">
        <v>23</v>
      </c>
      <c r="C23" s="11" t="s">
        <v>197</v>
      </c>
      <c r="D23" s="12">
        <v>45808.395643206022</v>
      </c>
      <c r="E23" s="22">
        <v>45807</v>
      </c>
      <c r="F23" s="9" t="s">
        <v>198</v>
      </c>
      <c r="G23" s="9" t="s">
        <v>199</v>
      </c>
      <c r="H23" s="9" t="s">
        <v>200</v>
      </c>
      <c r="I23" s="13" t="s">
        <v>201</v>
      </c>
      <c r="J23" s="9" t="s">
        <v>202</v>
      </c>
      <c r="K23" s="9" t="s">
        <v>203</v>
      </c>
      <c r="L23" s="9" t="s">
        <v>204</v>
      </c>
      <c r="M23" s="9" t="s">
        <v>205</v>
      </c>
      <c r="N23" s="14">
        <v>5</v>
      </c>
      <c r="O23" s="12"/>
      <c r="P23" s="12"/>
      <c r="Q23" s="15"/>
      <c r="R23" s="10">
        <v>-4633975755</v>
      </c>
      <c r="S23" s="14"/>
      <c r="T23" s="16">
        <v>197000</v>
      </c>
      <c r="U23" s="17" t="s">
        <v>61</v>
      </c>
      <c r="V23" s="18">
        <v>45807</v>
      </c>
      <c r="W23" s="19" t="str">
        <f ca="1">IFERROR(__xludf.DUMMYFUNCTION("""COMPUTED_VALUE"""),"PT MAKMUR")</f>
        <v>PT MAKMUR</v>
      </c>
      <c r="X23" s="19" t="str">
        <f ca="1"/>
        <v>ON-PT MAKMUR-30052025+5-6282173535013</v>
      </c>
      <c r="Y23" s="17"/>
      <c r="Z23" s="17"/>
      <c r="AA23" s="23" t="str">
        <v>https://wa.me/6282173535013</v>
      </c>
      <c r="AB23" s="28" t="s">
        <v>206</v>
      </c>
      <c r="AC23" s="28"/>
      <c r="AD23" s="28"/>
      <c r="AE23" s="28"/>
      <c r="AF23" s="29"/>
      <c r="AG23" s="29"/>
    </row>
    <row r="24" spans="1:33" ht="15.75" customHeight="1">
      <c r="A24" s="9" t="s">
        <v>39</v>
      </c>
      <c r="B24" s="10">
        <v>24</v>
      </c>
      <c r="C24" s="11" t="s">
        <v>207</v>
      </c>
      <c r="D24" s="12">
        <v>45808.3997953125</v>
      </c>
      <c r="E24" s="22">
        <v>45807</v>
      </c>
      <c r="F24" s="9" t="s">
        <v>208</v>
      </c>
      <c r="G24" s="9" t="s">
        <v>209</v>
      </c>
      <c r="H24" s="9" t="s">
        <v>210</v>
      </c>
      <c r="I24" s="13" t="s">
        <v>211</v>
      </c>
      <c r="J24" s="9" t="s">
        <v>212</v>
      </c>
      <c r="K24" s="9" t="s">
        <v>213</v>
      </c>
      <c r="L24" s="9" t="s">
        <v>204</v>
      </c>
      <c r="M24" s="9" t="s">
        <v>38</v>
      </c>
      <c r="N24" s="14">
        <v>5</v>
      </c>
      <c r="O24" s="12">
        <v>45811</v>
      </c>
      <c r="P24" s="12">
        <v>45815</v>
      </c>
      <c r="Q24" s="15"/>
      <c r="R24" s="10">
        <v>-4633975755</v>
      </c>
      <c r="S24" s="14"/>
      <c r="T24" s="16">
        <v>197000</v>
      </c>
      <c r="U24" s="17" t="s">
        <v>61</v>
      </c>
      <c r="V24" s="18">
        <v>45807</v>
      </c>
      <c r="W24" s="19" t="str">
        <f ca="1">IFERROR(__xludf.DUMMYFUNCTION("""COMPUTED_VALUE"""),"Loundry W&amp;M")</f>
        <v>Loundry W&amp;M</v>
      </c>
      <c r="X24" s="19" t="str">
        <f ca="1"/>
        <v>ON-Loundry W&amp;M-30052025+5-6288242107169</v>
      </c>
      <c r="Y24" s="17" t="s">
        <v>50</v>
      </c>
      <c r="Z24" s="17" t="s">
        <v>214</v>
      </c>
      <c r="AA24" s="23" t="str">
        <v>https://wa.me/6288242107169</v>
      </c>
      <c r="AB24" s="24"/>
      <c r="AC24" s="24"/>
      <c r="AD24" s="24"/>
      <c r="AE24" s="24"/>
      <c r="AF24" s="25"/>
      <c r="AG24" s="25"/>
    </row>
    <row r="25" spans="1:33" ht="15.75" customHeight="1">
      <c r="A25" s="9" t="s">
        <v>39</v>
      </c>
      <c r="B25" s="10">
        <v>25</v>
      </c>
      <c r="C25" s="11" t="s">
        <v>215</v>
      </c>
      <c r="D25" s="12">
        <v>45808.760116307865</v>
      </c>
      <c r="E25" s="22">
        <v>45802</v>
      </c>
      <c r="F25" s="9" t="s">
        <v>133</v>
      </c>
      <c r="G25" s="9" t="s">
        <v>134</v>
      </c>
      <c r="H25" s="9" t="s">
        <v>216</v>
      </c>
      <c r="I25" s="13" t="s">
        <v>217</v>
      </c>
      <c r="J25" s="9"/>
      <c r="K25" s="9" t="s">
        <v>137</v>
      </c>
      <c r="L25" s="9" t="s">
        <v>218</v>
      </c>
      <c r="M25" s="9" t="s">
        <v>38</v>
      </c>
      <c r="N25" s="14">
        <v>5</v>
      </c>
      <c r="O25" s="12"/>
      <c r="P25" s="12"/>
      <c r="Q25" s="15"/>
      <c r="R25" s="10">
        <v>-4633975755</v>
      </c>
      <c r="S25" s="14"/>
      <c r="T25" s="16">
        <v>197000</v>
      </c>
      <c r="U25" s="17" t="s">
        <v>61</v>
      </c>
      <c r="V25" s="18">
        <v>45802</v>
      </c>
      <c r="W25" s="19" t="str">
        <f ca="1">IFERROR(__xludf.DUMMYFUNCTION("""COMPUTED_VALUE"""),"M&amp;Y mahkota")</f>
        <v>M&amp;Y mahkota</v>
      </c>
      <c r="X25" s="19" t="str">
        <f ca="1"/>
        <v>ON-M&amp;Y mahkota-25052025+5-6282159148587</v>
      </c>
      <c r="Y25" s="17"/>
      <c r="Z25" s="17"/>
      <c r="AA25" s="23" t="str">
        <v>https://wa.me/6282159148587</v>
      </c>
      <c r="AB25" s="24"/>
      <c r="AC25" s="24"/>
      <c r="AD25" s="24"/>
      <c r="AE25" s="24"/>
      <c r="AF25" s="25"/>
      <c r="AG25" s="25"/>
    </row>
    <row r="26" spans="1:33" ht="15.75" customHeight="1">
      <c r="A26" s="9" t="s">
        <v>39</v>
      </c>
      <c r="B26" s="10">
        <v>26</v>
      </c>
      <c r="C26" s="11" t="s">
        <v>219</v>
      </c>
      <c r="D26" s="12">
        <v>45808.766101516201</v>
      </c>
      <c r="E26" s="22">
        <v>45799</v>
      </c>
      <c r="F26" s="9" t="s">
        <v>220</v>
      </c>
      <c r="G26" s="9" t="s">
        <v>221</v>
      </c>
      <c r="H26" s="9" t="s">
        <v>222</v>
      </c>
      <c r="I26" s="13" t="s">
        <v>223</v>
      </c>
      <c r="J26" s="9"/>
      <c r="K26" s="9" t="s">
        <v>224</v>
      </c>
      <c r="L26" s="9" t="s">
        <v>225</v>
      </c>
      <c r="M26" s="9" t="s">
        <v>106</v>
      </c>
      <c r="N26" s="14">
        <v>5</v>
      </c>
      <c r="O26" s="12"/>
      <c r="P26" s="12"/>
      <c r="Q26" s="15"/>
      <c r="R26" s="10">
        <v>-4633975755</v>
      </c>
      <c r="S26" s="14"/>
      <c r="T26" s="16">
        <v>197000</v>
      </c>
      <c r="U26" s="17" t="s">
        <v>49</v>
      </c>
      <c r="V26" s="18">
        <v>45799</v>
      </c>
      <c r="W26" s="19" t="str">
        <f ca="1">IFERROR(__xludf.DUMMYFUNCTION("""COMPUTED_VALUE"""),"Lisa Beauty")</f>
        <v>Lisa Beauty</v>
      </c>
      <c r="X26" s="19" t="str">
        <f ca="1"/>
        <v>ON-Lisa Beauty-22052025+5-6282314234523</v>
      </c>
      <c r="Y26" s="17"/>
      <c r="Z26" s="17"/>
      <c r="AA26" s="23" t="str">
        <v>https://wa.me/6282314234523</v>
      </c>
      <c r="AB26" s="24"/>
      <c r="AC26" s="24"/>
      <c r="AD26" s="24"/>
      <c r="AE26" s="24"/>
      <c r="AF26" s="25"/>
      <c r="AG26" s="25"/>
    </row>
    <row r="27" spans="1:33" ht="15.75" customHeight="1">
      <c r="A27" s="9" t="s">
        <v>39</v>
      </c>
      <c r="B27" s="10">
        <v>27</v>
      </c>
      <c r="C27" s="11" t="s">
        <v>226</v>
      </c>
      <c r="D27" s="12">
        <v>45809.405150277773</v>
      </c>
      <c r="E27" s="22">
        <v>45808</v>
      </c>
      <c r="F27" s="9" t="s">
        <v>227</v>
      </c>
      <c r="G27" s="9" t="s">
        <v>228</v>
      </c>
      <c r="H27" s="9" t="s">
        <v>229</v>
      </c>
      <c r="I27" s="13" t="s">
        <v>230</v>
      </c>
      <c r="J27" s="9" t="s">
        <v>231</v>
      </c>
      <c r="K27" s="9" t="s">
        <v>232</v>
      </c>
      <c r="L27" s="9" t="s">
        <v>233</v>
      </c>
      <c r="M27" s="9" t="s">
        <v>234</v>
      </c>
      <c r="N27" s="14">
        <v>10</v>
      </c>
      <c r="O27" s="12">
        <v>45811</v>
      </c>
      <c r="P27" s="12">
        <v>45820</v>
      </c>
      <c r="Q27" s="15"/>
      <c r="R27" s="10">
        <v>-4633975755</v>
      </c>
      <c r="S27" s="14"/>
      <c r="T27" s="16">
        <v>375000</v>
      </c>
      <c r="U27" s="17" t="s">
        <v>61</v>
      </c>
      <c r="V27" s="18">
        <v>45808</v>
      </c>
      <c r="W27" s="19" t="str">
        <f ca="1">IFERROR(__xludf.DUMMYFUNCTION("""COMPUTED_VALUE"""),"Dapur Florist")</f>
        <v>Dapur Florist</v>
      </c>
      <c r="X27" s="19" t="str">
        <f ca="1"/>
        <v>ON-Dapur Florist-31052025+10-6281399998259</v>
      </c>
      <c r="Y27" s="17" t="s">
        <v>50</v>
      </c>
      <c r="Z27" s="17" t="s">
        <v>214</v>
      </c>
      <c r="AA27" s="23" t="str">
        <v>https://wa.me/6281399998259</v>
      </c>
      <c r="AB27" s="24"/>
      <c r="AC27" s="24"/>
      <c r="AD27" s="24"/>
      <c r="AE27" s="24"/>
      <c r="AF27" s="25"/>
      <c r="AG27" s="25"/>
    </row>
    <row r="28" spans="1:33" ht="15.75" customHeight="1">
      <c r="A28" s="9" t="s">
        <v>196</v>
      </c>
      <c r="B28" s="10">
        <v>28</v>
      </c>
      <c r="C28" s="11" t="s">
        <v>235</v>
      </c>
      <c r="D28" s="12">
        <v>45809.558405231481</v>
      </c>
      <c r="E28" s="12">
        <v>45809.558405231481</v>
      </c>
      <c r="F28" s="9" t="s">
        <v>236</v>
      </c>
      <c r="G28" s="9" t="s">
        <v>236</v>
      </c>
      <c r="H28" s="9" t="s">
        <v>237</v>
      </c>
      <c r="I28" s="13" t="s">
        <v>238</v>
      </c>
      <c r="J28" s="9"/>
      <c r="K28" s="9" t="s">
        <v>239</v>
      </c>
      <c r="L28" s="9"/>
      <c r="M28" s="9" t="s">
        <v>240</v>
      </c>
      <c r="N28" s="14">
        <v>5</v>
      </c>
      <c r="O28" s="12">
        <v>45811</v>
      </c>
      <c r="P28" s="12">
        <v>45815</v>
      </c>
      <c r="Q28" s="15"/>
      <c r="R28" s="10">
        <v>-4633975755</v>
      </c>
      <c r="S28" s="14"/>
      <c r="T28" s="16">
        <v>197000</v>
      </c>
      <c r="U28" s="17" t="s">
        <v>49</v>
      </c>
      <c r="V28" s="18">
        <v>45809.558405231481</v>
      </c>
      <c r="W28" s="19" t="str">
        <f ca="1">IFERROR(__xludf.DUMMYFUNCTION("""COMPUTED_VALUE"""),"EPE Plavon")</f>
        <v>EPE Plavon</v>
      </c>
      <c r="X28" s="19" t="str">
        <f ca="1"/>
        <v>ON-EPE Plavon-01062025+5-6285362101860</v>
      </c>
      <c r="Y28" s="17" t="s">
        <v>62</v>
      </c>
      <c r="Z28" s="17" t="s">
        <v>241</v>
      </c>
      <c r="AA28" s="23" t="str">
        <v>https://wa.me/6285362101860</v>
      </c>
      <c r="AB28" s="24"/>
      <c r="AC28" s="24"/>
      <c r="AD28" s="24"/>
      <c r="AE28" s="24"/>
      <c r="AF28" s="25"/>
      <c r="AG28" s="25"/>
    </row>
    <row r="29" spans="1:33" ht="15.75" customHeight="1">
      <c r="A29" s="9" t="s">
        <v>39</v>
      </c>
      <c r="B29" s="10">
        <v>29</v>
      </c>
      <c r="C29" s="11" t="s">
        <v>242</v>
      </c>
      <c r="D29" s="12">
        <v>45809.559748726853</v>
      </c>
      <c r="E29" s="12">
        <v>45809.558405231481</v>
      </c>
      <c r="F29" s="9" t="s">
        <v>243</v>
      </c>
      <c r="G29" s="9" t="s">
        <v>244</v>
      </c>
      <c r="H29" s="9" t="s">
        <v>245</v>
      </c>
      <c r="I29" s="13" t="s">
        <v>246</v>
      </c>
      <c r="J29" s="9"/>
      <c r="K29" s="9" t="s">
        <v>247</v>
      </c>
      <c r="L29" s="9" t="s">
        <v>248</v>
      </c>
      <c r="M29" s="9" t="s">
        <v>249</v>
      </c>
      <c r="N29" s="14">
        <v>5</v>
      </c>
      <c r="O29" s="12"/>
      <c r="P29" s="12"/>
      <c r="Q29" s="15"/>
      <c r="R29" s="10">
        <v>-4633975755</v>
      </c>
      <c r="S29" s="14"/>
      <c r="T29" s="16">
        <v>197000</v>
      </c>
      <c r="U29" s="17" t="s">
        <v>49</v>
      </c>
      <c r="V29" s="18">
        <v>45809.558405231481</v>
      </c>
      <c r="W29" s="19" t="str">
        <f ca="1">IFERROR(__xludf.DUMMYFUNCTION("""COMPUTED_VALUE"""),"Klinik murabeautycare")</f>
        <v>Klinik murabeautycare</v>
      </c>
      <c r="X29" s="19" t="str">
        <f ca="1"/>
        <v>ON-Klinik murabeautycare-01062025+5-6282274447649</v>
      </c>
      <c r="Y29" s="17"/>
      <c r="Z29" s="17"/>
      <c r="AA29" s="23" t="str">
        <v>https://wa.me/6282274447649</v>
      </c>
      <c r="AB29" s="28" t="s">
        <v>250</v>
      </c>
      <c r="AC29" s="28"/>
      <c r="AD29" s="28"/>
      <c r="AE29" s="28"/>
      <c r="AF29" s="29"/>
      <c r="AG29" s="29"/>
    </row>
    <row r="30" spans="1:33" ht="15.75" customHeight="1">
      <c r="A30" s="9" t="s">
        <v>39</v>
      </c>
      <c r="B30" s="10">
        <v>30</v>
      </c>
      <c r="C30" s="11" t="s">
        <v>251</v>
      </c>
      <c r="D30" s="12">
        <v>45809.688568541664</v>
      </c>
      <c r="E30" s="12">
        <v>45809.558405231481</v>
      </c>
      <c r="F30" s="9" t="s">
        <v>252</v>
      </c>
      <c r="G30" s="9" t="s">
        <v>253</v>
      </c>
      <c r="H30" s="9" t="s">
        <v>254</v>
      </c>
      <c r="I30" s="13" t="s">
        <v>255</v>
      </c>
      <c r="J30" s="9" t="s">
        <v>256</v>
      </c>
      <c r="K30" s="9" t="s">
        <v>257</v>
      </c>
      <c r="L30" s="9" t="s">
        <v>258</v>
      </c>
      <c r="M30" s="9" t="s">
        <v>259</v>
      </c>
      <c r="N30" s="14">
        <v>5</v>
      </c>
      <c r="O30" s="12"/>
      <c r="P30" s="12"/>
      <c r="Q30" s="15"/>
      <c r="R30" s="10">
        <v>-4633975755</v>
      </c>
      <c r="S30" s="14"/>
      <c r="T30" s="16">
        <v>197000</v>
      </c>
      <c r="U30" s="17" t="s">
        <v>115</v>
      </c>
      <c r="V30" s="18">
        <v>45809.558405231481</v>
      </c>
      <c r="W30" s="19" t="str">
        <f ca="1">IFERROR(__xludf.DUMMYFUNCTION("""COMPUTED_VALUE"""),"Sofie Gorden")</f>
        <v>Sofie Gorden</v>
      </c>
      <c r="X30" s="19" t="str">
        <f ca="1"/>
        <v>ON-Sofie Gorden-01062025+5-6282154795446</v>
      </c>
      <c r="Y30" s="17"/>
      <c r="Z30" s="17"/>
      <c r="AA30" s="23" t="str">
        <v>https://wa.me/6282154795446</v>
      </c>
      <c r="AB30" s="24"/>
      <c r="AC30" s="24"/>
      <c r="AD30" s="24"/>
      <c r="AE30" s="24"/>
      <c r="AF30" s="25"/>
      <c r="AG30" s="25"/>
    </row>
    <row r="31" spans="1:33" ht="15.75" customHeight="1">
      <c r="A31" s="9" t="s">
        <v>39</v>
      </c>
      <c r="B31" s="10">
        <v>32</v>
      </c>
      <c r="C31" s="11" t="s">
        <v>260</v>
      </c>
      <c r="D31" s="12">
        <v>45809.825717615742</v>
      </c>
      <c r="E31" s="12">
        <v>45809.558405231481</v>
      </c>
      <c r="F31" s="9" t="s">
        <v>261</v>
      </c>
      <c r="G31" s="9" t="s">
        <v>262</v>
      </c>
      <c r="H31" s="9" t="s">
        <v>263</v>
      </c>
      <c r="I31" s="13" t="s">
        <v>264</v>
      </c>
      <c r="J31" s="9"/>
      <c r="K31" s="9" t="s">
        <v>265</v>
      </c>
      <c r="L31" s="9" t="s">
        <v>266</v>
      </c>
      <c r="M31" s="9" t="s">
        <v>267</v>
      </c>
      <c r="N31" s="14">
        <v>5</v>
      </c>
      <c r="O31" s="12"/>
      <c r="P31" s="12"/>
      <c r="Q31" s="15"/>
      <c r="R31" s="10">
        <v>-4633975755</v>
      </c>
      <c r="S31" s="14"/>
      <c r="T31" s="16">
        <v>197000</v>
      </c>
      <c r="U31" s="17" t="s">
        <v>49</v>
      </c>
      <c r="V31" s="18">
        <v>45809.558405231481</v>
      </c>
      <c r="W31" s="19" t="str">
        <f ca="1">IFERROR(__xludf.DUMMYFUNCTION("""COMPUTED_VALUE"""),"icad Interior")</f>
        <v>icad Interior</v>
      </c>
      <c r="X31" s="19" t="str">
        <f ca="1"/>
        <v>ON-icad Interior-01062025+5-6285211510282</v>
      </c>
      <c r="Y31" s="17"/>
      <c r="Z31" s="17"/>
      <c r="AA31" s="23" t="str">
        <v>https://wa.me/6285211510282</v>
      </c>
      <c r="AB31" s="24"/>
      <c r="AC31" s="24"/>
      <c r="AD31" s="24"/>
      <c r="AE31" s="24"/>
      <c r="AF31" s="25"/>
      <c r="AG31" s="25"/>
    </row>
    <row r="32" spans="1:33" ht="15.75" customHeight="1">
      <c r="A32" s="9" t="s">
        <v>39</v>
      </c>
      <c r="B32" s="10">
        <v>33</v>
      </c>
      <c r="C32" s="11" t="s">
        <v>268</v>
      </c>
      <c r="D32" s="12">
        <v>45810.567187939814</v>
      </c>
      <c r="E32" s="30">
        <v>45809</v>
      </c>
      <c r="F32" s="9" t="s">
        <v>269</v>
      </c>
      <c r="G32" s="9" t="s">
        <v>270</v>
      </c>
      <c r="H32" s="9" t="s">
        <v>271</v>
      </c>
      <c r="I32" s="13" t="s">
        <v>272</v>
      </c>
      <c r="J32" s="9" t="s">
        <v>273</v>
      </c>
      <c r="K32" s="9" t="s">
        <v>274</v>
      </c>
      <c r="L32" s="9" t="s">
        <v>275</v>
      </c>
      <c r="M32" s="9" t="s">
        <v>276</v>
      </c>
      <c r="N32" s="14">
        <v>5</v>
      </c>
      <c r="O32" s="12">
        <v>45811</v>
      </c>
      <c r="P32" s="12">
        <v>45815</v>
      </c>
      <c r="Q32" s="15"/>
      <c r="R32" s="10">
        <v>-4633975755</v>
      </c>
      <c r="S32" s="14"/>
      <c r="T32" s="31">
        <v>197</v>
      </c>
      <c r="U32" s="17" t="s">
        <v>115</v>
      </c>
      <c r="V32" s="18">
        <v>45809</v>
      </c>
      <c r="W32" s="19" t="str">
        <f ca="1">IFERROR(__xludf.DUMMYFUNCTION("""COMPUTED_VALUE"""),"sahabat AC")</f>
        <v>sahabat AC</v>
      </c>
      <c r="X32" s="19" t="str">
        <f ca="1"/>
        <v>ON-sahabat AC-01062025+5-6285737244570</v>
      </c>
      <c r="Y32" s="17" t="s">
        <v>50</v>
      </c>
      <c r="Z32" s="17" t="s">
        <v>277</v>
      </c>
      <c r="AA32" s="23" t="str">
        <v>https://wa.me/6285737244570</v>
      </c>
      <c r="AB32" s="24"/>
      <c r="AC32" s="24"/>
      <c r="AD32" s="24"/>
      <c r="AE32" s="24"/>
      <c r="AF32" s="25"/>
      <c r="AG32" s="25"/>
    </row>
    <row r="33" spans="1:33" ht="15.75" customHeight="1">
      <c r="A33" s="9" t="s">
        <v>39</v>
      </c>
      <c r="B33" s="10">
        <v>34</v>
      </c>
      <c r="C33" s="11" t="s">
        <v>278</v>
      </c>
      <c r="D33" s="12">
        <v>45810.597062430556</v>
      </c>
      <c r="E33" s="30">
        <v>45809</v>
      </c>
      <c r="F33" s="9" t="s">
        <v>279</v>
      </c>
      <c r="G33" s="9" t="s">
        <v>280</v>
      </c>
      <c r="H33" s="9" t="s">
        <v>281</v>
      </c>
      <c r="I33" s="13" t="s">
        <v>282</v>
      </c>
      <c r="J33" s="9"/>
      <c r="K33" s="9" t="s">
        <v>283</v>
      </c>
      <c r="L33" s="9" t="s">
        <v>284</v>
      </c>
      <c r="M33" s="9" t="s">
        <v>285</v>
      </c>
      <c r="N33" s="14">
        <v>5</v>
      </c>
      <c r="O33" s="12">
        <v>45811</v>
      </c>
      <c r="P33" s="12">
        <v>45816</v>
      </c>
      <c r="Q33" s="15"/>
      <c r="R33" s="10">
        <v>-4633975755</v>
      </c>
      <c r="S33" s="14"/>
      <c r="T33" s="16">
        <v>197000</v>
      </c>
      <c r="U33" s="17" t="s">
        <v>61</v>
      </c>
      <c r="V33" s="18">
        <v>45809</v>
      </c>
      <c r="W33" s="19" t="str">
        <f ca="1">IFERROR(__xludf.DUMMYFUNCTION("""COMPUTED_VALUE"""),"Travel Umroh")</f>
        <v>Travel Umroh</v>
      </c>
      <c r="X33" s="19" t="str">
        <f ca="1"/>
        <v>ON-Travel Umroh-01062025+5-6285290626929</v>
      </c>
      <c r="Y33" s="17" t="s">
        <v>50</v>
      </c>
      <c r="Z33" s="17" t="s">
        <v>214</v>
      </c>
      <c r="AA33" s="23" t="str">
        <v>https://wa.me/6285290626929</v>
      </c>
      <c r="AB33" s="24"/>
      <c r="AC33" s="24"/>
      <c r="AD33" s="24"/>
      <c r="AE33" s="24"/>
      <c r="AF33" s="25"/>
      <c r="AG33" s="25"/>
    </row>
    <row r="34" spans="1:33" ht="15.75" customHeight="1">
      <c r="A34" s="9" t="s">
        <v>39</v>
      </c>
      <c r="B34" s="10">
        <v>35</v>
      </c>
      <c r="C34" s="11" t="s">
        <v>286</v>
      </c>
      <c r="D34" s="12">
        <v>45810.616944687499</v>
      </c>
      <c r="E34" s="30">
        <v>45809</v>
      </c>
      <c r="F34" s="9" t="s">
        <v>287</v>
      </c>
      <c r="G34" s="9" t="s">
        <v>288</v>
      </c>
      <c r="H34" s="9" t="s">
        <v>289</v>
      </c>
      <c r="I34" s="13" t="s">
        <v>290</v>
      </c>
      <c r="J34" s="9"/>
      <c r="K34" s="9" t="s">
        <v>291</v>
      </c>
      <c r="L34" s="9" t="s">
        <v>292</v>
      </c>
      <c r="M34" s="9" t="s">
        <v>60</v>
      </c>
      <c r="N34" s="14">
        <v>10</v>
      </c>
      <c r="O34" s="12"/>
      <c r="P34" s="12"/>
      <c r="Q34" s="15"/>
      <c r="R34" s="10">
        <v>-4633975755</v>
      </c>
      <c r="S34" s="14"/>
      <c r="T34" s="16">
        <v>375000</v>
      </c>
      <c r="U34" s="17" t="s">
        <v>115</v>
      </c>
      <c r="V34" s="18">
        <v>45809</v>
      </c>
      <c r="W34" s="19" t="str">
        <f ca="1">IFERROR(__xludf.DUMMYFUNCTION("""COMPUTED_VALUE"""),"bengkel mobil")</f>
        <v>bengkel mobil</v>
      </c>
      <c r="X34" s="19" t="str">
        <f ca="1"/>
        <v>ON-bengkel mobil-01062025+10-6282288123215</v>
      </c>
      <c r="Y34" s="17" t="s">
        <v>293</v>
      </c>
      <c r="Z34" s="17" t="s">
        <v>294</v>
      </c>
      <c r="AA34" s="23" t="str">
        <v>https://wa.me/6282288123215</v>
      </c>
      <c r="AB34" s="24"/>
      <c r="AC34" s="24"/>
      <c r="AD34" s="24"/>
      <c r="AE34" s="24"/>
      <c r="AF34" s="25"/>
      <c r="AG34" s="25"/>
    </row>
    <row r="35" spans="1:33" ht="15.75" customHeight="1">
      <c r="A35" s="9" t="s">
        <v>39</v>
      </c>
      <c r="B35" s="10">
        <v>36</v>
      </c>
      <c r="C35" s="11" t="s">
        <v>295</v>
      </c>
      <c r="D35" s="12">
        <v>45810.656338506946</v>
      </c>
      <c r="E35" s="30">
        <v>45809</v>
      </c>
      <c r="F35" s="9" t="s">
        <v>296</v>
      </c>
      <c r="G35" s="9" t="s">
        <v>297</v>
      </c>
      <c r="H35" s="9" t="s">
        <v>298</v>
      </c>
      <c r="I35" s="13" t="s">
        <v>299</v>
      </c>
      <c r="J35" s="9" t="s">
        <v>300</v>
      </c>
      <c r="K35" s="9" t="s">
        <v>301</v>
      </c>
      <c r="L35" s="9" t="s">
        <v>302</v>
      </c>
      <c r="M35" s="9" t="s">
        <v>276</v>
      </c>
      <c r="N35" s="14">
        <v>5</v>
      </c>
      <c r="O35" s="12">
        <v>45813</v>
      </c>
      <c r="P35" s="12">
        <v>45817</v>
      </c>
      <c r="Q35" s="15"/>
      <c r="R35" s="10">
        <v>-4633975755</v>
      </c>
      <c r="S35" s="14"/>
      <c r="T35" s="16">
        <v>197000</v>
      </c>
      <c r="U35" s="17" t="s">
        <v>115</v>
      </c>
      <c r="V35" s="18">
        <v>45809</v>
      </c>
      <c r="W35" s="19" t="str">
        <f ca="1">IFERROR(__xludf.DUMMYFUNCTION("""COMPUTED_VALUE"""),"Dani Interior")</f>
        <v>Dani Interior</v>
      </c>
      <c r="X35" s="19" t="str">
        <f ca="1"/>
        <v>ON-Dani Interior-01062025+5-6281384925770</v>
      </c>
      <c r="Y35" s="17" t="s">
        <v>293</v>
      </c>
      <c r="Z35" s="17" t="s">
        <v>241</v>
      </c>
      <c r="AA35" s="23" t="str">
        <v>https://wa.me/6281384925770</v>
      </c>
      <c r="AB35" s="24"/>
      <c r="AC35" s="24"/>
      <c r="AD35" s="24"/>
      <c r="AE35" s="24"/>
      <c r="AF35" s="25"/>
      <c r="AG35" s="25"/>
    </row>
    <row r="36" spans="1:33" ht="15.75" customHeight="1">
      <c r="A36" s="9" t="s">
        <v>39</v>
      </c>
      <c r="B36" s="10">
        <v>38</v>
      </c>
      <c r="C36" s="11" t="s">
        <v>303</v>
      </c>
      <c r="D36" s="12">
        <v>45810.789646655088</v>
      </c>
      <c r="E36" s="30">
        <v>45810</v>
      </c>
      <c r="F36" s="9" t="s">
        <v>304</v>
      </c>
      <c r="G36" s="9" t="s">
        <v>305</v>
      </c>
      <c r="H36" s="9" t="s">
        <v>306</v>
      </c>
      <c r="I36" s="13" t="s">
        <v>307</v>
      </c>
      <c r="J36" s="9" t="s">
        <v>308</v>
      </c>
      <c r="K36" s="9" t="s">
        <v>309</v>
      </c>
      <c r="L36" s="9" t="s">
        <v>310</v>
      </c>
      <c r="M36" s="9" t="s">
        <v>267</v>
      </c>
      <c r="N36" s="14">
        <v>13</v>
      </c>
      <c r="O36" s="12">
        <v>45813</v>
      </c>
      <c r="P36" s="12">
        <v>45825</v>
      </c>
      <c r="Q36" s="15"/>
      <c r="R36" s="10">
        <v>-4633975755</v>
      </c>
      <c r="S36" s="14"/>
      <c r="T36" s="16">
        <v>500000</v>
      </c>
      <c r="U36" s="17" t="s">
        <v>61</v>
      </c>
      <c r="V36" s="18">
        <v>45810</v>
      </c>
      <c r="W36" s="19" t="str">
        <f ca="1">IFERROR(__xludf.DUMMYFUNCTION("""COMPUTED_VALUE"""),"Yuzef &amp;")</f>
        <v>Yuzef &amp;</v>
      </c>
      <c r="X36" s="19" t="str">
        <f ca="1"/>
        <v>ON-Yuzef &amp;-02062025+13-628988759290</v>
      </c>
      <c r="Y36" s="17" t="s">
        <v>62</v>
      </c>
      <c r="Z36" s="17" t="s">
        <v>214</v>
      </c>
      <c r="AA36" s="23" t="str">
        <v>https://wa.me/628988759290</v>
      </c>
      <c r="AB36" s="28" t="s">
        <v>311</v>
      </c>
      <c r="AC36" s="28"/>
      <c r="AD36" s="28"/>
      <c r="AE36" s="28"/>
      <c r="AF36" s="29"/>
      <c r="AG36" s="29"/>
    </row>
    <row r="37" spans="1:33" ht="15.75" customHeight="1">
      <c r="A37" s="9" t="s">
        <v>39</v>
      </c>
      <c r="B37" s="10">
        <v>38</v>
      </c>
      <c r="C37" s="11" t="s">
        <v>303</v>
      </c>
      <c r="D37" s="12">
        <v>45810.894866805553</v>
      </c>
      <c r="E37" s="30">
        <v>45810</v>
      </c>
      <c r="F37" s="9" t="s">
        <v>312</v>
      </c>
      <c r="G37" s="9" t="s">
        <v>313</v>
      </c>
      <c r="H37" s="9" t="s">
        <v>314</v>
      </c>
      <c r="I37" s="13" t="s">
        <v>315</v>
      </c>
      <c r="J37" s="9" t="s">
        <v>316</v>
      </c>
      <c r="K37" s="9" t="s">
        <v>317</v>
      </c>
      <c r="L37" s="9" t="s">
        <v>318</v>
      </c>
      <c r="M37" s="9" t="s">
        <v>319</v>
      </c>
      <c r="N37" s="14">
        <v>7</v>
      </c>
      <c r="O37" s="12">
        <v>45812</v>
      </c>
      <c r="P37" s="12"/>
      <c r="Q37" s="15"/>
      <c r="R37" s="10">
        <v>-4633975755</v>
      </c>
      <c r="S37" s="14"/>
      <c r="T37" s="16">
        <v>297000</v>
      </c>
      <c r="U37" s="17" t="s">
        <v>115</v>
      </c>
      <c r="V37" s="18">
        <v>45810</v>
      </c>
      <c r="W37" s="19" t="str">
        <f ca="1">IFERROR(__xludf.DUMMYFUNCTION("""COMPUTED_VALUE"""),"Pakis Advertising")</f>
        <v>Pakis Advertising</v>
      </c>
      <c r="X37" s="19" t="str">
        <f ca="1"/>
        <v>ON-Pakis Advertising-02062025+7-6281934079192</v>
      </c>
      <c r="Y37" s="17" t="s">
        <v>50</v>
      </c>
      <c r="Z37" s="17" t="s">
        <v>214</v>
      </c>
      <c r="AA37" s="23" t="str">
        <v>https://wa.me/6281934079192</v>
      </c>
      <c r="AB37" s="24"/>
      <c r="AC37" s="24"/>
      <c r="AD37" s="24"/>
      <c r="AE37" s="24"/>
      <c r="AF37" s="25"/>
      <c r="AG37" s="25"/>
    </row>
    <row r="38" spans="1:33" ht="15.75" customHeight="1">
      <c r="A38" s="9" t="s">
        <v>39</v>
      </c>
      <c r="B38" s="10">
        <v>39</v>
      </c>
      <c r="C38" s="11" t="s">
        <v>320</v>
      </c>
      <c r="D38" s="12">
        <v>45811.604988923616</v>
      </c>
      <c r="E38" s="30">
        <v>45810</v>
      </c>
      <c r="F38" s="9" t="s">
        <v>321</v>
      </c>
      <c r="G38" s="9" t="s">
        <v>322</v>
      </c>
      <c r="H38" s="9" t="s">
        <v>323</v>
      </c>
      <c r="I38" s="13" t="s">
        <v>324</v>
      </c>
      <c r="J38" s="9" t="s">
        <v>325</v>
      </c>
      <c r="K38" s="9" t="s">
        <v>326</v>
      </c>
      <c r="L38" s="9" t="s">
        <v>302</v>
      </c>
      <c r="M38" s="9"/>
      <c r="N38" s="14">
        <v>5</v>
      </c>
      <c r="O38" s="12">
        <v>45813</v>
      </c>
      <c r="P38" s="12">
        <v>45817</v>
      </c>
      <c r="Q38" s="15"/>
      <c r="R38" s="10">
        <v>-4633975755</v>
      </c>
      <c r="S38" s="14"/>
      <c r="T38" s="16">
        <v>197000</v>
      </c>
      <c r="U38" s="17" t="s">
        <v>115</v>
      </c>
      <c r="V38" s="18">
        <v>45810</v>
      </c>
      <c r="W38" s="19" t="str">
        <f ca="1">IFERROR(__xludf.DUMMYFUNCTION("""COMPUTED_VALUE"""),"Griya rias")</f>
        <v>Griya rias</v>
      </c>
      <c r="X38" s="19" t="str">
        <f ca="1"/>
        <v>ON-Griya rias-02062025+5-6281335551395</v>
      </c>
      <c r="Y38" s="17" t="s">
        <v>62</v>
      </c>
      <c r="Z38" s="17" t="s">
        <v>327</v>
      </c>
      <c r="AA38" s="23" t="str">
        <v>https://wa.me/6281335551395</v>
      </c>
      <c r="AB38" s="24"/>
      <c r="AC38" s="24"/>
      <c r="AD38" s="24"/>
      <c r="AE38" s="24"/>
      <c r="AF38" s="25"/>
      <c r="AG38" s="25"/>
    </row>
    <row r="39" spans="1:33" ht="15.75" customHeight="1">
      <c r="A39" s="9" t="s">
        <v>39</v>
      </c>
      <c r="B39" s="14">
        <v>40</v>
      </c>
      <c r="C39" s="11" t="s">
        <v>328</v>
      </c>
      <c r="D39" s="12">
        <v>45811.604988923616</v>
      </c>
      <c r="E39" s="12">
        <v>45811.604988923616</v>
      </c>
      <c r="F39" s="9" t="s">
        <v>329</v>
      </c>
      <c r="G39" s="9" t="s">
        <v>329</v>
      </c>
      <c r="H39" s="9" t="s">
        <v>329</v>
      </c>
      <c r="I39" s="13" t="s">
        <v>330</v>
      </c>
      <c r="J39" s="9"/>
      <c r="K39" s="9"/>
      <c r="L39" s="9"/>
      <c r="M39" s="9"/>
      <c r="N39" s="14">
        <v>30</v>
      </c>
      <c r="O39" s="12">
        <v>45811</v>
      </c>
      <c r="P39" s="12">
        <v>45841</v>
      </c>
      <c r="Q39" s="15"/>
      <c r="R39" s="10"/>
      <c r="S39" s="14"/>
      <c r="T39" s="16">
        <v>875000</v>
      </c>
      <c r="U39" s="17" t="s">
        <v>331</v>
      </c>
      <c r="V39" s="18">
        <v>45811.604988923616</v>
      </c>
      <c r="W39" s="19" t="str">
        <f ca="1">IFERROR(__xludf.DUMMYFUNCTION("""COMPUTED_VALUE"""),"Fit Klin")</f>
        <v>Fit Klin</v>
      </c>
      <c r="X39" s="19" t="str">
        <f ca="1"/>
        <v>ON-Fit Klin-03062025+30-6282350524788</v>
      </c>
      <c r="Y39" s="17" t="s">
        <v>50</v>
      </c>
      <c r="Z39" s="17" t="s">
        <v>214</v>
      </c>
      <c r="AA39" s="23" t="str">
        <v>https://wa.me/6282350524788</v>
      </c>
      <c r="AB39" s="28" t="s">
        <v>332</v>
      </c>
      <c r="AC39" s="28"/>
      <c r="AD39" s="28"/>
      <c r="AE39" s="28"/>
      <c r="AF39" s="29"/>
      <c r="AG39" s="29"/>
    </row>
    <row r="40" spans="1:33" ht="15.75" customHeight="1">
      <c r="A40" s="9" t="s">
        <v>39</v>
      </c>
      <c r="B40" s="14">
        <v>43</v>
      </c>
      <c r="C40" s="11" t="s">
        <v>333</v>
      </c>
      <c r="D40" s="12">
        <v>45812.183721145833</v>
      </c>
      <c r="E40" s="12">
        <v>45811.604988923616</v>
      </c>
      <c r="F40" s="9" t="s">
        <v>334</v>
      </c>
      <c r="G40" s="9" t="s">
        <v>335</v>
      </c>
      <c r="H40" s="9" t="s">
        <v>336</v>
      </c>
      <c r="I40" s="13" t="s">
        <v>337</v>
      </c>
      <c r="J40" s="9" t="s">
        <v>338</v>
      </c>
      <c r="K40" s="9" t="s">
        <v>339</v>
      </c>
      <c r="L40" s="9" t="s">
        <v>302</v>
      </c>
      <c r="M40" s="9" t="s">
        <v>60</v>
      </c>
      <c r="N40" s="14">
        <v>5</v>
      </c>
      <c r="O40" s="12">
        <v>45813</v>
      </c>
      <c r="P40" s="12">
        <v>45817</v>
      </c>
      <c r="Q40" s="15"/>
      <c r="R40" s="10">
        <v>-4633975755</v>
      </c>
      <c r="S40" s="14"/>
      <c r="T40" s="16">
        <v>197000</v>
      </c>
      <c r="U40" s="17" t="s">
        <v>115</v>
      </c>
      <c r="V40" s="18">
        <v>45811.604988923616</v>
      </c>
      <c r="W40" s="19" t="str">
        <f ca="1">IFERROR(__xludf.DUMMYFUNCTION("""COMPUTED_VALUE"""),"CV Budi")</f>
        <v>CV Budi</v>
      </c>
      <c r="X40" s="19" t="str">
        <f ca="1"/>
        <v>ON-CV Budi-03062025+5-6285822386125</v>
      </c>
      <c r="Y40" s="17" t="s">
        <v>293</v>
      </c>
      <c r="Z40" s="17" t="s">
        <v>241</v>
      </c>
      <c r="AA40" s="23" t="str">
        <v>https://wa.me/6285822386125</v>
      </c>
      <c r="AB40" s="24"/>
      <c r="AC40" s="24"/>
      <c r="AD40" s="24"/>
      <c r="AE40" s="24"/>
      <c r="AF40" s="25"/>
      <c r="AG40" s="25"/>
    </row>
    <row r="41" spans="1:33" ht="15.75" customHeight="1">
      <c r="A41" s="32" t="s">
        <v>39</v>
      </c>
      <c r="B41" s="33">
        <v>44</v>
      </c>
      <c r="C41" s="34" t="s">
        <v>340</v>
      </c>
      <c r="D41" s="35">
        <v>45812.510246527774</v>
      </c>
      <c r="E41" s="35">
        <v>45810</v>
      </c>
      <c r="F41" s="32" t="s">
        <v>341</v>
      </c>
      <c r="G41" s="32" t="s">
        <v>342</v>
      </c>
      <c r="H41" s="32" t="s">
        <v>343</v>
      </c>
      <c r="I41" s="36" t="s">
        <v>344</v>
      </c>
      <c r="J41" s="32"/>
      <c r="K41" s="32" t="s">
        <v>345</v>
      </c>
      <c r="L41" s="32" t="s">
        <v>346</v>
      </c>
      <c r="M41" s="32" t="s">
        <v>347</v>
      </c>
      <c r="N41" s="33">
        <v>5</v>
      </c>
      <c r="O41" s="35">
        <v>45812</v>
      </c>
      <c r="P41" s="35">
        <v>45816</v>
      </c>
      <c r="Q41" s="37"/>
      <c r="R41" s="38">
        <v>-4633975755</v>
      </c>
      <c r="S41" s="33"/>
      <c r="T41" s="39">
        <v>197000</v>
      </c>
      <c r="U41" s="40" t="s">
        <v>115</v>
      </c>
      <c r="V41" s="41">
        <v>45810</v>
      </c>
      <c r="W41" s="42" t="str">
        <f ca="1">IFERROR(__xludf.DUMMYFUNCTION("""COMPUTED_VALUE"""),"PT Bangun")</f>
        <v>PT Bangun</v>
      </c>
      <c r="X41" s="42" t="str">
        <f ca="1"/>
        <v>ON-PT Bangun-02062025+5-6281226605001</v>
      </c>
      <c r="Y41" s="40" t="s">
        <v>62</v>
      </c>
      <c r="Z41" s="40" t="s">
        <v>241</v>
      </c>
      <c r="AA41" s="23" t="str">
        <v>https://wa.me/6281226605001</v>
      </c>
      <c r="AB41" s="24"/>
      <c r="AC41" s="24"/>
      <c r="AD41" s="24"/>
      <c r="AE41" s="24"/>
      <c r="AF41" s="25"/>
      <c r="AG41" s="25"/>
    </row>
    <row r="42" spans="1:33" ht="15.75" customHeight="1">
      <c r="A42" s="32" t="s">
        <v>39</v>
      </c>
      <c r="B42" s="33">
        <v>43</v>
      </c>
      <c r="C42" s="34" t="s">
        <v>333</v>
      </c>
      <c r="D42" s="35">
        <v>45812.59884770833</v>
      </c>
      <c r="E42" s="43">
        <v>45810</v>
      </c>
      <c r="F42" s="32" t="s">
        <v>348</v>
      </c>
      <c r="G42" s="32" t="s">
        <v>349</v>
      </c>
      <c r="H42" s="32" t="s">
        <v>350</v>
      </c>
      <c r="I42" s="36" t="s">
        <v>351</v>
      </c>
      <c r="J42" s="32" t="s">
        <v>352</v>
      </c>
      <c r="K42" s="32" t="s">
        <v>353</v>
      </c>
      <c r="L42" s="32" t="s">
        <v>354</v>
      </c>
      <c r="M42" s="32" t="s">
        <v>276</v>
      </c>
      <c r="N42" s="33">
        <v>5</v>
      </c>
      <c r="O42" s="35">
        <v>45812</v>
      </c>
      <c r="P42" s="35">
        <v>45817</v>
      </c>
      <c r="Q42" s="37"/>
      <c r="R42" s="38">
        <v>-4633975755</v>
      </c>
      <c r="S42" s="33"/>
      <c r="T42" s="39">
        <v>197000</v>
      </c>
      <c r="U42" s="40" t="s">
        <v>115</v>
      </c>
      <c r="V42" s="41">
        <v>45810</v>
      </c>
      <c r="W42" s="42" t="str">
        <f ca="1">IFERROR(__xludf.DUMMYFUNCTION("""COMPUTED_VALUE"""),"Umam daffa")</f>
        <v>Umam daffa</v>
      </c>
      <c r="X42" s="42" t="str">
        <f ca="1"/>
        <v>ON-Umam daffa-02062025+5-6287715040331</v>
      </c>
      <c r="Y42" s="40" t="s">
        <v>62</v>
      </c>
      <c r="Z42" s="40" t="s">
        <v>241</v>
      </c>
      <c r="AA42" s="23" t="str">
        <v>https://wa.me/6287715040331</v>
      </c>
      <c r="AB42" s="24"/>
      <c r="AC42" s="24"/>
      <c r="AD42" s="24"/>
      <c r="AE42" s="24"/>
      <c r="AF42" s="25"/>
      <c r="AG42" s="25"/>
    </row>
    <row r="43" spans="1:33" ht="15.75" customHeight="1">
      <c r="A43" s="32" t="s">
        <v>39</v>
      </c>
      <c r="B43" s="33">
        <v>44</v>
      </c>
      <c r="C43" s="34" t="s">
        <v>340</v>
      </c>
      <c r="D43" s="35">
        <v>45812.632121423609</v>
      </c>
      <c r="E43" s="44">
        <v>45812</v>
      </c>
      <c r="F43" s="32" t="s">
        <v>355</v>
      </c>
      <c r="G43" s="32" t="s">
        <v>356</v>
      </c>
      <c r="H43" s="32" t="s">
        <v>357</v>
      </c>
      <c r="I43" s="36" t="s">
        <v>358</v>
      </c>
      <c r="J43" s="32"/>
      <c r="K43" s="32" t="s">
        <v>359</v>
      </c>
      <c r="L43" s="32" t="s">
        <v>360</v>
      </c>
      <c r="M43" s="32" t="s">
        <v>276</v>
      </c>
      <c r="N43" s="33">
        <v>5</v>
      </c>
      <c r="O43" s="35">
        <v>45813</v>
      </c>
      <c r="P43" s="35">
        <v>45817</v>
      </c>
      <c r="Q43" s="37"/>
      <c r="R43" s="38">
        <v>-4633975755</v>
      </c>
      <c r="S43" s="33"/>
      <c r="T43" s="39">
        <v>197000</v>
      </c>
      <c r="U43" s="40" t="s">
        <v>115</v>
      </c>
      <c r="V43" s="41">
        <v>45812</v>
      </c>
      <c r="W43" s="42" t="str">
        <f ca="1">IFERROR(__xludf.DUMMYFUNCTION("""COMPUTED_VALUE"""),"CV Sejahtera")</f>
        <v>CV Sejahtera</v>
      </c>
      <c r="X43" s="42" t="str">
        <f ca="1"/>
        <v>ON-CV Sejahtera-04062025+5-6281515877050</v>
      </c>
      <c r="Y43" s="40" t="s">
        <v>293</v>
      </c>
      <c r="Z43" s="40" t="s">
        <v>277</v>
      </c>
      <c r="AA43" s="23" t="str">
        <v>https://wa.me/6281515877050</v>
      </c>
      <c r="AB43" s="24"/>
      <c r="AC43" s="24"/>
      <c r="AD43" s="24"/>
      <c r="AE43" s="24"/>
      <c r="AF43" s="25"/>
      <c r="AG43" s="25"/>
    </row>
    <row r="44" spans="1:33" ht="15.75" customHeight="1">
      <c r="A44" s="32" t="s">
        <v>39</v>
      </c>
      <c r="B44" s="33">
        <v>45</v>
      </c>
      <c r="C44" s="34" t="s">
        <v>361</v>
      </c>
      <c r="D44" s="35">
        <v>45813.644604768517</v>
      </c>
      <c r="E44" s="44">
        <v>45813</v>
      </c>
      <c r="F44" s="32" t="s">
        <v>362</v>
      </c>
      <c r="G44" s="32" t="s">
        <v>363</v>
      </c>
      <c r="H44" s="32" t="s">
        <v>364</v>
      </c>
      <c r="I44" s="36" t="s">
        <v>365</v>
      </c>
      <c r="J44" s="32"/>
      <c r="K44" s="32" t="s">
        <v>366</v>
      </c>
      <c r="L44" s="32" t="s">
        <v>69</v>
      </c>
      <c r="M44" s="32" t="s">
        <v>367</v>
      </c>
      <c r="N44" s="33">
        <v>5</v>
      </c>
      <c r="O44" s="35">
        <v>45815</v>
      </c>
      <c r="P44" s="35">
        <v>45819</v>
      </c>
      <c r="Q44" s="37"/>
      <c r="R44" s="38">
        <v>-4633975755</v>
      </c>
      <c r="S44" s="33"/>
      <c r="T44" s="39">
        <v>197000</v>
      </c>
      <c r="U44" s="40" t="s">
        <v>49</v>
      </c>
      <c r="V44" s="41">
        <v>45813</v>
      </c>
      <c r="W44" s="42" t="str">
        <f ca="1">IFERROR(__xludf.DUMMYFUNCTION("""COMPUTED_VALUE"""),"PG MILAN")</f>
        <v>PG MILAN</v>
      </c>
      <c r="X44" s="42" t="str">
        <f ca="1"/>
        <v>ON-PG MILAN-05062025+5-6281318125688</v>
      </c>
      <c r="Y44" s="40" t="s">
        <v>293</v>
      </c>
      <c r="Z44" s="40" t="s">
        <v>241</v>
      </c>
      <c r="AA44" s="23" t="str">
        <v>https://wa.me/6281318125688</v>
      </c>
      <c r="AB44" s="24"/>
      <c r="AC44" s="24"/>
      <c r="AD44" s="24"/>
      <c r="AE44" s="24"/>
      <c r="AF44" s="25"/>
      <c r="AG44" s="25"/>
    </row>
    <row r="45" spans="1:33" ht="15.75" customHeight="1">
      <c r="A45" s="32" t="s">
        <v>39</v>
      </c>
      <c r="B45" s="33">
        <v>46</v>
      </c>
      <c r="C45" s="34" t="s">
        <v>368</v>
      </c>
      <c r="D45" s="35">
        <v>45813.727949525462</v>
      </c>
      <c r="E45" s="44">
        <v>45813</v>
      </c>
      <c r="F45" s="32" t="s">
        <v>369</v>
      </c>
      <c r="G45" s="32" t="s">
        <v>370</v>
      </c>
      <c r="H45" s="32" t="s">
        <v>371</v>
      </c>
      <c r="I45" s="36" t="s">
        <v>372</v>
      </c>
      <c r="J45" s="32" t="s">
        <v>373</v>
      </c>
      <c r="K45" s="32" t="s">
        <v>374</v>
      </c>
      <c r="L45" s="32" t="s">
        <v>302</v>
      </c>
      <c r="M45" s="32" t="s">
        <v>276</v>
      </c>
      <c r="N45" s="33">
        <v>14</v>
      </c>
      <c r="O45" s="35">
        <v>45815</v>
      </c>
      <c r="P45" s="35">
        <v>45828</v>
      </c>
      <c r="Q45" s="37"/>
      <c r="R45" s="38">
        <v>-4633975755</v>
      </c>
      <c r="S45" s="33"/>
      <c r="T45" s="39">
        <v>500000</v>
      </c>
      <c r="U45" s="40" t="s">
        <v>115</v>
      </c>
      <c r="V45" s="41">
        <v>45813</v>
      </c>
      <c r="W45" s="42" t="str">
        <f ca="1">IFERROR(__xludf.DUMMYFUNCTION("""COMPUTED_VALUE"""),"Bina Karya")</f>
        <v>Bina Karya</v>
      </c>
      <c r="X45" s="42" t="str">
        <f ca="1"/>
        <v>ON-Bina Karya-05062025+14-6281219751312</v>
      </c>
      <c r="Y45" s="40" t="s">
        <v>293</v>
      </c>
      <c r="Z45" s="40" t="s">
        <v>241</v>
      </c>
      <c r="AA45" s="23" t="str">
        <v>https://wa.me/6281219751312</v>
      </c>
      <c r="AB45" s="24"/>
      <c r="AC45" s="24"/>
      <c r="AD45" s="24"/>
      <c r="AE45" s="24"/>
      <c r="AF45" s="25"/>
      <c r="AG45" s="25"/>
    </row>
    <row r="46" spans="1:33" ht="15.75" customHeight="1">
      <c r="A46" s="32" t="s">
        <v>39</v>
      </c>
      <c r="B46" s="33">
        <v>47</v>
      </c>
      <c r="C46" s="34" t="s">
        <v>375</v>
      </c>
      <c r="D46" s="35">
        <v>45813.897506562498</v>
      </c>
      <c r="E46" s="44">
        <v>45813</v>
      </c>
      <c r="F46" s="32" t="s">
        <v>376</v>
      </c>
      <c r="G46" s="32" t="s">
        <v>377</v>
      </c>
      <c r="H46" s="32" t="s">
        <v>378</v>
      </c>
      <c r="I46" s="36" t="s">
        <v>379</v>
      </c>
      <c r="J46" s="32"/>
      <c r="K46" s="32" t="s">
        <v>380</v>
      </c>
      <c r="L46" s="32" t="s">
        <v>381</v>
      </c>
      <c r="M46" s="32" t="s">
        <v>382</v>
      </c>
      <c r="N46" s="33">
        <v>5</v>
      </c>
      <c r="O46" s="35">
        <v>45815</v>
      </c>
      <c r="P46" s="35">
        <v>45819</v>
      </c>
      <c r="Q46" s="37"/>
      <c r="R46" s="38">
        <v>-4633975755</v>
      </c>
      <c r="S46" s="33"/>
      <c r="T46" s="39">
        <v>197000</v>
      </c>
      <c r="U46" s="40" t="s">
        <v>115</v>
      </c>
      <c r="V46" s="41">
        <v>45813</v>
      </c>
      <c r="W46" s="42" t="str">
        <f ca="1">IFERROR(__xludf.DUMMYFUNCTION("""COMPUTED_VALUE"""),"TEKNIK DYAZ")</f>
        <v>TEKNIK DYAZ</v>
      </c>
      <c r="X46" s="42" t="str">
        <f ca="1"/>
        <v>ON-TEKNIK DYAZ-05062025+5-6287845701116</v>
      </c>
      <c r="Y46" s="40" t="s">
        <v>293</v>
      </c>
      <c r="Z46" s="40" t="s">
        <v>277</v>
      </c>
      <c r="AA46" s="23" t="str">
        <v>https://wa.me/6287845701116</v>
      </c>
      <c r="AB46" s="24"/>
      <c r="AC46" s="24"/>
      <c r="AD46" s="24"/>
      <c r="AE46" s="24"/>
      <c r="AF46" s="25"/>
      <c r="AG46" s="25"/>
    </row>
    <row r="47" spans="1:33" ht="15.75" customHeight="1">
      <c r="A47" s="32" t="s">
        <v>39</v>
      </c>
      <c r="B47" s="33">
        <v>48</v>
      </c>
      <c r="C47" s="34" t="s">
        <v>383</v>
      </c>
      <c r="D47" s="35">
        <v>45813.956931793982</v>
      </c>
      <c r="E47" s="33" t="s">
        <v>384</v>
      </c>
      <c r="F47" s="32" t="s">
        <v>385</v>
      </c>
      <c r="G47" s="32" t="s">
        <v>386</v>
      </c>
      <c r="H47" s="32" t="s">
        <v>387</v>
      </c>
      <c r="I47" s="36" t="s">
        <v>388</v>
      </c>
      <c r="J47" s="32"/>
      <c r="K47" s="32" t="s">
        <v>389</v>
      </c>
      <c r="L47" s="32"/>
      <c r="M47" s="32" t="s">
        <v>390</v>
      </c>
      <c r="N47" s="33">
        <v>5</v>
      </c>
      <c r="O47" s="35">
        <v>45815</v>
      </c>
      <c r="P47" s="35">
        <v>45819</v>
      </c>
      <c r="Q47" s="37"/>
      <c r="R47" s="38">
        <v>-4633975755</v>
      </c>
      <c r="S47" s="33"/>
      <c r="T47" s="39">
        <v>197000</v>
      </c>
      <c r="U47" s="40" t="s">
        <v>61</v>
      </c>
      <c r="V47" s="41" t="str">
        <v>05-Juni-2025</v>
      </c>
      <c r="W47" s="42" t="str">
        <f ca="1">IFERROR(__xludf.DUMMYFUNCTION("""COMPUTED_VALUE"""),"Tukang Njatipurno")</f>
        <v>Tukang Njatipurno</v>
      </c>
      <c r="X47" s="42" t="str">
        <f ca="1"/>
        <v>ON-Tukang Njatipurno-05-Juni-2025+5-6283134740502</v>
      </c>
      <c r="Y47" s="40" t="s">
        <v>293</v>
      </c>
      <c r="Z47" s="40" t="s">
        <v>241</v>
      </c>
      <c r="AA47" s="23" t="str">
        <v>https://wa.me/6283134740502</v>
      </c>
      <c r="AB47" s="24"/>
      <c r="AC47" s="24"/>
      <c r="AD47" s="24"/>
      <c r="AE47" s="24"/>
      <c r="AF47" s="25"/>
      <c r="AG47" s="25"/>
    </row>
    <row r="48" spans="1:33" ht="15.75" customHeight="1">
      <c r="A48" s="32" t="s">
        <v>39</v>
      </c>
      <c r="B48" s="33">
        <v>49</v>
      </c>
      <c r="C48" s="34" t="s">
        <v>391</v>
      </c>
      <c r="D48" s="35">
        <v>45815.669052893514</v>
      </c>
      <c r="E48" s="33" t="s">
        <v>392</v>
      </c>
      <c r="F48" s="32" t="s">
        <v>393</v>
      </c>
      <c r="G48" s="32" t="s">
        <v>394</v>
      </c>
      <c r="H48" s="32" t="s">
        <v>395</v>
      </c>
      <c r="I48" s="36" t="s">
        <v>396</v>
      </c>
      <c r="J48" s="32" t="s">
        <v>397</v>
      </c>
      <c r="K48" s="32" t="s">
        <v>398</v>
      </c>
      <c r="L48" s="32" t="s">
        <v>166</v>
      </c>
      <c r="M48" s="32" t="s">
        <v>70</v>
      </c>
      <c r="N48" s="33">
        <v>10</v>
      </c>
      <c r="O48" s="35">
        <v>45819</v>
      </c>
      <c r="P48" s="35">
        <v>45829</v>
      </c>
      <c r="Q48" s="37"/>
      <c r="R48" s="38">
        <v>-4633975755</v>
      </c>
      <c r="S48" s="33"/>
      <c r="T48" s="39">
        <v>375000</v>
      </c>
      <c r="U48" s="40" t="s">
        <v>61</v>
      </c>
      <c r="V48" s="41" t="str">
        <v>07-Juni-2025</v>
      </c>
      <c r="W48" s="42" t="str">
        <f ca="1">IFERROR(__xludf.DUMMYFUNCTION("""COMPUTED_VALUE"""),"Rosfreb Shop")</f>
        <v>Rosfreb Shop</v>
      </c>
      <c r="X48" s="42" t="str">
        <f ca="1"/>
        <v>ON-Rosfreb Shop-07-Juni-2025+10-6267074784874</v>
      </c>
      <c r="Y48" s="40" t="s">
        <v>62</v>
      </c>
      <c r="Z48" s="40" t="s">
        <v>327</v>
      </c>
      <c r="AA48" s="23" t="str">
        <v>https://wa.me/6267074784874</v>
      </c>
      <c r="AB48" s="28" t="s">
        <v>399</v>
      </c>
      <c r="AC48" s="28"/>
      <c r="AD48" s="28"/>
      <c r="AE48" s="28"/>
      <c r="AF48" s="29"/>
      <c r="AG48" s="29"/>
    </row>
    <row r="49" spans="1:33" ht="15.75" customHeight="1">
      <c r="A49" s="32" t="s">
        <v>39</v>
      </c>
      <c r="B49" s="33">
        <v>50</v>
      </c>
      <c r="C49" s="34" t="s">
        <v>400</v>
      </c>
      <c r="D49" s="35">
        <v>45815.669375983794</v>
      </c>
      <c r="E49" s="33" t="s">
        <v>392</v>
      </c>
      <c r="F49" s="32" t="s">
        <v>401</v>
      </c>
      <c r="G49" s="32" t="s">
        <v>402</v>
      </c>
      <c r="H49" s="32" t="s">
        <v>403</v>
      </c>
      <c r="I49" s="36" t="s">
        <v>404</v>
      </c>
      <c r="J49" s="32"/>
      <c r="K49" s="32" t="s">
        <v>405</v>
      </c>
      <c r="L49" s="32"/>
      <c r="M49" s="32"/>
      <c r="N49" s="33">
        <v>5</v>
      </c>
      <c r="O49" s="35">
        <v>45820</v>
      </c>
      <c r="P49" s="35">
        <v>45824</v>
      </c>
      <c r="Q49" s="37"/>
      <c r="R49" s="38">
        <v>-4633975755</v>
      </c>
      <c r="S49" s="33"/>
      <c r="T49" s="39">
        <v>197000</v>
      </c>
      <c r="U49" s="40" t="s">
        <v>61</v>
      </c>
      <c r="V49" s="41" t="str">
        <v>07-Juni-2025</v>
      </c>
      <c r="W49" s="42" t="str">
        <f ca="1">IFERROR(__xludf.DUMMYFUNCTION("""COMPUTED_VALUE"""),"Abadi Kaca")</f>
        <v>Abadi Kaca</v>
      </c>
      <c r="X49" s="42" t="str">
        <f ca="1"/>
        <v>ON-Abadi Kaca-07-Juni-2025+5-6282211675028</v>
      </c>
      <c r="Y49" s="40" t="s">
        <v>293</v>
      </c>
      <c r="Z49" s="40" t="s">
        <v>241</v>
      </c>
      <c r="AA49" s="23" t="str">
        <v>https://wa.me/6282211675028</v>
      </c>
      <c r="AB49" s="24"/>
      <c r="AC49" s="24"/>
      <c r="AD49" s="24"/>
      <c r="AE49" s="24"/>
      <c r="AF49" s="25"/>
      <c r="AG49" s="25"/>
    </row>
    <row r="50" spans="1:33" ht="15.75" customHeight="1">
      <c r="A50" s="32" t="s">
        <v>39</v>
      </c>
      <c r="B50" s="33">
        <v>51</v>
      </c>
      <c r="C50" s="34" t="s">
        <v>406</v>
      </c>
      <c r="D50" s="35">
        <v>45816.880681574075</v>
      </c>
      <c r="E50" s="44">
        <v>45815</v>
      </c>
      <c r="F50" s="32" t="s">
        <v>407</v>
      </c>
      <c r="G50" s="32" t="s">
        <v>408</v>
      </c>
      <c r="H50" s="32" t="s">
        <v>409</v>
      </c>
      <c r="I50" s="36" t="s">
        <v>410</v>
      </c>
      <c r="J50" s="32"/>
      <c r="K50" s="32" t="s">
        <v>46</v>
      </c>
      <c r="L50" s="32" t="s">
        <v>411</v>
      </c>
      <c r="M50" s="32" t="s">
        <v>259</v>
      </c>
      <c r="N50" s="33">
        <v>7</v>
      </c>
      <c r="O50" s="35">
        <v>45819</v>
      </c>
      <c r="P50" s="35">
        <v>45826</v>
      </c>
      <c r="Q50" s="37"/>
      <c r="R50" s="38">
        <v>-4633975755</v>
      </c>
      <c r="S50" s="33"/>
      <c r="T50" s="39">
        <v>299000</v>
      </c>
      <c r="U50" s="40" t="s">
        <v>49</v>
      </c>
      <c r="V50" s="41">
        <v>45815</v>
      </c>
      <c r="W50" s="42" t="str">
        <f ca="1">IFERROR(__xludf.DUMMYFUNCTION("""COMPUTED_VALUE"""),"PT. Mengalir")</f>
        <v>PT. Mengalir</v>
      </c>
      <c r="X50" s="42" t="str">
        <f ca="1"/>
        <v>ON-PT. Mengalir-07062025+7-6281222110766</v>
      </c>
      <c r="Y50" s="40" t="s">
        <v>293</v>
      </c>
      <c r="Z50" s="40" t="s">
        <v>241</v>
      </c>
      <c r="AA50" s="23" t="str">
        <v>https://wa.me/6281222110766</v>
      </c>
      <c r="AB50" s="24"/>
      <c r="AC50" s="24"/>
      <c r="AD50" s="24"/>
      <c r="AE50" s="24"/>
      <c r="AF50" s="25"/>
      <c r="AG50" s="25"/>
    </row>
    <row r="51" spans="1:33" ht="15.75" customHeight="1">
      <c r="A51" s="32" t="s">
        <v>39</v>
      </c>
      <c r="B51" s="33">
        <v>53</v>
      </c>
      <c r="C51" s="34" t="s">
        <v>412</v>
      </c>
      <c r="D51" s="35">
        <v>45818.346161608795</v>
      </c>
      <c r="E51" s="44">
        <v>45817</v>
      </c>
      <c r="F51" s="32" t="s">
        <v>413</v>
      </c>
      <c r="G51" s="32" t="s">
        <v>413</v>
      </c>
      <c r="H51" s="32" t="s">
        <v>414</v>
      </c>
      <c r="I51" s="36" t="s">
        <v>415</v>
      </c>
      <c r="J51" s="32"/>
      <c r="K51" s="32" t="s">
        <v>416</v>
      </c>
      <c r="L51" s="32">
        <v>25</v>
      </c>
      <c r="M51" s="32" t="s">
        <v>259</v>
      </c>
      <c r="N51" s="33">
        <v>30</v>
      </c>
      <c r="O51" s="35"/>
      <c r="P51" s="35"/>
      <c r="Q51" s="37"/>
      <c r="R51" s="38">
        <v>-4633975755</v>
      </c>
      <c r="S51" s="33"/>
      <c r="T51" s="39">
        <v>895000</v>
      </c>
      <c r="U51" s="40" t="s">
        <v>331</v>
      </c>
      <c r="V51" s="41">
        <v>45817</v>
      </c>
      <c r="W51" s="42" t="str">
        <f ca="1">IFERROR(__xludf.DUMMYFUNCTION("""COMPUTED_VALUE"""),"SMA MUHAMMADIYAH")</f>
        <v>SMA MUHAMMADIYAH</v>
      </c>
      <c r="X51" s="42" t="str">
        <f ca="1"/>
        <v>ON-SMA MUHAMMADIYAH-09062025+30-6281340892328</v>
      </c>
      <c r="Y51" s="40" t="s">
        <v>293</v>
      </c>
      <c r="Z51" s="40" t="s">
        <v>417</v>
      </c>
      <c r="AA51" s="23" t="str">
        <v>https://wa.me/6281340892328</v>
      </c>
      <c r="AB51" s="24"/>
      <c r="AC51" s="24"/>
      <c r="AD51" s="24"/>
      <c r="AE51" s="24"/>
      <c r="AF51" s="25"/>
      <c r="AG51" s="25"/>
    </row>
    <row r="52" spans="1:33" ht="15.75" customHeight="1">
      <c r="A52" s="32" t="s">
        <v>39</v>
      </c>
      <c r="B52" s="33">
        <v>54</v>
      </c>
      <c r="C52" s="34" t="s">
        <v>418</v>
      </c>
      <c r="D52" s="35">
        <v>45818.346329583335</v>
      </c>
      <c r="E52" s="33" t="s">
        <v>419</v>
      </c>
      <c r="F52" s="32" t="s">
        <v>420</v>
      </c>
      <c r="G52" s="32" t="s">
        <v>421</v>
      </c>
      <c r="H52" s="32" t="s">
        <v>422</v>
      </c>
      <c r="I52" s="36" t="s">
        <v>423</v>
      </c>
      <c r="J52" s="32"/>
      <c r="K52" s="32" t="s">
        <v>424</v>
      </c>
      <c r="L52" s="32" t="s">
        <v>425</v>
      </c>
      <c r="M52" s="32" t="s">
        <v>131</v>
      </c>
      <c r="N52" s="33">
        <v>5</v>
      </c>
      <c r="O52" s="35">
        <v>45824</v>
      </c>
      <c r="P52" s="35">
        <v>45828</v>
      </c>
      <c r="Q52" s="37"/>
      <c r="R52" s="38">
        <v>-4633975755</v>
      </c>
      <c r="S52" s="33"/>
      <c r="T52" s="39">
        <v>197000</v>
      </c>
      <c r="U52" s="40" t="s">
        <v>61</v>
      </c>
      <c r="V52" s="41" t="str">
        <v>09-Juni-2025</v>
      </c>
      <c r="W52" s="42" t="str">
        <f ca="1">IFERROR(__xludf.DUMMYFUNCTION("""COMPUTED_VALUE"""),"Mungkid Sejahtera")</f>
        <v>Mungkid Sejahtera</v>
      </c>
      <c r="X52" s="42" t="str">
        <f ca="1"/>
        <v>ON-Mungkid Sejahtera-09-Juni-2025+5-6281328119680</v>
      </c>
      <c r="Y52" s="40" t="s">
        <v>293</v>
      </c>
      <c r="Z52" s="40" t="s">
        <v>241</v>
      </c>
      <c r="AA52" s="23" t="str">
        <v>https://wa.me/6281328119680</v>
      </c>
      <c r="AB52" s="27" t="s">
        <v>426</v>
      </c>
      <c r="AC52" s="27"/>
      <c r="AD52" s="27"/>
      <c r="AE52" s="27"/>
      <c r="AF52" s="45"/>
      <c r="AG52" s="45"/>
    </row>
    <row r="53" spans="1:33" ht="15.75" customHeight="1">
      <c r="A53" s="32" t="s">
        <v>39</v>
      </c>
      <c r="B53" s="33">
        <v>55</v>
      </c>
      <c r="C53" s="34" t="s">
        <v>427</v>
      </c>
      <c r="D53" s="35">
        <v>45818.346501180553</v>
      </c>
      <c r="E53" s="33" t="s">
        <v>419</v>
      </c>
      <c r="F53" s="32" t="s">
        <v>428</v>
      </c>
      <c r="G53" s="32" t="s">
        <v>429</v>
      </c>
      <c r="H53" s="32" t="s">
        <v>430</v>
      </c>
      <c r="I53" s="36" t="s">
        <v>431</v>
      </c>
      <c r="J53" s="32" t="s">
        <v>200</v>
      </c>
      <c r="K53" s="32" t="s">
        <v>432</v>
      </c>
      <c r="L53" s="32" t="s">
        <v>433</v>
      </c>
      <c r="M53" s="32" t="s">
        <v>60</v>
      </c>
      <c r="N53" s="33">
        <v>10</v>
      </c>
      <c r="O53" s="35">
        <v>45819</v>
      </c>
      <c r="P53" s="35">
        <v>45829</v>
      </c>
      <c r="Q53" s="37"/>
      <c r="R53" s="38">
        <v>-4633975755</v>
      </c>
      <c r="S53" s="33"/>
      <c r="T53" s="39">
        <v>375000</v>
      </c>
      <c r="U53" s="40" t="s">
        <v>61</v>
      </c>
      <c r="V53" s="41" t="str">
        <v>09-Juni-2025</v>
      </c>
      <c r="W53" s="42" t="str">
        <f ca="1">IFERROR(__xludf.DUMMYFUNCTION("""COMPUTED_VALUE"""),"ABATA KARYA")</f>
        <v>ABATA KARYA</v>
      </c>
      <c r="X53" s="42" t="str">
        <f ca="1"/>
        <v>ON-ABATA KARYA-09-Juni-2025+10-6282399006447</v>
      </c>
      <c r="Y53" s="40" t="s">
        <v>293</v>
      </c>
      <c r="Z53" s="40" t="s">
        <v>241</v>
      </c>
      <c r="AA53" s="23" t="str">
        <v>https://wa.me/6282399006447</v>
      </c>
      <c r="AB53" s="24"/>
      <c r="AC53" s="24"/>
      <c r="AD53" s="24"/>
      <c r="AE53" s="24"/>
      <c r="AF53" s="25"/>
      <c r="AG53" s="25"/>
    </row>
    <row r="54" spans="1:33" ht="15.75" customHeight="1">
      <c r="A54" s="32" t="s">
        <v>39</v>
      </c>
      <c r="B54" s="33">
        <v>56</v>
      </c>
      <c r="C54" s="34" t="s">
        <v>434</v>
      </c>
      <c r="D54" s="35">
        <v>45818.346637835653</v>
      </c>
      <c r="E54" s="44">
        <v>45815</v>
      </c>
      <c r="F54" s="32" t="s">
        <v>435</v>
      </c>
      <c r="G54" s="32" t="s">
        <v>436</v>
      </c>
      <c r="H54" s="32" t="s">
        <v>437</v>
      </c>
      <c r="I54" s="36" t="s">
        <v>438</v>
      </c>
      <c r="J54" s="32" t="s">
        <v>439</v>
      </c>
      <c r="K54" s="32" t="s">
        <v>440</v>
      </c>
      <c r="L54" s="32" t="s">
        <v>354</v>
      </c>
      <c r="M54" s="32" t="s">
        <v>276</v>
      </c>
      <c r="N54" s="33">
        <v>5</v>
      </c>
      <c r="O54" s="35">
        <v>45819</v>
      </c>
      <c r="P54" s="35">
        <v>45824</v>
      </c>
      <c r="Q54" s="37"/>
      <c r="R54" s="38">
        <v>-4633975755</v>
      </c>
      <c r="S54" s="33"/>
      <c r="T54" s="39">
        <v>148000</v>
      </c>
      <c r="U54" s="40" t="s">
        <v>115</v>
      </c>
      <c r="V54" s="41">
        <v>45815</v>
      </c>
      <c r="W54" s="42" t="str">
        <f ca="1">IFERROR(__xludf.DUMMYFUNCTION("""COMPUTED_VALUE"""),"AFIKA DEKORATION")</f>
        <v>AFIKA DEKORATION</v>
      </c>
      <c r="X54" s="42" t="str">
        <f ca="1"/>
        <v>ON-AFIKA DEKORATION-07062025+5-6285864008882</v>
      </c>
      <c r="Y54" s="40" t="s">
        <v>62</v>
      </c>
      <c r="Z54" s="40" t="s">
        <v>327</v>
      </c>
      <c r="AA54" s="23" t="str">
        <v>https://wa.me/6285864008882</v>
      </c>
      <c r="AB54" s="28" t="s">
        <v>441</v>
      </c>
      <c r="AC54" s="28"/>
      <c r="AD54" s="28"/>
      <c r="AE54" s="28"/>
      <c r="AF54" s="29"/>
      <c r="AG54" s="29"/>
    </row>
    <row r="55" spans="1:33" ht="15.75" customHeight="1">
      <c r="A55" s="32" t="s">
        <v>39</v>
      </c>
      <c r="B55" s="33">
        <v>57</v>
      </c>
      <c r="C55" s="34" t="s">
        <v>442</v>
      </c>
      <c r="D55" s="35">
        <v>45820.620425868052</v>
      </c>
      <c r="E55" s="44">
        <v>45818</v>
      </c>
      <c r="F55" s="32" t="s">
        <v>443</v>
      </c>
      <c r="G55" s="32" t="s">
        <v>444</v>
      </c>
      <c r="H55" s="32" t="s">
        <v>445</v>
      </c>
      <c r="I55" s="36" t="s">
        <v>446</v>
      </c>
      <c r="J55" s="32"/>
      <c r="K55" s="32" t="s">
        <v>447</v>
      </c>
      <c r="L55" s="32" t="s">
        <v>448</v>
      </c>
      <c r="M55" s="32" t="s">
        <v>285</v>
      </c>
      <c r="N55" s="33">
        <v>10</v>
      </c>
      <c r="O55" s="35"/>
      <c r="P55" s="35"/>
      <c r="Q55" s="37"/>
      <c r="R55" s="38"/>
      <c r="S55" s="33"/>
      <c r="T55" s="39">
        <v>375000</v>
      </c>
      <c r="U55" s="40" t="s">
        <v>115</v>
      </c>
      <c r="V55" s="41">
        <v>45818</v>
      </c>
      <c r="W55" s="42" t="str">
        <f ca="1">IFERROR(__xludf.DUMMYFUNCTION("""COMPUTED_VALUE"""),"Rahma Gallery")</f>
        <v>Rahma Gallery</v>
      </c>
      <c r="X55" s="42" t="str">
        <f ca="1"/>
        <v>ON-Rahma Gallery-10062025+10-‪‪6282116044279‬‬</v>
      </c>
      <c r="Y55" s="40" t="s">
        <v>293</v>
      </c>
      <c r="Z55" s="40" t="s">
        <v>327</v>
      </c>
      <c r="AA55" s="20" t="str">
        <v>https://wa.me/‪‪6282116044279‬‬</v>
      </c>
      <c r="AB55" s="24"/>
      <c r="AC55" s="24"/>
      <c r="AD55" s="24"/>
      <c r="AE55" s="24"/>
      <c r="AF55" s="25"/>
      <c r="AG55" s="25"/>
    </row>
    <row r="56" spans="1:33" ht="15.75" customHeight="1">
      <c r="A56" s="32" t="s">
        <v>39</v>
      </c>
      <c r="B56" s="33">
        <v>57</v>
      </c>
      <c r="C56" s="34" t="s">
        <v>442</v>
      </c>
      <c r="D56" s="35">
        <v>45820.678833090278</v>
      </c>
      <c r="E56" s="44">
        <v>45816</v>
      </c>
      <c r="F56" s="32" t="s">
        <v>449</v>
      </c>
      <c r="G56" s="32" t="s">
        <v>450</v>
      </c>
      <c r="H56" s="32" t="s">
        <v>451</v>
      </c>
      <c r="I56" s="36" t="s">
        <v>452</v>
      </c>
      <c r="J56" s="32" t="s">
        <v>453</v>
      </c>
      <c r="K56" s="32" t="s">
        <v>46</v>
      </c>
      <c r="L56" s="32"/>
      <c r="M56" s="32" t="s">
        <v>48</v>
      </c>
      <c r="N56" s="33">
        <v>5</v>
      </c>
      <c r="O56" s="35"/>
      <c r="P56" s="35"/>
      <c r="Q56" s="37"/>
      <c r="R56" s="38"/>
      <c r="S56" s="33"/>
      <c r="T56" s="39">
        <v>197000</v>
      </c>
      <c r="U56" s="40" t="s">
        <v>49</v>
      </c>
      <c r="V56" s="41">
        <v>45816</v>
      </c>
      <c r="W56" s="42" t="str">
        <f ca="1">IFERROR(__xludf.DUMMYFUNCTION("""COMPUTED_VALUE"""),"S'three hair")</f>
        <v>S'three hair</v>
      </c>
      <c r="X56" s="42" t="str">
        <f ca="1"/>
        <v>ON-S'three hair-08062025+5-62895401448273</v>
      </c>
      <c r="Y56" s="40"/>
      <c r="Z56" s="40"/>
      <c r="AA56" s="23" t="str">
        <v>https://wa.me/62895401448273</v>
      </c>
      <c r="AB56" s="24"/>
      <c r="AC56" s="24"/>
      <c r="AD56" s="24"/>
      <c r="AE56" s="24"/>
      <c r="AF56" s="25"/>
      <c r="AG56" s="25"/>
    </row>
    <row r="57" spans="1:33" ht="15.75" customHeight="1">
      <c r="A57" s="32" t="s">
        <v>39</v>
      </c>
      <c r="B57" s="33">
        <v>58</v>
      </c>
      <c r="C57" s="34" t="s">
        <v>454</v>
      </c>
      <c r="D57" s="35">
        <v>45820.680463460652</v>
      </c>
      <c r="E57" s="44">
        <v>45819</v>
      </c>
      <c r="F57" s="32" t="s">
        <v>455</v>
      </c>
      <c r="G57" s="32" t="s">
        <v>456</v>
      </c>
      <c r="H57" s="32" t="s">
        <v>457</v>
      </c>
      <c r="I57" s="36" t="s">
        <v>458</v>
      </c>
      <c r="J57" s="32"/>
      <c r="K57" s="32" t="s">
        <v>459</v>
      </c>
      <c r="L57" s="32" t="s">
        <v>460</v>
      </c>
      <c r="M57" s="32" t="s">
        <v>249</v>
      </c>
      <c r="N57" s="33">
        <v>5</v>
      </c>
      <c r="O57" s="35">
        <v>45822</v>
      </c>
      <c r="P57" s="35">
        <v>45826</v>
      </c>
      <c r="Q57" s="37"/>
      <c r="R57" s="38"/>
      <c r="S57" s="33"/>
      <c r="T57" s="39">
        <v>197000</v>
      </c>
      <c r="U57" s="40" t="s">
        <v>49</v>
      </c>
      <c r="V57" s="41">
        <v>45819</v>
      </c>
      <c r="W57" s="42" t="str">
        <f ca="1">IFERROR(__xludf.DUMMYFUNCTION("""COMPUTED_VALUE"""),"Abizar plafon")</f>
        <v>Abizar plafon</v>
      </c>
      <c r="X57" s="42" t="str">
        <f ca="1"/>
        <v>ON-Abizar plafon-11062025+5-6281278788088</v>
      </c>
      <c r="Y57" s="40" t="s">
        <v>293</v>
      </c>
      <c r="Z57" s="40" t="s">
        <v>241</v>
      </c>
      <c r="AA57" s="23" t="str">
        <v>https://wa.me/6281278788088</v>
      </c>
      <c r="AB57" s="24"/>
      <c r="AC57" s="24"/>
      <c r="AD57" s="24"/>
      <c r="AE57" s="24"/>
      <c r="AF57" s="25"/>
      <c r="AG57" s="25"/>
    </row>
    <row r="58" spans="1:33" ht="15.75" customHeight="1">
      <c r="A58" s="32" t="s">
        <v>39</v>
      </c>
      <c r="B58" s="33">
        <v>59</v>
      </c>
      <c r="C58" s="34" t="s">
        <v>461</v>
      </c>
      <c r="D58" s="35">
        <v>45820.680999675926</v>
      </c>
      <c r="E58" s="44">
        <v>45818</v>
      </c>
      <c r="F58" s="32" t="s">
        <v>462</v>
      </c>
      <c r="G58" s="32" t="s">
        <v>463</v>
      </c>
      <c r="H58" s="32" t="s">
        <v>464</v>
      </c>
      <c r="I58" s="36" t="s">
        <v>465</v>
      </c>
      <c r="J58" s="32"/>
      <c r="K58" s="32" t="s">
        <v>466</v>
      </c>
      <c r="L58" s="32" t="s">
        <v>467</v>
      </c>
      <c r="M58" s="32" t="s">
        <v>382</v>
      </c>
      <c r="N58" s="33">
        <v>5</v>
      </c>
      <c r="O58" s="35">
        <v>45822</v>
      </c>
      <c r="P58" s="35">
        <v>45826</v>
      </c>
      <c r="Q58" s="37"/>
      <c r="R58" s="38"/>
      <c r="S58" s="33"/>
      <c r="T58" s="39">
        <v>197000</v>
      </c>
      <c r="U58" s="40" t="s">
        <v>115</v>
      </c>
      <c r="V58" s="41">
        <v>45818</v>
      </c>
      <c r="W58" s="42" t="str">
        <f ca="1">IFERROR(__xludf.DUMMYFUNCTION("""COMPUTED_VALUE"""),"PT AGUS")</f>
        <v>PT AGUS</v>
      </c>
      <c r="X58" s="42" t="str">
        <f ca="1"/>
        <v>ON-PT AGUS-10062025+5-6282255726295</v>
      </c>
      <c r="Y58" s="40" t="s">
        <v>293</v>
      </c>
      <c r="Z58" s="40" t="s">
        <v>468</v>
      </c>
      <c r="AA58" s="23" t="str">
        <v>https://wa.me/6282255726295</v>
      </c>
      <c r="AB58" s="27" t="s">
        <v>469</v>
      </c>
      <c r="AC58" s="27"/>
      <c r="AD58" s="27"/>
      <c r="AE58" s="27"/>
      <c r="AF58" s="45"/>
      <c r="AG58" s="45"/>
    </row>
    <row r="59" spans="1:33" ht="15.75" customHeight="1">
      <c r="A59" s="32" t="s">
        <v>196</v>
      </c>
      <c r="B59" s="33">
        <v>60</v>
      </c>
      <c r="C59" s="34" t="s">
        <v>470</v>
      </c>
      <c r="D59" s="35">
        <v>45820.681615844907</v>
      </c>
      <c r="E59" s="44">
        <v>45819</v>
      </c>
      <c r="F59" s="32" t="s">
        <v>471</v>
      </c>
      <c r="G59" s="32" t="s">
        <v>472</v>
      </c>
      <c r="H59" s="32" t="s">
        <v>473</v>
      </c>
      <c r="I59" s="36" t="s">
        <v>474</v>
      </c>
      <c r="J59" s="32"/>
      <c r="K59" s="32" t="s">
        <v>475</v>
      </c>
      <c r="L59" s="32" t="s">
        <v>476</v>
      </c>
      <c r="M59" s="32" t="s">
        <v>70</v>
      </c>
      <c r="N59" s="33">
        <v>5</v>
      </c>
      <c r="O59" s="35">
        <v>45822</v>
      </c>
      <c r="P59" s="35">
        <v>45826</v>
      </c>
      <c r="Q59" s="37"/>
      <c r="R59" s="38"/>
      <c r="S59" s="33"/>
      <c r="T59" s="39">
        <v>197000</v>
      </c>
      <c r="U59" s="40" t="s">
        <v>115</v>
      </c>
      <c r="V59" s="41">
        <v>45819</v>
      </c>
      <c r="W59" s="42" t="str">
        <f ca="1">IFERROR(__xludf.DUMMYFUNCTION("""COMPUTED_VALUE"""),"Hadi property")</f>
        <v>Hadi property</v>
      </c>
      <c r="X59" s="42" t="str">
        <f ca="1"/>
        <v>ON-Hadi property-11062025+5-628114170888</v>
      </c>
      <c r="Y59" s="40" t="s">
        <v>293</v>
      </c>
      <c r="Z59" s="40" t="s">
        <v>241</v>
      </c>
      <c r="AA59" s="23" t="str">
        <v>https://wa.me/628114170888</v>
      </c>
      <c r="AB59" s="24"/>
      <c r="AC59" s="24"/>
      <c r="AD59" s="24"/>
      <c r="AE59" s="24"/>
      <c r="AF59" s="25"/>
      <c r="AG59" s="25"/>
    </row>
    <row r="60" spans="1:33" ht="15.75" customHeight="1">
      <c r="A60" s="32" t="s">
        <v>196</v>
      </c>
      <c r="B60" s="33">
        <v>61</v>
      </c>
      <c r="C60" s="34" t="s">
        <v>477</v>
      </c>
      <c r="D60" s="35">
        <v>45820.681922465279</v>
      </c>
      <c r="E60" s="44">
        <v>45819</v>
      </c>
      <c r="F60" s="32" t="s">
        <v>478</v>
      </c>
      <c r="G60" s="32" t="s">
        <v>478</v>
      </c>
      <c r="H60" s="32" t="s">
        <v>479</v>
      </c>
      <c r="I60" s="36" t="s">
        <v>480</v>
      </c>
      <c r="J60" s="32" t="s">
        <v>481</v>
      </c>
      <c r="K60" s="32" t="s">
        <v>482</v>
      </c>
      <c r="L60" s="32" t="s">
        <v>354</v>
      </c>
      <c r="M60" s="32" t="s">
        <v>113</v>
      </c>
      <c r="N60" s="33">
        <v>5</v>
      </c>
      <c r="O60" s="35">
        <v>45822</v>
      </c>
      <c r="P60" s="35">
        <v>45826</v>
      </c>
      <c r="Q60" s="37"/>
      <c r="R60" s="38"/>
      <c r="S60" s="33"/>
      <c r="T60" s="39">
        <v>197000</v>
      </c>
      <c r="U60" s="40" t="s">
        <v>115</v>
      </c>
      <c r="V60" s="41">
        <v>45819</v>
      </c>
      <c r="W60" s="42" t="str">
        <f ca="1">IFERROR(__xludf.DUMMYFUNCTION("""COMPUTED_VALUE"""),"CV REGAN")</f>
        <v>CV REGAN</v>
      </c>
      <c r="X60" s="42" t="str">
        <f ca="1"/>
        <v>ON-CV REGAN-11062025+5-6285853370682</v>
      </c>
      <c r="Y60" s="40" t="s">
        <v>293</v>
      </c>
      <c r="Z60" s="40" t="s">
        <v>241</v>
      </c>
      <c r="AA60" s="23" t="str">
        <v>https://wa.me/6285853370682</v>
      </c>
      <c r="AB60" s="24"/>
      <c r="AC60" s="24"/>
      <c r="AD60" s="24"/>
      <c r="AE60" s="24"/>
      <c r="AF60" s="25"/>
      <c r="AG60" s="25"/>
    </row>
    <row r="61" spans="1:33" ht="15.75" customHeight="1">
      <c r="A61" s="32" t="s">
        <v>196</v>
      </c>
      <c r="B61" s="33">
        <v>62</v>
      </c>
      <c r="C61" s="34" t="s">
        <v>483</v>
      </c>
      <c r="D61" s="35">
        <v>45820.827476446764</v>
      </c>
      <c r="E61" s="44">
        <v>45820</v>
      </c>
      <c r="F61" s="32" t="s">
        <v>484</v>
      </c>
      <c r="G61" s="46" t="s">
        <v>485</v>
      </c>
      <c r="H61" s="32" t="s">
        <v>486</v>
      </c>
      <c r="I61" s="36" t="s">
        <v>487</v>
      </c>
      <c r="J61" s="32" t="s">
        <v>488</v>
      </c>
      <c r="K61" s="32" t="s">
        <v>489</v>
      </c>
      <c r="L61" s="32" t="s">
        <v>490</v>
      </c>
      <c r="M61" s="32" t="s">
        <v>131</v>
      </c>
      <c r="N61" s="33">
        <v>5</v>
      </c>
      <c r="O61" s="35">
        <v>45823</v>
      </c>
      <c r="P61" s="35">
        <v>45827</v>
      </c>
      <c r="Q61" s="37"/>
      <c r="R61" s="38"/>
      <c r="S61" s="33"/>
      <c r="T61" s="39">
        <v>197000</v>
      </c>
      <c r="U61" s="40" t="s">
        <v>61</v>
      </c>
      <c r="V61" s="41">
        <v>45820</v>
      </c>
      <c r="W61" s="42" t="str">
        <f ca="1">IFERROR(__xludf.DUMMYFUNCTION("""COMPUTED_VALUE"""),"Griya Terapi")</f>
        <v>Griya Terapi</v>
      </c>
      <c r="X61" s="42" t="str">
        <f ca="1"/>
        <v>ON-Griya Terapi-12062025+5-6281904501876</v>
      </c>
      <c r="Y61" s="40" t="s">
        <v>62</v>
      </c>
      <c r="Z61" s="40" t="s">
        <v>214</v>
      </c>
      <c r="AA61" s="23" t="str">
        <v>https://wa.me/6281904501876</v>
      </c>
      <c r="AB61" s="27" t="s">
        <v>491</v>
      </c>
      <c r="AC61" s="27"/>
      <c r="AD61" s="27"/>
      <c r="AE61" s="27"/>
      <c r="AF61" s="45"/>
      <c r="AG61" s="45"/>
    </row>
    <row r="62" spans="1:33" ht="15.75" customHeight="1">
      <c r="A62" s="32" t="s">
        <v>39</v>
      </c>
      <c r="B62" s="33">
        <v>63</v>
      </c>
      <c r="C62" s="34" t="s">
        <v>492</v>
      </c>
      <c r="D62" s="35">
        <v>45820.829017083335</v>
      </c>
      <c r="E62" s="44">
        <v>45820</v>
      </c>
      <c r="F62" s="32" t="s">
        <v>493</v>
      </c>
      <c r="G62" s="32" t="s">
        <v>494</v>
      </c>
      <c r="H62" s="32" t="s">
        <v>495</v>
      </c>
      <c r="I62" s="36" t="s">
        <v>496</v>
      </c>
      <c r="J62" s="32"/>
      <c r="K62" s="32" t="s">
        <v>173</v>
      </c>
      <c r="L62" s="32"/>
      <c r="M62" s="32" t="s">
        <v>131</v>
      </c>
      <c r="N62" s="33">
        <v>5</v>
      </c>
      <c r="O62" s="35">
        <v>45822</v>
      </c>
      <c r="P62" s="35">
        <v>45826</v>
      </c>
      <c r="Q62" s="37"/>
      <c r="R62" s="38"/>
      <c r="S62" s="33"/>
      <c r="T62" s="39">
        <v>197000</v>
      </c>
      <c r="U62" s="40" t="s">
        <v>61</v>
      </c>
      <c r="V62" s="41">
        <v>45820</v>
      </c>
      <c r="W62" s="42" t="str">
        <f ca="1">IFERROR(__xludf.DUMMYFUNCTION("""COMPUTED_VALUE"""),"Jasa Bangun")</f>
        <v>Jasa Bangun</v>
      </c>
      <c r="X62" s="42" t="str">
        <f ca="1"/>
        <v>ON-Jasa Bangun-12062025+5-6285714611166</v>
      </c>
      <c r="Y62" s="40" t="s">
        <v>293</v>
      </c>
      <c r="Z62" s="40" t="s">
        <v>241</v>
      </c>
      <c r="AA62" s="23" t="str">
        <v>https://wa.me/6285714611166</v>
      </c>
      <c r="AB62" s="24"/>
      <c r="AC62" s="24"/>
      <c r="AD62" s="24"/>
      <c r="AE62" s="24"/>
      <c r="AF62" s="25"/>
      <c r="AG62" s="25"/>
    </row>
    <row r="63" spans="1:33" ht="15.75" customHeight="1">
      <c r="A63" s="32" t="s">
        <v>196</v>
      </c>
      <c r="B63" s="33">
        <v>65</v>
      </c>
      <c r="C63" s="34" t="s">
        <v>497</v>
      </c>
      <c r="D63" s="35">
        <v>46027</v>
      </c>
      <c r="E63" s="44">
        <v>45819</v>
      </c>
      <c r="F63" s="32" t="s">
        <v>498</v>
      </c>
      <c r="G63" s="32" t="s">
        <v>499</v>
      </c>
      <c r="H63" s="32" t="s">
        <v>500</v>
      </c>
      <c r="I63" s="36" t="s">
        <v>501</v>
      </c>
      <c r="J63" s="32"/>
      <c r="K63" s="32" t="s">
        <v>502</v>
      </c>
      <c r="L63" s="32" t="s">
        <v>503</v>
      </c>
      <c r="M63" s="32" t="s">
        <v>60</v>
      </c>
      <c r="N63" s="33">
        <v>5</v>
      </c>
      <c r="O63" s="35"/>
      <c r="P63" s="35"/>
      <c r="Q63" s="37"/>
      <c r="R63" s="38">
        <v>-1003470351325</v>
      </c>
      <c r="S63" s="33"/>
      <c r="T63" s="39">
        <v>197000</v>
      </c>
      <c r="U63" s="40" t="s">
        <v>61</v>
      </c>
      <c r="V63" s="47">
        <v>45819</v>
      </c>
      <c r="W63" s="42" t="str">
        <f ca="1">IFERROR(__xludf.DUMMYFUNCTION("""COMPUTED_VALUE"""),"PT Jujur")</f>
        <v>PT Jujur</v>
      </c>
      <c r="X63" s="42" t="str">
        <f ca="1"/>
        <v>ON-PT Jujur-11062025+5-6282347206488</v>
      </c>
      <c r="Y63" s="40"/>
      <c r="Z63" s="40"/>
      <c r="AA63" s="23" t="str">
        <v>https://wa.me/6282347206488</v>
      </c>
      <c r="AB63" s="24"/>
      <c r="AC63" s="24"/>
      <c r="AD63" s="24"/>
      <c r="AE63" s="24"/>
      <c r="AF63" s="25"/>
      <c r="AG63" s="25"/>
    </row>
    <row r="64" spans="1:33" ht="15.75" customHeight="1">
      <c r="A64" s="32" t="s">
        <v>196</v>
      </c>
      <c r="B64" s="33">
        <v>66</v>
      </c>
      <c r="C64" s="34" t="s">
        <v>504</v>
      </c>
      <c r="D64" s="35">
        <v>45820.833227210649</v>
      </c>
      <c r="E64" s="44">
        <v>45819</v>
      </c>
      <c r="F64" s="32" t="s">
        <v>505</v>
      </c>
      <c r="G64" s="32" t="s">
        <v>506</v>
      </c>
      <c r="H64" s="32" t="s">
        <v>507</v>
      </c>
      <c r="I64" s="36" t="s">
        <v>508</v>
      </c>
      <c r="J64" s="32"/>
      <c r="K64" s="32" t="s">
        <v>509</v>
      </c>
      <c r="L64" s="32" t="s">
        <v>92</v>
      </c>
      <c r="M64" s="32" t="s">
        <v>510</v>
      </c>
      <c r="N64" s="33">
        <v>5</v>
      </c>
      <c r="O64" s="35">
        <v>45822</v>
      </c>
      <c r="P64" s="35">
        <v>45826</v>
      </c>
      <c r="Q64" s="37"/>
      <c r="R64" s="38"/>
      <c r="S64" s="33"/>
      <c r="T64" s="39">
        <v>197000</v>
      </c>
      <c r="U64" s="40" t="s">
        <v>61</v>
      </c>
      <c r="V64" s="41"/>
      <c r="W64" s="42" t="str">
        <f ca="1">IFERROR(__xludf.DUMMYFUNCTION("""COMPUTED_VALUE"""),"Bengkel Las")</f>
        <v>Bengkel Las</v>
      </c>
      <c r="X64" s="42" t="str">
        <f ca="1"/>
        <v>ON-Bengkel Las-00011900+5-6281519225886</v>
      </c>
      <c r="Y64" s="40" t="s">
        <v>293</v>
      </c>
      <c r="Z64" s="40" t="s">
        <v>277</v>
      </c>
      <c r="AA64" s="23" t="str">
        <v>https://wa.me/6281519225886</v>
      </c>
      <c r="AB64" s="24"/>
      <c r="AC64" s="24"/>
      <c r="AD64" s="24"/>
      <c r="AE64" s="24"/>
      <c r="AF64" s="25"/>
      <c r="AG64" s="25"/>
    </row>
    <row r="65" spans="1:33" ht="15.75" customHeight="1">
      <c r="A65" s="32" t="s">
        <v>196</v>
      </c>
      <c r="B65" s="33">
        <v>67</v>
      </c>
      <c r="C65" s="34" t="s">
        <v>511</v>
      </c>
      <c r="D65" s="33" t="s">
        <v>512</v>
      </c>
      <c r="E65" s="44">
        <v>45819</v>
      </c>
      <c r="F65" s="32" t="s">
        <v>513</v>
      </c>
      <c r="G65" s="32" t="s">
        <v>514</v>
      </c>
      <c r="H65" s="32" t="s">
        <v>515</v>
      </c>
      <c r="I65" s="36" t="s">
        <v>516</v>
      </c>
      <c r="J65" s="32"/>
      <c r="K65" s="32" t="s">
        <v>517</v>
      </c>
      <c r="L65" s="32" t="s">
        <v>518</v>
      </c>
      <c r="M65" s="32" t="s">
        <v>131</v>
      </c>
      <c r="N65" s="33">
        <v>30</v>
      </c>
      <c r="O65" s="35"/>
      <c r="P65" s="35"/>
      <c r="Q65" s="37"/>
      <c r="R65" s="38">
        <v>-1003470351325</v>
      </c>
      <c r="S65" s="33"/>
      <c r="T65" s="39">
        <v>950000</v>
      </c>
      <c r="U65" s="40" t="s">
        <v>61</v>
      </c>
      <c r="V65" s="47">
        <v>46017.169475243056</v>
      </c>
      <c r="W65" s="42" t="str">
        <f ca="1">IFERROR(__xludf.DUMMYFUNCTION("""COMPUTED_VALUE"""),"Bengkel Las")</f>
        <v>Bengkel Las</v>
      </c>
      <c r="X65" s="42" t="str">
        <f ca="1"/>
        <v>ON-Bengkel Las-26122025+30-6282393168368</v>
      </c>
      <c r="Y65" s="40" t="s">
        <v>293</v>
      </c>
      <c r="Z65" s="40" t="s">
        <v>277</v>
      </c>
      <c r="AA65" s="23" t="str">
        <v>https://wa.me/6282393168368</v>
      </c>
      <c r="AB65" s="24"/>
      <c r="AC65" s="24"/>
      <c r="AD65" s="24"/>
      <c r="AE65" s="24"/>
      <c r="AF65" s="25"/>
      <c r="AG65" s="25"/>
    </row>
    <row r="66" spans="1:33" ht="15.75" customHeight="1">
      <c r="A66" s="32" t="s">
        <v>39</v>
      </c>
      <c r="B66" s="33">
        <v>68</v>
      </c>
      <c r="C66" s="34" t="s">
        <v>519</v>
      </c>
      <c r="D66" s="35">
        <v>45820.83539842593</v>
      </c>
      <c r="E66" s="44">
        <v>45819</v>
      </c>
      <c r="F66" s="32" t="s">
        <v>520</v>
      </c>
      <c r="G66" s="32" t="s">
        <v>521</v>
      </c>
      <c r="H66" s="32" t="s">
        <v>522</v>
      </c>
      <c r="I66" s="36" t="s">
        <v>523</v>
      </c>
      <c r="J66" s="32"/>
      <c r="K66" s="32" t="s">
        <v>524</v>
      </c>
      <c r="L66" s="32"/>
      <c r="M66" s="32"/>
      <c r="N66" s="33">
        <v>5</v>
      </c>
      <c r="O66" s="35">
        <v>45822</v>
      </c>
      <c r="P66" s="35">
        <v>45826</v>
      </c>
      <c r="Q66" s="37"/>
      <c r="R66" s="38"/>
      <c r="S66" s="33"/>
      <c r="T66" s="39">
        <v>197000</v>
      </c>
      <c r="U66" s="40" t="s">
        <v>61</v>
      </c>
      <c r="V66" s="41"/>
      <c r="W66" s="42" t="str">
        <f ca="1">IFERROR(__xludf.DUMMYFUNCTION("""COMPUTED_VALUE"""),"Mitra Karya")</f>
        <v>Mitra Karya</v>
      </c>
      <c r="X66" s="42" t="str">
        <f ca="1"/>
        <v>ON-Mitra Karya-00011900+5-6285353864755</v>
      </c>
      <c r="Y66" s="40" t="s">
        <v>293</v>
      </c>
      <c r="Z66" s="40" t="s">
        <v>241</v>
      </c>
      <c r="AA66" s="23" t="str">
        <v>https://wa.me/6285353864755</v>
      </c>
      <c r="AB66" s="24"/>
      <c r="AC66" s="24"/>
      <c r="AD66" s="24"/>
      <c r="AE66" s="24"/>
      <c r="AF66" s="25"/>
      <c r="AG66" s="25"/>
    </row>
    <row r="67" spans="1:33" ht="15.75" customHeight="1">
      <c r="A67" s="32" t="s">
        <v>39</v>
      </c>
      <c r="B67" s="33">
        <v>69</v>
      </c>
      <c r="C67" s="34" t="s">
        <v>525</v>
      </c>
      <c r="D67" s="35">
        <v>45820.83596585648</v>
      </c>
      <c r="E67" s="44">
        <v>45819</v>
      </c>
      <c r="F67" s="32" t="s">
        <v>526</v>
      </c>
      <c r="G67" s="32" t="s">
        <v>527</v>
      </c>
      <c r="H67" s="32" t="s">
        <v>96</v>
      </c>
      <c r="I67" s="36" t="s">
        <v>528</v>
      </c>
      <c r="J67" s="32"/>
      <c r="K67" s="32" t="s">
        <v>529</v>
      </c>
      <c r="L67" s="32" t="s">
        <v>530</v>
      </c>
      <c r="M67" s="32" t="s">
        <v>267</v>
      </c>
      <c r="N67" s="33">
        <v>5</v>
      </c>
      <c r="O67" s="35">
        <v>45822</v>
      </c>
      <c r="P67" s="35">
        <v>45826</v>
      </c>
      <c r="Q67" s="37"/>
      <c r="R67" s="38"/>
      <c r="S67" s="33"/>
      <c r="T67" s="39">
        <v>197000</v>
      </c>
      <c r="U67" s="40" t="s">
        <v>61</v>
      </c>
      <c r="V67" s="41"/>
      <c r="W67" s="42" t="str">
        <f ca="1">IFERROR(__xludf.DUMMYFUNCTION("""COMPUTED_VALUE"""),"Vie Salon")</f>
        <v>Vie Salon</v>
      </c>
      <c r="X67" s="42" t="str">
        <f ca="1"/>
        <v>ON-Vie Salon-00011900+5-6281216962242</v>
      </c>
      <c r="Y67" s="40" t="s">
        <v>50</v>
      </c>
      <c r="Z67" s="40" t="s">
        <v>327</v>
      </c>
      <c r="AA67" s="23" t="str">
        <v>https://wa.me/6281216962242</v>
      </c>
      <c r="AB67" s="28" t="s">
        <v>531</v>
      </c>
      <c r="AC67" s="28"/>
      <c r="AD67" s="28"/>
      <c r="AE67" s="28"/>
      <c r="AF67" s="29"/>
      <c r="AG67" s="29"/>
    </row>
    <row r="68" spans="1:33" ht="15.75" customHeight="1">
      <c r="A68" s="32" t="s">
        <v>39</v>
      </c>
      <c r="B68" s="33">
        <v>70</v>
      </c>
      <c r="C68" s="34" t="s">
        <v>532</v>
      </c>
      <c r="D68" s="35">
        <v>45820.83673185185</v>
      </c>
      <c r="E68" s="44">
        <v>45819</v>
      </c>
      <c r="F68" s="32" t="s">
        <v>533</v>
      </c>
      <c r="G68" s="32" t="s">
        <v>534</v>
      </c>
      <c r="H68" s="32" t="s">
        <v>535</v>
      </c>
      <c r="I68" s="36" t="s">
        <v>536</v>
      </c>
      <c r="J68" s="32" t="s">
        <v>537</v>
      </c>
      <c r="K68" s="32" t="s">
        <v>538</v>
      </c>
      <c r="L68" s="32" t="s">
        <v>539</v>
      </c>
      <c r="M68" s="32" t="s">
        <v>38</v>
      </c>
      <c r="N68" s="33">
        <v>5</v>
      </c>
      <c r="O68" s="35">
        <v>45822</v>
      </c>
      <c r="P68" s="35">
        <v>45826</v>
      </c>
      <c r="Q68" s="37"/>
      <c r="R68" s="38"/>
      <c r="S68" s="33"/>
      <c r="T68" s="39">
        <v>197000</v>
      </c>
      <c r="U68" s="40" t="s">
        <v>61</v>
      </c>
      <c r="V68" s="41"/>
      <c r="W68" s="42" t="str">
        <f ca="1">IFERROR(__xludf.DUMMYFUNCTION("""COMPUTED_VALUE"""),"Hana Glamour")</f>
        <v>Hana Glamour</v>
      </c>
      <c r="X68" s="42" t="str">
        <f ca="1"/>
        <v>ON-Hana Glamour-00011900+5-6281335728695</v>
      </c>
      <c r="Y68" s="40" t="s">
        <v>50</v>
      </c>
      <c r="Z68" s="40" t="s">
        <v>327</v>
      </c>
      <c r="AA68" s="23" t="str">
        <v>https://wa.me/6281335728695</v>
      </c>
      <c r="AB68" s="28" t="s">
        <v>540</v>
      </c>
      <c r="AC68" s="28"/>
      <c r="AD68" s="28"/>
      <c r="AE68" s="28"/>
      <c r="AF68" s="29"/>
      <c r="AG68" s="29"/>
    </row>
    <row r="69" spans="1:33" ht="15.75" customHeight="1">
      <c r="A69" s="32" t="s">
        <v>39</v>
      </c>
      <c r="B69" s="33">
        <v>71</v>
      </c>
      <c r="C69" s="34" t="s">
        <v>541</v>
      </c>
      <c r="D69" s="35">
        <v>45820.837342164348</v>
      </c>
      <c r="E69" s="44">
        <v>45819</v>
      </c>
      <c r="F69" s="32" t="s">
        <v>542</v>
      </c>
      <c r="G69" s="32" t="s">
        <v>543</v>
      </c>
      <c r="H69" s="32" t="s">
        <v>544</v>
      </c>
      <c r="I69" s="36" t="s">
        <v>545</v>
      </c>
      <c r="J69" s="32"/>
      <c r="K69" s="32" t="s">
        <v>546</v>
      </c>
      <c r="L69" s="32" t="s">
        <v>547</v>
      </c>
      <c r="M69" s="32" t="s">
        <v>510</v>
      </c>
      <c r="N69" s="33">
        <v>5</v>
      </c>
      <c r="O69" s="35">
        <v>45823</v>
      </c>
      <c r="P69" s="35">
        <v>45827</v>
      </c>
      <c r="Q69" s="37"/>
      <c r="R69" s="38"/>
      <c r="S69" s="33"/>
      <c r="T69" s="39">
        <v>197000</v>
      </c>
      <c r="U69" s="40" t="s">
        <v>61</v>
      </c>
      <c r="V69" s="41"/>
      <c r="W69" s="42" t="str">
        <f ca="1">IFERROR(__xludf.DUMMYFUNCTION("""COMPUTED_VALUE"""),"Pt Natama")</f>
        <v>Pt Natama</v>
      </c>
      <c r="X69" s="42" t="str">
        <f ca="1"/>
        <v>ON-Pt Natama-00011900+5-6285261023204</v>
      </c>
      <c r="Y69" s="40" t="s">
        <v>293</v>
      </c>
      <c r="Z69" s="40" t="s">
        <v>241</v>
      </c>
      <c r="AA69" s="23" t="str">
        <v>https://wa.me/6285261023204</v>
      </c>
      <c r="AB69" s="27" t="s">
        <v>548</v>
      </c>
      <c r="AC69" s="27"/>
      <c r="AD69" s="27"/>
      <c r="AE69" s="27"/>
      <c r="AF69" s="45"/>
      <c r="AG69" s="45"/>
    </row>
    <row r="70" spans="1:33" ht="15.75" customHeight="1">
      <c r="A70" s="32" t="s">
        <v>196</v>
      </c>
      <c r="B70" s="33">
        <v>72</v>
      </c>
      <c r="C70" s="34" t="s">
        <v>549</v>
      </c>
      <c r="D70" s="35">
        <v>45820.838872280088</v>
      </c>
      <c r="E70" s="44">
        <v>45818</v>
      </c>
      <c r="F70" s="32" t="s">
        <v>550</v>
      </c>
      <c r="G70" s="32" t="s">
        <v>551</v>
      </c>
      <c r="H70" s="32" t="s">
        <v>552</v>
      </c>
      <c r="I70" s="36" t="s">
        <v>553</v>
      </c>
      <c r="J70" s="32" t="s">
        <v>554</v>
      </c>
      <c r="K70" s="32" t="s">
        <v>555</v>
      </c>
      <c r="L70" s="32" t="s">
        <v>556</v>
      </c>
      <c r="M70" s="32" t="s">
        <v>205</v>
      </c>
      <c r="N70" s="33">
        <v>10</v>
      </c>
      <c r="O70" s="35">
        <v>45822</v>
      </c>
      <c r="P70" s="35">
        <v>45831</v>
      </c>
      <c r="Q70" s="37"/>
      <c r="R70" s="38"/>
      <c r="S70" s="33"/>
      <c r="T70" s="39">
        <v>375000</v>
      </c>
      <c r="U70" s="40" t="s">
        <v>61</v>
      </c>
      <c r="V70" s="41"/>
      <c r="W70" s="42" t="str">
        <f ca="1">IFERROR(__xludf.DUMMYFUNCTION("""COMPUTED_VALUE"""),"WD Kontruksi")</f>
        <v>WD Kontruksi</v>
      </c>
      <c r="X70" s="42" t="str">
        <f ca="1"/>
        <v>ON-WD Kontruksi-00011900+10-6285747906282</v>
      </c>
      <c r="Y70" s="40" t="s">
        <v>293</v>
      </c>
      <c r="Z70" s="40" t="s">
        <v>241</v>
      </c>
      <c r="AA70" s="23" t="str">
        <v>https://wa.me/6285747906282</v>
      </c>
      <c r="AB70" s="24"/>
      <c r="AC70" s="24"/>
      <c r="AD70" s="24"/>
      <c r="AE70" s="24"/>
      <c r="AF70" s="25"/>
      <c r="AG70" s="25"/>
    </row>
    <row r="71" spans="1:33" ht="15.75" customHeight="1">
      <c r="A71" s="32" t="s">
        <v>39</v>
      </c>
      <c r="B71" s="33">
        <v>73</v>
      </c>
      <c r="C71" s="34" t="s">
        <v>557</v>
      </c>
      <c r="D71" s="35">
        <v>45820.839415833332</v>
      </c>
      <c r="E71" s="44">
        <v>45818</v>
      </c>
      <c r="F71" s="32" t="s">
        <v>558</v>
      </c>
      <c r="G71" s="32" t="s">
        <v>559</v>
      </c>
      <c r="H71" s="32" t="s">
        <v>560</v>
      </c>
      <c r="I71" s="36" t="s">
        <v>561</v>
      </c>
      <c r="J71" s="32" t="s">
        <v>562</v>
      </c>
      <c r="K71" s="32" t="s">
        <v>563</v>
      </c>
      <c r="L71" s="32" t="s">
        <v>564</v>
      </c>
      <c r="M71" s="32" t="s">
        <v>205</v>
      </c>
      <c r="N71" s="33">
        <v>10</v>
      </c>
      <c r="O71" s="35"/>
      <c r="P71" s="35"/>
      <c r="Q71" s="37"/>
      <c r="R71" s="38"/>
      <c r="S71" s="33"/>
      <c r="T71" s="39">
        <v>375000</v>
      </c>
      <c r="U71" s="40" t="s">
        <v>61</v>
      </c>
      <c r="V71" s="41"/>
      <c r="W71" s="42" t="str">
        <f ca="1">IFERROR(__xludf.DUMMYFUNCTION("""COMPUTED_VALUE"""),"Bangun Griya")</f>
        <v>Bangun Griya</v>
      </c>
      <c r="X71" s="42" t="str">
        <f ca="1"/>
        <v>ON-Bangun Griya-00011900+10-6281952482523</v>
      </c>
      <c r="Y71" s="40"/>
      <c r="Z71" s="40"/>
      <c r="AA71" s="23" t="str">
        <v>https://wa.me/6281952482523</v>
      </c>
      <c r="AB71" s="24"/>
      <c r="AC71" s="24"/>
      <c r="AD71" s="24"/>
      <c r="AE71" s="24"/>
      <c r="AF71" s="25"/>
      <c r="AG71" s="25"/>
    </row>
    <row r="72" spans="1:33" ht="15.75" customHeight="1">
      <c r="A72" s="32" t="s">
        <v>196</v>
      </c>
      <c r="B72" s="33">
        <v>74</v>
      </c>
      <c r="C72" s="34" t="s">
        <v>565</v>
      </c>
      <c r="D72" s="35">
        <v>45820.840131851852</v>
      </c>
      <c r="E72" s="44">
        <v>45817</v>
      </c>
      <c r="F72" s="32" t="s">
        <v>566</v>
      </c>
      <c r="G72" s="32" t="s">
        <v>567</v>
      </c>
      <c r="H72" s="32" t="s">
        <v>568</v>
      </c>
      <c r="I72" s="36" t="s">
        <v>569</v>
      </c>
      <c r="J72" s="32"/>
      <c r="K72" s="32" t="s">
        <v>570</v>
      </c>
      <c r="L72" s="32"/>
      <c r="M72" s="32"/>
      <c r="N72" s="33">
        <v>10</v>
      </c>
      <c r="O72" s="35"/>
      <c r="P72" s="35"/>
      <c r="Q72" s="37"/>
      <c r="R72" s="38"/>
      <c r="S72" s="33"/>
      <c r="T72" s="39">
        <v>375000</v>
      </c>
      <c r="U72" s="40" t="s">
        <v>61</v>
      </c>
      <c r="V72" s="41"/>
      <c r="W72" s="42" t="str">
        <f ca="1">IFERROR(__xludf.DUMMYFUNCTION("""COMPUTED_VALUE"""),"Mandorbogor")</f>
        <v>Mandorbogor</v>
      </c>
      <c r="X72" s="42" t="str">
        <f ca="1"/>
        <v>ON-Mandorbogor-00011900+10-6285220216325</v>
      </c>
      <c r="Y72" s="40"/>
      <c r="Z72" s="40"/>
      <c r="AA72" s="23" t="str">
        <v>https://wa.me/6285220216325</v>
      </c>
      <c r="AB72" s="24"/>
      <c r="AC72" s="24"/>
      <c r="AD72" s="24"/>
      <c r="AE72" s="24"/>
      <c r="AF72" s="25"/>
      <c r="AG72" s="25"/>
    </row>
    <row r="73" spans="1:33" ht="15.75" customHeight="1">
      <c r="A73" s="32" t="s">
        <v>39</v>
      </c>
      <c r="B73" s="33">
        <v>75</v>
      </c>
      <c r="C73" s="34" t="s">
        <v>571</v>
      </c>
      <c r="D73" s="35">
        <v>45820.840863495367</v>
      </c>
      <c r="E73" s="33" t="s">
        <v>419</v>
      </c>
      <c r="F73" s="32" t="s">
        <v>428</v>
      </c>
      <c r="G73" s="32" t="s">
        <v>572</v>
      </c>
      <c r="H73" s="32" t="s">
        <v>200</v>
      </c>
      <c r="I73" s="36" t="s">
        <v>431</v>
      </c>
      <c r="J73" s="32" t="s">
        <v>200</v>
      </c>
      <c r="K73" s="32" t="s">
        <v>432</v>
      </c>
      <c r="L73" s="32" t="s">
        <v>573</v>
      </c>
      <c r="M73" s="32" t="s">
        <v>131</v>
      </c>
      <c r="N73" s="33">
        <v>10</v>
      </c>
      <c r="O73" s="35"/>
      <c r="P73" s="35"/>
      <c r="Q73" s="37"/>
      <c r="R73" s="38"/>
      <c r="S73" s="33"/>
      <c r="T73" s="39">
        <v>375000</v>
      </c>
      <c r="U73" s="40" t="s">
        <v>61</v>
      </c>
      <c r="V73" s="41"/>
      <c r="W73" s="42" t="str">
        <f ca="1">IFERROR(__xludf.DUMMYFUNCTION("""COMPUTED_VALUE"""),"Abata Karya")</f>
        <v>Abata Karya</v>
      </c>
      <c r="X73" s="42" t="str">
        <f ca="1"/>
        <v>ON-Abata Karya-00011900+10-6282399006447</v>
      </c>
      <c r="Y73" s="40"/>
      <c r="Z73" s="40"/>
      <c r="AA73" s="23" t="str">
        <v>https://wa.me/6282399006447</v>
      </c>
      <c r="AB73" s="24"/>
      <c r="AC73" s="24"/>
      <c r="AD73" s="24"/>
      <c r="AE73" s="24"/>
      <c r="AF73" s="25"/>
      <c r="AG73" s="25"/>
    </row>
    <row r="74" spans="1:33" ht="15.75" customHeight="1">
      <c r="A74" s="32" t="s">
        <v>39</v>
      </c>
      <c r="B74" s="33">
        <v>76</v>
      </c>
      <c r="C74" s="34" t="s">
        <v>574</v>
      </c>
      <c r="D74" s="35">
        <v>45820.842372384257</v>
      </c>
      <c r="E74" s="33" t="s">
        <v>419</v>
      </c>
      <c r="F74" s="32" t="s">
        <v>420</v>
      </c>
      <c r="G74" s="32" t="s">
        <v>421</v>
      </c>
      <c r="H74" s="32" t="s">
        <v>575</v>
      </c>
      <c r="I74" s="36" t="s">
        <v>423</v>
      </c>
      <c r="J74" s="32"/>
      <c r="K74" s="32" t="s">
        <v>576</v>
      </c>
      <c r="L74" s="32" t="s">
        <v>425</v>
      </c>
      <c r="M74" s="32" t="s">
        <v>131</v>
      </c>
      <c r="N74" s="33">
        <v>5</v>
      </c>
      <c r="O74" s="35"/>
      <c r="P74" s="35"/>
      <c r="Q74" s="37"/>
      <c r="R74" s="38"/>
      <c r="S74" s="33"/>
      <c r="T74" s="39">
        <v>197000</v>
      </c>
      <c r="U74" s="40" t="s">
        <v>61</v>
      </c>
      <c r="V74" s="41"/>
      <c r="W74" s="42" t="str">
        <f ca="1">IFERROR(__xludf.DUMMYFUNCTION("""COMPUTED_VALUE"""),"Mungkid Sejahtera")</f>
        <v>Mungkid Sejahtera</v>
      </c>
      <c r="X74" s="42" t="str">
        <f ca="1"/>
        <v>ON-Mungkid Sejahtera-00011900+5-6281328119680</v>
      </c>
      <c r="Y74" s="40"/>
      <c r="Z74" s="40"/>
      <c r="AA74" s="23" t="str">
        <v>https://wa.me/6281328119680</v>
      </c>
      <c r="AB74" s="24"/>
      <c r="AC74" s="24"/>
      <c r="AD74" s="24"/>
      <c r="AE74" s="24"/>
      <c r="AF74" s="25"/>
      <c r="AG74" s="25"/>
    </row>
    <row r="75" spans="1:33" ht="15.75" customHeight="1">
      <c r="A75" s="32" t="s">
        <v>196</v>
      </c>
      <c r="B75" s="33">
        <v>77</v>
      </c>
      <c r="C75" s="34" t="s">
        <v>577</v>
      </c>
      <c r="D75" s="35">
        <v>45820.843234456013</v>
      </c>
      <c r="E75" s="44">
        <v>45816</v>
      </c>
      <c r="F75" s="32" t="s">
        <v>578</v>
      </c>
      <c r="G75" s="32" t="s">
        <v>579</v>
      </c>
      <c r="H75" s="32" t="s">
        <v>580</v>
      </c>
      <c r="I75" s="36" t="s">
        <v>581</v>
      </c>
      <c r="J75" s="32" t="s">
        <v>582</v>
      </c>
      <c r="K75" s="32" t="s">
        <v>583</v>
      </c>
      <c r="L75" s="32" t="s">
        <v>584</v>
      </c>
      <c r="M75" s="32" t="s">
        <v>131</v>
      </c>
      <c r="N75" s="33">
        <v>5</v>
      </c>
      <c r="O75" s="35"/>
      <c r="P75" s="35"/>
      <c r="Q75" s="37"/>
      <c r="R75" s="38"/>
      <c r="S75" s="33"/>
      <c r="T75" s="39">
        <v>197000</v>
      </c>
      <c r="U75" s="40" t="s">
        <v>61</v>
      </c>
      <c r="V75" s="41"/>
      <c r="W75" s="42" t="str">
        <f ca="1">IFERROR(__xludf.DUMMYFUNCTION("""COMPUTED_VALUE"""),"PHONE CELL")</f>
        <v>PHONE CELL</v>
      </c>
      <c r="X75" s="42" t="str">
        <f ca="1"/>
        <v>ON-PHONE CELL-00011900+5-6281241440688</v>
      </c>
      <c r="Y75" s="40"/>
      <c r="Z75" s="40"/>
      <c r="AA75" s="23" t="str">
        <v>https://wa.me/6281241440688</v>
      </c>
      <c r="AB75" s="24"/>
      <c r="AC75" s="24"/>
      <c r="AD75" s="24"/>
      <c r="AE75" s="24"/>
      <c r="AF75" s="25"/>
      <c r="AG75" s="25"/>
    </row>
    <row r="76" spans="1:33" ht="15.75" customHeight="1">
      <c r="A76" s="32" t="s">
        <v>39</v>
      </c>
      <c r="B76" s="33">
        <v>78</v>
      </c>
      <c r="C76" s="34" t="s">
        <v>585</v>
      </c>
      <c r="D76" s="35">
        <v>45820.894560289351</v>
      </c>
      <c r="E76" s="44">
        <v>45817</v>
      </c>
      <c r="F76" s="32" t="s">
        <v>586</v>
      </c>
      <c r="G76" s="32" t="s">
        <v>587</v>
      </c>
      <c r="H76" s="32" t="s">
        <v>588</v>
      </c>
      <c r="I76" s="36" t="s">
        <v>589</v>
      </c>
      <c r="J76" s="32" t="s">
        <v>590</v>
      </c>
      <c r="K76" s="32" t="s">
        <v>591</v>
      </c>
      <c r="L76" s="32"/>
      <c r="M76" s="32" t="s">
        <v>131</v>
      </c>
      <c r="N76" s="33">
        <v>5</v>
      </c>
      <c r="O76" s="35"/>
      <c r="P76" s="35"/>
      <c r="Q76" s="37"/>
      <c r="R76" s="38"/>
      <c r="S76" s="33"/>
      <c r="T76" s="39">
        <v>197000</v>
      </c>
      <c r="U76" s="40" t="s">
        <v>61</v>
      </c>
      <c r="V76" s="41"/>
      <c r="W76" s="42" t="str">
        <f ca="1">IFERROR(__xludf.DUMMYFUNCTION("""COMPUTED_VALUE"""),"Amanah Interior")</f>
        <v>Amanah Interior</v>
      </c>
      <c r="X76" s="42" t="str">
        <f ca="1"/>
        <v>ON-Amanah Interior-00011900+5-6282280929802</v>
      </c>
      <c r="Y76" s="40"/>
      <c r="Z76" s="40"/>
      <c r="AA76" s="23" t="str">
        <v>https://wa.me/6282280929802</v>
      </c>
      <c r="AB76" s="24"/>
      <c r="AC76" s="24"/>
      <c r="AD76" s="24"/>
      <c r="AE76" s="24"/>
      <c r="AF76" s="25"/>
      <c r="AG76" s="25"/>
    </row>
    <row r="77" spans="1:33" ht="15.75" customHeight="1">
      <c r="A77" s="32" t="s">
        <v>39</v>
      </c>
      <c r="B77" s="33">
        <v>79</v>
      </c>
      <c r="C77" s="34" t="s">
        <v>592</v>
      </c>
      <c r="D77" s="35">
        <v>45821.8273256713</v>
      </c>
      <c r="E77" s="44">
        <v>45821</v>
      </c>
      <c r="F77" s="32" t="s">
        <v>593</v>
      </c>
      <c r="G77" s="32" t="s">
        <v>594</v>
      </c>
      <c r="H77" s="32" t="s">
        <v>595</v>
      </c>
      <c r="I77" s="36" t="s">
        <v>596</v>
      </c>
      <c r="J77" s="32"/>
      <c r="K77" s="32" t="s">
        <v>247</v>
      </c>
      <c r="L77" s="32" t="s">
        <v>597</v>
      </c>
      <c r="M77" s="32" t="s">
        <v>131</v>
      </c>
      <c r="N77" s="33">
        <v>5</v>
      </c>
      <c r="O77" s="35">
        <v>45822</v>
      </c>
      <c r="P77" s="35">
        <v>45826</v>
      </c>
      <c r="Q77" s="37"/>
      <c r="R77" s="38"/>
      <c r="S77" s="33"/>
      <c r="T77" s="39">
        <v>197000</v>
      </c>
      <c r="U77" s="40" t="s">
        <v>61</v>
      </c>
      <c r="V77" s="41"/>
      <c r="W77" s="42" t="str">
        <f ca="1">IFERROR(__xludf.DUMMYFUNCTION("""COMPUTED_VALUE"""),"Bhoemi Kontraktor")</f>
        <v>Bhoemi Kontraktor</v>
      </c>
      <c r="X77" s="42" t="str">
        <f ca="1"/>
        <v>ON-Bhoemi Kontraktor-00011900+5-6283185169816</v>
      </c>
      <c r="Y77" s="40" t="s">
        <v>293</v>
      </c>
      <c r="Z77" s="40" t="s">
        <v>241</v>
      </c>
      <c r="AA77" s="48" t="str">
        <v>https://wa.me/6283185169816</v>
      </c>
      <c r="AB77" s="24"/>
      <c r="AC77" s="24"/>
      <c r="AD77" s="24"/>
      <c r="AE77" s="24"/>
      <c r="AF77" s="25"/>
      <c r="AG77" s="25"/>
    </row>
    <row r="78" spans="1:33" ht="15.75" customHeight="1">
      <c r="A78" s="32" t="s">
        <v>39</v>
      </c>
      <c r="B78" s="33">
        <v>80</v>
      </c>
      <c r="C78" s="34" t="s">
        <v>598</v>
      </c>
      <c r="D78" s="35">
        <v>46038</v>
      </c>
      <c r="E78" s="44">
        <v>45821</v>
      </c>
      <c r="F78" s="32" t="s">
        <v>599</v>
      </c>
      <c r="G78" s="32" t="s">
        <v>600</v>
      </c>
      <c r="H78" s="32" t="s">
        <v>601</v>
      </c>
      <c r="I78" s="36" t="s">
        <v>602</v>
      </c>
      <c r="J78" s="32"/>
      <c r="K78" s="32" t="s">
        <v>603</v>
      </c>
      <c r="L78" s="32" t="s">
        <v>604</v>
      </c>
      <c r="M78" s="32" t="s">
        <v>60</v>
      </c>
      <c r="N78" s="33">
        <v>7</v>
      </c>
      <c r="O78" s="35"/>
      <c r="P78" s="35"/>
      <c r="Q78" s="37"/>
      <c r="R78" s="38">
        <v>-1003470351325</v>
      </c>
      <c r="S78" s="33"/>
      <c r="T78" s="39">
        <v>297000</v>
      </c>
      <c r="U78" s="40" t="s">
        <v>61</v>
      </c>
      <c r="V78" s="47">
        <v>46040.300797222226</v>
      </c>
      <c r="W78" s="42" t="str">
        <f ca="1">IFERROR(__xludf.DUMMYFUNCTION("""COMPUTED_VALUE"""),"Samidi Plafon")</f>
        <v>Samidi Plafon</v>
      </c>
      <c r="X78" s="42" t="str">
        <f ca="1"/>
        <v>ON-Samidi Plafon-18012026+7-6285210107607</v>
      </c>
      <c r="Y78" s="40" t="s">
        <v>293</v>
      </c>
      <c r="Z78" s="40" t="s">
        <v>241</v>
      </c>
      <c r="AA78" s="23" t="str">
        <v>https://wa.me/6285210107607</v>
      </c>
      <c r="AB78" s="24"/>
      <c r="AC78" s="24"/>
      <c r="AD78" s="24"/>
      <c r="AE78" s="24"/>
      <c r="AF78" s="25"/>
      <c r="AG78" s="25"/>
    </row>
    <row r="79" spans="1:33" ht="15.75" customHeight="1">
      <c r="A79" s="32" t="s">
        <v>39</v>
      </c>
      <c r="B79" s="33">
        <v>81</v>
      </c>
      <c r="C79" s="34" t="s">
        <v>605</v>
      </c>
      <c r="D79" s="35">
        <v>45821.833874687502</v>
      </c>
      <c r="E79" s="44">
        <v>45821</v>
      </c>
      <c r="F79" s="32" t="s">
        <v>606</v>
      </c>
      <c r="G79" s="32" t="s">
        <v>607</v>
      </c>
      <c r="H79" s="32" t="s">
        <v>608</v>
      </c>
      <c r="I79" s="36" t="s">
        <v>609</v>
      </c>
      <c r="J79" s="32" t="s">
        <v>610</v>
      </c>
      <c r="K79" s="32" t="s">
        <v>611</v>
      </c>
      <c r="L79" s="32"/>
      <c r="M79" s="32" t="s">
        <v>106</v>
      </c>
      <c r="N79" s="33">
        <v>5</v>
      </c>
      <c r="O79" s="35">
        <v>45822</v>
      </c>
      <c r="P79" s="35">
        <v>45826</v>
      </c>
      <c r="Q79" s="37"/>
      <c r="R79" s="38"/>
      <c r="S79" s="33"/>
      <c r="T79" s="39">
        <v>197000</v>
      </c>
      <c r="U79" s="40" t="s">
        <v>61</v>
      </c>
      <c r="V79" s="41"/>
      <c r="W79" s="42" t="str">
        <f ca="1">IFERROR(__xludf.DUMMYFUNCTION("""COMPUTED_VALUE"""),"Rumah Cantik")</f>
        <v>Rumah Cantik</v>
      </c>
      <c r="X79" s="42" t="str">
        <f ca="1"/>
        <v>ON-Rumah Cantik-00011900+5-6288215445661</v>
      </c>
      <c r="Y79" s="40" t="s">
        <v>50</v>
      </c>
      <c r="Z79" s="40" t="s">
        <v>327</v>
      </c>
      <c r="AA79" s="23" t="str">
        <v>https://wa.me/6288215445661</v>
      </c>
      <c r="AB79" s="27" t="s">
        <v>612</v>
      </c>
      <c r="AC79" s="27"/>
      <c r="AD79" s="27"/>
      <c r="AE79" s="27"/>
      <c r="AF79" s="45"/>
      <c r="AG79" s="45"/>
    </row>
    <row r="80" spans="1:33" ht="15.75" customHeight="1">
      <c r="A80" s="32" t="s">
        <v>39</v>
      </c>
      <c r="B80" s="33">
        <v>82</v>
      </c>
      <c r="C80" s="34" t="s">
        <v>613</v>
      </c>
      <c r="D80" s="35">
        <v>45822.388532696757</v>
      </c>
      <c r="E80" s="44">
        <v>45820</v>
      </c>
      <c r="F80" s="32" t="s">
        <v>614</v>
      </c>
      <c r="G80" s="32" t="s">
        <v>615</v>
      </c>
      <c r="H80" s="32" t="s">
        <v>409</v>
      </c>
      <c r="I80" s="36" t="s">
        <v>616</v>
      </c>
      <c r="J80" s="32" t="s">
        <v>617</v>
      </c>
      <c r="K80" s="32" t="s">
        <v>618</v>
      </c>
      <c r="L80" s="32" t="s">
        <v>619</v>
      </c>
      <c r="M80" s="32" t="s">
        <v>276</v>
      </c>
      <c r="N80" s="33">
        <v>5</v>
      </c>
      <c r="O80" s="35">
        <v>45824</v>
      </c>
      <c r="P80" s="35">
        <v>45828</v>
      </c>
      <c r="Q80" s="37"/>
      <c r="R80" s="38"/>
      <c r="S80" s="33"/>
      <c r="T80" s="39">
        <v>197000</v>
      </c>
      <c r="U80" s="40" t="s">
        <v>115</v>
      </c>
      <c r="V80" s="41"/>
      <c r="W80" s="42" t="str">
        <f ca="1">IFERROR(__xludf.DUMMYFUNCTION("""COMPUTED_VALUE"""),"PT. Medan")</f>
        <v>PT. Medan</v>
      </c>
      <c r="X80" s="42" t="str">
        <f ca="1"/>
        <v>ON-PT. Medan-00011900+5-6282162580404</v>
      </c>
      <c r="Y80" s="40" t="s">
        <v>293</v>
      </c>
      <c r="Z80" s="40" t="s">
        <v>241</v>
      </c>
      <c r="AA80" s="23" t="str">
        <v>https://wa.me/6282162580404</v>
      </c>
      <c r="AB80" s="27" t="s">
        <v>620</v>
      </c>
      <c r="AC80" s="27"/>
      <c r="AD80" s="27"/>
      <c r="AE80" s="27"/>
      <c r="AF80" s="45"/>
      <c r="AG80" s="45"/>
    </row>
    <row r="81" spans="1:33" ht="15.75" customHeight="1">
      <c r="A81" s="32" t="s">
        <v>621</v>
      </c>
      <c r="B81" s="33">
        <v>83</v>
      </c>
      <c r="C81" s="34" t="s">
        <v>622</v>
      </c>
      <c r="D81" s="35">
        <v>45822.389425740737</v>
      </c>
      <c r="E81" s="44">
        <v>45820</v>
      </c>
      <c r="F81" s="32" t="s">
        <v>623</v>
      </c>
      <c r="G81" s="32" t="s">
        <v>624</v>
      </c>
      <c r="H81" s="32" t="s">
        <v>625</v>
      </c>
      <c r="I81" s="36" t="s">
        <v>626</v>
      </c>
      <c r="J81" s="32" t="s">
        <v>627</v>
      </c>
      <c r="K81" s="32" t="s">
        <v>628</v>
      </c>
      <c r="L81" s="32" t="s">
        <v>629</v>
      </c>
      <c r="M81" s="32" t="s">
        <v>276</v>
      </c>
      <c r="N81" s="33">
        <v>5</v>
      </c>
      <c r="O81" s="35">
        <v>45824</v>
      </c>
      <c r="P81" s="35">
        <v>45828</v>
      </c>
      <c r="Q81" s="37"/>
      <c r="R81" s="38"/>
      <c r="S81" s="33"/>
      <c r="T81" s="39">
        <v>197000</v>
      </c>
      <c r="U81" s="40" t="s">
        <v>115</v>
      </c>
      <c r="V81" s="41"/>
      <c r="W81" s="42" t="str">
        <f ca="1">IFERROR(__xludf.DUMMYFUNCTION("""COMPUTED_VALUE"""),"Anjas Jaya")</f>
        <v>Anjas Jaya</v>
      </c>
      <c r="X81" s="42" t="str">
        <f ca="1"/>
        <v>ON-Anjas Jaya-00011900+5-6281337029495</v>
      </c>
      <c r="Y81" s="40" t="s">
        <v>62</v>
      </c>
      <c r="Z81" s="40" t="s">
        <v>630</v>
      </c>
      <c r="AA81" s="23" t="str">
        <v>https://wa.me/6281337029495</v>
      </c>
      <c r="AB81" s="27" t="s">
        <v>631</v>
      </c>
      <c r="AC81" s="27"/>
      <c r="AD81" s="27"/>
      <c r="AE81" s="27"/>
      <c r="AF81" s="45"/>
      <c r="AG81" s="45"/>
    </row>
    <row r="82" spans="1:33" ht="15.75" customHeight="1">
      <c r="A82" s="32" t="s">
        <v>196</v>
      </c>
      <c r="B82" s="33">
        <v>84</v>
      </c>
      <c r="C82" s="34" t="s">
        <v>632</v>
      </c>
      <c r="D82" s="35">
        <v>45822.706664745376</v>
      </c>
      <c r="E82" s="44">
        <v>45822</v>
      </c>
      <c r="F82" s="32" t="s">
        <v>633</v>
      </c>
      <c r="G82" s="32" t="s">
        <v>634</v>
      </c>
      <c r="H82" s="32" t="s">
        <v>635</v>
      </c>
      <c r="I82" s="36" t="s">
        <v>636</v>
      </c>
      <c r="J82" s="32" t="s">
        <v>637</v>
      </c>
      <c r="K82" s="32" t="s">
        <v>570</v>
      </c>
      <c r="L82" s="32"/>
      <c r="M82" s="32" t="s">
        <v>638</v>
      </c>
      <c r="N82" s="33">
        <v>5</v>
      </c>
      <c r="O82" s="35">
        <v>45824</v>
      </c>
      <c r="P82" s="35">
        <v>45829</v>
      </c>
      <c r="Q82" s="37"/>
      <c r="R82" s="38"/>
      <c r="S82" s="33"/>
      <c r="T82" s="39">
        <v>197000</v>
      </c>
      <c r="U82" s="40" t="s">
        <v>49</v>
      </c>
      <c r="V82" s="41"/>
      <c r="W82" s="42" t="str">
        <f ca="1">IFERROR(__xludf.DUMMYFUNCTION("""COMPUTED_VALUE"""),"BATRA SENTUTORAF")</f>
        <v>BATRA SENTUTORAF</v>
      </c>
      <c r="X82" s="42" t="str">
        <f ca="1"/>
        <v>ON-BATRA SENTUTORAF-00011900+5-6282258886603</v>
      </c>
      <c r="Y82" s="40" t="s">
        <v>62</v>
      </c>
      <c r="Z82" s="40" t="s">
        <v>639</v>
      </c>
      <c r="AA82" s="23" t="str">
        <v>https://wa.me/6282258886603</v>
      </c>
      <c r="AB82" s="27" t="s">
        <v>640</v>
      </c>
      <c r="AC82" s="27"/>
      <c r="AD82" s="27"/>
      <c r="AE82" s="27"/>
      <c r="AF82" s="45"/>
      <c r="AG82" s="45"/>
    </row>
    <row r="83" spans="1:33" ht="15.75" customHeight="1">
      <c r="A83" s="32" t="s">
        <v>196</v>
      </c>
      <c r="B83" s="33">
        <v>85</v>
      </c>
      <c r="C83" s="34" t="s">
        <v>641</v>
      </c>
      <c r="D83" s="44">
        <v>46065</v>
      </c>
      <c r="E83" s="44">
        <v>45822</v>
      </c>
      <c r="F83" s="32" t="s">
        <v>642</v>
      </c>
      <c r="G83" s="32" t="s">
        <v>643</v>
      </c>
      <c r="H83" s="32" t="s">
        <v>644</v>
      </c>
      <c r="I83" s="36" t="s">
        <v>645</v>
      </c>
      <c r="J83" s="32"/>
      <c r="K83" s="32" t="s">
        <v>646</v>
      </c>
      <c r="L83" s="49" t="s">
        <v>647</v>
      </c>
      <c r="M83" s="32" t="s">
        <v>382</v>
      </c>
      <c r="N83" s="33">
        <v>14</v>
      </c>
      <c r="O83" s="35"/>
      <c r="P83" s="35"/>
      <c r="Q83" s="37"/>
      <c r="R83" s="38">
        <v>-1003470351325</v>
      </c>
      <c r="S83" s="33"/>
      <c r="T83" s="39">
        <v>550000</v>
      </c>
      <c r="U83" s="40" t="s">
        <v>115</v>
      </c>
      <c r="V83" s="47">
        <v>46065.369234699072</v>
      </c>
      <c r="W83" s="42" t="str">
        <f ca="1">IFERROR(__xludf.DUMMYFUNCTION("""COMPUTED_VALUE"""),"CV Fajar")</f>
        <v>CV Fajar</v>
      </c>
      <c r="X83" s="42" t="str">
        <f ca="1"/>
        <v>ON-CV Fajar-12022026+14-6281338789995</v>
      </c>
      <c r="Y83" s="40" t="s">
        <v>293</v>
      </c>
      <c r="Z83" s="40" t="s">
        <v>241</v>
      </c>
      <c r="AA83" s="23" t="str">
        <v>https://wa.me/6281338789995</v>
      </c>
      <c r="AB83" s="27" t="s">
        <v>648</v>
      </c>
      <c r="AC83" s="27"/>
      <c r="AD83" s="27"/>
      <c r="AE83" s="27"/>
      <c r="AF83" s="45"/>
      <c r="AG83" s="45"/>
    </row>
    <row r="84" spans="1:33" ht="15.75" customHeight="1">
      <c r="A84" s="32" t="s">
        <v>39</v>
      </c>
      <c r="B84" s="33">
        <v>86</v>
      </c>
      <c r="C84" s="34" t="s">
        <v>649</v>
      </c>
      <c r="D84" s="35">
        <v>45822.861237141202</v>
      </c>
      <c r="E84" s="44">
        <v>45822</v>
      </c>
      <c r="F84" s="32" t="s">
        <v>650</v>
      </c>
      <c r="G84" s="32" t="s">
        <v>651</v>
      </c>
      <c r="H84" s="32" t="s">
        <v>652</v>
      </c>
      <c r="I84" s="36" t="s">
        <v>653</v>
      </c>
      <c r="J84" s="32" t="s">
        <v>654</v>
      </c>
      <c r="K84" s="32" t="s">
        <v>570</v>
      </c>
      <c r="L84" s="32" t="s">
        <v>655</v>
      </c>
      <c r="M84" s="32" t="s">
        <v>656</v>
      </c>
      <c r="N84" s="33">
        <v>7</v>
      </c>
      <c r="O84" s="35">
        <v>45824</v>
      </c>
      <c r="P84" s="35">
        <v>45830</v>
      </c>
      <c r="Q84" s="37"/>
      <c r="R84" s="38"/>
      <c r="S84" s="33"/>
      <c r="T84" s="39">
        <v>225000</v>
      </c>
      <c r="U84" s="40" t="s">
        <v>49</v>
      </c>
      <c r="V84" s="41"/>
      <c r="W84" s="42" t="str">
        <f ca="1">IFERROR(__xludf.DUMMYFUNCTION("""COMPUTED_VALUE"""),"Aqila clean")</f>
        <v>Aqila clean</v>
      </c>
      <c r="X84" s="42" t="str">
        <f ca="1"/>
        <v>ON-Aqila clean-00011900+7-6281905836259</v>
      </c>
      <c r="Y84" s="40" t="s">
        <v>62</v>
      </c>
      <c r="Z84" s="40" t="s">
        <v>214</v>
      </c>
      <c r="AA84" s="23" t="str">
        <v>https://wa.me/6281905836259</v>
      </c>
      <c r="AB84" s="27" t="s">
        <v>657</v>
      </c>
      <c r="AC84" s="27"/>
      <c r="AD84" s="27"/>
      <c r="AE84" s="27"/>
      <c r="AF84" s="45"/>
      <c r="AG84" s="45"/>
    </row>
    <row r="85" spans="1:33" ht="15.75" customHeight="1">
      <c r="A85" s="32" t="s">
        <v>196</v>
      </c>
      <c r="B85" s="33">
        <v>87</v>
      </c>
      <c r="C85" s="34" t="s">
        <v>658</v>
      </c>
      <c r="D85" s="35">
        <v>45823.326468634259</v>
      </c>
      <c r="E85" s="44">
        <v>45822</v>
      </c>
      <c r="F85" s="32" t="s">
        <v>659</v>
      </c>
      <c r="G85" s="32" t="s">
        <v>660</v>
      </c>
      <c r="H85" s="32" t="s">
        <v>661</v>
      </c>
      <c r="I85" s="36" t="s">
        <v>662</v>
      </c>
      <c r="J85" s="32"/>
      <c r="K85" s="32" t="s">
        <v>663</v>
      </c>
      <c r="L85" s="32" t="s">
        <v>655</v>
      </c>
      <c r="M85" s="32" t="s">
        <v>656</v>
      </c>
      <c r="N85" s="33">
        <v>30</v>
      </c>
      <c r="O85" s="35"/>
      <c r="P85" s="35"/>
      <c r="Q85" s="37"/>
      <c r="R85" s="38"/>
      <c r="S85" s="33"/>
      <c r="T85" s="39">
        <v>895000</v>
      </c>
      <c r="U85" s="40" t="s">
        <v>61</v>
      </c>
      <c r="V85" s="41"/>
      <c r="W85" s="42" t="str">
        <f ca="1">IFERROR(__xludf.DUMMYFUNCTION("""COMPUTED_VALUE"""),"Artha Jaya")</f>
        <v>Artha Jaya</v>
      </c>
      <c r="X85" s="42" t="str">
        <f ca="1"/>
        <v>ON-Artha Jaya-00011900+30-6285757057088</v>
      </c>
      <c r="Y85" s="40" t="s">
        <v>50</v>
      </c>
      <c r="Z85" s="40" t="s">
        <v>664</v>
      </c>
      <c r="AA85" s="23" t="str">
        <v>https://wa.me/6285757057088</v>
      </c>
      <c r="AB85" s="28" t="s">
        <v>665</v>
      </c>
      <c r="AC85" s="28"/>
      <c r="AD85" s="28"/>
      <c r="AE85" s="28"/>
      <c r="AF85" s="29"/>
      <c r="AG85" s="29"/>
    </row>
    <row r="86" spans="1:33" ht="15.75" customHeight="1">
      <c r="A86" s="32" t="s">
        <v>196</v>
      </c>
      <c r="B86" s="33">
        <v>88</v>
      </c>
      <c r="C86" s="34" t="s">
        <v>666</v>
      </c>
      <c r="D86" s="35">
        <v>45823.332230092594</v>
      </c>
      <c r="E86" s="44">
        <v>45817</v>
      </c>
      <c r="F86" s="32" t="s">
        <v>667</v>
      </c>
      <c r="G86" s="32" t="s">
        <v>668</v>
      </c>
      <c r="H86" s="32" t="s">
        <v>669</v>
      </c>
      <c r="I86" s="36" t="s">
        <v>670</v>
      </c>
      <c r="J86" s="32"/>
      <c r="K86" s="32" t="s">
        <v>671</v>
      </c>
      <c r="L86" s="32" t="s">
        <v>672</v>
      </c>
      <c r="M86" s="32" t="s">
        <v>131</v>
      </c>
      <c r="N86" s="33">
        <v>5</v>
      </c>
      <c r="O86" s="35"/>
      <c r="P86" s="35"/>
      <c r="Q86" s="37"/>
      <c r="R86" s="38"/>
      <c r="S86" s="33"/>
      <c r="T86" s="39">
        <v>197000</v>
      </c>
      <c r="U86" s="40" t="s">
        <v>115</v>
      </c>
      <c r="V86" s="41"/>
      <c r="W86" s="42" t="str">
        <f ca="1">IFERROR(__xludf.DUMMYFUNCTION("""COMPUTED_VALUE"""),"TERAPY SEHAT")</f>
        <v>TERAPY SEHAT</v>
      </c>
      <c r="X86" s="42" t="str">
        <f ca="1"/>
        <v>ON-TERAPY SEHAT-00011900+5-6285274759862</v>
      </c>
      <c r="Y86" s="40"/>
      <c r="Z86" s="40"/>
      <c r="AA86" s="23" t="str">
        <v>https://wa.me/6285274759862</v>
      </c>
      <c r="AB86" s="28" t="s">
        <v>673</v>
      </c>
      <c r="AC86" s="28"/>
      <c r="AD86" s="28"/>
      <c r="AE86" s="28"/>
      <c r="AF86" s="29"/>
      <c r="AG86" s="29"/>
    </row>
    <row r="87" spans="1:33" ht="15.75" customHeight="1">
      <c r="A87" s="32" t="s">
        <v>196</v>
      </c>
      <c r="B87" s="33">
        <v>89</v>
      </c>
      <c r="C87" s="34" t="s">
        <v>674</v>
      </c>
      <c r="D87" s="35">
        <v>45823.391682662041</v>
      </c>
      <c r="E87" s="44">
        <v>45823</v>
      </c>
      <c r="F87" s="32" t="s">
        <v>675</v>
      </c>
      <c r="G87" s="32" t="s">
        <v>676</v>
      </c>
      <c r="H87" s="32" t="s">
        <v>560</v>
      </c>
      <c r="I87" s="36" t="s">
        <v>677</v>
      </c>
      <c r="J87" s="32" t="s">
        <v>678</v>
      </c>
      <c r="K87" s="32" t="s">
        <v>173</v>
      </c>
      <c r="L87" s="32" t="s">
        <v>679</v>
      </c>
      <c r="M87" s="32" t="s">
        <v>382</v>
      </c>
      <c r="N87" s="33">
        <v>5</v>
      </c>
      <c r="O87" s="35"/>
      <c r="P87" s="35"/>
      <c r="Q87" s="37"/>
      <c r="R87" s="38"/>
      <c r="S87" s="33"/>
      <c r="T87" s="39">
        <v>197000</v>
      </c>
      <c r="U87" s="40" t="s">
        <v>115</v>
      </c>
      <c r="V87" s="41"/>
      <c r="W87" s="42" t="str">
        <f ca="1">IFERROR(__xludf.DUMMYFUNCTION("""COMPUTED_VALUE"""),"AR Kontraktor")</f>
        <v>AR Kontraktor</v>
      </c>
      <c r="X87" s="42" t="str">
        <f ca="1"/>
        <v>ON-AR Kontraktor-00011900+5-6281316155059</v>
      </c>
      <c r="Y87" s="40" t="s">
        <v>293</v>
      </c>
      <c r="Z87" s="40" t="s">
        <v>241</v>
      </c>
      <c r="AA87" s="23" t="str">
        <v>https://wa.me/6281316155059</v>
      </c>
      <c r="AB87" s="28" t="s">
        <v>680</v>
      </c>
      <c r="AC87" s="28"/>
      <c r="AD87" s="28"/>
      <c r="AE87" s="28"/>
      <c r="AF87" s="29"/>
      <c r="AG87" s="29"/>
    </row>
    <row r="88" spans="1:33" ht="15.75" customHeight="1">
      <c r="A88" s="32" t="s">
        <v>196</v>
      </c>
      <c r="B88" s="33">
        <v>91</v>
      </c>
      <c r="C88" s="34" t="s">
        <v>681</v>
      </c>
      <c r="D88" s="35">
        <v>45823.409148333332</v>
      </c>
      <c r="E88" s="44">
        <v>45823</v>
      </c>
      <c r="F88" s="32" t="s">
        <v>682</v>
      </c>
      <c r="G88" s="32" t="s">
        <v>683</v>
      </c>
      <c r="H88" s="32" t="s">
        <v>684</v>
      </c>
      <c r="I88" s="36" t="s">
        <v>685</v>
      </c>
      <c r="J88" s="32" t="s">
        <v>684</v>
      </c>
      <c r="K88" s="32" t="s">
        <v>686</v>
      </c>
      <c r="L88" s="32" t="s">
        <v>687</v>
      </c>
      <c r="M88" s="32" t="s">
        <v>688</v>
      </c>
      <c r="N88" s="33">
        <v>7</v>
      </c>
      <c r="O88" s="35">
        <v>45832</v>
      </c>
      <c r="P88" s="35">
        <v>45838</v>
      </c>
      <c r="Q88" s="37"/>
      <c r="R88" s="38"/>
      <c r="S88" s="33"/>
      <c r="T88" s="39">
        <v>297000</v>
      </c>
      <c r="U88" s="40" t="s">
        <v>115</v>
      </c>
      <c r="V88" s="41"/>
      <c r="W88" s="42" t="str">
        <f ca="1">IFERROR(__xludf.DUMMYFUNCTION("""COMPUTED_VALUE"""),"CV BIMA")</f>
        <v>CV BIMA</v>
      </c>
      <c r="X88" s="42" t="str">
        <f ca="1"/>
        <v>ON-CV BIMA-00011900+7-6282176695820</v>
      </c>
      <c r="Y88" s="40" t="s">
        <v>293</v>
      </c>
      <c r="Z88" s="40" t="s">
        <v>241</v>
      </c>
      <c r="AA88" s="23" t="str">
        <v>https://wa.me/6282176695820</v>
      </c>
      <c r="AB88" s="28" t="s">
        <v>689</v>
      </c>
      <c r="AC88" s="28"/>
      <c r="AD88" s="28" t="s">
        <v>690</v>
      </c>
      <c r="AE88" s="28"/>
      <c r="AF88" s="29"/>
      <c r="AG88" s="29"/>
    </row>
    <row r="89" spans="1:33" ht="15.75" customHeight="1">
      <c r="A89" s="32" t="s">
        <v>196</v>
      </c>
      <c r="B89" s="33">
        <v>91</v>
      </c>
      <c r="C89" s="34" t="s">
        <v>681</v>
      </c>
      <c r="D89" s="35">
        <v>45823.455153854171</v>
      </c>
      <c r="E89" s="44">
        <v>45823</v>
      </c>
      <c r="F89" s="32" t="s">
        <v>691</v>
      </c>
      <c r="G89" s="32" t="s">
        <v>692</v>
      </c>
      <c r="H89" s="32" t="s">
        <v>693</v>
      </c>
      <c r="I89" s="36" t="s">
        <v>694</v>
      </c>
      <c r="J89" s="32"/>
      <c r="K89" s="32" t="s">
        <v>695</v>
      </c>
      <c r="L89" s="32" t="s">
        <v>696</v>
      </c>
      <c r="M89" s="32" t="s">
        <v>205</v>
      </c>
      <c r="N89" s="33">
        <v>5</v>
      </c>
      <c r="O89" s="35">
        <v>45825</v>
      </c>
      <c r="P89" s="35">
        <v>45829</v>
      </c>
      <c r="Q89" s="37"/>
      <c r="R89" s="38"/>
      <c r="S89" s="33"/>
      <c r="T89" s="39">
        <v>200000</v>
      </c>
      <c r="U89" s="40" t="s">
        <v>49</v>
      </c>
      <c r="V89" s="41"/>
      <c r="W89" s="42" t="str">
        <f ca="1">IFERROR(__xludf.DUMMYFUNCTION("""COMPUTED_VALUE"""),"CV permadana")</f>
        <v>CV permadana</v>
      </c>
      <c r="X89" s="42" t="str">
        <f ca="1"/>
        <v>ON-CV permadana-00011900+5-6289523308892</v>
      </c>
      <c r="Y89" s="40" t="s">
        <v>293</v>
      </c>
      <c r="Z89" s="40" t="s">
        <v>241</v>
      </c>
      <c r="AA89" s="23" t="str">
        <v>https://wa.me/6289523308892</v>
      </c>
      <c r="AB89" s="28" t="s">
        <v>697</v>
      </c>
      <c r="AC89" s="28"/>
      <c r="AD89" s="28"/>
      <c r="AE89" s="28"/>
      <c r="AF89" s="29"/>
      <c r="AG89" s="29"/>
    </row>
    <row r="90" spans="1:33" ht="15.75" customHeight="1">
      <c r="A90" s="32" t="s">
        <v>196</v>
      </c>
      <c r="B90" s="33">
        <v>92</v>
      </c>
      <c r="C90" s="34" t="s">
        <v>698</v>
      </c>
      <c r="D90" s="35">
        <v>45823.521540729169</v>
      </c>
      <c r="E90" s="44">
        <v>45823</v>
      </c>
      <c r="F90" s="32" t="s">
        <v>699</v>
      </c>
      <c r="G90" s="32" t="s">
        <v>700</v>
      </c>
      <c r="H90" s="32" t="s">
        <v>298</v>
      </c>
      <c r="I90" s="36" t="s">
        <v>701</v>
      </c>
      <c r="J90" s="32"/>
      <c r="K90" s="32" t="s">
        <v>702</v>
      </c>
      <c r="L90" s="32" t="s">
        <v>629</v>
      </c>
      <c r="M90" s="32" t="s">
        <v>382</v>
      </c>
      <c r="N90" s="33">
        <v>5</v>
      </c>
      <c r="O90" s="35">
        <v>45826</v>
      </c>
      <c r="P90" s="35">
        <v>45830</v>
      </c>
      <c r="Q90" s="37"/>
      <c r="R90" s="38"/>
      <c r="S90" s="33"/>
      <c r="T90" s="39">
        <v>197000</v>
      </c>
      <c r="U90" s="40" t="s">
        <v>115</v>
      </c>
      <c r="V90" s="41"/>
      <c r="W90" s="42" t="str">
        <f ca="1">IFERROR(__xludf.DUMMYFUNCTION("""COMPUTED_VALUE"""),"Lintang interior")</f>
        <v>Lintang interior</v>
      </c>
      <c r="X90" s="42" t="str">
        <f ca="1"/>
        <v>ON-Lintang interior-00011900+5-6281632236409</v>
      </c>
      <c r="Y90" s="40" t="s">
        <v>293</v>
      </c>
      <c r="Z90" s="40" t="s">
        <v>241</v>
      </c>
      <c r="AA90" s="23" t="str">
        <v>https://wa.me/6281632236409</v>
      </c>
      <c r="AB90" s="28" t="s">
        <v>703</v>
      </c>
      <c r="AC90" s="28"/>
      <c r="AD90" s="28"/>
      <c r="AE90" s="28"/>
      <c r="AF90" s="29"/>
      <c r="AG90" s="29"/>
    </row>
    <row r="91" spans="1:33" ht="15.75" customHeight="1">
      <c r="A91" s="32" t="s">
        <v>196</v>
      </c>
      <c r="B91" s="33">
        <v>93</v>
      </c>
      <c r="C91" s="34" t="s">
        <v>704</v>
      </c>
      <c r="D91" s="35">
        <v>45823.521761944445</v>
      </c>
      <c r="E91" s="44">
        <v>45823</v>
      </c>
      <c r="F91" s="32" t="s">
        <v>705</v>
      </c>
      <c r="G91" s="32" t="s">
        <v>706</v>
      </c>
      <c r="H91" s="32" t="s">
        <v>707</v>
      </c>
      <c r="I91" s="36" t="s">
        <v>708</v>
      </c>
      <c r="J91" s="32" t="s">
        <v>709</v>
      </c>
      <c r="K91" s="32" t="s">
        <v>710</v>
      </c>
      <c r="L91" s="32" t="s">
        <v>225</v>
      </c>
      <c r="M91" s="32" t="s">
        <v>711</v>
      </c>
      <c r="N91" s="33">
        <v>10</v>
      </c>
      <c r="O91" s="35">
        <v>45825</v>
      </c>
      <c r="P91" s="35">
        <v>45835</v>
      </c>
      <c r="Q91" s="37"/>
      <c r="R91" s="38"/>
      <c r="S91" s="33"/>
      <c r="T91" s="39">
        <v>375000</v>
      </c>
      <c r="U91" s="40" t="s">
        <v>115</v>
      </c>
      <c r="V91" s="41"/>
      <c r="W91" s="42" t="str">
        <f ca="1">IFERROR(__xludf.DUMMYFUNCTION("""COMPUTED_VALUE"""),"Coach Etiana")</f>
        <v>Coach Etiana</v>
      </c>
      <c r="X91" s="42" t="str">
        <f ca="1"/>
        <v>ON-Coach Etiana-00011900+10-628127962347</v>
      </c>
      <c r="Y91" s="40" t="s">
        <v>62</v>
      </c>
      <c r="Z91" s="40" t="s">
        <v>214</v>
      </c>
      <c r="AA91" s="23" t="str">
        <v>https://wa.me/628127962347</v>
      </c>
      <c r="AB91" s="28" t="s">
        <v>712</v>
      </c>
      <c r="AC91" s="28"/>
      <c r="AD91" s="28"/>
      <c r="AE91" s="28"/>
      <c r="AF91" s="29"/>
      <c r="AG91" s="29"/>
    </row>
    <row r="92" spans="1:33" ht="15.75" customHeight="1">
      <c r="A92" s="32" t="s">
        <v>196</v>
      </c>
      <c r="B92" s="33">
        <v>94</v>
      </c>
      <c r="C92" s="34" t="s">
        <v>713</v>
      </c>
      <c r="D92" s="35">
        <v>45824.327654201392</v>
      </c>
      <c r="E92" s="44">
        <v>45824</v>
      </c>
      <c r="F92" s="32" t="s">
        <v>714</v>
      </c>
      <c r="G92" s="32" t="s">
        <v>715</v>
      </c>
      <c r="H92" s="32" t="s">
        <v>716</v>
      </c>
      <c r="I92" s="36" t="s">
        <v>717</v>
      </c>
      <c r="J92" s="32" t="s">
        <v>718</v>
      </c>
      <c r="K92" s="32" t="s">
        <v>719</v>
      </c>
      <c r="L92" s="32" t="s">
        <v>629</v>
      </c>
      <c r="M92" s="32"/>
      <c r="N92" s="33">
        <v>5</v>
      </c>
      <c r="O92" s="35">
        <v>45826</v>
      </c>
      <c r="P92" s="35">
        <v>45830</v>
      </c>
      <c r="Q92" s="37"/>
      <c r="R92" s="38"/>
      <c r="S92" s="33"/>
      <c r="T92" s="39">
        <v>197000</v>
      </c>
      <c r="U92" s="40" t="s">
        <v>115</v>
      </c>
      <c r="V92" s="41"/>
      <c r="W92" s="42" t="str">
        <f ca="1">IFERROR(__xludf.DUMMYFUNCTION("""COMPUTED_VALUE"""),"CV MJB")</f>
        <v>CV MJB</v>
      </c>
      <c r="X92" s="42" t="str">
        <f ca="1"/>
        <v>ON-CV MJB-00011900+5-6282141603091</v>
      </c>
      <c r="Y92" s="40" t="s">
        <v>293</v>
      </c>
      <c r="Z92" s="40" t="s">
        <v>241</v>
      </c>
      <c r="AA92" s="23" t="str">
        <v>https://wa.me/6282141603091</v>
      </c>
      <c r="AB92" s="28" t="s">
        <v>720</v>
      </c>
      <c r="AC92" s="28"/>
      <c r="AD92" s="28" t="s">
        <v>690</v>
      </c>
      <c r="AE92" s="28"/>
      <c r="AF92" s="29"/>
      <c r="AG92" s="29"/>
    </row>
    <row r="93" spans="1:33" ht="15.75" customHeight="1">
      <c r="A93" s="32" t="s">
        <v>196</v>
      </c>
      <c r="B93" s="33">
        <v>95</v>
      </c>
      <c r="C93" s="34" t="s">
        <v>721</v>
      </c>
      <c r="D93" s="35">
        <v>45824.337548657408</v>
      </c>
      <c r="E93" s="44">
        <v>45824</v>
      </c>
      <c r="F93" s="32" t="s">
        <v>722</v>
      </c>
      <c r="G93" s="32" t="s">
        <v>723</v>
      </c>
      <c r="H93" s="32" t="s">
        <v>724</v>
      </c>
      <c r="I93" s="36" t="s">
        <v>725</v>
      </c>
      <c r="J93" s="32" t="s">
        <v>724</v>
      </c>
      <c r="K93" s="32" t="s">
        <v>570</v>
      </c>
      <c r="L93" s="32" t="s">
        <v>629</v>
      </c>
      <c r="M93" s="32" t="s">
        <v>726</v>
      </c>
      <c r="N93" s="33">
        <v>5</v>
      </c>
      <c r="O93" s="35">
        <v>45826</v>
      </c>
      <c r="P93" s="35">
        <v>45830</v>
      </c>
      <c r="Q93" s="37"/>
      <c r="R93" s="38"/>
      <c r="S93" s="33"/>
      <c r="T93" s="39">
        <v>197000</v>
      </c>
      <c r="U93" s="40" t="s">
        <v>115</v>
      </c>
      <c r="V93" s="41"/>
      <c r="W93" s="42" t="str">
        <f ca="1">IFERROR(__xludf.DUMMYFUNCTION("""COMPUTED_VALUE"""),"MULTI JASA")</f>
        <v>MULTI JASA</v>
      </c>
      <c r="X93" s="42" t="str">
        <f ca="1"/>
        <v>ON-MULTI JASA-00011900+5-6282324392716</v>
      </c>
      <c r="Y93" s="40" t="s">
        <v>293</v>
      </c>
      <c r="Z93" s="40" t="s">
        <v>241</v>
      </c>
      <c r="AA93" s="23" t="str">
        <v>https://wa.me/6282324392716</v>
      </c>
      <c r="AB93" s="28" t="s">
        <v>727</v>
      </c>
      <c r="AC93" s="28"/>
      <c r="AD93" s="28" t="s">
        <v>690</v>
      </c>
      <c r="AE93" s="28"/>
      <c r="AF93" s="29"/>
      <c r="AG93" s="29"/>
    </row>
    <row r="94" spans="1:33" ht="15.75" customHeight="1">
      <c r="A94" s="32" t="s">
        <v>196</v>
      </c>
      <c r="B94" s="33">
        <v>96</v>
      </c>
      <c r="C94" s="34" t="s">
        <v>728</v>
      </c>
      <c r="D94" s="44">
        <v>46064</v>
      </c>
      <c r="E94" s="44">
        <v>45824</v>
      </c>
      <c r="F94" s="32" t="s">
        <v>729</v>
      </c>
      <c r="G94" s="32" t="s">
        <v>730</v>
      </c>
      <c r="H94" s="32" t="s">
        <v>731</v>
      </c>
      <c r="I94" s="36" t="s">
        <v>732</v>
      </c>
      <c r="J94" s="32"/>
      <c r="K94" s="32" t="s">
        <v>733</v>
      </c>
      <c r="L94" s="32" t="s">
        <v>734</v>
      </c>
      <c r="M94" s="32" t="s">
        <v>48</v>
      </c>
      <c r="N94" s="33">
        <v>5</v>
      </c>
      <c r="O94" s="35"/>
      <c r="P94" s="35"/>
      <c r="Q94" s="37"/>
      <c r="R94" s="38">
        <v>-1003470351325</v>
      </c>
      <c r="S94" s="33"/>
      <c r="T94" s="39">
        <v>197000</v>
      </c>
      <c r="U94" s="40" t="s">
        <v>115</v>
      </c>
      <c r="V94" s="47">
        <v>46064.931112418984</v>
      </c>
      <c r="W94" s="42" t="str">
        <f ca="1">IFERROR(__xludf.DUMMYFUNCTION("""COMPUTED_VALUE"""),"cv adam")</f>
        <v>cv adam</v>
      </c>
      <c r="X94" s="42" t="str">
        <f ca="1"/>
        <v>ON-cv adam-11022026+5-6281283325291</v>
      </c>
      <c r="Y94" s="40" t="s">
        <v>293</v>
      </c>
      <c r="Z94" s="40" t="s">
        <v>241</v>
      </c>
      <c r="AA94" s="23" t="str">
        <v>https://wa.me/6281283325291</v>
      </c>
      <c r="AB94" s="28" t="s">
        <v>735</v>
      </c>
      <c r="AC94" s="28"/>
      <c r="AD94" s="28" t="s">
        <v>690</v>
      </c>
      <c r="AE94" s="28"/>
      <c r="AF94" s="29"/>
      <c r="AG94" s="29"/>
    </row>
    <row r="95" spans="1:33" ht="15.75" customHeight="1">
      <c r="A95" s="32" t="s">
        <v>196</v>
      </c>
      <c r="B95" s="33">
        <v>97</v>
      </c>
      <c r="C95" s="34" t="s">
        <v>736</v>
      </c>
      <c r="D95" s="33" t="s">
        <v>737</v>
      </c>
      <c r="E95" s="44">
        <v>45820</v>
      </c>
      <c r="F95" s="32" t="s">
        <v>738</v>
      </c>
      <c r="G95" s="32" t="s">
        <v>739</v>
      </c>
      <c r="H95" s="32" t="s">
        <v>740</v>
      </c>
      <c r="I95" s="36" t="s">
        <v>741</v>
      </c>
      <c r="J95" s="32"/>
      <c r="K95" s="32" t="s">
        <v>742</v>
      </c>
      <c r="L95" s="32" t="s">
        <v>629</v>
      </c>
      <c r="M95" s="32" t="s">
        <v>743</v>
      </c>
      <c r="N95" s="33">
        <v>30</v>
      </c>
      <c r="O95" s="35"/>
      <c r="P95" s="35"/>
      <c r="Q95" s="37"/>
      <c r="R95" s="38">
        <v>-1003470351325</v>
      </c>
      <c r="S95" s="33"/>
      <c r="T95" s="39">
        <v>1000000</v>
      </c>
      <c r="U95" s="40" t="s">
        <v>115</v>
      </c>
      <c r="V95" s="47">
        <v>46003.459530868058</v>
      </c>
      <c r="W95" s="42" t="str">
        <f ca="1">IFERROR(__xludf.DUMMYFUNCTION("""COMPUTED_VALUE"""),"PT. Panorama")</f>
        <v>PT. Panorama</v>
      </c>
      <c r="X95" s="42" t="str">
        <f ca="1"/>
        <v>ON-PT. Panorama-12122025+30-628122102657</v>
      </c>
      <c r="Y95" s="40" t="s">
        <v>744</v>
      </c>
      <c r="Z95" s="40" t="s">
        <v>214</v>
      </c>
      <c r="AA95" s="23" t="str">
        <v>https://wa.me/628122102657</v>
      </c>
      <c r="AB95" s="50"/>
      <c r="AC95" s="50"/>
      <c r="AD95" s="50"/>
      <c r="AE95" s="50"/>
      <c r="AF95" s="51"/>
      <c r="AG95" s="51"/>
    </row>
    <row r="96" spans="1:33" ht="15.75" customHeight="1">
      <c r="A96" s="32" t="s">
        <v>196</v>
      </c>
      <c r="B96" s="33">
        <v>98</v>
      </c>
      <c r="C96" s="34" t="s">
        <v>745</v>
      </c>
      <c r="D96" s="35">
        <v>45824.5826041088</v>
      </c>
      <c r="E96" s="43">
        <v>45820</v>
      </c>
      <c r="F96" s="32" t="s">
        <v>746</v>
      </c>
      <c r="G96" s="32" t="s">
        <v>747</v>
      </c>
      <c r="H96" s="32" t="s">
        <v>748</v>
      </c>
      <c r="I96" s="36" t="s">
        <v>749</v>
      </c>
      <c r="K96" s="32" t="s">
        <v>750</v>
      </c>
      <c r="L96" s="32" t="s">
        <v>751</v>
      </c>
      <c r="M96" s="32"/>
      <c r="N96" s="33">
        <v>5</v>
      </c>
      <c r="O96" s="35">
        <v>45825</v>
      </c>
      <c r="P96" s="35">
        <v>45829</v>
      </c>
      <c r="Q96" s="37"/>
      <c r="R96" s="38"/>
      <c r="S96" s="33"/>
      <c r="T96" s="39">
        <v>197000</v>
      </c>
      <c r="U96" s="40" t="s">
        <v>752</v>
      </c>
      <c r="V96" s="41"/>
      <c r="W96" s="42" t="str">
        <f ca="1">IFERROR(__xludf.DUMMYFUNCTION("""COMPUTED_VALUE"""),"Uwais property")</f>
        <v>Uwais property</v>
      </c>
      <c r="X96" s="42" t="str">
        <f ca="1"/>
        <v>ON-Uwais property-00011900+5-6281575323811</v>
      </c>
      <c r="Y96" s="40" t="s">
        <v>744</v>
      </c>
      <c r="Z96" s="40" t="s">
        <v>214</v>
      </c>
      <c r="AA96" s="23" t="str">
        <v>https://wa.me/6281575323811</v>
      </c>
      <c r="AB96" s="28" t="s">
        <v>753</v>
      </c>
      <c r="AC96" s="28"/>
      <c r="AD96" s="28"/>
      <c r="AE96" s="28"/>
      <c r="AF96" s="29"/>
      <c r="AG96" s="29"/>
    </row>
    <row r="97" spans="1:33" ht="15.75" customHeight="1">
      <c r="A97" s="32" t="s">
        <v>621</v>
      </c>
      <c r="B97" s="33">
        <v>99</v>
      </c>
      <c r="C97" s="34" t="s">
        <v>754</v>
      </c>
      <c r="D97" s="35">
        <v>45824.584341921298</v>
      </c>
      <c r="E97" s="43">
        <v>45823</v>
      </c>
      <c r="F97" s="32" t="s">
        <v>755</v>
      </c>
      <c r="G97" s="32" t="s">
        <v>756</v>
      </c>
      <c r="H97" s="32" t="s">
        <v>495</v>
      </c>
      <c r="I97" s="36" t="s">
        <v>757</v>
      </c>
      <c r="J97" s="32"/>
      <c r="K97" s="32" t="s">
        <v>758</v>
      </c>
      <c r="L97" s="32" t="s">
        <v>759</v>
      </c>
      <c r="M97" s="32" t="s">
        <v>760</v>
      </c>
      <c r="N97" s="33">
        <v>30</v>
      </c>
      <c r="O97" s="35"/>
      <c r="P97" s="35"/>
      <c r="Q97" s="37"/>
      <c r="R97" s="38"/>
      <c r="S97" s="33"/>
      <c r="T97" s="39">
        <v>1000000</v>
      </c>
      <c r="U97" s="40" t="s">
        <v>752</v>
      </c>
      <c r="V97" s="41"/>
      <c r="W97" s="42" t="str">
        <f ca="1">IFERROR(__xludf.DUMMYFUNCTION("""COMPUTED_VALUE"""),"CV Cahaya")</f>
        <v>CV Cahaya</v>
      </c>
      <c r="X97" s="42" t="str">
        <f ca="1"/>
        <v>ON-CV Cahaya-00011900+30-6281327680909</v>
      </c>
      <c r="Y97" s="40" t="s">
        <v>293</v>
      </c>
      <c r="Z97" s="40" t="s">
        <v>241</v>
      </c>
      <c r="AA97" s="23" t="str">
        <v>https://wa.me/6281327680909</v>
      </c>
      <c r="AB97" s="28" t="s">
        <v>761</v>
      </c>
      <c r="AC97" s="28"/>
      <c r="AD97" s="28"/>
      <c r="AE97" s="28"/>
      <c r="AF97" s="29"/>
      <c r="AG97" s="29"/>
    </row>
    <row r="98" spans="1:33" ht="15.75" customHeight="1">
      <c r="A98" s="32" t="s">
        <v>196</v>
      </c>
      <c r="B98" s="33">
        <v>100</v>
      </c>
      <c r="C98" s="34" t="s">
        <v>762</v>
      </c>
      <c r="D98" s="35">
        <v>45824.777811921296</v>
      </c>
      <c r="E98" s="43">
        <v>45823</v>
      </c>
      <c r="F98" s="32" t="s">
        <v>763</v>
      </c>
      <c r="G98" s="32" t="s">
        <v>764</v>
      </c>
      <c r="H98" s="32" t="s">
        <v>495</v>
      </c>
      <c r="I98" s="36" t="s">
        <v>765</v>
      </c>
      <c r="J98" s="32" t="s">
        <v>766</v>
      </c>
      <c r="K98" s="32" t="s">
        <v>767</v>
      </c>
      <c r="L98" s="32" t="s">
        <v>768</v>
      </c>
      <c r="M98" s="32" t="s">
        <v>510</v>
      </c>
      <c r="N98" s="33">
        <v>10</v>
      </c>
      <c r="O98" s="35">
        <v>45829</v>
      </c>
      <c r="P98" s="35">
        <v>45838</v>
      </c>
      <c r="Q98" s="37"/>
      <c r="R98" s="38"/>
      <c r="S98" s="33"/>
      <c r="T98" s="39">
        <v>375000</v>
      </c>
      <c r="U98" s="40" t="s">
        <v>61</v>
      </c>
      <c r="V98" s="41"/>
      <c r="W98" s="42" t="str">
        <f ca="1">IFERROR(__xludf.DUMMYFUNCTION("""COMPUTED_VALUE"""),"Dearhouse")</f>
        <v>Dearhouse</v>
      </c>
      <c r="X98" s="42" t="str">
        <f ca="1"/>
        <v>ON-Dearhouse-00011900+10-6287778562681</v>
      </c>
      <c r="Y98" s="40" t="s">
        <v>293</v>
      </c>
      <c r="Z98" s="40" t="s">
        <v>241</v>
      </c>
      <c r="AA98" s="23" t="str">
        <v>https://wa.me/6287778562681</v>
      </c>
      <c r="AB98" s="28" t="s">
        <v>769</v>
      </c>
      <c r="AC98" s="28"/>
      <c r="AD98" s="28" t="s">
        <v>690</v>
      </c>
      <c r="AE98" s="28"/>
      <c r="AF98" s="29"/>
      <c r="AG98" s="29"/>
    </row>
    <row r="99" spans="1:33" ht="15.75" customHeight="1">
      <c r="A99" s="32" t="s">
        <v>196</v>
      </c>
      <c r="B99" s="33">
        <v>101</v>
      </c>
      <c r="C99" s="34" t="s">
        <v>770</v>
      </c>
      <c r="D99" s="35">
        <v>45824.77997087963</v>
      </c>
      <c r="E99" s="43">
        <v>45823</v>
      </c>
      <c r="F99" s="32" t="s">
        <v>771</v>
      </c>
      <c r="G99" s="32" t="s">
        <v>772</v>
      </c>
      <c r="H99" s="32" t="s">
        <v>773</v>
      </c>
      <c r="I99" s="36" t="s">
        <v>774</v>
      </c>
      <c r="J99" s="32"/>
      <c r="K99" s="32" t="s">
        <v>775</v>
      </c>
      <c r="L99" s="32" t="s">
        <v>776</v>
      </c>
      <c r="M99" s="32" t="s">
        <v>38</v>
      </c>
      <c r="N99" s="33">
        <v>5</v>
      </c>
      <c r="O99" s="35">
        <v>45826</v>
      </c>
      <c r="P99" s="35">
        <v>45830</v>
      </c>
      <c r="Q99" s="37"/>
      <c r="R99" s="38"/>
      <c r="S99" s="33"/>
      <c r="T99" s="39">
        <v>197000</v>
      </c>
      <c r="U99" s="40" t="s">
        <v>61</v>
      </c>
      <c r="V99" s="41"/>
      <c r="W99" s="42" t="str">
        <f ca="1">IFERROR(__xludf.DUMMYFUNCTION("""COMPUTED_VALUE"""),"Salon Ety")</f>
        <v>Salon Ety</v>
      </c>
      <c r="X99" s="42" t="str">
        <f ca="1"/>
        <v>ON-Salon Ety-00011900+5-6285642607938</v>
      </c>
      <c r="Y99" s="40" t="s">
        <v>50</v>
      </c>
      <c r="Z99" s="40" t="s">
        <v>241</v>
      </c>
      <c r="AA99" s="23" t="str">
        <v>https://wa.me/6285642607938</v>
      </c>
      <c r="AB99" s="28" t="s">
        <v>777</v>
      </c>
      <c r="AC99" s="28"/>
      <c r="AD99" s="28"/>
      <c r="AE99" s="28"/>
      <c r="AF99" s="29"/>
      <c r="AG99" s="29"/>
    </row>
    <row r="100" spans="1:33" ht="15.75" customHeight="1">
      <c r="A100" s="32" t="s">
        <v>196</v>
      </c>
      <c r="B100" s="33">
        <v>102</v>
      </c>
      <c r="C100" s="34" t="s">
        <v>778</v>
      </c>
      <c r="D100" s="35">
        <v>45824.78216667824</v>
      </c>
      <c r="E100" s="43">
        <v>45824</v>
      </c>
      <c r="F100" s="32" t="s">
        <v>779</v>
      </c>
      <c r="G100" s="32" t="s">
        <v>780</v>
      </c>
      <c r="H100" s="32" t="s">
        <v>781</v>
      </c>
      <c r="I100" s="36" t="s">
        <v>782</v>
      </c>
      <c r="J100" s="32" t="s">
        <v>783</v>
      </c>
      <c r="K100" s="32" t="s">
        <v>784</v>
      </c>
      <c r="L100" s="32"/>
      <c r="M100" s="32" t="s">
        <v>510</v>
      </c>
      <c r="N100" s="33">
        <v>10</v>
      </c>
      <c r="O100" s="35">
        <v>45827</v>
      </c>
      <c r="P100" s="35">
        <v>45836</v>
      </c>
      <c r="Q100" s="37"/>
      <c r="R100" s="38"/>
      <c r="S100" s="33"/>
      <c r="T100" s="39">
        <v>375000</v>
      </c>
      <c r="U100" s="40" t="s">
        <v>61</v>
      </c>
      <c r="V100" s="41"/>
      <c r="W100" s="42" t="str">
        <f ca="1">IFERROR(__xludf.DUMMYFUNCTION("""COMPUTED_VALUE"""),"Berkah Contruction")</f>
        <v>Berkah Contruction</v>
      </c>
      <c r="X100" s="42" t="str">
        <f ca="1"/>
        <v>ON-Berkah Contruction-00011900+10-6283866009989</v>
      </c>
      <c r="Y100" s="40" t="s">
        <v>293</v>
      </c>
      <c r="Z100" s="40" t="s">
        <v>241</v>
      </c>
      <c r="AA100" s="23" t="str">
        <v>https://wa.me/6283866009989</v>
      </c>
      <c r="AB100" s="28" t="s">
        <v>785</v>
      </c>
      <c r="AC100" s="28"/>
      <c r="AD100" s="28" t="s">
        <v>690</v>
      </c>
      <c r="AE100" s="28"/>
      <c r="AF100" s="29"/>
      <c r="AG100" s="29"/>
    </row>
    <row r="101" spans="1:33" ht="15.75" customHeight="1">
      <c r="A101" s="32" t="s">
        <v>196</v>
      </c>
      <c r="B101" s="33">
        <v>103</v>
      </c>
      <c r="C101" s="34" t="s">
        <v>786</v>
      </c>
      <c r="D101" s="35">
        <v>45824.784333877316</v>
      </c>
      <c r="E101" s="43">
        <v>45824</v>
      </c>
      <c r="F101" s="32" t="s">
        <v>787</v>
      </c>
      <c r="G101" s="32" t="s">
        <v>788</v>
      </c>
      <c r="H101" s="32" t="s">
        <v>789</v>
      </c>
      <c r="I101" s="36" t="s">
        <v>790</v>
      </c>
      <c r="J101" s="32" t="s">
        <v>791</v>
      </c>
      <c r="K101" s="32" t="s">
        <v>792</v>
      </c>
      <c r="L101" s="32" t="s">
        <v>573</v>
      </c>
      <c r="M101" s="32" t="s">
        <v>510</v>
      </c>
      <c r="N101" s="33">
        <v>5</v>
      </c>
      <c r="O101" s="35">
        <v>45827</v>
      </c>
      <c r="P101" s="35">
        <v>45831</v>
      </c>
      <c r="Q101" s="37"/>
      <c r="R101" s="38"/>
      <c r="S101" s="33"/>
      <c r="T101" s="39">
        <v>197000</v>
      </c>
      <c r="U101" s="40" t="s">
        <v>61</v>
      </c>
      <c r="V101" s="41"/>
      <c r="W101" s="42" t="str">
        <f ca="1">IFERROR(__xludf.DUMMYFUNCTION("""COMPUTED_VALUE"""),"Agen Properti")</f>
        <v>Agen Properti</v>
      </c>
      <c r="X101" s="42" t="str">
        <f ca="1"/>
        <v>ON-Agen Properti-00011900+5-6282224315700</v>
      </c>
      <c r="Y101" s="40" t="s">
        <v>744</v>
      </c>
      <c r="Z101" s="40" t="s">
        <v>214</v>
      </c>
      <c r="AA101" s="23" t="str">
        <v>https://wa.me/6282224315700</v>
      </c>
      <c r="AB101" s="28"/>
      <c r="AC101" s="28"/>
      <c r="AD101" s="28"/>
      <c r="AE101" s="28"/>
      <c r="AF101" s="29"/>
      <c r="AG101" s="29"/>
    </row>
    <row r="102" spans="1:33" ht="15.75" customHeight="1">
      <c r="A102" s="32" t="s">
        <v>196</v>
      </c>
      <c r="B102" s="33">
        <v>104</v>
      </c>
      <c r="C102" s="34" t="s">
        <v>793</v>
      </c>
      <c r="D102" s="35">
        <v>45824.891039062495</v>
      </c>
      <c r="E102" s="43">
        <v>45824</v>
      </c>
      <c r="F102" s="32" t="s">
        <v>794</v>
      </c>
      <c r="G102" s="32" t="s">
        <v>795</v>
      </c>
      <c r="H102" s="32" t="s">
        <v>796</v>
      </c>
      <c r="I102" s="36" t="s">
        <v>797</v>
      </c>
      <c r="J102" s="32" t="s">
        <v>798</v>
      </c>
      <c r="K102" s="32" t="s">
        <v>799</v>
      </c>
      <c r="L102" s="32" t="s">
        <v>629</v>
      </c>
      <c r="M102" s="32" t="s">
        <v>800</v>
      </c>
      <c r="N102" s="33">
        <v>5</v>
      </c>
      <c r="O102" s="35">
        <v>45828</v>
      </c>
      <c r="P102" s="35">
        <v>45832</v>
      </c>
      <c r="Q102" s="37"/>
      <c r="R102" s="38"/>
      <c r="S102" s="33"/>
      <c r="T102" s="39">
        <v>197000</v>
      </c>
      <c r="U102" s="40" t="s">
        <v>115</v>
      </c>
      <c r="V102" s="41"/>
      <c r="W102" s="42" t="str">
        <f ca="1">IFERROR(__xludf.DUMMYFUNCTION("""COMPUTED_VALUE"""),"Masudi property")</f>
        <v>Masudi property</v>
      </c>
      <c r="X102" s="42" t="str">
        <f ca="1"/>
        <v>ON-Masudi property-00011900+5-6287877805175</v>
      </c>
      <c r="Y102" s="40" t="s">
        <v>293</v>
      </c>
      <c r="Z102" s="40" t="s">
        <v>241</v>
      </c>
      <c r="AA102" s="23" t="str">
        <v>https://wa.me/6287877805175</v>
      </c>
      <c r="AB102" s="28" t="s">
        <v>801</v>
      </c>
      <c r="AC102" s="28"/>
      <c r="AD102" s="28" t="s">
        <v>690</v>
      </c>
      <c r="AE102" s="28"/>
      <c r="AF102" s="29"/>
      <c r="AG102" s="29"/>
    </row>
    <row r="103" spans="1:33" ht="15.75" customHeight="1">
      <c r="A103" s="32" t="s">
        <v>196</v>
      </c>
      <c r="B103" s="33">
        <v>105</v>
      </c>
      <c r="C103" s="34" t="s">
        <v>802</v>
      </c>
      <c r="D103" s="35">
        <v>45825.261585057873</v>
      </c>
      <c r="E103" s="43">
        <v>45824</v>
      </c>
      <c r="F103" s="32" t="s">
        <v>803</v>
      </c>
      <c r="G103" s="32" t="s">
        <v>804</v>
      </c>
      <c r="H103" s="32" t="s">
        <v>805</v>
      </c>
      <c r="I103" s="36" t="s">
        <v>806</v>
      </c>
      <c r="J103" s="32" t="s">
        <v>807</v>
      </c>
      <c r="K103" s="32" t="s">
        <v>808</v>
      </c>
      <c r="L103" s="32" t="s">
        <v>629</v>
      </c>
      <c r="M103" s="32" t="s">
        <v>48</v>
      </c>
      <c r="N103" s="33">
        <v>7</v>
      </c>
      <c r="O103" s="35">
        <v>45828</v>
      </c>
      <c r="P103" s="35">
        <v>45834</v>
      </c>
      <c r="Q103" s="37"/>
      <c r="R103" s="38"/>
      <c r="S103" s="33"/>
      <c r="T103" s="39">
        <v>297000</v>
      </c>
      <c r="U103" s="40" t="s">
        <v>115</v>
      </c>
      <c r="V103" s="41"/>
      <c r="W103" s="42" t="str">
        <f ca="1">IFERROR(__xludf.DUMMYFUNCTION("""COMPUTED_VALUE"""),"MEKAR JAYA")</f>
        <v>MEKAR JAYA</v>
      </c>
      <c r="X103" s="42" t="str">
        <f ca="1"/>
        <v>ON-MEKAR JAYA-00011900+7-6285227384634</v>
      </c>
      <c r="Y103" s="40" t="s">
        <v>62</v>
      </c>
      <c r="Z103" s="40" t="s">
        <v>241</v>
      </c>
      <c r="AA103" s="23" t="str">
        <v>https://wa.me/6285227384634</v>
      </c>
      <c r="AB103" s="28" t="s">
        <v>809</v>
      </c>
      <c r="AC103" s="28"/>
      <c r="AD103" s="28" t="s">
        <v>690</v>
      </c>
      <c r="AE103" s="28"/>
      <c r="AF103" s="29"/>
      <c r="AG103" s="29"/>
    </row>
    <row r="104" spans="1:33" ht="15.75" customHeight="1">
      <c r="A104" s="32" t="s">
        <v>196</v>
      </c>
      <c r="B104" s="33">
        <v>106</v>
      </c>
      <c r="C104" s="34" t="s">
        <v>810</v>
      </c>
      <c r="D104" s="35">
        <v>45825.289041770833</v>
      </c>
      <c r="E104" s="43">
        <v>45822</v>
      </c>
      <c r="F104" s="32" t="s">
        <v>811</v>
      </c>
      <c r="G104" s="32" t="s">
        <v>812</v>
      </c>
      <c r="H104" s="32" t="s">
        <v>813</v>
      </c>
      <c r="I104" s="36" t="s">
        <v>814</v>
      </c>
      <c r="J104" s="32" t="s">
        <v>815</v>
      </c>
      <c r="K104" s="32" t="s">
        <v>816</v>
      </c>
      <c r="L104" s="32" t="s">
        <v>817</v>
      </c>
      <c r="M104" s="32" t="s">
        <v>131</v>
      </c>
      <c r="N104" s="33">
        <v>30</v>
      </c>
      <c r="O104" s="35">
        <v>45826</v>
      </c>
      <c r="P104" s="35">
        <v>45855</v>
      </c>
      <c r="Q104" s="37"/>
      <c r="R104" s="38"/>
      <c r="S104" s="33"/>
      <c r="T104" s="39">
        <v>895000</v>
      </c>
      <c r="U104" s="40" t="s">
        <v>61</v>
      </c>
      <c r="V104" s="41"/>
      <c r="W104" s="42" t="str">
        <f ca="1">IFERROR(__xludf.DUMMYFUNCTION("""COMPUTED_VALUE"""),"Gesit Laundry")</f>
        <v>Gesit Laundry</v>
      </c>
      <c r="X104" s="42" t="str">
        <f ca="1"/>
        <v>ON-Gesit Laundry-00011900+30-62818585822</v>
      </c>
      <c r="Y104" s="40" t="s">
        <v>62</v>
      </c>
      <c r="Z104" s="40" t="s">
        <v>51</v>
      </c>
      <c r="AA104" s="23" t="str">
        <v>https://wa.me/62818585822</v>
      </c>
      <c r="AB104" s="28" t="s">
        <v>818</v>
      </c>
      <c r="AC104" s="28"/>
      <c r="AD104" s="28"/>
      <c r="AE104" s="28"/>
      <c r="AF104" s="29"/>
      <c r="AG104" s="29"/>
    </row>
    <row r="105" spans="1:33" ht="15.75" customHeight="1">
      <c r="A105" s="32" t="s">
        <v>196</v>
      </c>
      <c r="B105" s="33">
        <v>107</v>
      </c>
      <c r="C105" s="34" t="s">
        <v>819</v>
      </c>
      <c r="D105" s="35">
        <v>45825.299721828706</v>
      </c>
      <c r="E105" s="43">
        <v>45825</v>
      </c>
      <c r="F105" s="32" t="s">
        <v>820</v>
      </c>
      <c r="G105" s="32" t="s">
        <v>821</v>
      </c>
      <c r="H105" s="32" t="s">
        <v>822</v>
      </c>
      <c r="I105" s="36" t="s">
        <v>823</v>
      </c>
      <c r="J105" s="32" t="s">
        <v>824</v>
      </c>
      <c r="K105" s="32" t="s">
        <v>825</v>
      </c>
      <c r="L105" s="32" t="s">
        <v>629</v>
      </c>
      <c r="M105" s="32" t="s">
        <v>382</v>
      </c>
      <c r="N105" s="33">
        <v>7</v>
      </c>
      <c r="O105" s="35">
        <v>45828</v>
      </c>
      <c r="P105" s="35">
        <v>45834</v>
      </c>
      <c r="Q105" s="37"/>
      <c r="R105" s="38"/>
      <c r="S105" s="33"/>
      <c r="T105" s="39">
        <v>297000</v>
      </c>
      <c r="U105" s="40" t="s">
        <v>115</v>
      </c>
      <c r="V105" s="41"/>
      <c r="W105" s="42" t="str">
        <f ca="1">IFERROR(__xludf.DUMMYFUNCTION("""COMPUTED_VALUE"""),"Jagat Kitchen")</f>
        <v>Jagat Kitchen</v>
      </c>
      <c r="X105" s="42" t="str">
        <f ca="1"/>
        <v>ON-Jagat Kitchen-00011900+7-6281393958199</v>
      </c>
      <c r="Y105" s="40" t="s">
        <v>62</v>
      </c>
      <c r="Z105" s="40" t="s">
        <v>241</v>
      </c>
      <c r="AA105" s="23" t="str">
        <v>https://wa.me/6281393958199</v>
      </c>
      <c r="AB105" s="28" t="s">
        <v>826</v>
      </c>
      <c r="AC105" s="28"/>
      <c r="AD105" s="28" t="s">
        <v>690</v>
      </c>
      <c r="AE105" s="28"/>
      <c r="AF105" s="29"/>
      <c r="AG105" s="29"/>
    </row>
    <row r="106" spans="1:33" ht="15.75" customHeight="1">
      <c r="A106" s="32" t="s">
        <v>196</v>
      </c>
      <c r="B106" s="33">
        <v>108</v>
      </c>
      <c r="C106" s="34" t="s">
        <v>827</v>
      </c>
      <c r="D106" s="35">
        <v>45825.393783391206</v>
      </c>
      <c r="E106" s="43">
        <v>45825</v>
      </c>
      <c r="F106" s="32" t="s">
        <v>828</v>
      </c>
      <c r="G106" s="32" t="s">
        <v>829</v>
      </c>
      <c r="H106" s="32" t="s">
        <v>830</v>
      </c>
      <c r="I106" s="36" t="s">
        <v>831</v>
      </c>
      <c r="J106" s="32"/>
      <c r="K106" s="32" t="s">
        <v>832</v>
      </c>
      <c r="L106" s="32" t="s">
        <v>130</v>
      </c>
      <c r="M106" s="32" t="s">
        <v>833</v>
      </c>
      <c r="N106" s="33">
        <v>5</v>
      </c>
      <c r="O106" s="35">
        <v>45828</v>
      </c>
      <c r="P106" s="35">
        <v>45832</v>
      </c>
      <c r="Q106" s="37"/>
      <c r="R106" s="38"/>
      <c r="S106" s="33"/>
      <c r="T106" s="39">
        <v>197000</v>
      </c>
      <c r="U106" s="40" t="s">
        <v>115</v>
      </c>
      <c r="V106" s="41"/>
      <c r="W106" s="42" t="str">
        <f ca="1">IFERROR(__xludf.DUMMYFUNCTION("""COMPUTED_VALUE"""),"BIRRUYA Tour")</f>
        <v>BIRRUYA Tour</v>
      </c>
      <c r="X106" s="42" t="str">
        <f ca="1"/>
        <v>ON-BIRRUYA Tour-00011900+5-6285725492572</v>
      </c>
      <c r="Y106" s="40" t="s">
        <v>62</v>
      </c>
      <c r="Z106" s="40" t="s">
        <v>214</v>
      </c>
      <c r="AA106" s="23" t="str">
        <v>https://wa.me/6285725492572</v>
      </c>
      <c r="AB106" s="28" t="s">
        <v>834</v>
      </c>
      <c r="AC106" s="28"/>
      <c r="AD106" s="28" t="s">
        <v>690</v>
      </c>
      <c r="AE106" s="28"/>
      <c r="AF106" s="29"/>
      <c r="AG106" s="29"/>
    </row>
    <row r="107" spans="1:33" ht="15.75" customHeight="1">
      <c r="A107" s="32" t="s">
        <v>196</v>
      </c>
      <c r="B107" s="33">
        <v>109</v>
      </c>
      <c r="C107" s="34" t="s">
        <v>835</v>
      </c>
      <c r="D107" s="35">
        <v>45825.563926631949</v>
      </c>
      <c r="E107" s="43">
        <v>45825</v>
      </c>
      <c r="F107" s="32" t="s">
        <v>836</v>
      </c>
      <c r="G107" s="32" t="s">
        <v>837</v>
      </c>
      <c r="H107" s="32" t="s">
        <v>838</v>
      </c>
      <c r="I107" s="36" t="s">
        <v>839</v>
      </c>
      <c r="J107" s="32" t="s">
        <v>840</v>
      </c>
      <c r="K107" s="32" t="s">
        <v>841</v>
      </c>
      <c r="L107" s="32" t="s">
        <v>842</v>
      </c>
      <c r="M107" s="32" t="s">
        <v>382</v>
      </c>
      <c r="N107" s="33">
        <v>5</v>
      </c>
      <c r="O107" s="35">
        <v>45828</v>
      </c>
      <c r="P107" s="35">
        <v>45832</v>
      </c>
      <c r="Q107" s="37"/>
      <c r="R107" s="38"/>
      <c r="S107" s="33"/>
      <c r="T107" s="39">
        <v>197000</v>
      </c>
      <c r="U107" s="40" t="s">
        <v>115</v>
      </c>
      <c r="V107" s="41"/>
      <c r="W107" s="42" t="str">
        <f ca="1">IFERROR(__xludf.DUMMYFUNCTION("""COMPUTED_VALUE"""),"Soto Padang")</f>
        <v>Soto Padang</v>
      </c>
      <c r="X107" s="42" t="str">
        <f ca="1"/>
        <v>ON-Soto Padang-00011900+5-6282125465047</v>
      </c>
      <c r="Y107" s="40" t="s">
        <v>50</v>
      </c>
      <c r="Z107" s="40" t="s">
        <v>214</v>
      </c>
      <c r="AA107" s="23" t="str">
        <v>https://wa.me/6282125465047</v>
      </c>
      <c r="AB107" s="28" t="s">
        <v>843</v>
      </c>
      <c r="AC107" s="28"/>
      <c r="AD107" s="28" t="s">
        <v>690</v>
      </c>
      <c r="AE107" s="28"/>
      <c r="AF107" s="29"/>
      <c r="AG107" s="29"/>
    </row>
    <row r="108" spans="1:33" ht="15.75" customHeight="1">
      <c r="A108" s="32" t="s">
        <v>196</v>
      </c>
      <c r="B108" s="33">
        <v>110</v>
      </c>
      <c r="C108" s="34" t="s">
        <v>844</v>
      </c>
      <c r="D108" s="35">
        <v>45825.782632847222</v>
      </c>
      <c r="E108" s="43">
        <v>45825</v>
      </c>
      <c r="F108" s="32" t="s">
        <v>845</v>
      </c>
      <c r="G108" s="32" t="s">
        <v>846</v>
      </c>
      <c r="H108" s="32" t="s">
        <v>847</v>
      </c>
      <c r="I108" s="36" t="s">
        <v>848</v>
      </c>
      <c r="J108" s="36" t="s">
        <v>849</v>
      </c>
      <c r="K108" s="32" t="s">
        <v>850</v>
      </c>
      <c r="L108" s="32" t="s">
        <v>629</v>
      </c>
      <c r="M108" s="32" t="s">
        <v>382</v>
      </c>
      <c r="N108" s="33">
        <v>5</v>
      </c>
      <c r="O108" s="35">
        <v>45829</v>
      </c>
      <c r="P108" s="35">
        <v>45833</v>
      </c>
      <c r="Q108" s="37"/>
      <c r="R108" s="38"/>
      <c r="S108" s="33"/>
      <c r="T108" s="39">
        <v>197000</v>
      </c>
      <c r="U108" s="40" t="s">
        <v>115</v>
      </c>
      <c r="V108" s="41"/>
      <c r="W108" s="42" t="str">
        <f ca="1">IFERROR(__xludf.DUMMYFUNCTION("""COMPUTED_VALUE"""),"Rizky jaya")</f>
        <v>Rizky jaya</v>
      </c>
      <c r="X108" s="42" t="str">
        <f ca="1"/>
        <v>ON-Rizky jaya-00011900+5-6281233044823</v>
      </c>
      <c r="Y108" s="40" t="s">
        <v>293</v>
      </c>
      <c r="Z108" s="40" t="s">
        <v>277</v>
      </c>
      <c r="AA108" s="23" t="str">
        <v>https://wa.me/6281233044823</v>
      </c>
      <c r="AB108" s="28" t="s">
        <v>851</v>
      </c>
      <c r="AC108" s="28"/>
      <c r="AD108" s="28" t="s">
        <v>690</v>
      </c>
      <c r="AE108" s="28"/>
      <c r="AF108" s="29"/>
      <c r="AG108" s="29"/>
    </row>
    <row r="109" spans="1:33" ht="15.75" customHeight="1">
      <c r="A109" s="32" t="s">
        <v>196</v>
      </c>
      <c r="B109" s="33">
        <v>111</v>
      </c>
      <c r="C109" s="34" t="s">
        <v>852</v>
      </c>
      <c r="D109" s="35">
        <v>45826.360936504629</v>
      </c>
      <c r="E109" s="43">
        <v>45825</v>
      </c>
      <c r="F109" s="32" t="s">
        <v>853</v>
      </c>
      <c r="G109" s="32" t="s">
        <v>854</v>
      </c>
      <c r="H109" s="32" t="s">
        <v>451</v>
      </c>
      <c r="I109" s="36" t="s">
        <v>849</v>
      </c>
      <c r="J109" s="32" t="s">
        <v>855</v>
      </c>
      <c r="K109" s="32" t="s">
        <v>856</v>
      </c>
      <c r="L109" s="32" t="s">
        <v>857</v>
      </c>
      <c r="M109" s="32" t="s">
        <v>38</v>
      </c>
      <c r="N109" s="33">
        <v>5</v>
      </c>
      <c r="O109" s="35">
        <v>45829</v>
      </c>
      <c r="P109" s="35">
        <v>45833</v>
      </c>
      <c r="Q109" s="37"/>
      <c r="R109" s="38"/>
      <c r="S109" s="33"/>
      <c r="T109" s="39">
        <v>197000</v>
      </c>
      <c r="U109" s="40" t="s">
        <v>61</v>
      </c>
      <c r="V109" s="41"/>
      <c r="W109" s="42" t="str">
        <f ca="1">IFERROR(__xludf.DUMMYFUNCTION("""COMPUTED_VALUE"""),"NH SALON")</f>
        <v>NH SALON</v>
      </c>
      <c r="X109" s="42" t="str">
        <f ca="1"/>
        <v>ON-NH SALON-00011900+5-6285180805171</v>
      </c>
      <c r="Y109" s="40" t="s">
        <v>50</v>
      </c>
      <c r="Z109" s="40" t="s">
        <v>327</v>
      </c>
      <c r="AA109" s="23" t="str">
        <v>https://wa.me/6285180805171</v>
      </c>
      <c r="AB109" s="28" t="s">
        <v>858</v>
      </c>
      <c r="AC109" s="28"/>
      <c r="AD109" s="28" t="s">
        <v>690</v>
      </c>
      <c r="AE109" s="28"/>
      <c r="AF109" s="29"/>
      <c r="AG109" s="29"/>
    </row>
    <row r="110" spans="1:33" ht="15.75" customHeight="1">
      <c r="A110" s="32" t="s">
        <v>196</v>
      </c>
      <c r="B110" s="33">
        <v>112</v>
      </c>
      <c r="C110" s="34" t="s">
        <v>859</v>
      </c>
      <c r="D110" s="35">
        <v>45826.374501712962</v>
      </c>
      <c r="E110" s="43">
        <v>45826</v>
      </c>
      <c r="F110" s="32" t="s">
        <v>860</v>
      </c>
      <c r="G110" s="32" t="s">
        <v>861</v>
      </c>
      <c r="H110" s="32" t="s">
        <v>862</v>
      </c>
      <c r="I110" s="36" t="s">
        <v>863</v>
      </c>
      <c r="J110" s="32"/>
      <c r="K110" s="32" t="s">
        <v>864</v>
      </c>
      <c r="L110" s="32" t="s">
        <v>865</v>
      </c>
      <c r="M110" s="32" t="s">
        <v>205</v>
      </c>
      <c r="N110" s="33">
        <v>7</v>
      </c>
      <c r="O110" s="35">
        <v>45829</v>
      </c>
      <c r="P110" s="35">
        <v>45835</v>
      </c>
      <c r="Q110" s="37"/>
      <c r="R110" s="38"/>
      <c r="S110" s="33"/>
      <c r="T110" s="39">
        <v>297000</v>
      </c>
      <c r="U110" s="40" t="s">
        <v>115</v>
      </c>
      <c r="V110" s="41"/>
      <c r="W110" s="42" t="str">
        <f ca="1">IFERROR(__xludf.DUMMYFUNCTION("""COMPUTED_VALUE"""),"Urban Poin")</f>
        <v>Urban Poin</v>
      </c>
      <c r="X110" s="42" t="str">
        <f ca="1"/>
        <v>ON-Urban Poin-00011900+7-6289617461806</v>
      </c>
      <c r="Y110" s="40" t="s">
        <v>293</v>
      </c>
      <c r="Z110" s="40" t="s">
        <v>214</v>
      </c>
      <c r="AA110" s="23" t="str">
        <v>https://wa.me/6289617461806</v>
      </c>
      <c r="AB110" s="28" t="s">
        <v>866</v>
      </c>
      <c r="AC110" s="28"/>
      <c r="AD110" s="28" t="s">
        <v>690</v>
      </c>
      <c r="AE110" s="28"/>
      <c r="AF110" s="29"/>
      <c r="AG110" s="29"/>
    </row>
    <row r="111" spans="1:33" ht="15.75" customHeight="1">
      <c r="A111" s="32" t="s">
        <v>196</v>
      </c>
      <c r="B111" s="33">
        <v>113</v>
      </c>
      <c r="C111" s="34" t="s">
        <v>867</v>
      </c>
      <c r="D111" s="35">
        <v>45826.375914201388</v>
      </c>
      <c r="E111" s="43">
        <v>45826</v>
      </c>
      <c r="F111" s="32" t="s">
        <v>868</v>
      </c>
      <c r="G111" s="32" t="s">
        <v>869</v>
      </c>
      <c r="H111" s="32" t="s">
        <v>870</v>
      </c>
      <c r="I111" s="36" t="s">
        <v>871</v>
      </c>
      <c r="J111" s="32" t="s">
        <v>872</v>
      </c>
      <c r="K111" s="32" t="s">
        <v>873</v>
      </c>
      <c r="L111" s="32" t="s">
        <v>318</v>
      </c>
      <c r="M111" s="32" t="s">
        <v>874</v>
      </c>
      <c r="N111" s="33">
        <v>10</v>
      </c>
      <c r="O111" s="35">
        <v>45829</v>
      </c>
      <c r="P111" s="35">
        <v>45838</v>
      </c>
      <c r="Q111" s="37"/>
      <c r="R111" s="38"/>
      <c r="S111" s="33"/>
      <c r="T111" s="39">
        <v>375000</v>
      </c>
      <c r="U111" s="40" t="s">
        <v>115</v>
      </c>
      <c r="V111" s="41"/>
      <c r="W111" s="42" t="str">
        <f ca="1">IFERROR(__xludf.DUMMYFUNCTION("""COMPUTED_VALUE"""),"Gudang Granit")</f>
        <v>Gudang Granit</v>
      </c>
      <c r="X111" s="42" t="str">
        <f ca="1"/>
        <v>ON-Gudang Granit-00011900+10-6281230995752</v>
      </c>
      <c r="Y111" s="40" t="s">
        <v>293</v>
      </c>
      <c r="Z111" s="40" t="s">
        <v>241</v>
      </c>
      <c r="AA111" s="23" t="str">
        <v>https://wa.me/6281230995752</v>
      </c>
      <c r="AB111" s="28" t="s">
        <v>875</v>
      </c>
      <c r="AC111" s="28"/>
      <c r="AD111" s="28" t="s">
        <v>690</v>
      </c>
      <c r="AE111" s="28"/>
      <c r="AF111" s="29"/>
      <c r="AG111" s="29"/>
    </row>
    <row r="112" spans="1:33" ht="15.75" customHeight="1">
      <c r="A112" s="32" t="s">
        <v>196</v>
      </c>
      <c r="B112" s="33">
        <v>114</v>
      </c>
      <c r="C112" s="34" t="s">
        <v>876</v>
      </c>
      <c r="D112" s="35">
        <v>45826.483104155093</v>
      </c>
      <c r="E112" s="43">
        <v>45826</v>
      </c>
      <c r="F112" s="32" t="s">
        <v>877</v>
      </c>
      <c r="G112" s="32" t="s">
        <v>878</v>
      </c>
      <c r="H112" s="32" t="s">
        <v>879</v>
      </c>
      <c r="I112" s="36" t="s">
        <v>880</v>
      </c>
      <c r="J112" s="32" t="s">
        <v>881</v>
      </c>
      <c r="K112" s="32" t="s">
        <v>882</v>
      </c>
      <c r="L112" s="32" t="s">
        <v>883</v>
      </c>
      <c r="M112" s="32" t="s">
        <v>884</v>
      </c>
      <c r="N112" s="33">
        <v>5</v>
      </c>
      <c r="O112" s="35">
        <v>45829</v>
      </c>
      <c r="P112" s="35">
        <v>45833</v>
      </c>
      <c r="Q112" s="37"/>
      <c r="R112" s="38"/>
      <c r="S112" s="33"/>
      <c r="T112" s="39">
        <v>197000</v>
      </c>
      <c r="U112" s="40" t="s">
        <v>115</v>
      </c>
      <c r="V112" s="41"/>
      <c r="W112" s="42" t="str">
        <f ca="1">IFERROR(__xludf.DUMMYFUNCTION("""COMPUTED_VALUE"""),"Bismillah Meubel")</f>
        <v>Bismillah Meubel</v>
      </c>
      <c r="X112" s="42" t="str">
        <f ca="1"/>
        <v>ON-Bismillah Meubel-00011900+5-6285733774700</v>
      </c>
      <c r="Y112" s="40" t="s">
        <v>62</v>
      </c>
      <c r="Z112" s="40" t="s">
        <v>241</v>
      </c>
      <c r="AA112" s="23" t="str">
        <v>https://wa.me/6285733774700</v>
      </c>
      <c r="AB112" s="28" t="s">
        <v>885</v>
      </c>
      <c r="AC112" s="28"/>
      <c r="AD112" s="28" t="s">
        <v>690</v>
      </c>
      <c r="AE112" s="28"/>
      <c r="AF112" s="29"/>
      <c r="AG112" s="29"/>
    </row>
    <row r="113" spans="1:33" ht="15.75" customHeight="1">
      <c r="A113" s="32" t="s">
        <v>196</v>
      </c>
      <c r="B113" s="33">
        <v>115</v>
      </c>
      <c r="C113" s="34" t="s">
        <v>886</v>
      </c>
      <c r="D113" s="35">
        <v>45826.88837108796</v>
      </c>
      <c r="E113" s="43">
        <v>45825</v>
      </c>
      <c r="F113" s="32" t="s">
        <v>887</v>
      </c>
      <c r="G113" s="32" t="s">
        <v>888</v>
      </c>
      <c r="H113" s="32" t="s">
        <v>889</v>
      </c>
      <c r="I113" s="36" t="s">
        <v>890</v>
      </c>
      <c r="J113" s="32" t="s">
        <v>891</v>
      </c>
      <c r="K113" s="32" t="s">
        <v>892</v>
      </c>
      <c r="L113" s="32" t="s">
        <v>893</v>
      </c>
      <c r="M113" s="32" t="s">
        <v>131</v>
      </c>
      <c r="N113" s="33">
        <v>30</v>
      </c>
      <c r="O113" s="35">
        <v>45829</v>
      </c>
      <c r="P113" s="35">
        <v>45858</v>
      </c>
      <c r="Q113" s="37"/>
      <c r="R113" s="38"/>
      <c r="S113" s="33"/>
      <c r="T113" s="39">
        <v>1000000</v>
      </c>
      <c r="U113" s="40" t="s">
        <v>61</v>
      </c>
      <c r="V113" s="41"/>
      <c r="W113" s="42" t="str">
        <f ca="1">IFERROR(__xludf.DUMMYFUNCTION("""COMPUTED_VALUE"""),"Bandi Karya")</f>
        <v>Bandi Karya</v>
      </c>
      <c r="X113" s="42" t="str">
        <f ca="1"/>
        <v>ON-Bandi Karya-00011900+30-6281215851833</v>
      </c>
      <c r="Y113" s="40" t="s">
        <v>293</v>
      </c>
      <c r="Z113" s="40" t="s">
        <v>241</v>
      </c>
      <c r="AA113" s="23" t="str">
        <v>https://wa.me/6281215851833</v>
      </c>
      <c r="AB113" s="28" t="s">
        <v>894</v>
      </c>
      <c r="AC113" s="28"/>
      <c r="AD113" s="28" t="s">
        <v>690</v>
      </c>
      <c r="AE113" s="28"/>
      <c r="AF113" s="29"/>
      <c r="AG113" s="29"/>
    </row>
    <row r="114" spans="1:33" ht="15.75" customHeight="1">
      <c r="A114" s="32" t="s">
        <v>196</v>
      </c>
      <c r="B114" s="33">
        <v>116</v>
      </c>
      <c r="C114" s="34" t="s">
        <v>895</v>
      </c>
      <c r="D114" s="35">
        <v>45826.891383831018</v>
      </c>
      <c r="E114" s="43">
        <v>45826</v>
      </c>
      <c r="F114" s="32" t="s">
        <v>896</v>
      </c>
      <c r="G114" s="32" t="s">
        <v>897</v>
      </c>
      <c r="H114" s="32" t="s">
        <v>898</v>
      </c>
      <c r="I114" s="36" t="s">
        <v>899</v>
      </c>
      <c r="J114" s="32"/>
      <c r="K114" s="32" t="s">
        <v>900</v>
      </c>
      <c r="L114" s="32" t="s">
        <v>901</v>
      </c>
      <c r="M114" s="32" t="s">
        <v>205</v>
      </c>
      <c r="N114" s="33">
        <v>10</v>
      </c>
      <c r="O114" s="35"/>
      <c r="P114" s="35"/>
      <c r="Q114" s="37"/>
      <c r="R114" s="38"/>
      <c r="S114" s="33"/>
      <c r="T114" s="39">
        <v>375000</v>
      </c>
      <c r="U114" s="40" t="s">
        <v>61</v>
      </c>
      <c r="V114" s="41"/>
      <c r="W114" s="42" t="str">
        <f ca="1">IFERROR(__xludf.DUMMYFUNCTION("""COMPUTED_VALUE"""),"CV TPTU")</f>
        <v>CV TPTU</v>
      </c>
      <c r="X114" s="42" t="str">
        <f ca="1"/>
        <v>ON-CV TPTU-00011900+10-6285361188745</v>
      </c>
      <c r="Y114" s="40" t="s">
        <v>902</v>
      </c>
      <c r="Z114" s="40" t="s">
        <v>468</v>
      </c>
      <c r="AA114" s="23" t="str">
        <v>https://wa.me/6285361188745</v>
      </c>
      <c r="AB114" s="28" t="s">
        <v>903</v>
      </c>
      <c r="AC114" s="28"/>
      <c r="AD114" s="28"/>
      <c r="AE114" s="28"/>
      <c r="AF114" s="29"/>
      <c r="AG114" s="29"/>
    </row>
    <row r="115" spans="1:33" ht="15.75" customHeight="1">
      <c r="A115" s="32" t="s">
        <v>196</v>
      </c>
      <c r="B115" s="33">
        <v>118</v>
      </c>
      <c r="C115" s="34" t="s">
        <v>904</v>
      </c>
      <c r="D115" s="35">
        <v>45826.895763090273</v>
      </c>
      <c r="E115" s="43">
        <v>45826</v>
      </c>
      <c r="F115" s="32" t="s">
        <v>905</v>
      </c>
      <c r="G115" s="32" t="s">
        <v>906</v>
      </c>
      <c r="H115" s="32" t="s">
        <v>907</v>
      </c>
      <c r="I115" s="36" t="s">
        <v>908</v>
      </c>
      <c r="J115" s="32" t="s">
        <v>909</v>
      </c>
      <c r="K115" s="32" t="s">
        <v>910</v>
      </c>
      <c r="L115" s="32" t="s">
        <v>490</v>
      </c>
      <c r="M115" s="32" t="s">
        <v>131</v>
      </c>
      <c r="N115" s="33">
        <v>10</v>
      </c>
      <c r="O115" s="35">
        <v>45830</v>
      </c>
      <c r="P115" s="35">
        <v>45839</v>
      </c>
      <c r="Q115" s="37"/>
      <c r="R115" s="38"/>
      <c r="S115" s="33"/>
      <c r="T115" s="39">
        <v>375000</v>
      </c>
      <c r="U115" s="40" t="s">
        <v>61</v>
      </c>
      <c r="V115" s="41"/>
      <c r="W115" s="42" t="str">
        <f ca="1">IFERROR(__xludf.DUMMYFUNCTION("""COMPUTED_VALUE"""),"Berkat Property77")</f>
        <v>Berkat Property77</v>
      </c>
      <c r="X115" s="42" t="str">
        <f ca="1"/>
        <v>ON-Berkat Property77-00011900+10-6282183115806</v>
      </c>
      <c r="Y115" s="40" t="s">
        <v>293</v>
      </c>
      <c r="Z115" s="40" t="s">
        <v>241</v>
      </c>
      <c r="AA115" s="23" t="str">
        <v>https://wa.me/6282183115806</v>
      </c>
      <c r="AB115" s="28" t="s">
        <v>911</v>
      </c>
      <c r="AC115" s="28"/>
      <c r="AD115" s="28" t="s">
        <v>690</v>
      </c>
      <c r="AE115" s="28"/>
      <c r="AF115" s="29"/>
      <c r="AG115" s="29"/>
    </row>
    <row r="116" spans="1:33" ht="15.75" customHeight="1">
      <c r="A116" s="32" t="s">
        <v>912</v>
      </c>
      <c r="B116" s="33">
        <v>119</v>
      </c>
      <c r="C116" s="34" t="s">
        <v>913</v>
      </c>
      <c r="D116" s="35">
        <v>45827.412237777782</v>
      </c>
      <c r="E116" s="43">
        <v>45827</v>
      </c>
      <c r="F116" s="32" t="s">
        <v>914</v>
      </c>
      <c r="G116" s="32" t="s">
        <v>915</v>
      </c>
      <c r="H116" s="32" t="s">
        <v>409</v>
      </c>
      <c r="I116" s="36" t="s">
        <v>916</v>
      </c>
      <c r="J116" s="32" t="s">
        <v>917</v>
      </c>
      <c r="K116" s="32" t="s">
        <v>918</v>
      </c>
      <c r="L116" s="32" t="s">
        <v>467</v>
      </c>
      <c r="M116" s="32" t="s">
        <v>382</v>
      </c>
      <c r="N116" s="33">
        <v>5</v>
      </c>
      <c r="O116" s="35">
        <v>45830</v>
      </c>
      <c r="P116" s="35">
        <v>45834</v>
      </c>
      <c r="Q116" s="37"/>
      <c r="R116" s="38"/>
      <c r="S116" s="33"/>
      <c r="T116" s="39">
        <v>197000</v>
      </c>
      <c r="U116" s="40" t="s">
        <v>115</v>
      </c>
      <c r="V116" s="41"/>
      <c r="W116" s="42" t="str">
        <f ca="1">IFERROR(__xludf.DUMMYFUNCTION("""COMPUTED_VALUE"""),"CV Masif")</f>
        <v>CV Masif</v>
      </c>
      <c r="X116" s="42" t="str">
        <f ca="1"/>
        <v>ON-CV Masif-00011900+5-6285797903614</v>
      </c>
      <c r="Y116" s="40" t="s">
        <v>293</v>
      </c>
      <c r="Z116" s="40" t="s">
        <v>241</v>
      </c>
      <c r="AA116" s="23" t="str">
        <v>https://wa.me/6285797903614</v>
      </c>
      <c r="AB116" s="28" t="s">
        <v>919</v>
      </c>
      <c r="AC116" s="28"/>
      <c r="AD116" s="28"/>
      <c r="AE116" s="28"/>
      <c r="AF116" s="29"/>
      <c r="AG116" s="29"/>
    </row>
    <row r="117" spans="1:33" ht="15.75" customHeight="1">
      <c r="A117" s="32" t="s">
        <v>196</v>
      </c>
      <c r="B117" s="33">
        <v>119</v>
      </c>
      <c r="C117" s="34" t="s">
        <v>913</v>
      </c>
      <c r="D117" s="35">
        <v>45827.459806689818</v>
      </c>
      <c r="E117" s="43">
        <v>45825</v>
      </c>
      <c r="F117" s="32" t="s">
        <v>920</v>
      </c>
      <c r="G117" s="32" t="s">
        <v>920</v>
      </c>
      <c r="H117" s="32" t="s">
        <v>921</v>
      </c>
      <c r="I117" s="36" t="s">
        <v>922</v>
      </c>
      <c r="J117" s="32"/>
      <c r="K117" s="32" t="s">
        <v>570</v>
      </c>
      <c r="L117" s="32" t="s">
        <v>923</v>
      </c>
      <c r="M117" s="32" t="s">
        <v>285</v>
      </c>
      <c r="N117" s="33">
        <v>5</v>
      </c>
      <c r="O117" s="35">
        <v>45830</v>
      </c>
      <c r="P117" s="35">
        <v>45834</v>
      </c>
      <c r="Q117" s="37"/>
      <c r="R117" s="38"/>
      <c r="S117" s="33"/>
      <c r="T117" s="39">
        <v>197000</v>
      </c>
      <c r="U117" s="40" t="s">
        <v>49</v>
      </c>
      <c r="V117" s="41"/>
      <c r="W117" s="42" t="str">
        <f ca="1">IFERROR(__xludf.DUMMYFUNCTION("""COMPUTED_VALUE"""),"Norma Property")</f>
        <v>Norma Property</v>
      </c>
      <c r="X117" s="42" t="str">
        <f ca="1"/>
        <v>ON-Norma Property-00011900+5-6281514999073</v>
      </c>
      <c r="Y117" s="40" t="s">
        <v>293</v>
      </c>
      <c r="Z117" s="40" t="s">
        <v>241</v>
      </c>
      <c r="AA117" s="23" t="str">
        <v>https://wa.me/6281514999073</v>
      </c>
      <c r="AB117" s="28" t="s">
        <v>924</v>
      </c>
      <c r="AC117" s="28"/>
      <c r="AD117" s="28" t="s">
        <v>690</v>
      </c>
      <c r="AE117" s="28"/>
      <c r="AF117" s="29"/>
      <c r="AG117" s="29"/>
    </row>
    <row r="118" spans="1:33" ht="15.75" customHeight="1">
      <c r="A118" s="32" t="s">
        <v>196</v>
      </c>
      <c r="B118" s="33">
        <v>120</v>
      </c>
      <c r="C118" s="34" t="s">
        <v>925</v>
      </c>
      <c r="D118" s="35">
        <v>45827.468855185187</v>
      </c>
      <c r="E118" s="43">
        <v>45826</v>
      </c>
      <c r="F118" s="32" t="s">
        <v>926</v>
      </c>
      <c r="G118" s="32" t="s">
        <v>927</v>
      </c>
      <c r="H118" s="32" t="s">
        <v>338</v>
      </c>
      <c r="I118" s="36" t="s">
        <v>928</v>
      </c>
      <c r="J118" s="32"/>
      <c r="K118" s="32" t="s">
        <v>929</v>
      </c>
      <c r="L118" s="32" t="s">
        <v>930</v>
      </c>
      <c r="M118" s="32" t="s">
        <v>931</v>
      </c>
      <c r="N118" s="33">
        <v>5</v>
      </c>
      <c r="O118" s="35">
        <v>45830</v>
      </c>
      <c r="P118" s="35">
        <v>45834</v>
      </c>
      <c r="Q118" s="37"/>
      <c r="R118" s="38"/>
      <c r="S118" s="33"/>
      <c r="T118" s="39">
        <v>197000</v>
      </c>
      <c r="U118" s="40" t="s">
        <v>49</v>
      </c>
      <c r="V118" s="41"/>
      <c r="W118" s="42" t="str">
        <f ca="1">IFERROR(__xludf.DUMMYFUNCTION("""COMPUTED_VALUE"""),"CV cahaya")</f>
        <v>CV cahaya</v>
      </c>
      <c r="X118" s="42" t="str">
        <f ca="1"/>
        <v>ON-CV cahaya-00011900+5-6283151330372</v>
      </c>
      <c r="Y118" s="40" t="s">
        <v>293</v>
      </c>
      <c r="Z118" s="40" t="s">
        <v>241</v>
      </c>
      <c r="AA118" s="23" t="str">
        <v>https://wa.me/6283151330372</v>
      </c>
      <c r="AB118" s="28" t="s">
        <v>932</v>
      </c>
      <c r="AC118" s="28"/>
      <c r="AD118" s="28" t="s">
        <v>690</v>
      </c>
      <c r="AE118" s="28"/>
      <c r="AF118" s="29"/>
      <c r="AG118" s="29"/>
    </row>
    <row r="119" spans="1:33" ht="15.75" customHeight="1">
      <c r="A119" s="32" t="s">
        <v>52</v>
      </c>
      <c r="B119" s="33">
        <v>121</v>
      </c>
      <c r="C119" s="34" t="s">
        <v>933</v>
      </c>
      <c r="D119" s="35">
        <v>45827.550972060184</v>
      </c>
      <c r="E119" s="43">
        <v>45827</v>
      </c>
      <c r="F119" s="32" t="s">
        <v>934</v>
      </c>
      <c r="G119" s="32" t="s">
        <v>935</v>
      </c>
      <c r="H119" s="32" t="s">
        <v>936</v>
      </c>
      <c r="I119" s="36" t="s">
        <v>937</v>
      </c>
      <c r="J119" s="32" t="s">
        <v>938</v>
      </c>
      <c r="K119" s="32" t="s">
        <v>939</v>
      </c>
      <c r="L119" s="32" t="s">
        <v>940</v>
      </c>
      <c r="M119" s="32" t="s">
        <v>60</v>
      </c>
      <c r="N119" s="33">
        <v>10</v>
      </c>
      <c r="O119" s="35">
        <v>45830</v>
      </c>
      <c r="P119" s="35">
        <v>45839</v>
      </c>
      <c r="Q119" s="37"/>
      <c r="R119" s="38"/>
      <c r="S119" s="33"/>
      <c r="T119" s="39">
        <v>375000</v>
      </c>
      <c r="U119" s="40" t="s">
        <v>61</v>
      </c>
      <c r="V119" s="41"/>
      <c r="W119" s="42" t="str">
        <f ca="1">IFERROR(__xludf.DUMMYFUNCTION("""COMPUTED_VALUE"""),"Mekar Mulyo")</f>
        <v>Mekar Mulyo</v>
      </c>
      <c r="X119" s="42" t="str">
        <f ca="1"/>
        <v>ON-Mekar Mulyo-00011900+10-6281932590871</v>
      </c>
      <c r="Y119" s="40" t="s">
        <v>293</v>
      </c>
      <c r="Z119" s="40"/>
      <c r="AA119" s="23" t="str">
        <v>https://wa.me/6281932590871</v>
      </c>
      <c r="AB119" s="28"/>
      <c r="AC119" s="28"/>
      <c r="AD119" s="28"/>
      <c r="AE119" s="28"/>
      <c r="AF119" s="29"/>
      <c r="AG119" s="29"/>
    </row>
    <row r="120" spans="1:33" ht="15.75" customHeight="1">
      <c r="A120" s="32" t="s">
        <v>196</v>
      </c>
      <c r="B120" s="33">
        <v>122</v>
      </c>
      <c r="C120" s="34" t="s">
        <v>941</v>
      </c>
      <c r="D120" s="35">
        <v>45827.671928692129</v>
      </c>
      <c r="E120" s="43">
        <v>45827</v>
      </c>
      <c r="F120" s="32" t="s">
        <v>942</v>
      </c>
      <c r="G120" s="32" t="s">
        <v>943</v>
      </c>
      <c r="H120" s="32" t="s">
        <v>944</v>
      </c>
      <c r="I120" s="36" t="s">
        <v>945</v>
      </c>
      <c r="J120" s="32"/>
      <c r="K120" s="32" t="s">
        <v>946</v>
      </c>
      <c r="L120" s="32" t="s">
        <v>947</v>
      </c>
      <c r="M120" s="32" t="s">
        <v>267</v>
      </c>
      <c r="N120" s="33">
        <v>5</v>
      </c>
      <c r="O120" s="35">
        <v>45832</v>
      </c>
      <c r="P120" s="35">
        <v>45836</v>
      </c>
      <c r="Q120" s="37"/>
      <c r="R120" s="38"/>
      <c r="S120" s="33"/>
      <c r="T120" s="39">
        <v>197000</v>
      </c>
      <c r="U120" s="40" t="s">
        <v>49</v>
      </c>
      <c r="V120" s="41"/>
      <c r="W120" s="42" t="str">
        <f ca="1">IFERROR(__xludf.DUMMYFUNCTION("""COMPUTED_VALUE"""),"Alfie salon")</f>
        <v>Alfie salon</v>
      </c>
      <c r="X120" s="42" t="str">
        <f ca="1"/>
        <v>ON-Alfie salon-00011900+5-6285775986977</v>
      </c>
      <c r="Y120" s="40" t="s">
        <v>50</v>
      </c>
      <c r="Z120" s="40" t="s">
        <v>327</v>
      </c>
      <c r="AA120" s="23" t="str">
        <v>https://wa.me/6285775986977</v>
      </c>
      <c r="AB120" s="28" t="s">
        <v>948</v>
      </c>
      <c r="AC120" s="28"/>
      <c r="AD120" s="28" t="s">
        <v>690</v>
      </c>
      <c r="AE120" s="28"/>
      <c r="AF120" s="29"/>
      <c r="AG120" s="29"/>
    </row>
    <row r="121" spans="1:33" ht="15.75" customHeight="1">
      <c r="A121" s="32" t="s">
        <v>196</v>
      </c>
      <c r="B121" s="33">
        <v>123</v>
      </c>
      <c r="C121" s="34" t="s">
        <v>949</v>
      </c>
      <c r="D121" s="35">
        <v>45827.708455358792</v>
      </c>
      <c r="E121" s="43">
        <v>45827</v>
      </c>
      <c r="F121" s="32" t="s">
        <v>950</v>
      </c>
      <c r="G121" s="32" t="s">
        <v>951</v>
      </c>
      <c r="H121" s="32" t="s">
        <v>952</v>
      </c>
      <c r="I121" s="36" t="s">
        <v>953</v>
      </c>
      <c r="J121" s="32" t="s">
        <v>954</v>
      </c>
      <c r="K121" s="32" t="s">
        <v>955</v>
      </c>
      <c r="L121" s="32" t="s">
        <v>956</v>
      </c>
      <c r="M121" s="32" t="s">
        <v>249</v>
      </c>
      <c r="N121" s="33">
        <v>5</v>
      </c>
      <c r="O121" s="35">
        <v>45832</v>
      </c>
      <c r="P121" s="35">
        <v>45836</v>
      </c>
      <c r="Q121" s="37"/>
      <c r="R121" s="38"/>
      <c r="S121" s="33"/>
      <c r="T121" s="39">
        <v>197000</v>
      </c>
      <c r="U121" s="40" t="s">
        <v>115</v>
      </c>
      <c r="V121" s="41"/>
      <c r="W121" s="42" t="str">
        <f ca="1">IFERROR(__xludf.DUMMYFUNCTION("""COMPUTED_VALUE"""),"Jaya Lasindo")</f>
        <v>Jaya Lasindo</v>
      </c>
      <c r="X121" s="42" t="str">
        <f ca="1"/>
        <v>ON-Jaya Lasindo-00011900+5-6281383899119</v>
      </c>
      <c r="Y121" s="40" t="s">
        <v>293</v>
      </c>
      <c r="Z121" s="40" t="s">
        <v>277</v>
      </c>
      <c r="AA121" s="23" t="str">
        <v>https://wa.me/6281383899119</v>
      </c>
      <c r="AB121" s="28" t="s">
        <v>957</v>
      </c>
      <c r="AC121" s="28"/>
      <c r="AD121" s="28" t="s">
        <v>690</v>
      </c>
      <c r="AE121" s="28"/>
      <c r="AF121" s="29"/>
      <c r="AG121" s="29"/>
    </row>
    <row r="122" spans="1:33" ht="15.75" customHeight="1">
      <c r="A122" s="32" t="s">
        <v>196</v>
      </c>
      <c r="B122" s="33">
        <v>124</v>
      </c>
      <c r="C122" s="34" t="s">
        <v>958</v>
      </c>
      <c r="D122" s="35">
        <v>45828.482696180552</v>
      </c>
      <c r="E122" s="43">
        <v>45828</v>
      </c>
      <c r="F122" s="32" t="s">
        <v>959</v>
      </c>
      <c r="G122" s="32" t="s">
        <v>960</v>
      </c>
      <c r="H122" s="32" t="s">
        <v>961</v>
      </c>
      <c r="I122" s="36" t="s">
        <v>962</v>
      </c>
      <c r="J122" s="32"/>
      <c r="K122" s="32" t="s">
        <v>963</v>
      </c>
      <c r="L122" s="32" t="s">
        <v>964</v>
      </c>
      <c r="M122" s="32" t="s">
        <v>965</v>
      </c>
      <c r="N122" s="33">
        <v>10</v>
      </c>
      <c r="O122" s="35">
        <v>45831</v>
      </c>
      <c r="P122" s="35">
        <v>45840</v>
      </c>
      <c r="Q122" s="37"/>
      <c r="R122" s="38"/>
      <c r="S122" s="33"/>
      <c r="T122" s="39">
        <v>282000</v>
      </c>
      <c r="U122" s="40" t="s">
        <v>115</v>
      </c>
      <c r="V122" s="41"/>
      <c r="W122" s="42" t="str">
        <f ca="1">IFERROR(__xludf.DUMMYFUNCTION("""COMPUTED_VALUE"""),"Labhu Shop")</f>
        <v>Labhu Shop</v>
      </c>
      <c r="X122" s="42" t="str">
        <f ca="1"/>
        <v>ON-Labhu Shop-00011900+10-6281299907533</v>
      </c>
      <c r="Y122" s="40" t="s">
        <v>62</v>
      </c>
      <c r="Z122" s="40" t="s">
        <v>214</v>
      </c>
      <c r="AA122" s="23" t="str">
        <v>https://wa.me/6281299907533</v>
      </c>
      <c r="AB122" s="28" t="s">
        <v>966</v>
      </c>
      <c r="AC122" s="28"/>
      <c r="AD122" s="28" t="s">
        <v>690</v>
      </c>
      <c r="AE122" s="28"/>
      <c r="AF122" s="29"/>
      <c r="AG122" s="29"/>
    </row>
    <row r="123" spans="1:33" ht="15.75" customHeight="1">
      <c r="A123" s="32" t="s">
        <v>52</v>
      </c>
      <c r="B123" s="33">
        <v>125</v>
      </c>
      <c r="C123" s="34" t="s">
        <v>967</v>
      </c>
      <c r="D123" s="33" t="s">
        <v>968</v>
      </c>
      <c r="E123" s="43">
        <v>45827</v>
      </c>
      <c r="F123" s="32" t="s">
        <v>969</v>
      </c>
      <c r="G123" s="32" t="s">
        <v>970</v>
      </c>
      <c r="H123" s="32" t="s">
        <v>971</v>
      </c>
      <c r="I123" s="36" t="s">
        <v>972</v>
      </c>
      <c r="J123" s="32"/>
      <c r="K123" s="32" t="s">
        <v>973</v>
      </c>
      <c r="L123" s="32" t="s">
        <v>974</v>
      </c>
      <c r="M123" s="32" t="s">
        <v>60</v>
      </c>
      <c r="N123" s="33">
        <v>5</v>
      </c>
      <c r="O123" s="35"/>
      <c r="P123" s="35"/>
      <c r="Q123" s="37"/>
      <c r="R123" s="38">
        <v>-1003470351325</v>
      </c>
      <c r="S123" s="33"/>
      <c r="T123" s="39">
        <v>197000</v>
      </c>
      <c r="U123" s="40" t="s">
        <v>61</v>
      </c>
      <c r="V123" s="47">
        <v>45999.216272060185</v>
      </c>
      <c r="W123" s="42" t="str">
        <f ca="1">IFERROR(__xludf.DUMMYFUNCTION("""COMPUTED_VALUE"""),"Ragil Mapan")</f>
        <v>Ragil Mapan</v>
      </c>
      <c r="X123" s="42" t="str">
        <f ca="1"/>
        <v>ON-Ragil Mapan-08122025+5-6282230035858</v>
      </c>
      <c r="Y123" s="40"/>
      <c r="Z123" s="40"/>
      <c r="AA123" s="23" t="str">
        <v>https://wa.me/6282230035858</v>
      </c>
      <c r="AB123" s="28"/>
      <c r="AC123" s="28"/>
      <c r="AD123" s="28"/>
      <c r="AE123" s="28"/>
      <c r="AF123" s="29"/>
      <c r="AG123" s="29"/>
    </row>
    <row r="124" spans="1:33" ht="15.75" customHeight="1">
      <c r="A124" s="32" t="s">
        <v>52</v>
      </c>
      <c r="B124" s="33">
        <v>126</v>
      </c>
      <c r="C124" s="34" t="s">
        <v>975</v>
      </c>
      <c r="D124" s="35">
        <v>45828.70568900463</v>
      </c>
      <c r="E124" s="43">
        <v>45828</v>
      </c>
      <c r="F124" s="32" t="s">
        <v>471</v>
      </c>
      <c r="G124" s="32" t="s">
        <v>472</v>
      </c>
      <c r="H124" s="32" t="s">
        <v>473</v>
      </c>
      <c r="I124" s="36" t="s">
        <v>474</v>
      </c>
      <c r="J124" s="32"/>
      <c r="K124" s="32" t="s">
        <v>475</v>
      </c>
      <c r="L124" s="32" t="s">
        <v>476</v>
      </c>
      <c r="M124" s="32" t="s">
        <v>70</v>
      </c>
      <c r="N124" s="33">
        <v>10</v>
      </c>
      <c r="O124" s="35">
        <v>45830</v>
      </c>
      <c r="P124" s="35">
        <v>45839</v>
      </c>
      <c r="Q124" s="37"/>
      <c r="R124" s="38"/>
      <c r="S124" s="33"/>
      <c r="T124" s="39">
        <v>375000</v>
      </c>
      <c r="U124" s="40" t="s">
        <v>115</v>
      </c>
      <c r="V124" s="41"/>
      <c r="W124" s="42" t="str">
        <f ca="1">IFERROR(__xludf.DUMMYFUNCTION("""COMPUTED_VALUE"""),"Hadi property")</f>
        <v>Hadi property</v>
      </c>
      <c r="X124" s="42" t="str">
        <f ca="1"/>
        <v>ON-Hadi property-00011900+10-628114170888</v>
      </c>
      <c r="Y124" s="40"/>
      <c r="Z124" s="40"/>
      <c r="AA124" s="23" t="str">
        <v>https://wa.me/628114170888</v>
      </c>
      <c r="AB124" s="28"/>
      <c r="AC124" s="28"/>
      <c r="AD124" s="28"/>
      <c r="AE124" s="28"/>
      <c r="AF124" s="29"/>
      <c r="AG124" s="29"/>
    </row>
    <row r="125" spans="1:33" ht="15.75" customHeight="1">
      <c r="A125" s="32" t="s">
        <v>196</v>
      </c>
      <c r="B125" s="33">
        <v>127</v>
      </c>
      <c r="C125" s="34" t="s">
        <v>976</v>
      </c>
      <c r="D125" s="35">
        <v>45828.782296249999</v>
      </c>
      <c r="E125" s="43">
        <v>45828</v>
      </c>
      <c r="F125" s="32" t="s">
        <v>977</v>
      </c>
      <c r="G125" s="32" t="s">
        <v>978</v>
      </c>
      <c r="H125" s="32" t="s">
        <v>200</v>
      </c>
      <c r="I125" s="36" t="s">
        <v>979</v>
      </c>
      <c r="J125" s="32" t="s">
        <v>980</v>
      </c>
      <c r="K125" s="32" t="s">
        <v>981</v>
      </c>
      <c r="L125" s="32" t="s">
        <v>696</v>
      </c>
      <c r="M125" s="32" t="s">
        <v>982</v>
      </c>
      <c r="N125" s="33">
        <v>5</v>
      </c>
      <c r="O125" s="35">
        <v>45831</v>
      </c>
      <c r="P125" s="35">
        <v>45835</v>
      </c>
      <c r="Q125" s="37"/>
      <c r="R125" s="38"/>
      <c r="S125" s="33"/>
      <c r="T125" s="39">
        <v>197000</v>
      </c>
      <c r="U125" s="40" t="s">
        <v>115</v>
      </c>
      <c r="V125" s="41"/>
      <c r="W125" s="42" t="str">
        <f ca="1">IFERROR(__xludf.DUMMYFUNCTION("""COMPUTED_VALUE"""),"zada karya")</f>
        <v>zada karya</v>
      </c>
      <c r="X125" s="42" t="str">
        <f ca="1"/>
        <v>ON-zada karya-00011900+5-6283135590465</v>
      </c>
      <c r="Y125" s="40" t="s">
        <v>293</v>
      </c>
      <c r="Z125" s="40" t="s">
        <v>214</v>
      </c>
      <c r="AA125" s="23" t="str">
        <v>https://wa.me/6283135590465</v>
      </c>
      <c r="AB125" s="28" t="s">
        <v>983</v>
      </c>
      <c r="AC125" s="28"/>
      <c r="AD125" s="28" t="s">
        <v>690</v>
      </c>
      <c r="AE125" s="28"/>
      <c r="AF125" s="29"/>
      <c r="AG125" s="29"/>
    </row>
    <row r="126" spans="1:33" ht="15.75" customHeight="1">
      <c r="A126" s="32" t="s">
        <v>52</v>
      </c>
      <c r="B126" s="33">
        <v>128</v>
      </c>
      <c r="C126" s="34" t="s">
        <v>984</v>
      </c>
      <c r="D126" s="35">
        <v>45829.44233917824</v>
      </c>
      <c r="E126" s="43">
        <v>45828</v>
      </c>
      <c r="F126" s="32" t="s">
        <v>505</v>
      </c>
      <c r="G126" s="32" t="s">
        <v>985</v>
      </c>
      <c r="H126" s="32" t="s">
        <v>507</v>
      </c>
      <c r="I126" s="36" t="s">
        <v>508</v>
      </c>
      <c r="J126" s="32"/>
      <c r="K126" s="32" t="s">
        <v>509</v>
      </c>
      <c r="L126" s="32" t="s">
        <v>92</v>
      </c>
      <c r="M126" s="32" t="s">
        <v>510</v>
      </c>
      <c r="N126" s="33">
        <v>20</v>
      </c>
      <c r="O126" s="35"/>
      <c r="P126" s="35"/>
      <c r="Q126" s="37"/>
      <c r="R126" s="38"/>
      <c r="S126" s="33"/>
      <c r="T126" s="39">
        <v>700000</v>
      </c>
      <c r="U126" s="40" t="s">
        <v>61</v>
      </c>
      <c r="V126" s="41"/>
      <c r="W126" s="42" t="str">
        <f ca="1">IFERROR(__xludf.DUMMYFUNCTION("""COMPUTED_VALUE"""),"Bengkel Las")</f>
        <v>Bengkel Las</v>
      </c>
      <c r="X126" s="42" t="str">
        <f ca="1"/>
        <v>ON-Bengkel Las-00011900+20-6281519225886</v>
      </c>
      <c r="Y126" s="40"/>
      <c r="Z126" s="40"/>
      <c r="AA126" s="23" t="str">
        <v>https://wa.me/6281519225886</v>
      </c>
      <c r="AB126" s="28"/>
      <c r="AC126" s="28"/>
      <c r="AD126" s="28"/>
      <c r="AE126" s="28"/>
      <c r="AF126" s="29"/>
      <c r="AG126" s="29"/>
    </row>
    <row r="127" spans="1:33" ht="15.75" customHeight="1">
      <c r="A127" s="32" t="s">
        <v>621</v>
      </c>
      <c r="B127" s="33">
        <v>129</v>
      </c>
      <c r="C127" s="34" t="s">
        <v>986</v>
      </c>
      <c r="D127" s="35">
        <v>45829.613838645833</v>
      </c>
      <c r="E127" s="43">
        <v>45829</v>
      </c>
      <c r="F127" s="32" t="s">
        <v>987</v>
      </c>
      <c r="G127" s="32" t="s">
        <v>988</v>
      </c>
      <c r="H127" s="32" t="s">
        <v>989</v>
      </c>
      <c r="I127" s="36" t="s">
        <v>990</v>
      </c>
      <c r="J127" s="32" t="s">
        <v>991</v>
      </c>
      <c r="K127" s="32" t="s">
        <v>992</v>
      </c>
      <c r="L127" s="32" t="s">
        <v>993</v>
      </c>
      <c r="M127" s="32" t="s">
        <v>994</v>
      </c>
      <c r="N127" s="33">
        <v>5</v>
      </c>
      <c r="O127" s="35"/>
      <c r="P127" s="35"/>
      <c r="Q127" s="37"/>
      <c r="R127" s="38"/>
      <c r="S127" s="33"/>
      <c r="T127" s="39">
        <v>197000</v>
      </c>
      <c r="U127" s="40" t="s">
        <v>115</v>
      </c>
      <c r="V127" s="41"/>
      <c r="W127" s="42" t="str">
        <f ca="1">IFERROR(__xludf.DUMMYFUNCTION("""COMPUTED_VALUE"""),"TILA GORDEN")</f>
        <v>TILA GORDEN</v>
      </c>
      <c r="X127" s="42" t="str">
        <f ca="1"/>
        <v>ON-TILA GORDEN-00011900+5-6285358461095</v>
      </c>
      <c r="Y127" s="40" t="s">
        <v>50</v>
      </c>
      <c r="Z127" s="40" t="s">
        <v>214</v>
      </c>
      <c r="AA127" s="23" t="str">
        <v>https://wa.me/6285358461095</v>
      </c>
      <c r="AB127" s="28"/>
      <c r="AC127" s="28"/>
      <c r="AD127" s="28"/>
      <c r="AE127" s="28"/>
      <c r="AF127" s="29"/>
      <c r="AG127" s="29"/>
    </row>
    <row r="128" spans="1:33" ht="15.75" customHeight="1">
      <c r="A128" s="32" t="s">
        <v>196</v>
      </c>
      <c r="B128" s="33">
        <v>131</v>
      </c>
      <c r="C128" s="34" t="s">
        <v>995</v>
      </c>
      <c r="D128" s="35">
        <v>45829.829480810185</v>
      </c>
      <c r="E128" s="43">
        <v>45829</v>
      </c>
      <c r="F128" s="32" t="s">
        <v>484</v>
      </c>
      <c r="G128" s="32" t="s">
        <v>996</v>
      </c>
      <c r="H128" s="32" t="s">
        <v>997</v>
      </c>
      <c r="I128" s="36" t="s">
        <v>487</v>
      </c>
      <c r="J128" s="32"/>
      <c r="K128" s="32" t="s">
        <v>998</v>
      </c>
      <c r="L128" s="32" t="s">
        <v>999</v>
      </c>
      <c r="M128" s="32" t="s">
        <v>1000</v>
      </c>
      <c r="N128" s="33">
        <v>7</v>
      </c>
      <c r="O128" s="35">
        <v>45832</v>
      </c>
      <c r="P128" s="35">
        <v>45838</v>
      </c>
      <c r="Q128" s="37"/>
      <c r="R128" s="38"/>
      <c r="S128" s="33"/>
      <c r="T128" s="39">
        <v>299000</v>
      </c>
      <c r="U128" s="40" t="s">
        <v>61</v>
      </c>
      <c r="V128" s="41"/>
      <c r="W128" s="42" t="str">
        <f ca="1">IFERROR(__xludf.DUMMYFUNCTION("""COMPUTED_VALUE"""),"MA- AL")</f>
        <v>MA- AL</v>
      </c>
      <c r="X128" s="42" t="str">
        <f ca="1"/>
        <v>ON-MA- AL-00011900+7-6281904501876</v>
      </c>
      <c r="Y128" s="40" t="s">
        <v>50</v>
      </c>
      <c r="Z128" s="40" t="s">
        <v>214</v>
      </c>
      <c r="AA128" s="23" t="str">
        <v>https://wa.me/6281904501876</v>
      </c>
      <c r="AB128" s="28" t="s">
        <v>1001</v>
      </c>
      <c r="AC128" s="28"/>
      <c r="AD128" s="28" t="s">
        <v>690</v>
      </c>
      <c r="AE128" s="28"/>
      <c r="AF128" s="29"/>
      <c r="AG128" s="29"/>
    </row>
    <row r="129" spans="1:33" ht="15.75" customHeight="1">
      <c r="A129" s="32" t="s">
        <v>196</v>
      </c>
      <c r="B129" s="33">
        <v>132</v>
      </c>
      <c r="C129" s="34" t="s">
        <v>1002</v>
      </c>
      <c r="D129" s="35">
        <v>45829.831416840279</v>
      </c>
      <c r="E129" s="43">
        <v>45829</v>
      </c>
      <c r="F129" s="32" t="s">
        <v>1003</v>
      </c>
      <c r="G129" s="32" t="s">
        <v>1004</v>
      </c>
      <c r="H129" s="32" t="s">
        <v>1005</v>
      </c>
      <c r="I129" s="36" t="s">
        <v>1006</v>
      </c>
      <c r="J129" s="32"/>
      <c r="K129" s="32" t="s">
        <v>1007</v>
      </c>
      <c r="L129" s="32" t="s">
        <v>1008</v>
      </c>
      <c r="M129" s="32" t="s">
        <v>1009</v>
      </c>
      <c r="N129" s="33">
        <v>5</v>
      </c>
      <c r="O129" s="35">
        <v>45832</v>
      </c>
      <c r="P129" s="35">
        <v>45836</v>
      </c>
      <c r="Q129" s="37"/>
      <c r="R129" s="38"/>
      <c r="S129" s="33"/>
      <c r="T129" s="39">
        <v>197000</v>
      </c>
      <c r="U129" s="40" t="s">
        <v>61</v>
      </c>
      <c r="V129" s="41"/>
      <c r="W129" s="42" t="str">
        <f ca="1">IFERROR(__xludf.DUMMYFUNCTION("""COMPUTED_VALUE"""),"Abadi Tehnik")</f>
        <v>Abadi Tehnik</v>
      </c>
      <c r="X129" s="42" t="str">
        <f ca="1"/>
        <v>ON-Abadi Tehnik-00011900+5-6285711667433</v>
      </c>
      <c r="Y129" s="40" t="s">
        <v>50</v>
      </c>
      <c r="Z129" s="40" t="s">
        <v>277</v>
      </c>
      <c r="AA129" s="23" t="str">
        <v>https://wa.me/6285711667433</v>
      </c>
      <c r="AB129" s="28" t="s">
        <v>1010</v>
      </c>
      <c r="AD129" s="28" t="s">
        <v>690</v>
      </c>
      <c r="AE129" s="28"/>
      <c r="AF129" s="29"/>
      <c r="AG129" s="29"/>
    </row>
    <row r="130" spans="1:33" ht="15.75" customHeight="1">
      <c r="A130" s="32" t="s">
        <v>621</v>
      </c>
      <c r="B130" s="33">
        <v>133</v>
      </c>
      <c r="C130" s="34" t="s">
        <v>1011</v>
      </c>
      <c r="D130" s="35">
        <v>45830.284270208329</v>
      </c>
      <c r="E130" s="43">
        <v>45816</v>
      </c>
      <c r="F130" s="32" t="s">
        <v>1012</v>
      </c>
      <c r="G130" s="32" t="s">
        <v>1013</v>
      </c>
      <c r="H130" s="32" t="s">
        <v>1014</v>
      </c>
      <c r="I130" s="36" t="s">
        <v>1015</v>
      </c>
      <c r="J130" s="32" t="s">
        <v>1016</v>
      </c>
      <c r="K130" s="32" t="s">
        <v>173</v>
      </c>
      <c r="L130" s="32"/>
      <c r="M130" s="32"/>
      <c r="N130" s="33">
        <v>5</v>
      </c>
      <c r="O130" s="35"/>
      <c r="P130" s="35"/>
      <c r="Q130" s="37"/>
      <c r="R130" s="38"/>
      <c r="S130" s="33"/>
      <c r="T130" s="39">
        <v>197000</v>
      </c>
      <c r="U130" s="40" t="s">
        <v>49</v>
      </c>
      <c r="V130" s="41"/>
      <c r="W130" s="42" t="str">
        <f ca="1">IFERROR(__xludf.DUMMYFUNCTION("""COMPUTED_VALUE"""),"BMT (Bangun")</f>
        <v>BMT (Bangun</v>
      </c>
      <c r="X130" s="42" t="str">
        <f ca="1"/>
        <v>ON-BMT (Bangun-00011900+5-6287874945781</v>
      </c>
      <c r="Y130" s="40"/>
      <c r="Z130" s="40"/>
      <c r="AA130" s="23" t="str">
        <v>https://wa.me/6287874945781</v>
      </c>
      <c r="AB130" s="28"/>
      <c r="AC130" s="28"/>
      <c r="AD130" s="28"/>
      <c r="AE130" s="28"/>
      <c r="AF130" s="29"/>
      <c r="AG130" s="29"/>
    </row>
    <row r="131" spans="1:33" ht="15.75" customHeight="1">
      <c r="A131" s="32" t="s">
        <v>52</v>
      </c>
      <c r="B131" s="33">
        <v>134</v>
      </c>
      <c r="C131" s="34" t="s">
        <v>1017</v>
      </c>
      <c r="D131" s="35">
        <v>45830.364854502317</v>
      </c>
      <c r="E131" s="43">
        <v>45830</v>
      </c>
      <c r="F131" s="32" t="s">
        <v>566</v>
      </c>
      <c r="G131" s="32" t="s">
        <v>1018</v>
      </c>
      <c r="H131" s="32" t="s">
        <v>568</v>
      </c>
      <c r="I131" s="36" t="s">
        <v>569</v>
      </c>
      <c r="J131" s="32"/>
      <c r="K131" s="32" t="s">
        <v>570</v>
      </c>
      <c r="L131" s="32"/>
      <c r="M131" s="32"/>
      <c r="N131" s="33">
        <v>10</v>
      </c>
      <c r="O131" s="35"/>
      <c r="P131" s="35"/>
      <c r="Q131" s="37"/>
      <c r="R131" s="38"/>
      <c r="S131" s="33"/>
      <c r="T131" s="39">
        <v>375000</v>
      </c>
      <c r="U131" s="40" t="s">
        <v>61</v>
      </c>
      <c r="V131" s="41"/>
      <c r="W131" s="42" t="str">
        <f ca="1">IFERROR(__xludf.DUMMYFUNCTION("""COMPUTED_VALUE"""),"https")</f>
        <v>https</v>
      </c>
      <c r="X131" s="42" t="str">
        <f ca="1"/>
        <v>ON-https-00011900+10-6285220216325</v>
      </c>
      <c r="Y131" s="40"/>
      <c r="Z131" s="40"/>
      <c r="AA131" s="23" t="str">
        <v>https://wa.me/6285220216325</v>
      </c>
      <c r="AB131" s="28"/>
      <c r="AC131" s="28"/>
      <c r="AD131" s="28"/>
      <c r="AE131" s="28"/>
      <c r="AF131" s="29"/>
      <c r="AG131" s="29"/>
    </row>
    <row r="132" spans="1:33" ht="15.75" customHeight="1">
      <c r="A132" s="32" t="s">
        <v>196</v>
      </c>
      <c r="B132" s="33">
        <v>135</v>
      </c>
      <c r="C132" s="34" t="s">
        <v>1019</v>
      </c>
      <c r="D132" s="44">
        <v>46060</v>
      </c>
      <c r="E132" s="43">
        <v>45828</v>
      </c>
      <c r="F132" s="32" t="s">
        <v>1020</v>
      </c>
      <c r="G132" s="32" t="s">
        <v>1021</v>
      </c>
      <c r="H132" s="32" t="s">
        <v>1022</v>
      </c>
      <c r="I132" s="36" t="s">
        <v>1023</v>
      </c>
      <c r="J132" s="32"/>
      <c r="K132" s="32" t="s">
        <v>1024</v>
      </c>
      <c r="L132" s="32" t="s">
        <v>629</v>
      </c>
      <c r="M132" s="32" t="s">
        <v>1025</v>
      </c>
      <c r="N132" s="33">
        <v>14</v>
      </c>
      <c r="O132" s="35"/>
      <c r="P132" s="35"/>
      <c r="Q132" s="37"/>
      <c r="R132" s="38">
        <v>-1003470351325</v>
      </c>
      <c r="S132" s="33"/>
      <c r="T132" s="39">
        <v>910000</v>
      </c>
      <c r="U132" s="40" t="s">
        <v>115</v>
      </c>
      <c r="V132" s="47">
        <v>46060.376589224536</v>
      </c>
      <c r="W132" s="42" t="str">
        <f ca="1">IFERROR(__xludf.DUMMYFUNCTION("""COMPUTED_VALUE"""),"Deriano")</f>
        <v>Deriano</v>
      </c>
      <c r="X132" s="42" t="str">
        <f ca="1"/>
        <v>ON-Deriano-07022026+14-6282122880328</v>
      </c>
      <c r="Y132" s="40" t="s">
        <v>50</v>
      </c>
      <c r="Z132" s="40" t="s">
        <v>214</v>
      </c>
      <c r="AA132" s="23" t="str">
        <v>https://wa.me/6282122880328</v>
      </c>
      <c r="AB132" s="28" t="s">
        <v>1026</v>
      </c>
      <c r="AC132" s="28"/>
      <c r="AD132" s="28" t="s">
        <v>690</v>
      </c>
      <c r="AE132" s="28"/>
      <c r="AF132" s="29"/>
      <c r="AG132" s="29"/>
    </row>
    <row r="133" spans="1:33" ht="15.75" customHeight="1">
      <c r="A133" s="32" t="s">
        <v>196</v>
      </c>
      <c r="B133" s="33">
        <v>136</v>
      </c>
      <c r="C133" s="34" t="s">
        <v>1027</v>
      </c>
      <c r="D133" s="35">
        <v>45830.625067141205</v>
      </c>
      <c r="E133" s="43">
        <v>45830</v>
      </c>
      <c r="F133" s="32" t="s">
        <v>1028</v>
      </c>
      <c r="G133" s="32" t="s">
        <v>1029</v>
      </c>
      <c r="H133" s="32" t="s">
        <v>1030</v>
      </c>
      <c r="I133" s="36" t="s">
        <v>1031</v>
      </c>
      <c r="J133" s="32" t="s">
        <v>1032</v>
      </c>
      <c r="K133" s="32" t="s">
        <v>1033</v>
      </c>
      <c r="L133" s="32" t="s">
        <v>382</v>
      </c>
      <c r="M133" s="32" t="s">
        <v>382</v>
      </c>
      <c r="N133" s="33">
        <v>5</v>
      </c>
      <c r="O133" s="35">
        <v>45832</v>
      </c>
      <c r="P133" s="35">
        <v>45836</v>
      </c>
      <c r="Q133" s="37"/>
      <c r="R133" s="38"/>
      <c r="S133" s="33"/>
      <c r="T133" s="39">
        <v>197000</v>
      </c>
      <c r="U133" s="40" t="s">
        <v>115</v>
      </c>
      <c r="V133" s="41"/>
      <c r="W133" s="42" t="str">
        <f ca="1">IFERROR(__xludf.DUMMYFUNCTION("""COMPUTED_VALUE"""),"Terafis Sinergi")</f>
        <v>Terafis Sinergi</v>
      </c>
      <c r="X133" s="42" t="str">
        <f ca="1"/>
        <v>ON-Terafis Sinergi-00011900+5-6281253792753</v>
      </c>
      <c r="Y133" s="40" t="s">
        <v>50</v>
      </c>
      <c r="Z133" s="40" t="s">
        <v>639</v>
      </c>
      <c r="AA133" s="23" t="str">
        <v>https://wa.me/6281253792753</v>
      </c>
      <c r="AB133" s="28" t="s">
        <v>1034</v>
      </c>
      <c r="AC133" s="28"/>
      <c r="AD133" s="28" t="s">
        <v>690</v>
      </c>
      <c r="AE133" s="28"/>
      <c r="AF133" s="29"/>
      <c r="AG133" s="29"/>
    </row>
    <row r="134" spans="1:33" ht="15.75" customHeight="1">
      <c r="A134" s="32" t="s">
        <v>196</v>
      </c>
      <c r="B134" s="33">
        <v>138</v>
      </c>
      <c r="C134" s="34" t="s">
        <v>1035</v>
      </c>
      <c r="D134" s="35">
        <v>45830.720043368055</v>
      </c>
      <c r="E134" s="43">
        <v>45830</v>
      </c>
      <c r="F134" s="32" t="s">
        <v>1036</v>
      </c>
      <c r="G134" s="32" t="s">
        <v>1037</v>
      </c>
      <c r="H134" s="32" t="s">
        <v>1038</v>
      </c>
      <c r="I134" s="36" t="s">
        <v>1039</v>
      </c>
      <c r="J134" s="32" t="s">
        <v>1040</v>
      </c>
      <c r="K134" s="32" t="s">
        <v>1041</v>
      </c>
      <c r="L134" s="32" t="s">
        <v>467</v>
      </c>
      <c r="M134" s="32" t="s">
        <v>382</v>
      </c>
      <c r="N134" s="33">
        <v>5</v>
      </c>
      <c r="O134" s="35">
        <v>45832</v>
      </c>
      <c r="P134" s="35">
        <v>45836</v>
      </c>
      <c r="Q134" s="37"/>
      <c r="R134" s="38"/>
      <c r="S134" s="33"/>
      <c r="T134" s="39">
        <v>197000</v>
      </c>
      <c r="U134" s="40" t="s">
        <v>115</v>
      </c>
      <c r="V134" s="41"/>
      <c r="W134" s="42" t="str">
        <f ca="1">IFERROR(__xludf.DUMMYFUNCTION("""COMPUTED_VALUE"""),"Antoni kontruksi")</f>
        <v>Antoni kontruksi</v>
      </c>
      <c r="X134" s="42" t="str">
        <f ca="1"/>
        <v>ON-Antoni kontruksi-00011900+5-6281383434602</v>
      </c>
      <c r="Y134" s="40" t="s">
        <v>293</v>
      </c>
      <c r="Z134" s="40" t="s">
        <v>241</v>
      </c>
      <c r="AA134" s="23" t="str">
        <v>https://wa.me/6281383434602</v>
      </c>
      <c r="AB134" s="28" t="s">
        <v>1042</v>
      </c>
      <c r="AC134" s="28"/>
      <c r="AD134" s="28" t="s">
        <v>690</v>
      </c>
      <c r="AE134" s="28"/>
      <c r="AF134" s="29"/>
      <c r="AG134" s="29"/>
    </row>
    <row r="135" spans="1:33" ht="15.75" customHeight="1">
      <c r="A135" s="32" t="s">
        <v>52</v>
      </c>
      <c r="B135" s="33">
        <v>138</v>
      </c>
      <c r="C135" s="34" t="s">
        <v>1035</v>
      </c>
      <c r="D135" s="35">
        <v>45830.865712094906</v>
      </c>
      <c r="E135" s="43">
        <v>45830</v>
      </c>
      <c r="F135" s="32" t="s">
        <v>1043</v>
      </c>
      <c r="G135" s="32" t="s">
        <v>1044</v>
      </c>
      <c r="H135" s="32" t="s">
        <v>1045</v>
      </c>
      <c r="I135" s="36" t="s">
        <v>1046</v>
      </c>
      <c r="J135" s="32" t="s">
        <v>1047</v>
      </c>
      <c r="K135" s="32" t="s">
        <v>1048</v>
      </c>
      <c r="L135" s="32" t="s">
        <v>1049</v>
      </c>
      <c r="M135" s="32" t="s">
        <v>285</v>
      </c>
      <c r="N135" s="33">
        <v>30</v>
      </c>
      <c r="O135" s="35"/>
      <c r="P135" s="35"/>
      <c r="Q135" s="37"/>
      <c r="R135" s="38"/>
      <c r="S135" s="33"/>
      <c r="T135" s="39">
        <v>1000000</v>
      </c>
      <c r="U135" s="40" t="s">
        <v>61</v>
      </c>
      <c r="V135" s="41"/>
      <c r="W135" s="42" t="str">
        <f ca="1">IFERROR(__xludf.DUMMYFUNCTION("""COMPUTED_VALUE"""),"Toko Emas")</f>
        <v>Toko Emas</v>
      </c>
      <c r="X135" s="42" t="str">
        <f ca="1"/>
        <v>ON-Toko Emas-00011900+30-6281263113266</v>
      </c>
      <c r="Y135" s="40"/>
      <c r="Z135" s="40"/>
      <c r="AA135" s="23" t="str">
        <v>https://wa.me/6281263113266</v>
      </c>
      <c r="AB135" s="28"/>
      <c r="AC135" s="28"/>
      <c r="AD135" s="28"/>
      <c r="AE135" s="28"/>
      <c r="AF135" s="29"/>
      <c r="AG135" s="29"/>
    </row>
    <row r="136" spans="1:33" ht="15.75" customHeight="1">
      <c r="A136" s="32" t="s">
        <v>196</v>
      </c>
      <c r="B136" s="33">
        <v>139</v>
      </c>
      <c r="C136" s="34" t="s">
        <v>1050</v>
      </c>
      <c r="D136" s="35">
        <v>45831.383168518514</v>
      </c>
      <c r="E136" s="43">
        <v>45831</v>
      </c>
      <c r="F136" s="32" t="s">
        <v>1051</v>
      </c>
      <c r="G136" s="32" t="s">
        <v>1052</v>
      </c>
      <c r="H136" s="32" t="s">
        <v>338</v>
      </c>
      <c r="I136" s="36" t="s">
        <v>1053</v>
      </c>
      <c r="J136" s="32" t="s">
        <v>1054</v>
      </c>
      <c r="K136" s="32" t="s">
        <v>1055</v>
      </c>
      <c r="L136" s="32" t="s">
        <v>1056</v>
      </c>
      <c r="M136" s="32" t="s">
        <v>382</v>
      </c>
      <c r="N136" s="33">
        <v>7</v>
      </c>
      <c r="O136" s="35">
        <v>45836</v>
      </c>
      <c r="P136" s="35">
        <v>45842</v>
      </c>
      <c r="Q136" s="37"/>
      <c r="R136" s="38"/>
      <c r="S136" s="33"/>
      <c r="T136" s="39">
        <v>297000</v>
      </c>
      <c r="U136" s="40" t="s">
        <v>115</v>
      </c>
      <c r="V136" s="41"/>
      <c r="W136" s="42" t="str">
        <f ca="1">IFERROR(__xludf.DUMMYFUNCTION("""COMPUTED_VALUE"""),"CV TRUNOJOYO")</f>
        <v>CV TRUNOJOYO</v>
      </c>
      <c r="X136" s="42" t="str">
        <f ca="1"/>
        <v>ON-CV TRUNOJOYO-00011900+7-6282385989828</v>
      </c>
      <c r="Y136" s="40" t="s">
        <v>293</v>
      </c>
      <c r="Z136" s="40" t="s">
        <v>1057</v>
      </c>
      <c r="AA136" s="23" t="str">
        <v>https://wa.me/6282385989828</v>
      </c>
      <c r="AB136" s="28" t="s">
        <v>1058</v>
      </c>
      <c r="AC136" s="28"/>
      <c r="AD136" s="28" t="s">
        <v>690</v>
      </c>
      <c r="AE136" s="28"/>
      <c r="AF136" s="29"/>
      <c r="AG136" s="29"/>
    </row>
    <row r="137" spans="1:33" ht="15.75" customHeight="1">
      <c r="A137" s="32" t="s">
        <v>196</v>
      </c>
      <c r="B137" s="33">
        <v>140</v>
      </c>
      <c r="C137" s="34" t="s">
        <v>1059</v>
      </c>
      <c r="D137" s="35">
        <v>45831.414439328699</v>
      </c>
      <c r="E137" s="43">
        <v>45829</v>
      </c>
      <c r="F137" s="32" t="s">
        <v>1060</v>
      </c>
      <c r="G137" s="32" t="s">
        <v>1061</v>
      </c>
      <c r="H137" s="32" t="s">
        <v>879</v>
      </c>
      <c r="I137" s="36" t="s">
        <v>1062</v>
      </c>
      <c r="J137" s="32"/>
      <c r="K137" s="32" t="s">
        <v>1063</v>
      </c>
      <c r="L137" s="32"/>
      <c r="M137" s="32" t="s">
        <v>1064</v>
      </c>
      <c r="N137" s="33">
        <v>14</v>
      </c>
      <c r="O137" s="35">
        <v>45831</v>
      </c>
      <c r="P137" s="35">
        <v>45844</v>
      </c>
      <c r="Q137" s="37"/>
      <c r="R137" s="38"/>
      <c r="S137" s="33"/>
      <c r="T137" s="39">
        <v>550000</v>
      </c>
      <c r="U137" s="40" t="s">
        <v>49</v>
      </c>
      <c r="V137" s="41"/>
      <c r="W137" s="42" t="str">
        <f ca="1">IFERROR(__xludf.DUMMYFUNCTION("""COMPUTED_VALUE"""),"Mebel Yuca")</f>
        <v>Mebel Yuca</v>
      </c>
      <c r="X137" s="42" t="str">
        <f ca="1"/>
        <v>ON-Mebel Yuca-00011900+14-6282399721881</v>
      </c>
      <c r="Y137" s="40" t="s">
        <v>62</v>
      </c>
      <c r="Z137" s="40" t="s">
        <v>214</v>
      </c>
      <c r="AA137" s="23" t="str">
        <v>https://wa.me/6282399721881</v>
      </c>
      <c r="AB137" s="28" t="s">
        <v>1065</v>
      </c>
      <c r="AC137" s="28"/>
      <c r="AD137" s="28" t="s">
        <v>690</v>
      </c>
      <c r="AE137" s="28"/>
      <c r="AF137" s="29"/>
      <c r="AG137" s="29"/>
    </row>
    <row r="138" spans="1:33" ht="15.75" customHeight="1">
      <c r="A138" s="32" t="s">
        <v>196</v>
      </c>
      <c r="B138" s="33">
        <v>141</v>
      </c>
      <c r="C138" s="34" t="s">
        <v>1066</v>
      </c>
      <c r="D138" s="35">
        <v>45831.60039493056</v>
      </c>
      <c r="E138" s="43">
        <v>45822</v>
      </c>
      <c r="F138" s="32" t="s">
        <v>1067</v>
      </c>
      <c r="G138" s="32" t="s">
        <v>1068</v>
      </c>
      <c r="H138" s="32" t="s">
        <v>495</v>
      </c>
      <c r="I138" s="36" t="s">
        <v>1069</v>
      </c>
      <c r="J138" s="32"/>
      <c r="K138" s="32" t="s">
        <v>1070</v>
      </c>
      <c r="L138" s="32" t="s">
        <v>1071</v>
      </c>
      <c r="M138" s="32" t="s">
        <v>382</v>
      </c>
      <c r="N138" s="33">
        <v>5</v>
      </c>
      <c r="O138" s="35">
        <v>45833</v>
      </c>
      <c r="P138" s="35">
        <v>45837</v>
      </c>
      <c r="Q138" s="37"/>
      <c r="R138" s="38"/>
      <c r="S138" s="33"/>
      <c r="T138" s="39">
        <v>197000</v>
      </c>
      <c r="U138" s="40" t="s">
        <v>115</v>
      </c>
      <c r="V138" s="41"/>
      <c r="W138" s="42" t="str">
        <f ca="1">IFERROR(__xludf.DUMMYFUNCTION("""COMPUTED_VALUE"""),"PT Cahaya")</f>
        <v>PT Cahaya</v>
      </c>
      <c r="X138" s="42" t="str">
        <f ca="1"/>
        <v>ON-PT Cahaya-00011900+5-6281293309300</v>
      </c>
      <c r="Y138" s="40" t="s">
        <v>293</v>
      </c>
      <c r="Z138" s="40" t="s">
        <v>214</v>
      </c>
      <c r="AA138" s="23" t="str">
        <v>https://wa.me/6281293309300</v>
      </c>
      <c r="AB138" s="28" t="s">
        <v>1072</v>
      </c>
      <c r="AC138" s="28"/>
      <c r="AD138" s="28" t="s">
        <v>690</v>
      </c>
      <c r="AE138" s="28"/>
      <c r="AF138" s="29"/>
      <c r="AG138" s="29"/>
    </row>
    <row r="139" spans="1:33" ht="15.75" customHeight="1">
      <c r="A139" s="32" t="s">
        <v>621</v>
      </c>
      <c r="B139" s="33">
        <v>142</v>
      </c>
      <c r="C139" s="34" t="s">
        <v>1073</v>
      </c>
      <c r="D139" s="35">
        <v>45831.804718506944</v>
      </c>
      <c r="E139" s="43">
        <v>45829</v>
      </c>
      <c r="F139" s="32" t="s">
        <v>1074</v>
      </c>
      <c r="G139" s="32" t="s">
        <v>1075</v>
      </c>
      <c r="H139" s="32" t="s">
        <v>1076</v>
      </c>
      <c r="I139" s="36" t="s">
        <v>1077</v>
      </c>
      <c r="J139" s="32" t="s">
        <v>1078</v>
      </c>
      <c r="K139" s="32" t="s">
        <v>1079</v>
      </c>
      <c r="L139" s="32"/>
      <c r="M139" s="32" t="s">
        <v>1080</v>
      </c>
      <c r="N139" s="33">
        <v>5</v>
      </c>
      <c r="O139" s="35">
        <v>45833</v>
      </c>
      <c r="P139" s="35">
        <v>45837</v>
      </c>
      <c r="Q139" s="37"/>
      <c r="R139" s="38"/>
      <c r="S139" s="33"/>
      <c r="T139" s="39">
        <v>197000</v>
      </c>
      <c r="U139" s="40" t="s">
        <v>49</v>
      </c>
      <c r="V139" s="41"/>
      <c r="W139" s="42" t="str">
        <f ca="1">IFERROR(__xludf.DUMMYFUNCTION("""COMPUTED_VALUE"""),"Langgeng salon")</f>
        <v>Langgeng salon</v>
      </c>
      <c r="X139" s="42" t="str">
        <f ca="1"/>
        <v>ON-Langgeng salon-00011900+5-6281315230027</v>
      </c>
      <c r="Y139" s="40" t="s">
        <v>62</v>
      </c>
      <c r="Z139" s="40" t="s">
        <v>214</v>
      </c>
      <c r="AA139" s="23" t="str">
        <v>https://wa.me/6281315230027</v>
      </c>
      <c r="AB139" s="28" t="s">
        <v>1081</v>
      </c>
      <c r="AC139" s="28"/>
      <c r="AD139" s="28"/>
      <c r="AE139" s="28"/>
      <c r="AF139" s="29"/>
      <c r="AG139" s="29"/>
    </row>
    <row r="140" spans="1:33" ht="15.75" customHeight="1">
      <c r="A140" s="32" t="s">
        <v>52</v>
      </c>
      <c r="B140" s="33">
        <v>144</v>
      </c>
      <c r="C140" s="34" t="s">
        <v>1082</v>
      </c>
      <c r="D140" s="35">
        <v>45831.811402222222</v>
      </c>
      <c r="E140" s="43">
        <v>45831</v>
      </c>
      <c r="F140" s="32" t="s">
        <v>542</v>
      </c>
      <c r="G140" s="32" t="s">
        <v>1083</v>
      </c>
      <c r="H140" s="32" t="s">
        <v>1084</v>
      </c>
      <c r="I140" s="36" t="s">
        <v>545</v>
      </c>
      <c r="J140" s="32"/>
      <c r="K140" s="32" t="s">
        <v>1085</v>
      </c>
      <c r="L140" s="32" t="s">
        <v>166</v>
      </c>
      <c r="M140" s="32" t="s">
        <v>131</v>
      </c>
      <c r="N140" s="33">
        <v>5</v>
      </c>
      <c r="O140" s="35"/>
      <c r="P140" s="35"/>
      <c r="Q140" s="37"/>
      <c r="R140" s="38"/>
      <c r="S140" s="33"/>
      <c r="T140" s="39">
        <v>197000</v>
      </c>
      <c r="U140" s="40" t="s">
        <v>61</v>
      </c>
      <c r="V140" s="41"/>
      <c r="W140" s="42" t="str">
        <f ca="1">IFERROR(__xludf.DUMMYFUNCTION("""COMPUTED_VALUE"""),"Pt Natama")</f>
        <v>Pt Natama</v>
      </c>
      <c r="X140" s="42" t="str">
        <f ca="1"/>
        <v>ON-Pt Natama-00011900+5-6285261023204</v>
      </c>
      <c r="Y140" s="40"/>
      <c r="Z140" s="40"/>
      <c r="AA140" s="23" t="str">
        <v>https://wa.me/6285261023204</v>
      </c>
      <c r="AB140" s="28"/>
      <c r="AC140" s="28"/>
      <c r="AD140" s="28"/>
      <c r="AE140" s="28"/>
      <c r="AF140" s="29"/>
      <c r="AG140" s="29"/>
    </row>
    <row r="141" spans="1:33" ht="15.75" customHeight="1">
      <c r="A141" s="32" t="s">
        <v>196</v>
      </c>
      <c r="B141" s="33">
        <v>145</v>
      </c>
      <c r="C141" s="34" t="s">
        <v>1086</v>
      </c>
      <c r="D141" s="35">
        <v>45831.813867986115</v>
      </c>
      <c r="E141" s="43">
        <v>45831</v>
      </c>
      <c r="F141" s="32" t="s">
        <v>1087</v>
      </c>
      <c r="G141" s="32" t="s">
        <v>1088</v>
      </c>
      <c r="H141" s="32" t="s">
        <v>1089</v>
      </c>
      <c r="I141" s="36" t="s">
        <v>1090</v>
      </c>
      <c r="J141" s="32" t="s">
        <v>1091</v>
      </c>
      <c r="K141" s="32" t="s">
        <v>1092</v>
      </c>
      <c r="L141" s="32" t="s">
        <v>1093</v>
      </c>
      <c r="M141" s="32" t="s">
        <v>285</v>
      </c>
      <c r="N141" s="33">
        <v>5</v>
      </c>
      <c r="O141" s="35">
        <v>45836</v>
      </c>
      <c r="P141" s="35">
        <v>45840</v>
      </c>
      <c r="Q141" s="37"/>
      <c r="R141" s="38"/>
      <c r="S141" s="33"/>
      <c r="T141" s="39">
        <v>197000</v>
      </c>
      <c r="U141" s="40" t="s">
        <v>61</v>
      </c>
      <c r="V141" s="41"/>
      <c r="W141" s="42" t="str">
        <f ca="1">IFERROR(__xludf.DUMMYFUNCTION("""COMPUTED_VALUE"""),"Perumahan Puri")</f>
        <v>Perumahan Puri</v>
      </c>
      <c r="X141" s="42" t="str">
        <f ca="1"/>
        <v>ON-Perumahan Puri-00011900+5-6282214481223</v>
      </c>
      <c r="Y141" s="40" t="s">
        <v>744</v>
      </c>
      <c r="Z141" s="40" t="s">
        <v>214</v>
      </c>
      <c r="AA141" s="23" t="str">
        <v>https://wa.me/6282214481223</v>
      </c>
      <c r="AB141" s="28"/>
      <c r="AC141" s="28"/>
      <c r="AD141" s="28" t="s">
        <v>690</v>
      </c>
      <c r="AE141" s="28"/>
      <c r="AF141" s="29"/>
      <c r="AG141" s="29"/>
    </row>
    <row r="142" spans="1:33" ht="15.75" customHeight="1">
      <c r="A142" s="32" t="s">
        <v>196</v>
      </c>
      <c r="B142" s="33">
        <v>146</v>
      </c>
      <c r="C142" s="34" t="s">
        <v>1094</v>
      </c>
      <c r="D142" s="35">
        <v>45831.816904513893</v>
      </c>
      <c r="E142" s="43">
        <v>45831</v>
      </c>
      <c r="F142" s="32" t="s">
        <v>1095</v>
      </c>
      <c r="G142" s="32" t="s">
        <v>1096</v>
      </c>
      <c r="H142" s="32" t="s">
        <v>1097</v>
      </c>
      <c r="I142" s="36" t="s">
        <v>1098</v>
      </c>
      <c r="J142" s="32" t="s">
        <v>1099</v>
      </c>
      <c r="K142" s="32" t="s">
        <v>1100</v>
      </c>
      <c r="L142" s="32" t="s">
        <v>679</v>
      </c>
      <c r="M142" s="32" t="s">
        <v>131</v>
      </c>
      <c r="N142" s="33">
        <v>5</v>
      </c>
      <c r="O142" s="35">
        <v>45833</v>
      </c>
      <c r="P142" s="35">
        <v>45837</v>
      </c>
      <c r="Q142" s="37"/>
      <c r="R142" s="38"/>
      <c r="S142" s="33"/>
      <c r="T142" s="39">
        <v>197000</v>
      </c>
      <c r="U142" s="40" t="s">
        <v>61</v>
      </c>
      <c r="V142" s="41"/>
      <c r="W142" s="42" t="str">
        <f ca="1">IFERROR(__xludf.DUMMYFUNCTION("""COMPUTED_VALUE"""),"Toko Maju")</f>
        <v>Toko Maju</v>
      </c>
      <c r="X142" s="42" t="str">
        <f ca="1"/>
        <v>ON-Toko Maju-00011900+5-6282325874670</v>
      </c>
      <c r="Y142" s="40" t="s">
        <v>62</v>
      </c>
      <c r="Z142" s="40" t="s">
        <v>214</v>
      </c>
      <c r="AA142" s="23" t="str">
        <v>https://wa.me/6282325874670</v>
      </c>
      <c r="AB142" s="28" t="s">
        <v>1101</v>
      </c>
      <c r="AC142" s="28"/>
      <c r="AD142" s="28" t="s">
        <v>690</v>
      </c>
      <c r="AE142" s="28"/>
      <c r="AF142" s="29"/>
      <c r="AG142" s="29"/>
    </row>
    <row r="143" spans="1:33" ht="15.75" customHeight="1">
      <c r="A143" s="32" t="s">
        <v>196</v>
      </c>
      <c r="B143" s="33">
        <v>147</v>
      </c>
      <c r="C143" s="34" t="s">
        <v>1102</v>
      </c>
      <c r="D143" s="35">
        <v>45831.824099375001</v>
      </c>
      <c r="E143" s="43">
        <v>45831</v>
      </c>
      <c r="F143" s="32" t="s">
        <v>1103</v>
      </c>
      <c r="G143" s="32" t="s">
        <v>1104</v>
      </c>
      <c r="H143" s="32" t="s">
        <v>1105</v>
      </c>
      <c r="I143" s="36" t="s">
        <v>1106</v>
      </c>
      <c r="J143" s="32" t="s">
        <v>1107</v>
      </c>
      <c r="K143" s="32" t="s">
        <v>1108</v>
      </c>
      <c r="L143" s="32" t="s">
        <v>85</v>
      </c>
      <c r="M143" s="32" t="s">
        <v>131</v>
      </c>
      <c r="N143" s="33">
        <v>5</v>
      </c>
      <c r="O143" s="35">
        <v>45834</v>
      </c>
      <c r="P143" s="35">
        <v>45838</v>
      </c>
      <c r="Q143" s="37"/>
      <c r="R143" s="38"/>
      <c r="S143" s="33"/>
      <c r="T143" s="39">
        <v>197000</v>
      </c>
      <c r="U143" s="40" t="s">
        <v>61</v>
      </c>
      <c r="V143" s="41"/>
      <c r="W143" s="42" t="str">
        <f ca="1">IFERROR(__xludf.DUMMYFUNCTION("""COMPUTED_VALUE"""),"Doni PVC")</f>
        <v>Doni PVC</v>
      </c>
      <c r="X143" s="42" t="str">
        <f ca="1"/>
        <v>ON-Doni PVC-00011900+5-6281374115054</v>
      </c>
      <c r="Y143" s="40" t="s">
        <v>293</v>
      </c>
      <c r="Z143" s="40" t="s">
        <v>1057</v>
      </c>
      <c r="AA143" s="23" t="str">
        <v>https://wa.me/6281374115054</v>
      </c>
      <c r="AB143" s="28" t="s">
        <v>1109</v>
      </c>
      <c r="AC143" s="28"/>
      <c r="AD143" s="28" t="s">
        <v>690</v>
      </c>
      <c r="AE143" s="28"/>
      <c r="AF143" s="29"/>
      <c r="AG143" s="29"/>
    </row>
    <row r="144" spans="1:33" ht="15.75" customHeight="1">
      <c r="A144" s="32" t="s">
        <v>196</v>
      </c>
      <c r="B144" s="33">
        <v>148</v>
      </c>
      <c r="C144" s="34" t="s">
        <v>1110</v>
      </c>
      <c r="D144" s="35">
        <v>45831.83109172454</v>
      </c>
      <c r="E144" s="43">
        <v>45831</v>
      </c>
      <c r="F144" s="32" t="s">
        <v>1111</v>
      </c>
      <c r="G144" s="32" t="s">
        <v>1112</v>
      </c>
      <c r="H144" s="32" t="s">
        <v>1113</v>
      </c>
      <c r="I144" s="36" t="s">
        <v>1114</v>
      </c>
      <c r="J144" s="32" t="s">
        <v>1115</v>
      </c>
      <c r="K144" s="32" t="s">
        <v>1116</v>
      </c>
      <c r="L144" s="32" t="s">
        <v>1117</v>
      </c>
      <c r="M144" s="32" t="s">
        <v>38</v>
      </c>
      <c r="N144" s="33">
        <v>5</v>
      </c>
      <c r="O144" s="35">
        <v>45833</v>
      </c>
      <c r="P144" s="35">
        <v>45837</v>
      </c>
      <c r="Q144" s="37"/>
      <c r="R144" s="38"/>
      <c r="S144" s="33"/>
      <c r="T144" s="39">
        <v>197000</v>
      </c>
      <c r="U144" s="40" t="s">
        <v>61</v>
      </c>
      <c r="V144" s="41"/>
      <c r="W144" s="42" t="str">
        <f ca="1">IFERROR(__xludf.DUMMYFUNCTION("""COMPUTED_VALUE"""),"Remnaskin")</f>
        <v>Remnaskin</v>
      </c>
      <c r="X144" s="42" t="str">
        <f ca="1"/>
        <v>ON-Remnaskin-00011900+5-6285777110340</v>
      </c>
      <c r="Y144" s="40" t="s">
        <v>50</v>
      </c>
      <c r="Z144" s="40" t="s">
        <v>327</v>
      </c>
      <c r="AA144" s="23" t="str">
        <v>https://wa.me/6285777110340</v>
      </c>
      <c r="AB144" s="28" t="s">
        <v>1118</v>
      </c>
      <c r="AC144" s="28"/>
      <c r="AD144" s="28" t="s">
        <v>690</v>
      </c>
      <c r="AE144" s="28"/>
      <c r="AF144" s="29"/>
      <c r="AG144" s="29"/>
    </row>
    <row r="145" spans="1:33" ht="15.75" customHeight="1">
      <c r="A145" s="32" t="s">
        <v>52</v>
      </c>
      <c r="B145" s="33">
        <v>149</v>
      </c>
      <c r="C145" s="34" t="s">
        <v>1119</v>
      </c>
      <c r="D145" s="35">
        <v>45831.833683807869</v>
      </c>
      <c r="E145" s="43">
        <v>45831</v>
      </c>
      <c r="F145" s="32" t="s">
        <v>1120</v>
      </c>
      <c r="G145" s="32" t="s">
        <v>1018</v>
      </c>
      <c r="H145" s="32" t="s">
        <v>1121</v>
      </c>
      <c r="I145" s="36" t="s">
        <v>1122</v>
      </c>
      <c r="J145" s="32" t="s">
        <v>1123</v>
      </c>
      <c r="K145" s="32" t="s">
        <v>1124</v>
      </c>
      <c r="L145" s="32" t="s">
        <v>85</v>
      </c>
      <c r="M145" s="32" t="s">
        <v>131</v>
      </c>
      <c r="N145" s="33">
        <v>5</v>
      </c>
      <c r="O145" s="35"/>
      <c r="P145" s="35"/>
      <c r="Q145" s="37"/>
      <c r="R145" s="38"/>
      <c r="S145" s="33"/>
      <c r="T145" s="39">
        <v>197000</v>
      </c>
      <c r="U145" s="40" t="s">
        <v>61</v>
      </c>
      <c r="V145" s="41"/>
      <c r="W145" s="42" t="str">
        <f ca="1">IFERROR(__xludf.DUMMYFUNCTION("""COMPUTED_VALUE"""),"https")</f>
        <v>https</v>
      </c>
      <c r="X145" s="42" t="str">
        <f ca="1"/>
        <v>ON-https-00011900+5-6285722222257</v>
      </c>
      <c r="Y145" s="40"/>
      <c r="Z145" s="40"/>
      <c r="AA145" s="23" t="str">
        <v>https://wa.me/6285722222257</v>
      </c>
      <c r="AB145" s="28"/>
      <c r="AC145" s="28"/>
      <c r="AD145" s="28"/>
      <c r="AE145" s="28"/>
      <c r="AF145" s="29"/>
      <c r="AG145" s="29"/>
    </row>
    <row r="146" spans="1:33" ht="15.75" customHeight="1">
      <c r="A146" s="32" t="s">
        <v>196</v>
      </c>
      <c r="B146" s="33">
        <v>150</v>
      </c>
      <c r="C146" s="34" t="s">
        <v>1125</v>
      </c>
      <c r="D146" s="35">
        <v>45831.835652557871</v>
      </c>
      <c r="E146" s="43">
        <v>45831</v>
      </c>
      <c r="F146" s="32" t="s">
        <v>1126</v>
      </c>
      <c r="G146" s="32" t="s">
        <v>1127</v>
      </c>
      <c r="H146" s="32" t="s">
        <v>1128</v>
      </c>
      <c r="I146" s="36" t="s">
        <v>1129</v>
      </c>
      <c r="J146" s="32" t="s">
        <v>1130</v>
      </c>
      <c r="K146" s="32" t="s">
        <v>173</v>
      </c>
      <c r="L146" s="32" t="s">
        <v>85</v>
      </c>
      <c r="M146" s="32" t="s">
        <v>285</v>
      </c>
      <c r="N146" s="33">
        <v>5</v>
      </c>
      <c r="O146" s="35">
        <v>45835</v>
      </c>
      <c r="P146" s="35">
        <v>45839</v>
      </c>
      <c r="Q146" s="37"/>
      <c r="R146" s="38"/>
      <c r="S146" s="33"/>
      <c r="T146" s="39">
        <v>197000</v>
      </c>
      <c r="U146" s="40" t="s">
        <v>61</v>
      </c>
      <c r="V146" s="41"/>
      <c r="W146" s="42" t="str">
        <f ca="1">IFERROR(__xludf.DUMMYFUNCTION("""COMPUTED_VALUE"""),"Cipta Gading")</f>
        <v>Cipta Gading</v>
      </c>
      <c r="X146" s="42" t="str">
        <f ca="1"/>
        <v>ON-Cipta Gading-00011900+5-628158830325</v>
      </c>
      <c r="Y146" s="40" t="s">
        <v>50</v>
      </c>
      <c r="Z146" s="40" t="s">
        <v>1057</v>
      </c>
      <c r="AA146" s="23" t="str">
        <v>https://wa.me/628158830325</v>
      </c>
      <c r="AB146" s="28" t="s">
        <v>1131</v>
      </c>
      <c r="AC146" s="28"/>
      <c r="AD146" s="28" t="s">
        <v>690</v>
      </c>
      <c r="AE146" s="28"/>
      <c r="AF146" s="29"/>
      <c r="AG146" s="29"/>
    </row>
    <row r="147" spans="1:33" ht="15.75" customHeight="1">
      <c r="A147" s="32" t="s">
        <v>196</v>
      </c>
      <c r="B147" s="33">
        <v>151</v>
      </c>
      <c r="C147" s="34" t="s">
        <v>1132</v>
      </c>
      <c r="D147" s="35">
        <v>45832.28979357639</v>
      </c>
      <c r="E147" s="43">
        <v>45832</v>
      </c>
      <c r="F147" s="32" t="s">
        <v>1133</v>
      </c>
      <c r="G147" s="32" t="s">
        <v>1134</v>
      </c>
      <c r="H147" s="32" t="s">
        <v>1135</v>
      </c>
      <c r="I147" s="36" t="s">
        <v>1136</v>
      </c>
      <c r="J147" s="32" t="s">
        <v>1137</v>
      </c>
      <c r="K147" s="32" t="s">
        <v>1138</v>
      </c>
      <c r="M147" s="32" t="s">
        <v>205</v>
      </c>
      <c r="N147" s="33">
        <v>5</v>
      </c>
      <c r="O147" s="35">
        <v>45834</v>
      </c>
      <c r="P147" s="35">
        <v>45838</v>
      </c>
      <c r="Q147" s="37"/>
      <c r="R147" s="38"/>
      <c r="S147" s="33"/>
      <c r="T147" s="39">
        <v>197000</v>
      </c>
      <c r="U147" s="40" t="s">
        <v>49</v>
      </c>
      <c r="V147" s="41"/>
      <c r="W147" s="42" t="str">
        <f ca="1">IFERROR(__xludf.DUMMYFUNCTION("""COMPUTED_VALUE"""),"SPESIALIS TAMAN")</f>
        <v>SPESIALIS TAMAN</v>
      </c>
      <c r="X147" s="42" t="str">
        <f ca="1"/>
        <v>ON-SPESIALIS TAMAN-00011900+5-6285240694097</v>
      </c>
      <c r="Y147" s="40" t="s">
        <v>62</v>
      </c>
      <c r="Z147" s="40" t="s">
        <v>1057</v>
      </c>
      <c r="AA147" s="23" t="str">
        <v>https://wa.me/6285240694097</v>
      </c>
      <c r="AB147" s="28" t="s">
        <v>1139</v>
      </c>
      <c r="AC147" s="28"/>
      <c r="AD147" s="28" t="s">
        <v>690</v>
      </c>
      <c r="AE147" s="28"/>
      <c r="AF147" s="29"/>
      <c r="AG147" s="29"/>
    </row>
    <row r="148" spans="1:33" ht="15.75" customHeight="1">
      <c r="A148" s="32" t="s">
        <v>196</v>
      </c>
      <c r="B148" s="33">
        <v>152</v>
      </c>
      <c r="C148" s="34" t="s">
        <v>1140</v>
      </c>
      <c r="D148" s="35">
        <v>45832.341693553244</v>
      </c>
      <c r="E148" s="43">
        <v>45832</v>
      </c>
      <c r="F148" s="32" t="s">
        <v>1141</v>
      </c>
      <c r="G148" s="32" t="s">
        <v>1142</v>
      </c>
      <c r="H148" s="32" t="s">
        <v>1143</v>
      </c>
      <c r="I148" s="36" t="s">
        <v>1144</v>
      </c>
      <c r="J148" s="32" t="s">
        <v>1145</v>
      </c>
      <c r="K148" s="32" t="s">
        <v>1146</v>
      </c>
      <c r="M148" s="32" t="s">
        <v>382</v>
      </c>
      <c r="N148" s="33">
        <v>5</v>
      </c>
      <c r="O148" s="35">
        <v>45834</v>
      </c>
      <c r="P148" s="35">
        <v>45838</v>
      </c>
      <c r="Q148" s="37"/>
      <c r="R148" s="38"/>
      <c r="S148" s="33"/>
      <c r="T148" s="39">
        <v>197000</v>
      </c>
      <c r="U148" s="40" t="s">
        <v>115</v>
      </c>
      <c r="V148" s="41"/>
      <c r="W148" s="42" t="str">
        <f ca="1">IFERROR(__xludf.DUMMYFUNCTION("""COMPUTED_VALUE"""),"Bayu Meble")</f>
        <v>Bayu Meble</v>
      </c>
      <c r="X148" s="42" t="str">
        <f ca="1"/>
        <v>ON-Bayu Meble-00011900+5-6281938563373</v>
      </c>
      <c r="Y148" s="40" t="s">
        <v>62</v>
      </c>
      <c r="Z148" s="40" t="s">
        <v>1057</v>
      </c>
      <c r="AA148" s="23" t="str">
        <v>https://wa.me/6281938563373</v>
      </c>
      <c r="AB148" s="28" t="s">
        <v>1147</v>
      </c>
      <c r="AC148" s="28"/>
      <c r="AD148" s="28" t="s">
        <v>690</v>
      </c>
      <c r="AE148" s="28"/>
      <c r="AF148" s="29"/>
      <c r="AG148" s="29"/>
    </row>
    <row r="149" spans="1:33" ht="15.75" customHeight="1">
      <c r="A149" s="32" t="s">
        <v>196</v>
      </c>
      <c r="B149" s="33">
        <v>153</v>
      </c>
      <c r="C149" s="34" t="s">
        <v>1148</v>
      </c>
      <c r="D149" s="35">
        <v>45832.38544820602</v>
      </c>
      <c r="E149" s="43">
        <v>45832</v>
      </c>
      <c r="F149" s="32" t="s">
        <v>1149</v>
      </c>
      <c r="G149" s="32" t="s">
        <v>1150</v>
      </c>
      <c r="H149" s="32" t="s">
        <v>1151</v>
      </c>
      <c r="I149" s="36" t="s">
        <v>1152</v>
      </c>
      <c r="J149" s="32" t="s">
        <v>1153</v>
      </c>
      <c r="K149" s="32" t="s">
        <v>1154</v>
      </c>
      <c r="L149" s="32" t="s">
        <v>964</v>
      </c>
      <c r="M149" s="32" t="s">
        <v>382</v>
      </c>
      <c r="N149" s="33">
        <v>5</v>
      </c>
      <c r="O149" s="35">
        <v>45835</v>
      </c>
      <c r="P149" s="35">
        <v>45839</v>
      </c>
      <c r="Q149" s="37"/>
      <c r="R149" s="38"/>
      <c r="S149" s="33"/>
      <c r="T149" s="39">
        <v>197000</v>
      </c>
      <c r="U149" s="40" t="s">
        <v>115</v>
      </c>
      <c r="V149" s="41"/>
      <c r="W149" s="42" t="str">
        <f ca="1">IFERROR(__xludf.DUMMYFUNCTION("""COMPUTED_VALUE"""),"MULIA KUBAH")</f>
        <v>MULIA KUBAH</v>
      </c>
      <c r="X149" s="42" t="str">
        <f ca="1"/>
        <v>ON-MULIA KUBAH-00011900+5-6282365004117</v>
      </c>
      <c r="Y149" s="40" t="s">
        <v>293</v>
      </c>
      <c r="Z149" s="40" t="s">
        <v>1057</v>
      </c>
      <c r="AA149" s="23" t="str">
        <v>https://wa.me/6282365004117</v>
      </c>
      <c r="AB149" s="28" t="s">
        <v>1155</v>
      </c>
      <c r="AC149" s="28"/>
      <c r="AD149" s="28" t="s">
        <v>690</v>
      </c>
      <c r="AE149" s="28"/>
      <c r="AF149" s="29"/>
      <c r="AG149" s="29"/>
    </row>
    <row r="150" spans="1:33" ht="15.75" customHeight="1">
      <c r="A150" s="32" t="s">
        <v>196</v>
      </c>
      <c r="B150" s="33">
        <v>154</v>
      </c>
      <c r="C150" s="34" t="s">
        <v>1156</v>
      </c>
      <c r="D150" s="35">
        <v>45832.428541666668</v>
      </c>
      <c r="E150" s="43">
        <v>45832</v>
      </c>
      <c r="F150" s="32" t="s">
        <v>1157</v>
      </c>
      <c r="G150" s="32" t="s">
        <v>1158</v>
      </c>
      <c r="H150" s="32" t="s">
        <v>1159</v>
      </c>
      <c r="I150" s="36" t="s">
        <v>1160</v>
      </c>
      <c r="J150" s="32" t="s">
        <v>1161</v>
      </c>
      <c r="K150" s="32" t="s">
        <v>173</v>
      </c>
      <c r="L150" s="32"/>
      <c r="M150" s="32"/>
      <c r="N150" s="33">
        <v>5</v>
      </c>
      <c r="O150" s="35">
        <v>45835</v>
      </c>
      <c r="P150" s="35">
        <v>45839</v>
      </c>
      <c r="Q150" s="37"/>
      <c r="R150" s="38"/>
      <c r="S150" s="33"/>
      <c r="T150" s="39">
        <v>195000</v>
      </c>
      <c r="U150" s="40" t="s">
        <v>61</v>
      </c>
      <c r="V150" s="41"/>
      <c r="W150" s="42" t="str">
        <f ca="1">IFERROR(__xludf.DUMMYFUNCTION("""COMPUTED_VALUE"""),"HomelyNest")</f>
        <v>HomelyNest</v>
      </c>
      <c r="X150" s="42" t="str">
        <f ca="1"/>
        <v>ON-HomelyNest-00011900+5-6285167182620</v>
      </c>
      <c r="Y150" s="40" t="s">
        <v>293</v>
      </c>
      <c r="Z150" s="40" t="s">
        <v>1057</v>
      </c>
      <c r="AA150" s="23" t="str">
        <v>https://wa.me/6285167182620</v>
      </c>
      <c r="AB150" s="28" t="s">
        <v>1162</v>
      </c>
      <c r="AC150" s="28"/>
      <c r="AD150" s="28" t="s">
        <v>690</v>
      </c>
      <c r="AE150" s="28"/>
      <c r="AF150" s="29"/>
      <c r="AG150" s="29"/>
    </row>
    <row r="151" spans="1:33" ht="15.75" customHeight="1">
      <c r="A151" s="32" t="s">
        <v>196</v>
      </c>
      <c r="B151" s="33">
        <v>155</v>
      </c>
      <c r="C151" s="34" t="s">
        <v>1163</v>
      </c>
      <c r="D151" s="35">
        <v>45832.609432812504</v>
      </c>
      <c r="E151" s="43">
        <v>45832</v>
      </c>
      <c r="F151" s="32" t="s">
        <v>1164</v>
      </c>
      <c r="G151" s="32" t="s">
        <v>1165</v>
      </c>
      <c r="H151" s="32" t="s">
        <v>1166</v>
      </c>
      <c r="I151" s="36" t="s">
        <v>1167</v>
      </c>
      <c r="J151" s="32" t="s">
        <v>1168</v>
      </c>
      <c r="K151" s="32" t="s">
        <v>1070</v>
      </c>
      <c r="L151" s="36" t="s">
        <v>1167</v>
      </c>
      <c r="M151" s="32" t="s">
        <v>382</v>
      </c>
      <c r="N151" s="33">
        <v>5</v>
      </c>
      <c r="O151" s="35">
        <v>45834</v>
      </c>
      <c r="P151" s="35">
        <v>45838</v>
      </c>
      <c r="Q151" s="37"/>
      <c r="R151" s="38"/>
      <c r="S151" s="33"/>
      <c r="T151" s="39">
        <v>197000</v>
      </c>
      <c r="U151" s="40" t="s">
        <v>115</v>
      </c>
      <c r="V151" s="41"/>
      <c r="W151" s="42" t="str">
        <f ca="1">IFERROR(__xludf.DUMMYFUNCTION("""COMPUTED_VALUE"""),"GK Trans")</f>
        <v>GK Trans</v>
      </c>
      <c r="X151" s="42" t="str">
        <f ca="1"/>
        <v>ON-GK Trans-00011900+5-6281399731413</v>
      </c>
      <c r="Y151" s="40" t="s">
        <v>50</v>
      </c>
      <c r="Z151" s="40" t="s">
        <v>214</v>
      </c>
      <c r="AA151" s="23" t="str">
        <v>https://wa.me/6281399731413</v>
      </c>
      <c r="AB151" s="28" t="s">
        <v>1169</v>
      </c>
      <c r="AC151" s="28"/>
      <c r="AD151" s="28" t="s">
        <v>690</v>
      </c>
      <c r="AE151" s="28"/>
      <c r="AF151" s="29"/>
      <c r="AG151" s="29"/>
    </row>
    <row r="152" spans="1:33" ht="15.75" customHeight="1">
      <c r="A152" s="32" t="s">
        <v>196</v>
      </c>
      <c r="B152" s="33">
        <v>156</v>
      </c>
      <c r="C152" s="34" t="s">
        <v>1170</v>
      </c>
      <c r="D152" s="35">
        <v>45832.6264046875</v>
      </c>
      <c r="E152" s="43">
        <v>45831</v>
      </c>
      <c r="F152" s="32" t="s">
        <v>1171</v>
      </c>
      <c r="G152" s="32" t="s">
        <v>1172</v>
      </c>
      <c r="H152" s="32" t="s">
        <v>1173</v>
      </c>
      <c r="I152" s="36" t="s">
        <v>1174</v>
      </c>
      <c r="J152" s="32" t="s">
        <v>1175</v>
      </c>
      <c r="K152" s="32" t="s">
        <v>570</v>
      </c>
      <c r="L152" s="32"/>
      <c r="M152" s="32" t="s">
        <v>760</v>
      </c>
      <c r="N152" s="33">
        <v>20</v>
      </c>
      <c r="O152" s="35">
        <v>45839</v>
      </c>
      <c r="P152" s="35">
        <v>45844</v>
      </c>
      <c r="Q152" s="37"/>
      <c r="R152" s="38"/>
      <c r="S152" s="33"/>
      <c r="T152" s="39">
        <v>700000</v>
      </c>
      <c r="U152" s="40" t="s">
        <v>49</v>
      </c>
      <c r="V152" s="41"/>
      <c r="W152" s="42" t="str">
        <f ca="1">IFERROR(__xludf.DUMMYFUNCTION("""COMPUTED_VALUE"""),"Riyanto kontruksi")</f>
        <v>Riyanto kontruksi</v>
      </c>
      <c r="X152" s="42" t="str">
        <f ca="1"/>
        <v>ON-Riyanto kontruksi-00011900+20-6285950836788</v>
      </c>
      <c r="Y152" s="40" t="s">
        <v>293</v>
      </c>
      <c r="Z152" s="40" t="s">
        <v>1057</v>
      </c>
      <c r="AA152" s="23" t="str">
        <v>https://wa.me/6285950836788</v>
      </c>
      <c r="AB152" s="28" t="s">
        <v>1176</v>
      </c>
      <c r="AC152" s="28"/>
      <c r="AD152" s="28" t="s">
        <v>690</v>
      </c>
      <c r="AE152" s="28"/>
      <c r="AF152" s="29"/>
      <c r="AG152" s="29"/>
    </row>
    <row r="153" spans="1:33" ht="15.75" customHeight="1">
      <c r="A153" s="32" t="s">
        <v>196</v>
      </c>
      <c r="B153" s="33">
        <v>157</v>
      </c>
      <c r="C153" s="34" t="s">
        <v>1177</v>
      </c>
      <c r="D153" s="35">
        <v>45832.626767951384</v>
      </c>
      <c r="E153" s="43">
        <v>45831</v>
      </c>
      <c r="F153" s="32" t="s">
        <v>1178</v>
      </c>
      <c r="G153" s="32" t="s">
        <v>1179</v>
      </c>
      <c r="H153" s="32" t="s">
        <v>495</v>
      </c>
      <c r="I153" s="36" t="s">
        <v>1180</v>
      </c>
      <c r="J153" s="32"/>
      <c r="K153" s="32" t="s">
        <v>1181</v>
      </c>
      <c r="L153" s="32"/>
      <c r="M153" s="32" t="s">
        <v>760</v>
      </c>
      <c r="N153" s="33">
        <v>5</v>
      </c>
      <c r="O153" s="35"/>
      <c r="P153" s="35"/>
      <c r="Q153" s="37"/>
      <c r="R153" s="38"/>
      <c r="S153" s="33"/>
      <c r="T153" s="39">
        <v>197000</v>
      </c>
      <c r="U153" s="40" t="s">
        <v>49</v>
      </c>
      <c r="V153" s="41"/>
      <c r="W153" s="42" t="str">
        <f ca="1">IFERROR(__xludf.DUMMYFUNCTION("""COMPUTED_VALUE"""),"Arsyad kontruksi")</f>
        <v>Arsyad kontruksi</v>
      </c>
      <c r="X153" s="42" t="str">
        <f ca="1"/>
        <v>ON-Arsyad kontruksi-00011900+5-6281384442619</v>
      </c>
      <c r="Y153" s="40" t="s">
        <v>293</v>
      </c>
      <c r="Z153" s="40" t="s">
        <v>1057</v>
      </c>
      <c r="AA153" s="23" t="str">
        <v>https://wa.me/6281384442619</v>
      </c>
      <c r="AB153" s="28" t="s">
        <v>1182</v>
      </c>
      <c r="AC153" s="28"/>
      <c r="AD153" s="28" t="s">
        <v>690</v>
      </c>
      <c r="AE153" s="28"/>
      <c r="AF153" s="29"/>
      <c r="AG153" s="29"/>
    </row>
    <row r="154" spans="1:33" ht="15.75" customHeight="1">
      <c r="A154" s="32" t="s">
        <v>52</v>
      </c>
      <c r="B154" s="33">
        <v>158</v>
      </c>
      <c r="C154" s="34" t="s">
        <v>1183</v>
      </c>
      <c r="D154" s="35">
        <v>45832.630107013887</v>
      </c>
      <c r="E154" s="43">
        <v>45831</v>
      </c>
      <c r="F154" s="32" t="s">
        <v>606</v>
      </c>
      <c r="G154" s="32" t="s">
        <v>1184</v>
      </c>
      <c r="H154" s="32" t="s">
        <v>1185</v>
      </c>
      <c r="I154" s="36" t="s">
        <v>609</v>
      </c>
      <c r="J154" s="32"/>
      <c r="K154" s="32" t="s">
        <v>1186</v>
      </c>
      <c r="L154" s="32" t="s">
        <v>1187</v>
      </c>
      <c r="M154" s="32" t="s">
        <v>38</v>
      </c>
      <c r="N154" s="33">
        <v>5</v>
      </c>
      <c r="O154" s="35"/>
      <c r="P154" s="35"/>
      <c r="Q154" s="37"/>
      <c r="R154" s="38"/>
      <c r="S154" s="33"/>
      <c r="T154" s="39">
        <v>148000</v>
      </c>
      <c r="U154" s="40" t="s">
        <v>49</v>
      </c>
      <c r="V154" s="41"/>
      <c r="W154" s="42" t="str">
        <f ca="1">IFERROR(__xludf.DUMMYFUNCTION("""COMPUTED_VALUE"""),"Rumah cantik")</f>
        <v>Rumah cantik</v>
      </c>
      <c r="X154" s="42" t="str">
        <f ca="1"/>
        <v>ON-Rumah cantik-00011900+5-6288215445661</v>
      </c>
      <c r="Y154" s="40"/>
      <c r="Z154" s="40"/>
      <c r="AA154" s="23" t="str">
        <v>https://wa.me/6288215445661</v>
      </c>
      <c r="AB154" s="28"/>
      <c r="AC154" s="28"/>
      <c r="AD154" s="28"/>
      <c r="AE154" s="28"/>
      <c r="AF154" s="29"/>
      <c r="AG154" s="29"/>
    </row>
    <row r="155" spans="1:33" ht="15.75" customHeight="1">
      <c r="A155" s="32" t="s">
        <v>196</v>
      </c>
      <c r="B155" s="33">
        <v>159</v>
      </c>
      <c r="C155" s="34" t="s">
        <v>1188</v>
      </c>
      <c r="D155" s="35">
        <v>45832.655808657408</v>
      </c>
      <c r="E155" s="43">
        <v>45832</v>
      </c>
      <c r="F155" s="32" t="s">
        <v>1189</v>
      </c>
      <c r="G155" s="32" t="s">
        <v>1190</v>
      </c>
      <c r="H155" s="32" t="s">
        <v>1191</v>
      </c>
      <c r="I155" s="36" t="s">
        <v>1192</v>
      </c>
      <c r="J155" s="32" t="s">
        <v>1193</v>
      </c>
      <c r="K155" s="32" t="s">
        <v>1194</v>
      </c>
      <c r="L155" s="32" t="s">
        <v>1008</v>
      </c>
      <c r="M155" s="32" t="s">
        <v>70</v>
      </c>
      <c r="N155" s="33">
        <v>5</v>
      </c>
      <c r="O155" s="35">
        <v>45835</v>
      </c>
      <c r="P155" s="35">
        <v>45839</v>
      </c>
      <c r="Q155" s="37"/>
      <c r="R155" s="38"/>
      <c r="S155" s="33"/>
      <c r="T155" s="39">
        <v>197000</v>
      </c>
      <c r="U155" s="40" t="s">
        <v>115</v>
      </c>
      <c r="V155" s="41"/>
      <c r="W155" s="42" t="str">
        <f ca="1">IFERROR(__xludf.DUMMYFUNCTION("""COMPUTED_VALUE"""),"CV. ACHAY")</f>
        <v>CV. ACHAY</v>
      </c>
      <c r="X155" s="42" t="str">
        <f ca="1"/>
        <v>ON-CV. ACHAY-00011900+5-6281649155643</v>
      </c>
      <c r="Y155" s="40" t="s">
        <v>50</v>
      </c>
      <c r="Z155" s="40" t="s">
        <v>214</v>
      </c>
      <c r="AA155" s="23" t="str">
        <v>https://wa.me/6281649155643</v>
      </c>
      <c r="AB155" s="28" t="s">
        <v>1195</v>
      </c>
      <c r="AC155" s="28"/>
      <c r="AD155" s="28" t="s">
        <v>690</v>
      </c>
      <c r="AE155" s="28"/>
      <c r="AF155" s="29"/>
      <c r="AG155" s="29"/>
    </row>
    <row r="156" spans="1:33" ht="15.75" customHeight="1">
      <c r="A156" s="32" t="s">
        <v>196</v>
      </c>
      <c r="B156" s="33">
        <v>160</v>
      </c>
      <c r="C156" s="34" t="s">
        <v>1196</v>
      </c>
      <c r="D156" s="35">
        <v>45832.744991874999</v>
      </c>
      <c r="E156" s="43">
        <v>45832</v>
      </c>
      <c r="F156" s="32" t="s">
        <v>1197</v>
      </c>
      <c r="G156" s="32" t="s">
        <v>1198</v>
      </c>
      <c r="H156" s="32" t="s">
        <v>1199</v>
      </c>
      <c r="I156" s="36" t="s">
        <v>1200</v>
      </c>
      <c r="J156" s="32" t="s">
        <v>1201</v>
      </c>
      <c r="K156" s="32" t="s">
        <v>1202</v>
      </c>
      <c r="L156" s="32" t="s">
        <v>382</v>
      </c>
      <c r="M156" s="32" t="s">
        <v>267</v>
      </c>
      <c r="N156" s="33">
        <v>5</v>
      </c>
      <c r="O156" s="35">
        <v>45835</v>
      </c>
      <c r="P156" s="35">
        <v>45839</v>
      </c>
      <c r="Q156" s="37"/>
      <c r="R156" s="38"/>
      <c r="S156" s="33"/>
      <c r="T156" s="39">
        <v>197000</v>
      </c>
      <c r="U156" s="40" t="s">
        <v>115</v>
      </c>
      <c r="V156" s="41"/>
      <c r="W156" s="42" t="str">
        <f ca="1">IFERROR(__xludf.DUMMYFUNCTION("""COMPUTED_VALUE"""),"Salon Yolandha")</f>
        <v>Salon Yolandha</v>
      </c>
      <c r="X156" s="42" t="str">
        <f ca="1"/>
        <v>ON-Salon Yolandha-00011900+5-6281248936324</v>
      </c>
      <c r="Y156" s="40" t="s">
        <v>50</v>
      </c>
      <c r="Z156" s="40" t="s">
        <v>327</v>
      </c>
      <c r="AA156" s="23" t="str">
        <v>https://wa.me/6281248936324</v>
      </c>
      <c r="AB156" s="28" t="s">
        <v>1203</v>
      </c>
      <c r="AC156" s="28"/>
      <c r="AD156" s="28" t="s">
        <v>690</v>
      </c>
      <c r="AE156" s="28"/>
      <c r="AF156" s="29"/>
      <c r="AG156" s="29"/>
    </row>
    <row r="157" spans="1:33" ht="15.75" customHeight="1">
      <c r="A157" s="32" t="s">
        <v>196</v>
      </c>
      <c r="B157" s="33">
        <v>161</v>
      </c>
      <c r="C157" s="34" t="s">
        <v>1204</v>
      </c>
      <c r="D157" s="35">
        <v>45832.811712627314</v>
      </c>
      <c r="E157" s="43">
        <v>45832</v>
      </c>
      <c r="F157" s="32" t="s">
        <v>1205</v>
      </c>
      <c r="G157" s="32" t="s">
        <v>1206</v>
      </c>
      <c r="H157" s="32" t="s">
        <v>1207</v>
      </c>
      <c r="I157" s="36" t="s">
        <v>1208</v>
      </c>
      <c r="J157" s="32" t="s">
        <v>1209</v>
      </c>
      <c r="K157" s="32" t="s">
        <v>1210</v>
      </c>
      <c r="L157" s="32" t="s">
        <v>467</v>
      </c>
      <c r="M157" s="32" t="s">
        <v>382</v>
      </c>
      <c r="N157" s="33">
        <v>7</v>
      </c>
      <c r="O157" s="35">
        <v>45834</v>
      </c>
      <c r="P157" s="35">
        <v>45840</v>
      </c>
      <c r="Q157" s="37"/>
      <c r="R157" s="38"/>
      <c r="S157" s="33"/>
      <c r="T157" s="39">
        <v>297000</v>
      </c>
      <c r="U157" s="40" t="s">
        <v>115</v>
      </c>
      <c r="V157" s="41"/>
      <c r="W157" s="42" t="str">
        <f ca="1">IFERROR(__xludf.DUMMYFUNCTION("""COMPUTED_VALUE"""),"Bumi persada")</f>
        <v>Bumi persada</v>
      </c>
      <c r="X157" s="42" t="str">
        <f ca="1"/>
        <v>ON-Bumi persada-00011900+7-6285266218699</v>
      </c>
      <c r="Y157" s="40" t="s">
        <v>62</v>
      </c>
      <c r="Z157" s="40" t="s">
        <v>1057</v>
      </c>
      <c r="AA157" s="23" t="str">
        <v>https://wa.me/6285266218699</v>
      </c>
      <c r="AB157" s="28" t="s">
        <v>1211</v>
      </c>
      <c r="AC157" s="28"/>
      <c r="AD157" s="28" t="s">
        <v>690</v>
      </c>
      <c r="AE157" s="28"/>
      <c r="AF157" s="29"/>
      <c r="AG157" s="29"/>
    </row>
    <row r="158" spans="1:33" ht="15.75" customHeight="1">
      <c r="A158" s="32" t="s">
        <v>196</v>
      </c>
      <c r="B158" s="33">
        <v>162</v>
      </c>
      <c r="C158" s="34" t="s">
        <v>1212</v>
      </c>
      <c r="D158" s="35">
        <v>45833.359130613426</v>
      </c>
      <c r="E158" s="43">
        <v>45833</v>
      </c>
      <c r="F158" s="32" t="s">
        <v>1213</v>
      </c>
      <c r="G158" s="32" t="s">
        <v>1214</v>
      </c>
      <c r="H158" s="32" t="s">
        <v>1215</v>
      </c>
      <c r="I158" s="36" t="s">
        <v>1216</v>
      </c>
      <c r="J158" s="32"/>
      <c r="K158" s="32" t="s">
        <v>1217</v>
      </c>
      <c r="L158" s="32" t="s">
        <v>1218</v>
      </c>
      <c r="M158" s="32" t="s">
        <v>1064</v>
      </c>
      <c r="N158" s="33">
        <v>5</v>
      </c>
      <c r="O158" s="35">
        <v>45835</v>
      </c>
      <c r="P158" s="35">
        <v>45839</v>
      </c>
      <c r="Q158" s="37"/>
      <c r="R158" s="38"/>
      <c r="S158" s="33"/>
      <c r="T158" s="39">
        <v>197000</v>
      </c>
      <c r="U158" s="40" t="s">
        <v>115</v>
      </c>
      <c r="V158" s="41"/>
      <c r="W158" s="42" t="str">
        <f ca="1">IFERROR(__xludf.DUMMYFUNCTION("""COMPUTED_VALUE"""),"mitra kurir")</f>
        <v>mitra kurir</v>
      </c>
      <c r="X158" s="42" t="str">
        <f ca="1"/>
        <v>ON-mitra kurir-00011900+5-628174741283</v>
      </c>
      <c r="Y158" s="40" t="s">
        <v>50</v>
      </c>
      <c r="Z158" s="40" t="s">
        <v>214</v>
      </c>
      <c r="AA158" s="23" t="str">
        <v>https://wa.me/628174741283</v>
      </c>
      <c r="AB158" s="28" t="s">
        <v>1219</v>
      </c>
      <c r="AC158" s="28"/>
      <c r="AD158" s="28" t="s">
        <v>690</v>
      </c>
      <c r="AE158" s="28"/>
      <c r="AF158" s="29"/>
      <c r="AG158" s="29"/>
    </row>
    <row r="159" spans="1:33" ht="15.75" customHeight="1">
      <c r="A159" s="32" t="s">
        <v>52</v>
      </c>
      <c r="B159" s="33">
        <v>163</v>
      </c>
      <c r="C159" s="34" t="s">
        <v>1220</v>
      </c>
      <c r="D159" s="35">
        <v>45833.403108530096</v>
      </c>
      <c r="E159" s="43">
        <v>45833</v>
      </c>
      <c r="F159" s="32" t="s">
        <v>633</v>
      </c>
      <c r="G159" s="32" t="s">
        <v>634</v>
      </c>
      <c r="H159" s="32" t="s">
        <v>635</v>
      </c>
      <c r="I159" s="36" t="s">
        <v>636</v>
      </c>
      <c r="J159" s="32" t="s">
        <v>637</v>
      </c>
      <c r="K159" s="32" t="s">
        <v>570</v>
      </c>
      <c r="L159" s="32"/>
      <c r="M159" s="32" t="s">
        <v>638</v>
      </c>
      <c r="N159" s="33">
        <v>5</v>
      </c>
      <c r="O159" s="35"/>
      <c r="P159" s="35"/>
      <c r="Q159" s="37"/>
      <c r="R159" s="38"/>
      <c r="S159" s="33"/>
      <c r="T159" s="39">
        <v>197000</v>
      </c>
      <c r="U159" s="40" t="s">
        <v>49</v>
      </c>
      <c r="V159" s="41"/>
      <c r="W159" s="42" t="str">
        <f ca="1">IFERROR(__xludf.DUMMYFUNCTION("""COMPUTED_VALUE"""),"BATRA SENTUTORAF")</f>
        <v>BATRA SENTUTORAF</v>
      </c>
      <c r="X159" s="42" t="str">
        <f ca="1"/>
        <v>ON-BATRA SENTUTORAF-00011900+5-6282258886603</v>
      </c>
      <c r="Y159" s="40"/>
      <c r="Z159" s="40"/>
      <c r="AA159" s="23" t="str">
        <v>https://wa.me/6282258886603</v>
      </c>
      <c r="AB159" s="28"/>
      <c r="AC159" s="28"/>
      <c r="AD159" s="28"/>
      <c r="AE159" s="28"/>
      <c r="AF159" s="29"/>
      <c r="AG159" s="29"/>
    </row>
    <row r="160" spans="1:33" ht="15.75" customHeight="1">
      <c r="A160" s="32" t="s">
        <v>196</v>
      </c>
      <c r="B160" s="33">
        <v>164</v>
      </c>
      <c r="C160" s="34" t="s">
        <v>1221</v>
      </c>
      <c r="D160" s="35">
        <v>45833.515972233799</v>
      </c>
      <c r="E160" s="43">
        <v>45833</v>
      </c>
      <c r="F160" s="32" t="s">
        <v>1222</v>
      </c>
      <c r="G160" s="32" t="s">
        <v>1223</v>
      </c>
      <c r="H160" s="32" t="s">
        <v>1224</v>
      </c>
      <c r="I160" s="36" t="s">
        <v>1225</v>
      </c>
      <c r="J160" s="32" t="s">
        <v>1226</v>
      </c>
      <c r="K160" s="32" t="s">
        <v>1227</v>
      </c>
      <c r="L160" s="32" t="s">
        <v>1228</v>
      </c>
      <c r="M160" s="32" t="s">
        <v>800</v>
      </c>
      <c r="N160" s="33">
        <v>5</v>
      </c>
      <c r="O160" s="35">
        <v>45836</v>
      </c>
      <c r="P160" s="35">
        <v>45840</v>
      </c>
      <c r="Q160" s="37"/>
      <c r="R160" s="38"/>
      <c r="S160" s="33"/>
      <c r="T160" s="39">
        <v>197000</v>
      </c>
      <c r="U160" s="40" t="s">
        <v>1229</v>
      </c>
      <c r="V160" s="41"/>
      <c r="W160" s="42" t="str">
        <f ca="1">IFERROR(__xludf.DUMMYFUNCTION("""COMPUTED_VALUE"""),"Qui Panel")</f>
        <v>Qui Panel</v>
      </c>
      <c r="X160" s="42" t="str">
        <f ca="1"/>
        <v>ON-Qui Panel-00011900+5-6285715856120</v>
      </c>
      <c r="Y160" s="40" t="s">
        <v>293</v>
      </c>
      <c r="Z160" s="40" t="s">
        <v>1057</v>
      </c>
      <c r="AA160" s="23" t="str">
        <v>https://wa.me/6285715856120</v>
      </c>
      <c r="AB160" s="28" t="s">
        <v>1230</v>
      </c>
      <c r="AC160" s="28"/>
      <c r="AD160" s="28" t="s">
        <v>690</v>
      </c>
      <c r="AE160" s="28"/>
      <c r="AF160" s="29"/>
      <c r="AG160" s="29"/>
    </row>
    <row r="161" spans="1:33" ht="15.75" customHeight="1">
      <c r="A161" s="32" t="s">
        <v>196</v>
      </c>
      <c r="B161" s="33">
        <v>164</v>
      </c>
      <c r="C161" s="34" t="s">
        <v>1221</v>
      </c>
      <c r="D161" s="35">
        <v>45833.654000879629</v>
      </c>
      <c r="E161" s="43">
        <v>45833</v>
      </c>
      <c r="F161" s="32" t="s">
        <v>513</v>
      </c>
      <c r="G161" s="32" t="s">
        <v>1231</v>
      </c>
      <c r="H161" s="32" t="s">
        <v>1232</v>
      </c>
      <c r="I161" s="36" t="s">
        <v>1233</v>
      </c>
      <c r="J161" s="32"/>
      <c r="K161" s="32" t="s">
        <v>1234</v>
      </c>
      <c r="L161" s="32" t="s">
        <v>1235</v>
      </c>
      <c r="M161" s="32" t="s">
        <v>1236</v>
      </c>
      <c r="N161" s="33">
        <v>5</v>
      </c>
      <c r="O161" s="35">
        <v>45836</v>
      </c>
      <c r="P161" s="35">
        <v>45840</v>
      </c>
      <c r="Q161" s="37"/>
      <c r="R161" s="38"/>
      <c r="S161" s="33"/>
      <c r="T161" s="39">
        <v>197000</v>
      </c>
      <c r="U161" s="40" t="s">
        <v>49</v>
      </c>
      <c r="V161" s="41"/>
      <c r="W161" s="42" t="str">
        <f ca="1">IFERROR(__xludf.DUMMYFUNCTION("""COMPUTED_VALUE"""),"RUMAH SOFA")</f>
        <v>RUMAH SOFA</v>
      </c>
      <c r="X161" s="42" t="str">
        <f ca="1"/>
        <v>ON-RUMAH SOFA-00011900+5-6281347156140</v>
      </c>
      <c r="Y161" s="40" t="s">
        <v>62</v>
      </c>
      <c r="Z161" s="40" t="s">
        <v>214</v>
      </c>
      <c r="AA161" s="23" t="str">
        <v>https://wa.me/6281347156140</v>
      </c>
      <c r="AB161" s="28" t="s">
        <v>1237</v>
      </c>
      <c r="AC161" s="28"/>
      <c r="AD161" s="28" t="s">
        <v>690</v>
      </c>
      <c r="AE161" s="28"/>
      <c r="AF161" s="29"/>
      <c r="AG161" s="29"/>
    </row>
    <row r="162" spans="1:33" ht="15.75" customHeight="1">
      <c r="A162" s="32" t="s">
        <v>52</v>
      </c>
      <c r="B162" s="33">
        <v>165</v>
      </c>
      <c r="C162" s="34" t="s">
        <v>1238</v>
      </c>
      <c r="D162" s="35">
        <v>46054</v>
      </c>
      <c r="E162" s="43">
        <v>45827</v>
      </c>
      <c r="F162" s="32" t="s">
        <v>1239</v>
      </c>
      <c r="G162" s="32" t="s">
        <v>1240</v>
      </c>
      <c r="H162" s="32" t="s">
        <v>1030</v>
      </c>
      <c r="I162" s="36" t="s">
        <v>1241</v>
      </c>
      <c r="J162" s="32"/>
      <c r="K162" s="32" t="s">
        <v>1242</v>
      </c>
      <c r="L162" s="32" t="s">
        <v>1243</v>
      </c>
      <c r="M162" s="32" t="s">
        <v>205</v>
      </c>
      <c r="N162" s="33">
        <v>10</v>
      </c>
      <c r="O162" s="35"/>
      <c r="P162" s="35"/>
      <c r="Q162" s="37"/>
      <c r="R162" s="38">
        <v>-1003470351325</v>
      </c>
      <c r="S162" s="33"/>
      <c r="T162" s="39">
        <v>375000</v>
      </c>
      <c r="U162" s="40" t="s">
        <v>61</v>
      </c>
      <c r="V162" s="47">
        <v>46056.263308159723</v>
      </c>
      <c r="W162" s="42" t="str">
        <f ca="1">IFERROR(__xludf.DUMMYFUNCTION("""COMPUTED_VALUE"""),"Rumah Sehat")</f>
        <v>Rumah Sehat</v>
      </c>
      <c r="X162" s="42" t="str">
        <f ca="1"/>
        <v>ON-Rumah Sehat-03022026+10-6282172291579</v>
      </c>
      <c r="Y162" s="40"/>
      <c r="Z162" s="40"/>
      <c r="AA162" s="23" t="str">
        <v>https://wa.me/6282172291579</v>
      </c>
      <c r="AB162" s="28"/>
      <c r="AC162" s="28"/>
      <c r="AD162" s="28"/>
      <c r="AE162" s="28"/>
      <c r="AF162" s="29"/>
      <c r="AG162" s="29"/>
    </row>
    <row r="163" spans="1:33" ht="15.75" customHeight="1">
      <c r="A163" s="32" t="s">
        <v>52</v>
      </c>
      <c r="B163" s="33">
        <v>166</v>
      </c>
      <c r="C163" s="34" t="s">
        <v>1244</v>
      </c>
      <c r="D163" s="35">
        <v>45833.815072824073</v>
      </c>
      <c r="E163" s="43">
        <v>45833</v>
      </c>
      <c r="F163" s="32" t="s">
        <v>1245</v>
      </c>
      <c r="G163" s="32" t="s">
        <v>1246</v>
      </c>
      <c r="H163" s="32" t="s">
        <v>1247</v>
      </c>
      <c r="I163" s="36" t="s">
        <v>602</v>
      </c>
      <c r="J163" s="32" t="s">
        <v>1248</v>
      </c>
      <c r="K163" s="32" t="s">
        <v>1249</v>
      </c>
      <c r="L163" s="32" t="s">
        <v>1250</v>
      </c>
      <c r="M163" s="32" t="s">
        <v>60</v>
      </c>
      <c r="N163" s="33">
        <v>5</v>
      </c>
      <c r="O163" s="35"/>
      <c r="P163" s="35"/>
      <c r="Q163" s="37"/>
      <c r="R163" s="38"/>
      <c r="S163" s="33"/>
      <c r="T163" s="39">
        <v>197000</v>
      </c>
      <c r="U163" s="40" t="s">
        <v>61</v>
      </c>
      <c r="V163" s="41"/>
      <c r="W163" s="42" t="str">
        <f ca="1">IFERROR(__xludf.DUMMYFUNCTION("""COMPUTED_VALUE"""),"SAMIDI PLAFON")</f>
        <v>SAMIDI PLAFON</v>
      </c>
      <c r="X163" s="42" t="str">
        <f ca="1"/>
        <v>ON-SAMIDI PLAFON-00011900+5-6285210107607</v>
      </c>
      <c r="Y163" s="40"/>
      <c r="Z163" s="40"/>
      <c r="AA163" s="23" t="str">
        <v>https://wa.me/6285210107607</v>
      </c>
      <c r="AB163" s="28"/>
      <c r="AC163" s="28"/>
      <c r="AD163" s="28"/>
      <c r="AE163" s="28"/>
      <c r="AF163" s="29"/>
      <c r="AG163" s="29"/>
    </row>
    <row r="164" spans="1:33" ht="15.75" customHeight="1">
      <c r="A164" s="32" t="s">
        <v>196</v>
      </c>
      <c r="B164" s="33">
        <v>167</v>
      </c>
      <c r="C164" s="34" t="s">
        <v>1251</v>
      </c>
      <c r="D164" s="35">
        <v>45834.409576377315</v>
      </c>
      <c r="E164" s="43">
        <v>45834</v>
      </c>
      <c r="F164" s="32"/>
      <c r="G164" s="32" t="s">
        <v>1252</v>
      </c>
      <c r="H164" s="32" t="s">
        <v>1253</v>
      </c>
      <c r="I164" s="36" t="s">
        <v>1254</v>
      </c>
      <c r="J164" s="32"/>
      <c r="K164" s="32" t="s">
        <v>1255</v>
      </c>
      <c r="L164" s="32" t="s">
        <v>1256</v>
      </c>
      <c r="M164" s="32" t="s">
        <v>48</v>
      </c>
      <c r="N164" s="33">
        <v>5</v>
      </c>
      <c r="O164" s="35">
        <v>45839</v>
      </c>
      <c r="P164" s="35">
        <v>45843</v>
      </c>
      <c r="Q164" s="37"/>
      <c r="R164" s="38"/>
      <c r="S164" s="33"/>
      <c r="T164" s="39">
        <v>197000</v>
      </c>
      <c r="U164" s="40" t="s">
        <v>1229</v>
      </c>
      <c r="V164" s="41"/>
      <c r="W164" s="42" t="str">
        <f ca="1">IFERROR(__xludf.DUMMYFUNCTION("""COMPUTED_VALUE"""),"MITRA JASA")</f>
        <v>MITRA JASA</v>
      </c>
      <c r="X164" s="42" t="str">
        <f ca="1"/>
        <v>ON-MITRA JASA-00011900+5-6282134333004</v>
      </c>
      <c r="Y164" s="40" t="s">
        <v>293</v>
      </c>
      <c r="Z164" s="40" t="s">
        <v>1057</v>
      </c>
      <c r="AA164" s="23" t="str">
        <v>https://wa.me/6282134333004</v>
      </c>
      <c r="AB164" s="28" t="s">
        <v>1257</v>
      </c>
      <c r="AC164" s="28"/>
      <c r="AD164" s="28" t="s">
        <v>690</v>
      </c>
      <c r="AE164" s="28"/>
      <c r="AF164" s="29"/>
      <c r="AG164" s="29"/>
    </row>
    <row r="165" spans="1:33" ht="15.75" customHeight="1">
      <c r="A165" s="32" t="s">
        <v>196</v>
      </c>
      <c r="B165" s="33">
        <v>170</v>
      </c>
      <c r="C165" s="34" t="s">
        <v>1258</v>
      </c>
      <c r="D165" s="35">
        <v>45834.491681608793</v>
      </c>
      <c r="E165" s="43">
        <v>45829</v>
      </c>
      <c r="F165" s="32" t="s">
        <v>738</v>
      </c>
      <c r="G165" s="32" t="s">
        <v>739</v>
      </c>
      <c r="H165" s="32" t="s">
        <v>1259</v>
      </c>
      <c r="I165" s="36" t="s">
        <v>1260</v>
      </c>
      <c r="J165" s="32" t="s">
        <v>1261</v>
      </c>
      <c r="K165" s="32" t="s">
        <v>1262</v>
      </c>
      <c r="L165" s="32" t="s">
        <v>629</v>
      </c>
      <c r="M165" s="32" t="s">
        <v>743</v>
      </c>
      <c r="N165" s="33">
        <v>14</v>
      </c>
      <c r="O165" s="35"/>
      <c r="P165" s="35"/>
      <c r="Q165" s="37"/>
      <c r="R165" s="38"/>
      <c r="S165" s="33"/>
      <c r="T165" s="39">
        <v>500000</v>
      </c>
      <c r="U165" s="40" t="s">
        <v>115</v>
      </c>
      <c r="V165" s="41"/>
      <c r="W165" s="42" t="str">
        <f ca="1">IFERROR(__xludf.DUMMYFUNCTION("""COMPUTED_VALUE"""),"PT. Panorama")</f>
        <v>PT. Panorama</v>
      </c>
      <c r="X165" s="42" t="str">
        <f ca="1"/>
        <v>ON-PT. Panorama-00011900+14-6282115973014</v>
      </c>
      <c r="Y165" s="40"/>
      <c r="Z165" s="40"/>
      <c r="AA165" s="23" t="str">
        <v>https://wa.me/6282115973014</v>
      </c>
      <c r="AB165" s="28"/>
      <c r="AC165" s="28"/>
      <c r="AD165" s="28" t="s">
        <v>690</v>
      </c>
      <c r="AE165" s="28"/>
      <c r="AF165" s="29"/>
      <c r="AG165" s="29"/>
    </row>
    <row r="166" spans="1:33" ht="15.75" customHeight="1">
      <c r="A166" s="32" t="s">
        <v>52</v>
      </c>
      <c r="B166" s="33">
        <v>171</v>
      </c>
      <c r="C166" s="34" t="s">
        <v>1263</v>
      </c>
      <c r="D166" s="35">
        <v>45834.492380254625</v>
      </c>
      <c r="E166" s="43">
        <v>45834</v>
      </c>
      <c r="F166" s="32" t="s">
        <v>1264</v>
      </c>
      <c r="G166" s="32" t="s">
        <v>1265</v>
      </c>
      <c r="H166" s="32" t="s">
        <v>716</v>
      </c>
      <c r="I166" s="36" t="s">
        <v>1266</v>
      </c>
      <c r="J166" s="32" t="s">
        <v>718</v>
      </c>
      <c r="K166" s="32" t="s">
        <v>719</v>
      </c>
      <c r="L166" s="32" t="s">
        <v>629</v>
      </c>
      <c r="M166" s="32"/>
      <c r="N166" s="33">
        <v>5</v>
      </c>
      <c r="O166" s="35"/>
      <c r="P166" s="35"/>
      <c r="Q166" s="37"/>
      <c r="R166" s="38"/>
      <c r="S166" s="33"/>
      <c r="T166" s="39">
        <v>197000</v>
      </c>
      <c r="U166" s="40" t="s">
        <v>115</v>
      </c>
      <c r="V166" s="41"/>
      <c r="W166" s="42" t="str">
        <f ca="1">IFERROR(__xludf.DUMMYFUNCTION("""COMPUTED_VALUE"""),"CV MJB")</f>
        <v>CV MJB</v>
      </c>
      <c r="X166" s="42" t="str">
        <f ca="1"/>
        <v>ON-CV MJB-00011900+5-6281235549299</v>
      </c>
      <c r="Y166" s="40"/>
      <c r="Z166" s="40"/>
      <c r="AA166" s="23" t="str">
        <v>https://wa.me/6281235549299</v>
      </c>
      <c r="AB166" s="28"/>
      <c r="AC166" s="28"/>
      <c r="AD166" s="28"/>
      <c r="AE166" s="28"/>
      <c r="AF166" s="29"/>
      <c r="AG166" s="29"/>
    </row>
    <row r="167" spans="1:33" ht="15.75" customHeight="1">
      <c r="A167" s="32" t="s">
        <v>196</v>
      </c>
      <c r="B167" s="33">
        <v>172</v>
      </c>
      <c r="C167" s="34" t="s">
        <v>1267</v>
      </c>
      <c r="D167" s="35">
        <v>45834.554766203699</v>
      </c>
      <c r="E167" s="43">
        <v>45833</v>
      </c>
      <c r="F167" s="32" t="s">
        <v>1268</v>
      </c>
      <c r="G167" s="32" t="s">
        <v>1269</v>
      </c>
      <c r="H167" s="32" t="s">
        <v>1270</v>
      </c>
      <c r="I167" s="36" t="s">
        <v>1271</v>
      </c>
      <c r="J167" s="32" t="s">
        <v>1272</v>
      </c>
      <c r="K167" s="32" t="s">
        <v>1273</v>
      </c>
      <c r="L167" s="32" t="s">
        <v>629</v>
      </c>
      <c r="M167" s="32" t="s">
        <v>382</v>
      </c>
      <c r="N167" s="33">
        <v>5</v>
      </c>
      <c r="O167" s="35"/>
      <c r="P167" s="35"/>
      <c r="Q167" s="37"/>
      <c r="R167" s="38"/>
      <c r="S167" s="33"/>
      <c r="T167" s="39">
        <v>197000</v>
      </c>
      <c r="U167" s="40" t="s">
        <v>115</v>
      </c>
      <c r="V167" s="41"/>
      <c r="W167" s="42" t="str">
        <f ca="1">IFERROR(__xludf.DUMMYFUNCTION("""COMPUTED_VALUE"""),"Berkah Doa")</f>
        <v>Berkah Doa</v>
      </c>
      <c r="X167" s="42" t="str">
        <f ca="1"/>
        <v>ON-Berkah Doa-00011900+5-6285340323663</v>
      </c>
      <c r="Y167" s="40" t="s">
        <v>62</v>
      </c>
      <c r="Z167" s="40" t="s">
        <v>1057</v>
      </c>
      <c r="AA167" s="23" t="str">
        <v>https://wa.me/6285340323663</v>
      </c>
      <c r="AB167" s="28" t="s">
        <v>1274</v>
      </c>
      <c r="AC167" s="28"/>
      <c r="AD167" s="28" t="s">
        <v>690</v>
      </c>
      <c r="AE167" s="28"/>
      <c r="AF167" s="29"/>
      <c r="AG167" s="29"/>
    </row>
    <row r="168" spans="1:33" ht="15.75" customHeight="1">
      <c r="A168" s="32" t="s">
        <v>196</v>
      </c>
      <c r="B168" s="33">
        <v>173</v>
      </c>
      <c r="C168" s="34" t="s">
        <v>1275</v>
      </c>
      <c r="D168" s="35">
        <v>45834.577054305555</v>
      </c>
      <c r="E168" s="43">
        <v>45833</v>
      </c>
      <c r="F168" s="32" t="s">
        <v>1276</v>
      </c>
      <c r="G168" s="32" t="s">
        <v>1277</v>
      </c>
      <c r="H168" s="32" t="s">
        <v>1278</v>
      </c>
      <c r="I168" s="36" t="s">
        <v>1279</v>
      </c>
      <c r="J168" s="32" t="s">
        <v>1280</v>
      </c>
      <c r="K168" s="32" t="s">
        <v>1281</v>
      </c>
      <c r="L168" s="32" t="s">
        <v>1282</v>
      </c>
      <c r="M168" s="32" t="s">
        <v>38</v>
      </c>
      <c r="N168" s="33">
        <v>7</v>
      </c>
      <c r="O168" s="35">
        <v>45836</v>
      </c>
      <c r="P168" s="35">
        <v>45842</v>
      </c>
      <c r="Q168" s="37"/>
      <c r="R168" s="38"/>
      <c r="S168" s="33"/>
      <c r="T168" s="39">
        <v>297000</v>
      </c>
      <c r="U168" s="40" t="s">
        <v>49</v>
      </c>
      <c r="V168" s="41"/>
      <c r="W168" s="42" t="str">
        <f ca="1">IFERROR(__xludf.DUMMYFUNCTION("""COMPUTED_VALUE"""),"LITNASALON")</f>
        <v>LITNASALON</v>
      </c>
      <c r="X168" s="42" t="str">
        <f ca="1"/>
        <v>ON-LITNASALON-00011900+7-6281269441611</v>
      </c>
      <c r="Y168" s="40" t="s">
        <v>50</v>
      </c>
      <c r="Z168" s="40" t="s">
        <v>327</v>
      </c>
      <c r="AA168" s="23" t="str">
        <v>https://wa.me/6281269441611</v>
      </c>
      <c r="AB168" s="28" t="s">
        <v>1283</v>
      </c>
      <c r="AC168" s="28"/>
      <c r="AD168" s="28" t="s">
        <v>690</v>
      </c>
      <c r="AE168" s="28"/>
      <c r="AF168" s="29"/>
      <c r="AG168" s="29"/>
    </row>
    <row r="169" spans="1:33" ht="15.75" customHeight="1">
      <c r="A169" s="32" t="s">
        <v>912</v>
      </c>
      <c r="B169" s="33">
        <v>174</v>
      </c>
      <c r="C169" s="34" t="s">
        <v>1284</v>
      </c>
      <c r="D169" s="35">
        <v>45834.603399259257</v>
      </c>
      <c r="E169" s="43">
        <v>45834</v>
      </c>
      <c r="F169" s="32" t="s">
        <v>1285</v>
      </c>
      <c r="G169" s="32" t="s">
        <v>1286</v>
      </c>
      <c r="H169" s="32" t="s">
        <v>907</v>
      </c>
      <c r="I169" s="36" t="s">
        <v>1287</v>
      </c>
      <c r="J169" s="32"/>
      <c r="K169" s="32" t="s">
        <v>1288</v>
      </c>
      <c r="L169" s="32" t="s">
        <v>1289</v>
      </c>
      <c r="M169" s="32" t="s">
        <v>131</v>
      </c>
      <c r="N169" s="33">
        <v>5</v>
      </c>
      <c r="O169" s="35"/>
      <c r="P169" s="35"/>
      <c r="Q169" s="37"/>
      <c r="R169" s="38"/>
      <c r="S169" s="33"/>
      <c r="T169" s="39">
        <v>197000</v>
      </c>
      <c r="U169" s="40" t="s">
        <v>1229</v>
      </c>
      <c r="V169" s="41"/>
      <c r="W169" s="42" t="str">
        <f ca="1">IFERROR(__xludf.DUMMYFUNCTION("""COMPUTED_VALUE"""),"PT SURYA")</f>
        <v>PT SURYA</v>
      </c>
      <c r="X169" s="42" t="str">
        <f ca="1"/>
        <v>ON-PT SURYA-00011900+5-6281138301069</v>
      </c>
      <c r="Y169" s="40" t="s">
        <v>293</v>
      </c>
      <c r="Z169" s="40" t="s">
        <v>214</v>
      </c>
      <c r="AA169" s="23" t="str">
        <v>https://wa.me/6281138301069</v>
      </c>
      <c r="AB169" s="28" t="s">
        <v>1290</v>
      </c>
      <c r="AC169" s="28"/>
      <c r="AD169" s="28"/>
      <c r="AE169" s="28"/>
      <c r="AF169" s="29"/>
      <c r="AG169" s="29"/>
    </row>
    <row r="170" spans="1:33" ht="15.75" customHeight="1">
      <c r="A170" s="32" t="s">
        <v>196</v>
      </c>
      <c r="B170" s="33">
        <v>173</v>
      </c>
      <c r="C170" s="34" t="s">
        <v>1275</v>
      </c>
      <c r="D170" s="35">
        <v>45834.818877048616</v>
      </c>
      <c r="E170" s="43">
        <v>45834</v>
      </c>
      <c r="F170" s="32" t="s">
        <v>1291</v>
      </c>
      <c r="G170" s="32" t="s">
        <v>1292</v>
      </c>
      <c r="H170" s="32" t="s">
        <v>1293</v>
      </c>
      <c r="I170" s="36" t="s">
        <v>1294</v>
      </c>
      <c r="J170" s="32" t="s">
        <v>1295</v>
      </c>
      <c r="K170" s="32" t="s">
        <v>173</v>
      </c>
      <c r="L170" s="32" t="s">
        <v>85</v>
      </c>
      <c r="M170" s="32" t="s">
        <v>382</v>
      </c>
      <c r="N170" s="33">
        <v>10</v>
      </c>
      <c r="O170" s="35">
        <v>45836</v>
      </c>
      <c r="P170" s="35">
        <v>45845</v>
      </c>
      <c r="Q170" s="37"/>
      <c r="R170" s="38"/>
      <c r="S170" s="33"/>
      <c r="T170" s="39">
        <v>375000</v>
      </c>
      <c r="U170" s="40" t="s">
        <v>61</v>
      </c>
      <c r="V170" s="41"/>
      <c r="W170" s="42" t="str">
        <f ca="1">IFERROR(__xludf.DUMMYFUNCTION("""COMPUTED_VALUE"""),"Rimbun Nursery")</f>
        <v>Rimbun Nursery</v>
      </c>
      <c r="X170" s="42" t="str">
        <f ca="1"/>
        <v>ON-Rimbun Nursery-00011900+10-6281213589905</v>
      </c>
      <c r="Y170" s="40" t="s">
        <v>62</v>
      </c>
      <c r="Z170" s="40" t="s">
        <v>214</v>
      </c>
      <c r="AA170" s="23" t="str">
        <v>https://wa.me/6281213589905</v>
      </c>
      <c r="AB170" s="28" t="s">
        <v>1296</v>
      </c>
      <c r="AC170" s="28"/>
      <c r="AD170" s="28" t="s">
        <v>690</v>
      </c>
      <c r="AE170" s="28"/>
      <c r="AF170" s="29"/>
      <c r="AG170" s="29"/>
    </row>
    <row r="171" spans="1:33" ht="15.75" customHeight="1">
      <c r="A171" s="32" t="s">
        <v>52</v>
      </c>
      <c r="B171" s="33">
        <v>174</v>
      </c>
      <c r="C171" s="34" t="s">
        <v>1284</v>
      </c>
      <c r="D171" s="35">
        <v>45835.413878796295</v>
      </c>
      <c r="E171" s="43">
        <v>45835</v>
      </c>
      <c r="F171" s="32" t="s">
        <v>820</v>
      </c>
      <c r="G171" s="32" t="s">
        <v>821</v>
      </c>
      <c r="H171" s="32" t="s">
        <v>822</v>
      </c>
      <c r="I171" s="36" t="s">
        <v>823</v>
      </c>
      <c r="J171" s="32" t="s">
        <v>824</v>
      </c>
      <c r="K171" s="32" t="s">
        <v>825</v>
      </c>
      <c r="L171" s="32" t="s">
        <v>629</v>
      </c>
      <c r="M171" s="32" t="s">
        <v>382</v>
      </c>
      <c r="N171" s="33">
        <v>30</v>
      </c>
      <c r="O171" s="35"/>
      <c r="P171" s="35"/>
      <c r="Q171" s="37"/>
      <c r="R171" s="38"/>
      <c r="S171" s="33"/>
      <c r="T171" s="39">
        <v>1000000</v>
      </c>
      <c r="U171" s="40" t="s">
        <v>115</v>
      </c>
      <c r="V171" s="41"/>
      <c r="W171" s="42" t="str">
        <f ca="1">IFERROR(__xludf.DUMMYFUNCTION("""COMPUTED_VALUE"""),"Jagat Kitchen")</f>
        <v>Jagat Kitchen</v>
      </c>
      <c r="X171" s="42" t="str">
        <f ca="1"/>
        <v>ON-Jagat Kitchen-00011900+30-6281393958199</v>
      </c>
      <c r="Y171" s="40"/>
      <c r="Z171" s="40"/>
      <c r="AA171" s="23" t="str">
        <v>https://wa.me/6281393958199</v>
      </c>
      <c r="AB171" s="28"/>
      <c r="AC171" s="28"/>
      <c r="AD171" s="28"/>
      <c r="AE171" s="28"/>
      <c r="AF171" s="29"/>
      <c r="AG171" s="29"/>
    </row>
    <row r="172" spans="1:33" ht="15.75" customHeight="1">
      <c r="A172" s="32" t="s">
        <v>912</v>
      </c>
      <c r="B172" s="33">
        <v>175</v>
      </c>
      <c r="C172" s="34" t="s">
        <v>1297</v>
      </c>
      <c r="D172" s="35">
        <v>45835.42163060185</v>
      </c>
      <c r="E172" s="43">
        <v>45831</v>
      </c>
      <c r="F172" s="32" t="s">
        <v>1298</v>
      </c>
      <c r="G172" s="32" t="s">
        <v>1299</v>
      </c>
      <c r="H172" s="32" t="s">
        <v>1300</v>
      </c>
      <c r="I172" s="36" t="s">
        <v>1301</v>
      </c>
      <c r="J172" s="32" t="s">
        <v>1302</v>
      </c>
      <c r="K172" s="32" t="s">
        <v>1303</v>
      </c>
      <c r="L172" s="32"/>
      <c r="M172" s="32" t="s">
        <v>1304</v>
      </c>
      <c r="N172" s="33">
        <v>5</v>
      </c>
      <c r="O172" s="35"/>
      <c r="P172" s="35"/>
      <c r="Q172" s="37"/>
      <c r="R172" s="38"/>
      <c r="S172" s="33"/>
      <c r="T172" s="39">
        <v>197000</v>
      </c>
      <c r="U172" s="40" t="s">
        <v>49</v>
      </c>
      <c r="V172" s="41"/>
      <c r="W172" s="42" t="str">
        <f ca="1">IFERROR(__xludf.DUMMYFUNCTION("""COMPUTED_VALUE"""),"Seven table")</f>
        <v>Seven table</v>
      </c>
      <c r="X172" s="42" t="str">
        <f ca="1"/>
        <v>ON-Seven table-00011900+5-6281364147407</v>
      </c>
      <c r="Y172" s="40" t="s">
        <v>62</v>
      </c>
      <c r="Z172" s="40" t="s">
        <v>214</v>
      </c>
      <c r="AA172" s="23" t="str">
        <v>https://wa.me/6281364147407</v>
      </c>
      <c r="AB172" s="28" t="s">
        <v>1305</v>
      </c>
      <c r="AC172" s="28"/>
      <c r="AD172" s="28"/>
      <c r="AE172" s="28"/>
      <c r="AF172" s="29"/>
      <c r="AG172" s="29"/>
    </row>
    <row r="173" spans="1:33" ht="15.75" customHeight="1">
      <c r="A173" s="32" t="s">
        <v>196</v>
      </c>
      <c r="B173" s="33">
        <v>176</v>
      </c>
      <c r="C173" s="34" t="s">
        <v>1306</v>
      </c>
      <c r="D173" s="35">
        <v>45835.423317291672</v>
      </c>
      <c r="E173" s="43">
        <v>45835</v>
      </c>
      <c r="F173" s="32" t="s">
        <v>1307</v>
      </c>
      <c r="G173" s="32" t="s">
        <v>1308</v>
      </c>
      <c r="H173" s="32" t="s">
        <v>822</v>
      </c>
      <c r="I173" s="36" t="s">
        <v>1309</v>
      </c>
      <c r="J173" s="32" t="s">
        <v>824</v>
      </c>
      <c r="K173" s="32" t="s">
        <v>1154</v>
      </c>
      <c r="L173" s="32" t="s">
        <v>629</v>
      </c>
      <c r="M173" s="32" t="s">
        <v>382</v>
      </c>
      <c r="N173" s="33">
        <v>30</v>
      </c>
      <c r="O173" s="35"/>
      <c r="P173" s="35"/>
      <c r="Q173" s="37"/>
      <c r="R173" s="38"/>
      <c r="S173" s="33"/>
      <c r="T173" s="39">
        <v>1000000</v>
      </c>
      <c r="U173" s="40" t="s">
        <v>115</v>
      </c>
      <c r="V173" s="41"/>
      <c r="W173" s="42" t="str">
        <f ca="1">IFERROR(__xludf.DUMMYFUNCTION("""COMPUTED_VALUE"""),"Aqip Custom")</f>
        <v>Aqip Custom</v>
      </c>
      <c r="X173" s="42" t="str">
        <f ca="1"/>
        <v>ON-Aqip Custom-00011900+30-6288228976100</v>
      </c>
      <c r="Y173" s="40" t="s">
        <v>62</v>
      </c>
      <c r="Z173" s="40" t="s">
        <v>1057</v>
      </c>
      <c r="AA173" s="23" t="str">
        <v>https://wa.me/6288228976100</v>
      </c>
      <c r="AB173" s="28" t="s">
        <v>1310</v>
      </c>
      <c r="AC173" s="28"/>
      <c r="AD173" s="28" t="s">
        <v>690</v>
      </c>
      <c r="AE173" s="28"/>
      <c r="AF173" s="29"/>
      <c r="AG173" s="29"/>
    </row>
    <row r="174" spans="1:33" ht="15.75" customHeight="1">
      <c r="A174" s="32" t="s">
        <v>912</v>
      </c>
      <c r="B174" s="33">
        <v>177</v>
      </c>
      <c r="C174" s="34" t="s">
        <v>1311</v>
      </c>
      <c r="D174" s="35">
        <v>45835.526597696764</v>
      </c>
      <c r="E174" s="43">
        <v>45835</v>
      </c>
      <c r="F174" s="32" t="s">
        <v>1312</v>
      </c>
      <c r="G174" s="32" t="s">
        <v>1313</v>
      </c>
      <c r="H174" s="32" t="s">
        <v>1314</v>
      </c>
      <c r="I174" s="36" t="s">
        <v>1315</v>
      </c>
      <c r="J174" s="32" t="s">
        <v>1316</v>
      </c>
      <c r="K174" s="32" t="s">
        <v>1317</v>
      </c>
      <c r="L174" s="32" t="s">
        <v>629</v>
      </c>
      <c r="M174" s="32" t="s">
        <v>48</v>
      </c>
      <c r="N174" s="33">
        <v>5</v>
      </c>
      <c r="O174" s="35"/>
      <c r="P174" s="35"/>
      <c r="Q174" s="37"/>
      <c r="R174" s="38"/>
      <c r="S174" s="33"/>
      <c r="T174" s="39">
        <v>197000</v>
      </c>
      <c r="U174" s="40" t="s">
        <v>115</v>
      </c>
      <c r="V174" s="41"/>
      <c r="W174" s="42" t="str">
        <f ca="1">IFERROR(__xludf.DUMMYFUNCTION("""COMPUTED_VALUE"""),"Wijaya sakti")</f>
        <v>Wijaya sakti</v>
      </c>
      <c r="X174" s="42" t="str">
        <f ca="1"/>
        <v>ON-Wijaya sakti-00011900+5-6285863299162</v>
      </c>
      <c r="Y174" s="40" t="s">
        <v>293</v>
      </c>
      <c r="Z174" s="40" t="s">
        <v>1057</v>
      </c>
      <c r="AA174" s="23" t="str">
        <v>https://wa.me/6285863299162</v>
      </c>
      <c r="AB174" s="28" t="s">
        <v>1318</v>
      </c>
      <c r="AC174" s="28"/>
      <c r="AD174" s="28"/>
      <c r="AE174" s="28"/>
      <c r="AF174" s="29"/>
      <c r="AG174" s="29"/>
    </row>
    <row r="175" spans="1:33" ht="15.75" customHeight="1">
      <c r="A175" s="32" t="s">
        <v>196</v>
      </c>
      <c r="B175" s="33">
        <v>178</v>
      </c>
      <c r="C175" s="34" t="s">
        <v>1319</v>
      </c>
      <c r="D175" s="35">
        <v>45835.677900648152</v>
      </c>
      <c r="E175" s="43">
        <v>45835</v>
      </c>
      <c r="F175" s="32" t="s">
        <v>1320</v>
      </c>
      <c r="G175" s="32" t="s">
        <v>1321</v>
      </c>
      <c r="H175" s="32" t="s">
        <v>1322</v>
      </c>
      <c r="I175" s="36" t="s">
        <v>1323</v>
      </c>
      <c r="J175" s="32"/>
      <c r="K175" s="32" t="s">
        <v>1324</v>
      </c>
      <c r="L175" s="32" t="s">
        <v>460</v>
      </c>
      <c r="M175" s="32" t="s">
        <v>726</v>
      </c>
      <c r="N175" s="33">
        <v>5</v>
      </c>
      <c r="O175" s="35">
        <v>45838</v>
      </c>
      <c r="P175" s="35">
        <v>45842</v>
      </c>
      <c r="Q175" s="37"/>
      <c r="R175" s="38"/>
      <c r="S175" s="33"/>
      <c r="T175" s="39">
        <v>197000</v>
      </c>
      <c r="U175" s="40" t="s">
        <v>115</v>
      </c>
      <c r="V175" s="41"/>
      <c r="W175" s="42" t="str">
        <f ca="1">IFERROR(__xludf.DUMMYFUNCTION("""COMPUTED_VALUE"""),"HOME CARE")</f>
        <v>HOME CARE</v>
      </c>
      <c r="X175" s="42" t="str">
        <f ca="1"/>
        <v>ON-HOME CARE-00011900+5-6287777241263</v>
      </c>
      <c r="Y175" s="40" t="s">
        <v>50</v>
      </c>
      <c r="Z175" s="40" t="s">
        <v>639</v>
      </c>
      <c r="AA175" s="23" t="str">
        <v>https://wa.me/6287777241263</v>
      </c>
      <c r="AB175" s="28" t="s">
        <v>1325</v>
      </c>
      <c r="AC175" s="28"/>
      <c r="AD175" s="28" t="s">
        <v>690</v>
      </c>
      <c r="AE175" s="28"/>
      <c r="AF175" s="29"/>
      <c r="AG175" s="29"/>
    </row>
    <row r="176" spans="1:33" ht="15.75" customHeight="1">
      <c r="A176" s="32" t="s">
        <v>52</v>
      </c>
      <c r="B176" s="33">
        <v>179</v>
      </c>
      <c r="C176" s="34" t="s">
        <v>1326</v>
      </c>
      <c r="D176" s="35">
        <v>45835.684114212963</v>
      </c>
      <c r="E176" s="43">
        <v>45818</v>
      </c>
      <c r="F176" s="32" t="s">
        <v>558</v>
      </c>
      <c r="G176" s="32" t="s">
        <v>1327</v>
      </c>
      <c r="H176" s="32" t="s">
        <v>560</v>
      </c>
      <c r="I176" s="36" t="s">
        <v>561</v>
      </c>
      <c r="J176" s="32" t="s">
        <v>562</v>
      </c>
      <c r="K176" s="32" t="s">
        <v>563</v>
      </c>
      <c r="L176" s="32" t="s">
        <v>564</v>
      </c>
      <c r="M176" s="32" t="s">
        <v>205</v>
      </c>
      <c r="N176" s="33">
        <v>5</v>
      </c>
      <c r="O176" s="35"/>
      <c r="P176" s="35"/>
      <c r="Q176" s="37"/>
      <c r="R176" s="38"/>
      <c r="S176" s="33"/>
      <c r="T176" s="39">
        <v>197000</v>
      </c>
      <c r="U176" s="40" t="s">
        <v>61</v>
      </c>
      <c r="V176" s="41"/>
      <c r="W176" s="42" t="str">
        <f ca="1">IFERROR(__xludf.DUMMYFUNCTION("""COMPUTED_VALUE"""),"Bangun Griya")</f>
        <v>Bangun Griya</v>
      </c>
      <c r="X176" s="42" t="str">
        <f ca="1"/>
        <v>ON-Bangun Griya-00011900+5-6281952482523</v>
      </c>
      <c r="Y176" s="40"/>
      <c r="Z176" s="40"/>
      <c r="AA176" s="23" t="str">
        <v>https://wa.me/6281952482523</v>
      </c>
      <c r="AB176" s="28"/>
      <c r="AC176" s="28"/>
      <c r="AD176" s="28"/>
      <c r="AE176" s="28"/>
      <c r="AF176" s="29"/>
      <c r="AG176" s="29"/>
    </row>
    <row r="177" spans="1:33" ht="15.75" customHeight="1">
      <c r="A177" s="32" t="s">
        <v>196</v>
      </c>
      <c r="B177" s="33">
        <v>181</v>
      </c>
      <c r="C177" s="34" t="s">
        <v>1328</v>
      </c>
      <c r="D177" s="35">
        <v>45835.693089178239</v>
      </c>
      <c r="E177" s="43">
        <v>45835</v>
      </c>
      <c r="F177" s="32" t="s">
        <v>1329</v>
      </c>
      <c r="G177" s="32" t="s">
        <v>1330</v>
      </c>
      <c r="H177" s="32" t="s">
        <v>414</v>
      </c>
      <c r="I177" s="36" t="s">
        <v>1331</v>
      </c>
      <c r="J177" s="32"/>
      <c r="K177" s="32" t="s">
        <v>1332</v>
      </c>
      <c r="L177" s="32" t="s">
        <v>1333</v>
      </c>
      <c r="M177" s="32" t="s">
        <v>60</v>
      </c>
      <c r="N177" s="33">
        <v>10</v>
      </c>
      <c r="O177" s="35"/>
      <c r="P177" s="35"/>
      <c r="Q177" s="37"/>
      <c r="R177" s="38"/>
      <c r="S177" s="33"/>
      <c r="T177" s="39">
        <v>375000</v>
      </c>
      <c r="U177" s="40" t="s">
        <v>61</v>
      </c>
      <c r="V177" s="41"/>
      <c r="W177" s="42" t="str">
        <f ca="1">IFERROR(__xludf.DUMMYFUNCTION("""COMPUTED_VALUE"""),"Kampus Bina")</f>
        <v>Kampus Bina</v>
      </c>
      <c r="X177" s="42" t="str">
        <f ca="1"/>
        <v>ON-Kampus Bina-00011900+10-6281366622333</v>
      </c>
      <c r="Y177" s="40" t="s">
        <v>50</v>
      </c>
      <c r="Z177" s="40" t="s">
        <v>417</v>
      </c>
      <c r="AA177" s="23" t="str">
        <v>https://wa.me/6281366622333</v>
      </c>
      <c r="AB177" s="28" t="s">
        <v>1334</v>
      </c>
      <c r="AC177" s="28"/>
      <c r="AD177" s="28" t="s">
        <v>690</v>
      </c>
      <c r="AE177" s="28"/>
      <c r="AF177" s="29"/>
      <c r="AG177" s="29"/>
    </row>
    <row r="178" spans="1:33" ht="15.75" customHeight="1">
      <c r="A178" s="32" t="s">
        <v>196</v>
      </c>
      <c r="B178" s="33">
        <v>183</v>
      </c>
      <c r="C178" s="34" t="s">
        <v>1335</v>
      </c>
      <c r="D178" s="35">
        <v>45836.274226921298</v>
      </c>
      <c r="E178" s="43">
        <v>45835</v>
      </c>
      <c r="F178" s="32" t="s">
        <v>1336</v>
      </c>
      <c r="G178" s="32" t="s">
        <v>1337</v>
      </c>
      <c r="H178" s="32" t="s">
        <v>1338</v>
      </c>
      <c r="I178" s="36" t="s">
        <v>1339</v>
      </c>
      <c r="J178" s="32"/>
      <c r="K178" s="32" t="s">
        <v>173</v>
      </c>
      <c r="L178" s="32" t="s">
        <v>1340</v>
      </c>
      <c r="M178" s="32" t="s">
        <v>205</v>
      </c>
      <c r="N178" s="33">
        <v>20</v>
      </c>
      <c r="O178" s="35">
        <v>45837</v>
      </c>
      <c r="P178" s="35">
        <v>45856</v>
      </c>
      <c r="Q178" s="37"/>
      <c r="R178" s="38"/>
      <c r="S178" s="33"/>
      <c r="T178" s="39">
        <v>700000</v>
      </c>
      <c r="U178" s="40" t="s">
        <v>61</v>
      </c>
      <c r="V178" s="41"/>
      <c r="W178" s="42" t="str">
        <f ca="1">IFERROR(__xludf.DUMMYFUNCTION("""COMPUTED_VALUE"""),"Pratama Abadi")</f>
        <v>Pratama Abadi</v>
      </c>
      <c r="X178" s="42" t="str">
        <f ca="1"/>
        <v>ON-Pratama Abadi-00011900+20-6281282183261</v>
      </c>
      <c r="Y178" s="40" t="s">
        <v>50</v>
      </c>
      <c r="Z178" s="40" t="s">
        <v>214</v>
      </c>
      <c r="AA178" s="23" t="str">
        <v>https://wa.me/6281282183261</v>
      </c>
      <c r="AB178" s="28" t="s">
        <v>1341</v>
      </c>
      <c r="AC178" s="28"/>
      <c r="AD178" s="28" t="s">
        <v>690</v>
      </c>
      <c r="AE178" s="28"/>
      <c r="AF178" s="29"/>
      <c r="AG178" s="29"/>
    </row>
    <row r="179" spans="1:33" ht="15.75" customHeight="1">
      <c r="A179" s="32" t="s">
        <v>196</v>
      </c>
      <c r="B179" s="33">
        <v>184</v>
      </c>
      <c r="C179" s="34" t="s">
        <v>1342</v>
      </c>
      <c r="D179" s="35">
        <v>45836.27735971065</v>
      </c>
      <c r="E179" s="43">
        <v>45835</v>
      </c>
      <c r="F179" s="32" t="s">
        <v>1343</v>
      </c>
      <c r="G179" s="32" t="s">
        <v>1344</v>
      </c>
      <c r="H179" s="32" t="s">
        <v>1345</v>
      </c>
      <c r="I179" s="36" t="s">
        <v>1346</v>
      </c>
      <c r="J179" s="32"/>
      <c r="K179" s="32" t="s">
        <v>784</v>
      </c>
      <c r="L179" s="32" t="s">
        <v>1347</v>
      </c>
      <c r="M179" s="32" t="s">
        <v>131</v>
      </c>
      <c r="N179" s="33">
        <v>5</v>
      </c>
      <c r="O179" s="43">
        <v>45837</v>
      </c>
      <c r="P179" s="44">
        <v>45841</v>
      </c>
      <c r="Q179" s="37"/>
      <c r="R179" s="38"/>
      <c r="S179" s="33"/>
      <c r="T179" s="39">
        <v>197000</v>
      </c>
      <c r="U179" s="40" t="s">
        <v>61</v>
      </c>
      <c r="V179" s="41"/>
      <c r="W179" s="42" t="str">
        <f ca="1">IFERROR(__xludf.DUMMYFUNCTION("""COMPUTED_VALUE"""),"AZY Baja")</f>
        <v>AZY Baja</v>
      </c>
      <c r="X179" s="42" t="str">
        <f ca="1"/>
        <v>ON-AZY Baja-00011900+5-6287822304727</v>
      </c>
      <c r="Y179" s="40" t="s">
        <v>293</v>
      </c>
      <c r="Z179" s="40" t="s">
        <v>1057</v>
      </c>
      <c r="AA179" s="23" t="str">
        <v>https://wa.me/6287822304727</v>
      </c>
      <c r="AB179" s="28" t="s">
        <v>1348</v>
      </c>
      <c r="AC179" s="28"/>
      <c r="AD179" s="28" t="s">
        <v>690</v>
      </c>
      <c r="AE179" s="28"/>
      <c r="AF179" s="29"/>
      <c r="AG179" s="29"/>
    </row>
    <row r="180" spans="1:33" ht="15.75" customHeight="1">
      <c r="A180" s="32" t="s">
        <v>196</v>
      </c>
      <c r="B180" s="33">
        <v>185</v>
      </c>
      <c r="C180" s="34" t="s">
        <v>1349</v>
      </c>
      <c r="D180" s="35">
        <v>45836.281639201392</v>
      </c>
      <c r="E180" s="43">
        <v>45835</v>
      </c>
      <c r="F180" s="32" t="s">
        <v>1350</v>
      </c>
      <c r="G180" s="32" t="s">
        <v>1351</v>
      </c>
      <c r="H180" s="32" t="s">
        <v>1352</v>
      </c>
      <c r="I180" s="36" t="s">
        <v>1353</v>
      </c>
      <c r="J180" s="32" t="s">
        <v>1354</v>
      </c>
      <c r="K180" s="32" t="s">
        <v>1355</v>
      </c>
      <c r="L180" s="32" t="s">
        <v>1356</v>
      </c>
      <c r="M180" s="32" t="s">
        <v>131</v>
      </c>
      <c r="N180" s="33">
        <v>5</v>
      </c>
      <c r="O180" s="35">
        <v>45839</v>
      </c>
      <c r="P180" s="35">
        <v>45844</v>
      </c>
      <c r="Q180" s="37"/>
      <c r="R180" s="38"/>
      <c r="S180" s="33"/>
      <c r="T180" s="39">
        <v>197000</v>
      </c>
      <c r="U180" s="40" t="s">
        <v>61</v>
      </c>
      <c r="V180" s="41"/>
      <c r="W180" s="42" t="str">
        <f ca="1">IFERROR(__xludf.DUMMYFUNCTION("""COMPUTED_VALUE"""),"Putra Bakti")</f>
        <v>Putra Bakti</v>
      </c>
      <c r="X180" s="42" t="str">
        <f ca="1"/>
        <v>ON-Putra Bakti-00011900+5-6285668750416</v>
      </c>
      <c r="Y180" s="40" t="s">
        <v>902</v>
      </c>
      <c r="Z180" s="40" t="s">
        <v>277</v>
      </c>
      <c r="AA180" s="23" t="str">
        <v>https://wa.me/6285668750416</v>
      </c>
      <c r="AB180" s="28" t="s">
        <v>1357</v>
      </c>
      <c r="AC180" s="28"/>
      <c r="AD180" s="28" t="s">
        <v>690</v>
      </c>
      <c r="AE180" s="28"/>
      <c r="AF180" s="29"/>
      <c r="AG180" s="29"/>
    </row>
    <row r="181" spans="1:33" ht="15.75" customHeight="1">
      <c r="A181" s="32" t="s">
        <v>196</v>
      </c>
      <c r="B181" s="33">
        <v>186</v>
      </c>
      <c r="C181" s="34" t="s">
        <v>1358</v>
      </c>
      <c r="D181" s="35">
        <v>45836.337021550928</v>
      </c>
      <c r="E181" s="43">
        <v>45836</v>
      </c>
      <c r="F181" s="32" t="s">
        <v>1359</v>
      </c>
      <c r="G181" s="32" t="s">
        <v>1360</v>
      </c>
      <c r="H181" s="32" t="s">
        <v>1361</v>
      </c>
      <c r="I181" s="36" t="s">
        <v>1362</v>
      </c>
      <c r="J181" s="32" t="s">
        <v>1363</v>
      </c>
      <c r="K181" s="32" t="s">
        <v>1364</v>
      </c>
      <c r="L181" s="32" t="s">
        <v>1365</v>
      </c>
      <c r="M181" s="32" t="s">
        <v>205</v>
      </c>
      <c r="N181" s="33">
        <v>5</v>
      </c>
      <c r="O181" s="35"/>
      <c r="P181" s="35"/>
      <c r="Q181" s="37"/>
      <c r="R181" s="38"/>
      <c r="S181" s="33"/>
      <c r="T181" s="39">
        <v>197000</v>
      </c>
      <c r="U181" s="40" t="s">
        <v>61</v>
      </c>
      <c r="V181" s="41"/>
      <c r="W181" s="42" t="str">
        <f ca="1">IFERROR(__xludf.DUMMYFUNCTION("""COMPUTED_VALUE"""),"CV Shopia")</f>
        <v>CV Shopia</v>
      </c>
      <c r="X181" s="42" t="str">
        <f ca="1"/>
        <v>ON-CV Shopia-00011900+5-6281351666729</v>
      </c>
      <c r="Y181" s="40" t="s">
        <v>293</v>
      </c>
      <c r="Z181" s="40" t="s">
        <v>1057</v>
      </c>
      <c r="AA181" s="23" t="str">
        <v>https://wa.me/6281351666729</v>
      </c>
      <c r="AB181" s="28" t="s">
        <v>1366</v>
      </c>
      <c r="AC181" s="28"/>
      <c r="AD181" s="28" t="s">
        <v>690</v>
      </c>
      <c r="AE181" s="28"/>
      <c r="AF181" s="29"/>
      <c r="AG181" s="29"/>
    </row>
    <row r="182" spans="1:33" ht="15.75" customHeight="1">
      <c r="A182" s="32" t="s">
        <v>52</v>
      </c>
      <c r="B182" s="33">
        <v>188</v>
      </c>
      <c r="C182" s="34" t="s">
        <v>1367</v>
      </c>
      <c r="D182" s="35">
        <v>45836.366864317126</v>
      </c>
      <c r="E182" s="43">
        <v>45836</v>
      </c>
      <c r="F182" s="32" t="s">
        <v>550</v>
      </c>
      <c r="G182" s="32" t="s">
        <v>1368</v>
      </c>
      <c r="H182" s="32" t="s">
        <v>552</v>
      </c>
      <c r="I182" s="36" t="s">
        <v>553</v>
      </c>
      <c r="J182" s="32" t="s">
        <v>554</v>
      </c>
      <c r="K182" s="32" t="s">
        <v>555</v>
      </c>
      <c r="L182" s="32" t="s">
        <v>556</v>
      </c>
      <c r="M182" s="32" t="s">
        <v>205</v>
      </c>
      <c r="N182" s="33">
        <v>30</v>
      </c>
      <c r="O182" s="35"/>
      <c r="P182" s="35"/>
      <c r="Q182" s="37"/>
      <c r="R182" s="38"/>
      <c r="S182" s="33"/>
      <c r="T182" s="39">
        <v>1000000</v>
      </c>
      <c r="U182" s="40" t="s">
        <v>61</v>
      </c>
      <c r="V182" s="41"/>
      <c r="W182" s="42" t="str">
        <f ca="1">IFERROR(__xludf.DUMMYFUNCTION("""COMPUTED_VALUE"""),"WD Kontruksi")</f>
        <v>WD Kontruksi</v>
      </c>
      <c r="X182" s="42" t="str">
        <f ca="1"/>
        <v>ON-WD Kontruksi-00011900+30-6285747906282</v>
      </c>
      <c r="Y182" s="40"/>
      <c r="Z182" s="40"/>
      <c r="AA182" s="23" t="str">
        <v>https://wa.me/6285747906282</v>
      </c>
      <c r="AB182" s="28"/>
      <c r="AC182" s="28"/>
      <c r="AD182" s="28"/>
      <c r="AE182" s="28"/>
      <c r="AF182" s="29"/>
      <c r="AG182" s="29"/>
    </row>
    <row r="183" spans="1:33" ht="15.75" customHeight="1">
      <c r="A183" s="32" t="s">
        <v>196</v>
      </c>
      <c r="B183" s="33">
        <v>186</v>
      </c>
      <c r="C183" s="34" t="s">
        <v>1358</v>
      </c>
      <c r="D183" s="35">
        <v>45836.814009004629</v>
      </c>
      <c r="E183" s="43">
        <v>45836</v>
      </c>
      <c r="F183" s="32" t="s">
        <v>1369</v>
      </c>
      <c r="G183" s="32" t="s">
        <v>1370</v>
      </c>
      <c r="H183" s="32" t="s">
        <v>1370</v>
      </c>
      <c r="I183" s="36" t="s">
        <v>1371</v>
      </c>
      <c r="J183" s="32" t="s">
        <v>1372</v>
      </c>
      <c r="K183" s="32" t="s">
        <v>1373</v>
      </c>
      <c r="L183" s="32" t="s">
        <v>166</v>
      </c>
      <c r="M183" s="32" t="s">
        <v>510</v>
      </c>
      <c r="N183" s="33">
        <v>5</v>
      </c>
      <c r="O183" s="35"/>
      <c r="P183" s="35"/>
      <c r="Q183" s="37"/>
      <c r="R183" s="38"/>
      <c r="S183" s="33"/>
      <c r="T183" s="39">
        <v>197000</v>
      </c>
      <c r="U183" s="40" t="s">
        <v>115</v>
      </c>
      <c r="V183" s="41"/>
      <c r="W183" s="42" t="str">
        <f ca="1">IFERROR(__xludf.DUMMYFUNCTION("""COMPUTED_VALUE"""),"Healty Wellnes")</f>
        <v>Healty Wellnes</v>
      </c>
      <c r="X183" s="42" t="str">
        <f ca="1"/>
        <v>ON-Healty Wellnes-00011900+5-6281343148204</v>
      </c>
      <c r="Y183" s="40" t="s">
        <v>62</v>
      </c>
      <c r="Z183" s="40" t="s">
        <v>639</v>
      </c>
      <c r="AA183" s="23" t="str">
        <v>https://wa.me/6281343148204</v>
      </c>
      <c r="AB183" s="28" t="s">
        <v>1374</v>
      </c>
      <c r="AC183" s="28"/>
      <c r="AD183" s="28" t="s">
        <v>690</v>
      </c>
      <c r="AE183" s="28"/>
      <c r="AF183" s="29"/>
      <c r="AG183" s="29"/>
    </row>
    <row r="184" spans="1:33" ht="15.75" customHeight="1">
      <c r="A184" s="32" t="s">
        <v>196</v>
      </c>
      <c r="B184" s="33">
        <v>187</v>
      </c>
      <c r="C184" s="34" t="s">
        <v>1375</v>
      </c>
      <c r="D184" s="35">
        <v>45836.81420930555</v>
      </c>
      <c r="E184" s="43">
        <v>45836</v>
      </c>
      <c r="F184" s="32" t="s">
        <v>1376</v>
      </c>
      <c r="G184" s="32" t="s">
        <v>1377</v>
      </c>
      <c r="H184" s="32" t="s">
        <v>1378</v>
      </c>
      <c r="I184" s="36" t="s">
        <v>1379</v>
      </c>
      <c r="J184" s="32" t="s">
        <v>1380</v>
      </c>
      <c r="K184" s="32" t="s">
        <v>1381</v>
      </c>
      <c r="L184" s="32" t="s">
        <v>92</v>
      </c>
      <c r="M184" s="32" t="s">
        <v>92</v>
      </c>
      <c r="N184" s="33">
        <v>5</v>
      </c>
      <c r="O184" s="35"/>
      <c r="P184" s="35"/>
      <c r="Q184" s="37"/>
      <c r="R184" s="38"/>
      <c r="S184" s="33"/>
      <c r="T184" s="39">
        <v>197000</v>
      </c>
      <c r="U184" s="40" t="s">
        <v>115</v>
      </c>
      <c r="V184" s="41"/>
      <c r="W184" s="42" t="str">
        <f ca="1">IFERROR(__xludf.DUMMYFUNCTION("""COMPUTED_VALUE"""),"GAST TRAVEL")</f>
        <v>GAST TRAVEL</v>
      </c>
      <c r="X184" s="42" t="str">
        <f ca="1"/>
        <v>ON-GAST TRAVEL-00011900+5-6285169568997</v>
      </c>
      <c r="Y184" s="40" t="s">
        <v>50</v>
      </c>
      <c r="Z184" s="40" t="s">
        <v>214</v>
      </c>
      <c r="AA184" s="23" t="str">
        <v>https://wa.me/6285169568997</v>
      </c>
      <c r="AB184" s="28" t="s">
        <v>1382</v>
      </c>
      <c r="AC184" s="28"/>
      <c r="AD184" s="28" t="s">
        <v>690</v>
      </c>
      <c r="AE184" s="28"/>
      <c r="AF184" s="29"/>
      <c r="AG184" s="29"/>
    </row>
    <row r="185" spans="1:33" ht="15.75" customHeight="1">
      <c r="A185" s="32" t="s">
        <v>39</v>
      </c>
      <c r="B185" s="33">
        <v>188</v>
      </c>
      <c r="C185" s="34" t="s">
        <v>1367</v>
      </c>
      <c r="D185" s="35">
        <v>45836.820976631949</v>
      </c>
      <c r="E185" s="43">
        <v>45836</v>
      </c>
      <c r="F185" s="32" t="s">
        <v>1383</v>
      </c>
      <c r="G185" s="32" t="s">
        <v>1384</v>
      </c>
      <c r="H185" s="32" t="s">
        <v>1385</v>
      </c>
      <c r="I185" s="36" t="s">
        <v>1386</v>
      </c>
      <c r="J185" s="32"/>
      <c r="K185" s="32" t="s">
        <v>173</v>
      </c>
      <c r="L185" s="32" t="s">
        <v>92</v>
      </c>
      <c r="M185" s="32" t="s">
        <v>92</v>
      </c>
      <c r="N185" s="33">
        <v>30</v>
      </c>
      <c r="O185" s="35">
        <v>45857</v>
      </c>
      <c r="P185" s="35">
        <v>45887</v>
      </c>
      <c r="Q185" s="37"/>
      <c r="R185" s="38"/>
      <c r="S185" s="33"/>
      <c r="T185" s="39">
        <v>197000</v>
      </c>
      <c r="U185" s="40" t="s">
        <v>61</v>
      </c>
      <c r="V185" s="41"/>
      <c r="W185" s="42" t="str">
        <f ca="1">IFERROR(__xludf.DUMMYFUNCTION("""COMPUTED_VALUE"""),"Urut 10")</f>
        <v>Urut 10</v>
      </c>
      <c r="X185" s="42" t="str">
        <f ca="1"/>
        <v>ON-Urut 10-00011900+30-6281291128945</v>
      </c>
      <c r="Y185" s="40" t="s">
        <v>902</v>
      </c>
      <c r="Z185" s="40" t="s">
        <v>639</v>
      </c>
      <c r="AA185" s="23" t="str">
        <v>https://wa.me/6281291128945</v>
      </c>
      <c r="AB185" s="28" t="s">
        <v>1387</v>
      </c>
      <c r="AC185" s="28"/>
      <c r="AD185" s="28" t="s">
        <v>690</v>
      </c>
      <c r="AE185" s="28"/>
      <c r="AF185" s="29"/>
      <c r="AG185" s="29"/>
    </row>
    <row r="186" spans="1:33" ht="15.75" customHeight="1">
      <c r="A186" s="32" t="s">
        <v>196</v>
      </c>
      <c r="B186" s="33">
        <v>189</v>
      </c>
      <c r="C186" s="34" t="s">
        <v>1388</v>
      </c>
      <c r="D186" s="35">
        <v>45836.821471203701</v>
      </c>
      <c r="E186" s="43">
        <v>45836</v>
      </c>
      <c r="F186" s="32" t="s">
        <v>1389</v>
      </c>
      <c r="G186" s="32" t="s">
        <v>1390</v>
      </c>
      <c r="H186" s="32" t="s">
        <v>1391</v>
      </c>
      <c r="I186" s="36" t="s">
        <v>1392</v>
      </c>
      <c r="J186" s="32" t="s">
        <v>1393</v>
      </c>
      <c r="K186" s="32" t="s">
        <v>1394</v>
      </c>
      <c r="L186" s="32" t="s">
        <v>1395</v>
      </c>
      <c r="M186" s="32" t="s">
        <v>285</v>
      </c>
      <c r="N186" s="33">
        <v>5</v>
      </c>
      <c r="O186" s="35"/>
      <c r="P186" s="35"/>
      <c r="Q186" s="37"/>
      <c r="R186" s="38"/>
      <c r="S186" s="33"/>
      <c r="T186" s="39">
        <v>197000</v>
      </c>
      <c r="U186" s="40" t="s">
        <v>61</v>
      </c>
      <c r="V186" s="41"/>
      <c r="W186" s="42" t="str">
        <f ca="1">IFERROR(__xludf.DUMMYFUNCTION("""COMPUTED_VALUE"""),"Jaya Salon")</f>
        <v>Jaya Salon</v>
      </c>
      <c r="X186" s="42" t="str">
        <f ca="1"/>
        <v>ON-Jaya Salon-00011900+5-6282145068631</v>
      </c>
      <c r="Y186" s="40" t="s">
        <v>50</v>
      </c>
      <c r="Z186" s="40" t="s">
        <v>327</v>
      </c>
      <c r="AA186" s="23" t="str">
        <v>https://wa.me/6282145068631</v>
      </c>
      <c r="AB186" s="28" t="s">
        <v>1396</v>
      </c>
      <c r="AC186" s="28"/>
      <c r="AD186" s="28" t="s">
        <v>690</v>
      </c>
      <c r="AE186" s="28"/>
      <c r="AF186" s="29"/>
      <c r="AG186" s="29"/>
    </row>
    <row r="187" spans="1:33" ht="15.75" customHeight="1">
      <c r="A187" s="32" t="s">
        <v>196</v>
      </c>
      <c r="B187" s="33">
        <v>190</v>
      </c>
      <c r="C187" s="34" t="s">
        <v>1397</v>
      </c>
      <c r="D187" s="35">
        <v>45836.823588854168</v>
      </c>
      <c r="E187" s="43">
        <v>45836</v>
      </c>
      <c r="F187" s="32" t="s">
        <v>1398</v>
      </c>
      <c r="G187" s="32" t="s">
        <v>1399</v>
      </c>
      <c r="H187" s="32" t="s">
        <v>1400</v>
      </c>
      <c r="I187" s="36" t="s">
        <v>1401</v>
      </c>
      <c r="J187" s="32" t="s">
        <v>1402</v>
      </c>
      <c r="K187" s="32" t="s">
        <v>1403</v>
      </c>
      <c r="L187" s="32" t="s">
        <v>1250</v>
      </c>
      <c r="M187" s="32" t="s">
        <v>285</v>
      </c>
      <c r="N187" s="33">
        <v>5</v>
      </c>
      <c r="O187" s="35"/>
      <c r="P187" s="35"/>
      <c r="Q187" s="37"/>
      <c r="R187" s="38"/>
      <c r="S187" s="33"/>
      <c r="T187" s="39">
        <v>197000</v>
      </c>
      <c r="U187" s="40" t="s">
        <v>61</v>
      </c>
      <c r="V187" s="41"/>
      <c r="W187" s="42" t="str">
        <f ca="1">IFERROR(__xludf.DUMMYFUNCTION("""COMPUTED_VALUE"""),"LPK BANGSA")</f>
        <v>LPK BANGSA</v>
      </c>
      <c r="X187" s="42" t="str">
        <f ca="1"/>
        <v>ON-LPK BANGSA-00011900+5-6285974999484</v>
      </c>
      <c r="Y187" s="40" t="s">
        <v>50</v>
      </c>
      <c r="Z187" s="40" t="s">
        <v>1404</v>
      </c>
      <c r="AA187" s="23" t="str">
        <v>https://wa.me/6285974999484</v>
      </c>
      <c r="AB187" s="28" t="s">
        <v>1405</v>
      </c>
      <c r="AC187" s="28"/>
      <c r="AD187" s="28" t="s">
        <v>690</v>
      </c>
      <c r="AE187" s="28"/>
      <c r="AF187" s="29"/>
      <c r="AG187" s="29"/>
    </row>
    <row r="188" spans="1:33" ht="15.75" customHeight="1">
      <c r="A188" s="32" t="s">
        <v>196</v>
      </c>
      <c r="B188" s="33">
        <v>191</v>
      </c>
      <c r="C188" s="34" t="s">
        <v>1406</v>
      </c>
      <c r="D188" s="35">
        <v>45837.580820717594</v>
      </c>
      <c r="E188" s="43">
        <v>45837</v>
      </c>
      <c r="F188" s="32" t="s">
        <v>1407</v>
      </c>
      <c r="G188" s="32" t="s">
        <v>1408</v>
      </c>
      <c r="H188" s="32" t="s">
        <v>1409</v>
      </c>
      <c r="I188" s="36" t="s">
        <v>1410</v>
      </c>
      <c r="J188" s="32" t="s">
        <v>1411</v>
      </c>
      <c r="K188" s="32" t="s">
        <v>1412</v>
      </c>
      <c r="L188" s="32" t="s">
        <v>768</v>
      </c>
      <c r="M188" s="32" t="s">
        <v>60</v>
      </c>
      <c r="N188" s="33">
        <v>5</v>
      </c>
      <c r="O188" s="35">
        <v>45842</v>
      </c>
      <c r="P188" s="35">
        <v>45847</v>
      </c>
      <c r="Q188" s="37"/>
      <c r="R188" s="38"/>
      <c r="S188" s="33"/>
      <c r="T188" s="39">
        <v>197000</v>
      </c>
      <c r="U188" s="40" t="s">
        <v>61</v>
      </c>
      <c r="V188" s="41"/>
      <c r="W188" s="42" t="str">
        <f ca="1">IFERROR(__xludf.DUMMYFUNCTION("""COMPUTED_VALUE"""),"Cahaya Lestari")</f>
        <v>Cahaya Lestari</v>
      </c>
      <c r="X188" s="42" t="str">
        <f ca="1"/>
        <v>ON-Cahaya Lestari-00011900+5-6282211473253</v>
      </c>
      <c r="Y188" s="40" t="s">
        <v>293</v>
      </c>
      <c r="Z188" s="40" t="s">
        <v>1057</v>
      </c>
      <c r="AA188" s="23" t="str">
        <v>https://wa.me/6282211473253</v>
      </c>
      <c r="AB188" s="28" t="s">
        <v>1413</v>
      </c>
      <c r="AC188" s="28"/>
      <c r="AD188" s="28" t="s">
        <v>690</v>
      </c>
      <c r="AE188" s="28"/>
      <c r="AF188" s="29"/>
      <c r="AG188" s="29"/>
    </row>
    <row r="189" spans="1:33" ht="15.75" customHeight="1">
      <c r="A189" s="32" t="s">
        <v>196</v>
      </c>
      <c r="B189" s="33">
        <v>192</v>
      </c>
      <c r="C189" s="34" t="s">
        <v>1414</v>
      </c>
      <c r="D189" s="35">
        <v>45837.74462636574</v>
      </c>
      <c r="E189" s="43">
        <v>45837</v>
      </c>
      <c r="F189" s="32" t="s">
        <v>1415</v>
      </c>
      <c r="G189" s="32" t="s">
        <v>1416</v>
      </c>
      <c r="H189" s="32" t="s">
        <v>1417</v>
      </c>
      <c r="I189" s="36" t="s">
        <v>1418</v>
      </c>
      <c r="J189" s="32" t="s">
        <v>1419</v>
      </c>
      <c r="K189" s="32" t="s">
        <v>1420</v>
      </c>
      <c r="L189" s="32" t="s">
        <v>629</v>
      </c>
      <c r="M189" s="32" t="s">
        <v>382</v>
      </c>
      <c r="N189" s="33">
        <v>5</v>
      </c>
      <c r="O189" s="35"/>
      <c r="P189" s="35"/>
      <c r="Q189" s="37"/>
      <c r="R189" s="38"/>
      <c r="S189" s="33"/>
      <c r="T189" s="39">
        <v>197000</v>
      </c>
      <c r="U189" s="40" t="s">
        <v>115</v>
      </c>
      <c r="V189" s="41"/>
      <c r="W189" s="42" t="str">
        <f ca="1">IFERROR(__xludf.DUMMYFUNCTION("""COMPUTED_VALUE"""),"Las Sukses")</f>
        <v>Las Sukses</v>
      </c>
      <c r="X189" s="42" t="str">
        <f ca="1"/>
        <v>ON-Las Sukses-00011900+5-6285774217794</v>
      </c>
      <c r="Y189" s="40" t="s">
        <v>293</v>
      </c>
      <c r="Z189" s="40" t="s">
        <v>1057</v>
      </c>
      <c r="AA189" s="23" t="str">
        <v>https://wa.me/6285774217794</v>
      </c>
      <c r="AB189" s="28" t="s">
        <v>1421</v>
      </c>
      <c r="AC189" s="28"/>
      <c r="AD189" s="28" t="s">
        <v>690</v>
      </c>
      <c r="AE189" s="28"/>
      <c r="AF189" s="29"/>
      <c r="AG189" s="29"/>
    </row>
    <row r="190" spans="1:33" ht="15.75" customHeight="1">
      <c r="A190" s="32" t="s">
        <v>196</v>
      </c>
      <c r="B190" s="33">
        <v>193</v>
      </c>
      <c r="C190" s="34" t="s">
        <v>1422</v>
      </c>
      <c r="D190" s="35">
        <v>45838.559556111111</v>
      </c>
      <c r="E190" s="43">
        <v>45838</v>
      </c>
      <c r="F190" s="32" t="s">
        <v>1423</v>
      </c>
      <c r="G190" s="32" t="s">
        <v>1424</v>
      </c>
      <c r="H190" s="32" t="s">
        <v>1425</v>
      </c>
      <c r="I190" s="36" t="s">
        <v>1426</v>
      </c>
      <c r="J190" s="32" t="s">
        <v>1427</v>
      </c>
      <c r="K190" s="32" t="s">
        <v>1428</v>
      </c>
      <c r="L190" s="32" t="s">
        <v>1429</v>
      </c>
      <c r="M190" s="32" t="s">
        <v>267</v>
      </c>
      <c r="N190" s="33">
        <v>5</v>
      </c>
      <c r="O190" s="35"/>
      <c r="P190" s="35"/>
      <c r="Q190" s="37"/>
      <c r="R190" s="38"/>
      <c r="S190" s="33"/>
      <c r="T190" s="39">
        <v>197000</v>
      </c>
      <c r="U190" s="40" t="s">
        <v>115</v>
      </c>
      <c r="V190" s="41"/>
      <c r="W190" s="42" t="str">
        <f ca="1">IFERROR(__xludf.DUMMYFUNCTION("""COMPUTED_VALUE"""),"Griya Relaxology")</f>
        <v>Griya Relaxology</v>
      </c>
      <c r="X190" s="42" t="str">
        <f ca="1"/>
        <v>ON-Griya Relaxology-00011900+5-6285869122507</v>
      </c>
      <c r="Y190" s="40" t="s">
        <v>62</v>
      </c>
      <c r="Z190" s="40" t="s">
        <v>639</v>
      </c>
      <c r="AA190" s="23" t="str">
        <v>https://wa.me/6285869122507</v>
      </c>
      <c r="AB190" s="28" t="s">
        <v>1430</v>
      </c>
      <c r="AC190" s="28"/>
      <c r="AD190" s="28" t="s">
        <v>690</v>
      </c>
      <c r="AE190" s="28"/>
      <c r="AF190" s="29"/>
      <c r="AG190" s="29"/>
    </row>
    <row r="191" spans="1:33" ht="15.75" customHeight="1">
      <c r="A191" s="32" t="s">
        <v>196</v>
      </c>
      <c r="B191" s="33">
        <v>194</v>
      </c>
      <c r="C191" s="34" t="s">
        <v>1431</v>
      </c>
      <c r="D191" s="35">
        <v>45838.717544317129</v>
      </c>
      <c r="E191" s="43">
        <v>45838</v>
      </c>
      <c r="F191" s="32" t="s">
        <v>1432</v>
      </c>
      <c r="G191" s="32" t="s">
        <v>1433</v>
      </c>
      <c r="H191" s="32" t="s">
        <v>1434</v>
      </c>
      <c r="I191" s="36" t="s">
        <v>1435</v>
      </c>
      <c r="J191" s="32" t="s">
        <v>1436</v>
      </c>
      <c r="K191" s="32" t="s">
        <v>1437</v>
      </c>
      <c r="L191" s="32" t="s">
        <v>166</v>
      </c>
      <c r="M191" s="32" t="s">
        <v>1438</v>
      </c>
      <c r="N191" s="33">
        <v>5</v>
      </c>
      <c r="O191" s="35"/>
      <c r="P191" s="35"/>
      <c r="Q191" s="37"/>
      <c r="R191" s="38"/>
      <c r="S191" s="33"/>
      <c r="T191" s="39">
        <v>197000</v>
      </c>
      <c r="U191" s="40" t="s">
        <v>115</v>
      </c>
      <c r="V191" s="41"/>
      <c r="W191" s="42" t="str">
        <f ca="1">IFERROR(__xludf.DUMMYFUNCTION("""COMPUTED_VALUE"""),"Thibun nabawi")</f>
        <v>Thibun nabawi</v>
      </c>
      <c r="X191" s="42" t="str">
        <f ca="1"/>
        <v>ON-Thibun nabawi-00011900+5-6285263289844</v>
      </c>
      <c r="Y191" s="40" t="s">
        <v>62</v>
      </c>
      <c r="Z191" s="40" t="s">
        <v>639</v>
      </c>
      <c r="AA191" s="23" t="str">
        <v>https://wa.me/6285263289844</v>
      </c>
      <c r="AB191" s="28" t="s">
        <v>1439</v>
      </c>
      <c r="AC191" s="28"/>
      <c r="AD191" s="28" t="s">
        <v>690</v>
      </c>
      <c r="AE191" s="28"/>
      <c r="AF191" s="29"/>
      <c r="AG191" s="29"/>
    </row>
    <row r="192" spans="1:33" ht="15.75" customHeight="1">
      <c r="A192" s="32" t="s">
        <v>196</v>
      </c>
      <c r="B192" s="33">
        <v>195</v>
      </c>
      <c r="C192" s="34" t="s">
        <v>1440</v>
      </c>
      <c r="D192" s="35">
        <v>45838.851652025463</v>
      </c>
      <c r="E192" s="43">
        <v>45838</v>
      </c>
      <c r="F192" s="32" t="s">
        <v>1441</v>
      </c>
      <c r="G192" s="32" t="s">
        <v>1442</v>
      </c>
      <c r="H192" s="32" t="s">
        <v>1443</v>
      </c>
      <c r="I192" s="36" t="s">
        <v>1444</v>
      </c>
      <c r="J192" s="32" t="s">
        <v>1445</v>
      </c>
      <c r="K192" s="32" t="s">
        <v>1381</v>
      </c>
      <c r="L192" s="32" t="s">
        <v>1446</v>
      </c>
      <c r="M192" s="32" t="s">
        <v>726</v>
      </c>
      <c r="N192" s="33">
        <v>5</v>
      </c>
      <c r="O192" s="35">
        <v>45839</v>
      </c>
      <c r="P192" s="35">
        <v>45844</v>
      </c>
      <c r="Q192" s="37"/>
      <c r="R192" s="38"/>
      <c r="S192" s="33"/>
      <c r="T192" s="39">
        <v>197000</v>
      </c>
      <c r="U192" s="40" t="s">
        <v>115</v>
      </c>
      <c r="V192" s="41"/>
      <c r="W192" s="42" t="str">
        <f ca="1">IFERROR(__xludf.DUMMYFUNCTION("""COMPUTED_VALUE"""),"Allang Transport")</f>
        <v>Allang Transport</v>
      </c>
      <c r="X192" s="42" t="str">
        <f ca="1"/>
        <v>ON-Allang Transport-00011900+5-6282247030008</v>
      </c>
      <c r="Y192" s="40" t="s">
        <v>62</v>
      </c>
      <c r="Z192" s="40" t="s">
        <v>214</v>
      </c>
      <c r="AA192" s="23" t="str">
        <v>https://wa.me/6282247030008</v>
      </c>
      <c r="AB192" s="28" t="s">
        <v>1447</v>
      </c>
      <c r="AC192" s="28"/>
      <c r="AD192" s="28" t="s">
        <v>690</v>
      </c>
      <c r="AE192" s="28"/>
      <c r="AF192" s="29"/>
      <c r="AG192" s="29"/>
    </row>
    <row r="193" spans="1:33" ht="15.75" customHeight="1">
      <c r="A193" s="32" t="s">
        <v>196</v>
      </c>
      <c r="B193" s="33">
        <v>196</v>
      </c>
      <c r="C193" s="34" t="s">
        <v>1448</v>
      </c>
      <c r="D193" s="35">
        <v>45839.311149803238</v>
      </c>
      <c r="E193" s="43">
        <v>45839</v>
      </c>
      <c r="F193" s="32" t="s">
        <v>1449</v>
      </c>
      <c r="G193" s="32" t="s">
        <v>1450</v>
      </c>
      <c r="H193" s="32" t="s">
        <v>1451</v>
      </c>
      <c r="I193" s="36" t="s">
        <v>1452</v>
      </c>
      <c r="J193" s="32"/>
      <c r="K193" s="32" t="s">
        <v>1453</v>
      </c>
      <c r="L193" s="32" t="s">
        <v>1454</v>
      </c>
      <c r="M193" s="32" t="s">
        <v>382</v>
      </c>
      <c r="N193" s="33">
        <v>5</v>
      </c>
      <c r="O193" s="35"/>
      <c r="P193" s="35"/>
      <c r="Q193" s="37"/>
      <c r="R193" s="38"/>
      <c r="S193" s="33"/>
      <c r="T193" s="39">
        <v>197000</v>
      </c>
      <c r="U193" s="40" t="s">
        <v>115</v>
      </c>
      <c r="V193" s="41"/>
      <c r="W193" s="42" t="str">
        <f ca="1">IFERROR(__xludf.DUMMYFUNCTION("""COMPUTED_VALUE"""),"Terapis Ahli")</f>
        <v>Terapis Ahli</v>
      </c>
      <c r="X193" s="42" t="str">
        <f ca="1"/>
        <v>ON-Terapis Ahli-00011900+5-6282131666003</v>
      </c>
      <c r="Y193" s="40" t="s">
        <v>62</v>
      </c>
      <c r="Z193" s="40" t="s">
        <v>639</v>
      </c>
      <c r="AA193" s="23" t="str">
        <v>https://wa.me/6282131666003</v>
      </c>
      <c r="AB193" s="28" t="s">
        <v>1455</v>
      </c>
      <c r="AC193" s="28"/>
      <c r="AD193" s="28" t="s">
        <v>690</v>
      </c>
      <c r="AE193" s="28"/>
      <c r="AF193" s="29"/>
      <c r="AG193" s="29"/>
    </row>
    <row r="194" spans="1:33" ht="15.75" customHeight="1">
      <c r="A194" s="32" t="s">
        <v>196</v>
      </c>
      <c r="B194" s="33">
        <v>197</v>
      </c>
      <c r="C194" s="34" t="s">
        <v>1456</v>
      </c>
      <c r="D194" s="35">
        <v>45839.331837465274</v>
      </c>
      <c r="E194" s="43">
        <v>45839</v>
      </c>
      <c r="F194" s="32" t="s">
        <v>642</v>
      </c>
      <c r="G194" s="32" t="s">
        <v>643</v>
      </c>
      <c r="H194" s="32" t="s">
        <v>644</v>
      </c>
      <c r="I194" s="36" t="s">
        <v>645</v>
      </c>
      <c r="J194" s="32" t="s">
        <v>1457</v>
      </c>
      <c r="K194" s="32" t="s">
        <v>646</v>
      </c>
      <c r="L194" s="32" t="s">
        <v>647</v>
      </c>
      <c r="M194" s="32" t="s">
        <v>382</v>
      </c>
      <c r="N194" s="33">
        <v>10</v>
      </c>
      <c r="O194" s="35"/>
      <c r="P194" s="35"/>
      <c r="Q194" s="37"/>
      <c r="R194" s="38"/>
      <c r="S194" s="33"/>
      <c r="T194" s="39">
        <v>375000</v>
      </c>
      <c r="U194" s="40" t="s">
        <v>115</v>
      </c>
      <c r="V194" s="41"/>
      <c r="W194" s="42" t="str">
        <f ca="1">IFERROR(__xludf.DUMMYFUNCTION("""COMPUTED_VALUE"""),"CV Fajar")</f>
        <v>CV Fajar</v>
      </c>
      <c r="X194" s="42" t="str">
        <f ca="1"/>
        <v>ON-CV Fajar-00011900+10-6281338789995</v>
      </c>
      <c r="Y194" s="40"/>
      <c r="Z194" s="40"/>
      <c r="AA194" s="23" t="str">
        <v>https://wa.me/6281338789995</v>
      </c>
      <c r="AB194" s="28"/>
      <c r="AC194" s="28"/>
      <c r="AD194" s="28" t="s">
        <v>690</v>
      </c>
      <c r="AE194" s="28"/>
      <c r="AF194" s="29"/>
      <c r="AG194" s="29"/>
    </row>
    <row r="195" spans="1:33" ht="15.75" customHeight="1">
      <c r="A195" s="32" t="s">
        <v>196</v>
      </c>
      <c r="B195" s="33">
        <v>198</v>
      </c>
      <c r="C195" s="34" t="s">
        <v>1458</v>
      </c>
      <c r="D195" s="35">
        <v>45839.360184386576</v>
      </c>
      <c r="E195" s="43">
        <v>45839</v>
      </c>
      <c r="F195" s="32" t="s">
        <v>1459</v>
      </c>
      <c r="G195" s="32" t="s">
        <v>1460</v>
      </c>
      <c r="H195" s="32" t="s">
        <v>1461</v>
      </c>
      <c r="I195" s="36" t="s">
        <v>1462</v>
      </c>
      <c r="J195" s="32" t="s">
        <v>1463</v>
      </c>
      <c r="K195" s="32" t="s">
        <v>1464</v>
      </c>
      <c r="L195" s="32" t="s">
        <v>1446</v>
      </c>
      <c r="M195" s="32" t="s">
        <v>382</v>
      </c>
      <c r="N195" s="33">
        <v>10</v>
      </c>
      <c r="O195" s="35"/>
      <c r="P195" s="35"/>
      <c r="Q195" s="37"/>
      <c r="R195" s="38"/>
      <c r="S195" s="33"/>
      <c r="T195" s="39">
        <v>375000</v>
      </c>
      <c r="U195" s="40" t="s">
        <v>115</v>
      </c>
      <c r="V195" s="41"/>
      <c r="W195" s="42" t="str">
        <f ca="1">IFERROR(__xludf.DUMMYFUNCTION("""COMPUTED_VALUE"""),"Rumoh Aceh")</f>
        <v>Rumoh Aceh</v>
      </c>
      <c r="X195" s="42" t="str">
        <f ca="1"/>
        <v>ON-Rumoh Aceh-00011900+10-6281323910830</v>
      </c>
      <c r="Y195" s="40" t="s">
        <v>62</v>
      </c>
      <c r="Z195" s="40" t="s">
        <v>1465</v>
      </c>
      <c r="AA195" s="23" t="str">
        <v>https://wa.me/6281323910830</v>
      </c>
      <c r="AB195" s="28" t="s">
        <v>1466</v>
      </c>
      <c r="AC195" s="28"/>
      <c r="AD195" s="28" t="s">
        <v>690</v>
      </c>
      <c r="AE195" s="28"/>
      <c r="AF195" s="29"/>
      <c r="AG195" s="29"/>
    </row>
    <row r="196" spans="1:33" ht="15.75" customHeight="1">
      <c r="A196" s="32" t="s">
        <v>196</v>
      </c>
      <c r="B196" s="33">
        <v>199</v>
      </c>
      <c r="C196" s="34" t="s">
        <v>1467</v>
      </c>
      <c r="D196" s="35">
        <v>45839.372396493054</v>
      </c>
      <c r="E196" s="43">
        <v>45838</v>
      </c>
      <c r="F196" s="32" t="s">
        <v>1468</v>
      </c>
      <c r="G196" s="32" t="s">
        <v>1469</v>
      </c>
      <c r="H196" s="32" t="s">
        <v>1470</v>
      </c>
      <c r="I196" s="36" t="s">
        <v>1471</v>
      </c>
      <c r="J196" s="32" t="s">
        <v>1472</v>
      </c>
      <c r="K196" s="32" t="s">
        <v>1473</v>
      </c>
      <c r="L196" s="32" t="s">
        <v>1474</v>
      </c>
      <c r="M196" s="32" t="s">
        <v>131</v>
      </c>
      <c r="N196" s="33">
        <v>5</v>
      </c>
      <c r="O196" s="35"/>
      <c r="P196" s="35"/>
      <c r="Q196" s="37"/>
      <c r="R196" s="38"/>
      <c r="S196" s="33"/>
      <c r="T196" s="39">
        <v>197000</v>
      </c>
      <c r="U196" s="40" t="s">
        <v>61</v>
      </c>
      <c r="V196" s="41"/>
      <c r="W196" s="42" t="str">
        <f ca="1">IFERROR(__xludf.DUMMYFUNCTION("""COMPUTED_VALUE"""),"Pelatihan Bekan")</f>
        <v>Pelatihan Bekan</v>
      </c>
      <c r="X196" s="42" t="str">
        <f ca="1"/>
        <v>ON-Pelatihan Bekan-00011900+5-6282285691485</v>
      </c>
      <c r="Y196" s="40" t="s">
        <v>50</v>
      </c>
      <c r="Z196" s="40" t="s">
        <v>639</v>
      </c>
      <c r="AA196" s="23" t="str">
        <v>https://wa.me/6282285691485</v>
      </c>
      <c r="AB196" s="28" t="s">
        <v>1475</v>
      </c>
      <c r="AC196" s="28"/>
      <c r="AD196" s="28" t="s">
        <v>690</v>
      </c>
      <c r="AE196" s="28"/>
      <c r="AF196" s="29"/>
      <c r="AG196" s="29"/>
    </row>
    <row r="197" spans="1:33" ht="15.75" customHeight="1">
      <c r="A197" s="32" t="s">
        <v>196</v>
      </c>
      <c r="B197" s="33">
        <v>201</v>
      </c>
      <c r="C197" s="34" t="s">
        <v>1476</v>
      </c>
      <c r="D197" s="35">
        <v>45839.374970648147</v>
      </c>
      <c r="E197" s="43">
        <v>45838</v>
      </c>
      <c r="F197" s="32" t="s">
        <v>1477</v>
      </c>
      <c r="G197" s="32" t="s">
        <v>1478</v>
      </c>
      <c r="H197" s="32" t="s">
        <v>1479</v>
      </c>
      <c r="I197" s="36" t="s">
        <v>1480</v>
      </c>
      <c r="J197" s="32" t="s">
        <v>1481</v>
      </c>
      <c r="K197" s="32" t="s">
        <v>1482</v>
      </c>
      <c r="L197" s="32"/>
      <c r="M197" s="32"/>
      <c r="N197" s="33">
        <v>5</v>
      </c>
      <c r="O197" s="35"/>
      <c r="P197" s="35"/>
      <c r="Q197" s="37"/>
      <c r="R197" s="38"/>
      <c r="S197" s="33"/>
      <c r="T197" s="39">
        <v>197000</v>
      </c>
      <c r="U197" s="40" t="s">
        <v>61</v>
      </c>
      <c r="V197" s="41"/>
      <c r="W197" s="42" t="str">
        <f ca="1">IFERROR(__xludf.DUMMYFUNCTION("""COMPUTED_VALUE"""),"Mega Karya")</f>
        <v>Mega Karya</v>
      </c>
      <c r="X197" s="42" t="str">
        <f ca="1"/>
        <v>ON-Mega Karya-00011900+5-6281352626888</v>
      </c>
      <c r="Y197" s="40" t="s">
        <v>62</v>
      </c>
      <c r="Z197" s="40" t="s">
        <v>1465</v>
      </c>
      <c r="AA197" s="23" t="str">
        <v>https://wa.me/6281352626888</v>
      </c>
      <c r="AB197" s="28" t="s">
        <v>1483</v>
      </c>
      <c r="AC197" s="28"/>
      <c r="AD197" s="28" t="s">
        <v>690</v>
      </c>
      <c r="AE197" s="28"/>
      <c r="AF197" s="29"/>
      <c r="AG197" s="29"/>
    </row>
    <row r="198" spans="1:33" ht="15.75" customHeight="1">
      <c r="A198" s="32" t="s">
        <v>196</v>
      </c>
      <c r="B198" s="33">
        <v>202</v>
      </c>
      <c r="C198" s="34" t="s">
        <v>1484</v>
      </c>
      <c r="D198" s="35">
        <v>45839.377935474535</v>
      </c>
      <c r="E198" s="43">
        <v>45838</v>
      </c>
      <c r="F198" s="32" t="s">
        <v>1485</v>
      </c>
      <c r="G198" s="32" t="s">
        <v>1486</v>
      </c>
      <c r="H198" s="32" t="s">
        <v>1487</v>
      </c>
      <c r="I198" s="36" t="s">
        <v>1488</v>
      </c>
      <c r="J198" s="32" t="s">
        <v>1489</v>
      </c>
      <c r="K198" s="32" t="s">
        <v>1490</v>
      </c>
      <c r="L198" s="32" t="s">
        <v>1491</v>
      </c>
      <c r="M198" s="32" t="s">
        <v>285</v>
      </c>
      <c r="N198" s="33">
        <v>10</v>
      </c>
      <c r="O198" s="35"/>
      <c r="P198" s="35"/>
      <c r="Q198" s="37"/>
      <c r="R198" s="38"/>
      <c r="S198" s="33"/>
      <c r="T198" s="39">
        <v>375000</v>
      </c>
      <c r="U198" s="40" t="s">
        <v>61</v>
      </c>
      <c r="V198" s="41"/>
      <c r="W198" s="42" t="str">
        <f ca="1">IFERROR(__xludf.DUMMYFUNCTION("""COMPUTED_VALUE"""),"Melek Tea")</f>
        <v>Melek Tea</v>
      </c>
      <c r="X198" s="42" t="str">
        <f ca="1"/>
        <v>ON-Melek Tea-00011900+10-6285727410479</v>
      </c>
      <c r="Y198" s="40" t="s">
        <v>62</v>
      </c>
      <c r="Z198" s="40" t="s">
        <v>1465</v>
      </c>
      <c r="AA198" s="23" t="str">
        <v>https://wa.me/6285727410479</v>
      </c>
      <c r="AB198" s="28" t="s">
        <v>1492</v>
      </c>
      <c r="AC198" s="28"/>
      <c r="AD198" s="28" t="s">
        <v>690</v>
      </c>
      <c r="AE198" s="28"/>
      <c r="AF198" s="29"/>
      <c r="AG198" s="29"/>
    </row>
    <row r="199" spans="1:33" ht="15.75" customHeight="1">
      <c r="A199" s="32" t="s">
        <v>196</v>
      </c>
      <c r="B199" s="33">
        <v>203</v>
      </c>
      <c r="C199" s="34" t="s">
        <v>1493</v>
      </c>
      <c r="D199" s="35">
        <v>45839.383220081014</v>
      </c>
      <c r="E199" s="43">
        <v>45838</v>
      </c>
      <c r="F199" s="32" t="s">
        <v>1494</v>
      </c>
      <c r="G199" s="32" t="s">
        <v>1495</v>
      </c>
      <c r="H199" s="32" t="s">
        <v>1496</v>
      </c>
      <c r="I199" s="36" t="s">
        <v>1497</v>
      </c>
      <c r="J199" s="32" t="s">
        <v>1498</v>
      </c>
      <c r="K199" s="32" t="s">
        <v>92</v>
      </c>
      <c r="L199" s="32" t="s">
        <v>92</v>
      </c>
      <c r="M199" s="32" t="s">
        <v>92</v>
      </c>
      <c r="N199" s="33">
        <v>5</v>
      </c>
      <c r="O199" s="35"/>
      <c r="P199" s="35"/>
      <c r="Q199" s="37"/>
      <c r="R199" s="38"/>
      <c r="S199" s="33"/>
      <c r="T199" s="39">
        <v>197000</v>
      </c>
      <c r="U199" s="40" t="s">
        <v>61</v>
      </c>
      <c r="V199" s="41"/>
      <c r="W199" s="42" t="str">
        <f ca="1">IFERROR(__xludf.DUMMYFUNCTION("""COMPUTED_VALUE"""),"MRX Lovina")</f>
        <v>MRX Lovina</v>
      </c>
      <c r="X199" s="42" t="str">
        <f ca="1"/>
        <v>ON-MRX Lovina-00011900+5-6281246211381</v>
      </c>
      <c r="Y199" s="40" t="s">
        <v>50</v>
      </c>
      <c r="Z199" s="40" t="s">
        <v>1465</v>
      </c>
      <c r="AA199" s="23" t="str">
        <v>https://wa.me/6281246211381</v>
      </c>
      <c r="AB199" s="28" t="s">
        <v>1499</v>
      </c>
      <c r="AC199" s="28"/>
      <c r="AD199" s="28" t="s">
        <v>690</v>
      </c>
      <c r="AE199" s="28"/>
      <c r="AF199" s="29"/>
      <c r="AG199" s="29"/>
    </row>
    <row r="200" spans="1:33" ht="15.75" customHeight="1">
      <c r="A200" s="32" t="s">
        <v>196</v>
      </c>
      <c r="B200" s="33">
        <v>204</v>
      </c>
      <c r="C200" s="34" t="s">
        <v>1500</v>
      </c>
      <c r="D200" s="35">
        <v>45839.392751087958</v>
      </c>
      <c r="E200" s="43">
        <v>45835</v>
      </c>
      <c r="F200" s="32" t="s">
        <v>1501</v>
      </c>
      <c r="G200" s="32" t="s">
        <v>1502</v>
      </c>
      <c r="H200" s="32" t="s">
        <v>1503</v>
      </c>
      <c r="I200" s="36" t="s">
        <v>1504</v>
      </c>
      <c r="J200" s="32" t="s">
        <v>1505</v>
      </c>
      <c r="K200" s="32" t="s">
        <v>1506</v>
      </c>
      <c r="L200" s="32" t="s">
        <v>1507</v>
      </c>
      <c r="M200" s="32" t="s">
        <v>1508</v>
      </c>
      <c r="N200" s="33">
        <v>5</v>
      </c>
      <c r="O200" s="35"/>
      <c r="P200" s="35"/>
      <c r="Q200" s="37"/>
      <c r="R200" s="38"/>
      <c r="S200" s="33"/>
      <c r="T200" s="39">
        <v>197000</v>
      </c>
      <c r="U200" s="40" t="s">
        <v>49</v>
      </c>
      <c r="V200" s="41"/>
      <c r="W200" s="42" t="str">
        <f ca="1">IFERROR(__xludf.DUMMYFUNCTION("""COMPUTED_VALUE"""),"Griya srikandi")</f>
        <v>Griya srikandi</v>
      </c>
      <c r="X200" s="42" t="str">
        <f ca="1"/>
        <v>ON-Griya srikandi-00011900+5-6282188390340</v>
      </c>
      <c r="Y200" s="40" t="s">
        <v>62</v>
      </c>
      <c r="Z200" s="40" t="s">
        <v>639</v>
      </c>
      <c r="AA200" s="23" t="str">
        <v>https://wa.me/6282188390340</v>
      </c>
      <c r="AB200" s="28" t="s">
        <v>1509</v>
      </c>
      <c r="AC200" s="28"/>
      <c r="AD200" s="28" t="s">
        <v>690</v>
      </c>
      <c r="AE200" s="28"/>
      <c r="AF200" s="29"/>
      <c r="AG200" s="29"/>
    </row>
    <row r="201" spans="1:33" ht="15.75" customHeight="1">
      <c r="A201" s="32" t="s">
        <v>196</v>
      </c>
      <c r="B201" s="33">
        <v>205</v>
      </c>
      <c r="C201" s="34" t="s">
        <v>1510</v>
      </c>
      <c r="D201" s="35">
        <v>45839.414255451389</v>
      </c>
      <c r="E201" s="43">
        <v>45834</v>
      </c>
      <c r="F201" s="32" t="s">
        <v>1511</v>
      </c>
      <c r="G201" s="32" t="s">
        <v>1512</v>
      </c>
      <c r="H201" s="32" t="s">
        <v>1513</v>
      </c>
      <c r="I201" s="36" t="s">
        <v>1514</v>
      </c>
      <c r="J201" s="32" t="s">
        <v>1515</v>
      </c>
      <c r="K201" s="32" t="s">
        <v>1516</v>
      </c>
      <c r="L201" s="32" t="s">
        <v>1517</v>
      </c>
      <c r="M201" s="32" t="s">
        <v>285</v>
      </c>
      <c r="N201" s="33">
        <v>5</v>
      </c>
      <c r="O201" s="35"/>
      <c r="P201" s="35"/>
      <c r="Q201" s="37"/>
      <c r="R201" s="38"/>
      <c r="S201" s="33"/>
      <c r="T201" s="39">
        <v>197000</v>
      </c>
      <c r="U201" s="40" t="s">
        <v>49</v>
      </c>
      <c r="V201" s="41"/>
      <c r="W201" s="42" t="str">
        <f ca="1">IFERROR(__xludf.DUMMYFUNCTION("""COMPUTED_VALUE"""),"Hara Utama")</f>
        <v>Hara Utama</v>
      </c>
      <c r="X201" s="42" t="str">
        <f ca="1"/>
        <v>ON-Hara Utama-00011900+5-6288980619907</v>
      </c>
      <c r="Y201" s="40" t="s">
        <v>293</v>
      </c>
      <c r="Z201" s="40" t="s">
        <v>1057</v>
      </c>
      <c r="AA201" s="23" t="str">
        <v>https://wa.me/6288980619907</v>
      </c>
      <c r="AB201" s="28" t="s">
        <v>1518</v>
      </c>
      <c r="AC201" s="28"/>
      <c r="AD201" s="28" t="s">
        <v>690</v>
      </c>
      <c r="AE201" s="28"/>
      <c r="AF201" s="29"/>
      <c r="AG201" s="29"/>
    </row>
    <row r="202" spans="1:33" ht="15.75" customHeight="1">
      <c r="A202" s="32" t="s">
        <v>196</v>
      </c>
      <c r="B202" s="33">
        <v>206</v>
      </c>
      <c r="C202" s="34" t="s">
        <v>1519</v>
      </c>
      <c r="D202" s="35">
        <v>45839.416395335647</v>
      </c>
      <c r="E202" s="43">
        <v>45837</v>
      </c>
      <c r="F202" s="32" t="s">
        <v>1520</v>
      </c>
      <c r="G202" s="32" t="s">
        <v>1521</v>
      </c>
      <c r="H202" s="32" t="s">
        <v>1522</v>
      </c>
      <c r="I202" s="36" t="s">
        <v>1523</v>
      </c>
      <c r="J202" s="32" t="s">
        <v>1524</v>
      </c>
      <c r="K202" s="32" t="s">
        <v>1525</v>
      </c>
      <c r="L202" s="32" t="s">
        <v>1526</v>
      </c>
      <c r="M202" s="32" t="s">
        <v>187</v>
      </c>
      <c r="N202" s="33">
        <v>5</v>
      </c>
      <c r="O202" s="35"/>
      <c r="P202" s="35"/>
      <c r="Q202" s="37"/>
      <c r="R202" s="38"/>
      <c r="S202" s="33"/>
      <c r="T202" s="39">
        <v>197000</v>
      </c>
      <c r="U202" s="40" t="s">
        <v>49</v>
      </c>
      <c r="V202" s="41"/>
      <c r="W202" s="42" t="str">
        <f ca="1">IFERROR(__xludf.DUMMYFUNCTION("""COMPUTED_VALUE"""),"Sport Massage")</f>
        <v>Sport Massage</v>
      </c>
      <c r="X202" s="42" t="str">
        <f ca="1"/>
        <v>ON-Sport Massage-00011900+5-6282114053996</v>
      </c>
      <c r="Y202" s="40" t="s">
        <v>62</v>
      </c>
      <c r="Z202" s="40" t="s">
        <v>639</v>
      </c>
      <c r="AA202" s="23" t="str">
        <v>https://wa.me/6282114053996</v>
      </c>
      <c r="AB202" s="28" t="s">
        <v>1527</v>
      </c>
      <c r="AC202" s="28"/>
      <c r="AD202" s="28" t="s">
        <v>690</v>
      </c>
      <c r="AE202" s="28"/>
      <c r="AF202" s="29"/>
      <c r="AG202" s="29"/>
    </row>
    <row r="203" spans="1:33" ht="15.75" customHeight="1">
      <c r="A203" s="32" t="s">
        <v>196</v>
      </c>
      <c r="B203" s="33">
        <v>207</v>
      </c>
      <c r="C203" s="34" t="s">
        <v>1528</v>
      </c>
      <c r="D203" s="35">
        <v>45839.426979467593</v>
      </c>
      <c r="E203" s="43">
        <v>45835</v>
      </c>
      <c r="F203" s="32" t="s">
        <v>1529</v>
      </c>
      <c r="G203" s="32" t="s">
        <v>1530</v>
      </c>
      <c r="H203" s="32" t="s">
        <v>1531</v>
      </c>
      <c r="I203" s="36" t="s">
        <v>1532</v>
      </c>
      <c r="J203" s="32"/>
      <c r="K203" s="32" t="s">
        <v>570</v>
      </c>
      <c r="L203" s="32" t="s">
        <v>1533</v>
      </c>
      <c r="M203" s="32" t="s">
        <v>1534</v>
      </c>
      <c r="N203" s="33">
        <v>30</v>
      </c>
      <c r="O203" s="35"/>
      <c r="P203" s="35"/>
      <c r="Q203" s="37"/>
      <c r="R203" s="38"/>
      <c r="S203" s="33"/>
      <c r="T203" s="39">
        <v>1000000</v>
      </c>
      <c r="U203" s="40" t="s">
        <v>49</v>
      </c>
      <c r="V203" s="41"/>
      <c r="W203" s="42" t="str">
        <f ca="1">IFERROR(__xludf.DUMMYFUNCTION("""COMPUTED_VALUE"""),"Johan distributor")</f>
        <v>Johan distributor</v>
      </c>
      <c r="X203" s="42" t="str">
        <f ca="1"/>
        <v>ON-Johan distributor-00011900+30-628111988553</v>
      </c>
      <c r="Y203" s="40" t="s">
        <v>50</v>
      </c>
      <c r="Z203" s="40" t="s">
        <v>1057</v>
      </c>
      <c r="AA203" s="23" t="str">
        <v>https://wa.me/628111988553</v>
      </c>
      <c r="AB203" s="28" t="s">
        <v>1535</v>
      </c>
      <c r="AC203" s="28"/>
      <c r="AD203" s="28" t="s">
        <v>690</v>
      </c>
      <c r="AE203" s="28"/>
      <c r="AF203" s="29"/>
      <c r="AG203" s="29"/>
    </row>
    <row r="204" spans="1:33" ht="15.75" customHeight="1">
      <c r="A204" s="32" t="s">
        <v>196</v>
      </c>
      <c r="B204" s="33">
        <v>208</v>
      </c>
      <c r="C204" s="34" t="s">
        <v>1536</v>
      </c>
      <c r="D204" s="43">
        <v>46055</v>
      </c>
      <c r="E204" s="43">
        <v>45836</v>
      </c>
      <c r="F204" s="32" t="s">
        <v>1537</v>
      </c>
      <c r="G204" s="32" t="s">
        <v>1538</v>
      </c>
      <c r="H204" s="32" t="s">
        <v>1539</v>
      </c>
      <c r="I204" s="36" t="s">
        <v>1540</v>
      </c>
      <c r="J204" s="32"/>
      <c r="K204" s="32" t="s">
        <v>1541</v>
      </c>
      <c r="L204" s="32" t="s">
        <v>1542</v>
      </c>
      <c r="M204" s="32" t="s">
        <v>60</v>
      </c>
      <c r="N204" s="33">
        <v>30</v>
      </c>
      <c r="O204" s="35"/>
      <c r="P204" s="35"/>
      <c r="Q204" s="37"/>
      <c r="R204" s="38">
        <v>-1003470351325</v>
      </c>
      <c r="S204" s="33"/>
      <c r="T204" s="39">
        <v>1000000</v>
      </c>
      <c r="U204" s="40" t="s">
        <v>61</v>
      </c>
      <c r="V204" s="47">
        <v>46056.260288622681</v>
      </c>
      <c r="W204" s="42" t="str">
        <f ca="1">IFERROR(__xludf.DUMMYFUNCTION("""COMPUTED_VALUE"""),"Mitra Bangun")</f>
        <v>Mitra Bangun</v>
      </c>
      <c r="X204" s="42" t="str">
        <f ca="1"/>
        <v>ON-Mitra Bangun-03022026+30-6282338171577</v>
      </c>
      <c r="Y204" s="40" t="s">
        <v>293</v>
      </c>
      <c r="Z204" s="40" t="s">
        <v>1057</v>
      </c>
      <c r="AA204" s="23" t="str">
        <v>https://wa.me/6282338171577</v>
      </c>
      <c r="AB204" s="28" t="s">
        <v>1543</v>
      </c>
      <c r="AC204" s="28"/>
      <c r="AD204" s="28" t="s">
        <v>690</v>
      </c>
      <c r="AE204" s="28"/>
      <c r="AF204" s="29"/>
      <c r="AG204" s="29"/>
    </row>
    <row r="205" spans="1:33" ht="15.75" customHeight="1">
      <c r="A205" s="32" t="s">
        <v>196</v>
      </c>
      <c r="B205" s="33">
        <v>209</v>
      </c>
      <c r="C205" s="34" t="s">
        <v>1544</v>
      </c>
      <c r="D205" s="35">
        <v>45839.696825914347</v>
      </c>
      <c r="E205" s="43">
        <v>45839</v>
      </c>
      <c r="F205" s="32" t="s">
        <v>1545</v>
      </c>
      <c r="G205" s="32" t="s">
        <v>1546</v>
      </c>
      <c r="H205" s="32" t="s">
        <v>1547</v>
      </c>
      <c r="I205" s="36" t="s">
        <v>1548</v>
      </c>
      <c r="J205" s="32"/>
      <c r="K205" s="32" t="s">
        <v>1549</v>
      </c>
      <c r="L205" s="32" t="s">
        <v>1550</v>
      </c>
      <c r="M205" s="32" t="s">
        <v>382</v>
      </c>
      <c r="N205" s="33">
        <v>5</v>
      </c>
      <c r="O205" s="35"/>
      <c r="P205" s="35"/>
      <c r="Q205" s="37"/>
      <c r="R205" s="38"/>
      <c r="S205" s="33"/>
      <c r="T205" s="39">
        <v>197000</v>
      </c>
      <c r="U205" s="40" t="s">
        <v>115</v>
      </c>
      <c r="V205" s="41"/>
      <c r="W205" s="42" t="str">
        <f ca="1">IFERROR(__xludf.DUMMYFUNCTION("""COMPUTED_VALUE"""),"Al Bayt")</f>
        <v>Al Bayt</v>
      </c>
      <c r="X205" s="42" t="str">
        <f ca="1"/>
        <v>ON-Al Bayt-00011900+5-62882003293835</v>
      </c>
      <c r="Y205" s="40" t="s">
        <v>50</v>
      </c>
      <c r="Z205" s="40" t="s">
        <v>1465</v>
      </c>
      <c r="AA205" s="23" t="str">
        <v>https://wa.me/62882003293835</v>
      </c>
      <c r="AB205" s="28" t="s">
        <v>1551</v>
      </c>
      <c r="AC205" s="28"/>
      <c r="AD205" s="28" t="s">
        <v>690</v>
      </c>
      <c r="AE205" s="28"/>
      <c r="AF205" s="29"/>
      <c r="AG205" s="29"/>
    </row>
    <row r="206" spans="1:33" ht="15.75" customHeight="1">
      <c r="A206" s="32" t="s">
        <v>196</v>
      </c>
      <c r="B206" s="33">
        <v>210</v>
      </c>
      <c r="C206" s="34" t="s">
        <v>1552</v>
      </c>
      <c r="D206" s="35">
        <v>45839.701989652778</v>
      </c>
      <c r="E206" s="43">
        <v>45839</v>
      </c>
      <c r="F206" s="32" t="s">
        <v>1553</v>
      </c>
      <c r="G206" s="32" t="s">
        <v>1554</v>
      </c>
      <c r="H206" s="32" t="s">
        <v>1555</v>
      </c>
      <c r="I206" s="36" t="s">
        <v>1556</v>
      </c>
      <c r="J206" s="32"/>
      <c r="K206" s="32" t="s">
        <v>1557</v>
      </c>
      <c r="L206" s="32" t="s">
        <v>1474</v>
      </c>
      <c r="M206" s="32" t="s">
        <v>1558</v>
      </c>
      <c r="N206" s="33">
        <v>5</v>
      </c>
      <c r="O206" s="35">
        <v>45841</v>
      </c>
      <c r="P206" s="35">
        <v>45846</v>
      </c>
      <c r="Q206" s="37"/>
      <c r="R206" s="38"/>
      <c r="S206" s="33"/>
      <c r="T206" s="39">
        <v>197000</v>
      </c>
      <c r="U206" s="40" t="s">
        <v>61</v>
      </c>
      <c r="V206" s="41"/>
      <c r="W206" s="42" t="str">
        <f ca="1">IFERROR(__xludf.DUMMYFUNCTION("""COMPUTED_VALUE"""),"Jalan Kesehatan")</f>
        <v>Jalan Kesehatan</v>
      </c>
      <c r="X206" s="42" t="str">
        <f ca="1"/>
        <v>ON-Jalan Kesehatan-00011900+5-6281934879222</v>
      </c>
      <c r="Y206" s="40" t="s">
        <v>62</v>
      </c>
      <c r="Z206" s="40" t="s">
        <v>639</v>
      </c>
      <c r="AA206" s="23" t="str">
        <v>https://wa.me/6281934879222</v>
      </c>
      <c r="AB206" s="28" t="s">
        <v>1559</v>
      </c>
      <c r="AC206" s="28"/>
      <c r="AD206" s="28" t="s">
        <v>690</v>
      </c>
      <c r="AE206" s="28"/>
      <c r="AF206" s="29"/>
      <c r="AG206" s="29"/>
    </row>
    <row r="207" spans="1:33" ht="15.75" customHeight="1">
      <c r="A207" s="32" t="s">
        <v>912</v>
      </c>
      <c r="B207" s="33">
        <v>211</v>
      </c>
      <c r="C207" s="34" t="s">
        <v>1560</v>
      </c>
      <c r="D207" s="35">
        <v>45839.704101076393</v>
      </c>
      <c r="E207" s="43">
        <v>45839</v>
      </c>
      <c r="F207" s="32" t="s">
        <v>1561</v>
      </c>
      <c r="G207" s="32" t="s">
        <v>1562</v>
      </c>
      <c r="H207" s="32" t="s">
        <v>1563</v>
      </c>
      <c r="I207" s="36" t="s">
        <v>1564</v>
      </c>
      <c r="J207" s="32"/>
      <c r="K207" s="32" t="s">
        <v>1565</v>
      </c>
      <c r="L207" s="32" t="s">
        <v>1566</v>
      </c>
      <c r="M207" s="32" t="s">
        <v>60</v>
      </c>
      <c r="N207" s="33">
        <v>5</v>
      </c>
      <c r="O207" s="35"/>
      <c r="P207" s="35"/>
      <c r="Q207" s="37"/>
      <c r="R207" s="38"/>
      <c r="S207" s="33"/>
      <c r="T207" s="39">
        <v>150000</v>
      </c>
      <c r="U207" s="40" t="s">
        <v>61</v>
      </c>
      <c r="V207" s="41"/>
      <c r="W207" s="42" t="str">
        <f ca="1">IFERROR(__xludf.DUMMYFUNCTION("""COMPUTED_VALUE"""),"CV Prima")</f>
        <v>CV Prima</v>
      </c>
      <c r="X207" s="42" t="str">
        <f ca="1"/>
        <v>ON-CV Prima-00011900+5-6285216582806</v>
      </c>
      <c r="Y207" s="40" t="s">
        <v>293</v>
      </c>
      <c r="Z207" s="40" t="s">
        <v>1057</v>
      </c>
      <c r="AA207" s="23" t="str">
        <v>https://wa.me/6285216582806</v>
      </c>
      <c r="AB207" s="28" t="s">
        <v>1567</v>
      </c>
      <c r="AC207" s="28"/>
      <c r="AD207" s="28" t="s">
        <v>690</v>
      </c>
      <c r="AE207" s="28"/>
      <c r="AF207" s="29"/>
      <c r="AG207" s="29"/>
    </row>
    <row r="208" spans="1:33" ht="15.75" customHeight="1">
      <c r="A208" s="32" t="s">
        <v>196</v>
      </c>
      <c r="B208" s="33">
        <v>212</v>
      </c>
      <c r="C208" s="34" t="s">
        <v>1568</v>
      </c>
      <c r="D208" s="35">
        <v>45839.704467824078</v>
      </c>
      <c r="E208" s="43">
        <v>45839</v>
      </c>
      <c r="F208" s="32" t="s">
        <v>1569</v>
      </c>
      <c r="G208" s="32" t="s">
        <v>1570</v>
      </c>
      <c r="H208" s="32" t="s">
        <v>1571</v>
      </c>
      <c r="I208" s="36" t="s">
        <v>1572</v>
      </c>
      <c r="J208" s="32" t="s">
        <v>1573</v>
      </c>
      <c r="K208" s="32" t="s">
        <v>1574</v>
      </c>
      <c r="L208" s="32" t="s">
        <v>1575</v>
      </c>
      <c r="M208" s="32" t="s">
        <v>60</v>
      </c>
      <c r="N208" s="33">
        <v>5</v>
      </c>
      <c r="O208" s="35">
        <v>45841</v>
      </c>
      <c r="P208" s="35">
        <v>45846</v>
      </c>
      <c r="Q208" s="37"/>
      <c r="R208" s="38"/>
      <c r="S208" s="33"/>
      <c r="T208" s="39">
        <v>197000</v>
      </c>
      <c r="U208" s="40" t="s">
        <v>61</v>
      </c>
      <c r="V208" s="41"/>
      <c r="W208" s="42" t="str">
        <f ca="1">IFERROR(__xludf.DUMMYFUNCTION("""COMPUTED_VALUE"""),"Pengobatan Tabib")</f>
        <v>Pengobatan Tabib</v>
      </c>
      <c r="X208" s="42" t="str">
        <f ca="1"/>
        <v>ON-Pengobatan Tabib-00011900+5-6282169851900</v>
      </c>
      <c r="Y208" s="40" t="s">
        <v>62</v>
      </c>
      <c r="Z208" s="40" t="s">
        <v>639</v>
      </c>
      <c r="AA208" s="23" t="str">
        <v>https://wa.me/6282169851900</v>
      </c>
      <c r="AB208" s="28" t="s">
        <v>1576</v>
      </c>
      <c r="AC208" s="28"/>
      <c r="AD208" s="28" t="s">
        <v>690</v>
      </c>
      <c r="AE208" s="28"/>
      <c r="AF208" s="29"/>
      <c r="AG208" s="29"/>
    </row>
    <row r="209" spans="1:33" ht="15.75" customHeight="1">
      <c r="A209" s="32" t="s">
        <v>196</v>
      </c>
      <c r="B209" s="33">
        <v>214</v>
      </c>
      <c r="C209" s="34" t="s">
        <v>1577</v>
      </c>
      <c r="D209" s="35">
        <v>45839.708499444445</v>
      </c>
      <c r="E209" s="43">
        <v>45839</v>
      </c>
      <c r="F209" s="32" t="s">
        <v>1578</v>
      </c>
      <c r="G209" s="32" t="s">
        <v>1579</v>
      </c>
      <c r="H209" s="32" t="s">
        <v>1580</v>
      </c>
      <c r="I209" s="36" t="s">
        <v>1581</v>
      </c>
      <c r="J209" s="32" t="s">
        <v>1582</v>
      </c>
      <c r="K209" s="32" t="s">
        <v>1583</v>
      </c>
      <c r="L209" s="32" t="s">
        <v>1584</v>
      </c>
      <c r="M209" s="32" t="s">
        <v>285</v>
      </c>
      <c r="N209" s="33">
        <v>10</v>
      </c>
      <c r="O209" s="35"/>
      <c r="P209" s="35"/>
      <c r="Q209" s="37"/>
      <c r="R209" s="38"/>
      <c r="S209" s="33"/>
      <c r="T209" s="39">
        <v>375000</v>
      </c>
      <c r="U209" s="40" t="s">
        <v>61</v>
      </c>
      <c r="V209" s="41"/>
      <c r="W209" s="42" t="str">
        <f ca="1">IFERROR(__xludf.DUMMYFUNCTION("""COMPUTED_VALUE"""),"Sketsa Rumahmu")</f>
        <v>Sketsa Rumahmu</v>
      </c>
      <c r="X209" s="42" t="str">
        <f ca="1"/>
        <v>ON-Sketsa Rumahmu-00011900+10-6285647189964</v>
      </c>
      <c r="Y209" s="40" t="s">
        <v>293</v>
      </c>
      <c r="Z209" s="40" t="s">
        <v>1057</v>
      </c>
      <c r="AA209" s="23" t="str">
        <v>https://wa.me/6285647189964</v>
      </c>
      <c r="AB209" s="28" t="s">
        <v>1585</v>
      </c>
      <c r="AC209" s="28"/>
      <c r="AD209" s="28" t="s">
        <v>690</v>
      </c>
      <c r="AE209" s="28"/>
      <c r="AF209" s="29"/>
      <c r="AG209" s="29"/>
    </row>
    <row r="210" spans="1:33" ht="15.75" customHeight="1">
      <c r="A210" s="32" t="s">
        <v>196</v>
      </c>
      <c r="B210" s="33">
        <v>215</v>
      </c>
      <c r="C210" s="34" t="s">
        <v>1586</v>
      </c>
      <c r="D210" s="35">
        <v>45839.710645717598</v>
      </c>
      <c r="E210" s="43">
        <v>45839</v>
      </c>
      <c r="F210" s="32" t="s">
        <v>1587</v>
      </c>
      <c r="G210" s="32" t="s">
        <v>1588</v>
      </c>
      <c r="H210" s="32" t="s">
        <v>1589</v>
      </c>
      <c r="I210" s="36" t="s">
        <v>1590</v>
      </c>
      <c r="J210" s="32"/>
      <c r="K210" s="32" t="s">
        <v>1574</v>
      </c>
      <c r="L210" s="32" t="s">
        <v>1008</v>
      </c>
      <c r="M210" s="32" t="s">
        <v>131</v>
      </c>
      <c r="N210" s="33">
        <v>5</v>
      </c>
      <c r="O210" s="35">
        <v>45841</v>
      </c>
      <c r="P210" s="35">
        <v>45846</v>
      </c>
      <c r="Q210" s="37"/>
      <c r="R210" s="38"/>
      <c r="S210" s="33"/>
      <c r="T210" s="39">
        <v>197000</v>
      </c>
      <c r="U210" s="40" t="s">
        <v>61</v>
      </c>
      <c r="V210" s="41"/>
      <c r="W210" s="42" t="str">
        <f ca="1">IFERROR(__xludf.DUMMYFUNCTION("""COMPUTED_VALUE"""),"Refleksi kretek-kretek")</f>
        <v>Refleksi kretek-kretek</v>
      </c>
      <c r="X210" s="42" t="str">
        <f ca="1"/>
        <v>ON-Refleksi kretek-kretek-00011900+5-6281378152512</v>
      </c>
      <c r="Y210" s="40" t="s">
        <v>62</v>
      </c>
      <c r="Z210" s="40" t="s">
        <v>639</v>
      </c>
      <c r="AA210" s="23" t="str">
        <v>https://wa.me/6281378152512</v>
      </c>
      <c r="AB210" s="28" t="s">
        <v>1591</v>
      </c>
      <c r="AC210" s="28"/>
      <c r="AD210" s="28" t="s">
        <v>690</v>
      </c>
      <c r="AE210" s="28"/>
      <c r="AF210" s="29"/>
      <c r="AG210" s="29"/>
    </row>
    <row r="211" spans="1:33" ht="15.75" customHeight="1">
      <c r="A211" s="32" t="s">
        <v>196</v>
      </c>
      <c r="B211" s="33">
        <v>216</v>
      </c>
      <c r="C211" s="34" t="s">
        <v>1592</v>
      </c>
      <c r="D211" s="35">
        <v>45839.72173798611</v>
      </c>
      <c r="E211" s="43">
        <v>45839</v>
      </c>
      <c r="F211" s="32" t="s">
        <v>1593</v>
      </c>
      <c r="G211" s="32" t="s">
        <v>1594</v>
      </c>
      <c r="H211" s="32" t="s">
        <v>1595</v>
      </c>
      <c r="I211" s="36" t="s">
        <v>1596</v>
      </c>
      <c r="J211" s="32" t="s">
        <v>1597</v>
      </c>
      <c r="K211" s="32" t="s">
        <v>1598</v>
      </c>
      <c r="L211" s="32" t="s">
        <v>382</v>
      </c>
      <c r="M211" s="32" t="s">
        <v>382</v>
      </c>
      <c r="N211" s="33">
        <v>5</v>
      </c>
      <c r="O211" s="35"/>
      <c r="P211" s="35"/>
      <c r="Q211" s="37"/>
      <c r="R211" s="38"/>
      <c r="S211" s="33"/>
      <c r="T211" s="39">
        <v>197000</v>
      </c>
      <c r="U211" s="40" t="s">
        <v>115</v>
      </c>
      <c r="V211" s="41"/>
      <c r="W211" s="42" t="str">
        <f ca="1">IFERROR(__xludf.DUMMYFUNCTION("""COMPUTED_VALUE"""),"Kue Zam")</f>
        <v>Kue Zam</v>
      </c>
      <c r="X211" s="42" t="str">
        <f ca="1"/>
        <v>ON-Kue Zam-00011900+5-6281355026552</v>
      </c>
      <c r="Y211" s="40" t="s">
        <v>62</v>
      </c>
      <c r="Z211" s="40" t="s">
        <v>1465</v>
      </c>
      <c r="AA211" s="23" t="str">
        <v>https://wa.me/6281355026552</v>
      </c>
      <c r="AB211" s="28" t="s">
        <v>1599</v>
      </c>
      <c r="AC211" s="28"/>
      <c r="AD211" s="28" t="s">
        <v>690</v>
      </c>
      <c r="AE211" s="28"/>
      <c r="AF211" s="29"/>
      <c r="AG211" s="29"/>
    </row>
    <row r="212" spans="1:33" ht="15.75" customHeight="1">
      <c r="A212" s="32" t="s">
        <v>196</v>
      </c>
      <c r="B212" s="33">
        <v>217</v>
      </c>
      <c r="C212" s="34" t="s">
        <v>1600</v>
      </c>
      <c r="D212" s="35">
        <v>45839.767396504627</v>
      </c>
      <c r="E212" s="43">
        <v>45836</v>
      </c>
      <c r="F212" s="32" t="s">
        <v>1601</v>
      </c>
      <c r="G212" s="32" t="s">
        <v>1602</v>
      </c>
      <c r="H212" s="32" t="s">
        <v>74</v>
      </c>
      <c r="I212" s="36" t="s">
        <v>1603</v>
      </c>
      <c r="J212" s="32"/>
      <c r="K212" s="32" t="s">
        <v>1604</v>
      </c>
      <c r="L212" s="32" t="s">
        <v>1395</v>
      </c>
      <c r="M212" s="32" t="s">
        <v>1605</v>
      </c>
      <c r="N212" s="33">
        <v>5</v>
      </c>
      <c r="O212" s="35">
        <v>45841</v>
      </c>
      <c r="P212" s="35">
        <v>45846</v>
      </c>
      <c r="Q212" s="37"/>
      <c r="R212" s="38"/>
      <c r="S212" s="33"/>
      <c r="T212" s="39">
        <v>197000</v>
      </c>
      <c r="U212" s="40" t="s">
        <v>49</v>
      </c>
      <c r="V212" s="41"/>
      <c r="W212" s="42" t="str">
        <f ca="1">IFERROR(__xludf.DUMMYFUNCTION("""COMPUTED_VALUE"""),"Astri Salon")</f>
        <v>Astri Salon</v>
      </c>
      <c r="X212" s="42" t="str">
        <f ca="1"/>
        <v>ON-Astri Salon-00011900+5-6282228737559</v>
      </c>
      <c r="Y212" s="40" t="s">
        <v>50</v>
      </c>
      <c r="Z212" s="40" t="s">
        <v>327</v>
      </c>
      <c r="AA212" s="23" t="str">
        <v>https://wa.me/6282228737559</v>
      </c>
      <c r="AB212" s="28" t="s">
        <v>1606</v>
      </c>
      <c r="AC212" s="28"/>
      <c r="AD212" s="28" t="s">
        <v>690</v>
      </c>
      <c r="AE212" s="28"/>
      <c r="AF212" s="29"/>
      <c r="AG212" s="29"/>
    </row>
    <row r="213" spans="1:33" ht="15.75" customHeight="1">
      <c r="A213" s="32" t="s">
        <v>196</v>
      </c>
      <c r="B213" s="33">
        <v>218</v>
      </c>
      <c r="C213" s="34" t="s">
        <v>1607</v>
      </c>
      <c r="D213" s="35">
        <v>45839.769802511575</v>
      </c>
      <c r="E213" s="43">
        <v>45836</v>
      </c>
      <c r="F213" s="32" t="s">
        <v>1608</v>
      </c>
      <c r="G213" s="32" t="s">
        <v>1609</v>
      </c>
      <c r="H213" s="32" t="s">
        <v>1610</v>
      </c>
      <c r="I213" s="36" t="s">
        <v>1611</v>
      </c>
      <c r="J213" s="32" t="s">
        <v>1612</v>
      </c>
      <c r="K213" s="32" t="s">
        <v>570</v>
      </c>
      <c r="L213" s="32" t="s">
        <v>1613</v>
      </c>
      <c r="M213" s="32" t="s">
        <v>1080</v>
      </c>
      <c r="N213" s="33">
        <v>5</v>
      </c>
      <c r="O213" s="35">
        <v>45840</v>
      </c>
      <c r="P213" s="35">
        <v>45845</v>
      </c>
      <c r="Q213" s="37"/>
      <c r="R213" s="38"/>
      <c r="S213" s="33"/>
      <c r="T213" s="39">
        <v>148000</v>
      </c>
      <c r="U213" s="40" t="s">
        <v>49</v>
      </c>
      <c r="V213" s="41"/>
      <c r="W213" s="42" t="str">
        <f ca="1">IFERROR(__xludf.DUMMYFUNCTION("""COMPUTED_VALUE"""),"by inapuspita")</f>
        <v>by inapuspita</v>
      </c>
      <c r="X213" s="42" t="str">
        <f ca="1"/>
        <v>ON-by inapuspita-00011900+5-6288297718776</v>
      </c>
      <c r="Y213" s="40" t="s">
        <v>50</v>
      </c>
      <c r="Z213" s="40" t="s">
        <v>327</v>
      </c>
      <c r="AA213" s="23" t="str">
        <v>https://wa.me/6288297718776</v>
      </c>
      <c r="AB213" s="28" t="s">
        <v>1614</v>
      </c>
      <c r="AC213" s="28"/>
      <c r="AD213" s="28" t="s">
        <v>690</v>
      </c>
      <c r="AE213" s="28"/>
      <c r="AF213" s="29"/>
      <c r="AG213" s="29"/>
    </row>
    <row r="214" spans="1:33" ht="15.75" customHeight="1">
      <c r="A214" s="32" t="s">
        <v>196</v>
      </c>
      <c r="B214" s="33">
        <v>217</v>
      </c>
      <c r="C214" s="34" t="s">
        <v>1600</v>
      </c>
      <c r="D214" s="35">
        <v>45840.415666759262</v>
      </c>
      <c r="E214" s="43">
        <v>45840</v>
      </c>
      <c r="F214" s="32" t="s">
        <v>1615</v>
      </c>
      <c r="G214" s="32" t="s">
        <v>1616</v>
      </c>
      <c r="H214" s="32" t="s">
        <v>1617</v>
      </c>
      <c r="I214" s="36" t="s">
        <v>1618</v>
      </c>
      <c r="J214" s="32" t="s">
        <v>1619</v>
      </c>
      <c r="K214" s="32" t="s">
        <v>1620</v>
      </c>
      <c r="L214" s="32" t="s">
        <v>382</v>
      </c>
      <c r="M214" s="32" t="s">
        <v>382</v>
      </c>
      <c r="N214" s="33">
        <v>5</v>
      </c>
      <c r="O214" s="35"/>
      <c r="P214" s="35"/>
      <c r="Q214" s="37"/>
      <c r="R214" s="38"/>
      <c r="S214" s="33"/>
      <c r="T214" s="39">
        <v>197000</v>
      </c>
      <c r="U214" s="40" t="s">
        <v>115</v>
      </c>
      <c r="V214" s="41"/>
      <c r="W214" s="42" t="str">
        <f ca="1">IFERROR(__xludf.DUMMYFUNCTION("""COMPUTED_VALUE"""),"TAHU CRISPY")</f>
        <v>TAHU CRISPY</v>
      </c>
      <c r="X214" s="42" t="str">
        <f ca="1"/>
        <v>ON-TAHU CRISPY-00011900+5-6282227027805</v>
      </c>
      <c r="Y214" s="40" t="s">
        <v>62</v>
      </c>
      <c r="Z214" s="40" t="s">
        <v>1465</v>
      </c>
      <c r="AA214" s="23" t="str">
        <v>https://wa.me/6282227027805</v>
      </c>
      <c r="AB214" s="28" t="s">
        <v>1621</v>
      </c>
      <c r="AC214" s="28"/>
      <c r="AD214" s="28" t="s">
        <v>690</v>
      </c>
      <c r="AE214" s="28"/>
      <c r="AF214" s="29"/>
      <c r="AG214" s="29"/>
    </row>
    <row r="215" spans="1:33" ht="15.75" customHeight="1">
      <c r="A215" s="32" t="s">
        <v>196</v>
      </c>
      <c r="B215" s="33">
        <v>218</v>
      </c>
      <c r="C215" s="34" t="s">
        <v>1607</v>
      </c>
      <c r="D215" s="35">
        <v>45840.635938553241</v>
      </c>
      <c r="E215" s="43">
        <v>45840</v>
      </c>
      <c r="F215" s="32" t="s">
        <v>1622</v>
      </c>
      <c r="G215" s="32" t="s">
        <v>1623</v>
      </c>
      <c r="H215" s="32" t="s">
        <v>1624</v>
      </c>
      <c r="I215" s="36" t="s">
        <v>1625</v>
      </c>
      <c r="J215" s="32" t="s">
        <v>1626</v>
      </c>
      <c r="K215" s="32" t="s">
        <v>1627</v>
      </c>
      <c r="L215" s="32" t="s">
        <v>1628</v>
      </c>
      <c r="M215" s="32" t="s">
        <v>382</v>
      </c>
      <c r="N215" s="33">
        <v>5</v>
      </c>
      <c r="O215" s="35"/>
      <c r="P215" s="35"/>
      <c r="Q215" s="37"/>
      <c r="R215" s="38"/>
      <c r="S215" s="33"/>
      <c r="T215" s="39">
        <v>197000</v>
      </c>
      <c r="U215" s="40" t="s">
        <v>115</v>
      </c>
      <c r="V215" s="41"/>
      <c r="W215" s="42" t="str">
        <f ca="1">IFERROR(__xludf.DUMMYFUNCTION("""COMPUTED_VALUE"""),"Fricil Rental")</f>
        <v>Fricil Rental</v>
      </c>
      <c r="X215" s="42" t="str">
        <f ca="1"/>
        <v>ON-Fricil Rental-00011900+5-6282192773278</v>
      </c>
      <c r="Y215" s="40" t="s">
        <v>62</v>
      </c>
      <c r="Z215" s="40" t="s">
        <v>1465</v>
      </c>
      <c r="AA215" s="23" t="str">
        <v>https://wa.me/6282192773278</v>
      </c>
      <c r="AB215" s="28" t="s">
        <v>1629</v>
      </c>
      <c r="AC215" s="28"/>
      <c r="AD215" s="28" t="s">
        <v>690</v>
      </c>
      <c r="AE215" s="28"/>
      <c r="AF215" s="29"/>
      <c r="AG215" s="29"/>
    </row>
    <row r="216" spans="1:33" ht="15.75" customHeight="1">
      <c r="A216" s="32" t="s">
        <v>196</v>
      </c>
      <c r="B216" s="33">
        <v>219</v>
      </c>
      <c r="C216" s="34" t="s">
        <v>1630</v>
      </c>
      <c r="D216" s="35">
        <v>45840.665240590279</v>
      </c>
      <c r="E216" s="43">
        <v>45840</v>
      </c>
      <c r="F216" s="32" t="s">
        <v>1631</v>
      </c>
      <c r="G216" s="32" t="s">
        <v>1632</v>
      </c>
      <c r="H216" s="32" t="s">
        <v>1633</v>
      </c>
      <c r="I216" s="36" t="s">
        <v>1634</v>
      </c>
      <c r="J216" s="32" t="s">
        <v>1635</v>
      </c>
      <c r="K216" s="32" t="s">
        <v>1636</v>
      </c>
      <c r="L216" s="32" t="s">
        <v>1637</v>
      </c>
      <c r="M216" s="32" t="s">
        <v>743</v>
      </c>
      <c r="N216" s="33">
        <v>5</v>
      </c>
      <c r="O216" s="35"/>
      <c r="P216" s="35"/>
      <c r="Q216" s="37"/>
      <c r="R216" s="38"/>
      <c r="S216" s="33"/>
      <c r="T216" s="39">
        <v>197000</v>
      </c>
      <c r="U216" s="40" t="s">
        <v>115</v>
      </c>
      <c r="V216" s="41"/>
      <c r="W216" s="42" t="str">
        <f ca="1">IFERROR(__xludf.DUMMYFUNCTION("""COMPUTED_VALUE"""),"CV. IBI")</f>
        <v>CV. IBI</v>
      </c>
      <c r="X216" s="42" t="str">
        <f ca="1"/>
        <v>ON-CV. IBI-00011900+5-6281290414113</v>
      </c>
      <c r="Y216" s="40" t="s">
        <v>293</v>
      </c>
      <c r="Z216" s="40" t="s">
        <v>1057</v>
      </c>
      <c r="AA216" s="23" t="str">
        <v>https://wa.me/6281290414113</v>
      </c>
      <c r="AB216" s="28" t="s">
        <v>1638</v>
      </c>
      <c r="AC216" s="28"/>
      <c r="AD216" s="28" t="s">
        <v>690</v>
      </c>
      <c r="AE216" s="28"/>
      <c r="AF216" s="29"/>
      <c r="AG216" s="29"/>
    </row>
    <row r="217" spans="1:33" ht="15.75" customHeight="1">
      <c r="A217" s="32" t="s">
        <v>196</v>
      </c>
      <c r="B217" s="33">
        <v>220</v>
      </c>
      <c r="C217" s="34" t="s">
        <v>1639</v>
      </c>
      <c r="D217" s="35">
        <v>45840.821525960651</v>
      </c>
      <c r="E217" s="43">
        <v>45840</v>
      </c>
      <c r="F217" s="32" t="s">
        <v>1640</v>
      </c>
      <c r="G217" s="32" t="s">
        <v>1640</v>
      </c>
      <c r="H217" s="32" t="s">
        <v>451</v>
      </c>
      <c r="I217" s="36" t="s">
        <v>1641</v>
      </c>
      <c r="J217" s="32" t="s">
        <v>1642</v>
      </c>
      <c r="K217" s="32" t="s">
        <v>247</v>
      </c>
      <c r="L217" s="32" t="s">
        <v>1643</v>
      </c>
      <c r="M217" s="32" t="s">
        <v>106</v>
      </c>
      <c r="N217" s="33">
        <v>5</v>
      </c>
      <c r="O217" s="35"/>
      <c r="P217" s="35"/>
      <c r="Q217" s="37"/>
      <c r="R217" s="38"/>
      <c r="S217" s="33"/>
      <c r="T217" s="39">
        <v>197000</v>
      </c>
      <c r="U217" s="40" t="s">
        <v>49</v>
      </c>
      <c r="V217" s="41"/>
      <c r="W217" s="42" t="str">
        <f ca="1">IFERROR(__xludf.DUMMYFUNCTION("""COMPUTED_VALUE"""),"Azka salon")</f>
        <v>Azka salon</v>
      </c>
      <c r="X217" s="42" t="str">
        <f ca="1"/>
        <v>ON-Azka salon-00011900+5-6282164919126</v>
      </c>
      <c r="Y217" s="40" t="s">
        <v>50</v>
      </c>
      <c r="Z217" s="40" t="s">
        <v>327</v>
      </c>
      <c r="AA217" s="23" t="str">
        <v>https://wa.me/6282164919126</v>
      </c>
      <c r="AB217" s="28" t="s">
        <v>1644</v>
      </c>
      <c r="AC217" s="28"/>
      <c r="AD217" s="28" t="s">
        <v>690</v>
      </c>
      <c r="AE217" s="28"/>
      <c r="AF217" s="29"/>
      <c r="AG217" s="29"/>
    </row>
    <row r="218" spans="1:33" ht="15.75" customHeight="1">
      <c r="A218" s="32" t="s">
        <v>196</v>
      </c>
      <c r="B218" s="33">
        <v>221</v>
      </c>
      <c r="C218" s="34" t="s">
        <v>1645</v>
      </c>
      <c r="D218" s="35">
        <v>45840.867931284723</v>
      </c>
      <c r="E218" s="43">
        <v>45840</v>
      </c>
      <c r="F218" s="32" t="s">
        <v>1646</v>
      </c>
      <c r="G218" s="32" t="s">
        <v>1647</v>
      </c>
      <c r="H218" s="32" t="s">
        <v>1648</v>
      </c>
      <c r="I218" s="36" t="s">
        <v>1649</v>
      </c>
      <c r="J218" s="32" t="s">
        <v>1650</v>
      </c>
      <c r="K218" s="32" t="s">
        <v>1651</v>
      </c>
      <c r="L218" s="32" t="s">
        <v>85</v>
      </c>
      <c r="M218" s="32" t="s">
        <v>131</v>
      </c>
      <c r="N218" s="33">
        <v>30</v>
      </c>
      <c r="O218" s="35"/>
      <c r="P218" s="35"/>
      <c r="Q218" s="37"/>
      <c r="R218" s="38"/>
      <c r="S218" s="33"/>
      <c r="T218" s="39">
        <v>1000000</v>
      </c>
      <c r="U218" s="40" t="s">
        <v>61</v>
      </c>
      <c r="V218" s="41"/>
      <c r="W218" s="42" t="str">
        <f ca="1">IFERROR(__xludf.DUMMYFUNCTION("""COMPUTED_VALUE"""),"CV LAS")</f>
        <v>CV LAS</v>
      </c>
      <c r="X218" s="42" t="str">
        <f ca="1"/>
        <v>ON-CV LAS-00011900+30-6282124027899</v>
      </c>
      <c r="Y218" s="40" t="s">
        <v>293</v>
      </c>
      <c r="Z218" s="40" t="s">
        <v>1057</v>
      </c>
      <c r="AA218" s="23" t="str">
        <v>https://wa.me/6282124027899</v>
      </c>
      <c r="AB218" s="28" t="s">
        <v>1652</v>
      </c>
      <c r="AC218" s="28"/>
      <c r="AD218" s="28" t="s">
        <v>690</v>
      </c>
      <c r="AE218" s="28"/>
      <c r="AF218" s="29"/>
      <c r="AG218" s="29"/>
    </row>
    <row r="219" spans="1:33" ht="15.75" customHeight="1">
      <c r="A219" s="32" t="s">
        <v>196</v>
      </c>
      <c r="B219" s="33">
        <v>222</v>
      </c>
      <c r="C219" s="34" t="s">
        <v>1653</v>
      </c>
      <c r="D219" s="35">
        <v>45840.87060436343</v>
      </c>
      <c r="E219" s="43">
        <v>45840</v>
      </c>
      <c r="F219" s="32" t="s">
        <v>1654</v>
      </c>
      <c r="G219" s="32" t="s">
        <v>1655</v>
      </c>
      <c r="H219" s="32" t="s">
        <v>1656</v>
      </c>
      <c r="I219" s="36" t="s">
        <v>1657</v>
      </c>
      <c r="J219" s="32" t="s">
        <v>1658</v>
      </c>
      <c r="K219" s="32" t="s">
        <v>1659</v>
      </c>
      <c r="L219" s="32" t="s">
        <v>166</v>
      </c>
      <c r="M219" s="32" t="s">
        <v>285</v>
      </c>
      <c r="N219" s="33">
        <v>5</v>
      </c>
      <c r="O219" s="35">
        <v>45842</v>
      </c>
      <c r="P219" s="35">
        <v>45847</v>
      </c>
      <c r="Q219" s="37"/>
      <c r="R219" s="38"/>
      <c r="S219" s="33"/>
      <c r="T219" s="39">
        <v>197000</v>
      </c>
      <c r="U219" s="40" t="s">
        <v>61</v>
      </c>
      <c r="V219" s="41"/>
      <c r="W219" s="42" t="str">
        <f ca="1">IFERROR(__xludf.DUMMYFUNCTION("""COMPUTED_VALUE"""),"Erlina Traditional")</f>
        <v>Erlina Traditional</v>
      </c>
      <c r="X219" s="42" t="str">
        <f ca="1"/>
        <v>ON-Erlina Traditional-00011900+5-6282115608585</v>
      </c>
      <c r="Y219" s="40" t="s">
        <v>62</v>
      </c>
      <c r="Z219" s="40" t="s">
        <v>639</v>
      </c>
      <c r="AA219" s="23" t="str">
        <v>https://wa.me/6282115608585</v>
      </c>
      <c r="AB219" s="28" t="s">
        <v>1660</v>
      </c>
      <c r="AC219" s="28"/>
      <c r="AD219" s="28" t="s">
        <v>690</v>
      </c>
      <c r="AE219" s="28"/>
      <c r="AF219" s="29"/>
      <c r="AG219" s="29"/>
    </row>
    <row r="220" spans="1:33" ht="15.75" customHeight="1">
      <c r="A220" s="32" t="s">
        <v>196</v>
      </c>
      <c r="B220" s="33">
        <v>223</v>
      </c>
      <c r="C220" s="34" t="s">
        <v>1661</v>
      </c>
      <c r="D220" s="35">
        <v>45840.871269722222</v>
      </c>
      <c r="E220" s="43">
        <v>45840</v>
      </c>
      <c r="F220" s="32" t="s">
        <v>1662</v>
      </c>
      <c r="G220" s="32" t="s">
        <v>1663</v>
      </c>
      <c r="H220" s="32" t="s">
        <v>1664</v>
      </c>
      <c r="I220" s="36" t="s">
        <v>1665</v>
      </c>
      <c r="J220" s="32" t="s">
        <v>1666</v>
      </c>
      <c r="K220" s="32" t="s">
        <v>1667</v>
      </c>
      <c r="L220" s="32" t="s">
        <v>1008</v>
      </c>
      <c r="M220" s="32" t="s">
        <v>70</v>
      </c>
      <c r="N220" s="33">
        <v>5</v>
      </c>
      <c r="O220" s="35"/>
      <c r="P220" s="35"/>
      <c r="Q220" s="37"/>
      <c r="R220" s="38"/>
      <c r="S220" s="33"/>
      <c r="T220" s="39">
        <v>197000</v>
      </c>
      <c r="U220" s="40" t="s">
        <v>61</v>
      </c>
      <c r="V220" s="41"/>
      <c r="W220" s="42" t="str">
        <f ca="1">IFERROR(__xludf.DUMMYFUNCTION("""COMPUTED_VALUE"""),"Terapis Bekam")</f>
        <v>Terapis Bekam</v>
      </c>
      <c r="X220" s="42" t="str">
        <f ca="1"/>
        <v>ON-Terapis Bekam-00011900+5-6285238093436</v>
      </c>
      <c r="Y220" s="40" t="s">
        <v>62</v>
      </c>
      <c r="Z220" s="40" t="s">
        <v>639</v>
      </c>
      <c r="AA220" s="23" t="str">
        <v>https://wa.me/6285238093436</v>
      </c>
      <c r="AB220" s="28" t="s">
        <v>1668</v>
      </c>
      <c r="AC220" s="28"/>
      <c r="AD220" s="28" t="s">
        <v>690</v>
      </c>
      <c r="AE220" s="28"/>
      <c r="AF220" s="29"/>
      <c r="AG220" s="29"/>
    </row>
    <row r="221" spans="1:33" ht="15.75" customHeight="1">
      <c r="A221" s="32" t="s">
        <v>196</v>
      </c>
      <c r="B221" s="33">
        <v>224</v>
      </c>
      <c r="C221" s="34" t="s">
        <v>1669</v>
      </c>
      <c r="D221" s="35">
        <v>45840.873364120373</v>
      </c>
      <c r="E221" s="43">
        <v>45810</v>
      </c>
      <c r="F221" s="32" t="s">
        <v>1670</v>
      </c>
      <c r="G221" s="32" t="s">
        <v>1671</v>
      </c>
      <c r="H221" s="32" t="s">
        <v>409</v>
      </c>
      <c r="I221" s="36" t="s">
        <v>1672</v>
      </c>
      <c r="J221" s="32" t="s">
        <v>1673</v>
      </c>
      <c r="K221" s="32" t="s">
        <v>173</v>
      </c>
      <c r="L221" s="32" t="s">
        <v>1674</v>
      </c>
      <c r="M221" s="32" t="s">
        <v>131</v>
      </c>
      <c r="N221" s="33">
        <v>5</v>
      </c>
      <c r="O221" s="35"/>
      <c r="P221" s="35"/>
      <c r="Q221" s="37"/>
      <c r="R221" s="38"/>
      <c r="S221" s="33"/>
      <c r="T221" s="39">
        <v>197000</v>
      </c>
      <c r="U221" s="40" t="s">
        <v>61</v>
      </c>
      <c r="V221" s="41"/>
      <c r="W221" s="42" t="str">
        <f ca="1">IFERROR(__xludf.DUMMYFUNCTION("""COMPUTED_VALUE"""),"CV GAMA")</f>
        <v>CV GAMA</v>
      </c>
      <c r="X221" s="42" t="str">
        <f ca="1"/>
        <v>ON-CV GAMA-00011900+5-62818763108</v>
      </c>
      <c r="Y221" s="40" t="s">
        <v>293</v>
      </c>
      <c r="Z221" s="40" t="s">
        <v>1057</v>
      </c>
      <c r="AA221" s="23" t="str">
        <v>https://wa.me/62818763108</v>
      </c>
      <c r="AB221" s="28" t="s">
        <v>1675</v>
      </c>
      <c r="AC221" s="28"/>
      <c r="AD221" s="28" t="s">
        <v>690</v>
      </c>
      <c r="AE221" s="28"/>
      <c r="AF221" s="29"/>
      <c r="AG221" s="29"/>
    </row>
    <row r="222" spans="1:33" ht="15.75" customHeight="1">
      <c r="A222" s="32" t="s">
        <v>52</v>
      </c>
      <c r="B222" s="33">
        <v>225</v>
      </c>
      <c r="C222" s="34" t="s">
        <v>1676</v>
      </c>
      <c r="D222" s="35">
        <v>45841.329370092593</v>
      </c>
      <c r="E222" s="43">
        <v>45841</v>
      </c>
      <c r="F222" s="32" t="s">
        <v>905</v>
      </c>
      <c r="G222" s="32" t="s">
        <v>1677</v>
      </c>
      <c r="H222" s="32" t="s">
        <v>1678</v>
      </c>
      <c r="I222" s="36" t="s">
        <v>1679</v>
      </c>
      <c r="J222" s="32" t="s">
        <v>1680</v>
      </c>
      <c r="K222" s="32" t="s">
        <v>1681</v>
      </c>
      <c r="L222" s="32" t="s">
        <v>490</v>
      </c>
      <c r="M222" s="32" t="s">
        <v>60</v>
      </c>
      <c r="N222" s="33">
        <v>10</v>
      </c>
      <c r="O222" s="35"/>
      <c r="P222" s="35"/>
      <c r="Q222" s="37"/>
      <c r="R222" s="38"/>
      <c r="S222" s="33"/>
      <c r="T222" s="39">
        <v>375000</v>
      </c>
      <c r="U222" s="40" t="s">
        <v>61</v>
      </c>
      <c r="V222" s="41"/>
      <c r="W222" s="42" t="str">
        <f ca="1">IFERROR(__xludf.DUMMYFUNCTION("""COMPUTED_VALUE"""),"Berkat Property77")</f>
        <v>Berkat Property77</v>
      </c>
      <c r="X222" s="42" t="str">
        <f ca="1"/>
        <v>ON-Berkat Property77-00011900+10-0</v>
      </c>
      <c r="Y222" s="40"/>
      <c r="Z222" s="40"/>
      <c r="AA222" s="23" t="str">
        <v>https://wa.me/0</v>
      </c>
      <c r="AB222" s="28"/>
      <c r="AC222" s="28"/>
      <c r="AD222" s="28"/>
      <c r="AE222" s="28"/>
      <c r="AF222" s="29"/>
      <c r="AG222" s="29"/>
    </row>
    <row r="223" spans="1:33" ht="15.75" customHeight="1">
      <c r="A223" s="32" t="s">
        <v>52</v>
      </c>
      <c r="B223" s="33">
        <v>225</v>
      </c>
      <c r="C223" s="34" t="s">
        <v>1676</v>
      </c>
      <c r="D223" s="35">
        <v>45841.520556504634</v>
      </c>
      <c r="E223" s="43">
        <v>45841</v>
      </c>
      <c r="F223" s="32" t="s">
        <v>1682</v>
      </c>
      <c r="G223" s="32" t="s">
        <v>1683</v>
      </c>
      <c r="H223" s="32" t="s">
        <v>1089</v>
      </c>
      <c r="I223" s="36" t="s">
        <v>1090</v>
      </c>
      <c r="J223" s="32" t="s">
        <v>1091</v>
      </c>
      <c r="K223" s="32" t="s">
        <v>1092</v>
      </c>
      <c r="L223" s="32" t="s">
        <v>1093</v>
      </c>
      <c r="M223" s="32" t="s">
        <v>285</v>
      </c>
      <c r="N223" s="33">
        <v>5</v>
      </c>
      <c r="O223" s="35"/>
      <c r="P223" s="35"/>
      <c r="Q223" s="37"/>
      <c r="R223" s="38"/>
      <c r="S223" s="33"/>
      <c r="T223" s="39">
        <v>197000</v>
      </c>
      <c r="U223" s="40" t="s">
        <v>61</v>
      </c>
      <c r="V223" s="41"/>
      <c r="W223" s="42" t="str">
        <f ca="1">IFERROR(__xludf.DUMMYFUNCTION("""COMPUTED_VALUE"""),"Perumahan Puri")</f>
        <v>Perumahan Puri</v>
      </c>
      <c r="X223" s="42" t="str">
        <f ca="1"/>
        <v>ON-Perumahan Puri-00011900+5-6282214481223</v>
      </c>
      <c r="Y223" s="40"/>
      <c r="Z223" s="40"/>
      <c r="AA223" s="23" t="str">
        <v>https://wa.me/6282214481223</v>
      </c>
      <c r="AB223" s="28"/>
      <c r="AC223" s="28"/>
      <c r="AD223" s="28"/>
      <c r="AE223" s="28"/>
      <c r="AF223" s="29"/>
      <c r="AG223" s="29"/>
    </row>
    <row r="224" spans="1:33" ht="15.75" customHeight="1">
      <c r="A224" s="32" t="s">
        <v>196</v>
      </c>
      <c r="B224" s="33">
        <v>226</v>
      </c>
      <c r="C224" s="34" t="s">
        <v>1684</v>
      </c>
      <c r="D224" s="35">
        <v>45841.615443668983</v>
      </c>
      <c r="E224" s="43">
        <v>45841</v>
      </c>
      <c r="F224" s="32" t="s">
        <v>1685</v>
      </c>
      <c r="G224" s="32" t="s">
        <v>1018</v>
      </c>
      <c r="H224" s="32" t="s">
        <v>1686</v>
      </c>
      <c r="I224" s="36" t="s">
        <v>1687</v>
      </c>
      <c r="J224" s="32" t="s">
        <v>1688</v>
      </c>
      <c r="K224" s="32" t="s">
        <v>1689</v>
      </c>
      <c r="L224" s="32" t="s">
        <v>539</v>
      </c>
      <c r="M224" s="32" t="s">
        <v>60</v>
      </c>
      <c r="N224" s="33">
        <v>5</v>
      </c>
      <c r="O224" s="35"/>
      <c r="P224" s="35"/>
      <c r="Q224" s="37"/>
      <c r="R224" s="38"/>
      <c r="S224" s="33"/>
      <c r="T224" s="39">
        <v>197000</v>
      </c>
      <c r="U224" s="40" t="s">
        <v>61</v>
      </c>
      <c r="V224" s="41"/>
      <c r="W224" s="42" t="str">
        <f ca="1">IFERROR(__xludf.DUMMYFUNCTION("""COMPUTED_VALUE"""),"https")</f>
        <v>https</v>
      </c>
      <c r="X224" s="42" t="str">
        <f ca="1"/>
        <v>ON-https-00011900+5-6281943398970</v>
      </c>
      <c r="Y224" s="40" t="s">
        <v>62</v>
      </c>
      <c r="Z224" s="40" t="s">
        <v>1465</v>
      </c>
      <c r="AA224" s="23" t="str">
        <v>https://wa.me/6281943398970</v>
      </c>
      <c r="AB224" s="28" t="s">
        <v>1690</v>
      </c>
      <c r="AC224" s="28"/>
      <c r="AD224" s="28" t="s">
        <v>690</v>
      </c>
      <c r="AE224" s="28"/>
      <c r="AF224" s="29"/>
      <c r="AG224" s="29"/>
    </row>
    <row r="225" spans="1:33" ht="15.75" customHeight="1">
      <c r="A225" s="32" t="s">
        <v>196</v>
      </c>
      <c r="B225" s="33">
        <v>228</v>
      </c>
      <c r="C225" s="34" t="s">
        <v>1691</v>
      </c>
      <c r="D225" s="35">
        <v>45841.672455740743</v>
      </c>
      <c r="E225" s="43">
        <v>45841</v>
      </c>
      <c r="F225" s="32" t="s">
        <v>1692</v>
      </c>
      <c r="G225" s="32" t="s">
        <v>1693</v>
      </c>
      <c r="H225" s="32" t="s">
        <v>1694</v>
      </c>
      <c r="I225" s="36" t="s">
        <v>1695</v>
      </c>
      <c r="J225" s="32"/>
      <c r="K225" s="32" t="s">
        <v>955</v>
      </c>
      <c r="L225" s="32" t="s">
        <v>166</v>
      </c>
      <c r="M225" s="32" t="s">
        <v>1696</v>
      </c>
      <c r="N225" s="33">
        <v>5</v>
      </c>
      <c r="O225" s="35"/>
      <c r="P225" s="35"/>
      <c r="Q225" s="37"/>
      <c r="R225" s="38"/>
      <c r="S225" s="33"/>
      <c r="T225" s="39">
        <v>197000</v>
      </c>
      <c r="U225" s="40" t="s">
        <v>115</v>
      </c>
      <c r="V225" s="41"/>
      <c r="W225" s="42" t="str">
        <f ca="1">IFERROR(__xludf.DUMMYFUNCTION("""COMPUTED_VALUE"""),"KLINIK RUMAH")</f>
        <v>KLINIK RUMAH</v>
      </c>
      <c r="X225" s="42" t="str">
        <f ca="1"/>
        <v>ON-KLINIK RUMAH-00011900+5-6282125330919</v>
      </c>
      <c r="Y225" s="40" t="s">
        <v>62</v>
      </c>
      <c r="Z225" s="40" t="s">
        <v>639</v>
      </c>
      <c r="AA225" s="23" t="str">
        <v>https://wa.me/6282125330919</v>
      </c>
      <c r="AB225" s="28" t="s">
        <v>1697</v>
      </c>
      <c r="AC225" s="28"/>
      <c r="AD225" s="28" t="s">
        <v>690</v>
      </c>
      <c r="AE225" s="28"/>
      <c r="AF225" s="29"/>
      <c r="AG225" s="29"/>
    </row>
    <row r="226" spans="1:33" ht="15.75" customHeight="1">
      <c r="A226" s="32" t="s">
        <v>196</v>
      </c>
      <c r="B226" s="33">
        <v>229</v>
      </c>
      <c r="C226" s="34" t="s">
        <v>1698</v>
      </c>
      <c r="D226" s="35">
        <v>45841.675107442134</v>
      </c>
      <c r="E226" s="43">
        <v>45841</v>
      </c>
      <c r="F226" s="32" t="s">
        <v>1699</v>
      </c>
      <c r="G226" s="32" t="s">
        <v>1700</v>
      </c>
      <c r="H226" s="32" t="s">
        <v>1701</v>
      </c>
      <c r="I226" s="36" t="s">
        <v>1702</v>
      </c>
      <c r="J226" s="32" t="s">
        <v>1703</v>
      </c>
      <c r="K226" s="32" t="s">
        <v>570</v>
      </c>
      <c r="L226" s="32" t="s">
        <v>1704</v>
      </c>
      <c r="M226" s="32" t="s">
        <v>60</v>
      </c>
      <c r="N226" s="33">
        <v>5</v>
      </c>
      <c r="O226" s="35"/>
      <c r="P226" s="35"/>
      <c r="Q226" s="37"/>
      <c r="R226" s="38"/>
      <c r="S226" s="33"/>
      <c r="T226" s="39">
        <v>197000</v>
      </c>
      <c r="U226" s="40" t="s">
        <v>115</v>
      </c>
      <c r="V226" s="41"/>
      <c r="W226" s="42" t="str">
        <f ca="1">IFERROR(__xludf.DUMMYFUNCTION("""COMPUTED_VALUE"""),"Rinjani Tour")</f>
        <v>Rinjani Tour</v>
      </c>
      <c r="X226" s="42" t="str">
        <f ca="1"/>
        <v>ON-Rinjani Tour-00011900+5-628111508569</v>
      </c>
      <c r="Y226" s="40" t="s">
        <v>62</v>
      </c>
      <c r="Z226" s="40" t="s">
        <v>1465</v>
      </c>
      <c r="AA226" s="23" t="str">
        <v>https://wa.me/628111508569</v>
      </c>
      <c r="AB226" s="28" t="s">
        <v>1705</v>
      </c>
      <c r="AC226" s="28"/>
      <c r="AD226" s="28" t="s">
        <v>690</v>
      </c>
      <c r="AE226" s="28"/>
      <c r="AF226" s="29"/>
      <c r="AG226" s="29"/>
    </row>
    <row r="227" spans="1:33" ht="15.75" customHeight="1">
      <c r="A227" s="32" t="s">
        <v>52</v>
      </c>
      <c r="B227" s="33">
        <v>230</v>
      </c>
      <c r="C227" s="34" t="s">
        <v>1706</v>
      </c>
      <c r="D227" s="35">
        <v>45841.732403981485</v>
      </c>
      <c r="E227" s="43">
        <v>45841</v>
      </c>
      <c r="F227" s="32" t="s">
        <v>471</v>
      </c>
      <c r="G227" s="32" t="s">
        <v>472</v>
      </c>
      <c r="H227" s="32" t="s">
        <v>473</v>
      </c>
      <c r="I227" s="36" t="s">
        <v>474</v>
      </c>
      <c r="J227" s="32"/>
      <c r="K227" s="32" t="s">
        <v>1707</v>
      </c>
      <c r="L227" s="32" t="s">
        <v>476</v>
      </c>
      <c r="M227" s="32" t="s">
        <v>70</v>
      </c>
      <c r="N227" s="33">
        <v>20</v>
      </c>
      <c r="O227" s="35"/>
      <c r="P227" s="35"/>
      <c r="Q227" s="37"/>
      <c r="R227" s="38"/>
      <c r="S227" s="33"/>
      <c r="T227" s="39">
        <v>700000</v>
      </c>
      <c r="U227" s="40" t="s">
        <v>115</v>
      </c>
      <c r="V227" s="41"/>
      <c r="W227" s="42" t="str">
        <f ca="1">IFERROR(__xludf.DUMMYFUNCTION("""COMPUTED_VALUE"""),"Hadi property")</f>
        <v>Hadi property</v>
      </c>
      <c r="X227" s="42" t="str">
        <f ca="1"/>
        <v>ON-Hadi property-00011900+20-628114170888</v>
      </c>
      <c r="Y227" s="40"/>
      <c r="Z227" s="40"/>
      <c r="AA227" s="23" t="str">
        <v>https://wa.me/628114170888</v>
      </c>
      <c r="AB227" s="28"/>
      <c r="AC227" s="28"/>
      <c r="AD227" s="28"/>
      <c r="AE227" s="28"/>
      <c r="AF227" s="29"/>
      <c r="AG227" s="29"/>
    </row>
    <row r="228" spans="1:33" ht="15.75" customHeight="1">
      <c r="A228" s="32" t="s">
        <v>196</v>
      </c>
      <c r="B228" s="33">
        <v>231</v>
      </c>
      <c r="C228" s="34" t="s">
        <v>1708</v>
      </c>
      <c r="D228" s="35">
        <v>45841.75697894676</v>
      </c>
      <c r="E228" s="43">
        <v>45839</v>
      </c>
      <c r="F228" s="32" t="s">
        <v>1709</v>
      </c>
      <c r="G228" s="32" t="s">
        <v>1710</v>
      </c>
      <c r="H228" s="32" t="s">
        <v>1711</v>
      </c>
      <c r="I228" s="36" t="s">
        <v>1712</v>
      </c>
      <c r="J228" s="32"/>
      <c r="K228" s="32" t="s">
        <v>1713</v>
      </c>
      <c r="L228" s="32" t="s">
        <v>964</v>
      </c>
      <c r="M228" s="32" t="s">
        <v>1714</v>
      </c>
      <c r="N228" s="33">
        <v>5</v>
      </c>
      <c r="O228" s="35"/>
      <c r="P228" s="35"/>
      <c r="Q228" s="37"/>
      <c r="R228" s="38"/>
      <c r="S228" s="33"/>
      <c r="T228" s="39">
        <v>197000</v>
      </c>
      <c r="U228" s="40" t="s">
        <v>49</v>
      </c>
      <c r="V228" s="41"/>
      <c r="W228" s="42" t="str">
        <f ca="1">IFERROR(__xludf.DUMMYFUNCTION("""COMPUTED_VALUE"""),"Rumah Resista")</f>
        <v>Rumah Resista</v>
      </c>
      <c r="X228" s="42" t="str">
        <f ca="1"/>
        <v>ON-Rumah Resista-00011900+5-6285702653554</v>
      </c>
      <c r="Y228" s="40" t="s">
        <v>62</v>
      </c>
      <c r="Z228" s="40" t="s">
        <v>639</v>
      </c>
      <c r="AA228" s="23" t="str">
        <v>https://wa.me/6285702653554</v>
      </c>
      <c r="AB228" s="28" t="s">
        <v>1715</v>
      </c>
      <c r="AC228" s="28"/>
      <c r="AD228" s="28" t="s">
        <v>690</v>
      </c>
      <c r="AE228" s="28"/>
      <c r="AF228" s="29"/>
      <c r="AG228" s="29"/>
    </row>
    <row r="229" spans="1:33" ht="15.75" customHeight="1">
      <c r="A229" s="32" t="s">
        <v>196</v>
      </c>
      <c r="B229" s="33">
        <v>232</v>
      </c>
      <c r="C229" s="34" t="s">
        <v>1716</v>
      </c>
      <c r="D229" s="35">
        <v>45841.760704375003</v>
      </c>
      <c r="E229" s="43">
        <v>45841</v>
      </c>
      <c r="F229" s="32" t="s">
        <v>1717</v>
      </c>
      <c r="G229" s="32" t="s">
        <v>1718</v>
      </c>
      <c r="H229" s="32" t="s">
        <v>1719</v>
      </c>
      <c r="I229" s="36" t="s">
        <v>1720</v>
      </c>
      <c r="J229" s="32" t="s">
        <v>1721</v>
      </c>
      <c r="K229" s="32" t="s">
        <v>1722</v>
      </c>
      <c r="L229" s="32" t="s">
        <v>1628</v>
      </c>
      <c r="M229" s="32" t="s">
        <v>382</v>
      </c>
      <c r="N229" s="33">
        <v>7</v>
      </c>
      <c r="O229" s="35"/>
      <c r="P229" s="35"/>
      <c r="Q229" s="37"/>
      <c r="R229" s="38"/>
      <c r="S229" s="33"/>
      <c r="T229" s="39">
        <v>297000</v>
      </c>
      <c r="U229" s="40" t="s">
        <v>115</v>
      </c>
      <c r="V229" s="41"/>
      <c r="W229" s="42" t="str">
        <f ca="1">IFERROR(__xludf.DUMMYFUNCTION("""COMPUTED_VALUE"""),"Gejayan Innova")</f>
        <v>Gejayan Innova</v>
      </c>
      <c r="X229" s="42" t="str">
        <f ca="1"/>
        <v>ON-Gejayan Innova-00011900+7-628562943274</v>
      </c>
      <c r="Y229" s="40" t="s">
        <v>50</v>
      </c>
      <c r="Z229" s="40" t="s">
        <v>294</v>
      </c>
      <c r="AA229" s="23" t="str">
        <v>https://wa.me/628562943274</v>
      </c>
      <c r="AB229" s="28" t="s">
        <v>1723</v>
      </c>
      <c r="AC229" s="28"/>
      <c r="AD229" s="28" t="s">
        <v>690</v>
      </c>
      <c r="AE229" s="28"/>
      <c r="AF229" s="29"/>
      <c r="AG229" s="29"/>
    </row>
    <row r="230" spans="1:33" ht="15.75" customHeight="1">
      <c r="A230" s="32" t="s">
        <v>52</v>
      </c>
      <c r="B230" s="33">
        <v>233</v>
      </c>
      <c r="C230" s="34" t="s">
        <v>1724</v>
      </c>
      <c r="D230" s="35">
        <v>45841.820485335644</v>
      </c>
      <c r="E230" s="43">
        <v>45841</v>
      </c>
      <c r="F230" s="32" t="s">
        <v>236</v>
      </c>
      <c r="G230" s="32" t="s">
        <v>236</v>
      </c>
      <c r="H230" s="32" t="s">
        <v>237</v>
      </c>
      <c r="I230" s="36" t="s">
        <v>238</v>
      </c>
      <c r="J230" s="32"/>
      <c r="K230" s="32" t="s">
        <v>239</v>
      </c>
      <c r="L230" s="32"/>
      <c r="M230" s="32" t="s">
        <v>285</v>
      </c>
      <c r="N230" s="33">
        <v>5</v>
      </c>
      <c r="O230" s="35"/>
      <c r="P230" s="35"/>
      <c r="Q230" s="37"/>
      <c r="R230" s="38"/>
      <c r="S230" s="33"/>
      <c r="T230" s="39">
        <v>197000</v>
      </c>
      <c r="U230" s="40" t="s">
        <v>49</v>
      </c>
      <c r="V230" s="41"/>
      <c r="W230" s="42" t="str">
        <f ca="1">IFERROR(__xludf.DUMMYFUNCTION("""COMPUTED_VALUE"""),"EPE Plavon")</f>
        <v>EPE Plavon</v>
      </c>
      <c r="X230" s="42" t="str">
        <f ca="1"/>
        <v>ON-EPE Plavon-00011900+5-6285362101860</v>
      </c>
      <c r="Y230" s="40"/>
      <c r="Z230" s="40"/>
      <c r="AA230" s="23" t="str">
        <v>https://wa.me/6285362101860</v>
      </c>
      <c r="AB230" s="28"/>
      <c r="AC230" s="28"/>
      <c r="AD230" s="28"/>
      <c r="AE230" s="28"/>
      <c r="AF230" s="29"/>
      <c r="AG230" s="29"/>
    </row>
    <row r="231" spans="1:33" ht="15.75" customHeight="1">
      <c r="A231" s="32" t="s">
        <v>52</v>
      </c>
      <c r="B231" s="33">
        <v>233</v>
      </c>
      <c r="C231" s="34" t="s">
        <v>1724</v>
      </c>
      <c r="D231" s="35">
        <v>45841.828129918984</v>
      </c>
      <c r="E231" s="43">
        <v>45841</v>
      </c>
      <c r="F231" s="32" t="s">
        <v>1725</v>
      </c>
      <c r="G231" s="32" t="s">
        <v>1726</v>
      </c>
      <c r="H231" s="32" t="s">
        <v>1727</v>
      </c>
      <c r="I231" s="36" t="s">
        <v>581</v>
      </c>
      <c r="J231" s="32" t="s">
        <v>1728</v>
      </c>
      <c r="K231" s="32" t="s">
        <v>1729</v>
      </c>
      <c r="L231" s="32" t="s">
        <v>584</v>
      </c>
      <c r="M231" s="32" t="s">
        <v>60</v>
      </c>
      <c r="N231" s="33">
        <v>5</v>
      </c>
      <c r="O231" s="35"/>
      <c r="P231" s="35"/>
      <c r="Q231" s="37"/>
      <c r="R231" s="38"/>
      <c r="S231" s="33"/>
      <c r="T231" s="39">
        <v>197000</v>
      </c>
      <c r="U231" s="40" t="s">
        <v>61</v>
      </c>
      <c r="V231" s="41"/>
      <c r="W231" s="42" t="str">
        <f ca="1">IFERROR(__xludf.DUMMYFUNCTION("""COMPUTED_VALUE"""),"Phone Cell")</f>
        <v>Phone Cell</v>
      </c>
      <c r="X231" s="42" t="str">
        <f ca="1"/>
        <v>ON-Phone Cell-00011900+5-6281241440688</v>
      </c>
      <c r="Y231" s="40"/>
      <c r="Z231" s="40"/>
      <c r="AA231" s="23" t="str">
        <v>https://wa.me/6281241440688</v>
      </c>
      <c r="AB231" s="28"/>
      <c r="AC231" s="28"/>
      <c r="AD231" s="28"/>
      <c r="AE231" s="28"/>
      <c r="AF231" s="29"/>
      <c r="AG231" s="29"/>
    </row>
    <row r="232" spans="1:33" ht="15.75" customHeight="1">
      <c r="A232" s="32" t="s">
        <v>52</v>
      </c>
      <c r="B232" s="33"/>
      <c r="C232" s="34"/>
      <c r="D232" s="35">
        <v>45841.828129918984</v>
      </c>
      <c r="E232" s="43">
        <v>45841</v>
      </c>
      <c r="F232" s="32" t="s">
        <v>1730</v>
      </c>
      <c r="G232" s="32" t="s">
        <v>1730</v>
      </c>
      <c r="H232" s="32" t="s">
        <v>1731</v>
      </c>
      <c r="I232" s="36" t="s">
        <v>1732</v>
      </c>
      <c r="J232" s="52" t="s">
        <v>1733</v>
      </c>
      <c r="K232" s="32" t="s">
        <v>1734</v>
      </c>
      <c r="L232" s="32"/>
      <c r="M232" s="32"/>
      <c r="N232" s="33">
        <v>14</v>
      </c>
      <c r="O232" s="35"/>
      <c r="P232" s="35"/>
      <c r="Q232" s="37"/>
      <c r="R232" s="38"/>
      <c r="S232" s="33"/>
      <c r="T232" s="39">
        <v>550000</v>
      </c>
      <c r="U232" s="40" t="s">
        <v>331</v>
      </c>
      <c r="V232" s="41"/>
      <c r="W232" s="42" t="str">
        <f ca="1">IFERROR(__xludf.DUMMYFUNCTION("""COMPUTED_VALUE"""),"Bagus Jam")</f>
        <v>Bagus Jam</v>
      </c>
      <c r="X232" s="42" t="str">
        <f ca="1"/>
        <v>ON-Bagus Jam-00011900+14-62812279574</v>
      </c>
      <c r="Y232" s="40"/>
      <c r="Z232" s="40"/>
      <c r="AA232" s="23" t="str">
        <v>https://wa.me/62812279574</v>
      </c>
      <c r="AB232" s="28"/>
      <c r="AC232" s="28"/>
      <c r="AD232" s="28"/>
      <c r="AE232" s="28"/>
      <c r="AF232" s="29"/>
      <c r="AG232" s="29"/>
    </row>
    <row r="233" spans="1:33" ht="15.75" customHeight="1">
      <c r="A233" s="32" t="s">
        <v>196</v>
      </c>
      <c r="B233" s="33"/>
      <c r="C233" s="34"/>
      <c r="D233" s="43">
        <v>46055</v>
      </c>
      <c r="E233" s="35">
        <v>45841.828129918984</v>
      </c>
      <c r="F233" s="32" t="s">
        <v>1735</v>
      </c>
      <c r="G233" s="32" t="s">
        <v>1736</v>
      </c>
      <c r="H233" s="32" t="s">
        <v>1737</v>
      </c>
      <c r="I233" s="36" t="s">
        <v>1738</v>
      </c>
      <c r="J233" s="52"/>
      <c r="K233" s="32" t="s">
        <v>1739</v>
      </c>
      <c r="L233" s="32" t="s">
        <v>1740</v>
      </c>
      <c r="M233" s="32" t="s">
        <v>60</v>
      </c>
      <c r="N233" s="33">
        <v>7</v>
      </c>
      <c r="O233" s="35"/>
      <c r="P233" s="35"/>
      <c r="Q233" s="37"/>
      <c r="R233" s="38">
        <v>-1003470351325</v>
      </c>
      <c r="S233" s="33"/>
      <c r="T233" s="39">
        <v>297000</v>
      </c>
      <c r="U233" s="40" t="s">
        <v>61</v>
      </c>
      <c r="V233" s="47">
        <v>46056.259470624995</v>
      </c>
      <c r="W233" s="42" t="str">
        <f ca="1">IFERROR(__xludf.DUMMYFUNCTION("""COMPUTED_VALUE"""),"Andika Jaya")</f>
        <v>Andika Jaya</v>
      </c>
      <c r="X233" s="42" t="str">
        <f ca="1"/>
        <v>ON-Andika Jaya-03022026+7-6282315669271</v>
      </c>
      <c r="Y233" s="40" t="s">
        <v>902</v>
      </c>
      <c r="Z233" s="40" t="s">
        <v>630</v>
      </c>
      <c r="AA233" s="23" t="str">
        <v>https://wa.me/6282315669271</v>
      </c>
      <c r="AB233" s="28"/>
      <c r="AC233" s="28"/>
      <c r="AD233" s="28" t="s">
        <v>690</v>
      </c>
      <c r="AE233" s="28"/>
      <c r="AF233" s="29"/>
      <c r="AG233" s="29"/>
    </row>
    <row r="234" spans="1:33" ht="15.75" customHeight="1">
      <c r="A234" s="32" t="s">
        <v>196</v>
      </c>
      <c r="B234" s="33">
        <v>236</v>
      </c>
      <c r="C234" s="34" t="s">
        <v>1741</v>
      </c>
      <c r="D234" s="35">
        <v>45841.855216249998</v>
      </c>
      <c r="E234" s="35">
        <v>45841</v>
      </c>
      <c r="F234" s="32" t="s">
        <v>1742</v>
      </c>
      <c r="G234" s="32" t="s">
        <v>1743</v>
      </c>
      <c r="H234" s="32" t="s">
        <v>1744</v>
      </c>
      <c r="I234" s="36" t="s">
        <v>1745</v>
      </c>
      <c r="J234" s="52" t="s">
        <v>1746</v>
      </c>
      <c r="K234" s="32" t="s">
        <v>1747</v>
      </c>
      <c r="L234" s="32" t="s">
        <v>1748</v>
      </c>
      <c r="M234" s="32" t="s">
        <v>60</v>
      </c>
      <c r="N234" s="33">
        <v>5</v>
      </c>
      <c r="O234" s="35"/>
      <c r="P234" s="35"/>
      <c r="Q234" s="37"/>
      <c r="R234" s="38"/>
      <c r="S234" s="33"/>
      <c r="T234" s="39">
        <v>197000</v>
      </c>
      <c r="U234" s="40" t="s">
        <v>61</v>
      </c>
      <c r="V234" s="41"/>
      <c r="W234" s="42" t="str">
        <f ca="1">IFERROR(__xludf.DUMMYFUNCTION("""COMPUTED_VALUE"""),"Lembaga Kursus")</f>
        <v>Lembaga Kursus</v>
      </c>
      <c r="X234" s="42" t="str">
        <f ca="1"/>
        <v>ON-Lembaga Kursus-00011900+5-6285779532526</v>
      </c>
      <c r="Y234" s="40" t="s">
        <v>62</v>
      </c>
      <c r="Z234" s="40" t="s">
        <v>639</v>
      </c>
      <c r="AA234" s="23" t="str">
        <v>https://wa.me/6285779532526</v>
      </c>
      <c r="AB234" s="28" t="s">
        <v>1749</v>
      </c>
      <c r="AC234" s="28"/>
      <c r="AD234" s="28" t="s">
        <v>690</v>
      </c>
      <c r="AE234" s="28"/>
      <c r="AF234" s="29"/>
      <c r="AG234" s="29"/>
    </row>
    <row r="235" spans="1:33" ht="15.75" customHeight="1">
      <c r="A235" s="32" t="s">
        <v>196</v>
      </c>
      <c r="B235" s="33">
        <v>237</v>
      </c>
      <c r="C235" s="34" t="s">
        <v>1750</v>
      </c>
      <c r="D235" s="35">
        <v>45841.857265798608</v>
      </c>
      <c r="E235" s="35">
        <v>45841</v>
      </c>
      <c r="F235" s="32" t="s">
        <v>1751</v>
      </c>
      <c r="G235" s="32" t="s">
        <v>1752</v>
      </c>
      <c r="H235" s="32" t="s">
        <v>1753</v>
      </c>
      <c r="I235" s="36" t="s">
        <v>1754</v>
      </c>
      <c r="J235" s="52"/>
      <c r="K235" s="32" t="s">
        <v>1755</v>
      </c>
      <c r="L235" s="32" t="s">
        <v>1542</v>
      </c>
      <c r="M235" s="32" t="s">
        <v>60</v>
      </c>
      <c r="N235" s="33">
        <v>5</v>
      </c>
      <c r="O235" s="35"/>
      <c r="P235" s="35"/>
      <c r="Q235" s="37"/>
      <c r="R235" s="38"/>
      <c r="S235" s="33"/>
      <c r="T235" s="39">
        <v>197000</v>
      </c>
      <c r="U235" s="40" t="s">
        <v>61</v>
      </c>
      <c r="V235" s="41"/>
      <c r="W235" s="42" t="str">
        <f ca="1">IFERROR(__xludf.DUMMYFUNCTION("""COMPUTED_VALUE"""),"Rumah Terapi")</f>
        <v>Rumah Terapi</v>
      </c>
      <c r="X235" s="42" t="str">
        <f ca="1"/>
        <v>ON-Rumah Terapi-00011900+5-6281779578317</v>
      </c>
      <c r="Y235" s="40" t="s">
        <v>62</v>
      </c>
      <c r="Z235" s="40" t="s">
        <v>639</v>
      </c>
      <c r="AA235" s="23" t="str">
        <v>https://wa.me/6281779578317</v>
      </c>
      <c r="AB235" s="28" t="s">
        <v>1756</v>
      </c>
      <c r="AC235" s="28"/>
      <c r="AD235" s="28" t="s">
        <v>690</v>
      </c>
      <c r="AE235" s="28"/>
      <c r="AF235" s="29"/>
      <c r="AG235" s="29"/>
    </row>
    <row r="236" spans="1:33" ht="15.75" customHeight="1">
      <c r="A236" s="32" t="s">
        <v>196</v>
      </c>
      <c r="B236" s="33">
        <v>241</v>
      </c>
      <c r="C236" s="34" t="s">
        <v>1757</v>
      </c>
      <c r="D236" s="35">
        <v>45842.249555358794</v>
      </c>
      <c r="E236" s="35">
        <v>45842</v>
      </c>
      <c r="F236" s="32" t="s">
        <v>1758</v>
      </c>
      <c r="G236" s="32" t="s">
        <v>1759</v>
      </c>
      <c r="H236" s="32" t="s">
        <v>1760</v>
      </c>
      <c r="I236" s="36" t="s">
        <v>1761</v>
      </c>
      <c r="J236" s="52"/>
      <c r="K236" s="32" t="s">
        <v>1762</v>
      </c>
      <c r="L236" s="32" t="s">
        <v>1763</v>
      </c>
      <c r="M236" s="32" t="s">
        <v>726</v>
      </c>
      <c r="N236" s="33">
        <v>5</v>
      </c>
      <c r="O236" s="35"/>
      <c r="P236" s="35"/>
      <c r="Q236" s="37"/>
      <c r="R236" s="38"/>
      <c r="S236" s="33"/>
      <c r="T236" s="39">
        <v>197000</v>
      </c>
      <c r="U236" s="40" t="s">
        <v>115</v>
      </c>
      <c r="V236" s="41"/>
      <c r="W236" s="42" t="str">
        <f ca="1">IFERROR(__xludf.DUMMYFUNCTION("""COMPUTED_VALUE"""),"AMT Sukabumi")</f>
        <v>AMT Sukabumi</v>
      </c>
      <c r="X236" s="42" t="str">
        <f ca="1"/>
        <v>ON-AMT Sukabumi-00011900+5-6285311472244</v>
      </c>
      <c r="Y236" s="40" t="s">
        <v>62</v>
      </c>
      <c r="Z236" s="40" t="s">
        <v>639</v>
      </c>
      <c r="AA236" s="23" t="str">
        <v>https://wa.me/6285311472244</v>
      </c>
      <c r="AB236" s="28" t="s">
        <v>1764</v>
      </c>
      <c r="AC236" s="28"/>
      <c r="AD236" s="28" t="s">
        <v>690</v>
      </c>
      <c r="AE236" s="28"/>
      <c r="AF236" s="29"/>
      <c r="AG236" s="29"/>
    </row>
    <row r="237" spans="1:33" ht="15.75" customHeight="1">
      <c r="A237" s="32" t="s">
        <v>196</v>
      </c>
      <c r="B237" s="33">
        <v>239</v>
      </c>
      <c r="C237" s="34" t="s">
        <v>1765</v>
      </c>
      <c r="D237" s="35">
        <v>45842.337289768519</v>
      </c>
      <c r="E237" s="35">
        <v>45842</v>
      </c>
      <c r="F237" s="32" t="s">
        <v>1766</v>
      </c>
      <c r="G237" s="32" t="s">
        <v>1767</v>
      </c>
      <c r="H237" s="32" t="s">
        <v>1768</v>
      </c>
      <c r="I237" s="36" t="s">
        <v>1769</v>
      </c>
      <c r="J237" s="52" t="s">
        <v>1770</v>
      </c>
      <c r="K237" s="32" t="s">
        <v>1771</v>
      </c>
      <c r="L237" s="32" t="s">
        <v>1772</v>
      </c>
      <c r="M237" s="32" t="s">
        <v>1773</v>
      </c>
      <c r="N237" s="33">
        <v>5</v>
      </c>
      <c r="O237" s="35"/>
      <c r="P237" s="35"/>
      <c r="Q237" s="37"/>
      <c r="R237" s="38"/>
      <c r="S237" s="33"/>
      <c r="T237" s="39">
        <v>197000</v>
      </c>
      <c r="U237" s="40" t="s">
        <v>1774</v>
      </c>
      <c r="V237" s="41"/>
      <c r="W237" s="42" t="str">
        <f ca="1">IFERROR(__xludf.DUMMYFUNCTION("""COMPUTED_VALUE"""),"THERA VIDA")</f>
        <v>THERA VIDA</v>
      </c>
      <c r="X237" s="42" t="str">
        <f ca="1"/>
        <v>ON-THERA VIDA-00011900+5-6289635171849</v>
      </c>
      <c r="Y237" s="40" t="s">
        <v>62</v>
      </c>
      <c r="Z237" s="40" t="s">
        <v>639</v>
      </c>
      <c r="AA237" s="23" t="str">
        <v>https://wa.me/6289635171849</v>
      </c>
      <c r="AB237" s="28" t="s">
        <v>1775</v>
      </c>
      <c r="AC237" s="28"/>
      <c r="AD237" s="28" t="s">
        <v>690</v>
      </c>
      <c r="AE237" s="28"/>
      <c r="AF237" s="29"/>
      <c r="AG237" s="29"/>
    </row>
    <row r="238" spans="1:33" ht="15.75" customHeight="1">
      <c r="A238" s="32" t="s">
        <v>196</v>
      </c>
      <c r="B238" s="33">
        <v>240</v>
      </c>
      <c r="C238" s="34" t="s">
        <v>1776</v>
      </c>
      <c r="D238" s="35">
        <v>45842.588199791666</v>
      </c>
      <c r="E238" s="35">
        <v>45842</v>
      </c>
      <c r="F238" s="32" t="s">
        <v>1777</v>
      </c>
      <c r="G238" s="32" t="s">
        <v>1778</v>
      </c>
      <c r="H238" s="32" t="s">
        <v>1779</v>
      </c>
      <c r="I238" s="36" t="s">
        <v>1780</v>
      </c>
      <c r="J238" s="52"/>
      <c r="K238" s="32" t="s">
        <v>1781</v>
      </c>
      <c r="L238" s="32" t="s">
        <v>1782</v>
      </c>
      <c r="M238" s="32"/>
      <c r="N238" s="33">
        <v>7</v>
      </c>
      <c r="O238" s="35"/>
      <c r="P238" s="35"/>
      <c r="Q238" s="37"/>
      <c r="R238" s="38"/>
      <c r="S238" s="33"/>
      <c r="T238" s="39">
        <v>297000</v>
      </c>
      <c r="U238" s="40" t="s">
        <v>115</v>
      </c>
      <c r="V238" s="41"/>
      <c r="W238" s="42" t="str">
        <f ca="1">IFERROR(__xludf.DUMMYFUNCTION("""COMPUTED_VALUE"""),"Nakayami tour")</f>
        <v>Nakayami tour</v>
      </c>
      <c r="X238" s="42" t="str">
        <f ca="1"/>
        <v>ON-Nakayami tour-00011900+7-6283162052952</v>
      </c>
      <c r="Y238" s="40" t="s">
        <v>62</v>
      </c>
      <c r="Z238" s="40" t="s">
        <v>1465</v>
      </c>
      <c r="AA238" s="23" t="str">
        <v>https://wa.me/6283162052952</v>
      </c>
      <c r="AB238" s="28" t="s">
        <v>1783</v>
      </c>
      <c r="AC238" s="28"/>
      <c r="AD238" s="28" t="s">
        <v>690</v>
      </c>
      <c r="AE238" s="28"/>
      <c r="AF238" s="29"/>
      <c r="AG238" s="29"/>
    </row>
    <row r="239" spans="1:33" ht="15.75" customHeight="1">
      <c r="A239" s="32" t="s">
        <v>196</v>
      </c>
      <c r="B239" s="33">
        <v>241</v>
      </c>
      <c r="C239" s="34" t="s">
        <v>1757</v>
      </c>
      <c r="D239" s="35">
        <v>45842.604816238425</v>
      </c>
      <c r="E239" s="35">
        <v>45842</v>
      </c>
      <c r="F239" s="32" t="s">
        <v>1784</v>
      </c>
      <c r="G239" s="32" t="s">
        <v>1785</v>
      </c>
      <c r="H239" s="32" t="s">
        <v>1786</v>
      </c>
      <c r="I239" s="36" t="s">
        <v>1787</v>
      </c>
      <c r="J239" s="52"/>
      <c r="K239" s="32" t="s">
        <v>1788</v>
      </c>
      <c r="L239" s="32">
        <v>35</v>
      </c>
      <c r="M239" s="32" t="s">
        <v>205</v>
      </c>
      <c r="N239" s="33">
        <v>5</v>
      </c>
      <c r="O239" s="35">
        <v>45845</v>
      </c>
      <c r="P239" s="35">
        <v>45850</v>
      </c>
      <c r="Q239" s="37"/>
      <c r="R239" s="38"/>
      <c r="S239" s="33"/>
      <c r="T239" s="39">
        <v>197000</v>
      </c>
      <c r="U239" s="40" t="s">
        <v>61</v>
      </c>
      <c r="V239" s="41"/>
      <c r="W239" s="42" t="str">
        <f ca="1">IFERROR(__xludf.DUMMYFUNCTION("""COMPUTED_VALUE"""),"M Hisyam")</f>
        <v>M Hisyam</v>
      </c>
      <c r="X239" s="42" t="str">
        <f ca="1"/>
        <v>ON-M Hisyam-00011900+5-62895800343940</v>
      </c>
      <c r="Y239" s="40" t="s">
        <v>293</v>
      </c>
      <c r="Z239" s="40" t="s">
        <v>1057</v>
      </c>
      <c r="AA239" s="23" t="str">
        <v>https://wa.me/62895800343940</v>
      </c>
      <c r="AB239" s="28" t="s">
        <v>1789</v>
      </c>
      <c r="AC239" s="28"/>
      <c r="AD239" s="28" t="s">
        <v>690</v>
      </c>
      <c r="AE239" s="28"/>
      <c r="AF239" s="29"/>
      <c r="AG239" s="29"/>
    </row>
    <row r="240" spans="1:33" ht="15.75" customHeight="1">
      <c r="A240" s="32" t="s">
        <v>52</v>
      </c>
      <c r="B240" s="33">
        <v>242</v>
      </c>
      <c r="C240" s="34" t="s">
        <v>1790</v>
      </c>
      <c r="D240" s="35">
        <v>45842.605828645828</v>
      </c>
      <c r="E240" s="35">
        <v>45842</v>
      </c>
      <c r="F240" s="32" t="s">
        <v>1222</v>
      </c>
      <c r="G240" s="32" t="s">
        <v>1223</v>
      </c>
      <c r="H240" s="32" t="s">
        <v>1224</v>
      </c>
      <c r="I240" s="36" t="s">
        <v>1225</v>
      </c>
      <c r="J240" s="52" t="s">
        <v>1226</v>
      </c>
      <c r="K240" s="32" t="s">
        <v>570</v>
      </c>
      <c r="L240" s="32" t="s">
        <v>1228</v>
      </c>
      <c r="M240" s="32" t="s">
        <v>800</v>
      </c>
      <c r="N240" s="33">
        <v>5</v>
      </c>
      <c r="O240" s="35"/>
      <c r="P240" s="35"/>
      <c r="Q240" s="37"/>
      <c r="R240" s="38"/>
      <c r="S240" s="33"/>
      <c r="T240" s="39">
        <v>197000</v>
      </c>
      <c r="U240" s="40" t="s">
        <v>1229</v>
      </c>
      <c r="V240" s="41"/>
      <c r="W240" s="42" t="str">
        <f ca="1">IFERROR(__xludf.DUMMYFUNCTION("""COMPUTED_VALUE"""),"Qui Panel")</f>
        <v>Qui Panel</v>
      </c>
      <c r="X240" s="42" t="str">
        <f ca="1"/>
        <v>ON-Qui Panel-00011900+5-6285715856120</v>
      </c>
      <c r="Y240" s="40"/>
      <c r="Z240" s="40"/>
      <c r="AA240" s="23" t="str">
        <v>https://wa.me/6285715856120</v>
      </c>
      <c r="AB240" s="28"/>
      <c r="AC240" s="28"/>
      <c r="AD240" s="28"/>
      <c r="AE240" s="28"/>
      <c r="AF240" s="29"/>
      <c r="AG240" s="29"/>
    </row>
    <row r="241" spans="1:33" ht="15.75" customHeight="1">
      <c r="A241" s="32" t="s">
        <v>196</v>
      </c>
      <c r="B241" s="33">
        <v>244</v>
      </c>
      <c r="C241" s="34" t="s">
        <v>1791</v>
      </c>
      <c r="D241" s="35">
        <v>45842.826274768522</v>
      </c>
      <c r="E241" s="35">
        <v>45842</v>
      </c>
      <c r="F241" s="32" t="s">
        <v>1792</v>
      </c>
      <c r="G241" s="32" t="s">
        <v>1793</v>
      </c>
      <c r="H241" s="32" t="s">
        <v>1794</v>
      </c>
      <c r="I241" s="36" t="s">
        <v>1795</v>
      </c>
      <c r="J241" s="52"/>
      <c r="K241" s="32" t="s">
        <v>1796</v>
      </c>
      <c r="L241" s="32" t="s">
        <v>1797</v>
      </c>
      <c r="M241" s="32" t="s">
        <v>48</v>
      </c>
      <c r="N241" s="33">
        <v>5</v>
      </c>
      <c r="O241" s="35"/>
      <c r="P241" s="35"/>
      <c r="Q241" s="37"/>
      <c r="R241" s="38"/>
      <c r="S241" s="33"/>
      <c r="T241" s="39">
        <v>197000</v>
      </c>
      <c r="U241" s="40" t="s">
        <v>1774</v>
      </c>
      <c r="V241" s="41"/>
      <c r="W241" s="42" t="str">
        <f ca="1">IFERROR(__xludf.DUMMYFUNCTION("""COMPUTED_VALUE"""),"Randow Rinjani")</f>
        <v>Randow Rinjani</v>
      </c>
      <c r="X241" s="42" t="str">
        <f ca="1"/>
        <v>ON-Randow Rinjani-00011900+5-6283845117965</v>
      </c>
      <c r="Y241" s="40" t="s">
        <v>62</v>
      </c>
      <c r="Z241" s="40" t="s">
        <v>1465</v>
      </c>
      <c r="AA241" s="23" t="str">
        <v>https://wa.me/6283845117965</v>
      </c>
      <c r="AB241" s="28" t="s">
        <v>1798</v>
      </c>
      <c r="AC241" s="28"/>
      <c r="AD241" s="28" t="s">
        <v>690</v>
      </c>
      <c r="AE241" s="28"/>
      <c r="AF241" s="29"/>
      <c r="AG241" s="29"/>
    </row>
    <row r="242" spans="1:33" ht="15.75" customHeight="1">
      <c r="A242" s="32" t="s">
        <v>196</v>
      </c>
      <c r="B242" s="33">
        <v>245</v>
      </c>
      <c r="C242" s="34" t="s">
        <v>1799</v>
      </c>
      <c r="D242" s="35">
        <v>45842.880857557873</v>
      </c>
      <c r="E242" s="35">
        <v>45842</v>
      </c>
      <c r="F242" s="32" t="s">
        <v>1800</v>
      </c>
      <c r="G242" s="32" t="s">
        <v>1801</v>
      </c>
      <c r="H242" s="32" t="s">
        <v>1802</v>
      </c>
      <c r="I242" s="36" t="s">
        <v>1803</v>
      </c>
      <c r="J242" s="52" t="s">
        <v>1804</v>
      </c>
      <c r="K242" s="32" t="s">
        <v>1805</v>
      </c>
      <c r="L242" s="32" t="s">
        <v>1806</v>
      </c>
      <c r="M242" s="32" t="s">
        <v>60</v>
      </c>
      <c r="N242" s="33">
        <v>10</v>
      </c>
      <c r="O242" s="35"/>
      <c r="P242" s="35"/>
      <c r="Q242" s="37"/>
      <c r="R242" s="38"/>
      <c r="S242" s="33"/>
      <c r="T242" s="39">
        <v>375000</v>
      </c>
      <c r="U242" s="40" t="s">
        <v>61</v>
      </c>
      <c r="V242" s="41"/>
      <c r="W242" s="42" t="str">
        <f ca="1">IFERROR(__xludf.DUMMYFUNCTION("""COMPUTED_VALUE"""),"Sakti Desain")</f>
        <v>Sakti Desain</v>
      </c>
      <c r="X242" s="42" t="str">
        <f ca="1"/>
        <v>ON-Sakti Desain-00011900+10-628112999165</v>
      </c>
      <c r="Y242" s="40" t="s">
        <v>293</v>
      </c>
      <c r="Z242" s="40" t="s">
        <v>1057</v>
      </c>
      <c r="AA242" s="23" t="str">
        <v>https://wa.me/628112999165</v>
      </c>
      <c r="AB242" s="28" t="s">
        <v>1807</v>
      </c>
      <c r="AC242" s="28"/>
      <c r="AD242" s="28" t="s">
        <v>690</v>
      </c>
      <c r="AE242" s="28"/>
      <c r="AF242" s="29"/>
      <c r="AG242" s="29"/>
    </row>
    <row r="243" spans="1:33" ht="15.75" customHeight="1">
      <c r="A243" s="32" t="s">
        <v>196</v>
      </c>
      <c r="B243" s="33">
        <v>246</v>
      </c>
      <c r="C243" s="34" t="s">
        <v>1808</v>
      </c>
      <c r="D243" s="35">
        <v>45842.886068981483</v>
      </c>
      <c r="E243" s="35">
        <v>45842</v>
      </c>
      <c r="F243" s="32" t="s">
        <v>1809</v>
      </c>
      <c r="G243" s="32" t="s">
        <v>1810</v>
      </c>
      <c r="H243" s="32" t="s">
        <v>74</v>
      </c>
      <c r="I243" s="36" t="s">
        <v>1811</v>
      </c>
      <c r="J243" s="52" t="s">
        <v>1812</v>
      </c>
      <c r="K243" s="32" t="s">
        <v>1813</v>
      </c>
      <c r="L243" s="32" t="s">
        <v>1814</v>
      </c>
      <c r="M243" s="32" t="s">
        <v>38</v>
      </c>
      <c r="N243" s="33">
        <v>5</v>
      </c>
      <c r="O243" s="35"/>
      <c r="P243" s="35"/>
      <c r="Q243" s="37"/>
      <c r="R243" s="38"/>
      <c r="S243" s="33"/>
      <c r="T243" s="39">
        <v>197000</v>
      </c>
      <c r="U243" s="40" t="s">
        <v>61</v>
      </c>
      <c r="V243" s="41"/>
      <c r="W243" s="42" t="str">
        <f ca="1">IFERROR(__xludf.DUMMYFUNCTION("""COMPUTED_VALUE"""),"D' Elina")</f>
        <v>D' Elina</v>
      </c>
      <c r="X243" s="42" t="str">
        <f ca="1"/>
        <v>ON-D' Elina-00011900+5-6282258462258</v>
      </c>
      <c r="Y243" s="40" t="s">
        <v>50</v>
      </c>
      <c r="Z243" s="40" t="s">
        <v>327</v>
      </c>
      <c r="AA243" s="23" t="str">
        <v>https://wa.me/6282258462258</v>
      </c>
      <c r="AB243" s="28" t="s">
        <v>1815</v>
      </c>
      <c r="AC243" s="28"/>
      <c r="AD243" s="28" t="s">
        <v>690</v>
      </c>
      <c r="AE243" s="28"/>
      <c r="AF243" s="29"/>
      <c r="AG243" s="29"/>
    </row>
    <row r="244" spans="1:33" ht="15.75" customHeight="1">
      <c r="A244" s="32" t="s">
        <v>196</v>
      </c>
      <c r="B244" s="33">
        <v>247</v>
      </c>
      <c r="C244" s="34" t="s">
        <v>1816</v>
      </c>
      <c r="D244" s="35">
        <v>45842.888719699069</v>
      </c>
      <c r="E244" s="35">
        <v>45842</v>
      </c>
      <c r="F244" s="32" t="s">
        <v>1817</v>
      </c>
      <c r="G244" s="32" t="s">
        <v>1818</v>
      </c>
      <c r="H244" s="32" t="s">
        <v>1819</v>
      </c>
      <c r="I244" s="36" t="s">
        <v>1820</v>
      </c>
      <c r="J244" s="52" t="s">
        <v>1821</v>
      </c>
      <c r="K244" s="32" t="s">
        <v>1822</v>
      </c>
      <c r="L244" s="32" t="s">
        <v>964</v>
      </c>
      <c r="M244" s="32" t="s">
        <v>60</v>
      </c>
      <c r="N244" s="33">
        <v>5</v>
      </c>
      <c r="O244" s="35"/>
      <c r="P244" s="35"/>
      <c r="Q244" s="37"/>
      <c r="R244" s="38"/>
      <c r="S244" s="33"/>
      <c r="T244" s="39">
        <v>197000</v>
      </c>
      <c r="U244" s="40" t="s">
        <v>61</v>
      </c>
      <c r="V244" s="41"/>
      <c r="W244" s="42" t="str">
        <f ca="1">IFERROR(__xludf.DUMMYFUNCTION("""COMPUTED_VALUE"""),"Pengobatan Non")</f>
        <v>Pengobatan Non</v>
      </c>
      <c r="X244" s="42" t="str">
        <f ca="1"/>
        <v>ON-Pengobatan Non-00011900+5-6281412281953</v>
      </c>
      <c r="Y244" s="40" t="s">
        <v>62</v>
      </c>
      <c r="Z244" s="40" t="s">
        <v>639</v>
      </c>
      <c r="AA244" s="23" t="str">
        <v>https://wa.me/6281412281953</v>
      </c>
      <c r="AB244" s="28" t="s">
        <v>1823</v>
      </c>
      <c r="AC244" s="28"/>
      <c r="AD244" s="28" t="s">
        <v>690</v>
      </c>
      <c r="AE244" s="28"/>
      <c r="AF244" s="29"/>
      <c r="AG244" s="29"/>
    </row>
    <row r="245" spans="1:33" ht="15.75" customHeight="1">
      <c r="A245" s="32" t="s">
        <v>196</v>
      </c>
      <c r="B245" s="33">
        <v>249</v>
      </c>
      <c r="C245" s="34" t="s">
        <v>1824</v>
      </c>
      <c r="D245" s="35">
        <v>45842.889758078702</v>
      </c>
      <c r="E245" s="35">
        <v>45842</v>
      </c>
      <c r="F245" s="32" t="s">
        <v>1784</v>
      </c>
      <c r="G245" s="32" t="s">
        <v>1785</v>
      </c>
      <c r="H245" s="32" t="s">
        <v>588</v>
      </c>
      <c r="I245" s="36" t="s">
        <v>1787</v>
      </c>
      <c r="J245" s="52"/>
      <c r="K245" s="32" t="s">
        <v>1788</v>
      </c>
      <c r="L245" s="32">
        <v>35</v>
      </c>
      <c r="M245" s="32" t="s">
        <v>205</v>
      </c>
      <c r="N245" s="33">
        <v>5</v>
      </c>
      <c r="O245" s="35"/>
      <c r="P245" s="35"/>
      <c r="Q245" s="37"/>
      <c r="R245" s="38"/>
      <c r="S245" s="33"/>
      <c r="T245" s="39">
        <v>197000</v>
      </c>
      <c r="U245" s="40" t="s">
        <v>61</v>
      </c>
      <c r="V245" s="41"/>
      <c r="W245" s="42" t="str">
        <f ca="1">IFERROR(__xludf.DUMMYFUNCTION("""COMPUTED_VALUE"""),"M Hisyam")</f>
        <v>M Hisyam</v>
      </c>
      <c r="X245" s="42" t="str">
        <f ca="1"/>
        <v>ON-M Hisyam-00011900+5-62895800343940</v>
      </c>
      <c r="Y245" s="40" t="s">
        <v>293</v>
      </c>
      <c r="Z245" s="40" t="s">
        <v>1057</v>
      </c>
      <c r="AA245" s="23" t="str">
        <v>https://wa.me/62895800343940</v>
      </c>
      <c r="AB245" s="28" t="s">
        <v>1825</v>
      </c>
      <c r="AC245" s="28"/>
      <c r="AD245" s="28" t="s">
        <v>690</v>
      </c>
      <c r="AE245" s="28"/>
      <c r="AF245" s="29"/>
      <c r="AG245" s="29"/>
    </row>
    <row r="246" spans="1:33" ht="15.75" customHeight="1">
      <c r="A246" s="32" t="s">
        <v>196</v>
      </c>
      <c r="B246" s="33">
        <v>251</v>
      </c>
      <c r="C246" s="34" t="s">
        <v>1826</v>
      </c>
      <c r="D246" s="35">
        <v>45842.898001712965</v>
      </c>
      <c r="E246" s="35">
        <v>45842</v>
      </c>
      <c r="F246" s="32" t="s">
        <v>1827</v>
      </c>
      <c r="G246" s="32" t="s">
        <v>1828</v>
      </c>
      <c r="H246" s="32" t="s">
        <v>1829</v>
      </c>
      <c r="I246" s="36" t="s">
        <v>1830</v>
      </c>
      <c r="J246" s="52"/>
      <c r="K246" s="32" t="s">
        <v>1831</v>
      </c>
      <c r="L246" s="32" t="s">
        <v>672</v>
      </c>
      <c r="M246" s="32" t="s">
        <v>131</v>
      </c>
      <c r="N246" s="33">
        <v>30</v>
      </c>
      <c r="O246" s="35"/>
      <c r="P246" s="35"/>
      <c r="Q246" s="37"/>
      <c r="R246" s="38"/>
      <c r="S246" s="33"/>
      <c r="T246" s="39">
        <v>1000000</v>
      </c>
      <c r="U246" s="40" t="s">
        <v>61</v>
      </c>
      <c r="V246" s="41"/>
      <c r="W246" s="42" t="str">
        <f ca="1">IFERROR(__xludf.DUMMYFUNCTION("""COMPUTED_VALUE"""),"Labajo Flores")</f>
        <v>Labajo Flores</v>
      </c>
      <c r="X246" s="42" t="str">
        <f ca="1"/>
        <v>ON-Labajo Flores-00011900+30-6285338137835</v>
      </c>
      <c r="Y246" s="40" t="s">
        <v>62</v>
      </c>
      <c r="Z246" s="40" t="s">
        <v>1465</v>
      </c>
      <c r="AA246" s="23" t="str">
        <v>https://wa.me/6285338137835</v>
      </c>
      <c r="AB246" s="28" t="s">
        <v>1832</v>
      </c>
      <c r="AC246" s="28"/>
      <c r="AD246" s="28" t="s">
        <v>690</v>
      </c>
      <c r="AE246" s="28"/>
      <c r="AF246" s="29"/>
      <c r="AG246" s="29"/>
    </row>
    <row r="247" spans="1:33" ht="15.75" customHeight="1">
      <c r="A247" s="32" t="s">
        <v>196</v>
      </c>
      <c r="B247" s="33">
        <v>252</v>
      </c>
      <c r="C247" s="34" t="s">
        <v>1833</v>
      </c>
      <c r="D247" s="35">
        <v>45842.900468310181</v>
      </c>
      <c r="E247" s="35">
        <v>45842</v>
      </c>
      <c r="F247" s="32" t="s">
        <v>1834</v>
      </c>
      <c r="G247" s="32" t="s">
        <v>1835</v>
      </c>
      <c r="H247" s="32" t="s">
        <v>74</v>
      </c>
      <c r="I247" s="36" t="s">
        <v>1836</v>
      </c>
      <c r="J247" s="52"/>
      <c r="K247" s="32" t="s">
        <v>1837</v>
      </c>
      <c r="L247" s="32" t="s">
        <v>166</v>
      </c>
      <c r="M247" s="32" t="s">
        <v>267</v>
      </c>
      <c r="N247" s="33">
        <v>5</v>
      </c>
      <c r="O247" s="35"/>
      <c r="P247" s="35"/>
      <c r="Q247" s="37"/>
      <c r="R247" s="38"/>
      <c r="S247" s="33"/>
      <c r="T247" s="39">
        <v>197000</v>
      </c>
      <c r="U247" s="40" t="s">
        <v>61</v>
      </c>
      <c r="V247" s="41"/>
      <c r="W247" s="42" t="str">
        <f ca="1">IFERROR(__xludf.DUMMYFUNCTION("""COMPUTED_VALUE"""),"Salon Eleanor")</f>
        <v>Salon Eleanor</v>
      </c>
      <c r="X247" s="42" t="str">
        <f ca="1"/>
        <v>ON-Salon Eleanor-00011900+5-62811339289839</v>
      </c>
      <c r="Y247" s="40" t="s">
        <v>50</v>
      </c>
      <c r="Z247" s="40" t="s">
        <v>327</v>
      </c>
      <c r="AA247" s="23" t="str">
        <v>https://wa.me/62811339289839</v>
      </c>
      <c r="AB247" s="28" t="s">
        <v>1838</v>
      </c>
      <c r="AC247" s="28"/>
      <c r="AD247" s="28" t="s">
        <v>690</v>
      </c>
      <c r="AE247" s="28"/>
      <c r="AF247" s="29"/>
      <c r="AG247" s="29"/>
    </row>
    <row r="248" spans="1:33" ht="15.75" customHeight="1">
      <c r="A248" s="32" t="s">
        <v>196</v>
      </c>
      <c r="B248" s="33">
        <v>253</v>
      </c>
      <c r="C248" s="34" t="s">
        <v>1839</v>
      </c>
      <c r="D248" s="35">
        <v>45842.903176840278</v>
      </c>
      <c r="E248" s="35">
        <v>45852</v>
      </c>
      <c r="F248" s="32" t="s">
        <v>1840</v>
      </c>
      <c r="G248" s="32" t="s">
        <v>1841</v>
      </c>
      <c r="H248" s="32" t="s">
        <v>1842</v>
      </c>
      <c r="I248" s="36" t="s">
        <v>1843</v>
      </c>
      <c r="J248" s="52"/>
      <c r="K248" s="32" t="s">
        <v>1831</v>
      </c>
      <c r="L248" s="32" t="s">
        <v>1008</v>
      </c>
      <c r="M248" s="32" t="s">
        <v>60</v>
      </c>
      <c r="N248" s="33">
        <v>5</v>
      </c>
      <c r="O248" s="35"/>
      <c r="P248" s="35"/>
      <c r="Q248" s="37"/>
      <c r="R248" s="38"/>
      <c r="S248" s="33"/>
      <c r="T248" s="39">
        <v>197000</v>
      </c>
      <c r="U248" s="40" t="s">
        <v>61</v>
      </c>
      <c r="V248" s="41"/>
      <c r="W248" s="42" t="str">
        <f ca="1">IFERROR(__xludf.DUMMYFUNCTION("""COMPUTED_VALUE"""),"Dwi Asia")</f>
        <v>Dwi Asia</v>
      </c>
      <c r="X248" s="42" t="str">
        <f ca="1"/>
        <v>ON-Dwi Asia-00011900+5-6281287982295</v>
      </c>
      <c r="Y248" s="40" t="s">
        <v>62</v>
      </c>
      <c r="Z248" s="40" t="s">
        <v>1465</v>
      </c>
      <c r="AA248" s="23" t="str">
        <v>https://wa.me/6281287982295</v>
      </c>
      <c r="AB248" s="28" t="s">
        <v>1844</v>
      </c>
      <c r="AC248" s="28"/>
      <c r="AD248" s="28" t="s">
        <v>690</v>
      </c>
      <c r="AE248" s="28"/>
      <c r="AF248" s="29"/>
      <c r="AG248" s="29"/>
    </row>
    <row r="249" spans="1:33" ht="15.75" customHeight="1">
      <c r="A249" s="32" t="s">
        <v>196</v>
      </c>
      <c r="B249" s="33">
        <v>254</v>
      </c>
      <c r="C249" s="34" t="s">
        <v>1845</v>
      </c>
      <c r="D249" s="35">
        <v>45842.906832372682</v>
      </c>
      <c r="E249" s="35">
        <v>45842</v>
      </c>
      <c r="F249" s="32" t="s">
        <v>1846</v>
      </c>
      <c r="G249" s="32" t="s">
        <v>1847</v>
      </c>
      <c r="H249" s="32" t="s">
        <v>1848</v>
      </c>
      <c r="I249" s="36" t="s">
        <v>1849</v>
      </c>
      <c r="J249" s="52" t="s">
        <v>1850</v>
      </c>
      <c r="K249" s="32" t="s">
        <v>1851</v>
      </c>
      <c r="L249" s="32" t="s">
        <v>672</v>
      </c>
      <c r="M249" s="32" t="s">
        <v>131</v>
      </c>
      <c r="N249" s="33">
        <v>5</v>
      </c>
      <c r="O249" s="35"/>
      <c r="P249" s="35"/>
      <c r="Q249" s="37"/>
      <c r="R249" s="38"/>
      <c r="S249" s="33"/>
      <c r="T249" s="39">
        <v>197000</v>
      </c>
      <c r="U249" s="40" t="s">
        <v>61</v>
      </c>
      <c r="V249" s="41"/>
      <c r="W249" s="42" t="str">
        <f ca="1">IFERROR(__xludf.DUMMYFUNCTION("""COMPUTED_VALUE"""),"Lombok Heaven")</f>
        <v>Lombok Heaven</v>
      </c>
      <c r="X249" s="42" t="str">
        <f ca="1"/>
        <v>ON-Lombok Heaven-00011900+5-6287754552859</v>
      </c>
      <c r="Y249" s="40" t="s">
        <v>62</v>
      </c>
      <c r="Z249" s="40" t="s">
        <v>1465</v>
      </c>
      <c r="AA249" s="23" t="str">
        <v>https://wa.me/6287754552859</v>
      </c>
      <c r="AB249" s="28" t="s">
        <v>1852</v>
      </c>
      <c r="AC249" s="28"/>
      <c r="AD249" s="28" t="s">
        <v>690</v>
      </c>
      <c r="AE249" s="28"/>
      <c r="AF249" s="29"/>
      <c r="AG249" s="29"/>
    </row>
    <row r="250" spans="1:33" ht="15.75" customHeight="1">
      <c r="A250" s="32" t="s">
        <v>912</v>
      </c>
      <c r="B250" s="33">
        <v>256</v>
      </c>
      <c r="C250" s="34" t="s">
        <v>1853</v>
      </c>
      <c r="D250" s="35">
        <v>45843.32334959491</v>
      </c>
      <c r="E250" s="35">
        <v>45842</v>
      </c>
      <c r="F250" s="32" t="s">
        <v>1854</v>
      </c>
      <c r="G250" s="32" t="s">
        <v>1855</v>
      </c>
      <c r="H250" s="32" t="s">
        <v>1856</v>
      </c>
      <c r="I250" s="36" t="s">
        <v>1857</v>
      </c>
      <c r="J250" s="52" t="s">
        <v>1858</v>
      </c>
      <c r="K250" s="32" t="s">
        <v>1859</v>
      </c>
      <c r="L250" s="32" t="s">
        <v>1860</v>
      </c>
      <c r="M250" s="32" t="s">
        <v>60</v>
      </c>
      <c r="N250" s="33">
        <v>5</v>
      </c>
      <c r="O250" s="35"/>
      <c r="P250" s="35"/>
      <c r="Q250" s="37"/>
      <c r="R250" s="38"/>
      <c r="S250" s="33"/>
      <c r="T250" s="39">
        <v>197000</v>
      </c>
      <c r="U250" s="40" t="s">
        <v>61</v>
      </c>
      <c r="V250" s="41"/>
      <c r="W250" s="42" t="str">
        <f ca="1">IFERROR(__xludf.DUMMYFUNCTION("""COMPUTED_VALUE"""),"Toko Kerta")</f>
        <v>Toko Kerta</v>
      </c>
      <c r="X250" s="42" t="str">
        <f ca="1"/>
        <v>ON-Toko Kerta-00011900+5-628972861717</v>
      </c>
      <c r="Y250" s="40" t="s">
        <v>62</v>
      </c>
      <c r="Z250" s="40" t="s">
        <v>1861</v>
      </c>
      <c r="AA250" s="23" t="str">
        <v>https://wa.me/628972861717</v>
      </c>
      <c r="AB250" s="28" t="s">
        <v>1862</v>
      </c>
      <c r="AC250" s="28"/>
      <c r="AD250" s="28" t="s">
        <v>690</v>
      </c>
      <c r="AE250" s="28"/>
      <c r="AF250" s="29"/>
      <c r="AG250" s="29"/>
    </row>
    <row r="251" spans="1:33" ht="15.75" customHeight="1">
      <c r="A251" s="32" t="s">
        <v>52</v>
      </c>
      <c r="B251" s="33">
        <v>254</v>
      </c>
      <c r="C251" s="34" t="s">
        <v>1845</v>
      </c>
      <c r="D251" s="35">
        <v>45843.492582638894</v>
      </c>
      <c r="E251" s="35">
        <v>45843</v>
      </c>
      <c r="F251" s="32" t="s">
        <v>1863</v>
      </c>
      <c r="G251" s="32" t="s">
        <v>1863</v>
      </c>
      <c r="H251" s="32" t="s">
        <v>1829</v>
      </c>
      <c r="I251" s="36" t="s">
        <v>1864</v>
      </c>
      <c r="J251" s="52"/>
      <c r="K251" s="32" t="s">
        <v>1490</v>
      </c>
      <c r="L251" s="32" t="s">
        <v>1865</v>
      </c>
      <c r="M251" s="32" t="s">
        <v>205</v>
      </c>
      <c r="N251" s="33">
        <v>7</v>
      </c>
      <c r="O251" s="35"/>
      <c r="P251" s="35"/>
      <c r="Q251" s="37"/>
      <c r="R251" s="38"/>
      <c r="S251" s="33"/>
      <c r="T251" s="39">
        <v>250000</v>
      </c>
      <c r="U251" s="40" t="s">
        <v>1229</v>
      </c>
      <c r="V251" s="41"/>
      <c r="W251" s="42" t="str">
        <f ca="1">IFERROR(__xludf.DUMMYFUNCTION("""COMPUTED_VALUE"""),"Rental Mobil")</f>
        <v>Rental Mobil</v>
      </c>
      <c r="X251" s="42" t="str">
        <f ca="1"/>
        <v>ON-Rental Mobil-00011900+7-6287782749624</v>
      </c>
      <c r="Y251" s="40"/>
      <c r="Z251" s="40"/>
      <c r="AA251" s="23" t="str">
        <v>https://wa.me/6287782749624</v>
      </c>
      <c r="AB251" s="28"/>
      <c r="AC251" s="28"/>
      <c r="AD251" s="28"/>
      <c r="AE251" s="28"/>
      <c r="AF251" s="29"/>
      <c r="AG251" s="29"/>
    </row>
    <row r="252" spans="1:33" ht="15.75" customHeight="1">
      <c r="A252" s="32" t="s">
        <v>196</v>
      </c>
      <c r="B252" s="33">
        <v>255</v>
      </c>
      <c r="C252" s="34" t="s">
        <v>1866</v>
      </c>
      <c r="D252" s="35">
        <v>45843.493517418981</v>
      </c>
      <c r="E252" s="35">
        <v>45843</v>
      </c>
      <c r="F252" s="32" t="s">
        <v>1867</v>
      </c>
      <c r="G252" s="32" t="s">
        <v>1868</v>
      </c>
      <c r="H252" s="32" t="s">
        <v>1869</v>
      </c>
      <c r="I252" s="36" t="s">
        <v>1870</v>
      </c>
      <c r="J252" s="52"/>
      <c r="K252" s="32" t="s">
        <v>1871</v>
      </c>
      <c r="L252" s="32" t="s">
        <v>1872</v>
      </c>
      <c r="M252" s="32" t="s">
        <v>1236</v>
      </c>
      <c r="N252" s="33">
        <v>7</v>
      </c>
      <c r="O252" s="35"/>
      <c r="P252" s="35"/>
      <c r="Q252" s="37"/>
      <c r="R252" s="38"/>
      <c r="S252" s="33"/>
      <c r="T252" s="39">
        <v>223000</v>
      </c>
      <c r="U252" s="40" t="s">
        <v>115</v>
      </c>
      <c r="V252" s="41"/>
      <c r="W252" s="42" t="str">
        <f ca="1">IFERROR(__xludf.DUMMYFUNCTION("""COMPUTED_VALUE"""),"SNACK KILOAN")</f>
        <v>SNACK KILOAN</v>
      </c>
      <c r="X252" s="42" t="str">
        <f ca="1"/>
        <v>ON-SNACK KILOAN-00011900+7-6288215032728</v>
      </c>
      <c r="Y252" s="40" t="s">
        <v>62</v>
      </c>
      <c r="Z252" s="40" t="s">
        <v>1861</v>
      </c>
      <c r="AA252" s="23" t="str">
        <v>https://wa.me/6288215032728</v>
      </c>
      <c r="AB252" s="28" t="s">
        <v>1873</v>
      </c>
      <c r="AC252" s="28"/>
      <c r="AD252" s="28" t="s">
        <v>690</v>
      </c>
      <c r="AE252" s="28"/>
      <c r="AF252" s="29"/>
      <c r="AG252" s="29"/>
    </row>
    <row r="253" spans="1:33" ht="15.75" customHeight="1">
      <c r="A253" s="32" t="s">
        <v>621</v>
      </c>
      <c r="B253" s="33">
        <v>256</v>
      </c>
      <c r="C253" s="34" t="s">
        <v>1853</v>
      </c>
      <c r="D253" s="35">
        <v>45843.507590416666</v>
      </c>
      <c r="E253" s="35">
        <v>45842</v>
      </c>
      <c r="F253" s="32" t="s">
        <v>1846</v>
      </c>
      <c r="G253" s="32" t="s">
        <v>1847</v>
      </c>
      <c r="H253" s="32" t="s">
        <v>1848</v>
      </c>
      <c r="I253" s="36" t="s">
        <v>1849</v>
      </c>
      <c r="J253" s="52" t="s">
        <v>1850</v>
      </c>
      <c r="K253" s="32" t="s">
        <v>1874</v>
      </c>
      <c r="L253" s="32" t="s">
        <v>672</v>
      </c>
      <c r="M253" s="32" t="s">
        <v>131</v>
      </c>
      <c r="N253" s="33">
        <v>5</v>
      </c>
      <c r="O253" s="35"/>
      <c r="P253" s="35"/>
      <c r="Q253" s="37"/>
      <c r="R253" s="38"/>
      <c r="S253" s="33"/>
      <c r="T253" s="39">
        <v>197000</v>
      </c>
      <c r="U253" s="40" t="s">
        <v>61</v>
      </c>
      <c r="V253" s="41"/>
      <c r="W253" s="42" t="str">
        <f ca="1">IFERROR(__xludf.DUMMYFUNCTION("""COMPUTED_VALUE"""),"Lombok Heaven")</f>
        <v>Lombok Heaven</v>
      </c>
      <c r="X253" s="42" t="str">
        <f ca="1"/>
        <v>ON-Lombok Heaven-00011900+5-6287754552859</v>
      </c>
      <c r="Y253" s="40"/>
      <c r="Z253" s="40"/>
      <c r="AA253" s="23" t="str">
        <v>https://wa.me/6287754552859</v>
      </c>
      <c r="AB253" s="28"/>
      <c r="AC253" s="28"/>
      <c r="AD253" s="28"/>
      <c r="AE253" s="28"/>
      <c r="AF253" s="29"/>
      <c r="AG253" s="29"/>
    </row>
    <row r="254" spans="1:33" ht="15.75" customHeight="1">
      <c r="A254" s="32" t="s">
        <v>196</v>
      </c>
      <c r="B254" s="33">
        <v>256</v>
      </c>
      <c r="C254" s="34" t="s">
        <v>1853</v>
      </c>
      <c r="D254" s="35">
        <v>45843.655071238427</v>
      </c>
      <c r="E254" s="35">
        <v>45843</v>
      </c>
      <c r="F254" s="32" t="s">
        <v>1875</v>
      </c>
      <c r="G254" s="32" t="s">
        <v>1876</v>
      </c>
      <c r="H254" s="32" t="s">
        <v>1877</v>
      </c>
      <c r="I254" s="36" t="s">
        <v>1878</v>
      </c>
      <c r="J254" s="52" t="s">
        <v>1879</v>
      </c>
      <c r="K254" s="32" t="s">
        <v>374</v>
      </c>
      <c r="L254" s="32" t="s">
        <v>1446</v>
      </c>
      <c r="M254" s="32" t="s">
        <v>382</v>
      </c>
      <c r="N254" s="33">
        <v>7</v>
      </c>
      <c r="O254" s="35"/>
      <c r="P254" s="35"/>
      <c r="Q254" s="37"/>
      <c r="R254" s="38"/>
      <c r="S254" s="33"/>
      <c r="T254" s="39">
        <v>297000</v>
      </c>
      <c r="U254" s="40" t="s">
        <v>115</v>
      </c>
      <c r="V254" s="41"/>
      <c r="W254" s="42" t="str">
        <f ca="1">IFERROR(__xludf.DUMMYFUNCTION("""COMPUTED_VALUE"""),"Rentals scooter")</f>
        <v>Rentals scooter</v>
      </c>
      <c r="X254" s="42" t="str">
        <f ca="1"/>
        <v>ON-Rentals scooter-00011900+7-6281237893904</v>
      </c>
      <c r="Y254" s="40" t="s">
        <v>62</v>
      </c>
      <c r="Z254" s="40" t="s">
        <v>1880</v>
      </c>
      <c r="AA254" s="23" t="str">
        <v>https://wa.me/6281237893904</v>
      </c>
      <c r="AB254" s="28" t="s">
        <v>1881</v>
      </c>
      <c r="AC254" s="28"/>
      <c r="AD254" s="28" t="s">
        <v>690</v>
      </c>
      <c r="AE254" s="28"/>
      <c r="AF254" s="29"/>
      <c r="AG254" s="29"/>
    </row>
    <row r="255" spans="1:33" ht="15.75" customHeight="1">
      <c r="A255" s="32" t="s">
        <v>196</v>
      </c>
      <c r="B255" s="33">
        <v>257</v>
      </c>
      <c r="C255" s="34" t="s">
        <v>1882</v>
      </c>
      <c r="D255" s="35">
        <v>45843.675356655091</v>
      </c>
      <c r="E255" s="35">
        <v>45843</v>
      </c>
      <c r="F255" s="32" t="s">
        <v>1883</v>
      </c>
      <c r="G255" s="32" t="s">
        <v>1884</v>
      </c>
      <c r="H255" s="32" t="s">
        <v>1885</v>
      </c>
      <c r="I255" s="36" t="s">
        <v>1886</v>
      </c>
      <c r="J255" s="52"/>
      <c r="K255" s="32" t="s">
        <v>247</v>
      </c>
      <c r="L255" s="32" t="s">
        <v>1887</v>
      </c>
      <c r="M255" s="32" t="s">
        <v>1888</v>
      </c>
      <c r="N255" s="33">
        <v>5</v>
      </c>
      <c r="O255" s="35"/>
      <c r="P255" s="35"/>
      <c r="Q255" s="37"/>
      <c r="R255" s="38"/>
      <c r="S255" s="33"/>
      <c r="T255" s="39">
        <v>197000</v>
      </c>
      <c r="U255" s="40" t="s">
        <v>115</v>
      </c>
      <c r="V255" s="41"/>
      <c r="W255" s="42" t="str">
        <f ca="1">IFERROR(__xludf.DUMMYFUNCTION("""COMPUTED_VALUE"""),"Bimbelku, Jokiku,")</f>
        <v>Bimbelku, Jokiku,</v>
      </c>
      <c r="X255" s="42" t="str">
        <f ca="1"/>
        <v>ON-Bimbelku, Jokiku,-00011900+5-6281361879826</v>
      </c>
      <c r="Y255" s="40" t="s">
        <v>62</v>
      </c>
      <c r="Z255" s="40" t="s">
        <v>1465</v>
      </c>
      <c r="AA255" s="23" t="str">
        <v>https://wa.me/6281361879826</v>
      </c>
      <c r="AB255" s="28" t="s">
        <v>1889</v>
      </c>
      <c r="AC255" s="28"/>
      <c r="AD255" s="28" t="s">
        <v>690</v>
      </c>
      <c r="AE255" s="28"/>
      <c r="AF255" s="29"/>
      <c r="AG255" s="29"/>
    </row>
    <row r="256" spans="1:33" ht="15.75" customHeight="1">
      <c r="A256" s="32" t="s">
        <v>196</v>
      </c>
      <c r="B256" s="33">
        <v>258</v>
      </c>
      <c r="C256" s="34" t="s">
        <v>1890</v>
      </c>
      <c r="D256" s="35">
        <v>45843.698786666668</v>
      </c>
      <c r="E256" s="35">
        <v>45843</v>
      </c>
      <c r="F256" s="32" t="s">
        <v>1891</v>
      </c>
      <c r="G256" s="32" t="s">
        <v>1892</v>
      </c>
      <c r="H256" s="32" t="s">
        <v>1893</v>
      </c>
      <c r="I256" s="36" t="s">
        <v>1894</v>
      </c>
      <c r="J256" s="52" t="s">
        <v>1895</v>
      </c>
      <c r="K256" s="32" t="s">
        <v>1896</v>
      </c>
      <c r="L256" s="32" t="s">
        <v>467</v>
      </c>
      <c r="M256" s="32" t="s">
        <v>382</v>
      </c>
      <c r="N256" s="33">
        <v>10</v>
      </c>
      <c r="O256" s="53"/>
      <c r="P256" s="35"/>
      <c r="Q256" s="37"/>
      <c r="R256" s="38"/>
      <c r="S256" s="33"/>
      <c r="T256" s="39">
        <v>375000</v>
      </c>
      <c r="U256" s="40" t="s">
        <v>115</v>
      </c>
      <c r="V256" s="41"/>
      <c r="W256" s="42" t="str">
        <f ca="1">IFERROR(__xludf.DUMMYFUNCTION("""COMPUTED_VALUE"""),"CV. Sun")</f>
        <v>CV. Sun</v>
      </c>
      <c r="X256" s="42" t="str">
        <f ca="1"/>
        <v>ON-CV. Sun-00011900+10-6282111180648</v>
      </c>
      <c r="Y256" s="40" t="s">
        <v>293</v>
      </c>
      <c r="Z256" s="40" t="s">
        <v>1057</v>
      </c>
      <c r="AA256" s="23" t="str">
        <v>https://wa.me/6282111180648</v>
      </c>
      <c r="AB256" s="28" t="s">
        <v>1897</v>
      </c>
      <c r="AC256" s="28"/>
      <c r="AD256" s="28" t="s">
        <v>690</v>
      </c>
      <c r="AE256" s="28"/>
      <c r="AF256" s="29"/>
      <c r="AG256" s="29"/>
    </row>
    <row r="257" spans="1:33" ht="15.75" customHeight="1">
      <c r="A257" s="32" t="s">
        <v>196</v>
      </c>
      <c r="B257" s="33">
        <v>260</v>
      </c>
      <c r="C257" s="34" t="s">
        <v>1898</v>
      </c>
      <c r="D257" s="35">
        <v>45843.792136018514</v>
      </c>
      <c r="E257" s="35">
        <v>45843</v>
      </c>
      <c r="F257" s="32" t="s">
        <v>1899</v>
      </c>
      <c r="G257" s="32" t="s">
        <v>1900</v>
      </c>
      <c r="H257" s="32" t="s">
        <v>1901</v>
      </c>
      <c r="I257" s="36" t="s">
        <v>1902</v>
      </c>
      <c r="J257" s="52" t="s">
        <v>1903</v>
      </c>
      <c r="K257" s="32" t="s">
        <v>1904</v>
      </c>
      <c r="L257" s="32" t="s">
        <v>166</v>
      </c>
      <c r="M257" s="32" t="s">
        <v>60</v>
      </c>
      <c r="N257" s="33">
        <v>5</v>
      </c>
      <c r="O257" s="35"/>
      <c r="P257" s="35"/>
      <c r="Q257" s="37"/>
      <c r="R257" s="38"/>
      <c r="S257" s="33"/>
      <c r="T257" s="39">
        <v>197000</v>
      </c>
      <c r="U257" s="40" t="s">
        <v>61</v>
      </c>
      <c r="V257" s="41"/>
      <c r="W257" s="42" t="str">
        <f ca="1">IFERROR(__xludf.DUMMYFUNCTION("""COMPUTED_VALUE"""),"Varel Laundry")</f>
        <v>Varel Laundry</v>
      </c>
      <c r="X257" s="42" t="str">
        <f ca="1"/>
        <v>ON-Varel Laundry-00011900+5-6285713536070</v>
      </c>
      <c r="Y257" s="40" t="s">
        <v>62</v>
      </c>
      <c r="Z257" s="40" t="s">
        <v>1465</v>
      </c>
      <c r="AA257" s="23" t="str">
        <v>https://wa.me/6285713536070</v>
      </c>
      <c r="AB257" s="28" t="s">
        <v>1905</v>
      </c>
      <c r="AC257" s="28"/>
      <c r="AD257" s="28" t="s">
        <v>690</v>
      </c>
      <c r="AE257" s="28"/>
      <c r="AF257" s="29"/>
      <c r="AG257" s="29"/>
    </row>
    <row r="258" spans="1:33" ht="15.75" customHeight="1">
      <c r="A258" s="32" t="s">
        <v>196</v>
      </c>
      <c r="B258" s="33">
        <v>261</v>
      </c>
      <c r="C258" s="34" t="s">
        <v>1906</v>
      </c>
      <c r="D258" s="35">
        <v>45843.890425486112</v>
      </c>
      <c r="E258" s="35">
        <v>45843</v>
      </c>
      <c r="F258" s="32" t="s">
        <v>1907</v>
      </c>
      <c r="G258" s="32" t="s">
        <v>1908</v>
      </c>
      <c r="H258" s="32" t="s">
        <v>1909</v>
      </c>
      <c r="I258" s="36" t="s">
        <v>1910</v>
      </c>
      <c r="J258" s="52"/>
      <c r="K258" s="32" t="s">
        <v>1911</v>
      </c>
      <c r="L258" s="32" t="s">
        <v>85</v>
      </c>
      <c r="M258" s="32" t="s">
        <v>285</v>
      </c>
      <c r="N258" s="33">
        <v>5</v>
      </c>
      <c r="O258" s="35"/>
      <c r="P258" s="35"/>
      <c r="Q258" s="37"/>
      <c r="R258" s="38"/>
      <c r="S258" s="33"/>
      <c r="T258" s="39">
        <v>197000</v>
      </c>
      <c r="U258" s="40" t="s">
        <v>1229</v>
      </c>
      <c r="V258" s="41"/>
      <c r="W258" s="42" t="str">
        <f ca="1">IFERROR(__xludf.DUMMYFUNCTION("""COMPUTED_VALUE"""),"Kanopi Innovation")</f>
        <v>Kanopi Innovation</v>
      </c>
      <c r="X258" s="42" t="str">
        <f ca="1"/>
        <v>ON-Kanopi Innovation-00011900+5-6281214999292</v>
      </c>
      <c r="Y258" s="40" t="s">
        <v>293</v>
      </c>
      <c r="Z258" s="40" t="s">
        <v>1057</v>
      </c>
      <c r="AA258" s="23" t="str">
        <v>https://wa.me/6281214999292</v>
      </c>
      <c r="AB258" s="28" t="s">
        <v>1912</v>
      </c>
      <c r="AC258" s="28"/>
      <c r="AD258" s="28" t="s">
        <v>690</v>
      </c>
      <c r="AE258" s="28"/>
      <c r="AF258" s="29"/>
      <c r="AG258" s="29"/>
    </row>
    <row r="259" spans="1:33" ht="15.75" customHeight="1">
      <c r="A259" s="32" t="s">
        <v>196</v>
      </c>
      <c r="B259" s="33">
        <v>262</v>
      </c>
      <c r="C259" s="34" t="s">
        <v>1913</v>
      </c>
      <c r="D259" s="35">
        <v>45843.89427863426</v>
      </c>
      <c r="E259" s="35">
        <v>45843</v>
      </c>
      <c r="F259" s="32" t="s">
        <v>1914</v>
      </c>
      <c r="G259" s="54" t="s">
        <v>1915</v>
      </c>
      <c r="H259" s="32" t="s">
        <v>1916</v>
      </c>
      <c r="I259" s="36" t="s">
        <v>1917</v>
      </c>
      <c r="J259" s="52"/>
      <c r="K259" s="32" t="s">
        <v>1918</v>
      </c>
      <c r="L259" s="32" t="s">
        <v>1542</v>
      </c>
      <c r="M259" s="32" t="s">
        <v>285</v>
      </c>
      <c r="N259" s="33">
        <v>20</v>
      </c>
      <c r="O259" s="35"/>
      <c r="P259" s="35"/>
      <c r="Q259" s="37"/>
      <c r="R259" s="38"/>
      <c r="S259" s="33"/>
      <c r="T259" s="39">
        <v>700000</v>
      </c>
      <c r="U259" s="40" t="s">
        <v>61</v>
      </c>
      <c r="V259" s="41"/>
      <c r="W259" s="55" t="str">
        <f ca="1">IFERROR(__xludf.DUMMYFUNCTION("""COMPUTED_VALUE"""),"Primagriya.com")</f>
        <v>Primagriya.com</v>
      </c>
      <c r="X259" s="42" t="str">
        <f ca="1"/>
        <v>ON-Primagriya.com-00011900+20-6281239874761</v>
      </c>
      <c r="Y259" s="40" t="s">
        <v>293</v>
      </c>
      <c r="Z259" s="40" t="s">
        <v>1057</v>
      </c>
      <c r="AA259" s="23" t="str">
        <v>https://wa.me/6281239874761</v>
      </c>
      <c r="AB259" s="28" t="s">
        <v>1919</v>
      </c>
      <c r="AC259" s="28"/>
      <c r="AD259" s="28" t="s">
        <v>690</v>
      </c>
      <c r="AE259" s="28"/>
      <c r="AF259" s="29"/>
      <c r="AG259" s="29"/>
    </row>
    <row r="260" spans="1:33" ht="15.75" customHeight="1">
      <c r="A260" s="32" t="s">
        <v>196</v>
      </c>
      <c r="B260" s="33">
        <v>263</v>
      </c>
      <c r="C260" s="34" t="s">
        <v>1920</v>
      </c>
      <c r="D260" s="35">
        <v>46024</v>
      </c>
      <c r="E260" s="35">
        <v>45843</v>
      </c>
      <c r="F260" s="32" t="s">
        <v>1921</v>
      </c>
      <c r="G260" s="32" t="s">
        <v>1922</v>
      </c>
      <c r="H260" s="32" t="s">
        <v>1923</v>
      </c>
      <c r="I260" s="36" t="s">
        <v>1924</v>
      </c>
      <c r="J260" s="52"/>
      <c r="K260" s="32" t="s">
        <v>1925</v>
      </c>
      <c r="L260" s="32" t="s">
        <v>1926</v>
      </c>
      <c r="M260" s="32" t="s">
        <v>60</v>
      </c>
      <c r="N260" s="33">
        <v>14</v>
      </c>
      <c r="O260" s="35"/>
      <c r="P260" s="35"/>
      <c r="Q260" s="37"/>
      <c r="R260" s="38">
        <v>-1003470351325</v>
      </c>
      <c r="S260" s="33"/>
      <c r="T260" s="39">
        <v>550000</v>
      </c>
      <c r="U260" s="40" t="s">
        <v>61</v>
      </c>
      <c r="V260" s="47">
        <v>46024.866006041666</v>
      </c>
      <c r="W260" s="42" t="str">
        <f ca="1">IFERROR(__xludf.DUMMYFUNCTION("""COMPUTED_VALUE"""),"Budi Holistik")</f>
        <v>Budi Holistik</v>
      </c>
      <c r="X260" s="42" t="str">
        <f ca="1"/>
        <v>ON-Budi Holistik-02012026+14-6281240144744</v>
      </c>
      <c r="Y260" s="40" t="s">
        <v>62</v>
      </c>
      <c r="Z260" s="40" t="s">
        <v>639</v>
      </c>
      <c r="AA260" s="23" t="str">
        <v>https://wa.me/6281240144744</v>
      </c>
      <c r="AB260" s="28" t="s">
        <v>1927</v>
      </c>
      <c r="AC260" s="28"/>
      <c r="AD260" s="28" t="s">
        <v>690</v>
      </c>
      <c r="AE260" s="28"/>
      <c r="AF260" s="29"/>
      <c r="AG260" s="29"/>
    </row>
    <row r="261" spans="1:33" ht="15.75" customHeight="1">
      <c r="A261" s="32" t="s">
        <v>196</v>
      </c>
      <c r="B261" s="33">
        <v>264</v>
      </c>
      <c r="C261" s="34" t="s">
        <v>1928</v>
      </c>
      <c r="D261" s="35">
        <v>45844.268472754629</v>
      </c>
      <c r="E261" s="35">
        <v>45843</v>
      </c>
      <c r="F261" s="32" t="s">
        <v>1929</v>
      </c>
      <c r="G261" s="32" t="s">
        <v>1930</v>
      </c>
      <c r="H261" s="32" t="s">
        <v>1931</v>
      </c>
      <c r="I261" s="36" t="s">
        <v>1932</v>
      </c>
      <c r="J261" s="52" t="s">
        <v>1933</v>
      </c>
      <c r="K261" s="32" t="s">
        <v>955</v>
      </c>
      <c r="L261" s="32" t="s">
        <v>1934</v>
      </c>
      <c r="M261" s="32" t="s">
        <v>382</v>
      </c>
      <c r="N261" s="33">
        <v>14</v>
      </c>
      <c r="O261" s="35"/>
      <c r="P261" s="35"/>
      <c r="Q261" s="37"/>
      <c r="R261" s="38"/>
      <c r="S261" s="33"/>
      <c r="T261" s="39">
        <v>550000</v>
      </c>
      <c r="U261" s="40" t="s">
        <v>115</v>
      </c>
      <c r="V261" s="41"/>
      <c r="W261" s="42" t="str">
        <f ca="1">IFERROR(__xludf.DUMMYFUNCTION("""COMPUTED_VALUE"""),"SURYA JAYA")</f>
        <v>SURYA JAYA</v>
      </c>
      <c r="X261" s="42" t="str">
        <f ca="1"/>
        <v>ON-SURYA JAYA-00011900+14-6282184019830</v>
      </c>
      <c r="Y261" s="40" t="s">
        <v>293</v>
      </c>
      <c r="Z261" s="40" t="s">
        <v>1057</v>
      </c>
      <c r="AA261" s="23" t="str">
        <v>https://wa.me/6282184019830</v>
      </c>
      <c r="AB261" s="28" t="s">
        <v>1935</v>
      </c>
      <c r="AC261" s="28"/>
      <c r="AD261" s="28" t="s">
        <v>690</v>
      </c>
      <c r="AE261" s="28"/>
      <c r="AF261" s="29"/>
      <c r="AG261" s="29"/>
    </row>
    <row r="262" spans="1:33" ht="15.75" customHeight="1">
      <c r="A262" s="32" t="s">
        <v>196</v>
      </c>
      <c r="B262" s="33">
        <v>265</v>
      </c>
      <c r="C262" s="34" t="s">
        <v>1936</v>
      </c>
      <c r="D262" s="35">
        <v>45844.270708900462</v>
      </c>
      <c r="E262" s="35">
        <v>45840</v>
      </c>
      <c r="F262" s="32" t="s">
        <v>1937</v>
      </c>
      <c r="G262" s="32" t="s">
        <v>1938</v>
      </c>
      <c r="H262" s="32" t="s">
        <v>1939</v>
      </c>
      <c r="I262" s="36" t="s">
        <v>1940</v>
      </c>
      <c r="J262" s="52" t="s">
        <v>1941</v>
      </c>
      <c r="K262" s="32" t="s">
        <v>570</v>
      </c>
      <c r="L262" s="32" t="s">
        <v>1628</v>
      </c>
      <c r="M262" s="32" t="s">
        <v>382</v>
      </c>
      <c r="N262" s="33">
        <v>10</v>
      </c>
      <c r="O262" s="35"/>
      <c r="P262" s="35"/>
      <c r="Q262" s="37"/>
      <c r="R262" s="38"/>
      <c r="S262" s="33"/>
      <c r="T262" s="39">
        <v>280000</v>
      </c>
      <c r="U262" s="40" t="s">
        <v>115</v>
      </c>
      <c r="V262" s="41"/>
      <c r="W262" s="42" t="str">
        <f ca="1">IFERROR(__xludf.DUMMYFUNCTION("""COMPUTED_VALUE"""),"Bintang cleaning")</f>
        <v>Bintang cleaning</v>
      </c>
      <c r="X262" s="42" t="str">
        <f ca="1"/>
        <v>ON-Bintang cleaning-00011900+10-6285956579758</v>
      </c>
      <c r="Y262" s="40" t="s">
        <v>62</v>
      </c>
      <c r="Z262" s="40" t="s">
        <v>1465</v>
      </c>
      <c r="AA262" s="23" t="str">
        <v>https://wa.me/6285956579758</v>
      </c>
      <c r="AB262" s="28" t="s">
        <v>1942</v>
      </c>
      <c r="AC262" s="28"/>
      <c r="AD262" s="28" t="s">
        <v>690</v>
      </c>
      <c r="AE262" s="28"/>
      <c r="AF262" s="29"/>
      <c r="AG262" s="29"/>
    </row>
    <row r="263" spans="1:33" ht="15.75" customHeight="1">
      <c r="A263" s="32" t="s">
        <v>196</v>
      </c>
      <c r="B263" s="33">
        <v>267</v>
      </c>
      <c r="C263" s="34" t="s">
        <v>1943</v>
      </c>
      <c r="D263" s="35">
        <v>45844.415544745367</v>
      </c>
      <c r="E263" s="35">
        <v>45844</v>
      </c>
      <c r="F263" s="32" t="s">
        <v>1944</v>
      </c>
      <c r="G263" s="32" t="s">
        <v>1945</v>
      </c>
      <c r="H263" s="32" t="s">
        <v>595</v>
      </c>
      <c r="I263" s="36" t="s">
        <v>1946</v>
      </c>
      <c r="J263" s="52" t="s">
        <v>1947</v>
      </c>
      <c r="K263" s="32" t="s">
        <v>1948</v>
      </c>
      <c r="L263" s="32" t="s">
        <v>1566</v>
      </c>
      <c r="M263" s="32" t="s">
        <v>60</v>
      </c>
      <c r="N263" s="33">
        <v>5</v>
      </c>
      <c r="O263" s="35"/>
      <c r="P263" s="35"/>
      <c r="Q263" s="37"/>
      <c r="R263" s="38"/>
      <c r="S263" s="33"/>
      <c r="T263" s="39">
        <v>197000</v>
      </c>
      <c r="U263" s="40" t="s">
        <v>61</v>
      </c>
      <c r="V263" s="41"/>
      <c r="W263" s="42" t="str">
        <f ca="1">IFERROR(__xludf.DUMMYFUNCTION("""COMPUTED_VALUE"""),"Keynaara Kontruksi")</f>
        <v>Keynaara Kontruksi</v>
      </c>
      <c r="X263" s="42" t="str">
        <f ca="1"/>
        <v>ON-Keynaara Kontruksi-00011900+5-6289525439559</v>
      </c>
      <c r="Y263" s="40" t="s">
        <v>293</v>
      </c>
      <c r="Z263" s="40" t="s">
        <v>1057</v>
      </c>
      <c r="AA263" s="23" t="str">
        <v>https://wa.me/6289525439559</v>
      </c>
      <c r="AB263" s="28" t="s">
        <v>1949</v>
      </c>
      <c r="AC263" s="28"/>
      <c r="AD263" s="28" t="s">
        <v>690</v>
      </c>
      <c r="AE263" s="28"/>
      <c r="AF263" s="29"/>
      <c r="AG263" s="29"/>
    </row>
    <row r="264" spans="1:33" ht="15.75" customHeight="1">
      <c r="A264" s="32" t="s">
        <v>196</v>
      </c>
      <c r="B264" s="33">
        <v>268</v>
      </c>
      <c r="C264" s="34" t="s">
        <v>1950</v>
      </c>
      <c r="D264" s="35">
        <v>45844.465042511569</v>
      </c>
      <c r="E264" s="35">
        <v>45843</v>
      </c>
      <c r="F264" s="32" t="s">
        <v>1951</v>
      </c>
      <c r="G264" s="32" t="s">
        <v>1952</v>
      </c>
      <c r="H264" s="32" t="s">
        <v>1953</v>
      </c>
      <c r="I264" s="36" t="s">
        <v>1954</v>
      </c>
      <c r="J264" s="52" t="s">
        <v>1955</v>
      </c>
      <c r="K264" s="32" t="s">
        <v>1956</v>
      </c>
      <c r="L264" s="32" t="s">
        <v>1957</v>
      </c>
      <c r="M264" s="32" t="s">
        <v>711</v>
      </c>
      <c r="N264" s="33">
        <v>5</v>
      </c>
      <c r="O264" s="35"/>
      <c r="P264" s="35"/>
      <c r="Q264" s="37"/>
      <c r="R264" s="38"/>
      <c r="S264" s="33"/>
      <c r="T264" s="39">
        <v>197000</v>
      </c>
      <c r="U264" s="40" t="s">
        <v>1229</v>
      </c>
      <c r="V264" s="41"/>
      <c r="W264" s="42" t="str">
        <f ca="1">IFERROR(__xludf.DUMMYFUNCTION("""COMPUTED_VALUE"""),"UI WEDDING")</f>
        <v>UI WEDDING</v>
      </c>
      <c r="X264" s="42" t="str">
        <f ca="1"/>
        <v>ON-UI WEDDING-00011900+5-6282128714101</v>
      </c>
      <c r="Y264" s="40" t="s">
        <v>62</v>
      </c>
      <c r="Z264" s="40" t="s">
        <v>1465</v>
      </c>
      <c r="AA264" s="23" t="str">
        <v>https://wa.me/6282128714101</v>
      </c>
      <c r="AB264" s="28" t="s">
        <v>1958</v>
      </c>
      <c r="AC264" s="28"/>
      <c r="AD264" s="28" t="s">
        <v>690</v>
      </c>
      <c r="AE264" s="28"/>
      <c r="AF264" s="29"/>
      <c r="AG264" s="29"/>
    </row>
    <row r="265" spans="1:33" ht="15.75" customHeight="1">
      <c r="A265" s="32" t="s">
        <v>196</v>
      </c>
      <c r="B265" s="33">
        <v>269</v>
      </c>
      <c r="C265" s="34" t="s">
        <v>1959</v>
      </c>
      <c r="D265" s="35">
        <v>45844.759186354167</v>
      </c>
      <c r="E265" s="35">
        <v>45844</v>
      </c>
      <c r="F265" s="32" t="s">
        <v>1960</v>
      </c>
      <c r="G265" s="32" t="s">
        <v>1961</v>
      </c>
      <c r="H265" s="32" t="s">
        <v>1962</v>
      </c>
      <c r="I265" s="36" t="s">
        <v>1963</v>
      </c>
      <c r="J265" s="52" t="s">
        <v>1964</v>
      </c>
      <c r="K265" s="32" t="s">
        <v>1965</v>
      </c>
      <c r="L265" s="32" t="s">
        <v>1628</v>
      </c>
      <c r="M265" s="32" t="s">
        <v>382</v>
      </c>
      <c r="N265" s="33">
        <v>10</v>
      </c>
      <c r="O265" s="35"/>
      <c r="P265" s="35"/>
      <c r="Q265" s="37"/>
      <c r="R265" s="38"/>
      <c r="S265" s="33"/>
      <c r="T265" s="39">
        <v>375000</v>
      </c>
      <c r="U265" s="40" t="s">
        <v>115</v>
      </c>
      <c r="V265" s="41"/>
      <c r="W265" s="42" t="str">
        <f ca="1">IFERROR(__xludf.DUMMYFUNCTION("""COMPUTED_VALUE"""),"Halmahera Trips")</f>
        <v>Halmahera Trips</v>
      </c>
      <c r="X265" s="42" t="str">
        <f ca="1"/>
        <v>ON-Halmahera Trips-00011900+10-6281212295448</v>
      </c>
      <c r="Y265" s="40" t="s">
        <v>62</v>
      </c>
      <c r="Z265" s="40" t="s">
        <v>1880</v>
      </c>
      <c r="AA265" s="23" t="str">
        <v>https://wa.me/6281212295448</v>
      </c>
      <c r="AB265" s="28" t="s">
        <v>1966</v>
      </c>
      <c r="AC265" s="28"/>
      <c r="AD265" s="28" t="s">
        <v>690</v>
      </c>
      <c r="AE265" s="28"/>
      <c r="AF265" s="29"/>
      <c r="AG265" s="29"/>
    </row>
    <row r="266" spans="1:33" ht="15.75" customHeight="1">
      <c r="A266" s="32" t="s">
        <v>196</v>
      </c>
      <c r="B266" s="33">
        <v>270</v>
      </c>
      <c r="C266" s="34" t="s">
        <v>1967</v>
      </c>
      <c r="D266" s="35">
        <v>45844.798291817133</v>
      </c>
      <c r="E266" s="35">
        <v>45844</v>
      </c>
      <c r="F266" s="32" t="s">
        <v>1968</v>
      </c>
      <c r="G266" s="32" t="s">
        <v>46</v>
      </c>
      <c r="H266" s="32" t="s">
        <v>1969</v>
      </c>
      <c r="I266" s="36" t="s">
        <v>1970</v>
      </c>
      <c r="J266" s="52"/>
      <c r="K266" s="32" t="s">
        <v>1971</v>
      </c>
      <c r="L266" s="32" t="s">
        <v>1972</v>
      </c>
      <c r="M266" s="32" t="s">
        <v>1973</v>
      </c>
      <c r="N266" s="33">
        <v>5</v>
      </c>
      <c r="O266" s="35"/>
      <c r="P266" s="35"/>
      <c r="Q266" s="37"/>
      <c r="R266" s="38"/>
      <c r="S266" s="33"/>
      <c r="T266" s="39">
        <v>197000</v>
      </c>
      <c r="U266" s="40" t="s">
        <v>115</v>
      </c>
      <c r="V266" s="41"/>
      <c r="W266" s="42" t="str">
        <f ca="1">IFERROR(__xludf.DUMMYFUNCTION("""COMPUTED_VALUE"""),"Bali")</f>
        <v>Bali</v>
      </c>
      <c r="X266" s="42" t="str">
        <f ca="1"/>
        <v>ON-Bali-00011900+5-6281337504727</v>
      </c>
      <c r="Y266" s="40" t="s">
        <v>62</v>
      </c>
      <c r="Z266" s="40" t="s">
        <v>1880</v>
      </c>
      <c r="AA266" s="23" t="str">
        <v>https://wa.me/6281337504727</v>
      </c>
      <c r="AB266" s="28" t="s">
        <v>1974</v>
      </c>
      <c r="AC266" s="28"/>
      <c r="AD266" s="28" t="s">
        <v>690</v>
      </c>
      <c r="AE266" s="28"/>
      <c r="AF266" s="29"/>
      <c r="AG266" s="29"/>
    </row>
    <row r="267" spans="1:33" ht="15.75" customHeight="1">
      <c r="A267" s="32" t="s">
        <v>196</v>
      </c>
      <c r="B267" s="33">
        <v>271</v>
      </c>
      <c r="C267" s="34" t="s">
        <v>1975</v>
      </c>
      <c r="D267" s="35">
        <v>45844.861700416666</v>
      </c>
      <c r="E267" s="35">
        <v>45479</v>
      </c>
      <c r="F267" s="32" t="s">
        <v>125</v>
      </c>
      <c r="G267" s="32" t="s">
        <v>1976</v>
      </c>
      <c r="H267" s="32" t="s">
        <v>1977</v>
      </c>
      <c r="I267" s="36" t="s">
        <v>1978</v>
      </c>
      <c r="J267" s="52"/>
      <c r="K267" s="32" t="s">
        <v>1979</v>
      </c>
      <c r="L267" s="32" t="s">
        <v>233</v>
      </c>
      <c r="M267" s="32" t="s">
        <v>60</v>
      </c>
      <c r="N267" s="33">
        <v>10</v>
      </c>
      <c r="O267" s="35"/>
      <c r="P267" s="35"/>
      <c r="Q267" s="37"/>
      <c r="R267" s="38"/>
      <c r="S267" s="33"/>
      <c r="T267" s="39">
        <v>375000</v>
      </c>
      <c r="U267" s="40" t="s">
        <v>61</v>
      </c>
      <c r="V267" s="41"/>
      <c r="W267" s="42" t="str">
        <f ca="1">IFERROR(__xludf.DUMMYFUNCTION("""COMPUTED_VALUE"""),"Mutiara Wisata")</f>
        <v>Mutiara Wisata</v>
      </c>
      <c r="X267" s="42" t="str">
        <f ca="1"/>
        <v>ON-Mutiara Wisata-00011900+10-6282136273086</v>
      </c>
      <c r="Y267" s="40" t="s">
        <v>62</v>
      </c>
      <c r="Z267" s="40" t="s">
        <v>1880</v>
      </c>
      <c r="AA267" s="23" t="str">
        <v>https://wa.me/6282136273086</v>
      </c>
      <c r="AB267" s="28" t="s">
        <v>1980</v>
      </c>
      <c r="AC267" s="28"/>
      <c r="AD267" s="28" t="s">
        <v>690</v>
      </c>
      <c r="AE267" s="28"/>
      <c r="AF267" s="29"/>
      <c r="AG267" s="29"/>
    </row>
    <row r="268" spans="1:33" ht="15.75" customHeight="1">
      <c r="A268" s="32" t="s">
        <v>196</v>
      </c>
      <c r="B268" s="33">
        <v>272</v>
      </c>
      <c r="C268" s="34" t="s">
        <v>1981</v>
      </c>
      <c r="D268" s="35">
        <v>45844.865153599538</v>
      </c>
      <c r="E268" s="35">
        <v>45844</v>
      </c>
      <c r="F268" s="32" t="s">
        <v>1982</v>
      </c>
      <c r="G268" s="32" t="s">
        <v>1983</v>
      </c>
      <c r="H268" s="32" t="s">
        <v>1984</v>
      </c>
      <c r="I268" s="36" t="s">
        <v>1985</v>
      </c>
      <c r="J268" s="52"/>
      <c r="K268" s="32" t="s">
        <v>1986</v>
      </c>
      <c r="L268" s="32" t="s">
        <v>1987</v>
      </c>
      <c r="M268" s="32" t="s">
        <v>1080</v>
      </c>
      <c r="N268" s="33">
        <v>5</v>
      </c>
      <c r="O268" s="35"/>
      <c r="P268" s="35"/>
      <c r="Q268" s="37"/>
      <c r="R268" s="38"/>
      <c r="S268" s="33"/>
      <c r="T268" s="39">
        <v>197000</v>
      </c>
      <c r="U268" s="40" t="s">
        <v>61</v>
      </c>
      <c r="V268" s="41"/>
      <c r="W268" s="42" t="str">
        <f ca="1">IFERROR(__xludf.DUMMYFUNCTION("""COMPUTED_VALUE"""),"Pt Alkarim")</f>
        <v>Pt Alkarim</v>
      </c>
      <c r="X268" s="42" t="str">
        <f ca="1"/>
        <v>ON-Pt Alkarim-00011900+5-6283878405768</v>
      </c>
      <c r="Y268" s="40" t="s">
        <v>62</v>
      </c>
      <c r="Z268" s="40" t="s">
        <v>1880</v>
      </c>
      <c r="AA268" s="23" t="str">
        <v>https://wa.me/6283878405768</v>
      </c>
      <c r="AB268" s="28" t="s">
        <v>1988</v>
      </c>
      <c r="AC268" s="28"/>
      <c r="AD268" s="28" t="s">
        <v>690</v>
      </c>
      <c r="AE268" s="28"/>
      <c r="AF268" s="29"/>
      <c r="AG268" s="29"/>
    </row>
    <row r="269" spans="1:33" ht="15.75" customHeight="1">
      <c r="A269" s="32" t="s">
        <v>196</v>
      </c>
      <c r="B269" s="33">
        <v>273</v>
      </c>
      <c r="C269" s="34" t="s">
        <v>1989</v>
      </c>
      <c r="D269" s="35">
        <v>45844.869856261575</v>
      </c>
      <c r="E269" s="35">
        <v>45844</v>
      </c>
      <c r="F269" s="32" t="s">
        <v>1990</v>
      </c>
      <c r="G269" s="32" t="s">
        <v>1991</v>
      </c>
      <c r="H269" s="32" t="s">
        <v>1992</v>
      </c>
      <c r="I269" s="36" t="s">
        <v>1993</v>
      </c>
      <c r="J269" s="52" t="s">
        <v>1994</v>
      </c>
      <c r="K269" s="32" t="s">
        <v>1995</v>
      </c>
      <c r="L269" s="32" t="s">
        <v>1996</v>
      </c>
      <c r="M269" s="32" t="s">
        <v>60</v>
      </c>
      <c r="N269" s="33">
        <v>5</v>
      </c>
      <c r="O269" s="35"/>
      <c r="P269" s="35"/>
      <c r="Q269" s="37"/>
      <c r="R269" s="38"/>
      <c r="S269" s="33"/>
      <c r="T269" s="39">
        <v>197000</v>
      </c>
      <c r="U269" s="40" t="s">
        <v>61</v>
      </c>
      <c r="V269" s="41"/>
      <c r="W269" s="42" t="str">
        <f ca="1">IFERROR(__xludf.DUMMYFUNCTION("""COMPUTED_VALUE"""),"CV Selvira")</f>
        <v>CV Selvira</v>
      </c>
      <c r="X269" s="42" t="str">
        <f ca="1"/>
        <v>ON-CV Selvira-00011900+5-6282238154676</v>
      </c>
      <c r="Y269" s="40" t="s">
        <v>62</v>
      </c>
      <c r="Z269" s="40" t="s">
        <v>1880</v>
      </c>
      <c r="AA269" s="23" t="str">
        <v>https://wa.me/6282238154676</v>
      </c>
      <c r="AB269" s="28" t="s">
        <v>1997</v>
      </c>
      <c r="AC269" s="28"/>
      <c r="AD269" s="28" t="s">
        <v>690</v>
      </c>
      <c r="AE269" s="28"/>
      <c r="AF269" s="29"/>
      <c r="AG269" s="29"/>
    </row>
    <row r="270" spans="1:33" ht="15.75" customHeight="1">
      <c r="A270" s="32" t="s">
        <v>621</v>
      </c>
      <c r="B270" s="33">
        <v>273</v>
      </c>
      <c r="C270" s="34" t="s">
        <v>1989</v>
      </c>
      <c r="D270" s="35">
        <v>45845.401201087967</v>
      </c>
      <c r="E270" s="35">
        <v>45842</v>
      </c>
      <c r="F270" s="32" t="s">
        <v>1792</v>
      </c>
      <c r="G270" s="32" t="s">
        <v>1793</v>
      </c>
      <c r="H270" s="32" t="s">
        <v>1794</v>
      </c>
      <c r="I270" s="36" t="s">
        <v>1795</v>
      </c>
      <c r="J270" s="52"/>
      <c r="K270" s="32" t="s">
        <v>1796</v>
      </c>
      <c r="L270" s="32" t="s">
        <v>1797</v>
      </c>
      <c r="M270" s="32" t="s">
        <v>48</v>
      </c>
      <c r="N270" s="33">
        <v>5</v>
      </c>
      <c r="O270" s="35"/>
      <c r="P270" s="35"/>
      <c r="Q270" s="37"/>
      <c r="R270" s="38"/>
      <c r="S270" s="33"/>
      <c r="T270" s="39">
        <v>197000</v>
      </c>
      <c r="U270" s="40" t="s">
        <v>1774</v>
      </c>
      <c r="V270" s="41"/>
      <c r="W270" s="42" t="str">
        <f ca="1">IFERROR(__xludf.DUMMYFUNCTION("""COMPUTED_VALUE"""),"Randow Rinjani")</f>
        <v>Randow Rinjani</v>
      </c>
      <c r="X270" s="42" t="str">
        <f ca="1"/>
        <v>ON-Randow Rinjani-00011900+5-6283845117965</v>
      </c>
      <c r="Y270" s="40"/>
      <c r="Z270" s="40"/>
      <c r="AA270" s="23" t="str">
        <v>https://wa.me/6283845117965</v>
      </c>
      <c r="AB270" s="28"/>
      <c r="AC270" s="28"/>
      <c r="AD270" s="28"/>
      <c r="AE270" s="28"/>
      <c r="AF270" s="29"/>
      <c r="AG270" s="29"/>
    </row>
    <row r="271" spans="1:33" ht="15.75" customHeight="1">
      <c r="A271" s="32" t="s">
        <v>196</v>
      </c>
      <c r="B271" s="33">
        <v>274</v>
      </c>
      <c r="C271" s="34" t="s">
        <v>1998</v>
      </c>
      <c r="D271" s="35">
        <v>45845.401863252315</v>
      </c>
      <c r="E271" s="35">
        <v>45845</v>
      </c>
      <c r="F271" s="32" t="s">
        <v>1999</v>
      </c>
      <c r="G271" s="32" t="s">
        <v>2000</v>
      </c>
      <c r="H271" s="32" t="s">
        <v>2001</v>
      </c>
      <c r="I271" s="36" t="s">
        <v>2002</v>
      </c>
      <c r="J271" s="52" t="s">
        <v>2003</v>
      </c>
      <c r="K271" s="32" t="s">
        <v>2004</v>
      </c>
      <c r="L271" s="32" t="s">
        <v>382</v>
      </c>
      <c r="M271" s="32" t="s">
        <v>382</v>
      </c>
      <c r="N271" s="33">
        <v>5</v>
      </c>
      <c r="O271" s="35">
        <v>45847</v>
      </c>
      <c r="P271" s="35">
        <v>45852</v>
      </c>
      <c r="Q271" s="37"/>
      <c r="R271" s="38"/>
      <c r="S271" s="33"/>
      <c r="T271" s="39">
        <v>197000</v>
      </c>
      <c r="U271" s="40" t="s">
        <v>115</v>
      </c>
      <c r="V271" s="41"/>
      <c r="W271" s="42" t="str">
        <f ca="1">IFERROR(__xludf.DUMMYFUNCTION("""COMPUTED_VALUE"""),"Terapi Al")</f>
        <v>Terapi Al</v>
      </c>
      <c r="X271" s="42" t="str">
        <f ca="1"/>
        <v>ON-Terapi Al-00011900+5-6288229559606</v>
      </c>
      <c r="Y271" s="40" t="s">
        <v>62</v>
      </c>
      <c r="Z271" s="40" t="s">
        <v>639</v>
      </c>
      <c r="AA271" s="23" t="str">
        <v>https://wa.me/6288229559606</v>
      </c>
      <c r="AB271" s="28" t="s">
        <v>2005</v>
      </c>
      <c r="AC271" s="28"/>
      <c r="AD271" s="28" t="s">
        <v>690</v>
      </c>
      <c r="AE271" s="28"/>
      <c r="AF271" s="29"/>
      <c r="AG271" s="29"/>
    </row>
    <row r="272" spans="1:33" ht="15.75" customHeight="1">
      <c r="A272" s="32" t="s">
        <v>196</v>
      </c>
      <c r="B272" s="33">
        <v>276</v>
      </c>
      <c r="C272" s="34" t="s">
        <v>2006</v>
      </c>
      <c r="D272" s="35">
        <v>45845.521847349533</v>
      </c>
      <c r="E272" s="35">
        <v>45845</v>
      </c>
      <c r="F272" s="32" t="s">
        <v>2007</v>
      </c>
      <c r="G272" s="32" t="s">
        <v>2008</v>
      </c>
      <c r="H272" s="32" t="s">
        <v>2009</v>
      </c>
      <c r="I272" s="36" t="s">
        <v>2010</v>
      </c>
      <c r="J272" s="52"/>
      <c r="K272" s="32" t="s">
        <v>2011</v>
      </c>
      <c r="L272" s="32" t="s">
        <v>92</v>
      </c>
      <c r="M272" s="32" t="s">
        <v>48</v>
      </c>
      <c r="N272" s="33">
        <v>5</v>
      </c>
      <c r="O272" s="35"/>
      <c r="P272" s="35"/>
      <c r="Q272" s="37"/>
      <c r="R272" s="38"/>
      <c r="S272" s="33"/>
      <c r="T272" s="39">
        <v>197000</v>
      </c>
      <c r="U272" s="40" t="s">
        <v>115</v>
      </c>
      <c r="V272" s="41"/>
      <c r="W272" s="42" t="str">
        <f ca="1">IFERROR(__xludf.DUMMYFUNCTION("""COMPUTED_VALUE"""),"PT. AL")</f>
        <v>PT. AL</v>
      </c>
      <c r="X272" s="42" t="str">
        <f ca="1"/>
        <v>ON-PT. AL-00011900+5-62859130962516</v>
      </c>
      <c r="Y272" s="40" t="s">
        <v>62</v>
      </c>
      <c r="Z272" s="40" t="s">
        <v>1880</v>
      </c>
      <c r="AA272" s="23" t="str">
        <v>https://wa.me/62859130962516</v>
      </c>
      <c r="AB272" s="28" t="s">
        <v>2012</v>
      </c>
      <c r="AC272" s="28"/>
      <c r="AD272" s="28" t="s">
        <v>690</v>
      </c>
      <c r="AE272" s="28"/>
      <c r="AF272" s="29"/>
      <c r="AG272" s="29"/>
    </row>
    <row r="273" spans="1:33" ht="15.75" customHeight="1">
      <c r="A273" s="32" t="s">
        <v>196</v>
      </c>
      <c r="B273" s="33">
        <v>277</v>
      </c>
      <c r="C273" s="34" t="s">
        <v>2013</v>
      </c>
      <c r="D273" s="35">
        <v>45845.750779861111</v>
      </c>
      <c r="E273" s="35">
        <v>45845</v>
      </c>
      <c r="F273" s="32" t="s">
        <v>2014</v>
      </c>
      <c r="G273" s="32" t="s">
        <v>2015</v>
      </c>
      <c r="H273" s="32" t="s">
        <v>907</v>
      </c>
      <c r="I273" s="36" t="s">
        <v>2016</v>
      </c>
      <c r="J273" s="52"/>
      <c r="K273" s="32" t="s">
        <v>2017</v>
      </c>
      <c r="L273" s="32" t="s">
        <v>1566</v>
      </c>
      <c r="M273" s="32" t="s">
        <v>60</v>
      </c>
      <c r="N273" s="33">
        <v>5</v>
      </c>
      <c r="O273" s="35">
        <v>45847</v>
      </c>
      <c r="P273" s="35">
        <v>45852</v>
      </c>
      <c r="Q273" s="37"/>
      <c r="R273" s="38"/>
      <c r="S273" s="33"/>
      <c r="T273" s="39">
        <v>197000</v>
      </c>
      <c r="U273" s="40" t="s">
        <v>61</v>
      </c>
      <c r="V273" s="41"/>
      <c r="W273" s="42" t="str">
        <f ca="1">IFERROR(__xludf.DUMMYFUNCTION("""COMPUTED_VALUE"""),"Jasa Renofasi")</f>
        <v>Jasa Renofasi</v>
      </c>
      <c r="X273" s="42" t="str">
        <f ca="1"/>
        <v>ON-Jasa Renofasi-00011900+5-6285279489086</v>
      </c>
      <c r="Y273" s="40" t="s">
        <v>293</v>
      </c>
      <c r="Z273" s="40" t="s">
        <v>1057</v>
      </c>
      <c r="AA273" s="23" t="str">
        <v>https://wa.me/6285279489086</v>
      </c>
      <c r="AB273" s="28" t="s">
        <v>2018</v>
      </c>
      <c r="AC273" s="28"/>
      <c r="AD273" s="28" t="s">
        <v>690</v>
      </c>
      <c r="AE273" s="28"/>
      <c r="AF273" s="29"/>
      <c r="AG273" s="29"/>
    </row>
    <row r="274" spans="1:33" ht="15.75" customHeight="1">
      <c r="A274" s="32" t="s">
        <v>52</v>
      </c>
      <c r="B274" s="33">
        <v>278</v>
      </c>
      <c r="C274" s="34" t="s">
        <v>2019</v>
      </c>
      <c r="D274" s="35">
        <v>45845.843780115742</v>
      </c>
      <c r="E274" s="35">
        <v>45845</v>
      </c>
      <c r="F274" s="32" t="s">
        <v>738</v>
      </c>
      <c r="G274" s="32" t="s">
        <v>739</v>
      </c>
      <c r="H274" s="32" t="s">
        <v>740</v>
      </c>
      <c r="I274" s="36" t="s">
        <v>741</v>
      </c>
      <c r="J274" s="52"/>
      <c r="K274" s="32" t="s">
        <v>2020</v>
      </c>
      <c r="L274" s="32" t="s">
        <v>629</v>
      </c>
      <c r="M274" s="32" t="s">
        <v>743</v>
      </c>
      <c r="N274" s="33">
        <v>14</v>
      </c>
      <c r="O274" s="35"/>
      <c r="P274" s="35"/>
      <c r="Q274" s="37"/>
      <c r="R274" s="38"/>
      <c r="S274" s="33"/>
      <c r="T274" s="39">
        <v>500000</v>
      </c>
      <c r="U274" s="40" t="s">
        <v>115</v>
      </c>
      <c r="V274" s="41"/>
      <c r="W274" s="42" t="str">
        <f ca="1">IFERROR(__xludf.DUMMYFUNCTION("""COMPUTED_VALUE"""),"PT. Panorama")</f>
        <v>PT. Panorama</v>
      </c>
      <c r="X274" s="42" t="str">
        <f ca="1"/>
        <v>ON-PT. Panorama-00011900+14-628122102657</v>
      </c>
      <c r="Y274" s="40"/>
      <c r="Z274" s="40"/>
      <c r="AA274" s="23" t="str">
        <v>https://wa.me/628122102657</v>
      </c>
      <c r="AB274" s="28"/>
      <c r="AC274" s="28"/>
      <c r="AD274" s="28"/>
      <c r="AE274" s="28"/>
      <c r="AF274" s="29"/>
      <c r="AG274" s="29"/>
    </row>
    <row r="275" spans="1:33" ht="15.75" customHeight="1">
      <c r="A275" s="32" t="s">
        <v>196</v>
      </c>
      <c r="B275" s="33">
        <v>279</v>
      </c>
      <c r="C275" s="34" t="s">
        <v>2021</v>
      </c>
      <c r="D275" s="35">
        <v>45845.98570513889</v>
      </c>
      <c r="E275" s="35">
        <v>45845</v>
      </c>
      <c r="F275" s="32" t="s">
        <v>667</v>
      </c>
      <c r="G275" s="32" t="s">
        <v>2022</v>
      </c>
      <c r="H275" s="32" t="s">
        <v>2023</v>
      </c>
      <c r="I275" s="36" t="s">
        <v>670</v>
      </c>
      <c r="J275" s="52"/>
      <c r="K275" s="32" t="s">
        <v>1381</v>
      </c>
      <c r="L275" s="32" t="s">
        <v>360</v>
      </c>
      <c r="M275" s="32" t="s">
        <v>2024</v>
      </c>
      <c r="N275" s="33">
        <v>5</v>
      </c>
      <c r="O275" s="35">
        <v>45847</v>
      </c>
      <c r="P275" s="35">
        <v>45852</v>
      </c>
      <c r="Q275" s="37"/>
      <c r="R275" s="38"/>
      <c r="S275" s="33"/>
      <c r="T275" s="39">
        <v>197000</v>
      </c>
      <c r="U275" s="40" t="s">
        <v>115</v>
      </c>
      <c r="V275" s="41"/>
      <c r="W275" s="42" t="str">
        <f ca="1">IFERROR(__xludf.DUMMYFUNCTION("""COMPUTED_VALUE"""),"Rokok Herbal")</f>
        <v>Rokok Herbal</v>
      </c>
      <c r="X275" s="42" t="str">
        <f ca="1"/>
        <v>ON-Rokok Herbal-00011900+5-6285274759862</v>
      </c>
      <c r="Y275" s="40" t="s">
        <v>62</v>
      </c>
      <c r="Z275" s="40" t="s">
        <v>1861</v>
      </c>
      <c r="AA275" s="23" t="str">
        <v>https://wa.me/6285274759862</v>
      </c>
      <c r="AB275" s="28" t="s">
        <v>2025</v>
      </c>
      <c r="AC275" s="28"/>
      <c r="AD275" s="28" t="s">
        <v>690</v>
      </c>
      <c r="AE275" s="28"/>
      <c r="AF275" s="29"/>
      <c r="AG275" s="29"/>
    </row>
    <row r="276" spans="1:33" ht="15.75" customHeight="1">
      <c r="A276" s="32" t="s">
        <v>912</v>
      </c>
      <c r="B276" s="33">
        <v>280</v>
      </c>
      <c r="C276" s="34" t="s">
        <v>2026</v>
      </c>
      <c r="D276" s="35">
        <v>45845.988671435189</v>
      </c>
      <c r="E276" s="35">
        <v>45845</v>
      </c>
      <c r="F276" s="32" t="s">
        <v>2027</v>
      </c>
      <c r="G276" s="32" t="s">
        <v>2028</v>
      </c>
      <c r="H276" s="32" t="s">
        <v>1829</v>
      </c>
      <c r="I276" s="36" t="s">
        <v>2029</v>
      </c>
      <c r="J276" s="52" t="s">
        <v>2030</v>
      </c>
      <c r="K276" s="32" t="s">
        <v>1085</v>
      </c>
      <c r="L276" s="32" t="s">
        <v>2031</v>
      </c>
      <c r="M276" s="32" t="s">
        <v>2032</v>
      </c>
      <c r="N276" s="33">
        <v>5</v>
      </c>
      <c r="O276" s="35"/>
      <c r="P276" s="35"/>
      <c r="Q276" s="37"/>
      <c r="R276" s="38"/>
      <c r="S276" s="33"/>
      <c r="T276" s="39">
        <v>197000</v>
      </c>
      <c r="U276" s="40" t="s">
        <v>61</v>
      </c>
      <c r="V276" s="41"/>
      <c r="W276" s="42" t="str">
        <f ca="1">IFERROR(__xludf.DUMMYFUNCTION("""COMPUTED_VALUE"""),"RD Rental")</f>
        <v>RD Rental</v>
      </c>
      <c r="X276" s="42" t="str">
        <f ca="1"/>
        <v>ON-RD Rental-00011900+5-6282154541012</v>
      </c>
      <c r="Y276" s="40" t="s">
        <v>62</v>
      </c>
      <c r="Z276" s="40" t="s">
        <v>1880</v>
      </c>
      <c r="AA276" s="23" t="str">
        <v>https://wa.me/6282154541012</v>
      </c>
      <c r="AB276" s="28" t="s">
        <v>2033</v>
      </c>
      <c r="AC276" s="28"/>
      <c r="AD276" s="28" t="s">
        <v>690</v>
      </c>
      <c r="AE276" s="28"/>
      <c r="AF276" s="29"/>
      <c r="AG276" s="29"/>
    </row>
    <row r="277" spans="1:33" ht="15.75" customHeight="1">
      <c r="A277" s="32" t="s">
        <v>196</v>
      </c>
      <c r="B277" s="33">
        <v>281</v>
      </c>
      <c r="C277" s="34" t="s">
        <v>2034</v>
      </c>
      <c r="D277" s="35">
        <v>45845.99054752315</v>
      </c>
      <c r="E277" s="35">
        <v>45845</v>
      </c>
      <c r="F277" s="32" t="s">
        <v>2035</v>
      </c>
      <c r="G277" s="32" t="s">
        <v>2036</v>
      </c>
      <c r="H277" s="32" t="s">
        <v>1678</v>
      </c>
      <c r="I277" s="36" t="s">
        <v>2037</v>
      </c>
      <c r="J277" s="52" t="s">
        <v>2038</v>
      </c>
      <c r="K277" s="32" t="s">
        <v>570</v>
      </c>
      <c r="L277" s="32" t="s">
        <v>2039</v>
      </c>
      <c r="M277" s="32" t="s">
        <v>2032</v>
      </c>
      <c r="N277" s="33">
        <v>10</v>
      </c>
      <c r="O277" s="35"/>
      <c r="P277" s="35"/>
      <c r="Q277" s="37"/>
      <c r="R277" s="38"/>
      <c r="S277" s="33"/>
      <c r="T277" s="39">
        <v>375000</v>
      </c>
      <c r="U277" s="40" t="s">
        <v>61</v>
      </c>
      <c r="V277" s="41"/>
      <c r="W277" s="42" t="str">
        <f ca="1">IFERROR(__xludf.DUMMYFUNCTION("""COMPUTED_VALUE"""),"CV KALIGIRI")</f>
        <v>CV KALIGIRI</v>
      </c>
      <c r="X277" s="42" t="str">
        <f ca="1"/>
        <v>ON-CV KALIGIRI-00011900+10-6281213766426</v>
      </c>
      <c r="Y277" s="40" t="s">
        <v>293</v>
      </c>
      <c r="Z277" s="40" t="s">
        <v>1057</v>
      </c>
      <c r="AA277" s="23" t="str">
        <v>https://wa.me/6281213766426</v>
      </c>
      <c r="AB277" s="28" t="s">
        <v>2040</v>
      </c>
      <c r="AC277" s="28"/>
      <c r="AD277" s="28" t="s">
        <v>690</v>
      </c>
      <c r="AE277" s="28"/>
      <c r="AF277" s="29"/>
      <c r="AG277" s="29"/>
    </row>
    <row r="278" spans="1:33" ht="15.75" customHeight="1">
      <c r="A278" s="32" t="s">
        <v>196</v>
      </c>
      <c r="B278" s="33">
        <v>282</v>
      </c>
      <c r="C278" s="34" t="s">
        <v>2041</v>
      </c>
      <c r="D278" s="35">
        <v>45845.992223124995</v>
      </c>
      <c r="E278" s="35">
        <v>45845</v>
      </c>
      <c r="F278" s="32" t="s">
        <v>2042</v>
      </c>
      <c r="G278" s="32" t="s">
        <v>2043</v>
      </c>
      <c r="H278" s="32" t="s">
        <v>1711</v>
      </c>
      <c r="I278" s="36" t="s">
        <v>2044</v>
      </c>
      <c r="J278" s="52"/>
      <c r="K278" s="32" t="s">
        <v>2045</v>
      </c>
      <c r="L278" s="32" t="s">
        <v>1256</v>
      </c>
      <c r="M278" s="32" t="s">
        <v>1773</v>
      </c>
      <c r="N278" s="33">
        <v>5</v>
      </c>
      <c r="O278" s="35">
        <v>45847</v>
      </c>
      <c r="P278" s="35">
        <v>45852</v>
      </c>
      <c r="Q278" s="37"/>
      <c r="R278" s="38"/>
      <c r="S278" s="33"/>
      <c r="T278" s="39">
        <v>197000</v>
      </c>
      <c r="U278" s="40" t="s">
        <v>61</v>
      </c>
      <c r="V278" s="41"/>
      <c r="W278" s="42" t="str">
        <f ca="1">IFERROR(__xludf.DUMMYFUNCTION("""COMPUTED_VALUE"""),"Tory Reflexi")</f>
        <v>Tory Reflexi</v>
      </c>
      <c r="X278" s="42" t="str">
        <f ca="1"/>
        <v>ON-Tory Reflexi-00011900+5-6282298717014</v>
      </c>
      <c r="Y278" s="40" t="s">
        <v>62</v>
      </c>
      <c r="Z278" s="40" t="s">
        <v>639</v>
      </c>
      <c r="AA278" s="23" t="str">
        <v>https://wa.me/6282298717014</v>
      </c>
      <c r="AB278" s="28" t="s">
        <v>2046</v>
      </c>
      <c r="AC278" s="28"/>
      <c r="AD278" s="28" t="s">
        <v>690</v>
      </c>
      <c r="AE278" s="28"/>
      <c r="AF278" s="29"/>
      <c r="AG278" s="29"/>
    </row>
    <row r="279" spans="1:33" ht="15.75" customHeight="1">
      <c r="A279" s="32" t="s">
        <v>196</v>
      </c>
      <c r="B279" s="33">
        <v>283</v>
      </c>
      <c r="C279" s="34" t="s">
        <v>2047</v>
      </c>
      <c r="D279" s="35">
        <v>45845.994654050926</v>
      </c>
      <c r="E279" s="35">
        <v>45845</v>
      </c>
      <c r="F279" s="32" t="s">
        <v>484</v>
      </c>
      <c r="G279" s="32" t="s">
        <v>2048</v>
      </c>
      <c r="H279" s="32" t="s">
        <v>414</v>
      </c>
      <c r="I279" s="36" t="s">
        <v>487</v>
      </c>
      <c r="J279" s="52"/>
      <c r="K279" s="32" t="s">
        <v>2049</v>
      </c>
      <c r="L279" s="32" t="s">
        <v>2050</v>
      </c>
      <c r="M279" s="32" t="s">
        <v>1773</v>
      </c>
      <c r="N279" s="33">
        <v>7</v>
      </c>
      <c r="O279" s="35"/>
      <c r="P279" s="35"/>
      <c r="Q279" s="37"/>
      <c r="R279" s="38"/>
      <c r="S279" s="33"/>
      <c r="T279" s="39">
        <v>297000</v>
      </c>
      <c r="U279" s="40" t="s">
        <v>61</v>
      </c>
      <c r="V279" s="41"/>
      <c r="W279" s="42" t="str">
        <f ca="1">IFERROR(__xludf.DUMMYFUNCTION("""COMPUTED_VALUE"""),"Lowongan pekerjaan")</f>
        <v>Lowongan pekerjaan</v>
      </c>
      <c r="X279" s="42" t="str">
        <f ca="1"/>
        <v>ON-Lowongan pekerjaan-00011900+7-6281904501876</v>
      </c>
      <c r="Y279" s="40" t="s">
        <v>50</v>
      </c>
      <c r="Z279" s="40" t="s">
        <v>214</v>
      </c>
      <c r="AA279" s="23" t="str">
        <v>https://wa.me/6281904501876</v>
      </c>
      <c r="AB279" s="28" t="s">
        <v>2051</v>
      </c>
      <c r="AC279" s="28"/>
      <c r="AD279" s="28" t="s">
        <v>690</v>
      </c>
      <c r="AE279" s="28"/>
      <c r="AF279" s="29"/>
      <c r="AG279" s="29"/>
    </row>
    <row r="280" spans="1:33" ht="15.75" customHeight="1">
      <c r="A280" s="32" t="s">
        <v>52</v>
      </c>
      <c r="B280" s="33">
        <v>284</v>
      </c>
      <c r="C280" s="34" t="s">
        <v>2052</v>
      </c>
      <c r="D280" s="35">
        <v>45845.998684444443</v>
      </c>
      <c r="E280" s="35">
        <v>45845</v>
      </c>
      <c r="F280" s="32" t="s">
        <v>533</v>
      </c>
      <c r="G280" s="32" t="s">
        <v>2053</v>
      </c>
      <c r="H280" s="32" t="s">
        <v>74</v>
      </c>
      <c r="I280" s="36" t="s">
        <v>536</v>
      </c>
      <c r="J280" s="52"/>
      <c r="K280" s="32" t="s">
        <v>2054</v>
      </c>
      <c r="L280" s="32" t="s">
        <v>539</v>
      </c>
      <c r="M280" s="32" t="s">
        <v>267</v>
      </c>
      <c r="N280" s="33">
        <v>5</v>
      </c>
      <c r="O280" s="35"/>
      <c r="P280" s="35"/>
      <c r="Q280" s="37"/>
      <c r="R280" s="38"/>
      <c r="S280" s="33"/>
      <c r="T280" s="39">
        <v>197000</v>
      </c>
      <c r="U280" s="40" t="s">
        <v>61</v>
      </c>
      <c r="V280" s="41"/>
      <c r="W280" s="42" t="str">
        <f ca="1">IFERROR(__xludf.DUMMYFUNCTION("""COMPUTED_VALUE"""),"Hana Glamour")</f>
        <v>Hana Glamour</v>
      </c>
      <c r="X280" s="42" t="str">
        <f ca="1"/>
        <v>ON-Hana Glamour-00011900+5-6281335728695</v>
      </c>
      <c r="Y280" s="40"/>
      <c r="Z280" s="40"/>
      <c r="AA280" s="23" t="str">
        <v>https://wa.me/6281335728695</v>
      </c>
      <c r="AB280" s="28"/>
      <c r="AC280" s="28"/>
      <c r="AD280" s="28"/>
      <c r="AE280" s="28"/>
      <c r="AF280" s="29"/>
      <c r="AG280" s="29"/>
    </row>
    <row r="281" spans="1:33" ht="15.75" customHeight="1">
      <c r="A281" s="32" t="s">
        <v>52</v>
      </c>
      <c r="B281" s="33">
        <v>287</v>
      </c>
      <c r="C281" s="34" t="s">
        <v>2055</v>
      </c>
      <c r="D281" s="35">
        <v>45846.352332013892</v>
      </c>
      <c r="E281" s="35">
        <v>45845</v>
      </c>
      <c r="F281" s="32" t="s">
        <v>1350</v>
      </c>
      <c r="G281" s="32" t="s">
        <v>1351</v>
      </c>
      <c r="H281" s="32" t="s">
        <v>2056</v>
      </c>
      <c r="I281" s="36" t="s">
        <v>1353</v>
      </c>
      <c r="J281" s="52" t="s">
        <v>2057</v>
      </c>
      <c r="K281" s="32" t="s">
        <v>1355</v>
      </c>
      <c r="L281" s="32" t="s">
        <v>1356</v>
      </c>
      <c r="M281" s="32" t="s">
        <v>60</v>
      </c>
      <c r="N281" s="33">
        <v>5</v>
      </c>
      <c r="O281" s="35"/>
      <c r="P281" s="35"/>
      <c r="Q281" s="37"/>
      <c r="R281" s="38"/>
      <c r="S281" s="33"/>
      <c r="T281" s="39">
        <v>197000</v>
      </c>
      <c r="U281" s="40" t="s">
        <v>61</v>
      </c>
      <c r="V281" s="41"/>
      <c r="W281" s="42" t="str">
        <f ca="1">IFERROR(__xludf.DUMMYFUNCTION("""COMPUTED_VALUE"""),"Putra Bakti")</f>
        <v>Putra Bakti</v>
      </c>
      <c r="X281" s="42" t="str">
        <f ca="1"/>
        <v>ON-Putra Bakti-00011900+5-6285668750416</v>
      </c>
      <c r="Y281" s="40"/>
      <c r="Z281" s="40"/>
      <c r="AA281" s="23" t="str">
        <v>https://wa.me/6285668750416</v>
      </c>
      <c r="AB281" s="28"/>
      <c r="AC281" s="28"/>
      <c r="AD281" s="28"/>
      <c r="AE281" s="28"/>
      <c r="AF281" s="29"/>
      <c r="AG281" s="29"/>
    </row>
    <row r="282" spans="1:33" ht="15.75" customHeight="1">
      <c r="A282" s="32" t="s">
        <v>196</v>
      </c>
      <c r="B282" s="33">
        <v>284</v>
      </c>
      <c r="C282" s="34" t="s">
        <v>2052</v>
      </c>
      <c r="D282" s="35">
        <v>45846.740659618052</v>
      </c>
      <c r="E282" s="35">
        <v>45846</v>
      </c>
      <c r="F282" s="32" t="s">
        <v>2058</v>
      </c>
      <c r="G282" s="32" t="s">
        <v>2058</v>
      </c>
      <c r="H282" s="32" t="s">
        <v>2059</v>
      </c>
      <c r="I282" s="36" t="s">
        <v>2060</v>
      </c>
      <c r="J282" s="52" t="s">
        <v>2061</v>
      </c>
      <c r="K282" s="32" t="s">
        <v>570</v>
      </c>
      <c r="L282" s="32"/>
      <c r="M282" s="32" t="s">
        <v>711</v>
      </c>
      <c r="N282" s="33">
        <v>5</v>
      </c>
      <c r="O282" s="35"/>
      <c r="P282" s="35"/>
      <c r="Q282" s="37"/>
      <c r="R282" s="38"/>
      <c r="S282" s="33"/>
      <c r="T282" s="39">
        <v>197000</v>
      </c>
      <c r="U282" s="40" t="s">
        <v>115</v>
      </c>
      <c r="V282" s="41"/>
      <c r="W282" s="42" t="str">
        <f ca="1">IFERROR(__xludf.DUMMYFUNCTION("""COMPUTED_VALUE"""),"Saputra jaya")</f>
        <v>Saputra jaya</v>
      </c>
      <c r="X282" s="42" t="str">
        <f ca="1"/>
        <v>ON-Saputra jaya-00011900+5-6281310204991</v>
      </c>
      <c r="Y282" s="40" t="s">
        <v>293</v>
      </c>
      <c r="Z282" s="40" t="s">
        <v>1057</v>
      </c>
      <c r="AA282" s="23" t="str">
        <v>https://wa.me/6281310204991</v>
      </c>
      <c r="AB282" s="28" t="s">
        <v>2062</v>
      </c>
      <c r="AC282" s="28"/>
      <c r="AD282" s="28" t="s">
        <v>690</v>
      </c>
      <c r="AE282" s="28"/>
      <c r="AF282" s="29"/>
      <c r="AG282" s="29"/>
    </row>
    <row r="283" spans="1:33" ht="15.75" customHeight="1">
      <c r="A283" s="32" t="s">
        <v>196</v>
      </c>
      <c r="B283" s="33">
        <v>288</v>
      </c>
      <c r="C283" s="34" t="s">
        <v>2063</v>
      </c>
      <c r="D283" s="35">
        <v>45846.847748113425</v>
      </c>
      <c r="E283" s="35">
        <v>45846</v>
      </c>
      <c r="F283" s="32" t="s">
        <v>2064</v>
      </c>
      <c r="G283" s="32" t="s">
        <v>2065</v>
      </c>
      <c r="H283" s="32" t="s">
        <v>1648</v>
      </c>
      <c r="I283" s="36" t="s">
        <v>2066</v>
      </c>
      <c r="J283" s="52" t="s">
        <v>2067</v>
      </c>
      <c r="K283" s="32" t="s">
        <v>2068</v>
      </c>
      <c r="L283" s="32" t="s">
        <v>2069</v>
      </c>
      <c r="M283" s="32" t="s">
        <v>2032</v>
      </c>
      <c r="N283" s="33">
        <v>5</v>
      </c>
      <c r="O283" s="35"/>
      <c r="P283" s="35"/>
      <c r="Q283" s="37"/>
      <c r="R283" s="38"/>
      <c r="S283" s="33"/>
      <c r="T283" s="39">
        <v>197000</v>
      </c>
      <c r="U283" s="40" t="s">
        <v>61</v>
      </c>
      <c r="V283" s="41"/>
      <c r="W283" s="42" t="str">
        <f ca="1">IFERROR(__xludf.DUMMYFUNCTION("""COMPUTED_VALUE"""),"Bengkel Las")</f>
        <v>Bengkel Las</v>
      </c>
      <c r="X283" s="42" t="str">
        <f ca="1"/>
        <v>ON-Bengkel Las-00011900+5-6281394618785</v>
      </c>
      <c r="Y283" s="40" t="s">
        <v>293</v>
      </c>
      <c r="Z283" s="40" t="s">
        <v>1057</v>
      </c>
      <c r="AA283" s="23" t="str">
        <v>https://wa.me/6281394618785</v>
      </c>
      <c r="AB283" s="28" t="s">
        <v>2070</v>
      </c>
      <c r="AC283" s="28"/>
      <c r="AD283" s="28" t="s">
        <v>690</v>
      </c>
      <c r="AE283" s="28"/>
      <c r="AF283" s="29"/>
      <c r="AG283" s="29"/>
    </row>
    <row r="284" spans="1:33" ht="15.75" customHeight="1">
      <c r="A284" s="32" t="s">
        <v>196</v>
      </c>
      <c r="B284" s="33">
        <v>289</v>
      </c>
      <c r="C284" s="34" t="s">
        <v>2071</v>
      </c>
      <c r="D284" s="35">
        <v>45846.861027025458</v>
      </c>
      <c r="E284" s="35">
        <v>45846</v>
      </c>
      <c r="F284" s="32" t="s">
        <v>2072</v>
      </c>
      <c r="G284" s="32" t="s">
        <v>2073</v>
      </c>
      <c r="H284" s="32" t="s">
        <v>2074</v>
      </c>
      <c r="I284" s="36" t="s">
        <v>2075</v>
      </c>
      <c r="J284" s="52" t="s">
        <v>2076</v>
      </c>
      <c r="K284" s="32" t="s">
        <v>1024</v>
      </c>
      <c r="L284" s="32" t="s">
        <v>655</v>
      </c>
      <c r="M284" s="32" t="s">
        <v>2032</v>
      </c>
      <c r="N284" s="33">
        <v>7</v>
      </c>
      <c r="O284" s="35"/>
      <c r="P284" s="35"/>
      <c r="Q284" s="37"/>
      <c r="R284" s="38"/>
      <c r="S284" s="33"/>
      <c r="T284" s="39">
        <v>297000</v>
      </c>
      <c r="U284" s="40" t="s">
        <v>1774</v>
      </c>
      <c r="V284" s="41"/>
      <c r="W284" s="42" t="str">
        <f ca="1">IFERROR(__xludf.DUMMYFUNCTION("""COMPUTED_VALUE"""),"Safa Bag")</f>
        <v>Safa Bag</v>
      </c>
      <c r="X284" s="42" t="str">
        <f ca="1"/>
        <v>ON-Safa Bag-00011900+7-6287715704997</v>
      </c>
      <c r="Y284" s="40" t="s">
        <v>62</v>
      </c>
      <c r="Z284" s="40" t="s">
        <v>1465</v>
      </c>
      <c r="AA284" s="23" t="str">
        <v>https://wa.me/6287715704997</v>
      </c>
      <c r="AB284" s="28" t="s">
        <v>2077</v>
      </c>
      <c r="AC284" s="28"/>
      <c r="AD284" s="28" t="s">
        <v>690</v>
      </c>
      <c r="AE284" s="28"/>
      <c r="AF284" s="29"/>
      <c r="AG284" s="29"/>
    </row>
    <row r="285" spans="1:33" ht="15.75" customHeight="1">
      <c r="A285" s="32" t="s">
        <v>52</v>
      </c>
      <c r="B285" s="33">
        <v>291</v>
      </c>
      <c r="C285" s="34" t="s">
        <v>2078</v>
      </c>
      <c r="D285" s="35">
        <v>45846.871367870372</v>
      </c>
      <c r="E285" s="35">
        <v>45846</v>
      </c>
      <c r="F285" s="32" t="s">
        <v>1494</v>
      </c>
      <c r="G285" s="32" t="s">
        <v>1495</v>
      </c>
      <c r="H285" s="32" t="s">
        <v>2079</v>
      </c>
      <c r="I285" s="36" t="s">
        <v>1497</v>
      </c>
      <c r="J285" s="52" t="s">
        <v>2080</v>
      </c>
      <c r="K285" s="32" t="s">
        <v>92</v>
      </c>
      <c r="L285" s="32" t="s">
        <v>92</v>
      </c>
      <c r="M285" s="32" t="s">
        <v>92</v>
      </c>
      <c r="N285" s="33">
        <v>30</v>
      </c>
      <c r="O285" s="35"/>
      <c r="P285" s="35"/>
      <c r="Q285" s="37"/>
      <c r="R285" s="38"/>
      <c r="S285" s="33"/>
      <c r="T285" s="39">
        <v>1000000</v>
      </c>
      <c r="U285" s="40" t="s">
        <v>61</v>
      </c>
      <c r="V285" s="41"/>
      <c r="W285" s="42" t="str">
        <f ca="1">IFERROR(__xludf.DUMMYFUNCTION("""COMPUTED_VALUE"""),"MRX Lovina")</f>
        <v>MRX Lovina</v>
      </c>
      <c r="X285" s="42" t="str">
        <f ca="1"/>
        <v>ON-MRX Lovina-00011900+30-6281246211381</v>
      </c>
      <c r="Y285" s="40"/>
      <c r="Z285" s="40"/>
      <c r="AA285" s="23" t="str">
        <v>https://wa.me/6281246211381</v>
      </c>
      <c r="AB285" s="28"/>
      <c r="AC285" s="28"/>
      <c r="AD285" s="28"/>
      <c r="AE285" s="28"/>
      <c r="AF285" s="29"/>
      <c r="AG285" s="29"/>
    </row>
    <row r="286" spans="1:33" ht="15.75" customHeight="1">
      <c r="A286" s="32" t="s">
        <v>196</v>
      </c>
      <c r="B286" s="33">
        <v>288</v>
      </c>
      <c r="C286" s="34" t="s">
        <v>2063</v>
      </c>
      <c r="D286" s="35">
        <v>45847.265186516204</v>
      </c>
      <c r="E286" s="35">
        <v>45846</v>
      </c>
      <c r="F286" s="32" t="s">
        <v>2081</v>
      </c>
      <c r="G286" s="32" t="s">
        <v>2082</v>
      </c>
      <c r="H286" s="32" t="s">
        <v>2083</v>
      </c>
      <c r="I286" s="36" t="s">
        <v>2084</v>
      </c>
      <c r="J286" s="52" t="s">
        <v>2085</v>
      </c>
      <c r="K286" s="32" t="s">
        <v>2086</v>
      </c>
      <c r="L286" s="32" t="s">
        <v>1575</v>
      </c>
      <c r="M286" s="32" t="s">
        <v>60</v>
      </c>
      <c r="N286" s="33">
        <v>5</v>
      </c>
      <c r="O286" s="35"/>
      <c r="P286" s="35"/>
      <c r="Q286" s="37"/>
      <c r="R286" s="38"/>
      <c r="S286" s="33"/>
      <c r="T286" s="39">
        <v>197000</v>
      </c>
      <c r="U286" s="40" t="s">
        <v>61</v>
      </c>
      <c r="V286" s="41"/>
      <c r="W286" s="42" t="str">
        <f ca="1">IFERROR(__xludf.DUMMYFUNCTION("""COMPUTED_VALUE"""),"Bekam Syar'i")</f>
        <v>Bekam Syar'i</v>
      </c>
      <c r="X286" s="42" t="str">
        <f ca="1"/>
        <v>ON-Bekam Syar'i-00011900+5-6281252595912</v>
      </c>
      <c r="Y286" s="40" t="s">
        <v>62</v>
      </c>
      <c r="Z286" s="40" t="s">
        <v>639</v>
      </c>
      <c r="AA286" s="23" t="str">
        <v>https://wa.me/6281252595912</v>
      </c>
      <c r="AB286" s="28" t="s">
        <v>2087</v>
      </c>
      <c r="AC286" s="28"/>
      <c r="AD286" s="28" t="s">
        <v>690</v>
      </c>
      <c r="AE286" s="28"/>
      <c r="AF286" s="29"/>
      <c r="AG286" s="29"/>
    </row>
    <row r="287" spans="1:33" ht="15.75" customHeight="1">
      <c r="A287" s="32" t="s">
        <v>196</v>
      </c>
      <c r="B287" s="33">
        <v>289</v>
      </c>
      <c r="C287" s="34" t="s">
        <v>2071</v>
      </c>
      <c r="D287" s="35">
        <v>45847.268315162037</v>
      </c>
      <c r="E287" s="35">
        <v>45846</v>
      </c>
      <c r="F287" s="32" t="s">
        <v>2088</v>
      </c>
      <c r="G287" s="32" t="s">
        <v>2089</v>
      </c>
      <c r="H287" s="32" t="s">
        <v>2090</v>
      </c>
      <c r="I287" s="36" t="s">
        <v>2091</v>
      </c>
      <c r="J287" s="52"/>
      <c r="K287" s="32" t="s">
        <v>2092</v>
      </c>
      <c r="L287" s="32" t="s">
        <v>1008</v>
      </c>
      <c r="M287" s="32" t="s">
        <v>60</v>
      </c>
      <c r="N287" s="33">
        <v>5</v>
      </c>
      <c r="O287" s="35"/>
      <c r="P287" s="35"/>
      <c r="Q287" s="37"/>
      <c r="R287" s="38"/>
      <c r="S287" s="33"/>
      <c r="T287" s="39">
        <v>197000</v>
      </c>
      <c r="U287" s="40" t="s">
        <v>61</v>
      </c>
      <c r="V287" s="41"/>
      <c r="W287" s="42" t="str">
        <f ca="1">IFERROR(__xludf.DUMMYFUNCTION("""COMPUTED_VALUE"""),"ALSES SARANA")</f>
        <v>ALSES SARANA</v>
      </c>
      <c r="X287" s="42" t="str">
        <f ca="1"/>
        <v>ON-ALSES SARANA-00011900+5-6285889229948</v>
      </c>
      <c r="Y287" s="40" t="s">
        <v>62</v>
      </c>
      <c r="Z287" s="40" t="s">
        <v>1880</v>
      </c>
      <c r="AA287" s="23" t="str">
        <v>https://wa.me/6285889229948</v>
      </c>
      <c r="AB287" s="28" t="s">
        <v>2093</v>
      </c>
      <c r="AC287" s="28"/>
      <c r="AD287" s="28" t="s">
        <v>690</v>
      </c>
      <c r="AE287" s="28"/>
      <c r="AF287" s="29"/>
      <c r="AG287" s="29"/>
    </row>
    <row r="288" spans="1:33" ht="15.75" customHeight="1">
      <c r="A288" s="32" t="s">
        <v>196</v>
      </c>
      <c r="B288" s="33">
        <v>290</v>
      </c>
      <c r="C288" s="34" t="s">
        <v>2094</v>
      </c>
      <c r="D288" s="35">
        <v>45847.359251099537</v>
      </c>
      <c r="E288" s="35">
        <v>45846</v>
      </c>
      <c r="F288" s="32" t="s">
        <v>2095</v>
      </c>
      <c r="G288" s="32" t="s">
        <v>2096</v>
      </c>
      <c r="H288" s="32" t="s">
        <v>2097</v>
      </c>
      <c r="I288" s="36" t="s">
        <v>2098</v>
      </c>
      <c r="J288" s="52"/>
      <c r="K288" s="32" t="s">
        <v>570</v>
      </c>
      <c r="L288" s="32" t="s">
        <v>382</v>
      </c>
      <c r="M288" s="32" t="s">
        <v>382</v>
      </c>
      <c r="N288" s="33">
        <v>5</v>
      </c>
      <c r="O288" s="35"/>
      <c r="P288" s="35"/>
      <c r="Q288" s="37"/>
      <c r="R288" s="38"/>
      <c r="S288" s="33"/>
      <c r="T288" s="39">
        <v>197000</v>
      </c>
      <c r="U288" s="40" t="s">
        <v>115</v>
      </c>
      <c r="V288" s="41"/>
      <c r="W288" s="42" t="str">
        <f ca="1">IFERROR(__xludf.DUMMYFUNCTION("""COMPUTED_VALUE"""),"Wifi Myrepulic")</f>
        <v>Wifi Myrepulic</v>
      </c>
      <c r="X288" s="42" t="str">
        <f ca="1"/>
        <v>ON-Wifi Myrepulic-00011900+5-6285282777679</v>
      </c>
      <c r="Y288" s="40" t="s">
        <v>62</v>
      </c>
      <c r="Z288" s="40" t="s">
        <v>1465</v>
      </c>
      <c r="AA288" s="23" t="str">
        <v>https://wa.me/6285282777679</v>
      </c>
      <c r="AB288" s="28" t="s">
        <v>2099</v>
      </c>
      <c r="AC288" s="28"/>
      <c r="AD288" s="28" t="s">
        <v>690</v>
      </c>
      <c r="AE288" s="28"/>
      <c r="AF288" s="29"/>
      <c r="AG288" s="29"/>
    </row>
    <row r="289" spans="1:33" ht="15.75" customHeight="1">
      <c r="A289" s="32" t="s">
        <v>196</v>
      </c>
      <c r="B289" s="33">
        <v>292</v>
      </c>
      <c r="C289" s="34" t="s">
        <v>2100</v>
      </c>
      <c r="D289" s="35">
        <v>45847.558193969904</v>
      </c>
      <c r="E289" s="35">
        <v>45847</v>
      </c>
      <c r="F289" s="32" t="s">
        <v>2101</v>
      </c>
      <c r="G289" s="32" t="s">
        <v>2102</v>
      </c>
      <c r="H289" s="32" t="s">
        <v>2103</v>
      </c>
      <c r="I289" s="36" t="s">
        <v>2104</v>
      </c>
      <c r="J289" s="52" t="s">
        <v>2105</v>
      </c>
      <c r="K289" s="32" t="s">
        <v>2106</v>
      </c>
      <c r="L289" s="32" t="s">
        <v>77</v>
      </c>
      <c r="M289" s="32" t="s">
        <v>2032</v>
      </c>
      <c r="N289" s="33">
        <v>20</v>
      </c>
      <c r="O289" s="35"/>
      <c r="P289" s="35"/>
      <c r="Q289" s="37"/>
      <c r="R289" s="38"/>
      <c r="S289" s="33"/>
      <c r="T289" s="39">
        <v>700000</v>
      </c>
      <c r="U289" s="40" t="s">
        <v>1774</v>
      </c>
      <c r="V289" s="41"/>
      <c r="W289" s="42" t="str">
        <f ca="1">IFERROR(__xludf.DUMMYFUNCTION("""COMPUTED_VALUE"""),"PT RAHAYU")</f>
        <v>PT RAHAYU</v>
      </c>
      <c r="X289" s="42" t="str">
        <f ca="1"/>
        <v>ON-PT RAHAYU-00011900+20-6283183643221</v>
      </c>
      <c r="Y289" s="40" t="s">
        <v>62</v>
      </c>
      <c r="Z289" s="40" t="s">
        <v>1880</v>
      </c>
      <c r="AA289" s="23" t="str">
        <v>https://wa.me/6283183643221</v>
      </c>
      <c r="AB289" s="28" t="s">
        <v>2107</v>
      </c>
      <c r="AC289" s="28"/>
      <c r="AD289" s="28" t="s">
        <v>690</v>
      </c>
      <c r="AE289" s="28"/>
      <c r="AF289" s="29"/>
      <c r="AG289" s="29"/>
    </row>
    <row r="290" spans="1:33" ht="15.75" customHeight="1">
      <c r="A290" s="32" t="s">
        <v>52</v>
      </c>
      <c r="B290" s="33">
        <v>292</v>
      </c>
      <c r="C290" s="34" t="s">
        <v>2100</v>
      </c>
      <c r="D290" s="35">
        <v>45847.606554942133</v>
      </c>
      <c r="E290" s="35">
        <v>45847</v>
      </c>
      <c r="F290" s="32" t="s">
        <v>1615</v>
      </c>
      <c r="G290" s="32" t="s">
        <v>1616</v>
      </c>
      <c r="H290" s="32" t="s">
        <v>1617</v>
      </c>
      <c r="I290" s="36" t="s">
        <v>1618</v>
      </c>
      <c r="J290" s="52" t="s">
        <v>1619</v>
      </c>
      <c r="K290" s="32" t="s">
        <v>1620</v>
      </c>
      <c r="L290" s="32" t="s">
        <v>382</v>
      </c>
      <c r="M290" s="32" t="s">
        <v>382</v>
      </c>
      <c r="N290" s="33">
        <v>5</v>
      </c>
      <c r="O290" s="35"/>
      <c r="P290" s="35"/>
      <c r="Q290" s="37"/>
      <c r="R290" s="38"/>
      <c r="S290" s="33"/>
      <c r="T290" s="39">
        <v>197000</v>
      </c>
      <c r="U290" s="40" t="s">
        <v>115</v>
      </c>
      <c r="V290" s="41"/>
      <c r="W290" s="42" t="str">
        <f ca="1">IFERROR(__xludf.DUMMYFUNCTION("""COMPUTED_VALUE"""),"TAHU CRISPY")</f>
        <v>TAHU CRISPY</v>
      </c>
      <c r="X290" s="42" t="str">
        <f ca="1"/>
        <v>ON-TAHU CRISPY-00011900+5-6282227027805</v>
      </c>
      <c r="Y290" s="40"/>
      <c r="Z290" s="40"/>
      <c r="AA290" s="23" t="str">
        <v>https://wa.me/6282227027805</v>
      </c>
      <c r="AB290" s="28"/>
      <c r="AC290" s="28"/>
      <c r="AD290" s="28"/>
      <c r="AE290" s="28"/>
      <c r="AF290" s="29"/>
      <c r="AG290" s="29"/>
    </row>
    <row r="291" spans="1:33" ht="15.75" customHeight="1">
      <c r="A291" s="32" t="s">
        <v>196</v>
      </c>
      <c r="B291" s="33">
        <v>293</v>
      </c>
      <c r="C291" s="34" t="s">
        <v>2108</v>
      </c>
      <c r="D291" s="35">
        <v>45847.840666192133</v>
      </c>
      <c r="E291" s="35">
        <v>45842</v>
      </c>
      <c r="F291" s="32" t="s">
        <v>2109</v>
      </c>
      <c r="G291" s="32" t="s">
        <v>2110</v>
      </c>
      <c r="H291" s="32" t="s">
        <v>2111</v>
      </c>
      <c r="I291" s="36" t="s">
        <v>2112</v>
      </c>
      <c r="J291" s="52" t="s">
        <v>2113</v>
      </c>
      <c r="K291" s="32" t="s">
        <v>2114</v>
      </c>
      <c r="L291" s="32" t="s">
        <v>2115</v>
      </c>
      <c r="M291" s="32" t="s">
        <v>2116</v>
      </c>
      <c r="N291" s="33">
        <v>5</v>
      </c>
      <c r="O291" s="35"/>
      <c r="P291" s="35"/>
      <c r="Q291" s="37"/>
      <c r="R291" s="38"/>
      <c r="S291" s="33"/>
      <c r="T291" s="39">
        <v>197000</v>
      </c>
      <c r="U291" s="40" t="s">
        <v>1229</v>
      </c>
      <c r="V291" s="41"/>
      <c r="W291" s="42" t="str">
        <f ca="1">IFERROR(__xludf.DUMMYFUNCTION("""COMPUTED_VALUE"""),"Rumah Phonsel")</f>
        <v>Rumah Phonsel</v>
      </c>
      <c r="X291" s="42" t="str">
        <f ca="1"/>
        <v>ON-Rumah Phonsel-00011900+5-6285184844621</v>
      </c>
      <c r="Y291" s="40" t="s">
        <v>62</v>
      </c>
      <c r="Z291" s="40" t="s">
        <v>1465</v>
      </c>
      <c r="AA291" s="23" t="str">
        <v>https://wa.me/6285184844621</v>
      </c>
      <c r="AB291" s="28" t="s">
        <v>2117</v>
      </c>
      <c r="AC291" s="28"/>
      <c r="AD291" s="28" t="s">
        <v>690</v>
      </c>
      <c r="AE291" s="28"/>
      <c r="AF291" s="29"/>
      <c r="AG291" s="29"/>
    </row>
    <row r="292" spans="1:33" ht="15.75" customHeight="1">
      <c r="A292" s="32" t="s">
        <v>196</v>
      </c>
      <c r="B292" s="33">
        <v>294</v>
      </c>
      <c r="C292" s="34" t="s">
        <v>2118</v>
      </c>
      <c r="D292" s="35">
        <v>45847.946465671295</v>
      </c>
      <c r="E292" s="35">
        <v>45847</v>
      </c>
      <c r="F292" s="32" t="s">
        <v>2119</v>
      </c>
      <c r="G292" s="32" t="s">
        <v>2120</v>
      </c>
      <c r="H292" s="32" t="s">
        <v>2121</v>
      </c>
      <c r="I292" s="36" t="s">
        <v>2122</v>
      </c>
      <c r="J292" s="52" t="s">
        <v>2123</v>
      </c>
      <c r="K292" s="32" t="s">
        <v>2124</v>
      </c>
      <c r="L292" s="32">
        <v>33</v>
      </c>
      <c r="M292" s="32" t="s">
        <v>2125</v>
      </c>
      <c r="N292" s="33">
        <v>5</v>
      </c>
      <c r="O292" s="35">
        <v>45855</v>
      </c>
      <c r="P292" s="35">
        <v>45860</v>
      </c>
      <c r="Q292" s="37"/>
      <c r="R292" s="38"/>
      <c r="S292" s="33"/>
      <c r="T292" s="39">
        <v>197000</v>
      </c>
      <c r="U292" s="40" t="s">
        <v>61</v>
      </c>
      <c r="V292" s="41"/>
      <c r="W292" s="42" t="str">
        <f ca="1">IFERROR(__xludf.DUMMYFUNCTION("""COMPUTED_VALUE"""),"PT Rohim")</f>
        <v>PT Rohim</v>
      </c>
      <c r="X292" s="42" t="str">
        <f ca="1"/>
        <v>ON-PT Rohim-00011900+5-6285789446955</v>
      </c>
      <c r="Y292" s="40" t="s">
        <v>62</v>
      </c>
      <c r="Z292" s="40" t="s">
        <v>639</v>
      </c>
      <c r="AA292" s="23" t="str">
        <v>https://wa.me/6285789446955</v>
      </c>
      <c r="AB292" s="28"/>
      <c r="AC292" s="28"/>
      <c r="AD292" s="28" t="s">
        <v>690</v>
      </c>
      <c r="AE292" s="28"/>
      <c r="AF292" s="29"/>
      <c r="AG292" s="29"/>
    </row>
    <row r="293" spans="1:33" ht="15.75" customHeight="1">
      <c r="A293" s="32" t="s">
        <v>196</v>
      </c>
      <c r="B293" s="33">
        <v>295</v>
      </c>
      <c r="C293" s="34" t="s">
        <v>2126</v>
      </c>
      <c r="D293" s="35">
        <v>45847.950560081023</v>
      </c>
      <c r="E293" s="35">
        <v>45847</v>
      </c>
      <c r="F293" s="32" t="s">
        <v>2127</v>
      </c>
      <c r="G293" s="32" t="s">
        <v>2128</v>
      </c>
      <c r="H293" s="32" t="s">
        <v>2129</v>
      </c>
      <c r="I293" s="36" t="s">
        <v>2130</v>
      </c>
      <c r="J293" s="52" t="s">
        <v>2131</v>
      </c>
      <c r="K293" s="32" t="s">
        <v>2132</v>
      </c>
      <c r="L293" s="32" t="s">
        <v>2133</v>
      </c>
      <c r="M293" s="32" t="s">
        <v>60</v>
      </c>
      <c r="N293" s="33">
        <v>5</v>
      </c>
      <c r="O293" s="35"/>
      <c r="P293" s="35"/>
      <c r="Q293" s="37"/>
      <c r="R293" s="38"/>
      <c r="S293" s="33"/>
      <c r="T293" s="39">
        <v>197000</v>
      </c>
      <c r="U293" s="40" t="s">
        <v>61</v>
      </c>
      <c r="V293" s="41"/>
      <c r="W293" s="42" t="str">
        <f ca="1">IFERROR(__xludf.DUMMYFUNCTION("""COMPUTED_VALUE"""),"Karya Jasa")</f>
        <v>Karya Jasa</v>
      </c>
      <c r="X293" s="42" t="str">
        <f ca="1"/>
        <v>ON-Karya Jasa-00011900+5-6285811444456</v>
      </c>
      <c r="Y293" s="40" t="s">
        <v>293</v>
      </c>
      <c r="Z293" s="40" t="s">
        <v>1057</v>
      </c>
      <c r="AA293" s="23" t="str">
        <v>https://wa.me/6285811444456</v>
      </c>
      <c r="AB293" s="28"/>
      <c r="AC293" s="28"/>
      <c r="AD293" s="28" t="s">
        <v>690</v>
      </c>
      <c r="AE293" s="28"/>
      <c r="AF293" s="29"/>
      <c r="AG293" s="29"/>
    </row>
    <row r="294" spans="1:33" ht="15.75" customHeight="1">
      <c r="A294" s="32" t="s">
        <v>196</v>
      </c>
      <c r="B294" s="33">
        <v>296</v>
      </c>
      <c r="C294" s="34" t="s">
        <v>2134</v>
      </c>
      <c r="D294" s="35">
        <v>45847.952613703703</v>
      </c>
      <c r="E294" s="35">
        <v>45847</v>
      </c>
      <c r="F294" s="32" t="s">
        <v>2135</v>
      </c>
      <c r="G294" s="32" t="s">
        <v>2136</v>
      </c>
      <c r="H294" s="32" t="s">
        <v>2137</v>
      </c>
      <c r="I294" s="36" t="s">
        <v>2138</v>
      </c>
      <c r="J294" s="52"/>
      <c r="K294" s="32" t="s">
        <v>2139</v>
      </c>
      <c r="L294" s="32" t="s">
        <v>225</v>
      </c>
      <c r="M294" s="32" t="s">
        <v>205</v>
      </c>
      <c r="N294" s="33">
        <v>5</v>
      </c>
      <c r="O294" s="35"/>
      <c r="P294" s="35"/>
      <c r="Q294" s="37"/>
      <c r="R294" s="38"/>
      <c r="S294" s="33"/>
      <c r="T294" s="39">
        <v>197000</v>
      </c>
      <c r="U294" s="40" t="s">
        <v>61</v>
      </c>
      <c r="V294" s="41"/>
      <c r="W294" s="42" t="str">
        <f ca="1">IFERROR(__xludf.DUMMYFUNCTION("""COMPUTED_VALUE"""),"Pijat Sehat")</f>
        <v>Pijat Sehat</v>
      </c>
      <c r="X294" s="42" t="str">
        <f ca="1"/>
        <v>ON-Pijat Sehat-00011900+5-6282142833445</v>
      </c>
      <c r="Y294" s="40" t="s">
        <v>62</v>
      </c>
      <c r="Z294" s="40" t="s">
        <v>639</v>
      </c>
      <c r="AA294" s="23" t="str">
        <v>https://wa.me/6282142833445</v>
      </c>
      <c r="AB294" s="28" t="s">
        <v>2140</v>
      </c>
      <c r="AC294" s="28"/>
      <c r="AD294" s="28" t="s">
        <v>690</v>
      </c>
      <c r="AE294" s="28"/>
      <c r="AF294" s="29"/>
      <c r="AG294" s="29"/>
    </row>
    <row r="295" spans="1:33" ht="15.75" customHeight="1">
      <c r="A295" s="32" t="s">
        <v>196</v>
      </c>
      <c r="B295" s="33">
        <v>297</v>
      </c>
      <c r="C295" s="34" t="s">
        <v>2141</v>
      </c>
      <c r="D295" s="35">
        <v>45847.955631863428</v>
      </c>
      <c r="E295" s="35">
        <v>45847</v>
      </c>
      <c r="F295" s="32" t="s">
        <v>2142</v>
      </c>
      <c r="G295" s="32" t="s">
        <v>2143</v>
      </c>
      <c r="H295" s="32" t="s">
        <v>2144</v>
      </c>
      <c r="I295" s="36" t="s">
        <v>2145</v>
      </c>
      <c r="J295" s="52" t="s">
        <v>2146</v>
      </c>
      <c r="K295" s="32" t="s">
        <v>1242</v>
      </c>
      <c r="L295" s="32" t="s">
        <v>2147</v>
      </c>
      <c r="M295" s="32" t="s">
        <v>60</v>
      </c>
      <c r="N295" s="33">
        <v>5</v>
      </c>
      <c r="O295" s="35"/>
      <c r="P295" s="35"/>
      <c r="Q295" s="37"/>
      <c r="R295" s="38"/>
      <c r="S295" s="33"/>
      <c r="T295" s="39">
        <v>197000</v>
      </c>
      <c r="U295" s="40" t="s">
        <v>61</v>
      </c>
      <c r="V295" s="41"/>
      <c r="W295" s="42" t="str">
        <f ca="1">IFERROR(__xludf.DUMMYFUNCTION("""COMPUTED_VALUE"""),"Aqiqah Go")</f>
        <v>Aqiqah Go</v>
      </c>
      <c r="X295" s="42" t="str">
        <f ca="1"/>
        <v>ON-Aqiqah Go-00011900+5-6281274238899</v>
      </c>
      <c r="Y295" s="40" t="s">
        <v>62</v>
      </c>
      <c r="Z295" s="40" t="s">
        <v>1465</v>
      </c>
      <c r="AA295" s="23" t="str">
        <v>https://wa.me/6281274238899</v>
      </c>
      <c r="AB295" s="28" t="s">
        <v>2148</v>
      </c>
      <c r="AC295" s="28"/>
      <c r="AD295" s="28" t="s">
        <v>690</v>
      </c>
      <c r="AE295" s="28"/>
      <c r="AF295" s="29"/>
      <c r="AG295" s="29"/>
    </row>
    <row r="296" spans="1:33" ht="15.75" customHeight="1">
      <c r="A296" s="32" t="s">
        <v>196</v>
      </c>
      <c r="B296" s="33">
        <v>298</v>
      </c>
      <c r="C296" s="34" t="s">
        <v>2149</v>
      </c>
      <c r="D296" s="35">
        <v>45847.9573303125</v>
      </c>
      <c r="E296" s="35">
        <v>45847</v>
      </c>
      <c r="F296" s="32" t="s">
        <v>2150</v>
      </c>
      <c r="G296" s="32" t="s">
        <v>2151</v>
      </c>
      <c r="H296" s="32" t="s">
        <v>2152</v>
      </c>
      <c r="I296" s="36" t="s">
        <v>2153</v>
      </c>
      <c r="J296" s="52"/>
      <c r="K296" s="32" t="s">
        <v>2154</v>
      </c>
      <c r="L296" s="32" t="s">
        <v>1474</v>
      </c>
      <c r="M296" s="32" t="s">
        <v>2032</v>
      </c>
      <c r="N296" s="33">
        <v>5</v>
      </c>
      <c r="O296" s="35"/>
      <c r="P296" s="35"/>
      <c r="Q296" s="37"/>
      <c r="R296" s="38"/>
      <c r="S296" s="33"/>
      <c r="T296" s="39">
        <v>197000</v>
      </c>
      <c r="U296" s="40" t="s">
        <v>61</v>
      </c>
      <c r="V296" s="41"/>
      <c r="W296" s="42" t="str">
        <f ca="1">IFERROR(__xludf.DUMMYFUNCTION("""COMPUTED_VALUE"""),"TRIFAR TOUR")</f>
        <v>TRIFAR TOUR</v>
      </c>
      <c r="X296" s="42" t="str">
        <f ca="1"/>
        <v>ON-TRIFAR TOUR-00011900+5-6281252228100</v>
      </c>
      <c r="Y296" s="40" t="s">
        <v>62</v>
      </c>
      <c r="Z296" s="40" t="s">
        <v>1880</v>
      </c>
      <c r="AA296" s="23" t="str">
        <v>https://wa.me/6281252228100</v>
      </c>
      <c r="AB296" s="28" t="s">
        <v>2155</v>
      </c>
      <c r="AC296" s="28"/>
      <c r="AD296" s="28" t="s">
        <v>690</v>
      </c>
      <c r="AE296" s="28"/>
      <c r="AF296" s="29"/>
      <c r="AG296" s="29"/>
    </row>
    <row r="297" spans="1:33" ht="15.75" customHeight="1">
      <c r="A297" s="32" t="s">
        <v>196</v>
      </c>
      <c r="B297" s="33">
        <v>299</v>
      </c>
      <c r="C297" s="34" t="s">
        <v>2156</v>
      </c>
      <c r="D297" s="35">
        <v>45847.96017204861</v>
      </c>
      <c r="E297" s="35">
        <v>45847</v>
      </c>
      <c r="F297" s="32" t="s">
        <v>2157</v>
      </c>
      <c r="G297" s="32" t="s">
        <v>2158</v>
      </c>
      <c r="H297" s="32" t="s">
        <v>2159</v>
      </c>
      <c r="I297" s="36" t="s">
        <v>2160</v>
      </c>
      <c r="J297" s="52" t="s">
        <v>2161</v>
      </c>
      <c r="K297" s="32" t="s">
        <v>2162</v>
      </c>
      <c r="L297" s="32" t="s">
        <v>85</v>
      </c>
      <c r="M297" s="32" t="s">
        <v>249</v>
      </c>
      <c r="N297" s="33">
        <v>10</v>
      </c>
      <c r="O297" s="35">
        <v>45849</v>
      </c>
      <c r="P297" s="35">
        <v>45854</v>
      </c>
      <c r="Q297" s="37"/>
      <c r="R297" s="38"/>
      <c r="S297" s="33"/>
      <c r="T297" s="39">
        <v>375000</v>
      </c>
      <c r="U297" s="40" t="s">
        <v>61</v>
      </c>
      <c r="V297" s="41"/>
      <c r="W297" s="42" t="str">
        <f ca="1">IFERROR(__xludf.DUMMYFUNCTION("""COMPUTED_VALUE"""),"Ragam LASINDO")</f>
        <v>Ragam LASINDO</v>
      </c>
      <c r="X297" s="42" t="str">
        <f ca="1"/>
        <v>ON-Ragam LASINDO-00011900+10-6285814054475</v>
      </c>
      <c r="Y297" s="40" t="s">
        <v>293</v>
      </c>
      <c r="Z297" s="40" t="s">
        <v>1057</v>
      </c>
      <c r="AA297" s="23" t="str">
        <v>https://wa.me/6285814054475</v>
      </c>
      <c r="AB297" s="28" t="s">
        <v>2163</v>
      </c>
      <c r="AC297" s="28"/>
      <c r="AD297" s="28" t="s">
        <v>690</v>
      </c>
      <c r="AE297" s="28"/>
      <c r="AF297" s="29"/>
      <c r="AG297" s="29"/>
    </row>
    <row r="298" spans="1:33" ht="15.75" customHeight="1">
      <c r="A298" s="32" t="s">
        <v>196</v>
      </c>
      <c r="B298" s="33">
        <v>300</v>
      </c>
      <c r="C298" s="34" t="s">
        <v>2164</v>
      </c>
      <c r="D298" s="35">
        <v>45848.395887638893</v>
      </c>
      <c r="E298" s="35">
        <v>45848</v>
      </c>
      <c r="F298" s="32" t="s">
        <v>1846</v>
      </c>
      <c r="G298" s="32" t="s">
        <v>2165</v>
      </c>
      <c r="H298" s="32" t="s">
        <v>2166</v>
      </c>
      <c r="I298" s="36" t="s">
        <v>2167</v>
      </c>
      <c r="J298" s="52" t="s">
        <v>2168</v>
      </c>
      <c r="K298" s="32" t="s">
        <v>570</v>
      </c>
      <c r="L298" s="32" t="s">
        <v>1957</v>
      </c>
      <c r="M298" s="32" t="s">
        <v>48</v>
      </c>
      <c r="N298" s="33">
        <v>5</v>
      </c>
      <c r="O298" s="35"/>
      <c r="P298" s="35"/>
      <c r="Q298" s="37"/>
      <c r="R298" s="38"/>
      <c r="S298" s="33"/>
      <c r="T298" s="39">
        <v>197000</v>
      </c>
      <c r="U298" s="40" t="s">
        <v>1774</v>
      </c>
      <c r="V298" s="41"/>
      <c r="W298" s="42" t="str">
        <f ca="1">IFERROR(__xludf.DUMMYFUNCTION("""COMPUTED_VALUE"""),"PT ZTP")</f>
        <v>PT ZTP</v>
      </c>
      <c r="X298" s="42" t="str">
        <f ca="1"/>
        <v>ON-PT ZTP-00011900+5-6287856746423</v>
      </c>
      <c r="Y298" s="40" t="s">
        <v>62</v>
      </c>
      <c r="Z298" s="40" t="s">
        <v>1465</v>
      </c>
      <c r="AA298" s="23" t="str">
        <v>https://wa.me/6287856746423</v>
      </c>
      <c r="AB298" s="28" t="s">
        <v>2169</v>
      </c>
      <c r="AC298" s="28"/>
      <c r="AD298" s="28" t="s">
        <v>690</v>
      </c>
      <c r="AE298" s="28"/>
      <c r="AF298" s="29"/>
      <c r="AG298" s="29"/>
    </row>
    <row r="299" spans="1:33" ht="15.75" customHeight="1">
      <c r="A299" s="32" t="s">
        <v>196</v>
      </c>
      <c r="B299" s="33">
        <v>301</v>
      </c>
      <c r="C299" s="34" t="s">
        <v>2170</v>
      </c>
      <c r="D299" s="35">
        <v>45848.448566921295</v>
      </c>
      <c r="E299" s="35">
        <v>45848</v>
      </c>
      <c r="F299" s="32" t="s">
        <v>2171</v>
      </c>
      <c r="G299" s="32" t="s">
        <v>2172</v>
      </c>
      <c r="H299" s="32" t="s">
        <v>2173</v>
      </c>
      <c r="I299" s="36" t="s">
        <v>2174</v>
      </c>
      <c r="J299" s="52" t="s">
        <v>2175</v>
      </c>
      <c r="K299" s="32" t="s">
        <v>2176</v>
      </c>
      <c r="L299" s="32" t="s">
        <v>382</v>
      </c>
      <c r="M299" s="32" t="s">
        <v>382</v>
      </c>
      <c r="N299" s="33">
        <v>10</v>
      </c>
      <c r="O299" s="35">
        <v>45850</v>
      </c>
      <c r="P299" s="35">
        <v>45855</v>
      </c>
      <c r="Q299" s="37"/>
      <c r="R299" s="38"/>
      <c r="S299" s="33"/>
      <c r="T299" s="39">
        <v>282000</v>
      </c>
      <c r="U299" s="40" t="s">
        <v>115</v>
      </c>
      <c r="V299" s="41"/>
      <c r="W299" s="42" t="str">
        <f ca="1">IFERROR(__xludf.DUMMYFUNCTION("""COMPUTED_VALUE"""),"Theraphy Kang")</f>
        <v>Theraphy Kang</v>
      </c>
      <c r="X299" s="42" t="str">
        <f ca="1"/>
        <v>ON-Theraphy Kang-00011900+10-6281253629810</v>
      </c>
      <c r="Y299" s="40" t="s">
        <v>62</v>
      </c>
      <c r="Z299" s="40" t="s">
        <v>639</v>
      </c>
      <c r="AA299" s="23" t="str">
        <v>https://wa.me/6281253629810</v>
      </c>
      <c r="AB299" s="28" t="s">
        <v>2177</v>
      </c>
      <c r="AC299" s="28"/>
      <c r="AD299" s="28" t="s">
        <v>690</v>
      </c>
      <c r="AE299" s="28"/>
      <c r="AF299" s="29"/>
      <c r="AG299" s="29"/>
    </row>
    <row r="300" spans="1:33" ht="15.75" customHeight="1">
      <c r="A300" s="32" t="s">
        <v>196</v>
      </c>
      <c r="B300" s="33">
        <v>302</v>
      </c>
      <c r="C300" s="34" t="s">
        <v>2178</v>
      </c>
      <c r="D300" s="35">
        <v>45848.451216041663</v>
      </c>
      <c r="E300" s="35">
        <v>45848</v>
      </c>
      <c r="F300" s="32" t="s">
        <v>2179</v>
      </c>
      <c r="G300" s="32" t="s">
        <v>2180</v>
      </c>
      <c r="H300" s="32" t="s">
        <v>2181</v>
      </c>
      <c r="I300" s="36" t="s">
        <v>2182</v>
      </c>
      <c r="J300" s="52" t="s">
        <v>2183</v>
      </c>
      <c r="K300" s="32" t="s">
        <v>1024</v>
      </c>
      <c r="L300" s="32" t="s">
        <v>1628</v>
      </c>
      <c r="M300" s="32" t="s">
        <v>48</v>
      </c>
      <c r="N300" s="33">
        <v>5</v>
      </c>
      <c r="O300" s="35"/>
      <c r="P300" s="35"/>
      <c r="Q300" s="37"/>
      <c r="R300" s="38"/>
      <c r="S300" s="33"/>
      <c r="T300" s="39">
        <v>197000</v>
      </c>
      <c r="U300" s="40" t="s">
        <v>115</v>
      </c>
      <c r="V300" s="41"/>
      <c r="W300" s="42" t="str">
        <f ca="1">IFERROR(__xludf.DUMMYFUNCTION("""COMPUTED_VALUE"""),"Amelia Trans")</f>
        <v>Amelia Trans</v>
      </c>
      <c r="X300" s="42" t="str">
        <f ca="1"/>
        <v>ON-Amelia Trans-00011900+5-6285624268413</v>
      </c>
      <c r="Y300" s="40" t="s">
        <v>62</v>
      </c>
      <c r="Z300" s="40" t="s">
        <v>1880</v>
      </c>
      <c r="AA300" s="23" t="str">
        <v>https://wa.me/6285624268413</v>
      </c>
      <c r="AB300" s="28" t="s">
        <v>2184</v>
      </c>
      <c r="AC300" s="28"/>
      <c r="AD300" s="28" t="s">
        <v>690</v>
      </c>
      <c r="AE300" s="28"/>
      <c r="AF300" s="29"/>
      <c r="AG300" s="29"/>
    </row>
    <row r="301" spans="1:33" ht="15.75" customHeight="1">
      <c r="A301" s="32" t="s">
        <v>196</v>
      </c>
      <c r="B301" s="33">
        <v>303</v>
      </c>
      <c r="C301" s="34" t="s">
        <v>2185</v>
      </c>
      <c r="D301" s="35">
        <v>45848.494531307872</v>
      </c>
      <c r="E301" s="35">
        <v>45845</v>
      </c>
      <c r="F301" s="32" t="s">
        <v>2186</v>
      </c>
      <c r="G301" s="32" t="s">
        <v>2187</v>
      </c>
      <c r="H301" s="32" t="s">
        <v>2188</v>
      </c>
      <c r="I301" s="36" t="s">
        <v>2189</v>
      </c>
      <c r="J301" s="52"/>
      <c r="K301" s="32" t="s">
        <v>2190</v>
      </c>
      <c r="L301" s="32"/>
      <c r="M301" s="32" t="s">
        <v>1534</v>
      </c>
      <c r="N301" s="33">
        <v>5</v>
      </c>
      <c r="O301" s="35"/>
      <c r="P301" s="35"/>
      <c r="Q301" s="37"/>
      <c r="R301" s="38"/>
      <c r="S301" s="33"/>
      <c r="T301" s="39">
        <v>197000</v>
      </c>
      <c r="U301" s="40" t="s">
        <v>49</v>
      </c>
      <c r="V301" s="41"/>
      <c r="W301" s="42" t="str">
        <f ca="1">IFERROR(__xludf.DUMMYFUNCTION("""COMPUTED_VALUE"""),"CV Nurma")</f>
        <v>CV Nurma</v>
      </c>
      <c r="X301" s="42" t="str">
        <f ca="1"/>
        <v>ON-CV Nurma-00011900+5-6289517787985</v>
      </c>
      <c r="Y301" s="40" t="s">
        <v>62</v>
      </c>
      <c r="Z301" s="40" t="s">
        <v>1880</v>
      </c>
      <c r="AA301" s="23" t="str">
        <v>https://wa.me/6289517787985</v>
      </c>
      <c r="AB301" s="28" t="s">
        <v>2191</v>
      </c>
      <c r="AC301" s="28"/>
      <c r="AD301" s="28" t="s">
        <v>690</v>
      </c>
      <c r="AE301" s="28"/>
      <c r="AF301" s="29"/>
      <c r="AG301" s="29"/>
    </row>
    <row r="302" spans="1:33" ht="15.75" customHeight="1">
      <c r="A302" s="32" t="s">
        <v>196</v>
      </c>
      <c r="B302" s="33">
        <v>304</v>
      </c>
      <c r="C302" s="34" t="s">
        <v>2192</v>
      </c>
      <c r="D302" s="35">
        <v>45848.495114583333</v>
      </c>
      <c r="E302" s="35">
        <v>45848</v>
      </c>
      <c r="F302" s="32" t="s">
        <v>2193</v>
      </c>
      <c r="G302" s="32" t="s">
        <v>2194</v>
      </c>
      <c r="H302" s="32" t="s">
        <v>2195</v>
      </c>
      <c r="I302" s="36" t="s">
        <v>2196</v>
      </c>
      <c r="J302" s="52"/>
      <c r="K302" s="32" t="s">
        <v>570</v>
      </c>
      <c r="L302" s="32" t="s">
        <v>1533</v>
      </c>
      <c r="M302" s="32" t="s">
        <v>2197</v>
      </c>
      <c r="N302" s="33">
        <v>7</v>
      </c>
      <c r="O302" s="35">
        <v>45849</v>
      </c>
      <c r="P302" s="35">
        <v>45854</v>
      </c>
      <c r="Q302" s="37"/>
      <c r="R302" s="38"/>
      <c r="S302" s="33"/>
      <c r="T302" s="39">
        <v>297000</v>
      </c>
      <c r="U302" s="40" t="s">
        <v>115</v>
      </c>
      <c r="V302" s="41"/>
      <c r="W302" s="42" t="str">
        <f ca="1">IFERROR(__xludf.DUMMYFUNCTION("""COMPUTED_VALUE"""),"Chery Bekasi")</f>
        <v>Chery Bekasi</v>
      </c>
      <c r="X302" s="42" t="str">
        <f ca="1"/>
        <v>ON-Chery Bekasi-00011900+7-6285150556695</v>
      </c>
      <c r="Y302" s="40" t="s">
        <v>62</v>
      </c>
      <c r="Z302" s="40" t="s">
        <v>294</v>
      </c>
      <c r="AA302" s="23" t="str">
        <v>https://wa.me/6285150556695</v>
      </c>
      <c r="AB302" s="28" t="s">
        <v>2198</v>
      </c>
      <c r="AC302" s="28"/>
      <c r="AD302" s="28" t="s">
        <v>690</v>
      </c>
      <c r="AE302" s="28"/>
      <c r="AF302" s="29"/>
      <c r="AG302" s="29"/>
    </row>
    <row r="303" spans="1:33" ht="15.75" customHeight="1">
      <c r="A303" s="32" t="s">
        <v>196</v>
      </c>
      <c r="B303" s="33">
        <v>305</v>
      </c>
      <c r="C303" s="34" t="s">
        <v>2199</v>
      </c>
      <c r="D303" s="35">
        <v>45848.560062627315</v>
      </c>
      <c r="E303" s="35">
        <v>45848</v>
      </c>
      <c r="F303" s="32" t="s">
        <v>2200</v>
      </c>
      <c r="G303" s="32" t="s">
        <v>2201</v>
      </c>
      <c r="H303" s="32" t="s">
        <v>2202</v>
      </c>
      <c r="I303" s="36" t="s">
        <v>2203</v>
      </c>
      <c r="J303" s="52"/>
      <c r="K303" s="32" t="s">
        <v>686</v>
      </c>
      <c r="L303" s="32" t="s">
        <v>2204</v>
      </c>
      <c r="M303" s="32"/>
      <c r="N303" s="33">
        <v>5</v>
      </c>
      <c r="O303" s="35"/>
      <c r="P303" s="35"/>
      <c r="Q303" s="37"/>
      <c r="R303" s="38"/>
      <c r="S303" s="33"/>
      <c r="T303" s="39">
        <v>197000</v>
      </c>
      <c r="U303" s="40" t="s">
        <v>115</v>
      </c>
      <c r="V303" s="41"/>
      <c r="W303" s="42" t="str">
        <f ca="1">IFERROR(__xludf.DUMMYFUNCTION("""COMPUTED_VALUE"""),"Terapi Barqun")</f>
        <v>Terapi Barqun</v>
      </c>
      <c r="X303" s="42" t="str">
        <f ca="1"/>
        <v>ON-Terapi Barqun-00011900+5-62895374644456</v>
      </c>
      <c r="Y303" s="40" t="s">
        <v>62</v>
      </c>
      <c r="Z303" s="40" t="s">
        <v>639</v>
      </c>
      <c r="AA303" s="23" t="str">
        <v>https://wa.me/62895374644456</v>
      </c>
      <c r="AB303" s="28" t="s">
        <v>2205</v>
      </c>
      <c r="AC303" s="28"/>
      <c r="AD303" s="28" t="s">
        <v>690</v>
      </c>
      <c r="AE303" s="28"/>
      <c r="AF303" s="29"/>
      <c r="AG303" s="29"/>
    </row>
    <row r="304" spans="1:33" ht="15.75" customHeight="1">
      <c r="A304" s="32" t="s">
        <v>196</v>
      </c>
      <c r="B304" s="33">
        <v>306</v>
      </c>
      <c r="C304" s="34" t="s">
        <v>2206</v>
      </c>
      <c r="D304" s="35">
        <v>45848.90137</v>
      </c>
      <c r="E304" s="35">
        <v>45848</v>
      </c>
      <c r="F304" s="32"/>
      <c r="G304" s="32" t="s">
        <v>478</v>
      </c>
      <c r="H304" s="32" t="s">
        <v>2207</v>
      </c>
      <c r="I304" s="36" t="s">
        <v>480</v>
      </c>
      <c r="J304" s="52" t="s">
        <v>2208</v>
      </c>
      <c r="K304" s="32" t="s">
        <v>2209</v>
      </c>
      <c r="L304" s="32" t="s">
        <v>2210</v>
      </c>
      <c r="M304" s="32" t="s">
        <v>2032</v>
      </c>
      <c r="N304" s="33">
        <v>5</v>
      </c>
      <c r="O304" s="35">
        <v>45850</v>
      </c>
      <c r="P304" s="35">
        <v>45855</v>
      </c>
      <c r="Q304" s="37"/>
      <c r="R304" s="38"/>
      <c r="S304" s="33"/>
      <c r="T304" s="39">
        <v>197000</v>
      </c>
      <c r="U304" s="40" t="s">
        <v>61</v>
      </c>
      <c r="V304" s="41"/>
      <c r="W304" s="42" t="str">
        <f ca="1">IFERROR(__xludf.DUMMYFUNCTION("""COMPUTED_VALUE"""),"CV REGAN")</f>
        <v>CV REGAN</v>
      </c>
      <c r="X304" s="42" t="str">
        <f ca="1"/>
        <v>ON-CV REGAN-00011900+5-6285853370682</v>
      </c>
      <c r="Y304" s="40" t="s">
        <v>293</v>
      </c>
      <c r="Z304" s="40" t="s">
        <v>1057</v>
      </c>
      <c r="AA304" s="23" t="str">
        <v>https://wa.me/6285853370682</v>
      </c>
      <c r="AB304" s="28" t="s">
        <v>2211</v>
      </c>
      <c r="AC304" s="28"/>
      <c r="AD304" s="28" t="s">
        <v>690</v>
      </c>
      <c r="AE304" s="28"/>
      <c r="AF304" s="29"/>
      <c r="AG304" s="29"/>
    </row>
    <row r="305" spans="1:33" ht="15.75" customHeight="1">
      <c r="A305" s="32" t="s">
        <v>196</v>
      </c>
      <c r="B305" s="33">
        <v>307</v>
      </c>
      <c r="C305" s="34" t="s">
        <v>2212</v>
      </c>
      <c r="D305" s="35">
        <v>45848.903148379628</v>
      </c>
      <c r="E305" s="35">
        <v>45848</v>
      </c>
      <c r="F305" s="32" t="s">
        <v>2213</v>
      </c>
      <c r="G305" s="32" t="s">
        <v>2214</v>
      </c>
      <c r="H305" s="32" t="s">
        <v>2215</v>
      </c>
      <c r="I305" s="36" t="s">
        <v>2216</v>
      </c>
      <c r="J305" s="52" t="s">
        <v>2217</v>
      </c>
      <c r="K305" s="32" t="s">
        <v>1381</v>
      </c>
      <c r="L305" s="32" t="s">
        <v>77</v>
      </c>
      <c r="M305" s="32" t="s">
        <v>2218</v>
      </c>
      <c r="N305" s="33">
        <v>5</v>
      </c>
      <c r="O305" s="35">
        <v>45849</v>
      </c>
      <c r="P305" s="35">
        <v>45854</v>
      </c>
      <c r="Q305" s="37"/>
      <c r="R305" s="38"/>
      <c r="S305" s="33"/>
      <c r="T305" s="39">
        <v>197000</v>
      </c>
      <c r="U305" s="40" t="s">
        <v>61</v>
      </c>
      <c r="V305" s="41"/>
      <c r="W305" s="42" t="str">
        <f ca="1">IFERROR(__xludf.DUMMYFUNCTION("""COMPUTED_VALUE"""),"Jemmy Tour")</f>
        <v>Jemmy Tour</v>
      </c>
      <c r="X305" s="42" t="str">
        <f ca="1"/>
        <v>ON-Jemmy Tour-00011900+5-6281252867949</v>
      </c>
      <c r="Y305" s="40" t="s">
        <v>62</v>
      </c>
      <c r="Z305" s="40" t="s">
        <v>1880</v>
      </c>
      <c r="AA305" s="23" t="str">
        <v>https://wa.me/6281252867949</v>
      </c>
      <c r="AB305" s="28" t="s">
        <v>2219</v>
      </c>
      <c r="AC305" s="28"/>
      <c r="AD305" s="28" t="s">
        <v>690</v>
      </c>
      <c r="AE305" s="28"/>
      <c r="AF305" s="29"/>
      <c r="AG305" s="29"/>
    </row>
    <row r="306" spans="1:33" ht="15.75" customHeight="1">
      <c r="A306" s="32" t="s">
        <v>196</v>
      </c>
      <c r="B306" s="33">
        <v>308</v>
      </c>
      <c r="C306" s="34" t="s">
        <v>2220</v>
      </c>
      <c r="D306" s="43">
        <v>46055</v>
      </c>
      <c r="E306" s="35">
        <v>45848</v>
      </c>
      <c r="F306" s="32" t="s">
        <v>2221</v>
      </c>
      <c r="G306" s="32" t="s">
        <v>2222</v>
      </c>
      <c r="H306" s="32" t="s">
        <v>2223</v>
      </c>
      <c r="I306" s="36" t="s">
        <v>2224</v>
      </c>
      <c r="J306" s="52"/>
      <c r="K306" s="32" t="s">
        <v>2225</v>
      </c>
      <c r="L306" s="32" t="s">
        <v>2133</v>
      </c>
      <c r="M306" s="32" t="s">
        <v>60</v>
      </c>
      <c r="N306" s="33">
        <v>5</v>
      </c>
      <c r="O306" s="35"/>
      <c r="P306" s="35"/>
      <c r="Q306" s="37"/>
      <c r="R306" s="38">
        <v>-1003470351325</v>
      </c>
      <c r="S306" s="33"/>
      <c r="T306" s="39">
        <v>197000</v>
      </c>
      <c r="U306" s="40" t="s">
        <v>61</v>
      </c>
      <c r="V306" s="47">
        <v>46056.261680254625</v>
      </c>
      <c r="W306" s="42" t="str">
        <f ca="1">IFERROR(__xludf.DUMMYFUNCTION("""COMPUTED_VALUE"""),"Jasa Motif")</f>
        <v>Jasa Motif</v>
      </c>
      <c r="X306" s="42" t="str">
        <f ca="1"/>
        <v>ON-Jasa Motif-03022026+5-6283177154244</v>
      </c>
      <c r="Y306" s="40" t="s">
        <v>293</v>
      </c>
      <c r="Z306" s="40" t="s">
        <v>1057</v>
      </c>
      <c r="AA306" s="23" t="str">
        <v>https://wa.me/6283177154244</v>
      </c>
      <c r="AB306" s="28" t="s">
        <v>2226</v>
      </c>
      <c r="AC306" s="28"/>
      <c r="AD306" s="28" t="s">
        <v>690</v>
      </c>
      <c r="AE306" s="28"/>
      <c r="AF306" s="29"/>
      <c r="AG306" s="29"/>
    </row>
    <row r="307" spans="1:33" ht="15.75" customHeight="1">
      <c r="A307" s="32" t="s">
        <v>196</v>
      </c>
      <c r="B307" s="33">
        <v>309</v>
      </c>
      <c r="C307" s="34" t="s">
        <v>2227</v>
      </c>
      <c r="D307" s="35">
        <v>45848.918520787032</v>
      </c>
      <c r="E307" s="35">
        <v>45831</v>
      </c>
      <c r="F307" s="32" t="s">
        <v>1120</v>
      </c>
      <c r="G307" s="32" t="s">
        <v>1018</v>
      </c>
      <c r="H307" s="32" t="s">
        <v>1121</v>
      </c>
      <c r="I307" s="36" t="s">
        <v>2228</v>
      </c>
      <c r="J307" s="52"/>
      <c r="K307" s="32" t="s">
        <v>1124</v>
      </c>
      <c r="L307" s="32" t="s">
        <v>85</v>
      </c>
      <c r="M307" s="32" t="s">
        <v>60</v>
      </c>
      <c r="N307" s="33">
        <v>5</v>
      </c>
      <c r="O307" s="35">
        <v>45850</v>
      </c>
      <c r="P307" s="35">
        <v>45855</v>
      </c>
      <c r="Q307" s="37"/>
      <c r="R307" s="38"/>
      <c r="S307" s="33"/>
      <c r="T307" s="39">
        <v>197000</v>
      </c>
      <c r="U307" s="40" t="s">
        <v>61</v>
      </c>
      <c r="V307" s="41"/>
      <c r="W307" s="42" t="str">
        <f ca="1">IFERROR(__xludf.DUMMYFUNCTION("""COMPUTED_VALUE"""),"https")</f>
        <v>https</v>
      </c>
      <c r="X307" s="42" t="str">
        <f ca="1"/>
        <v>ON-https-00011900+5-6281223544456</v>
      </c>
      <c r="Y307" s="40" t="s">
        <v>293</v>
      </c>
      <c r="Z307" s="40" t="s">
        <v>1057</v>
      </c>
      <c r="AA307" s="23" t="str">
        <v>https://wa.me/6281223544456</v>
      </c>
      <c r="AB307" s="28" t="s">
        <v>2229</v>
      </c>
      <c r="AC307" s="28"/>
      <c r="AD307" s="28" t="s">
        <v>690</v>
      </c>
      <c r="AE307" s="28"/>
      <c r="AF307" s="29"/>
      <c r="AG307" s="29"/>
    </row>
    <row r="308" spans="1:33" ht="15.75" customHeight="1">
      <c r="A308" s="32" t="s">
        <v>196</v>
      </c>
      <c r="B308" s="33">
        <v>310</v>
      </c>
      <c r="C308" s="34" t="s">
        <v>2230</v>
      </c>
      <c r="D308" s="35">
        <v>45849.598514745376</v>
      </c>
      <c r="E308" s="35">
        <v>45849</v>
      </c>
      <c r="F308" s="32" t="s">
        <v>2231</v>
      </c>
      <c r="G308" s="32" t="s">
        <v>2232</v>
      </c>
      <c r="H308" s="32" t="s">
        <v>409</v>
      </c>
      <c r="I308" s="36" t="s">
        <v>2233</v>
      </c>
      <c r="J308" s="52" t="s">
        <v>2234</v>
      </c>
      <c r="K308" s="32" t="s">
        <v>2235</v>
      </c>
      <c r="L308" s="32" t="s">
        <v>2236</v>
      </c>
      <c r="M308" s="32" t="s">
        <v>2237</v>
      </c>
      <c r="N308" s="33">
        <v>30</v>
      </c>
      <c r="O308" s="35"/>
      <c r="P308" s="35"/>
      <c r="Q308" s="37"/>
      <c r="R308" s="38"/>
      <c r="S308" s="33"/>
      <c r="T308" s="39">
        <v>1000000</v>
      </c>
      <c r="U308" s="40" t="s">
        <v>115</v>
      </c>
      <c r="V308" s="41"/>
      <c r="W308" s="42" t="str">
        <f ca="1">IFERROR(__xludf.DUMMYFUNCTION("""COMPUTED_VALUE"""),"Cv Nuansa")</f>
        <v>Cv Nuansa</v>
      </c>
      <c r="X308" s="42" t="str">
        <f ca="1"/>
        <v>ON-Cv Nuansa-00011900+30-6282310465999</v>
      </c>
      <c r="Y308" s="40" t="s">
        <v>293</v>
      </c>
      <c r="Z308" s="40" t="s">
        <v>1057</v>
      </c>
      <c r="AA308" s="23" t="str">
        <v>https://wa.me/6282310465999</v>
      </c>
      <c r="AB308" s="28"/>
      <c r="AC308" s="28"/>
      <c r="AD308" s="28" t="s">
        <v>690</v>
      </c>
      <c r="AE308" s="28"/>
      <c r="AF308" s="29"/>
      <c r="AG308" s="29"/>
    </row>
    <row r="309" spans="1:33" ht="15.75" customHeight="1">
      <c r="A309" s="32" t="s">
        <v>196</v>
      </c>
      <c r="B309" s="33">
        <v>311</v>
      </c>
      <c r="C309" s="34" t="s">
        <v>2238</v>
      </c>
      <c r="D309" s="35">
        <v>45849.614607152776</v>
      </c>
      <c r="E309" s="35">
        <v>45849</v>
      </c>
      <c r="F309" s="32" t="s">
        <v>2239</v>
      </c>
      <c r="G309" s="32" t="s">
        <v>2240</v>
      </c>
      <c r="H309" s="32" t="s">
        <v>1199</v>
      </c>
      <c r="I309" s="36" t="s">
        <v>2241</v>
      </c>
      <c r="J309" s="52" t="s">
        <v>2242</v>
      </c>
      <c r="K309" s="32" t="s">
        <v>2243</v>
      </c>
      <c r="L309" s="32" t="s">
        <v>2244</v>
      </c>
      <c r="M309" s="32" t="s">
        <v>106</v>
      </c>
      <c r="N309" s="33">
        <v>5</v>
      </c>
      <c r="O309" s="35"/>
      <c r="P309" s="35"/>
      <c r="Q309" s="37"/>
      <c r="R309" s="38"/>
      <c r="S309" s="33"/>
      <c r="T309" s="39">
        <v>197000</v>
      </c>
      <c r="U309" s="40" t="s">
        <v>115</v>
      </c>
      <c r="V309" s="41"/>
      <c r="W309" s="42" t="str">
        <f ca="1">IFERROR(__xludf.DUMMYFUNCTION("""COMPUTED_VALUE"""),"D’Vanny salon")</f>
        <v>D’Vanny salon</v>
      </c>
      <c r="X309" s="42" t="str">
        <f ca="1"/>
        <v>ON-D’Vanny salon-00011900+5-6285339158435</v>
      </c>
      <c r="Y309" s="40" t="s">
        <v>50</v>
      </c>
      <c r="Z309" s="40" t="s">
        <v>327</v>
      </c>
      <c r="AA309" s="23" t="str">
        <v>https://wa.me/6285339158435</v>
      </c>
      <c r="AB309" s="28"/>
      <c r="AC309" s="28"/>
      <c r="AD309" s="28" t="s">
        <v>690</v>
      </c>
      <c r="AE309" s="28"/>
      <c r="AF309" s="29"/>
      <c r="AG309" s="29"/>
    </row>
    <row r="310" spans="1:33" ht="15.75" customHeight="1">
      <c r="A310" s="32" t="s">
        <v>196</v>
      </c>
      <c r="B310" s="33">
        <v>312</v>
      </c>
      <c r="C310" s="34" t="s">
        <v>2245</v>
      </c>
      <c r="D310" s="35">
        <v>45849.803394884264</v>
      </c>
      <c r="E310" s="35">
        <v>45849</v>
      </c>
      <c r="F310" s="32" t="s">
        <v>2246</v>
      </c>
      <c r="G310" s="32" t="s">
        <v>2247</v>
      </c>
      <c r="H310" s="32" t="s">
        <v>2248</v>
      </c>
      <c r="I310" s="36" t="s">
        <v>2249</v>
      </c>
      <c r="J310" s="52" t="s">
        <v>2250</v>
      </c>
      <c r="K310" s="32" t="s">
        <v>2251</v>
      </c>
      <c r="L310" s="32" t="s">
        <v>1628</v>
      </c>
      <c r="M310" s="32" t="s">
        <v>382</v>
      </c>
      <c r="N310" s="33">
        <v>5</v>
      </c>
      <c r="O310" s="35"/>
      <c r="P310" s="35"/>
      <c r="Q310" s="37"/>
      <c r="R310" s="38"/>
      <c r="S310" s="33"/>
      <c r="T310" s="39">
        <v>197000</v>
      </c>
      <c r="U310" s="40" t="s">
        <v>115</v>
      </c>
      <c r="V310" s="41"/>
      <c r="W310" s="42" t="str">
        <f ca="1">IFERROR(__xludf.DUMMYFUNCTION("""COMPUTED_VALUE"""),"El Baha")</f>
        <v>El Baha</v>
      </c>
      <c r="X310" s="42" t="str">
        <f ca="1"/>
        <v>ON-El Baha-00011900+5-6285696765224</v>
      </c>
      <c r="Y310" s="40" t="s">
        <v>62</v>
      </c>
      <c r="Z310" s="40" t="s">
        <v>1880</v>
      </c>
      <c r="AA310" s="23" t="str">
        <v>https://wa.me/6285696765224</v>
      </c>
      <c r="AB310" s="28"/>
      <c r="AC310" s="28"/>
      <c r="AD310" s="28" t="s">
        <v>690</v>
      </c>
      <c r="AE310" s="28"/>
      <c r="AF310" s="29"/>
      <c r="AG310" s="29"/>
    </row>
    <row r="311" spans="1:33" ht="15.75" customHeight="1">
      <c r="A311" s="32" t="s">
        <v>196</v>
      </c>
      <c r="B311" s="33">
        <v>314</v>
      </c>
      <c r="C311" s="34" t="s">
        <v>2252</v>
      </c>
      <c r="D311" s="35">
        <v>45849.834209155088</v>
      </c>
      <c r="E311" s="35">
        <v>45849</v>
      </c>
      <c r="F311" s="32" t="s">
        <v>2253</v>
      </c>
      <c r="G311" s="32" t="s">
        <v>2254</v>
      </c>
      <c r="H311" s="32" t="s">
        <v>2255</v>
      </c>
      <c r="I311" s="36" t="s">
        <v>2256</v>
      </c>
      <c r="J311" s="52"/>
      <c r="K311" s="32" t="s">
        <v>1381</v>
      </c>
      <c r="L311" s="32" t="s">
        <v>1542</v>
      </c>
      <c r="M311" s="32" t="s">
        <v>60</v>
      </c>
      <c r="N311" s="33">
        <v>30</v>
      </c>
      <c r="O311" s="35"/>
      <c r="P311" s="35"/>
      <c r="Q311" s="37"/>
      <c r="R311" s="38"/>
      <c r="S311" s="33"/>
      <c r="T311" s="39">
        <v>1000000</v>
      </c>
      <c r="U311" s="40" t="s">
        <v>61</v>
      </c>
      <c r="V311" s="41"/>
      <c r="W311" s="42" t="str">
        <f ca="1">IFERROR(__xludf.DUMMYFUNCTION("""COMPUTED_VALUE"""),"PT WIRA")</f>
        <v>PT WIRA</v>
      </c>
      <c r="X311" s="42" t="str">
        <f ca="1"/>
        <v>ON-PT WIRA-00011900+30-6281229745253</v>
      </c>
      <c r="Y311" s="40" t="s">
        <v>62</v>
      </c>
      <c r="Z311" s="40" t="s">
        <v>1880</v>
      </c>
      <c r="AA311" s="23" t="str">
        <v>https://wa.me/6281229745253</v>
      </c>
      <c r="AB311" s="28"/>
      <c r="AC311" s="28"/>
      <c r="AD311" s="28" t="s">
        <v>690</v>
      </c>
      <c r="AE311" s="28"/>
      <c r="AF311" s="29"/>
      <c r="AG311" s="29"/>
    </row>
    <row r="312" spans="1:33" ht="15.75" customHeight="1">
      <c r="A312" s="32" t="s">
        <v>52</v>
      </c>
      <c r="B312" s="33">
        <v>316</v>
      </c>
      <c r="C312" s="34" t="s">
        <v>2257</v>
      </c>
      <c r="D312" s="35">
        <v>45849.953182083336</v>
      </c>
      <c r="E312" s="35">
        <v>45849</v>
      </c>
      <c r="F312" s="32" t="s">
        <v>2042</v>
      </c>
      <c r="G312" s="32" t="s">
        <v>2043</v>
      </c>
      <c r="H312" s="32" t="s">
        <v>1711</v>
      </c>
      <c r="I312" s="36" t="s">
        <v>2044</v>
      </c>
      <c r="J312" s="52"/>
      <c r="K312" s="32" t="s">
        <v>2045</v>
      </c>
      <c r="L312" s="32" t="s">
        <v>1256</v>
      </c>
      <c r="M312" s="32" t="s">
        <v>1773</v>
      </c>
      <c r="N312" s="33">
        <v>5</v>
      </c>
      <c r="O312" s="35"/>
      <c r="P312" s="35"/>
      <c r="Q312" s="37"/>
      <c r="R312" s="38"/>
      <c r="S312" s="33"/>
      <c r="T312" s="39">
        <v>197000</v>
      </c>
      <c r="U312" s="40" t="s">
        <v>61</v>
      </c>
      <c r="V312" s="41"/>
      <c r="W312" s="42" t="str">
        <f ca="1">IFERROR(__xludf.DUMMYFUNCTION("""COMPUTED_VALUE"""),"Tory Reflexi")</f>
        <v>Tory Reflexi</v>
      </c>
      <c r="X312" s="42" t="str">
        <f ca="1"/>
        <v>ON-Tory Reflexi-00011900+5-6282298717014</v>
      </c>
      <c r="Y312" s="40"/>
      <c r="Z312" s="40"/>
      <c r="AA312" s="23" t="str">
        <v>https://wa.me/6282298717014</v>
      </c>
      <c r="AB312" s="28"/>
      <c r="AC312" s="28"/>
      <c r="AD312" s="28"/>
      <c r="AE312" s="28"/>
      <c r="AF312" s="29"/>
      <c r="AG312" s="29"/>
    </row>
    <row r="313" spans="1:33" ht="15.75" customHeight="1">
      <c r="A313" s="32" t="s">
        <v>52</v>
      </c>
      <c r="B313" s="33">
        <v>317</v>
      </c>
      <c r="C313" s="34" t="s">
        <v>2258</v>
      </c>
      <c r="D313" s="35">
        <v>45850.220444814811</v>
      </c>
      <c r="E313" s="35">
        <v>45849</v>
      </c>
      <c r="F313" s="32" t="s">
        <v>1477</v>
      </c>
      <c r="G313" s="32" t="s">
        <v>1478</v>
      </c>
      <c r="H313" s="32" t="s">
        <v>1479</v>
      </c>
      <c r="I313" s="36" t="s">
        <v>1480</v>
      </c>
      <c r="J313" s="52" t="s">
        <v>1481</v>
      </c>
      <c r="K313" s="32" t="s">
        <v>1482</v>
      </c>
      <c r="L313" s="32"/>
      <c r="M313" s="32"/>
      <c r="N313" s="33">
        <v>30</v>
      </c>
      <c r="O313" s="35"/>
      <c r="P313" s="35"/>
      <c r="Q313" s="37"/>
      <c r="R313" s="38"/>
      <c r="S313" s="33"/>
      <c r="T313" s="39">
        <v>1000000</v>
      </c>
      <c r="U313" s="40" t="s">
        <v>61</v>
      </c>
      <c r="V313" s="41"/>
      <c r="W313" s="42" t="str">
        <f ca="1">IFERROR(__xludf.DUMMYFUNCTION("""COMPUTED_VALUE"""),"Mega Karya")</f>
        <v>Mega Karya</v>
      </c>
      <c r="X313" s="42" t="str">
        <f ca="1"/>
        <v>ON-Mega Karya-00011900+30-6281352626888</v>
      </c>
      <c r="Y313" s="40"/>
      <c r="Z313" s="40"/>
      <c r="AA313" s="23" t="str">
        <v>https://wa.me/6281352626888</v>
      </c>
      <c r="AB313" s="28"/>
      <c r="AC313" s="28"/>
      <c r="AD313" s="28"/>
      <c r="AE313" s="28"/>
      <c r="AF313" s="29"/>
      <c r="AG313" s="29"/>
    </row>
    <row r="314" spans="1:33" ht="15.75" customHeight="1">
      <c r="A314" s="32" t="s">
        <v>196</v>
      </c>
      <c r="B314" s="33">
        <v>317</v>
      </c>
      <c r="C314" s="34" t="s">
        <v>2258</v>
      </c>
      <c r="D314" s="35">
        <v>45850.330958368053</v>
      </c>
      <c r="E314" s="35">
        <v>45850</v>
      </c>
      <c r="F314" s="32" t="s">
        <v>2259</v>
      </c>
      <c r="G314" s="32" t="s">
        <v>2260</v>
      </c>
      <c r="H314" s="32" t="s">
        <v>2261</v>
      </c>
      <c r="I314" s="36" t="s">
        <v>2262</v>
      </c>
      <c r="J314" s="52"/>
      <c r="K314" s="32" t="s">
        <v>2263</v>
      </c>
      <c r="L314" s="32" t="s">
        <v>77</v>
      </c>
      <c r="M314" s="32" t="s">
        <v>249</v>
      </c>
      <c r="N314" s="33">
        <v>5</v>
      </c>
      <c r="O314" s="35"/>
      <c r="P314" s="35"/>
      <c r="Q314" s="37"/>
      <c r="R314" s="38"/>
      <c r="S314" s="33"/>
      <c r="T314" s="39">
        <v>150000</v>
      </c>
      <c r="U314" s="40" t="s">
        <v>1774</v>
      </c>
      <c r="V314" s="41"/>
      <c r="W314" s="42" t="str">
        <f ca="1">IFERROR(__xludf.DUMMYFUNCTION("""COMPUTED_VALUE"""),"Zila Lombok")</f>
        <v>Zila Lombok</v>
      </c>
      <c r="X314" s="42" t="str">
        <f ca="1"/>
        <v>ON-Zila Lombok-00011900+5-6287757150828</v>
      </c>
      <c r="Y314" s="40" t="s">
        <v>62</v>
      </c>
      <c r="Z314" s="40" t="s">
        <v>1880</v>
      </c>
      <c r="AA314" s="23" t="str">
        <v>https://wa.me/6287757150828</v>
      </c>
      <c r="AB314" s="28"/>
      <c r="AC314" s="28"/>
      <c r="AD314" s="28" t="s">
        <v>690</v>
      </c>
      <c r="AE314" s="28"/>
      <c r="AF314" s="29"/>
      <c r="AG314" s="29"/>
    </row>
    <row r="315" spans="1:33" ht="15.75" customHeight="1">
      <c r="A315" s="32" t="s">
        <v>196</v>
      </c>
      <c r="B315" s="33">
        <v>319</v>
      </c>
      <c r="C315" s="34" t="s">
        <v>2264</v>
      </c>
      <c r="D315" s="35">
        <v>45850.747355312502</v>
      </c>
      <c r="E315" s="35">
        <v>45850</v>
      </c>
      <c r="F315" s="32" t="s">
        <v>2265</v>
      </c>
      <c r="G315" s="32" t="s">
        <v>2266</v>
      </c>
      <c r="H315" s="32" t="s">
        <v>2267</v>
      </c>
      <c r="I315" s="36" t="s">
        <v>2268</v>
      </c>
      <c r="J315" s="52" t="s">
        <v>2269</v>
      </c>
      <c r="K315" s="32" t="s">
        <v>2270</v>
      </c>
      <c r="L315" s="32" t="s">
        <v>2271</v>
      </c>
      <c r="M315" s="32" t="s">
        <v>249</v>
      </c>
      <c r="N315" s="33">
        <v>5</v>
      </c>
      <c r="O315" s="35"/>
      <c r="P315" s="35"/>
      <c r="Q315" s="37"/>
      <c r="R315" s="38"/>
      <c r="S315" s="33"/>
      <c r="T315" s="39">
        <v>197000</v>
      </c>
      <c r="U315" s="40" t="s">
        <v>1774</v>
      </c>
      <c r="V315" s="41"/>
      <c r="W315" s="42" t="str">
        <f ca="1">IFERROR(__xludf.DUMMYFUNCTION("""COMPUTED_VALUE"""),"Suka Sehat")</f>
        <v>Suka Sehat</v>
      </c>
      <c r="X315" s="42" t="str">
        <f ca="1"/>
        <v>ON-Suka Sehat-00011900+5-6282277773540</v>
      </c>
      <c r="Y315" s="40" t="s">
        <v>62</v>
      </c>
      <c r="Z315" s="40" t="s">
        <v>639</v>
      </c>
      <c r="AA315" s="23" t="str">
        <v>https://wa.me/6282277773540</v>
      </c>
      <c r="AB315" s="28"/>
      <c r="AC315" s="28"/>
      <c r="AD315" s="28" t="s">
        <v>690</v>
      </c>
      <c r="AE315" s="28"/>
      <c r="AF315" s="29"/>
      <c r="AG315" s="29"/>
    </row>
    <row r="316" spans="1:33" ht="15.75" customHeight="1">
      <c r="A316" s="32" t="s">
        <v>196</v>
      </c>
      <c r="B316" s="33">
        <v>320</v>
      </c>
      <c r="C316" s="34" t="s">
        <v>2272</v>
      </c>
      <c r="D316" s="35">
        <v>45850.852491458332</v>
      </c>
      <c r="E316" s="35">
        <v>45850</v>
      </c>
      <c r="F316" s="32" t="s">
        <v>2273</v>
      </c>
      <c r="G316" s="32" t="s">
        <v>2274</v>
      </c>
      <c r="H316" s="32" t="s">
        <v>2275</v>
      </c>
      <c r="I316" s="36" t="s">
        <v>2276</v>
      </c>
      <c r="J316" s="52"/>
      <c r="K316" s="32" t="s">
        <v>2277</v>
      </c>
      <c r="L316" s="32" t="s">
        <v>940</v>
      </c>
      <c r="M316" s="32" t="s">
        <v>60</v>
      </c>
      <c r="N316" s="33">
        <v>5</v>
      </c>
      <c r="O316" s="35"/>
      <c r="P316" s="35"/>
      <c r="Q316" s="37"/>
      <c r="R316" s="38"/>
      <c r="S316" s="33"/>
      <c r="T316" s="39">
        <v>197000</v>
      </c>
      <c r="U316" s="40" t="s">
        <v>61</v>
      </c>
      <c r="V316" s="41"/>
      <c r="W316" s="42" t="str">
        <f ca="1">IFERROR(__xludf.DUMMYFUNCTION("""COMPUTED_VALUE"""),"Hery Service")</f>
        <v>Hery Service</v>
      </c>
      <c r="X316" s="42" t="str">
        <f ca="1"/>
        <v>ON-Hery Service-00011900+5-6281316839343</v>
      </c>
      <c r="Y316" s="40" t="s">
        <v>62</v>
      </c>
      <c r="Z316" s="40" t="s">
        <v>277</v>
      </c>
      <c r="AA316" s="23" t="str">
        <v>https://wa.me/6281316839343</v>
      </c>
      <c r="AB316" s="28"/>
      <c r="AC316" s="28"/>
      <c r="AD316" s="28" t="s">
        <v>690</v>
      </c>
      <c r="AE316" s="28"/>
      <c r="AF316" s="29"/>
      <c r="AG316" s="29"/>
    </row>
    <row r="317" spans="1:33" ht="15.75" customHeight="1">
      <c r="A317" s="32" t="s">
        <v>196</v>
      </c>
      <c r="B317" s="33">
        <v>321</v>
      </c>
      <c r="C317" s="34" t="s">
        <v>2278</v>
      </c>
      <c r="D317" s="35">
        <v>45851.239429664347</v>
      </c>
      <c r="E317" s="35">
        <v>45850</v>
      </c>
      <c r="F317" s="32" t="s">
        <v>2279</v>
      </c>
      <c r="G317" s="32" t="s">
        <v>2280</v>
      </c>
      <c r="H317" s="32" t="s">
        <v>2281</v>
      </c>
      <c r="I317" s="36" t="s">
        <v>2282</v>
      </c>
      <c r="J317" s="52" t="s">
        <v>2283</v>
      </c>
      <c r="K317" s="32" t="s">
        <v>2284</v>
      </c>
      <c r="L317" s="32" t="s">
        <v>1289</v>
      </c>
      <c r="M317" s="32" t="s">
        <v>2032</v>
      </c>
      <c r="N317" s="33">
        <v>5</v>
      </c>
      <c r="O317" s="35"/>
      <c r="P317" s="35"/>
      <c r="Q317" s="37"/>
      <c r="R317" s="38"/>
      <c r="S317" s="33"/>
      <c r="T317" s="39">
        <v>197000</v>
      </c>
      <c r="U317" s="40" t="s">
        <v>61</v>
      </c>
      <c r="V317" s="41"/>
      <c r="W317" s="42" t="str">
        <f ca="1">IFERROR(__xludf.DUMMYFUNCTION("""COMPUTED_VALUE"""),"Reklame Hafiz")</f>
        <v>Reklame Hafiz</v>
      </c>
      <c r="X317" s="42" t="str">
        <f ca="1"/>
        <v>ON-Reklame Hafiz-00011900+5-6285384321677</v>
      </c>
      <c r="Y317" s="40" t="s">
        <v>62</v>
      </c>
      <c r="Z317" s="40" t="s">
        <v>1465</v>
      </c>
      <c r="AA317" s="23" t="str">
        <v>https://wa.me/6285384321677</v>
      </c>
      <c r="AB317" s="28"/>
      <c r="AC317" s="28"/>
      <c r="AD317" s="28" t="s">
        <v>690</v>
      </c>
      <c r="AE317" s="28"/>
      <c r="AF317" s="29"/>
      <c r="AG317" s="29"/>
    </row>
    <row r="318" spans="1:33" ht="15.75" customHeight="1">
      <c r="A318" s="32" t="s">
        <v>196</v>
      </c>
      <c r="B318" s="33">
        <v>322</v>
      </c>
      <c r="C318" s="34" t="s">
        <v>2285</v>
      </c>
      <c r="D318" s="35">
        <v>45851.242511273143</v>
      </c>
      <c r="E318" s="35">
        <v>45850</v>
      </c>
      <c r="F318" s="32" t="s">
        <v>2286</v>
      </c>
      <c r="G318" s="32" t="s">
        <v>2287</v>
      </c>
      <c r="H318" s="32" t="s">
        <v>2288</v>
      </c>
      <c r="I318" s="36" t="s">
        <v>2289</v>
      </c>
      <c r="J318" s="52" t="s">
        <v>2290</v>
      </c>
      <c r="K318" s="32" t="s">
        <v>570</v>
      </c>
      <c r="L318" s="32" t="s">
        <v>2291</v>
      </c>
      <c r="M318" s="32" t="s">
        <v>60</v>
      </c>
      <c r="N318" s="33">
        <v>5</v>
      </c>
      <c r="O318" s="35"/>
      <c r="P318" s="35"/>
      <c r="Q318" s="37"/>
      <c r="R318" s="38"/>
      <c r="S318" s="33"/>
      <c r="T318" s="39">
        <v>197000</v>
      </c>
      <c r="U318" s="40" t="s">
        <v>61</v>
      </c>
      <c r="V318" s="41"/>
      <c r="W318" s="42" t="str">
        <f ca="1">IFERROR(__xludf.DUMMYFUNCTION("""COMPUTED_VALUE"""),"Fabrikasi Dan")</f>
        <v>Fabrikasi Dan</v>
      </c>
      <c r="X318" s="42" t="str">
        <f ca="1"/>
        <v>ON-Fabrikasi Dan-00011900+5-6281284410725</v>
      </c>
      <c r="Y318" s="40" t="s">
        <v>293</v>
      </c>
      <c r="Z318" s="40" t="s">
        <v>1057</v>
      </c>
      <c r="AA318" s="23" t="str">
        <v>https://wa.me/6281284410725</v>
      </c>
      <c r="AB318" s="28" t="s">
        <v>2292</v>
      </c>
      <c r="AC318" s="28"/>
      <c r="AD318" s="28" t="s">
        <v>690</v>
      </c>
      <c r="AE318" s="28"/>
      <c r="AF318" s="29"/>
      <c r="AG318" s="29"/>
    </row>
    <row r="319" spans="1:33" ht="15.75" customHeight="1">
      <c r="A319" s="32" t="s">
        <v>196</v>
      </c>
      <c r="B319" s="33">
        <v>323</v>
      </c>
      <c r="C319" s="34" t="s">
        <v>2293</v>
      </c>
      <c r="D319" s="35">
        <v>45851.244278518519</v>
      </c>
      <c r="E319" s="35">
        <v>45850</v>
      </c>
      <c r="F319" s="32" t="s">
        <v>2294</v>
      </c>
      <c r="G319" s="32" t="s">
        <v>2295</v>
      </c>
      <c r="H319" s="32" t="s">
        <v>2296</v>
      </c>
      <c r="I319" s="36" t="s">
        <v>2297</v>
      </c>
      <c r="J319" s="52"/>
      <c r="K319" s="32" t="s">
        <v>2298</v>
      </c>
      <c r="L319" s="32" t="s">
        <v>2210</v>
      </c>
      <c r="M319" s="32" t="s">
        <v>2032</v>
      </c>
      <c r="N319" s="33">
        <v>5</v>
      </c>
      <c r="O319" s="35"/>
      <c r="P319" s="35"/>
      <c r="Q319" s="37"/>
      <c r="R319" s="38"/>
      <c r="S319" s="33"/>
      <c r="T319" s="39">
        <v>197000</v>
      </c>
      <c r="U319" s="40" t="s">
        <v>61</v>
      </c>
      <c r="V319" s="41"/>
      <c r="W319" s="42" t="str">
        <f ca="1">IFERROR(__xludf.DUMMYFUNCTION("""COMPUTED_VALUE"""),"CV Rheina")</f>
        <v>CV Rheina</v>
      </c>
      <c r="X319" s="42" t="str">
        <f ca="1"/>
        <v>ON-CV Rheina-00011900+5-6282339444339</v>
      </c>
      <c r="Y319" s="40" t="s">
        <v>62</v>
      </c>
      <c r="Z319" s="40" t="s">
        <v>1880</v>
      </c>
      <c r="AA319" s="23" t="str">
        <v>https://wa.me/6282339444339</v>
      </c>
      <c r="AB319" s="28"/>
      <c r="AC319" s="28"/>
      <c r="AD319" s="28" t="s">
        <v>690</v>
      </c>
      <c r="AE319" s="28"/>
      <c r="AF319" s="29"/>
      <c r="AG319" s="29"/>
    </row>
    <row r="320" spans="1:33" ht="15.75" customHeight="1">
      <c r="A320" s="32" t="s">
        <v>196</v>
      </c>
      <c r="B320" s="33">
        <v>324</v>
      </c>
      <c r="C320" s="34" t="s">
        <v>2299</v>
      </c>
      <c r="D320" s="35">
        <v>45851.246221516209</v>
      </c>
      <c r="E320" s="35">
        <v>45850</v>
      </c>
      <c r="F320" s="32" t="s">
        <v>2300</v>
      </c>
      <c r="G320" s="32" t="s">
        <v>2301</v>
      </c>
      <c r="H320" s="32" t="s">
        <v>409</v>
      </c>
      <c r="I320" s="36" t="s">
        <v>2302</v>
      </c>
      <c r="J320" s="52" t="s">
        <v>2303</v>
      </c>
      <c r="K320" s="32" t="s">
        <v>2304</v>
      </c>
      <c r="L320" s="32" t="s">
        <v>2305</v>
      </c>
      <c r="M320" s="32" t="s">
        <v>2032</v>
      </c>
      <c r="N320" s="33">
        <v>5</v>
      </c>
      <c r="O320" s="35"/>
      <c r="P320" s="35"/>
      <c r="Q320" s="37"/>
      <c r="R320" s="38"/>
      <c r="S320" s="33"/>
      <c r="T320" s="39">
        <v>197000</v>
      </c>
      <c r="U320" s="40" t="s">
        <v>61</v>
      </c>
      <c r="V320" s="41"/>
      <c r="W320" s="42" t="str">
        <f ca="1">IFERROR(__xludf.DUMMYFUNCTION("""COMPUTED_VALUE"""),"Indointerior")</f>
        <v>Indointerior</v>
      </c>
      <c r="X320" s="42" t="str">
        <f ca="1"/>
        <v>ON-Indointerior-00011900+5-6285169411418</v>
      </c>
      <c r="Y320" s="40" t="s">
        <v>293</v>
      </c>
      <c r="Z320" s="40" t="s">
        <v>1057</v>
      </c>
      <c r="AA320" s="23" t="str">
        <v>https://wa.me/6285169411418</v>
      </c>
      <c r="AB320" s="28"/>
      <c r="AC320" s="28"/>
      <c r="AD320" s="28" t="s">
        <v>690</v>
      </c>
      <c r="AE320" s="28"/>
      <c r="AF320" s="29"/>
      <c r="AG320" s="29"/>
    </row>
    <row r="321" spans="1:33" ht="15.75" customHeight="1">
      <c r="A321" s="32" t="s">
        <v>196</v>
      </c>
      <c r="B321" s="33">
        <v>325</v>
      </c>
      <c r="C321" s="34" t="s">
        <v>2306</v>
      </c>
      <c r="D321" s="35">
        <v>45851.24944561343</v>
      </c>
      <c r="E321" s="35">
        <v>45850</v>
      </c>
      <c r="F321" s="32" t="s">
        <v>2307</v>
      </c>
      <c r="G321" s="32" t="s">
        <v>2308</v>
      </c>
      <c r="H321" s="32" t="s">
        <v>2309</v>
      </c>
      <c r="I321" s="36" t="s">
        <v>2310</v>
      </c>
      <c r="J321" s="52" t="s">
        <v>2311</v>
      </c>
      <c r="K321" s="32" t="s">
        <v>2312</v>
      </c>
      <c r="L321" s="32" t="s">
        <v>2313</v>
      </c>
      <c r="M321" s="32" t="s">
        <v>1773</v>
      </c>
      <c r="N321" s="33">
        <v>7</v>
      </c>
      <c r="O321" s="35"/>
      <c r="P321" s="35"/>
      <c r="Q321" s="37"/>
      <c r="R321" s="38"/>
      <c r="S321" s="33"/>
      <c r="T321" s="39">
        <v>297000</v>
      </c>
      <c r="U321" s="40" t="s">
        <v>61</v>
      </c>
      <c r="V321" s="41"/>
      <c r="W321" s="42" t="str">
        <f ca="1">IFERROR(__xludf.DUMMYFUNCTION("""COMPUTED_VALUE"""),"Buana Plavon")</f>
        <v>Buana Plavon</v>
      </c>
      <c r="X321" s="42" t="str">
        <f ca="1"/>
        <v>ON-Buana Plavon-00011900+7-62895416149255</v>
      </c>
      <c r="Y321" s="40" t="s">
        <v>293</v>
      </c>
      <c r="Z321" s="40" t="s">
        <v>1057</v>
      </c>
      <c r="AA321" s="23" t="str">
        <v>https://wa.me/62895416149255</v>
      </c>
      <c r="AB321" s="28" t="s">
        <v>2314</v>
      </c>
      <c r="AC321" s="28"/>
      <c r="AD321" s="28"/>
      <c r="AE321" s="28"/>
      <c r="AF321" s="29"/>
      <c r="AG321" s="29"/>
    </row>
    <row r="322" spans="1:33" ht="15.75" customHeight="1">
      <c r="A322" s="32" t="s">
        <v>196</v>
      </c>
      <c r="B322" s="33">
        <v>327</v>
      </c>
      <c r="C322" s="34" t="s">
        <v>2315</v>
      </c>
      <c r="D322" s="35">
        <v>45851.445060405094</v>
      </c>
      <c r="E322" s="35">
        <v>45820</v>
      </c>
      <c r="F322" s="32" t="s">
        <v>2316</v>
      </c>
      <c r="G322" s="32" t="s">
        <v>2317</v>
      </c>
      <c r="H322" s="32" t="s">
        <v>2318</v>
      </c>
      <c r="I322" s="36" t="s">
        <v>2319</v>
      </c>
      <c r="J322" s="52" t="s">
        <v>2320</v>
      </c>
      <c r="K322" s="32" t="s">
        <v>2321</v>
      </c>
      <c r="L322" s="32" t="s">
        <v>166</v>
      </c>
      <c r="M322" s="32" t="s">
        <v>60</v>
      </c>
      <c r="N322" s="33">
        <v>5</v>
      </c>
      <c r="O322" s="35"/>
      <c r="P322" s="35"/>
      <c r="Q322" s="37"/>
      <c r="R322" s="38"/>
      <c r="S322" s="33"/>
      <c r="T322" s="39">
        <v>197000</v>
      </c>
      <c r="U322" s="40" t="s">
        <v>1229</v>
      </c>
      <c r="V322" s="41"/>
      <c r="W322" s="42" t="str">
        <f ca="1">IFERROR(__xludf.DUMMYFUNCTION("""COMPUTED_VALUE"""),"Bali Ayu")</f>
        <v>Bali Ayu</v>
      </c>
      <c r="X322" s="42" t="str">
        <f ca="1"/>
        <v>ON-Bali Ayu-00011900+5-6281916331011</v>
      </c>
      <c r="Y322" s="40" t="s">
        <v>50</v>
      </c>
      <c r="Z322" s="40" t="s">
        <v>639</v>
      </c>
      <c r="AA322" s="23" t="str">
        <v>https://wa.me/6281916331011</v>
      </c>
      <c r="AB322" s="28"/>
      <c r="AC322" s="28"/>
      <c r="AD322" s="28" t="s">
        <v>690</v>
      </c>
      <c r="AE322" s="28"/>
      <c r="AF322" s="29"/>
      <c r="AG322" s="29"/>
    </row>
    <row r="323" spans="1:33" ht="15.75" customHeight="1">
      <c r="A323" s="32" t="s">
        <v>52</v>
      </c>
      <c r="B323" s="33">
        <v>330</v>
      </c>
      <c r="C323" s="34" t="s">
        <v>2322</v>
      </c>
      <c r="D323" s="35">
        <v>45851.560709675927</v>
      </c>
      <c r="E323" s="35">
        <v>45851</v>
      </c>
      <c r="F323" s="32" t="s">
        <v>1725</v>
      </c>
      <c r="G323" s="32" t="s">
        <v>1726</v>
      </c>
      <c r="H323" s="32" t="s">
        <v>1727</v>
      </c>
      <c r="I323" s="36" t="s">
        <v>581</v>
      </c>
      <c r="J323" s="52" t="s">
        <v>1728</v>
      </c>
      <c r="K323" s="32" t="s">
        <v>1729</v>
      </c>
      <c r="L323" s="32" t="s">
        <v>584</v>
      </c>
      <c r="M323" s="32" t="s">
        <v>60</v>
      </c>
      <c r="N323" s="33">
        <v>5</v>
      </c>
      <c r="O323" s="35"/>
      <c r="P323" s="35"/>
      <c r="Q323" s="37"/>
      <c r="R323" s="38"/>
      <c r="S323" s="33"/>
      <c r="T323" s="39">
        <v>197000</v>
      </c>
      <c r="U323" s="40" t="s">
        <v>61</v>
      </c>
      <c r="V323" s="41"/>
      <c r="W323" s="42" t="str">
        <f ca="1">IFERROR(__xludf.DUMMYFUNCTION("""COMPUTED_VALUE"""),"Phone Cell")</f>
        <v>Phone Cell</v>
      </c>
      <c r="X323" s="42" t="str">
        <f ca="1"/>
        <v>ON-Phone Cell-00011900+5-6281241440688</v>
      </c>
      <c r="Y323" s="40"/>
      <c r="Z323" s="40"/>
      <c r="AA323" s="23" t="str">
        <v>https://wa.me/6281241440688</v>
      </c>
      <c r="AB323" s="28"/>
      <c r="AC323" s="28"/>
      <c r="AD323" s="28"/>
      <c r="AE323" s="28"/>
      <c r="AF323" s="29"/>
      <c r="AG323" s="29"/>
    </row>
    <row r="324" spans="1:33" ht="15.75" customHeight="1">
      <c r="A324" s="32" t="s">
        <v>621</v>
      </c>
      <c r="B324" s="33">
        <v>331</v>
      </c>
      <c r="C324" s="34" t="s">
        <v>2323</v>
      </c>
      <c r="D324" s="35">
        <v>45851.638009340277</v>
      </c>
      <c r="E324" s="35">
        <v>45850</v>
      </c>
      <c r="F324" s="32" t="s">
        <v>2294</v>
      </c>
      <c r="G324" s="32" t="s">
        <v>2295</v>
      </c>
      <c r="H324" s="32" t="s">
        <v>2296</v>
      </c>
      <c r="I324" s="36" t="s">
        <v>2297</v>
      </c>
      <c r="J324" s="52"/>
      <c r="K324" s="32" t="s">
        <v>2324</v>
      </c>
      <c r="L324" s="32" t="s">
        <v>2210</v>
      </c>
      <c r="M324" s="32" t="s">
        <v>2032</v>
      </c>
      <c r="N324" s="33">
        <v>5</v>
      </c>
      <c r="O324" s="35"/>
      <c r="P324" s="35"/>
      <c r="Q324" s="37"/>
      <c r="R324" s="38"/>
      <c r="S324" s="33"/>
      <c r="T324" s="39">
        <v>197000</v>
      </c>
      <c r="U324" s="40" t="s">
        <v>61</v>
      </c>
      <c r="V324" s="41"/>
      <c r="W324" s="42" t="str">
        <f ca="1">IFERROR(__xludf.DUMMYFUNCTION("""COMPUTED_VALUE"""),"CV Rheina")</f>
        <v>CV Rheina</v>
      </c>
      <c r="X324" s="42" t="str">
        <f ca="1"/>
        <v>ON-CV Rheina-00011900+5-6282339444339</v>
      </c>
      <c r="Y324" s="40"/>
      <c r="Z324" s="40"/>
      <c r="AA324" s="23" t="str">
        <v>https://wa.me/6282339444339</v>
      </c>
      <c r="AB324" s="28"/>
      <c r="AC324" s="28"/>
      <c r="AD324" s="28"/>
      <c r="AE324" s="28"/>
      <c r="AF324" s="29"/>
      <c r="AG324" s="29"/>
    </row>
    <row r="325" spans="1:33" ht="15.75" customHeight="1">
      <c r="A325" s="32" t="s">
        <v>52</v>
      </c>
      <c r="B325" s="33">
        <v>332</v>
      </c>
      <c r="C325" s="34" t="s">
        <v>2325</v>
      </c>
      <c r="D325" s="35">
        <v>45851.67199260417</v>
      </c>
      <c r="E325" s="35">
        <v>45851</v>
      </c>
      <c r="F325" s="32" t="s">
        <v>2326</v>
      </c>
      <c r="G325" s="32" t="s">
        <v>1818</v>
      </c>
      <c r="H325" s="32" t="s">
        <v>2327</v>
      </c>
      <c r="I325" s="36" t="s">
        <v>1820</v>
      </c>
      <c r="J325" s="52"/>
      <c r="K325" s="32" t="s">
        <v>1822</v>
      </c>
      <c r="L325" s="32" t="s">
        <v>817</v>
      </c>
      <c r="M325" s="32" t="s">
        <v>60</v>
      </c>
      <c r="N325" s="33">
        <v>5</v>
      </c>
      <c r="O325" s="35"/>
      <c r="P325" s="35"/>
      <c r="Q325" s="37"/>
      <c r="R325" s="38"/>
      <c r="S325" s="33"/>
      <c r="T325" s="39">
        <v>197000</v>
      </c>
      <c r="U325" s="40" t="s">
        <v>61</v>
      </c>
      <c r="V325" s="41"/>
      <c r="W325" s="42" t="str">
        <f ca="1">IFERROR(__xludf.DUMMYFUNCTION("""COMPUTED_VALUE"""),"Pengobatan Non")</f>
        <v>Pengobatan Non</v>
      </c>
      <c r="X325" s="42" t="str">
        <f ca="1"/>
        <v>ON-Pengobatan Non-00011900+5-6281412281953</v>
      </c>
      <c r="Y325" s="40"/>
      <c r="Z325" s="40"/>
      <c r="AA325" s="23" t="str">
        <v>https://wa.me/6281412281953</v>
      </c>
      <c r="AB325" s="28"/>
      <c r="AC325" s="28"/>
      <c r="AD325" s="28"/>
      <c r="AE325" s="28"/>
      <c r="AF325" s="29"/>
      <c r="AG325" s="29"/>
    </row>
    <row r="326" spans="1:33" ht="15.75" customHeight="1">
      <c r="A326" s="32" t="s">
        <v>196</v>
      </c>
      <c r="B326" s="33">
        <v>333</v>
      </c>
      <c r="C326" s="34" t="s">
        <v>2328</v>
      </c>
      <c r="D326" s="35">
        <v>45851.749310740735</v>
      </c>
      <c r="E326" s="35">
        <v>45851</v>
      </c>
      <c r="F326" s="32" t="s">
        <v>2329</v>
      </c>
      <c r="G326" s="32" t="s">
        <v>2330</v>
      </c>
      <c r="H326" s="32" t="s">
        <v>2331</v>
      </c>
      <c r="I326" s="36" t="s">
        <v>2332</v>
      </c>
      <c r="J326" s="52"/>
      <c r="K326" s="32" t="s">
        <v>2333</v>
      </c>
      <c r="L326" s="32" t="s">
        <v>2334</v>
      </c>
      <c r="M326" s="32" t="s">
        <v>60</v>
      </c>
      <c r="N326" s="33">
        <v>5</v>
      </c>
      <c r="O326" s="35"/>
      <c r="P326" s="35"/>
      <c r="Q326" s="37"/>
      <c r="R326" s="38"/>
      <c r="S326" s="33"/>
      <c r="T326" s="39">
        <v>197000</v>
      </c>
      <c r="U326" s="40" t="s">
        <v>1229</v>
      </c>
      <c r="V326" s="41"/>
      <c r="W326" s="42" t="str">
        <f ca="1">IFERROR(__xludf.DUMMYFUNCTION("""COMPUTED_VALUE"""),"Pangauban Endah")</f>
        <v>Pangauban Endah</v>
      </c>
      <c r="X326" s="42" t="str">
        <f ca="1"/>
        <v>ON-Pangauban Endah-00011900+5-6285186029090</v>
      </c>
      <c r="Y326" s="40" t="s">
        <v>293</v>
      </c>
      <c r="Z326" s="40" t="s">
        <v>1057</v>
      </c>
      <c r="AA326" s="23" t="str">
        <v>https://wa.me/6285186029090</v>
      </c>
      <c r="AB326" s="28"/>
      <c r="AC326" s="28"/>
      <c r="AD326" s="28" t="s">
        <v>690</v>
      </c>
      <c r="AE326" s="28"/>
      <c r="AF326" s="29"/>
      <c r="AG326" s="29"/>
    </row>
    <row r="327" spans="1:33" ht="15.75" customHeight="1">
      <c r="A327" s="32" t="s">
        <v>196</v>
      </c>
      <c r="B327" s="33">
        <v>336</v>
      </c>
      <c r="C327" s="34" t="s">
        <v>2335</v>
      </c>
      <c r="D327" s="35">
        <v>45851.819758090278</v>
      </c>
      <c r="E327" s="35">
        <v>45851</v>
      </c>
      <c r="F327" s="32" t="s">
        <v>2336</v>
      </c>
      <c r="G327" s="32" t="s">
        <v>2337</v>
      </c>
      <c r="H327" s="32" t="s">
        <v>74</v>
      </c>
      <c r="I327" s="36" t="s">
        <v>2338</v>
      </c>
      <c r="J327" s="52" t="s">
        <v>2339</v>
      </c>
      <c r="K327" s="32" t="s">
        <v>2340</v>
      </c>
      <c r="L327" s="32" t="s">
        <v>166</v>
      </c>
      <c r="M327" s="32" t="s">
        <v>60</v>
      </c>
      <c r="N327" s="33">
        <v>5</v>
      </c>
      <c r="O327" s="35"/>
      <c r="P327" s="35"/>
      <c r="Q327" s="37"/>
      <c r="R327" s="38"/>
      <c r="S327" s="33"/>
      <c r="T327" s="39">
        <v>197000</v>
      </c>
      <c r="U327" s="40" t="s">
        <v>1229</v>
      </c>
      <c r="V327" s="41"/>
      <c r="W327" s="42" t="str">
        <f ca="1">IFERROR(__xludf.DUMMYFUNCTION("""COMPUTED_VALUE"""),"Li Lie")</f>
        <v>Li Lie</v>
      </c>
      <c r="X327" s="42" t="str">
        <f ca="1"/>
        <v>ON-Li Lie-00011900+5-6289608357133</v>
      </c>
      <c r="Y327" s="40" t="s">
        <v>50</v>
      </c>
      <c r="Z327" s="40" t="s">
        <v>327</v>
      </c>
      <c r="AA327" s="23" t="str">
        <v>https://wa.me/6289608357133</v>
      </c>
      <c r="AB327" s="28"/>
      <c r="AC327" s="28"/>
      <c r="AD327" s="28" t="s">
        <v>690</v>
      </c>
      <c r="AE327" s="28"/>
      <c r="AF327" s="29"/>
      <c r="AG327" s="29"/>
    </row>
    <row r="328" spans="1:33" ht="15.75" customHeight="1">
      <c r="A328" s="32" t="s">
        <v>52</v>
      </c>
      <c r="B328" s="33">
        <v>332</v>
      </c>
      <c r="C328" s="34" t="s">
        <v>2325</v>
      </c>
      <c r="D328" s="33" t="s">
        <v>2341</v>
      </c>
      <c r="E328" s="35">
        <v>45852</v>
      </c>
      <c r="F328" s="32" t="s">
        <v>2342</v>
      </c>
      <c r="G328" s="32" t="s">
        <v>2343</v>
      </c>
      <c r="H328" s="32" t="s">
        <v>2344</v>
      </c>
      <c r="I328" s="36" t="s">
        <v>2345</v>
      </c>
      <c r="J328" s="52"/>
      <c r="K328" s="32" t="s">
        <v>2346</v>
      </c>
      <c r="L328" s="32" t="s">
        <v>2347</v>
      </c>
      <c r="M328" s="32" t="s">
        <v>382</v>
      </c>
      <c r="N328" s="33">
        <v>20</v>
      </c>
      <c r="O328" s="35"/>
      <c r="P328" s="35"/>
      <c r="Q328" s="37"/>
      <c r="R328" s="38">
        <v>-1003470351325</v>
      </c>
      <c r="S328" s="33"/>
      <c r="T328" s="39">
        <v>700000</v>
      </c>
      <c r="U328" s="40" t="s">
        <v>115</v>
      </c>
      <c r="V328" s="47">
        <v>45992.277034861108</v>
      </c>
      <c r="W328" s="42" t="str">
        <f ca="1">IFERROR(__xludf.DUMMYFUNCTION("""COMPUTED_VALUE"""),"Yahya kaca")</f>
        <v>Yahya kaca</v>
      </c>
      <c r="X328" s="42" t="str">
        <f ca="1"/>
        <v>ON-Yahya kaca-01122025+20-6285746861553</v>
      </c>
      <c r="Y328" s="40"/>
      <c r="Z328" s="40"/>
      <c r="AA328" s="23" t="str">
        <v>https://wa.me/6285746861553</v>
      </c>
      <c r="AB328" s="28"/>
      <c r="AC328" s="28"/>
      <c r="AD328" s="28"/>
      <c r="AE328" s="28"/>
      <c r="AF328" s="29"/>
      <c r="AG328" s="29"/>
    </row>
    <row r="329" spans="1:33" ht="15.75" customHeight="1">
      <c r="A329" s="32" t="s">
        <v>196</v>
      </c>
      <c r="B329" s="33">
        <v>333</v>
      </c>
      <c r="C329" s="34" t="s">
        <v>2328</v>
      </c>
      <c r="D329" s="35">
        <v>45852.700734432874</v>
      </c>
      <c r="E329" s="35">
        <v>45850</v>
      </c>
      <c r="F329" s="32" t="s">
        <v>2348</v>
      </c>
      <c r="G329" s="32" t="s">
        <v>2349</v>
      </c>
      <c r="H329" s="32" t="s">
        <v>2350</v>
      </c>
      <c r="I329" s="36" t="s">
        <v>2351</v>
      </c>
      <c r="J329" s="52"/>
      <c r="K329" s="32" t="s">
        <v>2352</v>
      </c>
      <c r="L329" s="32" t="s">
        <v>2353</v>
      </c>
      <c r="M329" s="32"/>
      <c r="N329" s="33">
        <v>5</v>
      </c>
      <c r="O329" s="35"/>
      <c r="P329" s="35"/>
      <c r="Q329" s="37"/>
      <c r="R329" s="38"/>
      <c r="S329" s="33"/>
      <c r="T329" s="39">
        <v>197000</v>
      </c>
      <c r="U329" s="40"/>
      <c r="V329" s="41"/>
      <c r="W329" s="42" t="str">
        <f ca="1">IFERROR(__xludf.DUMMYFUNCTION("""COMPUTED_VALUE"""),"Rehab Hati")</f>
        <v>Rehab Hati</v>
      </c>
      <c r="X329" s="42" t="str">
        <f ca="1"/>
        <v>ON-Rehab Hati-00011900+5-6283147736523</v>
      </c>
      <c r="Y329" s="40" t="s">
        <v>62</v>
      </c>
      <c r="Z329" s="40" t="s">
        <v>639</v>
      </c>
      <c r="AA329" s="23" t="str">
        <v>https://wa.me/6283147736523</v>
      </c>
      <c r="AB329" s="28" t="s">
        <v>2354</v>
      </c>
      <c r="AC329" s="28"/>
      <c r="AD329" s="28" t="s">
        <v>690</v>
      </c>
      <c r="AE329" s="28"/>
      <c r="AF329" s="29"/>
      <c r="AG329" s="29"/>
    </row>
    <row r="330" spans="1:33" ht="15.75" customHeight="1">
      <c r="A330" s="32" t="s">
        <v>52</v>
      </c>
      <c r="B330" s="33">
        <v>334</v>
      </c>
      <c r="C330" s="34" t="s">
        <v>2355</v>
      </c>
      <c r="D330" s="35">
        <v>45853.284391527777</v>
      </c>
      <c r="E330" s="35">
        <v>45852</v>
      </c>
      <c r="F330" s="32" t="s">
        <v>2356</v>
      </c>
      <c r="G330" s="32" t="s">
        <v>2357</v>
      </c>
      <c r="H330" s="32" t="s">
        <v>2358</v>
      </c>
      <c r="I330" s="36" t="s">
        <v>2359</v>
      </c>
      <c r="J330" s="52"/>
      <c r="K330" s="32" t="s">
        <v>2360</v>
      </c>
      <c r="L330" s="32" t="s">
        <v>1542</v>
      </c>
      <c r="M330" s="32" t="s">
        <v>60</v>
      </c>
      <c r="N330" s="33">
        <v>5</v>
      </c>
      <c r="O330" s="35"/>
      <c r="P330" s="35"/>
      <c r="Q330" s="37"/>
      <c r="R330" s="38"/>
      <c r="S330" s="33"/>
      <c r="T330" s="39">
        <v>197000</v>
      </c>
      <c r="U330" s="40" t="s">
        <v>61</v>
      </c>
      <c r="V330" s="41"/>
      <c r="W330" s="42" t="str">
        <f ca="1">IFERROR(__xludf.DUMMYFUNCTION("""COMPUTED_VALUE"""),"Suzuki Mamuju")</f>
        <v>Suzuki Mamuju</v>
      </c>
      <c r="X330" s="42" t="str">
        <f ca="1"/>
        <v>ON-Suzuki Mamuju-00011900+5-6281221788919</v>
      </c>
      <c r="Y330" s="40"/>
      <c r="Z330" s="40"/>
      <c r="AA330" s="23" t="str">
        <v>https://wa.me/6281221788919</v>
      </c>
      <c r="AB330" s="28"/>
      <c r="AC330" s="28"/>
      <c r="AD330" s="28"/>
      <c r="AE330" s="28"/>
      <c r="AF330" s="29"/>
      <c r="AG330" s="29"/>
    </row>
    <row r="331" spans="1:33" ht="15.75" customHeight="1">
      <c r="A331" s="32" t="s">
        <v>196</v>
      </c>
      <c r="B331" s="33">
        <v>335</v>
      </c>
      <c r="C331" s="34" t="s">
        <v>2361</v>
      </c>
      <c r="D331" s="35">
        <v>45853.286548090276</v>
      </c>
      <c r="E331" s="35">
        <v>45852</v>
      </c>
      <c r="F331" s="32" t="s">
        <v>2362</v>
      </c>
      <c r="G331" s="32" t="s">
        <v>2363</v>
      </c>
      <c r="H331" s="32" t="s">
        <v>2364</v>
      </c>
      <c r="I331" s="36" t="s">
        <v>2365</v>
      </c>
      <c r="J331" s="52"/>
      <c r="K331" s="32" t="s">
        <v>570</v>
      </c>
      <c r="L331" s="32" t="s">
        <v>166</v>
      </c>
      <c r="M331" s="32" t="s">
        <v>60</v>
      </c>
      <c r="N331" s="33">
        <v>5</v>
      </c>
      <c r="O331" s="35"/>
      <c r="P331" s="35"/>
      <c r="Q331" s="37"/>
      <c r="R331" s="38"/>
      <c r="S331" s="33"/>
      <c r="T331" s="39">
        <v>197000</v>
      </c>
      <c r="U331" s="40" t="s">
        <v>61</v>
      </c>
      <c r="V331" s="41"/>
      <c r="W331" s="42" t="str">
        <f ca="1">IFERROR(__xludf.DUMMYFUNCTION("""COMPUTED_VALUE"""),"Ilham Trans")</f>
        <v>Ilham Trans</v>
      </c>
      <c r="X331" s="42" t="str">
        <f ca="1"/>
        <v>ON-Ilham Trans-00011900+5-6285714141525</v>
      </c>
      <c r="Y331" s="40" t="s">
        <v>62</v>
      </c>
      <c r="Z331" s="40" t="s">
        <v>1880</v>
      </c>
      <c r="AA331" s="23" t="str">
        <v>https://wa.me/6285714141525</v>
      </c>
      <c r="AB331" s="28" t="s">
        <v>2366</v>
      </c>
      <c r="AC331" s="28"/>
      <c r="AD331" s="28" t="s">
        <v>690</v>
      </c>
      <c r="AE331" s="28"/>
      <c r="AF331" s="29"/>
      <c r="AG331" s="29"/>
    </row>
    <row r="332" spans="1:33" ht="15.75" customHeight="1">
      <c r="A332" s="32" t="s">
        <v>196</v>
      </c>
      <c r="B332" s="33">
        <v>337</v>
      </c>
      <c r="C332" s="34" t="s">
        <v>2367</v>
      </c>
      <c r="D332" s="35">
        <v>45853.302514201394</v>
      </c>
      <c r="E332" s="35">
        <v>45853</v>
      </c>
      <c r="F332" s="32" t="s">
        <v>2368</v>
      </c>
      <c r="G332" s="32" t="s">
        <v>2369</v>
      </c>
      <c r="H332" s="32" t="s">
        <v>2370</v>
      </c>
      <c r="I332" s="36" t="s">
        <v>2371</v>
      </c>
      <c r="J332" s="52" t="s">
        <v>2372</v>
      </c>
      <c r="K332" s="32" t="s">
        <v>2373</v>
      </c>
      <c r="L332" s="32" t="s">
        <v>382</v>
      </c>
      <c r="M332" s="32" t="s">
        <v>382</v>
      </c>
      <c r="N332" s="33">
        <v>5</v>
      </c>
      <c r="O332" s="35"/>
      <c r="P332" s="35"/>
      <c r="Q332" s="37"/>
      <c r="R332" s="38"/>
      <c r="S332" s="33"/>
      <c r="T332" s="39">
        <v>197000</v>
      </c>
      <c r="U332" s="40" t="s">
        <v>115</v>
      </c>
      <c r="V332" s="41"/>
      <c r="W332" s="42" t="str">
        <f ca="1">IFERROR(__xludf.DUMMYFUNCTION("""COMPUTED_VALUE"""),"Pijat Sehat")</f>
        <v>Pijat Sehat</v>
      </c>
      <c r="X332" s="42" t="str">
        <f ca="1"/>
        <v>ON-Pijat Sehat-00011900+5-6281217985917</v>
      </c>
      <c r="Y332" s="40" t="s">
        <v>62</v>
      </c>
      <c r="Z332" s="40" t="s">
        <v>639</v>
      </c>
      <c r="AA332" s="23" t="str">
        <v>https://wa.me/6281217985917</v>
      </c>
      <c r="AB332" s="28" t="s">
        <v>2374</v>
      </c>
      <c r="AC332" s="28"/>
      <c r="AD332" s="28" t="s">
        <v>690</v>
      </c>
      <c r="AE332" s="28"/>
      <c r="AF332" s="29"/>
      <c r="AG332" s="29"/>
    </row>
    <row r="333" spans="1:33" ht="15.75" customHeight="1">
      <c r="A333" s="32" t="s">
        <v>912</v>
      </c>
      <c r="B333" s="33">
        <v>338</v>
      </c>
      <c r="C333" s="34" t="s">
        <v>2375</v>
      </c>
      <c r="D333" s="35">
        <v>45853.319264687496</v>
      </c>
      <c r="E333" s="35">
        <v>45852</v>
      </c>
      <c r="F333" s="32" t="s">
        <v>2376</v>
      </c>
      <c r="G333" s="32" t="s">
        <v>2377</v>
      </c>
      <c r="H333" s="32" t="s">
        <v>2378</v>
      </c>
      <c r="I333" s="36" t="s">
        <v>2379</v>
      </c>
      <c r="J333" s="52" t="s">
        <v>2380</v>
      </c>
      <c r="K333" s="32" t="s">
        <v>2381</v>
      </c>
      <c r="L333" s="32" t="s">
        <v>2382</v>
      </c>
      <c r="M333" s="32" t="s">
        <v>60</v>
      </c>
      <c r="N333" s="33">
        <v>5</v>
      </c>
      <c r="O333" s="35"/>
      <c r="P333" s="35"/>
      <c r="Q333" s="37"/>
      <c r="R333" s="38"/>
      <c r="S333" s="33"/>
      <c r="T333" s="39">
        <v>197000</v>
      </c>
      <c r="U333" s="40" t="s">
        <v>61</v>
      </c>
      <c r="V333" s="41"/>
      <c r="W333" s="42" t="str">
        <f ca="1">IFERROR(__xludf.DUMMYFUNCTION("""COMPUTED_VALUE"""),"Terapi Jalur")</f>
        <v>Terapi Jalur</v>
      </c>
      <c r="X333" s="42" t="str">
        <f ca="1"/>
        <v>ON-Terapi Jalur-00011900+5-6287839406770</v>
      </c>
      <c r="Y333" s="40" t="s">
        <v>62</v>
      </c>
      <c r="Z333" s="40" t="s">
        <v>639</v>
      </c>
      <c r="AA333" s="23" t="str">
        <v>https://wa.me/6287839406770</v>
      </c>
      <c r="AB333" s="28" t="s">
        <v>2383</v>
      </c>
      <c r="AC333" s="28"/>
      <c r="AD333" s="28" t="s">
        <v>690</v>
      </c>
      <c r="AE333" s="28"/>
      <c r="AF333" s="29"/>
      <c r="AG333" s="29"/>
    </row>
    <row r="334" spans="1:33" ht="15.75" customHeight="1">
      <c r="A334" s="32" t="s">
        <v>52</v>
      </c>
      <c r="B334" s="33">
        <v>336</v>
      </c>
      <c r="C334" s="34" t="s">
        <v>2335</v>
      </c>
      <c r="D334" s="35">
        <v>45853.333157071756</v>
      </c>
      <c r="E334" s="35">
        <v>45853</v>
      </c>
      <c r="F334" s="32" t="s">
        <v>1350</v>
      </c>
      <c r="G334" s="32" t="s">
        <v>1351</v>
      </c>
      <c r="H334" s="32" t="s">
        <v>2056</v>
      </c>
      <c r="I334" s="36" t="s">
        <v>1353</v>
      </c>
      <c r="J334" s="52" t="s">
        <v>2057</v>
      </c>
      <c r="K334" s="32" t="s">
        <v>1355</v>
      </c>
      <c r="L334" s="32" t="s">
        <v>1356</v>
      </c>
      <c r="M334" s="32" t="s">
        <v>60</v>
      </c>
      <c r="N334" s="33">
        <v>5</v>
      </c>
      <c r="O334" s="35"/>
      <c r="P334" s="35"/>
      <c r="Q334" s="37"/>
      <c r="R334" s="38"/>
      <c r="S334" s="33"/>
      <c r="T334" s="39">
        <v>197000</v>
      </c>
      <c r="U334" s="40" t="s">
        <v>61</v>
      </c>
      <c r="V334" s="41"/>
      <c r="W334" s="42" t="str">
        <f ca="1">IFERROR(__xludf.DUMMYFUNCTION("""COMPUTED_VALUE"""),"Putra Bakti")</f>
        <v>Putra Bakti</v>
      </c>
      <c r="X334" s="42" t="str">
        <f ca="1"/>
        <v>ON-Putra Bakti-00011900+5-6285668750416</v>
      </c>
      <c r="Y334" s="40"/>
      <c r="Z334" s="40"/>
      <c r="AA334" s="23" t="str">
        <v>https://wa.me/6285668750416</v>
      </c>
      <c r="AB334" s="28"/>
      <c r="AC334" s="28"/>
      <c r="AD334" s="28"/>
      <c r="AE334" s="28"/>
      <c r="AF334" s="29"/>
      <c r="AG334" s="29"/>
    </row>
    <row r="335" spans="1:33" ht="15.75" customHeight="1">
      <c r="A335" s="32" t="s">
        <v>196</v>
      </c>
      <c r="B335" s="33">
        <v>337</v>
      </c>
      <c r="C335" s="34" t="s">
        <v>2367</v>
      </c>
      <c r="D335" s="35">
        <v>45853.423063796297</v>
      </c>
      <c r="E335" s="35">
        <v>45853</v>
      </c>
      <c r="F335" s="32" t="s">
        <v>2384</v>
      </c>
      <c r="G335" s="32" t="s">
        <v>2385</v>
      </c>
      <c r="H335" s="32" t="s">
        <v>2386</v>
      </c>
      <c r="I335" s="36" t="s">
        <v>2387</v>
      </c>
      <c r="J335" s="52" t="s">
        <v>2388</v>
      </c>
      <c r="K335" s="32" t="s">
        <v>84</v>
      </c>
      <c r="L335" s="32" t="s">
        <v>2389</v>
      </c>
      <c r="M335" s="32" t="s">
        <v>285</v>
      </c>
      <c r="N335" s="33">
        <v>10</v>
      </c>
      <c r="O335" s="35">
        <v>45856</v>
      </c>
      <c r="P335" s="35">
        <v>45861</v>
      </c>
      <c r="Q335" s="37"/>
      <c r="R335" s="38"/>
      <c r="S335" s="33"/>
      <c r="T335" s="39">
        <v>375000</v>
      </c>
      <c r="U335" s="40" t="s">
        <v>115</v>
      </c>
      <c r="V335" s="41"/>
      <c r="W335" s="42" t="str">
        <f ca="1">IFERROR(__xludf.DUMMYFUNCTION("""COMPUTED_VALUE"""),"Ibi waterproofing")</f>
        <v>Ibi waterproofing</v>
      </c>
      <c r="X335" s="42" t="str">
        <f ca="1"/>
        <v>ON-Ibi waterproofing-00011900+10-6281317170441</v>
      </c>
      <c r="Y335" s="40" t="s">
        <v>293</v>
      </c>
      <c r="Z335" s="40" t="s">
        <v>1057</v>
      </c>
      <c r="AA335" s="23" t="str">
        <v>https://wa.me/6281317170441</v>
      </c>
      <c r="AB335" s="28" t="s">
        <v>2390</v>
      </c>
      <c r="AC335" s="28"/>
      <c r="AD335" s="28"/>
      <c r="AE335" s="28"/>
      <c r="AF335" s="29"/>
      <c r="AG335" s="29"/>
    </row>
    <row r="336" spans="1:33" ht="15.75" customHeight="1">
      <c r="A336" s="32" t="s">
        <v>196</v>
      </c>
      <c r="B336" s="33">
        <v>338</v>
      </c>
      <c r="C336" s="34" t="s">
        <v>2375</v>
      </c>
      <c r="D336" s="35">
        <v>46025</v>
      </c>
      <c r="E336" s="35">
        <v>45848</v>
      </c>
      <c r="F336" s="32" t="s">
        <v>2391</v>
      </c>
      <c r="G336" s="32" t="s">
        <v>2392</v>
      </c>
      <c r="H336" s="32" t="s">
        <v>2393</v>
      </c>
      <c r="I336" s="36" t="s">
        <v>2394</v>
      </c>
      <c r="J336" s="52"/>
      <c r="K336" s="32" t="s">
        <v>2395</v>
      </c>
      <c r="L336" s="32" t="s">
        <v>85</v>
      </c>
      <c r="M336" s="32" t="s">
        <v>60</v>
      </c>
      <c r="N336" s="33">
        <v>5</v>
      </c>
      <c r="O336" s="35"/>
      <c r="P336" s="35"/>
      <c r="Q336" s="37"/>
      <c r="R336" s="38">
        <v>-1003470351325</v>
      </c>
      <c r="S336" s="33"/>
      <c r="T336" s="39">
        <v>197000</v>
      </c>
      <c r="U336" s="40" t="s">
        <v>61</v>
      </c>
      <c r="V336" s="47">
        <v>46025.829560520833</v>
      </c>
      <c r="W336" s="42" t="str">
        <f ca="1">IFERROR(__xludf.DUMMYFUNCTION("""COMPUTED_VALUE"""),"Bengkel Las")</f>
        <v>Bengkel Las</v>
      </c>
      <c r="X336" s="42" t="str">
        <f ca="1"/>
        <v>ON-Bengkel Las-03012026+5-6288274090631</v>
      </c>
      <c r="Y336" s="40" t="s">
        <v>293</v>
      </c>
      <c r="Z336" s="40" t="s">
        <v>1057</v>
      </c>
      <c r="AA336" s="23" t="str">
        <v>https://wa.me/6288274090631</v>
      </c>
      <c r="AB336" s="28"/>
      <c r="AC336" s="28"/>
      <c r="AD336" s="28" t="s">
        <v>690</v>
      </c>
      <c r="AE336" s="28"/>
      <c r="AF336" s="29"/>
      <c r="AG336" s="29"/>
    </row>
    <row r="337" spans="1:33" ht="15.75" customHeight="1">
      <c r="A337" s="32" t="s">
        <v>196</v>
      </c>
      <c r="B337" s="33">
        <v>339</v>
      </c>
      <c r="C337" s="34" t="s">
        <v>2396</v>
      </c>
      <c r="D337" s="35">
        <v>45853.540930115742</v>
      </c>
      <c r="E337" s="35">
        <v>45853</v>
      </c>
      <c r="F337" s="32" t="s">
        <v>2397</v>
      </c>
      <c r="G337" s="32" t="s">
        <v>2398</v>
      </c>
      <c r="H337" s="32" t="s">
        <v>2399</v>
      </c>
      <c r="I337" s="36" t="s">
        <v>2400</v>
      </c>
      <c r="J337" s="52"/>
      <c r="K337" s="32" t="s">
        <v>2401</v>
      </c>
      <c r="L337" s="32" t="s">
        <v>2402</v>
      </c>
      <c r="M337" s="32" t="s">
        <v>48</v>
      </c>
      <c r="N337" s="33">
        <v>10</v>
      </c>
      <c r="O337" s="35"/>
      <c r="P337" s="35"/>
      <c r="Q337" s="37"/>
      <c r="R337" s="38"/>
      <c r="S337" s="33"/>
      <c r="T337" s="39">
        <v>375000</v>
      </c>
      <c r="U337" s="40" t="s">
        <v>1774</v>
      </c>
      <c r="V337" s="41"/>
      <c r="W337" s="42" t="str">
        <f ca="1">IFERROR(__xludf.DUMMYFUNCTION("""COMPUTED_VALUE"""),"Sumatra Jungle")</f>
        <v>Sumatra Jungle</v>
      </c>
      <c r="X337" s="42" t="str">
        <f ca="1"/>
        <v>ON-Sumatra Jungle-00011900+10-6283870060603</v>
      </c>
      <c r="Y337" s="40" t="s">
        <v>62</v>
      </c>
      <c r="Z337" s="40" t="s">
        <v>1880</v>
      </c>
      <c r="AA337" s="23" t="str">
        <v>https://wa.me/6283870060603</v>
      </c>
      <c r="AB337" s="28" t="s">
        <v>2403</v>
      </c>
      <c r="AC337" s="28"/>
      <c r="AD337" s="28" t="s">
        <v>690</v>
      </c>
      <c r="AE337" s="28"/>
      <c r="AF337" s="29"/>
      <c r="AG337" s="29"/>
    </row>
    <row r="338" spans="1:33" ht="15.75" customHeight="1">
      <c r="A338" s="32" t="s">
        <v>196</v>
      </c>
      <c r="B338" s="33">
        <v>340</v>
      </c>
      <c r="C338" s="34" t="s">
        <v>2404</v>
      </c>
      <c r="D338" s="35">
        <v>45853.566298171296</v>
      </c>
      <c r="E338" s="35">
        <v>45853</v>
      </c>
      <c r="F338" s="32" t="s">
        <v>2405</v>
      </c>
      <c r="G338" s="32" t="s">
        <v>2406</v>
      </c>
      <c r="H338" s="32" t="s">
        <v>66</v>
      </c>
      <c r="I338" s="36" t="s">
        <v>2407</v>
      </c>
      <c r="J338" s="52"/>
      <c r="K338" s="32" t="s">
        <v>46</v>
      </c>
      <c r="L338" s="32" t="s">
        <v>2408</v>
      </c>
      <c r="M338" s="32" t="s">
        <v>60</v>
      </c>
      <c r="N338" s="33">
        <v>5</v>
      </c>
      <c r="O338" s="35"/>
      <c r="P338" s="35"/>
      <c r="Q338" s="37"/>
      <c r="R338" s="38"/>
      <c r="S338" s="33"/>
      <c r="T338" s="39">
        <v>197000</v>
      </c>
      <c r="U338" s="40" t="s">
        <v>61</v>
      </c>
      <c r="V338" s="41"/>
      <c r="W338" s="42" t="str">
        <f ca="1">IFERROR(__xludf.DUMMYFUNCTION("""COMPUTED_VALUE"""),"Superman Interior")</f>
        <v>Superman Interior</v>
      </c>
      <c r="X338" s="42" t="str">
        <f ca="1"/>
        <v>ON-Superman Interior-00011900+5-62881038177010</v>
      </c>
      <c r="Y338" s="40" t="s">
        <v>293</v>
      </c>
      <c r="Z338" s="40" t="s">
        <v>1057</v>
      </c>
      <c r="AA338" s="23" t="str">
        <v>https://wa.me/62881038177010</v>
      </c>
      <c r="AB338" s="28" t="s">
        <v>2409</v>
      </c>
      <c r="AC338" s="28"/>
      <c r="AD338" s="28" t="s">
        <v>690</v>
      </c>
      <c r="AE338" s="28"/>
      <c r="AF338" s="29"/>
      <c r="AG338" s="29"/>
    </row>
    <row r="339" spans="1:33" ht="15.75" customHeight="1">
      <c r="A339" s="32" t="s">
        <v>196</v>
      </c>
      <c r="B339" s="33">
        <v>341</v>
      </c>
      <c r="C339" s="34" t="s">
        <v>2410</v>
      </c>
      <c r="D339" s="35">
        <v>45853.68885486111</v>
      </c>
      <c r="E339" s="35">
        <v>45849</v>
      </c>
      <c r="F339" s="32" t="s">
        <v>2411</v>
      </c>
      <c r="G339" s="32" t="s">
        <v>2412</v>
      </c>
      <c r="H339" s="32" t="s">
        <v>2413</v>
      </c>
      <c r="I339" s="36" t="s">
        <v>2414</v>
      </c>
      <c r="J339" s="52"/>
      <c r="K339" s="32" t="s">
        <v>2415</v>
      </c>
      <c r="L339" s="32" t="s">
        <v>2416</v>
      </c>
      <c r="M339" s="32" t="s">
        <v>60</v>
      </c>
      <c r="N339" s="33">
        <v>5</v>
      </c>
      <c r="O339" s="35"/>
      <c r="P339" s="35"/>
      <c r="Q339" s="37"/>
      <c r="R339" s="38"/>
      <c r="S339" s="33"/>
      <c r="T339" s="39">
        <v>197000</v>
      </c>
      <c r="U339" s="40" t="s">
        <v>61</v>
      </c>
      <c r="V339" s="41"/>
      <c r="W339" s="42" t="str">
        <f ca="1">IFERROR(__xludf.DUMMYFUNCTION("""COMPUTED_VALUE"""),"Terapi Bekam")</f>
        <v>Terapi Bekam</v>
      </c>
      <c r="X339" s="42" t="str">
        <f ca="1"/>
        <v>ON-Terapi Bekam-00011900+5-6282307376695</v>
      </c>
      <c r="Y339" s="40" t="s">
        <v>62</v>
      </c>
      <c r="Z339" s="40" t="s">
        <v>639</v>
      </c>
      <c r="AA339" s="23" t="str">
        <v>https://wa.me/6282307376695</v>
      </c>
      <c r="AB339" s="28" t="s">
        <v>2417</v>
      </c>
      <c r="AC339" s="28"/>
      <c r="AD339" s="28" t="s">
        <v>690</v>
      </c>
      <c r="AE339" s="28"/>
      <c r="AF339" s="29"/>
      <c r="AG339" s="29"/>
    </row>
    <row r="340" spans="1:33" ht="15.75" customHeight="1">
      <c r="A340" s="32" t="s">
        <v>196</v>
      </c>
      <c r="B340" s="33">
        <v>342</v>
      </c>
      <c r="C340" s="34" t="s">
        <v>2418</v>
      </c>
      <c r="D340" s="35">
        <v>45853.796424143518</v>
      </c>
      <c r="E340" s="35">
        <v>45853</v>
      </c>
      <c r="F340" s="32" t="s">
        <v>2419</v>
      </c>
      <c r="G340" s="32" t="s">
        <v>2420</v>
      </c>
      <c r="H340" s="32" t="s">
        <v>1711</v>
      </c>
      <c r="I340" s="36" t="s">
        <v>2421</v>
      </c>
      <c r="J340" s="52"/>
      <c r="K340" s="32" t="s">
        <v>2422</v>
      </c>
      <c r="L340" s="32" t="s">
        <v>2423</v>
      </c>
      <c r="M340" s="32" t="s">
        <v>2424</v>
      </c>
      <c r="N340" s="33">
        <v>5</v>
      </c>
      <c r="O340" s="35">
        <v>45856</v>
      </c>
      <c r="P340" s="35">
        <v>45861</v>
      </c>
      <c r="Q340" s="37"/>
      <c r="R340" s="38"/>
      <c r="S340" s="33"/>
      <c r="T340" s="39">
        <v>197000</v>
      </c>
      <c r="U340" s="40" t="s">
        <v>1774</v>
      </c>
      <c r="V340" s="41"/>
      <c r="W340" s="42" t="str">
        <f ca="1">IFERROR(__xludf.DUMMYFUNCTION("""COMPUTED_VALUE"""),"Pelatihan Bekam")</f>
        <v>Pelatihan Bekam</v>
      </c>
      <c r="X340" s="42" t="str">
        <f ca="1"/>
        <v>ON-Pelatihan Bekam-00011900+5-6283865096870</v>
      </c>
      <c r="Y340" s="40" t="s">
        <v>62</v>
      </c>
      <c r="Z340" s="40" t="s">
        <v>639</v>
      </c>
      <c r="AA340" s="23" t="str">
        <v>https://wa.me/6283865096870</v>
      </c>
      <c r="AB340" s="28" t="s">
        <v>2425</v>
      </c>
      <c r="AC340" s="28"/>
      <c r="AD340" s="28" t="s">
        <v>690</v>
      </c>
      <c r="AE340" s="28"/>
      <c r="AF340" s="29"/>
      <c r="AG340" s="29"/>
    </row>
    <row r="341" spans="1:33" ht="15.75" customHeight="1">
      <c r="A341" s="32" t="s">
        <v>52</v>
      </c>
      <c r="B341" s="33">
        <v>343</v>
      </c>
      <c r="C341" s="34" t="s">
        <v>2426</v>
      </c>
      <c r="D341" s="35">
        <v>45853.856113263886</v>
      </c>
      <c r="E341" s="35">
        <v>45853.856113263886</v>
      </c>
      <c r="F341" s="32" t="s">
        <v>2427</v>
      </c>
      <c r="G341" s="32" t="s">
        <v>2428</v>
      </c>
      <c r="H341" s="32" t="s">
        <v>2429</v>
      </c>
      <c r="I341" s="36" t="s">
        <v>2430</v>
      </c>
      <c r="J341" s="52"/>
      <c r="K341" s="32" t="s">
        <v>2431</v>
      </c>
      <c r="L341" s="32" t="s">
        <v>2432</v>
      </c>
      <c r="M341" s="32" t="s">
        <v>1534</v>
      </c>
      <c r="N341" s="33">
        <v>7</v>
      </c>
      <c r="O341" s="35"/>
      <c r="P341" s="35"/>
      <c r="Q341" s="37"/>
      <c r="R341" s="38"/>
      <c r="S341" s="33"/>
      <c r="T341" s="39">
        <v>224000</v>
      </c>
      <c r="U341" s="40" t="s">
        <v>49</v>
      </c>
      <c r="V341" s="41"/>
      <c r="W341" s="42" t="str">
        <f ca="1">IFERROR(__xludf.DUMMYFUNCTION("""COMPUTED_VALUE"""),"Lanang Tunggal")</f>
        <v>Lanang Tunggal</v>
      </c>
      <c r="X341" s="42" t="str">
        <f ca="1"/>
        <v>ON-Lanang Tunggal-00011900+7-62882001677470</v>
      </c>
      <c r="Y341" s="40"/>
      <c r="Z341" s="40"/>
      <c r="AA341" s="23" t="str">
        <v>https://wa.me/62882001677470</v>
      </c>
      <c r="AB341" s="28"/>
      <c r="AC341" s="28"/>
      <c r="AD341" s="28"/>
      <c r="AE341" s="28"/>
      <c r="AF341" s="29"/>
      <c r="AG341" s="29"/>
    </row>
    <row r="342" spans="1:33" ht="15.75" customHeight="1">
      <c r="A342" s="32" t="s">
        <v>196</v>
      </c>
      <c r="B342" s="33">
        <v>344</v>
      </c>
      <c r="C342" s="34" t="s">
        <v>2433</v>
      </c>
      <c r="D342" s="35">
        <v>45854.216743472221</v>
      </c>
      <c r="E342" s="35">
        <v>45853</v>
      </c>
      <c r="F342" s="32" t="s">
        <v>2434</v>
      </c>
      <c r="G342" s="32" t="s">
        <v>2435</v>
      </c>
      <c r="H342" s="32" t="s">
        <v>2436</v>
      </c>
      <c r="I342" s="36" t="s">
        <v>2437</v>
      </c>
      <c r="J342" s="52" t="s">
        <v>2438</v>
      </c>
      <c r="K342" s="32" t="s">
        <v>2439</v>
      </c>
      <c r="L342" s="32" t="s">
        <v>85</v>
      </c>
      <c r="M342" s="32" t="s">
        <v>60</v>
      </c>
      <c r="N342" s="33">
        <v>5</v>
      </c>
      <c r="O342" s="35"/>
      <c r="P342" s="35"/>
      <c r="Q342" s="37"/>
      <c r="R342" s="38"/>
      <c r="S342" s="33"/>
      <c r="T342" s="39">
        <v>197000</v>
      </c>
      <c r="U342" s="40" t="s">
        <v>61</v>
      </c>
      <c r="V342" s="41"/>
      <c r="W342" s="42" t="str">
        <f ca="1">IFERROR(__xludf.DUMMYFUNCTION("""COMPUTED_VALUE"""),"Manunggal Jaya")</f>
        <v>Manunggal Jaya</v>
      </c>
      <c r="X342" s="42" t="str">
        <f ca="1"/>
        <v>ON-Manunggal Jaya-00011900+5-6285716210341</v>
      </c>
      <c r="Y342" s="40" t="s">
        <v>293</v>
      </c>
      <c r="Z342" s="40" t="s">
        <v>277</v>
      </c>
      <c r="AA342" s="23" t="str">
        <v>https://wa.me/6285716210341</v>
      </c>
      <c r="AB342" s="28" t="s">
        <v>2440</v>
      </c>
      <c r="AC342" s="28"/>
      <c r="AD342" s="28" t="s">
        <v>690</v>
      </c>
      <c r="AE342" s="28"/>
      <c r="AF342" s="29"/>
      <c r="AG342" s="29"/>
    </row>
    <row r="343" spans="1:33" ht="15.75" customHeight="1">
      <c r="A343" s="32" t="s">
        <v>196</v>
      </c>
      <c r="B343" s="33">
        <v>345</v>
      </c>
      <c r="C343" s="34" t="s">
        <v>2441</v>
      </c>
      <c r="D343" s="35">
        <v>45854.220796898153</v>
      </c>
      <c r="E343" s="35">
        <v>45853</v>
      </c>
      <c r="F343" s="32" t="s">
        <v>2442</v>
      </c>
      <c r="G343" s="32" t="s">
        <v>2443</v>
      </c>
      <c r="H343" s="32" t="s">
        <v>298</v>
      </c>
      <c r="I343" s="36" t="s">
        <v>2444</v>
      </c>
      <c r="J343" s="52" t="s">
        <v>2445</v>
      </c>
      <c r="K343" s="32" t="s">
        <v>1781</v>
      </c>
      <c r="L343" s="32" t="s">
        <v>85</v>
      </c>
      <c r="M343" s="32" t="s">
        <v>60</v>
      </c>
      <c r="N343" s="33">
        <v>5</v>
      </c>
      <c r="O343" s="35">
        <v>45857</v>
      </c>
      <c r="P343" s="35">
        <v>45862</v>
      </c>
      <c r="Q343" s="37"/>
      <c r="R343" s="38"/>
      <c r="S343" s="33"/>
      <c r="T343" s="39">
        <v>197000</v>
      </c>
      <c r="U343" s="40" t="s">
        <v>61</v>
      </c>
      <c r="V343" s="41"/>
      <c r="W343" s="42" t="str">
        <f ca="1">IFERROR(__xludf.DUMMYFUNCTION("""COMPUTED_VALUE"""),"Interior Termurah")</f>
        <v>Interior Termurah</v>
      </c>
      <c r="X343" s="42" t="str">
        <f ca="1"/>
        <v>ON-Interior Termurah-00011900+5-6287878863000</v>
      </c>
      <c r="Y343" s="40" t="s">
        <v>293</v>
      </c>
      <c r="Z343" s="40" t="s">
        <v>1057</v>
      </c>
      <c r="AA343" s="23" t="str">
        <v>https://wa.me/6287878863000</v>
      </c>
      <c r="AB343" s="28" t="s">
        <v>2446</v>
      </c>
      <c r="AC343" s="28"/>
      <c r="AD343" s="28" t="s">
        <v>690</v>
      </c>
      <c r="AE343" s="28"/>
      <c r="AF343" s="29"/>
      <c r="AG343" s="29"/>
    </row>
    <row r="344" spans="1:33" ht="15.75" customHeight="1">
      <c r="A344" s="32" t="s">
        <v>196</v>
      </c>
      <c r="B344" s="33">
        <v>346</v>
      </c>
      <c r="C344" s="34" t="s">
        <v>2447</v>
      </c>
      <c r="D344" s="35">
        <v>45854.23071502315</v>
      </c>
      <c r="E344" s="35">
        <v>45853</v>
      </c>
      <c r="F344" s="32" t="s">
        <v>2448</v>
      </c>
      <c r="G344" s="32" t="s">
        <v>2449</v>
      </c>
      <c r="H344" s="32" t="s">
        <v>2248</v>
      </c>
      <c r="I344" s="36" t="s">
        <v>2450</v>
      </c>
      <c r="J344" s="52" t="s">
        <v>2451</v>
      </c>
      <c r="K344" s="32" t="s">
        <v>2452</v>
      </c>
      <c r="L344" s="32" t="s">
        <v>1575</v>
      </c>
      <c r="M344" s="32" t="s">
        <v>60</v>
      </c>
      <c r="N344" s="33">
        <v>5</v>
      </c>
      <c r="O344" s="35"/>
      <c r="P344" s="35"/>
      <c r="Q344" s="37"/>
      <c r="R344" s="38"/>
      <c r="S344" s="33"/>
      <c r="T344" s="39">
        <v>197000</v>
      </c>
      <c r="U344" s="40" t="s">
        <v>61</v>
      </c>
      <c r="V344" s="41"/>
      <c r="W344" s="42" t="str">
        <f ca="1">IFERROR(__xludf.DUMMYFUNCTION("""COMPUTED_VALUE"""),"Marros Tour")</f>
        <v>Marros Tour</v>
      </c>
      <c r="X344" s="42" t="str">
        <f ca="1"/>
        <v>ON-Marros Tour-00011900+5-6281223055720</v>
      </c>
      <c r="Y344" s="40" t="s">
        <v>62</v>
      </c>
      <c r="Z344" s="40" t="s">
        <v>1880</v>
      </c>
      <c r="AA344" s="23" t="str">
        <v>https://wa.me/6281223055720</v>
      </c>
      <c r="AB344" s="28" t="s">
        <v>2453</v>
      </c>
      <c r="AC344" s="28"/>
      <c r="AD344" s="28" t="s">
        <v>690</v>
      </c>
      <c r="AE344" s="28"/>
      <c r="AF344" s="29"/>
      <c r="AG344" s="29"/>
    </row>
    <row r="345" spans="1:33" ht="15.75" customHeight="1">
      <c r="A345" s="32" t="s">
        <v>196</v>
      </c>
      <c r="B345" s="33">
        <v>348</v>
      </c>
      <c r="C345" s="34" t="s">
        <v>2454</v>
      </c>
      <c r="D345" s="35">
        <v>45854.239927592593</v>
      </c>
      <c r="E345" s="35">
        <v>45853</v>
      </c>
      <c r="F345" s="32" t="s">
        <v>2455</v>
      </c>
      <c r="G345" s="32" t="s">
        <v>2456</v>
      </c>
      <c r="H345" s="32" t="s">
        <v>2457</v>
      </c>
      <c r="I345" s="36" t="s">
        <v>2458</v>
      </c>
      <c r="J345" s="52"/>
      <c r="K345" s="32" t="s">
        <v>2459</v>
      </c>
      <c r="L345" s="32" t="s">
        <v>2432</v>
      </c>
      <c r="M345" s="32" t="s">
        <v>60</v>
      </c>
      <c r="N345" s="33">
        <v>5</v>
      </c>
      <c r="O345" s="35"/>
      <c r="P345" s="35"/>
      <c r="Q345" s="37"/>
      <c r="R345" s="38"/>
      <c r="S345" s="33"/>
      <c r="T345" s="39">
        <v>197000</v>
      </c>
      <c r="U345" s="40" t="s">
        <v>61</v>
      </c>
      <c r="V345" s="41"/>
      <c r="W345" s="42" t="str">
        <f ca="1">IFERROR(__xludf.DUMMYFUNCTION("""COMPUTED_VALUE"""),"APRILIA GYPSUM")</f>
        <v>APRILIA GYPSUM</v>
      </c>
      <c r="X345" s="42" t="str">
        <f ca="1"/>
        <v>ON-APRILIA GYPSUM-00011900+5-6281230288300</v>
      </c>
      <c r="Y345" s="40" t="s">
        <v>293</v>
      </c>
      <c r="Z345" s="40" t="s">
        <v>1057</v>
      </c>
      <c r="AA345" s="23" t="str">
        <v>https://wa.me/6281230288300</v>
      </c>
      <c r="AB345" s="28" t="s">
        <v>2460</v>
      </c>
      <c r="AC345" s="28"/>
      <c r="AD345" s="28" t="s">
        <v>690</v>
      </c>
      <c r="AE345" s="28"/>
      <c r="AF345" s="29"/>
      <c r="AG345" s="29"/>
    </row>
    <row r="346" spans="1:33" ht="15.75" customHeight="1">
      <c r="A346" s="32" t="s">
        <v>196</v>
      </c>
      <c r="B346" s="33">
        <v>349</v>
      </c>
      <c r="C346" s="34" t="s">
        <v>2461</v>
      </c>
      <c r="D346" s="35">
        <v>45854.24081831018</v>
      </c>
      <c r="E346" s="35">
        <v>45853</v>
      </c>
      <c r="F346" s="32" t="s">
        <v>2462</v>
      </c>
      <c r="G346" s="32" t="s">
        <v>2463</v>
      </c>
      <c r="H346" s="32" t="s">
        <v>2464</v>
      </c>
      <c r="I346" s="36" t="s">
        <v>2465</v>
      </c>
      <c r="J346" s="52" t="s">
        <v>2466</v>
      </c>
      <c r="K346" s="32" t="s">
        <v>2467</v>
      </c>
      <c r="L346" s="32" t="s">
        <v>2468</v>
      </c>
      <c r="M346" s="32" t="s">
        <v>60</v>
      </c>
      <c r="N346" s="33">
        <v>5</v>
      </c>
      <c r="O346" s="35"/>
      <c r="P346" s="35"/>
      <c r="Q346" s="37"/>
      <c r="R346" s="38"/>
      <c r="S346" s="33"/>
      <c r="T346" s="39">
        <v>197000</v>
      </c>
      <c r="U346" s="40" t="s">
        <v>61</v>
      </c>
      <c r="V346" s="41"/>
      <c r="W346" s="42" t="str">
        <f ca="1">IFERROR(__xludf.DUMMYFUNCTION("""COMPUTED_VALUE"""),"Wedding Organizer")</f>
        <v>Wedding Organizer</v>
      </c>
      <c r="X346" s="42" t="str">
        <f ca="1"/>
        <v>ON-Wedding Organizer-00011900+5-628563562851</v>
      </c>
      <c r="Y346" s="40" t="s">
        <v>62</v>
      </c>
      <c r="Z346" s="40" t="s">
        <v>1465</v>
      </c>
      <c r="AA346" s="23" t="str">
        <v>https://wa.me/628563562851</v>
      </c>
      <c r="AB346" s="28" t="s">
        <v>2469</v>
      </c>
      <c r="AC346" s="28"/>
      <c r="AD346" s="28" t="s">
        <v>690</v>
      </c>
      <c r="AE346" s="28"/>
      <c r="AF346" s="29"/>
      <c r="AG346" s="29"/>
    </row>
    <row r="347" spans="1:33" ht="15.75" customHeight="1">
      <c r="A347" s="32" t="s">
        <v>196</v>
      </c>
      <c r="B347" s="33">
        <v>350</v>
      </c>
      <c r="C347" s="34" t="s">
        <v>2470</v>
      </c>
      <c r="D347" s="35">
        <v>45854.245276203699</v>
      </c>
      <c r="E347" s="35">
        <v>45853</v>
      </c>
      <c r="F347" s="32" t="s">
        <v>2471</v>
      </c>
      <c r="G347" s="32" t="s">
        <v>1277</v>
      </c>
      <c r="H347" s="32" t="s">
        <v>2472</v>
      </c>
      <c r="I347" s="36" t="s">
        <v>1279</v>
      </c>
      <c r="J347" s="52" t="s">
        <v>2473</v>
      </c>
      <c r="K347" s="32" t="s">
        <v>2474</v>
      </c>
      <c r="L347" s="32" t="s">
        <v>2475</v>
      </c>
      <c r="M347" s="32" t="s">
        <v>38</v>
      </c>
      <c r="N347" s="33">
        <v>7</v>
      </c>
      <c r="O347" s="35"/>
      <c r="P347" s="35"/>
      <c r="Q347" s="37"/>
      <c r="R347" s="38"/>
      <c r="S347" s="33"/>
      <c r="T347" s="39">
        <v>297000</v>
      </c>
      <c r="U347" s="40" t="s">
        <v>61</v>
      </c>
      <c r="V347" s="41"/>
      <c r="W347" s="42" t="str">
        <f ca="1">IFERROR(__xludf.DUMMYFUNCTION("""COMPUTED_VALUE"""),"LITNASALON")</f>
        <v>LITNASALON</v>
      </c>
      <c r="X347" s="42" t="str">
        <f ca="1"/>
        <v>ON-LITNASALON-00011900+7-6281269441611</v>
      </c>
      <c r="Y347" s="40" t="s">
        <v>50</v>
      </c>
      <c r="Z347" s="40" t="s">
        <v>327</v>
      </c>
      <c r="AA347" s="23" t="str">
        <v>https://wa.me/6281269441611</v>
      </c>
      <c r="AB347" s="28" t="s">
        <v>2476</v>
      </c>
      <c r="AC347" s="28"/>
      <c r="AD347" s="28" t="s">
        <v>690</v>
      </c>
      <c r="AE347" s="28"/>
      <c r="AF347" s="29"/>
      <c r="AG347" s="29"/>
    </row>
    <row r="348" spans="1:33" ht="15.75" customHeight="1">
      <c r="A348" s="32" t="s">
        <v>52</v>
      </c>
      <c r="B348" s="33">
        <v>351</v>
      </c>
      <c r="C348" s="34" t="s">
        <v>2477</v>
      </c>
      <c r="D348" s="35">
        <v>45854.327800636573</v>
      </c>
      <c r="E348" s="35">
        <v>45854</v>
      </c>
      <c r="F348" s="32" t="s">
        <v>969</v>
      </c>
      <c r="G348" s="32" t="s">
        <v>970</v>
      </c>
      <c r="H348" s="32" t="s">
        <v>971</v>
      </c>
      <c r="I348" s="36" t="s">
        <v>972</v>
      </c>
      <c r="J348" s="52"/>
      <c r="K348" s="32" t="s">
        <v>973</v>
      </c>
      <c r="L348" s="32" t="s">
        <v>974</v>
      </c>
      <c r="M348" s="32" t="s">
        <v>60</v>
      </c>
      <c r="N348" s="33">
        <v>5</v>
      </c>
      <c r="O348" s="35"/>
      <c r="P348" s="35"/>
      <c r="Q348" s="37"/>
      <c r="R348" s="38"/>
      <c r="S348" s="33"/>
      <c r="T348" s="39">
        <v>197000</v>
      </c>
      <c r="U348" s="40" t="s">
        <v>61</v>
      </c>
      <c r="V348" s="41"/>
      <c r="W348" s="42" t="str">
        <f ca="1">IFERROR(__xludf.DUMMYFUNCTION("""COMPUTED_VALUE"""),"Ragil Mapan")</f>
        <v>Ragil Mapan</v>
      </c>
      <c r="X348" s="42" t="str">
        <f ca="1"/>
        <v>ON-Ragil Mapan-00011900+5-6282230035858</v>
      </c>
      <c r="Y348" s="40"/>
      <c r="Z348" s="40"/>
      <c r="AA348" s="23" t="str">
        <v>https://wa.me/6282230035858</v>
      </c>
      <c r="AB348" s="28"/>
      <c r="AC348" s="28"/>
      <c r="AD348" s="28"/>
      <c r="AE348" s="28"/>
      <c r="AF348" s="29"/>
      <c r="AG348" s="29"/>
    </row>
    <row r="349" spans="1:33" ht="15.75" customHeight="1">
      <c r="A349" s="32" t="s">
        <v>52</v>
      </c>
      <c r="B349" s="33">
        <v>351</v>
      </c>
      <c r="C349" s="34" t="s">
        <v>2477</v>
      </c>
      <c r="D349" s="35">
        <v>45854.473904756946</v>
      </c>
      <c r="E349" s="35">
        <v>45854</v>
      </c>
      <c r="F349" s="32" t="s">
        <v>1751</v>
      </c>
      <c r="G349" s="32" t="s">
        <v>1752</v>
      </c>
      <c r="H349" s="32" t="s">
        <v>1753</v>
      </c>
      <c r="I349" s="36" t="s">
        <v>1754</v>
      </c>
      <c r="J349" s="52"/>
      <c r="K349" s="32" t="s">
        <v>1755</v>
      </c>
      <c r="L349" s="32" t="s">
        <v>1542</v>
      </c>
      <c r="M349" s="32" t="s">
        <v>60</v>
      </c>
      <c r="N349" s="33">
        <v>5</v>
      </c>
      <c r="O349" s="35"/>
      <c r="P349" s="35"/>
      <c r="Q349" s="37"/>
      <c r="R349" s="38"/>
      <c r="S349" s="33"/>
      <c r="T349" s="39">
        <v>197000</v>
      </c>
      <c r="U349" s="40" t="s">
        <v>61</v>
      </c>
      <c r="V349" s="41"/>
      <c r="W349" s="42" t="str">
        <f ca="1">IFERROR(__xludf.DUMMYFUNCTION("""COMPUTED_VALUE"""),"Rumah Terapi")</f>
        <v>Rumah Terapi</v>
      </c>
      <c r="X349" s="42" t="str">
        <f ca="1"/>
        <v>ON-Rumah Terapi-00011900+5-6281779578317</v>
      </c>
      <c r="Y349" s="40"/>
      <c r="Z349" s="40"/>
      <c r="AA349" s="23" t="str">
        <v>https://wa.me/6281779578317</v>
      </c>
      <c r="AB349" s="28"/>
      <c r="AC349" s="28"/>
      <c r="AD349" s="28"/>
      <c r="AE349" s="28"/>
      <c r="AF349" s="29"/>
      <c r="AG349" s="29"/>
    </row>
    <row r="350" spans="1:33" ht="15.75" customHeight="1">
      <c r="A350" s="32" t="s">
        <v>196</v>
      </c>
      <c r="B350" s="33">
        <v>353</v>
      </c>
      <c r="C350" s="34" t="s">
        <v>2478</v>
      </c>
      <c r="D350" s="56">
        <v>46149</v>
      </c>
      <c r="E350" s="35">
        <v>45854</v>
      </c>
      <c r="F350" s="32" t="s">
        <v>2479</v>
      </c>
      <c r="G350" s="32" t="s">
        <v>2480</v>
      </c>
      <c r="H350" s="32" t="s">
        <v>2481</v>
      </c>
      <c r="I350" s="36" t="s">
        <v>2482</v>
      </c>
      <c r="J350" s="52"/>
      <c r="K350" s="32" t="s">
        <v>2483</v>
      </c>
      <c r="L350" s="32" t="s">
        <v>1628</v>
      </c>
      <c r="M350" s="32" t="s">
        <v>60</v>
      </c>
      <c r="N350" s="33">
        <v>10</v>
      </c>
      <c r="O350" s="35"/>
      <c r="P350" s="35"/>
      <c r="Q350" s="37"/>
      <c r="R350" s="38">
        <v>-1003470351325</v>
      </c>
      <c r="S350" s="33"/>
      <c r="T350" s="39">
        <v>375000</v>
      </c>
      <c r="U350" s="40" t="s">
        <v>115</v>
      </c>
      <c r="V350" s="47">
        <v>46072.256916261569</v>
      </c>
      <c r="W350" s="42" t="str">
        <f ca="1">IFERROR(__xludf.DUMMYFUNCTION("""COMPUTED_VALUE"""),"AURIGA KONTRAKTOR")</f>
        <v>AURIGA KONTRAKTOR</v>
      </c>
      <c r="X350" s="42" t="str">
        <f ca="1"/>
        <v>ON-AURIGA KONTRAKTOR-19022026+10-6287856230745</v>
      </c>
      <c r="Y350" s="40" t="s">
        <v>293</v>
      </c>
      <c r="Z350" s="40" t="s">
        <v>1057</v>
      </c>
      <c r="AA350" s="23" t="str">
        <v>https://wa.me/6287856230745</v>
      </c>
      <c r="AB350" s="28" t="s">
        <v>2484</v>
      </c>
      <c r="AC350" s="28"/>
      <c r="AD350" s="28" t="s">
        <v>690</v>
      </c>
      <c r="AE350" s="28"/>
      <c r="AF350" s="29"/>
      <c r="AG350" s="29"/>
    </row>
    <row r="351" spans="1:33" ht="15.75" customHeight="1">
      <c r="A351" s="32" t="s">
        <v>52</v>
      </c>
      <c r="B351" s="33">
        <v>354</v>
      </c>
      <c r="C351" s="34" t="s">
        <v>2485</v>
      </c>
      <c r="D351" s="35">
        <v>45854.543202233792</v>
      </c>
      <c r="E351" s="35">
        <v>45854</v>
      </c>
      <c r="F351" s="32" t="s">
        <v>934</v>
      </c>
      <c r="G351" s="32" t="s">
        <v>935</v>
      </c>
      <c r="H351" s="32" t="s">
        <v>936</v>
      </c>
      <c r="I351" s="36" t="s">
        <v>937</v>
      </c>
      <c r="J351" s="52" t="s">
        <v>938</v>
      </c>
      <c r="K351" s="32" t="s">
        <v>939</v>
      </c>
      <c r="L351" s="32" t="s">
        <v>940</v>
      </c>
      <c r="M351" s="32" t="s">
        <v>60</v>
      </c>
      <c r="N351" s="33">
        <v>7</v>
      </c>
      <c r="O351" s="35"/>
      <c r="P351" s="35"/>
      <c r="Q351" s="37"/>
      <c r="R351" s="38"/>
      <c r="S351" s="33"/>
      <c r="T351" s="39">
        <v>297000</v>
      </c>
      <c r="U351" s="40" t="s">
        <v>61</v>
      </c>
      <c r="V351" s="41"/>
      <c r="W351" s="42" t="str">
        <f ca="1">IFERROR(__xludf.DUMMYFUNCTION("""COMPUTED_VALUE"""),"Mekar Mulyo")</f>
        <v>Mekar Mulyo</v>
      </c>
      <c r="X351" s="42" t="str">
        <f ca="1"/>
        <v>ON-Mekar Mulyo-00011900+7-6281932590871</v>
      </c>
      <c r="Y351" s="40"/>
      <c r="Z351" s="40"/>
      <c r="AA351" s="23" t="str">
        <v>https://wa.me/6281932590871</v>
      </c>
      <c r="AB351" s="28"/>
      <c r="AC351" s="28"/>
      <c r="AD351" s="28"/>
      <c r="AE351" s="28"/>
      <c r="AF351" s="29"/>
      <c r="AG351" s="29"/>
    </row>
    <row r="352" spans="1:33" ht="15.75" customHeight="1">
      <c r="A352" s="32" t="s">
        <v>52</v>
      </c>
      <c r="B352" s="33">
        <v>355</v>
      </c>
      <c r="C352" s="34" t="s">
        <v>2486</v>
      </c>
      <c r="D352" s="43">
        <v>46049</v>
      </c>
      <c r="E352" s="35">
        <v>45854</v>
      </c>
      <c r="F352" s="32" t="s">
        <v>2487</v>
      </c>
      <c r="G352" s="32" t="s">
        <v>2488</v>
      </c>
      <c r="H352" s="32" t="s">
        <v>879</v>
      </c>
      <c r="I352" s="36" t="s">
        <v>2489</v>
      </c>
      <c r="J352" s="52"/>
      <c r="K352" s="32" t="s">
        <v>2490</v>
      </c>
      <c r="L352" s="32" t="s">
        <v>2491</v>
      </c>
      <c r="M352" s="32" t="s">
        <v>249</v>
      </c>
      <c r="N352" s="33">
        <v>5</v>
      </c>
      <c r="O352" s="35"/>
      <c r="P352" s="35"/>
      <c r="Q352" s="37"/>
      <c r="R352" s="38">
        <v>-1003470351325</v>
      </c>
      <c r="S352" s="33"/>
      <c r="T352" s="39">
        <v>197000</v>
      </c>
      <c r="U352" s="40" t="s">
        <v>1774</v>
      </c>
      <c r="V352" s="47">
        <v>46049.388135636575</v>
      </c>
      <c r="W352" s="42" t="str">
        <f ca="1">IFERROR(__xludf.DUMMYFUNCTION("""COMPUTED_VALUE"""),"Naufal interior")</f>
        <v>Naufal interior</v>
      </c>
      <c r="X352" s="42" t="str">
        <f ca="1"/>
        <v>ON-Naufal interior-27012026+5-6281347321820</v>
      </c>
      <c r="Y352" s="40"/>
      <c r="Z352" s="40"/>
      <c r="AA352" s="23" t="str">
        <v>https://wa.me/6281347321820</v>
      </c>
      <c r="AB352" s="28"/>
      <c r="AC352" s="28"/>
      <c r="AD352" s="28"/>
      <c r="AE352" s="28"/>
      <c r="AF352" s="29"/>
      <c r="AG352" s="29"/>
    </row>
    <row r="353" spans="1:33" ht="15.75" customHeight="1">
      <c r="A353" s="32" t="s">
        <v>52</v>
      </c>
      <c r="B353" s="33">
        <v>356</v>
      </c>
      <c r="C353" s="34" t="s">
        <v>2492</v>
      </c>
      <c r="D353" s="35">
        <v>45854.74051019676</v>
      </c>
      <c r="E353" s="35">
        <v>45854</v>
      </c>
      <c r="F353" s="32" t="s">
        <v>1751</v>
      </c>
      <c r="G353" s="32" t="s">
        <v>1752</v>
      </c>
      <c r="H353" s="32" t="s">
        <v>1753</v>
      </c>
      <c r="I353" s="36" t="s">
        <v>1754</v>
      </c>
      <c r="J353" s="52"/>
      <c r="K353" s="32" t="s">
        <v>1755</v>
      </c>
      <c r="L353" s="32" t="s">
        <v>1542</v>
      </c>
      <c r="M353" s="32" t="s">
        <v>60</v>
      </c>
      <c r="N353" s="33">
        <v>5</v>
      </c>
      <c r="O353" s="35"/>
      <c r="P353" s="35"/>
      <c r="Q353" s="37"/>
      <c r="R353" s="38"/>
      <c r="S353" s="33"/>
      <c r="T353" s="39">
        <v>197000</v>
      </c>
      <c r="U353" s="40" t="s">
        <v>61</v>
      </c>
      <c r="V353" s="41"/>
      <c r="W353" s="42" t="str">
        <f ca="1">IFERROR(__xludf.DUMMYFUNCTION("""COMPUTED_VALUE"""),"Rumah Terapi")</f>
        <v>Rumah Terapi</v>
      </c>
      <c r="X353" s="42" t="str">
        <f ca="1"/>
        <v>ON-Rumah Terapi-00011900+5-6281779578317</v>
      </c>
      <c r="Y353" s="40"/>
      <c r="Z353" s="40"/>
      <c r="AA353" s="23" t="str">
        <v>https://wa.me/6281779578317</v>
      </c>
      <c r="AB353" s="28"/>
      <c r="AC353" s="28"/>
      <c r="AD353" s="28"/>
      <c r="AE353" s="28"/>
      <c r="AF353" s="29"/>
      <c r="AG353" s="29"/>
    </row>
    <row r="354" spans="1:33" ht="15.75" customHeight="1">
      <c r="A354" s="32" t="s">
        <v>52</v>
      </c>
      <c r="B354" s="33">
        <v>357</v>
      </c>
      <c r="C354" s="34" t="s">
        <v>2493</v>
      </c>
      <c r="D354" s="35">
        <v>45854.744298275458</v>
      </c>
      <c r="E354" s="35">
        <v>45854</v>
      </c>
      <c r="F354" s="32" t="s">
        <v>934</v>
      </c>
      <c r="G354" s="32" t="s">
        <v>935</v>
      </c>
      <c r="H354" s="32" t="s">
        <v>936</v>
      </c>
      <c r="I354" s="36" t="s">
        <v>937</v>
      </c>
      <c r="J354" s="52" t="s">
        <v>938</v>
      </c>
      <c r="K354" s="32" t="s">
        <v>939</v>
      </c>
      <c r="L354" s="32" t="s">
        <v>940</v>
      </c>
      <c r="M354" s="32" t="s">
        <v>60</v>
      </c>
      <c r="N354" s="33">
        <v>7</v>
      </c>
      <c r="O354" s="35"/>
      <c r="P354" s="35"/>
      <c r="Q354" s="37"/>
      <c r="R354" s="38"/>
      <c r="S354" s="33"/>
      <c r="T354" s="39">
        <v>297000</v>
      </c>
      <c r="U354" s="40" t="s">
        <v>61</v>
      </c>
      <c r="V354" s="41"/>
      <c r="W354" s="42" t="str">
        <f ca="1">IFERROR(__xludf.DUMMYFUNCTION("""COMPUTED_VALUE"""),"Mekar Mulyo")</f>
        <v>Mekar Mulyo</v>
      </c>
      <c r="X354" s="42" t="str">
        <f ca="1"/>
        <v>ON-Mekar Mulyo-00011900+7-6281932590871</v>
      </c>
      <c r="Y354" s="40"/>
      <c r="Z354" s="40"/>
      <c r="AA354" s="23" t="str">
        <v>https://wa.me/6281932590871</v>
      </c>
      <c r="AB354" s="28"/>
      <c r="AC354" s="28"/>
      <c r="AD354" s="28"/>
      <c r="AE354" s="28"/>
      <c r="AF354" s="29"/>
      <c r="AG354" s="29"/>
    </row>
    <row r="355" spans="1:33" ht="15.75" customHeight="1">
      <c r="A355" s="32" t="s">
        <v>196</v>
      </c>
      <c r="B355" s="33">
        <v>359</v>
      </c>
      <c r="C355" s="34" t="s">
        <v>2494</v>
      </c>
      <c r="D355" s="35">
        <v>45854.844380219904</v>
      </c>
      <c r="E355" s="35">
        <v>45854</v>
      </c>
      <c r="F355" s="32" t="s">
        <v>2495</v>
      </c>
      <c r="G355" s="32" t="s">
        <v>2496</v>
      </c>
      <c r="H355" s="32" t="s">
        <v>2497</v>
      </c>
      <c r="I355" s="36" t="s">
        <v>2498</v>
      </c>
      <c r="J355" s="52"/>
      <c r="K355" s="32" t="s">
        <v>2499</v>
      </c>
      <c r="L355" s="32" t="s">
        <v>2500</v>
      </c>
      <c r="M355" s="32" t="s">
        <v>711</v>
      </c>
      <c r="N355" s="33">
        <v>5</v>
      </c>
      <c r="O355" s="35"/>
      <c r="P355" s="35"/>
      <c r="Q355" s="37"/>
      <c r="R355" s="38"/>
      <c r="S355" s="33"/>
      <c r="T355" s="39">
        <v>197000</v>
      </c>
      <c r="U355" s="40" t="s">
        <v>1774</v>
      </c>
      <c r="V355" s="41"/>
      <c r="W355" s="42" t="str">
        <f ca="1">IFERROR(__xludf.DUMMYFUNCTION("""COMPUTED_VALUE"""),"Cv my")</f>
        <v>Cv my</v>
      </c>
      <c r="X355" s="42" t="str">
        <f ca="1"/>
        <v>ON-Cv my-00011900+5-6281933176790</v>
      </c>
      <c r="Y355" s="40" t="s">
        <v>62</v>
      </c>
      <c r="Z355" s="40" t="s">
        <v>1880</v>
      </c>
      <c r="AA355" s="23" t="str">
        <v>https://wa.me/6281933176790</v>
      </c>
      <c r="AB355" s="28" t="s">
        <v>2501</v>
      </c>
      <c r="AC355" s="28"/>
      <c r="AD355" s="28" t="s">
        <v>690</v>
      </c>
      <c r="AE355" s="28"/>
      <c r="AF355" s="29"/>
      <c r="AG355" s="29"/>
    </row>
    <row r="356" spans="1:33" ht="15.75" customHeight="1">
      <c r="A356" s="32" t="s">
        <v>52</v>
      </c>
      <c r="B356" s="33">
        <v>360</v>
      </c>
      <c r="C356" s="34" t="s">
        <v>2502</v>
      </c>
      <c r="D356" s="35">
        <v>45854.86196086806</v>
      </c>
      <c r="E356" s="35">
        <v>45854</v>
      </c>
      <c r="F356" s="32" t="s">
        <v>513</v>
      </c>
      <c r="G356" s="32" t="s">
        <v>514</v>
      </c>
      <c r="H356" s="32" t="s">
        <v>515</v>
      </c>
      <c r="I356" s="36" t="s">
        <v>516</v>
      </c>
      <c r="J356" s="52"/>
      <c r="K356" s="32" t="s">
        <v>517</v>
      </c>
      <c r="L356" s="32" t="s">
        <v>518</v>
      </c>
      <c r="M356" s="32" t="s">
        <v>205</v>
      </c>
      <c r="N356" s="33">
        <v>5</v>
      </c>
      <c r="O356" s="35"/>
      <c r="P356" s="35"/>
      <c r="Q356" s="37"/>
      <c r="R356" s="38"/>
      <c r="S356" s="33"/>
      <c r="T356" s="39">
        <v>197000</v>
      </c>
      <c r="U356" s="40" t="s">
        <v>61</v>
      </c>
      <c r="V356" s="41"/>
      <c r="W356" s="42" t="str">
        <f ca="1">IFERROR(__xludf.DUMMYFUNCTION("""COMPUTED_VALUE"""),"Bengkel Las")</f>
        <v>Bengkel Las</v>
      </c>
      <c r="X356" s="42" t="str">
        <f ca="1"/>
        <v>ON-Bengkel Las-00011900+5-6282393168368</v>
      </c>
      <c r="Y356" s="40"/>
      <c r="Z356" s="40"/>
      <c r="AA356" s="23" t="str">
        <v>https://wa.me/6282393168368</v>
      </c>
      <c r="AB356" s="28"/>
      <c r="AC356" s="28"/>
      <c r="AD356" s="28"/>
      <c r="AE356" s="28"/>
      <c r="AF356" s="29"/>
      <c r="AG356" s="29"/>
    </row>
    <row r="357" spans="1:33" ht="15.75" customHeight="1">
      <c r="A357" s="32" t="s">
        <v>196</v>
      </c>
      <c r="B357" s="33">
        <v>363</v>
      </c>
      <c r="C357" s="34" t="s">
        <v>2503</v>
      </c>
      <c r="D357" s="35">
        <v>45854.896780312498</v>
      </c>
      <c r="E357" s="35">
        <v>45854</v>
      </c>
      <c r="F357" s="32" t="s">
        <v>2504</v>
      </c>
      <c r="G357" s="32" t="s">
        <v>2505</v>
      </c>
      <c r="H357" s="32" t="s">
        <v>2506</v>
      </c>
      <c r="I357" s="36" t="s">
        <v>2507</v>
      </c>
      <c r="J357" s="52" t="s">
        <v>2508</v>
      </c>
      <c r="K357" s="32" t="s">
        <v>2509</v>
      </c>
      <c r="L357" s="32" t="s">
        <v>2510</v>
      </c>
      <c r="M357" s="32" t="s">
        <v>60</v>
      </c>
      <c r="N357" s="33">
        <v>5</v>
      </c>
      <c r="O357" s="35"/>
      <c r="P357" s="35"/>
      <c r="Q357" s="37"/>
      <c r="R357" s="38"/>
      <c r="S357" s="33"/>
      <c r="T357" s="39">
        <v>197000</v>
      </c>
      <c r="U357" s="40" t="s">
        <v>61</v>
      </c>
      <c r="V357" s="41"/>
      <c r="W357" s="42" t="str">
        <f ca="1">IFERROR(__xludf.DUMMYFUNCTION("""COMPUTED_VALUE"""),"Griya Mahalona")</f>
        <v>Griya Mahalona</v>
      </c>
      <c r="X357" s="42" t="str">
        <f ca="1"/>
        <v>ON-Griya Mahalona-00011900+5-6282292283543</v>
      </c>
      <c r="Y357" s="40" t="s">
        <v>62</v>
      </c>
      <c r="Z357" s="40" t="s">
        <v>639</v>
      </c>
      <c r="AA357" s="23" t="str">
        <v>https://wa.me/6282292283543</v>
      </c>
      <c r="AB357" s="28" t="s">
        <v>2511</v>
      </c>
      <c r="AC357" s="28"/>
      <c r="AD357" s="28" t="s">
        <v>690</v>
      </c>
      <c r="AE357" s="28"/>
      <c r="AF357" s="29"/>
      <c r="AG357" s="29"/>
    </row>
    <row r="358" spans="1:33" ht="15.75" customHeight="1">
      <c r="A358" s="32" t="s">
        <v>196</v>
      </c>
      <c r="B358" s="33">
        <v>361</v>
      </c>
      <c r="C358" s="34" t="s">
        <v>2512</v>
      </c>
      <c r="D358" s="35">
        <v>45855.204016273143</v>
      </c>
      <c r="E358" s="35">
        <v>45854</v>
      </c>
      <c r="F358" s="32" t="s">
        <v>2513</v>
      </c>
      <c r="G358" s="32" t="s">
        <v>2514</v>
      </c>
      <c r="H358" s="32" t="s">
        <v>2515</v>
      </c>
      <c r="I358" s="36" t="s">
        <v>2516</v>
      </c>
      <c r="J358" s="52" t="s">
        <v>2517</v>
      </c>
      <c r="K358" s="32" t="s">
        <v>2518</v>
      </c>
      <c r="L358" s="32" t="s">
        <v>2519</v>
      </c>
      <c r="M358" s="32"/>
      <c r="N358" s="33">
        <v>10</v>
      </c>
      <c r="O358" s="35"/>
      <c r="P358" s="35"/>
      <c r="Q358" s="37"/>
      <c r="R358" s="38"/>
      <c r="S358" s="33"/>
      <c r="T358" s="39">
        <v>375000</v>
      </c>
      <c r="U358" s="40" t="s">
        <v>61</v>
      </c>
      <c r="V358" s="41"/>
      <c r="W358" s="42" t="str">
        <f ca="1">IFERROR(__xludf.DUMMYFUNCTION("""COMPUTED_VALUE"""),"Klasika Kontraktor/")</f>
        <v>Klasika Kontraktor/</v>
      </c>
      <c r="X358" s="42" t="str">
        <f ca="1"/>
        <v>ON-Klasika Kontraktor/-00011900+10-6281298551100</v>
      </c>
      <c r="Y358" s="40" t="s">
        <v>293</v>
      </c>
      <c r="Z358" s="40" t="s">
        <v>1057</v>
      </c>
      <c r="AA358" s="23" t="str">
        <v>https://wa.me/6281298551100</v>
      </c>
      <c r="AB358" s="28" t="s">
        <v>2520</v>
      </c>
      <c r="AC358" s="28"/>
      <c r="AD358" s="28" t="s">
        <v>690</v>
      </c>
      <c r="AE358" s="28"/>
      <c r="AF358" s="29"/>
      <c r="AG358" s="29"/>
    </row>
    <row r="359" spans="1:33" ht="15.75" customHeight="1">
      <c r="A359" s="32" t="s">
        <v>196</v>
      </c>
      <c r="B359" s="33">
        <v>362</v>
      </c>
      <c r="C359" s="34" t="s">
        <v>2521</v>
      </c>
      <c r="D359" s="35">
        <v>45855.206422071758</v>
      </c>
      <c r="E359" s="35">
        <v>45854</v>
      </c>
      <c r="F359" s="32" t="s">
        <v>2522</v>
      </c>
      <c r="G359" s="32" t="s">
        <v>2523</v>
      </c>
      <c r="H359" s="32" t="s">
        <v>2524</v>
      </c>
      <c r="I359" s="36" t="s">
        <v>2525</v>
      </c>
      <c r="J359" s="52" t="s">
        <v>2526</v>
      </c>
      <c r="K359" s="32" t="s">
        <v>1722</v>
      </c>
      <c r="L359" s="32" t="s">
        <v>77</v>
      </c>
      <c r="M359" s="32" t="s">
        <v>60</v>
      </c>
      <c r="N359" s="33">
        <v>5</v>
      </c>
      <c r="O359" s="35">
        <v>45875</v>
      </c>
      <c r="P359" s="35">
        <v>45880</v>
      </c>
      <c r="Q359" s="37"/>
      <c r="R359" s="38"/>
      <c r="S359" s="33"/>
      <c r="T359" s="39">
        <v>197000</v>
      </c>
      <c r="U359" s="40" t="s">
        <v>61</v>
      </c>
      <c r="V359" s="41"/>
      <c r="W359" s="42" t="str">
        <f ca="1">IFERROR(__xludf.DUMMYFUNCTION("""COMPUTED_VALUE"""),"Simetris Transport")</f>
        <v>Simetris Transport</v>
      </c>
      <c r="X359" s="42" t="str">
        <f ca="1"/>
        <v>ON-Simetris Transport-00011900+5-6285191259285</v>
      </c>
      <c r="Y359" s="40" t="s">
        <v>62</v>
      </c>
      <c r="Z359" s="40" t="s">
        <v>1880</v>
      </c>
      <c r="AA359" s="23" t="str">
        <v>https://wa.me/6285191259285</v>
      </c>
      <c r="AB359" s="28" t="s">
        <v>2527</v>
      </c>
      <c r="AC359" s="28"/>
      <c r="AD359" s="28" t="s">
        <v>690</v>
      </c>
      <c r="AE359" s="28"/>
      <c r="AF359" s="29">
        <v>45876</v>
      </c>
      <c r="AG359" s="29"/>
    </row>
    <row r="360" spans="1:33" ht="15.75" customHeight="1">
      <c r="A360" s="32" t="s">
        <v>196</v>
      </c>
      <c r="B360" s="33">
        <v>363</v>
      </c>
      <c r="C360" s="34" t="s">
        <v>2503</v>
      </c>
      <c r="D360" s="35">
        <v>45855.209810358792</v>
      </c>
      <c r="E360" s="35">
        <v>45854</v>
      </c>
      <c r="F360" s="32" t="s">
        <v>2528</v>
      </c>
      <c r="G360" s="32" t="s">
        <v>2529</v>
      </c>
      <c r="H360" s="32" t="s">
        <v>2530</v>
      </c>
      <c r="I360" s="36" t="s">
        <v>2531</v>
      </c>
      <c r="J360" s="52" t="s">
        <v>2532</v>
      </c>
      <c r="K360" s="32" t="s">
        <v>2533</v>
      </c>
      <c r="L360" s="32" t="s">
        <v>2510</v>
      </c>
      <c r="M360" s="32" t="s">
        <v>1773</v>
      </c>
      <c r="N360" s="33">
        <v>10</v>
      </c>
      <c r="O360" s="35"/>
      <c r="P360" s="35"/>
      <c r="Q360" s="37"/>
      <c r="R360" s="38"/>
      <c r="S360" s="33"/>
      <c r="T360" s="39">
        <v>375000</v>
      </c>
      <c r="U360" s="40" t="s">
        <v>61</v>
      </c>
      <c r="V360" s="41"/>
      <c r="W360" s="42" t="str">
        <f ca="1">IFERROR(__xludf.DUMMYFUNCTION("""COMPUTED_VALUE"""),"REKARUANG GRUOP")</f>
        <v>REKARUANG GRUOP</v>
      </c>
      <c r="X360" s="42" t="str">
        <f ca="1"/>
        <v>ON-REKARUANG GRUOP-00011900+10-6287888068088</v>
      </c>
      <c r="Y360" s="40" t="s">
        <v>293</v>
      </c>
      <c r="Z360" s="40" t="s">
        <v>1057</v>
      </c>
      <c r="AA360" s="23" t="str">
        <v>https://wa.me/6287888068088</v>
      </c>
      <c r="AB360" s="28" t="s">
        <v>2534</v>
      </c>
      <c r="AC360" s="28"/>
      <c r="AD360" s="28" t="s">
        <v>690</v>
      </c>
      <c r="AE360" s="28"/>
      <c r="AF360" s="29"/>
      <c r="AG360" s="29"/>
    </row>
    <row r="361" spans="1:33" ht="15.75" customHeight="1">
      <c r="A361" s="32" t="s">
        <v>196</v>
      </c>
      <c r="B361" s="33">
        <v>364</v>
      </c>
      <c r="C361" s="34" t="s">
        <v>2535</v>
      </c>
      <c r="D361" s="35">
        <v>45855.251239999998</v>
      </c>
      <c r="E361" s="35">
        <v>45854</v>
      </c>
      <c r="F361" s="32" t="s">
        <v>2536</v>
      </c>
      <c r="G361" s="32" t="s">
        <v>2537</v>
      </c>
      <c r="H361" s="32" t="s">
        <v>2538</v>
      </c>
      <c r="I361" s="36" t="s">
        <v>2539</v>
      </c>
      <c r="J361" s="52"/>
      <c r="K361" s="32" t="s">
        <v>2540</v>
      </c>
      <c r="L361" s="32" t="s">
        <v>2541</v>
      </c>
      <c r="M361" s="32" t="s">
        <v>1534</v>
      </c>
      <c r="N361" s="33">
        <v>30</v>
      </c>
      <c r="O361" s="35">
        <v>45856</v>
      </c>
      <c r="P361" s="35">
        <v>45861</v>
      </c>
      <c r="Q361" s="37"/>
      <c r="R361" s="38"/>
      <c r="S361" s="33"/>
      <c r="T361" s="39">
        <v>1025000</v>
      </c>
      <c r="U361" s="40" t="s">
        <v>49</v>
      </c>
      <c r="V361" s="41"/>
      <c r="W361" s="42" t="str">
        <f ca="1">IFERROR(__xludf.DUMMYFUNCTION("""COMPUTED_VALUE"""),"Bengkel las")</f>
        <v>Bengkel las</v>
      </c>
      <c r="X361" s="42" t="str">
        <f ca="1"/>
        <v>ON-Bengkel las-00011900+30-6281385001244</v>
      </c>
      <c r="Y361" s="40" t="s">
        <v>293</v>
      </c>
      <c r="Z361" s="40" t="s">
        <v>1057</v>
      </c>
      <c r="AA361" s="23" t="str">
        <v>https://wa.me/6281385001244</v>
      </c>
      <c r="AB361" s="28" t="s">
        <v>2542</v>
      </c>
      <c r="AC361" s="28"/>
      <c r="AD361" s="28" t="s">
        <v>690</v>
      </c>
      <c r="AE361" s="28"/>
      <c r="AF361" s="29"/>
      <c r="AG361" s="29"/>
    </row>
    <row r="362" spans="1:33" ht="15.75" customHeight="1">
      <c r="A362" s="32" t="s">
        <v>52</v>
      </c>
      <c r="B362" s="33">
        <v>365</v>
      </c>
      <c r="C362" s="34" t="s">
        <v>2543</v>
      </c>
      <c r="D362" s="35">
        <v>45855.340968796299</v>
      </c>
      <c r="E362" s="35">
        <v>45855</v>
      </c>
      <c r="F362" s="32" t="s">
        <v>2544</v>
      </c>
      <c r="G362" s="32" t="s">
        <v>2545</v>
      </c>
      <c r="H362" s="32" t="s">
        <v>2546</v>
      </c>
      <c r="I362" s="36" t="s">
        <v>2547</v>
      </c>
      <c r="J362" s="52"/>
      <c r="K362" s="32" t="s">
        <v>2548</v>
      </c>
      <c r="L362" s="32" t="s">
        <v>2468</v>
      </c>
      <c r="M362" s="32" t="s">
        <v>131</v>
      </c>
      <c r="N362" s="33">
        <v>5</v>
      </c>
      <c r="O362" s="35"/>
      <c r="P362" s="35"/>
      <c r="Q362" s="37"/>
      <c r="R362" s="38"/>
      <c r="S362" s="33"/>
      <c r="T362" s="39">
        <v>197000</v>
      </c>
      <c r="U362" s="40" t="s">
        <v>61</v>
      </c>
      <c r="V362" s="41"/>
      <c r="W362" s="42" t="str">
        <f ca="1">IFERROR(__xludf.DUMMYFUNCTION("""COMPUTED_VALUE"""),"Lubijo Berkah")</f>
        <v>Lubijo Berkah</v>
      </c>
      <c r="X362" s="42" t="str">
        <f ca="1"/>
        <v>ON-Lubijo Berkah-00011900+5-6281233038880</v>
      </c>
      <c r="Y362" s="40"/>
      <c r="Z362" s="40"/>
      <c r="AA362" s="23" t="str">
        <v>https://wa.me/6281233038880</v>
      </c>
      <c r="AB362" s="28"/>
      <c r="AC362" s="28"/>
      <c r="AD362" s="28"/>
      <c r="AE362" s="28"/>
      <c r="AF362" s="29"/>
      <c r="AG362" s="29"/>
    </row>
    <row r="363" spans="1:33" ht="15.75" customHeight="1">
      <c r="A363" s="32" t="s">
        <v>196</v>
      </c>
      <c r="B363" s="33">
        <v>368</v>
      </c>
      <c r="C363" s="34" t="s">
        <v>2549</v>
      </c>
      <c r="D363" s="35">
        <v>45855.455954467594</v>
      </c>
      <c r="E363" s="35">
        <v>45855</v>
      </c>
      <c r="F363" s="32" t="s">
        <v>2550</v>
      </c>
      <c r="G363" s="32" t="s">
        <v>2551</v>
      </c>
      <c r="H363" s="32" t="s">
        <v>507</v>
      </c>
      <c r="I363" s="36" t="s">
        <v>2552</v>
      </c>
      <c r="J363" s="52" t="s">
        <v>2553</v>
      </c>
      <c r="K363" s="32" t="s">
        <v>2554</v>
      </c>
      <c r="L363" s="32" t="s">
        <v>964</v>
      </c>
      <c r="M363" s="32" t="s">
        <v>1009</v>
      </c>
      <c r="N363" s="33">
        <v>5</v>
      </c>
      <c r="O363" s="35"/>
      <c r="P363" s="35"/>
      <c r="Q363" s="37"/>
      <c r="R363" s="38"/>
      <c r="S363" s="33"/>
      <c r="T363" s="39">
        <v>197000</v>
      </c>
      <c r="U363" s="40" t="s">
        <v>115</v>
      </c>
      <c r="V363" s="41"/>
      <c r="W363" s="42" t="str">
        <f ca="1">IFERROR(__xludf.DUMMYFUNCTION("""COMPUTED_VALUE"""),"Bengkel las")</f>
        <v>Bengkel las</v>
      </c>
      <c r="X363" s="42" t="str">
        <f ca="1"/>
        <v>ON-Bengkel las-00011900+5-6281311129854</v>
      </c>
      <c r="Y363" s="40" t="s">
        <v>293</v>
      </c>
      <c r="Z363" s="40" t="s">
        <v>1057</v>
      </c>
      <c r="AA363" s="23" t="str">
        <v>https://wa.me/6281311129854</v>
      </c>
      <c r="AB363" s="28" t="s">
        <v>2555</v>
      </c>
      <c r="AC363" s="28"/>
      <c r="AD363" s="28" t="s">
        <v>690</v>
      </c>
      <c r="AE363" s="28"/>
      <c r="AF363" s="29"/>
      <c r="AG363" s="29"/>
    </row>
    <row r="364" spans="1:33" ht="15.75" customHeight="1">
      <c r="A364" s="32" t="s">
        <v>196</v>
      </c>
      <c r="B364" s="33">
        <v>369</v>
      </c>
      <c r="C364" s="34" t="s">
        <v>2556</v>
      </c>
      <c r="D364" s="35">
        <v>45855.491526527781</v>
      </c>
      <c r="E364" s="35">
        <v>45855</v>
      </c>
      <c r="F364" s="32" t="s">
        <v>2557</v>
      </c>
      <c r="G364" s="32" t="s">
        <v>2558</v>
      </c>
      <c r="H364" s="32" t="s">
        <v>2559</v>
      </c>
      <c r="I364" s="36" t="s">
        <v>2560</v>
      </c>
      <c r="J364" s="52" t="s">
        <v>2561</v>
      </c>
      <c r="K364" s="32" t="s">
        <v>686</v>
      </c>
      <c r="L364" s="32" t="s">
        <v>1628</v>
      </c>
      <c r="M364" s="32" t="s">
        <v>382</v>
      </c>
      <c r="N364" s="33">
        <v>10</v>
      </c>
      <c r="O364" s="35"/>
      <c r="P364" s="35"/>
      <c r="Q364" s="37"/>
      <c r="R364" s="38"/>
      <c r="S364" s="33"/>
      <c r="T364" s="39">
        <v>375000</v>
      </c>
      <c r="U364" s="40" t="s">
        <v>115</v>
      </c>
      <c r="V364" s="41"/>
      <c r="W364" s="42" t="str">
        <f ca="1">IFERROR(__xludf.DUMMYFUNCTION("""COMPUTED_VALUE"""),"Ghadi Auto")</f>
        <v>Ghadi Auto</v>
      </c>
      <c r="X364" s="42" t="str">
        <f ca="1"/>
        <v>ON-Ghadi Auto-00011900+10-6285268101557</v>
      </c>
      <c r="Y364" s="40" t="s">
        <v>62</v>
      </c>
      <c r="Z364" s="40" t="s">
        <v>294</v>
      </c>
      <c r="AA364" s="23" t="str">
        <v>https://wa.me/6285268101557</v>
      </c>
      <c r="AB364" s="28" t="s">
        <v>2562</v>
      </c>
      <c r="AC364" s="28"/>
      <c r="AD364" s="28" t="s">
        <v>690</v>
      </c>
      <c r="AE364" s="28"/>
      <c r="AF364" s="29"/>
      <c r="AG364" s="29"/>
    </row>
    <row r="365" spans="1:33" ht="15.75" customHeight="1">
      <c r="A365" s="32" t="s">
        <v>52</v>
      </c>
      <c r="B365" s="33">
        <v>370</v>
      </c>
      <c r="C365" s="34" t="s">
        <v>2563</v>
      </c>
      <c r="D365" s="35">
        <v>45855.515431412037</v>
      </c>
      <c r="E365" s="35">
        <v>45855</v>
      </c>
      <c r="F365" s="32" t="s">
        <v>2544</v>
      </c>
      <c r="G365" s="32" t="s">
        <v>2545</v>
      </c>
      <c r="H365" s="32" t="s">
        <v>2546</v>
      </c>
      <c r="I365" s="36" t="s">
        <v>2547</v>
      </c>
      <c r="J365" s="52"/>
      <c r="K365" s="32" t="s">
        <v>2548</v>
      </c>
      <c r="L365" s="32" t="s">
        <v>2468</v>
      </c>
      <c r="M365" s="32" t="s">
        <v>131</v>
      </c>
      <c r="N365" s="33">
        <v>5</v>
      </c>
      <c r="O365" s="35"/>
      <c r="P365" s="35"/>
      <c r="Q365" s="37"/>
      <c r="R365" s="38"/>
      <c r="S365" s="33"/>
      <c r="T365" s="39">
        <v>197000</v>
      </c>
      <c r="U365" s="40" t="s">
        <v>61</v>
      </c>
      <c r="V365" s="41"/>
      <c r="W365" s="42" t="str">
        <f ca="1">IFERROR(__xludf.DUMMYFUNCTION("""COMPUTED_VALUE"""),"Lubijo Berkah")</f>
        <v>Lubijo Berkah</v>
      </c>
      <c r="X365" s="42" t="str">
        <f ca="1"/>
        <v>ON-Lubijo Berkah-00011900+5-6281233038880</v>
      </c>
      <c r="Y365" s="40"/>
      <c r="Z365" s="40"/>
      <c r="AA365" s="23" t="str">
        <v>https://wa.me/6281233038880</v>
      </c>
      <c r="AB365" s="28"/>
      <c r="AC365" s="28"/>
      <c r="AD365" s="28"/>
      <c r="AE365" s="28"/>
      <c r="AF365" s="29"/>
      <c r="AG365" s="29"/>
    </row>
    <row r="366" spans="1:33" ht="15.75" customHeight="1">
      <c r="A366" s="32" t="s">
        <v>196</v>
      </c>
      <c r="B366" s="33">
        <v>371</v>
      </c>
      <c r="C366" s="34" t="s">
        <v>2564</v>
      </c>
      <c r="D366" s="35">
        <v>45855.550486886576</v>
      </c>
      <c r="E366" s="35">
        <v>45855</v>
      </c>
      <c r="F366" s="32" t="s">
        <v>2565</v>
      </c>
      <c r="G366" s="32" t="s">
        <v>2566</v>
      </c>
      <c r="H366" s="32" t="s">
        <v>2567</v>
      </c>
      <c r="I366" s="36" t="s">
        <v>2568</v>
      </c>
      <c r="J366" s="52" t="s">
        <v>2569</v>
      </c>
      <c r="K366" s="32" t="s">
        <v>2570</v>
      </c>
      <c r="L366" s="32" t="s">
        <v>1628</v>
      </c>
      <c r="M366" s="32" t="s">
        <v>382</v>
      </c>
      <c r="N366" s="33">
        <v>5</v>
      </c>
      <c r="O366" s="35"/>
      <c r="P366" s="35"/>
      <c r="Q366" s="37"/>
      <c r="R366" s="38"/>
      <c r="S366" s="33"/>
      <c r="T366" s="39">
        <v>197000</v>
      </c>
      <c r="U366" s="40" t="s">
        <v>115</v>
      </c>
      <c r="V366" s="41"/>
      <c r="W366" s="42" t="str">
        <f ca="1">IFERROR(__xludf.DUMMYFUNCTION("""COMPUTED_VALUE"""),"PT. KINANTAN")</f>
        <v>PT. KINANTAN</v>
      </c>
      <c r="X366" s="42" t="str">
        <f ca="1"/>
        <v>ON-PT. KINANTAN-00011900+5-628116655901</v>
      </c>
      <c r="Y366" s="40" t="s">
        <v>293</v>
      </c>
      <c r="Z366" s="40" t="s">
        <v>1057</v>
      </c>
      <c r="AA366" s="23" t="str">
        <v>https://wa.me/628116655901</v>
      </c>
      <c r="AB366" s="28" t="s">
        <v>2571</v>
      </c>
      <c r="AC366" s="28"/>
      <c r="AD366" s="28" t="s">
        <v>690</v>
      </c>
      <c r="AE366" s="28"/>
      <c r="AF366" s="29"/>
      <c r="AG366" s="29"/>
    </row>
    <row r="367" spans="1:33" ht="15.75" customHeight="1">
      <c r="A367" s="32" t="s">
        <v>196</v>
      </c>
      <c r="B367" s="33">
        <v>372</v>
      </c>
      <c r="C367" s="34" t="s">
        <v>2572</v>
      </c>
      <c r="D367" s="35">
        <v>45855.555765115743</v>
      </c>
      <c r="E367" s="35">
        <v>45855</v>
      </c>
      <c r="F367" s="32" t="s">
        <v>2573</v>
      </c>
      <c r="G367" s="32" t="s">
        <v>2574</v>
      </c>
      <c r="H367" s="32" t="s">
        <v>2575</v>
      </c>
      <c r="I367" s="36" t="s">
        <v>2576</v>
      </c>
      <c r="J367" s="52"/>
      <c r="K367" s="32" t="s">
        <v>955</v>
      </c>
      <c r="L367" s="32" t="s">
        <v>2577</v>
      </c>
      <c r="M367" s="32" t="s">
        <v>60</v>
      </c>
      <c r="N367" s="33">
        <v>10</v>
      </c>
      <c r="O367" s="35">
        <v>45857</v>
      </c>
      <c r="P367" s="35">
        <v>45867</v>
      </c>
      <c r="Q367" s="37"/>
      <c r="R367" s="38"/>
      <c r="S367" s="33"/>
      <c r="T367" s="39">
        <v>375000</v>
      </c>
      <c r="U367" s="40" t="s">
        <v>61</v>
      </c>
      <c r="V367" s="41"/>
      <c r="W367" s="42" t="str">
        <f ca="1">IFERROR(__xludf.DUMMYFUNCTION("""COMPUTED_VALUE"""),"Satria Karya")</f>
        <v>Satria Karya</v>
      </c>
      <c r="X367" s="42" t="str">
        <f ca="1"/>
        <v>ON-Satria Karya-00011900+10-6287734875393</v>
      </c>
      <c r="Y367" s="40" t="s">
        <v>293</v>
      </c>
      <c r="Z367" s="40" t="s">
        <v>1057</v>
      </c>
      <c r="AA367" s="23" t="str">
        <v>https://wa.me/6287734875393</v>
      </c>
      <c r="AB367" s="28" t="s">
        <v>2578</v>
      </c>
      <c r="AC367" s="28"/>
      <c r="AD367" s="28" t="s">
        <v>690</v>
      </c>
      <c r="AE367" s="28"/>
      <c r="AF367" s="29"/>
      <c r="AG367" s="29"/>
    </row>
    <row r="368" spans="1:33" ht="15.75" customHeight="1">
      <c r="A368" s="32" t="s">
        <v>196</v>
      </c>
      <c r="B368" s="33">
        <v>371</v>
      </c>
      <c r="C368" s="34" t="s">
        <v>2564</v>
      </c>
      <c r="D368" s="35">
        <v>45855.645938125002</v>
      </c>
      <c r="E368" s="35">
        <v>45855</v>
      </c>
      <c r="F368" s="32" t="s">
        <v>2579</v>
      </c>
      <c r="G368" s="32" t="s">
        <v>2580</v>
      </c>
      <c r="H368" s="32" t="s">
        <v>2581</v>
      </c>
      <c r="I368" s="36" t="s">
        <v>2582</v>
      </c>
      <c r="J368" s="52"/>
      <c r="K368" s="32"/>
      <c r="L368" s="32" t="s">
        <v>92</v>
      </c>
      <c r="M368" s="32" t="s">
        <v>92</v>
      </c>
      <c r="N368" s="33"/>
      <c r="O368" s="35"/>
      <c r="P368" s="35"/>
      <c r="Q368" s="37"/>
      <c r="R368" s="38"/>
      <c r="S368" s="33"/>
      <c r="T368" s="39">
        <v>197000</v>
      </c>
      <c r="U368" s="40" t="s">
        <v>1229</v>
      </c>
      <c r="V368" s="41"/>
      <c r="W368" s="42" t="str">
        <f ca="1">IFERROR(__xludf.DUMMYFUNCTION("""COMPUTED_VALUE"""),"Rumah Terapy")</f>
        <v>Rumah Terapy</v>
      </c>
      <c r="X368" s="42" t="str">
        <f ca="1"/>
        <v>ON-Rumah Terapy-00011900+-6287829346006</v>
      </c>
      <c r="Y368" s="40" t="s">
        <v>62</v>
      </c>
      <c r="Z368" s="40" t="s">
        <v>639</v>
      </c>
      <c r="AA368" s="23" t="str">
        <v>https://wa.me/6287829346006</v>
      </c>
      <c r="AB368" s="28" t="s">
        <v>2583</v>
      </c>
      <c r="AC368" s="28"/>
      <c r="AD368" s="28" t="s">
        <v>690</v>
      </c>
      <c r="AE368" s="28"/>
      <c r="AF368" s="29">
        <v>45870</v>
      </c>
      <c r="AG368" s="29"/>
    </row>
    <row r="369" spans="1:33" ht="15.75" customHeight="1">
      <c r="A369" s="32" t="s">
        <v>196</v>
      </c>
      <c r="B369" s="33">
        <v>373</v>
      </c>
      <c r="C369" s="34" t="s">
        <v>2584</v>
      </c>
      <c r="D369" s="35">
        <v>45855.727119629628</v>
      </c>
      <c r="E369" s="35">
        <v>45855</v>
      </c>
      <c r="F369" s="32" t="s">
        <v>2119</v>
      </c>
      <c r="G369" s="32" t="s">
        <v>2585</v>
      </c>
      <c r="H369" s="32" t="s">
        <v>2586</v>
      </c>
      <c r="I369" s="36" t="s">
        <v>2122</v>
      </c>
      <c r="J369" s="52" t="s">
        <v>2587</v>
      </c>
      <c r="K369" s="32" t="s">
        <v>2588</v>
      </c>
      <c r="L369" s="32" t="s">
        <v>817</v>
      </c>
      <c r="M369" s="32" t="s">
        <v>60</v>
      </c>
      <c r="N369" s="33">
        <v>5</v>
      </c>
      <c r="O369" s="35">
        <v>45856</v>
      </c>
      <c r="P369" s="35">
        <v>45861</v>
      </c>
      <c r="Q369" s="37"/>
      <c r="R369" s="38"/>
      <c r="S369" s="33"/>
      <c r="T369" s="39">
        <v>197000</v>
      </c>
      <c r="U369" s="40" t="s">
        <v>61</v>
      </c>
      <c r="V369" s="41"/>
      <c r="W369" s="42" t="str">
        <f ca="1">IFERROR(__xludf.DUMMYFUNCTION("""COMPUTED_VALUE"""),"POM MIGOR")</f>
        <v>POM MIGOR</v>
      </c>
      <c r="X369" s="42" t="str">
        <f ca="1"/>
        <v>ON-POM MIGOR-00011900+5-6285789446955</v>
      </c>
      <c r="Y369" s="40" t="s">
        <v>62</v>
      </c>
      <c r="Z369" s="40" t="s">
        <v>1861</v>
      </c>
      <c r="AA369" s="23" t="str">
        <v>https://wa.me/6285789446955</v>
      </c>
      <c r="AB369" s="28" t="s">
        <v>2589</v>
      </c>
      <c r="AC369" s="28"/>
      <c r="AD369" s="28" t="s">
        <v>690</v>
      </c>
      <c r="AE369" s="28"/>
      <c r="AF369" s="29"/>
      <c r="AG369" s="29"/>
    </row>
    <row r="370" spans="1:33" ht="15.75" customHeight="1">
      <c r="A370" s="32" t="s">
        <v>621</v>
      </c>
      <c r="B370" s="33">
        <v>374</v>
      </c>
      <c r="C370" s="34" t="s">
        <v>2590</v>
      </c>
      <c r="D370" s="35">
        <v>45855.80713400463</v>
      </c>
      <c r="E370" s="35">
        <v>45855</v>
      </c>
      <c r="F370" s="32" t="s">
        <v>2591</v>
      </c>
      <c r="G370" s="32" t="s">
        <v>2592</v>
      </c>
      <c r="H370" s="32" t="s">
        <v>2593</v>
      </c>
      <c r="I370" s="36" t="s">
        <v>2594</v>
      </c>
      <c r="J370" s="52"/>
      <c r="K370" s="32" t="s">
        <v>2595</v>
      </c>
      <c r="L370" s="32" t="s">
        <v>382</v>
      </c>
      <c r="M370" s="32" t="s">
        <v>382</v>
      </c>
      <c r="N370" s="33">
        <v>10</v>
      </c>
      <c r="O370" s="35"/>
      <c r="P370" s="35"/>
      <c r="Q370" s="37"/>
      <c r="R370" s="38"/>
      <c r="S370" s="33"/>
      <c r="T370" s="39">
        <v>282000</v>
      </c>
      <c r="U370" s="40" t="s">
        <v>115</v>
      </c>
      <c r="V370" s="41"/>
      <c r="W370" s="42" t="str">
        <f ca="1">IFERROR(__xludf.DUMMYFUNCTION("""COMPUTED_VALUE"""),"Tours Lombok")</f>
        <v>Tours Lombok</v>
      </c>
      <c r="X370" s="42" t="str">
        <f ca="1"/>
        <v>ON-Tours Lombok-00011900+10-6281936030924</v>
      </c>
      <c r="Y370" s="40"/>
      <c r="Z370" s="40"/>
      <c r="AA370" s="23" t="str">
        <v>https://wa.me/6281936030924</v>
      </c>
      <c r="AB370" s="28"/>
      <c r="AC370" s="28"/>
      <c r="AD370" s="28"/>
      <c r="AE370" s="28"/>
      <c r="AF370" s="29"/>
      <c r="AG370" s="29"/>
    </row>
    <row r="371" spans="1:33" ht="15.75" customHeight="1">
      <c r="A371" s="32" t="s">
        <v>196</v>
      </c>
      <c r="B371" s="33">
        <v>376</v>
      </c>
      <c r="C371" s="34" t="s">
        <v>2596</v>
      </c>
      <c r="D371" s="35">
        <v>45855.870385405091</v>
      </c>
      <c r="E371" s="35">
        <v>45855</v>
      </c>
      <c r="F371" s="32" t="s">
        <v>2597</v>
      </c>
      <c r="G371" s="32" t="s">
        <v>2598</v>
      </c>
      <c r="H371" s="32" t="s">
        <v>2599</v>
      </c>
      <c r="I371" s="36" t="s">
        <v>2600</v>
      </c>
      <c r="J371" s="52" t="s">
        <v>2601</v>
      </c>
      <c r="K371" s="32" t="s">
        <v>570</v>
      </c>
      <c r="L371" s="32" t="s">
        <v>2602</v>
      </c>
      <c r="M371" s="32" t="s">
        <v>60</v>
      </c>
      <c r="N371" s="33">
        <v>5</v>
      </c>
      <c r="O371" s="35"/>
      <c r="P371" s="35"/>
      <c r="Q371" s="37"/>
      <c r="R371" s="38"/>
      <c r="S371" s="33"/>
      <c r="T371" s="39">
        <v>197000</v>
      </c>
      <c r="U371" s="40" t="s">
        <v>61</v>
      </c>
      <c r="V371" s="41"/>
      <c r="W371" s="42" t="str">
        <f ca="1">IFERROR(__xludf.DUMMYFUNCTION("""COMPUTED_VALUE"""),"Gemilang Gordyn")</f>
        <v>Gemilang Gordyn</v>
      </c>
      <c r="X371" s="42" t="str">
        <f ca="1"/>
        <v>ON-Gemilang Gordyn-00011900+5-6283891332074</v>
      </c>
      <c r="Y371" s="40" t="s">
        <v>62</v>
      </c>
      <c r="Z371" s="40" t="s">
        <v>1861</v>
      </c>
      <c r="AA371" s="23" t="str">
        <v>https://wa.me/6283891332074</v>
      </c>
      <c r="AB371" s="28" t="s">
        <v>2603</v>
      </c>
      <c r="AC371" s="28"/>
      <c r="AD371" s="28" t="s">
        <v>690</v>
      </c>
      <c r="AE371" s="28"/>
      <c r="AF371" s="29"/>
      <c r="AG371" s="29"/>
    </row>
    <row r="372" spans="1:33" ht="15.75" customHeight="1">
      <c r="A372" s="32" t="s">
        <v>196</v>
      </c>
      <c r="B372" s="33">
        <v>377</v>
      </c>
      <c r="C372" s="34" t="s">
        <v>2604</v>
      </c>
      <c r="D372" s="35">
        <v>45857.189777824075</v>
      </c>
      <c r="E372" s="35">
        <v>45856</v>
      </c>
      <c r="F372" s="32" t="s">
        <v>2605</v>
      </c>
      <c r="G372" s="32" t="s">
        <v>2606</v>
      </c>
      <c r="H372" s="32" t="s">
        <v>2607</v>
      </c>
      <c r="I372" s="36" t="s">
        <v>2608</v>
      </c>
      <c r="J372" s="52"/>
      <c r="K372" s="32" t="s">
        <v>2609</v>
      </c>
      <c r="L372" s="32" t="s">
        <v>85</v>
      </c>
      <c r="M372" s="32" t="s">
        <v>60</v>
      </c>
      <c r="N372" s="33">
        <v>14</v>
      </c>
      <c r="O372" s="35"/>
      <c r="P372" s="35"/>
      <c r="Q372" s="37"/>
      <c r="R372" s="38"/>
      <c r="S372" s="33"/>
      <c r="T372" s="39">
        <v>550000</v>
      </c>
      <c r="U372" s="40" t="s">
        <v>61</v>
      </c>
      <c r="V372" s="41"/>
      <c r="W372" s="42" t="str">
        <f ca="1">IFERROR(__xludf.DUMMYFUNCTION("""COMPUTED_VALUE"""),"Elsa Eljokael")</f>
        <v>Elsa Eljokael</v>
      </c>
      <c r="X372" s="42" t="str">
        <f ca="1"/>
        <v>ON-Elsa Eljokael-00011900+14-62882015555380</v>
      </c>
      <c r="Y372" s="40" t="s">
        <v>293</v>
      </c>
      <c r="Z372" s="40" t="s">
        <v>1057</v>
      </c>
      <c r="AA372" s="23" t="str">
        <v>https://wa.me/62882015555380</v>
      </c>
      <c r="AB372" s="28" t="s">
        <v>2610</v>
      </c>
      <c r="AC372" s="28"/>
      <c r="AD372" s="28" t="s">
        <v>690</v>
      </c>
      <c r="AE372" s="28"/>
      <c r="AF372" s="29"/>
      <c r="AG372" s="29"/>
    </row>
    <row r="373" spans="1:33" ht="15.75" customHeight="1">
      <c r="A373" s="32" t="s">
        <v>196</v>
      </c>
      <c r="B373" s="33">
        <v>378</v>
      </c>
      <c r="C373" s="34" t="s">
        <v>2611</v>
      </c>
      <c r="D373" s="35">
        <v>45857.192268842591</v>
      </c>
      <c r="E373" s="35">
        <v>45856</v>
      </c>
      <c r="F373" s="32" t="s">
        <v>2612</v>
      </c>
      <c r="G373" s="32" t="s">
        <v>2613</v>
      </c>
      <c r="H373" s="32" t="s">
        <v>2614</v>
      </c>
      <c r="I373" s="36" t="s">
        <v>2615</v>
      </c>
      <c r="J373" s="52"/>
      <c r="K373" s="32" t="s">
        <v>2616</v>
      </c>
      <c r="L373" s="32" t="s">
        <v>2291</v>
      </c>
      <c r="M373" s="32" t="s">
        <v>60</v>
      </c>
      <c r="N373" s="33">
        <v>5</v>
      </c>
      <c r="O373" s="35"/>
      <c r="P373" s="35"/>
      <c r="Q373" s="37"/>
      <c r="R373" s="38"/>
      <c r="S373" s="33"/>
      <c r="T373" s="39">
        <v>197000</v>
      </c>
      <c r="U373" s="40" t="s">
        <v>61</v>
      </c>
      <c r="V373" s="41"/>
      <c r="W373" s="42" t="str">
        <f ca="1">IFERROR(__xludf.DUMMYFUNCTION("""COMPUTED_VALUE"""),"Griya Sehat")</f>
        <v>Griya Sehat</v>
      </c>
      <c r="X373" s="42" t="str">
        <f ca="1"/>
        <v>ON-Griya Sehat-00011900+5-6285741977776</v>
      </c>
      <c r="Y373" s="40" t="s">
        <v>62</v>
      </c>
      <c r="Z373" s="40" t="s">
        <v>639</v>
      </c>
      <c r="AA373" s="23" t="str">
        <v>https://wa.me/6285741977776</v>
      </c>
      <c r="AB373" s="28" t="s">
        <v>2617</v>
      </c>
      <c r="AC373" s="28"/>
      <c r="AD373" s="28" t="s">
        <v>690</v>
      </c>
      <c r="AE373" s="28"/>
      <c r="AF373" s="29"/>
      <c r="AG373" s="29"/>
    </row>
    <row r="374" spans="1:33" ht="15.75" customHeight="1">
      <c r="A374" s="32" t="s">
        <v>196</v>
      </c>
      <c r="B374" s="33">
        <v>379</v>
      </c>
      <c r="C374" s="34" t="s">
        <v>2618</v>
      </c>
      <c r="D374" s="35">
        <v>45857.192818171301</v>
      </c>
      <c r="E374" s="35">
        <v>45856</v>
      </c>
      <c r="F374" s="32" t="s">
        <v>2619</v>
      </c>
      <c r="G374" s="32" t="s">
        <v>2620</v>
      </c>
      <c r="H374" s="32" t="s">
        <v>2621</v>
      </c>
      <c r="I374" s="36" t="s">
        <v>2622</v>
      </c>
      <c r="J374" s="52"/>
      <c r="K374" s="32" t="s">
        <v>2623</v>
      </c>
      <c r="L374" s="32" t="s">
        <v>817</v>
      </c>
      <c r="M374" s="32" t="s">
        <v>60</v>
      </c>
      <c r="N374" s="33">
        <v>30</v>
      </c>
      <c r="O374" s="35"/>
      <c r="P374" s="35"/>
      <c r="Q374" s="37"/>
      <c r="R374" s="38"/>
      <c r="S374" s="33"/>
      <c r="T374" s="39">
        <v>1000000</v>
      </c>
      <c r="U374" s="40" t="s">
        <v>61</v>
      </c>
      <c r="V374" s="41"/>
      <c r="W374" s="42" t="str">
        <f ca="1">IFERROR(__xludf.DUMMYFUNCTION("""COMPUTED_VALUE"""),"Pesona Lift")</f>
        <v>Pesona Lift</v>
      </c>
      <c r="X374" s="42" t="str">
        <f ca="1"/>
        <v>ON-Pesona Lift-00011900+30-6287821760177</v>
      </c>
      <c r="Y374" s="40" t="s">
        <v>293</v>
      </c>
      <c r="Z374" s="40" t="s">
        <v>1057</v>
      </c>
      <c r="AA374" s="23" t="str">
        <v>https://wa.me/6287821760177</v>
      </c>
      <c r="AB374" s="28" t="s">
        <v>2624</v>
      </c>
      <c r="AC374" s="28"/>
      <c r="AD374" s="28" t="s">
        <v>690</v>
      </c>
      <c r="AE374" s="28"/>
      <c r="AF374" s="29"/>
      <c r="AG374" s="29"/>
    </row>
    <row r="375" spans="1:33" ht="15.75" customHeight="1">
      <c r="A375" s="32" t="s">
        <v>196</v>
      </c>
      <c r="B375" s="33">
        <v>380</v>
      </c>
      <c r="C375" s="34" t="s">
        <v>2625</v>
      </c>
      <c r="D375" s="35">
        <v>46027</v>
      </c>
      <c r="E375" s="35">
        <v>45856</v>
      </c>
      <c r="F375" s="32" t="s">
        <v>2626</v>
      </c>
      <c r="G375" s="32" t="s">
        <v>2627</v>
      </c>
      <c r="H375" s="32" t="s">
        <v>2628</v>
      </c>
      <c r="I375" s="36" t="s">
        <v>2629</v>
      </c>
      <c r="J375" s="52"/>
      <c r="K375" s="32" t="s">
        <v>2630</v>
      </c>
      <c r="L375" s="32" t="s">
        <v>2631</v>
      </c>
      <c r="M375" s="32" t="s">
        <v>48</v>
      </c>
      <c r="N375" s="33">
        <v>5</v>
      </c>
      <c r="O375" s="35"/>
      <c r="P375" s="35"/>
      <c r="Q375" s="37"/>
      <c r="R375" s="38">
        <v>-1003470351325</v>
      </c>
      <c r="S375" s="33"/>
      <c r="T375" s="39">
        <v>197000</v>
      </c>
      <c r="U375" s="40" t="s">
        <v>61</v>
      </c>
      <c r="V375" s="47">
        <v>46028.921390023148</v>
      </c>
      <c r="W375" s="42" t="str">
        <f ca="1">IFERROR(__xludf.DUMMYFUNCTION("""COMPUTED_VALUE"""),"Cidahu Camping")</f>
        <v>Cidahu Camping</v>
      </c>
      <c r="X375" s="42" t="str">
        <f ca="1"/>
        <v>ON-Cidahu Camping-06012026+5-6285773570295</v>
      </c>
      <c r="Y375" s="40" t="s">
        <v>62</v>
      </c>
      <c r="Z375" s="40" t="s">
        <v>1465</v>
      </c>
      <c r="AA375" s="23" t="str">
        <v>https://wa.me/6285773570295</v>
      </c>
      <c r="AB375" s="28" t="s">
        <v>2632</v>
      </c>
      <c r="AC375" s="28"/>
      <c r="AD375" s="28" t="s">
        <v>690</v>
      </c>
      <c r="AE375" s="28"/>
      <c r="AF375" s="29"/>
      <c r="AG375" s="29"/>
    </row>
    <row r="376" spans="1:33" ht="15.75" customHeight="1">
      <c r="A376" s="32" t="s">
        <v>196</v>
      </c>
      <c r="B376" s="33">
        <v>381</v>
      </c>
      <c r="C376" s="34" t="s">
        <v>2633</v>
      </c>
      <c r="D376" s="35">
        <v>45857.198686608797</v>
      </c>
      <c r="E376" s="35">
        <v>45856</v>
      </c>
      <c r="F376" s="32" t="s">
        <v>2634</v>
      </c>
      <c r="G376" s="32" t="s">
        <v>2635</v>
      </c>
      <c r="H376" s="32" t="s">
        <v>2636</v>
      </c>
      <c r="I376" s="36" t="s">
        <v>2637</v>
      </c>
      <c r="J376" s="52" t="s">
        <v>2638</v>
      </c>
      <c r="K376" s="32" t="s">
        <v>2639</v>
      </c>
      <c r="L376" s="32" t="s">
        <v>85</v>
      </c>
      <c r="M376" s="32" t="s">
        <v>60</v>
      </c>
      <c r="N376" s="33">
        <v>5</v>
      </c>
      <c r="O376" s="35"/>
      <c r="P376" s="35"/>
      <c r="Q376" s="37"/>
      <c r="R376" s="38"/>
      <c r="S376" s="33"/>
      <c r="T376" s="39">
        <v>197000</v>
      </c>
      <c r="U376" s="40" t="s">
        <v>61</v>
      </c>
      <c r="V376" s="41"/>
      <c r="W376" s="42" t="str">
        <f ca="1">IFERROR(__xludf.DUMMYFUNCTION("""COMPUTED_VALUE"""),"Interior Dn")</f>
        <v>Interior Dn</v>
      </c>
      <c r="X376" s="42" t="str">
        <f ca="1"/>
        <v>ON-Interior Dn-00011900+5-62895329361572</v>
      </c>
      <c r="Y376" s="40" t="s">
        <v>293</v>
      </c>
      <c r="Z376" s="40" t="s">
        <v>1057</v>
      </c>
      <c r="AA376" s="23" t="str">
        <v>https://wa.me/62895329361572</v>
      </c>
      <c r="AB376" s="28" t="s">
        <v>2640</v>
      </c>
      <c r="AC376" s="28"/>
      <c r="AD376" s="28" t="s">
        <v>690</v>
      </c>
      <c r="AE376" s="28"/>
      <c r="AF376" s="29"/>
      <c r="AG376" s="29"/>
    </row>
    <row r="377" spans="1:33" ht="15.75" customHeight="1">
      <c r="A377" s="32" t="s">
        <v>196</v>
      </c>
      <c r="B377" s="33">
        <v>383</v>
      </c>
      <c r="C377" s="34" t="s">
        <v>2641</v>
      </c>
      <c r="D377" s="35">
        <v>45857.204814236116</v>
      </c>
      <c r="E377" s="35">
        <v>45856</v>
      </c>
      <c r="F377" s="32" t="s">
        <v>2642</v>
      </c>
      <c r="G377" s="32" t="s">
        <v>2643</v>
      </c>
      <c r="H377" s="32" t="s">
        <v>2644</v>
      </c>
      <c r="I377" s="36" t="s">
        <v>2645</v>
      </c>
      <c r="J377" s="52"/>
      <c r="K377" s="32" t="s">
        <v>2646</v>
      </c>
      <c r="L377" s="32" t="s">
        <v>2468</v>
      </c>
      <c r="M377" s="32" t="s">
        <v>60</v>
      </c>
      <c r="N377" s="33">
        <v>5</v>
      </c>
      <c r="O377" s="35"/>
      <c r="P377" s="35"/>
      <c r="Q377" s="37"/>
      <c r="R377" s="38"/>
      <c r="S377" s="33"/>
      <c r="T377" s="39">
        <v>197000</v>
      </c>
      <c r="U377" s="40" t="s">
        <v>61</v>
      </c>
      <c r="V377" s="41"/>
      <c r="W377" s="42" t="str">
        <f ca="1">IFERROR(__xludf.DUMMYFUNCTION("""COMPUTED_VALUE"""),"Cendekia Tiara")</f>
        <v>Cendekia Tiara</v>
      </c>
      <c r="X377" s="42" t="str">
        <f ca="1"/>
        <v>ON-Cendekia Tiara-00011900+5-6281215284044</v>
      </c>
      <c r="Y377" s="40" t="s">
        <v>62</v>
      </c>
      <c r="Z377" s="40" t="s">
        <v>1880</v>
      </c>
      <c r="AA377" s="23" t="str">
        <v>https://wa.me/6281215284044</v>
      </c>
      <c r="AB377" s="28" t="s">
        <v>2647</v>
      </c>
      <c r="AC377" s="28"/>
      <c r="AD377" s="28" t="s">
        <v>690</v>
      </c>
      <c r="AE377" s="28"/>
      <c r="AF377" s="29"/>
      <c r="AG377" s="29"/>
    </row>
    <row r="378" spans="1:33" ht="15.75" customHeight="1">
      <c r="A378" s="32" t="s">
        <v>52</v>
      </c>
      <c r="B378" s="33">
        <v>381</v>
      </c>
      <c r="C378" s="34" t="s">
        <v>2633</v>
      </c>
      <c r="D378" s="35">
        <v>45857.275410798611</v>
      </c>
      <c r="E378" s="35">
        <v>45856</v>
      </c>
      <c r="F378" s="32" t="s">
        <v>905</v>
      </c>
      <c r="G378" s="32" t="s">
        <v>2648</v>
      </c>
      <c r="H378" s="32" t="s">
        <v>1678</v>
      </c>
      <c r="I378" s="36" t="s">
        <v>908</v>
      </c>
      <c r="J378" s="52" t="s">
        <v>2649</v>
      </c>
      <c r="K378" s="32" t="s">
        <v>2650</v>
      </c>
      <c r="L378" s="32" t="s">
        <v>490</v>
      </c>
      <c r="M378" s="32" t="s">
        <v>60</v>
      </c>
      <c r="N378" s="33">
        <v>5</v>
      </c>
      <c r="O378" s="35"/>
      <c r="P378" s="35"/>
      <c r="Q378" s="37"/>
      <c r="R378" s="38"/>
      <c r="S378" s="33"/>
      <c r="T378" s="39">
        <v>375000</v>
      </c>
      <c r="U378" s="40" t="s">
        <v>61</v>
      </c>
      <c r="V378" s="41"/>
      <c r="W378" s="42" t="str">
        <f ca="1">IFERROR(__xludf.DUMMYFUNCTION("""COMPUTED_VALUE"""),"Berkat Property")</f>
        <v>Berkat Property</v>
      </c>
      <c r="X378" s="42" t="str">
        <f ca="1"/>
        <v>ON-Berkat Property-00011900+5-6282183115806</v>
      </c>
      <c r="Y378" s="40"/>
      <c r="Z378" s="40"/>
      <c r="AA378" s="23" t="str">
        <v>https://wa.me/6282183115806</v>
      </c>
      <c r="AB378" s="28"/>
      <c r="AC378" s="28"/>
      <c r="AD378" s="28"/>
      <c r="AE378" s="28"/>
      <c r="AF378" s="29"/>
      <c r="AG378" s="29"/>
    </row>
    <row r="379" spans="1:33" ht="15.75" customHeight="1">
      <c r="A379" s="32" t="s">
        <v>52</v>
      </c>
      <c r="B379" s="33">
        <v>383</v>
      </c>
      <c r="C379" s="34" t="s">
        <v>2641</v>
      </c>
      <c r="D379" s="35">
        <v>45857.282037974539</v>
      </c>
      <c r="E379" s="35">
        <v>45857</v>
      </c>
      <c r="F379" s="32" t="s">
        <v>1126</v>
      </c>
      <c r="G379" s="32" t="s">
        <v>1127</v>
      </c>
      <c r="H379" s="32" t="s">
        <v>1128</v>
      </c>
      <c r="I379" s="36" t="s">
        <v>1129</v>
      </c>
      <c r="J379" s="52" t="s">
        <v>1130</v>
      </c>
      <c r="K379" s="32" t="s">
        <v>173</v>
      </c>
      <c r="L379" s="32" t="s">
        <v>85</v>
      </c>
      <c r="M379" s="32" t="s">
        <v>285</v>
      </c>
      <c r="N379" s="33">
        <v>5</v>
      </c>
      <c r="O379" s="35"/>
      <c r="P379" s="35"/>
      <c r="Q379" s="37"/>
      <c r="R379" s="38"/>
      <c r="S379" s="33"/>
      <c r="T379" s="39">
        <v>197000</v>
      </c>
      <c r="U379" s="40" t="s">
        <v>61</v>
      </c>
      <c r="V379" s="41"/>
      <c r="W379" s="42" t="str">
        <f ca="1">IFERROR(__xludf.DUMMYFUNCTION("""COMPUTED_VALUE"""),"Cipta Gading")</f>
        <v>Cipta Gading</v>
      </c>
      <c r="X379" s="42" t="str">
        <f ca="1"/>
        <v>ON-Cipta Gading-00011900+5-628158830325</v>
      </c>
      <c r="Y379" s="40"/>
      <c r="Z379" s="40"/>
      <c r="AA379" s="23" t="str">
        <v>https://wa.me/628158830325</v>
      </c>
      <c r="AB379" s="28"/>
      <c r="AC379" s="28"/>
      <c r="AD379" s="28"/>
      <c r="AE379" s="28"/>
      <c r="AF379" s="29"/>
      <c r="AG379" s="29"/>
    </row>
    <row r="380" spans="1:33" ht="15.75" customHeight="1">
      <c r="A380" s="32" t="s">
        <v>196</v>
      </c>
      <c r="B380" s="33">
        <v>383</v>
      </c>
      <c r="C380" s="34" t="s">
        <v>2641</v>
      </c>
      <c r="D380" s="35">
        <v>45857.31623055556</v>
      </c>
      <c r="E380" s="35">
        <v>45854</v>
      </c>
      <c r="F380" s="32" t="s">
        <v>2651</v>
      </c>
      <c r="G380" s="32" t="s">
        <v>2652</v>
      </c>
      <c r="H380" s="32" t="s">
        <v>1829</v>
      </c>
      <c r="I380" s="36" t="s">
        <v>2653</v>
      </c>
      <c r="J380" s="52"/>
      <c r="K380" s="32" t="s">
        <v>570</v>
      </c>
      <c r="L380" s="32" t="s">
        <v>2654</v>
      </c>
      <c r="M380" s="32" t="s">
        <v>2655</v>
      </c>
      <c r="N380" s="33">
        <v>14</v>
      </c>
      <c r="O380" s="35"/>
      <c r="P380" s="35"/>
      <c r="Q380" s="37"/>
      <c r="R380" s="38"/>
      <c r="S380" s="33"/>
      <c r="T380" s="39">
        <v>550</v>
      </c>
      <c r="U380" s="40" t="s">
        <v>49</v>
      </c>
      <c r="V380" s="41"/>
      <c r="W380" s="42" t="str">
        <f ca="1">IFERROR(__xludf.DUMMYFUNCTION("""COMPUTED_VALUE"""),"HM VIP")</f>
        <v>HM VIP</v>
      </c>
      <c r="X380" s="42" t="str">
        <f ca="1"/>
        <v>ON-HM VIP-00011900+14-6281225745133</v>
      </c>
      <c r="Y380" s="40" t="s">
        <v>62</v>
      </c>
      <c r="Z380" s="40" t="s">
        <v>1880</v>
      </c>
      <c r="AA380" s="23" t="str">
        <v>https://wa.me/6281225745133</v>
      </c>
      <c r="AB380" s="28" t="s">
        <v>2656</v>
      </c>
      <c r="AC380" s="28"/>
      <c r="AD380" s="28" t="s">
        <v>690</v>
      </c>
      <c r="AE380" s="28"/>
      <c r="AF380" s="29"/>
      <c r="AG380" s="29"/>
    </row>
    <row r="381" spans="1:33" ht="15.75" customHeight="1">
      <c r="A381" s="32" t="s">
        <v>196</v>
      </c>
      <c r="B381" s="33">
        <v>384</v>
      </c>
      <c r="C381" s="34" t="s">
        <v>2657</v>
      </c>
      <c r="D381" s="35">
        <v>45857.352831180557</v>
      </c>
      <c r="E381" s="35">
        <v>45857</v>
      </c>
      <c r="F381" s="32" t="s">
        <v>2658</v>
      </c>
      <c r="G381" s="32" t="s">
        <v>2659</v>
      </c>
      <c r="H381" s="32" t="s">
        <v>2660</v>
      </c>
      <c r="I381" s="36" t="s">
        <v>2661</v>
      </c>
      <c r="J381" s="52"/>
      <c r="K381" s="32" t="s">
        <v>1381</v>
      </c>
      <c r="L381" s="32" t="s">
        <v>1491</v>
      </c>
      <c r="M381" s="32" t="s">
        <v>60</v>
      </c>
      <c r="N381" s="33">
        <v>5</v>
      </c>
      <c r="O381" s="35"/>
      <c r="P381" s="35"/>
      <c r="Q381" s="37"/>
      <c r="R381" s="38"/>
      <c r="S381" s="33"/>
      <c r="T381" s="39">
        <v>197000</v>
      </c>
      <c r="U381" s="40" t="s">
        <v>61</v>
      </c>
      <c r="V381" s="41"/>
      <c r="W381" s="42" t="str">
        <f ca="1">IFERROR(__xludf.DUMMYFUNCTION("""COMPUTED_VALUE"""),"Tanjung Transport")</f>
        <v>Tanjung Transport</v>
      </c>
      <c r="X381" s="42" t="str">
        <f ca="1"/>
        <v>ON-Tanjung Transport-00011900+5-6287762707927</v>
      </c>
      <c r="Y381" s="40" t="s">
        <v>62</v>
      </c>
      <c r="Z381" s="40" t="s">
        <v>1880</v>
      </c>
      <c r="AA381" s="23" t="str">
        <v>https://wa.me/6287762707927</v>
      </c>
      <c r="AB381" s="28" t="s">
        <v>2662</v>
      </c>
      <c r="AC381" s="28"/>
      <c r="AD381" s="28" t="s">
        <v>690</v>
      </c>
      <c r="AE381" s="28"/>
      <c r="AF381" s="29"/>
      <c r="AG381" s="29"/>
    </row>
    <row r="382" spans="1:33" ht="15.75" customHeight="1">
      <c r="A382" s="32" t="s">
        <v>196</v>
      </c>
      <c r="B382" s="33">
        <v>385</v>
      </c>
      <c r="C382" s="34" t="s">
        <v>2663</v>
      </c>
      <c r="D382" s="35">
        <v>45857.447152766203</v>
      </c>
      <c r="E382" s="35">
        <v>45857</v>
      </c>
      <c r="F382" s="32" t="s">
        <v>2664</v>
      </c>
      <c r="G382" s="32" t="s">
        <v>1424</v>
      </c>
      <c r="H382" s="32" t="s">
        <v>1522</v>
      </c>
      <c r="I382" s="36" t="s">
        <v>1426</v>
      </c>
      <c r="J382" s="52"/>
      <c r="K382" s="32" t="s">
        <v>2665</v>
      </c>
      <c r="L382" s="32" t="s">
        <v>2666</v>
      </c>
      <c r="M382" s="32" t="s">
        <v>38</v>
      </c>
      <c r="N382" s="33">
        <v>5</v>
      </c>
      <c r="O382" s="35">
        <v>45863</v>
      </c>
      <c r="P382" s="35">
        <v>45868</v>
      </c>
      <c r="Q382" s="37"/>
      <c r="R382" s="38"/>
      <c r="S382" s="33"/>
      <c r="T382" s="39">
        <v>197000</v>
      </c>
      <c r="U382" s="40" t="s">
        <v>1774</v>
      </c>
      <c r="V382" s="41"/>
      <c r="W382" s="42" t="str">
        <f ca="1">IFERROR(__xludf.DUMMYFUNCTION("""COMPUTED_VALUE"""),"Griya Relaxology")</f>
        <v>Griya Relaxology</v>
      </c>
      <c r="X382" s="42" t="str">
        <f ca="1"/>
        <v>ON-Griya Relaxology-00011900+5-6285869122507</v>
      </c>
      <c r="Y382" s="40" t="s">
        <v>62</v>
      </c>
      <c r="Z382" s="40" t="s">
        <v>639</v>
      </c>
      <c r="AA382" s="23" t="str">
        <v>https://wa.me/6285869122507</v>
      </c>
      <c r="AB382" s="28" t="s">
        <v>2667</v>
      </c>
      <c r="AC382" s="28"/>
      <c r="AD382" s="28" t="s">
        <v>690</v>
      </c>
      <c r="AE382" s="28"/>
      <c r="AF382" s="29"/>
      <c r="AG382" s="29"/>
    </row>
    <row r="383" spans="1:33" ht="15.75" customHeight="1">
      <c r="A383" s="32" t="s">
        <v>196</v>
      </c>
      <c r="B383" s="33">
        <v>389</v>
      </c>
      <c r="C383" s="34" t="s">
        <v>2668</v>
      </c>
      <c r="D383" s="35">
        <v>45857.541015601848</v>
      </c>
      <c r="E383" s="35">
        <v>45855</v>
      </c>
      <c r="F383" s="32" t="s">
        <v>2669</v>
      </c>
      <c r="G383" s="32" t="s">
        <v>2670</v>
      </c>
      <c r="H383" s="32" t="s">
        <v>2671</v>
      </c>
      <c r="I383" s="36" t="s">
        <v>2672</v>
      </c>
      <c r="J383" s="52"/>
      <c r="K383" s="32" t="s">
        <v>2673</v>
      </c>
      <c r="L383" s="32" t="s">
        <v>2674</v>
      </c>
      <c r="M383" s="32" t="s">
        <v>92</v>
      </c>
      <c r="N383" s="33">
        <v>5</v>
      </c>
      <c r="O383" s="35"/>
      <c r="P383" s="35"/>
      <c r="Q383" s="37"/>
      <c r="R383" s="38"/>
      <c r="S383" s="33"/>
      <c r="T383" s="39">
        <v>197000</v>
      </c>
      <c r="U383" s="40" t="s">
        <v>1229</v>
      </c>
      <c r="V383" s="41"/>
      <c r="W383" s="42" t="str">
        <f ca="1">IFERROR(__xludf.DUMMYFUNCTION("""COMPUTED_VALUE"""),"panti sehat")</f>
        <v>panti sehat</v>
      </c>
      <c r="X383" s="42" t="str">
        <f ca="1"/>
        <v>ON-panti sehat-00011900+5-6281999375257</v>
      </c>
      <c r="Y383" s="40" t="s">
        <v>62</v>
      </c>
      <c r="Z383" s="40" t="s">
        <v>639</v>
      </c>
      <c r="AA383" s="23" t="str">
        <v>https://wa.me/6281999375257</v>
      </c>
      <c r="AB383" s="28" t="s">
        <v>2675</v>
      </c>
      <c r="AC383" s="28"/>
      <c r="AD383" s="28" t="s">
        <v>690</v>
      </c>
      <c r="AE383" s="28"/>
      <c r="AF383" s="29"/>
      <c r="AG383" s="29"/>
    </row>
    <row r="384" spans="1:33" ht="15.75" customHeight="1">
      <c r="A384" s="32" t="s">
        <v>52</v>
      </c>
      <c r="B384" s="33">
        <v>390</v>
      </c>
      <c r="C384" s="34" t="s">
        <v>2676</v>
      </c>
      <c r="D384" s="35">
        <v>45857.70466797454</v>
      </c>
      <c r="E384" s="35">
        <v>45857</v>
      </c>
      <c r="F384" s="32" t="s">
        <v>642</v>
      </c>
      <c r="G384" s="32" t="s">
        <v>643</v>
      </c>
      <c r="H384" s="32" t="s">
        <v>644</v>
      </c>
      <c r="I384" s="36" t="s">
        <v>645</v>
      </c>
      <c r="J384" s="52" t="s">
        <v>1457</v>
      </c>
      <c r="K384" s="32" t="s">
        <v>646</v>
      </c>
      <c r="L384" s="32" t="s">
        <v>647</v>
      </c>
      <c r="M384" s="32" t="s">
        <v>382</v>
      </c>
      <c r="N384" s="33">
        <v>14</v>
      </c>
      <c r="O384" s="35"/>
      <c r="P384" s="35"/>
      <c r="Q384" s="37"/>
      <c r="R384" s="38"/>
      <c r="S384" s="33"/>
      <c r="T384" s="39">
        <v>550000</v>
      </c>
      <c r="U384" s="40" t="s">
        <v>115</v>
      </c>
      <c r="V384" s="41"/>
      <c r="W384" s="42" t="str">
        <f ca="1">IFERROR(__xludf.DUMMYFUNCTION("""COMPUTED_VALUE"""),"CV Fajar")</f>
        <v>CV Fajar</v>
      </c>
      <c r="X384" s="42" t="str">
        <f ca="1"/>
        <v>ON-CV Fajar-00011900+14-6281338789995</v>
      </c>
      <c r="Y384" s="40"/>
      <c r="Z384" s="40"/>
      <c r="AA384" s="23" t="str">
        <v>https://wa.me/6281338789995</v>
      </c>
      <c r="AB384" s="28"/>
      <c r="AC384" s="28"/>
      <c r="AD384" s="28"/>
      <c r="AE384" s="28"/>
      <c r="AF384" s="29"/>
      <c r="AG384" s="29"/>
    </row>
    <row r="385" spans="1:33" ht="15.75" customHeight="1">
      <c r="A385" s="32" t="s">
        <v>52</v>
      </c>
      <c r="B385" s="33">
        <v>391</v>
      </c>
      <c r="C385" s="34" t="s">
        <v>2677</v>
      </c>
      <c r="D385" s="35">
        <v>45857.850757488428</v>
      </c>
      <c r="E385" s="35">
        <v>45827</v>
      </c>
      <c r="F385" s="32" t="s">
        <v>1239</v>
      </c>
      <c r="G385" s="32" t="s">
        <v>1240</v>
      </c>
      <c r="H385" s="32" t="s">
        <v>1030</v>
      </c>
      <c r="I385" s="36" t="s">
        <v>1241</v>
      </c>
      <c r="J385" s="52" t="s">
        <v>2678</v>
      </c>
      <c r="K385" s="32" t="s">
        <v>1242</v>
      </c>
      <c r="L385" s="32" t="s">
        <v>1243</v>
      </c>
      <c r="M385" s="32" t="s">
        <v>205</v>
      </c>
      <c r="N385" s="33">
        <v>5</v>
      </c>
      <c r="O385" s="35"/>
      <c r="P385" s="35"/>
      <c r="Q385" s="37"/>
      <c r="R385" s="38"/>
      <c r="S385" s="33"/>
      <c r="T385" s="39">
        <v>197000</v>
      </c>
      <c r="U385" s="40" t="s">
        <v>61</v>
      </c>
      <c r="V385" s="41"/>
      <c r="W385" s="42" t="str">
        <f ca="1">IFERROR(__xludf.DUMMYFUNCTION("""COMPUTED_VALUE"""),"Rumah Sehat")</f>
        <v>Rumah Sehat</v>
      </c>
      <c r="X385" s="42" t="str">
        <f ca="1"/>
        <v>ON-Rumah Sehat-00011900+5-6282172291579</v>
      </c>
      <c r="Y385" s="40"/>
      <c r="Z385" s="40"/>
      <c r="AA385" s="23" t="str">
        <v>https://wa.me/6282172291579</v>
      </c>
      <c r="AB385" s="28"/>
      <c r="AC385" s="28"/>
      <c r="AD385" s="28"/>
      <c r="AE385" s="28"/>
      <c r="AF385" s="29"/>
      <c r="AG385" s="29"/>
    </row>
    <row r="386" spans="1:33" ht="15.75" customHeight="1">
      <c r="A386" s="32" t="s">
        <v>196</v>
      </c>
      <c r="B386" s="33">
        <v>394</v>
      </c>
      <c r="C386" s="34" t="s">
        <v>2679</v>
      </c>
      <c r="D386" s="35">
        <v>45857.858258680557</v>
      </c>
      <c r="E386" s="35">
        <v>45857</v>
      </c>
      <c r="F386" s="32" t="s">
        <v>2680</v>
      </c>
      <c r="G386" s="32" t="s">
        <v>2681</v>
      </c>
      <c r="H386" s="32" t="s">
        <v>2248</v>
      </c>
      <c r="I386" s="36" t="s">
        <v>2682</v>
      </c>
      <c r="J386" s="52" t="s">
        <v>2683</v>
      </c>
      <c r="K386" s="32" t="s">
        <v>2684</v>
      </c>
      <c r="L386" s="32" t="s">
        <v>166</v>
      </c>
      <c r="M386" s="32" t="s">
        <v>60</v>
      </c>
      <c r="N386" s="33">
        <v>5</v>
      </c>
      <c r="O386" s="35">
        <v>45860</v>
      </c>
      <c r="P386" s="35">
        <v>45865</v>
      </c>
      <c r="Q386" s="37"/>
      <c r="R386" s="38"/>
      <c r="S386" s="33"/>
      <c r="T386" s="39">
        <v>197000</v>
      </c>
      <c r="U386" s="40" t="s">
        <v>61</v>
      </c>
      <c r="V386" s="41"/>
      <c r="W386" s="42" t="str">
        <f ca="1">IFERROR(__xludf.DUMMYFUNCTION("""COMPUTED_VALUE"""),"CV ATN")</f>
        <v>CV ATN</v>
      </c>
      <c r="X386" s="42" t="str">
        <f ca="1"/>
        <v>ON-CV ATN-00011900+5-6282169354443</v>
      </c>
      <c r="Y386" s="40" t="s">
        <v>62</v>
      </c>
      <c r="Z386" s="40" t="s">
        <v>1880</v>
      </c>
      <c r="AA386" s="23" t="str">
        <v>https://wa.me/6282169354443</v>
      </c>
      <c r="AB386" s="28" t="s">
        <v>2685</v>
      </c>
      <c r="AC386" s="28"/>
      <c r="AD386" s="28" t="s">
        <v>690</v>
      </c>
      <c r="AE386" s="28"/>
      <c r="AF386" s="29"/>
      <c r="AG386" s="29"/>
    </row>
    <row r="387" spans="1:33" ht="15.75" customHeight="1">
      <c r="A387" s="32" t="s">
        <v>196</v>
      </c>
      <c r="B387" s="33">
        <v>396</v>
      </c>
      <c r="C387" s="34" t="s">
        <v>2686</v>
      </c>
      <c r="D387" s="35">
        <v>45857.867441226852</v>
      </c>
      <c r="E387" s="35">
        <v>45853</v>
      </c>
      <c r="F387" s="32" t="s">
        <v>2687</v>
      </c>
      <c r="G387" s="32" t="s">
        <v>2688</v>
      </c>
      <c r="H387" s="32" t="s">
        <v>1977</v>
      </c>
      <c r="I387" s="36" t="s">
        <v>2689</v>
      </c>
      <c r="J387" s="52"/>
      <c r="K387" s="32" t="s">
        <v>2690</v>
      </c>
      <c r="L387" s="32" t="s">
        <v>92</v>
      </c>
      <c r="M387" s="32" t="s">
        <v>60</v>
      </c>
      <c r="N387" s="33">
        <v>5</v>
      </c>
      <c r="O387" s="35"/>
      <c r="P387" s="35"/>
      <c r="Q387" s="37"/>
      <c r="R387" s="38"/>
      <c r="S387" s="33"/>
      <c r="T387" s="39">
        <v>197000</v>
      </c>
      <c r="U387" s="40"/>
      <c r="V387" s="41"/>
      <c r="W387" s="42" t="str">
        <f ca="1">IFERROR(__xludf.DUMMYFUNCTION("""COMPUTED_VALUE"""),"Srikandi Tour")</f>
        <v>Srikandi Tour</v>
      </c>
      <c r="X387" s="42" t="str">
        <f ca="1"/>
        <v>ON-Srikandi Tour-00011900+5-6281392854108</v>
      </c>
      <c r="Y387" s="40" t="s">
        <v>62</v>
      </c>
      <c r="Z387" s="40" t="s">
        <v>1880</v>
      </c>
      <c r="AA387" s="23" t="str">
        <v>https://wa.me/6281392854108</v>
      </c>
      <c r="AB387" s="28" t="s">
        <v>2691</v>
      </c>
      <c r="AC387" s="28"/>
      <c r="AD387" s="28" t="s">
        <v>690</v>
      </c>
      <c r="AE387" s="28"/>
      <c r="AF387" s="29">
        <v>45870</v>
      </c>
      <c r="AG387" s="29"/>
    </row>
    <row r="388" spans="1:33" ht="15.75" customHeight="1">
      <c r="A388" s="32" t="s">
        <v>196</v>
      </c>
      <c r="B388" s="33">
        <v>391</v>
      </c>
      <c r="C388" s="34" t="s">
        <v>2677</v>
      </c>
      <c r="D388" s="35">
        <v>45858.223388576385</v>
      </c>
      <c r="E388" s="35">
        <v>45857</v>
      </c>
      <c r="F388" s="32" t="s">
        <v>2692</v>
      </c>
      <c r="G388" s="32" t="s">
        <v>2693</v>
      </c>
      <c r="H388" s="32" t="s">
        <v>595</v>
      </c>
      <c r="I388" s="36" t="s">
        <v>2694</v>
      </c>
      <c r="J388" s="52" t="s">
        <v>2695</v>
      </c>
      <c r="K388" s="32" t="s">
        <v>2696</v>
      </c>
      <c r="L388" s="32" t="s">
        <v>2133</v>
      </c>
      <c r="M388" s="32" t="s">
        <v>60</v>
      </c>
      <c r="N388" s="33">
        <v>7</v>
      </c>
      <c r="O388" s="35"/>
      <c r="P388" s="35"/>
      <c r="Q388" s="37"/>
      <c r="R388" s="38"/>
      <c r="S388" s="33"/>
      <c r="T388" s="39">
        <v>297000</v>
      </c>
      <c r="U388" s="40" t="s">
        <v>61</v>
      </c>
      <c r="V388" s="41"/>
      <c r="W388" s="42" t="str">
        <f ca="1">IFERROR(__xludf.DUMMYFUNCTION("""COMPUTED_VALUE"""),"CV Karya")</f>
        <v>CV Karya</v>
      </c>
      <c r="X388" s="42" t="str">
        <f ca="1"/>
        <v>ON-CV Karya-00011900+7-6285888590045</v>
      </c>
      <c r="Y388" s="40" t="s">
        <v>293</v>
      </c>
      <c r="Z388" s="40" t="s">
        <v>1057</v>
      </c>
      <c r="AA388" s="23" t="str">
        <v>https://wa.me/6285888590045</v>
      </c>
      <c r="AB388" s="28" t="s">
        <v>2697</v>
      </c>
      <c r="AC388" s="28"/>
      <c r="AD388" s="28" t="s">
        <v>690</v>
      </c>
      <c r="AE388" s="28"/>
      <c r="AF388" s="29"/>
      <c r="AG388" s="29"/>
    </row>
    <row r="389" spans="1:33" ht="15.75" customHeight="1">
      <c r="A389" s="32" t="s">
        <v>196</v>
      </c>
      <c r="B389" s="33">
        <v>393</v>
      </c>
      <c r="C389" s="34" t="s">
        <v>2698</v>
      </c>
      <c r="D389" s="35">
        <v>45858.294965231486</v>
      </c>
      <c r="E389" s="35">
        <v>45858</v>
      </c>
      <c r="F389" s="32" t="s">
        <v>2699</v>
      </c>
      <c r="G389" s="32" t="s">
        <v>2700</v>
      </c>
      <c r="H389" s="32" t="s">
        <v>2701</v>
      </c>
      <c r="I389" s="36" t="s">
        <v>2702</v>
      </c>
      <c r="J389" s="52"/>
      <c r="K389" s="32" t="s">
        <v>2703</v>
      </c>
      <c r="L389" s="32" t="s">
        <v>2704</v>
      </c>
      <c r="M389" s="32" t="s">
        <v>382</v>
      </c>
      <c r="N389" s="33">
        <v>10</v>
      </c>
      <c r="O389" s="35"/>
      <c r="P389" s="35"/>
      <c r="Q389" s="37"/>
      <c r="R389" s="38"/>
      <c r="S389" s="33"/>
      <c r="T389" s="39">
        <v>375000</v>
      </c>
      <c r="U389" s="40" t="s">
        <v>115</v>
      </c>
      <c r="V389" s="41"/>
      <c r="W389" s="42" t="str">
        <f ca="1">IFERROR(__xludf.DUMMYFUNCTION("""COMPUTED_VALUE"""),"FANILA PIZZA")</f>
        <v>FANILA PIZZA</v>
      </c>
      <c r="X389" s="42" t="str">
        <f ca="1"/>
        <v>ON-FANILA PIZZA-00011900+10-6282197248722</v>
      </c>
      <c r="Y389" s="40" t="s">
        <v>62</v>
      </c>
      <c r="Z389" s="40" t="s">
        <v>1861</v>
      </c>
      <c r="AA389" s="23" t="str">
        <v>https://wa.me/6282197248722</v>
      </c>
      <c r="AB389" s="28" t="s">
        <v>2705</v>
      </c>
      <c r="AC389" s="28"/>
      <c r="AD389" s="28" t="s">
        <v>690</v>
      </c>
      <c r="AE389" s="28"/>
      <c r="AF389" s="29"/>
      <c r="AG389" s="29"/>
    </row>
    <row r="390" spans="1:33" ht="15.75" customHeight="1">
      <c r="A390" s="32" t="s">
        <v>196</v>
      </c>
      <c r="B390" s="33">
        <v>395</v>
      </c>
      <c r="C390" s="34" t="s">
        <v>2706</v>
      </c>
      <c r="D390" s="35">
        <v>45858.337209837962</v>
      </c>
      <c r="E390" s="35">
        <v>45858</v>
      </c>
      <c r="F390" s="32" t="s">
        <v>2707</v>
      </c>
      <c r="G390" s="32" t="s">
        <v>2369</v>
      </c>
      <c r="H390" s="32" t="s">
        <v>2708</v>
      </c>
      <c r="I390" s="36" t="s">
        <v>2709</v>
      </c>
      <c r="J390" s="52" t="s">
        <v>2710</v>
      </c>
      <c r="K390" s="32" t="s">
        <v>2711</v>
      </c>
      <c r="L390" s="32" t="s">
        <v>2712</v>
      </c>
      <c r="M390" s="32" t="s">
        <v>249</v>
      </c>
      <c r="N390" s="33">
        <v>10</v>
      </c>
      <c r="O390" s="35"/>
      <c r="P390" s="35"/>
      <c r="Q390" s="37"/>
      <c r="R390" s="38"/>
      <c r="S390" s="33"/>
      <c r="T390" s="39">
        <v>375000</v>
      </c>
      <c r="U390" s="40" t="s">
        <v>1774</v>
      </c>
      <c r="V390" s="41"/>
      <c r="W390" s="42" t="str">
        <f ca="1">IFERROR(__xludf.DUMMYFUNCTION("""COMPUTED_VALUE"""),"Pijat Sehat")</f>
        <v>Pijat Sehat</v>
      </c>
      <c r="X390" s="42" t="str">
        <f ca="1"/>
        <v>ON-Pijat Sehat-00011900+10-6281219329853</v>
      </c>
      <c r="Y390" s="40" t="s">
        <v>62</v>
      </c>
      <c r="Z390" s="40" t="s">
        <v>639</v>
      </c>
      <c r="AA390" s="23" t="str">
        <v>https://wa.me/6281219329853</v>
      </c>
      <c r="AB390" s="28" t="s">
        <v>2713</v>
      </c>
      <c r="AC390" s="28"/>
      <c r="AD390" s="28" t="s">
        <v>690</v>
      </c>
      <c r="AE390" s="28"/>
      <c r="AF390" s="29"/>
      <c r="AG390" s="29"/>
    </row>
    <row r="391" spans="1:33" ht="15.75" customHeight="1">
      <c r="A391" s="32" t="s">
        <v>196</v>
      </c>
      <c r="B391" s="33">
        <v>396</v>
      </c>
      <c r="C391" s="34" t="s">
        <v>2686</v>
      </c>
      <c r="D391" s="35">
        <v>45858.36922724537</v>
      </c>
      <c r="E391" s="35">
        <v>45857</v>
      </c>
      <c r="F391" s="32" t="s">
        <v>2714</v>
      </c>
      <c r="G391" s="32" t="s">
        <v>2715</v>
      </c>
      <c r="H391" s="32" t="s">
        <v>595</v>
      </c>
      <c r="I391" s="36" t="s">
        <v>2716</v>
      </c>
      <c r="J391" s="52" t="s">
        <v>2717</v>
      </c>
      <c r="K391" s="32" t="s">
        <v>2718</v>
      </c>
      <c r="L391" s="32" t="s">
        <v>85</v>
      </c>
      <c r="M391" s="32" t="s">
        <v>60</v>
      </c>
      <c r="N391" s="33">
        <v>5</v>
      </c>
      <c r="O391" s="35"/>
      <c r="Q391" s="37"/>
      <c r="R391" s="38"/>
      <c r="S391" s="33"/>
      <c r="T391" s="39">
        <v>197000</v>
      </c>
      <c r="U391" s="40" t="s">
        <v>61</v>
      </c>
      <c r="V391" s="41"/>
      <c r="W391" s="42" t="str">
        <f ca="1">IFERROR(__xludf.DUMMYFUNCTION("""COMPUTED_VALUE"""),"CV SEJAHTERA")</f>
        <v>CV SEJAHTERA</v>
      </c>
      <c r="X391" s="42" t="str">
        <f ca="1"/>
        <v>ON-CV SEJAHTERA-00011900+5-6285268858846</v>
      </c>
      <c r="Y391" s="40" t="s">
        <v>293</v>
      </c>
      <c r="Z391" s="40" t="s">
        <v>1057</v>
      </c>
      <c r="AA391" s="23" t="str">
        <v>https://wa.me/6285268858846</v>
      </c>
      <c r="AB391" s="28" t="s">
        <v>2719</v>
      </c>
      <c r="AC391" s="28"/>
      <c r="AD391" s="28" t="s">
        <v>690</v>
      </c>
      <c r="AE391" s="28"/>
      <c r="AF391" s="29"/>
      <c r="AG391" s="29"/>
    </row>
    <row r="392" spans="1:33" ht="15.75" customHeight="1">
      <c r="A392" s="32" t="s">
        <v>196</v>
      </c>
      <c r="B392" s="33">
        <v>397</v>
      </c>
      <c r="C392" s="34" t="s">
        <v>2720</v>
      </c>
      <c r="D392" s="35">
        <v>45858.378304189813</v>
      </c>
      <c r="E392" s="35">
        <v>45858</v>
      </c>
      <c r="F392" s="32" t="s">
        <v>2721</v>
      </c>
      <c r="G392" s="32" t="s">
        <v>2722</v>
      </c>
      <c r="H392" s="32" t="s">
        <v>2723</v>
      </c>
      <c r="I392" s="36" t="s">
        <v>2724</v>
      </c>
      <c r="J392" s="52"/>
      <c r="K392" s="32" t="s">
        <v>2725</v>
      </c>
      <c r="L392" s="32" t="s">
        <v>2313</v>
      </c>
      <c r="M392" s="32" t="s">
        <v>60</v>
      </c>
      <c r="N392" s="33">
        <v>5</v>
      </c>
      <c r="O392" s="35"/>
      <c r="P392" s="35"/>
      <c r="Q392" s="37"/>
      <c r="R392" s="38"/>
      <c r="S392" s="33"/>
      <c r="T392" s="39">
        <v>150000</v>
      </c>
      <c r="U392" s="40" t="s">
        <v>61</v>
      </c>
      <c r="V392" s="41"/>
      <c r="W392" s="42" t="str">
        <f ca="1">IFERROR(__xludf.DUMMYFUNCTION("""COMPUTED_VALUE"""),"Kharisma Wedding")</f>
        <v>Kharisma Wedding</v>
      </c>
      <c r="X392" s="42" t="str">
        <f ca="1"/>
        <v>ON-Kharisma Wedding-00011900+5-628155157779</v>
      </c>
      <c r="Y392" s="40" t="s">
        <v>62</v>
      </c>
      <c r="Z392" s="40" t="s">
        <v>1465</v>
      </c>
      <c r="AA392" s="23" t="str">
        <v>https://wa.me/628155157779</v>
      </c>
      <c r="AB392" s="28" t="s">
        <v>2726</v>
      </c>
      <c r="AC392" s="28"/>
      <c r="AD392" s="28" t="s">
        <v>690</v>
      </c>
      <c r="AE392" s="28"/>
      <c r="AF392" s="29"/>
      <c r="AG392" s="29"/>
    </row>
    <row r="393" spans="1:33" ht="15.75" customHeight="1">
      <c r="A393" s="32" t="s">
        <v>196</v>
      </c>
      <c r="B393" s="33">
        <v>398</v>
      </c>
      <c r="C393" s="34" t="s">
        <v>2727</v>
      </c>
      <c r="D393" s="35">
        <v>45858.543531863426</v>
      </c>
      <c r="E393" s="35">
        <v>45856</v>
      </c>
      <c r="F393" s="32" t="s">
        <v>2728</v>
      </c>
      <c r="G393" s="32" t="s">
        <v>2729</v>
      </c>
      <c r="H393" s="32" t="s">
        <v>2730</v>
      </c>
      <c r="I393" s="36" t="s">
        <v>2731</v>
      </c>
      <c r="J393" s="52" t="s">
        <v>2732</v>
      </c>
      <c r="K393" s="32" t="s">
        <v>2733</v>
      </c>
      <c r="L393" s="32" t="s">
        <v>37</v>
      </c>
      <c r="M393" s="32" t="s">
        <v>1534</v>
      </c>
      <c r="N393" s="33">
        <v>5</v>
      </c>
      <c r="O393" s="35"/>
      <c r="P393" s="35"/>
      <c r="Q393" s="37"/>
      <c r="R393" s="38"/>
      <c r="S393" s="33"/>
      <c r="T393" s="39">
        <v>197000</v>
      </c>
      <c r="U393" s="40" t="s">
        <v>49</v>
      </c>
      <c r="V393" s="41"/>
      <c r="W393" s="42" t="str">
        <f ca="1">IFERROR(__xludf.DUMMYFUNCTION("""COMPUTED_VALUE"""),"HZ Teknik")</f>
        <v>HZ Teknik</v>
      </c>
      <c r="X393" s="42" t="str">
        <f ca="1"/>
        <v>ON-HZ Teknik-00011900+5-6282123039124</v>
      </c>
      <c r="Y393" s="40" t="s">
        <v>62</v>
      </c>
      <c r="Z393" s="40" t="s">
        <v>277</v>
      </c>
      <c r="AA393" s="23" t="str">
        <v>https://wa.me/6282123039124</v>
      </c>
      <c r="AB393" s="28" t="s">
        <v>2734</v>
      </c>
      <c r="AC393" s="28"/>
      <c r="AD393" s="28" t="s">
        <v>690</v>
      </c>
      <c r="AE393" s="28"/>
      <c r="AF393" s="29"/>
      <c r="AG393" s="29"/>
    </row>
    <row r="394" spans="1:33" ht="15.75" customHeight="1">
      <c r="A394" s="32" t="s">
        <v>196</v>
      </c>
      <c r="B394" s="33">
        <v>400</v>
      </c>
      <c r="C394" s="34" t="s">
        <v>2735</v>
      </c>
      <c r="D394" s="35">
        <v>45858.606485717595</v>
      </c>
      <c r="E394" s="35">
        <v>45858</v>
      </c>
      <c r="F394" s="32" t="s">
        <v>2736</v>
      </c>
      <c r="G394" s="32" t="s">
        <v>2737</v>
      </c>
      <c r="H394" s="32" t="s">
        <v>2738</v>
      </c>
      <c r="I394" s="36" t="s">
        <v>2739</v>
      </c>
      <c r="J394" s="52"/>
      <c r="K394" s="32" t="s">
        <v>2740</v>
      </c>
      <c r="L394" s="32" t="s">
        <v>2432</v>
      </c>
      <c r="M394" s="32" t="s">
        <v>60</v>
      </c>
      <c r="N394" s="33">
        <v>30</v>
      </c>
      <c r="O394" s="35"/>
      <c r="P394" s="35"/>
      <c r="Q394" s="37"/>
      <c r="R394" s="38"/>
      <c r="S394" s="33"/>
      <c r="T394" s="39">
        <v>1000000</v>
      </c>
      <c r="U394" s="40" t="s">
        <v>61</v>
      </c>
      <c r="V394" s="41"/>
      <c r="W394" s="42" t="str">
        <f ca="1">IFERROR(__xludf.DUMMYFUNCTION("""COMPUTED_VALUE"""),"Herbal Mantun")</f>
        <v>Herbal Mantun</v>
      </c>
      <c r="X394" s="42" t="str">
        <f ca="1"/>
        <v>ON-Herbal Mantun-00011900+30-62816904358</v>
      </c>
      <c r="Y394" s="40" t="s">
        <v>62</v>
      </c>
      <c r="Z394" s="40" t="s">
        <v>639</v>
      </c>
      <c r="AA394" s="23" t="str">
        <v>https://wa.me/62816904358</v>
      </c>
      <c r="AB394" s="28" t="s">
        <v>2741</v>
      </c>
      <c r="AC394" s="28"/>
      <c r="AD394" s="28" t="s">
        <v>690</v>
      </c>
      <c r="AE394" s="28"/>
      <c r="AF394" s="29"/>
      <c r="AG394" s="29"/>
    </row>
    <row r="395" spans="1:33" ht="15.75" customHeight="1">
      <c r="A395" s="32" t="s">
        <v>196</v>
      </c>
      <c r="B395" s="33">
        <v>401</v>
      </c>
      <c r="C395" s="34" t="s">
        <v>2742</v>
      </c>
      <c r="D395" s="35">
        <v>45858.645809456022</v>
      </c>
      <c r="E395" s="35">
        <v>45852</v>
      </c>
      <c r="F395" s="32" t="s">
        <v>2376</v>
      </c>
      <c r="G395" s="32" t="s">
        <v>2377</v>
      </c>
      <c r="H395" s="32" t="s">
        <v>2378</v>
      </c>
      <c r="I395" s="36" t="s">
        <v>2743</v>
      </c>
      <c r="J395" s="52" t="s">
        <v>2380</v>
      </c>
      <c r="K395" s="32" t="s">
        <v>2381</v>
      </c>
      <c r="L395" s="32" t="s">
        <v>2382</v>
      </c>
      <c r="M395" s="32" t="s">
        <v>60</v>
      </c>
      <c r="N395" s="33">
        <v>5</v>
      </c>
      <c r="O395" s="35"/>
      <c r="P395" s="35"/>
      <c r="Q395" s="37"/>
      <c r="R395" s="38"/>
      <c r="S395" s="33"/>
      <c r="T395" s="39">
        <v>197000</v>
      </c>
      <c r="U395" s="40" t="s">
        <v>61</v>
      </c>
      <c r="V395" s="41"/>
      <c r="W395" s="42" t="str">
        <f ca="1">IFERROR(__xludf.DUMMYFUNCTION("""COMPUTED_VALUE"""),"Terapi Jalur")</f>
        <v>Terapi Jalur</v>
      </c>
      <c r="X395" s="42" t="str">
        <f ca="1"/>
        <v>ON-Terapi Jalur-00011900+5-6283131677011</v>
      </c>
      <c r="Y395" s="40" t="s">
        <v>62</v>
      </c>
      <c r="Z395" s="40" t="s">
        <v>639</v>
      </c>
      <c r="AA395" s="23" t="str">
        <v>https://wa.me/6283131677011</v>
      </c>
      <c r="AB395" s="28" t="s">
        <v>2744</v>
      </c>
      <c r="AC395" s="28"/>
      <c r="AD395" s="28" t="s">
        <v>690</v>
      </c>
      <c r="AE395" s="28"/>
      <c r="AF395" s="29"/>
      <c r="AG395" s="29"/>
    </row>
    <row r="396" spans="1:33" ht="15.75" customHeight="1">
      <c r="A396" s="32" t="s">
        <v>52</v>
      </c>
      <c r="B396" s="33">
        <v>402</v>
      </c>
      <c r="C396" s="34" t="s">
        <v>2745</v>
      </c>
      <c r="D396" s="35">
        <v>45858.887524548612</v>
      </c>
      <c r="E396" s="35">
        <v>45858</v>
      </c>
      <c r="F396" s="32" t="s">
        <v>1350</v>
      </c>
      <c r="G396" s="32" t="s">
        <v>1351</v>
      </c>
      <c r="H396" s="32" t="s">
        <v>2056</v>
      </c>
      <c r="I396" s="36" t="s">
        <v>1353</v>
      </c>
      <c r="J396" s="52" t="s">
        <v>2057</v>
      </c>
      <c r="K396" s="32" t="s">
        <v>1355</v>
      </c>
      <c r="L396" s="32" t="s">
        <v>1356</v>
      </c>
      <c r="M396" s="32" t="s">
        <v>60</v>
      </c>
      <c r="N396" s="33">
        <v>5</v>
      </c>
      <c r="O396" s="35"/>
      <c r="P396" s="35"/>
      <c r="Q396" s="37"/>
      <c r="R396" s="38"/>
      <c r="S396" s="33"/>
      <c r="T396" s="39">
        <v>197000</v>
      </c>
      <c r="U396" s="40" t="s">
        <v>61</v>
      </c>
      <c r="V396" s="41"/>
      <c r="W396" s="42" t="str">
        <f ca="1">IFERROR(__xludf.DUMMYFUNCTION("""COMPUTED_VALUE"""),"Putra Bakti")</f>
        <v>Putra Bakti</v>
      </c>
      <c r="X396" s="42" t="str">
        <f ca="1"/>
        <v>ON-Putra Bakti-00011900+5-6285668750416</v>
      </c>
      <c r="Y396" s="40"/>
      <c r="Z396" s="40"/>
      <c r="AA396" s="23" t="str">
        <v>https://wa.me/6285668750416</v>
      </c>
      <c r="AB396" s="28"/>
      <c r="AC396" s="28"/>
      <c r="AD396" s="28"/>
      <c r="AE396" s="28"/>
      <c r="AF396" s="29"/>
      <c r="AG396" s="29"/>
    </row>
    <row r="397" spans="1:33" ht="15.75" customHeight="1">
      <c r="A397" s="32" t="s">
        <v>196</v>
      </c>
      <c r="B397" s="33">
        <v>403</v>
      </c>
      <c r="C397" s="34" t="s">
        <v>2746</v>
      </c>
      <c r="D397" s="35">
        <v>45858.888237534724</v>
      </c>
      <c r="E397" s="35">
        <v>45858</v>
      </c>
      <c r="F397" s="32" t="s">
        <v>2747</v>
      </c>
      <c r="G397" s="32" t="s">
        <v>2748</v>
      </c>
      <c r="H397" s="32" t="s">
        <v>409</v>
      </c>
      <c r="I397" s="36" t="s">
        <v>2749</v>
      </c>
      <c r="J397" s="52"/>
      <c r="K397" s="32" t="s">
        <v>2750</v>
      </c>
      <c r="L397" s="32" t="s">
        <v>99</v>
      </c>
      <c r="M397" s="32" t="s">
        <v>60</v>
      </c>
      <c r="N397" s="33">
        <v>20</v>
      </c>
      <c r="O397" s="35"/>
      <c r="P397" s="35"/>
      <c r="Q397" s="37"/>
      <c r="R397" s="38"/>
      <c r="S397" s="33"/>
      <c r="T397" s="39">
        <v>700000</v>
      </c>
      <c r="U397" s="40" t="s">
        <v>1229</v>
      </c>
      <c r="V397" s="41"/>
      <c r="W397" s="42" t="str">
        <f ca="1">IFERROR(__xludf.DUMMYFUNCTION("""COMPUTED_VALUE"""),"PT Umbara")</f>
        <v>PT Umbara</v>
      </c>
      <c r="X397" s="42" t="str">
        <f ca="1"/>
        <v>ON-PT Umbara-00011900+20-6285955053385</v>
      </c>
      <c r="Y397" s="40" t="s">
        <v>293</v>
      </c>
      <c r="Z397" s="40" t="s">
        <v>1057</v>
      </c>
      <c r="AA397" s="23" t="str">
        <v>https://wa.me/6285955053385</v>
      </c>
      <c r="AB397" s="28" t="s">
        <v>2751</v>
      </c>
      <c r="AC397" s="28"/>
      <c r="AD397" s="28" t="s">
        <v>690</v>
      </c>
      <c r="AE397" s="28"/>
      <c r="AF397" s="29"/>
      <c r="AG397" s="29"/>
    </row>
    <row r="398" spans="1:33" ht="15.75" customHeight="1">
      <c r="A398" s="32" t="s">
        <v>196</v>
      </c>
      <c r="B398" s="33">
        <v>404</v>
      </c>
      <c r="C398" s="34" t="s">
        <v>2752</v>
      </c>
      <c r="D398" s="35">
        <v>45858.916055636575</v>
      </c>
      <c r="E398" s="35">
        <v>45858</v>
      </c>
      <c r="F398" s="32" t="s">
        <v>2753</v>
      </c>
      <c r="G398" s="32" t="s">
        <v>2754</v>
      </c>
      <c r="H398" s="32" t="s">
        <v>2090</v>
      </c>
      <c r="I398" s="36" t="s">
        <v>2755</v>
      </c>
      <c r="J398" s="52"/>
      <c r="K398" s="32" t="s">
        <v>2756</v>
      </c>
      <c r="L398" s="32" t="s">
        <v>1643</v>
      </c>
      <c r="M398" s="32" t="s">
        <v>60</v>
      </c>
      <c r="N398" s="33">
        <v>10</v>
      </c>
      <c r="O398" s="35"/>
      <c r="P398" s="35"/>
      <c r="Q398" s="37"/>
      <c r="R398" s="38"/>
      <c r="S398" s="33"/>
      <c r="T398" s="39">
        <v>375000</v>
      </c>
      <c r="U398" s="40" t="s">
        <v>61</v>
      </c>
      <c r="V398" s="41"/>
      <c r="W398" s="42" t="str">
        <f ca="1">IFERROR(__xludf.DUMMYFUNCTION("""COMPUTED_VALUE"""),"PERCUTIAN BANDUNG")</f>
        <v>PERCUTIAN BANDUNG</v>
      </c>
      <c r="X398" s="42" t="str">
        <f ca="1"/>
        <v>ON-PERCUTIAN BANDUNG-00011900+10-6285186697099</v>
      </c>
      <c r="Y398" s="40" t="s">
        <v>62</v>
      </c>
      <c r="Z398" s="40" t="s">
        <v>1880</v>
      </c>
      <c r="AA398" s="23" t="str">
        <v>https://wa.me/6285186697099</v>
      </c>
      <c r="AB398" s="28" t="s">
        <v>2757</v>
      </c>
      <c r="AC398" s="28"/>
      <c r="AD398" s="28" t="s">
        <v>690</v>
      </c>
      <c r="AE398" s="28"/>
      <c r="AF398" s="29"/>
      <c r="AG398" s="29"/>
    </row>
    <row r="399" spans="1:33" ht="15.75" customHeight="1">
      <c r="A399" s="32" t="s">
        <v>196</v>
      </c>
      <c r="B399" s="33">
        <v>406</v>
      </c>
      <c r="C399" s="34" t="s">
        <v>2758</v>
      </c>
      <c r="D399" s="35">
        <v>45859.26560864583</v>
      </c>
      <c r="E399" s="35">
        <v>45859</v>
      </c>
      <c r="F399" s="32" t="s">
        <v>2759</v>
      </c>
      <c r="G399" s="32" t="s">
        <v>2760</v>
      </c>
      <c r="H399" s="32" t="s">
        <v>2761</v>
      </c>
      <c r="I399" s="36" t="s">
        <v>2762</v>
      </c>
      <c r="J399" s="52"/>
      <c r="K399" s="32" t="s">
        <v>2763</v>
      </c>
      <c r="L399" s="32" t="s">
        <v>2764</v>
      </c>
      <c r="M399" s="32" t="s">
        <v>60</v>
      </c>
      <c r="N399" s="33">
        <v>5</v>
      </c>
      <c r="O399" s="35"/>
      <c r="P399" s="35"/>
      <c r="Q399" s="37"/>
      <c r="R399" s="38"/>
      <c r="S399" s="33"/>
      <c r="T399" s="39">
        <v>197000</v>
      </c>
      <c r="U399" s="40" t="s">
        <v>61</v>
      </c>
      <c r="V399" s="41"/>
      <c r="W399" s="42" t="str">
        <f ca="1">IFERROR(__xludf.DUMMYFUNCTION("""COMPUTED_VALUE"""),"EFB COURSE")</f>
        <v>EFB COURSE</v>
      </c>
      <c r="X399" s="42" t="str">
        <f ca="1"/>
        <v>ON-EFB COURSE-00011900+5-6285234005559</v>
      </c>
      <c r="Y399" s="40" t="s">
        <v>62</v>
      </c>
      <c r="Z399" s="40" t="s">
        <v>1404</v>
      </c>
      <c r="AA399" s="23" t="str">
        <v>https://wa.me/6285234005559</v>
      </c>
      <c r="AB399" s="28" t="s">
        <v>2765</v>
      </c>
      <c r="AC399" s="28"/>
      <c r="AD399" s="28" t="s">
        <v>690</v>
      </c>
      <c r="AE399" s="28"/>
      <c r="AF399" s="29"/>
      <c r="AG399" s="29"/>
    </row>
    <row r="400" spans="1:33" ht="15.75" customHeight="1">
      <c r="A400" s="32" t="s">
        <v>52</v>
      </c>
      <c r="B400" s="33">
        <v>405</v>
      </c>
      <c r="C400" s="34" t="s">
        <v>2766</v>
      </c>
      <c r="D400" s="35">
        <v>45859.385284768519</v>
      </c>
      <c r="E400" s="35">
        <v>45856</v>
      </c>
      <c r="F400" s="32" t="s">
        <v>905</v>
      </c>
      <c r="G400" s="32" t="s">
        <v>2648</v>
      </c>
      <c r="H400" s="32" t="s">
        <v>1678</v>
      </c>
      <c r="I400" s="36" t="s">
        <v>908</v>
      </c>
      <c r="J400" s="52" t="s">
        <v>2649</v>
      </c>
      <c r="K400" s="32" t="s">
        <v>2650</v>
      </c>
      <c r="L400" s="32" t="s">
        <v>490</v>
      </c>
      <c r="M400" s="32" t="s">
        <v>60</v>
      </c>
      <c r="N400" s="33">
        <v>10</v>
      </c>
      <c r="O400" s="35"/>
      <c r="P400" s="35"/>
      <c r="Q400" s="37"/>
      <c r="R400" s="38"/>
      <c r="S400" s="33"/>
      <c r="T400" s="39">
        <v>375000</v>
      </c>
      <c r="U400" s="40" t="s">
        <v>61</v>
      </c>
      <c r="V400" s="41"/>
      <c r="W400" s="42" t="str">
        <f ca="1">IFERROR(__xludf.DUMMYFUNCTION("""COMPUTED_VALUE"""),"Berkat Property")</f>
        <v>Berkat Property</v>
      </c>
      <c r="X400" s="42" t="str">
        <f ca="1"/>
        <v>ON-Berkat Property-00011900+10-6282183115806</v>
      </c>
      <c r="Y400" s="40"/>
      <c r="Z400" s="40"/>
      <c r="AA400" s="23" t="str">
        <v>https://wa.me/6282183115806</v>
      </c>
      <c r="AB400" s="28"/>
      <c r="AC400" s="28"/>
      <c r="AD400" s="28"/>
      <c r="AE400" s="28"/>
      <c r="AF400" s="29"/>
      <c r="AG400" s="29"/>
    </row>
    <row r="401" spans="1:33" ht="15.75" customHeight="1">
      <c r="A401" s="32" t="s">
        <v>196</v>
      </c>
      <c r="B401" s="33">
        <v>406</v>
      </c>
      <c r="C401" s="34" t="s">
        <v>2758</v>
      </c>
      <c r="D401" s="35">
        <v>45859.463933460647</v>
      </c>
      <c r="E401" s="35">
        <v>45859</v>
      </c>
      <c r="F401" s="32" t="s">
        <v>2767</v>
      </c>
      <c r="G401" s="32" t="s">
        <v>2768</v>
      </c>
      <c r="H401" s="32" t="s">
        <v>2769</v>
      </c>
      <c r="I401" s="36" t="s">
        <v>2770</v>
      </c>
      <c r="J401" s="52" t="s">
        <v>2771</v>
      </c>
      <c r="K401" s="32" t="s">
        <v>2772</v>
      </c>
      <c r="L401" s="32" t="s">
        <v>382</v>
      </c>
      <c r="M401" s="32" t="s">
        <v>382</v>
      </c>
      <c r="N401" s="33">
        <v>5</v>
      </c>
      <c r="O401" s="35"/>
      <c r="P401" s="35"/>
      <c r="Q401" s="37"/>
      <c r="R401" s="38"/>
      <c r="S401" s="33"/>
      <c r="T401" s="39">
        <v>197000</v>
      </c>
      <c r="U401" s="40" t="s">
        <v>115</v>
      </c>
      <c r="V401" s="41"/>
      <c r="W401" s="42" t="str">
        <f ca="1">IFERROR(__xludf.DUMMYFUNCTION("""COMPUTED_VALUE"""),"Rumah Ruqyah")</f>
        <v>Rumah Ruqyah</v>
      </c>
      <c r="X401" s="42" t="str">
        <f ca="1"/>
        <v>ON-Rumah Ruqyah-00011900+5-6285645050058</v>
      </c>
      <c r="Y401" s="40" t="s">
        <v>62</v>
      </c>
      <c r="Z401" s="40" t="s">
        <v>639</v>
      </c>
      <c r="AA401" s="23" t="str">
        <v>https://wa.me/6285645050058</v>
      </c>
      <c r="AB401" s="28" t="s">
        <v>2773</v>
      </c>
      <c r="AC401" s="28"/>
      <c r="AD401" s="28" t="s">
        <v>690</v>
      </c>
      <c r="AE401" s="28"/>
      <c r="AF401" s="29"/>
      <c r="AG401" s="29"/>
    </row>
    <row r="402" spans="1:33" ht="15.75" customHeight="1">
      <c r="A402" s="32" t="s">
        <v>196</v>
      </c>
      <c r="B402" s="33">
        <v>408</v>
      </c>
      <c r="C402" s="34" t="s">
        <v>2774</v>
      </c>
      <c r="D402" s="35">
        <v>45859.482905856479</v>
      </c>
      <c r="E402" s="35">
        <v>45859</v>
      </c>
      <c r="F402" s="32" t="s">
        <v>2775</v>
      </c>
      <c r="G402" s="32" t="s">
        <v>2776</v>
      </c>
      <c r="H402" s="32" t="s">
        <v>2777</v>
      </c>
      <c r="I402" s="36" t="s">
        <v>2778</v>
      </c>
      <c r="J402" s="52"/>
      <c r="K402" s="32" t="s">
        <v>2779</v>
      </c>
      <c r="L402" s="32" t="s">
        <v>2780</v>
      </c>
      <c r="M402" s="32" t="s">
        <v>60</v>
      </c>
      <c r="N402" s="33">
        <v>5</v>
      </c>
      <c r="O402" s="35"/>
      <c r="P402" s="35"/>
      <c r="Q402" s="37"/>
      <c r="R402" s="38"/>
      <c r="S402" s="33"/>
      <c r="T402" s="39">
        <v>197000</v>
      </c>
      <c r="U402" s="40" t="s">
        <v>61</v>
      </c>
      <c r="V402" s="41"/>
      <c r="W402" s="42" t="str">
        <f ca="1">IFERROR(__xludf.DUMMYFUNCTION("""COMPUTED_VALUE"""),"Penyehat Tradisional")</f>
        <v>Penyehat Tradisional</v>
      </c>
      <c r="X402" s="42" t="str">
        <f ca="1"/>
        <v>ON-Penyehat Tradisional-00011900+5-6285657238556</v>
      </c>
      <c r="Y402" s="40" t="s">
        <v>62</v>
      </c>
      <c r="Z402" s="40" t="s">
        <v>639</v>
      </c>
      <c r="AA402" s="23" t="str">
        <v>https://wa.me/6285657238556</v>
      </c>
      <c r="AB402" s="28" t="s">
        <v>2781</v>
      </c>
      <c r="AC402" s="28"/>
      <c r="AD402" s="28" t="s">
        <v>690</v>
      </c>
      <c r="AE402" s="28"/>
      <c r="AF402" s="29"/>
      <c r="AG402" s="29"/>
    </row>
    <row r="403" spans="1:33" ht="15.75" customHeight="1">
      <c r="A403" s="32" t="s">
        <v>52</v>
      </c>
      <c r="B403" s="33">
        <v>409</v>
      </c>
      <c r="C403" s="34" t="s">
        <v>2782</v>
      </c>
      <c r="D403" s="35">
        <v>45859.619883935185</v>
      </c>
      <c r="E403" s="35">
        <v>45859</v>
      </c>
      <c r="F403" s="32" t="s">
        <v>1891</v>
      </c>
      <c r="G403" s="32" t="s">
        <v>1892</v>
      </c>
      <c r="H403" s="32" t="s">
        <v>1893</v>
      </c>
      <c r="I403" s="36" t="s">
        <v>1894</v>
      </c>
      <c r="J403" s="52" t="s">
        <v>2783</v>
      </c>
      <c r="K403" s="32" t="s">
        <v>1896</v>
      </c>
      <c r="L403" s="32" t="s">
        <v>467</v>
      </c>
      <c r="M403" s="32" t="s">
        <v>382</v>
      </c>
      <c r="N403" s="33">
        <v>10</v>
      </c>
      <c r="O403" s="35"/>
      <c r="P403" s="35"/>
      <c r="Q403" s="37"/>
      <c r="R403" s="38"/>
      <c r="S403" s="33"/>
      <c r="T403" s="39">
        <v>375000</v>
      </c>
      <c r="U403" s="40" t="s">
        <v>115</v>
      </c>
      <c r="V403" s="41"/>
      <c r="W403" s="42" t="str">
        <f ca="1">IFERROR(__xludf.DUMMYFUNCTION("""COMPUTED_VALUE"""),"CV. Sun")</f>
        <v>CV. Sun</v>
      </c>
      <c r="X403" s="42" t="str">
        <f ca="1"/>
        <v>ON-CV. Sun-00011900+10-6282111180648</v>
      </c>
      <c r="Y403" s="40"/>
      <c r="Z403" s="40"/>
      <c r="AA403" s="23" t="str">
        <v>https://wa.me/6282111180648</v>
      </c>
      <c r="AB403" s="28"/>
      <c r="AC403" s="28"/>
      <c r="AD403" s="28"/>
      <c r="AE403" s="28"/>
      <c r="AF403" s="29"/>
      <c r="AG403" s="29"/>
    </row>
    <row r="404" spans="1:33" ht="15.75" customHeight="1">
      <c r="A404" s="32" t="s">
        <v>196</v>
      </c>
      <c r="B404" s="33">
        <v>407</v>
      </c>
      <c r="C404" s="34" t="s">
        <v>2784</v>
      </c>
      <c r="D404" s="35">
        <v>45860.244897199074</v>
      </c>
      <c r="E404" s="35">
        <v>45859</v>
      </c>
      <c r="F404" s="32" t="s">
        <v>2785</v>
      </c>
      <c r="G404" s="32" t="s">
        <v>2786</v>
      </c>
      <c r="H404" s="32" t="s">
        <v>2787</v>
      </c>
      <c r="I404" s="36" t="s">
        <v>2788</v>
      </c>
      <c r="J404" s="52" t="s">
        <v>2508</v>
      </c>
      <c r="K404" s="32" t="s">
        <v>2789</v>
      </c>
      <c r="L404" s="32" t="s">
        <v>77</v>
      </c>
      <c r="M404" s="32" t="s">
        <v>2032</v>
      </c>
      <c r="N404" s="33">
        <v>5</v>
      </c>
      <c r="O404" s="35"/>
      <c r="P404" s="35"/>
      <c r="Q404" s="37"/>
      <c r="R404" s="38"/>
      <c r="S404" s="33"/>
      <c r="T404" s="39">
        <v>197000</v>
      </c>
      <c r="U404" s="40" t="s">
        <v>61</v>
      </c>
      <c r="V404" s="41"/>
      <c r="W404" s="42" t="str">
        <f ca="1">IFERROR(__xludf.DUMMYFUNCTION("""COMPUTED_VALUE"""),"Pena Tour")</f>
        <v>Pena Tour</v>
      </c>
      <c r="X404" s="42" t="str">
        <f ca="1"/>
        <v>ON-Pena Tour-00011900+5-6285267044893</v>
      </c>
      <c r="Y404" s="40" t="s">
        <v>62</v>
      </c>
      <c r="Z404" s="40" t="s">
        <v>1880</v>
      </c>
      <c r="AA404" s="23" t="str">
        <v>https://wa.me/6285267044893</v>
      </c>
      <c r="AB404" s="28" t="s">
        <v>2790</v>
      </c>
      <c r="AC404" s="28"/>
      <c r="AD404" s="28" t="s">
        <v>690</v>
      </c>
      <c r="AE404" s="28"/>
      <c r="AF404" s="29"/>
      <c r="AG404" s="29"/>
    </row>
    <row r="405" spans="1:33" ht="15.75" customHeight="1">
      <c r="A405" s="32" t="s">
        <v>196</v>
      </c>
      <c r="B405" s="33">
        <v>409</v>
      </c>
      <c r="C405" s="34" t="s">
        <v>2782</v>
      </c>
      <c r="D405" s="35">
        <v>45860.255134328705</v>
      </c>
      <c r="E405" s="35">
        <v>45859</v>
      </c>
      <c r="F405" s="32" t="s">
        <v>2791</v>
      </c>
      <c r="G405" s="32" t="s">
        <v>2792</v>
      </c>
      <c r="H405" s="32" t="s">
        <v>2793</v>
      </c>
      <c r="I405" s="36" t="s">
        <v>2794</v>
      </c>
      <c r="J405" s="52" t="s">
        <v>2795</v>
      </c>
      <c r="K405" s="32" t="s">
        <v>2796</v>
      </c>
      <c r="L405" s="32" t="s">
        <v>2797</v>
      </c>
      <c r="M405" s="32" t="s">
        <v>2032</v>
      </c>
      <c r="N405" s="33">
        <v>5</v>
      </c>
      <c r="O405" s="35">
        <v>45863</v>
      </c>
      <c r="P405" s="35">
        <v>45868</v>
      </c>
      <c r="Q405" s="37"/>
      <c r="R405" s="38"/>
      <c r="S405" s="33"/>
      <c r="T405" s="39">
        <v>197000</v>
      </c>
      <c r="U405" s="40" t="s">
        <v>61</v>
      </c>
      <c r="V405" s="41"/>
      <c r="W405" s="42" t="str">
        <f ca="1">IFERROR(__xludf.DUMMYFUNCTION("""COMPUTED_VALUE"""),"Sentuhan Alam")</f>
        <v>Sentuhan Alam</v>
      </c>
      <c r="X405" s="42" t="str">
        <f ca="1"/>
        <v>ON-Sentuhan Alam-00011900+5-6285921009099</v>
      </c>
      <c r="Y405" s="40" t="s">
        <v>293</v>
      </c>
      <c r="Z405" s="40" t="s">
        <v>1057</v>
      </c>
      <c r="AA405" s="23" t="str">
        <v>https://wa.me/6285921009099</v>
      </c>
      <c r="AB405" s="28" t="s">
        <v>2798</v>
      </c>
      <c r="AC405" s="28"/>
      <c r="AD405" s="28" t="s">
        <v>690</v>
      </c>
      <c r="AE405" s="28"/>
      <c r="AF405" s="29"/>
      <c r="AG405" s="29"/>
    </row>
    <row r="406" spans="1:33" ht="15.75" customHeight="1">
      <c r="A406" s="32" t="s">
        <v>196</v>
      </c>
      <c r="B406" s="33">
        <v>410</v>
      </c>
      <c r="C406" s="34" t="s">
        <v>2799</v>
      </c>
      <c r="D406" s="35">
        <v>45860.261755671294</v>
      </c>
      <c r="E406" s="35">
        <v>45859</v>
      </c>
      <c r="F406" s="32" t="s">
        <v>2800</v>
      </c>
      <c r="G406" s="32" t="s">
        <v>2801</v>
      </c>
      <c r="H406" s="32" t="s">
        <v>2802</v>
      </c>
      <c r="I406" s="36" t="s">
        <v>2803</v>
      </c>
      <c r="J406" s="52"/>
      <c r="K406" s="32" t="s">
        <v>2804</v>
      </c>
      <c r="L406" s="32" t="s">
        <v>1474</v>
      </c>
      <c r="M406" s="32" t="s">
        <v>2024</v>
      </c>
      <c r="N406" s="33">
        <v>5</v>
      </c>
      <c r="O406" s="35"/>
      <c r="P406" s="35"/>
      <c r="Q406" s="37"/>
      <c r="R406" s="38"/>
      <c r="S406" s="33"/>
      <c r="T406" s="39">
        <v>197000</v>
      </c>
      <c r="U406" s="40" t="s">
        <v>61</v>
      </c>
      <c r="V406" s="41"/>
      <c r="W406" s="42" t="str">
        <f ca="1">IFERROR(__xludf.DUMMYFUNCTION("""COMPUTED_VALUE"""),"Addy Therapy")</f>
        <v>Addy Therapy</v>
      </c>
      <c r="X406" s="42" t="str">
        <f ca="1"/>
        <v>ON-Addy Therapy-00011900+5-6289524188028</v>
      </c>
      <c r="Y406" s="40" t="s">
        <v>62</v>
      </c>
      <c r="Z406" s="40" t="s">
        <v>639</v>
      </c>
      <c r="AA406" s="23" t="str">
        <v>https://wa.me/6289524188028</v>
      </c>
      <c r="AB406" s="28" t="s">
        <v>2805</v>
      </c>
      <c r="AC406" s="28"/>
      <c r="AD406" s="28" t="s">
        <v>690</v>
      </c>
      <c r="AE406" s="28"/>
      <c r="AF406" s="29"/>
      <c r="AG406" s="29"/>
    </row>
    <row r="407" spans="1:33" ht="15.75" customHeight="1">
      <c r="A407" s="32" t="s">
        <v>196</v>
      </c>
      <c r="B407" s="33">
        <v>411</v>
      </c>
      <c r="C407" s="34" t="s">
        <v>2806</v>
      </c>
      <c r="D407" s="35">
        <v>45860.266749050927</v>
      </c>
      <c r="E407" s="35">
        <v>45859</v>
      </c>
      <c r="F407" s="32" t="s">
        <v>2807</v>
      </c>
      <c r="G407" s="32" t="s">
        <v>2808</v>
      </c>
      <c r="H407" s="32" t="s">
        <v>2809</v>
      </c>
      <c r="I407" s="36" t="s">
        <v>2810</v>
      </c>
      <c r="J407" s="52" t="s">
        <v>2811</v>
      </c>
      <c r="K407" s="32" t="s">
        <v>2812</v>
      </c>
      <c r="L407" s="32" t="s">
        <v>2813</v>
      </c>
      <c r="M407" s="32" t="s">
        <v>2032</v>
      </c>
      <c r="N407" s="33">
        <v>5</v>
      </c>
      <c r="O407" s="35"/>
      <c r="P407" s="35"/>
      <c r="Q407" s="37"/>
      <c r="R407" s="38"/>
      <c r="S407" s="33"/>
      <c r="T407" s="39">
        <v>150000</v>
      </c>
      <c r="U407" s="40" t="s">
        <v>61</v>
      </c>
      <c r="V407" s="41"/>
      <c r="W407" s="42" t="str">
        <f ca="1">IFERROR(__xludf.DUMMYFUNCTION("""COMPUTED_VALUE"""),"Mas Bra")</f>
        <v>Mas Bra</v>
      </c>
      <c r="X407" s="42" t="str">
        <f ca="1"/>
        <v>ON-Mas Bra-00011900+5-6281325757271</v>
      </c>
      <c r="Y407" s="40" t="s">
        <v>293</v>
      </c>
      <c r="Z407" s="40" t="s">
        <v>1057</v>
      </c>
      <c r="AA407" s="23" t="str">
        <v>https://wa.me/6281325757271</v>
      </c>
      <c r="AB407" s="28" t="s">
        <v>2814</v>
      </c>
      <c r="AC407" s="28"/>
      <c r="AD407" s="28" t="s">
        <v>690</v>
      </c>
      <c r="AE407" s="28"/>
      <c r="AF407" s="29"/>
      <c r="AG407" s="29"/>
    </row>
    <row r="408" spans="1:33" ht="15.75" customHeight="1">
      <c r="A408" s="32" t="s">
        <v>196</v>
      </c>
      <c r="B408" s="33">
        <v>411</v>
      </c>
      <c r="C408" s="34" t="s">
        <v>2806</v>
      </c>
      <c r="D408" s="35">
        <v>45860.505847650464</v>
      </c>
      <c r="E408" s="35">
        <v>45859</v>
      </c>
      <c r="F408" s="32" t="s">
        <v>2815</v>
      </c>
      <c r="G408" s="32" t="s">
        <v>2816</v>
      </c>
      <c r="H408" s="32" t="s">
        <v>2817</v>
      </c>
      <c r="I408" s="36" t="s">
        <v>2818</v>
      </c>
      <c r="J408" s="52" t="s">
        <v>2819</v>
      </c>
      <c r="K408" s="32" t="s">
        <v>2820</v>
      </c>
      <c r="L408" s="32" t="s">
        <v>2821</v>
      </c>
      <c r="M408" s="32" t="s">
        <v>2822</v>
      </c>
      <c r="N408" s="33">
        <v>5</v>
      </c>
      <c r="O408" s="35"/>
      <c r="P408" s="35"/>
      <c r="Q408" s="37"/>
      <c r="R408" s="38"/>
      <c r="S408" s="33"/>
      <c r="T408" s="39">
        <v>197000</v>
      </c>
      <c r="U408" s="40" t="s">
        <v>49</v>
      </c>
      <c r="V408" s="41"/>
      <c r="W408" s="42" t="str">
        <f ca="1">IFERROR(__xludf.DUMMYFUNCTION("""COMPUTED_VALUE"""),"Terapi modern")</f>
        <v>Terapi modern</v>
      </c>
      <c r="X408" s="42" t="str">
        <f ca="1"/>
        <v>ON-Terapi modern-00011900+5-6289607006888</v>
      </c>
      <c r="Y408" s="40" t="s">
        <v>62</v>
      </c>
      <c r="Z408" s="40" t="s">
        <v>639</v>
      </c>
      <c r="AA408" s="23" t="str">
        <v>https://wa.me/6289607006888</v>
      </c>
      <c r="AB408" s="28" t="s">
        <v>2823</v>
      </c>
      <c r="AC408" s="28"/>
      <c r="AD408" s="28" t="s">
        <v>690</v>
      </c>
      <c r="AE408" s="28"/>
      <c r="AF408" s="29"/>
      <c r="AG408" s="29"/>
    </row>
    <row r="409" spans="1:33" ht="15.75" customHeight="1">
      <c r="A409" s="32" t="s">
        <v>52</v>
      </c>
      <c r="B409" s="33">
        <v>412</v>
      </c>
      <c r="C409" s="34" t="s">
        <v>2824</v>
      </c>
      <c r="D409" s="35">
        <v>45860.554831377318</v>
      </c>
      <c r="E409" s="35">
        <v>45860</v>
      </c>
      <c r="F409" s="32" t="s">
        <v>2495</v>
      </c>
      <c r="G409" s="32" t="s">
        <v>2496</v>
      </c>
      <c r="H409" s="32" t="s">
        <v>2497</v>
      </c>
      <c r="I409" s="36" t="s">
        <v>2498</v>
      </c>
      <c r="J409" s="52"/>
      <c r="K409" s="32" t="s">
        <v>2499</v>
      </c>
      <c r="L409" s="32" t="s">
        <v>2500</v>
      </c>
      <c r="M409" s="32" t="s">
        <v>711</v>
      </c>
      <c r="N409" s="33">
        <v>5</v>
      </c>
      <c r="O409" s="35"/>
      <c r="P409" s="35"/>
      <c r="Q409" s="37"/>
      <c r="R409" s="38"/>
      <c r="S409" s="33"/>
      <c r="T409" s="39">
        <v>197000</v>
      </c>
      <c r="U409" s="40" t="s">
        <v>1774</v>
      </c>
      <c r="V409" s="41"/>
      <c r="W409" s="42" t="str">
        <f ca="1">IFERROR(__xludf.DUMMYFUNCTION("""COMPUTED_VALUE"""),"Cv my")</f>
        <v>Cv my</v>
      </c>
      <c r="X409" s="42" t="str">
        <f ca="1"/>
        <v>ON-Cv my-00011900+5-6281933176790</v>
      </c>
      <c r="Y409" s="40"/>
      <c r="Z409" s="40"/>
      <c r="AA409" s="23" t="str">
        <v>https://wa.me/6281933176790</v>
      </c>
      <c r="AB409" s="28"/>
      <c r="AC409" s="28"/>
      <c r="AD409" s="28"/>
      <c r="AE409" s="28"/>
      <c r="AF409" s="29"/>
      <c r="AG409" s="29"/>
    </row>
    <row r="410" spans="1:33" ht="15.75" customHeight="1">
      <c r="A410" s="32" t="s">
        <v>196</v>
      </c>
      <c r="B410" s="33">
        <v>413</v>
      </c>
      <c r="C410" s="34" t="s">
        <v>2825</v>
      </c>
      <c r="D410" s="35">
        <v>45860.69494799769</v>
      </c>
      <c r="E410" s="35">
        <v>45860</v>
      </c>
      <c r="F410" s="32" t="s">
        <v>2826</v>
      </c>
      <c r="G410" s="54" t="s">
        <v>2827</v>
      </c>
      <c r="H410" s="32" t="s">
        <v>2828</v>
      </c>
      <c r="I410" s="36" t="s">
        <v>2829</v>
      </c>
      <c r="J410" s="52"/>
      <c r="K410" s="32" t="s">
        <v>2830</v>
      </c>
      <c r="L410" s="32" t="s">
        <v>2831</v>
      </c>
      <c r="M410" s="32" t="s">
        <v>382</v>
      </c>
      <c r="N410" s="33">
        <v>14</v>
      </c>
      <c r="O410" s="35"/>
      <c r="P410" s="35"/>
      <c r="Q410" s="37"/>
      <c r="R410" s="38"/>
      <c r="S410" s="33"/>
      <c r="T410" s="39">
        <v>550000</v>
      </c>
      <c r="U410" s="40" t="s">
        <v>115</v>
      </c>
      <c r="V410" s="41"/>
      <c r="W410" s="55" t="str">
        <f ca="1">IFERROR(__xludf.DUMMYFUNCTION("""COMPUTED_VALUE"""),"Derra.id")</f>
        <v>Derra.id</v>
      </c>
      <c r="X410" s="42" t="str">
        <f ca="1"/>
        <v>ON-Derra.id-00011900+14-085719003688</v>
      </c>
      <c r="Y410" s="40" t="s">
        <v>293</v>
      </c>
      <c r="Z410" s="40" t="s">
        <v>1057</v>
      </c>
      <c r="AA410" s="23" t="str">
        <v>https://wa.me/085719003688</v>
      </c>
      <c r="AB410" s="28" t="s">
        <v>2832</v>
      </c>
      <c r="AC410" s="28"/>
      <c r="AD410" s="28" t="s">
        <v>690</v>
      </c>
      <c r="AE410" s="28"/>
      <c r="AF410" s="29"/>
      <c r="AG410" s="29"/>
    </row>
    <row r="411" spans="1:33" ht="15.75" customHeight="1">
      <c r="A411" s="32" t="s">
        <v>196</v>
      </c>
      <c r="B411" s="33">
        <v>414</v>
      </c>
      <c r="C411" s="34" t="s">
        <v>2833</v>
      </c>
      <c r="D411" s="35">
        <v>45860.702103472227</v>
      </c>
      <c r="E411" s="35">
        <v>45860</v>
      </c>
      <c r="F411" s="32" t="s">
        <v>2834</v>
      </c>
      <c r="G411" s="32" t="s">
        <v>2835</v>
      </c>
      <c r="H411" s="32" t="s">
        <v>2836</v>
      </c>
      <c r="I411" s="36" t="s">
        <v>2837</v>
      </c>
      <c r="J411" s="52"/>
      <c r="K411" s="32" t="s">
        <v>1381</v>
      </c>
      <c r="L411" s="32" t="s">
        <v>85</v>
      </c>
      <c r="M411" s="32" t="s">
        <v>60</v>
      </c>
      <c r="N411" s="33">
        <v>5</v>
      </c>
      <c r="O411" s="35"/>
      <c r="P411" s="35"/>
      <c r="Q411" s="37"/>
      <c r="R411" s="38"/>
      <c r="S411" s="33"/>
      <c r="T411" s="39">
        <v>197000</v>
      </c>
      <c r="U411" s="40" t="s">
        <v>61</v>
      </c>
      <c r="V411" s="41"/>
      <c r="W411" s="42" t="str">
        <f ca="1">IFERROR(__xludf.DUMMYFUNCTION("""COMPUTED_VALUE"""),"Putra Djaya")</f>
        <v>Putra Djaya</v>
      </c>
      <c r="X411" s="42" t="str">
        <f ca="1"/>
        <v>ON-Putra Djaya-00011900+5-62895632627969</v>
      </c>
      <c r="Y411" s="40" t="s">
        <v>293</v>
      </c>
      <c r="Z411" s="40" t="s">
        <v>1057</v>
      </c>
      <c r="AA411" s="23" t="str">
        <v>https://wa.me/62895632627969</v>
      </c>
      <c r="AB411" s="28" t="s">
        <v>2838</v>
      </c>
      <c r="AC411" s="28"/>
      <c r="AD411" s="28" t="s">
        <v>690</v>
      </c>
      <c r="AE411" s="28"/>
      <c r="AF411" s="29"/>
      <c r="AG411" s="29"/>
    </row>
    <row r="412" spans="1:33" ht="15.75" customHeight="1">
      <c r="A412" s="32" t="s">
        <v>196</v>
      </c>
      <c r="B412" s="33">
        <v>416</v>
      </c>
      <c r="C412" s="34" t="s">
        <v>2839</v>
      </c>
      <c r="D412" s="35">
        <v>45860.785927337958</v>
      </c>
      <c r="E412" s="35">
        <v>45860</v>
      </c>
      <c r="F412" s="32" t="s">
        <v>2840</v>
      </c>
      <c r="G412" s="32" t="s">
        <v>2841</v>
      </c>
      <c r="H412" s="32" t="s">
        <v>2842</v>
      </c>
      <c r="I412" s="36" t="s">
        <v>2843</v>
      </c>
      <c r="J412" s="52"/>
      <c r="K412" s="32" t="s">
        <v>2844</v>
      </c>
      <c r="L412" s="32" t="s">
        <v>1643</v>
      </c>
      <c r="M412" s="32" t="s">
        <v>60</v>
      </c>
      <c r="N412" s="33">
        <v>7</v>
      </c>
      <c r="O412" s="35"/>
      <c r="P412" s="35"/>
      <c r="Q412" s="37"/>
      <c r="R412" s="38"/>
      <c r="S412" s="33"/>
      <c r="T412" s="39">
        <v>297000</v>
      </c>
      <c r="U412" s="40" t="s">
        <v>61</v>
      </c>
      <c r="V412" s="41"/>
      <c r="W412" s="42" t="str">
        <f ca="1">IFERROR(__xludf.DUMMYFUNCTION("""COMPUTED_VALUE"""),"SAFWA STUDIO")</f>
        <v>SAFWA STUDIO</v>
      </c>
      <c r="X412" s="42" t="str">
        <f ca="1"/>
        <v>ON-SAFWA STUDIO-00011900+7-62811693222</v>
      </c>
      <c r="Y412" s="40" t="s">
        <v>62</v>
      </c>
      <c r="Z412" s="40" t="s">
        <v>1465</v>
      </c>
      <c r="AA412" s="23" t="str">
        <v>https://wa.me/62811693222</v>
      </c>
      <c r="AB412" s="28" t="s">
        <v>2845</v>
      </c>
      <c r="AC412" s="28"/>
      <c r="AD412" s="28" t="s">
        <v>690</v>
      </c>
      <c r="AE412" s="28"/>
      <c r="AF412" s="29"/>
      <c r="AG412" s="29"/>
    </row>
    <row r="413" spans="1:33" ht="15.75" customHeight="1">
      <c r="A413" s="32" t="s">
        <v>52</v>
      </c>
      <c r="B413" s="33">
        <v>417</v>
      </c>
      <c r="C413" s="34" t="s">
        <v>2846</v>
      </c>
      <c r="D413" s="35">
        <v>45860.79077324074</v>
      </c>
      <c r="E413" s="35">
        <v>45860</v>
      </c>
      <c r="F413" s="32" t="s">
        <v>2847</v>
      </c>
      <c r="G413" s="32" t="s">
        <v>2848</v>
      </c>
      <c r="H413" s="32" t="s">
        <v>2849</v>
      </c>
      <c r="I413" s="36" t="s">
        <v>2850</v>
      </c>
      <c r="J413" s="52"/>
      <c r="K413" s="32" t="s">
        <v>2851</v>
      </c>
      <c r="L413" s="32">
        <v>44</v>
      </c>
      <c r="M413" s="32" t="s">
        <v>38</v>
      </c>
      <c r="N413" s="33">
        <v>10</v>
      </c>
      <c r="O413" s="35"/>
      <c r="P413" s="35"/>
      <c r="Q413" s="37"/>
      <c r="R413" s="38"/>
      <c r="S413" s="33"/>
      <c r="T413" s="39">
        <v>375000</v>
      </c>
      <c r="U413" s="40" t="s">
        <v>61</v>
      </c>
      <c r="V413" s="41"/>
      <c r="W413" s="42" t="str">
        <f ca="1">IFERROR(__xludf.DUMMYFUNCTION("""COMPUTED_VALUE"""),"Master Home")</f>
        <v>Master Home</v>
      </c>
      <c r="X413" s="42" t="str">
        <f ca="1"/>
        <v>ON-Master Home-00011900+10-6281378757554</v>
      </c>
      <c r="Y413" s="40"/>
      <c r="Z413" s="40"/>
      <c r="AA413" s="23" t="str">
        <v>https://wa.me/6281378757554</v>
      </c>
      <c r="AB413" s="28"/>
      <c r="AC413" s="28"/>
      <c r="AD413" s="28"/>
      <c r="AE413" s="28"/>
      <c r="AF413" s="29"/>
      <c r="AG413" s="29"/>
    </row>
    <row r="414" spans="1:33" ht="15.75" customHeight="1">
      <c r="A414" s="32" t="s">
        <v>196</v>
      </c>
      <c r="B414" s="33">
        <v>420</v>
      </c>
      <c r="C414" s="34" t="s">
        <v>2852</v>
      </c>
      <c r="D414" s="35">
        <v>45860.817115625003</v>
      </c>
      <c r="E414" s="35">
        <v>45860</v>
      </c>
      <c r="F414" s="32" t="s">
        <v>2853</v>
      </c>
      <c r="G414" s="32" t="s">
        <v>2854</v>
      </c>
      <c r="H414" s="32" t="s">
        <v>2855</v>
      </c>
      <c r="I414" s="36" t="s">
        <v>2856</v>
      </c>
      <c r="J414" s="52"/>
      <c r="K414" s="32" t="s">
        <v>2857</v>
      </c>
      <c r="L414" s="32" t="s">
        <v>218</v>
      </c>
      <c r="M414" s="32" t="s">
        <v>60</v>
      </c>
      <c r="N414" s="33">
        <v>5</v>
      </c>
      <c r="O414" s="35"/>
      <c r="P414" s="35"/>
      <c r="Q414" s="37"/>
      <c r="R414" s="38"/>
      <c r="S414" s="33"/>
      <c r="T414" s="39">
        <v>197000</v>
      </c>
      <c r="U414" s="40" t="s">
        <v>61</v>
      </c>
      <c r="V414" s="41"/>
      <c r="W414" s="42" t="str">
        <f ca="1">IFERROR(__xludf.DUMMYFUNCTION("""COMPUTED_VALUE"""),"MGM Manunggal")</f>
        <v>MGM Manunggal</v>
      </c>
      <c r="X414" s="42" t="str">
        <f ca="1"/>
        <v>ON-MGM Manunggal-00011900+5-6285778471007</v>
      </c>
      <c r="Y414" s="40" t="s">
        <v>293</v>
      </c>
      <c r="Z414" s="40" t="s">
        <v>1057</v>
      </c>
      <c r="AA414" s="23" t="str">
        <v>https://wa.me/6285778471007</v>
      </c>
      <c r="AB414" s="28" t="s">
        <v>2858</v>
      </c>
      <c r="AC414" s="28"/>
      <c r="AD414" s="28" t="s">
        <v>690</v>
      </c>
      <c r="AE414" s="28"/>
      <c r="AF414" s="29"/>
      <c r="AG414" s="29"/>
    </row>
    <row r="415" spans="1:33" ht="15.75" customHeight="1">
      <c r="A415" s="32" t="s">
        <v>196</v>
      </c>
      <c r="B415" s="33">
        <v>421</v>
      </c>
      <c r="C415" s="34" t="s">
        <v>2859</v>
      </c>
      <c r="D415" s="35">
        <v>45860.821290138891</v>
      </c>
      <c r="E415" s="35">
        <v>45860</v>
      </c>
      <c r="F415" s="32" t="s">
        <v>2860</v>
      </c>
      <c r="G415" s="32" t="s">
        <v>2861</v>
      </c>
      <c r="H415" s="32" t="s">
        <v>2862</v>
      </c>
      <c r="I415" s="36" t="s">
        <v>2863</v>
      </c>
      <c r="J415" s="52"/>
      <c r="K415" s="32" t="s">
        <v>2864</v>
      </c>
      <c r="L415" s="32" t="s">
        <v>2865</v>
      </c>
      <c r="M415" s="32" t="s">
        <v>60</v>
      </c>
      <c r="N415" s="33">
        <v>7</v>
      </c>
      <c r="O415" s="35"/>
      <c r="P415" s="35"/>
      <c r="Q415" s="37"/>
      <c r="R415" s="38"/>
      <c r="S415" s="33"/>
      <c r="T415" s="39">
        <v>297000</v>
      </c>
      <c r="U415" s="40" t="s">
        <v>61</v>
      </c>
      <c r="V415" s="41"/>
      <c r="W415" s="42" t="str">
        <f ca="1">IFERROR(__xludf.DUMMYFUNCTION("""COMPUTED_VALUE"""),"BLACK BALI")</f>
        <v>BLACK BALI</v>
      </c>
      <c r="X415" s="42" t="str">
        <f ca="1"/>
        <v>ON-BLACK BALI-00011900+7-6282133271189</v>
      </c>
      <c r="Y415" s="40" t="s">
        <v>62</v>
      </c>
      <c r="Z415" s="40" t="s">
        <v>1880</v>
      </c>
      <c r="AA415" s="23" t="str">
        <v>https://wa.me/6282133271189</v>
      </c>
      <c r="AB415" s="28" t="s">
        <v>2866</v>
      </c>
      <c r="AC415" s="28"/>
      <c r="AD415" s="28" t="s">
        <v>690</v>
      </c>
      <c r="AE415" s="28"/>
      <c r="AF415" s="29"/>
      <c r="AG415" s="29"/>
    </row>
    <row r="416" spans="1:33" ht="15.75" customHeight="1">
      <c r="A416" s="32" t="s">
        <v>621</v>
      </c>
      <c r="B416" s="33">
        <v>422</v>
      </c>
      <c r="C416" s="34" t="s">
        <v>2867</v>
      </c>
      <c r="D416" s="35">
        <v>45860.915532800922</v>
      </c>
      <c r="E416" s="35">
        <v>45860</v>
      </c>
      <c r="F416" s="32" t="s">
        <v>2868</v>
      </c>
      <c r="G416" s="32" t="s">
        <v>2869</v>
      </c>
      <c r="H416" s="32" t="s">
        <v>2870</v>
      </c>
      <c r="I416" s="36" t="s">
        <v>2871</v>
      </c>
      <c r="J416" s="52"/>
      <c r="K416" s="32" t="s">
        <v>2872</v>
      </c>
      <c r="L416" s="32" t="s">
        <v>2873</v>
      </c>
      <c r="M416" s="32" t="s">
        <v>60</v>
      </c>
      <c r="N416" s="33">
        <v>5</v>
      </c>
      <c r="O416" s="35"/>
      <c r="P416" s="35"/>
      <c r="Q416" s="37"/>
      <c r="R416" s="38"/>
      <c r="S416" s="33"/>
      <c r="T416" s="39">
        <v>197000</v>
      </c>
      <c r="U416" s="40" t="s">
        <v>61</v>
      </c>
      <c r="V416" s="41"/>
      <c r="W416" s="42" t="str">
        <f ca="1">IFERROR(__xludf.DUMMYFUNCTION("""COMPUTED_VALUE"""),"Penyehat Tradisional")</f>
        <v>Penyehat Tradisional</v>
      </c>
      <c r="X416" s="42" t="str">
        <f ca="1"/>
        <v>ON-Penyehat Tradisional-00011900+5-6289672163096</v>
      </c>
      <c r="Y416" s="40"/>
      <c r="Z416" s="40"/>
      <c r="AA416" s="23" t="str">
        <v>https://wa.me/6289672163096</v>
      </c>
      <c r="AB416" s="28"/>
      <c r="AC416" s="28"/>
      <c r="AD416" s="28"/>
      <c r="AE416" s="28"/>
      <c r="AF416" s="29"/>
      <c r="AG416" s="29"/>
    </row>
    <row r="417" spans="1:33" ht="15.75" customHeight="1">
      <c r="A417" s="32" t="s">
        <v>196</v>
      </c>
      <c r="B417" s="33">
        <v>423</v>
      </c>
      <c r="C417" s="34" t="s">
        <v>2874</v>
      </c>
      <c r="D417" s="35">
        <v>45860.918272835646</v>
      </c>
      <c r="E417" s="35">
        <v>45860</v>
      </c>
      <c r="F417" s="32" t="s">
        <v>2875</v>
      </c>
      <c r="G417" s="32" t="s">
        <v>350</v>
      </c>
      <c r="H417" s="32" t="s">
        <v>2876</v>
      </c>
      <c r="I417" s="36" t="s">
        <v>2877</v>
      </c>
      <c r="J417" s="52"/>
      <c r="K417" s="32" t="s">
        <v>2132</v>
      </c>
      <c r="L417" s="32" t="s">
        <v>425</v>
      </c>
      <c r="M417" s="32" t="s">
        <v>60</v>
      </c>
      <c r="N417" s="33">
        <v>5</v>
      </c>
      <c r="O417" s="35"/>
      <c r="P417" s="35"/>
      <c r="Q417" s="37"/>
      <c r="R417" s="38"/>
      <c r="S417" s="33"/>
      <c r="T417" s="39">
        <v>197000</v>
      </c>
      <c r="U417" s="40" t="s">
        <v>61</v>
      </c>
      <c r="V417" s="41"/>
      <c r="W417" s="42" t="str">
        <f ca="1">IFERROR(__xludf.DUMMYFUNCTION("""COMPUTED_VALUE"""),"Bengkel Las")</f>
        <v>Bengkel Las</v>
      </c>
      <c r="X417" s="42" t="str">
        <f ca="1"/>
        <v>ON-Bengkel Las-00011900+5-6285281921180</v>
      </c>
      <c r="Y417" s="40" t="s">
        <v>293</v>
      </c>
      <c r="Z417" s="40" t="s">
        <v>1057</v>
      </c>
      <c r="AA417" s="23" t="str">
        <v>https://wa.me/6285281921180</v>
      </c>
      <c r="AB417" s="28" t="s">
        <v>2878</v>
      </c>
      <c r="AC417" s="28"/>
      <c r="AD417" s="28" t="s">
        <v>690</v>
      </c>
      <c r="AE417" s="28"/>
      <c r="AF417" s="29"/>
      <c r="AG417" s="29"/>
    </row>
    <row r="418" spans="1:33" ht="15.75" customHeight="1">
      <c r="A418" s="32" t="s">
        <v>52</v>
      </c>
      <c r="B418" s="33">
        <v>424</v>
      </c>
      <c r="C418" s="34" t="s">
        <v>2879</v>
      </c>
      <c r="D418" s="35">
        <v>45861.272686712968</v>
      </c>
      <c r="E418" s="35">
        <v>45860</v>
      </c>
      <c r="F418" s="32" t="s">
        <v>2368</v>
      </c>
      <c r="G418" s="32" t="s">
        <v>2369</v>
      </c>
      <c r="H418" s="32" t="s">
        <v>2370</v>
      </c>
      <c r="I418" s="36" t="s">
        <v>2371</v>
      </c>
      <c r="J418" s="52" t="s">
        <v>2372</v>
      </c>
      <c r="K418" s="32" t="s">
        <v>2373</v>
      </c>
      <c r="L418" s="32" t="s">
        <v>382</v>
      </c>
      <c r="M418" s="32" t="s">
        <v>382</v>
      </c>
      <c r="N418" s="33">
        <v>5</v>
      </c>
      <c r="O418" s="35"/>
      <c r="P418" s="35"/>
      <c r="Q418" s="37"/>
      <c r="R418" s="38"/>
      <c r="S418" s="33"/>
      <c r="T418" s="39">
        <v>197000</v>
      </c>
      <c r="U418" s="40" t="s">
        <v>115</v>
      </c>
      <c r="V418" s="41"/>
      <c r="W418" s="42" t="str">
        <f ca="1">IFERROR(__xludf.DUMMYFUNCTION("""COMPUTED_VALUE"""),"Pijat Sehat")</f>
        <v>Pijat Sehat</v>
      </c>
      <c r="X418" s="42" t="str">
        <f ca="1"/>
        <v>ON-Pijat Sehat-00011900+5-6281217985917</v>
      </c>
      <c r="Y418" s="40"/>
      <c r="Z418" s="40"/>
      <c r="AA418" s="23" t="str">
        <v>https://wa.me/6281217985917</v>
      </c>
      <c r="AB418" s="28"/>
      <c r="AC418" s="28"/>
      <c r="AD418" s="28"/>
      <c r="AE418" s="28"/>
      <c r="AF418" s="29"/>
      <c r="AG418" s="29"/>
    </row>
    <row r="419" spans="1:33" ht="15.75" customHeight="1">
      <c r="A419" s="32" t="s">
        <v>196</v>
      </c>
      <c r="B419" s="33">
        <v>426</v>
      </c>
      <c r="C419" s="34" t="s">
        <v>2880</v>
      </c>
      <c r="D419" s="35">
        <v>45861.280423842589</v>
      </c>
      <c r="E419" s="35">
        <v>45861</v>
      </c>
      <c r="F419" s="32" t="s">
        <v>2881</v>
      </c>
      <c r="G419" s="32" t="s">
        <v>2882</v>
      </c>
      <c r="H419" s="32" t="s">
        <v>2883</v>
      </c>
      <c r="I419" s="36" t="s">
        <v>2884</v>
      </c>
      <c r="J419" s="52"/>
      <c r="K419" s="32" t="s">
        <v>2885</v>
      </c>
      <c r="L419" s="32" t="s">
        <v>2886</v>
      </c>
      <c r="M419" s="32" t="s">
        <v>60</v>
      </c>
      <c r="N419" s="33">
        <v>5</v>
      </c>
      <c r="O419" s="35">
        <v>45863</v>
      </c>
      <c r="P419" s="35">
        <v>45868</v>
      </c>
      <c r="Q419" s="37"/>
      <c r="R419" s="38"/>
      <c r="S419" s="33"/>
      <c r="T419" s="39">
        <v>197000</v>
      </c>
      <c r="U419" s="40" t="s">
        <v>1774</v>
      </c>
      <c r="V419" s="41"/>
      <c r="W419" s="42" t="str">
        <f ca="1">IFERROR(__xludf.DUMMYFUNCTION("""COMPUTED_VALUE"""),"In Fashion")</f>
        <v>In Fashion</v>
      </c>
      <c r="X419" s="42" t="str">
        <f ca="1"/>
        <v>ON-In Fashion-00011900+5-6285397990632</v>
      </c>
      <c r="Y419" s="40" t="s">
        <v>62</v>
      </c>
      <c r="Z419" s="40" t="s">
        <v>1861</v>
      </c>
      <c r="AA419" s="23" t="str">
        <v>https://wa.me/6285397990632</v>
      </c>
      <c r="AB419" s="28" t="s">
        <v>2887</v>
      </c>
      <c r="AC419" s="28"/>
      <c r="AD419" s="28" t="s">
        <v>690</v>
      </c>
      <c r="AE419" s="28"/>
      <c r="AF419" s="29"/>
      <c r="AG419" s="29"/>
    </row>
    <row r="420" spans="1:33" ht="15.75" customHeight="1">
      <c r="A420" s="32" t="s">
        <v>196</v>
      </c>
      <c r="B420" s="33">
        <v>423</v>
      </c>
      <c r="C420" s="34" t="s">
        <v>2874</v>
      </c>
      <c r="D420" s="35">
        <v>45861.400802349541</v>
      </c>
      <c r="E420" s="35">
        <v>45861</v>
      </c>
      <c r="F420" s="32" t="s">
        <v>2888</v>
      </c>
      <c r="G420" s="32" t="s">
        <v>2889</v>
      </c>
      <c r="H420" s="32" t="s">
        <v>2890</v>
      </c>
      <c r="I420" s="36" t="s">
        <v>2891</v>
      </c>
      <c r="J420" s="52"/>
      <c r="K420" s="32" t="s">
        <v>2132</v>
      </c>
      <c r="L420" s="32" t="s">
        <v>2892</v>
      </c>
      <c r="M420" s="32" t="s">
        <v>48</v>
      </c>
      <c r="N420" s="33">
        <v>5</v>
      </c>
      <c r="O420" s="35"/>
      <c r="P420" s="35"/>
      <c r="Q420" s="37"/>
      <c r="R420" s="38"/>
      <c r="S420" s="33"/>
      <c r="T420" s="39">
        <v>197</v>
      </c>
      <c r="U420" s="40" t="s">
        <v>49</v>
      </c>
      <c r="V420" s="41"/>
      <c r="W420" s="42" t="str">
        <f ca="1">IFERROR(__xludf.DUMMYFUNCTION("""COMPUTED_VALUE"""),"Fatih Herbal")</f>
        <v>Fatih Herbal</v>
      </c>
      <c r="X420" s="42" t="str">
        <f ca="1"/>
        <v>ON-Fatih Herbal-00011900+5-62881010278235</v>
      </c>
      <c r="Y420" s="40" t="s">
        <v>62</v>
      </c>
      <c r="Z420" s="40" t="s">
        <v>639</v>
      </c>
      <c r="AA420" s="23" t="str">
        <v>https://wa.me/62881010278235</v>
      </c>
      <c r="AB420" s="28" t="s">
        <v>2893</v>
      </c>
      <c r="AC420" s="28"/>
      <c r="AD420" s="28" t="s">
        <v>690</v>
      </c>
      <c r="AE420" s="28"/>
      <c r="AF420" s="29"/>
      <c r="AG420" s="29"/>
    </row>
    <row r="421" spans="1:33" ht="15.75" customHeight="1">
      <c r="A421" s="32" t="s">
        <v>52</v>
      </c>
      <c r="B421" s="33">
        <v>424</v>
      </c>
      <c r="C421" s="34" t="s">
        <v>2879</v>
      </c>
      <c r="D421" s="35">
        <v>45861.41070925926</v>
      </c>
      <c r="E421" s="35">
        <v>45861</v>
      </c>
      <c r="F421" s="32" t="s">
        <v>2479</v>
      </c>
      <c r="G421" s="32" t="s">
        <v>2480</v>
      </c>
      <c r="H421" s="32" t="s">
        <v>2481</v>
      </c>
      <c r="I421" s="36" t="s">
        <v>2482</v>
      </c>
      <c r="J421" s="52"/>
      <c r="K421" s="32" t="s">
        <v>2894</v>
      </c>
      <c r="L421" s="32" t="s">
        <v>1628</v>
      </c>
      <c r="M421" s="32" t="s">
        <v>60</v>
      </c>
      <c r="N421" s="33">
        <v>5</v>
      </c>
      <c r="O421" s="35"/>
      <c r="P421" s="35"/>
      <c r="Q421" s="37"/>
      <c r="R421" s="38"/>
      <c r="S421" s="33"/>
      <c r="T421" s="39">
        <v>197000</v>
      </c>
      <c r="U421" s="40" t="s">
        <v>115</v>
      </c>
      <c r="V421" s="41"/>
      <c r="W421" s="42" t="str">
        <f ca="1">IFERROR(__xludf.DUMMYFUNCTION("""COMPUTED_VALUE"""),"AURIGA KONTRAKTOR")</f>
        <v>AURIGA KONTRAKTOR</v>
      </c>
      <c r="X421" s="42" t="str">
        <f ca="1"/>
        <v>ON-AURIGA KONTRAKTOR-00011900+5-6287856230745</v>
      </c>
      <c r="Y421" s="40"/>
      <c r="Z421" s="40"/>
      <c r="AA421" s="23" t="str">
        <v>https://wa.me/6287856230745</v>
      </c>
      <c r="AB421" s="28"/>
      <c r="AC421" s="28"/>
      <c r="AD421" s="28"/>
      <c r="AE421" s="28"/>
      <c r="AF421" s="29"/>
      <c r="AG421" s="29"/>
    </row>
    <row r="422" spans="1:33" ht="15.75" customHeight="1">
      <c r="A422" s="32" t="s">
        <v>196</v>
      </c>
      <c r="B422" s="33">
        <v>425</v>
      </c>
      <c r="C422" s="34" t="s">
        <v>2895</v>
      </c>
      <c r="D422" s="35">
        <v>45861.416589502318</v>
      </c>
      <c r="E422" s="35">
        <v>45861</v>
      </c>
      <c r="F422" s="32" t="s">
        <v>2896</v>
      </c>
      <c r="G422" s="32" t="s">
        <v>2897</v>
      </c>
      <c r="H422" s="32" t="s">
        <v>2898</v>
      </c>
      <c r="I422" s="36" t="s">
        <v>2899</v>
      </c>
      <c r="J422" s="52"/>
      <c r="K422" s="32" t="s">
        <v>2900</v>
      </c>
      <c r="L422" s="32" t="s">
        <v>92</v>
      </c>
      <c r="M422" s="32" t="s">
        <v>711</v>
      </c>
      <c r="N422" s="33">
        <v>14</v>
      </c>
      <c r="O422" s="35"/>
      <c r="P422" s="35"/>
      <c r="Q422" s="37"/>
      <c r="R422" s="38"/>
      <c r="S422" s="33"/>
      <c r="T422" s="39">
        <v>550000</v>
      </c>
      <c r="U422" s="40" t="s">
        <v>115</v>
      </c>
      <c r="V422" s="41"/>
      <c r="W422" s="42" t="str">
        <f ca="1">IFERROR(__xludf.DUMMYFUNCTION("""COMPUTED_VALUE"""),"FR bromo")</f>
        <v>FR bromo</v>
      </c>
      <c r="X422" s="42" t="str">
        <f ca="1"/>
        <v>ON-FR bromo-00011900+14-6282333203355</v>
      </c>
      <c r="Y422" s="40" t="s">
        <v>62</v>
      </c>
      <c r="Z422" s="40" t="s">
        <v>1880</v>
      </c>
      <c r="AA422" s="23" t="str">
        <v>https://wa.me/6282333203355</v>
      </c>
      <c r="AB422" s="28" t="s">
        <v>2901</v>
      </c>
      <c r="AC422" s="28"/>
      <c r="AD422" s="28" t="s">
        <v>690</v>
      </c>
      <c r="AE422" s="28"/>
      <c r="AF422" s="29"/>
      <c r="AG422" s="29"/>
    </row>
    <row r="423" spans="1:33" ht="15.75" customHeight="1">
      <c r="A423" s="32" t="s">
        <v>196</v>
      </c>
      <c r="B423" s="33">
        <v>426</v>
      </c>
      <c r="C423" s="34" t="s">
        <v>2880</v>
      </c>
      <c r="D423" s="35">
        <v>45861.434701678241</v>
      </c>
      <c r="E423" s="35">
        <v>45861</v>
      </c>
      <c r="F423" s="32" t="s">
        <v>2902</v>
      </c>
      <c r="G423" s="32" t="s">
        <v>2903</v>
      </c>
      <c r="H423" s="32" t="s">
        <v>2904</v>
      </c>
      <c r="I423" s="36" t="s">
        <v>2905</v>
      </c>
      <c r="J423" s="52"/>
      <c r="K423" s="32" t="s">
        <v>2906</v>
      </c>
      <c r="L423" s="32" t="s">
        <v>2631</v>
      </c>
      <c r="M423" s="32" t="s">
        <v>2907</v>
      </c>
      <c r="N423" s="33">
        <v>7</v>
      </c>
      <c r="O423" s="35"/>
      <c r="P423" s="35"/>
      <c r="Q423" s="37"/>
      <c r="R423" s="38"/>
      <c r="S423" s="33"/>
      <c r="T423" s="39">
        <v>297000</v>
      </c>
      <c r="U423" s="40" t="s">
        <v>61</v>
      </c>
      <c r="V423" s="41"/>
      <c r="W423" s="42" t="str">
        <f ca="1">IFERROR(__xludf.DUMMYFUNCTION("""COMPUTED_VALUE"""),"Indihome Telkomsel")</f>
        <v>Indihome Telkomsel</v>
      </c>
      <c r="X423" s="42" t="str">
        <f ca="1"/>
        <v>ON-Indihome Telkomsel-00011900+7-628113311777</v>
      </c>
      <c r="Y423" s="40" t="s">
        <v>62</v>
      </c>
      <c r="Z423" s="40" t="s">
        <v>1465</v>
      </c>
      <c r="AA423" s="23" t="str">
        <v>https://wa.me/628113311777</v>
      </c>
      <c r="AB423" s="28" t="s">
        <v>2908</v>
      </c>
      <c r="AC423" s="28"/>
      <c r="AD423" s="28" t="s">
        <v>690</v>
      </c>
      <c r="AE423" s="28"/>
      <c r="AF423" s="29"/>
      <c r="AG423" s="29"/>
    </row>
    <row r="424" spans="1:33" ht="15.75" customHeight="1">
      <c r="A424" s="32" t="s">
        <v>196</v>
      </c>
      <c r="B424" s="33">
        <v>427</v>
      </c>
      <c r="C424" s="34" t="s">
        <v>2909</v>
      </c>
      <c r="D424" s="35">
        <v>45861.437240717598</v>
      </c>
      <c r="E424" s="35">
        <v>45861</v>
      </c>
      <c r="F424" s="32" t="s">
        <v>2910</v>
      </c>
      <c r="G424" s="32" t="s">
        <v>2911</v>
      </c>
      <c r="H424" s="32" t="s">
        <v>2912</v>
      </c>
      <c r="I424" s="36" t="s">
        <v>2913</v>
      </c>
      <c r="J424" s="52" t="s">
        <v>2914</v>
      </c>
      <c r="K424" s="32" t="s">
        <v>2915</v>
      </c>
      <c r="L424" s="32" t="s">
        <v>1763</v>
      </c>
      <c r="M424" s="32" t="s">
        <v>38</v>
      </c>
      <c r="N424" s="33">
        <v>5</v>
      </c>
      <c r="O424" s="35"/>
      <c r="P424" s="35"/>
      <c r="Q424" s="37"/>
      <c r="R424" s="38"/>
      <c r="S424" s="33"/>
      <c r="T424" s="39">
        <v>197000</v>
      </c>
      <c r="U424" s="40" t="s">
        <v>61</v>
      </c>
      <c r="V424" s="41"/>
      <c r="W424" s="42" t="str">
        <f ca="1">IFERROR(__xludf.DUMMYFUNCTION("""COMPUTED_VALUE"""),"PT TAMA")</f>
        <v>PT TAMA</v>
      </c>
      <c r="X424" s="42" t="str">
        <f ca="1"/>
        <v>ON-PT TAMA-00011900+5-62823885166777</v>
      </c>
      <c r="Y424" s="40" t="s">
        <v>62</v>
      </c>
      <c r="Z424" s="40" t="s">
        <v>1880</v>
      </c>
      <c r="AA424" s="23" t="str">
        <v>https://wa.me/62823885166777</v>
      </c>
      <c r="AB424" s="28" t="s">
        <v>2916</v>
      </c>
      <c r="AC424" s="28"/>
      <c r="AD424" s="28" t="s">
        <v>690</v>
      </c>
      <c r="AE424" s="28"/>
      <c r="AF424" s="29"/>
      <c r="AG424" s="29"/>
    </row>
    <row r="425" spans="1:33" ht="15.75" customHeight="1">
      <c r="A425" s="32" t="s">
        <v>196</v>
      </c>
      <c r="B425" s="33">
        <v>428</v>
      </c>
      <c r="C425" s="34" t="s">
        <v>2917</v>
      </c>
      <c r="D425" s="35">
        <v>45861.460809432872</v>
      </c>
      <c r="E425" s="35">
        <v>45861</v>
      </c>
      <c r="F425" s="32" t="s">
        <v>2918</v>
      </c>
      <c r="G425" s="32" t="s">
        <v>2919</v>
      </c>
      <c r="H425" s="32" t="s">
        <v>2920</v>
      </c>
      <c r="I425" s="36" t="s">
        <v>2921</v>
      </c>
      <c r="J425" s="52" t="s">
        <v>2922</v>
      </c>
      <c r="K425" s="32" t="s">
        <v>2923</v>
      </c>
      <c r="L425" s="32" t="s">
        <v>2924</v>
      </c>
      <c r="M425" s="32" t="s">
        <v>48</v>
      </c>
      <c r="N425" s="33">
        <v>7</v>
      </c>
      <c r="O425" s="35"/>
      <c r="P425" s="35"/>
      <c r="Q425" s="37"/>
      <c r="R425" s="38"/>
      <c r="S425" s="33"/>
      <c r="T425" s="39">
        <v>297000</v>
      </c>
      <c r="U425" s="40" t="s">
        <v>115</v>
      </c>
      <c r="V425" s="41"/>
      <c r="W425" s="42" t="str">
        <f ca="1">IFERROR(__xludf.DUMMYFUNCTION("""COMPUTED_VALUE"""),"Best kaca")</f>
        <v>Best kaca</v>
      </c>
      <c r="X425" s="42" t="str">
        <f ca="1"/>
        <v>ON-Best kaca-00011900+7-6281553075560</v>
      </c>
      <c r="Y425" s="40" t="s">
        <v>62</v>
      </c>
      <c r="Z425" s="40" t="s">
        <v>294</v>
      </c>
      <c r="AA425" s="23" t="str">
        <v>https://wa.me/6281553075560</v>
      </c>
      <c r="AB425" s="28" t="s">
        <v>2925</v>
      </c>
      <c r="AC425" s="28"/>
      <c r="AD425" s="28" t="s">
        <v>690</v>
      </c>
      <c r="AE425" s="28"/>
      <c r="AF425" s="29"/>
      <c r="AG425" s="29"/>
    </row>
    <row r="426" spans="1:33" ht="15.75" customHeight="1">
      <c r="A426" s="32" t="s">
        <v>196</v>
      </c>
      <c r="B426" s="33">
        <v>429</v>
      </c>
      <c r="C426" s="34" t="s">
        <v>2926</v>
      </c>
      <c r="D426" s="35">
        <v>45861.514905717588</v>
      </c>
      <c r="E426" s="35">
        <v>45861</v>
      </c>
      <c r="F426" s="32" t="s">
        <v>2927</v>
      </c>
      <c r="G426" s="32" t="s">
        <v>2928</v>
      </c>
      <c r="H426" s="32" t="s">
        <v>2929</v>
      </c>
      <c r="I426" s="36" t="s">
        <v>2930</v>
      </c>
      <c r="J426" s="52" t="s">
        <v>2931</v>
      </c>
      <c r="K426" s="32" t="s">
        <v>2932</v>
      </c>
      <c r="L426" s="32" t="s">
        <v>2933</v>
      </c>
      <c r="M426" s="32" t="s">
        <v>48</v>
      </c>
      <c r="N426" s="33">
        <v>7</v>
      </c>
      <c r="O426" s="35"/>
      <c r="P426" s="35"/>
      <c r="Q426" s="37"/>
      <c r="R426" s="38"/>
      <c r="S426" s="33"/>
      <c r="T426" s="39">
        <v>297000</v>
      </c>
      <c r="U426" s="40" t="s">
        <v>61</v>
      </c>
      <c r="V426" s="41"/>
      <c r="W426" s="42" t="str">
        <f ca="1">IFERROR(__xludf.DUMMYFUNCTION("""COMPUTED_VALUE"""),"PT Sapto")</f>
        <v>PT Sapto</v>
      </c>
      <c r="X426" s="42" t="str">
        <f ca="1"/>
        <v>ON-PT Sapto-00011900+7-6281280241630</v>
      </c>
      <c r="Y426" s="40" t="s">
        <v>62</v>
      </c>
      <c r="Z426" s="40" t="s">
        <v>294</v>
      </c>
      <c r="AA426" s="23" t="str">
        <v>https://wa.me/6281280241630</v>
      </c>
      <c r="AB426" s="28" t="s">
        <v>2934</v>
      </c>
      <c r="AC426" s="28"/>
      <c r="AD426" s="28" t="s">
        <v>690</v>
      </c>
      <c r="AE426" s="28"/>
      <c r="AF426" s="29"/>
      <c r="AG426" s="29"/>
    </row>
    <row r="427" spans="1:33" ht="15.75" customHeight="1">
      <c r="A427" s="32" t="s">
        <v>196</v>
      </c>
      <c r="B427" s="33">
        <v>431</v>
      </c>
      <c r="C427" s="34" t="s">
        <v>2935</v>
      </c>
      <c r="D427" s="35">
        <v>45861.560749016207</v>
      </c>
      <c r="E427" s="35">
        <v>45861</v>
      </c>
      <c r="F427" s="32" t="s">
        <v>2936</v>
      </c>
      <c r="G427" s="32" t="s">
        <v>2937</v>
      </c>
      <c r="H427" s="32" t="s">
        <v>2938</v>
      </c>
      <c r="I427" s="36" t="s">
        <v>2939</v>
      </c>
      <c r="J427" s="52"/>
      <c r="K427" s="32" t="s">
        <v>2940</v>
      </c>
      <c r="L427" s="32" t="s">
        <v>2500</v>
      </c>
      <c r="M427" s="32" t="s">
        <v>48</v>
      </c>
      <c r="N427" s="33">
        <v>5</v>
      </c>
      <c r="O427" s="35">
        <v>45866</v>
      </c>
      <c r="P427" s="35">
        <v>45871</v>
      </c>
      <c r="Q427" s="37"/>
      <c r="R427" s="38"/>
      <c r="S427" s="33"/>
      <c r="T427" s="39">
        <v>197000</v>
      </c>
      <c r="U427" s="40" t="s">
        <v>1774</v>
      </c>
      <c r="V427" s="41"/>
      <c r="W427" s="42" t="str">
        <f ca="1">IFERROR(__xludf.DUMMYFUNCTION("""COMPUTED_VALUE"""),"Rr Renctar")</f>
        <v>Rr Renctar</v>
      </c>
      <c r="X427" s="42" t="str">
        <f ca="1"/>
        <v>ON-Rr Renctar-00011900+5-6282123587173</v>
      </c>
      <c r="Y427" s="40" t="s">
        <v>62</v>
      </c>
      <c r="Z427" s="40" t="s">
        <v>1880</v>
      </c>
      <c r="AA427" s="23" t="str">
        <v>https://wa.me/6282123587173</v>
      </c>
      <c r="AB427" s="28" t="s">
        <v>2941</v>
      </c>
      <c r="AC427" s="28"/>
      <c r="AD427" s="28" t="s">
        <v>690</v>
      </c>
      <c r="AE427" s="28"/>
      <c r="AF427" s="29"/>
      <c r="AG427" s="29"/>
    </row>
    <row r="428" spans="1:33" ht="15.75" customHeight="1">
      <c r="A428" s="32" t="s">
        <v>196</v>
      </c>
      <c r="B428" s="33">
        <v>432</v>
      </c>
      <c r="C428" s="34" t="s">
        <v>2942</v>
      </c>
      <c r="D428" s="35">
        <v>45861.578643159723</v>
      </c>
      <c r="E428" s="35">
        <v>45860</v>
      </c>
      <c r="F428" s="32" t="s">
        <v>2868</v>
      </c>
      <c r="G428" s="32" t="s">
        <v>2869</v>
      </c>
      <c r="H428" s="32" t="s">
        <v>2870</v>
      </c>
      <c r="I428" s="36" t="s">
        <v>2778</v>
      </c>
      <c r="J428" s="52"/>
      <c r="K428" s="32" t="s">
        <v>2872</v>
      </c>
      <c r="L428" s="32" t="s">
        <v>2873</v>
      </c>
      <c r="M428" s="32" t="s">
        <v>60</v>
      </c>
      <c r="N428" s="33">
        <v>5</v>
      </c>
      <c r="O428" s="35"/>
      <c r="P428" s="35"/>
      <c r="Q428" s="37"/>
      <c r="R428" s="38"/>
      <c r="S428" s="33"/>
      <c r="T428" s="39">
        <v>197000</v>
      </c>
      <c r="U428" s="40" t="s">
        <v>61</v>
      </c>
      <c r="V428" s="41"/>
      <c r="W428" s="42" t="str">
        <f ca="1">IFERROR(__xludf.DUMMYFUNCTION("""COMPUTED_VALUE"""),"Penyehat Tradisional")</f>
        <v>Penyehat Tradisional</v>
      </c>
      <c r="X428" s="42" t="str">
        <f ca="1"/>
        <v>ON-Penyehat Tradisional-00011900+5-6285657238556</v>
      </c>
      <c r="Y428" s="40" t="s">
        <v>62</v>
      </c>
      <c r="Z428" s="40" t="s">
        <v>639</v>
      </c>
      <c r="AA428" s="23" t="str">
        <v>https://wa.me/6285657238556</v>
      </c>
      <c r="AB428" s="28" t="s">
        <v>2943</v>
      </c>
      <c r="AC428" s="28"/>
      <c r="AD428" s="28" t="s">
        <v>690</v>
      </c>
      <c r="AE428" s="28"/>
      <c r="AF428" s="29"/>
      <c r="AG428" s="29"/>
    </row>
    <row r="429" spans="1:33" ht="15.75" customHeight="1">
      <c r="A429" s="32" t="s">
        <v>196</v>
      </c>
      <c r="B429" s="33">
        <v>434</v>
      </c>
      <c r="C429" s="34" t="s">
        <v>2944</v>
      </c>
      <c r="D429" s="35">
        <v>45861.689156504624</v>
      </c>
      <c r="E429" s="35">
        <v>45861</v>
      </c>
      <c r="F429" s="32" t="s">
        <v>2945</v>
      </c>
      <c r="G429" s="32" t="s">
        <v>2946</v>
      </c>
      <c r="H429" s="32" t="s">
        <v>2947</v>
      </c>
      <c r="I429" s="36" t="s">
        <v>2948</v>
      </c>
      <c r="J429" s="52" t="s">
        <v>2949</v>
      </c>
      <c r="K429" s="32" t="s">
        <v>2950</v>
      </c>
      <c r="L429" s="32" t="s">
        <v>1628</v>
      </c>
      <c r="M429" s="32" t="s">
        <v>382</v>
      </c>
      <c r="N429" s="33">
        <v>7</v>
      </c>
      <c r="O429" s="35"/>
      <c r="P429" s="35"/>
      <c r="Q429" s="37"/>
      <c r="R429" s="38"/>
      <c r="S429" s="33"/>
      <c r="T429" s="39">
        <v>297000</v>
      </c>
      <c r="U429" s="40" t="s">
        <v>115</v>
      </c>
      <c r="V429" s="41"/>
      <c r="W429" s="42" t="str">
        <f ca="1">IFERROR(__xludf.DUMMYFUNCTION("""COMPUTED_VALUE"""),"PT. DEVANA")</f>
        <v>PT. DEVANA</v>
      </c>
      <c r="X429" s="42" t="str">
        <f ca="1"/>
        <v>ON-PT. DEVANA-00011900+7-6281327457634</v>
      </c>
      <c r="Y429" s="40" t="s">
        <v>62</v>
      </c>
      <c r="Z429" s="40" t="s">
        <v>1880</v>
      </c>
      <c r="AA429" s="23" t="str">
        <v>https://wa.me/6281327457634</v>
      </c>
      <c r="AB429" s="28" t="s">
        <v>2951</v>
      </c>
      <c r="AC429" s="28"/>
      <c r="AD429" s="28" t="s">
        <v>690</v>
      </c>
      <c r="AE429" s="28"/>
      <c r="AF429" s="29"/>
      <c r="AG429" s="29"/>
    </row>
    <row r="430" spans="1:33" ht="15.75" customHeight="1">
      <c r="A430" s="32" t="s">
        <v>196</v>
      </c>
      <c r="B430" s="33">
        <v>435</v>
      </c>
      <c r="C430" s="34" t="s">
        <v>2952</v>
      </c>
      <c r="D430" s="35">
        <v>45861.72759790509</v>
      </c>
      <c r="E430" s="35">
        <v>45860</v>
      </c>
      <c r="F430" s="32" t="s">
        <v>2953</v>
      </c>
      <c r="G430" s="32" t="s">
        <v>2954</v>
      </c>
      <c r="H430" s="32" t="s">
        <v>879</v>
      </c>
      <c r="I430" s="36" t="s">
        <v>2955</v>
      </c>
      <c r="J430" s="52"/>
      <c r="K430" s="32" t="s">
        <v>570</v>
      </c>
      <c r="L430" s="32" t="s">
        <v>99</v>
      </c>
      <c r="M430" s="32" t="s">
        <v>60</v>
      </c>
      <c r="N430" s="33">
        <v>10</v>
      </c>
      <c r="O430" s="35"/>
      <c r="P430" s="35"/>
      <c r="Q430" s="37"/>
      <c r="R430" s="38"/>
      <c r="S430" s="33"/>
      <c r="T430" s="39">
        <v>375000</v>
      </c>
      <c r="U430" s="40" t="s">
        <v>61</v>
      </c>
      <c r="V430" s="41"/>
      <c r="W430" s="42" t="str">
        <f ca="1">IFERROR(__xludf.DUMMYFUNCTION("""COMPUTED_VALUE"""),"MGM FURNITURE")</f>
        <v>MGM FURNITURE</v>
      </c>
      <c r="X430" s="42" t="str">
        <f ca="1"/>
        <v>ON-MGM FURNITURE-00011900+10-6282299236521</v>
      </c>
      <c r="Y430" s="40" t="s">
        <v>293</v>
      </c>
      <c r="Z430" s="40" t="s">
        <v>1057</v>
      </c>
      <c r="AA430" s="23" t="str">
        <v>https://wa.me/6282299236521</v>
      </c>
      <c r="AB430" s="28" t="s">
        <v>2956</v>
      </c>
      <c r="AC430" s="28"/>
      <c r="AD430" s="28" t="s">
        <v>690</v>
      </c>
      <c r="AE430" s="28"/>
      <c r="AF430" s="29"/>
      <c r="AG430" s="29"/>
    </row>
    <row r="431" spans="1:33" ht="15.75" customHeight="1">
      <c r="A431" s="32" t="s">
        <v>196</v>
      </c>
      <c r="B431" s="33">
        <v>436</v>
      </c>
      <c r="C431" s="34" t="s">
        <v>2957</v>
      </c>
      <c r="D431" s="35">
        <v>45861.82648984954</v>
      </c>
      <c r="E431" s="35">
        <v>45861</v>
      </c>
      <c r="F431" s="32" t="s">
        <v>2958</v>
      </c>
      <c r="G431" s="32" t="s">
        <v>2959</v>
      </c>
      <c r="H431" s="32" t="s">
        <v>2960</v>
      </c>
      <c r="I431" s="36" t="s">
        <v>2961</v>
      </c>
      <c r="J431" s="52" t="s">
        <v>2962</v>
      </c>
      <c r="K431" s="32" t="s">
        <v>339</v>
      </c>
      <c r="L431" s="32" t="s">
        <v>1628</v>
      </c>
      <c r="M431" s="32" t="s">
        <v>382</v>
      </c>
      <c r="N431" s="33">
        <v>5</v>
      </c>
      <c r="O431" s="35"/>
      <c r="P431" s="35"/>
      <c r="Q431" s="37"/>
      <c r="R431" s="38"/>
      <c r="S431" s="33"/>
      <c r="T431" s="39">
        <v>197000</v>
      </c>
      <c r="U431" s="40" t="s">
        <v>115</v>
      </c>
      <c r="V431" s="41"/>
      <c r="W431" s="42" t="str">
        <f ca="1">IFERROR(__xludf.DUMMYFUNCTION("""COMPUTED_VALUE"""),"IQBAL ROSTER")</f>
        <v>IQBAL ROSTER</v>
      </c>
      <c r="X431" s="42" t="str">
        <f ca="1"/>
        <v>ON-IQBAL ROSTER-00011900+5-6281258553437</v>
      </c>
      <c r="Y431" s="40" t="s">
        <v>293</v>
      </c>
      <c r="Z431" s="40" t="s">
        <v>1057</v>
      </c>
      <c r="AA431" s="23" t="str">
        <v>https://wa.me/6281258553437</v>
      </c>
      <c r="AB431" s="28" t="s">
        <v>2963</v>
      </c>
      <c r="AC431" s="28"/>
      <c r="AD431" s="28" t="s">
        <v>690</v>
      </c>
      <c r="AE431" s="28"/>
      <c r="AF431" s="29"/>
      <c r="AG431" s="29"/>
    </row>
    <row r="432" spans="1:33" ht="15.75" customHeight="1">
      <c r="A432" s="32" t="s">
        <v>52</v>
      </c>
      <c r="B432" s="33">
        <v>437</v>
      </c>
      <c r="C432" s="34" t="s">
        <v>2964</v>
      </c>
      <c r="D432" s="35">
        <v>45861.904712824078</v>
      </c>
      <c r="E432" s="35">
        <v>45861</v>
      </c>
      <c r="F432" s="32" t="s">
        <v>2965</v>
      </c>
      <c r="G432" s="32" t="s">
        <v>2274</v>
      </c>
      <c r="H432" s="32" t="s">
        <v>2275</v>
      </c>
      <c r="I432" s="36" t="s">
        <v>2276</v>
      </c>
      <c r="J432" s="52"/>
      <c r="K432" s="32" t="s">
        <v>2966</v>
      </c>
      <c r="L432" s="32" t="s">
        <v>2468</v>
      </c>
      <c r="M432" s="32" t="s">
        <v>2032</v>
      </c>
      <c r="N432" s="33">
        <v>5</v>
      </c>
      <c r="O432" s="35"/>
      <c r="P432" s="35"/>
      <c r="Q432" s="37"/>
      <c r="R432" s="38"/>
      <c r="S432" s="33"/>
      <c r="T432" s="39">
        <v>197000</v>
      </c>
      <c r="U432" s="40" t="s">
        <v>61</v>
      </c>
      <c r="V432" s="41"/>
      <c r="W432" s="42" t="str">
        <f ca="1">IFERROR(__xludf.DUMMYFUNCTION("""COMPUTED_VALUE"""),"Hery Service")</f>
        <v>Hery Service</v>
      </c>
      <c r="X432" s="42" t="str">
        <f ca="1"/>
        <v>ON-Hery Service-00011900+5-6281316839343</v>
      </c>
      <c r="Y432" s="40"/>
      <c r="Z432" s="40"/>
      <c r="AA432" s="23" t="str">
        <v>https://wa.me/6281316839343</v>
      </c>
      <c r="AB432" s="28"/>
      <c r="AC432" s="28"/>
      <c r="AD432" s="28"/>
      <c r="AE432" s="28"/>
      <c r="AF432" s="29"/>
      <c r="AG432" s="29"/>
    </row>
    <row r="433" spans="1:33" ht="15.75" customHeight="1">
      <c r="A433" s="32" t="s">
        <v>196</v>
      </c>
      <c r="B433" s="33">
        <v>438</v>
      </c>
      <c r="C433" s="34" t="s">
        <v>2967</v>
      </c>
      <c r="D433" s="35">
        <v>45861.923531134264</v>
      </c>
      <c r="E433" s="35">
        <v>45861</v>
      </c>
      <c r="F433" s="32" t="s">
        <v>2968</v>
      </c>
      <c r="G433" s="32" t="s">
        <v>2969</v>
      </c>
      <c r="H433" s="32" t="s">
        <v>2970</v>
      </c>
      <c r="I433" s="36" t="s">
        <v>2971</v>
      </c>
      <c r="J433" s="52" t="s">
        <v>2972</v>
      </c>
      <c r="K433" s="32" t="s">
        <v>2973</v>
      </c>
      <c r="L433" s="32" t="s">
        <v>2974</v>
      </c>
      <c r="M433" s="32" t="s">
        <v>60</v>
      </c>
      <c r="N433" s="33">
        <v>20</v>
      </c>
      <c r="O433" s="35">
        <v>45863</v>
      </c>
      <c r="P433" s="35">
        <v>45883</v>
      </c>
      <c r="Q433" s="37"/>
      <c r="R433" s="38"/>
      <c r="S433" s="33"/>
      <c r="T433" s="39">
        <v>700000</v>
      </c>
      <c r="U433" s="40" t="s">
        <v>61</v>
      </c>
      <c r="V433" s="41"/>
      <c r="W433" s="42" t="str">
        <f ca="1">IFERROR(__xludf.DUMMYFUNCTION("""COMPUTED_VALUE"""),"Harkan Adventure")</f>
        <v>Harkan Adventure</v>
      </c>
      <c r="X433" s="42" t="str">
        <f ca="1"/>
        <v>ON-Harkan Adventure-00011900+20-6281286402030</v>
      </c>
      <c r="Y433" s="40" t="s">
        <v>62</v>
      </c>
      <c r="Z433" s="40" t="s">
        <v>1880</v>
      </c>
      <c r="AA433" s="23" t="str">
        <v>https://wa.me/6281286402030</v>
      </c>
      <c r="AB433" s="28" t="s">
        <v>2975</v>
      </c>
      <c r="AC433" s="28"/>
      <c r="AD433" s="28" t="s">
        <v>690</v>
      </c>
      <c r="AE433" s="28"/>
      <c r="AF433" s="29"/>
      <c r="AG433" s="29"/>
    </row>
    <row r="434" spans="1:33" ht="15.75" customHeight="1">
      <c r="A434" s="32" t="s">
        <v>196</v>
      </c>
      <c r="B434" s="33">
        <v>439</v>
      </c>
      <c r="C434" s="34" t="s">
        <v>2976</v>
      </c>
      <c r="D434" s="35">
        <v>45862.285139270833</v>
      </c>
      <c r="E434" s="35">
        <v>45862</v>
      </c>
      <c r="F434" s="32" t="s">
        <v>2977</v>
      </c>
      <c r="G434" s="32" t="s">
        <v>2978</v>
      </c>
      <c r="H434" s="32" t="s">
        <v>298</v>
      </c>
      <c r="I434" s="36" t="s">
        <v>2979</v>
      </c>
      <c r="J434" s="52" t="s">
        <v>2980</v>
      </c>
      <c r="K434" s="32" t="s">
        <v>2981</v>
      </c>
      <c r="L434" s="32" t="s">
        <v>2982</v>
      </c>
      <c r="M434" s="32" t="s">
        <v>2983</v>
      </c>
      <c r="N434" s="33">
        <v>5</v>
      </c>
      <c r="O434" s="35"/>
      <c r="P434" s="35"/>
      <c r="Q434" s="37"/>
      <c r="R434" s="38"/>
      <c r="S434" s="33"/>
      <c r="T434" s="39">
        <v>197000</v>
      </c>
      <c r="U434" s="40" t="s">
        <v>115</v>
      </c>
      <c r="V434" s="41"/>
      <c r="W434" s="42" t="str">
        <f ca="1">IFERROR(__xludf.DUMMYFUNCTION("""COMPUTED_VALUE"""),"Interior Design")</f>
        <v>Interior Design</v>
      </c>
      <c r="X434" s="42" t="str">
        <f ca="1"/>
        <v>ON-Interior Design-00011900+5-6285373309275</v>
      </c>
      <c r="Y434" s="40" t="s">
        <v>293</v>
      </c>
      <c r="Z434" s="40" t="s">
        <v>1057</v>
      </c>
      <c r="AA434" s="23" t="str">
        <v>https://wa.me/6285373309275</v>
      </c>
      <c r="AB434" s="28" t="s">
        <v>2984</v>
      </c>
      <c r="AC434" s="28"/>
      <c r="AD434" s="28" t="s">
        <v>690</v>
      </c>
      <c r="AE434" s="28"/>
      <c r="AF434" s="29"/>
      <c r="AG434" s="29"/>
    </row>
    <row r="435" spans="1:33" ht="15.75" customHeight="1">
      <c r="A435" s="32" t="s">
        <v>52</v>
      </c>
      <c r="B435" s="33">
        <v>439</v>
      </c>
      <c r="C435" s="34" t="s">
        <v>2976</v>
      </c>
      <c r="D435" s="35">
        <v>45862.358108854169</v>
      </c>
      <c r="E435" s="35">
        <v>45862</v>
      </c>
      <c r="F435" s="32" t="s">
        <v>533</v>
      </c>
      <c r="G435" s="32" t="s">
        <v>2053</v>
      </c>
      <c r="H435" s="32" t="s">
        <v>74</v>
      </c>
      <c r="I435" s="36" t="s">
        <v>536</v>
      </c>
      <c r="J435" s="52" t="s">
        <v>2985</v>
      </c>
      <c r="K435" s="32" t="s">
        <v>2986</v>
      </c>
      <c r="L435" s="32" t="s">
        <v>2987</v>
      </c>
      <c r="M435" s="32" t="s">
        <v>38</v>
      </c>
      <c r="N435" s="33">
        <v>5</v>
      </c>
      <c r="O435" s="35"/>
      <c r="P435" s="35"/>
      <c r="Q435" s="37"/>
      <c r="R435" s="38"/>
      <c r="S435" s="33"/>
      <c r="T435" s="39">
        <v>197000</v>
      </c>
      <c r="U435" s="40" t="s">
        <v>61</v>
      </c>
      <c r="V435" s="41"/>
      <c r="W435" s="42" t="str">
        <f ca="1">IFERROR(__xludf.DUMMYFUNCTION("""COMPUTED_VALUE"""),"Hana Glamour")</f>
        <v>Hana Glamour</v>
      </c>
      <c r="X435" s="42" t="str">
        <f ca="1"/>
        <v>ON-Hana Glamour-00011900+5-6281335728695</v>
      </c>
      <c r="Y435" s="40"/>
      <c r="Z435" s="40"/>
      <c r="AA435" s="23" t="str">
        <v>https://wa.me/6281335728695</v>
      </c>
      <c r="AB435" s="28"/>
      <c r="AC435" s="28"/>
      <c r="AD435" s="28"/>
      <c r="AE435" s="28"/>
      <c r="AF435" s="29"/>
      <c r="AG435" s="29"/>
    </row>
    <row r="436" spans="1:33" ht="15.75" customHeight="1">
      <c r="A436" s="32" t="s">
        <v>196</v>
      </c>
      <c r="B436" s="33">
        <v>440</v>
      </c>
      <c r="C436" s="34" t="s">
        <v>2988</v>
      </c>
      <c r="D436" s="35">
        <v>45862.369542060187</v>
      </c>
      <c r="E436" s="35">
        <v>45862</v>
      </c>
      <c r="F436" s="32" t="s">
        <v>2989</v>
      </c>
      <c r="G436" s="32" t="s">
        <v>2990</v>
      </c>
      <c r="H436" s="32" t="s">
        <v>2991</v>
      </c>
      <c r="I436" s="36" t="s">
        <v>2992</v>
      </c>
      <c r="J436" s="52" t="s">
        <v>2993</v>
      </c>
      <c r="K436" s="32" t="s">
        <v>2994</v>
      </c>
      <c r="L436" s="32" t="s">
        <v>2995</v>
      </c>
      <c r="M436" s="32" t="s">
        <v>60</v>
      </c>
      <c r="N436" s="33">
        <v>5</v>
      </c>
      <c r="O436" s="35"/>
      <c r="P436" s="35"/>
      <c r="Q436" s="37"/>
      <c r="R436" s="38"/>
      <c r="S436" s="33"/>
      <c r="T436" s="39">
        <v>197000</v>
      </c>
      <c r="U436" s="40" t="s">
        <v>61</v>
      </c>
      <c r="V436" s="41"/>
      <c r="W436" s="42" t="str">
        <f ca="1">IFERROR(__xludf.DUMMYFUNCTION("""COMPUTED_VALUE"""),"Bagus Bali")</f>
        <v>Bagus Bali</v>
      </c>
      <c r="X436" s="42" t="str">
        <f ca="1"/>
        <v>ON-Bagus Bali-00011900+5-6282340878030</v>
      </c>
      <c r="Y436" s="40" t="s">
        <v>62</v>
      </c>
      <c r="Z436" s="40" t="s">
        <v>1880</v>
      </c>
      <c r="AA436" s="23" t="str">
        <v>https://wa.me/6282340878030</v>
      </c>
      <c r="AB436" s="28" t="s">
        <v>2996</v>
      </c>
      <c r="AC436" s="28"/>
      <c r="AD436" s="28" t="s">
        <v>690</v>
      </c>
      <c r="AE436" s="28"/>
      <c r="AF436" s="29"/>
      <c r="AG436" s="29"/>
    </row>
    <row r="437" spans="1:33" ht="15.75" customHeight="1">
      <c r="A437" s="32" t="s">
        <v>52</v>
      </c>
      <c r="B437" s="33">
        <v>442</v>
      </c>
      <c r="C437" s="34" t="s">
        <v>2997</v>
      </c>
      <c r="D437" s="35">
        <v>45862.778607314816</v>
      </c>
      <c r="E437" s="35">
        <v>45862</v>
      </c>
      <c r="F437" s="32" t="s">
        <v>533</v>
      </c>
      <c r="G437" s="32" t="s">
        <v>2053</v>
      </c>
      <c r="H437" s="32" t="s">
        <v>74</v>
      </c>
      <c r="I437" s="36" t="s">
        <v>536</v>
      </c>
      <c r="J437" s="52" t="s">
        <v>2985</v>
      </c>
      <c r="K437" s="32" t="s">
        <v>2986</v>
      </c>
      <c r="L437" s="32" t="s">
        <v>2987</v>
      </c>
      <c r="M437" s="32" t="s">
        <v>38</v>
      </c>
      <c r="N437" s="33">
        <v>5</v>
      </c>
      <c r="O437" s="35"/>
      <c r="P437" s="35"/>
      <c r="Q437" s="37"/>
      <c r="R437" s="38"/>
      <c r="S437" s="33"/>
      <c r="T437" s="39">
        <v>197000</v>
      </c>
      <c r="U437" s="40" t="s">
        <v>61</v>
      </c>
      <c r="V437" s="41"/>
      <c r="W437" s="42" t="str">
        <f ca="1">IFERROR(__xludf.DUMMYFUNCTION("""COMPUTED_VALUE"""),"Hana Glamour")</f>
        <v>Hana Glamour</v>
      </c>
      <c r="X437" s="42" t="str">
        <f ca="1"/>
        <v>ON-Hana Glamour-00011900+5-6281335728695</v>
      </c>
      <c r="Y437" s="40"/>
      <c r="Z437" s="40"/>
      <c r="AA437" s="23" t="str">
        <v>https://wa.me/6281335728695</v>
      </c>
      <c r="AB437" s="28"/>
      <c r="AC437" s="28"/>
      <c r="AD437" s="28"/>
      <c r="AE437" s="28"/>
      <c r="AF437" s="29"/>
      <c r="AG437" s="29"/>
    </row>
    <row r="438" spans="1:33" ht="15.75" customHeight="1">
      <c r="A438" s="32" t="s">
        <v>196</v>
      </c>
      <c r="B438" s="33">
        <v>444</v>
      </c>
      <c r="C438" s="34" t="s">
        <v>2998</v>
      </c>
      <c r="D438" s="35">
        <v>45862.838638506946</v>
      </c>
      <c r="E438" s="35">
        <v>45862</v>
      </c>
      <c r="F438" s="32" t="s">
        <v>2999</v>
      </c>
      <c r="G438" s="32" t="s">
        <v>3000</v>
      </c>
      <c r="H438" s="32" t="s">
        <v>3001</v>
      </c>
      <c r="I438" s="36" t="s">
        <v>3002</v>
      </c>
      <c r="J438" s="52"/>
      <c r="K438" s="32" t="s">
        <v>3003</v>
      </c>
      <c r="L438" s="32" t="s">
        <v>3004</v>
      </c>
      <c r="M438" s="32" t="s">
        <v>60</v>
      </c>
      <c r="N438" s="33">
        <v>5</v>
      </c>
      <c r="O438" s="35"/>
      <c r="P438" s="35"/>
      <c r="Q438" s="37"/>
      <c r="R438" s="38"/>
      <c r="S438" s="33"/>
      <c r="T438" s="39">
        <v>197000</v>
      </c>
      <c r="U438" s="40" t="s">
        <v>61</v>
      </c>
      <c r="V438" s="41"/>
      <c r="W438" s="42" t="str">
        <f ca="1">IFERROR(__xludf.DUMMYFUNCTION("""COMPUTED_VALUE"""),"Sunshine Lovinaku")</f>
        <v>Sunshine Lovinaku</v>
      </c>
      <c r="X438" s="42" t="str">
        <f ca="1"/>
        <v>ON-Sunshine Lovinaku-00011900+5-6287826386983</v>
      </c>
      <c r="Y438" s="40" t="s">
        <v>62</v>
      </c>
      <c r="Z438" s="40" t="s">
        <v>1880</v>
      </c>
      <c r="AA438" s="23" t="str">
        <v>https://wa.me/6287826386983</v>
      </c>
      <c r="AB438" s="28" t="s">
        <v>3005</v>
      </c>
      <c r="AC438" s="28"/>
      <c r="AD438" s="28" t="s">
        <v>690</v>
      </c>
      <c r="AE438" s="28"/>
      <c r="AF438" s="29"/>
      <c r="AG438" s="29"/>
    </row>
    <row r="439" spans="1:33" ht="15.75" customHeight="1">
      <c r="A439" s="32" t="s">
        <v>196</v>
      </c>
      <c r="B439" s="33">
        <v>445</v>
      </c>
      <c r="C439" s="34" t="s">
        <v>3006</v>
      </c>
      <c r="D439" s="35">
        <v>45862.863166261573</v>
      </c>
      <c r="E439" s="35">
        <v>45862</v>
      </c>
      <c r="F439" s="32" t="s">
        <v>3007</v>
      </c>
      <c r="G439" s="32" t="s">
        <v>3008</v>
      </c>
      <c r="H439" s="32" t="s">
        <v>3009</v>
      </c>
      <c r="I439" s="36" t="s">
        <v>3010</v>
      </c>
      <c r="J439" s="52"/>
      <c r="K439" s="32" t="s">
        <v>3011</v>
      </c>
      <c r="L439" s="32" t="s">
        <v>3012</v>
      </c>
      <c r="M439" s="32" t="s">
        <v>48</v>
      </c>
      <c r="N439" s="33">
        <v>5</v>
      </c>
      <c r="O439" s="35"/>
      <c r="P439" s="35"/>
      <c r="Q439" s="37"/>
      <c r="R439" s="38"/>
      <c r="S439" s="33"/>
      <c r="T439" s="39">
        <v>197000</v>
      </c>
      <c r="U439" s="40" t="s">
        <v>61</v>
      </c>
      <c r="V439" s="41"/>
      <c r="W439" s="42" t="str">
        <f ca="1">IFERROR(__xludf.DUMMYFUNCTION("""COMPUTED_VALUE"""),"Toko Dhini")</f>
        <v>Toko Dhini</v>
      </c>
      <c r="X439" s="42" t="str">
        <f ca="1"/>
        <v>ON-Toko Dhini-00011900+5-6281270765156</v>
      </c>
      <c r="Y439" s="40" t="s">
        <v>293</v>
      </c>
      <c r="Z439" s="40" t="s">
        <v>1057</v>
      </c>
      <c r="AA439" s="23" t="str">
        <v>https://wa.me/6281270765156</v>
      </c>
      <c r="AB439" s="28" t="s">
        <v>3013</v>
      </c>
      <c r="AC439" s="28"/>
      <c r="AD439" s="28" t="s">
        <v>690</v>
      </c>
      <c r="AE439" s="28"/>
      <c r="AF439" s="29"/>
      <c r="AG439" s="29"/>
    </row>
    <row r="440" spans="1:33" ht="15.75" customHeight="1">
      <c r="A440" s="32" t="s">
        <v>196</v>
      </c>
      <c r="B440" s="33">
        <v>446</v>
      </c>
      <c r="C440" s="34" t="s">
        <v>3014</v>
      </c>
      <c r="D440" s="35">
        <v>45862.871168981481</v>
      </c>
      <c r="E440" s="35">
        <v>45862</v>
      </c>
      <c r="F440" s="32" t="s">
        <v>3015</v>
      </c>
      <c r="G440" s="32" t="s">
        <v>3016</v>
      </c>
      <c r="H440" s="32" t="s">
        <v>3017</v>
      </c>
      <c r="I440" s="36" t="s">
        <v>3018</v>
      </c>
      <c r="J440" s="52"/>
      <c r="K440" s="32" t="s">
        <v>3019</v>
      </c>
      <c r="L440" s="32" t="s">
        <v>59</v>
      </c>
      <c r="M440" s="32" t="s">
        <v>60</v>
      </c>
      <c r="N440" s="33">
        <v>5</v>
      </c>
      <c r="O440" s="35">
        <v>45865</v>
      </c>
      <c r="P440" s="35">
        <v>45870</v>
      </c>
      <c r="Q440" s="37"/>
      <c r="R440" s="38"/>
      <c r="S440" s="33"/>
      <c r="T440" s="39">
        <v>150000</v>
      </c>
      <c r="U440" s="40" t="s">
        <v>61</v>
      </c>
      <c r="V440" s="41"/>
      <c r="W440" s="42" t="str">
        <f ca="1">IFERROR(__xludf.DUMMYFUNCTION("""COMPUTED_VALUE"""),"Bromo Atta")</f>
        <v>Bromo Atta</v>
      </c>
      <c r="X440" s="42" t="str">
        <f ca="1"/>
        <v>ON-Bromo Atta-00011900+5-6282333358533</v>
      </c>
      <c r="Y440" s="40" t="s">
        <v>62</v>
      </c>
      <c r="Z440" s="40" t="s">
        <v>1880</v>
      </c>
      <c r="AA440" s="23" t="str">
        <v>https://wa.me/6282333358533</v>
      </c>
      <c r="AB440" s="28" t="s">
        <v>3020</v>
      </c>
      <c r="AC440" s="28"/>
      <c r="AD440" s="28" t="s">
        <v>690</v>
      </c>
      <c r="AE440" s="28"/>
      <c r="AF440" s="29"/>
      <c r="AG440" s="29"/>
    </row>
    <row r="441" spans="1:33" ht="15.75" customHeight="1">
      <c r="A441" s="32" t="s">
        <v>196</v>
      </c>
      <c r="B441" s="33">
        <v>447</v>
      </c>
      <c r="C441" s="34" t="s">
        <v>3021</v>
      </c>
      <c r="D441" s="35">
        <v>45862.872672835649</v>
      </c>
      <c r="E441" s="35">
        <v>45862</v>
      </c>
      <c r="F441" s="32" t="s">
        <v>3022</v>
      </c>
      <c r="G441" s="32" t="s">
        <v>3023</v>
      </c>
      <c r="H441" s="32" t="s">
        <v>3024</v>
      </c>
      <c r="I441" s="36" t="s">
        <v>3025</v>
      </c>
      <c r="J441" s="52"/>
      <c r="K441" s="32" t="s">
        <v>3026</v>
      </c>
      <c r="L441" s="32" t="s">
        <v>425</v>
      </c>
      <c r="M441" s="32" t="s">
        <v>60</v>
      </c>
      <c r="N441" s="33">
        <v>5</v>
      </c>
      <c r="O441" s="35"/>
      <c r="P441" s="35"/>
      <c r="Q441" s="37"/>
      <c r="R441" s="38"/>
      <c r="S441" s="33"/>
      <c r="T441" s="39">
        <v>197000</v>
      </c>
      <c r="U441" s="40" t="s">
        <v>61</v>
      </c>
      <c r="V441" s="41"/>
      <c r="W441" s="42" t="str">
        <f ca="1">IFERROR(__xludf.DUMMYFUNCTION("""COMPUTED_VALUE"""),"CV Rabbani")</f>
        <v>CV Rabbani</v>
      </c>
      <c r="X441" s="42" t="str">
        <f ca="1"/>
        <v>ON-CV Rabbani-00011900+5-6281347245985</v>
      </c>
      <c r="Y441" s="40" t="s">
        <v>62</v>
      </c>
      <c r="Z441" s="40" t="s">
        <v>1861</v>
      </c>
      <c r="AA441" s="23" t="str">
        <v>https://wa.me/6281347245985</v>
      </c>
      <c r="AB441" s="28" t="s">
        <v>3027</v>
      </c>
      <c r="AC441" s="28"/>
      <c r="AD441" s="28" t="s">
        <v>690</v>
      </c>
      <c r="AE441" s="28"/>
      <c r="AF441" s="29"/>
      <c r="AG441" s="29"/>
    </row>
    <row r="442" spans="1:33" ht="15.75" customHeight="1">
      <c r="A442" s="32" t="s">
        <v>52</v>
      </c>
      <c r="B442" s="33">
        <v>445</v>
      </c>
      <c r="C442" s="34" t="s">
        <v>3006</v>
      </c>
      <c r="D442" s="35">
        <v>45863.406584733792</v>
      </c>
      <c r="E442" s="35">
        <v>45863</v>
      </c>
      <c r="F442" s="32" t="s">
        <v>667</v>
      </c>
      <c r="G442" s="32" t="s">
        <v>2022</v>
      </c>
      <c r="H442" s="32"/>
      <c r="I442" s="36" t="s">
        <v>670</v>
      </c>
      <c r="J442" s="52"/>
      <c r="K442" s="32" t="s">
        <v>3028</v>
      </c>
      <c r="L442" s="32" t="s">
        <v>2389</v>
      </c>
      <c r="M442" s="32" t="s">
        <v>2024</v>
      </c>
      <c r="N442" s="33">
        <v>5</v>
      </c>
      <c r="O442" s="35"/>
      <c r="P442" s="35"/>
      <c r="Q442" s="37"/>
      <c r="R442" s="38"/>
      <c r="S442" s="33"/>
      <c r="T442" s="39">
        <v>197</v>
      </c>
      <c r="U442" s="40" t="s">
        <v>115</v>
      </c>
      <c r="V442" s="41"/>
      <c r="W442" s="42" t="str">
        <f ca="1">IFERROR(__xludf.DUMMYFUNCTION("""COMPUTED_VALUE"""),"Rokok Herbal")</f>
        <v>Rokok Herbal</v>
      </c>
      <c r="X442" s="42" t="str">
        <f ca="1"/>
        <v>ON-Rokok Herbal-00011900+5-6285274759862</v>
      </c>
      <c r="Y442" s="40"/>
      <c r="Z442" s="40"/>
      <c r="AA442" s="23" t="str">
        <v>https://wa.me/6285274759862</v>
      </c>
      <c r="AB442" s="28"/>
      <c r="AC442" s="28"/>
      <c r="AD442" s="28"/>
      <c r="AE442" s="28"/>
      <c r="AF442" s="29"/>
      <c r="AG442" s="29"/>
    </row>
    <row r="443" spans="1:33" ht="15.75" customHeight="1">
      <c r="A443" s="32" t="s">
        <v>196</v>
      </c>
      <c r="B443" s="33">
        <v>446</v>
      </c>
      <c r="C443" s="34" t="s">
        <v>3014</v>
      </c>
      <c r="D443" s="35">
        <v>45863.459571087966</v>
      </c>
      <c r="E443" s="35">
        <v>45863</v>
      </c>
      <c r="F443" s="32" t="s">
        <v>3029</v>
      </c>
      <c r="G443" s="32" t="s">
        <v>3030</v>
      </c>
      <c r="H443" s="32" t="s">
        <v>3031</v>
      </c>
      <c r="I443" s="36" t="s">
        <v>3032</v>
      </c>
      <c r="J443" s="52" t="s">
        <v>3033</v>
      </c>
      <c r="K443" s="32" t="s">
        <v>3034</v>
      </c>
      <c r="L443" s="32" t="s">
        <v>2500</v>
      </c>
      <c r="M443" s="32" t="s">
        <v>382</v>
      </c>
      <c r="N443" s="33">
        <v>5</v>
      </c>
      <c r="O443" s="35"/>
      <c r="P443" s="35"/>
      <c r="Q443" s="37"/>
      <c r="R443" s="38"/>
      <c r="S443" s="33"/>
      <c r="T443" s="39">
        <v>197000</v>
      </c>
      <c r="U443" s="40" t="s">
        <v>115</v>
      </c>
      <c r="V443" s="41"/>
      <c r="W443" s="42" t="str">
        <f ca="1">IFERROR(__xludf.DUMMYFUNCTION("""COMPUTED_VALUE"""),"Hafizh Jaya")</f>
        <v>Hafizh Jaya</v>
      </c>
      <c r="X443" s="42" t="str">
        <f ca="1"/>
        <v>ON-Hafizh Jaya-00011900+5-6281366479393</v>
      </c>
      <c r="Y443" s="40" t="s">
        <v>62</v>
      </c>
      <c r="Z443" s="40" t="s">
        <v>277</v>
      </c>
      <c r="AA443" s="23" t="str">
        <v>https://wa.me/6281366479393</v>
      </c>
      <c r="AB443" s="28" t="s">
        <v>3035</v>
      </c>
      <c r="AC443" s="28"/>
      <c r="AD443" s="28" t="s">
        <v>690</v>
      </c>
      <c r="AE443" s="28"/>
      <c r="AF443" s="29"/>
      <c r="AG443" s="29"/>
    </row>
    <row r="444" spans="1:33" ht="15.75" customHeight="1">
      <c r="A444" s="32" t="s">
        <v>196</v>
      </c>
      <c r="B444" s="33">
        <v>447</v>
      </c>
      <c r="C444" s="34" t="s">
        <v>3021</v>
      </c>
      <c r="D444" s="35">
        <v>45863.585326493056</v>
      </c>
      <c r="E444" s="35">
        <v>45863</v>
      </c>
      <c r="F444" s="32" t="s">
        <v>3036</v>
      </c>
      <c r="G444" s="32" t="s">
        <v>3037</v>
      </c>
      <c r="H444" s="32" t="s">
        <v>3038</v>
      </c>
      <c r="I444" s="36" t="s">
        <v>3039</v>
      </c>
      <c r="J444" s="52" t="s">
        <v>3040</v>
      </c>
      <c r="K444" s="32" t="s">
        <v>3041</v>
      </c>
      <c r="L444" s="32" t="s">
        <v>1628</v>
      </c>
      <c r="M444" s="32" t="s">
        <v>382</v>
      </c>
      <c r="N444" s="33">
        <v>5</v>
      </c>
      <c r="O444" s="35"/>
      <c r="P444" s="35"/>
      <c r="Q444" s="37"/>
      <c r="R444" s="38"/>
      <c r="S444" s="33"/>
      <c r="T444" s="39">
        <v>197000</v>
      </c>
      <c r="U444" s="40" t="s">
        <v>115</v>
      </c>
      <c r="V444" s="41"/>
      <c r="W444" s="42" t="str">
        <f ca="1">IFERROR(__xludf.DUMMYFUNCTION("""COMPUTED_VALUE"""),"KHARISMA JAYA")</f>
        <v>KHARISMA JAYA</v>
      </c>
      <c r="X444" s="42" t="str">
        <f ca="1"/>
        <v>ON-KHARISMA JAYA-00011900+5-6287790276733</v>
      </c>
      <c r="Y444" s="40" t="s">
        <v>62</v>
      </c>
      <c r="Z444" s="40" t="s">
        <v>294</v>
      </c>
      <c r="AA444" s="23" t="str">
        <v>https://wa.me/6287790276733</v>
      </c>
      <c r="AB444" s="28" t="s">
        <v>3042</v>
      </c>
      <c r="AC444" s="28"/>
      <c r="AD444" s="28" t="s">
        <v>690</v>
      </c>
      <c r="AE444" s="28"/>
      <c r="AF444" s="29"/>
      <c r="AG444" s="29"/>
    </row>
    <row r="445" spans="1:33" ht="15.75" customHeight="1">
      <c r="A445" s="32" t="s">
        <v>196</v>
      </c>
      <c r="B445" s="33">
        <v>448</v>
      </c>
      <c r="C445" s="34" t="s">
        <v>3043</v>
      </c>
      <c r="D445" s="35">
        <v>45863.671997835649</v>
      </c>
      <c r="E445" s="35">
        <v>45863</v>
      </c>
      <c r="F445" s="32" t="s">
        <v>3044</v>
      </c>
      <c r="G445" s="32" t="s">
        <v>3045</v>
      </c>
      <c r="H445" s="32" t="s">
        <v>3046</v>
      </c>
      <c r="I445" s="36" t="s">
        <v>3047</v>
      </c>
      <c r="J445" s="52" t="s">
        <v>3048</v>
      </c>
      <c r="K445" s="32" t="s">
        <v>570</v>
      </c>
      <c r="L445" s="32" t="s">
        <v>3049</v>
      </c>
      <c r="M445" s="32" t="s">
        <v>70</v>
      </c>
      <c r="N445" s="33">
        <v>5</v>
      </c>
      <c r="O445" s="35"/>
      <c r="P445" s="35"/>
      <c r="Q445" s="37"/>
      <c r="R445" s="38"/>
      <c r="S445" s="33"/>
      <c r="T445" s="39">
        <v>197000</v>
      </c>
      <c r="U445" s="40" t="s">
        <v>115</v>
      </c>
      <c r="V445" s="41"/>
      <c r="W445" s="42" t="str">
        <f ca="1">IFERROR(__xludf.DUMMYFUNCTION("""COMPUTED_VALUE"""),"TAMPIAN TRANS")</f>
        <v>TAMPIAN TRANS</v>
      </c>
      <c r="X445" s="42" t="str">
        <f ca="1"/>
        <v>ON-TAMPIAN TRANS-00011900+5-6285727626320</v>
      </c>
      <c r="Y445" s="40" t="s">
        <v>62</v>
      </c>
      <c r="Z445" s="40" t="s">
        <v>1880</v>
      </c>
      <c r="AA445" s="23" t="str">
        <v>https://wa.me/6285727626320</v>
      </c>
      <c r="AB445" s="28" t="s">
        <v>3050</v>
      </c>
      <c r="AC445" s="28"/>
      <c r="AD445" s="28" t="s">
        <v>690</v>
      </c>
      <c r="AE445" s="28"/>
      <c r="AF445" s="29"/>
      <c r="AG445" s="29"/>
    </row>
    <row r="446" spans="1:33" ht="15.75" customHeight="1">
      <c r="A446" s="32" t="s">
        <v>196</v>
      </c>
      <c r="B446" s="33">
        <v>449</v>
      </c>
      <c r="C446" s="34" t="s">
        <v>3051</v>
      </c>
      <c r="D446" s="35">
        <v>45863.691708680555</v>
      </c>
      <c r="E446" s="35">
        <v>45863</v>
      </c>
      <c r="F446" s="32" t="s">
        <v>3052</v>
      </c>
      <c r="G446" s="32" t="s">
        <v>3053</v>
      </c>
      <c r="H446" s="32" t="s">
        <v>3054</v>
      </c>
      <c r="I446" s="36" t="s">
        <v>3055</v>
      </c>
      <c r="J446" s="52"/>
      <c r="K446" s="32" t="s">
        <v>3056</v>
      </c>
      <c r="L446" s="32" t="s">
        <v>3057</v>
      </c>
      <c r="M446" s="32" t="s">
        <v>60</v>
      </c>
      <c r="N446" s="33">
        <v>5</v>
      </c>
      <c r="O446" s="35"/>
      <c r="P446" s="35"/>
      <c r="Q446" s="37"/>
      <c r="R446" s="38"/>
      <c r="S446" s="33"/>
      <c r="T446" s="39">
        <v>197000</v>
      </c>
      <c r="U446" s="40" t="s">
        <v>61</v>
      </c>
      <c r="V446" s="41"/>
      <c r="W446" s="42" t="str">
        <f ca="1">IFERROR(__xludf.DUMMYFUNCTION("""COMPUTED_VALUE"""),"AL FAZZA")</f>
        <v>AL FAZZA</v>
      </c>
      <c r="X446" s="42" t="str">
        <f ca="1"/>
        <v>ON-AL FAZZA-00011900+5-6281321528899</v>
      </c>
      <c r="Y446" s="40" t="s">
        <v>293</v>
      </c>
      <c r="Z446" s="40" t="s">
        <v>1057</v>
      </c>
      <c r="AA446" s="23" t="str">
        <v>https://wa.me/6281321528899</v>
      </c>
      <c r="AB446" s="28" t="s">
        <v>3058</v>
      </c>
      <c r="AC446" s="28"/>
      <c r="AD446" s="28" t="s">
        <v>690</v>
      </c>
      <c r="AE446" s="28"/>
      <c r="AF446" s="29"/>
      <c r="AG446" s="29"/>
    </row>
    <row r="447" spans="1:33" ht="15.75" customHeight="1">
      <c r="A447" s="32" t="s">
        <v>196</v>
      </c>
      <c r="B447" s="33">
        <v>452</v>
      </c>
      <c r="C447" s="34" t="s">
        <v>3059</v>
      </c>
      <c r="D447" s="35">
        <v>45863.752440543976</v>
      </c>
      <c r="E447" s="43">
        <v>45861</v>
      </c>
      <c r="F447" s="32" t="s">
        <v>3060</v>
      </c>
      <c r="G447" s="32" t="s">
        <v>3061</v>
      </c>
      <c r="H447" s="32" t="s">
        <v>3062</v>
      </c>
      <c r="I447" s="36" t="s">
        <v>3063</v>
      </c>
      <c r="J447" s="52"/>
      <c r="K447" s="32" t="s">
        <v>3064</v>
      </c>
      <c r="L447" s="32" t="s">
        <v>3065</v>
      </c>
      <c r="M447" s="32" t="s">
        <v>92</v>
      </c>
      <c r="N447" s="33">
        <v>7</v>
      </c>
      <c r="O447" s="35"/>
      <c r="P447" s="35"/>
      <c r="Q447" s="37"/>
      <c r="R447" s="38"/>
      <c r="S447" s="33"/>
      <c r="T447" s="39"/>
      <c r="U447" s="40"/>
      <c r="V447" s="41"/>
      <c r="W447" s="42" t="str">
        <f ca="1">IFERROR(__xludf.DUMMYFUNCTION("""COMPUTED_VALUE"""),"ATEKOR DOLPHIN")</f>
        <v>ATEKOR DOLPHIN</v>
      </c>
      <c r="X447" s="42" t="str">
        <f ca="1"/>
        <v>ON-ATEKOR DOLPHIN-00011900+7-6287846030252</v>
      </c>
      <c r="Y447" s="40" t="s">
        <v>62</v>
      </c>
      <c r="Z447" s="40" t="s">
        <v>1880</v>
      </c>
      <c r="AA447" s="23" t="str">
        <v>https://wa.me/6287846030252</v>
      </c>
      <c r="AB447" s="28" t="s">
        <v>3066</v>
      </c>
      <c r="AC447" s="28"/>
      <c r="AD447" s="28" t="s">
        <v>690</v>
      </c>
      <c r="AE447" s="28"/>
      <c r="AF447" s="29"/>
      <c r="AG447" s="29"/>
    </row>
    <row r="448" spans="1:33" ht="15.75" customHeight="1">
      <c r="A448" s="32" t="s">
        <v>196</v>
      </c>
      <c r="B448" s="33">
        <v>456</v>
      </c>
      <c r="C448" s="34" t="s">
        <v>3067</v>
      </c>
      <c r="D448" s="35">
        <v>45863.760584594907</v>
      </c>
      <c r="E448" s="43">
        <v>45862</v>
      </c>
      <c r="F448" s="32" t="s">
        <v>3068</v>
      </c>
      <c r="G448" s="32" t="s">
        <v>3069</v>
      </c>
      <c r="H448" s="32" t="s">
        <v>3070</v>
      </c>
      <c r="I448" s="36" t="s">
        <v>3071</v>
      </c>
      <c r="J448" s="52"/>
      <c r="K448" s="32" t="s">
        <v>3072</v>
      </c>
      <c r="L448" s="32" t="s">
        <v>2305</v>
      </c>
      <c r="M448" s="32" t="s">
        <v>285</v>
      </c>
      <c r="N448" s="33"/>
      <c r="O448" s="35"/>
      <c r="P448" s="35"/>
      <c r="Q448" s="37"/>
      <c r="R448" s="38"/>
      <c r="S448" s="33"/>
      <c r="T448" s="39"/>
      <c r="U448" s="40" t="s">
        <v>1229</v>
      </c>
      <c r="V448" s="41"/>
      <c r="W448" s="42" t="str">
        <f ca="1">IFERROR(__xludf.DUMMYFUNCTION("""COMPUTED_VALUE"""),"Kretek Jambi")</f>
        <v>Kretek Jambi</v>
      </c>
      <c r="X448" s="42" t="str">
        <f ca="1"/>
        <v>ON-Kretek Jambi-00011900+-6282285205998</v>
      </c>
      <c r="Y448" s="40" t="s">
        <v>62</v>
      </c>
      <c r="Z448" s="40" t="s">
        <v>639</v>
      </c>
      <c r="AA448" s="23" t="str">
        <v>https://wa.me/6282285205998</v>
      </c>
      <c r="AB448" s="28" t="s">
        <v>3073</v>
      </c>
      <c r="AC448" s="28"/>
      <c r="AD448" s="28" t="s">
        <v>690</v>
      </c>
      <c r="AE448" s="28"/>
      <c r="AF448" s="29"/>
      <c r="AG448" s="29"/>
    </row>
    <row r="449" spans="1:33" ht="15.75" customHeight="1">
      <c r="A449" s="32" t="s">
        <v>196</v>
      </c>
      <c r="B449" s="33">
        <v>458</v>
      </c>
      <c r="C449" s="34" t="s">
        <v>3074</v>
      </c>
      <c r="D449" s="35">
        <v>45863.858714664355</v>
      </c>
      <c r="E449" s="43">
        <v>45863</v>
      </c>
      <c r="F449" s="32" t="s">
        <v>3075</v>
      </c>
      <c r="G449" s="32" t="s">
        <v>1624</v>
      </c>
      <c r="H449" s="32" t="s">
        <v>3076</v>
      </c>
      <c r="I449" s="36" t="s">
        <v>3077</v>
      </c>
      <c r="J449" s="52"/>
      <c r="K449" s="32" t="s">
        <v>3078</v>
      </c>
      <c r="L449" s="32" t="s">
        <v>3079</v>
      </c>
      <c r="M449" s="32" t="s">
        <v>48</v>
      </c>
      <c r="N449" s="33">
        <v>7</v>
      </c>
      <c r="O449" s="35"/>
      <c r="P449" s="35"/>
      <c r="Q449" s="37"/>
      <c r="R449" s="38"/>
      <c r="S449" s="33"/>
      <c r="T449" s="39">
        <v>297000</v>
      </c>
      <c r="U449" s="40" t="s">
        <v>1774</v>
      </c>
      <c r="V449" s="41"/>
      <c r="W449" s="42" t="str">
        <f ca="1">IFERROR(__xludf.DUMMYFUNCTION("""COMPUTED_VALUE"""),"Rental mobil")</f>
        <v>Rental mobil</v>
      </c>
      <c r="X449" s="42" t="str">
        <f ca="1"/>
        <v>ON-Rental mobil-00011900+7-6281938384000</v>
      </c>
      <c r="Y449" s="40" t="s">
        <v>62</v>
      </c>
      <c r="Z449" s="40" t="s">
        <v>1880</v>
      </c>
      <c r="AA449" s="23" t="str">
        <v>https://wa.me/6281938384000</v>
      </c>
      <c r="AB449" s="28" t="s">
        <v>3080</v>
      </c>
      <c r="AC449" s="28"/>
      <c r="AD449" s="28" t="s">
        <v>690</v>
      </c>
      <c r="AE449" s="28"/>
      <c r="AF449" s="29"/>
      <c r="AG449" s="29"/>
    </row>
    <row r="450" spans="1:33" ht="15.75" customHeight="1">
      <c r="A450" s="32" t="s">
        <v>196</v>
      </c>
      <c r="B450" s="33">
        <v>453</v>
      </c>
      <c r="C450" s="34" t="s">
        <v>3081</v>
      </c>
      <c r="D450" s="35">
        <v>45864.214796215281</v>
      </c>
      <c r="E450" s="43">
        <v>45863</v>
      </c>
      <c r="F450" s="32" t="s">
        <v>3082</v>
      </c>
      <c r="G450" s="32" t="s">
        <v>3083</v>
      </c>
      <c r="H450" s="32" t="s">
        <v>3084</v>
      </c>
      <c r="I450" s="36" t="s">
        <v>3085</v>
      </c>
      <c r="J450" s="52" t="s">
        <v>3086</v>
      </c>
      <c r="K450" s="32" t="s">
        <v>3087</v>
      </c>
      <c r="L450" s="32" t="s">
        <v>59</v>
      </c>
      <c r="M450" s="32" t="s">
        <v>60</v>
      </c>
      <c r="N450" s="33">
        <v>5</v>
      </c>
      <c r="O450" s="35"/>
      <c r="P450" s="35"/>
      <c r="Q450" s="37"/>
      <c r="R450" s="38"/>
      <c r="S450" s="33"/>
      <c r="T450" s="39">
        <v>197000</v>
      </c>
      <c r="U450" s="40" t="s">
        <v>61</v>
      </c>
      <c r="V450" s="41"/>
      <c r="W450" s="42" t="str">
        <f ca="1">IFERROR(__xludf.DUMMYFUNCTION("""COMPUTED_VALUE"""),"ASKHALTRANS")</f>
        <v>ASKHALTRANS</v>
      </c>
      <c r="X450" s="42" t="str">
        <f ca="1"/>
        <v>ON-ASKHALTRANS-00011900+5-6281399886462</v>
      </c>
      <c r="Y450" s="40" t="s">
        <v>62</v>
      </c>
      <c r="Z450" s="40" t="s">
        <v>1880</v>
      </c>
      <c r="AA450" s="23" t="str">
        <v>https://wa.me/6281399886462</v>
      </c>
      <c r="AB450" s="28" t="s">
        <v>3088</v>
      </c>
      <c r="AC450" s="28"/>
      <c r="AD450" s="28" t="s">
        <v>690</v>
      </c>
      <c r="AE450" s="28"/>
      <c r="AF450" s="29"/>
      <c r="AG450" s="29"/>
    </row>
    <row r="451" spans="1:33" ht="15.75" customHeight="1">
      <c r="A451" s="32" t="s">
        <v>196</v>
      </c>
      <c r="B451" s="33">
        <v>454</v>
      </c>
      <c r="C451" s="34" t="s">
        <v>3089</v>
      </c>
      <c r="D451" s="35">
        <v>45864.21838899306</v>
      </c>
      <c r="E451" s="43">
        <v>45863</v>
      </c>
      <c r="F451" s="32" t="s">
        <v>3090</v>
      </c>
      <c r="G451" s="32" t="s">
        <v>3091</v>
      </c>
      <c r="H451" s="32" t="s">
        <v>3092</v>
      </c>
      <c r="I451" s="36" t="s">
        <v>3093</v>
      </c>
      <c r="J451" s="52"/>
      <c r="K451" s="32" t="s">
        <v>3094</v>
      </c>
      <c r="L451" s="32" t="s">
        <v>166</v>
      </c>
      <c r="M451" s="32" t="s">
        <v>60</v>
      </c>
      <c r="N451" s="33">
        <v>5</v>
      </c>
      <c r="O451" s="35"/>
      <c r="P451" s="35"/>
      <c r="Q451" s="37"/>
      <c r="R451" s="38"/>
      <c r="S451" s="33"/>
      <c r="T451" s="39">
        <v>197000</v>
      </c>
      <c r="U451" s="40" t="s">
        <v>61</v>
      </c>
      <c r="V451" s="41"/>
      <c r="W451" s="42" t="str">
        <f ca="1">IFERROR(__xludf.DUMMYFUNCTION("""COMPUTED_VALUE"""),"Rumah Sehat")</f>
        <v>Rumah Sehat</v>
      </c>
      <c r="X451" s="42" t="str">
        <f ca="1"/>
        <v>ON-Rumah Sehat-00011900+5-6281378305888</v>
      </c>
      <c r="Y451" s="40" t="s">
        <v>62</v>
      </c>
      <c r="Z451" s="40" t="s">
        <v>639</v>
      </c>
      <c r="AA451" s="23" t="str">
        <v>https://wa.me/6281378305888</v>
      </c>
      <c r="AB451" s="28" t="s">
        <v>3095</v>
      </c>
      <c r="AC451" s="28"/>
      <c r="AD451" s="28" t="s">
        <v>690</v>
      </c>
      <c r="AE451" s="28"/>
      <c r="AF451" s="29">
        <v>45875</v>
      </c>
      <c r="AG451" s="29"/>
    </row>
    <row r="452" spans="1:33" ht="15.75" customHeight="1">
      <c r="A452" s="32" t="s">
        <v>196</v>
      </c>
      <c r="B452" s="33">
        <v>455</v>
      </c>
      <c r="C452" s="34" t="s">
        <v>3096</v>
      </c>
      <c r="D452" s="35">
        <v>45864.332190949077</v>
      </c>
      <c r="E452" s="43">
        <v>45864</v>
      </c>
      <c r="F452" s="32" t="s">
        <v>3097</v>
      </c>
      <c r="G452" s="32" t="s">
        <v>3098</v>
      </c>
      <c r="H452" s="32" t="s">
        <v>3099</v>
      </c>
      <c r="I452" s="36" t="s">
        <v>3100</v>
      </c>
      <c r="J452" s="52" t="s">
        <v>3101</v>
      </c>
      <c r="K452" s="32" t="s">
        <v>3102</v>
      </c>
      <c r="L452" s="32" t="s">
        <v>2133</v>
      </c>
      <c r="M452" s="32" t="s">
        <v>60</v>
      </c>
      <c r="N452" s="33">
        <v>5</v>
      </c>
      <c r="O452" s="35"/>
      <c r="P452" s="35"/>
      <c r="Q452" s="37"/>
      <c r="R452" s="38"/>
      <c r="S452" s="33"/>
      <c r="T452" s="39">
        <v>197000</v>
      </c>
      <c r="U452" s="40" t="s">
        <v>61</v>
      </c>
      <c r="V452" s="41"/>
      <c r="W452" s="42" t="str">
        <f ca="1">IFERROR(__xludf.DUMMYFUNCTION("""COMPUTED_VALUE"""),"Jasa Pembuatan")</f>
        <v>Jasa Pembuatan</v>
      </c>
      <c r="X452" s="42" t="str">
        <f ca="1"/>
        <v>ON-Jasa Pembuatan-00011900+5-6282297965454</v>
      </c>
      <c r="Y452" s="40" t="s">
        <v>293</v>
      </c>
      <c r="Z452" s="40" t="s">
        <v>1057</v>
      </c>
      <c r="AA452" s="23" t="str">
        <v>https://wa.me/6282297965454</v>
      </c>
      <c r="AB452" s="28" t="s">
        <v>3103</v>
      </c>
      <c r="AC452" s="28"/>
      <c r="AD452" s="28" t="s">
        <v>690</v>
      </c>
      <c r="AE452" s="28"/>
      <c r="AF452" s="29"/>
      <c r="AG452" s="29"/>
    </row>
    <row r="453" spans="1:33" ht="15.75" customHeight="1">
      <c r="A453" s="32" t="s">
        <v>196</v>
      </c>
      <c r="B453" s="33">
        <v>456</v>
      </c>
      <c r="C453" s="34" t="s">
        <v>3067</v>
      </c>
      <c r="D453" s="35">
        <v>45864.360682627317</v>
      </c>
      <c r="E453" s="43">
        <v>45864</v>
      </c>
      <c r="F453" s="32" t="s">
        <v>3104</v>
      </c>
      <c r="G453" s="32" t="s">
        <v>3105</v>
      </c>
      <c r="H453" s="32" t="s">
        <v>3106</v>
      </c>
      <c r="I453" s="36" t="s">
        <v>3107</v>
      </c>
      <c r="J453" s="52"/>
      <c r="K453" s="32" t="s">
        <v>3108</v>
      </c>
      <c r="L453" s="32" t="s">
        <v>92</v>
      </c>
      <c r="M453" s="32" t="s">
        <v>60</v>
      </c>
      <c r="N453" s="33">
        <v>5</v>
      </c>
      <c r="O453" s="35"/>
      <c r="P453" s="35"/>
      <c r="Q453" s="37"/>
      <c r="R453" s="38"/>
      <c r="S453" s="33"/>
      <c r="T453" s="39">
        <v>197000</v>
      </c>
      <c r="U453" s="40" t="s">
        <v>61</v>
      </c>
      <c r="V453" s="41"/>
      <c r="W453" s="42" t="str">
        <f ca="1">IFERROR(__xludf.DUMMYFUNCTION("""COMPUTED_VALUE"""),"AGVINK MASSAGE")</f>
        <v>AGVINK MASSAGE</v>
      </c>
      <c r="X453" s="42" t="str">
        <f ca="1"/>
        <v>ON-AGVINK MASSAGE-00011900+5-6287745180632</v>
      </c>
      <c r="Y453" s="40" t="s">
        <v>62</v>
      </c>
      <c r="Z453" s="40" t="s">
        <v>639</v>
      </c>
      <c r="AA453" s="23" t="str">
        <v>https://wa.me/6287745180632</v>
      </c>
      <c r="AB453" s="28" t="s">
        <v>3109</v>
      </c>
      <c r="AC453" s="28"/>
      <c r="AD453" s="28" t="s">
        <v>690</v>
      </c>
      <c r="AE453" s="28"/>
      <c r="AF453" s="29"/>
      <c r="AG453" s="29"/>
    </row>
    <row r="454" spans="1:33" ht="15.75" customHeight="1">
      <c r="A454" s="32" t="s">
        <v>196</v>
      </c>
      <c r="B454" s="33">
        <v>457</v>
      </c>
      <c r="C454" s="34" t="s">
        <v>3110</v>
      </c>
      <c r="D454" s="35">
        <v>45864.376816828706</v>
      </c>
      <c r="E454" s="43">
        <v>45864</v>
      </c>
      <c r="F454" s="32" t="s">
        <v>3111</v>
      </c>
      <c r="G454" s="32" t="s">
        <v>3112</v>
      </c>
      <c r="H454" s="32" t="s">
        <v>3113</v>
      </c>
      <c r="I454" s="36" t="s">
        <v>3114</v>
      </c>
      <c r="J454" s="52"/>
      <c r="K454" s="32" t="s">
        <v>3115</v>
      </c>
      <c r="L454" s="32" t="s">
        <v>3116</v>
      </c>
      <c r="M454" s="32" t="s">
        <v>382</v>
      </c>
      <c r="N454" s="33">
        <v>5</v>
      </c>
      <c r="O454" s="35"/>
      <c r="P454" s="35"/>
      <c r="Q454" s="37"/>
      <c r="R454" s="38"/>
      <c r="S454" s="33"/>
      <c r="T454" s="39">
        <v>197000</v>
      </c>
      <c r="U454" s="40" t="s">
        <v>1774</v>
      </c>
      <c r="V454" s="41"/>
      <c r="W454" s="42" t="str">
        <f ca="1">IFERROR(__xludf.DUMMYFUNCTION("""COMPUTED_VALUE"""),"ARA (ARRAEHAN")</f>
        <v>ARA (ARRAEHAN</v>
      </c>
      <c r="X454" s="42" t="str">
        <f ca="1"/>
        <v>ON-ARA (ARRAEHAN-00011900+5-628111099911</v>
      </c>
      <c r="Y454" s="40" t="s">
        <v>62</v>
      </c>
      <c r="Z454" s="40" t="s">
        <v>1880</v>
      </c>
      <c r="AA454" s="23" t="str">
        <v>https://wa.me/628111099911</v>
      </c>
      <c r="AB454" s="28" t="s">
        <v>3117</v>
      </c>
      <c r="AC454" s="28"/>
      <c r="AD454" s="28" t="s">
        <v>690</v>
      </c>
      <c r="AE454" s="28"/>
      <c r="AF454" s="29">
        <v>45870</v>
      </c>
      <c r="AG454" s="29"/>
    </row>
    <row r="455" spans="1:33" ht="15.75" customHeight="1">
      <c r="A455" s="32" t="s">
        <v>196</v>
      </c>
      <c r="B455" s="33">
        <v>459</v>
      </c>
      <c r="C455" s="34" t="s">
        <v>3118</v>
      </c>
      <c r="D455" s="35">
        <v>45864.469531435185</v>
      </c>
      <c r="E455" s="43">
        <v>45859</v>
      </c>
      <c r="F455" s="32" t="s">
        <v>3119</v>
      </c>
      <c r="G455" s="32" t="s">
        <v>3120</v>
      </c>
      <c r="H455" s="32" t="s">
        <v>3121</v>
      </c>
      <c r="I455" s="36" t="s">
        <v>3122</v>
      </c>
      <c r="J455" s="52" t="s">
        <v>3123</v>
      </c>
      <c r="K455" s="32"/>
      <c r="L455" s="32"/>
      <c r="M455" s="32"/>
      <c r="N455" s="33"/>
      <c r="O455" s="35"/>
      <c r="P455" s="35"/>
      <c r="Q455" s="37"/>
      <c r="R455" s="38"/>
      <c r="S455" s="33"/>
      <c r="T455" s="39">
        <v>297000</v>
      </c>
      <c r="U455" s="40" t="s">
        <v>1229</v>
      </c>
      <c r="V455" s="41"/>
      <c r="W455" s="42" t="str">
        <f ca="1">IFERROR(__xludf.DUMMYFUNCTION("""COMPUTED_VALUE"""),"ratu pukiss")</f>
        <v>ratu pukiss</v>
      </c>
      <c r="X455" s="42" t="str">
        <f ca="1"/>
        <v>ON-ratu pukiss-00011900+-6281255005229</v>
      </c>
      <c r="Y455" s="40" t="s">
        <v>62</v>
      </c>
      <c r="Z455" s="40" t="s">
        <v>1861</v>
      </c>
      <c r="AA455" s="23" t="str">
        <v>https://wa.me/6281255005229</v>
      </c>
      <c r="AB455" s="28" t="s">
        <v>3124</v>
      </c>
      <c r="AC455" s="28"/>
      <c r="AD455" s="28" t="s">
        <v>690</v>
      </c>
      <c r="AE455" s="28"/>
      <c r="AF455" s="29"/>
      <c r="AG455" s="29"/>
    </row>
    <row r="456" spans="1:33" ht="15.75" customHeight="1">
      <c r="A456" s="32" t="s">
        <v>196</v>
      </c>
      <c r="B456" s="33">
        <v>460</v>
      </c>
      <c r="C456" s="34" t="s">
        <v>3125</v>
      </c>
      <c r="D456" s="35">
        <v>45864.481221527778</v>
      </c>
      <c r="E456" s="43">
        <v>45864</v>
      </c>
      <c r="F456" s="32" t="s">
        <v>3126</v>
      </c>
      <c r="G456" s="32" t="s">
        <v>3127</v>
      </c>
      <c r="H456" s="32" t="s">
        <v>3128</v>
      </c>
      <c r="I456" s="36" t="s">
        <v>3129</v>
      </c>
      <c r="J456" s="52"/>
      <c r="K456" s="32" t="s">
        <v>3130</v>
      </c>
      <c r="L456" s="32" t="s">
        <v>3131</v>
      </c>
      <c r="M456" s="32" t="s">
        <v>60</v>
      </c>
      <c r="N456" s="33">
        <v>5</v>
      </c>
      <c r="O456" s="35">
        <v>45867</v>
      </c>
      <c r="P456" s="35">
        <v>45872</v>
      </c>
      <c r="Q456" s="37"/>
      <c r="R456" s="38"/>
      <c r="S456" s="33"/>
      <c r="T456" s="39">
        <v>197000</v>
      </c>
      <c r="U456" s="40" t="s">
        <v>61</v>
      </c>
      <c r="V456" s="41"/>
      <c r="W456" s="42" t="str">
        <f ca="1">IFERROR(__xludf.DUMMYFUNCTION("""COMPUTED_VALUE"""),"ADH TOUR")</f>
        <v>ADH TOUR</v>
      </c>
      <c r="X456" s="42" t="str">
        <f ca="1"/>
        <v>ON-ADH TOUR-00011900+5-6285207285812</v>
      </c>
      <c r="Y456" s="40" t="s">
        <v>62</v>
      </c>
      <c r="Z456" s="40" t="s">
        <v>1880</v>
      </c>
      <c r="AA456" s="23" t="str">
        <v>https://wa.me/6285207285812</v>
      </c>
      <c r="AB456" s="28" t="s">
        <v>3132</v>
      </c>
      <c r="AC456" s="28"/>
      <c r="AD456" s="28" t="s">
        <v>690</v>
      </c>
      <c r="AE456" s="28"/>
      <c r="AF456" s="29"/>
      <c r="AG456" s="29"/>
    </row>
    <row r="457" spans="1:33" ht="15.75" customHeight="1">
      <c r="A457" s="32" t="s">
        <v>196</v>
      </c>
      <c r="B457" s="33">
        <v>461</v>
      </c>
      <c r="C457" s="34" t="s">
        <v>3133</v>
      </c>
      <c r="D457" s="35">
        <v>45864.552173391203</v>
      </c>
      <c r="E457" s="43">
        <v>45864</v>
      </c>
      <c r="F457" s="32" t="s">
        <v>3134</v>
      </c>
      <c r="G457" s="32" t="s">
        <v>3135</v>
      </c>
      <c r="H457" s="32" t="s">
        <v>3136</v>
      </c>
      <c r="I457" s="36" t="s">
        <v>3137</v>
      </c>
      <c r="J457" s="52"/>
      <c r="K457" s="32" t="s">
        <v>374</v>
      </c>
      <c r="L457" s="32" t="s">
        <v>2313</v>
      </c>
      <c r="M457" s="32" t="s">
        <v>60</v>
      </c>
      <c r="N457" s="33">
        <v>5</v>
      </c>
      <c r="O457" s="35"/>
      <c r="P457" s="35"/>
      <c r="Q457" s="37"/>
      <c r="R457" s="38"/>
      <c r="S457" s="33"/>
      <c r="T457" s="39">
        <v>197000</v>
      </c>
      <c r="U457" s="40" t="s">
        <v>61</v>
      </c>
      <c r="V457" s="41"/>
      <c r="W457" s="42" t="str">
        <f ca="1">IFERROR(__xludf.DUMMYFUNCTION("""COMPUTED_VALUE"""),"Prayudah Tour")</f>
        <v>Prayudah Tour</v>
      </c>
      <c r="X457" s="42" t="str">
        <f ca="1"/>
        <v>ON-Prayudah Tour-00011900+5-6282186829904</v>
      </c>
      <c r="Y457" s="40" t="s">
        <v>62</v>
      </c>
      <c r="Z457" s="40" t="s">
        <v>1880</v>
      </c>
      <c r="AA457" s="23" t="str">
        <v>https://wa.me/6282186829904</v>
      </c>
      <c r="AB457" s="28" t="s">
        <v>3138</v>
      </c>
      <c r="AC457" s="28"/>
      <c r="AD457" s="28" t="s">
        <v>690</v>
      </c>
      <c r="AE457" s="28"/>
      <c r="AF457" s="29"/>
      <c r="AG457" s="29"/>
    </row>
    <row r="458" spans="1:33" ht="15.75" customHeight="1">
      <c r="A458" s="32" t="s">
        <v>912</v>
      </c>
      <c r="B458" s="33">
        <v>461</v>
      </c>
      <c r="C458" s="34" t="s">
        <v>3133</v>
      </c>
      <c r="D458" s="35">
        <v>45864.577136168984</v>
      </c>
      <c r="E458" s="43">
        <v>45864</v>
      </c>
      <c r="F458" s="32" t="s">
        <v>3139</v>
      </c>
      <c r="G458" s="32" t="s">
        <v>3140</v>
      </c>
      <c r="H458" s="32" t="s">
        <v>3141</v>
      </c>
      <c r="I458" s="36" t="s">
        <v>3142</v>
      </c>
      <c r="J458" s="52"/>
      <c r="K458" s="32" t="s">
        <v>3143</v>
      </c>
      <c r="L458" s="32">
        <v>29</v>
      </c>
      <c r="M458" s="32" t="s">
        <v>38</v>
      </c>
      <c r="N458" s="33">
        <v>6</v>
      </c>
      <c r="O458" s="35"/>
      <c r="P458" s="35"/>
      <c r="Q458" s="37"/>
      <c r="R458" s="38"/>
      <c r="S458" s="33"/>
      <c r="T458" s="39">
        <v>500000</v>
      </c>
      <c r="U458" s="40" t="s">
        <v>61</v>
      </c>
      <c r="V458" s="41"/>
      <c r="W458" s="42" t="str">
        <f ca="1">IFERROR(__xludf.DUMMYFUNCTION("""COMPUTED_VALUE"""),"Rodrimar Aifunan")</f>
        <v>Rodrimar Aifunan</v>
      </c>
      <c r="X458" s="42" t="str">
        <f ca="1"/>
        <v>ON-Rodrimar Aifunan-00011900+6-6777619002</v>
      </c>
      <c r="Y458" s="40" t="s">
        <v>62</v>
      </c>
      <c r="Z458" s="40" t="s">
        <v>1861</v>
      </c>
      <c r="AA458" s="23" t="str">
        <v>https://wa.me/6777619002</v>
      </c>
      <c r="AB458" s="28" t="s">
        <v>3144</v>
      </c>
      <c r="AC458" s="28"/>
      <c r="AD458" s="28"/>
      <c r="AE458" s="28"/>
      <c r="AF458" s="29"/>
      <c r="AG458" s="29"/>
    </row>
    <row r="459" spans="1:33" ht="15.75" customHeight="1">
      <c r="A459" s="32" t="s">
        <v>52</v>
      </c>
      <c r="B459" s="33">
        <v>462</v>
      </c>
      <c r="C459" s="34" t="s">
        <v>3145</v>
      </c>
      <c r="D459" s="35">
        <v>45864.617928935186</v>
      </c>
      <c r="E459" s="43">
        <v>45864</v>
      </c>
      <c r="F459" s="32" t="s">
        <v>2095</v>
      </c>
      <c r="G459" s="32" t="s">
        <v>2096</v>
      </c>
      <c r="H459" s="32" t="s">
        <v>2097</v>
      </c>
      <c r="I459" s="36" t="s">
        <v>2098</v>
      </c>
      <c r="J459" s="52"/>
      <c r="K459" s="32" t="s">
        <v>3146</v>
      </c>
      <c r="L459" s="32" t="s">
        <v>1628</v>
      </c>
      <c r="M459" s="32" t="s">
        <v>382</v>
      </c>
      <c r="N459" s="33">
        <v>5</v>
      </c>
      <c r="O459" s="35"/>
      <c r="P459" s="35"/>
      <c r="Q459" s="37"/>
      <c r="R459" s="38"/>
      <c r="S459" s="33"/>
      <c r="T459" s="39">
        <v>197000</v>
      </c>
      <c r="U459" s="40" t="s">
        <v>115</v>
      </c>
      <c r="V459" s="41"/>
      <c r="W459" s="42" t="str">
        <f ca="1">IFERROR(__xludf.DUMMYFUNCTION("""COMPUTED_VALUE"""),"Wifi Myrepulic")</f>
        <v>Wifi Myrepulic</v>
      </c>
      <c r="X459" s="42" t="str">
        <f ca="1"/>
        <v>ON-Wifi Myrepulic-00011900+5-6285282777679</v>
      </c>
      <c r="Y459" s="40"/>
      <c r="Z459" s="40"/>
      <c r="AA459" s="23" t="str">
        <v>https://wa.me/6285282777679</v>
      </c>
      <c r="AB459" s="28"/>
      <c r="AC459" s="28"/>
      <c r="AD459" s="28"/>
      <c r="AE459" s="28"/>
      <c r="AF459" s="29"/>
      <c r="AG459" s="29"/>
    </row>
    <row r="460" spans="1:33" ht="15.75" customHeight="1">
      <c r="A460" s="32" t="s">
        <v>196</v>
      </c>
      <c r="B460" s="33">
        <v>463</v>
      </c>
      <c r="C460" s="34" t="s">
        <v>3147</v>
      </c>
      <c r="D460" s="35">
        <v>45864.631197442126</v>
      </c>
      <c r="E460" s="43">
        <v>45864</v>
      </c>
      <c r="F460" s="32" t="s">
        <v>3148</v>
      </c>
      <c r="G460" s="32" t="s">
        <v>3149</v>
      </c>
      <c r="H460" s="32" t="s">
        <v>3150</v>
      </c>
      <c r="I460" s="36" t="s">
        <v>3151</v>
      </c>
      <c r="J460" s="52"/>
      <c r="K460" s="32" t="s">
        <v>3152</v>
      </c>
      <c r="L460" s="32" t="s">
        <v>2468</v>
      </c>
      <c r="M460" s="32" t="s">
        <v>60</v>
      </c>
      <c r="N460" s="33">
        <v>5</v>
      </c>
      <c r="O460" s="35"/>
      <c r="P460" s="35"/>
      <c r="Q460" s="37"/>
      <c r="R460" s="38"/>
      <c r="S460" s="33"/>
      <c r="T460" s="39">
        <v>197000</v>
      </c>
      <c r="U460" s="40" t="s">
        <v>61</v>
      </c>
      <c r="V460" s="41"/>
      <c r="W460" s="42" t="str">
        <f ca="1">IFERROR(__xludf.DUMMYFUNCTION("""COMPUTED_VALUE"""),"Specialis Plafon")</f>
        <v>Specialis Plafon</v>
      </c>
      <c r="X460" s="42" t="str">
        <f ca="1"/>
        <v>ON-Specialis Plafon-00011900+5-6285785858869</v>
      </c>
      <c r="Y460" s="40" t="s">
        <v>293</v>
      </c>
      <c r="Z460" s="40" t="s">
        <v>1057</v>
      </c>
      <c r="AA460" s="23" t="str">
        <v>https://wa.me/6285785858869</v>
      </c>
      <c r="AB460" s="28" t="s">
        <v>3153</v>
      </c>
      <c r="AC460" s="28"/>
      <c r="AD460" s="28" t="s">
        <v>690</v>
      </c>
      <c r="AE460" s="28"/>
      <c r="AF460" s="29"/>
      <c r="AG460" s="29"/>
    </row>
    <row r="461" spans="1:33" ht="15.75" customHeight="1">
      <c r="A461" s="32" t="s">
        <v>196</v>
      </c>
      <c r="B461" s="33">
        <v>464</v>
      </c>
      <c r="C461" s="34" t="s">
        <v>3154</v>
      </c>
      <c r="D461" s="35">
        <v>45864.834388877316</v>
      </c>
      <c r="E461" s="43">
        <v>45864</v>
      </c>
      <c r="F461" s="32" t="s">
        <v>3155</v>
      </c>
      <c r="G461" s="32" t="s">
        <v>3156</v>
      </c>
      <c r="H461" s="32" t="s">
        <v>3157</v>
      </c>
      <c r="I461" s="36" t="s">
        <v>3158</v>
      </c>
      <c r="J461" s="52" t="s">
        <v>3159</v>
      </c>
      <c r="K461" s="32" t="s">
        <v>570</v>
      </c>
      <c r="L461" s="32" t="s">
        <v>2873</v>
      </c>
      <c r="M461" s="32" t="s">
        <v>38</v>
      </c>
      <c r="N461" s="33">
        <v>5</v>
      </c>
      <c r="O461" s="35"/>
      <c r="P461" s="35"/>
      <c r="Q461" s="37"/>
      <c r="R461" s="38"/>
      <c r="S461" s="33"/>
      <c r="T461" s="39">
        <v>197000</v>
      </c>
      <c r="U461" s="40" t="s">
        <v>61</v>
      </c>
      <c r="V461" s="41"/>
      <c r="W461" s="42" t="str">
        <f ca="1">IFERROR(__xludf.DUMMYFUNCTION("""COMPUTED_VALUE"""),"Bu Djempol")</f>
        <v>Bu Djempol</v>
      </c>
      <c r="X461" s="42" t="str">
        <f ca="1"/>
        <v>ON-Bu Djempol-00011900+5-6281217126285</v>
      </c>
      <c r="Y461" s="40" t="s">
        <v>62</v>
      </c>
      <c r="Z461" s="40" t="s">
        <v>1861</v>
      </c>
      <c r="AA461" s="23" t="str">
        <v>https://wa.me/6281217126285</v>
      </c>
      <c r="AB461" s="28" t="s">
        <v>3160</v>
      </c>
      <c r="AC461" s="28"/>
      <c r="AD461" s="28" t="s">
        <v>690</v>
      </c>
      <c r="AE461" s="28"/>
      <c r="AF461" s="29"/>
      <c r="AG461" s="29"/>
    </row>
    <row r="462" spans="1:33" ht="15.75" customHeight="1">
      <c r="A462" s="32" t="s">
        <v>196</v>
      </c>
      <c r="B462" s="33">
        <v>466</v>
      </c>
      <c r="C462" s="34" t="s">
        <v>3161</v>
      </c>
      <c r="D462" s="35">
        <v>45865.376759537037</v>
      </c>
      <c r="E462" s="43">
        <v>45865</v>
      </c>
      <c r="F462" s="32" t="s">
        <v>3162</v>
      </c>
      <c r="G462" s="32" t="s">
        <v>3163</v>
      </c>
      <c r="H462" s="32" t="s">
        <v>3164</v>
      </c>
      <c r="I462" s="36" t="s">
        <v>3165</v>
      </c>
      <c r="J462" s="52" t="s">
        <v>3166</v>
      </c>
      <c r="K462" s="32" t="s">
        <v>3167</v>
      </c>
      <c r="L462" s="32" t="s">
        <v>2995</v>
      </c>
      <c r="M462" s="32" t="s">
        <v>60</v>
      </c>
      <c r="N462" s="33">
        <v>5</v>
      </c>
      <c r="O462" s="35"/>
      <c r="P462" s="35"/>
      <c r="Q462" s="37"/>
      <c r="R462" s="38"/>
      <c r="S462" s="33"/>
      <c r="T462" s="39">
        <v>197000</v>
      </c>
      <c r="U462" s="40" t="s">
        <v>61</v>
      </c>
      <c r="V462" s="41"/>
      <c r="W462" s="42" t="str">
        <f ca="1">IFERROR(__xludf.DUMMYFUNCTION("""COMPUTED_VALUE"""),"CV SAKTI")</f>
        <v>CV SAKTI</v>
      </c>
      <c r="X462" s="42" t="str">
        <f ca="1"/>
        <v>ON-CV SAKTI-00011900+5-6285820117323</v>
      </c>
      <c r="Y462" s="40" t="s">
        <v>62</v>
      </c>
      <c r="Z462" s="40" t="s">
        <v>1880</v>
      </c>
      <c r="AA462" s="23" t="str">
        <v>https://wa.me/6285820117323</v>
      </c>
      <c r="AB462" s="28" t="s">
        <v>3168</v>
      </c>
      <c r="AC462" s="28"/>
      <c r="AD462" s="28" t="s">
        <v>690</v>
      </c>
      <c r="AE462" s="28"/>
      <c r="AF462" s="29"/>
      <c r="AG462" s="29"/>
    </row>
    <row r="463" spans="1:33" ht="15.75" customHeight="1">
      <c r="A463" s="32" t="s">
        <v>196</v>
      </c>
      <c r="B463" s="33">
        <v>467</v>
      </c>
      <c r="C463" s="34" t="s">
        <v>3169</v>
      </c>
      <c r="D463" s="35">
        <v>45866.334245868056</v>
      </c>
      <c r="E463" s="43">
        <v>45864</v>
      </c>
      <c r="F463" s="32" t="s">
        <v>3170</v>
      </c>
      <c r="G463" s="32" t="s">
        <v>3171</v>
      </c>
      <c r="H463" s="32" t="s">
        <v>3172</v>
      </c>
      <c r="I463" s="36" t="s">
        <v>3173</v>
      </c>
      <c r="J463" s="52" t="s">
        <v>3174</v>
      </c>
      <c r="K463" s="32" t="s">
        <v>3175</v>
      </c>
      <c r="L463" s="32" t="s">
        <v>1008</v>
      </c>
      <c r="M463" s="32" t="s">
        <v>3176</v>
      </c>
      <c r="N463" s="33">
        <v>20</v>
      </c>
      <c r="O463" s="35"/>
      <c r="P463" s="35"/>
      <c r="Q463" s="37"/>
      <c r="R463" s="38"/>
      <c r="S463" s="33"/>
      <c r="T463" s="39">
        <v>700000</v>
      </c>
      <c r="U463" s="40" t="s">
        <v>115</v>
      </c>
      <c r="V463" s="41"/>
      <c r="W463" s="42" t="str">
        <f ca="1">IFERROR(__xludf.DUMMYFUNCTION("""COMPUTED_VALUE"""),"GRIYA JAGAD")</f>
        <v>GRIYA JAGAD</v>
      </c>
      <c r="X463" s="42" t="str">
        <f ca="1"/>
        <v>ON-GRIYA JAGAD-00011900+20-628123264621</v>
      </c>
      <c r="Y463" s="40" t="s">
        <v>62</v>
      </c>
      <c r="Z463" s="40" t="s">
        <v>639</v>
      </c>
      <c r="AA463" s="23" t="str">
        <v>https://wa.me/628123264621</v>
      </c>
      <c r="AB463" s="28" t="s">
        <v>3177</v>
      </c>
      <c r="AC463" s="28"/>
      <c r="AD463" s="28" t="s">
        <v>690</v>
      </c>
      <c r="AE463" s="28"/>
      <c r="AF463" s="29"/>
      <c r="AG463" s="29"/>
    </row>
    <row r="464" spans="1:33" ht="15.75" customHeight="1">
      <c r="A464" s="32" t="s">
        <v>196</v>
      </c>
      <c r="B464" s="33">
        <v>468</v>
      </c>
      <c r="C464" s="34" t="s">
        <v>3178</v>
      </c>
      <c r="D464" s="35">
        <v>45866.340154988429</v>
      </c>
      <c r="E464" s="43">
        <v>45865</v>
      </c>
      <c r="F464" s="32" t="s">
        <v>3179</v>
      </c>
      <c r="G464" s="32" t="s">
        <v>3180</v>
      </c>
      <c r="H464" s="32" t="s">
        <v>3181</v>
      </c>
      <c r="I464" s="36" t="s">
        <v>3182</v>
      </c>
      <c r="J464" s="52"/>
      <c r="K464" s="32" t="s">
        <v>3183</v>
      </c>
      <c r="L464" s="32" t="s">
        <v>956</v>
      </c>
      <c r="M464" s="32" t="s">
        <v>60</v>
      </c>
      <c r="N464" s="33">
        <v>5</v>
      </c>
      <c r="O464" s="35"/>
      <c r="P464" s="35"/>
      <c r="Q464" s="37"/>
      <c r="R464" s="38"/>
      <c r="S464" s="33"/>
      <c r="T464" s="39">
        <v>197000</v>
      </c>
      <c r="U464" s="40" t="s">
        <v>61</v>
      </c>
      <c r="V464" s="41"/>
      <c r="W464" s="42" t="str">
        <f ca="1">IFERROR(__xludf.DUMMYFUNCTION("""COMPUTED_VALUE"""),"Dua Saudara")</f>
        <v>Dua Saudara</v>
      </c>
      <c r="X464" s="42" t="str">
        <f ca="1"/>
        <v>ON-Dua Saudara-00011900+5-6281326160059</v>
      </c>
      <c r="Y464" s="40" t="s">
        <v>293</v>
      </c>
      <c r="Z464" s="40" t="s">
        <v>1057</v>
      </c>
      <c r="AA464" s="23" t="str">
        <v>https://wa.me/6281326160059</v>
      </c>
      <c r="AB464" s="28" t="s">
        <v>3184</v>
      </c>
      <c r="AC464" s="28"/>
      <c r="AD464" s="28" t="s">
        <v>690</v>
      </c>
      <c r="AE464" s="28"/>
      <c r="AF464" s="29"/>
      <c r="AG464" s="29"/>
    </row>
    <row r="465" spans="1:33" ht="15.75" customHeight="1">
      <c r="A465" s="32" t="s">
        <v>196</v>
      </c>
      <c r="B465" s="33">
        <v>469</v>
      </c>
      <c r="C465" s="34" t="s">
        <v>3185</v>
      </c>
      <c r="D465" s="35">
        <v>45866.340711967598</v>
      </c>
      <c r="E465" s="43">
        <v>45865</v>
      </c>
      <c r="F465" s="32" t="s">
        <v>3186</v>
      </c>
      <c r="G465" s="32" t="s">
        <v>3187</v>
      </c>
      <c r="H465" s="32" t="s">
        <v>3188</v>
      </c>
      <c r="I465" s="36" t="s">
        <v>3189</v>
      </c>
      <c r="J465" s="52"/>
      <c r="K465" s="32" t="s">
        <v>3190</v>
      </c>
      <c r="L465" s="32" t="s">
        <v>85</v>
      </c>
      <c r="M465" s="32" t="s">
        <v>60</v>
      </c>
      <c r="N465" s="33">
        <v>5</v>
      </c>
      <c r="O465" s="35"/>
      <c r="P465" s="35"/>
      <c r="Q465" s="37"/>
      <c r="R465" s="38"/>
      <c r="S465" s="33"/>
      <c r="T465" s="39">
        <v>197000</v>
      </c>
      <c r="U465" s="40" t="s">
        <v>61</v>
      </c>
      <c r="V465" s="41"/>
      <c r="W465" s="42" t="str">
        <f ca="1">IFERROR(__xludf.DUMMYFUNCTION("""COMPUTED_VALUE"""),"KARYA TEKNIK")</f>
        <v>KARYA TEKNIK</v>
      </c>
      <c r="X465" s="42" t="str">
        <f ca="1"/>
        <v>ON-KARYA TEKNIK-00011900+5-6282164564557</v>
      </c>
      <c r="Y465" s="40" t="s">
        <v>293</v>
      </c>
      <c r="Z465" s="40" t="s">
        <v>1057</v>
      </c>
      <c r="AA465" s="23" t="str">
        <v>https://wa.me/6282164564557</v>
      </c>
      <c r="AB465" s="28" t="s">
        <v>3191</v>
      </c>
      <c r="AC465" s="28"/>
      <c r="AD465" s="28" t="s">
        <v>690</v>
      </c>
      <c r="AE465" s="28"/>
      <c r="AF465" s="29"/>
      <c r="AG465" s="29"/>
    </row>
    <row r="466" spans="1:33" ht="15.75" customHeight="1">
      <c r="A466" s="32" t="s">
        <v>196</v>
      </c>
      <c r="B466" s="33">
        <v>470</v>
      </c>
      <c r="C466" s="34" t="s">
        <v>3192</v>
      </c>
      <c r="D466" s="35">
        <v>45866.342023229168</v>
      </c>
      <c r="E466" s="43">
        <v>45865</v>
      </c>
      <c r="F466" s="32" t="s">
        <v>3193</v>
      </c>
      <c r="G466" s="32" t="s">
        <v>3194</v>
      </c>
      <c r="H466" s="32" t="s">
        <v>3195</v>
      </c>
      <c r="I466" s="36" t="s">
        <v>3196</v>
      </c>
      <c r="J466" s="52"/>
      <c r="K466" s="32" t="s">
        <v>2981</v>
      </c>
      <c r="L466" s="32" t="s">
        <v>2468</v>
      </c>
      <c r="M466" s="32" t="s">
        <v>60</v>
      </c>
      <c r="N466" s="33">
        <v>5</v>
      </c>
      <c r="O466" s="35"/>
      <c r="P466" s="35"/>
      <c r="Q466" s="37"/>
      <c r="R466" s="38"/>
      <c r="S466" s="33"/>
      <c r="T466" s="39">
        <v>197000</v>
      </c>
      <c r="U466" s="40" t="s">
        <v>61</v>
      </c>
      <c r="V466" s="41"/>
      <c r="W466" s="42" t="str">
        <f ca="1">IFERROR(__xludf.DUMMYFUNCTION("""COMPUTED_VALUE"""),"ASALAKUR PROJECT")</f>
        <v>ASALAKUR PROJECT</v>
      </c>
      <c r="X466" s="42" t="str">
        <f ca="1"/>
        <v>ON-ASALAKUR PROJECT-00011900+5-6282177410110</v>
      </c>
      <c r="Y466" s="40" t="s">
        <v>293</v>
      </c>
      <c r="Z466" s="40" t="s">
        <v>1057</v>
      </c>
      <c r="AA466" s="23" t="str">
        <v>https://wa.me/6282177410110</v>
      </c>
      <c r="AB466" s="28" t="s">
        <v>3197</v>
      </c>
      <c r="AC466" s="28"/>
      <c r="AD466" s="28" t="s">
        <v>690</v>
      </c>
      <c r="AE466" s="28"/>
      <c r="AF466" s="29"/>
      <c r="AG466" s="29"/>
    </row>
    <row r="467" spans="1:33" ht="15.75" customHeight="1">
      <c r="A467" s="32" t="s">
        <v>52</v>
      </c>
      <c r="B467" s="33">
        <v>471</v>
      </c>
      <c r="C467" s="34" t="s">
        <v>3198</v>
      </c>
      <c r="D467" s="35">
        <v>45866.343001944449</v>
      </c>
      <c r="E467" s="43">
        <v>45865</v>
      </c>
      <c r="F467" s="32" t="s">
        <v>1537</v>
      </c>
      <c r="G467" s="32" t="s">
        <v>1538</v>
      </c>
      <c r="H467" s="32" t="s">
        <v>1539</v>
      </c>
      <c r="I467" s="36" t="s">
        <v>1540</v>
      </c>
      <c r="J467" s="52" t="s">
        <v>3199</v>
      </c>
      <c r="K467" s="32" t="s">
        <v>3200</v>
      </c>
      <c r="L467" s="32" t="s">
        <v>1542</v>
      </c>
      <c r="M467" s="32" t="s">
        <v>60</v>
      </c>
      <c r="N467" s="33">
        <v>30</v>
      </c>
      <c r="O467" s="35"/>
      <c r="P467" s="35"/>
      <c r="Q467" s="37"/>
      <c r="R467" s="38"/>
      <c r="S467" s="33"/>
      <c r="T467" s="39">
        <v>1000000</v>
      </c>
      <c r="U467" s="40" t="s">
        <v>61</v>
      </c>
      <c r="V467" s="41"/>
      <c r="W467" s="42" t="str">
        <f ca="1">IFERROR(__xludf.DUMMYFUNCTION("""COMPUTED_VALUE"""),"Mitra Bangun")</f>
        <v>Mitra Bangun</v>
      </c>
      <c r="X467" s="42" t="str">
        <f ca="1"/>
        <v>ON-Mitra Bangun-00011900+30-6282338171577</v>
      </c>
      <c r="Y467" s="40"/>
      <c r="Z467" s="40"/>
      <c r="AA467" s="23" t="str">
        <v>https://wa.me/6282338171577</v>
      </c>
      <c r="AB467" s="28"/>
      <c r="AC467" s="28"/>
      <c r="AD467" s="28"/>
      <c r="AE467" s="28"/>
      <c r="AF467" s="29"/>
      <c r="AG467" s="29"/>
    </row>
    <row r="468" spans="1:33" ht="15.75" customHeight="1">
      <c r="A468" s="32" t="s">
        <v>196</v>
      </c>
      <c r="B468" s="33">
        <v>474</v>
      </c>
      <c r="C468" s="34" t="s">
        <v>3201</v>
      </c>
      <c r="D468" s="35">
        <v>45866.402111238422</v>
      </c>
      <c r="E468" s="43">
        <v>45865</v>
      </c>
      <c r="F468" s="32" t="s">
        <v>3202</v>
      </c>
      <c r="G468" s="32" t="s">
        <v>3203</v>
      </c>
      <c r="H468" s="32" t="s">
        <v>3204</v>
      </c>
      <c r="I468" s="36" t="s">
        <v>3205</v>
      </c>
      <c r="J468" s="52"/>
      <c r="K468" s="32" t="s">
        <v>3206</v>
      </c>
      <c r="L468" s="32" t="s">
        <v>92</v>
      </c>
      <c r="M468" s="32" t="s">
        <v>2032</v>
      </c>
      <c r="N468" s="33">
        <v>5</v>
      </c>
      <c r="O468" s="35"/>
      <c r="P468" s="35"/>
      <c r="Q468" s="37"/>
      <c r="R468" s="38"/>
      <c r="S468" s="33"/>
      <c r="T468" s="39">
        <v>197000</v>
      </c>
      <c r="U468" s="40" t="s">
        <v>61</v>
      </c>
      <c r="V468" s="41"/>
      <c r="W468" s="42" t="str">
        <f ca="1">IFERROR(__xludf.DUMMYFUNCTION("""COMPUTED_VALUE"""),"FLOREST RENT")</f>
        <v>FLOREST RENT</v>
      </c>
      <c r="X468" s="42" t="str">
        <f ca="1"/>
        <v>ON-FLOREST RENT-00011900+5-6282352307329</v>
      </c>
      <c r="Y468" s="40" t="s">
        <v>62</v>
      </c>
      <c r="Z468" s="40" t="s">
        <v>1880</v>
      </c>
      <c r="AA468" s="23" t="str">
        <v>https://wa.me/6282352307329</v>
      </c>
      <c r="AB468" s="28" t="s">
        <v>3207</v>
      </c>
      <c r="AC468" s="28"/>
      <c r="AD468" s="28" t="s">
        <v>690</v>
      </c>
      <c r="AE468" s="28"/>
      <c r="AF468" s="29"/>
      <c r="AG468" s="29"/>
    </row>
    <row r="469" spans="1:33" ht="15.75" customHeight="1">
      <c r="A469" s="32" t="s">
        <v>196</v>
      </c>
      <c r="B469" s="33">
        <v>475</v>
      </c>
      <c r="C469" s="34" t="s">
        <v>3208</v>
      </c>
      <c r="D469" s="35">
        <v>45866.406184537038</v>
      </c>
      <c r="E469" s="43">
        <v>45866</v>
      </c>
      <c r="F469" s="32" t="s">
        <v>1350</v>
      </c>
      <c r="G469" s="32" t="s">
        <v>1351</v>
      </c>
      <c r="H469" s="32" t="s">
        <v>2056</v>
      </c>
      <c r="I469" s="36" t="s">
        <v>1353</v>
      </c>
      <c r="J469" s="52" t="s">
        <v>2057</v>
      </c>
      <c r="K469" s="32" t="s">
        <v>1355</v>
      </c>
      <c r="L469" s="32" t="s">
        <v>1356</v>
      </c>
      <c r="M469" s="32" t="s">
        <v>60</v>
      </c>
      <c r="N469" s="33">
        <v>10</v>
      </c>
      <c r="O469" s="35"/>
      <c r="P469" s="35"/>
      <c r="Q469" s="37"/>
      <c r="R469" s="38"/>
      <c r="S469" s="33"/>
      <c r="T469" s="39">
        <v>375000</v>
      </c>
      <c r="U469" s="40" t="s">
        <v>61</v>
      </c>
      <c r="V469" s="41"/>
      <c r="W469" s="42" t="str">
        <f ca="1">IFERROR(__xludf.DUMMYFUNCTION("""COMPUTED_VALUE"""),"Putra Bakti")</f>
        <v>Putra Bakti</v>
      </c>
      <c r="X469" s="42" t="str">
        <f ca="1"/>
        <v>ON-Putra Bakti-00011900+10-6285668750416</v>
      </c>
      <c r="Y469" s="40"/>
      <c r="Z469" s="40"/>
      <c r="AA469" s="23" t="str">
        <v>https://wa.me/6285668750416</v>
      </c>
      <c r="AB469" s="28"/>
      <c r="AC469" s="28"/>
      <c r="AD469" s="28"/>
      <c r="AE469" s="28"/>
      <c r="AF469" s="29"/>
      <c r="AG469" s="29"/>
    </row>
    <row r="470" spans="1:33" ht="15.75" customHeight="1">
      <c r="A470" s="32" t="s">
        <v>52</v>
      </c>
      <c r="B470" s="33">
        <v>474</v>
      </c>
      <c r="C470" s="34" t="s">
        <v>3201</v>
      </c>
      <c r="D470" s="35">
        <v>45866.424806539348</v>
      </c>
      <c r="E470" s="43">
        <v>45866</v>
      </c>
      <c r="F470" s="32" t="s">
        <v>1751</v>
      </c>
      <c r="G470" s="32" t="s">
        <v>1752</v>
      </c>
      <c r="H470" s="32" t="s">
        <v>1753</v>
      </c>
      <c r="I470" s="36" t="s">
        <v>1754</v>
      </c>
      <c r="J470" s="52"/>
      <c r="K470" s="32" t="s">
        <v>1755</v>
      </c>
      <c r="L470" s="32" t="s">
        <v>1542</v>
      </c>
      <c r="M470" s="32" t="s">
        <v>60</v>
      </c>
      <c r="N470" s="33">
        <v>5</v>
      </c>
      <c r="O470" s="35"/>
      <c r="P470" s="35"/>
      <c r="Q470" s="37"/>
      <c r="R470" s="38"/>
      <c r="S470" s="33"/>
      <c r="T470" s="39">
        <v>197000</v>
      </c>
      <c r="U470" s="40" t="s">
        <v>61</v>
      </c>
      <c r="V470" s="41"/>
      <c r="W470" s="42" t="str">
        <f ca="1">IFERROR(__xludf.DUMMYFUNCTION("""COMPUTED_VALUE"""),"Rumah Terapi")</f>
        <v>Rumah Terapi</v>
      </c>
      <c r="X470" s="42" t="str">
        <f ca="1"/>
        <v>ON-Rumah Terapi-00011900+5-6281779578317</v>
      </c>
      <c r="Y470" s="40"/>
      <c r="Z470" s="40"/>
      <c r="AA470" s="23" t="str">
        <v>https://wa.me/6281779578317</v>
      </c>
      <c r="AB470" s="28"/>
      <c r="AC470" s="28"/>
      <c r="AD470" s="28"/>
      <c r="AE470" s="28"/>
      <c r="AF470" s="29"/>
      <c r="AG470" s="29"/>
    </row>
    <row r="471" spans="1:33" ht="15.75" customHeight="1">
      <c r="A471" s="32" t="s">
        <v>196</v>
      </c>
      <c r="B471" s="33">
        <v>476</v>
      </c>
      <c r="C471" s="34" t="s">
        <v>3209</v>
      </c>
      <c r="D471" s="35">
        <v>45866.443469016202</v>
      </c>
      <c r="E471" s="43">
        <v>45866</v>
      </c>
      <c r="F471" s="32" t="s">
        <v>3210</v>
      </c>
      <c r="G471" s="32" t="s">
        <v>3211</v>
      </c>
      <c r="H471" s="32" t="s">
        <v>3092</v>
      </c>
      <c r="I471" s="36" t="s">
        <v>3212</v>
      </c>
      <c r="J471" s="52"/>
      <c r="K471" s="32" t="s">
        <v>3213</v>
      </c>
      <c r="L471" s="32" t="s">
        <v>3214</v>
      </c>
      <c r="M471" s="32" t="s">
        <v>3215</v>
      </c>
      <c r="N471" s="33">
        <v>5</v>
      </c>
      <c r="O471" s="35"/>
      <c r="P471" s="35"/>
      <c r="Q471" s="37"/>
      <c r="R471" s="38"/>
      <c r="S471" s="33"/>
      <c r="T471" s="39">
        <v>197000</v>
      </c>
      <c r="U471" s="40" t="s">
        <v>115</v>
      </c>
      <c r="V471" s="41"/>
      <c r="W471" s="42" t="str">
        <f ca="1">IFERROR(__xludf.DUMMYFUNCTION("""COMPUTED_VALUE"""),"Rumah Sehat")</f>
        <v>Rumah Sehat</v>
      </c>
      <c r="X471" s="42" t="str">
        <f ca="1"/>
        <v>ON-Rumah Sehat-00011900+5-6281111121020</v>
      </c>
      <c r="Y471" s="40" t="s">
        <v>62</v>
      </c>
      <c r="Z471" s="40" t="s">
        <v>639</v>
      </c>
      <c r="AA471" s="23" t="str">
        <v>https://wa.me/6281111121020</v>
      </c>
      <c r="AB471" s="28" t="s">
        <v>3216</v>
      </c>
      <c r="AC471" s="28"/>
      <c r="AD471" s="28" t="s">
        <v>690</v>
      </c>
      <c r="AE471" s="28"/>
      <c r="AF471" s="29"/>
      <c r="AG471" s="29"/>
    </row>
    <row r="472" spans="1:33" ht="15.75" customHeight="1">
      <c r="A472" s="32" t="s">
        <v>196</v>
      </c>
      <c r="B472" s="33">
        <v>477</v>
      </c>
      <c r="C472" s="34" t="s">
        <v>3217</v>
      </c>
      <c r="D472" s="35">
        <v>45866.47754983796</v>
      </c>
      <c r="E472" s="43">
        <v>45866</v>
      </c>
      <c r="F472" s="32" t="s">
        <v>3218</v>
      </c>
      <c r="G472" s="32" t="s">
        <v>3219</v>
      </c>
      <c r="H472" s="32" t="s">
        <v>3220</v>
      </c>
      <c r="I472" s="36" t="s">
        <v>3221</v>
      </c>
      <c r="J472" s="52"/>
      <c r="K472" s="32" t="s">
        <v>3222</v>
      </c>
      <c r="L472" s="32" t="s">
        <v>3223</v>
      </c>
      <c r="M472" s="32" t="s">
        <v>60</v>
      </c>
      <c r="N472" s="33">
        <v>7</v>
      </c>
      <c r="O472" s="35"/>
      <c r="P472" s="35"/>
      <c r="Q472" s="37"/>
      <c r="R472" s="38"/>
      <c r="S472" s="33"/>
      <c r="T472" s="39">
        <v>297000</v>
      </c>
      <c r="U472" s="40" t="s">
        <v>61</v>
      </c>
      <c r="V472" s="41"/>
      <c r="W472" s="42" t="str">
        <f ca="1">IFERROR(__xludf.DUMMYFUNCTION("""COMPUTED_VALUE"""),"Rent Camping")</f>
        <v>Rent Camping</v>
      </c>
      <c r="X472" s="42" t="str">
        <f ca="1"/>
        <v>ON-Rent Camping-00011900+7-6285223186555</v>
      </c>
      <c r="Y472" s="40" t="s">
        <v>62</v>
      </c>
      <c r="Z472" s="40" t="s">
        <v>1465</v>
      </c>
      <c r="AA472" s="23" t="str">
        <v>https://wa.me/6285223186555</v>
      </c>
      <c r="AB472" s="28" t="s">
        <v>3224</v>
      </c>
      <c r="AC472" s="28"/>
      <c r="AD472" s="28" t="s">
        <v>690</v>
      </c>
      <c r="AE472" s="28"/>
      <c r="AF472" s="29"/>
      <c r="AG472" s="29"/>
    </row>
    <row r="473" spans="1:33" ht="15.75" customHeight="1">
      <c r="A473" s="32" t="s">
        <v>52</v>
      </c>
      <c r="B473" s="33">
        <v>480</v>
      </c>
      <c r="C473" s="34" t="s">
        <v>3225</v>
      </c>
      <c r="D473" s="35">
        <v>45866.501113993058</v>
      </c>
      <c r="E473" s="43">
        <v>45865</v>
      </c>
      <c r="F473" s="32" t="s">
        <v>236</v>
      </c>
      <c r="G473" s="32" t="s">
        <v>236</v>
      </c>
      <c r="H473" s="32" t="s">
        <v>237</v>
      </c>
      <c r="I473" s="36" t="s">
        <v>238</v>
      </c>
      <c r="J473" s="52"/>
      <c r="K473" s="32" t="s">
        <v>3226</v>
      </c>
      <c r="L473" s="32"/>
      <c r="M473" s="32" t="s">
        <v>1534</v>
      </c>
      <c r="N473" s="33">
        <v>5</v>
      </c>
      <c r="O473" s="35"/>
      <c r="P473" s="35"/>
      <c r="Q473" s="37"/>
      <c r="R473" s="38"/>
      <c r="S473" s="33"/>
      <c r="T473" s="39">
        <v>197</v>
      </c>
      <c r="U473" s="40" t="s">
        <v>49</v>
      </c>
      <c r="V473" s="41"/>
      <c r="W473" s="42" t="str">
        <f ca="1">IFERROR(__xludf.DUMMYFUNCTION("""COMPUTED_VALUE"""),"EPE Plavon")</f>
        <v>EPE Plavon</v>
      </c>
      <c r="X473" s="42" t="str">
        <f ca="1"/>
        <v>ON-EPE Plavon-00011900+5-6285362101860</v>
      </c>
      <c r="Y473" s="40"/>
      <c r="Z473" s="40"/>
      <c r="AA473" s="23" t="str">
        <v>https://wa.me/6285362101860</v>
      </c>
      <c r="AB473" s="28"/>
      <c r="AC473" s="28"/>
      <c r="AD473" s="28"/>
      <c r="AE473" s="28"/>
      <c r="AF473" s="29"/>
      <c r="AG473" s="29"/>
    </row>
    <row r="474" spans="1:33" ht="15.75" customHeight="1">
      <c r="A474" s="32" t="s">
        <v>196</v>
      </c>
      <c r="B474" s="33">
        <v>481</v>
      </c>
      <c r="C474" s="34" t="s">
        <v>3227</v>
      </c>
      <c r="D474" s="35">
        <v>45866.505299050928</v>
      </c>
      <c r="E474" s="43">
        <v>45866</v>
      </c>
      <c r="F474" s="32" t="s">
        <v>3228</v>
      </c>
      <c r="G474" s="32" t="s">
        <v>3229</v>
      </c>
      <c r="H474" s="32" t="s">
        <v>3230</v>
      </c>
      <c r="I474" s="36" t="s">
        <v>3231</v>
      </c>
      <c r="J474" s="52"/>
      <c r="K474" s="32" t="s">
        <v>3232</v>
      </c>
      <c r="L474" s="32" t="s">
        <v>1365</v>
      </c>
      <c r="M474" s="32" t="s">
        <v>285</v>
      </c>
      <c r="N474" s="33">
        <v>5</v>
      </c>
      <c r="O474" s="35"/>
      <c r="P474" s="35"/>
      <c r="Q474" s="37"/>
      <c r="R474" s="38"/>
      <c r="S474" s="33"/>
      <c r="T474" s="39">
        <v>150000</v>
      </c>
      <c r="U474" s="40" t="s">
        <v>1229</v>
      </c>
      <c r="V474" s="41"/>
      <c r="W474" s="42" t="str">
        <f ca="1">IFERROR(__xludf.DUMMYFUNCTION("""COMPUTED_VALUE"""),"Therapy pijat")</f>
        <v>Therapy pijat</v>
      </c>
      <c r="X474" s="42" t="str">
        <f ca="1"/>
        <v>ON-Therapy pijat-00011900+5-6287865111033</v>
      </c>
      <c r="Y474" s="40" t="s">
        <v>62</v>
      </c>
      <c r="Z474" s="40" t="s">
        <v>639</v>
      </c>
      <c r="AA474" s="23" t="str">
        <v>https://wa.me/6287865111033</v>
      </c>
      <c r="AB474" s="28" t="s">
        <v>3233</v>
      </c>
      <c r="AC474" s="28"/>
      <c r="AD474" s="28" t="s">
        <v>690</v>
      </c>
      <c r="AE474" s="28"/>
      <c r="AF474" s="29"/>
      <c r="AG474" s="29"/>
    </row>
    <row r="475" spans="1:33" ht="15.75" customHeight="1">
      <c r="A475" s="32" t="s">
        <v>196</v>
      </c>
      <c r="B475" s="33">
        <v>484</v>
      </c>
      <c r="C475" s="34" t="s">
        <v>3234</v>
      </c>
      <c r="D475" s="35">
        <v>45866.655698171293</v>
      </c>
      <c r="E475" s="43">
        <v>45866</v>
      </c>
      <c r="F475" s="32" t="s">
        <v>3235</v>
      </c>
      <c r="G475" s="32" t="s">
        <v>3236</v>
      </c>
      <c r="H475" s="32" t="s">
        <v>3237</v>
      </c>
      <c r="I475" s="36" t="s">
        <v>3238</v>
      </c>
      <c r="J475" s="52"/>
      <c r="K475" s="32" t="s">
        <v>981</v>
      </c>
      <c r="L475" s="32" t="s">
        <v>354</v>
      </c>
      <c r="M475" s="32" t="s">
        <v>382</v>
      </c>
      <c r="N475" s="33">
        <v>5</v>
      </c>
      <c r="O475" s="35"/>
      <c r="P475" s="35"/>
      <c r="Q475" s="37"/>
      <c r="R475" s="38"/>
      <c r="S475" s="33"/>
      <c r="T475" s="39">
        <v>150000</v>
      </c>
      <c r="U475" s="40" t="s">
        <v>115</v>
      </c>
      <c r="V475" s="41"/>
      <c r="W475" s="42" t="str">
        <f ca="1">IFERROR(__xludf.DUMMYFUNCTION("""COMPUTED_VALUE"""),"Graf print")</f>
        <v>Graf print</v>
      </c>
      <c r="X475" s="42" t="str">
        <f ca="1"/>
        <v>ON-Graf print-00011900+5-6283831211890</v>
      </c>
      <c r="Y475" s="40" t="s">
        <v>62</v>
      </c>
      <c r="Z475" s="40" t="s">
        <v>1465</v>
      </c>
      <c r="AA475" s="23" t="str">
        <v>https://wa.me/6283831211890</v>
      </c>
      <c r="AB475" s="28" t="s">
        <v>3239</v>
      </c>
      <c r="AC475" s="28"/>
      <c r="AD475" s="28" t="s">
        <v>690</v>
      </c>
      <c r="AE475" s="28"/>
      <c r="AF475" s="29"/>
      <c r="AG475" s="29"/>
    </row>
    <row r="476" spans="1:33" ht="15.75" customHeight="1">
      <c r="A476" s="32" t="s">
        <v>196</v>
      </c>
      <c r="B476" s="33">
        <v>485</v>
      </c>
      <c r="C476" s="34" t="s">
        <v>3240</v>
      </c>
      <c r="D476" s="35">
        <v>45866.666314490736</v>
      </c>
      <c r="E476" s="43">
        <v>45866</v>
      </c>
      <c r="F476" s="32" t="s">
        <v>3241</v>
      </c>
      <c r="G476" s="32" t="s">
        <v>3242</v>
      </c>
      <c r="H476" s="32" t="s">
        <v>3243</v>
      </c>
      <c r="I476" s="36" t="s">
        <v>3244</v>
      </c>
      <c r="J476" s="52"/>
      <c r="K476" s="32" t="s">
        <v>3245</v>
      </c>
      <c r="L476" s="32" t="s">
        <v>166</v>
      </c>
      <c r="M476" s="32" t="s">
        <v>249</v>
      </c>
      <c r="N476" s="33">
        <v>7</v>
      </c>
      <c r="O476" s="35"/>
      <c r="P476" s="35"/>
      <c r="Q476" s="37"/>
      <c r="R476" s="38"/>
      <c r="S476" s="33"/>
      <c r="T476" s="39">
        <v>297000</v>
      </c>
      <c r="U476" s="40" t="s">
        <v>1774</v>
      </c>
      <c r="V476" s="41"/>
      <c r="W476" s="42" t="str">
        <f ca="1">IFERROR(__xludf.DUMMYFUNCTION("""COMPUTED_VALUE"""),"Cahaya Al")</f>
        <v>Cahaya Al</v>
      </c>
      <c r="X476" s="42" t="str">
        <f ca="1"/>
        <v>ON-Cahaya Al-00011900+7-6281330410391</v>
      </c>
      <c r="Y476" s="40" t="s">
        <v>62</v>
      </c>
      <c r="Z476" s="40" t="s">
        <v>639</v>
      </c>
      <c r="AA476" s="23" t="str">
        <v>https://wa.me/6281330410391</v>
      </c>
      <c r="AB476" s="28" t="s">
        <v>3246</v>
      </c>
      <c r="AC476" s="28"/>
      <c r="AD476" s="28" t="s">
        <v>690</v>
      </c>
      <c r="AE476" s="28"/>
      <c r="AF476" s="29"/>
      <c r="AG476" s="29"/>
    </row>
    <row r="477" spans="1:33" ht="15.75" customHeight="1">
      <c r="A477" s="32" t="s">
        <v>196</v>
      </c>
      <c r="B477" s="33">
        <v>487</v>
      </c>
      <c r="C477" s="34" t="s">
        <v>3247</v>
      </c>
      <c r="D477" s="35">
        <v>45866.696860104166</v>
      </c>
      <c r="E477" s="43">
        <v>45863</v>
      </c>
      <c r="F477" s="32" t="s">
        <v>3248</v>
      </c>
      <c r="G477" s="32" t="s">
        <v>3249</v>
      </c>
      <c r="H477" s="32" t="s">
        <v>907</v>
      </c>
      <c r="I477" s="36" t="s">
        <v>3250</v>
      </c>
      <c r="J477" s="52"/>
      <c r="K477" s="32"/>
      <c r="L477" s="32"/>
      <c r="M477" s="32"/>
      <c r="N477" s="33">
        <v>5</v>
      </c>
      <c r="O477" s="35"/>
      <c r="P477" s="35"/>
      <c r="Q477" s="37"/>
      <c r="R477" s="38"/>
      <c r="S477" s="33"/>
      <c r="T477" s="39">
        <v>197000</v>
      </c>
      <c r="U477" s="40" t="s">
        <v>61</v>
      </c>
      <c r="V477" s="41"/>
      <c r="W477" s="42" t="str">
        <f ca="1">IFERROR(__xludf.DUMMYFUNCTION("""COMPUTED_VALUE"""),"RJK (Rokhim")</f>
        <v>RJK (Rokhim</v>
      </c>
      <c r="X477" s="42" t="str">
        <f ca="1"/>
        <v>ON-RJK (Rokhim-00011900+5-62895635983361</v>
      </c>
      <c r="Y477" s="40" t="s">
        <v>293</v>
      </c>
      <c r="Z477" s="40" t="s">
        <v>1057</v>
      </c>
      <c r="AA477" s="23" t="str">
        <v>https://wa.me/62895635983361</v>
      </c>
      <c r="AB477" s="28" t="s">
        <v>3251</v>
      </c>
      <c r="AC477" s="28"/>
      <c r="AD477" s="28" t="s">
        <v>690</v>
      </c>
      <c r="AE477" s="28"/>
      <c r="AF477" s="29"/>
      <c r="AG477" s="29"/>
    </row>
    <row r="478" spans="1:33" ht="15.75" customHeight="1">
      <c r="A478" s="32" t="s">
        <v>196</v>
      </c>
      <c r="B478" s="33">
        <v>488</v>
      </c>
      <c r="C478" s="34" t="s">
        <v>3252</v>
      </c>
      <c r="D478" s="35">
        <v>45866.700424988427</v>
      </c>
      <c r="E478" s="43">
        <v>45866</v>
      </c>
      <c r="F478" s="32" t="s">
        <v>3253</v>
      </c>
      <c r="G478" s="32" t="s">
        <v>3254</v>
      </c>
      <c r="H478" s="32" t="s">
        <v>3255</v>
      </c>
      <c r="I478" s="36" t="s">
        <v>3256</v>
      </c>
      <c r="J478" s="52"/>
      <c r="K478" s="32" t="s">
        <v>686</v>
      </c>
      <c r="L478" s="32" t="s">
        <v>3257</v>
      </c>
      <c r="M478" s="32"/>
      <c r="N478" s="33">
        <v>5</v>
      </c>
      <c r="O478" s="35"/>
      <c r="P478" s="35"/>
      <c r="Q478" s="37"/>
      <c r="R478" s="38"/>
      <c r="S478" s="33"/>
      <c r="T478" s="39">
        <v>197000</v>
      </c>
      <c r="U478" s="40" t="s">
        <v>115</v>
      </c>
      <c r="V478" s="41"/>
      <c r="W478" s="42" t="str">
        <f ca="1">IFERROR(__xludf.DUMMYFUNCTION("""COMPUTED_VALUE"""),"WIKINARA")</f>
        <v>WIKINARA</v>
      </c>
      <c r="X478" s="42" t="str">
        <f ca="1"/>
        <v>ON-WIKINARA-00011900+5-628127126274</v>
      </c>
      <c r="Y478" s="40" t="s">
        <v>50</v>
      </c>
      <c r="Z478" s="40" t="s">
        <v>327</v>
      </c>
      <c r="AA478" s="23" t="str">
        <v>https://wa.me/628127126274</v>
      </c>
      <c r="AB478" s="28" t="s">
        <v>3258</v>
      </c>
      <c r="AC478" s="28"/>
      <c r="AD478" s="28" t="s">
        <v>690</v>
      </c>
      <c r="AE478" s="28"/>
      <c r="AF478" s="29">
        <v>45873</v>
      </c>
      <c r="AG478" s="29"/>
    </row>
    <row r="479" spans="1:33" ht="15.75" customHeight="1">
      <c r="A479" s="32" t="s">
        <v>196</v>
      </c>
      <c r="B479" s="33">
        <v>485</v>
      </c>
      <c r="C479" s="34" t="s">
        <v>3240</v>
      </c>
      <c r="D479" s="35">
        <v>45866.761218067128</v>
      </c>
      <c r="E479" s="43">
        <v>45866</v>
      </c>
      <c r="F479" s="32" t="s">
        <v>3259</v>
      </c>
      <c r="G479" s="32" t="s">
        <v>3260</v>
      </c>
      <c r="H479" s="32" t="s">
        <v>3261</v>
      </c>
      <c r="I479" s="36" t="s">
        <v>3262</v>
      </c>
      <c r="J479" s="52"/>
      <c r="K479" s="32" t="s">
        <v>3263</v>
      </c>
      <c r="L479" s="32" t="s">
        <v>3264</v>
      </c>
      <c r="M479" s="32" t="s">
        <v>3265</v>
      </c>
      <c r="N479" s="33">
        <v>5</v>
      </c>
      <c r="O479" s="35"/>
      <c r="P479" s="35"/>
      <c r="Q479" s="37"/>
      <c r="R479" s="38"/>
      <c r="S479" s="33"/>
      <c r="T479" s="39">
        <v>150000</v>
      </c>
      <c r="U479" s="40" t="s">
        <v>1774</v>
      </c>
      <c r="V479" s="41"/>
      <c r="W479" s="42" t="str">
        <f ca="1">IFERROR(__xludf.DUMMYFUNCTION("""COMPUTED_VALUE"""),"LMC BEAUTY")</f>
        <v>LMC BEAUTY</v>
      </c>
      <c r="X479" s="42" t="str">
        <f ca="1"/>
        <v>ON-LMC BEAUTY-00011900+5-6282154233977</v>
      </c>
      <c r="Y479" s="40" t="s">
        <v>62</v>
      </c>
      <c r="Z479" s="40" t="s">
        <v>639</v>
      </c>
      <c r="AA479" s="23" t="str">
        <v>https://wa.me/6282154233977</v>
      </c>
      <c r="AB479" s="28" t="s">
        <v>3266</v>
      </c>
      <c r="AC479" s="28"/>
      <c r="AD479" s="28" t="s">
        <v>690</v>
      </c>
      <c r="AE479" s="28"/>
      <c r="AF479" s="29"/>
      <c r="AG479" s="29"/>
    </row>
    <row r="480" spans="1:33" ht="15.75" customHeight="1">
      <c r="A480" s="32" t="s">
        <v>196</v>
      </c>
      <c r="B480" s="33">
        <v>486</v>
      </c>
      <c r="C480" s="34" t="s">
        <v>3267</v>
      </c>
      <c r="D480" s="35">
        <v>45866.764298032409</v>
      </c>
      <c r="E480" s="43">
        <v>45866</v>
      </c>
      <c r="F480" s="32" t="s">
        <v>3268</v>
      </c>
      <c r="G480" s="32" t="s">
        <v>3269</v>
      </c>
      <c r="H480" s="32" t="s">
        <v>3270</v>
      </c>
      <c r="I480" s="36" t="s">
        <v>3271</v>
      </c>
      <c r="J480" s="52" t="s">
        <v>3272</v>
      </c>
      <c r="K480" s="32" t="s">
        <v>1831</v>
      </c>
      <c r="L480" s="32" t="s">
        <v>37</v>
      </c>
      <c r="M480" s="32" t="s">
        <v>3273</v>
      </c>
      <c r="N480" s="33">
        <v>5</v>
      </c>
      <c r="O480" s="35">
        <v>45868</v>
      </c>
      <c r="P480" s="35">
        <v>45873</v>
      </c>
      <c r="Q480" s="37"/>
      <c r="R480" s="38"/>
      <c r="S480" s="33"/>
      <c r="T480" s="39">
        <v>197000</v>
      </c>
      <c r="U480" s="40" t="s">
        <v>115</v>
      </c>
      <c r="V480" s="41"/>
      <c r="W480" s="42" t="str">
        <f ca="1">IFERROR(__xludf.DUMMYFUNCTION("""COMPUTED_VALUE"""),"Gudang matic")</f>
        <v>Gudang matic</v>
      </c>
      <c r="X480" s="42" t="str">
        <f ca="1"/>
        <v>ON-Gudang matic-00011900+5-6287762605372</v>
      </c>
      <c r="Y480" s="40" t="s">
        <v>62</v>
      </c>
      <c r="Z480" s="40" t="s">
        <v>1880</v>
      </c>
      <c r="AA480" s="23" t="str">
        <v>https://wa.me/6287762605372</v>
      </c>
      <c r="AB480" s="28" t="s">
        <v>3274</v>
      </c>
      <c r="AC480" s="28"/>
      <c r="AD480" s="28" t="s">
        <v>690</v>
      </c>
      <c r="AE480" s="28"/>
      <c r="AF480" s="29"/>
      <c r="AG480" s="29"/>
    </row>
    <row r="481" spans="1:33" ht="15.75" customHeight="1">
      <c r="A481" s="32" t="s">
        <v>196</v>
      </c>
      <c r="B481" s="33">
        <v>488</v>
      </c>
      <c r="C481" s="34" t="s">
        <v>3252</v>
      </c>
      <c r="D481" s="35">
        <v>45866.768221782404</v>
      </c>
      <c r="E481" s="43">
        <v>45866</v>
      </c>
      <c r="F481" s="32" t="s">
        <v>3275</v>
      </c>
      <c r="G481" s="32" t="s">
        <v>3276</v>
      </c>
      <c r="H481" s="32" t="s">
        <v>3277</v>
      </c>
      <c r="I481" s="36" t="s">
        <v>3278</v>
      </c>
      <c r="J481" s="52"/>
      <c r="K481" s="32" t="s">
        <v>570</v>
      </c>
      <c r="L481" s="32" t="s">
        <v>3279</v>
      </c>
      <c r="M481" s="32" t="s">
        <v>1534</v>
      </c>
      <c r="N481" s="33">
        <v>7</v>
      </c>
      <c r="O481" s="35"/>
      <c r="P481" s="35"/>
      <c r="Q481" s="37"/>
      <c r="R481" s="38"/>
      <c r="S481" s="33"/>
      <c r="T481" s="39">
        <v>222500</v>
      </c>
      <c r="U481" s="40" t="s">
        <v>49</v>
      </c>
      <c r="V481" s="41"/>
      <c r="W481" s="42" t="str">
        <f ca="1">IFERROR(__xludf.DUMMYFUNCTION("""COMPUTED_VALUE"""),"Yasa Jayendra")</f>
        <v>Yasa Jayendra</v>
      </c>
      <c r="X481" s="42" t="str">
        <f ca="1"/>
        <v>ON-Yasa Jayendra-00011900+7-6287709999980</v>
      </c>
      <c r="Y481" s="40" t="s">
        <v>293</v>
      </c>
      <c r="Z481" s="40" t="s">
        <v>1057</v>
      </c>
      <c r="AA481" s="23" t="str">
        <v>https://wa.me/6287709999980</v>
      </c>
      <c r="AB481" s="28" t="s">
        <v>3280</v>
      </c>
      <c r="AC481" s="28"/>
      <c r="AD481" s="28" t="s">
        <v>690</v>
      </c>
      <c r="AE481" s="28"/>
      <c r="AF481" s="57">
        <v>45870</v>
      </c>
      <c r="AG481" s="57"/>
    </row>
    <row r="482" spans="1:33" ht="15.75" customHeight="1">
      <c r="A482" s="32" t="s">
        <v>196</v>
      </c>
      <c r="B482" s="33">
        <v>489</v>
      </c>
      <c r="C482" s="34" t="s">
        <v>3281</v>
      </c>
      <c r="D482" s="35">
        <v>45867.321787361114</v>
      </c>
      <c r="E482" s="43">
        <v>45866</v>
      </c>
      <c r="F482" s="32" t="s">
        <v>3282</v>
      </c>
      <c r="G482" s="32" t="s">
        <v>3283</v>
      </c>
      <c r="H482" s="32" t="s">
        <v>838</v>
      </c>
      <c r="I482" s="36" t="s">
        <v>3284</v>
      </c>
      <c r="J482" s="52" t="s">
        <v>3285</v>
      </c>
      <c r="K482" s="32" t="s">
        <v>3286</v>
      </c>
      <c r="L482" s="32" t="s">
        <v>3287</v>
      </c>
      <c r="M482" s="32" t="s">
        <v>249</v>
      </c>
      <c r="N482" s="33">
        <v>10</v>
      </c>
      <c r="O482" s="35"/>
      <c r="P482" s="35"/>
      <c r="Q482" s="37"/>
      <c r="R482" s="38"/>
      <c r="S482" s="33"/>
      <c r="T482" s="39">
        <v>375000</v>
      </c>
      <c r="U482" s="40" t="s">
        <v>61</v>
      </c>
      <c r="V482" s="41"/>
      <c r="W482" s="42" t="str">
        <f ca="1">IFERROR(__xludf.DUMMYFUNCTION("""COMPUTED_VALUE"""),"Ayam Bakul")</f>
        <v>Ayam Bakul</v>
      </c>
      <c r="X482" s="42" t="str">
        <f ca="1"/>
        <v>ON-Ayam Bakul-00011900+10-6285286258400</v>
      </c>
      <c r="Y482" s="40" t="s">
        <v>62</v>
      </c>
      <c r="Z482" s="40" t="s">
        <v>1861</v>
      </c>
      <c r="AA482" s="23" t="str">
        <v>https://wa.me/6285286258400</v>
      </c>
      <c r="AB482" s="28" t="s">
        <v>3288</v>
      </c>
      <c r="AC482" s="28"/>
      <c r="AD482" s="28" t="s">
        <v>690</v>
      </c>
      <c r="AE482" s="28"/>
      <c r="AF482" s="29">
        <v>45871</v>
      </c>
      <c r="AG482" s="29"/>
    </row>
    <row r="483" spans="1:33" ht="15.75" customHeight="1">
      <c r="A483" s="32" t="s">
        <v>196</v>
      </c>
      <c r="B483" s="33">
        <v>490</v>
      </c>
      <c r="C483" s="34" t="s">
        <v>3289</v>
      </c>
      <c r="D483" s="35">
        <v>45867.32222425926</v>
      </c>
      <c r="E483" s="43">
        <v>45867</v>
      </c>
      <c r="F483" s="32" t="s">
        <v>3290</v>
      </c>
      <c r="G483" s="32" t="s">
        <v>3291</v>
      </c>
      <c r="H483" s="32" t="s">
        <v>3292</v>
      </c>
      <c r="I483" s="36" t="s">
        <v>3293</v>
      </c>
      <c r="J483" s="52"/>
      <c r="K483" s="32" t="s">
        <v>3294</v>
      </c>
      <c r="L483" s="32" t="s">
        <v>3295</v>
      </c>
      <c r="M483" s="32" t="s">
        <v>382</v>
      </c>
      <c r="N483" s="33">
        <v>7</v>
      </c>
      <c r="O483" s="35"/>
      <c r="P483" s="35"/>
      <c r="Q483" s="37"/>
      <c r="R483" s="38"/>
      <c r="S483" s="33"/>
      <c r="T483" s="39">
        <v>297000</v>
      </c>
      <c r="U483" s="40" t="s">
        <v>115</v>
      </c>
      <c r="V483" s="41"/>
      <c r="W483" s="42" t="str">
        <f ca="1">IFERROR(__xludf.DUMMYFUNCTION("""COMPUTED_VALUE"""),"Mie Kadimin")</f>
        <v>Mie Kadimin</v>
      </c>
      <c r="X483" s="42" t="str">
        <f ca="1"/>
        <v>ON-Mie Kadimin-00011900+7-6285691146546</v>
      </c>
      <c r="Y483" s="40" t="s">
        <v>62</v>
      </c>
      <c r="Z483" s="40" t="s">
        <v>1861</v>
      </c>
      <c r="AA483" s="23" t="str">
        <v>https://wa.me/6285691146546</v>
      </c>
      <c r="AB483" s="28" t="s">
        <v>3296</v>
      </c>
      <c r="AC483" s="28"/>
      <c r="AD483" s="28" t="s">
        <v>690</v>
      </c>
      <c r="AE483" s="28"/>
      <c r="AF483" s="29">
        <v>45872</v>
      </c>
      <c r="AG483" s="29"/>
    </row>
    <row r="484" spans="1:33" ht="15.75" customHeight="1">
      <c r="A484" s="32" t="s">
        <v>196</v>
      </c>
      <c r="B484" s="33">
        <v>488</v>
      </c>
      <c r="C484" s="34" t="s">
        <v>3252</v>
      </c>
      <c r="D484" s="35">
        <v>45867.465585034719</v>
      </c>
      <c r="E484" s="43">
        <v>45867</v>
      </c>
      <c r="F484" s="32" t="s">
        <v>3297</v>
      </c>
      <c r="G484" s="32" t="s">
        <v>3298</v>
      </c>
      <c r="H484" s="32" t="s">
        <v>3299</v>
      </c>
      <c r="I484" s="36" t="s">
        <v>3300</v>
      </c>
      <c r="J484" s="52" t="s">
        <v>2732</v>
      </c>
      <c r="K484" s="32" t="s">
        <v>3301</v>
      </c>
      <c r="L484" s="32" t="s">
        <v>3302</v>
      </c>
      <c r="M484" s="32" t="s">
        <v>249</v>
      </c>
      <c r="N484" s="33">
        <v>5</v>
      </c>
      <c r="O484" s="35"/>
      <c r="P484" s="35"/>
      <c r="Q484" s="37"/>
      <c r="R484" s="38"/>
      <c r="S484" s="33"/>
      <c r="T484" s="39">
        <v>197000</v>
      </c>
      <c r="U484" s="40" t="s">
        <v>1774</v>
      </c>
      <c r="V484" s="41"/>
      <c r="W484" s="42" t="str">
        <f ca="1">IFERROR(__xludf.DUMMYFUNCTION("""COMPUTED_VALUE"""),"Keliling Sumatra")</f>
        <v>Keliling Sumatra</v>
      </c>
      <c r="X484" s="42" t="str">
        <f ca="1"/>
        <v>ON-Keliling Sumatra-00011900+5-6281362440234</v>
      </c>
      <c r="Y484" s="40" t="s">
        <v>62</v>
      </c>
      <c r="Z484" s="40" t="s">
        <v>1880</v>
      </c>
      <c r="AA484" s="23" t="str">
        <v>https://wa.me/6281362440234</v>
      </c>
      <c r="AB484" s="28" t="s">
        <v>3303</v>
      </c>
      <c r="AC484" s="28"/>
      <c r="AD484" s="28" t="s">
        <v>690</v>
      </c>
      <c r="AE484" s="28"/>
      <c r="AF484" s="29">
        <v>45871</v>
      </c>
      <c r="AG484" s="29"/>
    </row>
    <row r="485" spans="1:33" ht="15.75" customHeight="1">
      <c r="A485" s="32" t="s">
        <v>196</v>
      </c>
      <c r="B485" s="33">
        <v>489</v>
      </c>
      <c r="C485" s="34" t="s">
        <v>3281</v>
      </c>
      <c r="D485" s="35">
        <v>45867.495890636579</v>
      </c>
      <c r="E485" s="43">
        <v>45867</v>
      </c>
      <c r="F485" s="32" t="s">
        <v>3304</v>
      </c>
      <c r="G485" s="32" t="s">
        <v>3305</v>
      </c>
      <c r="H485" s="32" t="s">
        <v>3306</v>
      </c>
      <c r="I485" s="36" t="s">
        <v>3307</v>
      </c>
      <c r="J485" s="52" t="s">
        <v>3308</v>
      </c>
      <c r="K485" s="32" t="s">
        <v>3309</v>
      </c>
      <c r="L485" s="32" t="s">
        <v>3310</v>
      </c>
      <c r="M485" s="32" t="s">
        <v>249</v>
      </c>
      <c r="N485" s="33">
        <v>5</v>
      </c>
      <c r="O485" s="35"/>
      <c r="P485" s="35"/>
      <c r="Q485" s="37"/>
      <c r="R485" s="38"/>
      <c r="S485" s="33"/>
      <c r="T485" s="39">
        <v>197000</v>
      </c>
      <c r="U485" s="40" t="s">
        <v>1774</v>
      </c>
      <c r="V485" s="41"/>
      <c r="W485" s="42" t="str">
        <f ca="1">IFERROR(__xludf.DUMMYFUNCTION("""COMPUTED_VALUE"""),"Raja Sehat")</f>
        <v>Raja Sehat</v>
      </c>
      <c r="X485" s="42" t="str">
        <f ca="1"/>
        <v>ON-Raja Sehat-00011900+5-6282249348536</v>
      </c>
      <c r="Y485" s="40" t="s">
        <v>62</v>
      </c>
      <c r="Z485" s="40" t="s">
        <v>639</v>
      </c>
      <c r="AA485" s="23" t="str">
        <v>https://wa.me/6282249348536</v>
      </c>
      <c r="AB485" s="28" t="s">
        <v>3311</v>
      </c>
      <c r="AC485" s="28"/>
      <c r="AD485" s="28" t="s">
        <v>690</v>
      </c>
      <c r="AE485" s="28"/>
      <c r="AF485" s="29">
        <v>45871</v>
      </c>
      <c r="AG485" s="29"/>
    </row>
    <row r="486" spans="1:33" ht="15.75" customHeight="1">
      <c r="A486" s="32" t="s">
        <v>196</v>
      </c>
      <c r="B486" s="33">
        <v>490</v>
      </c>
      <c r="C486" s="34" t="s">
        <v>3289</v>
      </c>
      <c r="D486" s="35">
        <v>45867.554088784724</v>
      </c>
      <c r="E486" s="43">
        <v>45867</v>
      </c>
      <c r="F486" s="32" t="s">
        <v>3312</v>
      </c>
      <c r="G486" s="32" t="s">
        <v>3313</v>
      </c>
      <c r="H486" s="32" t="s">
        <v>3314</v>
      </c>
      <c r="I486" s="36" t="s">
        <v>3315</v>
      </c>
      <c r="J486" s="52"/>
      <c r="K486" s="32" t="s">
        <v>3316</v>
      </c>
      <c r="L486" s="32" t="s">
        <v>2133</v>
      </c>
      <c r="M486" s="32" t="s">
        <v>60</v>
      </c>
      <c r="N486" s="33">
        <v>10</v>
      </c>
      <c r="O486" s="35"/>
      <c r="P486" s="35"/>
      <c r="Q486" s="37"/>
      <c r="R486" s="38"/>
      <c r="S486" s="33"/>
      <c r="T486" s="39">
        <v>375000</v>
      </c>
      <c r="U486" s="40" t="s">
        <v>61</v>
      </c>
      <c r="V486" s="41"/>
      <c r="W486" s="42" t="str">
        <f ca="1">IFERROR(__xludf.DUMMYFUNCTION("""COMPUTED_VALUE"""),"Borobudur Tourism")</f>
        <v>Borobudur Tourism</v>
      </c>
      <c r="X486" s="42" t="str">
        <f ca="1"/>
        <v>ON-Borobudur Tourism-00011900+10-628122703083</v>
      </c>
      <c r="Y486" s="40" t="s">
        <v>62</v>
      </c>
      <c r="Z486" s="40" t="s">
        <v>1880</v>
      </c>
      <c r="AA486" s="23" t="str">
        <v>https://wa.me/628122703083</v>
      </c>
      <c r="AB486" s="28" t="s">
        <v>3317</v>
      </c>
      <c r="AC486" s="28"/>
      <c r="AD486" s="28" t="s">
        <v>690</v>
      </c>
      <c r="AE486" s="28"/>
      <c r="AF486" s="29">
        <v>45872</v>
      </c>
      <c r="AG486" s="29"/>
    </row>
    <row r="487" spans="1:33" ht="15.75" customHeight="1">
      <c r="A487" s="32" t="s">
        <v>196</v>
      </c>
      <c r="B487" s="33">
        <v>491</v>
      </c>
      <c r="C487" s="34" t="s">
        <v>3318</v>
      </c>
      <c r="D487" s="35">
        <v>45867.787090451384</v>
      </c>
      <c r="E487" s="43">
        <v>45867</v>
      </c>
      <c r="F487" s="32" t="s">
        <v>3319</v>
      </c>
      <c r="G487" s="32" t="s">
        <v>3320</v>
      </c>
      <c r="H487" s="32" t="s">
        <v>3321</v>
      </c>
      <c r="I487" s="36" t="s">
        <v>3322</v>
      </c>
      <c r="J487" s="52"/>
      <c r="K487" s="32" t="s">
        <v>3323</v>
      </c>
      <c r="L487" s="32" t="s">
        <v>99</v>
      </c>
      <c r="M487" s="32" t="s">
        <v>60</v>
      </c>
      <c r="N487" s="33">
        <v>5</v>
      </c>
      <c r="O487" s="35"/>
      <c r="P487" s="35"/>
      <c r="Q487" s="37"/>
      <c r="R487" s="38"/>
      <c r="S487" s="33"/>
      <c r="T487" s="39">
        <v>150000</v>
      </c>
      <c r="U487" s="40" t="s">
        <v>61</v>
      </c>
      <c r="V487" s="41"/>
      <c r="W487" s="42" t="str">
        <f ca="1">IFERROR(__xludf.DUMMYFUNCTION("""COMPUTED_VALUE"""),"Hendri Family")</f>
        <v>Hendri Family</v>
      </c>
      <c r="X487" s="42" t="str">
        <f ca="1"/>
        <v>ON-Hendri Family-00011900+5-6282384370009</v>
      </c>
      <c r="Y487" s="40" t="s">
        <v>293</v>
      </c>
      <c r="Z487" s="40" t="s">
        <v>1057</v>
      </c>
      <c r="AA487" s="23" t="str">
        <v>https://wa.me/6282384370009</v>
      </c>
      <c r="AB487" s="28" t="s">
        <v>3324</v>
      </c>
      <c r="AC487" s="28"/>
      <c r="AD487" s="28" t="s">
        <v>690</v>
      </c>
      <c r="AE487" s="28"/>
      <c r="AF487" s="29">
        <v>45871</v>
      </c>
      <c r="AG487" s="29"/>
    </row>
    <row r="488" spans="1:33" ht="15.75" customHeight="1">
      <c r="A488" s="32" t="s">
        <v>196</v>
      </c>
      <c r="B488" s="33">
        <v>492</v>
      </c>
      <c r="C488" s="34" t="s">
        <v>3325</v>
      </c>
      <c r="D488" s="35">
        <v>45867.835676678238</v>
      </c>
      <c r="E488" s="43">
        <v>45867</v>
      </c>
      <c r="F488" s="32" t="s">
        <v>3326</v>
      </c>
      <c r="G488" s="32" t="s">
        <v>3327</v>
      </c>
      <c r="H488" s="32" t="s">
        <v>96</v>
      </c>
      <c r="I488" s="36" t="s">
        <v>3328</v>
      </c>
      <c r="J488" s="52"/>
      <c r="K488" s="32" t="s">
        <v>3329</v>
      </c>
      <c r="L488" s="32" t="s">
        <v>3330</v>
      </c>
      <c r="M488" s="32" t="s">
        <v>38</v>
      </c>
      <c r="N488" s="33">
        <v>5</v>
      </c>
      <c r="O488" s="35"/>
      <c r="P488" s="35"/>
      <c r="Q488" s="37"/>
      <c r="R488" s="38"/>
      <c r="S488" s="33"/>
      <c r="T488" s="39">
        <v>197000</v>
      </c>
      <c r="U488" s="40" t="s">
        <v>49</v>
      </c>
      <c r="V488" s="41"/>
      <c r="W488" s="42" t="str">
        <f ca="1">IFERROR(__xludf.DUMMYFUNCTION("""COMPUTED_VALUE"""),"Bajawa lash")</f>
        <v>Bajawa lash</v>
      </c>
      <c r="X488" s="42" t="str">
        <f ca="1"/>
        <v>ON-Bajawa lash-00011900+5-6281299298585</v>
      </c>
      <c r="Y488" s="40" t="s">
        <v>50</v>
      </c>
      <c r="Z488" s="40" t="s">
        <v>327</v>
      </c>
      <c r="AA488" s="23" t="str">
        <v>https://wa.me/6281299298585</v>
      </c>
      <c r="AB488" s="28" t="s">
        <v>3331</v>
      </c>
      <c r="AC488" s="28"/>
      <c r="AD488" s="28" t="s">
        <v>690</v>
      </c>
      <c r="AE488" s="28"/>
      <c r="AF488" s="29">
        <v>45871</v>
      </c>
      <c r="AG488" s="29"/>
    </row>
    <row r="489" spans="1:33" ht="15.75" customHeight="1">
      <c r="A489" s="32" t="s">
        <v>196</v>
      </c>
      <c r="B489" s="33">
        <v>493</v>
      </c>
      <c r="C489" s="34" t="s">
        <v>3332</v>
      </c>
      <c r="D489" s="35">
        <v>45867.838725162037</v>
      </c>
      <c r="E489" s="43">
        <v>45867</v>
      </c>
      <c r="F489" s="32" t="s">
        <v>3333</v>
      </c>
      <c r="G489" s="32" t="s">
        <v>3334</v>
      </c>
      <c r="H489" s="32" t="s">
        <v>3335</v>
      </c>
      <c r="I489" s="36" t="s">
        <v>3336</v>
      </c>
      <c r="J489" s="52" t="s">
        <v>3337</v>
      </c>
      <c r="K489" s="32" t="s">
        <v>374</v>
      </c>
      <c r="L489" s="32" t="s">
        <v>1628</v>
      </c>
      <c r="M489" s="32" t="s">
        <v>382</v>
      </c>
      <c r="N489" s="33">
        <v>5</v>
      </c>
      <c r="O489" s="35">
        <v>45870</v>
      </c>
      <c r="P489" s="35">
        <v>45875</v>
      </c>
      <c r="Q489" s="37"/>
      <c r="R489" s="38"/>
      <c r="S489" s="33"/>
      <c r="T489" s="39">
        <v>197000</v>
      </c>
      <c r="U489" s="40" t="s">
        <v>115</v>
      </c>
      <c r="V489" s="41"/>
      <c r="W489" s="42" t="str">
        <f ca="1">IFERROR(__xludf.DUMMYFUNCTION("""COMPUTED_VALUE"""),"Duaputra Travel")</f>
        <v>Duaputra Travel</v>
      </c>
      <c r="X489" s="42" t="str">
        <f ca="1"/>
        <v>ON-Duaputra Travel-00011900+5-6282118113002</v>
      </c>
      <c r="Y489" s="40" t="s">
        <v>62</v>
      </c>
      <c r="Z489" s="40" t="s">
        <v>1880</v>
      </c>
      <c r="AA489" s="23" t="str">
        <v>https://wa.me/6282118113002</v>
      </c>
      <c r="AB489" s="28" t="s">
        <v>3338</v>
      </c>
      <c r="AC489" s="28"/>
      <c r="AD489" s="28" t="s">
        <v>690</v>
      </c>
      <c r="AE489" s="28"/>
      <c r="AF489" s="29">
        <v>45871</v>
      </c>
      <c r="AG489" s="29"/>
    </row>
    <row r="490" spans="1:33" ht="15.75" customHeight="1">
      <c r="A490" s="32" t="s">
        <v>196</v>
      </c>
      <c r="B490" s="33">
        <v>495</v>
      </c>
      <c r="C490" s="34" t="s">
        <v>3339</v>
      </c>
      <c r="D490" s="35">
        <v>45867.850220266206</v>
      </c>
      <c r="E490" s="43">
        <v>45867</v>
      </c>
      <c r="F490" s="32" t="s">
        <v>3340</v>
      </c>
      <c r="G490" s="32" t="s">
        <v>3341</v>
      </c>
      <c r="H490" s="32" t="s">
        <v>3342</v>
      </c>
      <c r="I490" s="36" t="s">
        <v>3343</v>
      </c>
      <c r="J490" s="52"/>
      <c r="K490" s="32" t="s">
        <v>1024</v>
      </c>
      <c r="L490" s="32" t="s">
        <v>3344</v>
      </c>
      <c r="M490" s="32" t="s">
        <v>3345</v>
      </c>
      <c r="N490" s="33">
        <v>20</v>
      </c>
      <c r="O490" s="35">
        <v>45870</v>
      </c>
      <c r="P490" s="35">
        <v>45890</v>
      </c>
      <c r="Q490" s="37"/>
      <c r="R490" s="38"/>
      <c r="S490" s="33"/>
      <c r="T490" s="39">
        <v>700000</v>
      </c>
      <c r="U490" s="40" t="s">
        <v>1229</v>
      </c>
      <c r="V490" s="41"/>
      <c r="W490" s="42" t="str">
        <f ca="1">IFERROR(__xludf.DUMMYFUNCTION("""COMPUTED_VALUE"""),"Transformasi Quantum")</f>
        <v>Transformasi Quantum</v>
      </c>
      <c r="X490" s="42" t="str">
        <f ca="1"/>
        <v>ON-Transformasi Quantum-00011900+20-6285294617773</v>
      </c>
      <c r="Y490" s="40" t="s">
        <v>62</v>
      </c>
      <c r="Z490" s="40" t="s">
        <v>639</v>
      </c>
      <c r="AA490" s="23" t="str">
        <v>https://wa.me/6285294617773</v>
      </c>
      <c r="AB490" s="28" t="s">
        <v>3346</v>
      </c>
      <c r="AC490" s="28"/>
      <c r="AD490" s="28" t="s">
        <v>690</v>
      </c>
      <c r="AE490" s="28"/>
      <c r="AF490" s="29">
        <v>45871</v>
      </c>
      <c r="AG490" s="29"/>
    </row>
    <row r="491" spans="1:33" ht="15.75" customHeight="1">
      <c r="A491" s="32" t="s">
        <v>196</v>
      </c>
      <c r="B491" s="33">
        <v>496</v>
      </c>
      <c r="C491" s="34" t="s">
        <v>3347</v>
      </c>
      <c r="D491" s="35">
        <v>45867.855673750004</v>
      </c>
      <c r="E491" s="43">
        <v>45867</v>
      </c>
      <c r="F491" s="32" t="s">
        <v>3348</v>
      </c>
      <c r="G491" s="32" t="s">
        <v>3349</v>
      </c>
      <c r="H491" s="32" t="s">
        <v>2386</v>
      </c>
      <c r="I491" s="36" t="s">
        <v>3350</v>
      </c>
      <c r="J491" s="52"/>
      <c r="K491" s="32" t="s">
        <v>3351</v>
      </c>
      <c r="L491" s="32" t="s">
        <v>2468</v>
      </c>
      <c r="M491" s="32" t="s">
        <v>60</v>
      </c>
      <c r="N491" s="33">
        <v>7</v>
      </c>
      <c r="O491" s="35"/>
      <c r="P491" s="35"/>
      <c r="Q491" s="37"/>
      <c r="R491" s="38"/>
      <c r="S491" s="33"/>
      <c r="T491" s="39">
        <v>297000</v>
      </c>
      <c r="U491" s="40" t="s">
        <v>61</v>
      </c>
      <c r="V491" s="41"/>
      <c r="W491" s="42" t="str">
        <f ca="1">IFERROR(__xludf.DUMMYFUNCTION("""COMPUTED_VALUE"""),"Somala Waterproofing")</f>
        <v>Somala Waterproofing</v>
      </c>
      <c r="X491" s="42" t="str">
        <f ca="1"/>
        <v>ON-Somala Waterproofing-00011900+7-6285737375137</v>
      </c>
      <c r="Y491" s="40" t="s">
        <v>293</v>
      </c>
      <c r="Z491" s="40" t="s">
        <v>1057</v>
      </c>
      <c r="AA491" s="23" t="str">
        <v>https://wa.me/6285737375137</v>
      </c>
      <c r="AB491" s="28" t="s">
        <v>3352</v>
      </c>
      <c r="AC491" s="28"/>
      <c r="AD491" s="28" t="s">
        <v>690</v>
      </c>
      <c r="AE491" s="28"/>
      <c r="AF491" s="29">
        <v>45870</v>
      </c>
      <c r="AG491" s="29"/>
    </row>
    <row r="492" spans="1:33" ht="15.75" customHeight="1">
      <c r="A492" s="32" t="s">
        <v>196</v>
      </c>
      <c r="B492" s="33">
        <v>497</v>
      </c>
      <c r="C492" s="34" t="s">
        <v>3353</v>
      </c>
      <c r="D492" s="35">
        <v>45868.323910937499</v>
      </c>
      <c r="E492" s="43">
        <v>45868</v>
      </c>
      <c r="F492" s="32" t="s">
        <v>3354</v>
      </c>
      <c r="G492" s="32" t="s">
        <v>3355</v>
      </c>
      <c r="H492" s="32" t="s">
        <v>3356</v>
      </c>
      <c r="I492" s="36" t="s">
        <v>3357</v>
      </c>
      <c r="J492" s="52"/>
      <c r="K492" s="32" t="s">
        <v>3358</v>
      </c>
      <c r="L492" s="32" t="s">
        <v>2244</v>
      </c>
      <c r="M492" s="32" t="s">
        <v>249</v>
      </c>
      <c r="N492" s="33">
        <v>5</v>
      </c>
      <c r="O492" s="35">
        <v>45871</v>
      </c>
      <c r="P492" s="35">
        <v>45876</v>
      </c>
      <c r="Q492" s="37"/>
      <c r="R492" s="38"/>
      <c r="S492" s="33"/>
      <c r="T492" s="39">
        <v>197000</v>
      </c>
      <c r="U492" s="40" t="s">
        <v>1774</v>
      </c>
      <c r="V492" s="41"/>
      <c r="W492" s="42" t="str">
        <f ca="1">IFERROR(__xludf.DUMMYFUNCTION("""COMPUTED_VALUE"""),"Pijat Kesehatan")</f>
        <v>Pijat Kesehatan</v>
      </c>
      <c r="X492" s="42" t="str">
        <f ca="1"/>
        <v>ON-Pijat Kesehatan-00011900+5-6288802749485</v>
      </c>
      <c r="Y492" s="40" t="s">
        <v>62</v>
      </c>
      <c r="Z492" s="40" t="s">
        <v>639</v>
      </c>
      <c r="AA492" s="23" t="str">
        <v>https://wa.me/6288802749485</v>
      </c>
      <c r="AB492" s="28" t="s">
        <v>3359</v>
      </c>
      <c r="AC492" s="28"/>
      <c r="AD492" s="28" t="s">
        <v>690</v>
      </c>
      <c r="AE492" s="28"/>
      <c r="AF492" s="29">
        <v>45871</v>
      </c>
      <c r="AG492" s="29"/>
    </row>
    <row r="493" spans="1:33" ht="15.75" customHeight="1">
      <c r="A493" s="32" t="s">
        <v>196</v>
      </c>
      <c r="B493" s="33">
        <v>498</v>
      </c>
      <c r="C493" s="34" t="s">
        <v>3360</v>
      </c>
      <c r="D493" s="35">
        <v>45868.446425428236</v>
      </c>
      <c r="E493" s="43">
        <v>45868</v>
      </c>
      <c r="F493" s="32" t="s">
        <v>3361</v>
      </c>
      <c r="G493" s="32" t="s">
        <v>3362</v>
      </c>
      <c r="H493" s="32" t="s">
        <v>3363</v>
      </c>
      <c r="I493" s="36" t="s">
        <v>3364</v>
      </c>
      <c r="J493" s="52"/>
      <c r="K493" s="32" t="s">
        <v>3365</v>
      </c>
      <c r="L493" s="32" t="s">
        <v>3366</v>
      </c>
      <c r="M493" s="32" t="s">
        <v>60</v>
      </c>
      <c r="N493" s="33">
        <v>5</v>
      </c>
      <c r="O493" s="35"/>
      <c r="P493" s="35"/>
      <c r="Q493" s="37"/>
      <c r="R493" s="38"/>
      <c r="S493" s="33"/>
      <c r="T493" s="39">
        <v>197000</v>
      </c>
      <c r="U493" s="40" t="s">
        <v>61</v>
      </c>
      <c r="V493" s="41"/>
      <c r="W493" s="42" t="str">
        <f ca="1">IFERROR(__xludf.DUMMYFUNCTION("""COMPUTED_VALUE"""),"Bumi Terapi")</f>
        <v>Bumi Terapi</v>
      </c>
      <c r="X493" s="42" t="str">
        <f ca="1"/>
        <v>ON-Bumi Terapi-00011900+5-628990145388</v>
      </c>
      <c r="Y493" s="40" t="s">
        <v>62</v>
      </c>
      <c r="Z493" s="40" t="s">
        <v>639</v>
      </c>
      <c r="AA493" s="23" t="str">
        <v>https://wa.me/628990145388</v>
      </c>
      <c r="AB493" s="28" t="s">
        <v>3367</v>
      </c>
      <c r="AC493" s="28"/>
      <c r="AD493" s="28" t="s">
        <v>690</v>
      </c>
      <c r="AE493" s="28"/>
      <c r="AF493" s="29">
        <v>45872</v>
      </c>
      <c r="AG493" s="29"/>
    </row>
    <row r="494" spans="1:33" ht="15.75" customHeight="1">
      <c r="A494" s="32" t="s">
        <v>196</v>
      </c>
      <c r="B494" s="33">
        <v>499</v>
      </c>
      <c r="C494" s="34" t="s">
        <v>3368</v>
      </c>
      <c r="D494" s="35">
        <v>45868.448360752314</v>
      </c>
      <c r="E494" s="43">
        <v>45868</v>
      </c>
      <c r="F494" s="32" t="s">
        <v>3369</v>
      </c>
      <c r="G494" s="32" t="s">
        <v>3370</v>
      </c>
      <c r="H494" s="32" t="s">
        <v>3371</v>
      </c>
      <c r="I494" s="36" t="s">
        <v>3372</v>
      </c>
      <c r="J494" s="52" t="s">
        <v>3373</v>
      </c>
      <c r="K494" s="32" t="s">
        <v>570</v>
      </c>
      <c r="L494" s="32" t="s">
        <v>3374</v>
      </c>
      <c r="M494" s="32" t="s">
        <v>60</v>
      </c>
      <c r="N494" s="33">
        <v>5</v>
      </c>
      <c r="O494" s="35"/>
      <c r="P494" s="35"/>
      <c r="Q494" s="37"/>
      <c r="R494" s="38"/>
      <c r="S494" s="33"/>
      <c r="T494" s="39">
        <v>197000</v>
      </c>
      <c r="U494" s="40" t="s">
        <v>115</v>
      </c>
      <c r="V494" s="41"/>
      <c r="W494" s="42" t="str">
        <f ca="1">IFERROR(__xludf.DUMMYFUNCTION("""COMPUTED_VALUE"""),"Tukangg Jabodetabek")</f>
        <v>Tukangg Jabodetabek</v>
      </c>
      <c r="X494" s="42" t="str">
        <f ca="1"/>
        <v>ON-Tukangg Jabodetabek-00011900+5-628811252834</v>
      </c>
      <c r="Y494" s="40" t="s">
        <v>293</v>
      </c>
      <c r="Z494" s="40" t="s">
        <v>1057</v>
      </c>
      <c r="AA494" s="23" t="str">
        <v>https://wa.me/628811252834</v>
      </c>
      <c r="AB494" s="28" t="s">
        <v>3375</v>
      </c>
      <c r="AC494" s="28"/>
      <c r="AD494" s="28" t="s">
        <v>690</v>
      </c>
      <c r="AE494" s="28"/>
      <c r="AF494" s="29">
        <v>45872</v>
      </c>
      <c r="AG494" s="29"/>
    </row>
    <row r="495" spans="1:33" ht="15.75" customHeight="1">
      <c r="A495" s="32" t="s">
        <v>52</v>
      </c>
      <c r="B495" s="33">
        <v>500</v>
      </c>
      <c r="C495" s="34" t="s">
        <v>3376</v>
      </c>
      <c r="D495" s="35">
        <v>45868.488013888884</v>
      </c>
      <c r="E495" s="43">
        <v>45868</v>
      </c>
      <c r="F495" s="32" t="s">
        <v>2775</v>
      </c>
      <c r="G495" s="32" t="s">
        <v>2776</v>
      </c>
      <c r="H495" s="32" t="s">
        <v>2777</v>
      </c>
      <c r="I495" s="36" t="s">
        <v>2778</v>
      </c>
      <c r="J495" s="52"/>
      <c r="K495" s="32" t="s">
        <v>3377</v>
      </c>
      <c r="L495" s="32" t="s">
        <v>2780</v>
      </c>
      <c r="M495" s="32" t="s">
        <v>60</v>
      </c>
      <c r="N495" s="33">
        <v>5</v>
      </c>
      <c r="O495" s="35"/>
      <c r="P495" s="35"/>
      <c r="Q495" s="37"/>
      <c r="R495" s="38"/>
      <c r="S495" s="33"/>
      <c r="T495" s="39">
        <v>197000</v>
      </c>
      <c r="U495" s="40" t="s">
        <v>61</v>
      </c>
      <c r="V495" s="41"/>
      <c r="W495" s="42" t="str">
        <f ca="1">IFERROR(__xludf.DUMMYFUNCTION("""COMPUTED_VALUE"""),"Penyehat Tradisional")</f>
        <v>Penyehat Tradisional</v>
      </c>
      <c r="X495" s="42" t="str">
        <f ca="1"/>
        <v>ON-Penyehat Tradisional-00011900+5-6285657238556</v>
      </c>
      <c r="Y495" s="40"/>
      <c r="Z495" s="40"/>
      <c r="AA495" s="23" t="str">
        <v>https://wa.me/6285657238556</v>
      </c>
      <c r="AB495" s="28"/>
      <c r="AC495" s="28"/>
      <c r="AD495" s="28"/>
      <c r="AE495" s="28"/>
      <c r="AF495" s="29"/>
      <c r="AG495" s="29"/>
    </row>
    <row r="496" spans="1:33" ht="15.75" customHeight="1">
      <c r="A496" s="32" t="s">
        <v>52</v>
      </c>
      <c r="B496" s="33">
        <v>501</v>
      </c>
      <c r="C496" s="34" t="s">
        <v>3378</v>
      </c>
      <c r="D496" s="35">
        <v>45868.488401527778</v>
      </c>
      <c r="E496" s="43">
        <v>45868</v>
      </c>
      <c r="F496" s="32" t="s">
        <v>2775</v>
      </c>
      <c r="G496" s="32" t="s">
        <v>2776</v>
      </c>
      <c r="H496" s="32" t="s">
        <v>2777</v>
      </c>
      <c r="I496" s="36" t="s">
        <v>2778</v>
      </c>
      <c r="J496" s="52"/>
      <c r="K496" s="32" t="s">
        <v>3377</v>
      </c>
      <c r="L496" s="32" t="s">
        <v>2780</v>
      </c>
      <c r="M496" s="32" t="s">
        <v>60</v>
      </c>
      <c r="N496" s="33">
        <v>5</v>
      </c>
      <c r="O496" s="35"/>
      <c r="P496" s="35"/>
      <c r="Q496" s="37"/>
      <c r="R496" s="38"/>
      <c r="S496" s="33"/>
      <c r="T496" s="39">
        <v>197000</v>
      </c>
      <c r="U496" s="40" t="s">
        <v>61</v>
      </c>
      <c r="V496" s="41"/>
      <c r="W496" s="42" t="str">
        <f ca="1">IFERROR(__xludf.DUMMYFUNCTION("""COMPUTED_VALUE"""),"Penyehat Tradisional")</f>
        <v>Penyehat Tradisional</v>
      </c>
      <c r="X496" s="42" t="str">
        <f ca="1"/>
        <v>ON-Penyehat Tradisional-00011900+5-6285657238556</v>
      </c>
      <c r="Y496" s="40"/>
      <c r="Z496" s="40"/>
      <c r="AA496" s="23" t="str">
        <v>https://wa.me/6285657238556</v>
      </c>
      <c r="AB496" s="28"/>
      <c r="AC496" s="28"/>
      <c r="AD496" s="28"/>
      <c r="AE496" s="28"/>
      <c r="AF496" s="29"/>
      <c r="AG496" s="29"/>
    </row>
    <row r="497" spans="1:33" ht="15.75" customHeight="1">
      <c r="A497" s="32" t="s">
        <v>196</v>
      </c>
      <c r="B497" s="33">
        <v>502</v>
      </c>
      <c r="C497" s="34" t="s">
        <v>3379</v>
      </c>
      <c r="D497" s="35">
        <v>45868.506195416667</v>
      </c>
      <c r="E497" s="43">
        <v>45868</v>
      </c>
      <c r="F497" s="32" t="s">
        <v>2968</v>
      </c>
      <c r="G497" s="32" t="s">
        <v>3380</v>
      </c>
      <c r="H497" s="32" t="s">
        <v>2970</v>
      </c>
      <c r="I497" s="36" t="s">
        <v>3381</v>
      </c>
      <c r="J497" s="52"/>
      <c r="K497" s="32" t="s">
        <v>3382</v>
      </c>
      <c r="L497" s="32" t="s">
        <v>3383</v>
      </c>
      <c r="M497" s="32" t="s">
        <v>60</v>
      </c>
      <c r="N497" s="33">
        <v>20</v>
      </c>
      <c r="O497" s="35"/>
      <c r="P497" s="35"/>
      <c r="Q497" s="37"/>
      <c r="R497" s="38"/>
      <c r="S497" s="33"/>
      <c r="T497" s="39">
        <v>700000</v>
      </c>
      <c r="U497" s="40" t="s">
        <v>61</v>
      </c>
      <c r="V497" s="41"/>
      <c r="W497" s="42" t="str">
        <f ca="1">IFERROR(__xludf.DUMMYFUNCTION("""COMPUTED_VALUE"""),"PESONA BOGOR")</f>
        <v>PESONA BOGOR</v>
      </c>
      <c r="X497" s="42" t="str">
        <f ca="1"/>
        <v>ON-PESONA BOGOR-00011900+20-628557182563</v>
      </c>
      <c r="Y497" s="40" t="s">
        <v>62</v>
      </c>
      <c r="Z497" s="40" t="s">
        <v>1880</v>
      </c>
      <c r="AA497" s="23" t="str">
        <v>https://wa.me/628557182563</v>
      </c>
      <c r="AB497" s="28" t="s">
        <v>3384</v>
      </c>
      <c r="AC497" s="28"/>
      <c r="AD497" s="28" t="s">
        <v>690</v>
      </c>
      <c r="AE497" s="28"/>
      <c r="AF497" s="29">
        <v>45874</v>
      </c>
      <c r="AG497" s="29"/>
    </row>
    <row r="498" spans="1:33" ht="15.75" customHeight="1">
      <c r="A498" s="32" t="s">
        <v>196</v>
      </c>
      <c r="B498" s="33">
        <v>503</v>
      </c>
      <c r="C498" s="34" t="s">
        <v>3385</v>
      </c>
      <c r="D498" s="35">
        <v>45868.546697777776</v>
      </c>
      <c r="E498" s="43">
        <v>45868</v>
      </c>
      <c r="F498" s="32" t="s">
        <v>3386</v>
      </c>
      <c r="G498" s="32" t="s">
        <v>3387</v>
      </c>
      <c r="H498" s="32" t="s">
        <v>3388</v>
      </c>
      <c r="I498" s="36" t="s">
        <v>3389</v>
      </c>
      <c r="J498" s="52"/>
      <c r="K498" s="32" t="s">
        <v>3390</v>
      </c>
      <c r="L498" s="32" t="s">
        <v>3391</v>
      </c>
      <c r="M498" s="32" t="s">
        <v>267</v>
      </c>
      <c r="N498" s="33">
        <v>5</v>
      </c>
      <c r="O498" s="35">
        <v>45871</v>
      </c>
      <c r="P498" s="35">
        <v>45876</v>
      </c>
      <c r="Q498" s="37"/>
      <c r="R498" s="38"/>
      <c r="S498" s="33"/>
      <c r="T498" s="39">
        <v>197000</v>
      </c>
      <c r="U498" s="40" t="s">
        <v>1229</v>
      </c>
      <c r="V498" s="41"/>
      <c r="W498" s="42" t="str">
        <f ca="1">IFERROR(__xludf.DUMMYFUNCTION("""COMPUTED_VALUE"""),"Vania collection")</f>
        <v>Vania collection</v>
      </c>
      <c r="X498" s="42" t="str">
        <f ca="1"/>
        <v>ON-Vania collection-00011900+5-6285326750989</v>
      </c>
      <c r="Y498" s="40" t="s">
        <v>62</v>
      </c>
      <c r="Z498" s="40" t="s">
        <v>1861</v>
      </c>
      <c r="AA498" s="23" t="str">
        <v>https://wa.me/6285326750989</v>
      </c>
      <c r="AB498" s="28" t="s">
        <v>3392</v>
      </c>
      <c r="AC498" s="28"/>
      <c r="AD498" s="28" t="s">
        <v>690</v>
      </c>
      <c r="AE498" s="28"/>
      <c r="AF498" s="29">
        <v>45871</v>
      </c>
      <c r="AG498" s="29"/>
    </row>
    <row r="499" spans="1:33" ht="15.75" customHeight="1">
      <c r="A499" s="32" t="s">
        <v>196</v>
      </c>
      <c r="B499" s="33">
        <v>504</v>
      </c>
      <c r="C499" s="34" t="s">
        <v>3393</v>
      </c>
      <c r="D499" s="35">
        <v>45868.553603680557</v>
      </c>
      <c r="E499" s="43">
        <v>45868</v>
      </c>
      <c r="F499" s="32" t="s">
        <v>3394</v>
      </c>
      <c r="G499" s="32" t="s">
        <v>3395</v>
      </c>
      <c r="H499" s="32" t="s">
        <v>3396</v>
      </c>
      <c r="I499" s="36" t="s">
        <v>3397</v>
      </c>
      <c r="J499" s="52"/>
      <c r="K499" s="32" t="s">
        <v>3398</v>
      </c>
      <c r="L499" s="32" t="s">
        <v>99</v>
      </c>
      <c r="M499" s="32" t="s">
        <v>60</v>
      </c>
      <c r="N499" s="33">
        <v>30</v>
      </c>
      <c r="O499" s="35"/>
      <c r="P499" s="35"/>
      <c r="Q499" s="37"/>
      <c r="R499" s="38"/>
      <c r="S499" s="33"/>
      <c r="T499" s="39">
        <v>1000000</v>
      </c>
      <c r="U499" s="40" t="s">
        <v>61</v>
      </c>
      <c r="V499" s="41"/>
      <c r="W499" s="42" t="str">
        <f ca="1">IFERROR(__xludf.DUMMYFUNCTION("""COMPUTED_VALUE"""),"PT KURNIA")</f>
        <v>PT KURNIA</v>
      </c>
      <c r="X499" s="42" t="str">
        <f ca="1"/>
        <v>ON-PT KURNIA-00011900+30-6282384544939</v>
      </c>
      <c r="Y499" s="40" t="s">
        <v>62</v>
      </c>
      <c r="Z499" s="40" t="s">
        <v>277</v>
      </c>
      <c r="AA499" s="23" t="str">
        <v>https://wa.me/6282384544939</v>
      </c>
      <c r="AB499" s="28" t="s">
        <v>3399</v>
      </c>
      <c r="AC499" s="28"/>
      <c r="AD499" s="28" t="s">
        <v>690</v>
      </c>
      <c r="AE499" s="28"/>
      <c r="AF499" s="29">
        <v>45873</v>
      </c>
      <c r="AG499" s="29"/>
    </row>
    <row r="500" spans="1:33" ht="15.75" customHeight="1">
      <c r="A500" s="32" t="s">
        <v>196</v>
      </c>
      <c r="B500" s="33">
        <v>505</v>
      </c>
      <c r="C500" s="34" t="s">
        <v>3400</v>
      </c>
      <c r="D500" s="35">
        <v>45868.636461041664</v>
      </c>
      <c r="E500" s="43">
        <v>45868</v>
      </c>
      <c r="F500" s="32" t="s">
        <v>3401</v>
      </c>
      <c r="G500" s="32" t="s">
        <v>3402</v>
      </c>
      <c r="H500" s="32" t="s">
        <v>879</v>
      </c>
      <c r="I500" s="36" t="s">
        <v>3403</v>
      </c>
      <c r="J500" s="52" t="s">
        <v>3404</v>
      </c>
      <c r="K500" s="32" t="s">
        <v>3405</v>
      </c>
      <c r="L500" s="32" t="s">
        <v>1446</v>
      </c>
      <c r="M500" s="32" t="s">
        <v>382</v>
      </c>
      <c r="N500" s="33">
        <v>5</v>
      </c>
      <c r="O500" s="35"/>
      <c r="P500" s="35"/>
      <c r="Q500" s="37"/>
      <c r="R500" s="38"/>
      <c r="S500" s="33"/>
      <c r="T500" s="39">
        <v>197000</v>
      </c>
      <c r="U500" s="40" t="s">
        <v>115</v>
      </c>
      <c r="V500" s="41"/>
      <c r="W500" s="42" t="str">
        <f ca="1">IFERROR(__xludf.DUMMYFUNCTION("""COMPUTED_VALUE"""),"Furniture Jati")</f>
        <v>Furniture Jati</v>
      </c>
      <c r="X500" s="42" t="str">
        <f ca="1"/>
        <v>ON-Furniture Jati-00011900+5-6282322308711</v>
      </c>
      <c r="Y500" s="40" t="s">
        <v>293</v>
      </c>
      <c r="Z500" s="40" t="s">
        <v>1057</v>
      </c>
      <c r="AA500" s="23" t="str">
        <v>https://wa.me/6282322308711</v>
      </c>
      <c r="AB500" s="28" t="s">
        <v>3406</v>
      </c>
      <c r="AC500" s="28"/>
      <c r="AD500" s="28" t="s">
        <v>690</v>
      </c>
      <c r="AE500" s="28"/>
      <c r="AF500" s="29">
        <v>45871</v>
      </c>
      <c r="AG500" s="29"/>
    </row>
    <row r="501" spans="1:33" ht="15.75" customHeight="1">
      <c r="A501" s="32" t="s">
        <v>196</v>
      </c>
      <c r="B501" s="33">
        <v>507</v>
      </c>
      <c r="C501" s="34" t="s">
        <v>3407</v>
      </c>
      <c r="D501" s="35">
        <v>45868.641306793987</v>
      </c>
      <c r="E501" s="43">
        <v>45868</v>
      </c>
      <c r="F501" s="32" t="s">
        <v>3408</v>
      </c>
      <c r="G501" s="32" t="s">
        <v>3409</v>
      </c>
      <c r="H501" s="32" t="s">
        <v>3410</v>
      </c>
      <c r="I501" s="36" t="s">
        <v>3411</v>
      </c>
      <c r="J501" s="52" t="s">
        <v>3412</v>
      </c>
      <c r="K501" s="32" t="s">
        <v>1024</v>
      </c>
      <c r="L501" s="32" t="s">
        <v>3413</v>
      </c>
      <c r="M501" s="32" t="s">
        <v>70</v>
      </c>
      <c r="N501" s="33">
        <v>5</v>
      </c>
      <c r="O501" s="35"/>
      <c r="P501" s="35"/>
      <c r="Q501" s="37"/>
      <c r="R501" s="38"/>
      <c r="S501" s="33"/>
      <c r="T501" s="39">
        <v>197000</v>
      </c>
      <c r="U501" s="40" t="s">
        <v>1229</v>
      </c>
      <c r="V501" s="41"/>
      <c r="W501" s="42" t="str">
        <f ca="1">IFERROR(__xludf.DUMMYFUNCTION("""COMPUTED_VALUE"""),"KARIMUN DJAVA")</f>
        <v>KARIMUN DJAVA</v>
      </c>
      <c r="X501" s="42" t="str">
        <f ca="1"/>
        <v>ON-KARIMUN DJAVA-00011900+5-6281226950679</v>
      </c>
      <c r="Y501" s="40" t="s">
        <v>62</v>
      </c>
      <c r="Z501" s="40" t="s">
        <v>1880</v>
      </c>
      <c r="AA501" s="23" t="str">
        <v>https://wa.me/6281226950679</v>
      </c>
      <c r="AB501" s="28" t="s">
        <v>3414</v>
      </c>
      <c r="AC501" s="28"/>
      <c r="AD501" s="28" t="s">
        <v>690</v>
      </c>
      <c r="AE501" s="28"/>
      <c r="AF501" s="29">
        <v>45872</v>
      </c>
      <c r="AG501" s="29"/>
    </row>
    <row r="502" spans="1:33" ht="15.75" customHeight="1">
      <c r="A502" s="32" t="s">
        <v>52</v>
      </c>
      <c r="B502" s="33">
        <v>508</v>
      </c>
      <c r="C502" s="34" t="s">
        <v>3415</v>
      </c>
      <c r="D502" s="35">
        <v>45868.642707754625</v>
      </c>
      <c r="E502" s="43">
        <v>45868</v>
      </c>
      <c r="F502" s="32" t="s">
        <v>2544</v>
      </c>
      <c r="G502" s="32" t="s">
        <v>2545</v>
      </c>
      <c r="H502" s="32" t="s">
        <v>2546</v>
      </c>
      <c r="I502" s="36" t="s">
        <v>2547</v>
      </c>
      <c r="J502" s="52"/>
      <c r="K502" s="32" t="s">
        <v>2548</v>
      </c>
      <c r="L502" s="32" t="s">
        <v>2468</v>
      </c>
      <c r="M502" s="32" t="s">
        <v>131</v>
      </c>
      <c r="N502" s="33">
        <v>5</v>
      </c>
      <c r="O502" s="35"/>
      <c r="P502" s="35"/>
      <c r="Q502" s="37"/>
      <c r="R502" s="38"/>
      <c r="S502" s="33"/>
      <c r="T502" s="39">
        <v>197000</v>
      </c>
      <c r="U502" s="40" t="s">
        <v>61</v>
      </c>
      <c r="V502" s="41"/>
      <c r="W502" s="42" t="str">
        <f ca="1">IFERROR(__xludf.DUMMYFUNCTION("""COMPUTED_VALUE"""),"Lubijo Berkah")</f>
        <v>Lubijo Berkah</v>
      </c>
      <c r="X502" s="42" t="str">
        <f ca="1"/>
        <v>ON-Lubijo Berkah-00011900+5-6281233038880</v>
      </c>
      <c r="Y502" s="40"/>
      <c r="Z502" s="40"/>
      <c r="AA502" s="23" t="str">
        <v>https://wa.me/6281233038880</v>
      </c>
      <c r="AB502" s="28"/>
      <c r="AC502" s="28"/>
      <c r="AD502" s="28"/>
      <c r="AE502" s="28"/>
      <c r="AF502" s="29"/>
      <c r="AG502" s="29"/>
    </row>
    <row r="503" spans="1:33" ht="15.75" customHeight="1">
      <c r="A503" s="32" t="s">
        <v>196</v>
      </c>
      <c r="B503" s="33">
        <v>510</v>
      </c>
      <c r="C503" s="34" t="s">
        <v>3416</v>
      </c>
      <c r="D503" s="35">
        <v>45868.730777037039</v>
      </c>
      <c r="E503" s="43">
        <v>45868</v>
      </c>
      <c r="F503" s="32" t="s">
        <v>3417</v>
      </c>
      <c r="G503" s="32" t="s">
        <v>3418</v>
      </c>
      <c r="H503" s="32" t="s">
        <v>2090</v>
      </c>
      <c r="I503" s="36" t="s">
        <v>3419</v>
      </c>
      <c r="J503" s="52"/>
      <c r="K503" s="32" t="s">
        <v>3420</v>
      </c>
      <c r="L503" s="32" t="s">
        <v>92</v>
      </c>
      <c r="M503" s="32" t="s">
        <v>3421</v>
      </c>
      <c r="N503" s="33">
        <v>5</v>
      </c>
      <c r="O503" s="35"/>
      <c r="P503" s="35"/>
      <c r="Q503" s="37"/>
      <c r="R503" s="38"/>
      <c r="S503" s="33"/>
      <c r="T503" s="39">
        <v>197000</v>
      </c>
      <c r="U503" s="40" t="s">
        <v>61</v>
      </c>
      <c r="V503" s="41"/>
      <c r="W503" s="42" t="str">
        <f ca="1">IFERROR(__xludf.DUMMYFUNCTION("""COMPUTED_VALUE"""),"Paulo Bali")</f>
        <v>Paulo Bali</v>
      </c>
      <c r="X503" s="42" t="str">
        <f ca="1"/>
        <v>ON-Paulo Bali-00011900+5-6287751970643</v>
      </c>
      <c r="Y503" s="40" t="s">
        <v>62</v>
      </c>
      <c r="Z503" s="40" t="s">
        <v>1880</v>
      </c>
      <c r="AA503" s="23" t="str">
        <v>https://wa.me/6287751970643</v>
      </c>
      <c r="AB503" s="28" t="s">
        <v>3422</v>
      </c>
      <c r="AC503" s="28"/>
      <c r="AD503" s="28" t="s">
        <v>690</v>
      </c>
      <c r="AE503" s="28"/>
      <c r="AF503" s="29">
        <v>45874</v>
      </c>
      <c r="AG503" s="29"/>
    </row>
    <row r="504" spans="1:33" ht="15.75" customHeight="1">
      <c r="A504" s="32" t="s">
        <v>196</v>
      </c>
      <c r="B504" s="33">
        <v>511</v>
      </c>
      <c r="C504" s="34" t="s">
        <v>3423</v>
      </c>
      <c r="D504" s="35">
        <v>45868.733397638891</v>
      </c>
      <c r="E504" s="43">
        <v>45868</v>
      </c>
      <c r="F504" s="32" t="s">
        <v>385</v>
      </c>
      <c r="G504" s="32" t="s">
        <v>3424</v>
      </c>
      <c r="H504" s="32" t="s">
        <v>3425</v>
      </c>
      <c r="I504" s="36" t="s">
        <v>3426</v>
      </c>
      <c r="J504" s="52"/>
      <c r="K504" s="32" t="s">
        <v>570</v>
      </c>
      <c r="L504" s="32" t="s">
        <v>3427</v>
      </c>
      <c r="M504" s="32" t="s">
        <v>60</v>
      </c>
      <c r="N504" s="33">
        <v>20</v>
      </c>
      <c r="O504" s="35"/>
      <c r="P504" s="35"/>
      <c r="Q504" s="37"/>
      <c r="R504" s="38"/>
      <c r="S504" s="33"/>
      <c r="T504" s="39">
        <v>700000</v>
      </c>
      <c r="U504" s="40" t="s">
        <v>61</v>
      </c>
      <c r="V504" s="41"/>
      <c r="W504" s="42" t="str">
        <f ca="1">IFERROR(__xludf.DUMMYFUNCTION("""COMPUTED_VALUE"""),"Renovasi Atap")</f>
        <v>Renovasi Atap</v>
      </c>
      <c r="X504" s="42" t="str">
        <f ca="1"/>
        <v>ON-Renovasi Atap-00011900+20-6285694618282</v>
      </c>
      <c r="Y504" s="40" t="s">
        <v>293</v>
      </c>
      <c r="Z504" s="40" t="s">
        <v>1057</v>
      </c>
      <c r="AA504" s="23" t="str">
        <v>https://wa.me/6285694618282</v>
      </c>
      <c r="AB504" s="28" t="s">
        <v>3428</v>
      </c>
      <c r="AC504" s="28"/>
      <c r="AD504" s="28" t="s">
        <v>690</v>
      </c>
      <c r="AE504" s="28"/>
      <c r="AF504" s="29">
        <v>45872</v>
      </c>
      <c r="AG504" s="29"/>
    </row>
    <row r="505" spans="1:33" ht="15.75" customHeight="1">
      <c r="A505" s="32" t="s">
        <v>196</v>
      </c>
      <c r="B505" s="33">
        <v>512</v>
      </c>
      <c r="C505" s="34" t="s">
        <v>3429</v>
      </c>
      <c r="D505" s="35">
        <v>45868.87281306713</v>
      </c>
      <c r="E505" s="43">
        <v>45868</v>
      </c>
      <c r="F505" s="32" t="s">
        <v>3430</v>
      </c>
      <c r="G505" s="32" t="s">
        <v>3431</v>
      </c>
      <c r="H505" s="32" t="s">
        <v>3432</v>
      </c>
      <c r="I505" s="36" t="s">
        <v>3433</v>
      </c>
      <c r="J505" s="52"/>
      <c r="K505" s="32" t="s">
        <v>3434</v>
      </c>
      <c r="L505" s="32" t="s">
        <v>2468</v>
      </c>
      <c r="M505" s="32" t="s">
        <v>60</v>
      </c>
      <c r="N505" s="33">
        <v>5</v>
      </c>
      <c r="O505" s="35"/>
      <c r="P505" s="35"/>
      <c r="Q505" s="37"/>
      <c r="R505" s="38"/>
      <c r="S505" s="33"/>
      <c r="T505" s="39">
        <v>197000</v>
      </c>
      <c r="U505" s="40" t="s">
        <v>61</v>
      </c>
      <c r="V505" s="41"/>
      <c r="W505" s="42" t="str">
        <f ca="1">IFERROR(__xludf.DUMMYFUNCTION("""COMPUTED_VALUE"""),"Bintang Jaya")</f>
        <v>Bintang Jaya</v>
      </c>
      <c r="X505" s="42" t="str">
        <f ca="1"/>
        <v>ON-Bintang Jaya-00011900+5-6289609613105</v>
      </c>
      <c r="Y505" s="40" t="s">
        <v>293</v>
      </c>
      <c r="Z505" s="40" t="s">
        <v>1057</v>
      </c>
      <c r="AA505" s="23" t="str">
        <v>https://wa.me/6289609613105</v>
      </c>
      <c r="AB505" s="28" t="s">
        <v>3435</v>
      </c>
      <c r="AC505" s="28"/>
      <c r="AD505" s="28" t="s">
        <v>690</v>
      </c>
      <c r="AE505" s="28"/>
      <c r="AF505" s="29">
        <v>45873</v>
      </c>
      <c r="AG505" s="29"/>
    </row>
    <row r="506" spans="1:33" ht="15.75" customHeight="1">
      <c r="A506" s="32" t="s">
        <v>196</v>
      </c>
      <c r="B506" s="33">
        <v>513</v>
      </c>
      <c r="C506" s="34" t="s">
        <v>3436</v>
      </c>
      <c r="D506" s="35">
        <v>45869.236395706015</v>
      </c>
      <c r="E506" s="43">
        <v>45869</v>
      </c>
      <c r="F506" s="32" t="s">
        <v>3437</v>
      </c>
      <c r="G506" s="32" t="s">
        <v>3438</v>
      </c>
      <c r="H506" s="32" t="s">
        <v>3439</v>
      </c>
      <c r="I506" s="36" t="s">
        <v>3440</v>
      </c>
      <c r="J506" s="52"/>
      <c r="K506" s="32" t="s">
        <v>3441</v>
      </c>
      <c r="L506" s="32" t="s">
        <v>490</v>
      </c>
      <c r="M506" s="32" t="s">
        <v>60</v>
      </c>
      <c r="N506" s="33">
        <v>30</v>
      </c>
      <c r="O506" s="35"/>
      <c r="P506" s="35"/>
      <c r="Q506" s="37"/>
      <c r="R506" s="38"/>
      <c r="S506" s="33"/>
      <c r="T506" s="39">
        <v>1000000</v>
      </c>
      <c r="U506" s="40" t="s">
        <v>61</v>
      </c>
      <c r="V506" s="41"/>
      <c r="W506" s="42" t="str">
        <f ca="1">IFERROR(__xludf.DUMMYFUNCTION("""COMPUTED_VALUE"""),"Matantimali Adventure")</f>
        <v>Matantimali Adventure</v>
      </c>
      <c r="X506" s="42" t="str">
        <f ca="1"/>
        <v>ON-Matantimali Adventure-00011900+30-6281543365581</v>
      </c>
      <c r="Y506" s="40" t="s">
        <v>62</v>
      </c>
      <c r="Z506" s="40" t="s">
        <v>1880</v>
      </c>
      <c r="AA506" s="23" t="str">
        <v>https://wa.me/6281543365581</v>
      </c>
      <c r="AB506" s="28" t="s">
        <v>3442</v>
      </c>
      <c r="AC506" s="28"/>
      <c r="AD506" s="28" t="s">
        <v>690</v>
      </c>
      <c r="AE506" s="28"/>
      <c r="AF506" s="29">
        <v>45873</v>
      </c>
      <c r="AG506" s="29"/>
    </row>
    <row r="507" spans="1:33" ht="15.75" customHeight="1">
      <c r="A507" s="32" t="s">
        <v>196</v>
      </c>
      <c r="B507" s="33">
        <v>512</v>
      </c>
      <c r="C507" s="34" t="s">
        <v>3429</v>
      </c>
      <c r="D507" s="35">
        <v>45869.389139432868</v>
      </c>
      <c r="E507" s="43">
        <v>45868</v>
      </c>
      <c r="F507" s="32" t="s">
        <v>3443</v>
      </c>
      <c r="G507" s="32" t="s">
        <v>3444</v>
      </c>
      <c r="H507" s="32" t="s">
        <v>3445</v>
      </c>
      <c r="I507" s="36" t="s">
        <v>3446</v>
      </c>
      <c r="J507" s="52"/>
      <c r="K507" s="32" t="s">
        <v>3447</v>
      </c>
      <c r="L507" s="32" t="s">
        <v>3448</v>
      </c>
      <c r="M507" s="32" t="s">
        <v>285</v>
      </c>
      <c r="N507" s="33">
        <v>5</v>
      </c>
      <c r="O507" s="35"/>
      <c r="P507" s="35"/>
      <c r="Q507" s="37"/>
      <c r="R507" s="38"/>
      <c r="S507" s="33"/>
      <c r="T507" s="39">
        <v>197000</v>
      </c>
      <c r="U507" s="40" t="s">
        <v>1229</v>
      </c>
      <c r="V507" s="41"/>
      <c r="W507" s="42" t="str">
        <f ca="1">IFERROR(__xludf.DUMMYFUNCTION("""COMPUTED_VALUE"""),"griya sehat")</f>
        <v>griya sehat</v>
      </c>
      <c r="X507" s="42" t="str">
        <f ca="1"/>
        <v>ON-griya sehat-00011900+5-6285378141823</v>
      </c>
      <c r="Y507" s="40" t="s">
        <v>62</v>
      </c>
      <c r="Z507" s="40" t="s">
        <v>639</v>
      </c>
      <c r="AA507" s="23" t="str">
        <v>https://wa.me/6285378141823</v>
      </c>
      <c r="AB507" s="28" t="s">
        <v>3449</v>
      </c>
      <c r="AC507" s="28"/>
      <c r="AD507" s="28" t="s">
        <v>690</v>
      </c>
      <c r="AE507" s="28"/>
      <c r="AF507" s="29">
        <v>45873</v>
      </c>
      <c r="AG507" s="29"/>
    </row>
    <row r="508" spans="1:33" ht="15.75" customHeight="1">
      <c r="A508" s="32" t="s">
        <v>196</v>
      </c>
      <c r="B508" s="33">
        <v>513</v>
      </c>
      <c r="C508" s="34" t="s">
        <v>3436</v>
      </c>
      <c r="D508" s="35">
        <v>46059</v>
      </c>
      <c r="E508" s="43">
        <v>45869</v>
      </c>
      <c r="F508" s="32" t="s">
        <v>3052</v>
      </c>
      <c r="G508" s="32" t="s">
        <v>3450</v>
      </c>
      <c r="H508" s="32" t="s">
        <v>3451</v>
      </c>
      <c r="I508" s="36" t="s">
        <v>3452</v>
      </c>
      <c r="J508" s="52"/>
      <c r="K508" s="32" t="s">
        <v>3453</v>
      </c>
      <c r="L508" s="32" t="s">
        <v>3454</v>
      </c>
      <c r="M508" s="32" t="s">
        <v>3455</v>
      </c>
      <c r="N508" s="33">
        <v>30</v>
      </c>
      <c r="O508" s="35"/>
      <c r="P508" s="35"/>
      <c r="Q508" s="37"/>
      <c r="R508" s="38">
        <v>-1003470351325</v>
      </c>
      <c r="S508" s="33"/>
      <c r="T508" s="39">
        <v>1000000</v>
      </c>
      <c r="U508" s="40" t="s">
        <v>115</v>
      </c>
      <c r="V508" s="47">
        <v>46059.494220011577</v>
      </c>
      <c r="W508" s="42" t="str">
        <f ca="1">IFERROR(__xludf.DUMMYFUNCTION("""COMPUTED_VALUE"""),"CV.BAGUS DAN")</f>
        <v>CV.BAGUS DAN</v>
      </c>
      <c r="X508" s="42" t="str">
        <f ca="1"/>
        <v>ON-CV.BAGUS DAN-06022026+30-6281357754513</v>
      </c>
      <c r="Y508" s="40" t="s">
        <v>62</v>
      </c>
      <c r="Z508" s="40" t="s">
        <v>1880</v>
      </c>
      <c r="AA508" s="23" t="str">
        <v>https://wa.me/6281357754513</v>
      </c>
      <c r="AB508" s="28" t="s">
        <v>3456</v>
      </c>
      <c r="AC508" s="28"/>
      <c r="AD508" s="28" t="s">
        <v>690</v>
      </c>
      <c r="AE508" s="28"/>
      <c r="AF508" s="29">
        <v>45873</v>
      </c>
      <c r="AG508" s="29"/>
    </row>
    <row r="509" spans="1:33" ht="15.75" customHeight="1">
      <c r="A509" s="32" t="s">
        <v>52</v>
      </c>
      <c r="B509" s="33">
        <v>514</v>
      </c>
      <c r="C509" s="34" t="s">
        <v>3457</v>
      </c>
      <c r="D509" s="35">
        <v>45869.414571226851</v>
      </c>
      <c r="E509" s="43">
        <v>45869</v>
      </c>
      <c r="F509" s="32" t="s">
        <v>1717</v>
      </c>
      <c r="G509" s="32" t="s">
        <v>1718</v>
      </c>
      <c r="H509" s="32" t="s">
        <v>1719</v>
      </c>
      <c r="I509" s="36" t="s">
        <v>1720</v>
      </c>
      <c r="J509" s="52" t="s">
        <v>1721</v>
      </c>
      <c r="K509" s="32" t="s">
        <v>1722</v>
      </c>
      <c r="L509" s="32" t="s">
        <v>1628</v>
      </c>
      <c r="M509" s="32" t="s">
        <v>382</v>
      </c>
      <c r="N509" s="33">
        <v>7</v>
      </c>
      <c r="O509" s="35"/>
      <c r="P509" s="35"/>
      <c r="Q509" s="37"/>
      <c r="R509" s="38"/>
      <c r="S509" s="33"/>
      <c r="T509" s="39">
        <v>297000</v>
      </c>
      <c r="U509" s="40" t="s">
        <v>115</v>
      </c>
      <c r="V509" s="41"/>
      <c r="W509" s="42" t="str">
        <f ca="1">IFERROR(__xludf.DUMMYFUNCTION("""COMPUTED_VALUE"""),"Gejayan Innova")</f>
        <v>Gejayan Innova</v>
      </c>
      <c r="X509" s="42" t="str">
        <f ca="1"/>
        <v>ON-Gejayan Innova-00011900+7-628562943274</v>
      </c>
      <c r="Y509" s="40"/>
      <c r="Z509" s="40"/>
      <c r="AA509" s="23" t="str">
        <v>https://wa.me/628562943274</v>
      </c>
      <c r="AB509" s="28"/>
      <c r="AC509" s="28"/>
      <c r="AD509" s="28"/>
      <c r="AE509" s="28"/>
      <c r="AF509" s="29"/>
      <c r="AG509" s="29"/>
    </row>
    <row r="510" spans="1:33" ht="15.75" customHeight="1">
      <c r="A510" s="32" t="s">
        <v>196</v>
      </c>
      <c r="B510" s="33">
        <v>515</v>
      </c>
      <c r="C510" s="34" t="s">
        <v>3458</v>
      </c>
      <c r="D510" s="33" t="s">
        <v>3459</v>
      </c>
      <c r="E510" s="43">
        <v>45869</v>
      </c>
      <c r="F510" s="32" t="s">
        <v>2419</v>
      </c>
      <c r="G510" s="32" t="s">
        <v>3460</v>
      </c>
      <c r="H510" s="32" t="s">
        <v>1711</v>
      </c>
      <c r="I510" s="36" t="s">
        <v>2421</v>
      </c>
      <c r="J510" s="52"/>
      <c r="K510" s="32" t="s">
        <v>3461</v>
      </c>
      <c r="L510" s="32" t="s">
        <v>3462</v>
      </c>
      <c r="M510" s="32" t="s">
        <v>1080</v>
      </c>
      <c r="N510" s="33">
        <v>5</v>
      </c>
      <c r="O510" s="35"/>
      <c r="P510" s="35"/>
      <c r="Q510" s="37"/>
      <c r="R510" s="38">
        <v>-1003470351325</v>
      </c>
      <c r="S510" s="33"/>
      <c r="T510" s="39">
        <v>197000</v>
      </c>
      <c r="U510" s="40" t="s">
        <v>115</v>
      </c>
      <c r="V510" s="47">
        <v>45993.597997233795</v>
      </c>
      <c r="W510" s="42" t="str">
        <f ca="1">IFERROR(__xludf.DUMMYFUNCTION("""COMPUTED_VALUE"""),"BEKAM ZAYTUN")</f>
        <v>BEKAM ZAYTUN</v>
      </c>
      <c r="X510" s="42" t="str">
        <f ca="1"/>
        <v>ON-BEKAM ZAYTUN-02122025+5-6283865096870</v>
      </c>
      <c r="Y510" s="40" t="s">
        <v>62</v>
      </c>
      <c r="Z510" s="40" t="s">
        <v>639</v>
      </c>
      <c r="AA510" s="23" t="str">
        <v>https://wa.me/6283865096870</v>
      </c>
      <c r="AB510" s="28" t="s">
        <v>3463</v>
      </c>
      <c r="AC510" s="28"/>
      <c r="AD510" s="28" t="s">
        <v>690</v>
      </c>
      <c r="AE510" s="28"/>
      <c r="AF510" s="29">
        <v>45873</v>
      </c>
      <c r="AG510" s="29"/>
    </row>
    <row r="511" spans="1:33" ht="15.75" customHeight="1">
      <c r="A511" s="32" t="s">
        <v>196</v>
      </c>
      <c r="B511" s="33">
        <v>515</v>
      </c>
      <c r="C511" s="34" t="s">
        <v>3458</v>
      </c>
      <c r="D511" s="35">
        <v>45869.511346273153</v>
      </c>
      <c r="E511" s="43">
        <v>45869</v>
      </c>
      <c r="F511" s="32" t="s">
        <v>3464</v>
      </c>
      <c r="G511" s="32" t="s">
        <v>3465</v>
      </c>
      <c r="H511" s="32" t="s">
        <v>3466</v>
      </c>
      <c r="I511" s="36" t="s">
        <v>3467</v>
      </c>
      <c r="J511" s="52"/>
      <c r="K511" s="32" t="s">
        <v>570</v>
      </c>
      <c r="L511" s="32" t="s">
        <v>679</v>
      </c>
      <c r="M511" s="32" t="s">
        <v>60</v>
      </c>
      <c r="N511" s="33">
        <v>7</v>
      </c>
      <c r="O511" s="35"/>
      <c r="P511" s="35"/>
      <c r="Q511" s="37"/>
      <c r="R511" s="38"/>
      <c r="S511" s="33"/>
      <c r="T511" s="39">
        <v>297000</v>
      </c>
      <c r="U511" s="40" t="s">
        <v>61</v>
      </c>
      <c r="V511" s="41"/>
      <c r="W511" s="42" t="str">
        <f ca="1">IFERROR(__xludf.DUMMYFUNCTION("""COMPUTED_VALUE"""),"Jibran Holiday")</f>
        <v>Jibran Holiday</v>
      </c>
      <c r="X511" s="42" t="str">
        <f ca="1"/>
        <v>ON-Jibran Holiday-00011900+7-6285920572002</v>
      </c>
      <c r="Y511" s="40" t="s">
        <v>62</v>
      </c>
      <c r="Z511" s="40" t="s">
        <v>1880</v>
      </c>
      <c r="AA511" s="23" t="str">
        <v>https://wa.me/6285920572002</v>
      </c>
      <c r="AB511" s="28" t="s">
        <v>3468</v>
      </c>
      <c r="AC511" s="28"/>
      <c r="AD511" s="28" t="s">
        <v>690</v>
      </c>
      <c r="AE511" s="28"/>
      <c r="AF511" s="29">
        <v>45872</v>
      </c>
      <c r="AG511" s="29"/>
    </row>
    <row r="512" spans="1:33" ht="15.75" customHeight="1">
      <c r="A512" s="32" t="s">
        <v>196</v>
      </c>
      <c r="B512" s="33">
        <v>516</v>
      </c>
      <c r="C512" s="34" t="s">
        <v>3469</v>
      </c>
      <c r="D512" s="35">
        <v>45869.569131666663</v>
      </c>
      <c r="E512" s="43">
        <v>45869</v>
      </c>
      <c r="F512" s="32" t="s">
        <v>3470</v>
      </c>
      <c r="G512" s="32" t="s">
        <v>3471</v>
      </c>
      <c r="H512" s="32" t="s">
        <v>3472</v>
      </c>
      <c r="I512" s="36" t="s">
        <v>3473</v>
      </c>
      <c r="J512" s="52"/>
      <c r="K512" s="32" t="s">
        <v>3474</v>
      </c>
      <c r="L512" s="32" t="s">
        <v>2995</v>
      </c>
      <c r="M512" s="32" t="s">
        <v>60</v>
      </c>
      <c r="N512" s="33">
        <v>5</v>
      </c>
      <c r="O512" s="35">
        <v>45872</v>
      </c>
      <c r="P512" s="35">
        <v>45877</v>
      </c>
      <c r="Q512" s="37"/>
      <c r="R512" s="38"/>
      <c r="S512" s="33"/>
      <c r="T512" s="39">
        <v>197000</v>
      </c>
      <c r="U512" s="40" t="s">
        <v>61</v>
      </c>
      <c r="V512" s="41"/>
      <c r="W512" s="42" t="str">
        <f ca="1">IFERROR(__xludf.DUMMYFUNCTION("""COMPUTED_VALUE"""),"Terapi Saraf")</f>
        <v>Terapi Saraf</v>
      </c>
      <c r="X512" s="42" t="str">
        <f ca="1"/>
        <v>ON-Terapi Saraf-00011900+5-6281326757091</v>
      </c>
      <c r="Y512" s="40" t="s">
        <v>62</v>
      </c>
      <c r="Z512" s="40" t="s">
        <v>639</v>
      </c>
      <c r="AA512" s="23" t="str">
        <v>https://wa.me/6281326757091</v>
      </c>
      <c r="AB512" s="28" t="s">
        <v>3475</v>
      </c>
      <c r="AC512" s="28"/>
      <c r="AD512" s="28" t="s">
        <v>690</v>
      </c>
      <c r="AE512" s="28"/>
      <c r="AF512" s="29">
        <v>45873</v>
      </c>
      <c r="AG512" s="29"/>
    </row>
    <row r="513" spans="1:33" ht="15.75" customHeight="1">
      <c r="A513" s="32" t="s">
        <v>196</v>
      </c>
      <c r="B513" s="33">
        <v>517</v>
      </c>
      <c r="C513" s="34" t="s">
        <v>3476</v>
      </c>
      <c r="D513" s="35">
        <v>45869.581863472224</v>
      </c>
      <c r="E513" s="43">
        <v>45869</v>
      </c>
      <c r="F513" s="32" t="s">
        <v>3477</v>
      </c>
      <c r="G513" s="32" t="s">
        <v>3478</v>
      </c>
      <c r="H513" s="32" t="s">
        <v>3479</v>
      </c>
      <c r="I513" s="36" t="s">
        <v>3480</v>
      </c>
      <c r="J513" s="52"/>
      <c r="K513" s="32" t="s">
        <v>247</v>
      </c>
      <c r="L513" s="32" t="s">
        <v>3462</v>
      </c>
      <c r="M513" s="32" t="s">
        <v>285</v>
      </c>
      <c r="N513" s="33">
        <v>5</v>
      </c>
      <c r="O513" s="35">
        <v>45872</v>
      </c>
      <c r="P513" s="35"/>
      <c r="Q513" s="37"/>
      <c r="R513" s="38"/>
      <c r="S513" s="33"/>
      <c r="T513" s="39">
        <v>150000</v>
      </c>
      <c r="U513" s="40" t="s">
        <v>1229</v>
      </c>
      <c r="V513" s="41"/>
      <c r="W513" s="42" t="str">
        <f ca="1">IFERROR(__xludf.DUMMYFUNCTION("""COMPUTED_VALUE"""),"pijat refleksi")</f>
        <v>pijat refleksi</v>
      </c>
      <c r="X513" s="42" t="str">
        <f ca="1"/>
        <v>ON-pijat refleksi-00011900+5-6285780314346</v>
      </c>
      <c r="Y513" s="40" t="s">
        <v>62</v>
      </c>
      <c r="Z513" s="40" t="s">
        <v>639</v>
      </c>
      <c r="AA513" s="23" t="str">
        <v>https://wa.me/6285780314346</v>
      </c>
      <c r="AB513" s="28" t="s">
        <v>3481</v>
      </c>
      <c r="AC513" s="28"/>
      <c r="AD513" s="28" t="s">
        <v>690</v>
      </c>
      <c r="AE513" s="28"/>
      <c r="AF513" s="29"/>
      <c r="AG513" s="29"/>
    </row>
    <row r="514" spans="1:33" ht="15.75" customHeight="1">
      <c r="A514" s="32" t="s">
        <v>196</v>
      </c>
      <c r="B514" s="33">
        <v>518</v>
      </c>
      <c r="C514" s="34" t="s">
        <v>3482</v>
      </c>
      <c r="D514" s="35">
        <v>45869.680241458336</v>
      </c>
      <c r="E514" s="43">
        <v>45869</v>
      </c>
      <c r="F514" s="32" t="s">
        <v>3483</v>
      </c>
      <c r="G514" s="32" t="s">
        <v>3484</v>
      </c>
      <c r="H514" s="32" t="s">
        <v>3485</v>
      </c>
      <c r="I514" s="36" t="s">
        <v>3486</v>
      </c>
      <c r="J514" s="52"/>
      <c r="K514" s="32" t="s">
        <v>570</v>
      </c>
      <c r="L514" s="32" t="s">
        <v>2468</v>
      </c>
      <c r="M514" s="32" t="s">
        <v>60</v>
      </c>
      <c r="N514" s="33">
        <v>5</v>
      </c>
      <c r="O514" s="35"/>
      <c r="P514" s="35"/>
      <c r="Q514" s="37"/>
      <c r="R514" s="38"/>
      <c r="S514" s="33"/>
      <c r="T514" s="39">
        <v>197000</v>
      </c>
      <c r="U514" s="40" t="s">
        <v>61</v>
      </c>
      <c r="V514" s="41"/>
      <c r="W514" s="42" t="str">
        <f ca="1">IFERROR(__xludf.DUMMYFUNCTION("""COMPUTED_VALUE"""),"Zam Zam")</f>
        <v>Zam Zam</v>
      </c>
      <c r="X514" s="42" t="str">
        <f ca="1"/>
        <v>ON-Zam Zam-00011900+5-6285946504405</v>
      </c>
      <c r="Y514" s="40" t="s">
        <v>62</v>
      </c>
      <c r="Z514" s="40" t="s">
        <v>1880</v>
      </c>
      <c r="AA514" s="23" t="str">
        <v>https://wa.me/6285946504405</v>
      </c>
      <c r="AB514" s="28" t="s">
        <v>3487</v>
      </c>
      <c r="AC514" s="28"/>
      <c r="AD514" s="28" t="s">
        <v>690</v>
      </c>
      <c r="AE514" s="28"/>
      <c r="AF514" s="29">
        <v>45873</v>
      </c>
      <c r="AG514" s="29"/>
    </row>
    <row r="515" spans="1:33" ht="15.75" customHeight="1">
      <c r="A515" s="32" t="s">
        <v>196</v>
      </c>
      <c r="B515" s="33">
        <v>518</v>
      </c>
      <c r="C515" s="34" t="s">
        <v>3482</v>
      </c>
      <c r="D515" s="35">
        <v>45870.584691307871</v>
      </c>
      <c r="E515" s="43">
        <v>45870</v>
      </c>
      <c r="F515" s="32" t="s">
        <v>3488</v>
      </c>
      <c r="G515" s="32" t="s">
        <v>3489</v>
      </c>
      <c r="H515" s="32" t="s">
        <v>3490</v>
      </c>
      <c r="I515" s="36" t="s">
        <v>3491</v>
      </c>
      <c r="J515" s="52"/>
      <c r="K515" s="32" t="s">
        <v>3492</v>
      </c>
      <c r="L515" s="32" t="s">
        <v>166</v>
      </c>
      <c r="M515" s="32" t="s">
        <v>60</v>
      </c>
      <c r="N515" s="33">
        <v>5</v>
      </c>
      <c r="O515" s="35"/>
      <c r="P515" s="35"/>
      <c r="Q515" s="37"/>
      <c r="R515" s="38"/>
      <c r="S515" s="33"/>
      <c r="T515" s="39">
        <v>197000</v>
      </c>
      <c r="U515" s="40" t="s">
        <v>61</v>
      </c>
      <c r="V515" s="41"/>
      <c r="W515" s="42" t="str">
        <f ca="1">IFERROR(__xludf.DUMMYFUNCTION("""COMPUTED_VALUE"""),"Gelatopedia")</f>
        <v>Gelatopedia</v>
      </c>
      <c r="X515" s="42" t="str">
        <f ca="1"/>
        <v>ON-Gelatopedia-00011900+5-6285214612372</v>
      </c>
      <c r="Y515" s="40" t="s">
        <v>62</v>
      </c>
      <c r="Z515" s="40" t="s">
        <v>1861</v>
      </c>
      <c r="AA515" s="23" t="str">
        <v>https://wa.me/6285214612372</v>
      </c>
      <c r="AB515" s="28" t="s">
        <v>3493</v>
      </c>
      <c r="AC515" s="28"/>
      <c r="AD515" s="28" t="s">
        <v>690</v>
      </c>
      <c r="AE515" s="28"/>
      <c r="AF515" s="29">
        <v>45898</v>
      </c>
      <c r="AG515" s="29"/>
    </row>
    <row r="516" spans="1:33" ht="15.75" customHeight="1">
      <c r="A516" s="32" t="s">
        <v>52</v>
      </c>
      <c r="B516" s="33">
        <v>524</v>
      </c>
      <c r="C516" s="34" t="s">
        <v>3494</v>
      </c>
      <c r="D516" s="35">
        <v>45870.694662349539</v>
      </c>
      <c r="E516" s="33" t="s">
        <v>3495</v>
      </c>
      <c r="F516" s="32" t="s">
        <v>3496</v>
      </c>
      <c r="G516" s="32" t="s">
        <v>3497</v>
      </c>
      <c r="H516" s="32" t="s">
        <v>1030</v>
      </c>
      <c r="I516" s="36" t="s">
        <v>3498</v>
      </c>
      <c r="J516" s="52" t="s">
        <v>2161</v>
      </c>
      <c r="K516" s="32" t="s">
        <v>3499</v>
      </c>
      <c r="L516" s="32" t="s">
        <v>77</v>
      </c>
      <c r="M516" s="32" t="s">
        <v>249</v>
      </c>
      <c r="N516" s="33">
        <v>5</v>
      </c>
      <c r="O516" s="35"/>
      <c r="P516" s="35"/>
      <c r="Q516" s="37"/>
      <c r="R516" s="38"/>
      <c r="S516" s="33"/>
      <c r="T516" s="39">
        <v>197000</v>
      </c>
      <c r="U516" s="40" t="s">
        <v>1774</v>
      </c>
      <c r="V516" s="41"/>
      <c r="W516" s="42" t="str">
        <f ca="1">IFERROR(__xludf.DUMMYFUNCTION("""COMPUTED_VALUE"""),"Rumah Terapi")</f>
        <v>Rumah Terapi</v>
      </c>
      <c r="X516" s="42" t="str">
        <f ca="1"/>
        <v>ON-Rumah Terapi-00011900+5-6282245454940</v>
      </c>
      <c r="Y516" s="40"/>
      <c r="Z516" s="40"/>
      <c r="AA516" s="23" t="str">
        <v>https://wa.me/6282245454940</v>
      </c>
      <c r="AB516" s="28"/>
      <c r="AC516" s="28"/>
      <c r="AD516" s="28"/>
      <c r="AE516" s="28"/>
      <c r="AF516" s="29"/>
      <c r="AG516" s="29"/>
    </row>
    <row r="517" spans="1:33" ht="15.75" customHeight="1">
      <c r="A517" s="32" t="s">
        <v>196</v>
      </c>
      <c r="B517" s="33">
        <v>525</v>
      </c>
      <c r="C517" s="34" t="s">
        <v>3500</v>
      </c>
      <c r="D517" s="33" t="s">
        <v>3501</v>
      </c>
      <c r="E517" s="58">
        <v>45870</v>
      </c>
      <c r="F517" s="32" t="s">
        <v>3502</v>
      </c>
      <c r="G517" s="32" t="s">
        <v>3503</v>
      </c>
      <c r="H517" s="32" t="s">
        <v>3504</v>
      </c>
      <c r="I517" s="36" t="s">
        <v>3505</v>
      </c>
      <c r="J517" s="52"/>
      <c r="K517" s="32" t="s">
        <v>3506</v>
      </c>
      <c r="L517" s="32" t="s">
        <v>2865</v>
      </c>
      <c r="M517" s="32" t="s">
        <v>60</v>
      </c>
      <c r="N517" s="33">
        <v>14</v>
      </c>
      <c r="O517" s="35">
        <v>46023</v>
      </c>
      <c r="P517" s="35">
        <v>46036</v>
      </c>
      <c r="Q517" s="37"/>
      <c r="R517" s="38">
        <v>-1003470351325</v>
      </c>
      <c r="S517" s="33"/>
      <c r="T517" s="39">
        <v>550000</v>
      </c>
      <c r="U517" s="40" t="s">
        <v>61</v>
      </c>
      <c r="V517" s="47">
        <v>46022.394987835651</v>
      </c>
      <c r="W517" s="42" t="str">
        <f ca="1">IFERROR(__xludf.DUMMYFUNCTION("""COMPUTED_VALUE"""),"Jannah Interior")</f>
        <v>Jannah Interior</v>
      </c>
      <c r="X517" s="42" t="str">
        <f ca="1"/>
        <v>ON-Jannah Interior-31122025+14-6285767074516</v>
      </c>
      <c r="Y517" s="40" t="s">
        <v>293</v>
      </c>
      <c r="Z517" s="40" t="s">
        <v>1057</v>
      </c>
      <c r="AA517" s="23" t="str">
        <v>https://wa.me/6285767074516</v>
      </c>
      <c r="AB517" s="28" t="s">
        <v>3507</v>
      </c>
      <c r="AC517" s="28"/>
      <c r="AD517" s="28" t="s">
        <v>690</v>
      </c>
      <c r="AE517" s="28"/>
      <c r="AF517" s="29">
        <v>45873</v>
      </c>
      <c r="AG517" s="29"/>
    </row>
    <row r="518" spans="1:33" ht="15.75" customHeight="1">
      <c r="A518" s="32" t="s">
        <v>196</v>
      </c>
      <c r="B518" s="33">
        <v>526</v>
      </c>
      <c r="C518" s="34" t="s">
        <v>3508</v>
      </c>
      <c r="D518" s="35">
        <v>45870.726632280093</v>
      </c>
      <c r="E518" s="58">
        <v>45870</v>
      </c>
      <c r="F518" s="32" t="s">
        <v>3509</v>
      </c>
      <c r="G518" s="32" t="s">
        <v>3510</v>
      </c>
      <c r="H518" s="32" t="s">
        <v>3511</v>
      </c>
      <c r="I518" s="36" t="s">
        <v>3512</v>
      </c>
      <c r="J518" s="52"/>
      <c r="K518" s="32" t="s">
        <v>3513</v>
      </c>
      <c r="L518" s="32" t="s">
        <v>2468</v>
      </c>
      <c r="M518" s="32" t="s">
        <v>60</v>
      </c>
      <c r="N518" s="33">
        <v>5</v>
      </c>
      <c r="O518" s="35"/>
      <c r="P518" s="35"/>
      <c r="Q518" s="37"/>
      <c r="R518" s="38"/>
      <c r="S518" s="33"/>
      <c r="T518" s="39">
        <v>197000</v>
      </c>
      <c r="U518" s="40" t="s">
        <v>61</v>
      </c>
      <c r="V518" s="41"/>
      <c r="W518" s="42" t="str">
        <f ca="1">IFERROR(__xludf.DUMMYFUNCTION("""COMPUTED_VALUE"""),"Tuti Tour")</f>
        <v>Tuti Tour</v>
      </c>
      <c r="X518" s="42" t="str">
        <f ca="1"/>
        <v>ON-Tuti Tour-00011900+5-6282241824727</v>
      </c>
      <c r="Y518" s="40" t="s">
        <v>62</v>
      </c>
      <c r="Z518" s="40" t="s">
        <v>1880</v>
      </c>
      <c r="AA518" s="23" t="str">
        <v>https://wa.me/6282241824727</v>
      </c>
      <c r="AB518" s="28" t="s">
        <v>3514</v>
      </c>
      <c r="AC518" s="28"/>
      <c r="AD518" s="28" t="s">
        <v>690</v>
      </c>
      <c r="AE518" s="28"/>
      <c r="AF518" s="29">
        <v>45873</v>
      </c>
      <c r="AG518" s="29"/>
    </row>
    <row r="519" spans="1:33" ht="15.75" customHeight="1">
      <c r="A519" s="32" t="s">
        <v>196</v>
      </c>
      <c r="B519" s="33">
        <v>527</v>
      </c>
      <c r="C519" s="34" t="s">
        <v>3515</v>
      </c>
      <c r="D519" s="35">
        <v>45870.800807349537</v>
      </c>
      <c r="E519" s="58">
        <v>45870</v>
      </c>
      <c r="F519" s="32" t="s">
        <v>3516</v>
      </c>
      <c r="G519" s="32" t="s">
        <v>3517</v>
      </c>
      <c r="H519" s="32" t="s">
        <v>3518</v>
      </c>
      <c r="I519" s="36" t="s">
        <v>3519</v>
      </c>
      <c r="J519" s="52"/>
      <c r="K519" s="32" t="s">
        <v>3520</v>
      </c>
      <c r="L519" s="32" t="s">
        <v>3521</v>
      </c>
      <c r="M519" s="32" t="s">
        <v>1534</v>
      </c>
      <c r="N519" s="33">
        <v>5</v>
      </c>
      <c r="O519" s="35"/>
      <c r="P519" s="35"/>
      <c r="Q519" s="37"/>
      <c r="R519" s="38"/>
      <c r="S519" s="33"/>
      <c r="T519" s="39">
        <v>150000</v>
      </c>
      <c r="U519" s="40" t="s">
        <v>1229</v>
      </c>
      <c r="V519" s="41"/>
      <c r="W519" s="42" t="str">
        <f ca="1">IFERROR(__xludf.DUMMYFUNCTION("""COMPUTED_VALUE"""),"Rumah Sehat")</f>
        <v>Rumah Sehat</v>
      </c>
      <c r="X519" s="42" t="str">
        <f ca="1"/>
        <v>ON-Rumah Sehat-00011900+5-6285244535934</v>
      </c>
      <c r="Y519" s="40" t="s">
        <v>62</v>
      </c>
      <c r="Z519" s="40" t="s">
        <v>639</v>
      </c>
      <c r="AA519" s="23" t="str">
        <v>https://wa.me/6285244535934</v>
      </c>
      <c r="AB519" s="28" t="s">
        <v>3522</v>
      </c>
      <c r="AC519" s="28"/>
      <c r="AD519" s="28" t="s">
        <v>690</v>
      </c>
      <c r="AE519" s="28"/>
      <c r="AF519" s="29">
        <v>45873</v>
      </c>
      <c r="AG519" s="29"/>
    </row>
    <row r="520" spans="1:33" ht="15.75" customHeight="1">
      <c r="A520" s="32" t="s">
        <v>196</v>
      </c>
      <c r="B520" s="33">
        <v>528</v>
      </c>
      <c r="C520" s="34" t="s">
        <v>3523</v>
      </c>
      <c r="D520" s="35">
        <v>45870.895961261573</v>
      </c>
      <c r="E520" s="58">
        <v>45870</v>
      </c>
      <c r="F520" s="32" t="s">
        <v>3524</v>
      </c>
      <c r="G520" s="32" t="s">
        <v>3525</v>
      </c>
      <c r="H520" s="32" t="s">
        <v>3526</v>
      </c>
      <c r="I520" s="36" t="s">
        <v>3527</v>
      </c>
      <c r="J520" s="52"/>
      <c r="K520" s="32" t="s">
        <v>3528</v>
      </c>
      <c r="L520" s="32" t="s">
        <v>817</v>
      </c>
      <c r="M520" s="32" t="s">
        <v>60</v>
      </c>
      <c r="N520" s="33">
        <v>10</v>
      </c>
      <c r="O520" s="35"/>
      <c r="P520" s="35"/>
      <c r="Q520" s="37"/>
      <c r="R520" s="38"/>
      <c r="S520" s="33"/>
      <c r="T520" s="39">
        <v>375000</v>
      </c>
      <c r="U520" s="40" t="s">
        <v>61</v>
      </c>
      <c r="V520" s="41"/>
      <c r="W520" s="42" t="str">
        <f ca="1">IFERROR(__xludf.DUMMYFUNCTION("""COMPUTED_VALUE"""),"DA'2 BODY")</f>
        <v>DA'2 BODY</v>
      </c>
      <c r="X520" s="42" t="str">
        <f ca="1"/>
        <v>ON-DA'2 BODY-00011900+10-6287721853921</v>
      </c>
      <c r="Y520" s="40" t="s">
        <v>62</v>
      </c>
      <c r="Z520" s="40" t="s">
        <v>294</v>
      </c>
      <c r="AA520" s="23" t="str">
        <v>https://wa.me/6287721853921</v>
      </c>
      <c r="AB520" s="28" t="s">
        <v>3529</v>
      </c>
      <c r="AC520" s="28"/>
      <c r="AD520" s="28" t="s">
        <v>690</v>
      </c>
      <c r="AE520" s="28"/>
      <c r="AF520" s="29">
        <v>45873</v>
      </c>
      <c r="AG520" s="29"/>
    </row>
    <row r="521" spans="1:33" ht="15.75" customHeight="1">
      <c r="A521" s="32" t="s">
        <v>52</v>
      </c>
      <c r="B521" s="33">
        <v>529</v>
      </c>
      <c r="C521" s="34" t="s">
        <v>3530</v>
      </c>
      <c r="D521" s="35">
        <v>45871.322960486112</v>
      </c>
      <c r="E521" s="58">
        <v>45871</v>
      </c>
      <c r="F521" s="32" t="s">
        <v>3036</v>
      </c>
      <c r="G521" s="32" t="s">
        <v>3037</v>
      </c>
      <c r="H521" s="32" t="s">
        <v>3038</v>
      </c>
      <c r="I521" s="36" t="s">
        <v>3039</v>
      </c>
      <c r="J521" s="52" t="s">
        <v>3040</v>
      </c>
      <c r="K521" s="32" t="s">
        <v>3041</v>
      </c>
      <c r="L521" s="32" t="s">
        <v>1628</v>
      </c>
      <c r="M521" s="32" t="s">
        <v>382</v>
      </c>
      <c r="N521" s="33">
        <v>10</v>
      </c>
      <c r="O521" s="35"/>
      <c r="P521" s="35"/>
      <c r="Q521" s="37"/>
      <c r="R521" s="38"/>
      <c r="S521" s="33"/>
      <c r="T521" s="39">
        <v>375000</v>
      </c>
      <c r="U521" s="40" t="s">
        <v>115</v>
      </c>
      <c r="V521" s="41"/>
      <c r="W521" s="42" t="str">
        <f ca="1">IFERROR(__xludf.DUMMYFUNCTION("""COMPUTED_VALUE"""),"KHARISMA JAYA")</f>
        <v>KHARISMA JAYA</v>
      </c>
      <c r="X521" s="42" t="str">
        <f ca="1"/>
        <v>ON-KHARISMA JAYA-00011900+10-6287790276733</v>
      </c>
      <c r="Y521" s="40"/>
      <c r="Z521" s="40"/>
      <c r="AA521" s="23" t="str">
        <v>https://wa.me/6287790276733</v>
      </c>
      <c r="AB521" s="28"/>
      <c r="AC521" s="28"/>
      <c r="AD521" s="28"/>
      <c r="AE521" s="28"/>
      <c r="AF521" s="29"/>
      <c r="AG521" s="29"/>
    </row>
    <row r="522" spans="1:33" ht="15.75" customHeight="1">
      <c r="A522" s="32" t="s">
        <v>196</v>
      </c>
      <c r="B522" s="33">
        <v>530</v>
      </c>
      <c r="C522" s="34" t="s">
        <v>3531</v>
      </c>
      <c r="D522" s="35">
        <v>45871.363786851856</v>
      </c>
      <c r="E522" s="33" t="s">
        <v>3532</v>
      </c>
      <c r="F522" s="32" t="s">
        <v>3533</v>
      </c>
      <c r="G522" s="32" t="s">
        <v>3534</v>
      </c>
      <c r="H522" s="32" t="s">
        <v>3535</v>
      </c>
      <c r="I522" s="36" t="s">
        <v>3536</v>
      </c>
      <c r="J522" s="52"/>
      <c r="K522" s="32" t="s">
        <v>3537</v>
      </c>
      <c r="L522" s="32" t="s">
        <v>3538</v>
      </c>
      <c r="M522" s="32" t="s">
        <v>382</v>
      </c>
      <c r="N522" s="33">
        <v>10</v>
      </c>
      <c r="O522" s="35"/>
      <c r="P522" s="35"/>
      <c r="Q522" s="37"/>
      <c r="R522" s="38"/>
      <c r="S522" s="33"/>
      <c r="T522" s="39">
        <v>375000</v>
      </c>
      <c r="U522" s="40" t="s">
        <v>115</v>
      </c>
      <c r="V522" s="41"/>
      <c r="W522" s="42" t="str">
        <f ca="1">IFERROR(__xludf.DUMMYFUNCTION("""COMPUTED_VALUE"""),"KHARISMA AUTO")</f>
        <v>KHARISMA AUTO</v>
      </c>
      <c r="X522" s="42" t="str">
        <f ca="1"/>
        <v>ON-KHARISMA AUTO-00011900+10-6282129364133</v>
      </c>
      <c r="Y522" s="40" t="s">
        <v>62</v>
      </c>
      <c r="Z522" s="40" t="s">
        <v>294</v>
      </c>
      <c r="AA522" s="23" t="str">
        <v>https://wa.me/6282129364133</v>
      </c>
      <c r="AB522" s="28" t="s">
        <v>3539</v>
      </c>
      <c r="AC522" s="28"/>
      <c r="AD522" s="28" t="s">
        <v>690</v>
      </c>
      <c r="AE522" s="28"/>
      <c r="AF522" s="29">
        <v>45874</v>
      </c>
      <c r="AG522" s="29"/>
    </row>
    <row r="523" spans="1:33" ht="15.75" customHeight="1">
      <c r="A523" s="32" t="s">
        <v>196</v>
      </c>
      <c r="B523" s="33">
        <v>529</v>
      </c>
      <c r="C523" s="34" t="s">
        <v>3530</v>
      </c>
      <c r="D523" s="35">
        <v>45871.586269907406</v>
      </c>
      <c r="E523" s="43">
        <v>45871</v>
      </c>
      <c r="F523" s="32" t="s">
        <v>3540</v>
      </c>
      <c r="G523" s="32" t="s">
        <v>3541</v>
      </c>
      <c r="H523" s="32" t="s">
        <v>3542</v>
      </c>
      <c r="I523" s="36" t="s">
        <v>3543</v>
      </c>
      <c r="J523" s="52"/>
      <c r="K523" s="32" t="s">
        <v>3544</v>
      </c>
      <c r="L523" s="32" t="s">
        <v>3545</v>
      </c>
      <c r="M523" s="32" t="s">
        <v>60</v>
      </c>
      <c r="N523" s="33">
        <v>5</v>
      </c>
      <c r="O523" s="35">
        <v>45884</v>
      </c>
      <c r="P523" s="35">
        <v>45889</v>
      </c>
      <c r="Q523" s="37"/>
      <c r="R523" s="38"/>
      <c r="S523" s="33"/>
      <c r="T523" s="39">
        <v>197000</v>
      </c>
      <c r="U523" s="40" t="s">
        <v>61</v>
      </c>
      <c r="V523" s="41"/>
      <c r="W523" s="42" t="str">
        <f ca="1">IFERROR(__xludf.DUMMYFUNCTION("""COMPUTED_VALUE"""),"Jom Liburan")</f>
        <v>Jom Liburan</v>
      </c>
      <c r="X523" s="42" t="str">
        <f ca="1"/>
        <v>ON-Jom Liburan-00011900+5-6287864812126</v>
      </c>
      <c r="Y523" s="40" t="s">
        <v>62</v>
      </c>
      <c r="Z523" s="40" t="s">
        <v>1880</v>
      </c>
      <c r="AA523" s="23" t="str">
        <v>https://wa.me/6287864812126</v>
      </c>
      <c r="AB523" s="28" t="s">
        <v>3546</v>
      </c>
      <c r="AC523" s="28"/>
      <c r="AD523" s="28" t="s">
        <v>690</v>
      </c>
      <c r="AE523" s="28"/>
      <c r="AF523" s="29">
        <v>45884</v>
      </c>
      <c r="AG523" s="29"/>
    </row>
    <row r="524" spans="1:33" ht="15.75" customHeight="1">
      <c r="A524" s="32" t="s">
        <v>196</v>
      </c>
      <c r="B524" s="33">
        <v>530</v>
      </c>
      <c r="C524" s="34" t="s">
        <v>3531</v>
      </c>
      <c r="D524" s="35">
        <v>45871.588691157405</v>
      </c>
      <c r="E524" s="43">
        <v>45871</v>
      </c>
      <c r="F524" s="32" t="s">
        <v>3547</v>
      </c>
      <c r="G524" s="32" t="s">
        <v>3548</v>
      </c>
      <c r="H524" s="32" t="s">
        <v>2248</v>
      </c>
      <c r="I524" s="36" t="s">
        <v>3549</v>
      </c>
      <c r="J524" s="52"/>
      <c r="K524" s="32" t="s">
        <v>3550</v>
      </c>
      <c r="L524" s="32" t="s">
        <v>92</v>
      </c>
      <c r="M524" s="32" t="s">
        <v>60</v>
      </c>
      <c r="N524" s="33">
        <v>7</v>
      </c>
      <c r="O524" s="35"/>
      <c r="P524" s="35"/>
      <c r="Q524" s="37"/>
      <c r="R524" s="38"/>
      <c r="S524" s="33"/>
      <c r="T524" s="39">
        <v>297000</v>
      </c>
      <c r="U524" s="40" t="s">
        <v>61</v>
      </c>
      <c r="V524" s="41"/>
      <c r="W524" s="42" t="str">
        <f ca="1">IFERROR(__xludf.DUMMYFUNCTION("""COMPUTED_VALUE"""),"PT Kirana")</f>
        <v>PT Kirana</v>
      </c>
      <c r="X524" s="42" t="str">
        <f ca="1"/>
        <v>ON-PT Kirana-00011900+7-6281363504410</v>
      </c>
      <c r="Y524" s="40" t="s">
        <v>62</v>
      </c>
      <c r="Z524" s="40" t="s">
        <v>1880</v>
      </c>
      <c r="AA524" s="23" t="str">
        <v>https://wa.me/6281363504410</v>
      </c>
      <c r="AB524" s="28" t="s">
        <v>3551</v>
      </c>
      <c r="AC524" s="28"/>
      <c r="AD524" s="28" t="s">
        <v>690</v>
      </c>
      <c r="AE524" s="28"/>
      <c r="AF524" s="29">
        <v>45874</v>
      </c>
      <c r="AG524" s="29"/>
    </row>
    <row r="525" spans="1:33" ht="15.75" customHeight="1">
      <c r="A525" s="32" t="s">
        <v>196</v>
      </c>
      <c r="B525" s="33">
        <v>531</v>
      </c>
      <c r="C525" s="34" t="s">
        <v>3552</v>
      </c>
      <c r="D525" s="35">
        <v>45871.603067615739</v>
      </c>
      <c r="E525" s="43">
        <v>45871</v>
      </c>
      <c r="F525" s="32" t="s">
        <v>3553</v>
      </c>
      <c r="G525" s="32" t="s">
        <v>3554</v>
      </c>
      <c r="H525" s="32" t="s">
        <v>3555</v>
      </c>
      <c r="I525" s="36" t="s">
        <v>3556</v>
      </c>
      <c r="J525" s="52"/>
      <c r="K525" s="32" t="s">
        <v>3557</v>
      </c>
      <c r="L525" s="32" t="s">
        <v>3558</v>
      </c>
      <c r="M525" s="32" t="s">
        <v>249</v>
      </c>
      <c r="N525" s="33">
        <v>14</v>
      </c>
      <c r="O525" s="35"/>
      <c r="P525" s="35"/>
      <c r="Q525" s="37"/>
      <c r="R525" s="38"/>
      <c r="S525" s="33"/>
      <c r="T525" s="39">
        <v>550000</v>
      </c>
      <c r="U525" s="40" t="s">
        <v>1774</v>
      </c>
      <c r="V525" s="41"/>
      <c r="W525" s="42" t="str">
        <f ca="1">IFERROR(__xludf.DUMMYFUNCTION("""COMPUTED_VALUE"""),"TAQIRA HD")</f>
        <v>TAQIRA HD</v>
      </c>
      <c r="X525" s="42" t="str">
        <f ca="1"/>
        <v>ON-TAQIRA HD-00011900+14-6281374844270</v>
      </c>
      <c r="Y525" s="40" t="s">
        <v>62</v>
      </c>
      <c r="Z525" s="40" t="s">
        <v>1880</v>
      </c>
      <c r="AA525" s="23" t="str">
        <v>https://wa.me/6281374844270</v>
      </c>
      <c r="AB525" s="28" t="s">
        <v>3559</v>
      </c>
      <c r="AC525" s="28"/>
      <c r="AD525" s="28" t="s">
        <v>690</v>
      </c>
      <c r="AE525" s="28"/>
      <c r="AF525" s="29">
        <v>45874</v>
      </c>
      <c r="AG525" s="29"/>
    </row>
    <row r="526" spans="1:33" ht="15.75" customHeight="1">
      <c r="A526" s="32" t="s">
        <v>196</v>
      </c>
      <c r="B526" s="33">
        <v>533</v>
      </c>
      <c r="C526" s="34" t="s">
        <v>3560</v>
      </c>
      <c r="D526" s="35">
        <v>45871.72474795139</v>
      </c>
      <c r="E526" s="43">
        <v>45868</v>
      </c>
      <c r="F526" s="32" t="s">
        <v>3561</v>
      </c>
      <c r="G526" s="32" t="s">
        <v>3562</v>
      </c>
      <c r="H526" s="32" t="s">
        <v>3563</v>
      </c>
      <c r="I526" s="36" t="s">
        <v>3564</v>
      </c>
      <c r="J526" s="52"/>
      <c r="K526" s="32" t="s">
        <v>3565</v>
      </c>
      <c r="L526" s="32" t="s">
        <v>3566</v>
      </c>
      <c r="M526" s="32" t="s">
        <v>60</v>
      </c>
      <c r="N526" s="33">
        <v>14</v>
      </c>
      <c r="O526" s="35"/>
      <c r="P526" s="35"/>
      <c r="Q526" s="37"/>
      <c r="R526" s="38"/>
      <c r="S526" s="33"/>
      <c r="T526" s="39">
        <v>550000</v>
      </c>
      <c r="U526" s="40" t="s">
        <v>61</v>
      </c>
      <c r="V526" s="41"/>
      <c r="W526" s="42" t="str">
        <f ca="1">IFERROR(__xludf.DUMMYFUNCTION("""COMPUTED_VALUE"""),"Riffy Travel")</f>
        <v>Riffy Travel</v>
      </c>
      <c r="X526" s="42" t="str">
        <f ca="1"/>
        <v>ON-Riffy Travel-00011900+14-6281558225822</v>
      </c>
      <c r="Y526" s="40" t="s">
        <v>62</v>
      </c>
      <c r="Z526" s="40" t="s">
        <v>1880</v>
      </c>
      <c r="AA526" s="23" t="str">
        <v>https://wa.me/6281558225822</v>
      </c>
      <c r="AB526" s="28" t="s">
        <v>3567</v>
      </c>
      <c r="AC526" s="28"/>
      <c r="AD526" s="28" t="s">
        <v>690</v>
      </c>
      <c r="AE526" s="28"/>
      <c r="AF526" s="29">
        <v>45873</v>
      </c>
      <c r="AG526" s="29"/>
    </row>
    <row r="527" spans="1:33" ht="15.75" customHeight="1">
      <c r="A527" s="32" t="s">
        <v>52</v>
      </c>
      <c r="B527" s="33">
        <v>534</v>
      </c>
      <c r="C527" s="34" t="s">
        <v>3568</v>
      </c>
      <c r="D527" s="35">
        <v>45871.785196539349</v>
      </c>
      <c r="E527" s="43">
        <v>45871</v>
      </c>
      <c r="F527" s="32" t="s">
        <v>2064</v>
      </c>
      <c r="G527" s="32" t="s">
        <v>2065</v>
      </c>
      <c r="H527" s="32" t="s">
        <v>1648</v>
      </c>
      <c r="I527" s="36" t="s">
        <v>2066</v>
      </c>
      <c r="J527" s="52" t="s">
        <v>2067</v>
      </c>
      <c r="K527" s="32" t="s">
        <v>2068</v>
      </c>
      <c r="L527" s="32" t="s">
        <v>2069</v>
      </c>
      <c r="M527" s="32" t="s">
        <v>2032</v>
      </c>
      <c r="N527" s="33">
        <v>5</v>
      </c>
      <c r="O527" s="35"/>
      <c r="P527" s="35"/>
      <c r="Q527" s="37"/>
      <c r="R527" s="38"/>
      <c r="S527" s="33"/>
      <c r="T527" s="39">
        <v>197000</v>
      </c>
      <c r="U527" s="40" t="s">
        <v>61</v>
      </c>
      <c r="V527" s="41"/>
      <c r="W527" s="42" t="str">
        <f ca="1">IFERROR(__xludf.DUMMYFUNCTION("""COMPUTED_VALUE"""),"Bengkel Las")</f>
        <v>Bengkel Las</v>
      </c>
      <c r="X527" s="42" t="str">
        <f ca="1"/>
        <v>ON-Bengkel Las-00011900+5-6281394618785</v>
      </c>
      <c r="Y527" s="40"/>
      <c r="Z527" s="40"/>
      <c r="AA527" s="23" t="str">
        <v>https://wa.me/6281394618785</v>
      </c>
      <c r="AB527" s="28"/>
      <c r="AC527" s="28"/>
      <c r="AD527" s="28"/>
      <c r="AE527" s="28"/>
      <c r="AF527" s="29"/>
      <c r="AG527" s="29"/>
    </row>
    <row r="528" spans="1:33" ht="15.75" customHeight="1">
      <c r="A528" s="32" t="s">
        <v>196</v>
      </c>
      <c r="B528" s="33">
        <v>535</v>
      </c>
      <c r="C528" s="34" t="s">
        <v>3569</v>
      </c>
      <c r="D528" s="35">
        <v>45871.855203182873</v>
      </c>
      <c r="E528" s="43">
        <v>45871</v>
      </c>
      <c r="F528" s="32" t="s">
        <v>3570</v>
      </c>
      <c r="G528" s="32" t="s">
        <v>3571</v>
      </c>
      <c r="H528" s="32" t="s">
        <v>3572</v>
      </c>
      <c r="I528" s="36" t="s">
        <v>3573</v>
      </c>
      <c r="J528" s="52" t="s">
        <v>1018</v>
      </c>
      <c r="K528" s="32" t="s">
        <v>46</v>
      </c>
      <c r="L528" s="32" t="s">
        <v>672</v>
      </c>
      <c r="M528" s="32" t="s">
        <v>382</v>
      </c>
      <c r="N528" s="33">
        <v>7</v>
      </c>
      <c r="O528" s="35"/>
      <c r="P528" s="35"/>
      <c r="Q528" s="37"/>
      <c r="R528" s="38"/>
      <c r="S528" s="33"/>
      <c r="T528" s="39">
        <v>297000</v>
      </c>
      <c r="U528" s="40" t="s">
        <v>115</v>
      </c>
      <c r="V528" s="41"/>
      <c r="W528" s="42" t="str">
        <f ca="1">IFERROR(__xludf.DUMMYFUNCTION("""COMPUTED_VALUE"""),"Dolphin Lovina")</f>
        <v>Dolphin Lovina</v>
      </c>
      <c r="X528" s="42" t="str">
        <f ca="1"/>
        <v>ON-Dolphin Lovina-00011900+7-6281238115957</v>
      </c>
      <c r="Y528" s="40" t="s">
        <v>62</v>
      </c>
      <c r="Z528" s="40" t="s">
        <v>1880</v>
      </c>
      <c r="AA528" s="23" t="str">
        <v>https://wa.me/6281238115957</v>
      </c>
      <c r="AB528" s="28" t="s">
        <v>3574</v>
      </c>
      <c r="AC528" s="28"/>
      <c r="AD528" s="28" t="s">
        <v>690</v>
      </c>
      <c r="AE528" s="28"/>
      <c r="AF528" s="29">
        <v>45874</v>
      </c>
      <c r="AG528" s="29"/>
    </row>
    <row r="529" spans="1:33" ht="15.75" customHeight="1">
      <c r="A529" s="32" t="s">
        <v>196</v>
      </c>
      <c r="B529" s="33">
        <v>536</v>
      </c>
      <c r="C529" s="34" t="s">
        <v>3575</v>
      </c>
      <c r="D529" s="35">
        <v>45871.895556018513</v>
      </c>
      <c r="E529" s="43">
        <v>45871</v>
      </c>
      <c r="F529" s="32" t="s">
        <v>2800</v>
      </c>
      <c r="G529" s="32" t="s">
        <v>3576</v>
      </c>
      <c r="H529" s="32" t="s">
        <v>3577</v>
      </c>
      <c r="I529" s="36" t="s">
        <v>3578</v>
      </c>
      <c r="J529" s="52" t="s">
        <v>3579</v>
      </c>
      <c r="K529" s="32" t="s">
        <v>3580</v>
      </c>
      <c r="L529" s="32" t="s">
        <v>2244</v>
      </c>
      <c r="M529" s="32" t="s">
        <v>249</v>
      </c>
      <c r="N529" s="33">
        <v>5</v>
      </c>
      <c r="O529" s="35"/>
      <c r="P529" s="35"/>
      <c r="Q529" s="37"/>
      <c r="R529" s="38"/>
      <c r="S529" s="33"/>
      <c r="T529" s="39">
        <v>197000</v>
      </c>
      <c r="U529" s="40" t="s">
        <v>1774</v>
      </c>
      <c r="V529" s="41"/>
      <c r="W529" s="42" t="str">
        <f ca="1">IFERROR(__xludf.DUMMYFUNCTION("""COMPUTED_VALUE"""),"Surfing Course")</f>
        <v>Surfing Course</v>
      </c>
      <c r="X529" s="42" t="str">
        <f ca="1"/>
        <v>ON-Surfing Course-00011900+5-6285338700113</v>
      </c>
      <c r="Y529" s="40" t="s">
        <v>62</v>
      </c>
      <c r="Z529" s="40" t="s">
        <v>1404</v>
      </c>
      <c r="AA529" s="23" t="str">
        <v>https://wa.me/6285338700113</v>
      </c>
      <c r="AB529" s="28" t="s">
        <v>3581</v>
      </c>
      <c r="AC529" s="28"/>
      <c r="AD529" s="28" t="s">
        <v>690</v>
      </c>
      <c r="AE529" s="28"/>
      <c r="AF529" s="29">
        <v>45875</v>
      </c>
      <c r="AG529" s="29"/>
    </row>
    <row r="530" spans="1:33" ht="15.75" customHeight="1">
      <c r="A530" s="32" t="s">
        <v>52</v>
      </c>
      <c r="B530" s="33">
        <v>537</v>
      </c>
      <c r="C530" s="34" t="s">
        <v>3582</v>
      </c>
      <c r="D530" s="35">
        <v>45872.336324421296</v>
      </c>
      <c r="E530" s="43">
        <v>45871</v>
      </c>
      <c r="F530" s="32" t="s">
        <v>2064</v>
      </c>
      <c r="G530" s="32" t="s">
        <v>2065</v>
      </c>
      <c r="H530" s="32" t="s">
        <v>1648</v>
      </c>
      <c r="I530" s="36" t="s">
        <v>2066</v>
      </c>
      <c r="J530" s="52" t="s">
        <v>2067</v>
      </c>
      <c r="K530" s="32" t="s">
        <v>2068</v>
      </c>
      <c r="L530" s="32" t="s">
        <v>2069</v>
      </c>
      <c r="M530" s="32" t="s">
        <v>2032</v>
      </c>
      <c r="N530" s="33">
        <v>5</v>
      </c>
      <c r="O530" s="35"/>
      <c r="P530" s="35"/>
      <c r="Q530" s="37"/>
      <c r="R530" s="38"/>
      <c r="S530" s="33"/>
      <c r="T530" s="39">
        <v>197000</v>
      </c>
      <c r="U530" s="40" t="s">
        <v>61</v>
      </c>
      <c r="V530" s="41"/>
      <c r="W530" s="42" t="str">
        <f ca="1">IFERROR(__xludf.DUMMYFUNCTION("""COMPUTED_VALUE"""),"Bengkel Las")</f>
        <v>Bengkel Las</v>
      </c>
      <c r="X530" s="42" t="str">
        <f ca="1"/>
        <v>ON-Bengkel Las-00011900+5-6281394618785</v>
      </c>
      <c r="Y530" s="40"/>
      <c r="Z530" s="40"/>
      <c r="AA530" s="23" t="str">
        <v>https://wa.me/6281394618785</v>
      </c>
      <c r="AB530" s="28"/>
      <c r="AC530" s="28"/>
      <c r="AD530" s="28"/>
      <c r="AE530" s="28"/>
      <c r="AF530" s="29"/>
      <c r="AG530" s="29"/>
    </row>
    <row r="531" spans="1:33" ht="15.75" customHeight="1">
      <c r="A531" s="32" t="s">
        <v>196</v>
      </c>
      <c r="B531" s="33">
        <v>538</v>
      </c>
      <c r="C531" s="34" t="s">
        <v>3583</v>
      </c>
      <c r="D531" s="35">
        <v>45872.484936064815</v>
      </c>
      <c r="E531" s="43">
        <v>45872</v>
      </c>
      <c r="F531" s="32" t="s">
        <v>3584</v>
      </c>
      <c r="G531" s="32" t="s">
        <v>3585</v>
      </c>
      <c r="H531" s="32" t="s">
        <v>3586</v>
      </c>
      <c r="I531" s="36" t="s">
        <v>3587</v>
      </c>
      <c r="J531" s="52"/>
      <c r="K531" s="32" t="s">
        <v>3588</v>
      </c>
      <c r="L531" s="32" t="s">
        <v>3302</v>
      </c>
      <c r="M531" s="32" t="s">
        <v>249</v>
      </c>
      <c r="N531" s="33">
        <v>5</v>
      </c>
      <c r="O531" s="35"/>
      <c r="P531" s="35"/>
      <c r="Q531" s="37"/>
      <c r="R531" s="38"/>
      <c r="S531" s="33"/>
      <c r="T531" s="39">
        <v>197000</v>
      </c>
      <c r="U531" s="40" t="s">
        <v>1774</v>
      </c>
      <c r="V531" s="41"/>
      <c r="W531" s="42" t="str">
        <f ca="1">IFERROR(__xludf.DUMMYFUNCTION("""COMPUTED_VALUE"""),"Fahri mandiri")</f>
        <v>Fahri mandiri</v>
      </c>
      <c r="X531" s="42" t="str">
        <f ca="1"/>
        <v>ON-Fahri mandiri-00011900+5-6289515920603</v>
      </c>
      <c r="Y531" s="40" t="s">
        <v>62</v>
      </c>
      <c r="Z531" s="40" t="s">
        <v>1880</v>
      </c>
      <c r="AA531" s="23" t="str">
        <v>https://wa.me/6289515920603</v>
      </c>
      <c r="AB531" s="28" t="s">
        <v>3589</v>
      </c>
      <c r="AC531" s="28"/>
      <c r="AD531" s="28" t="s">
        <v>690</v>
      </c>
      <c r="AE531" s="28"/>
      <c r="AF531" s="29">
        <v>45877</v>
      </c>
      <c r="AG531" s="29"/>
    </row>
    <row r="532" spans="1:33" ht="15.75" customHeight="1">
      <c r="A532" s="32" t="s">
        <v>621</v>
      </c>
      <c r="B532" s="33">
        <v>539</v>
      </c>
      <c r="C532" s="34" t="s">
        <v>3590</v>
      </c>
      <c r="D532" s="35">
        <v>45872.53268866898</v>
      </c>
      <c r="E532" s="43">
        <v>45872</v>
      </c>
      <c r="F532" s="32" t="s">
        <v>3591</v>
      </c>
      <c r="G532" s="32" t="s">
        <v>3592</v>
      </c>
      <c r="H532" s="32" t="s">
        <v>3593</v>
      </c>
      <c r="I532" s="36" t="s">
        <v>3594</v>
      </c>
      <c r="J532" s="52"/>
      <c r="K532" s="32" t="s">
        <v>3595</v>
      </c>
      <c r="L532" s="32" t="s">
        <v>3596</v>
      </c>
      <c r="M532" s="32" t="s">
        <v>3597</v>
      </c>
      <c r="N532" s="33">
        <v>5</v>
      </c>
      <c r="O532" s="35"/>
      <c r="P532" s="35"/>
      <c r="Q532" s="37"/>
      <c r="R532" s="38"/>
      <c r="S532" s="33"/>
      <c r="T532" s="39">
        <v>197000</v>
      </c>
      <c r="U532" s="40" t="s">
        <v>115</v>
      </c>
      <c r="V532" s="41"/>
      <c r="W532" s="42" t="str">
        <f ca="1">IFERROR(__xludf.DUMMYFUNCTION("""COMPUTED_VALUE"""),"Villa Jogja")</f>
        <v>Villa Jogja</v>
      </c>
      <c r="X532" s="42" t="str">
        <f ca="1"/>
        <v>ON-Villa Jogja-00011900+5-6281291436933</v>
      </c>
      <c r="Y532" s="40"/>
      <c r="Z532" s="40"/>
      <c r="AA532" s="23" t="str">
        <v>https://wa.me/6281291436933</v>
      </c>
      <c r="AB532" s="28"/>
      <c r="AC532" s="28"/>
      <c r="AD532" s="28"/>
      <c r="AE532" s="28"/>
      <c r="AF532" s="29"/>
      <c r="AG532" s="29"/>
    </row>
    <row r="533" spans="1:33" ht="15.75" customHeight="1">
      <c r="A533" s="32" t="s">
        <v>196</v>
      </c>
      <c r="B533" s="33">
        <v>540</v>
      </c>
      <c r="C533" s="34" t="s">
        <v>3598</v>
      </c>
      <c r="D533" s="35">
        <v>45872.552883865741</v>
      </c>
      <c r="E533" s="43">
        <v>45868</v>
      </c>
      <c r="F533" s="32" t="s">
        <v>3599</v>
      </c>
      <c r="G533" s="32" t="s">
        <v>3600</v>
      </c>
      <c r="H533" s="32" t="s">
        <v>3601</v>
      </c>
      <c r="I533" s="36" t="s">
        <v>3602</v>
      </c>
      <c r="J533" s="52"/>
      <c r="K533" s="32" t="s">
        <v>3603</v>
      </c>
      <c r="L533" s="32" t="s">
        <v>3604</v>
      </c>
      <c r="M533" s="32" t="s">
        <v>3605</v>
      </c>
      <c r="N533" s="33">
        <v>5</v>
      </c>
      <c r="O533" s="35"/>
      <c r="P533" s="35"/>
      <c r="Q533" s="37"/>
      <c r="R533" s="38"/>
      <c r="S533" s="33"/>
      <c r="T533" s="39">
        <v>150000</v>
      </c>
      <c r="U533" s="40" t="s">
        <v>1229</v>
      </c>
      <c r="V533" s="41"/>
      <c r="W533" s="42" t="str">
        <f ca="1">IFERROR(__xludf.DUMMYFUNCTION("""COMPUTED_VALUE"""),"Manggarai store")</f>
        <v>Manggarai store</v>
      </c>
      <c r="X533" s="42" t="str">
        <f ca="1"/>
        <v>ON-Manggarai store-00011900+5-6285241858483</v>
      </c>
      <c r="Y533" s="40" t="s">
        <v>62</v>
      </c>
      <c r="Z533" s="40" t="s">
        <v>1861</v>
      </c>
      <c r="AA533" s="23" t="str">
        <v>https://wa.me/6285241858483</v>
      </c>
      <c r="AB533" s="28" t="s">
        <v>3606</v>
      </c>
      <c r="AC533" s="28"/>
      <c r="AD533" s="28" t="s">
        <v>690</v>
      </c>
      <c r="AE533" s="28"/>
      <c r="AF533" s="29">
        <v>45874</v>
      </c>
      <c r="AG533" s="29"/>
    </row>
    <row r="534" spans="1:33" ht="15.75" customHeight="1">
      <c r="A534" s="32" t="s">
        <v>52</v>
      </c>
      <c r="B534" s="33">
        <v>541</v>
      </c>
      <c r="C534" s="34" t="s">
        <v>3607</v>
      </c>
      <c r="D534" s="35">
        <v>45872.565429745373</v>
      </c>
      <c r="E534" s="43">
        <v>45872</v>
      </c>
      <c r="F534" s="32" t="s">
        <v>2405</v>
      </c>
      <c r="G534" s="32" t="s">
        <v>2406</v>
      </c>
      <c r="H534" s="32" t="s">
        <v>66</v>
      </c>
      <c r="I534" s="36" t="s">
        <v>2407</v>
      </c>
      <c r="J534" s="52"/>
      <c r="K534" s="32" t="s">
        <v>46</v>
      </c>
      <c r="L534" s="32" t="s">
        <v>2408</v>
      </c>
      <c r="M534" s="32" t="s">
        <v>60</v>
      </c>
      <c r="N534" s="33">
        <v>5</v>
      </c>
      <c r="O534" s="35"/>
      <c r="P534" s="35"/>
      <c r="Q534" s="37"/>
      <c r="R534" s="38"/>
      <c r="S534" s="33"/>
      <c r="T534" s="39">
        <v>197000</v>
      </c>
      <c r="U534" s="40" t="s">
        <v>61</v>
      </c>
      <c r="V534" s="41"/>
      <c r="W534" s="42" t="str">
        <f ca="1">IFERROR(__xludf.DUMMYFUNCTION("""COMPUTED_VALUE"""),"Superman Interior")</f>
        <v>Superman Interior</v>
      </c>
      <c r="X534" s="42" t="str">
        <f ca="1"/>
        <v>ON-Superman Interior-00011900+5-62881038177010</v>
      </c>
      <c r="Y534" s="40"/>
      <c r="Z534" s="40"/>
      <c r="AA534" s="23" t="str">
        <v>https://wa.me/62881038177010</v>
      </c>
      <c r="AB534" s="28"/>
      <c r="AC534" s="28"/>
      <c r="AD534" s="28"/>
      <c r="AE534" s="28"/>
      <c r="AF534" s="29"/>
      <c r="AG534" s="29"/>
    </row>
    <row r="535" spans="1:33" ht="15.75" customHeight="1">
      <c r="A535" s="32" t="s">
        <v>196</v>
      </c>
      <c r="B535" s="33">
        <v>542</v>
      </c>
      <c r="C535" s="34" t="s">
        <v>3608</v>
      </c>
      <c r="D535" s="35">
        <v>45872.636448333331</v>
      </c>
      <c r="E535" s="43">
        <v>45872</v>
      </c>
      <c r="F535" s="32" t="s">
        <v>3609</v>
      </c>
      <c r="G535" s="32" t="s">
        <v>3610</v>
      </c>
      <c r="H535" s="32" t="s">
        <v>3070</v>
      </c>
      <c r="I535" s="36" t="s">
        <v>3611</v>
      </c>
      <c r="J535" s="52"/>
      <c r="K535" s="32" t="s">
        <v>3612</v>
      </c>
      <c r="L535" s="32" t="s">
        <v>3448</v>
      </c>
      <c r="M535" s="32" t="s">
        <v>249</v>
      </c>
      <c r="N535" s="33">
        <v>5</v>
      </c>
      <c r="O535" s="35"/>
      <c r="P535" s="35"/>
      <c r="Q535" s="37"/>
      <c r="R535" s="38"/>
      <c r="S535" s="33"/>
      <c r="T535" s="39">
        <v>197000</v>
      </c>
      <c r="U535" s="40" t="s">
        <v>1774</v>
      </c>
      <c r="V535" s="41"/>
      <c r="W535" s="42" t="str">
        <f ca="1">IFERROR(__xludf.DUMMYFUNCTION("""COMPUTED_VALUE"""),"Syakira Refleksi")</f>
        <v>Syakira Refleksi</v>
      </c>
      <c r="X535" s="42" t="str">
        <f ca="1"/>
        <v>ON-Syakira Refleksi-00011900+5-6285821233475</v>
      </c>
      <c r="Y535" s="40" t="s">
        <v>62</v>
      </c>
      <c r="Z535" s="40" t="s">
        <v>639</v>
      </c>
      <c r="AA535" s="23" t="str">
        <v>https://wa.me/6285821233475</v>
      </c>
      <c r="AB535" s="28" t="s">
        <v>3613</v>
      </c>
      <c r="AC535" s="28"/>
      <c r="AD535" s="28" t="s">
        <v>690</v>
      </c>
      <c r="AE535" s="28"/>
      <c r="AF535" s="29">
        <v>45874</v>
      </c>
      <c r="AG535" s="29"/>
    </row>
    <row r="536" spans="1:33" ht="15.75" customHeight="1">
      <c r="A536" s="32" t="s">
        <v>196</v>
      </c>
      <c r="B536" s="33">
        <v>543</v>
      </c>
      <c r="C536" s="34" t="s">
        <v>3614</v>
      </c>
      <c r="D536" s="35">
        <v>45872.772786516201</v>
      </c>
      <c r="E536" s="43">
        <v>45872</v>
      </c>
      <c r="F536" s="32" t="s">
        <v>3615</v>
      </c>
      <c r="G536" s="32" t="s">
        <v>3616</v>
      </c>
      <c r="H536" s="32" t="s">
        <v>3617</v>
      </c>
      <c r="I536" s="36" t="s">
        <v>3618</v>
      </c>
      <c r="J536" s="52"/>
      <c r="K536" s="32" t="s">
        <v>3619</v>
      </c>
      <c r="L536" s="32" t="s">
        <v>2577</v>
      </c>
      <c r="M536" s="32" t="s">
        <v>60</v>
      </c>
      <c r="N536" s="33">
        <v>10</v>
      </c>
      <c r="O536" s="35"/>
      <c r="P536" s="35"/>
      <c r="Q536" s="37"/>
      <c r="R536" s="38"/>
      <c r="S536" s="33"/>
      <c r="T536" s="39">
        <v>375000</v>
      </c>
      <c r="U536" s="40" t="s">
        <v>61</v>
      </c>
      <c r="V536" s="41"/>
      <c r="W536" s="42" t="str">
        <f ca="1">IFERROR(__xludf.DUMMYFUNCTION("""COMPUTED_VALUE"""),"Dbugissunda")</f>
        <v>Dbugissunda</v>
      </c>
      <c r="X536" s="42" t="str">
        <f ca="1"/>
        <v>ON-Dbugissunda-00011900+10-6285299991164</v>
      </c>
      <c r="Y536" s="40" t="s">
        <v>62</v>
      </c>
      <c r="Z536" s="40" t="s">
        <v>3620</v>
      </c>
      <c r="AA536" s="23" t="str">
        <v>https://wa.me/6285299991164</v>
      </c>
      <c r="AB536" s="28" t="s">
        <v>3621</v>
      </c>
      <c r="AC536" s="28"/>
      <c r="AD536" s="28" t="s">
        <v>690</v>
      </c>
      <c r="AE536" s="28"/>
      <c r="AF536" s="29">
        <v>45875</v>
      </c>
      <c r="AG536" s="29"/>
    </row>
    <row r="537" spans="1:33" ht="15.75" customHeight="1">
      <c r="A537" s="32" t="s">
        <v>196</v>
      </c>
      <c r="B537" s="33">
        <v>544</v>
      </c>
      <c r="C537" s="34" t="s">
        <v>3622</v>
      </c>
      <c r="D537" s="35">
        <v>45872.821685925926</v>
      </c>
      <c r="E537" s="43">
        <v>45872</v>
      </c>
      <c r="F537" s="32" t="s">
        <v>3623</v>
      </c>
      <c r="G537" s="32" t="s">
        <v>3624</v>
      </c>
      <c r="H537" s="32" t="s">
        <v>3625</v>
      </c>
      <c r="I537" s="36" t="s">
        <v>3626</v>
      </c>
      <c r="J537" s="52"/>
      <c r="K537" s="32" t="s">
        <v>1549</v>
      </c>
      <c r="L537" s="32" t="s">
        <v>3627</v>
      </c>
      <c r="M537" s="32" t="s">
        <v>249</v>
      </c>
      <c r="N537" s="33">
        <v>30</v>
      </c>
      <c r="O537" s="35"/>
      <c r="P537" s="35"/>
      <c r="Q537" s="37"/>
      <c r="R537" s="38"/>
      <c r="S537" s="33"/>
      <c r="T537" s="39">
        <v>1000000</v>
      </c>
      <c r="U537" s="40" t="s">
        <v>1774</v>
      </c>
      <c r="V537" s="41"/>
      <c r="W537" s="42" t="str">
        <f ca="1">IFERROR(__xludf.DUMMYFUNCTION("""COMPUTED_VALUE"""),"PT AULIA")</f>
        <v>PT AULIA</v>
      </c>
      <c r="X537" s="42" t="str">
        <f ca="1"/>
        <v>ON-PT AULIA-00011900+30-6281225101319</v>
      </c>
      <c r="Y537" s="40" t="s">
        <v>62</v>
      </c>
      <c r="Z537" s="40" t="s">
        <v>1880</v>
      </c>
      <c r="AA537" s="23" t="str">
        <v>https://wa.me/6281225101319</v>
      </c>
      <c r="AB537" s="28" t="s">
        <v>3628</v>
      </c>
      <c r="AC537" s="28"/>
      <c r="AD537" s="28" t="s">
        <v>690</v>
      </c>
      <c r="AE537" s="28"/>
      <c r="AF537" s="29">
        <v>45874</v>
      </c>
      <c r="AG537" s="29"/>
    </row>
    <row r="538" spans="1:33" ht="15.75" customHeight="1">
      <c r="A538" s="32" t="s">
        <v>52</v>
      </c>
      <c r="B538" s="33">
        <v>542</v>
      </c>
      <c r="C538" s="34" t="s">
        <v>3608</v>
      </c>
      <c r="D538" s="35">
        <v>45873.834539085648</v>
      </c>
      <c r="E538" s="43">
        <v>45873</v>
      </c>
      <c r="F538" s="32" t="s">
        <v>1222</v>
      </c>
      <c r="G538" s="32" t="s">
        <v>1223</v>
      </c>
      <c r="H538" s="32" t="s">
        <v>1224</v>
      </c>
      <c r="I538" s="36" t="s">
        <v>1225</v>
      </c>
      <c r="J538" s="52" t="s">
        <v>1226</v>
      </c>
      <c r="K538" s="32" t="s">
        <v>570</v>
      </c>
      <c r="L538" s="32" t="s">
        <v>1228</v>
      </c>
      <c r="M538" s="32" t="s">
        <v>800</v>
      </c>
      <c r="N538" s="33">
        <v>5</v>
      </c>
      <c r="O538" s="35"/>
      <c r="P538" s="35"/>
      <c r="Q538" s="37"/>
      <c r="R538" s="38"/>
      <c r="S538" s="33"/>
      <c r="T538" s="39">
        <v>197000</v>
      </c>
      <c r="U538" s="40" t="s">
        <v>1229</v>
      </c>
      <c r="V538" s="41"/>
      <c r="W538" s="42" t="str">
        <f ca="1">IFERROR(__xludf.DUMMYFUNCTION("""COMPUTED_VALUE"""),"Qui Panel")</f>
        <v>Qui Panel</v>
      </c>
      <c r="X538" s="42" t="str">
        <f ca="1"/>
        <v>ON-Qui Panel-00011900+5-6285715856120</v>
      </c>
      <c r="Y538" s="40"/>
      <c r="Z538" s="40"/>
      <c r="AA538" s="23" t="str">
        <v>https://wa.me/6285715856120</v>
      </c>
      <c r="AB538" s="28"/>
      <c r="AC538" s="28"/>
      <c r="AD538" s="28"/>
      <c r="AE538" s="28"/>
      <c r="AF538" s="29"/>
      <c r="AG538" s="29"/>
    </row>
    <row r="539" spans="1:33" ht="15.75" customHeight="1">
      <c r="A539" s="32" t="s">
        <v>52</v>
      </c>
      <c r="B539" s="33">
        <v>543</v>
      </c>
      <c r="C539" s="34" t="s">
        <v>3614</v>
      </c>
      <c r="D539" s="35">
        <v>45873.835029953705</v>
      </c>
      <c r="E539" s="43">
        <v>45873</v>
      </c>
      <c r="F539" s="32" t="s">
        <v>1222</v>
      </c>
      <c r="G539" s="32" t="s">
        <v>1223</v>
      </c>
      <c r="H539" s="32" t="s">
        <v>1224</v>
      </c>
      <c r="I539" s="36" t="s">
        <v>1225</v>
      </c>
      <c r="J539" s="52" t="s">
        <v>1226</v>
      </c>
      <c r="K539" s="32" t="s">
        <v>570</v>
      </c>
      <c r="L539" s="32" t="s">
        <v>1228</v>
      </c>
      <c r="M539" s="32" t="s">
        <v>800</v>
      </c>
      <c r="N539" s="33">
        <v>5</v>
      </c>
      <c r="O539" s="35"/>
      <c r="P539" s="35"/>
      <c r="Q539" s="37"/>
      <c r="R539" s="38"/>
      <c r="S539" s="33"/>
      <c r="T539" s="39">
        <v>197000</v>
      </c>
      <c r="U539" s="40" t="s">
        <v>1229</v>
      </c>
      <c r="V539" s="41"/>
      <c r="W539" s="42" t="str">
        <f ca="1">IFERROR(__xludf.DUMMYFUNCTION("""COMPUTED_VALUE"""),"Qui Panel")</f>
        <v>Qui Panel</v>
      </c>
      <c r="X539" s="42" t="str">
        <f ca="1"/>
        <v>ON-Qui Panel-00011900+5-6285715856120</v>
      </c>
      <c r="Y539" s="40"/>
      <c r="Z539" s="40"/>
      <c r="AA539" s="23" t="str">
        <v>https://wa.me/6285715856120</v>
      </c>
      <c r="AB539" s="28"/>
      <c r="AC539" s="28"/>
      <c r="AD539" s="28"/>
      <c r="AE539" s="28"/>
      <c r="AF539" s="29"/>
      <c r="AG539" s="29"/>
    </row>
    <row r="540" spans="1:33" ht="15.75" customHeight="1">
      <c r="A540" s="32" t="s">
        <v>52</v>
      </c>
      <c r="B540" s="33">
        <v>544</v>
      </c>
      <c r="C540" s="34" t="s">
        <v>3622</v>
      </c>
      <c r="D540" s="35">
        <v>45873.835881782405</v>
      </c>
      <c r="E540" s="43">
        <v>45873</v>
      </c>
      <c r="F540" s="32" t="s">
        <v>2014</v>
      </c>
      <c r="G540" s="32" t="s">
        <v>2015</v>
      </c>
      <c r="H540" s="32" t="s">
        <v>907</v>
      </c>
      <c r="I540" s="36" t="s">
        <v>2016</v>
      </c>
      <c r="J540" s="52"/>
      <c r="K540" s="32" t="s">
        <v>2017</v>
      </c>
      <c r="L540" s="32" t="s">
        <v>1566</v>
      </c>
      <c r="M540" s="32" t="s">
        <v>60</v>
      </c>
      <c r="N540" s="33">
        <v>5</v>
      </c>
      <c r="O540" s="35"/>
      <c r="P540" s="35"/>
      <c r="Q540" s="37"/>
      <c r="R540" s="38"/>
      <c r="S540" s="33"/>
      <c r="T540" s="39">
        <v>197000</v>
      </c>
      <c r="U540" s="40" t="s">
        <v>61</v>
      </c>
      <c r="V540" s="41"/>
      <c r="W540" s="42" t="str">
        <f ca="1">IFERROR(__xludf.DUMMYFUNCTION("""COMPUTED_VALUE"""),"Jasa Renofasi")</f>
        <v>Jasa Renofasi</v>
      </c>
      <c r="X540" s="42" t="str">
        <f ca="1"/>
        <v>ON-Jasa Renofasi-00011900+5-6285279489086</v>
      </c>
      <c r="Y540" s="40"/>
      <c r="Z540" s="40"/>
      <c r="AA540" s="23" t="str">
        <v>https://wa.me/6285279489086</v>
      </c>
      <c r="AB540" s="28"/>
      <c r="AC540" s="28"/>
      <c r="AD540" s="28"/>
      <c r="AE540" s="28"/>
      <c r="AF540" s="29"/>
      <c r="AG540" s="29"/>
    </row>
    <row r="541" spans="1:33" ht="15.75" customHeight="1">
      <c r="A541" s="32" t="s">
        <v>52</v>
      </c>
      <c r="B541" s="33">
        <v>545</v>
      </c>
      <c r="C541" s="34" t="s">
        <v>3629</v>
      </c>
      <c r="D541" s="35">
        <v>45873.836451053241</v>
      </c>
      <c r="E541" s="43">
        <v>45873</v>
      </c>
      <c r="F541" s="32" t="s">
        <v>1751</v>
      </c>
      <c r="G541" s="32" t="s">
        <v>1752</v>
      </c>
      <c r="H541" s="32" t="s">
        <v>1753</v>
      </c>
      <c r="I541" s="36" t="s">
        <v>1754</v>
      </c>
      <c r="J541" s="52"/>
      <c r="K541" s="32" t="s">
        <v>1755</v>
      </c>
      <c r="L541" s="32" t="s">
        <v>1542</v>
      </c>
      <c r="M541" s="32" t="s">
        <v>60</v>
      </c>
      <c r="N541" s="33">
        <v>5</v>
      </c>
      <c r="O541" s="35"/>
      <c r="P541" s="35"/>
      <c r="Q541" s="37"/>
      <c r="R541" s="38"/>
      <c r="S541" s="33"/>
      <c r="T541" s="39">
        <v>197000</v>
      </c>
      <c r="U541" s="40" t="s">
        <v>61</v>
      </c>
      <c r="V541" s="41"/>
      <c r="W541" s="42" t="str">
        <f ca="1">IFERROR(__xludf.DUMMYFUNCTION("""COMPUTED_VALUE"""),"Rumah Terapi")</f>
        <v>Rumah Terapi</v>
      </c>
      <c r="X541" s="42" t="str">
        <f ca="1"/>
        <v>ON-Rumah Terapi-00011900+5-6281779578317</v>
      </c>
      <c r="Y541" s="40"/>
      <c r="Z541" s="40"/>
      <c r="AA541" s="23" t="str">
        <v>https://wa.me/6281779578317</v>
      </c>
      <c r="AB541" s="28"/>
      <c r="AC541" s="28"/>
      <c r="AD541" s="28"/>
      <c r="AE541" s="28"/>
      <c r="AF541" s="29"/>
      <c r="AG541" s="29"/>
    </row>
    <row r="542" spans="1:33" ht="15.75" customHeight="1">
      <c r="A542" s="32" t="s">
        <v>621</v>
      </c>
      <c r="B542" s="33">
        <v>546</v>
      </c>
      <c r="C542" s="34" t="s">
        <v>3630</v>
      </c>
      <c r="D542" s="35">
        <v>45873.83690652778</v>
      </c>
      <c r="E542" s="43">
        <v>45870</v>
      </c>
      <c r="F542" s="32" t="s">
        <v>3496</v>
      </c>
      <c r="G542" s="32" t="s">
        <v>3497</v>
      </c>
      <c r="H542" s="32" t="s">
        <v>1030</v>
      </c>
      <c r="I542" s="36" t="s">
        <v>3498</v>
      </c>
      <c r="J542" s="52" t="s">
        <v>2161</v>
      </c>
      <c r="K542" s="32" t="s">
        <v>3499</v>
      </c>
      <c r="L542" s="32" t="s">
        <v>77</v>
      </c>
      <c r="M542" s="32" t="s">
        <v>249</v>
      </c>
      <c r="N542" s="33">
        <v>5</v>
      </c>
      <c r="O542" s="35"/>
      <c r="P542" s="35"/>
      <c r="Q542" s="37"/>
      <c r="R542" s="38"/>
      <c r="S542" s="33"/>
      <c r="T542" s="39">
        <v>197000</v>
      </c>
      <c r="U542" s="40" t="s">
        <v>1774</v>
      </c>
      <c r="V542" s="41"/>
      <c r="W542" s="42" t="str">
        <f ca="1">IFERROR(__xludf.DUMMYFUNCTION("""COMPUTED_VALUE"""),"Rumah Terapi")</f>
        <v>Rumah Terapi</v>
      </c>
      <c r="X542" s="42" t="str">
        <f ca="1"/>
        <v>ON-Rumah Terapi-00011900+5-6282245454940</v>
      </c>
      <c r="Y542" s="40"/>
      <c r="Z542" s="40"/>
      <c r="AA542" s="23" t="str">
        <v>https://wa.me/6282245454940</v>
      </c>
      <c r="AB542" s="28"/>
      <c r="AC542" s="28"/>
      <c r="AD542" s="28"/>
      <c r="AE542" s="28"/>
      <c r="AF542" s="29"/>
      <c r="AG542" s="29"/>
    </row>
    <row r="543" spans="1:33" ht="15.75" customHeight="1">
      <c r="A543" s="32" t="s">
        <v>196</v>
      </c>
      <c r="B543" s="33">
        <v>547</v>
      </c>
      <c r="C543" s="34" t="s">
        <v>3631</v>
      </c>
      <c r="D543" s="35">
        <v>45873.837056527773</v>
      </c>
      <c r="E543" s="43">
        <v>45873</v>
      </c>
      <c r="F543" s="32" t="s">
        <v>3632</v>
      </c>
      <c r="G543" s="32" t="s">
        <v>3633</v>
      </c>
      <c r="H543" s="32" t="s">
        <v>3634</v>
      </c>
      <c r="I543" s="36" t="s">
        <v>3635</v>
      </c>
      <c r="J543" s="52"/>
      <c r="K543" s="32" t="s">
        <v>3636</v>
      </c>
      <c r="L543" s="32" t="s">
        <v>3637</v>
      </c>
      <c r="M543" s="32" t="s">
        <v>726</v>
      </c>
      <c r="N543" s="33">
        <v>5</v>
      </c>
      <c r="O543" s="35"/>
      <c r="P543" s="35"/>
      <c r="Q543" s="37"/>
      <c r="R543" s="38"/>
      <c r="S543" s="33"/>
      <c r="T543" s="39">
        <v>197000</v>
      </c>
      <c r="U543" s="40" t="s">
        <v>1774</v>
      </c>
      <c r="V543" s="41"/>
      <c r="W543" s="42" t="str">
        <f ca="1">IFERROR(__xludf.DUMMYFUNCTION("""COMPUTED_VALUE"""),"Sabena Tours")</f>
        <v>Sabena Tours</v>
      </c>
      <c r="X543" s="42" t="str">
        <f ca="1"/>
        <v>ON-Sabena Tours-00011900+5-6285710003464</v>
      </c>
      <c r="Y543" s="40" t="s">
        <v>62</v>
      </c>
      <c r="Z543" s="40" t="s">
        <v>1880</v>
      </c>
      <c r="AA543" s="23" t="str">
        <v>https://wa.me/6285710003464</v>
      </c>
      <c r="AB543" s="28" t="s">
        <v>3638</v>
      </c>
      <c r="AC543" s="28"/>
      <c r="AD543" s="28" t="s">
        <v>690</v>
      </c>
      <c r="AE543" s="28"/>
      <c r="AF543" s="29">
        <v>45908</v>
      </c>
      <c r="AG543" s="29"/>
    </row>
    <row r="544" spans="1:33" ht="15.75" customHeight="1">
      <c r="A544" s="32" t="s">
        <v>52</v>
      </c>
      <c r="B544" s="33">
        <v>548</v>
      </c>
      <c r="C544" s="34" t="s">
        <v>3639</v>
      </c>
      <c r="D544" s="35">
        <v>45873.837982187499</v>
      </c>
      <c r="E544" s="43">
        <v>45873</v>
      </c>
      <c r="F544" s="32" t="s">
        <v>3640</v>
      </c>
      <c r="G544" s="32" t="s">
        <v>2670</v>
      </c>
      <c r="H544" s="32" t="s">
        <v>2671</v>
      </c>
      <c r="I544" s="36" t="s">
        <v>2672</v>
      </c>
      <c r="J544" s="52"/>
      <c r="K544" s="32" t="s">
        <v>2673</v>
      </c>
      <c r="L544" s="32" t="s">
        <v>2674</v>
      </c>
      <c r="M544" s="32" t="s">
        <v>92</v>
      </c>
      <c r="N544" s="33">
        <v>5</v>
      </c>
      <c r="O544" s="35"/>
      <c r="P544" s="35"/>
      <c r="Q544" s="37"/>
      <c r="R544" s="38"/>
      <c r="S544" s="33"/>
      <c r="T544" s="39">
        <v>197000</v>
      </c>
      <c r="U544" s="40" t="s">
        <v>1229</v>
      </c>
      <c r="V544" s="41"/>
      <c r="W544" s="42" t="str">
        <f ca="1">IFERROR(__xludf.DUMMYFUNCTION("""COMPUTED_VALUE"""),"panti sehat")</f>
        <v>panti sehat</v>
      </c>
      <c r="X544" s="42" t="str">
        <f ca="1"/>
        <v>ON-panti sehat-00011900+5-6281999375257</v>
      </c>
      <c r="Y544" s="40"/>
      <c r="Z544" s="40"/>
      <c r="AA544" s="23" t="str">
        <v>https://wa.me/6281999375257</v>
      </c>
      <c r="AB544" s="28"/>
      <c r="AC544" s="28"/>
      <c r="AD544" s="28"/>
      <c r="AE544" s="28"/>
      <c r="AF544" s="29"/>
      <c r="AG544" s="29"/>
    </row>
    <row r="545" spans="1:33" ht="15.75" customHeight="1">
      <c r="A545" s="32" t="s">
        <v>52</v>
      </c>
      <c r="B545" s="33">
        <v>549</v>
      </c>
      <c r="C545" s="34" t="s">
        <v>3641</v>
      </c>
      <c r="D545" s="35">
        <v>45873.838271550921</v>
      </c>
      <c r="E545" s="43">
        <v>45873</v>
      </c>
      <c r="F545" s="32" t="s">
        <v>3228</v>
      </c>
      <c r="G545" s="32" t="s">
        <v>3229</v>
      </c>
      <c r="H545" s="32" t="s">
        <v>3230</v>
      </c>
      <c r="I545" s="36" t="s">
        <v>3231</v>
      </c>
      <c r="J545" s="52"/>
      <c r="K545" s="32" t="s">
        <v>3232</v>
      </c>
      <c r="L545" s="32" t="s">
        <v>1365</v>
      </c>
      <c r="M545" s="32" t="s">
        <v>285</v>
      </c>
      <c r="N545" s="33">
        <v>5</v>
      </c>
      <c r="O545" s="35"/>
      <c r="P545" s="35"/>
      <c r="Q545" s="37"/>
      <c r="R545" s="38"/>
      <c r="S545" s="33"/>
      <c r="T545" s="39">
        <v>197000</v>
      </c>
      <c r="U545" s="40" t="s">
        <v>1229</v>
      </c>
      <c r="V545" s="41"/>
      <c r="W545" s="42" t="str">
        <f ca="1">IFERROR(__xludf.DUMMYFUNCTION("""COMPUTED_VALUE"""),"Therapy pijat")</f>
        <v>Therapy pijat</v>
      </c>
      <c r="X545" s="42" t="str">
        <f ca="1"/>
        <v>ON-Therapy pijat-00011900+5-6287865111033</v>
      </c>
      <c r="Y545" s="40"/>
      <c r="Z545" s="40"/>
      <c r="AA545" s="23" t="str">
        <v>https://wa.me/6287865111033</v>
      </c>
      <c r="AB545" s="28"/>
      <c r="AC545" s="28"/>
      <c r="AD545" s="28"/>
      <c r="AE545" s="28"/>
      <c r="AF545" s="29"/>
      <c r="AG545" s="29"/>
    </row>
    <row r="546" spans="1:33" ht="15.75" customHeight="1">
      <c r="A546" s="32" t="s">
        <v>196</v>
      </c>
      <c r="B546" s="33">
        <v>550</v>
      </c>
      <c r="C546" s="34" t="s">
        <v>3642</v>
      </c>
      <c r="D546" s="35">
        <v>45873.8387500463</v>
      </c>
      <c r="E546" s="43">
        <v>45873</v>
      </c>
      <c r="F546" s="32" t="s">
        <v>1735</v>
      </c>
      <c r="G546" s="32" t="s">
        <v>3643</v>
      </c>
      <c r="H546" s="32" t="s">
        <v>3644</v>
      </c>
      <c r="I546" s="36" t="s">
        <v>3645</v>
      </c>
      <c r="J546" s="52"/>
      <c r="K546" s="32" t="s">
        <v>3646</v>
      </c>
      <c r="L546" s="32" t="s">
        <v>1957</v>
      </c>
      <c r="M546" s="32" t="s">
        <v>285</v>
      </c>
      <c r="N546" s="33">
        <v>5</v>
      </c>
      <c r="O546" s="35"/>
      <c r="P546" s="35"/>
      <c r="Q546" s="37"/>
      <c r="R546" s="38"/>
      <c r="S546" s="33"/>
      <c r="T546" s="39">
        <v>197000</v>
      </c>
      <c r="U546" s="40" t="s">
        <v>1229</v>
      </c>
      <c r="V546" s="41"/>
      <c r="W546" s="42" t="str">
        <f ca="1">IFERROR(__xludf.DUMMYFUNCTION("""COMPUTED_VALUE"""),"Pengobatan alternatif")</f>
        <v>Pengobatan alternatif</v>
      </c>
      <c r="X546" s="42" t="str">
        <f ca="1"/>
        <v>ON-Pengobatan alternatif-00011900+5-6285338373761</v>
      </c>
      <c r="Y546" s="40" t="s">
        <v>62</v>
      </c>
      <c r="Z546" s="40" t="s">
        <v>639</v>
      </c>
      <c r="AA546" s="23" t="str">
        <v>https://wa.me/6285338373761</v>
      </c>
      <c r="AB546" s="28" t="s">
        <v>3647</v>
      </c>
      <c r="AC546" s="28"/>
      <c r="AD546" s="28" t="s">
        <v>690</v>
      </c>
      <c r="AE546" s="28"/>
      <c r="AF546" s="29">
        <v>45876</v>
      </c>
      <c r="AG546" s="29"/>
    </row>
    <row r="547" spans="1:33" ht="15.75" customHeight="1">
      <c r="A547" s="32" t="s">
        <v>196</v>
      </c>
      <c r="B547" s="33">
        <v>551</v>
      </c>
      <c r="C547" s="34" t="s">
        <v>3648</v>
      </c>
      <c r="D547" s="35">
        <v>45873.839317118051</v>
      </c>
      <c r="E547" s="43">
        <v>45873</v>
      </c>
      <c r="F547" s="32" t="s">
        <v>3649</v>
      </c>
      <c r="G547" s="32" t="s">
        <v>3650</v>
      </c>
      <c r="H547" s="32" t="s">
        <v>921</v>
      </c>
      <c r="I547" s="36" t="s">
        <v>3651</v>
      </c>
      <c r="J547" s="52"/>
      <c r="K547" s="32" t="s">
        <v>3652</v>
      </c>
      <c r="L547" s="32" t="s">
        <v>3653</v>
      </c>
      <c r="M547" s="32" t="s">
        <v>1080</v>
      </c>
      <c r="N547" s="33">
        <v>5</v>
      </c>
      <c r="O547" s="35"/>
      <c r="P547" s="35"/>
      <c r="Q547" s="37"/>
      <c r="R547" s="38"/>
      <c r="S547" s="33"/>
      <c r="T547" s="39">
        <v>197000</v>
      </c>
      <c r="U547" s="40" t="s">
        <v>1229</v>
      </c>
      <c r="V547" s="41"/>
      <c r="W547" s="42" t="str">
        <f ca="1">IFERROR(__xludf.DUMMYFUNCTION("""COMPUTED_VALUE"""),"vania_sentulcity")</f>
        <v>vania_sentulcity</v>
      </c>
      <c r="X547" s="42" t="str">
        <f ca="1"/>
        <v>ON-vania_sentulcity-00011900+5-6282130129819</v>
      </c>
      <c r="Y547" s="40" t="s">
        <v>293</v>
      </c>
      <c r="Z547" s="40" t="s">
        <v>1057</v>
      </c>
      <c r="AA547" s="23" t="str">
        <v>https://wa.me/6282130129819</v>
      </c>
      <c r="AB547" s="28" t="s">
        <v>3654</v>
      </c>
      <c r="AC547" s="28"/>
      <c r="AD547" s="28" t="s">
        <v>690</v>
      </c>
      <c r="AE547" s="28"/>
      <c r="AF547" s="29">
        <v>45875</v>
      </c>
      <c r="AG547" s="29"/>
    </row>
    <row r="548" spans="1:33" ht="15.75" customHeight="1">
      <c r="A548" s="32" t="s">
        <v>52</v>
      </c>
      <c r="B548" s="33">
        <v>552</v>
      </c>
      <c r="C548" s="34" t="s">
        <v>3655</v>
      </c>
      <c r="D548" s="35">
        <v>45873.847075358797</v>
      </c>
      <c r="E548" s="43">
        <v>45873</v>
      </c>
      <c r="F548" s="32" t="s">
        <v>1222</v>
      </c>
      <c r="G548" s="32" t="s">
        <v>1223</v>
      </c>
      <c r="H548" s="32" t="s">
        <v>1224</v>
      </c>
      <c r="I548" s="36" t="s">
        <v>1225</v>
      </c>
      <c r="J548" s="52" t="s">
        <v>1226</v>
      </c>
      <c r="K548" s="32" t="s">
        <v>570</v>
      </c>
      <c r="L548" s="32" t="s">
        <v>1228</v>
      </c>
      <c r="M548" s="32" t="s">
        <v>800</v>
      </c>
      <c r="N548" s="33">
        <v>5</v>
      </c>
      <c r="O548" s="35"/>
      <c r="P548" s="35"/>
      <c r="Q548" s="37"/>
      <c r="R548" s="38"/>
      <c r="S548" s="33"/>
      <c r="T548" s="39">
        <v>197000</v>
      </c>
      <c r="U548" s="40" t="s">
        <v>1229</v>
      </c>
      <c r="V548" s="41"/>
      <c r="W548" s="42" t="str">
        <f ca="1">IFERROR(__xludf.DUMMYFUNCTION("""COMPUTED_VALUE"""),"Qui Panel")</f>
        <v>Qui Panel</v>
      </c>
      <c r="X548" s="42" t="str">
        <f ca="1"/>
        <v>ON-Qui Panel-00011900+5-6285715856120</v>
      </c>
      <c r="Y548" s="40"/>
      <c r="Z548" s="40"/>
      <c r="AA548" s="23" t="str">
        <v>https://wa.me/6285715856120</v>
      </c>
      <c r="AB548" s="28"/>
      <c r="AC548" s="28"/>
      <c r="AD548" s="28"/>
      <c r="AE548" s="28"/>
      <c r="AF548" s="29"/>
      <c r="AG548" s="29"/>
    </row>
    <row r="549" spans="1:33" ht="15.75" customHeight="1">
      <c r="A549" s="32" t="s">
        <v>52</v>
      </c>
      <c r="B549" s="33">
        <v>553</v>
      </c>
      <c r="C549" s="34" t="s">
        <v>3656</v>
      </c>
      <c r="D549" s="35">
        <v>45873.89650127315</v>
      </c>
      <c r="E549" s="43">
        <v>45873</v>
      </c>
      <c r="F549" s="32" t="s">
        <v>3657</v>
      </c>
      <c r="G549" s="32" t="s">
        <v>408</v>
      </c>
      <c r="H549" s="32" t="s">
        <v>409</v>
      </c>
      <c r="I549" s="36" t="s">
        <v>410</v>
      </c>
      <c r="J549" s="52"/>
      <c r="K549" s="32" t="s">
        <v>3658</v>
      </c>
      <c r="L549" s="32" t="s">
        <v>411</v>
      </c>
      <c r="M549" s="32" t="s">
        <v>259</v>
      </c>
      <c r="N549" s="33">
        <v>7</v>
      </c>
      <c r="O549" s="35"/>
      <c r="P549" s="35"/>
      <c r="Q549" s="37"/>
      <c r="R549" s="38"/>
      <c r="S549" s="33"/>
      <c r="T549" s="39">
        <v>297000</v>
      </c>
      <c r="U549" s="40" t="s">
        <v>61</v>
      </c>
      <c r="V549" s="41"/>
      <c r="W549" s="42" t="str">
        <f ca="1">IFERROR(__xludf.DUMMYFUNCTION("""COMPUTED_VALUE"""),"PT. Mengalir")</f>
        <v>PT. Mengalir</v>
      </c>
      <c r="X549" s="42" t="str">
        <f ca="1"/>
        <v>ON-PT. Mengalir-00011900+7-6281222110766</v>
      </c>
      <c r="Y549" s="40"/>
      <c r="Z549" s="40"/>
      <c r="AA549" s="23" t="str">
        <v>https://wa.me/6281222110766</v>
      </c>
      <c r="AB549" s="28"/>
      <c r="AC549" s="28"/>
      <c r="AD549" s="28"/>
      <c r="AE549" s="28"/>
      <c r="AF549" s="29"/>
      <c r="AG549" s="29"/>
    </row>
    <row r="550" spans="1:33" ht="15.75" customHeight="1">
      <c r="A550" s="32" t="s">
        <v>52</v>
      </c>
      <c r="B550" s="33">
        <v>554</v>
      </c>
      <c r="C550" s="34" t="s">
        <v>3659</v>
      </c>
      <c r="D550" s="35">
        <v>45873.900637511571</v>
      </c>
      <c r="E550" s="43">
        <v>45873</v>
      </c>
      <c r="F550" s="32" t="s">
        <v>1239</v>
      </c>
      <c r="G550" s="32" t="s">
        <v>1240</v>
      </c>
      <c r="H550" s="32" t="s">
        <v>1030</v>
      </c>
      <c r="I550" s="36" t="s">
        <v>1241</v>
      </c>
      <c r="J550" s="52" t="s">
        <v>2678</v>
      </c>
      <c r="K550" s="32" t="s">
        <v>1242</v>
      </c>
      <c r="L550" s="32" t="s">
        <v>1243</v>
      </c>
      <c r="M550" s="32" t="s">
        <v>205</v>
      </c>
      <c r="N550" s="33">
        <v>5</v>
      </c>
      <c r="O550" s="35"/>
      <c r="P550" s="35"/>
      <c r="Q550" s="37"/>
      <c r="R550" s="38"/>
      <c r="S550" s="33"/>
      <c r="T550" s="39">
        <v>375000</v>
      </c>
      <c r="U550" s="40" t="s">
        <v>61</v>
      </c>
      <c r="V550" s="41"/>
      <c r="W550" s="42" t="str">
        <f ca="1">IFERROR(__xludf.DUMMYFUNCTION("""COMPUTED_VALUE"""),"Rumah Sehat")</f>
        <v>Rumah Sehat</v>
      </c>
      <c r="X550" s="42" t="str">
        <f ca="1"/>
        <v>ON-Rumah Sehat-00011900+5-6282172291579</v>
      </c>
      <c r="Y550" s="40"/>
      <c r="Z550" s="40"/>
      <c r="AA550" s="23" t="str">
        <v>https://wa.me/6282172291579</v>
      </c>
      <c r="AB550" s="28"/>
      <c r="AC550" s="28"/>
      <c r="AD550" s="28"/>
      <c r="AE550" s="28"/>
      <c r="AF550" s="29"/>
      <c r="AG550" s="29"/>
    </row>
    <row r="551" spans="1:33" ht="15.75" customHeight="1">
      <c r="A551" s="32" t="s">
        <v>52</v>
      </c>
      <c r="B551" s="33">
        <v>555</v>
      </c>
      <c r="C551" s="34" t="s">
        <v>3660</v>
      </c>
      <c r="D551" s="35">
        <v>45873.901987777776</v>
      </c>
      <c r="E551" s="43">
        <v>45873</v>
      </c>
      <c r="F551" s="32" t="s">
        <v>3657</v>
      </c>
      <c r="G551" s="32" t="s">
        <v>408</v>
      </c>
      <c r="H551" s="32" t="s">
        <v>409</v>
      </c>
      <c r="I551" s="36" t="s">
        <v>410</v>
      </c>
      <c r="J551" s="52"/>
      <c r="K551" s="32" t="s">
        <v>3658</v>
      </c>
      <c r="L551" s="32" t="s">
        <v>411</v>
      </c>
      <c r="M551" s="32" t="s">
        <v>259</v>
      </c>
      <c r="N551" s="33">
        <v>7</v>
      </c>
      <c r="O551" s="35"/>
      <c r="P551" s="35"/>
      <c r="Q551" s="37"/>
      <c r="R551" s="38"/>
      <c r="S551" s="33"/>
      <c r="T551" s="39">
        <v>297000</v>
      </c>
      <c r="U551" s="40" t="s">
        <v>61</v>
      </c>
      <c r="V551" s="41"/>
      <c r="W551" s="42" t="str">
        <f ca="1">IFERROR(__xludf.DUMMYFUNCTION("""COMPUTED_VALUE"""),"PT. Mengalir")</f>
        <v>PT. Mengalir</v>
      </c>
      <c r="X551" s="42" t="str">
        <f ca="1"/>
        <v>ON-PT. Mengalir-00011900+7-6281222110766</v>
      </c>
      <c r="Y551" s="40"/>
      <c r="Z551" s="40"/>
      <c r="AA551" s="23" t="str">
        <v>https://wa.me/6281222110766</v>
      </c>
      <c r="AB551" s="28"/>
      <c r="AC551" s="28"/>
      <c r="AD551" s="28"/>
      <c r="AE551" s="28"/>
      <c r="AF551" s="29"/>
      <c r="AG551" s="29"/>
    </row>
    <row r="552" spans="1:33" ht="15.75" customHeight="1">
      <c r="A552" s="32" t="s">
        <v>196</v>
      </c>
      <c r="B552" s="33">
        <v>556</v>
      </c>
      <c r="C552" s="34" t="s">
        <v>3661</v>
      </c>
      <c r="D552" s="35">
        <v>45873.908018761576</v>
      </c>
      <c r="E552" s="43">
        <v>45873</v>
      </c>
      <c r="F552" s="32" t="s">
        <v>3662</v>
      </c>
      <c r="G552" s="32" t="s">
        <v>3663</v>
      </c>
      <c r="H552" s="32" t="s">
        <v>3664</v>
      </c>
      <c r="I552" s="36" t="s">
        <v>3665</v>
      </c>
      <c r="J552" s="52" t="s">
        <v>3666</v>
      </c>
      <c r="K552" s="32" t="s">
        <v>46</v>
      </c>
      <c r="L552" s="32" t="s">
        <v>3667</v>
      </c>
      <c r="M552" s="32" t="s">
        <v>60</v>
      </c>
      <c r="N552" s="33">
        <v>30</v>
      </c>
      <c r="O552" s="35"/>
      <c r="P552" s="35"/>
      <c r="Q552" s="37"/>
      <c r="R552" s="38"/>
      <c r="S552" s="33"/>
      <c r="T552" s="39">
        <v>1000000</v>
      </c>
      <c r="U552" s="40" t="s">
        <v>61</v>
      </c>
      <c r="V552" s="41"/>
      <c r="W552" s="42" t="str">
        <f ca="1">IFERROR(__xludf.DUMMYFUNCTION("""COMPUTED_VALUE"""),"The Travel")</f>
        <v>The Travel</v>
      </c>
      <c r="X552" s="42" t="str">
        <f ca="1"/>
        <v>ON-The Travel-00011900+30-6285333751528</v>
      </c>
      <c r="Y552" s="40" t="s">
        <v>62</v>
      </c>
      <c r="Z552" s="40" t="s">
        <v>1880</v>
      </c>
      <c r="AA552" s="23" t="str">
        <v>https://wa.me/6285333751528</v>
      </c>
      <c r="AB552" s="28" t="s">
        <v>3668</v>
      </c>
      <c r="AC552" s="28"/>
      <c r="AD552" s="28" t="s">
        <v>690</v>
      </c>
      <c r="AE552" s="28"/>
      <c r="AF552" s="29">
        <v>45875</v>
      </c>
      <c r="AG552" s="29"/>
    </row>
    <row r="553" spans="1:33" ht="15.75" customHeight="1">
      <c r="A553" s="32" t="s">
        <v>196</v>
      </c>
      <c r="B553" s="33">
        <v>558</v>
      </c>
      <c r="C553" s="34" t="s">
        <v>3669</v>
      </c>
      <c r="D553" s="33" t="s">
        <v>3670</v>
      </c>
      <c r="E553" s="43">
        <v>45874</v>
      </c>
      <c r="F553" s="32" t="s">
        <v>3671</v>
      </c>
      <c r="G553" s="32" t="s">
        <v>3672</v>
      </c>
      <c r="H553" s="32" t="s">
        <v>3673</v>
      </c>
      <c r="I553" s="36" t="s">
        <v>3674</v>
      </c>
      <c r="J553" s="52"/>
      <c r="K553" s="32" t="s">
        <v>3675</v>
      </c>
      <c r="L553" s="32" t="s">
        <v>3676</v>
      </c>
      <c r="M553" s="32" t="s">
        <v>382</v>
      </c>
      <c r="N553" s="33">
        <v>10</v>
      </c>
      <c r="O553" s="35"/>
      <c r="P553" s="35"/>
      <c r="Q553" s="37"/>
      <c r="R553" s="38">
        <v>-1003470351325</v>
      </c>
      <c r="S553" s="33"/>
      <c r="T553" s="39">
        <v>375000</v>
      </c>
      <c r="U553" s="40" t="s">
        <v>115</v>
      </c>
      <c r="V553" s="47">
        <v>46019.227076782408</v>
      </c>
      <c r="W553" s="42" t="str">
        <f ca="1">IFERROR(__xludf.DUMMYFUNCTION("""COMPUTED_VALUE"""),"Multi Gemilang")</f>
        <v>Multi Gemilang</v>
      </c>
      <c r="X553" s="42" t="str">
        <f ca="1"/>
        <v>ON-Multi Gemilang-28122025+10-628170204528</v>
      </c>
      <c r="Y553" s="40" t="s">
        <v>62</v>
      </c>
      <c r="Z553" s="40" t="s">
        <v>1861</v>
      </c>
      <c r="AA553" s="23" t="str">
        <v>https://wa.me/628170204528</v>
      </c>
      <c r="AB553" s="28" t="s">
        <v>3677</v>
      </c>
      <c r="AC553" s="28"/>
      <c r="AD553" s="28" t="s">
        <v>690</v>
      </c>
      <c r="AE553" s="28"/>
      <c r="AF553" s="29">
        <v>45876</v>
      </c>
      <c r="AG553" s="29"/>
    </row>
    <row r="554" spans="1:33" ht="15.75" customHeight="1">
      <c r="A554" s="32" t="s">
        <v>52</v>
      </c>
      <c r="B554" s="33">
        <v>559</v>
      </c>
      <c r="C554" s="34" t="s">
        <v>3678</v>
      </c>
      <c r="D554" s="35">
        <v>45874.385099490741</v>
      </c>
      <c r="E554" s="43">
        <v>45874</v>
      </c>
      <c r="F554" s="32" t="s">
        <v>2767</v>
      </c>
      <c r="G554" s="32" t="s">
        <v>2768</v>
      </c>
      <c r="H554" s="32" t="s">
        <v>2769</v>
      </c>
      <c r="I554" s="36" t="s">
        <v>2770</v>
      </c>
      <c r="J554" s="52"/>
      <c r="K554" s="32" t="s">
        <v>3679</v>
      </c>
      <c r="L554" s="32" t="s">
        <v>382</v>
      </c>
      <c r="M554" s="32" t="s">
        <v>382</v>
      </c>
      <c r="N554" s="33">
        <v>10</v>
      </c>
      <c r="O554" s="35"/>
      <c r="P554" s="35"/>
      <c r="Q554" s="37"/>
      <c r="R554" s="38"/>
      <c r="S554" s="33"/>
      <c r="T554" s="39">
        <v>375000</v>
      </c>
      <c r="U554" s="40" t="s">
        <v>115</v>
      </c>
      <c r="V554" s="41"/>
      <c r="W554" s="42" t="str">
        <f ca="1">IFERROR(__xludf.DUMMYFUNCTION("""COMPUTED_VALUE"""),"Rumah Ruqyah")</f>
        <v>Rumah Ruqyah</v>
      </c>
      <c r="X554" s="42" t="str">
        <f ca="1"/>
        <v>ON-Rumah Ruqyah-00011900+10-6285645050058</v>
      </c>
      <c r="Y554" s="40"/>
      <c r="Z554" s="40"/>
      <c r="AA554" s="23" t="str">
        <v>https://wa.me/6285645050058</v>
      </c>
      <c r="AB554" s="28"/>
      <c r="AC554" s="28"/>
      <c r="AD554" s="28"/>
      <c r="AE554" s="28"/>
      <c r="AF554" s="29"/>
      <c r="AG554" s="29"/>
    </row>
    <row r="555" spans="1:33" ht="15.75" customHeight="1">
      <c r="A555" s="32" t="s">
        <v>196</v>
      </c>
      <c r="B555" s="33">
        <v>561</v>
      </c>
      <c r="C555" s="34" t="s">
        <v>3680</v>
      </c>
      <c r="D555" s="35">
        <v>45874.427465451387</v>
      </c>
      <c r="E555" s="43">
        <v>45874</v>
      </c>
      <c r="F555" s="32" t="s">
        <v>3681</v>
      </c>
      <c r="G555" s="32" t="s">
        <v>3682</v>
      </c>
      <c r="H555" s="32" t="s">
        <v>3683</v>
      </c>
      <c r="I555" s="36" t="s">
        <v>3684</v>
      </c>
      <c r="J555" s="52"/>
      <c r="K555" s="32" t="s">
        <v>3685</v>
      </c>
      <c r="L555" s="32" t="s">
        <v>3686</v>
      </c>
      <c r="M555" s="32" t="s">
        <v>3687</v>
      </c>
      <c r="N555" s="33">
        <v>20</v>
      </c>
      <c r="O555" s="35"/>
      <c r="P555" s="35"/>
      <c r="Q555" s="37"/>
      <c r="R555" s="38"/>
      <c r="S555" s="33"/>
      <c r="T555" s="39">
        <v>700000</v>
      </c>
      <c r="U555" s="40" t="s">
        <v>1229</v>
      </c>
      <c r="V555" s="41"/>
      <c r="W555" s="42" t="str">
        <f ca="1">IFERROR(__xludf.DUMMYFUNCTION("""COMPUTED_VALUE"""),"Terapi ku")</f>
        <v>Terapi ku</v>
      </c>
      <c r="X555" s="42" t="str">
        <f ca="1"/>
        <v>ON-Terapi ku-00011900+20-6285602235226</v>
      </c>
      <c r="Y555" s="40" t="s">
        <v>62</v>
      </c>
      <c r="Z555" s="40" t="s">
        <v>639</v>
      </c>
      <c r="AA555" s="23" t="str">
        <v>https://wa.me/6285602235226</v>
      </c>
      <c r="AB555" s="28" t="s">
        <v>3688</v>
      </c>
      <c r="AC555" s="28"/>
      <c r="AD555" s="28" t="s">
        <v>690</v>
      </c>
      <c r="AE555" s="28"/>
      <c r="AF555" s="29">
        <v>45877</v>
      </c>
      <c r="AG555" s="29"/>
    </row>
    <row r="556" spans="1:33" ht="15.75" customHeight="1">
      <c r="A556" s="32" t="s">
        <v>196</v>
      </c>
      <c r="B556" s="33">
        <v>562</v>
      </c>
      <c r="C556" s="34" t="s">
        <v>3689</v>
      </c>
      <c r="D556" s="35">
        <v>45874.488770891199</v>
      </c>
      <c r="E556" s="33" t="s">
        <v>3690</v>
      </c>
      <c r="F556" s="32" t="s">
        <v>3691</v>
      </c>
      <c r="G556" s="32" t="s">
        <v>3692</v>
      </c>
      <c r="H556" s="32" t="s">
        <v>507</v>
      </c>
      <c r="I556" s="36" t="s">
        <v>3693</v>
      </c>
      <c r="J556" s="52" t="s">
        <v>3694</v>
      </c>
      <c r="K556" s="32" t="s">
        <v>3695</v>
      </c>
      <c r="L556" s="32" t="s">
        <v>3696</v>
      </c>
      <c r="M556" s="32" t="s">
        <v>3697</v>
      </c>
      <c r="N556" s="33">
        <v>5</v>
      </c>
      <c r="O556" s="35"/>
      <c r="P556" s="35"/>
      <c r="Q556" s="37"/>
      <c r="R556" s="38"/>
      <c r="S556" s="33"/>
      <c r="T556" s="39">
        <v>197000</v>
      </c>
      <c r="U556" s="40" t="s">
        <v>115</v>
      </c>
      <c r="V556" s="41"/>
      <c r="W556" s="42" t="str">
        <f ca="1">IFERROR(__xludf.DUMMYFUNCTION("""COMPUTED_VALUE"""),"Amanah Jaya")</f>
        <v>Amanah Jaya</v>
      </c>
      <c r="X556" s="42" t="str">
        <f ca="1"/>
        <v>ON-Amanah Jaya-00011900+5-6281353489660</v>
      </c>
      <c r="Y556" s="40" t="s">
        <v>293</v>
      </c>
      <c r="Z556" s="40" t="s">
        <v>1057</v>
      </c>
      <c r="AA556" s="23" t="str">
        <v>https://wa.me/6281353489660</v>
      </c>
      <c r="AB556" s="28" t="s">
        <v>3698</v>
      </c>
      <c r="AC556" s="28"/>
      <c r="AD556" s="28" t="s">
        <v>690</v>
      </c>
      <c r="AE556" s="28"/>
      <c r="AF556" s="29">
        <v>45878</v>
      </c>
      <c r="AG556" s="29"/>
    </row>
    <row r="557" spans="1:33" ht="15.75" customHeight="1">
      <c r="A557" s="32" t="s">
        <v>52</v>
      </c>
      <c r="B557" s="33">
        <v>563</v>
      </c>
      <c r="C557" s="34" t="s">
        <v>3699</v>
      </c>
      <c r="D557" s="35">
        <v>45874.491964259258</v>
      </c>
      <c r="E557" s="33" t="s">
        <v>3690</v>
      </c>
      <c r="F557" s="32" t="s">
        <v>1020</v>
      </c>
      <c r="G557" s="32" t="s">
        <v>1021</v>
      </c>
      <c r="H557" s="32" t="s">
        <v>1022</v>
      </c>
      <c r="I557" s="36" t="s">
        <v>1023</v>
      </c>
      <c r="J557" s="52" t="s">
        <v>3700</v>
      </c>
      <c r="K557" s="32" t="s">
        <v>1024</v>
      </c>
      <c r="L557" s="32" t="s">
        <v>629</v>
      </c>
      <c r="M557" s="32"/>
      <c r="N557" s="33">
        <v>14</v>
      </c>
      <c r="O557" s="35"/>
      <c r="P557" s="35"/>
      <c r="Q557" s="37"/>
      <c r="R557" s="38"/>
      <c r="S557" s="33"/>
      <c r="T557" s="39">
        <v>725000</v>
      </c>
      <c r="U557" s="40" t="s">
        <v>115</v>
      </c>
      <c r="V557" s="41"/>
      <c r="W557" s="42" t="str">
        <f ca="1">IFERROR(__xludf.DUMMYFUNCTION("""COMPUTED_VALUE"""),"Deriano")</f>
        <v>Deriano</v>
      </c>
      <c r="X557" s="42" t="str">
        <f ca="1"/>
        <v>ON-Deriano-00011900+14-6282122880328</v>
      </c>
      <c r="Y557" s="40"/>
      <c r="Z557" s="40"/>
      <c r="AA557" s="23" t="str">
        <v>https://wa.me/6282122880328</v>
      </c>
      <c r="AB557" s="28"/>
      <c r="AC557" s="28"/>
      <c r="AD557" s="28"/>
      <c r="AE557" s="28"/>
      <c r="AF557" s="29"/>
      <c r="AG557" s="29"/>
    </row>
    <row r="558" spans="1:33" ht="15.75" customHeight="1">
      <c r="A558" s="32" t="s">
        <v>196</v>
      </c>
      <c r="B558" s="33">
        <v>564</v>
      </c>
      <c r="C558" s="34" t="s">
        <v>3701</v>
      </c>
      <c r="D558" s="35">
        <v>45874.533068020828</v>
      </c>
      <c r="E558" s="43">
        <v>45874</v>
      </c>
      <c r="F558" s="32" t="s">
        <v>3702</v>
      </c>
      <c r="G558" s="32" t="s">
        <v>3703</v>
      </c>
      <c r="H558" s="32" t="s">
        <v>3704</v>
      </c>
      <c r="I558" s="36" t="s">
        <v>3705</v>
      </c>
      <c r="J558" s="52"/>
      <c r="K558" s="32" t="s">
        <v>3706</v>
      </c>
      <c r="L558" s="32" t="s">
        <v>3707</v>
      </c>
      <c r="M558" s="32" t="s">
        <v>285</v>
      </c>
      <c r="N558" s="33">
        <v>5</v>
      </c>
      <c r="O558" s="35"/>
      <c r="P558" s="35"/>
      <c r="Q558" s="37"/>
      <c r="R558" s="38"/>
      <c r="S558" s="33"/>
      <c r="T558" s="39">
        <v>197000</v>
      </c>
      <c r="U558" s="40" t="s">
        <v>1229</v>
      </c>
      <c r="V558" s="41"/>
      <c r="W558" s="42" t="str">
        <f ca="1">IFERROR(__xludf.DUMMYFUNCTION("""COMPUTED_VALUE"""),"SYABANA PROPERTY")</f>
        <v>SYABANA PROPERTY</v>
      </c>
      <c r="X558" s="42" t="str">
        <f ca="1"/>
        <v>ON-SYABANA PROPERTY-00011900+5-6283856759344</v>
      </c>
      <c r="Y558" s="40" t="s">
        <v>293</v>
      </c>
      <c r="Z558" s="40" t="s">
        <v>1057</v>
      </c>
      <c r="AA558" s="23" t="str">
        <v>https://wa.me/6283856759344</v>
      </c>
      <c r="AB558" s="28" t="s">
        <v>3708</v>
      </c>
      <c r="AC558" s="28"/>
      <c r="AD558" s="28" t="s">
        <v>690</v>
      </c>
      <c r="AE558" s="28"/>
      <c r="AF558" s="29">
        <v>45877</v>
      </c>
      <c r="AG558" s="29"/>
    </row>
    <row r="559" spans="1:33" ht="15.75" customHeight="1">
      <c r="A559" s="32" t="s">
        <v>52</v>
      </c>
      <c r="B559" s="33">
        <v>565</v>
      </c>
      <c r="C559" s="34" t="s">
        <v>3709</v>
      </c>
      <c r="D559" s="35">
        <v>45874.579989560181</v>
      </c>
      <c r="E559" s="43">
        <v>45874</v>
      </c>
      <c r="F559" s="32" t="s">
        <v>1670</v>
      </c>
      <c r="G559" s="32" t="s">
        <v>1671</v>
      </c>
      <c r="H559" s="32" t="s">
        <v>409</v>
      </c>
      <c r="I559" s="36" t="s">
        <v>1672</v>
      </c>
      <c r="J559" s="52" t="s">
        <v>1673</v>
      </c>
      <c r="K559" s="32" t="s">
        <v>173</v>
      </c>
      <c r="L559" s="32" t="s">
        <v>1674</v>
      </c>
      <c r="M559" s="32" t="s">
        <v>131</v>
      </c>
      <c r="N559" s="33">
        <v>5</v>
      </c>
      <c r="O559" s="35"/>
      <c r="P559" s="35"/>
      <c r="Q559" s="37"/>
      <c r="R559" s="38"/>
      <c r="S559" s="33"/>
      <c r="T559" s="39">
        <v>197000</v>
      </c>
      <c r="U559" s="40" t="s">
        <v>61</v>
      </c>
      <c r="V559" s="41"/>
      <c r="W559" s="42" t="str">
        <f ca="1">IFERROR(__xludf.DUMMYFUNCTION("""COMPUTED_VALUE"""),"CV GAMA")</f>
        <v>CV GAMA</v>
      </c>
      <c r="X559" s="42" t="str">
        <f ca="1"/>
        <v>ON-CV GAMA-00011900+5-62818763108</v>
      </c>
      <c r="Y559" s="40"/>
      <c r="Z559" s="40"/>
      <c r="AA559" s="23" t="str">
        <v>https://wa.me/62818763108</v>
      </c>
      <c r="AB559" s="28"/>
      <c r="AC559" s="28"/>
      <c r="AD559" s="28"/>
      <c r="AE559" s="28"/>
      <c r="AF559" s="29"/>
      <c r="AG559" s="29"/>
    </row>
    <row r="560" spans="1:33" ht="15.75" customHeight="1">
      <c r="A560" s="32" t="s">
        <v>196</v>
      </c>
      <c r="B560" s="33">
        <v>566</v>
      </c>
      <c r="C560" s="34" t="s">
        <v>3710</v>
      </c>
      <c r="D560" s="35">
        <v>45874.592723622685</v>
      </c>
      <c r="E560" s="43">
        <v>45874</v>
      </c>
      <c r="F560" s="32" t="s">
        <v>2692</v>
      </c>
      <c r="G560" s="32" t="s">
        <v>2693</v>
      </c>
      <c r="H560" s="32" t="s">
        <v>3711</v>
      </c>
      <c r="I560" s="36" t="s">
        <v>2694</v>
      </c>
      <c r="J560" s="52"/>
      <c r="K560" s="32" t="s">
        <v>3712</v>
      </c>
      <c r="L560" s="32" t="s">
        <v>85</v>
      </c>
      <c r="M560" s="32" t="s">
        <v>92</v>
      </c>
      <c r="N560" s="33">
        <v>7</v>
      </c>
      <c r="O560" s="35"/>
      <c r="P560" s="35"/>
      <c r="Q560" s="37"/>
      <c r="R560" s="38"/>
      <c r="S560" s="33"/>
      <c r="T560" s="39">
        <v>297000</v>
      </c>
      <c r="U560" s="40" t="s">
        <v>61</v>
      </c>
      <c r="V560" s="41"/>
      <c r="W560" s="42" t="str">
        <f ca="1">IFERROR(__xludf.DUMMYFUNCTION("""COMPUTED_VALUE"""),"CV Karya")</f>
        <v>CV Karya</v>
      </c>
      <c r="X560" s="42" t="str">
        <f ca="1"/>
        <v>ON-CV Karya-00011900+7-6285888590045</v>
      </c>
      <c r="Y560" s="40" t="s">
        <v>293</v>
      </c>
      <c r="Z560" s="40" t="s">
        <v>1057</v>
      </c>
      <c r="AA560" s="23" t="str">
        <v>https://wa.me/6285888590045</v>
      </c>
      <c r="AB560" s="28" t="s">
        <v>3713</v>
      </c>
      <c r="AC560" s="28"/>
      <c r="AD560" s="28" t="s">
        <v>690</v>
      </c>
      <c r="AE560" s="28"/>
      <c r="AF560" s="29">
        <v>45876</v>
      </c>
      <c r="AG560" s="29"/>
    </row>
    <row r="561" spans="1:33" ht="15.75" customHeight="1">
      <c r="A561" s="32" t="s">
        <v>196</v>
      </c>
      <c r="B561" s="33">
        <v>567</v>
      </c>
      <c r="C561" s="34" t="s">
        <v>3714</v>
      </c>
      <c r="D561" s="35">
        <v>45874.593767326391</v>
      </c>
      <c r="E561" s="43">
        <v>45874</v>
      </c>
      <c r="F561" s="32" t="s">
        <v>2692</v>
      </c>
      <c r="G561" s="32" t="s">
        <v>2693</v>
      </c>
      <c r="H561" s="32" t="s">
        <v>3715</v>
      </c>
      <c r="I561" s="36" t="s">
        <v>2694</v>
      </c>
      <c r="J561" s="52"/>
      <c r="K561" s="32" t="s">
        <v>3716</v>
      </c>
      <c r="L561" s="32" t="s">
        <v>85</v>
      </c>
      <c r="M561" s="32" t="s">
        <v>92</v>
      </c>
      <c r="N561" s="33">
        <v>7</v>
      </c>
      <c r="O561" s="35"/>
      <c r="P561" s="35"/>
      <c r="Q561" s="37"/>
      <c r="R561" s="38"/>
      <c r="S561" s="33"/>
      <c r="T561" s="39">
        <v>297000</v>
      </c>
      <c r="U561" s="40" t="s">
        <v>61</v>
      </c>
      <c r="V561" s="41"/>
      <c r="W561" s="42" t="str">
        <f ca="1">IFERROR(__xludf.DUMMYFUNCTION("""COMPUTED_VALUE"""),"CV Karya")</f>
        <v>CV Karya</v>
      </c>
      <c r="X561" s="42" t="str">
        <f ca="1"/>
        <v>ON-CV Karya-00011900+7-6285888590045</v>
      </c>
      <c r="Y561" s="40" t="s">
        <v>293</v>
      </c>
      <c r="Z561" s="40" t="s">
        <v>1057</v>
      </c>
      <c r="AA561" s="23" t="str">
        <v>https://wa.me/6285888590045</v>
      </c>
      <c r="AB561" s="28" t="s">
        <v>3717</v>
      </c>
      <c r="AC561" s="28"/>
      <c r="AD561" s="28" t="s">
        <v>690</v>
      </c>
      <c r="AE561" s="28"/>
      <c r="AF561" s="29">
        <v>45876</v>
      </c>
      <c r="AG561" s="29"/>
    </row>
    <row r="562" spans="1:33" ht="15.75" customHeight="1">
      <c r="A562" s="32" t="s">
        <v>196</v>
      </c>
      <c r="B562" s="33">
        <v>568</v>
      </c>
      <c r="C562" s="34" t="s">
        <v>3718</v>
      </c>
      <c r="D562" s="35">
        <v>45874.594774618061</v>
      </c>
      <c r="E562" s="43">
        <v>45874</v>
      </c>
      <c r="F562" s="32" t="s">
        <v>2692</v>
      </c>
      <c r="G562" s="32" t="s">
        <v>2693</v>
      </c>
      <c r="H562" s="32" t="s">
        <v>3719</v>
      </c>
      <c r="I562" s="36" t="s">
        <v>2694</v>
      </c>
      <c r="J562" s="52"/>
      <c r="K562" s="32" t="s">
        <v>3716</v>
      </c>
      <c r="L562" s="32" t="s">
        <v>85</v>
      </c>
      <c r="M562" s="32" t="s">
        <v>1926</v>
      </c>
      <c r="N562" s="33">
        <v>7</v>
      </c>
      <c r="O562" s="35">
        <v>45876</v>
      </c>
      <c r="P562" s="35">
        <v>45883</v>
      </c>
      <c r="Q562" s="37"/>
      <c r="R562" s="38"/>
      <c r="S562" s="33"/>
      <c r="T562" s="39">
        <v>297000</v>
      </c>
      <c r="U562" s="40" t="s">
        <v>61</v>
      </c>
      <c r="V562" s="41"/>
      <c r="W562" s="42" t="str">
        <f ca="1">IFERROR(__xludf.DUMMYFUNCTION("""COMPUTED_VALUE"""),"CV Karya")</f>
        <v>CV Karya</v>
      </c>
      <c r="X562" s="42" t="str">
        <f ca="1"/>
        <v>ON-CV Karya-00011900+7-6285888590045</v>
      </c>
      <c r="Y562" s="40" t="s">
        <v>293</v>
      </c>
      <c r="Z562" s="40" t="s">
        <v>1057</v>
      </c>
      <c r="AA562" s="23" t="str">
        <v>https://wa.me/6285888590045</v>
      </c>
      <c r="AB562" s="28" t="s">
        <v>3720</v>
      </c>
      <c r="AC562" s="28"/>
      <c r="AD562" s="28" t="s">
        <v>690</v>
      </c>
      <c r="AE562" s="28"/>
      <c r="AF562" s="29">
        <v>45876</v>
      </c>
      <c r="AG562" s="29"/>
    </row>
    <row r="563" spans="1:33" ht="15.75" customHeight="1">
      <c r="A563" s="32" t="s">
        <v>196</v>
      </c>
      <c r="B563" s="33">
        <v>569</v>
      </c>
      <c r="C563" s="34" t="s">
        <v>3721</v>
      </c>
      <c r="D563" s="35">
        <v>45874.669865856486</v>
      </c>
      <c r="E563" s="43">
        <v>45871</v>
      </c>
      <c r="F563" s="32" t="s">
        <v>3722</v>
      </c>
      <c r="G563" s="32" t="s">
        <v>3723</v>
      </c>
      <c r="H563" s="32" t="s">
        <v>3724</v>
      </c>
      <c r="I563" s="36" t="s">
        <v>3725</v>
      </c>
      <c r="J563" s="52"/>
      <c r="K563" s="32" t="s">
        <v>3726</v>
      </c>
      <c r="L563" s="32" t="s">
        <v>3727</v>
      </c>
      <c r="M563" s="32" t="s">
        <v>2655</v>
      </c>
      <c r="N563" s="33">
        <v>5</v>
      </c>
      <c r="O563" s="35"/>
      <c r="P563" s="35"/>
      <c r="Q563" s="37"/>
      <c r="R563" s="38"/>
      <c r="S563" s="33"/>
      <c r="T563" s="39">
        <v>150000</v>
      </c>
      <c r="U563" s="40" t="s">
        <v>1229</v>
      </c>
      <c r="V563" s="41"/>
      <c r="W563" s="42" t="str">
        <f ca="1">IFERROR(__xludf.DUMMYFUNCTION("""COMPUTED_VALUE"""),"PWG (Prife")</f>
        <v>PWG (Prife</v>
      </c>
      <c r="X563" s="42" t="str">
        <f ca="1"/>
        <v>ON-PWG (Prife-00011900+5-6281915041833</v>
      </c>
      <c r="Y563" s="40" t="s">
        <v>62</v>
      </c>
      <c r="Z563" s="40" t="s">
        <v>639</v>
      </c>
      <c r="AA563" s="23" t="str">
        <v>https://wa.me/6281915041833</v>
      </c>
      <c r="AB563" s="28" t="s">
        <v>3728</v>
      </c>
      <c r="AC563" s="28"/>
      <c r="AD563" s="28" t="s">
        <v>690</v>
      </c>
      <c r="AE563" s="28"/>
      <c r="AF563" s="29">
        <v>45875</v>
      </c>
      <c r="AG563" s="29"/>
    </row>
    <row r="564" spans="1:33" ht="15.75" customHeight="1">
      <c r="A564" s="32" t="s">
        <v>52</v>
      </c>
      <c r="B564" s="33">
        <v>570</v>
      </c>
      <c r="C564" s="34" t="s">
        <v>3729</v>
      </c>
      <c r="D564" s="35">
        <v>45874.800614143518</v>
      </c>
      <c r="E564" s="43">
        <v>45873</v>
      </c>
      <c r="F564" s="32" t="s">
        <v>1239</v>
      </c>
      <c r="G564" s="32" t="s">
        <v>1240</v>
      </c>
      <c r="H564" s="32" t="s">
        <v>1030</v>
      </c>
      <c r="I564" s="36" t="s">
        <v>1241</v>
      </c>
      <c r="J564" s="52" t="s">
        <v>2678</v>
      </c>
      <c r="K564" s="32" t="s">
        <v>1242</v>
      </c>
      <c r="L564" s="32" t="s">
        <v>1243</v>
      </c>
      <c r="M564" s="32" t="s">
        <v>205</v>
      </c>
      <c r="N564" s="33">
        <v>10</v>
      </c>
      <c r="O564" s="35"/>
      <c r="P564" s="35"/>
      <c r="Q564" s="37"/>
      <c r="R564" s="38"/>
      <c r="S564" s="33"/>
      <c r="T564" s="39">
        <v>375000</v>
      </c>
      <c r="U564" s="40" t="s">
        <v>61</v>
      </c>
      <c r="V564" s="41"/>
      <c r="W564" s="42" t="str">
        <f ca="1">IFERROR(__xludf.DUMMYFUNCTION("""COMPUTED_VALUE"""),"Rumah Sehat")</f>
        <v>Rumah Sehat</v>
      </c>
      <c r="X564" s="42" t="str">
        <f ca="1"/>
        <v>ON-Rumah Sehat-00011900+10-6282172291579</v>
      </c>
      <c r="Y564" s="40"/>
      <c r="Z564" s="40"/>
      <c r="AA564" s="23" t="str">
        <v>https://wa.me/6282172291579</v>
      </c>
      <c r="AB564" s="28"/>
      <c r="AC564" s="28"/>
      <c r="AD564" s="28"/>
      <c r="AE564" s="28"/>
      <c r="AF564" s="29"/>
      <c r="AG564" s="29"/>
    </row>
    <row r="565" spans="1:33" ht="15.75" customHeight="1">
      <c r="A565" s="32" t="s">
        <v>52</v>
      </c>
      <c r="B565" s="33">
        <v>570</v>
      </c>
      <c r="C565" s="34" t="s">
        <v>3729</v>
      </c>
      <c r="D565" s="35">
        <v>45875.338282708333</v>
      </c>
      <c r="E565" s="43">
        <v>45875</v>
      </c>
      <c r="F565" s="32" t="s">
        <v>969</v>
      </c>
      <c r="G565" s="32" t="s">
        <v>970</v>
      </c>
      <c r="H565" s="32" t="s">
        <v>971</v>
      </c>
      <c r="I565" s="36" t="s">
        <v>972</v>
      </c>
      <c r="J565" s="52"/>
      <c r="K565" s="32" t="s">
        <v>973</v>
      </c>
      <c r="L565" s="32" t="s">
        <v>974</v>
      </c>
      <c r="M565" s="32" t="s">
        <v>60</v>
      </c>
      <c r="N565" s="33">
        <v>5</v>
      </c>
      <c r="O565" s="35"/>
      <c r="P565" s="35"/>
      <c r="Q565" s="37"/>
      <c r="R565" s="38"/>
      <c r="S565" s="33"/>
      <c r="T565" s="39">
        <v>197000</v>
      </c>
      <c r="U565" s="40" t="s">
        <v>61</v>
      </c>
      <c r="V565" s="41"/>
      <c r="W565" s="42" t="str">
        <f ca="1">IFERROR(__xludf.DUMMYFUNCTION("""COMPUTED_VALUE"""),"Ragil Mapan")</f>
        <v>Ragil Mapan</v>
      </c>
      <c r="X565" s="42" t="str">
        <f ca="1"/>
        <v>ON-Ragil Mapan-00011900+5-6282230035858</v>
      </c>
      <c r="Y565" s="40"/>
      <c r="Z565" s="40"/>
      <c r="AA565" s="23" t="str">
        <v>https://wa.me/6282230035858</v>
      </c>
      <c r="AB565" s="28"/>
      <c r="AC565" s="28"/>
      <c r="AD565" s="28"/>
      <c r="AE565" s="28"/>
      <c r="AF565" s="29"/>
      <c r="AG565" s="29"/>
    </row>
    <row r="566" spans="1:33" ht="15.75" customHeight="1">
      <c r="A566" s="32" t="s">
        <v>52</v>
      </c>
      <c r="B566" s="33">
        <v>571</v>
      </c>
      <c r="C566" s="34" t="s">
        <v>3730</v>
      </c>
      <c r="D566" s="35">
        <v>45875.366245983794</v>
      </c>
      <c r="E566" s="43">
        <v>45873</v>
      </c>
      <c r="F566" s="32" t="s">
        <v>1222</v>
      </c>
      <c r="G566" s="32" t="s">
        <v>1223</v>
      </c>
      <c r="H566" s="32" t="s">
        <v>1224</v>
      </c>
      <c r="I566" s="36" t="s">
        <v>1225</v>
      </c>
      <c r="J566" s="52" t="s">
        <v>1226</v>
      </c>
      <c r="K566" s="32" t="s">
        <v>570</v>
      </c>
      <c r="L566" s="32" t="s">
        <v>1228</v>
      </c>
      <c r="M566" s="32" t="s">
        <v>800</v>
      </c>
      <c r="N566" s="33">
        <v>5</v>
      </c>
      <c r="O566" s="35"/>
      <c r="P566" s="35"/>
      <c r="Q566" s="37"/>
      <c r="R566" s="38"/>
      <c r="S566" s="33"/>
      <c r="T566" s="39">
        <v>197000</v>
      </c>
      <c r="U566" s="40" t="s">
        <v>1229</v>
      </c>
      <c r="V566" s="41"/>
      <c r="W566" s="42" t="str">
        <f ca="1">IFERROR(__xludf.DUMMYFUNCTION("""COMPUTED_VALUE"""),"Qui Panel")</f>
        <v>Qui Panel</v>
      </c>
      <c r="X566" s="42" t="str">
        <f ca="1"/>
        <v>ON-Qui Panel-00011900+5-6285715856120</v>
      </c>
      <c r="Y566" s="40"/>
      <c r="Z566" s="40"/>
      <c r="AA566" s="23" t="str">
        <v>https://wa.me/6285715856120</v>
      </c>
      <c r="AB566" s="28"/>
      <c r="AC566" s="28"/>
      <c r="AD566" s="28"/>
      <c r="AE566" s="28"/>
      <c r="AF566" s="29"/>
      <c r="AG566" s="29"/>
    </row>
    <row r="567" spans="1:33" ht="15.75" customHeight="1">
      <c r="A567" s="32" t="s">
        <v>196</v>
      </c>
      <c r="B567" s="33">
        <v>572</v>
      </c>
      <c r="C567" s="34" t="s">
        <v>3731</v>
      </c>
      <c r="D567" s="35">
        <v>45875.397572731483</v>
      </c>
      <c r="E567" s="43">
        <v>45875</v>
      </c>
      <c r="F567" s="32" t="s">
        <v>3732</v>
      </c>
      <c r="G567" s="32" t="s">
        <v>3733</v>
      </c>
      <c r="H567" s="32" t="s">
        <v>3734</v>
      </c>
      <c r="I567" s="36" t="s">
        <v>3735</v>
      </c>
      <c r="J567" s="52"/>
      <c r="K567" s="32" t="s">
        <v>570</v>
      </c>
      <c r="L567" s="32" t="s">
        <v>3545</v>
      </c>
      <c r="M567" s="32" t="s">
        <v>2032</v>
      </c>
      <c r="N567" s="33">
        <v>5</v>
      </c>
      <c r="O567" s="35"/>
      <c r="P567" s="35"/>
      <c r="Q567" s="37"/>
      <c r="R567" s="38"/>
      <c r="S567" s="33"/>
      <c r="T567" s="39">
        <v>197000</v>
      </c>
      <c r="U567" s="40" t="s">
        <v>61</v>
      </c>
      <c r="V567" s="41"/>
      <c r="W567" s="42" t="str">
        <f ca="1">IFERROR(__xludf.DUMMYFUNCTION("""COMPUTED_VALUE"""),"plesir4n")</f>
        <v>plesir4n</v>
      </c>
      <c r="X567" s="42" t="str">
        <f ca="1"/>
        <v>ON-plesir4n-00011900+5-62882001438924</v>
      </c>
      <c r="Y567" s="40" t="s">
        <v>62</v>
      </c>
      <c r="Z567" s="40" t="s">
        <v>1880</v>
      </c>
      <c r="AA567" s="23" t="str">
        <v>https://wa.me/62882001438924</v>
      </c>
      <c r="AB567" s="28" t="s">
        <v>3736</v>
      </c>
      <c r="AC567" s="28"/>
      <c r="AD567" s="28" t="s">
        <v>690</v>
      </c>
      <c r="AE567" s="28"/>
      <c r="AF567" s="29">
        <v>45877</v>
      </c>
      <c r="AG567" s="29"/>
    </row>
    <row r="568" spans="1:33" ht="15.75" customHeight="1">
      <c r="A568" s="32" t="s">
        <v>196</v>
      </c>
      <c r="B568" s="33">
        <v>573</v>
      </c>
      <c r="C568" s="34" t="s">
        <v>3737</v>
      </c>
      <c r="D568" s="35">
        <v>45875.474000914357</v>
      </c>
      <c r="E568" s="43">
        <v>45875</v>
      </c>
      <c r="F568" s="32" t="s">
        <v>3738</v>
      </c>
      <c r="G568" s="32" t="s">
        <v>3739</v>
      </c>
      <c r="H568" s="32" t="s">
        <v>3740</v>
      </c>
      <c r="I568" s="36" t="s">
        <v>3741</v>
      </c>
      <c r="J568" s="52"/>
      <c r="K568" s="32" t="s">
        <v>3742</v>
      </c>
      <c r="L568" s="32" t="s">
        <v>2577</v>
      </c>
      <c r="M568" s="32" t="s">
        <v>60</v>
      </c>
      <c r="N568" s="33">
        <v>10</v>
      </c>
      <c r="O568" s="35"/>
      <c r="P568" s="35"/>
      <c r="Q568" s="37"/>
      <c r="R568" s="38"/>
      <c r="S568" s="33"/>
      <c r="T568" s="39">
        <v>375000</v>
      </c>
      <c r="U568" s="40" t="s">
        <v>61</v>
      </c>
      <c r="V568" s="41"/>
      <c r="W568" s="42" t="str">
        <f ca="1">IFERROR(__xludf.DUMMYFUNCTION("""COMPUTED_VALUE"""),"CV PERMATA")</f>
        <v>CV PERMATA</v>
      </c>
      <c r="X568" s="42" t="str">
        <f ca="1"/>
        <v>ON-CV PERMATA-00011900+10-6285328883803</v>
      </c>
      <c r="Y568" s="40" t="s">
        <v>62</v>
      </c>
      <c r="Z568" s="40" t="s">
        <v>1880</v>
      </c>
      <c r="AA568" s="23" t="str">
        <v>https://wa.me/6285328883803</v>
      </c>
      <c r="AB568" s="28" t="s">
        <v>3743</v>
      </c>
      <c r="AC568" s="28"/>
      <c r="AD568" s="28" t="s">
        <v>690</v>
      </c>
      <c r="AE568" s="28"/>
      <c r="AF568" s="29">
        <v>45877</v>
      </c>
      <c r="AG568" s="29"/>
    </row>
    <row r="569" spans="1:33" ht="15.75" customHeight="1">
      <c r="A569" s="32" t="s">
        <v>196</v>
      </c>
      <c r="B569" s="33">
        <v>574</v>
      </c>
      <c r="C569" s="34" t="s">
        <v>3744</v>
      </c>
      <c r="D569" s="35">
        <v>45875.496443796292</v>
      </c>
      <c r="E569" s="43">
        <v>45875</v>
      </c>
      <c r="F569" s="32" t="s">
        <v>3745</v>
      </c>
      <c r="G569" s="32" t="s">
        <v>3746</v>
      </c>
      <c r="H569" s="32" t="s">
        <v>3747</v>
      </c>
      <c r="I569" s="36" t="s">
        <v>3748</v>
      </c>
      <c r="J569" s="52"/>
      <c r="K569" s="32" t="s">
        <v>3749</v>
      </c>
      <c r="L569" s="32" t="s">
        <v>3750</v>
      </c>
      <c r="M569" s="32" t="s">
        <v>276</v>
      </c>
      <c r="N569" s="33">
        <v>5</v>
      </c>
      <c r="O569" s="35"/>
      <c r="P569" s="35"/>
      <c r="Q569" s="37"/>
      <c r="R569" s="38"/>
      <c r="S569" s="33"/>
      <c r="T569" s="39">
        <v>197000</v>
      </c>
      <c r="U569" s="40" t="s">
        <v>1229</v>
      </c>
      <c r="V569" s="41"/>
      <c r="W569" s="42" t="str">
        <f ca="1">IFERROR(__xludf.DUMMYFUNCTION("""COMPUTED_VALUE"""),"Jasa renovasi")</f>
        <v>Jasa renovasi</v>
      </c>
      <c r="X569" s="42" t="str">
        <f ca="1"/>
        <v>ON-Jasa renovasi-00011900+5-6282236053835</v>
      </c>
      <c r="Y569" s="40" t="s">
        <v>293</v>
      </c>
      <c r="Z569" s="40" t="s">
        <v>1057</v>
      </c>
      <c r="AA569" s="23" t="str">
        <v>https://wa.me/6282236053835</v>
      </c>
      <c r="AB569" s="28" t="s">
        <v>3751</v>
      </c>
      <c r="AC569" s="28"/>
      <c r="AD569" s="28" t="s">
        <v>690</v>
      </c>
      <c r="AE569" s="28"/>
      <c r="AF569" s="29">
        <v>45878</v>
      </c>
      <c r="AG569" s="29"/>
    </row>
    <row r="570" spans="1:33" ht="15.75" customHeight="1">
      <c r="A570" s="32" t="s">
        <v>52</v>
      </c>
      <c r="B570" s="33">
        <v>575</v>
      </c>
      <c r="C570" s="34" t="s">
        <v>3752</v>
      </c>
      <c r="D570" s="35">
        <v>45875.523807951387</v>
      </c>
      <c r="E570" s="43">
        <v>45875</v>
      </c>
      <c r="F570" s="32" t="s">
        <v>2119</v>
      </c>
      <c r="G570" s="32" t="s">
        <v>2585</v>
      </c>
      <c r="H570" s="32" t="s">
        <v>2586</v>
      </c>
      <c r="I570" s="36" t="s">
        <v>2122</v>
      </c>
      <c r="J570" s="52" t="s">
        <v>2587</v>
      </c>
      <c r="K570" s="32" t="s">
        <v>2588</v>
      </c>
      <c r="L570" s="32" t="s">
        <v>817</v>
      </c>
      <c r="M570" s="32" t="s">
        <v>60</v>
      </c>
      <c r="N570" s="33">
        <v>10</v>
      </c>
      <c r="O570" s="35"/>
      <c r="P570" s="35"/>
      <c r="Q570" s="37"/>
      <c r="R570" s="38"/>
      <c r="S570" s="33"/>
      <c r="T570" s="39">
        <v>375000</v>
      </c>
      <c r="U570" s="40" t="s">
        <v>61</v>
      </c>
      <c r="V570" s="41"/>
      <c r="W570" s="42" t="str">
        <f ca="1">IFERROR(__xludf.DUMMYFUNCTION("""COMPUTED_VALUE"""),"POM MIGOR")</f>
        <v>POM MIGOR</v>
      </c>
      <c r="X570" s="42" t="str">
        <f ca="1"/>
        <v>ON-POM MIGOR-00011900+10-6285789446955</v>
      </c>
      <c r="Y570" s="40"/>
      <c r="Z570" s="40"/>
      <c r="AA570" s="23" t="str">
        <v>https://wa.me/6285789446955</v>
      </c>
      <c r="AB570" s="28"/>
      <c r="AC570" s="28"/>
      <c r="AD570" s="28"/>
      <c r="AE570" s="28"/>
      <c r="AF570" s="29"/>
      <c r="AG570" s="29"/>
    </row>
    <row r="571" spans="1:33" ht="15.75" customHeight="1">
      <c r="A571" s="32" t="s">
        <v>52</v>
      </c>
      <c r="B571" s="33">
        <v>576</v>
      </c>
      <c r="C571" s="34" t="s">
        <v>3753</v>
      </c>
      <c r="D571" s="35">
        <v>45875.584078495369</v>
      </c>
      <c r="E571" s="43">
        <v>45866</v>
      </c>
      <c r="F571" s="32" t="s">
        <v>1350</v>
      </c>
      <c r="G571" s="32" t="s">
        <v>1351</v>
      </c>
      <c r="H571" s="32" t="s">
        <v>2056</v>
      </c>
      <c r="I571" s="36" t="s">
        <v>3754</v>
      </c>
      <c r="J571" s="52" t="s">
        <v>2057</v>
      </c>
      <c r="K571" s="32" t="s">
        <v>1355</v>
      </c>
      <c r="L571" s="32" t="s">
        <v>1356</v>
      </c>
      <c r="M571" s="32" t="s">
        <v>60</v>
      </c>
      <c r="N571" s="33">
        <v>10</v>
      </c>
      <c r="O571" s="35"/>
      <c r="P571" s="35"/>
      <c r="Q571" s="37"/>
      <c r="R571" s="38"/>
      <c r="S571" s="33"/>
      <c r="T571" s="39">
        <v>375000</v>
      </c>
      <c r="U571" s="40" t="s">
        <v>61</v>
      </c>
      <c r="V571" s="41"/>
      <c r="W571" s="42" t="str">
        <f ca="1">IFERROR(__xludf.DUMMYFUNCTION("""COMPUTED_VALUE"""),"Putra Bakti")</f>
        <v>Putra Bakti</v>
      </c>
      <c r="X571" s="42" t="str">
        <f ca="1"/>
        <v>ON-Putra Bakti-00011900+10-6285668750426</v>
      </c>
      <c r="Y571" s="40"/>
      <c r="Z571" s="40"/>
      <c r="AA571" s="23" t="str">
        <v>https://wa.me/6285668750426</v>
      </c>
      <c r="AB571" s="28"/>
      <c r="AC571" s="28"/>
      <c r="AD571" s="28"/>
      <c r="AE571" s="28"/>
      <c r="AF571" s="29"/>
      <c r="AG571" s="29"/>
    </row>
    <row r="572" spans="1:33" ht="15.75" customHeight="1">
      <c r="A572" s="32" t="s">
        <v>196</v>
      </c>
      <c r="B572" s="33">
        <v>577</v>
      </c>
      <c r="C572" s="34" t="s">
        <v>3755</v>
      </c>
      <c r="D572" s="35">
        <v>45875.773653402779</v>
      </c>
      <c r="E572" s="43">
        <v>45875</v>
      </c>
      <c r="F572" s="32" t="s">
        <v>3756</v>
      </c>
      <c r="G572" s="32" t="s">
        <v>3757</v>
      </c>
      <c r="H572" s="32" t="s">
        <v>3758</v>
      </c>
      <c r="I572" s="36" t="s">
        <v>3759</v>
      </c>
      <c r="J572" s="52" t="s">
        <v>3760</v>
      </c>
      <c r="K572" s="32" t="s">
        <v>3761</v>
      </c>
      <c r="L572" s="32" t="s">
        <v>3762</v>
      </c>
      <c r="M572" s="32" t="s">
        <v>800</v>
      </c>
      <c r="N572" s="33">
        <v>5</v>
      </c>
      <c r="O572" s="35"/>
      <c r="P572" s="35"/>
      <c r="Q572" s="37"/>
      <c r="R572" s="38"/>
      <c r="S572" s="33"/>
      <c r="T572" s="39">
        <v>197000</v>
      </c>
      <c r="U572" s="40" t="s">
        <v>1229</v>
      </c>
      <c r="V572" s="41"/>
      <c r="W572" s="42" t="str">
        <f ca="1">IFERROR(__xludf.DUMMYFUNCTION("""COMPUTED_VALUE"""),"Jasa pembuatan")</f>
        <v>Jasa pembuatan</v>
      </c>
      <c r="X572" s="42" t="str">
        <f ca="1"/>
        <v>ON-Jasa pembuatan-00011900+5-6285814213281</v>
      </c>
      <c r="Y572" s="40" t="s">
        <v>293</v>
      </c>
      <c r="Z572" s="40" t="s">
        <v>1057</v>
      </c>
      <c r="AA572" s="23" t="str">
        <v>https://wa.me/6285814213281</v>
      </c>
      <c r="AB572" s="28" t="s">
        <v>3763</v>
      </c>
      <c r="AC572" s="28"/>
      <c r="AD572" s="28" t="s">
        <v>690</v>
      </c>
      <c r="AE572" s="28"/>
      <c r="AF572" s="29">
        <v>45878</v>
      </c>
      <c r="AG572" s="29"/>
    </row>
    <row r="573" spans="1:33" ht="15.75" customHeight="1">
      <c r="A573" s="32" t="s">
        <v>52</v>
      </c>
      <c r="B573" s="33">
        <v>578</v>
      </c>
      <c r="C573" s="34" t="s">
        <v>3764</v>
      </c>
      <c r="D573" s="35">
        <v>45875.892539745371</v>
      </c>
      <c r="E573" s="43">
        <v>45875</v>
      </c>
      <c r="F573" s="32" t="s">
        <v>642</v>
      </c>
      <c r="G573" s="32" t="s">
        <v>643</v>
      </c>
      <c r="H573" s="32" t="s">
        <v>644</v>
      </c>
      <c r="I573" s="36" t="s">
        <v>645</v>
      </c>
      <c r="J573" s="52" t="s">
        <v>1457</v>
      </c>
      <c r="K573" s="32" t="s">
        <v>646</v>
      </c>
      <c r="L573" s="32" t="s">
        <v>647</v>
      </c>
      <c r="M573" s="32" t="s">
        <v>382</v>
      </c>
      <c r="N573" s="33">
        <v>14</v>
      </c>
      <c r="O573" s="35"/>
      <c r="P573" s="35"/>
      <c r="Q573" s="37"/>
      <c r="R573" s="38"/>
      <c r="S573" s="33"/>
      <c r="T573" s="39">
        <v>550000</v>
      </c>
      <c r="U573" s="40" t="s">
        <v>115</v>
      </c>
      <c r="V573" s="41"/>
      <c r="W573" s="42" t="str">
        <f ca="1">IFERROR(__xludf.DUMMYFUNCTION("""COMPUTED_VALUE"""),"CV Fajar")</f>
        <v>CV Fajar</v>
      </c>
      <c r="X573" s="42" t="str">
        <f ca="1"/>
        <v>ON-CV Fajar-00011900+14-6281338789995</v>
      </c>
      <c r="Y573" s="40"/>
      <c r="Z573" s="40"/>
      <c r="AA573" s="23" t="str">
        <v>https://wa.me/6281338789995</v>
      </c>
      <c r="AB573" s="28"/>
      <c r="AC573" s="28"/>
      <c r="AD573" s="28"/>
      <c r="AE573" s="28"/>
      <c r="AF573" s="29"/>
      <c r="AG573" s="29"/>
    </row>
    <row r="574" spans="1:33" ht="15.75" customHeight="1">
      <c r="A574" s="32" t="s">
        <v>52</v>
      </c>
      <c r="B574" s="33">
        <v>579</v>
      </c>
      <c r="C574" s="34" t="s">
        <v>3765</v>
      </c>
      <c r="D574" s="35">
        <v>45875.909951875001</v>
      </c>
      <c r="E574" s="43">
        <v>45875</v>
      </c>
      <c r="F574" s="32" t="s">
        <v>820</v>
      </c>
      <c r="G574" s="32" t="s">
        <v>821</v>
      </c>
      <c r="H574" s="32" t="s">
        <v>822</v>
      </c>
      <c r="I574" s="36" t="s">
        <v>823</v>
      </c>
      <c r="J574" s="52" t="s">
        <v>824</v>
      </c>
      <c r="K574" s="32" t="s">
        <v>825</v>
      </c>
      <c r="L574" s="32" t="s">
        <v>629</v>
      </c>
      <c r="M574" s="32" t="s">
        <v>382</v>
      </c>
      <c r="N574" s="33">
        <v>30</v>
      </c>
      <c r="O574" s="35"/>
      <c r="P574" s="35"/>
      <c r="Q574" s="37"/>
      <c r="R574" s="38"/>
      <c r="S574" s="33"/>
      <c r="T574" s="39">
        <v>1000000</v>
      </c>
      <c r="U574" s="40" t="s">
        <v>115</v>
      </c>
      <c r="V574" s="41"/>
      <c r="W574" s="42" t="str">
        <f ca="1">IFERROR(__xludf.DUMMYFUNCTION("""COMPUTED_VALUE"""),"Jagat Kitchen")</f>
        <v>Jagat Kitchen</v>
      </c>
      <c r="X574" s="42" t="str">
        <f ca="1"/>
        <v>ON-Jagat Kitchen-00011900+30-6281393958199</v>
      </c>
      <c r="Y574" s="40"/>
      <c r="Z574" s="40"/>
      <c r="AA574" s="23" t="str">
        <v>https://wa.me/6281393958199</v>
      </c>
      <c r="AB574" s="28"/>
      <c r="AC574" s="28"/>
      <c r="AD574" s="28"/>
      <c r="AE574" s="28"/>
      <c r="AF574" s="29"/>
      <c r="AG574" s="29"/>
    </row>
    <row r="575" spans="1:33" ht="15.75" customHeight="1">
      <c r="A575" s="32" t="s">
        <v>52</v>
      </c>
      <c r="B575" s="33">
        <v>580</v>
      </c>
      <c r="C575" s="34" t="s">
        <v>3766</v>
      </c>
      <c r="D575" s="35">
        <v>45876.259509166666</v>
      </c>
      <c r="E575" s="43">
        <v>45875</v>
      </c>
      <c r="F575" s="32" t="s">
        <v>471</v>
      </c>
      <c r="G575" s="32" t="s">
        <v>472</v>
      </c>
      <c r="H575" s="32" t="s">
        <v>473</v>
      </c>
      <c r="I575" s="36" t="s">
        <v>474</v>
      </c>
      <c r="J575" s="52"/>
      <c r="K575" s="32" t="s">
        <v>1707</v>
      </c>
      <c r="L575" s="32" t="s">
        <v>476</v>
      </c>
      <c r="M575" s="32" t="s">
        <v>70</v>
      </c>
      <c r="N575" s="33">
        <v>30</v>
      </c>
      <c r="O575" s="35"/>
      <c r="P575" s="35"/>
      <c r="Q575" s="37"/>
      <c r="R575" s="38"/>
      <c r="S575" s="33"/>
      <c r="T575" s="39">
        <v>1000000</v>
      </c>
      <c r="U575" s="40" t="s">
        <v>115</v>
      </c>
      <c r="V575" s="41"/>
      <c r="W575" s="42" t="str">
        <f ca="1">IFERROR(__xludf.DUMMYFUNCTION("""COMPUTED_VALUE"""),"Hadi property")</f>
        <v>Hadi property</v>
      </c>
      <c r="X575" s="42" t="str">
        <f ca="1"/>
        <v>ON-Hadi property-00011900+30-628114170888</v>
      </c>
      <c r="Y575" s="40"/>
      <c r="Z575" s="40"/>
      <c r="AA575" s="23" t="str">
        <v>https://wa.me/628114170888</v>
      </c>
      <c r="AB575" s="28"/>
      <c r="AC575" s="28"/>
      <c r="AD575" s="28"/>
      <c r="AE575" s="28"/>
      <c r="AF575" s="29"/>
      <c r="AG575" s="29"/>
    </row>
    <row r="576" spans="1:33" ht="15.75" customHeight="1">
      <c r="A576" s="32" t="s">
        <v>52</v>
      </c>
      <c r="B576" s="33">
        <v>582</v>
      </c>
      <c r="C576" s="34" t="s">
        <v>3767</v>
      </c>
      <c r="D576" s="35">
        <v>45876.506705069449</v>
      </c>
      <c r="E576" s="43">
        <v>45876</v>
      </c>
      <c r="F576" s="32" t="s">
        <v>905</v>
      </c>
      <c r="G576" s="32" t="s">
        <v>2648</v>
      </c>
      <c r="H576" s="32" t="s">
        <v>1678</v>
      </c>
      <c r="I576" s="36" t="s">
        <v>908</v>
      </c>
      <c r="J576" s="52" t="s">
        <v>2649</v>
      </c>
      <c r="K576" s="32" t="s">
        <v>2650</v>
      </c>
      <c r="L576" s="32" t="s">
        <v>490</v>
      </c>
      <c r="M576" s="32" t="s">
        <v>60</v>
      </c>
      <c r="N576" s="33">
        <v>10</v>
      </c>
      <c r="O576" s="35"/>
      <c r="P576" s="35"/>
      <c r="Q576" s="37"/>
      <c r="R576" s="38"/>
      <c r="S576" s="33"/>
      <c r="T576" s="39">
        <v>375000</v>
      </c>
      <c r="U576" s="40" t="s">
        <v>61</v>
      </c>
      <c r="V576" s="41"/>
      <c r="W576" s="42" t="str">
        <f ca="1">IFERROR(__xludf.DUMMYFUNCTION("""COMPUTED_VALUE"""),"Berkat Property")</f>
        <v>Berkat Property</v>
      </c>
      <c r="X576" s="42" t="str">
        <f ca="1"/>
        <v>ON-Berkat Property-00011900+10-6282183115806</v>
      </c>
      <c r="Y576" s="40"/>
      <c r="Z576" s="40"/>
      <c r="AA576" s="23" t="str">
        <v>https://wa.me/6282183115806</v>
      </c>
      <c r="AB576" s="28"/>
      <c r="AC576" s="28"/>
      <c r="AD576" s="28"/>
      <c r="AE576" s="28"/>
      <c r="AF576" s="29"/>
      <c r="AG576" s="29"/>
    </row>
    <row r="577" spans="1:33" ht="15.75" customHeight="1">
      <c r="A577" s="32" t="s">
        <v>52</v>
      </c>
      <c r="B577" s="33">
        <v>583</v>
      </c>
      <c r="C577" s="34" t="s">
        <v>3768</v>
      </c>
      <c r="D577" s="35">
        <v>45876.521142187499</v>
      </c>
      <c r="E577" s="43">
        <v>45876</v>
      </c>
      <c r="F577" s="32" t="s">
        <v>3248</v>
      </c>
      <c r="G577" s="32" t="s">
        <v>3249</v>
      </c>
      <c r="H577" s="32" t="s">
        <v>907</v>
      </c>
      <c r="I577" s="36" t="s">
        <v>3769</v>
      </c>
      <c r="J577" s="52"/>
      <c r="K577" s="32" t="s">
        <v>3770</v>
      </c>
      <c r="L577" s="32" t="s">
        <v>1256</v>
      </c>
      <c r="M577" s="32" t="s">
        <v>60</v>
      </c>
      <c r="N577" s="33">
        <v>5</v>
      </c>
      <c r="O577" s="35"/>
      <c r="P577" s="35"/>
      <c r="Q577" s="37"/>
      <c r="R577" s="38"/>
      <c r="S577" s="33"/>
      <c r="T577" s="39">
        <v>197000</v>
      </c>
      <c r="U577" s="40" t="s">
        <v>61</v>
      </c>
      <c r="V577" s="41"/>
      <c r="W577" s="42" t="str">
        <f ca="1">IFERROR(__xludf.DUMMYFUNCTION("""COMPUTED_VALUE"""),"RJK (Rokhim")</f>
        <v>RJK (Rokhim</v>
      </c>
      <c r="X577" s="42" t="str">
        <f ca="1"/>
        <v>ON-RJK (Rokhim-00011900+5-6289563598336</v>
      </c>
      <c r="Y577" s="40"/>
      <c r="Z577" s="40"/>
      <c r="AA577" s="23" t="str">
        <v>https://wa.me/6289563598336</v>
      </c>
      <c r="AB577" s="28"/>
      <c r="AC577" s="28"/>
      <c r="AD577" s="28"/>
      <c r="AE577" s="28"/>
      <c r="AF577" s="29"/>
      <c r="AG577" s="29"/>
    </row>
    <row r="578" spans="1:33" ht="15.75" customHeight="1">
      <c r="A578" s="32" t="s">
        <v>52</v>
      </c>
      <c r="B578" s="33">
        <v>585</v>
      </c>
      <c r="C578" s="34" t="s">
        <v>3771</v>
      </c>
      <c r="D578" s="43">
        <v>46037</v>
      </c>
      <c r="E578" s="43">
        <v>45876</v>
      </c>
      <c r="F578" s="32" t="s">
        <v>3772</v>
      </c>
      <c r="G578" s="32" t="s">
        <v>3773</v>
      </c>
      <c r="H578" s="32" t="s">
        <v>3774</v>
      </c>
      <c r="I578" s="36" t="s">
        <v>3775</v>
      </c>
      <c r="J578" s="52"/>
      <c r="K578" s="32" t="s">
        <v>570</v>
      </c>
      <c r="L578" s="32" t="s">
        <v>2291</v>
      </c>
      <c r="M578" s="32" t="s">
        <v>2032</v>
      </c>
      <c r="N578" s="33">
        <v>10</v>
      </c>
      <c r="O578" s="35"/>
      <c r="P578" s="35"/>
      <c r="Q578" s="37"/>
      <c r="R578" s="38">
        <v>-1003470351325</v>
      </c>
      <c r="S578" s="33"/>
      <c r="T578" s="39">
        <v>375000</v>
      </c>
      <c r="U578" s="40" t="s">
        <v>61</v>
      </c>
      <c r="V578" s="47">
        <v>46040.305594513891</v>
      </c>
      <c r="W578" s="42" t="str">
        <f ca="1">IFERROR(__xludf.DUMMYFUNCTION("""COMPUTED_VALUE"""),"Kharisma Filter")</f>
        <v>Kharisma Filter</v>
      </c>
      <c r="X578" s="42" t="str">
        <f ca="1"/>
        <v>ON-Kharisma Filter-18012026+10-6285893658659</v>
      </c>
      <c r="Y578" s="40"/>
      <c r="Z578" s="40"/>
      <c r="AA578" s="23" t="str">
        <v>https://wa.me/6285893658659</v>
      </c>
      <c r="AB578" s="28"/>
      <c r="AC578" s="28"/>
      <c r="AD578" s="28"/>
      <c r="AE578" s="28"/>
      <c r="AF578" s="29"/>
      <c r="AG578" s="29"/>
    </row>
    <row r="579" spans="1:33" ht="15.75" customHeight="1">
      <c r="A579" s="32" t="s">
        <v>196</v>
      </c>
      <c r="B579" s="33">
        <v>586</v>
      </c>
      <c r="C579" s="34" t="s">
        <v>3776</v>
      </c>
      <c r="D579" s="35">
        <v>45876.850759317131</v>
      </c>
      <c r="E579" s="43">
        <v>45876</v>
      </c>
      <c r="F579" s="32" t="s">
        <v>3777</v>
      </c>
      <c r="G579" s="32" t="s">
        <v>3778</v>
      </c>
      <c r="H579" s="32" t="s">
        <v>3779</v>
      </c>
      <c r="I579" s="36" t="s">
        <v>3780</v>
      </c>
      <c r="J579" s="52"/>
      <c r="K579" s="32" t="s">
        <v>1381</v>
      </c>
      <c r="L579" s="32" t="s">
        <v>92</v>
      </c>
      <c r="M579" s="32" t="s">
        <v>60</v>
      </c>
      <c r="N579" s="33">
        <v>30</v>
      </c>
      <c r="O579" s="35"/>
      <c r="P579" s="35"/>
      <c r="Q579" s="37"/>
      <c r="R579" s="38"/>
      <c r="S579" s="33"/>
      <c r="T579" s="39">
        <v>1000000</v>
      </c>
      <c r="U579" s="40" t="s">
        <v>61</v>
      </c>
      <c r="V579" s="41"/>
      <c r="W579" s="42" t="str">
        <f ca="1">IFERROR(__xludf.DUMMYFUNCTION("""COMPUTED_VALUE"""),"Catur Lawa")</f>
        <v>Catur Lawa</v>
      </c>
      <c r="X579" s="42" t="str">
        <f ca="1"/>
        <v>ON-Catur Lawa-00011900+30-6287797504113</v>
      </c>
      <c r="Y579" s="40" t="s">
        <v>62</v>
      </c>
      <c r="Z579" s="40" t="s">
        <v>1880</v>
      </c>
      <c r="AA579" s="23" t="str">
        <v>https://wa.me/6287797504113</v>
      </c>
      <c r="AB579" s="28" t="s">
        <v>3781</v>
      </c>
      <c r="AC579" s="28"/>
      <c r="AD579" s="28" t="s">
        <v>690</v>
      </c>
      <c r="AE579" s="28"/>
      <c r="AF579" s="29">
        <v>45878</v>
      </c>
      <c r="AG579" s="29"/>
    </row>
    <row r="580" spans="1:33" ht="15.75" customHeight="1">
      <c r="A580" s="32" t="s">
        <v>52</v>
      </c>
      <c r="B580" s="33">
        <v>587</v>
      </c>
      <c r="C580" s="34" t="s">
        <v>3782</v>
      </c>
      <c r="D580" s="35">
        <v>45877.173064814815</v>
      </c>
      <c r="E580" s="43">
        <v>45876</v>
      </c>
      <c r="F580" s="32" t="s">
        <v>2479</v>
      </c>
      <c r="G580" s="32" t="s">
        <v>2480</v>
      </c>
      <c r="H580" s="32" t="s">
        <v>2481</v>
      </c>
      <c r="I580" s="36" t="s">
        <v>2482</v>
      </c>
      <c r="J580" s="52"/>
      <c r="K580" s="32" t="s">
        <v>2894</v>
      </c>
      <c r="L580" s="32" t="s">
        <v>1628</v>
      </c>
      <c r="M580" s="32" t="s">
        <v>60</v>
      </c>
      <c r="N580" s="33">
        <v>10</v>
      </c>
      <c r="O580" s="35"/>
      <c r="P580" s="35"/>
      <c r="Q580" s="37"/>
      <c r="R580" s="38"/>
      <c r="S580" s="33"/>
      <c r="T580" s="39">
        <v>375000</v>
      </c>
      <c r="U580" s="40" t="s">
        <v>115</v>
      </c>
      <c r="V580" s="41"/>
      <c r="W580" s="42" t="str">
        <f ca="1">IFERROR(__xludf.DUMMYFUNCTION("""COMPUTED_VALUE"""),"AURIGA KONTRAKTOR")</f>
        <v>AURIGA KONTRAKTOR</v>
      </c>
      <c r="X580" s="42" t="str">
        <f ca="1"/>
        <v>ON-AURIGA KONTRAKTOR-00011900+10-6287856230745</v>
      </c>
      <c r="Y580" s="40"/>
      <c r="Z580" s="40"/>
      <c r="AA580" s="23" t="str">
        <v>https://wa.me/6287856230745</v>
      </c>
      <c r="AB580" s="28"/>
      <c r="AC580" s="28"/>
      <c r="AD580" s="28"/>
      <c r="AE580" s="28"/>
      <c r="AF580" s="29"/>
      <c r="AG580" s="29"/>
    </row>
    <row r="581" spans="1:33" ht="15.75" customHeight="1">
      <c r="A581" s="32" t="s">
        <v>196</v>
      </c>
      <c r="B581" s="33">
        <v>586</v>
      </c>
      <c r="C581" s="34" t="s">
        <v>3776</v>
      </c>
      <c r="D581" s="35">
        <v>45877.491154606483</v>
      </c>
      <c r="E581" s="43">
        <v>45874</v>
      </c>
      <c r="F581" s="32" t="s">
        <v>1003</v>
      </c>
      <c r="G581" s="32" t="s">
        <v>3783</v>
      </c>
      <c r="H581" s="32" t="s">
        <v>3784</v>
      </c>
      <c r="I581" s="36" t="s">
        <v>3785</v>
      </c>
      <c r="J581" s="52"/>
      <c r="K581" s="32" t="s">
        <v>3786</v>
      </c>
      <c r="L581" s="32" t="s">
        <v>3787</v>
      </c>
      <c r="M581" s="32" t="s">
        <v>3788</v>
      </c>
      <c r="N581" s="33">
        <v>5</v>
      </c>
      <c r="O581" s="35">
        <v>45878</v>
      </c>
      <c r="P581" s="35">
        <v>45883</v>
      </c>
      <c r="Q581" s="37"/>
      <c r="R581" s="38"/>
      <c r="S581" s="33"/>
      <c r="T581" s="39">
        <v>197000</v>
      </c>
      <c r="U581" s="40" t="s">
        <v>1229</v>
      </c>
      <c r="V581" s="41"/>
      <c r="W581" s="42" t="str">
        <f ca="1">IFERROR(__xludf.DUMMYFUNCTION("""COMPUTED_VALUE"""),"CV. Heri")</f>
        <v>CV. Heri</v>
      </c>
      <c r="X581" s="42" t="str">
        <f ca="1"/>
        <v>ON-CV. Heri-00011900+5-62895321637812</v>
      </c>
      <c r="Y581" s="40" t="s">
        <v>293</v>
      </c>
      <c r="Z581" s="40" t="s">
        <v>1057</v>
      </c>
      <c r="AA581" s="23" t="str">
        <v>https://wa.me/62895321637812</v>
      </c>
      <c r="AB581" s="28" t="s">
        <v>3789</v>
      </c>
      <c r="AC581" s="28"/>
      <c r="AD581" s="28" t="s">
        <v>690</v>
      </c>
      <c r="AE581" s="28"/>
      <c r="AF581" s="29">
        <v>45878</v>
      </c>
      <c r="AG581" s="29"/>
    </row>
    <row r="582" spans="1:33" ht="15.75" customHeight="1">
      <c r="A582" s="32" t="s">
        <v>52</v>
      </c>
      <c r="B582" s="33">
        <v>588</v>
      </c>
      <c r="C582" s="34" t="s">
        <v>3790</v>
      </c>
      <c r="D582" s="35">
        <v>45877.63349601852</v>
      </c>
      <c r="E582" s="43">
        <v>45877</v>
      </c>
      <c r="F582" s="32" t="s">
        <v>498</v>
      </c>
      <c r="G582" s="32" t="s">
        <v>499</v>
      </c>
      <c r="H582" s="32" t="s">
        <v>500</v>
      </c>
      <c r="I582" s="36" t="s">
        <v>501</v>
      </c>
      <c r="J582" s="52"/>
      <c r="K582" s="32" t="s">
        <v>502</v>
      </c>
      <c r="L582" s="32" t="s">
        <v>503</v>
      </c>
      <c r="M582" s="32" t="s">
        <v>60</v>
      </c>
      <c r="N582" s="33">
        <v>5</v>
      </c>
      <c r="O582" s="35"/>
      <c r="P582" s="35"/>
      <c r="Q582" s="37"/>
      <c r="R582" s="38"/>
      <c r="S582" s="33"/>
      <c r="T582" s="39">
        <v>197000</v>
      </c>
      <c r="U582" s="40" t="s">
        <v>61</v>
      </c>
      <c r="V582" s="41"/>
      <c r="W582" s="42" t="str">
        <f ca="1">IFERROR(__xludf.DUMMYFUNCTION("""COMPUTED_VALUE"""),"PT Jujur")</f>
        <v>PT Jujur</v>
      </c>
      <c r="X582" s="42" t="str">
        <f ca="1"/>
        <v>ON-PT Jujur-00011900+5-6282347206488</v>
      </c>
      <c r="Y582" s="40"/>
      <c r="Z582" s="40"/>
      <c r="AA582" s="23" t="str">
        <v>https://wa.me/6282347206488</v>
      </c>
      <c r="AB582" s="28"/>
      <c r="AC582" s="28"/>
      <c r="AD582" s="28"/>
      <c r="AE582" s="28"/>
      <c r="AF582" s="29"/>
      <c r="AG582" s="29"/>
    </row>
    <row r="583" spans="1:33" ht="15.75" customHeight="1">
      <c r="A583" s="32" t="s">
        <v>196</v>
      </c>
      <c r="B583" s="33">
        <v>589</v>
      </c>
      <c r="C583" s="34" t="s">
        <v>3791</v>
      </c>
      <c r="D583" s="35">
        <v>45877.696557222225</v>
      </c>
      <c r="E583" s="43">
        <v>45877</v>
      </c>
      <c r="F583" s="32" t="s">
        <v>3792</v>
      </c>
      <c r="G583" s="32" t="s">
        <v>3793</v>
      </c>
      <c r="H583" s="32" t="s">
        <v>3794</v>
      </c>
      <c r="I583" s="36" t="s">
        <v>3795</v>
      </c>
      <c r="J583" s="52"/>
      <c r="K583" s="32" t="s">
        <v>3796</v>
      </c>
      <c r="L583" s="32" t="s">
        <v>92</v>
      </c>
      <c r="M583" s="32" t="s">
        <v>60</v>
      </c>
      <c r="N583" s="33">
        <v>5</v>
      </c>
      <c r="O583" s="35"/>
      <c r="P583" s="35"/>
      <c r="Q583" s="37"/>
      <c r="R583" s="38"/>
      <c r="S583" s="33"/>
      <c r="T583" s="39">
        <v>197000</v>
      </c>
      <c r="U583" s="40" t="s">
        <v>61</v>
      </c>
      <c r="V583" s="41"/>
      <c r="W583" s="42" t="str">
        <f ca="1">IFERROR(__xludf.DUMMYFUNCTION("""COMPUTED_VALUE"""),"Lailatul Furniture")</f>
        <v>Lailatul Furniture</v>
      </c>
      <c r="X583" s="42" t="str">
        <f ca="1"/>
        <v>ON-Lailatul Furniture-00011900+5-6285100570275</v>
      </c>
      <c r="Y583" s="40" t="s">
        <v>293</v>
      </c>
      <c r="Z583" s="40" t="s">
        <v>1057</v>
      </c>
      <c r="AA583" s="23" t="str">
        <v>https://wa.me/6285100570275</v>
      </c>
      <c r="AB583" s="28" t="s">
        <v>3797</v>
      </c>
      <c r="AC583" s="28"/>
      <c r="AD583" s="28" t="s">
        <v>690</v>
      </c>
      <c r="AE583" s="28"/>
      <c r="AF583" s="29">
        <v>45880</v>
      </c>
      <c r="AG583" s="29"/>
    </row>
    <row r="584" spans="1:33" ht="15.75" customHeight="1">
      <c r="A584" s="32" t="s">
        <v>196</v>
      </c>
      <c r="B584" s="33">
        <v>590</v>
      </c>
      <c r="C584" s="34" t="s">
        <v>3798</v>
      </c>
      <c r="D584" s="35">
        <v>45877.696936585649</v>
      </c>
      <c r="E584" s="43">
        <v>45877</v>
      </c>
      <c r="F584" s="32" t="s">
        <v>593</v>
      </c>
      <c r="G584" s="32" t="s">
        <v>3799</v>
      </c>
      <c r="H584" s="32" t="s">
        <v>3800</v>
      </c>
      <c r="I584" s="36" t="s">
        <v>596</v>
      </c>
      <c r="J584" s="52"/>
      <c r="K584" s="32" t="s">
        <v>247</v>
      </c>
      <c r="L584" s="32" t="s">
        <v>3801</v>
      </c>
      <c r="M584" s="32" t="s">
        <v>60</v>
      </c>
      <c r="N584" s="33">
        <v>7</v>
      </c>
      <c r="O584" s="35"/>
      <c r="P584" s="35"/>
      <c r="Q584" s="37"/>
      <c r="R584" s="38"/>
      <c r="S584" s="33"/>
      <c r="T584" s="39">
        <v>297000</v>
      </c>
      <c r="U584" s="40" t="s">
        <v>61</v>
      </c>
      <c r="V584" s="41"/>
      <c r="W584" s="42" t="str">
        <f ca="1">IFERROR(__xludf.DUMMYFUNCTION("""COMPUTED_VALUE"""),"Pelita Jaya")</f>
        <v>Pelita Jaya</v>
      </c>
      <c r="X584" s="42" t="str">
        <f ca="1"/>
        <v>ON-Pelita Jaya-00011900+7-6283185169816</v>
      </c>
      <c r="Y584" s="40" t="s">
        <v>293</v>
      </c>
      <c r="Z584" s="40" t="s">
        <v>1057</v>
      </c>
      <c r="AA584" s="23" t="str">
        <v>https://wa.me/6283185169816</v>
      </c>
      <c r="AB584" s="28" t="s">
        <v>3802</v>
      </c>
      <c r="AC584" s="28"/>
      <c r="AD584" s="28" t="s">
        <v>690</v>
      </c>
      <c r="AE584" s="28"/>
      <c r="AF584" s="29">
        <v>45881</v>
      </c>
      <c r="AG584" s="29"/>
    </row>
    <row r="585" spans="1:33" ht="15.75" customHeight="1">
      <c r="A585" s="32" t="s">
        <v>196</v>
      </c>
      <c r="B585" s="33">
        <v>591</v>
      </c>
      <c r="C585" s="34" t="s">
        <v>3803</v>
      </c>
      <c r="D585" s="35">
        <v>45877.700428067124</v>
      </c>
      <c r="E585" s="43">
        <v>45877</v>
      </c>
      <c r="F585" s="32" t="s">
        <v>3804</v>
      </c>
      <c r="G585" s="32" t="s">
        <v>3805</v>
      </c>
      <c r="H585" s="32" t="s">
        <v>1984</v>
      </c>
      <c r="I585" s="36" t="s">
        <v>3806</v>
      </c>
      <c r="J585" s="52"/>
      <c r="K585" s="32" t="s">
        <v>3807</v>
      </c>
      <c r="L585" s="32" t="s">
        <v>1542</v>
      </c>
      <c r="M585" s="32" t="s">
        <v>60</v>
      </c>
      <c r="N585" s="33">
        <v>20</v>
      </c>
      <c r="O585" s="35"/>
      <c r="P585" s="35"/>
      <c r="Q585" s="37"/>
      <c r="R585" s="38"/>
      <c r="S585" s="33"/>
      <c r="T585" s="39">
        <v>700000</v>
      </c>
      <c r="U585" s="40" t="s">
        <v>61</v>
      </c>
      <c r="V585" s="41"/>
      <c r="W585" s="42" t="str">
        <f ca="1">IFERROR(__xludf.DUMMYFUNCTION("""COMPUTED_VALUE"""),"Mudatama Tour")</f>
        <v>Mudatama Tour</v>
      </c>
      <c r="X585" s="42" t="str">
        <f ca="1"/>
        <v>ON-Mudatama Tour-00011900+20-6281288245836</v>
      </c>
      <c r="Y585" s="40" t="s">
        <v>62</v>
      </c>
      <c r="Z585" s="40" t="s">
        <v>1880</v>
      </c>
      <c r="AA585" s="23" t="str">
        <v>https://wa.me/6281288245836</v>
      </c>
      <c r="AB585" s="28" t="s">
        <v>3808</v>
      </c>
      <c r="AC585" s="28"/>
      <c r="AD585" s="28" t="s">
        <v>690</v>
      </c>
      <c r="AE585" s="28"/>
      <c r="AF585" s="29">
        <v>45881</v>
      </c>
      <c r="AG585" s="29"/>
    </row>
    <row r="586" spans="1:33" ht="15.75" customHeight="1">
      <c r="A586" s="32" t="s">
        <v>52</v>
      </c>
      <c r="B586" s="33">
        <v>593</v>
      </c>
      <c r="C586" s="34" t="s">
        <v>3809</v>
      </c>
      <c r="D586" s="35">
        <v>45877.71216304398</v>
      </c>
      <c r="E586" s="43">
        <v>45877</v>
      </c>
      <c r="F586" s="32" t="s">
        <v>513</v>
      </c>
      <c r="G586" s="32" t="s">
        <v>514</v>
      </c>
      <c r="H586" s="32" t="s">
        <v>515</v>
      </c>
      <c r="I586" s="36" t="s">
        <v>516</v>
      </c>
      <c r="J586" s="52"/>
      <c r="K586" s="32" t="s">
        <v>517</v>
      </c>
      <c r="L586" s="32" t="s">
        <v>518</v>
      </c>
      <c r="M586" s="32" t="s">
        <v>131</v>
      </c>
      <c r="N586" s="33">
        <v>5</v>
      </c>
      <c r="O586" s="35"/>
      <c r="P586" s="35"/>
      <c r="Q586" s="37"/>
      <c r="R586" s="38"/>
      <c r="S586" s="33"/>
      <c r="T586" s="39">
        <v>197000</v>
      </c>
      <c r="U586" s="40" t="s">
        <v>61</v>
      </c>
      <c r="V586" s="41"/>
      <c r="W586" s="42" t="str">
        <f ca="1">IFERROR(__xludf.DUMMYFUNCTION("""COMPUTED_VALUE"""),"Bengkel Las")</f>
        <v>Bengkel Las</v>
      </c>
      <c r="X586" s="42" t="str">
        <f ca="1"/>
        <v>ON-Bengkel Las-00011900+5-6282393168368</v>
      </c>
      <c r="Y586" s="40"/>
      <c r="Z586" s="40"/>
      <c r="AA586" s="23" t="str">
        <v>https://wa.me/6282393168368</v>
      </c>
      <c r="AB586" s="28"/>
      <c r="AC586" s="28"/>
      <c r="AD586" s="28"/>
      <c r="AE586" s="28"/>
      <c r="AF586" s="29"/>
      <c r="AG586" s="29"/>
    </row>
    <row r="587" spans="1:33" ht="15.75" customHeight="1">
      <c r="A587" s="32" t="s">
        <v>52</v>
      </c>
      <c r="B587" s="33">
        <v>594</v>
      </c>
      <c r="C587" s="34" t="s">
        <v>3810</v>
      </c>
      <c r="D587" s="35">
        <v>45877.894673807867</v>
      </c>
      <c r="E587" s="43">
        <v>45877</v>
      </c>
      <c r="F587" s="32" t="s">
        <v>3259</v>
      </c>
      <c r="G587" s="32" t="s">
        <v>3811</v>
      </c>
      <c r="H587" s="32" t="s">
        <v>3812</v>
      </c>
      <c r="I587" s="36" t="s">
        <v>3262</v>
      </c>
      <c r="J587" s="52"/>
      <c r="K587" s="32" t="s">
        <v>3263</v>
      </c>
      <c r="L587" s="32" t="s">
        <v>3813</v>
      </c>
      <c r="M587" s="32" t="s">
        <v>106</v>
      </c>
      <c r="N587" s="33">
        <v>5</v>
      </c>
      <c r="O587" s="35"/>
      <c r="P587" s="35"/>
      <c r="Q587" s="37"/>
      <c r="R587" s="38"/>
      <c r="S587" s="33"/>
      <c r="T587" s="39">
        <v>197000</v>
      </c>
      <c r="U587" s="40" t="s">
        <v>1774</v>
      </c>
      <c r="V587" s="41"/>
      <c r="W587" s="42" t="str">
        <f ca="1">IFERROR(__xludf.DUMMYFUNCTION("""COMPUTED_VALUE"""),"LCM BEAUTY")</f>
        <v>LCM BEAUTY</v>
      </c>
      <c r="X587" s="42" t="str">
        <f ca="1"/>
        <v>ON-LCM BEAUTY-00011900+5-6282154233977</v>
      </c>
      <c r="Y587" s="40"/>
      <c r="Z587" s="40"/>
      <c r="AA587" s="23" t="str">
        <v>https://wa.me/6282154233977</v>
      </c>
      <c r="AB587" s="28"/>
      <c r="AC587" s="28"/>
      <c r="AD587" s="28"/>
      <c r="AE587" s="28"/>
      <c r="AF587" s="29"/>
      <c r="AG587" s="29"/>
    </row>
    <row r="588" spans="1:33" ht="15.75" customHeight="1">
      <c r="A588" s="32" t="s">
        <v>52</v>
      </c>
      <c r="B588" s="33">
        <v>593</v>
      </c>
      <c r="C588" s="34" t="s">
        <v>3809</v>
      </c>
      <c r="D588" s="35">
        <v>45878.446190150462</v>
      </c>
      <c r="E588" s="43">
        <v>45878</v>
      </c>
      <c r="F588" s="32" t="s">
        <v>738</v>
      </c>
      <c r="G588" s="32" t="s">
        <v>739</v>
      </c>
      <c r="H588" s="32" t="s">
        <v>740</v>
      </c>
      <c r="I588" s="36" t="s">
        <v>741</v>
      </c>
      <c r="J588" s="52"/>
      <c r="K588" s="32" t="s">
        <v>1262</v>
      </c>
      <c r="L588" s="32" t="s">
        <v>629</v>
      </c>
      <c r="M588" s="32" t="s">
        <v>743</v>
      </c>
      <c r="N588" s="33">
        <v>14</v>
      </c>
      <c r="O588" s="35"/>
      <c r="P588" s="35"/>
      <c r="Q588" s="37"/>
      <c r="R588" s="38"/>
      <c r="S588" s="33"/>
      <c r="T588" s="39">
        <v>500000</v>
      </c>
      <c r="U588" s="40" t="s">
        <v>115</v>
      </c>
      <c r="V588" s="41"/>
      <c r="W588" s="42" t="str">
        <f ca="1">IFERROR(__xludf.DUMMYFUNCTION("""COMPUTED_VALUE"""),"PT. Panorama")</f>
        <v>PT. Panorama</v>
      </c>
      <c r="X588" s="42" t="str">
        <f ca="1"/>
        <v>ON-PT. Panorama-00011900+14-628122102657</v>
      </c>
      <c r="Y588" s="40"/>
      <c r="Z588" s="40"/>
      <c r="AA588" s="23" t="str">
        <v>https://wa.me/628122102657</v>
      </c>
      <c r="AB588" s="28"/>
      <c r="AC588" s="28"/>
      <c r="AD588" s="28"/>
      <c r="AE588" s="28"/>
      <c r="AF588" s="29"/>
      <c r="AG588" s="29"/>
    </row>
    <row r="589" spans="1:33" ht="15.75" customHeight="1">
      <c r="A589" s="32" t="s">
        <v>196</v>
      </c>
      <c r="B589" s="33">
        <v>594</v>
      </c>
      <c r="C589" s="34" t="s">
        <v>3810</v>
      </c>
      <c r="D589" s="35">
        <v>45878.448159363426</v>
      </c>
      <c r="E589" s="43">
        <v>45878</v>
      </c>
      <c r="F589" s="32" t="s">
        <v>3814</v>
      </c>
      <c r="G589" s="32" t="s">
        <v>3815</v>
      </c>
      <c r="H589" s="32" t="s">
        <v>3816</v>
      </c>
      <c r="I589" s="36" t="s">
        <v>3817</v>
      </c>
      <c r="J589" s="52" t="s">
        <v>3818</v>
      </c>
      <c r="K589" s="32" t="s">
        <v>570</v>
      </c>
      <c r="L589" s="32" t="s">
        <v>1628</v>
      </c>
      <c r="M589" s="32" t="s">
        <v>382</v>
      </c>
      <c r="N589" s="33">
        <v>5</v>
      </c>
      <c r="O589" s="35"/>
      <c r="P589" s="35"/>
      <c r="Q589" s="37"/>
      <c r="R589" s="38"/>
      <c r="S589" s="33"/>
      <c r="T589" s="39">
        <v>197000</v>
      </c>
      <c r="U589" s="40" t="s">
        <v>115</v>
      </c>
      <c r="V589" s="41"/>
      <c r="W589" s="42" t="str">
        <f ca="1">IFERROR(__xludf.DUMMYFUNCTION("""COMPUTED_VALUE"""),"Villa Helly")</f>
        <v>Villa Helly</v>
      </c>
      <c r="X589" s="42" t="str">
        <f ca="1"/>
        <v>ON-Villa Helly-00011900+5-62817262229</v>
      </c>
      <c r="Y589" s="40" t="s">
        <v>62</v>
      </c>
      <c r="Z589" s="40" t="s">
        <v>1880</v>
      </c>
      <c r="AA589" s="23" t="str">
        <v>https://wa.me/62817262229</v>
      </c>
      <c r="AB589" s="28" t="s">
        <v>3819</v>
      </c>
      <c r="AC589" s="28"/>
      <c r="AD589" s="28" t="s">
        <v>690</v>
      </c>
      <c r="AE589" s="28"/>
      <c r="AF589" s="29">
        <v>45881</v>
      </c>
      <c r="AG589" s="29"/>
    </row>
    <row r="590" spans="1:33" ht="15.75" customHeight="1">
      <c r="A590" s="32" t="s">
        <v>52</v>
      </c>
      <c r="B590" s="33">
        <v>595</v>
      </c>
      <c r="C590" s="34" t="s">
        <v>3820</v>
      </c>
      <c r="D590" s="35">
        <v>45878.469772615739</v>
      </c>
      <c r="E590" s="43">
        <v>45878</v>
      </c>
      <c r="F590" s="32" t="s">
        <v>3470</v>
      </c>
      <c r="G590" s="32" t="s">
        <v>3471</v>
      </c>
      <c r="H590" s="32" t="s">
        <v>3472</v>
      </c>
      <c r="I590" s="36" t="s">
        <v>3473</v>
      </c>
      <c r="J590" s="52"/>
      <c r="K590" s="32" t="s">
        <v>3474</v>
      </c>
      <c r="L590" s="32" t="s">
        <v>2995</v>
      </c>
      <c r="M590" s="32" t="s">
        <v>60</v>
      </c>
      <c r="N590" s="33">
        <v>5</v>
      </c>
      <c r="O590" s="35"/>
      <c r="P590" s="35"/>
      <c r="Q590" s="37"/>
      <c r="R590" s="38"/>
      <c r="S590" s="33"/>
      <c r="T590" s="39">
        <v>197000</v>
      </c>
      <c r="U590" s="40" t="s">
        <v>61</v>
      </c>
      <c r="V590" s="41"/>
      <c r="W590" s="42" t="str">
        <f ca="1">IFERROR(__xludf.DUMMYFUNCTION("""COMPUTED_VALUE"""),"Terapi Saraf")</f>
        <v>Terapi Saraf</v>
      </c>
      <c r="X590" s="42" t="str">
        <f ca="1"/>
        <v>ON-Terapi Saraf-00011900+5-6281326757091</v>
      </c>
      <c r="Y590" s="40"/>
      <c r="Z590" s="40"/>
      <c r="AA590" s="23" t="str">
        <v>https://wa.me/6281326757091</v>
      </c>
      <c r="AB590" s="28"/>
      <c r="AC590" s="28"/>
      <c r="AD590" s="28"/>
      <c r="AE590" s="28"/>
      <c r="AF590" s="28"/>
      <c r="AG590" s="28"/>
    </row>
    <row r="591" spans="1:33" ht="15.75" customHeight="1">
      <c r="A591" s="32" t="s">
        <v>196</v>
      </c>
      <c r="B591" s="33">
        <v>597</v>
      </c>
      <c r="C591" s="34" t="s">
        <v>3821</v>
      </c>
      <c r="D591" s="35">
        <v>45878.471955717592</v>
      </c>
      <c r="E591" s="43">
        <v>45878</v>
      </c>
      <c r="F591" s="32" t="s">
        <v>1012</v>
      </c>
      <c r="G591" s="32" t="s">
        <v>3822</v>
      </c>
      <c r="H591" s="32" t="s">
        <v>3823</v>
      </c>
      <c r="I591" s="36" t="s">
        <v>3824</v>
      </c>
      <c r="J591" s="52"/>
      <c r="K591" s="32" t="s">
        <v>3825</v>
      </c>
      <c r="L591" s="32" t="s">
        <v>92</v>
      </c>
      <c r="M591" s="32" t="s">
        <v>60</v>
      </c>
      <c r="N591" s="33">
        <v>5</v>
      </c>
      <c r="O591" s="35"/>
      <c r="P591" s="35"/>
      <c r="Q591" s="37"/>
      <c r="R591" s="38"/>
      <c r="S591" s="33"/>
      <c r="T591" s="39">
        <v>197000</v>
      </c>
      <c r="U591" s="40" t="s">
        <v>61</v>
      </c>
      <c r="V591" s="41"/>
      <c r="W591" s="42" t="str">
        <f ca="1">IFERROR(__xludf.DUMMYFUNCTION("""COMPUTED_VALUE"""),"Cakra Aluminium")</f>
        <v>Cakra Aluminium</v>
      </c>
      <c r="X591" s="42" t="str">
        <f ca="1"/>
        <v>ON-Cakra Aluminium-00011900+5-6287768646729</v>
      </c>
      <c r="Y591" s="40" t="s">
        <v>293</v>
      </c>
      <c r="Z591" s="40" t="s">
        <v>1057</v>
      </c>
      <c r="AA591" s="23" t="str">
        <v>https://wa.me/6287768646729</v>
      </c>
      <c r="AB591" s="28" t="s">
        <v>3826</v>
      </c>
      <c r="AC591" s="28"/>
      <c r="AD591" s="28" t="s">
        <v>690</v>
      </c>
      <c r="AE591" s="28"/>
      <c r="AF591" s="29">
        <v>45881</v>
      </c>
      <c r="AG591" s="29"/>
    </row>
    <row r="592" spans="1:33" ht="15.75" customHeight="1">
      <c r="A592" s="32" t="s">
        <v>196</v>
      </c>
      <c r="B592" s="33">
        <v>598</v>
      </c>
      <c r="C592" s="34" t="s">
        <v>3827</v>
      </c>
      <c r="D592" s="35">
        <v>45878.556915324079</v>
      </c>
      <c r="E592" s="43">
        <v>45878</v>
      </c>
      <c r="F592" s="32" t="s">
        <v>3828</v>
      </c>
      <c r="G592" s="32" t="s">
        <v>3829</v>
      </c>
      <c r="H592" s="32" t="s">
        <v>3830</v>
      </c>
      <c r="I592" s="36" t="s">
        <v>3831</v>
      </c>
      <c r="J592" s="52"/>
      <c r="K592" s="32" t="s">
        <v>3832</v>
      </c>
      <c r="L592" s="32" t="s">
        <v>2432</v>
      </c>
      <c r="M592" s="32" t="s">
        <v>2032</v>
      </c>
      <c r="N592" s="33">
        <v>5</v>
      </c>
      <c r="O592" s="35"/>
      <c r="P592" s="35"/>
      <c r="Q592" s="37"/>
      <c r="R592" s="38"/>
      <c r="S592" s="33"/>
      <c r="T592" s="39">
        <v>197000</v>
      </c>
      <c r="U592" s="40" t="s">
        <v>61</v>
      </c>
      <c r="V592" s="41"/>
      <c r="W592" s="42" t="str">
        <f ca="1">IFERROR(__xludf.DUMMYFUNCTION("""COMPUTED_VALUE"""),"Sewa Tenda")</f>
        <v>Sewa Tenda</v>
      </c>
      <c r="X592" s="42" t="str">
        <f ca="1"/>
        <v>ON-Sewa Tenda-00011900+5-6281324481252</v>
      </c>
      <c r="Y592" s="40" t="s">
        <v>62</v>
      </c>
      <c r="Z592" s="40" t="s">
        <v>1880</v>
      </c>
      <c r="AA592" s="23" t="str">
        <v>https://wa.me/6281324481252</v>
      </c>
      <c r="AB592" s="28" t="s">
        <v>3833</v>
      </c>
      <c r="AC592" s="28"/>
      <c r="AD592" s="28" t="s">
        <v>690</v>
      </c>
      <c r="AE592" s="28"/>
      <c r="AF592" s="29">
        <v>45881</v>
      </c>
      <c r="AG592" s="29"/>
    </row>
    <row r="593" spans="1:33" ht="15.75" customHeight="1">
      <c r="A593" s="32" t="s">
        <v>196</v>
      </c>
      <c r="B593" s="33">
        <v>599</v>
      </c>
      <c r="C593" s="34" t="s">
        <v>3834</v>
      </c>
      <c r="D593" s="35">
        <v>45878.572892418983</v>
      </c>
      <c r="E593" s="43">
        <v>45878</v>
      </c>
      <c r="F593" s="32" t="s">
        <v>2397</v>
      </c>
      <c r="G593" s="32" t="s">
        <v>2398</v>
      </c>
      <c r="H593" s="32" t="s">
        <v>3835</v>
      </c>
      <c r="I593" s="36" t="s">
        <v>2400</v>
      </c>
      <c r="J593" s="52"/>
      <c r="K593" s="32" t="s">
        <v>3836</v>
      </c>
      <c r="L593" s="32" t="s">
        <v>1250</v>
      </c>
      <c r="M593" s="32" t="s">
        <v>60</v>
      </c>
      <c r="N593" s="33">
        <v>20</v>
      </c>
      <c r="O593" s="35"/>
      <c r="P593" s="35"/>
      <c r="Q593" s="37"/>
      <c r="R593" s="38"/>
      <c r="S593" s="33"/>
      <c r="T593" s="39">
        <v>700000</v>
      </c>
      <c r="U593" s="40" t="s">
        <v>61</v>
      </c>
      <c r="V593" s="41"/>
      <c r="W593" s="42" t="str">
        <f ca="1">IFERROR(__xludf.DUMMYFUNCTION("""COMPUTED_VALUE"""),"Sumatra Jungle")</f>
        <v>Sumatra Jungle</v>
      </c>
      <c r="X593" s="42" t="str">
        <f ca="1"/>
        <v>ON-Sumatra Jungle-00011900+20-6283870060603</v>
      </c>
      <c r="Y593" s="40" t="s">
        <v>62</v>
      </c>
      <c r="Z593" s="40" t="s">
        <v>1880</v>
      </c>
      <c r="AA593" s="23" t="str">
        <v>https://wa.me/6283870060603</v>
      </c>
      <c r="AB593" s="28" t="s">
        <v>3837</v>
      </c>
      <c r="AC593" s="28"/>
      <c r="AD593" s="28" t="s">
        <v>690</v>
      </c>
      <c r="AE593" s="28"/>
      <c r="AF593" s="29">
        <v>45881</v>
      </c>
      <c r="AG593" s="29"/>
    </row>
    <row r="594" spans="1:33" ht="15.75" customHeight="1">
      <c r="A594" s="32" t="s">
        <v>196</v>
      </c>
      <c r="B594" s="33">
        <v>600</v>
      </c>
      <c r="C594" s="34" t="s">
        <v>3838</v>
      </c>
      <c r="D594" s="35">
        <v>45878.618133958335</v>
      </c>
      <c r="E594" s="43">
        <v>45878</v>
      </c>
      <c r="F594" s="32" t="s">
        <v>3839</v>
      </c>
      <c r="G594" s="32" t="s">
        <v>3840</v>
      </c>
      <c r="H594" s="32" t="s">
        <v>3841</v>
      </c>
      <c r="I594" s="36" t="s">
        <v>3842</v>
      </c>
      <c r="J594" s="52"/>
      <c r="K594" s="32" t="s">
        <v>3843</v>
      </c>
      <c r="L594" s="32" t="s">
        <v>3844</v>
      </c>
      <c r="M594" s="32" t="s">
        <v>60</v>
      </c>
      <c r="N594" s="33">
        <v>10</v>
      </c>
      <c r="O594" s="35"/>
      <c r="P594" s="35"/>
      <c r="Q594" s="37"/>
      <c r="R594" s="38"/>
      <c r="S594" s="33"/>
      <c r="T594" s="39">
        <v>375000</v>
      </c>
      <c r="U594" s="40" t="s">
        <v>61</v>
      </c>
      <c r="V594" s="41"/>
      <c r="W594" s="42" t="str">
        <f ca="1">IFERROR(__xludf.DUMMYFUNCTION("""COMPUTED_VALUE"""),"Al Nasir")</f>
        <v>Al Nasir</v>
      </c>
      <c r="X594" s="42" t="str">
        <f ca="1"/>
        <v>ON-Al Nasir-00011900+10-6282112042148</v>
      </c>
      <c r="Y594" s="40" t="s">
        <v>62</v>
      </c>
      <c r="Z594" s="40" t="s">
        <v>1861</v>
      </c>
      <c r="AA594" s="23" t="str">
        <v>https://wa.me/6282112042148</v>
      </c>
      <c r="AB594" s="28" t="s">
        <v>3845</v>
      </c>
      <c r="AC594" s="28"/>
      <c r="AD594" s="28" t="s">
        <v>690</v>
      </c>
      <c r="AE594" s="28"/>
      <c r="AF594" s="29">
        <v>45881</v>
      </c>
      <c r="AG594" s="29"/>
    </row>
    <row r="595" spans="1:33" ht="15.75" customHeight="1">
      <c r="A595" s="32" t="s">
        <v>196</v>
      </c>
      <c r="B595" s="33">
        <v>602</v>
      </c>
      <c r="C595" s="34" t="s">
        <v>3846</v>
      </c>
      <c r="D595" s="35">
        <v>45878.69759920139</v>
      </c>
      <c r="E595" s="43">
        <v>45878</v>
      </c>
      <c r="F595" s="32" t="s">
        <v>3847</v>
      </c>
      <c r="G595" s="32" t="s">
        <v>3848</v>
      </c>
      <c r="H595" s="32" t="s">
        <v>3849</v>
      </c>
      <c r="I595" s="36" t="s">
        <v>3850</v>
      </c>
      <c r="J595" s="52" t="s">
        <v>3851</v>
      </c>
      <c r="K595" s="32" t="s">
        <v>3852</v>
      </c>
      <c r="L595" s="32" t="s">
        <v>3853</v>
      </c>
      <c r="M595" s="32" t="s">
        <v>106</v>
      </c>
      <c r="N595" s="33">
        <v>5</v>
      </c>
      <c r="O595" s="35"/>
      <c r="P595" s="35"/>
      <c r="Q595" s="37"/>
      <c r="R595" s="38"/>
      <c r="S595" s="33"/>
      <c r="T595" s="39">
        <v>197000</v>
      </c>
      <c r="U595" s="40" t="s">
        <v>1229</v>
      </c>
      <c r="V595" s="41"/>
      <c r="W595" s="42" t="str">
        <f ca="1">IFERROR(__xludf.DUMMYFUNCTION("""COMPUTED_VALUE"""),"nur beauty")</f>
        <v>nur beauty</v>
      </c>
      <c r="X595" s="42" t="str">
        <f ca="1"/>
        <v>ON-nur beauty-00011900+5-6285138380189</v>
      </c>
      <c r="Y595" s="40" t="s">
        <v>50</v>
      </c>
      <c r="Z595" s="40" t="s">
        <v>327</v>
      </c>
      <c r="AA595" s="23" t="str">
        <v>https://wa.me/6285138380189</v>
      </c>
      <c r="AB595" s="28" t="s">
        <v>3854</v>
      </c>
      <c r="AC595" s="28"/>
      <c r="AD595" s="28" t="s">
        <v>690</v>
      </c>
      <c r="AE595" s="28"/>
      <c r="AF595" s="29">
        <v>45881</v>
      </c>
      <c r="AG595" s="29"/>
    </row>
    <row r="596" spans="1:33" ht="15.75" customHeight="1">
      <c r="A596" s="32" t="s">
        <v>196</v>
      </c>
      <c r="B596" s="33">
        <v>604</v>
      </c>
      <c r="C596" s="34" t="s">
        <v>3855</v>
      </c>
      <c r="D596" s="35">
        <v>45878.750553634258</v>
      </c>
      <c r="E596" s="43">
        <v>45878</v>
      </c>
      <c r="F596" s="32" t="s">
        <v>3856</v>
      </c>
      <c r="G596" s="32" t="s">
        <v>3857</v>
      </c>
      <c r="H596" s="32" t="s">
        <v>3858</v>
      </c>
      <c r="I596" s="36" t="s">
        <v>3859</v>
      </c>
      <c r="J596" s="52"/>
      <c r="K596" s="32" t="s">
        <v>3860</v>
      </c>
      <c r="L596" s="32" t="s">
        <v>3558</v>
      </c>
      <c r="M596" s="32" t="s">
        <v>249</v>
      </c>
      <c r="N596" s="33">
        <v>5</v>
      </c>
      <c r="O596" s="35"/>
      <c r="P596" s="35"/>
      <c r="Q596" s="37"/>
      <c r="R596" s="38"/>
      <c r="S596" s="33"/>
      <c r="T596" s="39">
        <v>197000</v>
      </c>
      <c r="U596" s="40" t="s">
        <v>1774</v>
      </c>
      <c r="V596" s="41"/>
      <c r="W596" s="42" t="str">
        <f ca="1">IFERROR(__xludf.DUMMYFUNCTION("""COMPUTED_VALUE"""),"Bali Embers")</f>
        <v>Bali Embers</v>
      </c>
      <c r="X596" s="42" t="str">
        <f ca="1"/>
        <v>ON-Bali Embers-00011900+5-6287886480138</v>
      </c>
      <c r="Y596" s="40" t="s">
        <v>62</v>
      </c>
      <c r="Z596" s="40" t="s">
        <v>1880</v>
      </c>
      <c r="AA596" s="23" t="str">
        <v>https://wa.me/6287886480138</v>
      </c>
      <c r="AB596" s="28" t="s">
        <v>3861</v>
      </c>
      <c r="AC596" s="28"/>
      <c r="AD596" s="28" t="s">
        <v>690</v>
      </c>
      <c r="AE596" s="28"/>
      <c r="AF596" s="29">
        <v>45881</v>
      </c>
      <c r="AG596" s="29"/>
    </row>
    <row r="597" spans="1:33" ht="15.75" customHeight="1">
      <c r="A597" s="32" t="s">
        <v>196</v>
      </c>
      <c r="B597" s="33">
        <v>606</v>
      </c>
      <c r="C597" s="34" t="s">
        <v>3862</v>
      </c>
      <c r="D597" s="35">
        <v>45879.284897222227</v>
      </c>
      <c r="E597" s="43">
        <v>45876</v>
      </c>
      <c r="F597" s="32" t="s">
        <v>3863</v>
      </c>
      <c r="G597" s="32" t="s">
        <v>3864</v>
      </c>
      <c r="H597" s="32" t="s">
        <v>3865</v>
      </c>
      <c r="I597" s="36" t="s">
        <v>3866</v>
      </c>
      <c r="J597" s="52" t="s">
        <v>3867</v>
      </c>
      <c r="K597" s="32" t="s">
        <v>1453</v>
      </c>
      <c r="L597" s="32" t="s">
        <v>92</v>
      </c>
      <c r="M597" s="32" t="s">
        <v>3687</v>
      </c>
      <c r="N597" s="33">
        <v>10</v>
      </c>
      <c r="O597" s="35"/>
      <c r="P597" s="35"/>
      <c r="Q597" s="37"/>
      <c r="R597" s="38"/>
      <c r="S597" s="33"/>
      <c r="T597" s="39">
        <v>350000</v>
      </c>
      <c r="U597" s="40" t="s">
        <v>1229</v>
      </c>
      <c r="V597" s="41"/>
      <c r="W597" s="42" t="str">
        <f ca="1">IFERROR(__xludf.DUMMYFUNCTION("""COMPUTED_VALUE"""),"BERKAH  TEKNIK")</f>
        <v>BERKAH  TEKNIK</v>
      </c>
      <c r="X597" s="42" t="str">
        <f ca="1"/>
        <v>ON-BERKAH  TEKNIK-00011900+10-6285748377961</v>
      </c>
      <c r="Y597" s="40" t="s">
        <v>62</v>
      </c>
      <c r="Z597" s="40" t="s">
        <v>277</v>
      </c>
      <c r="AA597" s="23" t="str">
        <v>https://wa.me/6285748377961</v>
      </c>
      <c r="AB597" s="28" t="s">
        <v>3868</v>
      </c>
      <c r="AC597" s="28"/>
      <c r="AD597" s="28" t="s">
        <v>690</v>
      </c>
      <c r="AE597" s="28"/>
      <c r="AF597" s="29">
        <v>45881</v>
      </c>
      <c r="AG597" s="29"/>
    </row>
    <row r="598" spans="1:33" ht="15.75" customHeight="1">
      <c r="A598" s="32" t="s">
        <v>196</v>
      </c>
      <c r="B598" s="33">
        <v>606</v>
      </c>
      <c r="C598" s="34" t="s">
        <v>3862</v>
      </c>
      <c r="D598" s="35">
        <v>45879.284897222227</v>
      </c>
      <c r="E598" s="43">
        <v>45876</v>
      </c>
      <c r="F598" s="32" t="s">
        <v>3863</v>
      </c>
      <c r="G598" s="32" t="s">
        <v>3864</v>
      </c>
      <c r="H598" s="32" t="s">
        <v>3865</v>
      </c>
      <c r="I598" s="36" t="s">
        <v>3866</v>
      </c>
      <c r="J598" s="52" t="s">
        <v>3867</v>
      </c>
      <c r="K598" s="32" t="s">
        <v>3869</v>
      </c>
      <c r="L598" s="32" t="s">
        <v>92</v>
      </c>
      <c r="M598" s="32" t="s">
        <v>3687</v>
      </c>
      <c r="N598" s="33">
        <v>10</v>
      </c>
      <c r="O598" s="35"/>
      <c r="P598" s="35"/>
      <c r="Q598" s="37"/>
      <c r="R598" s="38"/>
      <c r="S598" s="33"/>
      <c r="T598" s="39">
        <v>350000</v>
      </c>
      <c r="U598" s="40" t="s">
        <v>1229</v>
      </c>
      <c r="V598" s="41"/>
      <c r="W598" s="42" t="str">
        <f ca="1">IFERROR(__xludf.DUMMYFUNCTION("""COMPUTED_VALUE"""),"BERKAH  TEKNIK")</f>
        <v>BERKAH  TEKNIK</v>
      </c>
      <c r="X598" s="42" t="str">
        <f ca="1"/>
        <v>ON-BERKAH  TEKNIK-00011900+10-6285748377961</v>
      </c>
      <c r="Y598" s="40" t="s">
        <v>62</v>
      </c>
      <c r="Z598" s="40" t="s">
        <v>277</v>
      </c>
      <c r="AA598" s="23" t="str">
        <v>https://wa.me/6285748377961</v>
      </c>
      <c r="AB598" s="28" t="s">
        <v>3870</v>
      </c>
      <c r="AC598" s="28"/>
      <c r="AD598" s="28" t="s">
        <v>690</v>
      </c>
      <c r="AE598" s="28"/>
      <c r="AF598" s="29">
        <v>45881</v>
      </c>
      <c r="AG598" s="29"/>
    </row>
    <row r="599" spans="1:33" ht="15.75" customHeight="1">
      <c r="A599" s="32" t="s">
        <v>196</v>
      </c>
      <c r="B599" s="33">
        <v>607</v>
      </c>
      <c r="C599" s="34" t="s">
        <v>3871</v>
      </c>
      <c r="D599" s="35">
        <v>45879.389537546296</v>
      </c>
      <c r="E599" s="43">
        <v>45879</v>
      </c>
      <c r="F599" s="32" t="s">
        <v>3872</v>
      </c>
      <c r="G599" s="32" t="s">
        <v>3873</v>
      </c>
      <c r="H599" s="32" t="s">
        <v>3874</v>
      </c>
      <c r="I599" s="36" t="s">
        <v>3875</v>
      </c>
      <c r="J599" s="52"/>
      <c r="K599" s="32" t="s">
        <v>3876</v>
      </c>
      <c r="L599" s="32" t="s">
        <v>2313</v>
      </c>
      <c r="M599" s="32" t="s">
        <v>2024</v>
      </c>
      <c r="N599" s="33">
        <v>5</v>
      </c>
      <c r="O599" s="35"/>
      <c r="P599" s="35"/>
      <c r="Q599" s="37"/>
      <c r="R599" s="38"/>
      <c r="S599" s="33"/>
      <c r="T599" s="39">
        <v>197000</v>
      </c>
      <c r="U599" s="40" t="s">
        <v>61</v>
      </c>
      <c r="V599" s="41"/>
      <c r="W599" s="42" t="str">
        <f ca="1">IFERROR(__xludf.DUMMYFUNCTION("""COMPUTED_VALUE"""),"ARROFEE")</f>
        <v>ARROFEE</v>
      </c>
      <c r="X599" s="42" t="str">
        <f ca="1"/>
        <v>ON-ARROFEE-00011900+5-6282241382009</v>
      </c>
      <c r="Y599" s="40" t="s">
        <v>62</v>
      </c>
      <c r="Z599" s="40" t="s">
        <v>1861</v>
      </c>
      <c r="AA599" s="23" t="str">
        <v>https://wa.me/6282241382009</v>
      </c>
      <c r="AB599" s="28" t="s">
        <v>3877</v>
      </c>
      <c r="AC599" s="28"/>
      <c r="AD599" s="28" t="s">
        <v>690</v>
      </c>
      <c r="AE599" s="28"/>
      <c r="AF599" s="29">
        <v>45882</v>
      </c>
      <c r="AG599" s="29"/>
    </row>
    <row r="600" spans="1:33" ht="15.75" customHeight="1">
      <c r="A600" s="32" t="s">
        <v>196</v>
      </c>
      <c r="B600" s="33">
        <v>608</v>
      </c>
      <c r="C600" s="34" t="s">
        <v>3878</v>
      </c>
      <c r="D600" s="35">
        <v>45879.39064085648</v>
      </c>
      <c r="E600" s="43">
        <v>45879</v>
      </c>
      <c r="F600" s="32" t="s">
        <v>3879</v>
      </c>
      <c r="G600" s="32" t="s">
        <v>3880</v>
      </c>
      <c r="H600" s="32" t="s">
        <v>3880</v>
      </c>
      <c r="I600" s="36" t="s">
        <v>3881</v>
      </c>
      <c r="J600" s="52" t="s">
        <v>3882</v>
      </c>
      <c r="K600" s="32" t="s">
        <v>3883</v>
      </c>
      <c r="L600" s="32" t="s">
        <v>85</v>
      </c>
      <c r="M600" s="32" t="s">
        <v>60</v>
      </c>
      <c r="N600" s="33">
        <v>5</v>
      </c>
      <c r="O600" s="35"/>
      <c r="P600" s="35"/>
      <c r="Q600" s="37"/>
      <c r="R600" s="38"/>
      <c r="S600" s="33"/>
      <c r="T600" s="39">
        <v>197000</v>
      </c>
      <c r="U600" s="40" t="s">
        <v>61</v>
      </c>
      <c r="V600" s="41"/>
      <c r="W600" s="42" t="str">
        <f ca="1">IFERROR(__xludf.DUMMYFUNCTION("""COMPUTED_VALUE"""),"Bengkel Las")</f>
        <v>Bengkel Las</v>
      </c>
      <c r="X600" s="42" t="str">
        <f ca="1"/>
        <v>ON-Bengkel Las-00011900+5-6282184823441</v>
      </c>
      <c r="Y600" s="40" t="s">
        <v>293</v>
      </c>
      <c r="Z600" s="40" t="s">
        <v>1057</v>
      </c>
      <c r="AA600" s="23" t="str">
        <v>https://wa.me/6282184823441</v>
      </c>
      <c r="AB600" s="28" t="s">
        <v>3884</v>
      </c>
      <c r="AC600" s="28"/>
      <c r="AD600" s="28" t="s">
        <v>690</v>
      </c>
      <c r="AE600" s="28"/>
      <c r="AF600" s="29">
        <v>45882</v>
      </c>
      <c r="AG600" s="29"/>
    </row>
    <row r="601" spans="1:33" ht="15.75" customHeight="1">
      <c r="A601" s="32" t="s">
        <v>196</v>
      </c>
      <c r="B601" s="33">
        <v>609</v>
      </c>
      <c r="C601" s="34" t="s">
        <v>3885</v>
      </c>
      <c r="D601" s="35">
        <v>45879.70467295139</v>
      </c>
      <c r="E601" s="43">
        <v>45879</v>
      </c>
      <c r="F601" s="32" t="s">
        <v>3886</v>
      </c>
      <c r="G601" s="32" t="s">
        <v>3887</v>
      </c>
      <c r="H601" s="32" t="s">
        <v>3555</v>
      </c>
      <c r="I601" s="36" t="s">
        <v>3888</v>
      </c>
      <c r="J601" s="52"/>
      <c r="K601" s="32" t="s">
        <v>3889</v>
      </c>
      <c r="L601" s="32" t="s">
        <v>3890</v>
      </c>
      <c r="M601" s="32" t="s">
        <v>60</v>
      </c>
      <c r="N601" s="33">
        <v>20</v>
      </c>
      <c r="O601" s="35"/>
      <c r="P601" s="35"/>
      <c r="Q601" s="37"/>
      <c r="R601" s="38"/>
      <c r="S601" s="33"/>
      <c r="T601" s="39">
        <v>700000</v>
      </c>
      <c r="U601" s="40" t="s">
        <v>1229</v>
      </c>
      <c r="V601" s="41"/>
      <c r="W601" s="42" t="str">
        <f ca="1">IFERROR(__xludf.DUMMYFUNCTION("""COMPUTED_VALUE"""),"Kutai Holiday")</f>
        <v>Kutai Holiday</v>
      </c>
      <c r="X601" s="42" t="str">
        <f ca="1"/>
        <v>ON-Kutai Holiday-00011900+20-6282153090123</v>
      </c>
      <c r="Y601" s="40" t="s">
        <v>62</v>
      </c>
      <c r="Z601" s="40" t="s">
        <v>1880</v>
      </c>
      <c r="AA601" s="23" t="str">
        <v>https://wa.me/6282153090123</v>
      </c>
      <c r="AB601" s="28" t="s">
        <v>3891</v>
      </c>
      <c r="AC601" s="28"/>
      <c r="AD601" s="28" t="s">
        <v>690</v>
      </c>
      <c r="AE601" s="28"/>
      <c r="AF601" s="29">
        <v>45882</v>
      </c>
      <c r="AG601" s="29"/>
    </row>
    <row r="602" spans="1:33" ht="15.75" customHeight="1">
      <c r="A602" s="32" t="s">
        <v>196</v>
      </c>
      <c r="B602" s="33">
        <v>610</v>
      </c>
      <c r="C602" s="34" t="s">
        <v>3892</v>
      </c>
      <c r="D602" s="35">
        <v>45879.818133344903</v>
      </c>
      <c r="E602" s="43">
        <v>45879</v>
      </c>
      <c r="F602" s="32" t="s">
        <v>3893</v>
      </c>
      <c r="G602" s="32" t="s">
        <v>3894</v>
      </c>
      <c r="H602" s="32" t="s">
        <v>3895</v>
      </c>
      <c r="I602" s="36" t="s">
        <v>3896</v>
      </c>
      <c r="J602" s="52" t="s">
        <v>3897</v>
      </c>
      <c r="K602" s="32" t="s">
        <v>3898</v>
      </c>
      <c r="L602" s="32" t="s">
        <v>3899</v>
      </c>
      <c r="M602" s="32" t="s">
        <v>205</v>
      </c>
      <c r="N602" s="33">
        <v>5</v>
      </c>
      <c r="O602" s="35"/>
      <c r="P602" s="35"/>
      <c r="Q602" s="37"/>
      <c r="R602" s="38"/>
      <c r="S602" s="33"/>
      <c r="T602" s="39">
        <v>197000</v>
      </c>
      <c r="U602" s="40" t="s">
        <v>1229</v>
      </c>
      <c r="V602" s="41"/>
      <c r="W602" s="42" t="str">
        <f ca="1">IFERROR(__xludf.DUMMYFUNCTION("""COMPUTED_VALUE"""),"Mitra Jaya")</f>
        <v>Mitra Jaya</v>
      </c>
      <c r="X602" s="42" t="str">
        <f ca="1"/>
        <v>ON-Mitra Jaya-00011900+5-6281342202869</v>
      </c>
      <c r="Y602" s="40" t="s">
        <v>293</v>
      </c>
      <c r="Z602" s="40" t="s">
        <v>1057</v>
      </c>
      <c r="AA602" s="23" t="str">
        <v>https://wa.me/6281342202869</v>
      </c>
      <c r="AB602" s="28" t="s">
        <v>3900</v>
      </c>
      <c r="AC602" s="28"/>
      <c r="AD602" s="28" t="s">
        <v>690</v>
      </c>
      <c r="AE602" s="28"/>
      <c r="AF602" s="29">
        <v>45882</v>
      </c>
      <c r="AG602" s="29"/>
    </row>
    <row r="603" spans="1:33" ht="15.75" customHeight="1">
      <c r="A603" s="32" t="s">
        <v>196</v>
      </c>
      <c r="B603" s="33">
        <v>611</v>
      </c>
      <c r="C603" s="34" t="s">
        <v>3901</v>
      </c>
      <c r="D603" s="35">
        <v>45880.27642991898</v>
      </c>
      <c r="E603" s="43">
        <v>45880</v>
      </c>
      <c r="F603" s="32" t="s">
        <v>3902</v>
      </c>
      <c r="G603" s="32" t="s">
        <v>3903</v>
      </c>
      <c r="H603" s="32" t="s">
        <v>3904</v>
      </c>
      <c r="I603" s="36" t="s">
        <v>3905</v>
      </c>
      <c r="J603" s="52"/>
      <c r="K603" s="32" t="s">
        <v>1473</v>
      </c>
      <c r="L603" s="32" t="s">
        <v>425</v>
      </c>
      <c r="M603" s="32" t="s">
        <v>60</v>
      </c>
      <c r="N603" s="33">
        <v>5</v>
      </c>
      <c r="O603" s="35"/>
      <c r="P603" s="35"/>
      <c r="Q603" s="37"/>
      <c r="R603" s="38"/>
      <c r="S603" s="33"/>
      <c r="T603" s="39">
        <v>197000</v>
      </c>
      <c r="U603" s="40" t="s">
        <v>61</v>
      </c>
      <c r="V603" s="41"/>
      <c r="W603" s="42" t="str">
        <f ca="1">IFERROR(__xludf.DUMMYFUNCTION("""COMPUTED_VALUE"""),"Pupuk Paten")</f>
        <v>Pupuk Paten</v>
      </c>
      <c r="X603" s="42" t="str">
        <f ca="1"/>
        <v>ON-Pupuk Paten-00011900+5-6282382535847</v>
      </c>
      <c r="Y603" s="40" t="s">
        <v>62</v>
      </c>
      <c r="Z603" s="40" t="s">
        <v>1861</v>
      </c>
      <c r="AA603" s="23" t="str">
        <v>https://wa.me/6282382535847</v>
      </c>
      <c r="AB603" s="28" t="s">
        <v>3906</v>
      </c>
      <c r="AC603" s="28"/>
      <c r="AD603" s="28" t="s">
        <v>690</v>
      </c>
      <c r="AE603" s="28"/>
      <c r="AF603" s="29">
        <v>45882</v>
      </c>
      <c r="AG603" s="29"/>
    </row>
    <row r="604" spans="1:33" ht="15.75" customHeight="1">
      <c r="A604" s="32" t="s">
        <v>52</v>
      </c>
      <c r="B604" s="33">
        <v>610</v>
      </c>
      <c r="C604" s="34" t="s">
        <v>3892</v>
      </c>
      <c r="D604" s="35">
        <v>45880.34686085648</v>
      </c>
      <c r="E604" s="43">
        <v>45880</v>
      </c>
      <c r="F604" s="32" t="s">
        <v>1725</v>
      </c>
      <c r="G604" s="32" t="s">
        <v>1726</v>
      </c>
      <c r="H604" s="32" t="s">
        <v>1727</v>
      </c>
      <c r="I604" s="36" t="s">
        <v>581</v>
      </c>
      <c r="J604" s="52" t="s">
        <v>1728</v>
      </c>
      <c r="K604" s="32" t="s">
        <v>1729</v>
      </c>
      <c r="L604" s="32" t="s">
        <v>584</v>
      </c>
      <c r="M604" s="32" t="s">
        <v>60</v>
      </c>
      <c r="N604" s="33">
        <v>5</v>
      </c>
      <c r="O604" s="35"/>
      <c r="P604" s="35"/>
      <c r="Q604" s="37"/>
      <c r="R604" s="38"/>
      <c r="S604" s="33"/>
      <c r="T604" s="39">
        <v>197000</v>
      </c>
      <c r="U604" s="40" t="s">
        <v>61</v>
      </c>
      <c r="V604" s="41"/>
      <c r="W604" s="42" t="str">
        <f ca="1">IFERROR(__xludf.DUMMYFUNCTION("""COMPUTED_VALUE"""),"Phone Cell")</f>
        <v>Phone Cell</v>
      </c>
      <c r="X604" s="42" t="str">
        <f ca="1"/>
        <v>ON-Phone Cell-00011900+5-6281241440688</v>
      </c>
      <c r="Y604" s="40"/>
      <c r="Z604" s="40"/>
      <c r="AA604" s="23" t="str">
        <v>https://wa.me/6281241440688</v>
      </c>
      <c r="AB604" s="28"/>
      <c r="AC604" s="28"/>
      <c r="AD604" s="28"/>
      <c r="AE604" s="28"/>
      <c r="AF604" s="29"/>
      <c r="AG604" s="29"/>
    </row>
    <row r="605" spans="1:33" ht="15.75" customHeight="1">
      <c r="A605" s="32" t="s">
        <v>52</v>
      </c>
      <c r="B605" s="33">
        <v>609</v>
      </c>
      <c r="C605" s="34" t="s">
        <v>3885</v>
      </c>
      <c r="D605" s="35">
        <v>45880.382448668985</v>
      </c>
      <c r="E605" s="43">
        <v>45880</v>
      </c>
      <c r="F605" s="32" t="s">
        <v>3907</v>
      </c>
      <c r="G605" s="32" t="s">
        <v>3908</v>
      </c>
      <c r="H605" s="32" t="s">
        <v>3909</v>
      </c>
      <c r="I605" s="36" t="s">
        <v>3910</v>
      </c>
      <c r="J605" s="52"/>
      <c r="K605" s="32" t="s">
        <v>317</v>
      </c>
      <c r="L605" s="32" t="s">
        <v>3911</v>
      </c>
      <c r="M605" s="32" t="s">
        <v>205</v>
      </c>
      <c r="N605" s="33">
        <v>7</v>
      </c>
      <c r="O605" s="35"/>
      <c r="P605" s="35"/>
      <c r="Q605" s="37"/>
      <c r="R605" s="38"/>
      <c r="S605" s="33"/>
      <c r="T605" s="39">
        <v>225000</v>
      </c>
      <c r="U605" s="40" t="s">
        <v>61</v>
      </c>
      <c r="V605" s="41"/>
      <c r="W605" s="42" t="str">
        <f ca="1">IFERROR(__xludf.DUMMYFUNCTION("""COMPUTED_VALUE"""),"Aurora Teknik")</f>
        <v>Aurora Teknik</v>
      </c>
      <c r="X605" s="42" t="str">
        <f ca="1"/>
        <v>ON-Aurora Teknik-00011900+7-6285376667233</v>
      </c>
      <c r="Y605" s="40"/>
      <c r="Z605" s="40"/>
      <c r="AA605" s="23" t="str">
        <v>https://wa.me/6285376667233</v>
      </c>
      <c r="AB605" s="28"/>
      <c r="AC605" s="28"/>
      <c r="AD605" s="28"/>
      <c r="AE605" s="28"/>
      <c r="AF605" s="29"/>
      <c r="AG605" s="29"/>
    </row>
    <row r="606" spans="1:33" ht="15.75" customHeight="1">
      <c r="A606" s="32" t="s">
        <v>52</v>
      </c>
      <c r="B606" s="33">
        <v>610</v>
      </c>
      <c r="C606" s="34" t="s">
        <v>3892</v>
      </c>
      <c r="D606" s="35">
        <v>45880.384092048611</v>
      </c>
      <c r="E606" s="43">
        <v>45880</v>
      </c>
      <c r="F606" s="32" t="s">
        <v>3907</v>
      </c>
      <c r="G606" s="32" t="s">
        <v>3908</v>
      </c>
      <c r="H606" s="32" t="s">
        <v>3909</v>
      </c>
      <c r="I606" s="36" t="s">
        <v>3910</v>
      </c>
      <c r="J606" s="52"/>
      <c r="K606" s="32" t="s">
        <v>317</v>
      </c>
      <c r="L606" s="32" t="s">
        <v>3911</v>
      </c>
      <c r="M606" s="32" t="s">
        <v>205</v>
      </c>
      <c r="N606" s="33">
        <v>7</v>
      </c>
      <c r="O606" s="35"/>
      <c r="P606" s="35"/>
      <c r="Q606" s="37"/>
      <c r="R606" s="38"/>
      <c r="S606" s="33"/>
      <c r="T606" s="39">
        <v>225000</v>
      </c>
      <c r="U606" s="40" t="s">
        <v>61</v>
      </c>
      <c r="V606" s="41"/>
      <c r="W606" s="42" t="str">
        <f ca="1">IFERROR(__xludf.DUMMYFUNCTION("""COMPUTED_VALUE"""),"Aurora Teknik")</f>
        <v>Aurora Teknik</v>
      </c>
      <c r="X606" s="42" t="str">
        <f ca="1"/>
        <v>ON-Aurora Teknik-00011900+7-6285376667233</v>
      </c>
      <c r="Y606" s="40"/>
      <c r="Z606" s="40"/>
      <c r="AA606" s="23" t="str">
        <v>https://wa.me/6285376667233</v>
      </c>
      <c r="AB606" s="28"/>
      <c r="AC606" s="28"/>
      <c r="AD606" s="28"/>
      <c r="AE606" s="28"/>
      <c r="AF606" s="29"/>
      <c r="AG606" s="29"/>
    </row>
    <row r="607" spans="1:33" ht="15.75" customHeight="1">
      <c r="A607" s="32" t="s">
        <v>196</v>
      </c>
      <c r="B607" s="33">
        <v>611</v>
      </c>
      <c r="C607" s="34" t="s">
        <v>3901</v>
      </c>
      <c r="D607" s="35">
        <v>45880.425340590278</v>
      </c>
      <c r="E607" s="43">
        <v>45880</v>
      </c>
      <c r="F607" s="32" t="s">
        <v>705</v>
      </c>
      <c r="G607" s="32" t="s">
        <v>3912</v>
      </c>
      <c r="H607" s="32" t="s">
        <v>3913</v>
      </c>
      <c r="I607" s="36" t="s">
        <v>708</v>
      </c>
      <c r="J607" s="52"/>
      <c r="K607" s="32" t="s">
        <v>1024</v>
      </c>
      <c r="L607" s="32" t="s">
        <v>354</v>
      </c>
      <c r="M607" s="32" t="s">
        <v>382</v>
      </c>
      <c r="N607" s="33">
        <v>10</v>
      </c>
      <c r="O607" s="35"/>
      <c r="P607" s="35"/>
      <c r="Q607" s="37"/>
      <c r="R607" s="38"/>
      <c r="S607" s="33"/>
      <c r="T607" s="39">
        <v>375000</v>
      </c>
      <c r="U607" s="40" t="s">
        <v>115</v>
      </c>
      <c r="V607" s="41"/>
      <c r="W607" s="42" t="str">
        <f ca="1">IFERROR(__xludf.DUMMYFUNCTION("""COMPUTED_VALUE"""),"TOKO TANI")</f>
        <v>TOKO TANI</v>
      </c>
      <c r="X607" s="42" t="str">
        <f ca="1"/>
        <v>ON-TOKO TANI-00011900+10-628127962347</v>
      </c>
      <c r="Y607" s="40" t="s">
        <v>62</v>
      </c>
      <c r="Z607" s="40" t="s">
        <v>1861</v>
      </c>
      <c r="AA607" s="23" t="str">
        <v>https://wa.me/628127962347</v>
      </c>
      <c r="AB607" s="28" t="s">
        <v>3914</v>
      </c>
      <c r="AC607" s="28"/>
      <c r="AD607" s="28" t="s">
        <v>690</v>
      </c>
      <c r="AE607" s="28"/>
      <c r="AF607" s="29">
        <v>45882</v>
      </c>
      <c r="AG607" s="29"/>
    </row>
    <row r="608" spans="1:33" ht="15.75" customHeight="1">
      <c r="A608" s="32" t="s">
        <v>196</v>
      </c>
      <c r="B608" s="33">
        <v>612</v>
      </c>
      <c r="C608" s="34" t="s">
        <v>3915</v>
      </c>
      <c r="D608" s="35">
        <v>45880.482337835652</v>
      </c>
      <c r="E608" s="43">
        <v>45880</v>
      </c>
      <c r="F608" s="32" t="s">
        <v>3916</v>
      </c>
      <c r="G608" s="32" t="s">
        <v>3917</v>
      </c>
      <c r="H608" s="32" t="s">
        <v>3918</v>
      </c>
      <c r="I608" s="36" t="s">
        <v>3919</v>
      </c>
      <c r="J608" s="52"/>
      <c r="K608" s="32" t="s">
        <v>3920</v>
      </c>
      <c r="L608" s="32" t="s">
        <v>3921</v>
      </c>
      <c r="M608" s="32" t="s">
        <v>3922</v>
      </c>
      <c r="N608" s="33">
        <v>5</v>
      </c>
      <c r="O608" s="35"/>
      <c r="P608" s="35"/>
      <c r="Q608" s="37"/>
      <c r="R608" s="38"/>
      <c r="S608" s="33"/>
      <c r="T608" s="39">
        <v>197000</v>
      </c>
      <c r="U608" s="40" t="s">
        <v>1229</v>
      </c>
      <c r="V608" s="41"/>
      <c r="W608" s="42" t="str">
        <f ca="1">IFERROR(__xludf.DUMMYFUNCTION("""COMPUTED_VALUE"""),"CV.PUTERA PERSADA")</f>
        <v>CV.PUTERA PERSADA</v>
      </c>
      <c r="X608" s="42" t="str">
        <f ca="1"/>
        <v>ON-CV.PUTERA PERSADA-00011900+5-6281231728008</v>
      </c>
      <c r="Y608" s="40" t="s">
        <v>293</v>
      </c>
      <c r="Z608" s="40" t="s">
        <v>1057</v>
      </c>
      <c r="AA608" s="23" t="str">
        <v>https://wa.me/6281231728008</v>
      </c>
      <c r="AB608" s="28" t="s">
        <v>3923</v>
      </c>
      <c r="AC608" s="28"/>
      <c r="AD608" s="28" t="s">
        <v>690</v>
      </c>
      <c r="AE608" s="28"/>
      <c r="AF608" s="29">
        <v>45883</v>
      </c>
      <c r="AG608" s="29"/>
    </row>
    <row r="609" spans="1:33" ht="15.75" customHeight="1">
      <c r="A609" s="32" t="s">
        <v>196</v>
      </c>
      <c r="B609" s="33">
        <v>613</v>
      </c>
      <c r="C609" s="34" t="s">
        <v>3924</v>
      </c>
      <c r="D609" s="35">
        <v>45989</v>
      </c>
      <c r="E609" s="43">
        <v>45880</v>
      </c>
      <c r="F609" s="32" t="s">
        <v>3925</v>
      </c>
      <c r="G609" s="32" t="s">
        <v>3926</v>
      </c>
      <c r="H609" s="32" t="s">
        <v>3927</v>
      </c>
      <c r="I609" s="36" t="s">
        <v>3928</v>
      </c>
      <c r="J609" s="52"/>
      <c r="K609" s="32" t="s">
        <v>3929</v>
      </c>
      <c r="L609" s="32" t="s">
        <v>964</v>
      </c>
      <c r="M609" s="32" t="s">
        <v>382</v>
      </c>
      <c r="N609" s="33">
        <v>14</v>
      </c>
      <c r="O609" s="35"/>
      <c r="P609" s="35"/>
      <c r="Q609" s="37"/>
      <c r="R609" s="38">
        <v>-1003470351325</v>
      </c>
      <c r="S609" s="33"/>
      <c r="T609" s="39">
        <v>550000</v>
      </c>
      <c r="U609" s="40" t="s">
        <v>115</v>
      </c>
      <c r="V609" s="47">
        <v>45989.447310659722</v>
      </c>
      <c r="W609" s="42" t="str">
        <f ca="1">IFERROR(__xludf.DUMMYFUNCTION("""COMPUTED_VALUE"""),"UD WIJAYA")</f>
        <v>UD WIJAYA</v>
      </c>
      <c r="X609" s="42" t="str">
        <f ca="1"/>
        <v>ON-UD WIJAYA-28112025+14-6281243260218</v>
      </c>
      <c r="Y609" s="40" t="s">
        <v>293</v>
      </c>
      <c r="Z609" s="40" t="s">
        <v>1057</v>
      </c>
      <c r="AA609" s="23" t="str">
        <v>https://wa.me/6281243260218</v>
      </c>
      <c r="AB609" s="28" t="s">
        <v>3930</v>
      </c>
      <c r="AC609" s="28"/>
      <c r="AD609" s="28" t="s">
        <v>690</v>
      </c>
      <c r="AE609" s="28"/>
      <c r="AF609" s="29">
        <v>45882</v>
      </c>
      <c r="AG609" s="29"/>
    </row>
    <row r="610" spans="1:33" ht="15.75" customHeight="1">
      <c r="A610" s="32" t="s">
        <v>52</v>
      </c>
      <c r="B610" s="33">
        <v>614</v>
      </c>
      <c r="C610" s="34" t="s">
        <v>3931</v>
      </c>
      <c r="D610" s="35">
        <v>45880.503087719902</v>
      </c>
      <c r="E610" s="43">
        <v>45880</v>
      </c>
      <c r="F610" s="32" t="s">
        <v>3932</v>
      </c>
      <c r="G610" s="32" t="s">
        <v>3933</v>
      </c>
      <c r="H610" s="32"/>
      <c r="I610" s="36" t="s">
        <v>2430</v>
      </c>
      <c r="J610" s="52"/>
      <c r="K610" s="32" t="s">
        <v>3934</v>
      </c>
      <c r="L610" s="32" t="s">
        <v>2432</v>
      </c>
      <c r="M610" s="32" t="s">
        <v>60</v>
      </c>
      <c r="N610" s="33">
        <v>5</v>
      </c>
      <c r="O610" s="35"/>
      <c r="P610" s="35"/>
      <c r="Q610" s="37"/>
      <c r="R610" s="38"/>
      <c r="S610" s="33"/>
      <c r="T610" s="39">
        <v>375000</v>
      </c>
      <c r="U610" s="40" t="s">
        <v>61</v>
      </c>
      <c r="V610" s="41"/>
      <c r="W610" s="42" t="str">
        <f ca="1">IFERROR(__xludf.DUMMYFUNCTION("""COMPUTED_VALUE"""),"CV MZ")</f>
        <v>CV MZ</v>
      </c>
      <c r="X610" s="42" t="str">
        <f ca="1"/>
        <v>ON-CV MZ-00011900+5-62882001677470</v>
      </c>
      <c r="Y610" s="40"/>
      <c r="Z610" s="40"/>
      <c r="AA610" s="23" t="str">
        <v>https://wa.me/62882001677470</v>
      </c>
      <c r="AB610" s="28"/>
      <c r="AC610" s="28"/>
      <c r="AD610" s="28"/>
      <c r="AE610" s="28"/>
      <c r="AF610" s="29"/>
      <c r="AG610" s="29"/>
    </row>
    <row r="611" spans="1:33" ht="15.75" customHeight="1">
      <c r="A611" s="32" t="s">
        <v>52</v>
      </c>
      <c r="B611" s="33">
        <v>615</v>
      </c>
      <c r="C611" s="34" t="s">
        <v>3935</v>
      </c>
      <c r="D611" s="35">
        <v>45880.503602858793</v>
      </c>
      <c r="E611" s="43">
        <v>45880</v>
      </c>
      <c r="F611" s="32" t="s">
        <v>3932</v>
      </c>
      <c r="G611" s="32" t="s">
        <v>3933</v>
      </c>
      <c r="H611" s="32" t="s">
        <v>3936</v>
      </c>
      <c r="I611" s="36" t="s">
        <v>2430</v>
      </c>
      <c r="J611" s="52"/>
      <c r="K611" s="32" t="s">
        <v>3934</v>
      </c>
      <c r="L611" s="32" t="s">
        <v>2432</v>
      </c>
      <c r="M611" s="32" t="s">
        <v>60</v>
      </c>
      <c r="N611" s="33">
        <v>5</v>
      </c>
      <c r="O611" s="35"/>
      <c r="P611" s="35"/>
      <c r="Q611" s="37"/>
      <c r="R611" s="38"/>
      <c r="S611" s="33"/>
      <c r="T611" s="39">
        <v>375000</v>
      </c>
      <c r="U611" s="40" t="s">
        <v>61</v>
      </c>
      <c r="V611" s="41"/>
      <c r="W611" s="42" t="str">
        <f ca="1">IFERROR(__xludf.DUMMYFUNCTION("""COMPUTED_VALUE"""),"CV MZ")</f>
        <v>CV MZ</v>
      </c>
      <c r="X611" s="42" t="str">
        <f ca="1"/>
        <v>ON-CV MZ-00011900+5-62882001677470</v>
      </c>
      <c r="Y611" s="40"/>
      <c r="Z611" s="40"/>
      <c r="AA611" s="23" t="str">
        <v>https://wa.me/62882001677470</v>
      </c>
      <c r="AB611" s="28"/>
      <c r="AC611" s="28"/>
      <c r="AD611" s="28"/>
      <c r="AE611" s="28"/>
      <c r="AF611" s="29"/>
      <c r="AG611" s="29"/>
    </row>
    <row r="612" spans="1:33" ht="15.75" customHeight="1">
      <c r="A612" s="32" t="s">
        <v>196</v>
      </c>
      <c r="B612" s="33">
        <v>616</v>
      </c>
      <c r="C612" s="34" t="s">
        <v>3937</v>
      </c>
      <c r="D612" s="35">
        <v>45880.511108171297</v>
      </c>
      <c r="E612" s="43">
        <v>45880</v>
      </c>
      <c r="F612" s="32" t="s">
        <v>3938</v>
      </c>
      <c r="G612" s="32" t="s">
        <v>3939</v>
      </c>
      <c r="H612" s="32" t="s">
        <v>2090</v>
      </c>
      <c r="I612" s="36" t="s">
        <v>3940</v>
      </c>
      <c r="J612" s="52"/>
      <c r="K612" s="32" t="s">
        <v>3941</v>
      </c>
      <c r="L612" s="32" t="s">
        <v>1250</v>
      </c>
      <c r="M612" s="32" t="s">
        <v>60</v>
      </c>
      <c r="N612" s="33">
        <v>10</v>
      </c>
      <c r="O612" s="35"/>
      <c r="P612" s="35"/>
      <c r="Q612" s="37"/>
      <c r="R612" s="38"/>
      <c r="S612" s="33"/>
      <c r="T612" s="39">
        <v>375000</v>
      </c>
      <c r="U612" s="40" t="s">
        <v>61</v>
      </c>
      <c r="V612" s="41"/>
      <c r="W612" s="42" t="str">
        <f ca="1">IFERROR(__xludf.DUMMYFUNCTION("""COMPUTED_VALUE"""),"Bali Trip")</f>
        <v>Bali Trip</v>
      </c>
      <c r="X612" s="42" t="str">
        <f ca="1"/>
        <v>ON-Bali Trip-00011900+10-628179780980</v>
      </c>
      <c r="Y612" s="40" t="s">
        <v>62</v>
      </c>
      <c r="Z612" s="40" t="s">
        <v>1880</v>
      </c>
      <c r="AA612" s="23" t="str">
        <v>https://wa.me/628179780980</v>
      </c>
      <c r="AB612" s="28" t="s">
        <v>3942</v>
      </c>
      <c r="AC612" s="28"/>
      <c r="AD612" s="28" t="s">
        <v>690</v>
      </c>
      <c r="AE612" s="28"/>
      <c r="AF612" s="29">
        <v>45882</v>
      </c>
      <c r="AG612" s="29"/>
    </row>
    <row r="613" spans="1:33" ht="15.75" customHeight="1">
      <c r="A613" s="32" t="s">
        <v>52</v>
      </c>
      <c r="B613" s="33">
        <v>617</v>
      </c>
      <c r="C613" s="34" t="s">
        <v>3943</v>
      </c>
      <c r="D613" s="35">
        <v>45880.512096296297</v>
      </c>
      <c r="E613" s="43">
        <v>45880</v>
      </c>
      <c r="F613" s="32" t="s">
        <v>3932</v>
      </c>
      <c r="G613" s="32" t="s">
        <v>3933</v>
      </c>
      <c r="H613" s="32" t="s">
        <v>3936</v>
      </c>
      <c r="I613" s="36" t="s">
        <v>2430</v>
      </c>
      <c r="J613" s="52"/>
      <c r="K613" s="32" t="s">
        <v>3934</v>
      </c>
      <c r="L613" s="32" t="s">
        <v>2432</v>
      </c>
      <c r="M613" s="32" t="s">
        <v>60</v>
      </c>
      <c r="N613" s="33">
        <v>10</v>
      </c>
      <c r="O613" s="35"/>
      <c r="P613" s="35"/>
      <c r="Q613" s="37"/>
      <c r="R613" s="38"/>
      <c r="S613" s="33"/>
      <c r="T613" s="39">
        <v>375000</v>
      </c>
      <c r="U613" s="40" t="s">
        <v>61</v>
      </c>
      <c r="V613" s="41"/>
      <c r="W613" s="42" t="str">
        <f ca="1">IFERROR(__xludf.DUMMYFUNCTION("""COMPUTED_VALUE"""),"CV MZ")</f>
        <v>CV MZ</v>
      </c>
      <c r="X613" s="42" t="str">
        <f ca="1"/>
        <v>ON-CV MZ-00011900+10-62882001677470</v>
      </c>
      <c r="Y613" s="40"/>
      <c r="Z613" s="40"/>
      <c r="AA613" s="23" t="str">
        <v>https://wa.me/62882001677470</v>
      </c>
      <c r="AB613" s="28"/>
      <c r="AC613" s="28"/>
      <c r="AD613" s="28"/>
      <c r="AE613" s="28"/>
      <c r="AF613" s="29"/>
      <c r="AG613" s="29"/>
    </row>
    <row r="614" spans="1:33" ht="15.75" customHeight="1">
      <c r="A614" s="32" t="s">
        <v>52</v>
      </c>
      <c r="B614" s="33">
        <v>618</v>
      </c>
      <c r="C614" s="34" t="s">
        <v>3944</v>
      </c>
      <c r="D614" s="35">
        <v>45880.514413425924</v>
      </c>
      <c r="E614" s="43">
        <v>45880</v>
      </c>
      <c r="F614" s="32" t="s">
        <v>3075</v>
      </c>
      <c r="G614" s="32" t="s">
        <v>1624</v>
      </c>
      <c r="H614" s="32" t="s">
        <v>3076</v>
      </c>
      <c r="I614" s="36" t="s">
        <v>3077</v>
      </c>
      <c r="J614" s="52"/>
      <c r="K614" s="32" t="s">
        <v>3078</v>
      </c>
      <c r="L614" s="32" t="s">
        <v>3079</v>
      </c>
      <c r="M614" s="32" t="s">
        <v>48</v>
      </c>
      <c r="N614" s="33">
        <v>10</v>
      </c>
      <c r="O614" s="35"/>
      <c r="P614" s="35"/>
      <c r="Q614" s="37"/>
      <c r="R614" s="38"/>
      <c r="S614" s="33"/>
      <c r="T614" s="39">
        <v>375000</v>
      </c>
      <c r="U614" s="40" t="s">
        <v>1774</v>
      </c>
      <c r="V614" s="41"/>
      <c r="W614" s="42" t="str">
        <f ca="1">IFERROR(__xludf.DUMMYFUNCTION("""COMPUTED_VALUE"""),"Rental mobil")</f>
        <v>Rental mobil</v>
      </c>
      <c r="X614" s="42" t="str">
        <f ca="1"/>
        <v>ON-Rental mobil-00011900+10-6281938384000</v>
      </c>
      <c r="Y614" s="40"/>
      <c r="Z614" s="40"/>
      <c r="AA614" s="23" t="str">
        <v>https://wa.me/6281938384000</v>
      </c>
      <c r="AB614" s="28"/>
      <c r="AC614" s="28"/>
      <c r="AD614" s="28"/>
      <c r="AE614" s="28"/>
      <c r="AF614" s="29"/>
      <c r="AG614" s="29"/>
    </row>
    <row r="615" spans="1:33" ht="15.75" customHeight="1">
      <c r="A615" s="32" t="s">
        <v>621</v>
      </c>
      <c r="B615" s="33">
        <v>619</v>
      </c>
      <c r="C615" s="34" t="s">
        <v>3945</v>
      </c>
      <c r="D615" s="35">
        <v>45880.529694143523</v>
      </c>
      <c r="E615" s="43">
        <v>45877</v>
      </c>
      <c r="F615" s="32" t="s">
        <v>593</v>
      </c>
      <c r="G615" s="32" t="s">
        <v>3799</v>
      </c>
      <c r="H615" s="32" t="s">
        <v>3800</v>
      </c>
      <c r="I615" s="36" t="s">
        <v>596</v>
      </c>
      <c r="J615" s="52"/>
      <c r="K615" s="32" t="s">
        <v>247</v>
      </c>
      <c r="L615" s="32" t="s">
        <v>3801</v>
      </c>
      <c r="M615" s="32" t="s">
        <v>60</v>
      </c>
      <c r="N615" s="33">
        <v>7</v>
      </c>
      <c r="O615" s="35"/>
      <c r="P615" s="35"/>
      <c r="Q615" s="37"/>
      <c r="R615" s="38"/>
      <c r="S615" s="33"/>
      <c r="T615" s="39">
        <v>297000</v>
      </c>
      <c r="U615" s="40" t="s">
        <v>61</v>
      </c>
      <c r="V615" s="41"/>
      <c r="W615" s="42" t="str">
        <f ca="1">IFERROR(__xludf.DUMMYFUNCTION("""COMPUTED_VALUE"""),"Pelita Jaya")</f>
        <v>Pelita Jaya</v>
      </c>
      <c r="X615" s="42" t="str">
        <f ca="1"/>
        <v>ON-Pelita Jaya-00011900+7-6283185169816</v>
      </c>
      <c r="Y615" s="40"/>
      <c r="Z615" s="40"/>
      <c r="AA615" s="23" t="str">
        <v>https://wa.me/6283185169816</v>
      </c>
      <c r="AB615" s="28"/>
      <c r="AC615" s="28"/>
      <c r="AD615" s="28"/>
      <c r="AE615" s="28"/>
      <c r="AF615" s="29"/>
      <c r="AG615" s="29"/>
    </row>
    <row r="616" spans="1:33" ht="15.75" customHeight="1">
      <c r="A616" s="32" t="s">
        <v>196</v>
      </c>
      <c r="B616" s="33">
        <v>620</v>
      </c>
      <c r="C616" s="34" t="s">
        <v>3946</v>
      </c>
      <c r="D616" s="35">
        <v>45880.553264525464</v>
      </c>
      <c r="E616" s="43">
        <v>45880</v>
      </c>
      <c r="F616" s="32" t="s">
        <v>3947</v>
      </c>
      <c r="G616" s="32" t="s">
        <v>3948</v>
      </c>
      <c r="H616" s="32" t="s">
        <v>3949</v>
      </c>
      <c r="I616" s="36" t="s">
        <v>3950</v>
      </c>
      <c r="J616" s="52"/>
      <c r="K616" s="32" t="s">
        <v>3951</v>
      </c>
      <c r="L616" s="32" t="s">
        <v>3952</v>
      </c>
      <c r="M616" s="32" t="s">
        <v>249</v>
      </c>
      <c r="N616" s="33">
        <v>5</v>
      </c>
      <c r="O616" s="35"/>
      <c r="P616" s="35"/>
      <c r="Q616" s="37"/>
      <c r="R616" s="38"/>
      <c r="S616" s="33"/>
      <c r="T616" s="39">
        <v>197000</v>
      </c>
      <c r="U616" s="40" t="s">
        <v>1774</v>
      </c>
      <c r="V616" s="41"/>
      <c r="W616" s="42" t="str">
        <f ca="1">IFERROR(__xludf.DUMMYFUNCTION("""COMPUTED_VALUE"""),"Yono motor")</f>
        <v>Yono motor</v>
      </c>
      <c r="X616" s="42" t="str">
        <f ca="1"/>
        <v>ON-Yono motor-00011900+5-6287701349406</v>
      </c>
      <c r="Y616" s="40" t="s">
        <v>62</v>
      </c>
      <c r="Z616" s="40" t="s">
        <v>294</v>
      </c>
      <c r="AA616" s="23" t="str">
        <v>https://wa.me/6287701349406</v>
      </c>
      <c r="AB616" s="28" t="s">
        <v>3953</v>
      </c>
      <c r="AC616" s="28"/>
      <c r="AD616" s="28" t="s">
        <v>690</v>
      </c>
      <c r="AE616" s="28"/>
      <c r="AF616" s="29">
        <v>45882</v>
      </c>
      <c r="AG616" s="29"/>
    </row>
    <row r="617" spans="1:33" ht="15.75" customHeight="1">
      <c r="A617" s="32" t="s">
        <v>196</v>
      </c>
      <c r="B617" s="33">
        <v>622</v>
      </c>
      <c r="C617" s="34" t="s">
        <v>3954</v>
      </c>
      <c r="D617" s="35">
        <v>45880.69963451389</v>
      </c>
      <c r="E617" s="43">
        <v>45880</v>
      </c>
      <c r="F617" s="32" t="s">
        <v>3955</v>
      </c>
      <c r="G617" s="32" t="s">
        <v>3956</v>
      </c>
      <c r="H617" s="32" t="s">
        <v>3957</v>
      </c>
      <c r="I617" s="36" t="s">
        <v>3958</v>
      </c>
      <c r="J617" s="52"/>
      <c r="K617" s="32" t="s">
        <v>3959</v>
      </c>
      <c r="L617" s="32" t="s">
        <v>1474</v>
      </c>
      <c r="M617" s="32" t="s">
        <v>60</v>
      </c>
      <c r="N617" s="33">
        <v>14</v>
      </c>
      <c r="O617" s="35"/>
      <c r="P617" s="35"/>
      <c r="Q617" s="37"/>
      <c r="R617" s="38"/>
      <c r="S617" s="33"/>
      <c r="T617" s="39">
        <v>550000</v>
      </c>
      <c r="U617" s="40" t="s">
        <v>61</v>
      </c>
      <c r="V617" s="41"/>
      <c r="W617" s="42" t="str">
        <f ca="1">IFERROR(__xludf.DUMMYFUNCTION("""COMPUTED_VALUE"""),"49_Interior")</f>
        <v>49_Interior</v>
      </c>
      <c r="X617" s="42" t="str">
        <f ca="1"/>
        <v>ON-49_Interior-00011900+14-628156516849</v>
      </c>
      <c r="Y617" s="40" t="s">
        <v>293</v>
      </c>
      <c r="Z617" s="40" t="s">
        <v>1057</v>
      </c>
      <c r="AA617" s="23" t="str">
        <v>https://wa.me/628156516849</v>
      </c>
      <c r="AB617" s="28" t="s">
        <v>3960</v>
      </c>
      <c r="AC617" s="28"/>
      <c r="AD617" s="28" t="s">
        <v>690</v>
      </c>
      <c r="AE617" s="28"/>
      <c r="AF617" s="29">
        <v>45882</v>
      </c>
      <c r="AG617" s="29"/>
    </row>
    <row r="618" spans="1:33" ht="15.75" customHeight="1">
      <c r="A618" s="32" t="s">
        <v>196</v>
      </c>
      <c r="B618" s="33">
        <v>623</v>
      </c>
      <c r="C618" s="34" t="s">
        <v>3961</v>
      </c>
      <c r="D618" s="35">
        <v>45880.70952311343</v>
      </c>
      <c r="E618" s="43">
        <v>45880</v>
      </c>
      <c r="F618" s="32" t="s">
        <v>3340</v>
      </c>
      <c r="G618" s="32" t="s">
        <v>3962</v>
      </c>
      <c r="H618" s="32" t="s">
        <v>3963</v>
      </c>
      <c r="I618" s="36" t="s">
        <v>3343</v>
      </c>
      <c r="J618" s="52"/>
      <c r="K618" s="32" t="s">
        <v>3964</v>
      </c>
      <c r="L618" s="32" t="s">
        <v>3965</v>
      </c>
      <c r="M618" s="32" t="s">
        <v>285</v>
      </c>
      <c r="N618" s="33">
        <v>20</v>
      </c>
      <c r="O618" s="35"/>
      <c r="P618" s="35"/>
      <c r="Q618" s="37"/>
      <c r="R618" s="38"/>
      <c r="S618" s="33"/>
      <c r="T618" s="39">
        <v>700000</v>
      </c>
      <c r="U618" s="40" t="s">
        <v>1229</v>
      </c>
      <c r="V618" s="41"/>
      <c r="W618" s="42" t="str">
        <f ca="1">IFERROR(__xludf.DUMMYFUNCTION("""COMPUTED_VALUE"""),"workshop master")</f>
        <v>workshop master</v>
      </c>
      <c r="X618" s="42" t="str">
        <f ca="1"/>
        <v>ON-workshop master-00011900+20-6285294617773</v>
      </c>
      <c r="Y618" s="40" t="s">
        <v>62</v>
      </c>
      <c r="Z618" s="40" t="s">
        <v>639</v>
      </c>
      <c r="AA618" s="23" t="str">
        <v>https://wa.me/6285294617773</v>
      </c>
      <c r="AB618" s="28" t="s">
        <v>3966</v>
      </c>
      <c r="AC618" s="28"/>
      <c r="AD618" s="28" t="s">
        <v>690</v>
      </c>
      <c r="AE618" s="28"/>
      <c r="AF618" s="29">
        <v>45883</v>
      </c>
      <c r="AG618" s="29"/>
    </row>
    <row r="619" spans="1:33" ht="15.75" customHeight="1">
      <c r="A619" s="32" t="s">
        <v>196</v>
      </c>
      <c r="B619" s="33">
        <v>624</v>
      </c>
      <c r="C619" s="34" t="s">
        <v>3967</v>
      </c>
      <c r="D619" s="35">
        <v>45880.894158159717</v>
      </c>
      <c r="E619" s="43">
        <v>45880</v>
      </c>
      <c r="F619" s="32" t="s">
        <v>3968</v>
      </c>
      <c r="G619" s="32" t="s">
        <v>3969</v>
      </c>
      <c r="H619" s="32" t="s">
        <v>2671</v>
      </c>
      <c r="I619" s="36" t="s">
        <v>3970</v>
      </c>
      <c r="J619" s="52"/>
      <c r="K619" s="32" t="s">
        <v>3971</v>
      </c>
      <c r="L619" s="32" t="s">
        <v>1008</v>
      </c>
      <c r="M619" s="32" t="s">
        <v>3687</v>
      </c>
      <c r="N619" s="33">
        <v>5</v>
      </c>
      <c r="O619" s="35"/>
      <c r="P619" s="35"/>
      <c r="Q619" s="37"/>
      <c r="R619" s="38"/>
      <c r="S619" s="33"/>
      <c r="T619" s="39">
        <v>197000</v>
      </c>
      <c r="U619" s="40" t="s">
        <v>1229</v>
      </c>
      <c r="V619" s="41"/>
      <c r="W619" s="42" t="str">
        <f ca="1">IFERROR(__xludf.DUMMYFUNCTION("""COMPUTED_VALUE"""),"Madu Rabbani")</f>
        <v>Madu Rabbani</v>
      </c>
      <c r="X619" s="42" t="str">
        <f ca="1"/>
        <v>ON-Madu Rabbani-00011900+5-62881010328220</v>
      </c>
      <c r="Y619" s="40" t="s">
        <v>62</v>
      </c>
      <c r="Z619" s="40" t="s">
        <v>1861</v>
      </c>
      <c r="AA619" s="23" t="str">
        <v>https://wa.me/62881010328220</v>
      </c>
      <c r="AB619" s="28" t="s">
        <v>3972</v>
      </c>
      <c r="AC619" s="28"/>
      <c r="AD619" s="28" t="s">
        <v>690</v>
      </c>
      <c r="AE619" s="28"/>
      <c r="AF619" s="29">
        <v>45883</v>
      </c>
      <c r="AG619" s="29"/>
    </row>
    <row r="620" spans="1:33" ht="15.75" customHeight="1">
      <c r="A620" s="32" t="s">
        <v>52</v>
      </c>
      <c r="B620" s="33">
        <v>626</v>
      </c>
      <c r="C620" s="34" t="s">
        <v>3973</v>
      </c>
      <c r="D620" s="35">
        <v>45881.305969340276</v>
      </c>
      <c r="E620" s="43">
        <v>45880</v>
      </c>
      <c r="F620" s="32" t="s">
        <v>3075</v>
      </c>
      <c r="G620" s="32" t="s">
        <v>1624</v>
      </c>
      <c r="H620" s="32" t="s">
        <v>3076</v>
      </c>
      <c r="I620" s="36" t="s">
        <v>3077</v>
      </c>
      <c r="J620" s="52"/>
      <c r="K620" s="32" t="s">
        <v>3078</v>
      </c>
      <c r="L620" s="32" t="s">
        <v>3079</v>
      </c>
      <c r="M620" s="32" t="s">
        <v>48</v>
      </c>
      <c r="N620" s="33">
        <v>10</v>
      </c>
      <c r="O620" s="35"/>
      <c r="P620" s="35"/>
      <c r="Q620" s="37"/>
      <c r="R620" s="38"/>
      <c r="S620" s="33"/>
      <c r="T620" s="39">
        <v>375000</v>
      </c>
      <c r="U620" s="40" t="s">
        <v>1774</v>
      </c>
      <c r="V620" s="41"/>
      <c r="W620" s="42" t="str">
        <f ca="1">IFERROR(__xludf.DUMMYFUNCTION("""COMPUTED_VALUE"""),"Rental mobil")</f>
        <v>Rental mobil</v>
      </c>
      <c r="X620" s="42" t="str">
        <f ca="1"/>
        <v>ON-Rental mobil-00011900+10-6281938384000</v>
      </c>
      <c r="Y620" s="40"/>
      <c r="Z620" s="40"/>
      <c r="AA620" s="23" t="str">
        <v>https://wa.me/6281938384000</v>
      </c>
      <c r="AB620" s="28"/>
      <c r="AC620" s="28"/>
      <c r="AD620" s="28"/>
      <c r="AE620" s="28"/>
      <c r="AF620" s="29"/>
      <c r="AG620" s="29"/>
    </row>
    <row r="621" spans="1:33" ht="15.75" customHeight="1">
      <c r="A621" s="32" t="s">
        <v>196</v>
      </c>
      <c r="B621" s="33">
        <v>627</v>
      </c>
      <c r="C621" s="34" t="s">
        <v>3974</v>
      </c>
      <c r="D621" s="35">
        <v>45881.370074942126</v>
      </c>
      <c r="E621" s="43">
        <v>45881</v>
      </c>
      <c r="F621" s="32" t="s">
        <v>3975</v>
      </c>
      <c r="G621" s="32" t="s">
        <v>3976</v>
      </c>
      <c r="H621" s="32" t="s">
        <v>3977</v>
      </c>
      <c r="I621" s="36" t="s">
        <v>899</v>
      </c>
      <c r="J621" s="52"/>
      <c r="K621" s="32" t="s">
        <v>3978</v>
      </c>
      <c r="L621" s="32" t="s">
        <v>3979</v>
      </c>
      <c r="M621" s="32" t="s">
        <v>3788</v>
      </c>
      <c r="N621" s="33">
        <v>5</v>
      </c>
      <c r="O621" s="35"/>
      <c r="P621" s="35"/>
      <c r="Q621" s="37"/>
      <c r="R621" s="38"/>
      <c r="S621" s="33"/>
      <c r="T621" s="39">
        <v>197000</v>
      </c>
      <c r="U621" s="40" t="s">
        <v>1229</v>
      </c>
      <c r="V621" s="41"/>
      <c r="W621" s="42" t="str">
        <f ca="1">IFERROR(__xludf.DUMMYFUNCTION("""COMPUTED_VALUE"""),"CV HAFIDZ")</f>
        <v>CV HAFIDZ</v>
      </c>
      <c r="X621" s="42" t="str">
        <f ca="1"/>
        <v>ON-CV HAFIDZ-00011900+5-6285361188745</v>
      </c>
      <c r="Y621" s="40" t="s">
        <v>62</v>
      </c>
      <c r="Z621" s="40" t="s">
        <v>277</v>
      </c>
      <c r="AA621" s="23" t="str">
        <v>https://wa.me/6285361188745</v>
      </c>
      <c r="AB621" s="28" t="s">
        <v>3980</v>
      </c>
      <c r="AC621" s="28"/>
      <c r="AD621" s="28" t="s">
        <v>690</v>
      </c>
      <c r="AE621" s="28"/>
      <c r="AF621" s="29">
        <v>45883</v>
      </c>
      <c r="AG621" s="29"/>
    </row>
    <row r="622" spans="1:33" ht="15.75" customHeight="1">
      <c r="A622" s="32" t="s">
        <v>196</v>
      </c>
      <c r="B622" s="33">
        <v>628</v>
      </c>
      <c r="C622" s="34" t="s">
        <v>3981</v>
      </c>
      <c r="D622" s="35">
        <v>45881.435578425924</v>
      </c>
      <c r="E622" s="43">
        <v>45881</v>
      </c>
      <c r="F622" s="32" t="s">
        <v>3982</v>
      </c>
      <c r="G622" s="32" t="s">
        <v>3983</v>
      </c>
      <c r="H622" s="32" t="s">
        <v>3984</v>
      </c>
      <c r="I622" s="36" t="s">
        <v>3985</v>
      </c>
      <c r="J622" s="52"/>
      <c r="K622" s="32" t="s">
        <v>3986</v>
      </c>
      <c r="L622" s="32" t="s">
        <v>3987</v>
      </c>
      <c r="M622" s="32" t="s">
        <v>3988</v>
      </c>
      <c r="N622" s="33">
        <v>10</v>
      </c>
      <c r="O622" s="35"/>
      <c r="P622" s="35"/>
      <c r="Q622" s="37"/>
      <c r="R622" s="38"/>
      <c r="S622" s="33"/>
      <c r="T622" s="39">
        <v>375000</v>
      </c>
      <c r="U622" s="40" t="s">
        <v>1229</v>
      </c>
      <c r="V622" s="41"/>
      <c r="W622" s="42" t="str">
        <f ca="1">IFERROR(__xludf.DUMMYFUNCTION("""COMPUTED_VALUE"""),"jasa pengaspalan")</f>
        <v>jasa pengaspalan</v>
      </c>
      <c r="X622" s="42" t="str">
        <f ca="1"/>
        <v>ON-jasa pengaspalan-00011900+10-628997485901</v>
      </c>
      <c r="Y622" s="40" t="s">
        <v>293</v>
      </c>
      <c r="Z622" s="40" t="s">
        <v>1057</v>
      </c>
      <c r="AA622" s="23" t="str">
        <v>https://wa.me/628997485901</v>
      </c>
      <c r="AB622" s="28" t="s">
        <v>3989</v>
      </c>
      <c r="AC622" s="28"/>
      <c r="AD622" s="28" t="s">
        <v>690</v>
      </c>
      <c r="AE622" s="28"/>
      <c r="AF622" s="29">
        <v>45883</v>
      </c>
      <c r="AG622" s="29"/>
    </row>
    <row r="623" spans="1:33" ht="15.75" customHeight="1">
      <c r="A623" s="32" t="s">
        <v>196</v>
      </c>
      <c r="B623" s="33">
        <v>630</v>
      </c>
      <c r="C623" s="34" t="s">
        <v>3990</v>
      </c>
      <c r="D623" s="35">
        <v>45881.458188761579</v>
      </c>
      <c r="E623" s="43">
        <v>45881</v>
      </c>
      <c r="F623" s="32" t="s">
        <v>3991</v>
      </c>
      <c r="G623" s="32" t="s">
        <v>3992</v>
      </c>
      <c r="H623" s="32" t="s">
        <v>3993</v>
      </c>
      <c r="I623" s="36" t="s">
        <v>3994</v>
      </c>
      <c r="J623" s="52"/>
      <c r="K623" s="32" t="s">
        <v>3995</v>
      </c>
      <c r="L623" s="32" t="s">
        <v>85</v>
      </c>
      <c r="M623" s="32" t="s">
        <v>60</v>
      </c>
      <c r="N623" s="33">
        <v>5</v>
      </c>
      <c r="O623" s="35"/>
      <c r="P623" s="35"/>
      <c r="Q623" s="37"/>
      <c r="R623" s="38"/>
      <c r="S623" s="33"/>
      <c r="T623" s="39">
        <v>197000</v>
      </c>
      <c r="U623" s="40" t="s">
        <v>1229</v>
      </c>
      <c r="V623" s="41"/>
      <c r="W623" s="42" t="str">
        <f ca="1">IFERROR(__xludf.DUMMYFUNCTION("""COMPUTED_VALUE"""),"Pembuatan kanopi,")</f>
        <v>Pembuatan kanopi,</v>
      </c>
      <c r="X623" s="42" t="str">
        <f ca="1"/>
        <v>ON-Pembuatan kanopi,-00011900+5-62882008302847</v>
      </c>
      <c r="Y623" s="40" t="s">
        <v>293</v>
      </c>
      <c r="Z623" s="40" t="s">
        <v>1057</v>
      </c>
      <c r="AA623" s="23" t="str">
        <v>https://wa.me/62882008302847</v>
      </c>
      <c r="AB623" s="28" t="s">
        <v>3996</v>
      </c>
      <c r="AC623" s="28"/>
      <c r="AD623" s="28" t="s">
        <v>690</v>
      </c>
      <c r="AE623" s="28"/>
      <c r="AF623" s="29">
        <v>45885</v>
      </c>
      <c r="AG623" s="29"/>
    </row>
    <row r="624" spans="1:33" ht="15.75" customHeight="1">
      <c r="A624" s="32" t="s">
        <v>196</v>
      </c>
      <c r="B624" s="33">
        <v>631</v>
      </c>
      <c r="C624" s="34" t="s">
        <v>3997</v>
      </c>
      <c r="D624" s="35">
        <v>45881.49204957176</v>
      </c>
      <c r="E624" s="43">
        <v>45881</v>
      </c>
      <c r="F624" s="32" t="s">
        <v>3998</v>
      </c>
      <c r="G624" s="32" t="s">
        <v>3999</v>
      </c>
      <c r="H624" s="32" t="s">
        <v>409</v>
      </c>
      <c r="I624" s="36" t="s">
        <v>4000</v>
      </c>
      <c r="J624" s="52"/>
      <c r="K624" s="32" t="s">
        <v>4001</v>
      </c>
      <c r="L624" s="32" t="s">
        <v>490</v>
      </c>
      <c r="M624" s="32" t="s">
        <v>60</v>
      </c>
      <c r="N624" s="33">
        <v>5</v>
      </c>
      <c r="O624" s="35">
        <v>45884</v>
      </c>
      <c r="P624" s="35">
        <v>45889</v>
      </c>
      <c r="Q624" s="37"/>
      <c r="R624" s="38"/>
      <c r="S624" s="33"/>
      <c r="T624" s="39">
        <v>197000</v>
      </c>
      <c r="U624" s="40" t="s">
        <v>1229</v>
      </c>
      <c r="V624" s="41"/>
      <c r="W624" s="42" t="str">
        <f ca="1">IFERROR(__xludf.DUMMYFUNCTION("""COMPUTED_VALUE"""),"Sahabat Kontruksi")</f>
        <v>Sahabat Kontruksi</v>
      </c>
      <c r="X624" s="42" t="str">
        <f ca="1"/>
        <v>ON-Sahabat Kontruksi-00011900+5-6281215552664</v>
      </c>
      <c r="Y624" s="40" t="s">
        <v>293</v>
      </c>
      <c r="Z624" s="40" t="s">
        <v>1057</v>
      </c>
      <c r="AA624" s="23" t="str">
        <v>https://wa.me/6281215552664</v>
      </c>
      <c r="AB624" s="28" t="s">
        <v>4002</v>
      </c>
      <c r="AC624" s="28"/>
      <c r="AD624" s="28" t="s">
        <v>690</v>
      </c>
      <c r="AE624" s="28"/>
      <c r="AF624" s="29">
        <v>45884</v>
      </c>
      <c r="AG624" s="29"/>
    </row>
    <row r="625" spans="1:33" ht="15.75" customHeight="1">
      <c r="A625" s="32" t="s">
        <v>196</v>
      </c>
      <c r="B625" s="33">
        <v>632</v>
      </c>
      <c r="C625" s="34" t="s">
        <v>4003</v>
      </c>
      <c r="D625" s="35">
        <v>45881.492779687498</v>
      </c>
      <c r="E625" s="43">
        <v>45881</v>
      </c>
      <c r="F625" s="32" t="s">
        <v>4004</v>
      </c>
      <c r="G625" s="32" t="s">
        <v>4005</v>
      </c>
      <c r="H625" s="32" t="s">
        <v>409</v>
      </c>
      <c r="I625" s="36" t="s">
        <v>2716</v>
      </c>
      <c r="J625" s="52"/>
      <c r="K625" s="32" t="s">
        <v>2352</v>
      </c>
      <c r="L625" s="32" t="s">
        <v>85</v>
      </c>
      <c r="M625" s="32" t="s">
        <v>60</v>
      </c>
      <c r="N625" s="33">
        <v>7</v>
      </c>
      <c r="O625" s="35"/>
      <c r="P625" s="35"/>
      <c r="Q625" s="37"/>
      <c r="R625" s="38"/>
      <c r="S625" s="33"/>
      <c r="T625" s="39">
        <v>297000</v>
      </c>
      <c r="U625" s="40" t="s">
        <v>61</v>
      </c>
      <c r="V625" s="41"/>
      <c r="W625" s="42" t="str">
        <f ca="1">IFERROR(__xludf.DUMMYFUNCTION("""COMPUTED_VALUE"""),"PT Sejahtera")</f>
        <v>PT Sejahtera</v>
      </c>
      <c r="X625" s="42" t="str">
        <f ca="1"/>
        <v>ON-PT Sejahtera-00011900+7-6285268858846</v>
      </c>
      <c r="Y625" s="40" t="s">
        <v>293</v>
      </c>
      <c r="Z625" s="40" t="s">
        <v>1057</v>
      </c>
      <c r="AA625" s="23" t="str">
        <v>https://wa.me/6285268858846</v>
      </c>
      <c r="AB625" s="28" t="s">
        <v>4006</v>
      </c>
      <c r="AC625" s="28"/>
      <c r="AD625" s="28" t="s">
        <v>690</v>
      </c>
      <c r="AE625" s="28"/>
      <c r="AF625" s="29">
        <v>45883</v>
      </c>
      <c r="AG625" s="29"/>
    </row>
    <row r="626" spans="1:33" ht="15.75" customHeight="1">
      <c r="A626" s="32" t="s">
        <v>196</v>
      </c>
      <c r="B626" s="33">
        <v>633</v>
      </c>
      <c r="C626" s="34" t="s">
        <v>4007</v>
      </c>
      <c r="D626" s="35">
        <v>45986</v>
      </c>
      <c r="E626" s="43">
        <v>45881</v>
      </c>
      <c r="F626" s="32" t="s">
        <v>3561</v>
      </c>
      <c r="G626" s="32" t="s">
        <v>4008</v>
      </c>
      <c r="H626" s="32" t="s">
        <v>4009</v>
      </c>
      <c r="I626" s="36" t="s">
        <v>3564</v>
      </c>
      <c r="J626" s="52"/>
      <c r="K626" s="32" t="s">
        <v>4010</v>
      </c>
      <c r="L626" s="32" t="s">
        <v>2873</v>
      </c>
      <c r="M626" s="32" t="s">
        <v>60</v>
      </c>
      <c r="N626" s="33">
        <v>7</v>
      </c>
      <c r="O626" s="35"/>
      <c r="P626" s="35"/>
      <c r="Q626" s="37"/>
      <c r="R626" s="38">
        <v>-1003470351325</v>
      </c>
      <c r="S626" s="33"/>
      <c r="T626" s="39">
        <v>297000</v>
      </c>
      <c r="U626" s="40" t="s">
        <v>61</v>
      </c>
      <c r="V626" s="47">
        <v>45987.250310208328</v>
      </c>
      <c r="W626" s="42" t="str">
        <f ca="1">IFERROR(__xludf.DUMMYFUNCTION("""COMPUTED_VALUE"""),"Alhijaz Indowisata")</f>
        <v>Alhijaz Indowisata</v>
      </c>
      <c r="X626" s="42" t="str">
        <f ca="1"/>
        <v>ON-Alhijaz Indowisata-26112025+7-6281558225822</v>
      </c>
      <c r="Y626" s="40" t="s">
        <v>62</v>
      </c>
      <c r="Z626" s="40" t="s">
        <v>1880</v>
      </c>
      <c r="AA626" s="23" t="str">
        <v>https://wa.me/6281558225822</v>
      </c>
      <c r="AB626" s="28" t="s">
        <v>4011</v>
      </c>
      <c r="AC626" s="28"/>
      <c r="AD626" s="28" t="s">
        <v>690</v>
      </c>
      <c r="AE626" s="28"/>
      <c r="AF626" s="29">
        <v>45884</v>
      </c>
      <c r="AG626" s="29"/>
    </row>
    <row r="627" spans="1:33" ht="15.75" customHeight="1">
      <c r="A627" s="32" t="s">
        <v>196</v>
      </c>
      <c r="B627" s="33">
        <v>634</v>
      </c>
      <c r="C627" s="34" t="s">
        <v>4012</v>
      </c>
      <c r="D627" s="35">
        <v>45881.497219722223</v>
      </c>
      <c r="E627" s="43">
        <v>45881</v>
      </c>
      <c r="F627" s="32" t="s">
        <v>4013</v>
      </c>
      <c r="G627" s="32" t="s">
        <v>4014</v>
      </c>
      <c r="H627" s="32" t="s">
        <v>4015</v>
      </c>
      <c r="I627" s="36" t="s">
        <v>4016</v>
      </c>
      <c r="J627" s="52"/>
      <c r="K627" s="32" t="s">
        <v>4017</v>
      </c>
      <c r="L627" s="32" t="s">
        <v>4018</v>
      </c>
      <c r="M627" s="32" t="s">
        <v>48</v>
      </c>
      <c r="N627" s="33">
        <v>10</v>
      </c>
      <c r="O627" s="35"/>
      <c r="P627" s="35"/>
      <c r="Q627" s="37"/>
      <c r="R627" s="38"/>
      <c r="S627" s="33"/>
      <c r="T627" s="39">
        <v>375000</v>
      </c>
      <c r="U627" s="40" t="s">
        <v>1229</v>
      </c>
      <c r="V627" s="41"/>
      <c r="W627" s="42" t="str">
        <f ca="1">IFERROR(__xludf.DUMMYFUNCTION("""COMPUTED_VALUE"""),"Kapling Griya")</f>
        <v>Kapling Griya</v>
      </c>
      <c r="X627" s="42" t="str">
        <f ca="1"/>
        <v>ON-Kapling Griya-00011900+10-6285217189178</v>
      </c>
      <c r="Y627" s="40" t="s">
        <v>293</v>
      </c>
      <c r="Z627" s="40" t="s">
        <v>1057</v>
      </c>
      <c r="AA627" s="23" t="str">
        <v>https://wa.me/6285217189178</v>
      </c>
      <c r="AB627" s="28" t="s">
        <v>4019</v>
      </c>
      <c r="AC627" s="28"/>
      <c r="AD627" s="28" t="s">
        <v>690</v>
      </c>
      <c r="AE627" s="28"/>
      <c r="AF627" s="29">
        <v>45884</v>
      </c>
      <c r="AG627" s="29"/>
    </row>
    <row r="628" spans="1:33" ht="15.75" customHeight="1">
      <c r="A628" s="32" t="s">
        <v>196</v>
      </c>
      <c r="B628" s="33">
        <v>636</v>
      </c>
      <c r="C628" s="34" t="s">
        <v>4020</v>
      </c>
      <c r="D628" s="35">
        <v>45881.538096898148</v>
      </c>
      <c r="E628" s="43">
        <v>45881</v>
      </c>
      <c r="F628" s="32" t="s">
        <v>4021</v>
      </c>
      <c r="G628" s="32" t="s">
        <v>4022</v>
      </c>
      <c r="H628" s="32" t="s">
        <v>4023</v>
      </c>
      <c r="I628" s="36" t="s">
        <v>4024</v>
      </c>
      <c r="J628" s="52"/>
      <c r="K628" s="32" t="s">
        <v>1381</v>
      </c>
      <c r="L628" s="32" t="s">
        <v>92</v>
      </c>
      <c r="M628" s="32" t="s">
        <v>60</v>
      </c>
      <c r="N628" s="33">
        <v>5</v>
      </c>
      <c r="O628" s="35"/>
      <c r="P628" s="35"/>
      <c r="Q628" s="37"/>
      <c r="R628" s="38"/>
      <c r="S628" s="33"/>
      <c r="T628" s="39">
        <v>150000</v>
      </c>
      <c r="U628" s="40" t="s">
        <v>61</v>
      </c>
      <c r="V628" s="41"/>
      <c r="W628" s="42" t="str">
        <f ca="1">IFERROR(__xludf.DUMMYFUNCTION("""COMPUTED_VALUE"""),"Ani Rental")</f>
        <v>Ani Rental</v>
      </c>
      <c r="X628" s="42" t="str">
        <f ca="1"/>
        <v>ON-Ani Rental-00011900+5-6282390759437</v>
      </c>
      <c r="Y628" s="40" t="s">
        <v>62</v>
      </c>
      <c r="Z628" s="40" t="s">
        <v>1880</v>
      </c>
      <c r="AA628" s="23" t="str">
        <v>https://wa.me/6282390759437</v>
      </c>
      <c r="AB628" s="28" t="s">
        <v>4025</v>
      </c>
      <c r="AC628" s="28"/>
      <c r="AD628" s="28" t="s">
        <v>690</v>
      </c>
      <c r="AE628" s="28"/>
      <c r="AF628" s="29">
        <v>45884</v>
      </c>
      <c r="AG628" s="29"/>
    </row>
    <row r="629" spans="1:33" ht="15.75" customHeight="1">
      <c r="A629" s="32" t="s">
        <v>196</v>
      </c>
      <c r="B629" s="33">
        <v>637</v>
      </c>
      <c r="C629" s="34" t="s">
        <v>4026</v>
      </c>
      <c r="D629" s="35">
        <v>45881.557981481485</v>
      </c>
      <c r="E629" s="43">
        <v>45878</v>
      </c>
      <c r="F629" s="32" t="s">
        <v>4027</v>
      </c>
      <c r="G629" s="32" t="s">
        <v>4028</v>
      </c>
      <c r="H629" s="32" t="s">
        <v>4029</v>
      </c>
      <c r="I629" s="36" t="s">
        <v>4030</v>
      </c>
      <c r="J629" s="52"/>
      <c r="K629" s="32" t="s">
        <v>3675</v>
      </c>
      <c r="L629" s="32" t="s">
        <v>1542</v>
      </c>
      <c r="M629" s="32" t="s">
        <v>60</v>
      </c>
      <c r="N629" s="33">
        <v>5</v>
      </c>
      <c r="O629" s="35"/>
      <c r="P629" s="35"/>
      <c r="Q629" s="37"/>
      <c r="R629" s="38"/>
      <c r="S629" s="33"/>
      <c r="T629" s="39">
        <v>197000</v>
      </c>
      <c r="U629" s="40" t="s">
        <v>61</v>
      </c>
      <c r="V629" s="41"/>
      <c r="W629" s="42" t="str">
        <f ca="1">IFERROR(__xludf.DUMMYFUNCTION("""COMPUTED_VALUE"""),"Rumahku Makmur")</f>
        <v>Rumahku Makmur</v>
      </c>
      <c r="X629" s="42" t="str">
        <f ca="1"/>
        <v>ON-Rumahku Makmur-00011900+5-6282328059129</v>
      </c>
      <c r="Y629" s="40" t="s">
        <v>293</v>
      </c>
      <c r="Z629" s="40" t="s">
        <v>1057</v>
      </c>
      <c r="AA629" s="23" t="str">
        <v>https://wa.me/6282328059129</v>
      </c>
      <c r="AB629" s="28" t="s">
        <v>4031</v>
      </c>
      <c r="AC629" s="28"/>
      <c r="AD629" s="28" t="s">
        <v>690</v>
      </c>
      <c r="AE629" s="28"/>
      <c r="AF629" s="29">
        <v>45883</v>
      </c>
      <c r="AG629" s="29"/>
    </row>
    <row r="630" spans="1:33" ht="15.75" customHeight="1">
      <c r="A630" s="32" t="s">
        <v>196</v>
      </c>
      <c r="B630" s="33">
        <v>638</v>
      </c>
      <c r="C630" s="34" t="s">
        <v>4032</v>
      </c>
      <c r="D630" s="35">
        <v>45881.60971527778</v>
      </c>
      <c r="E630" s="43">
        <v>45881</v>
      </c>
      <c r="F630" s="32" t="s">
        <v>4033</v>
      </c>
      <c r="G630" s="32" t="s">
        <v>4034</v>
      </c>
      <c r="H630" s="32" t="s">
        <v>4035</v>
      </c>
      <c r="I630" s="36" t="s">
        <v>4036</v>
      </c>
      <c r="J630" s="52" t="s">
        <v>4037</v>
      </c>
      <c r="K630" s="32" t="s">
        <v>4038</v>
      </c>
      <c r="L630" s="32" t="s">
        <v>4039</v>
      </c>
      <c r="M630" s="32" t="s">
        <v>249</v>
      </c>
      <c r="N630" s="33">
        <v>5</v>
      </c>
      <c r="O630" s="35"/>
      <c r="P630" s="35"/>
      <c r="Q630" s="37"/>
      <c r="R630" s="38"/>
      <c r="S630" s="33"/>
      <c r="T630" s="39">
        <v>197000</v>
      </c>
      <c r="U630" s="40" t="s">
        <v>1774</v>
      </c>
      <c r="V630" s="41"/>
      <c r="W630" s="42" t="str">
        <f ca="1">IFERROR(__xludf.DUMMYFUNCTION("""COMPUTED_VALUE"""),"Bengkulu rak")</f>
        <v>Bengkulu rak</v>
      </c>
      <c r="X630" s="42" t="str">
        <f ca="1"/>
        <v>ON-Bengkulu rak-00011900+5-6283129404339</v>
      </c>
      <c r="Y630" s="40" t="s">
        <v>62</v>
      </c>
      <c r="Z630" s="40" t="s">
        <v>1861</v>
      </c>
      <c r="AA630" s="23" t="str">
        <v>https://wa.me/6283129404339</v>
      </c>
      <c r="AB630" s="28" t="s">
        <v>4040</v>
      </c>
      <c r="AC630" s="28"/>
      <c r="AD630" s="28" t="s">
        <v>690</v>
      </c>
      <c r="AE630" s="28"/>
      <c r="AF630" s="29">
        <v>45883</v>
      </c>
      <c r="AG630" s="29"/>
    </row>
    <row r="631" spans="1:33" ht="15.75" customHeight="1">
      <c r="A631" s="32" t="s">
        <v>196</v>
      </c>
      <c r="B631" s="33">
        <v>639</v>
      </c>
      <c r="C631" s="34" t="s">
        <v>4041</v>
      </c>
      <c r="D631" s="35">
        <v>45881.633578946756</v>
      </c>
      <c r="E631" s="43">
        <v>45881</v>
      </c>
      <c r="F631" s="32" t="s">
        <v>4042</v>
      </c>
      <c r="G631" s="32" t="s">
        <v>4043</v>
      </c>
      <c r="H631" s="32" t="s">
        <v>4044</v>
      </c>
      <c r="I631" s="36" t="s">
        <v>4045</v>
      </c>
      <c r="J631" s="52"/>
      <c r="K631" s="32" t="s">
        <v>2932</v>
      </c>
      <c r="L631" s="32" t="s">
        <v>4046</v>
      </c>
      <c r="M631" s="32" t="s">
        <v>4047</v>
      </c>
      <c r="N631" s="33">
        <v>14</v>
      </c>
      <c r="O631" s="35"/>
      <c r="P631" s="35"/>
      <c r="Q631" s="37"/>
      <c r="R631" s="38"/>
      <c r="S631" s="33"/>
      <c r="T631" s="39">
        <v>550000</v>
      </c>
      <c r="U631" s="40" t="s">
        <v>1229</v>
      </c>
      <c r="V631" s="41"/>
      <c r="W631" s="42" t="str">
        <f ca="1">IFERROR(__xludf.DUMMYFUNCTION("""COMPUTED_VALUE"""),"pusat roster,bata")</f>
        <v>pusat roster,bata</v>
      </c>
      <c r="X631" s="42" t="str">
        <f ca="1"/>
        <v>ON-pusat roster,bata-00011900+14-6285925102815</v>
      </c>
      <c r="Y631" s="40" t="s">
        <v>293</v>
      </c>
      <c r="Z631" s="40" t="s">
        <v>1057</v>
      </c>
      <c r="AA631" s="23" t="str">
        <v>https://wa.me/6285925102815</v>
      </c>
      <c r="AB631" s="28" t="s">
        <v>4048</v>
      </c>
      <c r="AC631" s="28"/>
      <c r="AD631" s="28" t="s">
        <v>690</v>
      </c>
      <c r="AE631" s="28"/>
      <c r="AF631" s="29">
        <v>45883</v>
      </c>
      <c r="AG631" s="29"/>
    </row>
    <row r="632" spans="1:33" ht="15.75" customHeight="1">
      <c r="A632" s="32" t="s">
        <v>196</v>
      </c>
      <c r="B632" s="33">
        <v>640</v>
      </c>
      <c r="C632" s="34" t="s">
        <v>4049</v>
      </c>
      <c r="D632" s="35">
        <v>45881.704407893514</v>
      </c>
      <c r="E632" s="43">
        <v>45881</v>
      </c>
      <c r="F632" s="32" t="s">
        <v>4050</v>
      </c>
      <c r="G632" s="32" t="s">
        <v>4051</v>
      </c>
      <c r="H632" s="32" t="s">
        <v>4052</v>
      </c>
      <c r="I632" s="36" t="s">
        <v>4053</v>
      </c>
      <c r="J632" s="52"/>
      <c r="K632" s="32" t="s">
        <v>4054</v>
      </c>
      <c r="L632" s="32" t="s">
        <v>4055</v>
      </c>
      <c r="M632" s="32" t="s">
        <v>3687</v>
      </c>
      <c r="N632" s="33">
        <v>5</v>
      </c>
      <c r="O632" s="35"/>
      <c r="P632" s="35"/>
      <c r="Q632" s="37"/>
      <c r="R632" s="38"/>
      <c r="S632" s="33"/>
      <c r="T632" s="39">
        <v>197000</v>
      </c>
      <c r="U632" s="40" t="s">
        <v>1229</v>
      </c>
      <c r="V632" s="41"/>
      <c r="W632" s="42" t="str">
        <f ca="1">IFERROR(__xludf.DUMMYFUNCTION("""COMPUTED_VALUE"""),"Pratama jaya")</f>
        <v>Pratama jaya</v>
      </c>
      <c r="X632" s="42" t="str">
        <f ca="1"/>
        <v>ON-Pratama jaya-00011900+5-6283117425214</v>
      </c>
      <c r="Y632" s="40" t="s">
        <v>293</v>
      </c>
      <c r="Z632" s="40" t="s">
        <v>1057</v>
      </c>
      <c r="AA632" s="23" t="str">
        <v>https://wa.me/6283117425214</v>
      </c>
      <c r="AB632" s="28" t="s">
        <v>4056</v>
      </c>
      <c r="AC632" s="28"/>
      <c r="AD632" s="28" t="s">
        <v>690</v>
      </c>
      <c r="AE632" s="28"/>
      <c r="AF632" s="29">
        <v>45884</v>
      </c>
      <c r="AG632" s="29"/>
    </row>
    <row r="633" spans="1:33" ht="15.75" customHeight="1">
      <c r="A633" s="32" t="s">
        <v>196</v>
      </c>
      <c r="B633" s="33">
        <v>641</v>
      </c>
      <c r="C633" s="34" t="s">
        <v>4057</v>
      </c>
      <c r="D633" s="35">
        <v>45881.855039351853</v>
      </c>
      <c r="E633" s="43">
        <v>45881</v>
      </c>
      <c r="F633" s="32" t="s">
        <v>4058</v>
      </c>
      <c r="G633" s="32" t="s">
        <v>4059</v>
      </c>
      <c r="H633" s="32" t="s">
        <v>4060</v>
      </c>
      <c r="I633" s="36" t="s">
        <v>4061</v>
      </c>
      <c r="J633" s="52"/>
      <c r="K633" s="32" t="s">
        <v>4062</v>
      </c>
      <c r="L633" s="32" t="s">
        <v>85</v>
      </c>
      <c r="M633" s="32" t="s">
        <v>60</v>
      </c>
      <c r="N633" s="33">
        <v>5</v>
      </c>
      <c r="O633" s="35">
        <v>45895</v>
      </c>
      <c r="P633" s="35">
        <v>45900</v>
      </c>
      <c r="Q633" s="37"/>
      <c r="R633" s="38"/>
      <c r="S633" s="33"/>
      <c r="T633" s="39">
        <v>197000</v>
      </c>
      <c r="U633" s="40" t="s">
        <v>61</v>
      </c>
      <c r="V633" s="41"/>
      <c r="W633" s="42" t="str">
        <f ca="1">IFERROR(__xludf.DUMMYFUNCTION("""COMPUTED_VALUE"""),"CV Karunia")</f>
        <v>CV Karunia</v>
      </c>
      <c r="X633" s="42" t="str">
        <f ca="1"/>
        <v>ON-CV Karunia-00011900+5-62818200980</v>
      </c>
      <c r="Y633" s="40" t="s">
        <v>293</v>
      </c>
      <c r="Z633" s="40" t="s">
        <v>1057</v>
      </c>
      <c r="AA633" s="23" t="str">
        <v>https://wa.me/62818200980</v>
      </c>
      <c r="AB633" s="28" t="s">
        <v>4063</v>
      </c>
      <c r="AC633" s="28"/>
      <c r="AD633" s="28" t="s">
        <v>690</v>
      </c>
      <c r="AE633" s="28"/>
      <c r="AF633" s="29">
        <v>45895</v>
      </c>
      <c r="AG633" s="29"/>
    </row>
    <row r="634" spans="1:33" ht="15.75" customHeight="1">
      <c r="A634" s="32" t="s">
        <v>196</v>
      </c>
      <c r="B634" s="33">
        <v>640</v>
      </c>
      <c r="C634" s="34" t="s">
        <v>4049</v>
      </c>
      <c r="D634" s="35">
        <v>45882.526261192128</v>
      </c>
      <c r="E634" s="43">
        <v>45882</v>
      </c>
      <c r="F634" s="32" t="s">
        <v>4064</v>
      </c>
      <c r="G634" s="32" t="s">
        <v>4065</v>
      </c>
      <c r="H634" s="32" t="s">
        <v>3076</v>
      </c>
      <c r="I634" s="36" t="s">
        <v>4066</v>
      </c>
      <c r="J634" s="52"/>
      <c r="K634" s="32" t="s">
        <v>4067</v>
      </c>
      <c r="L634" s="32" t="s">
        <v>4068</v>
      </c>
      <c r="M634" s="32" t="s">
        <v>60</v>
      </c>
      <c r="N634" s="33">
        <v>5</v>
      </c>
      <c r="O634" s="35"/>
      <c r="P634" s="35"/>
      <c r="Q634" s="37"/>
      <c r="R634" s="38"/>
      <c r="S634" s="33"/>
      <c r="T634" s="39">
        <v>197000</v>
      </c>
      <c r="U634" s="40" t="s">
        <v>61</v>
      </c>
      <c r="V634" s="41"/>
      <c r="W634" s="42" t="str">
        <f ca="1">IFERROR(__xludf.DUMMYFUNCTION("""COMPUTED_VALUE"""),"Brahmana Tour")</f>
        <v>Brahmana Tour</v>
      </c>
      <c r="X634" s="42" t="str">
        <f ca="1"/>
        <v>ON-Brahmana Tour-00011900+5-6282221896658</v>
      </c>
      <c r="Y634" s="40" t="s">
        <v>62</v>
      </c>
      <c r="Z634" s="40" t="s">
        <v>1880</v>
      </c>
      <c r="AA634" s="23" t="str">
        <v>https://wa.me/6282221896658</v>
      </c>
      <c r="AB634" s="28" t="s">
        <v>4069</v>
      </c>
      <c r="AC634" s="28"/>
      <c r="AD634" s="28" t="s">
        <v>690</v>
      </c>
      <c r="AE634" s="28"/>
      <c r="AF634" s="29">
        <v>45884</v>
      </c>
      <c r="AG634" s="29"/>
    </row>
    <row r="635" spans="1:33" ht="15.75" customHeight="1">
      <c r="A635" s="32" t="s">
        <v>52</v>
      </c>
      <c r="B635" s="33">
        <v>641</v>
      </c>
      <c r="C635" s="34" t="s">
        <v>4057</v>
      </c>
      <c r="D635" s="35">
        <v>45882.764874733795</v>
      </c>
      <c r="E635" s="43">
        <v>45882</v>
      </c>
      <c r="F635" s="32" t="s">
        <v>3186</v>
      </c>
      <c r="G635" s="32" t="s">
        <v>3187</v>
      </c>
      <c r="H635" s="32" t="s">
        <v>3188</v>
      </c>
      <c r="I635" s="36" t="s">
        <v>3189</v>
      </c>
      <c r="J635" s="52"/>
      <c r="K635" s="32" t="s">
        <v>4070</v>
      </c>
      <c r="L635" s="32" t="s">
        <v>85</v>
      </c>
      <c r="M635" s="32" t="s">
        <v>60</v>
      </c>
      <c r="N635" s="33">
        <v>10</v>
      </c>
      <c r="O635" s="35"/>
      <c r="P635" s="35"/>
      <c r="Q635" s="37"/>
      <c r="R635" s="38"/>
      <c r="S635" s="33"/>
      <c r="T635" s="39">
        <v>375000</v>
      </c>
      <c r="U635" s="40" t="s">
        <v>61</v>
      </c>
      <c r="V635" s="41"/>
      <c r="W635" s="42" t="str">
        <f ca="1">IFERROR(__xludf.DUMMYFUNCTION("""COMPUTED_VALUE"""),"KARYA TEKNIK")</f>
        <v>KARYA TEKNIK</v>
      </c>
      <c r="X635" s="42" t="str">
        <f ca="1"/>
        <v>ON-KARYA TEKNIK-00011900+10-6282164564557</v>
      </c>
      <c r="Y635" s="40"/>
      <c r="Z635" s="40"/>
      <c r="AA635" s="23" t="str">
        <v>https://wa.me/6282164564557</v>
      </c>
      <c r="AB635" s="28"/>
      <c r="AC635" s="28"/>
      <c r="AD635" s="28"/>
      <c r="AE635" s="28"/>
      <c r="AF635" s="29"/>
      <c r="AG635" s="29"/>
    </row>
    <row r="636" spans="1:33" ht="15.75" customHeight="1">
      <c r="A636" s="32" t="s">
        <v>196</v>
      </c>
      <c r="B636" s="33">
        <v>642</v>
      </c>
      <c r="C636" s="34" t="s">
        <v>4071</v>
      </c>
      <c r="D636" s="35">
        <v>45882.770688321762</v>
      </c>
      <c r="E636" s="43">
        <v>45882</v>
      </c>
      <c r="F636" s="32" t="s">
        <v>4072</v>
      </c>
      <c r="G636" s="32" t="s">
        <v>4073</v>
      </c>
      <c r="H636" s="32" t="s">
        <v>4074</v>
      </c>
      <c r="I636" s="36" t="s">
        <v>4075</v>
      </c>
      <c r="J636" s="52"/>
      <c r="K636" s="32" t="s">
        <v>4076</v>
      </c>
      <c r="L636" s="32" t="s">
        <v>1491</v>
      </c>
      <c r="M636" s="32" t="s">
        <v>205</v>
      </c>
      <c r="N636" s="33">
        <v>5</v>
      </c>
      <c r="O636" s="35"/>
      <c r="P636" s="35"/>
      <c r="Q636" s="37"/>
      <c r="R636" s="38"/>
      <c r="S636" s="33"/>
      <c r="T636" s="39">
        <v>150000</v>
      </c>
      <c r="U636" s="40" t="s">
        <v>61</v>
      </c>
      <c r="V636" s="41"/>
      <c r="W636" s="42" t="str">
        <f ca="1">IFERROR(__xludf.DUMMYFUNCTION("""COMPUTED_VALUE"""),"Madina Tech")</f>
        <v>Madina Tech</v>
      </c>
      <c r="X636" s="42" t="str">
        <f ca="1"/>
        <v>ON-Madina Tech-00011900+5-6285166200242</v>
      </c>
      <c r="Y636" s="40" t="s">
        <v>62</v>
      </c>
      <c r="Z636" s="40" t="s">
        <v>277</v>
      </c>
      <c r="AA636" s="23" t="str">
        <v>https://wa.me/6285166200242</v>
      </c>
      <c r="AB636" s="28" t="s">
        <v>4077</v>
      </c>
      <c r="AC636" s="28"/>
      <c r="AD636" s="28" t="s">
        <v>690</v>
      </c>
      <c r="AE636" s="28"/>
      <c r="AF636" s="29">
        <v>45891</v>
      </c>
      <c r="AG636" s="29"/>
    </row>
    <row r="637" spans="1:33" ht="15.75" customHeight="1">
      <c r="A637" s="32" t="s">
        <v>196</v>
      </c>
      <c r="B637" s="33">
        <v>643</v>
      </c>
      <c r="C637" s="34" t="s">
        <v>4078</v>
      </c>
      <c r="D637" s="35">
        <v>45882.775978240737</v>
      </c>
      <c r="E637" s="43">
        <v>45882</v>
      </c>
      <c r="F637" s="32" t="s">
        <v>4079</v>
      </c>
      <c r="G637" s="32" t="s">
        <v>4080</v>
      </c>
      <c r="H637" s="32" t="s">
        <v>2090</v>
      </c>
      <c r="I637" s="36" t="s">
        <v>4081</v>
      </c>
      <c r="J637" s="52"/>
      <c r="K637" s="32" t="s">
        <v>4082</v>
      </c>
      <c r="L637" s="32" t="s">
        <v>2133</v>
      </c>
      <c r="M637" s="32" t="s">
        <v>4083</v>
      </c>
      <c r="N637" s="33">
        <v>10</v>
      </c>
      <c r="O637" s="35">
        <v>45884</v>
      </c>
      <c r="P637" s="35">
        <v>45894</v>
      </c>
      <c r="Q637" s="37"/>
      <c r="R637" s="38"/>
      <c r="S637" s="33"/>
      <c r="T637" s="39">
        <v>375000</v>
      </c>
      <c r="U637" s="40" t="s">
        <v>61</v>
      </c>
      <c r="V637" s="41"/>
      <c r="W637" s="42" t="str">
        <f ca="1">IFERROR(__xludf.DUMMYFUNCTION("""COMPUTED_VALUE"""),"Komodo Nusa")</f>
        <v>Komodo Nusa</v>
      </c>
      <c r="X637" s="42" t="str">
        <f ca="1"/>
        <v>ON-Komodo Nusa-00011900+10-6281339823715</v>
      </c>
      <c r="Y637" s="40" t="s">
        <v>62</v>
      </c>
      <c r="Z637" s="40" t="s">
        <v>1880</v>
      </c>
      <c r="AA637" s="23" t="str">
        <v>https://wa.me/6281339823715</v>
      </c>
      <c r="AB637" s="28" t="s">
        <v>4084</v>
      </c>
      <c r="AC637" s="28"/>
      <c r="AD637" s="28" t="s">
        <v>690</v>
      </c>
      <c r="AE637" s="28"/>
      <c r="AF637" s="29">
        <v>45884</v>
      </c>
      <c r="AG637" s="29"/>
    </row>
    <row r="638" spans="1:33" ht="15.75" customHeight="1">
      <c r="A638" s="32" t="s">
        <v>52</v>
      </c>
      <c r="B638" s="33">
        <v>645</v>
      </c>
      <c r="C638" s="34" t="s">
        <v>4085</v>
      </c>
      <c r="D638" s="35">
        <v>45883.236371631945</v>
      </c>
      <c r="E638" s="43">
        <v>45882</v>
      </c>
      <c r="F638" s="32" t="s">
        <v>3139</v>
      </c>
      <c r="G638" s="32" t="s">
        <v>3140</v>
      </c>
      <c r="H638" s="32" t="s">
        <v>3141</v>
      </c>
      <c r="I638" s="36" t="s">
        <v>4086</v>
      </c>
      <c r="J638" s="52"/>
      <c r="K638" s="32" t="s">
        <v>3143</v>
      </c>
      <c r="L638" s="32">
        <v>29</v>
      </c>
      <c r="M638" s="32" t="s">
        <v>38</v>
      </c>
      <c r="N638" s="33">
        <v>14</v>
      </c>
      <c r="O638" s="35"/>
      <c r="P638" s="35"/>
      <c r="Q638" s="37"/>
      <c r="R638" s="38"/>
      <c r="S638" s="33"/>
      <c r="T638" s="39">
        <v>550000</v>
      </c>
      <c r="U638" s="40" t="s">
        <v>61</v>
      </c>
      <c r="V638" s="41"/>
      <c r="W638" s="42" t="str">
        <f ca="1">IFERROR(__xludf.DUMMYFUNCTION("""COMPUTED_VALUE"""),"Rodrimar Aifunan")</f>
        <v>Rodrimar Aifunan</v>
      </c>
      <c r="X638" s="42" t="str">
        <f ca="1"/>
        <v>ON-Rodrimar Aifunan-00011900+14-62077619002</v>
      </c>
      <c r="Y638" s="40"/>
      <c r="Z638" s="40"/>
      <c r="AA638" s="23" t="str">
        <v>https://wa.me/62077619002</v>
      </c>
      <c r="AB638" s="28"/>
      <c r="AC638" s="28"/>
      <c r="AD638" s="28"/>
      <c r="AE638" s="28"/>
      <c r="AF638" s="29"/>
      <c r="AG638" s="29"/>
    </row>
    <row r="639" spans="1:33" ht="15.75" customHeight="1">
      <c r="A639" s="32" t="s">
        <v>52</v>
      </c>
      <c r="B639" s="33">
        <v>646</v>
      </c>
      <c r="C639" s="34" t="s">
        <v>4087</v>
      </c>
      <c r="D639" s="35">
        <v>45883.236635868059</v>
      </c>
      <c r="E639" s="43">
        <v>45882</v>
      </c>
      <c r="F639" s="32" t="s">
        <v>3139</v>
      </c>
      <c r="G639" s="32" t="s">
        <v>3140</v>
      </c>
      <c r="H639" s="32" t="s">
        <v>3141</v>
      </c>
      <c r="I639" s="36" t="s">
        <v>4088</v>
      </c>
      <c r="J639" s="52"/>
      <c r="K639" s="32" t="s">
        <v>3143</v>
      </c>
      <c r="L639" s="32">
        <v>29</v>
      </c>
      <c r="M639" s="32" t="s">
        <v>38</v>
      </c>
      <c r="N639" s="33">
        <v>14</v>
      </c>
      <c r="O639" s="35"/>
      <c r="P639" s="35"/>
      <c r="Q639" s="37"/>
      <c r="R639" s="38"/>
      <c r="S639" s="33"/>
      <c r="T639" s="39">
        <v>550000</v>
      </c>
      <c r="U639" s="40" t="s">
        <v>61</v>
      </c>
      <c r="V639" s="41"/>
      <c r="W639" s="42" t="str">
        <f ca="1">IFERROR(__xludf.DUMMYFUNCTION("""COMPUTED_VALUE"""),"Rodrimar Aifunan")</f>
        <v>Rodrimar Aifunan</v>
      </c>
      <c r="X639" s="42" t="str">
        <f ca="1"/>
        <v>ON-Rodrimar Aifunan-00011900+14-6277619002</v>
      </c>
      <c r="Y639" s="40"/>
      <c r="Z639" s="40"/>
      <c r="AA639" s="23" t="str">
        <v>https://wa.me/6277619002</v>
      </c>
      <c r="AB639" s="28"/>
      <c r="AC639" s="28"/>
      <c r="AD639" s="28"/>
      <c r="AE639" s="28"/>
      <c r="AF639" s="29"/>
      <c r="AG639" s="29"/>
    </row>
    <row r="640" spans="1:33" ht="15.75" customHeight="1">
      <c r="A640" s="32" t="s">
        <v>196</v>
      </c>
      <c r="B640" s="33">
        <v>647</v>
      </c>
      <c r="C640" s="34" t="s">
        <v>4089</v>
      </c>
      <c r="D640" s="35">
        <v>45883.258318888889</v>
      </c>
      <c r="E640" s="43">
        <v>45882</v>
      </c>
      <c r="F640" s="32" t="s">
        <v>4090</v>
      </c>
      <c r="G640" s="32" t="s">
        <v>4091</v>
      </c>
      <c r="H640" s="32" t="s">
        <v>4092</v>
      </c>
      <c r="I640" s="36" t="s">
        <v>4093</v>
      </c>
      <c r="J640" s="52" t="s">
        <v>4094</v>
      </c>
      <c r="K640" s="32" t="s">
        <v>4095</v>
      </c>
      <c r="L640" s="32" t="s">
        <v>4096</v>
      </c>
      <c r="M640" s="32" t="s">
        <v>249</v>
      </c>
      <c r="N640" s="33">
        <v>5</v>
      </c>
      <c r="O640" s="35"/>
      <c r="P640" s="35"/>
      <c r="Q640" s="37"/>
      <c r="R640" s="38"/>
      <c r="S640" s="33"/>
      <c r="T640" s="39">
        <v>197000</v>
      </c>
      <c r="U640" s="40" t="s">
        <v>1774</v>
      </c>
      <c r="V640" s="41"/>
      <c r="W640" s="42" t="str">
        <f ca="1">IFERROR(__xludf.DUMMYFUNCTION("""COMPUTED_VALUE"""),"Rumah Sehat")</f>
        <v>Rumah Sehat</v>
      </c>
      <c r="X640" s="42" t="str">
        <f ca="1"/>
        <v>ON-Rumah Sehat-00011900+5-6281320188313</v>
      </c>
      <c r="Y640" s="40" t="s">
        <v>62</v>
      </c>
      <c r="Z640" s="40" t="s">
        <v>639</v>
      </c>
      <c r="AA640" s="23" t="str">
        <v>https://wa.me/6281320188313</v>
      </c>
      <c r="AB640" s="28" t="s">
        <v>4097</v>
      </c>
      <c r="AC640" s="28"/>
      <c r="AD640" s="28" t="s">
        <v>690</v>
      </c>
      <c r="AE640" s="28"/>
      <c r="AF640" s="29">
        <v>45884</v>
      </c>
      <c r="AG640" s="29"/>
    </row>
    <row r="641" spans="1:33" ht="15.75" customHeight="1">
      <c r="A641" s="32" t="s">
        <v>196</v>
      </c>
      <c r="B641" s="33">
        <v>648</v>
      </c>
      <c r="C641" s="34" t="s">
        <v>4098</v>
      </c>
      <c r="D641" s="35">
        <v>45883.312943356483</v>
      </c>
      <c r="E641" s="43">
        <v>45883</v>
      </c>
      <c r="F641" s="32" t="s">
        <v>4099</v>
      </c>
      <c r="G641" s="32" t="s">
        <v>4100</v>
      </c>
      <c r="H641" s="32" t="s">
        <v>4101</v>
      </c>
      <c r="I641" s="36" t="s">
        <v>3480</v>
      </c>
      <c r="J641" s="52" t="s">
        <v>4102</v>
      </c>
      <c r="K641" s="32" t="s">
        <v>4103</v>
      </c>
      <c r="L641" s="32" t="s">
        <v>4104</v>
      </c>
      <c r="M641" s="32" t="s">
        <v>285</v>
      </c>
      <c r="N641" s="33">
        <v>5</v>
      </c>
      <c r="O641" s="35"/>
      <c r="P641" s="35"/>
      <c r="Q641" s="37"/>
      <c r="R641" s="38"/>
      <c r="S641" s="33"/>
      <c r="T641" s="39">
        <v>197000</v>
      </c>
      <c r="U641" s="40" t="s">
        <v>1229</v>
      </c>
      <c r="V641" s="41"/>
      <c r="W641" s="42" t="str">
        <f ca="1">IFERROR(__xludf.DUMMYFUNCTION("""COMPUTED_VALUE"""),"massage dan")</f>
        <v>massage dan</v>
      </c>
      <c r="X641" s="42" t="str">
        <f ca="1"/>
        <v>ON-massage dan-00011900+5-6285780314346</v>
      </c>
      <c r="Y641" s="40" t="s">
        <v>62</v>
      </c>
      <c r="Z641" s="40" t="s">
        <v>639</v>
      </c>
      <c r="AA641" s="23" t="str">
        <v>https://wa.me/6285780314346</v>
      </c>
      <c r="AB641" s="28" t="s">
        <v>4105</v>
      </c>
      <c r="AC641" s="28"/>
      <c r="AD641" s="28" t="s">
        <v>690</v>
      </c>
      <c r="AE641" s="28"/>
      <c r="AF641" s="29">
        <v>45885</v>
      </c>
      <c r="AG641" s="29"/>
    </row>
    <row r="642" spans="1:33" ht="15.75" customHeight="1">
      <c r="A642" s="32" t="s">
        <v>52</v>
      </c>
      <c r="B642" s="33">
        <v>649</v>
      </c>
      <c r="C642" s="34" t="s">
        <v>4106</v>
      </c>
      <c r="D642" s="35">
        <v>45883.321658715278</v>
      </c>
      <c r="E642" s="43">
        <v>45883</v>
      </c>
      <c r="F642" s="32" t="s">
        <v>3241</v>
      </c>
      <c r="G642" s="32" t="s">
        <v>3242</v>
      </c>
      <c r="H642" s="32" t="s">
        <v>3243</v>
      </c>
      <c r="I642" s="36" t="s">
        <v>3244</v>
      </c>
      <c r="J642" s="52"/>
      <c r="K642" s="32" t="s">
        <v>4107</v>
      </c>
      <c r="L642" s="32" t="s">
        <v>166</v>
      </c>
      <c r="M642" s="32" t="s">
        <v>249</v>
      </c>
      <c r="N642" s="33">
        <v>7</v>
      </c>
      <c r="O642" s="35"/>
      <c r="P642" s="35"/>
      <c r="Q642" s="37"/>
      <c r="R642" s="38"/>
      <c r="S642" s="33"/>
      <c r="T642" s="39">
        <v>297000</v>
      </c>
      <c r="U642" s="40" t="s">
        <v>1774</v>
      </c>
      <c r="V642" s="41"/>
      <c r="W642" s="42" t="str">
        <f ca="1">IFERROR(__xludf.DUMMYFUNCTION("""COMPUTED_VALUE"""),"Cahaya Al")</f>
        <v>Cahaya Al</v>
      </c>
      <c r="X642" s="42" t="str">
        <f ca="1"/>
        <v>ON-Cahaya Al-00011900+7-6281330410391</v>
      </c>
      <c r="Y642" s="40"/>
      <c r="Z642" s="40"/>
      <c r="AA642" s="23" t="str">
        <v>https://wa.me/6281330410391</v>
      </c>
      <c r="AB642" s="28"/>
      <c r="AC642" s="28"/>
      <c r="AD642" s="28"/>
      <c r="AE642" s="28"/>
      <c r="AF642" s="29"/>
      <c r="AG642" s="29"/>
    </row>
    <row r="643" spans="1:33" ht="15.75" customHeight="1">
      <c r="A643" s="32" t="s">
        <v>621</v>
      </c>
      <c r="B643" s="33">
        <v>651</v>
      </c>
      <c r="C643" s="34" t="s">
        <v>4108</v>
      </c>
      <c r="D643" s="35">
        <v>45883.338255532406</v>
      </c>
      <c r="E643" s="43">
        <v>45881</v>
      </c>
      <c r="F643" s="32" t="s">
        <v>3561</v>
      </c>
      <c r="G643" s="32" t="s">
        <v>4008</v>
      </c>
      <c r="H643" s="32" t="s">
        <v>4109</v>
      </c>
      <c r="I643" s="36" t="s">
        <v>3564</v>
      </c>
      <c r="J643" s="52"/>
      <c r="K643" s="32" t="s">
        <v>4110</v>
      </c>
      <c r="L643" s="32" t="s">
        <v>2873</v>
      </c>
      <c r="M643" s="32" t="s">
        <v>60</v>
      </c>
      <c r="N643" s="33">
        <v>7</v>
      </c>
      <c r="O643" s="35"/>
      <c r="P643" s="35"/>
      <c r="Q643" s="37"/>
      <c r="R643" s="38"/>
      <c r="S643" s="33"/>
      <c r="T643" s="39">
        <v>297000</v>
      </c>
      <c r="U643" s="40" t="s">
        <v>61</v>
      </c>
      <c r="V643" s="41"/>
      <c r="W643" s="42" t="str">
        <f ca="1">IFERROR(__xludf.DUMMYFUNCTION("""COMPUTED_VALUE"""),"Alhijaz Indowisata")</f>
        <v>Alhijaz Indowisata</v>
      </c>
      <c r="X643" s="42" t="str">
        <f ca="1"/>
        <v>ON-Alhijaz Indowisata-00011900+7-6281558225822</v>
      </c>
      <c r="Y643" s="40"/>
      <c r="Z643" s="40"/>
      <c r="AA643" s="23" t="str">
        <v>https://wa.me/6281558225822</v>
      </c>
      <c r="AB643" s="28"/>
      <c r="AC643" s="28"/>
      <c r="AD643" s="28"/>
      <c r="AE643" s="28"/>
      <c r="AF643" s="29"/>
      <c r="AG643" s="29"/>
    </row>
    <row r="644" spans="1:33" ht="15.75" customHeight="1">
      <c r="A644" s="32" t="s">
        <v>196</v>
      </c>
      <c r="B644" s="33">
        <v>650</v>
      </c>
      <c r="C644" s="34" t="s">
        <v>4111</v>
      </c>
      <c r="D644" s="35">
        <v>45883.378272060188</v>
      </c>
      <c r="E644" s="43">
        <v>45883</v>
      </c>
      <c r="F644" s="32" t="s">
        <v>4112</v>
      </c>
      <c r="G644" s="32" t="s">
        <v>4113</v>
      </c>
      <c r="H644" s="32" t="s">
        <v>4114</v>
      </c>
      <c r="I644" s="36" t="s">
        <v>4115</v>
      </c>
      <c r="J644" s="52" t="s">
        <v>4116</v>
      </c>
      <c r="K644" s="32" t="s">
        <v>4117</v>
      </c>
      <c r="L644" s="32" t="s">
        <v>2631</v>
      </c>
      <c r="M644" s="32" t="s">
        <v>249</v>
      </c>
      <c r="N644" s="33">
        <v>5</v>
      </c>
      <c r="O644" s="35"/>
      <c r="P644" s="35"/>
      <c r="Q644" s="37"/>
      <c r="R644" s="38"/>
      <c r="S644" s="33"/>
      <c r="T644" s="39">
        <v>700000</v>
      </c>
      <c r="U644" s="40" t="s">
        <v>1774</v>
      </c>
      <c r="V644" s="41"/>
      <c r="W644" s="42" t="str">
        <f ca="1">IFERROR(__xludf.DUMMYFUNCTION("""COMPUTED_VALUE"""),"PT Sakha")</f>
        <v>PT Sakha</v>
      </c>
      <c r="X644" s="42" t="str">
        <f ca="1"/>
        <v>ON-PT Sakha-00011900+5-628561302381</v>
      </c>
      <c r="Y644" s="40" t="s">
        <v>62</v>
      </c>
      <c r="Z644" s="40" t="s">
        <v>277</v>
      </c>
      <c r="AA644" s="23" t="str">
        <v>https://wa.me/628561302381</v>
      </c>
      <c r="AB644" s="28" t="s">
        <v>4118</v>
      </c>
      <c r="AC644" s="28"/>
      <c r="AD644" s="28" t="s">
        <v>690</v>
      </c>
      <c r="AE644" s="28"/>
      <c r="AF644" s="29">
        <v>45885</v>
      </c>
      <c r="AG644" s="29"/>
    </row>
    <row r="645" spans="1:33" ht="15.75" customHeight="1">
      <c r="A645" s="32" t="s">
        <v>52</v>
      </c>
      <c r="B645" s="33">
        <v>651</v>
      </c>
      <c r="C645" s="34" t="s">
        <v>4108</v>
      </c>
      <c r="D645" s="35">
        <v>45883.466571423611</v>
      </c>
      <c r="E645" s="43">
        <v>45883</v>
      </c>
      <c r="F645" s="32" t="s">
        <v>1133</v>
      </c>
      <c r="G645" s="32" t="s">
        <v>4119</v>
      </c>
      <c r="H645" s="32" t="s">
        <v>1135</v>
      </c>
      <c r="I645" s="36" t="s">
        <v>1136</v>
      </c>
      <c r="J645" s="52" t="s">
        <v>1137</v>
      </c>
      <c r="K645" s="32" t="s">
        <v>1138</v>
      </c>
      <c r="L645" s="32" t="s">
        <v>4120</v>
      </c>
      <c r="M645" s="32" t="s">
        <v>205</v>
      </c>
      <c r="N645" s="33">
        <v>10</v>
      </c>
      <c r="O645" s="35"/>
      <c r="P645" s="35"/>
      <c r="Q645" s="37"/>
      <c r="R645" s="38"/>
      <c r="S645" s="33"/>
      <c r="T645" s="39">
        <v>375000</v>
      </c>
      <c r="U645" s="40" t="s">
        <v>1229</v>
      </c>
      <c r="V645" s="41"/>
      <c r="W645" s="42" t="str">
        <f ca="1">IFERROR(__xludf.DUMMYFUNCTION("""COMPUTED_VALUE"""),"Spesialis Taman")</f>
        <v>Spesialis Taman</v>
      </c>
      <c r="X645" s="42" t="str">
        <f ca="1"/>
        <v>ON-Spesialis Taman-00011900+10-6285240694097</v>
      </c>
      <c r="Y645" s="40"/>
      <c r="Z645" s="40"/>
      <c r="AA645" s="23" t="str">
        <v>https://wa.me/6285240694097</v>
      </c>
      <c r="AB645" s="28"/>
      <c r="AC645" s="28"/>
      <c r="AD645" s="28"/>
      <c r="AE645" s="28"/>
      <c r="AF645" s="29"/>
      <c r="AG645" s="29"/>
    </row>
    <row r="646" spans="1:33" ht="15.75" customHeight="1">
      <c r="A646" s="32" t="s">
        <v>196</v>
      </c>
      <c r="B646" s="33">
        <v>652</v>
      </c>
      <c r="C646" s="34" t="s">
        <v>4121</v>
      </c>
      <c r="D646" s="35">
        <v>45883.479635347219</v>
      </c>
      <c r="E646" s="43">
        <v>45883</v>
      </c>
      <c r="F646" s="32" t="s">
        <v>4122</v>
      </c>
      <c r="G646" s="32" t="s">
        <v>4123</v>
      </c>
      <c r="H646" s="32" t="s">
        <v>4124</v>
      </c>
      <c r="I646" s="36" t="s">
        <v>4125</v>
      </c>
      <c r="J646" s="52" t="s">
        <v>4126</v>
      </c>
      <c r="K646" s="32" t="s">
        <v>4127</v>
      </c>
      <c r="L646" s="32" t="s">
        <v>3538</v>
      </c>
      <c r="M646" s="32" t="s">
        <v>382</v>
      </c>
      <c r="N646" s="33">
        <v>5</v>
      </c>
      <c r="O646" s="35"/>
      <c r="P646" s="35"/>
      <c r="Q646" s="37"/>
      <c r="R646" s="38"/>
      <c r="S646" s="33"/>
      <c r="T646" s="39">
        <v>197000</v>
      </c>
      <c r="U646" s="40" t="s">
        <v>115</v>
      </c>
      <c r="V646" s="41"/>
      <c r="W646" s="42" t="str">
        <f ca="1">IFERROR(__xludf.DUMMYFUNCTION("""COMPUTED_VALUE"""),"CV Sendang")</f>
        <v>CV Sendang</v>
      </c>
      <c r="X646" s="42" t="str">
        <f ca="1"/>
        <v>ON-CV Sendang-00011900+5-6285640123555</v>
      </c>
      <c r="Y646" s="40" t="s">
        <v>293</v>
      </c>
      <c r="Z646" s="40" t="s">
        <v>1057</v>
      </c>
      <c r="AA646" s="23" t="str">
        <v>https://wa.me/6285640123555</v>
      </c>
      <c r="AB646" s="28" t="s">
        <v>4128</v>
      </c>
      <c r="AC646" s="28"/>
      <c r="AD646" s="28" t="s">
        <v>690</v>
      </c>
      <c r="AE646" s="28"/>
      <c r="AF646" s="29">
        <v>45885</v>
      </c>
      <c r="AG646" s="29"/>
    </row>
    <row r="647" spans="1:33" ht="15.75" customHeight="1">
      <c r="A647" s="32" t="s">
        <v>196</v>
      </c>
      <c r="B647" s="33">
        <v>653</v>
      </c>
      <c r="C647" s="34" t="s">
        <v>4129</v>
      </c>
      <c r="D647" s="35">
        <v>45883.518280104166</v>
      </c>
      <c r="E647" s="33" t="s">
        <v>4130</v>
      </c>
      <c r="F647" s="32" t="s">
        <v>4131</v>
      </c>
      <c r="G647" s="32" t="s">
        <v>4132</v>
      </c>
      <c r="H647" s="32" t="s">
        <v>4133</v>
      </c>
      <c r="I647" s="36" t="s">
        <v>4134</v>
      </c>
      <c r="J647" s="52" t="s">
        <v>4135</v>
      </c>
      <c r="K647" s="32" t="s">
        <v>4136</v>
      </c>
      <c r="L647" s="32" t="s">
        <v>696</v>
      </c>
      <c r="M647" s="32" t="s">
        <v>800</v>
      </c>
      <c r="N647" s="33">
        <v>7</v>
      </c>
      <c r="O647" s="35"/>
      <c r="P647" s="35"/>
      <c r="Q647" s="37"/>
      <c r="R647" s="38"/>
      <c r="S647" s="33"/>
      <c r="T647" s="39">
        <v>297000</v>
      </c>
      <c r="U647" s="40" t="s">
        <v>115</v>
      </c>
      <c r="V647" s="41"/>
      <c r="W647" s="42" t="str">
        <f ca="1">IFERROR(__xludf.DUMMYFUNCTION("""COMPUTED_VALUE"""),"Sutanto aneka")</f>
        <v>Sutanto aneka</v>
      </c>
      <c r="X647" s="42" t="str">
        <f ca="1"/>
        <v>ON-Sutanto aneka-00011900+7-628971115941</v>
      </c>
      <c r="Y647" s="40" t="s">
        <v>293</v>
      </c>
      <c r="Z647" s="40" t="s">
        <v>1057</v>
      </c>
      <c r="AA647" s="23" t="str">
        <v>https://wa.me/628971115941</v>
      </c>
      <c r="AB647" s="28" t="s">
        <v>4137</v>
      </c>
      <c r="AC647" s="28"/>
      <c r="AD647" s="28" t="s">
        <v>690</v>
      </c>
      <c r="AE647" s="28"/>
      <c r="AF647" s="29">
        <v>45885</v>
      </c>
      <c r="AG647" s="29"/>
    </row>
    <row r="648" spans="1:33" ht="15.75" customHeight="1">
      <c r="A648" s="32" t="s">
        <v>52</v>
      </c>
      <c r="B648" s="33">
        <v>655</v>
      </c>
      <c r="C648" s="34" t="s">
        <v>4138</v>
      </c>
      <c r="D648" s="35">
        <v>45883.620590115737</v>
      </c>
      <c r="E648" s="43">
        <v>45882</v>
      </c>
      <c r="F648" s="32" t="s">
        <v>586</v>
      </c>
      <c r="G648" s="32" t="s">
        <v>587</v>
      </c>
      <c r="H648" s="32" t="s">
        <v>588</v>
      </c>
      <c r="I648" s="36" t="s">
        <v>589</v>
      </c>
      <c r="J648" s="52"/>
      <c r="K648" s="32" t="s">
        <v>4139</v>
      </c>
      <c r="L648" s="32" t="s">
        <v>956</v>
      </c>
      <c r="M648" s="32" t="s">
        <v>60</v>
      </c>
      <c r="N648" s="33">
        <v>5</v>
      </c>
      <c r="O648" s="35"/>
      <c r="P648" s="35"/>
      <c r="Q648" s="37"/>
      <c r="R648" s="38"/>
      <c r="S648" s="33"/>
      <c r="T648" s="39">
        <v>197000</v>
      </c>
      <c r="U648" s="40" t="s">
        <v>61</v>
      </c>
      <c r="V648" s="41"/>
      <c r="W648" s="42" t="str">
        <f ca="1">IFERROR(__xludf.DUMMYFUNCTION("""COMPUTED_VALUE"""),"Amanah Interior")</f>
        <v>Amanah Interior</v>
      </c>
      <c r="X648" s="42" t="str">
        <f ca="1"/>
        <v>ON-Amanah Interior-00011900+5-6282280929802</v>
      </c>
      <c r="Y648" s="40"/>
      <c r="Z648" s="40"/>
      <c r="AA648" s="23" t="str">
        <v>https://wa.me/6282280929802</v>
      </c>
      <c r="AB648" s="28"/>
      <c r="AC648" s="28"/>
      <c r="AD648" s="28"/>
      <c r="AE648" s="28"/>
      <c r="AF648" s="29"/>
      <c r="AG648" s="29"/>
    </row>
    <row r="649" spans="1:33" ht="15.75" customHeight="1">
      <c r="A649" s="32" t="s">
        <v>52</v>
      </c>
      <c r="B649" s="33">
        <v>656</v>
      </c>
      <c r="C649" s="34" t="s">
        <v>4140</v>
      </c>
      <c r="D649" s="35">
        <v>45883.844517696758</v>
      </c>
      <c r="E649" s="43">
        <v>45883</v>
      </c>
      <c r="F649" s="32" t="s">
        <v>667</v>
      </c>
      <c r="G649" s="32" t="s">
        <v>2022</v>
      </c>
      <c r="H649" s="32"/>
      <c r="I649" s="36" t="s">
        <v>670</v>
      </c>
      <c r="J649" s="52"/>
      <c r="K649" s="32" t="s">
        <v>3028</v>
      </c>
      <c r="L649" s="32" t="s">
        <v>2389</v>
      </c>
      <c r="M649" s="32" t="s">
        <v>2024</v>
      </c>
      <c r="N649" s="33">
        <v>5</v>
      </c>
      <c r="O649" s="35"/>
      <c r="P649" s="35"/>
      <c r="Q649" s="37"/>
      <c r="R649" s="38"/>
      <c r="S649" s="33"/>
      <c r="T649" s="39">
        <v>197000</v>
      </c>
      <c r="U649" s="40" t="s">
        <v>115</v>
      </c>
      <c r="V649" s="41"/>
      <c r="W649" s="42" t="str">
        <f ca="1">IFERROR(__xludf.DUMMYFUNCTION("""COMPUTED_VALUE"""),"Rokok Herbal")</f>
        <v>Rokok Herbal</v>
      </c>
      <c r="X649" s="42" t="str">
        <f ca="1"/>
        <v>ON-Rokok Herbal-00011900+5-6285274759862</v>
      </c>
      <c r="Y649" s="40"/>
      <c r="Z649" s="40"/>
      <c r="AA649" s="23" t="str">
        <v>https://wa.me/6285274759862</v>
      </c>
      <c r="AB649" s="28"/>
      <c r="AC649" s="28"/>
      <c r="AD649" s="28"/>
      <c r="AE649" s="28"/>
      <c r="AF649" s="29"/>
      <c r="AG649" s="29"/>
    </row>
    <row r="650" spans="1:33" ht="15.75" customHeight="1">
      <c r="A650" s="32" t="s">
        <v>196</v>
      </c>
      <c r="B650" s="33">
        <v>656</v>
      </c>
      <c r="C650" s="34" t="s">
        <v>4140</v>
      </c>
      <c r="D650" s="33" t="s">
        <v>4141</v>
      </c>
      <c r="E650" s="43">
        <v>45884</v>
      </c>
      <c r="F650" s="32" t="s">
        <v>4142</v>
      </c>
      <c r="G650" s="32" t="s">
        <v>4143</v>
      </c>
      <c r="H650" s="32" t="s">
        <v>4144</v>
      </c>
      <c r="I650" s="36" t="s">
        <v>4145</v>
      </c>
      <c r="J650" s="52"/>
      <c r="K650" s="32" t="s">
        <v>4146</v>
      </c>
      <c r="L650" s="32" t="s">
        <v>1446</v>
      </c>
      <c r="M650" s="32" t="s">
        <v>382</v>
      </c>
      <c r="N650" s="33">
        <v>10</v>
      </c>
      <c r="O650" s="35"/>
      <c r="P650" s="35"/>
      <c r="Q650" s="37"/>
      <c r="R650" s="38">
        <v>-1003470351325</v>
      </c>
      <c r="S650" s="33"/>
      <c r="T650" s="39">
        <v>375000</v>
      </c>
      <c r="U650" s="40" t="s">
        <v>115</v>
      </c>
      <c r="V650" s="47">
        <v>46017.63356209491</v>
      </c>
      <c r="W650" s="42" t="str">
        <f ca="1">IFERROR(__xludf.DUMMYFUNCTION("""COMPUTED_VALUE"""),"PUSAT TERAPI")</f>
        <v>PUSAT TERAPI</v>
      </c>
      <c r="X650" s="42" t="str">
        <f ca="1"/>
        <v>ON-PUSAT TERAPI-26122025+10-6285240194507</v>
      </c>
      <c r="Y650" s="40" t="s">
        <v>62</v>
      </c>
      <c r="Z650" s="40" t="s">
        <v>639</v>
      </c>
      <c r="AA650" s="23" t="str">
        <v>https://wa.me/6285240194507</v>
      </c>
      <c r="AB650" s="28" t="s">
        <v>4147</v>
      </c>
      <c r="AC650" s="28"/>
      <c r="AD650" s="28" t="s">
        <v>690</v>
      </c>
      <c r="AE650" s="28"/>
      <c r="AF650" s="29">
        <v>45887</v>
      </c>
      <c r="AG650" s="29"/>
    </row>
    <row r="651" spans="1:33" ht="15.75" customHeight="1">
      <c r="A651" s="32" t="s">
        <v>196</v>
      </c>
      <c r="B651" s="33">
        <v>657</v>
      </c>
      <c r="C651" s="34" t="s">
        <v>4148</v>
      </c>
      <c r="D651" s="35">
        <v>45885.419252245367</v>
      </c>
      <c r="E651" s="43">
        <v>45884</v>
      </c>
      <c r="F651" s="32" t="s">
        <v>4149</v>
      </c>
      <c r="G651" s="32" t="s">
        <v>4150</v>
      </c>
      <c r="H651" s="32" t="s">
        <v>2248</v>
      </c>
      <c r="I651" s="36" t="s">
        <v>4151</v>
      </c>
      <c r="J651" s="52"/>
      <c r="K651" s="32" t="s">
        <v>4152</v>
      </c>
      <c r="L651" s="32" t="s">
        <v>3538</v>
      </c>
      <c r="M651" s="32" t="s">
        <v>382</v>
      </c>
      <c r="N651" s="33">
        <v>5</v>
      </c>
      <c r="O651" s="35"/>
      <c r="P651" s="35"/>
      <c r="Q651" s="37"/>
      <c r="R651" s="38"/>
      <c r="S651" s="33"/>
      <c r="T651" s="39">
        <v>197000</v>
      </c>
      <c r="U651" s="40" t="s">
        <v>115</v>
      </c>
      <c r="V651" s="41"/>
      <c r="W651" s="42" t="str">
        <f ca="1">IFERROR(__xludf.DUMMYFUNCTION("""COMPUTED_VALUE"""),"Darma travel")</f>
        <v>Darma travel</v>
      </c>
      <c r="X651" s="42" t="str">
        <f ca="1"/>
        <v>ON-Darma travel-00011900+5-6285189492568</v>
      </c>
      <c r="Y651" s="40" t="s">
        <v>62</v>
      </c>
      <c r="Z651" s="40" t="s">
        <v>1880</v>
      </c>
      <c r="AA651" s="23" t="str">
        <v>https://wa.me/6285189492568</v>
      </c>
      <c r="AB651" s="28" t="s">
        <v>4153</v>
      </c>
      <c r="AC651" s="28"/>
      <c r="AD651" s="28" t="s">
        <v>690</v>
      </c>
      <c r="AE651" s="28"/>
      <c r="AF651" s="29">
        <v>45887</v>
      </c>
      <c r="AG651" s="29"/>
    </row>
    <row r="652" spans="1:33" ht="15.75" customHeight="1">
      <c r="A652" s="32" t="s">
        <v>196</v>
      </c>
      <c r="B652" s="33">
        <v>658</v>
      </c>
      <c r="C652" s="34" t="s">
        <v>4154</v>
      </c>
      <c r="D652" s="35">
        <v>46047</v>
      </c>
      <c r="E652" s="43">
        <v>45884</v>
      </c>
      <c r="F652" s="32" t="s">
        <v>4155</v>
      </c>
      <c r="G652" s="32" t="s">
        <v>4156</v>
      </c>
      <c r="H652" s="32" t="s">
        <v>4157</v>
      </c>
      <c r="I652" s="36" t="s">
        <v>4158</v>
      </c>
      <c r="J652" s="52"/>
      <c r="K652" s="32" t="s">
        <v>570</v>
      </c>
      <c r="L652" s="32" t="s">
        <v>382</v>
      </c>
      <c r="M652" s="32" t="s">
        <v>382</v>
      </c>
      <c r="N652" s="33">
        <v>10</v>
      </c>
      <c r="O652" s="35"/>
      <c r="P652" s="35"/>
      <c r="Q652" s="37"/>
      <c r="R652" s="38">
        <v>-1003470351325</v>
      </c>
      <c r="S652" s="33"/>
      <c r="T652" s="39">
        <v>375000</v>
      </c>
      <c r="U652" s="40" t="s">
        <v>1774</v>
      </c>
      <c r="V652" s="47">
        <v>46047.813637256942</v>
      </c>
      <c r="W652" s="42" t="str">
        <f ca="1">IFERROR(__xludf.DUMMYFUNCTION("""COMPUTED_VALUE"""),"Cv zhafira")</f>
        <v>Cv zhafira</v>
      </c>
      <c r="X652" s="42" t="str">
        <f ca="1"/>
        <v>ON-Cv zhafira-25012026+10-6281990865975</v>
      </c>
      <c r="Y652" s="40" t="s">
        <v>293</v>
      </c>
      <c r="Z652" s="40" t="s">
        <v>1057</v>
      </c>
      <c r="AA652" s="23" t="str">
        <v>https://wa.me/6281990865975</v>
      </c>
      <c r="AB652" s="28" t="s">
        <v>4159</v>
      </c>
      <c r="AC652" s="28"/>
      <c r="AD652" s="28" t="s">
        <v>690</v>
      </c>
      <c r="AE652" s="28"/>
      <c r="AF652" s="29">
        <v>45887</v>
      </c>
      <c r="AG652" s="29"/>
    </row>
    <row r="653" spans="1:33" ht="15.75" customHeight="1">
      <c r="A653" s="32" t="s">
        <v>196</v>
      </c>
      <c r="B653" s="33">
        <v>659</v>
      </c>
      <c r="C653" s="34" t="s">
        <v>4160</v>
      </c>
      <c r="D653" s="35">
        <v>45885.45429947917</v>
      </c>
      <c r="E653" s="43">
        <v>45884</v>
      </c>
      <c r="F653" s="32" t="s">
        <v>4161</v>
      </c>
      <c r="G653" s="32" t="s">
        <v>4162</v>
      </c>
      <c r="H653" s="32" t="s">
        <v>4163</v>
      </c>
      <c r="I653" s="36" t="s">
        <v>4164</v>
      </c>
      <c r="J653" s="52"/>
      <c r="K653" s="32" t="s">
        <v>4165</v>
      </c>
      <c r="L653" s="32" t="s">
        <v>4166</v>
      </c>
      <c r="M653" s="32" t="s">
        <v>70</v>
      </c>
      <c r="N653" s="33">
        <v>5</v>
      </c>
      <c r="O653" s="35"/>
      <c r="P653" s="35"/>
      <c r="Q653" s="37"/>
      <c r="R653" s="38"/>
      <c r="S653" s="33"/>
      <c r="T653" s="39">
        <v>197000</v>
      </c>
      <c r="U653" s="40" t="s">
        <v>1229</v>
      </c>
      <c r="V653" s="41"/>
      <c r="W653" s="42" t="str">
        <f ca="1">IFERROR(__xludf.DUMMYFUNCTION("""COMPUTED_VALUE"""),"Mebel jaya")</f>
        <v>Mebel jaya</v>
      </c>
      <c r="X653" s="42" t="str">
        <f ca="1"/>
        <v>ON-Mebel jaya-00011900+5-6285944023744</v>
      </c>
      <c r="Y653" s="40" t="s">
        <v>293</v>
      </c>
      <c r="Z653" s="40" t="s">
        <v>1057</v>
      </c>
      <c r="AA653" s="23" t="str">
        <v>https://wa.me/6285944023744</v>
      </c>
      <c r="AB653" s="28" t="s">
        <v>4167</v>
      </c>
      <c r="AC653" s="28"/>
      <c r="AD653" s="28" t="s">
        <v>690</v>
      </c>
      <c r="AE653" s="28"/>
      <c r="AF653" s="29">
        <v>45887</v>
      </c>
      <c r="AG653" s="29"/>
    </row>
    <row r="654" spans="1:33" ht="15.75" customHeight="1">
      <c r="A654" s="32" t="s">
        <v>196</v>
      </c>
      <c r="B654" s="33">
        <v>660</v>
      </c>
      <c r="C654" s="34" t="s">
        <v>4168</v>
      </c>
      <c r="D654" s="35">
        <v>45885.457013946754</v>
      </c>
      <c r="E654" s="43">
        <v>45883</v>
      </c>
      <c r="F654" s="32" t="s">
        <v>4169</v>
      </c>
      <c r="G654" s="32" t="s">
        <v>4170</v>
      </c>
      <c r="H654" s="32" t="s">
        <v>4171</v>
      </c>
      <c r="I654" s="36" t="s">
        <v>4172</v>
      </c>
      <c r="J654" s="52"/>
      <c r="K654" s="32" t="s">
        <v>4173</v>
      </c>
      <c r="L654" s="32" t="s">
        <v>2313</v>
      </c>
      <c r="M654" s="32" t="s">
        <v>60</v>
      </c>
      <c r="N654" s="33">
        <v>5</v>
      </c>
      <c r="O654" s="35">
        <v>45886</v>
      </c>
      <c r="P654" s="35">
        <v>45891</v>
      </c>
      <c r="Q654" s="37"/>
      <c r="R654" s="38"/>
      <c r="S654" s="33"/>
      <c r="T654" s="39">
        <v>197000</v>
      </c>
      <c r="U654" s="40" t="s">
        <v>61</v>
      </c>
      <c r="V654" s="41"/>
      <c r="W654" s="42" t="str">
        <f ca="1">IFERROR(__xludf.DUMMYFUNCTION("""COMPUTED_VALUE"""),"Panda Wound")</f>
        <v>Panda Wound</v>
      </c>
      <c r="X654" s="42" t="str">
        <f ca="1"/>
        <v>ON-Panda Wound-00011900+5-6285811111804</v>
      </c>
      <c r="Y654" s="40" t="s">
        <v>62</v>
      </c>
      <c r="Z654" s="40" t="s">
        <v>639</v>
      </c>
      <c r="AA654" s="23" t="str">
        <v>https://wa.me/6285811111804</v>
      </c>
      <c r="AB654" s="28" t="s">
        <v>4174</v>
      </c>
      <c r="AC654" s="28"/>
      <c r="AD654" s="28" t="s">
        <v>690</v>
      </c>
      <c r="AE654" s="28"/>
      <c r="AF654" s="29">
        <v>45887</v>
      </c>
      <c r="AG654" s="29"/>
    </row>
    <row r="655" spans="1:33" ht="15.75" customHeight="1">
      <c r="A655" s="32" t="s">
        <v>196</v>
      </c>
      <c r="B655" s="33">
        <v>661</v>
      </c>
      <c r="C655" s="34" t="s">
        <v>4175</v>
      </c>
      <c r="D655" s="35">
        <v>45885.471707430552</v>
      </c>
      <c r="E655" s="43">
        <v>45884</v>
      </c>
      <c r="F655" s="32" t="s">
        <v>4176</v>
      </c>
      <c r="G655" s="32" t="s">
        <v>4177</v>
      </c>
      <c r="H655" s="32" t="s">
        <v>1829</v>
      </c>
      <c r="I655" s="36" t="s">
        <v>4178</v>
      </c>
      <c r="J655" s="52"/>
      <c r="K655" s="32" t="s">
        <v>4179</v>
      </c>
      <c r="L655" s="32" t="s">
        <v>696</v>
      </c>
      <c r="M655" s="32" t="s">
        <v>60</v>
      </c>
      <c r="N655" s="33">
        <v>5</v>
      </c>
      <c r="O655" s="35">
        <v>45886</v>
      </c>
      <c r="P655" s="35">
        <v>45891</v>
      </c>
      <c r="Q655" s="37"/>
      <c r="R655" s="38"/>
      <c r="S655" s="33"/>
      <c r="T655" s="39">
        <v>150000</v>
      </c>
      <c r="U655" s="40" t="s">
        <v>61</v>
      </c>
      <c r="V655" s="41"/>
      <c r="W655" s="42" t="str">
        <f ca="1">IFERROR(__xludf.DUMMYFUNCTION("""COMPUTED_VALUE"""),"Tegarrentcar")</f>
        <v>Tegarrentcar</v>
      </c>
      <c r="X655" s="42" t="str">
        <f ca="1"/>
        <v>ON-Tegarrentcar-00011900+5-6281313889118</v>
      </c>
      <c r="Y655" s="40" t="s">
        <v>62</v>
      </c>
      <c r="Z655" s="40" t="s">
        <v>1880</v>
      </c>
      <c r="AA655" s="23" t="str">
        <v>https://wa.me/6281313889118</v>
      </c>
      <c r="AB655" s="28" t="s">
        <v>4180</v>
      </c>
      <c r="AC655" s="28"/>
      <c r="AD655" s="28" t="s">
        <v>690</v>
      </c>
      <c r="AE655" s="28"/>
      <c r="AF655" s="29">
        <v>45887</v>
      </c>
      <c r="AG655" s="29"/>
    </row>
    <row r="656" spans="1:33" ht="15.75" customHeight="1">
      <c r="A656" s="32" t="s">
        <v>196</v>
      </c>
      <c r="B656" s="33">
        <v>662</v>
      </c>
      <c r="C656" s="34" t="s">
        <v>4181</v>
      </c>
      <c r="D656" s="35">
        <v>45885.473294687501</v>
      </c>
      <c r="E656" s="43">
        <v>45884</v>
      </c>
      <c r="F656" s="32" t="s">
        <v>4182</v>
      </c>
      <c r="G656" s="32" t="s">
        <v>4183</v>
      </c>
      <c r="H656" s="32" t="s">
        <v>4184</v>
      </c>
      <c r="I656" s="36" t="s">
        <v>4185</v>
      </c>
      <c r="J656" s="52"/>
      <c r="K656" s="32" t="s">
        <v>4186</v>
      </c>
      <c r="L656" s="32" t="s">
        <v>59</v>
      </c>
      <c r="M656" s="32" t="s">
        <v>60</v>
      </c>
      <c r="N656" s="33">
        <v>5</v>
      </c>
      <c r="O656" s="35">
        <v>45886</v>
      </c>
      <c r="P656" s="35">
        <v>45891</v>
      </c>
      <c r="Q656" s="37"/>
      <c r="R656" s="38"/>
      <c r="S656" s="33"/>
      <c r="T656" s="39">
        <v>197000</v>
      </c>
      <c r="U656" s="40" t="s">
        <v>61</v>
      </c>
      <c r="V656" s="41"/>
      <c r="W656" s="42" t="str">
        <f ca="1">IFERROR(__xludf.DUMMYFUNCTION("""COMPUTED_VALUE"""),"Terapi Pijit")</f>
        <v>Terapi Pijit</v>
      </c>
      <c r="X656" s="42" t="str">
        <f ca="1"/>
        <v>ON-Terapi Pijit-00011900+5-6282112073155</v>
      </c>
      <c r="Y656" s="40" t="s">
        <v>62</v>
      </c>
      <c r="Z656" s="40" t="s">
        <v>639</v>
      </c>
      <c r="AA656" s="23" t="str">
        <v>https://wa.me/6282112073155</v>
      </c>
      <c r="AB656" s="28" t="s">
        <v>4187</v>
      </c>
      <c r="AC656" s="28"/>
      <c r="AD656" s="28" t="s">
        <v>690</v>
      </c>
      <c r="AE656" s="28"/>
      <c r="AF656" s="29">
        <v>45887</v>
      </c>
      <c r="AG656" s="29"/>
    </row>
    <row r="657" spans="1:33" ht="15.75" customHeight="1">
      <c r="A657" s="32" t="s">
        <v>196</v>
      </c>
      <c r="B657" s="33">
        <v>663</v>
      </c>
      <c r="C657" s="34" t="s">
        <v>4188</v>
      </c>
      <c r="D657" s="35">
        <v>45885.474016192129</v>
      </c>
      <c r="E657" s="43">
        <v>45885</v>
      </c>
      <c r="F657" s="32" t="s">
        <v>4189</v>
      </c>
      <c r="G657" s="32" t="s">
        <v>4190</v>
      </c>
      <c r="H657" s="32" t="s">
        <v>4191</v>
      </c>
      <c r="I657" s="36" t="s">
        <v>4192</v>
      </c>
      <c r="J657" s="52"/>
      <c r="K657" s="32" t="s">
        <v>4193</v>
      </c>
      <c r="L657" s="32" t="s">
        <v>92</v>
      </c>
      <c r="M657" s="32" t="s">
        <v>60</v>
      </c>
      <c r="N657" s="33">
        <v>5</v>
      </c>
      <c r="O657" s="35"/>
      <c r="P657" s="35"/>
      <c r="Q657" s="37"/>
      <c r="R657" s="38"/>
      <c r="S657" s="33"/>
      <c r="T657" s="39">
        <v>197000</v>
      </c>
      <c r="U657" s="40" t="s">
        <v>61</v>
      </c>
      <c r="V657" s="41"/>
      <c r="W657" s="42" t="str">
        <f ca="1">IFERROR(__xludf.DUMMYFUNCTION("""COMPUTED_VALUE"""),"Kuladika")</f>
        <v>Kuladika</v>
      </c>
      <c r="X657" s="42" t="str">
        <f ca="1"/>
        <v>ON-Kuladika-00011900+5-628195131666</v>
      </c>
      <c r="Y657" s="40" t="s">
        <v>62</v>
      </c>
      <c r="Z657" s="40" t="s">
        <v>277</v>
      </c>
      <c r="AA657" s="23" t="str">
        <v>https://wa.me/628195131666</v>
      </c>
      <c r="AB657" s="28" t="s">
        <v>4194</v>
      </c>
      <c r="AC657" s="28"/>
      <c r="AD657" s="28" t="s">
        <v>690</v>
      </c>
      <c r="AE657" s="28"/>
      <c r="AF657" s="29">
        <v>45888</v>
      </c>
      <c r="AG657" s="29"/>
    </row>
    <row r="658" spans="1:33" ht="15.75" customHeight="1">
      <c r="A658" s="32" t="s">
        <v>196</v>
      </c>
      <c r="B658" s="33">
        <v>664</v>
      </c>
      <c r="C658" s="34" t="s">
        <v>4195</v>
      </c>
      <c r="D658" s="33" t="s">
        <v>4196</v>
      </c>
      <c r="E658" s="43">
        <v>45885</v>
      </c>
      <c r="F658" s="32" t="s">
        <v>4197</v>
      </c>
      <c r="G658" s="32" t="s">
        <v>4198</v>
      </c>
      <c r="H658" s="32" t="s">
        <v>4199</v>
      </c>
      <c r="I658" s="36" t="s">
        <v>4200</v>
      </c>
      <c r="J658" s="52"/>
      <c r="K658" s="32" t="s">
        <v>4201</v>
      </c>
      <c r="L658" s="32" t="s">
        <v>3596</v>
      </c>
      <c r="M658" s="32" t="s">
        <v>931</v>
      </c>
      <c r="N658" s="33">
        <v>7</v>
      </c>
      <c r="O658" s="35"/>
      <c r="P658" s="35"/>
      <c r="Q658" s="37"/>
      <c r="R658" s="38">
        <v>-1003470351325</v>
      </c>
      <c r="S658" s="33"/>
      <c r="T658" s="39">
        <v>297000</v>
      </c>
      <c r="U658" s="40" t="s">
        <v>115</v>
      </c>
      <c r="V658" s="47">
        <v>46010.724187708329</v>
      </c>
      <c r="W658" s="42" t="str">
        <f ca="1">IFERROR(__xludf.DUMMYFUNCTION("""COMPUTED_VALUE"""),"Yoca interior")</f>
        <v>Yoca interior</v>
      </c>
      <c r="X658" s="42" t="str">
        <f ca="1"/>
        <v>ON-Yoca interior-19122025+7-6285283208198</v>
      </c>
      <c r="Y658" s="40" t="s">
        <v>293</v>
      </c>
      <c r="Z658" s="40" t="s">
        <v>1057</v>
      </c>
      <c r="AA658" s="23" t="str">
        <v>https://wa.me/6285283208198</v>
      </c>
      <c r="AB658" s="28" t="s">
        <v>4202</v>
      </c>
      <c r="AC658" s="28"/>
      <c r="AD658" s="28" t="s">
        <v>690</v>
      </c>
      <c r="AE658" s="28"/>
      <c r="AF658" s="29">
        <v>45888</v>
      </c>
      <c r="AG658" s="29"/>
    </row>
    <row r="659" spans="1:33" ht="15.75" customHeight="1">
      <c r="A659" s="32" t="s">
        <v>196</v>
      </c>
      <c r="B659" s="33">
        <v>665</v>
      </c>
      <c r="C659" s="34" t="s">
        <v>4203</v>
      </c>
      <c r="D659" s="35">
        <v>45885.531000937495</v>
      </c>
      <c r="E659" s="43">
        <v>45885</v>
      </c>
      <c r="F659" s="32" t="s">
        <v>4204</v>
      </c>
      <c r="G659" s="32" t="s">
        <v>4205</v>
      </c>
      <c r="H659" s="32" t="s">
        <v>4206</v>
      </c>
      <c r="I659" s="36" t="s">
        <v>4207</v>
      </c>
      <c r="J659" s="52"/>
      <c r="K659" s="32" t="s">
        <v>4208</v>
      </c>
      <c r="L659" s="32" t="s">
        <v>4209</v>
      </c>
      <c r="M659" s="32" t="s">
        <v>4210</v>
      </c>
      <c r="N659" s="33">
        <v>5</v>
      </c>
      <c r="O659" s="35"/>
      <c r="P659" s="35"/>
      <c r="Q659" s="37"/>
      <c r="R659" s="38"/>
      <c r="S659" s="33"/>
      <c r="T659" s="39">
        <v>197000</v>
      </c>
      <c r="U659" s="40" t="s">
        <v>1229</v>
      </c>
      <c r="V659" s="41"/>
      <c r="W659" s="42" t="str">
        <f ca="1">IFERROR(__xludf.DUMMYFUNCTION("""COMPUTED_VALUE"""),"Go Kretek")</f>
        <v>Go Kretek</v>
      </c>
      <c r="X659" s="42" t="str">
        <f ca="1"/>
        <v>ON-Go Kretek-00011900+5-628815361682</v>
      </c>
      <c r="Y659" s="40" t="s">
        <v>62</v>
      </c>
      <c r="Z659" s="40" t="s">
        <v>639</v>
      </c>
      <c r="AA659" s="23" t="str">
        <v>https://wa.me/628815361682</v>
      </c>
      <c r="AB659" s="28" t="s">
        <v>4211</v>
      </c>
      <c r="AC659" s="28"/>
      <c r="AD659" s="28" t="s">
        <v>690</v>
      </c>
      <c r="AE659" s="28"/>
      <c r="AF659" s="29">
        <v>45888</v>
      </c>
      <c r="AG659" s="29"/>
    </row>
    <row r="660" spans="1:33" ht="15.75" customHeight="1">
      <c r="A660" s="32" t="s">
        <v>196</v>
      </c>
      <c r="B660" s="33">
        <v>666</v>
      </c>
      <c r="C660" s="34" t="s">
        <v>4212</v>
      </c>
      <c r="D660" s="35">
        <v>45885.561157152777</v>
      </c>
      <c r="E660" s="43">
        <v>45884</v>
      </c>
      <c r="F660" s="32" t="s">
        <v>4213</v>
      </c>
      <c r="G660" s="32" t="s">
        <v>4214</v>
      </c>
      <c r="H660" s="32" t="s">
        <v>2481</v>
      </c>
      <c r="I660" s="36" t="s">
        <v>4125</v>
      </c>
      <c r="J660" s="52"/>
      <c r="K660" s="32" t="s">
        <v>4215</v>
      </c>
      <c r="L660" s="32" t="s">
        <v>3538</v>
      </c>
      <c r="M660" s="32" t="s">
        <v>382</v>
      </c>
      <c r="N660" s="33">
        <v>5</v>
      </c>
      <c r="O660" s="35">
        <v>45888</v>
      </c>
      <c r="P660" s="35">
        <v>45893</v>
      </c>
      <c r="Q660" s="37"/>
      <c r="R660" s="38"/>
      <c r="S660" s="33"/>
      <c r="T660" s="39">
        <v>197000</v>
      </c>
      <c r="U660" s="40" t="s">
        <v>115</v>
      </c>
      <c r="V660" s="41"/>
      <c r="W660" s="42" t="str">
        <f ca="1">IFERROR(__xludf.DUMMYFUNCTION("""COMPUTED_VALUE"""),"CV SENDANG")</f>
        <v>CV SENDANG</v>
      </c>
      <c r="X660" s="42" t="str">
        <f ca="1"/>
        <v>ON-CV SENDANG-00011900+5-6285640123555</v>
      </c>
      <c r="Y660" s="40" t="s">
        <v>293</v>
      </c>
      <c r="Z660" s="40" t="s">
        <v>1057</v>
      </c>
      <c r="AA660" s="23" t="str">
        <v>https://wa.me/6285640123555</v>
      </c>
      <c r="AB660" s="28" t="s">
        <v>4216</v>
      </c>
      <c r="AC660" s="28"/>
      <c r="AD660" s="28" t="s">
        <v>690</v>
      </c>
      <c r="AE660" s="28"/>
      <c r="AF660" s="29">
        <v>45888</v>
      </c>
      <c r="AG660" s="29"/>
    </row>
    <row r="661" spans="1:33" ht="15.75" customHeight="1">
      <c r="A661" s="32" t="s">
        <v>196</v>
      </c>
      <c r="B661" s="33">
        <v>667</v>
      </c>
      <c r="C661" s="34" t="s">
        <v>4217</v>
      </c>
      <c r="D661" s="35">
        <v>45885.581812187505</v>
      </c>
      <c r="E661" s="43">
        <v>45885</v>
      </c>
      <c r="F661" s="32" t="s">
        <v>1735</v>
      </c>
      <c r="G661" s="32" t="s">
        <v>4218</v>
      </c>
      <c r="H661" s="32" t="s">
        <v>595</v>
      </c>
      <c r="I661" s="36" t="s">
        <v>4219</v>
      </c>
      <c r="J661" s="52"/>
      <c r="K661" s="32" t="s">
        <v>4220</v>
      </c>
      <c r="L661" s="32" t="s">
        <v>85</v>
      </c>
      <c r="M661" s="32" t="s">
        <v>60</v>
      </c>
      <c r="N661" s="33">
        <v>5</v>
      </c>
      <c r="O661" s="35"/>
      <c r="P661" s="35"/>
      <c r="Q661" s="37"/>
      <c r="R661" s="38"/>
      <c r="S661" s="33"/>
      <c r="T661" s="39">
        <v>150000</v>
      </c>
      <c r="U661" s="40" t="s">
        <v>61</v>
      </c>
      <c r="V661" s="41"/>
      <c r="W661" s="42" t="str">
        <f ca="1">IFERROR(__xludf.DUMMYFUNCTION("""COMPUTED_VALUE"""),"Andika Jaya")</f>
        <v>Andika Jaya</v>
      </c>
      <c r="X661" s="42" t="str">
        <f ca="1"/>
        <v>ON-Andika Jaya-00011900+5-628131361661</v>
      </c>
      <c r="Y661" s="40" t="s">
        <v>293</v>
      </c>
      <c r="Z661" s="40" t="s">
        <v>1057</v>
      </c>
      <c r="AA661" s="23" t="str">
        <v>https://wa.me/628131361661</v>
      </c>
      <c r="AB661" s="28" t="s">
        <v>4221</v>
      </c>
      <c r="AC661" s="28"/>
      <c r="AD661" s="28" t="s">
        <v>690</v>
      </c>
      <c r="AE661" s="28"/>
      <c r="AF661" s="29">
        <v>45888</v>
      </c>
      <c r="AG661" s="29"/>
    </row>
    <row r="662" spans="1:33" ht="15.75" customHeight="1">
      <c r="A662" s="32" t="s">
        <v>196</v>
      </c>
      <c r="B662" s="33">
        <v>668</v>
      </c>
      <c r="C662" s="34" t="s">
        <v>4222</v>
      </c>
      <c r="D662" s="35">
        <v>45885.792658495368</v>
      </c>
      <c r="E662" s="43">
        <v>45885</v>
      </c>
      <c r="F662" s="32" t="s">
        <v>4223</v>
      </c>
      <c r="G662" s="32" t="s">
        <v>4224</v>
      </c>
      <c r="H662" s="32" t="s">
        <v>4225</v>
      </c>
      <c r="I662" s="36" t="s">
        <v>4226</v>
      </c>
      <c r="J662" s="52" t="s">
        <v>4227</v>
      </c>
      <c r="K662" s="32" t="s">
        <v>4228</v>
      </c>
      <c r="L662" s="32" t="s">
        <v>672</v>
      </c>
      <c r="M662" s="32" t="s">
        <v>382</v>
      </c>
      <c r="N662" s="33">
        <v>5</v>
      </c>
      <c r="O662" s="35"/>
      <c r="P662" s="35"/>
      <c r="Q662" s="37"/>
      <c r="R662" s="38"/>
      <c r="S662" s="33"/>
      <c r="T662" s="39">
        <v>197000</v>
      </c>
      <c r="U662" s="40" t="s">
        <v>115</v>
      </c>
      <c r="V662" s="41"/>
      <c r="W662" s="42" t="str">
        <f ca="1">IFERROR(__xludf.DUMMYFUNCTION("""COMPUTED_VALUE"""),"Transport lombok")</f>
        <v>Transport lombok</v>
      </c>
      <c r="X662" s="42" t="str">
        <f ca="1"/>
        <v>ON-Transport lombok-00011900+5-6285967129366</v>
      </c>
      <c r="Y662" s="40" t="s">
        <v>62</v>
      </c>
      <c r="Z662" s="40" t="s">
        <v>1880</v>
      </c>
      <c r="AA662" s="23" t="str">
        <v>https://wa.me/6285967129366</v>
      </c>
      <c r="AB662" s="28" t="s">
        <v>4229</v>
      </c>
      <c r="AC662" s="28"/>
      <c r="AD662" s="28" t="s">
        <v>690</v>
      </c>
      <c r="AE662" s="28"/>
      <c r="AF662" s="29">
        <v>45888</v>
      </c>
      <c r="AG662" s="29"/>
    </row>
    <row r="663" spans="1:33" ht="15.75" customHeight="1">
      <c r="A663" s="32" t="s">
        <v>196</v>
      </c>
      <c r="B663" s="33">
        <v>669</v>
      </c>
      <c r="C663" s="34" t="s">
        <v>4230</v>
      </c>
      <c r="D663" s="35">
        <v>45885.806235983793</v>
      </c>
      <c r="E663" s="33" t="s">
        <v>4231</v>
      </c>
      <c r="F663" s="32" t="s">
        <v>4232</v>
      </c>
      <c r="G663" s="32" t="s">
        <v>4233</v>
      </c>
      <c r="H663" s="32" t="s">
        <v>4234</v>
      </c>
      <c r="I663" s="36" t="s">
        <v>4235</v>
      </c>
      <c r="J663" s="52" t="s">
        <v>4236</v>
      </c>
      <c r="K663" s="32" t="s">
        <v>4237</v>
      </c>
      <c r="L663" s="32" t="s">
        <v>672</v>
      </c>
      <c r="M663" s="32" t="s">
        <v>382</v>
      </c>
      <c r="N663" s="33">
        <v>7</v>
      </c>
      <c r="O663" s="35"/>
      <c r="P663" s="35"/>
      <c r="Q663" s="37"/>
      <c r="R663" s="38"/>
      <c r="S663" s="33"/>
      <c r="T663" s="39">
        <v>297000</v>
      </c>
      <c r="U663" s="40" t="s">
        <v>115</v>
      </c>
      <c r="V663" s="41"/>
      <c r="W663" s="42" t="str">
        <f ca="1">IFERROR(__xludf.DUMMYFUNCTION("""COMPUTED_VALUE"""),"HITSBAH TRANSPORT")</f>
        <v>HITSBAH TRANSPORT</v>
      </c>
      <c r="X663" s="42" t="str">
        <f ca="1"/>
        <v>ON-HITSBAH TRANSPORT-00011900+7-6289514176661</v>
      </c>
      <c r="Y663" s="40" t="s">
        <v>62</v>
      </c>
      <c r="Z663" s="40" t="s">
        <v>1880</v>
      </c>
      <c r="AA663" s="23" t="str">
        <v>https://wa.me/6289514176661</v>
      </c>
      <c r="AB663" s="28" t="s">
        <v>4238</v>
      </c>
      <c r="AC663" s="28"/>
      <c r="AD663" s="28" t="s">
        <v>690</v>
      </c>
      <c r="AE663" s="28"/>
      <c r="AF663" s="29">
        <v>45888</v>
      </c>
      <c r="AG663" s="29"/>
    </row>
    <row r="664" spans="1:33" ht="15.75" customHeight="1">
      <c r="A664" s="32" t="s">
        <v>196</v>
      </c>
      <c r="B664" s="33">
        <v>670</v>
      </c>
      <c r="C664" s="34" t="s">
        <v>4239</v>
      </c>
      <c r="D664" s="35">
        <v>45885.952228275462</v>
      </c>
      <c r="E664" s="43">
        <v>45885</v>
      </c>
      <c r="F664" s="32" t="s">
        <v>4240</v>
      </c>
      <c r="G664" s="32" t="s">
        <v>4241</v>
      </c>
      <c r="H664" s="32" t="s">
        <v>4242</v>
      </c>
      <c r="I664" s="36" t="s">
        <v>4243</v>
      </c>
      <c r="J664" s="52"/>
      <c r="K664" s="32" t="s">
        <v>4244</v>
      </c>
      <c r="L664" s="32" t="s">
        <v>4245</v>
      </c>
      <c r="M664" s="32" t="s">
        <v>1534</v>
      </c>
      <c r="N664" s="33">
        <v>5</v>
      </c>
      <c r="O664" s="35"/>
      <c r="P664" s="35"/>
      <c r="Q664" s="37"/>
      <c r="R664" s="38"/>
      <c r="S664" s="33"/>
      <c r="T664" s="39">
        <v>197000</v>
      </c>
      <c r="U664" s="40" t="s">
        <v>1229</v>
      </c>
      <c r="V664" s="41"/>
      <c r="W664" s="42" t="str">
        <f ca="1">IFERROR(__xludf.DUMMYFUNCTION("""COMPUTED_VALUE"""),"C&amp;A building")</f>
        <v>C&amp;A building</v>
      </c>
      <c r="X664" s="42" t="str">
        <f ca="1"/>
        <v>ON-C&amp;A building-00011900+5-6281380503300</v>
      </c>
      <c r="Y664" s="40" t="s">
        <v>293</v>
      </c>
      <c r="Z664" s="40" t="s">
        <v>1057</v>
      </c>
      <c r="AA664" s="23" t="str">
        <v>https://wa.me/6281380503300</v>
      </c>
      <c r="AB664" s="28" t="s">
        <v>4246</v>
      </c>
      <c r="AC664" s="28"/>
      <c r="AD664" s="28" t="s">
        <v>690</v>
      </c>
      <c r="AE664" s="28"/>
      <c r="AF664" s="29">
        <v>45889</v>
      </c>
      <c r="AG664" s="29"/>
    </row>
    <row r="665" spans="1:33" ht="15.75" customHeight="1">
      <c r="A665" s="32" t="s">
        <v>196</v>
      </c>
      <c r="B665" s="33">
        <v>671</v>
      </c>
      <c r="C665" s="34" t="s">
        <v>4247</v>
      </c>
      <c r="D665" s="35">
        <v>45886.268546203704</v>
      </c>
      <c r="E665" s="43">
        <v>45881</v>
      </c>
      <c r="F665" s="32" t="s">
        <v>4248</v>
      </c>
      <c r="G665" s="32" t="s">
        <v>4249</v>
      </c>
      <c r="H665" s="32" t="s">
        <v>4250</v>
      </c>
      <c r="I665" s="36" t="s">
        <v>4251</v>
      </c>
      <c r="J665" s="52"/>
      <c r="K665" s="32" t="s">
        <v>4252</v>
      </c>
      <c r="L665" s="32" t="s">
        <v>4253</v>
      </c>
      <c r="M665" s="32" t="s">
        <v>267</v>
      </c>
      <c r="N665" s="33">
        <v>5</v>
      </c>
      <c r="O665" s="35"/>
      <c r="P665" s="35"/>
      <c r="Q665" s="37"/>
      <c r="R665" s="38"/>
      <c r="S665" s="33"/>
      <c r="T665" s="39">
        <v>197000</v>
      </c>
      <c r="U665" s="40" t="s">
        <v>1774</v>
      </c>
      <c r="V665" s="41"/>
      <c r="W665" s="42" t="str">
        <f ca="1">IFERROR(__xludf.DUMMYFUNCTION("""COMPUTED_VALUE"""),"Spa dina")</f>
        <v>Spa dina</v>
      </c>
      <c r="X665" s="42" t="str">
        <f ca="1"/>
        <v>ON-Spa dina-00011900+5-6287833789401</v>
      </c>
      <c r="Y665" s="40" t="s">
        <v>50</v>
      </c>
      <c r="Z665" s="40" t="s">
        <v>327</v>
      </c>
      <c r="AA665" s="23" t="str">
        <v>https://wa.me/6287833789401</v>
      </c>
      <c r="AB665" s="28" t="s">
        <v>4254</v>
      </c>
      <c r="AC665" s="28"/>
      <c r="AD665" s="28" t="s">
        <v>690</v>
      </c>
      <c r="AE665" s="28"/>
      <c r="AF665" s="29">
        <v>45889</v>
      </c>
      <c r="AG665" s="29"/>
    </row>
    <row r="666" spans="1:33" ht="15.75" customHeight="1">
      <c r="A666" s="32" t="s">
        <v>196</v>
      </c>
      <c r="B666" s="33">
        <v>672</v>
      </c>
      <c r="C666" s="34" t="s">
        <v>4255</v>
      </c>
      <c r="D666" s="43">
        <v>46065</v>
      </c>
      <c r="E666" s="43">
        <v>45886</v>
      </c>
      <c r="F666" s="32" t="s">
        <v>4256</v>
      </c>
      <c r="G666" s="32" t="s">
        <v>4257</v>
      </c>
      <c r="H666" s="32" t="s">
        <v>4258</v>
      </c>
      <c r="I666" s="36" t="s">
        <v>4259</v>
      </c>
      <c r="J666" s="52"/>
      <c r="K666" s="32" t="s">
        <v>4260</v>
      </c>
      <c r="L666" s="32" t="s">
        <v>672</v>
      </c>
      <c r="M666" s="32" t="s">
        <v>382</v>
      </c>
      <c r="N666" s="33">
        <v>5</v>
      </c>
      <c r="O666" s="35"/>
      <c r="P666" s="35"/>
      <c r="Q666" s="37"/>
      <c r="R666" s="38">
        <v>-1003470351325</v>
      </c>
      <c r="S666" s="33"/>
      <c r="T666" s="39">
        <v>197000</v>
      </c>
      <c r="U666" s="40" t="s">
        <v>115</v>
      </c>
      <c r="V666" s="47">
        <v>46065.355568078703</v>
      </c>
      <c r="W666" s="42" t="str">
        <f ca="1">IFERROR(__xludf.DUMMYFUNCTION("""COMPUTED_VALUE"""),"Ari kontraktor")</f>
        <v>Ari kontraktor</v>
      </c>
      <c r="X666" s="42" t="str">
        <f ca="1"/>
        <v>ON-Ari kontraktor-12022026+5-6281222788601</v>
      </c>
      <c r="Y666" s="40" t="s">
        <v>293</v>
      </c>
      <c r="Z666" s="40" t="s">
        <v>1057</v>
      </c>
      <c r="AA666" s="23" t="str">
        <v>https://wa.me/6281222788601</v>
      </c>
      <c r="AB666" s="28" t="s">
        <v>4261</v>
      </c>
      <c r="AC666" s="28"/>
      <c r="AD666" s="28" t="s">
        <v>690</v>
      </c>
      <c r="AE666" s="28"/>
      <c r="AF666" s="29">
        <v>45889</v>
      </c>
      <c r="AG666" s="29"/>
    </row>
    <row r="667" spans="1:33" ht="15.75" customHeight="1">
      <c r="A667" s="32" t="s">
        <v>196</v>
      </c>
      <c r="B667" s="33">
        <v>673</v>
      </c>
      <c r="C667" s="34" t="s">
        <v>4262</v>
      </c>
      <c r="D667" s="35">
        <v>45886.342632708329</v>
      </c>
      <c r="E667" s="43">
        <v>45886</v>
      </c>
      <c r="F667" s="32" t="s">
        <v>4263</v>
      </c>
      <c r="G667" s="32" t="s">
        <v>4264</v>
      </c>
      <c r="H667" s="32" t="s">
        <v>4265</v>
      </c>
      <c r="I667" s="36" t="s">
        <v>4266</v>
      </c>
      <c r="J667" s="52" t="s">
        <v>4267</v>
      </c>
      <c r="K667" s="32"/>
      <c r="L667" s="32" t="s">
        <v>4268</v>
      </c>
      <c r="M667" s="32" t="s">
        <v>726</v>
      </c>
      <c r="N667" s="33">
        <v>5</v>
      </c>
      <c r="O667" s="35"/>
      <c r="P667" s="35"/>
      <c r="Q667" s="37"/>
      <c r="R667" s="38"/>
      <c r="S667" s="33"/>
      <c r="T667" s="39">
        <v>197000</v>
      </c>
      <c r="U667" s="40" t="s">
        <v>115</v>
      </c>
      <c r="V667" s="41"/>
      <c r="W667" s="42" t="str">
        <f ca="1">IFERROR(__xludf.DUMMYFUNCTION("""COMPUTED_VALUE"""),"Someah Tour")</f>
        <v>Someah Tour</v>
      </c>
      <c r="X667" s="42" t="str">
        <f ca="1"/>
        <v>ON-Someah Tour-00011900+5-6285702241111</v>
      </c>
      <c r="Y667" s="40" t="s">
        <v>62</v>
      </c>
      <c r="Z667" s="40" t="s">
        <v>1880</v>
      </c>
      <c r="AA667" s="23" t="str">
        <v>https://wa.me/6285702241111</v>
      </c>
      <c r="AB667" s="28" t="s">
        <v>4269</v>
      </c>
      <c r="AC667" s="28"/>
      <c r="AD667" s="28" t="s">
        <v>690</v>
      </c>
      <c r="AE667" s="28"/>
      <c r="AF667" s="29">
        <v>45889</v>
      </c>
      <c r="AG667" s="29"/>
    </row>
    <row r="668" spans="1:33" ht="15.75" customHeight="1">
      <c r="A668" s="32" t="s">
        <v>196</v>
      </c>
      <c r="B668" s="33">
        <v>674</v>
      </c>
      <c r="C668" s="34" t="s">
        <v>4270</v>
      </c>
      <c r="D668" s="35">
        <v>45886.813212986111</v>
      </c>
      <c r="E668" s="43">
        <v>45886</v>
      </c>
      <c r="F668" s="32" t="s">
        <v>4271</v>
      </c>
      <c r="G668" s="32" t="s">
        <v>4272</v>
      </c>
      <c r="H668" s="32" t="s">
        <v>4273</v>
      </c>
      <c r="I668" s="36" t="s">
        <v>4274</v>
      </c>
      <c r="J668" s="52"/>
      <c r="K668" s="32" t="s">
        <v>4275</v>
      </c>
      <c r="L668" s="32" t="s">
        <v>974</v>
      </c>
      <c r="M668" s="32" t="s">
        <v>60</v>
      </c>
      <c r="N668" s="33">
        <v>5</v>
      </c>
      <c r="O668" s="35"/>
      <c r="P668" s="35"/>
      <c r="Q668" s="37"/>
      <c r="R668" s="38"/>
      <c r="S668" s="33"/>
      <c r="T668" s="39">
        <v>150000</v>
      </c>
      <c r="U668" s="40" t="s">
        <v>61</v>
      </c>
      <c r="V668" s="41"/>
      <c r="W668" s="42" t="str">
        <f ca="1">IFERROR(__xludf.DUMMYFUNCTION("""COMPUTED_VALUE"""),"Berkah Karya")</f>
        <v>Berkah Karya</v>
      </c>
      <c r="X668" s="42" t="str">
        <f ca="1"/>
        <v>ON-Berkah Karya-00011900+5-6285854789952</v>
      </c>
      <c r="Y668" s="40" t="s">
        <v>293</v>
      </c>
      <c r="Z668" s="40" t="s">
        <v>1057</v>
      </c>
      <c r="AA668" s="23" t="str">
        <v>https://wa.me/6285854789952</v>
      </c>
      <c r="AB668" s="28" t="s">
        <v>4276</v>
      </c>
      <c r="AC668" s="28"/>
      <c r="AD668" s="28" t="s">
        <v>690</v>
      </c>
      <c r="AE668" s="28"/>
      <c r="AF668" s="29">
        <v>45889</v>
      </c>
      <c r="AG668" s="29"/>
    </row>
    <row r="669" spans="1:33" ht="15.75" customHeight="1">
      <c r="A669" s="32" t="s">
        <v>196</v>
      </c>
      <c r="B669" s="33">
        <v>675</v>
      </c>
      <c r="C669" s="34" t="s">
        <v>4277</v>
      </c>
      <c r="D669" s="35">
        <v>45887.28492450231</v>
      </c>
      <c r="E669" s="33" t="s">
        <v>4278</v>
      </c>
      <c r="F669" s="32" t="s">
        <v>4279</v>
      </c>
      <c r="G669" s="32" t="s">
        <v>4280</v>
      </c>
      <c r="H669" s="32" t="s">
        <v>4225</v>
      </c>
      <c r="I669" s="36" t="s">
        <v>4281</v>
      </c>
      <c r="J669" s="52" t="s">
        <v>4282</v>
      </c>
      <c r="K669" s="32" t="s">
        <v>4283</v>
      </c>
      <c r="L669" s="32" t="s">
        <v>4284</v>
      </c>
      <c r="M669" s="32" t="s">
        <v>4285</v>
      </c>
      <c r="N669" s="33">
        <v>5</v>
      </c>
      <c r="O669" s="35"/>
      <c r="P669" s="35"/>
      <c r="Q669" s="37"/>
      <c r="R669" s="38"/>
      <c r="S669" s="33"/>
      <c r="T669" s="39">
        <v>197000</v>
      </c>
      <c r="U669" s="40" t="s">
        <v>115</v>
      </c>
      <c r="V669" s="41"/>
      <c r="W669" s="42" t="str">
        <f ca="1">IFERROR(__xludf.DUMMYFUNCTION("""COMPUTED_VALUE"""),"Lombok best")</f>
        <v>Lombok best</v>
      </c>
      <c r="X669" s="42" t="str">
        <f ca="1"/>
        <v>ON-Lombok best-00011900+5-6287862271550</v>
      </c>
      <c r="Y669" s="40" t="s">
        <v>62</v>
      </c>
      <c r="Z669" s="40" t="s">
        <v>1880</v>
      </c>
      <c r="AA669" s="23" t="str">
        <v>https://wa.me/6287862271550</v>
      </c>
      <c r="AB669" s="28" t="s">
        <v>4286</v>
      </c>
      <c r="AC669" s="28"/>
      <c r="AD669" s="28" t="s">
        <v>690</v>
      </c>
      <c r="AE669" s="28"/>
      <c r="AF669" s="29">
        <v>45890</v>
      </c>
      <c r="AG669" s="29"/>
    </row>
    <row r="670" spans="1:33" ht="15.75" customHeight="1">
      <c r="A670" s="32" t="s">
        <v>196</v>
      </c>
      <c r="B670" s="33">
        <v>676</v>
      </c>
      <c r="C670" s="34" t="s">
        <v>4287</v>
      </c>
      <c r="D670" s="35">
        <v>45887.372220694444</v>
      </c>
      <c r="E670" s="43">
        <v>45887</v>
      </c>
      <c r="F670" s="32" t="s">
        <v>4288</v>
      </c>
      <c r="G670" s="32" t="s">
        <v>4289</v>
      </c>
      <c r="H670" s="32" t="s">
        <v>1030</v>
      </c>
      <c r="I670" s="36" t="s">
        <v>4290</v>
      </c>
      <c r="J670" s="52"/>
      <c r="K670" s="32" t="s">
        <v>4291</v>
      </c>
      <c r="L670" s="32" t="s">
        <v>2995</v>
      </c>
      <c r="M670" s="32" t="s">
        <v>60</v>
      </c>
      <c r="N670" s="33">
        <v>5</v>
      </c>
      <c r="O670" s="35"/>
      <c r="P670" s="35"/>
      <c r="Q670" s="37"/>
      <c r="R670" s="38"/>
      <c r="S670" s="33"/>
      <c r="T670" s="39">
        <v>197000</v>
      </c>
      <c r="U670" s="40" t="s">
        <v>61</v>
      </c>
      <c r="V670" s="41"/>
      <c r="W670" s="42" t="str">
        <f ca="1">IFERROR(__xludf.DUMMYFUNCTION("""COMPUTED_VALUE"""),"Griya Sehat")</f>
        <v>Griya Sehat</v>
      </c>
      <c r="X670" s="42" t="str">
        <f ca="1"/>
        <v>ON-Griya Sehat-00011900+5-6285255115894</v>
      </c>
      <c r="Y670" s="40" t="s">
        <v>62</v>
      </c>
      <c r="Z670" s="40" t="s">
        <v>639</v>
      </c>
      <c r="AA670" s="23" t="str">
        <v>https://wa.me/6285255115894</v>
      </c>
      <c r="AB670" s="28" t="s">
        <v>4292</v>
      </c>
      <c r="AC670" s="28"/>
      <c r="AD670" s="28" t="s">
        <v>690</v>
      </c>
      <c r="AE670" s="28"/>
      <c r="AF670" s="29">
        <v>45890</v>
      </c>
      <c r="AG670" s="29"/>
    </row>
    <row r="671" spans="1:33" ht="15.75" customHeight="1">
      <c r="A671" s="32" t="s">
        <v>196</v>
      </c>
      <c r="B671" s="33">
        <v>677</v>
      </c>
      <c r="C671" s="34" t="s">
        <v>4293</v>
      </c>
      <c r="D671" s="35">
        <v>45887.380790439813</v>
      </c>
      <c r="E671" s="43">
        <v>45887</v>
      </c>
      <c r="F671" s="32" t="s">
        <v>4294</v>
      </c>
      <c r="G671" s="32" t="s">
        <v>4295</v>
      </c>
      <c r="H671" s="32" t="s">
        <v>1984</v>
      </c>
      <c r="I671" s="36" t="s">
        <v>4296</v>
      </c>
      <c r="J671" s="52"/>
      <c r="K671" s="32" t="s">
        <v>570</v>
      </c>
      <c r="L671" s="32" t="s">
        <v>974</v>
      </c>
      <c r="M671" s="32" t="s">
        <v>60</v>
      </c>
      <c r="N671" s="33">
        <v>5</v>
      </c>
      <c r="O671" s="35"/>
      <c r="P671" s="35"/>
      <c r="Q671" s="37"/>
      <c r="R671" s="38"/>
      <c r="S671" s="33"/>
      <c r="T671" s="39">
        <v>197000</v>
      </c>
      <c r="U671" s="40" t="s">
        <v>61</v>
      </c>
      <c r="V671" s="41"/>
      <c r="W671" s="42" t="str">
        <f ca="1">IFERROR(__xludf.DUMMYFUNCTION("""COMPUTED_VALUE"""),"Aufadina Tour")</f>
        <v>Aufadina Tour</v>
      </c>
      <c r="X671" s="42" t="str">
        <f ca="1"/>
        <v>ON-Aufadina Tour-00011900+5-6281513169730</v>
      </c>
      <c r="Y671" s="40" t="s">
        <v>62</v>
      </c>
      <c r="Z671" s="40" t="s">
        <v>1880</v>
      </c>
      <c r="AA671" s="23" t="str">
        <v>https://wa.me/6281513169730</v>
      </c>
      <c r="AB671" s="28" t="s">
        <v>4297</v>
      </c>
      <c r="AC671" s="28"/>
      <c r="AD671" s="28" t="s">
        <v>690</v>
      </c>
      <c r="AE671" s="28"/>
      <c r="AF671" s="29">
        <v>45895</v>
      </c>
      <c r="AG671" s="29"/>
    </row>
    <row r="672" spans="1:33" ht="15.75" customHeight="1">
      <c r="A672" s="32" t="s">
        <v>196</v>
      </c>
      <c r="B672" s="33">
        <v>678</v>
      </c>
      <c r="C672" s="34" t="s">
        <v>4298</v>
      </c>
      <c r="D672" s="35">
        <v>45887.494313969903</v>
      </c>
      <c r="E672" s="43">
        <v>45885</v>
      </c>
      <c r="F672" s="32" t="s">
        <v>4299</v>
      </c>
      <c r="G672" s="32" t="s">
        <v>4300</v>
      </c>
      <c r="H672" s="32" t="s">
        <v>4301</v>
      </c>
      <c r="I672" s="36" t="s">
        <v>4302</v>
      </c>
      <c r="J672" s="52"/>
      <c r="K672" s="32" t="s">
        <v>4303</v>
      </c>
      <c r="L672" s="32" t="s">
        <v>3750</v>
      </c>
      <c r="M672" s="32" t="s">
        <v>3687</v>
      </c>
      <c r="N672" s="33">
        <v>7</v>
      </c>
      <c r="O672" s="35"/>
      <c r="P672" s="35"/>
      <c r="Q672" s="37"/>
      <c r="R672" s="38"/>
      <c r="S672" s="33"/>
      <c r="T672" s="39">
        <v>297000</v>
      </c>
      <c r="U672" s="40" t="s">
        <v>1229</v>
      </c>
      <c r="V672" s="41"/>
      <c r="W672" s="42" t="str">
        <f ca="1">IFERROR(__xludf.DUMMYFUNCTION("""COMPUTED_VALUE"""),"Arin abadi")</f>
        <v>Arin abadi</v>
      </c>
      <c r="X672" s="42" t="str">
        <f ca="1"/>
        <v>ON-Arin abadi-00011900+7-6285864637086</v>
      </c>
      <c r="Y672" s="40" t="s">
        <v>293</v>
      </c>
      <c r="Z672" s="40" t="s">
        <v>1057</v>
      </c>
      <c r="AA672" s="23" t="str">
        <v>https://wa.me/6285864637086</v>
      </c>
      <c r="AB672" s="28" t="s">
        <v>4304</v>
      </c>
      <c r="AC672" s="28"/>
      <c r="AD672" s="28" t="s">
        <v>690</v>
      </c>
      <c r="AE672" s="28"/>
      <c r="AF672" s="29">
        <v>45889</v>
      </c>
      <c r="AG672" s="29"/>
    </row>
    <row r="673" spans="1:33" ht="15.75" customHeight="1">
      <c r="A673" s="32" t="s">
        <v>196</v>
      </c>
      <c r="B673" s="33">
        <v>679</v>
      </c>
      <c r="C673" s="34" t="s">
        <v>4305</v>
      </c>
      <c r="D673" s="35">
        <v>45887.565280555558</v>
      </c>
      <c r="E673" s="43">
        <v>45885</v>
      </c>
      <c r="F673" s="32" t="s">
        <v>4306</v>
      </c>
      <c r="G673" s="32" t="s">
        <v>4307</v>
      </c>
      <c r="H673" s="32" t="s">
        <v>4308</v>
      </c>
      <c r="I673" s="36" t="s">
        <v>4309</v>
      </c>
      <c r="J673" s="52"/>
      <c r="K673" s="32"/>
      <c r="L673" s="32" t="s">
        <v>3462</v>
      </c>
      <c r="M673" s="32" t="s">
        <v>249</v>
      </c>
      <c r="N673" s="33">
        <v>30</v>
      </c>
      <c r="O673" s="35"/>
      <c r="P673" s="35"/>
      <c r="Q673" s="37"/>
      <c r="R673" s="38"/>
      <c r="S673" s="33"/>
      <c r="T673" s="39">
        <v>1000000</v>
      </c>
      <c r="U673" s="40" t="s">
        <v>61</v>
      </c>
      <c r="V673" s="41"/>
      <c r="W673" s="42" t="str">
        <f ca="1">IFERROR(__xludf.DUMMYFUNCTION("""COMPUTED_VALUE"""),"Rumah Sehat")</f>
        <v>Rumah Sehat</v>
      </c>
      <c r="X673" s="42" t="str">
        <f ca="1"/>
        <v>ON-Rumah Sehat-00011900+30-6282160743576</v>
      </c>
      <c r="Y673" s="40" t="s">
        <v>62</v>
      </c>
      <c r="Z673" s="40" t="s">
        <v>639</v>
      </c>
      <c r="AA673" s="23" t="str">
        <v>https://wa.me/6282160743576</v>
      </c>
      <c r="AB673" s="28" t="s">
        <v>4310</v>
      </c>
      <c r="AC673" s="28"/>
      <c r="AD673" s="28" t="s">
        <v>690</v>
      </c>
      <c r="AE673" s="28"/>
      <c r="AF673" s="29">
        <v>45889</v>
      </c>
      <c r="AG673" s="29"/>
    </row>
    <row r="674" spans="1:33" ht="15.75" customHeight="1">
      <c r="A674" s="32" t="s">
        <v>196</v>
      </c>
      <c r="B674" s="33">
        <v>680</v>
      </c>
      <c r="C674" s="34" t="s">
        <v>4311</v>
      </c>
      <c r="D674" s="35">
        <v>45887.567475127318</v>
      </c>
      <c r="E674" s="43">
        <v>45887</v>
      </c>
      <c r="F674" s="32" t="s">
        <v>4312</v>
      </c>
      <c r="G674" s="32" t="s">
        <v>3092</v>
      </c>
      <c r="H674" s="32" t="s">
        <v>4313</v>
      </c>
      <c r="I674" s="36" t="s">
        <v>4314</v>
      </c>
      <c r="J674" s="52" t="s">
        <v>4315</v>
      </c>
      <c r="K674" s="32" t="s">
        <v>4316</v>
      </c>
      <c r="L674" s="32" t="s">
        <v>3558</v>
      </c>
      <c r="M674" s="32" t="s">
        <v>1773</v>
      </c>
      <c r="N674" s="33">
        <v>10</v>
      </c>
      <c r="O674" s="35"/>
      <c r="P674" s="35"/>
      <c r="Q674" s="37"/>
      <c r="R674" s="38"/>
      <c r="S674" s="33"/>
      <c r="T674" s="39">
        <v>375000</v>
      </c>
      <c r="U674" s="40" t="s">
        <v>61</v>
      </c>
      <c r="V674" s="41"/>
      <c r="W674" s="42" t="str">
        <f ca="1">IFERROR(__xludf.DUMMYFUNCTION("""COMPUTED_VALUE"""),"Pengobatan Alternatif")</f>
        <v>Pengobatan Alternatif</v>
      </c>
      <c r="X674" s="42" t="str">
        <f ca="1"/>
        <v>ON-Pengobatan Alternatif-00011900+10-6287740636181</v>
      </c>
      <c r="Y674" s="40" t="s">
        <v>62</v>
      </c>
      <c r="Z674" s="40" t="s">
        <v>639</v>
      </c>
      <c r="AA674" s="23" t="str">
        <v>https://wa.me/6287740636181</v>
      </c>
      <c r="AB674" s="28" t="s">
        <v>4317</v>
      </c>
      <c r="AC674" s="28"/>
      <c r="AD674" s="28" t="s">
        <v>690</v>
      </c>
      <c r="AE674" s="28"/>
      <c r="AF674" s="29">
        <v>45889</v>
      </c>
      <c r="AG674" s="29"/>
    </row>
    <row r="675" spans="1:33" ht="15.75" customHeight="1">
      <c r="A675" s="32" t="s">
        <v>196</v>
      </c>
      <c r="B675" s="33">
        <v>681</v>
      </c>
      <c r="C675" s="34" t="s">
        <v>4318</v>
      </c>
      <c r="D675" s="35">
        <v>45887.595256412038</v>
      </c>
      <c r="E675" s="43">
        <v>45887</v>
      </c>
      <c r="F675" s="32" t="s">
        <v>4319</v>
      </c>
      <c r="G675" s="32" t="s">
        <v>4320</v>
      </c>
      <c r="H675" s="32" t="s">
        <v>4321</v>
      </c>
      <c r="I675" s="36" t="s">
        <v>4322</v>
      </c>
      <c r="J675" s="52" t="s">
        <v>4323</v>
      </c>
      <c r="K675" s="32" t="s">
        <v>570</v>
      </c>
      <c r="L675" s="32" t="s">
        <v>37</v>
      </c>
      <c r="M675" s="32" t="s">
        <v>382</v>
      </c>
      <c r="N675" s="33">
        <v>5</v>
      </c>
      <c r="O675" s="35"/>
      <c r="P675" s="35"/>
      <c r="Q675" s="37"/>
      <c r="R675" s="38"/>
      <c r="S675" s="33"/>
      <c r="T675" s="39">
        <v>197000</v>
      </c>
      <c r="U675" s="40" t="s">
        <v>115</v>
      </c>
      <c r="V675" s="41"/>
      <c r="W675" s="42" t="str">
        <f ca="1">IFERROR(__xludf.DUMMYFUNCTION("""COMPUTED_VALUE"""),"Seribu Harapan")</f>
        <v>Seribu Harapan</v>
      </c>
      <c r="X675" s="42" t="str">
        <f ca="1"/>
        <v>ON-Seribu Harapan-00011900+5-6282154318629</v>
      </c>
      <c r="Y675" s="40" t="s">
        <v>62</v>
      </c>
      <c r="Z675" s="40" t="s">
        <v>1880</v>
      </c>
      <c r="AA675" s="23" t="str">
        <v>https://wa.me/6282154318629</v>
      </c>
      <c r="AB675" s="28" t="s">
        <v>4324</v>
      </c>
      <c r="AC675" s="28"/>
      <c r="AD675" s="28" t="s">
        <v>690</v>
      </c>
      <c r="AE675" s="28"/>
      <c r="AF675" s="29">
        <v>45890</v>
      </c>
      <c r="AG675" s="29"/>
    </row>
    <row r="676" spans="1:33" ht="15.75" customHeight="1">
      <c r="A676" s="32" t="s">
        <v>52</v>
      </c>
      <c r="B676" s="33">
        <v>682</v>
      </c>
      <c r="C676" s="34" t="s">
        <v>4325</v>
      </c>
      <c r="D676" s="35">
        <v>45887.603376747684</v>
      </c>
      <c r="E676" s="43">
        <v>45887</v>
      </c>
      <c r="F676" s="32" t="s">
        <v>54</v>
      </c>
      <c r="G676" s="32" t="s">
        <v>55</v>
      </c>
      <c r="H676" s="32" t="s">
        <v>56</v>
      </c>
      <c r="I676" s="36" t="s">
        <v>4326</v>
      </c>
      <c r="J676" s="52" t="s">
        <v>4327</v>
      </c>
      <c r="K676" s="32" t="s">
        <v>58</v>
      </c>
      <c r="L676" s="32" t="s">
        <v>59</v>
      </c>
      <c r="M676" s="32" t="s">
        <v>60</v>
      </c>
      <c r="N676" s="33">
        <v>5</v>
      </c>
      <c r="O676" s="35"/>
      <c r="P676" s="35"/>
      <c r="Q676" s="37"/>
      <c r="R676" s="38"/>
      <c r="S676" s="33"/>
      <c r="T676" s="39">
        <v>197000</v>
      </c>
      <c r="U676" s="40" t="s">
        <v>61</v>
      </c>
      <c r="V676" s="41"/>
      <c r="W676" s="42" t="str">
        <f ca="1">IFERROR(__xludf.DUMMYFUNCTION("""COMPUTED_VALUE"""),"Verrocosta")</f>
        <v>Verrocosta</v>
      </c>
      <c r="X676" s="42" t="str">
        <f ca="1"/>
        <v>ON-Verrocosta-00011900+5-62076472864</v>
      </c>
      <c r="Y676" s="40"/>
      <c r="Z676" s="40"/>
      <c r="AA676" s="23" t="str">
        <v>https://wa.me/62076472864</v>
      </c>
      <c r="AB676" s="28"/>
      <c r="AC676" s="28"/>
      <c r="AD676" s="28"/>
      <c r="AE676" s="28"/>
      <c r="AF676" s="29"/>
      <c r="AG676" s="29"/>
    </row>
    <row r="677" spans="1:33" ht="15.75" customHeight="1">
      <c r="A677" s="32" t="s">
        <v>196</v>
      </c>
      <c r="B677" s="33">
        <v>683</v>
      </c>
      <c r="C677" s="34" t="s">
        <v>4328</v>
      </c>
      <c r="D677" s="35">
        <v>46026</v>
      </c>
      <c r="E677" s="43">
        <v>45887</v>
      </c>
      <c r="F677" s="32" t="s">
        <v>4329</v>
      </c>
      <c r="G677" s="32" t="s">
        <v>4330</v>
      </c>
      <c r="H677" s="32" t="s">
        <v>4331</v>
      </c>
      <c r="I677" s="36" t="s">
        <v>4332</v>
      </c>
      <c r="J677" s="52"/>
      <c r="K677" s="32" t="s">
        <v>570</v>
      </c>
      <c r="L677" s="32" t="s">
        <v>2631</v>
      </c>
      <c r="M677" s="32" t="s">
        <v>4333</v>
      </c>
      <c r="N677" s="33">
        <v>10</v>
      </c>
      <c r="O677" s="35"/>
      <c r="P677" s="35"/>
      <c r="Q677" s="37"/>
      <c r="R677" s="38">
        <v>-1003470351325</v>
      </c>
      <c r="S677" s="33"/>
      <c r="T677" s="39">
        <v>375000</v>
      </c>
      <c r="U677" s="40" t="s">
        <v>1774</v>
      </c>
      <c r="V677" s="47">
        <v>46026.532009861112</v>
      </c>
      <c r="W677" s="42" t="str">
        <f ca="1">IFERROR(__xludf.DUMMYFUNCTION("""COMPUTED_VALUE"""),"Anindiyajayapool")</f>
        <v>Anindiyajayapool</v>
      </c>
      <c r="X677" s="42" t="str">
        <f ca="1"/>
        <v>ON-Anindiyajayapool-04012026+10-6285888452389</v>
      </c>
      <c r="Y677" s="40" t="s">
        <v>293</v>
      </c>
      <c r="Z677" s="40" t="s">
        <v>1057</v>
      </c>
      <c r="AA677" s="23" t="str">
        <v>https://wa.me/6285888452389</v>
      </c>
      <c r="AB677" s="28" t="s">
        <v>4334</v>
      </c>
      <c r="AC677" s="28"/>
      <c r="AD677" s="28" t="s">
        <v>690</v>
      </c>
      <c r="AE677" s="28"/>
      <c r="AF677" s="29">
        <v>45890</v>
      </c>
      <c r="AG677" s="29"/>
    </row>
    <row r="678" spans="1:33" ht="15.75" customHeight="1">
      <c r="A678" s="32" t="s">
        <v>196</v>
      </c>
      <c r="B678" s="33">
        <v>684</v>
      </c>
      <c r="C678" s="34" t="s">
        <v>4335</v>
      </c>
      <c r="D678" s="35">
        <v>45887.765446712961</v>
      </c>
      <c r="E678" s="43">
        <v>45887</v>
      </c>
      <c r="F678" s="32" t="s">
        <v>4336</v>
      </c>
      <c r="G678" s="32" t="s">
        <v>4337</v>
      </c>
      <c r="H678" s="32" t="s">
        <v>4338</v>
      </c>
      <c r="I678" s="36" t="s">
        <v>4339</v>
      </c>
      <c r="J678" s="52"/>
      <c r="K678" s="32" t="s">
        <v>4340</v>
      </c>
      <c r="L678" s="32" t="s">
        <v>3079</v>
      </c>
      <c r="M678" s="32" t="s">
        <v>800</v>
      </c>
      <c r="N678" s="33">
        <v>5</v>
      </c>
      <c r="O678" s="35"/>
      <c r="P678" s="35"/>
      <c r="Q678" s="37"/>
      <c r="R678" s="38"/>
      <c r="S678" s="33"/>
      <c r="T678" s="39">
        <v>197000</v>
      </c>
      <c r="U678" s="40" t="s">
        <v>1229</v>
      </c>
      <c r="V678" s="41"/>
      <c r="W678" s="42" t="str">
        <f ca="1">IFERROR(__xludf.DUMMYFUNCTION("""COMPUTED_VALUE"""),"Las panggilan")</f>
        <v>Las panggilan</v>
      </c>
      <c r="X678" s="42" t="str">
        <f ca="1"/>
        <v>ON-Las panggilan-00011900+5-6285333355756</v>
      </c>
      <c r="Y678" s="40" t="s">
        <v>293</v>
      </c>
      <c r="Z678" s="40" t="s">
        <v>1057</v>
      </c>
      <c r="AA678" s="23" t="str">
        <v>https://wa.me/6285333355756</v>
      </c>
      <c r="AB678" s="28" t="s">
        <v>4341</v>
      </c>
      <c r="AC678" s="28"/>
      <c r="AD678" s="28" t="s">
        <v>690</v>
      </c>
      <c r="AE678" s="28"/>
      <c r="AF678" s="29">
        <v>45890</v>
      </c>
      <c r="AG678" s="29"/>
    </row>
    <row r="679" spans="1:33" ht="15.75" customHeight="1">
      <c r="A679" s="32" t="s">
        <v>196</v>
      </c>
      <c r="B679" s="33">
        <v>685</v>
      </c>
      <c r="C679" s="34" t="s">
        <v>4342</v>
      </c>
      <c r="D679" s="35">
        <v>45887.854620266204</v>
      </c>
      <c r="E679" s="43">
        <v>45887</v>
      </c>
      <c r="F679" s="32" t="s">
        <v>4343</v>
      </c>
      <c r="G679" s="32" t="s">
        <v>4344</v>
      </c>
      <c r="H679" s="32" t="s">
        <v>4345</v>
      </c>
      <c r="I679" s="36" t="s">
        <v>4346</v>
      </c>
      <c r="J679" s="52"/>
      <c r="K679" s="32" t="s">
        <v>570</v>
      </c>
      <c r="L679" s="32" t="s">
        <v>85</v>
      </c>
      <c r="M679" s="32" t="s">
        <v>60</v>
      </c>
      <c r="N679" s="33">
        <v>14</v>
      </c>
      <c r="O679" s="35"/>
      <c r="P679" s="35"/>
      <c r="Q679" s="37"/>
      <c r="R679" s="38"/>
      <c r="S679" s="33"/>
      <c r="T679" s="39">
        <v>550000</v>
      </c>
      <c r="U679" s="40" t="s">
        <v>61</v>
      </c>
      <c r="V679" s="41"/>
      <c r="W679" s="42" t="str">
        <f ca="1">IFERROR(__xludf.DUMMYFUNCTION("""COMPUTED_VALUE"""),"Ayojalan Rent")</f>
        <v>Ayojalan Rent</v>
      </c>
      <c r="X679" s="42" t="str">
        <f ca="1"/>
        <v>ON-Ayojalan Rent-00011900+14-6281210801646</v>
      </c>
      <c r="Y679" s="40" t="s">
        <v>62</v>
      </c>
      <c r="Z679" s="40" t="s">
        <v>1880</v>
      </c>
      <c r="AA679" s="23" t="str">
        <v>https://wa.me/6281210801646</v>
      </c>
      <c r="AB679" s="28" t="s">
        <v>4347</v>
      </c>
      <c r="AC679" s="28"/>
      <c r="AD679" s="28" t="s">
        <v>690</v>
      </c>
      <c r="AE679" s="28"/>
      <c r="AF679" s="29">
        <v>45890</v>
      </c>
      <c r="AG679" s="29"/>
    </row>
    <row r="680" spans="1:33" ht="15.75" customHeight="1">
      <c r="A680" s="32" t="s">
        <v>52</v>
      </c>
      <c r="B680" s="33">
        <v>686</v>
      </c>
      <c r="C680" s="34" t="s">
        <v>4348</v>
      </c>
      <c r="D680" s="35">
        <v>45888.332761099533</v>
      </c>
      <c r="E680" s="43">
        <v>45885</v>
      </c>
      <c r="F680" s="32" t="s">
        <v>1670</v>
      </c>
      <c r="G680" s="32" t="s">
        <v>1671</v>
      </c>
      <c r="H680" s="32" t="s">
        <v>409</v>
      </c>
      <c r="I680" s="36" t="s">
        <v>1672</v>
      </c>
      <c r="J680" s="52" t="s">
        <v>1673</v>
      </c>
      <c r="K680" s="32" t="s">
        <v>173</v>
      </c>
      <c r="L680" s="32" t="s">
        <v>1674</v>
      </c>
      <c r="M680" s="32" t="s">
        <v>131</v>
      </c>
      <c r="N680" s="33">
        <v>5</v>
      </c>
      <c r="O680" s="35"/>
      <c r="P680" s="35"/>
      <c r="Q680" s="37"/>
      <c r="R680" s="38"/>
      <c r="S680" s="33"/>
      <c r="T680" s="39">
        <v>197000</v>
      </c>
      <c r="U680" s="40" t="s">
        <v>61</v>
      </c>
      <c r="V680" s="41"/>
      <c r="W680" s="42" t="str">
        <f ca="1">IFERROR(__xludf.DUMMYFUNCTION("""COMPUTED_VALUE"""),"CV GAMA")</f>
        <v>CV GAMA</v>
      </c>
      <c r="X680" s="42" t="str">
        <f ca="1"/>
        <v>ON-CV GAMA-00011900+5-62818763108</v>
      </c>
      <c r="Y680" s="40"/>
      <c r="Z680" s="40"/>
      <c r="AA680" s="23" t="str">
        <v>https://wa.me/62818763108</v>
      </c>
      <c r="AB680" s="28"/>
      <c r="AC680" s="28"/>
      <c r="AD680" s="28"/>
      <c r="AE680" s="28"/>
      <c r="AF680" s="29"/>
      <c r="AG680" s="29"/>
    </row>
    <row r="681" spans="1:33" ht="15.75" customHeight="1">
      <c r="A681" s="32" t="s">
        <v>196</v>
      </c>
      <c r="B681" s="33">
        <v>687</v>
      </c>
      <c r="C681" s="34" t="s">
        <v>4349</v>
      </c>
      <c r="D681" s="35">
        <v>45888.333375300921</v>
      </c>
      <c r="E681" s="43">
        <v>45885</v>
      </c>
      <c r="F681" s="32" t="s">
        <v>3938</v>
      </c>
      <c r="G681" s="32" t="s">
        <v>3939</v>
      </c>
      <c r="H681" s="32" t="s">
        <v>2090</v>
      </c>
      <c r="I681" s="36" t="s">
        <v>3940</v>
      </c>
      <c r="J681" s="52"/>
      <c r="K681" s="32" t="s">
        <v>4350</v>
      </c>
      <c r="L681" s="32" t="s">
        <v>1250</v>
      </c>
      <c r="M681" s="32" t="s">
        <v>60</v>
      </c>
      <c r="N681" s="33">
        <v>10</v>
      </c>
      <c r="O681" s="35"/>
      <c r="P681" s="35"/>
      <c r="Q681" s="37"/>
      <c r="R681" s="38"/>
      <c r="S681" s="33"/>
      <c r="T681" s="39">
        <v>375000</v>
      </c>
      <c r="U681" s="40" t="s">
        <v>61</v>
      </c>
      <c r="V681" s="41"/>
      <c r="W681" s="42" t="str">
        <f ca="1">IFERROR(__xludf.DUMMYFUNCTION("""COMPUTED_VALUE"""),"Bali Trip")</f>
        <v>Bali Trip</v>
      </c>
      <c r="X681" s="42" t="str">
        <f ca="1"/>
        <v>ON-Bali Trip-00011900+10-628179780980</v>
      </c>
      <c r="Y681" s="40" t="s">
        <v>62</v>
      </c>
      <c r="Z681" s="40" t="s">
        <v>1880</v>
      </c>
      <c r="AA681" s="23" t="str">
        <v>https://wa.me/628179780980</v>
      </c>
      <c r="AB681" s="28" t="s">
        <v>4351</v>
      </c>
      <c r="AC681" s="28"/>
      <c r="AD681" s="28" t="s">
        <v>690</v>
      </c>
      <c r="AE681" s="28"/>
      <c r="AF681" s="29">
        <v>45889</v>
      </c>
      <c r="AG681" s="29"/>
    </row>
    <row r="682" spans="1:33" ht="15.75" customHeight="1">
      <c r="A682" s="32" t="s">
        <v>52</v>
      </c>
      <c r="B682" s="33">
        <v>688</v>
      </c>
      <c r="C682" s="34" t="s">
        <v>4352</v>
      </c>
      <c r="D682" s="35">
        <v>45888.33394074074</v>
      </c>
      <c r="E682" s="43">
        <v>45884</v>
      </c>
      <c r="F682" s="32" t="s">
        <v>3319</v>
      </c>
      <c r="G682" s="32" t="s">
        <v>3320</v>
      </c>
      <c r="H682" s="32" t="s">
        <v>4353</v>
      </c>
      <c r="I682" s="36" t="s">
        <v>3322</v>
      </c>
      <c r="J682" s="52"/>
      <c r="K682" s="32" t="s">
        <v>3323</v>
      </c>
      <c r="L682" s="32" t="s">
        <v>99</v>
      </c>
      <c r="M682" s="32" t="s">
        <v>60</v>
      </c>
      <c r="N682" s="33">
        <v>7</v>
      </c>
      <c r="O682" s="35"/>
      <c r="P682" s="35"/>
      <c r="Q682" s="37"/>
      <c r="R682" s="38"/>
      <c r="S682" s="33"/>
      <c r="T682" s="39">
        <v>297000</v>
      </c>
      <c r="U682" s="40" t="s">
        <v>61</v>
      </c>
      <c r="V682" s="41"/>
      <c r="W682" s="42" t="str">
        <f ca="1">IFERROR(__xludf.DUMMYFUNCTION("""COMPUTED_VALUE"""),"Hendri Family")</f>
        <v>Hendri Family</v>
      </c>
      <c r="X682" s="42" t="str">
        <f ca="1"/>
        <v>ON-Hendri Family-00011900+7-6282384370009</v>
      </c>
      <c r="Y682" s="40"/>
      <c r="Z682" s="40"/>
      <c r="AA682" s="23" t="str">
        <v>https://wa.me/6282384370009</v>
      </c>
      <c r="AB682" s="28"/>
      <c r="AC682" s="28"/>
      <c r="AD682" s="28"/>
      <c r="AE682" s="28"/>
      <c r="AF682" s="29"/>
      <c r="AG682" s="29"/>
    </row>
    <row r="683" spans="1:33" ht="15.75" customHeight="1">
      <c r="A683" s="32" t="s">
        <v>52</v>
      </c>
      <c r="B683" s="33">
        <v>689</v>
      </c>
      <c r="C683" s="34" t="s">
        <v>4354</v>
      </c>
      <c r="D683" s="35">
        <v>45888.335786446754</v>
      </c>
      <c r="E683" s="43">
        <v>45884</v>
      </c>
      <c r="F683" s="32" t="s">
        <v>4355</v>
      </c>
      <c r="G683" s="32" t="s">
        <v>4356</v>
      </c>
      <c r="H683" s="32" t="s">
        <v>4357</v>
      </c>
      <c r="I683" s="36" t="s">
        <v>201</v>
      </c>
      <c r="J683" s="52"/>
      <c r="K683" s="32" t="s">
        <v>4358</v>
      </c>
      <c r="L683" s="32" t="s">
        <v>204</v>
      </c>
      <c r="M683" s="32" t="s">
        <v>205</v>
      </c>
      <c r="N683" s="33">
        <v>10</v>
      </c>
      <c r="O683" s="35"/>
      <c r="P683" s="35"/>
      <c r="Q683" s="37"/>
      <c r="R683" s="38"/>
      <c r="S683" s="33"/>
      <c r="T683" s="39">
        <v>375000</v>
      </c>
      <c r="U683" s="40" t="s">
        <v>61</v>
      </c>
      <c r="V683" s="41"/>
      <c r="W683" s="42" t="str">
        <f ca="1">IFERROR(__xludf.DUMMYFUNCTION("""COMPUTED_VALUE"""),"PT MAKMUR")</f>
        <v>PT MAKMUR</v>
      </c>
      <c r="X683" s="42" t="str">
        <f ca="1"/>
        <v>ON-PT MAKMUR-00011900+10-6282173535013</v>
      </c>
      <c r="Y683" s="40"/>
      <c r="Z683" s="40"/>
      <c r="AA683" s="23" t="str">
        <v>https://wa.me/6282173535013</v>
      </c>
      <c r="AB683" s="28"/>
      <c r="AC683" s="28"/>
      <c r="AD683" s="28"/>
      <c r="AE683" s="28"/>
      <c r="AF683" s="29"/>
      <c r="AG683" s="29"/>
    </row>
    <row r="684" spans="1:33" ht="15.75" customHeight="1">
      <c r="A684" s="32" t="s">
        <v>52</v>
      </c>
      <c r="B684" s="33">
        <v>690</v>
      </c>
      <c r="C684" s="34" t="s">
        <v>4359</v>
      </c>
      <c r="D684" s="35">
        <v>45888.336296134265</v>
      </c>
      <c r="E684" s="43">
        <v>45884</v>
      </c>
      <c r="F684" s="32" t="s">
        <v>1751</v>
      </c>
      <c r="G684" s="32" t="s">
        <v>1752</v>
      </c>
      <c r="H684" s="32" t="s">
        <v>1753</v>
      </c>
      <c r="I684" s="36" t="s">
        <v>1754</v>
      </c>
      <c r="J684" s="52"/>
      <c r="K684" s="32" t="s">
        <v>1755</v>
      </c>
      <c r="L684" s="32" t="s">
        <v>1542</v>
      </c>
      <c r="M684" s="32" t="s">
        <v>60</v>
      </c>
      <c r="N684" s="33">
        <v>5</v>
      </c>
      <c r="O684" s="35"/>
      <c r="P684" s="35"/>
      <c r="Q684" s="37"/>
      <c r="R684" s="38"/>
      <c r="S684" s="33"/>
      <c r="T684" s="39">
        <v>197000</v>
      </c>
      <c r="U684" s="40" t="s">
        <v>61</v>
      </c>
      <c r="V684" s="41"/>
      <c r="W684" s="42" t="str">
        <f ca="1">IFERROR(__xludf.DUMMYFUNCTION("""COMPUTED_VALUE"""),"Rumah Terapi")</f>
        <v>Rumah Terapi</v>
      </c>
      <c r="X684" s="42" t="str">
        <f ca="1"/>
        <v>ON-Rumah Terapi-00011900+5-6281779578317</v>
      </c>
      <c r="Y684" s="40"/>
      <c r="Z684" s="40"/>
      <c r="AA684" s="23" t="str">
        <v>https://wa.me/6281779578317</v>
      </c>
      <c r="AB684" s="28"/>
      <c r="AC684" s="28"/>
      <c r="AD684" s="28"/>
      <c r="AE684" s="28"/>
      <c r="AF684" s="29"/>
      <c r="AG684" s="29"/>
    </row>
    <row r="685" spans="1:33" ht="15.75" customHeight="1">
      <c r="A685" s="32" t="s">
        <v>196</v>
      </c>
      <c r="B685" s="33">
        <v>691</v>
      </c>
      <c r="C685" s="34" t="s">
        <v>4360</v>
      </c>
      <c r="D685" s="35">
        <v>46044</v>
      </c>
      <c r="E685" s="43">
        <v>45887</v>
      </c>
      <c r="F685" s="32" t="s">
        <v>3792</v>
      </c>
      <c r="G685" s="32" t="s">
        <v>4361</v>
      </c>
      <c r="H685" s="32" t="s">
        <v>4362</v>
      </c>
      <c r="I685" s="36" t="s">
        <v>3795</v>
      </c>
      <c r="J685" s="52"/>
      <c r="K685" s="32" t="s">
        <v>3796</v>
      </c>
      <c r="L685" s="32">
        <v>38</v>
      </c>
      <c r="M685" s="32" t="s">
        <v>38</v>
      </c>
      <c r="N685" s="33">
        <v>5</v>
      </c>
      <c r="O685" s="35">
        <v>46046</v>
      </c>
      <c r="P685" s="35">
        <v>46050</v>
      </c>
      <c r="Q685" s="37"/>
      <c r="R685" s="38"/>
      <c r="S685" s="33"/>
      <c r="T685" s="39">
        <v>197000</v>
      </c>
      <c r="U685" s="40" t="s">
        <v>61</v>
      </c>
      <c r="V685" s="41"/>
      <c r="W685" s="42" t="str">
        <f ca="1">IFERROR(__xludf.DUMMYFUNCTION("""COMPUTED_VALUE"""),"rokim almunium")</f>
        <v>rokim almunium</v>
      </c>
      <c r="X685" s="42" t="str">
        <f ca="1"/>
        <v>ON-rokim almunium-00011900+5-6285100570275</v>
      </c>
      <c r="Y685" s="40" t="s">
        <v>293</v>
      </c>
      <c r="Z685" s="40" t="s">
        <v>1057</v>
      </c>
      <c r="AA685" s="23" t="str">
        <v>https://wa.me/6285100570275</v>
      </c>
      <c r="AB685" s="28" t="s">
        <v>4363</v>
      </c>
      <c r="AC685" s="28"/>
      <c r="AD685" s="28" t="s">
        <v>690</v>
      </c>
      <c r="AE685" s="28"/>
      <c r="AF685" s="29">
        <v>45890</v>
      </c>
      <c r="AG685" s="29"/>
    </row>
    <row r="686" spans="1:33" ht="15.75" customHeight="1">
      <c r="A686" s="32" t="s">
        <v>196</v>
      </c>
      <c r="B686" s="33">
        <v>692</v>
      </c>
      <c r="C686" s="34" t="s">
        <v>4364</v>
      </c>
      <c r="D686" s="35">
        <v>45888.380066724538</v>
      </c>
      <c r="E686" s="43">
        <v>45888</v>
      </c>
      <c r="F686" s="32" t="s">
        <v>4365</v>
      </c>
      <c r="G686" s="32" t="s">
        <v>4366</v>
      </c>
      <c r="H686" s="32" t="s">
        <v>2090</v>
      </c>
      <c r="I686" s="36" t="s">
        <v>4367</v>
      </c>
      <c r="J686" s="52"/>
      <c r="K686" s="32" t="s">
        <v>345</v>
      </c>
      <c r="L686" s="32" t="s">
        <v>92</v>
      </c>
      <c r="M686" s="32" t="s">
        <v>2032</v>
      </c>
      <c r="N686" s="33">
        <v>5</v>
      </c>
      <c r="O686" s="35">
        <v>45894</v>
      </c>
      <c r="P686" s="35">
        <v>45899</v>
      </c>
      <c r="Q686" s="37"/>
      <c r="R686" s="38"/>
      <c r="S686" s="33"/>
      <c r="T686" s="39">
        <v>197000</v>
      </c>
      <c r="U686" s="40" t="s">
        <v>61</v>
      </c>
      <c r="V686" s="41"/>
      <c r="W686" s="42" t="str">
        <f ca="1">IFERROR(__xludf.DUMMYFUNCTION("""COMPUTED_VALUE"""),"INTITOUR")</f>
        <v>INTITOUR</v>
      </c>
      <c r="X686" s="42" t="str">
        <f ca="1"/>
        <v>ON-INTITOUR-00011900+5-6287842913251</v>
      </c>
      <c r="Y686" s="40" t="s">
        <v>62</v>
      </c>
      <c r="Z686" s="40" t="s">
        <v>1880</v>
      </c>
      <c r="AA686" s="23" t="str">
        <v>https://wa.me/6287842913251</v>
      </c>
      <c r="AB686" s="28" t="s">
        <v>4368</v>
      </c>
      <c r="AC686" s="28"/>
      <c r="AD686" s="28" t="s">
        <v>690</v>
      </c>
      <c r="AE686" s="28"/>
      <c r="AF686" s="29">
        <v>45894</v>
      </c>
      <c r="AG686" s="29"/>
    </row>
    <row r="687" spans="1:33" ht="15.75" customHeight="1">
      <c r="A687" s="32" t="s">
        <v>196</v>
      </c>
      <c r="B687" s="33">
        <v>693</v>
      </c>
      <c r="C687" s="34" t="s">
        <v>4369</v>
      </c>
      <c r="D687" s="35">
        <v>45888.395250706017</v>
      </c>
      <c r="E687" s="43">
        <v>45888</v>
      </c>
      <c r="F687" s="32" t="s">
        <v>4370</v>
      </c>
      <c r="G687" s="32" t="s">
        <v>4371</v>
      </c>
      <c r="H687" s="32" t="s">
        <v>1030</v>
      </c>
      <c r="I687" s="36" t="s">
        <v>4372</v>
      </c>
      <c r="J687" s="52"/>
      <c r="K687" s="32" t="s">
        <v>4373</v>
      </c>
      <c r="L687" s="32" t="s">
        <v>4374</v>
      </c>
      <c r="M687" s="32" t="s">
        <v>60</v>
      </c>
      <c r="N687" s="33">
        <v>5</v>
      </c>
      <c r="O687" s="35"/>
      <c r="P687" s="35"/>
      <c r="Q687" s="37"/>
      <c r="R687" s="38"/>
      <c r="S687" s="33"/>
      <c r="T687" s="39">
        <v>197000</v>
      </c>
      <c r="U687" s="40" t="s">
        <v>61</v>
      </c>
      <c r="V687" s="41"/>
      <c r="W687" s="42" t="str">
        <f ca="1">IFERROR(__xludf.DUMMYFUNCTION("""COMPUTED_VALUE"""),"Jari Jempol")</f>
        <v>Jari Jempol</v>
      </c>
      <c r="X687" s="42" t="str">
        <f ca="1"/>
        <v>ON-Jari Jempol-00011900+5-6285642368174</v>
      </c>
      <c r="Y687" s="40" t="s">
        <v>62</v>
      </c>
      <c r="Z687" s="40" t="s">
        <v>639</v>
      </c>
      <c r="AA687" s="23" t="str">
        <v>https://wa.me/6285642368174</v>
      </c>
      <c r="AB687" s="28" t="s">
        <v>4375</v>
      </c>
      <c r="AC687" s="28"/>
      <c r="AD687" s="28" t="s">
        <v>690</v>
      </c>
      <c r="AE687" s="28"/>
      <c r="AF687" s="29">
        <v>45895</v>
      </c>
      <c r="AG687" s="29"/>
    </row>
    <row r="688" spans="1:33" ht="15.75" customHeight="1">
      <c r="A688" s="32" t="s">
        <v>196</v>
      </c>
      <c r="B688" s="33">
        <v>694</v>
      </c>
      <c r="C688" s="34" t="s">
        <v>4376</v>
      </c>
      <c r="D688" s="35">
        <v>45888.408717615741</v>
      </c>
      <c r="E688" s="43">
        <v>45888</v>
      </c>
      <c r="F688" s="32" t="s">
        <v>4377</v>
      </c>
      <c r="G688" s="32" t="s">
        <v>4378</v>
      </c>
      <c r="H688" s="32" t="s">
        <v>4379</v>
      </c>
      <c r="I688" s="36" t="s">
        <v>4380</v>
      </c>
      <c r="J688" s="52"/>
      <c r="K688" s="32" t="s">
        <v>4381</v>
      </c>
      <c r="L688" s="32" t="s">
        <v>4382</v>
      </c>
      <c r="M688" s="32" t="s">
        <v>205</v>
      </c>
      <c r="N688" s="33">
        <v>5</v>
      </c>
      <c r="O688" s="35"/>
      <c r="P688" s="35"/>
      <c r="Q688" s="37"/>
      <c r="R688" s="38"/>
      <c r="S688" s="33"/>
      <c r="T688" s="39">
        <v>197000</v>
      </c>
      <c r="U688" s="40" t="s">
        <v>61</v>
      </c>
      <c r="V688" s="41"/>
      <c r="W688" s="42" t="str">
        <f ca="1">IFERROR(__xludf.DUMMYFUNCTION("""COMPUTED_VALUE"""),"EFGHAN MASSAGE")</f>
        <v>EFGHAN MASSAGE</v>
      </c>
      <c r="X688" s="42" t="str">
        <f ca="1"/>
        <v>ON-EFGHAN MASSAGE-00011900+5-62082287715351</v>
      </c>
      <c r="Y688" s="40" t="s">
        <v>62</v>
      </c>
      <c r="Z688" s="40" t="s">
        <v>639</v>
      </c>
      <c r="AA688" s="23" t="str">
        <v>https://wa.me/62082287715351</v>
      </c>
      <c r="AB688" s="28" t="s">
        <v>4383</v>
      </c>
      <c r="AC688" s="28"/>
      <c r="AD688" s="28" t="s">
        <v>690</v>
      </c>
      <c r="AE688" s="28"/>
      <c r="AF688" s="29">
        <v>45891</v>
      </c>
      <c r="AG688" s="29"/>
    </row>
    <row r="689" spans="1:33" ht="15.75" customHeight="1">
      <c r="A689" s="32" t="s">
        <v>196</v>
      </c>
      <c r="B689" s="33">
        <v>695</v>
      </c>
      <c r="C689" s="34" t="s">
        <v>4384</v>
      </c>
      <c r="D689" s="35">
        <v>45888.433922962962</v>
      </c>
      <c r="E689" s="43">
        <v>45888</v>
      </c>
      <c r="F689" s="32" t="s">
        <v>4385</v>
      </c>
      <c r="G689" s="32" t="s">
        <v>4386</v>
      </c>
      <c r="H689" s="32" t="s">
        <v>4387</v>
      </c>
      <c r="I689" s="36" t="s">
        <v>4388</v>
      </c>
      <c r="J689" s="52"/>
      <c r="K689" s="32" t="s">
        <v>4389</v>
      </c>
      <c r="L689" s="32" t="s">
        <v>4390</v>
      </c>
      <c r="M689" s="32" t="s">
        <v>249</v>
      </c>
      <c r="N689" s="33">
        <v>30</v>
      </c>
      <c r="O689" s="35"/>
      <c r="P689" s="35"/>
      <c r="Q689" s="37"/>
      <c r="R689" s="38"/>
      <c r="S689" s="33"/>
      <c r="T689" s="39">
        <v>1000000</v>
      </c>
      <c r="U689" s="40" t="s">
        <v>61</v>
      </c>
      <c r="V689" s="41"/>
      <c r="W689" s="42" t="str">
        <f ca="1">IFERROR(__xludf.DUMMYFUNCTION("""COMPUTED_VALUE"""),"Jatisari Transport")</f>
        <v>Jatisari Transport</v>
      </c>
      <c r="X689" s="42" t="str">
        <f ca="1"/>
        <v>ON-Jatisari Transport-00011900+30-62818533354</v>
      </c>
      <c r="Y689" s="40" t="s">
        <v>62</v>
      </c>
      <c r="Z689" s="40" t="s">
        <v>1880</v>
      </c>
      <c r="AA689" s="23" t="str">
        <v>https://wa.me/62818533354</v>
      </c>
      <c r="AB689" s="28" t="s">
        <v>4391</v>
      </c>
      <c r="AC689" s="28"/>
      <c r="AD689" s="28" t="s">
        <v>690</v>
      </c>
      <c r="AE689" s="28"/>
      <c r="AF689" s="29">
        <v>45898</v>
      </c>
      <c r="AG689" s="29"/>
    </row>
    <row r="690" spans="1:33" ht="15.75" customHeight="1">
      <c r="A690" s="32" t="s">
        <v>196</v>
      </c>
      <c r="B690" s="33">
        <v>696</v>
      </c>
      <c r="C690" s="34" t="s">
        <v>4392</v>
      </c>
      <c r="D690" s="35">
        <v>45888.535713391204</v>
      </c>
      <c r="E690" s="43">
        <v>45888</v>
      </c>
      <c r="F690" s="32" t="s">
        <v>4393</v>
      </c>
      <c r="G690" s="32" t="s">
        <v>4394</v>
      </c>
      <c r="H690" s="32" t="s">
        <v>4395</v>
      </c>
      <c r="I690" s="36" t="s">
        <v>4396</v>
      </c>
      <c r="J690" s="52"/>
      <c r="K690" s="32" t="s">
        <v>4397</v>
      </c>
      <c r="L690" s="32" t="s">
        <v>4398</v>
      </c>
      <c r="M690" s="32" t="s">
        <v>60</v>
      </c>
      <c r="N690" s="33">
        <v>5</v>
      </c>
      <c r="O690" s="35"/>
      <c r="P690" s="35"/>
      <c r="Q690" s="37"/>
      <c r="R690" s="38"/>
      <c r="S690" s="33"/>
      <c r="T690" s="39">
        <v>197000</v>
      </c>
      <c r="U690" s="40" t="s">
        <v>61</v>
      </c>
      <c r="V690" s="41"/>
      <c r="W690" s="42" t="str">
        <f ca="1">IFERROR(__xludf.DUMMYFUNCTION("""COMPUTED_VALUE"""),"Sumber Semangat")</f>
        <v>Sumber Semangat</v>
      </c>
      <c r="X690" s="42" t="str">
        <f ca="1"/>
        <v>ON-Sumber Semangat-00011900+5-6289667480162</v>
      </c>
      <c r="Y690" s="40" t="s">
        <v>62</v>
      </c>
      <c r="Z690" s="40" t="s">
        <v>294</v>
      </c>
      <c r="AA690" s="23" t="str">
        <v>https://wa.me/6289667480162</v>
      </c>
      <c r="AB690" s="28" t="s">
        <v>4399</v>
      </c>
      <c r="AC690" s="28"/>
      <c r="AD690" s="28" t="s">
        <v>690</v>
      </c>
      <c r="AE690" s="28"/>
      <c r="AF690" s="29">
        <v>45891</v>
      </c>
      <c r="AG690" s="29"/>
    </row>
    <row r="691" spans="1:33" ht="15.75" customHeight="1">
      <c r="A691" s="32" t="s">
        <v>196</v>
      </c>
      <c r="B691" s="33">
        <v>697</v>
      </c>
      <c r="C691" s="34" t="s">
        <v>4400</v>
      </c>
      <c r="D691" s="35">
        <v>45888.575551122689</v>
      </c>
      <c r="E691" s="43">
        <v>45888</v>
      </c>
      <c r="F691" s="32" t="s">
        <v>1891</v>
      </c>
      <c r="G691" s="32" t="s">
        <v>4401</v>
      </c>
      <c r="H691" s="32" t="s">
        <v>4402</v>
      </c>
      <c r="I691" s="36" t="s">
        <v>1894</v>
      </c>
      <c r="J691" s="52"/>
      <c r="K691" s="32" t="s">
        <v>4403</v>
      </c>
      <c r="L691" s="32" t="s">
        <v>1474</v>
      </c>
      <c r="M691" s="32" t="s">
        <v>60</v>
      </c>
      <c r="N691" s="33">
        <v>10</v>
      </c>
      <c r="O691" s="35"/>
      <c r="P691" s="35"/>
      <c r="Q691" s="37"/>
      <c r="R691" s="38"/>
      <c r="S691" s="33"/>
      <c r="T691" s="39">
        <v>375000</v>
      </c>
      <c r="U691" s="40" t="s">
        <v>61</v>
      </c>
      <c r="V691" s="41"/>
      <c r="W691" s="42" t="str">
        <f ca="1">IFERROR(__xludf.DUMMYFUNCTION("""COMPUTED_VALUE"""),"CV Sun")</f>
        <v>CV Sun</v>
      </c>
      <c r="X691" s="42" t="str">
        <f ca="1"/>
        <v>ON-CV Sun-00011900+10-6282111180648</v>
      </c>
      <c r="Y691" s="40" t="s">
        <v>293</v>
      </c>
      <c r="Z691" s="40" t="s">
        <v>1057</v>
      </c>
      <c r="AA691" s="23" t="str">
        <v>https://wa.me/6282111180648</v>
      </c>
      <c r="AB691" s="28" t="s">
        <v>4404</v>
      </c>
      <c r="AC691" s="28"/>
      <c r="AD691" s="28" t="s">
        <v>690</v>
      </c>
      <c r="AE691" s="28"/>
      <c r="AF691" s="29">
        <v>45891</v>
      </c>
      <c r="AG691" s="29"/>
    </row>
    <row r="692" spans="1:33" ht="15.75" customHeight="1">
      <c r="A692" s="32" t="s">
        <v>52</v>
      </c>
      <c r="B692" s="33">
        <v>698</v>
      </c>
      <c r="C692" s="34" t="s">
        <v>4405</v>
      </c>
      <c r="D692" s="35">
        <v>45888.774480196764</v>
      </c>
      <c r="E692" s="43">
        <v>45888</v>
      </c>
      <c r="F692" s="32" t="s">
        <v>3354</v>
      </c>
      <c r="G692" s="32" t="s">
        <v>3355</v>
      </c>
      <c r="H692" s="32" t="s">
        <v>3356</v>
      </c>
      <c r="I692" s="36" t="s">
        <v>3357</v>
      </c>
      <c r="J692" s="52" t="s">
        <v>4406</v>
      </c>
      <c r="K692" s="32" t="s">
        <v>3358</v>
      </c>
      <c r="L692" s="32" t="s">
        <v>2244</v>
      </c>
      <c r="M692" s="32" t="s">
        <v>249</v>
      </c>
      <c r="N692" s="33">
        <v>5</v>
      </c>
      <c r="O692" s="35"/>
      <c r="P692" s="35"/>
      <c r="Q692" s="37"/>
      <c r="R692" s="38"/>
      <c r="S692" s="33"/>
      <c r="T692" s="39">
        <v>197000</v>
      </c>
      <c r="U692" s="40" t="s">
        <v>1774</v>
      </c>
      <c r="V692" s="41"/>
      <c r="W692" s="42" t="str">
        <f ca="1">IFERROR(__xludf.DUMMYFUNCTION("""COMPUTED_VALUE"""),"Pijat Kesehatan")</f>
        <v>Pijat Kesehatan</v>
      </c>
      <c r="X692" s="42" t="str">
        <f ca="1"/>
        <v>ON-Pijat Kesehatan-00011900+5-6288802749485</v>
      </c>
      <c r="Y692" s="40"/>
      <c r="Z692" s="40"/>
      <c r="AA692" s="23" t="str">
        <v>https://wa.me/6288802749485</v>
      </c>
      <c r="AB692" s="28"/>
      <c r="AC692" s="28"/>
      <c r="AD692" s="28"/>
      <c r="AE692" s="28"/>
      <c r="AF692" s="29"/>
      <c r="AG692" s="29"/>
    </row>
    <row r="693" spans="1:33" ht="15.75" customHeight="1">
      <c r="A693" s="32" t="s">
        <v>52</v>
      </c>
      <c r="B693" s="33">
        <v>699</v>
      </c>
      <c r="C693" s="34" t="s">
        <v>4407</v>
      </c>
      <c r="D693" s="35">
        <v>45888.775847673613</v>
      </c>
      <c r="E693" s="43">
        <v>45888</v>
      </c>
      <c r="F693" s="32" t="s">
        <v>513</v>
      </c>
      <c r="G693" s="32" t="s">
        <v>514</v>
      </c>
      <c r="H693" s="32" t="s">
        <v>515</v>
      </c>
      <c r="I693" s="36" t="s">
        <v>516</v>
      </c>
      <c r="J693" s="52"/>
      <c r="K693" s="32" t="s">
        <v>517</v>
      </c>
      <c r="L693" s="32" t="s">
        <v>518</v>
      </c>
      <c r="M693" s="32" t="s">
        <v>131</v>
      </c>
      <c r="N693" s="33">
        <v>5</v>
      </c>
      <c r="O693" s="35"/>
      <c r="P693" s="35"/>
      <c r="Q693" s="37"/>
      <c r="R693" s="38"/>
      <c r="S693" s="33"/>
      <c r="T693" s="39">
        <v>197000</v>
      </c>
      <c r="U693" s="40" t="s">
        <v>61</v>
      </c>
      <c r="V693" s="41"/>
      <c r="W693" s="42" t="str">
        <f ca="1">IFERROR(__xludf.DUMMYFUNCTION("""COMPUTED_VALUE"""),"Bengkel Las")</f>
        <v>Bengkel Las</v>
      </c>
      <c r="X693" s="42" t="str">
        <f ca="1"/>
        <v>ON-Bengkel Las-00011900+5-6282393168368</v>
      </c>
      <c r="Y693" s="40"/>
      <c r="Z693" s="40"/>
      <c r="AA693" s="23" t="str">
        <v>https://wa.me/6282393168368</v>
      </c>
      <c r="AB693" s="28"/>
      <c r="AC693" s="28"/>
      <c r="AD693" s="28"/>
      <c r="AE693" s="28"/>
      <c r="AF693" s="29"/>
      <c r="AG693" s="29"/>
    </row>
    <row r="694" spans="1:33" ht="15.75" customHeight="1">
      <c r="A694" s="32" t="s">
        <v>196</v>
      </c>
      <c r="B694" s="33">
        <v>700</v>
      </c>
      <c r="C694" s="34" t="s">
        <v>4408</v>
      </c>
      <c r="D694" s="35">
        <v>45888.793355173606</v>
      </c>
      <c r="E694" s="43">
        <v>45888</v>
      </c>
      <c r="F694" s="32" t="s">
        <v>4409</v>
      </c>
      <c r="G694" s="32" t="s">
        <v>4410</v>
      </c>
      <c r="H694" s="32" t="s">
        <v>4411</v>
      </c>
      <c r="I694" s="36" t="s">
        <v>4412</v>
      </c>
      <c r="J694" s="52"/>
      <c r="K694" s="32" t="s">
        <v>4413</v>
      </c>
      <c r="L694" s="32" t="s">
        <v>4414</v>
      </c>
      <c r="M694" s="32" t="s">
        <v>60</v>
      </c>
      <c r="N694" s="33">
        <v>14</v>
      </c>
      <c r="O694" s="35"/>
      <c r="P694" s="35"/>
      <c r="Q694" s="37"/>
      <c r="R694" s="38"/>
      <c r="S694" s="33"/>
      <c r="T694" s="39">
        <v>550000</v>
      </c>
      <c r="U694" s="40" t="s">
        <v>61</v>
      </c>
      <c r="V694" s="41"/>
      <c r="W694" s="42" t="str">
        <f ca="1">IFERROR(__xludf.DUMMYFUNCTION("""COMPUTED_VALUE"""),"Dude Tour")</f>
        <v>Dude Tour</v>
      </c>
      <c r="X694" s="42" t="str">
        <f ca="1"/>
        <v>ON-Dude Tour-00011900+14-6287777304498</v>
      </c>
      <c r="Y694" s="40" t="s">
        <v>62</v>
      </c>
      <c r="Z694" s="40" t="s">
        <v>1880</v>
      </c>
      <c r="AA694" s="23" t="str">
        <v>https://wa.me/6287777304498</v>
      </c>
      <c r="AB694" s="28" t="s">
        <v>4415</v>
      </c>
      <c r="AC694" s="28"/>
      <c r="AD694" s="28" t="s">
        <v>690</v>
      </c>
      <c r="AE694" s="28"/>
      <c r="AF694" s="29">
        <v>45895</v>
      </c>
      <c r="AG694" s="29"/>
    </row>
    <row r="695" spans="1:33" ht="15.75" customHeight="1">
      <c r="A695" s="32" t="s">
        <v>196</v>
      </c>
      <c r="B695" s="33">
        <v>701</v>
      </c>
      <c r="C695" s="34" t="s">
        <v>4416</v>
      </c>
      <c r="D695" s="35">
        <v>45888.848421840274</v>
      </c>
      <c r="E695" s="43">
        <v>45888</v>
      </c>
      <c r="F695" s="32" t="s">
        <v>4417</v>
      </c>
      <c r="G695" s="32" t="s">
        <v>4418</v>
      </c>
      <c r="H695" s="32" t="s">
        <v>4419</v>
      </c>
      <c r="I695" s="36" t="s">
        <v>4420</v>
      </c>
      <c r="J695" s="52"/>
      <c r="K695" s="32" t="s">
        <v>4421</v>
      </c>
      <c r="L695" s="32" t="s">
        <v>3079</v>
      </c>
      <c r="M695" s="32" t="s">
        <v>249</v>
      </c>
      <c r="N695" s="33">
        <v>5</v>
      </c>
      <c r="O695" s="35">
        <v>45891</v>
      </c>
      <c r="P695" s="35">
        <v>45896</v>
      </c>
      <c r="Q695" s="37"/>
      <c r="R695" s="38"/>
      <c r="S695" s="33"/>
      <c r="T695" s="39">
        <v>150000</v>
      </c>
      <c r="U695" s="40" t="s">
        <v>1774</v>
      </c>
      <c r="V695" s="41"/>
      <c r="W695" s="42" t="str">
        <f ca="1">IFERROR(__xludf.DUMMYFUNCTION("""COMPUTED_VALUE"""),"PT lima")</f>
        <v>PT lima</v>
      </c>
      <c r="X695" s="42" t="str">
        <f ca="1"/>
        <v>ON-PT lima-00011900+5-6282171933337</v>
      </c>
      <c r="Y695" s="40" t="s">
        <v>293</v>
      </c>
      <c r="Z695" s="40" t="s">
        <v>1057</v>
      </c>
      <c r="AA695" s="23" t="str">
        <v>https://wa.me/6282171933337</v>
      </c>
      <c r="AB695" s="28" t="s">
        <v>4422</v>
      </c>
      <c r="AC695" s="28"/>
      <c r="AD695" s="28" t="s">
        <v>690</v>
      </c>
      <c r="AE695" s="28"/>
      <c r="AF695" s="29">
        <v>45891</v>
      </c>
      <c r="AG695" s="29"/>
    </row>
    <row r="696" spans="1:33" ht="15.75" customHeight="1">
      <c r="A696" s="32" t="s">
        <v>196</v>
      </c>
      <c r="B696" s="33">
        <v>702</v>
      </c>
      <c r="C696" s="34" t="s">
        <v>4423</v>
      </c>
      <c r="D696" s="35">
        <v>45888.867318912038</v>
      </c>
      <c r="E696" s="43">
        <v>45888</v>
      </c>
      <c r="F696" s="32" t="s">
        <v>4424</v>
      </c>
      <c r="G696" s="32" t="s">
        <v>4425</v>
      </c>
      <c r="H696" s="32" t="s">
        <v>4426</v>
      </c>
      <c r="I696" s="36" t="s">
        <v>4427</v>
      </c>
      <c r="J696" s="52"/>
      <c r="K696" s="32" t="s">
        <v>4428</v>
      </c>
      <c r="L696" s="32" t="s">
        <v>3965</v>
      </c>
      <c r="M696" s="32" t="s">
        <v>1534</v>
      </c>
      <c r="N696" s="33">
        <v>5</v>
      </c>
      <c r="O696" s="35"/>
      <c r="P696" s="35"/>
      <c r="Q696" s="37"/>
      <c r="R696" s="38"/>
      <c r="S696" s="33"/>
      <c r="T696" s="39">
        <v>197000</v>
      </c>
      <c r="U696" s="40" t="s">
        <v>1229</v>
      </c>
      <c r="V696" s="41"/>
      <c r="W696" s="42" t="str">
        <f ca="1">IFERROR(__xludf.DUMMYFUNCTION("""COMPUTED_VALUE"""),"RAFI'S MASSUEER")</f>
        <v>RAFI'S MASSUEER</v>
      </c>
      <c r="X696" s="42" t="str">
        <f ca="1"/>
        <v>ON-RAFI'S MASSUEER-00011900+5-f</v>
      </c>
      <c r="Y696" s="40" t="s">
        <v>62</v>
      </c>
      <c r="Z696" s="40" t="s">
        <v>639</v>
      </c>
      <c r="AA696" s="23" t="str">
        <v>https://wa.me/f</v>
      </c>
      <c r="AB696" s="28" t="s">
        <v>4429</v>
      </c>
      <c r="AC696" s="28"/>
      <c r="AD696" s="28" t="s">
        <v>690</v>
      </c>
      <c r="AE696" s="28"/>
      <c r="AF696" s="29">
        <v>45891</v>
      </c>
      <c r="AG696" s="29"/>
    </row>
    <row r="697" spans="1:33" ht="15.75" customHeight="1">
      <c r="A697" s="32" t="s">
        <v>52</v>
      </c>
      <c r="B697" s="33">
        <v>703</v>
      </c>
      <c r="C697" s="34" t="s">
        <v>4430</v>
      </c>
      <c r="D697" s="35">
        <v>45888.881081388885</v>
      </c>
      <c r="E697" s="43">
        <v>45888</v>
      </c>
      <c r="F697" s="32" t="s">
        <v>3533</v>
      </c>
      <c r="G697" s="32" t="s">
        <v>3534</v>
      </c>
      <c r="H697" s="32" t="s">
        <v>3535</v>
      </c>
      <c r="I697" s="36" t="s">
        <v>3536</v>
      </c>
      <c r="J697" s="52"/>
      <c r="K697" s="32" t="s">
        <v>3537</v>
      </c>
      <c r="L697" s="32" t="s">
        <v>3538</v>
      </c>
      <c r="M697" s="32" t="s">
        <v>382</v>
      </c>
      <c r="N697" s="33">
        <v>10</v>
      </c>
      <c r="O697" s="35"/>
      <c r="P697" s="35"/>
      <c r="Q697" s="37"/>
      <c r="R697" s="38"/>
      <c r="S697" s="33"/>
      <c r="T697" s="39">
        <v>375000</v>
      </c>
      <c r="U697" s="40" t="s">
        <v>115</v>
      </c>
      <c r="V697" s="41"/>
      <c r="W697" s="42" t="str">
        <f ca="1">IFERROR(__xludf.DUMMYFUNCTION("""COMPUTED_VALUE"""),"KHARISMA AUTO")</f>
        <v>KHARISMA AUTO</v>
      </c>
      <c r="X697" s="42" t="str">
        <f ca="1"/>
        <v>ON-KHARISMA AUTO-00011900+10-6282129364133</v>
      </c>
      <c r="Y697" s="40"/>
      <c r="Z697" s="40"/>
      <c r="AA697" s="23" t="str">
        <v>https://wa.me/6282129364133</v>
      </c>
      <c r="AB697" s="28"/>
      <c r="AC697" s="28"/>
      <c r="AD697" s="28"/>
      <c r="AE697" s="28"/>
      <c r="AF697" s="29"/>
      <c r="AG697" s="29"/>
    </row>
    <row r="698" spans="1:33" ht="15.75" customHeight="1">
      <c r="A698" s="32" t="s">
        <v>52</v>
      </c>
      <c r="B698" s="33">
        <v>704</v>
      </c>
      <c r="C698" s="34" t="s">
        <v>4431</v>
      </c>
      <c r="D698" s="35">
        <v>45888.881587222219</v>
      </c>
      <c r="E698" s="43">
        <v>45888</v>
      </c>
      <c r="F698" s="32" t="s">
        <v>3036</v>
      </c>
      <c r="G698" s="32" t="s">
        <v>3037</v>
      </c>
      <c r="H698" s="32" t="s">
        <v>3038</v>
      </c>
      <c r="I698" s="36" t="s">
        <v>3039</v>
      </c>
      <c r="J698" s="52" t="s">
        <v>3040</v>
      </c>
      <c r="K698" s="32" t="s">
        <v>3041</v>
      </c>
      <c r="L698" s="32" t="s">
        <v>1628</v>
      </c>
      <c r="M698" s="32" t="s">
        <v>382</v>
      </c>
      <c r="N698" s="33">
        <v>10</v>
      </c>
      <c r="O698" s="35"/>
      <c r="P698" s="35"/>
      <c r="Q698" s="37"/>
      <c r="R698" s="38"/>
      <c r="S698" s="33"/>
      <c r="T698" s="39">
        <v>375000</v>
      </c>
      <c r="U698" s="40" t="s">
        <v>115</v>
      </c>
      <c r="V698" s="41"/>
      <c r="W698" s="42" t="str">
        <f ca="1">IFERROR(__xludf.DUMMYFUNCTION("""COMPUTED_VALUE"""),"KHARISMA JAYA")</f>
        <v>KHARISMA JAYA</v>
      </c>
      <c r="X698" s="42" t="str">
        <f ca="1"/>
        <v>ON-KHARISMA JAYA-00011900+10-6287790276733</v>
      </c>
      <c r="Y698" s="40"/>
      <c r="Z698" s="40"/>
      <c r="AA698" s="23" t="str">
        <v>https://wa.me/6287790276733</v>
      </c>
      <c r="AB698" s="28"/>
      <c r="AC698" s="28"/>
      <c r="AD698" s="28"/>
      <c r="AE698" s="28"/>
      <c r="AF698" s="29"/>
      <c r="AG698" s="29"/>
    </row>
    <row r="699" spans="1:33" ht="15.75" customHeight="1">
      <c r="A699" s="32" t="s">
        <v>196</v>
      </c>
      <c r="B699" s="33">
        <v>705</v>
      </c>
      <c r="C699" s="34" t="s">
        <v>4432</v>
      </c>
      <c r="D699" s="35">
        <v>45889.401885277781</v>
      </c>
      <c r="E699" s="43">
        <v>45889</v>
      </c>
      <c r="F699" s="32" t="s">
        <v>4433</v>
      </c>
      <c r="G699" s="32" t="s">
        <v>4434</v>
      </c>
      <c r="H699" s="32" t="s">
        <v>1522</v>
      </c>
      <c r="I699" s="36" t="s">
        <v>4435</v>
      </c>
      <c r="J699" s="52"/>
      <c r="K699" s="32" t="s">
        <v>4436</v>
      </c>
      <c r="L699" s="32" t="s">
        <v>92</v>
      </c>
      <c r="M699" s="32" t="s">
        <v>60</v>
      </c>
      <c r="N699" s="33">
        <v>5</v>
      </c>
      <c r="O699" s="35">
        <v>45892</v>
      </c>
      <c r="P699" s="35">
        <v>45897</v>
      </c>
      <c r="Q699" s="37"/>
      <c r="R699" s="38"/>
      <c r="S699" s="33"/>
      <c r="T699" s="39">
        <v>197000</v>
      </c>
      <c r="U699" s="40" t="s">
        <v>61</v>
      </c>
      <c r="V699" s="41"/>
      <c r="W699" s="42" t="str">
        <f ca="1">IFERROR(__xludf.DUMMYFUNCTION("""COMPUTED_VALUE"""),"MASSAGE 88")</f>
        <v>MASSAGE 88</v>
      </c>
      <c r="X699" s="42" t="str">
        <f ca="1"/>
        <v>ON-MASSAGE 88-00011900+5-6281334257715</v>
      </c>
      <c r="Y699" s="40" t="s">
        <v>62</v>
      </c>
      <c r="Z699" s="40" t="s">
        <v>639</v>
      </c>
      <c r="AA699" s="23" t="str">
        <v>https://wa.me/6281334257715</v>
      </c>
      <c r="AB699" s="28" t="s">
        <v>4437</v>
      </c>
      <c r="AC699" s="28"/>
      <c r="AD699" s="28" t="s">
        <v>690</v>
      </c>
      <c r="AE699" s="28"/>
      <c r="AF699" s="29">
        <v>45892</v>
      </c>
      <c r="AG699" s="29"/>
    </row>
    <row r="700" spans="1:33" ht="15.75" customHeight="1">
      <c r="A700" s="32" t="s">
        <v>196</v>
      </c>
      <c r="B700" s="33">
        <v>706</v>
      </c>
      <c r="C700" s="34" t="s">
        <v>4438</v>
      </c>
      <c r="D700" s="35">
        <v>45889.447460219904</v>
      </c>
      <c r="E700" s="43">
        <v>45889</v>
      </c>
      <c r="F700" s="32" t="s">
        <v>1149</v>
      </c>
      <c r="G700" s="32" t="s">
        <v>1150</v>
      </c>
      <c r="H700" s="32" t="s">
        <v>1151</v>
      </c>
      <c r="I700" s="36" t="s">
        <v>1152</v>
      </c>
      <c r="J700" s="52" t="s">
        <v>4439</v>
      </c>
      <c r="K700" s="32" t="s">
        <v>1154</v>
      </c>
      <c r="L700" s="32" t="s">
        <v>2389</v>
      </c>
      <c r="M700" s="32" t="s">
        <v>382</v>
      </c>
      <c r="N700" s="33">
        <v>5</v>
      </c>
      <c r="O700" s="35"/>
      <c r="P700" s="35"/>
      <c r="Q700" s="37"/>
      <c r="R700" s="38"/>
      <c r="S700" s="33"/>
      <c r="T700" s="39">
        <v>197000</v>
      </c>
      <c r="U700" s="40" t="s">
        <v>61</v>
      </c>
      <c r="V700" s="41"/>
      <c r="W700" s="42" t="str">
        <f ca="1">IFERROR(__xludf.DUMMYFUNCTION("""COMPUTED_VALUE"""),"MULIA KUBAH")</f>
        <v>MULIA KUBAH</v>
      </c>
      <c r="X700" s="42" t="str">
        <f ca="1"/>
        <v>ON-MULIA KUBAH-00011900+5-6282365004117</v>
      </c>
      <c r="Y700" s="40" t="s">
        <v>293</v>
      </c>
      <c r="Z700" s="40" t="s">
        <v>1057</v>
      </c>
      <c r="AA700" s="23" t="str">
        <v>https://wa.me/6282365004117</v>
      </c>
      <c r="AB700" s="28" t="s">
        <v>4440</v>
      </c>
      <c r="AC700" s="28"/>
      <c r="AD700" s="28" t="s">
        <v>690</v>
      </c>
      <c r="AE700" s="28"/>
      <c r="AF700" s="29">
        <v>45892</v>
      </c>
      <c r="AG700" s="29"/>
    </row>
    <row r="701" spans="1:33" ht="15.75" customHeight="1">
      <c r="A701" s="32" t="s">
        <v>196</v>
      </c>
      <c r="B701" s="33">
        <v>707</v>
      </c>
      <c r="C701" s="34" t="s">
        <v>4441</v>
      </c>
      <c r="D701" s="35">
        <v>45889.714297060185</v>
      </c>
      <c r="E701" s="43">
        <v>45889</v>
      </c>
      <c r="F701" s="32" t="s">
        <v>3464</v>
      </c>
      <c r="G701" s="32" t="s">
        <v>3465</v>
      </c>
      <c r="H701" s="32" t="s">
        <v>3466</v>
      </c>
      <c r="I701" s="36" t="s">
        <v>3467</v>
      </c>
      <c r="J701" s="52"/>
      <c r="K701" s="32" t="s">
        <v>570</v>
      </c>
      <c r="L701" s="32" t="s">
        <v>679</v>
      </c>
      <c r="M701" s="32" t="s">
        <v>60</v>
      </c>
      <c r="N701" s="33">
        <v>7</v>
      </c>
      <c r="O701" s="35"/>
      <c r="P701" s="35"/>
      <c r="Q701" s="37"/>
      <c r="R701" s="38"/>
      <c r="S701" s="33"/>
      <c r="T701" s="39">
        <v>297000</v>
      </c>
      <c r="U701" s="40" t="s">
        <v>61</v>
      </c>
      <c r="V701" s="41"/>
      <c r="W701" s="42" t="str">
        <f ca="1">IFERROR(__xludf.DUMMYFUNCTION("""COMPUTED_VALUE"""),"Jibran Holiday")</f>
        <v>Jibran Holiday</v>
      </c>
      <c r="X701" s="42" t="str">
        <f ca="1"/>
        <v>ON-Jibran Holiday-00011900+7-6285920572002</v>
      </c>
      <c r="Y701" s="40" t="s">
        <v>62</v>
      </c>
      <c r="Z701" s="40" t="s">
        <v>1880</v>
      </c>
      <c r="AA701" s="23" t="str">
        <v>https://wa.me/6285920572002</v>
      </c>
      <c r="AB701" s="28" t="s">
        <v>4442</v>
      </c>
      <c r="AC701" s="28"/>
      <c r="AD701" s="28" t="s">
        <v>690</v>
      </c>
      <c r="AE701" s="28"/>
      <c r="AF701" s="29">
        <v>45894</v>
      </c>
      <c r="AG701" s="29"/>
    </row>
    <row r="702" spans="1:33" ht="15.75" customHeight="1">
      <c r="A702" s="32" t="s">
        <v>196</v>
      </c>
      <c r="B702" s="33">
        <v>708</v>
      </c>
      <c r="C702" s="34" t="s">
        <v>4443</v>
      </c>
      <c r="D702" s="35">
        <v>45889.717384675925</v>
      </c>
      <c r="E702" s="43">
        <v>45889</v>
      </c>
      <c r="F702" s="32" t="s">
        <v>4444</v>
      </c>
      <c r="G702" s="32" t="s">
        <v>4445</v>
      </c>
      <c r="H702" s="32" t="s">
        <v>4446</v>
      </c>
      <c r="I702" s="36" t="s">
        <v>4447</v>
      </c>
      <c r="J702" s="52"/>
      <c r="K702" s="32" t="s">
        <v>4448</v>
      </c>
      <c r="L702" s="32" t="s">
        <v>1474</v>
      </c>
      <c r="M702" s="32" t="s">
        <v>2032</v>
      </c>
      <c r="N702" s="33">
        <v>5</v>
      </c>
      <c r="O702" s="35"/>
      <c r="P702" s="35"/>
      <c r="Q702" s="37"/>
      <c r="R702" s="38"/>
      <c r="S702" s="33"/>
      <c r="T702" s="39">
        <v>197000</v>
      </c>
      <c r="U702" s="40" t="s">
        <v>61</v>
      </c>
      <c r="V702" s="41"/>
      <c r="W702" s="42" t="str">
        <f ca="1">IFERROR(__xludf.DUMMYFUNCTION("""COMPUTED_VALUE"""),"Raga Als")</f>
        <v>Raga Als</v>
      </c>
      <c r="X702" s="42" t="str">
        <f ca="1"/>
        <v>ON-Raga Als-00011900+5-6287821734079</v>
      </c>
      <c r="Y702" s="40" t="s">
        <v>62</v>
      </c>
      <c r="Z702" s="40" t="s">
        <v>1880</v>
      </c>
      <c r="AA702" s="23" t="str">
        <v>https://wa.me/6287821734079</v>
      </c>
      <c r="AB702" s="28" t="s">
        <v>4449</v>
      </c>
      <c r="AC702" s="28"/>
      <c r="AD702" s="28" t="s">
        <v>690</v>
      </c>
      <c r="AE702" s="28"/>
      <c r="AF702" s="29">
        <v>45892</v>
      </c>
      <c r="AG702" s="29"/>
    </row>
    <row r="703" spans="1:33" ht="15.75" customHeight="1">
      <c r="A703" s="32" t="s">
        <v>621</v>
      </c>
      <c r="B703" s="33">
        <v>709</v>
      </c>
      <c r="C703" s="34" t="s">
        <v>4450</v>
      </c>
      <c r="D703" s="35">
        <v>45889.72787584491</v>
      </c>
      <c r="E703" s="43">
        <v>45889</v>
      </c>
      <c r="F703" s="32" t="s">
        <v>1149</v>
      </c>
      <c r="G703" s="32" t="s">
        <v>1150</v>
      </c>
      <c r="H703" s="32" t="s">
        <v>1151</v>
      </c>
      <c r="I703" s="36" t="s">
        <v>1152</v>
      </c>
      <c r="J703" s="52" t="s">
        <v>4439</v>
      </c>
      <c r="K703" s="32" t="s">
        <v>1154</v>
      </c>
      <c r="L703" s="32" t="s">
        <v>2389</v>
      </c>
      <c r="M703" s="32" t="s">
        <v>726</v>
      </c>
      <c r="N703" s="33">
        <v>5</v>
      </c>
      <c r="O703" s="35"/>
      <c r="P703" s="35"/>
      <c r="Q703" s="37"/>
      <c r="R703" s="38"/>
      <c r="S703" s="33"/>
      <c r="T703" s="39">
        <v>197000</v>
      </c>
      <c r="U703" s="40" t="s">
        <v>61</v>
      </c>
      <c r="V703" s="41"/>
      <c r="W703" s="42" t="str">
        <f ca="1">IFERROR(__xludf.DUMMYFUNCTION("""COMPUTED_VALUE"""),"MULIA KUBAH")</f>
        <v>MULIA KUBAH</v>
      </c>
      <c r="X703" s="42" t="str">
        <f ca="1"/>
        <v>ON-MULIA KUBAH-00011900+5-6282365004117</v>
      </c>
      <c r="Y703" s="40"/>
      <c r="Z703" s="40"/>
      <c r="AA703" s="23" t="str">
        <v>https://wa.me/6282365004117</v>
      </c>
      <c r="AB703" s="28"/>
      <c r="AC703" s="28"/>
      <c r="AD703" s="28"/>
      <c r="AE703" s="28"/>
      <c r="AF703" s="29"/>
      <c r="AG703" s="29"/>
    </row>
    <row r="704" spans="1:33" ht="15.75" customHeight="1">
      <c r="A704" s="32" t="s">
        <v>52</v>
      </c>
      <c r="B704" s="33">
        <v>710</v>
      </c>
      <c r="C704" s="34" t="s">
        <v>4451</v>
      </c>
      <c r="D704" s="35">
        <v>45889.827554965275</v>
      </c>
      <c r="E704" s="43">
        <v>45889</v>
      </c>
      <c r="F704" s="32" t="s">
        <v>2479</v>
      </c>
      <c r="G704" s="32" t="s">
        <v>2480</v>
      </c>
      <c r="H704" s="32" t="s">
        <v>2481</v>
      </c>
      <c r="I704" s="36" t="s">
        <v>2482</v>
      </c>
      <c r="J704" s="52"/>
      <c r="K704" s="32" t="s">
        <v>2894</v>
      </c>
      <c r="L704" s="32" t="s">
        <v>1628</v>
      </c>
      <c r="M704" s="32" t="s">
        <v>60</v>
      </c>
      <c r="N704" s="33">
        <v>10</v>
      </c>
      <c r="O704" s="35"/>
      <c r="P704" s="35"/>
      <c r="Q704" s="37"/>
      <c r="R704" s="38"/>
      <c r="S704" s="33"/>
      <c r="T704" s="39">
        <v>375000</v>
      </c>
      <c r="U704" s="40" t="s">
        <v>115</v>
      </c>
      <c r="V704" s="41"/>
      <c r="W704" s="42" t="str">
        <f ca="1">IFERROR(__xludf.DUMMYFUNCTION("""COMPUTED_VALUE"""),"AURIGA KONTRAKTOR")</f>
        <v>AURIGA KONTRAKTOR</v>
      </c>
      <c r="X704" s="42" t="str">
        <f ca="1"/>
        <v>ON-AURIGA KONTRAKTOR-00011900+10-6287856230745</v>
      </c>
      <c r="Y704" s="40"/>
      <c r="Z704" s="40"/>
      <c r="AA704" s="23" t="str">
        <v>https://wa.me/6287856230745</v>
      </c>
      <c r="AB704" s="28"/>
      <c r="AC704" s="28"/>
      <c r="AD704" s="28"/>
      <c r="AE704" s="28"/>
      <c r="AF704" s="29"/>
      <c r="AG704" s="29"/>
    </row>
    <row r="705" spans="1:33" ht="15.75" customHeight="1">
      <c r="A705" s="32" t="s">
        <v>196</v>
      </c>
      <c r="B705" s="33">
        <v>711</v>
      </c>
      <c r="C705" s="34" t="s">
        <v>4452</v>
      </c>
      <c r="D705" s="35">
        <v>45889.853903888885</v>
      </c>
      <c r="E705" s="43">
        <v>45889</v>
      </c>
      <c r="F705" s="32" t="s">
        <v>4453</v>
      </c>
      <c r="G705" s="32" t="s">
        <v>4454</v>
      </c>
      <c r="H705" s="32" t="s">
        <v>4455</v>
      </c>
      <c r="I705" s="36" t="s">
        <v>4456</v>
      </c>
      <c r="J705" s="52"/>
      <c r="K705" s="32" t="s">
        <v>4457</v>
      </c>
      <c r="L705" s="32" t="s">
        <v>4253</v>
      </c>
      <c r="M705" s="32" t="s">
        <v>3788</v>
      </c>
      <c r="N705" s="33">
        <v>10</v>
      </c>
      <c r="O705" s="35"/>
      <c r="P705" s="35"/>
      <c r="Q705" s="37"/>
      <c r="R705" s="38"/>
      <c r="S705" s="33"/>
      <c r="T705" s="39">
        <v>375000</v>
      </c>
      <c r="U705" s="40" t="s">
        <v>1229</v>
      </c>
      <c r="V705" s="41"/>
      <c r="W705" s="42" t="str">
        <f ca="1">IFERROR(__xludf.DUMMYFUNCTION("""COMPUTED_VALUE"""),"Rizat project")</f>
        <v>Rizat project</v>
      </c>
      <c r="X705" s="42" t="str">
        <f ca="1"/>
        <v>ON-Rizat project-00011900+10-6282137097189</v>
      </c>
      <c r="Y705" s="40" t="s">
        <v>293</v>
      </c>
      <c r="Z705" s="40" t="s">
        <v>1057</v>
      </c>
      <c r="AA705" s="23" t="str">
        <v>https://wa.me/6282137097189</v>
      </c>
      <c r="AB705" s="28" t="s">
        <v>4458</v>
      </c>
      <c r="AC705" s="28"/>
      <c r="AD705" s="28" t="s">
        <v>690</v>
      </c>
      <c r="AE705" s="28"/>
      <c r="AF705" s="29">
        <v>45895</v>
      </c>
      <c r="AG705" s="29"/>
    </row>
    <row r="706" spans="1:33" ht="15.75" customHeight="1">
      <c r="A706" s="32" t="s">
        <v>196</v>
      </c>
      <c r="B706" s="33">
        <v>712</v>
      </c>
      <c r="C706" s="34" t="s">
        <v>4459</v>
      </c>
      <c r="D706" s="35">
        <v>45889.878257824079</v>
      </c>
      <c r="E706" s="43">
        <v>45889</v>
      </c>
      <c r="F706" s="32" t="s">
        <v>4460</v>
      </c>
      <c r="G706" s="32" t="s">
        <v>4461</v>
      </c>
      <c r="H706" s="32" t="s">
        <v>4462</v>
      </c>
      <c r="I706" s="36" t="s">
        <v>4463</v>
      </c>
      <c r="J706" s="52"/>
      <c r="K706" s="32" t="s">
        <v>4464</v>
      </c>
      <c r="L706" s="32" t="s">
        <v>3079</v>
      </c>
      <c r="M706" s="32" t="s">
        <v>48</v>
      </c>
      <c r="N706" s="33">
        <v>5</v>
      </c>
      <c r="O706" s="35">
        <v>45892</v>
      </c>
      <c r="P706" s="35">
        <v>45897</v>
      </c>
      <c r="Q706" s="37"/>
      <c r="R706" s="38"/>
      <c r="S706" s="33"/>
      <c r="T706" s="39">
        <v>197000</v>
      </c>
      <c r="U706" s="40" t="s">
        <v>1229</v>
      </c>
      <c r="V706" s="41"/>
      <c r="W706" s="42" t="str">
        <f ca="1">IFERROR(__xludf.DUMMYFUNCTION("""COMPUTED_VALUE"""),"31 studio")</f>
        <v>31 studio</v>
      </c>
      <c r="X706" s="42" t="str">
        <f ca="1"/>
        <v>ON-31 studio-00011900+5-6285251757431</v>
      </c>
      <c r="Y706" s="40" t="s">
        <v>293</v>
      </c>
      <c r="Z706" s="40" t="s">
        <v>1057</v>
      </c>
      <c r="AA706" s="23" t="str">
        <v>https://wa.me/6285251757431</v>
      </c>
      <c r="AB706" s="28" t="s">
        <v>4465</v>
      </c>
      <c r="AC706" s="28"/>
      <c r="AD706" s="28" t="s">
        <v>690</v>
      </c>
      <c r="AE706" s="28"/>
      <c r="AF706" s="29">
        <v>45892</v>
      </c>
      <c r="AG706" s="29"/>
    </row>
    <row r="707" spans="1:33" ht="15.75" customHeight="1">
      <c r="A707" s="32" t="s">
        <v>196</v>
      </c>
      <c r="B707" s="33">
        <v>713</v>
      </c>
      <c r="C707" s="34" t="s">
        <v>4466</v>
      </c>
      <c r="D707" s="35">
        <v>45890.319173402779</v>
      </c>
      <c r="E707" s="43">
        <v>45890</v>
      </c>
      <c r="F707" s="32" t="s">
        <v>4467</v>
      </c>
      <c r="G707" s="54" t="s">
        <v>4468</v>
      </c>
      <c r="H707" s="32" t="s">
        <v>1984</v>
      </c>
      <c r="I707" s="36" t="s">
        <v>4469</v>
      </c>
      <c r="J707" s="52"/>
      <c r="K707" s="32" t="s">
        <v>4470</v>
      </c>
      <c r="L707" s="32" t="s">
        <v>4471</v>
      </c>
      <c r="M707" s="32" t="s">
        <v>60</v>
      </c>
      <c r="N707" s="33">
        <v>7</v>
      </c>
      <c r="O707" s="35">
        <v>45892</v>
      </c>
      <c r="P707" s="35">
        <v>45899</v>
      </c>
      <c r="Q707" s="37"/>
      <c r="R707" s="38"/>
      <c r="S707" s="33"/>
      <c r="T707" s="39">
        <v>297000</v>
      </c>
      <c r="U707" s="40" t="s">
        <v>61</v>
      </c>
      <c r="V707" s="41"/>
      <c r="W707" s="55" t="str">
        <f ca="1">IFERROR(__xludf.DUMMYFUNCTION("""COMPUTED_VALUE"""),"HRAtour.id")</f>
        <v>HRAtour.id</v>
      </c>
      <c r="X707" s="42" t="str">
        <f ca="1"/>
        <v>ON-HRAtour.id-00011900+7-kmm</v>
      </c>
      <c r="Y707" s="40" t="s">
        <v>62</v>
      </c>
      <c r="Z707" s="40" t="s">
        <v>1880</v>
      </c>
      <c r="AA707" s="23" t="str">
        <v>https://wa.me/kmm</v>
      </c>
      <c r="AB707" s="28" t="s">
        <v>4472</v>
      </c>
      <c r="AC707" s="28"/>
      <c r="AD707" s="28" t="s">
        <v>690</v>
      </c>
      <c r="AE707" s="28"/>
      <c r="AF707" s="29">
        <v>45892</v>
      </c>
      <c r="AG707" s="29"/>
    </row>
    <row r="708" spans="1:33" ht="15.75" customHeight="1">
      <c r="A708" s="32" t="s">
        <v>196</v>
      </c>
      <c r="B708" s="33">
        <v>714</v>
      </c>
      <c r="C708" s="34" t="s">
        <v>4473</v>
      </c>
      <c r="D708" s="35">
        <v>45890.325366597222</v>
      </c>
      <c r="E708" s="43">
        <v>45890</v>
      </c>
      <c r="F708" s="32" t="s">
        <v>4474</v>
      </c>
      <c r="G708" s="32" t="s">
        <v>4475</v>
      </c>
      <c r="H708" s="32" t="s">
        <v>3335</v>
      </c>
      <c r="I708" s="36" t="s">
        <v>4476</v>
      </c>
      <c r="J708" s="52"/>
      <c r="K708" s="32" t="s">
        <v>3619</v>
      </c>
      <c r="L708" s="32" t="s">
        <v>1250</v>
      </c>
      <c r="M708" s="32" t="s">
        <v>60</v>
      </c>
      <c r="N708" s="33">
        <v>5</v>
      </c>
      <c r="O708" s="35"/>
      <c r="P708" s="35"/>
      <c r="Q708" s="37"/>
      <c r="R708" s="38"/>
      <c r="S708" s="33"/>
      <c r="T708" s="39">
        <v>150000</v>
      </c>
      <c r="U708" s="40" t="s">
        <v>61</v>
      </c>
      <c r="V708" s="41"/>
      <c r="W708" s="42" t="str">
        <f ca="1">IFERROR(__xludf.DUMMYFUNCTION("""COMPUTED_VALUE"""),"Andin Berkah")</f>
        <v>Andin Berkah</v>
      </c>
      <c r="X708" s="42" t="str">
        <f ca="1"/>
        <v>ON-Andin Berkah-00011900+5-6285741888828</v>
      </c>
      <c r="Y708" s="40" t="s">
        <v>62</v>
      </c>
      <c r="Z708" s="40" t="s">
        <v>1880</v>
      </c>
      <c r="AA708" s="23" t="str">
        <v>https://wa.me/6285741888828</v>
      </c>
      <c r="AB708" s="28" t="s">
        <v>4477</v>
      </c>
      <c r="AC708" s="28"/>
      <c r="AD708" s="28" t="s">
        <v>690</v>
      </c>
      <c r="AE708" s="28"/>
      <c r="AF708" s="29">
        <v>45894</v>
      </c>
      <c r="AG708" s="29"/>
    </row>
    <row r="709" spans="1:33" ht="15.75" customHeight="1">
      <c r="A709" s="32" t="s">
        <v>621</v>
      </c>
      <c r="B709" s="33">
        <v>715</v>
      </c>
      <c r="C709" s="34" t="s">
        <v>4478</v>
      </c>
      <c r="D709" s="35">
        <v>45890.495142592597</v>
      </c>
      <c r="E709" s="43">
        <v>45890</v>
      </c>
      <c r="F709" s="32" t="s">
        <v>4479</v>
      </c>
      <c r="G709" s="32" t="s">
        <v>4480</v>
      </c>
      <c r="H709" s="32" t="s">
        <v>4481</v>
      </c>
      <c r="I709" s="36" t="s">
        <v>4482</v>
      </c>
      <c r="J709" s="52"/>
      <c r="K709" s="32" t="s">
        <v>570</v>
      </c>
      <c r="L709" s="32" t="s">
        <v>425</v>
      </c>
      <c r="M709" s="32" t="s">
        <v>60</v>
      </c>
      <c r="N709" s="33">
        <v>5</v>
      </c>
      <c r="O709" s="35"/>
      <c r="P709" s="35"/>
      <c r="Q709" s="37"/>
      <c r="R709" s="38"/>
      <c r="S709" s="33"/>
      <c r="T709" s="39">
        <v>150000</v>
      </c>
      <c r="U709" s="40" t="s">
        <v>61</v>
      </c>
      <c r="V709" s="41"/>
      <c r="W709" s="42" t="str">
        <f ca="1">IFERROR(__xludf.DUMMYFUNCTION("""COMPUTED_VALUE"""),"TOYOTA TUNAS")</f>
        <v>TOYOTA TUNAS</v>
      </c>
      <c r="X709" s="42" t="str">
        <f ca="1"/>
        <v>ON-TOYOTA TUNAS-00011900+5-6281316807185</v>
      </c>
      <c r="Y709" s="40"/>
      <c r="Z709" s="40"/>
      <c r="AA709" s="23" t="str">
        <v>https://wa.me/6281316807185</v>
      </c>
      <c r="AB709" s="28"/>
      <c r="AC709" s="28"/>
      <c r="AD709" s="28"/>
      <c r="AE709" s="28"/>
      <c r="AF709" s="29"/>
      <c r="AG709" s="29"/>
    </row>
    <row r="710" spans="1:33" ht="15.75" customHeight="1">
      <c r="A710" s="32" t="s">
        <v>196</v>
      </c>
      <c r="B710" s="33">
        <v>716</v>
      </c>
      <c r="C710" s="34" t="s">
        <v>4483</v>
      </c>
      <c r="D710" s="35">
        <v>46054</v>
      </c>
      <c r="E710" s="43">
        <v>45890</v>
      </c>
      <c r="F710" s="32" t="s">
        <v>4484</v>
      </c>
      <c r="G710" s="32" t="s">
        <v>4485</v>
      </c>
      <c r="H710" s="32" t="s">
        <v>3092</v>
      </c>
      <c r="I710" s="36" t="s">
        <v>4486</v>
      </c>
      <c r="J710" s="52"/>
      <c r="K710" s="32" t="s">
        <v>4487</v>
      </c>
      <c r="L710" s="32" t="s">
        <v>4488</v>
      </c>
      <c r="M710" s="32" t="s">
        <v>205</v>
      </c>
      <c r="N710" s="33">
        <v>5</v>
      </c>
      <c r="O710" s="35"/>
      <c r="P710" s="35"/>
      <c r="Q710" s="37"/>
      <c r="R710" s="38">
        <v>-1003470351325</v>
      </c>
      <c r="S710" s="33"/>
      <c r="T710" s="39">
        <v>197000</v>
      </c>
      <c r="U710" s="40" t="s">
        <v>61</v>
      </c>
      <c r="V710" s="41"/>
      <c r="W710" s="42" t="str">
        <f ca="1">IFERROR(__xludf.DUMMYFUNCTION("""COMPUTED_VALUE"""),"Totok Syaraf")</f>
        <v>Totok Syaraf</v>
      </c>
      <c r="X710" s="42" t="str">
        <f ca="1"/>
        <v>ON-Totok Syaraf-00011900+5-6285169730762</v>
      </c>
      <c r="Y710" s="40" t="s">
        <v>62</v>
      </c>
      <c r="Z710" s="40" t="s">
        <v>639</v>
      </c>
      <c r="AA710" s="23" t="str">
        <v>https://wa.me/6285169730762</v>
      </c>
      <c r="AB710" s="28" t="s">
        <v>4489</v>
      </c>
      <c r="AC710" s="28"/>
      <c r="AD710" s="28" t="s">
        <v>690</v>
      </c>
      <c r="AE710" s="28"/>
      <c r="AF710" s="29">
        <v>45894</v>
      </c>
      <c r="AG710" s="29"/>
    </row>
    <row r="711" spans="1:33" ht="15.75" customHeight="1">
      <c r="A711" s="32" t="s">
        <v>52</v>
      </c>
      <c r="B711" s="33">
        <v>717</v>
      </c>
      <c r="C711" s="34" t="s">
        <v>4490</v>
      </c>
      <c r="D711" s="35">
        <v>45890.578384085646</v>
      </c>
      <c r="E711" s="43">
        <v>45890</v>
      </c>
      <c r="F711" s="32" t="s">
        <v>3483</v>
      </c>
      <c r="G711" s="32" t="s">
        <v>4491</v>
      </c>
      <c r="H711" s="32" t="s">
        <v>3485</v>
      </c>
      <c r="I711" s="36" t="s">
        <v>3486</v>
      </c>
      <c r="J711" s="52"/>
      <c r="K711" s="32" t="s">
        <v>570</v>
      </c>
      <c r="L711" s="32" t="s">
        <v>2468</v>
      </c>
      <c r="M711" s="32" t="s">
        <v>60</v>
      </c>
      <c r="N711" s="33">
        <v>5</v>
      </c>
      <c r="O711" s="35"/>
      <c r="P711" s="35"/>
      <c r="Q711" s="37"/>
      <c r="R711" s="38"/>
      <c r="S711" s="33"/>
      <c r="T711" s="39">
        <v>197000</v>
      </c>
      <c r="U711" s="40" t="s">
        <v>61</v>
      </c>
      <c r="V711" s="41"/>
      <c r="W711" s="42" t="str">
        <f ca="1">IFERROR(__xludf.DUMMYFUNCTION("""COMPUTED_VALUE"""),"Spectrum Holiday")</f>
        <v>Spectrum Holiday</v>
      </c>
      <c r="X711" s="42" t="str">
        <f ca="1"/>
        <v>ON-Spectrum Holiday-00011900+5-6285946504405</v>
      </c>
      <c r="Y711" s="40"/>
      <c r="Z711" s="40"/>
      <c r="AA711" s="23" t="str">
        <v>https://wa.me/6285946504405</v>
      </c>
      <c r="AB711" s="28"/>
      <c r="AC711" s="28"/>
      <c r="AD711" s="28"/>
      <c r="AE711" s="28"/>
      <c r="AF711" s="29"/>
      <c r="AG711" s="29"/>
    </row>
    <row r="712" spans="1:33" ht="15.75" customHeight="1">
      <c r="A712" s="32" t="s">
        <v>52</v>
      </c>
      <c r="B712" s="33">
        <v>718</v>
      </c>
      <c r="C712" s="34" t="s">
        <v>4492</v>
      </c>
      <c r="D712" s="35">
        <v>45890.584413368051</v>
      </c>
      <c r="E712" s="43">
        <v>45890</v>
      </c>
      <c r="F712" s="32" t="s">
        <v>2405</v>
      </c>
      <c r="G712" s="32" t="s">
        <v>2406</v>
      </c>
      <c r="H712" s="32" t="s">
        <v>66</v>
      </c>
      <c r="I712" s="36" t="s">
        <v>2407</v>
      </c>
      <c r="J712" s="52"/>
      <c r="K712" s="32" t="s">
        <v>46</v>
      </c>
      <c r="L712" s="32" t="s">
        <v>2408</v>
      </c>
      <c r="M712" s="32" t="s">
        <v>60</v>
      </c>
      <c r="N712" s="33">
        <v>5</v>
      </c>
      <c r="O712" s="35"/>
      <c r="P712" s="35"/>
      <c r="Q712" s="37"/>
      <c r="R712" s="38"/>
      <c r="S712" s="33"/>
      <c r="T712" s="39">
        <v>197000</v>
      </c>
      <c r="U712" s="40" t="s">
        <v>61</v>
      </c>
      <c r="V712" s="41"/>
      <c r="W712" s="42" t="str">
        <f ca="1">IFERROR(__xludf.DUMMYFUNCTION("""COMPUTED_VALUE"""),"Superman Interior")</f>
        <v>Superman Interior</v>
      </c>
      <c r="X712" s="42" t="str">
        <f ca="1"/>
        <v>ON-Superman Interior-00011900+5-62881038177010</v>
      </c>
      <c r="Y712" s="40"/>
      <c r="Z712" s="40"/>
      <c r="AA712" s="23" t="str">
        <v>https://wa.me/62881038177010</v>
      </c>
      <c r="AB712" s="28"/>
      <c r="AC712" s="28"/>
      <c r="AD712" s="28"/>
      <c r="AE712" s="28"/>
      <c r="AF712" s="29"/>
      <c r="AG712" s="29"/>
    </row>
    <row r="713" spans="1:33" ht="15.75" customHeight="1">
      <c r="A713" s="32" t="s">
        <v>52</v>
      </c>
      <c r="B713" s="33">
        <v>719</v>
      </c>
      <c r="C713" s="34" t="s">
        <v>4493</v>
      </c>
      <c r="D713" s="35">
        <v>45890.797849224538</v>
      </c>
      <c r="E713" s="43">
        <v>45890</v>
      </c>
      <c r="F713" s="32" t="s">
        <v>3772</v>
      </c>
      <c r="G713" s="32" t="s">
        <v>3773</v>
      </c>
      <c r="H713" s="32" t="s">
        <v>3774</v>
      </c>
      <c r="I713" s="36" t="s">
        <v>3775</v>
      </c>
      <c r="J713" s="52"/>
      <c r="K713" s="32" t="s">
        <v>570</v>
      </c>
      <c r="L713" s="32" t="s">
        <v>2291</v>
      </c>
      <c r="M713" s="32" t="s">
        <v>2032</v>
      </c>
      <c r="N713" s="33">
        <v>10</v>
      </c>
      <c r="O713" s="35"/>
      <c r="P713" s="35"/>
      <c r="Q713" s="37"/>
      <c r="R713" s="38"/>
      <c r="S713" s="33"/>
      <c r="T713" s="39">
        <v>375000</v>
      </c>
      <c r="U713" s="40" t="s">
        <v>61</v>
      </c>
      <c r="V713" s="41"/>
      <c r="W713" s="42" t="str">
        <f ca="1">IFERROR(__xludf.DUMMYFUNCTION("""COMPUTED_VALUE"""),"Kharisma Filter")</f>
        <v>Kharisma Filter</v>
      </c>
      <c r="X713" s="42" t="str">
        <f ca="1"/>
        <v>ON-Kharisma Filter-00011900+10-6285893658659</v>
      </c>
      <c r="Y713" s="40"/>
      <c r="Z713" s="40"/>
      <c r="AA713" s="23" t="str">
        <v>https://wa.me/6285893658659</v>
      </c>
      <c r="AB713" s="28"/>
      <c r="AC713" s="28"/>
      <c r="AD713" s="28"/>
      <c r="AE713" s="28"/>
      <c r="AF713" s="29"/>
      <c r="AG713" s="29"/>
    </row>
    <row r="714" spans="1:33" ht="15.75" customHeight="1">
      <c r="A714" s="32" t="s">
        <v>196</v>
      </c>
      <c r="B714" s="33">
        <v>720</v>
      </c>
      <c r="C714" s="34" t="s">
        <v>4494</v>
      </c>
      <c r="D714" s="35">
        <v>46027</v>
      </c>
      <c r="E714" s="43">
        <v>45890</v>
      </c>
      <c r="F714" s="32" t="s">
        <v>3241</v>
      </c>
      <c r="G714" s="32" t="s">
        <v>4495</v>
      </c>
      <c r="H714" s="32" t="s">
        <v>3243</v>
      </c>
      <c r="I714" s="36" t="s">
        <v>3244</v>
      </c>
      <c r="J714" s="52"/>
      <c r="K714" s="32" t="s">
        <v>4496</v>
      </c>
      <c r="L714" s="32" t="s">
        <v>166</v>
      </c>
      <c r="M714" s="32" t="s">
        <v>249</v>
      </c>
      <c r="N714" s="33">
        <v>7</v>
      </c>
      <c r="O714" s="35"/>
      <c r="P714" s="35"/>
      <c r="Q714" s="37"/>
      <c r="R714" s="38">
        <v>-1003470351325</v>
      </c>
      <c r="S714" s="33"/>
      <c r="T714" s="39">
        <v>297000</v>
      </c>
      <c r="U714" s="40" t="s">
        <v>1774</v>
      </c>
      <c r="V714" s="47">
        <v>46027.530479363428</v>
      </c>
      <c r="W714" s="42" t="str">
        <f ca="1">IFERROR(__xludf.DUMMYFUNCTION("""COMPUTED_VALUE"""),"Totok saraf")</f>
        <v>Totok saraf</v>
      </c>
      <c r="X714" s="42" t="str">
        <f ca="1"/>
        <v>ON-Totok saraf-05012026+7-6281330410391</v>
      </c>
      <c r="Y714" s="40" t="s">
        <v>62</v>
      </c>
      <c r="Z714" s="40" t="s">
        <v>639</v>
      </c>
      <c r="AA714" s="23" t="str">
        <v>https://wa.me/6281330410391</v>
      </c>
      <c r="AB714" s="28" t="s">
        <v>4497</v>
      </c>
      <c r="AC714" s="28"/>
      <c r="AD714" s="28" t="s">
        <v>690</v>
      </c>
      <c r="AE714" s="28"/>
      <c r="AF714" s="29">
        <v>45892</v>
      </c>
      <c r="AG714" s="29"/>
    </row>
    <row r="715" spans="1:33" ht="15.75" customHeight="1">
      <c r="A715" s="32" t="s">
        <v>196</v>
      </c>
      <c r="B715" s="33">
        <v>721</v>
      </c>
      <c r="C715" s="34" t="s">
        <v>4498</v>
      </c>
      <c r="D715" s="35">
        <v>45891.259199108797</v>
      </c>
      <c r="E715" s="43">
        <v>45890</v>
      </c>
      <c r="F715" s="32" t="s">
        <v>4479</v>
      </c>
      <c r="G715" s="32" t="s">
        <v>4480</v>
      </c>
      <c r="H715" s="32" t="s">
        <v>4481</v>
      </c>
      <c r="I715" s="36" t="s">
        <v>4482</v>
      </c>
      <c r="J715" s="52"/>
      <c r="K715" s="32" t="s">
        <v>570</v>
      </c>
      <c r="L715" s="32" t="s">
        <v>425</v>
      </c>
      <c r="M715" s="32" t="s">
        <v>60</v>
      </c>
      <c r="N715" s="33">
        <v>5</v>
      </c>
      <c r="O715" s="35">
        <v>45892</v>
      </c>
      <c r="P715" s="35">
        <v>45897</v>
      </c>
      <c r="Q715" s="37"/>
      <c r="R715" s="38"/>
      <c r="S715" s="33"/>
      <c r="T715" s="39">
        <v>150000</v>
      </c>
      <c r="U715" s="40" t="s">
        <v>61</v>
      </c>
      <c r="V715" s="41"/>
      <c r="W715" s="42" t="str">
        <f ca="1">IFERROR(__xludf.DUMMYFUNCTION("""COMPUTED_VALUE"""),"TOYOTA TUNAS")</f>
        <v>TOYOTA TUNAS</v>
      </c>
      <c r="X715" s="42" t="str">
        <f ca="1"/>
        <v>ON-TOYOTA TUNAS-00011900+5-6281316807185</v>
      </c>
      <c r="Y715" s="40" t="s">
        <v>62</v>
      </c>
      <c r="Z715" s="40" t="s">
        <v>294</v>
      </c>
      <c r="AA715" s="23" t="str">
        <v>https://wa.me/6281316807185</v>
      </c>
      <c r="AB715" s="28" t="s">
        <v>4499</v>
      </c>
      <c r="AC715" s="28"/>
      <c r="AD715" s="28" t="s">
        <v>690</v>
      </c>
      <c r="AE715" s="28"/>
      <c r="AF715" s="29">
        <v>45892</v>
      </c>
      <c r="AG715" s="29"/>
    </row>
    <row r="716" spans="1:33" ht="15.75" customHeight="1">
      <c r="A716" s="32" t="s">
        <v>196</v>
      </c>
      <c r="B716" s="33">
        <v>722</v>
      </c>
      <c r="C716" s="34" t="s">
        <v>4500</v>
      </c>
      <c r="D716" s="35">
        <v>45891.292032395839</v>
      </c>
      <c r="E716" s="43">
        <v>45891</v>
      </c>
      <c r="F716" s="32" t="s">
        <v>4501</v>
      </c>
      <c r="G716" s="32" t="s">
        <v>4502</v>
      </c>
      <c r="H716" s="32" t="s">
        <v>4199</v>
      </c>
      <c r="I716" s="36" t="s">
        <v>4503</v>
      </c>
      <c r="J716" s="52"/>
      <c r="K716" s="32" t="s">
        <v>4504</v>
      </c>
      <c r="L716" s="32" t="s">
        <v>85</v>
      </c>
      <c r="M716" s="32" t="s">
        <v>60</v>
      </c>
      <c r="N716" s="33">
        <v>5</v>
      </c>
      <c r="O716" s="35"/>
      <c r="P716" s="35"/>
      <c r="Q716" s="37"/>
      <c r="R716" s="38"/>
      <c r="S716" s="33"/>
      <c r="T716" s="39">
        <v>197000</v>
      </c>
      <c r="U716" s="40" t="s">
        <v>61</v>
      </c>
      <c r="V716" s="41"/>
      <c r="W716" s="42" t="str">
        <f ca="1">IFERROR(__xludf.DUMMYFUNCTION("""COMPUTED_VALUE"""),"WD FURNITURE")</f>
        <v>WD FURNITURE</v>
      </c>
      <c r="X716" s="42" t="str">
        <f ca="1"/>
        <v>ON-WD FURNITURE-00011900+5-6289630527354</v>
      </c>
      <c r="Y716" s="40" t="s">
        <v>293</v>
      </c>
      <c r="Z716" s="40" t="s">
        <v>1057</v>
      </c>
      <c r="AA716" s="23" t="str">
        <v>https://wa.me/6289630527354</v>
      </c>
      <c r="AB716" s="28" t="s">
        <v>4505</v>
      </c>
      <c r="AC716" s="28"/>
      <c r="AD716" s="28" t="s">
        <v>690</v>
      </c>
      <c r="AE716" s="28"/>
      <c r="AF716" s="29">
        <v>45894</v>
      </c>
      <c r="AG716" s="29"/>
    </row>
    <row r="717" spans="1:33" ht="15.75" customHeight="1">
      <c r="A717" s="32" t="s">
        <v>52</v>
      </c>
      <c r="B717" s="33">
        <v>723</v>
      </c>
      <c r="C717" s="34" t="s">
        <v>4506</v>
      </c>
      <c r="D717" s="35">
        <v>45891.444863819444</v>
      </c>
      <c r="E717" s="43">
        <v>45891</v>
      </c>
      <c r="F717" s="32" t="s">
        <v>3907</v>
      </c>
      <c r="G717" s="32" t="s">
        <v>3908</v>
      </c>
      <c r="H717" s="32" t="s">
        <v>3909</v>
      </c>
      <c r="I717" s="36" t="s">
        <v>3910</v>
      </c>
      <c r="J717" s="52"/>
      <c r="K717" s="32" t="s">
        <v>317</v>
      </c>
      <c r="L717" s="32" t="s">
        <v>3911</v>
      </c>
      <c r="M717" s="32" t="s">
        <v>205</v>
      </c>
      <c r="N717" s="33">
        <v>7</v>
      </c>
      <c r="O717" s="35"/>
      <c r="P717" s="35"/>
      <c r="Q717" s="37"/>
      <c r="R717" s="38"/>
      <c r="S717" s="33"/>
      <c r="T717" s="39">
        <v>225000</v>
      </c>
      <c r="U717" s="40" t="s">
        <v>61</v>
      </c>
      <c r="V717" s="41"/>
      <c r="W717" s="42" t="str">
        <f ca="1">IFERROR(__xludf.DUMMYFUNCTION("""COMPUTED_VALUE"""),"Aurora Teknik")</f>
        <v>Aurora Teknik</v>
      </c>
      <c r="X717" s="42" t="str">
        <f ca="1"/>
        <v>ON-Aurora Teknik-00011900+7-6285376667233</v>
      </c>
      <c r="Y717" s="40"/>
      <c r="Z717" s="40"/>
      <c r="AA717" s="23" t="str">
        <v>https://wa.me/6285376667233</v>
      </c>
      <c r="AB717" s="28"/>
      <c r="AC717" s="28"/>
      <c r="AD717" s="28"/>
      <c r="AE717" s="28"/>
      <c r="AF717" s="29"/>
      <c r="AG717" s="29"/>
    </row>
    <row r="718" spans="1:33" ht="15.75" customHeight="1">
      <c r="A718" s="32" t="s">
        <v>196</v>
      </c>
      <c r="B718" s="33">
        <v>724</v>
      </c>
      <c r="C718" s="34" t="s">
        <v>4507</v>
      </c>
      <c r="D718" s="35">
        <v>45891.468020127315</v>
      </c>
      <c r="E718" s="43">
        <v>45891</v>
      </c>
      <c r="F718" s="32" t="s">
        <v>4508</v>
      </c>
      <c r="G718" s="32" t="s">
        <v>4509</v>
      </c>
      <c r="H718" s="32" t="s">
        <v>4510</v>
      </c>
      <c r="I718" s="36" t="s">
        <v>4511</v>
      </c>
      <c r="J718" s="52"/>
      <c r="K718" s="32" t="s">
        <v>4512</v>
      </c>
      <c r="L718" s="32" t="s">
        <v>92</v>
      </c>
      <c r="M718" s="32" t="s">
        <v>92</v>
      </c>
      <c r="N718" s="33">
        <v>5</v>
      </c>
      <c r="O718" s="35">
        <v>45893</v>
      </c>
      <c r="P718" s="35">
        <v>45898</v>
      </c>
      <c r="Q718" s="37"/>
      <c r="R718" s="38"/>
      <c r="S718" s="33"/>
      <c r="T718" s="39">
        <v>197000</v>
      </c>
      <c r="U718" s="40" t="s">
        <v>1229</v>
      </c>
      <c r="V718" s="41"/>
      <c r="W718" s="42" t="str">
        <f ca="1">IFERROR(__xludf.DUMMYFUNCTION("""COMPUTED_VALUE"""),"Ameera utama")</f>
        <v>Ameera utama</v>
      </c>
      <c r="X718" s="42" t="str">
        <f ca="1"/>
        <v>ON-Ameera utama-00011900+5-628112656686</v>
      </c>
      <c r="Y718" s="40" t="s">
        <v>62</v>
      </c>
      <c r="Z718" s="40" t="s">
        <v>1880</v>
      </c>
      <c r="AA718" s="23" t="str">
        <v>https://wa.me/628112656686</v>
      </c>
      <c r="AB718" s="28" t="s">
        <v>4513</v>
      </c>
      <c r="AC718" s="28"/>
      <c r="AD718" s="28" t="s">
        <v>690</v>
      </c>
      <c r="AE718" s="28"/>
      <c r="AF718" s="29">
        <v>45894</v>
      </c>
      <c r="AG718" s="29"/>
    </row>
    <row r="719" spans="1:33" ht="15.75" customHeight="1">
      <c r="A719" s="32" t="s">
        <v>196</v>
      </c>
      <c r="B719" s="33">
        <v>725</v>
      </c>
      <c r="C719" s="34" t="s">
        <v>4514</v>
      </c>
      <c r="D719" s="35">
        <v>45891.477016631943</v>
      </c>
      <c r="E719" s="43">
        <v>45891</v>
      </c>
      <c r="F719" s="32" t="s">
        <v>4515</v>
      </c>
      <c r="G719" s="32" t="s">
        <v>4516</v>
      </c>
      <c r="H719" s="32" t="s">
        <v>4517</v>
      </c>
      <c r="I719" s="36" t="s">
        <v>4518</v>
      </c>
      <c r="J719" s="52"/>
      <c r="K719" s="32" t="s">
        <v>4519</v>
      </c>
      <c r="L719" s="32" t="s">
        <v>1491</v>
      </c>
      <c r="M719" s="32" t="s">
        <v>60</v>
      </c>
      <c r="N719" s="33">
        <v>30</v>
      </c>
      <c r="O719" s="35">
        <v>45893</v>
      </c>
      <c r="P719" s="35">
        <v>45923</v>
      </c>
      <c r="Q719" s="37"/>
      <c r="R719" s="38"/>
      <c r="S719" s="33"/>
      <c r="T719" s="39">
        <v>1000000</v>
      </c>
      <c r="U719" s="40" t="s">
        <v>61</v>
      </c>
      <c r="V719" s="41"/>
      <c r="W719" s="42" t="str">
        <f ca="1">IFERROR(__xludf.DUMMYFUNCTION("""COMPUTED_VALUE"""),"PHINISEA")</f>
        <v>PHINISEA</v>
      </c>
      <c r="X719" s="42" t="str">
        <f ca="1"/>
        <v>ON-PHINISEA-00011900+30-6281315163838</v>
      </c>
      <c r="Y719" s="40" t="s">
        <v>62</v>
      </c>
      <c r="Z719" s="40" t="s">
        <v>1880</v>
      </c>
      <c r="AA719" s="23" t="str">
        <v>https://wa.me/6281315163838</v>
      </c>
      <c r="AB719" s="28" t="s">
        <v>4520</v>
      </c>
      <c r="AC719" s="28"/>
      <c r="AD719" s="28" t="s">
        <v>690</v>
      </c>
      <c r="AE719" s="28"/>
      <c r="AF719" s="29">
        <v>45894</v>
      </c>
      <c r="AG719" s="29"/>
    </row>
    <row r="720" spans="1:33" ht="15.75" customHeight="1">
      <c r="A720" s="32" t="s">
        <v>196</v>
      </c>
      <c r="B720" s="33">
        <v>726</v>
      </c>
      <c r="C720" s="34" t="s">
        <v>4521</v>
      </c>
      <c r="D720" s="35">
        <v>45891.486400752314</v>
      </c>
      <c r="E720" s="43">
        <v>45891</v>
      </c>
      <c r="F720" s="32" t="s">
        <v>4522</v>
      </c>
      <c r="G720" s="32" t="s">
        <v>4523</v>
      </c>
      <c r="H720" s="32" t="s">
        <v>4524</v>
      </c>
      <c r="I720" s="36" t="s">
        <v>4525</v>
      </c>
      <c r="J720" s="52" t="s">
        <v>4526</v>
      </c>
      <c r="K720" s="32" t="s">
        <v>4527</v>
      </c>
      <c r="L720" s="32" t="s">
        <v>92</v>
      </c>
      <c r="M720" s="32" t="s">
        <v>60</v>
      </c>
      <c r="N720" s="33">
        <v>5</v>
      </c>
      <c r="O720" s="35"/>
      <c r="P720" s="35"/>
      <c r="Q720" s="37"/>
      <c r="R720" s="38"/>
      <c r="S720" s="33"/>
      <c r="T720" s="39">
        <v>197000</v>
      </c>
      <c r="U720" s="40" t="s">
        <v>61</v>
      </c>
      <c r="V720" s="41"/>
      <c r="W720" s="42" t="str">
        <f ca="1">IFERROR(__xludf.DUMMYFUNCTION("""COMPUTED_VALUE"""),"Tasya Rental")</f>
        <v>Tasya Rental</v>
      </c>
      <c r="X720" s="42" t="str">
        <f ca="1"/>
        <v>ON-Tasya Rental-00011900+5-6281224628935</v>
      </c>
      <c r="Y720" s="40" t="s">
        <v>62</v>
      </c>
      <c r="Z720" s="40" t="s">
        <v>1880</v>
      </c>
      <c r="AA720" s="23" t="str">
        <v>https://wa.me/6281224628935</v>
      </c>
      <c r="AB720" s="28" t="s">
        <v>4528</v>
      </c>
      <c r="AC720" s="28"/>
      <c r="AD720" s="28" t="s">
        <v>690</v>
      </c>
      <c r="AE720" s="28"/>
      <c r="AF720" s="29">
        <v>45914</v>
      </c>
      <c r="AG720" s="29"/>
    </row>
    <row r="721" spans="1:33" ht="15.75" customHeight="1">
      <c r="A721" s="32" t="s">
        <v>196</v>
      </c>
      <c r="B721" s="33">
        <v>727</v>
      </c>
      <c r="C721" s="34" t="s">
        <v>4529</v>
      </c>
      <c r="D721" s="35">
        <v>45891.5262678125</v>
      </c>
      <c r="E721" s="43">
        <v>45891</v>
      </c>
      <c r="F721" s="32" t="s">
        <v>4530</v>
      </c>
      <c r="G721" s="32" t="s">
        <v>4531</v>
      </c>
      <c r="H721" s="32" t="s">
        <v>4532</v>
      </c>
      <c r="I721" s="36" t="s">
        <v>4533</v>
      </c>
      <c r="J721" s="52"/>
      <c r="K721" s="32" t="s">
        <v>4534</v>
      </c>
      <c r="L721" s="32" t="s">
        <v>218</v>
      </c>
      <c r="M721" s="32" t="s">
        <v>38</v>
      </c>
      <c r="N721" s="33">
        <v>5</v>
      </c>
      <c r="O721" s="35"/>
      <c r="P721" s="35"/>
      <c r="Q721" s="37"/>
      <c r="R721" s="38"/>
      <c r="S721" s="33"/>
      <c r="T721" s="39">
        <v>197000</v>
      </c>
      <c r="U721" s="40" t="s">
        <v>61</v>
      </c>
      <c r="V721" s="41"/>
      <c r="W721" s="42" t="str">
        <f ca="1">IFERROR(__xludf.DUMMYFUNCTION("""COMPUTED_VALUE"""),"Aylis Beauty")</f>
        <v>Aylis Beauty</v>
      </c>
      <c r="X721" s="42" t="str">
        <f ca="1"/>
        <v>ON-Aylis Beauty-00011900+5-6282267832085</v>
      </c>
      <c r="Y721" s="40" t="s">
        <v>50</v>
      </c>
      <c r="Z721" s="40" t="s">
        <v>327</v>
      </c>
      <c r="AA721" s="23" t="str">
        <v>https://wa.me/6282267832085</v>
      </c>
      <c r="AB721" s="28" t="s">
        <v>4535</v>
      </c>
      <c r="AC721" s="28"/>
      <c r="AD721" s="28" t="s">
        <v>690</v>
      </c>
      <c r="AE721" s="28"/>
      <c r="AF721" s="29">
        <v>45894</v>
      </c>
      <c r="AG721" s="29"/>
    </row>
    <row r="722" spans="1:33" ht="15.75" customHeight="1">
      <c r="A722" s="32" t="s">
        <v>196</v>
      </c>
      <c r="B722" s="33">
        <v>728</v>
      </c>
      <c r="C722" s="34" t="s">
        <v>4536</v>
      </c>
      <c r="D722" s="35">
        <v>45891.539941886571</v>
      </c>
      <c r="E722" s="43">
        <v>45891</v>
      </c>
      <c r="F722" s="32" t="s">
        <v>4537</v>
      </c>
      <c r="G722" s="32" t="s">
        <v>4538</v>
      </c>
      <c r="H722" s="32" t="s">
        <v>298</v>
      </c>
      <c r="I722" s="36" t="s">
        <v>4539</v>
      </c>
      <c r="J722" s="52"/>
      <c r="K722" s="32" t="s">
        <v>4540</v>
      </c>
      <c r="L722" s="32" t="s">
        <v>3596</v>
      </c>
      <c r="M722" s="32" t="s">
        <v>711</v>
      </c>
      <c r="N722" s="33">
        <v>14</v>
      </c>
      <c r="O722" s="35"/>
      <c r="P722" s="35"/>
      <c r="Q722" s="37"/>
      <c r="R722" s="38"/>
      <c r="S722" s="33"/>
      <c r="T722" s="39">
        <v>550000</v>
      </c>
      <c r="U722" s="40" t="s">
        <v>1229</v>
      </c>
      <c r="V722" s="41"/>
      <c r="W722" s="42" t="str">
        <f ca="1">IFERROR(__xludf.DUMMYFUNCTION("""COMPUTED_VALUE"""),"gallery interiors")</f>
        <v>gallery interiors</v>
      </c>
      <c r="X722" s="42" t="str">
        <f ca="1"/>
        <v>ON-gallery interiors-00011900+14-628970060010</v>
      </c>
      <c r="Y722" s="40" t="s">
        <v>293</v>
      </c>
      <c r="Z722" s="40" t="s">
        <v>1057</v>
      </c>
      <c r="AA722" s="23" t="str">
        <v>https://wa.me/628970060010</v>
      </c>
      <c r="AB722" s="28" t="s">
        <v>4541</v>
      </c>
      <c r="AC722" s="28"/>
      <c r="AD722" s="28" t="s">
        <v>690</v>
      </c>
      <c r="AE722" s="28"/>
      <c r="AF722" s="29">
        <v>45894</v>
      </c>
      <c r="AG722" s="29"/>
    </row>
    <row r="723" spans="1:33" ht="15.75" customHeight="1">
      <c r="A723" s="32" t="s">
        <v>196</v>
      </c>
      <c r="B723" s="33">
        <v>729</v>
      </c>
      <c r="C723" s="34" t="s">
        <v>4542</v>
      </c>
      <c r="D723" s="35">
        <v>45891.607479803242</v>
      </c>
      <c r="E723" s="43">
        <v>45891</v>
      </c>
      <c r="F723" s="32" t="s">
        <v>4543</v>
      </c>
      <c r="G723" s="32" t="s">
        <v>4544</v>
      </c>
      <c r="H723" s="32" t="s">
        <v>3335</v>
      </c>
      <c r="I723" s="36" t="s">
        <v>4545</v>
      </c>
      <c r="J723" s="52"/>
      <c r="K723" s="32" t="s">
        <v>2132</v>
      </c>
      <c r="L723" s="32" t="s">
        <v>999</v>
      </c>
      <c r="M723" s="32" t="s">
        <v>60</v>
      </c>
      <c r="N723" s="33">
        <v>20</v>
      </c>
      <c r="O723" s="35">
        <v>45897</v>
      </c>
      <c r="P723" s="35">
        <v>45917</v>
      </c>
      <c r="Q723" s="37"/>
      <c r="R723" s="38"/>
      <c r="S723" s="33"/>
      <c r="T723" s="39">
        <v>700000</v>
      </c>
      <c r="U723" s="40" t="s">
        <v>61</v>
      </c>
      <c r="V723" s="41"/>
      <c r="W723" s="42" t="str">
        <f ca="1">IFERROR(__xludf.DUMMYFUNCTION("""COMPUTED_VALUE"""),"Nusa Penida")</f>
        <v>Nusa Penida</v>
      </c>
      <c r="X723" s="42" t="str">
        <f ca="1"/>
        <v>ON-Nusa Penida-00011900+20-6281239004410</v>
      </c>
      <c r="Y723" s="40" t="s">
        <v>62</v>
      </c>
      <c r="Z723" s="40" t="s">
        <v>1880</v>
      </c>
      <c r="AA723" s="23" t="str">
        <v>https://wa.me/6281239004410</v>
      </c>
      <c r="AB723" s="28" t="s">
        <v>4546</v>
      </c>
      <c r="AC723" s="28"/>
      <c r="AD723" s="28" t="s">
        <v>690</v>
      </c>
      <c r="AE723" s="28"/>
      <c r="AF723" s="29">
        <v>45897</v>
      </c>
      <c r="AG723" s="29"/>
    </row>
    <row r="724" spans="1:33" ht="15.75" customHeight="1">
      <c r="A724" s="32" t="s">
        <v>196</v>
      </c>
      <c r="B724" s="33">
        <v>730</v>
      </c>
      <c r="C724" s="34" t="s">
        <v>4547</v>
      </c>
      <c r="D724" s="35">
        <v>45891.880775763886</v>
      </c>
      <c r="E724" s="43">
        <v>45891</v>
      </c>
      <c r="F724" s="32" t="s">
        <v>4548</v>
      </c>
      <c r="G724" s="32" t="s">
        <v>4549</v>
      </c>
      <c r="H724" s="32" t="s">
        <v>4550</v>
      </c>
      <c r="I724" s="36" t="s">
        <v>4551</v>
      </c>
      <c r="J724" s="52" t="s">
        <v>4552</v>
      </c>
      <c r="K724" s="32" t="s">
        <v>4553</v>
      </c>
      <c r="L724" s="32" t="s">
        <v>1763</v>
      </c>
      <c r="M724" s="32" t="s">
        <v>711</v>
      </c>
      <c r="N724" s="33">
        <v>5</v>
      </c>
      <c r="O724" s="35"/>
      <c r="P724" s="35"/>
      <c r="Q724" s="37"/>
      <c r="R724" s="38"/>
      <c r="S724" s="33"/>
      <c r="T724" s="39">
        <v>197000</v>
      </c>
      <c r="U724" s="40" t="s">
        <v>1229</v>
      </c>
      <c r="V724" s="41"/>
      <c r="W724" s="42" t="str">
        <f ca="1">IFERROR(__xludf.DUMMYFUNCTION("""COMPUTED_VALUE"""),"FG teknik")</f>
        <v>FG teknik</v>
      </c>
      <c r="X724" s="42" t="str">
        <f ca="1"/>
        <v>ON-FG teknik-00011900+5-6282171085542</v>
      </c>
      <c r="Y724" s="40" t="s">
        <v>62</v>
      </c>
      <c r="Z724" s="40" t="s">
        <v>277</v>
      </c>
      <c r="AA724" s="23" t="str">
        <v>https://wa.me/6282171085542</v>
      </c>
      <c r="AB724" s="28" t="s">
        <v>4554</v>
      </c>
      <c r="AC724" s="28"/>
      <c r="AD724" s="28" t="s">
        <v>690</v>
      </c>
      <c r="AE724" s="28"/>
      <c r="AF724" s="29">
        <v>45894</v>
      </c>
      <c r="AG724" s="29"/>
    </row>
    <row r="725" spans="1:33" ht="15.75" customHeight="1">
      <c r="A725" s="32" t="s">
        <v>621</v>
      </c>
      <c r="B725" s="33">
        <v>731</v>
      </c>
      <c r="C725" s="34" t="s">
        <v>4555</v>
      </c>
      <c r="D725" s="35">
        <v>45892.316316203709</v>
      </c>
      <c r="E725" s="43">
        <v>45891</v>
      </c>
      <c r="F725" s="32" t="s">
        <v>4556</v>
      </c>
      <c r="G725" s="32" t="s">
        <v>4549</v>
      </c>
      <c r="H725" s="32" t="s">
        <v>4550</v>
      </c>
      <c r="I725" s="36" t="s">
        <v>4551</v>
      </c>
      <c r="J725" s="52" t="s">
        <v>4552</v>
      </c>
      <c r="K725" s="32" t="s">
        <v>4553</v>
      </c>
      <c r="L725" s="32" t="s">
        <v>1763</v>
      </c>
      <c r="M725" s="32" t="s">
        <v>711</v>
      </c>
      <c r="N725" s="33">
        <v>30</v>
      </c>
      <c r="O725" s="35"/>
      <c r="P725" s="35"/>
      <c r="Q725" s="37"/>
      <c r="R725" s="38"/>
      <c r="S725" s="33"/>
      <c r="T725" s="39">
        <v>1000000</v>
      </c>
      <c r="U725" s="40" t="s">
        <v>1229</v>
      </c>
      <c r="V725" s="41"/>
      <c r="W725" s="42" t="str">
        <f ca="1">IFERROR(__xludf.DUMMYFUNCTION("""COMPUTED_VALUE"""),"FG teknik")</f>
        <v>FG teknik</v>
      </c>
      <c r="X725" s="42" t="str">
        <f ca="1"/>
        <v>ON-FG teknik-00011900+30-6282171085542</v>
      </c>
      <c r="Y725" s="40"/>
      <c r="Z725" s="40"/>
      <c r="AA725" s="23" t="str">
        <v>https://wa.me/6282171085542</v>
      </c>
      <c r="AB725" s="28"/>
      <c r="AC725" s="28"/>
      <c r="AD725" s="28"/>
      <c r="AE725" s="28"/>
      <c r="AF725" s="29"/>
      <c r="AG725" s="29"/>
    </row>
    <row r="726" spans="1:33" ht="15.75" customHeight="1">
      <c r="A726" s="32" t="s">
        <v>621</v>
      </c>
      <c r="B726" s="33">
        <v>732</v>
      </c>
      <c r="C726" s="34" t="s">
        <v>4557</v>
      </c>
      <c r="D726" s="35">
        <v>45892.31944825231</v>
      </c>
      <c r="E726" s="43">
        <v>45891</v>
      </c>
      <c r="F726" s="32" t="s">
        <v>4556</v>
      </c>
      <c r="G726" s="32" t="s">
        <v>4549</v>
      </c>
      <c r="H726" s="32" t="s">
        <v>4550</v>
      </c>
      <c r="I726" s="36" t="s">
        <v>4551</v>
      </c>
      <c r="J726" s="52" t="s">
        <v>4552</v>
      </c>
      <c r="K726" s="32" t="s">
        <v>4553</v>
      </c>
      <c r="L726" s="32" t="s">
        <v>1763</v>
      </c>
      <c r="M726" s="32" t="s">
        <v>711</v>
      </c>
      <c r="N726" s="33">
        <v>30</v>
      </c>
      <c r="O726" s="35"/>
      <c r="P726" s="35"/>
      <c r="Q726" s="37"/>
      <c r="R726" s="38"/>
      <c r="S726" s="33"/>
      <c r="T726" s="39">
        <v>1000000</v>
      </c>
      <c r="U726" s="40" t="s">
        <v>1229</v>
      </c>
      <c r="V726" s="41"/>
      <c r="W726" s="42" t="str">
        <f ca="1">IFERROR(__xludf.DUMMYFUNCTION("""COMPUTED_VALUE"""),"FG teknik")</f>
        <v>FG teknik</v>
      </c>
      <c r="X726" s="42" t="str">
        <f ca="1"/>
        <v>ON-FG teknik-00011900+30-6282171085542</v>
      </c>
      <c r="Y726" s="40"/>
      <c r="Z726" s="40"/>
      <c r="AA726" s="23" t="str">
        <v>https://wa.me/6282171085542</v>
      </c>
      <c r="AB726" s="28"/>
      <c r="AC726" s="28"/>
      <c r="AD726" s="28"/>
      <c r="AE726" s="28"/>
      <c r="AF726" s="29"/>
      <c r="AG726" s="29"/>
    </row>
    <row r="727" spans="1:33" ht="15.75" customHeight="1">
      <c r="A727" s="32" t="s">
        <v>52</v>
      </c>
      <c r="B727" s="33">
        <v>733</v>
      </c>
      <c r="C727" s="34" t="s">
        <v>4558</v>
      </c>
      <c r="D727" s="44">
        <v>46054</v>
      </c>
      <c r="E727" s="43">
        <v>45892</v>
      </c>
      <c r="F727" s="32" t="s">
        <v>2231</v>
      </c>
      <c r="G727" s="32" t="s">
        <v>4559</v>
      </c>
      <c r="H727" s="32" t="s">
        <v>409</v>
      </c>
      <c r="I727" s="36" t="s">
        <v>2233</v>
      </c>
      <c r="J727" s="52"/>
      <c r="K727" s="32" t="s">
        <v>4560</v>
      </c>
      <c r="L727" s="32" t="s">
        <v>2236</v>
      </c>
      <c r="M727" s="32" t="s">
        <v>2237</v>
      </c>
      <c r="N727" s="33">
        <v>30</v>
      </c>
      <c r="O727" s="35"/>
      <c r="P727" s="35"/>
      <c r="Q727" s="37"/>
      <c r="R727" s="38">
        <v>-1003470351325</v>
      </c>
      <c r="S727" s="33"/>
      <c r="T727" s="39">
        <v>1000000</v>
      </c>
      <c r="U727" s="40" t="s">
        <v>115</v>
      </c>
      <c r="V727" s="47">
        <v>46023.547890497684</v>
      </c>
      <c r="W727" s="42" t="str">
        <f ca="1">IFERROR(__xludf.DUMMYFUNCTION("""COMPUTED_VALUE"""),"Cv Nuansa")</f>
        <v>Cv Nuansa</v>
      </c>
      <c r="X727" s="42" t="str">
        <f ca="1"/>
        <v>ON-Cv Nuansa-01012026+30-6282310465999</v>
      </c>
      <c r="Y727" s="40"/>
      <c r="Z727" s="40"/>
      <c r="AA727" s="23" t="str">
        <v>https://wa.me/6282310465999</v>
      </c>
      <c r="AB727" s="28"/>
      <c r="AC727" s="28"/>
      <c r="AD727" s="28"/>
      <c r="AE727" s="28"/>
      <c r="AF727" s="29"/>
      <c r="AG727" s="29"/>
    </row>
    <row r="728" spans="1:33" ht="15.75" customHeight="1">
      <c r="A728" s="32" t="s">
        <v>196</v>
      </c>
      <c r="B728" s="33">
        <v>734</v>
      </c>
      <c r="C728" s="34" t="s">
        <v>4561</v>
      </c>
      <c r="D728" s="35">
        <v>45892.466857488427</v>
      </c>
      <c r="E728" s="43">
        <v>45892</v>
      </c>
      <c r="F728" s="32" t="s">
        <v>4562</v>
      </c>
      <c r="G728" s="32" t="s">
        <v>4563</v>
      </c>
      <c r="H728" s="32" t="s">
        <v>4564</v>
      </c>
      <c r="I728" s="36" t="s">
        <v>4565</v>
      </c>
      <c r="J728" s="52" t="s">
        <v>4566</v>
      </c>
      <c r="K728" s="32" t="s">
        <v>4567</v>
      </c>
      <c r="L728" s="32" t="s">
        <v>2432</v>
      </c>
      <c r="M728" s="32" t="s">
        <v>60</v>
      </c>
      <c r="N728" s="33">
        <v>5</v>
      </c>
      <c r="O728" s="35"/>
      <c r="P728" s="35"/>
      <c r="Q728" s="37"/>
      <c r="R728" s="38"/>
      <c r="S728" s="33"/>
      <c r="T728" s="39">
        <v>197000</v>
      </c>
      <c r="U728" s="40" t="s">
        <v>61</v>
      </c>
      <c r="V728" s="41"/>
      <c r="W728" s="42" t="str">
        <f ca="1">IFERROR(__xludf.DUMMYFUNCTION("""COMPUTED_VALUE"""),"Fiberglass")</f>
        <v>Fiberglass</v>
      </c>
      <c r="X728" s="42" t="str">
        <f ca="1"/>
        <v>ON-Fiberglass-00011900+5-6289508681093</v>
      </c>
      <c r="Y728" s="40" t="s">
        <v>293</v>
      </c>
      <c r="Z728" s="40" t="s">
        <v>1057</v>
      </c>
      <c r="AA728" s="23" t="str">
        <v>https://wa.me/6289508681093</v>
      </c>
      <c r="AB728" s="28" t="s">
        <v>4568</v>
      </c>
      <c r="AC728" s="28"/>
      <c r="AD728" s="28" t="s">
        <v>690</v>
      </c>
      <c r="AE728" s="28"/>
      <c r="AF728" s="29">
        <v>45895</v>
      </c>
      <c r="AG728" s="29"/>
    </row>
    <row r="729" spans="1:33" ht="15.75" customHeight="1">
      <c r="A729" s="32" t="s">
        <v>52</v>
      </c>
      <c r="B729" s="33">
        <v>735</v>
      </c>
      <c r="C729" s="34" t="s">
        <v>4569</v>
      </c>
      <c r="D729" s="35">
        <v>45892.473932048611</v>
      </c>
      <c r="E729" s="43">
        <v>45892</v>
      </c>
      <c r="F729" s="32" t="s">
        <v>3863</v>
      </c>
      <c r="G729" s="32" t="s">
        <v>4570</v>
      </c>
      <c r="H729" s="32" t="s">
        <v>3865</v>
      </c>
      <c r="I729" s="36" t="s">
        <v>3866</v>
      </c>
      <c r="J729" s="52"/>
      <c r="K729" s="32" t="s">
        <v>3869</v>
      </c>
      <c r="L729" s="32" t="s">
        <v>92</v>
      </c>
      <c r="M729" s="32" t="s">
        <v>3687</v>
      </c>
      <c r="N729" s="33">
        <v>10</v>
      </c>
      <c r="O729" s="35"/>
      <c r="P729" s="35"/>
      <c r="Q729" s="37"/>
      <c r="R729" s="38"/>
      <c r="S729" s="33"/>
      <c r="T729" s="39">
        <v>350000</v>
      </c>
      <c r="U729" s="40" t="s">
        <v>1229</v>
      </c>
      <c r="V729" s="41"/>
      <c r="W729" s="42" t="str">
        <f ca="1">IFERROR(__xludf.DUMMYFUNCTION("""COMPUTED_VALUE"""),"BERKAH TEKNIK")</f>
        <v>BERKAH TEKNIK</v>
      </c>
      <c r="X729" s="42" t="str">
        <f ca="1"/>
        <v>ON-BERKAH TEKNIK-00011900+10-6285748377961</v>
      </c>
      <c r="Y729" s="40"/>
      <c r="Z729" s="40"/>
      <c r="AA729" s="23" t="str">
        <v>https://wa.me/6285748377961</v>
      </c>
      <c r="AB729" s="28"/>
      <c r="AC729" s="28"/>
      <c r="AD729" s="28"/>
      <c r="AE729" s="28"/>
      <c r="AF729" s="29"/>
      <c r="AG729" s="29"/>
    </row>
    <row r="730" spans="1:33" ht="15.75" customHeight="1">
      <c r="A730" s="32" t="s">
        <v>621</v>
      </c>
      <c r="B730" s="33">
        <v>737</v>
      </c>
      <c r="C730" s="34" t="s">
        <v>4571</v>
      </c>
      <c r="D730" s="35">
        <v>45892.483557916668</v>
      </c>
      <c r="E730" s="43">
        <v>45889</v>
      </c>
      <c r="F730" s="32" t="s">
        <v>3464</v>
      </c>
      <c r="G730" s="32" t="s">
        <v>3465</v>
      </c>
      <c r="H730" s="32" t="s">
        <v>3466</v>
      </c>
      <c r="I730" s="36" t="s">
        <v>4572</v>
      </c>
      <c r="J730" s="52"/>
      <c r="K730" s="32" t="s">
        <v>570</v>
      </c>
      <c r="L730" s="32" t="s">
        <v>679</v>
      </c>
      <c r="M730" s="32" t="s">
        <v>60</v>
      </c>
      <c r="N730" s="33">
        <v>7</v>
      </c>
      <c r="O730" s="35"/>
      <c r="P730" s="35"/>
      <c r="Q730" s="37"/>
      <c r="R730" s="38"/>
      <c r="S730" s="33"/>
      <c r="T730" s="39">
        <v>297000</v>
      </c>
      <c r="U730" s="40" t="s">
        <v>61</v>
      </c>
      <c r="V730" s="41"/>
      <c r="W730" s="42" t="str">
        <f ca="1">IFERROR(__xludf.DUMMYFUNCTION("""COMPUTED_VALUE"""),"Jibran Holiday")</f>
        <v>Jibran Holiday</v>
      </c>
      <c r="X730" s="42" t="str">
        <f ca="1"/>
        <v>ON-Jibran Holiday-00011900+7-6285888411685</v>
      </c>
      <c r="Y730" s="40"/>
      <c r="Z730" s="40"/>
      <c r="AA730" s="23" t="str">
        <v>https://wa.me/6285888411685</v>
      </c>
      <c r="AB730" s="28"/>
      <c r="AC730" s="28"/>
      <c r="AD730" s="28"/>
      <c r="AE730" s="28"/>
      <c r="AF730" s="29"/>
      <c r="AG730" s="29"/>
    </row>
    <row r="731" spans="1:33" ht="15.75" customHeight="1">
      <c r="A731" s="32" t="s">
        <v>52</v>
      </c>
      <c r="B731" s="33">
        <v>738</v>
      </c>
      <c r="C731" s="34" t="s">
        <v>4573</v>
      </c>
      <c r="D731" s="35">
        <v>45892.491435312499</v>
      </c>
      <c r="E731" s="43">
        <v>45892</v>
      </c>
      <c r="F731" s="32" t="s">
        <v>3561</v>
      </c>
      <c r="G731" s="32" t="s">
        <v>4008</v>
      </c>
      <c r="H731" s="32" t="s">
        <v>4109</v>
      </c>
      <c r="I731" s="36" t="s">
        <v>3564</v>
      </c>
      <c r="J731" s="52"/>
      <c r="K731" s="32" t="s">
        <v>4110</v>
      </c>
      <c r="L731" s="32" t="s">
        <v>2873</v>
      </c>
      <c r="M731" s="32" t="s">
        <v>60</v>
      </c>
      <c r="N731" s="33">
        <v>7</v>
      </c>
      <c r="O731" s="35"/>
      <c r="P731" s="35"/>
      <c r="Q731" s="37"/>
      <c r="R731" s="38"/>
      <c r="S731" s="33"/>
      <c r="T731" s="39">
        <v>297000</v>
      </c>
      <c r="U731" s="40" t="s">
        <v>61</v>
      </c>
      <c r="V731" s="41"/>
      <c r="W731" s="42" t="str">
        <f ca="1">IFERROR(__xludf.DUMMYFUNCTION("""COMPUTED_VALUE"""),"Alhijaz Indowisata")</f>
        <v>Alhijaz Indowisata</v>
      </c>
      <c r="X731" s="42" t="str">
        <f ca="1"/>
        <v>ON-Alhijaz Indowisata-00011900+7-6281558225822</v>
      </c>
      <c r="Y731" s="40"/>
      <c r="Z731" s="40"/>
      <c r="AA731" s="23" t="str">
        <v>https://wa.me/6281558225822</v>
      </c>
      <c r="AB731" s="28"/>
      <c r="AC731" s="28"/>
      <c r="AD731" s="28"/>
      <c r="AE731" s="28"/>
      <c r="AF731" s="29"/>
      <c r="AG731" s="29"/>
    </row>
    <row r="732" spans="1:33" ht="15.75" customHeight="1">
      <c r="A732" s="32" t="s">
        <v>196</v>
      </c>
      <c r="B732" s="33">
        <v>739</v>
      </c>
      <c r="C732" s="34" t="s">
        <v>4574</v>
      </c>
      <c r="D732" s="35">
        <v>45892.525901527777</v>
      </c>
      <c r="E732" s="43">
        <v>45892</v>
      </c>
      <c r="F732" s="32" t="s">
        <v>4575</v>
      </c>
      <c r="G732" s="32" t="s">
        <v>4576</v>
      </c>
      <c r="H732" s="32" t="s">
        <v>409</v>
      </c>
      <c r="I732" s="36" t="s">
        <v>4577</v>
      </c>
      <c r="J732" s="52"/>
      <c r="K732" s="32" t="s">
        <v>4578</v>
      </c>
      <c r="L732" s="32" t="s">
        <v>284</v>
      </c>
      <c r="M732" s="32" t="s">
        <v>285</v>
      </c>
      <c r="N732" s="33">
        <v>10</v>
      </c>
      <c r="O732" s="35"/>
      <c r="P732" s="35"/>
      <c r="Q732" s="37"/>
      <c r="R732" s="38"/>
      <c r="S732" s="33"/>
      <c r="T732" s="39">
        <v>375000</v>
      </c>
      <c r="U732" s="40" t="s">
        <v>1229</v>
      </c>
      <c r="V732" s="41"/>
      <c r="W732" s="42" t="str">
        <f ca="1">IFERROR(__xludf.DUMMYFUNCTION("""COMPUTED_VALUE"""),"PT Muria")</f>
        <v>PT Muria</v>
      </c>
      <c r="X732" s="42" t="str">
        <f ca="1"/>
        <v>ON-PT Muria-00011900+10-628119913004</v>
      </c>
      <c r="Y732" s="40" t="s">
        <v>293</v>
      </c>
      <c r="Z732" s="40" t="s">
        <v>1057</v>
      </c>
      <c r="AA732" s="23" t="str">
        <v>https://wa.me/628119913004</v>
      </c>
      <c r="AB732" s="28" t="s">
        <v>4579</v>
      </c>
      <c r="AC732" s="28"/>
      <c r="AD732" s="28" t="s">
        <v>690</v>
      </c>
      <c r="AE732" s="28"/>
      <c r="AF732" s="29">
        <v>45895</v>
      </c>
      <c r="AG732" s="29"/>
    </row>
    <row r="733" spans="1:33" ht="15.75" customHeight="1">
      <c r="A733" s="32" t="s">
        <v>196</v>
      </c>
      <c r="B733" s="33">
        <v>740</v>
      </c>
      <c r="C733" s="34" t="s">
        <v>4580</v>
      </c>
      <c r="D733" s="35">
        <v>45892.54115125</v>
      </c>
      <c r="E733" s="43">
        <v>45892</v>
      </c>
      <c r="F733" s="32" t="s">
        <v>4581</v>
      </c>
      <c r="G733" s="32" t="s">
        <v>4582</v>
      </c>
      <c r="H733" s="32" t="s">
        <v>4583</v>
      </c>
      <c r="I733" s="36" t="s">
        <v>4584</v>
      </c>
      <c r="J733" s="52"/>
      <c r="K733" s="32" t="s">
        <v>4585</v>
      </c>
      <c r="L733" s="32" t="s">
        <v>4586</v>
      </c>
      <c r="M733" s="32" t="s">
        <v>60</v>
      </c>
      <c r="N733" s="33">
        <v>5</v>
      </c>
      <c r="O733" s="35"/>
      <c r="P733" s="35"/>
      <c r="Q733" s="37"/>
      <c r="R733" s="38"/>
      <c r="S733" s="33"/>
      <c r="T733" s="39">
        <v>197000</v>
      </c>
      <c r="U733" s="40" t="s">
        <v>61</v>
      </c>
      <c r="V733" s="41"/>
      <c r="W733" s="42" t="str">
        <f ca="1">IFERROR(__xludf.DUMMYFUNCTION("""COMPUTED_VALUE"""),"Bagus Uniform")</f>
        <v>Bagus Uniform</v>
      </c>
      <c r="X733" s="42" t="str">
        <f ca="1"/>
        <v>ON-Bagus Uniform-00011900+5-6287836691500</v>
      </c>
      <c r="Y733" s="40" t="s">
        <v>62</v>
      </c>
      <c r="Z733" s="40" t="s">
        <v>1465</v>
      </c>
      <c r="AA733" s="23" t="str">
        <v>https://wa.me/6287836691500</v>
      </c>
      <c r="AB733" s="28" t="s">
        <v>4587</v>
      </c>
      <c r="AC733" s="28"/>
      <c r="AD733" s="28" t="s">
        <v>690</v>
      </c>
      <c r="AE733" s="28"/>
      <c r="AF733" s="29">
        <v>45895</v>
      </c>
      <c r="AG733" s="29"/>
    </row>
    <row r="734" spans="1:33" ht="15.75" customHeight="1">
      <c r="A734" s="32" t="s">
        <v>196</v>
      </c>
      <c r="B734" s="33">
        <v>741</v>
      </c>
      <c r="C734" s="34" t="s">
        <v>4588</v>
      </c>
      <c r="D734" s="35">
        <v>45892.574083842592</v>
      </c>
      <c r="E734" s="43">
        <v>45892</v>
      </c>
      <c r="F734" s="32" t="s">
        <v>4589</v>
      </c>
      <c r="G734" s="32" t="s">
        <v>4590</v>
      </c>
      <c r="H734" s="32" t="s">
        <v>4591</v>
      </c>
      <c r="I734" s="36" t="s">
        <v>4592</v>
      </c>
      <c r="J734" s="52"/>
      <c r="K734" s="32" t="s">
        <v>4593</v>
      </c>
      <c r="L734" s="32" t="s">
        <v>1575</v>
      </c>
      <c r="M734" s="32" t="s">
        <v>60</v>
      </c>
      <c r="N734" s="33">
        <v>20</v>
      </c>
      <c r="O734" s="35"/>
      <c r="P734" s="35"/>
      <c r="Q734" s="37"/>
      <c r="R734" s="38"/>
      <c r="S734" s="33"/>
      <c r="T734" s="39">
        <v>700000</v>
      </c>
      <c r="U734" s="40" t="s">
        <v>61</v>
      </c>
      <c r="V734" s="41"/>
      <c r="W734" s="42" t="str">
        <f ca="1">IFERROR(__xludf.DUMMYFUNCTION("""COMPUTED_VALUE"""),"Kamila Cahaya")</f>
        <v>Kamila Cahaya</v>
      </c>
      <c r="X734" s="42" t="str">
        <f ca="1"/>
        <v>ON-Kamila Cahaya-00011900+20-628122577723</v>
      </c>
      <c r="Y734" s="40" t="s">
        <v>62</v>
      </c>
      <c r="Z734" s="40" t="s">
        <v>1880</v>
      </c>
      <c r="AA734" s="23" t="str">
        <v>https://wa.me/628122577723</v>
      </c>
      <c r="AB734" s="28" t="s">
        <v>4594</v>
      </c>
      <c r="AC734" s="28"/>
      <c r="AD734" s="28" t="s">
        <v>690</v>
      </c>
      <c r="AE734" s="28"/>
      <c r="AF734" s="29">
        <v>45895</v>
      </c>
      <c r="AG734" s="29"/>
    </row>
    <row r="735" spans="1:33" ht="15.75" customHeight="1">
      <c r="A735" s="32" t="s">
        <v>52</v>
      </c>
      <c r="B735" s="33">
        <v>742</v>
      </c>
      <c r="C735" s="34" t="s">
        <v>4595</v>
      </c>
      <c r="D735" s="35">
        <v>45892.591915856479</v>
      </c>
      <c r="E735" s="43">
        <v>45892</v>
      </c>
      <c r="F735" s="32" t="s">
        <v>4155</v>
      </c>
      <c r="G735" s="32" t="s">
        <v>4156</v>
      </c>
      <c r="H735" s="32" t="s">
        <v>4157</v>
      </c>
      <c r="I735" s="36" t="s">
        <v>4158</v>
      </c>
      <c r="J735" s="52" t="s">
        <v>4596</v>
      </c>
      <c r="K735" s="32" t="s">
        <v>570</v>
      </c>
      <c r="L735" s="32" t="s">
        <v>382</v>
      </c>
      <c r="M735" s="32" t="s">
        <v>382</v>
      </c>
      <c r="N735" s="33">
        <v>7</v>
      </c>
      <c r="O735" s="35"/>
      <c r="P735" s="35"/>
      <c r="Q735" s="37"/>
      <c r="R735" s="38"/>
      <c r="S735" s="33"/>
      <c r="T735" s="39">
        <v>297000</v>
      </c>
      <c r="U735" s="40" t="s">
        <v>1774</v>
      </c>
      <c r="V735" s="41"/>
      <c r="W735" s="42" t="str">
        <f ca="1">IFERROR(__xludf.DUMMYFUNCTION("""COMPUTED_VALUE"""),"Cv zhafira")</f>
        <v>Cv zhafira</v>
      </c>
      <c r="X735" s="42" t="str">
        <f ca="1"/>
        <v>ON-Cv zhafira-00011900+7-6281990865975</v>
      </c>
      <c r="Y735" s="40"/>
      <c r="Z735" s="40"/>
      <c r="AA735" s="23" t="str">
        <v>https://wa.me/6281990865975</v>
      </c>
      <c r="AB735" s="28"/>
      <c r="AC735" s="28"/>
      <c r="AD735" s="28"/>
      <c r="AE735" s="28"/>
      <c r="AF735" s="29"/>
      <c r="AG735" s="29"/>
    </row>
    <row r="736" spans="1:33" ht="15.75" customHeight="1">
      <c r="A736" s="32" t="s">
        <v>52</v>
      </c>
      <c r="B736" s="33">
        <v>744</v>
      </c>
      <c r="C736" s="34" t="s">
        <v>4597</v>
      </c>
      <c r="D736" s="35">
        <v>45892.667121307866</v>
      </c>
      <c r="E736" s="43">
        <v>45892</v>
      </c>
      <c r="F736" s="32" t="s">
        <v>642</v>
      </c>
      <c r="G736" s="32" t="s">
        <v>643</v>
      </c>
      <c r="H736" s="32" t="s">
        <v>644</v>
      </c>
      <c r="I736" s="36" t="s">
        <v>645</v>
      </c>
      <c r="J736" s="52" t="s">
        <v>1457</v>
      </c>
      <c r="K736" s="32" t="s">
        <v>646</v>
      </c>
      <c r="L736" s="32" t="s">
        <v>647</v>
      </c>
      <c r="M736" s="32" t="s">
        <v>382</v>
      </c>
      <c r="N736" s="33">
        <v>14</v>
      </c>
      <c r="O736" s="35"/>
      <c r="P736" s="35"/>
      <c r="Q736" s="37"/>
      <c r="R736" s="38"/>
      <c r="S736" s="33"/>
      <c r="T736" s="39">
        <v>550000</v>
      </c>
      <c r="U736" s="40" t="s">
        <v>115</v>
      </c>
      <c r="V736" s="41"/>
      <c r="W736" s="42" t="str">
        <f ca="1">IFERROR(__xludf.DUMMYFUNCTION("""COMPUTED_VALUE"""),"CV Fajar")</f>
        <v>CV Fajar</v>
      </c>
      <c r="X736" s="42" t="str">
        <f ca="1"/>
        <v>ON-CV Fajar-00011900+14-6281338789995</v>
      </c>
      <c r="Y736" s="40"/>
      <c r="Z736" s="40"/>
      <c r="AA736" s="23" t="str">
        <v>https://wa.me/6281338789995</v>
      </c>
      <c r="AB736" s="28"/>
      <c r="AC736" s="28"/>
      <c r="AD736" s="28"/>
      <c r="AE736" s="28"/>
      <c r="AF736" s="29"/>
      <c r="AG736" s="29"/>
    </row>
    <row r="737" spans="1:33" ht="15.75" customHeight="1">
      <c r="A737" s="32" t="s">
        <v>621</v>
      </c>
      <c r="B737" s="33">
        <v>745</v>
      </c>
      <c r="C737" s="34" t="s">
        <v>4598</v>
      </c>
      <c r="D737" s="35">
        <v>45892.901383993056</v>
      </c>
      <c r="E737" s="43">
        <v>45892</v>
      </c>
      <c r="F737" s="32" t="s">
        <v>4599</v>
      </c>
      <c r="G737" s="32" t="s">
        <v>4600</v>
      </c>
      <c r="H737" s="32" t="s">
        <v>1829</v>
      </c>
      <c r="I737" s="36" t="s">
        <v>4601</v>
      </c>
      <c r="J737" s="52"/>
      <c r="K737" s="32" t="s">
        <v>4602</v>
      </c>
      <c r="L737" s="32" t="s">
        <v>2631</v>
      </c>
      <c r="M737" s="32" t="s">
        <v>3687</v>
      </c>
      <c r="N737" s="33">
        <v>5</v>
      </c>
      <c r="O737" s="35"/>
      <c r="P737" s="35"/>
      <c r="Q737" s="37"/>
      <c r="R737" s="38"/>
      <c r="S737" s="33"/>
      <c r="T737" s="39">
        <v>197000</v>
      </c>
      <c r="U737" s="40" t="s">
        <v>1229</v>
      </c>
      <c r="V737" s="41"/>
      <c r="W737" s="42" t="str">
        <f ca="1">IFERROR(__xludf.DUMMYFUNCTION("""COMPUTED_VALUE"""),"Pandawa Transport")</f>
        <v>Pandawa Transport</v>
      </c>
      <c r="X737" s="42" t="str">
        <f ca="1"/>
        <v>ON-Pandawa Transport-00011900+5-6281231382365</v>
      </c>
      <c r="Y737" s="40"/>
      <c r="Z737" s="40"/>
      <c r="AA737" s="23" t="str">
        <v>https://wa.me/6281231382365</v>
      </c>
      <c r="AB737" s="28"/>
      <c r="AC737" s="28"/>
      <c r="AD737" s="28"/>
      <c r="AE737" s="28"/>
      <c r="AF737" s="29"/>
      <c r="AG737" s="29"/>
    </row>
    <row r="738" spans="1:33" ht="15.75" customHeight="1">
      <c r="A738" s="32" t="s">
        <v>196</v>
      </c>
      <c r="B738" s="33">
        <v>746</v>
      </c>
      <c r="C738" s="34" t="s">
        <v>4603</v>
      </c>
      <c r="D738" s="35">
        <v>45892.924143969911</v>
      </c>
      <c r="E738" s="43">
        <v>45892</v>
      </c>
      <c r="F738" s="32" t="s">
        <v>4604</v>
      </c>
      <c r="G738" s="32" t="s">
        <v>4605</v>
      </c>
      <c r="H738" s="32" t="s">
        <v>4606</v>
      </c>
      <c r="I738" s="36" t="s">
        <v>4607</v>
      </c>
      <c r="J738" s="52"/>
      <c r="K738" s="32" t="s">
        <v>4608</v>
      </c>
      <c r="L738" s="32" t="s">
        <v>1926</v>
      </c>
      <c r="M738" s="32" t="s">
        <v>92</v>
      </c>
      <c r="N738" s="33">
        <v>5</v>
      </c>
      <c r="O738" s="35"/>
      <c r="P738" s="35"/>
      <c r="Q738" s="37"/>
      <c r="R738" s="38"/>
      <c r="S738" s="33"/>
      <c r="T738" s="39">
        <v>197000</v>
      </c>
      <c r="U738" s="40" t="s">
        <v>1229</v>
      </c>
      <c r="V738" s="41"/>
      <c r="W738" s="42" t="str">
        <f ca="1">IFERROR(__xludf.DUMMYFUNCTION("""COMPUTED_VALUE"""),"Ajun travel")</f>
        <v>Ajun travel</v>
      </c>
      <c r="X738" s="42" t="str">
        <f ca="1"/>
        <v>ON-Ajun travel-00011900+5-6281359605566</v>
      </c>
      <c r="Y738" s="40" t="s">
        <v>62</v>
      </c>
      <c r="Z738" s="40" t="s">
        <v>1880</v>
      </c>
      <c r="AA738" s="23" t="str">
        <v>https://wa.me/6281359605566</v>
      </c>
      <c r="AB738" s="28" t="s">
        <v>4609</v>
      </c>
      <c r="AC738" s="28"/>
      <c r="AD738" s="28" t="s">
        <v>690</v>
      </c>
      <c r="AE738" s="28"/>
      <c r="AF738" s="29">
        <v>45897</v>
      </c>
      <c r="AG738" s="29"/>
    </row>
    <row r="739" spans="1:33" ht="15.75" customHeight="1">
      <c r="A739" s="32" t="s">
        <v>621</v>
      </c>
      <c r="B739" s="33">
        <v>747</v>
      </c>
      <c r="C739" s="34" t="s">
        <v>4610</v>
      </c>
      <c r="D739" s="35">
        <v>45892.92779913194</v>
      </c>
      <c r="E739" s="43">
        <v>45892</v>
      </c>
      <c r="F739" s="32" t="s">
        <v>4611</v>
      </c>
      <c r="G739" s="32" t="s">
        <v>4612</v>
      </c>
      <c r="H739" s="32" t="s">
        <v>1694</v>
      </c>
      <c r="I739" s="36" t="s">
        <v>4613</v>
      </c>
      <c r="J739" s="52"/>
      <c r="K739" s="32" t="s">
        <v>4614</v>
      </c>
      <c r="L739" s="32" t="s">
        <v>4615</v>
      </c>
      <c r="M739" s="32" t="s">
        <v>60</v>
      </c>
      <c r="N739" s="33">
        <v>10</v>
      </c>
      <c r="O739" s="35"/>
      <c r="P739" s="35"/>
      <c r="Q739" s="37"/>
      <c r="R739" s="38"/>
      <c r="S739" s="33"/>
      <c r="T739" s="39">
        <v>375000</v>
      </c>
      <c r="U739" s="40" t="s">
        <v>61</v>
      </c>
      <c r="V739" s="41"/>
      <c r="W739" s="42" t="str">
        <f ca="1">IFERROR(__xludf.DUMMYFUNCTION("""COMPUTED_VALUE"""),"TERAPHY HIPNOSIS")</f>
        <v>TERAPHY HIPNOSIS</v>
      </c>
      <c r="X739" s="42" t="str">
        <f ca="1"/>
        <v>ON-TERAPHY HIPNOSIS-00011900+10-628720705874</v>
      </c>
      <c r="Y739" s="40"/>
      <c r="Z739" s="40"/>
      <c r="AA739" s="23" t="str">
        <v>https://wa.me/628720705874</v>
      </c>
      <c r="AB739" s="28"/>
      <c r="AC739" s="28"/>
      <c r="AD739" s="28"/>
      <c r="AE739" s="28"/>
      <c r="AF739" s="29"/>
      <c r="AG739" s="29"/>
    </row>
    <row r="740" spans="1:33" ht="15.75" customHeight="1">
      <c r="A740" s="32" t="s">
        <v>52</v>
      </c>
      <c r="B740" s="33">
        <v>748</v>
      </c>
      <c r="C740" s="34" t="s">
        <v>4616</v>
      </c>
      <c r="D740" s="35">
        <v>45893.294821145828</v>
      </c>
      <c r="E740" s="43">
        <v>45893</v>
      </c>
      <c r="F740" s="32" t="s">
        <v>1751</v>
      </c>
      <c r="G740" s="32" t="s">
        <v>1752</v>
      </c>
      <c r="H740" s="32" t="s">
        <v>1753</v>
      </c>
      <c r="I740" s="36" t="s">
        <v>1754</v>
      </c>
      <c r="J740" s="52"/>
      <c r="K740" s="32" t="s">
        <v>1755</v>
      </c>
      <c r="L740" s="32" t="s">
        <v>1542</v>
      </c>
      <c r="M740" s="32" t="s">
        <v>60</v>
      </c>
      <c r="N740" s="33">
        <v>5</v>
      </c>
      <c r="O740" s="35"/>
      <c r="P740" s="35"/>
      <c r="Q740" s="37"/>
      <c r="R740" s="38"/>
      <c r="S740" s="33"/>
      <c r="T740" s="39">
        <v>197000</v>
      </c>
      <c r="U740" s="40" t="s">
        <v>61</v>
      </c>
      <c r="V740" s="41"/>
      <c r="W740" s="42" t="str">
        <f ca="1">IFERROR(__xludf.DUMMYFUNCTION("""COMPUTED_VALUE"""),"Rumah Terapi")</f>
        <v>Rumah Terapi</v>
      </c>
      <c r="X740" s="42" t="str">
        <f ca="1"/>
        <v>ON-Rumah Terapi-00011900+5-6281779578317</v>
      </c>
      <c r="Y740" s="40"/>
      <c r="Z740" s="40"/>
      <c r="AA740" s="23" t="str">
        <v>https://wa.me/6281779578317</v>
      </c>
      <c r="AB740" s="28"/>
      <c r="AC740" s="28"/>
      <c r="AD740" s="28"/>
      <c r="AE740" s="28"/>
      <c r="AF740" s="29"/>
      <c r="AG740" s="29"/>
    </row>
    <row r="741" spans="1:33" ht="15.75" customHeight="1">
      <c r="A741" s="32" t="s">
        <v>621</v>
      </c>
      <c r="B741" s="33">
        <v>749</v>
      </c>
      <c r="C741" s="34" t="s">
        <v>4617</v>
      </c>
      <c r="D741" s="35">
        <v>45893.381841504626</v>
      </c>
      <c r="E741" s="43">
        <v>45893</v>
      </c>
      <c r="F741" s="32" t="s">
        <v>4618</v>
      </c>
      <c r="G741" s="32" t="s">
        <v>4619</v>
      </c>
      <c r="H741" s="32" t="s">
        <v>4620</v>
      </c>
      <c r="I741" s="36" t="s">
        <v>4621</v>
      </c>
      <c r="J741" s="52"/>
      <c r="K741" s="32" t="s">
        <v>1024</v>
      </c>
      <c r="L741" s="32" t="s">
        <v>4622</v>
      </c>
      <c r="M741" s="32" t="s">
        <v>92</v>
      </c>
      <c r="N741" s="33">
        <v>5</v>
      </c>
      <c r="O741" s="35"/>
      <c r="P741" s="35"/>
      <c r="Q741" s="37"/>
      <c r="R741" s="38"/>
      <c r="S741" s="33"/>
      <c r="T741" s="39">
        <v>197000</v>
      </c>
      <c r="U741" s="40" t="s">
        <v>1229</v>
      </c>
      <c r="V741" s="41"/>
      <c r="W741" s="42" t="str">
        <f ca="1">IFERROR(__xludf.DUMMYFUNCTION("""COMPUTED_VALUE"""),"Happy Jogja")</f>
        <v>Happy Jogja</v>
      </c>
      <c r="X741" s="42" t="str">
        <f ca="1"/>
        <v>ON-Happy Jogja-00011900+5-6281328027701</v>
      </c>
      <c r="Y741" s="40"/>
      <c r="Z741" s="40"/>
      <c r="AA741" s="23" t="str">
        <v>https://wa.me/6281328027701</v>
      </c>
      <c r="AB741" s="28"/>
      <c r="AC741" s="28"/>
      <c r="AD741" s="28"/>
      <c r="AE741" s="28"/>
      <c r="AF741" s="29"/>
      <c r="AG741" s="29"/>
    </row>
    <row r="742" spans="1:33" ht="15.75" customHeight="1">
      <c r="A742" s="32" t="s">
        <v>621</v>
      </c>
      <c r="B742" s="33">
        <v>750</v>
      </c>
      <c r="C742" s="34" t="s">
        <v>4623</v>
      </c>
      <c r="D742" s="35">
        <v>45893.462289513889</v>
      </c>
      <c r="E742" s="43">
        <v>45893</v>
      </c>
      <c r="F742" s="32" t="s">
        <v>4624</v>
      </c>
      <c r="G742" s="32" t="s">
        <v>4625</v>
      </c>
      <c r="H742" s="32" t="s">
        <v>4626</v>
      </c>
      <c r="I742" s="36" t="s">
        <v>4627</v>
      </c>
      <c r="J742" s="52"/>
      <c r="K742" s="32" t="s">
        <v>4076</v>
      </c>
      <c r="L742" s="32" t="s">
        <v>2500</v>
      </c>
      <c r="M742" s="32" t="s">
        <v>3687</v>
      </c>
      <c r="N742" s="33">
        <v>5</v>
      </c>
      <c r="O742" s="35"/>
      <c r="P742" s="35"/>
      <c r="Q742" s="37"/>
      <c r="R742" s="38"/>
      <c r="S742" s="33"/>
      <c r="T742" s="39">
        <v>197000</v>
      </c>
      <c r="U742" s="40" t="s">
        <v>1229</v>
      </c>
      <c r="V742" s="41"/>
      <c r="W742" s="42" t="str">
        <f ca="1">IFERROR(__xludf.DUMMYFUNCTION("""COMPUTED_VALUE"""),"travel and")</f>
        <v>travel and</v>
      </c>
      <c r="X742" s="42" t="str">
        <f ca="1"/>
        <v>ON-travel and-00011900+5-628152343305</v>
      </c>
      <c r="Y742" s="40"/>
      <c r="Z742" s="40"/>
      <c r="AA742" s="23" t="str">
        <v>https://wa.me/628152343305</v>
      </c>
      <c r="AB742" s="28"/>
      <c r="AC742" s="28"/>
      <c r="AD742" s="28"/>
      <c r="AE742" s="28"/>
      <c r="AF742" s="29"/>
      <c r="AG742" s="29"/>
    </row>
    <row r="743" spans="1:33" ht="15.75" customHeight="1">
      <c r="A743" s="32" t="s">
        <v>621</v>
      </c>
      <c r="B743" s="33">
        <v>751</v>
      </c>
      <c r="C743" s="34" t="s">
        <v>4628</v>
      </c>
      <c r="D743" s="35">
        <v>45893.571802905091</v>
      </c>
      <c r="E743" s="43">
        <v>45893</v>
      </c>
      <c r="F743" s="32" t="s">
        <v>4629</v>
      </c>
      <c r="G743" s="32" t="s">
        <v>507</v>
      </c>
      <c r="H743" s="32" t="s">
        <v>4630</v>
      </c>
      <c r="I743" s="36" t="s">
        <v>4631</v>
      </c>
      <c r="J743" s="52"/>
      <c r="K743" s="32" t="s">
        <v>4632</v>
      </c>
      <c r="L743" s="32" t="s">
        <v>92</v>
      </c>
      <c r="M743" s="32" t="s">
        <v>92</v>
      </c>
      <c r="N743" s="33">
        <v>7</v>
      </c>
      <c r="O743" s="35"/>
      <c r="P743" s="35"/>
      <c r="Q743" s="37"/>
      <c r="R743" s="38"/>
      <c r="S743" s="33"/>
      <c r="T743" s="39">
        <v>297000</v>
      </c>
      <c r="U743" s="40" t="s">
        <v>1229</v>
      </c>
      <c r="V743" s="41"/>
      <c r="W743" s="42" t="str">
        <f ca="1">IFERROR(__xludf.DUMMYFUNCTION("""COMPUTED_VALUE"""),"bengkel las")</f>
        <v>bengkel las</v>
      </c>
      <c r="X743" s="42" t="str">
        <f ca="1"/>
        <v>ON-bengkel las-00011900+7-6281234132926</v>
      </c>
      <c r="Y743" s="40"/>
      <c r="Z743" s="40"/>
      <c r="AA743" s="23" t="str">
        <v>https://wa.me/6281234132926</v>
      </c>
      <c r="AB743" s="28"/>
      <c r="AC743" s="28"/>
      <c r="AD743" s="28"/>
      <c r="AE743" s="28"/>
      <c r="AF743" s="29"/>
      <c r="AG743" s="29"/>
    </row>
    <row r="744" spans="1:33" ht="15.75" customHeight="1">
      <c r="A744" s="32" t="s">
        <v>52</v>
      </c>
      <c r="B744" s="33">
        <v>752</v>
      </c>
      <c r="C744" s="34" t="s">
        <v>4633</v>
      </c>
      <c r="D744" s="35">
        <v>45893.755208946764</v>
      </c>
      <c r="E744" s="43">
        <v>45893</v>
      </c>
      <c r="F744" s="32" t="s">
        <v>513</v>
      </c>
      <c r="G744" s="32" t="s">
        <v>514</v>
      </c>
      <c r="H744" s="32" t="s">
        <v>515</v>
      </c>
      <c r="I744" s="36" t="s">
        <v>516</v>
      </c>
      <c r="J744" s="52"/>
      <c r="K744" s="32" t="s">
        <v>517</v>
      </c>
      <c r="L744" s="32" t="s">
        <v>518</v>
      </c>
      <c r="M744" s="32" t="s">
        <v>131</v>
      </c>
      <c r="N744" s="33">
        <v>5</v>
      </c>
      <c r="O744" s="35"/>
      <c r="P744" s="35"/>
      <c r="Q744" s="37"/>
      <c r="R744" s="38"/>
      <c r="S744" s="33"/>
      <c r="T744" s="39">
        <v>197000</v>
      </c>
      <c r="U744" s="40" t="s">
        <v>61</v>
      </c>
      <c r="V744" s="41"/>
      <c r="W744" s="42" t="str">
        <f ca="1">IFERROR(__xludf.DUMMYFUNCTION("""COMPUTED_VALUE"""),"Bengkel Las")</f>
        <v>Bengkel Las</v>
      </c>
      <c r="X744" s="42" t="str">
        <f ca="1"/>
        <v>ON-Bengkel Las-00011900+5-6282393168368</v>
      </c>
      <c r="Y744" s="40"/>
      <c r="Z744" s="40"/>
      <c r="AA744" s="23" t="str">
        <v>https://wa.me/6282393168368</v>
      </c>
      <c r="AB744" s="28"/>
      <c r="AC744" s="28"/>
      <c r="AD744" s="28"/>
      <c r="AE744" s="28"/>
      <c r="AF744" s="29"/>
      <c r="AG744" s="29"/>
    </row>
    <row r="745" spans="1:33" ht="15.75" customHeight="1">
      <c r="A745" s="32" t="s">
        <v>621</v>
      </c>
      <c r="B745" s="33">
        <v>753</v>
      </c>
      <c r="C745" s="34" t="s">
        <v>4634</v>
      </c>
      <c r="D745" s="35">
        <v>45894.316788310185</v>
      </c>
      <c r="E745" s="43">
        <v>45893</v>
      </c>
      <c r="F745" s="32" t="s">
        <v>4635</v>
      </c>
      <c r="G745" s="32" t="s">
        <v>4636</v>
      </c>
      <c r="H745" s="32" t="s">
        <v>4637</v>
      </c>
      <c r="I745" s="36" t="s">
        <v>4638</v>
      </c>
      <c r="J745" s="52" t="s">
        <v>4639</v>
      </c>
      <c r="K745" s="32" t="s">
        <v>4640</v>
      </c>
      <c r="L745" s="32" t="s">
        <v>92</v>
      </c>
      <c r="M745" s="32" t="s">
        <v>4641</v>
      </c>
      <c r="N745" s="33">
        <v>5</v>
      </c>
      <c r="O745" s="35"/>
      <c r="P745" s="35"/>
      <c r="Q745" s="37"/>
      <c r="R745" s="38"/>
      <c r="S745" s="33"/>
      <c r="T745" s="39">
        <v>197000</v>
      </c>
      <c r="U745" s="40" t="s">
        <v>1229</v>
      </c>
      <c r="V745" s="41"/>
      <c r="W745" s="42" t="str">
        <f ca="1">IFERROR(__xludf.DUMMYFUNCTION("""COMPUTED_VALUE"""),"Terazzo dan")</f>
        <v>Terazzo dan</v>
      </c>
      <c r="X745" s="42" t="str">
        <f ca="1"/>
        <v>ON-Terazzo dan-00011900+5-6287849666629</v>
      </c>
      <c r="Y745" s="40"/>
      <c r="Z745" s="40"/>
      <c r="AA745" s="23" t="str">
        <v>https://wa.me/6287849666629</v>
      </c>
      <c r="AB745" s="28"/>
      <c r="AC745" s="28"/>
      <c r="AD745" s="28"/>
      <c r="AE745" s="28"/>
      <c r="AF745" s="29"/>
      <c r="AG745" s="29"/>
    </row>
    <row r="746" spans="1:33" ht="15.75" customHeight="1">
      <c r="A746" s="32" t="s">
        <v>621</v>
      </c>
      <c r="B746" s="33">
        <v>754</v>
      </c>
      <c r="C746" s="34" t="s">
        <v>4642</v>
      </c>
      <c r="D746" s="33" t="s">
        <v>4643</v>
      </c>
      <c r="E746" s="43">
        <v>45892</v>
      </c>
      <c r="F746" s="32" t="s">
        <v>4611</v>
      </c>
      <c r="G746" s="32" t="s">
        <v>4612</v>
      </c>
      <c r="H746" s="32" t="s">
        <v>1694</v>
      </c>
      <c r="I746" s="36" t="s">
        <v>4644</v>
      </c>
      <c r="J746" s="52"/>
      <c r="K746" s="32" t="s">
        <v>4645</v>
      </c>
      <c r="L746" s="32" t="s">
        <v>4615</v>
      </c>
      <c r="M746" s="32" t="s">
        <v>60</v>
      </c>
      <c r="N746" s="33">
        <v>10</v>
      </c>
      <c r="O746" s="35"/>
      <c r="P746" s="35"/>
      <c r="Q746" s="37"/>
      <c r="R746" s="38">
        <v>-1003470351325</v>
      </c>
      <c r="S746" s="33"/>
      <c r="T746" s="39">
        <v>375000</v>
      </c>
      <c r="U746" s="40" t="s">
        <v>61</v>
      </c>
      <c r="V746" s="47">
        <v>45999.702567395834</v>
      </c>
      <c r="W746" s="42" t="str">
        <f ca="1">IFERROR(__xludf.DUMMYFUNCTION("""COMPUTED_VALUE"""),"TERAPHY HIPNOSIS")</f>
        <v>TERAPHY HIPNOSIS</v>
      </c>
      <c r="X746" s="42" t="str">
        <f ca="1"/>
        <v>ON-TERAPHY HIPNOSIS-08122025+10-6285720705874</v>
      </c>
      <c r="Y746" s="40"/>
      <c r="Z746" s="40"/>
      <c r="AA746" s="23" t="str">
        <v>https://wa.me/6285720705874</v>
      </c>
      <c r="AB746" s="28"/>
      <c r="AC746" s="28"/>
      <c r="AD746" s="28"/>
      <c r="AE746" s="28"/>
      <c r="AF746" s="29"/>
      <c r="AG746" s="29"/>
    </row>
    <row r="747" spans="1:33" ht="15.75" customHeight="1">
      <c r="A747" s="32" t="s">
        <v>52</v>
      </c>
      <c r="B747" s="33">
        <v>755</v>
      </c>
      <c r="C747" s="34" t="s">
        <v>4646</v>
      </c>
      <c r="D747" s="35">
        <v>45894.361888425927</v>
      </c>
      <c r="E747" s="43">
        <v>45894</v>
      </c>
      <c r="F747" s="32" t="s">
        <v>3722</v>
      </c>
      <c r="G747" s="32" t="s">
        <v>3723</v>
      </c>
      <c r="H747" s="32" t="s">
        <v>3724</v>
      </c>
      <c r="I747" s="36" t="s">
        <v>3725</v>
      </c>
      <c r="J747" s="52"/>
      <c r="K747" s="32" t="s">
        <v>3726</v>
      </c>
      <c r="L747" s="32" t="s">
        <v>3727</v>
      </c>
      <c r="M747" s="32" t="s">
        <v>2655</v>
      </c>
      <c r="N747" s="33">
        <v>10</v>
      </c>
      <c r="O747" s="35"/>
      <c r="P747" s="35"/>
      <c r="Q747" s="37"/>
      <c r="R747" s="38"/>
      <c r="S747" s="33"/>
      <c r="T747" s="39">
        <v>375000</v>
      </c>
      <c r="U747" s="40" t="s">
        <v>1229</v>
      </c>
      <c r="V747" s="41"/>
      <c r="W747" s="42" t="str">
        <f ca="1">IFERROR(__xludf.DUMMYFUNCTION("""COMPUTED_VALUE"""),"PWG (Prife")</f>
        <v>PWG (Prife</v>
      </c>
      <c r="X747" s="42" t="str">
        <f ca="1"/>
        <v>ON-PWG (Prife-00011900+10-6281915041833</v>
      </c>
      <c r="Y747" s="40"/>
      <c r="Z747" s="40"/>
      <c r="AA747" s="23" t="str">
        <v>https://wa.me/6281915041833</v>
      </c>
      <c r="AB747" s="28"/>
      <c r="AC747" s="28"/>
      <c r="AD747" s="28"/>
      <c r="AE747" s="28"/>
      <c r="AF747" s="29"/>
      <c r="AG747" s="29"/>
    </row>
    <row r="748" spans="1:33" ht="15.75" customHeight="1">
      <c r="A748" s="32" t="s">
        <v>196</v>
      </c>
      <c r="B748" s="33">
        <v>756</v>
      </c>
      <c r="C748" s="34" t="s">
        <v>4647</v>
      </c>
      <c r="D748" s="35">
        <v>45894.37337862268</v>
      </c>
      <c r="E748" s="43">
        <v>45894</v>
      </c>
      <c r="F748" s="32" t="s">
        <v>4648</v>
      </c>
      <c r="G748" s="32" t="s">
        <v>4649</v>
      </c>
      <c r="H748" s="32" t="s">
        <v>4650</v>
      </c>
      <c r="I748" s="36" t="s">
        <v>4651</v>
      </c>
      <c r="J748" s="52"/>
      <c r="K748" s="32" t="s">
        <v>4652</v>
      </c>
      <c r="L748" s="32" t="s">
        <v>940</v>
      </c>
      <c r="M748" s="32" t="s">
        <v>60</v>
      </c>
      <c r="N748" s="33">
        <v>5</v>
      </c>
      <c r="O748" s="35">
        <v>45897</v>
      </c>
      <c r="P748" s="35">
        <v>45902</v>
      </c>
      <c r="Q748" s="37"/>
      <c r="R748" s="38"/>
      <c r="S748" s="33"/>
      <c r="T748" s="39">
        <v>197000</v>
      </c>
      <c r="U748" s="40" t="s">
        <v>61</v>
      </c>
      <c r="V748" s="41"/>
      <c r="W748" s="42" t="str">
        <f ca="1">IFERROR(__xludf.DUMMYFUNCTION("""COMPUTED_VALUE"""),"Jasa Renovasi")</f>
        <v>Jasa Renovasi</v>
      </c>
      <c r="X748" s="42" t="str">
        <f ca="1"/>
        <v>ON-Jasa Renovasi-00011900+5-6281353892010</v>
      </c>
      <c r="Y748" s="40" t="s">
        <v>293</v>
      </c>
      <c r="Z748" s="40" t="s">
        <v>1057</v>
      </c>
      <c r="AA748" s="23" t="str">
        <v>https://wa.me/6281353892010</v>
      </c>
      <c r="AB748" s="28" t="s">
        <v>4653</v>
      </c>
      <c r="AC748" s="28"/>
      <c r="AD748" s="28" t="s">
        <v>690</v>
      </c>
      <c r="AE748" s="28"/>
      <c r="AF748" s="29">
        <v>45897</v>
      </c>
      <c r="AG748" s="29"/>
    </row>
    <row r="749" spans="1:33" ht="15.75" customHeight="1">
      <c r="A749" s="32" t="s">
        <v>196</v>
      </c>
      <c r="B749" s="33">
        <v>757</v>
      </c>
      <c r="C749" s="34" t="s">
        <v>4654</v>
      </c>
      <c r="D749" s="35">
        <v>46055</v>
      </c>
      <c r="E749" s="43">
        <v>45894</v>
      </c>
      <c r="F749" s="32" t="s">
        <v>4655</v>
      </c>
      <c r="G749" s="32" t="s">
        <v>4656</v>
      </c>
      <c r="H749" s="32" t="s">
        <v>4657</v>
      </c>
      <c r="I749" s="36" t="s">
        <v>4658</v>
      </c>
      <c r="J749" s="52"/>
      <c r="K749" s="32" t="s">
        <v>4659</v>
      </c>
      <c r="L749" s="32" t="s">
        <v>4660</v>
      </c>
      <c r="M749" s="32" t="s">
        <v>382</v>
      </c>
      <c r="N749" s="33">
        <v>7</v>
      </c>
      <c r="O749" s="35"/>
      <c r="P749" s="35"/>
      <c r="Q749" s="37"/>
      <c r="R749" s="38">
        <v>-1003470351325</v>
      </c>
      <c r="S749" s="33"/>
      <c r="T749" s="39">
        <v>297000</v>
      </c>
      <c r="U749" s="40" t="s">
        <v>115</v>
      </c>
      <c r="V749" s="47">
        <v>46056.349797592593</v>
      </c>
      <c r="W749" s="42" t="str">
        <f ca="1">IFERROR(__xludf.DUMMYFUNCTION("""COMPUTED_VALUE"""),"PT. Rizmia")</f>
        <v>PT. Rizmia</v>
      </c>
      <c r="X749" s="42" t="str">
        <f ca="1"/>
        <v>ON-PT. Rizmia-03022026+7-6281376129355</v>
      </c>
      <c r="Y749" s="40" t="s">
        <v>293</v>
      </c>
      <c r="Z749" s="40" t="s">
        <v>1057</v>
      </c>
      <c r="AA749" s="23" t="str">
        <v>https://wa.me/6281376129355</v>
      </c>
      <c r="AB749" s="28" t="s">
        <v>4661</v>
      </c>
      <c r="AC749" s="28"/>
      <c r="AD749" s="28" t="s">
        <v>690</v>
      </c>
      <c r="AE749" s="28"/>
      <c r="AF749" s="29">
        <v>45897</v>
      </c>
      <c r="AG749" s="29"/>
    </row>
    <row r="750" spans="1:33" ht="15.75" customHeight="1">
      <c r="A750" s="32" t="s">
        <v>196</v>
      </c>
      <c r="B750" s="33">
        <v>758</v>
      </c>
      <c r="C750" s="34" t="s">
        <v>4662</v>
      </c>
      <c r="D750" s="35">
        <v>45894.580849791666</v>
      </c>
      <c r="E750" s="43">
        <v>45894</v>
      </c>
      <c r="F750" s="32" t="s">
        <v>4663</v>
      </c>
      <c r="G750" s="32" t="s">
        <v>4664</v>
      </c>
      <c r="H750" s="32" t="s">
        <v>4665</v>
      </c>
      <c r="I750" s="36" t="s">
        <v>4666</v>
      </c>
      <c r="J750" s="52"/>
      <c r="K750" s="32" t="s">
        <v>4667</v>
      </c>
      <c r="L750" s="32" t="s">
        <v>1235</v>
      </c>
      <c r="M750" s="32" t="s">
        <v>4668</v>
      </c>
      <c r="N750" s="33">
        <v>7</v>
      </c>
      <c r="O750" s="35"/>
      <c r="P750" s="35"/>
      <c r="Q750" s="37"/>
      <c r="R750" s="38"/>
      <c r="S750" s="33"/>
      <c r="T750" s="39">
        <v>297000</v>
      </c>
      <c r="U750" s="40" t="s">
        <v>1229</v>
      </c>
      <c r="V750" s="41"/>
      <c r="W750" s="42" t="str">
        <f ca="1">IFERROR(__xludf.DUMMYFUNCTION("""COMPUTED_VALUE"""),"Sangkal Putung")</f>
        <v>Sangkal Putung</v>
      </c>
      <c r="X750" s="42" t="str">
        <f ca="1"/>
        <v>ON-Sangkal Putung-00011900+7-6281226825253</v>
      </c>
      <c r="Y750" s="40" t="s">
        <v>62</v>
      </c>
      <c r="Z750" s="40" t="s">
        <v>639</v>
      </c>
      <c r="AA750" s="23" t="str">
        <v>https://wa.me/6281226825253</v>
      </c>
      <c r="AB750" s="28" t="s">
        <v>4669</v>
      </c>
      <c r="AC750" s="28"/>
      <c r="AD750" s="28" t="s">
        <v>690</v>
      </c>
      <c r="AE750" s="28"/>
      <c r="AF750" s="29">
        <v>45897</v>
      </c>
      <c r="AG750" s="29"/>
    </row>
    <row r="751" spans="1:33" ht="15.75" customHeight="1">
      <c r="A751" s="32" t="s">
        <v>196</v>
      </c>
      <c r="B751" s="33">
        <v>759</v>
      </c>
      <c r="C751" s="34" t="s">
        <v>4670</v>
      </c>
      <c r="D751" s="35">
        <v>45894.681770520838</v>
      </c>
      <c r="E751" s="43">
        <v>45894</v>
      </c>
      <c r="F751" s="32" t="s">
        <v>4671</v>
      </c>
      <c r="G751" s="32" t="s">
        <v>4672</v>
      </c>
      <c r="H751" s="32" t="s">
        <v>4673</v>
      </c>
      <c r="I751" s="36" t="s">
        <v>4674</v>
      </c>
      <c r="J751" s="52" t="s">
        <v>4675</v>
      </c>
      <c r="K751" s="32" t="s">
        <v>4676</v>
      </c>
      <c r="L751" s="32" t="s">
        <v>92</v>
      </c>
      <c r="M751" s="32" t="s">
        <v>285</v>
      </c>
      <c r="N751" s="33">
        <v>5</v>
      </c>
      <c r="O751" s="35">
        <v>45900</v>
      </c>
      <c r="P751" s="35">
        <v>45904</v>
      </c>
      <c r="Q751" s="37"/>
      <c r="R751" s="38"/>
      <c r="S751" s="33"/>
      <c r="T751" s="39">
        <v>197000</v>
      </c>
      <c r="U751" s="40" t="s">
        <v>1229</v>
      </c>
      <c r="V751" s="41"/>
      <c r="W751" s="42" t="str">
        <f ca="1">IFERROR(__xludf.DUMMYFUNCTION("""COMPUTED_VALUE"""),"Klinik physio")</f>
        <v>Klinik physio</v>
      </c>
      <c r="X751" s="42" t="str">
        <f ca="1"/>
        <v>ON-Klinik physio-00011900+5-6287863509004</v>
      </c>
      <c r="Y751" s="40" t="s">
        <v>62</v>
      </c>
      <c r="Z751" s="40" t="s">
        <v>639</v>
      </c>
      <c r="AA751" s="23" t="str">
        <v>https://wa.me/6287863509004</v>
      </c>
      <c r="AB751" s="28" t="s">
        <v>4677</v>
      </c>
      <c r="AC751" s="28"/>
      <c r="AD751" s="28" t="s">
        <v>690</v>
      </c>
      <c r="AE751" s="28"/>
      <c r="AF751" s="29">
        <v>45897</v>
      </c>
      <c r="AG751" s="29"/>
    </row>
    <row r="752" spans="1:33" ht="15.75" customHeight="1">
      <c r="A752" s="32" t="s">
        <v>196</v>
      </c>
      <c r="B752" s="33">
        <v>760</v>
      </c>
      <c r="C752" s="34" t="s">
        <v>4678</v>
      </c>
      <c r="D752" s="35">
        <v>45894.730905289354</v>
      </c>
      <c r="E752" s="43">
        <v>45894</v>
      </c>
      <c r="F752" s="32" t="s">
        <v>4679</v>
      </c>
      <c r="G752" s="32" t="s">
        <v>4680</v>
      </c>
      <c r="H752" s="32" t="s">
        <v>4681</v>
      </c>
      <c r="I752" s="36" t="s">
        <v>4682</v>
      </c>
      <c r="J752" s="52"/>
      <c r="K752" s="32" t="s">
        <v>1024</v>
      </c>
      <c r="L752" s="32" t="s">
        <v>1957</v>
      </c>
      <c r="M752" s="32" t="s">
        <v>285</v>
      </c>
      <c r="N752" s="33">
        <v>5</v>
      </c>
      <c r="O752" s="35">
        <v>45900</v>
      </c>
      <c r="P752" s="35">
        <v>45904</v>
      </c>
      <c r="Q752" s="37"/>
      <c r="R752" s="38"/>
      <c r="S752" s="33"/>
      <c r="T752" s="39">
        <v>197000</v>
      </c>
      <c r="U752" s="40" t="s">
        <v>1229</v>
      </c>
      <c r="V752" s="41"/>
      <c r="W752" s="42" t="str">
        <f ca="1">IFERROR(__xludf.DUMMYFUNCTION("""COMPUTED_VALUE"""),"LKP/LPK amoeskin")</f>
        <v>LKP/LPK amoeskin</v>
      </c>
      <c r="X752" s="42" t="str">
        <f ca="1"/>
        <v>ON-LKP/LPK amoeskin-00011900+5-6285194619788</v>
      </c>
      <c r="Y752" s="40" t="s">
        <v>62</v>
      </c>
      <c r="Z752" s="40" t="s">
        <v>639</v>
      </c>
      <c r="AA752" s="23" t="str">
        <v>https://wa.me/6285194619788</v>
      </c>
      <c r="AB752" s="28" t="s">
        <v>4683</v>
      </c>
      <c r="AC752" s="28"/>
      <c r="AD752" s="28" t="s">
        <v>690</v>
      </c>
      <c r="AE752" s="28"/>
      <c r="AF752" s="29">
        <v>45897</v>
      </c>
      <c r="AG752" s="29"/>
    </row>
    <row r="753" spans="1:33" ht="15.75" customHeight="1">
      <c r="A753" s="32" t="s">
        <v>52</v>
      </c>
      <c r="B753" s="33">
        <v>761</v>
      </c>
      <c r="C753" s="34" t="s">
        <v>4684</v>
      </c>
      <c r="D753" s="35">
        <v>45894.811562951392</v>
      </c>
      <c r="E753" s="43">
        <v>45894</v>
      </c>
      <c r="F753" s="32" t="s">
        <v>1758</v>
      </c>
      <c r="G753" s="32" t="s">
        <v>1759</v>
      </c>
      <c r="H753" s="32" t="s">
        <v>1760</v>
      </c>
      <c r="I753" s="36" t="s">
        <v>1761</v>
      </c>
      <c r="J753" s="52"/>
      <c r="K753" s="32" t="s">
        <v>4685</v>
      </c>
      <c r="L753" s="32" t="s">
        <v>4686</v>
      </c>
      <c r="M753" s="32" t="s">
        <v>726</v>
      </c>
      <c r="N753" s="33">
        <v>10</v>
      </c>
      <c r="O753" s="35"/>
      <c r="P753" s="35"/>
      <c r="Q753" s="37"/>
      <c r="R753" s="38"/>
      <c r="S753" s="33"/>
      <c r="T753" s="39">
        <v>375000</v>
      </c>
      <c r="U753" s="40" t="s">
        <v>115</v>
      </c>
      <c r="V753" s="41"/>
      <c r="W753" s="42" t="str">
        <f ca="1">IFERROR(__xludf.DUMMYFUNCTION("""COMPUTED_VALUE"""),"AMT Sukabumi")</f>
        <v>AMT Sukabumi</v>
      </c>
      <c r="X753" s="42" t="str">
        <f ca="1"/>
        <v>ON-AMT Sukabumi-00011900+10-6285311472244</v>
      </c>
      <c r="Y753" s="40"/>
      <c r="Z753" s="40"/>
      <c r="AA753" s="23" t="str">
        <v>https://wa.me/6285311472244</v>
      </c>
      <c r="AB753" s="28"/>
      <c r="AC753" s="28"/>
      <c r="AD753" s="28"/>
      <c r="AE753" s="28"/>
      <c r="AF753" s="29"/>
      <c r="AG753" s="29"/>
    </row>
    <row r="754" spans="1:33" ht="15.75" customHeight="1">
      <c r="A754" s="32" t="s">
        <v>52</v>
      </c>
      <c r="B754" s="33">
        <v>762</v>
      </c>
      <c r="C754" s="34" t="s">
        <v>4687</v>
      </c>
      <c r="D754" s="35">
        <v>45895.202309479166</v>
      </c>
      <c r="E754" s="43">
        <v>45894</v>
      </c>
      <c r="F754" s="32" t="s">
        <v>738</v>
      </c>
      <c r="G754" s="32" t="s">
        <v>739</v>
      </c>
      <c r="H754" s="32" t="s">
        <v>740</v>
      </c>
      <c r="I754" s="36" t="s">
        <v>741</v>
      </c>
      <c r="J754" s="52"/>
      <c r="K754" s="32" t="s">
        <v>1262</v>
      </c>
      <c r="L754" s="32" t="s">
        <v>629</v>
      </c>
      <c r="M754" s="32" t="s">
        <v>743</v>
      </c>
      <c r="N754" s="33">
        <v>14</v>
      </c>
      <c r="O754" s="35"/>
      <c r="P754" s="35"/>
      <c r="Q754" s="37"/>
      <c r="R754" s="38"/>
      <c r="S754" s="33"/>
      <c r="T754" s="39">
        <v>500000</v>
      </c>
      <c r="U754" s="40" t="s">
        <v>115</v>
      </c>
      <c r="V754" s="41"/>
      <c r="W754" s="42" t="str">
        <f ca="1">IFERROR(__xludf.DUMMYFUNCTION("""COMPUTED_VALUE"""),"PT. Panorama")</f>
        <v>PT. Panorama</v>
      </c>
      <c r="X754" s="42" t="str">
        <f ca="1"/>
        <v>ON-PT. Panorama-00011900+14-628122102657</v>
      </c>
      <c r="Y754" s="40"/>
      <c r="Z754" s="40"/>
      <c r="AA754" s="23" t="str">
        <v>https://wa.me/628122102657</v>
      </c>
      <c r="AB754" s="28"/>
      <c r="AC754" s="28"/>
      <c r="AD754" s="28"/>
      <c r="AE754" s="28"/>
      <c r="AF754" s="29"/>
      <c r="AG754" s="29"/>
    </row>
    <row r="755" spans="1:33" ht="15.75" customHeight="1">
      <c r="A755" s="32" t="s">
        <v>196</v>
      </c>
      <c r="B755" s="33">
        <v>763</v>
      </c>
      <c r="C755" s="34" t="s">
        <v>4688</v>
      </c>
      <c r="D755" s="43">
        <v>46048</v>
      </c>
      <c r="E755" s="43">
        <v>45895</v>
      </c>
      <c r="F755" s="32" t="s">
        <v>4689</v>
      </c>
      <c r="G755" s="32" t="s">
        <v>4690</v>
      </c>
      <c r="H755" s="32" t="s">
        <v>3927</v>
      </c>
      <c r="I755" s="36" t="s">
        <v>4691</v>
      </c>
      <c r="J755" s="52"/>
      <c r="K755" s="32" t="s">
        <v>3520</v>
      </c>
      <c r="L755" s="32" t="s">
        <v>964</v>
      </c>
      <c r="M755" s="32" t="s">
        <v>382</v>
      </c>
      <c r="N755" s="33">
        <v>30</v>
      </c>
      <c r="O755" s="35"/>
      <c r="P755" s="35"/>
      <c r="Q755" s="37"/>
      <c r="R755" s="38">
        <v>-1003470351325</v>
      </c>
      <c r="S755" s="33"/>
      <c r="T755" s="39">
        <v>1000000</v>
      </c>
      <c r="U755" s="40" t="s">
        <v>115</v>
      </c>
      <c r="V755" s="47">
        <v>46048.343378495367</v>
      </c>
      <c r="W755" s="42" t="str">
        <f ca="1">IFERROR(__xludf.DUMMYFUNCTION("""COMPUTED_VALUE"""),"MEGAH PLAFON")</f>
        <v>MEGAH PLAFON</v>
      </c>
      <c r="X755" s="42" t="str">
        <f ca="1"/>
        <v>ON-MEGAH PLAFON-26012026+30-6281323291817</v>
      </c>
      <c r="Y755" s="40" t="s">
        <v>293</v>
      </c>
      <c r="Z755" s="40" t="s">
        <v>1057</v>
      </c>
      <c r="AA755" s="23" t="str">
        <v>https://wa.me/6281323291817</v>
      </c>
      <c r="AB755" s="28" t="s">
        <v>4692</v>
      </c>
      <c r="AC755" s="28"/>
      <c r="AD755" s="28" t="s">
        <v>690</v>
      </c>
      <c r="AE755" s="28"/>
      <c r="AF755" s="29">
        <v>45906</v>
      </c>
      <c r="AG755" s="29"/>
    </row>
    <row r="756" spans="1:33" ht="15.75" customHeight="1">
      <c r="A756" s="32" t="s">
        <v>52</v>
      </c>
      <c r="B756" s="33">
        <v>764</v>
      </c>
      <c r="C756" s="34" t="s">
        <v>4693</v>
      </c>
      <c r="D756" s="35">
        <v>45895.374712013887</v>
      </c>
      <c r="E756" s="43">
        <v>45895</v>
      </c>
      <c r="F756" s="32" t="s">
        <v>4694</v>
      </c>
      <c r="G756" s="32" t="s">
        <v>4320</v>
      </c>
      <c r="H756" s="32" t="s">
        <v>4321</v>
      </c>
      <c r="I756" s="36" t="s">
        <v>4322</v>
      </c>
      <c r="J756" s="52" t="s">
        <v>4323</v>
      </c>
      <c r="K756" s="32" t="s">
        <v>570</v>
      </c>
      <c r="L756" s="32" t="s">
        <v>37</v>
      </c>
      <c r="M756" s="32" t="s">
        <v>382</v>
      </c>
      <c r="N756" s="33">
        <v>5</v>
      </c>
      <c r="O756" s="35"/>
      <c r="P756" s="35"/>
      <c r="Q756" s="37"/>
      <c r="R756" s="38"/>
      <c r="S756" s="33"/>
      <c r="T756" s="39">
        <v>197000</v>
      </c>
      <c r="U756" s="40" t="s">
        <v>115</v>
      </c>
      <c r="V756" s="41"/>
      <c r="W756" s="42" t="str">
        <f ca="1">IFERROR(__xludf.DUMMYFUNCTION("""COMPUTED_VALUE"""),"Seribu Harapan")</f>
        <v>Seribu Harapan</v>
      </c>
      <c r="X756" s="42" t="str">
        <f ca="1"/>
        <v>ON-Seribu Harapan-00011900+5-6282154318629</v>
      </c>
      <c r="Y756" s="40"/>
      <c r="Z756" s="40"/>
      <c r="AA756" s="23" t="str">
        <v>https://wa.me/6282154318629</v>
      </c>
      <c r="AB756" s="28"/>
      <c r="AC756" s="28"/>
      <c r="AD756" s="28"/>
      <c r="AE756" s="28"/>
      <c r="AF756" s="29"/>
      <c r="AG756" s="29"/>
    </row>
    <row r="757" spans="1:33" ht="15.75" customHeight="1">
      <c r="A757" s="32" t="s">
        <v>52</v>
      </c>
      <c r="B757" s="33">
        <v>765</v>
      </c>
      <c r="C757" s="34" t="s">
        <v>4695</v>
      </c>
      <c r="D757" s="35">
        <v>45895.432128043976</v>
      </c>
      <c r="E757" s="43">
        <v>45895</v>
      </c>
      <c r="F757" s="32" t="s">
        <v>4696</v>
      </c>
      <c r="G757" s="32" t="s">
        <v>4697</v>
      </c>
      <c r="H757" s="32" t="s">
        <v>4698</v>
      </c>
      <c r="I757" s="36" t="s">
        <v>2539</v>
      </c>
      <c r="J757" s="52"/>
      <c r="K757" s="32" t="s">
        <v>3222</v>
      </c>
      <c r="L757" s="32" t="s">
        <v>2408</v>
      </c>
      <c r="M757" s="32" t="s">
        <v>60</v>
      </c>
      <c r="N757" s="33">
        <v>30</v>
      </c>
      <c r="O757" s="35"/>
      <c r="P757" s="35"/>
      <c r="Q757" s="37"/>
      <c r="R757" s="38"/>
      <c r="S757" s="33"/>
      <c r="T757" s="39">
        <v>1000000</v>
      </c>
      <c r="U757" s="40" t="s">
        <v>61</v>
      </c>
      <c r="V757" s="41"/>
      <c r="W757" s="42" t="str">
        <f ca="1">IFERROR(__xludf.DUMMYFUNCTION("""COMPUTED_VALUE"""),"Bengkel Las")</f>
        <v>Bengkel Las</v>
      </c>
      <c r="X757" s="42" t="str">
        <f ca="1"/>
        <v>ON-Bengkel Las-00011900+30-6281385001244</v>
      </c>
      <c r="Y757" s="40"/>
      <c r="Z757" s="40"/>
      <c r="AA757" s="23" t="str">
        <v>https://wa.me/6281385001244</v>
      </c>
      <c r="AB757" s="28"/>
      <c r="AC757" s="28"/>
      <c r="AD757" s="28"/>
      <c r="AE757" s="28"/>
      <c r="AF757" s="29"/>
      <c r="AG757" s="29"/>
    </row>
    <row r="758" spans="1:33" ht="15.75" customHeight="1">
      <c r="A758" s="32" t="s">
        <v>196</v>
      </c>
      <c r="B758" s="33">
        <v>766</v>
      </c>
      <c r="C758" s="34" t="s">
        <v>4699</v>
      </c>
      <c r="D758" s="35">
        <v>45895.449845092589</v>
      </c>
      <c r="E758" s="43">
        <v>45895</v>
      </c>
      <c r="F758" s="32" t="s">
        <v>4700</v>
      </c>
      <c r="G758" s="32" t="s">
        <v>4701</v>
      </c>
      <c r="H758" s="32" t="s">
        <v>4702</v>
      </c>
      <c r="I758" s="36" t="s">
        <v>4703</v>
      </c>
      <c r="J758" s="52" t="s">
        <v>4704</v>
      </c>
      <c r="K758" s="32" t="s">
        <v>4705</v>
      </c>
      <c r="L758" s="32" t="s">
        <v>4706</v>
      </c>
      <c r="M758" s="32" t="s">
        <v>711</v>
      </c>
      <c r="N758" s="33">
        <v>5</v>
      </c>
      <c r="O758" s="35"/>
      <c r="P758" s="35"/>
      <c r="Q758" s="37"/>
      <c r="R758" s="38"/>
      <c r="S758" s="33"/>
      <c r="T758" s="39">
        <v>197000</v>
      </c>
      <c r="U758" s="40" t="s">
        <v>1229</v>
      </c>
      <c r="V758" s="41"/>
      <c r="W758" s="42" t="str">
        <f ca="1">IFERROR(__xludf.DUMMYFUNCTION("""COMPUTED_VALUE"""),"Rumah sehat")</f>
        <v>Rumah sehat</v>
      </c>
      <c r="X758" s="42" t="str">
        <f ca="1"/>
        <v>ON-Rumah sehat-00011900+5-6289606523838</v>
      </c>
      <c r="Y758" s="40" t="s">
        <v>62</v>
      </c>
      <c r="Z758" s="40" t="s">
        <v>639</v>
      </c>
      <c r="AA758" s="23" t="str">
        <v>https://wa.me/6289606523838</v>
      </c>
      <c r="AB758" s="28" t="s">
        <v>4707</v>
      </c>
      <c r="AC758" s="28"/>
      <c r="AD758" s="28" t="s">
        <v>690</v>
      </c>
      <c r="AE758" s="28"/>
      <c r="AF758" s="29">
        <v>45900</v>
      </c>
      <c r="AG758" s="29"/>
    </row>
    <row r="759" spans="1:33" ht="15.75" customHeight="1">
      <c r="A759" s="32" t="s">
        <v>196</v>
      </c>
      <c r="B759" s="33">
        <v>767</v>
      </c>
      <c r="C759" s="34" t="s">
        <v>4708</v>
      </c>
      <c r="D759" s="35">
        <v>45895.466738738425</v>
      </c>
      <c r="E759" s="43">
        <v>45895</v>
      </c>
      <c r="F759" s="32" t="s">
        <v>4709</v>
      </c>
      <c r="G759" s="32" t="s">
        <v>4710</v>
      </c>
      <c r="H759" s="32" t="s">
        <v>4711</v>
      </c>
      <c r="I759" s="36" t="s">
        <v>4712</v>
      </c>
      <c r="J759" s="52"/>
      <c r="K759" s="32" t="s">
        <v>4713</v>
      </c>
      <c r="L759" s="32" t="s">
        <v>4714</v>
      </c>
      <c r="M759" s="32" t="s">
        <v>711</v>
      </c>
      <c r="N759" s="33">
        <v>5</v>
      </c>
      <c r="O759" s="35">
        <v>45898</v>
      </c>
      <c r="P759" s="35">
        <v>45903</v>
      </c>
      <c r="Q759" s="37"/>
      <c r="R759" s="38"/>
      <c r="S759" s="33"/>
      <c r="T759" s="39">
        <v>197000</v>
      </c>
      <c r="U759" s="40" t="s">
        <v>1229</v>
      </c>
      <c r="V759" s="41"/>
      <c r="W759" s="42" t="str">
        <f ca="1">IFERROR(__xludf.DUMMYFUNCTION("""COMPUTED_VALUE"""),"Mbarep abiyasa")</f>
        <v>Mbarep abiyasa</v>
      </c>
      <c r="X759" s="42" t="str">
        <f ca="1"/>
        <v>ON-Mbarep abiyasa-00011900+5-6281545971465</v>
      </c>
      <c r="Y759" s="40" t="s">
        <v>62</v>
      </c>
      <c r="Z759" s="40" t="s">
        <v>1880</v>
      </c>
      <c r="AA759" s="23" t="str">
        <v>https://wa.me/6281545971465</v>
      </c>
      <c r="AB759" s="28" t="s">
        <v>4715</v>
      </c>
      <c r="AC759" s="28"/>
      <c r="AD759" s="28" t="s">
        <v>690</v>
      </c>
      <c r="AE759" s="28"/>
      <c r="AF759" s="29">
        <v>45898</v>
      </c>
      <c r="AG759" s="29"/>
    </row>
    <row r="760" spans="1:33" ht="15.75" customHeight="1">
      <c r="A760" s="32" t="s">
        <v>196</v>
      </c>
      <c r="B760" s="33">
        <v>768</v>
      </c>
      <c r="C760" s="34" t="s">
        <v>4716</v>
      </c>
      <c r="D760" s="35">
        <v>45895.753899212963</v>
      </c>
      <c r="E760" s="43">
        <v>45895</v>
      </c>
      <c r="F760" s="32" t="s">
        <v>4717</v>
      </c>
      <c r="G760" s="32" t="s">
        <v>4718</v>
      </c>
      <c r="H760" s="32" t="s">
        <v>4719</v>
      </c>
      <c r="I760" s="36" t="s">
        <v>4720</v>
      </c>
      <c r="J760" s="52"/>
      <c r="K760" s="32" t="s">
        <v>4721</v>
      </c>
      <c r="L760" s="32" t="s">
        <v>2631</v>
      </c>
      <c r="M760" s="32" t="s">
        <v>106</v>
      </c>
      <c r="N760" s="33">
        <v>5</v>
      </c>
      <c r="O760" s="35"/>
      <c r="P760" s="35"/>
      <c r="Q760" s="37"/>
      <c r="R760" s="38"/>
      <c r="S760" s="33"/>
      <c r="T760" s="39">
        <v>197000</v>
      </c>
      <c r="U760" s="40" t="s">
        <v>1229</v>
      </c>
      <c r="V760" s="41"/>
      <c r="W760" s="42" t="str">
        <f ca="1">IFERROR(__xludf.DUMMYFUNCTION("""COMPUTED_VALUE"""),"Dapoer hamasah")</f>
        <v>Dapoer hamasah</v>
      </c>
      <c r="X760" s="42" t="str">
        <f ca="1"/>
        <v>ON-Dapoer hamasah-00011900+5-62811955059</v>
      </c>
      <c r="Y760" s="40" t="s">
        <v>62</v>
      </c>
      <c r="Z760" s="40" t="s">
        <v>1861</v>
      </c>
      <c r="AA760" s="23" t="str">
        <v>https://wa.me/62811955059</v>
      </c>
      <c r="AB760" s="28" t="s">
        <v>4722</v>
      </c>
      <c r="AC760" s="28"/>
      <c r="AD760" s="28" t="s">
        <v>690</v>
      </c>
      <c r="AE760" s="28"/>
      <c r="AF760" s="29">
        <v>45898</v>
      </c>
      <c r="AG760" s="29"/>
    </row>
    <row r="761" spans="1:33" ht="15.75" customHeight="1">
      <c r="A761" s="32" t="s">
        <v>196</v>
      </c>
      <c r="B761" s="33">
        <v>769</v>
      </c>
      <c r="C761" s="34" t="s">
        <v>4723</v>
      </c>
      <c r="D761" s="35">
        <v>45895.775806863428</v>
      </c>
      <c r="E761" s="43">
        <v>45895</v>
      </c>
      <c r="F761" s="32" t="s">
        <v>4724</v>
      </c>
      <c r="G761" s="32" t="s">
        <v>4725</v>
      </c>
      <c r="H761" s="32" t="s">
        <v>4726</v>
      </c>
      <c r="I761" s="36" t="s">
        <v>4727</v>
      </c>
      <c r="J761" s="52"/>
      <c r="K761" s="32" t="s">
        <v>1070</v>
      </c>
      <c r="L761" s="32" t="s">
        <v>218</v>
      </c>
      <c r="M761" s="32" t="s">
        <v>106</v>
      </c>
      <c r="N761" s="33">
        <v>5</v>
      </c>
      <c r="O761" s="35"/>
      <c r="P761" s="35"/>
      <c r="Q761" s="37"/>
      <c r="R761" s="38"/>
      <c r="S761" s="33"/>
      <c r="T761" s="39">
        <v>150000</v>
      </c>
      <c r="U761" s="40" t="s">
        <v>61</v>
      </c>
      <c r="V761" s="41"/>
      <c r="W761" s="42" t="str">
        <f ca="1">IFERROR(__xludf.DUMMYFUNCTION("""COMPUTED_VALUE"""),"Pijat Tunanetra")</f>
        <v>Pijat Tunanetra</v>
      </c>
      <c r="X761" s="42" t="str">
        <f ca="1"/>
        <v>ON-Pijat Tunanetra-00011900+5-6285864550854</v>
      </c>
      <c r="Y761" s="40" t="s">
        <v>62</v>
      </c>
      <c r="Z761" s="40" t="s">
        <v>639</v>
      </c>
      <c r="AA761" s="23" t="str">
        <v>https://wa.me/6285864550854</v>
      </c>
      <c r="AB761" s="28" t="s">
        <v>4728</v>
      </c>
      <c r="AC761" s="28"/>
      <c r="AD761" s="28" t="s">
        <v>690</v>
      </c>
      <c r="AE761" s="28"/>
      <c r="AF761" s="29">
        <v>45900</v>
      </c>
      <c r="AG761" s="29"/>
    </row>
    <row r="762" spans="1:33" ht="15.75" customHeight="1">
      <c r="A762" s="32" t="s">
        <v>196</v>
      </c>
      <c r="B762" s="33">
        <v>770</v>
      </c>
      <c r="C762" s="34" t="s">
        <v>4729</v>
      </c>
      <c r="D762" s="35">
        <v>45895.782385995371</v>
      </c>
      <c r="E762" s="43">
        <v>45895</v>
      </c>
      <c r="F762" s="32" t="s">
        <v>4730</v>
      </c>
      <c r="G762" s="32" t="s">
        <v>4731</v>
      </c>
      <c r="H762" s="32" t="s">
        <v>4732</v>
      </c>
      <c r="I762" s="36" t="s">
        <v>4733</v>
      </c>
      <c r="J762" s="52" t="s">
        <v>4734</v>
      </c>
      <c r="K762" s="32" t="s">
        <v>366</v>
      </c>
      <c r="L762" s="32" t="s">
        <v>696</v>
      </c>
      <c r="M762" s="32" t="s">
        <v>382</v>
      </c>
      <c r="N762" s="33">
        <v>10</v>
      </c>
      <c r="O762" s="35"/>
      <c r="P762" s="35"/>
      <c r="Q762" s="37"/>
      <c r="R762" s="38"/>
      <c r="S762" s="33"/>
      <c r="T762" s="39">
        <v>375000</v>
      </c>
      <c r="U762" s="40" t="s">
        <v>115</v>
      </c>
      <c r="V762" s="41"/>
      <c r="W762" s="42" t="str">
        <f ca="1">IFERROR(__xludf.DUMMYFUNCTION("""COMPUTED_VALUE"""),"Putra kontraktor")</f>
        <v>Putra kontraktor</v>
      </c>
      <c r="X762" s="42" t="str">
        <f ca="1"/>
        <v>ON-Putra kontraktor-00011900+10-6281212231218</v>
      </c>
      <c r="Y762" s="40" t="s">
        <v>293</v>
      </c>
      <c r="Z762" s="40" t="s">
        <v>1057</v>
      </c>
      <c r="AA762" s="23" t="str">
        <v>https://wa.me/6281212231218</v>
      </c>
      <c r="AB762" s="28" t="s">
        <v>4735</v>
      </c>
      <c r="AC762" s="28"/>
      <c r="AD762" s="28" t="s">
        <v>690</v>
      </c>
      <c r="AE762" s="28"/>
      <c r="AF762" s="29">
        <v>45899</v>
      </c>
      <c r="AG762" s="29"/>
    </row>
    <row r="763" spans="1:33" ht="15.75" customHeight="1">
      <c r="A763" s="32" t="s">
        <v>196</v>
      </c>
      <c r="B763" s="33">
        <v>771</v>
      </c>
      <c r="C763" s="34" t="s">
        <v>4736</v>
      </c>
      <c r="D763" s="35">
        <v>45895.810937141199</v>
      </c>
      <c r="E763" s="43">
        <v>45892</v>
      </c>
      <c r="F763" s="32" t="s">
        <v>3561</v>
      </c>
      <c r="G763" s="32" t="s">
        <v>4008</v>
      </c>
      <c r="H763" s="32" t="s">
        <v>4109</v>
      </c>
      <c r="I763" s="36" t="s">
        <v>3564</v>
      </c>
      <c r="J763" s="52"/>
      <c r="K763" s="32" t="s">
        <v>4110</v>
      </c>
      <c r="L763" s="32" t="s">
        <v>2873</v>
      </c>
      <c r="M763" s="32" t="s">
        <v>60</v>
      </c>
      <c r="N763" s="33">
        <v>7</v>
      </c>
      <c r="O763" s="35">
        <v>45897</v>
      </c>
      <c r="P763" s="35">
        <v>45904</v>
      </c>
      <c r="Q763" s="37"/>
      <c r="R763" s="38"/>
      <c r="S763" s="33"/>
      <c r="T763" s="39">
        <v>297000</v>
      </c>
      <c r="U763" s="40" t="s">
        <v>61</v>
      </c>
      <c r="V763" s="41"/>
      <c r="W763" s="42" t="str">
        <f ca="1">IFERROR(__xludf.DUMMYFUNCTION("""COMPUTED_VALUE"""),"Alhijaz Indowisata")</f>
        <v>Alhijaz Indowisata</v>
      </c>
      <c r="X763" s="42" t="str">
        <f ca="1"/>
        <v>ON-Alhijaz Indowisata-00011900+7-6281558225822</v>
      </c>
      <c r="Y763" s="40" t="s">
        <v>62</v>
      </c>
      <c r="Z763" s="40" t="s">
        <v>1880</v>
      </c>
      <c r="AA763" s="23" t="str">
        <v>https://wa.me/6281558225822</v>
      </c>
      <c r="AB763" s="28" t="s">
        <v>4737</v>
      </c>
      <c r="AC763" s="28"/>
      <c r="AD763" s="28" t="s">
        <v>690</v>
      </c>
      <c r="AE763" s="28"/>
      <c r="AF763" s="29">
        <v>45897</v>
      </c>
      <c r="AG763" s="29"/>
    </row>
    <row r="764" spans="1:33" ht="15.75" customHeight="1">
      <c r="A764" s="32" t="s">
        <v>196</v>
      </c>
      <c r="B764" s="33">
        <v>772</v>
      </c>
      <c r="C764" s="34" t="s">
        <v>4738</v>
      </c>
      <c r="D764" s="35">
        <v>45895.868547164355</v>
      </c>
      <c r="E764" s="43">
        <v>45895</v>
      </c>
      <c r="F764" s="32" t="s">
        <v>4739</v>
      </c>
      <c r="G764" s="32" t="s">
        <v>4740</v>
      </c>
      <c r="H764" s="32" t="s">
        <v>4741</v>
      </c>
      <c r="I764" s="36" t="s">
        <v>4742</v>
      </c>
      <c r="J764" s="52" t="s">
        <v>4743</v>
      </c>
      <c r="K764" s="32" t="s">
        <v>4744</v>
      </c>
      <c r="L764" s="32" t="s">
        <v>3853</v>
      </c>
      <c r="M764" s="32" t="s">
        <v>382</v>
      </c>
      <c r="N764" s="33">
        <v>5</v>
      </c>
      <c r="O764" s="35"/>
      <c r="P764" s="35"/>
      <c r="Q764" s="37"/>
      <c r="R764" s="38"/>
      <c r="S764" s="33"/>
      <c r="T764" s="39">
        <v>197000</v>
      </c>
      <c r="U764" s="40" t="s">
        <v>115</v>
      </c>
      <c r="V764" s="41"/>
      <c r="W764" s="42" t="str">
        <f ca="1">IFERROR(__xludf.DUMMYFUNCTION("""COMPUTED_VALUE"""),"Cipta karya")</f>
        <v>Cipta karya</v>
      </c>
      <c r="X764" s="42" t="str">
        <f ca="1"/>
        <v>ON-Cipta karya-00011900+5-6285788382935</v>
      </c>
      <c r="Y764" s="40" t="s">
        <v>293</v>
      </c>
      <c r="Z764" s="40" t="s">
        <v>1057</v>
      </c>
      <c r="AA764" s="23" t="str">
        <v>https://wa.me/6285788382935</v>
      </c>
      <c r="AB764" s="28" t="s">
        <v>4745</v>
      </c>
      <c r="AC764" s="28"/>
      <c r="AD764" s="28" t="s">
        <v>690</v>
      </c>
      <c r="AE764" s="28"/>
      <c r="AF764" s="29">
        <v>45900</v>
      </c>
      <c r="AG764" s="29"/>
    </row>
    <row r="765" spans="1:33" ht="15.75" customHeight="1">
      <c r="A765" s="32" t="s">
        <v>196</v>
      </c>
      <c r="B765" s="33">
        <v>773</v>
      </c>
      <c r="C765" s="34" t="s">
        <v>4746</v>
      </c>
      <c r="D765" s="35">
        <v>45896.261885405096</v>
      </c>
      <c r="E765" s="43">
        <v>45895</v>
      </c>
      <c r="F765" s="32" t="s">
        <v>4747</v>
      </c>
      <c r="G765" s="32" t="s">
        <v>4748</v>
      </c>
      <c r="H765" s="32" t="s">
        <v>4749</v>
      </c>
      <c r="I765" s="36" t="s">
        <v>4750</v>
      </c>
      <c r="J765" s="52"/>
      <c r="K765" s="32" t="s">
        <v>570</v>
      </c>
      <c r="L765" s="32" t="s">
        <v>4751</v>
      </c>
      <c r="M765" s="32" t="s">
        <v>48</v>
      </c>
      <c r="N765" s="33">
        <v>5</v>
      </c>
      <c r="O765" s="35"/>
      <c r="P765" s="35"/>
      <c r="Q765" s="37"/>
      <c r="R765" s="38"/>
      <c r="S765" s="33"/>
      <c r="T765" s="39">
        <v>197000</v>
      </c>
      <c r="U765" s="40" t="s">
        <v>1774</v>
      </c>
      <c r="V765" s="41"/>
      <c r="W765" s="42" t="str">
        <f ca="1">IFERROR(__xludf.DUMMYFUNCTION("""COMPUTED_VALUE"""),"JJ Disgn")</f>
        <v>JJ Disgn</v>
      </c>
      <c r="X765" s="42" t="str">
        <f ca="1"/>
        <v>ON-JJ Disgn-00011900+5-6289637761233</v>
      </c>
      <c r="Y765" s="40" t="s">
        <v>293</v>
      </c>
      <c r="Z765" s="40" t="s">
        <v>1057</v>
      </c>
      <c r="AA765" s="23" t="str">
        <v>https://wa.me/6289637761233</v>
      </c>
      <c r="AB765" s="28" t="s">
        <v>4752</v>
      </c>
      <c r="AC765" s="28"/>
      <c r="AD765" s="28" t="s">
        <v>690</v>
      </c>
      <c r="AE765" s="28"/>
      <c r="AF765" s="29">
        <v>45899</v>
      </c>
      <c r="AG765" s="29"/>
    </row>
    <row r="766" spans="1:33" ht="15.75" customHeight="1">
      <c r="A766" s="32" t="s">
        <v>196</v>
      </c>
      <c r="B766" s="33">
        <v>774</v>
      </c>
      <c r="C766" s="34" t="s">
        <v>4753</v>
      </c>
      <c r="D766" s="35">
        <v>45896.37823667824</v>
      </c>
      <c r="E766" s="43">
        <v>45896</v>
      </c>
      <c r="F766" s="32" t="s">
        <v>4754</v>
      </c>
      <c r="G766" s="32" t="s">
        <v>4755</v>
      </c>
      <c r="H766" s="32" t="s">
        <v>4756</v>
      </c>
      <c r="I766" s="36" t="s">
        <v>4757</v>
      </c>
      <c r="J766" s="52"/>
      <c r="K766" s="32" t="s">
        <v>570</v>
      </c>
      <c r="L766" s="32" t="s">
        <v>4758</v>
      </c>
      <c r="M766" s="32" t="s">
        <v>60</v>
      </c>
      <c r="N766" s="33">
        <v>5</v>
      </c>
      <c r="O766" s="35"/>
      <c r="P766" s="35"/>
      <c r="Q766" s="37"/>
      <c r="R766" s="38"/>
      <c r="S766" s="33"/>
      <c r="T766" s="39">
        <v>197000</v>
      </c>
      <c r="U766" s="40" t="s">
        <v>61</v>
      </c>
      <c r="V766" s="41"/>
      <c r="W766" s="42" t="str">
        <f ca="1">IFERROR(__xludf.DUMMYFUNCTION("""COMPUTED_VALUE"""),"RAYTRANS")</f>
        <v>RAYTRANS</v>
      </c>
      <c r="X766" s="42" t="str">
        <f ca="1"/>
        <v>ON-RAYTRANS-00011900+5-6281381118500</v>
      </c>
      <c r="Y766" s="40" t="s">
        <v>62</v>
      </c>
      <c r="Z766" s="40" t="s">
        <v>1880</v>
      </c>
      <c r="AA766" s="23" t="str">
        <v>https://wa.me/6281381118500</v>
      </c>
      <c r="AB766" s="28" t="s">
        <v>4759</v>
      </c>
      <c r="AC766" s="28"/>
      <c r="AD766" s="28" t="s">
        <v>690</v>
      </c>
      <c r="AE766" s="28"/>
      <c r="AF766" s="29">
        <v>45898</v>
      </c>
      <c r="AG766" s="29"/>
    </row>
    <row r="767" spans="1:33" ht="15.75" customHeight="1">
      <c r="A767" s="32" t="s">
        <v>196</v>
      </c>
      <c r="B767" s="33">
        <v>776</v>
      </c>
      <c r="C767" s="34" t="s">
        <v>4760</v>
      </c>
      <c r="D767" s="35">
        <v>45896.471231354168</v>
      </c>
      <c r="E767" s="43">
        <v>45896</v>
      </c>
      <c r="F767" s="32" t="s">
        <v>4761</v>
      </c>
      <c r="G767" s="32" t="s">
        <v>4762</v>
      </c>
      <c r="H767" s="32" t="s">
        <v>4763</v>
      </c>
      <c r="I767" s="36" t="s">
        <v>4764</v>
      </c>
      <c r="J767" s="52"/>
      <c r="K767" s="32" t="s">
        <v>4765</v>
      </c>
      <c r="L767" s="32" t="s">
        <v>1926</v>
      </c>
      <c r="M767" s="32" t="s">
        <v>2032</v>
      </c>
      <c r="N767" s="33">
        <v>5</v>
      </c>
      <c r="O767" s="35"/>
      <c r="P767" s="35"/>
      <c r="Q767" s="37"/>
      <c r="R767" s="38"/>
      <c r="S767" s="33"/>
      <c r="T767" s="39">
        <v>197000</v>
      </c>
      <c r="U767" s="40" t="s">
        <v>61</v>
      </c>
      <c r="V767" s="41"/>
      <c r="W767" s="42" t="str">
        <f ca="1">IFERROR(__xludf.DUMMYFUNCTION("""COMPUTED_VALUE"""),"Nunce Gemilang")</f>
        <v>Nunce Gemilang</v>
      </c>
      <c r="X767" s="42" t="str">
        <f ca="1"/>
        <v>ON-Nunce Gemilang-00011900+5-6285787104091</v>
      </c>
      <c r="Y767" s="40" t="s">
        <v>62</v>
      </c>
      <c r="Z767" s="40" t="s">
        <v>1880</v>
      </c>
      <c r="AA767" s="23" t="str">
        <v>https://wa.me/6285787104091</v>
      </c>
      <c r="AB767" s="28" t="s">
        <v>4766</v>
      </c>
      <c r="AC767" s="28"/>
      <c r="AD767" s="28" t="s">
        <v>690</v>
      </c>
      <c r="AE767" s="28"/>
      <c r="AF767" s="29">
        <v>45898</v>
      </c>
      <c r="AG767" s="29"/>
    </row>
    <row r="768" spans="1:33" ht="15.75" customHeight="1">
      <c r="A768" s="32" t="s">
        <v>52</v>
      </c>
      <c r="B768" s="33">
        <v>777</v>
      </c>
      <c r="C768" s="34" t="s">
        <v>4767</v>
      </c>
      <c r="D768" s="35">
        <v>45896.486684131945</v>
      </c>
      <c r="E768" s="43">
        <v>45896</v>
      </c>
      <c r="F768" s="32" t="s">
        <v>4240</v>
      </c>
      <c r="G768" s="32" t="s">
        <v>4241</v>
      </c>
      <c r="H768" s="32" t="s">
        <v>4242</v>
      </c>
      <c r="I768" s="36" t="s">
        <v>4243</v>
      </c>
      <c r="J768" s="52"/>
      <c r="K768" s="32" t="s">
        <v>4244</v>
      </c>
      <c r="L768" s="32" t="s">
        <v>4245</v>
      </c>
      <c r="M768" s="32" t="s">
        <v>1534</v>
      </c>
      <c r="N768" s="33">
        <v>5</v>
      </c>
      <c r="O768" s="35"/>
      <c r="P768" s="35"/>
      <c r="Q768" s="37"/>
      <c r="R768" s="38"/>
      <c r="S768" s="33"/>
      <c r="T768" s="39">
        <v>375000</v>
      </c>
      <c r="U768" s="40" t="s">
        <v>1229</v>
      </c>
      <c r="V768" s="41"/>
      <c r="W768" s="42" t="str">
        <f ca="1">IFERROR(__xludf.DUMMYFUNCTION("""COMPUTED_VALUE"""),"C&amp;A building")</f>
        <v>C&amp;A building</v>
      </c>
      <c r="X768" s="42" t="str">
        <f ca="1"/>
        <v>ON-C&amp;A building-00011900+5-6281380503300</v>
      </c>
      <c r="Y768" s="40"/>
      <c r="Z768" s="40"/>
      <c r="AA768" s="23" t="str">
        <v>https://wa.me/6281380503300</v>
      </c>
      <c r="AB768" s="28"/>
      <c r="AC768" s="28"/>
      <c r="AD768" s="28"/>
      <c r="AE768" s="28"/>
      <c r="AF768" s="29"/>
      <c r="AG768" s="29"/>
    </row>
    <row r="769" spans="1:33" ht="15.75" customHeight="1">
      <c r="A769" s="32" t="s">
        <v>52</v>
      </c>
      <c r="B769" s="33">
        <v>778</v>
      </c>
      <c r="C769" s="34" t="s">
        <v>4768</v>
      </c>
      <c r="D769" s="35">
        <v>45896.501950046295</v>
      </c>
      <c r="E769" s="43">
        <v>45896</v>
      </c>
      <c r="F769" s="32" t="s">
        <v>4240</v>
      </c>
      <c r="G769" s="32" t="s">
        <v>4241</v>
      </c>
      <c r="H769" s="32" t="s">
        <v>4242</v>
      </c>
      <c r="I769" s="36" t="s">
        <v>4243</v>
      </c>
      <c r="J769" s="52"/>
      <c r="K769" s="32" t="s">
        <v>4244</v>
      </c>
      <c r="L769" s="32" t="s">
        <v>4245</v>
      </c>
      <c r="M769" s="32" t="s">
        <v>1534</v>
      </c>
      <c r="N769" s="33">
        <v>10</v>
      </c>
      <c r="O769" s="35"/>
      <c r="P769" s="35"/>
      <c r="Q769" s="37"/>
      <c r="R769" s="38"/>
      <c r="S769" s="33"/>
      <c r="T769" s="39">
        <v>375000</v>
      </c>
      <c r="U769" s="40" t="s">
        <v>1229</v>
      </c>
      <c r="V769" s="41"/>
      <c r="W769" s="42" t="str">
        <f ca="1">IFERROR(__xludf.DUMMYFUNCTION("""COMPUTED_VALUE"""),"C&amp;A building")</f>
        <v>C&amp;A building</v>
      </c>
      <c r="X769" s="42" t="str">
        <f ca="1"/>
        <v>ON-C&amp;A building-00011900+10-6281380503300</v>
      </c>
      <c r="Y769" s="40"/>
      <c r="Z769" s="40"/>
      <c r="AA769" s="23" t="str">
        <v>https://wa.me/6281380503300</v>
      </c>
      <c r="AB769" s="28"/>
      <c r="AC769" s="28"/>
      <c r="AD769" s="28"/>
      <c r="AE769" s="28"/>
      <c r="AF769" s="29"/>
      <c r="AG769" s="29"/>
    </row>
    <row r="770" spans="1:33" ht="15.75" customHeight="1">
      <c r="A770" s="32" t="s">
        <v>52</v>
      </c>
      <c r="B770" s="33">
        <v>779</v>
      </c>
      <c r="C770" s="34" t="s">
        <v>4769</v>
      </c>
      <c r="D770" s="35">
        <v>45896.538940706014</v>
      </c>
      <c r="E770" s="43">
        <v>45896</v>
      </c>
      <c r="F770" s="32" t="s">
        <v>4271</v>
      </c>
      <c r="G770" s="32" t="s">
        <v>4272</v>
      </c>
      <c r="H770" s="32" t="s">
        <v>4273</v>
      </c>
      <c r="I770" s="36" t="s">
        <v>4274</v>
      </c>
      <c r="J770" s="52"/>
      <c r="K770" s="32" t="s">
        <v>4275</v>
      </c>
      <c r="L770" s="32" t="s">
        <v>974</v>
      </c>
      <c r="M770" s="32" t="s">
        <v>60</v>
      </c>
      <c r="N770" s="33">
        <v>14</v>
      </c>
      <c r="O770" s="35"/>
      <c r="P770" s="35"/>
      <c r="Q770" s="37"/>
      <c r="R770" s="38"/>
      <c r="S770" s="33"/>
      <c r="T770" s="39">
        <v>550000</v>
      </c>
      <c r="U770" s="40" t="s">
        <v>61</v>
      </c>
      <c r="V770" s="41"/>
      <c r="W770" s="42" t="str">
        <f ca="1">IFERROR(__xludf.DUMMYFUNCTION("""COMPUTED_VALUE"""),"Berkah Karya")</f>
        <v>Berkah Karya</v>
      </c>
      <c r="X770" s="42" t="str">
        <f ca="1"/>
        <v>ON-Berkah Karya-00011900+14-6285854789952</v>
      </c>
      <c r="Y770" s="40"/>
      <c r="Z770" s="40"/>
      <c r="AA770" s="23" t="str">
        <v>https://wa.me/6285854789952</v>
      </c>
      <c r="AB770" s="28"/>
      <c r="AC770" s="28"/>
      <c r="AD770" s="28"/>
      <c r="AE770" s="28"/>
      <c r="AF770" s="29"/>
      <c r="AG770" s="29"/>
    </row>
    <row r="771" spans="1:33" ht="15.75" customHeight="1">
      <c r="A771" s="32" t="s">
        <v>196</v>
      </c>
      <c r="B771" s="33">
        <v>780</v>
      </c>
      <c r="C771" s="34" t="s">
        <v>4770</v>
      </c>
      <c r="D771" s="35">
        <v>45896.554749687501</v>
      </c>
      <c r="E771" s="43">
        <v>45896</v>
      </c>
      <c r="F771" s="32" t="s">
        <v>4771</v>
      </c>
      <c r="G771" s="32" t="s">
        <v>4772</v>
      </c>
      <c r="H771" s="32" t="s">
        <v>1030</v>
      </c>
      <c r="I771" s="36" t="s">
        <v>4773</v>
      </c>
      <c r="J771" s="52"/>
      <c r="K771" s="32" t="s">
        <v>4774</v>
      </c>
      <c r="L771" s="32" t="s">
        <v>1575</v>
      </c>
      <c r="M771" s="32" t="s">
        <v>60</v>
      </c>
      <c r="N771" s="33">
        <v>5</v>
      </c>
      <c r="O771" s="35">
        <v>45900</v>
      </c>
      <c r="P771" s="35">
        <v>45905</v>
      </c>
      <c r="Q771" s="37"/>
      <c r="R771" s="38"/>
      <c r="S771" s="33"/>
      <c r="T771" s="39">
        <v>197000</v>
      </c>
      <c r="U771" s="40" t="s">
        <v>61</v>
      </c>
      <c r="V771" s="41"/>
      <c r="W771" s="42" t="str">
        <f ca="1">IFERROR(__xludf.DUMMYFUNCTION("""COMPUTED_VALUE"""),"Terapi Kretek")</f>
        <v>Terapi Kretek</v>
      </c>
      <c r="X771" s="42" t="str">
        <f ca="1"/>
        <v>ON-Terapi Kretek-00011900+5-6285771466144</v>
      </c>
      <c r="Y771" s="40" t="s">
        <v>62</v>
      </c>
      <c r="Z771" s="40" t="s">
        <v>639</v>
      </c>
      <c r="AA771" s="23" t="str">
        <v>https://wa.me/6285771466144</v>
      </c>
      <c r="AB771" s="28" t="s">
        <v>4775</v>
      </c>
      <c r="AC771" s="28"/>
      <c r="AD771" s="28" t="s">
        <v>690</v>
      </c>
      <c r="AE771" s="28"/>
      <c r="AF771" s="29">
        <v>45900</v>
      </c>
      <c r="AG771" s="29"/>
    </row>
    <row r="772" spans="1:33" ht="15.75" customHeight="1">
      <c r="A772" s="32" t="s">
        <v>196</v>
      </c>
      <c r="B772" s="33">
        <v>781</v>
      </c>
      <c r="C772" s="34" t="s">
        <v>4776</v>
      </c>
      <c r="D772" s="35">
        <v>45896.566903240746</v>
      </c>
      <c r="E772" s="43">
        <v>45896</v>
      </c>
      <c r="F772" s="32" t="s">
        <v>4777</v>
      </c>
      <c r="G772" s="32" t="s">
        <v>4778</v>
      </c>
      <c r="H772" s="32" t="s">
        <v>4779</v>
      </c>
      <c r="I772" s="36" t="s">
        <v>4780</v>
      </c>
      <c r="J772" s="52" t="s">
        <v>4781</v>
      </c>
      <c r="K772" s="32" t="s">
        <v>4782</v>
      </c>
      <c r="L772" s="32" t="s">
        <v>4783</v>
      </c>
      <c r="M772" s="32" t="s">
        <v>249</v>
      </c>
      <c r="N772" s="33">
        <v>5</v>
      </c>
      <c r="O772" s="35">
        <v>45898</v>
      </c>
      <c r="P772" s="35">
        <v>45903</v>
      </c>
      <c r="Q772" s="37"/>
      <c r="R772" s="38"/>
      <c r="S772" s="33"/>
      <c r="T772" s="39">
        <v>197000</v>
      </c>
      <c r="U772" s="40" t="s">
        <v>1774</v>
      </c>
      <c r="V772" s="41"/>
      <c r="W772" s="42" t="str">
        <f ca="1">IFERROR(__xludf.DUMMYFUNCTION("""COMPUTED_VALUE"""),"Bungsu Raja")</f>
        <v>Bungsu Raja</v>
      </c>
      <c r="X772" s="42" t="str">
        <f ca="1"/>
        <v>ON-Bungsu Raja-00011900+5-6282130257988</v>
      </c>
      <c r="Y772" s="40" t="s">
        <v>293</v>
      </c>
      <c r="Z772" s="40" t="s">
        <v>1057</v>
      </c>
      <c r="AA772" s="23" t="str">
        <v>https://wa.me/6282130257988</v>
      </c>
      <c r="AB772" s="28" t="s">
        <v>4784</v>
      </c>
      <c r="AC772" s="28"/>
      <c r="AD772" s="28" t="s">
        <v>690</v>
      </c>
      <c r="AE772" s="28"/>
      <c r="AF772" s="29">
        <v>45900</v>
      </c>
      <c r="AG772" s="29"/>
    </row>
    <row r="773" spans="1:33" ht="15.75" customHeight="1">
      <c r="A773" s="32" t="s">
        <v>196</v>
      </c>
      <c r="B773" s="33">
        <v>782</v>
      </c>
      <c r="C773" s="34" t="s">
        <v>4785</v>
      </c>
      <c r="D773" s="35">
        <v>45896.675740358798</v>
      </c>
      <c r="E773" s="43">
        <v>45896</v>
      </c>
      <c r="F773" s="32" t="s">
        <v>4786</v>
      </c>
      <c r="G773" s="32" t="s">
        <v>4787</v>
      </c>
      <c r="H773" s="32" t="s">
        <v>4788</v>
      </c>
      <c r="I773" s="36" t="s">
        <v>4789</v>
      </c>
      <c r="J773" s="52"/>
      <c r="K773" s="32" t="s">
        <v>4790</v>
      </c>
      <c r="L773" s="32" t="s">
        <v>4783</v>
      </c>
      <c r="M773" s="32" t="s">
        <v>92</v>
      </c>
      <c r="N773" s="33">
        <v>10</v>
      </c>
      <c r="O773" s="35"/>
      <c r="P773" s="35"/>
      <c r="Q773" s="37"/>
      <c r="R773" s="38"/>
      <c r="S773" s="33"/>
      <c r="T773" s="39">
        <v>375000</v>
      </c>
      <c r="U773" s="40" t="s">
        <v>1229</v>
      </c>
      <c r="V773" s="41"/>
      <c r="W773" s="42" t="str">
        <f ca="1">IFERROR(__xludf.DUMMYFUNCTION("""COMPUTED_VALUE"""),"Auto dingin")</f>
        <v>Auto dingin</v>
      </c>
      <c r="X773" s="42" t="str">
        <f ca="1"/>
        <v>ON-Auto dingin-00011900+10-6285600822636</v>
      </c>
      <c r="Y773" s="40" t="s">
        <v>62</v>
      </c>
      <c r="Z773" s="40" t="s">
        <v>277</v>
      </c>
      <c r="AA773" s="23" t="str">
        <v>https://wa.me/6285600822636</v>
      </c>
      <c r="AB773" s="28" t="s">
        <v>4791</v>
      </c>
      <c r="AC773" s="28"/>
      <c r="AD773" s="28" t="s">
        <v>690</v>
      </c>
      <c r="AE773" s="28"/>
      <c r="AF773" s="29">
        <v>45903</v>
      </c>
      <c r="AG773" s="29"/>
    </row>
    <row r="774" spans="1:33" ht="15.75" customHeight="1">
      <c r="A774" s="32" t="s">
        <v>196</v>
      </c>
      <c r="B774" s="33">
        <v>783</v>
      </c>
      <c r="C774" s="34" t="s">
        <v>4792</v>
      </c>
      <c r="D774" s="35">
        <v>45896.689347719905</v>
      </c>
      <c r="E774" s="43">
        <v>45896</v>
      </c>
      <c r="F774" s="32" t="s">
        <v>4793</v>
      </c>
      <c r="G774" s="32" t="s">
        <v>4794</v>
      </c>
      <c r="H774" s="32" t="s">
        <v>4795</v>
      </c>
      <c r="I774" s="36" t="s">
        <v>4796</v>
      </c>
      <c r="J774" s="52" t="s">
        <v>4797</v>
      </c>
      <c r="K774" s="32" t="s">
        <v>3679</v>
      </c>
      <c r="L774" s="32" t="s">
        <v>1446</v>
      </c>
      <c r="M774" s="32" t="s">
        <v>382</v>
      </c>
      <c r="N774" s="33">
        <v>5</v>
      </c>
      <c r="O774" s="35"/>
      <c r="P774" s="35"/>
      <c r="Q774" s="37"/>
      <c r="R774" s="38"/>
      <c r="S774" s="33"/>
      <c r="T774" s="39">
        <v>197000</v>
      </c>
      <c r="U774" s="40" t="s">
        <v>115</v>
      </c>
      <c r="V774" s="41"/>
      <c r="W774" s="42" t="str">
        <f ca="1">IFERROR(__xludf.DUMMYFUNCTION("""COMPUTED_VALUE"""),"HT KACAMATA")</f>
        <v>HT KACAMATA</v>
      </c>
      <c r="X774" s="42" t="str">
        <f ca="1"/>
        <v>ON-HT KACAMATA-00011900+5-6285655300070</v>
      </c>
      <c r="Y774" s="40" t="s">
        <v>62</v>
      </c>
      <c r="Z774" s="40" t="s">
        <v>1465</v>
      </c>
      <c r="AA774" s="23" t="str">
        <v>https://wa.me/6285655300070</v>
      </c>
      <c r="AB774" s="28" t="s">
        <v>4798</v>
      </c>
      <c r="AC774" s="28"/>
      <c r="AD774" s="28" t="s">
        <v>690</v>
      </c>
      <c r="AE774" s="28"/>
      <c r="AF774" s="29">
        <v>45902</v>
      </c>
      <c r="AG774" s="29"/>
    </row>
    <row r="775" spans="1:33" ht="15.75" customHeight="1">
      <c r="A775" s="32" t="s">
        <v>196</v>
      </c>
      <c r="B775" s="33">
        <v>784</v>
      </c>
      <c r="C775" s="34" t="s">
        <v>4799</v>
      </c>
      <c r="D775" s="35">
        <v>45896.698629143517</v>
      </c>
      <c r="E775" s="43">
        <v>45896</v>
      </c>
      <c r="F775" s="32" t="s">
        <v>4800</v>
      </c>
      <c r="G775" s="32" t="s">
        <v>4801</v>
      </c>
      <c r="H775" s="32" t="s">
        <v>4802</v>
      </c>
      <c r="I775" s="36" t="s">
        <v>4803</v>
      </c>
      <c r="J775" s="52" t="s">
        <v>4804</v>
      </c>
      <c r="K775" s="32" t="s">
        <v>4805</v>
      </c>
      <c r="L775" s="32" t="s">
        <v>4783</v>
      </c>
      <c r="M775" s="32" t="s">
        <v>3788</v>
      </c>
      <c r="N775" s="33">
        <v>5</v>
      </c>
      <c r="O775" s="35"/>
      <c r="P775" s="35"/>
      <c r="Q775" s="37"/>
      <c r="R775" s="38"/>
      <c r="S775" s="33"/>
      <c r="T775" s="39">
        <v>197000</v>
      </c>
      <c r="U775" s="40" t="s">
        <v>1229</v>
      </c>
      <c r="V775" s="41"/>
      <c r="W775" s="42" t="str">
        <f ca="1">IFERROR(__xludf.DUMMYFUNCTION("""COMPUTED_VALUE"""),"Diva Teknik")</f>
        <v>Diva Teknik</v>
      </c>
      <c r="X775" s="42" t="str">
        <f ca="1"/>
        <v>ON-Diva Teknik-00011900+5-6285338058843</v>
      </c>
      <c r="Y775" s="40" t="s">
        <v>62</v>
      </c>
      <c r="Z775" s="40" t="s">
        <v>277</v>
      </c>
      <c r="AA775" s="23" t="str">
        <v>https://wa.me/6285338058843</v>
      </c>
      <c r="AB775" s="28" t="s">
        <v>4806</v>
      </c>
      <c r="AC775" s="28"/>
      <c r="AD775" s="28" t="s">
        <v>690</v>
      </c>
      <c r="AE775" s="28"/>
      <c r="AF775" s="29">
        <v>45898</v>
      </c>
      <c r="AG775" s="29"/>
    </row>
    <row r="776" spans="1:33" ht="15.75" customHeight="1">
      <c r="A776" s="32" t="s">
        <v>52</v>
      </c>
      <c r="B776" s="33">
        <v>785</v>
      </c>
      <c r="C776" s="34" t="s">
        <v>4807</v>
      </c>
      <c r="D776" s="35">
        <v>45896.736330844906</v>
      </c>
      <c r="E776" s="43">
        <v>45896</v>
      </c>
      <c r="F776" s="32" t="s">
        <v>3483</v>
      </c>
      <c r="G776" s="32" t="s">
        <v>4491</v>
      </c>
      <c r="H776" s="32" t="s">
        <v>3485</v>
      </c>
      <c r="I776" s="36" t="s">
        <v>3486</v>
      </c>
      <c r="J776" s="52"/>
      <c r="K776" s="32" t="s">
        <v>570</v>
      </c>
      <c r="L776" s="32" t="s">
        <v>2468</v>
      </c>
      <c r="M776" s="32" t="s">
        <v>60</v>
      </c>
      <c r="N776" s="33">
        <v>5</v>
      </c>
      <c r="O776" s="35"/>
      <c r="P776" s="35"/>
      <c r="Q776" s="37"/>
      <c r="R776" s="38"/>
      <c r="S776" s="33"/>
      <c r="T776" s="39">
        <v>197000</v>
      </c>
      <c r="U776" s="40" t="s">
        <v>61</v>
      </c>
      <c r="V776" s="41"/>
      <c r="W776" s="42" t="str">
        <f ca="1">IFERROR(__xludf.DUMMYFUNCTION("""COMPUTED_VALUE"""),"Spectrum Holiday")</f>
        <v>Spectrum Holiday</v>
      </c>
      <c r="X776" s="42" t="str">
        <f ca="1"/>
        <v>ON-Spectrum Holiday-00011900+5-6285946504405</v>
      </c>
      <c r="Y776" s="40"/>
      <c r="Z776" s="40"/>
      <c r="AA776" s="23" t="str">
        <v>https://wa.me/6285946504405</v>
      </c>
      <c r="AB776" s="28"/>
      <c r="AC776" s="28"/>
      <c r="AD776" s="28"/>
      <c r="AE776" s="28"/>
      <c r="AF776" s="29"/>
      <c r="AG776" s="29"/>
    </row>
    <row r="777" spans="1:33" ht="15.75" customHeight="1">
      <c r="A777" s="32" t="s">
        <v>196</v>
      </c>
      <c r="B777" s="33">
        <v>787</v>
      </c>
      <c r="C777" s="34" t="s">
        <v>4808</v>
      </c>
      <c r="D777" s="35">
        <v>45897.304856331015</v>
      </c>
      <c r="E777" s="43">
        <v>45897</v>
      </c>
      <c r="F777" s="32" t="s">
        <v>4809</v>
      </c>
      <c r="G777" s="32" t="s">
        <v>4810</v>
      </c>
      <c r="H777" s="32" t="s">
        <v>4199</v>
      </c>
      <c r="I777" s="36" t="s">
        <v>4811</v>
      </c>
      <c r="J777" s="52" t="s">
        <v>4812</v>
      </c>
      <c r="K777" s="32" t="s">
        <v>4813</v>
      </c>
      <c r="L777" s="32" t="s">
        <v>2500</v>
      </c>
      <c r="M777" s="32" t="s">
        <v>249</v>
      </c>
      <c r="N777" s="33">
        <v>5</v>
      </c>
      <c r="O777" s="35">
        <v>45900</v>
      </c>
      <c r="P777" s="35">
        <v>45905</v>
      </c>
      <c r="Q777" s="37"/>
      <c r="R777" s="38"/>
      <c r="S777" s="33"/>
      <c r="T777" s="39">
        <v>197000</v>
      </c>
      <c r="U777" s="40" t="s">
        <v>1774</v>
      </c>
      <c r="V777" s="41"/>
      <c r="W777" s="42" t="str">
        <f ca="1">IFERROR(__xludf.DUMMYFUNCTION("""COMPUTED_VALUE"""),"Bangun kreasi")</f>
        <v>Bangun kreasi</v>
      </c>
      <c r="X777" s="42" t="str">
        <f ca="1"/>
        <v>ON-Bangun kreasi-00011900+5-6281223735839</v>
      </c>
      <c r="Y777" s="40" t="s">
        <v>293</v>
      </c>
      <c r="Z777" s="40" t="s">
        <v>1057</v>
      </c>
      <c r="AA777" s="23" t="str">
        <v>https://wa.me/6281223735839</v>
      </c>
      <c r="AB777" s="28" t="s">
        <v>4814</v>
      </c>
      <c r="AC777" s="28"/>
      <c r="AD777" s="28" t="s">
        <v>690</v>
      </c>
      <c r="AE777" s="28"/>
      <c r="AF777" s="29">
        <v>45900</v>
      </c>
      <c r="AG777" s="29"/>
    </row>
    <row r="778" spans="1:33" ht="15.75" customHeight="1">
      <c r="A778" s="32" t="s">
        <v>196</v>
      </c>
      <c r="B778" s="33">
        <v>789</v>
      </c>
      <c r="C778" s="34" t="s">
        <v>4815</v>
      </c>
      <c r="D778" s="35">
        <v>45897.376926192126</v>
      </c>
      <c r="E778" s="43">
        <v>45897</v>
      </c>
      <c r="F778" s="32" t="s">
        <v>3863</v>
      </c>
      <c r="G778" s="32" t="s">
        <v>4816</v>
      </c>
      <c r="H778" s="32" t="s">
        <v>4817</v>
      </c>
      <c r="I778" s="36" t="s">
        <v>3866</v>
      </c>
      <c r="J778" s="52"/>
      <c r="K778" s="32" t="s">
        <v>1604</v>
      </c>
      <c r="L778" s="32"/>
      <c r="M778" s="32" t="s">
        <v>92</v>
      </c>
      <c r="N778" s="33">
        <v>10</v>
      </c>
      <c r="O778" s="35"/>
      <c r="P778" s="35"/>
      <c r="Q778" s="37"/>
      <c r="R778" s="38"/>
      <c r="S778" s="33"/>
      <c r="T778" s="39">
        <v>375000</v>
      </c>
      <c r="U778" s="40" t="s">
        <v>1229</v>
      </c>
      <c r="V778" s="41"/>
      <c r="W778" s="42" t="str">
        <f ca="1">IFERROR(__xludf.DUMMYFUNCTION("""COMPUTED_VALUE"""),"Berkah teknik")</f>
        <v>Berkah teknik</v>
      </c>
      <c r="X778" s="42" t="str">
        <f ca="1"/>
        <v>ON-Berkah teknik-00011900+10-6285748377961</v>
      </c>
      <c r="Y778" s="40" t="s">
        <v>62</v>
      </c>
      <c r="Z778" s="40" t="s">
        <v>277</v>
      </c>
      <c r="AA778" s="23" t="str">
        <v>https://wa.me/6285748377961</v>
      </c>
      <c r="AB778" s="28" t="s">
        <v>4818</v>
      </c>
      <c r="AC778" s="28"/>
      <c r="AD778" s="28" t="s">
        <v>690</v>
      </c>
      <c r="AE778" s="28"/>
      <c r="AF778" s="29">
        <v>45900</v>
      </c>
      <c r="AG778" s="29"/>
    </row>
    <row r="779" spans="1:33" ht="15.75" customHeight="1">
      <c r="A779" s="32" t="s">
        <v>52</v>
      </c>
      <c r="B779" s="33">
        <v>790</v>
      </c>
      <c r="C779" s="34" t="s">
        <v>4819</v>
      </c>
      <c r="D779" s="35">
        <v>45897.386392337961</v>
      </c>
      <c r="E779" s="43">
        <v>45897</v>
      </c>
      <c r="F779" s="32" t="s">
        <v>1863</v>
      </c>
      <c r="G779" s="32" t="s">
        <v>1863</v>
      </c>
      <c r="H779" s="32" t="s">
        <v>1829</v>
      </c>
      <c r="I779" s="36" t="s">
        <v>1864</v>
      </c>
      <c r="J779" s="52"/>
      <c r="K779" s="32" t="s">
        <v>1490</v>
      </c>
      <c r="L779" s="32" t="s">
        <v>1865</v>
      </c>
      <c r="M779" s="32" t="s">
        <v>205</v>
      </c>
      <c r="N779" s="33">
        <v>10</v>
      </c>
      <c r="O779" s="35"/>
      <c r="P779" s="35"/>
      <c r="Q779" s="37"/>
      <c r="R779" s="38"/>
      <c r="S779" s="33"/>
      <c r="T779" s="39">
        <v>375000</v>
      </c>
      <c r="U779" s="40" t="s">
        <v>1229</v>
      </c>
      <c r="V779" s="41"/>
      <c r="W779" s="42" t="str">
        <f ca="1">IFERROR(__xludf.DUMMYFUNCTION("""COMPUTED_VALUE"""),"Rental Mobil")</f>
        <v>Rental Mobil</v>
      </c>
      <c r="X779" s="42" t="str">
        <f ca="1"/>
        <v>ON-Rental Mobil-00011900+10-6287782749624</v>
      </c>
      <c r="Y779" s="40"/>
      <c r="Z779" s="40"/>
      <c r="AA779" s="23" t="str">
        <v>https://wa.me/6287782749624</v>
      </c>
      <c r="AB779" s="28"/>
      <c r="AC779" s="28"/>
      <c r="AD779" s="28"/>
      <c r="AE779" s="28"/>
      <c r="AF779" s="29"/>
      <c r="AG779" s="29"/>
    </row>
    <row r="780" spans="1:33" ht="15.75" customHeight="1">
      <c r="A780" s="32" t="s">
        <v>196</v>
      </c>
      <c r="B780" s="33">
        <v>791</v>
      </c>
      <c r="C780" s="34" t="s">
        <v>4820</v>
      </c>
      <c r="D780" s="35">
        <v>45897.428862754634</v>
      </c>
      <c r="E780" s="43">
        <v>45897</v>
      </c>
      <c r="F780" s="32" t="s">
        <v>4821</v>
      </c>
      <c r="G780" s="32" t="s">
        <v>4822</v>
      </c>
      <c r="H780" s="32" t="s">
        <v>4823</v>
      </c>
      <c r="I780" s="36" t="s">
        <v>4824</v>
      </c>
      <c r="J780" s="52"/>
      <c r="K780" s="32" t="s">
        <v>570</v>
      </c>
      <c r="L780" s="32" t="s">
        <v>2313</v>
      </c>
      <c r="M780" s="32" t="s">
        <v>60</v>
      </c>
      <c r="N780" s="33">
        <v>30</v>
      </c>
      <c r="O780" s="35">
        <v>45900</v>
      </c>
      <c r="P780" s="35">
        <v>45930</v>
      </c>
      <c r="Q780" s="37"/>
      <c r="R780" s="38"/>
      <c r="S780" s="33"/>
      <c r="T780" s="39">
        <v>850000</v>
      </c>
      <c r="U780" s="40" t="s">
        <v>61</v>
      </c>
      <c r="V780" s="41"/>
      <c r="W780" s="42" t="str">
        <f ca="1">IFERROR(__xludf.DUMMYFUNCTION("""COMPUTED_VALUE"""),"HDG Trip")</f>
        <v>HDG Trip</v>
      </c>
      <c r="X780" s="42" t="str">
        <f ca="1"/>
        <v>ON-HDG Trip-00011900+30-6282217300224</v>
      </c>
      <c r="Y780" s="40" t="s">
        <v>62</v>
      </c>
      <c r="Z780" s="40" t="s">
        <v>1880</v>
      </c>
      <c r="AA780" s="23" t="str">
        <v>https://wa.me/6282217300224</v>
      </c>
      <c r="AB780" s="28" t="s">
        <v>4825</v>
      </c>
      <c r="AC780" s="28"/>
      <c r="AD780" s="28" t="s">
        <v>690</v>
      </c>
      <c r="AE780" s="28"/>
      <c r="AF780" s="29">
        <v>45901</v>
      </c>
      <c r="AG780" s="29"/>
    </row>
    <row r="781" spans="1:33" ht="15.75" customHeight="1">
      <c r="A781" s="32" t="s">
        <v>196</v>
      </c>
      <c r="B781" s="33">
        <v>793</v>
      </c>
      <c r="C781" s="34" t="s">
        <v>4826</v>
      </c>
      <c r="D781" s="35">
        <v>45897.446001851851</v>
      </c>
      <c r="E781" s="43">
        <v>45897</v>
      </c>
      <c r="F781" s="32" t="s">
        <v>4827</v>
      </c>
      <c r="G781" s="32" t="s">
        <v>4828</v>
      </c>
      <c r="H781" s="32" t="s">
        <v>4829</v>
      </c>
      <c r="I781" s="36" t="s">
        <v>4830</v>
      </c>
      <c r="J781" s="52"/>
      <c r="K781" s="32" t="s">
        <v>4831</v>
      </c>
      <c r="L781" s="32" t="s">
        <v>3057</v>
      </c>
      <c r="M781" s="32" t="s">
        <v>60</v>
      </c>
      <c r="N781" s="33">
        <v>5</v>
      </c>
      <c r="O781" s="35"/>
      <c r="P781" s="35"/>
      <c r="Q781" s="37"/>
      <c r="R781" s="38"/>
      <c r="S781" s="33"/>
      <c r="T781" s="39">
        <v>197000</v>
      </c>
      <c r="U781" s="40" t="s">
        <v>61</v>
      </c>
      <c r="V781" s="41"/>
      <c r="W781" s="42" t="str">
        <f ca="1">IFERROR(__xludf.DUMMYFUNCTION("""COMPUTED_VALUE"""),"PT Lehor")</f>
        <v>PT Lehor</v>
      </c>
      <c r="X781" s="42" t="str">
        <f ca="1"/>
        <v>ON-PT Lehor-00011900+5-6281222895502</v>
      </c>
      <c r="Y781" s="40" t="s">
        <v>293</v>
      </c>
      <c r="Z781" s="40" t="s">
        <v>1057</v>
      </c>
      <c r="AA781" s="23" t="str">
        <v>https://wa.me/6281222895502</v>
      </c>
      <c r="AB781" s="28" t="s">
        <v>4832</v>
      </c>
      <c r="AC781" s="28"/>
      <c r="AD781" s="28" t="s">
        <v>690</v>
      </c>
      <c r="AE781" s="28"/>
      <c r="AF781" s="29">
        <v>45900</v>
      </c>
      <c r="AG781" s="29"/>
    </row>
    <row r="782" spans="1:33" ht="15.75" customHeight="1">
      <c r="A782" s="32" t="s">
        <v>52</v>
      </c>
      <c r="B782" s="33">
        <v>794</v>
      </c>
      <c r="C782" s="34" t="s">
        <v>4833</v>
      </c>
      <c r="D782" s="35">
        <v>45897.46683420139</v>
      </c>
      <c r="E782" s="43">
        <v>45897</v>
      </c>
      <c r="F782" s="32" t="s">
        <v>2405</v>
      </c>
      <c r="G782" s="32" t="s">
        <v>2406</v>
      </c>
      <c r="H782" s="32" t="s">
        <v>66</v>
      </c>
      <c r="I782" s="36" t="s">
        <v>2407</v>
      </c>
      <c r="J782" s="52"/>
      <c r="K782" s="32" t="s">
        <v>46</v>
      </c>
      <c r="L782" s="32" t="s">
        <v>2408</v>
      </c>
      <c r="M782" s="32" t="s">
        <v>60</v>
      </c>
      <c r="N782" s="33">
        <v>7</v>
      </c>
      <c r="O782" s="35"/>
      <c r="P782" s="35"/>
      <c r="Q782" s="37"/>
      <c r="R782" s="38"/>
      <c r="S782" s="33"/>
      <c r="T782" s="39">
        <v>297000</v>
      </c>
      <c r="U782" s="40" t="s">
        <v>61</v>
      </c>
      <c r="V782" s="41"/>
      <c r="W782" s="42" t="str">
        <f ca="1">IFERROR(__xludf.DUMMYFUNCTION("""COMPUTED_VALUE"""),"Superman Interior")</f>
        <v>Superman Interior</v>
      </c>
      <c r="X782" s="42" t="str">
        <f ca="1"/>
        <v>ON-Superman Interior-00011900+7-62881038177010</v>
      </c>
      <c r="Y782" s="40"/>
      <c r="Z782" s="40"/>
      <c r="AA782" s="23" t="str">
        <v>https://wa.me/62881038177010</v>
      </c>
      <c r="AB782" s="28"/>
      <c r="AC782" s="28"/>
      <c r="AD782" s="28"/>
      <c r="AE782" s="28"/>
      <c r="AF782" s="29"/>
      <c r="AG782" s="29"/>
    </row>
    <row r="783" spans="1:33" ht="15.75" customHeight="1">
      <c r="A783" s="32" t="s">
        <v>196</v>
      </c>
      <c r="B783" s="33">
        <v>797</v>
      </c>
      <c r="C783" s="34" t="s">
        <v>4834</v>
      </c>
      <c r="D783" s="35">
        <v>45897.5105128125</v>
      </c>
      <c r="E783" s="43">
        <v>45897</v>
      </c>
      <c r="F783" s="32" t="s">
        <v>4835</v>
      </c>
      <c r="G783" s="32" t="s">
        <v>4836</v>
      </c>
      <c r="H783" s="32" t="s">
        <v>4837</v>
      </c>
      <c r="I783" s="36" t="s">
        <v>4838</v>
      </c>
      <c r="J783" s="52"/>
      <c r="K783" s="32" t="s">
        <v>4839</v>
      </c>
      <c r="L783" s="32" t="s">
        <v>4840</v>
      </c>
      <c r="M783" s="32" t="s">
        <v>60</v>
      </c>
      <c r="N783" s="33">
        <v>5</v>
      </c>
      <c r="O783" s="35">
        <v>45900</v>
      </c>
      <c r="P783" s="35">
        <v>45905</v>
      </c>
      <c r="Q783" s="37"/>
      <c r="R783" s="38"/>
      <c r="S783" s="33"/>
      <c r="T783" s="39">
        <v>197000</v>
      </c>
      <c r="U783" s="40" t="s">
        <v>61</v>
      </c>
      <c r="V783" s="41"/>
      <c r="W783" s="42" t="str">
        <f ca="1">IFERROR(__xludf.DUMMYFUNCTION("""COMPUTED_VALUE"""),"Susu Kambing")</f>
        <v>Susu Kambing</v>
      </c>
      <c r="X783" s="42" t="str">
        <f ca="1"/>
        <v>ON-Susu Kambing-00011900+5-6285645712595</v>
      </c>
      <c r="Y783" s="40" t="s">
        <v>62</v>
      </c>
      <c r="Z783" s="40" t="s">
        <v>1861</v>
      </c>
      <c r="AA783" s="23" t="str">
        <v>https://wa.me/6285645712595</v>
      </c>
      <c r="AB783" s="28" t="s">
        <v>4841</v>
      </c>
      <c r="AC783" s="28"/>
      <c r="AD783" s="28" t="s">
        <v>690</v>
      </c>
      <c r="AE783" s="28"/>
      <c r="AF783" s="29">
        <v>45900</v>
      </c>
      <c r="AG783" s="29"/>
    </row>
    <row r="784" spans="1:33" ht="15.75" customHeight="1">
      <c r="A784" s="32" t="s">
        <v>52</v>
      </c>
      <c r="B784" s="33">
        <v>798</v>
      </c>
      <c r="C784" s="34" t="s">
        <v>4842</v>
      </c>
      <c r="D784" s="35">
        <v>45897.514528981483</v>
      </c>
      <c r="E784" s="43">
        <v>45897</v>
      </c>
      <c r="F784" s="32" t="s">
        <v>1020</v>
      </c>
      <c r="G784" s="32" t="s">
        <v>1021</v>
      </c>
      <c r="H784" s="32" t="s">
        <v>1022</v>
      </c>
      <c r="I784" s="36" t="s">
        <v>1023</v>
      </c>
      <c r="J784" s="52" t="s">
        <v>3700</v>
      </c>
      <c r="K784" s="32" t="s">
        <v>1024</v>
      </c>
      <c r="L784" s="32" t="s">
        <v>629</v>
      </c>
      <c r="M784" s="32"/>
      <c r="N784" s="33">
        <v>14</v>
      </c>
      <c r="O784" s="35"/>
      <c r="P784" s="35"/>
      <c r="Q784" s="37"/>
      <c r="R784" s="38"/>
      <c r="S784" s="33"/>
      <c r="T784" s="39">
        <v>910000</v>
      </c>
      <c r="U784" s="40" t="s">
        <v>115</v>
      </c>
      <c r="V784" s="41"/>
      <c r="W784" s="42" t="str">
        <f ca="1">IFERROR(__xludf.DUMMYFUNCTION("""COMPUTED_VALUE"""),"Deriano")</f>
        <v>Deriano</v>
      </c>
      <c r="X784" s="42" t="str">
        <f ca="1"/>
        <v>ON-Deriano-00011900+14-6282122880328</v>
      </c>
      <c r="Y784" s="40"/>
      <c r="Z784" s="40"/>
      <c r="AA784" s="23" t="str">
        <v>https://wa.me/6282122880328</v>
      </c>
      <c r="AB784" s="28"/>
      <c r="AC784" s="28"/>
      <c r="AD784" s="28"/>
      <c r="AE784" s="28"/>
      <c r="AF784" s="29"/>
      <c r="AG784" s="29"/>
    </row>
    <row r="785" spans="1:33" ht="15.75" customHeight="1">
      <c r="A785" s="32" t="s">
        <v>52</v>
      </c>
      <c r="B785" s="33">
        <v>799</v>
      </c>
      <c r="C785" s="34" t="s">
        <v>4843</v>
      </c>
      <c r="D785" s="35">
        <v>45897.517230717596</v>
      </c>
      <c r="E785" s="43">
        <v>45897</v>
      </c>
      <c r="F785" s="32" t="s">
        <v>4042</v>
      </c>
      <c r="G785" s="32" t="s">
        <v>4043</v>
      </c>
      <c r="H785" s="32" t="s">
        <v>4044</v>
      </c>
      <c r="I785" s="36" t="s">
        <v>4045</v>
      </c>
      <c r="J785" s="52"/>
      <c r="K785" s="32" t="s">
        <v>2932</v>
      </c>
      <c r="L785" s="32" t="s">
        <v>4046</v>
      </c>
      <c r="M785" s="32" t="s">
        <v>4047</v>
      </c>
      <c r="N785" s="33">
        <v>20</v>
      </c>
      <c r="O785" s="35"/>
      <c r="P785" s="35"/>
      <c r="Q785" s="37"/>
      <c r="R785" s="38"/>
      <c r="S785" s="33"/>
      <c r="T785" s="39">
        <v>700000</v>
      </c>
      <c r="U785" s="40" t="s">
        <v>1229</v>
      </c>
      <c r="V785" s="41"/>
      <c r="W785" s="42" t="str">
        <f ca="1">IFERROR(__xludf.DUMMYFUNCTION("""COMPUTED_VALUE"""),"pusat roster,bata")</f>
        <v>pusat roster,bata</v>
      </c>
      <c r="X785" s="42" t="str">
        <f ca="1"/>
        <v>ON-pusat roster,bata-00011900+20-6285925102815</v>
      </c>
      <c r="Y785" s="40"/>
      <c r="Z785" s="40"/>
      <c r="AA785" s="23" t="str">
        <v>https://wa.me/6285925102815</v>
      </c>
      <c r="AB785" s="28"/>
      <c r="AC785" s="28"/>
      <c r="AD785" s="28"/>
      <c r="AE785" s="28"/>
      <c r="AF785" s="29"/>
      <c r="AG785" s="29"/>
    </row>
    <row r="786" spans="1:33" ht="15.75" customHeight="1">
      <c r="A786" s="32" t="s">
        <v>52</v>
      </c>
      <c r="B786" s="33">
        <v>800</v>
      </c>
      <c r="C786" s="34" t="s">
        <v>4844</v>
      </c>
      <c r="D786" s="35">
        <v>45897.549308240741</v>
      </c>
      <c r="E786" s="43">
        <v>45897</v>
      </c>
      <c r="F786" s="32" t="s">
        <v>4460</v>
      </c>
      <c r="G786" s="32" t="s">
        <v>4461</v>
      </c>
      <c r="H786" s="32" t="s">
        <v>4462</v>
      </c>
      <c r="I786" s="36" t="s">
        <v>4463</v>
      </c>
      <c r="J786" s="52"/>
      <c r="K786" s="32" t="s">
        <v>4464</v>
      </c>
      <c r="L786" s="32" t="s">
        <v>3079</v>
      </c>
      <c r="M786" s="32" t="s">
        <v>48</v>
      </c>
      <c r="N786" s="33">
        <v>10</v>
      </c>
      <c r="O786" s="35"/>
      <c r="P786" s="35"/>
      <c r="Q786" s="37"/>
      <c r="R786" s="38"/>
      <c r="S786" s="33"/>
      <c r="T786" s="39">
        <v>375000</v>
      </c>
      <c r="U786" s="40" t="s">
        <v>1229</v>
      </c>
      <c r="V786" s="41"/>
      <c r="W786" s="42" t="str">
        <f ca="1">IFERROR(__xludf.DUMMYFUNCTION("""COMPUTED_VALUE"""),"31 studio")</f>
        <v>31 studio</v>
      </c>
      <c r="X786" s="42" t="str">
        <f ca="1"/>
        <v>ON-31 studio-00011900+10-6285251757431</v>
      </c>
      <c r="Y786" s="40"/>
      <c r="Z786" s="40"/>
      <c r="AA786" s="23" t="str">
        <v>https://wa.me/6285251757431</v>
      </c>
      <c r="AB786" s="28"/>
      <c r="AC786" s="28"/>
      <c r="AD786" s="28"/>
      <c r="AE786" s="28"/>
      <c r="AF786" s="29"/>
      <c r="AG786" s="29"/>
    </row>
    <row r="787" spans="1:33" ht="15.75" customHeight="1">
      <c r="A787" s="32" t="s">
        <v>196</v>
      </c>
      <c r="B787" s="33">
        <v>801</v>
      </c>
      <c r="C787" s="34" t="s">
        <v>4845</v>
      </c>
      <c r="D787" s="35">
        <v>45897.61114893519</v>
      </c>
      <c r="E787" s="43">
        <v>45897</v>
      </c>
      <c r="F787" s="32" t="s">
        <v>4846</v>
      </c>
      <c r="G787" s="32" t="s">
        <v>4847</v>
      </c>
      <c r="H787" s="32" t="s">
        <v>588</v>
      </c>
      <c r="I787" s="36" t="s">
        <v>4848</v>
      </c>
      <c r="J787" s="52"/>
      <c r="K787" s="32" t="s">
        <v>4849</v>
      </c>
      <c r="L787" s="32" t="s">
        <v>4850</v>
      </c>
      <c r="M787" s="32" t="s">
        <v>60</v>
      </c>
      <c r="N787" s="33">
        <v>5</v>
      </c>
      <c r="O787" s="35">
        <v>45900</v>
      </c>
      <c r="P787" s="35">
        <v>45905</v>
      </c>
      <c r="Q787" s="37"/>
      <c r="R787" s="38"/>
      <c r="S787" s="33"/>
      <c r="T787" s="39">
        <v>197000</v>
      </c>
      <c r="U787" s="40" t="s">
        <v>61</v>
      </c>
      <c r="V787" s="41"/>
      <c r="W787" s="42" t="str">
        <f ca="1">IFERROR(__xludf.DUMMYFUNCTION("""COMPUTED_VALUE"""),"Rayyan Interior")</f>
        <v>Rayyan Interior</v>
      </c>
      <c r="X787" s="42" t="str">
        <f ca="1"/>
        <v>ON-Rayyan Interior-00011900+5-6285375555590</v>
      </c>
      <c r="Y787" s="40" t="s">
        <v>293</v>
      </c>
      <c r="Z787" s="40" t="s">
        <v>1057</v>
      </c>
      <c r="AA787" s="23" t="str">
        <v>https://wa.me/6285375555590</v>
      </c>
      <c r="AB787" s="28" t="s">
        <v>4851</v>
      </c>
      <c r="AC787" s="28"/>
      <c r="AD787" s="28" t="s">
        <v>690</v>
      </c>
      <c r="AE787" s="28"/>
      <c r="AF787" s="29">
        <v>45901</v>
      </c>
      <c r="AG787" s="29"/>
    </row>
    <row r="788" spans="1:33" ht="15.75" customHeight="1">
      <c r="A788" s="32" t="s">
        <v>196</v>
      </c>
      <c r="B788" s="33">
        <v>803</v>
      </c>
      <c r="C788" s="34" t="s">
        <v>4852</v>
      </c>
      <c r="D788" s="35">
        <v>45897.671116238431</v>
      </c>
      <c r="E788" s="43">
        <v>45897</v>
      </c>
      <c r="F788" s="32" t="s">
        <v>4853</v>
      </c>
      <c r="G788" s="32" t="s">
        <v>4854</v>
      </c>
      <c r="H788" s="32" t="s">
        <v>4855</v>
      </c>
      <c r="I788" s="36" t="s">
        <v>4856</v>
      </c>
      <c r="J788" s="52" t="s">
        <v>4857</v>
      </c>
      <c r="K788" s="32" t="s">
        <v>4858</v>
      </c>
      <c r="L788" s="32" t="s">
        <v>4859</v>
      </c>
      <c r="M788" s="32" t="s">
        <v>1534</v>
      </c>
      <c r="N788" s="33">
        <v>5</v>
      </c>
      <c r="O788" s="35"/>
      <c r="P788" s="35"/>
      <c r="Q788" s="37"/>
      <c r="R788" s="38"/>
      <c r="S788" s="33"/>
      <c r="T788" s="39">
        <v>197000</v>
      </c>
      <c r="U788" s="40" t="s">
        <v>1229</v>
      </c>
      <c r="V788" s="41"/>
      <c r="W788" s="42" t="str">
        <f ca="1">IFERROR(__xludf.DUMMYFUNCTION("""COMPUTED_VALUE"""),"PO TARUNA")</f>
        <v>PO TARUNA</v>
      </c>
      <c r="X788" s="42" t="str">
        <f ca="1"/>
        <v>ON-PO TARUNA-00011900+5-6281222200099</v>
      </c>
      <c r="Y788" s="40" t="s">
        <v>62</v>
      </c>
      <c r="Z788" s="40" t="s">
        <v>1880</v>
      </c>
      <c r="AA788" s="23" t="str">
        <v>https://wa.me/6281222200099</v>
      </c>
      <c r="AB788" s="28" t="s">
        <v>4860</v>
      </c>
      <c r="AC788" s="28"/>
      <c r="AD788" s="28" t="s">
        <v>690</v>
      </c>
      <c r="AE788" s="28"/>
      <c r="AF788" s="29">
        <v>45900</v>
      </c>
      <c r="AG788" s="29"/>
    </row>
    <row r="789" spans="1:33" ht="15.75" customHeight="1">
      <c r="A789" s="32" t="s">
        <v>196</v>
      </c>
      <c r="B789" s="33">
        <v>804</v>
      </c>
      <c r="C789" s="34" t="s">
        <v>4861</v>
      </c>
      <c r="D789" s="35">
        <v>45897.830237418981</v>
      </c>
      <c r="E789" s="43">
        <v>45897</v>
      </c>
      <c r="F789" s="32" t="s">
        <v>4862</v>
      </c>
      <c r="G789" s="32" t="s">
        <v>4863</v>
      </c>
      <c r="H789" s="32" t="s">
        <v>3425</v>
      </c>
      <c r="I789" s="36" t="s">
        <v>4864</v>
      </c>
      <c r="J789" s="52"/>
      <c r="K789" s="32" t="s">
        <v>1154</v>
      </c>
      <c r="L789" s="32" t="s">
        <v>2133</v>
      </c>
      <c r="M789" s="32" t="s">
        <v>60</v>
      </c>
      <c r="N789" s="33">
        <v>20</v>
      </c>
      <c r="O789" s="35"/>
      <c r="P789" s="35"/>
      <c r="Q789" s="37"/>
      <c r="R789" s="38"/>
      <c r="S789" s="33"/>
      <c r="T789" s="39">
        <v>700000</v>
      </c>
      <c r="U789" s="40" t="s">
        <v>61</v>
      </c>
      <c r="V789" s="41"/>
      <c r="W789" s="42" t="str">
        <f ca="1">IFERROR(__xludf.DUMMYFUNCTION("""COMPUTED_VALUE"""),"Karya Mandiri")</f>
        <v>Karya Mandiri</v>
      </c>
      <c r="X789" s="42" t="str">
        <f ca="1"/>
        <v>ON-Karya Mandiri-00011900+20-6285225512004</v>
      </c>
      <c r="Y789" s="40" t="s">
        <v>293</v>
      </c>
      <c r="Z789" s="40" t="s">
        <v>1057</v>
      </c>
      <c r="AA789" s="23" t="str">
        <v>https://wa.me/6285225512004</v>
      </c>
      <c r="AB789" s="28" t="s">
        <v>4865</v>
      </c>
      <c r="AC789" s="28"/>
      <c r="AD789" s="28" t="s">
        <v>690</v>
      </c>
      <c r="AE789" s="28"/>
      <c r="AF789" s="29">
        <v>45901</v>
      </c>
      <c r="AG789" s="29"/>
    </row>
    <row r="790" spans="1:33" ht="15.75" customHeight="1">
      <c r="A790" s="32" t="s">
        <v>196</v>
      </c>
      <c r="B790" s="33">
        <v>805</v>
      </c>
      <c r="C790" s="34" t="s">
        <v>4866</v>
      </c>
      <c r="D790" s="35">
        <v>45897.839970000001</v>
      </c>
      <c r="E790" s="43">
        <v>45897</v>
      </c>
      <c r="F790" s="32" t="s">
        <v>4867</v>
      </c>
      <c r="G790" s="32" t="s">
        <v>4868</v>
      </c>
      <c r="H790" s="32" t="s">
        <v>4869</v>
      </c>
      <c r="I790" s="36" t="s">
        <v>4870</v>
      </c>
      <c r="J790" s="52"/>
      <c r="K790" s="32" t="s">
        <v>570</v>
      </c>
      <c r="L790" s="32" t="s">
        <v>4871</v>
      </c>
      <c r="M790" s="32" t="s">
        <v>60</v>
      </c>
      <c r="N790" s="33">
        <v>5</v>
      </c>
      <c r="O790" s="35"/>
      <c r="P790" s="35"/>
      <c r="Q790" s="37"/>
      <c r="R790" s="38"/>
      <c r="S790" s="33"/>
      <c r="T790" s="39">
        <v>197000</v>
      </c>
      <c r="U790" s="40" t="s">
        <v>61</v>
      </c>
      <c r="V790" s="41"/>
      <c r="W790" s="42" t="str">
        <f ca="1">IFERROR(__xludf.DUMMYFUNCTION("""COMPUTED_VALUE"""),"Putra Mandiri")</f>
        <v>Putra Mandiri</v>
      </c>
      <c r="X790" s="42" t="str">
        <f ca="1"/>
        <v>ON-Putra Mandiri-00011900+5-6281281230009</v>
      </c>
      <c r="Y790" s="40" t="s">
        <v>293</v>
      </c>
      <c r="Z790" s="40" t="s">
        <v>1057</v>
      </c>
      <c r="AA790" s="23" t="str">
        <v>https://wa.me/6281281230009</v>
      </c>
      <c r="AB790" s="28" t="s">
        <v>4872</v>
      </c>
      <c r="AC790" s="28"/>
      <c r="AD790" s="28" t="s">
        <v>690</v>
      </c>
      <c r="AE790" s="28"/>
      <c r="AF790" s="29">
        <v>45918</v>
      </c>
      <c r="AG790" s="29"/>
    </row>
    <row r="791" spans="1:33" ht="15.75" customHeight="1">
      <c r="A791" s="32" t="s">
        <v>196</v>
      </c>
      <c r="B791" s="33">
        <v>806</v>
      </c>
      <c r="C791" s="34" t="s">
        <v>4873</v>
      </c>
      <c r="D791" s="35">
        <v>45897.90513856482</v>
      </c>
      <c r="E791" s="43">
        <v>45897</v>
      </c>
      <c r="F791" s="32" t="s">
        <v>4874</v>
      </c>
      <c r="G791" s="54" t="s">
        <v>4875</v>
      </c>
      <c r="H791" s="32" t="s">
        <v>4876</v>
      </c>
      <c r="I791" s="36" t="s">
        <v>4877</v>
      </c>
      <c r="J791" s="52"/>
      <c r="K791" s="32" t="s">
        <v>570</v>
      </c>
      <c r="L791" s="32" t="s">
        <v>2924</v>
      </c>
      <c r="M791" s="32" t="s">
        <v>4878</v>
      </c>
      <c r="N791" s="33">
        <v>14</v>
      </c>
      <c r="O791" s="35"/>
      <c r="P791" s="35"/>
      <c r="Q791" s="37"/>
      <c r="R791" s="38"/>
      <c r="S791" s="33"/>
      <c r="T791" s="39">
        <v>550000</v>
      </c>
      <c r="U791" s="40" t="s">
        <v>115</v>
      </c>
      <c r="V791" s="41"/>
      <c r="W791" s="55" t="str">
        <f ca="1">IFERROR(__xludf.DUMMYFUNCTION("""COMPUTED_VALUE"""),"adhidezign.com")</f>
        <v>adhidezign.com</v>
      </c>
      <c r="X791" s="42" t="str">
        <f ca="1"/>
        <v>ON-adhidezign.com-00011900+14-6285719003688</v>
      </c>
      <c r="Y791" s="40" t="s">
        <v>62</v>
      </c>
      <c r="Z791" s="40" t="s">
        <v>1465</v>
      </c>
      <c r="AA791" s="23" t="str">
        <v>https://wa.me/6285719003688</v>
      </c>
      <c r="AB791" s="28" t="s">
        <v>4879</v>
      </c>
      <c r="AC791" s="28"/>
      <c r="AD791" s="28" t="s">
        <v>690</v>
      </c>
      <c r="AE791" s="28"/>
      <c r="AF791" s="29">
        <v>45901</v>
      </c>
      <c r="AG791" s="29"/>
    </row>
    <row r="792" spans="1:33" ht="15.75" customHeight="1">
      <c r="A792" s="32" t="s">
        <v>196</v>
      </c>
      <c r="B792" s="33">
        <v>807</v>
      </c>
      <c r="C792" s="34" t="s">
        <v>4880</v>
      </c>
      <c r="D792" s="35">
        <v>46040</v>
      </c>
      <c r="E792" s="43">
        <v>45898</v>
      </c>
      <c r="F792" s="32" t="s">
        <v>4881</v>
      </c>
      <c r="G792" s="32" t="s">
        <v>4882</v>
      </c>
      <c r="H792" s="32" t="s">
        <v>4883</v>
      </c>
      <c r="I792" s="36" t="s">
        <v>4884</v>
      </c>
      <c r="J792" s="52"/>
      <c r="K792" s="32" t="s">
        <v>4885</v>
      </c>
      <c r="L792" s="32" t="s">
        <v>4886</v>
      </c>
      <c r="M792" s="32" t="s">
        <v>60</v>
      </c>
      <c r="N792" s="33">
        <v>10</v>
      </c>
      <c r="O792" s="35"/>
      <c r="P792" s="35"/>
      <c r="Q792" s="37"/>
      <c r="R792" s="38">
        <v>-1003470351325</v>
      </c>
      <c r="S792" s="33"/>
      <c r="T792" s="39">
        <v>375000</v>
      </c>
      <c r="U792" s="40" t="s">
        <v>115</v>
      </c>
      <c r="V792" s="47">
        <v>46040.434111666662</v>
      </c>
      <c r="W792" s="42" t="str">
        <f ca="1">IFERROR(__xludf.DUMMYFUNCTION("""COMPUTED_VALUE"""),"CV. Arthamas")</f>
        <v>CV. Arthamas</v>
      </c>
      <c r="X792" s="42" t="str">
        <f ca="1"/>
        <v>ON-CV. Arthamas-18012026+10-6281328881949</v>
      </c>
      <c r="Y792" s="40" t="s">
        <v>293</v>
      </c>
      <c r="Z792" s="40" t="s">
        <v>1057</v>
      </c>
      <c r="AA792" s="23" t="str">
        <v>https://wa.me/6281328881949</v>
      </c>
      <c r="AB792" s="28" t="s">
        <v>4887</v>
      </c>
      <c r="AC792" s="28"/>
      <c r="AD792" s="28" t="s">
        <v>690</v>
      </c>
      <c r="AE792" s="28"/>
      <c r="AF792" s="29">
        <v>45901</v>
      </c>
      <c r="AG792" s="29"/>
    </row>
    <row r="793" spans="1:33" ht="15.75" customHeight="1">
      <c r="A793" s="32" t="s">
        <v>196</v>
      </c>
      <c r="B793" s="33">
        <v>805</v>
      </c>
      <c r="C793" s="34" t="s">
        <v>4866</v>
      </c>
      <c r="D793" s="35">
        <v>45898.469199606479</v>
      </c>
      <c r="E793" s="43">
        <v>45898</v>
      </c>
      <c r="F793" s="32" t="s">
        <v>4888</v>
      </c>
      <c r="G793" s="32" t="s">
        <v>4889</v>
      </c>
      <c r="H793" s="32" t="s">
        <v>4890</v>
      </c>
      <c r="I793" s="36" t="s">
        <v>4891</v>
      </c>
      <c r="J793" s="52"/>
      <c r="K793" s="32" t="s">
        <v>4892</v>
      </c>
      <c r="L793" s="32" t="s">
        <v>4893</v>
      </c>
      <c r="M793" s="32" t="s">
        <v>48</v>
      </c>
      <c r="N793" s="33">
        <v>5</v>
      </c>
      <c r="O793" s="35"/>
      <c r="P793" s="35"/>
      <c r="Q793" s="37"/>
      <c r="R793" s="38"/>
      <c r="S793" s="33"/>
      <c r="T793" s="39">
        <v>197000</v>
      </c>
      <c r="U793" s="40" t="s">
        <v>1229</v>
      </c>
      <c r="V793" s="41"/>
      <c r="W793" s="42" t="str">
        <f ca="1">IFERROR(__xludf.DUMMYFUNCTION("""COMPUTED_VALUE"""),"Segar bugar")</f>
        <v>Segar bugar</v>
      </c>
      <c r="X793" s="42" t="str">
        <f ca="1"/>
        <v>ON-Segar bugar-00011900+5-6281262080126</v>
      </c>
      <c r="Y793" s="40" t="s">
        <v>62</v>
      </c>
      <c r="Z793" s="40" t="s">
        <v>639</v>
      </c>
      <c r="AA793" s="23" t="str">
        <v>https://wa.me/6281262080126</v>
      </c>
      <c r="AB793" s="28" t="s">
        <v>4894</v>
      </c>
      <c r="AC793" s="28"/>
      <c r="AD793" s="28" t="s">
        <v>690</v>
      </c>
      <c r="AE793" s="28"/>
      <c r="AF793" s="29">
        <v>45901</v>
      </c>
      <c r="AG793" s="29"/>
    </row>
    <row r="794" spans="1:33" ht="15.75" customHeight="1">
      <c r="A794" s="32" t="s">
        <v>52</v>
      </c>
      <c r="B794" s="33">
        <v>806</v>
      </c>
      <c r="C794" s="34" t="s">
        <v>4873</v>
      </c>
      <c r="D794" s="35">
        <v>45898.671490671295</v>
      </c>
      <c r="E794" s="43">
        <v>45898</v>
      </c>
      <c r="F794" s="32" t="s">
        <v>513</v>
      </c>
      <c r="G794" s="32" t="s">
        <v>514</v>
      </c>
      <c r="H794" s="32" t="s">
        <v>515</v>
      </c>
      <c r="I794" s="36" t="s">
        <v>516</v>
      </c>
      <c r="J794" s="52"/>
      <c r="K794" s="32" t="s">
        <v>517</v>
      </c>
      <c r="L794" s="32" t="s">
        <v>518</v>
      </c>
      <c r="M794" s="32" t="s">
        <v>131</v>
      </c>
      <c r="N794" s="33">
        <v>30</v>
      </c>
      <c r="O794" s="35"/>
      <c r="P794" s="35"/>
      <c r="Q794" s="37"/>
      <c r="R794" s="38"/>
      <c r="S794" s="33"/>
      <c r="T794" s="39">
        <v>950000</v>
      </c>
      <c r="U794" s="40" t="s">
        <v>61</v>
      </c>
      <c r="V794" s="41"/>
      <c r="W794" s="42" t="str">
        <f ca="1">IFERROR(__xludf.DUMMYFUNCTION("""COMPUTED_VALUE"""),"Bengkel Las")</f>
        <v>Bengkel Las</v>
      </c>
      <c r="X794" s="42" t="str">
        <f ca="1"/>
        <v>ON-Bengkel Las-00011900+30-6282393168368</v>
      </c>
      <c r="Y794" s="40"/>
      <c r="Z794" s="40"/>
      <c r="AA794" s="23" t="str">
        <v>https://wa.me/6282393168368</v>
      </c>
      <c r="AB794" s="28"/>
      <c r="AC794" s="28"/>
      <c r="AD794" s="28"/>
      <c r="AE794" s="28"/>
      <c r="AF794" s="29"/>
      <c r="AG794" s="29"/>
    </row>
    <row r="795" spans="1:33" ht="15.75" customHeight="1">
      <c r="A795" s="32" t="s">
        <v>196</v>
      </c>
      <c r="B795" s="33">
        <v>807</v>
      </c>
      <c r="C795" s="34" t="s">
        <v>4880</v>
      </c>
      <c r="D795" s="35">
        <v>45898.681040428244</v>
      </c>
      <c r="E795" s="43">
        <v>45896</v>
      </c>
      <c r="F795" s="32" t="s">
        <v>4895</v>
      </c>
      <c r="G795" s="32" t="s">
        <v>4896</v>
      </c>
      <c r="H795" s="32" t="s">
        <v>4897</v>
      </c>
      <c r="I795" s="36" t="s">
        <v>4898</v>
      </c>
      <c r="J795" s="52"/>
      <c r="K795" s="32" t="s">
        <v>570</v>
      </c>
      <c r="L795" s="32" t="s">
        <v>1542</v>
      </c>
      <c r="M795" s="32" t="s">
        <v>60</v>
      </c>
      <c r="N795" s="33">
        <v>5</v>
      </c>
      <c r="O795" s="35"/>
      <c r="P795" s="35"/>
      <c r="Q795" s="37"/>
      <c r="R795" s="38"/>
      <c r="S795" s="33"/>
      <c r="T795" s="39">
        <v>197000</v>
      </c>
      <c r="U795" s="40" t="s">
        <v>61</v>
      </c>
      <c r="V795" s="41"/>
      <c r="W795" s="42" t="str">
        <f ca="1">IFERROR(__xludf.DUMMYFUNCTION("""COMPUTED_VALUE"""),"Rahma Jaya")</f>
        <v>Rahma Jaya</v>
      </c>
      <c r="X795" s="42" t="str">
        <f ca="1"/>
        <v>ON-Rahma Jaya-00011900+5-6285776131462</v>
      </c>
      <c r="Y795" s="40" t="s">
        <v>293</v>
      </c>
      <c r="Z795" s="40" t="s">
        <v>1057</v>
      </c>
      <c r="AA795" s="23" t="str">
        <v>https://wa.me/6285776131462</v>
      </c>
      <c r="AB795" s="28" t="s">
        <v>4899</v>
      </c>
      <c r="AC795" s="28"/>
      <c r="AD795" s="28" t="s">
        <v>690</v>
      </c>
      <c r="AE795" s="28"/>
      <c r="AF795" s="29">
        <v>45899</v>
      </c>
      <c r="AG795" s="29"/>
    </row>
    <row r="796" spans="1:33" ht="15.75" customHeight="1">
      <c r="A796" s="32" t="s">
        <v>196</v>
      </c>
      <c r="B796" s="33">
        <v>808</v>
      </c>
      <c r="C796" s="34" t="s">
        <v>4900</v>
      </c>
      <c r="D796" s="35">
        <v>45898.699661516206</v>
      </c>
      <c r="E796" s="43">
        <v>45898</v>
      </c>
      <c r="F796" s="32" t="s">
        <v>4901</v>
      </c>
      <c r="G796" s="32" t="s">
        <v>4902</v>
      </c>
      <c r="H796" s="32" t="s">
        <v>4903</v>
      </c>
      <c r="I796" s="36" t="s">
        <v>4904</v>
      </c>
      <c r="J796" s="52"/>
      <c r="K796" s="32" t="s">
        <v>570</v>
      </c>
      <c r="L796" s="32" t="s">
        <v>4615</v>
      </c>
      <c r="M796" s="32" t="s">
        <v>60</v>
      </c>
      <c r="N796" s="33">
        <v>10</v>
      </c>
      <c r="O796" s="35">
        <v>45901</v>
      </c>
      <c r="P796" s="35">
        <v>45911</v>
      </c>
      <c r="Q796" s="37"/>
      <c r="R796" s="38"/>
      <c r="S796" s="33"/>
      <c r="T796" s="39">
        <v>375000</v>
      </c>
      <c r="U796" s="40" t="s">
        <v>1229</v>
      </c>
      <c r="V796" s="41"/>
      <c r="W796" s="42" t="str">
        <f ca="1">IFERROR(__xludf.DUMMYFUNCTION("""COMPUTED_VALUE"""),"Pijat Tradisional")</f>
        <v>Pijat Tradisional</v>
      </c>
      <c r="X796" s="42" t="str">
        <f ca="1"/>
        <v>ON-Pijat Tradisional-00011900+10-6281317409433</v>
      </c>
      <c r="Y796" s="40" t="s">
        <v>62</v>
      </c>
      <c r="Z796" s="40" t="s">
        <v>639</v>
      </c>
      <c r="AA796" s="23" t="str">
        <v>https://wa.me/6281317409433</v>
      </c>
      <c r="AB796" s="28" t="s">
        <v>4905</v>
      </c>
      <c r="AC796" s="28"/>
      <c r="AD796" s="28" t="s">
        <v>690</v>
      </c>
      <c r="AE796" s="28"/>
      <c r="AF796" s="29">
        <v>45901</v>
      </c>
      <c r="AG796" s="29"/>
    </row>
    <row r="797" spans="1:33" ht="15.75" customHeight="1">
      <c r="A797" s="32" t="s">
        <v>196</v>
      </c>
      <c r="B797" s="33">
        <v>809</v>
      </c>
      <c r="C797" s="34" t="s">
        <v>4906</v>
      </c>
      <c r="D797" s="35">
        <v>45898.727290787036</v>
      </c>
      <c r="E797" s="43">
        <v>45898</v>
      </c>
      <c r="F797" s="32" t="s">
        <v>4907</v>
      </c>
      <c r="G797" s="32" t="s">
        <v>4908</v>
      </c>
      <c r="H797" s="32" t="s">
        <v>4909</v>
      </c>
      <c r="I797" s="36" t="s">
        <v>4910</v>
      </c>
      <c r="J797" s="52"/>
      <c r="K797" s="32" t="s">
        <v>4911</v>
      </c>
      <c r="L797" s="32" t="s">
        <v>3750</v>
      </c>
      <c r="M797" s="32" t="s">
        <v>249</v>
      </c>
      <c r="N797" s="33">
        <v>10</v>
      </c>
      <c r="O797" s="35"/>
      <c r="P797" s="35"/>
      <c r="Q797" s="37"/>
      <c r="R797" s="38"/>
      <c r="S797" s="33"/>
      <c r="T797" s="39">
        <v>375000</v>
      </c>
      <c r="U797" s="40" t="s">
        <v>1774</v>
      </c>
      <c r="V797" s="41"/>
      <c r="W797" s="42" t="str">
        <f ca="1">IFERROR(__xludf.DUMMYFUNCTION("""COMPUTED_VALUE"""),"Bintang Cahaya")</f>
        <v>Bintang Cahaya</v>
      </c>
      <c r="X797" s="42" t="str">
        <f ca="1"/>
        <v>ON-Bintang Cahaya-00011900+10-6287885910719</v>
      </c>
      <c r="Y797" s="40" t="s">
        <v>293</v>
      </c>
      <c r="Z797" s="40" t="s">
        <v>1057</v>
      </c>
      <c r="AA797" s="23" t="str">
        <v>https://wa.me/6287885910719</v>
      </c>
      <c r="AB797" s="28" t="s">
        <v>4912</v>
      </c>
      <c r="AC797" s="28"/>
      <c r="AD797" s="28" t="s">
        <v>690</v>
      </c>
      <c r="AE797" s="28"/>
      <c r="AF797" s="29">
        <v>45901</v>
      </c>
      <c r="AG797" s="29"/>
    </row>
    <row r="798" spans="1:33" ht="15.75" customHeight="1">
      <c r="A798" s="32" t="s">
        <v>52</v>
      </c>
      <c r="B798" s="33">
        <v>810</v>
      </c>
      <c r="C798" s="34" t="s">
        <v>4913</v>
      </c>
      <c r="D798" s="35">
        <v>45898.787187905094</v>
      </c>
      <c r="E798" s="43">
        <v>45898</v>
      </c>
      <c r="F798" s="32" t="s">
        <v>4329</v>
      </c>
      <c r="G798" s="32" t="s">
        <v>4330</v>
      </c>
      <c r="H798" s="32" t="s">
        <v>4331</v>
      </c>
      <c r="I798" s="36" t="s">
        <v>4332</v>
      </c>
      <c r="J798" s="52" t="s">
        <v>4914</v>
      </c>
      <c r="K798" s="32" t="s">
        <v>570</v>
      </c>
      <c r="L798" s="32" t="s">
        <v>2631</v>
      </c>
      <c r="M798" s="32" t="s">
        <v>4333</v>
      </c>
      <c r="N798" s="33">
        <v>10</v>
      </c>
      <c r="O798" s="35"/>
      <c r="P798" s="35"/>
      <c r="Q798" s="37"/>
      <c r="R798" s="38"/>
      <c r="S798" s="33"/>
      <c r="T798" s="39">
        <v>375000</v>
      </c>
      <c r="U798" s="40" t="s">
        <v>1774</v>
      </c>
      <c r="V798" s="41"/>
      <c r="W798" s="42" t="str">
        <f ca="1">IFERROR(__xludf.DUMMYFUNCTION("""COMPUTED_VALUE"""),"Anindiyajayapool")</f>
        <v>Anindiyajayapool</v>
      </c>
      <c r="X798" s="42" t="str">
        <f ca="1"/>
        <v>ON-Anindiyajayapool-00011900+10-6285888452389</v>
      </c>
      <c r="Y798" s="40"/>
      <c r="Z798" s="40"/>
      <c r="AA798" s="23" t="str">
        <v>https://wa.me/6285888452389</v>
      </c>
      <c r="AB798" s="28"/>
      <c r="AC798" s="28"/>
      <c r="AD798" s="28"/>
      <c r="AE798" s="28"/>
      <c r="AF798" s="29"/>
      <c r="AG798" s="29"/>
    </row>
    <row r="799" spans="1:33" ht="15.75" customHeight="1">
      <c r="A799" s="32" t="s">
        <v>196</v>
      </c>
      <c r="B799" s="33">
        <v>811</v>
      </c>
      <c r="C799" s="34" t="s">
        <v>4915</v>
      </c>
      <c r="D799" s="35">
        <v>45898.798255555557</v>
      </c>
      <c r="E799" s="43">
        <v>45898</v>
      </c>
      <c r="F799" s="32" t="s">
        <v>4916</v>
      </c>
      <c r="G799" s="32" t="s">
        <v>4917</v>
      </c>
      <c r="H799" s="32" t="s">
        <v>4918</v>
      </c>
      <c r="I799" s="36" t="s">
        <v>4919</v>
      </c>
      <c r="J799" s="52"/>
      <c r="K799" s="32" t="s">
        <v>4920</v>
      </c>
      <c r="L799" s="32" t="s">
        <v>2432</v>
      </c>
      <c r="M799" s="32" t="s">
        <v>60</v>
      </c>
      <c r="N799" s="33">
        <v>5</v>
      </c>
      <c r="O799" s="35"/>
      <c r="P799" s="35"/>
      <c r="Q799" s="37"/>
      <c r="R799" s="38"/>
      <c r="S799" s="33"/>
      <c r="T799" s="39">
        <v>197000</v>
      </c>
      <c r="U799" s="40" t="s">
        <v>61</v>
      </c>
      <c r="V799" s="41"/>
      <c r="W799" s="42" t="str">
        <f ca="1">IFERROR(__xludf.DUMMYFUNCTION("""COMPUTED_VALUE"""),"Satria Jaya")</f>
        <v>Satria Jaya</v>
      </c>
      <c r="X799" s="42" t="str">
        <f ca="1"/>
        <v>ON-Satria Jaya-00011900+5-6281283204192</v>
      </c>
      <c r="Y799" s="40" t="s">
        <v>293</v>
      </c>
      <c r="Z799" s="40" t="s">
        <v>1057</v>
      </c>
      <c r="AA799" s="23" t="str">
        <v>https://wa.me/6281283204192</v>
      </c>
      <c r="AB799" s="28" t="s">
        <v>4921</v>
      </c>
      <c r="AC799" s="28"/>
      <c r="AD799" s="28" t="s">
        <v>690</v>
      </c>
      <c r="AE799" s="28"/>
      <c r="AF799" s="29">
        <v>45901</v>
      </c>
      <c r="AG799" s="29"/>
    </row>
    <row r="800" spans="1:33" ht="15.75" customHeight="1">
      <c r="A800" s="32" t="s">
        <v>196</v>
      </c>
      <c r="B800" s="33">
        <v>812</v>
      </c>
      <c r="C800" s="34" t="s">
        <v>4922</v>
      </c>
      <c r="D800" s="35">
        <v>45898.850447719902</v>
      </c>
      <c r="E800" s="43">
        <v>45898</v>
      </c>
      <c r="F800" s="32" t="s">
        <v>763</v>
      </c>
      <c r="G800" s="32" t="s">
        <v>764</v>
      </c>
      <c r="H800" s="32" t="s">
        <v>495</v>
      </c>
      <c r="I800" s="36" t="s">
        <v>765</v>
      </c>
      <c r="J800" s="52" t="s">
        <v>766</v>
      </c>
      <c r="K800" s="32" t="s">
        <v>4923</v>
      </c>
      <c r="L800" s="32" t="s">
        <v>768</v>
      </c>
      <c r="M800" s="32" t="s">
        <v>60</v>
      </c>
      <c r="N800" s="33">
        <v>10</v>
      </c>
      <c r="O800" s="35"/>
      <c r="P800" s="35"/>
      <c r="Q800" s="37"/>
      <c r="R800" s="38"/>
      <c r="S800" s="33"/>
      <c r="T800" s="39">
        <v>375000</v>
      </c>
      <c r="U800" s="40" t="s">
        <v>61</v>
      </c>
      <c r="V800" s="41"/>
      <c r="W800" s="42" t="str">
        <f ca="1">IFERROR(__xludf.DUMMYFUNCTION("""COMPUTED_VALUE"""),"Dearhouse")</f>
        <v>Dearhouse</v>
      </c>
      <c r="X800" s="42" t="str">
        <f ca="1"/>
        <v>ON-Dearhouse-00011900+10-6287778562681</v>
      </c>
      <c r="Y800" s="40" t="s">
        <v>293</v>
      </c>
      <c r="Z800" s="40" t="s">
        <v>1057</v>
      </c>
      <c r="AA800" s="23" t="str">
        <v>https://wa.me/6287778562681</v>
      </c>
      <c r="AB800" s="28" t="s">
        <v>4924</v>
      </c>
      <c r="AC800" s="28"/>
      <c r="AD800" s="28" t="s">
        <v>690</v>
      </c>
      <c r="AE800" s="28"/>
      <c r="AF800" s="29">
        <v>45901</v>
      </c>
      <c r="AG800" s="29"/>
    </row>
    <row r="801" spans="1:33" ht="15.75" customHeight="1">
      <c r="A801" s="32" t="s">
        <v>52</v>
      </c>
      <c r="B801" s="33">
        <v>812</v>
      </c>
      <c r="C801" s="34" t="s">
        <v>4922</v>
      </c>
      <c r="D801" s="35">
        <v>45899.444339560185</v>
      </c>
      <c r="E801" s="43">
        <v>45899</v>
      </c>
      <c r="F801" s="32" t="s">
        <v>3036</v>
      </c>
      <c r="G801" s="32" t="s">
        <v>3037</v>
      </c>
      <c r="H801" s="32" t="s">
        <v>3038</v>
      </c>
      <c r="I801" s="36" t="s">
        <v>3039</v>
      </c>
      <c r="J801" s="52" t="s">
        <v>3040</v>
      </c>
      <c r="K801" s="32" t="s">
        <v>3041</v>
      </c>
      <c r="L801" s="32" t="s">
        <v>1628</v>
      </c>
      <c r="M801" s="32" t="s">
        <v>382</v>
      </c>
      <c r="N801" s="33">
        <v>10</v>
      </c>
      <c r="O801" s="35"/>
      <c r="P801" s="35"/>
      <c r="Q801" s="37"/>
      <c r="R801" s="38"/>
      <c r="S801" s="33"/>
      <c r="T801" s="39">
        <v>375000</v>
      </c>
      <c r="U801" s="40" t="s">
        <v>115</v>
      </c>
      <c r="V801" s="41"/>
      <c r="W801" s="42" t="str">
        <f ca="1">IFERROR(__xludf.DUMMYFUNCTION("""COMPUTED_VALUE"""),"KHARISMA JAYA")</f>
        <v>KHARISMA JAYA</v>
      </c>
      <c r="X801" s="42" t="str">
        <f ca="1"/>
        <v>ON-KHARISMA JAYA-00011900+10-6287790276733</v>
      </c>
      <c r="Y801" s="40"/>
      <c r="Z801" s="40"/>
      <c r="AA801" s="23" t="str">
        <v>https://wa.me/6287790276733</v>
      </c>
      <c r="AB801" s="28"/>
      <c r="AC801" s="28"/>
      <c r="AD801" s="28"/>
      <c r="AE801" s="28"/>
      <c r="AF801" s="29"/>
      <c r="AG801" s="29"/>
    </row>
    <row r="802" spans="1:33" ht="15.75" customHeight="1">
      <c r="A802" s="32" t="s">
        <v>52</v>
      </c>
      <c r="B802" s="33">
        <v>813</v>
      </c>
      <c r="C802" s="34" t="s">
        <v>4925</v>
      </c>
      <c r="D802" s="35">
        <v>45899.451371759264</v>
      </c>
      <c r="E802" s="33" t="s">
        <v>4926</v>
      </c>
      <c r="F802" s="32" t="s">
        <v>3533</v>
      </c>
      <c r="G802" s="32" t="s">
        <v>3534</v>
      </c>
      <c r="H802" s="32" t="s">
        <v>3535</v>
      </c>
      <c r="I802" s="36" t="s">
        <v>3536</v>
      </c>
      <c r="J802" s="52"/>
      <c r="K802" s="32" t="s">
        <v>3537</v>
      </c>
      <c r="L802" s="32" t="s">
        <v>3538</v>
      </c>
      <c r="M802" s="32" t="s">
        <v>382</v>
      </c>
      <c r="N802" s="33">
        <v>10</v>
      </c>
      <c r="O802" s="35"/>
      <c r="P802" s="35"/>
      <c r="Q802" s="37"/>
      <c r="R802" s="38"/>
      <c r="S802" s="33"/>
      <c r="T802" s="39">
        <v>375000</v>
      </c>
      <c r="U802" s="40" t="s">
        <v>115</v>
      </c>
      <c r="V802" s="41"/>
      <c r="W802" s="42" t="str">
        <f ca="1">IFERROR(__xludf.DUMMYFUNCTION("""COMPUTED_VALUE"""),"KHARISMA AUTO")</f>
        <v>KHARISMA AUTO</v>
      </c>
      <c r="X802" s="42" t="str">
        <f ca="1"/>
        <v>ON-KHARISMA AUTO-00011900+10-6282129364133</v>
      </c>
      <c r="Y802" s="40"/>
      <c r="Z802" s="40"/>
      <c r="AA802" s="23" t="str">
        <v>https://wa.me/6282129364133</v>
      </c>
      <c r="AB802" s="28"/>
      <c r="AC802" s="28"/>
      <c r="AD802" s="28"/>
      <c r="AE802" s="28"/>
      <c r="AF802" s="29"/>
      <c r="AG802" s="29"/>
    </row>
    <row r="803" spans="1:33" ht="15.75" customHeight="1">
      <c r="A803" s="32" t="s">
        <v>52</v>
      </c>
      <c r="B803" s="33">
        <v>814</v>
      </c>
      <c r="C803" s="34" t="s">
        <v>4927</v>
      </c>
      <c r="D803" s="35">
        <v>45899.540408784727</v>
      </c>
      <c r="E803" s="43">
        <v>45899</v>
      </c>
      <c r="F803" s="32" t="s">
        <v>2714</v>
      </c>
      <c r="G803" s="32" t="s">
        <v>2715</v>
      </c>
      <c r="H803" s="32" t="s">
        <v>595</v>
      </c>
      <c r="I803" s="36" t="s">
        <v>2716</v>
      </c>
      <c r="J803" s="52" t="s">
        <v>2717</v>
      </c>
      <c r="K803" s="32" t="s">
        <v>2718</v>
      </c>
      <c r="L803" s="32" t="s">
        <v>85</v>
      </c>
      <c r="M803" s="32" t="s">
        <v>60</v>
      </c>
      <c r="N803" s="33">
        <v>7</v>
      </c>
      <c r="O803" s="35"/>
      <c r="P803" s="35"/>
      <c r="Q803" s="37"/>
      <c r="R803" s="38"/>
      <c r="S803" s="33"/>
      <c r="T803" s="39">
        <v>297000</v>
      </c>
      <c r="U803" s="40" t="s">
        <v>61</v>
      </c>
      <c r="V803" s="41"/>
      <c r="W803" s="42" t="str">
        <f ca="1">IFERROR(__xludf.DUMMYFUNCTION("""COMPUTED_VALUE"""),"CV SEJAHTERA")</f>
        <v>CV SEJAHTERA</v>
      </c>
      <c r="X803" s="42" t="str">
        <f ca="1"/>
        <v>ON-CV SEJAHTERA-00011900+7-6285268858846</v>
      </c>
      <c r="Y803" s="40"/>
      <c r="Z803" s="40"/>
      <c r="AA803" s="23" t="str">
        <v>https://wa.me/6285268858846</v>
      </c>
      <c r="AB803" s="28"/>
      <c r="AC803" s="28"/>
      <c r="AD803" s="28"/>
      <c r="AE803" s="28"/>
      <c r="AF803" s="29"/>
      <c r="AG803" s="29"/>
    </row>
    <row r="804" spans="1:33" ht="15.75" customHeight="1">
      <c r="A804" s="32" t="s">
        <v>52</v>
      </c>
      <c r="B804" s="33">
        <v>815</v>
      </c>
      <c r="C804" s="34" t="s">
        <v>4928</v>
      </c>
      <c r="D804" s="35">
        <v>45899.541799224535</v>
      </c>
      <c r="E804" s="43">
        <v>45899</v>
      </c>
      <c r="F804" s="32" t="s">
        <v>1239</v>
      </c>
      <c r="G804" s="32" t="s">
        <v>1240</v>
      </c>
      <c r="H804" s="32" t="s">
        <v>1030</v>
      </c>
      <c r="I804" s="36" t="s">
        <v>1241</v>
      </c>
      <c r="J804" s="52" t="s">
        <v>2678</v>
      </c>
      <c r="K804" s="32" t="s">
        <v>1242</v>
      </c>
      <c r="L804" s="32" t="s">
        <v>1243</v>
      </c>
      <c r="M804" s="32" t="s">
        <v>205</v>
      </c>
      <c r="N804" s="33">
        <v>10</v>
      </c>
      <c r="O804" s="35"/>
      <c r="P804" s="35"/>
      <c r="Q804" s="37"/>
      <c r="R804" s="38"/>
      <c r="S804" s="33"/>
      <c r="T804" s="39">
        <v>375000</v>
      </c>
      <c r="U804" s="40" t="s">
        <v>61</v>
      </c>
      <c r="V804" s="41"/>
      <c r="W804" s="42" t="str">
        <f ca="1">IFERROR(__xludf.DUMMYFUNCTION("""COMPUTED_VALUE"""),"Rumah Sehat")</f>
        <v>Rumah Sehat</v>
      </c>
      <c r="X804" s="42" t="str">
        <f ca="1"/>
        <v>ON-Rumah Sehat-00011900+10-6282172291579</v>
      </c>
      <c r="Y804" s="40"/>
      <c r="Z804" s="40"/>
      <c r="AA804" s="23" t="str">
        <v>https://wa.me/6282172291579</v>
      </c>
      <c r="AB804" s="28"/>
      <c r="AC804" s="28"/>
      <c r="AD804" s="28"/>
      <c r="AE804" s="28"/>
      <c r="AF804" s="29"/>
      <c r="AG804" s="29"/>
    </row>
    <row r="805" spans="1:33" ht="15.75" customHeight="1">
      <c r="A805" s="32" t="s">
        <v>196</v>
      </c>
      <c r="B805" s="33">
        <v>816</v>
      </c>
      <c r="C805" s="34" t="s">
        <v>4929</v>
      </c>
      <c r="D805" s="35">
        <v>45899.578346423616</v>
      </c>
      <c r="E805" s="43">
        <v>45899</v>
      </c>
      <c r="F805" s="32" t="s">
        <v>4930</v>
      </c>
      <c r="G805" s="32" t="s">
        <v>4931</v>
      </c>
      <c r="H805" s="32" t="s">
        <v>4932</v>
      </c>
      <c r="I805" s="36" t="s">
        <v>4933</v>
      </c>
      <c r="J805" s="52"/>
      <c r="K805" s="32" t="s">
        <v>3675</v>
      </c>
      <c r="L805" s="32" t="s">
        <v>99</v>
      </c>
      <c r="M805" s="32" t="s">
        <v>2032</v>
      </c>
      <c r="N805" s="33">
        <v>5</v>
      </c>
      <c r="O805" s="35"/>
      <c r="P805" s="35"/>
      <c r="Q805" s="37"/>
      <c r="R805" s="38"/>
      <c r="S805" s="33"/>
      <c r="T805" s="39">
        <v>197000</v>
      </c>
      <c r="U805" s="40" t="s">
        <v>61</v>
      </c>
      <c r="V805" s="41"/>
      <c r="W805" s="42" t="str">
        <f ca="1">IFERROR(__xludf.DUMMYFUNCTION("""COMPUTED_VALUE"""),"Bambo Rumpin")</f>
        <v>Bambo Rumpin</v>
      </c>
      <c r="X805" s="42" t="str">
        <f ca="1"/>
        <v>ON-Bambo Rumpin-00011900+5-6282110903007</v>
      </c>
      <c r="Y805" s="40" t="s">
        <v>293</v>
      </c>
      <c r="Z805" s="40" t="s">
        <v>1057</v>
      </c>
      <c r="AA805" s="23" t="str">
        <v>https://wa.me/6282110903007</v>
      </c>
      <c r="AB805" s="28" t="s">
        <v>4934</v>
      </c>
      <c r="AC805" s="28"/>
      <c r="AD805" s="28" t="s">
        <v>690</v>
      </c>
      <c r="AE805" s="28"/>
      <c r="AF805" s="29">
        <v>45902</v>
      </c>
      <c r="AG805" s="29"/>
    </row>
    <row r="806" spans="1:33" ht="15.75" customHeight="1">
      <c r="A806" s="32" t="s">
        <v>52</v>
      </c>
      <c r="B806" s="33">
        <v>817</v>
      </c>
      <c r="C806" s="34" t="s">
        <v>4935</v>
      </c>
      <c r="D806" s="35">
        <v>45899.672263530098</v>
      </c>
      <c r="E806" s="43">
        <v>45899</v>
      </c>
      <c r="F806" s="32" t="s">
        <v>3241</v>
      </c>
      <c r="G806" s="32" t="s">
        <v>4495</v>
      </c>
      <c r="H806" s="32" t="s">
        <v>3243</v>
      </c>
      <c r="I806" s="36" t="s">
        <v>3244</v>
      </c>
      <c r="J806" s="52"/>
      <c r="K806" s="32" t="s">
        <v>345</v>
      </c>
      <c r="L806" s="32" t="s">
        <v>166</v>
      </c>
      <c r="M806" s="32" t="s">
        <v>249</v>
      </c>
      <c r="N806" s="33">
        <v>7</v>
      </c>
      <c r="O806" s="35"/>
      <c r="P806" s="35"/>
      <c r="Q806" s="37"/>
      <c r="R806" s="38"/>
      <c r="S806" s="33"/>
      <c r="T806" s="39">
        <v>297000</v>
      </c>
      <c r="U806" s="40" t="s">
        <v>1774</v>
      </c>
      <c r="V806" s="41"/>
      <c r="W806" s="42" t="str">
        <f ca="1">IFERROR(__xludf.DUMMYFUNCTION("""COMPUTED_VALUE"""),"Totok saraf")</f>
        <v>Totok saraf</v>
      </c>
      <c r="X806" s="42" t="str">
        <f ca="1"/>
        <v>ON-Totok saraf-00011900+7-6281330410391</v>
      </c>
      <c r="Y806" s="40"/>
      <c r="Z806" s="40"/>
      <c r="AA806" s="23" t="str">
        <v>https://wa.me/6281330410391</v>
      </c>
      <c r="AB806" s="28"/>
      <c r="AC806" s="28"/>
      <c r="AD806" s="28"/>
      <c r="AE806" s="28"/>
      <c r="AF806" s="29"/>
      <c r="AG806" s="29"/>
    </row>
    <row r="807" spans="1:33" ht="15.75" customHeight="1">
      <c r="A807" s="32" t="s">
        <v>196</v>
      </c>
      <c r="B807" s="33">
        <v>818</v>
      </c>
      <c r="C807" s="34" t="s">
        <v>4936</v>
      </c>
      <c r="D807" s="35">
        <v>46036</v>
      </c>
      <c r="E807" s="43">
        <v>45899</v>
      </c>
      <c r="F807" s="32" t="s">
        <v>4937</v>
      </c>
      <c r="G807" s="32" t="s">
        <v>4938</v>
      </c>
      <c r="H807" s="32" t="s">
        <v>74</v>
      </c>
      <c r="I807" s="36" t="s">
        <v>4939</v>
      </c>
      <c r="J807" s="52"/>
      <c r="K807" s="32" t="s">
        <v>4940</v>
      </c>
      <c r="L807" s="32" t="s">
        <v>59</v>
      </c>
      <c r="M807" s="32" t="s">
        <v>60</v>
      </c>
      <c r="N807" s="33">
        <v>5</v>
      </c>
      <c r="O807" s="35"/>
      <c r="P807" s="35"/>
      <c r="Q807" s="37"/>
      <c r="R807" s="38">
        <v>-1003470351325</v>
      </c>
      <c r="S807" s="33"/>
      <c r="T807" s="39">
        <v>197000</v>
      </c>
      <c r="U807" s="40" t="s">
        <v>61</v>
      </c>
      <c r="V807" s="47">
        <v>46040.305884976857</v>
      </c>
      <c r="W807" s="42" t="str">
        <f ca="1">IFERROR(__xludf.DUMMYFUNCTION("""COMPUTED_VALUE"""),"Lucas Salon")</f>
        <v>Lucas Salon</v>
      </c>
      <c r="X807" s="42" t="str">
        <f ca="1"/>
        <v>ON-Lucas Salon-18012026+5-6287835601400</v>
      </c>
      <c r="Y807" s="40" t="s">
        <v>50</v>
      </c>
      <c r="Z807" s="40" t="s">
        <v>327</v>
      </c>
      <c r="AA807" s="23" t="str">
        <v>https://wa.me/6287835601400</v>
      </c>
      <c r="AB807" s="28" t="s">
        <v>4941</v>
      </c>
      <c r="AC807" s="28"/>
      <c r="AD807" s="28" t="s">
        <v>690</v>
      </c>
      <c r="AE807" s="28"/>
      <c r="AF807" s="29">
        <v>45902</v>
      </c>
      <c r="AG807" s="29"/>
    </row>
    <row r="808" spans="1:33" ht="15.75" customHeight="1">
      <c r="A808" s="32" t="s">
        <v>196</v>
      </c>
      <c r="B808" s="33">
        <v>819</v>
      </c>
      <c r="C808" s="34" t="s">
        <v>4942</v>
      </c>
      <c r="D808" s="35">
        <v>45899.974581574075</v>
      </c>
      <c r="E808" s="43">
        <v>45899</v>
      </c>
      <c r="F808" s="32" t="s">
        <v>3524</v>
      </c>
      <c r="G808" s="32" t="s">
        <v>4943</v>
      </c>
      <c r="H808" s="32" t="s">
        <v>4944</v>
      </c>
      <c r="I808" s="36" t="s">
        <v>4945</v>
      </c>
      <c r="J808" s="52"/>
      <c r="K808" s="32" t="s">
        <v>4946</v>
      </c>
      <c r="L808" s="32" t="s">
        <v>4947</v>
      </c>
      <c r="M808" s="32" t="s">
        <v>60</v>
      </c>
      <c r="N808" s="33">
        <v>5</v>
      </c>
      <c r="O808" s="35">
        <v>45902</v>
      </c>
      <c r="P808" s="35">
        <v>45907</v>
      </c>
      <c r="Q808" s="37"/>
      <c r="R808" s="38"/>
      <c r="S808" s="33"/>
      <c r="T808" s="39">
        <v>197000</v>
      </c>
      <c r="U808" s="40" t="s">
        <v>1229</v>
      </c>
      <c r="V808" s="41"/>
      <c r="W808" s="42" t="str">
        <f ca="1">IFERROR(__xludf.DUMMYFUNCTION("""COMPUTED_VALUE"""),"Ilmishanum Berkah")</f>
        <v>Ilmishanum Berkah</v>
      </c>
      <c r="X808" s="42" t="str">
        <f ca="1"/>
        <v>ON-Ilmishanum Berkah-00011900+5-6285742130079</v>
      </c>
      <c r="Y808" s="40" t="s">
        <v>293</v>
      </c>
      <c r="Z808" s="40" t="s">
        <v>1057</v>
      </c>
      <c r="AA808" s="23" t="str">
        <v>https://wa.me/6285742130079</v>
      </c>
      <c r="AB808" s="28" t="s">
        <v>4948</v>
      </c>
      <c r="AC808" s="28"/>
      <c r="AD808" s="28" t="s">
        <v>690</v>
      </c>
      <c r="AE808" s="28"/>
      <c r="AF808" s="29">
        <v>45902</v>
      </c>
      <c r="AG808" s="29"/>
    </row>
    <row r="809" spans="1:33" ht="15.75" customHeight="1">
      <c r="A809" s="32" t="s">
        <v>196</v>
      </c>
      <c r="B809" s="33">
        <v>820</v>
      </c>
      <c r="C809" s="34" t="s">
        <v>4949</v>
      </c>
      <c r="D809" s="35">
        <v>45900.304112303245</v>
      </c>
      <c r="E809" s="43">
        <v>45900</v>
      </c>
      <c r="F809" s="32" t="s">
        <v>80</v>
      </c>
      <c r="G809" s="32" t="s">
        <v>4950</v>
      </c>
      <c r="H809" s="32" t="s">
        <v>4951</v>
      </c>
      <c r="I809" s="36" t="s">
        <v>4952</v>
      </c>
      <c r="J809" s="52" t="s">
        <v>4953</v>
      </c>
      <c r="K809" s="32" t="s">
        <v>4954</v>
      </c>
      <c r="L809" s="32" t="s">
        <v>4751</v>
      </c>
      <c r="M809" s="32" t="s">
        <v>249</v>
      </c>
      <c r="N809" s="33">
        <v>5</v>
      </c>
      <c r="O809" s="35"/>
      <c r="P809" s="35"/>
      <c r="Q809" s="37"/>
      <c r="R809" s="38"/>
      <c r="S809" s="33"/>
      <c r="T809" s="39">
        <v>197000</v>
      </c>
      <c r="U809" s="40" t="s">
        <v>1774</v>
      </c>
      <c r="V809" s="41"/>
      <c r="W809" s="42" t="str">
        <f ca="1">IFERROR(__xludf.DUMMYFUNCTION("""COMPUTED_VALUE"""),"PT Wastu")</f>
        <v>PT Wastu</v>
      </c>
      <c r="X809" s="42" t="str">
        <f ca="1"/>
        <v>ON-PT Wastu-00011900+5-628562882464</v>
      </c>
      <c r="Y809" s="40" t="s">
        <v>293</v>
      </c>
      <c r="Z809" s="40" t="s">
        <v>1057</v>
      </c>
      <c r="AA809" s="23" t="str">
        <v>https://wa.me/628562882464</v>
      </c>
      <c r="AB809" s="28" t="s">
        <v>4955</v>
      </c>
      <c r="AC809" s="28"/>
      <c r="AD809" s="28" t="s">
        <v>690</v>
      </c>
      <c r="AE809" s="28"/>
      <c r="AF809" s="29">
        <v>45903</v>
      </c>
      <c r="AG809" s="29"/>
    </row>
    <row r="810" spans="1:33" ht="15.75" customHeight="1">
      <c r="A810" s="32" t="s">
        <v>621</v>
      </c>
      <c r="B810" s="33">
        <v>821</v>
      </c>
      <c r="C810" s="34" t="s">
        <v>4956</v>
      </c>
      <c r="D810" s="35">
        <v>45900.352313715281</v>
      </c>
      <c r="E810" s="43">
        <v>45900</v>
      </c>
      <c r="F810" s="32" t="s">
        <v>4957</v>
      </c>
      <c r="G810" s="32" t="s">
        <v>4958</v>
      </c>
      <c r="H810" s="32" t="s">
        <v>2370</v>
      </c>
      <c r="I810" s="36" t="s">
        <v>4959</v>
      </c>
      <c r="J810" s="52"/>
      <c r="K810" s="32" t="s">
        <v>4960</v>
      </c>
      <c r="L810" s="32" t="s">
        <v>4961</v>
      </c>
      <c r="M810" s="32" t="s">
        <v>60</v>
      </c>
      <c r="N810" s="33">
        <v>5</v>
      </c>
      <c r="O810" s="35"/>
      <c r="P810" s="35"/>
      <c r="Q810" s="37"/>
      <c r="R810" s="38"/>
      <c r="S810" s="33"/>
      <c r="T810" s="39">
        <v>197000</v>
      </c>
      <c r="U810" s="40" t="s">
        <v>61</v>
      </c>
      <c r="V810" s="41"/>
      <c r="W810" s="42" t="str">
        <f ca="1">IFERROR(__xludf.DUMMYFUNCTION("""COMPUTED_VALUE"""),"Sehat Holistik")</f>
        <v>Sehat Holistik</v>
      </c>
      <c r="X810" s="42" t="str">
        <f ca="1"/>
        <v>ON-Sehat Holistik-00011900+5-6285243442275</v>
      </c>
      <c r="Y810" s="40"/>
      <c r="Z810" s="40"/>
      <c r="AA810" s="23" t="str">
        <v>https://wa.me/6285243442275</v>
      </c>
      <c r="AB810" s="28"/>
      <c r="AC810" s="28"/>
      <c r="AD810" s="28"/>
      <c r="AE810" s="28"/>
      <c r="AF810" s="29"/>
      <c r="AG810" s="29"/>
    </row>
    <row r="811" spans="1:33" ht="15.75" customHeight="1">
      <c r="A811" s="32" t="s">
        <v>196</v>
      </c>
      <c r="B811" s="33">
        <v>822</v>
      </c>
      <c r="C811" s="34" t="s">
        <v>4962</v>
      </c>
      <c r="D811" s="35">
        <v>46039</v>
      </c>
      <c r="E811" s="43">
        <v>45900</v>
      </c>
      <c r="F811" s="32" t="s">
        <v>4957</v>
      </c>
      <c r="G811" s="32" t="s">
        <v>4958</v>
      </c>
      <c r="H811" s="32" t="s">
        <v>2370</v>
      </c>
      <c r="I811" s="36" t="s">
        <v>4963</v>
      </c>
      <c r="J811" s="52"/>
      <c r="K811" s="32" t="s">
        <v>4960</v>
      </c>
      <c r="L811" s="32" t="s">
        <v>4961</v>
      </c>
      <c r="M811" s="32" t="s">
        <v>60</v>
      </c>
      <c r="N811" s="33">
        <v>5</v>
      </c>
      <c r="O811" s="35"/>
      <c r="P811" s="35"/>
      <c r="Q811" s="37"/>
      <c r="R811" s="38">
        <v>-1003470351325</v>
      </c>
      <c r="S811" s="33"/>
      <c r="T811" s="39">
        <v>197000</v>
      </c>
      <c r="U811" s="40" t="s">
        <v>61</v>
      </c>
      <c r="V811" s="47">
        <v>46040.30099265046</v>
      </c>
      <c r="W811" s="42" t="str">
        <f ca="1">IFERROR(__xludf.DUMMYFUNCTION("""COMPUTED_VALUE"""),"Sehat Holistik")</f>
        <v>Sehat Holistik</v>
      </c>
      <c r="X811" s="42" t="str">
        <f ca="1"/>
        <v>ON-Sehat Holistik-18012026+5-6287888330007</v>
      </c>
      <c r="Y811" s="40" t="s">
        <v>62</v>
      </c>
      <c r="Z811" s="40" t="s">
        <v>639</v>
      </c>
      <c r="AA811" s="23" t="str">
        <v>https://wa.me/6287888330007</v>
      </c>
      <c r="AB811" s="28" t="s">
        <v>4964</v>
      </c>
      <c r="AC811" s="28"/>
      <c r="AD811" s="28" t="s">
        <v>690</v>
      </c>
      <c r="AE811" s="28"/>
      <c r="AF811" s="29">
        <v>45903</v>
      </c>
      <c r="AG811" s="29"/>
    </row>
    <row r="812" spans="1:33" ht="15.75" customHeight="1">
      <c r="A812" s="32" t="s">
        <v>196</v>
      </c>
      <c r="B812" s="33">
        <v>823</v>
      </c>
      <c r="C812" s="34" t="s">
        <v>4965</v>
      </c>
      <c r="D812" s="35">
        <v>45900.481827812502</v>
      </c>
      <c r="E812" s="43">
        <v>45900</v>
      </c>
      <c r="F812" s="32" t="s">
        <v>4966</v>
      </c>
      <c r="G812" s="32" t="s">
        <v>4967</v>
      </c>
      <c r="H812" s="32" t="s">
        <v>4968</v>
      </c>
      <c r="I812" s="36" t="s">
        <v>3480</v>
      </c>
      <c r="J812" s="52"/>
      <c r="K812" s="32" t="s">
        <v>247</v>
      </c>
      <c r="L812" s="32" t="s">
        <v>4969</v>
      </c>
      <c r="M812" s="32" t="s">
        <v>285</v>
      </c>
      <c r="N812" s="33">
        <v>5</v>
      </c>
      <c r="O812" s="35"/>
      <c r="P812" s="35"/>
      <c r="Q812" s="37"/>
      <c r="R812" s="38"/>
      <c r="S812" s="33"/>
      <c r="T812" s="39">
        <v>197000</v>
      </c>
      <c r="U812" s="40" t="s">
        <v>1229</v>
      </c>
      <c r="V812" s="41"/>
      <c r="W812" s="42" t="str">
        <f ca="1">IFERROR(__xludf.DUMMYFUNCTION("""COMPUTED_VALUE"""),"Pandawa massage")</f>
        <v>Pandawa massage</v>
      </c>
      <c r="X812" s="42" t="str">
        <f ca="1"/>
        <v>ON-Pandawa massage-00011900+5-6285780314346</v>
      </c>
      <c r="Y812" s="40" t="s">
        <v>62</v>
      </c>
      <c r="Z812" s="40" t="s">
        <v>639</v>
      </c>
      <c r="AA812" s="23" t="str">
        <v>https://wa.me/6285780314346</v>
      </c>
      <c r="AB812" s="28" t="s">
        <v>4970</v>
      </c>
      <c r="AC812" s="28"/>
      <c r="AD812" s="28" t="s">
        <v>690</v>
      </c>
      <c r="AE812" s="28"/>
      <c r="AF812" s="29">
        <v>45903</v>
      </c>
      <c r="AG812" s="29"/>
    </row>
    <row r="813" spans="1:33" ht="15.75" customHeight="1">
      <c r="A813" s="32" t="s">
        <v>196</v>
      </c>
      <c r="B813" s="33">
        <v>824</v>
      </c>
      <c r="C813" s="34" t="s">
        <v>4971</v>
      </c>
      <c r="D813" s="35">
        <v>45900.673743969906</v>
      </c>
      <c r="E813" s="43">
        <v>45900</v>
      </c>
      <c r="F813" s="32" t="s">
        <v>4972</v>
      </c>
      <c r="G813" s="32" t="s">
        <v>4973</v>
      </c>
      <c r="H813" s="32" t="s">
        <v>4974</v>
      </c>
      <c r="I813" s="36" t="s">
        <v>4975</v>
      </c>
      <c r="J813" s="52"/>
      <c r="K813" s="32" t="s">
        <v>4976</v>
      </c>
      <c r="L813" s="32" t="s">
        <v>85</v>
      </c>
      <c r="M813" s="32" t="s">
        <v>60</v>
      </c>
      <c r="N813" s="33">
        <v>30</v>
      </c>
      <c r="O813" s="35"/>
      <c r="P813" s="35"/>
      <c r="Q813" s="37"/>
      <c r="R813" s="38"/>
      <c r="S813" s="33"/>
      <c r="T813" s="39">
        <v>1000000</v>
      </c>
      <c r="U813" s="40" t="s">
        <v>61</v>
      </c>
      <c r="V813" s="41"/>
      <c r="W813" s="42" t="str">
        <f ca="1">IFERROR(__xludf.DUMMYFUNCTION("""COMPUTED_VALUE"""),"MUB Pangkalanbun")</f>
        <v>MUB Pangkalanbun</v>
      </c>
      <c r="X813" s="42" t="str">
        <f ca="1"/>
        <v>ON-MUB Pangkalanbun-00011900+30-6281351572278</v>
      </c>
      <c r="Y813" s="40" t="s">
        <v>293</v>
      </c>
      <c r="Z813" s="40" t="s">
        <v>1057</v>
      </c>
      <c r="AA813" s="23" t="str">
        <v>https://wa.me/6281351572278</v>
      </c>
      <c r="AB813" s="28" t="s">
        <v>4977</v>
      </c>
      <c r="AC813" s="28"/>
      <c r="AD813" s="28" t="s">
        <v>690</v>
      </c>
      <c r="AE813" s="28"/>
      <c r="AF813" s="29">
        <v>45903</v>
      </c>
      <c r="AG813" s="29"/>
    </row>
    <row r="814" spans="1:33" ht="15.75" customHeight="1">
      <c r="A814" s="32" t="s">
        <v>52</v>
      </c>
      <c r="B814" s="33">
        <v>825</v>
      </c>
      <c r="C814" s="34" t="s">
        <v>4978</v>
      </c>
      <c r="D814" s="35">
        <v>45900.674301215273</v>
      </c>
      <c r="E814" s="43">
        <v>45900</v>
      </c>
      <c r="F814" s="32" t="s">
        <v>1735</v>
      </c>
      <c r="G814" s="32" t="s">
        <v>1736</v>
      </c>
      <c r="H814" s="32" t="s">
        <v>1737</v>
      </c>
      <c r="I814" s="36" t="s">
        <v>1738</v>
      </c>
      <c r="J814" s="52"/>
      <c r="K814" s="32" t="s">
        <v>1739</v>
      </c>
      <c r="L814" s="32" t="s">
        <v>1740</v>
      </c>
      <c r="M814" s="32" t="s">
        <v>60</v>
      </c>
      <c r="N814" s="33">
        <v>7</v>
      </c>
      <c r="O814" s="35"/>
      <c r="P814" s="35"/>
      <c r="Q814" s="37"/>
      <c r="R814" s="38"/>
      <c r="S814" s="33"/>
      <c r="T814" s="39">
        <v>297000</v>
      </c>
      <c r="U814" s="40" t="s">
        <v>61</v>
      </c>
      <c r="V814" s="41"/>
      <c r="W814" s="42" t="str">
        <f ca="1">IFERROR(__xludf.DUMMYFUNCTION("""COMPUTED_VALUE"""),"Andika Jaya")</f>
        <v>Andika Jaya</v>
      </c>
      <c r="X814" s="42" t="str">
        <f ca="1"/>
        <v>ON-Andika Jaya-00011900+7-6282315669271</v>
      </c>
      <c r="Y814" s="40"/>
      <c r="Z814" s="40"/>
      <c r="AA814" s="23" t="str">
        <v>https://wa.me/6282315669271</v>
      </c>
      <c r="AB814" s="28"/>
      <c r="AC814" s="28"/>
      <c r="AD814" s="28"/>
      <c r="AE814" s="28"/>
      <c r="AF814" s="29"/>
      <c r="AG814" s="29"/>
    </row>
    <row r="815" spans="1:33" ht="15.75" customHeight="1">
      <c r="A815" s="32" t="s">
        <v>196</v>
      </c>
      <c r="B815" s="33">
        <v>826</v>
      </c>
      <c r="C815" s="34" t="s">
        <v>4979</v>
      </c>
      <c r="D815" s="35">
        <v>45900.945970578701</v>
      </c>
      <c r="E815" s="43">
        <v>45900</v>
      </c>
      <c r="F815" s="32" t="s">
        <v>4980</v>
      </c>
      <c r="G815" s="32" t="s">
        <v>4981</v>
      </c>
      <c r="H815" s="32" t="s">
        <v>4982</v>
      </c>
      <c r="I815" s="36" t="s">
        <v>4983</v>
      </c>
      <c r="J815" s="52"/>
      <c r="K815" s="32" t="s">
        <v>570</v>
      </c>
      <c r="L815" s="32" t="s">
        <v>696</v>
      </c>
      <c r="M815" s="32" t="s">
        <v>382</v>
      </c>
      <c r="N815" s="33">
        <v>7</v>
      </c>
      <c r="O815" s="35"/>
      <c r="P815" s="35"/>
      <c r="Q815" s="37"/>
      <c r="R815" s="38"/>
      <c r="S815" s="33"/>
      <c r="T815" s="39">
        <v>297000</v>
      </c>
      <c r="U815" s="40" t="s">
        <v>115</v>
      </c>
      <c r="V815" s="41"/>
      <c r="W815" s="42" t="str">
        <f ca="1">IFERROR(__xludf.DUMMYFUNCTION("""COMPUTED_VALUE"""),"NAZWAN POLL")</f>
        <v>NAZWAN POLL</v>
      </c>
      <c r="X815" s="42" t="str">
        <f ca="1"/>
        <v>ON-NAZWAN POLL-00011900+7-6282125057012</v>
      </c>
      <c r="Y815" s="40" t="s">
        <v>293</v>
      </c>
      <c r="Z815" s="40" t="s">
        <v>1057</v>
      </c>
      <c r="AA815" s="23" t="str">
        <v>https://wa.me/6282125057012</v>
      </c>
      <c r="AB815" s="28" t="s">
        <v>4984</v>
      </c>
      <c r="AC815" s="28"/>
      <c r="AD815" s="28" t="s">
        <v>690</v>
      </c>
      <c r="AE815" s="28"/>
      <c r="AF815" s="29">
        <v>45903</v>
      </c>
      <c r="AG815" s="29"/>
    </row>
    <row r="816" spans="1:33" ht="15.75" customHeight="1">
      <c r="A816" s="32" t="s">
        <v>52</v>
      </c>
      <c r="B816" s="33">
        <v>827</v>
      </c>
      <c r="C816" s="34" t="s">
        <v>4985</v>
      </c>
      <c r="D816" s="35">
        <v>45901.244134884255</v>
      </c>
      <c r="E816" s="43">
        <v>45901</v>
      </c>
      <c r="F816" s="32" t="s">
        <v>1537</v>
      </c>
      <c r="G816" s="32" t="s">
        <v>1538</v>
      </c>
      <c r="H816" s="32" t="s">
        <v>1539</v>
      </c>
      <c r="I816" s="36" t="s">
        <v>1540</v>
      </c>
      <c r="J816" s="52" t="s">
        <v>3199</v>
      </c>
      <c r="K816" s="32" t="s">
        <v>3200</v>
      </c>
      <c r="L816" s="32" t="s">
        <v>1542</v>
      </c>
      <c r="M816" s="32" t="s">
        <v>60</v>
      </c>
      <c r="N816" s="33">
        <v>30</v>
      </c>
      <c r="O816" s="35"/>
      <c r="P816" s="35"/>
      <c r="Q816" s="37"/>
      <c r="R816" s="38"/>
      <c r="S816" s="33"/>
      <c r="T816" s="39">
        <v>1000000</v>
      </c>
      <c r="U816" s="40" t="s">
        <v>61</v>
      </c>
      <c r="V816" s="41"/>
      <c r="W816" s="42" t="str">
        <f ca="1">IFERROR(__xludf.DUMMYFUNCTION("""COMPUTED_VALUE"""),"Mitra Bangun")</f>
        <v>Mitra Bangun</v>
      </c>
      <c r="X816" s="42" t="str">
        <f ca="1"/>
        <v>ON-Mitra Bangun-00011900+30-6282338171577</v>
      </c>
      <c r="Y816" s="40"/>
      <c r="Z816" s="40"/>
      <c r="AA816" s="23" t="str">
        <v>https://wa.me/6282338171577</v>
      </c>
      <c r="AB816" s="28"/>
      <c r="AC816" s="28"/>
      <c r="AD816" s="28"/>
      <c r="AE816" s="28"/>
      <c r="AF816" s="29"/>
      <c r="AG816" s="29"/>
    </row>
    <row r="817" spans="1:33" ht="15.75" customHeight="1">
      <c r="A817" s="32" t="s">
        <v>52</v>
      </c>
      <c r="B817" s="33">
        <v>828</v>
      </c>
      <c r="C817" s="34" t="s">
        <v>4986</v>
      </c>
      <c r="D817" s="35">
        <v>45901.309177233794</v>
      </c>
      <c r="E817" s="43">
        <v>45901</v>
      </c>
      <c r="F817" s="32" t="s">
        <v>2479</v>
      </c>
      <c r="G817" s="32" t="s">
        <v>2480</v>
      </c>
      <c r="H817" s="32" t="s">
        <v>2481</v>
      </c>
      <c r="I817" s="36" t="s">
        <v>2482</v>
      </c>
      <c r="J817" s="52"/>
      <c r="K817" s="32" t="s">
        <v>2894</v>
      </c>
      <c r="L817" s="32" t="s">
        <v>1628</v>
      </c>
      <c r="M817" s="32" t="s">
        <v>60</v>
      </c>
      <c r="N817" s="33">
        <v>10</v>
      </c>
      <c r="O817" s="35"/>
      <c r="P817" s="35"/>
      <c r="Q817" s="37"/>
      <c r="R817" s="38"/>
      <c r="S817" s="33"/>
      <c r="T817" s="39">
        <v>375000</v>
      </c>
      <c r="U817" s="40" t="s">
        <v>115</v>
      </c>
      <c r="V817" s="41"/>
      <c r="W817" s="42" t="str">
        <f ca="1">IFERROR(__xludf.DUMMYFUNCTION("""COMPUTED_VALUE"""),"AURIGA KONTRAKTOR")</f>
        <v>AURIGA KONTRAKTOR</v>
      </c>
      <c r="X817" s="42" t="str">
        <f ca="1"/>
        <v>ON-AURIGA KONTRAKTOR-00011900+10-6287856230745</v>
      </c>
      <c r="Y817" s="40"/>
      <c r="Z817" s="40"/>
      <c r="AA817" s="23" t="str">
        <v>https://wa.me/6287856230745</v>
      </c>
      <c r="AB817" s="28"/>
      <c r="AC817" s="28"/>
      <c r="AD817" s="28"/>
      <c r="AE817" s="28"/>
      <c r="AF817" s="29"/>
      <c r="AG817" s="29"/>
    </row>
    <row r="818" spans="1:33" ht="15.75" customHeight="1">
      <c r="A818" s="32" t="s">
        <v>52</v>
      </c>
      <c r="B818" s="33">
        <v>829</v>
      </c>
      <c r="C818" s="34" t="s">
        <v>4987</v>
      </c>
      <c r="D818" s="35">
        <v>45901.387064374998</v>
      </c>
      <c r="E818" s="33" t="s">
        <v>4988</v>
      </c>
      <c r="F818" s="32" t="s">
        <v>3228</v>
      </c>
      <c r="G818" s="32" t="s">
        <v>3229</v>
      </c>
      <c r="H818" s="32" t="s">
        <v>3230</v>
      </c>
      <c r="I818" s="36" t="s">
        <v>3231</v>
      </c>
      <c r="J818" s="52"/>
      <c r="K818" s="32" t="s">
        <v>3232</v>
      </c>
      <c r="L818" s="32" t="s">
        <v>1365</v>
      </c>
      <c r="M818" s="32" t="s">
        <v>285</v>
      </c>
      <c r="N818" s="33">
        <v>5</v>
      </c>
      <c r="O818" s="35"/>
      <c r="P818" s="35"/>
      <c r="Q818" s="37"/>
      <c r="R818" s="38"/>
      <c r="S818" s="33"/>
      <c r="T818" s="39">
        <v>197000</v>
      </c>
      <c r="U818" s="40" t="s">
        <v>1229</v>
      </c>
      <c r="V818" s="41"/>
      <c r="W818" s="42" t="str">
        <f ca="1">IFERROR(__xludf.DUMMYFUNCTION("""COMPUTED_VALUE"""),"Therapy pijat")</f>
        <v>Therapy pijat</v>
      </c>
      <c r="X818" s="42" t="str">
        <f ca="1"/>
        <v>ON-Therapy pijat-00011900+5-6287865111033</v>
      </c>
      <c r="Y818" s="40"/>
      <c r="Z818" s="40"/>
      <c r="AA818" s="23" t="str">
        <v>https://wa.me/6287865111033</v>
      </c>
      <c r="AB818" s="28"/>
      <c r="AC818" s="28"/>
      <c r="AD818" s="28"/>
      <c r="AE818" s="28"/>
      <c r="AF818" s="29"/>
      <c r="AG818" s="29"/>
    </row>
    <row r="819" spans="1:33" ht="15.75" customHeight="1">
      <c r="A819" s="32" t="s">
        <v>52</v>
      </c>
      <c r="B819" s="33">
        <v>830</v>
      </c>
      <c r="C819" s="34" t="s">
        <v>4989</v>
      </c>
      <c r="D819" s="35">
        <v>45901.392216446759</v>
      </c>
      <c r="E819" s="43">
        <v>45901</v>
      </c>
      <c r="F819" s="32" t="s">
        <v>3228</v>
      </c>
      <c r="G819" s="32" t="s">
        <v>3229</v>
      </c>
      <c r="H819" s="32" t="s">
        <v>3230</v>
      </c>
      <c r="I819" s="36" t="s">
        <v>3231</v>
      </c>
      <c r="J819" s="52"/>
      <c r="K819" s="32" t="s">
        <v>3232</v>
      </c>
      <c r="L819" s="32" t="s">
        <v>1365</v>
      </c>
      <c r="M819" s="32" t="s">
        <v>285</v>
      </c>
      <c r="N819" s="33">
        <v>5</v>
      </c>
      <c r="O819" s="35"/>
      <c r="P819" s="35"/>
      <c r="Q819" s="37"/>
      <c r="R819" s="38"/>
      <c r="S819" s="33"/>
      <c r="T819" s="39">
        <v>197000</v>
      </c>
      <c r="U819" s="40" t="s">
        <v>1229</v>
      </c>
      <c r="V819" s="41"/>
      <c r="W819" s="42" t="str">
        <f ca="1">IFERROR(__xludf.DUMMYFUNCTION("""COMPUTED_VALUE"""),"Therapy pijat")</f>
        <v>Therapy pijat</v>
      </c>
      <c r="X819" s="42" t="str">
        <f ca="1"/>
        <v>ON-Therapy pijat-00011900+5-6287865111033</v>
      </c>
      <c r="Y819" s="40"/>
      <c r="Z819" s="40"/>
      <c r="AA819" s="23" t="str">
        <v>https://wa.me/6287865111033</v>
      </c>
      <c r="AB819" s="28"/>
      <c r="AC819" s="28"/>
      <c r="AD819" s="28"/>
      <c r="AE819" s="28"/>
      <c r="AF819" s="29"/>
      <c r="AG819" s="29"/>
    </row>
    <row r="820" spans="1:33" ht="15.75" customHeight="1">
      <c r="A820" s="32" t="s">
        <v>196</v>
      </c>
      <c r="B820" s="33">
        <v>831</v>
      </c>
      <c r="C820" s="34" t="s">
        <v>4990</v>
      </c>
      <c r="D820" s="35">
        <v>45901.474873854168</v>
      </c>
      <c r="E820" s="43">
        <v>45901</v>
      </c>
      <c r="F820" s="32" t="s">
        <v>4991</v>
      </c>
      <c r="G820" s="32" t="s">
        <v>4992</v>
      </c>
      <c r="H820" s="32" t="s">
        <v>4993</v>
      </c>
      <c r="I820" s="36" t="s">
        <v>4994</v>
      </c>
      <c r="J820" s="52" t="s">
        <v>2146</v>
      </c>
      <c r="K820" s="32" t="s">
        <v>4995</v>
      </c>
      <c r="L820" s="32" t="s">
        <v>726</v>
      </c>
      <c r="M820" s="32" t="s">
        <v>106</v>
      </c>
      <c r="N820" s="33">
        <v>5</v>
      </c>
      <c r="O820" s="35"/>
      <c r="P820" s="35"/>
      <c r="Q820" s="37"/>
      <c r="R820" s="38"/>
      <c r="S820" s="33"/>
      <c r="T820" s="39">
        <v>197000</v>
      </c>
      <c r="U820" s="40" t="s">
        <v>1774</v>
      </c>
      <c r="V820" s="41"/>
      <c r="W820" s="42" t="str">
        <f ca="1">IFERROR(__xludf.DUMMYFUNCTION("""COMPUTED_VALUE"""),"Kimora Refleksi")</f>
        <v>Kimora Refleksi</v>
      </c>
      <c r="X820" s="42" t="str">
        <f ca="1"/>
        <v>ON-Kimora Refleksi-00011900+5-6285242515222</v>
      </c>
      <c r="Y820" s="40" t="s">
        <v>62</v>
      </c>
      <c r="Z820" s="40" t="s">
        <v>639</v>
      </c>
      <c r="AA820" s="23" t="str">
        <v>https://wa.me/6285242515222</v>
      </c>
      <c r="AB820" s="28" t="s">
        <v>4996</v>
      </c>
      <c r="AC820" s="28"/>
      <c r="AD820" s="28" t="s">
        <v>690</v>
      </c>
      <c r="AE820" s="28"/>
      <c r="AF820" s="29">
        <v>45904</v>
      </c>
      <c r="AG820" s="29"/>
    </row>
    <row r="821" spans="1:33" ht="15.75" customHeight="1">
      <c r="A821" s="32" t="s">
        <v>196</v>
      </c>
      <c r="B821" s="33">
        <v>832</v>
      </c>
      <c r="C821" s="34" t="s">
        <v>4997</v>
      </c>
      <c r="D821" s="35">
        <v>45901.476897824075</v>
      </c>
      <c r="E821" s="43">
        <v>45901</v>
      </c>
      <c r="F821" s="32" t="s">
        <v>4998</v>
      </c>
      <c r="G821" s="32" t="s">
        <v>4999</v>
      </c>
      <c r="H821" s="32" t="s">
        <v>409</v>
      </c>
      <c r="I821" s="36" t="s">
        <v>5000</v>
      </c>
      <c r="J821" s="52"/>
      <c r="K821" s="32" t="s">
        <v>4389</v>
      </c>
      <c r="L821" s="32" t="s">
        <v>3844</v>
      </c>
      <c r="M821" s="32" t="s">
        <v>60</v>
      </c>
      <c r="N821" s="33">
        <v>5</v>
      </c>
      <c r="O821" s="35">
        <v>45904</v>
      </c>
      <c r="P821" s="35">
        <v>45909</v>
      </c>
      <c r="Q821" s="37"/>
      <c r="R821" s="38"/>
      <c r="S821" s="33"/>
      <c r="T821" s="39">
        <v>197000</v>
      </c>
      <c r="U821" s="40" t="s">
        <v>61</v>
      </c>
      <c r="V821" s="41"/>
      <c r="W821" s="42" t="str">
        <f ca="1">IFERROR(__xludf.DUMMYFUNCTION("""COMPUTED_VALUE"""),"ANT STUDIO")</f>
        <v>ANT STUDIO</v>
      </c>
      <c r="X821" s="42" t="str">
        <f ca="1"/>
        <v>ON-ANT STUDIO-00011900+5-628112000639</v>
      </c>
      <c r="Y821" s="40" t="s">
        <v>293</v>
      </c>
      <c r="Z821" s="40" t="s">
        <v>1057</v>
      </c>
      <c r="AA821" s="23" t="str">
        <v>https://wa.me/628112000639</v>
      </c>
      <c r="AB821" s="28" t="s">
        <v>5001</v>
      </c>
      <c r="AC821" s="28"/>
      <c r="AD821" s="28" t="s">
        <v>690</v>
      </c>
      <c r="AE821" s="28"/>
      <c r="AF821" s="29">
        <v>45904</v>
      </c>
      <c r="AG821" s="29"/>
    </row>
    <row r="822" spans="1:33" ht="15.75" customHeight="1">
      <c r="A822" s="32" t="s">
        <v>196</v>
      </c>
      <c r="B822" s="33">
        <v>833</v>
      </c>
      <c r="C822" s="34" t="s">
        <v>5002</v>
      </c>
      <c r="D822" s="35">
        <v>45901.491236064816</v>
      </c>
      <c r="E822" s="43">
        <v>45901</v>
      </c>
      <c r="F822" s="32" t="s">
        <v>5003</v>
      </c>
      <c r="G822" s="32" t="s">
        <v>5004</v>
      </c>
      <c r="H822" s="32" t="s">
        <v>5005</v>
      </c>
      <c r="I822" s="36" t="s">
        <v>5006</v>
      </c>
      <c r="J822" s="52" t="s">
        <v>5007</v>
      </c>
      <c r="K822" s="32" t="s">
        <v>5008</v>
      </c>
      <c r="L822" s="32" t="s">
        <v>3750</v>
      </c>
      <c r="M822" s="32" t="s">
        <v>249</v>
      </c>
      <c r="N822" s="33">
        <v>5</v>
      </c>
      <c r="O822" s="35"/>
      <c r="P822" s="35"/>
      <c r="Q822" s="37"/>
      <c r="R822" s="38"/>
      <c r="S822" s="33"/>
      <c r="T822" s="39">
        <v>197000</v>
      </c>
      <c r="U822" s="40" t="s">
        <v>1774</v>
      </c>
      <c r="V822" s="41"/>
      <c r="W822" s="42" t="str">
        <f ca="1">IFERROR(__xludf.DUMMYFUNCTION("""COMPUTED_VALUE"""),"Spesialis Atap")</f>
        <v>Spesialis Atap</v>
      </c>
      <c r="X822" s="42" t="str">
        <f ca="1"/>
        <v>ON-Spesialis Atap-00011900+5-6285888851587</v>
      </c>
      <c r="Y822" s="40" t="s">
        <v>293</v>
      </c>
      <c r="Z822" s="40" t="s">
        <v>1057</v>
      </c>
      <c r="AA822" s="23" t="str">
        <v>https://wa.me/6285888851587</v>
      </c>
      <c r="AB822" s="28" t="s">
        <v>5009</v>
      </c>
      <c r="AC822" s="28"/>
      <c r="AD822" s="28" t="s">
        <v>690</v>
      </c>
      <c r="AE822" s="28"/>
      <c r="AF822" s="29">
        <v>45904</v>
      </c>
      <c r="AG822" s="29"/>
    </row>
    <row r="823" spans="1:33" ht="15.75" customHeight="1">
      <c r="A823" s="32" t="s">
        <v>912</v>
      </c>
      <c r="B823" s="33">
        <v>834</v>
      </c>
      <c r="C823" s="34" t="s">
        <v>5010</v>
      </c>
      <c r="D823" s="35">
        <v>45901.504211423613</v>
      </c>
      <c r="E823" s="43">
        <v>45901</v>
      </c>
      <c r="F823" s="32" t="s">
        <v>3792</v>
      </c>
      <c r="G823" s="32" t="s">
        <v>5011</v>
      </c>
      <c r="H823" s="32" t="s">
        <v>5012</v>
      </c>
      <c r="I823" s="36" t="s">
        <v>3795</v>
      </c>
      <c r="J823" s="52"/>
      <c r="K823" s="32" t="s">
        <v>3796</v>
      </c>
      <c r="L823" s="32" t="s">
        <v>85</v>
      </c>
      <c r="M823" s="32" t="s">
        <v>60</v>
      </c>
      <c r="N823" s="33">
        <v>5</v>
      </c>
      <c r="O823" s="35"/>
      <c r="P823" s="35"/>
      <c r="Q823" s="37"/>
      <c r="R823" s="38"/>
      <c r="S823" s="33"/>
      <c r="T823" s="39">
        <v>197000</v>
      </c>
      <c r="U823" s="40" t="s">
        <v>61</v>
      </c>
      <c r="V823" s="41"/>
      <c r="W823" s="42" t="str">
        <f ca="1">IFERROR(__xludf.DUMMYFUNCTION("""COMPUTED_VALUE"""),"Rokim Almunium")</f>
        <v>Rokim Almunium</v>
      </c>
      <c r="X823" s="42" t="str">
        <f ca="1"/>
        <v>ON-Rokim Almunium-00011900+5-6285100570275</v>
      </c>
      <c r="Y823" s="40" t="s">
        <v>293</v>
      </c>
      <c r="Z823" s="40" t="s">
        <v>1057</v>
      </c>
      <c r="AA823" s="23" t="str">
        <v>https://wa.me/6285100570275</v>
      </c>
      <c r="AB823" s="28" t="s">
        <v>5013</v>
      </c>
      <c r="AC823" s="28"/>
      <c r="AD823" s="28" t="s">
        <v>690</v>
      </c>
      <c r="AE823" s="28"/>
      <c r="AF823" s="29"/>
      <c r="AG823" s="29"/>
    </row>
    <row r="824" spans="1:33" ht="15.75" customHeight="1">
      <c r="A824" s="32" t="s">
        <v>52</v>
      </c>
      <c r="B824" s="33">
        <v>836</v>
      </c>
      <c r="C824" s="34" t="s">
        <v>5014</v>
      </c>
      <c r="D824" s="35">
        <v>45901.567994988422</v>
      </c>
      <c r="E824" s="43">
        <v>45901</v>
      </c>
      <c r="F824" s="32" t="s">
        <v>4050</v>
      </c>
      <c r="G824" s="32" t="s">
        <v>4051</v>
      </c>
      <c r="H824" s="32" t="s">
        <v>4052</v>
      </c>
      <c r="I824" s="36" t="s">
        <v>4053</v>
      </c>
      <c r="J824" s="52"/>
      <c r="K824" s="32" t="s">
        <v>4054</v>
      </c>
      <c r="L824" s="32" t="s">
        <v>4055</v>
      </c>
      <c r="M824" s="32" t="s">
        <v>3687</v>
      </c>
      <c r="N824" s="33">
        <v>5</v>
      </c>
      <c r="O824" s="35"/>
      <c r="P824" s="35"/>
      <c r="Q824" s="37"/>
      <c r="R824" s="38"/>
      <c r="S824" s="33"/>
      <c r="T824" s="39">
        <v>197000</v>
      </c>
      <c r="U824" s="40" t="s">
        <v>1229</v>
      </c>
      <c r="V824" s="41"/>
      <c r="W824" s="42" t="str">
        <f ca="1">IFERROR(__xludf.DUMMYFUNCTION("""COMPUTED_VALUE"""),"Pratama jaya")</f>
        <v>Pratama jaya</v>
      </c>
      <c r="X824" s="42" t="str">
        <f ca="1"/>
        <v>ON-Pratama jaya-00011900+5-6283117425214</v>
      </c>
      <c r="Y824" s="40"/>
      <c r="Z824" s="40"/>
      <c r="AA824" s="23" t="str">
        <v>https://wa.me/6283117425214</v>
      </c>
      <c r="AB824" s="28"/>
      <c r="AC824" s="28"/>
      <c r="AD824" s="28"/>
      <c r="AE824" s="28"/>
      <c r="AF824" s="29"/>
      <c r="AG824" s="29"/>
    </row>
    <row r="825" spans="1:33" ht="15.75" customHeight="1">
      <c r="A825" s="32" t="s">
        <v>196</v>
      </c>
      <c r="B825" s="33">
        <v>837</v>
      </c>
      <c r="C825" s="34" t="s">
        <v>5015</v>
      </c>
      <c r="D825" s="35">
        <v>45901.575329282408</v>
      </c>
      <c r="E825" s="43">
        <v>45901</v>
      </c>
      <c r="F825" s="32" t="s">
        <v>5016</v>
      </c>
      <c r="G825" s="32" t="s">
        <v>5017</v>
      </c>
      <c r="H825" s="32" t="s">
        <v>5018</v>
      </c>
      <c r="I825" s="36" t="s">
        <v>5019</v>
      </c>
      <c r="J825" s="52" t="s">
        <v>5020</v>
      </c>
      <c r="K825" s="32" t="s">
        <v>5021</v>
      </c>
      <c r="L825" s="32" t="s">
        <v>4783</v>
      </c>
      <c r="M825" s="32" t="s">
        <v>382</v>
      </c>
      <c r="N825" s="33">
        <v>5</v>
      </c>
      <c r="O825" s="35"/>
      <c r="P825" s="35"/>
      <c r="Q825" s="37"/>
      <c r="R825" s="38"/>
      <c r="S825" s="33"/>
      <c r="T825" s="39">
        <v>197000</v>
      </c>
      <c r="U825" s="40" t="s">
        <v>1774</v>
      </c>
      <c r="V825" s="41"/>
      <c r="W825" s="42" t="str">
        <f ca="1">IFERROR(__xludf.DUMMYFUNCTION("""COMPUTED_VALUE"""),"CV Abu")</f>
        <v>CV Abu</v>
      </c>
      <c r="X825" s="42" t="str">
        <f ca="1"/>
        <v>ON-CV Abu-00011900+5-6285353523822</v>
      </c>
      <c r="Y825" s="40" t="s">
        <v>293</v>
      </c>
      <c r="Z825" s="40" t="s">
        <v>1057</v>
      </c>
      <c r="AA825" s="23" t="str">
        <v>https://wa.me/6285353523822</v>
      </c>
      <c r="AB825" s="28" t="s">
        <v>5022</v>
      </c>
      <c r="AC825" s="28"/>
      <c r="AD825" s="28" t="s">
        <v>690</v>
      </c>
      <c r="AE825" s="28"/>
      <c r="AF825" s="29">
        <v>45904</v>
      </c>
      <c r="AG825" s="29"/>
    </row>
    <row r="826" spans="1:33" ht="15.75" customHeight="1">
      <c r="A826" s="32" t="s">
        <v>52</v>
      </c>
      <c r="B826" s="33">
        <v>838</v>
      </c>
      <c r="C826" s="34" t="s">
        <v>5023</v>
      </c>
      <c r="D826" s="35">
        <v>45901.580035057872</v>
      </c>
      <c r="E826" s="43">
        <v>45901</v>
      </c>
      <c r="F826" s="32" t="s">
        <v>4279</v>
      </c>
      <c r="G826" s="32" t="s">
        <v>4280</v>
      </c>
      <c r="H826" s="32" t="s">
        <v>4225</v>
      </c>
      <c r="I826" s="36" t="s">
        <v>4281</v>
      </c>
      <c r="J826" s="52" t="s">
        <v>4282</v>
      </c>
      <c r="K826" s="32" t="s">
        <v>4283</v>
      </c>
      <c r="L826" s="32" t="s">
        <v>4284</v>
      </c>
      <c r="M826" s="32" t="s">
        <v>4285</v>
      </c>
      <c r="N826" s="33">
        <v>5</v>
      </c>
      <c r="O826" s="35"/>
      <c r="P826" s="35"/>
      <c r="Q826" s="37"/>
      <c r="R826" s="38"/>
      <c r="S826" s="33"/>
      <c r="T826" s="39">
        <v>197000</v>
      </c>
      <c r="U826" s="40" t="s">
        <v>115</v>
      </c>
      <c r="V826" s="41"/>
      <c r="W826" s="42" t="str">
        <f ca="1">IFERROR(__xludf.DUMMYFUNCTION("""COMPUTED_VALUE"""),"Lombok best")</f>
        <v>Lombok best</v>
      </c>
      <c r="X826" s="42" t="str">
        <f ca="1"/>
        <v>ON-Lombok best-00011900+5-6287862271550</v>
      </c>
      <c r="Y826" s="40"/>
      <c r="Z826" s="40"/>
      <c r="AA826" s="23" t="str">
        <v>https://wa.me/6287862271550</v>
      </c>
      <c r="AB826" s="28"/>
      <c r="AC826" s="28"/>
      <c r="AD826" s="28"/>
      <c r="AE826" s="28"/>
      <c r="AF826" s="29"/>
      <c r="AG826" s="29"/>
    </row>
    <row r="827" spans="1:33" ht="15.75" customHeight="1">
      <c r="A827" s="32" t="s">
        <v>196</v>
      </c>
      <c r="B827" s="33">
        <v>839</v>
      </c>
      <c r="C827" s="34" t="s">
        <v>5024</v>
      </c>
      <c r="D827" s="35">
        <v>45901.581135300927</v>
      </c>
      <c r="E827" s="43">
        <v>45901</v>
      </c>
      <c r="F827" s="32" t="s">
        <v>5025</v>
      </c>
      <c r="G827" s="32" t="s">
        <v>5026</v>
      </c>
      <c r="H827" s="32" t="s">
        <v>495</v>
      </c>
      <c r="I827" s="36" t="s">
        <v>5027</v>
      </c>
      <c r="J827" s="52"/>
      <c r="K827" s="32" t="s">
        <v>5028</v>
      </c>
      <c r="L827" s="32" t="s">
        <v>1533</v>
      </c>
      <c r="M827" s="32" t="s">
        <v>382</v>
      </c>
      <c r="N827" s="33">
        <v>7</v>
      </c>
      <c r="O827" s="35"/>
      <c r="P827" s="35"/>
      <c r="Q827" s="37"/>
      <c r="R827" s="38"/>
      <c r="S827" s="33"/>
      <c r="T827" s="39">
        <v>297000</v>
      </c>
      <c r="U827" s="40" t="s">
        <v>115</v>
      </c>
      <c r="V827" s="41"/>
      <c r="W827" s="42" t="str">
        <f ca="1">IFERROR(__xludf.DUMMYFUNCTION("""COMPUTED_VALUE"""),"Jasa kontruksi")</f>
        <v>Jasa kontruksi</v>
      </c>
      <c r="X827" s="42" t="str">
        <f ca="1"/>
        <v>ON-Jasa kontruksi-00011900+7-6281543128320</v>
      </c>
      <c r="Y827" s="40" t="s">
        <v>293</v>
      </c>
      <c r="Z827" s="40" t="s">
        <v>1057</v>
      </c>
      <c r="AA827" s="23" t="str">
        <v>https://wa.me/6281543128320</v>
      </c>
      <c r="AB827" s="28" t="s">
        <v>5029</v>
      </c>
      <c r="AC827" s="28"/>
      <c r="AD827" s="28" t="s">
        <v>690</v>
      </c>
      <c r="AE827" s="28"/>
      <c r="AF827" s="29">
        <v>45904</v>
      </c>
      <c r="AG827" s="29"/>
    </row>
    <row r="828" spans="1:33" ht="15.75" customHeight="1">
      <c r="A828" s="32" t="s">
        <v>196</v>
      </c>
      <c r="B828" s="33">
        <v>840</v>
      </c>
      <c r="C828" s="34" t="s">
        <v>5030</v>
      </c>
      <c r="D828" s="35">
        <v>45901.611389849539</v>
      </c>
      <c r="E828" s="43">
        <v>45901</v>
      </c>
      <c r="F828" s="32" t="s">
        <v>1914</v>
      </c>
      <c r="G828" s="54" t="s">
        <v>1915</v>
      </c>
      <c r="H828" s="32" t="s">
        <v>1916</v>
      </c>
      <c r="I828" s="36" t="s">
        <v>1917</v>
      </c>
      <c r="J828" s="52"/>
      <c r="K828" s="32" t="s">
        <v>5031</v>
      </c>
      <c r="L828" s="32" t="s">
        <v>1542</v>
      </c>
      <c r="M828" s="32" t="s">
        <v>285</v>
      </c>
      <c r="N828" s="33">
        <v>20</v>
      </c>
      <c r="O828" s="35"/>
      <c r="P828" s="35"/>
      <c r="Q828" s="37"/>
      <c r="R828" s="38"/>
      <c r="S828" s="33"/>
      <c r="T828" s="39">
        <v>700000</v>
      </c>
      <c r="U828" s="40" t="s">
        <v>61</v>
      </c>
      <c r="V828" s="41"/>
      <c r="W828" s="55" t="str">
        <f ca="1">IFERROR(__xludf.DUMMYFUNCTION("""COMPUTED_VALUE"""),"Primagriya.com")</f>
        <v>Primagriya.com</v>
      </c>
      <c r="X828" s="42" t="str">
        <f ca="1"/>
        <v>ON-Primagriya.com-00011900+20-6281239874761</v>
      </c>
      <c r="Y828" s="40" t="s">
        <v>293</v>
      </c>
      <c r="Z828" s="40" t="s">
        <v>1057</v>
      </c>
      <c r="AA828" s="23" t="str">
        <v>https://wa.me/6281239874761</v>
      </c>
      <c r="AB828" s="28" t="s">
        <v>5032</v>
      </c>
      <c r="AC828" s="28"/>
      <c r="AD828" s="28" t="s">
        <v>690</v>
      </c>
      <c r="AE828" s="28"/>
      <c r="AF828" s="29">
        <v>45904</v>
      </c>
      <c r="AG828" s="29"/>
    </row>
    <row r="829" spans="1:33" ht="15.75" customHeight="1">
      <c r="A829" s="32" t="s">
        <v>52</v>
      </c>
      <c r="B829" s="33">
        <v>841</v>
      </c>
      <c r="C829" s="34" t="s">
        <v>5033</v>
      </c>
      <c r="D829" s="35">
        <v>45901.653345868057</v>
      </c>
      <c r="E829" s="43">
        <v>45901</v>
      </c>
      <c r="F829" s="32" t="s">
        <v>3772</v>
      </c>
      <c r="G829" s="32" t="s">
        <v>3773</v>
      </c>
      <c r="H829" s="32" t="s">
        <v>3774</v>
      </c>
      <c r="I829" s="36" t="s">
        <v>3775</v>
      </c>
      <c r="J829" s="52"/>
      <c r="K829" s="32" t="s">
        <v>570</v>
      </c>
      <c r="L829" s="32" t="s">
        <v>2291</v>
      </c>
      <c r="M829" s="32" t="s">
        <v>2032</v>
      </c>
      <c r="N829" s="33">
        <v>10</v>
      </c>
      <c r="O829" s="35"/>
      <c r="P829" s="35"/>
      <c r="Q829" s="37"/>
      <c r="R829" s="38"/>
      <c r="S829" s="33"/>
      <c r="T829" s="39">
        <v>375000</v>
      </c>
      <c r="U829" s="40" t="s">
        <v>61</v>
      </c>
      <c r="V829" s="41"/>
      <c r="W829" s="42" t="str">
        <f ca="1">IFERROR(__xludf.DUMMYFUNCTION("""COMPUTED_VALUE"""),"Kharisma Filter")</f>
        <v>Kharisma Filter</v>
      </c>
      <c r="X829" s="42" t="str">
        <f ca="1"/>
        <v>ON-Kharisma Filter-00011900+10-6285893658659</v>
      </c>
      <c r="Y829" s="40"/>
      <c r="Z829" s="40"/>
      <c r="AA829" s="23" t="str">
        <v>https://wa.me/6285893658659</v>
      </c>
      <c r="AB829" s="28"/>
      <c r="AC829" s="28"/>
      <c r="AD829" s="28"/>
      <c r="AE829" s="28"/>
      <c r="AF829" s="29"/>
      <c r="AG829" s="29"/>
    </row>
    <row r="830" spans="1:33" ht="15.75" customHeight="1">
      <c r="A830" s="32" t="s">
        <v>52</v>
      </c>
      <c r="B830" s="33">
        <v>842</v>
      </c>
      <c r="C830" s="34" t="s">
        <v>5034</v>
      </c>
      <c r="D830" s="35">
        <v>45902.287886481485</v>
      </c>
      <c r="E830" s="43">
        <v>45902</v>
      </c>
      <c r="F830" s="32" t="s">
        <v>2544</v>
      </c>
      <c r="G830" s="32" t="s">
        <v>2545</v>
      </c>
      <c r="H830" s="32" t="s">
        <v>2546</v>
      </c>
      <c r="I830" s="36" t="s">
        <v>2547</v>
      </c>
      <c r="J830" s="52"/>
      <c r="K830" s="32" t="s">
        <v>2548</v>
      </c>
      <c r="L830" s="32" t="s">
        <v>2468</v>
      </c>
      <c r="M830" s="32" t="s">
        <v>131</v>
      </c>
      <c r="N830" s="33">
        <v>5</v>
      </c>
      <c r="O830" s="35"/>
      <c r="P830" s="35"/>
      <c r="Q830" s="37"/>
      <c r="R830" s="38"/>
      <c r="S830" s="33"/>
      <c r="T830" s="39">
        <v>197000</v>
      </c>
      <c r="U830" s="40" t="s">
        <v>61</v>
      </c>
      <c r="V830" s="41"/>
      <c r="W830" s="42" t="str">
        <f ca="1">IFERROR(__xludf.DUMMYFUNCTION("""COMPUTED_VALUE"""),"Lubijo Berkah")</f>
        <v>Lubijo Berkah</v>
      </c>
      <c r="X830" s="42" t="str">
        <f ca="1"/>
        <v>ON-Lubijo Berkah-00011900+5-6281233038880</v>
      </c>
      <c r="Y830" s="40"/>
      <c r="Z830" s="40"/>
      <c r="AA830" s="23" t="str">
        <v>https://wa.me/6281233038880</v>
      </c>
      <c r="AB830" s="28"/>
      <c r="AC830" s="28"/>
      <c r="AD830" s="28"/>
      <c r="AE830" s="28"/>
      <c r="AF830" s="29"/>
      <c r="AG830" s="29"/>
    </row>
    <row r="831" spans="1:33" ht="15.75" customHeight="1">
      <c r="A831" s="32" t="s">
        <v>621</v>
      </c>
      <c r="B831" s="33">
        <v>843</v>
      </c>
      <c r="C831" s="34" t="s">
        <v>5035</v>
      </c>
      <c r="D831" s="35">
        <v>45902.28823471065</v>
      </c>
      <c r="E831" s="43">
        <v>45902</v>
      </c>
      <c r="F831" s="32" t="s">
        <v>5036</v>
      </c>
      <c r="G831" s="32" t="s">
        <v>5037</v>
      </c>
      <c r="H831" s="32" t="s">
        <v>5038</v>
      </c>
      <c r="I831" s="36" t="s">
        <v>5039</v>
      </c>
      <c r="J831" s="52"/>
      <c r="K831" s="32" t="s">
        <v>1381</v>
      </c>
      <c r="L831" s="32" t="s">
        <v>5040</v>
      </c>
      <c r="M831" s="32" t="s">
        <v>60</v>
      </c>
      <c r="N831" s="33">
        <v>5</v>
      </c>
      <c r="O831" s="35"/>
      <c r="P831" s="35"/>
      <c r="Q831" s="37"/>
      <c r="R831" s="38"/>
      <c r="S831" s="33"/>
      <c r="T831" s="39">
        <v>197000</v>
      </c>
      <c r="U831" s="40" t="s">
        <v>61</v>
      </c>
      <c r="V831" s="41"/>
      <c r="W831" s="42" t="str">
        <f ca="1">IFERROR(__xludf.DUMMYFUNCTION("""COMPUTED_VALUE"""),"Dicta Design")</f>
        <v>Dicta Design</v>
      </c>
      <c r="X831" s="42" t="str">
        <f ca="1"/>
        <v>ON-Dicta Design-00011900+5-628129696801</v>
      </c>
      <c r="Y831" s="40" t="s">
        <v>293</v>
      </c>
      <c r="Z831" s="40" t="s">
        <v>1057</v>
      </c>
      <c r="AA831" s="23" t="str">
        <v>https://wa.me/628129696801</v>
      </c>
      <c r="AB831" s="28" t="s">
        <v>5041</v>
      </c>
      <c r="AC831" s="28"/>
      <c r="AD831" s="28" t="s">
        <v>690</v>
      </c>
      <c r="AE831" s="28"/>
      <c r="AF831" s="29"/>
      <c r="AG831" s="29"/>
    </row>
    <row r="832" spans="1:33" ht="15.75" customHeight="1">
      <c r="A832" s="32" t="s">
        <v>52</v>
      </c>
      <c r="B832" s="33">
        <v>844</v>
      </c>
      <c r="C832" s="34" t="s">
        <v>5042</v>
      </c>
      <c r="D832" s="35">
        <v>45902.291863437495</v>
      </c>
      <c r="E832" s="43">
        <v>45901</v>
      </c>
      <c r="F832" s="32" t="s">
        <v>1043</v>
      </c>
      <c r="G832" s="32" t="s">
        <v>1044</v>
      </c>
      <c r="H832" s="32" t="s">
        <v>5043</v>
      </c>
      <c r="I832" s="36" t="s">
        <v>1046</v>
      </c>
      <c r="J832" s="52"/>
      <c r="K832" s="32" t="s">
        <v>5044</v>
      </c>
      <c r="L832" s="32" t="s">
        <v>1049</v>
      </c>
      <c r="M832" s="32" t="s">
        <v>60</v>
      </c>
      <c r="N832" s="33">
        <v>30</v>
      </c>
      <c r="O832" s="35"/>
      <c r="P832" s="35"/>
      <c r="Q832" s="37"/>
      <c r="R832" s="38"/>
      <c r="S832" s="33"/>
      <c r="T832" s="39">
        <v>1000000</v>
      </c>
      <c r="U832" s="40" t="s">
        <v>61</v>
      </c>
      <c r="V832" s="41"/>
      <c r="W832" s="42" t="str">
        <f ca="1">IFERROR(__xludf.DUMMYFUNCTION("""COMPUTED_VALUE"""),"Toko Emas")</f>
        <v>Toko Emas</v>
      </c>
      <c r="X832" s="42" t="str">
        <f ca="1"/>
        <v>ON-Toko Emas-00011900+30-6281263113266</v>
      </c>
      <c r="Y832" s="40"/>
      <c r="Z832" s="40"/>
      <c r="AA832" s="23" t="str">
        <v>https://wa.me/6281263113266</v>
      </c>
      <c r="AB832" s="28"/>
      <c r="AC832" s="28"/>
      <c r="AD832" s="28"/>
      <c r="AE832" s="28"/>
      <c r="AF832" s="29"/>
      <c r="AG832" s="29"/>
    </row>
    <row r="833" spans="1:33" ht="15.75" customHeight="1">
      <c r="A833" s="32" t="s">
        <v>196</v>
      </c>
      <c r="B833" s="33">
        <v>844</v>
      </c>
      <c r="C833" s="34" t="s">
        <v>5042</v>
      </c>
      <c r="D833" s="35">
        <v>45902.317640729161</v>
      </c>
      <c r="E833" s="43">
        <v>45902</v>
      </c>
      <c r="F833" s="32" t="s">
        <v>5045</v>
      </c>
      <c r="G833" s="32" t="s">
        <v>5046</v>
      </c>
      <c r="H833" s="32" t="s">
        <v>5047</v>
      </c>
      <c r="I833" s="36" t="s">
        <v>5048</v>
      </c>
      <c r="J833" s="52" t="s">
        <v>5049</v>
      </c>
      <c r="K833" s="32" t="s">
        <v>46</v>
      </c>
      <c r="L833" s="32" t="s">
        <v>92</v>
      </c>
      <c r="M833" s="32" t="s">
        <v>92</v>
      </c>
      <c r="N833" s="33">
        <v>5</v>
      </c>
      <c r="O833" s="35"/>
      <c r="P833" s="35"/>
      <c r="Q833" s="37"/>
      <c r="R833" s="38"/>
      <c r="S833" s="33"/>
      <c r="T833" s="39">
        <v>197000</v>
      </c>
      <c r="U833" s="40" t="s">
        <v>1229</v>
      </c>
      <c r="V833" s="41"/>
      <c r="W833" s="42" t="str">
        <f ca="1">IFERROR(__xludf.DUMMYFUNCTION("""COMPUTED_VALUE"""),"Kiara trans")</f>
        <v>Kiara trans</v>
      </c>
      <c r="X833" s="42" t="str">
        <f ca="1"/>
        <v>ON-Kiara trans-00011900+5-6282266469686</v>
      </c>
      <c r="Y833" s="40" t="s">
        <v>62</v>
      </c>
      <c r="Z833" s="40" t="s">
        <v>1880</v>
      </c>
      <c r="AA833" s="23" t="str">
        <v>https://wa.me/6282266469686</v>
      </c>
      <c r="AB833" s="28" t="s">
        <v>5050</v>
      </c>
      <c r="AC833" s="28"/>
      <c r="AD833" s="28" t="s">
        <v>690</v>
      </c>
      <c r="AE833" s="28"/>
      <c r="AF833" s="29">
        <v>45909</v>
      </c>
      <c r="AG833" s="29"/>
    </row>
    <row r="834" spans="1:33" ht="15.75" customHeight="1">
      <c r="A834" s="32" t="s">
        <v>196</v>
      </c>
      <c r="B834" s="33">
        <v>845</v>
      </c>
      <c r="C834" s="34" t="s">
        <v>5051</v>
      </c>
      <c r="D834" s="35">
        <v>45902.400039085653</v>
      </c>
      <c r="E834" s="43">
        <v>45902</v>
      </c>
      <c r="F834" s="32" t="s">
        <v>5052</v>
      </c>
      <c r="G834" s="32" t="s">
        <v>5053</v>
      </c>
      <c r="H834" s="32" t="s">
        <v>66</v>
      </c>
      <c r="I834" s="36" t="s">
        <v>5054</v>
      </c>
      <c r="J834" s="52"/>
      <c r="K834" s="32" t="s">
        <v>5055</v>
      </c>
      <c r="L834" s="32" t="s">
        <v>92</v>
      </c>
      <c r="M834" s="32" t="s">
        <v>2032</v>
      </c>
      <c r="N834" s="33">
        <v>5</v>
      </c>
      <c r="O834" s="35"/>
      <c r="P834" s="35"/>
      <c r="Q834" s="37"/>
      <c r="R834" s="38"/>
      <c r="S834" s="33"/>
      <c r="T834" s="39">
        <v>197000</v>
      </c>
      <c r="U834" s="40" t="s">
        <v>61</v>
      </c>
      <c r="V834" s="41"/>
      <c r="W834" s="42" t="str">
        <f ca="1">IFERROR(__xludf.DUMMYFUNCTION("""COMPUTED_VALUE"""),"Pondok Kayu")</f>
        <v>Pondok Kayu</v>
      </c>
      <c r="X834" s="42" t="str">
        <f ca="1"/>
        <v>ON-Pondok Kayu-00011900+5-628886255082</v>
      </c>
      <c r="Y834" s="40" t="s">
        <v>293</v>
      </c>
      <c r="Z834" s="40" t="s">
        <v>1057</v>
      </c>
      <c r="AA834" s="23" t="str">
        <v>https://wa.me/628886255082</v>
      </c>
      <c r="AB834" s="28" t="s">
        <v>5056</v>
      </c>
      <c r="AC834" s="28"/>
      <c r="AD834" s="28" t="s">
        <v>690</v>
      </c>
      <c r="AE834" s="28"/>
      <c r="AF834" s="29">
        <v>45905</v>
      </c>
      <c r="AG834" s="29"/>
    </row>
    <row r="835" spans="1:33" ht="15.75" customHeight="1">
      <c r="A835" s="32" t="s">
        <v>196</v>
      </c>
      <c r="B835" s="33">
        <v>846</v>
      </c>
      <c r="C835" s="34" t="s">
        <v>5057</v>
      </c>
      <c r="D835" s="35">
        <v>45902.402772928239</v>
      </c>
      <c r="E835" s="43">
        <v>45902</v>
      </c>
      <c r="F835" s="32" t="s">
        <v>5058</v>
      </c>
      <c r="G835" s="32" t="s">
        <v>5059</v>
      </c>
      <c r="H835" s="32" t="s">
        <v>1451</v>
      </c>
      <c r="I835" s="36" t="s">
        <v>5060</v>
      </c>
      <c r="J835" s="52"/>
      <c r="K835" s="32" t="s">
        <v>5061</v>
      </c>
      <c r="L835" s="32" t="s">
        <v>2133</v>
      </c>
      <c r="M835" s="32" t="s">
        <v>2024</v>
      </c>
      <c r="N835" s="33">
        <v>5</v>
      </c>
      <c r="O835" s="35"/>
      <c r="P835" s="35"/>
      <c r="Q835" s="37"/>
      <c r="R835" s="38"/>
      <c r="S835" s="33"/>
      <c r="T835" s="39">
        <v>197000</v>
      </c>
      <c r="U835" s="40" t="s">
        <v>61</v>
      </c>
      <c r="V835" s="41"/>
      <c r="W835" s="42" t="str">
        <f ca="1">IFERROR(__xludf.DUMMYFUNCTION("""COMPUTED_VALUE"""),"Rumah Terapi")</f>
        <v>Rumah Terapi</v>
      </c>
      <c r="X835" s="42" t="str">
        <f ca="1"/>
        <v>ON-Rumah Terapi-00011900+5-62895804080442</v>
      </c>
      <c r="Y835" s="40" t="s">
        <v>62</v>
      </c>
      <c r="Z835" s="40" t="s">
        <v>639</v>
      </c>
      <c r="AA835" s="23" t="str">
        <v>https://wa.me/62895804080442</v>
      </c>
      <c r="AB835" s="28" t="s">
        <v>5062</v>
      </c>
      <c r="AC835" s="28"/>
      <c r="AD835" s="28" t="s">
        <v>690</v>
      </c>
      <c r="AE835" s="28"/>
      <c r="AF835" s="29">
        <v>45905</v>
      </c>
      <c r="AG835" s="29"/>
    </row>
    <row r="836" spans="1:33" ht="15.75" customHeight="1">
      <c r="A836" s="32" t="s">
        <v>621</v>
      </c>
      <c r="B836" s="33">
        <v>847</v>
      </c>
      <c r="C836" s="34" t="s">
        <v>5063</v>
      </c>
      <c r="D836" s="35">
        <v>45902.405446226854</v>
      </c>
      <c r="E836" s="43">
        <v>45902</v>
      </c>
      <c r="F836" s="32" t="s">
        <v>5064</v>
      </c>
      <c r="G836" s="32" t="s">
        <v>5065</v>
      </c>
      <c r="H836" s="32" t="s">
        <v>5066</v>
      </c>
      <c r="I836" s="36" t="s">
        <v>5067</v>
      </c>
      <c r="J836" s="52"/>
      <c r="K836" s="32" t="s">
        <v>5068</v>
      </c>
      <c r="L836" s="32" t="s">
        <v>92</v>
      </c>
      <c r="M836" s="32" t="s">
        <v>92</v>
      </c>
      <c r="N836" s="33">
        <v>5</v>
      </c>
      <c r="O836" s="35"/>
      <c r="P836" s="35"/>
      <c r="Q836" s="37"/>
      <c r="R836" s="38"/>
      <c r="S836" s="33"/>
      <c r="T836" s="39">
        <v>100000</v>
      </c>
      <c r="U836" s="40" t="s">
        <v>1229</v>
      </c>
      <c r="V836" s="41"/>
      <c r="W836" s="42" t="str">
        <f ca="1">IFERROR(__xludf.DUMMYFUNCTION("""COMPUTED_VALUE"""),"Totok saraf")</f>
        <v>Totok saraf</v>
      </c>
      <c r="X836" s="42" t="str">
        <f ca="1"/>
        <v>ON-Totok saraf-00011900+5-6285341061917</v>
      </c>
      <c r="Y836" s="40"/>
      <c r="Z836" s="40"/>
      <c r="AA836" s="23" t="str">
        <v>https://wa.me/6285341061917</v>
      </c>
      <c r="AB836" s="28"/>
      <c r="AC836" s="28"/>
      <c r="AD836" s="28"/>
      <c r="AE836" s="28"/>
      <c r="AF836" s="29"/>
      <c r="AG836" s="29"/>
    </row>
    <row r="837" spans="1:33" ht="15.75" customHeight="1">
      <c r="A837" s="32" t="s">
        <v>196</v>
      </c>
      <c r="B837" s="33">
        <v>848</v>
      </c>
      <c r="C837" s="34" t="s">
        <v>5069</v>
      </c>
      <c r="D837" s="35">
        <v>45902.42803516204</v>
      </c>
      <c r="E837" s="43">
        <v>45902</v>
      </c>
      <c r="F837" s="32" t="s">
        <v>5070</v>
      </c>
      <c r="G837" s="32" t="s">
        <v>5071</v>
      </c>
      <c r="H837" s="32" t="s">
        <v>1571</v>
      </c>
      <c r="I837" s="36" t="s">
        <v>5072</v>
      </c>
      <c r="J837" s="52"/>
      <c r="K837" s="32" t="s">
        <v>5073</v>
      </c>
      <c r="L837" s="32" t="s">
        <v>92</v>
      </c>
      <c r="M837" s="32" t="s">
        <v>285</v>
      </c>
      <c r="N837" s="33">
        <v>5</v>
      </c>
      <c r="O837" s="35"/>
      <c r="P837" s="35"/>
      <c r="Q837" s="37"/>
      <c r="R837" s="38"/>
      <c r="S837" s="33"/>
      <c r="T837" s="39">
        <v>197000</v>
      </c>
      <c r="U837" s="40" t="s">
        <v>1229</v>
      </c>
      <c r="V837" s="41"/>
      <c r="W837" s="42" t="str">
        <f ca="1">IFERROR(__xludf.DUMMYFUNCTION("""COMPUTED_VALUE"""),"Rumah terapi")</f>
        <v>Rumah terapi</v>
      </c>
      <c r="X837" s="42" t="str">
        <f ca="1"/>
        <v>ON-Rumah terapi-00011900+5-6287838234518</v>
      </c>
      <c r="Y837" s="40" t="s">
        <v>62</v>
      </c>
      <c r="Z837" s="40" t="s">
        <v>639</v>
      </c>
      <c r="AA837" s="23" t="str">
        <v>https://wa.me/6287838234518</v>
      </c>
      <c r="AB837" s="28" t="s">
        <v>5074</v>
      </c>
      <c r="AC837" s="28"/>
      <c r="AD837" s="28" t="s">
        <v>690</v>
      </c>
      <c r="AE837" s="28"/>
      <c r="AF837" s="29">
        <v>45905</v>
      </c>
      <c r="AG837" s="29"/>
    </row>
    <row r="838" spans="1:33" ht="15.75" customHeight="1">
      <c r="A838" s="32" t="s">
        <v>196</v>
      </c>
      <c r="B838" s="33">
        <v>849</v>
      </c>
      <c r="C838" s="34" t="s">
        <v>5075</v>
      </c>
      <c r="D838" s="35">
        <v>45902.565641539353</v>
      </c>
      <c r="E838" s="43">
        <v>45902</v>
      </c>
      <c r="F838" s="32" t="s">
        <v>5076</v>
      </c>
      <c r="G838" s="32" t="s">
        <v>5077</v>
      </c>
      <c r="H838" s="32" t="s">
        <v>5078</v>
      </c>
      <c r="I838" s="36" t="s">
        <v>5079</v>
      </c>
      <c r="J838" s="52"/>
      <c r="K838" s="32" t="s">
        <v>5080</v>
      </c>
      <c r="L838" s="32" t="s">
        <v>5081</v>
      </c>
      <c r="M838" s="32" t="s">
        <v>249</v>
      </c>
      <c r="N838" s="33">
        <v>5</v>
      </c>
      <c r="O838" s="35">
        <v>45905</v>
      </c>
      <c r="P838" s="35">
        <v>45910</v>
      </c>
      <c r="Q838" s="37"/>
      <c r="R838" s="38"/>
      <c r="S838" s="33"/>
      <c r="T838" s="39">
        <v>197000</v>
      </c>
      <c r="U838" s="40" t="s">
        <v>61</v>
      </c>
      <c r="V838" s="41"/>
      <c r="W838" s="42" t="str">
        <f ca="1">IFERROR(__xludf.DUMMYFUNCTION("""COMPUTED_VALUE"""),"Faris.Clean")</f>
        <v>Faris.Clean</v>
      </c>
      <c r="X838" s="42" t="str">
        <f ca="1"/>
        <v>ON-Faris.Clean-00011900+5-6285741941594</v>
      </c>
      <c r="Y838" s="40" t="s">
        <v>293</v>
      </c>
      <c r="Z838" s="40" t="s">
        <v>1057</v>
      </c>
      <c r="AA838" s="23" t="str">
        <v>https://wa.me/6285741941594</v>
      </c>
      <c r="AB838" s="28" t="s">
        <v>5082</v>
      </c>
      <c r="AC838" s="28"/>
      <c r="AD838" s="28" t="s">
        <v>690</v>
      </c>
      <c r="AE838" s="28"/>
      <c r="AF838" s="29">
        <v>45905</v>
      </c>
      <c r="AG838" s="29"/>
    </row>
    <row r="839" spans="1:33" ht="15.75" customHeight="1">
      <c r="A839" s="32" t="s">
        <v>196</v>
      </c>
      <c r="B839" s="33">
        <v>850</v>
      </c>
      <c r="C839" s="34" t="s">
        <v>5083</v>
      </c>
      <c r="D839" s="35">
        <v>45902.597951018513</v>
      </c>
      <c r="E839" s="43">
        <v>45902</v>
      </c>
      <c r="F839" s="32" t="s">
        <v>5084</v>
      </c>
      <c r="G839" s="32" t="s">
        <v>5085</v>
      </c>
      <c r="H839" s="32" t="s">
        <v>5086</v>
      </c>
      <c r="I839" s="36" t="s">
        <v>5087</v>
      </c>
      <c r="J839" s="52"/>
      <c r="K839" s="32" t="s">
        <v>1024</v>
      </c>
      <c r="L839" s="32" t="s">
        <v>2039</v>
      </c>
      <c r="M839" s="32" t="s">
        <v>48</v>
      </c>
      <c r="N839" s="33">
        <v>5</v>
      </c>
      <c r="O839" s="35">
        <v>45905</v>
      </c>
      <c r="P839" s="35">
        <v>45910</v>
      </c>
      <c r="Q839" s="37"/>
      <c r="R839" s="38"/>
      <c r="S839" s="33"/>
      <c r="T839" s="39">
        <v>197000</v>
      </c>
      <c r="U839" s="40" t="s">
        <v>1229</v>
      </c>
      <c r="V839" s="41"/>
      <c r="W839" s="42" t="str">
        <f ca="1">IFERROR(__xludf.DUMMYFUNCTION("""COMPUTED_VALUE"""),"Ozay adventure")</f>
        <v>Ozay adventure</v>
      </c>
      <c r="X839" s="42" t="str">
        <f ca="1"/>
        <v>ON-Ozay adventure-00011900+5-6282229433259</v>
      </c>
      <c r="Y839" s="40" t="s">
        <v>62</v>
      </c>
      <c r="Z839" s="40" t="s">
        <v>1880</v>
      </c>
      <c r="AA839" s="23" t="str">
        <v>https://wa.me/6282229433259</v>
      </c>
      <c r="AB839" s="28" t="s">
        <v>5088</v>
      </c>
      <c r="AC839" s="28"/>
      <c r="AD839" s="28" t="s">
        <v>690</v>
      </c>
      <c r="AE839" s="28"/>
      <c r="AF839" s="29">
        <v>45905</v>
      </c>
      <c r="AG839" s="29"/>
    </row>
    <row r="840" spans="1:33" ht="15.75" customHeight="1">
      <c r="A840" s="32" t="s">
        <v>196</v>
      </c>
      <c r="B840" s="33">
        <v>852</v>
      </c>
      <c r="C840" s="34" t="s">
        <v>5089</v>
      </c>
      <c r="D840" s="35">
        <v>45902.64574821759</v>
      </c>
      <c r="E840" s="43">
        <v>45902</v>
      </c>
      <c r="F840" s="32" t="s">
        <v>5090</v>
      </c>
      <c r="G840" s="32" t="s">
        <v>5091</v>
      </c>
      <c r="H840" s="32" t="s">
        <v>2255</v>
      </c>
      <c r="I840" s="36" t="s">
        <v>5092</v>
      </c>
      <c r="J840" s="52"/>
      <c r="K840" s="32" t="s">
        <v>5093</v>
      </c>
      <c r="L840" s="32" t="s">
        <v>92</v>
      </c>
      <c r="M840" s="32" t="s">
        <v>60</v>
      </c>
      <c r="N840" s="33">
        <v>5</v>
      </c>
      <c r="O840" s="35"/>
      <c r="P840" s="35"/>
      <c r="Q840" s="37"/>
      <c r="R840" s="38"/>
      <c r="S840" s="33"/>
      <c r="T840" s="39">
        <v>197000</v>
      </c>
      <c r="U840" s="40" t="s">
        <v>1229</v>
      </c>
      <c r="V840" s="41"/>
      <c r="W840" s="42" t="str">
        <f ca="1">IFERROR(__xludf.DUMMYFUNCTION("""COMPUTED_VALUE"""),"Calvina Tour")</f>
        <v>Calvina Tour</v>
      </c>
      <c r="X840" s="42" t="str">
        <f ca="1"/>
        <v>ON-Calvina Tour-00011900+5-6282362576312</v>
      </c>
      <c r="Y840" s="40" t="s">
        <v>62</v>
      </c>
      <c r="Z840" s="40" t="s">
        <v>1880</v>
      </c>
      <c r="AA840" s="23" t="str">
        <v>https://wa.me/6282362576312</v>
      </c>
      <c r="AB840" s="28" t="s">
        <v>5094</v>
      </c>
      <c r="AC840" s="28"/>
      <c r="AD840" s="28" t="s">
        <v>690</v>
      </c>
      <c r="AE840" s="28"/>
      <c r="AF840" s="29">
        <v>45905</v>
      </c>
      <c r="AG840" s="29"/>
    </row>
    <row r="841" spans="1:33" ht="15.75" customHeight="1">
      <c r="A841" s="32" t="s">
        <v>196</v>
      </c>
      <c r="B841" s="33">
        <v>853</v>
      </c>
      <c r="C841" s="34" t="s">
        <v>5095</v>
      </c>
      <c r="D841" s="35">
        <v>45902.651969282408</v>
      </c>
      <c r="E841" s="43">
        <v>45902</v>
      </c>
      <c r="F841" s="32" t="s">
        <v>5096</v>
      </c>
      <c r="G841" s="32" t="s">
        <v>5097</v>
      </c>
      <c r="H841" s="32" t="s">
        <v>5098</v>
      </c>
      <c r="I841" s="36" t="s">
        <v>5099</v>
      </c>
      <c r="J841" s="52" t="s">
        <v>5100</v>
      </c>
      <c r="K841" s="32" t="s">
        <v>5101</v>
      </c>
      <c r="L841" s="32" t="s">
        <v>92</v>
      </c>
      <c r="M841" s="32" t="s">
        <v>285</v>
      </c>
      <c r="N841" s="33">
        <v>7</v>
      </c>
      <c r="O841" s="35"/>
      <c r="P841" s="35"/>
      <c r="Q841" s="37"/>
      <c r="R841" s="38"/>
      <c r="S841" s="33"/>
      <c r="T841" s="39">
        <v>297000</v>
      </c>
      <c r="U841" s="40" t="s">
        <v>1229</v>
      </c>
      <c r="V841" s="41"/>
      <c r="W841" s="42" t="str">
        <f ca="1">IFERROR(__xludf.DUMMYFUNCTION("""COMPUTED_VALUE"""),"Reflexoligi dan")</f>
        <v>Reflexoligi dan</v>
      </c>
      <c r="X841" s="42" t="str">
        <f ca="1"/>
        <v>ON-Reflexoligi dan-00011900+7-62817308228</v>
      </c>
      <c r="Y841" s="40" t="s">
        <v>62</v>
      </c>
      <c r="Z841" s="40" t="s">
        <v>639</v>
      </c>
      <c r="AA841" s="23" t="str">
        <v>https://wa.me/62817308228</v>
      </c>
      <c r="AB841" s="28" t="s">
        <v>5102</v>
      </c>
      <c r="AC841" s="28"/>
      <c r="AD841" s="28" t="s">
        <v>690</v>
      </c>
      <c r="AE841" s="28"/>
      <c r="AF841" s="29">
        <v>45905</v>
      </c>
      <c r="AG841" s="29"/>
    </row>
    <row r="842" spans="1:33" ht="15.75" customHeight="1">
      <c r="A842" s="32" t="s">
        <v>196</v>
      </c>
      <c r="B842" s="33">
        <v>854</v>
      </c>
      <c r="C842" s="34" t="s">
        <v>5103</v>
      </c>
      <c r="D842" s="35">
        <v>45902.711808842592</v>
      </c>
      <c r="E842" s="43">
        <v>45902</v>
      </c>
      <c r="F842" s="32" t="s">
        <v>5104</v>
      </c>
      <c r="G842" s="32" t="s">
        <v>5105</v>
      </c>
      <c r="H842" s="32" t="s">
        <v>5106</v>
      </c>
      <c r="I842" s="36" t="s">
        <v>5107</v>
      </c>
      <c r="J842" s="52" t="s">
        <v>5108</v>
      </c>
      <c r="K842" s="32" t="s">
        <v>5109</v>
      </c>
      <c r="L842" s="32" t="s">
        <v>5110</v>
      </c>
      <c r="M842" s="32" t="s">
        <v>726</v>
      </c>
      <c r="N842" s="33">
        <v>10</v>
      </c>
      <c r="O842" s="35"/>
      <c r="P842" s="35"/>
      <c r="Q842" s="37"/>
      <c r="R842" s="38"/>
      <c r="S842" s="33"/>
      <c r="T842" s="39">
        <v>375000</v>
      </c>
      <c r="U842" s="40" t="s">
        <v>1774</v>
      </c>
      <c r="V842" s="41"/>
      <c r="W842" s="42" t="str">
        <f ca="1">IFERROR(__xludf.DUMMYFUNCTION("""COMPUTED_VALUE"""),"Rapih Plafon")</f>
        <v>Rapih Plafon</v>
      </c>
      <c r="X842" s="42" t="str">
        <f ca="1"/>
        <v>ON-Rapih Plafon-00011900+10-6281323207611</v>
      </c>
      <c r="Y842" s="40" t="s">
        <v>293</v>
      </c>
      <c r="Z842" s="40" t="s">
        <v>1057</v>
      </c>
      <c r="AA842" s="23" t="str">
        <v>https://wa.me/6281323207611</v>
      </c>
      <c r="AB842" s="28" t="s">
        <v>5111</v>
      </c>
      <c r="AC842" s="28"/>
      <c r="AD842" s="28" t="s">
        <v>690</v>
      </c>
      <c r="AE842" s="28"/>
      <c r="AF842" s="29">
        <v>45906</v>
      </c>
      <c r="AG842" s="29"/>
    </row>
    <row r="843" spans="1:33" ht="15.75" customHeight="1">
      <c r="A843" s="32" t="s">
        <v>52</v>
      </c>
      <c r="B843" s="33">
        <v>855</v>
      </c>
      <c r="C843" s="34" t="s">
        <v>5112</v>
      </c>
      <c r="D843" s="35">
        <v>45902.722798506948</v>
      </c>
      <c r="E843" s="43">
        <v>45902</v>
      </c>
      <c r="F843" s="32" t="s">
        <v>2356</v>
      </c>
      <c r="G843" s="32" t="s">
        <v>2357</v>
      </c>
      <c r="H843" s="32" t="s">
        <v>2358</v>
      </c>
      <c r="I843" s="36" t="s">
        <v>2359</v>
      </c>
      <c r="J843" s="52"/>
      <c r="K843" s="32" t="s">
        <v>5113</v>
      </c>
      <c r="L843" s="32" t="s">
        <v>1542</v>
      </c>
      <c r="M843" s="32" t="s">
        <v>60</v>
      </c>
      <c r="N843" s="33">
        <v>7</v>
      </c>
      <c r="O843" s="35"/>
      <c r="P843" s="35"/>
      <c r="Q843" s="37"/>
      <c r="R843" s="38"/>
      <c r="S843" s="33"/>
      <c r="T843" s="39">
        <v>297000</v>
      </c>
      <c r="U843" s="40" t="s">
        <v>61</v>
      </c>
      <c r="V843" s="41"/>
      <c r="W843" s="42" t="str">
        <f ca="1">IFERROR(__xludf.DUMMYFUNCTION("""COMPUTED_VALUE"""),"Suzuki Mamuju")</f>
        <v>Suzuki Mamuju</v>
      </c>
      <c r="X843" s="42" t="str">
        <f ca="1"/>
        <v>ON-Suzuki Mamuju-00011900+7-6281221788919</v>
      </c>
      <c r="Y843" s="40"/>
      <c r="Z843" s="40"/>
      <c r="AA843" s="23" t="str">
        <v>https://wa.me/6281221788919</v>
      </c>
      <c r="AB843" s="28"/>
      <c r="AC843" s="28"/>
      <c r="AD843" s="28"/>
      <c r="AE843" s="28"/>
      <c r="AF843" s="29"/>
      <c r="AG843" s="29"/>
    </row>
    <row r="844" spans="1:33" ht="15.75" customHeight="1">
      <c r="A844" s="32" t="s">
        <v>196</v>
      </c>
      <c r="B844" s="33">
        <v>856</v>
      </c>
      <c r="C844" s="34" t="s">
        <v>5114</v>
      </c>
      <c r="D844" s="35">
        <v>45902.793415127315</v>
      </c>
      <c r="E844" s="43">
        <v>45902</v>
      </c>
      <c r="F844" s="32" t="s">
        <v>5115</v>
      </c>
      <c r="G844" s="32" t="s">
        <v>5116</v>
      </c>
      <c r="H844" s="32" t="s">
        <v>5117</v>
      </c>
      <c r="I844" s="36" t="s">
        <v>5118</v>
      </c>
      <c r="J844" s="52"/>
      <c r="K844" s="32" t="s">
        <v>5119</v>
      </c>
      <c r="L844" s="32" t="s">
        <v>2500</v>
      </c>
      <c r="M844" s="32" t="s">
        <v>92</v>
      </c>
      <c r="N844" s="33">
        <v>5</v>
      </c>
      <c r="O844" s="35"/>
      <c r="P844" s="35"/>
      <c r="Q844" s="37"/>
      <c r="R844" s="38"/>
      <c r="S844" s="33"/>
      <c r="T844" s="39">
        <v>197000</v>
      </c>
      <c r="U844" s="40" t="s">
        <v>1229</v>
      </c>
      <c r="V844" s="41"/>
      <c r="W844" s="42" t="str">
        <f ca="1">IFERROR(__xludf.DUMMYFUNCTION("""COMPUTED_VALUE"""),"Disolusi Therapy")</f>
        <v>Disolusi Therapy</v>
      </c>
      <c r="X844" s="42" t="str">
        <f ca="1"/>
        <v>ON-Disolusi Therapy-00011900+5-6285786318640</v>
      </c>
      <c r="Y844" s="40" t="s">
        <v>62</v>
      </c>
      <c r="Z844" s="40" t="s">
        <v>639</v>
      </c>
      <c r="AA844" s="23" t="str">
        <v>https://wa.me/6285786318640</v>
      </c>
      <c r="AB844" s="28" t="s">
        <v>5120</v>
      </c>
      <c r="AC844" s="28"/>
      <c r="AD844" s="28" t="s">
        <v>690</v>
      </c>
      <c r="AE844" s="28"/>
      <c r="AF844" s="29">
        <v>45905</v>
      </c>
      <c r="AG844" s="29"/>
    </row>
    <row r="845" spans="1:33" ht="15.75" customHeight="1">
      <c r="A845" s="32" t="s">
        <v>196</v>
      </c>
      <c r="B845" s="33">
        <v>857</v>
      </c>
      <c r="C845" s="34" t="s">
        <v>5121</v>
      </c>
      <c r="D845" s="35">
        <v>45902.817961435183</v>
      </c>
      <c r="E845" s="43">
        <v>45902</v>
      </c>
      <c r="F845" s="32" t="s">
        <v>5122</v>
      </c>
      <c r="G845" s="32" t="s">
        <v>5123</v>
      </c>
      <c r="H845" s="32" t="s">
        <v>5124</v>
      </c>
      <c r="I845" s="36" t="s">
        <v>5125</v>
      </c>
      <c r="J845" s="52"/>
      <c r="K845" s="32" t="s">
        <v>5126</v>
      </c>
      <c r="L845" s="32" t="s">
        <v>940</v>
      </c>
      <c r="M845" s="32" t="s">
        <v>60</v>
      </c>
      <c r="N845" s="33">
        <v>5</v>
      </c>
      <c r="O845" s="35"/>
      <c r="P845" s="35"/>
      <c r="Q845" s="37"/>
      <c r="R845" s="38"/>
      <c r="S845" s="33"/>
      <c r="T845" s="39">
        <v>197000</v>
      </c>
      <c r="U845" s="40" t="s">
        <v>61</v>
      </c>
      <c r="V845" s="41"/>
      <c r="W845" s="42" t="str">
        <f ca="1">IFERROR(__xludf.DUMMYFUNCTION("""COMPUTED_VALUE"""),"Hilal Therapys")</f>
        <v>Hilal Therapys</v>
      </c>
      <c r="X845" s="42" t="str">
        <f ca="1"/>
        <v>ON-Hilal Therapys-00011900+5-6287849856444</v>
      </c>
      <c r="Y845" s="40" t="s">
        <v>62</v>
      </c>
      <c r="Z845" s="40" t="s">
        <v>639</v>
      </c>
      <c r="AA845" s="23" t="str">
        <v>https://wa.me/6287849856444</v>
      </c>
      <c r="AB845" s="28" t="s">
        <v>5127</v>
      </c>
      <c r="AC845" s="28"/>
      <c r="AD845" s="28" t="s">
        <v>690</v>
      </c>
      <c r="AE845" s="28"/>
      <c r="AF845" s="29">
        <v>45905</v>
      </c>
      <c r="AG845" s="29"/>
    </row>
    <row r="846" spans="1:33" ht="15.75" customHeight="1">
      <c r="A846" s="32" t="s">
        <v>196</v>
      </c>
      <c r="B846" s="33">
        <v>858</v>
      </c>
      <c r="C846" s="34" t="s">
        <v>5128</v>
      </c>
      <c r="D846" s="35">
        <v>45902.843669548616</v>
      </c>
      <c r="E846" s="43">
        <v>45902</v>
      </c>
      <c r="F846" s="32" t="s">
        <v>5064</v>
      </c>
      <c r="G846" s="32" t="s">
        <v>5065</v>
      </c>
      <c r="H846" s="32" t="s">
        <v>5066</v>
      </c>
      <c r="I846" s="36" t="s">
        <v>5067</v>
      </c>
      <c r="J846" s="52"/>
      <c r="K846" s="32" t="s">
        <v>5068</v>
      </c>
      <c r="L846" s="32" t="s">
        <v>92</v>
      </c>
      <c r="M846" s="32" t="s">
        <v>92</v>
      </c>
      <c r="N846" s="33">
        <v>5</v>
      </c>
      <c r="O846" s="35">
        <v>45936</v>
      </c>
      <c r="P846" s="35">
        <v>45940</v>
      </c>
      <c r="Q846" s="37"/>
      <c r="R846" s="38"/>
      <c r="S846" s="33"/>
      <c r="T846" s="39">
        <v>197000</v>
      </c>
      <c r="U846" s="40" t="s">
        <v>1229</v>
      </c>
      <c r="V846" s="41"/>
      <c r="W846" s="42" t="str">
        <f ca="1">IFERROR(__xludf.DUMMYFUNCTION("""COMPUTED_VALUE"""),"Totok saraf")</f>
        <v>Totok saraf</v>
      </c>
      <c r="X846" s="42" t="str">
        <f ca="1"/>
        <v>ON-Totok saraf-00011900+5-6285341061917</v>
      </c>
      <c r="Y846" s="40" t="s">
        <v>62</v>
      </c>
      <c r="Z846" s="40" t="s">
        <v>639</v>
      </c>
      <c r="AA846" s="23" t="str">
        <v>https://wa.me/6285341061917</v>
      </c>
      <c r="AB846" s="28" t="s">
        <v>5129</v>
      </c>
      <c r="AC846" s="28"/>
      <c r="AD846" s="28" t="s">
        <v>690</v>
      </c>
      <c r="AE846" s="28"/>
      <c r="AF846" s="29"/>
      <c r="AG846" s="29"/>
    </row>
    <row r="847" spans="1:33" ht="15.75" customHeight="1">
      <c r="A847" s="32" t="s">
        <v>196</v>
      </c>
      <c r="B847" s="33">
        <v>859</v>
      </c>
      <c r="C847" s="34" t="s">
        <v>5130</v>
      </c>
      <c r="D847" s="35">
        <v>45902.891018993054</v>
      </c>
      <c r="E847" s="43">
        <v>45902</v>
      </c>
      <c r="F847" s="32" t="s">
        <v>5131</v>
      </c>
      <c r="G847" s="32" t="s">
        <v>5132</v>
      </c>
      <c r="H847" s="32" t="s">
        <v>5133</v>
      </c>
      <c r="I847" s="36" t="s">
        <v>5134</v>
      </c>
      <c r="J847" s="52"/>
      <c r="K847" s="32" t="s">
        <v>5135</v>
      </c>
      <c r="L847" s="32" t="s">
        <v>2500</v>
      </c>
      <c r="M847" s="32" t="s">
        <v>285</v>
      </c>
      <c r="N847" s="33">
        <v>5</v>
      </c>
      <c r="O847" s="35"/>
      <c r="P847" s="35"/>
      <c r="Q847" s="37"/>
      <c r="R847" s="38"/>
      <c r="S847" s="33"/>
      <c r="T847" s="39">
        <v>197000</v>
      </c>
      <c r="U847" s="40" t="s">
        <v>1229</v>
      </c>
      <c r="V847" s="41"/>
      <c r="W847" s="42" t="str">
        <f ca="1">IFERROR(__xludf.DUMMYFUNCTION("""COMPUTED_VALUE"""),"Terapi sehat")</f>
        <v>Terapi sehat</v>
      </c>
      <c r="X847" s="42" t="str">
        <f ca="1"/>
        <v>ON-Terapi sehat-00011900+5-6285384956538</v>
      </c>
      <c r="Y847" s="40" t="s">
        <v>62</v>
      </c>
      <c r="Z847" s="40" t="s">
        <v>639</v>
      </c>
      <c r="AA847" s="23" t="str">
        <v>https://wa.me/6285384956538</v>
      </c>
      <c r="AB847" s="28" t="s">
        <v>5136</v>
      </c>
      <c r="AC847" s="28"/>
      <c r="AD847" s="28" t="s">
        <v>690</v>
      </c>
      <c r="AE847" s="28"/>
      <c r="AF847" s="29">
        <v>45905</v>
      </c>
      <c r="AG847" s="29"/>
    </row>
    <row r="848" spans="1:33" ht="15.75" customHeight="1">
      <c r="A848" s="32" t="s">
        <v>52</v>
      </c>
      <c r="B848" s="33">
        <v>860</v>
      </c>
      <c r="C848" s="34" t="s">
        <v>5137</v>
      </c>
      <c r="D848" s="35">
        <v>45902.922990775463</v>
      </c>
      <c r="E848" s="43">
        <v>45902</v>
      </c>
      <c r="F848" s="32" t="s">
        <v>3968</v>
      </c>
      <c r="G848" s="32" t="s">
        <v>3969</v>
      </c>
      <c r="H848" s="32" t="s">
        <v>2671</v>
      </c>
      <c r="I848" s="36" t="s">
        <v>3970</v>
      </c>
      <c r="J848" s="52"/>
      <c r="K848" s="32" t="s">
        <v>3971</v>
      </c>
      <c r="L848" s="32" t="s">
        <v>1008</v>
      </c>
      <c r="M848" s="32" t="s">
        <v>3687</v>
      </c>
      <c r="N848" s="33">
        <v>5</v>
      </c>
      <c r="O848" s="35"/>
      <c r="P848" s="35"/>
      <c r="Q848" s="37"/>
      <c r="R848" s="38"/>
      <c r="S848" s="33"/>
      <c r="T848" s="39">
        <v>197000</v>
      </c>
      <c r="U848" s="40" t="s">
        <v>1229</v>
      </c>
      <c r="V848" s="41"/>
      <c r="W848" s="42" t="str">
        <f ca="1">IFERROR(__xludf.DUMMYFUNCTION("""COMPUTED_VALUE"""),"Madu Rabbani")</f>
        <v>Madu Rabbani</v>
      </c>
      <c r="X848" s="42" t="str">
        <f ca="1"/>
        <v>ON-Madu Rabbani-00011900+5-62881010328220</v>
      </c>
      <c r="Y848" s="40"/>
      <c r="Z848" s="40"/>
      <c r="AA848" s="23" t="str">
        <v>https://wa.me/62881010328220</v>
      </c>
      <c r="AB848" s="28"/>
      <c r="AC848" s="28"/>
      <c r="AD848" s="28"/>
      <c r="AE848" s="28"/>
      <c r="AF848" s="29"/>
      <c r="AG848" s="29"/>
    </row>
    <row r="849" spans="1:33" ht="15.75" customHeight="1">
      <c r="A849" s="32" t="s">
        <v>52</v>
      </c>
      <c r="B849" s="33">
        <v>861</v>
      </c>
      <c r="C849" s="34" t="s">
        <v>5138</v>
      </c>
      <c r="D849" s="35">
        <v>45903.222498900461</v>
      </c>
      <c r="E849" s="43">
        <v>45902</v>
      </c>
      <c r="F849" s="32" t="s">
        <v>3483</v>
      </c>
      <c r="G849" s="32" t="s">
        <v>4491</v>
      </c>
      <c r="H849" s="32" t="s">
        <v>3485</v>
      </c>
      <c r="I849" s="36" t="s">
        <v>3486</v>
      </c>
      <c r="J849" s="52"/>
      <c r="K849" s="32" t="s">
        <v>570</v>
      </c>
      <c r="L849" s="32" t="s">
        <v>2468</v>
      </c>
      <c r="M849" s="32" t="s">
        <v>60</v>
      </c>
      <c r="N849" s="33">
        <v>5</v>
      </c>
      <c r="O849" s="35"/>
      <c r="P849" s="35"/>
      <c r="Q849" s="37"/>
      <c r="R849" s="38"/>
      <c r="S849" s="33"/>
      <c r="T849" s="39">
        <v>197000</v>
      </c>
      <c r="U849" s="40" t="s">
        <v>61</v>
      </c>
      <c r="V849" s="41"/>
      <c r="W849" s="42" t="str">
        <f ca="1">IFERROR(__xludf.DUMMYFUNCTION("""COMPUTED_VALUE"""),"Spectrum Holiday")</f>
        <v>Spectrum Holiday</v>
      </c>
      <c r="X849" s="42" t="str">
        <f ca="1"/>
        <v>ON-Spectrum Holiday-00011900+5-6285946504405</v>
      </c>
      <c r="Y849" s="40"/>
      <c r="Z849" s="40"/>
      <c r="AA849" s="23" t="str">
        <v>https://wa.me/6285946504405</v>
      </c>
      <c r="AB849" s="28"/>
      <c r="AC849" s="28"/>
      <c r="AD849" s="28"/>
      <c r="AE849" s="28"/>
      <c r="AF849" s="29"/>
      <c r="AG849" s="29"/>
    </row>
    <row r="850" spans="1:33" ht="15.75" customHeight="1">
      <c r="A850" s="32" t="s">
        <v>52</v>
      </c>
      <c r="B850" s="33">
        <v>862</v>
      </c>
      <c r="C850" s="34" t="s">
        <v>5139</v>
      </c>
      <c r="D850" s="35">
        <v>45903.28702256945</v>
      </c>
      <c r="E850" s="43">
        <v>45903</v>
      </c>
      <c r="F850" s="32" t="s">
        <v>1735</v>
      </c>
      <c r="G850" s="32" t="s">
        <v>3643</v>
      </c>
      <c r="H850" s="32" t="s">
        <v>3644</v>
      </c>
      <c r="I850" s="36" t="s">
        <v>3645</v>
      </c>
      <c r="J850" s="52"/>
      <c r="K850" s="32" t="s">
        <v>3646</v>
      </c>
      <c r="L850" s="32" t="s">
        <v>1957</v>
      </c>
      <c r="M850" s="32" t="s">
        <v>285</v>
      </c>
      <c r="N850" s="33">
        <v>10</v>
      </c>
      <c r="O850" s="35"/>
      <c r="P850" s="35"/>
      <c r="Q850" s="37"/>
      <c r="R850" s="38"/>
      <c r="S850" s="33"/>
      <c r="T850" s="39">
        <v>375000</v>
      </c>
      <c r="U850" s="40" t="s">
        <v>1229</v>
      </c>
      <c r="V850" s="41"/>
      <c r="W850" s="42" t="str">
        <f ca="1">IFERROR(__xludf.DUMMYFUNCTION("""COMPUTED_VALUE"""),"Pengobatan alternatif")</f>
        <v>Pengobatan alternatif</v>
      </c>
      <c r="X850" s="42" t="str">
        <f ca="1"/>
        <v>ON-Pengobatan alternatif-00011900+10-6285338373761</v>
      </c>
      <c r="Y850" s="40"/>
      <c r="Z850" s="40"/>
      <c r="AA850" s="23" t="str">
        <v>https://wa.me/6285338373761</v>
      </c>
      <c r="AB850" s="28"/>
      <c r="AC850" s="28"/>
      <c r="AD850" s="28"/>
      <c r="AE850" s="28"/>
      <c r="AF850" s="29"/>
      <c r="AG850" s="29"/>
    </row>
    <row r="851" spans="1:33" ht="15.75" customHeight="1">
      <c r="A851" s="32" t="s">
        <v>196</v>
      </c>
      <c r="B851" s="33">
        <v>862</v>
      </c>
      <c r="C851" s="34" t="s">
        <v>5139</v>
      </c>
      <c r="D851" s="35">
        <v>45903.334620567126</v>
      </c>
      <c r="E851" s="43">
        <v>45903</v>
      </c>
      <c r="F851" s="32" t="s">
        <v>5140</v>
      </c>
      <c r="G851" s="32" t="s">
        <v>5141</v>
      </c>
      <c r="H851" s="32" t="s">
        <v>5142</v>
      </c>
      <c r="I851" s="36" t="s">
        <v>5143</v>
      </c>
      <c r="J851" s="52"/>
      <c r="K851" s="32" t="s">
        <v>5144</v>
      </c>
      <c r="L851" s="32" t="s">
        <v>759</v>
      </c>
      <c r="M851" s="32" t="s">
        <v>249</v>
      </c>
      <c r="N851" s="33">
        <v>5</v>
      </c>
      <c r="O851" s="35">
        <v>45907</v>
      </c>
      <c r="P851" s="35">
        <v>45912</v>
      </c>
      <c r="Q851" s="37"/>
      <c r="R851" s="38"/>
      <c r="S851" s="33"/>
      <c r="T851" s="39">
        <v>197000</v>
      </c>
      <c r="U851" s="40" t="s">
        <v>1774</v>
      </c>
      <c r="V851" s="41"/>
      <c r="W851" s="42" t="str">
        <f ca="1">IFERROR(__xludf.DUMMYFUNCTION("""COMPUTED_VALUE"""),"Fawaz Thnik")</f>
        <v>Fawaz Thnik</v>
      </c>
      <c r="X851" s="42" t="str">
        <f ca="1"/>
        <v>ON-Fawaz Thnik-00011900+5-6287871214170</v>
      </c>
      <c r="Y851" s="40" t="s">
        <v>293</v>
      </c>
      <c r="Z851" s="40" t="s">
        <v>1057</v>
      </c>
      <c r="AA851" s="23" t="str">
        <v>https://wa.me/6287871214170</v>
      </c>
      <c r="AB851" s="28" t="s">
        <v>5145</v>
      </c>
      <c r="AC851" s="28"/>
      <c r="AD851" s="28" t="s">
        <v>690</v>
      </c>
      <c r="AE851" s="28"/>
      <c r="AF851" s="29">
        <v>45907</v>
      </c>
      <c r="AG851" s="29"/>
    </row>
    <row r="852" spans="1:33" ht="15.75" customHeight="1">
      <c r="A852" s="32" t="s">
        <v>621</v>
      </c>
      <c r="B852" s="33">
        <v>863</v>
      </c>
      <c r="C852" s="34" t="s">
        <v>5146</v>
      </c>
      <c r="D852" s="35">
        <v>45903.442658969907</v>
      </c>
      <c r="E852" s="43">
        <v>45902</v>
      </c>
      <c r="F852" s="32" t="s">
        <v>5147</v>
      </c>
      <c r="G852" s="32" t="s">
        <v>5148</v>
      </c>
      <c r="H852" s="32" t="s">
        <v>5149</v>
      </c>
      <c r="I852" s="36" t="s">
        <v>5150</v>
      </c>
      <c r="J852" s="52"/>
      <c r="K852" s="32" t="s">
        <v>5151</v>
      </c>
      <c r="L852" s="32" t="s">
        <v>85</v>
      </c>
      <c r="M852" s="32" t="s">
        <v>205</v>
      </c>
      <c r="N852" s="33">
        <v>5</v>
      </c>
      <c r="O852" s="35"/>
      <c r="P852" s="35"/>
      <c r="Q852" s="37"/>
      <c r="R852" s="38"/>
      <c r="S852" s="33"/>
      <c r="T852" s="39">
        <v>197000</v>
      </c>
      <c r="U852" s="40" t="s">
        <v>61</v>
      </c>
      <c r="V852" s="41"/>
      <c r="W852" s="42" t="str">
        <f ca="1">IFERROR(__xludf.DUMMYFUNCTION("""COMPUTED_VALUE"""),"Jasa Desain")</f>
        <v>Jasa Desain</v>
      </c>
      <c r="X852" s="42" t="str">
        <f ca="1"/>
        <v>ON-Jasa Desain-00011900+5-6281296182529</v>
      </c>
      <c r="Y852" s="40"/>
      <c r="Z852" s="40"/>
      <c r="AA852" s="23" t="str">
        <v>https://wa.me/6281296182529</v>
      </c>
      <c r="AB852" s="28"/>
      <c r="AC852" s="28"/>
      <c r="AD852" s="28"/>
      <c r="AE852" s="28"/>
      <c r="AF852" s="29"/>
      <c r="AG852" s="29"/>
    </row>
    <row r="853" spans="1:33" ht="15.75" customHeight="1">
      <c r="A853" s="32" t="s">
        <v>196</v>
      </c>
      <c r="B853" s="33">
        <v>864</v>
      </c>
      <c r="C853" s="34" t="s">
        <v>5152</v>
      </c>
      <c r="D853" s="35">
        <v>45903.46498420139</v>
      </c>
      <c r="E853" s="43">
        <v>45903</v>
      </c>
      <c r="F853" s="32" t="s">
        <v>5153</v>
      </c>
      <c r="G853" s="32" t="s">
        <v>5154</v>
      </c>
      <c r="H853" s="32" t="s">
        <v>5155</v>
      </c>
      <c r="I853" s="36" t="s">
        <v>5156</v>
      </c>
      <c r="J853" s="52"/>
      <c r="K853" s="32" t="s">
        <v>374</v>
      </c>
      <c r="L853" s="32" t="s">
        <v>1643</v>
      </c>
      <c r="M853" s="32" t="s">
        <v>60</v>
      </c>
      <c r="N853" s="33">
        <v>30</v>
      </c>
      <c r="O853" s="35"/>
      <c r="P853" s="35"/>
      <c r="Q853" s="37"/>
      <c r="R853" s="38"/>
      <c r="S853" s="33"/>
      <c r="T853" s="39">
        <v>1000000</v>
      </c>
      <c r="U853" s="40" t="s">
        <v>61</v>
      </c>
      <c r="V853" s="41"/>
      <c r="W853" s="42" t="str">
        <f ca="1">IFERROR(__xludf.DUMMYFUNCTION("""COMPUTED_VALUE"""),"PT Alfa")</f>
        <v>PT Alfa</v>
      </c>
      <c r="X853" s="42" t="str">
        <f ca="1"/>
        <v>ON-PT Alfa-00011900+30-6285921481643</v>
      </c>
      <c r="Y853" s="40" t="s">
        <v>62</v>
      </c>
      <c r="Z853" s="40" t="s">
        <v>1465</v>
      </c>
      <c r="AA853" s="23" t="str">
        <v>https://wa.me/6285921481643</v>
      </c>
      <c r="AB853" s="28" t="s">
        <v>5157</v>
      </c>
      <c r="AC853" s="28"/>
      <c r="AD853" s="28" t="s">
        <v>690</v>
      </c>
      <c r="AE853" s="28"/>
      <c r="AF853" s="29">
        <v>45906</v>
      </c>
      <c r="AG853" s="29"/>
    </row>
    <row r="854" spans="1:33" ht="15.75" customHeight="1">
      <c r="A854" s="32" t="s">
        <v>52</v>
      </c>
      <c r="B854" s="33">
        <v>865</v>
      </c>
      <c r="C854" s="34" t="s">
        <v>5158</v>
      </c>
      <c r="D854" s="43">
        <v>46054</v>
      </c>
      <c r="E854" s="43">
        <v>45903</v>
      </c>
      <c r="F854" s="32" t="s">
        <v>5159</v>
      </c>
      <c r="G854" s="32" t="s">
        <v>5160</v>
      </c>
      <c r="H854" s="32" t="s">
        <v>5161</v>
      </c>
      <c r="I854" s="36" t="s">
        <v>5162</v>
      </c>
      <c r="J854" s="52"/>
      <c r="K854" s="32" t="s">
        <v>5163</v>
      </c>
      <c r="L854" s="32" t="s">
        <v>2468</v>
      </c>
      <c r="M854" s="32" t="s">
        <v>60</v>
      </c>
      <c r="N854" s="33">
        <v>20</v>
      </c>
      <c r="O854" s="35"/>
      <c r="P854" s="35"/>
      <c r="Q854" s="37"/>
      <c r="R854" s="38">
        <v>-1003470351325</v>
      </c>
      <c r="S854" s="33"/>
      <c r="T854" s="39">
        <v>700000</v>
      </c>
      <c r="U854" s="40" t="s">
        <v>61</v>
      </c>
      <c r="V854" s="47">
        <v>46028.920937951392</v>
      </c>
      <c r="W854" s="42" t="str">
        <f ca="1">IFERROR(__xludf.DUMMYFUNCTION("""COMPUTED_VALUE"""),"Wirisvariasi")</f>
        <v>Wirisvariasi</v>
      </c>
      <c r="X854" s="42" t="str">
        <f ca="1"/>
        <v>ON-Wirisvariasi-06012026+20-6282242925264</v>
      </c>
      <c r="Y854" s="40"/>
      <c r="Z854" s="40"/>
      <c r="AA854" s="23" t="str">
        <v>https://wa.me/6282242925264</v>
      </c>
      <c r="AB854" s="28"/>
      <c r="AC854" s="28"/>
      <c r="AD854" s="28"/>
      <c r="AE854" s="28"/>
      <c r="AF854" s="29"/>
      <c r="AG854" s="29"/>
    </row>
    <row r="855" spans="1:33" ht="15.75" customHeight="1">
      <c r="A855" s="32" t="s">
        <v>621</v>
      </c>
      <c r="B855" s="33">
        <v>866</v>
      </c>
      <c r="C855" s="34" t="s">
        <v>5164</v>
      </c>
      <c r="D855" s="35">
        <v>45903.476897418979</v>
      </c>
      <c r="E855" s="43">
        <v>45902</v>
      </c>
      <c r="F855" s="32" t="s">
        <v>5076</v>
      </c>
      <c r="G855" s="32" t="s">
        <v>5077</v>
      </c>
      <c r="H855" s="32" t="s">
        <v>5078</v>
      </c>
      <c r="I855" s="36" t="s">
        <v>5079</v>
      </c>
      <c r="J855" s="52"/>
      <c r="K855" s="32" t="s">
        <v>5080</v>
      </c>
      <c r="L855" s="32" t="s">
        <v>5081</v>
      </c>
      <c r="M855" s="32" t="s">
        <v>249</v>
      </c>
      <c r="N855" s="33">
        <v>5</v>
      </c>
      <c r="O855" s="35"/>
      <c r="P855" s="35"/>
      <c r="Q855" s="37"/>
      <c r="R855" s="38"/>
      <c r="S855" s="33"/>
      <c r="T855" s="39">
        <v>197000</v>
      </c>
      <c r="U855" s="40" t="s">
        <v>61</v>
      </c>
      <c r="V855" s="41"/>
      <c r="W855" s="42" t="str">
        <f ca="1">IFERROR(__xludf.DUMMYFUNCTION("""COMPUTED_VALUE"""),"Faris.Clean")</f>
        <v>Faris.Clean</v>
      </c>
      <c r="X855" s="42" t="str">
        <f ca="1"/>
        <v>ON-Faris.Clean-00011900+5-6285741941594</v>
      </c>
      <c r="Y855" s="40"/>
      <c r="Z855" s="40"/>
      <c r="AA855" s="23" t="str">
        <v>https://wa.me/6285741941594</v>
      </c>
      <c r="AB855" s="28"/>
      <c r="AC855" s="28"/>
      <c r="AD855" s="28"/>
      <c r="AE855" s="28"/>
      <c r="AF855" s="29"/>
      <c r="AG855" s="29"/>
    </row>
    <row r="856" spans="1:33" ht="15.75" customHeight="1">
      <c r="A856" s="32" t="s">
        <v>196</v>
      </c>
      <c r="B856" s="33">
        <v>867</v>
      </c>
      <c r="C856" s="34" t="s">
        <v>5165</v>
      </c>
      <c r="D856" s="35">
        <v>45903.478689849537</v>
      </c>
      <c r="E856" s="43">
        <v>45903</v>
      </c>
      <c r="F856" s="32" t="s">
        <v>5147</v>
      </c>
      <c r="G856" s="32" t="s">
        <v>5148</v>
      </c>
      <c r="H856" s="32" t="s">
        <v>5149</v>
      </c>
      <c r="I856" s="36" t="s">
        <v>5150</v>
      </c>
      <c r="J856" s="52"/>
      <c r="K856" s="32" t="s">
        <v>5151</v>
      </c>
      <c r="L856" s="32" t="s">
        <v>85</v>
      </c>
      <c r="M856" s="32" t="s">
        <v>205</v>
      </c>
      <c r="N856" s="33">
        <v>5</v>
      </c>
      <c r="O856" s="35">
        <v>45905</v>
      </c>
      <c r="P856" s="35">
        <v>45910</v>
      </c>
      <c r="Q856" s="37"/>
      <c r="R856" s="38"/>
      <c r="S856" s="33"/>
      <c r="T856" s="39">
        <v>197000</v>
      </c>
      <c r="U856" s="40" t="s">
        <v>61</v>
      </c>
      <c r="V856" s="41"/>
      <c r="W856" s="42" t="str">
        <f ca="1">IFERROR(__xludf.DUMMYFUNCTION("""COMPUTED_VALUE"""),"Jasa Desain")</f>
        <v>Jasa Desain</v>
      </c>
      <c r="X856" s="42" t="str">
        <f ca="1"/>
        <v>ON-Jasa Desain-00011900+5-6281296182529</v>
      </c>
      <c r="Y856" s="40" t="s">
        <v>293</v>
      </c>
      <c r="Z856" s="40" t="s">
        <v>1057</v>
      </c>
      <c r="AA856" s="23" t="str">
        <v>https://wa.me/6281296182529</v>
      </c>
      <c r="AB856" s="28" t="s">
        <v>5166</v>
      </c>
      <c r="AC856" s="28"/>
      <c r="AD856" s="28" t="s">
        <v>690</v>
      </c>
      <c r="AE856" s="28"/>
      <c r="AF856" s="29">
        <v>45906</v>
      </c>
      <c r="AG856" s="29"/>
    </row>
    <row r="857" spans="1:33" ht="15.75" customHeight="1">
      <c r="A857" s="32" t="s">
        <v>196</v>
      </c>
      <c r="B857" s="33">
        <v>868</v>
      </c>
      <c r="C857" s="34" t="s">
        <v>5167</v>
      </c>
      <c r="D857" s="35">
        <v>45903.536014652782</v>
      </c>
      <c r="E857" s="43">
        <v>45903</v>
      </c>
      <c r="F857" s="32" t="s">
        <v>5168</v>
      </c>
      <c r="G857" s="32" t="s">
        <v>5169</v>
      </c>
      <c r="H857" s="32" t="s">
        <v>1030</v>
      </c>
      <c r="I857" s="36" t="s">
        <v>5170</v>
      </c>
      <c r="J857" s="52"/>
      <c r="K857" s="32" t="s">
        <v>3398</v>
      </c>
      <c r="L857" s="32" t="s">
        <v>1542</v>
      </c>
      <c r="M857" s="32" t="s">
        <v>60</v>
      </c>
      <c r="N857" s="33">
        <v>5</v>
      </c>
      <c r="O857" s="35"/>
      <c r="P857" s="35"/>
      <c r="Q857" s="37"/>
      <c r="R857" s="38"/>
      <c r="S857" s="33"/>
      <c r="T857" s="39">
        <v>197000</v>
      </c>
      <c r="U857" s="40" t="s">
        <v>61</v>
      </c>
      <c r="V857" s="41"/>
      <c r="W857" s="42" t="str">
        <f ca="1">IFERROR(__xludf.DUMMYFUNCTION("""COMPUTED_VALUE"""),"Kretek Wakdo")</f>
        <v>Kretek Wakdo</v>
      </c>
      <c r="X857" s="42" t="str">
        <f ca="1"/>
        <v>ON-Kretek Wakdo-00011900+5-62895614711817</v>
      </c>
      <c r="Y857" s="40" t="s">
        <v>62</v>
      </c>
      <c r="Z857" s="40" t="s">
        <v>639</v>
      </c>
      <c r="AA857" s="23" t="str">
        <v>https://wa.me/62895614711817</v>
      </c>
      <c r="AB857" s="28" t="s">
        <v>5171</v>
      </c>
      <c r="AC857" s="28"/>
      <c r="AD857" s="28" t="s">
        <v>690</v>
      </c>
      <c r="AE857" s="28"/>
      <c r="AF857" s="29">
        <v>45906</v>
      </c>
      <c r="AG857" s="29"/>
    </row>
    <row r="858" spans="1:33" ht="15.75" customHeight="1">
      <c r="A858" s="32" t="s">
        <v>621</v>
      </c>
      <c r="B858" s="33">
        <v>869</v>
      </c>
      <c r="C858" s="34" t="s">
        <v>5172</v>
      </c>
      <c r="D858" s="35">
        <v>45903.639222685189</v>
      </c>
      <c r="E858" s="43">
        <v>45903</v>
      </c>
      <c r="F858" s="32" t="s">
        <v>5173</v>
      </c>
      <c r="G858" s="32" t="s">
        <v>5174</v>
      </c>
      <c r="H858" s="32" t="s">
        <v>4273</v>
      </c>
      <c r="I858" s="36" t="s">
        <v>5175</v>
      </c>
      <c r="J858" s="52"/>
      <c r="K858" s="32" t="s">
        <v>5176</v>
      </c>
      <c r="L858" s="32" t="s">
        <v>490</v>
      </c>
      <c r="M858" s="32" t="s">
        <v>60</v>
      </c>
      <c r="N858" s="33">
        <v>14</v>
      </c>
      <c r="O858" s="35"/>
      <c r="P858" s="35"/>
      <c r="Q858" s="37"/>
      <c r="R858" s="38"/>
      <c r="S858" s="33"/>
      <c r="T858" s="39">
        <v>550000</v>
      </c>
      <c r="U858" s="40" t="s">
        <v>61</v>
      </c>
      <c r="V858" s="41"/>
      <c r="W858" s="42" t="str">
        <f ca="1">IFERROR(__xludf.DUMMYFUNCTION("""COMPUTED_VALUE"""),"CV Satria")</f>
        <v>CV Satria</v>
      </c>
      <c r="X858" s="42" t="str">
        <f ca="1"/>
        <v>ON-CV Satria-00011900+14-6283890485112</v>
      </c>
      <c r="Y858" s="40"/>
      <c r="Z858" s="40"/>
      <c r="AA858" s="23" t="str">
        <v>https://wa.me/6283890485112</v>
      </c>
      <c r="AB858" s="28"/>
      <c r="AC858" s="28"/>
      <c r="AD858" s="28"/>
      <c r="AE858" s="28"/>
      <c r="AF858" s="29"/>
      <c r="AG858" s="29"/>
    </row>
    <row r="859" spans="1:33" ht="15.75" customHeight="1">
      <c r="A859" s="32" t="s">
        <v>196</v>
      </c>
      <c r="B859" s="33">
        <v>870</v>
      </c>
      <c r="C859" s="34" t="s">
        <v>5177</v>
      </c>
      <c r="D859" s="35">
        <v>45903.746391724533</v>
      </c>
      <c r="E859" s="43">
        <v>45903</v>
      </c>
      <c r="F859" s="32" t="s">
        <v>5178</v>
      </c>
      <c r="G859" s="32" t="s">
        <v>5179</v>
      </c>
      <c r="H859" s="32" t="s">
        <v>5180</v>
      </c>
      <c r="I859" s="36" t="s">
        <v>5181</v>
      </c>
      <c r="J859" s="52" t="s">
        <v>5182</v>
      </c>
      <c r="K859" s="32" t="s">
        <v>5183</v>
      </c>
      <c r="L859" s="32" t="s">
        <v>679</v>
      </c>
      <c r="M859" s="32" t="s">
        <v>4668</v>
      </c>
      <c r="N859" s="33">
        <v>5</v>
      </c>
      <c r="O859" s="35"/>
      <c r="P859" s="35"/>
      <c r="Q859" s="37"/>
      <c r="R859" s="38"/>
      <c r="S859" s="33"/>
      <c r="T859" s="39">
        <v>197000</v>
      </c>
      <c r="U859" s="40" t="s">
        <v>1229</v>
      </c>
      <c r="V859" s="41"/>
      <c r="W859" s="42" t="str">
        <f ca="1">IFERROR(__xludf.DUMMYFUNCTION("""COMPUTED_VALUE"""),"Yolivia wisata")</f>
        <v>Yolivia wisata</v>
      </c>
      <c r="X859" s="42" t="str">
        <f ca="1"/>
        <v>ON-Yolivia wisata-00011900+5-6282286608220</v>
      </c>
      <c r="Y859" s="40" t="s">
        <v>62</v>
      </c>
      <c r="Z859" s="40" t="s">
        <v>1880</v>
      </c>
      <c r="AA859" s="23" t="str">
        <v>https://wa.me/6282286608220</v>
      </c>
      <c r="AB859" s="28" t="s">
        <v>5184</v>
      </c>
      <c r="AC859" s="28"/>
      <c r="AD859" s="28" t="s">
        <v>690</v>
      </c>
      <c r="AE859" s="28"/>
      <c r="AF859" s="29">
        <v>45907</v>
      </c>
      <c r="AG859" s="29"/>
    </row>
    <row r="860" spans="1:33" ht="15.75" customHeight="1">
      <c r="A860" s="32" t="s">
        <v>196</v>
      </c>
      <c r="B860" s="33">
        <v>871</v>
      </c>
      <c r="C860" s="34" t="s">
        <v>5185</v>
      </c>
      <c r="D860" s="35">
        <v>45903.75106333333</v>
      </c>
      <c r="E860" s="43">
        <v>45903</v>
      </c>
      <c r="F860" s="32" t="s">
        <v>5186</v>
      </c>
      <c r="G860" s="32" t="s">
        <v>5187</v>
      </c>
      <c r="H860" s="32" t="s">
        <v>5086</v>
      </c>
      <c r="I860" s="36" t="s">
        <v>5188</v>
      </c>
      <c r="J860" s="52" t="s">
        <v>5189</v>
      </c>
      <c r="K860" s="32" t="s">
        <v>5190</v>
      </c>
      <c r="L860" s="32" t="s">
        <v>5191</v>
      </c>
      <c r="M860" s="32" t="s">
        <v>92</v>
      </c>
      <c r="N860" s="33">
        <v>10</v>
      </c>
      <c r="O860" s="35"/>
      <c r="P860" s="35"/>
      <c r="Q860" s="37"/>
      <c r="R860" s="38"/>
      <c r="S860" s="33"/>
      <c r="T860" s="39">
        <v>375000</v>
      </c>
      <c r="U860" s="40" t="s">
        <v>1229</v>
      </c>
      <c r="V860" s="41"/>
      <c r="W860" s="42" t="str">
        <f ca="1">IFERROR(__xludf.DUMMYFUNCTION("""COMPUTED_VALUE"""),"Bali super")</f>
        <v>Bali super</v>
      </c>
      <c r="X860" s="42" t="str">
        <f ca="1"/>
        <v>ON-Bali super-00011900+10-6281558822937</v>
      </c>
      <c r="Y860" s="40" t="s">
        <v>62</v>
      </c>
      <c r="Z860" s="40" t="s">
        <v>1880</v>
      </c>
      <c r="AA860" s="23" t="str">
        <v>https://wa.me/6281558822937</v>
      </c>
      <c r="AB860" s="28" t="s">
        <v>5192</v>
      </c>
      <c r="AC860" s="28"/>
      <c r="AD860" s="28" t="s">
        <v>690</v>
      </c>
      <c r="AE860" s="28"/>
      <c r="AF860" s="29">
        <v>45906</v>
      </c>
      <c r="AG860" s="29"/>
    </row>
    <row r="861" spans="1:33" ht="15.75" customHeight="1">
      <c r="A861" s="32" t="s">
        <v>196</v>
      </c>
      <c r="B861" s="33">
        <v>872</v>
      </c>
      <c r="C861" s="34" t="s">
        <v>5193</v>
      </c>
      <c r="D861" s="35">
        <v>45903.860908275463</v>
      </c>
      <c r="E861" s="43">
        <v>45902</v>
      </c>
      <c r="F861" s="32" t="s">
        <v>5036</v>
      </c>
      <c r="G861" s="32" t="s">
        <v>5037</v>
      </c>
      <c r="H861" s="32" t="s">
        <v>5038</v>
      </c>
      <c r="I861" s="36" t="s">
        <v>5194</v>
      </c>
      <c r="J861" s="52"/>
      <c r="K861" s="32" t="s">
        <v>1381</v>
      </c>
      <c r="L861" s="32" t="s">
        <v>5040</v>
      </c>
      <c r="M861" s="32" t="s">
        <v>60</v>
      </c>
      <c r="N861" s="33">
        <v>5</v>
      </c>
      <c r="O861" s="35"/>
      <c r="P861" s="35"/>
      <c r="Q861" s="37"/>
      <c r="R861" s="38"/>
      <c r="S861" s="33"/>
      <c r="T861" s="39">
        <v>197000</v>
      </c>
      <c r="U861" s="40" t="s">
        <v>61</v>
      </c>
      <c r="V861" s="41"/>
      <c r="W861" s="42" t="str">
        <f ca="1">IFERROR(__xludf.DUMMYFUNCTION("""COMPUTED_VALUE"""),"Dicta Design")</f>
        <v>Dicta Design</v>
      </c>
      <c r="X861" s="42" t="str">
        <f ca="1"/>
        <v>ON-Dicta Design-00011900+5-6282318568540</v>
      </c>
      <c r="Y861" s="40" t="s">
        <v>293</v>
      </c>
      <c r="Z861" s="40" t="s">
        <v>1057</v>
      </c>
      <c r="AA861" s="23" t="str">
        <v>https://wa.me/6282318568540</v>
      </c>
      <c r="AB861" s="28" t="s">
        <v>5195</v>
      </c>
      <c r="AC861" s="28"/>
      <c r="AD861" s="28" t="s">
        <v>690</v>
      </c>
      <c r="AE861" s="28"/>
      <c r="AF861" s="29">
        <v>45906</v>
      </c>
      <c r="AG861" s="29"/>
    </row>
    <row r="862" spans="1:33" ht="15.75" customHeight="1">
      <c r="A862" s="32" t="s">
        <v>52</v>
      </c>
      <c r="B862" s="33">
        <v>873</v>
      </c>
      <c r="C862" s="34" t="s">
        <v>5196</v>
      </c>
      <c r="D862" s="35">
        <v>45903.862151967594</v>
      </c>
      <c r="E862" s="43">
        <v>45903</v>
      </c>
      <c r="F862" s="32" t="s">
        <v>1725</v>
      </c>
      <c r="G862" s="32" t="s">
        <v>1726</v>
      </c>
      <c r="H862" s="32" t="s">
        <v>1727</v>
      </c>
      <c r="I862" s="36" t="s">
        <v>581</v>
      </c>
      <c r="J862" s="52" t="s">
        <v>1728</v>
      </c>
      <c r="K862" s="32" t="s">
        <v>1729</v>
      </c>
      <c r="L862" s="32" t="s">
        <v>584</v>
      </c>
      <c r="M862" s="32" t="s">
        <v>60</v>
      </c>
      <c r="N862" s="33">
        <v>5</v>
      </c>
      <c r="O862" s="35"/>
      <c r="P862" s="35"/>
      <c r="Q862" s="37"/>
      <c r="R862" s="38"/>
      <c r="S862" s="33"/>
      <c r="T862" s="39">
        <v>197000</v>
      </c>
      <c r="U862" s="40" t="s">
        <v>61</v>
      </c>
      <c r="V862" s="41"/>
      <c r="W862" s="42" t="str">
        <f ca="1">IFERROR(__xludf.DUMMYFUNCTION("""COMPUTED_VALUE"""),"Phone Cell")</f>
        <v>Phone Cell</v>
      </c>
      <c r="X862" s="42" t="str">
        <f ca="1"/>
        <v>ON-Phone Cell-00011900+5-6281241440688</v>
      </c>
      <c r="Y862" s="40"/>
      <c r="Z862" s="40"/>
      <c r="AA862" s="23" t="str">
        <v>https://wa.me/6281241440688</v>
      </c>
      <c r="AB862" s="28"/>
      <c r="AC862" s="28"/>
      <c r="AD862" s="28"/>
      <c r="AE862" s="28"/>
      <c r="AF862" s="29"/>
      <c r="AG862" s="29"/>
    </row>
    <row r="863" spans="1:33" ht="15.75" customHeight="1">
      <c r="A863" s="32" t="s">
        <v>196</v>
      </c>
      <c r="B863" s="33">
        <v>874</v>
      </c>
      <c r="C863" s="34" t="s">
        <v>5197</v>
      </c>
      <c r="D863" s="35">
        <v>45904.372905023149</v>
      </c>
      <c r="E863" s="43">
        <v>45904</v>
      </c>
      <c r="F863" s="32" t="s">
        <v>5198</v>
      </c>
      <c r="G863" s="32" t="s">
        <v>5199</v>
      </c>
      <c r="H863" s="32" t="s">
        <v>5200</v>
      </c>
      <c r="I863" s="36" t="s">
        <v>5201</v>
      </c>
      <c r="J863" s="52"/>
      <c r="K863" s="32" t="s">
        <v>5202</v>
      </c>
      <c r="L863" s="32" t="s">
        <v>3448</v>
      </c>
      <c r="M863" s="32" t="s">
        <v>711</v>
      </c>
      <c r="N863" s="33">
        <v>10</v>
      </c>
      <c r="O863" s="35">
        <v>45906</v>
      </c>
      <c r="P863" s="35">
        <v>45916</v>
      </c>
      <c r="Q863" s="37"/>
      <c r="R863" s="38"/>
      <c r="S863" s="33"/>
      <c r="T863" s="39">
        <v>375000</v>
      </c>
      <c r="U863" s="40" t="s">
        <v>1229</v>
      </c>
      <c r="V863" s="41"/>
      <c r="W863" s="42" t="str">
        <f ca="1">IFERROR(__xludf.DUMMYFUNCTION("""COMPUTED_VALUE"""),"Restu buana")</f>
        <v>Restu buana</v>
      </c>
      <c r="X863" s="42" t="str">
        <f ca="1"/>
        <v>ON-Restu buana-00011900+10-6285272737979</v>
      </c>
      <c r="Y863" s="40" t="s">
        <v>293</v>
      </c>
      <c r="Z863" s="40" t="s">
        <v>1057</v>
      </c>
      <c r="AA863" s="23" t="str">
        <v>https://wa.me/6285272737979</v>
      </c>
      <c r="AB863" s="28" t="s">
        <v>5203</v>
      </c>
      <c r="AC863" s="28"/>
      <c r="AD863" s="28" t="s">
        <v>690</v>
      </c>
      <c r="AE863" s="28"/>
      <c r="AF863" s="29">
        <v>45907</v>
      </c>
      <c r="AG863" s="29"/>
    </row>
    <row r="864" spans="1:33" ht="15.75" customHeight="1">
      <c r="A864" s="32" t="s">
        <v>196</v>
      </c>
      <c r="B864" s="33">
        <v>875</v>
      </c>
      <c r="C864" s="34" t="s">
        <v>5204</v>
      </c>
      <c r="D864" s="35">
        <v>45904.376749537041</v>
      </c>
      <c r="E864" s="43">
        <v>45904</v>
      </c>
      <c r="F864" s="32" t="s">
        <v>5205</v>
      </c>
      <c r="G864" s="32" t="s">
        <v>5206</v>
      </c>
      <c r="H864" s="32" t="s">
        <v>5207</v>
      </c>
      <c r="I864" s="36" t="s">
        <v>5208</v>
      </c>
      <c r="J864" s="52"/>
      <c r="K864" s="32" t="s">
        <v>5209</v>
      </c>
      <c r="L864" s="32" t="s">
        <v>4893</v>
      </c>
      <c r="M864" s="32" t="s">
        <v>711</v>
      </c>
      <c r="N864" s="33">
        <v>7</v>
      </c>
      <c r="O864" s="35">
        <v>45906</v>
      </c>
      <c r="P864" s="35">
        <v>45913</v>
      </c>
      <c r="Q864" s="37"/>
      <c r="R864" s="38"/>
      <c r="S864" s="33"/>
      <c r="T864" s="39">
        <v>297000</v>
      </c>
      <c r="U864" s="40" t="s">
        <v>1229</v>
      </c>
      <c r="V864" s="41"/>
      <c r="W864" s="42" t="str">
        <f ca="1">IFERROR(__xludf.DUMMYFUNCTION("""COMPUTED_VALUE"""),"Ranu Wijaya")</f>
        <v>Ranu Wijaya</v>
      </c>
      <c r="X864" s="42" t="str">
        <f ca="1"/>
        <v>ON-Ranu Wijaya-00011900+7-62895420142524</v>
      </c>
      <c r="Y864" s="40" t="s">
        <v>293</v>
      </c>
      <c r="Z864" s="40" t="s">
        <v>1057</v>
      </c>
      <c r="AA864" s="23" t="str">
        <v>https://wa.me/62895420142524</v>
      </c>
      <c r="AB864" s="28" t="s">
        <v>5210</v>
      </c>
      <c r="AC864" s="28"/>
      <c r="AD864" s="28" t="s">
        <v>690</v>
      </c>
      <c r="AE864" s="28"/>
      <c r="AF864" s="29">
        <v>45907</v>
      </c>
      <c r="AG864" s="29"/>
    </row>
    <row r="865" spans="1:33" ht="15.75" customHeight="1">
      <c r="A865" s="32" t="s">
        <v>912</v>
      </c>
      <c r="B865" s="33">
        <v>876</v>
      </c>
      <c r="C865" s="34" t="s">
        <v>5211</v>
      </c>
      <c r="D865" s="35">
        <v>45904.396926921298</v>
      </c>
      <c r="E865" s="43">
        <v>45904</v>
      </c>
      <c r="F865" s="32" t="s">
        <v>5212</v>
      </c>
      <c r="G865" s="32" t="s">
        <v>5213</v>
      </c>
      <c r="H865" s="32" t="s">
        <v>5214</v>
      </c>
      <c r="I865" s="36" t="s">
        <v>5215</v>
      </c>
      <c r="J865" s="52"/>
      <c r="K865" s="32" t="s">
        <v>1024</v>
      </c>
      <c r="L865" s="32" t="s">
        <v>92</v>
      </c>
      <c r="M865" s="32" t="s">
        <v>285</v>
      </c>
      <c r="N865" s="33">
        <v>5</v>
      </c>
      <c r="O865" s="35"/>
      <c r="P865" s="35"/>
      <c r="Q865" s="37"/>
      <c r="R865" s="38"/>
      <c r="S865" s="33"/>
      <c r="T865" s="39">
        <v>197000</v>
      </c>
      <c r="U865" s="40" t="s">
        <v>1229</v>
      </c>
      <c r="V865" s="41"/>
      <c r="W865" s="42" t="str">
        <f ca="1">IFERROR(__xludf.DUMMYFUNCTION("""COMPUTED_VALUE"""),"Terapis Indonesia")</f>
        <v>Terapis Indonesia</v>
      </c>
      <c r="X865" s="42" t="str">
        <f ca="1"/>
        <v>ON-Terapis Indonesia-00011900+5-6281341637566</v>
      </c>
      <c r="Y865" s="40" t="s">
        <v>62</v>
      </c>
      <c r="Z865" s="40" t="s">
        <v>639</v>
      </c>
      <c r="AA865" s="23" t="str">
        <v>https://wa.me/6281341637566</v>
      </c>
      <c r="AB865" s="28" t="s">
        <v>5216</v>
      </c>
      <c r="AC865" s="28"/>
      <c r="AD865" s="28" t="s">
        <v>690</v>
      </c>
      <c r="AE865" s="28"/>
      <c r="AF865" s="29">
        <v>45910</v>
      </c>
      <c r="AG865" s="29"/>
    </row>
    <row r="866" spans="1:33" ht="15.75" customHeight="1">
      <c r="A866" s="32" t="s">
        <v>196</v>
      </c>
      <c r="B866" s="33">
        <v>878</v>
      </c>
      <c r="C866" s="34" t="s">
        <v>5217</v>
      </c>
      <c r="D866" s="35">
        <v>45904.570435254631</v>
      </c>
      <c r="E866" s="43">
        <v>45903</v>
      </c>
      <c r="F866" s="32" t="s">
        <v>5218</v>
      </c>
      <c r="G866" s="32" t="s">
        <v>3663</v>
      </c>
      <c r="H866" s="32" t="s">
        <v>4265</v>
      </c>
      <c r="I866" s="36" t="s">
        <v>3665</v>
      </c>
      <c r="J866" s="52"/>
      <c r="K866" s="32" t="s">
        <v>3742</v>
      </c>
      <c r="L866" s="32" t="s">
        <v>5219</v>
      </c>
      <c r="M866" s="32" t="s">
        <v>60</v>
      </c>
      <c r="N866" s="33">
        <v>30</v>
      </c>
      <c r="O866" s="35"/>
      <c r="P866" s="35"/>
      <c r="Q866" s="37"/>
      <c r="R866" s="38"/>
      <c r="S866" s="33"/>
      <c r="T866" s="39">
        <v>1000000</v>
      </c>
      <c r="U866" s="40" t="s">
        <v>61</v>
      </c>
      <c r="V866" s="41"/>
      <c r="W866" s="42" t="str">
        <f ca="1">IFERROR(__xludf.DUMMYFUNCTION("""COMPUTED_VALUE"""),"The Travel")</f>
        <v>The Travel</v>
      </c>
      <c r="X866" s="42" t="str">
        <f ca="1"/>
        <v>ON-The Travel-00011900+30-6285333751528</v>
      </c>
      <c r="Y866" s="40" t="s">
        <v>62</v>
      </c>
      <c r="Z866" s="40" t="s">
        <v>1880</v>
      </c>
      <c r="AA866" s="23" t="str">
        <v>https://wa.me/6285333751528</v>
      </c>
      <c r="AB866" s="28" t="s">
        <v>5220</v>
      </c>
      <c r="AC866" s="28"/>
      <c r="AD866" s="28" t="s">
        <v>690</v>
      </c>
      <c r="AE866" s="28"/>
      <c r="AF866" s="29">
        <v>45906</v>
      </c>
      <c r="AG866" s="29"/>
    </row>
    <row r="867" spans="1:33" ht="15.75" customHeight="1">
      <c r="A867" s="32" t="s">
        <v>196</v>
      </c>
      <c r="B867" s="33">
        <v>879</v>
      </c>
      <c r="C867" s="34" t="s">
        <v>5221</v>
      </c>
      <c r="D867" s="35">
        <v>45904.59325395833</v>
      </c>
      <c r="E867" s="43">
        <v>45903</v>
      </c>
      <c r="F867" s="32" t="s">
        <v>5173</v>
      </c>
      <c r="G867" s="32" t="s">
        <v>5174</v>
      </c>
      <c r="H867" s="32" t="s">
        <v>4273</v>
      </c>
      <c r="I867" s="36" t="s">
        <v>5222</v>
      </c>
      <c r="J867" s="52"/>
      <c r="K867" s="32" t="s">
        <v>5176</v>
      </c>
      <c r="L867" s="32" t="s">
        <v>490</v>
      </c>
      <c r="M867" s="32" t="s">
        <v>60</v>
      </c>
      <c r="N867" s="33">
        <v>14</v>
      </c>
      <c r="O867" s="35"/>
      <c r="P867" s="35"/>
      <c r="Q867" s="37"/>
      <c r="R867" s="38"/>
      <c r="S867" s="33"/>
      <c r="T867" s="39">
        <v>550000</v>
      </c>
      <c r="U867" s="40" t="s">
        <v>61</v>
      </c>
      <c r="V867" s="41"/>
      <c r="W867" s="42" t="str">
        <f ca="1">IFERROR(__xludf.DUMMYFUNCTION("""COMPUTED_VALUE"""),"CV Satria")</f>
        <v>CV Satria</v>
      </c>
      <c r="X867" s="42" t="str">
        <f ca="1"/>
        <v>ON-CV Satria-00011900+14-6283890485123</v>
      </c>
      <c r="Y867" s="40" t="s">
        <v>293</v>
      </c>
      <c r="Z867" s="40" t="s">
        <v>1057</v>
      </c>
      <c r="AA867" s="23" t="str">
        <v>https://wa.me/6283890485123</v>
      </c>
      <c r="AB867" s="28" t="s">
        <v>5223</v>
      </c>
      <c r="AC867" s="28"/>
      <c r="AD867" s="28" t="s">
        <v>690</v>
      </c>
      <c r="AE867" s="28"/>
      <c r="AF867" s="29">
        <v>45906</v>
      </c>
      <c r="AG867" s="29"/>
    </row>
    <row r="868" spans="1:33" ht="15.75" customHeight="1">
      <c r="A868" s="32" t="s">
        <v>196</v>
      </c>
      <c r="B868" s="33">
        <v>880</v>
      </c>
      <c r="C868" s="34" t="s">
        <v>5224</v>
      </c>
      <c r="D868" s="35">
        <v>45904.612760127318</v>
      </c>
      <c r="E868" s="43">
        <v>45904</v>
      </c>
      <c r="F868" s="32" t="s">
        <v>2419</v>
      </c>
      <c r="G868" s="32" t="s">
        <v>2420</v>
      </c>
      <c r="H868" s="32" t="s">
        <v>1711</v>
      </c>
      <c r="I868" s="36" t="s">
        <v>2421</v>
      </c>
      <c r="J868" s="52"/>
      <c r="K868" s="32" t="s">
        <v>2422</v>
      </c>
      <c r="L868" s="32" t="s">
        <v>2500</v>
      </c>
      <c r="M868" s="32" t="s">
        <v>249</v>
      </c>
      <c r="N868" s="33">
        <v>5</v>
      </c>
      <c r="O868" s="35"/>
      <c r="P868" s="35"/>
      <c r="Q868" s="37"/>
      <c r="R868" s="38"/>
      <c r="S868" s="33"/>
      <c r="T868" s="39">
        <v>197000</v>
      </c>
      <c r="U868" s="40" t="s">
        <v>1774</v>
      </c>
      <c r="V868" s="41"/>
      <c r="W868" s="42" t="str">
        <f ca="1">IFERROR(__xludf.DUMMYFUNCTION("""COMPUTED_VALUE"""),"Pelatihan Bekam")</f>
        <v>Pelatihan Bekam</v>
      </c>
      <c r="X868" s="42" t="str">
        <f ca="1"/>
        <v>ON-Pelatihan Bekam-00011900+5-6283865096870</v>
      </c>
      <c r="Y868" s="40" t="s">
        <v>62</v>
      </c>
      <c r="Z868" s="40" t="s">
        <v>639</v>
      </c>
      <c r="AA868" s="23" t="str">
        <v>https://wa.me/6283865096870</v>
      </c>
      <c r="AB868" s="28" t="s">
        <v>5225</v>
      </c>
      <c r="AC868" s="28"/>
      <c r="AD868" s="28" t="s">
        <v>690</v>
      </c>
      <c r="AE868" s="28"/>
      <c r="AF868" s="29">
        <v>45907</v>
      </c>
      <c r="AG868" s="29"/>
    </row>
    <row r="869" spans="1:33" ht="15.75" customHeight="1">
      <c r="A869" s="32" t="s">
        <v>196</v>
      </c>
      <c r="B869" s="33">
        <v>883</v>
      </c>
      <c r="C869" s="34" t="s">
        <v>5226</v>
      </c>
      <c r="D869" s="35">
        <v>45905.34341306713</v>
      </c>
      <c r="E869" s="43">
        <v>45904</v>
      </c>
      <c r="F869" s="32" t="s">
        <v>5227</v>
      </c>
      <c r="G869" s="32" t="s">
        <v>5228</v>
      </c>
      <c r="H869" s="32" t="s">
        <v>5229</v>
      </c>
      <c r="I869" s="36" t="s">
        <v>5230</v>
      </c>
      <c r="J869" s="52" t="s">
        <v>5231</v>
      </c>
      <c r="K869" s="32" t="s">
        <v>1194</v>
      </c>
      <c r="L869" s="32" t="s">
        <v>92</v>
      </c>
      <c r="M869" s="32" t="s">
        <v>60</v>
      </c>
      <c r="N869" s="33">
        <v>5</v>
      </c>
      <c r="O869" s="35"/>
      <c r="P869" s="35"/>
      <c r="Q869" s="37"/>
      <c r="R869" s="38"/>
      <c r="S869" s="33"/>
      <c r="T869" s="39">
        <v>197000</v>
      </c>
      <c r="U869" s="40" t="s">
        <v>61</v>
      </c>
      <c r="V869" s="41"/>
      <c r="W869" s="42" t="str">
        <f ca="1">IFERROR(__xludf.DUMMYFUNCTION("""COMPUTED_VALUE"""),"PT Berkah")</f>
        <v>PT Berkah</v>
      </c>
      <c r="X869" s="42" t="str">
        <f ca="1"/>
        <v>ON-PT Berkah-00011900+5-6285654251369</v>
      </c>
      <c r="Y869" s="40" t="s">
        <v>62</v>
      </c>
      <c r="Z869" s="40" t="s">
        <v>1880</v>
      </c>
      <c r="AA869" s="23" t="str">
        <v>https://wa.me/6285654251369</v>
      </c>
      <c r="AB869" s="28" t="s">
        <v>5232</v>
      </c>
      <c r="AC869" s="28"/>
      <c r="AD869" s="28" t="s">
        <v>690</v>
      </c>
      <c r="AE869" s="28"/>
      <c r="AF869" s="29">
        <v>45907</v>
      </c>
      <c r="AG869" s="29"/>
    </row>
    <row r="870" spans="1:33" ht="15.75" customHeight="1">
      <c r="A870" s="32" t="s">
        <v>196</v>
      </c>
      <c r="B870" s="33">
        <v>884</v>
      </c>
      <c r="C870" s="34" t="s">
        <v>5233</v>
      </c>
      <c r="D870" s="35">
        <v>45905.343895925922</v>
      </c>
      <c r="E870" s="43">
        <v>45904</v>
      </c>
      <c r="F870" s="32" t="s">
        <v>5234</v>
      </c>
      <c r="G870" s="32" t="s">
        <v>5235</v>
      </c>
      <c r="H870" s="32" t="s">
        <v>5236</v>
      </c>
      <c r="I870" s="36" t="s">
        <v>5237</v>
      </c>
      <c r="J870" s="52"/>
      <c r="K870" s="32" t="s">
        <v>5238</v>
      </c>
      <c r="L870" s="32" t="s">
        <v>2780</v>
      </c>
      <c r="M870" s="32" t="s">
        <v>60</v>
      </c>
      <c r="N870" s="33">
        <v>5</v>
      </c>
      <c r="O870" s="35"/>
      <c r="P870" s="35"/>
      <c r="Q870" s="37"/>
      <c r="R870" s="38"/>
      <c r="S870" s="33"/>
      <c r="T870" s="39">
        <v>197000</v>
      </c>
      <c r="U870" s="40" t="s">
        <v>61</v>
      </c>
      <c r="V870" s="41"/>
      <c r="W870" s="42" t="str">
        <f ca="1">IFERROR(__xludf.DUMMYFUNCTION("""COMPUTED_VALUE"""),"Bisalagi Bekam")</f>
        <v>Bisalagi Bekam</v>
      </c>
      <c r="X870" s="42" t="str">
        <f ca="1"/>
        <v>ON-Bisalagi Bekam-00011900+5-6285600287735</v>
      </c>
      <c r="Y870" s="40" t="s">
        <v>62</v>
      </c>
      <c r="Z870" s="40" t="s">
        <v>639</v>
      </c>
      <c r="AA870" s="23" t="str">
        <v>https://wa.me/6285600287735</v>
      </c>
      <c r="AB870" s="28" t="s">
        <v>5239</v>
      </c>
      <c r="AC870" s="28"/>
      <c r="AD870" s="28" t="s">
        <v>690</v>
      </c>
      <c r="AE870" s="28"/>
      <c r="AF870" s="29">
        <v>45907</v>
      </c>
      <c r="AG870" s="29"/>
    </row>
    <row r="871" spans="1:33" ht="15.75" customHeight="1">
      <c r="A871" s="32" t="s">
        <v>196</v>
      </c>
      <c r="B871" s="33">
        <v>885</v>
      </c>
      <c r="C871" s="34" t="s">
        <v>5240</v>
      </c>
      <c r="D871" s="35">
        <v>45905.345326249997</v>
      </c>
      <c r="E871" s="43">
        <v>45904</v>
      </c>
      <c r="F871" s="32" t="s">
        <v>5241</v>
      </c>
      <c r="G871" s="32" t="s">
        <v>5242</v>
      </c>
      <c r="H871" s="32" t="s">
        <v>5243</v>
      </c>
      <c r="I871" s="36" t="s">
        <v>5244</v>
      </c>
      <c r="J871" s="52"/>
      <c r="K871" s="32" t="s">
        <v>5245</v>
      </c>
      <c r="L871" s="32" t="s">
        <v>4871</v>
      </c>
      <c r="M871" s="32" t="s">
        <v>60</v>
      </c>
      <c r="N871" s="33">
        <v>5</v>
      </c>
      <c r="O871" s="35"/>
      <c r="P871" s="35"/>
      <c r="Q871" s="37"/>
      <c r="R871" s="38"/>
      <c r="S871" s="33"/>
      <c r="T871" s="39">
        <v>197000</v>
      </c>
      <c r="U871" s="40" t="s">
        <v>61</v>
      </c>
      <c r="V871" s="41"/>
      <c r="W871" s="42" t="str">
        <f ca="1">IFERROR(__xludf.DUMMYFUNCTION("""COMPUTED_VALUE"""),"Suras Bali")</f>
        <v>Suras Bali</v>
      </c>
      <c r="X871" s="42" t="str">
        <f ca="1"/>
        <v>ON-Suras Bali-00011900+5-6285280808856</v>
      </c>
      <c r="Y871" s="40" t="s">
        <v>62</v>
      </c>
      <c r="Z871" s="40" t="s">
        <v>1880</v>
      </c>
      <c r="AA871" s="23" t="str">
        <v>https://wa.me/6285280808856</v>
      </c>
      <c r="AB871" s="28" t="s">
        <v>5246</v>
      </c>
      <c r="AC871" s="28"/>
      <c r="AD871" s="28" t="s">
        <v>690</v>
      </c>
      <c r="AE871" s="28"/>
      <c r="AF871" s="29">
        <v>45907</v>
      </c>
      <c r="AG871" s="29"/>
    </row>
    <row r="872" spans="1:33" ht="15.75" customHeight="1">
      <c r="A872" s="32" t="s">
        <v>196</v>
      </c>
      <c r="B872" s="33">
        <v>887</v>
      </c>
      <c r="C872" s="34" t="s">
        <v>5247</v>
      </c>
      <c r="D872" s="35">
        <v>45905.34878753472</v>
      </c>
      <c r="E872" s="43">
        <v>45905</v>
      </c>
      <c r="F872" s="32" t="s">
        <v>5248</v>
      </c>
      <c r="G872" s="32" t="s">
        <v>5249</v>
      </c>
      <c r="H872" s="32" t="s">
        <v>5250</v>
      </c>
      <c r="I872" s="36" t="s">
        <v>5251</v>
      </c>
      <c r="J872" s="52" t="s">
        <v>5252</v>
      </c>
      <c r="K872" s="32" t="s">
        <v>5253</v>
      </c>
      <c r="L872" s="32" t="s">
        <v>1533</v>
      </c>
      <c r="M872" s="32" t="s">
        <v>382</v>
      </c>
      <c r="N872" s="33">
        <v>5</v>
      </c>
      <c r="O872" s="35"/>
      <c r="P872" s="35"/>
      <c r="Q872" s="37"/>
      <c r="R872" s="38"/>
      <c r="S872" s="33"/>
      <c r="T872" s="39">
        <v>197000</v>
      </c>
      <c r="U872" s="40" t="s">
        <v>115</v>
      </c>
      <c r="V872" s="41"/>
      <c r="W872" s="42" t="str">
        <f ca="1">IFERROR(__xludf.DUMMYFUNCTION("""COMPUTED_VALUE"""),"Andalan group")</f>
        <v>Andalan group</v>
      </c>
      <c r="X872" s="42" t="str">
        <f ca="1"/>
        <v>ON-Andalan group-00011900+5-6285602235618</v>
      </c>
      <c r="Y872" s="40" t="s">
        <v>293</v>
      </c>
      <c r="Z872" s="40" t="s">
        <v>1057</v>
      </c>
      <c r="AA872" s="23" t="str">
        <v>https://wa.me/6285602235618</v>
      </c>
      <c r="AB872" s="28" t="s">
        <v>5254</v>
      </c>
      <c r="AC872" s="28"/>
      <c r="AD872" s="28" t="s">
        <v>690</v>
      </c>
      <c r="AE872" s="28"/>
      <c r="AF872" s="29">
        <v>45908</v>
      </c>
      <c r="AG872" s="29"/>
    </row>
    <row r="873" spans="1:33" ht="15.75" customHeight="1">
      <c r="A873" s="32" t="s">
        <v>196</v>
      </c>
      <c r="B873" s="33">
        <v>888</v>
      </c>
      <c r="C873" s="34" t="s">
        <v>5255</v>
      </c>
      <c r="D873" s="35">
        <v>45905.349259328708</v>
      </c>
      <c r="E873" s="43">
        <v>45904</v>
      </c>
      <c r="F873" s="32" t="s">
        <v>5256</v>
      </c>
      <c r="G873" s="32" t="s">
        <v>5257</v>
      </c>
      <c r="H873" s="32" t="s">
        <v>5258</v>
      </c>
      <c r="I873" s="36" t="s">
        <v>5259</v>
      </c>
      <c r="J873" s="52" t="s">
        <v>5260</v>
      </c>
      <c r="K873" s="32" t="s">
        <v>5261</v>
      </c>
      <c r="L873" s="32" t="s">
        <v>382</v>
      </c>
      <c r="M873" s="32" t="s">
        <v>382</v>
      </c>
      <c r="N873" s="33">
        <v>5</v>
      </c>
      <c r="O873" s="35"/>
      <c r="P873" s="35"/>
      <c r="Q873" s="37"/>
      <c r="R873" s="38"/>
      <c r="S873" s="33"/>
      <c r="T873" s="39">
        <v>197000</v>
      </c>
      <c r="U873" s="40" t="s">
        <v>115</v>
      </c>
      <c r="V873" s="41"/>
      <c r="W873" s="42" t="str">
        <f ca="1">IFERROR(__xludf.DUMMYFUNCTION("""COMPUTED_VALUE"""),"CAHAYA GEMILANG")</f>
        <v>CAHAYA GEMILANG</v>
      </c>
      <c r="X873" s="42" t="str">
        <f ca="1"/>
        <v>ON-CAHAYA GEMILANG-00011900+5-6287722264777</v>
      </c>
      <c r="Y873" s="40" t="s">
        <v>62</v>
      </c>
      <c r="Z873" s="40" t="s">
        <v>639</v>
      </c>
      <c r="AA873" s="23" t="str">
        <v>https://wa.me/6287722264777</v>
      </c>
      <c r="AB873" s="28" t="s">
        <v>5262</v>
      </c>
      <c r="AC873" s="28"/>
      <c r="AD873" s="28" t="s">
        <v>690</v>
      </c>
      <c r="AE873" s="28"/>
      <c r="AF873" s="29">
        <v>45907</v>
      </c>
      <c r="AG873" s="29"/>
    </row>
    <row r="874" spans="1:33" ht="15.75" customHeight="1">
      <c r="A874" s="32" t="s">
        <v>52</v>
      </c>
      <c r="B874" s="33">
        <v>889</v>
      </c>
      <c r="C874" s="34" t="s">
        <v>5263</v>
      </c>
      <c r="D874" s="35">
        <v>45906.285801458333</v>
      </c>
      <c r="E874" s="43">
        <v>45906</v>
      </c>
      <c r="F874" s="32" t="s">
        <v>4809</v>
      </c>
      <c r="G874" s="32" t="s">
        <v>4810</v>
      </c>
      <c r="H874" s="32" t="s">
        <v>4199</v>
      </c>
      <c r="I874" s="36" t="s">
        <v>4811</v>
      </c>
      <c r="J874" s="52" t="s">
        <v>4812</v>
      </c>
      <c r="K874" s="32" t="s">
        <v>4813</v>
      </c>
      <c r="L874" s="32" t="s">
        <v>2500</v>
      </c>
      <c r="M874" s="32" t="s">
        <v>249</v>
      </c>
      <c r="N874" s="33">
        <v>5</v>
      </c>
      <c r="O874" s="35"/>
      <c r="P874" s="35"/>
      <c r="Q874" s="37"/>
      <c r="R874" s="38"/>
      <c r="S874" s="33"/>
      <c r="T874" s="39">
        <v>197000</v>
      </c>
      <c r="U874" s="40" t="s">
        <v>1774</v>
      </c>
      <c r="V874" s="41"/>
      <c r="W874" s="42" t="str">
        <f ca="1">IFERROR(__xludf.DUMMYFUNCTION("""COMPUTED_VALUE"""),"Bangun kreasi")</f>
        <v>Bangun kreasi</v>
      </c>
      <c r="X874" s="42" t="str">
        <f ca="1"/>
        <v>ON-Bangun kreasi-00011900+5-6281223735839</v>
      </c>
      <c r="Y874" s="40"/>
      <c r="Z874" s="40"/>
      <c r="AA874" s="23" t="str">
        <v>https://wa.me/6281223735839</v>
      </c>
      <c r="AB874" s="28"/>
      <c r="AC874" s="28"/>
      <c r="AD874" s="28"/>
      <c r="AE874" s="28"/>
      <c r="AF874" s="29"/>
      <c r="AG874" s="29"/>
    </row>
    <row r="875" spans="1:33" ht="15.75" customHeight="1">
      <c r="A875" s="32" t="s">
        <v>196</v>
      </c>
      <c r="B875" s="33">
        <v>890</v>
      </c>
      <c r="C875" s="34" t="s">
        <v>5264</v>
      </c>
      <c r="D875" s="35">
        <v>45906.286808217592</v>
      </c>
      <c r="E875" s="43">
        <v>45905</v>
      </c>
      <c r="F875" s="32" t="s">
        <v>125</v>
      </c>
      <c r="G875" s="32" t="s">
        <v>5265</v>
      </c>
      <c r="H875" s="32" t="s">
        <v>5266</v>
      </c>
      <c r="I875" s="36" t="s">
        <v>128</v>
      </c>
      <c r="J875" s="52"/>
      <c r="K875" s="32" t="s">
        <v>5267</v>
      </c>
      <c r="L875" s="32" t="s">
        <v>2133</v>
      </c>
      <c r="M875" s="32" t="s">
        <v>60</v>
      </c>
      <c r="N875" s="33">
        <v>10</v>
      </c>
      <c r="O875" s="35"/>
      <c r="P875" s="35"/>
      <c r="Q875" s="37"/>
      <c r="R875" s="38"/>
      <c r="S875" s="33"/>
      <c r="T875" s="39">
        <v>375000</v>
      </c>
      <c r="U875" s="40" t="s">
        <v>61</v>
      </c>
      <c r="V875" s="41"/>
      <c r="W875" s="42" t="str">
        <f ca="1">IFERROR(__xludf.DUMMYFUNCTION("""COMPUTED_VALUE"""),"AJP Adi")</f>
        <v>AJP Adi</v>
      </c>
      <c r="X875" s="42" t="str">
        <f ca="1"/>
        <v>ON-AJP Adi-00011900+10-6283188945188</v>
      </c>
      <c r="Y875" s="40" t="s">
        <v>293</v>
      </c>
      <c r="Z875" s="40" t="s">
        <v>1057</v>
      </c>
      <c r="AA875" s="23" t="str">
        <v>https://wa.me/6283188945188</v>
      </c>
      <c r="AB875" s="28" t="s">
        <v>5268</v>
      </c>
      <c r="AC875" s="28"/>
      <c r="AD875" s="28" t="s">
        <v>690</v>
      </c>
      <c r="AE875" s="28"/>
      <c r="AF875" s="29">
        <v>45907</v>
      </c>
      <c r="AG875" s="29"/>
    </row>
    <row r="876" spans="1:33" ht="15.75" customHeight="1">
      <c r="A876" s="32" t="s">
        <v>196</v>
      </c>
      <c r="B876" s="33">
        <v>891</v>
      </c>
      <c r="C876" s="34" t="s">
        <v>5269</v>
      </c>
      <c r="D876" s="35">
        <v>45906.287327337966</v>
      </c>
      <c r="E876" s="43">
        <v>45905</v>
      </c>
      <c r="F876" s="32" t="s">
        <v>5270</v>
      </c>
      <c r="G876" s="32" t="s">
        <v>5271</v>
      </c>
      <c r="H876" s="32" t="s">
        <v>5272</v>
      </c>
      <c r="I876" s="36" t="s">
        <v>5273</v>
      </c>
      <c r="J876" s="52"/>
      <c r="K876" s="32" t="s">
        <v>374</v>
      </c>
      <c r="L876" s="32" t="s">
        <v>5274</v>
      </c>
      <c r="M876" s="32" t="s">
        <v>60</v>
      </c>
      <c r="N876" s="33">
        <v>5</v>
      </c>
      <c r="O876" s="35"/>
      <c r="P876" s="35"/>
      <c r="Q876" s="37"/>
      <c r="R876" s="38"/>
      <c r="S876" s="33"/>
      <c r="T876" s="39">
        <v>197000</v>
      </c>
      <c r="U876" s="40" t="s">
        <v>61</v>
      </c>
      <c r="V876" s="41"/>
      <c r="W876" s="42" t="str">
        <f ca="1">IFERROR(__xludf.DUMMYFUNCTION("""COMPUTED_VALUE"""),"Taman Nyingkur")</f>
        <v>Taman Nyingkur</v>
      </c>
      <c r="X876" s="42" t="str">
        <f ca="1"/>
        <v>ON-Taman Nyingkur-00011900+5-62881022356673</v>
      </c>
      <c r="Y876" s="40" t="s">
        <v>62</v>
      </c>
      <c r="Z876" s="40" t="s">
        <v>1880</v>
      </c>
      <c r="AA876" s="23" t="str">
        <v>https://wa.me/62881022356673</v>
      </c>
      <c r="AB876" s="28" t="s">
        <v>5275</v>
      </c>
      <c r="AC876" s="28"/>
      <c r="AD876" s="28" t="s">
        <v>690</v>
      </c>
      <c r="AE876" s="28"/>
      <c r="AF876" s="29">
        <v>45908</v>
      </c>
      <c r="AG876" s="29"/>
    </row>
    <row r="877" spans="1:33" ht="15.75" customHeight="1">
      <c r="A877" s="32" t="s">
        <v>52</v>
      </c>
      <c r="B877" s="33">
        <v>892</v>
      </c>
      <c r="C877" s="34" t="s">
        <v>5276</v>
      </c>
      <c r="D877" s="35">
        <v>45906.287741493055</v>
      </c>
      <c r="E877" s="43">
        <v>45905</v>
      </c>
      <c r="F877" s="32" t="s">
        <v>2064</v>
      </c>
      <c r="G877" s="32" t="s">
        <v>2065</v>
      </c>
      <c r="H877" s="32" t="s">
        <v>1648</v>
      </c>
      <c r="I877" s="36" t="s">
        <v>2066</v>
      </c>
      <c r="J877" s="52" t="s">
        <v>2067</v>
      </c>
      <c r="K877" s="32" t="s">
        <v>2068</v>
      </c>
      <c r="L877" s="32" t="s">
        <v>2069</v>
      </c>
      <c r="M877" s="32" t="s">
        <v>2032</v>
      </c>
      <c r="N877" s="33">
        <v>5</v>
      </c>
      <c r="O877" s="35"/>
      <c r="P877" s="35"/>
      <c r="Q877" s="37"/>
      <c r="R877" s="38"/>
      <c r="S877" s="33"/>
      <c r="T877" s="39">
        <v>197000</v>
      </c>
      <c r="U877" s="40" t="s">
        <v>61</v>
      </c>
      <c r="V877" s="41"/>
      <c r="W877" s="42" t="str">
        <f ca="1">IFERROR(__xludf.DUMMYFUNCTION("""COMPUTED_VALUE"""),"Bengkel Las")</f>
        <v>Bengkel Las</v>
      </c>
      <c r="X877" s="42" t="str">
        <f ca="1"/>
        <v>ON-Bengkel Las-00011900+5-6281394618785</v>
      </c>
      <c r="Y877" s="40"/>
      <c r="Z877" s="40"/>
      <c r="AA877" s="23" t="str">
        <v>https://wa.me/6281394618785</v>
      </c>
      <c r="AB877" s="28"/>
      <c r="AC877" s="28"/>
      <c r="AD877" s="28"/>
      <c r="AE877" s="28"/>
      <c r="AF877" s="29"/>
      <c r="AG877" s="29"/>
    </row>
    <row r="878" spans="1:33" ht="15.75" customHeight="1">
      <c r="A878" s="32" t="s">
        <v>912</v>
      </c>
      <c r="B878" s="33">
        <v>893</v>
      </c>
      <c r="C878" s="34" t="s">
        <v>5277</v>
      </c>
      <c r="D878" s="35">
        <v>45906.288081886574</v>
      </c>
      <c r="E878" s="43">
        <v>45905</v>
      </c>
      <c r="F878" s="32" t="s">
        <v>505</v>
      </c>
      <c r="G878" s="32" t="s">
        <v>985</v>
      </c>
      <c r="H878" s="32" t="s">
        <v>507</v>
      </c>
      <c r="I878" s="36" t="s">
        <v>508</v>
      </c>
      <c r="J878" s="52"/>
      <c r="K878" s="32" t="s">
        <v>5278</v>
      </c>
      <c r="L878" s="32" t="s">
        <v>92</v>
      </c>
      <c r="M878" s="32" t="s">
        <v>60</v>
      </c>
      <c r="N878" s="33">
        <v>20</v>
      </c>
      <c r="O878" s="35"/>
      <c r="P878" s="35"/>
      <c r="Q878" s="37"/>
      <c r="R878" s="38"/>
      <c r="S878" s="33"/>
      <c r="T878" s="39">
        <v>197000</v>
      </c>
      <c r="U878" s="40" t="s">
        <v>61</v>
      </c>
      <c r="V878" s="41"/>
      <c r="W878" s="42" t="str">
        <f ca="1">IFERROR(__xludf.DUMMYFUNCTION("""COMPUTED_VALUE"""),"Bengkel Las")</f>
        <v>Bengkel Las</v>
      </c>
      <c r="X878" s="42" t="str">
        <f ca="1"/>
        <v>ON-Bengkel Las-00011900+20-6281519225886</v>
      </c>
      <c r="Y878" s="40" t="s">
        <v>293</v>
      </c>
      <c r="Z878" s="40" t="s">
        <v>1057</v>
      </c>
      <c r="AA878" s="23" t="str">
        <v>https://wa.me/6281519225886</v>
      </c>
      <c r="AB878" s="28" t="s">
        <v>5279</v>
      </c>
      <c r="AC878" s="28"/>
      <c r="AD878" s="28" t="s">
        <v>690</v>
      </c>
      <c r="AE878" s="28"/>
      <c r="AF878" s="29"/>
      <c r="AG878" s="29"/>
    </row>
    <row r="879" spans="1:33" ht="15.75" customHeight="1">
      <c r="A879" s="32" t="s">
        <v>52</v>
      </c>
      <c r="B879" s="33">
        <v>894</v>
      </c>
      <c r="C879" s="34" t="s">
        <v>5280</v>
      </c>
      <c r="D879" s="35">
        <v>45906.288478391201</v>
      </c>
      <c r="E879" s="43">
        <v>45905</v>
      </c>
      <c r="F879" s="32" t="s">
        <v>4916</v>
      </c>
      <c r="G879" s="32" t="s">
        <v>4917</v>
      </c>
      <c r="H879" s="32" t="s">
        <v>4918</v>
      </c>
      <c r="I879" s="36" t="s">
        <v>4919</v>
      </c>
      <c r="J879" s="52"/>
      <c r="K879" s="32" t="s">
        <v>5281</v>
      </c>
      <c r="L879" s="32" t="s">
        <v>2432</v>
      </c>
      <c r="M879" s="32" t="s">
        <v>60</v>
      </c>
      <c r="N879" s="33">
        <v>14</v>
      </c>
      <c r="O879" s="35"/>
      <c r="P879" s="35"/>
      <c r="Q879" s="37"/>
      <c r="R879" s="38"/>
      <c r="S879" s="33"/>
      <c r="T879" s="39">
        <v>550000</v>
      </c>
      <c r="U879" s="40" t="s">
        <v>61</v>
      </c>
      <c r="V879" s="41"/>
      <c r="W879" s="42" t="str">
        <f ca="1">IFERROR(__xludf.DUMMYFUNCTION("""COMPUTED_VALUE"""),"Satria Jaya")</f>
        <v>Satria Jaya</v>
      </c>
      <c r="X879" s="42" t="str">
        <f ca="1"/>
        <v>ON-Satria Jaya-00011900+14-6281283204192</v>
      </c>
      <c r="Y879" s="40"/>
      <c r="Z879" s="40"/>
      <c r="AA879" s="23" t="str">
        <v>https://wa.me/6281283204192</v>
      </c>
      <c r="AB879" s="28"/>
      <c r="AC879" s="28"/>
      <c r="AD879" s="28"/>
      <c r="AE879" s="28"/>
      <c r="AF879" s="29"/>
      <c r="AG879" s="29"/>
    </row>
    <row r="880" spans="1:33" ht="15.75" customHeight="1">
      <c r="A880" s="32" t="s">
        <v>196</v>
      </c>
      <c r="B880" s="33">
        <v>892</v>
      </c>
      <c r="C880" s="34" t="s">
        <v>5276</v>
      </c>
      <c r="D880" s="35">
        <v>45906.414993136576</v>
      </c>
      <c r="E880" s="43">
        <v>45906</v>
      </c>
      <c r="F880" s="32" t="s">
        <v>5282</v>
      </c>
      <c r="G880" s="32" t="s">
        <v>5283</v>
      </c>
      <c r="H880" s="32" t="s">
        <v>5284</v>
      </c>
      <c r="I880" s="36" t="s">
        <v>5285</v>
      </c>
      <c r="J880" s="52" t="s">
        <v>5286</v>
      </c>
      <c r="K880" s="32" t="s">
        <v>5287</v>
      </c>
      <c r="L880" s="32" t="s">
        <v>490</v>
      </c>
      <c r="M880" s="32" t="s">
        <v>5288</v>
      </c>
      <c r="N880" s="33">
        <v>5</v>
      </c>
      <c r="O880" s="35"/>
      <c r="P880" s="35"/>
      <c r="Q880" s="37"/>
      <c r="R880" s="38"/>
      <c r="S880" s="33"/>
      <c r="T880" s="39">
        <v>197000</v>
      </c>
      <c r="U880" s="40"/>
      <c r="V880" s="41"/>
      <c r="W880" s="42" t="str">
        <f ca="1">IFERROR(__xludf.DUMMYFUNCTION("""COMPUTED_VALUE"""),"Bekam Panggilan")</f>
        <v>Bekam Panggilan</v>
      </c>
      <c r="X880" s="42" t="str">
        <f ca="1"/>
        <v>ON-Bekam Panggilan-00011900+5-6283149477297</v>
      </c>
      <c r="Y880" s="40" t="s">
        <v>62</v>
      </c>
      <c r="Z880" s="40" t="s">
        <v>639</v>
      </c>
      <c r="AA880" s="23" t="str">
        <v>https://wa.me/6283149477297</v>
      </c>
      <c r="AB880" s="28" t="s">
        <v>5289</v>
      </c>
      <c r="AC880" s="28"/>
      <c r="AD880" s="28" t="s">
        <v>690</v>
      </c>
      <c r="AE880" s="28"/>
      <c r="AF880" s="29">
        <v>45909</v>
      </c>
      <c r="AG880" s="29"/>
    </row>
    <row r="881" spans="1:33" ht="15.75" customHeight="1">
      <c r="A881" s="32" t="s">
        <v>196</v>
      </c>
      <c r="B881" s="33">
        <v>893</v>
      </c>
      <c r="C881" s="34" t="s">
        <v>5277</v>
      </c>
      <c r="D881" s="35">
        <v>45906.48351111111</v>
      </c>
      <c r="E881" s="43">
        <v>45906</v>
      </c>
      <c r="F881" s="32" t="s">
        <v>5290</v>
      </c>
      <c r="G881" s="32" t="s">
        <v>5291</v>
      </c>
      <c r="H881" s="32" t="s">
        <v>5292</v>
      </c>
      <c r="I881" s="36" t="s">
        <v>5293</v>
      </c>
      <c r="J881" s="52"/>
      <c r="K881" s="32" t="s">
        <v>1453</v>
      </c>
      <c r="L881" s="32" t="s">
        <v>5294</v>
      </c>
      <c r="M881" s="32" t="s">
        <v>285</v>
      </c>
      <c r="N881" s="33">
        <v>10</v>
      </c>
      <c r="O881" s="35"/>
      <c r="P881" s="35"/>
      <c r="Q881" s="37"/>
      <c r="R881" s="38"/>
      <c r="S881" s="33"/>
      <c r="T881" s="39">
        <v>375000</v>
      </c>
      <c r="U881" s="40" t="s">
        <v>1229</v>
      </c>
      <c r="V881" s="41"/>
      <c r="W881" s="42" t="str">
        <f ca="1">IFERROR(__xludf.DUMMYFUNCTION("""COMPUTED_VALUE"""),"Ramayana tour's")</f>
        <v>Ramayana tour's</v>
      </c>
      <c r="X881" s="42" t="str">
        <f ca="1"/>
        <v>ON-Ramayana tour's-00011900+10-6281249008778</v>
      </c>
      <c r="Y881" s="40" t="s">
        <v>62</v>
      </c>
      <c r="Z881" s="40" t="s">
        <v>1880</v>
      </c>
      <c r="AA881" s="23" t="str">
        <v>https://wa.me/6281249008778</v>
      </c>
      <c r="AB881" s="28" t="s">
        <v>5295</v>
      </c>
      <c r="AC881" s="28"/>
      <c r="AD881" s="28" t="s">
        <v>690</v>
      </c>
      <c r="AE881" s="28"/>
      <c r="AF881" s="29">
        <v>45909</v>
      </c>
      <c r="AG881" s="29"/>
    </row>
    <row r="882" spans="1:33" ht="15.75" customHeight="1">
      <c r="A882" s="32" t="s">
        <v>52</v>
      </c>
      <c r="B882" s="33">
        <v>894</v>
      </c>
      <c r="C882" s="34" t="s">
        <v>5280</v>
      </c>
      <c r="D882" s="35">
        <v>45906.493638437503</v>
      </c>
      <c r="E882" s="43">
        <v>45906</v>
      </c>
      <c r="F882" s="32" t="s">
        <v>4761</v>
      </c>
      <c r="G882" s="32" t="s">
        <v>4762</v>
      </c>
      <c r="H882" s="32" t="s">
        <v>4763</v>
      </c>
      <c r="I882" s="36" t="s">
        <v>4764</v>
      </c>
      <c r="J882" s="52"/>
      <c r="K882" s="32" t="s">
        <v>4765</v>
      </c>
      <c r="L882" s="32" t="s">
        <v>1926</v>
      </c>
      <c r="M882" s="32" t="s">
        <v>2032</v>
      </c>
      <c r="N882" s="33">
        <v>10</v>
      </c>
      <c r="O882" s="35"/>
      <c r="P882" s="35"/>
      <c r="Q882" s="37"/>
      <c r="R882" s="38"/>
      <c r="S882" s="33"/>
      <c r="T882" s="39">
        <v>375000</v>
      </c>
      <c r="U882" s="40" t="s">
        <v>61</v>
      </c>
      <c r="V882" s="41"/>
      <c r="W882" s="42" t="str">
        <f ca="1">IFERROR(__xludf.DUMMYFUNCTION("""COMPUTED_VALUE"""),"Nunce Gemilang")</f>
        <v>Nunce Gemilang</v>
      </c>
      <c r="X882" s="42" t="str">
        <f ca="1"/>
        <v>ON-Nunce Gemilang-00011900+10-6285787104091</v>
      </c>
      <c r="Y882" s="40"/>
      <c r="Z882" s="40"/>
      <c r="AA882" s="23" t="str">
        <v>https://wa.me/6285787104091</v>
      </c>
      <c r="AB882" s="28"/>
      <c r="AC882" s="28"/>
      <c r="AD882" s="28"/>
      <c r="AE882" s="28"/>
      <c r="AF882" s="29"/>
      <c r="AG882" s="29"/>
    </row>
    <row r="883" spans="1:33" ht="15.75" customHeight="1">
      <c r="A883" s="32" t="s">
        <v>196</v>
      </c>
      <c r="B883" s="33">
        <v>895</v>
      </c>
      <c r="C883" s="34" t="s">
        <v>5296</v>
      </c>
      <c r="D883" s="35">
        <v>45906.501264050923</v>
      </c>
      <c r="E883" s="43">
        <v>45905</v>
      </c>
      <c r="F883" s="32" t="s">
        <v>5297</v>
      </c>
      <c r="G883" s="32" t="s">
        <v>5298</v>
      </c>
      <c r="H883" s="32" t="s">
        <v>5299</v>
      </c>
      <c r="I883" s="36" t="s">
        <v>5300</v>
      </c>
      <c r="J883" s="52" t="s">
        <v>5301</v>
      </c>
      <c r="K883" s="32" t="s">
        <v>5302</v>
      </c>
      <c r="L883" s="32" t="s">
        <v>5303</v>
      </c>
      <c r="M883" s="32" t="s">
        <v>92</v>
      </c>
      <c r="N883" s="33">
        <v>5</v>
      </c>
      <c r="O883" s="35"/>
      <c r="P883" s="35"/>
      <c r="Q883" s="37"/>
      <c r="R883" s="38"/>
      <c r="S883" s="33"/>
      <c r="T883" s="39">
        <v>197000</v>
      </c>
      <c r="U883" s="40" t="s">
        <v>1229</v>
      </c>
      <c r="V883" s="41"/>
      <c r="W883" s="42" t="str">
        <f ca="1">IFERROR(__xludf.DUMMYFUNCTION("""COMPUTED_VALUE"""),"Jasa badut")</f>
        <v>Jasa badut</v>
      </c>
      <c r="X883" s="42" t="str">
        <f ca="1"/>
        <v>ON-Jasa badut-00011900+5-6282391199993</v>
      </c>
      <c r="Y883" s="40" t="s">
        <v>62</v>
      </c>
      <c r="Z883" s="40" t="s">
        <v>1465</v>
      </c>
      <c r="AA883" s="23" t="str">
        <v>https://wa.me/6282391199993</v>
      </c>
      <c r="AB883" s="28" t="s">
        <v>5304</v>
      </c>
      <c r="AC883" s="28"/>
      <c r="AD883" s="28" t="s">
        <v>690</v>
      </c>
      <c r="AE883" s="28"/>
      <c r="AF883" s="29">
        <v>45909</v>
      </c>
      <c r="AG883" s="29"/>
    </row>
    <row r="884" spans="1:33" ht="15.75" customHeight="1">
      <c r="A884" s="32" t="s">
        <v>52</v>
      </c>
      <c r="B884" s="33">
        <v>896</v>
      </c>
      <c r="C884" s="34" t="s">
        <v>5305</v>
      </c>
      <c r="D884" s="35">
        <v>45906.590548749999</v>
      </c>
      <c r="E884" s="43">
        <v>45906</v>
      </c>
      <c r="F884" s="32" t="s">
        <v>4336</v>
      </c>
      <c r="G884" s="32" t="s">
        <v>4337</v>
      </c>
      <c r="H884" s="32" t="s">
        <v>4338</v>
      </c>
      <c r="I884" s="36" t="s">
        <v>4339</v>
      </c>
      <c r="J884" s="52"/>
      <c r="K884" s="32" t="s">
        <v>4340</v>
      </c>
      <c r="L884" s="32" t="s">
        <v>3079</v>
      </c>
      <c r="M884" s="32" t="s">
        <v>800</v>
      </c>
      <c r="N884" s="33">
        <v>5</v>
      </c>
      <c r="O884" s="35"/>
      <c r="P884" s="35"/>
      <c r="Q884" s="37"/>
      <c r="R884" s="38"/>
      <c r="S884" s="33"/>
      <c r="T884" s="39">
        <v>197000</v>
      </c>
      <c r="U884" s="40" t="s">
        <v>1229</v>
      </c>
      <c r="V884" s="41"/>
      <c r="W884" s="42" t="str">
        <f ca="1">IFERROR(__xludf.DUMMYFUNCTION("""COMPUTED_VALUE"""),"Las panggilan")</f>
        <v>Las panggilan</v>
      </c>
      <c r="X884" s="42" t="str">
        <f ca="1"/>
        <v>ON-Las panggilan-00011900+5-6285333355756</v>
      </c>
      <c r="Y884" s="40"/>
      <c r="Z884" s="40"/>
      <c r="AA884" s="23" t="str">
        <v>https://wa.me/6285333355756</v>
      </c>
      <c r="AB884" s="28"/>
      <c r="AC884" s="28"/>
      <c r="AD884" s="28"/>
      <c r="AE884" s="28"/>
      <c r="AF884" s="29"/>
      <c r="AG884" s="29"/>
    </row>
    <row r="885" spans="1:33" ht="15.75" customHeight="1">
      <c r="A885" s="32" t="s">
        <v>52</v>
      </c>
      <c r="B885" s="33">
        <v>897</v>
      </c>
      <c r="C885" s="34" t="s">
        <v>5306</v>
      </c>
      <c r="D885" s="35">
        <v>45906.667053541663</v>
      </c>
      <c r="E885" s="43">
        <v>45906</v>
      </c>
      <c r="F885" s="32" t="s">
        <v>2405</v>
      </c>
      <c r="G885" s="32" t="s">
        <v>2406</v>
      </c>
      <c r="H885" s="32" t="s">
        <v>66</v>
      </c>
      <c r="I885" s="36" t="s">
        <v>2407</v>
      </c>
      <c r="J885" s="52"/>
      <c r="K885" s="32" t="s">
        <v>46</v>
      </c>
      <c r="L885" s="32" t="s">
        <v>2408</v>
      </c>
      <c r="M885" s="32" t="s">
        <v>60</v>
      </c>
      <c r="N885" s="33">
        <v>5</v>
      </c>
      <c r="O885" s="35"/>
      <c r="P885" s="35"/>
      <c r="Q885" s="37"/>
      <c r="R885" s="38"/>
      <c r="S885" s="33"/>
      <c r="T885" s="39">
        <v>197000</v>
      </c>
      <c r="U885" s="40" t="s">
        <v>61</v>
      </c>
      <c r="V885" s="41"/>
      <c r="W885" s="42" t="str">
        <f ca="1">IFERROR(__xludf.DUMMYFUNCTION("""COMPUTED_VALUE"""),"Superman Interior")</f>
        <v>Superman Interior</v>
      </c>
      <c r="X885" s="42" t="str">
        <f ca="1"/>
        <v>ON-Superman Interior-00011900+5-62881038177010</v>
      </c>
      <c r="Y885" s="40"/>
      <c r="Z885" s="40"/>
      <c r="AA885" s="23" t="str">
        <v>https://wa.me/62881038177010</v>
      </c>
      <c r="AB885" s="28"/>
      <c r="AC885" s="28"/>
      <c r="AD885" s="28"/>
      <c r="AE885" s="28"/>
      <c r="AF885" s="29"/>
      <c r="AG885" s="29"/>
    </row>
    <row r="886" spans="1:33" ht="15.75" customHeight="1">
      <c r="A886" s="32" t="s">
        <v>52</v>
      </c>
      <c r="B886" s="33">
        <v>899</v>
      </c>
      <c r="C886" s="34" t="s">
        <v>5307</v>
      </c>
      <c r="D886" s="35">
        <v>45906.7514758912</v>
      </c>
      <c r="E886" s="43">
        <v>45906</v>
      </c>
      <c r="F886" s="32" t="s">
        <v>4155</v>
      </c>
      <c r="G886" s="32" t="s">
        <v>5308</v>
      </c>
      <c r="H886" s="32" t="s">
        <v>5309</v>
      </c>
      <c r="I886" s="36" t="s">
        <v>4158</v>
      </c>
      <c r="J886" s="52"/>
      <c r="K886" s="32" t="s">
        <v>570</v>
      </c>
      <c r="L886" s="32" t="s">
        <v>726</v>
      </c>
      <c r="M886" s="32" t="s">
        <v>60</v>
      </c>
      <c r="N886" s="33">
        <v>5</v>
      </c>
      <c r="O886" s="35"/>
      <c r="P886" s="35"/>
      <c r="Q886" s="37"/>
      <c r="R886" s="38"/>
      <c r="S886" s="33"/>
      <c r="T886" s="39">
        <v>197000</v>
      </c>
      <c r="U886" s="40" t="s">
        <v>1774</v>
      </c>
      <c r="V886" s="41"/>
      <c r="W886" s="42" t="str">
        <f ca="1">IFERROR(__xludf.DUMMYFUNCTION("""COMPUTED_VALUE"""),"CV zhafira")</f>
        <v>CV zhafira</v>
      </c>
      <c r="X886" s="42" t="str">
        <f ca="1"/>
        <v>ON-CV zhafira-00011900+5-6281990865975</v>
      </c>
      <c r="Y886" s="40"/>
      <c r="Z886" s="40"/>
      <c r="AA886" s="23" t="str">
        <v>https://wa.me/6281990865975</v>
      </c>
      <c r="AB886" s="28"/>
      <c r="AC886" s="28"/>
      <c r="AD886" s="28"/>
      <c r="AE886" s="28"/>
      <c r="AF886" s="29"/>
      <c r="AG886" s="29"/>
    </row>
    <row r="887" spans="1:33" ht="15.75" customHeight="1">
      <c r="A887" s="32" t="s">
        <v>52</v>
      </c>
      <c r="B887" s="33">
        <v>900</v>
      </c>
      <c r="C887" s="34" t="s">
        <v>5310</v>
      </c>
      <c r="D887" s="35">
        <v>45907.385687037036</v>
      </c>
      <c r="E887" s="43">
        <v>45907</v>
      </c>
      <c r="F887" s="32" t="s">
        <v>4484</v>
      </c>
      <c r="G887" s="32" t="s">
        <v>4485</v>
      </c>
      <c r="H887" s="32" t="s">
        <v>5311</v>
      </c>
      <c r="I887" s="36" t="s">
        <v>4486</v>
      </c>
      <c r="J887" s="52"/>
      <c r="K887" s="32" t="s">
        <v>5312</v>
      </c>
      <c r="L887" s="32" t="s">
        <v>1250</v>
      </c>
      <c r="M887" s="32" t="s">
        <v>60</v>
      </c>
      <c r="N887" s="33">
        <v>5</v>
      </c>
      <c r="O887" s="35"/>
      <c r="P887" s="35"/>
      <c r="Q887" s="37"/>
      <c r="R887" s="38"/>
      <c r="S887" s="33"/>
      <c r="T887" s="39">
        <v>197000</v>
      </c>
      <c r="U887" s="40" t="s">
        <v>61</v>
      </c>
      <c r="V887" s="41"/>
      <c r="W887" s="42" t="str">
        <f ca="1">IFERROR(__xludf.DUMMYFUNCTION("""COMPUTED_VALUE"""),"Totok Syaraf")</f>
        <v>Totok Syaraf</v>
      </c>
      <c r="X887" s="42" t="str">
        <f ca="1"/>
        <v>ON-Totok Syaraf-00011900+5-6285169730762</v>
      </c>
      <c r="Y887" s="40"/>
      <c r="Z887" s="40"/>
      <c r="AA887" s="23" t="str">
        <v>https://wa.me/6285169730762</v>
      </c>
      <c r="AB887" s="28"/>
      <c r="AC887" s="28"/>
      <c r="AD887" s="28"/>
      <c r="AE887" s="28"/>
      <c r="AF887" s="29"/>
      <c r="AG887" s="29"/>
    </row>
    <row r="888" spans="1:33" ht="15.75" customHeight="1">
      <c r="A888" s="32" t="s">
        <v>196</v>
      </c>
      <c r="B888" s="33">
        <v>901</v>
      </c>
      <c r="C888" s="34" t="s">
        <v>5313</v>
      </c>
      <c r="D888" s="35">
        <v>45907.418867847227</v>
      </c>
      <c r="E888" s="43">
        <v>45906</v>
      </c>
      <c r="F888" s="32" t="s">
        <v>5314</v>
      </c>
      <c r="G888" s="32" t="s">
        <v>5315</v>
      </c>
      <c r="H888" s="32" t="s">
        <v>1030</v>
      </c>
      <c r="I888" s="36" t="s">
        <v>5316</v>
      </c>
      <c r="J888" s="52"/>
      <c r="K888" s="32" t="s">
        <v>5317</v>
      </c>
      <c r="L888" s="32" t="s">
        <v>1117</v>
      </c>
      <c r="M888" s="32" t="s">
        <v>60</v>
      </c>
      <c r="N888" s="33">
        <v>5</v>
      </c>
      <c r="O888" s="35"/>
      <c r="P888" s="35"/>
      <c r="Q888" s="37"/>
      <c r="R888" s="38"/>
      <c r="S888" s="33"/>
      <c r="T888" s="39">
        <v>197000</v>
      </c>
      <c r="U888" s="40" t="s">
        <v>61</v>
      </c>
      <c r="V888" s="41"/>
      <c r="W888" s="42" t="str">
        <f ca="1">IFERROR(__xludf.DUMMYFUNCTION("""COMPUTED_VALUE"""),"Fadila Terapi")</f>
        <v>Fadila Terapi</v>
      </c>
      <c r="X888" s="42" t="str">
        <f ca="1"/>
        <v>ON-Fadila Terapi-00011900+5-6281460494182</v>
      </c>
      <c r="Y888" s="40" t="s">
        <v>62</v>
      </c>
      <c r="Z888" s="40" t="s">
        <v>639</v>
      </c>
      <c r="AA888" s="23" t="str">
        <v>https://wa.me/6281460494182</v>
      </c>
      <c r="AB888" s="28" t="s">
        <v>5318</v>
      </c>
      <c r="AC888" s="28"/>
      <c r="AD888" s="28" t="s">
        <v>690</v>
      </c>
      <c r="AE888" s="28"/>
      <c r="AF888" s="29">
        <v>45909</v>
      </c>
      <c r="AG888" s="29"/>
    </row>
    <row r="889" spans="1:33" ht="15.75" customHeight="1">
      <c r="A889" s="32" t="s">
        <v>196</v>
      </c>
      <c r="B889" s="33">
        <v>902</v>
      </c>
      <c r="C889" s="34" t="s">
        <v>5319</v>
      </c>
      <c r="D889" s="35">
        <v>45907.538519745372</v>
      </c>
      <c r="E889" s="43">
        <v>45907</v>
      </c>
      <c r="F889" s="32" t="s">
        <v>2200</v>
      </c>
      <c r="G889" s="32" t="s">
        <v>2202</v>
      </c>
      <c r="H889" s="32" t="s">
        <v>5320</v>
      </c>
      <c r="I889" s="36" t="s">
        <v>2203</v>
      </c>
      <c r="J889" s="52"/>
      <c r="K889" s="32" t="s">
        <v>5321</v>
      </c>
      <c r="L889" s="32" t="s">
        <v>5322</v>
      </c>
      <c r="M889" s="32" t="s">
        <v>1888</v>
      </c>
      <c r="N889" s="33">
        <v>5</v>
      </c>
      <c r="O889" s="35"/>
      <c r="P889" s="35"/>
      <c r="Q889" s="37"/>
      <c r="R889" s="38"/>
      <c r="S889" s="33"/>
      <c r="T889" s="39">
        <v>197000</v>
      </c>
      <c r="U889" s="40" t="s">
        <v>61</v>
      </c>
      <c r="V889" s="41"/>
      <c r="W889" s="42" t="str">
        <f ca="1">IFERROR(__xludf.DUMMYFUNCTION("""COMPUTED_VALUE"""),"Terapi Barqun")</f>
        <v>Terapi Barqun</v>
      </c>
      <c r="X889" s="42" t="str">
        <f ca="1"/>
        <v>ON-Terapi Barqun-00011900+5-62895374644456</v>
      </c>
      <c r="Y889" s="40" t="s">
        <v>62</v>
      </c>
      <c r="Z889" s="40" t="s">
        <v>639</v>
      </c>
      <c r="AA889" s="23" t="str">
        <v>https://wa.me/62895374644456</v>
      </c>
      <c r="AB889" s="28" t="s">
        <v>5323</v>
      </c>
      <c r="AC889" s="28"/>
      <c r="AD889" s="28" t="s">
        <v>690</v>
      </c>
      <c r="AE889" s="28"/>
      <c r="AF889" s="29">
        <v>45910</v>
      </c>
      <c r="AG889" s="29"/>
    </row>
    <row r="890" spans="1:33" ht="15.75" customHeight="1">
      <c r="A890" s="32" t="s">
        <v>621</v>
      </c>
      <c r="B890" s="33">
        <v>903</v>
      </c>
      <c r="C890" s="34" t="s">
        <v>5324</v>
      </c>
      <c r="D890" s="35">
        <v>45907.58325354167</v>
      </c>
      <c r="E890" s="43">
        <v>45904</v>
      </c>
      <c r="F890" s="32" t="s">
        <v>5325</v>
      </c>
      <c r="G890" s="32" t="s">
        <v>5326</v>
      </c>
      <c r="H890" s="32" t="s">
        <v>5327</v>
      </c>
      <c r="I890" s="36" t="s">
        <v>5328</v>
      </c>
      <c r="J890" s="52" t="s">
        <v>5329</v>
      </c>
      <c r="K890" s="32" t="s">
        <v>3619</v>
      </c>
      <c r="L890" s="32" t="s">
        <v>4068</v>
      </c>
      <c r="M890" s="32" t="s">
        <v>60</v>
      </c>
      <c r="N890" s="33">
        <v>5</v>
      </c>
      <c r="O890" s="35"/>
      <c r="P890" s="35"/>
      <c r="Q890" s="37"/>
      <c r="R890" s="38"/>
      <c r="S890" s="33"/>
      <c r="T890" s="39">
        <v>197000</v>
      </c>
      <c r="U890" s="40" t="s">
        <v>61</v>
      </c>
      <c r="V890" s="41"/>
      <c r="W890" s="42" t="str">
        <f ca="1">IFERROR(__xludf.DUMMYFUNCTION("""COMPUTED_VALUE"""),"PT Zahiraindo")</f>
        <v>PT Zahiraindo</v>
      </c>
      <c r="X890" s="42" t="str">
        <f ca="1"/>
        <v>ON-PT Zahiraindo-00011900+5-6282393369967</v>
      </c>
      <c r="Y890" s="40"/>
      <c r="Z890" s="40"/>
      <c r="AA890" s="23" t="str">
        <v>https://wa.me/6282393369967</v>
      </c>
      <c r="AB890" s="28"/>
      <c r="AC890" s="28"/>
      <c r="AD890" s="28"/>
      <c r="AE890" s="28"/>
      <c r="AF890" s="29"/>
      <c r="AG890" s="29"/>
    </row>
    <row r="891" spans="1:33" ht="15.75" customHeight="1">
      <c r="A891" s="32" t="s">
        <v>196</v>
      </c>
      <c r="B891" s="33">
        <v>904</v>
      </c>
      <c r="C891" s="34" t="s">
        <v>5330</v>
      </c>
      <c r="D891" s="35">
        <v>45907.675633715276</v>
      </c>
      <c r="E891" s="43">
        <v>45907</v>
      </c>
      <c r="F891" s="32" t="s">
        <v>5331</v>
      </c>
      <c r="G891" s="32" t="s">
        <v>5332</v>
      </c>
      <c r="H891" s="32" t="s">
        <v>5333</v>
      </c>
      <c r="I891" s="36" t="s">
        <v>5334</v>
      </c>
      <c r="J891" s="52"/>
      <c r="K891" s="32" t="s">
        <v>5335</v>
      </c>
      <c r="L891" s="32" t="s">
        <v>5336</v>
      </c>
      <c r="M891" s="32" t="s">
        <v>60</v>
      </c>
      <c r="N891" s="33">
        <v>20</v>
      </c>
      <c r="O891" s="35"/>
      <c r="P891" s="35"/>
      <c r="Q891" s="37"/>
      <c r="R891" s="38"/>
      <c r="S891" s="33"/>
      <c r="T891" s="39">
        <v>700000</v>
      </c>
      <c r="U891" s="40" t="s">
        <v>1229</v>
      </c>
      <c r="V891" s="41"/>
      <c r="W891" s="42" t="str">
        <f ca="1">IFERROR(__xludf.DUMMYFUNCTION("""COMPUTED_VALUE"""),"PT global")</f>
        <v>PT global</v>
      </c>
      <c r="X891" s="42" t="str">
        <f ca="1"/>
        <v>ON-PT global-00011900+20-6281355662725</v>
      </c>
      <c r="Y891" s="40" t="s">
        <v>62</v>
      </c>
      <c r="Z891" s="40" t="s">
        <v>1880</v>
      </c>
      <c r="AA891" s="23" t="str">
        <v>https://wa.me/6281355662725</v>
      </c>
      <c r="AB891" s="28" t="s">
        <v>5337</v>
      </c>
      <c r="AC891" s="28"/>
      <c r="AD891" s="28" t="s">
        <v>690</v>
      </c>
      <c r="AE891" s="28"/>
      <c r="AF891" s="29">
        <v>45910</v>
      </c>
      <c r="AG891" s="29"/>
    </row>
    <row r="892" spans="1:33" ht="15.75" customHeight="1">
      <c r="A892" s="32" t="s">
        <v>196</v>
      </c>
      <c r="B892" s="33">
        <v>905</v>
      </c>
      <c r="C892" s="34" t="s">
        <v>5338</v>
      </c>
      <c r="D892" s="35">
        <v>45907.69156825231</v>
      </c>
      <c r="E892" s="43">
        <v>45907</v>
      </c>
      <c r="F892" s="32" t="s">
        <v>125</v>
      </c>
      <c r="G892" s="32" t="s">
        <v>5339</v>
      </c>
      <c r="H892" s="32" t="s">
        <v>5340</v>
      </c>
      <c r="I892" s="36" t="s">
        <v>5341</v>
      </c>
      <c r="J892" s="52"/>
      <c r="K892" s="32" t="s">
        <v>2132</v>
      </c>
      <c r="L892" s="32" t="s">
        <v>1542</v>
      </c>
      <c r="M892" s="32" t="s">
        <v>205</v>
      </c>
      <c r="N892" s="33">
        <v>10</v>
      </c>
      <c r="O892" s="35"/>
      <c r="P892" s="35"/>
      <c r="Q892" s="37"/>
      <c r="R892" s="38"/>
      <c r="S892" s="33"/>
      <c r="T892" s="39">
        <v>375000</v>
      </c>
      <c r="U892" s="40" t="s">
        <v>1229</v>
      </c>
      <c r="V892" s="41"/>
      <c r="W892" s="42" t="str">
        <f ca="1">IFERROR(__xludf.DUMMYFUNCTION("""COMPUTED_VALUE"""),"Nakamura Massage")</f>
        <v>Nakamura Massage</v>
      </c>
      <c r="X892" s="42" t="str">
        <f ca="1"/>
        <v>ON-Nakamura Massage-00011900+10-6282220371971</v>
      </c>
      <c r="Y892" s="40" t="s">
        <v>62</v>
      </c>
      <c r="Z892" s="40" t="s">
        <v>639</v>
      </c>
      <c r="AA892" s="23" t="str">
        <v>https://wa.me/6282220371971</v>
      </c>
      <c r="AB892" s="28" t="s">
        <v>5342</v>
      </c>
      <c r="AC892" s="28"/>
      <c r="AD892" s="28" t="s">
        <v>690</v>
      </c>
      <c r="AE892" s="28"/>
      <c r="AF892" s="29">
        <v>45910</v>
      </c>
      <c r="AG892" s="29"/>
    </row>
    <row r="893" spans="1:33" ht="15.75" customHeight="1">
      <c r="A893" s="32" t="s">
        <v>52</v>
      </c>
      <c r="B893" s="33">
        <v>906</v>
      </c>
      <c r="C893" s="34" t="s">
        <v>5343</v>
      </c>
      <c r="D893" s="35">
        <v>45908.314391886575</v>
      </c>
      <c r="E893" s="43">
        <v>45908</v>
      </c>
      <c r="F893" s="32" t="s">
        <v>3907</v>
      </c>
      <c r="G893" s="32" t="s">
        <v>3908</v>
      </c>
      <c r="H893" s="32" t="s">
        <v>3909</v>
      </c>
      <c r="I893" s="36" t="s">
        <v>3910</v>
      </c>
      <c r="J893" s="52"/>
      <c r="K893" s="32" t="s">
        <v>317</v>
      </c>
      <c r="L893" s="32" t="s">
        <v>3911</v>
      </c>
      <c r="M893" s="32" t="s">
        <v>205</v>
      </c>
      <c r="N893" s="33">
        <v>7</v>
      </c>
      <c r="O893" s="35"/>
      <c r="P893" s="35"/>
      <c r="Q893" s="37"/>
      <c r="R893" s="38"/>
      <c r="S893" s="33"/>
      <c r="T893" s="39">
        <v>225000</v>
      </c>
      <c r="U893" s="40" t="s">
        <v>61</v>
      </c>
      <c r="V893" s="41"/>
      <c r="W893" s="42" t="str">
        <f ca="1">IFERROR(__xludf.DUMMYFUNCTION("""COMPUTED_VALUE"""),"Aurora Teknik")</f>
        <v>Aurora Teknik</v>
      </c>
      <c r="X893" s="42" t="str">
        <f ca="1"/>
        <v>ON-Aurora Teknik-00011900+7-6285376667233</v>
      </c>
      <c r="Y893" s="40"/>
      <c r="Z893" s="40"/>
      <c r="AA893" s="23" t="str">
        <v>https://wa.me/6285376667233</v>
      </c>
      <c r="AB893" s="28"/>
      <c r="AC893" s="28"/>
      <c r="AD893" s="28"/>
      <c r="AE893" s="28"/>
      <c r="AF893" s="29"/>
      <c r="AG893" s="29"/>
    </row>
    <row r="894" spans="1:33" ht="15.75" customHeight="1">
      <c r="A894" s="32" t="s">
        <v>196</v>
      </c>
      <c r="B894" s="33">
        <v>906</v>
      </c>
      <c r="C894" s="34" t="s">
        <v>5343</v>
      </c>
      <c r="D894" s="35">
        <v>45908.447180300922</v>
      </c>
      <c r="E894" s="43">
        <v>45903</v>
      </c>
      <c r="F894" s="32" t="s">
        <v>5344</v>
      </c>
      <c r="G894" s="32" t="s">
        <v>5345</v>
      </c>
      <c r="H894" s="32" t="s">
        <v>5133</v>
      </c>
      <c r="I894" s="36" t="s">
        <v>5346</v>
      </c>
      <c r="J894" s="52"/>
      <c r="K894" s="32" t="s">
        <v>5347</v>
      </c>
      <c r="L894" s="32" t="s">
        <v>5348</v>
      </c>
      <c r="M894" s="32" t="s">
        <v>285</v>
      </c>
      <c r="N894" s="33">
        <v>5</v>
      </c>
      <c r="O894" s="35"/>
      <c r="P894" s="35"/>
      <c r="Q894" s="37"/>
      <c r="R894" s="38"/>
      <c r="S894" s="33"/>
      <c r="T894" s="39">
        <v>197000</v>
      </c>
      <c r="U894" s="40" t="s">
        <v>1229</v>
      </c>
      <c r="V894" s="41"/>
      <c r="W894" s="42" t="str">
        <f ca="1">IFERROR(__xludf.DUMMYFUNCTION("""COMPUTED_VALUE"""),"Refleksi jitu")</f>
        <v>Refleksi jitu</v>
      </c>
      <c r="X894" s="42" t="str">
        <f ca="1"/>
        <v>ON-Refleksi jitu-00011900+5-6282280771367 6282280771367</v>
      </c>
      <c r="Y894" s="40" t="s">
        <v>62</v>
      </c>
      <c r="Z894" s="40" t="s">
        <v>639</v>
      </c>
      <c r="AA894" s="20" t="str">
        <v>https://wa.me/6282280771367 6282280771367</v>
      </c>
      <c r="AB894" s="28" t="s">
        <v>5349</v>
      </c>
      <c r="AC894" s="28"/>
      <c r="AD894" s="28" t="s">
        <v>690</v>
      </c>
      <c r="AE894" s="28"/>
      <c r="AF894" s="29">
        <v>45909</v>
      </c>
      <c r="AG894" s="29"/>
    </row>
    <row r="895" spans="1:33" ht="15.75" customHeight="1">
      <c r="A895" s="32" t="s">
        <v>196</v>
      </c>
      <c r="B895" s="33">
        <v>907</v>
      </c>
      <c r="C895" s="34" t="s">
        <v>5350</v>
      </c>
      <c r="D895" s="35">
        <v>45908.450209965275</v>
      </c>
      <c r="E895" s="43">
        <v>45908</v>
      </c>
      <c r="F895" s="32" t="s">
        <v>5351</v>
      </c>
      <c r="G895" s="32" t="s">
        <v>5352</v>
      </c>
      <c r="H895" s="32" t="s">
        <v>5353</v>
      </c>
      <c r="I895" s="36" t="s">
        <v>5354</v>
      </c>
      <c r="J895" s="52" t="s">
        <v>5355</v>
      </c>
      <c r="K895" s="32" t="s">
        <v>4553</v>
      </c>
      <c r="L895" s="32" t="s">
        <v>5303</v>
      </c>
      <c r="M895" s="32" t="s">
        <v>3788</v>
      </c>
      <c r="N895" s="33">
        <v>20</v>
      </c>
      <c r="O895" s="35"/>
      <c r="P895" s="35"/>
      <c r="Q895" s="37"/>
      <c r="R895" s="38"/>
      <c r="S895" s="33"/>
      <c r="T895" s="39">
        <v>550000</v>
      </c>
      <c r="U895" s="40" t="s">
        <v>1229</v>
      </c>
      <c r="V895" s="41"/>
      <c r="W895" s="42" t="str">
        <f ca="1">IFERROR(__xludf.DUMMYFUNCTION("""COMPUTED_VALUE"""),"Jasa tukang")</f>
        <v>Jasa tukang</v>
      </c>
      <c r="X895" s="42" t="str">
        <f ca="1"/>
        <v>ON-Jasa tukang-00011900+20-6282364480929</v>
      </c>
      <c r="Y895" s="40" t="s">
        <v>293</v>
      </c>
      <c r="Z895" s="40" t="s">
        <v>1057</v>
      </c>
      <c r="AA895" s="23" t="str">
        <v>https://wa.me/6282364480929</v>
      </c>
      <c r="AB895" s="28" t="s">
        <v>5356</v>
      </c>
      <c r="AC895" s="28"/>
      <c r="AD895" s="28" t="s">
        <v>690</v>
      </c>
      <c r="AE895" s="28"/>
      <c r="AF895" s="29">
        <v>45911</v>
      </c>
      <c r="AG895" s="29"/>
    </row>
    <row r="896" spans="1:33" ht="15.75" customHeight="1">
      <c r="A896" s="32" t="s">
        <v>196</v>
      </c>
      <c r="B896" s="33">
        <v>908</v>
      </c>
      <c r="C896" s="34" t="s">
        <v>5357</v>
      </c>
      <c r="D896" s="35">
        <v>45908.458946805556</v>
      </c>
      <c r="E896" s="43">
        <v>45907</v>
      </c>
      <c r="F896" s="32" t="s">
        <v>5358</v>
      </c>
      <c r="G896" s="32" t="s">
        <v>5359</v>
      </c>
      <c r="H896" s="32" t="s">
        <v>5360</v>
      </c>
      <c r="I896" s="36" t="s">
        <v>5361</v>
      </c>
      <c r="J896" s="52"/>
      <c r="K896" s="32" t="s">
        <v>5362</v>
      </c>
      <c r="L896" s="32" t="s">
        <v>166</v>
      </c>
      <c r="M896" s="32" t="s">
        <v>711</v>
      </c>
      <c r="N896" s="33">
        <v>10</v>
      </c>
      <c r="O896" s="35"/>
      <c r="P896" s="35"/>
      <c r="Q896" s="37"/>
      <c r="R896" s="38"/>
      <c r="S896" s="33"/>
      <c r="T896" s="39">
        <v>375000</v>
      </c>
      <c r="U896" s="40" t="s">
        <v>1229</v>
      </c>
      <c r="V896" s="41"/>
      <c r="W896" s="42" t="str">
        <f ca="1">IFERROR(__xludf.DUMMYFUNCTION("""COMPUTED_VALUE"""),"Dery MHU")</f>
        <v>Dery MHU</v>
      </c>
      <c r="X896" s="42" t="str">
        <f ca="1"/>
        <v>ON-Dery MHU-00011900+10-6281348215665</v>
      </c>
      <c r="Y896" s="40" t="s">
        <v>62</v>
      </c>
      <c r="Z896" s="40" t="s">
        <v>1880</v>
      </c>
      <c r="AA896" s="23" t="str">
        <v>https://wa.me/6281348215665</v>
      </c>
      <c r="AB896" s="28" t="s">
        <v>5363</v>
      </c>
      <c r="AC896" s="28"/>
      <c r="AD896" s="28" t="s">
        <v>690</v>
      </c>
      <c r="AE896" s="28"/>
      <c r="AF896" s="29">
        <v>45910</v>
      </c>
      <c r="AG896" s="29"/>
    </row>
    <row r="897" spans="1:33" ht="15.75" customHeight="1">
      <c r="A897" s="32" t="s">
        <v>196</v>
      </c>
      <c r="B897" s="33">
        <v>909</v>
      </c>
      <c r="C897" s="34" t="s">
        <v>5364</v>
      </c>
      <c r="D897" s="35">
        <v>45908.700176122686</v>
      </c>
      <c r="E897" s="43">
        <v>45908</v>
      </c>
      <c r="F897" s="32" t="s">
        <v>5365</v>
      </c>
      <c r="G897" s="32" t="s">
        <v>5366</v>
      </c>
      <c r="H897" s="32" t="s">
        <v>4982</v>
      </c>
      <c r="I897" s="36" t="s">
        <v>5367</v>
      </c>
      <c r="J897" s="52"/>
      <c r="K897" s="32" t="s">
        <v>5368</v>
      </c>
      <c r="L897" s="32" t="s">
        <v>4893</v>
      </c>
      <c r="M897" s="32" t="s">
        <v>711</v>
      </c>
      <c r="N897" s="33">
        <v>10</v>
      </c>
      <c r="O897" s="35"/>
      <c r="P897" s="35"/>
      <c r="Q897" s="37"/>
      <c r="R897" s="38"/>
      <c r="S897" s="33"/>
      <c r="T897" s="39">
        <v>375000</v>
      </c>
      <c r="U897" s="40" t="s">
        <v>1229</v>
      </c>
      <c r="V897" s="41"/>
      <c r="W897" s="42" t="str">
        <f ca="1">IFERROR(__xludf.DUMMYFUNCTION("""COMPUTED_VALUE"""),"Tirtagucipools")</f>
        <v>Tirtagucipools</v>
      </c>
      <c r="X897" s="42" t="str">
        <f ca="1"/>
        <v>ON-Tirtagucipools-00011900+10-6282111518881</v>
      </c>
      <c r="Y897" s="40" t="s">
        <v>293</v>
      </c>
      <c r="Z897" s="40" t="s">
        <v>1057</v>
      </c>
      <c r="AA897" s="23" t="str">
        <v>https://wa.me/6282111518881</v>
      </c>
      <c r="AB897" s="28" t="s">
        <v>5369</v>
      </c>
      <c r="AC897" s="28"/>
      <c r="AD897" s="28" t="s">
        <v>690</v>
      </c>
      <c r="AE897" s="28"/>
      <c r="AF897" s="29">
        <v>45911</v>
      </c>
      <c r="AG897" s="29"/>
    </row>
    <row r="898" spans="1:33" ht="15.75" customHeight="1">
      <c r="A898" s="32" t="s">
        <v>196</v>
      </c>
      <c r="B898" s="33">
        <v>910</v>
      </c>
      <c r="C898" s="34" t="s">
        <v>5370</v>
      </c>
      <c r="D898" s="35">
        <v>45908.712111805551</v>
      </c>
      <c r="E898" s="43">
        <v>45908</v>
      </c>
      <c r="F898" s="32" t="s">
        <v>5371</v>
      </c>
      <c r="G898" s="32" t="s">
        <v>5372</v>
      </c>
      <c r="H898" s="32" t="s">
        <v>5373</v>
      </c>
      <c r="I898" s="36" t="s">
        <v>5374</v>
      </c>
      <c r="J898" s="52" t="s">
        <v>5375</v>
      </c>
      <c r="K898" s="32" t="s">
        <v>5376</v>
      </c>
      <c r="L898" s="32" t="s">
        <v>92</v>
      </c>
      <c r="M898" s="32" t="s">
        <v>60</v>
      </c>
      <c r="N898" s="33">
        <v>5</v>
      </c>
      <c r="O898" s="35"/>
      <c r="P898" s="35"/>
      <c r="Q898" s="37"/>
      <c r="R898" s="38"/>
      <c r="S898" s="33"/>
      <c r="T898" s="39">
        <v>197000</v>
      </c>
      <c r="U898" s="40" t="s">
        <v>61</v>
      </c>
      <c r="V898" s="41"/>
      <c r="W898" s="42" t="str">
        <f ca="1">IFERROR(__xludf.DUMMYFUNCTION("""COMPUTED_VALUE"""),"Maliki Transport")</f>
        <v>Maliki Transport</v>
      </c>
      <c r="X898" s="42" t="str">
        <f ca="1"/>
        <v>ON-Maliki Transport-00011900+5-6282135496939</v>
      </c>
      <c r="Y898" s="40" t="s">
        <v>62</v>
      </c>
      <c r="Z898" s="40" t="s">
        <v>1880</v>
      </c>
      <c r="AA898" s="23" t="str">
        <v>https://wa.me/6282135496939</v>
      </c>
      <c r="AB898" s="28" t="s">
        <v>5377</v>
      </c>
      <c r="AC898" s="28"/>
      <c r="AD898" s="28" t="s">
        <v>690</v>
      </c>
      <c r="AE898" s="28"/>
      <c r="AF898" s="29">
        <v>45911</v>
      </c>
      <c r="AG898" s="29"/>
    </row>
    <row r="899" spans="1:33" ht="15.75" customHeight="1">
      <c r="A899" s="32" t="s">
        <v>52</v>
      </c>
      <c r="B899" s="33">
        <v>911</v>
      </c>
      <c r="C899" s="34" t="s">
        <v>5378</v>
      </c>
      <c r="D899" s="35">
        <v>45908.717109745368</v>
      </c>
      <c r="E899" s="43">
        <v>45908</v>
      </c>
      <c r="F899" s="32" t="s">
        <v>3134</v>
      </c>
      <c r="G899" s="32" t="s">
        <v>3135</v>
      </c>
      <c r="H899" s="32" t="s">
        <v>3136</v>
      </c>
      <c r="I899" s="36" t="s">
        <v>3137</v>
      </c>
      <c r="J899" s="52"/>
      <c r="K899" s="32" t="s">
        <v>5379</v>
      </c>
      <c r="L899" s="32" t="s">
        <v>2313</v>
      </c>
      <c r="M899" s="32" t="s">
        <v>60</v>
      </c>
      <c r="N899" s="33">
        <v>30</v>
      </c>
      <c r="O899" s="35"/>
      <c r="P899" s="35"/>
      <c r="Q899" s="37"/>
      <c r="R899" s="38"/>
      <c r="S899" s="33"/>
      <c r="T899" s="39">
        <v>1000000</v>
      </c>
      <c r="U899" s="40" t="s">
        <v>61</v>
      </c>
      <c r="V899" s="41"/>
      <c r="W899" s="42" t="str">
        <f ca="1">IFERROR(__xludf.DUMMYFUNCTION("""COMPUTED_VALUE"""),"Prayudah Tour")</f>
        <v>Prayudah Tour</v>
      </c>
      <c r="X899" s="42" t="str">
        <f ca="1"/>
        <v>ON-Prayudah Tour-00011900+30-6282186829904</v>
      </c>
      <c r="Y899" s="40"/>
      <c r="Z899" s="40"/>
      <c r="AA899" s="23" t="str">
        <v>https://wa.me/6282186829904</v>
      </c>
      <c r="AB899" s="28"/>
      <c r="AC899" s="28"/>
      <c r="AD899" s="28"/>
      <c r="AE899" s="28"/>
      <c r="AF899" s="29"/>
      <c r="AG899" s="29"/>
    </row>
    <row r="900" spans="1:33" ht="15.75" customHeight="1">
      <c r="A900" s="32" t="s">
        <v>196</v>
      </c>
      <c r="B900" s="33">
        <v>912</v>
      </c>
      <c r="C900" s="34" t="s">
        <v>5380</v>
      </c>
      <c r="D900" s="35">
        <v>45908.725231608798</v>
      </c>
      <c r="E900" s="43">
        <v>45908</v>
      </c>
      <c r="F900" s="32" t="s">
        <v>5381</v>
      </c>
      <c r="G900" s="32" t="s">
        <v>5382</v>
      </c>
      <c r="H900" s="32" t="s">
        <v>1711</v>
      </c>
      <c r="I900" s="36" t="s">
        <v>5383</v>
      </c>
      <c r="J900" s="52"/>
      <c r="K900" s="32" t="s">
        <v>5384</v>
      </c>
      <c r="L900" s="32" t="s">
        <v>2382</v>
      </c>
      <c r="M900" s="32" t="s">
        <v>60</v>
      </c>
      <c r="N900" s="33">
        <v>5</v>
      </c>
      <c r="O900" s="35"/>
      <c r="P900" s="35"/>
      <c r="Q900" s="37"/>
      <c r="R900" s="38"/>
      <c r="S900" s="33"/>
      <c r="T900" s="39">
        <v>197000</v>
      </c>
      <c r="U900" s="40" t="s">
        <v>61</v>
      </c>
      <c r="V900" s="41"/>
      <c r="W900" s="42" t="str">
        <f ca="1">IFERROR(__xludf.DUMMYFUNCTION("""COMPUTED_VALUE"""),"Griya Sehat")</f>
        <v>Griya Sehat</v>
      </c>
      <c r="X900" s="42" t="str">
        <f ca="1"/>
        <v>ON-Griya Sehat-00011900+5-62817164567</v>
      </c>
      <c r="Y900" s="40" t="s">
        <v>62</v>
      </c>
      <c r="Z900" s="40" t="s">
        <v>639</v>
      </c>
      <c r="AA900" s="23" t="str">
        <v>https://wa.me/62817164567</v>
      </c>
      <c r="AB900" s="28" t="s">
        <v>5385</v>
      </c>
      <c r="AC900" s="28"/>
      <c r="AD900" s="28" t="s">
        <v>690</v>
      </c>
      <c r="AE900" s="28"/>
      <c r="AF900" s="29">
        <v>45914</v>
      </c>
      <c r="AG900" s="29"/>
    </row>
    <row r="901" spans="1:33" ht="15.75" customHeight="1">
      <c r="A901" s="32" t="s">
        <v>196</v>
      </c>
      <c r="B901" s="33">
        <v>913</v>
      </c>
      <c r="C901" s="34" t="s">
        <v>5386</v>
      </c>
      <c r="D901" s="35">
        <v>45908.728531215282</v>
      </c>
      <c r="E901" s="43">
        <v>45904</v>
      </c>
      <c r="F901" s="32" t="s">
        <v>5325</v>
      </c>
      <c r="G901" s="32" t="s">
        <v>5326</v>
      </c>
      <c r="H901" s="32" t="s">
        <v>5327</v>
      </c>
      <c r="I901" s="36" t="s">
        <v>5387</v>
      </c>
      <c r="J901" s="52" t="s">
        <v>5329</v>
      </c>
      <c r="K901" s="32" t="s">
        <v>3619</v>
      </c>
      <c r="L901" s="32" t="s">
        <v>4068</v>
      </c>
      <c r="M901" s="32" t="s">
        <v>60</v>
      </c>
      <c r="N901" s="33">
        <v>5</v>
      </c>
      <c r="O901" s="35"/>
      <c r="P901" s="35"/>
      <c r="Q901" s="37"/>
      <c r="R901" s="38"/>
      <c r="S901" s="33"/>
      <c r="T901" s="39">
        <v>197000</v>
      </c>
      <c r="U901" s="40" t="s">
        <v>61</v>
      </c>
      <c r="V901" s="41"/>
      <c r="W901" s="42" t="str">
        <f ca="1">IFERROR(__xludf.DUMMYFUNCTION("""COMPUTED_VALUE"""),"PT Zahiraindo")</f>
        <v>PT Zahiraindo</v>
      </c>
      <c r="X901" s="42" t="str">
        <f ca="1"/>
        <v>ON-PT Zahiraindo-00011900+5-6282195508557</v>
      </c>
      <c r="Y901" s="40" t="s">
        <v>293</v>
      </c>
      <c r="Z901" s="40" t="s">
        <v>1057</v>
      </c>
      <c r="AA901" s="23" t="str">
        <v>https://wa.me/6282195508557</v>
      </c>
      <c r="AB901" s="28" t="s">
        <v>5388</v>
      </c>
      <c r="AC901" s="28"/>
      <c r="AD901" s="28" t="s">
        <v>690</v>
      </c>
      <c r="AE901" s="28"/>
      <c r="AF901" s="29">
        <v>45909</v>
      </c>
      <c r="AG901" s="29"/>
    </row>
    <row r="902" spans="1:33" ht="15.75" customHeight="1">
      <c r="A902" s="32" t="s">
        <v>52</v>
      </c>
      <c r="B902" s="33">
        <v>914</v>
      </c>
      <c r="C902" s="34" t="s">
        <v>5389</v>
      </c>
      <c r="D902" s="35">
        <v>45908.785178136575</v>
      </c>
      <c r="E902" s="43">
        <v>45908</v>
      </c>
      <c r="F902" s="32" t="s">
        <v>3609</v>
      </c>
      <c r="G902" s="32" t="s">
        <v>3610</v>
      </c>
      <c r="H902" s="32" t="s">
        <v>3070</v>
      </c>
      <c r="I902" s="36" t="s">
        <v>3611</v>
      </c>
      <c r="J902" s="52"/>
      <c r="K902" s="32" t="s">
        <v>5390</v>
      </c>
      <c r="L902" s="32" t="s">
        <v>3448</v>
      </c>
      <c r="M902" s="32" t="s">
        <v>249</v>
      </c>
      <c r="N902" s="33">
        <v>10</v>
      </c>
      <c r="O902" s="35"/>
      <c r="P902" s="35"/>
      <c r="Q902" s="37"/>
      <c r="R902" s="38"/>
      <c r="S902" s="33"/>
      <c r="T902" s="39">
        <v>375000</v>
      </c>
      <c r="U902" s="40" t="s">
        <v>1774</v>
      </c>
      <c r="V902" s="41"/>
      <c r="W902" s="42" t="str">
        <f ca="1">IFERROR(__xludf.DUMMYFUNCTION("""COMPUTED_VALUE"""),"Syakira Refleksi")</f>
        <v>Syakira Refleksi</v>
      </c>
      <c r="X902" s="42" t="str">
        <f ca="1"/>
        <v>ON-Syakira Refleksi-00011900+10-6285821233475</v>
      </c>
      <c r="Y902" s="40"/>
      <c r="Z902" s="40"/>
      <c r="AA902" s="23" t="str">
        <v>https://wa.me/6285821233475</v>
      </c>
      <c r="AB902" s="28"/>
      <c r="AC902" s="28"/>
      <c r="AD902" s="28"/>
      <c r="AE902" s="28"/>
      <c r="AF902" s="29"/>
      <c r="AG902" s="29"/>
    </row>
    <row r="903" spans="1:33" ht="15.75" customHeight="1">
      <c r="A903" s="32" t="s">
        <v>196</v>
      </c>
      <c r="B903" s="33">
        <v>915</v>
      </c>
      <c r="C903" s="34" t="s">
        <v>5391</v>
      </c>
      <c r="D903" s="35">
        <v>45908.799666666666</v>
      </c>
      <c r="E903" s="43">
        <v>45908</v>
      </c>
      <c r="F903" s="32" t="s">
        <v>5392</v>
      </c>
      <c r="G903" s="32" t="s">
        <v>5393</v>
      </c>
      <c r="H903" s="32" t="s">
        <v>2248</v>
      </c>
      <c r="I903" s="36" t="s">
        <v>5394</v>
      </c>
      <c r="J903" s="52"/>
      <c r="K903" s="32" t="s">
        <v>5395</v>
      </c>
      <c r="L903" s="32" t="s">
        <v>92</v>
      </c>
      <c r="M903" s="32" t="s">
        <v>60</v>
      </c>
      <c r="N903" s="33">
        <v>5</v>
      </c>
      <c r="O903" s="35"/>
      <c r="P903" s="35"/>
      <c r="Q903" s="37"/>
      <c r="R903" s="38"/>
      <c r="S903" s="33"/>
      <c r="T903" s="39">
        <v>197000</v>
      </c>
      <c r="U903" s="40" t="s">
        <v>61</v>
      </c>
      <c r="V903" s="41"/>
      <c r="W903" s="42" t="str">
        <f ca="1">IFERROR(__xludf.DUMMYFUNCTION("""COMPUTED_VALUE"""),"Travel Antar")</f>
        <v>Travel Antar</v>
      </c>
      <c r="X903" s="42" t="str">
        <f ca="1"/>
        <v>ON-Travel Antar-00011900+5-6285213857442</v>
      </c>
      <c r="Y903" s="40" t="s">
        <v>62</v>
      </c>
      <c r="Z903" s="40" t="s">
        <v>1880</v>
      </c>
      <c r="AA903" s="23" t="str">
        <v>https://wa.me/6285213857442</v>
      </c>
      <c r="AB903" s="28" t="s">
        <v>5396</v>
      </c>
      <c r="AC903" s="28"/>
      <c r="AD903" s="28" t="s">
        <v>690</v>
      </c>
      <c r="AE903" s="28"/>
      <c r="AF903" s="29">
        <v>45911</v>
      </c>
      <c r="AG903" s="29"/>
    </row>
    <row r="904" spans="1:33" ht="15.75" customHeight="1">
      <c r="A904" s="32" t="s">
        <v>196</v>
      </c>
      <c r="B904" s="33">
        <v>916</v>
      </c>
      <c r="C904" s="34" t="s">
        <v>5397</v>
      </c>
      <c r="D904" s="35">
        <v>45908.846599409721</v>
      </c>
      <c r="E904" s="43">
        <v>45904</v>
      </c>
      <c r="F904" s="32" t="s">
        <v>5398</v>
      </c>
      <c r="G904" s="32" t="s">
        <v>5399</v>
      </c>
      <c r="H904" s="32" t="s">
        <v>5400</v>
      </c>
      <c r="I904" s="36" t="s">
        <v>5401</v>
      </c>
      <c r="J904" s="52"/>
      <c r="K904" s="32" t="s">
        <v>5402</v>
      </c>
      <c r="L904" s="32" t="s">
        <v>166</v>
      </c>
      <c r="M904" s="32" t="s">
        <v>285</v>
      </c>
      <c r="N904" s="33">
        <v>5</v>
      </c>
      <c r="O904" s="35"/>
      <c r="P904" s="35"/>
      <c r="Q904" s="37"/>
      <c r="R904" s="38"/>
      <c r="S904" s="33"/>
      <c r="T904" s="39">
        <v>197000</v>
      </c>
      <c r="U904" s="40" t="s">
        <v>1229</v>
      </c>
      <c r="V904" s="41"/>
      <c r="W904" s="42" t="str">
        <f ca="1">IFERROR(__xludf.DUMMYFUNCTION("""COMPUTED_VALUE"""),"Shinta massage")</f>
        <v>Shinta massage</v>
      </c>
      <c r="X904" s="42" t="str">
        <f ca="1"/>
        <v>ON-Shinta massage-00011900+5-6282220945171</v>
      </c>
      <c r="Y904" s="40" t="s">
        <v>62</v>
      </c>
      <c r="Z904" s="40" t="s">
        <v>639</v>
      </c>
      <c r="AA904" s="23" t="str">
        <v>https://wa.me/6282220945171</v>
      </c>
      <c r="AB904" s="28" t="s">
        <v>5403</v>
      </c>
      <c r="AC904" s="28"/>
      <c r="AD904" s="28" t="s">
        <v>690</v>
      </c>
      <c r="AE904" s="28"/>
      <c r="AF904" s="29">
        <v>45910</v>
      </c>
      <c r="AG904" s="29"/>
    </row>
    <row r="905" spans="1:33" ht="15.75" customHeight="1">
      <c r="A905" s="32" t="s">
        <v>196</v>
      </c>
      <c r="B905" s="33">
        <v>917</v>
      </c>
      <c r="C905" s="34" t="s">
        <v>5404</v>
      </c>
      <c r="D905" s="35">
        <v>45908.847040706023</v>
      </c>
      <c r="E905" s="43">
        <v>45908</v>
      </c>
      <c r="F905" s="32" t="s">
        <v>5405</v>
      </c>
      <c r="G905" s="32" t="s">
        <v>5406</v>
      </c>
      <c r="H905" s="32" t="s">
        <v>5407</v>
      </c>
      <c r="I905" s="36" t="s">
        <v>5408</v>
      </c>
      <c r="J905" s="52"/>
      <c r="K905" s="32" t="s">
        <v>5409</v>
      </c>
      <c r="L905" s="32" t="s">
        <v>4783</v>
      </c>
      <c r="M905" s="32" t="s">
        <v>4641</v>
      </c>
      <c r="N905" s="33">
        <v>5</v>
      </c>
      <c r="O905" s="35"/>
      <c r="P905" s="35"/>
      <c r="Q905" s="37"/>
      <c r="R905" s="38"/>
      <c r="S905" s="33"/>
      <c r="T905" s="39">
        <v>197000</v>
      </c>
      <c r="U905" s="40"/>
      <c r="V905" s="41"/>
      <c r="W905" s="42" t="str">
        <f ca="1">IFERROR(__xludf.DUMMYFUNCTION("""COMPUTED_VALUE"""),"Griya Jaya")</f>
        <v>Griya Jaya</v>
      </c>
      <c r="X905" s="42" t="str">
        <f ca="1"/>
        <v>ON-Griya Jaya-00011900+5-6285161653332</v>
      </c>
      <c r="Y905" s="40" t="s">
        <v>293</v>
      </c>
      <c r="Z905" s="40" t="s">
        <v>1057</v>
      </c>
      <c r="AA905" s="23" t="str">
        <v>https://wa.me/6285161653332</v>
      </c>
      <c r="AB905" s="28" t="s">
        <v>5410</v>
      </c>
      <c r="AC905" s="28"/>
      <c r="AD905" s="28" t="s">
        <v>690</v>
      </c>
      <c r="AE905" s="28"/>
      <c r="AF905" s="29">
        <v>45911</v>
      </c>
      <c r="AG905" s="29"/>
    </row>
    <row r="906" spans="1:33" ht="15.75" customHeight="1">
      <c r="A906" s="32" t="s">
        <v>196</v>
      </c>
      <c r="B906" s="33">
        <v>918</v>
      </c>
      <c r="C906" s="34" t="s">
        <v>5411</v>
      </c>
      <c r="D906" s="35">
        <v>45909.306936018518</v>
      </c>
      <c r="E906" s="43">
        <v>45909</v>
      </c>
      <c r="F906" s="32" t="s">
        <v>5412</v>
      </c>
      <c r="G906" s="32" t="s">
        <v>5413</v>
      </c>
      <c r="H906" s="32" t="s">
        <v>298</v>
      </c>
      <c r="I906" s="36" t="s">
        <v>5414</v>
      </c>
      <c r="J906" s="52"/>
      <c r="K906" s="32" t="s">
        <v>5415</v>
      </c>
      <c r="L906" s="32" t="s">
        <v>4886</v>
      </c>
      <c r="M906" s="32" t="s">
        <v>382</v>
      </c>
      <c r="N906" s="33">
        <v>5</v>
      </c>
      <c r="O906" s="35"/>
      <c r="P906" s="35"/>
      <c r="Q906" s="37"/>
      <c r="R906" s="38"/>
      <c r="S906" s="33"/>
      <c r="T906" s="39">
        <v>197000</v>
      </c>
      <c r="U906" s="40" t="s">
        <v>115</v>
      </c>
      <c r="V906" s="41"/>
      <c r="W906" s="42" t="str">
        <f ca="1">IFERROR(__xludf.DUMMYFUNCTION("""COMPUTED_VALUE"""),"Adam steel")</f>
        <v>Adam steel</v>
      </c>
      <c r="X906" s="42" t="str">
        <f ca="1"/>
        <v>ON-Adam steel-00011900+5-628990570840</v>
      </c>
      <c r="Y906" s="40" t="s">
        <v>293</v>
      </c>
      <c r="Z906" s="40" t="s">
        <v>1057</v>
      </c>
      <c r="AA906" s="23" t="str">
        <v>https://wa.me/628990570840</v>
      </c>
      <c r="AB906" s="28" t="s">
        <v>5416</v>
      </c>
      <c r="AC906" s="28"/>
      <c r="AD906" s="28" t="s">
        <v>690</v>
      </c>
      <c r="AE906" s="28"/>
      <c r="AF906" s="29">
        <v>45912</v>
      </c>
      <c r="AG906" s="29"/>
    </row>
    <row r="907" spans="1:33" ht="15.75" customHeight="1">
      <c r="A907" s="32" t="s">
        <v>196</v>
      </c>
      <c r="B907" s="33">
        <v>919</v>
      </c>
      <c r="C907" s="34" t="s">
        <v>5417</v>
      </c>
      <c r="D907" s="35">
        <v>45909.520975648149</v>
      </c>
      <c r="E907" s="43">
        <v>45909</v>
      </c>
      <c r="F907" s="32" t="s">
        <v>5418</v>
      </c>
      <c r="G907" s="32" t="s">
        <v>5419</v>
      </c>
      <c r="H907" s="32" t="s">
        <v>5420</v>
      </c>
      <c r="I907" s="36" t="s">
        <v>2778</v>
      </c>
      <c r="J907" s="52"/>
      <c r="K907" s="32" t="s">
        <v>5421</v>
      </c>
      <c r="L907" s="32" t="s">
        <v>5422</v>
      </c>
      <c r="M907" s="32" t="s">
        <v>5423</v>
      </c>
      <c r="N907" s="33">
        <v>5</v>
      </c>
      <c r="O907" s="35"/>
      <c r="P907" s="35"/>
      <c r="Q907" s="37"/>
      <c r="R907" s="38"/>
      <c r="S907" s="33"/>
      <c r="T907" s="39">
        <v>197000</v>
      </c>
      <c r="U907" s="40" t="s">
        <v>1229</v>
      </c>
      <c r="V907" s="41"/>
      <c r="W907" s="42" t="str">
        <f ca="1">IFERROR(__xludf.DUMMYFUNCTION("""COMPUTED_VALUE"""),"Pengobatan Tradisional")</f>
        <v>Pengobatan Tradisional</v>
      </c>
      <c r="X907" s="42" t="str">
        <f ca="1"/>
        <v>ON-Pengobatan Tradisional-00011900+5-6285657238556</v>
      </c>
      <c r="Y907" s="40" t="s">
        <v>62</v>
      </c>
      <c r="Z907" s="40" t="s">
        <v>639</v>
      </c>
      <c r="AA907" s="23" t="str">
        <v>https://wa.me/6285657238556</v>
      </c>
      <c r="AB907" s="28" t="s">
        <v>5424</v>
      </c>
      <c r="AC907" s="28"/>
      <c r="AD907" s="28" t="s">
        <v>690</v>
      </c>
      <c r="AE907" s="28"/>
      <c r="AF907" s="29">
        <v>45912</v>
      </c>
      <c r="AG907" s="29"/>
    </row>
    <row r="908" spans="1:33" ht="15.75" customHeight="1">
      <c r="A908" s="32" t="s">
        <v>52</v>
      </c>
      <c r="B908" s="33">
        <v>921</v>
      </c>
      <c r="C908" s="34" t="s">
        <v>5425</v>
      </c>
      <c r="D908" s="35">
        <v>45909.755264224535</v>
      </c>
      <c r="E908" s="43">
        <v>45909</v>
      </c>
      <c r="F908" s="32" t="s">
        <v>3036</v>
      </c>
      <c r="G908" s="32" t="s">
        <v>3037</v>
      </c>
      <c r="H908" s="32" t="s">
        <v>3038</v>
      </c>
      <c r="I908" s="36" t="s">
        <v>3039</v>
      </c>
      <c r="J908" s="52" t="s">
        <v>3040</v>
      </c>
      <c r="K908" s="32" t="s">
        <v>3041</v>
      </c>
      <c r="L908" s="32" t="s">
        <v>1628</v>
      </c>
      <c r="M908" s="32" t="s">
        <v>382</v>
      </c>
      <c r="N908" s="33">
        <v>30</v>
      </c>
      <c r="O908" s="35"/>
      <c r="P908" s="35"/>
      <c r="Q908" s="37"/>
      <c r="R908" s="38"/>
      <c r="S908" s="33"/>
      <c r="T908" s="39">
        <v>1000000</v>
      </c>
      <c r="U908" s="40" t="s">
        <v>115</v>
      </c>
      <c r="V908" s="41"/>
      <c r="W908" s="42" t="str">
        <f ca="1">IFERROR(__xludf.DUMMYFUNCTION("""COMPUTED_VALUE"""),"KHARISMA JAYA")</f>
        <v>KHARISMA JAYA</v>
      </c>
      <c r="X908" s="42" t="str">
        <f ca="1"/>
        <v>ON-KHARISMA JAYA-00011900+30-6287790276733</v>
      </c>
      <c r="Y908" s="40"/>
      <c r="Z908" s="40"/>
      <c r="AA908" s="23" t="str">
        <v>https://wa.me/6287790276733</v>
      </c>
      <c r="AB908" s="28"/>
      <c r="AC908" s="28"/>
      <c r="AD908" s="28"/>
      <c r="AE908" s="28"/>
      <c r="AF908" s="29"/>
      <c r="AG908" s="29"/>
    </row>
    <row r="909" spans="1:33" ht="15.75" customHeight="1">
      <c r="A909" s="32" t="s">
        <v>52</v>
      </c>
      <c r="B909" s="33">
        <v>922</v>
      </c>
      <c r="C909" s="34" t="s">
        <v>5426</v>
      </c>
      <c r="D909" s="35">
        <v>45909.791653587963</v>
      </c>
      <c r="E909" s="43">
        <v>45909</v>
      </c>
      <c r="F909" s="32" t="s">
        <v>820</v>
      </c>
      <c r="G909" s="32" t="s">
        <v>821</v>
      </c>
      <c r="H909" s="32" t="s">
        <v>822</v>
      </c>
      <c r="I909" s="36" t="s">
        <v>823</v>
      </c>
      <c r="J909" s="52" t="s">
        <v>824</v>
      </c>
      <c r="K909" s="32" t="s">
        <v>825</v>
      </c>
      <c r="L909" s="32" t="s">
        <v>629</v>
      </c>
      <c r="M909" s="32" t="s">
        <v>382</v>
      </c>
      <c r="N909" s="33">
        <v>30</v>
      </c>
      <c r="O909" s="35"/>
      <c r="P909" s="35"/>
      <c r="Q909" s="37"/>
      <c r="R909" s="38"/>
      <c r="S909" s="33"/>
      <c r="T909" s="39">
        <v>1000000</v>
      </c>
      <c r="U909" s="40" t="s">
        <v>115</v>
      </c>
      <c r="V909" s="41"/>
      <c r="W909" s="42" t="str">
        <f ca="1">IFERROR(__xludf.DUMMYFUNCTION("""COMPUTED_VALUE"""),"Jagat Kitchen")</f>
        <v>Jagat Kitchen</v>
      </c>
      <c r="X909" s="42" t="str">
        <f ca="1"/>
        <v>ON-Jagat Kitchen-00011900+30-6281393958199</v>
      </c>
      <c r="Y909" s="40"/>
      <c r="Z909" s="40"/>
      <c r="AA909" s="23" t="str">
        <v>https://wa.me/6281393958199</v>
      </c>
      <c r="AB909" s="28"/>
      <c r="AC909" s="28"/>
      <c r="AD909" s="28"/>
      <c r="AE909" s="28"/>
      <c r="AF909" s="29"/>
      <c r="AG909" s="29"/>
    </row>
    <row r="910" spans="1:33" ht="15.75" customHeight="1">
      <c r="A910" s="32" t="s">
        <v>52</v>
      </c>
      <c r="B910" s="33">
        <v>923</v>
      </c>
      <c r="C910" s="34" t="s">
        <v>5427</v>
      </c>
      <c r="D910" s="35">
        <v>45909.792061307875</v>
      </c>
      <c r="E910" s="43">
        <v>45909</v>
      </c>
      <c r="F910" s="32" t="s">
        <v>5084</v>
      </c>
      <c r="G910" s="32" t="s">
        <v>5085</v>
      </c>
      <c r="H910" s="32" t="s">
        <v>5086</v>
      </c>
      <c r="I910" s="36" t="s">
        <v>5087</v>
      </c>
      <c r="J910" s="52"/>
      <c r="K910" s="32" t="s">
        <v>1024</v>
      </c>
      <c r="L910" s="32" t="s">
        <v>2039</v>
      </c>
      <c r="M910" s="32" t="s">
        <v>48</v>
      </c>
      <c r="N910" s="33">
        <v>10</v>
      </c>
      <c r="O910" s="35"/>
      <c r="P910" s="35"/>
      <c r="Q910" s="37"/>
      <c r="R910" s="38"/>
      <c r="S910" s="33"/>
      <c r="T910" s="39">
        <v>375000</v>
      </c>
      <c r="U910" s="40" t="s">
        <v>1229</v>
      </c>
      <c r="V910" s="41"/>
      <c r="W910" s="42" t="str">
        <f ca="1">IFERROR(__xludf.DUMMYFUNCTION("""COMPUTED_VALUE"""),"Ozay adventure")</f>
        <v>Ozay adventure</v>
      </c>
      <c r="X910" s="42" t="str">
        <f ca="1"/>
        <v>ON-Ozay adventure-00011900+10-6282229433259</v>
      </c>
      <c r="Y910" s="40"/>
      <c r="Z910" s="40"/>
      <c r="AA910" s="23" t="str">
        <v>https://wa.me/6282229433259</v>
      </c>
      <c r="AB910" s="28"/>
      <c r="AC910" s="28"/>
      <c r="AD910" s="28"/>
      <c r="AE910" s="28"/>
      <c r="AF910" s="29"/>
      <c r="AG910" s="29"/>
    </row>
    <row r="911" spans="1:33" ht="15.75" customHeight="1">
      <c r="A911" s="32" t="s">
        <v>52</v>
      </c>
      <c r="B911" s="33">
        <v>924</v>
      </c>
      <c r="C911" s="34" t="s">
        <v>5428</v>
      </c>
      <c r="D911" s="35">
        <v>45909.854740706018</v>
      </c>
      <c r="E911" s="43">
        <v>45909</v>
      </c>
      <c r="F911" s="32" t="s">
        <v>642</v>
      </c>
      <c r="G911" s="32" t="s">
        <v>643</v>
      </c>
      <c r="H911" s="32" t="s">
        <v>644</v>
      </c>
      <c r="I911" s="36" t="s">
        <v>645</v>
      </c>
      <c r="J911" s="52" t="s">
        <v>1457</v>
      </c>
      <c r="K911" s="32" t="s">
        <v>646</v>
      </c>
      <c r="L911" s="32" t="s">
        <v>647</v>
      </c>
      <c r="M911" s="32" t="s">
        <v>382</v>
      </c>
      <c r="N911" s="33">
        <v>14</v>
      </c>
      <c r="O911" s="35"/>
      <c r="P911" s="35"/>
      <c r="Q911" s="37"/>
      <c r="R911" s="38"/>
      <c r="S911" s="33"/>
      <c r="T911" s="39">
        <v>550000</v>
      </c>
      <c r="U911" s="40" t="s">
        <v>115</v>
      </c>
      <c r="V911" s="41"/>
      <c r="W911" s="42" t="str">
        <f ca="1">IFERROR(__xludf.DUMMYFUNCTION("""COMPUTED_VALUE"""),"CV Fajar")</f>
        <v>CV Fajar</v>
      </c>
      <c r="X911" s="42" t="str">
        <f ca="1"/>
        <v>ON-CV Fajar-00011900+14-6281338789995</v>
      </c>
      <c r="Y911" s="40"/>
      <c r="Z911" s="40"/>
      <c r="AA911" s="23" t="str">
        <v>https://wa.me/6281338789995</v>
      </c>
      <c r="AB911" s="28"/>
      <c r="AC911" s="28"/>
      <c r="AD911" s="28"/>
      <c r="AE911" s="28"/>
      <c r="AF911" s="29"/>
      <c r="AG911" s="29"/>
    </row>
    <row r="912" spans="1:33" ht="15.75" customHeight="1">
      <c r="A912" s="32" t="s">
        <v>52</v>
      </c>
      <c r="B912" s="33">
        <v>925</v>
      </c>
      <c r="C912" s="34" t="s">
        <v>5429</v>
      </c>
      <c r="D912" s="35">
        <v>45909.869072083333</v>
      </c>
      <c r="E912" s="43">
        <v>45909</v>
      </c>
      <c r="F912" s="32" t="s">
        <v>1350</v>
      </c>
      <c r="G912" s="32" t="s">
        <v>1351</v>
      </c>
      <c r="H912" s="32" t="s">
        <v>2056</v>
      </c>
      <c r="I912" s="36" t="s">
        <v>3754</v>
      </c>
      <c r="J912" s="52" t="s">
        <v>2057</v>
      </c>
      <c r="K912" s="32" t="s">
        <v>1355</v>
      </c>
      <c r="L912" s="32" t="s">
        <v>1356</v>
      </c>
      <c r="M912" s="32" t="s">
        <v>60</v>
      </c>
      <c r="N912" s="33">
        <v>5</v>
      </c>
      <c r="O912" s="35"/>
      <c r="P912" s="35"/>
      <c r="Q912" s="37"/>
      <c r="R912" s="38"/>
      <c r="S912" s="33"/>
      <c r="T912" s="39">
        <v>197000</v>
      </c>
      <c r="U912" s="40" t="s">
        <v>61</v>
      </c>
      <c r="V912" s="41"/>
      <c r="W912" s="42" t="str">
        <f ca="1">IFERROR(__xludf.DUMMYFUNCTION("""COMPUTED_VALUE"""),"Putra Bakti")</f>
        <v>Putra Bakti</v>
      </c>
      <c r="X912" s="42" t="str">
        <f ca="1"/>
        <v>ON-Putra Bakti-00011900+5-6285668750426</v>
      </c>
      <c r="Y912" s="40"/>
      <c r="Z912" s="40"/>
      <c r="AA912" s="23" t="str">
        <v>https://wa.me/6285668750426</v>
      </c>
      <c r="AB912" s="28"/>
      <c r="AC912" s="28"/>
      <c r="AD912" s="28"/>
      <c r="AE912" s="28"/>
      <c r="AF912" s="29"/>
      <c r="AG912" s="29"/>
    </row>
    <row r="913" spans="1:33" ht="15.75" customHeight="1">
      <c r="A913" s="32" t="s">
        <v>52</v>
      </c>
      <c r="B913" s="33">
        <v>926</v>
      </c>
      <c r="C913" s="34" t="s">
        <v>5430</v>
      </c>
      <c r="D913" s="35">
        <v>45909.872163298613</v>
      </c>
      <c r="E913" s="43">
        <v>45909</v>
      </c>
      <c r="F913" s="32" t="s">
        <v>4562</v>
      </c>
      <c r="G913" s="32" t="s">
        <v>4563</v>
      </c>
      <c r="H913" s="32" t="s">
        <v>4564</v>
      </c>
      <c r="I913" s="36" t="s">
        <v>4565</v>
      </c>
      <c r="J913" s="52" t="s">
        <v>4566</v>
      </c>
      <c r="K913" s="32" t="s">
        <v>4567</v>
      </c>
      <c r="L913" s="32" t="s">
        <v>2432</v>
      </c>
      <c r="M913" s="32" t="s">
        <v>60</v>
      </c>
      <c r="N913" s="33">
        <v>5</v>
      </c>
      <c r="O913" s="35"/>
      <c r="P913" s="35"/>
      <c r="Q913" s="37"/>
      <c r="R913" s="38"/>
      <c r="S913" s="33"/>
      <c r="T913" s="39">
        <v>197000</v>
      </c>
      <c r="U913" s="40" t="s">
        <v>61</v>
      </c>
      <c r="V913" s="41"/>
      <c r="W913" s="42" t="str">
        <f ca="1">IFERROR(__xludf.DUMMYFUNCTION("""COMPUTED_VALUE"""),"Fiberglass")</f>
        <v>Fiberglass</v>
      </c>
      <c r="X913" s="42" t="str">
        <f ca="1"/>
        <v>ON-Fiberglass-00011900+5-6289508681093</v>
      </c>
      <c r="Y913" s="40"/>
      <c r="Z913" s="40"/>
      <c r="AA913" s="23" t="str">
        <v>https://wa.me/6289508681093</v>
      </c>
      <c r="AB913" s="28"/>
      <c r="AC913" s="28"/>
      <c r="AD913" s="28"/>
      <c r="AE913" s="28"/>
      <c r="AF913" s="29"/>
      <c r="AG913" s="29"/>
    </row>
    <row r="914" spans="1:33" ht="15.75" customHeight="1">
      <c r="A914" s="32" t="s">
        <v>196</v>
      </c>
      <c r="B914" s="33">
        <v>928</v>
      </c>
      <c r="C914" s="34" t="s">
        <v>5431</v>
      </c>
      <c r="D914" s="35">
        <v>45910.349683981476</v>
      </c>
      <c r="E914" s="43">
        <v>45910</v>
      </c>
      <c r="F914" s="32" t="s">
        <v>4288</v>
      </c>
      <c r="G914" s="32" t="s">
        <v>4289</v>
      </c>
      <c r="H914" s="32" t="s">
        <v>5432</v>
      </c>
      <c r="I914" s="36" t="s">
        <v>4290</v>
      </c>
      <c r="J914" s="52"/>
      <c r="K914" s="32" t="s">
        <v>5433</v>
      </c>
      <c r="L914" s="32" t="s">
        <v>5434</v>
      </c>
      <c r="M914" s="32" t="s">
        <v>205</v>
      </c>
      <c r="N914" s="33">
        <v>5</v>
      </c>
      <c r="O914" s="35"/>
      <c r="P914" s="35"/>
      <c r="Q914" s="37"/>
      <c r="R914" s="38"/>
      <c r="S914" s="33"/>
      <c r="T914" s="39">
        <v>197000</v>
      </c>
      <c r="U914" s="40" t="s">
        <v>61</v>
      </c>
      <c r="V914" s="41"/>
      <c r="W914" s="42" t="str">
        <f ca="1">IFERROR(__xludf.DUMMYFUNCTION("""COMPUTED_VALUE"""),"Griya Sehat")</f>
        <v>Griya Sehat</v>
      </c>
      <c r="X914" s="42" t="str">
        <f ca="1"/>
        <v>ON-Griya Sehat-00011900+5-6285255115894</v>
      </c>
      <c r="Y914" s="40" t="s">
        <v>62</v>
      </c>
      <c r="Z914" s="40" t="s">
        <v>639</v>
      </c>
      <c r="AA914" s="23" t="str">
        <v>https://wa.me/6285255115894</v>
      </c>
      <c r="AB914" s="28" t="s">
        <v>5435</v>
      </c>
      <c r="AC914" s="28"/>
      <c r="AD914" s="28" t="s">
        <v>690</v>
      </c>
      <c r="AE914" s="28"/>
      <c r="AF914" s="29">
        <v>45914</v>
      </c>
      <c r="AG914" s="29"/>
    </row>
    <row r="915" spans="1:33" ht="15.75" customHeight="1">
      <c r="A915" s="32" t="s">
        <v>52</v>
      </c>
      <c r="B915" s="33">
        <v>929</v>
      </c>
      <c r="C915" s="34" t="s">
        <v>5436</v>
      </c>
      <c r="D915" s="35">
        <v>45910.354629270834</v>
      </c>
      <c r="E915" s="43">
        <v>45909</v>
      </c>
      <c r="F915" s="32" t="s">
        <v>4957</v>
      </c>
      <c r="G915" s="32" t="s">
        <v>4958</v>
      </c>
      <c r="H915" s="32" t="s">
        <v>2370</v>
      </c>
      <c r="I915" s="36" t="s">
        <v>4963</v>
      </c>
      <c r="J915" s="52"/>
      <c r="K915" s="32" t="s">
        <v>4960</v>
      </c>
      <c r="L915" s="32" t="s">
        <v>4961</v>
      </c>
      <c r="M915" s="32" t="s">
        <v>60</v>
      </c>
      <c r="N915" s="33">
        <v>5</v>
      </c>
      <c r="O915" s="35"/>
      <c r="P915" s="35"/>
      <c r="Q915" s="37"/>
      <c r="R915" s="38"/>
      <c r="S915" s="33"/>
      <c r="T915" s="39">
        <v>197000</v>
      </c>
      <c r="U915" s="40" t="s">
        <v>61</v>
      </c>
      <c r="V915" s="41"/>
      <c r="W915" s="42" t="str">
        <f ca="1">IFERROR(__xludf.DUMMYFUNCTION("""COMPUTED_VALUE"""),"Sehat Holistik")</f>
        <v>Sehat Holistik</v>
      </c>
      <c r="X915" s="42" t="str">
        <f ca="1"/>
        <v>ON-Sehat Holistik-00011900+5-6287888330007</v>
      </c>
      <c r="Y915" s="40"/>
      <c r="Z915" s="40"/>
      <c r="AA915" s="23" t="str">
        <v>https://wa.me/6287888330007</v>
      </c>
      <c r="AB915" s="28"/>
      <c r="AC915" s="28"/>
      <c r="AD915" s="28"/>
      <c r="AE915" s="28"/>
      <c r="AF915" s="29"/>
      <c r="AG915" s="29"/>
    </row>
    <row r="916" spans="1:33" ht="15.75" customHeight="1">
      <c r="A916" s="32" t="s">
        <v>52</v>
      </c>
      <c r="B916" s="33">
        <v>930</v>
      </c>
      <c r="C916" s="34" t="s">
        <v>5437</v>
      </c>
      <c r="D916" s="35">
        <v>45910.397227222224</v>
      </c>
      <c r="E916" s="43">
        <v>45910</v>
      </c>
      <c r="F916" s="32" t="s">
        <v>3241</v>
      </c>
      <c r="G916" s="32" t="s">
        <v>4495</v>
      </c>
      <c r="H916" s="32" t="s">
        <v>3243</v>
      </c>
      <c r="I916" s="36" t="s">
        <v>3244</v>
      </c>
      <c r="J916" s="52"/>
      <c r="K916" s="32" t="s">
        <v>5438</v>
      </c>
      <c r="L916" s="32" t="s">
        <v>166</v>
      </c>
      <c r="M916" s="32" t="s">
        <v>249</v>
      </c>
      <c r="N916" s="33">
        <v>7</v>
      </c>
      <c r="O916" s="35"/>
      <c r="P916" s="35"/>
      <c r="Q916" s="37"/>
      <c r="R916" s="38"/>
      <c r="S916" s="33"/>
      <c r="T916" s="39">
        <v>297000</v>
      </c>
      <c r="U916" s="40" t="s">
        <v>1774</v>
      </c>
      <c r="V916" s="41"/>
      <c r="W916" s="42" t="str">
        <f ca="1">IFERROR(__xludf.DUMMYFUNCTION("""COMPUTED_VALUE"""),"Totok saraf")</f>
        <v>Totok saraf</v>
      </c>
      <c r="X916" s="42" t="str">
        <f ca="1"/>
        <v>ON-Totok saraf-00011900+7-6281330410391</v>
      </c>
      <c r="Y916" s="40"/>
      <c r="Z916" s="40"/>
      <c r="AA916" s="23" t="str">
        <v>https://wa.me/6281330410391</v>
      </c>
      <c r="AB916" s="28"/>
      <c r="AC916" s="28"/>
      <c r="AD916" s="28"/>
      <c r="AE916" s="28"/>
      <c r="AF916" s="29"/>
      <c r="AG916" s="29"/>
    </row>
    <row r="917" spans="1:33" ht="15.75" customHeight="1">
      <c r="A917" s="32" t="s">
        <v>196</v>
      </c>
      <c r="B917" s="33">
        <v>931</v>
      </c>
      <c r="C917" s="34" t="s">
        <v>5439</v>
      </c>
      <c r="D917" s="35">
        <v>45910.47627569444</v>
      </c>
      <c r="E917" s="43">
        <v>45910</v>
      </c>
      <c r="F917" s="32" t="s">
        <v>5440</v>
      </c>
      <c r="G917" s="32" t="s">
        <v>5441</v>
      </c>
      <c r="H917" s="32" t="s">
        <v>5442</v>
      </c>
      <c r="I917" s="36" t="s">
        <v>717</v>
      </c>
      <c r="J917" s="52" t="s">
        <v>5443</v>
      </c>
      <c r="K917" s="32" t="s">
        <v>5444</v>
      </c>
      <c r="L917" s="32" t="s">
        <v>5445</v>
      </c>
      <c r="M917" s="32" t="s">
        <v>5446</v>
      </c>
      <c r="N917" s="33">
        <v>5</v>
      </c>
      <c r="O917" s="35"/>
      <c r="P917" s="35"/>
      <c r="Q917" s="37"/>
      <c r="R917" s="38"/>
      <c r="S917" s="33"/>
      <c r="T917" s="39">
        <v>197000</v>
      </c>
      <c r="U917" s="40" t="s">
        <v>115</v>
      </c>
      <c r="V917" s="41"/>
      <c r="W917" s="42" t="str">
        <f ca="1">IFERROR(__xludf.DUMMYFUNCTION("""COMPUTED_VALUE"""),"mitra jasa")</f>
        <v>mitra jasa</v>
      </c>
      <c r="X917" s="42" t="str">
        <f ca="1"/>
        <v>ON-mitra jasa-00011900+5-6282141603091</v>
      </c>
      <c r="Y917" s="40" t="s">
        <v>293</v>
      </c>
      <c r="Z917" s="40" t="s">
        <v>1057</v>
      </c>
      <c r="AA917" s="23" t="str">
        <v>https://wa.me/6282141603091</v>
      </c>
      <c r="AB917" s="28" t="s">
        <v>5447</v>
      </c>
      <c r="AC917" s="28"/>
      <c r="AD917" s="28" t="s">
        <v>690</v>
      </c>
      <c r="AE917" s="28"/>
      <c r="AF917" s="29">
        <v>45913</v>
      </c>
      <c r="AG917" s="29"/>
    </row>
    <row r="918" spans="1:33" ht="15.75" customHeight="1">
      <c r="A918" s="32" t="s">
        <v>196</v>
      </c>
      <c r="B918" s="33">
        <v>932</v>
      </c>
      <c r="C918" s="34" t="s">
        <v>5448</v>
      </c>
      <c r="D918" s="35">
        <v>45910.485304930553</v>
      </c>
      <c r="E918" s="43">
        <v>45910</v>
      </c>
      <c r="F918" s="32" t="s">
        <v>362</v>
      </c>
      <c r="G918" s="32" t="s">
        <v>5449</v>
      </c>
      <c r="H918" s="32" t="s">
        <v>5450</v>
      </c>
      <c r="I918" s="36" t="s">
        <v>5451</v>
      </c>
      <c r="J918" s="52"/>
      <c r="K918" s="32" t="s">
        <v>5452</v>
      </c>
      <c r="L918" s="32" t="s">
        <v>3079</v>
      </c>
      <c r="M918" s="32" t="s">
        <v>800</v>
      </c>
      <c r="N918" s="33">
        <v>5</v>
      </c>
      <c r="O918" s="35"/>
      <c r="P918" s="35"/>
      <c r="Q918" s="37"/>
      <c r="R918" s="38"/>
      <c r="S918" s="33"/>
      <c r="T918" s="39">
        <v>197000</v>
      </c>
      <c r="U918" s="40" t="s">
        <v>1229</v>
      </c>
      <c r="V918" s="41"/>
      <c r="W918" s="42" t="str">
        <f ca="1">IFERROR(__xludf.DUMMYFUNCTION("""COMPUTED_VALUE"""),"MAC arcitec")</f>
        <v>MAC arcitec</v>
      </c>
      <c r="X918" s="42" t="str">
        <f ca="1"/>
        <v>ON-MAC arcitec-00011900+5-6281911256837</v>
      </c>
      <c r="Y918" s="40" t="s">
        <v>293</v>
      </c>
      <c r="Z918" s="40" t="s">
        <v>1057</v>
      </c>
      <c r="AA918" s="23" t="str">
        <v>https://wa.me/6281911256837</v>
      </c>
      <c r="AB918" s="28" t="s">
        <v>5453</v>
      </c>
      <c r="AC918" s="28"/>
      <c r="AD918" s="28" t="s">
        <v>690</v>
      </c>
      <c r="AE918" s="28"/>
      <c r="AF918" s="29">
        <v>45913</v>
      </c>
      <c r="AG918" s="29"/>
    </row>
    <row r="919" spans="1:33" ht="15.75" customHeight="1">
      <c r="A919" s="32" t="s">
        <v>196</v>
      </c>
      <c r="B919" s="33">
        <v>933</v>
      </c>
      <c r="C919" s="34" t="s">
        <v>5454</v>
      </c>
      <c r="D919" s="35">
        <v>45910.494737592591</v>
      </c>
      <c r="E919" s="43">
        <v>45910</v>
      </c>
      <c r="F919" s="32" t="s">
        <v>5455</v>
      </c>
      <c r="G919" s="32" t="s">
        <v>5456</v>
      </c>
      <c r="H919" s="32" t="s">
        <v>5456</v>
      </c>
      <c r="I919" s="36" t="s">
        <v>5457</v>
      </c>
      <c r="J919" s="52" t="s">
        <v>5458</v>
      </c>
      <c r="K919" s="32" t="s">
        <v>1381</v>
      </c>
      <c r="L919" s="32" t="s">
        <v>5459</v>
      </c>
      <c r="M919" s="32" t="s">
        <v>249</v>
      </c>
      <c r="N919" s="33">
        <v>5</v>
      </c>
      <c r="O919" s="35"/>
      <c r="P919" s="35"/>
      <c r="Q919" s="37"/>
      <c r="R919" s="38"/>
      <c r="S919" s="33"/>
      <c r="T919" s="39">
        <v>197000</v>
      </c>
      <c r="U919" s="40" t="s">
        <v>61</v>
      </c>
      <c r="V919" s="41"/>
      <c r="W919" s="42" t="str">
        <f ca="1">IFERROR(__xludf.DUMMYFUNCTION("""COMPUTED_VALUE"""),"Pelatihan Meditasi")</f>
        <v>Pelatihan Meditasi</v>
      </c>
      <c r="X919" s="42" t="str">
        <f ca="1"/>
        <v>ON-Pelatihan Meditasi-00011900+5-6281338383022</v>
      </c>
      <c r="Y919" s="40" t="s">
        <v>62</v>
      </c>
      <c r="Z919" s="40" t="s">
        <v>639</v>
      </c>
      <c r="AA919" s="23" t="str">
        <v>https://wa.me/6281338383022</v>
      </c>
      <c r="AB919" s="28" t="s">
        <v>5460</v>
      </c>
      <c r="AC919" s="28"/>
      <c r="AD919" s="28" t="s">
        <v>690</v>
      </c>
      <c r="AE919" s="28"/>
      <c r="AF919" s="29">
        <v>45913</v>
      </c>
      <c r="AG919" s="29"/>
    </row>
    <row r="920" spans="1:33" ht="15.75" customHeight="1">
      <c r="A920" s="32" t="s">
        <v>196</v>
      </c>
      <c r="B920" s="33">
        <v>934</v>
      </c>
      <c r="C920" s="34" t="s">
        <v>5461</v>
      </c>
      <c r="D920" s="35">
        <v>45910.496739780094</v>
      </c>
      <c r="E920" s="43">
        <v>45910</v>
      </c>
      <c r="F920" s="32" t="s">
        <v>5462</v>
      </c>
      <c r="G920" s="32" t="s">
        <v>5463</v>
      </c>
      <c r="H920" s="32" t="s">
        <v>5464</v>
      </c>
      <c r="I920" s="36" t="s">
        <v>5465</v>
      </c>
      <c r="J920" s="52"/>
      <c r="K920" s="32" t="s">
        <v>5466</v>
      </c>
      <c r="L920" s="32" t="s">
        <v>5191</v>
      </c>
      <c r="M920" s="32" t="s">
        <v>60</v>
      </c>
      <c r="N920" s="33">
        <v>5</v>
      </c>
      <c r="O920" s="35"/>
      <c r="P920" s="35"/>
      <c r="Q920" s="37"/>
      <c r="R920" s="38"/>
      <c r="S920" s="33"/>
      <c r="T920" s="39">
        <v>197000</v>
      </c>
      <c r="U920" s="40" t="s">
        <v>61</v>
      </c>
      <c r="V920" s="41"/>
      <c r="W920" s="42" t="str">
        <f ca="1">IFERROR(__xludf.DUMMYFUNCTION("""COMPUTED_VALUE"""),"Veronica Tour")</f>
        <v>Veronica Tour</v>
      </c>
      <c r="X920" s="42" t="str">
        <f ca="1"/>
        <v>ON-Veronica Tour-00011900+5-6281232743716</v>
      </c>
      <c r="Y920" s="40" t="s">
        <v>62</v>
      </c>
      <c r="Z920" s="40" t="s">
        <v>1880</v>
      </c>
      <c r="AA920" s="23" t="str">
        <v>https://wa.me/6281232743716</v>
      </c>
      <c r="AB920" s="28" t="s">
        <v>5467</v>
      </c>
      <c r="AC920" s="28"/>
      <c r="AD920" s="28" t="s">
        <v>690</v>
      </c>
      <c r="AE920" s="28"/>
      <c r="AF920" s="29">
        <v>45913</v>
      </c>
      <c r="AG920" s="29"/>
    </row>
    <row r="921" spans="1:33" ht="15.75" customHeight="1">
      <c r="A921" s="32" t="s">
        <v>196</v>
      </c>
      <c r="B921" s="33">
        <v>935</v>
      </c>
      <c r="C921" s="34" t="s">
        <v>5468</v>
      </c>
      <c r="D921" s="35">
        <v>45910.507761307876</v>
      </c>
      <c r="E921" s="43">
        <v>45910</v>
      </c>
      <c r="F921" s="32" t="s">
        <v>2265</v>
      </c>
      <c r="G921" s="32" t="s">
        <v>5469</v>
      </c>
      <c r="H921" s="32" t="s">
        <v>1427</v>
      </c>
      <c r="I921" s="36" t="s">
        <v>5470</v>
      </c>
      <c r="J921" s="52"/>
      <c r="K921" s="32" t="s">
        <v>5471</v>
      </c>
      <c r="L921" s="32" t="s">
        <v>5472</v>
      </c>
      <c r="M921" s="32" t="s">
        <v>965</v>
      </c>
      <c r="N921" s="33">
        <v>5</v>
      </c>
      <c r="O921" s="35"/>
      <c r="P921" s="35"/>
      <c r="Q921" s="37"/>
      <c r="R921" s="38"/>
      <c r="S921" s="33"/>
      <c r="T921" s="39">
        <v>197000</v>
      </c>
      <c r="U921" s="40" t="s">
        <v>1229</v>
      </c>
      <c r="V921" s="41"/>
      <c r="W921" s="42" t="str">
        <f ca="1">IFERROR(__xludf.DUMMYFUNCTION("""COMPUTED_VALUE"""),"Intra spa")</f>
        <v>Intra spa</v>
      </c>
      <c r="X921" s="42" t="str">
        <f ca="1"/>
        <v>ON-Intra spa-00011900+5-6285750574301</v>
      </c>
      <c r="Y921" s="40" t="s">
        <v>62</v>
      </c>
      <c r="Z921" s="40" t="s">
        <v>639</v>
      </c>
      <c r="AA921" s="23" t="str">
        <v>https://wa.me/6285750574301</v>
      </c>
      <c r="AB921" s="28" t="s">
        <v>5473</v>
      </c>
      <c r="AC921" s="28"/>
      <c r="AD921" s="28" t="s">
        <v>690</v>
      </c>
      <c r="AE921" s="28"/>
      <c r="AF921" s="29">
        <v>45913</v>
      </c>
      <c r="AG921" s="29"/>
    </row>
    <row r="922" spans="1:33" ht="15.75" customHeight="1">
      <c r="A922" s="32" t="s">
        <v>196</v>
      </c>
      <c r="B922" s="33">
        <v>936</v>
      </c>
      <c r="C922" s="34" t="s">
        <v>5474</v>
      </c>
      <c r="D922" s="35">
        <v>45910.534485717595</v>
      </c>
      <c r="E922" s="43">
        <v>45910</v>
      </c>
      <c r="F922" s="32" t="s">
        <v>5475</v>
      </c>
      <c r="G922" s="32" t="s">
        <v>5476</v>
      </c>
      <c r="H922" s="32" t="s">
        <v>5477</v>
      </c>
      <c r="I922" s="36" t="s">
        <v>5478</v>
      </c>
      <c r="J922" s="52"/>
      <c r="K922" s="32" t="s">
        <v>1210</v>
      </c>
      <c r="L922" s="32" t="s">
        <v>5479</v>
      </c>
      <c r="M922" s="32" t="s">
        <v>711</v>
      </c>
      <c r="N922" s="33">
        <v>5</v>
      </c>
      <c r="O922" s="35"/>
      <c r="P922" s="35"/>
      <c r="Q922" s="37"/>
      <c r="R922" s="38"/>
      <c r="S922" s="33"/>
      <c r="T922" s="39">
        <v>197000</v>
      </c>
      <c r="U922" s="40" t="s">
        <v>1229</v>
      </c>
      <c r="V922" s="41"/>
      <c r="W922" s="42" t="str">
        <f ca="1">IFERROR(__xludf.DUMMYFUNCTION("""COMPUTED_VALUE"""),"pijat refleksi")</f>
        <v>pijat refleksi</v>
      </c>
      <c r="X922" s="42" t="str">
        <f ca="1"/>
        <v>ON-pijat refleksi-00011900+5-6282249145533</v>
      </c>
      <c r="Y922" s="40" t="s">
        <v>62</v>
      </c>
      <c r="Z922" s="40" t="s">
        <v>639</v>
      </c>
      <c r="AA922" s="23" t="str">
        <v>https://wa.me/6282249145533</v>
      </c>
      <c r="AB922" s="28" t="s">
        <v>5480</v>
      </c>
      <c r="AC922" s="28"/>
      <c r="AD922" s="28" t="s">
        <v>690</v>
      </c>
      <c r="AE922" s="28"/>
      <c r="AF922" s="29">
        <v>45913</v>
      </c>
      <c r="AG922" s="29"/>
    </row>
    <row r="923" spans="1:33" ht="15.75" customHeight="1">
      <c r="A923" s="32" t="s">
        <v>621</v>
      </c>
      <c r="B923" s="33">
        <v>937</v>
      </c>
      <c r="C923" s="34" t="s">
        <v>5481</v>
      </c>
      <c r="D923" s="35">
        <v>45910.596726736112</v>
      </c>
      <c r="E923" s="43">
        <v>45910</v>
      </c>
      <c r="F923" s="32" t="s">
        <v>5482</v>
      </c>
      <c r="G923" s="32" t="s">
        <v>5483</v>
      </c>
      <c r="H923" s="32" t="s">
        <v>5484</v>
      </c>
      <c r="I923" s="36" t="s">
        <v>5485</v>
      </c>
      <c r="J923" s="52"/>
      <c r="K923" s="32" t="s">
        <v>374</v>
      </c>
      <c r="L923" s="32" t="s">
        <v>92</v>
      </c>
      <c r="M923" s="32" t="s">
        <v>60</v>
      </c>
      <c r="N923" s="33">
        <v>7</v>
      </c>
      <c r="O923" s="35"/>
      <c r="P923" s="35"/>
      <c r="Q923" s="37"/>
      <c r="R923" s="38"/>
      <c r="S923" s="33"/>
      <c r="T923" s="39">
        <v>297000</v>
      </c>
      <c r="U923" s="40" t="s">
        <v>61</v>
      </c>
      <c r="V923" s="41"/>
      <c r="W923" s="42" t="str">
        <f ca="1">IFERROR(__xludf.DUMMYFUNCTION("""COMPUTED_VALUE"""),"GZ Transport")</f>
        <v>GZ Transport</v>
      </c>
      <c r="X923" s="42" t="str">
        <f ca="1"/>
        <v>ON-GZ Transport-00011900+7-6281328710760</v>
      </c>
      <c r="Y923" s="40" t="s">
        <v>62</v>
      </c>
      <c r="Z923" s="40" t="s">
        <v>1880</v>
      </c>
      <c r="AA923" s="23" t="str">
        <v>https://wa.me/6281328710760</v>
      </c>
      <c r="AB923" s="28"/>
      <c r="AC923" s="28"/>
      <c r="AD923" s="28"/>
      <c r="AE923" s="28"/>
      <c r="AF923" s="29"/>
      <c r="AG923" s="29"/>
    </row>
    <row r="924" spans="1:33" ht="15.75" customHeight="1">
      <c r="A924" s="32" t="s">
        <v>196</v>
      </c>
      <c r="B924" s="33">
        <v>938</v>
      </c>
      <c r="C924" s="34" t="s">
        <v>5486</v>
      </c>
      <c r="D924" s="35">
        <v>45910.718181562501</v>
      </c>
      <c r="E924" s="43">
        <v>45910</v>
      </c>
      <c r="F924" s="32" t="s">
        <v>5487</v>
      </c>
      <c r="G924" s="32" t="s">
        <v>5488</v>
      </c>
      <c r="H924" s="32" t="s">
        <v>789</v>
      </c>
      <c r="I924" s="36" t="s">
        <v>5489</v>
      </c>
      <c r="J924" s="52" t="s">
        <v>5490</v>
      </c>
      <c r="K924" s="32" t="s">
        <v>5491</v>
      </c>
      <c r="L924" s="32" t="s">
        <v>1957</v>
      </c>
      <c r="M924" s="32" t="s">
        <v>5492</v>
      </c>
      <c r="N924" s="33">
        <v>5</v>
      </c>
      <c r="O924" s="35"/>
      <c r="P924" s="35"/>
      <c r="Q924" s="37"/>
      <c r="R924" s="38"/>
      <c r="S924" s="33"/>
      <c r="T924" s="39">
        <v>150000</v>
      </c>
      <c r="U924" s="40" t="s">
        <v>1774</v>
      </c>
      <c r="V924" s="41"/>
      <c r="W924" s="42" t="str">
        <f ca="1">IFERROR(__xludf.DUMMYFUNCTION("""COMPUTED_VALUE"""),"Shidqia Properti")</f>
        <v>Shidqia Properti</v>
      </c>
      <c r="X924" s="42" t="str">
        <f ca="1"/>
        <v>ON-Shidqia Properti-00011900+5-6285792806011</v>
      </c>
      <c r="Y924" s="40" t="s">
        <v>293</v>
      </c>
      <c r="Z924" s="40" t="s">
        <v>1057</v>
      </c>
      <c r="AA924" s="23" t="str">
        <v>https://wa.me/6285792806011</v>
      </c>
      <c r="AB924" s="28" t="s">
        <v>5493</v>
      </c>
      <c r="AC924" s="28"/>
      <c r="AD924" s="28" t="s">
        <v>690</v>
      </c>
      <c r="AE924" s="28"/>
      <c r="AF924" s="29">
        <v>45913</v>
      </c>
      <c r="AG924" s="29"/>
    </row>
    <row r="925" spans="1:33" ht="15.75" customHeight="1">
      <c r="A925" s="32" t="s">
        <v>52</v>
      </c>
      <c r="B925" s="33">
        <v>939</v>
      </c>
      <c r="C925" s="34" t="s">
        <v>5494</v>
      </c>
      <c r="D925" s="35">
        <v>45911.231557499996</v>
      </c>
      <c r="E925" s="43">
        <v>45911</v>
      </c>
      <c r="F925" s="32" t="s">
        <v>2479</v>
      </c>
      <c r="G925" s="32" t="s">
        <v>2480</v>
      </c>
      <c r="H925" s="32" t="s">
        <v>2481</v>
      </c>
      <c r="I925" s="36" t="s">
        <v>2482</v>
      </c>
      <c r="J925" s="52"/>
      <c r="K925" s="32" t="s">
        <v>2894</v>
      </c>
      <c r="L925" s="32" t="s">
        <v>1628</v>
      </c>
      <c r="M925" s="32" t="s">
        <v>60</v>
      </c>
      <c r="N925" s="33">
        <v>10</v>
      </c>
      <c r="O925" s="35"/>
      <c r="P925" s="35"/>
      <c r="Q925" s="37"/>
      <c r="R925" s="38"/>
      <c r="S925" s="33"/>
      <c r="T925" s="39">
        <v>375000</v>
      </c>
      <c r="U925" s="40" t="s">
        <v>115</v>
      </c>
      <c r="V925" s="41"/>
      <c r="W925" s="42" t="str">
        <f ca="1">IFERROR(__xludf.DUMMYFUNCTION("""COMPUTED_VALUE"""),"AURIGA KONTRAKTOR")</f>
        <v>AURIGA KONTRAKTOR</v>
      </c>
      <c r="X925" s="42" t="str">
        <f ca="1"/>
        <v>ON-AURIGA KONTRAKTOR-00011900+10-6287856230745</v>
      </c>
      <c r="Y925" s="40"/>
      <c r="Z925" s="40"/>
      <c r="AA925" s="23" t="str">
        <v>https://wa.me/6287856230745</v>
      </c>
      <c r="AB925" s="28"/>
      <c r="AC925" s="28"/>
      <c r="AD925" s="28"/>
      <c r="AE925" s="28"/>
      <c r="AF925" s="29"/>
      <c r="AG925" s="29"/>
    </row>
    <row r="926" spans="1:33" ht="15.75" customHeight="1">
      <c r="A926" s="32" t="s">
        <v>196</v>
      </c>
      <c r="B926" s="33">
        <v>940</v>
      </c>
      <c r="C926" s="34" t="s">
        <v>5495</v>
      </c>
      <c r="D926" s="35">
        <v>45911.235443877318</v>
      </c>
      <c r="E926" s="43">
        <v>45910</v>
      </c>
      <c r="F926" s="32" t="s">
        <v>5496</v>
      </c>
      <c r="G926" s="32" t="s">
        <v>5497</v>
      </c>
      <c r="H926" s="32" t="s">
        <v>5498</v>
      </c>
      <c r="I926" s="36" t="s">
        <v>5499</v>
      </c>
      <c r="J926" s="52"/>
      <c r="K926" s="32" t="s">
        <v>5500</v>
      </c>
      <c r="L926" s="32" t="s">
        <v>817</v>
      </c>
      <c r="M926" s="32" t="s">
        <v>60</v>
      </c>
      <c r="N926" s="33">
        <v>14</v>
      </c>
      <c r="O926" s="35"/>
      <c r="P926" s="35"/>
      <c r="Q926" s="37"/>
      <c r="R926" s="38"/>
      <c r="S926" s="33"/>
      <c r="T926" s="39">
        <v>550000</v>
      </c>
      <c r="U926" s="40" t="s">
        <v>61</v>
      </c>
      <c r="V926" s="41"/>
      <c r="W926" s="42" t="str">
        <f ca="1">IFERROR(__xludf.DUMMYFUNCTION("""COMPUTED_VALUE"""),"Adi Family")</f>
        <v>Adi Family</v>
      </c>
      <c r="X926" s="42" t="str">
        <f ca="1"/>
        <v>ON-Adi Family-00011900+14-6285136983356</v>
      </c>
      <c r="Y926" s="40" t="s">
        <v>293</v>
      </c>
      <c r="Z926" s="40" t="s">
        <v>1057</v>
      </c>
      <c r="AA926" s="23" t="str">
        <v>https://wa.me/6285136983356</v>
      </c>
      <c r="AB926" s="28" t="s">
        <v>5501</v>
      </c>
      <c r="AC926" s="28"/>
      <c r="AD926" s="28" t="s">
        <v>690</v>
      </c>
      <c r="AE926" s="28"/>
      <c r="AF926" s="29">
        <v>45913</v>
      </c>
      <c r="AG926" s="29"/>
    </row>
    <row r="927" spans="1:33" ht="15.75" customHeight="1">
      <c r="A927" s="32" t="s">
        <v>196</v>
      </c>
      <c r="B927" s="33">
        <v>941</v>
      </c>
      <c r="C927" s="34" t="s">
        <v>5502</v>
      </c>
      <c r="D927" s="35">
        <v>45911.262921805552</v>
      </c>
      <c r="E927" s="43">
        <v>45910</v>
      </c>
      <c r="F927" s="32" t="s">
        <v>599</v>
      </c>
      <c r="G927" s="32" t="s">
        <v>600</v>
      </c>
      <c r="H927" s="32" t="s">
        <v>601</v>
      </c>
      <c r="I927" s="36" t="s">
        <v>602</v>
      </c>
      <c r="J927" s="52"/>
      <c r="K927" s="32" t="s">
        <v>603</v>
      </c>
      <c r="L927" s="32" t="s">
        <v>604</v>
      </c>
      <c r="M927" s="32" t="s">
        <v>60</v>
      </c>
      <c r="N927" s="33">
        <v>7</v>
      </c>
      <c r="O927" s="35"/>
      <c r="P927" s="35"/>
      <c r="Q927" s="37"/>
      <c r="R927" s="38"/>
      <c r="S927" s="33"/>
      <c r="T927" s="39">
        <v>297000</v>
      </c>
      <c r="U927" s="40" t="s">
        <v>61</v>
      </c>
      <c r="V927" s="41"/>
      <c r="W927" s="42" t="str">
        <f ca="1">IFERROR(__xludf.DUMMYFUNCTION("""COMPUTED_VALUE"""),"Samidi Plafon")</f>
        <v>Samidi Plafon</v>
      </c>
      <c r="X927" s="42" t="str">
        <f ca="1"/>
        <v>ON-Samidi Plafon-00011900+7-6285210107607</v>
      </c>
      <c r="Y927" s="40" t="s">
        <v>293</v>
      </c>
      <c r="Z927" s="40" t="s">
        <v>1057</v>
      </c>
      <c r="AA927" s="23" t="str">
        <v>https://wa.me/6285210107607</v>
      </c>
      <c r="AB927" s="28" t="s">
        <v>5503</v>
      </c>
      <c r="AC927" s="28"/>
      <c r="AD927" s="28" t="s">
        <v>690</v>
      </c>
      <c r="AE927" s="28"/>
      <c r="AF927" s="29">
        <v>45913</v>
      </c>
      <c r="AG927" s="29"/>
    </row>
    <row r="928" spans="1:33" ht="15.75" customHeight="1">
      <c r="A928" s="32" t="s">
        <v>196</v>
      </c>
      <c r="B928" s="33">
        <v>942</v>
      </c>
      <c r="C928" s="34" t="s">
        <v>5504</v>
      </c>
      <c r="D928" s="35">
        <v>45911.267368587964</v>
      </c>
      <c r="E928" s="43">
        <v>45910</v>
      </c>
      <c r="F928" s="32" t="s">
        <v>5505</v>
      </c>
      <c r="G928" s="32" t="s">
        <v>5506</v>
      </c>
      <c r="H928" s="32" t="s">
        <v>5507</v>
      </c>
      <c r="I928" s="36" t="s">
        <v>5508</v>
      </c>
      <c r="J928" s="52"/>
      <c r="K928" s="32" t="s">
        <v>3222</v>
      </c>
      <c r="L928" s="32" t="s">
        <v>2432</v>
      </c>
      <c r="M928" s="32" t="s">
        <v>60</v>
      </c>
      <c r="N928" s="33">
        <v>10</v>
      </c>
      <c r="O928" s="35"/>
      <c r="P928" s="35"/>
      <c r="Q928" s="37"/>
      <c r="R928" s="38"/>
      <c r="S928" s="33"/>
      <c r="T928" s="39">
        <v>375000</v>
      </c>
      <c r="U928" s="40" t="s">
        <v>61</v>
      </c>
      <c r="V928" s="41"/>
      <c r="W928" s="42" t="str">
        <f ca="1">IFERROR(__xludf.DUMMYFUNCTION("""COMPUTED_VALUE"""),"Wendi Furniture")</f>
        <v>Wendi Furniture</v>
      </c>
      <c r="X928" s="42" t="str">
        <f ca="1"/>
        <v>ON-Wendi Furniture-00011900+10-6282193434799</v>
      </c>
      <c r="Y928" s="40" t="s">
        <v>293</v>
      </c>
      <c r="Z928" s="40" t="s">
        <v>1057</v>
      </c>
      <c r="AA928" s="23" t="str">
        <v>https://wa.me/6282193434799</v>
      </c>
      <c r="AB928" s="28" t="s">
        <v>5509</v>
      </c>
      <c r="AC928" s="28"/>
      <c r="AD928" s="28" t="s">
        <v>690</v>
      </c>
      <c r="AE928" s="28"/>
      <c r="AF928" s="29">
        <v>45913</v>
      </c>
      <c r="AG928" s="29"/>
    </row>
    <row r="929" spans="1:33" ht="15.75" customHeight="1">
      <c r="A929" s="32" t="s">
        <v>52</v>
      </c>
      <c r="B929" s="33">
        <v>942</v>
      </c>
      <c r="C929" s="34" t="s">
        <v>5504</v>
      </c>
      <c r="D929" s="35">
        <v>45911.404409409719</v>
      </c>
      <c r="E929" s="43">
        <v>45911</v>
      </c>
      <c r="F929" s="32" t="s">
        <v>3925</v>
      </c>
      <c r="G929" s="32" t="s">
        <v>3926</v>
      </c>
      <c r="H929" s="32" t="s">
        <v>3927</v>
      </c>
      <c r="I929" s="36" t="s">
        <v>3928</v>
      </c>
      <c r="J929" s="52" t="s">
        <v>5510</v>
      </c>
      <c r="K929" s="32" t="s">
        <v>3929</v>
      </c>
      <c r="L929" s="32" t="s">
        <v>964</v>
      </c>
      <c r="M929" s="32" t="s">
        <v>382</v>
      </c>
      <c r="N929" s="33">
        <v>14</v>
      </c>
      <c r="O929" s="35"/>
      <c r="P929" s="35"/>
      <c r="Q929" s="37"/>
      <c r="R929" s="38"/>
      <c r="S929" s="33"/>
      <c r="T929" s="39">
        <v>550000</v>
      </c>
      <c r="U929" s="40" t="s">
        <v>115</v>
      </c>
      <c r="V929" s="41"/>
      <c r="W929" s="42" t="str">
        <f ca="1">IFERROR(__xludf.DUMMYFUNCTION("""COMPUTED_VALUE"""),"UD WIJAYA")</f>
        <v>UD WIJAYA</v>
      </c>
      <c r="X929" s="42" t="str">
        <f ca="1"/>
        <v>ON-UD WIJAYA-00011900+14-6281243260218</v>
      </c>
      <c r="Y929" s="40"/>
      <c r="Z929" s="40"/>
      <c r="AA929" s="23" t="str">
        <v>https://wa.me/6281243260218</v>
      </c>
      <c r="AB929" s="28"/>
      <c r="AC929" s="28"/>
      <c r="AD929" s="28"/>
      <c r="AE929" s="28"/>
      <c r="AF929" s="29"/>
      <c r="AG929" s="29"/>
    </row>
    <row r="930" spans="1:33" ht="15.75" customHeight="1">
      <c r="A930" s="32" t="s">
        <v>52</v>
      </c>
      <c r="B930" s="33">
        <v>943</v>
      </c>
      <c r="C930" s="34" t="s">
        <v>5511</v>
      </c>
      <c r="D930" s="35">
        <v>45911.534945104169</v>
      </c>
      <c r="E930" s="43">
        <v>45900</v>
      </c>
      <c r="F930" s="32" t="s">
        <v>4966</v>
      </c>
      <c r="G930" s="32" t="s">
        <v>4967</v>
      </c>
      <c r="H930" s="32" t="s">
        <v>4968</v>
      </c>
      <c r="I930" s="36" t="s">
        <v>3480</v>
      </c>
      <c r="J930" s="52"/>
      <c r="K930" s="32" t="s">
        <v>247</v>
      </c>
      <c r="L930" s="32" t="s">
        <v>4969</v>
      </c>
      <c r="M930" s="32" t="s">
        <v>285</v>
      </c>
      <c r="N930" s="33">
        <v>5</v>
      </c>
      <c r="O930" s="35"/>
      <c r="P930" s="35"/>
      <c r="Q930" s="37"/>
      <c r="R930" s="38"/>
      <c r="S930" s="33"/>
      <c r="T930" s="39">
        <v>197000</v>
      </c>
      <c r="U930" s="40" t="s">
        <v>1229</v>
      </c>
      <c r="V930" s="41"/>
      <c r="W930" s="42" t="str">
        <f ca="1">IFERROR(__xludf.DUMMYFUNCTION("""COMPUTED_VALUE"""),"Pandawa massage")</f>
        <v>Pandawa massage</v>
      </c>
      <c r="X930" s="42" t="str">
        <f ca="1"/>
        <v>ON-Pandawa massage-00011900+5-6285780314346</v>
      </c>
      <c r="Y930" s="40"/>
      <c r="Z930" s="40"/>
      <c r="AA930" s="23" t="str">
        <v>https://wa.me/6285780314346</v>
      </c>
      <c r="AB930" s="28"/>
      <c r="AC930" s="28"/>
      <c r="AD930" s="28"/>
      <c r="AE930" s="28"/>
      <c r="AF930" s="29"/>
      <c r="AG930" s="29"/>
    </row>
    <row r="931" spans="1:33" ht="15.75" customHeight="1">
      <c r="A931" s="32" t="s">
        <v>52</v>
      </c>
      <c r="B931" s="33">
        <v>944</v>
      </c>
      <c r="C931" s="34" t="s">
        <v>5512</v>
      </c>
      <c r="D931" s="35">
        <v>45911.53593706018</v>
      </c>
      <c r="E931" s="43">
        <v>45911</v>
      </c>
      <c r="F931" s="32" t="s">
        <v>4966</v>
      </c>
      <c r="G931" s="32" t="s">
        <v>4967</v>
      </c>
      <c r="H931" s="32" t="s">
        <v>4968</v>
      </c>
      <c r="I931" s="36" t="s">
        <v>3480</v>
      </c>
      <c r="J931" s="52"/>
      <c r="K931" s="32" t="s">
        <v>247</v>
      </c>
      <c r="L931" s="32" t="s">
        <v>4969</v>
      </c>
      <c r="M931" s="32" t="s">
        <v>285</v>
      </c>
      <c r="N931" s="33">
        <v>5</v>
      </c>
      <c r="O931" s="35"/>
      <c r="P931" s="35"/>
      <c r="Q931" s="37"/>
      <c r="R931" s="38"/>
      <c r="S931" s="33"/>
      <c r="T931" s="39">
        <v>197000</v>
      </c>
      <c r="U931" s="40" t="s">
        <v>1229</v>
      </c>
      <c r="V931" s="41"/>
      <c r="W931" s="42" t="str">
        <f ca="1">IFERROR(__xludf.DUMMYFUNCTION("""COMPUTED_VALUE"""),"Pandawa massage")</f>
        <v>Pandawa massage</v>
      </c>
      <c r="X931" s="42" t="str">
        <f ca="1"/>
        <v>ON-Pandawa massage-00011900+5-6285780314346</v>
      </c>
      <c r="Y931" s="40"/>
      <c r="Z931" s="40"/>
      <c r="AA931" s="23" t="str">
        <v>https://wa.me/6285780314346</v>
      </c>
      <c r="AB931" s="28"/>
      <c r="AC931" s="28"/>
      <c r="AD931" s="28"/>
      <c r="AE931" s="28"/>
      <c r="AF931" s="29"/>
      <c r="AG931" s="29"/>
    </row>
    <row r="932" spans="1:33" ht="15.75" customHeight="1">
      <c r="A932" s="32" t="s">
        <v>196</v>
      </c>
      <c r="B932" s="33">
        <v>945</v>
      </c>
      <c r="C932" s="34" t="s">
        <v>5513</v>
      </c>
      <c r="D932" s="35">
        <v>45911.552631168983</v>
      </c>
      <c r="E932" s="43">
        <v>45911</v>
      </c>
      <c r="F932" s="32" t="s">
        <v>5514</v>
      </c>
      <c r="G932" s="32" t="s">
        <v>5515</v>
      </c>
      <c r="H932" s="32" t="s">
        <v>5516</v>
      </c>
      <c r="I932" s="36" t="s">
        <v>5517</v>
      </c>
      <c r="J932" s="52"/>
      <c r="K932" s="32" t="s">
        <v>5518</v>
      </c>
      <c r="L932" s="32" t="s">
        <v>2468</v>
      </c>
      <c r="M932" s="32" t="s">
        <v>60</v>
      </c>
      <c r="N932" s="33">
        <v>7</v>
      </c>
      <c r="O932" s="35"/>
      <c r="P932" s="35"/>
      <c r="Q932" s="37"/>
      <c r="R932" s="38"/>
      <c r="S932" s="33"/>
      <c r="T932" s="39">
        <v>297000</v>
      </c>
      <c r="U932" s="40" t="s">
        <v>61</v>
      </c>
      <c r="V932" s="41"/>
      <c r="W932" s="42" t="str">
        <f ca="1">IFERROR(__xludf.DUMMYFUNCTION("""COMPUTED_VALUE"""),"Pelangi Gorden")</f>
        <v>Pelangi Gorden</v>
      </c>
      <c r="X932" s="42" t="str">
        <f ca="1"/>
        <v>ON-Pelangi Gorden-00011900+7-6285245301996</v>
      </c>
      <c r="Y932" s="40" t="s">
        <v>62</v>
      </c>
      <c r="Z932" s="40" t="s">
        <v>1465</v>
      </c>
      <c r="AA932" s="23" t="str">
        <v>https://wa.me/6285245301996</v>
      </c>
      <c r="AB932" s="28" t="s">
        <v>5519</v>
      </c>
      <c r="AC932" s="28"/>
      <c r="AD932" s="28" t="s">
        <v>690</v>
      </c>
      <c r="AE932" s="28"/>
      <c r="AF932" s="29">
        <v>45914</v>
      </c>
      <c r="AG932" s="29"/>
    </row>
    <row r="933" spans="1:33" ht="15.75" customHeight="1">
      <c r="A933" s="32" t="s">
        <v>196</v>
      </c>
      <c r="B933" s="33">
        <v>946</v>
      </c>
      <c r="C933" s="34" t="s">
        <v>5520</v>
      </c>
      <c r="D933" s="35">
        <v>45911.557701689817</v>
      </c>
      <c r="E933" s="43">
        <v>45911</v>
      </c>
      <c r="F933" s="32" t="s">
        <v>5521</v>
      </c>
      <c r="G933" s="32" t="s">
        <v>5522</v>
      </c>
      <c r="H933" s="32" t="s">
        <v>1901</v>
      </c>
      <c r="I933" s="36" t="s">
        <v>5523</v>
      </c>
      <c r="J933" s="52"/>
      <c r="K933" s="32" t="s">
        <v>5524</v>
      </c>
      <c r="L933" s="32" t="s">
        <v>92</v>
      </c>
      <c r="M933" s="32" t="s">
        <v>60</v>
      </c>
      <c r="N933" s="33">
        <v>30</v>
      </c>
      <c r="O933" s="35"/>
      <c r="P933" s="35"/>
      <c r="Q933" s="37"/>
      <c r="R933" s="38"/>
      <c r="S933" s="33"/>
      <c r="T933" s="39">
        <v>1000000</v>
      </c>
      <c r="U933" s="40" t="s">
        <v>61</v>
      </c>
      <c r="V933" s="41"/>
      <c r="W933" s="42" t="str">
        <f ca="1">IFERROR(__xludf.DUMMYFUNCTION("""COMPUTED_VALUE"""),"Bersih Laundry")</f>
        <v>Bersih Laundry</v>
      </c>
      <c r="X933" s="42" t="str">
        <f ca="1"/>
        <v>ON-Bersih Laundry-00011900+30-6287822292311</v>
      </c>
      <c r="Y933" s="40" t="s">
        <v>62</v>
      </c>
      <c r="Z933" s="40" t="s">
        <v>1465</v>
      </c>
      <c r="AA933" s="23" t="str">
        <v>https://wa.me/6287822292311</v>
      </c>
      <c r="AB933" s="28" t="s">
        <v>5525</v>
      </c>
      <c r="AC933" s="28"/>
      <c r="AD933" s="28" t="s">
        <v>690</v>
      </c>
      <c r="AE933" s="28"/>
      <c r="AF933" s="29">
        <v>45914</v>
      </c>
      <c r="AG933" s="29"/>
    </row>
    <row r="934" spans="1:33" ht="15.75" customHeight="1">
      <c r="A934" s="32" t="s">
        <v>196</v>
      </c>
      <c r="B934" s="33">
        <v>947</v>
      </c>
      <c r="C934" s="34" t="s">
        <v>5526</v>
      </c>
      <c r="D934" s="35">
        <v>45911.573717349536</v>
      </c>
      <c r="E934" s="43">
        <v>45911</v>
      </c>
      <c r="F934" s="32" t="s">
        <v>5527</v>
      </c>
      <c r="G934" s="32" t="s">
        <v>5528</v>
      </c>
      <c r="H934" s="32" t="s">
        <v>5529</v>
      </c>
      <c r="I934" s="36" t="s">
        <v>5530</v>
      </c>
      <c r="J934" s="52"/>
      <c r="K934" s="32" t="s">
        <v>5531</v>
      </c>
      <c r="L934" s="32" t="s">
        <v>1542</v>
      </c>
      <c r="M934" s="32" t="s">
        <v>1773</v>
      </c>
      <c r="N934" s="33">
        <v>5</v>
      </c>
      <c r="O934" s="35"/>
      <c r="P934" s="35"/>
      <c r="Q934" s="37"/>
      <c r="R934" s="38"/>
      <c r="S934" s="33"/>
      <c r="T934" s="39">
        <v>197000</v>
      </c>
      <c r="U934" s="40" t="s">
        <v>115</v>
      </c>
      <c r="V934" s="41"/>
      <c r="W934" s="42" t="str">
        <f ca="1">IFERROR(__xludf.DUMMYFUNCTION("""COMPUTED_VALUE"""),"Tukang Bangunan")</f>
        <v>Tukang Bangunan</v>
      </c>
      <c r="X934" s="42" t="str">
        <f ca="1"/>
        <v>ON-Tukang Bangunan-00011900+5-6289638779870</v>
      </c>
      <c r="Y934" s="40" t="s">
        <v>293</v>
      </c>
      <c r="Z934" s="40" t="s">
        <v>1057</v>
      </c>
      <c r="AA934" s="23" t="str">
        <v>https://wa.me/6289638779870</v>
      </c>
      <c r="AB934" s="28" t="s">
        <v>5532</v>
      </c>
      <c r="AC934" s="28"/>
      <c r="AD934" s="28" t="s">
        <v>690</v>
      </c>
      <c r="AE934" s="28"/>
      <c r="AF934" s="29">
        <v>45914</v>
      </c>
      <c r="AG934" s="29"/>
    </row>
    <row r="935" spans="1:33" ht="15.75" customHeight="1">
      <c r="A935" s="32" t="s">
        <v>196</v>
      </c>
      <c r="B935" s="33">
        <v>948</v>
      </c>
      <c r="C935" s="34" t="s">
        <v>5533</v>
      </c>
      <c r="D935" s="35">
        <v>46056</v>
      </c>
      <c r="E935" s="43">
        <v>45911</v>
      </c>
      <c r="F935" s="32" t="s">
        <v>5534</v>
      </c>
      <c r="G935" s="32" t="s">
        <v>5535</v>
      </c>
      <c r="H935" s="32" t="s">
        <v>5536</v>
      </c>
      <c r="I935" s="36" t="s">
        <v>5537</v>
      </c>
      <c r="J935" s="52"/>
      <c r="K935" s="32" t="s">
        <v>5538</v>
      </c>
      <c r="L935" s="32" t="s">
        <v>1008</v>
      </c>
      <c r="M935" s="32" t="s">
        <v>60</v>
      </c>
      <c r="N935" s="33">
        <v>5</v>
      </c>
      <c r="O935" s="35"/>
      <c r="P935" s="35"/>
      <c r="Q935" s="37"/>
      <c r="R935" s="38">
        <v>-1003470351325</v>
      </c>
      <c r="S935" s="33"/>
      <c r="T935" s="39">
        <v>197000</v>
      </c>
      <c r="U935" s="40" t="s">
        <v>61</v>
      </c>
      <c r="V935" s="47">
        <v>46057.24069471065</v>
      </c>
      <c r="W935" s="42" t="str">
        <f ca="1">IFERROR(__xludf.DUMMYFUNCTION("""COMPUTED_VALUE"""),"Rumah Sehat")</f>
        <v>Rumah Sehat</v>
      </c>
      <c r="X935" s="42" t="str">
        <f ca="1"/>
        <v>ON-Rumah Sehat-04022026+5-6281316122975</v>
      </c>
      <c r="Y935" s="40" t="s">
        <v>62</v>
      </c>
      <c r="Z935" s="40" t="s">
        <v>639</v>
      </c>
      <c r="AA935" s="23" t="str">
        <v>https://wa.me/6281316122975</v>
      </c>
      <c r="AB935" s="28" t="s">
        <v>5539</v>
      </c>
      <c r="AC935" s="28"/>
      <c r="AD935" s="28" t="s">
        <v>690</v>
      </c>
      <c r="AE935" s="28"/>
      <c r="AF935" s="29">
        <v>45917</v>
      </c>
      <c r="AG935" s="29"/>
    </row>
    <row r="936" spans="1:33" ht="15.75" customHeight="1">
      <c r="A936" s="32" t="s">
        <v>196</v>
      </c>
      <c r="B936" s="33">
        <v>949</v>
      </c>
      <c r="C936" s="34" t="s">
        <v>5540</v>
      </c>
      <c r="D936" s="35">
        <v>45911.786057546298</v>
      </c>
      <c r="E936" s="43">
        <v>45911</v>
      </c>
      <c r="F936" s="32" t="s">
        <v>5541</v>
      </c>
      <c r="G936" s="32" t="s">
        <v>5542</v>
      </c>
      <c r="H936" s="32" t="s">
        <v>595</v>
      </c>
      <c r="I936" s="36" t="s">
        <v>5543</v>
      </c>
      <c r="J936" s="52"/>
      <c r="K936" s="32" t="s">
        <v>5544</v>
      </c>
      <c r="L936" s="32" t="s">
        <v>425</v>
      </c>
      <c r="M936" s="32" t="s">
        <v>60</v>
      </c>
      <c r="N936" s="33">
        <v>5</v>
      </c>
      <c r="O936" s="35"/>
      <c r="P936" s="35"/>
      <c r="Q936" s="37"/>
      <c r="R936" s="38"/>
      <c r="S936" s="33"/>
      <c r="T936" s="39">
        <v>197000</v>
      </c>
      <c r="U936" s="40" t="s">
        <v>61</v>
      </c>
      <c r="V936" s="41"/>
      <c r="W936" s="42" t="str">
        <f ca="1">IFERROR(__xludf.DUMMYFUNCTION("""COMPUTED_VALUE"""),"CV Sanjaya")</f>
        <v>CV Sanjaya</v>
      </c>
      <c r="X936" s="42" t="str">
        <f ca="1"/>
        <v>ON-CV Sanjaya-00011900+5-6285237233077</v>
      </c>
      <c r="Y936" s="40" t="s">
        <v>293</v>
      </c>
      <c r="Z936" s="40" t="s">
        <v>1057</v>
      </c>
      <c r="AA936" s="23" t="str">
        <v>https://wa.me/6285237233077</v>
      </c>
      <c r="AB936" s="28" t="s">
        <v>5545</v>
      </c>
      <c r="AC936" s="28"/>
      <c r="AD936" s="28" t="s">
        <v>690</v>
      </c>
      <c r="AE936" s="28"/>
      <c r="AF936" s="29">
        <v>45914</v>
      </c>
      <c r="AG936" s="29"/>
    </row>
    <row r="937" spans="1:33" ht="15.75" customHeight="1">
      <c r="A937" s="32" t="s">
        <v>196</v>
      </c>
      <c r="B937" s="33">
        <v>950</v>
      </c>
      <c r="C937" s="34" t="s">
        <v>5546</v>
      </c>
      <c r="D937" s="35">
        <v>45911.7865862037</v>
      </c>
      <c r="E937" s="43">
        <v>45911</v>
      </c>
      <c r="F937" s="32" t="s">
        <v>5547</v>
      </c>
      <c r="G937" s="32" t="s">
        <v>5548</v>
      </c>
      <c r="H937" s="32" t="s">
        <v>5549</v>
      </c>
      <c r="I937" s="36" t="s">
        <v>5550</v>
      </c>
      <c r="J937" s="52"/>
      <c r="K937" s="32" t="s">
        <v>5551</v>
      </c>
      <c r="L937" s="32" t="s">
        <v>92</v>
      </c>
      <c r="M937" s="32" t="s">
        <v>60</v>
      </c>
      <c r="N937" s="33">
        <v>5</v>
      </c>
      <c r="O937" s="35"/>
      <c r="P937" s="35"/>
      <c r="Q937" s="37"/>
      <c r="R937" s="38"/>
      <c r="S937" s="33"/>
      <c r="T937" s="39">
        <v>197000</v>
      </c>
      <c r="U937" s="40" t="s">
        <v>61</v>
      </c>
      <c r="V937" s="41"/>
      <c r="W937" s="42" t="str">
        <f ca="1">IFERROR(__xludf.DUMMYFUNCTION("""COMPUTED_VALUE"""),"Griya Sehat")</f>
        <v>Griya Sehat</v>
      </c>
      <c r="X937" s="42" t="str">
        <f ca="1"/>
        <v>ON-Griya Sehat-00011900+5-6283107086952</v>
      </c>
      <c r="Y937" s="40" t="s">
        <v>62</v>
      </c>
      <c r="Z937" s="40" t="s">
        <v>639</v>
      </c>
      <c r="AA937" s="23" t="str">
        <v>https://wa.me/6283107086952</v>
      </c>
      <c r="AB937" s="28" t="s">
        <v>5552</v>
      </c>
      <c r="AC937" s="28"/>
      <c r="AD937" s="28" t="s">
        <v>690</v>
      </c>
      <c r="AE937" s="28"/>
      <c r="AF937" s="29">
        <v>45918</v>
      </c>
      <c r="AG937" s="29"/>
    </row>
    <row r="938" spans="1:33" ht="15.75" customHeight="1">
      <c r="A938" s="32" t="s">
        <v>196</v>
      </c>
      <c r="B938" s="33">
        <v>951</v>
      </c>
      <c r="C938" s="34" t="s">
        <v>5553</v>
      </c>
      <c r="D938" s="35">
        <v>45911.788172824075</v>
      </c>
      <c r="E938" s="43">
        <v>45910</v>
      </c>
      <c r="F938" s="32" t="s">
        <v>5482</v>
      </c>
      <c r="G938" s="32" t="s">
        <v>5483</v>
      </c>
      <c r="H938" s="32" t="s">
        <v>5484</v>
      </c>
      <c r="I938" s="36" t="s">
        <v>5554</v>
      </c>
      <c r="J938" s="52"/>
      <c r="K938" s="32" t="s">
        <v>374</v>
      </c>
      <c r="L938" s="32" t="s">
        <v>92</v>
      </c>
      <c r="M938" s="32" t="s">
        <v>60</v>
      </c>
      <c r="N938" s="33">
        <v>7</v>
      </c>
      <c r="O938" s="35"/>
      <c r="P938" s="35"/>
      <c r="Q938" s="37"/>
      <c r="R938" s="38"/>
      <c r="S938" s="33"/>
      <c r="T938" s="39">
        <v>297000</v>
      </c>
      <c r="U938" s="40" t="s">
        <v>61</v>
      </c>
      <c r="V938" s="41"/>
      <c r="W938" s="42" t="str">
        <f ca="1">IFERROR(__xludf.DUMMYFUNCTION("""COMPUTED_VALUE"""),"GZ Transport")</f>
        <v>GZ Transport</v>
      </c>
      <c r="X938" s="42" t="str">
        <f ca="1"/>
        <v>ON-GZ Transport-00011900+7-6282225676438</v>
      </c>
      <c r="Y938" s="40" t="s">
        <v>62</v>
      </c>
      <c r="Z938" s="40" t="s">
        <v>1880</v>
      </c>
      <c r="AA938" s="23" t="str">
        <v>https://wa.me/6282225676438</v>
      </c>
      <c r="AB938" s="28" t="s">
        <v>5555</v>
      </c>
      <c r="AC938" s="28"/>
      <c r="AD938" s="28" t="s">
        <v>690</v>
      </c>
      <c r="AE938" s="28"/>
      <c r="AF938" s="29">
        <v>45913</v>
      </c>
      <c r="AG938" s="29"/>
    </row>
    <row r="939" spans="1:33" ht="15.75" customHeight="1">
      <c r="A939" s="32" t="s">
        <v>196</v>
      </c>
      <c r="B939" s="33">
        <v>952</v>
      </c>
      <c r="C939" s="34" t="s">
        <v>5556</v>
      </c>
      <c r="D939" s="35">
        <v>45911.801320972227</v>
      </c>
      <c r="E939" s="43">
        <v>45911</v>
      </c>
      <c r="F939" s="32" t="s">
        <v>5557</v>
      </c>
      <c r="G939" s="32" t="s">
        <v>5558</v>
      </c>
      <c r="H939" s="32" t="s">
        <v>409</v>
      </c>
      <c r="I939" s="36" t="s">
        <v>5559</v>
      </c>
      <c r="J939" s="52"/>
      <c r="K939" s="32" t="s">
        <v>5560</v>
      </c>
      <c r="L939" s="32" t="s">
        <v>5561</v>
      </c>
      <c r="M939" s="32" t="s">
        <v>5562</v>
      </c>
      <c r="N939" s="33">
        <v>7</v>
      </c>
      <c r="O939" s="35"/>
      <c r="P939" s="35"/>
      <c r="Q939" s="37"/>
      <c r="R939" s="38"/>
      <c r="S939" s="33"/>
      <c r="T939" s="39">
        <v>297000</v>
      </c>
      <c r="U939" s="40" t="s">
        <v>115</v>
      </c>
      <c r="V939" s="41"/>
      <c r="W939" s="42" t="str">
        <f ca="1">IFERROR(__xludf.DUMMYFUNCTION("""COMPUTED_VALUE"""),"Orlin Teknik")</f>
        <v>Orlin Teknik</v>
      </c>
      <c r="X939" s="42" t="str">
        <f ca="1"/>
        <v>ON-Orlin Teknik-00011900+7-6282154770550</v>
      </c>
      <c r="Y939" s="40" t="s">
        <v>293</v>
      </c>
      <c r="Z939" s="40" t="s">
        <v>1057</v>
      </c>
      <c r="AA939" s="23" t="str">
        <v>https://wa.me/6282154770550</v>
      </c>
      <c r="AB939" s="28" t="s">
        <v>5563</v>
      </c>
      <c r="AC939" s="28"/>
      <c r="AD939" s="28" t="s">
        <v>690</v>
      </c>
      <c r="AE939" s="28"/>
      <c r="AF939" s="29">
        <v>45914</v>
      </c>
      <c r="AG939" s="29"/>
    </row>
    <row r="940" spans="1:33" ht="15.75" customHeight="1">
      <c r="A940" s="32" t="s">
        <v>196</v>
      </c>
      <c r="B940" s="33">
        <v>953</v>
      </c>
      <c r="C940" s="34" t="s">
        <v>5564</v>
      </c>
      <c r="D940" s="35">
        <v>45911.879343414352</v>
      </c>
      <c r="E940" s="43">
        <v>45911</v>
      </c>
      <c r="F940" s="32" t="s">
        <v>5565</v>
      </c>
      <c r="G940" s="32" t="s">
        <v>5566</v>
      </c>
      <c r="H940" s="32" t="s">
        <v>5567</v>
      </c>
      <c r="I940" s="36" t="s">
        <v>5568</v>
      </c>
      <c r="J940" s="52"/>
      <c r="K940" s="32" t="s">
        <v>5569</v>
      </c>
      <c r="L940" s="32" t="s">
        <v>974</v>
      </c>
      <c r="M940" s="32" t="s">
        <v>60</v>
      </c>
      <c r="N940" s="33">
        <v>5</v>
      </c>
      <c r="O940" s="35"/>
      <c r="P940" s="35"/>
      <c r="Q940" s="37"/>
      <c r="R940" s="38"/>
      <c r="S940" s="33"/>
      <c r="T940" s="39">
        <v>197000</v>
      </c>
      <c r="U940" s="40"/>
      <c r="V940" s="41"/>
      <c r="W940" s="42" t="str">
        <f ca="1">IFERROR(__xludf.DUMMYFUNCTION("""COMPUTED_VALUE"""),"Ujang Plafon")</f>
        <v>Ujang Plafon</v>
      </c>
      <c r="X940" s="42" t="str">
        <f ca="1"/>
        <v>ON-Ujang Plafon-00011900+5-6282115969323</v>
      </c>
      <c r="Y940" s="40" t="s">
        <v>293</v>
      </c>
      <c r="Z940" s="40" t="s">
        <v>1057</v>
      </c>
      <c r="AA940" s="23" t="str">
        <v>https://wa.me/6282115969323</v>
      </c>
      <c r="AB940" s="28" t="s">
        <v>5570</v>
      </c>
      <c r="AC940" s="28"/>
      <c r="AD940" s="28" t="s">
        <v>690</v>
      </c>
      <c r="AE940" s="28"/>
      <c r="AF940" s="29">
        <v>45914</v>
      </c>
      <c r="AG940" s="29"/>
    </row>
    <row r="941" spans="1:33" ht="15.75" customHeight="1">
      <c r="A941" s="32" t="s">
        <v>621</v>
      </c>
      <c r="B941" s="33">
        <v>954</v>
      </c>
      <c r="C941" s="34" t="s">
        <v>5571</v>
      </c>
      <c r="D941" s="35">
        <v>45912.333062210644</v>
      </c>
      <c r="E941" s="43">
        <v>45911</v>
      </c>
      <c r="F941" s="32" t="s">
        <v>5572</v>
      </c>
      <c r="G941" s="32" t="s">
        <v>5573</v>
      </c>
      <c r="H941" s="32" t="s">
        <v>3719</v>
      </c>
      <c r="I941" s="36" t="s">
        <v>5574</v>
      </c>
      <c r="J941" s="52"/>
      <c r="K941" s="32" t="s">
        <v>5575</v>
      </c>
      <c r="L941" s="32" t="s">
        <v>2133</v>
      </c>
      <c r="M941" s="32" t="s">
        <v>60</v>
      </c>
      <c r="N941" s="33">
        <v>7</v>
      </c>
      <c r="O941" s="35"/>
      <c r="P941" s="35"/>
      <c r="Q941" s="37"/>
      <c r="R941" s="38"/>
      <c r="S941" s="33"/>
      <c r="T941" s="39">
        <v>297000</v>
      </c>
      <c r="U941" s="40" t="s">
        <v>61</v>
      </c>
      <c r="V941" s="41"/>
      <c r="W941" s="42" t="str">
        <f ca="1">IFERROR(__xludf.DUMMYFUNCTION("""COMPUTED_VALUE"""),"CV I.Design")</f>
        <v>CV I.Design</v>
      </c>
      <c r="X941" s="42" t="str">
        <f ca="1"/>
        <v>ON-CV I.Design-00011900+7-6285278894266</v>
      </c>
      <c r="Y941" s="40"/>
      <c r="Z941" s="40"/>
      <c r="AA941" s="23" t="str">
        <v>https://wa.me/6285278894266</v>
      </c>
      <c r="AB941" s="28"/>
      <c r="AC941" s="28"/>
      <c r="AD941" s="28"/>
      <c r="AE941" s="28"/>
      <c r="AF941" s="29"/>
      <c r="AG941" s="29"/>
    </row>
    <row r="942" spans="1:33" ht="15.75" customHeight="1">
      <c r="A942" s="32" t="s">
        <v>196</v>
      </c>
      <c r="B942" s="33">
        <v>956</v>
      </c>
      <c r="C942" s="34" t="s">
        <v>5576</v>
      </c>
      <c r="D942" s="35">
        <v>45912.388002951389</v>
      </c>
      <c r="E942" s="43">
        <v>45912</v>
      </c>
      <c r="F942" s="32" t="s">
        <v>5577</v>
      </c>
      <c r="G942" s="32" t="s">
        <v>5578</v>
      </c>
      <c r="H942" s="32" t="s">
        <v>5579</v>
      </c>
      <c r="I942" s="36" t="s">
        <v>5580</v>
      </c>
      <c r="J942" s="52"/>
      <c r="K942" s="32" t="s">
        <v>5581</v>
      </c>
      <c r="L942" s="32" t="s">
        <v>92</v>
      </c>
      <c r="M942" s="32" t="s">
        <v>92</v>
      </c>
      <c r="N942" s="33">
        <v>5</v>
      </c>
      <c r="O942" s="35"/>
      <c r="P942" s="35"/>
      <c r="Q942" s="37"/>
      <c r="R942" s="38"/>
      <c r="S942" s="33"/>
      <c r="T942" s="39">
        <v>197000</v>
      </c>
      <c r="U942" s="40" t="s">
        <v>115</v>
      </c>
      <c r="V942" s="41"/>
      <c r="W942" s="42" t="str">
        <f ca="1">IFERROR(__xludf.DUMMYFUNCTION("""COMPUTED_VALUE"""),"PT MAS")</f>
        <v>PT MAS</v>
      </c>
      <c r="X942" s="42" t="str">
        <f ca="1"/>
        <v>ON-PT MAS-00011900+5-6282322433383</v>
      </c>
      <c r="Y942" s="40" t="s">
        <v>293</v>
      </c>
      <c r="Z942" s="40" t="s">
        <v>1057</v>
      </c>
      <c r="AA942" s="23" t="str">
        <v>https://wa.me/6282322433383</v>
      </c>
      <c r="AB942" s="28" t="s">
        <v>5582</v>
      </c>
      <c r="AC942" s="28"/>
      <c r="AD942" s="28" t="s">
        <v>690</v>
      </c>
      <c r="AE942" s="28"/>
      <c r="AF942" s="29">
        <v>45915</v>
      </c>
      <c r="AG942" s="29"/>
    </row>
    <row r="943" spans="1:33" ht="15.75" customHeight="1">
      <c r="A943" s="32" t="s">
        <v>52</v>
      </c>
      <c r="B943" s="33">
        <v>957</v>
      </c>
      <c r="C943" s="34" t="s">
        <v>5583</v>
      </c>
      <c r="D943" s="35">
        <v>45912.427454189819</v>
      </c>
      <c r="E943" s="43">
        <v>45912</v>
      </c>
      <c r="F943" s="32" t="s">
        <v>4329</v>
      </c>
      <c r="G943" s="32" t="s">
        <v>4330</v>
      </c>
      <c r="H943" s="32" t="s">
        <v>4331</v>
      </c>
      <c r="I943" s="36" t="s">
        <v>4332</v>
      </c>
      <c r="J943" s="52" t="s">
        <v>4914</v>
      </c>
      <c r="K943" s="32" t="s">
        <v>570</v>
      </c>
      <c r="L943" s="32" t="s">
        <v>2631</v>
      </c>
      <c r="M943" s="32" t="s">
        <v>4333</v>
      </c>
      <c r="N943" s="33">
        <v>20</v>
      </c>
      <c r="O943" s="35"/>
      <c r="P943" s="35"/>
      <c r="Q943" s="37"/>
      <c r="R943" s="38"/>
      <c r="S943" s="33"/>
      <c r="T943" s="39">
        <v>700000</v>
      </c>
      <c r="U943" s="40" t="s">
        <v>1774</v>
      </c>
      <c r="V943" s="41"/>
      <c r="W943" s="42" t="str">
        <f ca="1">IFERROR(__xludf.DUMMYFUNCTION("""COMPUTED_VALUE"""),"Anindiyajayapool")</f>
        <v>Anindiyajayapool</v>
      </c>
      <c r="X943" s="42" t="str">
        <f ca="1"/>
        <v>ON-Anindiyajayapool-00011900+20-6285888452389</v>
      </c>
      <c r="Y943" s="40"/>
      <c r="Z943" s="40"/>
      <c r="AA943" s="23" t="str">
        <v>https://wa.me/6285888452389</v>
      </c>
      <c r="AB943" s="28"/>
      <c r="AC943" s="28"/>
      <c r="AD943" s="28"/>
      <c r="AE943" s="28"/>
      <c r="AF943" s="29"/>
      <c r="AG943" s="29"/>
    </row>
    <row r="944" spans="1:33" ht="15.75" customHeight="1">
      <c r="A944" s="32" t="s">
        <v>196</v>
      </c>
      <c r="B944" s="33">
        <v>958</v>
      </c>
      <c r="C944" s="34" t="s">
        <v>5584</v>
      </c>
      <c r="D944" s="35">
        <v>45912.472393136573</v>
      </c>
      <c r="E944" s="43">
        <v>45912</v>
      </c>
      <c r="F944" s="32" t="s">
        <v>287</v>
      </c>
      <c r="G944" s="32" t="s">
        <v>5585</v>
      </c>
      <c r="H944" s="32" t="s">
        <v>5586</v>
      </c>
      <c r="I944" s="36" t="s">
        <v>5587</v>
      </c>
      <c r="J944" s="52"/>
      <c r="K944" s="32" t="s">
        <v>5588</v>
      </c>
      <c r="L944" s="32" t="s">
        <v>5589</v>
      </c>
      <c r="M944" s="32" t="s">
        <v>5590</v>
      </c>
      <c r="N944" s="33">
        <v>7</v>
      </c>
      <c r="O944" s="35"/>
      <c r="P944" s="35"/>
      <c r="Q944" s="37"/>
      <c r="R944" s="38"/>
      <c r="S944" s="33"/>
      <c r="T944" s="39">
        <v>297000</v>
      </c>
      <c r="U944" s="40" t="s">
        <v>115</v>
      </c>
      <c r="V944" s="41"/>
      <c r="W944" s="42" t="str">
        <f ca="1">IFERROR(__xludf.DUMMYFUNCTION("""COMPUTED_VALUE"""),"GNR INTERIOR")</f>
        <v>GNR INTERIOR</v>
      </c>
      <c r="X944" s="42" t="str">
        <f ca="1"/>
        <v>ON-GNR INTERIOR-00011900+7-6285269882188</v>
      </c>
      <c r="Y944" s="40" t="s">
        <v>293</v>
      </c>
      <c r="Z944" s="40" t="s">
        <v>1057</v>
      </c>
      <c r="AA944" s="23" t="str">
        <v>https://wa.me/6285269882188</v>
      </c>
      <c r="AB944" s="28" t="s">
        <v>5591</v>
      </c>
      <c r="AC944" s="28"/>
      <c r="AD944" s="28" t="s">
        <v>690</v>
      </c>
      <c r="AE944" s="28"/>
      <c r="AF944" s="29">
        <v>45915</v>
      </c>
      <c r="AG944" s="29"/>
    </row>
    <row r="945" spans="1:33" ht="15.75" customHeight="1">
      <c r="A945" s="32" t="s">
        <v>196</v>
      </c>
      <c r="B945" s="33">
        <v>959</v>
      </c>
      <c r="C945" s="34" t="s">
        <v>5592</v>
      </c>
      <c r="D945" s="35">
        <v>45912.494026539352</v>
      </c>
      <c r="E945" s="43">
        <v>45912</v>
      </c>
      <c r="F945" s="32" t="s">
        <v>5593</v>
      </c>
      <c r="G945" s="32" t="s">
        <v>5594</v>
      </c>
      <c r="H945" s="32" t="s">
        <v>5595</v>
      </c>
      <c r="I945" s="36" t="s">
        <v>5596</v>
      </c>
      <c r="J945" s="52" t="s">
        <v>5597</v>
      </c>
      <c r="K945" s="32" t="s">
        <v>2673</v>
      </c>
      <c r="L945" s="32" t="s">
        <v>92</v>
      </c>
      <c r="M945" s="32" t="s">
        <v>92</v>
      </c>
      <c r="N945" s="33">
        <v>5</v>
      </c>
      <c r="O945" s="35"/>
      <c r="P945" s="35"/>
      <c r="Q945" s="37"/>
      <c r="R945" s="38"/>
      <c r="S945" s="33"/>
      <c r="T945" s="39">
        <v>197000</v>
      </c>
      <c r="U945" s="40" t="s">
        <v>1229</v>
      </c>
      <c r="V945" s="41"/>
      <c r="W945" s="42" t="str">
        <f ca="1">IFERROR(__xludf.DUMMYFUNCTION("""COMPUTED_VALUE"""),"Bali adventure")</f>
        <v>Bali adventure</v>
      </c>
      <c r="X945" s="42" t="str">
        <f ca="1"/>
        <v>ON-Bali adventure-00011900+5-6287751068360</v>
      </c>
      <c r="Y945" s="40" t="s">
        <v>62</v>
      </c>
      <c r="Z945" s="40" t="s">
        <v>1880</v>
      </c>
      <c r="AA945" s="23" t="str">
        <v>https://wa.me/6287751068360</v>
      </c>
      <c r="AB945" s="28" t="s">
        <v>5598</v>
      </c>
      <c r="AC945" s="28"/>
      <c r="AD945" s="28" t="s">
        <v>690</v>
      </c>
      <c r="AE945" s="28"/>
      <c r="AF945" s="29">
        <v>45916</v>
      </c>
      <c r="AG945" s="29"/>
    </row>
    <row r="946" spans="1:33" ht="15.75" customHeight="1">
      <c r="A946" s="32" t="s">
        <v>52</v>
      </c>
      <c r="B946" s="33">
        <v>960</v>
      </c>
      <c r="C946" s="34" t="s">
        <v>5599</v>
      </c>
      <c r="D946" s="35">
        <v>45912.577519120372</v>
      </c>
      <c r="E946" s="43">
        <v>45912</v>
      </c>
      <c r="F946" s="32" t="s">
        <v>5234</v>
      </c>
      <c r="G946" s="32" t="s">
        <v>5235</v>
      </c>
      <c r="H946" s="32" t="s">
        <v>5236</v>
      </c>
      <c r="I946" s="36" t="s">
        <v>5237</v>
      </c>
      <c r="J946" s="52"/>
      <c r="K946" s="32" t="s">
        <v>5238</v>
      </c>
      <c r="L946" s="32" t="s">
        <v>2780</v>
      </c>
      <c r="M946" s="32" t="s">
        <v>60</v>
      </c>
      <c r="N946" s="33">
        <v>5</v>
      </c>
      <c r="O946" s="35"/>
      <c r="P946" s="35"/>
      <c r="Q946" s="37"/>
      <c r="R946" s="38"/>
      <c r="S946" s="33"/>
      <c r="T946" s="39">
        <v>197000</v>
      </c>
      <c r="U946" s="40" t="s">
        <v>61</v>
      </c>
      <c r="V946" s="41"/>
      <c r="W946" s="42" t="str">
        <f ca="1">IFERROR(__xludf.DUMMYFUNCTION("""COMPUTED_VALUE"""),"Bisalagi Bekam")</f>
        <v>Bisalagi Bekam</v>
      </c>
      <c r="X946" s="42" t="str">
        <f ca="1"/>
        <v>ON-Bisalagi Bekam-00011900+5-6285600287735</v>
      </c>
      <c r="Y946" s="40"/>
      <c r="Z946" s="40"/>
      <c r="AA946" s="23" t="str">
        <v>https://wa.me/6285600287735</v>
      </c>
      <c r="AB946" s="28"/>
      <c r="AC946" s="28"/>
      <c r="AD946" s="28"/>
      <c r="AE946" s="28"/>
      <c r="AF946" s="29"/>
      <c r="AG946" s="29"/>
    </row>
    <row r="947" spans="1:33" ht="15.75" customHeight="1">
      <c r="A947" s="32" t="s">
        <v>196</v>
      </c>
      <c r="B947" s="33">
        <v>961</v>
      </c>
      <c r="C947" s="34" t="s">
        <v>5600</v>
      </c>
      <c r="D947" s="35">
        <v>46048</v>
      </c>
      <c r="E947" s="43">
        <v>45912</v>
      </c>
      <c r="F947" s="32" t="s">
        <v>5601</v>
      </c>
      <c r="G947" s="32" t="s">
        <v>5602</v>
      </c>
      <c r="H947" s="32" t="s">
        <v>409</v>
      </c>
      <c r="I947" s="36" t="s">
        <v>5603</v>
      </c>
      <c r="J947" s="52"/>
      <c r="K947" s="32" t="s">
        <v>5604</v>
      </c>
      <c r="L947" s="32" t="s">
        <v>3653</v>
      </c>
      <c r="M947" s="32" t="s">
        <v>249</v>
      </c>
      <c r="N947" s="33">
        <v>14</v>
      </c>
      <c r="O947" s="35"/>
      <c r="P947" s="35"/>
      <c r="Q947" s="37"/>
      <c r="R947" s="38">
        <v>-1003470351325</v>
      </c>
      <c r="S947" s="33"/>
      <c r="T947" s="39">
        <v>550000</v>
      </c>
      <c r="U947" s="40" t="s">
        <v>1774</v>
      </c>
      <c r="V947" s="47">
        <v>46048.668356689814</v>
      </c>
      <c r="W947" s="42" t="str">
        <f ca="1">IFERROR(__xludf.DUMMYFUNCTION("""COMPUTED_VALUE"""),"Oma Property")</f>
        <v>Oma Property</v>
      </c>
      <c r="X947" s="42" t="str">
        <f ca="1"/>
        <v>ON-Oma Property-26012026+14-6283824541579</v>
      </c>
      <c r="Y947" s="40" t="s">
        <v>293</v>
      </c>
      <c r="Z947" s="40" t="s">
        <v>1057</v>
      </c>
      <c r="AA947" s="23" t="str">
        <v>https://wa.me/6283824541579</v>
      </c>
      <c r="AB947" s="28" t="s">
        <v>5605</v>
      </c>
      <c r="AC947" s="28"/>
      <c r="AD947" s="28" t="s">
        <v>690</v>
      </c>
      <c r="AE947" s="28"/>
      <c r="AF947" s="29">
        <v>45915</v>
      </c>
      <c r="AG947" s="29"/>
    </row>
    <row r="948" spans="1:33" ht="15.75" customHeight="1">
      <c r="A948" s="32" t="s">
        <v>52</v>
      </c>
      <c r="B948" s="33">
        <v>962</v>
      </c>
      <c r="C948" s="34" t="s">
        <v>5606</v>
      </c>
      <c r="D948" s="35">
        <v>45912.769189814819</v>
      </c>
      <c r="E948" s="43">
        <v>45912</v>
      </c>
      <c r="F948" s="32" t="s">
        <v>3772</v>
      </c>
      <c r="G948" s="32" t="s">
        <v>3773</v>
      </c>
      <c r="H948" s="32" t="s">
        <v>3774</v>
      </c>
      <c r="I948" s="36" t="s">
        <v>3775</v>
      </c>
      <c r="J948" s="52"/>
      <c r="K948" s="32" t="s">
        <v>570</v>
      </c>
      <c r="L948" s="32" t="s">
        <v>2291</v>
      </c>
      <c r="M948" s="32" t="s">
        <v>2032</v>
      </c>
      <c r="N948" s="33">
        <v>10</v>
      </c>
      <c r="O948" s="35"/>
      <c r="P948" s="35"/>
      <c r="Q948" s="37"/>
      <c r="R948" s="38"/>
      <c r="S948" s="33"/>
      <c r="T948" s="39">
        <v>375000</v>
      </c>
      <c r="U948" s="40" t="s">
        <v>61</v>
      </c>
      <c r="V948" s="41"/>
      <c r="W948" s="42" t="str">
        <f ca="1">IFERROR(__xludf.DUMMYFUNCTION("""COMPUTED_VALUE"""),"Kharisma Filter")</f>
        <v>Kharisma Filter</v>
      </c>
      <c r="X948" s="42" t="str">
        <f ca="1"/>
        <v>ON-Kharisma Filter-00011900+10-6285893658659</v>
      </c>
      <c r="Y948" s="40"/>
      <c r="Z948" s="40"/>
      <c r="AA948" s="23" t="str">
        <v>https://wa.me/6285893658659</v>
      </c>
      <c r="AB948" s="28"/>
      <c r="AC948" s="28"/>
      <c r="AD948" s="28"/>
      <c r="AE948" s="28"/>
      <c r="AF948" s="29"/>
      <c r="AG948" s="29"/>
    </row>
    <row r="949" spans="1:33" ht="15.75" customHeight="1">
      <c r="A949" s="32" t="s">
        <v>196</v>
      </c>
      <c r="B949" s="33">
        <v>963</v>
      </c>
      <c r="C949" s="34" t="s">
        <v>5607</v>
      </c>
      <c r="D949" s="35">
        <v>45912.779912708334</v>
      </c>
      <c r="E949" s="43">
        <v>45912</v>
      </c>
      <c r="F949" s="32" t="s">
        <v>5608</v>
      </c>
      <c r="G949" s="32" t="s">
        <v>5609</v>
      </c>
      <c r="H949" s="32" t="s">
        <v>5610</v>
      </c>
      <c r="I949" s="36" t="s">
        <v>5611</v>
      </c>
      <c r="J949" s="52"/>
      <c r="K949" s="32" t="s">
        <v>570</v>
      </c>
      <c r="L949" s="32" t="s">
        <v>5612</v>
      </c>
      <c r="M949" s="32" t="s">
        <v>60</v>
      </c>
      <c r="N949" s="33">
        <v>5</v>
      </c>
      <c r="O949" s="35"/>
      <c r="P949" s="35"/>
      <c r="Q949" s="37"/>
      <c r="R949" s="38"/>
      <c r="S949" s="33"/>
      <c r="T949" s="39">
        <v>197000</v>
      </c>
      <c r="U949" s="40" t="s">
        <v>61</v>
      </c>
      <c r="V949" s="41"/>
      <c r="W949" s="42" t="str">
        <f ca="1">IFERROR(__xludf.DUMMYFUNCTION("""COMPUTED_VALUE"""),"Pijat Ayu")</f>
        <v>Pijat Ayu</v>
      </c>
      <c r="X949" s="42" t="str">
        <f ca="1"/>
        <v>ON-Pijat Ayu-00011900+5-6285357908485</v>
      </c>
      <c r="Y949" s="40" t="s">
        <v>62</v>
      </c>
      <c r="Z949" s="40" t="s">
        <v>639</v>
      </c>
      <c r="AA949" s="23" t="str">
        <v>https://wa.me/6285357908485</v>
      </c>
      <c r="AB949" s="28" t="s">
        <v>5613</v>
      </c>
      <c r="AC949" s="28"/>
      <c r="AD949" s="28" t="s">
        <v>690</v>
      </c>
      <c r="AE949" s="28"/>
      <c r="AF949" s="29">
        <v>45915</v>
      </c>
      <c r="AG949" s="29"/>
    </row>
    <row r="950" spans="1:33" ht="15.75" customHeight="1">
      <c r="A950" s="32" t="s">
        <v>196</v>
      </c>
      <c r="B950" s="33">
        <v>965</v>
      </c>
      <c r="C950" s="34" t="s">
        <v>5614</v>
      </c>
      <c r="D950" s="35">
        <v>45912.789400590278</v>
      </c>
      <c r="E950" s="43">
        <v>45912</v>
      </c>
      <c r="F950" s="32" t="s">
        <v>5615</v>
      </c>
      <c r="G950" s="32" t="s">
        <v>5616</v>
      </c>
      <c r="H950" s="32" t="s">
        <v>5617</v>
      </c>
      <c r="I950" s="36" t="s">
        <v>5618</v>
      </c>
      <c r="J950" s="52" t="s">
        <v>5619</v>
      </c>
      <c r="K950" s="32" t="s">
        <v>5620</v>
      </c>
      <c r="L950" s="32" t="s">
        <v>2133</v>
      </c>
      <c r="M950" s="32" t="s">
        <v>60</v>
      </c>
      <c r="N950" s="33">
        <v>5</v>
      </c>
      <c r="O950" s="35"/>
      <c r="P950" s="35"/>
      <c r="Q950" s="37"/>
      <c r="R950" s="38"/>
      <c r="S950" s="33"/>
      <c r="T950" s="39">
        <v>197000</v>
      </c>
      <c r="U950" s="40" t="s">
        <v>61</v>
      </c>
      <c r="V950" s="41"/>
      <c r="W950" s="42" t="str">
        <f ca="1">IFERROR(__xludf.DUMMYFUNCTION("""COMPUTED_VALUE"""),"Batu Bata")</f>
        <v>Batu Bata</v>
      </c>
      <c r="X950" s="42" t="str">
        <f ca="1"/>
        <v>ON-Batu Bata-00011900+5-6281283416732</v>
      </c>
      <c r="Y950" s="40" t="s">
        <v>293</v>
      </c>
      <c r="Z950" s="40" t="s">
        <v>1057</v>
      </c>
      <c r="AA950" s="23" t="str">
        <v>https://wa.me/6281283416732</v>
      </c>
      <c r="AB950" s="28" t="s">
        <v>5621</v>
      </c>
      <c r="AC950" s="28"/>
      <c r="AD950" s="28" t="s">
        <v>690</v>
      </c>
      <c r="AE950" s="28"/>
      <c r="AF950" s="29">
        <v>45915</v>
      </c>
      <c r="AG950" s="29"/>
    </row>
    <row r="951" spans="1:33" ht="15.75" customHeight="1">
      <c r="A951" s="32" t="s">
        <v>52</v>
      </c>
      <c r="B951" s="33">
        <v>966</v>
      </c>
      <c r="C951" s="34" t="s">
        <v>5622</v>
      </c>
      <c r="D951" s="35">
        <v>46067</v>
      </c>
      <c r="E951" s="43">
        <v>45912</v>
      </c>
      <c r="F951" s="32" t="s">
        <v>4980</v>
      </c>
      <c r="G951" s="32" t="s">
        <v>5623</v>
      </c>
      <c r="H951" s="32" t="s">
        <v>4982</v>
      </c>
      <c r="I951" s="36" t="s">
        <v>4983</v>
      </c>
      <c r="J951" s="52"/>
      <c r="K951" s="32" t="s">
        <v>570</v>
      </c>
      <c r="L951" s="32" t="s">
        <v>696</v>
      </c>
      <c r="M951" s="32" t="s">
        <v>382</v>
      </c>
      <c r="N951" s="33">
        <v>10</v>
      </c>
      <c r="O951" s="35"/>
      <c r="P951" s="35"/>
      <c r="Q951" s="37"/>
      <c r="R951" s="38">
        <v>-1003470351325</v>
      </c>
      <c r="S951" s="33"/>
      <c r="T951" s="39">
        <v>375000</v>
      </c>
      <c r="U951" s="40" t="s">
        <v>115</v>
      </c>
      <c r="V951" s="47">
        <v>46067.428026782407</v>
      </c>
      <c r="W951" s="42" t="str">
        <f ca="1">IFERROR(__xludf.DUMMYFUNCTION("""COMPUTED_VALUE"""),"NAZWAN POOL")</f>
        <v>NAZWAN POOL</v>
      </c>
      <c r="X951" s="42" t="str">
        <f ca="1"/>
        <v>ON-NAZWAN POOL-14022026+10-6282125057012</v>
      </c>
      <c r="Y951" s="40"/>
      <c r="Z951" s="40"/>
      <c r="AA951" s="23" t="str">
        <v>https://wa.me/6282125057012</v>
      </c>
      <c r="AB951" s="28"/>
      <c r="AC951" s="28"/>
      <c r="AD951" s="28"/>
      <c r="AE951" s="28"/>
      <c r="AF951" s="29"/>
      <c r="AG951" s="29"/>
    </row>
    <row r="952" spans="1:33" ht="15.75" customHeight="1">
      <c r="A952" s="32" t="s">
        <v>196</v>
      </c>
      <c r="B952" s="33">
        <v>967</v>
      </c>
      <c r="C952" s="34" t="s">
        <v>5624</v>
      </c>
      <c r="D952" s="35">
        <v>45912.896072962962</v>
      </c>
      <c r="E952" s="43">
        <v>45912</v>
      </c>
      <c r="F952" s="32" t="s">
        <v>1003</v>
      </c>
      <c r="G952" s="32" t="s">
        <v>5625</v>
      </c>
      <c r="H952" s="32" t="s">
        <v>5626</v>
      </c>
      <c r="I952" s="36" t="s">
        <v>5627</v>
      </c>
      <c r="J952" s="52"/>
      <c r="K952" s="32" t="s">
        <v>2439</v>
      </c>
      <c r="L952" s="32" t="s">
        <v>1491</v>
      </c>
      <c r="M952" s="32" t="s">
        <v>60</v>
      </c>
      <c r="N952" s="33">
        <v>14</v>
      </c>
      <c r="O952" s="35"/>
      <c r="P952" s="35"/>
      <c r="Q952" s="37"/>
      <c r="R952" s="38"/>
      <c r="S952" s="33"/>
      <c r="T952" s="39">
        <v>550000</v>
      </c>
      <c r="U952" s="40" t="s">
        <v>61</v>
      </c>
      <c r="V952" s="41"/>
      <c r="W952" s="42" t="str">
        <f ca="1">IFERROR(__xludf.DUMMYFUNCTION("""COMPUTED_VALUE"""),"Sewa Hiace")</f>
        <v>Sewa Hiace</v>
      </c>
      <c r="X952" s="42" t="str">
        <f ca="1"/>
        <v>ON-Sewa Hiace-00011900+14-628179231111</v>
      </c>
      <c r="Y952" s="40" t="s">
        <v>62</v>
      </c>
      <c r="Z952" s="40" t="s">
        <v>1880</v>
      </c>
      <c r="AA952" s="23" t="str">
        <v>https://wa.me/628179231111</v>
      </c>
      <c r="AB952" s="28" t="s">
        <v>5628</v>
      </c>
      <c r="AC952" s="28"/>
      <c r="AD952" s="28" t="s">
        <v>690</v>
      </c>
      <c r="AE952" s="28"/>
      <c r="AF952" s="29">
        <v>45926</v>
      </c>
      <c r="AG952" s="29"/>
    </row>
    <row r="953" spans="1:33" ht="15.75" customHeight="1">
      <c r="A953" s="32" t="s">
        <v>52</v>
      </c>
      <c r="B953" s="33">
        <v>968</v>
      </c>
      <c r="C953" s="34" t="s">
        <v>5629</v>
      </c>
      <c r="D953" s="35">
        <v>45913.264314166663</v>
      </c>
      <c r="E953" s="43">
        <v>45913</v>
      </c>
      <c r="F953" s="32" t="s">
        <v>4809</v>
      </c>
      <c r="G953" s="32" t="s">
        <v>4810</v>
      </c>
      <c r="H953" s="32" t="s">
        <v>4199</v>
      </c>
      <c r="I953" s="36" t="s">
        <v>4811</v>
      </c>
      <c r="J953" s="52" t="s">
        <v>4812</v>
      </c>
      <c r="K953" s="32" t="s">
        <v>4813</v>
      </c>
      <c r="L953" s="32" t="s">
        <v>2500</v>
      </c>
      <c r="M953" s="32" t="s">
        <v>249</v>
      </c>
      <c r="N953" s="33">
        <v>7</v>
      </c>
      <c r="O953" s="35"/>
      <c r="P953" s="35"/>
      <c r="Q953" s="37"/>
      <c r="R953" s="38"/>
      <c r="S953" s="33"/>
      <c r="T953" s="39">
        <v>297000</v>
      </c>
      <c r="U953" s="40" t="s">
        <v>1774</v>
      </c>
      <c r="V953" s="41"/>
      <c r="W953" s="42" t="str">
        <f ca="1">IFERROR(__xludf.DUMMYFUNCTION("""COMPUTED_VALUE"""),"Bangun kreasi")</f>
        <v>Bangun kreasi</v>
      </c>
      <c r="X953" s="42" t="str">
        <f ca="1"/>
        <v>ON-Bangun kreasi-00011900+7-6281223735839</v>
      </c>
      <c r="Y953" s="40"/>
      <c r="Z953" s="40"/>
      <c r="AA953" s="23" t="str">
        <v>https://wa.me/6281223735839</v>
      </c>
      <c r="AB953" s="28"/>
      <c r="AC953" s="28"/>
      <c r="AD953" s="28"/>
      <c r="AE953" s="28"/>
      <c r="AF953" s="29"/>
      <c r="AG953" s="29"/>
    </row>
    <row r="954" spans="1:33" ht="15.75" customHeight="1">
      <c r="A954" s="32" t="s">
        <v>196</v>
      </c>
      <c r="B954" s="33">
        <v>968</v>
      </c>
      <c r="C954" s="34" t="s">
        <v>5629</v>
      </c>
      <c r="D954" s="43">
        <v>46059</v>
      </c>
      <c r="E954" s="43">
        <v>45913</v>
      </c>
      <c r="F954" s="32" t="s">
        <v>5630</v>
      </c>
      <c r="G954" s="32" t="s">
        <v>5631</v>
      </c>
      <c r="H954" s="32" t="s">
        <v>409</v>
      </c>
      <c r="I954" s="36" t="s">
        <v>5632</v>
      </c>
      <c r="J954" s="52"/>
      <c r="K954" s="32" t="s">
        <v>5633</v>
      </c>
      <c r="L954" s="32" t="s">
        <v>647</v>
      </c>
      <c r="M954" s="32" t="s">
        <v>382</v>
      </c>
      <c r="N954" s="33">
        <v>14</v>
      </c>
      <c r="O954" s="35"/>
      <c r="P954" s="35"/>
      <c r="Q954" s="37"/>
      <c r="R954" s="38">
        <v>-1003470351325</v>
      </c>
      <c r="S954" s="33"/>
      <c r="T954" s="39">
        <v>550000</v>
      </c>
      <c r="U954" s="40" t="s">
        <v>115</v>
      </c>
      <c r="V954" s="47">
        <v>46059.410844907412</v>
      </c>
      <c r="W954" s="42" t="str">
        <f ca="1">IFERROR(__xludf.DUMMYFUNCTION("""COMPUTED_VALUE"""),"AJMA PROPERTY")</f>
        <v>AJMA PROPERTY</v>
      </c>
      <c r="X954" s="42" t="str">
        <f ca="1"/>
        <v>ON-AJMA PROPERTY-06022026+14-6289678497690</v>
      </c>
      <c r="Y954" s="40" t="s">
        <v>293</v>
      </c>
      <c r="Z954" s="40" t="s">
        <v>241</v>
      </c>
      <c r="AA954" s="23" t="str">
        <v>https://wa.me/6289678497690</v>
      </c>
      <c r="AB954" s="28" t="s">
        <v>5634</v>
      </c>
      <c r="AC954" s="28"/>
      <c r="AD954" s="28" t="s">
        <v>690</v>
      </c>
      <c r="AE954" s="28"/>
      <c r="AF954" s="29">
        <v>45917</v>
      </c>
      <c r="AG954" s="29"/>
    </row>
    <row r="955" spans="1:33" ht="15.75" customHeight="1">
      <c r="A955" s="32" t="s">
        <v>196</v>
      </c>
      <c r="B955" s="33">
        <v>969</v>
      </c>
      <c r="C955" s="34" t="s">
        <v>5635</v>
      </c>
      <c r="D955" s="35">
        <v>45913.500645810185</v>
      </c>
      <c r="E955" s="43">
        <v>45913</v>
      </c>
      <c r="F955" s="32" t="s">
        <v>5636</v>
      </c>
      <c r="G955" s="32" t="s">
        <v>5637</v>
      </c>
      <c r="H955" s="32" t="s">
        <v>5638</v>
      </c>
      <c r="I955" s="36" t="s">
        <v>5639</v>
      </c>
      <c r="J955" s="52" t="s">
        <v>5640</v>
      </c>
      <c r="K955" s="32" t="s">
        <v>5641</v>
      </c>
      <c r="L955" s="32" t="s">
        <v>5642</v>
      </c>
      <c r="M955" s="32" t="s">
        <v>5643</v>
      </c>
      <c r="N955" s="33">
        <v>7</v>
      </c>
      <c r="O955" s="35"/>
      <c r="P955" s="35"/>
      <c r="Q955" s="37"/>
      <c r="R955" s="38"/>
      <c r="S955" s="33"/>
      <c r="T955" s="39">
        <v>297000</v>
      </c>
      <c r="U955" s="40" t="s">
        <v>1774</v>
      </c>
      <c r="V955" s="41"/>
      <c r="W955" s="42" t="str">
        <f ca="1">IFERROR(__xludf.DUMMYFUNCTION("""COMPUTED_VALUE"""),"MFZ Studio")</f>
        <v>MFZ Studio</v>
      </c>
      <c r="X955" s="42" t="str">
        <f ca="1"/>
        <v>ON-MFZ Studio-00011900+7-6287838501890</v>
      </c>
      <c r="Y955" s="40" t="s">
        <v>293</v>
      </c>
      <c r="Z955" s="40" t="s">
        <v>1057</v>
      </c>
      <c r="AA955" s="23" t="str">
        <v>https://wa.me/6287838501890</v>
      </c>
      <c r="AB955" s="28" t="s">
        <v>5644</v>
      </c>
      <c r="AC955" s="28"/>
      <c r="AD955" s="28" t="s">
        <v>690</v>
      </c>
      <c r="AE955" s="28"/>
      <c r="AF955" s="29">
        <v>45916</v>
      </c>
      <c r="AG955" s="29"/>
    </row>
    <row r="956" spans="1:33" ht="15.75" customHeight="1">
      <c r="A956" s="32" t="s">
        <v>196</v>
      </c>
      <c r="B956" s="33">
        <v>970</v>
      </c>
      <c r="C956" s="34" t="s">
        <v>5645</v>
      </c>
      <c r="D956" s="35">
        <v>45913.642910486116</v>
      </c>
      <c r="E956" s="43">
        <v>45913</v>
      </c>
      <c r="F956" s="32" t="s">
        <v>331</v>
      </c>
      <c r="G956" s="32" t="s">
        <v>5646</v>
      </c>
      <c r="H956" s="32" t="s">
        <v>5647</v>
      </c>
      <c r="I956" s="36" t="s">
        <v>5648</v>
      </c>
      <c r="J956" s="52"/>
      <c r="K956" s="32" t="s">
        <v>5649</v>
      </c>
      <c r="L956" s="32" t="s">
        <v>3079</v>
      </c>
      <c r="M956" s="32" t="s">
        <v>249</v>
      </c>
      <c r="N956" s="33">
        <v>5</v>
      </c>
      <c r="O956" s="35"/>
      <c r="P956" s="35"/>
      <c r="Q956" s="37"/>
      <c r="R956" s="38"/>
      <c r="S956" s="33"/>
      <c r="T956" s="39">
        <v>197000</v>
      </c>
      <c r="U956" s="40" t="s">
        <v>1774</v>
      </c>
      <c r="V956" s="41"/>
      <c r="W956" s="42" t="str">
        <f ca="1">IFERROR(__xludf.DUMMYFUNCTION("""COMPUTED_VALUE"""),"Mitra Beton")</f>
        <v>Mitra Beton</v>
      </c>
      <c r="X956" s="42" t="str">
        <f ca="1"/>
        <v>ON-Mitra Beton-00011900+5-6285379989666</v>
      </c>
      <c r="Y956" s="40" t="s">
        <v>293</v>
      </c>
      <c r="Z956" s="40" t="s">
        <v>1057</v>
      </c>
      <c r="AA956" s="23" t="str">
        <v>https://wa.me/6285379989666</v>
      </c>
      <c r="AB956" s="28" t="s">
        <v>5650</v>
      </c>
      <c r="AC956" s="28"/>
      <c r="AD956" s="28" t="s">
        <v>690</v>
      </c>
      <c r="AE956" s="28"/>
      <c r="AF956" s="29">
        <v>45916</v>
      </c>
      <c r="AG956" s="29"/>
    </row>
    <row r="957" spans="1:33" ht="15.75" customHeight="1">
      <c r="A957" s="32" t="s">
        <v>196</v>
      </c>
      <c r="B957" s="33">
        <v>971</v>
      </c>
      <c r="C957" s="34" t="s">
        <v>5651</v>
      </c>
      <c r="D957" s="35">
        <v>45913.643449432871</v>
      </c>
      <c r="E957" s="43">
        <v>45913</v>
      </c>
      <c r="F957" s="32" t="s">
        <v>5652</v>
      </c>
      <c r="G957" s="32" t="s">
        <v>5653</v>
      </c>
      <c r="H957" s="32" t="s">
        <v>5654</v>
      </c>
      <c r="I957" s="36" t="s">
        <v>5655</v>
      </c>
      <c r="J957" s="52"/>
      <c r="K957" s="32" t="s">
        <v>5656</v>
      </c>
      <c r="L957" s="32" t="s">
        <v>85</v>
      </c>
      <c r="M957" s="32" t="s">
        <v>60</v>
      </c>
      <c r="N957" s="33">
        <v>5</v>
      </c>
      <c r="O957" s="35"/>
      <c r="P957" s="35"/>
      <c r="Q957" s="37"/>
      <c r="R957" s="38"/>
      <c r="S957" s="33"/>
      <c r="T957" s="39">
        <v>197000</v>
      </c>
      <c r="U957" s="40" t="s">
        <v>61</v>
      </c>
      <c r="V957" s="41"/>
      <c r="W957" s="42" t="str">
        <f ca="1">IFERROR(__xludf.DUMMYFUNCTION("""COMPUTED_VALUE"""),"Bumi Mas")</f>
        <v>Bumi Mas</v>
      </c>
      <c r="X957" s="42" t="str">
        <f ca="1"/>
        <v>ON-Bumi Mas-00011900+5-6285168611197</v>
      </c>
      <c r="Y957" s="40" t="s">
        <v>293</v>
      </c>
      <c r="Z957" s="40" t="s">
        <v>1057</v>
      </c>
      <c r="AA957" s="23" t="str">
        <v>https://wa.me/6285168611197</v>
      </c>
      <c r="AB957" s="28" t="s">
        <v>5657</v>
      </c>
      <c r="AC957" s="28"/>
      <c r="AD957" s="28" t="s">
        <v>690</v>
      </c>
      <c r="AE957" s="28"/>
      <c r="AF957" s="29">
        <v>45916</v>
      </c>
      <c r="AG957" s="29"/>
    </row>
    <row r="958" spans="1:33" ht="15.75" customHeight="1">
      <c r="A958" s="32" t="s">
        <v>52</v>
      </c>
      <c r="B958" s="33">
        <v>972</v>
      </c>
      <c r="C958" s="34" t="s">
        <v>5658</v>
      </c>
      <c r="D958" s="35">
        <v>45913.645366412034</v>
      </c>
      <c r="E958" s="43">
        <v>45913</v>
      </c>
      <c r="F958" s="32" t="s">
        <v>905</v>
      </c>
      <c r="G958" s="32" t="s">
        <v>2648</v>
      </c>
      <c r="H958" s="32" t="s">
        <v>1678</v>
      </c>
      <c r="I958" s="36" t="s">
        <v>908</v>
      </c>
      <c r="J958" s="52" t="s">
        <v>2649</v>
      </c>
      <c r="K958" s="32" t="s">
        <v>2650</v>
      </c>
      <c r="L958" s="32" t="s">
        <v>490</v>
      </c>
      <c r="M958" s="32" t="s">
        <v>60</v>
      </c>
      <c r="N958" s="33">
        <v>5</v>
      </c>
      <c r="O958" s="35"/>
      <c r="P958" s="35"/>
      <c r="Q958" s="37"/>
      <c r="R958" s="38"/>
      <c r="S958" s="33"/>
      <c r="T958" s="39">
        <v>197000</v>
      </c>
      <c r="U958" s="40" t="s">
        <v>61</v>
      </c>
      <c r="V958" s="41"/>
      <c r="W958" s="42" t="str">
        <f ca="1">IFERROR(__xludf.DUMMYFUNCTION("""COMPUTED_VALUE"""),"Berkat Property")</f>
        <v>Berkat Property</v>
      </c>
      <c r="X958" s="42" t="str">
        <f ca="1"/>
        <v>ON-Berkat Property-00011900+5-6282183115806</v>
      </c>
      <c r="Y958" s="40"/>
      <c r="Z958" s="40"/>
      <c r="AA958" s="23" t="str">
        <v>https://wa.me/6282183115806</v>
      </c>
      <c r="AB958" s="28"/>
      <c r="AC958" s="28"/>
      <c r="AD958" s="28"/>
      <c r="AE958" s="28"/>
      <c r="AF958" s="29"/>
      <c r="AG958" s="29"/>
    </row>
    <row r="959" spans="1:33" ht="15.75" customHeight="1">
      <c r="A959" s="32" t="s">
        <v>196</v>
      </c>
      <c r="B959" s="33">
        <v>973</v>
      </c>
      <c r="C959" s="34" t="s">
        <v>5659</v>
      </c>
      <c r="D959" s="35">
        <v>45913.698618969909</v>
      </c>
      <c r="E959" s="43">
        <v>45913</v>
      </c>
      <c r="F959" s="32" t="s">
        <v>5660</v>
      </c>
      <c r="G959" s="32" t="s">
        <v>5661</v>
      </c>
      <c r="H959" s="32" t="s">
        <v>5662</v>
      </c>
      <c r="I959" s="36" t="s">
        <v>5663</v>
      </c>
      <c r="J959" s="52" t="s">
        <v>2146</v>
      </c>
      <c r="K959" s="32" t="s">
        <v>4054</v>
      </c>
      <c r="L959" s="32" t="s">
        <v>5664</v>
      </c>
      <c r="M959" s="32" t="s">
        <v>1773</v>
      </c>
      <c r="N959" s="33">
        <v>5</v>
      </c>
      <c r="O959" s="35"/>
      <c r="P959" s="35"/>
      <c r="Q959" s="37"/>
      <c r="R959" s="38"/>
      <c r="S959" s="33"/>
      <c r="T959" s="39">
        <v>197000</v>
      </c>
      <c r="U959" s="40" t="s">
        <v>61</v>
      </c>
      <c r="V959" s="41"/>
      <c r="W959" s="42" t="str">
        <f ca="1">IFERROR(__xludf.DUMMYFUNCTION("""COMPUTED_VALUE"""),"Zaratri cat")</f>
        <v>Zaratri cat</v>
      </c>
      <c r="X959" s="42" t="str">
        <f ca="1"/>
        <v>ON-Zaratri cat-00011900+5-6282320232344</v>
      </c>
      <c r="Y959" s="40" t="s">
        <v>62</v>
      </c>
      <c r="Z959" s="40" t="s">
        <v>1465</v>
      </c>
      <c r="AA959" s="23" t="str">
        <v>https://wa.me/6282320232344</v>
      </c>
      <c r="AB959" s="28" t="s">
        <v>5665</v>
      </c>
      <c r="AC959" s="28"/>
      <c r="AD959" s="28" t="s">
        <v>690</v>
      </c>
      <c r="AE959" s="28"/>
      <c r="AF959" s="29">
        <v>45917</v>
      </c>
      <c r="AG959" s="29"/>
    </row>
    <row r="960" spans="1:33" ht="15.75" customHeight="1">
      <c r="A960" s="32" t="s">
        <v>196</v>
      </c>
      <c r="B960" s="33">
        <v>974</v>
      </c>
      <c r="C960" s="34" t="s">
        <v>5666</v>
      </c>
      <c r="D960" s="35">
        <v>45913.700891562505</v>
      </c>
      <c r="E960" s="43">
        <v>45913</v>
      </c>
      <c r="F960" s="32" t="s">
        <v>5667</v>
      </c>
      <c r="G960" s="32" t="s">
        <v>5668</v>
      </c>
      <c r="H960" s="32" t="s">
        <v>5669</v>
      </c>
      <c r="I960" s="36" t="s">
        <v>5670</v>
      </c>
      <c r="J960" s="52" t="s">
        <v>5671</v>
      </c>
      <c r="K960" s="32" t="s">
        <v>5672</v>
      </c>
      <c r="L960" s="32" t="s">
        <v>5673</v>
      </c>
      <c r="M960" s="32" t="s">
        <v>711</v>
      </c>
      <c r="N960" s="33">
        <v>10</v>
      </c>
      <c r="O960" s="35"/>
      <c r="P960" s="35"/>
      <c r="Q960" s="37"/>
      <c r="R960" s="38"/>
      <c r="S960" s="33"/>
      <c r="T960" s="39">
        <v>375000</v>
      </c>
      <c r="U960" s="40" t="s">
        <v>1229</v>
      </c>
      <c r="V960" s="41"/>
      <c r="W960" s="42" t="str">
        <f ca="1">IFERROR(__xludf.DUMMYFUNCTION("""COMPUTED_VALUE"""),"Quick service")</f>
        <v>Quick service</v>
      </c>
      <c r="X960" s="42" t="str">
        <f ca="1"/>
        <v>ON-Quick service-00011900+10-6287777144455</v>
      </c>
      <c r="Y960" s="40" t="s">
        <v>62</v>
      </c>
      <c r="Z960" s="40" t="s">
        <v>294</v>
      </c>
      <c r="AA960" s="23" t="str">
        <v>https://wa.me/6287777144455</v>
      </c>
      <c r="AB960" s="28" t="s">
        <v>5674</v>
      </c>
      <c r="AC960" s="28"/>
      <c r="AD960" s="28" t="s">
        <v>690</v>
      </c>
      <c r="AE960" s="28"/>
      <c r="AF960" s="29">
        <v>45916</v>
      </c>
      <c r="AG960" s="29"/>
    </row>
    <row r="961" spans="1:33" ht="15.75" customHeight="1">
      <c r="A961" s="32" t="s">
        <v>196</v>
      </c>
      <c r="B961" s="33">
        <v>975</v>
      </c>
      <c r="C961" s="34" t="s">
        <v>5675</v>
      </c>
      <c r="D961" s="35">
        <v>45913.818889409726</v>
      </c>
      <c r="E961" s="43">
        <v>45903</v>
      </c>
      <c r="F961" s="32" t="s">
        <v>5676</v>
      </c>
      <c r="G961" s="32" t="s">
        <v>5677</v>
      </c>
      <c r="H961" s="32" t="s">
        <v>5678</v>
      </c>
      <c r="I961" s="36" t="s">
        <v>5679</v>
      </c>
      <c r="J961" s="52" t="s">
        <v>5680</v>
      </c>
      <c r="K961" s="32" t="s">
        <v>5681</v>
      </c>
      <c r="L961" s="32" t="s">
        <v>5682</v>
      </c>
      <c r="M961" s="32" t="s">
        <v>5683</v>
      </c>
      <c r="N961" s="33">
        <v>5</v>
      </c>
      <c r="O961" s="35"/>
      <c r="P961" s="35"/>
      <c r="Q961" s="37"/>
      <c r="R961" s="38"/>
      <c r="S961" s="33"/>
      <c r="T961" s="39">
        <v>197000</v>
      </c>
      <c r="U961" s="40" t="s">
        <v>1229</v>
      </c>
      <c r="V961" s="41"/>
      <c r="W961" s="42" t="str">
        <f ca="1">IFERROR(__xludf.DUMMYFUNCTION("""COMPUTED_VALUE"""),"istana herbal")</f>
        <v>istana herbal</v>
      </c>
      <c r="X961" s="42" t="str">
        <f ca="1"/>
        <v>ON-istana herbal-00011900+5-6285255550388</v>
      </c>
      <c r="Y961" s="40" t="s">
        <v>62</v>
      </c>
      <c r="Z961" s="40" t="s">
        <v>639</v>
      </c>
      <c r="AA961" s="23" t="str">
        <v>https://wa.me/6285255550388</v>
      </c>
      <c r="AB961" s="28" t="s">
        <v>5684</v>
      </c>
      <c r="AC961" s="28"/>
      <c r="AD961" s="28" t="s">
        <v>690</v>
      </c>
      <c r="AE961" s="28"/>
      <c r="AF961" s="29">
        <v>45917</v>
      </c>
      <c r="AG961" s="29"/>
    </row>
    <row r="962" spans="1:33" ht="15.75" customHeight="1">
      <c r="A962" s="32" t="s">
        <v>196</v>
      </c>
      <c r="B962" s="33">
        <v>976</v>
      </c>
      <c r="C962" s="34" t="s">
        <v>5685</v>
      </c>
      <c r="D962" s="35">
        <v>45914.426995578702</v>
      </c>
      <c r="E962" s="43">
        <v>45914</v>
      </c>
      <c r="F962" s="32" t="s">
        <v>5686</v>
      </c>
      <c r="G962" s="32" t="s">
        <v>5687</v>
      </c>
      <c r="H962" s="32" t="s">
        <v>5688</v>
      </c>
      <c r="I962" s="36" t="s">
        <v>5689</v>
      </c>
      <c r="J962" s="52" t="s">
        <v>5690</v>
      </c>
      <c r="K962" s="32" t="s">
        <v>5691</v>
      </c>
      <c r="L962" s="32" t="s">
        <v>5692</v>
      </c>
      <c r="M962" s="32" t="s">
        <v>3788</v>
      </c>
      <c r="N962" s="33">
        <v>5</v>
      </c>
      <c r="O962" s="35"/>
      <c r="P962" s="35"/>
      <c r="Q962" s="37"/>
      <c r="R962" s="38"/>
      <c r="S962" s="33"/>
      <c r="T962" s="39">
        <v>197000</v>
      </c>
      <c r="U962" s="40" t="s">
        <v>1229</v>
      </c>
      <c r="V962" s="41"/>
      <c r="W962" s="42" t="str">
        <f ca="1">IFERROR(__xludf.DUMMYFUNCTION("""COMPUTED_VALUE"""),"Bintang99 massage")</f>
        <v>Bintang99 massage</v>
      </c>
      <c r="X962" s="42" t="str">
        <f ca="1"/>
        <v>ON-Bintang99 massage-00011900+5-6281990022760</v>
      </c>
      <c r="Y962" s="40" t="s">
        <v>62</v>
      </c>
      <c r="Z962" s="40" t="s">
        <v>639</v>
      </c>
      <c r="AA962" s="23" t="str">
        <v>https://wa.me/6281990022760</v>
      </c>
      <c r="AB962" s="28" t="s">
        <v>5693</v>
      </c>
      <c r="AC962" s="28"/>
      <c r="AD962" s="28" t="s">
        <v>690</v>
      </c>
      <c r="AE962" s="28"/>
      <c r="AF962" s="29">
        <v>45917</v>
      </c>
      <c r="AG962" s="29"/>
    </row>
    <row r="963" spans="1:33" ht="15.75" customHeight="1">
      <c r="A963" s="32" t="s">
        <v>196</v>
      </c>
      <c r="B963" s="33">
        <v>977</v>
      </c>
      <c r="C963" s="34" t="s">
        <v>5694</v>
      </c>
      <c r="D963" s="35">
        <v>45914.467901111115</v>
      </c>
      <c r="E963" s="43">
        <v>45914</v>
      </c>
      <c r="F963" s="32" t="s">
        <v>5695</v>
      </c>
      <c r="G963" s="32" t="s">
        <v>5696</v>
      </c>
      <c r="H963" s="32" t="s">
        <v>5697</v>
      </c>
      <c r="I963" s="36" t="s">
        <v>5698</v>
      </c>
      <c r="J963" s="52" t="s">
        <v>5699</v>
      </c>
      <c r="K963" s="32" t="s">
        <v>5700</v>
      </c>
      <c r="L963" s="32" t="s">
        <v>4783</v>
      </c>
      <c r="M963" s="32" t="s">
        <v>1926</v>
      </c>
      <c r="N963" s="33">
        <v>5</v>
      </c>
      <c r="O963" s="35"/>
      <c r="P963" s="35"/>
      <c r="Q963" s="37"/>
      <c r="R963" s="38"/>
      <c r="S963" s="33"/>
      <c r="T963" s="39">
        <v>197000</v>
      </c>
      <c r="U963" s="40" t="s">
        <v>1774</v>
      </c>
      <c r="V963" s="41"/>
      <c r="W963" s="42" t="str">
        <f ca="1">IFERROR(__xludf.DUMMYFUNCTION("""COMPUTED_VALUE"""),"Rash Teknik")</f>
        <v>Rash Teknik</v>
      </c>
      <c r="X963" s="42" t="str">
        <f ca="1"/>
        <v>ON-Rash Teknik-00011900+5-6287761318839</v>
      </c>
      <c r="Y963" s="40" t="s">
        <v>293</v>
      </c>
      <c r="Z963" s="40" t="s">
        <v>1057</v>
      </c>
      <c r="AA963" s="23" t="str">
        <v>https://wa.me/6287761318839</v>
      </c>
      <c r="AB963" s="28" t="s">
        <v>5701</v>
      </c>
      <c r="AC963" s="28"/>
      <c r="AD963" s="28" t="s">
        <v>690</v>
      </c>
      <c r="AE963" s="28"/>
      <c r="AF963" s="29">
        <v>45917</v>
      </c>
      <c r="AG963" s="29"/>
    </row>
    <row r="964" spans="1:33" ht="15.75" customHeight="1">
      <c r="A964" s="32" t="s">
        <v>52</v>
      </c>
      <c r="B964" s="33">
        <v>978</v>
      </c>
      <c r="C964" s="34" t="s">
        <v>5702</v>
      </c>
      <c r="D964" s="35">
        <v>45914.474089120369</v>
      </c>
      <c r="E964" s="43">
        <v>45914</v>
      </c>
      <c r="F964" s="32" t="s">
        <v>4611</v>
      </c>
      <c r="G964" s="32" t="s">
        <v>4612</v>
      </c>
      <c r="H964" s="32" t="s">
        <v>1694</v>
      </c>
      <c r="I964" s="36" t="s">
        <v>4644</v>
      </c>
      <c r="J964" s="52"/>
      <c r="K964" s="32" t="s">
        <v>5703</v>
      </c>
      <c r="L964" s="32" t="s">
        <v>4615</v>
      </c>
      <c r="M964" s="32" t="s">
        <v>60</v>
      </c>
      <c r="N964" s="33">
        <v>10</v>
      </c>
      <c r="O964" s="35"/>
      <c r="P964" s="35"/>
      <c r="Q964" s="37"/>
      <c r="R964" s="38"/>
      <c r="S964" s="33"/>
      <c r="T964" s="39">
        <v>375000</v>
      </c>
      <c r="U964" s="40" t="s">
        <v>61</v>
      </c>
      <c r="V964" s="41"/>
      <c r="W964" s="42" t="str">
        <f ca="1">IFERROR(__xludf.DUMMYFUNCTION("""COMPUTED_VALUE"""),"TERAPHY HIPNOSIS")</f>
        <v>TERAPHY HIPNOSIS</v>
      </c>
      <c r="X964" s="42" t="str">
        <f ca="1"/>
        <v>ON-TERAPHY HIPNOSIS-00011900+10-6285720705874</v>
      </c>
      <c r="Y964" s="40"/>
      <c r="Z964" s="40"/>
      <c r="AA964" s="23" t="str">
        <v>https://wa.me/6285720705874</v>
      </c>
      <c r="AB964" s="28"/>
      <c r="AC964" s="28"/>
      <c r="AD964" s="28"/>
      <c r="AE964" s="28"/>
      <c r="AF964" s="29"/>
      <c r="AG964" s="29"/>
    </row>
    <row r="965" spans="1:33" ht="15.75" customHeight="1">
      <c r="A965" s="32" t="s">
        <v>196</v>
      </c>
      <c r="B965" s="33">
        <v>979</v>
      </c>
      <c r="C965" s="34" t="s">
        <v>5704</v>
      </c>
      <c r="D965" s="35">
        <v>45914.485038819446</v>
      </c>
      <c r="E965" s="43">
        <v>45913</v>
      </c>
      <c r="F965" s="32" t="s">
        <v>5705</v>
      </c>
      <c r="G965" s="32" t="s">
        <v>5706</v>
      </c>
      <c r="H965" s="32" t="s">
        <v>5707</v>
      </c>
      <c r="I965" s="36" t="s">
        <v>5708</v>
      </c>
      <c r="J965" s="52"/>
      <c r="K965" s="32" t="s">
        <v>5709</v>
      </c>
      <c r="L965" s="32" t="s">
        <v>4068</v>
      </c>
      <c r="M965" s="32" t="s">
        <v>60</v>
      </c>
      <c r="N965" s="33">
        <v>5</v>
      </c>
      <c r="O965" s="35"/>
      <c r="P965" s="35"/>
      <c r="Q965" s="37"/>
      <c r="R965" s="38"/>
      <c r="S965" s="33"/>
      <c r="T965" s="39">
        <v>197000</v>
      </c>
      <c r="U965" s="40" t="s">
        <v>61</v>
      </c>
      <c r="V965" s="41"/>
      <c r="W965" s="42" t="str">
        <f ca="1">IFERROR(__xludf.DUMMYFUNCTION("""COMPUTED_VALUE"""),"PT Raya")</f>
        <v>PT Raya</v>
      </c>
      <c r="X965" s="42" t="str">
        <f ca="1"/>
        <v>ON-PT Raya-00011900+5-6281325100200</v>
      </c>
      <c r="Y965" s="40" t="s">
        <v>293</v>
      </c>
      <c r="Z965" s="40" t="s">
        <v>1057</v>
      </c>
      <c r="AA965" s="23" t="str">
        <v>https://wa.me/6281325100200</v>
      </c>
      <c r="AB965" s="28" t="s">
        <v>5710</v>
      </c>
      <c r="AC965" s="28"/>
      <c r="AD965" s="28" t="s">
        <v>690</v>
      </c>
      <c r="AE965" s="28"/>
      <c r="AF965" s="29">
        <v>45917</v>
      </c>
      <c r="AG965" s="29"/>
    </row>
    <row r="966" spans="1:33" ht="15.75" customHeight="1">
      <c r="A966" s="32" t="s">
        <v>52</v>
      </c>
      <c r="B966" s="33">
        <v>980</v>
      </c>
      <c r="C966" s="34" t="s">
        <v>5711</v>
      </c>
      <c r="D966" s="35">
        <v>45914.486055150468</v>
      </c>
      <c r="E966" s="43">
        <v>45914</v>
      </c>
      <c r="F966" s="32" t="s">
        <v>763</v>
      </c>
      <c r="G966" s="32" t="s">
        <v>764</v>
      </c>
      <c r="H966" s="32" t="s">
        <v>495</v>
      </c>
      <c r="I966" s="36" t="s">
        <v>765</v>
      </c>
      <c r="J966" s="52" t="s">
        <v>766</v>
      </c>
      <c r="K966" s="32" t="s">
        <v>4923</v>
      </c>
      <c r="L966" s="32" t="s">
        <v>768</v>
      </c>
      <c r="M966" s="32" t="s">
        <v>60</v>
      </c>
      <c r="N966" s="33">
        <v>10</v>
      </c>
      <c r="O966" s="35"/>
      <c r="P966" s="35"/>
      <c r="Q966" s="37"/>
      <c r="R966" s="38"/>
      <c r="S966" s="33"/>
      <c r="T966" s="39">
        <v>375000</v>
      </c>
      <c r="U966" s="40" t="s">
        <v>61</v>
      </c>
      <c r="V966" s="41"/>
      <c r="W966" s="42" t="str">
        <f ca="1">IFERROR(__xludf.DUMMYFUNCTION("""COMPUTED_VALUE"""),"Dearhouse")</f>
        <v>Dearhouse</v>
      </c>
      <c r="X966" s="42" t="str">
        <f ca="1"/>
        <v>ON-Dearhouse-00011900+10-6287778562681</v>
      </c>
      <c r="Y966" s="40"/>
      <c r="Z966" s="40"/>
      <c r="AA966" s="23" t="str">
        <v>https://wa.me/6287778562681</v>
      </c>
      <c r="AB966" s="28"/>
      <c r="AC966" s="28"/>
      <c r="AD966" s="28"/>
      <c r="AE966" s="28"/>
      <c r="AF966" s="29"/>
      <c r="AG966" s="29"/>
    </row>
    <row r="967" spans="1:33" ht="15.75" customHeight="1">
      <c r="A967" s="32" t="s">
        <v>52</v>
      </c>
      <c r="B967" s="33">
        <v>981</v>
      </c>
      <c r="C967" s="34" t="s">
        <v>5712</v>
      </c>
      <c r="D967" s="35">
        <v>45914.487896250001</v>
      </c>
      <c r="E967" s="43">
        <v>45914</v>
      </c>
      <c r="F967" s="32" t="s">
        <v>969</v>
      </c>
      <c r="G967" s="32" t="s">
        <v>970</v>
      </c>
      <c r="H967" s="32" t="s">
        <v>971</v>
      </c>
      <c r="I967" s="36" t="s">
        <v>972</v>
      </c>
      <c r="J967" s="52"/>
      <c r="K967" s="32" t="s">
        <v>973</v>
      </c>
      <c r="L967" s="32" t="s">
        <v>974</v>
      </c>
      <c r="M967" s="32" t="s">
        <v>60</v>
      </c>
      <c r="N967" s="33">
        <v>5</v>
      </c>
      <c r="O967" s="35"/>
      <c r="P967" s="35"/>
      <c r="Q967" s="37"/>
      <c r="R967" s="38"/>
      <c r="S967" s="33"/>
      <c r="T967" s="39">
        <v>197000</v>
      </c>
      <c r="U967" s="40" t="s">
        <v>61</v>
      </c>
      <c r="V967" s="41"/>
      <c r="W967" s="42" t="str">
        <f ca="1">IFERROR(__xludf.DUMMYFUNCTION("""COMPUTED_VALUE"""),"Ragil Mapan")</f>
        <v>Ragil Mapan</v>
      </c>
      <c r="X967" s="42" t="str">
        <f ca="1"/>
        <v>ON-Ragil Mapan-00011900+5-6282230035858</v>
      </c>
      <c r="Y967" s="40"/>
      <c r="Z967" s="40"/>
      <c r="AA967" s="23" t="str">
        <v>https://wa.me/6282230035858</v>
      </c>
      <c r="AB967" s="28"/>
      <c r="AC967" s="28"/>
      <c r="AD967" s="28"/>
      <c r="AE967" s="28"/>
      <c r="AF967" s="29"/>
      <c r="AG967" s="29"/>
    </row>
    <row r="968" spans="1:33" ht="15.75" customHeight="1">
      <c r="A968" s="32" t="s">
        <v>621</v>
      </c>
      <c r="B968" s="33">
        <v>983</v>
      </c>
      <c r="C968" s="34" t="s">
        <v>5713</v>
      </c>
      <c r="D968" s="35">
        <v>45915.497389143522</v>
      </c>
      <c r="E968" s="43">
        <v>45915</v>
      </c>
      <c r="F968" s="32" t="s">
        <v>5714</v>
      </c>
      <c r="G968" s="32" t="s">
        <v>5715</v>
      </c>
      <c r="H968" s="32" t="s">
        <v>2671</v>
      </c>
      <c r="I968" s="36" t="s">
        <v>5716</v>
      </c>
      <c r="J968" s="52"/>
      <c r="K968" s="32" t="s">
        <v>317</v>
      </c>
      <c r="L968" s="32" t="s">
        <v>92</v>
      </c>
      <c r="M968" s="32" t="s">
        <v>285</v>
      </c>
      <c r="N968" s="33">
        <v>5</v>
      </c>
      <c r="O968" s="35"/>
      <c r="P968" s="35"/>
      <c r="Q968" s="37"/>
      <c r="R968" s="38"/>
      <c r="S968" s="33"/>
      <c r="T968" s="39">
        <v>197000</v>
      </c>
      <c r="U968" s="40" t="s">
        <v>1229</v>
      </c>
      <c r="V968" s="41"/>
      <c r="W968" s="42" t="str">
        <f ca="1">IFERROR(__xludf.DUMMYFUNCTION("""COMPUTED_VALUE"""),"Urut sehat")</f>
        <v>Urut sehat</v>
      </c>
      <c r="X968" s="42" t="str">
        <f ca="1"/>
        <v>ON-Urut sehat-00011900+5-6285375422999</v>
      </c>
      <c r="Y968" s="40"/>
      <c r="Z968" s="40"/>
      <c r="AA968" s="23" t="str">
        <v>https://wa.me/6285375422999</v>
      </c>
      <c r="AB968" s="28"/>
      <c r="AC968" s="28"/>
      <c r="AD968" s="28"/>
      <c r="AE968" s="28"/>
      <c r="AF968" s="29"/>
      <c r="AG968" s="29"/>
    </row>
    <row r="969" spans="1:33" ht="15.75" customHeight="1">
      <c r="A969" s="32" t="s">
        <v>196</v>
      </c>
      <c r="B969" s="33">
        <v>984</v>
      </c>
      <c r="C969" s="34" t="s">
        <v>5717</v>
      </c>
      <c r="D969" s="35">
        <v>45915.511851620366</v>
      </c>
      <c r="E969" s="43">
        <v>45915</v>
      </c>
      <c r="F969" s="32" t="s">
        <v>5718</v>
      </c>
      <c r="G969" s="32" t="s">
        <v>5719</v>
      </c>
      <c r="H969" s="32" t="s">
        <v>5720</v>
      </c>
      <c r="I969" s="36" t="s">
        <v>5721</v>
      </c>
      <c r="J969" s="52" t="s">
        <v>5722</v>
      </c>
      <c r="K969" s="32" t="s">
        <v>5723</v>
      </c>
      <c r="L969" s="32" t="s">
        <v>3558</v>
      </c>
      <c r="M969" s="32" t="s">
        <v>249</v>
      </c>
      <c r="N969" s="33">
        <v>5</v>
      </c>
      <c r="O969" s="35"/>
      <c r="P969" s="35"/>
      <c r="Q969" s="37"/>
      <c r="R969" s="38"/>
      <c r="S969" s="33"/>
      <c r="T969" s="39">
        <v>197000</v>
      </c>
      <c r="U969" s="40" t="s">
        <v>1774</v>
      </c>
      <c r="V969" s="41"/>
      <c r="W969" s="42" t="str">
        <f ca="1">IFERROR(__xludf.DUMMYFUNCTION("""COMPUTED_VALUE"""),"DF Interior")</f>
        <v>DF Interior</v>
      </c>
      <c r="X969" s="42" t="str">
        <f ca="1"/>
        <v>ON-DF Interior-00011900+5-6282122386711</v>
      </c>
      <c r="Y969" s="40" t="s">
        <v>293</v>
      </c>
      <c r="Z969" s="40" t="s">
        <v>1057</v>
      </c>
      <c r="AA969" s="23" t="str">
        <v>https://wa.me/6282122386711</v>
      </c>
      <c r="AB969" s="28" t="s">
        <v>5724</v>
      </c>
      <c r="AC969" s="28"/>
      <c r="AD969" s="28" t="s">
        <v>690</v>
      </c>
      <c r="AE969" s="28"/>
      <c r="AF969" s="29">
        <v>45918</v>
      </c>
      <c r="AG969" s="29"/>
    </row>
    <row r="970" spans="1:33" ht="15.75" customHeight="1">
      <c r="A970" s="32" t="s">
        <v>196</v>
      </c>
      <c r="B970" s="33">
        <v>985</v>
      </c>
      <c r="C970" s="34" t="s">
        <v>5725</v>
      </c>
      <c r="D970" s="35">
        <v>45915.567397708335</v>
      </c>
      <c r="E970" s="43">
        <v>45915</v>
      </c>
      <c r="F970" s="32" t="s">
        <v>5726</v>
      </c>
      <c r="G970" s="32" t="s">
        <v>5727</v>
      </c>
      <c r="H970" s="32" t="s">
        <v>4199</v>
      </c>
      <c r="I970" s="36" t="s">
        <v>5728</v>
      </c>
      <c r="J970" s="52" t="s">
        <v>5729</v>
      </c>
      <c r="K970" s="32" t="s">
        <v>5730</v>
      </c>
      <c r="L970" s="32" t="s">
        <v>3079</v>
      </c>
      <c r="M970" s="32" t="s">
        <v>249</v>
      </c>
      <c r="N970" s="33">
        <v>5</v>
      </c>
      <c r="O970" s="35"/>
      <c r="P970" s="35"/>
      <c r="Q970" s="37"/>
      <c r="R970" s="38"/>
      <c r="S970" s="33"/>
      <c r="T970" s="39">
        <v>197000</v>
      </c>
      <c r="U970" s="40" t="s">
        <v>1774</v>
      </c>
      <c r="V970" s="41"/>
      <c r="W970" s="42" t="str">
        <f ca="1">IFERROR(__xludf.DUMMYFUNCTION("""COMPUTED_VALUE"""),"KM Production")</f>
        <v>KM Production</v>
      </c>
      <c r="X970" s="42" t="str">
        <f ca="1"/>
        <v>ON-KM Production-00011900+5-6285806682200</v>
      </c>
      <c r="Y970" s="40" t="s">
        <v>293</v>
      </c>
      <c r="Z970" s="40" t="s">
        <v>1057</v>
      </c>
      <c r="AA970" s="23" t="str">
        <v>https://wa.me/6285806682200</v>
      </c>
      <c r="AB970" s="28" t="s">
        <v>5731</v>
      </c>
      <c r="AC970" s="28"/>
      <c r="AD970" s="28" t="s">
        <v>690</v>
      </c>
      <c r="AE970" s="28"/>
      <c r="AF970" s="29">
        <v>45918</v>
      </c>
      <c r="AG970" s="29"/>
    </row>
    <row r="971" spans="1:33" ht="15.75" customHeight="1">
      <c r="A971" s="32" t="s">
        <v>196</v>
      </c>
      <c r="B971" s="33">
        <v>986</v>
      </c>
      <c r="C971" s="34" t="s">
        <v>5732</v>
      </c>
      <c r="D971" s="35">
        <v>45916.319048530087</v>
      </c>
      <c r="E971" s="43">
        <v>45916</v>
      </c>
      <c r="F971" s="32" t="s">
        <v>5733</v>
      </c>
      <c r="G971" s="32" t="s">
        <v>5734</v>
      </c>
      <c r="H971" s="32" t="s">
        <v>5735</v>
      </c>
      <c r="I971" s="36" t="s">
        <v>5736</v>
      </c>
      <c r="J971" s="52" t="s">
        <v>5737</v>
      </c>
      <c r="K971" s="32" t="s">
        <v>5738</v>
      </c>
      <c r="L971" s="32" t="s">
        <v>5303</v>
      </c>
      <c r="M971" s="32" t="s">
        <v>249</v>
      </c>
      <c r="N971" s="33">
        <v>5</v>
      </c>
      <c r="O971" s="35"/>
      <c r="P971" s="35"/>
      <c r="Q971" s="37"/>
      <c r="R971" s="38"/>
      <c r="S971" s="33"/>
      <c r="T971" s="39">
        <v>197000</v>
      </c>
      <c r="U971" s="40" t="s">
        <v>1774</v>
      </c>
      <c r="V971" s="41"/>
      <c r="W971" s="42" t="str">
        <f ca="1">IFERROR(__xludf.DUMMYFUNCTION("""COMPUTED_VALUE"""),"Biro teknik")</f>
        <v>Biro teknik</v>
      </c>
      <c r="X971" s="42" t="str">
        <f ca="1"/>
        <v>ON-Biro teknik-00011900+5-6285359314400</v>
      </c>
      <c r="Y971" s="40" t="s">
        <v>293</v>
      </c>
      <c r="Z971" s="40" t="s">
        <v>1057</v>
      </c>
      <c r="AA971" s="23" t="str">
        <v>https://wa.me/6285359314400</v>
      </c>
      <c r="AB971" s="28" t="s">
        <v>5739</v>
      </c>
      <c r="AC971" s="28"/>
      <c r="AD971" s="28" t="s">
        <v>690</v>
      </c>
      <c r="AE971" s="28"/>
      <c r="AF971" s="29">
        <v>45918</v>
      </c>
      <c r="AG971" s="29"/>
    </row>
    <row r="972" spans="1:33" ht="15.75" customHeight="1">
      <c r="A972" s="32" t="s">
        <v>196</v>
      </c>
      <c r="B972" s="33">
        <v>988</v>
      </c>
      <c r="C972" s="34" t="s">
        <v>5740</v>
      </c>
      <c r="D972" s="35">
        <v>45916.339638877311</v>
      </c>
      <c r="E972" s="43">
        <v>45916</v>
      </c>
      <c r="F972" s="32" t="s">
        <v>4299</v>
      </c>
      <c r="G972" s="32" t="s">
        <v>5741</v>
      </c>
      <c r="H972" s="32" t="s">
        <v>1175</v>
      </c>
      <c r="I972" s="36" t="s">
        <v>5742</v>
      </c>
      <c r="J972" s="52" t="s">
        <v>5743</v>
      </c>
      <c r="K972" s="32" t="s">
        <v>5744</v>
      </c>
      <c r="L972" s="32" t="s">
        <v>1533</v>
      </c>
      <c r="M972" s="32" t="s">
        <v>382</v>
      </c>
      <c r="N972" s="33">
        <v>5</v>
      </c>
      <c r="O972" s="35"/>
      <c r="P972" s="35"/>
      <c r="Q972" s="37"/>
      <c r="R972" s="38"/>
      <c r="S972" s="33"/>
      <c r="T972" s="39">
        <v>197000</v>
      </c>
      <c r="U972" s="40" t="s">
        <v>115</v>
      </c>
      <c r="V972" s="41"/>
      <c r="W972" s="42" t="str">
        <f ca="1">IFERROR(__xludf.DUMMYFUNCTION("""COMPUTED_VALUE"""),"BJA Jasa")</f>
        <v>BJA Jasa</v>
      </c>
      <c r="X972" s="42" t="str">
        <f ca="1"/>
        <v>ON-BJA Jasa-00011900+5-6288227630708</v>
      </c>
      <c r="Y972" s="40" t="s">
        <v>293</v>
      </c>
      <c r="Z972" s="40" t="s">
        <v>1057</v>
      </c>
      <c r="AA972" s="23" t="str">
        <v>https://wa.me/6288227630708</v>
      </c>
      <c r="AB972" s="28" t="s">
        <v>5745</v>
      </c>
      <c r="AC972" s="28"/>
      <c r="AD972" s="28" t="s">
        <v>690</v>
      </c>
      <c r="AE972" s="28"/>
      <c r="AF972" s="29">
        <v>45918</v>
      </c>
      <c r="AG972" s="29"/>
    </row>
    <row r="973" spans="1:33" ht="15.75" customHeight="1">
      <c r="A973" s="32" t="s">
        <v>196</v>
      </c>
      <c r="B973" s="33">
        <v>989</v>
      </c>
      <c r="C973" s="34" t="s">
        <v>5746</v>
      </c>
      <c r="D973" s="35">
        <v>45916.344806388894</v>
      </c>
      <c r="E973" s="43">
        <v>45913</v>
      </c>
      <c r="F973" s="32" t="s">
        <v>5747</v>
      </c>
      <c r="G973" s="32" t="s">
        <v>5748</v>
      </c>
      <c r="H973" s="32" t="s">
        <v>5749</v>
      </c>
      <c r="I973" s="36" t="s">
        <v>5750</v>
      </c>
      <c r="J973" s="52"/>
      <c r="K973" s="32"/>
      <c r="L973" s="32"/>
      <c r="M973" s="32"/>
      <c r="N973" s="33">
        <v>5</v>
      </c>
      <c r="O973" s="35"/>
      <c r="P973" s="35"/>
      <c r="Q973" s="37"/>
      <c r="R973" s="38"/>
      <c r="S973" s="33"/>
      <c r="T973" s="39">
        <v>197000</v>
      </c>
      <c r="U973" s="40" t="s">
        <v>115</v>
      </c>
      <c r="V973" s="41"/>
      <c r="W973" s="42" t="str">
        <f ca="1">IFERROR(__xludf.DUMMYFUNCTION("""COMPUTED_VALUE"""),"ARDA JAYA")</f>
        <v>ARDA JAYA</v>
      </c>
      <c r="X973" s="42" t="str">
        <f ca="1"/>
        <v>ON-ARDA JAYA-00011900+5-6285218573607</v>
      </c>
      <c r="Y973" s="40" t="s">
        <v>293</v>
      </c>
      <c r="Z973" s="40" t="s">
        <v>1057</v>
      </c>
      <c r="AA973" s="23" t="str">
        <v>https://wa.me/6285218573607</v>
      </c>
      <c r="AB973" s="28" t="s">
        <v>5751</v>
      </c>
      <c r="AC973" s="28"/>
      <c r="AD973" s="28" t="s">
        <v>690</v>
      </c>
      <c r="AE973" s="28"/>
      <c r="AF973" s="29">
        <v>45917</v>
      </c>
      <c r="AG973" s="29"/>
    </row>
    <row r="974" spans="1:33" ht="15.75" customHeight="1">
      <c r="A974" s="32" t="s">
        <v>196</v>
      </c>
      <c r="B974" s="33">
        <v>991</v>
      </c>
      <c r="C974" s="34" t="s">
        <v>5752</v>
      </c>
      <c r="D974" s="35">
        <v>45916.471957442132</v>
      </c>
      <c r="E974" s="43">
        <v>45916</v>
      </c>
      <c r="F974" s="32" t="s">
        <v>5753</v>
      </c>
      <c r="G974" s="32" t="s">
        <v>5754</v>
      </c>
      <c r="H974" s="32" t="s">
        <v>5755</v>
      </c>
      <c r="I974" s="36" t="s">
        <v>5756</v>
      </c>
      <c r="J974" s="52"/>
      <c r="K974" s="32" t="s">
        <v>5757</v>
      </c>
      <c r="L974" s="32" t="s">
        <v>3750</v>
      </c>
      <c r="M974" s="32" t="s">
        <v>249</v>
      </c>
      <c r="N974" s="33">
        <v>10</v>
      </c>
      <c r="O974" s="35"/>
      <c r="P974" s="35"/>
      <c r="Q974" s="37"/>
      <c r="R974" s="38"/>
      <c r="S974" s="33"/>
      <c r="T974" s="39">
        <v>375000</v>
      </c>
      <c r="U974" s="40" t="s">
        <v>1774</v>
      </c>
      <c r="V974" s="41"/>
      <c r="W974" s="42" t="str">
        <f ca="1">IFERROR(__xludf.DUMMYFUNCTION("""COMPUTED_VALUE"""),"CV Adiyatma")</f>
        <v>CV Adiyatma</v>
      </c>
      <c r="X974" s="42" t="str">
        <f ca="1"/>
        <v>ON-CV Adiyatma-00011900+10-6282266152909</v>
      </c>
      <c r="Y974" s="40" t="s">
        <v>293</v>
      </c>
      <c r="Z974" s="40" t="s">
        <v>1057</v>
      </c>
      <c r="AA974" s="23" t="str">
        <v>https://wa.me/6282266152909</v>
      </c>
      <c r="AB974" s="28" t="s">
        <v>5758</v>
      </c>
      <c r="AC974" s="28"/>
      <c r="AD974" s="28" t="s">
        <v>690</v>
      </c>
      <c r="AE974" s="28"/>
      <c r="AF974" s="29">
        <v>45919</v>
      </c>
      <c r="AG974" s="29"/>
    </row>
    <row r="975" spans="1:33" ht="15.75" customHeight="1">
      <c r="A975" s="32" t="s">
        <v>196</v>
      </c>
      <c r="B975" s="33">
        <v>992</v>
      </c>
      <c r="C975" s="34" t="s">
        <v>5759</v>
      </c>
      <c r="D975" s="35">
        <v>45916.47230731482</v>
      </c>
      <c r="E975" s="43">
        <v>45916</v>
      </c>
      <c r="F975" s="32" t="s">
        <v>5760</v>
      </c>
      <c r="G975" s="32" t="s">
        <v>5761</v>
      </c>
      <c r="H975" s="32" t="s">
        <v>5229</v>
      </c>
      <c r="I975" s="36" t="s">
        <v>5762</v>
      </c>
      <c r="J975" s="52"/>
      <c r="K975" s="32" t="s">
        <v>2132</v>
      </c>
      <c r="L975" s="32" t="s">
        <v>5763</v>
      </c>
      <c r="M975" s="32" t="s">
        <v>60</v>
      </c>
      <c r="N975" s="33">
        <v>5</v>
      </c>
      <c r="O975" s="35"/>
      <c r="P975" s="35"/>
      <c r="Q975" s="37"/>
      <c r="R975" s="38"/>
      <c r="S975" s="33"/>
      <c r="T975" s="39">
        <v>197000</v>
      </c>
      <c r="U975" s="40" t="s">
        <v>61</v>
      </c>
      <c r="V975" s="41"/>
      <c r="W975" s="42" t="str">
        <f ca="1">IFERROR(__xludf.DUMMYFUNCTION("""COMPUTED_VALUE"""),"Travel FBI")</f>
        <v>Travel FBI</v>
      </c>
      <c r="X975" s="42" t="str">
        <f ca="1"/>
        <v>ON-Travel FBI-00011900+5-6281389082618</v>
      </c>
      <c r="Y975" s="40" t="s">
        <v>62</v>
      </c>
      <c r="Z975" s="40" t="s">
        <v>1880</v>
      </c>
      <c r="AA975" s="23" t="str">
        <v>https://wa.me/6281389082618</v>
      </c>
      <c r="AB975" s="28" t="s">
        <v>5764</v>
      </c>
      <c r="AC975" s="28"/>
      <c r="AD975" s="28" t="s">
        <v>690</v>
      </c>
      <c r="AE975" s="28"/>
      <c r="AF975" s="29">
        <v>45919</v>
      </c>
      <c r="AG975" s="29"/>
    </row>
    <row r="976" spans="1:33" ht="15.75" customHeight="1">
      <c r="A976" s="32" t="s">
        <v>52</v>
      </c>
      <c r="B976" s="33">
        <v>993</v>
      </c>
      <c r="C976" s="34" t="s">
        <v>5765</v>
      </c>
      <c r="D976" s="35">
        <v>45916.47521892361</v>
      </c>
      <c r="E976" s="43">
        <v>45916</v>
      </c>
      <c r="F976" s="32" t="s">
        <v>5159</v>
      </c>
      <c r="G976" s="32" t="s">
        <v>5160</v>
      </c>
      <c r="H976" s="32" t="s">
        <v>5161</v>
      </c>
      <c r="I976" s="36" t="s">
        <v>5162</v>
      </c>
      <c r="J976" s="52"/>
      <c r="K976" s="32" t="s">
        <v>5163</v>
      </c>
      <c r="L976" s="32" t="s">
        <v>2468</v>
      </c>
      <c r="M976" s="32" t="s">
        <v>60</v>
      </c>
      <c r="N976" s="33">
        <v>10</v>
      </c>
      <c r="O976" s="35"/>
      <c r="P976" s="35"/>
      <c r="Q976" s="37"/>
      <c r="R976" s="38"/>
      <c r="S976" s="33"/>
      <c r="T976" s="39">
        <v>375000</v>
      </c>
      <c r="U976" s="40" t="s">
        <v>61</v>
      </c>
      <c r="V976" s="41"/>
      <c r="W976" s="42" t="str">
        <f ca="1">IFERROR(__xludf.DUMMYFUNCTION("""COMPUTED_VALUE"""),"Wirisvariasi")</f>
        <v>Wirisvariasi</v>
      </c>
      <c r="X976" s="42" t="str">
        <f ca="1"/>
        <v>ON-Wirisvariasi-00011900+10-6282242925264</v>
      </c>
      <c r="Y976" s="40"/>
      <c r="Z976" s="40"/>
      <c r="AA976" s="23" t="str">
        <v>https://wa.me/6282242925264</v>
      </c>
      <c r="AB976" s="28"/>
      <c r="AC976" s="28"/>
      <c r="AD976" s="28"/>
      <c r="AE976" s="28"/>
      <c r="AF976" s="29"/>
      <c r="AG976" s="29"/>
    </row>
    <row r="977" spans="1:33" ht="15.75" customHeight="1">
      <c r="A977" s="32" t="s">
        <v>196</v>
      </c>
      <c r="B977" s="33">
        <v>995</v>
      </c>
      <c r="C977" s="34" t="s">
        <v>5766</v>
      </c>
      <c r="D977" s="35">
        <v>45916.648078217593</v>
      </c>
      <c r="E977" s="43">
        <v>45916</v>
      </c>
      <c r="F977" s="32" t="s">
        <v>5767</v>
      </c>
      <c r="G977" s="32" t="s">
        <v>594</v>
      </c>
      <c r="H977" s="32" t="s">
        <v>5768</v>
      </c>
      <c r="I977" s="36" t="s">
        <v>596</v>
      </c>
      <c r="J977" s="52"/>
      <c r="K977" s="32" t="s">
        <v>5769</v>
      </c>
      <c r="L977" s="32" t="s">
        <v>5770</v>
      </c>
      <c r="M977" s="32" t="s">
        <v>5771</v>
      </c>
      <c r="N977" s="33">
        <v>7</v>
      </c>
      <c r="O977" s="35"/>
      <c r="P977" s="35"/>
      <c r="Q977" s="37"/>
      <c r="R977" s="38"/>
      <c r="S977" s="33"/>
      <c r="T977" s="39">
        <v>297000</v>
      </c>
      <c r="U977" s="40" t="s">
        <v>115</v>
      </c>
      <c r="V977" s="41"/>
      <c r="W977" s="42" t="str">
        <f ca="1">IFERROR(__xludf.DUMMYFUNCTION("""COMPUTED_VALUE"""),"Bhoemi Kontraktor")</f>
        <v>Bhoemi Kontraktor</v>
      </c>
      <c r="X977" s="42" t="str">
        <f ca="1"/>
        <v>ON-Bhoemi Kontraktor-00011900+7-6283185169816</v>
      </c>
      <c r="Y977" s="40" t="s">
        <v>293</v>
      </c>
      <c r="Z977" s="40" t="s">
        <v>1057</v>
      </c>
      <c r="AA977" s="23" t="str">
        <v>https://wa.me/6283185169816</v>
      </c>
      <c r="AB977" s="28" t="s">
        <v>5772</v>
      </c>
      <c r="AC977" s="28"/>
      <c r="AD977" s="28" t="s">
        <v>690</v>
      </c>
      <c r="AE977" s="28"/>
      <c r="AF977" s="29">
        <v>45920</v>
      </c>
      <c r="AG977" s="29"/>
    </row>
    <row r="978" spans="1:33" ht="15.75" customHeight="1">
      <c r="A978" s="32" t="s">
        <v>196</v>
      </c>
      <c r="B978" s="33">
        <v>996</v>
      </c>
      <c r="C978" s="34" t="s">
        <v>5773</v>
      </c>
      <c r="D978" s="35">
        <v>45916.70324638889</v>
      </c>
      <c r="E978" s="43">
        <v>45916</v>
      </c>
      <c r="F978" s="32" t="s">
        <v>5774</v>
      </c>
      <c r="G978" s="32" t="s">
        <v>5775</v>
      </c>
      <c r="H978" s="32" t="s">
        <v>4044</v>
      </c>
      <c r="I978" s="36" t="s">
        <v>5776</v>
      </c>
      <c r="J978" s="52"/>
      <c r="K978" s="32" t="s">
        <v>4165</v>
      </c>
      <c r="L978" s="32" t="s">
        <v>4783</v>
      </c>
      <c r="M978" s="32" t="s">
        <v>92</v>
      </c>
      <c r="N978" s="33">
        <v>5</v>
      </c>
      <c r="O978" s="35"/>
      <c r="P978" s="35"/>
      <c r="Q978" s="37"/>
      <c r="R978" s="38"/>
      <c r="S978" s="33"/>
      <c r="T978" s="39">
        <v>197000</v>
      </c>
      <c r="U978" s="40" t="s">
        <v>1229</v>
      </c>
      <c r="V978" s="41"/>
      <c r="W978" s="42" t="str">
        <f ca="1">IFERROR(__xludf.DUMMYFUNCTION("""COMPUTED_VALUE"""),"batako ilham")</f>
        <v>batako ilham</v>
      </c>
      <c r="X978" s="42" t="str">
        <f ca="1"/>
        <v>ON-batako ilham-00011900+5-6281256662335</v>
      </c>
      <c r="Y978" s="40" t="s">
        <v>293</v>
      </c>
      <c r="Z978" s="40" t="s">
        <v>1057</v>
      </c>
      <c r="AA978" s="23" t="str">
        <v>https://wa.me/6281256662335</v>
      </c>
      <c r="AB978" s="28" t="s">
        <v>5777</v>
      </c>
      <c r="AC978" s="28"/>
      <c r="AD978" s="28" t="s">
        <v>690</v>
      </c>
      <c r="AE978" s="28"/>
      <c r="AF978" s="29">
        <v>45919</v>
      </c>
      <c r="AG978" s="29"/>
    </row>
    <row r="979" spans="1:33" ht="15.75" customHeight="1">
      <c r="A979" s="32" t="s">
        <v>196</v>
      </c>
      <c r="B979" s="33">
        <v>997</v>
      </c>
      <c r="C979" s="34" t="s">
        <v>5778</v>
      </c>
      <c r="D979" s="35">
        <v>45916.703629421296</v>
      </c>
      <c r="E979" s="43">
        <v>45916</v>
      </c>
      <c r="F979" s="32" t="s">
        <v>2221</v>
      </c>
      <c r="G979" s="32" t="s">
        <v>5779</v>
      </c>
      <c r="H979" s="32" t="s">
        <v>5780</v>
      </c>
      <c r="I979" s="36" t="s">
        <v>5781</v>
      </c>
      <c r="J979" s="52"/>
      <c r="K979" s="32" t="s">
        <v>5782</v>
      </c>
      <c r="L979" s="32" t="s">
        <v>5783</v>
      </c>
      <c r="M979" s="32" t="s">
        <v>1534</v>
      </c>
      <c r="N979" s="33">
        <v>5</v>
      </c>
      <c r="O979" s="35"/>
      <c r="P979" s="35"/>
      <c r="Q979" s="37"/>
      <c r="R979" s="38"/>
      <c r="S979" s="33"/>
      <c r="T979" s="39">
        <v>197000</v>
      </c>
      <c r="U979" s="40" t="s">
        <v>1229</v>
      </c>
      <c r="V979" s="41"/>
      <c r="W979" s="42" t="str">
        <f ca="1">IFERROR(__xludf.DUMMYFUNCTION("""COMPUTED_VALUE"""),"rumah pijat")</f>
        <v>rumah pijat</v>
      </c>
      <c r="X979" s="42" t="str">
        <f ca="1"/>
        <v>ON-rumah pijat-00011900+5-6285233857272</v>
      </c>
      <c r="Y979" s="40" t="s">
        <v>62</v>
      </c>
      <c r="Z979" s="40" t="s">
        <v>639</v>
      </c>
      <c r="AA979" s="23" t="str">
        <v>https://wa.me/6285233857272</v>
      </c>
      <c r="AB979" s="28" t="s">
        <v>5784</v>
      </c>
      <c r="AC979" s="28"/>
      <c r="AD979" s="28" t="s">
        <v>690</v>
      </c>
      <c r="AE979" s="28"/>
      <c r="AF979" s="29">
        <v>45919</v>
      </c>
      <c r="AG979" s="29"/>
    </row>
    <row r="980" spans="1:33" ht="15.75" customHeight="1">
      <c r="A980" s="32" t="s">
        <v>52</v>
      </c>
      <c r="B980" s="33">
        <v>998</v>
      </c>
      <c r="C980" s="34" t="s">
        <v>5785</v>
      </c>
      <c r="D980" s="35">
        <v>45916.908682592592</v>
      </c>
      <c r="E980" s="43">
        <v>45916</v>
      </c>
      <c r="F980" s="32" t="s">
        <v>2834</v>
      </c>
      <c r="G980" s="32" t="s">
        <v>2835</v>
      </c>
      <c r="H980" s="32" t="s">
        <v>2836</v>
      </c>
      <c r="I980" s="36" t="s">
        <v>2837</v>
      </c>
      <c r="J980" s="52"/>
      <c r="K980" s="32" t="s">
        <v>1381</v>
      </c>
      <c r="L980" s="32" t="s">
        <v>85</v>
      </c>
      <c r="M980" s="32" t="s">
        <v>60</v>
      </c>
      <c r="N980" s="33">
        <v>5</v>
      </c>
      <c r="O980" s="35"/>
      <c r="P980" s="35"/>
      <c r="Q980" s="37"/>
      <c r="R980" s="38"/>
      <c r="S980" s="33"/>
      <c r="T980" s="39">
        <v>197000</v>
      </c>
      <c r="U980" s="40" t="s">
        <v>61</v>
      </c>
      <c r="V980" s="41"/>
      <c r="W980" s="42" t="str">
        <f ca="1">IFERROR(__xludf.DUMMYFUNCTION("""COMPUTED_VALUE"""),"Putra Djaya")</f>
        <v>Putra Djaya</v>
      </c>
      <c r="X980" s="42" t="str">
        <f ca="1"/>
        <v>ON-Putra Djaya-00011900+5-62895632627969</v>
      </c>
      <c r="Y980" s="40"/>
      <c r="Z980" s="40"/>
      <c r="AA980" s="23" t="str">
        <v>https://wa.me/62895632627969</v>
      </c>
      <c r="AB980" s="28"/>
      <c r="AC980" s="28"/>
      <c r="AD980" s="28"/>
      <c r="AE980" s="28"/>
      <c r="AF980" s="29"/>
      <c r="AG980" s="29"/>
    </row>
    <row r="981" spans="1:33" ht="15.75" customHeight="1">
      <c r="A981" s="32" t="s">
        <v>52</v>
      </c>
      <c r="B981" s="33">
        <v>999</v>
      </c>
      <c r="C981" s="34" t="s">
        <v>5786</v>
      </c>
      <c r="D981" s="35">
        <v>45916.910549918983</v>
      </c>
      <c r="E981" s="43">
        <v>45916</v>
      </c>
      <c r="F981" s="32" t="s">
        <v>54</v>
      </c>
      <c r="G981" s="32" t="s">
        <v>55</v>
      </c>
      <c r="H981" s="32" t="s">
        <v>56</v>
      </c>
      <c r="I981" s="36" t="s">
        <v>4326</v>
      </c>
      <c r="J981" s="52" t="s">
        <v>4327</v>
      </c>
      <c r="K981" s="32" t="s">
        <v>58</v>
      </c>
      <c r="L981" s="32" t="s">
        <v>59</v>
      </c>
      <c r="M981" s="32" t="s">
        <v>60</v>
      </c>
      <c r="N981" s="33">
        <v>10</v>
      </c>
      <c r="O981" s="35"/>
      <c r="P981" s="35"/>
      <c r="Q981" s="37"/>
      <c r="R981" s="38"/>
      <c r="S981" s="33"/>
      <c r="T981" s="39">
        <v>375000</v>
      </c>
      <c r="U981" s="40" t="s">
        <v>61</v>
      </c>
      <c r="V981" s="41"/>
      <c r="W981" s="42" t="str">
        <f ca="1">IFERROR(__xludf.DUMMYFUNCTION("""COMPUTED_VALUE"""),"Verrocosta")</f>
        <v>Verrocosta</v>
      </c>
      <c r="X981" s="42" t="str">
        <f ca="1"/>
        <v>ON-Verrocosta-00011900+10-62076472864</v>
      </c>
      <c r="Y981" s="40"/>
      <c r="Z981" s="40"/>
      <c r="AA981" s="23" t="str">
        <v>https://wa.me/62076472864</v>
      </c>
      <c r="AB981" s="28"/>
      <c r="AC981" s="28"/>
      <c r="AD981" s="28"/>
      <c r="AE981" s="28"/>
      <c r="AF981" s="29"/>
      <c r="AG981" s="29"/>
    </row>
    <row r="982" spans="1:33" ht="15.75" customHeight="1">
      <c r="A982" s="32" t="s">
        <v>52</v>
      </c>
      <c r="B982" s="33">
        <v>1000</v>
      </c>
      <c r="C982" s="34" t="s">
        <v>5787</v>
      </c>
      <c r="D982" s="35">
        <v>45916.91382725694</v>
      </c>
      <c r="E982" s="43">
        <v>45916</v>
      </c>
      <c r="F982" s="32" t="s">
        <v>4957</v>
      </c>
      <c r="G982" s="32" t="s">
        <v>4958</v>
      </c>
      <c r="H982" s="32" t="s">
        <v>2370</v>
      </c>
      <c r="I982" s="36" t="s">
        <v>4963</v>
      </c>
      <c r="J982" s="52"/>
      <c r="K982" s="32" t="s">
        <v>4960</v>
      </c>
      <c r="L982" s="32" t="s">
        <v>4961</v>
      </c>
      <c r="M982" s="32" t="s">
        <v>60</v>
      </c>
      <c r="N982" s="33">
        <v>5</v>
      </c>
      <c r="O982" s="35"/>
      <c r="P982" s="35"/>
      <c r="Q982" s="37"/>
      <c r="R982" s="38"/>
      <c r="S982" s="33"/>
      <c r="T982" s="39">
        <v>197000</v>
      </c>
      <c r="U982" s="40" t="s">
        <v>61</v>
      </c>
      <c r="V982" s="41"/>
      <c r="W982" s="42" t="str">
        <f ca="1">IFERROR(__xludf.DUMMYFUNCTION("""COMPUTED_VALUE"""),"Sehat Holistik")</f>
        <v>Sehat Holistik</v>
      </c>
      <c r="X982" s="42" t="str">
        <f ca="1"/>
        <v>ON-Sehat Holistik-00011900+5-6287888330007</v>
      </c>
      <c r="Y982" s="40"/>
      <c r="Z982" s="40"/>
      <c r="AA982" s="23" t="str">
        <v>https://wa.me/6287888330007</v>
      </c>
      <c r="AB982" s="28"/>
      <c r="AC982" s="28"/>
      <c r="AD982" s="28"/>
      <c r="AE982" s="28"/>
      <c r="AF982" s="29"/>
      <c r="AG982" s="29"/>
    </row>
    <row r="983" spans="1:33" ht="15.75" customHeight="1">
      <c r="A983" s="32" t="s">
        <v>52</v>
      </c>
      <c r="B983" s="33">
        <v>1001</v>
      </c>
      <c r="C983" s="34" t="s">
        <v>5788</v>
      </c>
      <c r="D983" s="35">
        <v>45916.916547569446</v>
      </c>
      <c r="E983" s="43">
        <v>45915</v>
      </c>
      <c r="F983" s="32" t="s">
        <v>1751</v>
      </c>
      <c r="G983" s="32" t="s">
        <v>1752</v>
      </c>
      <c r="H983" s="32" t="s">
        <v>1753</v>
      </c>
      <c r="I983" s="36" t="s">
        <v>1754</v>
      </c>
      <c r="J983" s="52"/>
      <c r="K983" s="32" t="s">
        <v>1755</v>
      </c>
      <c r="L983" s="32" t="s">
        <v>1542</v>
      </c>
      <c r="M983" s="32" t="s">
        <v>60</v>
      </c>
      <c r="N983" s="33">
        <v>5</v>
      </c>
      <c r="O983" s="35"/>
      <c r="P983" s="35"/>
      <c r="Q983" s="37"/>
      <c r="R983" s="38"/>
      <c r="S983" s="33"/>
      <c r="T983" s="39">
        <v>197000</v>
      </c>
      <c r="U983" s="40" t="s">
        <v>61</v>
      </c>
      <c r="V983" s="41"/>
      <c r="W983" s="42" t="str">
        <f ca="1">IFERROR(__xludf.DUMMYFUNCTION("""COMPUTED_VALUE"""),"Rumah Terapi")</f>
        <v>Rumah Terapi</v>
      </c>
      <c r="X983" s="42" t="str">
        <f ca="1"/>
        <v>ON-Rumah Terapi-00011900+5-6281779578317</v>
      </c>
      <c r="Y983" s="40"/>
      <c r="Z983" s="40"/>
      <c r="AA983" s="23" t="str">
        <v>https://wa.me/6281779578317</v>
      </c>
      <c r="AB983" s="28"/>
      <c r="AC983" s="28"/>
      <c r="AD983" s="28"/>
      <c r="AE983" s="28"/>
      <c r="AF983" s="29"/>
      <c r="AG983" s="29"/>
    </row>
    <row r="984" spans="1:33" ht="15.75" customHeight="1">
      <c r="A984" s="32" t="s">
        <v>196</v>
      </c>
      <c r="B984" s="33">
        <v>1002</v>
      </c>
      <c r="C984" s="34" t="s">
        <v>5789</v>
      </c>
      <c r="D984" s="35">
        <v>45916.918079525465</v>
      </c>
      <c r="E984" s="43">
        <v>45915</v>
      </c>
      <c r="F984" s="32" t="s">
        <v>1028</v>
      </c>
      <c r="G984" s="32" t="s">
        <v>5790</v>
      </c>
      <c r="H984" s="32" t="s">
        <v>5791</v>
      </c>
      <c r="I984" s="36" t="s">
        <v>5792</v>
      </c>
      <c r="J984" s="52"/>
      <c r="K984" s="32" t="s">
        <v>5793</v>
      </c>
      <c r="L984" s="32" t="s">
        <v>5794</v>
      </c>
      <c r="M984" s="32" t="s">
        <v>5492</v>
      </c>
      <c r="N984" s="33">
        <v>5</v>
      </c>
      <c r="O984" s="35"/>
      <c r="P984" s="35"/>
      <c r="Q984" s="37"/>
      <c r="R984" s="38"/>
      <c r="S984" s="33"/>
      <c r="T984" s="39">
        <v>197000</v>
      </c>
      <c r="U984" s="40" t="s">
        <v>61</v>
      </c>
      <c r="V984" s="41"/>
      <c r="W984" s="42" t="str">
        <f ca="1">IFERROR(__xludf.DUMMYFUNCTION("""COMPUTED_VALUE"""),"Java Bali")</f>
        <v>Java Bali</v>
      </c>
      <c r="X984" s="42" t="str">
        <f ca="1"/>
        <v>ON-Java Bali-00011900+5-6281318819599</v>
      </c>
      <c r="Y984" s="40" t="s">
        <v>62</v>
      </c>
      <c r="Z984" s="40" t="s">
        <v>1880</v>
      </c>
      <c r="AA984" s="23" t="str">
        <v>https://wa.me/6281318819599</v>
      </c>
      <c r="AB984" s="28" t="s">
        <v>5795</v>
      </c>
      <c r="AC984" s="28"/>
      <c r="AD984" s="28" t="s">
        <v>690</v>
      </c>
      <c r="AE984" s="28"/>
      <c r="AF984" s="29">
        <v>45918</v>
      </c>
      <c r="AG984" s="29"/>
    </row>
    <row r="985" spans="1:33" ht="15.75" customHeight="1">
      <c r="A985" s="32" t="s">
        <v>196</v>
      </c>
      <c r="B985" s="33">
        <v>1000</v>
      </c>
      <c r="C985" s="34" t="s">
        <v>5787</v>
      </c>
      <c r="D985" s="35">
        <v>45917.353394108795</v>
      </c>
      <c r="E985" s="43">
        <v>45917</v>
      </c>
      <c r="F985" s="32" t="s">
        <v>3052</v>
      </c>
      <c r="G985" s="32" t="s">
        <v>5796</v>
      </c>
      <c r="H985" s="32" t="s">
        <v>5797</v>
      </c>
      <c r="I985" s="36" t="s">
        <v>5798</v>
      </c>
      <c r="J985" s="52"/>
      <c r="K985" s="32" t="s">
        <v>570</v>
      </c>
      <c r="L985" s="32" t="s">
        <v>5799</v>
      </c>
      <c r="M985" s="32" t="s">
        <v>249</v>
      </c>
      <c r="N985" s="33">
        <v>5</v>
      </c>
      <c r="O985" s="35"/>
      <c r="P985" s="35"/>
      <c r="Q985" s="37"/>
      <c r="R985" s="38"/>
      <c r="S985" s="33"/>
      <c r="T985" s="39">
        <v>197000</v>
      </c>
      <c r="U985" s="40" t="s">
        <v>1774</v>
      </c>
      <c r="V985" s="41"/>
      <c r="W985" s="42" t="str">
        <f ca="1">IFERROR(__xludf.DUMMYFUNCTION("""COMPUTED_VALUE"""),"Garasi Kontraktor")</f>
        <v>Garasi Kontraktor</v>
      </c>
      <c r="X985" s="42" t="str">
        <f ca="1"/>
        <v>ON-Garasi Kontraktor-00011900+5-6285811687779</v>
      </c>
      <c r="Y985" s="40" t="s">
        <v>293</v>
      </c>
      <c r="Z985" s="40" t="s">
        <v>1057</v>
      </c>
      <c r="AA985" s="23" t="str">
        <v>https://wa.me/6285811687779</v>
      </c>
      <c r="AB985" s="28" t="s">
        <v>5800</v>
      </c>
      <c r="AC985" s="28"/>
      <c r="AD985" s="28" t="s">
        <v>690</v>
      </c>
      <c r="AE985" s="28"/>
      <c r="AF985" s="29">
        <v>45920</v>
      </c>
      <c r="AG985" s="29"/>
    </row>
    <row r="986" spans="1:33" ht="15.75" customHeight="1">
      <c r="A986" s="32" t="s">
        <v>196</v>
      </c>
      <c r="B986" s="33">
        <v>1001</v>
      </c>
      <c r="C986" s="34" t="s">
        <v>5788</v>
      </c>
      <c r="D986" s="35">
        <v>45917.355164212961</v>
      </c>
      <c r="E986" s="43">
        <v>45917</v>
      </c>
      <c r="F986" s="32" t="s">
        <v>5801</v>
      </c>
      <c r="G986" s="32" t="s">
        <v>5802</v>
      </c>
      <c r="H986" s="32" t="s">
        <v>2248</v>
      </c>
      <c r="I986" s="36" t="s">
        <v>5803</v>
      </c>
      <c r="J986" s="52"/>
      <c r="K986" s="32" t="s">
        <v>5804</v>
      </c>
      <c r="L986" s="32" t="s">
        <v>2133</v>
      </c>
      <c r="M986" s="32" t="s">
        <v>60</v>
      </c>
      <c r="N986" s="33">
        <v>14</v>
      </c>
      <c r="O986" s="35"/>
      <c r="P986" s="35"/>
      <c r="Q986" s="37"/>
      <c r="R986" s="38"/>
      <c r="S986" s="33"/>
      <c r="T986" s="39">
        <v>550000</v>
      </c>
      <c r="U986" s="40" t="s">
        <v>61</v>
      </c>
      <c r="V986" s="41"/>
      <c r="W986" s="42" t="str">
        <f ca="1">IFERROR(__xludf.DUMMYFUNCTION("""COMPUTED_VALUE"""),"MTRIP")</f>
        <v>MTRIP</v>
      </c>
      <c r="X986" s="42" t="str">
        <f ca="1"/>
        <v>ON-MTRIP-00011900+14-6281220005953</v>
      </c>
      <c r="Y986" s="40" t="s">
        <v>62</v>
      </c>
      <c r="Z986" s="40" t="s">
        <v>1880</v>
      </c>
      <c r="AA986" s="23" t="str">
        <v>https://wa.me/6281220005953</v>
      </c>
      <c r="AB986" s="28" t="s">
        <v>5805</v>
      </c>
      <c r="AC986" s="28"/>
      <c r="AD986" s="28" t="s">
        <v>690</v>
      </c>
      <c r="AE986" s="28"/>
      <c r="AF986" s="29">
        <v>45919</v>
      </c>
      <c r="AG986" s="29"/>
    </row>
    <row r="987" spans="1:33" ht="15.75" customHeight="1">
      <c r="A987" s="32" t="s">
        <v>196</v>
      </c>
      <c r="B987" s="33">
        <v>1002</v>
      </c>
      <c r="C987" s="34" t="s">
        <v>5789</v>
      </c>
      <c r="D987" s="35">
        <v>45917.368703182874</v>
      </c>
      <c r="E987" s="43">
        <v>45917</v>
      </c>
      <c r="F987" s="32" t="s">
        <v>5806</v>
      </c>
      <c r="G987" s="32" t="s">
        <v>5807</v>
      </c>
      <c r="H987" s="32" t="s">
        <v>5808</v>
      </c>
      <c r="I987" s="36" t="s">
        <v>5809</v>
      </c>
      <c r="J987" s="52"/>
      <c r="K987" s="32" t="s">
        <v>5810</v>
      </c>
      <c r="L987" s="32" t="s">
        <v>5811</v>
      </c>
      <c r="M987" s="32" t="s">
        <v>92</v>
      </c>
      <c r="N987" s="33">
        <v>7</v>
      </c>
      <c r="O987" s="35"/>
      <c r="P987" s="35"/>
      <c r="Q987" s="37"/>
      <c r="R987" s="38"/>
      <c r="S987" s="33"/>
      <c r="T987" s="39">
        <v>297000</v>
      </c>
      <c r="U987" s="40" t="s">
        <v>1229</v>
      </c>
      <c r="V987" s="41"/>
      <c r="W987" s="42" t="str">
        <f ca="1">IFERROR(__xludf.DUMMYFUNCTION("""COMPUTED_VALUE"""),"bengkel las")</f>
        <v>bengkel las</v>
      </c>
      <c r="X987" s="42" t="str">
        <f ca="1"/>
        <v>ON-bengkel las-00011900+7-6282193198971</v>
      </c>
      <c r="Y987" s="40" t="s">
        <v>293</v>
      </c>
      <c r="Z987" s="40" t="s">
        <v>1057</v>
      </c>
      <c r="AA987" s="23" t="str">
        <v>https://wa.me/6282193198971</v>
      </c>
      <c r="AB987" s="28" t="s">
        <v>5812</v>
      </c>
      <c r="AC987" s="28"/>
      <c r="AD987" s="28" t="s">
        <v>690</v>
      </c>
      <c r="AE987" s="28"/>
      <c r="AF987" s="29">
        <v>45920</v>
      </c>
      <c r="AG987" s="29"/>
    </row>
    <row r="988" spans="1:33" ht="15.75" customHeight="1">
      <c r="A988" s="32" t="s">
        <v>196</v>
      </c>
      <c r="B988" s="33">
        <v>1003</v>
      </c>
      <c r="C988" s="34" t="s">
        <v>5813</v>
      </c>
      <c r="D988" s="35">
        <v>45917.384653032408</v>
      </c>
      <c r="E988" s="43">
        <v>45917</v>
      </c>
      <c r="F988" s="32" t="s">
        <v>5814</v>
      </c>
      <c r="G988" s="32" t="s">
        <v>5815</v>
      </c>
      <c r="H988" s="32" t="s">
        <v>5816</v>
      </c>
      <c r="I988" s="36" t="s">
        <v>5817</v>
      </c>
      <c r="J988" s="52" t="s">
        <v>5818</v>
      </c>
      <c r="K988" s="32" t="s">
        <v>5819</v>
      </c>
      <c r="L988" s="32" t="s">
        <v>5820</v>
      </c>
      <c r="M988" s="32" t="s">
        <v>285</v>
      </c>
      <c r="N988" s="33">
        <v>5</v>
      </c>
      <c r="O988" s="35"/>
      <c r="P988" s="35"/>
      <c r="Q988" s="37"/>
      <c r="R988" s="38"/>
      <c r="S988" s="33"/>
      <c r="T988" s="39">
        <v>197000</v>
      </c>
      <c r="U988" s="40" t="s">
        <v>1229</v>
      </c>
      <c r="V988" s="41"/>
      <c r="W988" s="42" t="str">
        <f ca="1">IFERROR(__xludf.DUMMYFUNCTION("""COMPUTED_VALUE"""),"Interior home")</f>
        <v>Interior home</v>
      </c>
      <c r="X988" s="42" t="str">
        <f ca="1"/>
        <v>ON-Interior home-00011900+5-6285848731489</v>
      </c>
      <c r="Y988" s="40" t="s">
        <v>293</v>
      </c>
      <c r="Z988" s="40" t="s">
        <v>1057</v>
      </c>
      <c r="AA988" s="23" t="str">
        <v>https://wa.me/6285848731489</v>
      </c>
      <c r="AB988" s="28" t="s">
        <v>5821</v>
      </c>
      <c r="AC988" s="28"/>
      <c r="AD988" s="28" t="s">
        <v>690</v>
      </c>
      <c r="AE988" s="28"/>
      <c r="AF988" s="29">
        <v>45920</v>
      </c>
      <c r="AG988" s="29"/>
    </row>
    <row r="989" spans="1:33" ht="15.75" customHeight="1">
      <c r="A989" s="32" t="s">
        <v>196</v>
      </c>
      <c r="B989" s="33">
        <v>1005</v>
      </c>
      <c r="C989" s="34" t="s">
        <v>5822</v>
      </c>
      <c r="D989" s="35">
        <v>45917.441161967596</v>
      </c>
      <c r="E989" s="43">
        <v>45917</v>
      </c>
      <c r="F989" s="32" t="s">
        <v>5823</v>
      </c>
      <c r="G989" s="32" t="s">
        <v>5824</v>
      </c>
      <c r="H989" s="32" t="s">
        <v>5825</v>
      </c>
      <c r="I989" s="36" t="s">
        <v>5826</v>
      </c>
      <c r="J989" s="52"/>
      <c r="K989" s="32" t="s">
        <v>4076</v>
      </c>
      <c r="L989" s="32" t="s">
        <v>726</v>
      </c>
      <c r="M989" s="32" t="s">
        <v>726</v>
      </c>
      <c r="N989" s="33">
        <v>5</v>
      </c>
      <c r="O989" s="35"/>
      <c r="P989" s="35"/>
      <c r="Q989" s="37"/>
      <c r="R989" s="38"/>
      <c r="S989" s="33"/>
      <c r="T989" s="39">
        <v>197000</v>
      </c>
      <c r="U989" s="40" t="s">
        <v>1774</v>
      </c>
      <c r="V989" s="41"/>
      <c r="W989" s="42" t="str">
        <f ca="1">IFERROR(__xludf.DUMMYFUNCTION("""COMPUTED_VALUE"""),"CV Muda")</f>
        <v>CV Muda</v>
      </c>
      <c r="X989" s="42" t="str">
        <f ca="1"/>
        <v>ON-CV Muda-00011900+5-6282190655084</v>
      </c>
      <c r="Y989" s="40" t="s">
        <v>293</v>
      </c>
      <c r="Z989" s="40" t="s">
        <v>1057</v>
      </c>
      <c r="AA989" s="23" t="str">
        <v>https://wa.me/6282190655084</v>
      </c>
      <c r="AB989" s="28" t="s">
        <v>5827</v>
      </c>
      <c r="AC989" s="28"/>
      <c r="AD989" s="28" t="s">
        <v>690</v>
      </c>
      <c r="AE989" s="28"/>
      <c r="AF989" s="29">
        <v>45920</v>
      </c>
      <c r="AG989" s="29"/>
    </row>
    <row r="990" spans="1:33" ht="15.75" customHeight="1">
      <c r="A990" s="32" t="s">
        <v>196</v>
      </c>
      <c r="B990" s="33">
        <v>1006</v>
      </c>
      <c r="C990" s="34" t="s">
        <v>5828</v>
      </c>
      <c r="D990" s="35">
        <v>45917.495725787041</v>
      </c>
      <c r="E990" s="43">
        <v>45917</v>
      </c>
      <c r="F990" s="32" t="s">
        <v>5829</v>
      </c>
      <c r="G990" s="32" t="s">
        <v>5830</v>
      </c>
      <c r="H990" s="32" t="s">
        <v>595</v>
      </c>
      <c r="I990" s="36" t="s">
        <v>5831</v>
      </c>
      <c r="J990" s="52"/>
      <c r="K990" s="32" t="s">
        <v>5832</v>
      </c>
      <c r="L990" s="32" t="s">
        <v>5833</v>
      </c>
      <c r="M990" s="32" t="s">
        <v>711</v>
      </c>
      <c r="N990" s="33">
        <v>10</v>
      </c>
      <c r="O990" s="35"/>
      <c r="P990" s="35"/>
      <c r="Q990" s="37"/>
      <c r="R990" s="38"/>
      <c r="S990" s="33"/>
      <c r="T990" s="39">
        <v>375000</v>
      </c>
      <c r="U990" s="40" t="s">
        <v>1229</v>
      </c>
      <c r="V990" s="41"/>
      <c r="W990" s="42" t="str">
        <f ca="1">IFERROR(__xludf.DUMMYFUNCTION("""COMPUTED_VALUE"""),"Hakasia project")</f>
        <v>Hakasia project</v>
      </c>
      <c r="X990" s="42" t="str">
        <f ca="1"/>
        <v>ON-Hakasia project-00011900+10-6282142466407</v>
      </c>
      <c r="Y990" s="40" t="s">
        <v>293</v>
      </c>
      <c r="Z990" s="40" t="s">
        <v>1057</v>
      </c>
      <c r="AA990" s="23" t="str">
        <v>https://wa.me/6282142466407</v>
      </c>
      <c r="AB990" s="28" t="s">
        <v>5834</v>
      </c>
      <c r="AC990" s="28"/>
      <c r="AD990" s="28" t="s">
        <v>690</v>
      </c>
      <c r="AE990" s="28"/>
      <c r="AF990" s="29">
        <v>45920</v>
      </c>
      <c r="AG990" s="29"/>
    </row>
    <row r="991" spans="1:33" ht="15.75" customHeight="1">
      <c r="A991" s="32" t="s">
        <v>52</v>
      </c>
      <c r="B991" s="33">
        <v>1007</v>
      </c>
      <c r="C991" s="34" t="s">
        <v>5835</v>
      </c>
      <c r="D991" s="35">
        <v>45917.523538194444</v>
      </c>
      <c r="E991" s="43">
        <v>45917</v>
      </c>
      <c r="F991" s="32" t="s">
        <v>4937</v>
      </c>
      <c r="G991" s="32" t="s">
        <v>4938</v>
      </c>
      <c r="H991" s="32" t="s">
        <v>74</v>
      </c>
      <c r="I991" s="36" t="s">
        <v>4939</v>
      </c>
      <c r="J991" s="52"/>
      <c r="K991" s="32" t="s">
        <v>4940</v>
      </c>
      <c r="L991" s="32" t="s">
        <v>59</v>
      </c>
      <c r="M991" s="32" t="s">
        <v>60</v>
      </c>
      <c r="N991" s="33">
        <v>5</v>
      </c>
      <c r="O991" s="35"/>
      <c r="P991" s="35"/>
      <c r="Q991" s="37"/>
      <c r="R991" s="38"/>
      <c r="S991" s="33"/>
      <c r="T991" s="39">
        <v>197000</v>
      </c>
      <c r="U991" s="40" t="s">
        <v>61</v>
      </c>
      <c r="V991" s="41"/>
      <c r="W991" s="42" t="str">
        <f ca="1">IFERROR(__xludf.DUMMYFUNCTION("""COMPUTED_VALUE"""),"Lucas Salon")</f>
        <v>Lucas Salon</v>
      </c>
      <c r="X991" s="42" t="str">
        <f ca="1"/>
        <v>ON-Lucas Salon-00011900+5-6287835601400</v>
      </c>
      <c r="Y991" s="40"/>
      <c r="Z991" s="40"/>
      <c r="AA991" s="23" t="str">
        <v>https://wa.me/6287835601400</v>
      </c>
      <c r="AB991" s="28"/>
      <c r="AC991" s="28"/>
      <c r="AD991" s="28"/>
      <c r="AE991" s="28"/>
      <c r="AF991" s="29"/>
      <c r="AG991" s="29"/>
    </row>
    <row r="992" spans="1:33" ht="15.75" customHeight="1">
      <c r="A992" s="32" t="s">
        <v>196</v>
      </c>
      <c r="B992" s="33">
        <v>1008</v>
      </c>
      <c r="C992" s="34" t="s">
        <v>5836</v>
      </c>
      <c r="D992" s="35">
        <v>45917.524684710646</v>
      </c>
      <c r="E992" s="43">
        <v>45917</v>
      </c>
      <c r="F992" s="32" t="s">
        <v>5837</v>
      </c>
      <c r="G992" s="32" t="s">
        <v>5838</v>
      </c>
      <c r="H992" s="32" t="s">
        <v>5839</v>
      </c>
      <c r="I992" s="36" t="s">
        <v>5840</v>
      </c>
      <c r="J992" s="52" t="s">
        <v>5841</v>
      </c>
      <c r="K992" s="32" t="s">
        <v>5842</v>
      </c>
      <c r="L992" s="32" t="s">
        <v>1628</v>
      </c>
      <c r="M992" s="32" t="s">
        <v>382</v>
      </c>
      <c r="N992" s="33">
        <v>10</v>
      </c>
      <c r="O992" s="35"/>
      <c r="P992" s="35"/>
      <c r="Q992" s="37"/>
      <c r="R992" s="38"/>
      <c r="S992" s="33"/>
      <c r="T992" s="39">
        <v>375000</v>
      </c>
      <c r="U992" s="40" t="s">
        <v>115</v>
      </c>
      <c r="V992" s="41"/>
      <c r="W992" s="42" t="str">
        <f ca="1">IFERROR(__xludf.DUMMYFUNCTION("""COMPUTED_VALUE"""),"home interior")</f>
        <v>home interior</v>
      </c>
      <c r="X992" s="42" t="str">
        <f ca="1"/>
        <v>ON-home interior-00011900+10-6281244854040</v>
      </c>
      <c r="Y992" s="40" t="s">
        <v>293</v>
      </c>
      <c r="Z992" s="40" t="s">
        <v>1057</v>
      </c>
      <c r="AA992" s="23" t="str">
        <v>https://wa.me/6281244854040</v>
      </c>
      <c r="AB992" s="28" t="s">
        <v>5843</v>
      </c>
      <c r="AC992" s="28"/>
      <c r="AD992" s="28" t="s">
        <v>690</v>
      </c>
      <c r="AE992" s="28"/>
      <c r="AF992" s="29">
        <v>45920</v>
      </c>
      <c r="AG992" s="29"/>
    </row>
    <row r="993" spans="1:33" ht="15.75" customHeight="1">
      <c r="A993" s="32" t="s">
        <v>196</v>
      </c>
      <c r="B993" s="33">
        <v>1009</v>
      </c>
      <c r="C993" s="34" t="s">
        <v>5844</v>
      </c>
      <c r="D993" s="35">
        <v>46049</v>
      </c>
      <c r="E993" s="43">
        <v>45917</v>
      </c>
      <c r="F993" s="32" t="s">
        <v>5845</v>
      </c>
      <c r="G993" s="32" t="s">
        <v>5846</v>
      </c>
      <c r="H993" s="32" t="s">
        <v>4199</v>
      </c>
      <c r="I993" s="36" t="s">
        <v>5847</v>
      </c>
      <c r="J993" s="52"/>
      <c r="K993" s="32" t="s">
        <v>1781</v>
      </c>
      <c r="L993" s="32" t="s">
        <v>4018</v>
      </c>
      <c r="M993" s="32" t="s">
        <v>1926</v>
      </c>
      <c r="N993" s="33">
        <v>5</v>
      </c>
      <c r="O993" s="35"/>
      <c r="P993" s="35"/>
      <c r="Q993" s="37"/>
      <c r="R993" s="38">
        <v>-1003470351325</v>
      </c>
      <c r="S993" s="33"/>
      <c r="T993" s="39">
        <v>197000</v>
      </c>
      <c r="U993" s="40" t="s">
        <v>1229</v>
      </c>
      <c r="V993" s="47">
        <v>46049.323396145832</v>
      </c>
      <c r="W993" s="42" t="str">
        <f ca="1">IFERROR(__xludf.DUMMYFUNCTION("""COMPUTED_VALUE"""),"Hariteknik arthabadi")</f>
        <v>Hariteknik arthabadi</v>
      </c>
      <c r="X993" s="42" t="str">
        <f ca="1"/>
        <v>ON-Hariteknik arthabadi-27012026+5-6287823423000</v>
      </c>
      <c r="Y993" s="40" t="s">
        <v>293</v>
      </c>
      <c r="Z993" s="40" t="s">
        <v>1057</v>
      </c>
      <c r="AA993" s="23" t="str">
        <v>https://wa.me/6287823423000</v>
      </c>
      <c r="AB993" s="28" t="s">
        <v>5848</v>
      </c>
      <c r="AC993" s="28"/>
      <c r="AD993" s="28" t="s">
        <v>690</v>
      </c>
      <c r="AE993" s="28"/>
      <c r="AF993" s="29">
        <v>45920</v>
      </c>
      <c r="AG993" s="29"/>
    </row>
    <row r="994" spans="1:33" ht="15.75" customHeight="1">
      <c r="A994" s="32" t="s">
        <v>196</v>
      </c>
      <c r="B994" s="33">
        <v>1010</v>
      </c>
      <c r="C994" s="34" t="s">
        <v>5849</v>
      </c>
      <c r="D994" s="35">
        <v>45917.783342326387</v>
      </c>
      <c r="E994" s="43">
        <v>45917</v>
      </c>
      <c r="F994" s="32" t="s">
        <v>4937</v>
      </c>
      <c r="G994" s="32" t="s">
        <v>5850</v>
      </c>
      <c r="H994" s="32" t="s">
        <v>5851</v>
      </c>
      <c r="I994" s="36" t="s">
        <v>4939</v>
      </c>
      <c r="J994" s="52"/>
      <c r="K994" s="32" t="s">
        <v>5852</v>
      </c>
      <c r="L994" s="32" t="s">
        <v>490</v>
      </c>
      <c r="M994" s="32" t="s">
        <v>60</v>
      </c>
      <c r="N994" s="33">
        <v>5</v>
      </c>
      <c r="O994" s="35"/>
      <c r="P994" s="35"/>
      <c r="Q994" s="37"/>
      <c r="R994" s="38"/>
      <c r="S994" s="33"/>
      <c r="T994" s="39">
        <v>197000</v>
      </c>
      <c r="U994" s="40" t="s">
        <v>61</v>
      </c>
      <c r="V994" s="41"/>
      <c r="W994" s="42" t="str">
        <f ca="1">IFERROR(__xludf.DUMMYFUNCTION("""COMPUTED_VALUE"""),"Apartemen Student")</f>
        <v>Apartemen Student</v>
      </c>
      <c r="X994" s="42" t="str">
        <f ca="1"/>
        <v>ON-Apartemen Student-00011900+5-6287835601400</v>
      </c>
      <c r="Y994" s="40" t="s">
        <v>293</v>
      </c>
      <c r="Z994" s="40" t="s">
        <v>1057</v>
      </c>
      <c r="AA994" s="23" t="str">
        <v>https://wa.me/6287835601400</v>
      </c>
      <c r="AB994" s="28" t="s">
        <v>5853</v>
      </c>
      <c r="AC994" s="28"/>
      <c r="AD994" s="28" t="s">
        <v>690</v>
      </c>
      <c r="AE994" s="28"/>
      <c r="AF994" s="29">
        <v>45921</v>
      </c>
      <c r="AG994" s="29"/>
    </row>
    <row r="995" spans="1:33" ht="15.75" customHeight="1">
      <c r="A995" s="32" t="s">
        <v>196</v>
      </c>
      <c r="B995" s="33">
        <v>1011</v>
      </c>
      <c r="C995" s="34" t="s">
        <v>5854</v>
      </c>
      <c r="D995" s="35">
        <v>45917.784526828706</v>
      </c>
      <c r="E995" s="43">
        <v>45917</v>
      </c>
      <c r="F995" s="32" t="s">
        <v>5855</v>
      </c>
      <c r="G995" s="32" t="s">
        <v>1018</v>
      </c>
      <c r="H995" s="32" t="s">
        <v>2090</v>
      </c>
      <c r="I995" s="36" t="s">
        <v>5856</v>
      </c>
      <c r="J995" s="52"/>
      <c r="K995" s="32" t="s">
        <v>5857</v>
      </c>
      <c r="L995" s="32" t="s">
        <v>768</v>
      </c>
      <c r="M995" s="32" t="s">
        <v>2032</v>
      </c>
      <c r="N995" s="33">
        <v>5</v>
      </c>
      <c r="O995" s="35"/>
      <c r="P995" s="35"/>
      <c r="Q995" s="37"/>
      <c r="R995" s="38"/>
      <c r="S995" s="33"/>
      <c r="T995" s="39">
        <v>197000</v>
      </c>
      <c r="U995" s="40" t="s">
        <v>61</v>
      </c>
      <c r="V995" s="41"/>
      <c r="W995" s="42" t="str">
        <f ca="1">IFERROR(__xludf.DUMMYFUNCTION("""COMPUTED_VALUE"""),"https")</f>
        <v>https</v>
      </c>
      <c r="X995" s="42" t="str">
        <f ca="1"/>
        <v>ON-https-00011900+5-6285788482665</v>
      </c>
      <c r="Y995" s="40" t="s">
        <v>62</v>
      </c>
      <c r="Z995" s="40" t="s">
        <v>1880</v>
      </c>
      <c r="AA995" s="23" t="str">
        <v>https://wa.me/6285788482665</v>
      </c>
      <c r="AB995" s="28" t="s">
        <v>5858</v>
      </c>
      <c r="AC995" s="28"/>
      <c r="AD995" s="28" t="s">
        <v>690</v>
      </c>
      <c r="AE995" s="28"/>
      <c r="AF995" s="29">
        <v>45930</v>
      </c>
      <c r="AG995" s="29"/>
    </row>
    <row r="996" spans="1:33" ht="15.75" customHeight="1">
      <c r="A996" s="32" t="s">
        <v>52</v>
      </c>
      <c r="B996" s="33">
        <v>1012</v>
      </c>
      <c r="C996" s="34" t="s">
        <v>5859</v>
      </c>
      <c r="D996" s="35">
        <v>45917.825170798613</v>
      </c>
      <c r="E996" s="43">
        <v>45917</v>
      </c>
      <c r="F996" s="32" t="s">
        <v>4907</v>
      </c>
      <c r="G996" s="32" t="s">
        <v>4908</v>
      </c>
      <c r="H996" s="32" t="s">
        <v>4909</v>
      </c>
      <c r="I996" s="36" t="s">
        <v>4910</v>
      </c>
      <c r="J996" s="52"/>
      <c r="K996" s="32" t="s">
        <v>4911</v>
      </c>
      <c r="L996" s="32" t="s">
        <v>3750</v>
      </c>
      <c r="M996" s="32" t="s">
        <v>249</v>
      </c>
      <c r="N996" s="33">
        <v>30</v>
      </c>
      <c r="O996" s="35"/>
      <c r="P996" s="35"/>
      <c r="Q996" s="37"/>
      <c r="R996" s="38"/>
      <c r="S996" s="33"/>
      <c r="T996" s="39">
        <v>900000</v>
      </c>
      <c r="U996" s="40" t="s">
        <v>1774</v>
      </c>
      <c r="V996" s="41"/>
      <c r="W996" s="42" t="str">
        <f ca="1">IFERROR(__xludf.DUMMYFUNCTION("""COMPUTED_VALUE"""),"Bintang Cahaya")</f>
        <v>Bintang Cahaya</v>
      </c>
      <c r="X996" s="42" t="str">
        <f ca="1"/>
        <v>ON-Bintang Cahaya-00011900+30-6287885910719</v>
      </c>
      <c r="Y996" s="40"/>
      <c r="Z996" s="40"/>
      <c r="AA996" s="23" t="str">
        <v>https://wa.me/6287885910719</v>
      </c>
      <c r="AB996" s="28"/>
      <c r="AC996" s="28"/>
      <c r="AD996" s="28"/>
      <c r="AE996" s="28"/>
      <c r="AF996" s="29"/>
      <c r="AG996" s="29"/>
    </row>
    <row r="997" spans="1:33" ht="15.75" customHeight="1">
      <c r="A997" s="32" t="s">
        <v>196</v>
      </c>
      <c r="B997" s="33">
        <v>1012</v>
      </c>
      <c r="C997" s="34" t="s">
        <v>5859</v>
      </c>
      <c r="D997" s="35">
        <v>45918.379037789353</v>
      </c>
      <c r="E997" s="43">
        <v>45917</v>
      </c>
      <c r="F997" s="32" t="s">
        <v>5860</v>
      </c>
      <c r="G997" s="32" t="s">
        <v>5861</v>
      </c>
      <c r="H997" s="32" t="s">
        <v>5862</v>
      </c>
      <c r="I997" s="36" t="s">
        <v>5863</v>
      </c>
      <c r="J997" s="52"/>
      <c r="K997" s="32" t="s">
        <v>5864</v>
      </c>
      <c r="L997" s="32" t="s">
        <v>539</v>
      </c>
      <c r="M997" s="32" t="s">
        <v>60</v>
      </c>
      <c r="N997" s="33">
        <v>5</v>
      </c>
      <c r="O997" s="35"/>
      <c r="P997" s="35"/>
      <c r="Q997" s="37"/>
      <c r="R997" s="38"/>
      <c r="S997" s="33"/>
      <c r="T997" s="39">
        <v>197000</v>
      </c>
      <c r="U997" s="40" t="s">
        <v>61</v>
      </c>
      <c r="V997" s="41"/>
      <c r="W997" s="42" t="str">
        <f ca="1">IFERROR(__xludf.DUMMYFUNCTION("""COMPUTED_VALUE"""),"Masilok Fishing")</f>
        <v>Masilok Fishing</v>
      </c>
      <c r="X997" s="42" t="str">
        <f ca="1"/>
        <v>ON-Masilok Fishing-00011900+5-6282311906512</v>
      </c>
      <c r="Y997" s="40" t="s">
        <v>62</v>
      </c>
      <c r="Z997" s="40" t="s">
        <v>1880</v>
      </c>
      <c r="AA997" s="23" t="str">
        <v>https://wa.me/6282311906512</v>
      </c>
      <c r="AB997" s="28" t="s">
        <v>5865</v>
      </c>
      <c r="AC997" s="28"/>
      <c r="AD997" s="28" t="s">
        <v>690</v>
      </c>
      <c r="AE997" s="28"/>
      <c r="AF997" s="29">
        <v>45920</v>
      </c>
      <c r="AG997" s="29"/>
    </row>
    <row r="998" spans="1:33" ht="15.75" customHeight="1">
      <c r="A998" s="32" t="s">
        <v>52</v>
      </c>
      <c r="B998" s="33">
        <v>1013</v>
      </c>
      <c r="C998" s="34" t="s">
        <v>5866</v>
      </c>
      <c r="D998" s="35">
        <v>45918.387003923606</v>
      </c>
      <c r="E998" s="43">
        <v>45917</v>
      </c>
      <c r="F998" s="32" t="s">
        <v>2200</v>
      </c>
      <c r="G998" s="32" t="s">
        <v>2202</v>
      </c>
      <c r="H998" s="32" t="s">
        <v>5320</v>
      </c>
      <c r="I998" s="36" t="s">
        <v>2203</v>
      </c>
      <c r="J998" s="52"/>
      <c r="K998" s="32" t="s">
        <v>5321</v>
      </c>
      <c r="L998" s="32" t="s">
        <v>5322</v>
      </c>
      <c r="M998" s="32" t="s">
        <v>1888</v>
      </c>
      <c r="N998" s="33">
        <v>10</v>
      </c>
      <c r="O998" s="35"/>
      <c r="P998" s="35"/>
      <c r="Q998" s="37"/>
      <c r="R998" s="38"/>
      <c r="S998" s="33"/>
      <c r="T998" s="39">
        <v>375000</v>
      </c>
      <c r="U998" s="40" t="s">
        <v>61</v>
      </c>
      <c r="V998" s="41"/>
      <c r="W998" s="42" t="str">
        <f ca="1">IFERROR(__xludf.DUMMYFUNCTION("""COMPUTED_VALUE"""),"Terapi Barqun")</f>
        <v>Terapi Barqun</v>
      </c>
      <c r="X998" s="42" t="str">
        <f ca="1"/>
        <v>ON-Terapi Barqun-00011900+10-62895374644456</v>
      </c>
      <c r="Y998" s="40"/>
      <c r="Z998" s="40"/>
      <c r="AA998" s="23" t="str">
        <v>https://wa.me/62895374644456</v>
      </c>
      <c r="AB998" s="28"/>
      <c r="AC998" s="28"/>
      <c r="AD998" s="28"/>
      <c r="AE998" s="28"/>
      <c r="AF998" s="29"/>
      <c r="AG998" s="29"/>
    </row>
    <row r="999" spans="1:33" ht="15.75" customHeight="1">
      <c r="A999" s="32" t="s">
        <v>196</v>
      </c>
      <c r="B999" s="33">
        <v>1014</v>
      </c>
      <c r="C999" s="34" t="s">
        <v>5867</v>
      </c>
      <c r="D999" s="35">
        <v>45918.477763807867</v>
      </c>
      <c r="E999" s="43">
        <v>45918</v>
      </c>
      <c r="F999" s="32" t="s">
        <v>5868</v>
      </c>
      <c r="G999" s="32" t="s">
        <v>5869</v>
      </c>
      <c r="H999" s="32" t="s">
        <v>5870</v>
      </c>
      <c r="I999" s="36" t="s">
        <v>2716</v>
      </c>
      <c r="J999" s="52" t="s">
        <v>5871</v>
      </c>
      <c r="K999" s="32" t="s">
        <v>5872</v>
      </c>
      <c r="L999" s="32" t="s">
        <v>4783</v>
      </c>
      <c r="M999" s="32" t="s">
        <v>249</v>
      </c>
      <c r="N999" s="33">
        <v>5</v>
      </c>
      <c r="O999" s="35"/>
      <c r="P999" s="35"/>
      <c r="Q999" s="37"/>
      <c r="R999" s="38"/>
      <c r="S999" s="33"/>
      <c r="T999" s="39">
        <v>197000</v>
      </c>
      <c r="U999" s="40" t="s">
        <v>1774</v>
      </c>
      <c r="V999" s="41"/>
      <c r="W999" s="42" t="str">
        <f ca="1">IFERROR(__xludf.DUMMYFUNCTION("""COMPUTED_VALUE"""),"Sejahtera Bangunan")</f>
        <v>Sejahtera Bangunan</v>
      </c>
      <c r="X999" s="42" t="str">
        <f ca="1"/>
        <v>ON-Sejahtera Bangunan-00011900+5-6285268858846</v>
      </c>
      <c r="Y999" s="40" t="s">
        <v>293</v>
      </c>
      <c r="Z999" s="40" t="s">
        <v>1057</v>
      </c>
      <c r="AA999" s="23" t="str">
        <v>https://wa.me/6285268858846</v>
      </c>
      <c r="AB999" s="28" t="s">
        <v>5873</v>
      </c>
      <c r="AC999" s="28"/>
      <c r="AD999" s="28" t="s">
        <v>690</v>
      </c>
      <c r="AE999" s="28"/>
      <c r="AF999" s="29">
        <v>45921</v>
      </c>
      <c r="AG999" s="29"/>
    </row>
    <row r="1000" spans="1:33" ht="15.75" customHeight="1">
      <c r="A1000" s="32" t="s">
        <v>196</v>
      </c>
      <c r="B1000" s="33">
        <v>1016</v>
      </c>
      <c r="C1000" s="34" t="s">
        <v>5874</v>
      </c>
      <c r="D1000" s="35">
        <v>45918.493795208335</v>
      </c>
      <c r="E1000" s="43">
        <v>45918</v>
      </c>
      <c r="F1000" s="32" t="s">
        <v>5875</v>
      </c>
      <c r="G1000" s="32" t="s">
        <v>5876</v>
      </c>
      <c r="H1000" s="32" t="s">
        <v>5877</v>
      </c>
      <c r="I1000" s="36" t="s">
        <v>5878</v>
      </c>
      <c r="J1000" s="52"/>
      <c r="K1000" s="32" t="s">
        <v>5879</v>
      </c>
      <c r="L1000" s="32" t="s">
        <v>3596</v>
      </c>
      <c r="M1000" s="32" t="s">
        <v>3788</v>
      </c>
      <c r="N1000" s="33">
        <v>5</v>
      </c>
      <c r="O1000" s="35"/>
      <c r="P1000" s="35"/>
      <c r="Q1000" s="37"/>
      <c r="R1000" s="38"/>
      <c r="S1000" s="33"/>
      <c r="T1000" s="39">
        <v>197000</v>
      </c>
      <c r="U1000" s="40" t="s">
        <v>1229</v>
      </c>
      <c r="V1000" s="41"/>
      <c r="W1000" s="42" t="str">
        <f ca="1">IFERROR(__xludf.DUMMYFUNCTION("""COMPUTED_VALUE"""),"Hadi bekam")</f>
        <v>Hadi bekam</v>
      </c>
      <c r="X1000" s="42" t="str">
        <f ca="1"/>
        <v>ON-Hadi bekam-00011900+5-62823332108583</v>
      </c>
      <c r="Y1000" s="40" t="s">
        <v>62</v>
      </c>
      <c r="Z1000" s="40" t="s">
        <v>639</v>
      </c>
      <c r="AA1000" s="23" t="str">
        <v>https://wa.me/62823332108583</v>
      </c>
      <c r="AB1000" s="28" t="s">
        <v>5880</v>
      </c>
      <c r="AC1000" s="28"/>
      <c r="AD1000" s="28" t="s">
        <v>690</v>
      </c>
      <c r="AE1000" s="28"/>
      <c r="AF1000" s="29">
        <v>45921</v>
      </c>
      <c r="AG1000" s="29"/>
    </row>
    <row r="1001" spans="1:33" ht="15.75" customHeight="1">
      <c r="A1001" s="32" t="s">
        <v>196</v>
      </c>
      <c r="B1001" s="33">
        <v>1017</v>
      </c>
      <c r="C1001" s="34" t="s">
        <v>5881</v>
      </c>
      <c r="D1001" s="35">
        <v>45918.512996909718</v>
      </c>
      <c r="E1001" s="43">
        <v>45918</v>
      </c>
      <c r="F1001" s="32" t="s">
        <v>5882</v>
      </c>
      <c r="G1001" s="32" t="s">
        <v>5883</v>
      </c>
      <c r="H1001" s="32" t="s">
        <v>5884</v>
      </c>
      <c r="I1001" s="36" t="s">
        <v>5885</v>
      </c>
      <c r="J1001" s="52" t="s">
        <v>5886</v>
      </c>
      <c r="K1001" s="32" t="s">
        <v>5887</v>
      </c>
      <c r="L1001" s="32" t="s">
        <v>3302</v>
      </c>
      <c r="M1001" s="32" t="s">
        <v>60</v>
      </c>
      <c r="N1001" s="33">
        <v>5</v>
      </c>
      <c r="O1001" s="35"/>
      <c r="P1001" s="35"/>
      <c r="Q1001" s="37"/>
      <c r="R1001" s="38"/>
      <c r="S1001" s="33"/>
      <c r="T1001" s="39">
        <v>197000</v>
      </c>
      <c r="U1001" s="40" t="s">
        <v>61</v>
      </c>
      <c r="V1001" s="41"/>
      <c r="W1001" s="42" t="str">
        <f ca="1">IFERROR(__xludf.DUMMYFUNCTION("""COMPUTED_VALUE"""),"PT NKS")</f>
        <v>PT NKS</v>
      </c>
      <c r="X1001" s="42" t="str">
        <f ca="1"/>
        <v>ON-PT NKS-00011900+5-6281802101982</v>
      </c>
      <c r="Y1001" s="40" t="s">
        <v>293</v>
      </c>
      <c r="Z1001" s="40" t="s">
        <v>1057</v>
      </c>
      <c r="AA1001" s="23" t="str">
        <v>https://wa.me/6281802101982</v>
      </c>
      <c r="AB1001" s="28" t="s">
        <v>5888</v>
      </c>
      <c r="AC1001" s="28"/>
      <c r="AD1001" s="28" t="s">
        <v>690</v>
      </c>
      <c r="AE1001" s="28"/>
      <c r="AF1001" s="29">
        <v>45921</v>
      </c>
      <c r="AG1001" s="29"/>
    </row>
    <row r="1002" spans="1:33" ht="15.75" customHeight="1">
      <c r="A1002" s="32" t="s">
        <v>196</v>
      </c>
      <c r="B1002" s="33">
        <v>1018</v>
      </c>
      <c r="C1002" s="34" t="s">
        <v>5889</v>
      </c>
      <c r="D1002" s="35">
        <v>45918.544217847222</v>
      </c>
      <c r="E1002" s="43">
        <v>45918</v>
      </c>
      <c r="F1002" s="32" t="s">
        <v>5890</v>
      </c>
      <c r="G1002" s="32" t="s">
        <v>5891</v>
      </c>
      <c r="H1002" s="32" t="s">
        <v>5892</v>
      </c>
      <c r="I1002" s="36" t="s">
        <v>5893</v>
      </c>
      <c r="J1002" s="52"/>
      <c r="K1002" s="32" t="s">
        <v>5894</v>
      </c>
      <c r="L1002" s="32" t="s">
        <v>4096</v>
      </c>
      <c r="M1002" s="32" t="s">
        <v>92</v>
      </c>
      <c r="N1002" s="33">
        <v>5</v>
      </c>
      <c r="O1002" s="35"/>
      <c r="P1002" s="35"/>
      <c r="Q1002" s="37"/>
      <c r="R1002" s="38"/>
      <c r="S1002" s="33"/>
      <c r="T1002" s="39">
        <v>197000</v>
      </c>
      <c r="U1002" s="40" t="s">
        <v>1229</v>
      </c>
      <c r="V1002" s="41"/>
      <c r="W1002" s="42" t="str">
        <f ca="1">IFERROR(__xludf.DUMMYFUNCTION("""COMPUTED_VALUE"""),"benofon dan")</f>
        <v>benofon dan</v>
      </c>
      <c r="X1002" s="42" t="str">
        <f ca="1"/>
        <v>ON-benofon dan-00011900+5-6282381329891</v>
      </c>
      <c r="Y1002" s="40" t="s">
        <v>293</v>
      </c>
      <c r="Z1002" s="40" t="s">
        <v>1057</v>
      </c>
      <c r="AA1002" s="23" t="str">
        <v>https://wa.me/6282381329891</v>
      </c>
      <c r="AB1002" s="28" t="s">
        <v>5895</v>
      </c>
      <c r="AC1002" s="28"/>
      <c r="AD1002" s="28" t="s">
        <v>690</v>
      </c>
      <c r="AE1002" s="28"/>
      <c r="AF1002" s="29">
        <v>45921</v>
      </c>
      <c r="AG1002" s="29"/>
    </row>
    <row r="1003" spans="1:33" ht="15.75" customHeight="1">
      <c r="A1003" s="32" t="s">
        <v>196</v>
      </c>
      <c r="B1003" s="33">
        <v>1019</v>
      </c>
      <c r="C1003" s="34" t="s">
        <v>5896</v>
      </c>
      <c r="D1003" s="35">
        <v>45918.565068217591</v>
      </c>
      <c r="E1003" s="43">
        <v>45916</v>
      </c>
      <c r="F1003" s="32" t="s">
        <v>5897</v>
      </c>
      <c r="G1003" s="32" t="s">
        <v>5898</v>
      </c>
      <c r="H1003" s="32" t="s">
        <v>879</v>
      </c>
      <c r="I1003" s="36" t="s">
        <v>5899</v>
      </c>
      <c r="J1003" s="52" t="s">
        <v>5900</v>
      </c>
      <c r="K1003" s="32" t="s">
        <v>5901</v>
      </c>
      <c r="L1003" s="32" t="s">
        <v>647</v>
      </c>
      <c r="M1003" s="32" t="s">
        <v>382</v>
      </c>
      <c r="N1003" s="33">
        <v>5</v>
      </c>
      <c r="O1003" s="35"/>
      <c r="P1003" s="35"/>
      <c r="Q1003" s="37"/>
      <c r="R1003" s="38"/>
      <c r="S1003" s="33"/>
      <c r="T1003" s="39">
        <v>197000</v>
      </c>
      <c r="U1003" s="40" t="s">
        <v>115</v>
      </c>
      <c r="V1003" s="41"/>
      <c r="W1003" s="42" t="str">
        <f ca="1">IFERROR(__xludf.DUMMYFUNCTION("""COMPUTED_VALUE"""),"Aulian furniture")</f>
        <v>Aulian furniture</v>
      </c>
      <c r="X1003" s="42" t="str">
        <f ca="1"/>
        <v>ON-Aulian furniture-00011900+5-6281311406604</v>
      </c>
      <c r="Y1003" s="40" t="s">
        <v>293</v>
      </c>
      <c r="Z1003" s="40" t="s">
        <v>1057</v>
      </c>
      <c r="AA1003" s="23" t="str">
        <v>https://wa.me/6281311406604</v>
      </c>
      <c r="AB1003" s="28" t="s">
        <v>5902</v>
      </c>
      <c r="AC1003" s="28"/>
      <c r="AD1003" s="28" t="s">
        <v>690</v>
      </c>
      <c r="AE1003" s="28"/>
      <c r="AF1003" s="29">
        <v>45919</v>
      </c>
      <c r="AG1003" s="29"/>
    </row>
    <row r="1004" spans="1:33" ht="15.75" customHeight="1">
      <c r="A1004" s="32" t="s">
        <v>196</v>
      </c>
      <c r="B1004" s="33">
        <v>1020</v>
      </c>
      <c r="C1004" s="34" t="s">
        <v>5903</v>
      </c>
      <c r="D1004" s="35">
        <v>45918.584604918986</v>
      </c>
      <c r="E1004" s="43">
        <v>45917</v>
      </c>
      <c r="F1004" s="32" t="s">
        <v>5904</v>
      </c>
      <c r="G1004" s="32" t="s">
        <v>5905</v>
      </c>
      <c r="H1004" s="32" t="s">
        <v>5906</v>
      </c>
      <c r="I1004" s="36" t="s">
        <v>1062</v>
      </c>
      <c r="J1004" s="52"/>
      <c r="K1004" s="32" t="s">
        <v>1373</v>
      </c>
      <c r="L1004" s="32" t="s">
        <v>5907</v>
      </c>
      <c r="M1004" s="32" t="s">
        <v>382</v>
      </c>
      <c r="N1004" s="33">
        <v>10</v>
      </c>
      <c r="O1004" s="35"/>
      <c r="P1004" s="35"/>
      <c r="Q1004" s="37"/>
      <c r="R1004" s="38"/>
      <c r="S1004" s="33"/>
      <c r="T1004" s="39">
        <v>375000</v>
      </c>
      <c r="U1004" s="40" t="s">
        <v>115</v>
      </c>
      <c r="V1004" s="41"/>
      <c r="W1004" s="42" t="str">
        <f ca="1">IFERROR(__xludf.DUMMYFUNCTION("""COMPUTED_VALUE"""),"JURAGAN RUMAH")</f>
        <v>JURAGAN RUMAH</v>
      </c>
      <c r="X1004" s="42" t="str">
        <f ca="1"/>
        <v>ON-JURAGAN RUMAH-00011900+10-6282399721881</v>
      </c>
      <c r="Y1004" s="40" t="s">
        <v>293</v>
      </c>
      <c r="Z1004" s="40" t="s">
        <v>1057</v>
      </c>
      <c r="AA1004" s="23" t="str">
        <v>https://wa.me/6282399721881</v>
      </c>
      <c r="AB1004" s="28" t="s">
        <v>5908</v>
      </c>
      <c r="AC1004" s="28"/>
      <c r="AD1004" s="28" t="s">
        <v>690</v>
      </c>
      <c r="AE1004" s="28"/>
      <c r="AF1004" s="29">
        <v>45921</v>
      </c>
      <c r="AG1004" s="29"/>
    </row>
    <row r="1005" spans="1:33" ht="15.75" customHeight="1">
      <c r="A1005" s="32" t="s">
        <v>196</v>
      </c>
      <c r="B1005" s="33">
        <v>1021</v>
      </c>
      <c r="C1005" s="34" t="s">
        <v>5909</v>
      </c>
      <c r="D1005" s="35">
        <v>45919.248884293978</v>
      </c>
      <c r="E1005" s="43">
        <v>45911</v>
      </c>
      <c r="F1005" s="32" t="s">
        <v>5572</v>
      </c>
      <c r="G1005" s="32" t="s">
        <v>5910</v>
      </c>
      <c r="H1005" s="32" t="s">
        <v>3719</v>
      </c>
      <c r="I1005" s="36" t="s">
        <v>5911</v>
      </c>
      <c r="J1005" s="52"/>
      <c r="K1005" s="32" t="s">
        <v>5575</v>
      </c>
      <c r="L1005" s="32" t="s">
        <v>2133</v>
      </c>
      <c r="M1005" s="32" t="s">
        <v>60</v>
      </c>
      <c r="N1005" s="33">
        <v>7</v>
      </c>
      <c r="O1005" s="35"/>
      <c r="P1005" s="35"/>
      <c r="Q1005" s="37"/>
      <c r="R1005" s="38"/>
      <c r="S1005" s="33"/>
      <c r="T1005" s="39">
        <v>297000</v>
      </c>
      <c r="U1005" s="40" t="s">
        <v>61</v>
      </c>
      <c r="V1005" s="41"/>
      <c r="W1005" s="42" t="str">
        <f ca="1">IFERROR(__xludf.DUMMYFUNCTION("""COMPUTED_VALUE"""),"Grand House")</f>
        <v>Grand House</v>
      </c>
      <c r="X1005" s="42" t="str">
        <f ca="1"/>
        <v>ON-Grand House-00011900+7-6281170038881</v>
      </c>
      <c r="Y1005" s="40" t="s">
        <v>293</v>
      </c>
      <c r="Z1005" s="40" t="s">
        <v>1057</v>
      </c>
      <c r="AA1005" s="23" t="str">
        <v>https://wa.me/6281170038881</v>
      </c>
      <c r="AB1005" s="28" t="s">
        <v>5912</v>
      </c>
      <c r="AC1005" s="28"/>
      <c r="AD1005" s="28" t="s">
        <v>690</v>
      </c>
      <c r="AE1005" s="28"/>
      <c r="AF1005" s="29">
        <v>45921</v>
      </c>
      <c r="AG1005" s="29"/>
    </row>
    <row r="1006" spans="1:33" ht="15.75" customHeight="1">
      <c r="A1006" s="32" t="s">
        <v>196</v>
      </c>
      <c r="B1006" s="33">
        <v>1021</v>
      </c>
      <c r="C1006" s="34" t="s">
        <v>5909</v>
      </c>
      <c r="D1006" s="35">
        <v>45919.310803252316</v>
      </c>
      <c r="E1006" s="43">
        <v>45918</v>
      </c>
      <c r="F1006" s="32" t="s">
        <v>5913</v>
      </c>
      <c r="G1006" s="32" t="s">
        <v>5914</v>
      </c>
      <c r="H1006" s="32" t="s">
        <v>1030</v>
      </c>
      <c r="I1006" s="36" t="s">
        <v>5915</v>
      </c>
      <c r="J1006" s="52"/>
      <c r="K1006" s="32" t="s">
        <v>5916</v>
      </c>
      <c r="L1006" s="32" t="s">
        <v>92</v>
      </c>
      <c r="M1006" s="32" t="s">
        <v>60</v>
      </c>
      <c r="N1006" s="33">
        <v>5</v>
      </c>
      <c r="O1006" s="35"/>
      <c r="P1006" s="35"/>
      <c r="Q1006" s="37"/>
      <c r="R1006" s="38"/>
      <c r="S1006" s="33"/>
      <c r="T1006" s="39">
        <v>197000</v>
      </c>
      <c r="U1006" s="40" t="s">
        <v>61</v>
      </c>
      <c r="V1006" s="41"/>
      <c r="W1006" s="42" t="str">
        <f ca="1">IFERROR(__xludf.DUMMYFUNCTION("""COMPUTED_VALUE"""),"Terapi Toel")</f>
        <v>Terapi Toel</v>
      </c>
      <c r="X1006" s="42" t="str">
        <f ca="1"/>
        <v>ON-Terapi Toel-00011900+5-62881022322099</v>
      </c>
      <c r="Y1006" s="40" t="s">
        <v>62</v>
      </c>
      <c r="Z1006" s="40" t="s">
        <v>639</v>
      </c>
      <c r="AA1006" s="23" t="str">
        <v>https://wa.me/62881022322099</v>
      </c>
      <c r="AB1006" s="28" t="s">
        <v>5917</v>
      </c>
      <c r="AC1006" s="28"/>
      <c r="AD1006" s="28" t="s">
        <v>690</v>
      </c>
      <c r="AE1006" s="28"/>
      <c r="AF1006" s="29">
        <v>45921</v>
      </c>
      <c r="AG1006" s="29"/>
    </row>
    <row r="1007" spans="1:33" ht="15.75" customHeight="1">
      <c r="A1007" s="32" t="s">
        <v>196</v>
      </c>
      <c r="B1007" s="33">
        <v>1023</v>
      </c>
      <c r="C1007" s="34" t="s">
        <v>5918</v>
      </c>
      <c r="D1007" s="35">
        <v>45919.490778252315</v>
      </c>
      <c r="E1007" s="43">
        <v>45919</v>
      </c>
      <c r="F1007" s="32" t="s">
        <v>5919</v>
      </c>
      <c r="G1007" s="32" t="s">
        <v>5920</v>
      </c>
      <c r="H1007" s="32" t="s">
        <v>2090</v>
      </c>
      <c r="I1007" s="36" t="s">
        <v>5921</v>
      </c>
      <c r="J1007" s="52"/>
      <c r="K1007" s="32" t="s">
        <v>5922</v>
      </c>
      <c r="L1007" s="32" t="s">
        <v>92</v>
      </c>
      <c r="M1007" s="32" t="s">
        <v>60</v>
      </c>
      <c r="N1007" s="33">
        <v>5</v>
      </c>
      <c r="O1007" s="35"/>
      <c r="P1007" s="35"/>
      <c r="Q1007" s="37"/>
      <c r="R1007" s="38"/>
      <c r="S1007" s="33"/>
      <c r="T1007" s="39">
        <v>197000</v>
      </c>
      <c r="U1007" s="40" t="s">
        <v>61</v>
      </c>
      <c r="V1007" s="41"/>
      <c r="W1007" s="42" t="str">
        <f ca="1">IFERROR(__xludf.DUMMYFUNCTION("""COMPUTED_VALUE"""),"Affana Tour")</f>
        <v>Affana Tour</v>
      </c>
      <c r="X1007" s="42" t="str">
        <f ca="1"/>
        <v>ON-Affana Tour-00011900+5-6282225676546</v>
      </c>
      <c r="Y1007" s="40" t="s">
        <v>62</v>
      </c>
      <c r="Z1007" s="40" t="s">
        <v>1880</v>
      </c>
      <c r="AA1007" s="23" t="str">
        <v>https://wa.me/6282225676546</v>
      </c>
      <c r="AB1007" s="28" t="s">
        <v>5923</v>
      </c>
      <c r="AC1007" s="28"/>
      <c r="AD1007" s="28" t="s">
        <v>690</v>
      </c>
      <c r="AE1007" s="28"/>
      <c r="AF1007" s="29">
        <v>45922</v>
      </c>
      <c r="AG1007" s="29"/>
    </row>
    <row r="1008" spans="1:33" ht="15.75" customHeight="1">
      <c r="A1008" s="32" t="s">
        <v>196</v>
      </c>
      <c r="B1008" s="33">
        <v>1024</v>
      </c>
      <c r="C1008" s="34" t="s">
        <v>5924</v>
      </c>
      <c r="D1008" s="35">
        <v>45919.494462557872</v>
      </c>
      <c r="E1008" s="43">
        <v>45919</v>
      </c>
      <c r="F1008" s="32" t="s">
        <v>5925</v>
      </c>
      <c r="G1008" s="32" t="s">
        <v>5926</v>
      </c>
      <c r="H1008" s="32" t="s">
        <v>5927</v>
      </c>
      <c r="I1008" s="36" t="s">
        <v>5928</v>
      </c>
      <c r="J1008" s="52"/>
      <c r="K1008" s="32" t="s">
        <v>5929</v>
      </c>
      <c r="L1008" s="32" t="s">
        <v>5930</v>
      </c>
      <c r="M1008" s="32" t="s">
        <v>60</v>
      </c>
      <c r="N1008" s="33">
        <v>5</v>
      </c>
      <c r="O1008" s="35"/>
      <c r="P1008" s="35"/>
      <c r="Q1008" s="37"/>
      <c r="R1008" s="38"/>
      <c r="S1008" s="33"/>
      <c r="T1008" s="39">
        <v>197000</v>
      </c>
      <c r="U1008" s="40" t="s">
        <v>61</v>
      </c>
      <c r="V1008" s="41"/>
      <c r="W1008" s="42" t="str">
        <f ca="1">IFERROR(__xludf.DUMMYFUNCTION("""COMPUTED_VALUE"""),"PDLM Fashion")</f>
        <v>PDLM Fashion</v>
      </c>
      <c r="X1008" s="42" t="str">
        <f ca="1"/>
        <v>ON-PDLM Fashion-00011900+5-6282110222282</v>
      </c>
      <c r="Y1008" s="40" t="s">
        <v>62</v>
      </c>
      <c r="Z1008" s="40" t="s">
        <v>1404</v>
      </c>
      <c r="AA1008" s="23" t="str">
        <v>https://wa.me/6282110222282</v>
      </c>
      <c r="AB1008" s="28" t="s">
        <v>5931</v>
      </c>
      <c r="AC1008" s="28"/>
      <c r="AD1008" s="28" t="s">
        <v>690</v>
      </c>
      <c r="AE1008" s="28"/>
      <c r="AF1008" s="29">
        <v>45922</v>
      </c>
      <c r="AG1008" s="29"/>
    </row>
    <row r="1009" spans="1:33" ht="15.75" customHeight="1">
      <c r="A1009" s="32" t="s">
        <v>52</v>
      </c>
      <c r="B1009" s="33">
        <v>1025</v>
      </c>
      <c r="C1009" s="34" t="s">
        <v>5932</v>
      </c>
      <c r="D1009" s="35">
        <v>45919.586343437499</v>
      </c>
      <c r="E1009" s="43">
        <v>45919</v>
      </c>
      <c r="F1009" s="32" t="s">
        <v>3228</v>
      </c>
      <c r="G1009" s="32" t="s">
        <v>3229</v>
      </c>
      <c r="H1009" s="32" t="s">
        <v>3230</v>
      </c>
      <c r="I1009" s="36" t="s">
        <v>3231</v>
      </c>
      <c r="J1009" s="52"/>
      <c r="K1009" s="32" t="s">
        <v>3232</v>
      </c>
      <c r="L1009" s="32" t="s">
        <v>1365</v>
      </c>
      <c r="M1009" s="32" t="s">
        <v>285</v>
      </c>
      <c r="N1009" s="33">
        <v>5</v>
      </c>
      <c r="O1009" s="35"/>
      <c r="P1009" s="35"/>
      <c r="Q1009" s="37"/>
      <c r="R1009" s="38"/>
      <c r="S1009" s="33"/>
      <c r="T1009" s="39">
        <v>197000</v>
      </c>
      <c r="U1009" s="40" t="s">
        <v>1229</v>
      </c>
      <c r="V1009" s="41"/>
      <c r="W1009" s="42" t="str">
        <f ca="1">IFERROR(__xludf.DUMMYFUNCTION("""COMPUTED_VALUE"""),"Therapy pijat")</f>
        <v>Therapy pijat</v>
      </c>
      <c r="X1009" s="42" t="str">
        <f ca="1"/>
        <v>ON-Therapy pijat-00011900+5-6287865111033</v>
      </c>
      <c r="Y1009" s="40"/>
      <c r="Z1009" s="40"/>
      <c r="AA1009" s="23" t="str">
        <v>https://wa.me/6287865111033</v>
      </c>
      <c r="AB1009" s="28"/>
      <c r="AC1009" s="28"/>
      <c r="AD1009" s="28"/>
      <c r="AE1009" s="28"/>
      <c r="AF1009" s="29"/>
      <c r="AG1009" s="29"/>
    </row>
    <row r="1010" spans="1:33" ht="15.75" customHeight="1">
      <c r="A1010" s="32" t="s">
        <v>52</v>
      </c>
      <c r="B1010" s="33">
        <v>1026</v>
      </c>
      <c r="C1010" s="34" t="s">
        <v>5933</v>
      </c>
      <c r="D1010" s="35">
        <v>45919.621674884256</v>
      </c>
      <c r="E1010" s="43">
        <v>45919</v>
      </c>
      <c r="F1010" s="32" t="s">
        <v>3241</v>
      </c>
      <c r="G1010" s="32" t="s">
        <v>4495</v>
      </c>
      <c r="H1010" s="32" t="s">
        <v>3243</v>
      </c>
      <c r="I1010" s="36" t="s">
        <v>3244</v>
      </c>
      <c r="J1010" s="52"/>
      <c r="K1010" s="32" t="s">
        <v>5934</v>
      </c>
      <c r="L1010" s="32" t="s">
        <v>166</v>
      </c>
      <c r="M1010" s="32" t="s">
        <v>249</v>
      </c>
      <c r="N1010" s="33">
        <v>10</v>
      </c>
      <c r="O1010" s="35"/>
      <c r="P1010" s="35"/>
      <c r="Q1010" s="37"/>
      <c r="R1010" s="38"/>
      <c r="S1010" s="33"/>
      <c r="T1010" s="39">
        <v>375000</v>
      </c>
      <c r="U1010" s="40" t="s">
        <v>1774</v>
      </c>
      <c r="V1010" s="41"/>
      <c r="W1010" s="42" t="str">
        <f ca="1">IFERROR(__xludf.DUMMYFUNCTION("""COMPUTED_VALUE"""),"Totok saraf")</f>
        <v>Totok saraf</v>
      </c>
      <c r="X1010" s="42" t="str">
        <f ca="1"/>
        <v>ON-Totok saraf-00011900+10-6281330410391</v>
      </c>
      <c r="Y1010" s="40"/>
      <c r="Z1010" s="40"/>
      <c r="AA1010" s="23" t="str">
        <v>https://wa.me/6281330410391</v>
      </c>
      <c r="AB1010" s="28"/>
      <c r="AC1010" s="28"/>
      <c r="AD1010" s="28"/>
      <c r="AE1010" s="28"/>
      <c r="AF1010" s="29"/>
      <c r="AG1010" s="29"/>
    </row>
    <row r="1011" spans="1:33" ht="15.75" customHeight="1">
      <c r="A1011" s="32" t="s">
        <v>52</v>
      </c>
      <c r="B1011" s="33">
        <v>1027</v>
      </c>
      <c r="C1011" s="34" t="s">
        <v>5935</v>
      </c>
      <c r="D1011" s="35">
        <v>45919.901807696762</v>
      </c>
      <c r="E1011" s="43">
        <v>45876</v>
      </c>
      <c r="F1011" s="32" t="s">
        <v>905</v>
      </c>
      <c r="G1011" s="32" t="s">
        <v>2648</v>
      </c>
      <c r="H1011" s="32" t="s">
        <v>1678</v>
      </c>
      <c r="I1011" s="36" t="s">
        <v>908</v>
      </c>
      <c r="J1011" s="52" t="s">
        <v>2649</v>
      </c>
      <c r="K1011" s="32" t="s">
        <v>2650</v>
      </c>
      <c r="L1011" s="32" t="s">
        <v>490</v>
      </c>
      <c r="M1011" s="32" t="s">
        <v>60</v>
      </c>
      <c r="N1011" s="33">
        <v>10</v>
      </c>
      <c r="O1011" s="35"/>
      <c r="P1011" s="35"/>
      <c r="Q1011" s="37"/>
      <c r="R1011" s="38"/>
      <c r="S1011" s="33"/>
      <c r="T1011" s="39">
        <v>375000</v>
      </c>
      <c r="U1011" s="40" t="s">
        <v>61</v>
      </c>
      <c r="V1011" s="41"/>
      <c r="W1011" s="42" t="str">
        <f ca="1">IFERROR(__xludf.DUMMYFUNCTION("""COMPUTED_VALUE"""),"Berkat Property")</f>
        <v>Berkat Property</v>
      </c>
      <c r="X1011" s="42" t="str">
        <f ca="1"/>
        <v>ON-Berkat Property-00011900+10-6282183115806</v>
      </c>
      <c r="Y1011" s="40"/>
      <c r="Z1011" s="40"/>
      <c r="AA1011" s="23" t="str">
        <v>https://wa.me/6282183115806</v>
      </c>
      <c r="AB1011" s="28"/>
      <c r="AC1011" s="28"/>
      <c r="AD1011" s="28"/>
      <c r="AE1011" s="28"/>
      <c r="AF1011" s="29"/>
      <c r="AG1011" s="29"/>
    </row>
    <row r="1012" spans="1:33" ht="15.75" customHeight="1">
      <c r="A1012" s="32" t="s">
        <v>52</v>
      </c>
      <c r="B1012" s="33">
        <v>1028</v>
      </c>
      <c r="C1012" s="34" t="s">
        <v>5936</v>
      </c>
      <c r="D1012" s="35">
        <v>45919.902161886574</v>
      </c>
      <c r="E1012" s="43">
        <v>45876</v>
      </c>
      <c r="F1012" s="32" t="s">
        <v>905</v>
      </c>
      <c r="G1012" s="32" t="s">
        <v>2648</v>
      </c>
      <c r="H1012" s="32" t="s">
        <v>1678</v>
      </c>
      <c r="I1012" s="36" t="s">
        <v>908</v>
      </c>
      <c r="J1012" s="52" t="s">
        <v>2649</v>
      </c>
      <c r="K1012" s="32" t="s">
        <v>2650</v>
      </c>
      <c r="L1012" s="32" t="s">
        <v>490</v>
      </c>
      <c r="M1012" s="32" t="s">
        <v>60</v>
      </c>
      <c r="N1012" s="33">
        <v>5</v>
      </c>
      <c r="O1012" s="35"/>
      <c r="P1012" s="35"/>
      <c r="Q1012" s="37"/>
      <c r="R1012" s="38"/>
      <c r="S1012" s="33"/>
      <c r="T1012" s="39">
        <v>197000</v>
      </c>
      <c r="U1012" s="40" t="s">
        <v>61</v>
      </c>
      <c r="V1012" s="41"/>
      <c r="W1012" s="42" t="str">
        <f ca="1">IFERROR(__xludf.DUMMYFUNCTION("""COMPUTED_VALUE"""),"Berkat Property")</f>
        <v>Berkat Property</v>
      </c>
      <c r="X1012" s="42" t="str">
        <f ca="1"/>
        <v>ON-Berkat Property-00011900+5-6282183115806</v>
      </c>
      <c r="Y1012" s="40"/>
      <c r="Z1012" s="40"/>
      <c r="AA1012" s="23" t="str">
        <v>https://wa.me/6282183115806</v>
      </c>
      <c r="AB1012" s="28"/>
      <c r="AC1012" s="28"/>
      <c r="AD1012" s="28"/>
      <c r="AE1012" s="28"/>
      <c r="AF1012" s="29"/>
      <c r="AG1012" s="29"/>
    </row>
    <row r="1013" spans="1:33" ht="15.75" customHeight="1">
      <c r="A1013" s="32" t="s">
        <v>52</v>
      </c>
      <c r="B1013" s="33">
        <v>1029</v>
      </c>
      <c r="C1013" s="34" t="s">
        <v>5937</v>
      </c>
      <c r="D1013" s="35">
        <v>45919.903048043983</v>
      </c>
      <c r="E1013" s="43">
        <v>45919</v>
      </c>
      <c r="F1013" s="32" t="s">
        <v>905</v>
      </c>
      <c r="G1013" s="32" t="s">
        <v>2648</v>
      </c>
      <c r="H1013" s="32" t="s">
        <v>1678</v>
      </c>
      <c r="I1013" s="36" t="s">
        <v>908</v>
      </c>
      <c r="J1013" s="52" t="s">
        <v>2649</v>
      </c>
      <c r="K1013" s="32" t="s">
        <v>2650</v>
      </c>
      <c r="L1013" s="32" t="s">
        <v>490</v>
      </c>
      <c r="M1013" s="32" t="s">
        <v>60</v>
      </c>
      <c r="N1013" s="33">
        <v>5</v>
      </c>
      <c r="O1013" s="35"/>
      <c r="P1013" s="35"/>
      <c r="Q1013" s="37"/>
      <c r="R1013" s="38"/>
      <c r="S1013" s="33"/>
      <c r="T1013" s="39">
        <v>197000</v>
      </c>
      <c r="U1013" s="40" t="s">
        <v>61</v>
      </c>
      <c r="V1013" s="41"/>
      <c r="W1013" s="42" t="str">
        <f ca="1">IFERROR(__xludf.DUMMYFUNCTION("""COMPUTED_VALUE"""),"Berkat Property")</f>
        <v>Berkat Property</v>
      </c>
      <c r="X1013" s="42" t="str">
        <f ca="1"/>
        <v>ON-Berkat Property-00011900+5-6282183115806</v>
      </c>
      <c r="Y1013" s="40"/>
      <c r="Z1013" s="40"/>
      <c r="AA1013" s="23" t="str">
        <v>https://wa.me/6282183115806</v>
      </c>
      <c r="AB1013" s="28"/>
      <c r="AC1013" s="28"/>
      <c r="AD1013" s="28"/>
      <c r="AE1013" s="28"/>
      <c r="AF1013" s="29"/>
      <c r="AG1013" s="29"/>
    </row>
    <row r="1014" spans="1:33" ht="15.75" customHeight="1">
      <c r="A1014" s="32" t="s">
        <v>196</v>
      </c>
      <c r="B1014" s="33">
        <v>1030</v>
      </c>
      <c r="C1014" s="34" t="s">
        <v>5938</v>
      </c>
      <c r="D1014" s="35">
        <v>45920.249666400465</v>
      </c>
      <c r="E1014" s="43">
        <v>45919</v>
      </c>
      <c r="F1014" s="32" t="s">
        <v>5939</v>
      </c>
      <c r="G1014" s="32" t="s">
        <v>5940</v>
      </c>
      <c r="H1014" s="32" t="s">
        <v>5941</v>
      </c>
      <c r="I1014" s="36" t="s">
        <v>5942</v>
      </c>
      <c r="J1014" s="52"/>
      <c r="K1014" s="32" t="s">
        <v>5943</v>
      </c>
      <c r="L1014" s="32" t="s">
        <v>4068</v>
      </c>
      <c r="M1014" s="32" t="s">
        <v>60</v>
      </c>
      <c r="N1014" s="33">
        <v>5</v>
      </c>
      <c r="O1014" s="35"/>
      <c r="P1014" s="35"/>
      <c r="Q1014" s="37"/>
      <c r="R1014" s="38"/>
      <c r="S1014" s="33"/>
      <c r="T1014" s="39">
        <v>197000</v>
      </c>
      <c r="U1014" s="40" t="s">
        <v>61</v>
      </c>
      <c r="V1014" s="41"/>
      <c r="W1014" s="42" t="str">
        <f ca="1">IFERROR(__xludf.DUMMYFUNCTION("""COMPUTED_VALUE"""),"Jaya Baja")</f>
        <v>Jaya Baja</v>
      </c>
      <c r="X1014" s="42" t="str">
        <f ca="1"/>
        <v>ON-Jaya Baja-00011900+5-6282133932170</v>
      </c>
      <c r="Y1014" s="40" t="s">
        <v>293</v>
      </c>
      <c r="Z1014" s="40" t="s">
        <v>1057</v>
      </c>
      <c r="AA1014" s="23" t="str">
        <v>https://wa.me/6282133932170</v>
      </c>
      <c r="AB1014" s="28" t="s">
        <v>5944</v>
      </c>
      <c r="AC1014" s="28"/>
      <c r="AD1014" s="28" t="s">
        <v>690</v>
      </c>
      <c r="AE1014" s="28"/>
      <c r="AF1014" s="29">
        <v>45922</v>
      </c>
      <c r="AG1014" s="29"/>
    </row>
    <row r="1015" spans="1:33" ht="15.75" customHeight="1">
      <c r="A1015" s="32" t="s">
        <v>196</v>
      </c>
      <c r="B1015" s="33">
        <v>1031</v>
      </c>
      <c r="C1015" s="34" t="s">
        <v>5945</v>
      </c>
      <c r="D1015" s="35">
        <v>45920.267682627316</v>
      </c>
      <c r="E1015" s="43">
        <v>45920</v>
      </c>
      <c r="F1015" s="32" t="s">
        <v>5946</v>
      </c>
      <c r="G1015" s="32" t="s">
        <v>5947</v>
      </c>
      <c r="H1015" s="32" t="s">
        <v>5948</v>
      </c>
      <c r="I1015" s="36" t="s">
        <v>749</v>
      </c>
      <c r="J1015" s="52"/>
      <c r="K1015" s="32" t="s">
        <v>5949</v>
      </c>
      <c r="L1015" s="32" t="s">
        <v>5950</v>
      </c>
      <c r="M1015" s="32" t="s">
        <v>92</v>
      </c>
      <c r="N1015" s="33">
        <v>5</v>
      </c>
      <c r="O1015" s="35"/>
      <c r="P1015" s="35"/>
      <c r="Q1015" s="37"/>
      <c r="R1015" s="38"/>
      <c r="S1015" s="33"/>
      <c r="T1015" s="39">
        <v>197000</v>
      </c>
      <c r="U1015" s="40" t="s">
        <v>1229</v>
      </c>
      <c r="V1015" s="41"/>
      <c r="W1015" s="42" t="str">
        <f ca="1">IFERROR(__xludf.DUMMYFUNCTION("""COMPUTED_VALUE"""),"Uwais kontraktor")</f>
        <v>Uwais kontraktor</v>
      </c>
      <c r="X1015" s="42" t="str">
        <f ca="1"/>
        <v>ON-Uwais kontraktor-00011900+5-6281575323811</v>
      </c>
      <c r="Y1015" s="40" t="s">
        <v>293</v>
      </c>
      <c r="Z1015" s="40" t="s">
        <v>1057</v>
      </c>
      <c r="AA1015" s="23" t="str">
        <v>https://wa.me/6281575323811</v>
      </c>
      <c r="AB1015" s="28" t="s">
        <v>5951</v>
      </c>
      <c r="AC1015" s="28"/>
      <c r="AD1015" s="28" t="s">
        <v>690</v>
      </c>
      <c r="AE1015" s="28"/>
      <c r="AF1015" s="29">
        <v>45922</v>
      </c>
      <c r="AG1015" s="29"/>
    </row>
    <row r="1016" spans="1:33" ht="15.75" customHeight="1">
      <c r="A1016" s="32" t="s">
        <v>196</v>
      </c>
      <c r="B1016" s="33">
        <v>1032</v>
      </c>
      <c r="C1016" s="34" t="s">
        <v>5952</v>
      </c>
      <c r="D1016" s="35">
        <v>45920.341227962963</v>
      </c>
      <c r="E1016" s="43">
        <v>45919</v>
      </c>
      <c r="F1016" s="32" t="s">
        <v>905</v>
      </c>
      <c r="G1016" s="32" t="s">
        <v>2648</v>
      </c>
      <c r="H1016" s="32" t="s">
        <v>1678</v>
      </c>
      <c r="I1016" s="36" t="s">
        <v>5953</v>
      </c>
      <c r="J1016" s="52" t="s">
        <v>2649</v>
      </c>
      <c r="K1016" s="32" t="s">
        <v>2650</v>
      </c>
      <c r="L1016" s="32" t="s">
        <v>490</v>
      </c>
      <c r="M1016" s="32" t="s">
        <v>60</v>
      </c>
      <c r="N1016" s="33">
        <v>5</v>
      </c>
      <c r="O1016" s="35"/>
      <c r="P1016" s="35"/>
      <c r="Q1016" s="37"/>
      <c r="R1016" s="38"/>
      <c r="S1016" s="33"/>
      <c r="T1016" s="39">
        <v>197000</v>
      </c>
      <c r="U1016" s="40" t="s">
        <v>61</v>
      </c>
      <c r="V1016" s="41"/>
      <c r="W1016" s="42" t="str">
        <f ca="1">IFERROR(__xludf.DUMMYFUNCTION("""COMPUTED_VALUE"""),"Berkat Property")</f>
        <v>Berkat Property</v>
      </c>
      <c r="X1016" s="42" t="str">
        <f ca="1"/>
        <v>ON-Berkat Property-00011900+5-6289653773632</v>
      </c>
      <c r="Y1016" s="40" t="s">
        <v>293</v>
      </c>
      <c r="Z1016" s="40" t="s">
        <v>1057</v>
      </c>
      <c r="AA1016" s="23" t="str">
        <v>https://wa.me/6289653773632</v>
      </c>
      <c r="AB1016" s="28" t="s">
        <v>5954</v>
      </c>
      <c r="AC1016" s="28"/>
      <c r="AD1016" s="28" t="s">
        <v>690</v>
      </c>
      <c r="AE1016" s="28"/>
      <c r="AF1016" s="29">
        <v>45921</v>
      </c>
      <c r="AG1016" s="29"/>
    </row>
    <row r="1017" spans="1:33" ht="15.75" customHeight="1">
      <c r="A1017" s="32" t="s">
        <v>196</v>
      </c>
      <c r="B1017" s="33">
        <v>1032</v>
      </c>
      <c r="C1017" s="34" t="s">
        <v>5952</v>
      </c>
      <c r="D1017" s="35">
        <v>45920.431133310187</v>
      </c>
      <c r="E1017" s="43">
        <v>45920</v>
      </c>
      <c r="F1017" s="32" t="s">
        <v>5955</v>
      </c>
      <c r="G1017" s="32" t="s">
        <v>5956</v>
      </c>
      <c r="H1017" s="32" t="s">
        <v>5957</v>
      </c>
      <c r="I1017" s="36" t="s">
        <v>5958</v>
      </c>
      <c r="J1017" s="52" t="s">
        <v>5959</v>
      </c>
      <c r="K1017" s="32" t="s">
        <v>5633</v>
      </c>
      <c r="L1017" s="32" t="s">
        <v>930</v>
      </c>
      <c r="M1017" s="32" t="s">
        <v>726</v>
      </c>
      <c r="N1017" s="33">
        <v>5</v>
      </c>
      <c r="O1017" s="35"/>
      <c r="P1017" s="35"/>
      <c r="Q1017" s="37"/>
      <c r="R1017" s="38"/>
      <c r="S1017" s="33"/>
      <c r="T1017" s="39">
        <v>197000</v>
      </c>
      <c r="U1017" s="40" t="s">
        <v>1774</v>
      </c>
      <c r="V1017" s="41"/>
      <c r="W1017" s="42" t="str">
        <f ca="1">IFERROR(__xludf.DUMMYFUNCTION("""COMPUTED_VALUE"""),"Bianca Id")</f>
        <v>Bianca Id</v>
      </c>
      <c r="X1017" s="42" t="str">
        <f ca="1"/>
        <v>ON-Bianca Id-00011900+5-6288242676434</v>
      </c>
      <c r="Y1017" s="40" t="s">
        <v>293</v>
      </c>
      <c r="Z1017" s="40" t="s">
        <v>1057</v>
      </c>
      <c r="AA1017" s="23" t="str">
        <v>https://wa.me/6288242676434</v>
      </c>
      <c r="AB1017" s="28" t="s">
        <v>5960</v>
      </c>
      <c r="AC1017" s="28"/>
      <c r="AD1017" s="28" t="s">
        <v>690</v>
      </c>
      <c r="AE1017" s="28"/>
      <c r="AF1017" s="29">
        <v>45923</v>
      </c>
      <c r="AG1017" s="29"/>
    </row>
    <row r="1018" spans="1:33" ht="15.75" customHeight="1">
      <c r="A1018" s="32" t="s">
        <v>52</v>
      </c>
      <c r="B1018" s="33">
        <v>1033</v>
      </c>
      <c r="C1018" s="34" t="s">
        <v>5961</v>
      </c>
      <c r="D1018" s="35">
        <v>45920.456907060186</v>
      </c>
      <c r="E1018" s="43">
        <v>45919</v>
      </c>
      <c r="F1018" s="32" t="s">
        <v>905</v>
      </c>
      <c r="G1018" s="32" t="s">
        <v>2648</v>
      </c>
      <c r="H1018" s="32" t="s">
        <v>1678</v>
      </c>
      <c r="I1018" s="36" t="s">
        <v>5953</v>
      </c>
      <c r="J1018" s="52" t="s">
        <v>2649</v>
      </c>
      <c r="K1018" s="32" t="s">
        <v>2650</v>
      </c>
      <c r="L1018" s="32" t="s">
        <v>490</v>
      </c>
      <c r="M1018" s="32" t="s">
        <v>60</v>
      </c>
      <c r="N1018" s="33">
        <v>5</v>
      </c>
      <c r="O1018" s="35"/>
      <c r="P1018" s="35"/>
      <c r="Q1018" s="37"/>
      <c r="R1018" s="38"/>
      <c r="S1018" s="33"/>
      <c r="T1018" s="39">
        <v>197000</v>
      </c>
      <c r="U1018" s="40" t="s">
        <v>61</v>
      </c>
      <c r="V1018" s="41"/>
      <c r="W1018" s="42" t="str">
        <f ca="1">IFERROR(__xludf.DUMMYFUNCTION("""COMPUTED_VALUE"""),"Berkat Property")</f>
        <v>Berkat Property</v>
      </c>
      <c r="X1018" s="42" t="str">
        <f ca="1"/>
        <v>ON-Berkat Property-00011900+5-6289653773632</v>
      </c>
      <c r="Y1018" s="40"/>
      <c r="Z1018" s="40"/>
      <c r="AA1018" s="23" t="str">
        <v>https://wa.me/6289653773632</v>
      </c>
      <c r="AB1018" s="28"/>
      <c r="AC1018" s="28"/>
      <c r="AD1018" s="28"/>
      <c r="AE1018" s="28"/>
      <c r="AF1018" s="29"/>
      <c r="AG1018" s="29"/>
    </row>
    <row r="1019" spans="1:33" ht="15.75" customHeight="1">
      <c r="A1019" s="32" t="s">
        <v>196</v>
      </c>
      <c r="B1019" s="33">
        <v>1034</v>
      </c>
      <c r="C1019" s="34" t="s">
        <v>5962</v>
      </c>
      <c r="D1019" s="35">
        <v>45920.657650312496</v>
      </c>
      <c r="E1019" s="43">
        <v>45920</v>
      </c>
      <c r="F1019" s="32" t="s">
        <v>5963</v>
      </c>
      <c r="G1019" s="32" t="s">
        <v>5964</v>
      </c>
      <c r="H1019" s="32" t="s">
        <v>5965</v>
      </c>
      <c r="I1019" s="36" t="s">
        <v>5966</v>
      </c>
      <c r="J1019" s="52"/>
      <c r="K1019" s="32" t="s">
        <v>1453</v>
      </c>
      <c r="L1019" s="32" t="s">
        <v>5967</v>
      </c>
      <c r="M1019" s="32" t="s">
        <v>5643</v>
      </c>
      <c r="N1019" s="33">
        <v>10</v>
      </c>
      <c r="O1019" s="35"/>
      <c r="P1019" s="35"/>
      <c r="Q1019" s="37"/>
      <c r="R1019" s="38"/>
      <c r="S1019" s="33"/>
      <c r="T1019" s="39">
        <v>375000</v>
      </c>
      <c r="U1019" s="40" t="s">
        <v>61</v>
      </c>
      <c r="V1019" s="41"/>
      <c r="W1019" s="42" t="str">
        <f ca="1">IFERROR(__xludf.DUMMYFUNCTION("""COMPUTED_VALUE"""),"PT Mitra")</f>
        <v>PT Mitra</v>
      </c>
      <c r="X1019" s="42" t="str">
        <f ca="1"/>
        <v>ON-PT Mitra-00011900+10-6285746851999</v>
      </c>
      <c r="Y1019" s="40" t="s">
        <v>293</v>
      </c>
      <c r="Z1019" s="40" t="s">
        <v>1057</v>
      </c>
      <c r="AA1019" s="23" t="str">
        <v>https://wa.me/6285746851999</v>
      </c>
      <c r="AB1019" s="28" t="s">
        <v>5968</v>
      </c>
      <c r="AC1019" s="28"/>
      <c r="AD1019" s="28" t="s">
        <v>690</v>
      </c>
      <c r="AE1019" s="28"/>
      <c r="AF1019" s="29">
        <v>45924</v>
      </c>
      <c r="AG1019" s="29"/>
    </row>
    <row r="1020" spans="1:33" ht="15.75" customHeight="1">
      <c r="A1020" s="32" t="s">
        <v>196</v>
      </c>
      <c r="B1020" s="33">
        <v>1035</v>
      </c>
      <c r="C1020" s="34" t="s">
        <v>5969</v>
      </c>
      <c r="D1020" s="35">
        <v>45920.790431423608</v>
      </c>
      <c r="E1020" s="43">
        <v>45920</v>
      </c>
      <c r="F1020" s="32" t="s">
        <v>5970</v>
      </c>
      <c r="G1020" s="32" t="s">
        <v>5971</v>
      </c>
      <c r="H1020" s="32" t="s">
        <v>1451</v>
      </c>
      <c r="I1020" s="36" t="s">
        <v>5972</v>
      </c>
      <c r="J1020" s="52"/>
      <c r="K1020" s="32" t="s">
        <v>5973</v>
      </c>
      <c r="L1020" s="32" t="s">
        <v>5974</v>
      </c>
      <c r="M1020" s="32" t="s">
        <v>60</v>
      </c>
      <c r="N1020" s="33">
        <v>5</v>
      </c>
      <c r="O1020" s="35"/>
      <c r="P1020" s="35"/>
      <c r="Q1020" s="37"/>
      <c r="R1020" s="38"/>
      <c r="S1020" s="33"/>
      <c r="T1020" s="39">
        <v>197000</v>
      </c>
      <c r="U1020" s="40" t="s">
        <v>61</v>
      </c>
      <c r="V1020" s="41"/>
      <c r="W1020" s="42" t="str">
        <f ca="1">IFERROR(__xludf.DUMMYFUNCTION("""COMPUTED_VALUE"""),"BRC Cabang")</f>
        <v>BRC Cabang</v>
      </c>
      <c r="X1020" s="42" t="str">
        <f ca="1"/>
        <v>ON-BRC Cabang-00011900+5-6282219980006</v>
      </c>
      <c r="Y1020" s="40" t="s">
        <v>62</v>
      </c>
      <c r="Z1020" s="40" t="s">
        <v>639</v>
      </c>
      <c r="AA1020" s="23" t="str">
        <v>https://wa.me/6282219980006</v>
      </c>
      <c r="AB1020" s="28" t="s">
        <v>5975</v>
      </c>
      <c r="AC1020" s="28"/>
      <c r="AD1020" s="28" t="s">
        <v>690</v>
      </c>
      <c r="AE1020" s="28"/>
      <c r="AF1020" s="29">
        <v>45923</v>
      </c>
      <c r="AG1020" s="29"/>
    </row>
    <row r="1021" spans="1:33" ht="15.75" customHeight="1">
      <c r="A1021" s="32" t="s">
        <v>52</v>
      </c>
      <c r="B1021" s="33">
        <v>1036</v>
      </c>
      <c r="C1021" s="34" t="s">
        <v>5976</v>
      </c>
      <c r="D1021" s="35">
        <v>45920.914056111113</v>
      </c>
      <c r="E1021" s="43">
        <v>45920</v>
      </c>
      <c r="F1021" s="32" t="s">
        <v>1020</v>
      </c>
      <c r="G1021" s="32" t="s">
        <v>1021</v>
      </c>
      <c r="H1021" s="32" t="s">
        <v>1022</v>
      </c>
      <c r="I1021" s="36" t="s">
        <v>1023</v>
      </c>
      <c r="J1021" s="52" t="s">
        <v>3700</v>
      </c>
      <c r="K1021" s="32" t="s">
        <v>1024</v>
      </c>
      <c r="L1021" s="32" t="s">
        <v>629</v>
      </c>
      <c r="M1021" s="32"/>
      <c r="N1021" s="33">
        <v>14</v>
      </c>
      <c r="O1021" s="35"/>
      <c r="P1021" s="35"/>
      <c r="Q1021" s="37"/>
      <c r="R1021" s="38"/>
      <c r="S1021" s="33"/>
      <c r="T1021" s="39">
        <v>910000</v>
      </c>
      <c r="U1021" s="40" t="s">
        <v>115</v>
      </c>
      <c r="V1021" s="41"/>
      <c r="W1021" s="42" t="str">
        <f ca="1">IFERROR(__xludf.DUMMYFUNCTION("""COMPUTED_VALUE"""),"Deriano")</f>
        <v>Deriano</v>
      </c>
      <c r="X1021" s="42" t="str">
        <f ca="1"/>
        <v>ON-Deriano-00011900+14-6282122880328</v>
      </c>
      <c r="Y1021" s="40"/>
      <c r="Z1021" s="40"/>
      <c r="AA1021" s="23" t="str">
        <v>https://wa.me/6282122880328</v>
      </c>
      <c r="AB1021" s="28"/>
      <c r="AC1021" s="28"/>
      <c r="AD1021" s="28"/>
      <c r="AE1021" s="28"/>
      <c r="AF1021" s="29"/>
      <c r="AG1021" s="29"/>
    </row>
    <row r="1022" spans="1:33" ht="15.75" customHeight="1">
      <c r="A1022" s="32" t="s">
        <v>196</v>
      </c>
      <c r="B1022" s="33">
        <v>1037</v>
      </c>
      <c r="C1022" s="34" t="s">
        <v>5977</v>
      </c>
      <c r="D1022" s="35">
        <v>45920.914474780089</v>
      </c>
      <c r="E1022" s="43">
        <v>45920</v>
      </c>
      <c r="F1022" s="32" t="s">
        <v>5978</v>
      </c>
      <c r="G1022" s="32" t="s">
        <v>5979</v>
      </c>
      <c r="H1022" s="32" t="s">
        <v>5980</v>
      </c>
      <c r="I1022" s="36" t="s">
        <v>5981</v>
      </c>
      <c r="J1022" s="52"/>
      <c r="K1022" s="32" t="s">
        <v>5982</v>
      </c>
      <c r="L1022" s="32" t="s">
        <v>2133</v>
      </c>
      <c r="M1022" s="32" t="s">
        <v>60</v>
      </c>
      <c r="N1022" s="33">
        <v>30</v>
      </c>
      <c r="O1022" s="35"/>
      <c r="P1022" s="35"/>
      <c r="Q1022" s="37"/>
      <c r="R1022" s="38"/>
      <c r="S1022" s="33"/>
      <c r="T1022" s="39">
        <v>1000000</v>
      </c>
      <c r="U1022" s="40" t="s">
        <v>61</v>
      </c>
      <c r="V1022" s="41"/>
      <c r="W1022" s="42" t="str">
        <f ca="1">IFERROR(__xludf.DUMMYFUNCTION("""COMPUTED_VALUE"""),"CV Adiwijaya")</f>
        <v>CV Adiwijaya</v>
      </c>
      <c r="X1022" s="42" t="str">
        <f ca="1"/>
        <v>ON-CV Adiwijaya-00011900+30-6285285660299</v>
      </c>
      <c r="Y1022" s="40" t="s">
        <v>293</v>
      </c>
      <c r="Z1022" s="40" t="s">
        <v>1057</v>
      </c>
      <c r="AA1022" s="23" t="str">
        <v>https://wa.me/6285285660299</v>
      </c>
      <c r="AB1022" s="28" t="s">
        <v>5983</v>
      </c>
      <c r="AC1022" s="28"/>
      <c r="AD1022" s="28" t="s">
        <v>690</v>
      </c>
      <c r="AE1022" s="28"/>
      <c r="AF1022" s="29">
        <v>45923</v>
      </c>
      <c r="AG1022" s="29"/>
    </row>
    <row r="1023" spans="1:33" ht="15.75" customHeight="1">
      <c r="A1023" s="32" t="s">
        <v>52</v>
      </c>
      <c r="B1023" s="33">
        <v>1038</v>
      </c>
      <c r="C1023" s="34" t="s">
        <v>5984</v>
      </c>
      <c r="D1023" s="35">
        <v>45921.308715949075</v>
      </c>
      <c r="E1023" s="43">
        <v>45921</v>
      </c>
      <c r="F1023" s="32" t="s">
        <v>836</v>
      </c>
      <c r="G1023" s="32" t="s">
        <v>837</v>
      </c>
      <c r="H1023" s="32" t="s">
        <v>838</v>
      </c>
      <c r="I1023" s="36" t="s">
        <v>839</v>
      </c>
      <c r="J1023" s="52" t="s">
        <v>840</v>
      </c>
      <c r="K1023" s="32" t="s">
        <v>5985</v>
      </c>
      <c r="L1023" s="32" t="s">
        <v>842</v>
      </c>
      <c r="M1023" s="32" t="s">
        <v>382</v>
      </c>
      <c r="N1023" s="33">
        <v>5</v>
      </c>
      <c r="O1023" s="35"/>
      <c r="P1023" s="35"/>
      <c r="Q1023" s="37"/>
      <c r="R1023" s="38"/>
      <c r="S1023" s="33"/>
      <c r="T1023" s="39">
        <v>197000</v>
      </c>
      <c r="U1023" s="40" t="s">
        <v>115</v>
      </c>
      <c r="V1023" s="41"/>
      <c r="W1023" s="42" t="str">
        <f ca="1">IFERROR(__xludf.DUMMYFUNCTION("""COMPUTED_VALUE"""),"Soto Padang")</f>
        <v>Soto Padang</v>
      </c>
      <c r="X1023" s="42" t="str">
        <f ca="1"/>
        <v>ON-Soto Padang-00011900+5-6282125465047</v>
      </c>
      <c r="Y1023" s="40"/>
      <c r="Z1023" s="40"/>
      <c r="AA1023" s="23" t="str">
        <v>https://wa.me/6282125465047</v>
      </c>
      <c r="AB1023" s="28"/>
      <c r="AC1023" s="28"/>
      <c r="AD1023" s="28"/>
      <c r="AE1023" s="28"/>
      <c r="AF1023" s="29"/>
      <c r="AG1023" s="29"/>
    </row>
    <row r="1024" spans="1:33" ht="15.75" customHeight="1">
      <c r="A1024" s="32" t="s">
        <v>196</v>
      </c>
      <c r="B1024" s="33">
        <v>1039</v>
      </c>
      <c r="C1024" s="34" t="s">
        <v>5986</v>
      </c>
      <c r="D1024" s="35">
        <v>45921.432949074078</v>
      </c>
      <c r="E1024" s="43">
        <v>45921</v>
      </c>
      <c r="F1024" s="32" t="s">
        <v>5496</v>
      </c>
      <c r="G1024" s="32" t="s">
        <v>5497</v>
      </c>
      <c r="H1024" s="32" t="s">
        <v>5498</v>
      </c>
      <c r="I1024" s="36" t="s">
        <v>5987</v>
      </c>
      <c r="J1024" s="52" t="s">
        <v>5988</v>
      </c>
      <c r="K1024" s="32" t="s">
        <v>5989</v>
      </c>
      <c r="L1024" s="32" t="s">
        <v>817</v>
      </c>
      <c r="M1024" s="32" t="s">
        <v>60</v>
      </c>
      <c r="N1024" s="33">
        <v>7</v>
      </c>
      <c r="O1024" s="35"/>
      <c r="P1024" s="35"/>
      <c r="Q1024" s="37"/>
      <c r="R1024" s="38"/>
      <c r="S1024" s="33"/>
      <c r="T1024" s="39">
        <v>297000</v>
      </c>
      <c r="U1024" s="40" t="s">
        <v>61</v>
      </c>
      <c r="V1024" s="41"/>
      <c r="W1024" s="42" t="str">
        <f ca="1">IFERROR(__xludf.DUMMYFUNCTION("""COMPUTED_VALUE"""),"Adi Family")</f>
        <v>Adi Family</v>
      </c>
      <c r="X1024" s="42" t="str">
        <f ca="1"/>
        <v>ON-Adi Family-00011900+7-6282224215385</v>
      </c>
      <c r="Y1024" s="40" t="s">
        <v>293</v>
      </c>
      <c r="Z1024" s="40" t="s">
        <v>1057</v>
      </c>
      <c r="AA1024" s="23" t="str">
        <v>https://wa.me/6282224215385</v>
      </c>
      <c r="AB1024" s="28" t="s">
        <v>5990</v>
      </c>
      <c r="AC1024" s="28"/>
      <c r="AD1024" s="28" t="s">
        <v>690</v>
      </c>
      <c r="AE1024" s="28"/>
      <c r="AF1024" s="29">
        <v>45924</v>
      </c>
      <c r="AG1024" s="29"/>
    </row>
    <row r="1025" spans="1:33" ht="15.75" customHeight="1">
      <c r="A1025" s="32" t="s">
        <v>196</v>
      </c>
      <c r="B1025" s="33">
        <v>1040</v>
      </c>
      <c r="C1025" s="34" t="s">
        <v>5991</v>
      </c>
      <c r="D1025" s="35">
        <v>45921.722645567133</v>
      </c>
      <c r="E1025" s="43">
        <v>45919</v>
      </c>
      <c r="F1025" s="32" t="s">
        <v>5992</v>
      </c>
      <c r="G1025" s="54" t="s">
        <v>5993</v>
      </c>
      <c r="H1025" s="32" t="s">
        <v>5994</v>
      </c>
      <c r="I1025" s="36" t="s">
        <v>5995</v>
      </c>
      <c r="J1025" s="52"/>
      <c r="K1025" s="32" t="s">
        <v>5996</v>
      </c>
      <c r="L1025" s="32" t="s">
        <v>3762</v>
      </c>
      <c r="M1025" s="32" t="s">
        <v>711</v>
      </c>
      <c r="N1025" s="33">
        <v>30</v>
      </c>
      <c r="O1025" s="35"/>
      <c r="P1025" s="35"/>
      <c r="Q1025" s="37"/>
      <c r="R1025" s="38"/>
      <c r="S1025" s="33"/>
      <c r="T1025" s="39">
        <v>1000000</v>
      </c>
      <c r="U1025" s="40" t="s">
        <v>1229</v>
      </c>
      <c r="V1025" s="41"/>
      <c r="W1025" s="55" t="str">
        <f ca="1">IFERROR(__xludf.DUMMYFUNCTION("""COMPUTED_VALUE"""),"kolamrenangku.id")</f>
        <v>kolamrenangku.id</v>
      </c>
      <c r="X1025" s="42" t="str">
        <f ca="1"/>
        <v>ON-kolamrenangku.id-00011900+30-6282225454797</v>
      </c>
      <c r="Y1025" s="40" t="s">
        <v>293</v>
      </c>
      <c r="Z1025" s="40" t="s">
        <v>1057</v>
      </c>
      <c r="AA1025" s="23" t="str">
        <v>https://wa.me/6282225454797</v>
      </c>
      <c r="AB1025" s="28" t="s">
        <v>5997</v>
      </c>
      <c r="AC1025" s="28"/>
      <c r="AD1025" s="28" t="s">
        <v>690</v>
      </c>
      <c r="AE1025" s="28"/>
      <c r="AF1025" s="29">
        <v>45923</v>
      </c>
      <c r="AG1025" s="29"/>
    </row>
    <row r="1026" spans="1:33" ht="15.75" customHeight="1">
      <c r="A1026" s="32" t="s">
        <v>52</v>
      </c>
      <c r="B1026" s="33">
        <v>1041</v>
      </c>
      <c r="C1026" s="34" t="s">
        <v>5998</v>
      </c>
      <c r="D1026" s="35">
        <v>45922.243740740741</v>
      </c>
      <c r="E1026" s="43">
        <v>45922</v>
      </c>
      <c r="F1026" s="32" t="s">
        <v>2479</v>
      </c>
      <c r="G1026" s="32" t="s">
        <v>2480</v>
      </c>
      <c r="H1026" s="32" t="s">
        <v>2481</v>
      </c>
      <c r="I1026" s="36" t="s">
        <v>2482</v>
      </c>
      <c r="J1026" s="52"/>
      <c r="K1026" s="32" t="s">
        <v>2894</v>
      </c>
      <c r="L1026" s="32" t="s">
        <v>1628</v>
      </c>
      <c r="M1026" s="32" t="s">
        <v>60</v>
      </c>
      <c r="N1026" s="33">
        <v>10</v>
      </c>
      <c r="O1026" s="35"/>
      <c r="P1026" s="35"/>
      <c r="Q1026" s="37"/>
      <c r="R1026" s="38"/>
      <c r="S1026" s="33"/>
      <c r="T1026" s="39">
        <v>375000</v>
      </c>
      <c r="U1026" s="40" t="s">
        <v>115</v>
      </c>
      <c r="V1026" s="41"/>
      <c r="W1026" s="42" t="str">
        <f ca="1">IFERROR(__xludf.DUMMYFUNCTION("""COMPUTED_VALUE"""),"AURIGA KONTRAKTOR")</f>
        <v>AURIGA KONTRAKTOR</v>
      </c>
      <c r="X1026" s="42" t="str">
        <f ca="1"/>
        <v>ON-AURIGA KONTRAKTOR-00011900+10-6287856230745</v>
      </c>
      <c r="Y1026" s="40"/>
      <c r="Z1026" s="40"/>
      <c r="AA1026" s="23" t="str">
        <v>https://wa.me/6287856230745</v>
      </c>
      <c r="AB1026" s="28"/>
      <c r="AC1026" s="28"/>
      <c r="AD1026" s="28"/>
      <c r="AE1026" s="28"/>
      <c r="AF1026" s="29"/>
      <c r="AG1026" s="29"/>
    </row>
    <row r="1027" spans="1:33" ht="15.75" customHeight="1">
      <c r="A1027" s="32" t="s">
        <v>52</v>
      </c>
      <c r="B1027" s="33">
        <v>1042</v>
      </c>
      <c r="C1027" s="34" t="s">
        <v>5999</v>
      </c>
      <c r="D1027" s="35">
        <v>45922.861945439814</v>
      </c>
      <c r="E1027" s="43">
        <v>45922</v>
      </c>
      <c r="F1027" s="32" t="s">
        <v>3483</v>
      </c>
      <c r="G1027" s="32" t="s">
        <v>4491</v>
      </c>
      <c r="H1027" s="32" t="s">
        <v>3485</v>
      </c>
      <c r="I1027" s="36" t="s">
        <v>3486</v>
      </c>
      <c r="J1027" s="52"/>
      <c r="K1027" s="32" t="s">
        <v>570</v>
      </c>
      <c r="L1027" s="32" t="s">
        <v>2468</v>
      </c>
      <c r="M1027" s="32" t="s">
        <v>60</v>
      </c>
      <c r="N1027" s="33">
        <v>10</v>
      </c>
      <c r="O1027" s="35"/>
      <c r="P1027" s="35"/>
      <c r="Q1027" s="37"/>
      <c r="R1027" s="38"/>
      <c r="S1027" s="33"/>
      <c r="T1027" s="39">
        <v>375000</v>
      </c>
      <c r="U1027" s="40" t="s">
        <v>61</v>
      </c>
      <c r="V1027" s="41"/>
      <c r="W1027" s="42" t="str">
        <f ca="1">IFERROR(__xludf.DUMMYFUNCTION("""COMPUTED_VALUE"""),"Spectrum Holiday")</f>
        <v>Spectrum Holiday</v>
      </c>
      <c r="X1027" s="42" t="str">
        <f ca="1"/>
        <v>ON-Spectrum Holiday-00011900+10-6285946504405</v>
      </c>
      <c r="Y1027" s="40"/>
      <c r="Z1027" s="40"/>
      <c r="AA1027" s="23" t="str">
        <v>https://wa.me/6285946504405</v>
      </c>
      <c r="AB1027" s="28"/>
      <c r="AC1027" s="28"/>
      <c r="AD1027" s="28"/>
      <c r="AE1027" s="28"/>
      <c r="AF1027" s="29"/>
      <c r="AG1027" s="29"/>
    </row>
    <row r="1028" spans="1:33" ht="15.75" customHeight="1">
      <c r="A1028" s="32" t="s">
        <v>196</v>
      </c>
      <c r="B1028" s="33">
        <v>1043</v>
      </c>
      <c r="C1028" s="34" t="s">
        <v>6000</v>
      </c>
      <c r="D1028" s="35">
        <v>45923.307988310189</v>
      </c>
      <c r="E1028" s="43">
        <v>45922</v>
      </c>
      <c r="F1028" s="32" t="s">
        <v>6001</v>
      </c>
      <c r="G1028" s="32" t="s">
        <v>6002</v>
      </c>
      <c r="H1028" s="32" t="s">
        <v>4802</v>
      </c>
      <c r="I1028" s="36" t="s">
        <v>272</v>
      </c>
      <c r="J1028" s="52"/>
      <c r="K1028" s="32" t="s">
        <v>5287</v>
      </c>
      <c r="L1028" s="32" t="s">
        <v>647</v>
      </c>
      <c r="M1028" s="32" t="s">
        <v>60</v>
      </c>
      <c r="N1028" s="33">
        <v>5</v>
      </c>
      <c r="O1028" s="35"/>
      <c r="P1028" s="35"/>
      <c r="Q1028" s="37"/>
      <c r="R1028" s="38"/>
      <c r="S1028" s="33"/>
      <c r="T1028" s="39">
        <v>150000</v>
      </c>
      <c r="U1028" s="40"/>
      <c r="V1028" s="41"/>
      <c r="W1028" s="42" t="str">
        <f ca="1">IFERROR(__xludf.DUMMYFUNCTION("""COMPUTED_VALUE"""),"Sahabat Teknik")</f>
        <v>Sahabat Teknik</v>
      </c>
      <c r="X1028" s="42" t="str">
        <f ca="1"/>
        <v>ON-Sahabat Teknik-00011900+5-6285737244570</v>
      </c>
      <c r="Y1028" s="40" t="s">
        <v>62</v>
      </c>
      <c r="Z1028" s="40" t="s">
        <v>277</v>
      </c>
      <c r="AA1028" s="23" t="str">
        <v>https://wa.me/6285737244570</v>
      </c>
      <c r="AB1028" s="28" t="s">
        <v>6003</v>
      </c>
      <c r="AC1028" s="28"/>
      <c r="AD1028" s="28" t="s">
        <v>690</v>
      </c>
      <c r="AE1028" s="28"/>
      <c r="AF1028" s="29">
        <v>45924</v>
      </c>
      <c r="AG1028" s="29"/>
    </row>
    <row r="1029" spans="1:33" ht="15.75" customHeight="1">
      <c r="A1029" s="32" t="s">
        <v>52</v>
      </c>
      <c r="B1029" s="33">
        <v>1044</v>
      </c>
      <c r="C1029" s="34" t="s">
        <v>6004</v>
      </c>
      <c r="D1029" s="35">
        <v>45923.424474884261</v>
      </c>
      <c r="E1029" s="43">
        <v>45923</v>
      </c>
      <c r="F1029" s="32" t="s">
        <v>5577</v>
      </c>
      <c r="G1029" s="32" t="s">
        <v>5578</v>
      </c>
      <c r="H1029" s="32" t="s">
        <v>5579</v>
      </c>
      <c r="I1029" s="36" t="s">
        <v>6005</v>
      </c>
      <c r="J1029" s="52"/>
      <c r="K1029" s="32" t="s">
        <v>5581</v>
      </c>
      <c r="L1029" s="32" t="s">
        <v>92</v>
      </c>
      <c r="M1029" s="32" t="s">
        <v>92</v>
      </c>
      <c r="N1029" s="33">
        <v>5</v>
      </c>
      <c r="O1029" s="35"/>
      <c r="P1029" s="35"/>
      <c r="Q1029" s="37"/>
      <c r="R1029" s="38"/>
      <c r="S1029" s="33"/>
      <c r="T1029" s="39">
        <v>197000</v>
      </c>
      <c r="U1029" s="40" t="s">
        <v>115</v>
      </c>
      <c r="V1029" s="41"/>
      <c r="W1029" s="42" t="str">
        <f ca="1">IFERROR(__xludf.DUMMYFUNCTION("""COMPUTED_VALUE"""),"PT MAS")</f>
        <v>PT MAS</v>
      </c>
      <c r="X1029" s="42" t="str">
        <f ca="1"/>
        <v>ON-PT MAS-00011900+5-6285891693677</v>
      </c>
      <c r="Y1029" s="40"/>
      <c r="Z1029" s="40"/>
      <c r="AA1029" s="23" t="str">
        <v>https://wa.me/6285891693677</v>
      </c>
      <c r="AB1029" s="28"/>
      <c r="AC1029" s="28"/>
      <c r="AD1029" s="28"/>
      <c r="AE1029" s="28"/>
      <c r="AF1029" s="29"/>
      <c r="AG1029" s="29"/>
    </row>
    <row r="1030" spans="1:33" ht="15.75" customHeight="1">
      <c r="A1030" s="32" t="s">
        <v>196</v>
      </c>
      <c r="B1030" s="33">
        <v>1045</v>
      </c>
      <c r="C1030" s="34" t="s">
        <v>6006</v>
      </c>
      <c r="D1030" s="35">
        <v>45923.450740775465</v>
      </c>
      <c r="E1030" s="43">
        <v>45923</v>
      </c>
      <c r="F1030" s="32" t="s">
        <v>6007</v>
      </c>
      <c r="G1030" s="32" t="s">
        <v>6008</v>
      </c>
      <c r="H1030" s="32" t="s">
        <v>6009</v>
      </c>
      <c r="I1030" s="36" t="s">
        <v>6010</v>
      </c>
      <c r="J1030" s="52" t="s">
        <v>6011</v>
      </c>
      <c r="K1030" s="32"/>
      <c r="L1030" s="32" t="s">
        <v>6012</v>
      </c>
      <c r="M1030" s="32" t="s">
        <v>1773</v>
      </c>
      <c r="N1030" s="33">
        <v>10</v>
      </c>
      <c r="O1030" s="35"/>
      <c r="P1030" s="35"/>
      <c r="Q1030" s="37"/>
      <c r="R1030" s="38"/>
      <c r="S1030" s="33"/>
      <c r="T1030" s="39">
        <v>375000</v>
      </c>
      <c r="U1030" s="40" t="s">
        <v>1774</v>
      </c>
      <c r="V1030" s="41"/>
      <c r="W1030" s="42" t="str">
        <f ca="1">IFERROR(__xludf.DUMMYFUNCTION("""COMPUTED_VALUE"""),"Multi Niaga")</f>
        <v>Multi Niaga</v>
      </c>
      <c r="X1030" s="42" t="str">
        <f ca="1"/>
        <v>ON-Multi Niaga-00011900+10-6281230656664</v>
      </c>
      <c r="Y1030" s="40" t="s">
        <v>62</v>
      </c>
      <c r="Z1030" s="40" t="s">
        <v>1465</v>
      </c>
      <c r="AA1030" s="23" t="str">
        <v>https://wa.me/6281230656664</v>
      </c>
      <c r="AB1030" s="28" t="s">
        <v>6013</v>
      </c>
      <c r="AC1030" s="28"/>
      <c r="AD1030" s="28" t="s">
        <v>690</v>
      </c>
      <c r="AE1030" s="28"/>
      <c r="AF1030" s="29">
        <v>45925</v>
      </c>
      <c r="AG1030" s="29"/>
    </row>
    <row r="1031" spans="1:33" ht="15.75" customHeight="1">
      <c r="A1031" s="32" t="s">
        <v>196</v>
      </c>
      <c r="B1031" s="33">
        <v>1046</v>
      </c>
      <c r="C1031" s="34" t="s">
        <v>6014</v>
      </c>
      <c r="D1031" s="35">
        <v>45923.629306192131</v>
      </c>
      <c r="E1031" s="43">
        <v>45923</v>
      </c>
      <c r="F1031" s="32" t="s">
        <v>6015</v>
      </c>
      <c r="G1031" s="32" t="s">
        <v>6016</v>
      </c>
      <c r="H1031" s="32" t="s">
        <v>6017</v>
      </c>
      <c r="I1031" s="36" t="s">
        <v>6018</v>
      </c>
      <c r="J1031" s="52"/>
      <c r="K1031" s="32" t="s">
        <v>6019</v>
      </c>
      <c r="L1031" s="32" t="s">
        <v>6020</v>
      </c>
      <c r="M1031" s="32" t="s">
        <v>249</v>
      </c>
      <c r="N1031" s="33">
        <v>30</v>
      </c>
      <c r="O1031" s="35"/>
      <c r="P1031" s="35"/>
      <c r="Q1031" s="37"/>
      <c r="R1031" s="38"/>
      <c r="S1031" s="33"/>
      <c r="T1031" s="39">
        <v>1000000</v>
      </c>
      <c r="U1031" s="40" t="s">
        <v>1229</v>
      </c>
      <c r="V1031" s="41"/>
      <c r="W1031" s="42" t="str">
        <f ca="1">IFERROR(__xludf.DUMMYFUNCTION("""COMPUTED_VALUE"""),"Griyo terapi")</f>
        <v>Griyo terapi</v>
      </c>
      <c r="X1031" s="42" t="str">
        <f ca="1"/>
        <v>ON-Griyo terapi-00011900+30-6281390669379</v>
      </c>
      <c r="Y1031" s="40" t="s">
        <v>62</v>
      </c>
      <c r="Z1031" s="40" t="s">
        <v>639</v>
      </c>
      <c r="AA1031" s="23" t="str">
        <v>https://wa.me/6281390669379</v>
      </c>
      <c r="AB1031" s="28" t="s">
        <v>6021</v>
      </c>
      <c r="AC1031" s="28"/>
      <c r="AD1031" s="28" t="s">
        <v>690</v>
      </c>
      <c r="AE1031" s="28"/>
      <c r="AF1031" s="29">
        <v>45925</v>
      </c>
      <c r="AG1031" s="29"/>
    </row>
    <row r="1032" spans="1:33" ht="15.75" customHeight="1">
      <c r="A1032" s="32" t="s">
        <v>52</v>
      </c>
      <c r="B1032" s="33">
        <v>1047</v>
      </c>
      <c r="C1032" s="34" t="s">
        <v>6022</v>
      </c>
      <c r="D1032" s="35">
        <v>45923.777819050927</v>
      </c>
      <c r="E1032" s="43">
        <v>45923</v>
      </c>
      <c r="F1032" s="32" t="s">
        <v>5412</v>
      </c>
      <c r="G1032" s="32" t="s">
        <v>5413</v>
      </c>
      <c r="H1032" s="32" t="s">
        <v>298</v>
      </c>
      <c r="I1032" s="36" t="s">
        <v>5414</v>
      </c>
      <c r="J1032" s="52"/>
      <c r="K1032" s="32" t="s">
        <v>5415</v>
      </c>
      <c r="L1032" s="32" t="s">
        <v>4886</v>
      </c>
      <c r="M1032" s="32" t="s">
        <v>382</v>
      </c>
      <c r="N1032" s="33">
        <v>10</v>
      </c>
      <c r="O1032" s="35"/>
      <c r="P1032" s="35"/>
      <c r="Q1032" s="37"/>
      <c r="R1032" s="38"/>
      <c r="S1032" s="33"/>
      <c r="T1032" s="39">
        <v>375000</v>
      </c>
      <c r="U1032" s="40" t="s">
        <v>115</v>
      </c>
      <c r="V1032" s="41"/>
      <c r="W1032" s="42" t="str">
        <f ca="1">IFERROR(__xludf.DUMMYFUNCTION("""COMPUTED_VALUE"""),"Adam steel")</f>
        <v>Adam steel</v>
      </c>
      <c r="X1032" s="42" t="str">
        <f ca="1"/>
        <v>ON-Adam steel-00011900+10-628990570840</v>
      </c>
      <c r="Y1032" s="40"/>
      <c r="Z1032" s="40"/>
      <c r="AA1032" s="23" t="str">
        <v>https://wa.me/628990570840</v>
      </c>
      <c r="AB1032" s="28"/>
      <c r="AC1032" s="28"/>
      <c r="AD1032" s="28"/>
      <c r="AE1032" s="28"/>
      <c r="AF1032" s="29"/>
      <c r="AG1032" s="29"/>
    </row>
    <row r="1033" spans="1:33" ht="15.75" customHeight="1">
      <c r="A1033" s="32" t="s">
        <v>52</v>
      </c>
      <c r="B1033" s="33">
        <v>1048</v>
      </c>
      <c r="C1033" s="34" t="s">
        <v>6023</v>
      </c>
      <c r="D1033" s="35">
        <v>45923.789349861108</v>
      </c>
      <c r="E1033" s="43">
        <v>45923</v>
      </c>
      <c r="F1033" s="32" t="s">
        <v>4042</v>
      </c>
      <c r="G1033" s="32" t="s">
        <v>4043</v>
      </c>
      <c r="H1033" s="32" t="s">
        <v>4044</v>
      </c>
      <c r="I1033" s="36" t="s">
        <v>4045</v>
      </c>
      <c r="J1033" s="52"/>
      <c r="K1033" s="32" t="s">
        <v>6024</v>
      </c>
      <c r="L1033" s="32" t="s">
        <v>4046</v>
      </c>
      <c r="M1033" s="32" t="s">
        <v>4047</v>
      </c>
      <c r="N1033" s="33">
        <v>20</v>
      </c>
      <c r="O1033" s="35"/>
      <c r="P1033" s="35"/>
      <c r="Q1033" s="37"/>
      <c r="R1033" s="38"/>
      <c r="S1033" s="33"/>
      <c r="T1033" s="39">
        <v>700000</v>
      </c>
      <c r="U1033" s="40" t="s">
        <v>1229</v>
      </c>
      <c r="V1033" s="41"/>
      <c r="W1033" s="42" t="str">
        <f ca="1">IFERROR(__xludf.DUMMYFUNCTION("""COMPUTED_VALUE"""),"pusat roster,bata")</f>
        <v>pusat roster,bata</v>
      </c>
      <c r="X1033" s="42" t="str">
        <f ca="1"/>
        <v>ON-pusat roster,bata-00011900+20-6285925102815</v>
      </c>
      <c r="Y1033" s="40"/>
      <c r="Z1033" s="40"/>
      <c r="AA1033" s="23" t="str">
        <v>https://wa.me/6285925102815</v>
      </c>
      <c r="AB1033" s="28"/>
      <c r="AC1033" s="28"/>
      <c r="AD1033" s="28"/>
      <c r="AE1033" s="28"/>
      <c r="AF1033" s="29"/>
      <c r="AG1033" s="29"/>
    </row>
    <row r="1034" spans="1:33" ht="15.75" customHeight="1">
      <c r="A1034" s="32" t="s">
        <v>621</v>
      </c>
      <c r="B1034" s="33">
        <v>1049</v>
      </c>
      <c r="C1034" s="34" t="s">
        <v>6025</v>
      </c>
      <c r="D1034" s="35">
        <v>45923.884593969909</v>
      </c>
      <c r="E1034" s="43">
        <v>45923</v>
      </c>
      <c r="F1034" s="32" t="s">
        <v>6015</v>
      </c>
      <c r="G1034" s="32" t="s">
        <v>6016</v>
      </c>
      <c r="H1034" s="32" t="s">
        <v>6017</v>
      </c>
      <c r="I1034" s="36" t="s">
        <v>6018</v>
      </c>
      <c r="J1034" s="52"/>
      <c r="K1034" s="32" t="s">
        <v>6019</v>
      </c>
      <c r="L1034" s="32" t="s">
        <v>6020</v>
      </c>
      <c r="M1034" s="32" t="s">
        <v>249</v>
      </c>
      <c r="N1034" s="33">
        <v>30</v>
      </c>
      <c r="O1034" s="35"/>
      <c r="P1034" s="35"/>
      <c r="Q1034" s="37"/>
      <c r="R1034" s="38"/>
      <c r="S1034" s="33"/>
      <c r="T1034" s="39">
        <v>1000000</v>
      </c>
      <c r="U1034" s="40" t="s">
        <v>1229</v>
      </c>
      <c r="V1034" s="41"/>
      <c r="W1034" s="42" t="str">
        <f ca="1">IFERROR(__xludf.DUMMYFUNCTION("""COMPUTED_VALUE"""),"Griyo terapi")</f>
        <v>Griyo terapi</v>
      </c>
      <c r="X1034" s="42" t="str">
        <f ca="1"/>
        <v>ON-Griyo terapi-00011900+30-6281390669379</v>
      </c>
      <c r="Y1034" s="40"/>
      <c r="Z1034" s="40"/>
      <c r="AA1034" s="23" t="str">
        <v>https://wa.me/6281390669379</v>
      </c>
      <c r="AB1034" s="28"/>
      <c r="AC1034" s="28"/>
      <c r="AD1034" s="28"/>
      <c r="AE1034" s="28"/>
      <c r="AF1034" s="29"/>
      <c r="AG1034" s="29"/>
    </row>
    <row r="1035" spans="1:33" ht="15.75" customHeight="1">
      <c r="A1035" s="32" t="s">
        <v>52</v>
      </c>
      <c r="B1035" s="33">
        <v>1050</v>
      </c>
      <c r="C1035" s="34" t="s">
        <v>6026</v>
      </c>
      <c r="D1035" s="35">
        <v>45924.781454097218</v>
      </c>
      <c r="E1035" s="43">
        <v>45924</v>
      </c>
      <c r="F1035" s="32" t="s">
        <v>3052</v>
      </c>
      <c r="G1035" s="32" t="s">
        <v>5796</v>
      </c>
      <c r="H1035" s="32" t="s">
        <v>5797</v>
      </c>
      <c r="I1035" s="36" t="s">
        <v>5798</v>
      </c>
      <c r="J1035" s="52"/>
      <c r="K1035" s="32" t="s">
        <v>570</v>
      </c>
      <c r="L1035" s="32" t="s">
        <v>5799</v>
      </c>
      <c r="M1035" s="32" t="s">
        <v>249</v>
      </c>
      <c r="N1035" s="33">
        <v>7</v>
      </c>
      <c r="O1035" s="35"/>
      <c r="P1035" s="35"/>
      <c r="Q1035" s="37"/>
      <c r="R1035" s="38"/>
      <c r="S1035" s="33"/>
      <c r="T1035" s="39">
        <v>297000</v>
      </c>
      <c r="U1035" s="40" t="s">
        <v>1774</v>
      </c>
      <c r="V1035" s="41"/>
      <c r="W1035" s="42" t="str">
        <f ca="1">IFERROR(__xludf.DUMMYFUNCTION("""COMPUTED_VALUE"""),"Garasi Kontraktor")</f>
        <v>Garasi Kontraktor</v>
      </c>
      <c r="X1035" s="42" t="str">
        <f ca="1"/>
        <v>ON-Garasi Kontraktor-00011900+7-6285811687779</v>
      </c>
      <c r="Y1035" s="40"/>
      <c r="Z1035" s="40"/>
      <c r="AA1035" s="23" t="str">
        <v>https://wa.me/6285811687779</v>
      </c>
      <c r="AB1035" s="28"/>
      <c r="AC1035" s="28"/>
      <c r="AD1035" s="28"/>
      <c r="AE1035" s="28"/>
      <c r="AF1035" s="29"/>
      <c r="AG1035" s="29"/>
    </row>
    <row r="1036" spans="1:33" ht="15.75" customHeight="1">
      <c r="A1036" s="32" t="s">
        <v>196</v>
      </c>
      <c r="B1036" s="33">
        <v>1051</v>
      </c>
      <c r="C1036" s="34" t="s">
        <v>6027</v>
      </c>
      <c r="D1036" s="35">
        <v>45924.827831435185</v>
      </c>
      <c r="E1036" s="43">
        <v>45924</v>
      </c>
      <c r="F1036" s="32" t="s">
        <v>6028</v>
      </c>
      <c r="G1036" s="32" t="s">
        <v>6029</v>
      </c>
      <c r="H1036" s="32" t="s">
        <v>6030</v>
      </c>
      <c r="I1036" s="36" t="s">
        <v>6031</v>
      </c>
      <c r="J1036" s="52"/>
      <c r="K1036" s="32" t="s">
        <v>1024</v>
      </c>
      <c r="L1036" s="32" t="s">
        <v>6032</v>
      </c>
      <c r="M1036" s="32" t="s">
        <v>92</v>
      </c>
      <c r="N1036" s="33">
        <v>10</v>
      </c>
      <c r="O1036" s="35"/>
      <c r="P1036" s="35"/>
      <c r="Q1036" s="37"/>
      <c r="R1036" s="38"/>
      <c r="S1036" s="33"/>
      <c r="T1036" s="39">
        <v>375000</v>
      </c>
      <c r="U1036" s="40" t="s">
        <v>1229</v>
      </c>
      <c r="V1036" s="41"/>
      <c r="W1036" s="42" t="str">
        <f ca="1">IFERROR(__xludf.DUMMYFUNCTION("""COMPUTED_VALUE"""),"PT Just")</f>
        <v>PT Just</v>
      </c>
      <c r="X1036" s="42" t="str">
        <f ca="1"/>
        <v>ON-PT Just-00011900+10-6281297252309</v>
      </c>
      <c r="Y1036" s="40" t="s">
        <v>293</v>
      </c>
      <c r="Z1036" s="40" t="s">
        <v>1057</v>
      </c>
      <c r="AA1036" s="23" t="str">
        <v>https://wa.me/6281297252309</v>
      </c>
      <c r="AB1036" s="28" t="s">
        <v>6033</v>
      </c>
      <c r="AC1036" s="28"/>
      <c r="AD1036" s="28" t="s">
        <v>690</v>
      </c>
      <c r="AE1036" s="28"/>
      <c r="AF1036" s="29">
        <v>45926</v>
      </c>
      <c r="AG1036" s="29"/>
    </row>
    <row r="1037" spans="1:33" ht="15.75" customHeight="1">
      <c r="A1037" s="32" t="s">
        <v>52</v>
      </c>
      <c r="B1037" s="33">
        <v>1052</v>
      </c>
      <c r="C1037" s="34" t="s">
        <v>6034</v>
      </c>
      <c r="D1037" s="35">
        <v>45925.03961861111</v>
      </c>
      <c r="E1037" s="43">
        <v>45924</v>
      </c>
      <c r="F1037" s="32" t="s">
        <v>5514</v>
      </c>
      <c r="G1037" s="32" t="s">
        <v>5515</v>
      </c>
      <c r="H1037" s="32" t="s">
        <v>5516</v>
      </c>
      <c r="I1037" s="36" t="s">
        <v>5517</v>
      </c>
      <c r="J1037" s="52"/>
      <c r="K1037" s="32" t="s">
        <v>5518</v>
      </c>
      <c r="L1037" s="32" t="s">
        <v>2468</v>
      </c>
      <c r="M1037" s="32" t="s">
        <v>60</v>
      </c>
      <c r="N1037" s="33">
        <v>10</v>
      </c>
      <c r="O1037" s="35"/>
      <c r="P1037" s="35"/>
      <c r="Q1037" s="37"/>
      <c r="R1037" s="38"/>
      <c r="S1037" s="33"/>
      <c r="T1037" s="39">
        <v>375000</v>
      </c>
      <c r="U1037" s="40" t="s">
        <v>61</v>
      </c>
      <c r="V1037" s="41"/>
      <c r="W1037" s="42" t="str">
        <f ca="1">IFERROR(__xludf.DUMMYFUNCTION("""COMPUTED_VALUE"""),"Pelangi Gorden")</f>
        <v>Pelangi Gorden</v>
      </c>
      <c r="X1037" s="42" t="str">
        <f ca="1"/>
        <v>ON-Pelangi Gorden-00011900+10-6285245301996</v>
      </c>
      <c r="Y1037" s="40"/>
      <c r="Z1037" s="40"/>
      <c r="AA1037" s="23" t="str">
        <v>https://wa.me/6285245301996</v>
      </c>
      <c r="AB1037" s="28"/>
      <c r="AC1037" s="28"/>
      <c r="AD1037" s="28"/>
      <c r="AE1037" s="28"/>
      <c r="AF1037" s="29"/>
      <c r="AG1037" s="29"/>
    </row>
    <row r="1038" spans="1:33" ht="15.75" customHeight="1">
      <c r="A1038" s="32" t="s">
        <v>52</v>
      </c>
      <c r="B1038" s="33">
        <v>1053</v>
      </c>
      <c r="C1038" s="34" t="s">
        <v>6035</v>
      </c>
      <c r="D1038" s="35">
        <v>45925.039981875001</v>
      </c>
      <c r="E1038" s="43">
        <v>45924</v>
      </c>
      <c r="F1038" s="32" t="s">
        <v>5534</v>
      </c>
      <c r="G1038" s="32" t="s">
        <v>5535</v>
      </c>
      <c r="H1038" s="32" t="s">
        <v>5536</v>
      </c>
      <c r="I1038" s="36" t="s">
        <v>5537</v>
      </c>
      <c r="J1038" s="52"/>
      <c r="K1038" s="32" t="s">
        <v>6036</v>
      </c>
      <c r="L1038" s="32" t="s">
        <v>1008</v>
      </c>
      <c r="M1038" s="32" t="s">
        <v>60</v>
      </c>
      <c r="N1038" s="33">
        <v>20</v>
      </c>
      <c r="O1038" s="35"/>
      <c r="P1038" s="35"/>
      <c r="Q1038" s="37"/>
      <c r="R1038" s="38"/>
      <c r="S1038" s="33"/>
      <c r="T1038" s="39">
        <v>700000</v>
      </c>
      <c r="U1038" s="40" t="s">
        <v>61</v>
      </c>
      <c r="V1038" s="41"/>
      <c r="W1038" s="42" t="str">
        <f ca="1">IFERROR(__xludf.DUMMYFUNCTION("""COMPUTED_VALUE"""),"Rumah Sehat")</f>
        <v>Rumah Sehat</v>
      </c>
      <c r="X1038" s="42" t="str">
        <f ca="1"/>
        <v>ON-Rumah Sehat-00011900+20-6281316122975</v>
      </c>
      <c r="Y1038" s="40"/>
      <c r="Z1038" s="40"/>
      <c r="AA1038" s="23" t="str">
        <v>https://wa.me/6281316122975</v>
      </c>
      <c r="AB1038" s="28"/>
      <c r="AC1038" s="28"/>
      <c r="AD1038" s="28"/>
      <c r="AE1038" s="28"/>
      <c r="AF1038" s="29"/>
      <c r="AG1038" s="29"/>
    </row>
    <row r="1039" spans="1:33" ht="15.75" customHeight="1">
      <c r="A1039" s="32" t="s">
        <v>196</v>
      </c>
      <c r="B1039" s="33">
        <v>1054</v>
      </c>
      <c r="C1039" s="34" t="s">
        <v>6037</v>
      </c>
      <c r="D1039" s="35">
        <v>45925.294942685185</v>
      </c>
      <c r="E1039" s="43">
        <v>45923</v>
      </c>
      <c r="F1039" s="32" t="s">
        <v>6038</v>
      </c>
      <c r="G1039" s="32" t="s">
        <v>6039</v>
      </c>
      <c r="H1039" s="32" t="s">
        <v>2255</v>
      </c>
      <c r="I1039" s="36" t="s">
        <v>6040</v>
      </c>
      <c r="J1039" s="52"/>
      <c r="K1039" s="32" t="s">
        <v>6041</v>
      </c>
      <c r="L1039" s="32" t="s">
        <v>6042</v>
      </c>
      <c r="M1039" s="32" t="s">
        <v>60</v>
      </c>
      <c r="N1039" s="33">
        <v>10</v>
      </c>
      <c r="O1039" s="35"/>
      <c r="P1039" s="35"/>
      <c r="Q1039" s="37"/>
      <c r="R1039" s="38"/>
      <c r="S1039" s="33"/>
      <c r="T1039" s="39">
        <v>375000</v>
      </c>
      <c r="U1039" s="40" t="s">
        <v>61</v>
      </c>
      <c r="V1039" s="41"/>
      <c r="W1039" s="42" t="str">
        <f ca="1">IFERROR(__xludf.DUMMYFUNCTION("""COMPUTED_VALUE"""),"Wiraloka Tour")</f>
        <v>Wiraloka Tour</v>
      </c>
      <c r="X1039" s="42" t="str">
        <f ca="1"/>
        <v>ON-Wiraloka Tour-00011900+10-6282241290026</v>
      </c>
      <c r="Y1039" s="40" t="s">
        <v>62</v>
      </c>
      <c r="Z1039" s="40" t="s">
        <v>1880</v>
      </c>
      <c r="AA1039" s="23" t="str">
        <v>https://wa.me/6282241290026</v>
      </c>
      <c r="AB1039" s="28" t="s">
        <v>6043</v>
      </c>
      <c r="AC1039" s="28"/>
      <c r="AD1039" s="28" t="s">
        <v>690</v>
      </c>
      <c r="AE1039" s="28"/>
      <c r="AF1039" s="29">
        <v>45926</v>
      </c>
      <c r="AG1039" s="29"/>
    </row>
    <row r="1040" spans="1:33" ht="15.75" customHeight="1">
      <c r="A1040" s="32" t="s">
        <v>52</v>
      </c>
      <c r="B1040" s="33">
        <v>1055</v>
      </c>
      <c r="C1040" s="34" t="s">
        <v>6044</v>
      </c>
      <c r="D1040" s="35">
        <v>45925.302208749999</v>
      </c>
      <c r="E1040" s="43">
        <v>45925</v>
      </c>
      <c r="F1040" s="32" t="s">
        <v>3772</v>
      </c>
      <c r="G1040" s="32" t="s">
        <v>3773</v>
      </c>
      <c r="H1040" s="32" t="s">
        <v>3774</v>
      </c>
      <c r="I1040" s="36" t="s">
        <v>3775</v>
      </c>
      <c r="J1040" s="52"/>
      <c r="K1040" s="32" t="s">
        <v>570</v>
      </c>
      <c r="L1040" s="32" t="s">
        <v>2291</v>
      </c>
      <c r="M1040" s="32" t="s">
        <v>2032</v>
      </c>
      <c r="N1040" s="33">
        <v>10</v>
      </c>
      <c r="O1040" s="35"/>
      <c r="P1040" s="35"/>
      <c r="Q1040" s="37"/>
      <c r="R1040" s="38"/>
      <c r="S1040" s="33"/>
      <c r="T1040" s="39">
        <v>375000</v>
      </c>
      <c r="U1040" s="40" t="s">
        <v>61</v>
      </c>
      <c r="V1040" s="41"/>
      <c r="W1040" s="42" t="str">
        <f ca="1">IFERROR(__xludf.DUMMYFUNCTION("""COMPUTED_VALUE"""),"Kharisma Filter")</f>
        <v>Kharisma Filter</v>
      </c>
      <c r="X1040" s="42" t="str">
        <f ca="1"/>
        <v>ON-Kharisma Filter-00011900+10-6285893658659</v>
      </c>
      <c r="Y1040" s="40"/>
      <c r="Z1040" s="40"/>
      <c r="AA1040" s="23" t="str">
        <v>https://wa.me/6285893658659</v>
      </c>
      <c r="AB1040" s="28"/>
      <c r="AC1040" s="28"/>
      <c r="AD1040" s="28"/>
      <c r="AE1040" s="28"/>
      <c r="AF1040" s="29"/>
      <c r="AG1040" s="29"/>
    </row>
    <row r="1041" spans="1:33" ht="15.75" customHeight="1">
      <c r="A1041" s="32" t="s">
        <v>196</v>
      </c>
      <c r="B1041" s="33">
        <v>1056</v>
      </c>
      <c r="C1041" s="34" t="s">
        <v>6045</v>
      </c>
      <c r="D1041" s="43">
        <v>46061</v>
      </c>
      <c r="E1041" s="43">
        <v>45925</v>
      </c>
      <c r="F1041" s="32" t="s">
        <v>6046</v>
      </c>
      <c r="G1041" s="32" t="s">
        <v>6047</v>
      </c>
      <c r="H1041" s="32" t="s">
        <v>6048</v>
      </c>
      <c r="I1041" s="36" t="s">
        <v>645</v>
      </c>
      <c r="J1041" s="52"/>
      <c r="K1041" s="32" t="s">
        <v>6049</v>
      </c>
      <c r="L1041" s="32" t="s">
        <v>3637</v>
      </c>
      <c r="M1041" s="32" t="s">
        <v>5643</v>
      </c>
      <c r="N1041" s="33">
        <v>30</v>
      </c>
      <c r="O1041" s="35"/>
      <c r="P1041" s="35"/>
      <c r="Q1041" s="37"/>
      <c r="R1041" s="38">
        <v>-1003470351325</v>
      </c>
      <c r="S1041" s="33"/>
      <c r="T1041" s="39">
        <v>1000000</v>
      </c>
      <c r="U1041" s="40" t="s">
        <v>1774</v>
      </c>
      <c r="V1041" s="47">
        <v>46061.836485416672</v>
      </c>
      <c r="W1041" s="42" t="str">
        <f ca="1">IFERROR(__xludf.DUMMYFUNCTION("""COMPUTED_VALUE"""),"CV fajar")</f>
        <v>CV fajar</v>
      </c>
      <c r="X1041" s="42" t="str">
        <f ca="1"/>
        <v>ON-CV fajar-08022026+30-6281338789995</v>
      </c>
      <c r="Y1041" s="40" t="s">
        <v>293</v>
      </c>
      <c r="Z1041" s="40" t="s">
        <v>1057</v>
      </c>
      <c r="AA1041" s="23" t="str">
        <v>https://wa.me/6281338789995</v>
      </c>
      <c r="AB1041" s="28" t="s">
        <v>6050</v>
      </c>
      <c r="AC1041" s="28"/>
      <c r="AD1041" s="28" t="s">
        <v>690</v>
      </c>
      <c r="AE1041" s="28"/>
      <c r="AF1041" s="29">
        <v>45927</v>
      </c>
      <c r="AG1041" s="29"/>
    </row>
    <row r="1042" spans="1:33" ht="15.75" customHeight="1">
      <c r="A1042" s="32" t="s">
        <v>196</v>
      </c>
      <c r="B1042" s="33">
        <v>1057</v>
      </c>
      <c r="C1042" s="34" t="s">
        <v>6051</v>
      </c>
      <c r="D1042" s="35">
        <v>45925.430879583335</v>
      </c>
      <c r="E1042" s="43">
        <v>45923</v>
      </c>
      <c r="F1042" s="32" t="s">
        <v>6052</v>
      </c>
      <c r="G1042" s="32" t="s">
        <v>6053</v>
      </c>
      <c r="H1042" s="32" t="s">
        <v>6054</v>
      </c>
      <c r="I1042" s="36" t="s">
        <v>6055</v>
      </c>
      <c r="J1042" s="52"/>
      <c r="K1042" s="32" t="s">
        <v>6056</v>
      </c>
      <c r="L1042" s="32" t="s">
        <v>3676</v>
      </c>
      <c r="M1042" s="32" t="s">
        <v>60</v>
      </c>
      <c r="N1042" s="33">
        <v>5</v>
      </c>
      <c r="O1042" s="35"/>
      <c r="P1042" s="35"/>
      <c r="Q1042" s="37"/>
      <c r="R1042" s="38"/>
      <c r="S1042" s="33"/>
      <c r="T1042" s="39">
        <v>197000</v>
      </c>
      <c r="U1042" s="40"/>
      <c r="V1042" s="41"/>
      <c r="W1042" s="42" t="str">
        <f ca="1">IFERROR(__xludf.DUMMYFUNCTION("""COMPUTED_VALUE"""),"Putra Teknisi")</f>
        <v>Putra Teknisi</v>
      </c>
      <c r="X1042" s="42" t="str">
        <f ca="1"/>
        <v>ON-Putra Teknisi-00011900+5-6283196194949</v>
      </c>
      <c r="Y1042" s="40" t="s">
        <v>62</v>
      </c>
      <c r="Z1042" s="40" t="s">
        <v>277</v>
      </c>
      <c r="AA1042" s="23" t="str">
        <v>https://wa.me/6283196194949</v>
      </c>
      <c r="AB1042" s="28" t="s">
        <v>6057</v>
      </c>
      <c r="AC1042" s="28"/>
      <c r="AD1042" s="28" t="s">
        <v>690</v>
      </c>
      <c r="AE1042" s="28"/>
      <c r="AF1042" s="29">
        <v>45927</v>
      </c>
      <c r="AG1042" s="29"/>
    </row>
    <row r="1043" spans="1:33" ht="15.75" customHeight="1">
      <c r="A1043" s="32" t="s">
        <v>52</v>
      </c>
      <c r="B1043" s="33">
        <v>1058</v>
      </c>
      <c r="C1043" s="34" t="s">
        <v>6058</v>
      </c>
      <c r="D1043" s="35">
        <v>45925.43622077546</v>
      </c>
      <c r="E1043" s="43">
        <v>45925</v>
      </c>
      <c r="F1043" s="32" t="s">
        <v>642</v>
      </c>
      <c r="G1043" s="32" t="s">
        <v>643</v>
      </c>
      <c r="H1043" s="32" t="s">
        <v>644</v>
      </c>
      <c r="I1043" s="36" t="s">
        <v>645</v>
      </c>
      <c r="J1043" s="52" t="s">
        <v>1457</v>
      </c>
      <c r="K1043" s="32" t="s">
        <v>646</v>
      </c>
      <c r="L1043" s="32" t="s">
        <v>647</v>
      </c>
      <c r="M1043" s="32" t="s">
        <v>382</v>
      </c>
      <c r="N1043" s="33">
        <v>14</v>
      </c>
      <c r="O1043" s="35"/>
      <c r="P1043" s="35"/>
      <c r="Q1043" s="37"/>
      <c r="R1043" s="38"/>
      <c r="S1043" s="33"/>
      <c r="T1043" s="39">
        <v>550000</v>
      </c>
      <c r="U1043" s="40" t="s">
        <v>115</v>
      </c>
      <c r="V1043" s="41"/>
      <c r="W1043" s="42" t="str">
        <f ca="1">IFERROR(__xludf.DUMMYFUNCTION("""COMPUTED_VALUE"""),"CV Fajar")</f>
        <v>CV Fajar</v>
      </c>
      <c r="X1043" s="42" t="str">
        <f ca="1"/>
        <v>ON-CV Fajar-00011900+14-6281338789995</v>
      </c>
      <c r="Y1043" s="40"/>
      <c r="Z1043" s="40"/>
      <c r="AA1043" s="23" t="str">
        <v>https://wa.me/6281338789995</v>
      </c>
      <c r="AB1043" s="28"/>
      <c r="AC1043" s="28"/>
      <c r="AD1043" s="28"/>
      <c r="AE1043" s="28"/>
      <c r="AF1043" s="29"/>
      <c r="AG1043" s="29"/>
    </row>
    <row r="1044" spans="1:33" ht="15.75" customHeight="1">
      <c r="A1044" s="32" t="s">
        <v>52</v>
      </c>
      <c r="B1044" s="33">
        <v>1059</v>
      </c>
      <c r="C1044" s="34" t="s">
        <v>6059</v>
      </c>
      <c r="D1044" s="35">
        <v>45925.461125972222</v>
      </c>
      <c r="E1044" s="43">
        <v>45925</v>
      </c>
      <c r="F1044" s="32" t="s">
        <v>1751</v>
      </c>
      <c r="G1044" s="32" t="s">
        <v>1752</v>
      </c>
      <c r="H1044" s="32" t="s">
        <v>1753</v>
      </c>
      <c r="I1044" s="36" t="s">
        <v>1754</v>
      </c>
      <c r="J1044" s="52"/>
      <c r="K1044" s="32" t="s">
        <v>1755</v>
      </c>
      <c r="L1044" s="32" t="s">
        <v>1542</v>
      </c>
      <c r="M1044" s="32" t="s">
        <v>60</v>
      </c>
      <c r="N1044" s="33">
        <v>10</v>
      </c>
      <c r="O1044" s="35"/>
      <c r="P1044" s="35"/>
      <c r="Q1044" s="37"/>
      <c r="R1044" s="38"/>
      <c r="S1044" s="33"/>
      <c r="T1044" s="39">
        <v>375000</v>
      </c>
      <c r="U1044" s="40" t="s">
        <v>61</v>
      </c>
      <c r="V1044" s="41"/>
      <c r="W1044" s="42" t="str">
        <f ca="1">IFERROR(__xludf.DUMMYFUNCTION("""COMPUTED_VALUE"""),"Rumah Terapi")</f>
        <v>Rumah Terapi</v>
      </c>
      <c r="X1044" s="42" t="str">
        <f ca="1"/>
        <v>ON-Rumah Terapi-00011900+10-6281779578317</v>
      </c>
      <c r="Y1044" s="40"/>
      <c r="Z1044" s="40"/>
      <c r="AA1044" s="23" t="str">
        <v>https://wa.me/6281779578317</v>
      </c>
      <c r="AB1044" s="28"/>
      <c r="AC1044" s="28"/>
      <c r="AD1044" s="28"/>
      <c r="AE1044" s="28"/>
      <c r="AF1044" s="29"/>
      <c r="AG1044" s="29"/>
    </row>
    <row r="1045" spans="1:33" ht="15.75" customHeight="1">
      <c r="A1045" s="32" t="s">
        <v>196</v>
      </c>
      <c r="B1045" s="33">
        <v>1060</v>
      </c>
      <c r="C1045" s="34" t="s">
        <v>6060</v>
      </c>
      <c r="D1045" s="35">
        <v>45925.549098043979</v>
      </c>
      <c r="E1045" s="43">
        <v>45925</v>
      </c>
      <c r="F1045" s="32" t="s">
        <v>6061</v>
      </c>
      <c r="G1045" s="32" t="s">
        <v>6062</v>
      </c>
      <c r="H1045" s="32" t="s">
        <v>6063</v>
      </c>
      <c r="I1045" s="36" t="s">
        <v>6064</v>
      </c>
      <c r="J1045" s="52"/>
      <c r="K1045" s="32" t="s">
        <v>6065</v>
      </c>
      <c r="L1045" s="32" t="s">
        <v>92</v>
      </c>
      <c r="M1045" s="32" t="s">
        <v>92</v>
      </c>
      <c r="N1045" s="33">
        <v>10</v>
      </c>
      <c r="O1045" s="35"/>
      <c r="P1045" s="35"/>
      <c r="Q1045" s="37"/>
      <c r="R1045" s="38"/>
      <c r="S1045" s="33"/>
      <c r="T1045" s="39">
        <v>375000</v>
      </c>
      <c r="U1045" s="40" t="s">
        <v>1229</v>
      </c>
      <c r="V1045" s="41"/>
      <c r="W1045" s="42" t="str">
        <f ca="1">IFERROR(__xludf.DUMMYFUNCTION("""COMPUTED_VALUE"""),"ipol Usaha")</f>
        <v>ipol Usaha</v>
      </c>
      <c r="X1045" s="42" t="str">
        <f ca="1"/>
        <v>ON-ipol Usaha-00011900+10-6285849693521</v>
      </c>
      <c r="Y1045" s="40" t="s">
        <v>293</v>
      </c>
      <c r="Z1045" s="40" t="s">
        <v>1057</v>
      </c>
      <c r="AA1045" s="23" t="str">
        <v>https://wa.me/6285849693521</v>
      </c>
      <c r="AB1045" s="28" t="s">
        <v>6066</v>
      </c>
      <c r="AC1045" s="28"/>
      <c r="AD1045" s="28" t="s">
        <v>690</v>
      </c>
      <c r="AE1045" s="28"/>
      <c r="AF1045" s="29">
        <v>45928</v>
      </c>
      <c r="AG1045" s="29"/>
    </row>
    <row r="1046" spans="1:33" ht="15.75" customHeight="1">
      <c r="A1046" s="32" t="s">
        <v>196</v>
      </c>
      <c r="B1046" s="33">
        <v>1061</v>
      </c>
      <c r="C1046" s="34" t="s">
        <v>6067</v>
      </c>
      <c r="D1046" s="35">
        <v>45925.645947476849</v>
      </c>
      <c r="E1046" s="43">
        <v>45925</v>
      </c>
      <c r="F1046" s="32" t="s">
        <v>6068</v>
      </c>
      <c r="G1046" s="32" t="s">
        <v>6069</v>
      </c>
      <c r="H1046" s="32" t="s">
        <v>409</v>
      </c>
      <c r="I1046" s="36" t="s">
        <v>6070</v>
      </c>
      <c r="J1046" s="52"/>
      <c r="K1046" s="32" t="s">
        <v>6071</v>
      </c>
      <c r="L1046" s="32" t="s">
        <v>6072</v>
      </c>
      <c r="M1046" s="32" t="s">
        <v>92</v>
      </c>
      <c r="N1046" s="33">
        <v>10</v>
      </c>
      <c r="O1046" s="35"/>
      <c r="P1046" s="35"/>
      <c r="Q1046" s="37"/>
      <c r="R1046" s="38"/>
      <c r="S1046" s="33"/>
      <c r="T1046" s="39">
        <v>375000</v>
      </c>
      <c r="U1046" s="40" t="s">
        <v>1229</v>
      </c>
      <c r="V1046" s="41"/>
      <c r="W1046" s="42" t="str">
        <f ca="1">IFERROR(__xludf.DUMMYFUNCTION("""COMPUTED_VALUE"""),"Griya bangun")</f>
        <v>Griya bangun</v>
      </c>
      <c r="X1046" s="42" t="str">
        <f ca="1"/>
        <v>ON-Griya bangun-00011900+10-6281310674130</v>
      </c>
      <c r="Y1046" s="40" t="s">
        <v>293</v>
      </c>
      <c r="Z1046" s="40" t="s">
        <v>1057</v>
      </c>
      <c r="AA1046" s="23" t="str">
        <v>https://wa.me/6281310674130</v>
      </c>
      <c r="AB1046" s="28" t="s">
        <v>6073</v>
      </c>
      <c r="AC1046" s="28"/>
      <c r="AD1046" s="28" t="s">
        <v>690</v>
      </c>
      <c r="AE1046" s="28"/>
      <c r="AF1046" s="29">
        <v>45930</v>
      </c>
      <c r="AG1046" s="29"/>
    </row>
    <row r="1047" spans="1:33" ht="15.75" customHeight="1">
      <c r="A1047" s="32" t="s">
        <v>196</v>
      </c>
      <c r="B1047" s="33">
        <v>1062</v>
      </c>
      <c r="C1047" s="34" t="s">
        <v>6074</v>
      </c>
      <c r="D1047" s="35">
        <v>45925.758049918979</v>
      </c>
      <c r="E1047" s="43">
        <v>45924</v>
      </c>
      <c r="F1047" s="32" t="s">
        <v>6075</v>
      </c>
      <c r="G1047" s="32" t="s">
        <v>6076</v>
      </c>
      <c r="H1047" s="32" t="s">
        <v>595</v>
      </c>
      <c r="I1047" s="36" t="s">
        <v>6077</v>
      </c>
      <c r="J1047" s="52"/>
      <c r="K1047" s="32" t="s">
        <v>6078</v>
      </c>
      <c r="L1047" s="32" t="s">
        <v>3057</v>
      </c>
      <c r="M1047" s="32" t="s">
        <v>60</v>
      </c>
      <c r="N1047" s="33">
        <v>10</v>
      </c>
      <c r="O1047" s="35"/>
      <c r="P1047" s="35"/>
      <c r="Q1047" s="37"/>
      <c r="R1047" s="38"/>
      <c r="S1047" s="33"/>
      <c r="T1047" s="39">
        <v>375000</v>
      </c>
      <c r="U1047" s="40" t="s">
        <v>61</v>
      </c>
      <c r="V1047" s="41"/>
      <c r="W1047" s="42" t="str">
        <f ca="1">IFERROR(__xludf.DUMMYFUNCTION("""COMPUTED_VALUE"""),"Zena Kontruksi")</f>
        <v>Zena Kontruksi</v>
      </c>
      <c r="X1047" s="42" t="str">
        <f ca="1"/>
        <v>ON-Zena Kontruksi-00011900+10-62895426264600</v>
      </c>
      <c r="Y1047" s="40" t="s">
        <v>293</v>
      </c>
      <c r="Z1047" s="40" t="s">
        <v>1057</v>
      </c>
      <c r="AA1047" s="23" t="str">
        <v>https://wa.me/62895426264600</v>
      </c>
      <c r="AB1047" s="28" t="s">
        <v>6079</v>
      </c>
      <c r="AC1047" s="28"/>
      <c r="AD1047" s="28" t="s">
        <v>690</v>
      </c>
      <c r="AE1047" s="28"/>
      <c r="AF1047" s="29">
        <v>45927</v>
      </c>
      <c r="AG1047" s="29"/>
    </row>
    <row r="1048" spans="1:33" ht="15.75" customHeight="1">
      <c r="A1048" s="32" t="s">
        <v>52</v>
      </c>
      <c r="B1048" s="33">
        <v>1063</v>
      </c>
      <c r="C1048" s="34" t="s">
        <v>6080</v>
      </c>
      <c r="D1048" s="35">
        <v>45925.83467074074</v>
      </c>
      <c r="E1048" s="43">
        <v>45925</v>
      </c>
      <c r="F1048" s="32" t="s">
        <v>4484</v>
      </c>
      <c r="G1048" s="32" t="s">
        <v>6081</v>
      </c>
      <c r="H1048" s="32" t="s">
        <v>5311</v>
      </c>
      <c r="I1048" s="36" t="s">
        <v>4486</v>
      </c>
      <c r="J1048" s="52"/>
      <c r="K1048" s="32" t="s">
        <v>5312</v>
      </c>
      <c r="L1048" s="32" t="s">
        <v>1250</v>
      </c>
      <c r="M1048" s="32" t="s">
        <v>60</v>
      </c>
      <c r="N1048" s="33">
        <v>20</v>
      </c>
      <c r="O1048" s="35"/>
      <c r="P1048" s="35"/>
      <c r="Q1048" s="37"/>
      <c r="R1048" s="38"/>
      <c r="S1048" s="33"/>
      <c r="T1048" s="39">
        <v>700000</v>
      </c>
      <c r="U1048" s="40" t="s">
        <v>61</v>
      </c>
      <c r="V1048" s="41"/>
      <c r="W1048" s="42" t="str">
        <f ca="1">IFERROR(__xludf.DUMMYFUNCTION("""COMPUTED_VALUE"""),"Totok Syaraf")</f>
        <v>Totok Syaraf</v>
      </c>
      <c r="X1048" s="42" t="str">
        <f ca="1"/>
        <v>ON-Totok Syaraf-00011900+20-6285169730762</v>
      </c>
      <c r="Y1048" s="40"/>
      <c r="Z1048" s="40"/>
      <c r="AA1048" s="23" t="str">
        <v>https://wa.me/6285169730762</v>
      </c>
      <c r="AB1048" s="28"/>
      <c r="AC1048" s="28"/>
      <c r="AD1048" s="28"/>
      <c r="AE1048" s="28"/>
      <c r="AF1048" s="29"/>
      <c r="AG1048" s="29"/>
    </row>
    <row r="1049" spans="1:33" ht="15.75" customHeight="1">
      <c r="A1049" s="32" t="s">
        <v>196</v>
      </c>
      <c r="B1049" s="33">
        <v>1064</v>
      </c>
      <c r="C1049" s="34" t="s">
        <v>6082</v>
      </c>
      <c r="D1049" s="35">
        <v>45925.845177858791</v>
      </c>
      <c r="E1049" s="43">
        <v>45925</v>
      </c>
      <c r="F1049" s="32" t="s">
        <v>6083</v>
      </c>
      <c r="G1049" s="32" t="s">
        <v>6084</v>
      </c>
      <c r="H1049" s="32" t="s">
        <v>6085</v>
      </c>
      <c r="I1049" s="36" t="s">
        <v>6086</v>
      </c>
      <c r="J1049" s="52"/>
      <c r="K1049" s="32" t="s">
        <v>6087</v>
      </c>
      <c r="L1049" s="32" t="s">
        <v>4068</v>
      </c>
      <c r="M1049" s="32" t="s">
        <v>60</v>
      </c>
      <c r="N1049" s="33">
        <v>5</v>
      </c>
      <c r="O1049" s="35"/>
      <c r="P1049" s="35"/>
      <c r="Q1049" s="37"/>
      <c r="R1049" s="38"/>
      <c r="S1049" s="33"/>
      <c r="T1049" s="39">
        <v>197000</v>
      </c>
      <c r="U1049" s="40" t="s">
        <v>61</v>
      </c>
      <c r="V1049" s="41"/>
      <c r="W1049" s="42" t="str">
        <f ca="1">IFERROR(__xludf.DUMMYFUNCTION("""COMPUTED_VALUE"""),"CV Mutiara")</f>
        <v>CV Mutiara</v>
      </c>
      <c r="X1049" s="42" t="str">
        <f ca="1"/>
        <v>ON-CV Mutiara-00011900+5-6285924240918</v>
      </c>
      <c r="Y1049" s="40" t="s">
        <v>293</v>
      </c>
      <c r="Z1049" s="40" t="s">
        <v>1057</v>
      </c>
      <c r="AA1049" s="23" t="str">
        <v>https://wa.me/6285924240918</v>
      </c>
      <c r="AB1049" s="28" t="s">
        <v>6088</v>
      </c>
      <c r="AC1049" s="28"/>
      <c r="AD1049" s="28" t="s">
        <v>690</v>
      </c>
      <c r="AE1049" s="28"/>
      <c r="AF1049" s="29">
        <v>45927</v>
      </c>
      <c r="AG1049" s="29"/>
    </row>
    <row r="1050" spans="1:33" ht="15.75" customHeight="1">
      <c r="A1050" s="32" t="s">
        <v>52</v>
      </c>
      <c r="B1050" s="33">
        <v>1066</v>
      </c>
      <c r="C1050" s="34" t="s">
        <v>6089</v>
      </c>
      <c r="D1050" s="43">
        <v>46032</v>
      </c>
      <c r="E1050" s="43">
        <v>45925</v>
      </c>
      <c r="F1050" s="32" t="s">
        <v>6090</v>
      </c>
      <c r="G1050" s="32" t="s">
        <v>6091</v>
      </c>
      <c r="H1050" s="32" t="s">
        <v>3076</v>
      </c>
      <c r="I1050" s="36" t="s">
        <v>3077</v>
      </c>
      <c r="J1050" s="52"/>
      <c r="K1050" s="32" t="s">
        <v>3078</v>
      </c>
      <c r="L1050" s="32" t="s">
        <v>3079</v>
      </c>
      <c r="M1050" s="32" t="s">
        <v>48</v>
      </c>
      <c r="N1050" s="33">
        <v>10</v>
      </c>
      <c r="O1050" s="35"/>
      <c r="P1050" s="35"/>
      <c r="Q1050" s="37"/>
      <c r="R1050" s="38">
        <v>-1003470351325</v>
      </c>
      <c r="S1050" s="33"/>
      <c r="T1050" s="39">
        <v>375000</v>
      </c>
      <c r="U1050" s="40" t="s">
        <v>1774</v>
      </c>
      <c r="V1050" s="47">
        <v>46032.852331435184</v>
      </c>
      <c r="W1050" s="42" t="str">
        <f ca="1">IFERROR(__xludf.DUMMYFUNCTION("""COMPUTED_VALUE"""),"Raflesia Rental")</f>
        <v>Raflesia Rental</v>
      </c>
      <c r="X1050" s="42" t="str">
        <f ca="1"/>
        <v>ON-Raflesia Rental-10012026+10-6281938384000</v>
      </c>
      <c r="Y1050" s="40"/>
      <c r="Z1050" s="40"/>
      <c r="AA1050" s="23" t="str">
        <v>https://wa.me/6281938384000</v>
      </c>
      <c r="AB1050" s="28"/>
      <c r="AC1050" s="28"/>
      <c r="AD1050" s="28"/>
      <c r="AE1050" s="28"/>
      <c r="AF1050" s="29"/>
      <c r="AG1050" s="29"/>
    </row>
    <row r="1051" spans="1:33" ht="15.75" customHeight="1">
      <c r="A1051" s="32" t="s">
        <v>52</v>
      </c>
      <c r="B1051" s="33">
        <v>1066</v>
      </c>
      <c r="C1051" s="34" t="s">
        <v>6089</v>
      </c>
      <c r="D1051" s="35">
        <v>45927.296696030091</v>
      </c>
      <c r="E1051" s="43">
        <v>45927</v>
      </c>
      <c r="F1051" s="32" t="s">
        <v>4809</v>
      </c>
      <c r="G1051" s="32" t="s">
        <v>4810</v>
      </c>
      <c r="H1051" s="32" t="s">
        <v>4199</v>
      </c>
      <c r="I1051" s="36" t="s">
        <v>4811</v>
      </c>
      <c r="J1051" s="52" t="s">
        <v>4812</v>
      </c>
      <c r="K1051" s="32" t="s">
        <v>4813</v>
      </c>
      <c r="L1051" s="32" t="s">
        <v>2500</v>
      </c>
      <c r="M1051" s="32" t="s">
        <v>249</v>
      </c>
      <c r="N1051" s="33">
        <v>10</v>
      </c>
      <c r="O1051" s="35"/>
      <c r="P1051" s="35"/>
      <c r="Q1051" s="37"/>
      <c r="R1051" s="38"/>
      <c r="S1051" s="33"/>
      <c r="T1051" s="39">
        <v>375000</v>
      </c>
      <c r="U1051" s="40" t="s">
        <v>1774</v>
      </c>
      <c r="V1051" s="41"/>
      <c r="W1051" s="42" t="str">
        <f ca="1">IFERROR(__xludf.DUMMYFUNCTION("""COMPUTED_VALUE"""),"Bangun kreasi")</f>
        <v>Bangun kreasi</v>
      </c>
      <c r="X1051" s="42" t="str">
        <f ca="1"/>
        <v>ON-Bangun kreasi-00011900+10-6281223735839</v>
      </c>
      <c r="Y1051" s="40"/>
      <c r="Z1051" s="40"/>
      <c r="AA1051" s="23" t="str">
        <v>https://wa.me/6281223735839</v>
      </c>
      <c r="AB1051" s="28"/>
      <c r="AC1051" s="28"/>
      <c r="AD1051" s="28"/>
      <c r="AE1051" s="28"/>
      <c r="AF1051" s="29"/>
      <c r="AG1051" s="29"/>
    </row>
    <row r="1052" spans="1:33" ht="15.75" customHeight="1">
      <c r="A1052" s="32" t="s">
        <v>196</v>
      </c>
      <c r="B1052" s="33">
        <v>1067</v>
      </c>
      <c r="C1052" s="34" t="s">
        <v>6092</v>
      </c>
      <c r="D1052" s="35">
        <v>45927.297384039353</v>
      </c>
      <c r="E1052" s="43">
        <v>45926</v>
      </c>
      <c r="F1052" s="32" t="s">
        <v>5297</v>
      </c>
      <c r="G1052" s="32" t="s">
        <v>6093</v>
      </c>
      <c r="H1052" s="32" t="s">
        <v>6094</v>
      </c>
      <c r="I1052" s="36" t="s">
        <v>5300</v>
      </c>
      <c r="J1052" s="52" t="s">
        <v>6095</v>
      </c>
      <c r="K1052" s="32" t="s">
        <v>6096</v>
      </c>
      <c r="L1052" s="32" t="s">
        <v>3596</v>
      </c>
      <c r="M1052" s="32" t="s">
        <v>285</v>
      </c>
      <c r="N1052" s="33">
        <v>10</v>
      </c>
      <c r="O1052" s="35"/>
      <c r="P1052" s="35"/>
      <c r="Q1052" s="37"/>
      <c r="R1052" s="38"/>
      <c r="S1052" s="33"/>
      <c r="T1052" s="39">
        <v>375000</v>
      </c>
      <c r="U1052" s="40" t="s">
        <v>1229</v>
      </c>
      <c r="V1052" s="41"/>
      <c r="W1052" s="42" t="str">
        <f ca="1">IFERROR(__xludf.DUMMYFUNCTION("""COMPUTED_VALUE"""),"Terapi totok")</f>
        <v>Terapi totok</v>
      </c>
      <c r="X1052" s="42" t="str">
        <f ca="1"/>
        <v>ON-Terapi totok-00011900+10-6282391199993</v>
      </c>
      <c r="Y1052" s="40" t="s">
        <v>62</v>
      </c>
      <c r="Z1052" s="40" t="s">
        <v>639</v>
      </c>
      <c r="AA1052" s="23" t="str">
        <v>https://wa.me/6282391199993</v>
      </c>
      <c r="AB1052" s="28" t="s">
        <v>6097</v>
      </c>
      <c r="AC1052" s="28"/>
      <c r="AD1052" s="28" t="s">
        <v>690</v>
      </c>
      <c r="AE1052" s="28"/>
      <c r="AF1052" s="29">
        <v>45928</v>
      </c>
      <c r="AG1052" s="29"/>
    </row>
    <row r="1053" spans="1:33" ht="15.75" customHeight="1">
      <c r="A1053" s="32" t="s">
        <v>52</v>
      </c>
      <c r="B1053" s="33">
        <v>1068</v>
      </c>
      <c r="C1053" s="34" t="s">
        <v>6098</v>
      </c>
      <c r="D1053" s="35">
        <v>45927.304701944449</v>
      </c>
      <c r="E1053" s="43">
        <v>45927</v>
      </c>
      <c r="F1053" s="32" t="s">
        <v>738</v>
      </c>
      <c r="G1053" s="32" t="s">
        <v>739</v>
      </c>
      <c r="H1053" s="32" t="s">
        <v>740</v>
      </c>
      <c r="I1053" s="36" t="s">
        <v>741</v>
      </c>
      <c r="J1053" s="52"/>
      <c r="K1053" s="32" t="s">
        <v>1262</v>
      </c>
      <c r="L1053" s="32" t="s">
        <v>629</v>
      </c>
      <c r="M1053" s="32" t="s">
        <v>743</v>
      </c>
      <c r="N1053" s="33">
        <v>14</v>
      </c>
      <c r="O1053" s="35"/>
      <c r="P1053" s="35"/>
      <c r="Q1053" s="37"/>
      <c r="R1053" s="38"/>
      <c r="S1053" s="33"/>
      <c r="T1053" s="39">
        <v>500000</v>
      </c>
      <c r="U1053" s="40" t="s">
        <v>115</v>
      </c>
      <c r="V1053" s="41"/>
      <c r="W1053" s="42" t="str">
        <f ca="1">IFERROR(__xludf.DUMMYFUNCTION("""COMPUTED_VALUE"""),"PT. Panorama")</f>
        <v>PT. Panorama</v>
      </c>
      <c r="X1053" s="42" t="str">
        <f ca="1"/>
        <v>ON-PT. Panorama-00011900+14-628122102657</v>
      </c>
      <c r="Y1053" s="40"/>
      <c r="Z1053" s="40"/>
      <c r="AA1053" s="23" t="str">
        <v>https://wa.me/628122102657</v>
      </c>
      <c r="AB1053" s="28"/>
      <c r="AC1053" s="28"/>
      <c r="AD1053" s="28"/>
      <c r="AE1053" s="28"/>
      <c r="AF1053" s="29"/>
      <c r="AG1053" s="29"/>
    </row>
    <row r="1054" spans="1:33" ht="15.75" customHeight="1">
      <c r="A1054" s="32" t="s">
        <v>52</v>
      </c>
      <c r="B1054" s="33">
        <v>1069</v>
      </c>
      <c r="C1054" s="34" t="s">
        <v>6099</v>
      </c>
      <c r="D1054" s="35">
        <v>45927.304989756944</v>
      </c>
      <c r="E1054" s="43">
        <v>45925</v>
      </c>
      <c r="F1054" s="32" t="s">
        <v>642</v>
      </c>
      <c r="G1054" s="32" t="s">
        <v>643</v>
      </c>
      <c r="H1054" s="32" t="s">
        <v>644</v>
      </c>
      <c r="I1054" s="36" t="s">
        <v>645</v>
      </c>
      <c r="J1054" s="52" t="s">
        <v>1457</v>
      </c>
      <c r="K1054" s="32" t="s">
        <v>646</v>
      </c>
      <c r="L1054" s="32" t="s">
        <v>647</v>
      </c>
      <c r="M1054" s="32" t="s">
        <v>382</v>
      </c>
      <c r="N1054" s="33">
        <v>14</v>
      </c>
      <c r="O1054" s="35"/>
      <c r="P1054" s="35"/>
      <c r="Q1054" s="37"/>
      <c r="R1054" s="38"/>
      <c r="S1054" s="33"/>
      <c r="T1054" s="39">
        <v>550000</v>
      </c>
      <c r="U1054" s="40" t="s">
        <v>115</v>
      </c>
      <c r="V1054" s="41"/>
      <c r="W1054" s="42" t="str">
        <f ca="1">IFERROR(__xludf.DUMMYFUNCTION("""COMPUTED_VALUE"""),"CV Fajar")</f>
        <v>CV Fajar</v>
      </c>
      <c r="X1054" s="42" t="str">
        <f ca="1"/>
        <v>ON-CV Fajar-00011900+14-6281338789995</v>
      </c>
      <c r="Y1054" s="40"/>
      <c r="Z1054" s="40"/>
      <c r="AA1054" s="23" t="str">
        <v>https://wa.me/6281338789995</v>
      </c>
      <c r="AB1054" s="28"/>
      <c r="AC1054" s="28"/>
      <c r="AD1054" s="28"/>
      <c r="AE1054" s="28"/>
      <c r="AF1054" s="29"/>
      <c r="AG1054" s="29"/>
    </row>
    <row r="1055" spans="1:33" ht="15.75" customHeight="1">
      <c r="A1055" s="32" t="s">
        <v>52</v>
      </c>
      <c r="B1055" s="33">
        <v>1070</v>
      </c>
      <c r="C1055" s="34" t="s">
        <v>6100</v>
      </c>
      <c r="D1055" s="33" t="s">
        <v>512</v>
      </c>
      <c r="E1055" s="43">
        <v>45926</v>
      </c>
      <c r="F1055" s="32" t="s">
        <v>2405</v>
      </c>
      <c r="G1055" s="32" t="s">
        <v>2406</v>
      </c>
      <c r="H1055" s="32" t="s">
        <v>66</v>
      </c>
      <c r="I1055" s="36" t="s">
        <v>6101</v>
      </c>
      <c r="J1055" s="52"/>
      <c r="K1055" s="32" t="s">
        <v>46</v>
      </c>
      <c r="L1055" s="32" t="s">
        <v>2408</v>
      </c>
      <c r="M1055" s="32" t="s">
        <v>60</v>
      </c>
      <c r="N1055" s="33">
        <v>10</v>
      </c>
      <c r="O1055" s="35"/>
      <c r="P1055" s="35"/>
      <c r="Q1055" s="37"/>
      <c r="R1055" s="38">
        <v>-1003470351325</v>
      </c>
      <c r="S1055" s="33"/>
      <c r="T1055" s="39">
        <v>375000</v>
      </c>
      <c r="U1055" s="40" t="s">
        <v>61</v>
      </c>
      <c r="V1055" s="47">
        <v>46017.169202037039</v>
      </c>
      <c r="W1055" s="42" t="str">
        <f ca="1">IFERROR(__xludf.DUMMYFUNCTION("""COMPUTED_VALUE"""),"Superman Interior")</f>
        <v>Superman Interior</v>
      </c>
      <c r="X1055" s="42" t="str">
        <f ca="1"/>
        <v>ON-Superman Interior-26122025+10-62818833829</v>
      </c>
      <c r="Y1055" s="40"/>
      <c r="Z1055" s="40"/>
      <c r="AA1055" s="23" t="str">
        <v>https://wa.me/62818833829</v>
      </c>
      <c r="AB1055" s="28"/>
      <c r="AC1055" s="28"/>
      <c r="AD1055" s="28"/>
      <c r="AE1055" s="28"/>
      <c r="AF1055" s="29"/>
      <c r="AG1055" s="29"/>
    </row>
    <row r="1056" spans="1:33" ht="15.75" customHeight="1">
      <c r="A1056" s="32" t="s">
        <v>52</v>
      </c>
      <c r="B1056" s="33">
        <v>1071</v>
      </c>
      <c r="C1056" s="34" t="s">
        <v>6102</v>
      </c>
      <c r="D1056" s="35">
        <v>45927.305813032406</v>
      </c>
      <c r="E1056" s="43">
        <v>45926</v>
      </c>
      <c r="F1056" s="32" t="s">
        <v>4957</v>
      </c>
      <c r="G1056" s="32" t="s">
        <v>4958</v>
      </c>
      <c r="H1056" s="32" t="s">
        <v>2370</v>
      </c>
      <c r="I1056" s="36" t="s">
        <v>4963</v>
      </c>
      <c r="J1056" s="52"/>
      <c r="K1056" s="32" t="s">
        <v>4960</v>
      </c>
      <c r="L1056" s="32" t="s">
        <v>4961</v>
      </c>
      <c r="M1056" s="32" t="s">
        <v>60</v>
      </c>
      <c r="N1056" s="33">
        <v>5</v>
      </c>
      <c r="O1056" s="35"/>
      <c r="P1056" s="35"/>
      <c r="Q1056" s="37"/>
      <c r="R1056" s="38"/>
      <c r="S1056" s="33"/>
      <c r="T1056" s="39">
        <v>197000</v>
      </c>
      <c r="U1056" s="40" t="s">
        <v>61</v>
      </c>
      <c r="V1056" s="41"/>
      <c r="W1056" s="42" t="str">
        <f ca="1">IFERROR(__xludf.DUMMYFUNCTION("""COMPUTED_VALUE"""),"Sehat Holistik")</f>
        <v>Sehat Holistik</v>
      </c>
      <c r="X1056" s="42" t="str">
        <f ca="1"/>
        <v>ON-Sehat Holistik-00011900+5-6287888330007</v>
      </c>
      <c r="Y1056" s="40"/>
      <c r="Z1056" s="40"/>
      <c r="AA1056" s="23" t="str">
        <v>https://wa.me/6287888330007</v>
      </c>
      <c r="AB1056" s="28"/>
      <c r="AC1056" s="28"/>
      <c r="AD1056" s="28"/>
      <c r="AE1056" s="28"/>
      <c r="AF1056" s="29"/>
      <c r="AG1056" s="29"/>
    </row>
    <row r="1057" spans="1:33" ht="15.75" customHeight="1">
      <c r="A1057" s="32" t="s">
        <v>196</v>
      </c>
      <c r="B1057" s="33">
        <v>1072</v>
      </c>
      <c r="C1057" s="34" t="s">
        <v>6103</v>
      </c>
      <c r="D1057" s="35">
        <v>45927.737892442128</v>
      </c>
      <c r="E1057" s="43">
        <v>45927</v>
      </c>
      <c r="F1057" s="32" t="s">
        <v>6104</v>
      </c>
      <c r="G1057" s="32" t="s">
        <v>6105</v>
      </c>
      <c r="H1057" s="32" t="s">
        <v>6106</v>
      </c>
      <c r="I1057" s="36" t="s">
        <v>6107</v>
      </c>
      <c r="J1057" s="52" t="s">
        <v>6108</v>
      </c>
      <c r="K1057" s="32" t="s">
        <v>173</v>
      </c>
      <c r="L1057" s="32" t="s">
        <v>4660</v>
      </c>
      <c r="M1057" s="32" t="s">
        <v>259</v>
      </c>
      <c r="N1057" s="33">
        <v>10</v>
      </c>
      <c r="O1057" s="35"/>
      <c r="P1057" s="35"/>
      <c r="Q1057" s="37"/>
      <c r="R1057" s="38"/>
      <c r="S1057" s="33"/>
      <c r="T1057" s="39">
        <v>375000</v>
      </c>
      <c r="U1057" s="40" t="s">
        <v>115</v>
      </c>
      <c r="V1057" s="41"/>
      <c r="W1057" s="42" t="str">
        <f ca="1">IFERROR(__xludf.DUMMYFUNCTION("""COMPUTED_VALUE"""),"Kleen Wash")</f>
        <v>Kleen Wash</v>
      </c>
      <c r="X1057" s="42" t="str">
        <f ca="1"/>
        <v>ON-Kleen Wash-00011900+10-6281112009646</v>
      </c>
      <c r="Y1057" s="40" t="s">
        <v>62</v>
      </c>
      <c r="Z1057" s="40" t="s">
        <v>1465</v>
      </c>
      <c r="AA1057" s="23" t="str">
        <v>https://wa.me/6281112009646</v>
      </c>
      <c r="AB1057" s="28" t="s">
        <v>6109</v>
      </c>
      <c r="AC1057" s="28"/>
      <c r="AD1057" s="28" t="s">
        <v>690</v>
      </c>
      <c r="AE1057" s="28"/>
      <c r="AF1057" s="29">
        <v>45930</v>
      </c>
      <c r="AG1057" s="29"/>
    </row>
    <row r="1058" spans="1:33" ht="15.75" customHeight="1">
      <c r="A1058" s="32" t="s">
        <v>52</v>
      </c>
      <c r="B1058" s="33">
        <v>1073</v>
      </c>
      <c r="C1058" s="34" t="s">
        <v>6110</v>
      </c>
      <c r="D1058" s="35">
        <v>45927.756438333337</v>
      </c>
      <c r="E1058" s="43">
        <v>45927</v>
      </c>
      <c r="F1058" s="32" t="s">
        <v>5392</v>
      </c>
      <c r="G1058" s="32" t="s">
        <v>5393</v>
      </c>
      <c r="H1058" s="32" t="s">
        <v>2248</v>
      </c>
      <c r="I1058" s="36" t="s">
        <v>6111</v>
      </c>
      <c r="J1058" s="52"/>
      <c r="K1058" s="32" t="s">
        <v>5395</v>
      </c>
      <c r="L1058" s="32" t="s">
        <v>92</v>
      </c>
      <c r="M1058" s="32" t="s">
        <v>60</v>
      </c>
      <c r="N1058" s="33">
        <v>10</v>
      </c>
      <c r="O1058" s="35"/>
      <c r="P1058" s="35"/>
      <c r="Q1058" s="37"/>
      <c r="R1058" s="38"/>
      <c r="S1058" s="33"/>
      <c r="T1058" s="39">
        <v>375000</v>
      </c>
      <c r="U1058" s="40" t="s">
        <v>61</v>
      </c>
      <c r="V1058" s="41"/>
      <c r="W1058" s="42" t="str">
        <f ca="1">IFERROR(__xludf.DUMMYFUNCTION("""COMPUTED_VALUE"""),"Travel Antar")</f>
        <v>Travel Antar</v>
      </c>
      <c r="X1058" s="42" t="str">
        <f ca="1"/>
        <v>ON-Travel Antar-00011900+10-6283140427590</v>
      </c>
      <c r="Y1058" s="40"/>
      <c r="Z1058" s="40"/>
      <c r="AA1058" s="23" t="str">
        <v>https://wa.me/6283140427590</v>
      </c>
      <c r="AB1058" s="28"/>
      <c r="AC1058" s="28"/>
      <c r="AD1058" s="28"/>
      <c r="AE1058" s="28"/>
      <c r="AF1058" s="29"/>
      <c r="AG1058" s="29"/>
    </row>
    <row r="1059" spans="1:33" ht="15.75" customHeight="1">
      <c r="A1059" s="32" t="s">
        <v>52</v>
      </c>
      <c r="B1059" s="33">
        <v>1074</v>
      </c>
      <c r="C1059" s="34" t="s">
        <v>6112</v>
      </c>
      <c r="D1059" s="35">
        <v>45928.415319895837</v>
      </c>
      <c r="E1059" s="43">
        <v>45927</v>
      </c>
      <c r="F1059" s="32" t="s">
        <v>3228</v>
      </c>
      <c r="G1059" s="32" t="s">
        <v>3229</v>
      </c>
      <c r="H1059" s="32" t="s">
        <v>3230</v>
      </c>
      <c r="I1059" s="36" t="s">
        <v>3231</v>
      </c>
      <c r="J1059" s="52"/>
      <c r="K1059" s="32" t="s">
        <v>3232</v>
      </c>
      <c r="L1059" s="32" t="s">
        <v>1365</v>
      </c>
      <c r="M1059" s="32" t="s">
        <v>285</v>
      </c>
      <c r="N1059" s="33">
        <v>7</v>
      </c>
      <c r="O1059" s="35"/>
      <c r="P1059" s="35"/>
      <c r="Q1059" s="37"/>
      <c r="R1059" s="38"/>
      <c r="S1059" s="33"/>
      <c r="T1059" s="39">
        <v>297000</v>
      </c>
      <c r="U1059" s="40" t="s">
        <v>1229</v>
      </c>
      <c r="V1059" s="41"/>
      <c r="W1059" s="42" t="str">
        <f ca="1">IFERROR(__xludf.DUMMYFUNCTION("""COMPUTED_VALUE"""),"Therapy pijat")</f>
        <v>Therapy pijat</v>
      </c>
      <c r="X1059" s="42" t="str">
        <f ca="1"/>
        <v>ON-Therapy pijat-00011900+7-6287865111033</v>
      </c>
      <c r="Y1059" s="40"/>
      <c r="Z1059" s="40"/>
      <c r="AA1059" s="23" t="str">
        <v>https://wa.me/6287865111033</v>
      </c>
      <c r="AB1059" s="28"/>
      <c r="AC1059" s="28"/>
      <c r="AD1059" s="28"/>
      <c r="AE1059" s="28"/>
      <c r="AF1059" s="29"/>
      <c r="AG1059" s="29"/>
    </row>
    <row r="1060" spans="1:33" ht="15.75" customHeight="1">
      <c r="A1060" s="32" t="s">
        <v>196</v>
      </c>
      <c r="B1060" s="33">
        <v>1075</v>
      </c>
      <c r="C1060" s="34" t="s">
        <v>6113</v>
      </c>
      <c r="D1060" s="35">
        <v>45928.485654293981</v>
      </c>
      <c r="E1060" s="43">
        <v>45928</v>
      </c>
      <c r="F1060" s="32" t="s">
        <v>6114</v>
      </c>
      <c r="G1060" s="32" t="s">
        <v>6115</v>
      </c>
      <c r="H1060" s="32" t="s">
        <v>6116</v>
      </c>
      <c r="I1060" s="36" t="s">
        <v>6117</v>
      </c>
      <c r="J1060" s="52" t="s">
        <v>6118</v>
      </c>
      <c r="K1060" s="32" t="s">
        <v>6119</v>
      </c>
      <c r="L1060" s="32" t="s">
        <v>92</v>
      </c>
      <c r="M1060" s="32" t="s">
        <v>92</v>
      </c>
      <c r="N1060" s="33">
        <v>7</v>
      </c>
      <c r="O1060" s="35">
        <v>45932</v>
      </c>
      <c r="P1060" s="35">
        <v>45938</v>
      </c>
      <c r="Q1060" s="37"/>
      <c r="R1060" s="38"/>
      <c r="S1060" s="33"/>
      <c r="T1060" s="39">
        <v>297000</v>
      </c>
      <c r="U1060" s="40" t="s">
        <v>1229</v>
      </c>
      <c r="V1060" s="41"/>
      <c r="W1060" s="42" t="str">
        <f ca="1">IFERROR(__xludf.DUMMYFUNCTION("""COMPUTED_VALUE"""),"Pembangunan pondok")</f>
        <v>Pembangunan pondok</v>
      </c>
      <c r="X1060" s="42" t="str">
        <f ca="1"/>
        <v>ON-Pembangunan pondok-00011900+7-6285387148899</v>
      </c>
      <c r="Y1060" s="40" t="s">
        <v>62</v>
      </c>
      <c r="Z1060" s="40" t="s">
        <v>1465</v>
      </c>
      <c r="AA1060" s="23" t="str">
        <v>https://wa.me/6285387148899</v>
      </c>
      <c r="AB1060" s="28" t="s">
        <v>6120</v>
      </c>
      <c r="AC1060" s="28"/>
      <c r="AD1060" s="28" t="s">
        <v>690</v>
      </c>
      <c r="AE1060" s="28"/>
      <c r="AF1060" s="29"/>
      <c r="AG1060" s="29"/>
    </row>
    <row r="1061" spans="1:33" ht="15.75" customHeight="1">
      <c r="A1061" s="32" t="s">
        <v>196</v>
      </c>
      <c r="B1061" s="33">
        <v>1076</v>
      </c>
      <c r="C1061" s="34" t="s">
        <v>6121</v>
      </c>
      <c r="D1061" s="35">
        <v>45928.778700196759</v>
      </c>
      <c r="E1061" s="43">
        <v>45928</v>
      </c>
      <c r="F1061" s="32" t="s">
        <v>6122</v>
      </c>
      <c r="G1061" s="32" t="s">
        <v>6123</v>
      </c>
      <c r="H1061" s="32" t="s">
        <v>6124</v>
      </c>
      <c r="I1061" s="36" t="s">
        <v>6125</v>
      </c>
      <c r="J1061" s="52"/>
      <c r="K1061" s="32" t="s">
        <v>6126</v>
      </c>
      <c r="L1061" s="32" t="s">
        <v>92</v>
      </c>
      <c r="M1061" s="32" t="s">
        <v>92</v>
      </c>
      <c r="N1061" s="33">
        <v>10</v>
      </c>
      <c r="O1061" s="35"/>
      <c r="P1061" s="35"/>
      <c r="Q1061" s="37"/>
      <c r="R1061" s="38"/>
      <c r="S1061" s="33"/>
      <c r="T1061" s="39">
        <v>375000</v>
      </c>
      <c r="U1061" s="40" t="s">
        <v>1229</v>
      </c>
      <c r="V1061" s="41"/>
      <c r="W1061" s="42" t="str">
        <f ca="1">IFERROR(__xludf.DUMMYFUNCTION("""COMPUTED_VALUE"""),"Aby anugrah")</f>
        <v>Aby anugrah</v>
      </c>
      <c r="X1061" s="42" t="str">
        <f ca="1"/>
        <v>ON-Aby anugrah-00011900+10-6289668245188</v>
      </c>
      <c r="Y1061" s="40" t="s">
        <v>62</v>
      </c>
      <c r="Z1061" s="40" t="s">
        <v>1465</v>
      </c>
      <c r="AA1061" s="23" t="str">
        <v>https://wa.me/6289668245188</v>
      </c>
      <c r="AB1061" s="28" t="s">
        <v>6127</v>
      </c>
      <c r="AC1061" s="28"/>
      <c r="AD1061" s="28" t="s">
        <v>690</v>
      </c>
      <c r="AE1061" s="28"/>
      <c r="AF1061" s="29">
        <v>45930</v>
      </c>
      <c r="AG1061" s="29"/>
    </row>
    <row r="1062" spans="1:33" ht="15.75" customHeight="1">
      <c r="A1062" s="32" t="s">
        <v>196</v>
      </c>
      <c r="B1062" s="33">
        <v>1077</v>
      </c>
      <c r="C1062" s="34" t="s">
        <v>6128</v>
      </c>
      <c r="D1062" s="35">
        <v>45929.526322743055</v>
      </c>
      <c r="E1062" s="43">
        <v>45929</v>
      </c>
      <c r="F1062" s="32" t="s">
        <v>6129</v>
      </c>
      <c r="G1062" s="32" t="s">
        <v>6130</v>
      </c>
      <c r="H1062" s="32" t="s">
        <v>6131</v>
      </c>
      <c r="I1062" s="36" t="s">
        <v>6132</v>
      </c>
      <c r="J1062" s="52" t="s">
        <v>6131</v>
      </c>
      <c r="K1062" s="32" t="s">
        <v>6133</v>
      </c>
      <c r="L1062" s="32" t="s">
        <v>5445</v>
      </c>
      <c r="M1062" s="32" t="s">
        <v>6134</v>
      </c>
      <c r="N1062" s="33">
        <v>10</v>
      </c>
      <c r="O1062" s="35">
        <v>45961</v>
      </c>
      <c r="P1062" s="35">
        <v>45970</v>
      </c>
      <c r="Q1062" s="37"/>
      <c r="R1062" s="38"/>
      <c r="S1062" s="33"/>
      <c r="T1062" s="39">
        <v>375000</v>
      </c>
      <c r="U1062" s="40" t="s">
        <v>115</v>
      </c>
      <c r="V1062" s="41"/>
      <c r="W1062" s="42" t="str">
        <f ca="1">IFERROR(__xludf.DUMMYFUNCTION("""COMPUTED_VALUE"""),"cv. samoda")</f>
        <v>cv. samoda</v>
      </c>
      <c r="X1062" s="42" t="str">
        <f ca="1"/>
        <v>ON-cv. samoda-00011900+10-6281336570262</v>
      </c>
      <c r="Y1062" s="40" t="s">
        <v>293</v>
      </c>
      <c r="Z1062" s="40" t="s">
        <v>1057</v>
      </c>
      <c r="AA1062" s="23" t="str">
        <v>https://wa.me/6281336570262</v>
      </c>
      <c r="AB1062" s="28" t="s">
        <v>6135</v>
      </c>
      <c r="AC1062" s="28"/>
      <c r="AD1062" s="28" t="s">
        <v>690</v>
      </c>
      <c r="AE1062" s="28"/>
      <c r="AF1062" s="29"/>
      <c r="AG1062" s="29"/>
    </row>
    <row r="1063" spans="1:33" ht="15.75" customHeight="1">
      <c r="A1063" s="32" t="s">
        <v>196</v>
      </c>
      <c r="B1063" s="33">
        <v>1078</v>
      </c>
      <c r="C1063" s="34" t="s">
        <v>6136</v>
      </c>
      <c r="D1063" s="35">
        <v>45929.614383564811</v>
      </c>
      <c r="E1063" s="43">
        <v>45929</v>
      </c>
      <c r="F1063" s="32" t="s">
        <v>4393</v>
      </c>
      <c r="G1063" s="32" t="s">
        <v>6137</v>
      </c>
      <c r="H1063" s="32" t="s">
        <v>6138</v>
      </c>
      <c r="I1063" s="36" t="s">
        <v>4396</v>
      </c>
      <c r="J1063" s="52"/>
      <c r="K1063" s="32" t="s">
        <v>4593</v>
      </c>
      <c r="L1063" s="32" t="s">
        <v>6139</v>
      </c>
      <c r="M1063" s="32" t="s">
        <v>60</v>
      </c>
      <c r="N1063" s="33">
        <v>5</v>
      </c>
      <c r="O1063" s="35">
        <v>45932</v>
      </c>
      <c r="P1063" s="35">
        <v>45936</v>
      </c>
      <c r="Q1063" s="37"/>
      <c r="R1063" s="38"/>
      <c r="S1063" s="33"/>
      <c r="T1063" s="39">
        <v>197000</v>
      </c>
      <c r="U1063" s="40" t="s">
        <v>61</v>
      </c>
      <c r="V1063" s="41"/>
      <c r="W1063" s="42" t="str">
        <f ca="1">IFERROR(__xludf.DUMMYFUNCTION("""COMPUTED_VALUE"""),"Sumber Semangat")</f>
        <v>Sumber Semangat</v>
      </c>
      <c r="X1063" s="42" t="str">
        <f ca="1"/>
        <v>ON-Sumber Semangat-00011900+5-6289667480162</v>
      </c>
      <c r="Y1063" s="40" t="s">
        <v>62</v>
      </c>
      <c r="Z1063" s="40" t="s">
        <v>1465</v>
      </c>
      <c r="AA1063" s="23" t="str">
        <v>https://wa.me/6289667480162</v>
      </c>
      <c r="AB1063" s="28" t="s">
        <v>6140</v>
      </c>
      <c r="AC1063" s="28"/>
      <c r="AD1063" s="28" t="s">
        <v>690</v>
      </c>
      <c r="AE1063" s="28"/>
      <c r="AF1063" s="29"/>
      <c r="AG1063" s="29"/>
    </row>
    <row r="1064" spans="1:33" ht="15.75" customHeight="1">
      <c r="A1064" s="32" t="s">
        <v>196</v>
      </c>
      <c r="B1064" s="33">
        <v>1079</v>
      </c>
      <c r="C1064" s="34" t="s">
        <v>6141</v>
      </c>
      <c r="D1064" s="35">
        <v>45929.614703182873</v>
      </c>
      <c r="E1064" s="43">
        <v>45929</v>
      </c>
      <c r="F1064" s="32" t="s">
        <v>6142</v>
      </c>
      <c r="G1064" s="32" t="s">
        <v>6143</v>
      </c>
      <c r="H1064" s="32" t="s">
        <v>6144</v>
      </c>
      <c r="I1064" s="36" t="s">
        <v>6145</v>
      </c>
      <c r="J1064" s="52"/>
      <c r="K1064" s="32" t="s">
        <v>2106</v>
      </c>
      <c r="L1064" s="32" t="s">
        <v>490</v>
      </c>
      <c r="M1064" s="32" t="s">
        <v>60</v>
      </c>
      <c r="N1064" s="33">
        <v>5</v>
      </c>
      <c r="O1064" s="35">
        <v>45932</v>
      </c>
      <c r="P1064" s="35">
        <v>45936</v>
      </c>
      <c r="Q1064" s="37"/>
      <c r="R1064" s="38"/>
      <c r="S1064" s="33"/>
      <c r="T1064" s="39">
        <v>197000</v>
      </c>
      <c r="U1064" s="40" t="s">
        <v>61</v>
      </c>
      <c r="V1064" s="41"/>
      <c r="W1064" s="42" t="str">
        <f ca="1">IFERROR(__xludf.DUMMYFUNCTION("""COMPUTED_VALUE"""),"Hago Transport")</f>
        <v>Hago Transport</v>
      </c>
      <c r="X1064" s="42" t="str">
        <f ca="1"/>
        <v>ON-Hago Transport-00011900+5-62895405794474</v>
      </c>
      <c r="Y1064" s="40" t="s">
        <v>62</v>
      </c>
      <c r="Z1064" s="40" t="s">
        <v>1880</v>
      </c>
      <c r="AA1064" s="23" t="str">
        <v>https://wa.me/62895405794474</v>
      </c>
      <c r="AB1064" s="28" t="s">
        <v>6146</v>
      </c>
      <c r="AC1064" s="28"/>
      <c r="AD1064" s="28" t="s">
        <v>690</v>
      </c>
      <c r="AE1064" s="28"/>
      <c r="AF1064" s="29"/>
      <c r="AG1064" s="29"/>
    </row>
    <row r="1065" spans="1:33" ht="15.75" customHeight="1">
      <c r="A1065" s="32" t="s">
        <v>52</v>
      </c>
      <c r="B1065" s="33">
        <v>1080</v>
      </c>
      <c r="C1065" s="34" t="s">
        <v>6147</v>
      </c>
      <c r="D1065" s="35">
        <v>45929.615721249997</v>
      </c>
      <c r="E1065" s="43">
        <v>45928</v>
      </c>
      <c r="F1065" s="32" t="s">
        <v>2064</v>
      </c>
      <c r="G1065" s="32" t="s">
        <v>2065</v>
      </c>
      <c r="H1065" s="32" t="s">
        <v>1648</v>
      </c>
      <c r="I1065" s="36" t="s">
        <v>2066</v>
      </c>
      <c r="J1065" s="52" t="s">
        <v>2067</v>
      </c>
      <c r="K1065" s="32" t="s">
        <v>2068</v>
      </c>
      <c r="L1065" s="32" t="s">
        <v>2069</v>
      </c>
      <c r="M1065" s="32" t="s">
        <v>2032</v>
      </c>
      <c r="N1065" s="33">
        <v>7</v>
      </c>
      <c r="O1065" s="35"/>
      <c r="P1065" s="35"/>
      <c r="Q1065" s="37"/>
      <c r="R1065" s="38"/>
      <c r="S1065" s="33"/>
      <c r="T1065" s="39">
        <v>297000</v>
      </c>
      <c r="U1065" s="40" t="s">
        <v>61</v>
      </c>
      <c r="V1065" s="41"/>
      <c r="W1065" s="42" t="str">
        <f ca="1">IFERROR(__xludf.DUMMYFUNCTION("""COMPUTED_VALUE"""),"Bengkel Las")</f>
        <v>Bengkel Las</v>
      </c>
      <c r="X1065" s="42" t="str">
        <f ca="1"/>
        <v>ON-Bengkel Las-00011900+7-6281394618785</v>
      </c>
      <c r="Y1065" s="40"/>
      <c r="Z1065" s="40"/>
      <c r="AA1065" s="23" t="str">
        <v>https://wa.me/6281394618785</v>
      </c>
      <c r="AB1065" s="28"/>
      <c r="AC1065" s="28"/>
      <c r="AD1065" s="28"/>
      <c r="AE1065" s="28"/>
      <c r="AF1065" s="29"/>
      <c r="AG1065" s="29"/>
    </row>
    <row r="1066" spans="1:33" ht="15.75" customHeight="1">
      <c r="A1066" s="32" t="s">
        <v>196</v>
      </c>
      <c r="B1066" s="33">
        <v>1081</v>
      </c>
      <c r="C1066" s="34" t="s">
        <v>6148</v>
      </c>
      <c r="D1066" s="35">
        <v>45929.673948055555</v>
      </c>
      <c r="E1066" s="43">
        <v>45929</v>
      </c>
      <c r="F1066" s="32" t="s">
        <v>6149</v>
      </c>
      <c r="G1066" s="32" t="s">
        <v>6150</v>
      </c>
      <c r="H1066" s="32" t="s">
        <v>6151</v>
      </c>
      <c r="I1066" s="36" t="s">
        <v>6152</v>
      </c>
      <c r="J1066" s="52"/>
      <c r="K1066" s="32" t="s">
        <v>570</v>
      </c>
      <c r="L1066" s="32" t="s">
        <v>2133</v>
      </c>
      <c r="M1066" s="32" t="s">
        <v>60</v>
      </c>
      <c r="N1066" s="33">
        <v>7</v>
      </c>
      <c r="O1066" s="35">
        <v>45932</v>
      </c>
      <c r="P1066" s="35">
        <v>45938</v>
      </c>
      <c r="Q1066" s="37"/>
      <c r="R1066" s="38"/>
      <c r="S1066" s="33"/>
      <c r="T1066" s="39">
        <v>297000</v>
      </c>
      <c r="U1066" s="40" t="s">
        <v>61</v>
      </c>
      <c r="V1066" s="41"/>
      <c r="W1066" s="42" t="str">
        <f ca="1">IFERROR(__xludf.DUMMYFUNCTION("""COMPUTED_VALUE"""),"Kurnia Damai")</f>
        <v>Kurnia Damai</v>
      </c>
      <c r="X1066" s="42" t="str">
        <f ca="1"/>
        <v>ON-Kurnia Damai-00011900+7-628118472727</v>
      </c>
      <c r="Y1066" s="40" t="s">
        <v>293</v>
      </c>
      <c r="Z1066" s="40" t="s">
        <v>1057</v>
      </c>
      <c r="AA1066" s="23" t="str">
        <v>https://wa.me/628118472727</v>
      </c>
      <c r="AB1066" s="28" t="s">
        <v>6153</v>
      </c>
      <c r="AC1066" s="28"/>
      <c r="AD1066" s="28" t="s">
        <v>690</v>
      </c>
      <c r="AE1066" s="28"/>
      <c r="AF1066" s="29"/>
      <c r="AG1066" s="29"/>
    </row>
    <row r="1067" spans="1:33" ht="15.75" customHeight="1">
      <c r="A1067" s="32" t="s">
        <v>52</v>
      </c>
      <c r="B1067" s="33">
        <v>1082</v>
      </c>
      <c r="C1067" s="34" t="s">
        <v>6154</v>
      </c>
      <c r="D1067" s="35">
        <v>45930.351497685187</v>
      </c>
      <c r="E1067" s="43">
        <v>45921</v>
      </c>
      <c r="F1067" s="32" t="s">
        <v>599</v>
      </c>
      <c r="G1067" s="32" t="s">
        <v>600</v>
      </c>
      <c r="H1067" s="32" t="s">
        <v>601</v>
      </c>
      <c r="I1067" s="36" t="s">
        <v>602</v>
      </c>
      <c r="J1067" s="52"/>
      <c r="K1067" s="32" t="s">
        <v>603</v>
      </c>
      <c r="L1067" s="32" t="s">
        <v>604</v>
      </c>
      <c r="M1067" s="32" t="s">
        <v>60</v>
      </c>
      <c r="N1067" s="33">
        <v>7</v>
      </c>
      <c r="O1067" s="35"/>
      <c r="P1067" s="35"/>
      <c r="Q1067" s="37"/>
      <c r="R1067" s="38"/>
      <c r="S1067" s="33"/>
      <c r="T1067" s="39">
        <v>297000</v>
      </c>
      <c r="U1067" s="40" t="s">
        <v>61</v>
      </c>
      <c r="V1067" s="41"/>
      <c r="W1067" s="42" t="str">
        <f ca="1">IFERROR(__xludf.DUMMYFUNCTION("""COMPUTED_VALUE"""),"Samidi Plafon")</f>
        <v>Samidi Plafon</v>
      </c>
      <c r="X1067" s="42" t="str">
        <f ca="1"/>
        <v>ON-Samidi Plafon-00011900+7-6285210107607</v>
      </c>
      <c r="Y1067" s="40"/>
      <c r="Z1067" s="40"/>
      <c r="AA1067" s="23" t="str">
        <v>https://wa.me/6285210107607</v>
      </c>
      <c r="AB1067" s="28"/>
      <c r="AC1067" s="28"/>
      <c r="AD1067" s="28"/>
      <c r="AE1067" s="28"/>
      <c r="AF1067" s="29"/>
      <c r="AG1067" s="29"/>
    </row>
    <row r="1068" spans="1:33" ht="15.75" customHeight="1">
      <c r="A1068" s="32" t="s">
        <v>196</v>
      </c>
      <c r="B1068" s="33">
        <v>1083</v>
      </c>
      <c r="C1068" s="34" t="s">
        <v>6155</v>
      </c>
      <c r="D1068" s="35">
        <v>45930.497480196762</v>
      </c>
      <c r="E1068" s="43">
        <v>45929</v>
      </c>
      <c r="F1068" s="32" t="s">
        <v>6156</v>
      </c>
      <c r="G1068" s="32" t="s">
        <v>6157</v>
      </c>
      <c r="H1068" s="32" t="s">
        <v>6158</v>
      </c>
      <c r="I1068" s="36" t="s">
        <v>6159</v>
      </c>
      <c r="J1068" s="52"/>
      <c r="K1068" s="32" t="s">
        <v>6160</v>
      </c>
      <c r="L1068" s="32" t="s">
        <v>647</v>
      </c>
      <c r="M1068" s="32" t="s">
        <v>382</v>
      </c>
      <c r="N1068" s="33">
        <v>10</v>
      </c>
      <c r="O1068" s="35">
        <v>45932</v>
      </c>
      <c r="P1068" s="35">
        <v>45941</v>
      </c>
      <c r="Q1068" s="37"/>
      <c r="R1068" s="38"/>
      <c r="S1068" s="33"/>
      <c r="T1068" s="39">
        <v>375000</v>
      </c>
      <c r="U1068" s="40" t="s">
        <v>115</v>
      </c>
      <c r="V1068" s="41"/>
      <c r="W1068" s="42" t="str">
        <f ca="1">IFERROR(__xludf.DUMMYFUNCTION("""COMPUTED_VALUE"""),"JURAGAN RUMAH")</f>
        <v>JURAGAN RUMAH</v>
      </c>
      <c r="X1068" s="42" t="str">
        <f ca="1"/>
        <v>ON-JURAGAN RUMAH-00011900+10-6285344060945</v>
      </c>
      <c r="Y1068" s="40" t="s">
        <v>293</v>
      </c>
      <c r="Z1068" s="40" t="s">
        <v>1057</v>
      </c>
      <c r="AA1068" s="23" t="str">
        <v>https://wa.me/6285344060945</v>
      </c>
      <c r="AB1068" s="28" t="s">
        <v>6161</v>
      </c>
      <c r="AC1068" s="28"/>
      <c r="AD1068" s="28" t="s">
        <v>690</v>
      </c>
      <c r="AE1068" s="28"/>
      <c r="AF1068" s="29"/>
      <c r="AG1068" s="29"/>
    </row>
    <row r="1069" spans="1:33" ht="15.75" customHeight="1">
      <c r="A1069" s="32" t="s">
        <v>196</v>
      </c>
      <c r="B1069" s="33">
        <v>1084</v>
      </c>
      <c r="C1069" s="34" t="s">
        <v>6162</v>
      </c>
      <c r="D1069" s="35">
        <v>45930.497967361109</v>
      </c>
      <c r="E1069" s="43">
        <v>45930</v>
      </c>
      <c r="F1069" s="32" t="s">
        <v>6163</v>
      </c>
      <c r="G1069" s="32" t="s">
        <v>6164</v>
      </c>
      <c r="H1069" s="32" t="s">
        <v>6165</v>
      </c>
      <c r="I1069" s="36" t="s">
        <v>6166</v>
      </c>
      <c r="J1069" s="52"/>
      <c r="K1069" s="32" t="s">
        <v>6167</v>
      </c>
      <c r="L1069" s="32" t="s">
        <v>490</v>
      </c>
      <c r="M1069" s="32" t="s">
        <v>60</v>
      </c>
      <c r="N1069" s="33">
        <v>10</v>
      </c>
      <c r="O1069" s="35">
        <v>45933</v>
      </c>
      <c r="P1069" s="35">
        <v>45942</v>
      </c>
      <c r="Q1069" s="37"/>
      <c r="R1069" s="38"/>
      <c r="S1069" s="33"/>
      <c r="T1069" s="39">
        <v>375000</v>
      </c>
      <c r="U1069" s="40" t="s">
        <v>61</v>
      </c>
      <c r="V1069" s="41"/>
      <c r="W1069" s="42" t="str">
        <f ca="1">IFERROR(__xludf.DUMMYFUNCTION("""COMPUTED_VALUE"""),"Ruqyah Online")</f>
        <v>Ruqyah Online</v>
      </c>
      <c r="X1069" s="42" t="str">
        <f ca="1"/>
        <v>ON-Ruqyah Online-00011900+10-6285314630194</v>
      </c>
      <c r="Y1069" s="40" t="s">
        <v>62</v>
      </c>
      <c r="Z1069" s="40" t="s">
        <v>639</v>
      </c>
      <c r="AA1069" s="23" t="str">
        <v>https://wa.me/6285314630194</v>
      </c>
      <c r="AB1069" s="28" t="s">
        <v>6168</v>
      </c>
      <c r="AC1069" s="28"/>
      <c r="AD1069" s="28" t="s">
        <v>690</v>
      </c>
      <c r="AE1069" s="28"/>
      <c r="AF1069" s="29"/>
      <c r="AG1069" s="29"/>
    </row>
    <row r="1070" spans="1:33" ht="15.75" customHeight="1">
      <c r="A1070" s="32" t="s">
        <v>52</v>
      </c>
      <c r="B1070" s="33">
        <v>1085</v>
      </c>
      <c r="C1070" s="34" t="s">
        <v>6169</v>
      </c>
      <c r="D1070" s="35">
        <v>45930.498595034718</v>
      </c>
      <c r="E1070" s="43">
        <v>45930</v>
      </c>
      <c r="F1070" s="32" t="s">
        <v>5159</v>
      </c>
      <c r="G1070" s="32" t="s">
        <v>5160</v>
      </c>
      <c r="H1070" s="32" t="s">
        <v>5161</v>
      </c>
      <c r="I1070" s="36" t="s">
        <v>5162</v>
      </c>
      <c r="J1070" s="52"/>
      <c r="K1070" s="32" t="s">
        <v>5163</v>
      </c>
      <c r="L1070" s="32" t="s">
        <v>2468</v>
      </c>
      <c r="M1070" s="32" t="s">
        <v>60</v>
      </c>
      <c r="N1070" s="33">
        <v>10</v>
      </c>
      <c r="O1070" s="35"/>
      <c r="P1070" s="35"/>
      <c r="Q1070" s="37"/>
      <c r="R1070" s="38"/>
      <c r="S1070" s="33"/>
      <c r="T1070" s="39">
        <v>375000</v>
      </c>
      <c r="U1070" s="40" t="s">
        <v>61</v>
      </c>
      <c r="V1070" s="41"/>
      <c r="W1070" s="42" t="str">
        <f ca="1">IFERROR(__xludf.DUMMYFUNCTION("""COMPUTED_VALUE"""),"Wirisvariasi")</f>
        <v>Wirisvariasi</v>
      </c>
      <c r="X1070" s="42" t="str">
        <f ca="1"/>
        <v>ON-Wirisvariasi-00011900+10-6282242925264</v>
      </c>
      <c r="Y1070" s="40"/>
      <c r="Z1070" s="40"/>
      <c r="AA1070" s="23" t="str">
        <v>https://wa.me/6282242925264</v>
      </c>
      <c r="AB1070" s="28"/>
      <c r="AC1070" s="28"/>
      <c r="AD1070" s="28"/>
      <c r="AE1070" s="28"/>
      <c r="AF1070" s="29"/>
      <c r="AG1070" s="29"/>
    </row>
    <row r="1071" spans="1:33" ht="15.75" customHeight="1">
      <c r="A1071" s="32" t="s">
        <v>196</v>
      </c>
      <c r="B1071" s="33">
        <v>1086</v>
      </c>
      <c r="C1071" s="34" t="s">
        <v>6170</v>
      </c>
      <c r="D1071" s="33" t="s">
        <v>6171</v>
      </c>
      <c r="E1071" s="43">
        <v>45930</v>
      </c>
      <c r="F1071" s="32" t="s">
        <v>6172</v>
      </c>
      <c r="G1071" s="54" t="s">
        <v>6173</v>
      </c>
      <c r="H1071" s="32" t="s">
        <v>6174</v>
      </c>
      <c r="I1071" s="36" t="s">
        <v>569</v>
      </c>
      <c r="J1071" s="52"/>
      <c r="K1071" s="32" t="s">
        <v>6175</v>
      </c>
      <c r="L1071" s="32" t="s">
        <v>2133</v>
      </c>
      <c r="M1071" s="32" t="s">
        <v>60</v>
      </c>
      <c r="N1071" s="33">
        <v>10</v>
      </c>
      <c r="O1071" s="35"/>
      <c r="P1071" s="35"/>
      <c r="Q1071" s="37"/>
      <c r="R1071" s="38">
        <v>-1003470351325</v>
      </c>
      <c r="S1071" s="33"/>
      <c r="T1071" s="39">
        <v>375000</v>
      </c>
      <c r="U1071" s="40" t="s">
        <v>1774</v>
      </c>
      <c r="V1071" s="47">
        <v>45995.577336585644</v>
      </c>
      <c r="W1071" s="55" t="str">
        <f ca="1">IFERROR(__xludf.DUMMYFUNCTION("""COMPUTED_VALUE"""),"ahlibangun.com")</f>
        <v>ahlibangun.com</v>
      </c>
      <c r="X1071" s="42" t="str">
        <f ca="1"/>
        <v>ON-ahlibangun.com-04122025+10-6285220216325</v>
      </c>
      <c r="Y1071" s="40" t="s">
        <v>293</v>
      </c>
      <c r="Z1071" s="40" t="s">
        <v>1057</v>
      </c>
      <c r="AA1071" s="23" t="str">
        <v>https://wa.me/6285220216325</v>
      </c>
      <c r="AB1071" s="28" t="s">
        <v>6176</v>
      </c>
      <c r="AC1071" s="28"/>
      <c r="AD1071" s="28" t="s">
        <v>690</v>
      </c>
      <c r="AE1071" s="28"/>
      <c r="AF1071" s="29"/>
      <c r="AG1071" s="29"/>
    </row>
    <row r="1072" spans="1:33" ht="15.75" customHeight="1">
      <c r="A1072" s="32" t="s">
        <v>196</v>
      </c>
      <c r="B1072" s="33">
        <v>1087</v>
      </c>
      <c r="C1072" s="34" t="s">
        <v>6177</v>
      </c>
      <c r="D1072" s="35">
        <v>45930.74914550926</v>
      </c>
      <c r="E1072" s="43">
        <v>45930</v>
      </c>
      <c r="F1072" s="32" t="s">
        <v>6178</v>
      </c>
      <c r="G1072" s="32" t="s">
        <v>6179</v>
      </c>
      <c r="H1072" s="32" t="s">
        <v>6180</v>
      </c>
      <c r="I1072" s="36" t="s">
        <v>6181</v>
      </c>
      <c r="J1072" s="52"/>
      <c r="K1072" s="32" t="s">
        <v>6182</v>
      </c>
      <c r="L1072" s="32" t="s">
        <v>2468</v>
      </c>
      <c r="M1072" s="32" t="s">
        <v>60</v>
      </c>
      <c r="N1072" s="33">
        <v>5</v>
      </c>
      <c r="O1072" s="35">
        <v>45932</v>
      </c>
      <c r="P1072" s="35">
        <v>45933</v>
      </c>
      <c r="Q1072" s="37"/>
      <c r="R1072" s="38"/>
      <c r="S1072" s="33"/>
      <c r="T1072" s="39">
        <v>197000</v>
      </c>
      <c r="U1072" s="40" t="s">
        <v>61</v>
      </c>
      <c r="V1072" s="41"/>
      <c r="W1072" s="42" t="str">
        <f ca="1">IFERROR(__xludf.DUMMYFUNCTION("""COMPUTED_VALUE"""),"Terapi Adif")</f>
        <v>Terapi Adif</v>
      </c>
      <c r="X1072" s="42" t="str">
        <f ca="1"/>
        <v>ON-Terapi Adif-00011900+5-6285299623063</v>
      </c>
      <c r="Y1072" s="40" t="s">
        <v>62</v>
      </c>
      <c r="Z1072" s="40" t="s">
        <v>639</v>
      </c>
      <c r="AA1072" s="23" t="str">
        <v>https://wa.me/6285299623063</v>
      </c>
      <c r="AB1072" s="28" t="s">
        <v>6183</v>
      </c>
      <c r="AC1072" s="28"/>
      <c r="AD1072" s="28" t="s">
        <v>690</v>
      </c>
      <c r="AE1072" s="28"/>
      <c r="AF1072" s="29"/>
      <c r="AG1072" s="29"/>
    </row>
    <row r="1073" spans="1:33" ht="15.75" customHeight="1">
      <c r="A1073" s="32" t="s">
        <v>52</v>
      </c>
      <c r="B1073" s="33">
        <v>1088</v>
      </c>
      <c r="C1073" s="34" t="s">
        <v>6184</v>
      </c>
      <c r="D1073" s="35">
        <v>45930.750341689811</v>
      </c>
      <c r="E1073" s="43">
        <v>45930</v>
      </c>
      <c r="F1073" s="32" t="s">
        <v>1537</v>
      </c>
      <c r="G1073" s="32" t="s">
        <v>1538</v>
      </c>
      <c r="H1073" s="32" t="s">
        <v>1539</v>
      </c>
      <c r="I1073" s="36" t="s">
        <v>1540</v>
      </c>
      <c r="J1073" s="52" t="s">
        <v>3199</v>
      </c>
      <c r="K1073" s="32" t="s">
        <v>3200</v>
      </c>
      <c r="L1073" s="32" t="s">
        <v>1542</v>
      </c>
      <c r="M1073" s="32" t="s">
        <v>60</v>
      </c>
      <c r="N1073" s="33">
        <v>30</v>
      </c>
      <c r="O1073" s="35"/>
      <c r="P1073" s="35"/>
      <c r="Q1073" s="37"/>
      <c r="R1073" s="38"/>
      <c r="S1073" s="33"/>
      <c r="T1073" s="39">
        <v>1000000</v>
      </c>
      <c r="U1073" s="40" t="s">
        <v>61</v>
      </c>
      <c r="V1073" s="41"/>
      <c r="W1073" s="42" t="str">
        <f ca="1">IFERROR(__xludf.DUMMYFUNCTION("""COMPUTED_VALUE"""),"Mitra Bangun")</f>
        <v>Mitra Bangun</v>
      </c>
      <c r="X1073" s="42" t="str">
        <f ca="1"/>
        <v>ON-Mitra Bangun-00011900+30-6282338171577</v>
      </c>
      <c r="Y1073" s="40"/>
      <c r="Z1073" s="40"/>
      <c r="AA1073" s="23" t="str">
        <v>https://wa.me/6282338171577</v>
      </c>
      <c r="AB1073" s="28"/>
      <c r="AC1073" s="28"/>
      <c r="AD1073" s="28"/>
      <c r="AE1073" s="28"/>
      <c r="AF1073" s="29"/>
      <c r="AG1073" s="29"/>
    </row>
    <row r="1074" spans="1:33" ht="15.75" customHeight="1">
      <c r="A1074" s="32" t="s">
        <v>52</v>
      </c>
      <c r="B1074" s="33">
        <v>1089</v>
      </c>
      <c r="C1074" s="34" t="s">
        <v>6185</v>
      </c>
      <c r="D1074" s="35">
        <v>45931.407880358791</v>
      </c>
      <c r="E1074" s="33" t="s">
        <v>6186</v>
      </c>
      <c r="F1074" s="32" t="s">
        <v>4329</v>
      </c>
      <c r="G1074" s="32" t="s">
        <v>4330</v>
      </c>
      <c r="H1074" s="32" t="s">
        <v>4331</v>
      </c>
      <c r="I1074" s="36" t="s">
        <v>4332</v>
      </c>
      <c r="J1074" s="52" t="s">
        <v>4914</v>
      </c>
      <c r="K1074" s="32" t="s">
        <v>570</v>
      </c>
      <c r="L1074" s="32" t="s">
        <v>2631</v>
      </c>
      <c r="M1074" s="32" t="s">
        <v>4333</v>
      </c>
      <c r="N1074" s="33">
        <v>14</v>
      </c>
      <c r="O1074" s="35"/>
      <c r="P1074" s="35"/>
      <c r="Q1074" s="37"/>
      <c r="R1074" s="38"/>
      <c r="S1074" s="33"/>
      <c r="T1074" s="39">
        <v>550000</v>
      </c>
      <c r="U1074" s="40" t="s">
        <v>1774</v>
      </c>
      <c r="V1074" s="41"/>
      <c r="W1074" s="42" t="str">
        <f ca="1">IFERROR(__xludf.DUMMYFUNCTION("""COMPUTED_VALUE"""),"Anindiyajayapool")</f>
        <v>Anindiyajayapool</v>
      </c>
      <c r="X1074" s="42" t="str">
        <f ca="1"/>
        <v>ON-Anindiyajayapool-00011900+14-6285888452389</v>
      </c>
      <c r="Y1074" s="40"/>
      <c r="Z1074" s="40"/>
      <c r="AA1074" s="23" t="str">
        <v>https://wa.me/6285888452389</v>
      </c>
      <c r="AB1074" s="28"/>
      <c r="AC1074" s="28"/>
      <c r="AD1074" s="28"/>
      <c r="AE1074" s="28"/>
      <c r="AF1074" s="29"/>
      <c r="AG1074" s="29"/>
    </row>
    <row r="1075" spans="1:33" ht="15.75" customHeight="1">
      <c r="A1075" s="32" t="s">
        <v>52</v>
      </c>
      <c r="B1075" s="33">
        <v>1090</v>
      </c>
      <c r="C1075" s="34" t="s">
        <v>6187</v>
      </c>
      <c r="D1075" s="35">
        <v>45931.643043298609</v>
      </c>
      <c r="E1075" s="33" t="s">
        <v>6186</v>
      </c>
      <c r="F1075" s="32" t="s">
        <v>5003</v>
      </c>
      <c r="G1075" s="32" t="s">
        <v>5004</v>
      </c>
      <c r="H1075" s="32" t="s">
        <v>5005</v>
      </c>
      <c r="I1075" s="36" t="s">
        <v>5006</v>
      </c>
      <c r="J1075" s="52" t="s">
        <v>5007</v>
      </c>
      <c r="K1075" s="32" t="s">
        <v>5008</v>
      </c>
      <c r="L1075" s="32" t="s">
        <v>3750</v>
      </c>
      <c r="M1075" s="32" t="s">
        <v>249</v>
      </c>
      <c r="N1075" s="33">
        <v>5</v>
      </c>
      <c r="O1075" s="35"/>
      <c r="P1075" s="35"/>
      <c r="Q1075" s="37"/>
      <c r="R1075" s="38"/>
      <c r="S1075" s="33"/>
      <c r="T1075" s="39">
        <v>197000</v>
      </c>
      <c r="U1075" s="40" t="s">
        <v>1774</v>
      </c>
      <c r="V1075" s="41"/>
      <c r="W1075" s="42" t="str">
        <f ca="1">IFERROR(__xludf.DUMMYFUNCTION("""COMPUTED_VALUE"""),"Spesialis Atap")</f>
        <v>Spesialis Atap</v>
      </c>
      <c r="X1075" s="42" t="str">
        <f ca="1"/>
        <v>ON-Spesialis Atap-00011900+5-6285888851587</v>
      </c>
      <c r="Y1075" s="40"/>
      <c r="Z1075" s="40"/>
      <c r="AA1075" s="23" t="str">
        <v>https://wa.me/6285888851587</v>
      </c>
      <c r="AB1075" s="28"/>
      <c r="AC1075" s="28"/>
      <c r="AD1075" s="28"/>
      <c r="AE1075" s="28"/>
      <c r="AF1075" s="29"/>
      <c r="AG1075" s="29"/>
    </row>
    <row r="1076" spans="1:33" ht="15.75" customHeight="1">
      <c r="A1076" s="32" t="s">
        <v>196</v>
      </c>
      <c r="B1076" s="33">
        <v>1091</v>
      </c>
      <c r="C1076" s="34" t="s">
        <v>6188</v>
      </c>
      <c r="D1076" s="35">
        <v>46035</v>
      </c>
      <c r="E1076" s="33" t="s">
        <v>6186</v>
      </c>
      <c r="F1076" s="32" t="s">
        <v>6189</v>
      </c>
      <c r="G1076" s="32" t="s">
        <v>6190</v>
      </c>
      <c r="H1076" s="32" t="s">
        <v>6191</v>
      </c>
      <c r="I1076" s="36" t="s">
        <v>6192</v>
      </c>
      <c r="J1076" s="52"/>
      <c r="K1076" s="32" t="s">
        <v>374</v>
      </c>
      <c r="L1076" s="32" t="s">
        <v>6193</v>
      </c>
      <c r="M1076" s="32" t="s">
        <v>205</v>
      </c>
      <c r="N1076" s="33">
        <v>10</v>
      </c>
      <c r="O1076" s="35">
        <v>46037</v>
      </c>
      <c r="P1076" s="35">
        <v>46046</v>
      </c>
      <c r="Q1076" s="37"/>
      <c r="R1076" s="38">
        <v>-1003470351325</v>
      </c>
      <c r="S1076" s="33"/>
      <c r="T1076" s="39">
        <v>375000</v>
      </c>
      <c r="U1076" s="40" t="s">
        <v>61</v>
      </c>
      <c r="V1076" s="47">
        <v>46035.804957627319</v>
      </c>
      <c r="W1076" s="42" t="str">
        <f ca="1">IFERROR(__xludf.DUMMYFUNCTION("""COMPUTED_VALUE"""),"CALLWA ART")</f>
        <v>CALLWA ART</v>
      </c>
      <c r="X1076" s="42" t="str">
        <f ca="1"/>
        <v>ON-CALLWA ART-13012026+10-6281227074313</v>
      </c>
      <c r="Y1076" s="40" t="s">
        <v>293</v>
      </c>
      <c r="Z1076" s="40" t="s">
        <v>1057</v>
      </c>
      <c r="AA1076" s="23" t="str">
        <v>https://wa.me/6281227074313</v>
      </c>
      <c r="AB1076" s="28" t="s">
        <v>6194</v>
      </c>
      <c r="AC1076" s="28"/>
      <c r="AD1076" s="28" t="s">
        <v>690</v>
      </c>
      <c r="AE1076" s="28"/>
      <c r="AF1076" s="29"/>
      <c r="AG1076" s="29"/>
    </row>
    <row r="1077" spans="1:33" ht="15.75" customHeight="1">
      <c r="A1077" s="32" t="s">
        <v>52</v>
      </c>
      <c r="B1077" s="33">
        <v>1092</v>
      </c>
      <c r="C1077" s="34" t="s">
        <v>6195</v>
      </c>
      <c r="D1077" s="35">
        <v>45931.822029861112</v>
      </c>
      <c r="E1077" s="44">
        <v>45931</v>
      </c>
      <c r="F1077" s="32" t="s">
        <v>2231</v>
      </c>
      <c r="G1077" s="32" t="s">
        <v>4559</v>
      </c>
      <c r="H1077" s="32" t="s">
        <v>409</v>
      </c>
      <c r="I1077" s="36" t="s">
        <v>2233</v>
      </c>
      <c r="J1077" s="52" t="s">
        <v>2234</v>
      </c>
      <c r="K1077" s="32" t="s">
        <v>4560</v>
      </c>
      <c r="L1077" s="32" t="s">
        <v>2236</v>
      </c>
      <c r="M1077" s="32" t="s">
        <v>2237</v>
      </c>
      <c r="N1077" s="33">
        <v>30</v>
      </c>
      <c r="O1077" s="35"/>
      <c r="P1077" s="35"/>
      <c r="Q1077" s="37"/>
      <c r="R1077" s="38"/>
      <c r="S1077" s="33"/>
      <c r="T1077" s="39">
        <v>1000000</v>
      </c>
      <c r="U1077" s="40" t="s">
        <v>115</v>
      </c>
      <c r="V1077" s="41"/>
      <c r="W1077" s="42" t="str">
        <f ca="1">IFERROR(__xludf.DUMMYFUNCTION("""COMPUTED_VALUE"""),"Cv Nuansa")</f>
        <v>Cv Nuansa</v>
      </c>
      <c r="X1077" s="42" t="str">
        <f ca="1"/>
        <v>ON-Cv Nuansa-00011900+30-6282310465999</v>
      </c>
      <c r="Y1077" s="40"/>
      <c r="Z1077" s="40"/>
      <c r="AA1077" s="23" t="str">
        <v>https://wa.me/6282310465999</v>
      </c>
      <c r="AB1077" s="28"/>
      <c r="AC1077" s="28"/>
      <c r="AD1077" s="28"/>
      <c r="AE1077" s="28"/>
      <c r="AF1077" s="29"/>
      <c r="AG1077" s="29"/>
    </row>
    <row r="1078" spans="1:33" ht="15.75" customHeight="1">
      <c r="A1078" s="32" t="s">
        <v>52</v>
      </c>
      <c r="B1078" s="33">
        <v>1093</v>
      </c>
      <c r="C1078" s="34" t="s">
        <v>6196</v>
      </c>
      <c r="D1078" s="35">
        <v>45932.218706168976</v>
      </c>
      <c r="E1078" s="33" t="s">
        <v>6186</v>
      </c>
      <c r="F1078" s="32" t="s">
        <v>4937</v>
      </c>
      <c r="G1078" s="32" t="s">
        <v>5850</v>
      </c>
      <c r="H1078" s="32" t="s">
        <v>5851</v>
      </c>
      <c r="I1078" s="36" t="s">
        <v>4939</v>
      </c>
      <c r="J1078" s="52"/>
      <c r="K1078" s="32" t="s">
        <v>5852</v>
      </c>
      <c r="L1078" s="32" t="s">
        <v>490</v>
      </c>
      <c r="M1078" s="32" t="s">
        <v>60</v>
      </c>
      <c r="N1078" s="33">
        <v>10</v>
      </c>
      <c r="O1078" s="35"/>
      <c r="P1078" s="35"/>
      <c r="Q1078" s="37"/>
      <c r="R1078" s="38"/>
      <c r="S1078" s="33"/>
      <c r="T1078" s="39">
        <v>375000</v>
      </c>
      <c r="U1078" s="40" t="s">
        <v>61</v>
      </c>
      <c r="V1078" s="41"/>
      <c r="W1078" s="42" t="str">
        <f ca="1">IFERROR(__xludf.DUMMYFUNCTION("""COMPUTED_VALUE"""),"Apartemen Student")</f>
        <v>Apartemen Student</v>
      </c>
      <c r="X1078" s="42" t="str">
        <f ca="1"/>
        <v>ON-Apartemen Student-00011900+10-6287835601400</v>
      </c>
      <c r="Y1078" s="40"/>
      <c r="Z1078" s="40"/>
      <c r="AA1078" s="23" t="str">
        <v>https://wa.me/6287835601400</v>
      </c>
      <c r="AB1078" s="28"/>
      <c r="AC1078" s="28"/>
      <c r="AD1078" s="28"/>
      <c r="AE1078" s="28"/>
      <c r="AF1078" s="29"/>
      <c r="AG1078" s="29"/>
    </row>
    <row r="1079" spans="1:33" ht="15.75" customHeight="1">
      <c r="A1079" s="32" t="s">
        <v>52</v>
      </c>
      <c r="B1079" s="33">
        <v>1095</v>
      </c>
      <c r="C1079" s="34" t="s">
        <v>6197</v>
      </c>
      <c r="D1079" s="35">
        <v>45932.350745405092</v>
      </c>
      <c r="E1079" s="33" t="s">
        <v>6198</v>
      </c>
      <c r="F1079" s="32" t="s">
        <v>3241</v>
      </c>
      <c r="G1079" s="32" t="s">
        <v>4495</v>
      </c>
      <c r="H1079" s="32" t="s">
        <v>3243</v>
      </c>
      <c r="I1079" s="36" t="s">
        <v>3244</v>
      </c>
      <c r="J1079" s="52"/>
      <c r="K1079" s="32" t="s">
        <v>6199</v>
      </c>
      <c r="L1079" s="32" t="s">
        <v>166</v>
      </c>
      <c r="M1079" s="32" t="s">
        <v>249</v>
      </c>
      <c r="N1079" s="33">
        <v>10</v>
      </c>
      <c r="O1079" s="35"/>
      <c r="P1079" s="35"/>
      <c r="Q1079" s="37"/>
      <c r="R1079" s="38"/>
      <c r="S1079" s="33"/>
      <c r="T1079" s="39">
        <v>375000</v>
      </c>
      <c r="U1079" s="40" t="s">
        <v>1774</v>
      </c>
      <c r="V1079" s="41"/>
      <c r="W1079" s="42" t="str">
        <f ca="1">IFERROR(__xludf.DUMMYFUNCTION("""COMPUTED_VALUE"""),"Totok saraf")</f>
        <v>Totok saraf</v>
      </c>
      <c r="X1079" s="42" t="str">
        <f ca="1"/>
        <v>ON-Totok saraf-00011900+10-6281330410391</v>
      </c>
      <c r="Y1079" s="40"/>
      <c r="Z1079" s="40"/>
      <c r="AA1079" s="23" t="str">
        <v>https://wa.me/6281330410391</v>
      </c>
      <c r="AB1079" s="28"/>
      <c r="AC1079" s="28"/>
      <c r="AD1079" s="28"/>
      <c r="AE1079" s="28"/>
      <c r="AF1079" s="29"/>
      <c r="AG1079" s="29"/>
    </row>
    <row r="1080" spans="1:33" ht="15.75" customHeight="1">
      <c r="A1080" s="32" t="s">
        <v>52</v>
      </c>
      <c r="B1080" s="33">
        <v>1096</v>
      </c>
      <c r="C1080" s="34" t="s">
        <v>6200</v>
      </c>
      <c r="D1080" s="35">
        <v>45932.443778125002</v>
      </c>
      <c r="E1080" s="43">
        <v>45932</v>
      </c>
      <c r="F1080" s="32" t="s">
        <v>5381</v>
      </c>
      <c r="G1080" s="32" t="s">
        <v>5382</v>
      </c>
      <c r="H1080" s="32" t="s">
        <v>1711</v>
      </c>
      <c r="I1080" s="36" t="s">
        <v>5383</v>
      </c>
      <c r="J1080" s="52"/>
      <c r="K1080" s="32" t="s">
        <v>5384</v>
      </c>
      <c r="L1080" s="32" t="s">
        <v>2382</v>
      </c>
      <c r="M1080" s="32" t="s">
        <v>60</v>
      </c>
      <c r="N1080" s="33">
        <v>10</v>
      </c>
      <c r="O1080" s="35"/>
      <c r="P1080" s="35"/>
      <c r="Q1080" s="37"/>
      <c r="R1080" s="38"/>
      <c r="S1080" s="33"/>
      <c r="T1080" s="39">
        <v>375000</v>
      </c>
      <c r="U1080" s="40" t="s">
        <v>61</v>
      </c>
      <c r="V1080" s="41"/>
      <c r="W1080" s="42" t="str">
        <f ca="1">IFERROR(__xludf.DUMMYFUNCTION("""COMPUTED_VALUE"""),"Griya Sehat")</f>
        <v>Griya Sehat</v>
      </c>
      <c r="X1080" s="42" t="str">
        <f ca="1"/>
        <v>ON-Griya Sehat-00011900+10-62817164567</v>
      </c>
      <c r="Y1080" s="40"/>
      <c r="Z1080" s="40"/>
      <c r="AA1080" s="23" t="str">
        <v>https://wa.me/62817164567</v>
      </c>
      <c r="AB1080" s="28"/>
      <c r="AC1080" s="28"/>
      <c r="AD1080" s="28"/>
      <c r="AE1080" s="28"/>
      <c r="AF1080" s="29"/>
      <c r="AG1080" s="29"/>
    </row>
    <row r="1081" spans="1:33" ht="15.75" customHeight="1">
      <c r="A1081" s="32" t="s">
        <v>52</v>
      </c>
      <c r="B1081" s="33">
        <v>1097</v>
      </c>
      <c r="C1081" s="34" t="s">
        <v>6201</v>
      </c>
      <c r="D1081" s="35">
        <v>45932.655110520835</v>
      </c>
      <c r="E1081" s="43">
        <v>45932</v>
      </c>
      <c r="F1081" s="32" t="s">
        <v>5753</v>
      </c>
      <c r="G1081" s="32" t="s">
        <v>5754</v>
      </c>
      <c r="H1081" s="32" t="s">
        <v>5755</v>
      </c>
      <c r="I1081" s="36" t="s">
        <v>5756</v>
      </c>
      <c r="J1081" s="52"/>
      <c r="K1081" s="32" t="s">
        <v>5757</v>
      </c>
      <c r="L1081" s="32" t="s">
        <v>3750</v>
      </c>
      <c r="M1081" s="32" t="s">
        <v>249</v>
      </c>
      <c r="N1081" s="33">
        <v>10</v>
      </c>
      <c r="O1081" s="35"/>
      <c r="P1081" s="35"/>
      <c r="Q1081" s="37"/>
      <c r="R1081" s="38"/>
      <c r="S1081" s="33"/>
      <c r="T1081" s="39">
        <v>375000</v>
      </c>
      <c r="U1081" s="40" t="s">
        <v>1774</v>
      </c>
      <c r="V1081" s="41"/>
      <c r="W1081" s="42" t="str">
        <f ca="1">IFERROR(__xludf.DUMMYFUNCTION("""COMPUTED_VALUE"""),"CV Adiyatma")</f>
        <v>CV Adiyatma</v>
      </c>
      <c r="X1081" s="42" t="str">
        <f ca="1"/>
        <v>ON-CV Adiyatma-00011900+10-6282266152909</v>
      </c>
      <c r="Y1081" s="40"/>
      <c r="Z1081" s="40"/>
      <c r="AA1081" s="23" t="str">
        <v>https://wa.me/6282266152909</v>
      </c>
      <c r="AB1081" s="28"/>
      <c r="AC1081" s="28"/>
      <c r="AD1081" s="28"/>
      <c r="AE1081" s="28"/>
      <c r="AF1081" s="29"/>
      <c r="AG1081" s="29"/>
    </row>
    <row r="1082" spans="1:33" ht="15.75" customHeight="1">
      <c r="A1082" s="32" t="s">
        <v>196</v>
      </c>
      <c r="B1082" s="33">
        <v>1099</v>
      </c>
      <c r="C1082" s="34" t="s">
        <v>6202</v>
      </c>
      <c r="D1082" s="35">
        <v>45932.729265092596</v>
      </c>
      <c r="E1082" s="43">
        <v>45932</v>
      </c>
      <c r="F1082" s="32" t="s">
        <v>6203</v>
      </c>
      <c r="G1082" s="32" t="s">
        <v>6204</v>
      </c>
      <c r="H1082" s="32" t="s">
        <v>6205</v>
      </c>
      <c r="I1082" s="36" t="s">
        <v>6206</v>
      </c>
      <c r="J1082" s="52" t="s">
        <v>6207</v>
      </c>
      <c r="K1082" s="32" t="s">
        <v>4421</v>
      </c>
      <c r="L1082" s="32" t="s">
        <v>1957</v>
      </c>
      <c r="M1082" s="32" t="s">
        <v>5643</v>
      </c>
      <c r="N1082" s="33">
        <v>5</v>
      </c>
      <c r="O1082" s="35">
        <v>45934</v>
      </c>
      <c r="P1082" s="35">
        <v>45938</v>
      </c>
      <c r="Q1082" s="37"/>
      <c r="R1082" s="38"/>
      <c r="S1082" s="33"/>
      <c r="T1082" s="39">
        <v>197000</v>
      </c>
      <c r="U1082" s="40" t="s">
        <v>1774</v>
      </c>
      <c r="V1082" s="41"/>
      <c r="W1082" s="42" t="str">
        <f ca="1">IFERROR(__xludf.DUMMYFUNCTION("""COMPUTED_VALUE"""),"Maju Mando")</f>
        <v>Maju Mando</v>
      </c>
      <c r="X1082" s="42" t="str">
        <f ca="1"/>
        <v>ON-Maju Mando-00011900+5-6281356480021</v>
      </c>
      <c r="Y1082" s="40" t="s">
        <v>62</v>
      </c>
      <c r="Z1082" s="40" t="s">
        <v>1465</v>
      </c>
      <c r="AA1082" s="23" t="str">
        <v>https://wa.me/6281356480021</v>
      </c>
      <c r="AB1082" s="28" t="s">
        <v>6208</v>
      </c>
      <c r="AC1082" s="28"/>
      <c r="AD1082" s="28" t="s">
        <v>690</v>
      </c>
      <c r="AE1082" s="28"/>
      <c r="AF1082" s="29"/>
      <c r="AG1082" s="29"/>
    </row>
    <row r="1083" spans="1:33" ht="15.75" customHeight="1">
      <c r="A1083" s="32" t="s">
        <v>52</v>
      </c>
      <c r="B1083" s="33">
        <v>1100</v>
      </c>
      <c r="C1083" s="34" t="s">
        <v>6209</v>
      </c>
      <c r="D1083" s="35">
        <v>45932.738158101856</v>
      </c>
      <c r="E1083" s="43">
        <v>45932</v>
      </c>
      <c r="F1083" s="32" t="s">
        <v>5753</v>
      </c>
      <c r="G1083" s="32" t="s">
        <v>5754</v>
      </c>
      <c r="H1083" s="32" t="s">
        <v>5755</v>
      </c>
      <c r="I1083" s="36" t="s">
        <v>5756</v>
      </c>
      <c r="J1083" s="52"/>
      <c r="K1083" s="32" t="s">
        <v>6210</v>
      </c>
      <c r="L1083" s="32" t="s">
        <v>3750</v>
      </c>
      <c r="M1083" s="32" t="s">
        <v>249</v>
      </c>
      <c r="N1083" s="33">
        <v>10</v>
      </c>
      <c r="O1083" s="35"/>
      <c r="P1083" s="35"/>
      <c r="Q1083" s="37"/>
      <c r="R1083" s="38"/>
      <c r="S1083" s="33"/>
      <c r="T1083" s="39">
        <v>375000</v>
      </c>
      <c r="U1083" s="40" t="s">
        <v>1774</v>
      </c>
      <c r="V1083" s="41"/>
      <c r="W1083" s="42" t="str">
        <f ca="1">IFERROR(__xludf.DUMMYFUNCTION("""COMPUTED_VALUE"""),"CV Adiyatma")</f>
        <v>CV Adiyatma</v>
      </c>
      <c r="X1083" s="42" t="str">
        <f ca="1"/>
        <v>ON-CV Adiyatma-00011900+10-6282266152909</v>
      </c>
      <c r="Y1083" s="40"/>
      <c r="Z1083" s="40"/>
      <c r="AA1083" s="23" t="str">
        <v>https://wa.me/6282266152909</v>
      </c>
      <c r="AB1083" s="28"/>
      <c r="AC1083" s="28"/>
      <c r="AD1083" s="28"/>
      <c r="AE1083" s="28"/>
      <c r="AF1083" s="29"/>
      <c r="AG1083" s="29"/>
    </row>
    <row r="1084" spans="1:33" ht="15.75" customHeight="1">
      <c r="A1084" s="32" t="s">
        <v>52</v>
      </c>
      <c r="B1084" s="33">
        <v>1101</v>
      </c>
      <c r="C1084" s="34" t="s">
        <v>6211</v>
      </c>
      <c r="D1084" s="35">
        <v>45932.840215277778</v>
      </c>
      <c r="E1084" s="33" t="s">
        <v>6198</v>
      </c>
      <c r="F1084" s="32" t="s">
        <v>1863</v>
      </c>
      <c r="G1084" s="32" t="s">
        <v>1863</v>
      </c>
      <c r="H1084" s="32" t="s">
        <v>1829</v>
      </c>
      <c r="I1084" s="36" t="s">
        <v>1864</v>
      </c>
      <c r="J1084" s="52"/>
      <c r="K1084" s="32" t="s">
        <v>1490</v>
      </c>
      <c r="L1084" s="32" t="s">
        <v>1865</v>
      </c>
      <c r="M1084" s="32" t="s">
        <v>205</v>
      </c>
      <c r="N1084" s="33">
        <v>10</v>
      </c>
      <c r="O1084" s="35"/>
      <c r="P1084" s="35"/>
      <c r="Q1084" s="37"/>
      <c r="R1084" s="38"/>
      <c r="S1084" s="33"/>
      <c r="T1084" s="39">
        <v>375000</v>
      </c>
      <c r="U1084" s="40" t="s">
        <v>1229</v>
      </c>
      <c r="V1084" s="41"/>
      <c r="W1084" s="42" t="str">
        <f ca="1">IFERROR(__xludf.DUMMYFUNCTION("""COMPUTED_VALUE"""),"Rental Mobil")</f>
        <v>Rental Mobil</v>
      </c>
      <c r="X1084" s="42" t="str">
        <f ca="1"/>
        <v>ON-Rental Mobil-00011900+10-6287782749624</v>
      </c>
      <c r="Y1084" s="40"/>
      <c r="Z1084" s="40"/>
      <c r="AA1084" s="23" t="str">
        <v>https://wa.me/6287782749624</v>
      </c>
      <c r="AB1084" s="28"/>
      <c r="AC1084" s="28"/>
      <c r="AD1084" s="28"/>
      <c r="AE1084" s="28"/>
      <c r="AF1084" s="29"/>
      <c r="AG1084" s="29"/>
    </row>
    <row r="1085" spans="1:33" ht="15.75" customHeight="1">
      <c r="A1085" s="32" t="s">
        <v>52</v>
      </c>
      <c r="B1085" s="33">
        <v>1102</v>
      </c>
      <c r="C1085" s="34" t="s">
        <v>6212</v>
      </c>
      <c r="D1085" s="35">
        <v>45932.857152928242</v>
      </c>
      <c r="E1085" s="33" t="s">
        <v>6198</v>
      </c>
      <c r="F1085" s="32" t="s">
        <v>3863</v>
      </c>
      <c r="G1085" s="32" t="s">
        <v>4816</v>
      </c>
      <c r="H1085" s="32" t="s">
        <v>4817</v>
      </c>
      <c r="I1085" s="36" t="s">
        <v>3866</v>
      </c>
      <c r="J1085" s="52"/>
      <c r="K1085" s="32" t="s">
        <v>1604</v>
      </c>
      <c r="L1085" s="32"/>
      <c r="M1085" s="32" t="s">
        <v>92</v>
      </c>
      <c r="N1085" s="33">
        <v>10</v>
      </c>
      <c r="O1085" s="35"/>
      <c r="P1085" s="35"/>
      <c r="Q1085" s="37"/>
      <c r="R1085" s="38"/>
      <c r="S1085" s="33"/>
      <c r="T1085" s="39">
        <v>375000</v>
      </c>
      <c r="U1085" s="40" t="s">
        <v>1229</v>
      </c>
      <c r="V1085" s="41"/>
      <c r="W1085" s="42" t="str">
        <f ca="1">IFERROR(__xludf.DUMMYFUNCTION("""COMPUTED_VALUE"""),"Berkah teknik")</f>
        <v>Berkah teknik</v>
      </c>
      <c r="X1085" s="42" t="str">
        <f ca="1"/>
        <v>ON-Berkah teknik-00011900+10-6285748377961</v>
      </c>
      <c r="Y1085" s="40"/>
      <c r="Z1085" s="40"/>
      <c r="AA1085" s="23" t="str">
        <v>https://wa.me/6285748377961</v>
      </c>
      <c r="AB1085" s="28"/>
      <c r="AC1085" s="28"/>
      <c r="AD1085" s="28"/>
      <c r="AE1085" s="28"/>
      <c r="AF1085" s="29"/>
      <c r="AG1085" s="29"/>
    </row>
    <row r="1086" spans="1:33" ht="15.75" customHeight="1">
      <c r="A1086" s="32" t="s">
        <v>196</v>
      </c>
      <c r="B1086" s="33">
        <v>1105</v>
      </c>
      <c r="C1086" s="34" t="s">
        <v>6213</v>
      </c>
      <c r="D1086" s="35">
        <v>45932.884635196759</v>
      </c>
      <c r="E1086" s="43">
        <v>45932</v>
      </c>
      <c r="F1086" s="32" t="s">
        <v>6214</v>
      </c>
      <c r="G1086" s="32" t="s">
        <v>6215</v>
      </c>
      <c r="H1086" s="32" t="s">
        <v>6216</v>
      </c>
      <c r="I1086" s="36" t="s">
        <v>6217</v>
      </c>
      <c r="J1086" s="52" t="s">
        <v>6218</v>
      </c>
      <c r="K1086" s="32" t="s">
        <v>6219</v>
      </c>
      <c r="L1086" s="32" t="s">
        <v>6220</v>
      </c>
      <c r="M1086" s="32" t="s">
        <v>249</v>
      </c>
      <c r="N1086" s="33">
        <v>5</v>
      </c>
      <c r="O1086" s="35">
        <v>45934</v>
      </c>
      <c r="P1086" s="35">
        <v>45938</v>
      </c>
      <c r="Q1086" s="37"/>
      <c r="R1086" s="38"/>
      <c r="S1086" s="33"/>
      <c r="T1086" s="39">
        <v>197000</v>
      </c>
      <c r="U1086" s="40" t="s">
        <v>1774</v>
      </c>
      <c r="V1086" s="41"/>
      <c r="W1086" s="42" t="str">
        <f ca="1">IFERROR(__xludf.DUMMYFUNCTION("""COMPUTED_VALUE"""),"Djampi Thera")</f>
        <v>Djampi Thera</v>
      </c>
      <c r="X1086" s="42" t="str">
        <f ca="1"/>
        <v>ON-Djampi Thera-00011900+5-62859175514516</v>
      </c>
      <c r="Y1086" s="40" t="s">
        <v>62</v>
      </c>
      <c r="Z1086" s="40" t="s">
        <v>639</v>
      </c>
      <c r="AA1086" s="23" t="str">
        <v>https://wa.me/62859175514516</v>
      </c>
      <c r="AB1086" s="28" t="s">
        <v>6221</v>
      </c>
      <c r="AC1086" s="28"/>
      <c r="AD1086" s="28" t="s">
        <v>690</v>
      </c>
      <c r="AE1086" s="28"/>
      <c r="AF1086" s="29"/>
      <c r="AG1086" s="29"/>
    </row>
    <row r="1087" spans="1:33" ht="15.75" customHeight="1">
      <c r="A1087" s="32" t="s">
        <v>52</v>
      </c>
      <c r="B1087" s="33">
        <v>1105</v>
      </c>
      <c r="C1087" s="34" t="s">
        <v>6213</v>
      </c>
      <c r="D1087" s="35">
        <v>45933.387418078702</v>
      </c>
      <c r="E1087" s="43">
        <v>45933</v>
      </c>
      <c r="F1087" s="32" t="s">
        <v>5234</v>
      </c>
      <c r="G1087" s="32" t="s">
        <v>5235</v>
      </c>
      <c r="H1087" s="32" t="s">
        <v>5236</v>
      </c>
      <c r="I1087" s="36" t="s">
        <v>5237</v>
      </c>
      <c r="J1087" s="52"/>
      <c r="K1087" s="32" t="s">
        <v>5238</v>
      </c>
      <c r="L1087" s="32" t="s">
        <v>2780</v>
      </c>
      <c r="M1087" s="32" t="s">
        <v>60</v>
      </c>
      <c r="N1087" s="33">
        <v>14</v>
      </c>
      <c r="O1087" s="35"/>
      <c r="P1087" s="35"/>
      <c r="Q1087" s="37"/>
      <c r="R1087" s="38"/>
      <c r="S1087" s="33"/>
      <c r="T1087" s="39">
        <v>550000</v>
      </c>
      <c r="U1087" s="40" t="s">
        <v>61</v>
      </c>
      <c r="V1087" s="41"/>
      <c r="W1087" s="42" t="str">
        <f ca="1">IFERROR(__xludf.DUMMYFUNCTION("""COMPUTED_VALUE"""),"Bisalagi Bekam")</f>
        <v>Bisalagi Bekam</v>
      </c>
      <c r="X1087" s="42" t="str">
        <f ca="1"/>
        <v>ON-Bisalagi Bekam-00011900+14-6285600287735</v>
      </c>
      <c r="Y1087" s="40"/>
      <c r="Z1087" s="40"/>
      <c r="AA1087" s="23" t="str">
        <v>https://wa.me/6285600287735</v>
      </c>
      <c r="AB1087" s="28"/>
      <c r="AC1087" s="28"/>
      <c r="AD1087" s="28"/>
      <c r="AE1087" s="28"/>
      <c r="AF1087" s="29"/>
      <c r="AG1087" s="29"/>
    </row>
    <row r="1088" spans="1:33" ht="15.75" customHeight="1">
      <c r="A1088" s="32" t="s">
        <v>52</v>
      </c>
      <c r="B1088" s="33">
        <v>1106</v>
      </c>
      <c r="C1088" s="34" t="s">
        <v>6222</v>
      </c>
      <c r="D1088" s="35">
        <v>45933.400623020832</v>
      </c>
      <c r="E1088" s="43">
        <v>45933</v>
      </c>
      <c r="F1088" s="32" t="s">
        <v>2479</v>
      </c>
      <c r="G1088" s="32" t="s">
        <v>2480</v>
      </c>
      <c r="H1088" s="32" t="s">
        <v>2481</v>
      </c>
      <c r="I1088" s="36" t="s">
        <v>2482</v>
      </c>
      <c r="J1088" s="52"/>
      <c r="K1088" s="32" t="s">
        <v>2483</v>
      </c>
      <c r="L1088" s="32" t="s">
        <v>1628</v>
      </c>
      <c r="M1088" s="32" t="s">
        <v>60</v>
      </c>
      <c r="N1088" s="33">
        <v>10</v>
      </c>
      <c r="O1088" s="35"/>
      <c r="P1088" s="35"/>
      <c r="Q1088" s="37"/>
      <c r="R1088" s="38"/>
      <c r="S1088" s="33"/>
      <c r="T1088" s="39">
        <v>375000</v>
      </c>
      <c r="U1088" s="40" t="s">
        <v>115</v>
      </c>
      <c r="V1088" s="41"/>
      <c r="W1088" s="42" t="str">
        <f ca="1">IFERROR(__xludf.DUMMYFUNCTION("""COMPUTED_VALUE"""),"AURIGA KONTRAKTOR")</f>
        <v>AURIGA KONTRAKTOR</v>
      </c>
      <c r="X1088" s="42" t="str">
        <f ca="1"/>
        <v>ON-AURIGA KONTRAKTOR-00011900+10-6287856230745</v>
      </c>
      <c r="Y1088" s="40"/>
      <c r="Z1088" s="40"/>
      <c r="AA1088" s="23" t="str">
        <v>https://wa.me/6287856230745</v>
      </c>
      <c r="AB1088" s="28"/>
      <c r="AC1088" s="28"/>
      <c r="AD1088" s="28"/>
      <c r="AE1088" s="28"/>
      <c r="AF1088" s="29"/>
      <c r="AG1088" s="29"/>
    </row>
    <row r="1089" spans="1:33" ht="15.75" customHeight="1">
      <c r="A1089" s="32" t="s">
        <v>196</v>
      </c>
      <c r="B1089" s="33">
        <v>1107</v>
      </c>
      <c r="C1089" s="34" t="s">
        <v>6223</v>
      </c>
      <c r="D1089" s="35">
        <v>45933.479175590277</v>
      </c>
      <c r="E1089" s="33" t="s">
        <v>6224</v>
      </c>
      <c r="F1089" s="32" t="s">
        <v>6225</v>
      </c>
      <c r="G1089" s="32" t="s">
        <v>6226</v>
      </c>
      <c r="H1089" s="32" t="s">
        <v>495</v>
      </c>
      <c r="I1089" s="36" t="s">
        <v>6227</v>
      </c>
      <c r="J1089" s="52"/>
      <c r="K1089" s="32" t="s">
        <v>6228</v>
      </c>
      <c r="L1089" s="32" t="s">
        <v>3750</v>
      </c>
      <c r="M1089" s="32" t="s">
        <v>711</v>
      </c>
      <c r="N1089" s="33">
        <v>10</v>
      </c>
      <c r="O1089" s="35">
        <v>45936</v>
      </c>
      <c r="P1089" s="35">
        <v>45945</v>
      </c>
      <c r="Q1089" s="37"/>
      <c r="R1089" s="38"/>
      <c r="S1089" s="33"/>
      <c r="T1089" s="39">
        <v>375000</v>
      </c>
      <c r="U1089" s="40" t="s">
        <v>1229</v>
      </c>
      <c r="V1089" s="41"/>
      <c r="W1089" s="42" t="str">
        <f ca="1">IFERROR(__xludf.DUMMYFUNCTION("""COMPUTED_VALUE"""),"PT LWT")</f>
        <v>PT LWT</v>
      </c>
      <c r="X1089" s="42" t="str">
        <f ca="1"/>
        <v>ON-PT LWT-00011900+10-6287778585820</v>
      </c>
      <c r="Y1089" s="40" t="s">
        <v>293</v>
      </c>
      <c r="Z1089" s="40" t="s">
        <v>1057</v>
      </c>
      <c r="AA1089" s="23" t="str">
        <v>https://wa.me/6287778585820</v>
      </c>
      <c r="AB1089" s="28" t="s">
        <v>6229</v>
      </c>
      <c r="AC1089" s="28"/>
      <c r="AD1089" s="28" t="s">
        <v>690</v>
      </c>
      <c r="AE1089" s="28"/>
      <c r="AF1089" s="29"/>
      <c r="AG1089" s="29"/>
    </row>
    <row r="1090" spans="1:33" ht="15.75" customHeight="1">
      <c r="A1090" s="32" t="s">
        <v>196</v>
      </c>
      <c r="B1090" s="33">
        <v>1108</v>
      </c>
      <c r="C1090" s="34" t="s">
        <v>6230</v>
      </c>
      <c r="D1090" s="35">
        <v>45933.52583885417</v>
      </c>
      <c r="E1090" s="43">
        <v>45933</v>
      </c>
      <c r="F1090" s="32" t="s">
        <v>6231</v>
      </c>
      <c r="G1090" s="32" t="s">
        <v>6232</v>
      </c>
      <c r="H1090" s="32" t="s">
        <v>409</v>
      </c>
      <c r="I1090" s="36" t="s">
        <v>5603</v>
      </c>
      <c r="J1090" s="52" t="s">
        <v>6233</v>
      </c>
      <c r="K1090" s="32" t="s">
        <v>5604</v>
      </c>
      <c r="L1090" s="32" t="s">
        <v>6234</v>
      </c>
      <c r="M1090" s="32" t="s">
        <v>5643</v>
      </c>
      <c r="N1090" s="33">
        <v>5</v>
      </c>
      <c r="O1090" s="35">
        <v>45936</v>
      </c>
      <c r="P1090" s="35">
        <v>45940</v>
      </c>
      <c r="Q1090" s="37"/>
      <c r="R1090" s="38"/>
      <c r="S1090" s="33"/>
      <c r="T1090" s="39">
        <v>197000</v>
      </c>
      <c r="U1090" s="40" t="s">
        <v>1774</v>
      </c>
      <c r="V1090" s="41"/>
      <c r="W1090" s="42" t="str">
        <f ca="1">IFERROR(__xludf.DUMMYFUNCTION("""COMPUTED_VALUE"""),"Jasa Bangun")</f>
        <v>Jasa Bangun</v>
      </c>
      <c r="X1090" s="42" t="str">
        <f ca="1"/>
        <v>ON-Jasa Bangun-00011900+5-6283824541579</v>
      </c>
      <c r="Y1090" s="40" t="s">
        <v>293</v>
      </c>
      <c r="Z1090" s="40" t="s">
        <v>1057</v>
      </c>
      <c r="AA1090" s="23" t="str">
        <v>https://wa.me/6283824541579</v>
      </c>
      <c r="AB1090" s="28" t="s">
        <v>6235</v>
      </c>
      <c r="AC1090" s="28"/>
      <c r="AD1090" s="28" t="s">
        <v>690</v>
      </c>
      <c r="AE1090" s="28"/>
      <c r="AF1090" s="29"/>
      <c r="AG1090" s="29"/>
    </row>
    <row r="1091" spans="1:33" ht="15.75" customHeight="1">
      <c r="A1091" s="32" t="s">
        <v>196</v>
      </c>
      <c r="B1091" s="33">
        <v>1110</v>
      </c>
      <c r="C1091" s="34" t="s">
        <v>6236</v>
      </c>
      <c r="D1091" s="35">
        <v>45933.555234421292</v>
      </c>
      <c r="E1091" s="43">
        <v>45933</v>
      </c>
      <c r="F1091" s="32" t="s">
        <v>80</v>
      </c>
      <c r="G1091" s="32" t="s">
        <v>6237</v>
      </c>
      <c r="H1091" s="32" t="s">
        <v>409</v>
      </c>
      <c r="I1091" s="36" t="s">
        <v>6238</v>
      </c>
      <c r="J1091" s="52"/>
      <c r="K1091" s="32" t="s">
        <v>6239</v>
      </c>
      <c r="L1091" s="32" t="s">
        <v>5303</v>
      </c>
      <c r="M1091" s="32" t="s">
        <v>5643</v>
      </c>
      <c r="N1091" s="33">
        <v>10</v>
      </c>
      <c r="O1091" s="35">
        <v>45937</v>
      </c>
      <c r="P1091" s="35">
        <v>45946</v>
      </c>
      <c r="Q1091" s="37"/>
      <c r="R1091" s="38"/>
      <c r="S1091" s="33"/>
      <c r="T1091" s="39">
        <v>375000</v>
      </c>
      <c r="U1091" s="40" t="s">
        <v>1774</v>
      </c>
      <c r="V1091" s="41"/>
      <c r="W1091" s="42" t="str">
        <f ca="1">IFERROR(__xludf.DUMMYFUNCTION("""COMPUTED_VALUE"""),"PT Wastu")</f>
        <v>PT Wastu</v>
      </c>
      <c r="X1091" s="42" t="str">
        <f ca="1"/>
        <v>ON-PT Wastu-00011900+10-6285641004233</v>
      </c>
      <c r="Y1091" s="40" t="s">
        <v>293</v>
      </c>
      <c r="Z1091" s="40" t="s">
        <v>1057</v>
      </c>
      <c r="AA1091" s="23" t="str">
        <v>https://wa.me/6285641004233</v>
      </c>
      <c r="AB1091" s="28" t="s">
        <v>6240</v>
      </c>
      <c r="AC1091" s="28"/>
      <c r="AD1091" s="28" t="s">
        <v>690</v>
      </c>
      <c r="AE1091" s="28"/>
      <c r="AF1091" s="29"/>
      <c r="AG1091" s="29"/>
    </row>
    <row r="1092" spans="1:33" ht="15.75" customHeight="1">
      <c r="A1092" s="32" t="s">
        <v>196</v>
      </c>
      <c r="B1092" s="33">
        <v>1111</v>
      </c>
      <c r="C1092" s="34" t="s">
        <v>6241</v>
      </c>
      <c r="D1092" s="35">
        <v>45933.574239224537</v>
      </c>
      <c r="E1092" s="43">
        <v>45933</v>
      </c>
      <c r="F1092" s="32" t="s">
        <v>6242</v>
      </c>
      <c r="G1092" s="32" t="s">
        <v>6243</v>
      </c>
      <c r="H1092" s="32" t="s">
        <v>6244</v>
      </c>
      <c r="I1092" s="36" t="s">
        <v>6245</v>
      </c>
      <c r="J1092" s="52"/>
      <c r="K1092" s="32" t="s">
        <v>6246</v>
      </c>
      <c r="L1092" s="32" t="s">
        <v>4783</v>
      </c>
      <c r="M1092" s="32" t="s">
        <v>5492</v>
      </c>
      <c r="N1092" s="33">
        <v>5</v>
      </c>
      <c r="O1092" s="35">
        <v>45936</v>
      </c>
      <c r="P1092" s="35">
        <v>45940</v>
      </c>
      <c r="Q1092" s="37"/>
      <c r="R1092" s="38"/>
      <c r="S1092" s="33"/>
      <c r="T1092" s="39">
        <v>197000</v>
      </c>
      <c r="U1092" s="40" t="s">
        <v>61</v>
      </c>
      <c r="V1092" s="41"/>
      <c r="W1092" s="42" t="str">
        <f ca="1">IFERROR(__xludf.DUMMYFUNCTION("""COMPUTED_VALUE"""),"Rizky Contruksi")</f>
        <v>Rizky Contruksi</v>
      </c>
      <c r="X1092" s="42" t="str">
        <f ca="1"/>
        <v>ON-Rizky Contruksi-00011900+5-6282160889408</v>
      </c>
      <c r="Y1092" s="40" t="s">
        <v>293</v>
      </c>
      <c r="Z1092" s="40" t="s">
        <v>1057</v>
      </c>
      <c r="AA1092" s="23" t="str">
        <v>https://wa.me/6282160889408</v>
      </c>
      <c r="AB1092" s="28" t="s">
        <v>6247</v>
      </c>
      <c r="AC1092" s="28"/>
      <c r="AD1092" s="28" t="s">
        <v>690</v>
      </c>
      <c r="AE1092" s="28"/>
      <c r="AF1092" s="29"/>
      <c r="AG1092" s="29"/>
    </row>
    <row r="1093" spans="1:33" ht="15.75" customHeight="1">
      <c r="A1093" s="32" t="s">
        <v>52</v>
      </c>
      <c r="B1093" s="33">
        <v>1112</v>
      </c>
      <c r="C1093" s="34" t="s">
        <v>6248</v>
      </c>
      <c r="D1093" s="35">
        <v>45933.609730648153</v>
      </c>
      <c r="E1093" s="43">
        <v>45933</v>
      </c>
      <c r="F1093" s="32" t="s">
        <v>4689</v>
      </c>
      <c r="G1093" s="32" t="s">
        <v>4690</v>
      </c>
      <c r="H1093" s="32" t="s">
        <v>3927</v>
      </c>
      <c r="I1093" s="36" t="s">
        <v>4691</v>
      </c>
      <c r="J1093" s="52" t="s">
        <v>5510</v>
      </c>
      <c r="K1093" s="32" t="s">
        <v>3520</v>
      </c>
      <c r="L1093" s="32" t="s">
        <v>964</v>
      </c>
      <c r="M1093" s="32" t="s">
        <v>382</v>
      </c>
      <c r="N1093" s="33">
        <v>30</v>
      </c>
      <c r="O1093" s="35"/>
      <c r="P1093" s="35"/>
      <c r="Q1093" s="37"/>
      <c r="R1093" s="38"/>
      <c r="S1093" s="33"/>
      <c r="T1093" s="39">
        <v>1000000</v>
      </c>
      <c r="U1093" s="40" t="s">
        <v>115</v>
      </c>
      <c r="V1093" s="41"/>
      <c r="W1093" s="42" t="str">
        <f ca="1">IFERROR(__xludf.DUMMYFUNCTION("""COMPUTED_VALUE"""),"MEGAH PLAFON")</f>
        <v>MEGAH PLAFON</v>
      </c>
      <c r="X1093" s="42" t="str">
        <f ca="1"/>
        <v>ON-MEGAH PLAFON-00011900+30-6281323291817</v>
      </c>
      <c r="Y1093" s="40"/>
      <c r="Z1093" s="40"/>
      <c r="AA1093" s="23" t="str">
        <v>https://wa.me/6281323291817</v>
      </c>
      <c r="AB1093" s="28"/>
      <c r="AC1093" s="28"/>
      <c r="AD1093" s="28"/>
      <c r="AE1093" s="28"/>
      <c r="AF1093" s="29"/>
      <c r="AG1093" s="29"/>
    </row>
    <row r="1094" spans="1:33" ht="15.75" customHeight="1">
      <c r="A1094" s="32" t="s">
        <v>196</v>
      </c>
      <c r="B1094" s="33">
        <v>1116</v>
      </c>
      <c r="C1094" s="34" t="s">
        <v>6249</v>
      </c>
      <c r="D1094" s="35">
        <v>45933.62991319444</v>
      </c>
      <c r="E1094" s="43">
        <v>45932</v>
      </c>
      <c r="F1094" s="32" t="s">
        <v>6250</v>
      </c>
      <c r="G1094" s="32" t="s">
        <v>6251</v>
      </c>
      <c r="H1094" s="32" t="s">
        <v>6252</v>
      </c>
      <c r="I1094" s="36" t="s">
        <v>6253</v>
      </c>
      <c r="J1094" s="52"/>
      <c r="K1094" s="32" t="s">
        <v>6254</v>
      </c>
      <c r="L1094" s="32" t="s">
        <v>6255</v>
      </c>
      <c r="M1094" s="32" t="s">
        <v>285</v>
      </c>
      <c r="N1094" s="33">
        <v>5</v>
      </c>
      <c r="O1094" s="35">
        <v>45936</v>
      </c>
      <c r="P1094" s="35">
        <v>45940</v>
      </c>
      <c r="Q1094" s="37"/>
      <c r="R1094" s="38"/>
      <c r="S1094" s="33"/>
      <c r="T1094" s="39">
        <v>197000</v>
      </c>
      <c r="U1094" s="40" t="s">
        <v>115</v>
      </c>
      <c r="V1094" s="41"/>
      <c r="W1094" s="42" t="str">
        <f ca="1">IFERROR(__xludf.DUMMYFUNCTION("""COMPUTED_VALUE"""),"KLINIK TERAPI")</f>
        <v>KLINIK TERAPI</v>
      </c>
      <c r="X1094" s="42" t="str">
        <f ca="1"/>
        <v>ON-KLINIK TERAPI-00011900+5-6281917803566</v>
      </c>
      <c r="Y1094" s="40" t="s">
        <v>62</v>
      </c>
      <c r="Z1094" s="40" t="s">
        <v>639</v>
      </c>
      <c r="AA1094" s="23" t="str">
        <v>https://wa.me/6281917803566</v>
      </c>
      <c r="AB1094" s="28" t="s">
        <v>6256</v>
      </c>
      <c r="AC1094" s="28"/>
      <c r="AD1094" s="28" t="s">
        <v>690</v>
      </c>
      <c r="AE1094" s="28"/>
      <c r="AF1094" s="29"/>
      <c r="AG1094" s="29"/>
    </row>
    <row r="1095" spans="1:33" ht="15.75" customHeight="1">
      <c r="A1095" s="32" t="s">
        <v>196</v>
      </c>
      <c r="B1095" s="33">
        <v>1116</v>
      </c>
      <c r="C1095" s="34" t="s">
        <v>6249</v>
      </c>
      <c r="D1095" s="35">
        <v>45934.350669571759</v>
      </c>
      <c r="E1095" s="43">
        <v>45933</v>
      </c>
      <c r="F1095" s="32" t="s">
        <v>5218</v>
      </c>
      <c r="G1095" s="32" t="s">
        <v>3663</v>
      </c>
      <c r="H1095" s="32" t="s">
        <v>6257</v>
      </c>
      <c r="I1095" s="36" t="s">
        <v>3665</v>
      </c>
      <c r="J1095" s="52" t="s">
        <v>3666</v>
      </c>
      <c r="K1095" s="32" t="s">
        <v>6258</v>
      </c>
      <c r="L1095" s="32" t="s">
        <v>5219</v>
      </c>
      <c r="M1095" s="32" t="s">
        <v>60</v>
      </c>
      <c r="N1095" s="33">
        <v>30</v>
      </c>
      <c r="O1095" s="35">
        <v>45937</v>
      </c>
      <c r="P1095" s="35">
        <v>45966</v>
      </c>
      <c r="Q1095" s="37"/>
      <c r="R1095" s="38"/>
      <c r="S1095" s="33"/>
      <c r="T1095" s="39">
        <v>1000000</v>
      </c>
      <c r="U1095" s="40" t="s">
        <v>61</v>
      </c>
      <c r="V1095" s="41"/>
      <c r="W1095" s="42" t="str">
        <f ca="1">IFERROR(__xludf.DUMMYFUNCTION("""COMPUTED_VALUE"""),"The Travel")</f>
        <v>The Travel</v>
      </c>
      <c r="X1095" s="42" t="str">
        <f ca="1"/>
        <v>ON-The Travel-00011900+30-6285333751528</v>
      </c>
      <c r="Y1095" s="40" t="s">
        <v>62</v>
      </c>
      <c r="Z1095" s="40" t="s">
        <v>1880</v>
      </c>
      <c r="AA1095" s="23" t="str">
        <v>https://wa.me/6285333751528</v>
      </c>
      <c r="AB1095" s="28" t="s">
        <v>6259</v>
      </c>
      <c r="AC1095" s="28"/>
      <c r="AD1095" s="28" t="s">
        <v>690</v>
      </c>
      <c r="AE1095" s="28"/>
      <c r="AF1095" s="29"/>
      <c r="AG1095" s="29"/>
    </row>
    <row r="1096" spans="1:33" ht="15.75" customHeight="1">
      <c r="A1096" s="32" t="s">
        <v>196</v>
      </c>
      <c r="B1096" s="33">
        <v>1117</v>
      </c>
      <c r="C1096" s="34" t="s">
        <v>6260</v>
      </c>
      <c r="D1096" s="35">
        <v>45934.352145011573</v>
      </c>
      <c r="E1096" s="43">
        <v>45934</v>
      </c>
      <c r="F1096" s="32" t="s">
        <v>6261</v>
      </c>
      <c r="G1096" s="32" t="s">
        <v>6262</v>
      </c>
      <c r="H1096" s="32" t="s">
        <v>6263</v>
      </c>
      <c r="I1096" s="36" t="s">
        <v>6264</v>
      </c>
      <c r="J1096" s="52" t="s">
        <v>6263</v>
      </c>
      <c r="K1096" s="32" t="s">
        <v>6265</v>
      </c>
      <c r="L1096" s="32" t="s">
        <v>99</v>
      </c>
      <c r="M1096" s="32" t="s">
        <v>38</v>
      </c>
      <c r="N1096" s="33">
        <v>5</v>
      </c>
      <c r="O1096" s="35">
        <v>45937</v>
      </c>
      <c r="P1096" s="35">
        <v>45941</v>
      </c>
      <c r="Q1096" s="37"/>
      <c r="R1096" s="38"/>
      <c r="S1096" s="33"/>
      <c r="T1096" s="39">
        <v>197000</v>
      </c>
      <c r="U1096" s="40" t="s">
        <v>61</v>
      </c>
      <c r="V1096" s="41"/>
      <c r="W1096" s="42" t="str">
        <f ca="1">IFERROR(__xludf.DUMMYFUNCTION("""COMPUTED_VALUE"""),"Kusuma Tiara")</f>
        <v>Kusuma Tiara</v>
      </c>
      <c r="X1096" s="42" t="str">
        <f ca="1"/>
        <v>ON-Kusuma Tiara-00011900+5-6282170648491</v>
      </c>
      <c r="Y1096" s="40" t="s">
        <v>62</v>
      </c>
      <c r="Z1096" s="40" t="s">
        <v>1404</v>
      </c>
      <c r="AA1096" s="23" t="str">
        <v>https://wa.me/6282170648491</v>
      </c>
      <c r="AB1096" s="28" t="s">
        <v>6266</v>
      </c>
      <c r="AC1096" s="28"/>
      <c r="AD1096" s="28" t="s">
        <v>690</v>
      </c>
      <c r="AE1096" s="28"/>
      <c r="AF1096" s="29"/>
      <c r="AG1096" s="29"/>
    </row>
    <row r="1097" spans="1:33" ht="15.75" customHeight="1">
      <c r="A1097" s="32" t="s">
        <v>52</v>
      </c>
      <c r="B1097" s="33">
        <v>1118</v>
      </c>
      <c r="C1097" s="34" t="s">
        <v>6267</v>
      </c>
      <c r="D1097" s="35">
        <v>45934.361080902774</v>
      </c>
      <c r="E1097" s="43">
        <v>45933</v>
      </c>
      <c r="F1097" s="32" t="s">
        <v>5234</v>
      </c>
      <c r="G1097" s="32" t="s">
        <v>5235</v>
      </c>
      <c r="H1097" s="32" t="s">
        <v>5236</v>
      </c>
      <c r="I1097" s="36" t="s">
        <v>5237</v>
      </c>
      <c r="J1097" s="52"/>
      <c r="K1097" s="32" t="s">
        <v>5238</v>
      </c>
      <c r="L1097" s="32" t="s">
        <v>2780</v>
      </c>
      <c r="M1097" s="32" t="s">
        <v>60</v>
      </c>
      <c r="N1097" s="33">
        <v>14</v>
      </c>
      <c r="O1097" s="35"/>
      <c r="P1097" s="35"/>
      <c r="Q1097" s="37"/>
      <c r="R1097" s="38"/>
      <c r="S1097" s="33"/>
      <c r="T1097" s="39">
        <v>550000</v>
      </c>
      <c r="U1097" s="40" t="s">
        <v>61</v>
      </c>
      <c r="V1097" s="41"/>
      <c r="W1097" s="42" t="str">
        <f ca="1">IFERROR(__xludf.DUMMYFUNCTION("""COMPUTED_VALUE"""),"Bisalagi Bekam")</f>
        <v>Bisalagi Bekam</v>
      </c>
      <c r="X1097" s="42" t="str">
        <f ca="1"/>
        <v>ON-Bisalagi Bekam-00011900+14-6285600287735</v>
      </c>
      <c r="Y1097" s="40"/>
      <c r="Z1097" s="40"/>
      <c r="AA1097" s="23" t="str">
        <v>https://wa.me/6285600287735</v>
      </c>
      <c r="AB1097" s="28"/>
      <c r="AC1097" s="28"/>
      <c r="AD1097" s="28"/>
      <c r="AE1097" s="28"/>
      <c r="AF1097" s="29"/>
      <c r="AG1097" s="29"/>
    </row>
    <row r="1098" spans="1:33" ht="15.75" customHeight="1">
      <c r="A1098" s="32" t="s">
        <v>621</v>
      </c>
      <c r="B1098" s="33">
        <v>1119</v>
      </c>
      <c r="C1098" s="34" t="s">
        <v>6268</v>
      </c>
      <c r="D1098" s="35">
        <v>45934.364898969907</v>
      </c>
      <c r="E1098" s="43">
        <v>45933</v>
      </c>
      <c r="F1098" s="32" t="s">
        <v>6242</v>
      </c>
      <c r="G1098" s="32" t="s">
        <v>6243</v>
      </c>
      <c r="H1098" s="32" t="s">
        <v>6244</v>
      </c>
      <c r="I1098" s="36" t="s">
        <v>6245</v>
      </c>
      <c r="J1098" s="52"/>
      <c r="K1098" s="32" t="s">
        <v>6246</v>
      </c>
      <c r="L1098" s="32" t="s">
        <v>4783</v>
      </c>
      <c r="M1098" s="32" t="s">
        <v>5492</v>
      </c>
      <c r="N1098" s="33">
        <v>5</v>
      </c>
      <c r="O1098" s="35"/>
      <c r="P1098" s="35"/>
      <c r="Q1098" s="37"/>
      <c r="R1098" s="38"/>
      <c r="S1098" s="33"/>
      <c r="T1098" s="39">
        <v>197000</v>
      </c>
      <c r="U1098" s="40" t="s">
        <v>61</v>
      </c>
      <c r="V1098" s="41"/>
      <c r="W1098" s="42" t="str">
        <f ca="1">IFERROR(__xludf.DUMMYFUNCTION("""COMPUTED_VALUE"""),"Rizky Contruksi")</f>
        <v>Rizky Contruksi</v>
      </c>
      <c r="X1098" s="42" t="str">
        <f ca="1"/>
        <v>ON-Rizky Contruksi-00011900+5-6282160889408</v>
      </c>
      <c r="Y1098" s="40"/>
      <c r="Z1098" s="40"/>
      <c r="AA1098" s="23" t="str">
        <v>https://wa.me/6282160889408</v>
      </c>
      <c r="AB1098" s="28"/>
      <c r="AC1098" s="28"/>
      <c r="AD1098" s="28"/>
      <c r="AE1098" s="28"/>
      <c r="AF1098" s="29"/>
      <c r="AG1098" s="29"/>
    </row>
    <row r="1099" spans="1:33" ht="15.75" customHeight="1">
      <c r="A1099" s="32" t="s">
        <v>196</v>
      </c>
      <c r="B1099" s="33">
        <v>1120</v>
      </c>
      <c r="C1099" s="34" t="s">
        <v>6269</v>
      </c>
      <c r="D1099" s="35">
        <v>45934.401832511576</v>
      </c>
      <c r="E1099" s="43">
        <v>45934</v>
      </c>
      <c r="F1099" s="32" t="s">
        <v>6270</v>
      </c>
      <c r="G1099" s="32" t="s">
        <v>6271</v>
      </c>
      <c r="H1099" s="32" t="s">
        <v>6272</v>
      </c>
      <c r="I1099" s="36" t="s">
        <v>6273</v>
      </c>
      <c r="J1099" s="52" t="s">
        <v>6274</v>
      </c>
      <c r="K1099" s="32" t="s">
        <v>6275</v>
      </c>
      <c r="L1099" s="32" t="s">
        <v>6276</v>
      </c>
      <c r="M1099" s="32" t="s">
        <v>711</v>
      </c>
      <c r="N1099" s="33">
        <v>5</v>
      </c>
      <c r="O1099" s="35">
        <v>45937</v>
      </c>
      <c r="P1099" s="35">
        <v>45941</v>
      </c>
      <c r="Q1099" s="37"/>
      <c r="R1099" s="38"/>
      <c r="S1099" s="33"/>
      <c r="T1099" s="39">
        <v>197000</v>
      </c>
      <c r="U1099" s="40" t="s">
        <v>1229</v>
      </c>
      <c r="V1099" s="41"/>
      <c r="W1099" s="42" t="str">
        <f ca="1">IFERROR(__xludf.DUMMYFUNCTION("""COMPUTED_VALUE"""),"Klinik ruqyah")</f>
        <v>Klinik ruqyah</v>
      </c>
      <c r="X1099" s="42" t="str">
        <f ca="1"/>
        <v>ON-Klinik ruqyah-00011900+5-6282129900978</v>
      </c>
      <c r="Y1099" s="40" t="s">
        <v>62</v>
      </c>
      <c r="Z1099" s="40" t="s">
        <v>639</v>
      </c>
      <c r="AA1099" s="23" t="str">
        <v>https://wa.me/6282129900978</v>
      </c>
      <c r="AB1099" s="28" t="s">
        <v>6277</v>
      </c>
      <c r="AC1099" s="28"/>
      <c r="AD1099" s="28" t="s">
        <v>690</v>
      </c>
      <c r="AE1099" s="28"/>
      <c r="AF1099" s="29"/>
      <c r="AG1099" s="29"/>
    </row>
    <row r="1100" spans="1:33" ht="15.75" customHeight="1">
      <c r="A1100" s="32" t="s">
        <v>52</v>
      </c>
      <c r="B1100" s="33">
        <v>1121</v>
      </c>
      <c r="C1100" s="34" t="s">
        <v>6278</v>
      </c>
      <c r="D1100" s="35">
        <v>45934.40292925926</v>
      </c>
      <c r="E1100" s="43">
        <v>45934</v>
      </c>
      <c r="F1100" s="32"/>
      <c r="G1100" s="32"/>
      <c r="H1100" s="32"/>
      <c r="I1100" s="36" t="s">
        <v>6279</v>
      </c>
      <c r="J1100" s="52"/>
      <c r="K1100" s="32"/>
      <c r="L1100" s="32"/>
      <c r="M1100" s="32" t="s">
        <v>1009</v>
      </c>
      <c r="N1100" s="33">
        <v>10</v>
      </c>
      <c r="O1100" s="35"/>
      <c r="P1100" s="35"/>
      <c r="Q1100" s="37"/>
      <c r="R1100" s="38"/>
      <c r="S1100" s="33"/>
      <c r="T1100" s="39">
        <v>375000</v>
      </c>
      <c r="U1100" s="40" t="s">
        <v>115</v>
      </c>
      <c r="V1100" s="41"/>
      <c r="W1100" s="42" t="str">
        <f ca="1">IFERROR(__xludf.DUMMYFUNCTION("""COMPUTED_VALUE"""),"")</f>
        <v/>
      </c>
      <c r="X1100" s="42" t="str">
        <f ca="1"/>
        <v/>
      </c>
      <c r="Y1100" s="40"/>
      <c r="Z1100" s="40"/>
      <c r="AA1100" s="23" t="str">
        <v>https://wa.me/6287758080333</v>
      </c>
      <c r="AB1100" s="28"/>
      <c r="AC1100" s="28"/>
      <c r="AD1100" s="28"/>
      <c r="AE1100" s="28"/>
      <c r="AF1100" s="29"/>
      <c r="AG1100" s="29"/>
    </row>
    <row r="1101" spans="1:33" ht="15.75" customHeight="1">
      <c r="A1101" s="32" t="s">
        <v>52</v>
      </c>
      <c r="B1101" s="33">
        <v>1122</v>
      </c>
      <c r="C1101" s="34" t="s">
        <v>6280</v>
      </c>
      <c r="D1101" s="35">
        <v>45934.795562013889</v>
      </c>
      <c r="E1101" s="43">
        <v>45934</v>
      </c>
      <c r="F1101" s="32"/>
      <c r="G1101" s="32"/>
      <c r="H1101" s="32"/>
      <c r="I1101" s="36" t="s">
        <v>6279</v>
      </c>
      <c r="J1101" s="52"/>
      <c r="K1101" s="32"/>
      <c r="L1101" s="32"/>
      <c r="M1101" s="32" t="s">
        <v>1009</v>
      </c>
      <c r="N1101" s="33">
        <v>10</v>
      </c>
      <c r="O1101" s="35"/>
      <c r="P1101" s="35"/>
      <c r="Q1101" s="37"/>
      <c r="R1101" s="38"/>
      <c r="S1101" s="33"/>
      <c r="T1101" s="39">
        <v>375000</v>
      </c>
      <c r="U1101" s="40" t="s">
        <v>115</v>
      </c>
      <c r="V1101" s="41"/>
      <c r="W1101" s="42" t="str">
        <f ca="1">IFERROR(__xludf.DUMMYFUNCTION("""COMPUTED_VALUE"""),"")</f>
        <v/>
      </c>
      <c r="X1101" s="42" t="str">
        <f ca="1"/>
        <v/>
      </c>
      <c r="Y1101" s="40"/>
      <c r="Z1101" s="40"/>
      <c r="AA1101" s="23" t="str">
        <v>https://wa.me/6287758080333</v>
      </c>
      <c r="AB1101" s="28"/>
      <c r="AC1101" s="28"/>
      <c r="AD1101" s="28"/>
      <c r="AE1101" s="28"/>
      <c r="AF1101" s="29"/>
      <c r="AG1101" s="29"/>
    </row>
    <row r="1102" spans="1:33" ht="15.75" customHeight="1">
      <c r="A1102" s="32" t="s">
        <v>196</v>
      </c>
      <c r="B1102" s="33">
        <v>1123</v>
      </c>
      <c r="C1102" s="34" t="s">
        <v>6281</v>
      </c>
      <c r="D1102" s="35">
        <v>45934.843448402782</v>
      </c>
      <c r="E1102" s="43">
        <v>45934</v>
      </c>
      <c r="F1102" s="32" t="s">
        <v>6282</v>
      </c>
      <c r="G1102" s="32" t="s">
        <v>6283</v>
      </c>
      <c r="H1102" s="32" t="s">
        <v>6284</v>
      </c>
      <c r="I1102" s="36" t="s">
        <v>6285</v>
      </c>
      <c r="J1102" s="52"/>
      <c r="K1102" s="32" t="s">
        <v>1739</v>
      </c>
      <c r="L1102" s="32" t="s">
        <v>2291</v>
      </c>
      <c r="M1102" s="32" t="s">
        <v>60</v>
      </c>
      <c r="N1102" s="33">
        <v>5</v>
      </c>
      <c r="O1102" s="35">
        <v>45937</v>
      </c>
      <c r="P1102" s="35">
        <v>45941</v>
      </c>
      <c r="Q1102" s="37"/>
      <c r="R1102" s="38"/>
      <c r="S1102" s="33"/>
      <c r="T1102" s="39">
        <v>197000</v>
      </c>
      <c r="U1102" s="40" t="s">
        <v>61</v>
      </c>
      <c r="V1102" s="41"/>
      <c r="W1102" s="42" t="str">
        <f ca="1">IFERROR(__xludf.DUMMYFUNCTION("""COMPUTED_VALUE"""),"Ruqyah Syar'iyyah")</f>
        <v>Ruqyah Syar'iyyah</v>
      </c>
      <c r="X1102" s="42" t="str">
        <f ca="1"/>
        <v>ON-Ruqyah Syar'iyyah-00011900+5-6282311117783</v>
      </c>
      <c r="Y1102" s="40" t="s">
        <v>62</v>
      </c>
      <c r="Z1102" s="40" t="s">
        <v>639</v>
      </c>
      <c r="AA1102" s="23" t="str">
        <v>https://wa.me/6282311117783</v>
      </c>
      <c r="AB1102" s="28" t="s">
        <v>6286</v>
      </c>
      <c r="AC1102" s="28"/>
      <c r="AD1102" s="28" t="s">
        <v>690</v>
      </c>
      <c r="AE1102" s="28"/>
      <c r="AF1102" s="29"/>
      <c r="AG1102" s="29"/>
    </row>
    <row r="1103" spans="1:33" ht="15.75" customHeight="1">
      <c r="A1103" s="32" t="s">
        <v>52</v>
      </c>
      <c r="B1103" s="33">
        <v>1125</v>
      </c>
      <c r="C1103" s="34" t="s">
        <v>6287</v>
      </c>
      <c r="D1103" s="35">
        <v>45935.318490682868</v>
      </c>
      <c r="E1103" s="43">
        <v>45934</v>
      </c>
      <c r="F1103" s="32" t="s">
        <v>5845</v>
      </c>
      <c r="G1103" s="32" t="s">
        <v>5846</v>
      </c>
      <c r="H1103" s="32" t="s">
        <v>495</v>
      </c>
      <c r="I1103" s="36" t="s">
        <v>5847</v>
      </c>
      <c r="J1103" s="52"/>
      <c r="K1103" s="32" t="s">
        <v>6288</v>
      </c>
      <c r="L1103" s="32" t="s">
        <v>3079</v>
      </c>
      <c r="M1103" s="32" t="s">
        <v>285</v>
      </c>
      <c r="N1103" s="33">
        <v>14</v>
      </c>
      <c r="O1103" s="35"/>
      <c r="P1103" s="35"/>
      <c r="Q1103" s="37"/>
      <c r="R1103" s="38"/>
      <c r="S1103" s="33"/>
      <c r="T1103" s="39">
        <v>550000</v>
      </c>
      <c r="U1103" s="40" t="s">
        <v>1229</v>
      </c>
      <c r="V1103" s="41"/>
      <c r="W1103" s="42" t="str">
        <f ca="1">IFERROR(__xludf.DUMMYFUNCTION("""COMPUTED_VALUE"""),"Hariteknik arthabadi")</f>
        <v>Hariteknik arthabadi</v>
      </c>
      <c r="X1103" s="42" t="str">
        <f ca="1"/>
        <v>ON-Hariteknik arthabadi-00011900+14-6287823423000</v>
      </c>
      <c r="Y1103" s="40"/>
      <c r="Z1103" s="40"/>
      <c r="AA1103" s="23" t="str">
        <v>https://wa.me/6287823423000</v>
      </c>
      <c r="AB1103" s="28"/>
      <c r="AC1103" s="28"/>
      <c r="AD1103" s="28"/>
      <c r="AE1103" s="28"/>
      <c r="AF1103" s="29"/>
      <c r="AG1103" s="29"/>
    </row>
    <row r="1104" spans="1:33" ht="15.75" customHeight="1">
      <c r="A1104" s="32" t="s">
        <v>196</v>
      </c>
      <c r="B1104" s="33">
        <v>1126</v>
      </c>
      <c r="C1104" s="34" t="s">
        <v>6289</v>
      </c>
      <c r="D1104" s="35">
        <v>45935.412770844909</v>
      </c>
      <c r="E1104" s="43">
        <v>45935</v>
      </c>
      <c r="F1104" s="32" t="s">
        <v>6290</v>
      </c>
      <c r="G1104" s="32" t="s">
        <v>6291</v>
      </c>
      <c r="H1104" s="32" t="s">
        <v>409</v>
      </c>
      <c r="I1104" s="36" t="s">
        <v>6292</v>
      </c>
      <c r="J1104" s="52"/>
      <c r="K1104" s="32" t="s">
        <v>6293</v>
      </c>
      <c r="L1104" s="32" t="s">
        <v>3762</v>
      </c>
      <c r="M1104" s="32" t="s">
        <v>3788</v>
      </c>
      <c r="N1104" s="33">
        <v>5</v>
      </c>
      <c r="O1104" s="35">
        <v>45938</v>
      </c>
      <c r="P1104" s="35">
        <v>45942</v>
      </c>
      <c r="Q1104" s="37"/>
      <c r="R1104" s="38"/>
      <c r="S1104" s="33"/>
      <c r="T1104" s="39">
        <v>197000</v>
      </c>
      <c r="U1104" s="40" t="s">
        <v>1229</v>
      </c>
      <c r="V1104" s="41"/>
      <c r="W1104" s="42" t="str">
        <f ca="1">IFERROR(__xludf.DUMMYFUNCTION("""COMPUTED_VALUE"""),"PT JFE")</f>
        <v>PT JFE</v>
      </c>
      <c r="X1104" s="42" t="str">
        <f ca="1"/>
        <v>ON-PT JFE-00011900+5-6282136210727</v>
      </c>
      <c r="Y1104" s="40" t="s">
        <v>293</v>
      </c>
      <c r="Z1104" s="40" t="s">
        <v>1057</v>
      </c>
      <c r="AA1104" s="23" t="str">
        <v>https://wa.me/6282136210727</v>
      </c>
      <c r="AB1104" s="28" t="s">
        <v>6294</v>
      </c>
      <c r="AC1104" s="28"/>
      <c r="AD1104" s="28" t="s">
        <v>690</v>
      </c>
      <c r="AE1104" s="28"/>
      <c r="AF1104" s="29"/>
      <c r="AG1104" s="29"/>
    </row>
    <row r="1105" spans="1:33" ht="15.75" customHeight="1">
      <c r="A1105" s="32" t="s">
        <v>196</v>
      </c>
      <c r="B1105" s="33">
        <v>1127</v>
      </c>
      <c r="C1105" s="34" t="s">
        <v>6295</v>
      </c>
      <c r="D1105" s="35">
        <v>45935.494033553245</v>
      </c>
      <c r="E1105" s="43">
        <v>45935</v>
      </c>
      <c r="F1105" s="32" t="s">
        <v>6296</v>
      </c>
      <c r="G1105" s="32" t="s">
        <v>6297</v>
      </c>
      <c r="H1105" s="32" t="s">
        <v>6298</v>
      </c>
      <c r="I1105" s="36" t="s">
        <v>6299</v>
      </c>
      <c r="J1105" s="52"/>
      <c r="K1105" s="32" t="s">
        <v>1781</v>
      </c>
      <c r="L1105" s="32" t="s">
        <v>6300</v>
      </c>
      <c r="M1105" s="32" t="s">
        <v>60</v>
      </c>
      <c r="N1105" s="33">
        <v>10</v>
      </c>
      <c r="O1105" s="35">
        <v>45937</v>
      </c>
      <c r="P1105" s="35">
        <v>45946</v>
      </c>
      <c r="Q1105" s="37"/>
      <c r="R1105" s="38"/>
      <c r="S1105" s="33"/>
      <c r="T1105" s="39">
        <v>375000</v>
      </c>
      <c r="U1105" s="40" t="s">
        <v>61</v>
      </c>
      <c r="V1105" s="41"/>
      <c r="W1105" s="42" t="str">
        <f ca="1">IFERROR(__xludf.DUMMYFUNCTION("""COMPUTED_VALUE"""),"Asy-Asyifa Terapi")</f>
        <v>Asy-Asyifa Terapi</v>
      </c>
      <c r="X1105" s="42" t="str">
        <f ca="1"/>
        <v>ON-Asy-Asyifa Terapi-00011900+10-6282120547879</v>
      </c>
      <c r="Y1105" s="40" t="s">
        <v>62</v>
      </c>
      <c r="Z1105" s="40" t="s">
        <v>639</v>
      </c>
      <c r="AA1105" s="23" t="str">
        <v>https://wa.me/6282120547879</v>
      </c>
      <c r="AB1105" s="28" t="s">
        <v>6301</v>
      </c>
      <c r="AC1105" s="28"/>
      <c r="AD1105" s="28" t="s">
        <v>690</v>
      </c>
      <c r="AE1105" s="28"/>
      <c r="AF1105" s="29"/>
      <c r="AG1105" s="29"/>
    </row>
    <row r="1106" spans="1:33" ht="15.75" customHeight="1">
      <c r="A1106" s="32" t="s">
        <v>196</v>
      </c>
      <c r="B1106" s="33">
        <v>1128</v>
      </c>
      <c r="C1106" s="34" t="s">
        <v>6302</v>
      </c>
      <c r="D1106" s="35">
        <v>45935.759062106481</v>
      </c>
      <c r="E1106" s="43">
        <v>45935</v>
      </c>
      <c r="F1106" s="32" t="s">
        <v>4827</v>
      </c>
      <c r="G1106" s="32" t="s">
        <v>6303</v>
      </c>
      <c r="H1106" s="32" t="s">
        <v>6304</v>
      </c>
      <c r="I1106" s="36" t="s">
        <v>6305</v>
      </c>
      <c r="J1106" s="52" t="s">
        <v>6306</v>
      </c>
      <c r="K1106" s="32" t="s">
        <v>570</v>
      </c>
      <c r="L1106" s="32" t="s">
        <v>4783</v>
      </c>
      <c r="M1106" s="32" t="s">
        <v>5643</v>
      </c>
      <c r="N1106" s="33">
        <v>5</v>
      </c>
      <c r="O1106" s="35">
        <v>45938</v>
      </c>
      <c r="P1106" s="35">
        <v>45942</v>
      </c>
      <c r="Q1106" s="37"/>
      <c r="R1106" s="38"/>
      <c r="S1106" s="33"/>
      <c r="T1106" s="39">
        <v>197000</v>
      </c>
      <c r="U1106" s="40" t="s">
        <v>1774</v>
      </c>
      <c r="V1106" s="41"/>
      <c r="W1106" s="42" t="str">
        <f ca="1">IFERROR(__xludf.DUMMYFUNCTION("""COMPUTED_VALUE"""),"Bengkel Las")</f>
        <v>Bengkel Las</v>
      </c>
      <c r="X1106" s="42" t="str">
        <f ca="1"/>
        <v>ON-Bengkel Las-00011900+5-6281280900781</v>
      </c>
      <c r="Y1106" s="40" t="s">
        <v>293</v>
      </c>
      <c r="Z1106" s="40" t="s">
        <v>1057</v>
      </c>
      <c r="AA1106" s="23" t="str">
        <v>https://wa.me/6281280900781</v>
      </c>
      <c r="AB1106" s="28" t="s">
        <v>6307</v>
      </c>
      <c r="AC1106" s="28"/>
      <c r="AD1106" s="28" t="s">
        <v>690</v>
      </c>
      <c r="AE1106" s="28"/>
      <c r="AF1106" s="29"/>
      <c r="AG1106" s="29"/>
    </row>
    <row r="1107" spans="1:33" ht="15.75" customHeight="1">
      <c r="A1107" s="32" t="s">
        <v>52</v>
      </c>
      <c r="B1107" s="33">
        <v>1129</v>
      </c>
      <c r="C1107" s="34" t="s">
        <v>6308</v>
      </c>
      <c r="D1107" s="35">
        <v>45936.344734166662</v>
      </c>
      <c r="E1107" s="43">
        <v>45935</v>
      </c>
      <c r="F1107" s="32" t="s">
        <v>3671</v>
      </c>
      <c r="G1107" s="32" t="s">
        <v>3672</v>
      </c>
      <c r="H1107" s="32" t="s">
        <v>3673</v>
      </c>
      <c r="I1107" s="36" t="s">
        <v>3674</v>
      </c>
      <c r="J1107" s="52" t="s">
        <v>6309</v>
      </c>
      <c r="K1107" s="32" t="s">
        <v>3675</v>
      </c>
      <c r="L1107" s="32" t="s">
        <v>3676</v>
      </c>
      <c r="M1107" s="32" t="s">
        <v>382</v>
      </c>
      <c r="N1107" s="33">
        <v>10</v>
      </c>
      <c r="O1107" s="35"/>
      <c r="P1107" s="35"/>
      <c r="Q1107" s="37"/>
      <c r="R1107" s="38"/>
      <c r="S1107" s="33"/>
      <c r="T1107" s="39">
        <v>375000</v>
      </c>
      <c r="U1107" s="40" t="s">
        <v>115</v>
      </c>
      <c r="V1107" s="41"/>
      <c r="W1107" s="42" t="str">
        <f ca="1">IFERROR(__xludf.DUMMYFUNCTION("""COMPUTED_VALUE"""),"Multi Gemilang")</f>
        <v>Multi Gemilang</v>
      </c>
      <c r="X1107" s="42" t="str">
        <f ca="1"/>
        <v>ON-Multi Gemilang-00011900+10-628170204528</v>
      </c>
      <c r="Y1107" s="40"/>
      <c r="Z1107" s="40"/>
      <c r="AA1107" s="23" t="str">
        <v>https://wa.me/628170204528</v>
      </c>
      <c r="AB1107" s="28"/>
      <c r="AC1107" s="28"/>
      <c r="AD1107" s="28"/>
      <c r="AE1107" s="28"/>
      <c r="AF1107" s="29"/>
      <c r="AG1107" s="29"/>
    </row>
    <row r="1108" spans="1:33" ht="15.75" customHeight="1">
      <c r="A1108" s="32" t="s">
        <v>196</v>
      </c>
      <c r="B1108" s="33">
        <v>1130</v>
      </c>
      <c r="C1108" s="34" t="s">
        <v>6310</v>
      </c>
      <c r="D1108" s="35">
        <v>45936.377879699074</v>
      </c>
      <c r="E1108" s="43">
        <v>45932</v>
      </c>
      <c r="F1108" s="32" t="s">
        <v>6311</v>
      </c>
      <c r="G1108" s="32" t="s">
        <v>6312</v>
      </c>
      <c r="H1108" s="32" t="s">
        <v>6313</v>
      </c>
      <c r="I1108" s="36" t="s">
        <v>6314</v>
      </c>
      <c r="J1108" s="52"/>
      <c r="K1108" s="32" t="s">
        <v>6315</v>
      </c>
      <c r="L1108" s="32" t="s">
        <v>2133</v>
      </c>
      <c r="M1108" s="32" t="s">
        <v>60</v>
      </c>
      <c r="N1108" s="33">
        <v>5</v>
      </c>
      <c r="O1108" s="35">
        <v>45938</v>
      </c>
      <c r="P1108" s="35">
        <v>45942</v>
      </c>
      <c r="Q1108" s="37"/>
      <c r="R1108" s="38"/>
      <c r="S1108" s="33"/>
      <c r="T1108" s="39">
        <v>197000</v>
      </c>
      <c r="U1108" s="40" t="s">
        <v>61</v>
      </c>
      <c r="V1108" s="41"/>
      <c r="W1108" s="42" t="str">
        <f ca="1">IFERROR(__xludf.DUMMYFUNCTION("""COMPUTED_VALUE"""),"Rumah Sehat")</f>
        <v>Rumah Sehat</v>
      </c>
      <c r="X1108" s="42" t="str">
        <f ca="1"/>
        <v>ON-Rumah Sehat-00011900+5-6287817756006</v>
      </c>
      <c r="Y1108" s="40" t="s">
        <v>62</v>
      </c>
      <c r="Z1108" s="40" t="s">
        <v>639</v>
      </c>
      <c r="AA1108" s="23" t="str">
        <v>https://wa.me/6287817756006</v>
      </c>
      <c r="AB1108" s="28" t="s">
        <v>6316</v>
      </c>
      <c r="AC1108" s="28"/>
      <c r="AD1108" s="28" t="s">
        <v>690</v>
      </c>
      <c r="AE1108" s="28"/>
      <c r="AF1108" s="29"/>
      <c r="AG1108" s="29"/>
    </row>
    <row r="1109" spans="1:33" ht="15.75" customHeight="1">
      <c r="A1109" s="32" t="s">
        <v>196</v>
      </c>
      <c r="B1109" s="33">
        <v>1131</v>
      </c>
      <c r="C1109" s="34" t="s">
        <v>6317</v>
      </c>
      <c r="D1109" s="35">
        <v>45936.390832719902</v>
      </c>
      <c r="E1109" s="43">
        <v>45936</v>
      </c>
      <c r="F1109" s="32" t="s">
        <v>6318</v>
      </c>
      <c r="G1109" s="32" t="s">
        <v>6319</v>
      </c>
      <c r="H1109" s="32" t="s">
        <v>6320</v>
      </c>
      <c r="I1109" s="36" t="s">
        <v>6321</v>
      </c>
      <c r="J1109" s="52" t="s">
        <v>6322</v>
      </c>
      <c r="K1109" s="32" t="s">
        <v>6323</v>
      </c>
      <c r="L1109" s="32" t="s">
        <v>3596</v>
      </c>
      <c r="M1109" s="32" t="s">
        <v>711</v>
      </c>
      <c r="N1109" s="33">
        <v>7</v>
      </c>
      <c r="O1109" s="35">
        <v>45938</v>
      </c>
      <c r="P1109" s="35">
        <v>45944</v>
      </c>
      <c r="Q1109" s="37"/>
      <c r="R1109" s="38"/>
      <c r="S1109" s="33"/>
      <c r="T1109" s="39">
        <v>250000</v>
      </c>
      <c r="U1109" s="40" t="s">
        <v>1229</v>
      </c>
      <c r="V1109" s="41"/>
      <c r="W1109" s="42" t="str">
        <f ca="1">IFERROR(__xludf.DUMMYFUNCTION("""COMPUTED_VALUE"""),"Ipong interior")</f>
        <v>Ipong interior</v>
      </c>
      <c r="X1109" s="42" t="str">
        <f ca="1"/>
        <v>ON-Ipong interior-00011900+7-6281460966685</v>
      </c>
      <c r="Y1109" s="40" t="s">
        <v>293</v>
      </c>
      <c r="Z1109" s="40" t="s">
        <v>1057</v>
      </c>
      <c r="AA1109" s="23" t="str">
        <v>https://wa.me/6281460966685</v>
      </c>
      <c r="AB1109" s="28" t="s">
        <v>6324</v>
      </c>
      <c r="AC1109" s="28"/>
      <c r="AD1109" s="28" t="s">
        <v>690</v>
      </c>
      <c r="AE1109" s="28"/>
      <c r="AF1109" s="29"/>
      <c r="AG1109" s="29"/>
    </row>
    <row r="1110" spans="1:33" ht="15.75" customHeight="1">
      <c r="A1110" s="32" t="s">
        <v>52</v>
      </c>
      <c r="B1110" s="33">
        <v>1132</v>
      </c>
      <c r="C1110" s="34" t="s">
        <v>6325</v>
      </c>
      <c r="D1110" s="35">
        <v>45936.391810613422</v>
      </c>
      <c r="E1110" s="43">
        <v>45936</v>
      </c>
      <c r="F1110" s="32" t="s">
        <v>3772</v>
      </c>
      <c r="G1110" s="32" t="s">
        <v>3773</v>
      </c>
      <c r="H1110" s="32" t="s">
        <v>3774</v>
      </c>
      <c r="I1110" s="36" t="s">
        <v>3775</v>
      </c>
      <c r="J1110" s="52"/>
      <c r="K1110" s="32" t="s">
        <v>570</v>
      </c>
      <c r="L1110" s="32" t="s">
        <v>2291</v>
      </c>
      <c r="M1110" s="32" t="s">
        <v>2032</v>
      </c>
      <c r="N1110" s="33">
        <v>10</v>
      </c>
      <c r="O1110" s="35"/>
      <c r="P1110" s="35"/>
      <c r="Q1110" s="37"/>
      <c r="R1110" s="38"/>
      <c r="S1110" s="33"/>
      <c r="T1110" s="39">
        <v>375000</v>
      </c>
      <c r="U1110" s="40" t="s">
        <v>61</v>
      </c>
      <c r="V1110" s="41"/>
      <c r="W1110" s="42" t="str">
        <f ca="1">IFERROR(__xludf.DUMMYFUNCTION("""COMPUTED_VALUE"""),"Kharisma Filter")</f>
        <v>Kharisma Filter</v>
      </c>
      <c r="X1110" s="42" t="str">
        <f ca="1"/>
        <v>ON-Kharisma Filter-00011900+10-6285893658659</v>
      </c>
      <c r="Y1110" s="40"/>
      <c r="Z1110" s="40"/>
      <c r="AA1110" s="23" t="str">
        <v>https://wa.me/6285893658659</v>
      </c>
      <c r="AB1110" s="28"/>
      <c r="AC1110" s="28"/>
      <c r="AD1110" s="28"/>
      <c r="AE1110" s="28"/>
      <c r="AF1110" s="29"/>
      <c r="AG1110" s="29"/>
    </row>
    <row r="1111" spans="1:33" ht="15.75" customHeight="1">
      <c r="A1111" s="32" t="s">
        <v>52</v>
      </c>
      <c r="B1111" s="33">
        <v>1133</v>
      </c>
      <c r="C1111" s="34" t="s">
        <v>6326</v>
      </c>
      <c r="D1111" s="35">
        <v>45936.396144791666</v>
      </c>
      <c r="E1111" s="43">
        <v>45936</v>
      </c>
      <c r="F1111" s="32" t="s">
        <v>5855</v>
      </c>
      <c r="G1111" s="54" t="s">
        <v>6327</v>
      </c>
      <c r="H1111" s="32" t="s">
        <v>2090</v>
      </c>
      <c r="I1111" s="36" t="s">
        <v>5856</v>
      </c>
      <c r="J1111" s="52"/>
      <c r="K1111" s="32" t="s">
        <v>6328</v>
      </c>
      <c r="L1111" s="32" t="s">
        <v>768</v>
      </c>
      <c r="M1111" s="32" t="s">
        <v>2032</v>
      </c>
      <c r="N1111" s="33">
        <v>7</v>
      </c>
      <c r="O1111" s="35"/>
      <c r="P1111" s="35"/>
      <c r="Q1111" s="37"/>
      <c r="R1111" s="38"/>
      <c r="S1111" s="33"/>
      <c r="T1111" s="39">
        <v>297000</v>
      </c>
      <c r="U1111" s="40" t="s">
        <v>61</v>
      </c>
      <c r="V1111" s="41"/>
      <c r="W1111" s="55" t="str">
        <f ca="1">IFERROR(__xludf.DUMMYFUNCTION("""COMPUTED_VALUE"""),"bromoiswonderland.com")</f>
        <v>bromoiswonderland.com</v>
      </c>
      <c r="X1111" s="42" t="str">
        <f ca="1"/>
        <v>ON-bromoiswonderland.com-00011900+7-6285788482665</v>
      </c>
      <c r="Y1111" s="40"/>
      <c r="Z1111" s="40"/>
      <c r="AA1111" s="23" t="str">
        <v>https://wa.me/6285788482665</v>
      </c>
      <c r="AB1111" s="28"/>
      <c r="AC1111" s="28"/>
      <c r="AD1111" s="28"/>
      <c r="AE1111" s="28"/>
      <c r="AF1111" s="29"/>
      <c r="AG1111" s="29"/>
    </row>
    <row r="1112" spans="1:33" ht="15.75" customHeight="1">
      <c r="A1112" s="32" t="s">
        <v>196</v>
      </c>
      <c r="B1112" s="33">
        <v>1134</v>
      </c>
      <c r="C1112" s="34" t="s">
        <v>6329</v>
      </c>
      <c r="D1112" s="35">
        <v>45936.47985802083</v>
      </c>
      <c r="E1112" s="43">
        <v>45936</v>
      </c>
      <c r="F1112" s="32" t="s">
        <v>3524</v>
      </c>
      <c r="G1112" s="32" t="s">
        <v>6330</v>
      </c>
      <c r="H1112" s="32" t="s">
        <v>6331</v>
      </c>
      <c r="I1112" s="36" t="s">
        <v>6245</v>
      </c>
      <c r="J1112" s="52"/>
      <c r="K1112" s="32" t="s">
        <v>6332</v>
      </c>
      <c r="L1112" s="32" t="s">
        <v>6333</v>
      </c>
      <c r="M1112" s="32" t="s">
        <v>60</v>
      </c>
      <c r="N1112" s="33">
        <v>5</v>
      </c>
      <c r="O1112" s="35">
        <v>45938</v>
      </c>
      <c r="P1112" s="35">
        <v>45942</v>
      </c>
      <c r="Q1112" s="37"/>
      <c r="R1112" s="38"/>
      <c r="S1112" s="33"/>
      <c r="T1112" s="39">
        <v>197000</v>
      </c>
      <c r="U1112" s="40" t="s">
        <v>61</v>
      </c>
      <c r="V1112" s="41"/>
      <c r="W1112" s="42" t="str">
        <f ca="1">IFERROR(__xludf.DUMMYFUNCTION("""COMPUTED_VALUE"""),"PT Putra")</f>
        <v>PT Putra</v>
      </c>
      <c r="X1112" s="42" t="str">
        <f ca="1"/>
        <v>ON-PT Putra-00011900+5-6282160889408</v>
      </c>
      <c r="Y1112" s="40" t="s">
        <v>293</v>
      </c>
      <c r="Z1112" s="40" t="s">
        <v>1057</v>
      </c>
      <c r="AA1112" s="23" t="str">
        <v>https://wa.me/6282160889408</v>
      </c>
      <c r="AB1112" s="28" t="s">
        <v>6334</v>
      </c>
      <c r="AC1112" s="28"/>
      <c r="AD1112" s="28" t="s">
        <v>690</v>
      </c>
      <c r="AE1112" s="28"/>
      <c r="AF1112" s="29"/>
      <c r="AG1112" s="29"/>
    </row>
    <row r="1113" spans="1:33" ht="15.75" customHeight="1">
      <c r="A1113" s="32" t="s">
        <v>196</v>
      </c>
      <c r="B1113" s="33">
        <v>1135</v>
      </c>
      <c r="C1113" s="34" t="s">
        <v>6335</v>
      </c>
      <c r="D1113" s="35">
        <v>45936.483037418977</v>
      </c>
      <c r="E1113" s="43">
        <v>45936</v>
      </c>
      <c r="F1113" s="32" t="s">
        <v>6336</v>
      </c>
      <c r="G1113" s="32" t="s">
        <v>6337</v>
      </c>
      <c r="H1113" s="32" t="s">
        <v>6338</v>
      </c>
      <c r="I1113" s="36" t="s">
        <v>6339</v>
      </c>
      <c r="J1113" s="52"/>
      <c r="K1113" s="32" t="s">
        <v>6340</v>
      </c>
      <c r="L1113" s="32" t="s">
        <v>6341</v>
      </c>
      <c r="M1113" s="32" t="s">
        <v>711</v>
      </c>
      <c r="N1113" s="33">
        <v>5</v>
      </c>
      <c r="O1113" s="35">
        <v>45939</v>
      </c>
      <c r="P1113" s="35">
        <v>45943</v>
      </c>
      <c r="Q1113" s="37"/>
      <c r="R1113" s="38"/>
      <c r="S1113" s="33"/>
      <c r="T1113" s="39">
        <v>150000</v>
      </c>
      <c r="U1113" s="40" t="s">
        <v>1229</v>
      </c>
      <c r="V1113" s="41"/>
      <c r="W1113" s="42" t="str">
        <f ca="1">IFERROR(__xludf.DUMMYFUNCTION("""COMPUTED_VALUE"""),"Rumah terapi")</f>
        <v>Rumah terapi</v>
      </c>
      <c r="X1113" s="42" t="str">
        <f ca="1"/>
        <v>ON-Rumah terapi-00011900+5-6281533867110</v>
      </c>
      <c r="Y1113" s="40" t="s">
        <v>62</v>
      </c>
      <c r="Z1113" s="40" t="s">
        <v>639</v>
      </c>
      <c r="AA1113" s="23" t="str">
        <v>https://wa.me/6281533867110</v>
      </c>
      <c r="AB1113" s="28" t="s">
        <v>6342</v>
      </c>
      <c r="AC1113" s="28"/>
      <c r="AD1113" s="28" t="s">
        <v>690</v>
      </c>
      <c r="AE1113" s="28"/>
      <c r="AF1113" s="29"/>
      <c r="AG1113" s="29"/>
    </row>
    <row r="1114" spans="1:33" ht="15.75" customHeight="1">
      <c r="A1114" s="32" t="s">
        <v>52</v>
      </c>
      <c r="B1114" s="33">
        <v>1136</v>
      </c>
      <c r="C1114" s="34" t="s">
        <v>6343</v>
      </c>
      <c r="D1114" s="35">
        <v>45936.486806261571</v>
      </c>
      <c r="E1114" s="43">
        <v>45936</v>
      </c>
      <c r="F1114" s="32" t="s">
        <v>3228</v>
      </c>
      <c r="G1114" s="32" t="s">
        <v>3229</v>
      </c>
      <c r="H1114" s="32" t="s">
        <v>3230</v>
      </c>
      <c r="I1114" s="36" t="s">
        <v>3231</v>
      </c>
      <c r="J1114" s="52"/>
      <c r="K1114" s="32" t="s">
        <v>3232</v>
      </c>
      <c r="L1114" s="32" t="s">
        <v>1365</v>
      </c>
      <c r="M1114" s="32" t="s">
        <v>285</v>
      </c>
      <c r="N1114" s="33">
        <v>5</v>
      </c>
      <c r="O1114" s="35"/>
      <c r="P1114" s="35"/>
      <c r="Q1114" s="37"/>
      <c r="R1114" s="38"/>
      <c r="S1114" s="33"/>
      <c r="T1114" s="39">
        <v>197000</v>
      </c>
      <c r="U1114" s="40" t="s">
        <v>1229</v>
      </c>
      <c r="V1114" s="41"/>
      <c r="W1114" s="42" t="str">
        <f ca="1">IFERROR(__xludf.DUMMYFUNCTION("""COMPUTED_VALUE"""),"Therapy pijat")</f>
        <v>Therapy pijat</v>
      </c>
      <c r="X1114" s="42" t="str">
        <f ca="1"/>
        <v>ON-Therapy pijat-00011900+5-6287865111033</v>
      </c>
      <c r="Y1114" s="40"/>
      <c r="Z1114" s="40"/>
      <c r="AA1114" s="23" t="str">
        <v>https://wa.me/6287865111033</v>
      </c>
      <c r="AB1114" s="28"/>
      <c r="AC1114" s="28"/>
      <c r="AD1114" s="28"/>
      <c r="AE1114" s="28"/>
      <c r="AF1114" s="29"/>
      <c r="AG1114" s="29"/>
    </row>
    <row r="1115" spans="1:33" ht="15.75" customHeight="1">
      <c r="A1115" s="32" t="s">
        <v>52</v>
      </c>
      <c r="B1115" s="33">
        <v>1137</v>
      </c>
      <c r="C1115" s="34" t="s">
        <v>6344</v>
      </c>
      <c r="D1115" s="35">
        <v>45936.49605076389</v>
      </c>
      <c r="E1115" s="43">
        <v>45935</v>
      </c>
      <c r="F1115" s="32" t="s">
        <v>5084</v>
      </c>
      <c r="G1115" s="32" t="s">
        <v>5085</v>
      </c>
      <c r="H1115" s="32" t="s">
        <v>5086</v>
      </c>
      <c r="I1115" s="36" t="s">
        <v>5087</v>
      </c>
      <c r="J1115" s="52"/>
      <c r="K1115" s="32" t="s">
        <v>1024</v>
      </c>
      <c r="L1115" s="32" t="s">
        <v>2039</v>
      </c>
      <c r="M1115" s="32" t="s">
        <v>48</v>
      </c>
      <c r="N1115" s="33">
        <v>10</v>
      </c>
      <c r="O1115" s="35"/>
      <c r="P1115" s="35"/>
      <c r="Q1115" s="37"/>
      <c r="R1115" s="38"/>
      <c r="S1115" s="33"/>
      <c r="T1115" s="39">
        <v>375000</v>
      </c>
      <c r="U1115" s="40" t="s">
        <v>1229</v>
      </c>
      <c r="V1115" s="41"/>
      <c r="W1115" s="42" t="str">
        <f ca="1">IFERROR(__xludf.DUMMYFUNCTION("""COMPUTED_VALUE"""),"Ozay adventure")</f>
        <v>Ozay adventure</v>
      </c>
      <c r="X1115" s="42" t="str">
        <f ca="1"/>
        <v>ON-Ozay adventure-00011900+10-6282229433259</v>
      </c>
      <c r="Y1115" s="40"/>
      <c r="Z1115" s="40"/>
      <c r="AA1115" s="23" t="str">
        <v>https://wa.me/6282229433259</v>
      </c>
      <c r="AB1115" s="28"/>
      <c r="AC1115" s="28"/>
      <c r="AD1115" s="28"/>
      <c r="AE1115" s="28"/>
      <c r="AF1115" s="29"/>
      <c r="AG1115" s="29"/>
    </row>
    <row r="1116" spans="1:33" ht="15.75" customHeight="1">
      <c r="A1116" s="32" t="s">
        <v>52</v>
      </c>
      <c r="B1116" s="33">
        <v>1138</v>
      </c>
      <c r="C1116" s="34" t="s">
        <v>6345</v>
      </c>
      <c r="D1116" s="35">
        <v>45936.496544108799</v>
      </c>
      <c r="E1116" s="43">
        <v>45935</v>
      </c>
      <c r="F1116" s="32" t="s">
        <v>3968</v>
      </c>
      <c r="G1116" s="32" t="s">
        <v>3969</v>
      </c>
      <c r="H1116" s="32" t="s">
        <v>2671</v>
      </c>
      <c r="I1116" s="36" t="s">
        <v>3970</v>
      </c>
      <c r="J1116" s="52"/>
      <c r="K1116" s="32" t="s">
        <v>3971</v>
      </c>
      <c r="L1116" s="32" t="s">
        <v>1008</v>
      </c>
      <c r="M1116" s="32" t="s">
        <v>3687</v>
      </c>
      <c r="N1116" s="33">
        <v>5</v>
      </c>
      <c r="O1116" s="35"/>
      <c r="P1116" s="35"/>
      <c r="Q1116" s="37"/>
      <c r="R1116" s="38"/>
      <c r="S1116" s="33"/>
      <c r="T1116" s="39">
        <v>197000</v>
      </c>
      <c r="U1116" s="40" t="s">
        <v>1229</v>
      </c>
      <c r="V1116" s="41"/>
      <c r="W1116" s="42" t="str">
        <f ca="1">IFERROR(__xludf.DUMMYFUNCTION("""COMPUTED_VALUE"""),"Madu Rabbani")</f>
        <v>Madu Rabbani</v>
      </c>
      <c r="X1116" s="42" t="str">
        <f ca="1"/>
        <v>ON-Madu Rabbani-00011900+5-62881010328220</v>
      </c>
      <c r="Y1116" s="40"/>
      <c r="Z1116" s="40"/>
      <c r="AA1116" s="23" t="str">
        <v>https://wa.me/62881010328220</v>
      </c>
      <c r="AB1116" s="28"/>
      <c r="AC1116" s="28"/>
      <c r="AD1116" s="28"/>
      <c r="AE1116" s="28"/>
      <c r="AF1116" s="29"/>
      <c r="AG1116" s="29"/>
    </row>
    <row r="1117" spans="1:33" ht="15.75" customHeight="1">
      <c r="A1117" s="32" t="s">
        <v>196</v>
      </c>
      <c r="B1117" s="33">
        <v>1140</v>
      </c>
      <c r="C1117" s="34" t="s">
        <v>6346</v>
      </c>
      <c r="D1117" s="35">
        <v>45936.541030289351</v>
      </c>
      <c r="E1117" s="43">
        <v>45936</v>
      </c>
      <c r="F1117" s="32" t="s">
        <v>2612</v>
      </c>
      <c r="G1117" s="32" t="s">
        <v>6347</v>
      </c>
      <c r="H1117" s="32" t="s">
        <v>6348</v>
      </c>
      <c r="I1117" s="36" t="s">
        <v>2615</v>
      </c>
      <c r="J1117" s="52"/>
      <c r="K1117" s="32" t="s">
        <v>6349</v>
      </c>
      <c r="L1117" s="32" t="s">
        <v>6350</v>
      </c>
      <c r="M1117" s="32" t="s">
        <v>726</v>
      </c>
      <c r="N1117" s="33">
        <v>5</v>
      </c>
      <c r="O1117" s="35">
        <v>45939</v>
      </c>
      <c r="P1117" s="35">
        <v>45943</v>
      </c>
      <c r="Q1117" s="37"/>
      <c r="R1117" s="38"/>
      <c r="S1117" s="33"/>
      <c r="T1117" s="39">
        <v>197000</v>
      </c>
      <c r="U1117" s="40" t="s">
        <v>1774</v>
      </c>
      <c r="V1117" s="41"/>
      <c r="W1117" s="42" t="str">
        <f ca="1">IFERROR(__xludf.DUMMYFUNCTION("""COMPUTED_VALUE"""),"Griya sehat")</f>
        <v>Griya sehat</v>
      </c>
      <c r="X1117" s="42" t="str">
        <f ca="1"/>
        <v>ON-Griya sehat-00011900+5-6285741977776</v>
      </c>
      <c r="Y1117" s="40" t="s">
        <v>62</v>
      </c>
      <c r="Z1117" s="40" t="s">
        <v>639</v>
      </c>
      <c r="AA1117" s="23" t="str">
        <v>https://wa.me/6285741977776</v>
      </c>
      <c r="AB1117" s="28" t="s">
        <v>6351</v>
      </c>
      <c r="AC1117" s="28"/>
      <c r="AD1117" s="28" t="s">
        <v>690</v>
      </c>
      <c r="AE1117" s="28"/>
      <c r="AF1117" s="29"/>
      <c r="AG1117" s="29"/>
    </row>
    <row r="1118" spans="1:33" ht="15.75" customHeight="1">
      <c r="A1118" s="32" t="s">
        <v>196</v>
      </c>
      <c r="B1118" s="33">
        <v>1142</v>
      </c>
      <c r="C1118" s="34" t="s">
        <v>6352</v>
      </c>
      <c r="D1118" s="35">
        <v>45936.558394027779</v>
      </c>
      <c r="E1118" s="43">
        <v>45936</v>
      </c>
      <c r="F1118" s="32" t="s">
        <v>6353</v>
      </c>
      <c r="G1118" s="32" t="s">
        <v>6354</v>
      </c>
      <c r="H1118" s="32" t="s">
        <v>6355</v>
      </c>
      <c r="I1118" s="36" t="s">
        <v>2770</v>
      </c>
      <c r="J1118" s="52" t="s">
        <v>6356</v>
      </c>
      <c r="K1118" s="32" t="s">
        <v>6357</v>
      </c>
      <c r="L1118" s="32" t="s">
        <v>382</v>
      </c>
      <c r="M1118" s="32" t="s">
        <v>726</v>
      </c>
      <c r="N1118" s="33">
        <v>5</v>
      </c>
      <c r="O1118" s="35">
        <v>45940</v>
      </c>
      <c r="P1118" s="35">
        <v>45944</v>
      </c>
      <c r="Q1118" s="37"/>
      <c r="R1118" s="38"/>
      <c r="S1118" s="33"/>
      <c r="T1118" s="39">
        <v>197000</v>
      </c>
      <c r="U1118" s="40" t="s">
        <v>1774</v>
      </c>
      <c r="V1118" s="41"/>
      <c r="W1118" s="42" t="str">
        <f ca="1">IFERROR(__xludf.DUMMYFUNCTION("""COMPUTED_VALUE"""),"Rumah Ruqyah")</f>
        <v>Rumah Ruqyah</v>
      </c>
      <c r="X1118" s="42" t="str">
        <f ca="1"/>
        <v>ON-Rumah Ruqyah-00011900+5-6285645050058</v>
      </c>
      <c r="Y1118" s="40" t="s">
        <v>62</v>
      </c>
      <c r="Z1118" s="40" t="s">
        <v>639</v>
      </c>
      <c r="AA1118" s="23" t="str">
        <v>https://wa.me/6285645050058</v>
      </c>
      <c r="AB1118" s="28" t="s">
        <v>6358</v>
      </c>
      <c r="AC1118" s="28"/>
      <c r="AD1118" s="28" t="s">
        <v>690</v>
      </c>
      <c r="AE1118" s="28"/>
      <c r="AF1118" s="29"/>
      <c r="AG1118" s="29"/>
    </row>
    <row r="1119" spans="1:33" ht="15.75" customHeight="1">
      <c r="A1119" s="32" t="s">
        <v>196</v>
      </c>
      <c r="B1119" s="33">
        <v>1143</v>
      </c>
      <c r="C1119" s="34" t="s">
        <v>6359</v>
      </c>
      <c r="D1119" s="35">
        <v>45936.608199409719</v>
      </c>
      <c r="E1119" s="43">
        <v>45936</v>
      </c>
      <c r="F1119" s="32" t="s">
        <v>6360</v>
      </c>
      <c r="G1119" s="32" t="s">
        <v>6361</v>
      </c>
      <c r="H1119" s="32" t="s">
        <v>6362</v>
      </c>
      <c r="I1119" s="36" t="s">
        <v>6363</v>
      </c>
      <c r="J1119" s="52"/>
      <c r="K1119" s="32" t="s">
        <v>6364</v>
      </c>
      <c r="L1119" s="32" t="s">
        <v>85</v>
      </c>
      <c r="M1119" s="32" t="s">
        <v>60</v>
      </c>
      <c r="N1119" s="33">
        <v>5</v>
      </c>
      <c r="O1119" s="35">
        <v>45939</v>
      </c>
      <c r="P1119" s="35">
        <v>45943</v>
      </c>
      <c r="Q1119" s="37"/>
      <c r="R1119" s="38"/>
      <c r="S1119" s="33"/>
      <c r="T1119" s="39">
        <v>197000</v>
      </c>
      <c r="U1119" s="40"/>
      <c r="V1119" s="41"/>
      <c r="W1119" s="42" t="str">
        <f ca="1">IFERROR(__xludf.DUMMYFUNCTION("""COMPUTED_VALUE"""),"Dika'r Furniture")</f>
        <v>Dika'r Furniture</v>
      </c>
      <c r="X1119" s="42" t="str">
        <f ca="1"/>
        <v>ON-Dika'r Furniture-00011900+5-6282120205382</v>
      </c>
      <c r="Y1119" s="40" t="s">
        <v>293</v>
      </c>
      <c r="Z1119" s="40" t="s">
        <v>1057</v>
      </c>
      <c r="AA1119" s="23" t="str">
        <v>https://wa.me/6282120205382</v>
      </c>
      <c r="AB1119" s="28" t="s">
        <v>6365</v>
      </c>
      <c r="AC1119" s="28"/>
      <c r="AD1119" s="28" t="s">
        <v>690</v>
      </c>
      <c r="AE1119" s="28"/>
      <c r="AF1119" s="29"/>
      <c r="AG1119" s="29"/>
    </row>
    <row r="1120" spans="1:33" ht="15.75" customHeight="1">
      <c r="A1120" s="32" t="s">
        <v>52</v>
      </c>
      <c r="B1120" s="33">
        <v>1144</v>
      </c>
      <c r="C1120" s="34" t="s">
        <v>6366</v>
      </c>
      <c r="D1120" s="35">
        <v>45936.639307442128</v>
      </c>
      <c r="E1120" s="43">
        <v>45936</v>
      </c>
      <c r="F1120" s="32" t="s">
        <v>125</v>
      </c>
      <c r="G1120" s="32" t="s">
        <v>5265</v>
      </c>
      <c r="H1120" s="32" t="s">
        <v>5266</v>
      </c>
      <c r="I1120" s="36" t="s">
        <v>128</v>
      </c>
      <c r="J1120" s="52"/>
      <c r="K1120" s="32" t="s">
        <v>6367</v>
      </c>
      <c r="L1120" s="32" t="s">
        <v>2133</v>
      </c>
      <c r="M1120" s="32" t="s">
        <v>60</v>
      </c>
      <c r="N1120" s="33">
        <v>10</v>
      </c>
      <c r="O1120" s="35"/>
      <c r="P1120" s="35"/>
      <c r="Q1120" s="37"/>
      <c r="R1120" s="38"/>
      <c r="S1120" s="33"/>
      <c r="T1120" s="39">
        <v>375000</v>
      </c>
      <c r="U1120" s="40" t="s">
        <v>61</v>
      </c>
      <c r="V1120" s="41"/>
      <c r="W1120" s="42" t="str">
        <f ca="1">IFERROR(__xludf.DUMMYFUNCTION("""COMPUTED_VALUE"""),"AJP Adi")</f>
        <v>AJP Adi</v>
      </c>
      <c r="X1120" s="42" t="str">
        <f ca="1"/>
        <v>ON-AJP Adi-00011900+10-6283188945188</v>
      </c>
      <c r="Y1120" s="40"/>
      <c r="Z1120" s="40"/>
      <c r="AA1120" s="23" t="str">
        <v>https://wa.me/6283188945188</v>
      </c>
      <c r="AB1120" s="28"/>
      <c r="AC1120" s="28"/>
      <c r="AD1120" s="28"/>
      <c r="AE1120" s="28"/>
      <c r="AF1120" s="29"/>
      <c r="AG1120" s="29"/>
    </row>
    <row r="1121" spans="1:33" ht="15.75" customHeight="1">
      <c r="A1121" s="32" t="s">
        <v>52</v>
      </c>
      <c r="B1121" s="33">
        <v>1145</v>
      </c>
      <c r="C1121" s="34" t="s">
        <v>6368</v>
      </c>
      <c r="D1121" s="35">
        <v>45936.799400972217</v>
      </c>
      <c r="E1121" s="43">
        <v>45936</v>
      </c>
      <c r="F1121" s="32" t="s">
        <v>6061</v>
      </c>
      <c r="G1121" s="32" t="s">
        <v>6062</v>
      </c>
      <c r="H1121" s="32" t="s">
        <v>6063</v>
      </c>
      <c r="I1121" s="36" t="s">
        <v>6064</v>
      </c>
      <c r="J1121" s="52"/>
      <c r="K1121" s="32" t="s">
        <v>6065</v>
      </c>
      <c r="L1121" s="32" t="s">
        <v>92</v>
      </c>
      <c r="M1121" s="32" t="s">
        <v>92</v>
      </c>
      <c r="N1121" s="33">
        <v>10</v>
      </c>
      <c r="O1121" s="35"/>
      <c r="P1121" s="35"/>
      <c r="Q1121" s="37"/>
      <c r="R1121" s="38"/>
      <c r="S1121" s="33"/>
      <c r="T1121" s="39">
        <v>375000</v>
      </c>
      <c r="U1121" s="40" t="s">
        <v>1229</v>
      </c>
      <c r="V1121" s="41"/>
      <c r="W1121" s="42" t="str">
        <f ca="1">IFERROR(__xludf.DUMMYFUNCTION("""COMPUTED_VALUE"""),"ipol Usaha")</f>
        <v>ipol Usaha</v>
      </c>
      <c r="X1121" s="42" t="str">
        <f ca="1"/>
        <v>ON-ipol Usaha-00011900+10-6285849693521</v>
      </c>
      <c r="Y1121" s="40"/>
      <c r="Z1121" s="40"/>
      <c r="AA1121" s="23" t="str">
        <v>https://wa.me/6285849693521</v>
      </c>
      <c r="AB1121" s="28"/>
      <c r="AC1121" s="28"/>
      <c r="AD1121" s="28"/>
      <c r="AE1121" s="28"/>
      <c r="AF1121" s="29"/>
      <c r="AG1121" s="29"/>
    </row>
    <row r="1122" spans="1:33" ht="15.75" customHeight="1">
      <c r="A1122" s="32" t="s">
        <v>52</v>
      </c>
      <c r="B1122" s="33">
        <v>1146</v>
      </c>
      <c r="C1122" s="34" t="s">
        <v>6369</v>
      </c>
      <c r="D1122" s="35">
        <v>45937.305114131945</v>
      </c>
      <c r="E1122" s="43">
        <v>45935</v>
      </c>
      <c r="F1122" s="32" t="s">
        <v>4424</v>
      </c>
      <c r="G1122" s="32" t="s">
        <v>4425</v>
      </c>
      <c r="H1122" s="32" t="s">
        <v>4426</v>
      </c>
      <c r="I1122" s="36" t="s">
        <v>6370</v>
      </c>
      <c r="J1122" s="52"/>
      <c r="K1122" s="32" t="s">
        <v>4428</v>
      </c>
      <c r="L1122" s="32" t="s">
        <v>3965</v>
      </c>
      <c r="M1122" s="32" t="s">
        <v>1534</v>
      </c>
      <c r="N1122" s="33">
        <v>7</v>
      </c>
      <c r="O1122" s="35"/>
      <c r="P1122" s="35"/>
      <c r="Q1122" s="37"/>
      <c r="R1122" s="38"/>
      <c r="S1122" s="33"/>
      <c r="T1122" s="39">
        <v>297000</v>
      </c>
      <c r="U1122" s="40" t="s">
        <v>1229</v>
      </c>
      <c r="V1122" s="41"/>
      <c r="W1122" s="42" t="str">
        <f ca="1">IFERROR(__xludf.DUMMYFUNCTION("""COMPUTED_VALUE"""),"RAFI'S MASSUEER")</f>
        <v>RAFI'S MASSUEER</v>
      </c>
      <c r="X1122" s="42" t="str">
        <f ca="1"/>
        <v>ON-RAFI'S MASSUEER-00011900+7-6287776264559</v>
      </c>
      <c r="Y1122" s="40"/>
      <c r="Z1122" s="40"/>
      <c r="AA1122" s="23" t="str">
        <v>https://wa.me/6287776264559</v>
      </c>
      <c r="AB1122" s="28"/>
      <c r="AC1122" s="28"/>
      <c r="AD1122" s="28"/>
      <c r="AE1122" s="28"/>
      <c r="AF1122" s="29"/>
      <c r="AG1122" s="29"/>
    </row>
    <row r="1123" spans="1:33" ht="15.75" customHeight="1">
      <c r="A1123" s="32" t="s">
        <v>52</v>
      </c>
      <c r="B1123" s="33">
        <v>1149</v>
      </c>
      <c r="C1123" s="34" t="s">
        <v>6371</v>
      </c>
      <c r="D1123" s="35">
        <v>45937.314357662035</v>
      </c>
      <c r="E1123" s="43">
        <v>45937</v>
      </c>
      <c r="F1123" s="32" t="s">
        <v>4424</v>
      </c>
      <c r="G1123" s="32" t="s">
        <v>4425</v>
      </c>
      <c r="H1123" s="32" t="s">
        <v>4426</v>
      </c>
      <c r="I1123" s="36" t="s">
        <v>6370</v>
      </c>
      <c r="J1123" s="52"/>
      <c r="K1123" s="32" t="s">
        <v>4428</v>
      </c>
      <c r="L1123" s="32" t="s">
        <v>3965</v>
      </c>
      <c r="M1123" s="32" t="s">
        <v>1534</v>
      </c>
      <c r="N1123" s="33">
        <v>7</v>
      </c>
      <c r="O1123" s="35"/>
      <c r="P1123" s="35"/>
      <c r="Q1123" s="37"/>
      <c r="R1123" s="38"/>
      <c r="S1123" s="33"/>
      <c r="T1123" s="39">
        <v>297000</v>
      </c>
      <c r="U1123" s="40" t="s">
        <v>1229</v>
      </c>
      <c r="V1123" s="41"/>
      <c r="W1123" s="42" t="str">
        <f ca="1">IFERROR(__xludf.DUMMYFUNCTION("""COMPUTED_VALUE"""),"RAFI'S MASSUEER")</f>
        <v>RAFI'S MASSUEER</v>
      </c>
      <c r="X1123" s="42" t="str">
        <f ca="1"/>
        <v>ON-RAFI'S MASSUEER-00011900+7-6287776264559</v>
      </c>
      <c r="Y1123" s="40"/>
      <c r="Z1123" s="40"/>
      <c r="AA1123" s="23" t="str">
        <v>https://wa.me/6287776264559</v>
      </c>
      <c r="AB1123" s="28"/>
      <c r="AC1123" s="28"/>
      <c r="AD1123" s="28"/>
      <c r="AE1123" s="28"/>
      <c r="AF1123" s="29"/>
      <c r="AG1123" s="29"/>
    </row>
    <row r="1124" spans="1:33" ht="15.75" customHeight="1">
      <c r="A1124" s="32" t="s">
        <v>52</v>
      </c>
      <c r="B1124" s="33">
        <v>1151</v>
      </c>
      <c r="C1124" s="34" t="s">
        <v>6372</v>
      </c>
      <c r="D1124" s="35">
        <v>45937.320449803243</v>
      </c>
      <c r="E1124" s="43">
        <v>45937</v>
      </c>
      <c r="F1124" s="32" t="s">
        <v>3745</v>
      </c>
      <c r="G1124" s="32" t="s">
        <v>3746</v>
      </c>
      <c r="H1124" s="32" t="s">
        <v>3747</v>
      </c>
      <c r="I1124" s="36" t="s">
        <v>3748</v>
      </c>
      <c r="J1124" s="52"/>
      <c r="K1124" s="32" t="s">
        <v>3749</v>
      </c>
      <c r="L1124" s="32" t="s">
        <v>3750</v>
      </c>
      <c r="M1124" s="32" t="s">
        <v>6373</v>
      </c>
      <c r="N1124" s="33">
        <v>5</v>
      </c>
      <c r="O1124" s="35"/>
      <c r="P1124" s="35"/>
      <c r="Q1124" s="37"/>
      <c r="R1124" s="38"/>
      <c r="S1124" s="33"/>
      <c r="T1124" s="39">
        <v>197000</v>
      </c>
      <c r="U1124" s="40" t="s">
        <v>1229</v>
      </c>
      <c r="V1124" s="41"/>
      <c r="W1124" s="42" t="str">
        <f ca="1">IFERROR(__xludf.DUMMYFUNCTION("""COMPUTED_VALUE"""),"Jasa renovasi")</f>
        <v>Jasa renovasi</v>
      </c>
      <c r="X1124" s="42" t="str">
        <f ca="1"/>
        <v>ON-Jasa renovasi-00011900+5-6282236053835</v>
      </c>
      <c r="Y1124" s="40"/>
      <c r="Z1124" s="40"/>
      <c r="AA1124" s="23" t="str">
        <v>https://wa.me/6282236053835</v>
      </c>
      <c r="AB1124" s="28"/>
      <c r="AC1124" s="28"/>
      <c r="AD1124" s="28"/>
      <c r="AE1124" s="28"/>
      <c r="AF1124" s="29"/>
      <c r="AG1124" s="29"/>
    </row>
    <row r="1125" spans="1:33" ht="15.75" customHeight="1">
      <c r="A1125" s="32" t="s">
        <v>196</v>
      </c>
      <c r="B1125" s="33">
        <v>1151</v>
      </c>
      <c r="C1125" s="34" t="s">
        <v>6372</v>
      </c>
      <c r="D1125" s="35">
        <v>45937.378599351854</v>
      </c>
      <c r="E1125" s="43">
        <v>45937</v>
      </c>
      <c r="F1125" s="32" t="s">
        <v>6374</v>
      </c>
      <c r="G1125" s="32" t="s">
        <v>6375</v>
      </c>
      <c r="H1125" s="32" t="s">
        <v>6376</v>
      </c>
      <c r="I1125" s="36" t="s">
        <v>6377</v>
      </c>
      <c r="J1125" s="52"/>
      <c r="K1125" s="32" t="s">
        <v>339</v>
      </c>
      <c r="L1125" s="32" t="s">
        <v>85</v>
      </c>
      <c r="M1125" s="32" t="s">
        <v>60</v>
      </c>
      <c r="N1125" s="33">
        <v>5</v>
      </c>
      <c r="O1125" s="35">
        <v>45940</v>
      </c>
      <c r="P1125" s="35">
        <v>45944</v>
      </c>
      <c r="Q1125" s="37"/>
      <c r="R1125" s="38"/>
      <c r="S1125" s="33"/>
      <c r="T1125" s="39">
        <v>197000</v>
      </c>
      <c r="U1125" s="40" t="s">
        <v>61</v>
      </c>
      <c r="V1125" s="41"/>
      <c r="W1125" s="42" t="str">
        <f ca="1">IFERROR(__xludf.DUMMYFUNCTION("""COMPUTED_VALUE"""),"Tukang Bajaringan")</f>
        <v>Tukang Bajaringan</v>
      </c>
      <c r="X1125" s="42" t="str">
        <f ca="1"/>
        <v>ON-Tukang Bajaringan-00011900+5-6281286882004</v>
      </c>
      <c r="Y1125" s="40" t="s">
        <v>293</v>
      </c>
      <c r="Z1125" s="40" t="s">
        <v>1057</v>
      </c>
      <c r="AA1125" s="23" t="str">
        <v>https://wa.me/6281286882004</v>
      </c>
      <c r="AB1125" s="28" t="s">
        <v>6378</v>
      </c>
      <c r="AC1125" s="28"/>
      <c r="AD1125" s="28" t="s">
        <v>690</v>
      </c>
      <c r="AE1125" s="28"/>
      <c r="AF1125" s="29"/>
      <c r="AG1125" s="29"/>
    </row>
    <row r="1126" spans="1:33" ht="15.75" customHeight="1">
      <c r="A1126" s="32" t="s">
        <v>196</v>
      </c>
      <c r="B1126" s="33">
        <v>1151</v>
      </c>
      <c r="C1126" s="34" t="s">
        <v>6372</v>
      </c>
      <c r="D1126" s="35">
        <v>45937.388428275459</v>
      </c>
      <c r="E1126" s="43">
        <v>45937</v>
      </c>
      <c r="F1126" s="32" t="s">
        <v>6379</v>
      </c>
      <c r="G1126" s="32" t="s">
        <v>6380</v>
      </c>
      <c r="H1126" s="32" t="s">
        <v>838</v>
      </c>
      <c r="I1126" s="36" t="s">
        <v>6381</v>
      </c>
      <c r="J1126" s="52"/>
      <c r="K1126" s="32" t="s">
        <v>1722</v>
      </c>
      <c r="L1126" s="32" t="s">
        <v>85</v>
      </c>
      <c r="M1126" s="32" t="s">
        <v>60</v>
      </c>
      <c r="N1126" s="33">
        <v>5</v>
      </c>
      <c r="O1126" s="35">
        <v>45940</v>
      </c>
      <c r="P1126" s="35">
        <v>45944</v>
      </c>
      <c r="Q1126" s="37"/>
      <c r="R1126" s="38"/>
      <c r="S1126" s="33"/>
      <c r="T1126" s="39">
        <v>197000</v>
      </c>
      <c r="U1126" s="40" t="s">
        <v>61</v>
      </c>
      <c r="V1126" s="41"/>
      <c r="W1126" s="42" t="str">
        <f ca="1">IFERROR(__xludf.DUMMYFUNCTION("""COMPUTED_VALUE"""),"Endes Kitchen")</f>
        <v>Endes Kitchen</v>
      </c>
      <c r="X1126" s="42" t="str">
        <f ca="1"/>
        <v>ON-Endes Kitchen-00011900+5-6281804207532</v>
      </c>
      <c r="Y1126" s="40" t="s">
        <v>62</v>
      </c>
      <c r="Z1126" s="40" t="s">
        <v>1465</v>
      </c>
      <c r="AA1126" s="23" t="str">
        <v>https://wa.me/6281804207532</v>
      </c>
      <c r="AB1126" s="28" t="s">
        <v>6382</v>
      </c>
      <c r="AC1126" s="28"/>
      <c r="AD1126" s="28" t="s">
        <v>690</v>
      </c>
      <c r="AE1126" s="28"/>
      <c r="AF1126" s="29"/>
      <c r="AG1126" s="29"/>
    </row>
    <row r="1127" spans="1:33" ht="15.75" customHeight="1">
      <c r="A1127" s="32" t="s">
        <v>52</v>
      </c>
      <c r="B1127" s="33">
        <v>1152</v>
      </c>
      <c r="C1127" s="34" t="s">
        <v>6383</v>
      </c>
      <c r="D1127" s="35">
        <v>45937.433680543982</v>
      </c>
      <c r="E1127" s="43">
        <v>45937</v>
      </c>
      <c r="F1127" s="32" t="s">
        <v>2356</v>
      </c>
      <c r="G1127" s="32" t="s">
        <v>2357</v>
      </c>
      <c r="H1127" s="32" t="s">
        <v>2358</v>
      </c>
      <c r="I1127" s="36" t="s">
        <v>2359</v>
      </c>
      <c r="J1127" s="52"/>
      <c r="K1127" s="32" t="s">
        <v>6384</v>
      </c>
      <c r="L1127" s="32" t="s">
        <v>1542</v>
      </c>
      <c r="M1127" s="32" t="s">
        <v>60</v>
      </c>
      <c r="N1127" s="33">
        <v>10</v>
      </c>
      <c r="O1127" s="35"/>
      <c r="P1127" s="35"/>
      <c r="Q1127" s="37"/>
      <c r="R1127" s="38"/>
      <c r="S1127" s="33"/>
      <c r="T1127" s="39">
        <v>375000</v>
      </c>
      <c r="U1127" s="40" t="s">
        <v>61</v>
      </c>
      <c r="V1127" s="41"/>
      <c r="W1127" s="42" t="str">
        <f ca="1">IFERROR(__xludf.DUMMYFUNCTION("""COMPUTED_VALUE"""),"Suzuki Mamuju")</f>
        <v>Suzuki Mamuju</v>
      </c>
      <c r="X1127" s="42" t="str">
        <f ca="1"/>
        <v>ON-Suzuki Mamuju-00011900+10-6281221788919</v>
      </c>
      <c r="Y1127" s="40"/>
      <c r="Z1127" s="40"/>
      <c r="AA1127" s="23" t="str">
        <v>https://wa.me/6281221788919</v>
      </c>
      <c r="AB1127" s="28"/>
      <c r="AC1127" s="28"/>
      <c r="AD1127" s="28"/>
      <c r="AE1127" s="28"/>
      <c r="AF1127" s="29"/>
      <c r="AG1127" s="29"/>
    </row>
    <row r="1128" spans="1:33" ht="15.75" customHeight="1">
      <c r="A1128" s="32" t="s">
        <v>621</v>
      </c>
      <c r="B1128" s="33">
        <v>1153</v>
      </c>
      <c r="C1128" s="34" t="s">
        <v>6385</v>
      </c>
      <c r="D1128" s="35">
        <v>45937.436520104166</v>
      </c>
      <c r="E1128" s="43">
        <v>45937</v>
      </c>
      <c r="F1128" s="32" t="s">
        <v>6386</v>
      </c>
      <c r="G1128" s="32" t="s">
        <v>6387</v>
      </c>
      <c r="H1128" s="32" t="s">
        <v>6388</v>
      </c>
      <c r="I1128" s="36" t="s">
        <v>6389</v>
      </c>
      <c r="J1128" s="52"/>
      <c r="K1128" s="32" t="s">
        <v>374</v>
      </c>
      <c r="L1128" s="32" t="s">
        <v>6390</v>
      </c>
      <c r="M1128" s="32" t="s">
        <v>2032</v>
      </c>
      <c r="N1128" s="33">
        <v>10</v>
      </c>
      <c r="O1128" s="35"/>
      <c r="P1128" s="35"/>
      <c r="Q1128" s="37"/>
      <c r="R1128" s="38"/>
      <c r="S1128" s="33"/>
      <c r="T1128" s="39">
        <v>375000</v>
      </c>
      <c r="U1128" s="40" t="s">
        <v>61</v>
      </c>
      <c r="V1128" s="41"/>
      <c r="W1128" s="42" t="str">
        <f ca="1">IFERROR(__xludf.DUMMYFUNCTION("""COMPUTED_VALUE"""),"Kripik Tempe")</f>
        <v>Kripik Tempe</v>
      </c>
      <c r="X1128" s="42" t="str">
        <f ca="1"/>
        <v>ON-Kripik Tempe-00011900+10-6281808567531</v>
      </c>
      <c r="Y1128" s="40"/>
      <c r="Z1128" s="40"/>
      <c r="AA1128" s="23" t="str">
        <v>https://wa.me/6281808567531</v>
      </c>
      <c r="AB1128" s="28"/>
      <c r="AC1128" s="28"/>
      <c r="AD1128" s="28"/>
      <c r="AE1128" s="28"/>
      <c r="AF1128" s="29"/>
      <c r="AG1128" s="29"/>
    </row>
    <row r="1129" spans="1:33" ht="15.75" customHeight="1">
      <c r="A1129" s="32" t="s">
        <v>52</v>
      </c>
      <c r="B1129" s="33">
        <v>1154</v>
      </c>
      <c r="C1129" s="34" t="s">
        <v>6391</v>
      </c>
      <c r="D1129" s="35">
        <v>45937.47713003472</v>
      </c>
      <c r="E1129" s="43">
        <v>45937</v>
      </c>
      <c r="F1129" s="32" t="s">
        <v>2419</v>
      </c>
      <c r="G1129" s="32" t="s">
        <v>2420</v>
      </c>
      <c r="H1129" s="32" t="s">
        <v>1711</v>
      </c>
      <c r="I1129" s="36" t="s">
        <v>2421</v>
      </c>
      <c r="J1129" s="52"/>
      <c r="K1129" s="32" t="s">
        <v>2422</v>
      </c>
      <c r="L1129" s="32" t="s">
        <v>2500</v>
      </c>
      <c r="M1129" s="32" t="s">
        <v>249</v>
      </c>
      <c r="N1129" s="33">
        <v>5</v>
      </c>
      <c r="O1129" s="35"/>
      <c r="P1129" s="35"/>
      <c r="Q1129" s="37"/>
      <c r="R1129" s="38"/>
      <c r="S1129" s="33"/>
      <c r="T1129" s="39">
        <v>197000</v>
      </c>
      <c r="U1129" s="40" t="s">
        <v>1774</v>
      </c>
      <c r="V1129" s="41"/>
      <c r="W1129" s="42" t="str">
        <f ca="1">IFERROR(__xludf.DUMMYFUNCTION("""COMPUTED_VALUE"""),"Pelatihan Bekam")</f>
        <v>Pelatihan Bekam</v>
      </c>
      <c r="X1129" s="42" t="str">
        <f ca="1"/>
        <v>ON-Pelatihan Bekam-00011900+5-6283865096870</v>
      </c>
      <c r="Y1129" s="40"/>
      <c r="Z1129" s="40"/>
      <c r="AA1129" s="23" t="str">
        <v>https://wa.me/6283865096870</v>
      </c>
      <c r="AB1129" s="28"/>
      <c r="AC1129" s="28"/>
      <c r="AD1129" s="28"/>
      <c r="AE1129" s="28"/>
      <c r="AF1129" s="29"/>
      <c r="AG1129" s="29"/>
    </row>
    <row r="1130" spans="1:33" ht="15.75" customHeight="1">
      <c r="A1130" s="32" t="s">
        <v>196</v>
      </c>
      <c r="B1130" s="33">
        <v>1155</v>
      </c>
      <c r="C1130" s="34" t="s">
        <v>6392</v>
      </c>
      <c r="D1130" s="35">
        <v>45937.882778113424</v>
      </c>
      <c r="E1130" s="43">
        <v>45937</v>
      </c>
      <c r="F1130" s="32" t="s">
        <v>6393</v>
      </c>
      <c r="G1130" s="32" t="s">
        <v>6394</v>
      </c>
      <c r="H1130" s="32" t="s">
        <v>6395</v>
      </c>
      <c r="I1130" s="36" t="s">
        <v>6396</v>
      </c>
      <c r="J1130" s="52" t="s">
        <v>6397</v>
      </c>
      <c r="K1130" s="32" t="s">
        <v>5709</v>
      </c>
      <c r="L1130" s="32" t="s">
        <v>6398</v>
      </c>
      <c r="M1130" s="32" t="s">
        <v>1773</v>
      </c>
      <c r="N1130" s="33">
        <v>5</v>
      </c>
      <c r="O1130" s="35">
        <v>45940</v>
      </c>
      <c r="P1130" s="35">
        <v>45944</v>
      </c>
      <c r="Q1130" s="37"/>
      <c r="R1130" s="38"/>
      <c r="S1130" s="33"/>
      <c r="T1130" s="39">
        <v>197000</v>
      </c>
      <c r="U1130" s="40" t="s">
        <v>61</v>
      </c>
      <c r="V1130" s="41"/>
      <c r="W1130" s="42" t="str">
        <f ca="1">IFERROR(__xludf.DUMMYFUNCTION("""COMPUTED_VALUE"""),"Jasa Bangun")</f>
        <v>Jasa Bangun</v>
      </c>
      <c r="X1130" s="42" t="str">
        <f ca="1"/>
        <v>ON-Jasa Bangun-00011900+5-6282197803231</v>
      </c>
      <c r="Y1130" s="40" t="s">
        <v>293</v>
      </c>
      <c r="Z1130" s="40" t="s">
        <v>1057</v>
      </c>
      <c r="AA1130" s="23" t="str">
        <v>https://wa.me/6282197803231</v>
      </c>
      <c r="AB1130" s="28" t="s">
        <v>6399</v>
      </c>
      <c r="AC1130" s="28"/>
      <c r="AD1130" s="28" t="s">
        <v>690</v>
      </c>
      <c r="AE1130" s="28"/>
      <c r="AF1130" s="29"/>
      <c r="AG1130" s="29"/>
    </row>
    <row r="1131" spans="1:33" ht="15.75" customHeight="1">
      <c r="A1131" s="32" t="s">
        <v>52</v>
      </c>
      <c r="B1131" s="33">
        <v>1156</v>
      </c>
      <c r="C1131" s="34" t="s">
        <v>6400</v>
      </c>
      <c r="D1131" s="35">
        <v>45937.883249733801</v>
      </c>
      <c r="E1131" s="43">
        <v>45937</v>
      </c>
      <c r="F1131" s="32" t="s">
        <v>6401</v>
      </c>
      <c r="G1131" s="32" t="s">
        <v>6402</v>
      </c>
      <c r="H1131" s="32" t="s">
        <v>6403</v>
      </c>
      <c r="I1131" s="36" t="s">
        <v>6404</v>
      </c>
      <c r="J1131" s="52"/>
      <c r="K1131" s="32" t="s">
        <v>6405</v>
      </c>
      <c r="L1131" s="32" t="s">
        <v>1250</v>
      </c>
      <c r="M1131" s="32" t="s">
        <v>60</v>
      </c>
      <c r="N1131" s="33">
        <v>5</v>
      </c>
      <c r="O1131" s="35"/>
      <c r="P1131" s="35"/>
      <c r="Q1131" s="37"/>
      <c r="R1131" s="38"/>
      <c r="S1131" s="33"/>
      <c r="T1131" s="39">
        <v>197000</v>
      </c>
      <c r="U1131" s="40" t="s">
        <v>61</v>
      </c>
      <c r="V1131" s="41"/>
      <c r="W1131" s="42" t="str">
        <f ca="1">IFERROR(__xludf.DUMMYFUNCTION("""COMPUTED_VALUE"""),"Nizam Traveling")</f>
        <v>Nizam Traveling</v>
      </c>
      <c r="X1131" s="42" t="str">
        <f ca="1"/>
        <v>ON-Nizam Traveling-00011900+5-6285361118289</v>
      </c>
      <c r="Y1131" s="40"/>
      <c r="Z1131" s="40"/>
      <c r="AA1131" s="23" t="str">
        <v>https://wa.me/6285361118289</v>
      </c>
      <c r="AB1131" s="28"/>
      <c r="AC1131" s="28"/>
      <c r="AD1131" s="28"/>
      <c r="AE1131" s="28"/>
      <c r="AF1131" s="29"/>
      <c r="AG1131" s="29"/>
    </row>
    <row r="1132" spans="1:33" ht="15.75" customHeight="1">
      <c r="A1132" s="32" t="s">
        <v>196</v>
      </c>
      <c r="B1132" s="33">
        <v>1157</v>
      </c>
      <c r="C1132" s="34" t="s">
        <v>6406</v>
      </c>
      <c r="D1132" s="35">
        <v>45938.538189398147</v>
      </c>
      <c r="E1132" s="43">
        <v>45937</v>
      </c>
      <c r="F1132" s="32" t="s">
        <v>6386</v>
      </c>
      <c r="G1132" s="32" t="s">
        <v>6387</v>
      </c>
      <c r="H1132" s="32" t="s">
        <v>6388</v>
      </c>
      <c r="I1132" s="36" t="s">
        <v>6407</v>
      </c>
      <c r="J1132" s="52"/>
      <c r="K1132" s="32" t="s">
        <v>374</v>
      </c>
      <c r="L1132" s="32" t="s">
        <v>6390</v>
      </c>
      <c r="M1132" s="32" t="s">
        <v>2032</v>
      </c>
      <c r="N1132" s="33">
        <v>10</v>
      </c>
      <c r="O1132" s="35">
        <v>45940</v>
      </c>
      <c r="P1132" s="35">
        <v>45949</v>
      </c>
      <c r="Q1132" s="37"/>
      <c r="R1132" s="38"/>
      <c r="S1132" s="33"/>
      <c r="T1132" s="39">
        <v>375000</v>
      </c>
      <c r="U1132" s="40" t="s">
        <v>61</v>
      </c>
      <c r="V1132" s="41"/>
      <c r="W1132" s="42" t="str">
        <f ca="1">IFERROR(__xludf.DUMMYFUNCTION("""COMPUTED_VALUE"""),"Kripik Tempe")</f>
        <v>Kripik Tempe</v>
      </c>
      <c r="X1132" s="42" t="str">
        <f ca="1"/>
        <v>ON-Kripik Tempe-00011900+10-6289509489308</v>
      </c>
      <c r="Y1132" s="40" t="s">
        <v>62</v>
      </c>
      <c r="Z1132" s="40" t="s">
        <v>1465</v>
      </c>
      <c r="AA1132" s="23" t="str">
        <v>https://wa.me/6289509489308</v>
      </c>
      <c r="AB1132" s="28" t="s">
        <v>6408</v>
      </c>
      <c r="AC1132" s="28"/>
      <c r="AD1132" s="28" t="s">
        <v>690</v>
      </c>
      <c r="AE1132" s="28"/>
      <c r="AF1132" s="29"/>
      <c r="AG1132" s="29"/>
    </row>
    <row r="1133" spans="1:33" ht="15.75" customHeight="1">
      <c r="A1133" s="32" t="s">
        <v>52</v>
      </c>
      <c r="B1133" s="33">
        <v>1158</v>
      </c>
      <c r="C1133" s="34" t="s">
        <v>6409</v>
      </c>
      <c r="D1133" s="35">
        <v>45938.539361053241</v>
      </c>
      <c r="E1133" s="43">
        <v>45938</v>
      </c>
      <c r="F1133" s="32" t="s">
        <v>3907</v>
      </c>
      <c r="G1133" s="32" t="s">
        <v>3908</v>
      </c>
      <c r="H1133" s="32" t="s">
        <v>3909</v>
      </c>
      <c r="I1133" s="36" t="s">
        <v>3910</v>
      </c>
      <c r="J1133" s="52"/>
      <c r="K1133" s="32" t="s">
        <v>317</v>
      </c>
      <c r="L1133" s="32" t="s">
        <v>3911</v>
      </c>
      <c r="M1133" s="32" t="s">
        <v>205</v>
      </c>
      <c r="N1133" s="33">
        <v>7</v>
      </c>
      <c r="O1133" s="35"/>
      <c r="P1133" s="35"/>
      <c r="Q1133" s="37"/>
      <c r="R1133" s="38"/>
      <c r="S1133" s="33"/>
      <c r="T1133" s="39">
        <v>225000</v>
      </c>
      <c r="U1133" s="40" t="s">
        <v>61</v>
      </c>
      <c r="V1133" s="41"/>
      <c r="W1133" s="42" t="str">
        <f ca="1">IFERROR(__xludf.DUMMYFUNCTION("""COMPUTED_VALUE"""),"Aurora Teknik")</f>
        <v>Aurora Teknik</v>
      </c>
      <c r="X1133" s="42" t="str">
        <f ca="1"/>
        <v>ON-Aurora Teknik-00011900+7-6285376667233</v>
      </c>
      <c r="Y1133" s="40"/>
      <c r="Z1133" s="40"/>
      <c r="AA1133" s="23" t="str">
        <v>https://wa.me/6285376667233</v>
      </c>
      <c r="AB1133" s="28"/>
      <c r="AC1133" s="28"/>
      <c r="AD1133" s="28"/>
      <c r="AE1133" s="28"/>
      <c r="AF1133" s="29"/>
      <c r="AG1133" s="29"/>
    </row>
    <row r="1134" spans="1:33" ht="15.75" customHeight="1">
      <c r="A1134" s="32" t="s">
        <v>52</v>
      </c>
      <c r="B1134" s="33">
        <v>1159</v>
      </c>
      <c r="C1134" s="34" t="s">
        <v>6410</v>
      </c>
      <c r="D1134" s="35">
        <v>45938.554564756945</v>
      </c>
      <c r="E1134" s="43">
        <v>45938</v>
      </c>
      <c r="F1134" s="32" t="s">
        <v>6142</v>
      </c>
      <c r="G1134" s="32" t="s">
        <v>6143</v>
      </c>
      <c r="H1134" s="32" t="s">
        <v>6144</v>
      </c>
      <c r="I1134" s="36" t="s">
        <v>6145</v>
      </c>
      <c r="J1134" s="52"/>
      <c r="K1134" s="32" t="s">
        <v>2106</v>
      </c>
      <c r="L1134" s="32" t="s">
        <v>490</v>
      </c>
      <c r="M1134" s="32" t="s">
        <v>60</v>
      </c>
      <c r="N1134" s="33">
        <v>14</v>
      </c>
      <c r="O1134" s="35"/>
      <c r="P1134" s="35"/>
      <c r="Q1134" s="37"/>
      <c r="R1134" s="38"/>
      <c r="S1134" s="33"/>
      <c r="T1134" s="39">
        <v>550000</v>
      </c>
      <c r="U1134" s="40" t="s">
        <v>61</v>
      </c>
      <c r="V1134" s="41"/>
      <c r="W1134" s="42" t="str">
        <f ca="1">IFERROR(__xludf.DUMMYFUNCTION("""COMPUTED_VALUE"""),"Hago Transport")</f>
        <v>Hago Transport</v>
      </c>
      <c r="X1134" s="42" t="str">
        <f ca="1"/>
        <v>ON-Hago Transport-00011900+14-62895405794474</v>
      </c>
      <c r="Y1134" s="40"/>
      <c r="Z1134" s="40"/>
      <c r="AA1134" s="23" t="str">
        <v>https://wa.me/62895405794474</v>
      </c>
      <c r="AB1134" s="28"/>
      <c r="AC1134" s="28"/>
      <c r="AD1134" s="28"/>
      <c r="AE1134" s="28"/>
      <c r="AF1134" s="29"/>
      <c r="AG1134" s="29"/>
    </row>
    <row r="1135" spans="1:33" ht="15.75" customHeight="1">
      <c r="A1135" s="32" t="s">
        <v>196</v>
      </c>
      <c r="B1135" s="33">
        <v>1160</v>
      </c>
      <c r="C1135" s="34" t="s">
        <v>6411</v>
      </c>
      <c r="D1135" s="35">
        <v>45938.562779178239</v>
      </c>
      <c r="E1135" s="43">
        <v>45937</v>
      </c>
      <c r="F1135" s="32" t="s">
        <v>6330</v>
      </c>
      <c r="G1135" s="32" t="s">
        <v>6412</v>
      </c>
      <c r="H1135" s="32" t="s">
        <v>6413</v>
      </c>
      <c r="I1135" s="36" t="s">
        <v>6245</v>
      </c>
      <c r="J1135" s="52"/>
      <c r="K1135" s="32" t="s">
        <v>6414</v>
      </c>
      <c r="L1135" s="32" t="s">
        <v>6333</v>
      </c>
      <c r="M1135" s="32" t="s">
        <v>60</v>
      </c>
      <c r="N1135" s="33">
        <v>5</v>
      </c>
      <c r="O1135" s="35">
        <v>45940</v>
      </c>
      <c r="P1135" s="35">
        <v>45944</v>
      </c>
      <c r="Q1135" s="37"/>
      <c r="R1135" s="38"/>
      <c r="S1135" s="33"/>
      <c r="T1135" s="39">
        <v>197000</v>
      </c>
      <c r="U1135" s="40" t="s">
        <v>61</v>
      </c>
      <c r="V1135" s="41"/>
      <c r="W1135" s="42" t="str">
        <f ca="1">IFERROR(__xludf.DUMMYFUNCTION("""COMPUTED_VALUE"""),"Rumah Komersil")</f>
        <v>Rumah Komersil</v>
      </c>
      <c r="X1135" s="42" t="str">
        <f ca="1"/>
        <v>ON-Rumah Komersil-00011900+5-6282160889408</v>
      </c>
      <c r="Y1135" s="40" t="s">
        <v>293</v>
      </c>
      <c r="Z1135" s="40" t="s">
        <v>1057</v>
      </c>
      <c r="AA1135" s="23" t="str">
        <v>https://wa.me/6282160889408</v>
      </c>
      <c r="AB1135" s="28" t="s">
        <v>6415</v>
      </c>
      <c r="AC1135" s="28"/>
      <c r="AD1135" s="28" t="s">
        <v>690</v>
      </c>
      <c r="AE1135" s="28"/>
      <c r="AF1135" s="29"/>
      <c r="AG1135" s="29"/>
    </row>
    <row r="1136" spans="1:33" ht="15.75" customHeight="1">
      <c r="A1136" s="32" t="s">
        <v>196</v>
      </c>
      <c r="B1136" s="33">
        <v>1161</v>
      </c>
      <c r="C1136" s="34" t="s">
        <v>6416</v>
      </c>
      <c r="D1136" s="35">
        <v>45938.805967280088</v>
      </c>
      <c r="E1136" s="43">
        <v>45938</v>
      </c>
      <c r="F1136" s="32" t="s">
        <v>6417</v>
      </c>
      <c r="G1136" s="32" t="s">
        <v>6418</v>
      </c>
      <c r="H1136" s="32" t="s">
        <v>6419</v>
      </c>
      <c r="I1136" s="36" t="s">
        <v>6420</v>
      </c>
      <c r="J1136" s="52"/>
      <c r="K1136" s="32" t="s">
        <v>570</v>
      </c>
      <c r="L1136" s="32" t="s">
        <v>4783</v>
      </c>
      <c r="M1136" s="32" t="s">
        <v>6421</v>
      </c>
      <c r="N1136" s="33">
        <v>5</v>
      </c>
      <c r="O1136" s="35">
        <v>45942</v>
      </c>
      <c r="P1136" s="35">
        <v>45946</v>
      </c>
      <c r="Q1136" s="37"/>
      <c r="R1136" s="38"/>
      <c r="S1136" s="33"/>
      <c r="T1136" s="39">
        <v>197000</v>
      </c>
      <c r="U1136" s="40" t="s">
        <v>1229</v>
      </c>
      <c r="V1136" s="41"/>
      <c r="W1136" s="42" t="str">
        <f ca="1">IFERROR(__xludf.DUMMYFUNCTION("""COMPUTED_VALUE"""),"Rudy jaya")</f>
        <v>Rudy jaya</v>
      </c>
      <c r="X1136" s="42" t="str">
        <f ca="1"/>
        <v>ON-Rudy jaya-00011900+5-6285280985750</v>
      </c>
      <c r="Y1136" s="40" t="s">
        <v>62</v>
      </c>
      <c r="Z1136" s="40" t="s">
        <v>277</v>
      </c>
      <c r="AA1136" s="23" t="str">
        <v>https://wa.me/6285280985750</v>
      </c>
      <c r="AB1136" s="28" t="s">
        <v>6422</v>
      </c>
      <c r="AC1136" s="28"/>
      <c r="AD1136" s="28" t="s">
        <v>690</v>
      </c>
      <c r="AE1136" s="28"/>
      <c r="AF1136" s="29"/>
      <c r="AG1136" s="29"/>
    </row>
    <row r="1137" spans="1:33" ht="15.75" customHeight="1">
      <c r="A1137" s="32" t="s">
        <v>196</v>
      </c>
      <c r="B1137" s="33">
        <v>1162</v>
      </c>
      <c r="C1137" s="34" t="s">
        <v>6423</v>
      </c>
      <c r="D1137" s="35">
        <v>45938.812164849536</v>
      </c>
      <c r="E1137" s="43">
        <v>45938</v>
      </c>
      <c r="F1137" s="32" t="s">
        <v>6424</v>
      </c>
      <c r="G1137" s="32" t="s">
        <v>6425</v>
      </c>
      <c r="H1137" s="32" t="s">
        <v>6426</v>
      </c>
      <c r="I1137" s="36" t="s">
        <v>6427</v>
      </c>
      <c r="J1137" s="52"/>
      <c r="K1137" s="32" t="s">
        <v>6428</v>
      </c>
      <c r="L1137" s="32" t="s">
        <v>4253</v>
      </c>
      <c r="M1137" s="32" t="s">
        <v>3788</v>
      </c>
      <c r="N1137" s="33">
        <v>5</v>
      </c>
      <c r="O1137" s="35">
        <v>45942</v>
      </c>
      <c r="P1137" s="35">
        <v>45946</v>
      </c>
      <c r="Q1137" s="37"/>
      <c r="R1137" s="38"/>
      <c r="S1137" s="33"/>
      <c r="T1137" s="39">
        <v>197000</v>
      </c>
      <c r="U1137" s="40" t="s">
        <v>1229</v>
      </c>
      <c r="V1137" s="41"/>
      <c r="W1137" s="42" t="str">
        <f ca="1">IFERROR(__xludf.DUMMYFUNCTION("""COMPUTED_VALUE"""),"Karya Cipta")</f>
        <v>Karya Cipta</v>
      </c>
      <c r="X1137" s="42" t="str">
        <f ca="1"/>
        <v>ON-Karya Cipta-00011900+5-6288289347121</v>
      </c>
      <c r="Y1137" s="40" t="s">
        <v>293</v>
      </c>
      <c r="Z1137" s="40" t="s">
        <v>1057</v>
      </c>
      <c r="AA1137" s="23" t="str">
        <v>https://wa.me/6288289347121</v>
      </c>
      <c r="AB1137" s="28" t="s">
        <v>6429</v>
      </c>
      <c r="AC1137" s="28"/>
      <c r="AD1137" s="28" t="s">
        <v>690</v>
      </c>
      <c r="AE1137" s="28"/>
      <c r="AF1137" s="29"/>
      <c r="AG1137" s="29"/>
    </row>
    <row r="1138" spans="1:33" ht="15.75" customHeight="1">
      <c r="A1138" s="32" t="s">
        <v>196</v>
      </c>
      <c r="B1138" s="33">
        <v>1164</v>
      </c>
      <c r="C1138" s="34" t="s">
        <v>6430</v>
      </c>
      <c r="D1138" s="35">
        <v>45938.839684409722</v>
      </c>
      <c r="E1138" s="43">
        <v>45938</v>
      </c>
      <c r="F1138" s="32" t="s">
        <v>428</v>
      </c>
      <c r="G1138" s="32" t="s">
        <v>6431</v>
      </c>
      <c r="H1138" s="32" t="s">
        <v>200</v>
      </c>
      <c r="I1138" s="36" t="s">
        <v>431</v>
      </c>
      <c r="J1138" s="52"/>
      <c r="K1138" s="32" t="s">
        <v>6432</v>
      </c>
      <c r="L1138" s="32" t="s">
        <v>3012</v>
      </c>
      <c r="M1138" s="32" t="s">
        <v>711</v>
      </c>
      <c r="N1138" s="33">
        <v>10</v>
      </c>
      <c r="O1138" s="35">
        <v>45941</v>
      </c>
      <c r="P1138" s="35">
        <v>45950</v>
      </c>
      <c r="Q1138" s="37"/>
      <c r="R1138" s="38"/>
      <c r="S1138" s="33"/>
      <c r="T1138" s="39">
        <v>375000</v>
      </c>
      <c r="U1138" s="40" t="s">
        <v>1229</v>
      </c>
      <c r="V1138" s="41"/>
      <c r="W1138" s="42" t="str">
        <f ca="1">IFERROR(__xludf.DUMMYFUNCTION("""COMPUTED_VALUE"""),"Abata Karya")</f>
        <v>Abata Karya</v>
      </c>
      <c r="X1138" s="42" t="str">
        <f ca="1"/>
        <v>ON-Abata Karya-00011900+10-6282399006447</v>
      </c>
      <c r="Y1138" s="40" t="s">
        <v>293</v>
      </c>
      <c r="Z1138" s="40" t="s">
        <v>1057</v>
      </c>
      <c r="AA1138" s="23" t="str">
        <v>https://wa.me/6282399006447</v>
      </c>
      <c r="AB1138" s="28" t="s">
        <v>6433</v>
      </c>
      <c r="AC1138" s="28"/>
      <c r="AD1138" s="28" t="s">
        <v>690</v>
      </c>
      <c r="AE1138" s="28"/>
      <c r="AF1138" s="29"/>
      <c r="AG1138" s="29"/>
    </row>
    <row r="1139" spans="1:33" ht="15.75" customHeight="1">
      <c r="A1139" s="32" t="s">
        <v>52</v>
      </c>
      <c r="B1139" s="33">
        <v>1165</v>
      </c>
      <c r="C1139" s="34" t="s">
        <v>6434</v>
      </c>
      <c r="D1139" s="35">
        <v>45939.302378437496</v>
      </c>
      <c r="E1139" s="43">
        <v>45939</v>
      </c>
      <c r="F1139" s="32" t="s">
        <v>6083</v>
      </c>
      <c r="G1139" s="32" t="s">
        <v>6084</v>
      </c>
      <c r="H1139" s="32" t="s">
        <v>6085</v>
      </c>
      <c r="I1139" s="36" t="s">
        <v>6086</v>
      </c>
      <c r="J1139" s="52"/>
      <c r="K1139" s="32" t="s">
        <v>6087</v>
      </c>
      <c r="L1139" s="32" t="s">
        <v>4068</v>
      </c>
      <c r="M1139" s="32" t="s">
        <v>60</v>
      </c>
      <c r="N1139" s="33">
        <v>10</v>
      </c>
      <c r="O1139" s="35"/>
      <c r="P1139" s="35"/>
      <c r="Q1139" s="37"/>
      <c r="R1139" s="38"/>
      <c r="S1139" s="33"/>
      <c r="T1139" s="39">
        <v>375000</v>
      </c>
      <c r="U1139" s="40" t="s">
        <v>61</v>
      </c>
      <c r="V1139" s="41"/>
      <c r="W1139" s="42" t="str">
        <f ca="1">IFERROR(__xludf.DUMMYFUNCTION("""COMPUTED_VALUE"""),"CV Mutiara")</f>
        <v>CV Mutiara</v>
      </c>
      <c r="X1139" s="42" t="str">
        <f ca="1"/>
        <v>ON-CV Mutiara-00011900+10-6285924240918</v>
      </c>
      <c r="Y1139" s="40"/>
      <c r="Z1139" s="40"/>
      <c r="AA1139" s="23" t="str">
        <v>https://wa.me/6285924240918</v>
      </c>
      <c r="AB1139" s="28"/>
      <c r="AC1139" s="28"/>
      <c r="AD1139" s="28"/>
      <c r="AE1139" s="28"/>
      <c r="AF1139" s="29"/>
      <c r="AG1139" s="29"/>
    </row>
    <row r="1140" spans="1:33" ht="15.75" customHeight="1">
      <c r="A1140" s="32" t="s">
        <v>196</v>
      </c>
      <c r="B1140" s="33">
        <v>1165</v>
      </c>
      <c r="C1140" s="34" t="s">
        <v>6434</v>
      </c>
      <c r="D1140" s="35">
        <v>45939.449227928242</v>
      </c>
      <c r="E1140" s="43">
        <v>45939</v>
      </c>
      <c r="F1140" s="32" t="s">
        <v>6435</v>
      </c>
      <c r="G1140" s="32" t="s">
        <v>6436</v>
      </c>
      <c r="H1140" s="32" t="s">
        <v>6437</v>
      </c>
      <c r="I1140" s="36" t="s">
        <v>6438</v>
      </c>
      <c r="J1140" s="52"/>
      <c r="K1140" s="32" t="s">
        <v>570</v>
      </c>
      <c r="L1140" s="32" t="s">
        <v>1643</v>
      </c>
      <c r="M1140" s="32" t="s">
        <v>60</v>
      </c>
      <c r="N1140" s="33">
        <v>5</v>
      </c>
      <c r="O1140" s="35">
        <v>45942</v>
      </c>
      <c r="P1140" s="35">
        <v>45946</v>
      </c>
      <c r="Q1140" s="37"/>
      <c r="R1140" s="38"/>
      <c r="S1140" s="33"/>
      <c r="T1140" s="39">
        <v>197000</v>
      </c>
      <c r="U1140" s="40" t="s">
        <v>61</v>
      </c>
      <c r="V1140" s="41"/>
      <c r="W1140" s="42" t="str">
        <f ca="1">IFERROR(__xludf.DUMMYFUNCTION("""COMPUTED_VALUE"""),"Prosphera Home")</f>
        <v>Prosphera Home</v>
      </c>
      <c r="X1140" s="42" t="str">
        <f ca="1"/>
        <v>ON-Prosphera Home-00011900+5-6282230860291</v>
      </c>
      <c r="Y1140" s="40" t="s">
        <v>293</v>
      </c>
      <c r="Z1140" s="40" t="s">
        <v>1057</v>
      </c>
      <c r="AA1140" s="23" t="str">
        <v>https://wa.me/6282230860291</v>
      </c>
      <c r="AB1140" s="28" t="s">
        <v>6439</v>
      </c>
      <c r="AC1140" s="28"/>
      <c r="AD1140" s="28" t="s">
        <v>690</v>
      </c>
      <c r="AE1140" s="28"/>
      <c r="AF1140" s="29"/>
      <c r="AG1140" s="29"/>
    </row>
    <row r="1141" spans="1:33" ht="15.75" customHeight="1">
      <c r="A1141" s="32" t="s">
        <v>196</v>
      </c>
      <c r="B1141" s="33">
        <v>1166</v>
      </c>
      <c r="C1141" s="34" t="s">
        <v>6440</v>
      </c>
      <c r="D1141" s="35">
        <v>45939.480632303239</v>
      </c>
      <c r="E1141" s="43">
        <v>45939</v>
      </c>
      <c r="F1141" s="32" t="s">
        <v>6441</v>
      </c>
      <c r="G1141" s="32" t="s">
        <v>6442</v>
      </c>
      <c r="H1141" s="32" t="s">
        <v>5697</v>
      </c>
      <c r="I1141" s="36" t="s">
        <v>6443</v>
      </c>
      <c r="J1141" s="52" t="s">
        <v>6444</v>
      </c>
      <c r="K1141" s="32" t="s">
        <v>4421</v>
      </c>
      <c r="L1141" s="32" t="s">
        <v>4783</v>
      </c>
      <c r="M1141" s="32" t="s">
        <v>726</v>
      </c>
      <c r="N1141" s="33">
        <v>5</v>
      </c>
      <c r="O1141" s="35">
        <v>45942</v>
      </c>
      <c r="P1141" s="35">
        <v>45946</v>
      </c>
      <c r="Q1141" s="37"/>
      <c r="R1141" s="38"/>
      <c r="S1141" s="33"/>
      <c r="T1141" s="39">
        <v>197000</v>
      </c>
      <c r="U1141" s="40" t="s">
        <v>1774</v>
      </c>
      <c r="V1141" s="41"/>
      <c r="W1141" s="42" t="str">
        <f ca="1">IFERROR(__xludf.DUMMYFUNCTION("""COMPUTED_VALUE"""),"Berkat teknik")</f>
        <v>Berkat teknik</v>
      </c>
      <c r="X1141" s="42" t="str">
        <f ca="1"/>
        <v>ON-Berkat teknik-00011900+5-6281355539323</v>
      </c>
      <c r="Y1141" s="40" t="s">
        <v>293</v>
      </c>
      <c r="Z1141" s="40" t="s">
        <v>1057</v>
      </c>
      <c r="AA1141" s="23" t="str">
        <v>https://wa.me/6281355539323</v>
      </c>
      <c r="AB1141" s="28" t="s">
        <v>6445</v>
      </c>
      <c r="AC1141" s="28"/>
      <c r="AD1141" s="28" t="s">
        <v>690</v>
      </c>
      <c r="AE1141" s="28"/>
      <c r="AF1141" s="29"/>
      <c r="AG1141" s="29"/>
    </row>
    <row r="1142" spans="1:33" ht="15.75" customHeight="1">
      <c r="A1142" s="32" t="s">
        <v>52</v>
      </c>
      <c r="B1142" s="33">
        <v>1167</v>
      </c>
      <c r="C1142" s="34" t="s">
        <v>6446</v>
      </c>
      <c r="D1142" s="35">
        <v>45939.542426712964</v>
      </c>
      <c r="E1142" s="43">
        <v>45939</v>
      </c>
      <c r="F1142" s="32" t="s">
        <v>6068</v>
      </c>
      <c r="G1142" s="32" t="s">
        <v>6069</v>
      </c>
      <c r="H1142" s="32" t="s">
        <v>409</v>
      </c>
      <c r="I1142" s="36" t="s">
        <v>6070</v>
      </c>
      <c r="J1142" s="52"/>
      <c r="K1142" s="32" t="s">
        <v>6071</v>
      </c>
      <c r="L1142" s="32" t="s">
        <v>6072</v>
      </c>
      <c r="M1142" s="32" t="s">
        <v>92</v>
      </c>
      <c r="N1142" s="33">
        <v>20</v>
      </c>
      <c r="O1142" s="35"/>
      <c r="P1142" s="35"/>
      <c r="Q1142" s="37"/>
      <c r="R1142" s="38"/>
      <c r="S1142" s="33"/>
      <c r="T1142" s="39">
        <v>700000</v>
      </c>
      <c r="U1142" s="40" t="s">
        <v>1229</v>
      </c>
      <c r="V1142" s="41"/>
      <c r="W1142" s="42" t="str">
        <f ca="1">IFERROR(__xludf.DUMMYFUNCTION("""COMPUTED_VALUE"""),"Griya bangun")</f>
        <v>Griya bangun</v>
      </c>
      <c r="X1142" s="42" t="str">
        <f ca="1"/>
        <v>ON-Griya bangun-00011900+20-6281310674130</v>
      </c>
      <c r="Y1142" s="40"/>
      <c r="Z1142" s="40"/>
      <c r="AA1142" s="23" t="str">
        <v>https://wa.me/6281310674130</v>
      </c>
      <c r="AB1142" s="28"/>
      <c r="AC1142" s="28"/>
      <c r="AD1142" s="28"/>
      <c r="AE1142" s="28"/>
      <c r="AF1142" s="29"/>
      <c r="AG1142" s="29"/>
    </row>
    <row r="1143" spans="1:33" ht="15.75" customHeight="1">
      <c r="A1143" s="32" t="s">
        <v>52</v>
      </c>
      <c r="B1143" s="33">
        <v>1168</v>
      </c>
      <c r="C1143" s="34" t="s">
        <v>6447</v>
      </c>
      <c r="D1143" s="35">
        <v>45939.954518194441</v>
      </c>
      <c r="E1143" s="43">
        <v>45939</v>
      </c>
      <c r="F1143" s="32" t="s">
        <v>3863</v>
      </c>
      <c r="G1143" s="32" t="s">
        <v>4570</v>
      </c>
      <c r="H1143" s="32" t="s">
        <v>3865</v>
      </c>
      <c r="I1143" s="36" t="s">
        <v>3866</v>
      </c>
      <c r="J1143" s="52"/>
      <c r="K1143" s="32" t="s">
        <v>3869</v>
      </c>
      <c r="L1143" s="32" t="s">
        <v>92</v>
      </c>
      <c r="M1143" s="32" t="s">
        <v>3687</v>
      </c>
      <c r="N1143" s="33">
        <v>10</v>
      </c>
      <c r="O1143" s="35"/>
      <c r="P1143" s="35"/>
      <c r="Q1143" s="37"/>
      <c r="R1143" s="38"/>
      <c r="S1143" s="33"/>
      <c r="T1143" s="39">
        <v>375000</v>
      </c>
      <c r="U1143" s="40" t="s">
        <v>1229</v>
      </c>
      <c r="V1143" s="41"/>
      <c r="W1143" s="42" t="str">
        <f ca="1">IFERROR(__xludf.DUMMYFUNCTION("""COMPUTED_VALUE"""),"BERKAH TEKNIK")</f>
        <v>BERKAH TEKNIK</v>
      </c>
      <c r="X1143" s="42" t="str">
        <f ca="1"/>
        <v>ON-BERKAH TEKNIK-00011900+10-6285748377961</v>
      </c>
      <c r="Y1143" s="40"/>
      <c r="Z1143" s="40"/>
      <c r="AA1143" s="23" t="str">
        <v>https://wa.me/6285748377961</v>
      </c>
      <c r="AB1143" s="28"/>
      <c r="AC1143" s="28"/>
      <c r="AD1143" s="28"/>
      <c r="AE1143" s="28"/>
      <c r="AF1143" s="29"/>
      <c r="AG1143" s="29"/>
    </row>
    <row r="1144" spans="1:33" ht="15.75" customHeight="1">
      <c r="A1144" s="32" t="s">
        <v>196</v>
      </c>
      <c r="B1144" s="33">
        <v>1169</v>
      </c>
      <c r="C1144" s="34" t="s">
        <v>6448</v>
      </c>
      <c r="D1144" s="43">
        <v>46043</v>
      </c>
      <c r="E1144" s="43">
        <v>45940</v>
      </c>
      <c r="F1144" s="32" t="s">
        <v>6449</v>
      </c>
      <c r="G1144" s="32" t="s">
        <v>6450</v>
      </c>
      <c r="H1144" s="32" t="s">
        <v>3535</v>
      </c>
      <c r="I1144" s="36" t="s">
        <v>3039</v>
      </c>
      <c r="J1144" s="52"/>
      <c r="K1144" s="32" t="s">
        <v>6451</v>
      </c>
      <c r="L1144" s="32" t="s">
        <v>3538</v>
      </c>
      <c r="M1144" s="32" t="s">
        <v>382</v>
      </c>
      <c r="N1144" s="33">
        <v>7</v>
      </c>
      <c r="O1144" s="35"/>
      <c r="P1144" s="35"/>
      <c r="Q1144" s="37"/>
      <c r="R1144" s="38">
        <v>-1003470351325</v>
      </c>
      <c r="S1144" s="33"/>
      <c r="T1144" s="39">
        <v>297000</v>
      </c>
      <c r="U1144" s="40" t="s">
        <v>115</v>
      </c>
      <c r="V1144" s="47">
        <v>46043.280075787035</v>
      </c>
      <c r="W1144" s="42" t="str">
        <f ca="1">IFERROR(__xludf.DUMMYFUNCTION("""COMPUTED_VALUE"""),"BANDUNG AUTO")</f>
        <v>BANDUNG AUTO</v>
      </c>
      <c r="X1144" s="42" t="str">
        <f ca="1"/>
        <v>ON-BANDUNG AUTO-21012026+7-6287790276733</v>
      </c>
      <c r="Y1144" s="40" t="s">
        <v>62</v>
      </c>
      <c r="Z1144" s="40" t="s">
        <v>294</v>
      </c>
      <c r="AA1144" s="23" t="str">
        <v>https://wa.me/6287790276733</v>
      </c>
      <c r="AB1144" s="28" t="s">
        <v>6452</v>
      </c>
      <c r="AC1144" s="28"/>
      <c r="AD1144" s="28" t="s">
        <v>690</v>
      </c>
      <c r="AE1144" s="28"/>
      <c r="AF1144" s="29"/>
      <c r="AG1144" s="29"/>
    </row>
    <row r="1145" spans="1:33" ht="15.75" customHeight="1">
      <c r="A1145" s="32" t="s">
        <v>196</v>
      </c>
      <c r="B1145" s="33">
        <v>1170</v>
      </c>
      <c r="C1145" s="34" t="s">
        <v>6453</v>
      </c>
      <c r="D1145" s="35">
        <v>45940.551641076388</v>
      </c>
      <c r="E1145" s="43">
        <v>45940</v>
      </c>
      <c r="F1145" s="32" t="s">
        <v>6454</v>
      </c>
      <c r="G1145" s="32" t="s">
        <v>6455</v>
      </c>
      <c r="H1145" s="32" t="s">
        <v>6456</v>
      </c>
      <c r="I1145" s="36" t="s">
        <v>6457</v>
      </c>
      <c r="J1145" s="52" t="s">
        <v>6458</v>
      </c>
      <c r="K1145" s="32" t="s">
        <v>6459</v>
      </c>
      <c r="L1145" s="32" t="s">
        <v>726</v>
      </c>
      <c r="M1145" s="32" t="s">
        <v>60</v>
      </c>
      <c r="N1145" s="33">
        <v>30</v>
      </c>
      <c r="O1145" s="35">
        <v>45942</v>
      </c>
      <c r="P1145" s="35">
        <v>45971</v>
      </c>
      <c r="Q1145" s="37"/>
      <c r="R1145" s="38"/>
      <c r="S1145" s="33"/>
      <c r="T1145" s="39">
        <v>1000000</v>
      </c>
      <c r="U1145" s="40" t="s">
        <v>61</v>
      </c>
      <c r="V1145" s="41"/>
      <c r="W1145" s="42" t="str">
        <f ca="1">IFERROR(__xludf.DUMMYFUNCTION("""COMPUTED_VALUE"""),"live aboard")</f>
        <v>live aboard</v>
      </c>
      <c r="X1145" s="42" t="str">
        <f ca="1"/>
        <v>ON-live aboard-00011900+30-6282396657937</v>
      </c>
      <c r="Y1145" s="40" t="s">
        <v>62</v>
      </c>
      <c r="Z1145" s="40" t="s">
        <v>1880</v>
      </c>
      <c r="AA1145" s="23" t="str">
        <v>https://wa.me/6282396657937</v>
      </c>
      <c r="AB1145" s="28" t="s">
        <v>6460</v>
      </c>
      <c r="AC1145" s="28"/>
      <c r="AD1145" s="28" t="s">
        <v>690</v>
      </c>
      <c r="AE1145" s="28"/>
      <c r="AF1145" s="29"/>
      <c r="AG1145" s="29"/>
    </row>
    <row r="1146" spans="1:33" ht="15.75" customHeight="1">
      <c r="A1146" s="32" t="s">
        <v>52</v>
      </c>
      <c r="B1146" s="33">
        <v>1171</v>
      </c>
      <c r="C1146" s="34" t="s">
        <v>6461</v>
      </c>
      <c r="D1146" s="35">
        <v>45940.689711342595</v>
      </c>
      <c r="E1146" s="43">
        <v>45932</v>
      </c>
      <c r="F1146" s="32" t="s">
        <v>6203</v>
      </c>
      <c r="G1146" s="32" t="s">
        <v>6204</v>
      </c>
      <c r="H1146" s="32" t="s">
        <v>6205</v>
      </c>
      <c r="I1146" s="36" t="s">
        <v>6206</v>
      </c>
      <c r="J1146" s="52" t="s">
        <v>6462</v>
      </c>
      <c r="K1146" s="32" t="s">
        <v>4421</v>
      </c>
      <c r="L1146" s="32" t="s">
        <v>1957</v>
      </c>
      <c r="M1146" s="32" t="s">
        <v>5643</v>
      </c>
      <c r="N1146" s="33">
        <v>10</v>
      </c>
      <c r="O1146" s="35"/>
      <c r="P1146" s="35"/>
      <c r="Q1146" s="37"/>
      <c r="R1146" s="38"/>
      <c r="S1146" s="33"/>
      <c r="T1146" s="39">
        <v>375000</v>
      </c>
      <c r="U1146" s="40" t="s">
        <v>1774</v>
      </c>
      <c r="V1146" s="41"/>
      <c r="W1146" s="42" t="str">
        <f ca="1">IFERROR(__xludf.DUMMYFUNCTION("""COMPUTED_VALUE"""),"Maju Mando")</f>
        <v>Maju Mando</v>
      </c>
      <c r="X1146" s="42" t="str">
        <f ca="1"/>
        <v>ON-Maju Mando-00011900+10-6281356480021</v>
      </c>
      <c r="Y1146" s="40"/>
      <c r="Z1146" s="40"/>
      <c r="AA1146" s="23" t="str">
        <v>https://wa.me/6281356480021</v>
      </c>
      <c r="AB1146" s="28"/>
      <c r="AC1146" s="28"/>
      <c r="AD1146" s="28"/>
      <c r="AE1146" s="28"/>
      <c r="AF1146" s="29"/>
      <c r="AG1146" s="29"/>
    </row>
    <row r="1147" spans="1:33" ht="15.75" customHeight="1">
      <c r="A1147" s="32" t="s">
        <v>52</v>
      </c>
      <c r="B1147" s="33">
        <v>1172</v>
      </c>
      <c r="C1147" s="34" t="s">
        <v>6463</v>
      </c>
      <c r="D1147" s="35">
        <v>45940.690175104166</v>
      </c>
      <c r="E1147" s="43">
        <v>45940</v>
      </c>
      <c r="F1147" s="32" t="s">
        <v>6203</v>
      </c>
      <c r="G1147" s="32" t="s">
        <v>6464</v>
      </c>
      <c r="H1147" s="32" t="s">
        <v>6205</v>
      </c>
      <c r="I1147" s="36" t="s">
        <v>6206</v>
      </c>
      <c r="J1147" s="52" t="s">
        <v>6462</v>
      </c>
      <c r="K1147" s="32" t="s">
        <v>4421</v>
      </c>
      <c r="L1147" s="32" t="s">
        <v>1957</v>
      </c>
      <c r="M1147" s="32" t="s">
        <v>5643</v>
      </c>
      <c r="N1147" s="33">
        <v>10</v>
      </c>
      <c r="O1147" s="35"/>
      <c r="P1147" s="35"/>
      <c r="Q1147" s="37"/>
      <c r="R1147" s="38"/>
      <c r="S1147" s="33"/>
      <c r="T1147" s="39">
        <v>375000</v>
      </c>
      <c r="U1147" s="40" t="s">
        <v>1774</v>
      </c>
      <c r="V1147" s="41"/>
      <c r="W1147" s="42" t="str">
        <f ca="1">IFERROR(__xludf.DUMMYFUNCTION("""COMPUTED_VALUE"""),"Maju Manado")</f>
        <v>Maju Manado</v>
      </c>
      <c r="X1147" s="42" t="str">
        <f ca="1"/>
        <v>ON-Maju Manado-00011900+10-6281356480021</v>
      </c>
      <c r="Y1147" s="40"/>
      <c r="Z1147" s="40"/>
      <c r="AA1147" s="23" t="str">
        <v>https://wa.me/6281356480021</v>
      </c>
      <c r="AB1147" s="28"/>
      <c r="AC1147" s="28"/>
      <c r="AD1147" s="28"/>
      <c r="AE1147" s="28"/>
      <c r="AF1147" s="29"/>
      <c r="AG1147" s="29"/>
    </row>
    <row r="1148" spans="1:33" ht="15.75" customHeight="1">
      <c r="A1148" s="32" t="s">
        <v>196</v>
      </c>
      <c r="B1148" s="33">
        <v>1173</v>
      </c>
      <c r="C1148" s="34" t="s">
        <v>6465</v>
      </c>
      <c r="D1148" s="35">
        <v>45940.693085034727</v>
      </c>
      <c r="E1148" s="43">
        <v>45940</v>
      </c>
      <c r="F1148" s="32" t="s">
        <v>6466</v>
      </c>
      <c r="G1148" s="32" t="s">
        <v>6467</v>
      </c>
      <c r="H1148" s="32" t="s">
        <v>6468</v>
      </c>
      <c r="I1148" s="36" t="s">
        <v>6469</v>
      </c>
      <c r="J1148" s="52"/>
      <c r="K1148" s="32" t="s">
        <v>6470</v>
      </c>
      <c r="L1148" s="32" t="s">
        <v>6471</v>
      </c>
      <c r="M1148" s="32" t="s">
        <v>2424</v>
      </c>
      <c r="N1148" s="33">
        <v>5</v>
      </c>
      <c r="O1148" s="35">
        <v>45944</v>
      </c>
      <c r="P1148" s="35">
        <v>45948</v>
      </c>
      <c r="Q1148" s="37"/>
      <c r="R1148" s="38"/>
      <c r="S1148" s="33"/>
      <c r="T1148" s="39">
        <v>197000</v>
      </c>
      <c r="U1148" s="40"/>
      <c r="V1148" s="41"/>
      <c r="W1148" s="42" t="str">
        <f ca="1">IFERROR(__xludf.DUMMYFUNCTION("""COMPUTED_VALUE"""),"Es kulkas")</f>
        <v>Es kulkas</v>
      </c>
      <c r="X1148" s="42" t="str">
        <f ca="1"/>
        <v>ON-Es kulkas-00011900+5-6281234383696</v>
      </c>
      <c r="Y1148" s="40" t="s">
        <v>62</v>
      </c>
      <c r="Z1148" s="40" t="s">
        <v>3620</v>
      </c>
      <c r="AA1148" s="23" t="str">
        <v>https://wa.me/6281234383696</v>
      </c>
      <c r="AB1148" s="28" t="s">
        <v>6472</v>
      </c>
      <c r="AC1148" s="28"/>
      <c r="AD1148" s="28" t="s">
        <v>690</v>
      </c>
      <c r="AE1148" s="28"/>
      <c r="AF1148" s="29"/>
      <c r="AG1148" s="29"/>
    </row>
    <row r="1149" spans="1:33" ht="15.75" customHeight="1">
      <c r="A1149" s="32" t="s">
        <v>52</v>
      </c>
      <c r="B1149" s="33">
        <v>1174</v>
      </c>
      <c r="C1149" s="34" t="s">
        <v>6473</v>
      </c>
      <c r="D1149" s="35">
        <v>45940.694332870371</v>
      </c>
      <c r="E1149" s="43">
        <v>45940</v>
      </c>
      <c r="F1149" s="32" t="s">
        <v>4696</v>
      </c>
      <c r="G1149" s="32" t="s">
        <v>4697</v>
      </c>
      <c r="H1149" s="32" t="s">
        <v>4698</v>
      </c>
      <c r="I1149" s="36" t="s">
        <v>2539</v>
      </c>
      <c r="J1149" s="52"/>
      <c r="K1149" s="32" t="s">
        <v>3222</v>
      </c>
      <c r="L1149" s="32" t="s">
        <v>2408</v>
      </c>
      <c r="M1149" s="32" t="s">
        <v>60</v>
      </c>
      <c r="N1149" s="33">
        <v>30</v>
      </c>
      <c r="O1149" s="35"/>
      <c r="P1149" s="35"/>
      <c r="Q1149" s="37"/>
      <c r="R1149" s="38"/>
      <c r="S1149" s="33"/>
      <c r="T1149" s="39">
        <v>1000000</v>
      </c>
      <c r="U1149" s="40" t="s">
        <v>61</v>
      </c>
      <c r="V1149" s="41"/>
      <c r="W1149" s="42" t="str">
        <f ca="1">IFERROR(__xludf.DUMMYFUNCTION("""COMPUTED_VALUE"""),"Bengkel Las")</f>
        <v>Bengkel Las</v>
      </c>
      <c r="X1149" s="42" t="str">
        <f ca="1"/>
        <v>ON-Bengkel Las-00011900+30-6281385001244</v>
      </c>
      <c r="Y1149" s="40"/>
      <c r="Z1149" s="40"/>
      <c r="AA1149" s="23" t="str">
        <v>https://wa.me/6281385001244</v>
      </c>
      <c r="AB1149" s="28"/>
      <c r="AC1149" s="28"/>
      <c r="AD1149" s="28"/>
      <c r="AE1149" s="28"/>
      <c r="AF1149" s="29"/>
      <c r="AG1149" s="29"/>
    </row>
    <row r="1150" spans="1:33" ht="15.75" customHeight="1">
      <c r="A1150" s="32" t="s">
        <v>196</v>
      </c>
      <c r="B1150" s="33">
        <v>1176</v>
      </c>
      <c r="C1150" s="34" t="s">
        <v>6474</v>
      </c>
      <c r="D1150" s="35">
        <v>45940.874791319446</v>
      </c>
      <c r="E1150" s="43">
        <v>45940</v>
      </c>
      <c r="F1150" s="32" t="s">
        <v>3496</v>
      </c>
      <c r="G1150" s="32" t="s">
        <v>6475</v>
      </c>
      <c r="H1150" s="32" t="s">
        <v>1030</v>
      </c>
      <c r="I1150" s="36" t="s">
        <v>3498</v>
      </c>
      <c r="J1150" s="52"/>
      <c r="K1150" s="32" t="s">
        <v>3499</v>
      </c>
      <c r="L1150" s="32" t="s">
        <v>77</v>
      </c>
      <c r="M1150" s="32" t="s">
        <v>249</v>
      </c>
      <c r="N1150" s="33">
        <v>10</v>
      </c>
      <c r="O1150" s="35">
        <v>45943</v>
      </c>
      <c r="P1150" s="35">
        <v>45952</v>
      </c>
      <c r="Q1150" s="37"/>
      <c r="R1150" s="38"/>
      <c r="S1150" s="33"/>
      <c r="T1150" s="39">
        <v>375000</v>
      </c>
      <c r="U1150" s="40" t="s">
        <v>1229</v>
      </c>
      <c r="V1150" s="41"/>
      <c r="W1150" s="42" t="str">
        <f ca="1">IFERROR(__xludf.DUMMYFUNCTION("""COMPUTED_VALUE"""),"Rumah Terapi")</f>
        <v>Rumah Terapi</v>
      </c>
      <c r="X1150" s="42" t="str">
        <f ca="1"/>
        <v>ON-Rumah Terapi-00011900+10-6282245454940</v>
      </c>
      <c r="Y1150" s="40" t="s">
        <v>62</v>
      </c>
      <c r="Z1150" s="40" t="s">
        <v>639</v>
      </c>
      <c r="AA1150" s="23" t="str">
        <v>https://wa.me/6282245454940</v>
      </c>
      <c r="AB1150" s="28" t="s">
        <v>6476</v>
      </c>
      <c r="AC1150" s="28"/>
      <c r="AD1150" s="28" t="s">
        <v>690</v>
      </c>
      <c r="AE1150" s="28"/>
      <c r="AF1150" s="29"/>
      <c r="AG1150" s="29"/>
    </row>
    <row r="1151" spans="1:33" ht="15.75" customHeight="1">
      <c r="A1151" s="32" t="s">
        <v>196</v>
      </c>
      <c r="B1151" s="33">
        <v>1176</v>
      </c>
      <c r="C1151" s="34" t="s">
        <v>6474</v>
      </c>
      <c r="D1151" s="35">
        <v>45941.49482177083</v>
      </c>
      <c r="E1151" s="43">
        <v>45941</v>
      </c>
      <c r="F1151" s="32" t="s">
        <v>6477</v>
      </c>
      <c r="G1151" s="32" t="s">
        <v>6478</v>
      </c>
      <c r="H1151" s="32" t="s">
        <v>6479</v>
      </c>
      <c r="I1151" s="36" t="s">
        <v>6480</v>
      </c>
      <c r="J1151" s="52" t="s">
        <v>6481</v>
      </c>
      <c r="K1151" s="32" t="s">
        <v>3619</v>
      </c>
      <c r="L1151" s="32" t="s">
        <v>5294</v>
      </c>
      <c r="M1151" s="32" t="s">
        <v>5643</v>
      </c>
      <c r="N1151" s="33">
        <v>5</v>
      </c>
      <c r="O1151" s="35">
        <v>45945</v>
      </c>
      <c r="P1151" s="35">
        <v>45949</v>
      </c>
      <c r="Q1151" s="37"/>
      <c r="R1151" s="38"/>
      <c r="S1151" s="33"/>
      <c r="T1151" s="39">
        <v>197000</v>
      </c>
      <c r="U1151" s="40" t="s">
        <v>1774</v>
      </c>
      <c r="V1151" s="41"/>
      <c r="W1151" s="42" t="str">
        <f ca="1">IFERROR(__xludf.DUMMYFUNCTION("""COMPUTED_VALUE"""),"Rumah Terapi")</f>
        <v>Rumah Terapi</v>
      </c>
      <c r="X1151" s="42" t="str">
        <f ca="1"/>
        <v>ON-Rumah Terapi-00011900+5-6285850248298</v>
      </c>
      <c r="Y1151" s="40" t="s">
        <v>62</v>
      </c>
      <c r="Z1151" s="40" t="s">
        <v>639</v>
      </c>
      <c r="AA1151" s="23" t="str">
        <v>https://wa.me/6285850248298</v>
      </c>
      <c r="AB1151" s="28" t="s">
        <v>6482</v>
      </c>
      <c r="AC1151" s="28"/>
      <c r="AD1151" s="28" t="s">
        <v>690</v>
      </c>
      <c r="AE1151" s="28"/>
      <c r="AF1151" s="29"/>
      <c r="AG1151" s="29"/>
    </row>
    <row r="1152" spans="1:33" ht="15.75" customHeight="1">
      <c r="A1152" s="32" t="s">
        <v>33</v>
      </c>
      <c r="B1152" s="33">
        <v>1177</v>
      </c>
      <c r="C1152" s="34" t="s">
        <v>6483</v>
      </c>
      <c r="D1152" s="35">
        <v>45941.504323356479</v>
      </c>
      <c r="E1152" s="43">
        <v>45941</v>
      </c>
      <c r="F1152" s="32" t="s">
        <v>4176</v>
      </c>
      <c r="G1152" s="32" t="s">
        <v>6484</v>
      </c>
      <c r="H1152" s="32" t="s">
        <v>6485</v>
      </c>
      <c r="I1152" s="36" t="s">
        <v>6486</v>
      </c>
      <c r="J1152" s="52" t="s">
        <v>6487</v>
      </c>
      <c r="K1152" s="32" t="s">
        <v>6488</v>
      </c>
      <c r="L1152" s="32" t="s">
        <v>6489</v>
      </c>
      <c r="M1152" s="32" t="s">
        <v>48</v>
      </c>
      <c r="N1152" s="33">
        <v>30</v>
      </c>
      <c r="O1152" s="35"/>
      <c r="P1152" s="35"/>
      <c r="Q1152" s="37"/>
      <c r="R1152" s="38"/>
      <c r="S1152" s="33"/>
      <c r="T1152" s="39">
        <v>1000000</v>
      </c>
      <c r="U1152" s="40" t="s">
        <v>1774</v>
      </c>
      <c r="V1152" s="41"/>
      <c r="W1152" s="42" t="str">
        <f ca="1">IFERROR(__xludf.DUMMYFUNCTION("""COMPUTED_VALUE"""),"Kanopi Karawang")</f>
        <v>Kanopi Karawang</v>
      </c>
      <c r="X1152" s="42" t="str">
        <f ca="1"/>
        <v>ON-Kanopi Karawang-00011900+30-628118055948</v>
      </c>
      <c r="Y1152" s="40"/>
      <c r="Z1152" s="40"/>
      <c r="AA1152" s="23" t="str">
        <v>https://wa.me/628118055948</v>
      </c>
      <c r="AB1152" s="28"/>
      <c r="AC1152" s="28"/>
      <c r="AD1152" s="28"/>
      <c r="AE1152" s="28"/>
      <c r="AF1152" s="29"/>
      <c r="AG1152" s="29"/>
    </row>
    <row r="1153" spans="1:33" ht="15.75" customHeight="1">
      <c r="A1153" s="32" t="s">
        <v>52</v>
      </c>
      <c r="B1153" s="33">
        <v>1178</v>
      </c>
      <c r="C1153" s="34" t="s">
        <v>6490</v>
      </c>
      <c r="D1153" s="35">
        <v>45941.507706793986</v>
      </c>
      <c r="E1153" s="43">
        <v>45941</v>
      </c>
      <c r="F1153" s="32" t="s">
        <v>1350</v>
      </c>
      <c r="G1153" s="32" t="s">
        <v>1351</v>
      </c>
      <c r="H1153" s="32" t="s">
        <v>2056</v>
      </c>
      <c r="I1153" s="36" t="s">
        <v>3754</v>
      </c>
      <c r="J1153" s="52" t="s">
        <v>2057</v>
      </c>
      <c r="K1153" s="32" t="s">
        <v>1355</v>
      </c>
      <c r="L1153" s="32" t="s">
        <v>1356</v>
      </c>
      <c r="M1153" s="32" t="s">
        <v>60</v>
      </c>
      <c r="N1153" s="33">
        <v>10</v>
      </c>
      <c r="O1153" s="35"/>
      <c r="P1153" s="35"/>
      <c r="Q1153" s="37"/>
      <c r="R1153" s="38"/>
      <c r="S1153" s="33"/>
      <c r="T1153" s="39">
        <v>375000</v>
      </c>
      <c r="U1153" s="40" t="s">
        <v>61</v>
      </c>
      <c r="V1153" s="41"/>
      <c r="W1153" s="42" t="str">
        <f ca="1">IFERROR(__xludf.DUMMYFUNCTION("""COMPUTED_VALUE"""),"Putra Bakti")</f>
        <v>Putra Bakti</v>
      </c>
      <c r="X1153" s="42" t="str">
        <f ca="1"/>
        <v>ON-Putra Bakti-00011900+10-6285668750426</v>
      </c>
      <c r="Y1153" s="40"/>
      <c r="Z1153" s="40"/>
      <c r="AA1153" s="23" t="str">
        <v>https://wa.me/6285668750426</v>
      </c>
      <c r="AB1153" s="28"/>
      <c r="AC1153" s="28"/>
      <c r="AD1153" s="28"/>
      <c r="AE1153" s="28"/>
      <c r="AF1153" s="29"/>
      <c r="AG1153" s="29"/>
    </row>
    <row r="1154" spans="1:33" ht="15.75" customHeight="1">
      <c r="A1154" s="32" t="s">
        <v>196</v>
      </c>
      <c r="B1154" s="33">
        <v>1179</v>
      </c>
      <c r="C1154" s="34" t="s">
        <v>6491</v>
      </c>
      <c r="D1154" s="33" t="s">
        <v>6492</v>
      </c>
      <c r="E1154" s="43">
        <v>45941</v>
      </c>
      <c r="F1154" s="32" t="s">
        <v>6493</v>
      </c>
      <c r="G1154" s="32" t="s">
        <v>6494</v>
      </c>
      <c r="H1154" s="32" t="s">
        <v>409</v>
      </c>
      <c r="I1154" s="36" t="s">
        <v>6495</v>
      </c>
      <c r="J1154" s="52"/>
      <c r="K1154" s="32" t="s">
        <v>6496</v>
      </c>
      <c r="L1154" s="32" t="s">
        <v>2780</v>
      </c>
      <c r="M1154" s="32" t="s">
        <v>60</v>
      </c>
      <c r="N1154" s="33">
        <v>10</v>
      </c>
      <c r="O1154" s="35"/>
      <c r="P1154" s="35"/>
      <c r="Q1154" s="37"/>
      <c r="R1154" s="38">
        <v>-1003470351325</v>
      </c>
      <c r="S1154" s="33"/>
      <c r="T1154" s="39">
        <v>375000</v>
      </c>
      <c r="U1154" s="40" t="s">
        <v>61</v>
      </c>
      <c r="V1154" s="47">
        <v>45987.517369097222</v>
      </c>
      <c r="W1154" s="42" t="str">
        <f ca="1">IFERROR(__xludf.DUMMYFUNCTION("""COMPUTED_VALUE"""),"Jasa Bangun")</f>
        <v>Jasa Bangun</v>
      </c>
      <c r="X1154" s="42" t="str">
        <f ca="1"/>
        <v>ON-Jasa Bangun-26112025+10-6282119195533</v>
      </c>
      <c r="Y1154" s="40" t="s">
        <v>293</v>
      </c>
      <c r="Z1154" s="40" t="s">
        <v>1057</v>
      </c>
      <c r="AA1154" s="23" t="str">
        <v>https://wa.me/6282119195533</v>
      </c>
      <c r="AB1154" s="28" t="s">
        <v>6497</v>
      </c>
      <c r="AC1154" s="28"/>
      <c r="AD1154" s="28" t="s">
        <v>690</v>
      </c>
      <c r="AE1154" s="28"/>
      <c r="AF1154" s="29"/>
      <c r="AG1154" s="29"/>
    </row>
    <row r="1155" spans="1:33" ht="15.75" customHeight="1">
      <c r="A1155" s="32" t="s">
        <v>196</v>
      </c>
      <c r="B1155" s="33">
        <v>1180</v>
      </c>
      <c r="C1155" s="34" t="s">
        <v>6498</v>
      </c>
      <c r="D1155" s="33" t="s">
        <v>6499</v>
      </c>
      <c r="E1155" s="43">
        <v>45941</v>
      </c>
      <c r="F1155" s="32" t="s">
        <v>6386</v>
      </c>
      <c r="G1155" s="32" t="s">
        <v>6500</v>
      </c>
      <c r="H1155" s="32" t="s">
        <v>6501</v>
      </c>
      <c r="I1155" s="36" t="s">
        <v>6407</v>
      </c>
      <c r="J1155" s="52"/>
      <c r="K1155" s="32" t="s">
        <v>6502</v>
      </c>
      <c r="L1155" s="32" t="s">
        <v>85</v>
      </c>
      <c r="M1155" s="32" t="s">
        <v>60</v>
      </c>
      <c r="N1155" s="33">
        <v>30</v>
      </c>
      <c r="O1155" s="35"/>
      <c r="P1155" s="35"/>
      <c r="Q1155" s="37"/>
      <c r="R1155" s="38">
        <v>-1003470351325</v>
      </c>
      <c r="S1155" s="33"/>
      <c r="T1155" s="39">
        <v>1000000</v>
      </c>
      <c r="U1155" s="40" t="s">
        <v>61</v>
      </c>
      <c r="V1155" s="47">
        <v>46001.221525902773</v>
      </c>
      <c r="W1155" s="42" t="str">
        <f ca="1">IFERROR(__xludf.DUMMYFUNCTION("""COMPUTED_VALUE"""),"Cipta Jaya")</f>
        <v>Cipta Jaya</v>
      </c>
      <c r="X1155" s="42" t="str">
        <f ca="1"/>
        <v>ON-Cipta Jaya-10122025+30-6289509489308</v>
      </c>
      <c r="Y1155" s="40" t="s">
        <v>293</v>
      </c>
      <c r="Z1155" s="40" t="s">
        <v>1057</v>
      </c>
      <c r="AA1155" s="23" t="str">
        <v>https://wa.me/6289509489308</v>
      </c>
      <c r="AB1155" s="28" t="s">
        <v>6503</v>
      </c>
      <c r="AC1155" s="28"/>
      <c r="AD1155" s="28" t="s">
        <v>690</v>
      </c>
      <c r="AE1155" s="28"/>
      <c r="AF1155" s="29"/>
      <c r="AG1155" s="29"/>
    </row>
    <row r="1156" spans="1:33" ht="15.75" customHeight="1">
      <c r="A1156" s="32" t="s">
        <v>52</v>
      </c>
      <c r="B1156" s="33">
        <v>1181</v>
      </c>
      <c r="C1156" s="34" t="s">
        <v>6504</v>
      </c>
      <c r="D1156" s="35">
        <v>45942.348056712959</v>
      </c>
      <c r="E1156" s="43">
        <v>45942</v>
      </c>
      <c r="F1156" s="32" t="s">
        <v>3856</v>
      </c>
      <c r="G1156" s="32" t="s">
        <v>6505</v>
      </c>
      <c r="H1156" s="32" t="s">
        <v>3858</v>
      </c>
      <c r="I1156" s="36" t="s">
        <v>3859</v>
      </c>
      <c r="J1156" s="52" t="s">
        <v>6506</v>
      </c>
      <c r="K1156" s="32" t="s">
        <v>3860</v>
      </c>
      <c r="L1156" s="32" t="s">
        <v>3558</v>
      </c>
      <c r="M1156" s="32" t="s">
        <v>249</v>
      </c>
      <c r="N1156" s="33">
        <v>5</v>
      </c>
      <c r="O1156" s="35"/>
      <c r="P1156" s="35"/>
      <c r="Q1156" s="37"/>
      <c r="R1156" s="38"/>
      <c r="S1156" s="33"/>
      <c r="T1156" s="39">
        <v>197000</v>
      </c>
      <c r="U1156" s="40" t="s">
        <v>1774</v>
      </c>
      <c r="V1156" s="41"/>
      <c r="W1156" s="42" t="str">
        <f ca="1">IFERROR(__xludf.DUMMYFUNCTION("""COMPUTED_VALUE"""),"Bali times")</f>
        <v>Bali times</v>
      </c>
      <c r="X1156" s="42" t="str">
        <f ca="1"/>
        <v>ON-Bali times-00011900+5-6287886480138</v>
      </c>
      <c r="Y1156" s="40"/>
      <c r="Z1156" s="40"/>
      <c r="AA1156" s="23" t="str">
        <v>https://wa.me/6287886480138</v>
      </c>
      <c r="AB1156" s="28"/>
      <c r="AC1156" s="28"/>
      <c r="AD1156" s="28"/>
      <c r="AE1156" s="28"/>
      <c r="AF1156" s="29"/>
      <c r="AG1156" s="29"/>
    </row>
    <row r="1157" spans="1:33" ht="15.75" customHeight="1">
      <c r="A1157" s="32" t="s">
        <v>196</v>
      </c>
      <c r="B1157" s="33">
        <v>1182</v>
      </c>
      <c r="C1157" s="34" t="s">
        <v>6507</v>
      </c>
      <c r="D1157" s="35">
        <v>45942.552646249998</v>
      </c>
      <c r="E1157" s="43">
        <v>45942</v>
      </c>
      <c r="F1157" s="32" t="s">
        <v>4299</v>
      </c>
      <c r="G1157" s="32" t="s">
        <v>6508</v>
      </c>
      <c r="H1157" s="32" t="s">
        <v>789</v>
      </c>
      <c r="I1157" s="36" t="s">
        <v>5489</v>
      </c>
      <c r="J1157" s="52" t="s">
        <v>6509</v>
      </c>
      <c r="K1157" s="32" t="s">
        <v>5491</v>
      </c>
      <c r="L1157" s="32" t="s">
        <v>1957</v>
      </c>
      <c r="M1157" s="32" t="s">
        <v>5492</v>
      </c>
      <c r="N1157" s="33">
        <v>10</v>
      </c>
      <c r="O1157" s="35">
        <v>45944</v>
      </c>
      <c r="P1157" s="35">
        <v>45953</v>
      </c>
      <c r="Q1157" s="37"/>
      <c r="R1157" s="38"/>
      <c r="S1157" s="33"/>
      <c r="T1157" s="39">
        <v>285000</v>
      </c>
      <c r="U1157" s="40" t="s">
        <v>1774</v>
      </c>
      <c r="V1157" s="41"/>
      <c r="W1157" s="42" t="str">
        <f ca="1">IFERROR(__xludf.DUMMYFUNCTION("""COMPUTED_VALUE"""),"Fairuz Abadi")</f>
        <v>Fairuz Abadi</v>
      </c>
      <c r="X1157" s="42" t="str">
        <f ca="1"/>
        <v>ON-Fairuz Abadi-00011900+10-6285792806011</v>
      </c>
      <c r="Y1157" s="40" t="s">
        <v>293</v>
      </c>
      <c r="Z1157" s="40" t="s">
        <v>1057</v>
      </c>
      <c r="AA1157" s="23" t="str">
        <v>https://wa.me/6285792806011</v>
      </c>
      <c r="AB1157" s="28" t="s">
        <v>6510</v>
      </c>
      <c r="AC1157" s="28"/>
      <c r="AD1157" s="28" t="s">
        <v>690</v>
      </c>
      <c r="AE1157" s="28"/>
      <c r="AF1157" s="29"/>
      <c r="AG1157" s="29"/>
    </row>
    <row r="1158" spans="1:33" ht="15.75" customHeight="1">
      <c r="A1158" s="32" t="s">
        <v>52</v>
      </c>
      <c r="B1158" s="33">
        <v>1183</v>
      </c>
      <c r="C1158" s="34" t="s">
        <v>6511</v>
      </c>
      <c r="D1158" s="35">
        <v>45942.731863425928</v>
      </c>
      <c r="E1158" s="43">
        <v>45942</v>
      </c>
      <c r="F1158" s="32" t="s">
        <v>642</v>
      </c>
      <c r="G1158" s="32" t="s">
        <v>643</v>
      </c>
      <c r="H1158" s="32" t="s">
        <v>644</v>
      </c>
      <c r="I1158" s="36" t="s">
        <v>645</v>
      </c>
      <c r="J1158" s="52" t="s">
        <v>1457</v>
      </c>
      <c r="K1158" s="32" t="s">
        <v>646</v>
      </c>
      <c r="L1158" s="32" t="s">
        <v>647</v>
      </c>
      <c r="M1158" s="32" t="s">
        <v>382</v>
      </c>
      <c r="N1158" s="33">
        <v>14</v>
      </c>
      <c r="O1158" s="35"/>
      <c r="P1158" s="35"/>
      <c r="Q1158" s="37"/>
      <c r="R1158" s="38"/>
      <c r="S1158" s="33"/>
      <c r="T1158" s="39">
        <v>550000</v>
      </c>
      <c r="U1158" s="40" t="s">
        <v>115</v>
      </c>
      <c r="V1158" s="41"/>
      <c r="W1158" s="42" t="str">
        <f ca="1">IFERROR(__xludf.DUMMYFUNCTION("""COMPUTED_VALUE"""),"CV Fajar")</f>
        <v>CV Fajar</v>
      </c>
      <c r="X1158" s="42" t="str">
        <f ca="1"/>
        <v>ON-CV Fajar-00011900+14-6281338789995</v>
      </c>
      <c r="Y1158" s="40"/>
      <c r="Z1158" s="40"/>
      <c r="AA1158" s="23" t="str">
        <v>https://wa.me/6281338789995</v>
      </c>
      <c r="AB1158" s="28"/>
      <c r="AC1158" s="28"/>
      <c r="AD1158" s="28"/>
      <c r="AE1158" s="28"/>
      <c r="AF1158" s="29"/>
      <c r="AG1158" s="29"/>
    </row>
    <row r="1159" spans="1:33" ht="15.75" customHeight="1">
      <c r="A1159" s="32" t="s">
        <v>52</v>
      </c>
      <c r="B1159" s="33">
        <v>1184</v>
      </c>
      <c r="C1159" s="34" t="s">
        <v>6512</v>
      </c>
      <c r="D1159" s="35">
        <v>45943.372056527776</v>
      </c>
      <c r="E1159" s="43">
        <v>45943</v>
      </c>
      <c r="F1159" s="32" t="s">
        <v>2479</v>
      </c>
      <c r="G1159" s="32" t="s">
        <v>2480</v>
      </c>
      <c r="H1159" s="32" t="s">
        <v>2481</v>
      </c>
      <c r="I1159" s="36" t="s">
        <v>2482</v>
      </c>
      <c r="J1159" s="52"/>
      <c r="K1159" s="32" t="s">
        <v>2483</v>
      </c>
      <c r="L1159" s="32" t="s">
        <v>1628</v>
      </c>
      <c r="M1159" s="32" t="s">
        <v>60</v>
      </c>
      <c r="N1159" s="33">
        <v>10</v>
      </c>
      <c r="O1159" s="35"/>
      <c r="P1159" s="35"/>
      <c r="Q1159" s="37"/>
      <c r="R1159" s="38"/>
      <c r="S1159" s="33"/>
      <c r="T1159" s="39">
        <v>375000</v>
      </c>
      <c r="U1159" s="40" t="s">
        <v>115</v>
      </c>
      <c r="V1159" s="41"/>
      <c r="W1159" s="42" t="str">
        <f ca="1">IFERROR(__xludf.DUMMYFUNCTION("""COMPUTED_VALUE"""),"AURIGA KONTRAKTOR")</f>
        <v>AURIGA KONTRAKTOR</v>
      </c>
      <c r="X1159" s="42" t="str">
        <f ca="1"/>
        <v>ON-AURIGA KONTRAKTOR-00011900+10-6287856230745</v>
      </c>
      <c r="Y1159" s="40"/>
      <c r="Z1159" s="40"/>
      <c r="AA1159" s="23" t="str">
        <v>https://wa.me/6287856230745</v>
      </c>
      <c r="AB1159" s="28"/>
      <c r="AC1159" s="28"/>
      <c r="AD1159" s="28"/>
      <c r="AE1159" s="28"/>
      <c r="AF1159" s="29"/>
      <c r="AG1159" s="29"/>
    </row>
    <row r="1160" spans="1:33" ht="15.75" customHeight="1">
      <c r="A1160" s="32" t="s">
        <v>52</v>
      </c>
      <c r="B1160" s="33">
        <v>1185</v>
      </c>
      <c r="C1160" s="34" t="s">
        <v>6513</v>
      </c>
      <c r="D1160" s="35">
        <v>45943.466268703705</v>
      </c>
      <c r="E1160" s="43">
        <v>45943</v>
      </c>
      <c r="F1160" s="32" t="s">
        <v>5064</v>
      </c>
      <c r="G1160" s="32" t="s">
        <v>5065</v>
      </c>
      <c r="H1160" s="32" t="s">
        <v>5066</v>
      </c>
      <c r="I1160" s="36" t="s">
        <v>5067</v>
      </c>
      <c r="J1160" s="52"/>
      <c r="K1160" s="32" t="s">
        <v>5068</v>
      </c>
      <c r="L1160" s="32" t="s">
        <v>92</v>
      </c>
      <c r="M1160" s="32" t="s">
        <v>92</v>
      </c>
      <c r="N1160" s="33">
        <v>10</v>
      </c>
      <c r="O1160" s="35"/>
      <c r="P1160" s="35"/>
      <c r="Q1160" s="37"/>
      <c r="R1160" s="38"/>
      <c r="S1160" s="33"/>
      <c r="T1160" s="39">
        <v>375000</v>
      </c>
      <c r="U1160" s="40" t="s">
        <v>1229</v>
      </c>
      <c r="V1160" s="41"/>
      <c r="W1160" s="42" t="str">
        <f ca="1">IFERROR(__xludf.DUMMYFUNCTION("""COMPUTED_VALUE"""),"Totok saraf")</f>
        <v>Totok saraf</v>
      </c>
      <c r="X1160" s="42" t="str">
        <f ca="1"/>
        <v>ON-Totok saraf-00011900+10-6285341061917</v>
      </c>
      <c r="Y1160" s="40"/>
      <c r="Z1160" s="40"/>
      <c r="AA1160" s="23" t="str">
        <v>https://wa.me/6285341061917</v>
      </c>
      <c r="AB1160" s="28"/>
      <c r="AC1160" s="28"/>
      <c r="AD1160" s="28"/>
      <c r="AE1160" s="28"/>
      <c r="AF1160" s="29"/>
      <c r="AG1160" s="29"/>
    </row>
    <row r="1161" spans="1:33" ht="15.75" customHeight="1">
      <c r="A1161" s="32" t="s">
        <v>52</v>
      </c>
      <c r="B1161" s="33">
        <v>1186</v>
      </c>
      <c r="C1161" s="34" t="s">
        <v>6514</v>
      </c>
      <c r="D1161" s="35">
        <v>45943.506402719911</v>
      </c>
      <c r="E1161" s="43">
        <v>45943</v>
      </c>
      <c r="F1161" s="32" t="s">
        <v>6046</v>
      </c>
      <c r="G1161" s="32" t="s">
        <v>6047</v>
      </c>
      <c r="H1161" s="32" t="s">
        <v>6048</v>
      </c>
      <c r="I1161" s="36" t="s">
        <v>645</v>
      </c>
      <c r="J1161" s="52" t="s">
        <v>6515</v>
      </c>
      <c r="K1161" s="32" t="s">
        <v>6516</v>
      </c>
      <c r="L1161" s="32" t="s">
        <v>3637</v>
      </c>
      <c r="M1161" s="32" t="s">
        <v>5643</v>
      </c>
      <c r="N1161" s="33">
        <v>14</v>
      </c>
      <c r="O1161" s="35"/>
      <c r="P1161" s="35"/>
      <c r="Q1161" s="37"/>
      <c r="R1161" s="38"/>
      <c r="S1161" s="33"/>
      <c r="T1161" s="39">
        <v>550000</v>
      </c>
      <c r="U1161" s="40" t="s">
        <v>1774</v>
      </c>
      <c r="V1161" s="41"/>
      <c r="W1161" s="42" t="str">
        <f ca="1">IFERROR(__xludf.DUMMYFUNCTION("""COMPUTED_VALUE"""),"CV fajar")</f>
        <v>CV fajar</v>
      </c>
      <c r="X1161" s="42" t="str">
        <f ca="1"/>
        <v>ON-CV fajar-00011900+14-6281338789995</v>
      </c>
      <c r="Y1161" s="40"/>
      <c r="Z1161" s="40"/>
      <c r="AA1161" s="23" t="str">
        <v>https://wa.me/6281338789995</v>
      </c>
      <c r="AB1161" s="28"/>
      <c r="AC1161" s="28"/>
      <c r="AD1161" s="28"/>
      <c r="AE1161" s="28"/>
      <c r="AF1161" s="29"/>
      <c r="AG1161" s="29"/>
    </row>
    <row r="1162" spans="1:33" ht="15.75" customHeight="1">
      <c r="A1162" s="32" t="s">
        <v>196</v>
      </c>
      <c r="B1162" s="33">
        <v>1187</v>
      </c>
      <c r="C1162" s="34" t="s">
        <v>6517</v>
      </c>
      <c r="D1162" s="35">
        <v>45943.608686793981</v>
      </c>
      <c r="E1162" s="43">
        <v>45943</v>
      </c>
      <c r="F1162" s="32" t="s">
        <v>6518</v>
      </c>
      <c r="G1162" s="32" t="s">
        <v>6519</v>
      </c>
      <c r="H1162" s="32" t="s">
        <v>6520</v>
      </c>
      <c r="I1162" s="36" t="s">
        <v>6521</v>
      </c>
      <c r="J1162" s="52"/>
      <c r="K1162" s="32" t="s">
        <v>6522</v>
      </c>
      <c r="L1162" s="32" t="s">
        <v>6523</v>
      </c>
      <c r="M1162" s="32" t="s">
        <v>60</v>
      </c>
      <c r="N1162" s="33">
        <v>14</v>
      </c>
      <c r="O1162" s="35">
        <v>45945</v>
      </c>
      <c r="P1162" s="35">
        <v>45958</v>
      </c>
      <c r="Q1162" s="37"/>
      <c r="R1162" s="38"/>
      <c r="S1162" s="33"/>
      <c r="T1162" s="39">
        <v>550000</v>
      </c>
      <c r="U1162" s="40" t="s">
        <v>61</v>
      </c>
      <c r="V1162" s="41"/>
      <c r="W1162" s="42" t="str">
        <f ca="1">IFERROR(__xludf.DUMMYFUNCTION("""COMPUTED_VALUE"""),"Namira Interior")</f>
        <v>Namira Interior</v>
      </c>
      <c r="X1162" s="42" t="str">
        <f ca="1"/>
        <v>ON-Namira Interior-00011900+14-6282159753331</v>
      </c>
      <c r="Y1162" s="40" t="s">
        <v>293</v>
      </c>
      <c r="Z1162" s="40" t="s">
        <v>1057</v>
      </c>
      <c r="AA1162" s="23" t="str">
        <v>https://wa.me/6282159753331</v>
      </c>
      <c r="AB1162" s="28" t="s">
        <v>6524</v>
      </c>
      <c r="AC1162" s="28"/>
      <c r="AD1162" s="28" t="s">
        <v>690</v>
      </c>
      <c r="AE1162" s="28"/>
      <c r="AF1162" s="29"/>
      <c r="AG1162" s="29"/>
    </row>
    <row r="1163" spans="1:33" ht="15.75" customHeight="1">
      <c r="A1163" s="32" t="s">
        <v>52</v>
      </c>
      <c r="B1163" s="33">
        <v>1188</v>
      </c>
      <c r="C1163" s="34" t="s">
        <v>6525</v>
      </c>
      <c r="D1163" s="35">
        <v>45943.609966620366</v>
      </c>
      <c r="E1163" s="43">
        <v>45943</v>
      </c>
      <c r="F1163" s="32" t="s">
        <v>5159</v>
      </c>
      <c r="G1163" s="32" t="s">
        <v>5160</v>
      </c>
      <c r="H1163" s="32" t="s">
        <v>5161</v>
      </c>
      <c r="I1163" s="36" t="s">
        <v>5162</v>
      </c>
      <c r="J1163" s="52"/>
      <c r="K1163" s="32" t="s">
        <v>5163</v>
      </c>
      <c r="L1163" s="32" t="s">
        <v>2468</v>
      </c>
      <c r="M1163" s="32" t="s">
        <v>60</v>
      </c>
      <c r="N1163" s="33">
        <v>10</v>
      </c>
      <c r="O1163" s="35"/>
      <c r="P1163" s="35"/>
      <c r="Q1163" s="37"/>
      <c r="R1163" s="38"/>
      <c r="S1163" s="33"/>
      <c r="T1163" s="39">
        <v>375000</v>
      </c>
      <c r="U1163" s="40" t="s">
        <v>61</v>
      </c>
      <c r="V1163" s="41"/>
      <c r="W1163" s="42" t="str">
        <f ca="1">IFERROR(__xludf.DUMMYFUNCTION("""COMPUTED_VALUE"""),"Wirisvariasi")</f>
        <v>Wirisvariasi</v>
      </c>
      <c r="X1163" s="42" t="str">
        <f ca="1"/>
        <v>ON-Wirisvariasi-00011900+10-6282242925264</v>
      </c>
      <c r="Y1163" s="40"/>
      <c r="Z1163" s="40"/>
      <c r="AA1163" s="23" t="str">
        <v>https://wa.me/6282242925264</v>
      </c>
      <c r="AB1163" s="28"/>
      <c r="AC1163" s="28"/>
      <c r="AD1163" s="28"/>
      <c r="AE1163" s="28"/>
      <c r="AF1163" s="29"/>
      <c r="AG1163" s="29"/>
    </row>
    <row r="1164" spans="1:33" ht="15.75" customHeight="1">
      <c r="A1164" s="32" t="s">
        <v>52</v>
      </c>
      <c r="B1164" s="33">
        <v>1189</v>
      </c>
      <c r="C1164" s="34" t="s">
        <v>6526</v>
      </c>
      <c r="D1164" s="35">
        <v>45943.610571840283</v>
      </c>
      <c r="E1164" s="43">
        <v>45943</v>
      </c>
      <c r="F1164" s="32" t="s">
        <v>2294</v>
      </c>
      <c r="G1164" s="32" t="s">
        <v>6527</v>
      </c>
      <c r="H1164" s="32" t="s">
        <v>2090</v>
      </c>
      <c r="I1164" s="36" t="s">
        <v>2297</v>
      </c>
      <c r="J1164" s="52"/>
      <c r="K1164" s="32" t="s">
        <v>6528</v>
      </c>
      <c r="L1164" s="32" t="s">
        <v>92</v>
      </c>
      <c r="M1164" s="32" t="s">
        <v>60</v>
      </c>
      <c r="N1164" s="33">
        <v>20</v>
      </c>
      <c r="O1164" s="35"/>
      <c r="P1164" s="35"/>
      <c r="Q1164" s="37"/>
      <c r="R1164" s="38"/>
      <c r="S1164" s="33"/>
      <c r="T1164" s="39">
        <v>700000</v>
      </c>
      <c r="U1164" s="40" t="s">
        <v>61</v>
      </c>
      <c r="V1164" s="41"/>
      <c r="W1164" s="42" t="str">
        <f ca="1">IFERROR(__xludf.DUMMYFUNCTION("""COMPUTED_VALUE"""),"CV RHEINA")</f>
        <v>CV RHEINA</v>
      </c>
      <c r="X1164" s="42" t="str">
        <f ca="1"/>
        <v>ON-CV RHEINA-00011900+20-6282339444339</v>
      </c>
      <c r="Y1164" s="40"/>
      <c r="Z1164" s="40"/>
      <c r="AA1164" s="23" t="str">
        <v>https://wa.me/6282339444339</v>
      </c>
      <c r="AB1164" s="28"/>
      <c r="AC1164" s="28"/>
      <c r="AD1164" s="28"/>
      <c r="AE1164" s="28"/>
      <c r="AF1164" s="29"/>
      <c r="AG1164" s="29"/>
    </row>
    <row r="1165" spans="1:33" ht="15.75" customHeight="1">
      <c r="A1165" s="32" t="s">
        <v>52</v>
      </c>
      <c r="B1165" s="33">
        <v>1190</v>
      </c>
      <c r="C1165" s="34" t="s">
        <v>6529</v>
      </c>
      <c r="D1165" s="35">
        <v>45943.612266261574</v>
      </c>
      <c r="E1165" s="43">
        <v>45943</v>
      </c>
      <c r="F1165" s="32" t="s">
        <v>2405</v>
      </c>
      <c r="G1165" s="32" t="s">
        <v>2406</v>
      </c>
      <c r="H1165" s="32" t="s">
        <v>66</v>
      </c>
      <c r="I1165" s="36" t="s">
        <v>6101</v>
      </c>
      <c r="J1165" s="52"/>
      <c r="K1165" s="32" t="s">
        <v>46</v>
      </c>
      <c r="L1165" s="32" t="s">
        <v>2408</v>
      </c>
      <c r="M1165" s="32" t="s">
        <v>60</v>
      </c>
      <c r="N1165" s="33">
        <v>10</v>
      </c>
      <c r="O1165" s="35"/>
      <c r="P1165" s="35"/>
      <c r="Q1165" s="37"/>
      <c r="R1165" s="38"/>
      <c r="S1165" s="33"/>
      <c r="T1165" s="39">
        <v>375000</v>
      </c>
      <c r="U1165" s="40" t="s">
        <v>61</v>
      </c>
      <c r="V1165" s="41"/>
      <c r="W1165" s="42" t="str">
        <f ca="1">IFERROR(__xludf.DUMMYFUNCTION("""COMPUTED_VALUE"""),"Superman Interior")</f>
        <v>Superman Interior</v>
      </c>
      <c r="X1165" s="42" t="str">
        <f ca="1"/>
        <v>ON-Superman Interior-00011900+10-62818833829</v>
      </c>
      <c r="Y1165" s="40"/>
      <c r="Z1165" s="40"/>
      <c r="AA1165" s="23" t="str">
        <v>https://wa.me/62818833829</v>
      </c>
      <c r="AB1165" s="28"/>
      <c r="AC1165" s="28"/>
      <c r="AD1165" s="28"/>
      <c r="AE1165" s="28"/>
      <c r="AF1165" s="29"/>
      <c r="AG1165" s="29"/>
    </row>
    <row r="1166" spans="1:33" ht="15.75" customHeight="1">
      <c r="A1166" s="32" t="s">
        <v>196</v>
      </c>
      <c r="B1166" s="33">
        <v>1192</v>
      </c>
      <c r="C1166" s="34" t="s">
        <v>6530</v>
      </c>
      <c r="D1166" s="35">
        <v>45943.757988645833</v>
      </c>
      <c r="E1166" s="43">
        <v>45943</v>
      </c>
      <c r="F1166" s="32" t="s">
        <v>6531</v>
      </c>
      <c r="G1166" s="32" t="s">
        <v>6532</v>
      </c>
      <c r="H1166" s="32" t="s">
        <v>6533</v>
      </c>
      <c r="I1166" s="36" t="s">
        <v>6534</v>
      </c>
      <c r="J1166" s="52"/>
      <c r="K1166" s="32" t="s">
        <v>6535</v>
      </c>
      <c r="L1166" s="32" t="s">
        <v>92</v>
      </c>
      <c r="M1166" s="32" t="s">
        <v>60</v>
      </c>
      <c r="N1166" s="33">
        <v>5</v>
      </c>
      <c r="O1166" s="35">
        <v>45947</v>
      </c>
      <c r="P1166" s="35">
        <v>45951</v>
      </c>
      <c r="Q1166" s="37"/>
      <c r="R1166" s="38"/>
      <c r="S1166" s="33"/>
      <c r="T1166" s="39">
        <v>197000</v>
      </c>
      <c r="U1166" s="40"/>
      <c r="V1166" s="41"/>
      <c r="W1166" s="42" t="str">
        <f ca="1">IFERROR(__xludf.DUMMYFUNCTION("""COMPUTED_VALUE"""),"Kori Bali")</f>
        <v>Kori Bali</v>
      </c>
      <c r="X1166" s="42" t="str">
        <f ca="1"/>
        <v>ON-Kori Bali-00011900+5-62881037282380</v>
      </c>
      <c r="Y1166" s="40" t="s">
        <v>62</v>
      </c>
      <c r="Z1166" s="40" t="s">
        <v>1880</v>
      </c>
      <c r="AA1166" s="23" t="str">
        <v>https://wa.me/62881037282380</v>
      </c>
      <c r="AB1166" s="28" t="s">
        <v>6536</v>
      </c>
      <c r="AC1166" s="28"/>
      <c r="AD1166" s="28" t="s">
        <v>690</v>
      </c>
      <c r="AE1166" s="28"/>
      <c r="AF1166" s="29"/>
      <c r="AG1166" s="29"/>
    </row>
    <row r="1167" spans="1:33" ht="15.75" customHeight="1">
      <c r="A1167" s="32" t="s">
        <v>196</v>
      </c>
      <c r="B1167" s="33">
        <v>1193</v>
      </c>
      <c r="C1167" s="34" t="s">
        <v>6537</v>
      </c>
      <c r="D1167" s="35">
        <v>45943.915073449076</v>
      </c>
      <c r="E1167" s="43">
        <v>45943</v>
      </c>
      <c r="F1167" s="32" t="s">
        <v>6538</v>
      </c>
      <c r="G1167" s="32" t="s">
        <v>6539</v>
      </c>
      <c r="H1167" s="32" t="s">
        <v>6540</v>
      </c>
      <c r="I1167" s="36" t="s">
        <v>6541</v>
      </c>
      <c r="J1167" s="52"/>
      <c r="K1167" s="32" t="s">
        <v>2132</v>
      </c>
      <c r="L1167" s="32" t="s">
        <v>5191</v>
      </c>
      <c r="M1167" s="32" t="s">
        <v>800</v>
      </c>
      <c r="N1167" s="33">
        <v>5</v>
      </c>
      <c r="O1167" s="35">
        <v>45945</v>
      </c>
      <c r="P1167" s="35">
        <v>45949</v>
      </c>
      <c r="Q1167" s="37"/>
      <c r="R1167" s="38"/>
      <c r="S1167" s="33"/>
      <c r="T1167" s="39">
        <v>197000</v>
      </c>
      <c r="U1167" s="40" t="s">
        <v>1229</v>
      </c>
      <c r="V1167" s="41"/>
      <c r="W1167" s="42" t="str">
        <f ca="1">IFERROR(__xludf.DUMMYFUNCTION("""COMPUTED_VALUE"""),"Therapy sehat")</f>
        <v>Therapy sehat</v>
      </c>
      <c r="X1167" s="42" t="str">
        <f ca="1"/>
        <v>ON-Therapy sehat-00011900+5-6282232143251</v>
      </c>
      <c r="Y1167" s="40" t="s">
        <v>62</v>
      </c>
      <c r="Z1167" s="40" t="s">
        <v>639</v>
      </c>
      <c r="AA1167" s="23" t="str">
        <v>https://wa.me/6282232143251</v>
      </c>
      <c r="AB1167" s="28" t="s">
        <v>6542</v>
      </c>
      <c r="AC1167" s="28"/>
      <c r="AD1167" s="28" t="s">
        <v>690</v>
      </c>
      <c r="AE1167" s="28"/>
      <c r="AF1167" s="29"/>
      <c r="AG1167" s="29"/>
    </row>
    <row r="1168" spans="1:33" ht="15.75" customHeight="1">
      <c r="A1168" s="32" t="s">
        <v>52</v>
      </c>
      <c r="B1168" s="33">
        <v>1193</v>
      </c>
      <c r="C1168" s="34" t="s">
        <v>6537</v>
      </c>
      <c r="D1168" s="35">
        <v>45944.326551493054</v>
      </c>
      <c r="E1168" s="33" t="s">
        <v>6543</v>
      </c>
      <c r="F1168" s="32" t="s">
        <v>3241</v>
      </c>
      <c r="G1168" s="32" t="s">
        <v>4495</v>
      </c>
      <c r="H1168" s="32" t="s">
        <v>3243</v>
      </c>
      <c r="I1168" s="36" t="s">
        <v>3244</v>
      </c>
      <c r="J1168" s="52"/>
      <c r="K1168" s="32" t="s">
        <v>6199</v>
      </c>
      <c r="L1168" s="32" t="s">
        <v>166</v>
      </c>
      <c r="M1168" s="32" t="s">
        <v>249</v>
      </c>
      <c r="N1168" s="33">
        <v>10</v>
      </c>
      <c r="O1168" s="35"/>
      <c r="P1168" s="35"/>
      <c r="Q1168" s="37"/>
      <c r="R1168" s="38"/>
      <c r="S1168" s="33"/>
      <c r="T1168" s="39">
        <v>375000</v>
      </c>
      <c r="U1168" s="40" t="s">
        <v>1774</v>
      </c>
      <c r="V1168" s="41"/>
      <c r="W1168" s="42" t="str">
        <f ca="1">IFERROR(__xludf.DUMMYFUNCTION("""COMPUTED_VALUE"""),"Totok saraf")</f>
        <v>Totok saraf</v>
      </c>
      <c r="X1168" s="42" t="str">
        <f ca="1"/>
        <v>ON-Totok saraf-00011900+10-6281330410391</v>
      </c>
      <c r="Y1168" s="40"/>
      <c r="Z1168" s="40"/>
      <c r="AA1168" s="23" t="str">
        <v>https://wa.me/6281330410391</v>
      </c>
      <c r="AB1168" s="28"/>
      <c r="AC1168" s="28"/>
      <c r="AD1168" s="28"/>
      <c r="AE1168" s="28"/>
      <c r="AF1168" s="29"/>
      <c r="AG1168" s="29"/>
    </row>
    <row r="1169" spans="1:33" ht="15.75" customHeight="1">
      <c r="A1169" s="32" t="s">
        <v>52</v>
      </c>
      <c r="B1169" s="33">
        <v>1194</v>
      </c>
      <c r="C1169" s="34" t="s">
        <v>6544</v>
      </c>
      <c r="D1169" s="35">
        <v>45944.337109930551</v>
      </c>
      <c r="E1169" s="33" t="s">
        <v>6543</v>
      </c>
      <c r="F1169" s="32" t="s">
        <v>3241</v>
      </c>
      <c r="G1169" s="32" t="s">
        <v>4495</v>
      </c>
      <c r="H1169" s="32" t="s">
        <v>3243</v>
      </c>
      <c r="I1169" s="36" t="s">
        <v>3244</v>
      </c>
      <c r="J1169" s="52"/>
      <c r="K1169" s="32" t="s">
        <v>6545</v>
      </c>
      <c r="L1169" s="32" t="s">
        <v>166</v>
      </c>
      <c r="M1169" s="32" t="s">
        <v>249</v>
      </c>
      <c r="N1169" s="33">
        <v>10</v>
      </c>
      <c r="O1169" s="35"/>
      <c r="P1169" s="35"/>
      <c r="Q1169" s="37"/>
      <c r="R1169" s="38"/>
      <c r="S1169" s="33"/>
      <c r="T1169" s="39">
        <v>375000</v>
      </c>
      <c r="U1169" s="40" t="s">
        <v>1774</v>
      </c>
      <c r="V1169" s="41"/>
      <c r="W1169" s="42" t="str">
        <f ca="1">IFERROR(__xludf.DUMMYFUNCTION("""COMPUTED_VALUE"""),"Totok saraf")</f>
        <v>Totok saraf</v>
      </c>
      <c r="X1169" s="42" t="str">
        <f ca="1"/>
        <v>ON-Totok saraf-00011900+10-6281330410391</v>
      </c>
      <c r="Y1169" s="40"/>
      <c r="Z1169" s="40"/>
      <c r="AA1169" s="23" t="str">
        <v>https://wa.me/6281330410391</v>
      </c>
      <c r="AB1169" s="28"/>
      <c r="AC1169" s="28"/>
      <c r="AD1169" s="28"/>
      <c r="AE1169" s="28"/>
      <c r="AF1169" s="29"/>
      <c r="AG1169" s="29"/>
    </row>
    <row r="1170" spans="1:33" ht="15.75" customHeight="1">
      <c r="A1170" s="32" t="s">
        <v>52</v>
      </c>
      <c r="B1170" s="33">
        <v>1195</v>
      </c>
      <c r="C1170" s="34" t="s">
        <v>6546</v>
      </c>
      <c r="D1170" s="35">
        <v>45944.419902962967</v>
      </c>
      <c r="E1170" s="43">
        <v>45944</v>
      </c>
      <c r="F1170" s="32" t="s">
        <v>5173</v>
      </c>
      <c r="G1170" s="32" t="s">
        <v>5174</v>
      </c>
      <c r="H1170" s="32" t="s">
        <v>4273</v>
      </c>
      <c r="I1170" s="36" t="s">
        <v>5222</v>
      </c>
      <c r="J1170" s="52"/>
      <c r="K1170" s="32" t="s">
        <v>5176</v>
      </c>
      <c r="L1170" s="32" t="s">
        <v>490</v>
      </c>
      <c r="M1170" s="32" t="s">
        <v>60</v>
      </c>
      <c r="N1170" s="33">
        <v>10</v>
      </c>
      <c r="O1170" s="35"/>
      <c r="P1170" s="35"/>
      <c r="Q1170" s="37"/>
      <c r="R1170" s="38"/>
      <c r="S1170" s="33"/>
      <c r="T1170" s="39">
        <v>375000</v>
      </c>
      <c r="U1170" s="40" t="s">
        <v>61</v>
      </c>
      <c r="V1170" s="41"/>
      <c r="W1170" s="42" t="str">
        <f ca="1">IFERROR(__xludf.DUMMYFUNCTION("""COMPUTED_VALUE"""),"CV Satria")</f>
        <v>CV Satria</v>
      </c>
      <c r="X1170" s="42" t="str">
        <f ca="1"/>
        <v>ON-CV Satria-00011900+10-6283890485123</v>
      </c>
      <c r="Y1170" s="40"/>
      <c r="Z1170" s="40"/>
      <c r="AA1170" s="23" t="str">
        <v>https://wa.me/6283890485123</v>
      </c>
      <c r="AB1170" s="28"/>
      <c r="AC1170" s="28"/>
      <c r="AD1170" s="28"/>
      <c r="AE1170" s="28"/>
      <c r="AF1170" s="29"/>
      <c r="AG1170" s="29"/>
    </row>
    <row r="1171" spans="1:33" ht="15.75" customHeight="1">
      <c r="A1171" s="32" t="s">
        <v>52</v>
      </c>
      <c r="B1171" s="33">
        <v>1196</v>
      </c>
      <c r="C1171" s="34" t="s">
        <v>6547</v>
      </c>
      <c r="D1171" s="35">
        <v>45944.493183449071</v>
      </c>
      <c r="E1171" s="43">
        <v>45944</v>
      </c>
      <c r="F1171" s="32" t="s">
        <v>3772</v>
      </c>
      <c r="G1171" s="32" t="s">
        <v>3773</v>
      </c>
      <c r="H1171" s="32" t="s">
        <v>3774</v>
      </c>
      <c r="I1171" s="36" t="s">
        <v>3775</v>
      </c>
      <c r="J1171" s="52"/>
      <c r="K1171" s="32" t="s">
        <v>570</v>
      </c>
      <c r="L1171" s="32" t="s">
        <v>2291</v>
      </c>
      <c r="M1171" s="32" t="s">
        <v>2032</v>
      </c>
      <c r="N1171" s="33">
        <v>10</v>
      </c>
      <c r="O1171" s="35"/>
      <c r="P1171" s="35"/>
      <c r="Q1171" s="37"/>
      <c r="R1171" s="38"/>
      <c r="S1171" s="33"/>
      <c r="T1171" s="39">
        <v>375000</v>
      </c>
      <c r="U1171" s="40" t="s">
        <v>61</v>
      </c>
      <c r="V1171" s="41"/>
      <c r="W1171" s="42" t="str">
        <f ca="1">IFERROR(__xludf.DUMMYFUNCTION("""COMPUTED_VALUE"""),"Kharisma Filter")</f>
        <v>Kharisma Filter</v>
      </c>
      <c r="X1171" s="42" t="str">
        <f ca="1"/>
        <v>ON-Kharisma Filter-00011900+10-6285893658659</v>
      </c>
      <c r="Y1171" s="40"/>
      <c r="Z1171" s="40"/>
      <c r="AA1171" s="23" t="str">
        <v>https://wa.me/6285893658659</v>
      </c>
      <c r="AB1171" s="28"/>
      <c r="AC1171" s="28"/>
      <c r="AD1171" s="28"/>
      <c r="AE1171" s="28"/>
      <c r="AF1171" s="29"/>
      <c r="AG1171" s="29"/>
    </row>
    <row r="1172" spans="1:33" ht="15.75" customHeight="1">
      <c r="A1172" s="32" t="s">
        <v>196</v>
      </c>
      <c r="B1172" s="33">
        <v>1197</v>
      </c>
      <c r="C1172" s="34" t="s">
        <v>6548</v>
      </c>
      <c r="D1172" s="35">
        <v>45944.597869224541</v>
      </c>
      <c r="E1172" s="43">
        <v>45944</v>
      </c>
      <c r="F1172" s="32" t="s">
        <v>6549</v>
      </c>
      <c r="G1172" s="32" t="s">
        <v>6550</v>
      </c>
      <c r="H1172" s="32" t="s">
        <v>6551</v>
      </c>
      <c r="I1172" s="36" t="s">
        <v>6552</v>
      </c>
      <c r="J1172" s="52"/>
      <c r="K1172" s="32" t="s">
        <v>6553</v>
      </c>
      <c r="L1172" s="32" t="s">
        <v>6554</v>
      </c>
      <c r="M1172" s="32" t="s">
        <v>2424</v>
      </c>
      <c r="N1172" s="33">
        <v>10</v>
      </c>
      <c r="O1172" s="35">
        <v>45946</v>
      </c>
      <c r="P1172" s="35">
        <v>45955</v>
      </c>
      <c r="Q1172" s="37"/>
      <c r="R1172" s="38"/>
      <c r="S1172" s="33"/>
      <c r="T1172" s="39">
        <v>375000</v>
      </c>
      <c r="U1172" s="40"/>
      <c r="V1172" s="41"/>
      <c r="W1172" s="42" t="str">
        <f ca="1">IFERROR(__xludf.DUMMYFUNCTION("""COMPUTED_VALUE"""),"Spectrum Raya")</f>
        <v>Spectrum Raya</v>
      </c>
      <c r="X1172" s="42" t="str">
        <f ca="1"/>
        <v>ON-Spectrum Raya-00011900+10-6281337173939</v>
      </c>
      <c r="Y1172" s="40" t="s">
        <v>62</v>
      </c>
      <c r="Z1172" s="40" t="s">
        <v>1861</v>
      </c>
      <c r="AA1172" s="23" t="str">
        <v>https://wa.me/6281337173939</v>
      </c>
      <c r="AB1172" s="28" t="s">
        <v>6555</v>
      </c>
      <c r="AC1172" s="28"/>
      <c r="AD1172" s="28" t="s">
        <v>690</v>
      </c>
      <c r="AE1172" s="28"/>
      <c r="AF1172" s="29"/>
      <c r="AG1172" s="29"/>
    </row>
    <row r="1173" spans="1:33" ht="15.75" customHeight="1">
      <c r="A1173" s="32" t="s">
        <v>196</v>
      </c>
      <c r="B1173" s="33">
        <v>1198</v>
      </c>
      <c r="C1173" s="34" t="s">
        <v>6556</v>
      </c>
      <c r="D1173" s="35">
        <v>45944.67706342593</v>
      </c>
      <c r="E1173" s="43">
        <v>45944</v>
      </c>
      <c r="F1173" s="32" t="s">
        <v>6557</v>
      </c>
      <c r="G1173" s="32" t="s">
        <v>6558</v>
      </c>
      <c r="H1173" s="32" t="s">
        <v>907</v>
      </c>
      <c r="I1173" s="36" t="s">
        <v>6559</v>
      </c>
      <c r="J1173" s="52"/>
      <c r="K1173" s="32" t="s">
        <v>6560</v>
      </c>
      <c r="L1173" s="32" t="s">
        <v>6561</v>
      </c>
      <c r="M1173" s="32" t="s">
        <v>60</v>
      </c>
      <c r="N1173" s="33">
        <v>5</v>
      </c>
      <c r="O1173" s="35">
        <v>45946</v>
      </c>
      <c r="P1173" s="35">
        <v>45950</v>
      </c>
      <c r="Q1173" s="37"/>
      <c r="R1173" s="38"/>
      <c r="S1173" s="33"/>
      <c r="T1173" s="39">
        <v>197000</v>
      </c>
      <c r="U1173" s="40"/>
      <c r="V1173" s="41"/>
      <c r="W1173" s="42" t="str">
        <f ca="1">IFERROR(__xludf.DUMMYFUNCTION("""COMPUTED_VALUE"""),"Aria Property")</f>
        <v>Aria Property</v>
      </c>
      <c r="X1173" s="42" t="str">
        <f ca="1"/>
        <v>ON-Aria Property-00011900+5-628562571037</v>
      </c>
      <c r="Y1173" s="40" t="s">
        <v>293</v>
      </c>
      <c r="Z1173" s="40" t="s">
        <v>1057</v>
      </c>
      <c r="AA1173" s="23" t="str">
        <v>https://wa.me/628562571037</v>
      </c>
      <c r="AB1173" s="28" t="s">
        <v>6562</v>
      </c>
      <c r="AC1173" s="28"/>
      <c r="AD1173" s="28" t="s">
        <v>690</v>
      </c>
      <c r="AE1173" s="28"/>
      <c r="AF1173" s="29"/>
      <c r="AG1173" s="29"/>
    </row>
    <row r="1174" spans="1:33" ht="15.75" customHeight="1">
      <c r="A1174" s="32" t="s">
        <v>196</v>
      </c>
      <c r="B1174" s="33">
        <v>1199</v>
      </c>
      <c r="C1174" s="34" t="s">
        <v>6563</v>
      </c>
      <c r="D1174" s="35">
        <v>45944.717108946759</v>
      </c>
      <c r="E1174" s="43">
        <v>45944</v>
      </c>
      <c r="F1174" s="32" t="s">
        <v>836</v>
      </c>
      <c r="G1174" s="32" t="s">
        <v>6564</v>
      </c>
      <c r="H1174" s="32" t="s">
        <v>838</v>
      </c>
      <c r="I1174" s="36" t="s">
        <v>839</v>
      </c>
      <c r="J1174" s="52" t="s">
        <v>840</v>
      </c>
      <c r="K1174" s="32"/>
      <c r="L1174" s="32" t="s">
        <v>842</v>
      </c>
      <c r="M1174" s="32" t="s">
        <v>382</v>
      </c>
      <c r="N1174" s="33">
        <v>7</v>
      </c>
      <c r="O1174" s="35">
        <v>45948</v>
      </c>
      <c r="P1174" s="35">
        <v>45954</v>
      </c>
      <c r="Q1174" s="37"/>
      <c r="R1174" s="38"/>
      <c r="S1174" s="33"/>
      <c r="T1174" s="39">
        <v>297000</v>
      </c>
      <c r="U1174" s="40" t="s">
        <v>115</v>
      </c>
      <c r="V1174" s="41"/>
      <c r="W1174" s="42" t="str">
        <f ca="1">IFERROR(__xludf.DUMMYFUNCTION("""COMPUTED_VALUE"""),"Soto Padang")</f>
        <v>Soto Padang</v>
      </c>
      <c r="X1174" s="42" t="str">
        <f ca="1"/>
        <v>ON-Soto Padang-00011900+7-6282125465047</v>
      </c>
      <c r="Y1174" s="40" t="s">
        <v>62</v>
      </c>
      <c r="Z1174" s="40" t="s">
        <v>3620</v>
      </c>
      <c r="AA1174" s="23" t="str">
        <v>https://wa.me/6282125465047</v>
      </c>
      <c r="AB1174" s="28" t="s">
        <v>6565</v>
      </c>
      <c r="AC1174" s="28"/>
      <c r="AD1174" s="28" t="s">
        <v>690</v>
      </c>
      <c r="AE1174" s="28"/>
      <c r="AF1174" s="29"/>
      <c r="AG1174" s="29"/>
    </row>
    <row r="1175" spans="1:33" ht="15.75" customHeight="1">
      <c r="A1175" s="32" t="s">
        <v>52</v>
      </c>
      <c r="B1175" s="33">
        <v>1200</v>
      </c>
      <c r="C1175" s="34" t="s">
        <v>6566</v>
      </c>
      <c r="D1175" s="35">
        <v>45945.319355983796</v>
      </c>
      <c r="E1175" s="33" t="s">
        <v>6567</v>
      </c>
      <c r="F1175" s="32" t="s">
        <v>4329</v>
      </c>
      <c r="G1175" s="32" t="s">
        <v>4330</v>
      </c>
      <c r="H1175" s="32" t="s">
        <v>4331</v>
      </c>
      <c r="I1175" s="36" t="s">
        <v>4332</v>
      </c>
      <c r="J1175" s="52" t="s">
        <v>4914</v>
      </c>
      <c r="K1175" s="32" t="s">
        <v>570</v>
      </c>
      <c r="L1175" s="32" t="s">
        <v>2631</v>
      </c>
      <c r="M1175" s="32" t="s">
        <v>4333</v>
      </c>
      <c r="N1175" s="33">
        <v>10</v>
      </c>
      <c r="O1175" s="35"/>
      <c r="P1175" s="35"/>
      <c r="Q1175" s="37"/>
      <c r="R1175" s="38"/>
      <c r="S1175" s="33"/>
      <c r="T1175" s="39">
        <v>375000</v>
      </c>
      <c r="U1175" s="40" t="s">
        <v>1774</v>
      </c>
      <c r="V1175" s="41"/>
      <c r="W1175" s="42" t="str">
        <f ca="1">IFERROR(__xludf.DUMMYFUNCTION("""COMPUTED_VALUE"""),"Anindiyajayapool")</f>
        <v>Anindiyajayapool</v>
      </c>
      <c r="X1175" s="42" t="str">
        <f ca="1"/>
        <v>ON-Anindiyajayapool-00011900+10-6285888452389</v>
      </c>
      <c r="Y1175" s="40"/>
      <c r="Z1175" s="40"/>
      <c r="AA1175" s="23" t="str">
        <v>https://wa.me/6285888452389</v>
      </c>
      <c r="AB1175" s="28"/>
      <c r="AC1175" s="28"/>
      <c r="AD1175" s="28"/>
      <c r="AE1175" s="28"/>
      <c r="AF1175" s="29"/>
      <c r="AG1175" s="29"/>
    </row>
    <row r="1176" spans="1:33" ht="15.75" customHeight="1">
      <c r="A1176" s="32" t="s">
        <v>52</v>
      </c>
      <c r="B1176" s="33">
        <v>1201</v>
      </c>
      <c r="C1176" s="34" t="s">
        <v>6568</v>
      </c>
      <c r="D1176" s="35">
        <v>45945.361158460648</v>
      </c>
      <c r="E1176" s="43">
        <v>45944</v>
      </c>
      <c r="F1176" s="32" t="s">
        <v>1735</v>
      </c>
      <c r="G1176" s="32" t="s">
        <v>1736</v>
      </c>
      <c r="H1176" s="32" t="s">
        <v>1737</v>
      </c>
      <c r="I1176" s="36" t="s">
        <v>1738</v>
      </c>
      <c r="J1176" s="52"/>
      <c r="K1176" s="32" t="s">
        <v>1739</v>
      </c>
      <c r="L1176" s="32" t="s">
        <v>1740</v>
      </c>
      <c r="M1176" s="32" t="s">
        <v>60</v>
      </c>
      <c r="N1176" s="33">
        <v>7</v>
      </c>
      <c r="O1176" s="35"/>
      <c r="P1176" s="35"/>
      <c r="Q1176" s="37"/>
      <c r="R1176" s="38"/>
      <c r="S1176" s="33"/>
      <c r="T1176" s="39">
        <v>297000</v>
      </c>
      <c r="U1176" s="40" t="s">
        <v>61</v>
      </c>
      <c r="V1176" s="41"/>
      <c r="W1176" s="42" t="str">
        <f ca="1">IFERROR(__xludf.DUMMYFUNCTION("""COMPUTED_VALUE"""),"Andika Jaya")</f>
        <v>Andika Jaya</v>
      </c>
      <c r="X1176" s="42" t="str">
        <f ca="1"/>
        <v>ON-Andika Jaya-00011900+7-6282315669271</v>
      </c>
      <c r="Y1176" s="40"/>
      <c r="Z1176" s="40"/>
      <c r="AA1176" s="23" t="str">
        <v>https://wa.me/6282315669271</v>
      </c>
      <c r="AB1176" s="28"/>
      <c r="AC1176" s="28"/>
      <c r="AD1176" s="28"/>
      <c r="AE1176" s="28"/>
      <c r="AF1176" s="29"/>
      <c r="AG1176" s="29"/>
    </row>
    <row r="1177" spans="1:33" ht="15.75" customHeight="1">
      <c r="A1177" s="32" t="s">
        <v>52</v>
      </c>
      <c r="B1177" s="33">
        <v>1202</v>
      </c>
      <c r="C1177" s="34" t="s">
        <v>6569</v>
      </c>
      <c r="D1177" s="35">
        <v>45945.361322997684</v>
      </c>
      <c r="E1177" s="43">
        <v>45945</v>
      </c>
      <c r="F1177" s="32" t="s">
        <v>6570</v>
      </c>
      <c r="G1177" s="32" t="s">
        <v>6571</v>
      </c>
      <c r="H1177" s="32" t="s">
        <v>409</v>
      </c>
      <c r="I1177" s="36" t="s">
        <v>4259</v>
      </c>
      <c r="J1177" s="52"/>
      <c r="K1177" s="32" t="s">
        <v>1781</v>
      </c>
      <c r="L1177" s="32" t="s">
        <v>672</v>
      </c>
      <c r="M1177" s="32" t="s">
        <v>60</v>
      </c>
      <c r="N1177" s="33">
        <v>5</v>
      </c>
      <c r="O1177" s="35"/>
      <c r="P1177" s="35"/>
      <c r="Q1177" s="37"/>
      <c r="R1177" s="38"/>
      <c r="S1177" s="33"/>
      <c r="T1177" s="39">
        <v>197000</v>
      </c>
      <c r="U1177" s="40" t="s">
        <v>61</v>
      </c>
      <c r="V1177" s="41"/>
      <c r="W1177" s="42" t="str">
        <f ca="1">IFERROR(__xludf.DUMMYFUNCTION("""COMPUTED_VALUE"""),"Ari Kontraktor")</f>
        <v>Ari Kontraktor</v>
      </c>
      <c r="X1177" s="42" t="str">
        <f ca="1"/>
        <v>ON-Ari Kontraktor-00011900+5-6281222788601</v>
      </c>
      <c r="Y1177" s="40"/>
      <c r="Z1177" s="40"/>
      <c r="AA1177" s="23" t="str">
        <v>https://wa.me/6281222788601</v>
      </c>
      <c r="AB1177" s="28"/>
      <c r="AC1177" s="28"/>
      <c r="AD1177" s="28"/>
      <c r="AE1177" s="28"/>
      <c r="AF1177" s="29"/>
      <c r="AG1177" s="29"/>
    </row>
    <row r="1178" spans="1:33" ht="15.75" customHeight="1">
      <c r="A1178" s="32" t="s">
        <v>196</v>
      </c>
      <c r="B1178" s="33">
        <v>1203</v>
      </c>
      <c r="C1178" s="34" t="s">
        <v>6572</v>
      </c>
      <c r="D1178" s="35">
        <v>45945.369696620372</v>
      </c>
      <c r="E1178" s="43">
        <v>45945</v>
      </c>
      <c r="F1178" s="32" t="s">
        <v>6573</v>
      </c>
      <c r="G1178" s="32" t="s">
        <v>6574</v>
      </c>
      <c r="H1178" s="32" t="s">
        <v>6575</v>
      </c>
      <c r="I1178" s="36" t="s">
        <v>6576</v>
      </c>
      <c r="J1178" s="52"/>
      <c r="K1178" s="32" t="s">
        <v>6577</v>
      </c>
      <c r="L1178" s="32" t="s">
        <v>6578</v>
      </c>
      <c r="M1178" s="32" t="s">
        <v>38</v>
      </c>
      <c r="N1178" s="33">
        <v>5</v>
      </c>
      <c r="O1178" s="35">
        <v>45948</v>
      </c>
      <c r="P1178" s="35">
        <v>45952</v>
      </c>
      <c r="Q1178" s="37"/>
      <c r="R1178" s="38"/>
      <c r="S1178" s="33"/>
      <c r="T1178" s="39">
        <v>197000</v>
      </c>
      <c r="U1178" s="40"/>
      <c r="V1178" s="41"/>
      <c r="W1178" s="42" t="str">
        <f ca="1">IFERROR(__xludf.DUMMYFUNCTION("""COMPUTED_VALUE"""),"Lovina Massage")</f>
        <v>Lovina Massage</v>
      </c>
      <c r="X1178" s="42" t="str">
        <f ca="1"/>
        <v>ON-Lovina Massage-00011900+5-6285155158766</v>
      </c>
      <c r="Y1178" s="40" t="s">
        <v>62</v>
      </c>
      <c r="Z1178" s="40" t="s">
        <v>639</v>
      </c>
      <c r="AA1178" s="23" t="str">
        <v>https://wa.me/6285155158766</v>
      </c>
      <c r="AB1178" s="28" t="s">
        <v>6579</v>
      </c>
      <c r="AC1178" s="28"/>
      <c r="AD1178" s="28" t="s">
        <v>690</v>
      </c>
      <c r="AE1178" s="28"/>
      <c r="AF1178" s="29"/>
      <c r="AG1178" s="29"/>
    </row>
    <row r="1179" spans="1:33" ht="15.75" customHeight="1">
      <c r="A1179" s="32" t="s">
        <v>196</v>
      </c>
      <c r="B1179" s="33">
        <v>1204</v>
      </c>
      <c r="C1179" s="34" t="s">
        <v>6580</v>
      </c>
      <c r="D1179" s="35">
        <v>45945.382563333333</v>
      </c>
      <c r="E1179" s="43">
        <v>45945</v>
      </c>
      <c r="F1179" s="32" t="s">
        <v>6581</v>
      </c>
      <c r="G1179" s="32" t="s">
        <v>6582</v>
      </c>
      <c r="H1179" s="32" t="s">
        <v>6583</v>
      </c>
      <c r="I1179" s="36" t="s">
        <v>1401</v>
      </c>
      <c r="J1179" s="52"/>
      <c r="K1179" s="32" t="s">
        <v>374</v>
      </c>
      <c r="L1179" s="32" t="s">
        <v>6584</v>
      </c>
      <c r="M1179" s="32" t="s">
        <v>285</v>
      </c>
      <c r="N1179" s="33">
        <v>5</v>
      </c>
      <c r="O1179" s="35">
        <v>45948</v>
      </c>
      <c r="P1179" s="35">
        <v>45952</v>
      </c>
      <c r="Q1179" s="37"/>
      <c r="R1179" s="38"/>
      <c r="S1179" s="33"/>
      <c r="T1179" s="39">
        <v>197000</v>
      </c>
      <c r="U1179" s="40" t="s">
        <v>1229</v>
      </c>
      <c r="V1179" s="41"/>
      <c r="W1179" s="42" t="str">
        <f ca="1">IFERROR(__xludf.DUMMYFUNCTION("""COMPUTED_VALUE"""),"kursus SPA")</f>
        <v>kursus SPA</v>
      </c>
      <c r="X1179" s="42" t="str">
        <f ca="1"/>
        <v>ON-kursus SPA-00011900+5-6285974999484</v>
      </c>
      <c r="Y1179" s="40" t="s">
        <v>62</v>
      </c>
      <c r="Z1179" s="40" t="s">
        <v>1404</v>
      </c>
      <c r="AA1179" s="23" t="str">
        <v>https://wa.me/6285974999484</v>
      </c>
      <c r="AB1179" s="28" t="s">
        <v>6585</v>
      </c>
      <c r="AC1179" s="28"/>
      <c r="AD1179" s="28" t="s">
        <v>690</v>
      </c>
      <c r="AE1179" s="28"/>
      <c r="AF1179" s="29"/>
      <c r="AG1179" s="29"/>
    </row>
    <row r="1180" spans="1:33" ht="15.75" customHeight="1">
      <c r="A1180" s="32" t="s">
        <v>52</v>
      </c>
      <c r="B1180" s="33">
        <v>1205</v>
      </c>
      <c r="C1180" s="34" t="s">
        <v>6586</v>
      </c>
      <c r="D1180" s="35">
        <v>45945.525244780089</v>
      </c>
      <c r="E1180" s="43">
        <v>45945</v>
      </c>
      <c r="F1180" s="32" t="s">
        <v>5084</v>
      </c>
      <c r="G1180" s="32" t="s">
        <v>5085</v>
      </c>
      <c r="H1180" s="32" t="s">
        <v>5086</v>
      </c>
      <c r="I1180" s="36" t="s">
        <v>5087</v>
      </c>
      <c r="J1180" s="52"/>
      <c r="K1180" s="32" t="s">
        <v>1024</v>
      </c>
      <c r="L1180" s="32" t="s">
        <v>2039</v>
      </c>
      <c r="M1180" s="32" t="s">
        <v>48</v>
      </c>
      <c r="N1180" s="33">
        <v>10</v>
      </c>
      <c r="O1180" s="35"/>
      <c r="P1180" s="35"/>
      <c r="Q1180" s="37"/>
      <c r="R1180" s="38"/>
      <c r="S1180" s="33"/>
      <c r="T1180" s="39">
        <v>375000</v>
      </c>
      <c r="U1180" s="40" t="s">
        <v>1229</v>
      </c>
      <c r="V1180" s="41"/>
      <c r="W1180" s="42" t="str">
        <f ca="1">IFERROR(__xludf.DUMMYFUNCTION("""COMPUTED_VALUE"""),"Ozay adventure")</f>
        <v>Ozay adventure</v>
      </c>
      <c r="X1180" s="42" t="str">
        <f ca="1"/>
        <v>ON-Ozay adventure-00011900+10-6282229433259</v>
      </c>
      <c r="Y1180" s="40"/>
      <c r="Z1180" s="40"/>
      <c r="AA1180" s="23" t="str">
        <v>https://wa.me/6282229433259</v>
      </c>
      <c r="AB1180" s="28"/>
      <c r="AC1180" s="28"/>
      <c r="AD1180" s="28"/>
      <c r="AE1180" s="28"/>
      <c r="AF1180" s="29"/>
      <c r="AG1180" s="29"/>
    </row>
    <row r="1181" spans="1:33" ht="15.75" customHeight="1">
      <c r="A1181" s="32" t="s">
        <v>196</v>
      </c>
      <c r="B1181" s="33">
        <v>1206</v>
      </c>
      <c r="C1181" s="34" t="s">
        <v>6587</v>
      </c>
      <c r="D1181" s="35">
        <v>45945.630474201389</v>
      </c>
      <c r="E1181" s="43">
        <v>45945</v>
      </c>
      <c r="F1181" s="32" t="s">
        <v>6588</v>
      </c>
      <c r="G1181" s="32" t="s">
        <v>6589</v>
      </c>
      <c r="H1181" s="32" t="s">
        <v>6590</v>
      </c>
      <c r="I1181" s="36" t="s">
        <v>6591</v>
      </c>
      <c r="J1181" s="52"/>
      <c r="K1181" s="32" t="s">
        <v>6592</v>
      </c>
      <c r="L1181" s="32" t="s">
        <v>59</v>
      </c>
      <c r="M1181" s="32" t="s">
        <v>60</v>
      </c>
      <c r="N1181" s="33">
        <v>5</v>
      </c>
      <c r="O1181" s="35">
        <v>45948</v>
      </c>
      <c r="P1181" s="35">
        <v>45952</v>
      </c>
      <c r="Q1181" s="37"/>
      <c r="R1181" s="38"/>
      <c r="S1181" s="33"/>
      <c r="T1181" s="39">
        <v>197000</v>
      </c>
      <c r="U1181" s="40" t="s">
        <v>61</v>
      </c>
      <c r="V1181" s="41"/>
      <c r="W1181" s="42" t="str">
        <f ca="1">IFERROR(__xludf.DUMMYFUNCTION("""COMPUTED_VALUE"""),"CV Tirta")</f>
        <v>CV Tirta</v>
      </c>
      <c r="X1181" s="42" t="str">
        <f ca="1"/>
        <v>ON-CV Tirta-00011900+5-6285295804136</v>
      </c>
      <c r="Y1181" s="40" t="s">
        <v>62</v>
      </c>
      <c r="Z1181" s="40" t="s">
        <v>1465</v>
      </c>
      <c r="AA1181" s="23" t="str">
        <v>https://wa.me/6285295804136</v>
      </c>
      <c r="AB1181" s="28" t="s">
        <v>6593</v>
      </c>
      <c r="AC1181" s="28"/>
      <c r="AD1181" s="28" t="s">
        <v>690</v>
      </c>
      <c r="AE1181" s="28"/>
      <c r="AF1181" s="29"/>
      <c r="AG1181" s="29"/>
    </row>
    <row r="1182" spans="1:33" ht="15.75" customHeight="1">
      <c r="A1182" s="32" t="s">
        <v>196</v>
      </c>
      <c r="B1182" s="33">
        <v>1208</v>
      </c>
      <c r="C1182" s="34" t="s">
        <v>6594</v>
      </c>
      <c r="D1182" s="35">
        <v>45945.644666643522</v>
      </c>
      <c r="E1182" s="43">
        <v>45945</v>
      </c>
      <c r="F1182" s="32"/>
      <c r="G1182" s="32" t="s">
        <v>6595</v>
      </c>
      <c r="H1182" s="32" t="s">
        <v>6596</v>
      </c>
      <c r="I1182" s="36" t="s">
        <v>6597</v>
      </c>
      <c r="J1182" s="52"/>
      <c r="K1182" s="32" t="s">
        <v>6598</v>
      </c>
      <c r="L1182" s="32" t="s">
        <v>4758</v>
      </c>
      <c r="M1182" s="32" t="s">
        <v>60</v>
      </c>
      <c r="N1182" s="33">
        <v>14</v>
      </c>
      <c r="O1182" s="35">
        <v>45948</v>
      </c>
      <c r="P1182" s="35">
        <v>45961</v>
      </c>
      <c r="Q1182" s="37"/>
      <c r="R1182" s="38"/>
      <c r="S1182" s="33"/>
      <c r="T1182" s="39">
        <v>550000</v>
      </c>
      <c r="U1182" s="40" t="s">
        <v>61</v>
      </c>
      <c r="V1182" s="41"/>
      <c r="W1182" s="42" t="str">
        <f ca="1">IFERROR(__xludf.DUMMYFUNCTION("""COMPUTED_VALUE"""),"Jogja Duta")</f>
        <v>Jogja Duta</v>
      </c>
      <c r="X1182" s="42" t="str">
        <f ca="1"/>
        <v>ON-Jogja Duta-00011900+14-6282134821545</v>
      </c>
      <c r="Y1182" s="40" t="s">
        <v>62</v>
      </c>
      <c r="Z1182" s="40" t="s">
        <v>1880</v>
      </c>
      <c r="AA1182" s="23" t="str">
        <v>https://wa.me/6282134821545</v>
      </c>
      <c r="AB1182" s="28" t="s">
        <v>6599</v>
      </c>
      <c r="AC1182" s="28"/>
      <c r="AD1182" s="28" t="s">
        <v>690</v>
      </c>
      <c r="AE1182" s="28"/>
      <c r="AF1182" s="29"/>
      <c r="AG1182" s="29"/>
    </row>
    <row r="1183" spans="1:33" ht="15.75" customHeight="1">
      <c r="A1183" s="32" t="s">
        <v>52</v>
      </c>
      <c r="B1183" s="33">
        <v>1209</v>
      </c>
      <c r="C1183" s="34" t="s">
        <v>6600</v>
      </c>
      <c r="D1183" s="35">
        <v>45946.306937928239</v>
      </c>
      <c r="E1183" s="43">
        <v>45946</v>
      </c>
      <c r="F1183" s="32" t="s">
        <v>4809</v>
      </c>
      <c r="G1183" s="32" t="s">
        <v>4810</v>
      </c>
      <c r="H1183" s="32" t="s">
        <v>4199</v>
      </c>
      <c r="I1183" s="36" t="s">
        <v>4811</v>
      </c>
      <c r="J1183" s="52" t="s">
        <v>4812</v>
      </c>
      <c r="K1183" s="32" t="s">
        <v>4813</v>
      </c>
      <c r="L1183" s="32" t="s">
        <v>2500</v>
      </c>
      <c r="M1183" s="32" t="s">
        <v>249</v>
      </c>
      <c r="N1183" s="33">
        <v>5</v>
      </c>
      <c r="O1183" s="35"/>
      <c r="P1183" s="35"/>
      <c r="Q1183" s="37"/>
      <c r="R1183" s="38"/>
      <c r="S1183" s="33"/>
      <c r="T1183" s="39">
        <v>197000</v>
      </c>
      <c r="U1183" s="40" t="s">
        <v>1774</v>
      </c>
      <c r="V1183" s="41"/>
      <c r="W1183" s="42" t="str">
        <f ca="1">IFERROR(__xludf.DUMMYFUNCTION("""COMPUTED_VALUE"""),"Bangun kreasi")</f>
        <v>Bangun kreasi</v>
      </c>
      <c r="X1183" s="42" t="str">
        <f ca="1"/>
        <v>ON-Bangun kreasi-00011900+5-6281223735839</v>
      </c>
      <c r="Y1183" s="40"/>
      <c r="Z1183" s="40"/>
      <c r="AA1183" s="23" t="str">
        <v>https://wa.me/6281223735839</v>
      </c>
      <c r="AB1183" s="28"/>
      <c r="AC1183" s="28"/>
      <c r="AD1183" s="28"/>
      <c r="AE1183" s="28"/>
      <c r="AF1183" s="29"/>
      <c r="AG1183" s="29"/>
    </row>
    <row r="1184" spans="1:33" ht="15.75" customHeight="1">
      <c r="A1184" s="32" t="s">
        <v>52</v>
      </c>
      <c r="B1184" s="33">
        <v>1210</v>
      </c>
      <c r="C1184" s="34" t="s">
        <v>6601</v>
      </c>
      <c r="D1184" s="35">
        <v>45946.328841712966</v>
      </c>
      <c r="E1184" s="43">
        <v>45946</v>
      </c>
      <c r="F1184" s="32" t="s">
        <v>80</v>
      </c>
      <c r="G1184" s="32" t="s">
        <v>4950</v>
      </c>
      <c r="H1184" s="32" t="s">
        <v>4951</v>
      </c>
      <c r="I1184" s="36" t="s">
        <v>4952</v>
      </c>
      <c r="J1184" s="52" t="s">
        <v>4953</v>
      </c>
      <c r="K1184" s="32" t="s">
        <v>4954</v>
      </c>
      <c r="L1184" s="32" t="s">
        <v>4751</v>
      </c>
      <c r="M1184" s="32" t="s">
        <v>249</v>
      </c>
      <c r="N1184" s="33">
        <v>5</v>
      </c>
      <c r="O1184" s="35"/>
      <c r="P1184" s="35"/>
      <c r="Q1184" s="37"/>
      <c r="R1184" s="38"/>
      <c r="S1184" s="33"/>
      <c r="T1184" s="39">
        <v>197000</v>
      </c>
      <c r="U1184" s="40" t="s">
        <v>1774</v>
      </c>
      <c r="V1184" s="41"/>
      <c r="W1184" s="42" t="str">
        <f ca="1">IFERROR(__xludf.DUMMYFUNCTION("""COMPUTED_VALUE"""),"PT Wastu")</f>
        <v>PT Wastu</v>
      </c>
      <c r="X1184" s="42" t="str">
        <f ca="1"/>
        <v>ON-PT Wastu-00011900+5-628562882464</v>
      </c>
      <c r="Y1184" s="40"/>
      <c r="Z1184" s="40"/>
      <c r="AA1184" s="23" t="str">
        <v>https://wa.me/628562882464</v>
      </c>
      <c r="AB1184" s="28"/>
      <c r="AC1184" s="28"/>
      <c r="AD1184" s="28"/>
      <c r="AE1184" s="28"/>
      <c r="AF1184" s="29"/>
      <c r="AG1184" s="29"/>
    </row>
    <row r="1185" spans="1:33" ht="15.75" customHeight="1">
      <c r="A1185" s="32" t="s">
        <v>52</v>
      </c>
      <c r="B1185" s="33">
        <v>1210</v>
      </c>
      <c r="C1185" s="34" t="s">
        <v>6601</v>
      </c>
      <c r="D1185" s="35">
        <v>45946.495223888887</v>
      </c>
      <c r="E1185" s="43">
        <v>45946</v>
      </c>
      <c r="F1185" s="32" t="s">
        <v>6441</v>
      </c>
      <c r="G1185" s="32" t="s">
        <v>6442</v>
      </c>
      <c r="H1185" s="32" t="s">
        <v>5697</v>
      </c>
      <c r="I1185" s="36" t="s">
        <v>6443</v>
      </c>
      <c r="J1185" s="52" t="s">
        <v>6444</v>
      </c>
      <c r="K1185" s="32" t="s">
        <v>4421</v>
      </c>
      <c r="L1185" s="32" t="s">
        <v>4783</v>
      </c>
      <c r="M1185" s="32" t="s">
        <v>726</v>
      </c>
      <c r="N1185" s="33">
        <v>5</v>
      </c>
      <c r="O1185" s="35"/>
      <c r="P1185" s="35"/>
      <c r="Q1185" s="37"/>
      <c r="R1185" s="38"/>
      <c r="S1185" s="33"/>
      <c r="T1185" s="39">
        <v>197000</v>
      </c>
      <c r="U1185" s="40" t="s">
        <v>1774</v>
      </c>
      <c r="V1185" s="41"/>
      <c r="W1185" s="42" t="str">
        <f ca="1">IFERROR(__xludf.DUMMYFUNCTION("""COMPUTED_VALUE"""),"Berkat teknik")</f>
        <v>Berkat teknik</v>
      </c>
      <c r="X1185" s="42" t="str">
        <f ca="1"/>
        <v>ON-Berkat teknik-00011900+5-6281355539323</v>
      </c>
      <c r="Y1185" s="40"/>
      <c r="Z1185" s="40"/>
      <c r="AA1185" s="23" t="str">
        <v>https://wa.me/6281355539323</v>
      </c>
      <c r="AB1185" s="28"/>
      <c r="AC1185" s="28"/>
      <c r="AD1185" s="28"/>
      <c r="AE1185" s="28"/>
      <c r="AF1185" s="29"/>
      <c r="AG1185" s="29"/>
    </row>
    <row r="1186" spans="1:33" ht="15.75" customHeight="1">
      <c r="A1186" s="32" t="s">
        <v>52</v>
      </c>
      <c r="B1186" s="33">
        <v>1211</v>
      </c>
      <c r="C1186" s="34" t="s">
        <v>6602</v>
      </c>
      <c r="D1186" s="35">
        <v>45946.630532337964</v>
      </c>
      <c r="E1186" s="43">
        <v>45946</v>
      </c>
      <c r="F1186" s="32" t="s">
        <v>738</v>
      </c>
      <c r="G1186" s="32" t="s">
        <v>739</v>
      </c>
      <c r="H1186" s="32" t="s">
        <v>740</v>
      </c>
      <c r="I1186" s="36" t="s">
        <v>741</v>
      </c>
      <c r="J1186" s="52"/>
      <c r="K1186" s="32" t="s">
        <v>1262</v>
      </c>
      <c r="L1186" s="32" t="s">
        <v>629</v>
      </c>
      <c r="M1186" s="32" t="s">
        <v>743</v>
      </c>
      <c r="N1186" s="33">
        <v>14</v>
      </c>
      <c r="O1186" s="35"/>
      <c r="P1186" s="35"/>
      <c r="Q1186" s="37"/>
      <c r="R1186" s="38"/>
      <c r="S1186" s="33"/>
      <c r="T1186" s="39">
        <v>500000</v>
      </c>
      <c r="U1186" s="40" t="s">
        <v>115</v>
      </c>
      <c r="V1186" s="41"/>
      <c r="W1186" s="42" t="str">
        <f ca="1">IFERROR(__xludf.DUMMYFUNCTION("""COMPUTED_VALUE"""),"PT. Panorama")</f>
        <v>PT. Panorama</v>
      </c>
      <c r="X1186" s="42" t="str">
        <f ca="1"/>
        <v>ON-PT. Panorama-00011900+14-628122102657</v>
      </c>
      <c r="Y1186" s="40"/>
      <c r="Z1186" s="40"/>
      <c r="AA1186" s="23" t="str">
        <v>https://wa.me/628122102657</v>
      </c>
      <c r="AB1186" s="28"/>
      <c r="AC1186" s="28"/>
      <c r="AD1186" s="28"/>
      <c r="AE1186" s="28"/>
      <c r="AF1186" s="29"/>
      <c r="AG1186" s="29"/>
    </row>
    <row r="1187" spans="1:33" ht="15.75" customHeight="1">
      <c r="A1187" s="32" t="s">
        <v>196</v>
      </c>
      <c r="B1187" s="33">
        <v>1212</v>
      </c>
      <c r="C1187" s="34" t="s">
        <v>6603</v>
      </c>
      <c r="D1187" s="35">
        <v>45946.644619664352</v>
      </c>
      <c r="E1187" s="43">
        <v>45946</v>
      </c>
      <c r="F1187" s="32" t="s">
        <v>6604</v>
      </c>
      <c r="G1187" s="32" t="s">
        <v>6605</v>
      </c>
      <c r="H1187" s="32" t="s">
        <v>6606</v>
      </c>
      <c r="I1187" s="36" t="s">
        <v>6607</v>
      </c>
      <c r="J1187" s="52"/>
      <c r="K1187" s="32" t="s">
        <v>6608</v>
      </c>
      <c r="L1187" s="32" t="s">
        <v>92</v>
      </c>
      <c r="M1187" s="32" t="s">
        <v>285</v>
      </c>
      <c r="N1187" s="33">
        <v>5</v>
      </c>
      <c r="O1187" s="35">
        <v>45951</v>
      </c>
      <c r="P1187" s="35">
        <v>45955</v>
      </c>
      <c r="Q1187" s="37"/>
      <c r="R1187" s="38"/>
      <c r="S1187" s="33"/>
      <c r="T1187" s="39">
        <v>197000</v>
      </c>
      <c r="U1187" s="40" t="s">
        <v>1229</v>
      </c>
      <c r="V1187" s="41"/>
      <c r="W1187" s="42" t="str">
        <f ca="1">IFERROR(__xludf.DUMMYFUNCTION("""COMPUTED_VALUE"""),"yayasan AA")</f>
        <v>yayasan AA</v>
      </c>
      <c r="X1187" s="42" t="str">
        <f ca="1"/>
        <v>ON-yayasan AA-00011900+5-6281932016179</v>
      </c>
      <c r="Y1187" s="40" t="s">
        <v>62</v>
      </c>
      <c r="Z1187" s="40" t="s">
        <v>1404</v>
      </c>
      <c r="AA1187" s="23" t="str">
        <v>https://wa.me/6281932016179</v>
      </c>
      <c r="AB1187" s="28" t="s">
        <v>6609</v>
      </c>
      <c r="AC1187" s="28"/>
      <c r="AD1187" s="28" t="s">
        <v>690</v>
      </c>
      <c r="AE1187" s="28"/>
      <c r="AF1187" s="29"/>
      <c r="AG1187" s="29"/>
    </row>
    <row r="1188" spans="1:33" ht="15.75" customHeight="1">
      <c r="A1188" s="32" t="s">
        <v>196</v>
      </c>
      <c r="B1188" s="33">
        <v>1213</v>
      </c>
      <c r="C1188" s="34" t="s">
        <v>6610</v>
      </c>
      <c r="D1188" s="35">
        <v>45946.690949849537</v>
      </c>
      <c r="E1188" s="43">
        <v>45946</v>
      </c>
      <c r="F1188" s="32" t="s">
        <v>6611</v>
      </c>
      <c r="G1188" s="32" t="s">
        <v>6612</v>
      </c>
      <c r="H1188" s="32" t="s">
        <v>6613</v>
      </c>
      <c r="I1188" s="36" t="s">
        <v>6614</v>
      </c>
      <c r="J1188" s="52" t="s">
        <v>6615</v>
      </c>
      <c r="K1188" s="32" t="s">
        <v>1194</v>
      </c>
      <c r="L1188" s="32" t="s">
        <v>4096</v>
      </c>
      <c r="M1188" s="32" t="s">
        <v>60</v>
      </c>
      <c r="N1188" s="33">
        <v>5</v>
      </c>
      <c r="O1188" s="35">
        <v>45949</v>
      </c>
      <c r="P1188" s="35">
        <v>45953</v>
      </c>
      <c r="Q1188" s="37"/>
      <c r="R1188" s="38"/>
      <c r="S1188" s="33"/>
      <c r="T1188" s="39">
        <v>197000</v>
      </c>
      <c r="U1188" s="40"/>
      <c r="V1188" s="41"/>
      <c r="W1188" s="42" t="str">
        <f ca="1">IFERROR(__xludf.DUMMYFUNCTION("""COMPUTED_VALUE"""),"Tiariz Tour")</f>
        <v>Tiariz Tour</v>
      </c>
      <c r="X1188" s="42" t="str">
        <f ca="1"/>
        <v>ON-Tiariz Tour-00011900+5-6281327272773</v>
      </c>
      <c r="Y1188" s="40" t="s">
        <v>62</v>
      </c>
      <c r="Z1188" s="40" t="s">
        <v>1880</v>
      </c>
      <c r="AA1188" s="23" t="str">
        <v>https://wa.me/6281327272773</v>
      </c>
      <c r="AB1188" s="28" t="s">
        <v>6616</v>
      </c>
      <c r="AC1188" s="28"/>
      <c r="AD1188" s="28" t="s">
        <v>690</v>
      </c>
      <c r="AE1188" s="28"/>
      <c r="AF1188" s="29"/>
      <c r="AG1188" s="29"/>
    </row>
    <row r="1189" spans="1:33" ht="15.75" customHeight="1">
      <c r="A1189" s="32" t="s">
        <v>196</v>
      </c>
      <c r="B1189" s="33">
        <v>1214</v>
      </c>
      <c r="C1189" s="34" t="s">
        <v>6617</v>
      </c>
      <c r="D1189" s="35">
        <v>45946.805464548612</v>
      </c>
      <c r="E1189" s="43">
        <v>45946</v>
      </c>
      <c r="F1189" s="32" t="s">
        <v>6618</v>
      </c>
      <c r="G1189" s="32" t="s">
        <v>6619</v>
      </c>
      <c r="H1189" s="32" t="s">
        <v>6620</v>
      </c>
      <c r="I1189" s="36" t="s">
        <v>6621</v>
      </c>
      <c r="J1189" s="52"/>
      <c r="K1189" s="32" t="s">
        <v>6622</v>
      </c>
      <c r="L1189" s="32" t="s">
        <v>1926</v>
      </c>
      <c r="M1189" s="32" t="s">
        <v>6134</v>
      </c>
      <c r="N1189" s="33">
        <v>5</v>
      </c>
      <c r="O1189" s="35">
        <v>45949</v>
      </c>
      <c r="P1189" s="35">
        <v>45953</v>
      </c>
      <c r="Q1189" s="37"/>
      <c r="R1189" s="38"/>
      <c r="S1189" s="33"/>
      <c r="T1189" s="39">
        <v>197000</v>
      </c>
      <c r="U1189" s="40" t="s">
        <v>61</v>
      </c>
      <c r="V1189" s="41"/>
      <c r="W1189" s="42" t="str">
        <f ca="1">IFERROR(__xludf.DUMMYFUNCTION("""COMPUTED_VALUE"""),"Adnan Pijat")</f>
        <v>Adnan Pijat</v>
      </c>
      <c r="X1189" s="42" t="str">
        <f ca="1"/>
        <v>ON-Adnan Pijat-00011900+5-6282228814370</v>
      </c>
      <c r="Y1189" s="40" t="s">
        <v>62</v>
      </c>
      <c r="Z1189" s="40" t="s">
        <v>639</v>
      </c>
      <c r="AA1189" s="23" t="str">
        <v>https://wa.me/6282228814370</v>
      </c>
      <c r="AB1189" s="28" t="s">
        <v>6623</v>
      </c>
      <c r="AC1189" s="28"/>
      <c r="AD1189" s="28" t="s">
        <v>690</v>
      </c>
      <c r="AE1189" s="28"/>
      <c r="AF1189" s="29"/>
      <c r="AG1189" s="29"/>
    </row>
    <row r="1190" spans="1:33" ht="15.75" customHeight="1">
      <c r="A1190" s="32" t="s">
        <v>621</v>
      </c>
      <c r="B1190" s="33">
        <v>1215</v>
      </c>
      <c r="C1190" s="34" t="s">
        <v>6624</v>
      </c>
      <c r="D1190" s="35">
        <v>45946.805931793977</v>
      </c>
      <c r="E1190" s="43">
        <v>45946</v>
      </c>
      <c r="F1190" s="32" t="s">
        <v>6625</v>
      </c>
      <c r="G1190" s="32" t="s">
        <v>6626</v>
      </c>
      <c r="H1190" s="32" t="s">
        <v>6627</v>
      </c>
      <c r="I1190" s="36" t="s">
        <v>6628</v>
      </c>
      <c r="J1190" s="52" t="s">
        <v>6629</v>
      </c>
      <c r="K1190" s="32" t="s">
        <v>6630</v>
      </c>
      <c r="L1190" s="32" t="s">
        <v>2500</v>
      </c>
      <c r="M1190" s="32" t="s">
        <v>1714</v>
      </c>
      <c r="N1190" s="33">
        <v>5</v>
      </c>
      <c r="O1190" s="35"/>
      <c r="P1190" s="35"/>
      <c r="Q1190" s="37"/>
      <c r="R1190" s="38"/>
      <c r="S1190" s="33"/>
      <c r="T1190" s="39">
        <v>197000</v>
      </c>
      <c r="U1190" s="40" t="s">
        <v>61</v>
      </c>
      <c r="V1190" s="41"/>
      <c r="W1190" s="42" t="str">
        <f ca="1">IFERROR(__xludf.DUMMYFUNCTION("""COMPUTED_VALUE"""),"Klinik Beauty")</f>
        <v>Klinik Beauty</v>
      </c>
      <c r="X1190" s="42" t="str">
        <f ca="1"/>
        <v>ON-Klinik Beauty-00011900+5-6289504615502</v>
      </c>
      <c r="Y1190" s="40"/>
      <c r="Z1190" s="40"/>
      <c r="AA1190" s="23" t="str">
        <v>https://wa.me/6289504615502</v>
      </c>
      <c r="AB1190" s="28"/>
      <c r="AC1190" s="28"/>
      <c r="AD1190" s="28"/>
      <c r="AE1190" s="28"/>
      <c r="AF1190" s="29"/>
      <c r="AG1190" s="29"/>
    </row>
    <row r="1191" spans="1:33" ht="15.75" customHeight="1">
      <c r="A1191" s="32" t="s">
        <v>52</v>
      </c>
      <c r="B1191" s="33">
        <v>1216</v>
      </c>
      <c r="C1191" s="34" t="s">
        <v>6631</v>
      </c>
      <c r="D1191" s="35">
        <v>45946.808457025458</v>
      </c>
      <c r="E1191" s="43">
        <v>45946</v>
      </c>
      <c r="F1191" s="32" t="s">
        <v>484</v>
      </c>
      <c r="G1191" s="32" t="s">
        <v>6632</v>
      </c>
      <c r="H1191" s="32"/>
      <c r="I1191" s="36" t="s">
        <v>487</v>
      </c>
      <c r="J1191" s="52"/>
      <c r="K1191" s="32" t="s">
        <v>6633</v>
      </c>
      <c r="L1191" s="32" t="s">
        <v>2050</v>
      </c>
      <c r="M1191" s="32" t="s">
        <v>5643</v>
      </c>
      <c r="N1191" s="33">
        <v>7</v>
      </c>
      <c r="O1191" s="35"/>
      <c r="P1191" s="35"/>
      <c r="Q1191" s="37"/>
      <c r="R1191" s="38"/>
      <c r="S1191" s="33"/>
      <c r="T1191" s="39">
        <v>297000</v>
      </c>
      <c r="U1191" s="40" t="s">
        <v>61</v>
      </c>
      <c r="V1191" s="41"/>
      <c r="W1191" s="42" t="str">
        <f ca="1">IFERROR(__xludf.DUMMYFUNCTION("""COMPUTED_VALUE"""),"Lowongan Pekerjaan")</f>
        <v>Lowongan Pekerjaan</v>
      </c>
      <c r="X1191" s="42" t="str">
        <f ca="1"/>
        <v>ON-Lowongan Pekerjaan-00011900+7-6281904501876</v>
      </c>
      <c r="Y1191" s="40"/>
      <c r="Z1191" s="40"/>
      <c r="AA1191" s="23" t="str">
        <v>https://wa.me/6281904501876</v>
      </c>
      <c r="AB1191" s="28"/>
      <c r="AC1191" s="28"/>
      <c r="AD1191" s="28"/>
      <c r="AE1191" s="28"/>
      <c r="AF1191" s="29"/>
      <c r="AG1191" s="29"/>
    </row>
    <row r="1192" spans="1:33" ht="15.75" customHeight="1">
      <c r="A1192" s="32" t="s">
        <v>196</v>
      </c>
      <c r="B1192" s="33">
        <v>1217</v>
      </c>
      <c r="C1192" s="34" t="s">
        <v>6634</v>
      </c>
      <c r="D1192" s="35">
        <v>45946.82310469907</v>
      </c>
      <c r="E1192" s="43">
        <v>45946</v>
      </c>
      <c r="F1192" s="32" t="s">
        <v>6635</v>
      </c>
      <c r="G1192" s="32" t="s">
        <v>6636</v>
      </c>
      <c r="H1192" s="32" t="s">
        <v>6637</v>
      </c>
      <c r="I1192" s="36" t="s">
        <v>6638</v>
      </c>
      <c r="J1192" s="52"/>
      <c r="K1192" s="32" t="s">
        <v>6639</v>
      </c>
      <c r="L1192" s="32" t="s">
        <v>3750</v>
      </c>
      <c r="M1192" s="32" t="s">
        <v>60</v>
      </c>
      <c r="N1192" s="33">
        <v>5</v>
      </c>
      <c r="O1192" s="35">
        <v>45949</v>
      </c>
      <c r="P1192" s="35">
        <v>45953</v>
      </c>
      <c r="Q1192" s="37"/>
      <c r="R1192" s="38"/>
      <c r="S1192" s="33"/>
      <c r="T1192" s="39">
        <v>197000</v>
      </c>
      <c r="U1192" s="40"/>
      <c r="V1192" s="41"/>
      <c r="W1192" s="42" t="str">
        <f ca="1">IFERROR(__xludf.DUMMYFUNCTION("""COMPUTED_VALUE"""),"Desi -")</f>
        <v>Desi -</v>
      </c>
      <c r="X1192" s="42" t="str">
        <f ca="1"/>
        <v>ON-Desi --00011900+5-6287782210321</v>
      </c>
      <c r="Y1192" s="40" t="s">
        <v>62</v>
      </c>
      <c r="Z1192" s="40" t="s">
        <v>294</v>
      </c>
      <c r="AA1192" s="23" t="str">
        <v>https://wa.me/6287782210321</v>
      </c>
      <c r="AB1192" s="28" t="s">
        <v>6640</v>
      </c>
      <c r="AC1192" s="28"/>
      <c r="AD1192" s="28" t="s">
        <v>690</v>
      </c>
      <c r="AE1192" s="28"/>
      <c r="AF1192" s="29"/>
      <c r="AG1192" s="29"/>
    </row>
    <row r="1193" spans="1:33" ht="15.75" customHeight="1">
      <c r="A1193" s="32" t="s">
        <v>52</v>
      </c>
      <c r="B1193" s="33">
        <v>1218</v>
      </c>
      <c r="C1193" s="34" t="s">
        <v>6641</v>
      </c>
      <c r="D1193" s="35">
        <v>45946.848604583334</v>
      </c>
      <c r="E1193" s="43">
        <v>45946</v>
      </c>
      <c r="F1193" s="32" t="s">
        <v>1751</v>
      </c>
      <c r="G1193" s="32" t="s">
        <v>1752</v>
      </c>
      <c r="H1193" s="32" t="s">
        <v>1753</v>
      </c>
      <c r="I1193" s="36" t="s">
        <v>1754</v>
      </c>
      <c r="J1193" s="52"/>
      <c r="K1193" s="32" t="s">
        <v>1755</v>
      </c>
      <c r="L1193" s="32" t="s">
        <v>1542</v>
      </c>
      <c r="M1193" s="32" t="s">
        <v>60</v>
      </c>
      <c r="N1193" s="33">
        <v>10</v>
      </c>
      <c r="O1193" s="35"/>
      <c r="P1193" s="35"/>
      <c r="Q1193" s="37"/>
      <c r="R1193" s="38"/>
      <c r="S1193" s="33"/>
      <c r="T1193" s="39">
        <v>375000</v>
      </c>
      <c r="U1193" s="40" t="s">
        <v>61</v>
      </c>
      <c r="V1193" s="41"/>
      <c r="W1193" s="42" t="str">
        <f ca="1">IFERROR(__xludf.DUMMYFUNCTION("""COMPUTED_VALUE"""),"Rumah Terapi")</f>
        <v>Rumah Terapi</v>
      </c>
      <c r="X1193" s="42" t="str">
        <f ca="1"/>
        <v>ON-Rumah Terapi-00011900+10-6281779578317</v>
      </c>
      <c r="Y1193" s="40"/>
      <c r="Z1193" s="40"/>
      <c r="AA1193" s="23" t="str">
        <v>https://wa.me/6281779578317</v>
      </c>
      <c r="AB1193" s="28"/>
      <c r="AC1193" s="28"/>
      <c r="AD1193" s="28"/>
      <c r="AE1193" s="28"/>
      <c r="AF1193" s="29"/>
      <c r="AG1193" s="29"/>
    </row>
    <row r="1194" spans="1:33" ht="15.75" customHeight="1">
      <c r="A1194" s="32" t="s">
        <v>196</v>
      </c>
      <c r="B1194" s="33">
        <v>1219</v>
      </c>
      <c r="C1194" s="34" t="s">
        <v>6642</v>
      </c>
      <c r="D1194" s="35">
        <v>45946.936407175926</v>
      </c>
      <c r="E1194" s="43">
        <v>45946</v>
      </c>
      <c r="F1194" s="32" t="s">
        <v>6643</v>
      </c>
      <c r="G1194" s="32" t="s">
        <v>6644</v>
      </c>
      <c r="H1194" s="32" t="s">
        <v>6645</v>
      </c>
      <c r="I1194" s="36" t="s">
        <v>6646</v>
      </c>
      <c r="J1194" s="52"/>
      <c r="K1194" s="32" t="s">
        <v>6647</v>
      </c>
      <c r="L1194" s="32" t="s">
        <v>726</v>
      </c>
      <c r="M1194" s="32" t="s">
        <v>5643</v>
      </c>
      <c r="N1194" s="33">
        <v>10</v>
      </c>
      <c r="O1194" s="35">
        <v>45949</v>
      </c>
      <c r="P1194" s="35">
        <v>45958</v>
      </c>
      <c r="Q1194" s="37"/>
      <c r="R1194" s="38"/>
      <c r="S1194" s="33"/>
      <c r="T1194" s="39">
        <v>375000</v>
      </c>
      <c r="U1194" s="40" t="s">
        <v>61</v>
      </c>
      <c r="V1194" s="41"/>
      <c r="W1194" s="42" t="str">
        <f ca="1">IFERROR(__xludf.DUMMYFUNCTION("""COMPUTED_VALUE"""),"17COFFE")</f>
        <v>17COFFE</v>
      </c>
      <c r="X1194" s="42" t="str">
        <f ca="1"/>
        <v>ON-17COFFE-00011900+10-6283834613639</v>
      </c>
      <c r="Y1194" s="40" t="s">
        <v>62</v>
      </c>
      <c r="Z1194" s="40" t="s">
        <v>1861</v>
      </c>
      <c r="AA1194" s="23" t="str">
        <v>https://wa.me/6283834613639</v>
      </c>
      <c r="AB1194" s="28" t="s">
        <v>6648</v>
      </c>
      <c r="AC1194" s="28"/>
      <c r="AD1194" s="28" t="s">
        <v>690</v>
      </c>
      <c r="AE1194" s="28"/>
      <c r="AF1194" s="29"/>
      <c r="AG1194" s="29"/>
    </row>
    <row r="1195" spans="1:33" ht="15.75" customHeight="1">
      <c r="A1195" s="32" t="s">
        <v>196</v>
      </c>
      <c r="B1195" s="33">
        <v>1220</v>
      </c>
      <c r="C1195" s="34" t="s">
        <v>6649</v>
      </c>
      <c r="D1195" s="35">
        <v>45947.293441064816</v>
      </c>
      <c r="E1195" s="43">
        <v>45947</v>
      </c>
      <c r="F1195" s="32" t="s">
        <v>6650</v>
      </c>
      <c r="G1195" s="32" t="s">
        <v>6651</v>
      </c>
      <c r="H1195" s="32" t="s">
        <v>6652</v>
      </c>
      <c r="I1195" s="36" t="s">
        <v>6653</v>
      </c>
      <c r="J1195" s="52"/>
      <c r="K1195" s="32" t="s">
        <v>2725</v>
      </c>
      <c r="L1195" s="32" t="s">
        <v>1763</v>
      </c>
      <c r="M1195" s="32" t="s">
        <v>1534</v>
      </c>
      <c r="N1195" s="33">
        <v>7</v>
      </c>
      <c r="O1195" s="35">
        <v>45949</v>
      </c>
      <c r="P1195" s="35">
        <v>45955</v>
      </c>
      <c r="Q1195" s="37"/>
      <c r="R1195" s="38"/>
      <c r="S1195" s="33"/>
      <c r="T1195" s="39">
        <v>297000</v>
      </c>
      <c r="U1195" s="40" t="s">
        <v>1229</v>
      </c>
      <c r="V1195" s="41"/>
      <c r="W1195" s="42" t="str">
        <f ca="1">IFERROR(__xludf.DUMMYFUNCTION("""COMPUTED_VALUE"""),"SAE project")</f>
        <v>SAE project</v>
      </c>
      <c r="X1195" s="42" t="str">
        <f ca="1"/>
        <v>ON-SAE project-00011900+7-6285177465204</v>
      </c>
      <c r="Y1195" s="40" t="s">
        <v>293</v>
      </c>
      <c r="Z1195" s="40" t="s">
        <v>1057</v>
      </c>
      <c r="AA1195" s="23" t="str">
        <v>https://wa.me/6285177465204</v>
      </c>
      <c r="AB1195" s="28" t="s">
        <v>6654</v>
      </c>
      <c r="AC1195" s="28"/>
      <c r="AD1195" s="28" t="s">
        <v>690</v>
      </c>
      <c r="AE1195" s="28"/>
      <c r="AF1195" s="29"/>
      <c r="AG1195" s="29"/>
    </row>
    <row r="1196" spans="1:33" ht="15.75" customHeight="1">
      <c r="A1196" s="32" t="s">
        <v>52</v>
      </c>
      <c r="B1196" s="33">
        <v>1221</v>
      </c>
      <c r="C1196" s="34" t="s">
        <v>6655</v>
      </c>
      <c r="D1196" s="35">
        <v>45947.356964629631</v>
      </c>
      <c r="E1196" s="43">
        <v>45947</v>
      </c>
      <c r="F1196" s="32" t="s">
        <v>6449</v>
      </c>
      <c r="G1196" s="32" t="s">
        <v>6450</v>
      </c>
      <c r="H1196" s="32" t="s">
        <v>3535</v>
      </c>
      <c r="I1196" s="36" t="s">
        <v>3039</v>
      </c>
      <c r="J1196" s="52"/>
      <c r="K1196" s="32" t="s">
        <v>6451</v>
      </c>
      <c r="L1196" s="32" t="s">
        <v>3538</v>
      </c>
      <c r="M1196" s="32" t="s">
        <v>382</v>
      </c>
      <c r="N1196" s="33">
        <v>30</v>
      </c>
      <c r="O1196" s="35"/>
      <c r="P1196" s="35"/>
      <c r="Q1196" s="37"/>
      <c r="R1196" s="38"/>
      <c r="S1196" s="33"/>
      <c r="T1196" s="39">
        <v>1000000</v>
      </c>
      <c r="U1196" s="40" t="s">
        <v>115</v>
      </c>
      <c r="V1196" s="41"/>
      <c r="W1196" s="42" t="str">
        <f ca="1">IFERROR(__xludf.DUMMYFUNCTION("""COMPUTED_VALUE"""),"BANDUNG AUTO")</f>
        <v>BANDUNG AUTO</v>
      </c>
      <c r="X1196" s="42" t="str">
        <f ca="1"/>
        <v>ON-BANDUNG AUTO-00011900+30-6287790276733</v>
      </c>
      <c r="Y1196" s="40"/>
      <c r="Z1196" s="40"/>
      <c r="AA1196" s="23" t="str">
        <v>https://wa.me/6287790276733</v>
      </c>
      <c r="AB1196" s="28"/>
      <c r="AC1196" s="28"/>
      <c r="AD1196" s="28"/>
      <c r="AE1196" s="28"/>
      <c r="AF1196" s="29"/>
      <c r="AG1196" s="29"/>
    </row>
    <row r="1197" spans="1:33" ht="15.75" customHeight="1">
      <c r="A1197" s="32" t="s">
        <v>621</v>
      </c>
      <c r="B1197" s="33">
        <v>1222</v>
      </c>
      <c r="C1197" s="34" t="s">
        <v>6656</v>
      </c>
      <c r="D1197" s="35">
        <v>45947.420942662036</v>
      </c>
      <c r="E1197" s="43">
        <v>45947</v>
      </c>
      <c r="F1197" s="32" t="s">
        <v>6657</v>
      </c>
      <c r="G1197" s="32" t="s">
        <v>6658</v>
      </c>
      <c r="H1197" s="32" t="s">
        <v>6659</v>
      </c>
      <c r="I1197" s="36" t="s">
        <v>6660</v>
      </c>
      <c r="J1197" s="52"/>
      <c r="K1197" s="32" t="s">
        <v>570</v>
      </c>
      <c r="L1197" s="32" t="s">
        <v>6661</v>
      </c>
      <c r="M1197" s="32" t="s">
        <v>4047</v>
      </c>
      <c r="N1197" s="33">
        <v>5</v>
      </c>
      <c r="O1197" s="35"/>
      <c r="P1197" s="35"/>
      <c r="Q1197" s="37"/>
      <c r="R1197" s="38"/>
      <c r="S1197" s="33"/>
      <c r="T1197" s="39">
        <v>197000</v>
      </c>
      <c r="U1197" s="40" t="s">
        <v>1229</v>
      </c>
      <c r="V1197" s="41"/>
      <c r="W1197" s="42" t="str">
        <f ca="1">IFERROR(__xludf.DUMMYFUNCTION("""COMPUTED_VALUE"""),"Klein reality")</f>
        <v>Klein reality</v>
      </c>
      <c r="X1197" s="42" t="str">
        <f ca="1"/>
        <v>ON-Klein reality-00011900+5-6281287627383</v>
      </c>
      <c r="Y1197" s="40" t="s">
        <v>293</v>
      </c>
      <c r="Z1197" s="40" t="s">
        <v>1057</v>
      </c>
      <c r="AA1197" s="23" t="str">
        <v>https://wa.me/6281287627383</v>
      </c>
      <c r="AB1197" s="28"/>
      <c r="AC1197" s="28"/>
      <c r="AD1197" s="28"/>
      <c r="AE1197" s="28"/>
      <c r="AF1197" s="29"/>
      <c r="AG1197" s="29"/>
    </row>
    <row r="1198" spans="1:33" ht="15.75" customHeight="1">
      <c r="A1198" s="32" t="s">
        <v>52</v>
      </c>
      <c r="B1198" s="33">
        <v>1223</v>
      </c>
      <c r="C1198" s="34" t="s">
        <v>6662</v>
      </c>
      <c r="D1198" s="35">
        <v>45947.422654780094</v>
      </c>
      <c r="E1198" s="43">
        <v>45947</v>
      </c>
      <c r="F1198" s="32" t="s">
        <v>5814</v>
      </c>
      <c r="G1198" s="32" t="s">
        <v>5815</v>
      </c>
      <c r="H1198" s="32" t="s">
        <v>5816</v>
      </c>
      <c r="I1198" s="36" t="s">
        <v>6663</v>
      </c>
      <c r="J1198" s="52" t="s">
        <v>5818</v>
      </c>
      <c r="K1198" s="32" t="s">
        <v>6664</v>
      </c>
      <c r="L1198" s="32" t="s">
        <v>5820</v>
      </c>
      <c r="M1198" s="32" t="s">
        <v>285</v>
      </c>
      <c r="N1198" s="33">
        <v>30</v>
      </c>
      <c r="O1198" s="35"/>
      <c r="P1198" s="35"/>
      <c r="Q1198" s="37"/>
      <c r="R1198" s="38"/>
      <c r="S1198" s="33"/>
      <c r="T1198" s="39">
        <v>1000000</v>
      </c>
      <c r="U1198" s="40" t="s">
        <v>1229</v>
      </c>
      <c r="V1198" s="41"/>
      <c r="W1198" s="42" t="str">
        <f ca="1">IFERROR(__xludf.DUMMYFUNCTION("""COMPUTED_VALUE"""),"Interior home")</f>
        <v>Interior home</v>
      </c>
      <c r="X1198" s="42" t="str">
        <f ca="1"/>
        <v>ON-Interior home-00011900+30-6285869301245</v>
      </c>
      <c r="Y1198" s="40"/>
      <c r="Z1198" s="40"/>
      <c r="AA1198" s="23" t="str">
        <v>https://wa.me/6285869301245</v>
      </c>
      <c r="AB1198" s="28"/>
      <c r="AC1198" s="28"/>
      <c r="AD1198" s="28"/>
      <c r="AE1198" s="28"/>
      <c r="AF1198" s="29"/>
      <c r="AG1198" s="29"/>
    </row>
    <row r="1199" spans="1:33" ht="15.75" customHeight="1">
      <c r="A1199" s="32" t="s">
        <v>52</v>
      </c>
      <c r="B1199" s="33">
        <v>1224</v>
      </c>
      <c r="C1199" s="34" t="s">
        <v>6665</v>
      </c>
      <c r="D1199" s="35">
        <v>45947.450253148148</v>
      </c>
      <c r="E1199" s="43">
        <v>45947</v>
      </c>
      <c r="F1199" s="32" t="s">
        <v>3547</v>
      </c>
      <c r="G1199" s="32" t="s">
        <v>6666</v>
      </c>
      <c r="H1199" s="32" t="s">
        <v>2248</v>
      </c>
      <c r="I1199" s="36" t="s">
        <v>3549</v>
      </c>
      <c r="J1199" s="52" t="s">
        <v>2090</v>
      </c>
      <c r="K1199" s="32" t="s">
        <v>6667</v>
      </c>
      <c r="L1199" s="32" t="s">
        <v>2780</v>
      </c>
      <c r="M1199" s="32" t="s">
        <v>60</v>
      </c>
      <c r="N1199" s="33">
        <v>20</v>
      </c>
      <c r="O1199" s="35"/>
      <c r="P1199" s="35"/>
      <c r="Q1199" s="37"/>
      <c r="R1199" s="38"/>
      <c r="S1199" s="33"/>
      <c r="T1199" s="39">
        <v>700000</v>
      </c>
      <c r="U1199" s="40" t="s">
        <v>61</v>
      </c>
      <c r="V1199" s="41"/>
      <c r="W1199" s="42" t="str">
        <f ca="1">IFERROR(__xludf.DUMMYFUNCTION("""COMPUTED_VALUE"""),"PT Kirana")</f>
        <v>PT Kirana</v>
      </c>
      <c r="X1199" s="42" t="str">
        <f ca="1"/>
        <v>ON-PT Kirana-00011900+20-6281363504410</v>
      </c>
      <c r="Y1199" s="40"/>
      <c r="Z1199" s="40"/>
      <c r="AA1199" s="23" t="str">
        <v>https://wa.me/6281363504410</v>
      </c>
      <c r="AB1199" s="28"/>
      <c r="AC1199" s="28"/>
      <c r="AD1199" s="28"/>
      <c r="AE1199" s="28"/>
      <c r="AF1199" s="29"/>
      <c r="AG1199" s="29"/>
    </row>
    <row r="1200" spans="1:33" ht="15.75" customHeight="1">
      <c r="A1200" s="32" t="s">
        <v>196</v>
      </c>
      <c r="B1200" s="33">
        <v>1226</v>
      </c>
      <c r="C1200" s="34" t="s">
        <v>6668</v>
      </c>
      <c r="D1200" s="35">
        <v>45947.574863171292</v>
      </c>
      <c r="E1200" s="43">
        <v>45947</v>
      </c>
      <c r="F1200" s="32" t="s">
        <v>6669</v>
      </c>
      <c r="G1200" s="32" t="s">
        <v>6670</v>
      </c>
      <c r="H1200" s="32" t="s">
        <v>6670</v>
      </c>
      <c r="I1200" s="36" t="s">
        <v>6671</v>
      </c>
      <c r="J1200" s="52" t="s">
        <v>6672</v>
      </c>
      <c r="K1200" s="32" t="s">
        <v>6673</v>
      </c>
      <c r="L1200" s="32" t="s">
        <v>6674</v>
      </c>
      <c r="M1200" s="32" t="s">
        <v>1080</v>
      </c>
      <c r="N1200" s="33">
        <v>10</v>
      </c>
      <c r="O1200" s="35">
        <v>45950</v>
      </c>
      <c r="P1200" s="35">
        <v>45959</v>
      </c>
      <c r="Q1200" s="37"/>
      <c r="R1200" s="38"/>
      <c r="S1200" s="33"/>
      <c r="T1200" s="39">
        <v>375000</v>
      </c>
      <c r="U1200" s="40" t="s">
        <v>1229</v>
      </c>
      <c r="V1200" s="41"/>
      <c r="W1200" s="42" t="str">
        <f ca="1">IFERROR(__xludf.DUMMYFUNCTION("""COMPUTED_VALUE"""),"wifi myrepublic")</f>
        <v>wifi myrepublic</v>
      </c>
      <c r="X1200" s="42" t="str">
        <f ca="1"/>
        <v>ON-wifi myrepublic-00011900+10-6282226387170</v>
      </c>
      <c r="Y1200" s="40" t="s">
        <v>62</v>
      </c>
      <c r="Z1200" s="40" t="s">
        <v>1465</v>
      </c>
      <c r="AA1200" s="23" t="str">
        <v>https://wa.me/6282226387170</v>
      </c>
      <c r="AB1200" s="28" t="s">
        <v>6675</v>
      </c>
      <c r="AC1200" s="28"/>
      <c r="AD1200" s="28" t="s">
        <v>690</v>
      </c>
      <c r="AE1200" s="28"/>
      <c r="AF1200" s="29"/>
      <c r="AG1200" s="29"/>
    </row>
    <row r="1201" spans="1:33" ht="15.75" customHeight="1">
      <c r="A1201" s="32" t="s">
        <v>52</v>
      </c>
      <c r="B1201" s="33">
        <v>1227</v>
      </c>
      <c r="C1201" s="34" t="s">
        <v>6676</v>
      </c>
      <c r="D1201" s="35">
        <v>45947.630783553243</v>
      </c>
      <c r="E1201" s="43">
        <v>45947</v>
      </c>
      <c r="F1201" s="32" t="s">
        <v>6261</v>
      </c>
      <c r="G1201" s="32" t="s">
        <v>6262</v>
      </c>
      <c r="H1201" s="32" t="s">
        <v>6263</v>
      </c>
      <c r="I1201" s="36" t="s">
        <v>6264</v>
      </c>
      <c r="J1201" s="52" t="s">
        <v>6677</v>
      </c>
      <c r="K1201" s="32" t="s">
        <v>6678</v>
      </c>
      <c r="L1201" s="32" t="s">
        <v>99</v>
      </c>
      <c r="M1201" s="32" t="s">
        <v>60</v>
      </c>
      <c r="N1201" s="33">
        <v>7</v>
      </c>
      <c r="O1201" s="35"/>
      <c r="P1201" s="35"/>
      <c r="Q1201" s="37"/>
      <c r="R1201" s="38"/>
      <c r="S1201" s="33"/>
      <c r="T1201" s="39">
        <v>297000</v>
      </c>
      <c r="U1201" s="40" t="s">
        <v>61</v>
      </c>
      <c r="V1201" s="41"/>
      <c r="W1201" s="42" t="str">
        <f ca="1">IFERROR(__xludf.DUMMYFUNCTION("""COMPUTED_VALUE"""),"Kusuma Tiara")</f>
        <v>Kusuma Tiara</v>
      </c>
      <c r="X1201" s="42" t="str">
        <f ca="1"/>
        <v>ON-Kusuma Tiara-00011900+7-6282170648491</v>
      </c>
      <c r="Y1201" s="40"/>
      <c r="Z1201" s="40"/>
      <c r="AA1201" s="23" t="str">
        <v>https://wa.me/6282170648491</v>
      </c>
      <c r="AB1201" s="28"/>
      <c r="AC1201" s="28"/>
      <c r="AD1201" s="28"/>
      <c r="AE1201" s="28"/>
      <c r="AF1201" s="29"/>
      <c r="AG1201" s="29"/>
    </row>
    <row r="1202" spans="1:33" ht="15.75" customHeight="1">
      <c r="A1202" s="32" t="s">
        <v>196</v>
      </c>
      <c r="B1202" s="33">
        <v>1229</v>
      </c>
      <c r="C1202" s="34" t="s">
        <v>6679</v>
      </c>
      <c r="D1202" s="35">
        <v>45947.67899320602</v>
      </c>
      <c r="E1202" s="43">
        <v>45947</v>
      </c>
      <c r="F1202" s="32" t="s">
        <v>6657</v>
      </c>
      <c r="G1202" s="32" t="s">
        <v>6680</v>
      </c>
      <c r="H1202" s="32" t="s">
        <v>6659</v>
      </c>
      <c r="I1202" s="36" t="s">
        <v>6660</v>
      </c>
      <c r="J1202" s="52"/>
      <c r="K1202" s="32" t="s">
        <v>570</v>
      </c>
      <c r="L1202" s="32" t="s">
        <v>6661</v>
      </c>
      <c r="M1202" s="32" t="s">
        <v>4047</v>
      </c>
      <c r="N1202" s="33">
        <v>5</v>
      </c>
      <c r="O1202" s="35">
        <v>45950</v>
      </c>
      <c r="P1202" s="35">
        <v>45954</v>
      </c>
      <c r="Q1202" s="37"/>
      <c r="R1202" s="38"/>
      <c r="S1202" s="33"/>
      <c r="T1202" s="39">
        <v>197000</v>
      </c>
      <c r="U1202" s="40" t="s">
        <v>1229</v>
      </c>
      <c r="V1202" s="41"/>
      <c r="W1202" s="42" t="str">
        <f ca="1">IFERROR(__xludf.DUMMYFUNCTION("""COMPUTED_VALUE"""),"Kleik reality")</f>
        <v>Kleik reality</v>
      </c>
      <c r="X1202" s="42" t="str">
        <f ca="1"/>
        <v>ON-Kleik reality-00011900+5-6281287627383</v>
      </c>
      <c r="Y1202" s="40" t="s">
        <v>293</v>
      </c>
      <c r="Z1202" s="40" t="s">
        <v>1057</v>
      </c>
      <c r="AA1202" s="23" t="str">
        <v>https://wa.me/6281287627383</v>
      </c>
      <c r="AB1202" s="28" t="s">
        <v>6681</v>
      </c>
      <c r="AC1202" s="28"/>
      <c r="AD1202" s="28" t="s">
        <v>690</v>
      </c>
      <c r="AE1202" s="28"/>
      <c r="AF1202" s="29"/>
      <c r="AG1202" s="29"/>
    </row>
    <row r="1203" spans="1:33" ht="15.75" customHeight="1">
      <c r="A1203" s="32" t="s">
        <v>52</v>
      </c>
      <c r="B1203" s="33">
        <v>1230</v>
      </c>
      <c r="C1203" s="34" t="s">
        <v>6682</v>
      </c>
      <c r="D1203" s="35">
        <v>45947.849661504632</v>
      </c>
      <c r="E1203" s="43">
        <v>45947</v>
      </c>
      <c r="F1203" s="32" t="s">
        <v>5814</v>
      </c>
      <c r="G1203" s="32" t="s">
        <v>5815</v>
      </c>
      <c r="H1203" s="32" t="s">
        <v>5816</v>
      </c>
      <c r="I1203" s="36" t="s">
        <v>6663</v>
      </c>
      <c r="J1203" s="52" t="s">
        <v>5818</v>
      </c>
      <c r="K1203" s="32"/>
      <c r="L1203" s="32" t="s">
        <v>5820</v>
      </c>
      <c r="M1203" s="32" t="s">
        <v>285</v>
      </c>
      <c r="N1203" s="33">
        <v>30</v>
      </c>
      <c r="O1203" s="35"/>
      <c r="P1203" s="35"/>
      <c r="Q1203" s="37"/>
      <c r="R1203" s="38"/>
      <c r="S1203" s="33"/>
      <c r="T1203" s="39">
        <v>1000000</v>
      </c>
      <c r="U1203" s="40" t="s">
        <v>1229</v>
      </c>
      <c r="V1203" s="41"/>
      <c r="W1203" s="42" t="str">
        <f ca="1">IFERROR(__xludf.DUMMYFUNCTION("""COMPUTED_VALUE"""),"Interior home")</f>
        <v>Interior home</v>
      </c>
      <c r="X1203" s="42" t="str">
        <f ca="1"/>
        <v>ON-Interior home-00011900+30-6285869301245</v>
      </c>
      <c r="Y1203" s="40"/>
      <c r="Z1203" s="40"/>
      <c r="AA1203" s="23" t="str">
        <v>https://wa.me/6285869301245</v>
      </c>
      <c r="AB1203" s="28"/>
      <c r="AC1203" s="28"/>
      <c r="AD1203" s="28"/>
      <c r="AE1203" s="28"/>
      <c r="AF1203" s="29"/>
      <c r="AG1203" s="29"/>
    </row>
    <row r="1204" spans="1:33" ht="15.75" customHeight="1">
      <c r="A1204" s="32" t="s">
        <v>196</v>
      </c>
      <c r="B1204" s="33">
        <v>1231</v>
      </c>
      <c r="C1204" s="34" t="s">
        <v>6683</v>
      </c>
      <c r="D1204" s="35">
        <v>45947.851144675922</v>
      </c>
      <c r="E1204" s="43">
        <v>45947</v>
      </c>
      <c r="F1204" s="32" t="s">
        <v>6684</v>
      </c>
      <c r="G1204" s="32" t="s">
        <v>6685</v>
      </c>
      <c r="H1204" s="32" t="s">
        <v>6686</v>
      </c>
      <c r="I1204" s="36" t="s">
        <v>6687</v>
      </c>
      <c r="J1204" s="52"/>
      <c r="K1204" s="32" t="s">
        <v>6688</v>
      </c>
      <c r="L1204" s="32" t="s">
        <v>2291</v>
      </c>
      <c r="M1204" s="32" t="s">
        <v>60</v>
      </c>
      <c r="N1204" s="33">
        <v>5</v>
      </c>
      <c r="O1204" s="35">
        <v>45950</v>
      </c>
      <c r="P1204" s="35">
        <v>45954</v>
      </c>
      <c r="Q1204" s="37"/>
      <c r="R1204" s="38"/>
      <c r="S1204" s="33"/>
      <c r="T1204" s="39">
        <v>197000</v>
      </c>
      <c r="U1204" s="40" t="s">
        <v>61</v>
      </c>
      <c r="V1204" s="41"/>
      <c r="W1204" s="42" t="str">
        <f ca="1">IFERROR(__xludf.DUMMYFUNCTION("""COMPUTED_VALUE"""),"Hydroterapi Air")</f>
        <v>Hydroterapi Air</v>
      </c>
      <c r="X1204" s="42" t="str">
        <f ca="1"/>
        <v>ON-Hydroterapi Air-00011900+5-6281330759646</v>
      </c>
      <c r="Y1204" s="40" t="s">
        <v>62</v>
      </c>
      <c r="Z1204" s="40" t="s">
        <v>1861</v>
      </c>
      <c r="AA1204" s="23" t="str">
        <v>https://wa.me/6281330759646</v>
      </c>
      <c r="AB1204" s="28" t="s">
        <v>6689</v>
      </c>
      <c r="AC1204" s="28"/>
      <c r="AD1204" s="28" t="s">
        <v>690</v>
      </c>
      <c r="AE1204" s="28"/>
      <c r="AF1204" s="29"/>
      <c r="AG1204" s="29"/>
    </row>
    <row r="1205" spans="1:33" ht="15.75" customHeight="1">
      <c r="A1205" s="32" t="s">
        <v>196</v>
      </c>
      <c r="B1205" s="33">
        <v>1232</v>
      </c>
      <c r="C1205" s="34" t="s">
        <v>6690</v>
      </c>
      <c r="D1205" s="35">
        <v>45947.858177152782</v>
      </c>
      <c r="E1205" s="43">
        <v>45947</v>
      </c>
      <c r="F1205" s="32" t="s">
        <v>6691</v>
      </c>
      <c r="G1205" s="32" t="s">
        <v>6692</v>
      </c>
      <c r="H1205" s="32" t="s">
        <v>907</v>
      </c>
      <c r="I1205" s="36" t="s">
        <v>6693</v>
      </c>
      <c r="J1205" s="52"/>
      <c r="K1205" s="32" t="s">
        <v>570</v>
      </c>
      <c r="L1205" s="32" t="s">
        <v>85</v>
      </c>
      <c r="M1205" s="32" t="s">
        <v>60</v>
      </c>
      <c r="N1205" s="33">
        <v>5</v>
      </c>
      <c r="O1205" s="35">
        <v>45951</v>
      </c>
      <c r="P1205" s="35">
        <v>45955</v>
      </c>
      <c r="Q1205" s="37"/>
      <c r="R1205" s="38"/>
      <c r="S1205" s="33"/>
      <c r="T1205" s="39">
        <v>197000</v>
      </c>
      <c r="U1205" s="40" t="s">
        <v>61</v>
      </c>
      <c r="V1205" s="41"/>
      <c r="W1205" s="42" t="str">
        <f ca="1">IFERROR(__xludf.DUMMYFUNCTION("""COMPUTED_VALUE"""),"Ray White")</f>
        <v>Ray White</v>
      </c>
      <c r="X1205" s="42" t="str">
        <f ca="1"/>
        <v>ON-Ray White-00011900+5-6281287393915</v>
      </c>
      <c r="Y1205" s="40" t="s">
        <v>293</v>
      </c>
      <c r="Z1205" s="40" t="s">
        <v>1057</v>
      </c>
      <c r="AA1205" s="23" t="str">
        <v>https://wa.me/6281287393915</v>
      </c>
      <c r="AB1205" s="28" t="s">
        <v>6694</v>
      </c>
      <c r="AC1205" s="28"/>
      <c r="AD1205" s="28" t="s">
        <v>690</v>
      </c>
      <c r="AE1205" s="28"/>
      <c r="AF1205" s="29"/>
      <c r="AG1205" s="29"/>
    </row>
    <row r="1206" spans="1:33" ht="15.75" customHeight="1">
      <c r="A1206" s="32" t="s">
        <v>196</v>
      </c>
      <c r="B1206" s="33">
        <v>1233</v>
      </c>
      <c r="C1206" s="34" t="s">
        <v>6695</v>
      </c>
      <c r="D1206" s="35">
        <v>45947.863122187497</v>
      </c>
      <c r="E1206" s="43">
        <v>45947</v>
      </c>
      <c r="F1206" s="32" t="s">
        <v>6696</v>
      </c>
      <c r="G1206" s="32" t="s">
        <v>6697</v>
      </c>
      <c r="H1206" s="32" t="s">
        <v>6698</v>
      </c>
      <c r="I1206" s="36" t="s">
        <v>6699</v>
      </c>
      <c r="J1206" s="52"/>
      <c r="K1206" s="32" t="s">
        <v>6700</v>
      </c>
      <c r="L1206" s="32" t="s">
        <v>92</v>
      </c>
      <c r="M1206" s="32" t="s">
        <v>60</v>
      </c>
      <c r="N1206" s="33">
        <v>5</v>
      </c>
      <c r="O1206" s="35">
        <v>45950</v>
      </c>
      <c r="P1206" s="35">
        <v>45954</v>
      </c>
      <c r="Q1206" s="37"/>
      <c r="R1206" s="38"/>
      <c r="S1206" s="33"/>
      <c r="T1206" s="39">
        <v>197000</v>
      </c>
      <c r="U1206" s="40" t="s">
        <v>61</v>
      </c>
      <c r="V1206" s="41"/>
      <c r="W1206" s="42" t="str">
        <f ca="1">IFERROR(__xludf.DUMMYFUNCTION("""COMPUTED_VALUE"""),"Bintang Motor")</f>
        <v>Bintang Motor</v>
      </c>
      <c r="X1206" s="42" t="str">
        <f ca="1"/>
        <v>ON-Bintang Motor-00011900+5-6285145256777</v>
      </c>
      <c r="Y1206" s="40" t="s">
        <v>62</v>
      </c>
      <c r="Z1206" s="40" t="s">
        <v>294</v>
      </c>
      <c r="AA1206" s="23" t="str">
        <v>https://wa.me/6285145256777</v>
      </c>
      <c r="AB1206" s="28" t="s">
        <v>6701</v>
      </c>
      <c r="AC1206" s="28"/>
      <c r="AD1206" s="28" t="s">
        <v>690</v>
      </c>
      <c r="AE1206" s="28"/>
      <c r="AF1206" s="29"/>
      <c r="AG1206" s="29"/>
    </row>
    <row r="1207" spans="1:33" ht="15.75" customHeight="1">
      <c r="A1207" s="32" t="s">
        <v>196</v>
      </c>
      <c r="B1207" s="33">
        <v>1234</v>
      </c>
      <c r="C1207" s="34" t="s">
        <v>6702</v>
      </c>
      <c r="D1207" s="35">
        <v>45947.870549583335</v>
      </c>
      <c r="E1207" s="43">
        <v>45947</v>
      </c>
      <c r="F1207" s="32" t="s">
        <v>6703</v>
      </c>
      <c r="G1207" s="32" t="s">
        <v>6704</v>
      </c>
      <c r="H1207" s="32" t="s">
        <v>6705</v>
      </c>
      <c r="I1207" s="36" t="s">
        <v>6706</v>
      </c>
      <c r="J1207" s="52"/>
      <c r="K1207" s="32" t="s">
        <v>6707</v>
      </c>
      <c r="L1207" s="32" t="s">
        <v>1491</v>
      </c>
      <c r="M1207" s="32" t="s">
        <v>60</v>
      </c>
      <c r="N1207" s="33">
        <v>5</v>
      </c>
      <c r="O1207" s="35">
        <v>45951</v>
      </c>
      <c r="P1207" s="35">
        <v>45955</v>
      </c>
      <c r="Q1207" s="37"/>
      <c r="R1207" s="38"/>
      <c r="S1207" s="33"/>
      <c r="T1207" s="39">
        <v>197000</v>
      </c>
      <c r="U1207" s="40" t="s">
        <v>61</v>
      </c>
      <c r="V1207" s="41"/>
      <c r="W1207" s="42" t="str">
        <f ca="1">IFERROR(__xludf.DUMMYFUNCTION("""COMPUTED_VALUE"""),"MOVINITE")</f>
        <v>MOVINITE</v>
      </c>
      <c r="X1207" s="42" t="str">
        <f ca="1"/>
        <v>ON-MOVINITE-00011900+5-628112349706</v>
      </c>
      <c r="Y1207" s="40" t="s">
        <v>62</v>
      </c>
      <c r="Z1207" s="40" t="s">
        <v>1465</v>
      </c>
      <c r="AA1207" s="23" t="str">
        <v>https://wa.me/628112349706</v>
      </c>
      <c r="AB1207" s="28" t="s">
        <v>6708</v>
      </c>
      <c r="AC1207" s="28"/>
      <c r="AD1207" s="28" t="s">
        <v>690</v>
      </c>
      <c r="AE1207" s="28"/>
      <c r="AF1207" s="29"/>
      <c r="AG1207" s="29"/>
    </row>
    <row r="1208" spans="1:33" ht="15.75" customHeight="1">
      <c r="A1208" s="32" t="s">
        <v>196</v>
      </c>
      <c r="B1208" s="33">
        <v>1235</v>
      </c>
      <c r="C1208" s="34" t="s">
        <v>6709</v>
      </c>
      <c r="D1208" s="35">
        <v>45947.877305127317</v>
      </c>
      <c r="E1208" s="43">
        <v>45947</v>
      </c>
      <c r="F1208" s="32" t="s">
        <v>6710</v>
      </c>
      <c r="G1208" s="32" t="s">
        <v>6711</v>
      </c>
      <c r="H1208" s="32" t="s">
        <v>1522</v>
      </c>
      <c r="I1208" s="36" t="s">
        <v>6712</v>
      </c>
      <c r="J1208" s="52"/>
      <c r="K1208" s="32" t="s">
        <v>6713</v>
      </c>
      <c r="L1208" s="32" t="s">
        <v>490</v>
      </c>
      <c r="M1208" s="32" t="s">
        <v>60</v>
      </c>
      <c r="N1208" s="33">
        <v>5</v>
      </c>
      <c r="O1208" s="35">
        <v>45950</v>
      </c>
      <c r="P1208" s="35">
        <v>45954</v>
      </c>
      <c r="Q1208" s="37"/>
      <c r="R1208" s="38"/>
      <c r="S1208" s="33"/>
      <c r="T1208" s="39">
        <v>197000</v>
      </c>
      <c r="U1208" s="40" t="s">
        <v>61</v>
      </c>
      <c r="V1208" s="41"/>
      <c r="W1208" s="42" t="str">
        <f ca="1">IFERROR(__xludf.DUMMYFUNCTION("""COMPUTED_VALUE"""),"Omega Life")</f>
        <v>Omega Life</v>
      </c>
      <c r="X1208" s="42" t="str">
        <f ca="1"/>
        <v>ON-Omega Life-00011900+5-62895703252001</v>
      </c>
      <c r="Y1208" s="40" t="s">
        <v>62</v>
      </c>
      <c r="Z1208" s="40" t="s">
        <v>639</v>
      </c>
      <c r="AA1208" s="23" t="str">
        <v>https://wa.me/62895703252001</v>
      </c>
      <c r="AB1208" s="28" t="s">
        <v>6714</v>
      </c>
      <c r="AC1208" s="28"/>
      <c r="AD1208" s="28" t="s">
        <v>690</v>
      </c>
      <c r="AE1208" s="28"/>
      <c r="AF1208" s="29"/>
      <c r="AG1208" s="29"/>
    </row>
    <row r="1209" spans="1:33" ht="15.75" customHeight="1">
      <c r="A1209" s="32" t="s">
        <v>52</v>
      </c>
      <c r="B1209" s="33">
        <v>1235</v>
      </c>
      <c r="C1209" s="34" t="s">
        <v>6709</v>
      </c>
      <c r="D1209" s="35">
        <v>45948.417422361112</v>
      </c>
      <c r="E1209" s="43">
        <v>45948</v>
      </c>
      <c r="F1209" s="32" t="s">
        <v>6417</v>
      </c>
      <c r="G1209" s="32" t="s">
        <v>6418</v>
      </c>
      <c r="H1209" s="32" t="s">
        <v>6419</v>
      </c>
      <c r="I1209" s="36" t="s">
        <v>6420</v>
      </c>
      <c r="J1209" s="52"/>
      <c r="K1209" s="32" t="s">
        <v>570</v>
      </c>
      <c r="L1209" s="32" t="s">
        <v>4783</v>
      </c>
      <c r="M1209" s="32" t="s">
        <v>6421</v>
      </c>
      <c r="N1209" s="33">
        <v>10</v>
      </c>
      <c r="O1209" s="35"/>
      <c r="P1209" s="35"/>
      <c r="Q1209" s="37"/>
      <c r="R1209" s="38"/>
      <c r="S1209" s="33"/>
      <c r="T1209" s="39">
        <v>375000</v>
      </c>
      <c r="U1209" s="40" t="s">
        <v>1229</v>
      </c>
      <c r="V1209" s="41"/>
      <c r="W1209" s="42" t="str">
        <f ca="1">IFERROR(__xludf.DUMMYFUNCTION("""COMPUTED_VALUE"""),"Rudy jaya")</f>
        <v>Rudy jaya</v>
      </c>
      <c r="X1209" s="42" t="str">
        <f ca="1"/>
        <v>ON-Rudy jaya-00011900+10-6285280985750</v>
      </c>
      <c r="Y1209" s="40"/>
      <c r="Z1209" s="40"/>
      <c r="AA1209" s="23" t="str">
        <v>https://wa.me/6285280985750</v>
      </c>
      <c r="AB1209" s="28"/>
      <c r="AC1209" s="28"/>
      <c r="AD1209" s="28"/>
      <c r="AE1209" s="28"/>
      <c r="AF1209" s="29"/>
      <c r="AG1209" s="29"/>
    </row>
    <row r="1210" spans="1:33" ht="15.75" customHeight="1">
      <c r="A1210" s="32" t="s">
        <v>52</v>
      </c>
      <c r="B1210" s="33">
        <v>1236</v>
      </c>
      <c r="C1210" s="34" t="s">
        <v>6715</v>
      </c>
      <c r="D1210" s="35">
        <v>45948.418785405098</v>
      </c>
      <c r="E1210" s="33" t="s">
        <v>6716</v>
      </c>
      <c r="F1210" s="32" t="s">
        <v>6225</v>
      </c>
      <c r="G1210" s="32" t="s">
        <v>6226</v>
      </c>
      <c r="H1210" s="32" t="s">
        <v>495</v>
      </c>
      <c r="I1210" s="36" t="s">
        <v>6227</v>
      </c>
      <c r="J1210" s="52"/>
      <c r="K1210" s="32" t="s">
        <v>6228</v>
      </c>
      <c r="L1210" s="32" t="s">
        <v>3750</v>
      </c>
      <c r="M1210" s="32" t="s">
        <v>711</v>
      </c>
      <c r="N1210" s="33">
        <v>10</v>
      </c>
      <c r="O1210" s="35"/>
      <c r="P1210" s="35"/>
      <c r="Q1210" s="37"/>
      <c r="R1210" s="38"/>
      <c r="S1210" s="33"/>
      <c r="T1210" s="39">
        <v>375000</v>
      </c>
      <c r="U1210" s="40" t="s">
        <v>1229</v>
      </c>
      <c r="V1210" s="41"/>
      <c r="W1210" s="42" t="str">
        <f ca="1">IFERROR(__xludf.DUMMYFUNCTION("""COMPUTED_VALUE"""),"PT LWT")</f>
        <v>PT LWT</v>
      </c>
      <c r="X1210" s="42" t="str">
        <f ca="1"/>
        <v>ON-PT LWT-00011900+10-6287778585820</v>
      </c>
      <c r="Y1210" s="40"/>
      <c r="Z1210" s="40"/>
      <c r="AA1210" s="23" t="str">
        <v>https://wa.me/6287778585820</v>
      </c>
      <c r="AB1210" s="28"/>
      <c r="AC1210" s="28"/>
      <c r="AD1210" s="28"/>
      <c r="AE1210" s="28"/>
      <c r="AF1210" s="29"/>
      <c r="AG1210" s="29"/>
    </row>
    <row r="1211" spans="1:33" ht="15.75" customHeight="1">
      <c r="A1211" s="32" t="s">
        <v>52</v>
      </c>
      <c r="B1211" s="33">
        <v>1237</v>
      </c>
      <c r="C1211" s="34" t="s">
        <v>6717</v>
      </c>
      <c r="D1211" s="35">
        <v>45948.836607893521</v>
      </c>
      <c r="E1211" s="43">
        <v>45948</v>
      </c>
      <c r="F1211" s="32" t="s">
        <v>4042</v>
      </c>
      <c r="G1211" s="32" t="s">
        <v>4043</v>
      </c>
      <c r="H1211" s="32" t="s">
        <v>4044</v>
      </c>
      <c r="I1211" s="36" t="s">
        <v>4045</v>
      </c>
      <c r="J1211" s="52"/>
      <c r="K1211" s="32" t="s">
        <v>6024</v>
      </c>
      <c r="L1211" s="32" t="s">
        <v>4046</v>
      </c>
      <c r="M1211" s="32" t="s">
        <v>4047</v>
      </c>
      <c r="N1211" s="33">
        <v>20</v>
      </c>
      <c r="O1211" s="35"/>
      <c r="P1211" s="35"/>
      <c r="Q1211" s="37"/>
      <c r="R1211" s="38"/>
      <c r="S1211" s="33"/>
      <c r="T1211" s="39">
        <v>700000</v>
      </c>
      <c r="U1211" s="40" t="s">
        <v>1229</v>
      </c>
      <c r="V1211" s="41"/>
      <c r="W1211" s="42" t="str">
        <f ca="1">IFERROR(__xludf.DUMMYFUNCTION("""COMPUTED_VALUE"""),"pusat roster,bata")</f>
        <v>pusat roster,bata</v>
      </c>
      <c r="X1211" s="42" t="str">
        <f ca="1"/>
        <v>ON-pusat roster,bata-00011900+20-6285925102815</v>
      </c>
      <c r="Y1211" s="40"/>
      <c r="Z1211" s="40"/>
      <c r="AA1211" s="23" t="str">
        <v>https://wa.me/6285925102815</v>
      </c>
      <c r="AB1211" s="28"/>
      <c r="AC1211" s="28"/>
      <c r="AD1211" s="28"/>
      <c r="AE1211" s="28"/>
      <c r="AF1211" s="29"/>
      <c r="AG1211" s="29"/>
    </row>
    <row r="1212" spans="1:33" ht="15.75" customHeight="1">
      <c r="A1212" s="32" t="s">
        <v>52</v>
      </c>
      <c r="B1212" s="33">
        <v>1238</v>
      </c>
      <c r="C1212" s="34" t="s">
        <v>6718</v>
      </c>
      <c r="D1212" s="35">
        <v>45948.854470624996</v>
      </c>
      <c r="E1212" s="43">
        <v>45948</v>
      </c>
      <c r="F1212" s="32" t="s">
        <v>5534</v>
      </c>
      <c r="G1212" s="32" t="s">
        <v>5535</v>
      </c>
      <c r="H1212" s="32" t="s">
        <v>5536</v>
      </c>
      <c r="I1212" s="36" t="s">
        <v>5537</v>
      </c>
      <c r="J1212" s="52"/>
      <c r="K1212" s="32" t="s">
        <v>5709</v>
      </c>
      <c r="L1212" s="32" t="s">
        <v>1008</v>
      </c>
      <c r="M1212" s="32" t="s">
        <v>60</v>
      </c>
      <c r="N1212" s="33">
        <v>7</v>
      </c>
      <c r="O1212" s="35"/>
      <c r="P1212" s="35"/>
      <c r="Q1212" s="37"/>
      <c r="R1212" s="38"/>
      <c r="S1212" s="33"/>
      <c r="T1212" s="39">
        <v>297000</v>
      </c>
      <c r="U1212" s="40" t="s">
        <v>61</v>
      </c>
      <c r="V1212" s="41"/>
      <c r="W1212" s="42" t="str">
        <f ca="1">IFERROR(__xludf.DUMMYFUNCTION("""COMPUTED_VALUE"""),"Rumah Sehat")</f>
        <v>Rumah Sehat</v>
      </c>
      <c r="X1212" s="42" t="str">
        <f ca="1"/>
        <v>ON-Rumah Sehat-00011900+7-6281316122975</v>
      </c>
      <c r="Y1212" s="40"/>
      <c r="Z1212" s="40"/>
      <c r="AA1212" s="23" t="str">
        <v>https://wa.me/6281316122975</v>
      </c>
      <c r="AB1212" s="28"/>
      <c r="AC1212" s="28"/>
      <c r="AD1212" s="28"/>
      <c r="AE1212" s="28"/>
      <c r="AF1212" s="29"/>
      <c r="AG1212" s="29"/>
    </row>
    <row r="1213" spans="1:33" ht="15.75" customHeight="1">
      <c r="A1213" s="32" t="s">
        <v>196</v>
      </c>
      <c r="B1213" s="33">
        <v>1239</v>
      </c>
      <c r="C1213" s="34" t="s">
        <v>6719</v>
      </c>
      <c r="D1213" s="35">
        <v>45948.86967511574</v>
      </c>
      <c r="E1213" s="43">
        <v>45948</v>
      </c>
      <c r="F1213" s="32" t="s">
        <v>6720</v>
      </c>
      <c r="G1213" s="32" t="s">
        <v>6721</v>
      </c>
      <c r="H1213" s="32" t="s">
        <v>6722</v>
      </c>
      <c r="I1213" s="36" t="s">
        <v>6723</v>
      </c>
      <c r="J1213" s="52" t="s">
        <v>6724</v>
      </c>
      <c r="K1213" s="32" t="s">
        <v>6725</v>
      </c>
      <c r="L1213" s="32" t="s">
        <v>1643</v>
      </c>
      <c r="M1213" s="32" t="s">
        <v>48</v>
      </c>
      <c r="N1213" s="33">
        <v>5</v>
      </c>
      <c r="O1213" s="35">
        <v>45951</v>
      </c>
      <c r="P1213" s="35">
        <v>45955</v>
      </c>
      <c r="Q1213" s="37"/>
      <c r="R1213" s="38"/>
      <c r="S1213" s="33"/>
      <c r="T1213" s="39">
        <v>197000</v>
      </c>
      <c r="U1213" s="40" t="s">
        <v>61</v>
      </c>
      <c r="V1213" s="41"/>
      <c r="W1213" s="42" t="str">
        <f ca="1">IFERROR(__xludf.DUMMYFUNCTION("""COMPUTED_VALUE"""),"Alpha Sparepart")</f>
        <v>Alpha Sparepart</v>
      </c>
      <c r="X1213" s="42" t="str">
        <f ca="1"/>
        <v>ON-Alpha Sparepart-00011900+5-6285191214595</v>
      </c>
      <c r="Y1213" s="40" t="s">
        <v>62</v>
      </c>
      <c r="Z1213" s="40" t="s">
        <v>277</v>
      </c>
      <c r="AA1213" s="23" t="str">
        <v>https://wa.me/6285191214595</v>
      </c>
      <c r="AB1213" s="28" t="s">
        <v>6726</v>
      </c>
      <c r="AC1213" s="28"/>
      <c r="AD1213" s="28" t="s">
        <v>690</v>
      </c>
      <c r="AE1213" s="28"/>
      <c r="AF1213" s="29"/>
      <c r="AG1213" s="29"/>
    </row>
    <row r="1214" spans="1:33" ht="15.75" customHeight="1">
      <c r="A1214" s="32" t="s">
        <v>52</v>
      </c>
      <c r="B1214" s="33">
        <v>1240</v>
      </c>
      <c r="C1214" s="34" t="s">
        <v>6727</v>
      </c>
      <c r="D1214" s="35">
        <v>45949.217312824076</v>
      </c>
      <c r="E1214" s="43">
        <v>45948</v>
      </c>
      <c r="F1214" s="32" t="s">
        <v>6728</v>
      </c>
      <c r="G1214" s="32" t="s">
        <v>6729</v>
      </c>
      <c r="H1214" s="32" t="s">
        <v>6730</v>
      </c>
      <c r="I1214" s="36" t="s">
        <v>6731</v>
      </c>
      <c r="J1214" s="52" t="s">
        <v>6732</v>
      </c>
      <c r="K1214" s="32" t="s">
        <v>6733</v>
      </c>
      <c r="L1214" s="32" t="s">
        <v>92</v>
      </c>
      <c r="M1214" s="32" t="s">
        <v>60</v>
      </c>
      <c r="N1214" s="33">
        <v>5</v>
      </c>
      <c r="O1214" s="35"/>
      <c r="P1214" s="35"/>
      <c r="Q1214" s="37"/>
      <c r="R1214" s="38"/>
      <c r="S1214" s="33"/>
      <c r="T1214" s="39">
        <v>197000</v>
      </c>
      <c r="U1214" s="40" t="s">
        <v>61</v>
      </c>
      <c r="V1214" s="41"/>
      <c r="W1214" s="42" t="str">
        <f ca="1">IFERROR(__xludf.DUMMYFUNCTION("""COMPUTED_VALUE"""),"Selecta Technical")</f>
        <v>Selecta Technical</v>
      </c>
      <c r="X1214" s="42" t="str">
        <f ca="1"/>
        <v>ON-Selecta Technical-00011900+5-6287711729293</v>
      </c>
      <c r="Y1214" s="40"/>
      <c r="Z1214" s="40"/>
      <c r="AA1214" s="23" t="str">
        <v>https://wa.me/6287711729293</v>
      </c>
      <c r="AB1214" s="28"/>
      <c r="AC1214" s="28"/>
      <c r="AD1214" s="28"/>
      <c r="AE1214" s="28"/>
      <c r="AF1214" s="29"/>
      <c r="AG1214" s="29"/>
    </row>
    <row r="1215" spans="1:33" ht="15.75" customHeight="1">
      <c r="A1215" s="32" t="s">
        <v>52</v>
      </c>
      <c r="B1215" s="33">
        <v>1241</v>
      </c>
      <c r="C1215" s="34" t="s">
        <v>6734</v>
      </c>
      <c r="D1215" s="35">
        <v>45949.310017546297</v>
      </c>
      <c r="E1215" s="43">
        <v>45949</v>
      </c>
      <c r="F1215" s="32" t="s">
        <v>5845</v>
      </c>
      <c r="G1215" s="32" t="s">
        <v>5846</v>
      </c>
      <c r="H1215" s="32" t="s">
        <v>495</v>
      </c>
      <c r="I1215" s="36" t="s">
        <v>5847</v>
      </c>
      <c r="J1215" s="52"/>
      <c r="K1215" s="32" t="s">
        <v>6288</v>
      </c>
      <c r="L1215" s="32" t="s">
        <v>3079</v>
      </c>
      <c r="M1215" s="32" t="s">
        <v>285</v>
      </c>
      <c r="N1215" s="33">
        <v>14</v>
      </c>
      <c r="O1215" s="35"/>
      <c r="P1215" s="35"/>
      <c r="Q1215" s="37"/>
      <c r="R1215" s="38"/>
      <c r="S1215" s="33"/>
      <c r="T1215" s="39">
        <v>550000</v>
      </c>
      <c r="U1215" s="40" t="s">
        <v>1229</v>
      </c>
      <c r="V1215" s="41"/>
      <c r="W1215" s="42" t="str">
        <f ca="1">IFERROR(__xludf.DUMMYFUNCTION("""COMPUTED_VALUE"""),"Hariteknik arthabadi")</f>
        <v>Hariteknik arthabadi</v>
      </c>
      <c r="X1215" s="42" t="str">
        <f ca="1"/>
        <v>ON-Hariteknik arthabadi-00011900+14-6287823423000</v>
      </c>
      <c r="Y1215" s="40"/>
      <c r="Z1215" s="40"/>
      <c r="AA1215" s="23" t="str">
        <v>https://wa.me/6287823423000</v>
      </c>
      <c r="AB1215" s="28"/>
      <c r="AC1215" s="28"/>
      <c r="AD1215" s="28"/>
      <c r="AE1215" s="28"/>
      <c r="AF1215" s="29"/>
      <c r="AG1215" s="29"/>
    </row>
    <row r="1216" spans="1:33" ht="15.75" customHeight="1">
      <c r="A1216" s="32" t="s">
        <v>196</v>
      </c>
      <c r="B1216" s="33">
        <v>1243</v>
      </c>
      <c r="C1216" s="34" t="s">
        <v>6735</v>
      </c>
      <c r="D1216" s="35">
        <v>45949.381622893517</v>
      </c>
      <c r="E1216" s="43">
        <v>45948</v>
      </c>
      <c r="F1216" s="32" t="s">
        <v>6736</v>
      </c>
      <c r="G1216" s="32" t="s">
        <v>6737</v>
      </c>
      <c r="H1216" s="32" t="s">
        <v>6738</v>
      </c>
      <c r="I1216" s="36" t="s">
        <v>6739</v>
      </c>
      <c r="J1216" s="52" t="s">
        <v>6740</v>
      </c>
      <c r="K1216" s="32" t="s">
        <v>6741</v>
      </c>
      <c r="L1216" s="32" t="s">
        <v>4096</v>
      </c>
      <c r="M1216" s="32" t="s">
        <v>60</v>
      </c>
      <c r="N1216" s="33">
        <v>5</v>
      </c>
      <c r="O1216" s="35">
        <v>45951</v>
      </c>
      <c r="P1216" s="35">
        <v>45955</v>
      </c>
      <c r="Q1216" s="37"/>
      <c r="R1216" s="38"/>
      <c r="S1216" s="33"/>
      <c r="T1216" s="39">
        <v>197000</v>
      </c>
      <c r="U1216" s="40"/>
      <c r="V1216" s="41"/>
      <c r="W1216" s="42" t="str">
        <f ca="1">IFERROR(__xludf.DUMMYFUNCTION("""COMPUTED_VALUE"""),"An Chung")</f>
        <v>An Chung</v>
      </c>
      <c r="X1216" s="42" t="str">
        <f ca="1"/>
        <v>ON-An Chung-00011900+5-6282155336565</v>
      </c>
      <c r="Y1216" s="40" t="s">
        <v>62</v>
      </c>
      <c r="Z1216" s="40" t="s">
        <v>1465</v>
      </c>
      <c r="AA1216" s="23" t="str">
        <v>https://wa.me/6282155336565</v>
      </c>
      <c r="AB1216" s="28" t="s">
        <v>6742</v>
      </c>
      <c r="AC1216" s="28"/>
      <c r="AD1216" s="28" t="s">
        <v>690</v>
      </c>
      <c r="AE1216" s="28"/>
      <c r="AF1216" s="29"/>
      <c r="AG1216" s="29"/>
    </row>
    <row r="1217" spans="1:33" ht="15.75" customHeight="1">
      <c r="A1217" s="32" t="s">
        <v>52</v>
      </c>
      <c r="B1217" s="33">
        <v>1244</v>
      </c>
      <c r="C1217" s="34" t="s">
        <v>6743</v>
      </c>
      <c r="D1217" s="35">
        <v>45949.485452002315</v>
      </c>
      <c r="E1217" s="43">
        <v>45949</v>
      </c>
      <c r="F1217" s="32" t="s">
        <v>729</v>
      </c>
      <c r="G1217" s="32" t="s">
        <v>730</v>
      </c>
      <c r="H1217" s="32" t="s">
        <v>731</v>
      </c>
      <c r="I1217" s="36" t="s">
        <v>732</v>
      </c>
      <c r="J1217" s="52" t="s">
        <v>6744</v>
      </c>
      <c r="K1217" s="32" t="s">
        <v>6745</v>
      </c>
      <c r="L1217" s="32" t="s">
        <v>734</v>
      </c>
      <c r="M1217" s="32" t="s">
        <v>48</v>
      </c>
      <c r="N1217" s="33">
        <v>7</v>
      </c>
      <c r="O1217" s="35"/>
      <c r="P1217" s="35"/>
      <c r="Q1217" s="37"/>
      <c r="R1217" s="38"/>
      <c r="S1217" s="33"/>
      <c r="T1217" s="39">
        <v>297000</v>
      </c>
      <c r="U1217" s="40" t="s">
        <v>115</v>
      </c>
      <c r="V1217" s="41"/>
      <c r="W1217" s="42" t="str">
        <f ca="1">IFERROR(__xludf.DUMMYFUNCTION("""COMPUTED_VALUE"""),"cv adam")</f>
        <v>cv adam</v>
      </c>
      <c r="X1217" s="42" t="str">
        <f ca="1"/>
        <v>ON-cv adam-00011900+7-6281283325291</v>
      </c>
      <c r="Y1217" s="40"/>
      <c r="Z1217" s="40"/>
      <c r="AA1217" s="23" t="str">
        <v>https://wa.me/6281283325291</v>
      </c>
      <c r="AB1217" s="28"/>
      <c r="AC1217" s="28"/>
      <c r="AD1217" s="28"/>
      <c r="AE1217" s="28"/>
      <c r="AF1217" s="29"/>
      <c r="AG1217" s="29"/>
    </row>
    <row r="1218" spans="1:33" ht="15.75" customHeight="1">
      <c r="A1218" s="32" t="s">
        <v>196</v>
      </c>
      <c r="B1218" s="33">
        <v>1238</v>
      </c>
      <c r="C1218" s="34" t="s">
        <v>6718</v>
      </c>
      <c r="D1218" s="35">
        <v>45949.656330752317</v>
      </c>
      <c r="E1218" s="43">
        <v>45949</v>
      </c>
      <c r="F1218" s="32" t="s">
        <v>6746</v>
      </c>
      <c r="G1218" s="32" t="s">
        <v>6747</v>
      </c>
      <c r="H1218" s="32" t="s">
        <v>921</v>
      </c>
      <c r="I1218" s="36" t="s">
        <v>6748</v>
      </c>
      <c r="J1218" s="52"/>
      <c r="K1218" s="32" t="s">
        <v>6749</v>
      </c>
      <c r="L1218" s="32" t="s">
        <v>3079</v>
      </c>
      <c r="M1218" s="32" t="s">
        <v>92</v>
      </c>
      <c r="N1218" s="33">
        <v>10</v>
      </c>
      <c r="O1218" s="35">
        <v>45951</v>
      </c>
      <c r="P1218" s="35">
        <v>45960</v>
      </c>
      <c r="Q1218" s="37"/>
      <c r="R1218" s="38"/>
      <c r="S1218" s="33"/>
      <c r="T1218" s="39">
        <v>375000</v>
      </c>
      <c r="U1218" s="40" t="s">
        <v>1229</v>
      </c>
      <c r="V1218" s="41"/>
      <c r="W1218" s="42" t="str">
        <f ca="1">IFERROR(__xludf.DUMMYFUNCTION("""COMPUTED_VALUE"""),"Agen properti")</f>
        <v>Agen properti</v>
      </c>
      <c r="X1218" s="42" t="str">
        <f ca="1"/>
        <v>ON-Agen properti-00011900+10-62817260911</v>
      </c>
      <c r="Y1218" s="40" t="s">
        <v>293</v>
      </c>
      <c r="Z1218" s="40" t="s">
        <v>1057</v>
      </c>
      <c r="AA1218" s="23" t="str">
        <v>https://wa.me/62817260911</v>
      </c>
      <c r="AB1218" s="28" t="s">
        <v>6750</v>
      </c>
      <c r="AC1218" s="28"/>
      <c r="AD1218" s="28" t="s">
        <v>690</v>
      </c>
      <c r="AE1218" s="28"/>
      <c r="AF1218" s="29"/>
      <c r="AG1218" s="29"/>
    </row>
    <row r="1219" spans="1:33" ht="15.75" customHeight="1">
      <c r="A1219" s="32" t="s">
        <v>196</v>
      </c>
      <c r="B1219" s="33">
        <v>1239</v>
      </c>
      <c r="C1219" s="34" t="s">
        <v>6719</v>
      </c>
      <c r="D1219" s="35">
        <v>45949.662443692127</v>
      </c>
      <c r="E1219" s="43">
        <v>45949</v>
      </c>
      <c r="F1219" s="32" t="s">
        <v>6751</v>
      </c>
      <c r="G1219" s="32" t="s">
        <v>6752</v>
      </c>
      <c r="H1219" s="32" t="s">
        <v>6753</v>
      </c>
      <c r="I1219" s="36" t="s">
        <v>6754</v>
      </c>
      <c r="J1219" s="52"/>
      <c r="K1219" s="32" t="s">
        <v>6323</v>
      </c>
      <c r="L1219" s="32" t="s">
        <v>4096</v>
      </c>
      <c r="M1219" s="32" t="s">
        <v>711</v>
      </c>
      <c r="N1219" s="33">
        <v>5</v>
      </c>
      <c r="O1219" s="35">
        <v>45951</v>
      </c>
      <c r="P1219" s="35">
        <v>45955</v>
      </c>
      <c r="Q1219" s="37"/>
      <c r="R1219" s="38"/>
      <c r="S1219" s="33"/>
      <c r="T1219" s="39">
        <v>197000</v>
      </c>
      <c r="U1219" s="40" t="s">
        <v>1229</v>
      </c>
      <c r="V1219" s="41"/>
      <c r="W1219" s="42" t="str">
        <f ca="1">IFERROR(__xludf.DUMMYFUNCTION("""COMPUTED_VALUE"""),"Saputra car")</f>
        <v>Saputra car</v>
      </c>
      <c r="X1219" s="42" t="str">
        <f ca="1"/>
        <v>ON-Saputra car-00011900+5-6287874019135</v>
      </c>
      <c r="Y1219" s="40" t="s">
        <v>62</v>
      </c>
      <c r="Z1219" s="40" t="s">
        <v>294</v>
      </c>
      <c r="AA1219" s="23" t="str">
        <v>https://wa.me/6287874019135</v>
      </c>
      <c r="AB1219" s="28" t="s">
        <v>6755</v>
      </c>
      <c r="AC1219" s="28"/>
      <c r="AD1219" s="28" t="s">
        <v>690</v>
      </c>
      <c r="AE1219" s="28"/>
      <c r="AF1219" s="29"/>
      <c r="AG1219" s="29"/>
    </row>
    <row r="1220" spans="1:33" ht="15.75" customHeight="1">
      <c r="A1220" s="32" t="s">
        <v>196</v>
      </c>
      <c r="B1220" s="33">
        <v>1240</v>
      </c>
      <c r="C1220" s="34" t="s">
        <v>6727</v>
      </c>
      <c r="D1220" s="35">
        <v>45949.667655393518</v>
      </c>
      <c r="E1220" s="43">
        <v>45949</v>
      </c>
      <c r="F1220" s="32" t="s">
        <v>6756</v>
      </c>
      <c r="G1220" s="32" t="s">
        <v>6757</v>
      </c>
      <c r="H1220" s="32" t="s">
        <v>6758</v>
      </c>
      <c r="I1220" s="36" t="s">
        <v>6759</v>
      </c>
      <c r="J1220" s="52"/>
      <c r="K1220" s="32" t="s">
        <v>6760</v>
      </c>
      <c r="L1220" s="32" t="s">
        <v>6761</v>
      </c>
      <c r="M1220" s="32" t="s">
        <v>285</v>
      </c>
      <c r="N1220" s="33">
        <v>5</v>
      </c>
      <c r="O1220" s="35">
        <v>45951</v>
      </c>
      <c r="P1220" s="35">
        <v>45955</v>
      </c>
      <c r="Q1220" s="37"/>
      <c r="R1220" s="38"/>
      <c r="S1220" s="33"/>
      <c r="T1220" s="39">
        <v>197000</v>
      </c>
      <c r="U1220" s="40" t="s">
        <v>1229</v>
      </c>
      <c r="V1220" s="41"/>
      <c r="W1220" s="42" t="str">
        <f ca="1">IFERROR(__xludf.DUMMYFUNCTION("""COMPUTED_VALUE"""),"Wahana honda")</f>
        <v>Wahana honda</v>
      </c>
      <c r="X1220" s="42" t="str">
        <f ca="1"/>
        <v>ON-Wahana honda-00011900+5-6285779204213</v>
      </c>
      <c r="Y1220" s="40" t="s">
        <v>62</v>
      </c>
      <c r="Z1220" s="40" t="s">
        <v>294</v>
      </c>
      <c r="AA1220" s="23" t="str">
        <v>https://wa.me/6285779204213</v>
      </c>
      <c r="AB1220" s="28" t="s">
        <v>6762</v>
      </c>
      <c r="AC1220" s="28"/>
      <c r="AD1220" s="28" t="s">
        <v>690</v>
      </c>
      <c r="AE1220" s="28"/>
      <c r="AF1220" s="29"/>
      <c r="AG1220" s="29"/>
    </row>
    <row r="1221" spans="1:33" ht="15.75" customHeight="1">
      <c r="A1221" s="32" t="s">
        <v>196</v>
      </c>
      <c r="B1221" s="33">
        <v>1241</v>
      </c>
      <c r="C1221" s="34" t="s">
        <v>6734</v>
      </c>
      <c r="D1221" s="35">
        <v>45949.676487604171</v>
      </c>
      <c r="E1221" s="43">
        <v>45949</v>
      </c>
      <c r="F1221" s="32" t="s">
        <v>6763</v>
      </c>
      <c r="G1221" s="32" t="s">
        <v>6764</v>
      </c>
      <c r="H1221" s="32" t="s">
        <v>6765</v>
      </c>
      <c r="I1221" s="36" t="s">
        <v>6766</v>
      </c>
      <c r="J1221" s="52"/>
      <c r="K1221" s="32" t="s">
        <v>6767</v>
      </c>
      <c r="L1221" s="32" t="s">
        <v>6768</v>
      </c>
      <c r="M1221" s="32" t="s">
        <v>711</v>
      </c>
      <c r="N1221" s="33">
        <v>5</v>
      </c>
      <c r="O1221" s="35">
        <v>45952</v>
      </c>
      <c r="P1221" s="35">
        <v>45956</v>
      </c>
      <c r="Q1221" s="37"/>
      <c r="R1221" s="38"/>
      <c r="S1221" s="33"/>
      <c r="T1221" s="39">
        <v>197000</v>
      </c>
      <c r="U1221" s="40" t="s">
        <v>1229</v>
      </c>
      <c r="V1221" s="41"/>
      <c r="W1221" s="42" t="str">
        <f ca="1">IFERROR(__xludf.DUMMYFUNCTION("""COMPUTED_VALUE"""),"BUMDES bangun")</f>
        <v>BUMDES bangun</v>
      </c>
      <c r="X1221" s="42" t="str">
        <f ca="1"/>
        <v>ON-BUMDES bangun-00011900+5-6285536645859</v>
      </c>
      <c r="Y1221" s="40" t="s">
        <v>62</v>
      </c>
      <c r="Z1221" s="40" t="s">
        <v>1465</v>
      </c>
      <c r="AA1221" s="23" t="str">
        <v>https://wa.me/6285536645859</v>
      </c>
      <c r="AB1221" s="28" t="s">
        <v>6769</v>
      </c>
      <c r="AC1221" s="28"/>
      <c r="AD1221" s="28" t="s">
        <v>690</v>
      </c>
      <c r="AE1221" s="28"/>
      <c r="AF1221" s="29"/>
      <c r="AG1221" s="29"/>
    </row>
    <row r="1222" spans="1:33" ht="15.75" customHeight="1">
      <c r="A1222" s="32" t="s">
        <v>52</v>
      </c>
      <c r="B1222" s="33">
        <v>1242</v>
      </c>
      <c r="C1222" s="34" t="s">
        <v>6770</v>
      </c>
      <c r="D1222" s="35">
        <v>45949.817348784723</v>
      </c>
      <c r="E1222" s="43">
        <v>45949</v>
      </c>
      <c r="F1222" s="32" t="s">
        <v>3052</v>
      </c>
      <c r="G1222" s="32" t="s">
        <v>5796</v>
      </c>
      <c r="H1222" s="32" t="s">
        <v>5797</v>
      </c>
      <c r="I1222" s="36" t="s">
        <v>5798</v>
      </c>
      <c r="J1222" s="52"/>
      <c r="K1222" s="32" t="s">
        <v>570</v>
      </c>
      <c r="L1222" s="32" t="s">
        <v>5799</v>
      </c>
      <c r="M1222" s="32" t="s">
        <v>249</v>
      </c>
      <c r="N1222" s="33">
        <v>20</v>
      </c>
      <c r="O1222" s="35"/>
      <c r="P1222" s="35"/>
      <c r="Q1222" s="37"/>
      <c r="R1222" s="38"/>
      <c r="S1222" s="33"/>
      <c r="T1222" s="39">
        <v>700000</v>
      </c>
      <c r="U1222" s="40" t="s">
        <v>1774</v>
      </c>
      <c r="V1222" s="41"/>
      <c r="W1222" s="42" t="str">
        <f ca="1">IFERROR(__xludf.DUMMYFUNCTION("""COMPUTED_VALUE"""),"Garasi Kontraktor")</f>
        <v>Garasi Kontraktor</v>
      </c>
      <c r="X1222" s="42" t="str">
        <f ca="1"/>
        <v>ON-Garasi Kontraktor-00011900+20-6285811687779</v>
      </c>
      <c r="Y1222" s="40"/>
      <c r="Z1222" s="40"/>
      <c r="AA1222" s="23" t="str">
        <v>https://wa.me/6285811687779</v>
      </c>
      <c r="AB1222" s="28"/>
      <c r="AC1222" s="28"/>
      <c r="AD1222" s="28"/>
      <c r="AE1222" s="28"/>
      <c r="AF1222" s="29"/>
      <c r="AG1222" s="29"/>
    </row>
    <row r="1223" spans="1:33" ht="15.75" customHeight="1">
      <c r="A1223" s="32" t="s">
        <v>196</v>
      </c>
      <c r="B1223" s="33">
        <v>1242</v>
      </c>
      <c r="C1223" s="34" t="s">
        <v>6770</v>
      </c>
      <c r="D1223" s="35">
        <v>45951.460133368055</v>
      </c>
      <c r="E1223" s="43">
        <v>45950</v>
      </c>
      <c r="F1223" s="32" t="s">
        <v>6771</v>
      </c>
      <c r="G1223" s="32" t="s">
        <v>6772</v>
      </c>
      <c r="H1223" s="32" t="s">
        <v>6773</v>
      </c>
      <c r="I1223" s="36" t="s">
        <v>6774</v>
      </c>
      <c r="J1223" s="52"/>
      <c r="K1223" s="32" t="s">
        <v>374</v>
      </c>
      <c r="L1223" s="32" t="s">
        <v>2865</v>
      </c>
      <c r="M1223" s="32" t="s">
        <v>60</v>
      </c>
      <c r="N1223" s="33">
        <v>10</v>
      </c>
      <c r="O1223" s="35">
        <v>45953</v>
      </c>
      <c r="P1223" s="35">
        <v>45962</v>
      </c>
      <c r="Q1223" s="37"/>
      <c r="R1223" s="38"/>
      <c r="S1223" s="33"/>
      <c r="T1223" s="39">
        <v>375000</v>
      </c>
      <c r="U1223" s="40" t="s">
        <v>61</v>
      </c>
      <c r="V1223" s="41"/>
      <c r="W1223" s="42" t="str">
        <f ca="1">IFERROR(__xludf.DUMMYFUNCTION("""COMPUTED_VALUE"""),"Gowes Untuk")</f>
        <v>Gowes Untuk</v>
      </c>
      <c r="X1223" s="42" t="str">
        <f ca="1"/>
        <v>ON-Gowes Untuk-00011900+10-6285692993799</v>
      </c>
      <c r="Y1223" s="40" t="s">
        <v>62</v>
      </c>
      <c r="Z1223" s="40" t="s">
        <v>1465</v>
      </c>
      <c r="AA1223" s="23" t="str">
        <v>https://wa.me/6285692993799</v>
      </c>
      <c r="AB1223" s="28" t="s">
        <v>6775</v>
      </c>
      <c r="AC1223" s="28"/>
      <c r="AD1223" s="28" t="s">
        <v>690</v>
      </c>
      <c r="AE1223" s="28"/>
      <c r="AF1223" s="29"/>
      <c r="AG1223" s="29"/>
    </row>
    <row r="1224" spans="1:33" ht="15.75" customHeight="1">
      <c r="A1224" s="32" t="s">
        <v>196</v>
      </c>
      <c r="B1224" s="33">
        <v>1243</v>
      </c>
      <c r="C1224" s="34" t="s">
        <v>6735</v>
      </c>
      <c r="D1224" s="35">
        <v>45951.460160000002</v>
      </c>
      <c r="E1224" s="43">
        <v>45950</v>
      </c>
      <c r="F1224" s="32" t="s">
        <v>6776</v>
      </c>
      <c r="G1224" s="32" t="s">
        <v>6777</v>
      </c>
      <c r="H1224" s="32" t="s">
        <v>6778</v>
      </c>
      <c r="I1224" s="36" t="s">
        <v>6779</v>
      </c>
      <c r="J1224" s="52"/>
      <c r="K1224" s="32" t="s">
        <v>6780</v>
      </c>
      <c r="L1224" s="32" t="s">
        <v>6781</v>
      </c>
      <c r="M1224" s="32" t="s">
        <v>6782</v>
      </c>
      <c r="N1224" s="33">
        <v>5</v>
      </c>
      <c r="O1224" s="35">
        <v>45952</v>
      </c>
      <c r="P1224" s="35">
        <v>45956</v>
      </c>
      <c r="Q1224" s="37"/>
      <c r="R1224" s="38"/>
      <c r="S1224" s="33"/>
      <c r="T1224" s="39">
        <v>197000</v>
      </c>
      <c r="U1224" s="40" t="s">
        <v>115</v>
      </c>
      <c r="V1224" s="41"/>
      <c r="W1224" s="42" t="str">
        <f ca="1">IFERROR(__xludf.DUMMYFUNCTION("""COMPUTED_VALUE"""),"Sahila Trans")</f>
        <v>Sahila Trans</v>
      </c>
      <c r="X1224" s="42" t="str">
        <f ca="1"/>
        <v>ON-Sahila Trans-00011900+5-6281224803384</v>
      </c>
      <c r="Y1224" s="40" t="s">
        <v>62</v>
      </c>
      <c r="Z1224" s="40" t="s">
        <v>1880</v>
      </c>
      <c r="AA1224" s="23" t="str">
        <v>https://wa.me/6281224803384</v>
      </c>
      <c r="AB1224" s="28" t="s">
        <v>6783</v>
      </c>
      <c r="AC1224" s="28"/>
      <c r="AD1224" s="28" t="s">
        <v>690</v>
      </c>
      <c r="AE1224" s="28"/>
      <c r="AF1224" s="29"/>
      <c r="AG1224" s="29"/>
    </row>
    <row r="1225" spans="1:33" ht="15.75" customHeight="1">
      <c r="A1225" s="32" t="s">
        <v>196</v>
      </c>
      <c r="B1225" s="33">
        <v>1244</v>
      </c>
      <c r="C1225" s="34" t="s">
        <v>6743</v>
      </c>
      <c r="D1225" s="35">
        <v>45951.460405335645</v>
      </c>
      <c r="E1225" s="43">
        <v>45950</v>
      </c>
      <c r="F1225" s="32" t="s">
        <v>6784</v>
      </c>
      <c r="G1225" s="32" t="s">
        <v>6785</v>
      </c>
      <c r="H1225" s="32" t="s">
        <v>1522</v>
      </c>
      <c r="I1225" s="36" t="s">
        <v>6786</v>
      </c>
      <c r="J1225" s="52" t="s">
        <v>1711</v>
      </c>
      <c r="K1225" s="32" t="s">
        <v>6787</v>
      </c>
      <c r="L1225" s="32" t="s">
        <v>6788</v>
      </c>
      <c r="M1225" s="32" t="s">
        <v>38</v>
      </c>
      <c r="N1225" s="33">
        <v>5</v>
      </c>
      <c r="O1225" s="35">
        <v>45952</v>
      </c>
      <c r="P1225" s="35">
        <v>45956</v>
      </c>
      <c r="Q1225" s="37"/>
      <c r="R1225" s="38"/>
      <c r="S1225" s="33"/>
      <c r="T1225" s="39">
        <v>197000</v>
      </c>
      <c r="U1225" s="40" t="s">
        <v>61</v>
      </c>
      <c r="V1225" s="41"/>
      <c r="W1225" s="42" t="str">
        <f ca="1">IFERROR(__xludf.DUMMYFUNCTION("""COMPUTED_VALUE"""),"Rumah Sehat")</f>
        <v>Rumah Sehat</v>
      </c>
      <c r="X1225" s="42" t="str">
        <f ca="1"/>
        <v>ON-Rumah Sehat-00011900+5-62881026498889</v>
      </c>
      <c r="Y1225" s="40" t="s">
        <v>62</v>
      </c>
      <c r="Z1225" s="40" t="s">
        <v>639</v>
      </c>
      <c r="AA1225" s="23" t="str">
        <v>https://wa.me/62881026498889</v>
      </c>
      <c r="AB1225" s="28" t="s">
        <v>6789</v>
      </c>
      <c r="AC1225" s="28"/>
      <c r="AD1225" s="28" t="s">
        <v>690</v>
      </c>
      <c r="AE1225" s="28"/>
      <c r="AF1225" s="29"/>
      <c r="AG1225" s="29"/>
    </row>
    <row r="1226" spans="1:33" ht="15.75" customHeight="1">
      <c r="A1226" s="32" t="s">
        <v>196</v>
      </c>
      <c r="B1226" s="33">
        <v>1245</v>
      </c>
      <c r="C1226" s="34" t="s">
        <v>6790</v>
      </c>
      <c r="D1226" s="35">
        <v>45951.460634745366</v>
      </c>
      <c r="E1226" s="43">
        <v>45950</v>
      </c>
      <c r="F1226" s="32" t="s">
        <v>6791</v>
      </c>
      <c r="G1226" s="32" t="s">
        <v>6792</v>
      </c>
      <c r="H1226" s="32" t="s">
        <v>6793</v>
      </c>
      <c r="I1226" s="36" t="s">
        <v>6794</v>
      </c>
      <c r="J1226" s="52"/>
      <c r="K1226" s="32" t="s">
        <v>6795</v>
      </c>
      <c r="L1226" s="32" t="s">
        <v>2468</v>
      </c>
      <c r="M1226" s="32" t="s">
        <v>60</v>
      </c>
      <c r="N1226" s="33">
        <v>5</v>
      </c>
      <c r="O1226" s="35">
        <v>45957</v>
      </c>
      <c r="P1226" s="35">
        <v>45961</v>
      </c>
      <c r="Q1226" s="37"/>
      <c r="R1226" s="38"/>
      <c r="S1226" s="33"/>
      <c r="T1226" s="39">
        <v>197000</v>
      </c>
      <c r="U1226" s="40" t="s">
        <v>61</v>
      </c>
      <c r="V1226" s="41"/>
      <c r="W1226" s="42" t="str">
        <f ca="1">IFERROR(__xludf.DUMMYFUNCTION("""COMPUTED_VALUE"""),"Global Tour")</f>
        <v>Global Tour</v>
      </c>
      <c r="X1226" s="42" t="str">
        <f ca="1"/>
        <v>ON-Global Tour-00011900+5-6288238489812</v>
      </c>
      <c r="Y1226" s="40" t="s">
        <v>62</v>
      </c>
      <c r="Z1226" s="40" t="s">
        <v>1880</v>
      </c>
      <c r="AA1226" s="23" t="str">
        <v>https://wa.me/6288238489812</v>
      </c>
      <c r="AB1226" s="28" t="s">
        <v>6796</v>
      </c>
      <c r="AC1226" s="28"/>
      <c r="AD1226" s="28" t="s">
        <v>690</v>
      </c>
      <c r="AE1226" s="28"/>
      <c r="AF1226" s="29"/>
      <c r="AG1226" s="29"/>
    </row>
    <row r="1227" spans="1:33" ht="15.75" customHeight="1">
      <c r="A1227" s="32" t="s">
        <v>196</v>
      </c>
      <c r="B1227" s="33">
        <v>1246</v>
      </c>
      <c r="C1227" s="34" t="s">
        <v>6797</v>
      </c>
      <c r="D1227" s="35">
        <v>45951.460817268518</v>
      </c>
      <c r="E1227" s="43">
        <v>45950</v>
      </c>
      <c r="F1227" s="32" t="s">
        <v>6798</v>
      </c>
      <c r="G1227" s="32" t="s">
        <v>6799</v>
      </c>
      <c r="H1227" s="32" t="s">
        <v>6800</v>
      </c>
      <c r="I1227" s="36" t="s">
        <v>6801</v>
      </c>
      <c r="J1227" s="52" t="s">
        <v>6802</v>
      </c>
      <c r="K1227" s="32" t="s">
        <v>6803</v>
      </c>
      <c r="L1227" s="32" t="s">
        <v>85</v>
      </c>
      <c r="M1227" s="32" t="s">
        <v>60</v>
      </c>
      <c r="N1227" s="33">
        <v>10</v>
      </c>
      <c r="O1227" s="35">
        <v>45953</v>
      </c>
      <c r="P1227" s="35">
        <v>45962</v>
      </c>
      <c r="Q1227" s="37"/>
      <c r="R1227" s="38"/>
      <c r="S1227" s="33"/>
      <c r="T1227" s="39">
        <v>375000</v>
      </c>
      <c r="U1227" s="40" t="s">
        <v>61</v>
      </c>
      <c r="V1227" s="41"/>
      <c r="W1227" s="42" t="str">
        <f ca="1">IFERROR(__xludf.DUMMYFUNCTION("""COMPUTED_VALUE"""),"Herlins Furniture")</f>
        <v>Herlins Furniture</v>
      </c>
      <c r="X1227" s="42" t="str">
        <f ca="1"/>
        <v>ON-Herlins Furniture-00011900+10-6285135535559</v>
      </c>
      <c r="Y1227" s="40" t="s">
        <v>293</v>
      </c>
      <c r="Z1227" s="40" t="s">
        <v>1057</v>
      </c>
      <c r="AA1227" s="23" t="str">
        <v>https://wa.me/6285135535559</v>
      </c>
      <c r="AB1227" s="28" t="s">
        <v>6804</v>
      </c>
      <c r="AC1227" s="28"/>
      <c r="AD1227" s="28" t="s">
        <v>690</v>
      </c>
      <c r="AE1227" s="28"/>
      <c r="AF1227" s="29"/>
      <c r="AG1227" s="29"/>
    </row>
    <row r="1228" spans="1:33" ht="15.75" customHeight="1">
      <c r="A1228" s="32" t="s">
        <v>196</v>
      </c>
      <c r="B1228" s="33">
        <v>1247</v>
      </c>
      <c r="C1228" s="34" t="s">
        <v>6805</v>
      </c>
      <c r="D1228" s="35">
        <v>45951.461030231483</v>
      </c>
      <c r="E1228" s="43">
        <v>45950</v>
      </c>
      <c r="F1228" s="32" t="s">
        <v>6806</v>
      </c>
      <c r="G1228" s="32" t="s">
        <v>6807</v>
      </c>
      <c r="H1228" s="32" t="s">
        <v>6808</v>
      </c>
      <c r="I1228" s="36" t="s">
        <v>6809</v>
      </c>
      <c r="J1228" s="52" t="s">
        <v>6810</v>
      </c>
      <c r="K1228" s="32" t="s">
        <v>6811</v>
      </c>
      <c r="L1228" s="32" t="s">
        <v>1008</v>
      </c>
      <c r="M1228" s="32" t="s">
        <v>60</v>
      </c>
      <c r="N1228" s="33">
        <v>5</v>
      </c>
      <c r="O1228" s="35">
        <v>45953</v>
      </c>
      <c r="P1228" s="35">
        <v>45957</v>
      </c>
      <c r="Q1228" s="37"/>
      <c r="R1228" s="38"/>
      <c r="S1228" s="33"/>
      <c r="T1228" s="39">
        <v>197000</v>
      </c>
      <c r="U1228" s="40" t="s">
        <v>61</v>
      </c>
      <c r="V1228" s="41"/>
      <c r="W1228" s="42" t="str">
        <f ca="1">IFERROR(__xludf.DUMMYFUNCTION("""COMPUTED_VALUE"""),"Teras Bu")</f>
        <v>Teras Bu</v>
      </c>
      <c r="X1228" s="42" t="str">
        <f ca="1"/>
        <v>ON-Teras Bu-00011900+5-6281517599665</v>
      </c>
      <c r="Y1228" s="40" t="s">
        <v>62</v>
      </c>
      <c r="Z1228" s="40" t="s">
        <v>3620</v>
      </c>
      <c r="AA1228" s="23" t="str">
        <v>https://wa.me/6281517599665</v>
      </c>
      <c r="AB1228" s="28" t="s">
        <v>6812</v>
      </c>
      <c r="AC1228" s="28"/>
      <c r="AD1228" s="28" t="s">
        <v>690</v>
      </c>
      <c r="AE1228" s="28"/>
      <c r="AF1228" s="29"/>
      <c r="AG1228" s="29"/>
    </row>
    <row r="1229" spans="1:33" ht="15.75" customHeight="1">
      <c r="A1229" s="32" t="s">
        <v>196</v>
      </c>
      <c r="B1229" s="33">
        <v>1248</v>
      </c>
      <c r="C1229" s="34" t="s">
        <v>6813</v>
      </c>
      <c r="D1229" s="35">
        <v>45951.46136710648</v>
      </c>
      <c r="E1229" s="43">
        <v>45950</v>
      </c>
      <c r="F1229" s="32" t="s">
        <v>6814</v>
      </c>
      <c r="G1229" s="32" t="s">
        <v>6815</v>
      </c>
      <c r="H1229" s="32" t="s">
        <v>6816</v>
      </c>
      <c r="I1229" s="36" t="s">
        <v>6817</v>
      </c>
      <c r="J1229" s="52"/>
      <c r="K1229" s="32" t="s">
        <v>374</v>
      </c>
      <c r="L1229" s="32" t="s">
        <v>490</v>
      </c>
      <c r="M1229" s="32" t="s">
        <v>2032</v>
      </c>
      <c r="N1229" s="33">
        <v>5</v>
      </c>
      <c r="O1229" s="35">
        <v>45952</v>
      </c>
      <c r="P1229" s="35">
        <v>45956</v>
      </c>
      <c r="Q1229" s="37"/>
      <c r="R1229" s="38"/>
      <c r="S1229" s="33"/>
      <c r="T1229" s="39">
        <v>197000</v>
      </c>
      <c r="U1229" s="40" t="s">
        <v>61</v>
      </c>
      <c r="V1229" s="41"/>
      <c r="W1229" s="42" t="str">
        <f ca="1">IFERROR(__xludf.DUMMYFUNCTION("""COMPUTED_VALUE"""),"Kopi Juwara")</f>
        <v>Kopi Juwara</v>
      </c>
      <c r="X1229" s="42" t="str">
        <f ca="1"/>
        <v>ON-Kopi Juwara-00011900+5-62895712902288</v>
      </c>
      <c r="Y1229" s="40" t="s">
        <v>62</v>
      </c>
      <c r="Z1229" s="40" t="s">
        <v>1861</v>
      </c>
      <c r="AA1229" s="23" t="str">
        <v>https://wa.me/62895712902288</v>
      </c>
      <c r="AB1229" s="28" t="s">
        <v>6818</v>
      </c>
      <c r="AC1229" s="28"/>
      <c r="AD1229" s="28" t="s">
        <v>690</v>
      </c>
      <c r="AE1229" s="28"/>
      <c r="AF1229" s="29"/>
      <c r="AG1229" s="29"/>
    </row>
    <row r="1230" spans="1:33" ht="15.75" customHeight="1">
      <c r="A1230" s="32" t="s">
        <v>196</v>
      </c>
      <c r="B1230" s="33">
        <v>1249</v>
      </c>
      <c r="C1230" s="34" t="s">
        <v>6819</v>
      </c>
      <c r="D1230" s="33" t="s">
        <v>6820</v>
      </c>
      <c r="E1230" s="43">
        <v>45950</v>
      </c>
      <c r="F1230" s="32" t="s">
        <v>3772</v>
      </c>
      <c r="G1230" s="32" t="s">
        <v>6821</v>
      </c>
      <c r="H1230" s="32" t="s">
        <v>6822</v>
      </c>
      <c r="I1230" s="36" t="s">
        <v>6823</v>
      </c>
      <c r="J1230" s="52"/>
      <c r="K1230" s="32" t="s">
        <v>6824</v>
      </c>
      <c r="L1230" s="32" t="s">
        <v>6825</v>
      </c>
      <c r="M1230" s="32" t="s">
        <v>60</v>
      </c>
      <c r="N1230" s="33">
        <v>10</v>
      </c>
      <c r="O1230" s="35"/>
      <c r="P1230" s="35"/>
      <c r="Q1230" s="37"/>
      <c r="R1230" s="38">
        <v>-1003470351325</v>
      </c>
      <c r="S1230" s="33"/>
      <c r="T1230" s="39">
        <v>375000</v>
      </c>
      <c r="U1230" s="40" t="s">
        <v>61</v>
      </c>
      <c r="V1230" s="47">
        <v>46005.614954548611</v>
      </c>
      <c r="W1230" s="42" t="str">
        <f ca="1">IFERROR(__xludf.DUMMYFUNCTION("""COMPUTED_VALUE"""),"Faishal Filter")</f>
        <v>Faishal Filter</v>
      </c>
      <c r="X1230" s="42" t="str">
        <f ca="1"/>
        <v>ON-Faishal Filter-14122025+10-6288296589477</v>
      </c>
      <c r="Y1230" s="40" t="s">
        <v>62</v>
      </c>
      <c r="Z1230" s="40" t="s">
        <v>1465</v>
      </c>
      <c r="AA1230" s="23" t="str">
        <v>https://wa.me/6288296589477</v>
      </c>
      <c r="AB1230" s="28" t="s">
        <v>6826</v>
      </c>
      <c r="AC1230" s="28"/>
      <c r="AD1230" s="28" t="s">
        <v>690</v>
      </c>
      <c r="AE1230" s="28"/>
      <c r="AF1230" s="29"/>
      <c r="AG1230" s="29"/>
    </row>
    <row r="1231" spans="1:33" ht="15.75" customHeight="1">
      <c r="A1231" s="32" t="s">
        <v>196</v>
      </c>
      <c r="B1231" s="33">
        <v>1250</v>
      </c>
      <c r="C1231" s="34" t="s">
        <v>6827</v>
      </c>
      <c r="D1231" s="35">
        <v>45951.461892534724</v>
      </c>
      <c r="E1231" s="43">
        <v>45950</v>
      </c>
      <c r="F1231" s="32" t="s">
        <v>6828</v>
      </c>
      <c r="G1231" s="32" t="s">
        <v>6829</v>
      </c>
      <c r="H1231" s="32" t="s">
        <v>6830</v>
      </c>
      <c r="I1231" s="36" t="s">
        <v>6831</v>
      </c>
      <c r="J1231" s="52"/>
      <c r="K1231" s="32" t="s">
        <v>317</v>
      </c>
      <c r="L1231" s="32" t="s">
        <v>1093</v>
      </c>
      <c r="M1231" s="32" t="s">
        <v>2032</v>
      </c>
      <c r="N1231" s="33">
        <v>5</v>
      </c>
      <c r="O1231" s="35">
        <v>45952</v>
      </c>
      <c r="P1231" s="35">
        <v>45956</v>
      </c>
      <c r="Q1231" s="37"/>
      <c r="R1231" s="38"/>
      <c r="S1231" s="33"/>
      <c r="T1231" s="39">
        <v>197000</v>
      </c>
      <c r="U1231" s="40" t="s">
        <v>61</v>
      </c>
      <c r="V1231" s="41"/>
      <c r="W1231" s="42" t="str">
        <f ca="1">IFERROR(__xludf.DUMMYFUNCTION("""COMPUTED_VALUE"""),"Rigo Wi-Fi")</f>
        <v>Rigo Wi-Fi</v>
      </c>
      <c r="X1231" s="42" t="str">
        <f ca="1"/>
        <v>ON-Rigo Wi-Fi-00011900+5-6282283028020</v>
      </c>
      <c r="Y1231" s="40" t="s">
        <v>62</v>
      </c>
      <c r="Z1231" s="40" t="s">
        <v>1465</v>
      </c>
      <c r="AA1231" s="23" t="str">
        <v>https://wa.me/6282283028020</v>
      </c>
      <c r="AB1231" s="28" t="s">
        <v>6832</v>
      </c>
      <c r="AC1231" s="28"/>
      <c r="AD1231" s="28" t="s">
        <v>690</v>
      </c>
      <c r="AE1231" s="28"/>
      <c r="AF1231" s="29"/>
      <c r="AG1231" s="29"/>
    </row>
    <row r="1232" spans="1:33" ht="15.75" customHeight="1">
      <c r="A1232" s="32" t="s">
        <v>196</v>
      </c>
      <c r="B1232" s="33">
        <v>1251</v>
      </c>
      <c r="C1232" s="34" t="s">
        <v>6833</v>
      </c>
      <c r="D1232" s="35">
        <v>45951.462143240744</v>
      </c>
      <c r="E1232" s="43">
        <v>45950</v>
      </c>
      <c r="F1232" s="32" t="s">
        <v>6834</v>
      </c>
      <c r="G1232" s="32" t="s">
        <v>6835</v>
      </c>
      <c r="H1232" s="32" t="s">
        <v>789</v>
      </c>
      <c r="I1232" s="36" t="s">
        <v>6836</v>
      </c>
      <c r="J1232" s="52"/>
      <c r="K1232" s="32" t="s">
        <v>6837</v>
      </c>
      <c r="L1232" s="32" t="s">
        <v>2133</v>
      </c>
      <c r="M1232" s="32" t="s">
        <v>60</v>
      </c>
      <c r="N1232" s="33">
        <v>10</v>
      </c>
      <c r="O1232" s="35">
        <v>45953</v>
      </c>
      <c r="P1232" s="35">
        <v>45962</v>
      </c>
      <c r="Q1232" s="37"/>
      <c r="R1232" s="38"/>
      <c r="S1232" s="33"/>
      <c r="T1232" s="39">
        <v>375000</v>
      </c>
      <c r="U1232" s="40" t="s">
        <v>61</v>
      </c>
      <c r="V1232" s="41"/>
      <c r="W1232" s="42" t="str">
        <f ca="1">IFERROR(__xludf.DUMMYFUNCTION("""COMPUTED_VALUE"""),"Kost Eksklusif")</f>
        <v>Kost Eksklusif</v>
      </c>
      <c r="X1232" s="42" t="str">
        <f ca="1"/>
        <v>ON-Kost Eksklusif-00011900+10-6285727826488</v>
      </c>
      <c r="Y1232" s="40" t="s">
        <v>293</v>
      </c>
      <c r="Z1232" s="40" t="s">
        <v>1057</v>
      </c>
      <c r="AA1232" s="23" t="str">
        <v>https://wa.me/6285727826488</v>
      </c>
      <c r="AB1232" s="28" t="s">
        <v>6838</v>
      </c>
      <c r="AC1232" s="28"/>
      <c r="AD1232" s="28" t="s">
        <v>690</v>
      </c>
      <c r="AE1232" s="28"/>
      <c r="AF1232" s="29"/>
      <c r="AG1232" s="29"/>
    </row>
    <row r="1233" spans="1:33" ht="15.75" customHeight="1">
      <c r="A1233" s="32" t="s">
        <v>196</v>
      </c>
      <c r="B1233" s="33">
        <v>1252</v>
      </c>
      <c r="C1233" s="34" t="s">
        <v>6839</v>
      </c>
      <c r="D1233" s="35">
        <v>45951.462632685187</v>
      </c>
      <c r="E1233" s="43">
        <v>45951</v>
      </c>
      <c r="F1233" s="32" t="s">
        <v>6840</v>
      </c>
      <c r="G1233" s="32" t="s">
        <v>6841</v>
      </c>
      <c r="H1233" s="32" t="s">
        <v>6842</v>
      </c>
      <c r="I1233" s="36" t="s">
        <v>6843</v>
      </c>
      <c r="J1233" s="52"/>
      <c r="K1233" s="32" t="s">
        <v>6844</v>
      </c>
      <c r="L1233" s="32" t="s">
        <v>4783</v>
      </c>
      <c r="M1233" s="32" t="s">
        <v>48</v>
      </c>
      <c r="N1233" s="33">
        <v>10</v>
      </c>
      <c r="O1233" s="35">
        <v>45953</v>
      </c>
      <c r="P1233" s="35">
        <v>45962</v>
      </c>
      <c r="Q1233" s="37"/>
      <c r="R1233" s="38"/>
      <c r="S1233" s="33"/>
      <c r="T1233" s="39">
        <v>375000</v>
      </c>
      <c r="U1233" s="40" t="s">
        <v>1229</v>
      </c>
      <c r="V1233" s="41"/>
      <c r="W1233" s="42" t="str">
        <f ca="1">IFERROR(__xludf.DUMMYFUNCTION("""COMPUTED_VALUE"""),"Kavling kampung")</f>
        <v>Kavling kampung</v>
      </c>
      <c r="X1233" s="42" t="str">
        <f ca="1"/>
        <v>ON-Kavling kampung-00011900+10-6282288320550</v>
      </c>
      <c r="Y1233" s="40" t="s">
        <v>293</v>
      </c>
      <c r="Z1233" s="40" t="s">
        <v>1057</v>
      </c>
      <c r="AA1233" s="23" t="str">
        <v>https://wa.me/6282288320550</v>
      </c>
      <c r="AB1233" s="28" t="s">
        <v>6845</v>
      </c>
      <c r="AC1233" s="28"/>
      <c r="AD1233" s="28" t="s">
        <v>690</v>
      </c>
      <c r="AE1233" s="28"/>
      <c r="AF1233" s="29"/>
      <c r="AG1233" s="29"/>
    </row>
    <row r="1234" spans="1:33" ht="15.75" customHeight="1">
      <c r="A1234" s="32" t="s">
        <v>52</v>
      </c>
      <c r="B1234" s="33">
        <v>1253</v>
      </c>
      <c r="C1234" s="34" t="s">
        <v>6846</v>
      </c>
      <c r="D1234" s="35">
        <v>45951.46533767361</v>
      </c>
      <c r="E1234" s="43">
        <v>45951</v>
      </c>
      <c r="F1234" s="32" t="s">
        <v>5514</v>
      </c>
      <c r="G1234" s="32" t="s">
        <v>5515</v>
      </c>
      <c r="H1234" s="32" t="s">
        <v>5516</v>
      </c>
      <c r="I1234" s="36" t="s">
        <v>5517</v>
      </c>
      <c r="J1234" s="52"/>
      <c r="K1234" s="32" t="s">
        <v>5518</v>
      </c>
      <c r="L1234" s="32" t="s">
        <v>2468</v>
      </c>
      <c r="M1234" s="32" t="s">
        <v>60</v>
      </c>
      <c r="N1234" s="33">
        <v>10</v>
      </c>
      <c r="O1234" s="35"/>
      <c r="P1234" s="35"/>
      <c r="Q1234" s="37"/>
      <c r="R1234" s="38"/>
      <c r="S1234" s="33"/>
      <c r="T1234" s="39">
        <v>375000</v>
      </c>
      <c r="U1234" s="40" t="s">
        <v>61</v>
      </c>
      <c r="V1234" s="41"/>
      <c r="W1234" s="42" t="str">
        <f ca="1">IFERROR(__xludf.DUMMYFUNCTION("""COMPUTED_VALUE"""),"Pelangi Gorden")</f>
        <v>Pelangi Gorden</v>
      </c>
      <c r="X1234" s="42" t="str">
        <f ca="1"/>
        <v>ON-Pelangi Gorden-00011900+10-6285245301996</v>
      </c>
      <c r="Y1234" s="40"/>
      <c r="Z1234" s="40"/>
      <c r="AA1234" s="23" t="str">
        <v>https://wa.me/6285245301996</v>
      </c>
      <c r="AB1234" s="28"/>
      <c r="AC1234" s="28"/>
      <c r="AD1234" s="28"/>
      <c r="AE1234" s="28"/>
      <c r="AF1234" s="29"/>
      <c r="AG1234" s="29"/>
    </row>
    <row r="1235" spans="1:33" ht="15.75" customHeight="1">
      <c r="A1235" s="32" t="s">
        <v>52</v>
      </c>
      <c r="B1235" s="33">
        <v>1254</v>
      </c>
      <c r="C1235" s="34" t="s">
        <v>6847</v>
      </c>
      <c r="D1235" s="35">
        <v>45951.481942766201</v>
      </c>
      <c r="E1235" s="43">
        <v>45950</v>
      </c>
      <c r="F1235" s="32" t="s">
        <v>6353</v>
      </c>
      <c r="G1235" s="32" t="s">
        <v>6354</v>
      </c>
      <c r="H1235" s="32" t="s">
        <v>6355</v>
      </c>
      <c r="I1235" s="36" t="s">
        <v>2770</v>
      </c>
      <c r="J1235" s="52" t="s">
        <v>6356</v>
      </c>
      <c r="K1235" s="32" t="s">
        <v>6357</v>
      </c>
      <c r="L1235" s="32" t="s">
        <v>382</v>
      </c>
      <c r="M1235" s="32" t="s">
        <v>726</v>
      </c>
      <c r="N1235" s="33">
        <v>5</v>
      </c>
      <c r="O1235" s="35"/>
      <c r="P1235" s="35"/>
      <c r="Q1235" s="37"/>
      <c r="R1235" s="38"/>
      <c r="S1235" s="33"/>
      <c r="T1235" s="39">
        <v>197000</v>
      </c>
      <c r="U1235" s="40" t="s">
        <v>1774</v>
      </c>
      <c r="V1235" s="41"/>
      <c r="W1235" s="42" t="str">
        <f ca="1">IFERROR(__xludf.DUMMYFUNCTION("""COMPUTED_VALUE"""),"Rumah Ruqyah")</f>
        <v>Rumah Ruqyah</v>
      </c>
      <c r="X1235" s="42" t="str">
        <f ca="1"/>
        <v>ON-Rumah Ruqyah-00011900+5-6285645050058</v>
      </c>
      <c r="Y1235" s="40"/>
      <c r="Z1235" s="40"/>
      <c r="AA1235" s="23" t="str">
        <v>https://wa.me/6285645050058</v>
      </c>
      <c r="AB1235" s="28"/>
      <c r="AC1235" s="28"/>
      <c r="AD1235" s="28"/>
      <c r="AE1235" s="28"/>
      <c r="AF1235" s="29"/>
      <c r="AG1235" s="29"/>
    </row>
    <row r="1236" spans="1:33" ht="15.75" customHeight="1">
      <c r="A1236" s="32" t="s">
        <v>196</v>
      </c>
      <c r="B1236" s="33">
        <v>1255</v>
      </c>
      <c r="C1236" s="34" t="s">
        <v>6848</v>
      </c>
      <c r="D1236" s="35">
        <v>45951.572792696759</v>
      </c>
      <c r="E1236" s="43">
        <v>45951</v>
      </c>
      <c r="F1236" s="32" t="s">
        <v>6849</v>
      </c>
      <c r="G1236" s="32" t="s">
        <v>6850</v>
      </c>
      <c r="H1236" s="32" t="s">
        <v>6851</v>
      </c>
      <c r="I1236" s="36" t="s">
        <v>6852</v>
      </c>
      <c r="J1236" s="52"/>
      <c r="K1236" s="32" t="s">
        <v>6853</v>
      </c>
      <c r="L1236" s="32" t="s">
        <v>5303</v>
      </c>
      <c r="M1236" s="32" t="s">
        <v>48</v>
      </c>
      <c r="N1236" s="33">
        <v>5</v>
      </c>
      <c r="O1236" s="35">
        <v>45953</v>
      </c>
      <c r="P1236" s="35">
        <v>45957</v>
      </c>
      <c r="Q1236" s="37"/>
      <c r="R1236" s="38"/>
      <c r="S1236" s="33"/>
      <c r="T1236" s="39">
        <v>150000</v>
      </c>
      <c r="U1236" s="40" t="s">
        <v>1774</v>
      </c>
      <c r="V1236" s="41"/>
      <c r="W1236" s="42" t="str">
        <f ca="1">IFERROR(__xludf.DUMMYFUNCTION("""COMPUTED_VALUE"""),"Patriot Genteng")</f>
        <v>Patriot Genteng</v>
      </c>
      <c r="X1236" s="42" t="str">
        <f ca="1"/>
        <v>ON-Patriot Genteng-00011900+5-6282227534335</v>
      </c>
      <c r="Y1236" s="40" t="s">
        <v>293</v>
      </c>
      <c r="Z1236" s="40" t="s">
        <v>1057</v>
      </c>
      <c r="AA1236" s="23" t="str">
        <v>https://wa.me/6282227534335</v>
      </c>
      <c r="AB1236" s="28" t="s">
        <v>6854</v>
      </c>
      <c r="AC1236" s="28"/>
      <c r="AD1236" s="28" t="s">
        <v>690</v>
      </c>
      <c r="AE1236" s="28"/>
      <c r="AF1236" s="29"/>
      <c r="AG1236" s="29"/>
    </row>
    <row r="1237" spans="1:33" ht="15.75" customHeight="1">
      <c r="A1237" s="32" t="s">
        <v>196</v>
      </c>
      <c r="B1237" s="33">
        <v>1256</v>
      </c>
      <c r="C1237" s="34" t="s">
        <v>6855</v>
      </c>
      <c r="D1237" s="33" t="s">
        <v>6856</v>
      </c>
      <c r="E1237" s="43">
        <v>45951</v>
      </c>
      <c r="F1237" s="32" t="s">
        <v>6857</v>
      </c>
      <c r="G1237" s="32" t="s">
        <v>6858</v>
      </c>
      <c r="H1237" s="32" t="s">
        <v>3617</v>
      </c>
      <c r="I1237" s="36" t="s">
        <v>6859</v>
      </c>
      <c r="J1237" s="52"/>
      <c r="K1237" s="32" t="s">
        <v>6860</v>
      </c>
      <c r="L1237" s="32" t="s">
        <v>92</v>
      </c>
      <c r="M1237" s="32" t="s">
        <v>60</v>
      </c>
      <c r="N1237" s="33">
        <v>20</v>
      </c>
      <c r="O1237" s="35"/>
      <c r="P1237" s="35"/>
      <c r="Q1237" s="37"/>
      <c r="R1237" s="38">
        <v>-1003470351325</v>
      </c>
      <c r="S1237" s="33"/>
      <c r="T1237" s="39">
        <v>700000</v>
      </c>
      <c r="U1237" s="40" t="s">
        <v>61</v>
      </c>
      <c r="V1237" s="47">
        <v>46005.623718206014</v>
      </c>
      <c r="W1237" s="42" t="str">
        <f ca="1">IFERROR(__xludf.DUMMYFUNCTION("""COMPUTED_VALUE"""),"Maniaka Catering")</f>
        <v>Maniaka Catering</v>
      </c>
      <c r="X1237" s="42" t="str">
        <f ca="1"/>
        <v>ON-Maniaka Catering-14122025+20-6281246072868</v>
      </c>
      <c r="Y1237" s="40" t="s">
        <v>62</v>
      </c>
      <c r="Z1237" s="40" t="s">
        <v>3620</v>
      </c>
      <c r="AA1237" s="23" t="str">
        <v>https://wa.me/6281246072868</v>
      </c>
      <c r="AB1237" s="28" t="s">
        <v>6861</v>
      </c>
      <c r="AC1237" s="28"/>
      <c r="AD1237" s="28" t="s">
        <v>690</v>
      </c>
      <c r="AE1237" s="28"/>
      <c r="AF1237" s="29"/>
      <c r="AG1237" s="29"/>
    </row>
    <row r="1238" spans="1:33" ht="15.75" customHeight="1">
      <c r="A1238" s="32" t="s">
        <v>196</v>
      </c>
      <c r="B1238" s="33">
        <v>1257</v>
      </c>
      <c r="C1238" s="34" t="s">
        <v>6862</v>
      </c>
      <c r="D1238" s="35">
        <v>45951.747821990743</v>
      </c>
      <c r="E1238" s="43">
        <v>45951</v>
      </c>
      <c r="F1238" s="32" t="s">
        <v>4299</v>
      </c>
      <c r="G1238" s="32" t="s">
        <v>6863</v>
      </c>
      <c r="H1238" s="32" t="s">
        <v>6864</v>
      </c>
      <c r="I1238" s="36" t="s">
        <v>5742</v>
      </c>
      <c r="J1238" s="52"/>
      <c r="K1238" s="32" t="s">
        <v>6865</v>
      </c>
      <c r="L1238" s="32" t="s">
        <v>2133</v>
      </c>
      <c r="M1238" s="32" t="s">
        <v>60</v>
      </c>
      <c r="N1238" s="33">
        <v>7</v>
      </c>
      <c r="O1238" s="35">
        <v>45954</v>
      </c>
      <c r="P1238" s="35">
        <v>45960</v>
      </c>
      <c r="Q1238" s="37"/>
      <c r="R1238" s="38"/>
      <c r="S1238" s="33"/>
      <c r="T1238" s="39">
        <v>297000</v>
      </c>
      <c r="U1238" s="40" t="s">
        <v>61</v>
      </c>
      <c r="V1238" s="41"/>
      <c r="W1238" s="42" t="str">
        <f ca="1">IFERROR(__xludf.DUMMYFUNCTION("""COMPUTED_VALUE"""),"Jasa Corlif")</f>
        <v>Jasa Corlif</v>
      </c>
      <c r="X1238" s="42" t="str">
        <f ca="1"/>
        <v>ON-Jasa Corlif-00011900+7-6288227630708</v>
      </c>
      <c r="Y1238" s="40" t="s">
        <v>293</v>
      </c>
      <c r="Z1238" s="40" t="s">
        <v>1057</v>
      </c>
      <c r="AA1238" s="23" t="str">
        <v>https://wa.me/6288227630708</v>
      </c>
      <c r="AB1238" s="28" t="s">
        <v>6866</v>
      </c>
      <c r="AC1238" s="28"/>
      <c r="AD1238" s="28" t="s">
        <v>690</v>
      </c>
      <c r="AE1238" s="28"/>
      <c r="AF1238" s="29"/>
      <c r="AG1238" s="29"/>
    </row>
    <row r="1239" spans="1:33" ht="15.75" customHeight="1">
      <c r="A1239" s="32" t="s">
        <v>621</v>
      </c>
      <c r="B1239" s="33">
        <v>1258</v>
      </c>
      <c r="C1239" s="34" t="s">
        <v>6867</v>
      </c>
      <c r="D1239" s="35">
        <v>45951.751905138888</v>
      </c>
      <c r="E1239" s="43">
        <v>45951</v>
      </c>
      <c r="F1239" s="32" t="s">
        <v>6868</v>
      </c>
      <c r="G1239" s="32" t="s">
        <v>6869</v>
      </c>
      <c r="H1239" s="32" t="s">
        <v>6870</v>
      </c>
      <c r="I1239" s="36" t="s">
        <v>6871</v>
      </c>
      <c r="J1239" s="52"/>
      <c r="K1239" s="32" t="s">
        <v>955</v>
      </c>
      <c r="L1239" s="32" t="s">
        <v>6872</v>
      </c>
      <c r="M1239" s="32" t="s">
        <v>60</v>
      </c>
      <c r="N1239" s="33">
        <v>7</v>
      </c>
      <c r="O1239" s="35"/>
      <c r="P1239" s="35"/>
      <c r="Q1239" s="37"/>
      <c r="R1239" s="38"/>
      <c r="S1239" s="33"/>
      <c r="T1239" s="39">
        <v>297000</v>
      </c>
      <c r="U1239" s="40" t="s">
        <v>61</v>
      </c>
      <c r="V1239" s="41"/>
      <c r="W1239" s="42" t="str">
        <f ca="1">IFERROR(__xludf.DUMMYFUNCTION("""COMPUTED_VALUE"""),"Agen Dana")</f>
        <v>Agen Dana</v>
      </c>
      <c r="X1239" s="42" t="str">
        <f ca="1"/>
        <v>ON-Agen Dana-00011900+7-628111122017</v>
      </c>
      <c r="Y1239" s="40"/>
      <c r="Z1239" s="40"/>
      <c r="AA1239" s="23" t="str">
        <v>https://wa.me/628111122017</v>
      </c>
      <c r="AB1239" s="28"/>
      <c r="AC1239" s="28"/>
      <c r="AD1239" s="28"/>
      <c r="AE1239" s="28"/>
      <c r="AF1239" s="29"/>
      <c r="AG1239" s="29"/>
    </row>
    <row r="1240" spans="1:33" ht="15.75" customHeight="1">
      <c r="A1240" s="32" t="s">
        <v>196</v>
      </c>
      <c r="B1240" s="33">
        <v>1259</v>
      </c>
      <c r="C1240" s="34" t="s">
        <v>6873</v>
      </c>
      <c r="D1240" s="35">
        <v>45951.754987326392</v>
      </c>
      <c r="E1240" s="43">
        <v>45951</v>
      </c>
      <c r="F1240" s="32" t="s">
        <v>6874</v>
      </c>
      <c r="G1240" s="32" t="s">
        <v>6875</v>
      </c>
      <c r="H1240" s="32" t="s">
        <v>1113</v>
      </c>
      <c r="I1240" s="36" t="s">
        <v>6876</v>
      </c>
      <c r="J1240" s="52"/>
      <c r="K1240" s="32" t="s">
        <v>1381</v>
      </c>
      <c r="L1240" s="32" t="s">
        <v>218</v>
      </c>
      <c r="M1240" s="32" t="s">
        <v>38</v>
      </c>
      <c r="N1240" s="33">
        <v>10</v>
      </c>
      <c r="O1240" s="35">
        <v>45954</v>
      </c>
      <c r="P1240" s="35">
        <v>45963</v>
      </c>
      <c r="Q1240" s="37"/>
      <c r="R1240" s="38"/>
      <c r="S1240" s="33"/>
      <c r="T1240" s="39">
        <v>375000</v>
      </c>
      <c r="U1240" s="40" t="s">
        <v>61</v>
      </c>
      <c r="V1240" s="41"/>
      <c r="W1240" s="42" t="str">
        <f ca="1">IFERROR(__xludf.DUMMYFUNCTION("""COMPUTED_VALUE"""),"Schonheit Official")</f>
        <v>Schonheit Official</v>
      </c>
      <c r="X1240" s="42" t="str">
        <f ca="1"/>
        <v>ON-Schonheit Official-00011900+10-628976305757</v>
      </c>
      <c r="Y1240" s="40" t="s">
        <v>62</v>
      </c>
      <c r="Z1240" s="40" t="s">
        <v>327</v>
      </c>
      <c r="AA1240" s="23" t="str">
        <v>https://wa.me/628976305757</v>
      </c>
      <c r="AB1240" s="28" t="s">
        <v>6877</v>
      </c>
      <c r="AC1240" s="28"/>
      <c r="AD1240" s="28" t="s">
        <v>690</v>
      </c>
      <c r="AE1240" s="28"/>
      <c r="AF1240" s="29"/>
      <c r="AG1240" s="29"/>
    </row>
    <row r="1241" spans="1:33" ht="15.75" customHeight="1">
      <c r="A1241" s="32" t="s">
        <v>196</v>
      </c>
      <c r="B1241" s="33">
        <v>1260</v>
      </c>
      <c r="C1241" s="34" t="s">
        <v>6878</v>
      </c>
      <c r="D1241" s="35">
        <v>45951.760524965277</v>
      </c>
      <c r="E1241" s="43">
        <v>45951</v>
      </c>
      <c r="F1241" s="32" t="s">
        <v>6879</v>
      </c>
      <c r="G1241" s="32" t="s">
        <v>6880</v>
      </c>
      <c r="H1241" s="32" t="s">
        <v>1901</v>
      </c>
      <c r="I1241" s="36" t="s">
        <v>6881</v>
      </c>
      <c r="J1241" s="52"/>
      <c r="K1241" s="32" t="s">
        <v>6882</v>
      </c>
      <c r="L1241" s="32" t="s">
        <v>2313</v>
      </c>
      <c r="M1241" s="32" t="s">
        <v>60</v>
      </c>
      <c r="N1241" s="33">
        <v>5</v>
      </c>
      <c r="O1241" s="35">
        <v>45955</v>
      </c>
      <c r="P1241" s="35">
        <v>45959</v>
      </c>
      <c r="Q1241" s="37"/>
      <c r="R1241" s="38"/>
      <c r="S1241" s="33"/>
      <c r="T1241" s="39">
        <v>197000</v>
      </c>
      <c r="U1241" s="40" t="s">
        <v>61</v>
      </c>
      <c r="V1241" s="41"/>
      <c r="W1241" s="42" t="str">
        <f ca="1">IFERROR(__xludf.DUMMYFUNCTION("""COMPUTED_VALUE"""),"Zie Laundry")</f>
        <v>Zie Laundry</v>
      </c>
      <c r="X1241" s="42" t="str">
        <f ca="1"/>
        <v>ON-Zie Laundry-00011900+5-628119221176</v>
      </c>
      <c r="Y1241" s="40" t="s">
        <v>62</v>
      </c>
      <c r="Z1241" s="40" t="s">
        <v>1465</v>
      </c>
      <c r="AA1241" s="23" t="str">
        <v>https://wa.me/628119221176</v>
      </c>
      <c r="AB1241" s="28" t="s">
        <v>6883</v>
      </c>
      <c r="AC1241" s="28"/>
      <c r="AD1241" s="28" t="s">
        <v>690</v>
      </c>
      <c r="AE1241" s="28"/>
      <c r="AF1241" s="29"/>
      <c r="AG1241" s="29"/>
    </row>
    <row r="1242" spans="1:33" ht="15.75" customHeight="1">
      <c r="A1242" s="32" t="s">
        <v>196</v>
      </c>
      <c r="B1242" s="33">
        <v>1261</v>
      </c>
      <c r="C1242" s="34" t="s">
        <v>6884</v>
      </c>
      <c r="D1242" s="35">
        <v>45951.764966076385</v>
      </c>
      <c r="E1242" s="43">
        <v>45951</v>
      </c>
      <c r="F1242" s="32" t="s">
        <v>6885</v>
      </c>
      <c r="G1242" s="32" t="s">
        <v>6886</v>
      </c>
      <c r="H1242" s="32" t="s">
        <v>6887</v>
      </c>
      <c r="I1242" s="36" t="s">
        <v>6888</v>
      </c>
      <c r="J1242" s="52"/>
      <c r="K1242" s="32" t="s">
        <v>955</v>
      </c>
      <c r="L1242" s="32" t="s">
        <v>6889</v>
      </c>
      <c r="M1242" s="32" t="s">
        <v>60</v>
      </c>
      <c r="N1242" s="33">
        <v>5</v>
      </c>
      <c r="O1242" s="35">
        <v>45954</v>
      </c>
      <c r="P1242" s="35">
        <v>45958</v>
      </c>
      <c r="Q1242" s="37"/>
      <c r="R1242" s="38"/>
      <c r="S1242" s="33"/>
      <c r="T1242" s="39">
        <v>197000</v>
      </c>
      <c r="U1242" s="40" t="s">
        <v>61</v>
      </c>
      <c r="V1242" s="41"/>
      <c r="W1242" s="42" t="str">
        <f ca="1">IFERROR(__xludf.DUMMYFUNCTION("""COMPUTED_VALUE"""),"Tarlie Tehnik")</f>
        <v>Tarlie Tehnik</v>
      </c>
      <c r="X1242" s="42" t="str">
        <f ca="1"/>
        <v>ON-Tarlie Tehnik-00011900+5-6285136912407</v>
      </c>
      <c r="Y1242" s="40" t="s">
        <v>293</v>
      </c>
      <c r="Z1242" s="40" t="s">
        <v>1057</v>
      </c>
      <c r="AA1242" s="23" t="str">
        <v>https://wa.me/6285136912407</v>
      </c>
      <c r="AB1242" s="28" t="s">
        <v>6890</v>
      </c>
      <c r="AC1242" s="28"/>
      <c r="AD1242" s="28" t="s">
        <v>690</v>
      </c>
      <c r="AE1242" s="28"/>
      <c r="AF1242" s="29"/>
      <c r="AG1242" s="29"/>
    </row>
    <row r="1243" spans="1:33" ht="15.75" customHeight="1">
      <c r="A1243" s="32" t="s">
        <v>196</v>
      </c>
      <c r="B1243" s="33">
        <v>1262</v>
      </c>
      <c r="C1243" s="34" t="s">
        <v>6891</v>
      </c>
      <c r="D1243" s="35">
        <v>45951.805228564815</v>
      </c>
      <c r="E1243" s="43">
        <v>45951</v>
      </c>
      <c r="F1243" s="32" t="s">
        <v>6892</v>
      </c>
      <c r="G1243" s="32" t="s">
        <v>6893</v>
      </c>
      <c r="H1243" s="32" t="s">
        <v>6894</v>
      </c>
      <c r="I1243" s="36" t="s">
        <v>6895</v>
      </c>
      <c r="J1243" s="52" t="s">
        <v>6896</v>
      </c>
      <c r="K1243" s="32" t="s">
        <v>6897</v>
      </c>
      <c r="L1243" s="32" t="s">
        <v>6898</v>
      </c>
      <c r="M1243" s="32" t="s">
        <v>711</v>
      </c>
      <c r="N1243" s="33">
        <v>5</v>
      </c>
      <c r="O1243" s="35">
        <v>45954</v>
      </c>
      <c r="P1243" s="35">
        <v>45958</v>
      </c>
      <c r="Q1243" s="37"/>
      <c r="R1243" s="38"/>
      <c r="S1243" s="33"/>
      <c r="T1243" s="39">
        <v>197000</v>
      </c>
      <c r="U1243" s="40" t="s">
        <v>1229</v>
      </c>
      <c r="V1243" s="41"/>
      <c r="W1243" s="42" t="str">
        <f ca="1">IFERROR(__xludf.DUMMYFUNCTION("""COMPUTED_VALUE"""),"mebel sifjepara")</f>
        <v>mebel sifjepara</v>
      </c>
      <c r="X1243" s="42" t="str">
        <f ca="1"/>
        <v>ON-mebel sifjepara-00011900+5-6281325669787</v>
      </c>
      <c r="Y1243" s="40" t="s">
        <v>293</v>
      </c>
      <c r="Z1243" s="40" t="s">
        <v>1057</v>
      </c>
      <c r="AA1243" s="23" t="str">
        <v>https://wa.me/6281325669787</v>
      </c>
      <c r="AB1243" s="28" t="s">
        <v>6899</v>
      </c>
      <c r="AC1243" s="28"/>
      <c r="AD1243" s="28" t="s">
        <v>690</v>
      </c>
      <c r="AE1243" s="28"/>
      <c r="AF1243" s="29"/>
      <c r="AG1243" s="29"/>
    </row>
    <row r="1244" spans="1:33" ht="15.75" customHeight="1">
      <c r="A1244" s="32" t="s">
        <v>196</v>
      </c>
      <c r="B1244" s="33">
        <v>1263</v>
      </c>
      <c r="C1244" s="34" t="s">
        <v>6900</v>
      </c>
      <c r="D1244" s="35">
        <v>45951.902294166663</v>
      </c>
      <c r="E1244" s="43">
        <v>45951</v>
      </c>
      <c r="F1244" s="32" t="s">
        <v>6901</v>
      </c>
      <c r="G1244" s="32" t="s">
        <v>6902</v>
      </c>
      <c r="H1244" s="32" t="s">
        <v>6903</v>
      </c>
      <c r="I1244" s="36" t="s">
        <v>6871</v>
      </c>
      <c r="J1244" s="52"/>
      <c r="K1244" s="32" t="s">
        <v>2132</v>
      </c>
      <c r="L1244" s="32" t="s">
        <v>604</v>
      </c>
      <c r="M1244" s="32" t="s">
        <v>60</v>
      </c>
      <c r="N1244" s="33">
        <v>7</v>
      </c>
      <c r="O1244" s="35">
        <v>45954</v>
      </c>
      <c r="P1244" s="35">
        <v>45960</v>
      </c>
      <c r="Q1244" s="37"/>
      <c r="R1244" s="38"/>
      <c r="S1244" s="33"/>
      <c r="T1244" s="39">
        <v>297000</v>
      </c>
      <c r="U1244" s="40" t="s">
        <v>61</v>
      </c>
      <c r="V1244" s="41"/>
      <c r="W1244" s="42" t="str">
        <f ca="1">IFERROR(__xludf.DUMMYFUNCTION("""COMPUTED_VALUE"""),"Consultan Umroh")</f>
        <v>Consultan Umroh</v>
      </c>
      <c r="X1244" s="42" t="str">
        <f ca="1"/>
        <v>ON-Consultan Umroh-00011900+7-628111122017</v>
      </c>
      <c r="Y1244" s="40" t="s">
        <v>62</v>
      </c>
      <c r="Z1244" s="40" t="s">
        <v>1880</v>
      </c>
      <c r="AA1244" s="23" t="str">
        <v>https://wa.me/628111122017</v>
      </c>
      <c r="AB1244" s="28" t="s">
        <v>6904</v>
      </c>
      <c r="AC1244" s="28"/>
      <c r="AD1244" s="28" t="s">
        <v>690</v>
      </c>
      <c r="AE1244" s="28"/>
      <c r="AF1244" s="29"/>
      <c r="AG1244" s="29"/>
    </row>
    <row r="1245" spans="1:33" ht="15.75" customHeight="1">
      <c r="A1245" s="32" t="s">
        <v>196</v>
      </c>
      <c r="B1245" s="33">
        <v>1264</v>
      </c>
      <c r="C1245" s="34" t="s">
        <v>6905</v>
      </c>
      <c r="D1245" s="35">
        <v>45952.410628715283</v>
      </c>
      <c r="E1245" s="43">
        <v>45952</v>
      </c>
      <c r="F1245" s="32" t="s">
        <v>6906</v>
      </c>
      <c r="G1245" s="32" t="s">
        <v>6907</v>
      </c>
      <c r="H1245" s="32" t="s">
        <v>3076</v>
      </c>
      <c r="I1245" s="36" t="s">
        <v>6908</v>
      </c>
      <c r="J1245" s="52"/>
      <c r="K1245" s="32" t="s">
        <v>6909</v>
      </c>
      <c r="L1245" s="32" t="s">
        <v>6910</v>
      </c>
      <c r="M1245" s="32" t="s">
        <v>60</v>
      </c>
      <c r="N1245" s="33">
        <v>5</v>
      </c>
      <c r="O1245" s="35">
        <v>45955</v>
      </c>
      <c r="P1245" s="35">
        <v>45959</v>
      </c>
      <c r="Q1245" s="37"/>
      <c r="R1245" s="38"/>
      <c r="S1245" s="33"/>
      <c r="T1245" s="39">
        <v>197000</v>
      </c>
      <c r="U1245" s="40" t="s">
        <v>61</v>
      </c>
      <c r="V1245" s="41"/>
      <c r="W1245" s="42" t="str">
        <f ca="1">IFERROR(__xludf.DUMMYFUNCTION("""COMPUTED_VALUE"""),"Dhatia Tour")</f>
        <v>Dhatia Tour</v>
      </c>
      <c r="X1245" s="42" t="str">
        <f ca="1"/>
        <v>ON-Dhatia Tour-00011900+5-6282358936888</v>
      </c>
      <c r="Y1245" s="40" t="s">
        <v>62</v>
      </c>
      <c r="Z1245" s="40" t="s">
        <v>1880</v>
      </c>
      <c r="AA1245" s="23" t="str">
        <v>https://wa.me/6282358936888</v>
      </c>
      <c r="AB1245" s="28" t="s">
        <v>6911</v>
      </c>
      <c r="AC1245" s="28"/>
      <c r="AD1245" s="28" t="s">
        <v>690</v>
      </c>
      <c r="AE1245" s="28"/>
      <c r="AF1245" s="29"/>
      <c r="AG1245" s="29"/>
    </row>
    <row r="1246" spans="1:33" ht="15.75" customHeight="1">
      <c r="A1246" s="32" t="s">
        <v>52</v>
      </c>
      <c r="B1246" s="33">
        <v>1265</v>
      </c>
      <c r="C1246" s="34" t="s">
        <v>6912</v>
      </c>
      <c r="D1246" s="35">
        <v>45952.412980196765</v>
      </c>
      <c r="E1246" s="43">
        <v>45952</v>
      </c>
      <c r="F1246" s="32" t="s">
        <v>54</v>
      </c>
      <c r="G1246" s="32" t="s">
        <v>55</v>
      </c>
      <c r="H1246" s="32" t="s">
        <v>56</v>
      </c>
      <c r="I1246" s="36" t="s">
        <v>6913</v>
      </c>
      <c r="J1246" s="52" t="s">
        <v>4327</v>
      </c>
      <c r="K1246" s="32" t="s">
        <v>58</v>
      </c>
      <c r="L1246" s="32" t="s">
        <v>59</v>
      </c>
      <c r="M1246" s="32" t="s">
        <v>60</v>
      </c>
      <c r="N1246" s="33">
        <v>10</v>
      </c>
      <c r="O1246" s="35"/>
      <c r="P1246" s="35"/>
      <c r="Q1246" s="37"/>
      <c r="R1246" s="38"/>
      <c r="S1246" s="33"/>
      <c r="T1246" s="39">
        <v>375000</v>
      </c>
      <c r="U1246" s="40" t="s">
        <v>61</v>
      </c>
      <c r="V1246" s="41"/>
      <c r="W1246" s="42" t="str">
        <f ca="1">IFERROR(__xludf.DUMMYFUNCTION("""COMPUTED_VALUE"""),"Verrocosta")</f>
        <v>Verrocosta</v>
      </c>
      <c r="X1246" s="42" t="str">
        <f ca="1"/>
        <v>ON-Verrocosta-00011900+10-62075670898</v>
      </c>
      <c r="Y1246" s="40"/>
      <c r="Z1246" s="40"/>
      <c r="AA1246" s="23" t="str">
        <v>https://wa.me/62075670898</v>
      </c>
      <c r="AB1246" s="28"/>
      <c r="AC1246" s="28"/>
      <c r="AD1246" s="28"/>
      <c r="AE1246" s="28"/>
      <c r="AF1246" s="29"/>
      <c r="AG1246" s="29"/>
    </row>
    <row r="1247" spans="1:33" ht="15.75" customHeight="1">
      <c r="A1247" s="32" t="s">
        <v>52</v>
      </c>
      <c r="B1247" s="33">
        <v>1266</v>
      </c>
      <c r="C1247" s="34" t="s">
        <v>6914</v>
      </c>
      <c r="D1247" s="35">
        <v>45952.445228506942</v>
      </c>
      <c r="E1247" s="43">
        <v>45952</v>
      </c>
      <c r="F1247" s="32" t="s">
        <v>5541</v>
      </c>
      <c r="G1247" s="32" t="s">
        <v>5542</v>
      </c>
      <c r="H1247" s="32" t="s">
        <v>595</v>
      </c>
      <c r="I1247" s="36" t="s">
        <v>5543</v>
      </c>
      <c r="J1247" s="52"/>
      <c r="K1247" s="32" t="s">
        <v>5544</v>
      </c>
      <c r="L1247" s="32" t="s">
        <v>425</v>
      </c>
      <c r="M1247" s="32" t="s">
        <v>60</v>
      </c>
      <c r="N1247" s="33">
        <v>10</v>
      </c>
      <c r="O1247" s="35"/>
      <c r="P1247" s="35"/>
      <c r="Q1247" s="37"/>
      <c r="R1247" s="38"/>
      <c r="S1247" s="33"/>
      <c r="T1247" s="39">
        <v>375000</v>
      </c>
      <c r="U1247" s="40" t="s">
        <v>61</v>
      </c>
      <c r="V1247" s="41"/>
      <c r="W1247" s="42" t="str">
        <f ca="1">IFERROR(__xludf.DUMMYFUNCTION("""COMPUTED_VALUE"""),"CV Sanjaya")</f>
        <v>CV Sanjaya</v>
      </c>
      <c r="X1247" s="42" t="str">
        <f ca="1"/>
        <v>ON-CV Sanjaya-00011900+10-6285237233077</v>
      </c>
      <c r="Y1247" s="40"/>
      <c r="Z1247" s="40"/>
      <c r="AA1247" s="23" t="str">
        <v>https://wa.me/6285237233077</v>
      </c>
      <c r="AB1247" s="28"/>
      <c r="AC1247" s="28"/>
      <c r="AD1247" s="28"/>
      <c r="AE1247" s="28"/>
      <c r="AF1247" s="29"/>
      <c r="AG1247" s="29"/>
    </row>
    <row r="1248" spans="1:33" ht="15.75" customHeight="1">
      <c r="A1248" s="32" t="s">
        <v>196</v>
      </c>
      <c r="B1248" s="33">
        <v>1267</v>
      </c>
      <c r="C1248" s="34" t="s">
        <v>6915</v>
      </c>
      <c r="D1248" s="35">
        <v>45952.460959918986</v>
      </c>
      <c r="E1248" s="43">
        <v>45952</v>
      </c>
      <c r="F1248" s="32" t="s">
        <v>6916</v>
      </c>
      <c r="G1248" s="32" t="s">
        <v>6917</v>
      </c>
      <c r="H1248" s="32" t="s">
        <v>6918</v>
      </c>
      <c r="I1248" s="36" t="s">
        <v>6919</v>
      </c>
      <c r="J1248" s="52"/>
      <c r="K1248" s="32" t="s">
        <v>6920</v>
      </c>
      <c r="L1248" s="32" t="s">
        <v>6584</v>
      </c>
      <c r="M1248" s="32" t="s">
        <v>6921</v>
      </c>
      <c r="N1248" s="33">
        <v>7</v>
      </c>
      <c r="O1248" s="35">
        <v>45955</v>
      </c>
      <c r="P1248" s="35">
        <v>45961</v>
      </c>
      <c r="Q1248" s="37"/>
      <c r="R1248" s="38"/>
      <c r="S1248" s="33"/>
      <c r="T1248" s="39">
        <v>297000</v>
      </c>
      <c r="U1248" s="40" t="s">
        <v>1774</v>
      </c>
      <c r="V1248" s="41"/>
      <c r="W1248" s="42" t="str">
        <f ca="1">IFERROR(__xludf.DUMMYFUNCTION("""COMPUTED_VALUE"""),"Dcar Detailer")</f>
        <v>Dcar Detailer</v>
      </c>
      <c r="X1248" s="42" t="str">
        <f ca="1"/>
        <v>ON-Dcar Detailer-00011900+7-6281236788148</v>
      </c>
      <c r="Y1248" s="40" t="s">
        <v>62</v>
      </c>
      <c r="Z1248" s="40" t="s">
        <v>294</v>
      </c>
      <c r="AA1248" s="23" t="str">
        <v>https://wa.me/6281236788148</v>
      </c>
      <c r="AB1248" s="28" t="s">
        <v>6922</v>
      </c>
      <c r="AC1248" s="28"/>
      <c r="AD1248" s="28" t="s">
        <v>690</v>
      </c>
      <c r="AE1248" s="28"/>
      <c r="AF1248" s="29"/>
      <c r="AG1248" s="29"/>
    </row>
    <row r="1249" spans="1:33" ht="15.75" customHeight="1">
      <c r="A1249" s="32" t="s">
        <v>196</v>
      </c>
      <c r="B1249" s="33">
        <v>1268</v>
      </c>
      <c r="C1249" s="34" t="s">
        <v>6923</v>
      </c>
      <c r="D1249" s="33" t="s">
        <v>3670</v>
      </c>
      <c r="E1249" s="43">
        <v>45952</v>
      </c>
      <c r="F1249" s="32" t="s">
        <v>6924</v>
      </c>
      <c r="G1249" s="32" t="s">
        <v>6925</v>
      </c>
      <c r="H1249" s="32" t="s">
        <v>66</v>
      </c>
      <c r="I1249" s="36" t="s">
        <v>6926</v>
      </c>
      <c r="J1249" s="52"/>
      <c r="K1249" s="32" t="s">
        <v>6927</v>
      </c>
      <c r="L1249" s="32" t="s">
        <v>2133</v>
      </c>
      <c r="M1249" s="32" t="s">
        <v>60</v>
      </c>
      <c r="N1249" s="33">
        <v>5</v>
      </c>
      <c r="O1249" s="35"/>
      <c r="P1249" s="35"/>
      <c r="Q1249" s="37"/>
      <c r="R1249" s="38">
        <v>-1003470351325</v>
      </c>
      <c r="S1249" s="33"/>
      <c r="T1249" s="39">
        <v>197000</v>
      </c>
      <c r="U1249" s="40" t="s">
        <v>61</v>
      </c>
      <c r="V1249" s="47">
        <v>46020.913629212962</v>
      </c>
      <c r="W1249" s="42" t="str">
        <f ca="1">IFERROR(__xludf.DUMMYFUNCTION("""COMPUTED_VALUE"""),"Riyan Interior")</f>
        <v>Riyan Interior</v>
      </c>
      <c r="X1249" s="42" t="str">
        <f ca="1"/>
        <v>ON-Riyan Interior-29122025+5-6282148973454</v>
      </c>
      <c r="Y1249" s="40" t="s">
        <v>293</v>
      </c>
      <c r="Z1249" s="40" t="s">
        <v>1057</v>
      </c>
      <c r="AA1249" s="23" t="str">
        <v>https://wa.me/6282148973454</v>
      </c>
      <c r="AB1249" s="28" t="s">
        <v>6928</v>
      </c>
      <c r="AC1249" s="28"/>
      <c r="AD1249" s="28" t="s">
        <v>690</v>
      </c>
      <c r="AE1249" s="28"/>
      <c r="AF1249" s="29"/>
      <c r="AG1249" s="29"/>
    </row>
    <row r="1250" spans="1:33" ht="15.75" customHeight="1">
      <c r="A1250" s="32" t="s">
        <v>621</v>
      </c>
      <c r="B1250" s="33">
        <v>1269</v>
      </c>
      <c r="C1250" s="34" t="s">
        <v>6929</v>
      </c>
      <c r="D1250" s="35">
        <v>45952.517348738431</v>
      </c>
      <c r="E1250" s="43">
        <v>45952</v>
      </c>
      <c r="F1250" s="32" t="s">
        <v>6930</v>
      </c>
      <c r="G1250" s="32" t="s">
        <v>6931</v>
      </c>
      <c r="H1250" s="32" t="s">
        <v>6932</v>
      </c>
      <c r="I1250" s="36" t="s">
        <v>6933</v>
      </c>
      <c r="J1250" s="52"/>
      <c r="K1250" s="32" t="s">
        <v>6934</v>
      </c>
      <c r="L1250" s="32" t="s">
        <v>2468</v>
      </c>
      <c r="M1250" s="32" t="s">
        <v>60</v>
      </c>
      <c r="N1250" s="33">
        <v>5</v>
      </c>
      <c r="O1250" s="35"/>
      <c r="P1250" s="35"/>
      <c r="Q1250" s="37"/>
      <c r="R1250" s="38"/>
      <c r="S1250" s="33"/>
      <c r="T1250" s="39">
        <v>197000</v>
      </c>
      <c r="U1250" s="40" t="s">
        <v>61</v>
      </c>
      <c r="V1250" s="41"/>
      <c r="W1250" s="42" t="str">
        <f ca="1">IFERROR(__xludf.DUMMYFUNCTION("""COMPUTED_VALUE"""),"Sultan Aquarium")</f>
        <v>Sultan Aquarium</v>
      </c>
      <c r="X1250" s="42" t="str">
        <f ca="1"/>
        <v>ON-Sultan Aquarium-00011900+5-6281357656901</v>
      </c>
      <c r="Y1250" s="40"/>
      <c r="Z1250" s="40"/>
      <c r="AA1250" s="23" t="str">
        <v>https://wa.me/6281357656901</v>
      </c>
      <c r="AB1250" s="28"/>
      <c r="AC1250" s="28"/>
      <c r="AD1250" s="28"/>
      <c r="AE1250" s="28"/>
      <c r="AF1250" s="29"/>
      <c r="AG1250" s="29"/>
    </row>
    <row r="1251" spans="1:33" ht="15.75" customHeight="1">
      <c r="A1251" s="32" t="s">
        <v>196</v>
      </c>
      <c r="B1251" s="33">
        <v>1270</v>
      </c>
      <c r="C1251" s="34" t="s">
        <v>6935</v>
      </c>
      <c r="D1251" s="35">
        <v>45952.564439872687</v>
      </c>
      <c r="E1251" s="43">
        <v>45952</v>
      </c>
      <c r="F1251" s="32" t="s">
        <v>6936</v>
      </c>
      <c r="G1251" s="32" t="s">
        <v>6937</v>
      </c>
      <c r="H1251" s="32" t="s">
        <v>6938</v>
      </c>
      <c r="I1251" s="36" t="s">
        <v>6939</v>
      </c>
      <c r="J1251" s="52" t="s">
        <v>6940</v>
      </c>
      <c r="K1251" s="32" t="s">
        <v>6941</v>
      </c>
      <c r="L1251" s="32" t="s">
        <v>6942</v>
      </c>
      <c r="M1251" s="32" t="s">
        <v>5643</v>
      </c>
      <c r="N1251" s="33">
        <v>7</v>
      </c>
      <c r="O1251" s="35">
        <v>45955</v>
      </c>
      <c r="P1251" s="35">
        <v>45961</v>
      </c>
      <c r="Q1251" s="37"/>
      <c r="R1251" s="38"/>
      <c r="S1251" s="33"/>
      <c r="T1251" s="39">
        <v>297000</v>
      </c>
      <c r="U1251" s="40" t="s">
        <v>1774</v>
      </c>
      <c r="V1251" s="41"/>
      <c r="W1251" s="42" t="str">
        <f ca="1">IFERROR(__xludf.DUMMYFUNCTION("""COMPUTED_VALUE"""),"Ratu Isyana")</f>
        <v>Ratu Isyana</v>
      </c>
      <c r="X1251" s="42" t="str">
        <f ca="1"/>
        <v>ON-Ratu Isyana-00011900+7-6287750640871</v>
      </c>
      <c r="Y1251" s="40" t="s">
        <v>50</v>
      </c>
      <c r="Z1251" s="40" t="s">
        <v>327</v>
      </c>
      <c r="AA1251" s="23" t="str">
        <v>https://wa.me/6287750640871</v>
      </c>
      <c r="AB1251" s="28" t="s">
        <v>6943</v>
      </c>
      <c r="AC1251" s="28"/>
      <c r="AD1251" s="28" t="s">
        <v>690</v>
      </c>
      <c r="AE1251" s="28"/>
      <c r="AF1251" s="29"/>
      <c r="AG1251" s="29"/>
    </row>
    <row r="1252" spans="1:33" ht="15.75" customHeight="1">
      <c r="A1252" s="32" t="s">
        <v>52</v>
      </c>
      <c r="B1252" s="33">
        <v>1271</v>
      </c>
      <c r="C1252" s="34" t="s">
        <v>6944</v>
      </c>
      <c r="D1252" s="35">
        <v>45952.61530287037</v>
      </c>
      <c r="E1252" s="43">
        <v>45952</v>
      </c>
      <c r="F1252" s="32" t="s">
        <v>3745</v>
      </c>
      <c r="G1252" s="32" t="s">
        <v>3746</v>
      </c>
      <c r="H1252" s="32" t="s">
        <v>3747</v>
      </c>
      <c r="I1252" s="36" t="s">
        <v>3748</v>
      </c>
      <c r="J1252" s="52"/>
      <c r="K1252" s="32" t="s">
        <v>3749</v>
      </c>
      <c r="L1252" s="32" t="s">
        <v>3750</v>
      </c>
      <c r="M1252" s="32" t="s">
        <v>6373</v>
      </c>
      <c r="N1252" s="33">
        <v>5</v>
      </c>
      <c r="O1252" s="35"/>
      <c r="P1252" s="35"/>
      <c r="Q1252" s="37"/>
      <c r="R1252" s="38"/>
      <c r="S1252" s="33"/>
      <c r="T1252" s="39">
        <v>197000</v>
      </c>
      <c r="U1252" s="40" t="s">
        <v>1229</v>
      </c>
      <c r="V1252" s="41"/>
      <c r="W1252" s="42" t="str">
        <f ca="1">IFERROR(__xludf.DUMMYFUNCTION("""COMPUTED_VALUE"""),"Jasa renovasi")</f>
        <v>Jasa renovasi</v>
      </c>
      <c r="X1252" s="42" t="str">
        <f ca="1"/>
        <v>ON-Jasa renovasi-00011900+5-6282236053835</v>
      </c>
      <c r="Y1252" s="40"/>
      <c r="Z1252" s="40"/>
      <c r="AA1252" s="23" t="str">
        <v>https://wa.me/6282236053835</v>
      </c>
      <c r="AB1252" s="28"/>
      <c r="AC1252" s="28"/>
      <c r="AD1252" s="28"/>
      <c r="AE1252" s="28"/>
      <c r="AF1252" s="29"/>
      <c r="AG1252" s="29"/>
    </row>
    <row r="1253" spans="1:33" ht="15.75" customHeight="1">
      <c r="A1253" s="32" t="s">
        <v>52</v>
      </c>
      <c r="B1253" s="33">
        <v>1272</v>
      </c>
      <c r="C1253" s="34" t="s">
        <v>6945</v>
      </c>
      <c r="D1253" s="35">
        <v>45953.408698043982</v>
      </c>
      <c r="E1253" s="43">
        <v>45953</v>
      </c>
      <c r="F1253" s="32" t="s">
        <v>2479</v>
      </c>
      <c r="G1253" s="32" t="s">
        <v>2480</v>
      </c>
      <c r="H1253" s="32" t="s">
        <v>2481</v>
      </c>
      <c r="I1253" s="36" t="s">
        <v>2482</v>
      </c>
      <c r="J1253" s="52"/>
      <c r="K1253" s="32" t="s">
        <v>2483</v>
      </c>
      <c r="L1253" s="32" t="s">
        <v>1628</v>
      </c>
      <c r="M1253" s="32" t="s">
        <v>60</v>
      </c>
      <c r="N1253" s="33">
        <v>10</v>
      </c>
      <c r="O1253" s="35"/>
      <c r="P1253" s="35"/>
      <c r="Q1253" s="37"/>
      <c r="R1253" s="38"/>
      <c r="S1253" s="33"/>
      <c r="T1253" s="39">
        <v>375000</v>
      </c>
      <c r="U1253" s="40" t="s">
        <v>115</v>
      </c>
      <c r="V1253" s="41"/>
      <c r="W1253" s="42" t="str">
        <f ca="1">IFERROR(__xludf.DUMMYFUNCTION("""COMPUTED_VALUE"""),"AURIGA KONTRAKTOR")</f>
        <v>AURIGA KONTRAKTOR</v>
      </c>
      <c r="X1253" s="42" t="str">
        <f ca="1"/>
        <v>ON-AURIGA KONTRAKTOR-00011900+10-6287856230745</v>
      </c>
      <c r="Y1253" s="40"/>
      <c r="Z1253" s="40"/>
      <c r="AA1253" s="23" t="str">
        <v>https://wa.me/6287856230745</v>
      </c>
      <c r="AB1253" s="28"/>
      <c r="AC1253" s="28"/>
      <c r="AD1253" s="28"/>
      <c r="AE1253" s="28"/>
      <c r="AF1253" s="29"/>
      <c r="AG1253" s="29"/>
    </row>
    <row r="1254" spans="1:33" ht="15.75" customHeight="1">
      <c r="A1254" s="32" t="s">
        <v>52</v>
      </c>
      <c r="B1254" s="33">
        <v>1273</v>
      </c>
      <c r="C1254" s="34" t="s">
        <v>6946</v>
      </c>
      <c r="D1254" s="35">
        <v>45953.418886284722</v>
      </c>
      <c r="E1254" s="43">
        <v>45953</v>
      </c>
      <c r="F1254" s="32" t="s">
        <v>6557</v>
      </c>
      <c r="G1254" s="32" t="s">
        <v>6558</v>
      </c>
      <c r="H1254" s="32" t="s">
        <v>907</v>
      </c>
      <c r="I1254" s="36" t="s">
        <v>6559</v>
      </c>
      <c r="J1254" s="52"/>
      <c r="K1254" s="32" t="s">
        <v>6947</v>
      </c>
      <c r="L1254" s="32" t="s">
        <v>6561</v>
      </c>
      <c r="M1254" s="32" t="s">
        <v>60</v>
      </c>
      <c r="N1254" s="33">
        <v>7</v>
      </c>
      <c r="O1254" s="35"/>
      <c r="P1254" s="35"/>
      <c r="Q1254" s="37"/>
      <c r="R1254" s="38"/>
      <c r="S1254" s="33"/>
      <c r="T1254" s="39">
        <v>297000</v>
      </c>
      <c r="U1254" s="40"/>
      <c r="V1254" s="41"/>
      <c r="W1254" s="42" t="str">
        <f ca="1">IFERROR(__xludf.DUMMYFUNCTION("""COMPUTED_VALUE"""),"Aria Property")</f>
        <v>Aria Property</v>
      </c>
      <c r="X1254" s="42" t="str">
        <f ca="1"/>
        <v>ON-Aria Property-00011900+7-628562571037</v>
      </c>
      <c r="Y1254" s="40"/>
      <c r="Z1254" s="40"/>
      <c r="AA1254" s="23" t="str">
        <v>https://wa.me/628562571037</v>
      </c>
      <c r="AB1254" s="28"/>
      <c r="AC1254" s="28"/>
      <c r="AD1254" s="28"/>
      <c r="AE1254" s="28"/>
      <c r="AF1254" s="29"/>
      <c r="AG1254" s="29"/>
    </row>
    <row r="1255" spans="1:33" ht="15.75" customHeight="1">
      <c r="A1255" s="32" t="s">
        <v>52</v>
      </c>
      <c r="B1255" s="33">
        <v>1274</v>
      </c>
      <c r="C1255" s="34" t="s">
        <v>6948</v>
      </c>
      <c r="D1255" s="35">
        <v>45953.420031782407</v>
      </c>
      <c r="E1255" s="43">
        <v>45953</v>
      </c>
      <c r="F1255" s="32" t="s">
        <v>6557</v>
      </c>
      <c r="G1255" s="32" t="s">
        <v>6558</v>
      </c>
      <c r="H1255" s="32" t="s">
        <v>907</v>
      </c>
      <c r="I1255" s="36" t="s">
        <v>6559</v>
      </c>
      <c r="J1255" s="52"/>
      <c r="K1255" s="32" t="s">
        <v>6947</v>
      </c>
      <c r="L1255" s="32" t="s">
        <v>6561</v>
      </c>
      <c r="M1255" s="32" t="s">
        <v>60</v>
      </c>
      <c r="N1255" s="33">
        <v>7</v>
      </c>
      <c r="O1255" s="35"/>
      <c r="P1255" s="35"/>
      <c r="Q1255" s="37"/>
      <c r="R1255" s="38"/>
      <c r="S1255" s="33"/>
      <c r="T1255" s="39">
        <v>297000</v>
      </c>
      <c r="U1255" s="40"/>
      <c r="V1255" s="41"/>
      <c r="W1255" s="42" t="str">
        <f ca="1">IFERROR(__xludf.DUMMYFUNCTION("""COMPUTED_VALUE"""),"Aria Property")</f>
        <v>Aria Property</v>
      </c>
      <c r="X1255" s="42" t="str">
        <f ca="1"/>
        <v>ON-Aria Property-00011900+7-628562571037</v>
      </c>
      <c r="Y1255" s="40"/>
      <c r="Z1255" s="40"/>
      <c r="AA1255" s="23" t="str">
        <v>https://wa.me/628562571037</v>
      </c>
      <c r="AB1255" s="28"/>
      <c r="AC1255" s="28"/>
      <c r="AD1255" s="28"/>
      <c r="AE1255" s="28"/>
      <c r="AF1255" s="29"/>
      <c r="AG1255" s="29"/>
    </row>
    <row r="1256" spans="1:33" ht="15.75" customHeight="1">
      <c r="A1256" s="32" t="s">
        <v>196</v>
      </c>
      <c r="B1256" s="33">
        <v>1275</v>
      </c>
      <c r="C1256" s="34" t="s">
        <v>6949</v>
      </c>
      <c r="D1256" s="35">
        <v>45953.477722337964</v>
      </c>
      <c r="E1256" s="43">
        <v>45953</v>
      </c>
      <c r="F1256" s="32" t="s">
        <v>4930</v>
      </c>
      <c r="G1256" s="32" t="s">
        <v>6950</v>
      </c>
      <c r="H1256" s="32" t="s">
        <v>6951</v>
      </c>
      <c r="I1256" s="36" t="s">
        <v>6952</v>
      </c>
      <c r="J1256" s="52" t="s">
        <v>6953</v>
      </c>
      <c r="K1256" s="32" t="s">
        <v>1024</v>
      </c>
      <c r="L1256" s="32" t="s">
        <v>3302</v>
      </c>
      <c r="M1256" s="32" t="s">
        <v>249</v>
      </c>
      <c r="N1256" s="33">
        <v>5</v>
      </c>
      <c r="O1256" s="35">
        <v>45956</v>
      </c>
      <c r="P1256" s="35">
        <v>45960</v>
      </c>
      <c r="Q1256" s="37"/>
      <c r="R1256" s="38"/>
      <c r="S1256" s="33"/>
      <c r="T1256" s="39">
        <v>197000</v>
      </c>
      <c r="U1256" s="40" t="s">
        <v>1774</v>
      </c>
      <c r="V1256" s="41"/>
      <c r="W1256" s="42" t="str">
        <f ca="1">IFERROR(__xludf.DUMMYFUNCTION("""COMPUTED_VALUE"""),"Sahabat Tegar")</f>
        <v>Sahabat Tegar</v>
      </c>
      <c r="X1256" s="42" t="str">
        <f ca="1"/>
        <v>ON-Sahabat Tegar-00011900+5-6281369013633</v>
      </c>
      <c r="Y1256" s="40" t="s">
        <v>62</v>
      </c>
      <c r="Z1256" s="40" t="s">
        <v>1861</v>
      </c>
      <c r="AA1256" s="23" t="str">
        <v>https://wa.me/6281369013633</v>
      </c>
      <c r="AB1256" s="28" t="s">
        <v>6954</v>
      </c>
      <c r="AC1256" s="28"/>
      <c r="AD1256" s="28" t="s">
        <v>690</v>
      </c>
      <c r="AE1256" s="28"/>
      <c r="AF1256" s="29"/>
      <c r="AG1256" s="29"/>
    </row>
    <row r="1257" spans="1:33" ht="15.75" customHeight="1">
      <c r="A1257" s="32" t="s">
        <v>196</v>
      </c>
      <c r="B1257" s="33">
        <v>1276</v>
      </c>
      <c r="C1257" s="34" t="s">
        <v>6955</v>
      </c>
      <c r="D1257" s="35">
        <v>45953.544825925928</v>
      </c>
      <c r="E1257" s="43">
        <v>45953</v>
      </c>
      <c r="F1257" s="32" t="s">
        <v>6956</v>
      </c>
      <c r="G1257" s="32" t="s">
        <v>6957</v>
      </c>
      <c r="H1257" s="32" t="s">
        <v>6958</v>
      </c>
      <c r="I1257" s="36" t="s">
        <v>6959</v>
      </c>
      <c r="J1257" s="52"/>
      <c r="K1257" s="32" t="s">
        <v>6960</v>
      </c>
      <c r="L1257" s="32" t="s">
        <v>3750</v>
      </c>
      <c r="M1257" s="32" t="s">
        <v>285</v>
      </c>
      <c r="N1257" s="33">
        <v>30</v>
      </c>
      <c r="O1257" s="35">
        <v>45957</v>
      </c>
      <c r="P1257" s="35">
        <v>45986</v>
      </c>
      <c r="Q1257" s="37"/>
      <c r="R1257" s="38"/>
      <c r="S1257" s="33"/>
      <c r="T1257" s="39">
        <v>1000000</v>
      </c>
      <c r="U1257" s="40" t="s">
        <v>1229</v>
      </c>
      <c r="V1257" s="41"/>
      <c r="W1257" s="42" t="str">
        <f ca="1">IFERROR(__xludf.DUMMYFUNCTION("""COMPUTED_VALUE"""),"Villa glamping")</f>
        <v>Villa glamping</v>
      </c>
      <c r="X1257" s="42" t="str">
        <f ca="1"/>
        <v>ON-Villa glamping-00011900+30-6285141091362</v>
      </c>
      <c r="Y1257" s="40" t="s">
        <v>293</v>
      </c>
      <c r="Z1257" s="40" t="s">
        <v>1057</v>
      </c>
      <c r="AA1257" s="23" t="str">
        <v>https://wa.me/6285141091362</v>
      </c>
      <c r="AB1257" s="28" t="s">
        <v>6961</v>
      </c>
      <c r="AC1257" s="28"/>
      <c r="AD1257" s="28" t="s">
        <v>690</v>
      </c>
      <c r="AE1257" s="28"/>
      <c r="AF1257" s="29"/>
      <c r="AG1257" s="29"/>
    </row>
    <row r="1258" spans="1:33" ht="15.75" customHeight="1">
      <c r="A1258" s="32" t="s">
        <v>196</v>
      </c>
      <c r="B1258" s="33">
        <v>1277</v>
      </c>
      <c r="C1258" s="34" t="s">
        <v>6962</v>
      </c>
      <c r="D1258" s="35">
        <v>45953.551802071757</v>
      </c>
      <c r="E1258" s="43">
        <v>45953</v>
      </c>
      <c r="F1258" s="32" t="s">
        <v>6956</v>
      </c>
      <c r="G1258" s="32" t="s">
        <v>6957</v>
      </c>
      <c r="H1258" s="32" t="s">
        <v>6958</v>
      </c>
      <c r="I1258" s="36" t="s">
        <v>6959</v>
      </c>
      <c r="J1258" s="52"/>
      <c r="K1258" s="32" t="s">
        <v>6960</v>
      </c>
      <c r="L1258" s="32" t="s">
        <v>3750</v>
      </c>
      <c r="M1258" s="32" t="s">
        <v>285</v>
      </c>
      <c r="N1258" s="33">
        <v>30</v>
      </c>
      <c r="O1258" s="35">
        <v>45957</v>
      </c>
      <c r="P1258" s="35">
        <v>45986</v>
      </c>
      <c r="Q1258" s="37"/>
      <c r="R1258" s="38"/>
      <c r="S1258" s="33"/>
      <c r="T1258" s="39">
        <v>1000000</v>
      </c>
      <c r="U1258" s="40" t="s">
        <v>1229</v>
      </c>
      <c r="V1258" s="41"/>
      <c r="W1258" s="42" t="str">
        <f ca="1">IFERROR(__xludf.DUMMYFUNCTION("""COMPUTED_VALUE"""),"Villa glamping")</f>
        <v>Villa glamping</v>
      </c>
      <c r="X1258" s="42" t="str">
        <f ca="1"/>
        <v>ON-Villa glamping-00011900+30-6285141091362</v>
      </c>
      <c r="Y1258" s="40" t="s">
        <v>293</v>
      </c>
      <c r="Z1258" s="40" t="s">
        <v>1057</v>
      </c>
      <c r="AA1258" s="23" t="str">
        <v>https://wa.me/6285141091362</v>
      </c>
      <c r="AB1258" s="28" t="s">
        <v>6963</v>
      </c>
      <c r="AC1258" s="28"/>
      <c r="AD1258" s="28" t="s">
        <v>690</v>
      </c>
      <c r="AE1258" s="28"/>
      <c r="AF1258" s="29"/>
      <c r="AG1258" s="29"/>
    </row>
    <row r="1259" spans="1:33" ht="15.75" customHeight="1">
      <c r="A1259" s="32" t="s">
        <v>196</v>
      </c>
      <c r="B1259" s="33">
        <v>1278</v>
      </c>
      <c r="C1259" s="34" t="s">
        <v>6964</v>
      </c>
      <c r="D1259" s="35">
        <v>45953.581327604166</v>
      </c>
      <c r="E1259" s="43">
        <v>45953</v>
      </c>
      <c r="F1259" s="32" t="s">
        <v>6965</v>
      </c>
      <c r="G1259" s="32" t="s">
        <v>6966</v>
      </c>
      <c r="H1259" s="32" t="s">
        <v>6967</v>
      </c>
      <c r="I1259" s="36" t="s">
        <v>6968</v>
      </c>
      <c r="J1259" s="52"/>
      <c r="K1259" s="32" t="s">
        <v>1024</v>
      </c>
      <c r="L1259" s="32" t="s">
        <v>1763</v>
      </c>
      <c r="M1259" s="32" t="s">
        <v>249</v>
      </c>
      <c r="N1259" s="33">
        <v>5</v>
      </c>
      <c r="O1259" s="35">
        <v>45957</v>
      </c>
      <c r="P1259" s="35">
        <v>45961</v>
      </c>
      <c r="Q1259" s="37"/>
      <c r="R1259" s="38"/>
      <c r="S1259" s="33"/>
      <c r="T1259" s="39">
        <v>197000</v>
      </c>
      <c r="U1259" s="40" t="s">
        <v>1774</v>
      </c>
      <c r="V1259" s="41"/>
      <c r="W1259" s="42" t="str">
        <f ca="1">IFERROR(__xludf.DUMMYFUNCTION("""COMPUTED_VALUE"""),"Pondok Tahfidz")</f>
        <v>Pondok Tahfidz</v>
      </c>
      <c r="X1259" s="42" t="str">
        <f ca="1"/>
        <v>ON-Pondok Tahfidz-00011900+5-62881010320770</v>
      </c>
      <c r="Y1259" s="40" t="s">
        <v>62</v>
      </c>
      <c r="Z1259" s="40" t="s">
        <v>1465</v>
      </c>
      <c r="AA1259" s="23" t="str">
        <v>https://wa.me/62881010320770</v>
      </c>
      <c r="AB1259" s="28" t="s">
        <v>6969</v>
      </c>
      <c r="AC1259" s="28"/>
      <c r="AD1259" s="28" t="s">
        <v>690</v>
      </c>
      <c r="AE1259" s="28"/>
      <c r="AF1259" s="29"/>
      <c r="AG1259" s="29"/>
    </row>
    <row r="1260" spans="1:33" ht="15.75" customHeight="1">
      <c r="A1260" s="32" t="s">
        <v>196</v>
      </c>
      <c r="B1260" s="33">
        <v>1279</v>
      </c>
      <c r="C1260" s="34" t="s">
        <v>6970</v>
      </c>
      <c r="D1260" s="35">
        <v>45953.585791192134</v>
      </c>
      <c r="E1260" s="43">
        <v>45953</v>
      </c>
      <c r="F1260" s="32" t="s">
        <v>6971</v>
      </c>
      <c r="G1260" s="32" t="s">
        <v>6972</v>
      </c>
      <c r="H1260" s="32" t="s">
        <v>6973</v>
      </c>
      <c r="I1260" s="36" t="s">
        <v>6974</v>
      </c>
      <c r="J1260" s="52"/>
      <c r="K1260" s="32" t="s">
        <v>46</v>
      </c>
      <c r="L1260" s="32" t="s">
        <v>817</v>
      </c>
      <c r="M1260" s="32" t="s">
        <v>60</v>
      </c>
      <c r="N1260" s="33">
        <v>5</v>
      </c>
      <c r="O1260" s="35">
        <v>45956</v>
      </c>
      <c r="P1260" s="35">
        <v>45960</v>
      </c>
      <c r="Q1260" s="37"/>
      <c r="R1260" s="38"/>
      <c r="S1260" s="33"/>
      <c r="T1260" s="39">
        <v>197000</v>
      </c>
      <c r="U1260" s="40" t="s">
        <v>61</v>
      </c>
      <c r="V1260" s="41"/>
      <c r="W1260" s="42" t="str">
        <f ca="1">IFERROR(__xludf.DUMMYFUNCTION("""COMPUTED_VALUE"""),"Yamaha Motor")</f>
        <v>Yamaha Motor</v>
      </c>
      <c r="X1260" s="42" t="str">
        <f ca="1"/>
        <v>ON-Yamaha Motor-00011900+5-6282266256678</v>
      </c>
      <c r="Y1260" s="40" t="s">
        <v>62</v>
      </c>
      <c r="Z1260" s="40" t="s">
        <v>294</v>
      </c>
      <c r="AA1260" s="23" t="str">
        <v>https://wa.me/6282266256678</v>
      </c>
      <c r="AB1260" s="28" t="s">
        <v>6975</v>
      </c>
      <c r="AC1260" s="28"/>
      <c r="AD1260" s="28" t="s">
        <v>690</v>
      </c>
      <c r="AE1260" s="28"/>
      <c r="AF1260" s="29"/>
      <c r="AG1260" s="29"/>
    </row>
    <row r="1261" spans="1:33" ht="15.75" customHeight="1">
      <c r="A1261" s="32" t="s">
        <v>52</v>
      </c>
      <c r="B1261" s="33">
        <v>1280</v>
      </c>
      <c r="C1261" s="34" t="s">
        <v>6976</v>
      </c>
      <c r="D1261" s="35">
        <v>45953.588791296293</v>
      </c>
      <c r="E1261" s="43">
        <v>45953</v>
      </c>
      <c r="F1261" s="32" t="s">
        <v>2544</v>
      </c>
      <c r="G1261" s="32" t="s">
        <v>2545</v>
      </c>
      <c r="H1261" s="32" t="s">
        <v>6977</v>
      </c>
      <c r="I1261" s="36" t="s">
        <v>2547</v>
      </c>
      <c r="J1261" s="52"/>
      <c r="K1261" s="32" t="s">
        <v>6978</v>
      </c>
      <c r="L1261" s="32" t="s">
        <v>2468</v>
      </c>
      <c r="M1261" s="32" t="s">
        <v>131</v>
      </c>
      <c r="N1261" s="33">
        <v>10</v>
      </c>
      <c r="O1261" s="35"/>
      <c r="P1261" s="35"/>
      <c r="Q1261" s="37"/>
      <c r="R1261" s="38"/>
      <c r="S1261" s="33"/>
      <c r="T1261" s="39">
        <v>375000</v>
      </c>
      <c r="U1261" s="40" t="s">
        <v>61</v>
      </c>
      <c r="V1261" s="41"/>
      <c r="W1261" s="42" t="str">
        <f ca="1">IFERROR(__xludf.DUMMYFUNCTION("""COMPUTED_VALUE"""),"Lubijo Berkah")</f>
        <v>Lubijo Berkah</v>
      </c>
      <c r="X1261" s="42" t="str">
        <f ca="1"/>
        <v>ON-Lubijo Berkah-00011900+10-6281233038880</v>
      </c>
      <c r="Y1261" s="40"/>
      <c r="Z1261" s="40"/>
      <c r="AA1261" s="23" t="str">
        <v>https://wa.me/6281233038880</v>
      </c>
      <c r="AB1261" s="28"/>
      <c r="AC1261" s="28"/>
      <c r="AD1261" s="28"/>
      <c r="AE1261" s="28"/>
      <c r="AF1261" s="29"/>
      <c r="AG1261" s="29"/>
    </row>
    <row r="1262" spans="1:33" ht="15.75" customHeight="1">
      <c r="A1262" s="32" t="s">
        <v>196</v>
      </c>
      <c r="B1262" s="33">
        <v>1281</v>
      </c>
      <c r="C1262" s="34" t="s">
        <v>6979</v>
      </c>
      <c r="D1262" s="35">
        <v>45953.590977673608</v>
      </c>
      <c r="E1262" s="43">
        <v>45953</v>
      </c>
      <c r="F1262" s="32" t="s">
        <v>6980</v>
      </c>
      <c r="G1262" s="32" t="s">
        <v>6981</v>
      </c>
      <c r="H1262" s="32" t="s">
        <v>6982</v>
      </c>
      <c r="I1262" s="36" t="s">
        <v>6983</v>
      </c>
      <c r="J1262" s="52" t="s">
        <v>6984</v>
      </c>
      <c r="K1262" s="32" t="s">
        <v>570</v>
      </c>
      <c r="L1262" s="32" t="s">
        <v>2271</v>
      </c>
      <c r="M1262" s="32" t="s">
        <v>249</v>
      </c>
      <c r="N1262" s="33">
        <v>5</v>
      </c>
      <c r="O1262" s="35">
        <v>45956</v>
      </c>
      <c r="P1262" s="35">
        <v>45960</v>
      </c>
      <c r="Q1262" s="37"/>
      <c r="R1262" s="38"/>
      <c r="S1262" s="33"/>
      <c r="T1262" s="39">
        <v>197000</v>
      </c>
      <c r="U1262" s="40" t="s">
        <v>1774</v>
      </c>
      <c r="V1262" s="41"/>
      <c r="W1262" s="42" t="str">
        <f ca="1">IFERROR(__xludf.DUMMYFUNCTION("""COMPUTED_VALUE"""),"Amanah Tour")</f>
        <v>Amanah Tour</v>
      </c>
      <c r="X1262" s="42" t="str">
        <f ca="1"/>
        <v>ON-Amanah Tour-00011900+5-6281282788282</v>
      </c>
      <c r="Y1262" s="40" t="s">
        <v>62</v>
      </c>
      <c r="Z1262" s="40" t="s">
        <v>1880</v>
      </c>
      <c r="AA1262" s="23" t="str">
        <v>https://wa.me/6281282788282</v>
      </c>
      <c r="AB1262" s="28" t="s">
        <v>6985</v>
      </c>
      <c r="AC1262" s="28"/>
      <c r="AD1262" s="28" t="s">
        <v>690</v>
      </c>
      <c r="AE1262" s="28"/>
      <c r="AF1262" s="29"/>
      <c r="AG1262" s="29"/>
    </row>
    <row r="1263" spans="1:33" ht="15.75" customHeight="1">
      <c r="A1263" s="32" t="s">
        <v>52</v>
      </c>
      <c r="B1263" s="33">
        <v>1282</v>
      </c>
      <c r="C1263" s="34" t="s">
        <v>6986</v>
      </c>
      <c r="D1263" s="35">
        <v>45953.772870659726</v>
      </c>
      <c r="E1263" s="43">
        <v>45953</v>
      </c>
      <c r="F1263" s="32" t="s">
        <v>6987</v>
      </c>
      <c r="G1263" s="32" t="s">
        <v>6988</v>
      </c>
      <c r="H1263" s="32" t="s">
        <v>6989</v>
      </c>
      <c r="I1263" s="36" t="s">
        <v>3372</v>
      </c>
      <c r="J1263" s="52"/>
      <c r="K1263" s="32" t="s">
        <v>6990</v>
      </c>
      <c r="L1263" s="32" t="s">
        <v>726</v>
      </c>
      <c r="M1263" s="32" t="s">
        <v>726</v>
      </c>
      <c r="N1263" s="33">
        <v>5</v>
      </c>
      <c r="O1263" s="35"/>
      <c r="P1263" s="35"/>
      <c r="Q1263" s="37"/>
      <c r="R1263" s="38"/>
      <c r="S1263" s="33"/>
      <c r="T1263" s="39">
        <v>197000</v>
      </c>
      <c r="U1263" s="40" t="s">
        <v>1774</v>
      </c>
      <c r="V1263" s="41"/>
      <c r="W1263" s="42" t="str">
        <f ca="1">IFERROR(__xludf.DUMMYFUNCTION("""COMPUTED_VALUE"""),"Tukang-jabodetabek")</f>
        <v>Tukang-jabodetabek</v>
      </c>
      <c r="X1263" s="42" t="str">
        <f ca="1"/>
        <v>ON-Tukang-jabodetabek-00011900+5-628811252834</v>
      </c>
      <c r="Y1263" s="40"/>
      <c r="Z1263" s="40"/>
      <c r="AA1263" s="23" t="str">
        <v>https://wa.me/628811252834</v>
      </c>
      <c r="AB1263" s="28"/>
      <c r="AC1263" s="28"/>
      <c r="AD1263" s="28"/>
      <c r="AE1263" s="28"/>
      <c r="AF1263" s="29"/>
      <c r="AG1263" s="29"/>
    </row>
    <row r="1264" spans="1:33" ht="15.75" customHeight="1">
      <c r="A1264" s="32" t="s">
        <v>196</v>
      </c>
      <c r="B1264" s="33">
        <v>1283</v>
      </c>
      <c r="C1264" s="34" t="s">
        <v>6991</v>
      </c>
      <c r="D1264" s="35">
        <v>45953.84784858796</v>
      </c>
      <c r="E1264" s="43">
        <v>45953</v>
      </c>
      <c r="F1264" s="32" t="s">
        <v>6992</v>
      </c>
      <c r="G1264" s="32" t="s">
        <v>6993</v>
      </c>
      <c r="H1264" s="32" t="s">
        <v>1694</v>
      </c>
      <c r="I1264" s="36" t="s">
        <v>6994</v>
      </c>
      <c r="J1264" s="52" t="s">
        <v>6995</v>
      </c>
      <c r="K1264" s="32" t="s">
        <v>6996</v>
      </c>
      <c r="L1264" s="32" t="s">
        <v>92</v>
      </c>
      <c r="M1264" s="32" t="s">
        <v>3788</v>
      </c>
      <c r="N1264" s="33">
        <v>5</v>
      </c>
      <c r="O1264" s="35">
        <v>45956</v>
      </c>
      <c r="P1264" s="35">
        <v>45960</v>
      </c>
      <c r="Q1264" s="37"/>
      <c r="R1264" s="38"/>
      <c r="S1264" s="33"/>
      <c r="T1264" s="39">
        <v>150000</v>
      </c>
      <c r="U1264" s="40" t="s">
        <v>1229</v>
      </c>
      <c r="V1264" s="41"/>
      <c r="W1264" s="42" t="str">
        <f ca="1">IFERROR(__xludf.DUMMYFUNCTION("""COMPUTED_VALUE"""),"Profesional terapi")</f>
        <v>Profesional terapi</v>
      </c>
      <c r="X1264" s="42" t="str">
        <f ca="1"/>
        <v>ON-Profesional terapi-00011900+5-6285337776770</v>
      </c>
      <c r="Y1264" s="40" t="s">
        <v>62</v>
      </c>
      <c r="Z1264" s="40" t="s">
        <v>639</v>
      </c>
      <c r="AA1264" s="23" t="str">
        <v>https://wa.me/6285337776770</v>
      </c>
      <c r="AB1264" s="28" t="s">
        <v>6997</v>
      </c>
      <c r="AC1264" s="28"/>
      <c r="AD1264" s="28" t="s">
        <v>690</v>
      </c>
      <c r="AE1264" s="28"/>
      <c r="AF1264" s="29"/>
      <c r="AG1264" s="29"/>
    </row>
    <row r="1265" spans="1:33" ht="15.75" customHeight="1">
      <c r="A1265" s="32" t="s">
        <v>196</v>
      </c>
      <c r="B1265" s="33">
        <v>1285</v>
      </c>
      <c r="C1265" s="34" t="s">
        <v>6998</v>
      </c>
      <c r="D1265" s="35">
        <v>45954.261621597223</v>
      </c>
      <c r="E1265" s="43">
        <v>45954</v>
      </c>
      <c r="F1265" s="32" t="s">
        <v>6999</v>
      </c>
      <c r="G1265" s="32" t="s">
        <v>7000</v>
      </c>
      <c r="H1265" s="32" t="s">
        <v>7001</v>
      </c>
      <c r="I1265" s="36" t="s">
        <v>7002</v>
      </c>
      <c r="J1265" s="52"/>
      <c r="K1265" s="32" t="s">
        <v>1381</v>
      </c>
      <c r="L1265" s="32" t="s">
        <v>7003</v>
      </c>
      <c r="M1265" s="32" t="s">
        <v>92</v>
      </c>
      <c r="N1265" s="33">
        <v>5</v>
      </c>
      <c r="O1265" s="35">
        <v>45957</v>
      </c>
      <c r="P1265" s="35">
        <v>45961</v>
      </c>
      <c r="Q1265" s="37"/>
      <c r="R1265" s="38"/>
      <c r="S1265" s="33"/>
      <c r="T1265" s="39">
        <v>197000</v>
      </c>
      <c r="U1265" s="40" t="s">
        <v>1229</v>
      </c>
      <c r="V1265" s="41"/>
      <c r="W1265" s="42" t="str">
        <f ca="1">IFERROR(__xludf.DUMMYFUNCTION("""COMPUTED_VALUE"""),"kelas online")</f>
        <v>kelas online</v>
      </c>
      <c r="X1265" s="42" t="str">
        <f ca="1"/>
        <v>ON-kelas online-00011900+5-6285714094023</v>
      </c>
      <c r="Y1265" s="40" t="s">
        <v>62</v>
      </c>
      <c r="Z1265" s="40" t="s">
        <v>1404</v>
      </c>
      <c r="AA1265" s="23" t="str">
        <v>https://wa.me/6285714094023</v>
      </c>
      <c r="AB1265" s="28" t="s">
        <v>7004</v>
      </c>
      <c r="AC1265" s="28"/>
      <c r="AD1265" s="28" t="s">
        <v>690</v>
      </c>
      <c r="AE1265" s="28"/>
      <c r="AF1265" s="29"/>
      <c r="AG1265" s="29"/>
    </row>
    <row r="1266" spans="1:33" ht="15.75" customHeight="1">
      <c r="A1266" s="32" t="s">
        <v>196</v>
      </c>
      <c r="B1266" s="33">
        <v>1286</v>
      </c>
      <c r="C1266" s="34" t="s">
        <v>7005</v>
      </c>
      <c r="D1266" s="35">
        <v>45954.331541180552</v>
      </c>
      <c r="E1266" s="43">
        <v>45953</v>
      </c>
      <c r="F1266" s="32" t="s">
        <v>7006</v>
      </c>
      <c r="G1266" s="32" t="s">
        <v>7007</v>
      </c>
      <c r="H1266" s="32" t="s">
        <v>7008</v>
      </c>
      <c r="I1266" s="36" t="s">
        <v>7009</v>
      </c>
      <c r="J1266" s="52"/>
      <c r="K1266" s="32" t="s">
        <v>7010</v>
      </c>
      <c r="L1266" s="32" t="s">
        <v>59</v>
      </c>
      <c r="M1266" s="32" t="s">
        <v>60</v>
      </c>
      <c r="N1266" s="33">
        <v>5</v>
      </c>
      <c r="O1266" s="35">
        <v>45956</v>
      </c>
      <c r="P1266" s="35">
        <v>45960</v>
      </c>
      <c r="Q1266" s="37"/>
      <c r="R1266" s="38"/>
      <c r="S1266" s="33"/>
      <c r="T1266" s="39">
        <v>197000</v>
      </c>
      <c r="U1266" s="40" t="s">
        <v>61</v>
      </c>
      <c r="V1266" s="41"/>
      <c r="W1266" s="42" t="str">
        <f ca="1">IFERROR(__xludf.DUMMYFUNCTION("""COMPUTED_VALUE"""),"NarioDaihatsuPas")</f>
        <v>NarioDaihatsuPas</v>
      </c>
      <c r="X1266" s="42" t="str">
        <f ca="1"/>
        <v>ON-NarioDaihatsuPas-00011900+5-6282181277069</v>
      </c>
      <c r="Y1266" s="40" t="s">
        <v>62</v>
      </c>
      <c r="Z1266" s="40" t="s">
        <v>294</v>
      </c>
      <c r="AA1266" s="23" t="str">
        <v>https://wa.me/6282181277069</v>
      </c>
      <c r="AB1266" s="28" t="s">
        <v>7011</v>
      </c>
      <c r="AC1266" s="28"/>
      <c r="AD1266" s="28" t="s">
        <v>690</v>
      </c>
      <c r="AE1266" s="28"/>
      <c r="AF1266" s="29"/>
      <c r="AG1266" s="29"/>
    </row>
    <row r="1267" spans="1:33" ht="15.75" customHeight="1">
      <c r="A1267" s="32" t="s">
        <v>196</v>
      </c>
      <c r="B1267" s="33">
        <v>1287</v>
      </c>
      <c r="C1267" s="34" t="s">
        <v>7012</v>
      </c>
      <c r="D1267" s="35">
        <v>45954.338883287041</v>
      </c>
      <c r="E1267" s="43">
        <v>45953</v>
      </c>
      <c r="F1267" s="32" t="s">
        <v>7013</v>
      </c>
      <c r="G1267" s="32" t="s">
        <v>7014</v>
      </c>
      <c r="H1267" s="32"/>
      <c r="I1267" s="36" t="s">
        <v>7015</v>
      </c>
      <c r="J1267" s="52"/>
      <c r="K1267" s="32" t="s">
        <v>7016</v>
      </c>
      <c r="L1267" s="32" t="s">
        <v>92</v>
      </c>
      <c r="M1267" s="32" t="s">
        <v>60</v>
      </c>
      <c r="N1267" s="33">
        <v>5</v>
      </c>
      <c r="O1267" s="35">
        <v>45959</v>
      </c>
      <c r="P1267" s="35">
        <v>45963</v>
      </c>
      <c r="Q1267" s="37"/>
      <c r="R1267" s="38"/>
      <c r="S1267" s="33"/>
      <c r="T1267" s="39">
        <v>197000</v>
      </c>
      <c r="U1267" s="40" t="s">
        <v>61</v>
      </c>
      <c r="V1267" s="41"/>
      <c r="W1267" s="42" t="str">
        <f ca="1">IFERROR(__xludf.DUMMYFUNCTION("""COMPUTED_VALUE"""),"Bakery Broti")</f>
        <v>Bakery Broti</v>
      </c>
      <c r="X1267" s="42" t="str">
        <f ca="1"/>
        <v>ON-Bakery Broti-00011900+5-6282120480802</v>
      </c>
      <c r="Y1267" s="40" t="s">
        <v>62</v>
      </c>
      <c r="Z1267" s="40" t="s">
        <v>1861</v>
      </c>
      <c r="AA1267" s="23" t="str">
        <v>https://wa.me/6282120480802</v>
      </c>
      <c r="AB1267" s="28" t="s">
        <v>7017</v>
      </c>
      <c r="AC1267" s="28"/>
      <c r="AD1267" s="28" t="s">
        <v>690</v>
      </c>
      <c r="AE1267" s="28"/>
      <c r="AF1267" s="29"/>
      <c r="AG1267" s="29"/>
    </row>
    <row r="1268" spans="1:33" ht="15.75" customHeight="1">
      <c r="A1268" s="32" t="s">
        <v>196</v>
      </c>
      <c r="B1268" s="33">
        <v>1288</v>
      </c>
      <c r="C1268" s="34" t="s">
        <v>7018</v>
      </c>
      <c r="D1268" s="35">
        <v>45954.343163182872</v>
      </c>
      <c r="E1268" s="43">
        <v>45953</v>
      </c>
      <c r="F1268" s="32" t="s">
        <v>331</v>
      </c>
      <c r="G1268" s="32" t="s">
        <v>7019</v>
      </c>
      <c r="H1268" s="32" t="s">
        <v>7020</v>
      </c>
      <c r="I1268" s="36" t="s">
        <v>6420</v>
      </c>
      <c r="J1268" s="52"/>
      <c r="K1268" s="32" t="s">
        <v>570</v>
      </c>
      <c r="L1268" s="32" t="s">
        <v>92</v>
      </c>
      <c r="M1268" s="32" t="s">
        <v>60</v>
      </c>
      <c r="N1268" s="33">
        <v>5</v>
      </c>
      <c r="O1268" s="35">
        <v>45957</v>
      </c>
      <c r="P1268" s="35">
        <v>45961</v>
      </c>
      <c r="Q1268" s="37"/>
      <c r="R1268" s="38"/>
      <c r="S1268" s="33"/>
      <c r="T1268" s="39">
        <v>197000</v>
      </c>
      <c r="U1268" s="40" t="s">
        <v>61</v>
      </c>
      <c r="V1268" s="41"/>
      <c r="W1268" s="42" t="str">
        <f ca="1">IFERROR(__xludf.DUMMYFUNCTION("""COMPUTED_VALUE"""),"Rudi Jaya")</f>
        <v>Rudi Jaya</v>
      </c>
      <c r="X1268" s="42" t="str">
        <f ca="1"/>
        <v>ON-Rudi Jaya-00011900+5-6285280985750</v>
      </c>
      <c r="Y1268" s="40" t="s">
        <v>62</v>
      </c>
      <c r="Z1268" s="40" t="s">
        <v>277</v>
      </c>
      <c r="AA1268" s="23" t="str">
        <v>https://wa.me/6285280985750</v>
      </c>
      <c r="AB1268" s="28" t="s">
        <v>7021</v>
      </c>
      <c r="AC1268" s="28"/>
      <c r="AD1268" s="28" t="s">
        <v>690</v>
      </c>
      <c r="AE1268" s="28"/>
      <c r="AF1268" s="29"/>
      <c r="AG1268" s="29"/>
    </row>
    <row r="1269" spans="1:33" ht="15.75" customHeight="1">
      <c r="A1269" s="32" t="s">
        <v>196</v>
      </c>
      <c r="B1269" s="33">
        <v>1288</v>
      </c>
      <c r="C1269" s="34" t="s">
        <v>7018</v>
      </c>
      <c r="D1269" s="35">
        <v>45954.385503611113</v>
      </c>
      <c r="E1269" s="43">
        <v>45953</v>
      </c>
      <c r="F1269" s="32" t="s">
        <v>7022</v>
      </c>
      <c r="G1269" s="32" t="s">
        <v>7023</v>
      </c>
      <c r="H1269" s="32" t="s">
        <v>7024</v>
      </c>
      <c r="I1269" s="36" t="s">
        <v>7025</v>
      </c>
      <c r="J1269" s="52"/>
      <c r="K1269" s="32" t="s">
        <v>7026</v>
      </c>
      <c r="L1269" s="32" t="s">
        <v>2468</v>
      </c>
      <c r="M1269" s="32" t="s">
        <v>7027</v>
      </c>
      <c r="N1269" s="33">
        <v>5</v>
      </c>
      <c r="O1269" s="35">
        <v>45956</v>
      </c>
      <c r="P1269" s="35">
        <v>45960</v>
      </c>
      <c r="Q1269" s="37"/>
      <c r="R1269" s="38"/>
      <c r="S1269" s="33"/>
      <c r="T1269" s="39">
        <v>197000</v>
      </c>
      <c r="U1269" s="40" t="s">
        <v>61</v>
      </c>
      <c r="V1269" s="41"/>
      <c r="W1269" s="42" t="str">
        <f ca="1">IFERROR(__xludf.DUMMYFUNCTION("""COMPUTED_VALUE"""),"Sugi Ornament")</f>
        <v>Sugi Ornament</v>
      </c>
      <c r="X1269" s="42" t="str">
        <f ca="1"/>
        <v>ON-Sugi Ornament-00011900+5-6287830703946</v>
      </c>
      <c r="Y1269" s="40" t="s">
        <v>293</v>
      </c>
      <c r="Z1269" s="40" t="s">
        <v>1057</v>
      </c>
      <c r="AA1269" s="23" t="str">
        <v>https://wa.me/6287830703946</v>
      </c>
      <c r="AB1269" s="28" t="s">
        <v>7028</v>
      </c>
      <c r="AC1269" s="28"/>
      <c r="AD1269" s="28" t="s">
        <v>690</v>
      </c>
      <c r="AE1269" s="28"/>
      <c r="AF1269" s="29"/>
      <c r="AG1269" s="29"/>
    </row>
    <row r="1270" spans="1:33" ht="15.75" customHeight="1">
      <c r="A1270" s="32" t="s">
        <v>52</v>
      </c>
      <c r="B1270" s="33">
        <v>1289</v>
      </c>
      <c r="C1270" s="34" t="s">
        <v>7029</v>
      </c>
      <c r="D1270" s="35">
        <v>45954.450932071763</v>
      </c>
      <c r="E1270" s="33" t="s">
        <v>7030</v>
      </c>
      <c r="F1270" s="32" t="s">
        <v>3241</v>
      </c>
      <c r="G1270" s="32" t="s">
        <v>4495</v>
      </c>
      <c r="H1270" s="32" t="s">
        <v>3243</v>
      </c>
      <c r="I1270" s="36" t="s">
        <v>3244</v>
      </c>
      <c r="J1270" s="52"/>
      <c r="K1270" s="32" t="s">
        <v>6545</v>
      </c>
      <c r="L1270" s="32" t="s">
        <v>166</v>
      </c>
      <c r="M1270" s="32" t="s">
        <v>249</v>
      </c>
      <c r="N1270" s="33">
        <v>10</v>
      </c>
      <c r="O1270" s="35"/>
      <c r="P1270" s="35"/>
      <c r="Q1270" s="37"/>
      <c r="R1270" s="38"/>
      <c r="S1270" s="33"/>
      <c r="T1270" s="39">
        <v>375000</v>
      </c>
      <c r="U1270" s="40" t="s">
        <v>1774</v>
      </c>
      <c r="V1270" s="41"/>
      <c r="W1270" s="42" t="str">
        <f ca="1">IFERROR(__xludf.DUMMYFUNCTION("""COMPUTED_VALUE"""),"Totok saraf")</f>
        <v>Totok saraf</v>
      </c>
      <c r="X1270" s="42" t="str">
        <f ca="1"/>
        <v>ON-Totok saraf-00011900+10-6281330410391</v>
      </c>
      <c r="Y1270" s="40"/>
      <c r="Z1270" s="40"/>
      <c r="AA1270" s="23" t="str">
        <v>https://wa.me/6281330410391</v>
      </c>
      <c r="AB1270" s="28"/>
      <c r="AC1270" s="28"/>
      <c r="AD1270" s="28"/>
      <c r="AE1270" s="28"/>
      <c r="AF1270" s="29"/>
      <c r="AG1270" s="29"/>
    </row>
    <row r="1271" spans="1:33" ht="15.75" customHeight="1">
      <c r="A1271" s="32" t="s">
        <v>52</v>
      </c>
      <c r="B1271" s="33">
        <v>1290</v>
      </c>
      <c r="C1271" s="34" t="s">
        <v>7031</v>
      </c>
      <c r="D1271" s="35">
        <v>45954.684175601855</v>
      </c>
      <c r="E1271" s="43">
        <v>45954</v>
      </c>
      <c r="F1271" s="32" t="s">
        <v>3496</v>
      </c>
      <c r="G1271" s="32" t="s">
        <v>3497</v>
      </c>
      <c r="H1271" s="32" t="s">
        <v>1030</v>
      </c>
      <c r="I1271" s="36" t="s">
        <v>3498</v>
      </c>
      <c r="J1271" s="52"/>
      <c r="K1271" s="32" t="s">
        <v>3499</v>
      </c>
      <c r="L1271" s="32" t="s">
        <v>77</v>
      </c>
      <c r="M1271" s="32" t="s">
        <v>249</v>
      </c>
      <c r="N1271" s="33">
        <v>14</v>
      </c>
      <c r="O1271" s="35"/>
      <c r="P1271" s="35"/>
      <c r="Q1271" s="37"/>
      <c r="R1271" s="38"/>
      <c r="S1271" s="33"/>
      <c r="T1271" s="39">
        <v>550000</v>
      </c>
      <c r="U1271" s="40" t="s">
        <v>1229</v>
      </c>
      <c r="V1271" s="41"/>
      <c r="W1271" s="42" t="str">
        <f ca="1">IFERROR(__xludf.DUMMYFUNCTION("""COMPUTED_VALUE"""),"Rumah Terapi")</f>
        <v>Rumah Terapi</v>
      </c>
      <c r="X1271" s="42" t="str">
        <f ca="1"/>
        <v>ON-Rumah Terapi-00011900+14-6282245454940</v>
      </c>
      <c r="Y1271" s="40"/>
      <c r="Z1271" s="40"/>
      <c r="AA1271" s="23" t="str">
        <v>https://wa.me/6282245454940</v>
      </c>
      <c r="AB1271" s="28"/>
      <c r="AC1271" s="28"/>
      <c r="AD1271" s="28"/>
      <c r="AE1271" s="28"/>
      <c r="AF1271" s="29"/>
      <c r="AG1271" s="29"/>
    </row>
    <row r="1272" spans="1:33" ht="15.75" customHeight="1">
      <c r="A1272" s="32" t="s">
        <v>196</v>
      </c>
      <c r="B1272" s="33">
        <v>1291</v>
      </c>
      <c r="C1272" s="34" t="s">
        <v>7032</v>
      </c>
      <c r="D1272" s="35">
        <v>45954.722401805557</v>
      </c>
      <c r="E1272" s="43">
        <v>45954</v>
      </c>
      <c r="F1272" s="32" t="s">
        <v>7033</v>
      </c>
      <c r="G1272" s="32" t="s">
        <v>7034</v>
      </c>
      <c r="H1272" s="32" t="s">
        <v>7035</v>
      </c>
      <c r="I1272" s="36" t="s">
        <v>7036</v>
      </c>
      <c r="J1272" s="52"/>
      <c r="K1272" s="32" t="s">
        <v>7037</v>
      </c>
      <c r="L1272" s="32" t="s">
        <v>7038</v>
      </c>
      <c r="M1272" s="32" t="s">
        <v>92</v>
      </c>
      <c r="N1272" s="33">
        <v>5</v>
      </c>
      <c r="O1272" s="35">
        <v>45957</v>
      </c>
      <c r="P1272" s="35">
        <v>45961</v>
      </c>
      <c r="Q1272" s="37"/>
      <c r="R1272" s="38"/>
      <c r="S1272" s="33"/>
      <c r="T1272" s="39">
        <v>197000</v>
      </c>
      <c r="U1272" s="40" t="s">
        <v>1229</v>
      </c>
      <c r="V1272" s="41"/>
      <c r="W1272" s="42" t="str">
        <f ca="1">IFERROR(__xludf.DUMMYFUNCTION("""COMPUTED_VALUE"""),"Spesialis aluminium")</f>
        <v>Spesialis aluminium</v>
      </c>
      <c r="X1272" s="42" t="str">
        <f ca="1"/>
        <v>ON-Spesialis aluminium-00011900+5-6285179930885</v>
      </c>
      <c r="Y1272" s="40" t="s">
        <v>293</v>
      </c>
      <c r="Z1272" s="40" t="s">
        <v>1057</v>
      </c>
      <c r="AA1272" s="23" t="str">
        <v>https://wa.me/6285179930885</v>
      </c>
      <c r="AB1272" s="28" t="s">
        <v>7039</v>
      </c>
      <c r="AC1272" s="28"/>
      <c r="AD1272" s="28" t="s">
        <v>690</v>
      </c>
      <c r="AE1272" s="28"/>
      <c r="AF1272" s="29"/>
      <c r="AG1272" s="29"/>
    </row>
    <row r="1273" spans="1:33" ht="15.75" customHeight="1">
      <c r="A1273" s="32" t="s">
        <v>196</v>
      </c>
      <c r="B1273" s="33">
        <v>1292</v>
      </c>
      <c r="C1273" s="34" t="s">
        <v>7040</v>
      </c>
      <c r="D1273" s="35">
        <v>45954.781444016204</v>
      </c>
      <c r="E1273" s="43">
        <v>45954</v>
      </c>
      <c r="F1273" s="32" t="s">
        <v>6868</v>
      </c>
      <c r="G1273" s="32" t="s">
        <v>7041</v>
      </c>
      <c r="H1273" s="32" t="s">
        <v>7042</v>
      </c>
      <c r="I1273" s="36" t="s">
        <v>7043</v>
      </c>
      <c r="J1273" s="52"/>
      <c r="K1273" s="32" t="s">
        <v>7044</v>
      </c>
      <c r="L1273" s="32" t="s">
        <v>7045</v>
      </c>
      <c r="M1273" s="32" t="s">
        <v>92</v>
      </c>
      <c r="N1273" s="33">
        <v>7</v>
      </c>
      <c r="O1273" s="35">
        <v>45957</v>
      </c>
      <c r="P1273" s="35">
        <v>45963</v>
      </c>
      <c r="Q1273" s="37"/>
      <c r="R1273" s="38"/>
      <c r="S1273" s="33"/>
      <c r="T1273" s="39">
        <v>297000</v>
      </c>
      <c r="U1273" s="40" t="s">
        <v>1229</v>
      </c>
      <c r="V1273" s="41"/>
      <c r="W1273" s="42" t="str">
        <f ca="1">IFERROR(__xludf.DUMMYFUNCTION("""COMPUTED_VALUE"""),"apartemen taman")</f>
        <v>apartemen taman</v>
      </c>
      <c r="X1273" s="42" t="str">
        <f ca="1"/>
        <v>ON-apartemen taman-00011900+7-6287782059170</v>
      </c>
      <c r="Y1273" s="40" t="s">
        <v>293</v>
      </c>
      <c r="Z1273" s="40" t="s">
        <v>1057</v>
      </c>
      <c r="AA1273" s="23" t="str">
        <v>https://wa.me/6287782059170</v>
      </c>
      <c r="AB1273" s="28" t="s">
        <v>7046</v>
      </c>
      <c r="AC1273" s="28"/>
      <c r="AD1273" s="28" t="s">
        <v>690</v>
      </c>
      <c r="AE1273" s="28"/>
      <c r="AF1273" s="29"/>
      <c r="AG1273" s="29"/>
    </row>
    <row r="1274" spans="1:33" ht="15.75" customHeight="1">
      <c r="A1274" s="32" t="s">
        <v>196</v>
      </c>
      <c r="B1274" s="33">
        <v>1293</v>
      </c>
      <c r="C1274" s="34" t="s">
        <v>7047</v>
      </c>
      <c r="D1274" s="35">
        <v>45954.831578078709</v>
      </c>
      <c r="E1274" s="43">
        <v>45954</v>
      </c>
      <c r="F1274" s="32" t="s">
        <v>7048</v>
      </c>
      <c r="G1274" s="32" t="s">
        <v>7049</v>
      </c>
      <c r="H1274" s="32" t="s">
        <v>7050</v>
      </c>
      <c r="I1274" s="36" t="s">
        <v>1471</v>
      </c>
      <c r="J1274" s="52"/>
      <c r="K1274" s="32" t="s">
        <v>7051</v>
      </c>
      <c r="L1274" s="32" t="s">
        <v>7052</v>
      </c>
      <c r="M1274" s="32" t="s">
        <v>1236</v>
      </c>
      <c r="N1274" s="33">
        <v>5</v>
      </c>
      <c r="O1274" s="35">
        <v>45957</v>
      </c>
      <c r="P1274" s="35">
        <v>45961</v>
      </c>
      <c r="Q1274" s="37"/>
      <c r="R1274" s="38"/>
      <c r="S1274" s="33"/>
      <c r="T1274" s="39">
        <v>197000</v>
      </c>
      <c r="U1274" s="40" t="s">
        <v>115</v>
      </c>
      <c r="V1274" s="41"/>
      <c r="W1274" s="42" t="str">
        <f ca="1">IFERROR(__xludf.DUMMYFUNCTION("""COMPUTED_VALUE"""),"RUMAH SEHAT")</f>
        <v>RUMAH SEHAT</v>
      </c>
      <c r="X1274" s="42" t="str">
        <f ca="1"/>
        <v>ON-RUMAH SEHAT-00011900+5-6282285691485</v>
      </c>
      <c r="Y1274" s="40" t="s">
        <v>62</v>
      </c>
      <c r="Z1274" s="40" t="s">
        <v>639</v>
      </c>
      <c r="AA1274" s="23" t="str">
        <v>https://wa.me/6282285691485</v>
      </c>
      <c r="AB1274" s="28" t="s">
        <v>7053</v>
      </c>
      <c r="AC1274" s="28"/>
      <c r="AD1274" s="28" t="s">
        <v>690</v>
      </c>
      <c r="AE1274" s="28"/>
      <c r="AF1274" s="29"/>
      <c r="AG1274" s="29"/>
    </row>
    <row r="1275" spans="1:33" ht="15.75" customHeight="1">
      <c r="A1275" s="32" t="s">
        <v>196</v>
      </c>
      <c r="B1275" s="33">
        <v>1294</v>
      </c>
      <c r="C1275" s="34" t="s">
        <v>7054</v>
      </c>
      <c r="D1275" s="35">
        <v>45955.165124803243</v>
      </c>
      <c r="E1275" s="43">
        <v>45954</v>
      </c>
      <c r="F1275" s="32" t="s">
        <v>7055</v>
      </c>
      <c r="G1275" s="32" t="s">
        <v>7056</v>
      </c>
      <c r="H1275" s="32" t="s">
        <v>7057</v>
      </c>
      <c r="I1275" s="36" t="s">
        <v>7058</v>
      </c>
      <c r="J1275" s="52" t="s">
        <v>7059</v>
      </c>
      <c r="K1275" s="32" t="s">
        <v>374</v>
      </c>
      <c r="L1275" s="32" t="s">
        <v>3750</v>
      </c>
      <c r="M1275" s="32" t="s">
        <v>5643</v>
      </c>
      <c r="N1275" s="33">
        <v>10</v>
      </c>
      <c r="O1275" s="35">
        <v>45957</v>
      </c>
      <c r="P1275" s="35">
        <v>45966</v>
      </c>
      <c r="Q1275" s="37"/>
      <c r="R1275" s="38"/>
      <c r="S1275" s="33"/>
      <c r="T1275" s="39">
        <v>375000</v>
      </c>
      <c r="U1275" s="40" t="s">
        <v>1774</v>
      </c>
      <c r="V1275" s="41"/>
      <c r="W1275" s="42" t="str">
        <f ca="1">IFERROR(__xludf.DUMMYFUNCTION("""COMPUTED_VALUE"""),"Mega Cemerlang")</f>
        <v>Mega Cemerlang</v>
      </c>
      <c r="X1275" s="42" t="str">
        <f ca="1"/>
        <v>ON-Mega Cemerlang-00011900+10-6287852936679</v>
      </c>
      <c r="Y1275" s="40" t="s">
        <v>62</v>
      </c>
      <c r="Z1275" s="40" t="s">
        <v>1465</v>
      </c>
      <c r="AA1275" s="23" t="str">
        <v>https://wa.me/6287852936679</v>
      </c>
      <c r="AB1275" s="28" t="s">
        <v>7060</v>
      </c>
      <c r="AC1275" s="28"/>
      <c r="AD1275" s="28" t="s">
        <v>690</v>
      </c>
      <c r="AE1275" s="28"/>
      <c r="AF1275" s="29"/>
      <c r="AG1275" s="29"/>
    </row>
    <row r="1276" spans="1:33" ht="15.75" customHeight="1">
      <c r="A1276" s="32" t="s">
        <v>196</v>
      </c>
      <c r="B1276" s="33">
        <v>1295</v>
      </c>
      <c r="C1276" s="34" t="s">
        <v>7061</v>
      </c>
      <c r="D1276" s="35">
        <v>45955.244968831015</v>
      </c>
      <c r="E1276" s="43">
        <v>45955</v>
      </c>
      <c r="F1276" s="32" t="s">
        <v>6868</v>
      </c>
      <c r="G1276" s="32" t="s">
        <v>7062</v>
      </c>
      <c r="H1276" s="32" t="s">
        <v>7063</v>
      </c>
      <c r="I1276" s="36" t="s">
        <v>7043</v>
      </c>
      <c r="J1276" s="52"/>
      <c r="K1276" s="32" t="s">
        <v>7064</v>
      </c>
      <c r="L1276" s="32" t="s">
        <v>7045</v>
      </c>
      <c r="M1276" s="32" t="s">
        <v>92</v>
      </c>
      <c r="N1276" s="33">
        <v>7</v>
      </c>
      <c r="O1276" s="35">
        <v>45958</v>
      </c>
      <c r="P1276" s="35">
        <v>45964</v>
      </c>
      <c r="Q1276" s="37"/>
      <c r="R1276" s="38"/>
      <c r="S1276" s="33"/>
      <c r="T1276" s="39">
        <v>297000</v>
      </c>
      <c r="U1276" s="40" t="s">
        <v>1229</v>
      </c>
      <c r="V1276" s="41"/>
      <c r="W1276" s="42" t="str">
        <f ca="1">IFERROR(__xludf.DUMMYFUNCTION("""COMPUTED_VALUE"""),"produk unik")</f>
        <v>produk unik</v>
      </c>
      <c r="X1276" s="42" t="str">
        <f ca="1"/>
        <v>ON-produk unik-00011900+7-6287782059170</v>
      </c>
      <c r="Y1276" s="40" t="s">
        <v>62</v>
      </c>
      <c r="Z1276" s="40" t="s">
        <v>1861</v>
      </c>
      <c r="AA1276" s="23" t="str">
        <v>https://wa.me/6287782059170</v>
      </c>
      <c r="AB1276" s="28" t="s">
        <v>7065</v>
      </c>
      <c r="AC1276" s="28"/>
      <c r="AD1276" s="28" t="s">
        <v>690</v>
      </c>
      <c r="AE1276" s="28"/>
      <c r="AF1276" s="29"/>
      <c r="AG1276" s="29"/>
    </row>
    <row r="1277" spans="1:33" ht="15.75" customHeight="1">
      <c r="A1277" s="32" t="s">
        <v>196</v>
      </c>
      <c r="B1277" s="33">
        <v>1296</v>
      </c>
      <c r="C1277" s="34" t="s">
        <v>7066</v>
      </c>
      <c r="D1277" s="35">
        <v>45955.297631689813</v>
      </c>
      <c r="E1277" s="43">
        <v>45954</v>
      </c>
      <c r="F1277" s="32" t="s">
        <v>7067</v>
      </c>
      <c r="G1277" s="32" t="s">
        <v>7068</v>
      </c>
      <c r="H1277" s="32" t="s">
        <v>7069</v>
      </c>
      <c r="I1277" s="36" t="s">
        <v>7070</v>
      </c>
      <c r="J1277" s="52" t="s">
        <v>7071</v>
      </c>
      <c r="K1277" s="32" t="s">
        <v>7072</v>
      </c>
      <c r="L1277" s="32" t="s">
        <v>425</v>
      </c>
      <c r="M1277" s="32" t="s">
        <v>60</v>
      </c>
      <c r="N1277" s="33">
        <v>20</v>
      </c>
      <c r="O1277" s="35">
        <v>45957</v>
      </c>
      <c r="P1277" s="35">
        <v>45976</v>
      </c>
      <c r="Q1277" s="37"/>
      <c r="R1277" s="38"/>
      <c r="S1277" s="33"/>
      <c r="T1277" s="39">
        <v>700000</v>
      </c>
      <c r="U1277" s="40" t="s">
        <v>61</v>
      </c>
      <c r="V1277" s="41"/>
      <c r="W1277" s="42" t="str">
        <f ca="1">IFERROR(__xludf.DUMMYFUNCTION("""COMPUTED_VALUE"""),"Service Water")</f>
        <v>Service Water</v>
      </c>
      <c r="X1277" s="42" t="str">
        <f ca="1"/>
        <v>ON-Service Water-00011900+20-628111820815</v>
      </c>
      <c r="Y1277" s="40" t="s">
        <v>62</v>
      </c>
      <c r="Z1277" s="40" t="s">
        <v>277</v>
      </c>
      <c r="AA1277" s="23" t="str">
        <v>https://wa.me/628111820815</v>
      </c>
      <c r="AB1277" s="28" t="s">
        <v>7073</v>
      </c>
      <c r="AC1277" s="28"/>
      <c r="AD1277" s="28" t="s">
        <v>690</v>
      </c>
      <c r="AE1277" s="28"/>
      <c r="AF1277" s="29"/>
      <c r="AG1277" s="29"/>
    </row>
    <row r="1278" spans="1:33" ht="15.75" customHeight="1">
      <c r="A1278" s="32" t="s">
        <v>196</v>
      </c>
      <c r="B1278" s="33">
        <v>1297</v>
      </c>
      <c r="C1278" s="34" t="s">
        <v>7074</v>
      </c>
      <c r="D1278" s="35">
        <v>45955.303436608796</v>
      </c>
      <c r="E1278" s="43">
        <v>45954</v>
      </c>
      <c r="F1278" s="32" t="s">
        <v>7075</v>
      </c>
      <c r="G1278" s="32" t="s">
        <v>7076</v>
      </c>
      <c r="H1278" s="32" t="s">
        <v>7077</v>
      </c>
      <c r="I1278" s="36" t="s">
        <v>7078</v>
      </c>
      <c r="J1278" s="52"/>
      <c r="K1278" s="32" t="s">
        <v>570</v>
      </c>
      <c r="L1278" s="32" t="s">
        <v>1340</v>
      </c>
      <c r="M1278" s="32" t="s">
        <v>60</v>
      </c>
      <c r="N1278" s="33">
        <v>5</v>
      </c>
      <c r="O1278" s="35">
        <v>45958</v>
      </c>
      <c r="P1278" s="35">
        <v>45962</v>
      </c>
      <c r="Q1278" s="37"/>
      <c r="R1278" s="38"/>
      <c r="S1278" s="33"/>
      <c r="T1278" s="39">
        <v>197000</v>
      </c>
      <c r="U1278" s="40" t="s">
        <v>61</v>
      </c>
      <c r="V1278" s="41"/>
      <c r="W1278" s="42" t="str">
        <f ca="1">IFERROR(__xludf.DUMMYFUNCTION("""COMPUTED_VALUE"""),"Hidayah Jaya")</f>
        <v>Hidayah Jaya</v>
      </c>
      <c r="X1278" s="42" t="str">
        <f ca="1"/>
        <v>ON-Hidayah Jaya-00011900+5-6282135671899</v>
      </c>
      <c r="Y1278" s="40" t="s">
        <v>62</v>
      </c>
      <c r="Z1278" s="40" t="s">
        <v>1465</v>
      </c>
      <c r="AA1278" s="23" t="str">
        <v>https://wa.me/6282135671899</v>
      </c>
      <c r="AB1278" s="28" t="s">
        <v>7079</v>
      </c>
      <c r="AC1278" s="28"/>
      <c r="AD1278" s="28" t="s">
        <v>690</v>
      </c>
      <c r="AE1278" s="28"/>
      <c r="AF1278" s="29"/>
      <c r="AG1278" s="29"/>
    </row>
    <row r="1279" spans="1:33" ht="15.75" customHeight="1">
      <c r="A1279" s="32" t="s">
        <v>52</v>
      </c>
      <c r="B1279" s="33">
        <v>1298</v>
      </c>
      <c r="C1279" s="34" t="s">
        <v>7080</v>
      </c>
      <c r="D1279" s="35">
        <v>45955.42959482639</v>
      </c>
      <c r="E1279" s="43">
        <v>45955</v>
      </c>
      <c r="F1279" s="32" t="s">
        <v>6736</v>
      </c>
      <c r="G1279" s="32" t="s">
        <v>6737</v>
      </c>
      <c r="H1279" s="32" t="s">
        <v>6738</v>
      </c>
      <c r="I1279" s="36" t="s">
        <v>6739</v>
      </c>
      <c r="J1279" s="52" t="s">
        <v>6740</v>
      </c>
      <c r="K1279" s="32" t="s">
        <v>6741</v>
      </c>
      <c r="L1279" s="32" t="s">
        <v>4096</v>
      </c>
      <c r="M1279" s="32" t="s">
        <v>60</v>
      </c>
      <c r="N1279" s="33">
        <v>5</v>
      </c>
      <c r="O1279" s="35"/>
      <c r="P1279" s="35"/>
      <c r="Q1279" s="37"/>
      <c r="R1279" s="38"/>
      <c r="S1279" s="33"/>
      <c r="T1279" s="39">
        <v>197000</v>
      </c>
      <c r="U1279" s="40"/>
      <c r="V1279" s="41"/>
      <c r="W1279" s="42" t="str">
        <f ca="1">IFERROR(__xludf.DUMMYFUNCTION("""COMPUTED_VALUE"""),"An Chung")</f>
        <v>An Chung</v>
      </c>
      <c r="X1279" s="42" t="str">
        <f ca="1"/>
        <v>ON-An Chung-00011900+5-6282155336565</v>
      </c>
      <c r="Y1279" s="40"/>
      <c r="Z1279" s="40"/>
      <c r="AA1279" s="23" t="str">
        <v>https://wa.me/6282155336565</v>
      </c>
      <c r="AB1279" s="28"/>
      <c r="AC1279" s="28"/>
      <c r="AD1279" s="28"/>
      <c r="AE1279" s="28"/>
      <c r="AF1279" s="29"/>
      <c r="AG1279" s="29"/>
    </row>
    <row r="1280" spans="1:33" ht="15.75" customHeight="1">
      <c r="A1280" s="32" t="s">
        <v>196</v>
      </c>
      <c r="B1280" s="33">
        <v>1299</v>
      </c>
      <c r="C1280" s="34" t="s">
        <v>7081</v>
      </c>
      <c r="D1280" s="35">
        <v>45955.489689108799</v>
      </c>
      <c r="E1280" s="43">
        <v>45955</v>
      </c>
      <c r="F1280" s="32" t="s">
        <v>7082</v>
      </c>
      <c r="G1280" s="32" t="s">
        <v>7083</v>
      </c>
      <c r="H1280" s="32" t="s">
        <v>7084</v>
      </c>
      <c r="I1280" s="36" t="s">
        <v>7085</v>
      </c>
      <c r="J1280" s="52"/>
      <c r="K1280" s="32" t="s">
        <v>374</v>
      </c>
      <c r="L1280" s="32" t="s">
        <v>4096</v>
      </c>
      <c r="M1280" s="32" t="s">
        <v>249</v>
      </c>
      <c r="N1280" s="33">
        <v>5</v>
      </c>
      <c r="O1280" s="35">
        <v>45958</v>
      </c>
      <c r="P1280" s="35">
        <v>45962</v>
      </c>
      <c r="Q1280" s="37"/>
      <c r="R1280" s="38"/>
      <c r="S1280" s="33"/>
      <c r="T1280" s="39">
        <v>197000</v>
      </c>
      <c r="U1280" s="40"/>
      <c r="V1280" s="41"/>
      <c r="W1280" s="42" t="str">
        <f ca="1">IFERROR(__xludf.DUMMYFUNCTION("""COMPUTED_VALUE"""),"BP Grup/Komunitas")</f>
        <v>BP Grup/Komunitas</v>
      </c>
      <c r="X1280" s="42" t="str">
        <f ca="1"/>
        <v>ON-BP Grup/Komunitas-00011900+5-6285602588779</v>
      </c>
      <c r="Y1280" s="40" t="s">
        <v>62</v>
      </c>
      <c r="Z1280" s="40" t="s">
        <v>1465</v>
      </c>
      <c r="AA1280" s="23" t="str">
        <v>https://wa.me/6285602588779</v>
      </c>
      <c r="AB1280" s="28" t="s">
        <v>7086</v>
      </c>
      <c r="AC1280" s="28"/>
      <c r="AD1280" s="28" t="s">
        <v>690</v>
      </c>
      <c r="AE1280" s="28"/>
      <c r="AF1280" s="29"/>
      <c r="AG1280" s="29"/>
    </row>
    <row r="1281" spans="1:33" ht="15.75" customHeight="1">
      <c r="A1281" s="32" t="s">
        <v>196</v>
      </c>
      <c r="B1281" s="33">
        <v>1301</v>
      </c>
      <c r="C1281" s="34" t="s">
        <v>7087</v>
      </c>
      <c r="D1281" s="35">
        <v>45955.698336643516</v>
      </c>
      <c r="E1281" s="43">
        <v>45955</v>
      </c>
      <c r="F1281" s="32" t="s">
        <v>2171</v>
      </c>
      <c r="G1281" s="32" t="s">
        <v>7088</v>
      </c>
      <c r="H1281" s="32" t="s">
        <v>7089</v>
      </c>
      <c r="I1281" s="36" t="s">
        <v>7090</v>
      </c>
      <c r="J1281" s="52"/>
      <c r="K1281" s="32" t="s">
        <v>7091</v>
      </c>
      <c r="L1281" s="32" t="s">
        <v>3637</v>
      </c>
      <c r="M1281" s="32" t="s">
        <v>711</v>
      </c>
      <c r="N1281" s="33">
        <v>10</v>
      </c>
      <c r="O1281" s="35">
        <v>45958</v>
      </c>
      <c r="P1281" s="35">
        <v>45967</v>
      </c>
      <c r="Q1281" s="37"/>
      <c r="R1281" s="38"/>
      <c r="S1281" s="33"/>
      <c r="T1281" s="39">
        <v>285000</v>
      </c>
      <c r="U1281" s="40" t="s">
        <v>1229</v>
      </c>
      <c r="V1281" s="41"/>
      <c r="W1281" s="42" t="str">
        <f ca="1">IFERROR(__xludf.DUMMYFUNCTION("""COMPUTED_VALUE"""),"Therapy kang")</f>
        <v>Therapy kang</v>
      </c>
      <c r="X1281" s="42" t="str">
        <f ca="1"/>
        <v>ON-Therapy kang-00011900+10-6287754649850</v>
      </c>
      <c r="Y1281" s="40" t="s">
        <v>62</v>
      </c>
      <c r="Z1281" s="40" t="s">
        <v>639</v>
      </c>
      <c r="AA1281" s="23" t="str">
        <v>https://wa.me/6287754649850</v>
      </c>
      <c r="AB1281" s="28" t="s">
        <v>7092</v>
      </c>
      <c r="AC1281" s="28"/>
      <c r="AD1281" s="28" t="s">
        <v>690</v>
      </c>
      <c r="AE1281" s="28"/>
      <c r="AF1281" s="29"/>
      <c r="AG1281" s="29"/>
    </row>
    <row r="1282" spans="1:33" ht="15.75" customHeight="1">
      <c r="A1282" s="32" t="s">
        <v>196</v>
      </c>
      <c r="B1282" s="33">
        <v>1303</v>
      </c>
      <c r="C1282" s="34" t="s">
        <v>7093</v>
      </c>
      <c r="D1282" s="35">
        <v>45955.821609837963</v>
      </c>
      <c r="E1282" s="43">
        <v>45955</v>
      </c>
      <c r="F1282" s="32" t="s">
        <v>7094</v>
      </c>
      <c r="G1282" s="32" t="s">
        <v>7095</v>
      </c>
      <c r="H1282" s="32" t="s">
        <v>7096</v>
      </c>
      <c r="I1282" s="36" t="s">
        <v>7097</v>
      </c>
      <c r="J1282" s="52"/>
      <c r="K1282" s="32" t="s">
        <v>2570</v>
      </c>
      <c r="L1282" s="32" t="s">
        <v>92</v>
      </c>
      <c r="M1282" s="32" t="s">
        <v>92</v>
      </c>
      <c r="N1282" s="33">
        <v>5</v>
      </c>
      <c r="O1282" s="35">
        <v>45959</v>
      </c>
      <c r="P1282" s="35">
        <v>45963</v>
      </c>
      <c r="Q1282" s="37"/>
      <c r="R1282" s="38"/>
      <c r="S1282" s="33"/>
      <c r="T1282" s="39">
        <v>197000</v>
      </c>
      <c r="U1282" s="40" t="s">
        <v>1229</v>
      </c>
      <c r="V1282" s="41"/>
      <c r="W1282" s="42" t="str">
        <f ca="1">IFERROR(__xludf.DUMMYFUNCTION("""COMPUTED_VALUE"""),"oke laundry")</f>
        <v>oke laundry</v>
      </c>
      <c r="X1282" s="42" t="str">
        <f ca="1"/>
        <v>ON-oke laundry-00011900+5-628116612224</v>
      </c>
      <c r="Y1282" s="40" t="s">
        <v>62</v>
      </c>
      <c r="Z1282" s="40" t="s">
        <v>1465</v>
      </c>
      <c r="AA1282" s="23" t="str">
        <v>https://wa.me/628116612224</v>
      </c>
      <c r="AB1282" s="28" t="s">
        <v>7098</v>
      </c>
      <c r="AC1282" s="28"/>
      <c r="AD1282" s="28" t="s">
        <v>690</v>
      </c>
      <c r="AE1282" s="28"/>
      <c r="AF1282" s="29"/>
      <c r="AG1282" s="29"/>
    </row>
    <row r="1283" spans="1:33" ht="15.75" customHeight="1">
      <c r="A1283" s="32" t="s">
        <v>196</v>
      </c>
      <c r="B1283" s="33">
        <v>1304</v>
      </c>
      <c r="C1283" s="34" t="s">
        <v>7099</v>
      </c>
      <c r="D1283" s="35">
        <v>45955.861073518521</v>
      </c>
      <c r="E1283" s="43">
        <v>45955</v>
      </c>
      <c r="F1283" s="32" t="s">
        <v>7100</v>
      </c>
      <c r="G1283" s="32" t="s">
        <v>7101</v>
      </c>
      <c r="H1283" s="32" t="s">
        <v>7102</v>
      </c>
      <c r="I1283" s="36" t="s">
        <v>7103</v>
      </c>
      <c r="J1283" s="52" t="s">
        <v>7104</v>
      </c>
      <c r="K1283" s="32" t="s">
        <v>7105</v>
      </c>
      <c r="L1283" s="32" t="s">
        <v>490</v>
      </c>
      <c r="M1283" s="32" t="s">
        <v>60</v>
      </c>
      <c r="N1283" s="33">
        <v>5</v>
      </c>
      <c r="O1283" s="35">
        <v>45959</v>
      </c>
      <c r="P1283" s="35">
        <v>45963</v>
      </c>
      <c r="Q1283" s="37"/>
      <c r="R1283" s="38"/>
      <c r="S1283" s="33"/>
      <c r="T1283" s="39">
        <v>197000</v>
      </c>
      <c r="U1283" s="40" t="s">
        <v>61</v>
      </c>
      <c r="V1283" s="41"/>
      <c r="W1283" s="42" t="str">
        <f ca="1">IFERROR(__xludf.DUMMYFUNCTION("""COMPUTED_VALUE"""),"Sam Transa")</f>
        <v>Sam Transa</v>
      </c>
      <c r="X1283" s="42" t="str">
        <f ca="1"/>
        <v>ON-Sam Transa-00011900+5-6282142550427</v>
      </c>
      <c r="Y1283" s="40" t="s">
        <v>62</v>
      </c>
      <c r="Z1283" s="40" t="s">
        <v>1880</v>
      </c>
      <c r="AA1283" s="23" t="str">
        <v>https://wa.me/6282142550427</v>
      </c>
      <c r="AB1283" s="28" t="s">
        <v>7106</v>
      </c>
      <c r="AC1283" s="28"/>
      <c r="AD1283" s="28" t="s">
        <v>690</v>
      </c>
      <c r="AE1283" s="28"/>
      <c r="AF1283" s="29"/>
      <c r="AG1283" s="29"/>
    </row>
    <row r="1284" spans="1:33" ht="15.75" customHeight="1">
      <c r="A1284" s="32" t="s">
        <v>52</v>
      </c>
      <c r="B1284" s="33">
        <v>1305</v>
      </c>
      <c r="C1284" s="34" t="s">
        <v>7107</v>
      </c>
      <c r="D1284" s="35">
        <v>45955.861478043982</v>
      </c>
      <c r="E1284" s="43">
        <v>45955</v>
      </c>
      <c r="F1284" s="32" t="s">
        <v>5159</v>
      </c>
      <c r="G1284" s="32" t="s">
        <v>5160</v>
      </c>
      <c r="H1284" s="32" t="s">
        <v>5161</v>
      </c>
      <c r="I1284" s="36" t="s">
        <v>5162</v>
      </c>
      <c r="J1284" s="52"/>
      <c r="K1284" s="32" t="s">
        <v>5163</v>
      </c>
      <c r="L1284" s="32" t="s">
        <v>2468</v>
      </c>
      <c r="M1284" s="32" t="s">
        <v>60</v>
      </c>
      <c r="N1284" s="33">
        <v>10</v>
      </c>
      <c r="O1284" s="35"/>
      <c r="P1284" s="35"/>
      <c r="Q1284" s="37"/>
      <c r="R1284" s="38"/>
      <c r="S1284" s="33"/>
      <c r="T1284" s="39">
        <v>375000</v>
      </c>
      <c r="U1284" s="40" t="s">
        <v>61</v>
      </c>
      <c r="V1284" s="41"/>
      <c r="W1284" s="42" t="str">
        <f ca="1">IFERROR(__xludf.DUMMYFUNCTION("""COMPUTED_VALUE"""),"Wirisvariasi")</f>
        <v>Wirisvariasi</v>
      </c>
      <c r="X1284" s="42" t="str">
        <f ca="1"/>
        <v>ON-Wirisvariasi-00011900+10-6282242925264</v>
      </c>
      <c r="Y1284" s="40"/>
      <c r="Z1284" s="40"/>
      <c r="AA1284" s="23" t="str">
        <v>https://wa.me/6282242925264</v>
      </c>
      <c r="AB1284" s="28"/>
      <c r="AC1284" s="28"/>
      <c r="AD1284" s="28"/>
      <c r="AE1284" s="28"/>
      <c r="AF1284" s="29"/>
      <c r="AG1284" s="29"/>
    </row>
    <row r="1285" spans="1:33" ht="15.75" customHeight="1">
      <c r="A1285" s="32" t="s">
        <v>52</v>
      </c>
      <c r="B1285" s="33">
        <v>1306</v>
      </c>
      <c r="C1285" s="34" t="s">
        <v>7108</v>
      </c>
      <c r="D1285" s="35">
        <v>45955.862520717594</v>
      </c>
      <c r="E1285" s="43">
        <v>45955</v>
      </c>
      <c r="F1285" s="32" t="s">
        <v>5913</v>
      </c>
      <c r="G1285" s="32" t="s">
        <v>5914</v>
      </c>
      <c r="H1285" s="32" t="s">
        <v>1030</v>
      </c>
      <c r="I1285" s="36" t="s">
        <v>5915</v>
      </c>
      <c r="J1285" s="52"/>
      <c r="K1285" s="32" t="s">
        <v>5916</v>
      </c>
      <c r="L1285" s="32" t="s">
        <v>92</v>
      </c>
      <c r="M1285" s="32" t="s">
        <v>60</v>
      </c>
      <c r="N1285" s="33">
        <v>5</v>
      </c>
      <c r="O1285" s="35"/>
      <c r="P1285" s="35"/>
      <c r="Q1285" s="37"/>
      <c r="R1285" s="38"/>
      <c r="S1285" s="33"/>
      <c r="T1285" s="39">
        <v>197000</v>
      </c>
      <c r="U1285" s="40" t="s">
        <v>61</v>
      </c>
      <c r="V1285" s="41"/>
      <c r="W1285" s="42" t="str">
        <f ca="1">IFERROR(__xludf.DUMMYFUNCTION("""COMPUTED_VALUE"""),"Terapi Toel")</f>
        <v>Terapi Toel</v>
      </c>
      <c r="X1285" s="42" t="str">
        <f ca="1"/>
        <v>ON-Terapi Toel-00011900+5-62881022322099</v>
      </c>
      <c r="Y1285" s="40"/>
      <c r="Z1285" s="40"/>
      <c r="AA1285" s="23" t="str">
        <v>https://wa.me/62881022322099</v>
      </c>
      <c r="AB1285" s="28"/>
      <c r="AC1285" s="28"/>
      <c r="AD1285" s="28"/>
      <c r="AE1285" s="28"/>
      <c r="AF1285" s="29"/>
      <c r="AG1285" s="29"/>
    </row>
    <row r="1286" spans="1:33" ht="15.75" customHeight="1">
      <c r="A1286" s="32" t="s">
        <v>196</v>
      </c>
      <c r="B1286" s="33">
        <v>1307</v>
      </c>
      <c r="C1286" s="34" t="s">
        <v>7109</v>
      </c>
      <c r="D1286" s="35">
        <v>45956.318595960649</v>
      </c>
      <c r="E1286" s="43">
        <v>45953</v>
      </c>
      <c r="F1286" s="32" t="s">
        <v>7110</v>
      </c>
      <c r="G1286" s="32" t="s">
        <v>7111</v>
      </c>
      <c r="H1286" s="32" t="s">
        <v>7112</v>
      </c>
      <c r="I1286" s="36" t="s">
        <v>7113</v>
      </c>
      <c r="J1286" s="52" t="s">
        <v>7114</v>
      </c>
      <c r="K1286" s="32" t="s">
        <v>7115</v>
      </c>
      <c r="L1286" s="32" t="s">
        <v>726</v>
      </c>
      <c r="M1286" s="32" t="s">
        <v>726</v>
      </c>
      <c r="N1286" s="33">
        <v>5</v>
      </c>
      <c r="O1286" s="35">
        <v>45958</v>
      </c>
      <c r="P1286" s="35">
        <v>45962</v>
      </c>
      <c r="Q1286" s="37"/>
      <c r="R1286" s="38"/>
      <c r="S1286" s="33"/>
      <c r="T1286" s="39">
        <v>197000</v>
      </c>
      <c r="U1286" s="40" t="s">
        <v>1774</v>
      </c>
      <c r="V1286" s="41"/>
      <c r="W1286" s="42" t="str">
        <f ca="1">IFERROR(__xludf.DUMMYFUNCTION("""COMPUTED_VALUE"""),"Berkah Cleaning")</f>
        <v>Berkah Cleaning</v>
      </c>
      <c r="X1286" s="42" t="str">
        <f ca="1"/>
        <v>ON-Berkah Cleaning-00011900+5-6287858406222</v>
      </c>
      <c r="Y1286" s="40" t="s">
        <v>62</v>
      </c>
      <c r="Z1286" s="40" t="s">
        <v>1465</v>
      </c>
      <c r="AA1286" s="23" t="str">
        <v>https://wa.me/6287858406222</v>
      </c>
      <c r="AB1286" s="28" t="s">
        <v>7116</v>
      </c>
      <c r="AC1286" s="28"/>
      <c r="AD1286" s="28" t="s">
        <v>690</v>
      </c>
      <c r="AE1286" s="28"/>
      <c r="AF1286" s="29"/>
      <c r="AG1286" s="29"/>
    </row>
    <row r="1287" spans="1:33" ht="15.75" customHeight="1">
      <c r="A1287" s="32" t="s">
        <v>196</v>
      </c>
      <c r="B1287" s="33">
        <v>1309</v>
      </c>
      <c r="C1287" s="34" t="s">
        <v>7117</v>
      </c>
      <c r="D1287" s="35">
        <v>45956.353222766207</v>
      </c>
      <c r="E1287" s="43">
        <v>45956</v>
      </c>
      <c r="F1287" s="32" t="s">
        <v>7118</v>
      </c>
      <c r="G1287" s="32" t="s">
        <v>7119</v>
      </c>
      <c r="H1287" s="32" t="s">
        <v>7120</v>
      </c>
      <c r="I1287" s="36" t="s">
        <v>7121</v>
      </c>
      <c r="J1287" s="52"/>
      <c r="K1287" s="32" t="s">
        <v>7122</v>
      </c>
      <c r="L1287" s="32" t="s">
        <v>7123</v>
      </c>
      <c r="M1287" s="32" t="s">
        <v>60</v>
      </c>
      <c r="N1287" s="33">
        <v>10</v>
      </c>
      <c r="O1287" s="35">
        <v>45959</v>
      </c>
      <c r="P1287" s="35">
        <v>45968</v>
      </c>
      <c r="Q1287" s="37"/>
      <c r="R1287" s="38"/>
      <c r="S1287" s="33"/>
      <c r="T1287" s="39">
        <v>375000</v>
      </c>
      <c r="U1287" s="40" t="s">
        <v>61</v>
      </c>
      <c r="V1287" s="41"/>
      <c r="W1287" s="42" t="str">
        <f ca="1">IFERROR(__xludf.DUMMYFUNCTION("""COMPUTED_VALUE"""),"Erka Solution")</f>
        <v>Erka Solution</v>
      </c>
      <c r="X1287" s="42" t="str">
        <f ca="1"/>
        <v>ON-Erka Solution-00011900+10-6281395812234</v>
      </c>
      <c r="Y1287" s="40" t="s">
        <v>62</v>
      </c>
      <c r="Z1287" s="40" t="s">
        <v>1404</v>
      </c>
      <c r="AA1287" s="23" t="str">
        <v>https://wa.me/6281395812234</v>
      </c>
      <c r="AB1287" s="28" t="s">
        <v>7124</v>
      </c>
      <c r="AC1287" s="28"/>
      <c r="AD1287" s="28" t="s">
        <v>690</v>
      </c>
      <c r="AE1287" s="28"/>
      <c r="AF1287" s="29"/>
      <c r="AG1287" s="29"/>
    </row>
    <row r="1288" spans="1:33" ht="15.75" customHeight="1">
      <c r="A1288" s="32" t="s">
        <v>196</v>
      </c>
      <c r="B1288" s="33">
        <v>1310</v>
      </c>
      <c r="C1288" s="34" t="s">
        <v>7125</v>
      </c>
      <c r="D1288" s="35">
        <v>45956.450870081018</v>
      </c>
      <c r="E1288" s="43">
        <v>45956</v>
      </c>
      <c r="F1288" s="32" t="s">
        <v>7126</v>
      </c>
      <c r="G1288" s="32" t="s">
        <v>7127</v>
      </c>
      <c r="H1288" s="32" t="s">
        <v>7128</v>
      </c>
      <c r="I1288" s="36" t="s">
        <v>7129</v>
      </c>
      <c r="J1288" s="52" t="s">
        <v>7130</v>
      </c>
      <c r="K1288" s="32" t="s">
        <v>7131</v>
      </c>
      <c r="L1288" s="32" t="s">
        <v>5336</v>
      </c>
      <c r="M1288" s="32" t="s">
        <v>382</v>
      </c>
      <c r="N1288" s="33">
        <v>5</v>
      </c>
      <c r="O1288" s="35">
        <v>45959</v>
      </c>
      <c r="P1288" s="35">
        <v>45963</v>
      </c>
      <c r="Q1288" s="37"/>
      <c r="R1288" s="38"/>
      <c r="S1288" s="33"/>
      <c r="T1288" s="39">
        <v>197000</v>
      </c>
      <c r="U1288" s="40" t="s">
        <v>1774</v>
      </c>
      <c r="V1288" s="41"/>
      <c r="W1288" s="42" t="str">
        <f ca="1">IFERROR(__xludf.DUMMYFUNCTION("""COMPUTED_VALUE"""),"Sobocar Autodetailing")</f>
        <v>Sobocar Autodetailing</v>
      </c>
      <c r="X1288" s="42" t="str">
        <f ca="1"/>
        <v>ON-Sobocar Autodetailing-00011900+5-6282250370505</v>
      </c>
      <c r="Y1288" s="40" t="s">
        <v>62</v>
      </c>
      <c r="Z1288" s="40" t="s">
        <v>294</v>
      </c>
      <c r="AA1288" s="23" t="str">
        <v>https://wa.me/6282250370505</v>
      </c>
      <c r="AB1288" s="28" t="s">
        <v>7132</v>
      </c>
      <c r="AC1288" s="28"/>
      <c r="AD1288" s="28" t="s">
        <v>690</v>
      </c>
      <c r="AE1288" s="28"/>
      <c r="AF1288" s="29"/>
      <c r="AG1288" s="29"/>
    </row>
    <row r="1289" spans="1:33" ht="15.75" customHeight="1">
      <c r="A1289" s="32" t="s">
        <v>196</v>
      </c>
      <c r="B1289" s="33">
        <v>1311</v>
      </c>
      <c r="C1289" s="34" t="s">
        <v>7133</v>
      </c>
      <c r="D1289" s="35">
        <v>45956.662803055558</v>
      </c>
      <c r="E1289" s="43">
        <v>45956</v>
      </c>
      <c r="F1289" s="32" t="s">
        <v>7134</v>
      </c>
      <c r="G1289" s="32" t="s">
        <v>7135</v>
      </c>
      <c r="H1289" s="32" t="s">
        <v>7136</v>
      </c>
      <c r="I1289" s="36" t="s">
        <v>7137</v>
      </c>
      <c r="J1289" s="52"/>
      <c r="K1289" s="32" t="s">
        <v>7138</v>
      </c>
      <c r="L1289" s="32" t="s">
        <v>7139</v>
      </c>
      <c r="M1289" s="32" t="s">
        <v>60</v>
      </c>
      <c r="N1289" s="33">
        <v>5</v>
      </c>
      <c r="O1289" s="35">
        <v>45959</v>
      </c>
      <c r="P1289" s="35">
        <v>45963</v>
      </c>
      <c r="Q1289" s="37"/>
      <c r="R1289" s="38"/>
      <c r="S1289" s="33"/>
      <c r="T1289" s="39">
        <v>197000</v>
      </c>
      <c r="U1289" s="40"/>
      <c r="V1289" s="41"/>
      <c r="W1289" s="42" t="str">
        <f ca="1">IFERROR(__xludf.DUMMYFUNCTION("""COMPUTED_VALUE"""),"Hamdalah Computer")</f>
        <v>Hamdalah Computer</v>
      </c>
      <c r="X1289" s="42" t="str">
        <f ca="1"/>
        <v>ON-Hamdalah Computer-00011900+5-6281936003881</v>
      </c>
      <c r="Y1289" s="40" t="s">
        <v>62</v>
      </c>
      <c r="Z1289" s="40" t="s">
        <v>1861</v>
      </c>
      <c r="AA1289" s="23" t="str">
        <v>https://wa.me/6281936003881</v>
      </c>
      <c r="AB1289" s="28" t="s">
        <v>7140</v>
      </c>
      <c r="AC1289" s="28"/>
      <c r="AD1289" s="28" t="s">
        <v>690</v>
      </c>
      <c r="AE1289" s="28"/>
      <c r="AF1289" s="29"/>
      <c r="AG1289" s="29"/>
    </row>
    <row r="1290" spans="1:33" ht="15.75" customHeight="1">
      <c r="A1290" s="32" t="s">
        <v>196</v>
      </c>
      <c r="B1290" s="33">
        <v>1312</v>
      </c>
      <c r="C1290" s="34" t="s">
        <v>7141</v>
      </c>
      <c r="D1290" s="35">
        <v>45957.264597997681</v>
      </c>
      <c r="E1290" s="43">
        <v>45957</v>
      </c>
      <c r="F1290" s="32" t="s">
        <v>7142</v>
      </c>
      <c r="G1290" s="32" t="s">
        <v>7143</v>
      </c>
      <c r="H1290" s="32" t="s">
        <v>7144</v>
      </c>
      <c r="I1290" s="36" t="s">
        <v>7145</v>
      </c>
      <c r="J1290" s="52" t="s">
        <v>7146</v>
      </c>
      <c r="K1290" s="32" t="s">
        <v>7147</v>
      </c>
      <c r="L1290" s="32" t="s">
        <v>7148</v>
      </c>
      <c r="M1290" s="32" t="s">
        <v>382</v>
      </c>
      <c r="N1290" s="33">
        <v>30</v>
      </c>
      <c r="O1290" s="35">
        <v>45960</v>
      </c>
      <c r="P1290" s="35">
        <v>45989</v>
      </c>
      <c r="Q1290" s="37"/>
      <c r="R1290" s="38"/>
      <c r="S1290" s="33"/>
      <c r="T1290" s="39">
        <v>1000000</v>
      </c>
      <c r="U1290" s="40" t="s">
        <v>115</v>
      </c>
      <c r="V1290" s="41"/>
      <c r="W1290" s="42" t="str">
        <f ca="1">IFERROR(__xludf.DUMMYFUNCTION("""COMPUTED_VALUE"""),"MBS AJA")</f>
        <v>MBS AJA</v>
      </c>
      <c r="X1290" s="42" t="str">
        <f ca="1"/>
        <v>ON-MBS AJA-00011900+30-62816690928</v>
      </c>
      <c r="Y1290" s="40" t="s">
        <v>62</v>
      </c>
      <c r="Z1290" s="40" t="s">
        <v>1880</v>
      </c>
      <c r="AA1290" s="23" t="str">
        <v>https://wa.me/62816690928</v>
      </c>
      <c r="AB1290" s="28" t="s">
        <v>7149</v>
      </c>
      <c r="AC1290" s="28"/>
      <c r="AD1290" s="28"/>
      <c r="AE1290" s="28"/>
      <c r="AF1290" s="29"/>
      <c r="AG1290" s="29"/>
    </row>
    <row r="1291" spans="1:33" ht="15.75" customHeight="1">
      <c r="A1291" s="32" t="s">
        <v>52</v>
      </c>
      <c r="B1291" s="33">
        <v>1310</v>
      </c>
      <c r="C1291" s="34" t="s">
        <v>7125</v>
      </c>
      <c r="D1291" s="35">
        <v>45957.445073402778</v>
      </c>
      <c r="E1291" s="43">
        <v>45957</v>
      </c>
      <c r="F1291" s="32" t="s">
        <v>6046</v>
      </c>
      <c r="G1291" s="32" t="s">
        <v>6047</v>
      </c>
      <c r="H1291" s="32" t="s">
        <v>6048</v>
      </c>
      <c r="I1291" s="36" t="s">
        <v>645</v>
      </c>
      <c r="J1291" s="52" t="s">
        <v>6515</v>
      </c>
      <c r="K1291" s="32" t="s">
        <v>6516</v>
      </c>
      <c r="L1291" s="32" t="s">
        <v>3637</v>
      </c>
      <c r="M1291" s="32" t="s">
        <v>5643</v>
      </c>
      <c r="N1291" s="33">
        <v>14</v>
      </c>
      <c r="O1291" s="35"/>
      <c r="P1291" s="35"/>
      <c r="Q1291" s="37"/>
      <c r="R1291" s="38"/>
      <c r="S1291" s="33"/>
      <c r="T1291" s="39">
        <v>550000</v>
      </c>
      <c r="U1291" s="40" t="s">
        <v>1774</v>
      </c>
      <c r="V1291" s="41"/>
      <c r="W1291" s="42" t="str">
        <f ca="1">IFERROR(__xludf.DUMMYFUNCTION("""COMPUTED_VALUE"""),"CV fajar")</f>
        <v>CV fajar</v>
      </c>
      <c r="X1291" s="42" t="str">
        <f ca="1"/>
        <v>ON-CV fajar-00011900+14-6281338789995</v>
      </c>
      <c r="Y1291" s="40"/>
      <c r="Z1291" s="40"/>
      <c r="AA1291" s="23" t="str">
        <v>https://wa.me/6281338789995</v>
      </c>
      <c r="AB1291" s="28"/>
      <c r="AC1291" s="28"/>
      <c r="AD1291" s="28"/>
      <c r="AE1291" s="28"/>
      <c r="AF1291" s="29"/>
      <c r="AG1291" s="29"/>
    </row>
    <row r="1292" spans="1:33" ht="15.75" customHeight="1">
      <c r="A1292" s="32" t="s">
        <v>196</v>
      </c>
      <c r="B1292" s="33">
        <v>1311</v>
      </c>
      <c r="C1292" s="34" t="s">
        <v>7133</v>
      </c>
      <c r="D1292" s="35">
        <v>45957.558301863421</v>
      </c>
      <c r="E1292" s="43">
        <v>45957</v>
      </c>
      <c r="F1292" s="32" t="s">
        <v>7150</v>
      </c>
      <c r="G1292" s="32" t="s">
        <v>7151</v>
      </c>
      <c r="H1292" s="32" t="s">
        <v>7152</v>
      </c>
      <c r="I1292" s="36" t="s">
        <v>7153</v>
      </c>
      <c r="J1292" s="52" t="s">
        <v>7154</v>
      </c>
      <c r="K1292" s="32" t="s">
        <v>7155</v>
      </c>
      <c r="L1292" s="32" t="s">
        <v>266</v>
      </c>
      <c r="M1292" s="32" t="s">
        <v>48</v>
      </c>
      <c r="N1292" s="33">
        <v>7</v>
      </c>
      <c r="O1292" s="35">
        <v>45960</v>
      </c>
      <c r="P1292" s="35">
        <v>45966</v>
      </c>
      <c r="Q1292" s="37"/>
      <c r="R1292" s="38"/>
      <c r="S1292" s="33"/>
      <c r="T1292" s="39">
        <v>297000</v>
      </c>
      <c r="U1292" s="40" t="s">
        <v>115</v>
      </c>
      <c r="V1292" s="41"/>
      <c r="W1292" s="42" t="str">
        <f ca="1">IFERROR(__xludf.DUMMYFUNCTION("""COMPUTED_VALUE"""),"Rumah sehat")</f>
        <v>Rumah sehat</v>
      </c>
      <c r="X1292" s="42" t="str">
        <f ca="1"/>
        <v>ON-Rumah sehat-00011900+7-6285334003008</v>
      </c>
      <c r="Y1292" s="40" t="s">
        <v>62</v>
      </c>
      <c r="Z1292" s="40" t="s">
        <v>639</v>
      </c>
      <c r="AA1292" s="23" t="str">
        <v>https://wa.me/6285334003008</v>
      </c>
      <c r="AB1292" s="28" t="s">
        <v>7156</v>
      </c>
      <c r="AC1292" s="28"/>
      <c r="AD1292" s="28" t="s">
        <v>690</v>
      </c>
      <c r="AE1292" s="28"/>
      <c r="AF1292" s="29"/>
      <c r="AG1292" s="29"/>
    </row>
    <row r="1293" spans="1:33" ht="15.75" customHeight="1">
      <c r="A1293" s="32" t="s">
        <v>196</v>
      </c>
      <c r="B1293" s="33">
        <v>1312</v>
      </c>
      <c r="C1293" s="34" t="s">
        <v>7141</v>
      </c>
      <c r="D1293" s="35">
        <v>45957.779134467593</v>
      </c>
      <c r="E1293" s="43">
        <v>45957</v>
      </c>
      <c r="F1293" s="32" t="s">
        <v>7157</v>
      </c>
      <c r="G1293" s="32" t="s">
        <v>7158</v>
      </c>
      <c r="H1293" s="32" t="s">
        <v>7159</v>
      </c>
      <c r="I1293" s="36" t="s">
        <v>7160</v>
      </c>
      <c r="J1293" s="52"/>
      <c r="K1293" s="32" t="s">
        <v>7161</v>
      </c>
      <c r="L1293" s="32" t="s">
        <v>7162</v>
      </c>
      <c r="M1293" s="32" t="s">
        <v>711</v>
      </c>
      <c r="N1293" s="33">
        <v>10</v>
      </c>
      <c r="O1293" s="35">
        <v>45960</v>
      </c>
      <c r="P1293" s="35">
        <v>45969</v>
      </c>
      <c r="Q1293" s="37"/>
      <c r="R1293" s="38"/>
      <c r="S1293" s="33"/>
      <c r="T1293" s="39">
        <v>375000</v>
      </c>
      <c r="U1293" s="40" t="s">
        <v>1229</v>
      </c>
      <c r="V1293" s="41"/>
      <c r="W1293" s="42" t="str">
        <f ca="1">IFERROR(__xludf.DUMMYFUNCTION("""COMPUTED_VALUE"""),"Ciptakarya paramacitra")</f>
        <v>Ciptakarya paramacitra</v>
      </c>
      <c r="X1293" s="42" t="str">
        <f ca="1"/>
        <v>ON-Ciptakarya paramacitra-00011900+10-6289506338444</v>
      </c>
      <c r="Y1293" s="40" t="s">
        <v>62</v>
      </c>
      <c r="Z1293" s="40" t="s">
        <v>1465</v>
      </c>
      <c r="AA1293" s="23" t="str">
        <v>https://wa.me/6289506338444</v>
      </c>
      <c r="AB1293" s="28" t="s">
        <v>7163</v>
      </c>
      <c r="AC1293" s="28"/>
      <c r="AD1293" s="28" t="s">
        <v>690</v>
      </c>
      <c r="AE1293" s="28"/>
      <c r="AF1293" s="29"/>
      <c r="AG1293" s="29"/>
    </row>
    <row r="1294" spans="1:33" ht="15.75" customHeight="1">
      <c r="A1294" s="32" t="s">
        <v>52</v>
      </c>
      <c r="B1294" s="33">
        <v>1313</v>
      </c>
      <c r="C1294" s="34" t="s">
        <v>7164</v>
      </c>
      <c r="D1294" s="35">
        <v>45957.82254587963</v>
      </c>
      <c r="E1294" s="43">
        <v>45957</v>
      </c>
      <c r="F1294" s="32" t="s">
        <v>6756</v>
      </c>
      <c r="G1294" s="32" t="s">
        <v>6757</v>
      </c>
      <c r="H1294" s="32" t="s">
        <v>6758</v>
      </c>
      <c r="I1294" s="36" t="s">
        <v>6759</v>
      </c>
      <c r="J1294" s="52"/>
      <c r="K1294" s="32" t="s">
        <v>6760</v>
      </c>
      <c r="L1294" s="32" t="s">
        <v>6761</v>
      </c>
      <c r="M1294" s="32" t="s">
        <v>285</v>
      </c>
      <c r="N1294" s="33">
        <v>5</v>
      </c>
      <c r="O1294" s="35"/>
      <c r="P1294" s="35"/>
      <c r="Q1294" s="37"/>
      <c r="R1294" s="38"/>
      <c r="S1294" s="33"/>
      <c r="T1294" s="39">
        <v>197000</v>
      </c>
      <c r="U1294" s="40" t="s">
        <v>1229</v>
      </c>
      <c r="V1294" s="41"/>
      <c r="W1294" s="42" t="str">
        <f ca="1">IFERROR(__xludf.DUMMYFUNCTION("""COMPUTED_VALUE"""),"Wahana honda")</f>
        <v>Wahana honda</v>
      </c>
      <c r="X1294" s="42" t="str">
        <f ca="1"/>
        <v>ON-Wahana honda-00011900+5-6285779204213</v>
      </c>
      <c r="Y1294" s="40"/>
      <c r="Z1294" s="40"/>
      <c r="AA1294" s="23" t="str">
        <v>https://wa.me/6285779204213</v>
      </c>
      <c r="AB1294" s="28"/>
      <c r="AC1294" s="28"/>
      <c r="AD1294" s="28"/>
      <c r="AE1294" s="28"/>
      <c r="AF1294" s="29"/>
      <c r="AG1294" s="29"/>
    </row>
    <row r="1295" spans="1:33" ht="15.75" customHeight="1">
      <c r="A1295" s="32" t="s">
        <v>196</v>
      </c>
      <c r="B1295" s="33">
        <v>1314</v>
      </c>
      <c r="C1295" s="34" t="s">
        <v>7165</v>
      </c>
      <c r="D1295" s="35">
        <v>46027</v>
      </c>
      <c r="E1295" s="43">
        <v>45946</v>
      </c>
      <c r="F1295" s="32" t="s">
        <v>6625</v>
      </c>
      <c r="G1295" s="32" t="s">
        <v>6626</v>
      </c>
      <c r="H1295" s="32" t="s">
        <v>6627</v>
      </c>
      <c r="I1295" s="36" t="s">
        <v>7166</v>
      </c>
      <c r="J1295" s="52"/>
      <c r="K1295" s="32" t="s">
        <v>6630</v>
      </c>
      <c r="L1295" s="32" t="s">
        <v>2500</v>
      </c>
      <c r="M1295" s="32" t="s">
        <v>1714</v>
      </c>
      <c r="N1295" s="33">
        <v>5</v>
      </c>
      <c r="O1295" s="35"/>
      <c r="P1295" s="35"/>
      <c r="Q1295" s="37"/>
      <c r="R1295" s="38">
        <v>-1003470351325</v>
      </c>
      <c r="S1295" s="33"/>
      <c r="T1295" s="39">
        <v>197000</v>
      </c>
      <c r="U1295" s="40" t="s">
        <v>61</v>
      </c>
      <c r="V1295" s="47">
        <v>46028.919265879631</v>
      </c>
      <c r="W1295" s="42" t="str">
        <f ca="1">IFERROR(__xludf.DUMMYFUNCTION("""COMPUTED_VALUE"""),"Klinik Beauty")</f>
        <v>Klinik Beauty</v>
      </c>
      <c r="X1295" s="42" t="str">
        <f ca="1"/>
        <v>ON-Klinik Beauty-06012026+5-6289504615501</v>
      </c>
      <c r="Y1295" s="40" t="s">
        <v>50</v>
      </c>
      <c r="Z1295" s="40" t="s">
        <v>327</v>
      </c>
      <c r="AA1295" s="23" t="str">
        <v>https://wa.me/6289504615501</v>
      </c>
      <c r="AB1295" s="28" t="s">
        <v>7167</v>
      </c>
      <c r="AC1295" s="28"/>
      <c r="AD1295" s="28" t="s">
        <v>690</v>
      </c>
      <c r="AE1295" s="28"/>
      <c r="AF1295" s="29"/>
      <c r="AG1295" s="29"/>
    </row>
    <row r="1296" spans="1:33" ht="15.75" customHeight="1">
      <c r="A1296" s="32" t="s">
        <v>196</v>
      </c>
      <c r="B1296" s="33">
        <v>1315</v>
      </c>
      <c r="C1296" s="34" t="s">
        <v>7168</v>
      </c>
      <c r="D1296" s="35">
        <v>45957.876489733797</v>
      </c>
      <c r="E1296" s="43">
        <v>45957</v>
      </c>
      <c r="F1296" s="32" t="s">
        <v>7169</v>
      </c>
      <c r="G1296" s="32" t="s">
        <v>7170</v>
      </c>
      <c r="H1296" s="32" t="s">
        <v>7171</v>
      </c>
      <c r="I1296" s="36" t="s">
        <v>7172</v>
      </c>
      <c r="J1296" s="52"/>
      <c r="K1296" s="32" t="s">
        <v>955</v>
      </c>
      <c r="L1296" s="32" t="s">
        <v>2133</v>
      </c>
      <c r="M1296" s="32" t="s">
        <v>60</v>
      </c>
      <c r="N1296" s="33">
        <v>5</v>
      </c>
      <c r="O1296" s="35">
        <v>45960</v>
      </c>
      <c r="P1296" s="35">
        <v>45964</v>
      </c>
      <c r="Q1296" s="37"/>
      <c r="R1296" s="38"/>
      <c r="S1296" s="33"/>
      <c r="T1296" s="39">
        <v>197000</v>
      </c>
      <c r="U1296" s="40" t="s">
        <v>61</v>
      </c>
      <c r="V1296" s="41"/>
      <c r="W1296" s="42" t="str">
        <f ca="1">IFERROR(__xludf.DUMMYFUNCTION("""COMPUTED_VALUE"""),"Bengkel Las")</f>
        <v>Bengkel Las</v>
      </c>
      <c r="X1296" s="42" t="str">
        <f ca="1"/>
        <v>ON-Bengkel Las-00011900+5-6281282148369</v>
      </c>
      <c r="Y1296" s="40" t="s">
        <v>293</v>
      </c>
      <c r="Z1296" s="40" t="s">
        <v>1057</v>
      </c>
      <c r="AA1296" s="23" t="str">
        <v>https://wa.me/6281282148369</v>
      </c>
      <c r="AB1296" s="28" t="s">
        <v>7173</v>
      </c>
      <c r="AC1296" s="28"/>
      <c r="AD1296" s="28" t="s">
        <v>690</v>
      </c>
      <c r="AE1296" s="28"/>
      <c r="AF1296" s="29"/>
      <c r="AG1296" s="29"/>
    </row>
    <row r="1297" spans="1:33" ht="15.75" customHeight="1">
      <c r="A1297" s="32" t="s">
        <v>52</v>
      </c>
      <c r="B1297" s="33">
        <v>1316</v>
      </c>
      <c r="C1297" s="34" t="s">
        <v>7174</v>
      </c>
      <c r="D1297" s="35">
        <v>45957.877781342591</v>
      </c>
      <c r="E1297" s="43">
        <v>45957</v>
      </c>
      <c r="F1297" s="32" t="s">
        <v>4611</v>
      </c>
      <c r="G1297" s="32" t="s">
        <v>4612</v>
      </c>
      <c r="H1297" s="32" t="s">
        <v>1694</v>
      </c>
      <c r="I1297" s="36" t="s">
        <v>4644</v>
      </c>
      <c r="J1297" s="52"/>
      <c r="K1297" s="32" t="s">
        <v>7175</v>
      </c>
      <c r="L1297" s="32" t="s">
        <v>4615</v>
      </c>
      <c r="M1297" s="32" t="s">
        <v>60</v>
      </c>
      <c r="N1297" s="33">
        <v>10</v>
      </c>
      <c r="O1297" s="35"/>
      <c r="P1297" s="35"/>
      <c r="Q1297" s="37"/>
      <c r="R1297" s="38"/>
      <c r="S1297" s="33"/>
      <c r="T1297" s="39">
        <v>375000</v>
      </c>
      <c r="U1297" s="40" t="s">
        <v>61</v>
      </c>
      <c r="V1297" s="41"/>
      <c r="W1297" s="42" t="str">
        <f ca="1">IFERROR(__xludf.DUMMYFUNCTION("""COMPUTED_VALUE"""),"TERAPHY HIPNOSIS")</f>
        <v>TERAPHY HIPNOSIS</v>
      </c>
      <c r="X1297" s="42" t="str">
        <f ca="1"/>
        <v>ON-TERAPHY HIPNOSIS-00011900+10-6285720705874</v>
      </c>
      <c r="Y1297" s="40"/>
      <c r="Z1297" s="40"/>
      <c r="AA1297" s="23" t="str">
        <v>https://wa.me/6285720705874</v>
      </c>
      <c r="AB1297" s="28"/>
      <c r="AC1297" s="28"/>
      <c r="AD1297" s="28"/>
      <c r="AE1297" s="28"/>
      <c r="AF1297" s="29"/>
      <c r="AG1297" s="29"/>
    </row>
    <row r="1298" spans="1:33" ht="15.75" customHeight="1">
      <c r="A1298" s="32" t="s">
        <v>196</v>
      </c>
      <c r="B1298" s="33">
        <v>1317</v>
      </c>
      <c r="C1298" s="34" t="s">
        <v>7176</v>
      </c>
      <c r="D1298" s="35">
        <v>45957.881728483801</v>
      </c>
      <c r="E1298" s="43">
        <v>45957</v>
      </c>
      <c r="F1298" s="32" t="s">
        <v>7177</v>
      </c>
      <c r="G1298" s="32" t="s">
        <v>7178</v>
      </c>
      <c r="H1298" s="32" t="s">
        <v>7179</v>
      </c>
      <c r="I1298" s="36" t="s">
        <v>7180</v>
      </c>
      <c r="J1298" s="52"/>
      <c r="K1298" s="32" t="s">
        <v>7181</v>
      </c>
      <c r="L1298" s="32" t="s">
        <v>233</v>
      </c>
      <c r="M1298" s="32" t="s">
        <v>60</v>
      </c>
      <c r="N1298" s="33">
        <v>30</v>
      </c>
      <c r="O1298" s="35">
        <v>45960</v>
      </c>
      <c r="P1298" s="35">
        <v>45989</v>
      </c>
      <c r="Q1298" s="37"/>
      <c r="R1298" s="38"/>
      <c r="S1298" s="33"/>
      <c r="T1298" s="39">
        <v>1000000</v>
      </c>
      <c r="U1298" s="40" t="s">
        <v>61</v>
      </c>
      <c r="V1298" s="41"/>
      <c r="W1298" s="42" t="str">
        <f ca="1">IFERROR(__xludf.DUMMYFUNCTION("""COMPUTED_VALUE"""),"Aatha Trans")</f>
        <v>Aatha Trans</v>
      </c>
      <c r="X1298" s="42" t="str">
        <f ca="1"/>
        <v>ON-Aatha Trans-00011900+30-6282315999337</v>
      </c>
      <c r="Y1298" s="40" t="s">
        <v>62</v>
      </c>
      <c r="Z1298" s="40" t="s">
        <v>1880</v>
      </c>
      <c r="AA1298" s="23" t="str">
        <v>https://wa.me/6282315999337</v>
      </c>
      <c r="AB1298" s="28" t="s">
        <v>7182</v>
      </c>
      <c r="AC1298" s="28"/>
      <c r="AD1298" s="28" t="s">
        <v>690</v>
      </c>
      <c r="AE1298" s="28"/>
      <c r="AF1298" s="29"/>
      <c r="AG1298" s="29"/>
    </row>
    <row r="1299" spans="1:33" ht="15.75" customHeight="1">
      <c r="A1299" s="32" t="s">
        <v>196</v>
      </c>
      <c r="B1299" s="33">
        <v>1318</v>
      </c>
      <c r="C1299" s="34" t="s">
        <v>7183</v>
      </c>
      <c r="D1299" s="35">
        <v>45958.18009840278</v>
      </c>
      <c r="E1299" s="43">
        <v>45957</v>
      </c>
      <c r="F1299" s="32" t="s">
        <v>7184</v>
      </c>
      <c r="G1299" s="32" t="s">
        <v>7185</v>
      </c>
      <c r="H1299" s="32" t="s">
        <v>7186</v>
      </c>
      <c r="I1299" s="36" t="s">
        <v>7187</v>
      </c>
      <c r="J1299" s="52"/>
      <c r="K1299" s="32" t="s">
        <v>7188</v>
      </c>
      <c r="L1299" s="32" t="s">
        <v>1926</v>
      </c>
      <c r="M1299" s="32" t="s">
        <v>60</v>
      </c>
      <c r="N1299" s="33">
        <v>5</v>
      </c>
      <c r="O1299" s="35">
        <v>45961</v>
      </c>
      <c r="P1299" s="35">
        <v>45965</v>
      </c>
      <c r="Q1299" s="37"/>
      <c r="R1299" s="38"/>
      <c r="S1299" s="33"/>
      <c r="T1299" s="39">
        <v>197000</v>
      </c>
      <c r="U1299" s="40" t="s">
        <v>61</v>
      </c>
      <c r="V1299" s="41"/>
      <c r="W1299" s="42" t="str">
        <f ca="1">IFERROR(__xludf.DUMMYFUNCTION("""COMPUTED_VALUE"""),"Wifi My")</f>
        <v>Wifi My</v>
      </c>
      <c r="X1299" s="42" t="str">
        <f ca="1"/>
        <v>ON-Wifi My-00011900+5-62882008728060</v>
      </c>
      <c r="Y1299" s="40" t="s">
        <v>62</v>
      </c>
      <c r="Z1299" s="40" t="s">
        <v>1465</v>
      </c>
      <c r="AA1299" s="23" t="str">
        <v>https://wa.me/62882008728060</v>
      </c>
      <c r="AB1299" s="28" t="s">
        <v>7189</v>
      </c>
      <c r="AC1299" s="28"/>
      <c r="AD1299" s="28" t="s">
        <v>690</v>
      </c>
      <c r="AE1299" s="28"/>
      <c r="AF1299" s="29"/>
      <c r="AG1299" s="29"/>
    </row>
    <row r="1300" spans="1:33" ht="15.75" customHeight="1">
      <c r="A1300" s="32" t="s">
        <v>196</v>
      </c>
      <c r="B1300" s="33">
        <v>1322</v>
      </c>
      <c r="C1300" s="34" t="s">
        <v>7190</v>
      </c>
      <c r="D1300" s="35">
        <v>45958.42420400463</v>
      </c>
      <c r="E1300" s="43">
        <v>45958</v>
      </c>
      <c r="F1300" s="32" t="s">
        <v>7191</v>
      </c>
      <c r="G1300" s="32" t="s">
        <v>7192</v>
      </c>
      <c r="H1300" s="32" t="s">
        <v>7193</v>
      </c>
      <c r="I1300" s="36" t="s">
        <v>7194</v>
      </c>
      <c r="J1300" s="52" t="s">
        <v>7195</v>
      </c>
      <c r="K1300" s="32" t="s">
        <v>374</v>
      </c>
      <c r="L1300" s="32" t="s">
        <v>726</v>
      </c>
      <c r="M1300" s="32" t="s">
        <v>726</v>
      </c>
      <c r="N1300" s="33">
        <v>5</v>
      </c>
      <c r="O1300" s="35">
        <v>45961</v>
      </c>
      <c r="P1300" s="35">
        <v>45965</v>
      </c>
      <c r="Q1300" s="37"/>
      <c r="R1300" s="38"/>
      <c r="S1300" s="33"/>
      <c r="T1300" s="39">
        <v>197000</v>
      </c>
      <c r="U1300" s="40" t="s">
        <v>1774</v>
      </c>
      <c r="V1300" s="41"/>
      <c r="W1300" s="42" t="str">
        <f ca="1">IFERROR(__xludf.DUMMYFUNCTION("""COMPUTED_VALUE"""),"PT Rizki")</f>
        <v>PT Rizki</v>
      </c>
      <c r="X1300" s="42" t="str">
        <f ca="1"/>
        <v>ON-PT Rizki-00011900+5-6285275329089</v>
      </c>
      <c r="Y1300" s="40" t="s">
        <v>62</v>
      </c>
      <c r="Z1300" s="40" t="s">
        <v>1465</v>
      </c>
      <c r="AA1300" s="23" t="str">
        <v>https://wa.me/6285275329089</v>
      </c>
      <c r="AB1300" s="28" t="s">
        <v>7196</v>
      </c>
      <c r="AC1300" s="28"/>
      <c r="AD1300" s="28" t="s">
        <v>690</v>
      </c>
      <c r="AE1300" s="28"/>
      <c r="AF1300" s="29"/>
      <c r="AG1300" s="29"/>
    </row>
    <row r="1301" spans="1:33" ht="15.75" customHeight="1">
      <c r="A1301" s="32" t="s">
        <v>52</v>
      </c>
      <c r="B1301" s="33">
        <v>1324</v>
      </c>
      <c r="C1301" s="34" t="s">
        <v>7197</v>
      </c>
      <c r="D1301" s="35">
        <v>45958.472699965278</v>
      </c>
      <c r="E1301" s="43">
        <v>45958</v>
      </c>
      <c r="F1301" s="32" t="s">
        <v>4256</v>
      </c>
      <c r="G1301" s="32" t="s">
        <v>4257</v>
      </c>
      <c r="H1301" s="32" t="s">
        <v>4258</v>
      </c>
      <c r="I1301" s="36" t="s">
        <v>4259</v>
      </c>
      <c r="J1301" s="52" t="s">
        <v>7198</v>
      </c>
      <c r="K1301" s="32" t="s">
        <v>1781</v>
      </c>
      <c r="L1301" s="32" t="s">
        <v>672</v>
      </c>
      <c r="M1301" s="32" t="s">
        <v>382</v>
      </c>
      <c r="N1301" s="33">
        <v>5</v>
      </c>
      <c r="O1301" s="35"/>
      <c r="P1301" s="35"/>
      <c r="Q1301" s="37"/>
      <c r="R1301" s="38"/>
      <c r="S1301" s="33"/>
      <c r="T1301" s="39">
        <v>197000</v>
      </c>
      <c r="U1301" s="40" t="s">
        <v>115</v>
      </c>
      <c r="V1301" s="41"/>
      <c r="W1301" s="42" t="str">
        <f ca="1">IFERROR(__xludf.DUMMYFUNCTION("""COMPUTED_VALUE"""),"Ari kontraktor")</f>
        <v>Ari kontraktor</v>
      </c>
      <c r="X1301" s="42" t="str">
        <f ca="1"/>
        <v>ON-Ari kontraktor-00011900+5-6281222788601</v>
      </c>
      <c r="Y1301" s="40"/>
      <c r="Z1301" s="40"/>
      <c r="AA1301" s="23" t="str">
        <v>https://wa.me/6281222788601</v>
      </c>
      <c r="AB1301" s="28"/>
      <c r="AC1301" s="28"/>
      <c r="AD1301" s="28"/>
      <c r="AE1301" s="28"/>
      <c r="AF1301" s="29"/>
      <c r="AG1301" s="29"/>
    </row>
    <row r="1302" spans="1:33" ht="15.75" customHeight="1">
      <c r="A1302" s="32" t="s">
        <v>52</v>
      </c>
      <c r="B1302" s="33">
        <v>1325</v>
      </c>
      <c r="C1302" s="34" t="s">
        <v>7199</v>
      </c>
      <c r="D1302" s="35">
        <v>45958.526824120374</v>
      </c>
      <c r="E1302" s="43">
        <v>45958</v>
      </c>
      <c r="F1302" s="32" t="s">
        <v>471</v>
      </c>
      <c r="G1302" s="32" t="s">
        <v>472</v>
      </c>
      <c r="H1302" s="32" t="s">
        <v>473</v>
      </c>
      <c r="I1302" s="36" t="s">
        <v>474</v>
      </c>
      <c r="J1302" s="52"/>
      <c r="K1302" s="32" t="s">
        <v>7200</v>
      </c>
      <c r="L1302" s="32" t="s">
        <v>696</v>
      </c>
      <c r="M1302" s="32" t="s">
        <v>70</v>
      </c>
      <c r="N1302" s="33">
        <v>7</v>
      </c>
      <c r="O1302" s="35"/>
      <c r="P1302" s="35"/>
      <c r="Q1302" s="37"/>
      <c r="R1302" s="38"/>
      <c r="S1302" s="33"/>
      <c r="T1302" s="39">
        <v>297000</v>
      </c>
      <c r="U1302" s="40" t="s">
        <v>115</v>
      </c>
      <c r="V1302" s="41"/>
      <c r="W1302" s="42" t="str">
        <f ca="1">IFERROR(__xludf.DUMMYFUNCTION("""COMPUTED_VALUE"""),"Hadi property")</f>
        <v>Hadi property</v>
      </c>
      <c r="X1302" s="42" t="str">
        <f ca="1"/>
        <v>ON-Hadi property-00011900+7-628114170888</v>
      </c>
      <c r="Y1302" s="40"/>
      <c r="Z1302" s="40"/>
      <c r="AA1302" s="23" t="str">
        <v>https://wa.me/628114170888</v>
      </c>
      <c r="AB1302" s="28"/>
      <c r="AC1302" s="28"/>
      <c r="AD1302" s="28"/>
      <c r="AE1302" s="28"/>
      <c r="AF1302" s="29"/>
      <c r="AG1302" s="29"/>
    </row>
    <row r="1303" spans="1:33" ht="15.75" customHeight="1">
      <c r="A1303" s="32" t="s">
        <v>52</v>
      </c>
      <c r="B1303" s="33">
        <v>1326</v>
      </c>
      <c r="C1303" s="34" t="s">
        <v>7201</v>
      </c>
      <c r="D1303" s="35">
        <v>45958.567600138893</v>
      </c>
      <c r="E1303" s="43">
        <v>45958</v>
      </c>
      <c r="F1303" s="32" t="s">
        <v>729</v>
      </c>
      <c r="G1303" s="32" t="s">
        <v>730</v>
      </c>
      <c r="H1303" s="32" t="s">
        <v>731</v>
      </c>
      <c r="I1303" s="36" t="s">
        <v>732</v>
      </c>
      <c r="J1303" s="52" t="s">
        <v>6744</v>
      </c>
      <c r="K1303" s="32" t="s">
        <v>7202</v>
      </c>
      <c r="L1303" s="32" t="s">
        <v>734</v>
      </c>
      <c r="M1303" s="32" t="s">
        <v>48</v>
      </c>
      <c r="N1303" s="33">
        <v>10</v>
      </c>
      <c r="O1303" s="35"/>
      <c r="P1303" s="35"/>
      <c r="Q1303" s="37"/>
      <c r="R1303" s="38"/>
      <c r="S1303" s="33"/>
      <c r="T1303" s="39">
        <v>375000</v>
      </c>
      <c r="U1303" s="40" t="s">
        <v>115</v>
      </c>
      <c r="V1303" s="41"/>
      <c r="W1303" s="42" t="str">
        <f ca="1">IFERROR(__xludf.DUMMYFUNCTION("""COMPUTED_VALUE"""),"cv adam")</f>
        <v>cv adam</v>
      </c>
      <c r="X1303" s="42" t="str">
        <f ca="1"/>
        <v>ON-cv adam-00011900+10-6281283325291</v>
      </c>
      <c r="Y1303" s="40"/>
      <c r="Z1303" s="40"/>
      <c r="AA1303" s="23" t="str">
        <v>https://wa.me/6281283325291</v>
      </c>
      <c r="AB1303" s="28"/>
      <c r="AC1303" s="28"/>
      <c r="AD1303" s="28"/>
      <c r="AE1303" s="28"/>
      <c r="AF1303" s="29"/>
      <c r="AG1303" s="29"/>
    </row>
    <row r="1304" spans="1:33" ht="15.75" customHeight="1">
      <c r="A1304" s="32" t="s">
        <v>196</v>
      </c>
      <c r="B1304" s="33">
        <v>1327</v>
      </c>
      <c r="C1304" s="34" t="s">
        <v>7203</v>
      </c>
      <c r="D1304" s="35">
        <v>45958.595716944445</v>
      </c>
      <c r="E1304" s="43">
        <v>45958</v>
      </c>
      <c r="F1304" s="32" t="s">
        <v>7204</v>
      </c>
      <c r="G1304" s="32" t="s">
        <v>7205</v>
      </c>
      <c r="H1304" s="32" t="s">
        <v>7206</v>
      </c>
      <c r="I1304" s="36" t="s">
        <v>7207</v>
      </c>
      <c r="J1304" s="52"/>
      <c r="K1304" s="32" t="s">
        <v>7208</v>
      </c>
      <c r="L1304" s="32" t="s">
        <v>1613</v>
      </c>
      <c r="M1304" s="32" t="s">
        <v>249</v>
      </c>
      <c r="N1304" s="33">
        <v>5</v>
      </c>
      <c r="O1304" s="35">
        <v>45961</v>
      </c>
      <c r="P1304" s="35">
        <v>45965</v>
      </c>
      <c r="Q1304" s="37"/>
      <c r="R1304" s="38"/>
      <c r="S1304" s="33"/>
      <c r="T1304" s="39">
        <v>197000</v>
      </c>
      <c r="U1304" s="40" t="s">
        <v>1774</v>
      </c>
      <c r="V1304" s="41"/>
      <c r="W1304" s="42" t="str">
        <f ca="1">IFERROR(__xludf.DUMMYFUNCTION("""COMPUTED_VALUE"""),"Sumber Rezeki")</f>
        <v>Sumber Rezeki</v>
      </c>
      <c r="X1304" s="42" t="str">
        <f ca="1"/>
        <v>ON-Sumber Rezeki-00011900+5-6287889902933</v>
      </c>
      <c r="Y1304" s="40" t="s">
        <v>293</v>
      </c>
      <c r="Z1304" s="40" t="s">
        <v>1057</v>
      </c>
      <c r="AA1304" s="23" t="str">
        <v>https://wa.me/6287889902933</v>
      </c>
      <c r="AB1304" s="28" t="s">
        <v>7209</v>
      </c>
      <c r="AC1304" s="28"/>
      <c r="AD1304" s="28" t="s">
        <v>690</v>
      </c>
      <c r="AE1304" s="28"/>
      <c r="AF1304" s="29"/>
      <c r="AG1304" s="29"/>
    </row>
    <row r="1305" spans="1:33" ht="15.75" customHeight="1">
      <c r="A1305" s="32" t="s">
        <v>196</v>
      </c>
      <c r="B1305" s="33">
        <v>1328</v>
      </c>
      <c r="C1305" s="34" t="s">
        <v>7210</v>
      </c>
      <c r="D1305" s="35">
        <v>45958.598196076389</v>
      </c>
      <c r="E1305" s="43">
        <v>45958</v>
      </c>
      <c r="F1305" s="32" t="s">
        <v>7211</v>
      </c>
      <c r="G1305" s="32" t="s">
        <v>7212</v>
      </c>
      <c r="H1305" s="32" t="s">
        <v>7213</v>
      </c>
      <c r="I1305" s="36" t="s">
        <v>7214</v>
      </c>
      <c r="J1305" s="52" t="s">
        <v>7215</v>
      </c>
      <c r="K1305" s="32" t="s">
        <v>7216</v>
      </c>
      <c r="L1305" s="32" t="s">
        <v>7217</v>
      </c>
      <c r="M1305" s="32" t="s">
        <v>1888</v>
      </c>
      <c r="N1305" s="33">
        <v>5</v>
      </c>
      <c r="O1305" s="35">
        <v>45962</v>
      </c>
      <c r="P1305" s="35">
        <v>45966</v>
      </c>
      <c r="Q1305" s="37"/>
      <c r="R1305" s="38"/>
      <c r="S1305" s="33"/>
      <c r="T1305" s="39">
        <v>197000</v>
      </c>
      <c r="U1305" s="40" t="s">
        <v>1774</v>
      </c>
      <c r="V1305" s="41"/>
      <c r="W1305" s="42" t="str">
        <f ca="1">IFERROR(__xludf.DUMMYFUNCTION("""COMPUTED_VALUE"""),"Holly Ice-cream")</f>
        <v>Holly Ice-cream</v>
      </c>
      <c r="X1305" s="42" t="str">
        <f ca="1"/>
        <v>ON-Holly Ice-cream-00011900+5-628114207593</v>
      </c>
      <c r="Y1305" s="40" t="s">
        <v>62</v>
      </c>
      <c r="Z1305" s="40" t="s">
        <v>3620</v>
      </c>
      <c r="AA1305" s="23" t="str">
        <v>https://wa.me/628114207593</v>
      </c>
      <c r="AB1305" s="28" t="s">
        <v>7218</v>
      </c>
      <c r="AC1305" s="28"/>
      <c r="AD1305" s="28" t="s">
        <v>690</v>
      </c>
      <c r="AE1305" s="28"/>
      <c r="AF1305" s="29"/>
      <c r="AG1305" s="29"/>
    </row>
    <row r="1306" spans="1:33" ht="15.75" customHeight="1">
      <c r="A1306" s="32" t="s">
        <v>52</v>
      </c>
      <c r="B1306" s="33">
        <v>1331</v>
      </c>
      <c r="C1306" s="34" t="s">
        <v>7219</v>
      </c>
      <c r="D1306" s="35">
        <v>45958.732044594908</v>
      </c>
      <c r="E1306" s="43">
        <v>45958</v>
      </c>
      <c r="F1306" s="32" t="s">
        <v>7220</v>
      </c>
      <c r="G1306" s="32" t="s">
        <v>7221</v>
      </c>
      <c r="H1306" s="32" t="s">
        <v>7222</v>
      </c>
      <c r="I1306" s="36" t="s">
        <v>1471</v>
      </c>
      <c r="J1306" s="52"/>
      <c r="K1306" s="32" t="s">
        <v>1473</v>
      </c>
      <c r="L1306" s="32" t="s">
        <v>7223</v>
      </c>
      <c r="M1306" s="32" t="s">
        <v>60</v>
      </c>
      <c r="N1306" s="33">
        <v>5</v>
      </c>
      <c r="O1306" s="35"/>
      <c r="P1306" s="35"/>
      <c r="Q1306" s="37"/>
      <c r="R1306" s="38"/>
      <c r="S1306" s="33"/>
      <c r="T1306" s="39">
        <v>197000</v>
      </c>
      <c r="U1306" s="40" t="s">
        <v>115</v>
      </c>
      <c r="V1306" s="41"/>
      <c r="W1306" s="42" t="str">
        <f ca="1">IFERROR(__xludf.DUMMYFUNCTION("""COMPUTED_VALUE"""),"Pelatihan Bekam")</f>
        <v>Pelatihan Bekam</v>
      </c>
      <c r="X1306" s="42" t="str">
        <f ca="1"/>
        <v>ON-Pelatihan Bekam-00011900+5-6282285691485</v>
      </c>
      <c r="Y1306" s="40"/>
      <c r="Z1306" s="40"/>
      <c r="AA1306" s="23" t="str">
        <v>https://wa.me/6282285691485</v>
      </c>
      <c r="AB1306" s="28"/>
      <c r="AC1306" s="28"/>
      <c r="AD1306" s="28"/>
      <c r="AE1306" s="28"/>
      <c r="AF1306" s="29"/>
      <c r="AG1306" s="29"/>
    </row>
    <row r="1307" spans="1:33" ht="15.75" customHeight="1">
      <c r="A1307" s="32" t="s">
        <v>52</v>
      </c>
      <c r="B1307" s="33">
        <v>1332</v>
      </c>
      <c r="C1307" s="34" t="s">
        <v>7224</v>
      </c>
      <c r="D1307" s="35">
        <v>45958.757920694443</v>
      </c>
      <c r="E1307" s="43">
        <v>45958</v>
      </c>
      <c r="F1307" s="32" t="s">
        <v>471</v>
      </c>
      <c r="G1307" s="32" t="s">
        <v>7225</v>
      </c>
      <c r="H1307" s="32" t="s">
        <v>473</v>
      </c>
      <c r="I1307" s="36" t="s">
        <v>474</v>
      </c>
      <c r="J1307" s="52"/>
      <c r="K1307" s="32" t="s">
        <v>7200</v>
      </c>
      <c r="L1307" s="32" t="s">
        <v>696</v>
      </c>
      <c r="M1307" s="32" t="s">
        <v>70</v>
      </c>
      <c r="N1307" s="33">
        <v>7</v>
      </c>
      <c r="O1307" s="35"/>
      <c r="P1307" s="35"/>
      <c r="Q1307" s="37"/>
      <c r="R1307" s="38"/>
      <c r="S1307" s="33"/>
      <c r="T1307" s="39">
        <v>297000</v>
      </c>
      <c r="U1307" s="40" t="s">
        <v>115</v>
      </c>
      <c r="V1307" s="41"/>
      <c r="W1307" s="42" t="str">
        <f ca="1">IFERROR(__xludf.DUMMYFUNCTION("""COMPUTED_VALUE"""),"CV. bangun")</f>
        <v>CV. bangun</v>
      </c>
      <c r="X1307" s="42" t="str">
        <f ca="1"/>
        <v>ON-CV. bangun-00011900+7-628114170888</v>
      </c>
      <c r="Y1307" s="40"/>
      <c r="Z1307" s="40"/>
      <c r="AA1307" s="23" t="str">
        <v>https://wa.me/628114170888</v>
      </c>
      <c r="AB1307" s="28"/>
      <c r="AC1307" s="28"/>
      <c r="AD1307" s="28"/>
      <c r="AE1307" s="28"/>
      <c r="AF1307" s="29"/>
      <c r="AG1307" s="29"/>
    </row>
    <row r="1308" spans="1:33" ht="15.75" customHeight="1">
      <c r="A1308" s="32" t="s">
        <v>52</v>
      </c>
      <c r="B1308" s="33">
        <v>1333</v>
      </c>
      <c r="C1308" s="34" t="s">
        <v>7226</v>
      </c>
      <c r="D1308" s="35">
        <v>45958.758140798614</v>
      </c>
      <c r="E1308" s="43">
        <v>45958</v>
      </c>
      <c r="F1308" s="32" t="s">
        <v>471</v>
      </c>
      <c r="G1308" s="32" t="s">
        <v>7227</v>
      </c>
      <c r="H1308" s="32" t="s">
        <v>507</v>
      </c>
      <c r="I1308" s="36" t="s">
        <v>474</v>
      </c>
      <c r="J1308" s="52"/>
      <c r="K1308" s="32" t="s">
        <v>7200</v>
      </c>
      <c r="L1308" s="32" t="s">
        <v>696</v>
      </c>
      <c r="M1308" s="32" t="s">
        <v>70</v>
      </c>
      <c r="N1308" s="33">
        <v>7</v>
      </c>
      <c r="O1308" s="35"/>
      <c r="P1308" s="35"/>
      <c r="Q1308" s="37"/>
      <c r="R1308" s="38"/>
      <c r="S1308" s="33"/>
      <c r="T1308" s="39">
        <v>297000</v>
      </c>
      <c r="U1308" s="40" t="s">
        <v>115</v>
      </c>
      <c r="V1308" s="41"/>
      <c r="W1308" s="42" t="str">
        <f ca="1">IFERROR(__xludf.DUMMYFUNCTION("""COMPUTED_VALUE"""),"bengkel maju")</f>
        <v>bengkel maju</v>
      </c>
      <c r="X1308" s="42" t="str">
        <f ca="1"/>
        <v>ON-bengkel maju-00011900+7-628114170888</v>
      </c>
      <c r="Y1308" s="40"/>
      <c r="Z1308" s="40"/>
      <c r="AA1308" s="23" t="str">
        <v>https://wa.me/628114170888</v>
      </c>
      <c r="AB1308" s="28"/>
      <c r="AC1308" s="28"/>
      <c r="AD1308" s="28"/>
      <c r="AE1308" s="28"/>
      <c r="AF1308" s="29"/>
      <c r="AG1308" s="29"/>
    </row>
    <row r="1309" spans="1:33" ht="15.75" customHeight="1">
      <c r="A1309" s="32" t="s">
        <v>196</v>
      </c>
      <c r="B1309" s="33">
        <v>1334</v>
      </c>
      <c r="C1309" s="34" t="s">
        <v>7228</v>
      </c>
      <c r="D1309" s="35">
        <v>45958.785933831023</v>
      </c>
      <c r="E1309" s="43">
        <v>45958</v>
      </c>
      <c r="F1309" s="32" t="s">
        <v>7229</v>
      </c>
      <c r="G1309" s="32" t="s">
        <v>7230</v>
      </c>
      <c r="H1309" s="32" t="s">
        <v>7231</v>
      </c>
      <c r="I1309" s="36" t="s">
        <v>7232</v>
      </c>
      <c r="J1309" s="52"/>
      <c r="K1309" s="32" t="s">
        <v>7233</v>
      </c>
      <c r="L1309" s="32" t="s">
        <v>1491</v>
      </c>
      <c r="M1309" s="32" t="s">
        <v>60</v>
      </c>
      <c r="N1309" s="33">
        <v>10</v>
      </c>
      <c r="O1309" s="35">
        <v>45962</v>
      </c>
      <c r="P1309" s="35">
        <v>45971</v>
      </c>
      <c r="Q1309" s="37"/>
      <c r="R1309" s="38"/>
      <c r="S1309" s="33"/>
      <c r="T1309" s="39">
        <v>375000</v>
      </c>
      <c r="U1309" s="40" t="s">
        <v>61</v>
      </c>
      <c r="V1309" s="41"/>
      <c r="W1309" s="42" t="str">
        <f ca="1">IFERROR(__xludf.DUMMYFUNCTION("""COMPUTED_VALUE"""),"Turtle Property")</f>
        <v>Turtle Property</v>
      </c>
      <c r="X1309" s="42" t="str">
        <f ca="1"/>
        <v>ON-Turtle Property-00011900+10-6285716918108</v>
      </c>
      <c r="Y1309" s="40" t="s">
        <v>293</v>
      </c>
      <c r="Z1309" s="40" t="s">
        <v>1057</v>
      </c>
      <c r="AA1309" s="23" t="str">
        <v>https://wa.me/6285716918108</v>
      </c>
      <c r="AB1309" s="28" t="s">
        <v>7234</v>
      </c>
      <c r="AC1309" s="28"/>
      <c r="AD1309" s="28" t="s">
        <v>690</v>
      </c>
      <c r="AE1309" s="28"/>
      <c r="AF1309" s="29"/>
      <c r="AG1309" s="29"/>
    </row>
    <row r="1310" spans="1:33" ht="15.75" customHeight="1">
      <c r="A1310" s="32" t="s">
        <v>52</v>
      </c>
      <c r="B1310" s="33">
        <v>1335</v>
      </c>
      <c r="C1310" s="34" t="s">
        <v>7235</v>
      </c>
      <c r="D1310" s="35">
        <v>45958.786400833334</v>
      </c>
      <c r="E1310" s="43">
        <v>45958</v>
      </c>
      <c r="F1310" s="32" t="s">
        <v>2692</v>
      </c>
      <c r="G1310" s="32" t="s">
        <v>7236</v>
      </c>
      <c r="H1310" s="32" t="s">
        <v>3711</v>
      </c>
      <c r="I1310" s="36" t="s">
        <v>2694</v>
      </c>
      <c r="J1310" s="52"/>
      <c r="K1310" s="32" t="s">
        <v>3712</v>
      </c>
      <c r="L1310" s="32" t="s">
        <v>85</v>
      </c>
      <c r="M1310" s="32" t="s">
        <v>92</v>
      </c>
      <c r="N1310" s="33">
        <v>7</v>
      </c>
      <c r="O1310" s="35"/>
      <c r="P1310" s="35"/>
      <c r="Q1310" s="37"/>
      <c r="R1310" s="38"/>
      <c r="S1310" s="33"/>
      <c r="T1310" s="39">
        <v>297000</v>
      </c>
      <c r="U1310" s="40" t="s">
        <v>61</v>
      </c>
      <c r="V1310" s="41"/>
      <c r="W1310" s="42" t="str">
        <f ca="1">IFERROR(__xludf.DUMMYFUNCTION("""COMPUTED_VALUE"""),"CV Karya")</f>
        <v>CV Karya</v>
      </c>
      <c r="X1310" s="42" t="str">
        <f ca="1"/>
        <v>ON-CV Karya-00011900+7-6285888590045</v>
      </c>
      <c r="Y1310" s="40"/>
      <c r="Z1310" s="40"/>
      <c r="AA1310" s="23" t="str">
        <v>https://wa.me/6285888590045</v>
      </c>
      <c r="AB1310" s="28"/>
      <c r="AC1310" s="28"/>
      <c r="AD1310" s="28"/>
      <c r="AE1310" s="28"/>
      <c r="AF1310" s="29"/>
      <c r="AG1310" s="29"/>
    </row>
    <row r="1311" spans="1:33" ht="15.75" customHeight="1">
      <c r="A1311" s="32" t="s">
        <v>52</v>
      </c>
      <c r="B1311" s="33">
        <v>1336</v>
      </c>
      <c r="C1311" s="34" t="s">
        <v>7237</v>
      </c>
      <c r="D1311" s="35">
        <v>45958.786642800929</v>
      </c>
      <c r="E1311" s="43">
        <v>45958</v>
      </c>
      <c r="F1311" s="32" t="s">
        <v>2692</v>
      </c>
      <c r="G1311" s="32" t="s">
        <v>7236</v>
      </c>
      <c r="H1311" s="32" t="s">
        <v>3715</v>
      </c>
      <c r="I1311" s="36" t="s">
        <v>2694</v>
      </c>
      <c r="J1311" s="52"/>
      <c r="K1311" s="32" t="s">
        <v>3716</v>
      </c>
      <c r="L1311" s="32" t="s">
        <v>85</v>
      </c>
      <c r="M1311" s="32" t="s">
        <v>92</v>
      </c>
      <c r="N1311" s="33">
        <v>7</v>
      </c>
      <c r="O1311" s="35"/>
      <c r="P1311" s="35"/>
      <c r="Q1311" s="37"/>
      <c r="R1311" s="38"/>
      <c r="S1311" s="33"/>
      <c r="T1311" s="39">
        <v>297000</v>
      </c>
      <c r="U1311" s="40" t="s">
        <v>61</v>
      </c>
      <c r="V1311" s="41"/>
      <c r="W1311" s="42" t="str">
        <f ca="1">IFERROR(__xludf.DUMMYFUNCTION("""COMPUTED_VALUE"""),"CV Karya")</f>
        <v>CV Karya</v>
      </c>
      <c r="X1311" s="42" t="str">
        <f ca="1"/>
        <v>ON-CV Karya-00011900+7-6285888590045</v>
      </c>
      <c r="Y1311" s="40"/>
      <c r="Z1311" s="40"/>
      <c r="AA1311" s="23" t="str">
        <v>https://wa.me/6285888590045</v>
      </c>
      <c r="AB1311" s="28"/>
      <c r="AC1311" s="28"/>
      <c r="AD1311" s="28"/>
      <c r="AE1311" s="28"/>
      <c r="AF1311" s="29"/>
      <c r="AG1311" s="29"/>
    </row>
    <row r="1312" spans="1:33" ht="15.75" customHeight="1">
      <c r="A1312" s="32" t="s">
        <v>196</v>
      </c>
      <c r="B1312" s="33">
        <v>1337</v>
      </c>
      <c r="C1312" s="34" t="s">
        <v>7238</v>
      </c>
      <c r="D1312" s="35">
        <v>45958.79030241898</v>
      </c>
      <c r="E1312" s="43">
        <v>45958</v>
      </c>
      <c r="F1312" s="32" t="s">
        <v>7239</v>
      </c>
      <c r="G1312" s="32" t="s">
        <v>7240</v>
      </c>
      <c r="H1312" s="32" t="s">
        <v>7241</v>
      </c>
      <c r="I1312" s="36" t="s">
        <v>7242</v>
      </c>
      <c r="J1312" s="52"/>
      <c r="K1312" s="32" t="s">
        <v>7243</v>
      </c>
      <c r="L1312" s="32" t="s">
        <v>1250</v>
      </c>
      <c r="M1312" s="32" t="s">
        <v>60</v>
      </c>
      <c r="N1312" s="33">
        <v>5</v>
      </c>
      <c r="O1312" s="35">
        <v>45962</v>
      </c>
      <c r="P1312" s="35">
        <v>45966</v>
      </c>
      <c r="Q1312" s="37"/>
      <c r="R1312" s="38"/>
      <c r="S1312" s="33"/>
      <c r="T1312" s="39">
        <v>197000</v>
      </c>
      <c r="U1312" s="40" t="s">
        <v>61</v>
      </c>
      <c r="V1312" s="41"/>
      <c r="W1312" s="42" t="str">
        <f ca="1">IFERROR(__xludf.DUMMYFUNCTION("""COMPUTED_VALUE"""),"Thata Property")</f>
        <v>Thata Property</v>
      </c>
      <c r="X1312" s="42" t="str">
        <f ca="1"/>
        <v>ON-Thata Property-00011900+5-6281374879424</v>
      </c>
      <c r="Y1312" s="40" t="s">
        <v>293</v>
      </c>
      <c r="Z1312" s="40" t="s">
        <v>1057</v>
      </c>
      <c r="AA1312" s="23" t="str">
        <v>https://wa.me/6281374879424</v>
      </c>
      <c r="AB1312" s="28" t="s">
        <v>7244</v>
      </c>
      <c r="AC1312" s="28"/>
      <c r="AD1312" s="28" t="s">
        <v>690</v>
      </c>
      <c r="AE1312" s="28"/>
      <c r="AF1312" s="29"/>
      <c r="AG1312" s="29"/>
    </row>
    <row r="1313" spans="1:33" ht="15.75" customHeight="1">
      <c r="A1313" s="32" t="s">
        <v>52</v>
      </c>
      <c r="B1313" s="33">
        <v>1338</v>
      </c>
      <c r="C1313" s="34" t="s">
        <v>7245</v>
      </c>
      <c r="D1313" s="35">
        <v>45958.79268716435</v>
      </c>
      <c r="E1313" s="43">
        <v>45958</v>
      </c>
      <c r="F1313" s="32" t="s">
        <v>6417</v>
      </c>
      <c r="G1313" s="32" t="s">
        <v>6418</v>
      </c>
      <c r="H1313" s="32" t="s">
        <v>7246</v>
      </c>
      <c r="I1313" s="36" t="s">
        <v>6420</v>
      </c>
      <c r="J1313" s="52"/>
      <c r="K1313" s="32" t="s">
        <v>570</v>
      </c>
      <c r="L1313" s="32" t="s">
        <v>4783</v>
      </c>
      <c r="M1313" s="32" t="s">
        <v>6421</v>
      </c>
      <c r="N1313" s="33">
        <v>14</v>
      </c>
      <c r="O1313" s="35"/>
      <c r="P1313" s="35"/>
      <c r="Q1313" s="37"/>
      <c r="R1313" s="38"/>
      <c r="S1313" s="33"/>
      <c r="T1313" s="39">
        <v>550000</v>
      </c>
      <c r="U1313" s="40" t="s">
        <v>1229</v>
      </c>
      <c r="V1313" s="41"/>
      <c r="W1313" s="42" t="str">
        <f ca="1">IFERROR(__xludf.DUMMYFUNCTION("""COMPUTED_VALUE"""),"Rudy jaya")</f>
        <v>Rudy jaya</v>
      </c>
      <c r="X1313" s="42" t="str">
        <f ca="1"/>
        <v>ON-Rudy jaya-00011900+14-6285280985750</v>
      </c>
      <c r="Y1313" s="40"/>
      <c r="Z1313" s="40"/>
      <c r="AA1313" s="23" t="str">
        <v>https://wa.me/6285280985750</v>
      </c>
      <c r="AB1313" s="28"/>
      <c r="AC1313" s="28"/>
      <c r="AD1313" s="28"/>
      <c r="AE1313" s="28"/>
      <c r="AF1313" s="29"/>
      <c r="AG1313" s="29"/>
    </row>
    <row r="1314" spans="1:33" ht="15.75" customHeight="1">
      <c r="A1314" s="32" t="s">
        <v>52</v>
      </c>
      <c r="B1314" s="33">
        <v>1340</v>
      </c>
      <c r="C1314" s="34" t="s">
        <v>7247</v>
      </c>
      <c r="D1314" s="35">
        <v>45958.9097562963</v>
      </c>
      <c r="E1314" s="43">
        <v>45958</v>
      </c>
      <c r="F1314" s="32" t="s">
        <v>125</v>
      </c>
      <c r="G1314" s="32" t="s">
        <v>5265</v>
      </c>
      <c r="H1314" s="32" t="s">
        <v>5266</v>
      </c>
      <c r="I1314" s="36" t="s">
        <v>128</v>
      </c>
      <c r="J1314" s="52"/>
      <c r="K1314" s="32" t="s">
        <v>6367</v>
      </c>
      <c r="L1314" s="32" t="s">
        <v>2133</v>
      </c>
      <c r="M1314" s="32" t="s">
        <v>60</v>
      </c>
      <c r="N1314" s="33">
        <v>10</v>
      </c>
      <c r="O1314" s="35"/>
      <c r="P1314" s="35"/>
      <c r="Q1314" s="37"/>
      <c r="R1314" s="38"/>
      <c r="S1314" s="33"/>
      <c r="T1314" s="39">
        <v>375000</v>
      </c>
      <c r="U1314" s="40" t="s">
        <v>61</v>
      </c>
      <c r="V1314" s="41"/>
      <c r="W1314" s="42" t="str">
        <f ca="1">IFERROR(__xludf.DUMMYFUNCTION("""COMPUTED_VALUE"""),"AJP Adi")</f>
        <v>AJP Adi</v>
      </c>
      <c r="X1314" s="42" t="str">
        <f ca="1"/>
        <v>ON-AJP Adi-00011900+10-6283188945188</v>
      </c>
      <c r="Y1314" s="40"/>
      <c r="Z1314" s="40"/>
      <c r="AA1314" s="23" t="str">
        <v>https://wa.me/6283188945188</v>
      </c>
      <c r="AB1314" s="28"/>
      <c r="AC1314" s="28"/>
      <c r="AD1314" s="28"/>
      <c r="AE1314" s="28"/>
      <c r="AF1314" s="29"/>
      <c r="AG1314" s="29"/>
    </row>
    <row r="1315" spans="1:33" ht="15.75" customHeight="1">
      <c r="A1315" s="32" t="s">
        <v>52</v>
      </c>
      <c r="B1315" s="33">
        <v>1341</v>
      </c>
      <c r="C1315" s="34" t="s">
        <v>7248</v>
      </c>
      <c r="D1315" s="35">
        <v>45958.910472662035</v>
      </c>
      <c r="E1315" s="43">
        <v>45958</v>
      </c>
      <c r="F1315" s="32" t="s">
        <v>125</v>
      </c>
      <c r="G1315" s="32" t="s">
        <v>5265</v>
      </c>
      <c r="H1315" s="32" t="s">
        <v>5266</v>
      </c>
      <c r="I1315" s="36" t="s">
        <v>128</v>
      </c>
      <c r="J1315" s="52"/>
      <c r="K1315" s="32"/>
      <c r="L1315" s="32" t="s">
        <v>2133</v>
      </c>
      <c r="M1315" s="32" t="s">
        <v>60</v>
      </c>
      <c r="N1315" s="33">
        <v>10</v>
      </c>
      <c r="O1315" s="35"/>
      <c r="P1315" s="35"/>
      <c r="Q1315" s="37"/>
      <c r="R1315" s="38"/>
      <c r="S1315" s="33"/>
      <c r="T1315" s="39">
        <v>375000</v>
      </c>
      <c r="U1315" s="40" t="s">
        <v>61</v>
      </c>
      <c r="V1315" s="41"/>
      <c r="W1315" s="42" t="str">
        <f ca="1">IFERROR(__xludf.DUMMYFUNCTION("""COMPUTED_VALUE"""),"AJP Adi")</f>
        <v>AJP Adi</v>
      </c>
      <c r="X1315" s="42" t="str">
        <f ca="1"/>
        <v>ON-AJP Adi-00011900+10-6283188945188</v>
      </c>
      <c r="Y1315" s="40"/>
      <c r="Z1315" s="40"/>
      <c r="AA1315" s="23" t="str">
        <v>https://wa.me/6283188945188</v>
      </c>
      <c r="AB1315" s="28"/>
      <c r="AC1315" s="28"/>
      <c r="AD1315" s="28"/>
      <c r="AE1315" s="28"/>
      <c r="AF1315" s="29"/>
      <c r="AG1315" s="29"/>
    </row>
    <row r="1316" spans="1:33" ht="15.75" customHeight="1">
      <c r="A1316" s="32" t="s">
        <v>196</v>
      </c>
      <c r="B1316" s="33">
        <v>1341</v>
      </c>
      <c r="C1316" s="34" t="s">
        <v>7248</v>
      </c>
      <c r="D1316" s="35">
        <v>45959.399724374998</v>
      </c>
      <c r="E1316" s="43">
        <v>45959</v>
      </c>
      <c r="F1316" s="32" t="s">
        <v>7249</v>
      </c>
      <c r="G1316" s="32" t="s">
        <v>7250</v>
      </c>
      <c r="H1316" s="32" t="s">
        <v>2890</v>
      </c>
      <c r="I1316" s="36" t="s">
        <v>7251</v>
      </c>
      <c r="J1316" s="52"/>
      <c r="K1316" s="32" t="s">
        <v>7252</v>
      </c>
      <c r="L1316" s="32" t="s">
        <v>7253</v>
      </c>
      <c r="M1316" s="32" t="s">
        <v>249</v>
      </c>
      <c r="N1316" s="33">
        <v>5</v>
      </c>
      <c r="O1316" s="35">
        <v>45962</v>
      </c>
      <c r="P1316" s="35">
        <v>45966</v>
      </c>
      <c r="Q1316" s="37"/>
      <c r="R1316" s="38"/>
      <c r="S1316" s="33"/>
      <c r="T1316" s="39">
        <v>197000</v>
      </c>
      <c r="U1316" s="40" t="s">
        <v>1774</v>
      </c>
      <c r="V1316" s="41"/>
      <c r="W1316" s="42" t="str">
        <f ca="1">IFERROR(__xludf.DUMMYFUNCTION("""COMPUTED_VALUE"""),"Minyak Balur")</f>
        <v>Minyak Balur</v>
      </c>
      <c r="X1316" s="42" t="str">
        <f ca="1"/>
        <v>ON-Minyak Balur-00011900+5-6281260058715</v>
      </c>
      <c r="Y1316" s="40" t="s">
        <v>62</v>
      </c>
      <c r="Z1316" s="40" t="s">
        <v>639</v>
      </c>
      <c r="AA1316" s="23" t="str">
        <v>https://wa.me/6281260058715</v>
      </c>
      <c r="AB1316" s="28" t="s">
        <v>7254</v>
      </c>
      <c r="AC1316" s="28"/>
      <c r="AD1316" s="28" t="s">
        <v>690</v>
      </c>
      <c r="AE1316" s="28"/>
      <c r="AF1316" s="29"/>
      <c r="AG1316" s="29"/>
    </row>
    <row r="1317" spans="1:33" ht="15.75" customHeight="1">
      <c r="A1317" s="32" t="s">
        <v>52</v>
      </c>
      <c r="B1317" s="33">
        <v>1343</v>
      </c>
      <c r="C1317" s="34" t="s">
        <v>7255</v>
      </c>
      <c r="D1317" s="35">
        <v>45959.28427502315</v>
      </c>
      <c r="E1317" s="43">
        <v>45959</v>
      </c>
      <c r="F1317" s="32" t="s">
        <v>820</v>
      </c>
      <c r="G1317" s="32" t="s">
        <v>821</v>
      </c>
      <c r="H1317" s="32" t="s">
        <v>822</v>
      </c>
      <c r="I1317" s="36" t="s">
        <v>823</v>
      </c>
      <c r="J1317" s="52" t="s">
        <v>824</v>
      </c>
      <c r="K1317" s="32" t="s">
        <v>825</v>
      </c>
      <c r="L1317" s="32" t="s">
        <v>629</v>
      </c>
      <c r="M1317" s="32" t="s">
        <v>382</v>
      </c>
      <c r="N1317" s="33">
        <v>30</v>
      </c>
      <c r="O1317" s="35"/>
      <c r="P1317" s="35"/>
      <c r="Q1317" s="37"/>
      <c r="R1317" s="38"/>
      <c r="S1317" s="33"/>
      <c r="T1317" s="39">
        <v>1000000</v>
      </c>
      <c r="U1317" s="40" t="s">
        <v>115</v>
      </c>
      <c r="V1317" s="41"/>
      <c r="W1317" s="42" t="str">
        <f ca="1">IFERROR(__xludf.DUMMYFUNCTION("""COMPUTED_VALUE"""),"Jagat Kitchen")</f>
        <v>Jagat Kitchen</v>
      </c>
      <c r="X1317" s="42" t="str">
        <f ca="1"/>
        <v>ON-Jagat Kitchen-00011900+30-6281393958199</v>
      </c>
      <c r="Y1317" s="40"/>
      <c r="Z1317" s="40"/>
      <c r="AA1317" s="23" t="str">
        <v>https://wa.me/6281393958199</v>
      </c>
      <c r="AB1317" s="28"/>
      <c r="AC1317" s="28"/>
      <c r="AD1317" s="28"/>
      <c r="AE1317" s="28"/>
      <c r="AF1317" s="29"/>
      <c r="AG1317" s="29"/>
    </row>
    <row r="1318" spans="1:33" ht="15.75" customHeight="1">
      <c r="A1318" s="32" t="s">
        <v>196</v>
      </c>
      <c r="B1318" s="33">
        <v>1340</v>
      </c>
      <c r="C1318" s="34" t="s">
        <v>7247</v>
      </c>
      <c r="D1318" s="35">
        <v>45959.368879189817</v>
      </c>
      <c r="E1318" s="43">
        <v>45959</v>
      </c>
      <c r="F1318" s="32" t="s">
        <v>7256</v>
      </c>
      <c r="G1318" s="32" t="s">
        <v>7257</v>
      </c>
      <c r="H1318" s="32" t="s">
        <v>7258</v>
      </c>
      <c r="I1318" s="36" t="s">
        <v>7259</v>
      </c>
      <c r="J1318" s="52" t="s">
        <v>7260</v>
      </c>
      <c r="K1318" s="32" t="s">
        <v>374</v>
      </c>
      <c r="L1318" s="32" t="s">
        <v>4783</v>
      </c>
      <c r="M1318" s="32" t="s">
        <v>249</v>
      </c>
      <c r="N1318" s="33">
        <v>7</v>
      </c>
      <c r="O1318" s="35">
        <v>45961</v>
      </c>
      <c r="P1318" s="35">
        <v>45967</v>
      </c>
      <c r="Q1318" s="37"/>
      <c r="R1318" s="38"/>
      <c r="S1318" s="33"/>
      <c r="T1318" s="39">
        <v>297000</v>
      </c>
      <c r="U1318" s="40" t="s">
        <v>61</v>
      </c>
      <c r="V1318" s="41"/>
      <c r="W1318" s="42" t="str">
        <f ca="1">IFERROR(__xludf.DUMMYFUNCTION("""COMPUTED_VALUE"""),"Putra Tidar")</f>
        <v>Putra Tidar</v>
      </c>
      <c r="X1318" s="42" t="str">
        <f ca="1"/>
        <v>ON-Putra Tidar-00011900+7-6285329035057</v>
      </c>
      <c r="Y1318" s="40" t="s">
        <v>293</v>
      </c>
      <c r="Z1318" s="40" t="s">
        <v>1057</v>
      </c>
      <c r="AA1318" s="23" t="str">
        <v>https://wa.me/6285329035057</v>
      </c>
      <c r="AB1318" s="28" t="s">
        <v>7261</v>
      </c>
      <c r="AC1318" s="28"/>
      <c r="AD1318" s="28" t="s">
        <v>690</v>
      </c>
      <c r="AE1318" s="28"/>
      <c r="AF1318" s="29"/>
      <c r="AG1318" s="29"/>
    </row>
    <row r="1319" spans="1:33" ht="15.75" customHeight="1">
      <c r="A1319" s="32" t="s">
        <v>196</v>
      </c>
      <c r="B1319" s="33">
        <v>1345</v>
      </c>
      <c r="C1319" s="34" t="s">
        <v>7262</v>
      </c>
      <c r="D1319" s="35">
        <v>45959.591871655095</v>
      </c>
      <c r="E1319" s="43">
        <v>45953</v>
      </c>
      <c r="F1319" s="32" t="s">
        <v>7263</v>
      </c>
      <c r="G1319" s="32" t="s">
        <v>7264</v>
      </c>
      <c r="H1319" s="32" t="s">
        <v>7265</v>
      </c>
      <c r="I1319" s="36" t="s">
        <v>7266</v>
      </c>
      <c r="J1319" s="52" t="s">
        <v>7267</v>
      </c>
      <c r="K1319" s="32" t="s">
        <v>7268</v>
      </c>
      <c r="L1319" s="32" t="s">
        <v>726</v>
      </c>
      <c r="M1319" s="32" t="s">
        <v>726</v>
      </c>
      <c r="N1319" s="33">
        <v>7</v>
      </c>
      <c r="O1319" s="35">
        <v>45962</v>
      </c>
      <c r="P1319" s="35">
        <v>45968</v>
      </c>
      <c r="Q1319" s="37"/>
      <c r="R1319" s="38"/>
      <c r="S1319" s="33"/>
      <c r="T1319" s="39">
        <v>297000</v>
      </c>
      <c r="U1319" s="40" t="s">
        <v>1774</v>
      </c>
      <c r="V1319" s="41"/>
      <c r="W1319" s="42" t="str">
        <f ca="1">IFERROR(__xludf.DUMMYFUNCTION("""COMPUTED_VALUE"""),"TMT Garage")</f>
        <v>TMT Garage</v>
      </c>
      <c r="X1319" s="42" t="str">
        <f ca="1"/>
        <v>ON-TMT Garage-00011900+7-6281293111178</v>
      </c>
      <c r="Y1319" s="40" t="s">
        <v>62</v>
      </c>
      <c r="Z1319" s="40" t="s">
        <v>294</v>
      </c>
      <c r="AA1319" s="23" t="str">
        <v>https://wa.me/6281293111178</v>
      </c>
      <c r="AB1319" s="28" t="s">
        <v>7269</v>
      </c>
      <c r="AC1319" s="28"/>
      <c r="AD1319" s="28" t="s">
        <v>690</v>
      </c>
      <c r="AE1319" s="28"/>
      <c r="AF1319" s="29"/>
      <c r="AG1319" s="29"/>
    </row>
    <row r="1320" spans="1:33" ht="15.75" customHeight="1">
      <c r="A1320" s="32" t="s">
        <v>52</v>
      </c>
      <c r="B1320" s="33">
        <v>1342</v>
      </c>
      <c r="C1320" s="34" t="s">
        <v>7270</v>
      </c>
      <c r="D1320" s="35">
        <v>45959.446781851853</v>
      </c>
      <c r="E1320" s="43">
        <v>45935</v>
      </c>
      <c r="F1320" s="32" t="s">
        <v>4957</v>
      </c>
      <c r="G1320" s="32" t="s">
        <v>4958</v>
      </c>
      <c r="H1320" s="32" t="s">
        <v>2370</v>
      </c>
      <c r="I1320" s="36" t="s">
        <v>4963</v>
      </c>
      <c r="J1320" s="52"/>
      <c r="K1320" s="32" t="s">
        <v>4960</v>
      </c>
      <c r="L1320" s="32" t="s">
        <v>4961</v>
      </c>
      <c r="M1320" s="32" t="s">
        <v>60</v>
      </c>
      <c r="N1320" s="33">
        <v>5</v>
      </c>
      <c r="O1320" s="35"/>
      <c r="P1320" s="35"/>
      <c r="Q1320" s="37"/>
      <c r="R1320" s="38"/>
      <c r="S1320" s="33"/>
      <c r="T1320" s="39">
        <v>197000</v>
      </c>
      <c r="U1320" s="40" t="s">
        <v>61</v>
      </c>
      <c r="V1320" s="41"/>
      <c r="W1320" s="42" t="str">
        <f ca="1">IFERROR(__xludf.DUMMYFUNCTION("""COMPUTED_VALUE"""),"Sehat Holistik")</f>
        <v>Sehat Holistik</v>
      </c>
      <c r="X1320" s="42" t="str">
        <f ca="1"/>
        <v>ON-Sehat Holistik-00011900+5-6287888330007</v>
      </c>
      <c r="Y1320" s="40"/>
      <c r="Z1320" s="40"/>
      <c r="AA1320" s="23" t="str">
        <v>https://wa.me/6287888330007</v>
      </c>
      <c r="AB1320" s="28"/>
      <c r="AC1320" s="28"/>
      <c r="AD1320" s="28"/>
      <c r="AE1320" s="28"/>
      <c r="AF1320" s="29"/>
      <c r="AG1320" s="29"/>
    </row>
    <row r="1321" spans="1:33" ht="15.75" customHeight="1">
      <c r="A1321" s="32" t="s">
        <v>196</v>
      </c>
      <c r="B1321" s="33">
        <v>1347</v>
      </c>
      <c r="C1321" s="34" t="s">
        <v>7271</v>
      </c>
      <c r="D1321" s="35">
        <v>45959.685056956019</v>
      </c>
      <c r="E1321" s="43">
        <v>45959</v>
      </c>
      <c r="F1321" s="32" t="s">
        <v>7272</v>
      </c>
      <c r="G1321" s="32" t="s">
        <v>7273</v>
      </c>
      <c r="H1321" s="32" t="s">
        <v>7274</v>
      </c>
      <c r="I1321" s="36" t="s">
        <v>7275</v>
      </c>
      <c r="J1321" s="52" t="s">
        <v>7276</v>
      </c>
      <c r="K1321" s="32" t="s">
        <v>7277</v>
      </c>
      <c r="L1321" s="32" t="s">
        <v>1533</v>
      </c>
      <c r="M1321" s="32" t="s">
        <v>800</v>
      </c>
      <c r="N1321" s="33">
        <v>5</v>
      </c>
      <c r="O1321" s="35">
        <v>45962</v>
      </c>
      <c r="P1321" s="35">
        <v>45966</v>
      </c>
      <c r="Q1321" s="37"/>
      <c r="R1321" s="38"/>
      <c r="S1321" s="33"/>
      <c r="T1321" s="39">
        <v>197000</v>
      </c>
      <c r="U1321" s="40" t="s">
        <v>115</v>
      </c>
      <c r="V1321" s="41"/>
      <c r="W1321" s="42" t="str">
        <f ca="1">IFERROR(__xludf.DUMMYFUNCTION("""COMPUTED_VALUE"""),"Barokah Tehnik")</f>
        <v>Barokah Tehnik</v>
      </c>
      <c r="X1321" s="42" t="str">
        <f ca="1"/>
        <v>ON-Barokah Tehnik-00011900+5-628990666173</v>
      </c>
      <c r="Y1321" s="40" t="s">
        <v>62</v>
      </c>
      <c r="Z1321" s="40" t="s">
        <v>1465</v>
      </c>
      <c r="AA1321" s="23" t="str">
        <v>https://wa.me/628990666173</v>
      </c>
      <c r="AB1321" s="28" t="s">
        <v>7278</v>
      </c>
      <c r="AC1321" s="28"/>
      <c r="AD1321" s="28" t="s">
        <v>690</v>
      </c>
      <c r="AE1321" s="28"/>
      <c r="AF1321" s="29"/>
      <c r="AG1321" s="29"/>
    </row>
    <row r="1322" spans="1:33" ht="15.75" customHeight="1">
      <c r="A1322" s="32" t="s">
        <v>621</v>
      </c>
      <c r="B1322" s="33">
        <v>1346</v>
      </c>
      <c r="C1322" s="34" t="s">
        <v>7279</v>
      </c>
      <c r="D1322" s="35">
        <v>45959.657423055556</v>
      </c>
      <c r="E1322" s="43">
        <v>45952</v>
      </c>
      <c r="F1322" s="32" t="s">
        <v>6930</v>
      </c>
      <c r="G1322" s="32" t="s">
        <v>6931</v>
      </c>
      <c r="H1322" s="32" t="s">
        <v>6932</v>
      </c>
      <c r="I1322" s="36" t="s">
        <v>7280</v>
      </c>
      <c r="J1322" s="52"/>
      <c r="K1322" s="32" t="s">
        <v>6934</v>
      </c>
      <c r="L1322" s="32" t="s">
        <v>2468</v>
      </c>
      <c r="M1322" s="32" t="s">
        <v>60</v>
      </c>
      <c r="N1322" s="33">
        <v>5</v>
      </c>
      <c r="O1322" s="35"/>
      <c r="P1322" s="35"/>
      <c r="Q1322" s="37"/>
      <c r="R1322" s="38"/>
      <c r="S1322" s="33"/>
      <c r="T1322" s="39">
        <v>197000</v>
      </c>
      <c r="U1322" s="40" t="s">
        <v>61</v>
      </c>
      <c r="V1322" s="41"/>
      <c r="W1322" s="42" t="str">
        <f ca="1">IFERROR(__xludf.DUMMYFUNCTION("""COMPUTED_VALUE"""),"Sultan Aquarium")</f>
        <v>Sultan Aquarium</v>
      </c>
      <c r="X1322" s="42" t="str">
        <f ca="1"/>
        <v>ON-Sultan Aquarium-00011900+5-6285285589041</v>
      </c>
      <c r="Y1322" s="40"/>
      <c r="Z1322" s="40"/>
      <c r="AA1322" s="23" t="str">
        <v>https://wa.me/6285285589041</v>
      </c>
      <c r="AB1322" s="28"/>
      <c r="AC1322" s="28"/>
      <c r="AD1322" s="28"/>
      <c r="AE1322" s="28"/>
      <c r="AF1322" s="29"/>
      <c r="AG1322" s="29"/>
    </row>
    <row r="1323" spans="1:33" ht="15.75" customHeight="1">
      <c r="A1323" s="32" t="s">
        <v>196</v>
      </c>
      <c r="B1323" s="33">
        <v>1348</v>
      </c>
      <c r="C1323" s="34" t="s">
        <v>7281</v>
      </c>
      <c r="D1323" s="35">
        <v>45959.685713206018</v>
      </c>
      <c r="E1323" s="43">
        <v>45959</v>
      </c>
      <c r="F1323" s="32" t="s">
        <v>7282</v>
      </c>
      <c r="G1323" s="32" t="s">
        <v>7283</v>
      </c>
      <c r="H1323" s="32" t="s">
        <v>7284</v>
      </c>
      <c r="I1323" s="36" t="s">
        <v>7285</v>
      </c>
      <c r="J1323" s="52"/>
      <c r="K1323" s="32" t="s">
        <v>570</v>
      </c>
      <c r="L1323" s="32" t="s">
        <v>2780</v>
      </c>
      <c r="M1323" s="32" t="s">
        <v>60</v>
      </c>
      <c r="N1323" s="33">
        <v>10</v>
      </c>
      <c r="O1323" s="35">
        <v>45962</v>
      </c>
      <c r="P1323" s="35">
        <v>45971</v>
      </c>
      <c r="Q1323" s="37"/>
      <c r="R1323" s="38"/>
      <c r="S1323" s="33"/>
      <c r="T1323" s="39">
        <v>375000</v>
      </c>
      <c r="U1323" s="40" t="s">
        <v>61</v>
      </c>
      <c r="V1323" s="41"/>
      <c r="W1323" s="42" t="str">
        <f ca="1">IFERROR(__xludf.DUMMYFUNCTION("""COMPUTED_VALUE"""),"Raja Daging")</f>
        <v>Raja Daging</v>
      </c>
      <c r="X1323" s="42" t="str">
        <f ca="1"/>
        <v>ON-Raja Daging-00011900+10-6281223331880</v>
      </c>
      <c r="Y1323" s="40" t="s">
        <v>62</v>
      </c>
      <c r="Z1323" s="40" t="s">
        <v>1861</v>
      </c>
      <c r="AA1323" s="23" t="str">
        <v>https://wa.me/6281223331880</v>
      </c>
      <c r="AB1323" s="28" t="s">
        <v>7286</v>
      </c>
      <c r="AC1323" s="28"/>
      <c r="AD1323" s="28" t="s">
        <v>690</v>
      </c>
      <c r="AE1323" s="28"/>
      <c r="AF1323" s="29"/>
      <c r="AG1323" s="29"/>
    </row>
    <row r="1324" spans="1:33" ht="15.75" customHeight="1">
      <c r="A1324" s="32" t="s">
        <v>196</v>
      </c>
      <c r="B1324" s="33">
        <v>1343</v>
      </c>
      <c r="C1324" s="34" t="s">
        <v>7255</v>
      </c>
      <c r="D1324" s="35">
        <v>45981</v>
      </c>
      <c r="E1324" s="43">
        <v>45959</v>
      </c>
      <c r="F1324" s="32" t="s">
        <v>7287</v>
      </c>
      <c r="G1324" s="54" t="s">
        <v>7288</v>
      </c>
      <c r="H1324" s="32" t="s">
        <v>7289</v>
      </c>
      <c r="I1324" s="36" t="s">
        <v>7290</v>
      </c>
      <c r="J1324" s="52"/>
      <c r="K1324" s="32" t="s">
        <v>7291</v>
      </c>
      <c r="L1324" s="32" t="s">
        <v>382</v>
      </c>
      <c r="M1324" s="32" t="s">
        <v>249</v>
      </c>
      <c r="N1324" s="33">
        <v>10</v>
      </c>
      <c r="O1324" s="35">
        <v>45962</v>
      </c>
      <c r="P1324" s="35"/>
      <c r="Q1324" s="37"/>
      <c r="R1324" s="38">
        <v>-1003470351325</v>
      </c>
      <c r="S1324" s="33"/>
      <c r="T1324" s="39">
        <v>375000</v>
      </c>
      <c r="U1324" s="40" t="s">
        <v>1774</v>
      </c>
      <c r="V1324" s="47">
        <v>45981.754104953703</v>
      </c>
      <c r="W1324" s="55" t="str">
        <f ca="1">IFERROR(__xludf.DUMMYFUNCTION("""COMPUTED_VALUE"""),"Villa.Puncak.com")</f>
        <v>Villa.Puncak.com</v>
      </c>
      <c r="X1324" s="42" t="str">
        <f ca="1"/>
        <v>ON-Villa.Puncak.com-20112025+10-6281296671835</v>
      </c>
      <c r="Y1324" s="40" t="s">
        <v>293</v>
      </c>
      <c r="Z1324" s="40" t="s">
        <v>1057</v>
      </c>
      <c r="AA1324" s="23" t="str">
        <v>https://wa.me/6281296671835</v>
      </c>
      <c r="AB1324" s="28" t="s">
        <v>7292</v>
      </c>
      <c r="AC1324" s="28"/>
      <c r="AD1324" s="28" t="s">
        <v>690</v>
      </c>
      <c r="AE1324" s="28"/>
      <c r="AF1324" s="29"/>
      <c r="AG1324" s="29"/>
    </row>
    <row r="1325" spans="1:33" ht="15.75" customHeight="1">
      <c r="A1325" s="32" t="s">
        <v>196</v>
      </c>
      <c r="B1325" s="33">
        <v>1349</v>
      </c>
      <c r="C1325" s="34" t="s">
        <v>7293</v>
      </c>
      <c r="D1325" s="35">
        <v>45959.714290173608</v>
      </c>
      <c r="E1325" s="43">
        <v>45952</v>
      </c>
      <c r="F1325" s="32" t="s">
        <v>6930</v>
      </c>
      <c r="G1325" s="32" t="s">
        <v>7294</v>
      </c>
      <c r="H1325" s="32" t="s">
        <v>6932</v>
      </c>
      <c r="I1325" s="36" t="s">
        <v>7280</v>
      </c>
      <c r="J1325" s="52"/>
      <c r="K1325" s="32" t="s">
        <v>6934</v>
      </c>
      <c r="L1325" s="32" t="s">
        <v>2468</v>
      </c>
      <c r="M1325" s="32" t="s">
        <v>60</v>
      </c>
      <c r="N1325" s="33">
        <v>5</v>
      </c>
      <c r="O1325" s="35">
        <v>45960</v>
      </c>
      <c r="P1325" s="35">
        <v>45964</v>
      </c>
      <c r="Q1325" s="37"/>
      <c r="R1325" s="38"/>
      <c r="S1325" s="33"/>
      <c r="T1325" s="39">
        <v>197000</v>
      </c>
      <c r="U1325" s="40" t="s">
        <v>61</v>
      </c>
      <c r="V1325" s="41"/>
      <c r="W1325" s="42" t="str">
        <f ca="1">IFERROR(__xludf.DUMMYFUNCTION("""COMPUTED_VALUE"""),"Sultan Aquarium")</f>
        <v>Sultan Aquarium</v>
      </c>
      <c r="X1325" s="42" t="str">
        <f ca="1"/>
        <v>ON-Sultan Aquarium-00011900+5-6285285589041</v>
      </c>
      <c r="Y1325" s="40" t="s">
        <v>293</v>
      </c>
      <c r="Z1325" s="40" t="s">
        <v>1057</v>
      </c>
      <c r="AA1325" s="23" t="str">
        <v>https://wa.me/6285285589041</v>
      </c>
      <c r="AB1325" s="28" t="s">
        <v>7295</v>
      </c>
      <c r="AD1325" s="28" t="s">
        <v>690</v>
      </c>
      <c r="AE1325" s="28"/>
      <c r="AF1325" s="29"/>
      <c r="AG1325" s="29"/>
    </row>
    <row r="1326" spans="1:33" ht="15.75" customHeight="1">
      <c r="A1326" s="32" t="s">
        <v>196</v>
      </c>
      <c r="B1326" s="33">
        <v>1352</v>
      </c>
      <c r="C1326" s="34" t="s">
        <v>7296</v>
      </c>
      <c r="D1326" s="35">
        <v>45959.746128634259</v>
      </c>
      <c r="E1326" s="43">
        <v>45959</v>
      </c>
      <c r="F1326" s="32" t="s">
        <v>7297</v>
      </c>
      <c r="G1326" s="32" t="s">
        <v>2136</v>
      </c>
      <c r="H1326" s="32" t="s">
        <v>2137</v>
      </c>
      <c r="I1326" s="36" t="s">
        <v>7298</v>
      </c>
      <c r="J1326" s="52"/>
      <c r="K1326" s="32" t="s">
        <v>2139</v>
      </c>
      <c r="L1326" s="32" t="s">
        <v>99</v>
      </c>
      <c r="M1326" s="32" t="s">
        <v>205</v>
      </c>
      <c r="N1326" s="33">
        <v>5</v>
      </c>
      <c r="O1326" s="35">
        <v>45963</v>
      </c>
      <c r="P1326" s="35">
        <v>45967</v>
      </c>
      <c r="Q1326" s="37"/>
      <c r="R1326" s="38"/>
      <c r="S1326" s="33"/>
      <c r="T1326" s="39">
        <v>197000</v>
      </c>
      <c r="U1326" s="40" t="s">
        <v>61</v>
      </c>
      <c r="V1326" s="41"/>
      <c r="W1326" s="42" t="str">
        <f ca="1">IFERROR(__xludf.DUMMYFUNCTION("""COMPUTED_VALUE"""),"Pijat Sehat")</f>
        <v>Pijat Sehat</v>
      </c>
      <c r="X1326" s="42" t="str">
        <f ca="1"/>
        <v>ON-Pijat Sehat-00011900+5-6285839388829</v>
      </c>
      <c r="Y1326" s="40" t="s">
        <v>62</v>
      </c>
      <c r="Z1326" s="40" t="s">
        <v>639</v>
      </c>
      <c r="AA1326" s="23" t="str">
        <v>https://wa.me/6285839388829</v>
      </c>
      <c r="AB1326" s="28" t="s">
        <v>7299</v>
      </c>
      <c r="AC1326" s="28"/>
      <c r="AD1326" s="28" t="s">
        <v>690</v>
      </c>
      <c r="AE1326" s="28"/>
      <c r="AF1326" s="29"/>
      <c r="AG1326" s="29"/>
    </row>
    <row r="1327" spans="1:33" ht="15.75" customHeight="1">
      <c r="A1327" s="32" t="s">
        <v>52</v>
      </c>
      <c r="B1327" s="33">
        <v>1351</v>
      </c>
      <c r="C1327" s="34" t="s">
        <v>7300</v>
      </c>
      <c r="D1327" s="35">
        <v>45959.741421342595</v>
      </c>
      <c r="E1327" s="43">
        <v>45959</v>
      </c>
      <c r="F1327" s="32" t="s">
        <v>5534</v>
      </c>
      <c r="G1327" s="32" t="s">
        <v>5535</v>
      </c>
      <c r="H1327" s="32" t="s">
        <v>5536</v>
      </c>
      <c r="I1327" s="36" t="s">
        <v>5537</v>
      </c>
      <c r="J1327" s="52"/>
      <c r="K1327" s="32" t="s">
        <v>5709</v>
      </c>
      <c r="L1327" s="32" t="s">
        <v>1008</v>
      </c>
      <c r="M1327" s="32" t="s">
        <v>60</v>
      </c>
      <c r="N1327" s="33">
        <v>7</v>
      </c>
      <c r="O1327" s="35"/>
      <c r="P1327" s="35"/>
      <c r="Q1327" s="37"/>
      <c r="R1327" s="38"/>
      <c r="S1327" s="33"/>
      <c r="T1327" s="39">
        <v>297000</v>
      </c>
      <c r="U1327" s="40" t="s">
        <v>61</v>
      </c>
      <c r="V1327" s="41"/>
      <c r="W1327" s="42" t="str">
        <f ca="1">IFERROR(__xludf.DUMMYFUNCTION("""COMPUTED_VALUE"""),"Rumah Sehat")</f>
        <v>Rumah Sehat</v>
      </c>
      <c r="X1327" s="42" t="str">
        <f ca="1"/>
        <v>ON-Rumah Sehat-00011900+7-6281316122975</v>
      </c>
      <c r="Y1327" s="40"/>
      <c r="Z1327" s="40"/>
      <c r="AA1327" s="23" t="str">
        <v>https://wa.me/6281316122975</v>
      </c>
      <c r="AB1327" s="28"/>
      <c r="AC1327" s="28"/>
      <c r="AD1327" s="28"/>
      <c r="AE1327" s="28"/>
      <c r="AF1327" s="29"/>
      <c r="AG1327" s="29"/>
    </row>
    <row r="1328" spans="1:33" ht="15.75" customHeight="1">
      <c r="A1328" s="32" t="s">
        <v>196</v>
      </c>
      <c r="B1328" s="33">
        <v>1362</v>
      </c>
      <c r="C1328" s="34" t="s">
        <v>7301</v>
      </c>
      <c r="D1328" s="35">
        <v>45960.578971909723</v>
      </c>
      <c r="E1328" s="43">
        <v>45960</v>
      </c>
      <c r="F1328" s="32" t="s">
        <v>7302</v>
      </c>
      <c r="G1328" s="32" t="s">
        <v>7303</v>
      </c>
      <c r="H1328" s="32" t="s">
        <v>7304</v>
      </c>
      <c r="I1328" s="36" t="s">
        <v>7305</v>
      </c>
      <c r="J1328" s="52" t="s">
        <v>7306</v>
      </c>
      <c r="K1328" s="32" t="s">
        <v>7307</v>
      </c>
      <c r="L1328" s="32" t="s">
        <v>7308</v>
      </c>
      <c r="M1328" s="32" t="s">
        <v>1605</v>
      </c>
      <c r="N1328" s="33">
        <v>5</v>
      </c>
      <c r="O1328" s="35">
        <v>45963</v>
      </c>
      <c r="P1328" s="35">
        <v>45967</v>
      </c>
      <c r="Q1328" s="37"/>
      <c r="R1328" s="38"/>
      <c r="S1328" s="33"/>
      <c r="T1328" s="39">
        <v>197000</v>
      </c>
      <c r="U1328" s="40" t="s">
        <v>61</v>
      </c>
      <c r="V1328" s="41"/>
      <c r="W1328" s="42" t="str">
        <f ca="1">IFERROR(__xludf.DUMMYFUNCTION("""COMPUTED_VALUE"""),"NiarBeauty Store")</f>
        <v>NiarBeauty Store</v>
      </c>
      <c r="X1328" s="42" t="str">
        <f ca="1"/>
        <v>ON-NiarBeauty Store-00011900+5-6285817484675</v>
      </c>
      <c r="Y1328" s="40" t="s">
        <v>62</v>
      </c>
      <c r="Z1328" s="40" t="s">
        <v>1861</v>
      </c>
      <c r="AA1328" s="23" t="str">
        <v>https://wa.me/6285817484675</v>
      </c>
      <c r="AB1328" s="28" t="s">
        <v>7309</v>
      </c>
      <c r="AC1328" s="28"/>
      <c r="AD1328" s="28" t="s">
        <v>690</v>
      </c>
      <c r="AE1328" s="28"/>
      <c r="AF1328" s="29"/>
      <c r="AG1328" s="29"/>
    </row>
    <row r="1329" spans="1:33" ht="15.75" customHeight="1">
      <c r="A1329" s="32" t="s">
        <v>196</v>
      </c>
      <c r="B1329" s="33">
        <v>1364</v>
      </c>
      <c r="C1329" s="34" t="s">
        <v>7310</v>
      </c>
      <c r="D1329" s="35">
        <v>45960.591755891204</v>
      </c>
      <c r="E1329" s="43">
        <v>45960</v>
      </c>
      <c r="F1329" s="32" t="s">
        <v>7311</v>
      </c>
      <c r="G1329" s="32" t="s">
        <v>7312</v>
      </c>
      <c r="H1329" s="32" t="s">
        <v>1030</v>
      </c>
      <c r="I1329" s="36" t="s">
        <v>7313</v>
      </c>
      <c r="J1329" s="52"/>
      <c r="K1329" s="32" t="s">
        <v>7314</v>
      </c>
      <c r="L1329" s="32" t="s">
        <v>92</v>
      </c>
      <c r="M1329" s="32" t="s">
        <v>60</v>
      </c>
      <c r="N1329" s="33">
        <v>5</v>
      </c>
      <c r="O1329" s="35">
        <v>45963</v>
      </c>
      <c r="P1329" s="35">
        <v>45967</v>
      </c>
      <c r="Q1329" s="37"/>
      <c r="R1329" s="38"/>
      <c r="S1329" s="33"/>
      <c r="T1329" s="39">
        <v>197000</v>
      </c>
      <c r="U1329" s="40" t="s">
        <v>61</v>
      </c>
      <c r="V1329" s="41"/>
      <c r="W1329" s="42" t="str">
        <f ca="1">IFERROR(__xludf.DUMMYFUNCTION("""COMPUTED_VALUE"""),"Pijat Trapis")</f>
        <v>Pijat Trapis</v>
      </c>
      <c r="X1329" s="42" t="str">
        <f ca="1"/>
        <v>ON-Pijat Trapis-00011900+5-6285189067481</v>
      </c>
      <c r="Y1329" s="40" t="s">
        <v>62</v>
      </c>
      <c r="Z1329" s="40" t="s">
        <v>639</v>
      </c>
      <c r="AA1329" s="23" t="str">
        <v>https://wa.me/6285189067481</v>
      </c>
      <c r="AB1329" s="28" t="s">
        <v>7315</v>
      </c>
      <c r="AC1329" s="28"/>
      <c r="AD1329" s="28" t="s">
        <v>690</v>
      </c>
      <c r="AE1329" s="28"/>
      <c r="AF1329" s="29"/>
      <c r="AG1329" s="29"/>
    </row>
    <row r="1330" spans="1:33" ht="15.75" customHeight="1">
      <c r="A1330" s="32" t="s">
        <v>52</v>
      </c>
      <c r="B1330" s="33">
        <v>1353</v>
      </c>
      <c r="C1330" s="34" t="s">
        <v>7316</v>
      </c>
      <c r="D1330" s="35">
        <v>45960.420280416671</v>
      </c>
      <c r="E1330" s="43">
        <v>45955</v>
      </c>
      <c r="F1330" s="32" t="s">
        <v>1222</v>
      </c>
      <c r="G1330" s="32" t="s">
        <v>1223</v>
      </c>
      <c r="H1330" s="32" t="s">
        <v>1224</v>
      </c>
      <c r="I1330" s="36" t="s">
        <v>1225</v>
      </c>
      <c r="J1330" s="52" t="s">
        <v>1226</v>
      </c>
      <c r="K1330" s="32" t="s">
        <v>570</v>
      </c>
      <c r="L1330" s="32" t="s">
        <v>1228</v>
      </c>
      <c r="M1330" s="32" t="s">
        <v>800</v>
      </c>
      <c r="N1330" s="33">
        <v>5</v>
      </c>
      <c r="O1330" s="35"/>
      <c r="P1330" s="35"/>
      <c r="Q1330" s="37"/>
      <c r="R1330" s="38"/>
      <c r="S1330" s="33"/>
      <c r="T1330" s="39">
        <v>197000</v>
      </c>
      <c r="U1330" s="40" t="s">
        <v>1229</v>
      </c>
      <c r="V1330" s="41"/>
      <c r="W1330" s="42" t="str">
        <f ca="1">IFERROR(__xludf.DUMMYFUNCTION("""COMPUTED_VALUE"""),"Qui Panel")</f>
        <v>Qui Panel</v>
      </c>
      <c r="X1330" s="42" t="str">
        <f ca="1"/>
        <v>ON-Qui Panel-00011900+5-6285715856120</v>
      </c>
      <c r="Y1330" s="40"/>
      <c r="Z1330" s="40"/>
      <c r="AA1330" s="23" t="str">
        <v>https://wa.me/6285715856120</v>
      </c>
      <c r="AB1330" s="28"/>
      <c r="AC1330" s="28"/>
      <c r="AD1330" s="28"/>
      <c r="AE1330" s="28"/>
      <c r="AF1330" s="29"/>
      <c r="AG1330" s="29"/>
    </row>
    <row r="1331" spans="1:33" ht="15.75" customHeight="1">
      <c r="A1331" s="32" t="s">
        <v>52</v>
      </c>
      <c r="B1331" s="33">
        <v>1354</v>
      </c>
      <c r="C1331" s="34" t="s">
        <v>7317</v>
      </c>
      <c r="D1331" s="35">
        <v>45960.420879467594</v>
      </c>
      <c r="E1331" s="43">
        <v>45952</v>
      </c>
      <c r="F1331" s="32" t="s">
        <v>428</v>
      </c>
      <c r="G1331" s="32" t="s">
        <v>6431</v>
      </c>
      <c r="H1331" s="32" t="s">
        <v>200</v>
      </c>
      <c r="I1331" s="36" t="s">
        <v>431</v>
      </c>
      <c r="J1331" s="52"/>
      <c r="K1331" s="32" t="s">
        <v>6432</v>
      </c>
      <c r="L1331" s="32" t="s">
        <v>3012</v>
      </c>
      <c r="M1331" s="32" t="s">
        <v>711</v>
      </c>
      <c r="N1331" s="33">
        <v>10</v>
      </c>
      <c r="O1331" s="35"/>
      <c r="P1331" s="35"/>
      <c r="Q1331" s="37"/>
      <c r="R1331" s="38"/>
      <c r="S1331" s="33"/>
      <c r="T1331" s="39">
        <v>375000</v>
      </c>
      <c r="U1331" s="40" t="s">
        <v>1229</v>
      </c>
      <c r="V1331" s="41"/>
      <c r="W1331" s="42" t="str">
        <f ca="1">IFERROR(__xludf.DUMMYFUNCTION("""COMPUTED_VALUE"""),"Abata Karya")</f>
        <v>Abata Karya</v>
      </c>
      <c r="X1331" s="42" t="str">
        <f ca="1"/>
        <v>ON-Abata Karya-00011900+10-6282399006447</v>
      </c>
      <c r="Y1331" s="40"/>
      <c r="Z1331" s="40"/>
      <c r="AA1331" s="23" t="str">
        <v>https://wa.me/6282399006447</v>
      </c>
      <c r="AB1331" s="28"/>
      <c r="AC1331" s="28"/>
      <c r="AD1331" s="28"/>
      <c r="AE1331" s="28"/>
      <c r="AF1331" s="29"/>
      <c r="AG1331" s="29"/>
    </row>
    <row r="1332" spans="1:33" ht="15.75" customHeight="1">
      <c r="A1332" s="32" t="s">
        <v>52</v>
      </c>
      <c r="B1332" s="33">
        <v>1355</v>
      </c>
      <c r="C1332" s="34" t="s">
        <v>7318</v>
      </c>
      <c r="D1332" s="35">
        <v>45960.421408217589</v>
      </c>
      <c r="E1332" s="43">
        <v>45951</v>
      </c>
      <c r="F1332" s="32" t="s">
        <v>3228</v>
      </c>
      <c r="G1332" s="32" t="s">
        <v>3229</v>
      </c>
      <c r="H1332" s="32" t="s">
        <v>3230</v>
      </c>
      <c r="I1332" s="36" t="s">
        <v>3231</v>
      </c>
      <c r="J1332" s="52"/>
      <c r="K1332" s="32" t="s">
        <v>3232</v>
      </c>
      <c r="L1332" s="32" t="s">
        <v>1365</v>
      </c>
      <c r="M1332" s="32" t="s">
        <v>285</v>
      </c>
      <c r="N1332" s="33">
        <v>5</v>
      </c>
      <c r="O1332" s="35"/>
      <c r="P1332" s="35"/>
      <c r="Q1332" s="37"/>
      <c r="R1332" s="38"/>
      <c r="S1332" s="33"/>
      <c r="T1332" s="39">
        <v>197000</v>
      </c>
      <c r="U1332" s="40" t="s">
        <v>1229</v>
      </c>
      <c r="V1332" s="41"/>
      <c r="W1332" s="42" t="str">
        <f ca="1">IFERROR(__xludf.DUMMYFUNCTION("""COMPUTED_VALUE"""),"Therapy pijat")</f>
        <v>Therapy pijat</v>
      </c>
      <c r="X1332" s="42" t="str">
        <f ca="1"/>
        <v>ON-Therapy pijat-00011900+5-6287865111033</v>
      </c>
      <c r="Y1332" s="40"/>
      <c r="Z1332" s="40"/>
      <c r="AA1332" s="23" t="str">
        <v>https://wa.me/6287865111033</v>
      </c>
      <c r="AB1332" s="28"/>
      <c r="AC1332" s="28"/>
      <c r="AD1332" s="28"/>
      <c r="AE1332" s="28"/>
      <c r="AF1332" s="29"/>
      <c r="AG1332" s="29"/>
    </row>
    <row r="1333" spans="1:33" ht="15.75" customHeight="1">
      <c r="A1333" s="32" t="s">
        <v>52</v>
      </c>
      <c r="B1333" s="33">
        <v>1356</v>
      </c>
      <c r="C1333" s="34" t="s">
        <v>7319</v>
      </c>
      <c r="D1333" s="35">
        <v>45960.457490925925</v>
      </c>
      <c r="E1333" s="43">
        <v>45960</v>
      </c>
      <c r="F1333" s="32" t="s">
        <v>642</v>
      </c>
      <c r="G1333" s="32" t="s">
        <v>643</v>
      </c>
      <c r="H1333" s="32" t="s">
        <v>644</v>
      </c>
      <c r="I1333" s="36" t="s">
        <v>645</v>
      </c>
      <c r="J1333" s="52" t="s">
        <v>1457</v>
      </c>
      <c r="K1333" s="32" t="s">
        <v>646</v>
      </c>
      <c r="L1333" s="32" t="s">
        <v>647</v>
      </c>
      <c r="M1333" s="32" t="s">
        <v>382</v>
      </c>
      <c r="N1333" s="33">
        <v>14</v>
      </c>
      <c r="O1333" s="35"/>
      <c r="P1333" s="35"/>
      <c r="Q1333" s="37"/>
      <c r="R1333" s="38"/>
      <c r="S1333" s="33"/>
      <c r="T1333" s="39">
        <v>550000</v>
      </c>
      <c r="U1333" s="40" t="s">
        <v>115</v>
      </c>
      <c r="V1333" s="41"/>
      <c r="W1333" s="42" t="str">
        <f ca="1">IFERROR(__xludf.DUMMYFUNCTION("""COMPUTED_VALUE"""),"CV Fajar")</f>
        <v>CV Fajar</v>
      </c>
      <c r="X1333" s="42" t="str">
        <f ca="1"/>
        <v>ON-CV Fajar-00011900+14-6281338789995</v>
      </c>
      <c r="Y1333" s="40"/>
      <c r="Z1333" s="40"/>
      <c r="AA1333" s="23" t="str">
        <v>https://wa.me/6281338789995</v>
      </c>
      <c r="AB1333" s="28"/>
      <c r="AC1333" s="28"/>
      <c r="AD1333" s="28"/>
      <c r="AE1333" s="28"/>
      <c r="AF1333" s="29"/>
      <c r="AG1333" s="29"/>
    </row>
    <row r="1334" spans="1:33" ht="15.75" customHeight="1">
      <c r="A1334" s="32" t="s">
        <v>52</v>
      </c>
      <c r="B1334" s="33">
        <v>1357</v>
      </c>
      <c r="C1334" s="34" t="s">
        <v>7320</v>
      </c>
      <c r="D1334" s="35">
        <v>45960.542563263887</v>
      </c>
      <c r="E1334" s="43">
        <v>45960</v>
      </c>
      <c r="F1334" s="32" t="s">
        <v>4930</v>
      </c>
      <c r="G1334" s="32" t="s">
        <v>6950</v>
      </c>
      <c r="H1334" s="32" t="s">
        <v>6951</v>
      </c>
      <c r="I1334" s="36" t="s">
        <v>6952</v>
      </c>
      <c r="J1334" s="52" t="s">
        <v>6953</v>
      </c>
      <c r="K1334" s="32" t="s">
        <v>1024</v>
      </c>
      <c r="L1334" s="32" t="s">
        <v>3302</v>
      </c>
      <c r="M1334" s="32" t="s">
        <v>249</v>
      </c>
      <c r="N1334" s="33">
        <v>5</v>
      </c>
      <c r="O1334" s="35"/>
      <c r="P1334" s="35"/>
      <c r="Q1334" s="37"/>
      <c r="R1334" s="38"/>
      <c r="S1334" s="33"/>
      <c r="T1334" s="39">
        <v>197000</v>
      </c>
      <c r="U1334" s="40" t="s">
        <v>1774</v>
      </c>
      <c r="V1334" s="41"/>
      <c r="W1334" s="42" t="str">
        <f ca="1">IFERROR(__xludf.DUMMYFUNCTION("""COMPUTED_VALUE"""),"Sahabat Tegar")</f>
        <v>Sahabat Tegar</v>
      </c>
      <c r="X1334" s="42" t="str">
        <f ca="1"/>
        <v>ON-Sahabat Tegar-00011900+5-6281369013633</v>
      </c>
      <c r="Y1334" s="40"/>
      <c r="Z1334" s="40"/>
      <c r="AA1334" s="23" t="str">
        <v>https://wa.me/6281369013633</v>
      </c>
      <c r="AB1334" s="28"/>
      <c r="AC1334" s="28"/>
      <c r="AD1334" s="28"/>
      <c r="AE1334" s="28"/>
      <c r="AF1334" s="29"/>
      <c r="AG1334" s="29"/>
    </row>
    <row r="1335" spans="1:33" ht="15.75" customHeight="1">
      <c r="A1335" s="32" t="s">
        <v>52</v>
      </c>
      <c r="B1335" s="33">
        <v>1358</v>
      </c>
      <c r="C1335" s="34" t="s">
        <v>7321</v>
      </c>
      <c r="D1335" s="35">
        <v>45960.550091921294</v>
      </c>
      <c r="E1335" s="43">
        <v>45960</v>
      </c>
      <c r="F1335" s="32" t="s">
        <v>7322</v>
      </c>
      <c r="G1335" s="32" t="s">
        <v>7323</v>
      </c>
      <c r="H1335" s="32" t="s">
        <v>7324</v>
      </c>
      <c r="I1335" s="36" t="s">
        <v>4290</v>
      </c>
      <c r="J1335" s="52"/>
      <c r="K1335" s="32" t="s">
        <v>7325</v>
      </c>
      <c r="L1335" s="32" t="s">
        <v>1704</v>
      </c>
      <c r="M1335" s="32" t="s">
        <v>3687</v>
      </c>
      <c r="N1335" s="33">
        <v>5</v>
      </c>
      <c r="O1335" s="35"/>
      <c r="P1335" s="35"/>
      <c r="Q1335" s="37"/>
      <c r="R1335" s="38"/>
      <c r="S1335" s="33"/>
      <c r="T1335" s="39">
        <v>197000</v>
      </c>
      <c r="U1335" s="40" t="s">
        <v>115</v>
      </c>
      <c r="V1335" s="41"/>
      <c r="W1335" s="42" t="str">
        <f ca="1">IFERROR(__xludf.DUMMYFUNCTION("""COMPUTED_VALUE"""),"Griya Sehat")</f>
        <v>Griya Sehat</v>
      </c>
      <c r="X1335" s="42" t="str">
        <f ca="1"/>
        <v>ON-Griya Sehat-00011900+5-6285255115894</v>
      </c>
      <c r="Y1335" s="40"/>
      <c r="Z1335" s="40"/>
      <c r="AA1335" s="23" t="str">
        <v>https://wa.me/6285255115894</v>
      </c>
      <c r="AB1335" s="28"/>
      <c r="AC1335" s="28"/>
      <c r="AD1335" s="28"/>
      <c r="AE1335" s="28"/>
      <c r="AF1335" s="29"/>
      <c r="AG1335" s="29"/>
    </row>
    <row r="1336" spans="1:33" ht="15.75" customHeight="1">
      <c r="A1336" s="32" t="s">
        <v>621</v>
      </c>
      <c r="B1336" s="33">
        <v>1360</v>
      </c>
      <c r="C1336" s="34" t="s">
        <v>7326</v>
      </c>
      <c r="D1336" s="35">
        <v>45960.573612465276</v>
      </c>
      <c r="E1336" s="43">
        <v>45953</v>
      </c>
      <c r="F1336" s="32" t="s">
        <v>6956</v>
      </c>
      <c r="G1336" s="32" t="s">
        <v>6957</v>
      </c>
      <c r="H1336" s="32" t="s">
        <v>6958</v>
      </c>
      <c r="I1336" s="36" t="s">
        <v>6959</v>
      </c>
      <c r="J1336" s="52"/>
      <c r="K1336" s="32" t="s">
        <v>6960</v>
      </c>
      <c r="L1336" s="32" t="s">
        <v>3750</v>
      </c>
      <c r="M1336" s="32" t="s">
        <v>285</v>
      </c>
      <c r="N1336" s="33">
        <v>12</v>
      </c>
      <c r="O1336" s="35"/>
      <c r="P1336" s="35"/>
      <c r="Q1336" s="37"/>
      <c r="R1336" s="38"/>
      <c r="S1336" s="33"/>
      <c r="T1336" s="39">
        <v>500000</v>
      </c>
      <c r="U1336" s="40" t="s">
        <v>1229</v>
      </c>
      <c r="V1336" s="41"/>
      <c r="W1336" s="42" t="str">
        <f ca="1">IFERROR(__xludf.DUMMYFUNCTION("""COMPUTED_VALUE"""),"Villa glamping")</f>
        <v>Villa glamping</v>
      </c>
      <c r="X1336" s="42" t="str">
        <f ca="1"/>
        <v>ON-Villa glamping-00011900+12-6285141091362</v>
      </c>
      <c r="Y1336" s="40"/>
      <c r="Z1336" s="40"/>
      <c r="AA1336" s="23" t="str">
        <v>https://wa.me/6285141091362</v>
      </c>
      <c r="AB1336" s="28"/>
      <c r="AC1336" s="28"/>
      <c r="AD1336" s="28"/>
      <c r="AE1336" s="28"/>
      <c r="AF1336" s="29"/>
      <c r="AG1336" s="29"/>
    </row>
    <row r="1337" spans="1:33" ht="15.75" customHeight="1">
      <c r="A1337" s="32" t="s">
        <v>621</v>
      </c>
      <c r="B1337" s="33">
        <v>1361</v>
      </c>
      <c r="C1337" s="34" t="s">
        <v>7327</v>
      </c>
      <c r="D1337" s="35">
        <v>45960.57421752315</v>
      </c>
      <c r="E1337" s="43">
        <v>45953</v>
      </c>
      <c r="F1337" s="32" t="s">
        <v>6956</v>
      </c>
      <c r="G1337" s="32" t="s">
        <v>6957</v>
      </c>
      <c r="H1337" s="32" t="s">
        <v>6958</v>
      </c>
      <c r="I1337" s="36" t="s">
        <v>6959</v>
      </c>
      <c r="J1337" s="52"/>
      <c r="K1337" s="32" t="s">
        <v>6960</v>
      </c>
      <c r="L1337" s="32" t="s">
        <v>3750</v>
      </c>
      <c r="M1337" s="32" t="s">
        <v>285</v>
      </c>
      <c r="N1337" s="33">
        <v>12</v>
      </c>
      <c r="O1337" s="35"/>
      <c r="P1337" s="35"/>
      <c r="Q1337" s="37"/>
      <c r="R1337" s="38"/>
      <c r="S1337" s="33"/>
      <c r="T1337" s="39">
        <v>500000</v>
      </c>
      <c r="U1337" s="40" t="s">
        <v>1229</v>
      </c>
      <c r="V1337" s="41"/>
      <c r="W1337" s="42" t="str">
        <f ca="1">IFERROR(__xludf.DUMMYFUNCTION("""COMPUTED_VALUE"""),"Villa glamping")</f>
        <v>Villa glamping</v>
      </c>
      <c r="X1337" s="42" t="str">
        <f ca="1"/>
        <v>ON-Villa glamping-00011900+12-6285141091362</v>
      </c>
      <c r="Y1337" s="40"/>
      <c r="Z1337" s="40"/>
      <c r="AA1337" s="23" t="str">
        <v>https://wa.me/6285141091362</v>
      </c>
      <c r="AB1337" s="28"/>
      <c r="AC1337" s="28"/>
      <c r="AD1337" s="28"/>
      <c r="AE1337" s="28"/>
      <c r="AF1337" s="29"/>
      <c r="AG1337" s="29"/>
    </row>
    <row r="1338" spans="1:33" ht="15.75" customHeight="1">
      <c r="A1338" s="32" t="s">
        <v>196</v>
      </c>
      <c r="B1338" s="33">
        <v>1365</v>
      </c>
      <c r="C1338" s="34" t="s">
        <v>7328</v>
      </c>
      <c r="D1338" s="35">
        <v>45960.592680057875</v>
      </c>
      <c r="E1338" s="43">
        <v>45960</v>
      </c>
      <c r="F1338" s="32" t="s">
        <v>7329</v>
      </c>
      <c r="G1338" s="32" t="s">
        <v>7330</v>
      </c>
      <c r="H1338" s="32" t="s">
        <v>1984</v>
      </c>
      <c r="I1338" s="36" t="s">
        <v>7331</v>
      </c>
      <c r="J1338" s="52"/>
      <c r="K1338" s="32" t="s">
        <v>7332</v>
      </c>
      <c r="L1338" s="32" t="s">
        <v>4374</v>
      </c>
      <c r="M1338" s="32" t="s">
        <v>60</v>
      </c>
      <c r="N1338" s="33">
        <v>5</v>
      </c>
      <c r="O1338" s="35">
        <v>45963</v>
      </c>
      <c r="P1338" s="35">
        <v>45968</v>
      </c>
      <c r="Q1338" s="37"/>
      <c r="R1338" s="38"/>
      <c r="S1338" s="33"/>
      <c r="T1338" s="39">
        <v>197000</v>
      </c>
      <c r="U1338" s="40" t="s">
        <v>61</v>
      </c>
      <c r="V1338" s="41"/>
      <c r="W1338" s="42" t="str">
        <f ca="1">IFERROR(__xludf.DUMMYFUNCTION("""COMPUTED_VALUE"""),"BIR'ALI TOUR")</f>
        <v>BIR'ALI TOUR</v>
      </c>
      <c r="X1338" s="42" t="str">
        <f ca="1"/>
        <v>ON-BIR'ALI TOUR-00011900+5-6287788161343</v>
      </c>
      <c r="Y1338" s="40" t="s">
        <v>62</v>
      </c>
      <c r="Z1338" s="40" t="s">
        <v>1880</v>
      </c>
      <c r="AA1338" s="23" t="str">
        <v>https://wa.me/6287788161343</v>
      </c>
      <c r="AB1338" s="28" t="s">
        <v>7333</v>
      </c>
      <c r="AC1338" s="28"/>
      <c r="AD1338" s="28" t="s">
        <v>690</v>
      </c>
      <c r="AE1338" s="28"/>
      <c r="AF1338" s="29"/>
      <c r="AG1338" s="29"/>
    </row>
    <row r="1339" spans="1:33" ht="15.75" customHeight="1">
      <c r="A1339" s="32" t="s">
        <v>52</v>
      </c>
      <c r="B1339" s="33">
        <v>1363</v>
      </c>
      <c r="C1339" s="34" t="s">
        <v>7334</v>
      </c>
      <c r="D1339" s="35">
        <v>45960.586295428242</v>
      </c>
      <c r="E1339" s="43">
        <v>45960</v>
      </c>
      <c r="F1339" s="32" t="s">
        <v>3998</v>
      </c>
      <c r="G1339" s="32" t="s">
        <v>3999</v>
      </c>
      <c r="H1339" s="32" t="s">
        <v>409</v>
      </c>
      <c r="I1339" s="36" t="s">
        <v>4000</v>
      </c>
      <c r="J1339" s="52"/>
      <c r="K1339" s="32" t="s">
        <v>4001</v>
      </c>
      <c r="L1339" s="32" t="s">
        <v>490</v>
      </c>
      <c r="M1339" s="32" t="s">
        <v>60</v>
      </c>
      <c r="N1339" s="33">
        <v>10</v>
      </c>
      <c r="O1339" s="35"/>
      <c r="P1339" s="35"/>
      <c r="Q1339" s="37"/>
      <c r="R1339" s="38"/>
      <c r="S1339" s="33"/>
      <c r="T1339" s="39">
        <v>375000</v>
      </c>
      <c r="U1339" s="40" t="s">
        <v>1229</v>
      </c>
      <c r="V1339" s="41"/>
      <c r="W1339" s="42" t="str">
        <f ca="1">IFERROR(__xludf.DUMMYFUNCTION("""COMPUTED_VALUE"""),"Sahabat Kontruksi")</f>
        <v>Sahabat Kontruksi</v>
      </c>
      <c r="X1339" s="42" t="str">
        <f ca="1"/>
        <v>ON-Sahabat Kontruksi-00011900+10-6281215552664</v>
      </c>
      <c r="Y1339" s="40"/>
      <c r="Z1339" s="40"/>
      <c r="AA1339" s="23" t="str">
        <v>https://wa.me/6281215552664</v>
      </c>
      <c r="AB1339" s="28"/>
      <c r="AC1339" s="28"/>
      <c r="AD1339" s="28"/>
      <c r="AE1339" s="28"/>
      <c r="AF1339" s="29"/>
      <c r="AG1339" s="29"/>
    </row>
    <row r="1340" spans="1:33" ht="15.75" customHeight="1">
      <c r="A1340" s="32" t="s">
        <v>196</v>
      </c>
      <c r="B1340" s="33">
        <v>1369</v>
      </c>
      <c r="C1340" s="34" t="s">
        <v>7335</v>
      </c>
      <c r="D1340" s="35">
        <v>45960.759432604165</v>
      </c>
      <c r="E1340" s="43">
        <v>45960</v>
      </c>
      <c r="F1340" s="32" t="s">
        <v>7336</v>
      </c>
      <c r="G1340" s="32" t="s">
        <v>7337</v>
      </c>
      <c r="H1340" s="32" t="s">
        <v>7338</v>
      </c>
      <c r="I1340" s="36" t="s">
        <v>7339</v>
      </c>
      <c r="J1340" s="52" t="s">
        <v>7340</v>
      </c>
      <c r="K1340" s="32" t="s">
        <v>1965</v>
      </c>
      <c r="L1340" s="32" t="s">
        <v>7341</v>
      </c>
      <c r="M1340" s="32" t="s">
        <v>285</v>
      </c>
      <c r="N1340" s="33">
        <v>5</v>
      </c>
      <c r="O1340" s="35">
        <v>45963</v>
      </c>
      <c r="P1340" s="35">
        <v>45967</v>
      </c>
      <c r="Q1340" s="37"/>
      <c r="R1340" s="38"/>
      <c r="S1340" s="33"/>
      <c r="T1340" s="39">
        <v>197000</v>
      </c>
      <c r="U1340" s="40" t="s">
        <v>1229</v>
      </c>
      <c r="V1340" s="41"/>
      <c r="W1340" s="42" t="str">
        <f ca="1">IFERROR(__xludf.DUMMYFUNCTION("""COMPUTED_VALUE"""),"Flyglow")</f>
        <v>Flyglow</v>
      </c>
      <c r="X1340" s="42" t="str">
        <f ca="1"/>
        <v>ON-Flyglow-00011900+5-6285754778814</v>
      </c>
      <c r="Y1340" s="40" t="s">
        <v>62</v>
      </c>
      <c r="Z1340" s="40" t="s">
        <v>1861</v>
      </c>
      <c r="AA1340" s="23" t="str">
        <v>https://wa.me/6285754778814</v>
      </c>
      <c r="AB1340" s="28" t="s">
        <v>7342</v>
      </c>
      <c r="AC1340" s="28"/>
      <c r="AD1340" s="28" t="s">
        <v>690</v>
      </c>
      <c r="AE1340" s="28"/>
      <c r="AF1340" s="29"/>
      <c r="AG1340" s="29"/>
    </row>
    <row r="1341" spans="1:33" ht="15.75" customHeight="1">
      <c r="A1341" s="32" t="s">
        <v>196</v>
      </c>
      <c r="B1341" s="33">
        <v>1370</v>
      </c>
      <c r="C1341" s="34" t="s">
        <v>7343</v>
      </c>
      <c r="D1341" s="35">
        <v>45960.84668613426</v>
      </c>
      <c r="E1341" s="43">
        <v>45960</v>
      </c>
      <c r="F1341" s="32" t="s">
        <v>2265</v>
      </c>
      <c r="G1341" s="32" t="s">
        <v>7344</v>
      </c>
      <c r="H1341" s="32" t="s">
        <v>7345</v>
      </c>
      <c r="I1341" s="36" t="s">
        <v>7346</v>
      </c>
      <c r="J1341" s="52" t="s">
        <v>7347</v>
      </c>
      <c r="K1341" s="32" t="s">
        <v>7348</v>
      </c>
      <c r="L1341" s="32" t="s">
        <v>92</v>
      </c>
      <c r="M1341" s="32" t="s">
        <v>60</v>
      </c>
      <c r="N1341" s="33">
        <v>5</v>
      </c>
      <c r="O1341" s="35">
        <v>45963</v>
      </c>
      <c r="P1341" s="35">
        <v>45967</v>
      </c>
      <c r="Q1341" s="37"/>
      <c r="R1341" s="38"/>
      <c r="S1341" s="33"/>
      <c r="T1341" s="39">
        <v>197000</v>
      </c>
      <c r="U1341" s="40" t="s">
        <v>61</v>
      </c>
      <c r="V1341" s="41"/>
      <c r="W1341" s="42" t="str">
        <f ca="1">IFERROR(__xludf.DUMMYFUNCTION("""COMPUTED_VALUE"""),"Villa Alibaba")</f>
        <v>Villa Alibaba</v>
      </c>
      <c r="X1341" s="42" t="str">
        <f ca="1"/>
        <v>ON-Villa Alibaba-00011900+5-6281235675956</v>
      </c>
      <c r="Y1341" s="40" t="s">
        <v>293</v>
      </c>
      <c r="Z1341" s="40" t="s">
        <v>1057</v>
      </c>
      <c r="AA1341" s="23" t="str">
        <v>https://wa.me/6281235675956</v>
      </c>
      <c r="AB1341" s="28" t="s">
        <v>7349</v>
      </c>
      <c r="AC1341" s="28"/>
      <c r="AD1341" s="28" t="s">
        <v>690</v>
      </c>
      <c r="AE1341" s="28"/>
      <c r="AF1341" s="29"/>
      <c r="AG1341" s="29"/>
    </row>
    <row r="1342" spans="1:33" ht="15.75" customHeight="1">
      <c r="A1342" s="32" t="s">
        <v>196</v>
      </c>
      <c r="B1342" s="33">
        <v>1366</v>
      </c>
      <c r="C1342" s="34" t="s">
        <v>7350</v>
      </c>
      <c r="D1342" s="43">
        <v>46024</v>
      </c>
      <c r="E1342" s="43">
        <v>45960</v>
      </c>
      <c r="F1342" s="32" t="s">
        <v>7351</v>
      </c>
      <c r="G1342" s="32" t="s">
        <v>7352</v>
      </c>
      <c r="H1342" s="32" t="s">
        <v>7353</v>
      </c>
      <c r="I1342" s="36" t="s">
        <v>7354</v>
      </c>
      <c r="J1342" s="52"/>
      <c r="K1342" s="32" t="s">
        <v>7355</v>
      </c>
      <c r="L1342" s="32" t="s">
        <v>7356</v>
      </c>
      <c r="M1342" s="32" t="s">
        <v>60</v>
      </c>
      <c r="N1342" s="33">
        <v>5</v>
      </c>
      <c r="O1342" s="35"/>
      <c r="P1342" s="35"/>
      <c r="Q1342" s="37"/>
      <c r="R1342" s="38">
        <v>-1003470351325</v>
      </c>
      <c r="S1342" s="33"/>
      <c r="T1342" s="39">
        <v>197000</v>
      </c>
      <c r="U1342" s="40" t="s">
        <v>61</v>
      </c>
      <c r="V1342" s="47">
        <v>46024.865699201386</v>
      </c>
      <c r="W1342" s="42" t="str">
        <f ca="1">IFERROR(__xludf.DUMMYFUNCTION("""COMPUTED_VALUE"""),"Samira Travel")</f>
        <v>Samira Travel</v>
      </c>
      <c r="X1342" s="42" t="str">
        <f ca="1"/>
        <v>ON-Samira Travel-02012026+5-6281216704496</v>
      </c>
      <c r="Y1342" s="40" t="s">
        <v>62</v>
      </c>
      <c r="Z1342" s="40" t="s">
        <v>1880</v>
      </c>
      <c r="AA1342" s="23" t="str">
        <v>https://wa.me/6281216704496</v>
      </c>
      <c r="AB1342" s="28" t="s">
        <v>7357</v>
      </c>
      <c r="AC1342" s="28"/>
      <c r="AD1342" s="28" t="s">
        <v>690</v>
      </c>
      <c r="AE1342" s="28"/>
      <c r="AF1342" s="29"/>
      <c r="AG1342" s="29"/>
    </row>
    <row r="1343" spans="1:33" ht="15.75" customHeight="1">
      <c r="A1343" s="32" t="s">
        <v>52</v>
      </c>
      <c r="B1343" s="33">
        <v>1367</v>
      </c>
      <c r="C1343" s="34" t="s">
        <v>7358</v>
      </c>
      <c r="D1343" s="35">
        <v>45960.74869842593</v>
      </c>
      <c r="E1343" s="43">
        <v>45960</v>
      </c>
      <c r="F1343" s="32" t="s">
        <v>4336</v>
      </c>
      <c r="G1343" s="32" t="s">
        <v>4337</v>
      </c>
      <c r="H1343" s="32" t="s">
        <v>4338</v>
      </c>
      <c r="I1343" s="36" t="s">
        <v>4339</v>
      </c>
      <c r="J1343" s="52"/>
      <c r="K1343" s="32" t="s">
        <v>4340</v>
      </c>
      <c r="L1343" s="32" t="s">
        <v>3079</v>
      </c>
      <c r="M1343" s="32" t="s">
        <v>800</v>
      </c>
      <c r="N1343" s="33">
        <v>5</v>
      </c>
      <c r="O1343" s="35"/>
      <c r="P1343" s="35"/>
      <c r="Q1343" s="37"/>
      <c r="R1343" s="38"/>
      <c r="S1343" s="33"/>
      <c r="T1343" s="39">
        <v>197000</v>
      </c>
      <c r="U1343" s="40" t="s">
        <v>1229</v>
      </c>
      <c r="V1343" s="41"/>
      <c r="W1343" s="42" t="str">
        <f ca="1">IFERROR(__xludf.DUMMYFUNCTION("""COMPUTED_VALUE"""),"Las panggilan")</f>
        <v>Las panggilan</v>
      </c>
      <c r="X1343" s="42" t="str">
        <f ca="1"/>
        <v>ON-Las panggilan-00011900+5-6285333355756</v>
      </c>
      <c r="Y1343" s="40"/>
      <c r="Z1343" s="40"/>
      <c r="AA1343" s="23" t="str">
        <v>https://wa.me/6285333355756</v>
      </c>
      <c r="AB1343" s="28"/>
      <c r="AC1343" s="28"/>
      <c r="AD1343" s="28"/>
      <c r="AE1343" s="28"/>
      <c r="AF1343" s="29"/>
      <c r="AG1343" s="29"/>
    </row>
    <row r="1344" spans="1:33" ht="15.75" customHeight="1">
      <c r="A1344" s="32" t="s">
        <v>52</v>
      </c>
      <c r="B1344" s="33">
        <v>1368</v>
      </c>
      <c r="C1344" s="34" t="s">
        <v>7359</v>
      </c>
      <c r="D1344" s="35">
        <v>45960.758415370372</v>
      </c>
      <c r="E1344" s="43">
        <v>45960</v>
      </c>
      <c r="F1344" s="32" t="s">
        <v>2487</v>
      </c>
      <c r="G1344" s="32" t="s">
        <v>2488</v>
      </c>
      <c r="H1344" s="32" t="s">
        <v>879</v>
      </c>
      <c r="I1344" s="36" t="s">
        <v>2489</v>
      </c>
      <c r="J1344" s="52" t="s">
        <v>7360</v>
      </c>
      <c r="K1344" s="32" t="s">
        <v>2490</v>
      </c>
      <c r="L1344" s="32" t="s">
        <v>2491</v>
      </c>
      <c r="M1344" s="32" t="s">
        <v>249</v>
      </c>
      <c r="N1344" s="33">
        <v>5</v>
      </c>
      <c r="O1344" s="35"/>
      <c r="P1344" s="35"/>
      <c r="Q1344" s="37"/>
      <c r="R1344" s="38"/>
      <c r="S1344" s="33"/>
      <c r="T1344" s="39">
        <v>197000</v>
      </c>
      <c r="U1344" s="40" t="s">
        <v>1774</v>
      </c>
      <c r="V1344" s="41"/>
      <c r="W1344" s="42" t="str">
        <f ca="1">IFERROR(__xludf.DUMMYFUNCTION("""COMPUTED_VALUE"""),"Naufal interior")</f>
        <v>Naufal interior</v>
      </c>
      <c r="X1344" s="42" t="str">
        <f ca="1"/>
        <v>ON-Naufal interior-00011900+5-6281347321820</v>
      </c>
      <c r="Y1344" s="40"/>
      <c r="Z1344" s="40"/>
      <c r="AA1344" s="23" t="str">
        <v>https://wa.me/6281347321820</v>
      </c>
      <c r="AB1344" s="28"/>
      <c r="AC1344" s="28"/>
      <c r="AD1344" s="28"/>
      <c r="AE1344" s="28"/>
      <c r="AF1344" s="29"/>
      <c r="AG1344" s="29"/>
    </row>
    <row r="1345" spans="1:33" ht="15.75" customHeight="1">
      <c r="A1345" s="32" t="s">
        <v>196</v>
      </c>
      <c r="B1345" s="33">
        <v>1342</v>
      </c>
      <c r="C1345" s="34" t="s">
        <v>7270</v>
      </c>
      <c r="D1345" s="33" t="s">
        <v>7361</v>
      </c>
      <c r="E1345" s="43">
        <v>45958</v>
      </c>
      <c r="F1345" s="32" t="s">
        <v>7362</v>
      </c>
      <c r="G1345" s="32" t="s">
        <v>7363</v>
      </c>
      <c r="H1345" s="32" t="s">
        <v>7364</v>
      </c>
      <c r="I1345" s="36" t="s">
        <v>7365</v>
      </c>
      <c r="J1345" s="52"/>
      <c r="K1345" s="32" t="s">
        <v>7366</v>
      </c>
      <c r="L1345" s="32" t="s">
        <v>1533</v>
      </c>
      <c r="M1345" s="32" t="s">
        <v>382</v>
      </c>
      <c r="N1345" s="33">
        <v>30</v>
      </c>
      <c r="O1345" s="35"/>
      <c r="P1345" s="35"/>
      <c r="Q1345" s="37"/>
      <c r="R1345" s="38">
        <v>-1003470351325</v>
      </c>
      <c r="S1345" s="33"/>
      <c r="T1345" s="39">
        <v>1000000</v>
      </c>
      <c r="U1345" s="40" t="s">
        <v>115</v>
      </c>
      <c r="V1345" s="47">
        <v>46027.858528078708</v>
      </c>
      <c r="W1345" s="42" t="str">
        <f ca="1">IFERROR(__xludf.DUMMYFUNCTION("""COMPUTED_VALUE"""),"PT FREMONT")</f>
        <v>PT FREMONT</v>
      </c>
      <c r="X1345" s="42" t="str">
        <f ca="1"/>
        <v>ON-PT FREMONT-05012026+30-6285270194027</v>
      </c>
      <c r="Y1345" s="40" t="s">
        <v>293</v>
      </c>
      <c r="Z1345" s="40" t="s">
        <v>1057</v>
      </c>
      <c r="AA1345" s="23" t="str">
        <v>https://wa.me/6285270194027</v>
      </c>
      <c r="AB1345" s="28" t="s">
        <v>7367</v>
      </c>
      <c r="AC1345" s="28"/>
      <c r="AD1345" s="28" t="s">
        <v>690</v>
      </c>
      <c r="AE1345" s="28"/>
      <c r="AF1345" s="29"/>
      <c r="AG1345" s="29"/>
    </row>
    <row r="1346" spans="1:33" ht="15.75" customHeight="1">
      <c r="A1346" s="32" t="s">
        <v>196</v>
      </c>
      <c r="B1346" s="33">
        <v>1350</v>
      </c>
      <c r="C1346" s="34" t="s">
        <v>7368</v>
      </c>
      <c r="D1346" s="35">
        <v>45959.740858101854</v>
      </c>
      <c r="E1346" s="43">
        <v>45959</v>
      </c>
      <c r="F1346" s="32" t="s">
        <v>7369</v>
      </c>
      <c r="G1346" s="32" t="s">
        <v>7370</v>
      </c>
      <c r="H1346" s="32" t="s">
        <v>7371</v>
      </c>
      <c r="I1346" s="36" t="s">
        <v>7372</v>
      </c>
      <c r="J1346" s="52"/>
      <c r="K1346" s="32" t="s">
        <v>7373</v>
      </c>
      <c r="L1346" s="32" t="s">
        <v>3801</v>
      </c>
      <c r="M1346" s="32" t="s">
        <v>60</v>
      </c>
      <c r="N1346" s="33">
        <v>10</v>
      </c>
      <c r="O1346" s="35">
        <v>45964</v>
      </c>
      <c r="P1346" s="35">
        <v>45973</v>
      </c>
      <c r="Q1346" s="37"/>
      <c r="R1346" s="38"/>
      <c r="S1346" s="33"/>
      <c r="T1346" s="39">
        <v>375000</v>
      </c>
      <c r="U1346" s="40" t="s">
        <v>61</v>
      </c>
      <c r="V1346" s="41"/>
      <c r="W1346" s="42" t="str">
        <f ca="1">IFERROR(__xludf.DUMMYFUNCTION("""COMPUTED_VALUE"""),"Fartek Pool")</f>
        <v>Fartek Pool</v>
      </c>
      <c r="X1346" s="42" t="str">
        <f ca="1"/>
        <v>ON-Fartek Pool-00011900+10-6281617770477</v>
      </c>
      <c r="Y1346" s="40" t="s">
        <v>293</v>
      </c>
      <c r="Z1346" s="40" t="s">
        <v>1057</v>
      </c>
      <c r="AA1346" s="23" t="str">
        <v>https://wa.me/6281617770477</v>
      </c>
      <c r="AB1346" s="28" t="s">
        <v>7374</v>
      </c>
      <c r="AC1346" s="28"/>
      <c r="AD1346" s="28" t="s">
        <v>690</v>
      </c>
      <c r="AE1346" s="28"/>
      <c r="AF1346" s="29"/>
      <c r="AG1346" s="29"/>
    </row>
    <row r="1347" spans="1:33" ht="15.75" customHeight="1">
      <c r="A1347" s="32" t="s">
        <v>196</v>
      </c>
      <c r="B1347" s="33">
        <v>1372</v>
      </c>
      <c r="C1347" s="34" t="s">
        <v>7375</v>
      </c>
      <c r="D1347" s="35">
        <v>45961.658452337964</v>
      </c>
      <c r="E1347" s="43">
        <v>45961</v>
      </c>
      <c r="F1347" s="32" t="s">
        <v>7376</v>
      </c>
      <c r="G1347" s="32" t="s">
        <v>7377</v>
      </c>
      <c r="H1347" s="32" t="s">
        <v>7378</v>
      </c>
      <c r="I1347" s="36" t="s">
        <v>7379</v>
      </c>
      <c r="J1347" s="52"/>
      <c r="K1347" s="32" t="s">
        <v>7380</v>
      </c>
      <c r="L1347" s="32" t="s">
        <v>92</v>
      </c>
      <c r="M1347" s="32" t="s">
        <v>60</v>
      </c>
      <c r="N1347" s="33">
        <v>5</v>
      </c>
      <c r="O1347" s="35">
        <v>45964</v>
      </c>
      <c r="P1347" s="35">
        <v>45968</v>
      </c>
      <c r="Q1347" s="37"/>
      <c r="R1347" s="38"/>
      <c r="S1347" s="33"/>
      <c r="T1347" s="39">
        <v>197000</v>
      </c>
      <c r="U1347" s="40" t="s">
        <v>61</v>
      </c>
      <c r="V1347" s="41"/>
      <c r="W1347" s="42" t="str">
        <f ca="1">IFERROR(__xludf.DUMMYFUNCTION("""COMPUTED_VALUE"""),"Sehat Impian")</f>
        <v>Sehat Impian</v>
      </c>
      <c r="X1347" s="42" t="str">
        <f ca="1"/>
        <v>ON-Sehat Impian-00011900+5-6285338813949</v>
      </c>
      <c r="Y1347" s="40" t="s">
        <v>62</v>
      </c>
      <c r="Z1347" s="40" t="s">
        <v>639</v>
      </c>
      <c r="AA1347" s="23" t="str">
        <v>https://wa.me/6285338813949</v>
      </c>
      <c r="AB1347" s="28" t="s">
        <v>7381</v>
      </c>
      <c r="AC1347" s="28"/>
      <c r="AD1347" s="28" t="s">
        <v>690</v>
      </c>
      <c r="AE1347" s="28"/>
      <c r="AF1347" s="29"/>
      <c r="AG1347" s="29"/>
    </row>
    <row r="1348" spans="1:33" ht="15.75" customHeight="1">
      <c r="A1348" s="32" t="s">
        <v>196</v>
      </c>
      <c r="B1348" s="33">
        <v>1391</v>
      </c>
      <c r="C1348" s="34" t="s">
        <v>7382</v>
      </c>
      <c r="D1348" s="35">
        <v>45961.257097048612</v>
      </c>
      <c r="E1348" s="43">
        <v>45964</v>
      </c>
      <c r="F1348" s="32" t="s">
        <v>7383</v>
      </c>
      <c r="G1348" s="32" t="s">
        <v>7384</v>
      </c>
      <c r="H1348" s="32" t="s">
        <v>7385</v>
      </c>
      <c r="I1348" s="36" t="s">
        <v>7386</v>
      </c>
      <c r="J1348" s="52" t="s">
        <v>7387</v>
      </c>
      <c r="K1348" s="32" t="s">
        <v>345</v>
      </c>
      <c r="L1348" s="32" t="s">
        <v>7388</v>
      </c>
      <c r="M1348" s="32" t="s">
        <v>60</v>
      </c>
      <c r="N1348" s="33">
        <v>5</v>
      </c>
      <c r="O1348" s="35">
        <v>45965</v>
      </c>
      <c r="P1348" s="35">
        <v>45969</v>
      </c>
      <c r="Q1348" s="37"/>
      <c r="R1348" s="38"/>
      <c r="S1348" s="33"/>
      <c r="T1348" s="39">
        <v>197000</v>
      </c>
      <c r="U1348" s="40"/>
      <c r="V1348" s="41"/>
      <c r="W1348" s="42" t="str">
        <f ca="1">IFERROR(__xludf.DUMMYFUNCTION("""COMPUTED_VALUE"""),"Seminar Bisnis")</f>
        <v>Seminar Bisnis</v>
      </c>
      <c r="X1348" s="42" t="str">
        <f ca="1"/>
        <v>ON-Seminar Bisnis-00011900+5-6281445321599</v>
      </c>
      <c r="Y1348" s="40" t="s">
        <v>62</v>
      </c>
      <c r="Z1348" s="40" t="s">
        <v>639</v>
      </c>
      <c r="AA1348" s="23" t="str">
        <v>https://wa.me/6281445321599</v>
      </c>
      <c r="AB1348" s="28" t="s">
        <v>7389</v>
      </c>
      <c r="AC1348" s="28"/>
      <c r="AD1348" s="28" t="s">
        <v>690</v>
      </c>
      <c r="AE1348" s="28"/>
      <c r="AF1348" s="29"/>
      <c r="AG1348" s="29"/>
    </row>
    <row r="1349" spans="1:33" ht="15.75" customHeight="1">
      <c r="A1349" s="32" t="s">
        <v>196</v>
      </c>
      <c r="B1349" s="33">
        <v>1374</v>
      </c>
      <c r="C1349" s="34" t="s">
        <v>7390</v>
      </c>
      <c r="D1349" s="35">
        <v>45962.307155902774</v>
      </c>
      <c r="E1349" s="43">
        <v>45962</v>
      </c>
      <c r="F1349" s="32" t="s">
        <v>7391</v>
      </c>
      <c r="G1349" s="32" t="s">
        <v>7392</v>
      </c>
      <c r="H1349" s="32" t="s">
        <v>495</v>
      </c>
      <c r="I1349" s="36" t="s">
        <v>7393</v>
      </c>
      <c r="J1349" s="52"/>
      <c r="K1349" s="32" t="s">
        <v>6119</v>
      </c>
      <c r="L1349" s="32" t="s">
        <v>3448</v>
      </c>
      <c r="M1349" s="32" t="s">
        <v>711</v>
      </c>
      <c r="N1349" s="33">
        <v>10</v>
      </c>
      <c r="O1349" s="35">
        <v>45965</v>
      </c>
      <c r="P1349" s="35">
        <v>45974</v>
      </c>
      <c r="Q1349" s="37"/>
      <c r="R1349" s="38"/>
      <c r="S1349" s="33"/>
      <c r="T1349" s="39">
        <v>375000</v>
      </c>
      <c r="U1349" s="40" t="s">
        <v>1229</v>
      </c>
      <c r="V1349" s="41"/>
      <c r="W1349" s="42" t="str">
        <f ca="1">IFERROR(__xludf.DUMMYFUNCTION("""COMPUTED_VALUE"""),"R'Can kontruksi")</f>
        <v>R'Can kontruksi</v>
      </c>
      <c r="X1349" s="42" t="str">
        <f ca="1"/>
        <v>ON-R'Can kontruksi-00011900+10-6282351028887</v>
      </c>
      <c r="Y1349" s="40" t="s">
        <v>293</v>
      </c>
      <c r="Z1349" s="40" t="s">
        <v>1057</v>
      </c>
      <c r="AA1349" s="23" t="str">
        <v>https://wa.me/6282351028887</v>
      </c>
      <c r="AB1349" s="28" t="s">
        <v>7394</v>
      </c>
      <c r="AC1349" s="28"/>
      <c r="AD1349" s="28" t="s">
        <v>690</v>
      </c>
      <c r="AE1349" s="28"/>
      <c r="AF1349" s="29"/>
      <c r="AG1349" s="29"/>
    </row>
    <row r="1350" spans="1:33" ht="15.75" customHeight="1">
      <c r="A1350" s="32" t="s">
        <v>52</v>
      </c>
      <c r="B1350" s="33">
        <v>1373</v>
      </c>
      <c r="C1350" s="34" t="s">
        <v>7395</v>
      </c>
      <c r="D1350" s="35">
        <v>45962.294520995369</v>
      </c>
      <c r="E1350" s="43">
        <v>45962</v>
      </c>
      <c r="F1350" s="32" t="s">
        <v>738</v>
      </c>
      <c r="G1350" s="32" t="s">
        <v>739</v>
      </c>
      <c r="H1350" s="32" t="s">
        <v>740</v>
      </c>
      <c r="I1350" s="36" t="s">
        <v>741</v>
      </c>
      <c r="J1350" s="52"/>
      <c r="K1350" s="32" t="s">
        <v>1262</v>
      </c>
      <c r="L1350" s="32" t="s">
        <v>629</v>
      </c>
      <c r="M1350" s="32" t="s">
        <v>743</v>
      </c>
      <c r="N1350" s="33">
        <v>14</v>
      </c>
      <c r="O1350" s="35"/>
      <c r="P1350" s="35"/>
      <c r="Q1350" s="37"/>
      <c r="R1350" s="38"/>
      <c r="S1350" s="33"/>
      <c r="T1350" s="39">
        <v>500000</v>
      </c>
      <c r="U1350" s="40" t="s">
        <v>115</v>
      </c>
      <c r="V1350" s="41"/>
      <c r="W1350" s="42" t="str">
        <f ca="1">IFERROR(__xludf.DUMMYFUNCTION("""COMPUTED_VALUE"""),"PT. Panorama")</f>
        <v>PT. Panorama</v>
      </c>
      <c r="X1350" s="42" t="str">
        <f ca="1"/>
        <v>ON-PT. Panorama-00011900+14-628122102657</v>
      </c>
      <c r="Y1350" s="40"/>
      <c r="Z1350" s="40"/>
      <c r="AA1350" s="23" t="str">
        <v>https://wa.me/628122102657</v>
      </c>
      <c r="AB1350" s="28"/>
      <c r="AC1350" s="28"/>
      <c r="AD1350" s="28"/>
      <c r="AE1350" s="28"/>
      <c r="AF1350" s="29"/>
      <c r="AG1350" s="29"/>
    </row>
    <row r="1351" spans="1:33" ht="15.75" customHeight="1">
      <c r="A1351" s="32" t="s">
        <v>196</v>
      </c>
      <c r="B1351" s="33">
        <v>1375</v>
      </c>
      <c r="C1351" s="34" t="s">
        <v>7396</v>
      </c>
      <c r="D1351" s="35">
        <v>45962.377151712964</v>
      </c>
      <c r="E1351" s="43">
        <v>45962</v>
      </c>
      <c r="F1351" s="32" t="s">
        <v>7397</v>
      </c>
      <c r="G1351" s="32" t="s">
        <v>7398</v>
      </c>
      <c r="H1351" s="32" t="s">
        <v>7399</v>
      </c>
      <c r="I1351" s="36" t="s">
        <v>7400</v>
      </c>
      <c r="J1351" s="52"/>
      <c r="K1351" s="32" t="s">
        <v>3619</v>
      </c>
      <c r="L1351" s="32" t="s">
        <v>7401</v>
      </c>
      <c r="M1351" s="32" t="s">
        <v>711</v>
      </c>
      <c r="N1351" s="33">
        <v>5</v>
      </c>
      <c r="O1351" s="35">
        <v>45965</v>
      </c>
      <c r="P1351" s="35">
        <v>45969</v>
      </c>
      <c r="Q1351" s="37"/>
      <c r="R1351" s="38"/>
      <c r="S1351" s="33"/>
      <c r="T1351" s="39">
        <v>197000</v>
      </c>
      <c r="U1351" s="40" t="s">
        <v>1229</v>
      </c>
      <c r="V1351" s="41"/>
      <c r="W1351" s="42" t="str">
        <f ca="1">IFERROR(__xludf.DUMMYFUNCTION("""COMPUTED_VALUE"""),"Paotere travel")</f>
        <v>Paotere travel</v>
      </c>
      <c r="X1351" s="42" t="str">
        <f ca="1"/>
        <v>ON-Paotere travel-00011900+5-6285398802006</v>
      </c>
      <c r="Y1351" s="40" t="s">
        <v>62</v>
      </c>
      <c r="Z1351" s="40" t="s">
        <v>1880</v>
      </c>
      <c r="AA1351" s="23" t="str">
        <v>https://wa.me/6285398802006</v>
      </c>
      <c r="AB1351" s="28" t="s">
        <v>7402</v>
      </c>
      <c r="AC1351" s="28"/>
      <c r="AD1351" s="28" t="s">
        <v>690</v>
      </c>
      <c r="AE1351" s="28"/>
      <c r="AF1351" s="29"/>
      <c r="AG1351" s="29"/>
    </row>
    <row r="1352" spans="1:33" ht="15.75" customHeight="1">
      <c r="A1352" s="32" t="s">
        <v>196</v>
      </c>
      <c r="B1352" s="33">
        <v>1376</v>
      </c>
      <c r="C1352" s="34" t="s">
        <v>7403</v>
      </c>
      <c r="D1352" s="35">
        <v>45962.49851016204</v>
      </c>
      <c r="E1352" s="43">
        <v>45962</v>
      </c>
      <c r="F1352" s="32" t="s">
        <v>7404</v>
      </c>
      <c r="G1352" s="32" t="s">
        <v>7405</v>
      </c>
      <c r="H1352" s="32" t="s">
        <v>7406</v>
      </c>
      <c r="I1352" s="36" t="s">
        <v>7407</v>
      </c>
      <c r="J1352" s="52"/>
      <c r="K1352" s="32" t="s">
        <v>7408</v>
      </c>
      <c r="L1352" s="32" t="s">
        <v>7409</v>
      </c>
      <c r="M1352" s="32" t="s">
        <v>711</v>
      </c>
      <c r="N1352" s="33">
        <v>5</v>
      </c>
      <c r="O1352" s="35">
        <v>45965</v>
      </c>
      <c r="P1352" s="35">
        <v>45969</v>
      </c>
      <c r="Q1352" s="37"/>
      <c r="R1352" s="38"/>
      <c r="S1352" s="33"/>
      <c r="T1352" s="39">
        <v>197000</v>
      </c>
      <c r="U1352" s="40" t="s">
        <v>1229</v>
      </c>
      <c r="V1352" s="41"/>
      <c r="W1352" s="42" t="str">
        <f ca="1">IFERROR(__xludf.DUMMYFUNCTION("""COMPUTED_VALUE"""),"Mulia jaya")</f>
        <v>Mulia jaya</v>
      </c>
      <c r="X1352" s="42" t="str">
        <f ca="1"/>
        <v>ON-Mulia jaya-00011900+5-6285878882667</v>
      </c>
      <c r="Y1352" s="40" t="s">
        <v>62</v>
      </c>
      <c r="Z1352" s="40" t="s">
        <v>277</v>
      </c>
      <c r="AA1352" s="23" t="str">
        <v>https://wa.me/6285878882667</v>
      </c>
      <c r="AB1352" s="28" t="s">
        <v>7410</v>
      </c>
      <c r="AC1352" s="28"/>
      <c r="AD1352" s="28" t="s">
        <v>690</v>
      </c>
      <c r="AE1352" s="28"/>
      <c r="AF1352" s="29"/>
      <c r="AG1352" s="29"/>
    </row>
    <row r="1353" spans="1:33" ht="15.75" customHeight="1">
      <c r="A1353" s="32" t="s">
        <v>196</v>
      </c>
      <c r="B1353" s="33">
        <v>1390</v>
      </c>
      <c r="C1353" s="34" t="s">
        <v>7411</v>
      </c>
      <c r="D1353" s="35">
        <v>45964.24677849537</v>
      </c>
      <c r="E1353" s="43">
        <v>45963</v>
      </c>
      <c r="F1353" s="32" t="s">
        <v>7412</v>
      </c>
      <c r="G1353" s="32" t="s">
        <v>7413</v>
      </c>
      <c r="H1353" s="32" t="s">
        <v>7414</v>
      </c>
      <c r="I1353" s="36" t="s">
        <v>7415</v>
      </c>
      <c r="J1353" s="52"/>
      <c r="K1353" s="32" t="s">
        <v>374</v>
      </c>
      <c r="L1353" s="32" t="s">
        <v>1926</v>
      </c>
      <c r="M1353" s="32" t="s">
        <v>60</v>
      </c>
      <c r="N1353" s="33">
        <v>5</v>
      </c>
      <c r="O1353" s="35">
        <v>45965</v>
      </c>
      <c r="P1353" s="35">
        <v>45969</v>
      </c>
      <c r="Q1353" s="37"/>
      <c r="R1353" s="38"/>
      <c r="S1353" s="33"/>
      <c r="T1353" s="39">
        <v>197000</v>
      </c>
      <c r="U1353" s="40" t="s">
        <v>61</v>
      </c>
      <c r="V1353" s="41"/>
      <c r="W1353" s="42" t="str">
        <f ca="1">IFERROR(__xludf.DUMMYFUNCTION("""COMPUTED_VALUE"""),"Bior Global")</f>
        <v>Bior Global</v>
      </c>
      <c r="X1353" s="42" t="str">
        <f ca="1"/>
        <v>ON-Bior Global-00011900+5-6287712052457</v>
      </c>
      <c r="Y1353" s="40" t="s">
        <v>62</v>
      </c>
      <c r="Z1353" s="40" t="s">
        <v>1861</v>
      </c>
      <c r="AA1353" s="23" t="str">
        <v>https://wa.me/6287712052457</v>
      </c>
      <c r="AB1353" s="28" t="s">
        <v>7416</v>
      </c>
      <c r="AC1353" s="28"/>
      <c r="AD1353" s="28" t="s">
        <v>690</v>
      </c>
      <c r="AE1353" s="28"/>
      <c r="AF1353" s="29"/>
      <c r="AG1353" s="29"/>
    </row>
    <row r="1354" spans="1:33" ht="15.75" customHeight="1">
      <c r="A1354" s="32" t="s">
        <v>52</v>
      </c>
      <c r="B1354" s="33">
        <v>1377</v>
      </c>
      <c r="C1354" s="34" t="s">
        <v>7417</v>
      </c>
      <c r="D1354" s="35">
        <v>45962.659922326391</v>
      </c>
      <c r="E1354" s="43">
        <v>45962</v>
      </c>
      <c r="F1354" s="32" t="s">
        <v>1320</v>
      </c>
      <c r="G1354" s="32" t="s">
        <v>7418</v>
      </c>
      <c r="H1354" s="32" t="s">
        <v>5697</v>
      </c>
      <c r="I1354" s="36" t="s">
        <v>7419</v>
      </c>
      <c r="J1354" s="52" t="s">
        <v>7420</v>
      </c>
      <c r="K1354" s="32" t="s">
        <v>7421</v>
      </c>
      <c r="L1354" s="32" t="s">
        <v>1926</v>
      </c>
      <c r="M1354" s="32" t="s">
        <v>1926</v>
      </c>
      <c r="N1354" s="33">
        <v>5</v>
      </c>
      <c r="O1354" s="35"/>
      <c r="P1354" s="35"/>
      <c r="Q1354" s="37"/>
      <c r="R1354" s="38"/>
      <c r="S1354" s="33"/>
      <c r="T1354" s="39">
        <v>197000</v>
      </c>
      <c r="U1354" s="40" t="s">
        <v>1774</v>
      </c>
      <c r="V1354" s="41"/>
      <c r="W1354" s="42" t="str">
        <f ca="1">IFERROR(__xludf.DUMMYFUNCTION("""COMPUTED_VALUE"""),"Karisma")</f>
        <v>Karisma</v>
      </c>
      <c r="X1354" s="42" t="str">
        <f ca="1"/>
        <v>ON-Karisma-00011900+5-6281321441646</v>
      </c>
      <c r="Y1354" s="40"/>
      <c r="Z1354" s="40"/>
      <c r="AA1354" s="23" t="str">
        <v>https://wa.me/6281321441646</v>
      </c>
      <c r="AB1354" s="28"/>
      <c r="AC1354" s="28"/>
      <c r="AD1354" s="28"/>
      <c r="AE1354" s="28"/>
      <c r="AF1354" s="29"/>
      <c r="AG1354" s="29"/>
    </row>
    <row r="1355" spans="1:33" ht="15.75" customHeight="1">
      <c r="A1355" s="32" t="s">
        <v>52</v>
      </c>
      <c r="B1355" s="33">
        <v>1378</v>
      </c>
      <c r="C1355" s="34" t="s">
        <v>7422</v>
      </c>
      <c r="D1355" s="35">
        <v>45962.660520949074</v>
      </c>
      <c r="E1355" s="43">
        <v>45962</v>
      </c>
      <c r="F1355" s="32" t="s">
        <v>1320</v>
      </c>
      <c r="G1355" s="32" t="s">
        <v>7418</v>
      </c>
      <c r="H1355" s="32" t="s">
        <v>5697</v>
      </c>
      <c r="I1355" s="36" t="s">
        <v>7419</v>
      </c>
      <c r="J1355" s="52" t="s">
        <v>7420</v>
      </c>
      <c r="K1355" s="32" t="s">
        <v>7421</v>
      </c>
      <c r="L1355" s="32" t="s">
        <v>1926</v>
      </c>
      <c r="M1355" s="32" t="s">
        <v>1926</v>
      </c>
      <c r="N1355" s="33">
        <v>10</v>
      </c>
      <c r="O1355" s="35"/>
      <c r="P1355" s="35"/>
      <c r="Q1355" s="37"/>
      <c r="R1355" s="38"/>
      <c r="S1355" s="33"/>
      <c r="T1355" s="39">
        <v>375000</v>
      </c>
      <c r="U1355" s="40" t="s">
        <v>1774</v>
      </c>
      <c r="V1355" s="41"/>
      <c r="W1355" s="42" t="str">
        <f ca="1">IFERROR(__xludf.DUMMYFUNCTION("""COMPUTED_VALUE"""),"Karisma")</f>
        <v>Karisma</v>
      </c>
      <c r="X1355" s="42" t="str">
        <f ca="1"/>
        <v>ON-Karisma-00011900+10-6281321441646</v>
      </c>
      <c r="Y1355" s="40"/>
      <c r="Z1355" s="40"/>
      <c r="AA1355" s="23" t="str">
        <v>https://wa.me/6281321441646</v>
      </c>
      <c r="AB1355" s="28"/>
      <c r="AC1355" s="28"/>
      <c r="AD1355" s="28"/>
      <c r="AE1355" s="28"/>
      <c r="AF1355" s="29"/>
      <c r="AG1355" s="29"/>
    </row>
    <row r="1356" spans="1:33" ht="15.75" customHeight="1">
      <c r="A1356" s="32" t="s">
        <v>52</v>
      </c>
      <c r="B1356" s="33">
        <v>1379</v>
      </c>
      <c r="C1356" s="34" t="s">
        <v>7423</v>
      </c>
      <c r="D1356" s="35">
        <v>45963.131700162034</v>
      </c>
      <c r="E1356" s="43">
        <v>45962</v>
      </c>
      <c r="F1356" s="32" t="s">
        <v>6625</v>
      </c>
      <c r="G1356" s="32" t="s">
        <v>6626</v>
      </c>
      <c r="H1356" s="32" t="s">
        <v>6627</v>
      </c>
      <c r="I1356" s="36" t="s">
        <v>7166</v>
      </c>
      <c r="J1356" s="52" t="s">
        <v>6629</v>
      </c>
      <c r="K1356" s="32" t="s">
        <v>6630</v>
      </c>
      <c r="L1356" s="32" t="s">
        <v>2500</v>
      </c>
      <c r="M1356" s="32" t="s">
        <v>1714</v>
      </c>
      <c r="N1356" s="33">
        <v>7</v>
      </c>
      <c r="O1356" s="35"/>
      <c r="P1356" s="35"/>
      <c r="Q1356" s="37"/>
      <c r="R1356" s="38"/>
      <c r="S1356" s="33"/>
      <c r="T1356" s="39">
        <v>297000</v>
      </c>
      <c r="U1356" s="40" t="s">
        <v>61</v>
      </c>
      <c r="V1356" s="41"/>
      <c r="W1356" s="42" t="str">
        <f ca="1">IFERROR(__xludf.DUMMYFUNCTION("""COMPUTED_VALUE"""),"Klinik Beauty")</f>
        <v>Klinik Beauty</v>
      </c>
      <c r="X1356" s="42" t="str">
        <f ca="1"/>
        <v>ON-Klinik Beauty-00011900+7-6289504615501</v>
      </c>
      <c r="Y1356" s="40"/>
      <c r="Z1356" s="40"/>
      <c r="AA1356" s="23" t="str">
        <v>https://wa.me/6289504615501</v>
      </c>
      <c r="AB1356" s="28"/>
      <c r="AC1356" s="28"/>
      <c r="AD1356" s="28"/>
      <c r="AE1356" s="28"/>
      <c r="AF1356" s="29"/>
      <c r="AG1356" s="29"/>
    </row>
    <row r="1357" spans="1:33" ht="15.75" customHeight="1">
      <c r="A1357" s="32" t="s">
        <v>621</v>
      </c>
      <c r="B1357" s="33">
        <v>1380</v>
      </c>
      <c r="C1357" s="34" t="s">
        <v>7424</v>
      </c>
      <c r="D1357" s="35">
        <v>45963.275165925923</v>
      </c>
      <c r="E1357" s="43">
        <v>45962</v>
      </c>
      <c r="F1357" s="32" t="s">
        <v>7425</v>
      </c>
      <c r="G1357" s="32" t="s">
        <v>7426</v>
      </c>
      <c r="H1357" s="32" t="s">
        <v>6967</v>
      </c>
      <c r="I1357" s="36" t="s">
        <v>7427</v>
      </c>
      <c r="J1357" s="52"/>
      <c r="K1357" s="32" t="s">
        <v>7428</v>
      </c>
      <c r="L1357" s="32" t="s">
        <v>7429</v>
      </c>
      <c r="M1357" s="32" t="s">
        <v>205</v>
      </c>
      <c r="N1357" s="33">
        <v>10</v>
      </c>
      <c r="O1357" s="35"/>
      <c r="P1357" s="35"/>
      <c r="Q1357" s="37"/>
      <c r="R1357" s="38"/>
      <c r="S1357" s="33"/>
      <c r="T1357" s="39">
        <v>375000</v>
      </c>
      <c r="U1357" s="40" t="s">
        <v>61</v>
      </c>
      <c r="V1357" s="41"/>
      <c r="W1357" s="42" t="str">
        <f ca="1">IFERROR(__xludf.DUMMYFUNCTION("""COMPUTED_VALUE"""),"Ma'had Nurul")</f>
        <v>Ma'had Nurul</v>
      </c>
      <c r="X1357" s="42" t="str">
        <f ca="1"/>
        <v>ON-Ma'had Nurul-00011900+10-6285255452796</v>
      </c>
      <c r="Y1357" s="40"/>
      <c r="Z1357" s="40"/>
      <c r="AA1357" s="23" t="str">
        <v>https://wa.me/6285255452796</v>
      </c>
      <c r="AB1357" s="28"/>
      <c r="AC1357" s="28"/>
      <c r="AD1357" s="28"/>
      <c r="AE1357" s="28"/>
      <c r="AF1357" s="29"/>
      <c r="AG1357" s="29"/>
    </row>
    <row r="1358" spans="1:33" ht="15.75" customHeight="1">
      <c r="A1358" s="32" t="s">
        <v>52</v>
      </c>
      <c r="B1358" s="33">
        <v>1381</v>
      </c>
      <c r="C1358" s="34" t="s">
        <v>7430</v>
      </c>
      <c r="D1358" s="35">
        <v>45963.291850439811</v>
      </c>
      <c r="E1358" s="43">
        <v>45963</v>
      </c>
      <c r="F1358" s="32"/>
      <c r="G1358" s="32"/>
      <c r="H1358" s="32"/>
      <c r="I1358" s="36" t="s">
        <v>6279</v>
      </c>
      <c r="J1358" s="52"/>
      <c r="K1358" s="32"/>
      <c r="L1358" s="32"/>
      <c r="M1358" s="32" t="s">
        <v>1009</v>
      </c>
      <c r="N1358" s="33">
        <v>5</v>
      </c>
      <c r="O1358" s="35"/>
      <c r="P1358" s="35"/>
      <c r="Q1358" s="37"/>
      <c r="R1358" s="38"/>
      <c r="S1358" s="33"/>
      <c r="T1358" s="39">
        <v>197000</v>
      </c>
      <c r="U1358" s="40" t="s">
        <v>115</v>
      </c>
      <c r="V1358" s="41"/>
      <c r="W1358" s="42" t="str">
        <f ca="1">IFERROR(__xludf.DUMMYFUNCTION("""COMPUTED_VALUE"""),"")</f>
        <v/>
      </c>
      <c r="X1358" s="42" t="str">
        <f ca="1"/>
        <v/>
      </c>
      <c r="Y1358" s="40"/>
      <c r="Z1358" s="40"/>
      <c r="AA1358" s="23" t="str">
        <v>https://wa.me/6287758080333</v>
      </c>
      <c r="AB1358" s="28"/>
      <c r="AC1358" s="28"/>
      <c r="AD1358" s="28"/>
      <c r="AE1358" s="28"/>
      <c r="AF1358" s="29"/>
      <c r="AG1358" s="29"/>
    </row>
    <row r="1359" spans="1:33" ht="15.75" customHeight="1">
      <c r="A1359" s="32" t="s">
        <v>52</v>
      </c>
      <c r="B1359" s="33">
        <v>1382</v>
      </c>
      <c r="C1359" s="34" t="s">
        <v>7431</v>
      </c>
      <c r="D1359" s="35">
        <v>45963.533242581019</v>
      </c>
      <c r="E1359" s="43">
        <v>45963</v>
      </c>
      <c r="F1359" s="32" t="s">
        <v>7432</v>
      </c>
      <c r="G1359" s="32" t="s">
        <v>7433</v>
      </c>
      <c r="H1359" s="32" t="s">
        <v>2413</v>
      </c>
      <c r="I1359" s="36" t="s">
        <v>6541</v>
      </c>
      <c r="J1359" s="52"/>
      <c r="K1359" s="32" t="s">
        <v>2132</v>
      </c>
      <c r="L1359" s="32" t="s">
        <v>7434</v>
      </c>
      <c r="M1359" s="32" t="s">
        <v>726</v>
      </c>
      <c r="N1359" s="33">
        <v>5</v>
      </c>
      <c r="O1359" s="35"/>
      <c r="P1359" s="35"/>
      <c r="Q1359" s="37"/>
      <c r="R1359" s="38"/>
      <c r="S1359" s="33"/>
      <c r="T1359" s="39">
        <v>197000</v>
      </c>
      <c r="U1359" s="40" t="s">
        <v>1774</v>
      </c>
      <c r="V1359" s="41"/>
      <c r="W1359" s="42" t="str">
        <f ca="1">IFERROR(__xludf.DUMMYFUNCTION("""COMPUTED_VALUE"""),"Therapy Sehat")</f>
        <v>Therapy Sehat</v>
      </c>
      <c r="X1359" s="42" t="str">
        <f ca="1"/>
        <v>ON-Therapy Sehat-00011900+5-6282232143251</v>
      </c>
      <c r="Y1359" s="40"/>
      <c r="Z1359" s="40"/>
      <c r="AA1359" s="23" t="str">
        <v>https://wa.me/6282232143251</v>
      </c>
      <c r="AB1359" s="28"/>
      <c r="AC1359" s="28"/>
      <c r="AD1359" s="28"/>
      <c r="AE1359" s="28"/>
      <c r="AF1359" s="29"/>
      <c r="AG1359" s="29"/>
    </row>
    <row r="1360" spans="1:33" ht="15.75" customHeight="1">
      <c r="A1360" s="32" t="s">
        <v>196</v>
      </c>
      <c r="B1360" s="33">
        <v>1353</v>
      </c>
      <c r="C1360" s="34" t="s">
        <v>7316</v>
      </c>
      <c r="D1360" s="35">
        <v>45959.843963310181</v>
      </c>
      <c r="E1360" s="43">
        <v>45959</v>
      </c>
      <c r="F1360" s="32" t="s">
        <v>7435</v>
      </c>
      <c r="G1360" s="54" t="s">
        <v>7436</v>
      </c>
      <c r="H1360" s="32" t="s">
        <v>7437</v>
      </c>
      <c r="I1360" s="36" t="s">
        <v>5995</v>
      </c>
      <c r="J1360" s="52" t="s">
        <v>7438</v>
      </c>
      <c r="K1360" s="32" t="s">
        <v>345</v>
      </c>
      <c r="L1360" s="32" t="s">
        <v>4245</v>
      </c>
      <c r="M1360" s="32" t="s">
        <v>711</v>
      </c>
      <c r="N1360" s="33">
        <v>30</v>
      </c>
      <c r="O1360" s="35">
        <v>45966</v>
      </c>
      <c r="P1360" s="35">
        <v>45995</v>
      </c>
      <c r="Q1360" s="37"/>
      <c r="R1360" s="38"/>
      <c r="S1360" s="33"/>
      <c r="T1360" s="39">
        <v>1000000</v>
      </c>
      <c r="U1360" s="40" t="s">
        <v>1229</v>
      </c>
      <c r="V1360" s="41"/>
      <c r="W1360" s="55" t="str">
        <f ca="1">IFERROR(__xludf.DUMMYFUNCTION("""COMPUTED_VALUE"""),"ciptagriya.id")</f>
        <v>ciptagriya.id</v>
      </c>
      <c r="X1360" s="42" t="str">
        <f ca="1"/>
        <v>ON-ciptagriya.id-00011900+30-6282225454797</v>
      </c>
      <c r="Y1360" s="40" t="s">
        <v>293</v>
      </c>
      <c r="Z1360" s="40" t="s">
        <v>1057</v>
      </c>
      <c r="AA1360" s="23" t="str">
        <v>https://wa.me/6282225454797</v>
      </c>
      <c r="AB1360" s="28" t="s">
        <v>7439</v>
      </c>
      <c r="AC1360" s="28"/>
      <c r="AD1360" s="28" t="s">
        <v>690</v>
      </c>
      <c r="AE1360" s="28"/>
      <c r="AF1360" s="29"/>
      <c r="AG1360" s="29"/>
    </row>
    <row r="1361" spans="1:33" ht="15.75" customHeight="1">
      <c r="A1361" s="32" t="s">
        <v>52</v>
      </c>
      <c r="B1361" s="33">
        <v>1384</v>
      </c>
      <c r="C1361" s="34" t="s">
        <v>7440</v>
      </c>
      <c r="D1361" s="35">
        <v>45963.784618923615</v>
      </c>
      <c r="E1361" s="43">
        <v>45963</v>
      </c>
      <c r="F1361" s="32" t="s">
        <v>6840</v>
      </c>
      <c r="G1361" s="32" t="s">
        <v>6841</v>
      </c>
      <c r="H1361" s="32" t="s">
        <v>6842</v>
      </c>
      <c r="I1361" s="36" t="s">
        <v>6843</v>
      </c>
      <c r="J1361" s="52"/>
      <c r="K1361" s="32" t="s">
        <v>6844</v>
      </c>
      <c r="L1361" s="32" t="s">
        <v>4783</v>
      </c>
      <c r="M1361" s="32" t="s">
        <v>48</v>
      </c>
      <c r="N1361" s="33">
        <v>10</v>
      </c>
      <c r="O1361" s="35"/>
      <c r="P1361" s="35"/>
      <c r="Q1361" s="37"/>
      <c r="R1361" s="38"/>
      <c r="S1361" s="33"/>
      <c r="T1361" s="39">
        <v>375000</v>
      </c>
      <c r="U1361" s="40" t="s">
        <v>1229</v>
      </c>
      <c r="V1361" s="41"/>
      <c r="W1361" s="42" t="str">
        <f ca="1">IFERROR(__xludf.DUMMYFUNCTION("""COMPUTED_VALUE"""),"Kavling kampung")</f>
        <v>Kavling kampung</v>
      </c>
      <c r="X1361" s="42" t="str">
        <f ca="1"/>
        <v>ON-Kavling kampung-00011900+10-6282288320550</v>
      </c>
      <c r="Y1361" s="40"/>
      <c r="Z1361" s="40"/>
      <c r="AA1361" s="23" t="str">
        <v>https://wa.me/6282288320550</v>
      </c>
      <c r="AB1361" s="28"/>
      <c r="AC1361" s="28"/>
      <c r="AD1361" s="28"/>
      <c r="AE1361" s="28"/>
      <c r="AF1361" s="29"/>
      <c r="AG1361" s="29"/>
    </row>
    <row r="1362" spans="1:33" ht="15.75" customHeight="1">
      <c r="A1362" s="32" t="s">
        <v>52</v>
      </c>
      <c r="B1362" s="33">
        <v>1386</v>
      </c>
      <c r="C1362" s="34" t="s">
        <v>7441</v>
      </c>
      <c r="D1362" s="35">
        <v>45964.232340891205</v>
      </c>
      <c r="E1362" s="43">
        <v>45963</v>
      </c>
      <c r="F1362" s="32" t="s">
        <v>2064</v>
      </c>
      <c r="G1362" s="32" t="s">
        <v>2065</v>
      </c>
      <c r="H1362" s="32" t="s">
        <v>1648</v>
      </c>
      <c r="I1362" s="36" t="s">
        <v>2066</v>
      </c>
      <c r="J1362" s="52" t="s">
        <v>2067</v>
      </c>
      <c r="K1362" s="32" t="s">
        <v>2068</v>
      </c>
      <c r="L1362" s="32" t="s">
        <v>2069</v>
      </c>
      <c r="M1362" s="32" t="s">
        <v>2032</v>
      </c>
      <c r="N1362" s="33">
        <v>7</v>
      </c>
      <c r="O1362" s="35"/>
      <c r="P1362" s="35"/>
      <c r="Q1362" s="37"/>
      <c r="R1362" s="38"/>
      <c r="S1362" s="33"/>
      <c r="T1362" s="39">
        <v>297000</v>
      </c>
      <c r="U1362" s="40" t="s">
        <v>61</v>
      </c>
      <c r="V1362" s="41"/>
      <c r="W1362" s="42" t="str">
        <f ca="1">IFERROR(__xludf.DUMMYFUNCTION("""COMPUTED_VALUE"""),"Bengkel Las")</f>
        <v>Bengkel Las</v>
      </c>
      <c r="X1362" s="42" t="str">
        <f ca="1"/>
        <v>ON-Bengkel Las-00011900+7-6281394618785</v>
      </c>
      <c r="Y1362" s="40"/>
      <c r="Z1362" s="40"/>
      <c r="AA1362" s="23" t="str">
        <v>https://wa.me/6281394618785</v>
      </c>
      <c r="AB1362" s="28"/>
      <c r="AC1362" s="28"/>
      <c r="AD1362" s="28"/>
      <c r="AE1362" s="28"/>
      <c r="AF1362" s="29"/>
      <c r="AG1362" s="29"/>
    </row>
    <row r="1363" spans="1:33" ht="15.75" customHeight="1">
      <c r="A1363" s="32" t="s">
        <v>52</v>
      </c>
      <c r="B1363" s="33">
        <v>1387</v>
      </c>
      <c r="C1363" s="34" t="s">
        <v>7442</v>
      </c>
      <c r="D1363" s="35">
        <v>45964.232903587967</v>
      </c>
      <c r="E1363" s="43">
        <v>45963</v>
      </c>
      <c r="F1363" s="32" t="s">
        <v>6401</v>
      </c>
      <c r="G1363" s="32" t="s">
        <v>6402</v>
      </c>
      <c r="H1363" s="32" t="s">
        <v>6403</v>
      </c>
      <c r="I1363" s="36" t="s">
        <v>6404</v>
      </c>
      <c r="J1363" s="52"/>
      <c r="K1363" s="32" t="s">
        <v>6405</v>
      </c>
      <c r="L1363" s="32" t="s">
        <v>1250</v>
      </c>
      <c r="M1363" s="32" t="s">
        <v>60</v>
      </c>
      <c r="N1363" s="33">
        <v>5</v>
      </c>
      <c r="O1363" s="35"/>
      <c r="P1363" s="35"/>
      <c r="Q1363" s="37"/>
      <c r="R1363" s="38"/>
      <c r="S1363" s="33"/>
      <c r="T1363" s="39">
        <v>197000</v>
      </c>
      <c r="U1363" s="40" t="s">
        <v>61</v>
      </c>
      <c r="V1363" s="41"/>
      <c r="W1363" s="42" t="str">
        <f ca="1">IFERROR(__xludf.DUMMYFUNCTION("""COMPUTED_VALUE"""),"Nizam Traveling")</f>
        <v>Nizam Traveling</v>
      </c>
      <c r="X1363" s="42" t="str">
        <f ca="1"/>
        <v>ON-Nizam Traveling-00011900+5-6285361118289</v>
      </c>
      <c r="Y1363" s="40"/>
      <c r="Z1363" s="40"/>
      <c r="AA1363" s="23" t="str">
        <v>https://wa.me/6285361118289</v>
      </c>
      <c r="AB1363" s="28"/>
      <c r="AC1363" s="28"/>
      <c r="AD1363" s="28"/>
      <c r="AE1363" s="28"/>
      <c r="AF1363" s="29"/>
      <c r="AG1363" s="29"/>
    </row>
    <row r="1364" spans="1:33" ht="15.75" customHeight="1">
      <c r="A1364" s="32" t="s">
        <v>52</v>
      </c>
      <c r="B1364" s="33">
        <v>1388</v>
      </c>
      <c r="C1364" s="34" t="s">
        <v>7443</v>
      </c>
      <c r="D1364" s="35">
        <v>45964.236154791666</v>
      </c>
      <c r="E1364" s="43">
        <v>45963</v>
      </c>
      <c r="F1364" s="32" t="s">
        <v>2544</v>
      </c>
      <c r="G1364" s="32" t="s">
        <v>2545</v>
      </c>
      <c r="H1364" s="32" t="s">
        <v>6977</v>
      </c>
      <c r="I1364" s="36" t="s">
        <v>2547</v>
      </c>
      <c r="J1364" s="52"/>
      <c r="K1364" s="32" t="s">
        <v>6978</v>
      </c>
      <c r="L1364" s="32" t="s">
        <v>2468</v>
      </c>
      <c r="M1364" s="32" t="s">
        <v>131</v>
      </c>
      <c r="N1364" s="33">
        <v>10</v>
      </c>
      <c r="O1364" s="35"/>
      <c r="P1364" s="35"/>
      <c r="Q1364" s="37"/>
      <c r="R1364" s="38"/>
      <c r="S1364" s="33"/>
      <c r="T1364" s="39">
        <v>375000</v>
      </c>
      <c r="U1364" s="40" t="s">
        <v>61</v>
      </c>
      <c r="V1364" s="41"/>
      <c r="W1364" s="42" t="str">
        <f ca="1">IFERROR(__xludf.DUMMYFUNCTION("""COMPUTED_VALUE"""),"Lubijo Berkah")</f>
        <v>Lubijo Berkah</v>
      </c>
      <c r="X1364" s="42" t="str">
        <f ca="1"/>
        <v>ON-Lubijo Berkah-00011900+10-6281233038880</v>
      </c>
      <c r="Y1364" s="40"/>
      <c r="Z1364" s="40"/>
      <c r="AA1364" s="23" t="str">
        <v>https://wa.me/6281233038880</v>
      </c>
      <c r="AB1364" s="28"/>
      <c r="AC1364" s="28"/>
      <c r="AD1364" s="28"/>
      <c r="AE1364" s="28"/>
      <c r="AF1364" s="29"/>
      <c r="AG1364" s="29"/>
    </row>
    <row r="1365" spans="1:33" ht="15.75" customHeight="1">
      <c r="A1365" s="32" t="s">
        <v>196</v>
      </c>
      <c r="B1365" s="33">
        <v>1371</v>
      </c>
      <c r="C1365" s="34" t="s">
        <v>7444</v>
      </c>
      <c r="D1365" s="35">
        <v>45961.342104027775</v>
      </c>
      <c r="E1365" s="43">
        <v>45960</v>
      </c>
      <c r="F1365" s="32" t="s">
        <v>7445</v>
      </c>
      <c r="G1365" s="32" t="s">
        <v>7446</v>
      </c>
      <c r="H1365" s="32" t="s">
        <v>7447</v>
      </c>
      <c r="I1365" s="36" t="s">
        <v>7448</v>
      </c>
      <c r="J1365" s="52"/>
      <c r="K1365" s="32" t="s">
        <v>7449</v>
      </c>
      <c r="L1365" s="32" t="s">
        <v>2468</v>
      </c>
      <c r="M1365" s="32" t="s">
        <v>60</v>
      </c>
      <c r="N1365" s="33">
        <v>30</v>
      </c>
      <c r="O1365" s="35">
        <v>45966</v>
      </c>
      <c r="P1365" s="35">
        <v>45995</v>
      </c>
      <c r="Q1365" s="37"/>
      <c r="R1365" s="38"/>
      <c r="S1365" s="33"/>
      <c r="T1365" s="39">
        <v>1000000</v>
      </c>
      <c r="U1365" s="40" t="s">
        <v>61</v>
      </c>
      <c r="V1365" s="41"/>
      <c r="W1365" s="42" t="str">
        <f ca="1">IFERROR(__xludf.DUMMYFUNCTION("""COMPUTED_VALUE"""),"Brand Dante")</f>
        <v>Brand Dante</v>
      </c>
      <c r="X1365" s="42" t="str">
        <f ca="1"/>
        <v>ON-Brand Dante-00011900+30-6285133445758</v>
      </c>
      <c r="Y1365" s="40" t="s">
        <v>62</v>
      </c>
      <c r="Z1365" s="40" t="s">
        <v>1465</v>
      </c>
      <c r="AA1365" s="23" t="str">
        <v>https://wa.me/6285133445758</v>
      </c>
      <c r="AB1365" s="28" t="s">
        <v>7450</v>
      </c>
      <c r="AC1365" s="28"/>
      <c r="AD1365" s="28" t="s">
        <v>690</v>
      </c>
      <c r="AE1365" s="28"/>
      <c r="AF1365" s="29"/>
      <c r="AG1365" s="29"/>
    </row>
    <row r="1366" spans="1:33" ht="15.75" customHeight="1">
      <c r="A1366" s="32" t="s">
        <v>196</v>
      </c>
      <c r="B1366" s="33">
        <v>1383</v>
      </c>
      <c r="C1366" s="34" t="s">
        <v>7451</v>
      </c>
      <c r="D1366" s="35">
        <v>45963.59989542824</v>
      </c>
      <c r="E1366" s="43">
        <v>45963</v>
      </c>
      <c r="F1366" s="32" t="s">
        <v>7452</v>
      </c>
      <c r="G1366" s="32" t="s">
        <v>7453</v>
      </c>
      <c r="H1366" s="32" t="s">
        <v>7454</v>
      </c>
      <c r="I1366" s="36" t="s">
        <v>7455</v>
      </c>
      <c r="J1366" s="52"/>
      <c r="K1366" s="32" t="s">
        <v>7456</v>
      </c>
      <c r="L1366" s="32" t="s">
        <v>7457</v>
      </c>
      <c r="M1366" s="32" t="s">
        <v>711</v>
      </c>
      <c r="N1366" s="33">
        <v>19</v>
      </c>
      <c r="O1366" s="35">
        <v>45966</v>
      </c>
      <c r="P1366" s="35">
        <v>45975</v>
      </c>
      <c r="Q1366" s="37"/>
      <c r="R1366" s="38"/>
      <c r="S1366" s="33"/>
      <c r="T1366" s="39">
        <v>375000</v>
      </c>
      <c r="U1366" s="40" t="s">
        <v>1229</v>
      </c>
      <c r="V1366" s="41"/>
      <c r="W1366" s="42" t="str">
        <f ca="1">IFERROR(__xludf.DUMMYFUNCTION("""COMPUTED_VALUE"""),"karraz learning")</f>
        <v>karraz learning</v>
      </c>
      <c r="X1366" s="42" t="str">
        <f ca="1"/>
        <v>ON-karraz learning-00011900+19-6285657199451</v>
      </c>
      <c r="Y1366" s="40" t="s">
        <v>62</v>
      </c>
      <c r="Z1366" s="40" t="s">
        <v>1404</v>
      </c>
      <c r="AA1366" s="23" t="str">
        <v>https://wa.me/6285657199451</v>
      </c>
      <c r="AB1366" s="28" t="s">
        <v>7458</v>
      </c>
      <c r="AC1366" s="28"/>
      <c r="AD1366" s="28" t="s">
        <v>690</v>
      </c>
      <c r="AE1366" s="28"/>
      <c r="AF1366" s="29"/>
      <c r="AG1366" s="29"/>
    </row>
    <row r="1367" spans="1:33" ht="15.75" customHeight="1">
      <c r="A1367" s="32" t="s">
        <v>52</v>
      </c>
      <c r="B1367" s="33">
        <v>1391</v>
      </c>
      <c r="C1367" s="34" t="s">
        <v>7382</v>
      </c>
      <c r="D1367" s="35">
        <v>45964.454854097217</v>
      </c>
      <c r="E1367" s="43">
        <v>45964</v>
      </c>
      <c r="F1367" s="32" t="s">
        <v>4689</v>
      </c>
      <c r="G1367" s="32" t="s">
        <v>4690</v>
      </c>
      <c r="H1367" s="32" t="s">
        <v>3927</v>
      </c>
      <c r="I1367" s="36" t="s">
        <v>4691</v>
      </c>
      <c r="J1367" s="52" t="s">
        <v>5510</v>
      </c>
      <c r="K1367" s="32" t="s">
        <v>3520</v>
      </c>
      <c r="L1367" s="32" t="s">
        <v>964</v>
      </c>
      <c r="M1367" s="32" t="s">
        <v>382</v>
      </c>
      <c r="N1367" s="33">
        <v>20</v>
      </c>
      <c r="O1367" s="35"/>
      <c r="P1367" s="35"/>
      <c r="Q1367" s="37"/>
      <c r="R1367" s="38"/>
      <c r="S1367" s="33"/>
      <c r="T1367" s="39">
        <v>700000</v>
      </c>
      <c r="U1367" s="40" t="s">
        <v>115</v>
      </c>
      <c r="V1367" s="41"/>
      <c r="W1367" s="42" t="str">
        <f ca="1">IFERROR(__xludf.DUMMYFUNCTION("""COMPUTED_VALUE"""),"MEGAH PLAFON")</f>
        <v>MEGAH PLAFON</v>
      </c>
      <c r="X1367" s="42" t="str">
        <f ca="1"/>
        <v>ON-MEGAH PLAFON-00011900+20-6281323291817</v>
      </c>
      <c r="Y1367" s="40"/>
      <c r="Z1367" s="40"/>
      <c r="AA1367" s="23" t="str">
        <v>https://wa.me/6281323291817</v>
      </c>
      <c r="AB1367" s="28"/>
      <c r="AC1367" s="28"/>
      <c r="AD1367" s="28"/>
      <c r="AE1367" s="28"/>
      <c r="AF1367" s="29"/>
      <c r="AG1367" s="29"/>
    </row>
    <row r="1368" spans="1:33" ht="15.75" customHeight="1">
      <c r="A1368" s="32" t="s">
        <v>196</v>
      </c>
      <c r="B1368" s="33">
        <v>1389</v>
      </c>
      <c r="C1368" s="34" t="s">
        <v>7459</v>
      </c>
      <c r="D1368" s="35">
        <v>45964.24409670139</v>
      </c>
      <c r="E1368" s="43">
        <v>45963</v>
      </c>
      <c r="F1368" s="32" t="s">
        <v>7460</v>
      </c>
      <c r="G1368" s="32" t="s">
        <v>7461</v>
      </c>
      <c r="H1368" s="32" t="s">
        <v>595</v>
      </c>
      <c r="I1368" s="36" t="s">
        <v>7462</v>
      </c>
      <c r="J1368" s="52" t="s">
        <v>7463</v>
      </c>
      <c r="K1368" s="32" t="s">
        <v>7464</v>
      </c>
      <c r="L1368" s="32" t="s">
        <v>490</v>
      </c>
      <c r="M1368" s="32" t="s">
        <v>60</v>
      </c>
      <c r="N1368" s="33">
        <v>5</v>
      </c>
      <c r="O1368" s="35">
        <v>45966</v>
      </c>
      <c r="P1368" s="35">
        <v>45970</v>
      </c>
      <c r="Q1368" s="37"/>
      <c r="R1368" s="38"/>
      <c r="S1368" s="33"/>
      <c r="T1368" s="39">
        <v>197000</v>
      </c>
      <c r="U1368" s="40" t="s">
        <v>61</v>
      </c>
      <c r="V1368" s="41"/>
      <c r="W1368" s="42" t="str">
        <f ca="1">IFERROR(__xludf.DUMMYFUNCTION("""COMPUTED_VALUE"""),"PT Mandar")</f>
        <v>PT Mandar</v>
      </c>
      <c r="X1368" s="42" t="str">
        <f ca="1"/>
        <v>ON-PT Mandar-00011900+5-6281524365621</v>
      </c>
      <c r="Y1368" s="40" t="s">
        <v>293</v>
      </c>
      <c r="Z1368" s="40" t="s">
        <v>1057</v>
      </c>
      <c r="AA1368" s="23" t="str">
        <v>https://wa.me/6281524365621</v>
      </c>
      <c r="AB1368" s="28" t="s">
        <v>7465</v>
      </c>
      <c r="AC1368" s="28"/>
      <c r="AD1368" s="28" t="s">
        <v>690</v>
      </c>
      <c r="AE1368" s="28"/>
      <c r="AF1368" s="29"/>
      <c r="AG1368" s="29"/>
    </row>
    <row r="1369" spans="1:33" ht="15.75" customHeight="1">
      <c r="A1369" s="32" t="s">
        <v>196</v>
      </c>
      <c r="B1369" s="33">
        <v>1403</v>
      </c>
      <c r="C1369" s="34" t="s">
        <v>7466</v>
      </c>
      <c r="D1369" s="35">
        <v>45965.380479525462</v>
      </c>
      <c r="E1369" s="43">
        <v>45964</v>
      </c>
      <c r="F1369" s="32" t="s">
        <v>7467</v>
      </c>
      <c r="G1369" s="32" t="s">
        <v>7468</v>
      </c>
      <c r="H1369" s="32" t="s">
        <v>7469</v>
      </c>
      <c r="I1369" s="36" t="s">
        <v>7470</v>
      </c>
      <c r="J1369" s="52"/>
      <c r="K1369" s="32" t="s">
        <v>7471</v>
      </c>
      <c r="L1369" s="32" t="s">
        <v>92</v>
      </c>
      <c r="M1369" s="32" t="s">
        <v>60</v>
      </c>
      <c r="N1369" s="33">
        <v>5</v>
      </c>
      <c r="O1369" s="35">
        <v>45966</v>
      </c>
      <c r="P1369" s="35">
        <v>45970</v>
      </c>
      <c r="Q1369" s="37"/>
      <c r="R1369" s="38"/>
      <c r="S1369" s="33"/>
      <c r="T1369" s="39">
        <v>197000</v>
      </c>
      <c r="U1369" s="40" t="s">
        <v>61</v>
      </c>
      <c r="V1369" s="41"/>
      <c r="W1369" s="42" t="str">
        <f ca="1">IFERROR(__xludf.DUMMYFUNCTION("""COMPUTED_VALUE"""),"Mie Owi")</f>
        <v>Mie Owi</v>
      </c>
      <c r="X1369" s="42" t="str">
        <f ca="1"/>
        <v>ON-Mie Owi-00011900+5-6289508272900</v>
      </c>
      <c r="Y1369" s="40" t="s">
        <v>62</v>
      </c>
      <c r="Z1369" s="40" t="s">
        <v>3620</v>
      </c>
      <c r="AA1369" s="23" t="str">
        <v>https://wa.me/6289508272900</v>
      </c>
      <c r="AB1369" s="28" t="s">
        <v>7472</v>
      </c>
      <c r="AC1369" s="28"/>
      <c r="AD1369" s="28" t="s">
        <v>690</v>
      </c>
      <c r="AE1369" s="28"/>
      <c r="AF1369" s="29"/>
      <c r="AG1369" s="29"/>
    </row>
    <row r="1370" spans="1:33" ht="15.75" customHeight="1">
      <c r="A1370" s="32" t="s">
        <v>196</v>
      </c>
      <c r="B1370" s="33">
        <v>1409</v>
      </c>
      <c r="C1370" s="34" t="s">
        <v>7473</v>
      </c>
      <c r="D1370" s="35">
        <v>45965.78878293981</v>
      </c>
      <c r="E1370" s="43">
        <v>45965</v>
      </c>
      <c r="F1370" s="32" t="s">
        <v>7474</v>
      </c>
      <c r="G1370" s="32" t="s">
        <v>7475</v>
      </c>
      <c r="H1370" s="32"/>
      <c r="I1370" s="36" t="s">
        <v>7476</v>
      </c>
      <c r="J1370" s="52"/>
      <c r="K1370" s="32" t="s">
        <v>7477</v>
      </c>
      <c r="L1370" s="32" t="s">
        <v>318</v>
      </c>
      <c r="M1370" s="32" t="s">
        <v>1674</v>
      </c>
      <c r="N1370" s="33">
        <v>5</v>
      </c>
      <c r="O1370" s="35">
        <v>45966</v>
      </c>
      <c r="P1370" s="35">
        <v>45971</v>
      </c>
      <c r="Q1370" s="37"/>
      <c r="R1370" s="38"/>
      <c r="S1370" s="33"/>
      <c r="T1370" s="39">
        <v>197000</v>
      </c>
      <c r="U1370" s="40" t="s">
        <v>115</v>
      </c>
      <c r="V1370" s="41"/>
      <c r="W1370" s="42" t="str">
        <f ca="1">IFERROR(__xludf.DUMMYFUNCTION("""COMPUTED_VALUE"""),"Eny J")</f>
        <v>Eny J</v>
      </c>
      <c r="X1370" s="42" t="str">
        <f ca="1"/>
        <v>ON-Eny J-00011900+5-62882008315520</v>
      </c>
      <c r="Y1370" s="40" t="s">
        <v>62</v>
      </c>
      <c r="Z1370" s="40" t="s">
        <v>639</v>
      </c>
      <c r="AA1370" s="23" t="str">
        <v>https://wa.me/62882008315520</v>
      </c>
      <c r="AB1370" s="28" t="s">
        <v>7478</v>
      </c>
      <c r="AC1370" s="28"/>
      <c r="AD1370" s="28" t="s">
        <v>690</v>
      </c>
      <c r="AE1370" s="28"/>
      <c r="AF1370" s="29"/>
      <c r="AG1370" s="29"/>
    </row>
    <row r="1371" spans="1:33" ht="15.75" customHeight="1">
      <c r="A1371" s="32" t="s">
        <v>52</v>
      </c>
      <c r="B1371" s="33">
        <v>1396</v>
      </c>
      <c r="C1371" s="34" t="s">
        <v>7479</v>
      </c>
      <c r="D1371" s="35">
        <v>45965.233680787038</v>
      </c>
      <c r="E1371" s="43">
        <v>45965</v>
      </c>
      <c r="F1371" s="32" t="s">
        <v>2479</v>
      </c>
      <c r="G1371" s="32" t="s">
        <v>2480</v>
      </c>
      <c r="H1371" s="32" t="s">
        <v>2481</v>
      </c>
      <c r="I1371" s="36" t="s">
        <v>2482</v>
      </c>
      <c r="J1371" s="52"/>
      <c r="K1371" s="32" t="s">
        <v>2483</v>
      </c>
      <c r="L1371" s="32" t="s">
        <v>1628</v>
      </c>
      <c r="M1371" s="32" t="s">
        <v>60</v>
      </c>
      <c r="N1371" s="33">
        <v>10</v>
      </c>
      <c r="O1371" s="35"/>
      <c r="P1371" s="35"/>
      <c r="Q1371" s="37"/>
      <c r="R1371" s="38"/>
      <c r="S1371" s="33"/>
      <c r="T1371" s="39">
        <v>375000</v>
      </c>
      <c r="U1371" s="40" t="s">
        <v>115</v>
      </c>
      <c r="V1371" s="41"/>
      <c r="W1371" s="42" t="str">
        <f ca="1">IFERROR(__xludf.DUMMYFUNCTION("""COMPUTED_VALUE"""),"AURIGA KONTRAKTOR")</f>
        <v>AURIGA KONTRAKTOR</v>
      </c>
      <c r="X1371" s="42" t="str">
        <f ca="1"/>
        <v>ON-AURIGA KONTRAKTOR-00011900+10-6287856230745</v>
      </c>
      <c r="Y1371" s="40"/>
      <c r="Z1371" s="40"/>
      <c r="AA1371" s="23" t="str">
        <v>https://wa.me/6287856230745</v>
      </c>
      <c r="AB1371" s="28"/>
      <c r="AC1371" s="28"/>
      <c r="AD1371" s="28"/>
      <c r="AE1371" s="28"/>
      <c r="AF1371" s="29"/>
      <c r="AG1371" s="29"/>
    </row>
    <row r="1372" spans="1:33" ht="15.75" customHeight="1">
      <c r="A1372" s="32" t="s">
        <v>52</v>
      </c>
      <c r="B1372" s="33">
        <v>1397</v>
      </c>
      <c r="C1372" s="34" t="s">
        <v>7480</v>
      </c>
      <c r="D1372" s="35">
        <v>45965.251493981486</v>
      </c>
      <c r="E1372" s="43">
        <v>45965</v>
      </c>
      <c r="F1372" s="32" t="s">
        <v>5412</v>
      </c>
      <c r="G1372" s="32" t="s">
        <v>7481</v>
      </c>
      <c r="H1372" s="32" t="s">
        <v>298</v>
      </c>
      <c r="I1372" s="36" t="s">
        <v>5414</v>
      </c>
      <c r="J1372" s="52"/>
      <c r="K1372" s="32" t="s">
        <v>5415</v>
      </c>
      <c r="L1372" s="32" t="s">
        <v>4886</v>
      </c>
      <c r="M1372" s="32" t="s">
        <v>382</v>
      </c>
      <c r="N1372" s="33">
        <v>5</v>
      </c>
      <c r="O1372" s="35"/>
      <c r="P1372" s="35"/>
      <c r="Q1372" s="37"/>
      <c r="R1372" s="38"/>
      <c r="S1372" s="33"/>
      <c r="T1372" s="39">
        <v>197000</v>
      </c>
      <c r="U1372" s="40" t="s">
        <v>115</v>
      </c>
      <c r="V1372" s="41"/>
      <c r="W1372" s="42" t="str">
        <f ca="1">IFERROR(__xludf.DUMMYFUNCTION("""COMPUTED_VALUE"""),"Adam stell")</f>
        <v>Adam stell</v>
      </c>
      <c r="X1372" s="42" t="str">
        <f ca="1"/>
        <v>ON-Adam stell-00011900+5-628990570840</v>
      </c>
      <c r="Y1372" s="40"/>
      <c r="Z1372" s="40"/>
      <c r="AA1372" s="23" t="str">
        <v>https://wa.me/628990570840</v>
      </c>
      <c r="AB1372" s="28"/>
      <c r="AC1372" s="28"/>
      <c r="AD1372" s="28"/>
      <c r="AE1372" s="28"/>
      <c r="AF1372" s="29"/>
      <c r="AG1372" s="29"/>
    </row>
    <row r="1373" spans="1:33" ht="15.75" customHeight="1">
      <c r="A1373" s="32" t="s">
        <v>196</v>
      </c>
      <c r="B1373" s="33">
        <v>1393</v>
      </c>
      <c r="C1373" s="34" t="s">
        <v>7482</v>
      </c>
      <c r="D1373" s="35">
        <v>45964.780323854167</v>
      </c>
      <c r="E1373" s="43">
        <v>45964</v>
      </c>
      <c r="F1373" s="32" t="s">
        <v>4393</v>
      </c>
      <c r="G1373" s="32" t="s">
        <v>7483</v>
      </c>
      <c r="H1373" s="32" t="s">
        <v>7484</v>
      </c>
      <c r="I1373" s="36" t="s">
        <v>7485</v>
      </c>
      <c r="J1373" s="52"/>
      <c r="K1373" s="32" t="s">
        <v>7486</v>
      </c>
      <c r="L1373" s="32" t="s">
        <v>360</v>
      </c>
      <c r="M1373" s="32" t="s">
        <v>382</v>
      </c>
      <c r="N1373" s="33">
        <v>5</v>
      </c>
      <c r="O1373" s="35">
        <v>45967</v>
      </c>
      <c r="P1373" s="35">
        <v>45971</v>
      </c>
      <c r="Q1373" s="37"/>
      <c r="R1373" s="38"/>
      <c r="S1373" s="33"/>
      <c r="T1373" s="39">
        <v>197000</v>
      </c>
      <c r="U1373" s="40" t="s">
        <v>115</v>
      </c>
      <c r="V1373" s="41"/>
      <c r="W1373" s="42" t="str">
        <f ca="1">IFERROR(__xludf.DUMMYFUNCTION("""COMPUTED_VALUE"""),"Samudra Creatif")</f>
        <v>Samudra Creatif</v>
      </c>
      <c r="X1373" s="42" t="str">
        <f ca="1"/>
        <v>ON-Samudra Creatif-00011900+5-6282147314512</v>
      </c>
      <c r="Y1373" s="40" t="s">
        <v>293</v>
      </c>
      <c r="Z1373" s="40" t="s">
        <v>1057</v>
      </c>
      <c r="AA1373" s="23" t="str">
        <v>https://wa.me/6282147314512</v>
      </c>
      <c r="AB1373" s="28" t="s">
        <v>7487</v>
      </c>
      <c r="AC1373" s="28"/>
      <c r="AD1373" s="28" t="s">
        <v>690</v>
      </c>
      <c r="AE1373" s="28"/>
      <c r="AF1373" s="29"/>
      <c r="AG1373" s="29"/>
    </row>
    <row r="1374" spans="1:33" ht="15.75" customHeight="1">
      <c r="A1374" s="32" t="s">
        <v>196</v>
      </c>
      <c r="B1374" s="33">
        <v>1394</v>
      </c>
      <c r="C1374" s="34" t="s">
        <v>7488</v>
      </c>
      <c r="D1374" s="35">
        <v>45964.807030613425</v>
      </c>
      <c r="E1374" s="43">
        <v>45964</v>
      </c>
      <c r="F1374" s="32" t="s">
        <v>7489</v>
      </c>
      <c r="G1374" s="32" t="s">
        <v>7490</v>
      </c>
      <c r="H1374" s="32" t="s">
        <v>1711</v>
      </c>
      <c r="I1374" s="36" t="s">
        <v>7491</v>
      </c>
      <c r="J1374" s="52"/>
      <c r="K1374" s="32" t="s">
        <v>7492</v>
      </c>
      <c r="L1374" s="32" t="s">
        <v>7493</v>
      </c>
      <c r="M1374" s="32" t="s">
        <v>7494</v>
      </c>
      <c r="N1374" s="33">
        <v>5</v>
      </c>
      <c r="O1374" s="35">
        <v>45967</v>
      </c>
      <c r="P1374" s="35">
        <v>45971</v>
      </c>
      <c r="Q1374" s="37"/>
      <c r="R1374" s="38"/>
      <c r="S1374" s="33"/>
      <c r="T1374" s="39">
        <v>197000</v>
      </c>
      <c r="U1374" s="40" t="s">
        <v>1229</v>
      </c>
      <c r="V1374" s="41"/>
      <c r="W1374" s="42" t="str">
        <f ca="1">IFERROR(__xludf.DUMMYFUNCTION("""COMPUTED_VALUE"""),"Klinik bidan")</f>
        <v>Klinik bidan</v>
      </c>
      <c r="X1374" s="42" t="str">
        <f ca="1"/>
        <v>ON-Klinik bidan-00011900+5-6282124101919</v>
      </c>
      <c r="Y1374" s="40" t="s">
        <v>62</v>
      </c>
      <c r="Z1374" s="40" t="s">
        <v>639</v>
      </c>
      <c r="AA1374" s="23" t="str">
        <v>https://wa.me/6282124101919</v>
      </c>
      <c r="AB1374" s="28" t="s">
        <v>7495</v>
      </c>
      <c r="AC1374" s="28"/>
      <c r="AD1374" s="28" t="s">
        <v>690</v>
      </c>
      <c r="AE1374" s="28"/>
      <c r="AF1374" s="29"/>
      <c r="AG1374" s="29"/>
    </row>
    <row r="1375" spans="1:33" ht="15.75" customHeight="1">
      <c r="A1375" s="32" t="s">
        <v>196</v>
      </c>
      <c r="B1375" s="33">
        <v>1395</v>
      </c>
      <c r="C1375" s="34" t="s">
        <v>7496</v>
      </c>
      <c r="D1375" s="35">
        <v>45964.93761025463</v>
      </c>
      <c r="E1375" s="43">
        <v>45964</v>
      </c>
      <c r="F1375" s="32" t="s">
        <v>3886</v>
      </c>
      <c r="G1375" s="32" t="s">
        <v>7497</v>
      </c>
      <c r="H1375" s="32" t="s">
        <v>7498</v>
      </c>
      <c r="I1375" s="36" t="s">
        <v>3888</v>
      </c>
      <c r="J1375" s="52"/>
      <c r="K1375" s="32" t="s">
        <v>1194</v>
      </c>
      <c r="L1375" s="32" t="s">
        <v>4947</v>
      </c>
      <c r="M1375" s="32" t="s">
        <v>92</v>
      </c>
      <c r="N1375" s="33">
        <v>30</v>
      </c>
      <c r="O1375" s="35">
        <v>45967</v>
      </c>
      <c r="P1375" s="35">
        <v>45996</v>
      </c>
      <c r="Q1375" s="37"/>
      <c r="R1375" s="38"/>
      <c r="S1375" s="33"/>
      <c r="T1375" s="39">
        <v>1000000</v>
      </c>
      <c r="U1375" s="40" t="s">
        <v>1229</v>
      </c>
      <c r="V1375" s="41"/>
      <c r="W1375" s="42" t="str">
        <f ca="1">IFERROR(__xludf.DUMMYFUNCTION("""COMPUTED_VALUE"""),"Kutai holiday")</f>
        <v>Kutai holiday</v>
      </c>
      <c r="X1375" s="42" t="str">
        <f ca="1"/>
        <v>ON-Kutai holiday-00011900+30-6282153090123</v>
      </c>
      <c r="Y1375" s="40" t="s">
        <v>62</v>
      </c>
      <c r="Z1375" s="40" t="s">
        <v>1880</v>
      </c>
      <c r="AA1375" s="23" t="str">
        <v>https://wa.me/6282153090123</v>
      </c>
      <c r="AB1375" s="28" t="s">
        <v>7499</v>
      </c>
      <c r="AC1375" s="28"/>
      <c r="AD1375" s="28" t="s">
        <v>690</v>
      </c>
      <c r="AE1375" s="28"/>
      <c r="AF1375" s="29"/>
      <c r="AG1375" s="29"/>
    </row>
    <row r="1376" spans="1:33" ht="15.75" customHeight="1">
      <c r="A1376" s="32" t="s">
        <v>52</v>
      </c>
      <c r="B1376" s="33">
        <v>1401</v>
      </c>
      <c r="C1376" s="34" t="s">
        <v>7500</v>
      </c>
      <c r="D1376" s="35">
        <v>45965.316868020833</v>
      </c>
      <c r="E1376" s="43">
        <v>45964</v>
      </c>
      <c r="F1376" s="32" t="s">
        <v>2419</v>
      </c>
      <c r="G1376" s="32" t="s">
        <v>2420</v>
      </c>
      <c r="H1376" s="32" t="s">
        <v>1711</v>
      </c>
      <c r="I1376" s="36" t="s">
        <v>2421</v>
      </c>
      <c r="J1376" s="52"/>
      <c r="K1376" s="32" t="s">
        <v>7501</v>
      </c>
      <c r="L1376" s="32" t="s">
        <v>2500</v>
      </c>
      <c r="M1376" s="32" t="s">
        <v>249</v>
      </c>
      <c r="N1376" s="33">
        <v>7</v>
      </c>
      <c r="O1376" s="35"/>
      <c r="P1376" s="35"/>
      <c r="Q1376" s="37"/>
      <c r="R1376" s="38"/>
      <c r="S1376" s="33"/>
      <c r="T1376" s="39">
        <v>297000</v>
      </c>
      <c r="U1376" s="40" t="s">
        <v>1774</v>
      </c>
      <c r="V1376" s="41"/>
      <c r="W1376" s="42" t="str">
        <f ca="1">IFERROR(__xludf.DUMMYFUNCTION("""COMPUTED_VALUE"""),"Pelatihan Bekam")</f>
        <v>Pelatihan Bekam</v>
      </c>
      <c r="X1376" s="42" t="str">
        <f ca="1"/>
        <v>ON-Pelatihan Bekam-00011900+7-6283865096870</v>
      </c>
      <c r="Y1376" s="40"/>
      <c r="Z1376" s="40"/>
      <c r="AA1376" s="23" t="str">
        <v>https://wa.me/6283865096870</v>
      </c>
      <c r="AB1376" s="28"/>
      <c r="AC1376" s="28"/>
      <c r="AD1376" s="28"/>
      <c r="AE1376" s="28"/>
      <c r="AF1376" s="29"/>
      <c r="AG1376" s="29"/>
    </row>
    <row r="1377" spans="1:33" ht="15.75" customHeight="1">
      <c r="A1377" s="32" t="s">
        <v>196</v>
      </c>
      <c r="B1377" s="33">
        <v>1399</v>
      </c>
      <c r="C1377" s="34" t="s">
        <v>7502</v>
      </c>
      <c r="D1377" s="35">
        <v>45965.290487129634</v>
      </c>
      <c r="E1377" s="43">
        <v>45965</v>
      </c>
      <c r="F1377" s="32" t="s">
        <v>7503</v>
      </c>
      <c r="G1377" s="32" t="s">
        <v>7504</v>
      </c>
      <c r="H1377" s="32" t="s">
        <v>495</v>
      </c>
      <c r="I1377" s="36" t="s">
        <v>7505</v>
      </c>
      <c r="J1377" s="52" t="s">
        <v>7506</v>
      </c>
      <c r="K1377" s="32" t="s">
        <v>7507</v>
      </c>
      <c r="L1377" s="32" t="s">
        <v>696</v>
      </c>
      <c r="M1377" s="32" t="s">
        <v>382</v>
      </c>
      <c r="N1377" s="33">
        <v>5</v>
      </c>
      <c r="O1377" s="35">
        <v>45967</v>
      </c>
      <c r="P1377" s="35">
        <v>45971</v>
      </c>
      <c r="Q1377" s="37"/>
      <c r="R1377" s="38"/>
      <c r="S1377" s="33"/>
      <c r="T1377" s="39">
        <v>197000</v>
      </c>
      <c r="U1377" s="40" t="s">
        <v>115</v>
      </c>
      <c r="V1377" s="41"/>
      <c r="W1377" s="42" t="str">
        <f ca="1">IFERROR(__xludf.DUMMYFUNCTION("""COMPUTED_VALUE"""),"Anti sambat")</f>
        <v>Anti sambat</v>
      </c>
      <c r="X1377" s="42" t="str">
        <f ca="1"/>
        <v>ON-Anti sambat-00011900+5-6281299670702</v>
      </c>
      <c r="Y1377" s="40" t="s">
        <v>293</v>
      </c>
      <c r="Z1377" s="40" t="s">
        <v>1057</v>
      </c>
      <c r="AA1377" s="23" t="str">
        <v>https://wa.me/6281299670702</v>
      </c>
      <c r="AB1377" s="28" t="s">
        <v>7508</v>
      </c>
      <c r="AC1377" s="28"/>
      <c r="AD1377" s="28" t="s">
        <v>690</v>
      </c>
      <c r="AE1377" s="28"/>
      <c r="AF1377" s="29"/>
      <c r="AG1377" s="29"/>
    </row>
    <row r="1378" spans="1:33" ht="15.75" customHeight="1">
      <c r="A1378" s="32" t="s">
        <v>196</v>
      </c>
      <c r="B1378" s="33">
        <v>1402</v>
      </c>
      <c r="C1378" s="34" t="s">
        <v>7509</v>
      </c>
      <c r="D1378" s="35">
        <v>45965.371860277781</v>
      </c>
      <c r="E1378" s="43">
        <v>45965</v>
      </c>
      <c r="F1378" s="32" t="s">
        <v>7510</v>
      </c>
      <c r="G1378" s="32" t="s">
        <v>7511</v>
      </c>
      <c r="H1378" s="32" t="s">
        <v>7512</v>
      </c>
      <c r="I1378" s="36" t="s">
        <v>7513</v>
      </c>
      <c r="J1378" s="52"/>
      <c r="K1378" s="32" t="s">
        <v>7514</v>
      </c>
      <c r="L1378" s="32" t="s">
        <v>3762</v>
      </c>
      <c r="M1378" s="32" t="s">
        <v>92</v>
      </c>
      <c r="N1378" s="33">
        <v>5</v>
      </c>
      <c r="O1378" s="35">
        <v>45967</v>
      </c>
      <c r="P1378" s="35">
        <v>45971</v>
      </c>
      <c r="Q1378" s="37"/>
      <c r="R1378" s="38"/>
      <c r="S1378" s="33"/>
      <c r="T1378" s="39">
        <v>197000</v>
      </c>
      <c r="U1378" s="40" t="s">
        <v>1229</v>
      </c>
      <c r="V1378" s="41"/>
      <c r="W1378" s="42" t="str">
        <f ca="1">IFERROR(__xludf.DUMMYFUNCTION("""COMPUTED_VALUE"""),"Jasa bangun")</f>
        <v>Jasa bangun</v>
      </c>
      <c r="X1378" s="42" t="str">
        <f ca="1"/>
        <v>ON-Jasa bangun-00011900+5-6281275085000</v>
      </c>
      <c r="Y1378" s="40" t="s">
        <v>293</v>
      </c>
      <c r="Z1378" s="40" t="s">
        <v>1057</v>
      </c>
      <c r="AA1378" s="23" t="str">
        <v>https://wa.me/6281275085000</v>
      </c>
      <c r="AB1378" s="28" t="s">
        <v>7515</v>
      </c>
      <c r="AC1378" s="28"/>
      <c r="AD1378" s="28"/>
      <c r="AE1378" s="28"/>
      <c r="AF1378" s="29"/>
      <c r="AG1378" s="29"/>
    </row>
    <row r="1379" spans="1:33" ht="15.75" customHeight="1">
      <c r="A1379" s="32" t="s">
        <v>621</v>
      </c>
      <c r="B1379" s="33">
        <v>1404</v>
      </c>
      <c r="C1379" s="34" t="s">
        <v>7516</v>
      </c>
      <c r="D1379" s="35">
        <v>45965.398010659723</v>
      </c>
      <c r="E1379" s="43">
        <v>45964</v>
      </c>
      <c r="F1379" s="32" t="s">
        <v>7517</v>
      </c>
      <c r="G1379" s="32" t="s">
        <v>7518</v>
      </c>
      <c r="H1379" s="32" t="s">
        <v>7519</v>
      </c>
      <c r="I1379" s="36" t="s">
        <v>7520</v>
      </c>
      <c r="J1379" s="52" t="s">
        <v>7521</v>
      </c>
      <c r="K1379" s="32" t="s">
        <v>374</v>
      </c>
      <c r="L1379" s="32" t="s">
        <v>5081</v>
      </c>
      <c r="M1379" s="32" t="s">
        <v>249</v>
      </c>
      <c r="N1379" s="33">
        <v>5</v>
      </c>
      <c r="O1379" s="35"/>
      <c r="P1379" s="35"/>
      <c r="Q1379" s="37"/>
      <c r="R1379" s="38"/>
      <c r="S1379" s="33"/>
      <c r="T1379" s="39">
        <v>197000</v>
      </c>
      <c r="U1379" s="40" t="s">
        <v>61</v>
      </c>
      <c r="V1379" s="41"/>
      <c r="W1379" s="42" t="str">
        <f ca="1">IFERROR(__xludf.DUMMYFUNCTION("""COMPUTED_VALUE"""),"Japro Boston")</f>
        <v>Japro Boston</v>
      </c>
      <c r="X1379" s="42" t="str">
        <f ca="1"/>
        <v>ON-Japro Boston-00011900+5-628119581969</v>
      </c>
      <c r="Y1379" s="40"/>
      <c r="Z1379" s="40"/>
      <c r="AA1379" s="23" t="str">
        <v>https://wa.me/628119581969</v>
      </c>
      <c r="AB1379" s="28"/>
      <c r="AC1379" s="28"/>
      <c r="AD1379" s="28"/>
      <c r="AE1379" s="28"/>
      <c r="AF1379" s="29"/>
      <c r="AG1379" s="29"/>
    </row>
    <row r="1380" spans="1:33" ht="15.75" customHeight="1">
      <c r="A1380" s="32" t="s">
        <v>52</v>
      </c>
      <c r="B1380" s="33">
        <v>1405</v>
      </c>
      <c r="C1380" s="34" t="s">
        <v>7522</v>
      </c>
      <c r="D1380" s="35">
        <v>45965.460356377313</v>
      </c>
      <c r="E1380" s="43">
        <v>45965</v>
      </c>
      <c r="F1380" s="32" t="s">
        <v>3241</v>
      </c>
      <c r="G1380" s="32" t="s">
        <v>4495</v>
      </c>
      <c r="H1380" s="32" t="s">
        <v>3243</v>
      </c>
      <c r="I1380" s="36" t="s">
        <v>3244</v>
      </c>
      <c r="J1380" s="52" t="s">
        <v>7523</v>
      </c>
      <c r="K1380" s="32" t="s">
        <v>4496</v>
      </c>
      <c r="L1380" s="32" t="s">
        <v>166</v>
      </c>
      <c r="M1380" s="32" t="s">
        <v>249</v>
      </c>
      <c r="N1380" s="33">
        <v>10</v>
      </c>
      <c r="O1380" s="35"/>
      <c r="P1380" s="35"/>
      <c r="Q1380" s="37"/>
      <c r="R1380" s="38"/>
      <c r="S1380" s="33"/>
      <c r="T1380" s="39">
        <v>375000</v>
      </c>
      <c r="U1380" s="40" t="s">
        <v>1774</v>
      </c>
      <c r="V1380" s="41"/>
      <c r="W1380" s="42" t="str">
        <f ca="1">IFERROR(__xludf.DUMMYFUNCTION("""COMPUTED_VALUE"""),"Totok saraf")</f>
        <v>Totok saraf</v>
      </c>
      <c r="X1380" s="42" t="str">
        <f ca="1"/>
        <v>ON-Totok saraf-00011900+10-6281330410391</v>
      </c>
      <c r="Y1380" s="40"/>
      <c r="Z1380" s="40"/>
      <c r="AA1380" s="23" t="str">
        <v>https://wa.me/6281330410391</v>
      </c>
      <c r="AB1380" s="28"/>
      <c r="AC1380" s="28"/>
      <c r="AD1380" s="28"/>
      <c r="AE1380" s="28"/>
      <c r="AF1380" s="29"/>
      <c r="AG1380" s="29"/>
    </row>
    <row r="1381" spans="1:33" ht="15.75" customHeight="1">
      <c r="A1381" s="32" t="s">
        <v>52</v>
      </c>
      <c r="B1381" s="33">
        <v>1406</v>
      </c>
      <c r="C1381" s="34" t="s">
        <v>7524</v>
      </c>
      <c r="D1381" s="35">
        <v>45965.46152621528</v>
      </c>
      <c r="E1381" s="43">
        <v>45965</v>
      </c>
      <c r="F1381" s="32" t="s">
        <v>1020</v>
      </c>
      <c r="G1381" s="32" t="s">
        <v>1021</v>
      </c>
      <c r="H1381" s="32" t="s">
        <v>1022</v>
      </c>
      <c r="I1381" s="36" t="s">
        <v>1023</v>
      </c>
      <c r="J1381" s="52" t="s">
        <v>3700</v>
      </c>
      <c r="K1381" s="32" t="s">
        <v>1024</v>
      </c>
      <c r="L1381" s="32" t="s">
        <v>629</v>
      </c>
      <c r="M1381" s="32"/>
      <c r="N1381" s="33">
        <v>14</v>
      </c>
      <c r="O1381" s="35"/>
      <c r="P1381" s="35"/>
      <c r="Q1381" s="37"/>
      <c r="R1381" s="38"/>
      <c r="S1381" s="33"/>
      <c r="T1381" s="39">
        <v>910000</v>
      </c>
      <c r="U1381" s="40" t="s">
        <v>115</v>
      </c>
      <c r="V1381" s="41"/>
      <c r="W1381" s="42" t="str">
        <f ca="1">IFERROR(__xludf.DUMMYFUNCTION("""COMPUTED_VALUE"""),"Deriano")</f>
        <v>Deriano</v>
      </c>
      <c r="X1381" s="42" t="str">
        <f ca="1"/>
        <v>ON-Deriano-00011900+14-6282122880328</v>
      </c>
      <c r="Y1381" s="40"/>
      <c r="Z1381" s="40"/>
      <c r="AA1381" s="23" t="str">
        <v>https://wa.me/6282122880328</v>
      </c>
      <c r="AB1381" s="28"/>
      <c r="AC1381" s="28"/>
      <c r="AD1381" s="28"/>
      <c r="AE1381" s="28"/>
      <c r="AF1381" s="29"/>
      <c r="AG1381" s="29"/>
    </row>
    <row r="1382" spans="1:33" ht="15.75" customHeight="1">
      <c r="A1382" s="32" t="s">
        <v>196</v>
      </c>
      <c r="B1382" s="33">
        <v>1398</v>
      </c>
      <c r="C1382" s="34" t="s">
        <v>7525</v>
      </c>
      <c r="D1382" s="35">
        <v>45965.258724872685</v>
      </c>
      <c r="E1382" s="43">
        <v>45965</v>
      </c>
      <c r="F1382" s="32" t="s">
        <v>7526</v>
      </c>
      <c r="G1382" s="32" t="s">
        <v>7527</v>
      </c>
      <c r="H1382" s="32" t="s">
        <v>7528</v>
      </c>
      <c r="I1382" s="36" t="s">
        <v>7529</v>
      </c>
      <c r="J1382" s="52"/>
      <c r="K1382" s="32" t="s">
        <v>374</v>
      </c>
      <c r="L1382" s="32" t="s">
        <v>85</v>
      </c>
      <c r="M1382" s="32" t="s">
        <v>60</v>
      </c>
      <c r="N1382" s="33">
        <v>30</v>
      </c>
      <c r="O1382" s="35">
        <v>45968</v>
      </c>
      <c r="P1382" s="35">
        <v>45997</v>
      </c>
      <c r="Q1382" s="37"/>
      <c r="R1382" s="38"/>
      <c r="S1382" s="33"/>
      <c r="T1382" s="39">
        <v>1000000</v>
      </c>
      <c r="U1382" s="40" t="s">
        <v>61</v>
      </c>
      <c r="V1382" s="41"/>
      <c r="W1382" s="42" t="str">
        <f ca="1">IFERROR(__xludf.DUMMYFUNCTION("""COMPUTED_VALUE"""),"Jasa Sertifikasi")</f>
        <v>Jasa Sertifikasi</v>
      </c>
      <c r="X1382" s="42" t="str">
        <f ca="1"/>
        <v>ON-Jasa Sertifikasi-00011900+30-6285888695439</v>
      </c>
      <c r="Y1382" s="40" t="s">
        <v>62</v>
      </c>
      <c r="Z1382" s="40" t="s">
        <v>1465</v>
      </c>
      <c r="AA1382" s="23" t="str">
        <v>https://wa.me/6285888695439</v>
      </c>
      <c r="AB1382" s="28" t="s">
        <v>7530</v>
      </c>
      <c r="AC1382" s="28"/>
      <c r="AD1382" s="28" t="s">
        <v>690</v>
      </c>
      <c r="AE1382" s="28"/>
      <c r="AF1382" s="29"/>
      <c r="AG1382" s="29"/>
    </row>
    <row r="1383" spans="1:33" ht="15.75" customHeight="1">
      <c r="A1383" s="32" t="s">
        <v>196</v>
      </c>
      <c r="B1383" s="33">
        <v>1400</v>
      </c>
      <c r="C1383" s="34" t="s">
        <v>7531</v>
      </c>
      <c r="D1383" s="35">
        <v>45965.290674618052</v>
      </c>
      <c r="E1383" s="43">
        <v>45965</v>
      </c>
      <c r="F1383" s="32" t="s">
        <v>7532</v>
      </c>
      <c r="G1383" s="32" t="s">
        <v>7533</v>
      </c>
      <c r="H1383" s="32" t="s">
        <v>1030</v>
      </c>
      <c r="I1383" s="36" t="s">
        <v>7534</v>
      </c>
      <c r="J1383" s="52"/>
      <c r="K1383" s="32" t="s">
        <v>7535</v>
      </c>
      <c r="L1383" s="32" t="s">
        <v>7536</v>
      </c>
      <c r="M1383" s="32" t="s">
        <v>7537</v>
      </c>
      <c r="N1383" s="33">
        <v>5</v>
      </c>
      <c r="O1383" s="35">
        <v>45968</v>
      </c>
      <c r="P1383" s="35">
        <v>45972</v>
      </c>
      <c r="Q1383" s="37"/>
      <c r="R1383" s="38"/>
      <c r="S1383" s="33"/>
      <c r="T1383" s="39">
        <v>197000</v>
      </c>
      <c r="U1383" s="40" t="s">
        <v>115</v>
      </c>
      <c r="V1383" s="41"/>
      <c r="W1383" s="42" t="str">
        <f ca="1">IFERROR(__xludf.DUMMYFUNCTION("""COMPUTED_VALUE"""),"omah terapi")</f>
        <v>omah terapi</v>
      </c>
      <c r="X1383" s="42" t="str">
        <f ca="1"/>
        <v>ON-omah terapi-00011900+5-6282134406672</v>
      </c>
      <c r="Y1383" s="40" t="s">
        <v>62</v>
      </c>
      <c r="Z1383" s="40" t="s">
        <v>639</v>
      </c>
      <c r="AA1383" s="23" t="str">
        <v>https://wa.me/6282134406672</v>
      </c>
      <c r="AB1383" s="28" t="s">
        <v>7538</v>
      </c>
      <c r="AC1383" s="28"/>
      <c r="AD1383" s="28" t="s">
        <v>690</v>
      </c>
      <c r="AE1383" s="28"/>
      <c r="AF1383" s="29"/>
      <c r="AG1383" s="29"/>
    </row>
    <row r="1384" spans="1:33" ht="15.75" customHeight="1">
      <c r="A1384" s="32" t="s">
        <v>52</v>
      </c>
      <c r="B1384" s="33">
        <v>1410</v>
      </c>
      <c r="C1384" s="34" t="s">
        <v>7539</v>
      </c>
      <c r="D1384" s="35">
        <v>45965.835693402776</v>
      </c>
      <c r="E1384" s="43">
        <v>45965</v>
      </c>
      <c r="F1384" s="32" t="s">
        <v>6172</v>
      </c>
      <c r="G1384" s="54" t="s">
        <v>6173</v>
      </c>
      <c r="H1384" s="32" t="s">
        <v>6174</v>
      </c>
      <c r="I1384" s="36" t="s">
        <v>569</v>
      </c>
      <c r="J1384" s="52" t="s">
        <v>7540</v>
      </c>
      <c r="K1384" s="32" t="s">
        <v>6175</v>
      </c>
      <c r="L1384" s="32" t="s">
        <v>2133</v>
      </c>
      <c r="M1384" s="32" t="s">
        <v>60</v>
      </c>
      <c r="N1384" s="33">
        <v>10</v>
      </c>
      <c r="O1384" s="35"/>
      <c r="P1384" s="35"/>
      <c r="Q1384" s="37"/>
      <c r="R1384" s="38"/>
      <c r="S1384" s="33"/>
      <c r="T1384" s="39">
        <v>375000</v>
      </c>
      <c r="U1384" s="40" t="s">
        <v>1774</v>
      </c>
      <c r="V1384" s="41"/>
      <c r="W1384" s="55" t="str">
        <f ca="1">IFERROR(__xludf.DUMMYFUNCTION("""COMPUTED_VALUE"""),"ahlibangun.com")</f>
        <v>ahlibangun.com</v>
      </c>
      <c r="X1384" s="42" t="str">
        <f ca="1"/>
        <v>ON-ahlibangun.com-00011900+10-6285220216325</v>
      </c>
      <c r="Y1384" s="40"/>
      <c r="Z1384" s="40"/>
      <c r="AA1384" s="23" t="str">
        <v>https://wa.me/6285220216325</v>
      </c>
      <c r="AB1384" s="28"/>
      <c r="AC1384" s="28"/>
      <c r="AD1384" s="28"/>
      <c r="AE1384" s="28"/>
      <c r="AF1384" s="29"/>
      <c r="AG1384" s="29"/>
    </row>
    <row r="1385" spans="1:33" ht="15.75" customHeight="1">
      <c r="A1385" s="32" t="s">
        <v>52</v>
      </c>
      <c r="B1385" s="33">
        <v>1411</v>
      </c>
      <c r="C1385" s="34" t="s">
        <v>7541</v>
      </c>
      <c r="D1385" s="35">
        <v>45965.839574537036</v>
      </c>
      <c r="E1385" s="43">
        <v>45965</v>
      </c>
      <c r="F1385" s="32" t="s">
        <v>2035</v>
      </c>
      <c r="G1385" s="32" t="s">
        <v>7542</v>
      </c>
      <c r="H1385" s="32" t="s">
        <v>409</v>
      </c>
      <c r="I1385" s="36" t="s">
        <v>2037</v>
      </c>
      <c r="J1385" s="52"/>
      <c r="K1385" s="32" t="s">
        <v>570</v>
      </c>
      <c r="L1385" s="32" t="s">
        <v>4068</v>
      </c>
      <c r="M1385" s="32" t="s">
        <v>60</v>
      </c>
      <c r="N1385" s="33">
        <v>10</v>
      </c>
      <c r="O1385" s="35"/>
      <c r="P1385" s="35"/>
      <c r="Q1385" s="37"/>
      <c r="R1385" s="38"/>
      <c r="S1385" s="33"/>
      <c r="T1385" s="39">
        <v>375000</v>
      </c>
      <c r="U1385" s="40" t="s">
        <v>61</v>
      </c>
      <c r="V1385" s="41"/>
      <c r="W1385" s="42" t="str">
        <f ca="1">IFERROR(__xludf.DUMMYFUNCTION("""COMPUTED_VALUE"""),"CV Kaligiri")</f>
        <v>CV Kaligiri</v>
      </c>
      <c r="X1385" s="42" t="str">
        <f ca="1"/>
        <v>ON-CV Kaligiri-00011900+10-6281213766426</v>
      </c>
      <c r="Y1385" s="40"/>
      <c r="Z1385" s="40"/>
      <c r="AA1385" s="23" t="str">
        <v>https://wa.me/6281213766426</v>
      </c>
      <c r="AB1385" s="28"/>
      <c r="AC1385" s="28"/>
      <c r="AD1385" s="28"/>
      <c r="AE1385" s="28"/>
      <c r="AF1385" s="29"/>
      <c r="AG1385" s="29"/>
    </row>
    <row r="1386" spans="1:33" ht="15.75" customHeight="1">
      <c r="A1386" s="32" t="s">
        <v>196</v>
      </c>
      <c r="B1386" s="33">
        <v>1407</v>
      </c>
      <c r="C1386" s="34" t="s">
        <v>7543</v>
      </c>
      <c r="D1386" s="35">
        <v>45965.685675520828</v>
      </c>
      <c r="E1386" s="43">
        <v>45965</v>
      </c>
      <c r="F1386" s="32" t="s">
        <v>7544</v>
      </c>
      <c r="G1386" s="32" t="s">
        <v>7545</v>
      </c>
      <c r="H1386" s="32" t="s">
        <v>7546</v>
      </c>
      <c r="I1386" s="36" t="s">
        <v>7547</v>
      </c>
      <c r="J1386" s="52" t="s">
        <v>7548</v>
      </c>
      <c r="K1386" s="32" t="s">
        <v>7549</v>
      </c>
      <c r="L1386" s="32" t="s">
        <v>5294</v>
      </c>
      <c r="M1386" s="32"/>
      <c r="N1386" s="33">
        <v>14</v>
      </c>
      <c r="O1386" s="35">
        <v>45968</v>
      </c>
      <c r="P1386" s="35">
        <v>45981</v>
      </c>
      <c r="Q1386" s="37"/>
      <c r="R1386" s="38"/>
      <c r="S1386" s="33"/>
      <c r="T1386" s="39">
        <v>550000</v>
      </c>
      <c r="U1386" s="40" t="s">
        <v>1774</v>
      </c>
      <c r="V1386" s="41"/>
      <c r="W1386" s="42" t="str">
        <f ca="1">IFERROR(__xludf.DUMMYFUNCTION("""COMPUTED_VALUE"""),"Pengobatan alat")</f>
        <v>Pengobatan alat</v>
      </c>
      <c r="X1386" s="42" t="str">
        <f ca="1"/>
        <v>ON-Pengobatan alat-00011900+14-6285775337574</v>
      </c>
      <c r="Y1386" s="40" t="s">
        <v>62</v>
      </c>
      <c r="Z1386" s="40" t="s">
        <v>639</v>
      </c>
      <c r="AA1386" s="23" t="str">
        <v>https://wa.me/6285775337574</v>
      </c>
      <c r="AB1386" s="28" t="s">
        <v>7550</v>
      </c>
      <c r="AC1386" s="28"/>
      <c r="AD1386" s="28" t="s">
        <v>690</v>
      </c>
      <c r="AE1386" s="28"/>
      <c r="AF1386" s="29"/>
      <c r="AG1386" s="29"/>
    </row>
    <row r="1387" spans="1:33" ht="15.75" customHeight="1">
      <c r="A1387" s="32" t="s">
        <v>621</v>
      </c>
      <c r="B1387" s="33">
        <v>1413</v>
      </c>
      <c r="C1387" s="34" t="s">
        <v>7551</v>
      </c>
      <c r="D1387" s="35">
        <v>45965.933087592595</v>
      </c>
      <c r="E1387" s="43">
        <v>45964</v>
      </c>
      <c r="F1387" s="32" t="s">
        <v>3886</v>
      </c>
      <c r="G1387" s="32" t="s">
        <v>7497</v>
      </c>
      <c r="H1387" s="32" t="s">
        <v>2248</v>
      </c>
      <c r="I1387" s="36" t="s">
        <v>3888</v>
      </c>
      <c r="J1387" s="52"/>
      <c r="K1387" s="32" t="s">
        <v>7552</v>
      </c>
      <c r="L1387" s="32" t="s">
        <v>4783</v>
      </c>
      <c r="M1387" s="32" t="s">
        <v>92</v>
      </c>
      <c r="N1387" s="33">
        <v>30</v>
      </c>
      <c r="O1387" s="35"/>
      <c r="P1387" s="35"/>
      <c r="Q1387" s="37"/>
      <c r="R1387" s="38"/>
      <c r="S1387" s="33"/>
      <c r="T1387" s="39">
        <v>1000000</v>
      </c>
      <c r="U1387" s="40" t="s">
        <v>1229</v>
      </c>
      <c r="V1387" s="41"/>
      <c r="W1387" s="42" t="str">
        <f ca="1">IFERROR(__xludf.DUMMYFUNCTION("""COMPUTED_VALUE"""),"Kutai holiday")</f>
        <v>Kutai holiday</v>
      </c>
      <c r="X1387" s="42" t="str">
        <f ca="1"/>
        <v>ON-Kutai holiday-00011900+30-6282153090123</v>
      </c>
      <c r="Y1387" s="40"/>
      <c r="Z1387" s="40"/>
      <c r="AA1387" s="23" t="str">
        <v>https://wa.me/6282153090123</v>
      </c>
      <c r="AB1387" s="28"/>
      <c r="AC1387" s="28"/>
      <c r="AD1387" s="28"/>
      <c r="AE1387" s="28"/>
      <c r="AF1387" s="29"/>
      <c r="AG1387" s="29"/>
    </row>
    <row r="1388" spans="1:33" ht="15.75" customHeight="1">
      <c r="A1388" s="32" t="s">
        <v>52</v>
      </c>
      <c r="B1388" s="33">
        <v>1414</v>
      </c>
      <c r="C1388" s="34" t="s">
        <v>7553</v>
      </c>
      <c r="D1388" s="43">
        <v>46061</v>
      </c>
      <c r="E1388" s="43">
        <v>45966</v>
      </c>
      <c r="F1388" s="32" t="s">
        <v>5904</v>
      </c>
      <c r="G1388" s="32" t="s">
        <v>7554</v>
      </c>
      <c r="H1388" s="32" t="s">
        <v>507</v>
      </c>
      <c r="I1388" s="36" t="s">
        <v>1062</v>
      </c>
      <c r="J1388" s="52"/>
      <c r="K1388" s="32" t="s">
        <v>7555</v>
      </c>
      <c r="L1388" s="32" t="s">
        <v>696</v>
      </c>
      <c r="M1388" s="32" t="s">
        <v>382</v>
      </c>
      <c r="N1388" s="33">
        <v>10</v>
      </c>
      <c r="O1388" s="35"/>
      <c r="P1388" s="35"/>
      <c r="Q1388" s="37"/>
      <c r="R1388" s="38">
        <v>-1003470351325</v>
      </c>
      <c r="S1388" s="33"/>
      <c r="T1388" s="39">
        <v>375000</v>
      </c>
      <c r="U1388" s="40" t="s">
        <v>115</v>
      </c>
      <c r="V1388" s="47">
        <v>46061.320360104168</v>
      </c>
      <c r="W1388" s="42" t="str">
        <f ca="1">IFERROR(__xludf.DUMMYFUNCTION("""COMPUTED_VALUE"""),"YUCA SIDO")</f>
        <v>YUCA SIDO</v>
      </c>
      <c r="X1388" s="42" t="str">
        <f ca="1"/>
        <v>ON-YUCA SIDO-08022026+10-6282399721881</v>
      </c>
      <c r="Y1388" s="40"/>
      <c r="Z1388" s="40"/>
      <c r="AA1388" s="23" t="str">
        <v>https://wa.me/6282399721881</v>
      </c>
      <c r="AB1388" s="28"/>
      <c r="AC1388" s="28"/>
      <c r="AD1388" s="28"/>
      <c r="AE1388" s="28"/>
      <c r="AF1388" s="29"/>
      <c r="AG1388" s="29"/>
    </row>
    <row r="1389" spans="1:33" ht="15.75" customHeight="1">
      <c r="A1389" s="32" t="s">
        <v>196</v>
      </c>
      <c r="B1389" s="33">
        <v>1415</v>
      </c>
      <c r="C1389" s="34" t="s">
        <v>7556</v>
      </c>
      <c r="D1389" s="35">
        <v>45966.311369386574</v>
      </c>
      <c r="E1389" s="43">
        <v>45966</v>
      </c>
      <c r="F1389" s="32" t="s">
        <v>7557</v>
      </c>
      <c r="G1389" s="32" t="s">
        <v>7558</v>
      </c>
      <c r="H1389" s="32" t="s">
        <v>7559</v>
      </c>
      <c r="I1389" s="36" t="s">
        <v>5470</v>
      </c>
      <c r="J1389" s="52"/>
      <c r="K1389" s="32" t="s">
        <v>7560</v>
      </c>
      <c r="L1389" s="32" t="s">
        <v>7561</v>
      </c>
      <c r="M1389" s="32" t="s">
        <v>276</v>
      </c>
      <c r="N1389" s="33">
        <v>7</v>
      </c>
      <c r="O1389" s="35">
        <v>45968</v>
      </c>
      <c r="P1389" s="35">
        <v>45974</v>
      </c>
      <c r="Q1389" s="37"/>
      <c r="R1389" s="38"/>
      <c r="S1389" s="33"/>
      <c r="T1389" s="39">
        <v>297000</v>
      </c>
      <c r="U1389" s="40" t="s">
        <v>1229</v>
      </c>
      <c r="V1389" s="41"/>
      <c r="W1389" s="42" t="str">
        <f ca="1">IFERROR(__xludf.DUMMYFUNCTION("""COMPUTED_VALUE"""),"Flamboyan spa")</f>
        <v>Flamboyan spa</v>
      </c>
      <c r="X1389" s="42" t="str">
        <f ca="1"/>
        <v>ON-Flamboyan spa-00011900+7-6285750574301</v>
      </c>
      <c r="Y1389" s="40" t="s">
        <v>62</v>
      </c>
      <c r="Z1389" s="40" t="s">
        <v>639</v>
      </c>
      <c r="AA1389" s="23" t="str">
        <v>https://wa.me/6285750574301</v>
      </c>
      <c r="AB1389" s="28" t="s">
        <v>7562</v>
      </c>
      <c r="AC1389" s="28"/>
      <c r="AD1389" s="28" t="s">
        <v>690</v>
      </c>
      <c r="AE1389" s="28"/>
      <c r="AF1389" s="29"/>
      <c r="AG1389" s="29"/>
    </row>
    <row r="1390" spans="1:33" ht="15.75" customHeight="1">
      <c r="A1390" s="32" t="s">
        <v>196</v>
      </c>
      <c r="B1390" s="33">
        <v>1417</v>
      </c>
      <c r="C1390" s="34" t="s">
        <v>7563</v>
      </c>
      <c r="D1390" s="35">
        <v>45966.497147094909</v>
      </c>
      <c r="E1390" s="43">
        <v>45966</v>
      </c>
      <c r="F1390" s="32" t="s">
        <v>7564</v>
      </c>
      <c r="G1390" s="32" t="s">
        <v>7565</v>
      </c>
      <c r="H1390" s="32" t="s">
        <v>7566</v>
      </c>
      <c r="I1390" s="36" t="s">
        <v>7567</v>
      </c>
      <c r="J1390" s="52" t="s">
        <v>7568</v>
      </c>
      <c r="K1390" s="32" t="s">
        <v>7569</v>
      </c>
      <c r="L1390" s="32" t="s">
        <v>4783</v>
      </c>
      <c r="M1390" s="32" t="s">
        <v>249</v>
      </c>
      <c r="N1390" s="33">
        <v>5</v>
      </c>
      <c r="O1390" s="35">
        <v>45968</v>
      </c>
      <c r="P1390" s="35">
        <v>45972</v>
      </c>
      <c r="Q1390" s="37"/>
      <c r="R1390" s="38"/>
      <c r="S1390" s="33"/>
      <c r="T1390" s="39">
        <v>197000</v>
      </c>
      <c r="U1390" s="40" t="s">
        <v>1774</v>
      </c>
      <c r="V1390" s="41"/>
      <c r="W1390" s="42" t="str">
        <f ca="1">IFERROR(__xludf.DUMMYFUNCTION("""COMPUTED_VALUE"""),"HKT Jasa")</f>
        <v>HKT Jasa</v>
      </c>
      <c r="X1390" s="42" t="str">
        <f ca="1"/>
        <v>ON-HKT Jasa-00011900+5-6289653336063</v>
      </c>
      <c r="Y1390" s="40" t="s">
        <v>62</v>
      </c>
      <c r="Z1390" s="40" t="s">
        <v>277</v>
      </c>
      <c r="AA1390" s="23" t="str">
        <v>https://wa.me/6289653336063</v>
      </c>
      <c r="AB1390" s="28" t="s">
        <v>7570</v>
      </c>
      <c r="AC1390" s="28"/>
      <c r="AD1390" s="28" t="s">
        <v>690</v>
      </c>
      <c r="AE1390" s="28"/>
      <c r="AF1390" s="29"/>
      <c r="AG1390" s="29"/>
    </row>
    <row r="1391" spans="1:33" ht="15.75" customHeight="1">
      <c r="A1391" s="32" t="s">
        <v>52</v>
      </c>
      <c r="B1391" s="33">
        <v>1416</v>
      </c>
      <c r="C1391" s="34" t="s">
        <v>7571</v>
      </c>
      <c r="D1391" s="35">
        <v>45966.457517789357</v>
      </c>
      <c r="E1391" s="43">
        <v>45966</v>
      </c>
      <c r="F1391" s="32" t="s">
        <v>7055</v>
      </c>
      <c r="G1391" s="32" t="s">
        <v>7056</v>
      </c>
      <c r="H1391" s="32" t="s">
        <v>7057</v>
      </c>
      <c r="I1391" s="36" t="s">
        <v>7058</v>
      </c>
      <c r="J1391" s="52" t="s">
        <v>7059</v>
      </c>
      <c r="K1391" s="32" t="s">
        <v>374</v>
      </c>
      <c r="L1391" s="32" t="s">
        <v>3750</v>
      </c>
      <c r="M1391" s="32" t="s">
        <v>5643</v>
      </c>
      <c r="N1391" s="33">
        <v>5</v>
      </c>
      <c r="O1391" s="35"/>
      <c r="P1391" s="35"/>
      <c r="Q1391" s="37"/>
      <c r="R1391" s="38"/>
      <c r="S1391" s="33"/>
      <c r="T1391" s="39">
        <v>197000</v>
      </c>
      <c r="U1391" s="40" t="s">
        <v>1774</v>
      </c>
      <c r="V1391" s="41"/>
      <c r="W1391" s="42" t="str">
        <f ca="1">IFERROR(__xludf.DUMMYFUNCTION("""COMPUTED_VALUE"""),"Mega Cemerlang")</f>
        <v>Mega Cemerlang</v>
      </c>
      <c r="X1391" s="42" t="str">
        <f ca="1"/>
        <v>ON-Mega Cemerlang-00011900+5-6287852936679</v>
      </c>
      <c r="Y1391" s="40"/>
      <c r="Z1391" s="40"/>
      <c r="AA1391" s="23" t="str">
        <v>https://wa.me/6287852936679</v>
      </c>
      <c r="AB1391" s="28"/>
      <c r="AC1391" s="28"/>
      <c r="AD1391" s="28"/>
      <c r="AE1391" s="28"/>
      <c r="AF1391" s="29"/>
      <c r="AG1391" s="29"/>
    </row>
    <row r="1392" spans="1:33" ht="15.75" customHeight="1">
      <c r="A1392" s="32" t="s">
        <v>196</v>
      </c>
      <c r="B1392" s="33">
        <v>1419</v>
      </c>
      <c r="C1392" s="34" t="s">
        <v>7572</v>
      </c>
      <c r="D1392" s="35">
        <v>45966.887287824073</v>
      </c>
      <c r="E1392" s="43">
        <v>45966</v>
      </c>
      <c r="F1392" s="32" t="s">
        <v>7573</v>
      </c>
      <c r="G1392" s="32" t="s">
        <v>7574</v>
      </c>
      <c r="H1392" s="32" t="s">
        <v>409</v>
      </c>
      <c r="I1392" s="36" t="s">
        <v>7575</v>
      </c>
      <c r="J1392" s="52" t="s">
        <v>7576</v>
      </c>
      <c r="K1392" s="32" t="s">
        <v>1381</v>
      </c>
      <c r="L1392" s="32" t="s">
        <v>85</v>
      </c>
      <c r="M1392" s="32" t="s">
        <v>60</v>
      </c>
      <c r="N1392" s="33">
        <v>30</v>
      </c>
      <c r="O1392" s="35">
        <v>45968</v>
      </c>
      <c r="P1392" s="35">
        <v>45997</v>
      </c>
      <c r="Q1392" s="37"/>
      <c r="R1392" s="38"/>
      <c r="S1392" s="33"/>
      <c r="T1392" s="39">
        <v>1000000</v>
      </c>
      <c r="U1392" s="40" t="s">
        <v>61</v>
      </c>
      <c r="V1392" s="41"/>
      <c r="W1392" s="42" t="str">
        <f ca="1">IFERROR(__xludf.DUMMYFUNCTION("""COMPUTED_VALUE"""),"Jaya Artha")</f>
        <v>Jaya Artha</v>
      </c>
      <c r="X1392" s="42" t="str">
        <f ca="1"/>
        <v>ON-Jaya Artha-00011900+30-6285238063446</v>
      </c>
      <c r="Y1392" s="40" t="s">
        <v>293</v>
      </c>
      <c r="Z1392" s="40" t="s">
        <v>1057</v>
      </c>
      <c r="AA1392" s="23" t="str">
        <v>https://wa.me/6285238063446</v>
      </c>
      <c r="AB1392" s="28" t="s">
        <v>7577</v>
      </c>
      <c r="AC1392" s="28"/>
      <c r="AD1392" s="28" t="s">
        <v>690</v>
      </c>
      <c r="AE1392" s="28"/>
      <c r="AF1392" s="29"/>
      <c r="AG1392" s="29"/>
    </row>
    <row r="1393" spans="1:33" ht="15.75" customHeight="1">
      <c r="A1393" s="32" t="s">
        <v>196</v>
      </c>
      <c r="B1393" s="33">
        <v>1423</v>
      </c>
      <c r="C1393" s="34" t="s">
        <v>7578</v>
      </c>
      <c r="D1393" s="35">
        <v>45966.893482384257</v>
      </c>
      <c r="E1393" s="43">
        <v>45966</v>
      </c>
      <c r="F1393" s="32" t="s">
        <v>7579</v>
      </c>
      <c r="G1393" s="32" t="s">
        <v>7580</v>
      </c>
      <c r="H1393" s="32" t="s">
        <v>350</v>
      </c>
      <c r="I1393" s="36" t="s">
        <v>7581</v>
      </c>
      <c r="J1393" s="52"/>
      <c r="K1393" s="32" t="s">
        <v>7582</v>
      </c>
      <c r="L1393" s="32" t="s">
        <v>85</v>
      </c>
      <c r="M1393" s="32" t="s">
        <v>60</v>
      </c>
      <c r="N1393" s="33">
        <v>5</v>
      </c>
      <c r="O1393" s="35">
        <v>45968</v>
      </c>
      <c r="P1393" s="35">
        <v>45972</v>
      </c>
      <c r="Q1393" s="37"/>
      <c r="R1393" s="38"/>
      <c r="S1393" s="33"/>
      <c r="T1393" s="39">
        <v>197000</v>
      </c>
      <c r="U1393" s="40" t="s">
        <v>61</v>
      </c>
      <c r="V1393" s="41"/>
      <c r="W1393" s="42" t="str">
        <f ca="1">IFERROR(__xludf.DUMMYFUNCTION("""COMPUTED_VALUE"""),"CSA Folding")</f>
        <v>CSA Folding</v>
      </c>
      <c r="X1393" s="42" t="str">
        <f ca="1"/>
        <v>ON-CSA Folding-00011900+5-6281802736799</v>
      </c>
      <c r="Y1393" s="40" t="s">
        <v>293</v>
      </c>
      <c r="Z1393" s="40" t="s">
        <v>1057</v>
      </c>
      <c r="AA1393" s="23" t="str">
        <v>https://wa.me/6281802736799</v>
      </c>
      <c r="AB1393" s="28" t="s">
        <v>7583</v>
      </c>
      <c r="AC1393" s="28"/>
      <c r="AD1393" s="28" t="s">
        <v>690</v>
      </c>
      <c r="AE1393" s="28"/>
      <c r="AF1393" s="29"/>
      <c r="AG1393" s="29"/>
    </row>
    <row r="1394" spans="1:33" ht="15.75" customHeight="1">
      <c r="A1394" s="32" t="s">
        <v>196</v>
      </c>
      <c r="B1394" s="33">
        <v>1412</v>
      </c>
      <c r="C1394" s="34" t="s">
        <v>7584</v>
      </c>
      <c r="D1394" s="35">
        <v>45965.842161493056</v>
      </c>
      <c r="E1394" s="43">
        <v>45965</v>
      </c>
      <c r="F1394" s="32" t="s">
        <v>7585</v>
      </c>
      <c r="G1394" s="32" t="s">
        <v>7586</v>
      </c>
      <c r="H1394" s="32" t="s">
        <v>2090</v>
      </c>
      <c r="I1394" s="36" t="s">
        <v>7587</v>
      </c>
      <c r="J1394" s="52"/>
      <c r="K1394" s="32" t="s">
        <v>2106</v>
      </c>
      <c r="L1394" s="32" t="s">
        <v>7409</v>
      </c>
      <c r="M1394" s="32" t="s">
        <v>249</v>
      </c>
      <c r="N1394" s="33">
        <v>5</v>
      </c>
      <c r="O1394" s="35">
        <v>45969</v>
      </c>
      <c r="P1394" s="35">
        <v>45973</v>
      </c>
      <c r="Q1394" s="37"/>
      <c r="R1394" s="38"/>
      <c r="S1394" s="33"/>
      <c r="T1394" s="39">
        <v>197000</v>
      </c>
      <c r="U1394" s="40" t="s">
        <v>61</v>
      </c>
      <c r="V1394" s="41"/>
      <c r="W1394" s="42" t="str">
        <f ca="1">IFERROR(__xludf.DUMMYFUNCTION("""COMPUTED_VALUE"""),"Denial Sumbar")</f>
        <v>Denial Sumbar</v>
      </c>
      <c r="X1394" s="42" t="str">
        <f ca="1"/>
        <v>ON-Denial Sumbar-00011900+5-6282286110903</v>
      </c>
      <c r="Y1394" s="40" t="s">
        <v>62</v>
      </c>
      <c r="Z1394" s="40" t="s">
        <v>1880</v>
      </c>
      <c r="AA1394" s="23" t="str">
        <v>https://wa.me/6282286110903</v>
      </c>
      <c r="AB1394" s="28" t="s">
        <v>7588</v>
      </c>
      <c r="AC1394" s="28"/>
      <c r="AD1394" s="28" t="s">
        <v>690</v>
      </c>
      <c r="AE1394" s="28"/>
      <c r="AF1394" s="29"/>
      <c r="AG1394" s="29"/>
    </row>
    <row r="1395" spans="1:33" ht="15.75" customHeight="1">
      <c r="A1395" s="32" t="s">
        <v>52</v>
      </c>
      <c r="B1395" s="33">
        <v>1420</v>
      </c>
      <c r="C1395" s="34" t="s">
        <v>7589</v>
      </c>
      <c r="D1395" s="35">
        <v>45966.889955324077</v>
      </c>
      <c r="E1395" s="43">
        <v>45966</v>
      </c>
      <c r="F1395" s="32" t="s">
        <v>7590</v>
      </c>
      <c r="G1395" s="32" t="s">
        <v>3663</v>
      </c>
      <c r="H1395" s="32" t="s">
        <v>2090</v>
      </c>
      <c r="I1395" s="36" t="s">
        <v>3665</v>
      </c>
      <c r="J1395" s="52"/>
      <c r="K1395" s="32" t="s">
        <v>7591</v>
      </c>
      <c r="L1395" s="32" t="s">
        <v>7592</v>
      </c>
      <c r="M1395" s="32" t="s">
        <v>60</v>
      </c>
      <c r="N1395" s="33">
        <v>30</v>
      </c>
      <c r="O1395" s="35"/>
      <c r="P1395" s="35"/>
      <c r="Q1395" s="37"/>
      <c r="R1395" s="38"/>
      <c r="S1395" s="33"/>
      <c r="T1395" s="39">
        <v>1000000</v>
      </c>
      <c r="U1395" s="40" t="s">
        <v>61</v>
      </c>
      <c r="V1395" s="41"/>
      <c r="W1395" s="42" t="str">
        <f ca="1">IFERROR(__xludf.DUMMYFUNCTION("""COMPUTED_VALUE"""),"The Travel")</f>
        <v>The Travel</v>
      </c>
      <c r="X1395" s="42" t="str">
        <f ca="1"/>
        <v>ON-The Travel-00011900+30-6285333751528</v>
      </c>
      <c r="Y1395" s="40"/>
      <c r="Z1395" s="40"/>
      <c r="AA1395" s="23" t="str">
        <v>https://wa.me/6285333751528</v>
      </c>
      <c r="AB1395" s="28"/>
      <c r="AC1395" s="28"/>
      <c r="AD1395" s="28"/>
      <c r="AE1395" s="28"/>
      <c r="AF1395" s="29"/>
      <c r="AG1395" s="29"/>
    </row>
    <row r="1396" spans="1:33" ht="15.75" customHeight="1">
      <c r="A1396" s="32" t="s">
        <v>52</v>
      </c>
      <c r="B1396" s="33">
        <v>1421</v>
      </c>
      <c r="C1396" s="34" t="s">
        <v>7593</v>
      </c>
      <c r="D1396" s="35">
        <v>45966.890218425928</v>
      </c>
      <c r="E1396" s="43">
        <v>45966</v>
      </c>
      <c r="F1396" s="32" t="s">
        <v>7075</v>
      </c>
      <c r="G1396" s="32" t="s">
        <v>7076</v>
      </c>
      <c r="H1396" s="32" t="s">
        <v>7077</v>
      </c>
      <c r="I1396" s="36" t="s">
        <v>7078</v>
      </c>
      <c r="J1396" s="52"/>
      <c r="K1396" s="32" t="s">
        <v>570</v>
      </c>
      <c r="L1396" s="32" t="s">
        <v>1340</v>
      </c>
      <c r="M1396" s="32" t="s">
        <v>60</v>
      </c>
      <c r="N1396" s="33">
        <v>7</v>
      </c>
      <c r="O1396" s="35"/>
      <c r="P1396" s="35"/>
      <c r="Q1396" s="37"/>
      <c r="R1396" s="38"/>
      <c r="S1396" s="33"/>
      <c r="T1396" s="39">
        <v>297000</v>
      </c>
      <c r="U1396" s="40" t="s">
        <v>61</v>
      </c>
      <c r="V1396" s="41"/>
      <c r="W1396" s="42" t="str">
        <f ca="1">IFERROR(__xludf.DUMMYFUNCTION("""COMPUTED_VALUE"""),"Hidayah Jaya")</f>
        <v>Hidayah Jaya</v>
      </c>
      <c r="X1396" s="42" t="str">
        <f ca="1"/>
        <v>ON-Hidayah Jaya-00011900+7-6282135671899</v>
      </c>
      <c r="Y1396" s="40"/>
      <c r="Z1396" s="40"/>
      <c r="AA1396" s="23" t="str">
        <v>https://wa.me/6282135671899</v>
      </c>
      <c r="AB1396" s="28"/>
      <c r="AC1396" s="28"/>
      <c r="AD1396" s="28"/>
      <c r="AE1396" s="28"/>
      <c r="AF1396" s="29"/>
      <c r="AG1396" s="29"/>
    </row>
    <row r="1397" spans="1:33" ht="15.75" customHeight="1">
      <c r="A1397" s="32" t="s">
        <v>52</v>
      </c>
      <c r="B1397" s="33">
        <v>1422</v>
      </c>
      <c r="C1397" s="34" t="s">
        <v>7594</v>
      </c>
      <c r="D1397" s="35">
        <v>45966.890448564816</v>
      </c>
      <c r="E1397" s="43">
        <v>45966</v>
      </c>
      <c r="F1397" s="32" t="s">
        <v>513</v>
      </c>
      <c r="G1397" s="32" t="s">
        <v>514</v>
      </c>
      <c r="H1397" s="32" t="s">
        <v>515</v>
      </c>
      <c r="I1397" s="36" t="s">
        <v>516</v>
      </c>
      <c r="J1397" s="52"/>
      <c r="K1397" s="32" t="s">
        <v>517</v>
      </c>
      <c r="L1397" s="32" t="s">
        <v>518</v>
      </c>
      <c r="M1397" s="32" t="s">
        <v>131</v>
      </c>
      <c r="N1397" s="33">
        <v>30</v>
      </c>
      <c r="O1397" s="35"/>
      <c r="P1397" s="35"/>
      <c r="Q1397" s="37"/>
      <c r="R1397" s="38"/>
      <c r="S1397" s="33"/>
      <c r="T1397" s="39">
        <v>950000</v>
      </c>
      <c r="U1397" s="40" t="s">
        <v>61</v>
      </c>
      <c r="V1397" s="41"/>
      <c r="W1397" s="42" t="str">
        <f ca="1">IFERROR(__xludf.DUMMYFUNCTION("""COMPUTED_VALUE"""),"Bengkel Las")</f>
        <v>Bengkel Las</v>
      </c>
      <c r="X1397" s="42" t="str">
        <f ca="1"/>
        <v>ON-Bengkel Las-00011900+30-6282393168368</v>
      </c>
      <c r="Y1397" s="40"/>
      <c r="Z1397" s="40"/>
      <c r="AA1397" s="23" t="str">
        <v>https://wa.me/6282393168368</v>
      </c>
      <c r="AB1397" s="28"/>
      <c r="AC1397" s="28"/>
      <c r="AD1397" s="28"/>
      <c r="AE1397" s="28"/>
      <c r="AF1397" s="29"/>
      <c r="AG1397" s="29"/>
    </row>
    <row r="1398" spans="1:33" ht="15.75" customHeight="1">
      <c r="A1398" s="32" t="s">
        <v>196</v>
      </c>
      <c r="B1398" s="33">
        <v>1418</v>
      </c>
      <c r="C1398" s="34" t="s">
        <v>7595</v>
      </c>
      <c r="D1398" s="35">
        <v>46036</v>
      </c>
      <c r="E1398" s="43">
        <v>45966</v>
      </c>
      <c r="F1398" s="32" t="s">
        <v>7596</v>
      </c>
      <c r="G1398" s="32" t="s">
        <v>7597</v>
      </c>
      <c r="H1398" s="32" t="s">
        <v>7598</v>
      </c>
      <c r="I1398" s="36" t="s">
        <v>7599</v>
      </c>
      <c r="J1398" s="52"/>
      <c r="K1398" s="32" t="s">
        <v>4519</v>
      </c>
      <c r="L1398" s="32" t="s">
        <v>7600</v>
      </c>
      <c r="M1398" s="32" t="s">
        <v>382</v>
      </c>
      <c r="N1398" s="33">
        <v>5</v>
      </c>
      <c r="O1398" s="35"/>
      <c r="P1398" s="35"/>
      <c r="Q1398" s="37"/>
      <c r="R1398" s="38">
        <v>-1003470351325</v>
      </c>
      <c r="S1398" s="33"/>
      <c r="T1398" s="39">
        <v>197000</v>
      </c>
      <c r="U1398" s="40" t="s">
        <v>115</v>
      </c>
      <c r="V1398" s="47">
        <v>46036.314017962963</v>
      </c>
      <c r="W1398" s="42" t="str">
        <f ca="1">IFERROR(__xludf.DUMMYFUNCTION("""COMPUTED_VALUE"""),"Yasmine health")</f>
        <v>Yasmine health</v>
      </c>
      <c r="X1398" s="42" t="str">
        <f ca="1"/>
        <v>ON-Yasmine health-14012026+5-6282265277099</v>
      </c>
      <c r="Y1398" s="40" t="s">
        <v>62</v>
      </c>
      <c r="Z1398" s="40" t="s">
        <v>639</v>
      </c>
      <c r="AA1398" s="23" t="str">
        <v>https://wa.me/6282265277099</v>
      </c>
      <c r="AB1398" s="28" t="s">
        <v>7601</v>
      </c>
      <c r="AC1398" s="28"/>
      <c r="AD1398" s="28" t="s">
        <v>690</v>
      </c>
      <c r="AE1398" s="28"/>
      <c r="AF1398" s="29"/>
      <c r="AG1398" s="29"/>
    </row>
    <row r="1399" spans="1:33" ht="15.75" customHeight="1">
      <c r="A1399" s="32" t="s">
        <v>52</v>
      </c>
      <c r="B1399" s="33">
        <v>1425</v>
      </c>
      <c r="C1399" s="34" t="s">
        <v>7602</v>
      </c>
      <c r="D1399" s="35">
        <v>45967.372457800928</v>
      </c>
      <c r="E1399" s="43">
        <v>45967</v>
      </c>
      <c r="F1399" s="32" t="s">
        <v>3772</v>
      </c>
      <c r="G1399" s="32" t="s">
        <v>3773</v>
      </c>
      <c r="H1399" s="32" t="s">
        <v>3774</v>
      </c>
      <c r="I1399" s="36" t="s">
        <v>3775</v>
      </c>
      <c r="J1399" s="52"/>
      <c r="K1399" s="32" t="s">
        <v>570</v>
      </c>
      <c r="L1399" s="32" t="s">
        <v>2291</v>
      </c>
      <c r="M1399" s="32" t="s">
        <v>2032</v>
      </c>
      <c r="N1399" s="33">
        <v>10</v>
      </c>
      <c r="O1399" s="35"/>
      <c r="P1399" s="35"/>
      <c r="Q1399" s="37"/>
      <c r="R1399" s="38"/>
      <c r="S1399" s="33"/>
      <c r="T1399" s="39">
        <v>375000</v>
      </c>
      <c r="U1399" s="40" t="s">
        <v>61</v>
      </c>
      <c r="V1399" s="41"/>
      <c r="W1399" s="42" t="str">
        <f ca="1">IFERROR(__xludf.DUMMYFUNCTION("""COMPUTED_VALUE"""),"Kharisma Filter")</f>
        <v>Kharisma Filter</v>
      </c>
      <c r="X1399" s="42" t="str">
        <f ca="1"/>
        <v>ON-Kharisma Filter-00011900+10-6285893658659</v>
      </c>
      <c r="Y1399" s="40"/>
      <c r="Z1399" s="40"/>
      <c r="AA1399" s="23" t="str">
        <v>https://wa.me/6285893658659</v>
      </c>
      <c r="AB1399" s="28"/>
      <c r="AC1399" s="28"/>
      <c r="AD1399" s="28"/>
      <c r="AE1399" s="28"/>
      <c r="AF1399" s="29"/>
      <c r="AG1399" s="29"/>
    </row>
    <row r="1400" spans="1:33" ht="15.75" customHeight="1">
      <c r="A1400" s="32" t="s">
        <v>196</v>
      </c>
      <c r="B1400" s="33">
        <v>1428</v>
      </c>
      <c r="C1400" s="34" t="s">
        <v>7603</v>
      </c>
      <c r="D1400" s="35">
        <v>45967.416245844906</v>
      </c>
      <c r="E1400" s="43">
        <v>45964</v>
      </c>
      <c r="F1400" s="32" t="s">
        <v>7604</v>
      </c>
      <c r="G1400" s="32" t="s">
        <v>7352</v>
      </c>
      <c r="H1400" s="32" t="s">
        <v>7605</v>
      </c>
      <c r="I1400" s="36" t="s">
        <v>7606</v>
      </c>
      <c r="J1400" s="52"/>
      <c r="K1400" s="32" t="s">
        <v>7607</v>
      </c>
      <c r="L1400" s="32" t="s">
        <v>1542</v>
      </c>
      <c r="M1400" s="32" t="s">
        <v>60</v>
      </c>
      <c r="N1400" s="33">
        <v>5</v>
      </c>
      <c r="O1400" s="35">
        <v>45969</v>
      </c>
      <c r="P1400" s="35">
        <v>45973</v>
      </c>
      <c r="Q1400" s="37"/>
      <c r="R1400" s="38"/>
      <c r="S1400" s="33"/>
      <c r="T1400" s="39">
        <v>197000</v>
      </c>
      <c r="U1400" s="40" t="s">
        <v>61</v>
      </c>
      <c r="V1400" s="41"/>
      <c r="W1400" s="42" t="str">
        <f ca="1">IFERROR(__xludf.DUMMYFUNCTION("""COMPUTED_VALUE"""),"Samira Travel")</f>
        <v>Samira Travel</v>
      </c>
      <c r="X1400" s="42" t="str">
        <f ca="1"/>
        <v>ON-Samira Travel-00011900+5-6285381277559</v>
      </c>
      <c r="Y1400" s="40" t="s">
        <v>62</v>
      </c>
      <c r="Z1400" s="40" t="s">
        <v>1880</v>
      </c>
      <c r="AA1400" s="23" t="str">
        <v>https://wa.me/6285381277559</v>
      </c>
      <c r="AB1400" s="28" t="s">
        <v>7608</v>
      </c>
      <c r="AC1400" s="28"/>
      <c r="AD1400" s="28" t="s">
        <v>690</v>
      </c>
      <c r="AE1400" s="28"/>
      <c r="AF1400" s="29"/>
      <c r="AG1400" s="29"/>
    </row>
    <row r="1401" spans="1:33" ht="15.75" customHeight="1">
      <c r="A1401" s="32" t="s">
        <v>196</v>
      </c>
      <c r="B1401" s="33">
        <v>1435</v>
      </c>
      <c r="C1401" s="34" t="s">
        <v>7609</v>
      </c>
      <c r="D1401" s="35">
        <v>45967.606606655092</v>
      </c>
      <c r="E1401" s="43">
        <v>45964</v>
      </c>
      <c r="F1401" s="32" t="s">
        <v>5514</v>
      </c>
      <c r="G1401" s="32" t="s">
        <v>7610</v>
      </c>
      <c r="H1401" s="32" t="s">
        <v>7611</v>
      </c>
      <c r="I1401" s="36" t="s">
        <v>7612</v>
      </c>
      <c r="J1401" s="52" t="s">
        <v>7613</v>
      </c>
      <c r="K1401" s="32" t="s">
        <v>7614</v>
      </c>
      <c r="L1401" s="32" t="s">
        <v>4783</v>
      </c>
      <c r="M1401" s="32" t="s">
        <v>60</v>
      </c>
      <c r="N1401" s="33">
        <v>5</v>
      </c>
      <c r="O1401" s="35">
        <v>45969</v>
      </c>
      <c r="P1401" s="35">
        <v>45973</v>
      </c>
      <c r="Q1401" s="37"/>
      <c r="R1401" s="38"/>
      <c r="S1401" s="33"/>
      <c r="T1401" s="39">
        <v>197000</v>
      </c>
      <c r="U1401" s="40"/>
      <c r="V1401" s="41"/>
      <c r="W1401" s="42" t="str">
        <f ca="1">IFERROR(__xludf.DUMMYFUNCTION("""COMPUTED_VALUE"""),"CV Damai")</f>
        <v>CV Damai</v>
      </c>
      <c r="X1401" s="42" t="str">
        <f ca="1"/>
        <v>ON-CV Damai-00011900+5-6285713820117</v>
      </c>
      <c r="Y1401" s="40" t="s">
        <v>293</v>
      </c>
      <c r="Z1401" s="40" t="s">
        <v>1057</v>
      </c>
      <c r="AA1401" s="23" t="str">
        <v>https://wa.me/6285713820117</v>
      </c>
      <c r="AB1401" s="28" t="s">
        <v>7615</v>
      </c>
      <c r="AC1401" s="28"/>
      <c r="AD1401" s="28" t="s">
        <v>690</v>
      </c>
      <c r="AE1401" s="28"/>
      <c r="AF1401" s="29"/>
      <c r="AG1401" s="29"/>
    </row>
    <row r="1402" spans="1:33" ht="15.75" customHeight="1">
      <c r="A1402" s="32" t="s">
        <v>196</v>
      </c>
      <c r="B1402" s="33">
        <v>1484</v>
      </c>
      <c r="C1402" s="34" t="s">
        <v>7616</v>
      </c>
      <c r="D1402" s="35">
        <v>45968.381915081016</v>
      </c>
      <c r="E1402" s="43">
        <v>45966</v>
      </c>
      <c r="F1402" s="32" t="s">
        <v>7617</v>
      </c>
      <c r="G1402" s="32" t="s">
        <v>7618</v>
      </c>
      <c r="H1402" s="32" t="s">
        <v>7619</v>
      </c>
      <c r="I1402" s="36" t="s">
        <v>7620</v>
      </c>
      <c r="J1402" s="52"/>
      <c r="K1402" s="32" t="s">
        <v>7621</v>
      </c>
      <c r="L1402" s="32" t="s">
        <v>7622</v>
      </c>
      <c r="M1402" s="32" t="s">
        <v>5288</v>
      </c>
      <c r="N1402" s="33">
        <v>5</v>
      </c>
      <c r="O1402" s="35">
        <v>45969</v>
      </c>
      <c r="P1402" s="35">
        <v>45973</v>
      </c>
      <c r="Q1402" s="37"/>
      <c r="R1402" s="38"/>
      <c r="S1402" s="33"/>
      <c r="T1402" s="39">
        <v>197000</v>
      </c>
      <c r="U1402" s="40"/>
      <c r="V1402" s="41"/>
      <c r="W1402" s="42" t="str">
        <f ca="1">IFERROR(__xludf.DUMMYFUNCTION("""COMPUTED_VALUE"""),"Rumah Asri")</f>
        <v>Rumah Asri</v>
      </c>
      <c r="X1402" s="42" t="str">
        <f ca="1"/>
        <v>ON-Rumah Asri-00011900+5-6282315459098</v>
      </c>
      <c r="Y1402" s="40" t="s">
        <v>293</v>
      </c>
      <c r="Z1402" s="40" t="s">
        <v>1057</v>
      </c>
      <c r="AA1402" s="23" t="str">
        <v>https://wa.me/6282315459098</v>
      </c>
      <c r="AB1402" s="28" t="s">
        <v>7623</v>
      </c>
      <c r="AC1402" s="28"/>
      <c r="AD1402" s="28" t="s">
        <v>690</v>
      </c>
      <c r="AE1402" s="28"/>
      <c r="AF1402" s="29"/>
      <c r="AG1402" s="29"/>
    </row>
    <row r="1403" spans="1:33" ht="15.75" customHeight="1">
      <c r="A1403" s="32" t="s">
        <v>196</v>
      </c>
      <c r="B1403" s="33">
        <v>1526</v>
      </c>
      <c r="C1403" s="34" t="s">
        <v>7624</v>
      </c>
      <c r="D1403" s="35">
        <v>45968.689571400464</v>
      </c>
      <c r="E1403" s="43">
        <v>45964</v>
      </c>
      <c r="F1403" s="32" t="s">
        <v>7625</v>
      </c>
      <c r="G1403" s="32" t="s">
        <v>7626</v>
      </c>
      <c r="H1403" s="32" t="s">
        <v>7627</v>
      </c>
      <c r="I1403" s="36" t="s">
        <v>7628</v>
      </c>
      <c r="J1403" s="52" t="s">
        <v>7629</v>
      </c>
      <c r="K1403" s="32" t="s">
        <v>7630</v>
      </c>
      <c r="L1403" s="32" t="s">
        <v>2133</v>
      </c>
      <c r="M1403" s="32" t="s">
        <v>60</v>
      </c>
      <c r="N1403" s="33">
        <v>5</v>
      </c>
      <c r="O1403" s="35">
        <v>45969</v>
      </c>
      <c r="P1403" s="35">
        <v>45973</v>
      </c>
      <c r="Q1403" s="37"/>
      <c r="R1403" s="38"/>
      <c r="S1403" s="33"/>
      <c r="T1403" s="39">
        <v>197000</v>
      </c>
      <c r="U1403" s="40" t="s">
        <v>61</v>
      </c>
      <c r="V1403" s="41"/>
      <c r="W1403" s="42" t="str">
        <f ca="1">IFERROR(__xludf.DUMMYFUNCTION("""COMPUTED_VALUE"""),"Cahaya Timoer")</f>
        <v>Cahaya Timoer</v>
      </c>
      <c r="X1403" s="42" t="str">
        <f ca="1"/>
        <v>ON-Cahaya Timoer-00011900+5-6285878711093</v>
      </c>
      <c r="Y1403" s="40" t="s">
        <v>293</v>
      </c>
      <c r="Z1403" s="40" t="s">
        <v>1057</v>
      </c>
      <c r="AA1403" s="23" t="str">
        <v>https://wa.me/6285878711093</v>
      </c>
      <c r="AB1403" s="28" t="s">
        <v>7631</v>
      </c>
      <c r="AC1403" s="28"/>
      <c r="AD1403" s="28" t="s">
        <v>690</v>
      </c>
      <c r="AE1403" s="28"/>
      <c r="AF1403" s="29"/>
      <c r="AG1403" s="29"/>
    </row>
    <row r="1404" spans="1:33" ht="15.75" customHeight="1">
      <c r="A1404" s="32" t="s">
        <v>196</v>
      </c>
      <c r="B1404" s="33">
        <v>1416</v>
      </c>
      <c r="C1404" s="34" t="s">
        <v>7571</v>
      </c>
      <c r="D1404" s="35">
        <v>45966.329025081017</v>
      </c>
      <c r="E1404" s="43">
        <v>45966</v>
      </c>
      <c r="F1404" s="32" t="s">
        <v>7632</v>
      </c>
      <c r="G1404" s="32" t="s">
        <v>7633</v>
      </c>
      <c r="H1404" s="32" t="s">
        <v>7634</v>
      </c>
      <c r="I1404" s="36" t="s">
        <v>6070</v>
      </c>
      <c r="J1404" s="52"/>
      <c r="K1404" s="32" t="s">
        <v>570</v>
      </c>
      <c r="L1404" s="32" t="s">
        <v>7635</v>
      </c>
      <c r="M1404" s="32" t="s">
        <v>1926</v>
      </c>
      <c r="N1404" s="33">
        <v>7</v>
      </c>
      <c r="O1404" s="35">
        <v>45970</v>
      </c>
      <c r="P1404" s="35">
        <v>45976</v>
      </c>
      <c r="Q1404" s="37"/>
      <c r="R1404" s="38"/>
      <c r="S1404" s="33"/>
      <c r="T1404" s="39">
        <v>297000</v>
      </c>
      <c r="U1404" s="40" t="s">
        <v>1229</v>
      </c>
      <c r="V1404" s="41"/>
      <c r="W1404" s="42" t="str">
        <f ca="1">IFERROR(__xludf.DUMMYFUNCTION("""COMPUTED_VALUE"""),"Shela plafon")</f>
        <v>Shela plafon</v>
      </c>
      <c r="X1404" s="42" t="str">
        <f ca="1"/>
        <v>ON-Shela plafon-00011900+7-6281310674130</v>
      </c>
      <c r="Y1404" s="40" t="s">
        <v>293</v>
      </c>
      <c r="Z1404" s="40" t="s">
        <v>1057</v>
      </c>
      <c r="AA1404" s="23" t="str">
        <v>https://wa.me/6281310674130</v>
      </c>
      <c r="AB1404" s="28" t="s">
        <v>7636</v>
      </c>
      <c r="AC1404" s="28"/>
      <c r="AD1404" s="28" t="s">
        <v>690</v>
      </c>
      <c r="AE1404" s="28"/>
      <c r="AF1404" s="29"/>
      <c r="AG1404" s="29"/>
    </row>
    <row r="1405" spans="1:33" ht="15.75" customHeight="1">
      <c r="A1405" s="32" t="s">
        <v>196</v>
      </c>
      <c r="B1405" s="33">
        <v>1427</v>
      </c>
      <c r="C1405" s="34" t="s">
        <v>7637</v>
      </c>
      <c r="D1405" s="35">
        <v>45967.397280821759</v>
      </c>
      <c r="E1405" s="43">
        <v>45967</v>
      </c>
      <c r="F1405" s="32" t="s">
        <v>7638</v>
      </c>
      <c r="G1405" s="32" t="s">
        <v>7639</v>
      </c>
      <c r="H1405" s="32" t="s">
        <v>7640</v>
      </c>
      <c r="I1405" s="36" t="s">
        <v>7641</v>
      </c>
      <c r="J1405" s="52" t="s">
        <v>7642</v>
      </c>
      <c r="K1405" s="32" t="s">
        <v>7643</v>
      </c>
      <c r="L1405" s="32" t="s">
        <v>92</v>
      </c>
      <c r="M1405" s="32" t="s">
        <v>92</v>
      </c>
      <c r="N1405" s="33">
        <v>10</v>
      </c>
      <c r="O1405" s="35">
        <v>45970</v>
      </c>
      <c r="P1405" s="35">
        <v>45979</v>
      </c>
      <c r="Q1405" s="37"/>
      <c r="R1405" s="38"/>
      <c r="S1405" s="33"/>
      <c r="T1405" s="39">
        <v>375000</v>
      </c>
      <c r="U1405" s="40" t="s">
        <v>1229</v>
      </c>
      <c r="V1405" s="41"/>
      <c r="W1405" s="42" t="str">
        <f ca="1">IFERROR(__xludf.DUMMYFUNCTION("""COMPUTED_VALUE"""),"Beli barang")</f>
        <v>Beli barang</v>
      </c>
      <c r="X1405" s="42" t="str">
        <f ca="1"/>
        <v>ON-Beli barang-00011900+10-6281237058617</v>
      </c>
      <c r="Y1405" s="40" t="s">
        <v>62</v>
      </c>
      <c r="Z1405" s="40" t="s">
        <v>1861</v>
      </c>
      <c r="AA1405" s="23" t="str">
        <v>https://wa.me/6281237058617</v>
      </c>
      <c r="AB1405" s="28" t="s">
        <v>7644</v>
      </c>
      <c r="AC1405" s="28"/>
      <c r="AD1405" s="28" t="s">
        <v>690</v>
      </c>
      <c r="AE1405" s="28"/>
      <c r="AF1405" s="29"/>
      <c r="AG1405" s="29"/>
    </row>
    <row r="1406" spans="1:33" ht="15.75" customHeight="1">
      <c r="A1406" s="32" t="s">
        <v>621</v>
      </c>
      <c r="B1406" s="33">
        <v>1454</v>
      </c>
      <c r="C1406" s="34" t="s">
        <v>7645</v>
      </c>
      <c r="D1406" s="35">
        <v>45968.209106620372</v>
      </c>
      <c r="E1406" s="43">
        <v>45967</v>
      </c>
      <c r="F1406" s="32" t="s">
        <v>7646</v>
      </c>
      <c r="G1406" s="32" t="s">
        <v>7647</v>
      </c>
      <c r="H1406" s="32" t="s">
        <v>6645</v>
      </c>
      <c r="I1406" s="36" t="s">
        <v>7648</v>
      </c>
      <c r="J1406" s="52" t="s">
        <v>7649</v>
      </c>
      <c r="K1406" s="32" t="s">
        <v>7650</v>
      </c>
      <c r="L1406" s="32" t="s">
        <v>7651</v>
      </c>
      <c r="M1406" s="32" t="s">
        <v>726</v>
      </c>
      <c r="N1406" s="33">
        <v>5</v>
      </c>
      <c r="O1406" s="35"/>
      <c r="P1406" s="35"/>
      <c r="Q1406" s="37"/>
      <c r="R1406" s="38"/>
      <c r="S1406" s="33"/>
      <c r="T1406" s="39">
        <v>197000</v>
      </c>
      <c r="U1406" s="40" t="s">
        <v>1774</v>
      </c>
      <c r="V1406" s="41"/>
      <c r="W1406" s="42" t="str">
        <f ca="1">IFERROR(__xludf.DUMMYFUNCTION("""COMPUTED_VALUE"""),"Deradja Gingko")</f>
        <v>Deradja Gingko</v>
      </c>
      <c r="X1406" s="42" t="str">
        <f ca="1"/>
        <v>ON-Deradja Gingko-00011900+5-6281904149328</v>
      </c>
      <c r="Y1406" s="40"/>
      <c r="Z1406" s="40"/>
      <c r="AA1406" s="23" t="str">
        <v>https://wa.me/6281904149328</v>
      </c>
      <c r="AB1406" s="28"/>
      <c r="AC1406" s="28"/>
      <c r="AD1406" s="28"/>
      <c r="AE1406" s="28"/>
      <c r="AF1406" s="29"/>
      <c r="AG1406" s="29"/>
    </row>
    <row r="1407" spans="1:33" ht="15.75" customHeight="1">
      <c r="A1407" s="32"/>
      <c r="B1407" s="33">
        <v>1461</v>
      </c>
      <c r="C1407" s="34" t="s">
        <v>7652</v>
      </c>
      <c r="D1407" s="35">
        <v>45968.221831064817</v>
      </c>
      <c r="E1407" s="43">
        <v>45967</v>
      </c>
      <c r="F1407" s="32" t="s">
        <v>4329</v>
      </c>
      <c r="G1407" s="32" t="s">
        <v>4330</v>
      </c>
      <c r="H1407" s="32" t="s">
        <v>4331</v>
      </c>
      <c r="I1407" s="36" t="s">
        <v>4332</v>
      </c>
      <c r="J1407" s="52" t="s">
        <v>4914</v>
      </c>
      <c r="K1407" s="32" t="s">
        <v>570</v>
      </c>
      <c r="L1407" s="32" t="s">
        <v>2631</v>
      </c>
      <c r="M1407" s="32" t="s">
        <v>4333</v>
      </c>
      <c r="N1407" s="33">
        <v>10</v>
      </c>
      <c r="O1407" s="35"/>
      <c r="P1407" s="35"/>
      <c r="Q1407" s="37"/>
      <c r="R1407" s="38"/>
      <c r="S1407" s="33"/>
      <c r="T1407" s="39">
        <v>375000</v>
      </c>
      <c r="U1407" s="40" t="s">
        <v>1774</v>
      </c>
      <c r="V1407" s="41"/>
      <c r="W1407" s="42" t="str">
        <f ca="1">IFERROR(__xludf.DUMMYFUNCTION("""COMPUTED_VALUE"""),"Anindiyajayapool")</f>
        <v>Anindiyajayapool</v>
      </c>
      <c r="X1407" s="42" t="str">
        <f ca="1"/>
        <v>ON-Anindiyajayapool-00011900+10-6285888452389</v>
      </c>
      <c r="Y1407" s="40"/>
      <c r="Z1407" s="40"/>
      <c r="AA1407" s="23" t="str">
        <v>https://wa.me/6285888452389</v>
      </c>
      <c r="AB1407" s="28"/>
      <c r="AC1407" s="28"/>
      <c r="AD1407" s="28"/>
      <c r="AE1407" s="28"/>
      <c r="AF1407" s="29"/>
      <c r="AG1407" s="29"/>
    </row>
    <row r="1408" spans="1:33" ht="15.75" customHeight="1">
      <c r="A1408" s="32" t="s">
        <v>33</v>
      </c>
      <c r="B1408" s="33">
        <v>1463</v>
      </c>
      <c r="C1408" s="34" t="s">
        <v>7653</v>
      </c>
      <c r="D1408" s="35">
        <v>45968.22377113426</v>
      </c>
      <c r="E1408" s="43">
        <v>45967</v>
      </c>
      <c r="F1408" s="32" t="s">
        <v>7654</v>
      </c>
      <c r="G1408" s="32" t="s">
        <v>7655</v>
      </c>
      <c r="H1408" s="32" t="s">
        <v>1711</v>
      </c>
      <c r="I1408" s="36" t="s">
        <v>7656</v>
      </c>
      <c r="J1408" s="52"/>
      <c r="K1408" s="32" t="s">
        <v>7657</v>
      </c>
      <c r="L1408" s="32" t="s">
        <v>85</v>
      </c>
      <c r="M1408" s="32" t="s">
        <v>60</v>
      </c>
      <c r="N1408" s="33">
        <v>5</v>
      </c>
      <c r="O1408" s="35"/>
      <c r="P1408" s="35"/>
      <c r="Q1408" s="37"/>
      <c r="R1408" s="38"/>
      <c r="S1408" s="33"/>
      <c r="T1408" s="39">
        <v>197000</v>
      </c>
      <c r="U1408" s="40" t="s">
        <v>61</v>
      </c>
      <c r="V1408" s="41"/>
      <c r="W1408" s="42" t="str">
        <f ca="1">IFERROR(__xludf.DUMMYFUNCTION("""COMPUTED_VALUE"""),"Pengobatan Vitalitas")</f>
        <v>Pengobatan Vitalitas</v>
      </c>
      <c r="X1408" s="42" t="str">
        <f ca="1"/>
        <v>ON-Pengobatan Vitalitas-00011900+5-6282261110051</v>
      </c>
      <c r="Y1408" s="40"/>
      <c r="Z1408" s="40"/>
      <c r="AA1408" s="23" t="str">
        <v>https://wa.me/6282261110051</v>
      </c>
      <c r="AB1408" s="28"/>
      <c r="AC1408" s="28"/>
      <c r="AD1408" s="28"/>
      <c r="AE1408" s="28"/>
      <c r="AF1408" s="29"/>
      <c r="AG1408" s="29"/>
    </row>
    <row r="1409" spans="1:33" ht="15.75" customHeight="1">
      <c r="A1409" s="32" t="s">
        <v>33</v>
      </c>
      <c r="B1409" s="33">
        <v>1467</v>
      </c>
      <c r="C1409" s="34" t="s">
        <v>7658</v>
      </c>
      <c r="D1409" s="35">
        <v>45968.224982118059</v>
      </c>
      <c r="E1409" s="43">
        <v>45964</v>
      </c>
      <c r="F1409" s="32" t="s">
        <v>7604</v>
      </c>
      <c r="G1409" s="32" t="s">
        <v>7352</v>
      </c>
      <c r="H1409" s="32" t="s">
        <v>7605</v>
      </c>
      <c r="I1409" s="36" t="s">
        <v>7606</v>
      </c>
      <c r="J1409" s="52"/>
      <c r="K1409" s="32" t="s">
        <v>7607</v>
      </c>
      <c r="L1409" s="32" t="s">
        <v>1542</v>
      </c>
      <c r="M1409" s="32" t="s">
        <v>60</v>
      </c>
      <c r="N1409" s="33">
        <v>5</v>
      </c>
      <c r="O1409" s="35"/>
      <c r="P1409" s="35"/>
      <c r="Q1409" s="37"/>
      <c r="R1409" s="38"/>
      <c r="S1409" s="33"/>
      <c r="T1409" s="39">
        <v>197000</v>
      </c>
      <c r="U1409" s="40" t="s">
        <v>61</v>
      </c>
      <c r="V1409" s="41"/>
      <c r="W1409" s="42" t="str">
        <f ca="1">IFERROR(__xludf.DUMMYFUNCTION("""COMPUTED_VALUE"""),"Samira Travel")</f>
        <v>Samira Travel</v>
      </c>
      <c r="X1409" s="42" t="str">
        <f ca="1"/>
        <v>ON-Samira Travel-00011900+5-6285381277559</v>
      </c>
      <c r="Y1409" s="40"/>
      <c r="Z1409" s="40"/>
      <c r="AA1409" s="23" t="str">
        <v>https://wa.me/6285381277559</v>
      </c>
      <c r="AB1409" s="28"/>
      <c r="AC1409" s="28"/>
      <c r="AD1409" s="28"/>
      <c r="AE1409" s="28"/>
      <c r="AF1409" s="29"/>
      <c r="AG1409" s="29"/>
    </row>
    <row r="1410" spans="1:33" ht="15.75" customHeight="1">
      <c r="A1410" s="32" t="s">
        <v>33</v>
      </c>
      <c r="B1410" s="33">
        <v>1469</v>
      </c>
      <c r="C1410" s="34" t="s">
        <v>7659</v>
      </c>
      <c r="D1410" s="35">
        <v>45968.23169674768</v>
      </c>
      <c r="E1410" s="43">
        <v>45964</v>
      </c>
      <c r="F1410" s="32" t="s">
        <v>7617</v>
      </c>
      <c r="G1410" s="32" t="s">
        <v>7660</v>
      </c>
      <c r="H1410" s="32" t="s">
        <v>7605</v>
      </c>
      <c r="I1410" s="36" t="s">
        <v>7606</v>
      </c>
      <c r="J1410" s="52"/>
      <c r="K1410" s="32" t="s">
        <v>7607</v>
      </c>
      <c r="L1410" s="32" t="s">
        <v>1542</v>
      </c>
      <c r="M1410" s="32" t="s">
        <v>60</v>
      </c>
      <c r="N1410" s="33">
        <v>30</v>
      </c>
      <c r="O1410" s="35"/>
      <c r="P1410" s="35"/>
      <c r="Q1410" s="37"/>
      <c r="R1410" s="38"/>
      <c r="S1410" s="33"/>
      <c r="T1410" s="39">
        <v>197000</v>
      </c>
      <c r="U1410" s="40" t="s">
        <v>61</v>
      </c>
      <c r="V1410" s="41"/>
      <c r="W1410" s="42" t="str">
        <f ca="1">IFERROR(__xludf.DUMMYFUNCTION("""COMPUTED_VALUE"""),"AA Travel")</f>
        <v>AA Travel</v>
      </c>
      <c r="X1410" s="42" t="str">
        <f ca="1"/>
        <v>ON-AA Travel-00011900+30-6285381277559</v>
      </c>
      <c r="Y1410" s="40"/>
      <c r="Z1410" s="40"/>
      <c r="AA1410" s="23" t="str">
        <v>https://wa.me/6285381277559</v>
      </c>
      <c r="AB1410" s="28"/>
      <c r="AC1410" s="28"/>
      <c r="AD1410" s="28"/>
      <c r="AE1410" s="28"/>
      <c r="AF1410" s="29"/>
      <c r="AG1410" s="29"/>
    </row>
    <row r="1411" spans="1:33" ht="15.75" customHeight="1">
      <c r="A1411" s="32" t="s">
        <v>196</v>
      </c>
      <c r="B1411" s="33">
        <v>1429</v>
      </c>
      <c r="C1411" s="34" t="s">
        <v>7661</v>
      </c>
      <c r="D1411" s="35">
        <v>45967.452771770833</v>
      </c>
      <c r="E1411" s="43">
        <v>45967</v>
      </c>
      <c r="F1411" s="32" t="s">
        <v>7662</v>
      </c>
      <c r="G1411" s="32" t="s">
        <v>7663</v>
      </c>
      <c r="H1411" s="32" t="s">
        <v>7664</v>
      </c>
      <c r="I1411" s="36" t="s">
        <v>7665</v>
      </c>
      <c r="J1411" s="52" t="s">
        <v>7666</v>
      </c>
      <c r="K1411" s="32" t="s">
        <v>7667</v>
      </c>
      <c r="L1411" s="32" t="s">
        <v>1704</v>
      </c>
      <c r="M1411" s="32" t="s">
        <v>382</v>
      </c>
      <c r="N1411" s="33">
        <v>5</v>
      </c>
      <c r="O1411" s="35">
        <v>45970</v>
      </c>
      <c r="P1411" s="35">
        <v>45974</v>
      </c>
      <c r="Q1411" s="37"/>
      <c r="R1411" s="38"/>
      <c r="S1411" s="33"/>
      <c r="T1411" s="39">
        <v>197000</v>
      </c>
      <c r="U1411" s="40" t="s">
        <v>115</v>
      </c>
      <c r="V1411" s="41"/>
      <c r="W1411" s="42" t="str">
        <f ca="1">IFERROR(__xludf.DUMMYFUNCTION("""COMPUTED_VALUE"""),"Vendidit store")</f>
        <v>Vendidit store</v>
      </c>
      <c r="X1411" s="42" t="str">
        <f ca="1"/>
        <v>ON-Vendidit store-00011900+5-6285834603770</v>
      </c>
      <c r="Y1411" s="40" t="s">
        <v>62</v>
      </c>
      <c r="Z1411" s="40" t="s">
        <v>1861</v>
      </c>
      <c r="AA1411" s="23" t="str">
        <v>https://wa.me/6285834603770</v>
      </c>
      <c r="AB1411" s="28" t="s">
        <v>7668</v>
      </c>
      <c r="AC1411" s="28"/>
      <c r="AD1411" s="28" t="s">
        <v>690</v>
      </c>
      <c r="AE1411" s="28"/>
      <c r="AF1411" s="29"/>
      <c r="AG1411" s="29"/>
    </row>
    <row r="1412" spans="1:33" ht="15.75" customHeight="1">
      <c r="A1412" s="32" t="s">
        <v>196</v>
      </c>
      <c r="B1412" s="33">
        <v>1432</v>
      </c>
      <c r="C1412" s="34" t="s">
        <v>7669</v>
      </c>
      <c r="D1412" s="35">
        <v>45967.575726249997</v>
      </c>
      <c r="E1412" s="43">
        <v>45967</v>
      </c>
      <c r="F1412" s="32" t="s">
        <v>7646</v>
      </c>
      <c r="G1412" s="32" t="s">
        <v>7647</v>
      </c>
      <c r="H1412" s="32" t="s">
        <v>6645</v>
      </c>
      <c r="I1412" s="36" t="s">
        <v>7648</v>
      </c>
      <c r="J1412" s="52" t="s">
        <v>7649</v>
      </c>
      <c r="K1412" s="32" t="s">
        <v>7650</v>
      </c>
      <c r="L1412" s="32" t="s">
        <v>7651</v>
      </c>
      <c r="M1412" s="32" t="s">
        <v>726</v>
      </c>
      <c r="N1412" s="33">
        <v>5</v>
      </c>
      <c r="O1412" s="35">
        <v>45970</v>
      </c>
      <c r="P1412" s="35">
        <v>45974</v>
      </c>
      <c r="Q1412" s="37"/>
      <c r="R1412" s="38"/>
      <c r="S1412" s="33"/>
      <c r="T1412" s="39">
        <v>197000</v>
      </c>
      <c r="U1412" s="40" t="s">
        <v>1774</v>
      </c>
      <c r="V1412" s="41"/>
      <c r="W1412" s="42" t="str">
        <f ca="1">IFERROR(__xludf.DUMMYFUNCTION("""COMPUTED_VALUE"""),"Deradja Gingko")</f>
        <v>Deradja Gingko</v>
      </c>
      <c r="X1412" s="42" t="str">
        <f ca="1"/>
        <v>ON-Deradja Gingko-00011900+5-6281904149328</v>
      </c>
      <c r="Y1412" s="40" t="s">
        <v>62</v>
      </c>
      <c r="Z1412" s="40" t="s">
        <v>1861</v>
      </c>
      <c r="AA1412" s="23" t="str">
        <v>https://wa.me/6281904149328</v>
      </c>
      <c r="AB1412" s="28" t="s">
        <v>7670</v>
      </c>
      <c r="AC1412" s="28"/>
      <c r="AD1412" s="28" t="s">
        <v>690</v>
      </c>
      <c r="AE1412" s="28"/>
      <c r="AF1412" s="29"/>
      <c r="AG1412" s="29"/>
    </row>
    <row r="1413" spans="1:33" ht="15.75" customHeight="1">
      <c r="A1413" s="32" t="s">
        <v>196</v>
      </c>
      <c r="B1413" s="33">
        <v>1511</v>
      </c>
      <c r="C1413" s="34" t="s">
        <v>7671</v>
      </c>
      <c r="D1413" s="35">
        <v>45968.451675578704</v>
      </c>
      <c r="E1413" s="43">
        <v>45968</v>
      </c>
      <c r="F1413" s="32" t="s">
        <v>7672</v>
      </c>
      <c r="G1413" s="32" t="s">
        <v>7673</v>
      </c>
      <c r="H1413" s="32" t="s">
        <v>7674</v>
      </c>
      <c r="I1413" s="36" t="s">
        <v>7675</v>
      </c>
      <c r="J1413" s="52" t="s">
        <v>7676</v>
      </c>
      <c r="K1413" s="32" t="s">
        <v>46</v>
      </c>
      <c r="L1413" s="32" t="s">
        <v>5191</v>
      </c>
      <c r="M1413" s="32" t="s">
        <v>249</v>
      </c>
      <c r="N1413" s="33">
        <v>5</v>
      </c>
      <c r="O1413" s="35">
        <v>45970</v>
      </c>
      <c r="P1413" s="35">
        <v>45974</v>
      </c>
      <c r="Q1413" s="37"/>
      <c r="R1413" s="38"/>
      <c r="S1413" s="33"/>
      <c r="T1413" s="39">
        <v>197000</v>
      </c>
      <c r="U1413" s="40" t="s">
        <v>1774</v>
      </c>
      <c r="V1413" s="41"/>
      <c r="W1413" s="42" t="str">
        <f ca="1">IFERROR(__xludf.DUMMYFUNCTION("""COMPUTED_VALUE"""),"FLO Architects")</f>
        <v>FLO Architects</v>
      </c>
      <c r="X1413" s="42" t="str">
        <f ca="1"/>
        <v>ON-FLO Architects-00011900+5-628172829797</v>
      </c>
      <c r="Y1413" s="40" t="s">
        <v>293</v>
      </c>
      <c r="Z1413" s="40" t="s">
        <v>1057</v>
      </c>
      <c r="AA1413" s="23" t="str">
        <v>https://wa.me/628172829797</v>
      </c>
      <c r="AB1413" s="28" t="s">
        <v>7677</v>
      </c>
      <c r="AC1413" s="28"/>
      <c r="AD1413" s="28" t="s">
        <v>690</v>
      </c>
      <c r="AE1413" s="28"/>
      <c r="AF1413" s="29"/>
      <c r="AG1413" s="29"/>
    </row>
    <row r="1414" spans="1:33" ht="15.75" customHeight="1">
      <c r="A1414" s="32" t="s">
        <v>196</v>
      </c>
      <c r="B1414" s="33">
        <v>1509</v>
      </c>
      <c r="C1414" s="34" t="s">
        <v>7678</v>
      </c>
      <c r="D1414" s="35">
        <v>45968.442350925921</v>
      </c>
      <c r="E1414" s="43">
        <v>45968</v>
      </c>
      <c r="F1414" s="32" t="s">
        <v>7679</v>
      </c>
      <c r="G1414" s="32" t="s">
        <v>7680</v>
      </c>
      <c r="H1414" s="32" t="s">
        <v>7681</v>
      </c>
      <c r="I1414" s="36" t="s">
        <v>7682</v>
      </c>
      <c r="J1414" s="52" t="s">
        <v>7683</v>
      </c>
      <c r="K1414" s="32" t="s">
        <v>2725</v>
      </c>
      <c r="L1414" s="32" t="s">
        <v>7684</v>
      </c>
      <c r="M1414" s="32" t="s">
        <v>60</v>
      </c>
      <c r="N1414" s="33">
        <v>5</v>
      </c>
      <c r="O1414" s="35">
        <v>45971</v>
      </c>
      <c r="P1414" s="35">
        <v>45975</v>
      </c>
      <c r="Q1414" s="37"/>
      <c r="R1414" s="38"/>
      <c r="S1414" s="33"/>
      <c r="T1414" s="39">
        <v>197000</v>
      </c>
      <c r="U1414" s="40"/>
      <c r="V1414" s="41"/>
      <c r="W1414" s="42" t="str">
        <f ca="1">IFERROR(__xludf.DUMMYFUNCTION("""COMPUTED_VALUE"""),"Setiajaya Printing")</f>
        <v>Setiajaya Printing</v>
      </c>
      <c r="X1414" s="42" t="str">
        <f ca="1"/>
        <v>ON-Setiajaya Printing-00011900+5-6283142837128</v>
      </c>
      <c r="Y1414" s="40" t="s">
        <v>62</v>
      </c>
      <c r="Z1414" s="40" t="s">
        <v>1465</v>
      </c>
      <c r="AA1414" s="23" t="str">
        <v>https://wa.me/6283142837128</v>
      </c>
      <c r="AB1414" s="28" t="s">
        <v>7685</v>
      </c>
      <c r="AC1414" s="28"/>
      <c r="AD1414" s="28" t="s">
        <v>690</v>
      </c>
      <c r="AE1414" s="28"/>
      <c r="AF1414" s="29"/>
      <c r="AG1414" s="29"/>
    </row>
    <row r="1415" spans="1:33" ht="15.75" customHeight="1">
      <c r="A1415" s="32" t="s">
        <v>196</v>
      </c>
      <c r="B1415" s="33">
        <v>1513</v>
      </c>
      <c r="C1415" s="34" t="s">
        <v>7686</v>
      </c>
      <c r="D1415" s="35">
        <v>45968.481372395836</v>
      </c>
      <c r="E1415" s="43">
        <v>45968</v>
      </c>
      <c r="F1415" s="32" t="s">
        <v>7687</v>
      </c>
      <c r="G1415" s="32" t="s">
        <v>7688</v>
      </c>
      <c r="H1415" s="32" t="s">
        <v>7689</v>
      </c>
      <c r="I1415" s="36" t="s">
        <v>7690</v>
      </c>
      <c r="J1415" s="52"/>
      <c r="K1415" s="32" t="s">
        <v>7691</v>
      </c>
      <c r="L1415" s="32" t="s">
        <v>7692</v>
      </c>
      <c r="M1415" s="32" t="s">
        <v>38</v>
      </c>
      <c r="N1415" s="33">
        <v>5</v>
      </c>
      <c r="O1415" s="35">
        <v>45971</v>
      </c>
      <c r="P1415" s="35">
        <v>45975</v>
      </c>
      <c r="Q1415" s="37"/>
      <c r="R1415" s="38"/>
      <c r="S1415" s="33"/>
      <c r="T1415" s="39">
        <v>197000</v>
      </c>
      <c r="U1415" s="40" t="s">
        <v>1229</v>
      </c>
      <c r="V1415" s="41"/>
      <c r="W1415" s="42" t="str">
        <f ca="1">IFERROR(__xludf.DUMMYFUNCTION("""COMPUTED_VALUE"""),"teman main")</f>
        <v>teman main</v>
      </c>
      <c r="X1415" s="42" t="str">
        <f ca="1"/>
        <v>ON-teman main-00011900+5-6289627431774</v>
      </c>
      <c r="Y1415" s="40" t="s">
        <v>62</v>
      </c>
      <c r="Z1415" s="40" t="s">
        <v>1404</v>
      </c>
      <c r="AA1415" s="23" t="str">
        <v>https://wa.me/6289627431774</v>
      </c>
      <c r="AB1415" s="28" t="s">
        <v>7693</v>
      </c>
      <c r="AC1415" s="28"/>
      <c r="AD1415" s="28" t="s">
        <v>690</v>
      </c>
      <c r="AE1415" s="28"/>
      <c r="AF1415" s="29"/>
      <c r="AG1415" s="29"/>
    </row>
    <row r="1416" spans="1:33" ht="15.75" customHeight="1">
      <c r="A1416" s="32" t="s">
        <v>196</v>
      </c>
      <c r="B1416" s="33">
        <v>1519</v>
      </c>
      <c r="C1416" s="34" t="s">
        <v>7694</v>
      </c>
      <c r="D1416" s="35">
        <v>45968.57951841435</v>
      </c>
      <c r="E1416" s="43">
        <v>45968</v>
      </c>
      <c r="F1416" s="32" t="s">
        <v>7695</v>
      </c>
      <c r="G1416" s="32" t="s">
        <v>7696</v>
      </c>
      <c r="H1416" s="32" t="s">
        <v>7697</v>
      </c>
      <c r="I1416" s="36" t="s">
        <v>7698</v>
      </c>
      <c r="J1416" s="52" t="s">
        <v>7699</v>
      </c>
      <c r="K1416" s="32" t="s">
        <v>570</v>
      </c>
      <c r="L1416" s="32" t="s">
        <v>4783</v>
      </c>
      <c r="M1416" s="32" t="s">
        <v>382</v>
      </c>
      <c r="N1416" s="33">
        <v>5</v>
      </c>
      <c r="O1416" s="35">
        <v>45971</v>
      </c>
      <c r="P1416" s="35">
        <v>45975</v>
      </c>
      <c r="Q1416" s="37"/>
      <c r="R1416" s="38"/>
      <c r="S1416" s="33"/>
      <c r="T1416" s="39">
        <v>197000</v>
      </c>
      <c r="U1416" s="40" t="s">
        <v>115</v>
      </c>
      <c r="V1416" s="41"/>
      <c r="W1416" s="42" t="str">
        <f ca="1">IFERROR(__xludf.DUMMYFUNCTION("""COMPUTED_VALUE"""),"Toko Agus")</f>
        <v>Toko Agus</v>
      </c>
      <c r="X1416" s="42" t="str">
        <f ca="1"/>
        <v>ON-Toko Agus-00011900+5-62818752345</v>
      </c>
      <c r="Y1416" s="40" t="s">
        <v>293</v>
      </c>
      <c r="Z1416" s="40" t="s">
        <v>1057</v>
      </c>
      <c r="AA1416" s="23" t="str">
        <v>https://wa.me/62818752345</v>
      </c>
      <c r="AB1416" s="28" t="s">
        <v>7700</v>
      </c>
      <c r="AC1416" s="28"/>
      <c r="AD1416" s="28" t="s">
        <v>690</v>
      </c>
      <c r="AE1416" s="28"/>
      <c r="AF1416" s="29"/>
      <c r="AG1416" s="29"/>
    </row>
    <row r="1417" spans="1:33" ht="15.75" customHeight="1">
      <c r="A1417" s="32" t="s">
        <v>196</v>
      </c>
      <c r="B1417" s="33">
        <v>1533</v>
      </c>
      <c r="C1417" s="34" t="s">
        <v>7701</v>
      </c>
      <c r="D1417" s="35">
        <v>45969.220249108796</v>
      </c>
      <c r="E1417" s="43">
        <v>45968</v>
      </c>
      <c r="F1417" s="32" t="s">
        <v>7702</v>
      </c>
      <c r="G1417" s="32" t="s">
        <v>7703</v>
      </c>
      <c r="H1417" s="32" t="s">
        <v>7704</v>
      </c>
      <c r="I1417" s="36" t="s">
        <v>7705</v>
      </c>
      <c r="J1417" s="52" t="s">
        <v>7706</v>
      </c>
      <c r="K1417" s="32" t="s">
        <v>570</v>
      </c>
      <c r="L1417" s="32" t="s">
        <v>85</v>
      </c>
      <c r="M1417" s="32" t="s">
        <v>60</v>
      </c>
      <c r="N1417" s="33">
        <v>5</v>
      </c>
      <c r="O1417" s="35">
        <v>45971</v>
      </c>
      <c r="P1417" s="35">
        <v>45975</v>
      </c>
      <c r="Q1417" s="37"/>
      <c r="R1417" s="38"/>
      <c r="S1417" s="33"/>
      <c r="T1417" s="39">
        <v>197000</v>
      </c>
      <c r="U1417" s="40" t="s">
        <v>61</v>
      </c>
      <c r="V1417" s="41"/>
      <c r="W1417" s="42" t="str">
        <f ca="1">IFERROR(__xludf.DUMMYFUNCTION("""COMPUTED_VALUE"""),"Jaya Mandiri")</f>
        <v>Jaya Mandiri</v>
      </c>
      <c r="X1417" s="42" t="str">
        <f ca="1"/>
        <v>ON-Jaya Mandiri-00011900+5-6287786425009</v>
      </c>
      <c r="Y1417" s="40" t="s">
        <v>293</v>
      </c>
      <c r="Z1417" s="40" t="s">
        <v>1057</v>
      </c>
      <c r="AA1417" s="23" t="str">
        <v>https://wa.me/6287786425009</v>
      </c>
      <c r="AB1417" s="28" t="s">
        <v>7707</v>
      </c>
      <c r="AC1417" s="28"/>
      <c r="AD1417" s="28" t="s">
        <v>690</v>
      </c>
      <c r="AE1417" s="28"/>
      <c r="AF1417" s="29"/>
      <c r="AG1417" s="29"/>
    </row>
    <row r="1418" spans="1:33" ht="15.75" customHeight="1">
      <c r="A1418" s="32" t="s">
        <v>52</v>
      </c>
      <c r="B1418" s="33">
        <v>1517</v>
      </c>
      <c r="C1418" s="34" t="s">
        <v>7708</v>
      </c>
      <c r="D1418" s="33" t="s">
        <v>7709</v>
      </c>
      <c r="E1418" s="43">
        <v>45968</v>
      </c>
      <c r="F1418" s="32" t="s">
        <v>7710</v>
      </c>
      <c r="G1418" s="32" t="s">
        <v>7711</v>
      </c>
      <c r="H1418" s="32" t="s">
        <v>7712</v>
      </c>
      <c r="I1418" s="36" t="s">
        <v>7713</v>
      </c>
      <c r="J1418" s="52"/>
      <c r="K1418" s="32" t="s">
        <v>345</v>
      </c>
      <c r="L1418" s="32" t="s">
        <v>4783</v>
      </c>
      <c r="M1418" s="32" t="s">
        <v>382</v>
      </c>
      <c r="N1418" s="33">
        <v>5</v>
      </c>
      <c r="O1418" s="35"/>
      <c r="P1418" s="35"/>
      <c r="Q1418" s="37"/>
      <c r="R1418" s="38">
        <v>-1003470351325</v>
      </c>
      <c r="S1418" s="33"/>
      <c r="T1418" s="39">
        <v>197000</v>
      </c>
      <c r="U1418" s="40" t="s">
        <v>1774</v>
      </c>
      <c r="V1418" s="47">
        <v>46018.543499664353</v>
      </c>
      <c r="W1418" s="42" t="str">
        <f ca="1">IFERROR(__xludf.DUMMYFUNCTION("""COMPUTED_VALUE"""),"AJP Arfi")</f>
        <v>AJP Arfi</v>
      </c>
      <c r="X1418" s="42" t="str">
        <f ca="1"/>
        <v>ON-AJP Arfi-27122025+5-6289673319845</v>
      </c>
      <c r="Y1418" s="40"/>
      <c r="Z1418" s="40"/>
      <c r="AA1418" s="23" t="str">
        <v>https://wa.me/6289673319845</v>
      </c>
      <c r="AB1418" s="28"/>
      <c r="AC1418" s="28"/>
      <c r="AD1418" s="28"/>
      <c r="AE1418" s="28"/>
      <c r="AF1418" s="29"/>
      <c r="AG1418" s="29"/>
    </row>
    <row r="1419" spans="1:33" ht="15.75" customHeight="1">
      <c r="A1419" s="32" t="s">
        <v>196</v>
      </c>
      <c r="B1419" s="33">
        <v>1437</v>
      </c>
      <c r="C1419" s="34" t="s">
        <v>7714</v>
      </c>
      <c r="D1419" s="35">
        <v>45967.925428240742</v>
      </c>
      <c r="E1419" s="43">
        <v>45967</v>
      </c>
      <c r="F1419" s="32" t="s">
        <v>7654</v>
      </c>
      <c r="G1419" s="32" t="s">
        <v>7655</v>
      </c>
      <c r="H1419" s="32" t="s">
        <v>1711</v>
      </c>
      <c r="I1419" s="36" t="s">
        <v>7656</v>
      </c>
      <c r="J1419" s="52"/>
      <c r="K1419" s="32" t="s">
        <v>7657</v>
      </c>
      <c r="L1419" s="32" t="s">
        <v>85</v>
      </c>
      <c r="M1419" s="32" t="s">
        <v>60</v>
      </c>
      <c r="N1419" s="33">
        <v>5</v>
      </c>
      <c r="O1419" s="35">
        <v>45972</v>
      </c>
      <c r="P1419" s="35">
        <v>45976</v>
      </c>
      <c r="Q1419" s="37"/>
      <c r="R1419" s="38"/>
      <c r="S1419" s="33"/>
      <c r="T1419" s="39">
        <v>197000</v>
      </c>
      <c r="U1419" s="40" t="s">
        <v>61</v>
      </c>
      <c r="V1419" s="41"/>
      <c r="W1419" s="42" t="str">
        <f ca="1">IFERROR(__xludf.DUMMYFUNCTION("""COMPUTED_VALUE"""),"Pengobatan Vitalitas")</f>
        <v>Pengobatan Vitalitas</v>
      </c>
      <c r="X1419" s="42" t="str">
        <f ca="1"/>
        <v>ON-Pengobatan Vitalitas-00011900+5-6282261110051</v>
      </c>
      <c r="Y1419" s="40" t="s">
        <v>62</v>
      </c>
      <c r="Z1419" s="40" t="s">
        <v>639</v>
      </c>
      <c r="AA1419" s="23" t="str">
        <v>https://wa.me/6282261110051</v>
      </c>
      <c r="AB1419" s="28" t="s">
        <v>7715</v>
      </c>
      <c r="AC1419" s="28"/>
      <c r="AD1419" s="28" t="s">
        <v>690</v>
      </c>
      <c r="AE1419" s="28"/>
      <c r="AF1419" s="29"/>
      <c r="AG1419" s="29"/>
    </row>
    <row r="1420" spans="1:33" ht="15.75" customHeight="1">
      <c r="A1420" s="32" t="s">
        <v>52</v>
      </c>
      <c r="B1420" s="33">
        <v>1523</v>
      </c>
      <c r="C1420" s="34" t="s">
        <v>7716</v>
      </c>
      <c r="D1420" s="35">
        <v>45968.684528912039</v>
      </c>
      <c r="E1420" s="43">
        <v>45968</v>
      </c>
      <c r="F1420" s="32" t="s">
        <v>6477</v>
      </c>
      <c r="G1420" s="32" t="s">
        <v>6478</v>
      </c>
      <c r="H1420" s="32" t="s">
        <v>6479</v>
      </c>
      <c r="I1420" s="36" t="s">
        <v>6480</v>
      </c>
      <c r="J1420" s="52" t="s">
        <v>6481</v>
      </c>
      <c r="K1420" s="32" t="s">
        <v>3619</v>
      </c>
      <c r="L1420" s="32" t="s">
        <v>5294</v>
      </c>
      <c r="M1420" s="32" t="s">
        <v>5643</v>
      </c>
      <c r="N1420" s="33">
        <v>5</v>
      </c>
      <c r="O1420" s="35"/>
      <c r="P1420" s="35"/>
      <c r="Q1420" s="37"/>
      <c r="R1420" s="38"/>
      <c r="S1420" s="33"/>
      <c r="T1420" s="39">
        <v>375000</v>
      </c>
      <c r="U1420" s="40" t="s">
        <v>1774</v>
      </c>
      <c r="V1420" s="41"/>
      <c r="W1420" s="42" t="str">
        <f ca="1">IFERROR(__xludf.DUMMYFUNCTION("""COMPUTED_VALUE"""),"Rumah Terapi")</f>
        <v>Rumah Terapi</v>
      </c>
      <c r="X1420" s="42" t="str">
        <f ca="1"/>
        <v>ON-Rumah Terapi-00011900+5-6285850248298</v>
      </c>
      <c r="Y1420" s="40"/>
      <c r="Z1420" s="40"/>
      <c r="AA1420" s="23" t="str">
        <v>https://wa.me/6285850248298</v>
      </c>
      <c r="AB1420" s="28"/>
      <c r="AC1420" s="28"/>
      <c r="AD1420" s="28"/>
      <c r="AE1420" s="28"/>
      <c r="AF1420" s="29"/>
      <c r="AG1420" s="29"/>
    </row>
    <row r="1421" spans="1:33" ht="15.75" customHeight="1">
      <c r="A1421" s="32" t="s">
        <v>33</v>
      </c>
      <c r="B1421" s="33">
        <v>1525</v>
      </c>
      <c r="C1421" s="34" t="s">
        <v>7717</v>
      </c>
      <c r="D1421" s="35">
        <v>45968.684837638888</v>
      </c>
      <c r="E1421" s="43">
        <v>45968</v>
      </c>
      <c r="F1421" s="32" t="s">
        <v>6477</v>
      </c>
      <c r="G1421" s="32" t="s">
        <v>6478</v>
      </c>
      <c r="H1421" s="32" t="s">
        <v>6479</v>
      </c>
      <c r="I1421" s="36" t="s">
        <v>6480</v>
      </c>
      <c r="J1421" s="52" t="s">
        <v>6481</v>
      </c>
      <c r="K1421" s="32" t="s">
        <v>3619</v>
      </c>
      <c r="L1421" s="32" t="s">
        <v>5294</v>
      </c>
      <c r="M1421" s="32" t="s">
        <v>5643</v>
      </c>
      <c r="N1421" s="33">
        <v>10</v>
      </c>
      <c r="O1421" s="35"/>
      <c r="P1421" s="35"/>
      <c r="Q1421" s="37"/>
      <c r="R1421" s="38"/>
      <c r="S1421" s="33"/>
      <c r="T1421" s="39">
        <v>375000</v>
      </c>
      <c r="U1421" s="40" t="s">
        <v>1774</v>
      </c>
      <c r="V1421" s="41"/>
      <c r="W1421" s="42" t="str">
        <f ca="1">IFERROR(__xludf.DUMMYFUNCTION("""COMPUTED_VALUE"""),"Rumah Terapi")</f>
        <v>Rumah Terapi</v>
      </c>
      <c r="X1421" s="42" t="str">
        <f ca="1"/>
        <v>ON-Rumah Terapi-00011900+10-6285850248298</v>
      </c>
      <c r="Y1421" s="40"/>
      <c r="Z1421" s="40"/>
      <c r="AA1421" s="23" t="str">
        <v>https://wa.me/6285850248298</v>
      </c>
      <c r="AB1421" s="28"/>
      <c r="AC1421" s="28"/>
      <c r="AD1421" s="28"/>
      <c r="AE1421" s="28"/>
      <c r="AF1421" s="29"/>
      <c r="AG1421" s="29"/>
    </row>
    <row r="1422" spans="1:33" ht="15.75" customHeight="1">
      <c r="A1422" s="32" t="s">
        <v>196</v>
      </c>
      <c r="B1422" s="33">
        <v>1474</v>
      </c>
      <c r="C1422" s="34" t="s">
        <v>7718</v>
      </c>
      <c r="D1422" s="35">
        <v>45968.336882835647</v>
      </c>
      <c r="E1422" s="43">
        <v>45968</v>
      </c>
      <c r="F1422" s="32" t="s">
        <v>7719</v>
      </c>
      <c r="G1422" s="32" t="s">
        <v>7720</v>
      </c>
      <c r="H1422" s="32" t="s">
        <v>3070</v>
      </c>
      <c r="I1422" s="36" t="s">
        <v>7721</v>
      </c>
      <c r="J1422" s="52" t="s">
        <v>7722</v>
      </c>
      <c r="K1422" s="32" t="s">
        <v>7723</v>
      </c>
      <c r="L1422" s="32" t="s">
        <v>7724</v>
      </c>
      <c r="M1422" s="32" t="s">
        <v>5492</v>
      </c>
      <c r="N1422" s="33">
        <v>5</v>
      </c>
      <c r="O1422" s="35">
        <v>45972</v>
      </c>
      <c r="P1422" s="35">
        <v>45976</v>
      </c>
      <c r="Q1422" s="37"/>
      <c r="R1422" s="38"/>
      <c r="S1422" s="33"/>
      <c r="T1422" s="39">
        <v>197000</v>
      </c>
      <c r="U1422" s="40" t="s">
        <v>1774</v>
      </c>
      <c r="V1422" s="41"/>
      <c r="W1422" s="42" t="str">
        <f ca="1">IFERROR(__xludf.DUMMYFUNCTION("""COMPUTED_VALUE"""),"Jasa Sertifikat")</f>
        <v>Jasa Sertifikat</v>
      </c>
      <c r="X1422" s="42" t="str">
        <f ca="1"/>
        <v>ON-Jasa Sertifikat-00011900+5-6285591221799</v>
      </c>
      <c r="Y1422" s="40" t="s">
        <v>62</v>
      </c>
      <c r="Z1422" s="40" t="s">
        <v>1465</v>
      </c>
      <c r="AA1422" s="23" t="str">
        <v>https://wa.me/6285591221799</v>
      </c>
      <c r="AB1422" s="28" t="s">
        <v>7725</v>
      </c>
      <c r="AC1422" s="28"/>
      <c r="AD1422" s="28" t="s">
        <v>690</v>
      </c>
      <c r="AE1422" s="28"/>
      <c r="AF1422" s="29"/>
      <c r="AG1422" s="29"/>
    </row>
    <row r="1423" spans="1:33" ht="15.75" customHeight="1">
      <c r="A1423" s="32" t="s">
        <v>52</v>
      </c>
      <c r="B1423" s="33">
        <v>1528</v>
      </c>
      <c r="C1423" s="34" t="s">
        <v>7726</v>
      </c>
      <c r="D1423" s="35">
        <v>45968.932458715281</v>
      </c>
      <c r="E1423" s="43">
        <v>45968</v>
      </c>
      <c r="F1423" s="32" t="s">
        <v>4881</v>
      </c>
      <c r="G1423" s="32" t="s">
        <v>4882</v>
      </c>
      <c r="H1423" s="32" t="s">
        <v>4883</v>
      </c>
      <c r="I1423" s="36" t="s">
        <v>4884</v>
      </c>
      <c r="J1423" s="52" t="s">
        <v>7727</v>
      </c>
      <c r="K1423" s="32" t="s">
        <v>4885</v>
      </c>
      <c r="L1423" s="32" t="s">
        <v>4886</v>
      </c>
      <c r="M1423" s="32" t="s">
        <v>60</v>
      </c>
      <c r="N1423" s="33">
        <v>10</v>
      </c>
      <c r="O1423" s="35"/>
      <c r="P1423" s="35"/>
      <c r="Q1423" s="37"/>
      <c r="R1423" s="38"/>
      <c r="S1423" s="33"/>
      <c r="T1423" s="39">
        <v>375000</v>
      </c>
      <c r="U1423" s="40" t="s">
        <v>115</v>
      </c>
      <c r="V1423" s="41"/>
      <c r="W1423" s="42" t="str">
        <f ca="1">IFERROR(__xludf.DUMMYFUNCTION("""COMPUTED_VALUE"""),"CV. Arthamas")</f>
        <v>CV. Arthamas</v>
      </c>
      <c r="X1423" s="42" t="str">
        <f ca="1"/>
        <v>ON-CV. Arthamas-00011900+10-6281328881949</v>
      </c>
      <c r="Y1423" s="40"/>
      <c r="Z1423" s="40"/>
      <c r="AA1423" s="23" t="str">
        <v>https://wa.me/6281328881949</v>
      </c>
      <c r="AB1423" s="28"/>
      <c r="AC1423" s="28"/>
      <c r="AD1423" s="28"/>
      <c r="AE1423" s="28"/>
      <c r="AF1423" s="29"/>
      <c r="AG1423" s="29"/>
    </row>
    <row r="1424" spans="1:33" ht="15.75" customHeight="1">
      <c r="A1424" s="32" t="s">
        <v>52</v>
      </c>
      <c r="B1424" s="33">
        <v>1531</v>
      </c>
      <c r="C1424" s="34" t="s">
        <v>7728</v>
      </c>
      <c r="D1424" s="35">
        <v>45969.210638379634</v>
      </c>
      <c r="E1424" s="43">
        <v>45968</v>
      </c>
      <c r="F1424" s="32" t="s">
        <v>5919</v>
      </c>
      <c r="G1424" s="32" t="s">
        <v>5920</v>
      </c>
      <c r="H1424" s="32" t="s">
        <v>2090</v>
      </c>
      <c r="I1424" s="36" t="s">
        <v>5921</v>
      </c>
      <c r="J1424" s="52"/>
      <c r="K1424" s="32" t="s">
        <v>5922</v>
      </c>
      <c r="L1424" s="32" t="s">
        <v>92</v>
      </c>
      <c r="M1424" s="32" t="s">
        <v>60</v>
      </c>
      <c r="N1424" s="33">
        <v>10</v>
      </c>
      <c r="O1424" s="35"/>
      <c r="P1424" s="35"/>
      <c r="Q1424" s="37"/>
      <c r="R1424" s="38"/>
      <c r="S1424" s="33"/>
      <c r="T1424" s="39">
        <v>375000</v>
      </c>
      <c r="U1424" s="40" t="s">
        <v>61</v>
      </c>
      <c r="V1424" s="41"/>
      <c r="W1424" s="42" t="str">
        <f ca="1">IFERROR(__xludf.DUMMYFUNCTION("""COMPUTED_VALUE"""),"Affana Tour")</f>
        <v>Affana Tour</v>
      </c>
      <c r="X1424" s="42" t="str">
        <f ca="1"/>
        <v>ON-Affana Tour-00011900+10-6282225676546</v>
      </c>
      <c r="Y1424" s="40"/>
      <c r="Z1424" s="40"/>
      <c r="AA1424" s="23" t="str">
        <v>https://wa.me/6282225676546</v>
      </c>
      <c r="AB1424" s="28"/>
      <c r="AC1424" s="28"/>
      <c r="AD1424" s="28"/>
      <c r="AE1424" s="28"/>
      <c r="AF1424" s="29"/>
      <c r="AG1424" s="29"/>
    </row>
    <row r="1425" spans="1:33" ht="15.75" customHeight="1">
      <c r="A1425" s="32" t="s">
        <v>52</v>
      </c>
      <c r="B1425" s="33">
        <v>1532</v>
      </c>
      <c r="C1425" s="34" t="s">
        <v>7729</v>
      </c>
      <c r="D1425" s="35">
        <v>45969.21599611111</v>
      </c>
      <c r="E1425" s="43">
        <v>45968</v>
      </c>
      <c r="F1425" s="32" t="s">
        <v>484</v>
      </c>
      <c r="G1425" s="32" t="s">
        <v>7730</v>
      </c>
      <c r="H1425" s="32" t="s">
        <v>7731</v>
      </c>
      <c r="I1425" s="36" t="s">
        <v>487</v>
      </c>
      <c r="J1425" s="52"/>
      <c r="K1425" s="32" t="s">
        <v>7732</v>
      </c>
      <c r="L1425" s="32" t="s">
        <v>7733</v>
      </c>
      <c r="M1425" s="32" t="s">
        <v>60</v>
      </c>
      <c r="N1425" s="33">
        <v>30</v>
      </c>
      <c r="O1425" s="35"/>
      <c r="P1425" s="35"/>
      <c r="Q1425" s="37"/>
      <c r="R1425" s="38"/>
      <c r="S1425" s="33"/>
      <c r="T1425" s="39">
        <v>1000000</v>
      </c>
      <c r="U1425" s="40" t="s">
        <v>61</v>
      </c>
      <c r="V1425" s="41"/>
      <c r="W1425" s="42" t="str">
        <f ca="1">IFERROR(__xludf.DUMMYFUNCTION("""COMPUTED_VALUE"""),"Penerimaan Murid")</f>
        <v>Penerimaan Murid</v>
      </c>
      <c r="X1425" s="42" t="str">
        <f ca="1"/>
        <v>ON-Penerimaan Murid-00011900+30-6281904501876</v>
      </c>
      <c r="Y1425" s="40"/>
      <c r="Z1425" s="40"/>
      <c r="AA1425" s="23" t="str">
        <v>https://wa.me/6281904501876</v>
      </c>
      <c r="AB1425" s="28"/>
      <c r="AC1425" s="28"/>
      <c r="AD1425" s="28"/>
      <c r="AE1425" s="28"/>
      <c r="AF1425" s="29"/>
      <c r="AG1425" s="29"/>
    </row>
    <row r="1426" spans="1:33" ht="15.75" customHeight="1">
      <c r="A1426" s="32" t="s">
        <v>196</v>
      </c>
      <c r="B1426" s="33">
        <v>1488</v>
      </c>
      <c r="C1426" s="34" t="s">
        <v>7734</v>
      </c>
      <c r="D1426" s="35">
        <v>45968.393548854168</v>
      </c>
      <c r="E1426" s="43">
        <v>45968</v>
      </c>
      <c r="F1426" s="32" t="s">
        <v>7735</v>
      </c>
      <c r="G1426" s="32" t="s">
        <v>7736</v>
      </c>
      <c r="H1426" s="32" t="s">
        <v>7737</v>
      </c>
      <c r="I1426" s="36" t="s">
        <v>7738</v>
      </c>
      <c r="J1426" s="52"/>
      <c r="K1426" s="32" t="s">
        <v>7739</v>
      </c>
      <c r="L1426" s="32" t="s">
        <v>7740</v>
      </c>
      <c r="M1426" s="32" t="s">
        <v>60</v>
      </c>
      <c r="N1426" s="33">
        <v>5</v>
      </c>
      <c r="O1426" s="35">
        <v>45972</v>
      </c>
      <c r="P1426" s="35">
        <v>45976</v>
      </c>
      <c r="Q1426" s="37"/>
      <c r="R1426" s="38"/>
      <c r="S1426" s="33"/>
      <c r="T1426" s="39">
        <v>197000</v>
      </c>
      <c r="U1426" s="40"/>
      <c r="V1426" s="41"/>
      <c r="W1426" s="42" t="str">
        <f ca="1">IFERROR(__xludf.DUMMYFUNCTION("""COMPUTED_VALUE"""),"Yodish Property")</f>
        <v>Yodish Property</v>
      </c>
      <c r="X1426" s="42" t="str">
        <f ca="1"/>
        <v>ON-Yodish Property-00011900+5-6289672274848</v>
      </c>
      <c r="Y1426" s="40" t="s">
        <v>293</v>
      </c>
      <c r="Z1426" s="40" t="s">
        <v>1057</v>
      </c>
      <c r="AA1426" s="23" t="str">
        <v>https://wa.me/6289672274848</v>
      </c>
      <c r="AB1426" s="28" t="s">
        <v>7741</v>
      </c>
      <c r="AC1426" s="28"/>
      <c r="AD1426" s="28" t="s">
        <v>690</v>
      </c>
      <c r="AE1426" s="28"/>
      <c r="AF1426" s="29"/>
      <c r="AG1426" s="29"/>
    </row>
    <row r="1427" spans="1:33" ht="15.75" customHeight="1">
      <c r="A1427" s="32" t="s">
        <v>52</v>
      </c>
      <c r="B1427" s="33">
        <v>1535</v>
      </c>
      <c r="C1427" s="34" t="s">
        <v>7742</v>
      </c>
      <c r="D1427" s="35">
        <v>45969.22071952546</v>
      </c>
      <c r="E1427" s="43">
        <v>45968</v>
      </c>
      <c r="F1427" s="32" t="s">
        <v>5919</v>
      </c>
      <c r="G1427" s="32" t="s">
        <v>5920</v>
      </c>
      <c r="H1427" s="32" t="s">
        <v>2090</v>
      </c>
      <c r="I1427" s="36" t="s">
        <v>5921</v>
      </c>
      <c r="J1427" s="52"/>
      <c r="K1427" s="32" t="s">
        <v>5922</v>
      </c>
      <c r="L1427" s="32" t="s">
        <v>92</v>
      </c>
      <c r="M1427" s="32" t="s">
        <v>60</v>
      </c>
      <c r="N1427" s="33">
        <v>10</v>
      </c>
      <c r="O1427" s="35"/>
      <c r="P1427" s="35"/>
      <c r="Q1427" s="37"/>
      <c r="R1427" s="38"/>
      <c r="S1427" s="33"/>
      <c r="T1427" s="39">
        <v>375000</v>
      </c>
      <c r="U1427" s="40" t="s">
        <v>61</v>
      </c>
      <c r="V1427" s="41"/>
      <c r="W1427" s="42" t="str">
        <f ca="1">IFERROR(__xludf.DUMMYFUNCTION("""COMPUTED_VALUE"""),"Affana Tour")</f>
        <v>Affana Tour</v>
      </c>
      <c r="X1427" s="42" t="str">
        <f ca="1"/>
        <v>ON-Affana Tour-00011900+10-6282225676546</v>
      </c>
      <c r="Y1427" s="40"/>
      <c r="Z1427" s="40"/>
      <c r="AA1427" s="23" t="str">
        <v>https://wa.me/6282225676546</v>
      </c>
      <c r="AB1427" s="28"/>
      <c r="AC1427" s="28"/>
      <c r="AD1427" s="28"/>
      <c r="AE1427" s="28"/>
      <c r="AF1427" s="29"/>
      <c r="AG1427" s="29"/>
    </row>
    <row r="1428" spans="1:33" ht="15.75" customHeight="1">
      <c r="A1428" s="32" t="s">
        <v>52</v>
      </c>
      <c r="B1428" s="33">
        <v>1536</v>
      </c>
      <c r="C1428" s="34" t="s">
        <v>7743</v>
      </c>
      <c r="D1428" s="35">
        <v>45969.220997812503</v>
      </c>
      <c r="E1428" s="43">
        <v>45968</v>
      </c>
      <c r="F1428" s="32" t="s">
        <v>484</v>
      </c>
      <c r="G1428" s="32" t="s">
        <v>7730</v>
      </c>
      <c r="H1428" s="32" t="s">
        <v>7731</v>
      </c>
      <c r="I1428" s="36" t="s">
        <v>487</v>
      </c>
      <c r="J1428" s="52"/>
      <c r="K1428" s="32" t="s">
        <v>7732</v>
      </c>
      <c r="L1428" s="32" t="s">
        <v>7733</v>
      </c>
      <c r="M1428" s="32" t="s">
        <v>60</v>
      </c>
      <c r="N1428" s="33">
        <v>30</v>
      </c>
      <c r="O1428" s="35"/>
      <c r="P1428" s="35"/>
      <c r="Q1428" s="37"/>
      <c r="R1428" s="38"/>
      <c r="S1428" s="33"/>
      <c r="T1428" s="39">
        <v>1000000</v>
      </c>
      <c r="U1428" s="40" t="s">
        <v>61</v>
      </c>
      <c r="V1428" s="41"/>
      <c r="W1428" s="42" t="str">
        <f ca="1">IFERROR(__xludf.DUMMYFUNCTION("""COMPUTED_VALUE"""),"Penerimaan Murid")</f>
        <v>Penerimaan Murid</v>
      </c>
      <c r="X1428" s="42" t="str">
        <f ca="1"/>
        <v>ON-Penerimaan Murid-00011900+30-6281904501876</v>
      </c>
      <c r="Y1428" s="40"/>
      <c r="Z1428" s="40"/>
      <c r="AA1428" s="23" t="str">
        <v>https://wa.me/6281904501876</v>
      </c>
      <c r="AB1428" s="28"/>
      <c r="AC1428" s="28"/>
      <c r="AD1428" s="28"/>
      <c r="AE1428" s="28"/>
      <c r="AF1428" s="29"/>
      <c r="AG1428" s="29"/>
    </row>
    <row r="1429" spans="1:33" ht="15.75" customHeight="1">
      <c r="A1429" s="32" t="s">
        <v>52</v>
      </c>
      <c r="B1429" s="33">
        <v>1537</v>
      </c>
      <c r="C1429" s="34" t="s">
        <v>7744</v>
      </c>
      <c r="D1429" s="35">
        <v>45969.309579444445</v>
      </c>
      <c r="E1429" s="43">
        <v>45969</v>
      </c>
      <c r="F1429" s="32" t="s">
        <v>5630</v>
      </c>
      <c r="G1429" s="32" t="s">
        <v>5631</v>
      </c>
      <c r="H1429" s="32" t="s">
        <v>409</v>
      </c>
      <c r="I1429" s="36" t="s">
        <v>5632</v>
      </c>
      <c r="J1429" s="52" t="s">
        <v>7745</v>
      </c>
      <c r="K1429" s="32" t="s">
        <v>5633</v>
      </c>
      <c r="L1429" s="32" t="s">
        <v>647</v>
      </c>
      <c r="M1429" s="32" t="s">
        <v>382</v>
      </c>
      <c r="N1429" s="33">
        <v>5</v>
      </c>
      <c r="O1429" s="35"/>
      <c r="P1429" s="35"/>
      <c r="Q1429" s="37"/>
      <c r="R1429" s="38"/>
      <c r="S1429" s="33"/>
      <c r="T1429" s="39">
        <v>197000</v>
      </c>
      <c r="U1429" s="40" t="s">
        <v>115</v>
      </c>
      <c r="V1429" s="41"/>
      <c r="W1429" s="42" t="str">
        <f ca="1">IFERROR(__xludf.DUMMYFUNCTION("""COMPUTED_VALUE"""),"AJMA PROPERTY")</f>
        <v>AJMA PROPERTY</v>
      </c>
      <c r="X1429" s="42" t="str">
        <f ca="1"/>
        <v>ON-AJMA PROPERTY-00011900+5-6289678497690</v>
      </c>
      <c r="Y1429" s="40"/>
      <c r="Z1429" s="40"/>
      <c r="AA1429" s="23" t="str">
        <v>https://wa.me/6289678497690</v>
      </c>
      <c r="AB1429" s="28"/>
      <c r="AC1429" s="28"/>
      <c r="AD1429" s="28"/>
      <c r="AE1429" s="28"/>
      <c r="AF1429" s="29"/>
      <c r="AG1429" s="29"/>
    </row>
    <row r="1430" spans="1:33" ht="15.75" customHeight="1">
      <c r="A1430" s="32" t="s">
        <v>52</v>
      </c>
      <c r="B1430" s="33">
        <v>1539</v>
      </c>
      <c r="C1430" s="34" t="s">
        <v>7746</v>
      </c>
      <c r="D1430" s="35">
        <v>45969.324370671296</v>
      </c>
      <c r="E1430" s="43">
        <v>45968</v>
      </c>
      <c r="F1430" s="32" t="s">
        <v>6477</v>
      </c>
      <c r="G1430" s="32" t="s">
        <v>6478</v>
      </c>
      <c r="H1430" s="32" t="s">
        <v>6479</v>
      </c>
      <c r="I1430" s="36" t="s">
        <v>6480</v>
      </c>
      <c r="J1430" s="52" t="s">
        <v>6481</v>
      </c>
      <c r="K1430" s="32" t="s">
        <v>3619</v>
      </c>
      <c r="L1430" s="32" t="s">
        <v>5294</v>
      </c>
      <c r="M1430" s="32" t="s">
        <v>5643</v>
      </c>
      <c r="N1430" s="33">
        <v>10</v>
      </c>
      <c r="O1430" s="35"/>
      <c r="P1430" s="35"/>
      <c r="Q1430" s="37"/>
      <c r="R1430" s="38"/>
      <c r="S1430" s="33"/>
      <c r="T1430" s="39">
        <v>375000</v>
      </c>
      <c r="U1430" s="40" t="s">
        <v>1774</v>
      </c>
      <c r="V1430" s="41"/>
      <c r="W1430" s="42" t="str">
        <f ca="1">IFERROR(__xludf.DUMMYFUNCTION("""COMPUTED_VALUE"""),"Rumah Terapi")</f>
        <v>Rumah Terapi</v>
      </c>
      <c r="X1430" s="42" t="str">
        <f ca="1"/>
        <v>ON-Rumah Terapi-00011900+10-6285850248298</v>
      </c>
      <c r="Y1430" s="40"/>
      <c r="Z1430" s="40"/>
      <c r="AA1430" s="23" t="str">
        <v>https://wa.me/6285850248298</v>
      </c>
      <c r="AB1430" s="28"/>
      <c r="AC1430" s="28"/>
      <c r="AD1430" s="28"/>
      <c r="AE1430" s="28"/>
      <c r="AF1430" s="29"/>
      <c r="AG1430" s="29"/>
    </row>
    <row r="1431" spans="1:33" ht="15.75" customHeight="1">
      <c r="A1431" s="32" t="s">
        <v>196</v>
      </c>
      <c r="B1431" s="33">
        <v>1541</v>
      </c>
      <c r="C1431" s="34" t="s">
        <v>7747</v>
      </c>
      <c r="D1431" s="35">
        <v>45969.376551817128</v>
      </c>
      <c r="E1431" s="43">
        <v>45969</v>
      </c>
      <c r="F1431" s="32" t="s">
        <v>7748</v>
      </c>
      <c r="G1431" s="32" t="s">
        <v>7749</v>
      </c>
      <c r="H1431" s="32" t="s">
        <v>7750</v>
      </c>
      <c r="I1431" s="36" t="s">
        <v>7751</v>
      </c>
      <c r="J1431" s="52" t="s">
        <v>7752</v>
      </c>
      <c r="K1431" s="32" t="s">
        <v>7753</v>
      </c>
      <c r="L1431" s="32" t="s">
        <v>7754</v>
      </c>
      <c r="M1431" s="32" t="s">
        <v>249</v>
      </c>
      <c r="N1431" s="33">
        <v>5</v>
      </c>
      <c r="O1431" s="35">
        <v>45972</v>
      </c>
      <c r="P1431" s="35">
        <v>45976</v>
      </c>
      <c r="Q1431" s="37"/>
      <c r="R1431" s="38"/>
      <c r="S1431" s="33"/>
      <c r="T1431" s="39">
        <v>197000</v>
      </c>
      <c r="U1431" s="40" t="s">
        <v>1774</v>
      </c>
      <c r="V1431" s="41"/>
      <c r="W1431" s="42" t="str">
        <f ca="1">IFERROR(__xludf.DUMMYFUNCTION("""COMPUTED_VALUE"""),"CV Woloan")</f>
        <v>CV Woloan</v>
      </c>
      <c r="X1431" s="42" t="str">
        <f ca="1"/>
        <v>ON-CV Woloan-00011900+5-6289658272184</v>
      </c>
      <c r="Y1431" s="40" t="s">
        <v>293</v>
      </c>
      <c r="Z1431" s="40" t="s">
        <v>1057</v>
      </c>
      <c r="AA1431" s="23" t="str">
        <v>https://wa.me/6289658272184</v>
      </c>
      <c r="AB1431" s="28" t="s">
        <v>7755</v>
      </c>
      <c r="AC1431" s="28"/>
      <c r="AD1431" s="28" t="s">
        <v>690</v>
      </c>
      <c r="AE1431" s="28"/>
      <c r="AF1431" s="29"/>
      <c r="AG1431" s="29"/>
    </row>
    <row r="1432" spans="1:33" ht="15.75" customHeight="1">
      <c r="A1432" s="32" t="s">
        <v>196</v>
      </c>
      <c r="B1432" s="33">
        <v>1542</v>
      </c>
      <c r="C1432" s="34" t="s">
        <v>7756</v>
      </c>
      <c r="D1432" s="35">
        <v>45969.42812045139</v>
      </c>
      <c r="E1432" s="43">
        <v>45969</v>
      </c>
      <c r="F1432" s="32" t="s">
        <v>7757</v>
      </c>
      <c r="G1432" s="32" t="s">
        <v>7758</v>
      </c>
      <c r="H1432" s="32" t="s">
        <v>7759</v>
      </c>
      <c r="I1432" s="36" t="s">
        <v>7760</v>
      </c>
      <c r="J1432" s="52"/>
      <c r="K1432" s="32" t="s">
        <v>4076</v>
      </c>
      <c r="L1432" s="32" t="s">
        <v>7761</v>
      </c>
      <c r="M1432" s="32" t="s">
        <v>3597</v>
      </c>
      <c r="N1432" s="33">
        <v>5</v>
      </c>
      <c r="O1432" s="35">
        <v>45972</v>
      </c>
      <c r="P1432" s="35">
        <v>45976</v>
      </c>
      <c r="Q1432" s="37"/>
      <c r="R1432" s="38"/>
      <c r="S1432" s="33"/>
      <c r="T1432" s="39">
        <v>197000</v>
      </c>
      <c r="U1432" s="40" t="s">
        <v>1774</v>
      </c>
      <c r="V1432" s="41"/>
      <c r="W1432" s="42" t="str">
        <f ca="1">IFERROR(__xludf.DUMMYFUNCTION("""COMPUTED_VALUE"""),"Distributor resmi")</f>
        <v>Distributor resmi</v>
      </c>
      <c r="X1432" s="42" t="str">
        <f ca="1"/>
        <v>ON-Distributor resmi-00011900+5-62887435792882</v>
      </c>
      <c r="Y1432" s="40" t="s">
        <v>62</v>
      </c>
      <c r="Z1432" s="40" t="s">
        <v>1861</v>
      </c>
      <c r="AA1432" s="23" t="str">
        <v>https://wa.me/62887435792882</v>
      </c>
      <c r="AB1432" s="28" t="s">
        <v>7762</v>
      </c>
      <c r="AC1432" s="28"/>
      <c r="AD1432" s="28" t="s">
        <v>690</v>
      </c>
      <c r="AE1432" s="28"/>
      <c r="AF1432" s="29"/>
      <c r="AG1432" s="29"/>
    </row>
    <row r="1433" spans="1:33" ht="15.75" customHeight="1">
      <c r="A1433" s="32" t="s">
        <v>196</v>
      </c>
      <c r="B1433" s="33">
        <v>1545</v>
      </c>
      <c r="C1433" s="34" t="s">
        <v>7763</v>
      </c>
      <c r="D1433" s="35">
        <v>45969.559710682872</v>
      </c>
      <c r="E1433" s="43">
        <v>45969</v>
      </c>
      <c r="F1433" s="32" t="s">
        <v>7764</v>
      </c>
      <c r="G1433" s="32" t="s">
        <v>7765</v>
      </c>
      <c r="H1433" s="32" t="s">
        <v>7766</v>
      </c>
      <c r="I1433" s="36" t="s">
        <v>7767</v>
      </c>
      <c r="J1433" s="52"/>
      <c r="K1433" s="32" t="s">
        <v>7768</v>
      </c>
      <c r="L1433" s="32" t="s">
        <v>3813</v>
      </c>
      <c r="M1433" s="32" t="s">
        <v>249</v>
      </c>
      <c r="N1433" s="33">
        <v>14</v>
      </c>
      <c r="O1433" s="35">
        <v>45972</v>
      </c>
      <c r="P1433" s="35">
        <v>45985</v>
      </c>
      <c r="Q1433" s="37"/>
      <c r="R1433" s="38"/>
      <c r="S1433" s="33"/>
      <c r="T1433" s="39">
        <v>550000</v>
      </c>
      <c r="U1433" s="40" t="s">
        <v>1774</v>
      </c>
      <c r="V1433" s="41"/>
      <c r="W1433" s="42" t="str">
        <f ca="1">IFERROR(__xludf.DUMMYFUNCTION("""COMPUTED_VALUE"""),"Berkah jaya")</f>
        <v>Berkah jaya</v>
      </c>
      <c r="X1433" s="42" t="str">
        <f ca="1"/>
        <v>ON-Berkah jaya-00011900+14-6282325548836</v>
      </c>
      <c r="Y1433" s="40" t="s">
        <v>62</v>
      </c>
      <c r="Z1433" s="40" t="s">
        <v>277</v>
      </c>
      <c r="AA1433" s="23" t="str">
        <v>https://wa.me/6282325548836</v>
      </c>
      <c r="AB1433" s="28" t="s">
        <v>7769</v>
      </c>
      <c r="AC1433" s="28"/>
      <c r="AD1433" s="28" t="s">
        <v>690</v>
      </c>
      <c r="AE1433" s="28"/>
      <c r="AF1433" s="29"/>
      <c r="AG1433" s="29"/>
    </row>
    <row r="1434" spans="1:33" ht="15.75" customHeight="1">
      <c r="A1434" s="32" t="s">
        <v>196</v>
      </c>
      <c r="B1434" s="33">
        <v>1546</v>
      </c>
      <c r="C1434" s="34" t="s">
        <v>7770</v>
      </c>
      <c r="D1434" s="35">
        <v>45969.579622638892</v>
      </c>
      <c r="E1434" s="43">
        <v>45969</v>
      </c>
      <c r="F1434" s="32" t="s">
        <v>7771</v>
      </c>
      <c r="G1434" s="32" t="s">
        <v>7772</v>
      </c>
      <c r="H1434" s="32" t="s">
        <v>7773</v>
      </c>
      <c r="I1434" s="36" t="s">
        <v>7774</v>
      </c>
      <c r="J1434" s="52"/>
      <c r="K1434" s="32" t="s">
        <v>317</v>
      </c>
      <c r="L1434" s="32" t="s">
        <v>2631</v>
      </c>
      <c r="M1434" s="32" t="s">
        <v>285</v>
      </c>
      <c r="N1434" s="33">
        <v>5</v>
      </c>
      <c r="O1434" s="35">
        <v>45972</v>
      </c>
      <c r="P1434" s="35">
        <v>45976</v>
      </c>
      <c r="Q1434" s="37"/>
      <c r="R1434" s="38"/>
      <c r="S1434" s="33"/>
      <c r="T1434" s="39">
        <v>197000</v>
      </c>
      <c r="U1434" s="40" t="s">
        <v>1229</v>
      </c>
      <c r="V1434" s="41"/>
      <c r="W1434" s="42" t="str">
        <f ca="1">IFERROR(__xludf.DUMMYFUNCTION("""COMPUTED_VALUE"""),"rumah nisan")</f>
        <v>rumah nisan</v>
      </c>
      <c r="X1434" s="42" t="str">
        <f ca="1"/>
        <v>ON-rumah nisan-00011900+5-6281318378049</v>
      </c>
      <c r="Y1434" s="40" t="s">
        <v>293</v>
      </c>
      <c r="Z1434" s="40" t="s">
        <v>1057</v>
      </c>
      <c r="AA1434" s="23" t="str">
        <v>https://wa.me/6281318378049</v>
      </c>
      <c r="AB1434" s="28" t="s">
        <v>7775</v>
      </c>
      <c r="AC1434" s="28"/>
      <c r="AD1434" s="28" t="s">
        <v>690</v>
      </c>
      <c r="AE1434" s="28"/>
      <c r="AF1434" s="29"/>
      <c r="AG1434" s="29"/>
    </row>
    <row r="1435" spans="1:33" ht="15.75" customHeight="1">
      <c r="A1435" s="32" t="s">
        <v>52</v>
      </c>
      <c r="B1435" s="33">
        <v>1548</v>
      </c>
      <c r="C1435" s="34" t="s">
        <v>7776</v>
      </c>
      <c r="D1435" s="35">
        <v>45969.829632152774</v>
      </c>
      <c r="E1435" s="43">
        <v>45969</v>
      </c>
      <c r="F1435" s="32" t="s">
        <v>6604</v>
      </c>
      <c r="G1435" s="32" t="s">
        <v>6605</v>
      </c>
      <c r="H1435" s="32" t="s">
        <v>6606</v>
      </c>
      <c r="I1435" s="36" t="s">
        <v>6607</v>
      </c>
      <c r="J1435" s="52"/>
      <c r="K1435" s="32" t="s">
        <v>6608</v>
      </c>
      <c r="L1435" s="32" t="s">
        <v>92</v>
      </c>
      <c r="M1435" s="32" t="s">
        <v>285</v>
      </c>
      <c r="N1435" s="33">
        <v>5</v>
      </c>
      <c r="O1435" s="35"/>
      <c r="P1435" s="35"/>
      <c r="Q1435" s="37"/>
      <c r="R1435" s="38"/>
      <c r="S1435" s="33"/>
      <c r="T1435" s="39">
        <v>197000</v>
      </c>
      <c r="U1435" s="40" t="s">
        <v>1229</v>
      </c>
      <c r="V1435" s="41"/>
      <c r="W1435" s="42" t="str">
        <f ca="1">IFERROR(__xludf.DUMMYFUNCTION("""COMPUTED_VALUE"""),"yayasan AA")</f>
        <v>yayasan AA</v>
      </c>
      <c r="X1435" s="42" t="str">
        <f ca="1"/>
        <v>ON-yayasan AA-00011900+5-6281932016179</v>
      </c>
      <c r="Y1435" s="40"/>
      <c r="Z1435" s="40"/>
      <c r="AA1435" s="23" t="str">
        <v>https://wa.me/6281932016179</v>
      </c>
      <c r="AB1435" s="28"/>
      <c r="AC1435" s="28"/>
      <c r="AD1435" s="28"/>
      <c r="AE1435" s="28"/>
      <c r="AF1435" s="29"/>
      <c r="AG1435" s="29"/>
    </row>
    <row r="1436" spans="1:33" ht="15.75" customHeight="1">
      <c r="A1436" s="32" t="s">
        <v>52</v>
      </c>
      <c r="B1436" s="33">
        <v>1550</v>
      </c>
      <c r="C1436" s="34" t="s">
        <v>7777</v>
      </c>
      <c r="D1436" s="35">
        <v>45969.830346435185</v>
      </c>
      <c r="E1436" s="43">
        <v>45969</v>
      </c>
      <c r="F1436" s="32" t="s">
        <v>4042</v>
      </c>
      <c r="G1436" s="32" t="s">
        <v>4043</v>
      </c>
      <c r="H1436" s="32" t="s">
        <v>4044</v>
      </c>
      <c r="I1436" s="36" t="s">
        <v>4045</v>
      </c>
      <c r="J1436" s="52"/>
      <c r="K1436" s="32" t="s">
        <v>6024</v>
      </c>
      <c r="L1436" s="32" t="s">
        <v>4046</v>
      </c>
      <c r="M1436" s="32" t="s">
        <v>4047</v>
      </c>
      <c r="N1436" s="33">
        <v>20</v>
      </c>
      <c r="O1436" s="35"/>
      <c r="P1436" s="35"/>
      <c r="Q1436" s="37"/>
      <c r="R1436" s="38"/>
      <c r="S1436" s="33"/>
      <c r="T1436" s="39">
        <v>700000</v>
      </c>
      <c r="U1436" s="40" t="s">
        <v>1229</v>
      </c>
      <c r="V1436" s="41"/>
      <c r="W1436" s="42" t="str">
        <f ca="1">IFERROR(__xludf.DUMMYFUNCTION("""COMPUTED_VALUE"""),"pusat roster,bata")</f>
        <v>pusat roster,bata</v>
      </c>
      <c r="X1436" s="42" t="str">
        <f ca="1"/>
        <v>ON-pusat roster,bata-00011900+20-6285925102815</v>
      </c>
      <c r="Y1436" s="40"/>
      <c r="Z1436" s="40"/>
      <c r="AA1436" s="23" t="str">
        <v>https://wa.me/6285925102815</v>
      </c>
      <c r="AB1436" s="28"/>
      <c r="AC1436" s="28"/>
      <c r="AD1436" s="28"/>
      <c r="AE1436" s="28"/>
      <c r="AF1436" s="29"/>
      <c r="AG1436" s="29"/>
    </row>
    <row r="1437" spans="1:33" ht="15.75" customHeight="1">
      <c r="A1437" s="32" t="s">
        <v>52</v>
      </c>
      <c r="B1437" s="33">
        <v>1551</v>
      </c>
      <c r="C1437" s="34" t="s">
        <v>7778</v>
      </c>
      <c r="D1437" s="35">
        <v>45969.876033877314</v>
      </c>
      <c r="E1437" s="43">
        <v>45969</v>
      </c>
      <c r="F1437" s="32" t="s">
        <v>6625</v>
      </c>
      <c r="G1437" s="32" t="s">
        <v>6626</v>
      </c>
      <c r="H1437" s="32" t="s">
        <v>6627</v>
      </c>
      <c r="I1437" s="36" t="s">
        <v>7166</v>
      </c>
      <c r="J1437" s="52" t="s">
        <v>6629</v>
      </c>
      <c r="K1437" s="32" t="s">
        <v>6630</v>
      </c>
      <c r="L1437" s="32" t="s">
        <v>2500</v>
      </c>
      <c r="M1437" s="32" t="s">
        <v>1714</v>
      </c>
      <c r="N1437" s="33">
        <v>7</v>
      </c>
      <c r="O1437" s="35"/>
      <c r="P1437" s="35"/>
      <c r="Q1437" s="37"/>
      <c r="R1437" s="38"/>
      <c r="S1437" s="33"/>
      <c r="T1437" s="39">
        <v>297000</v>
      </c>
      <c r="U1437" s="40" t="s">
        <v>61</v>
      </c>
      <c r="V1437" s="41"/>
      <c r="W1437" s="42" t="str">
        <f ca="1">IFERROR(__xludf.DUMMYFUNCTION("""COMPUTED_VALUE"""),"Klinik Beauty")</f>
        <v>Klinik Beauty</v>
      </c>
      <c r="X1437" s="42" t="str">
        <f ca="1"/>
        <v>ON-Klinik Beauty-00011900+7-6289504615501</v>
      </c>
      <c r="Y1437" s="40"/>
      <c r="Z1437" s="40"/>
      <c r="AA1437" s="23" t="str">
        <v>https://wa.me/6289504615501</v>
      </c>
      <c r="AB1437" s="28"/>
      <c r="AC1437" s="28"/>
      <c r="AD1437" s="28"/>
      <c r="AE1437" s="28"/>
      <c r="AF1437" s="29"/>
      <c r="AG1437" s="29"/>
    </row>
    <row r="1438" spans="1:33" ht="15.75" customHeight="1">
      <c r="A1438" s="32" t="s">
        <v>196</v>
      </c>
      <c r="B1438" s="33">
        <v>1554</v>
      </c>
      <c r="C1438" s="34" t="s">
        <v>7779</v>
      </c>
      <c r="D1438" s="35">
        <v>45969.876467557871</v>
      </c>
      <c r="E1438" s="43">
        <v>45969</v>
      </c>
      <c r="F1438" s="32" t="s">
        <v>7780</v>
      </c>
      <c r="G1438" s="32" t="s">
        <v>7781</v>
      </c>
      <c r="H1438" s="32" t="s">
        <v>7782</v>
      </c>
      <c r="I1438" s="36" t="s">
        <v>7783</v>
      </c>
      <c r="J1438" s="52"/>
      <c r="K1438" s="32" t="s">
        <v>7784</v>
      </c>
      <c r="L1438" s="32" t="s">
        <v>2432</v>
      </c>
      <c r="M1438" s="32" t="s">
        <v>60</v>
      </c>
      <c r="N1438" s="33">
        <v>5</v>
      </c>
      <c r="O1438" s="35">
        <v>45972</v>
      </c>
      <c r="P1438" s="35">
        <v>45976</v>
      </c>
      <c r="Q1438" s="37"/>
      <c r="R1438" s="38"/>
      <c r="S1438" s="33"/>
      <c r="T1438" s="39">
        <v>197000</v>
      </c>
      <c r="U1438" s="40" t="s">
        <v>61</v>
      </c>
      <c r="V1438" s="41"/>
      <c r="W1438" s="42" t="str">
        <f ca="1">IFERROR(__xludf.DUMMYFUNCTION("""COMPUTED_VALUE"""),"Sales Counter")</f>
        <v>Sales Counter</v>
      </c>
      <c r="X1438" s="42" t="str">
        <f ca="1"/>
        <v>ON-Sales Counter-00011900+5-6281249560405</v>
      </c>
      <c r="Y1438" s="40" t="s">
        <v>62</v>
      </c>
      <c r="Z1438" s="40" t="s">
        <v>294</v>
      </c>
      <c r="AA1438" s="23" t="str">
        <v>https://wa.me/6281249560405</v>
      </c>
      <c r="AB1438" s="28" t="s">
        <v>7785</v>
      </c>
      <c r="AC1438" s="28"/>
      <c r="AD1438" s="28" t="s">
        <v>690</v>
      </c>
      <c r="AE1438" s="28"/>
      <c r="AF1438" s="29"/>
      <c r="AG1438" s="29"/>
    </row>
    <row r="1439" spans="1:33" ht="15.75" customHeight="1">
      <c r="A1439" s="32" t="s">
        <v>196</v>
      </c>
      <c r="B1439" s="33">
        <v>1556</v>
      </c>
      <c r="C1439" s="34" t="s">
        <v>7786</v>
      </c>
      <c r="D1439" s="35">
        <v>45969.880089826387</v>
      </c>
      <c r="E1439" s="43">
        <v>45969</v>
      </c>
      <c r="F1439" s="32" t="s">
        <v>7787</v>
      </c>
      <c r="G1439" s="32" t="s">
        <v>7788</v>
      </c>
      <c r="H1439" s="32" t="s">
        <v>7789</v>
      </c>
      <c r="I1439" s="36" t="s">
        <v>7790</v>
      </c>
      <c r="J1439" s="52"/>
      <c r="K1439" s="32" t="s">
        <v>7791</v>
      </c>
      <c r="L1439" s="32" t="s">
        <v>2577</v>
      </c>
      <c r="M1439" s="32" t="s">
        <v>2032</v>
      </c>
      <c r="N1439" s="33">
        <v>5</v>
      </c>
      <c r="O1439" s="35">
        <v>45972</v>
      </c>
      <c r="P1439" s="35">
        <v>45976</v>
      </c>
      <c r="Q1439" s="37"/>
      <c r="R1439" s="38"/>
      <c r="S1439" s="33"/>
      <c r="T1439" s="39">
        <v>197000</v>
      </c>
      <c r="U1439" s="40" t="s">
        <v>61</v>
      </c>
      <c r="V1439" s="41"/>
      <c r="W1439" s="42" t="str">
        <f ca="1">IFERROR(__xludf.DUMMYFUNCTION("""COMPUTED_VALUE"""),"Griya Sehat")</f>
        <v>Griya Sehat</v>
      </c>
      <c r="X1439" s="42" t="str">
        <f ca="1"/>
        <v>ON-Griya Sehat-00011900+5-6281391117757</v>
      </c>
      <c r="Y1439" s="40" t="s">
        <v>62</v>
      </c>
      <c r="Z1439" s="40" t="s">
        <v>639</v>
      </c>
      <c r="AA1439" s="23" t="str">
        <v>https://wa.me/6281391117757</v>
      </c>
      <c r="AB1439" s="28" t="s">
        <v>7792</v>
      </c>
      <c r="AC1439" s="28"/>
      <c r="AD1439" s="28" t="s">
        <v>690</v>
      </c>
      <c r="AE1439" s="28"/>
      <c r="AF1439" s="29"/>
      <c r="AG1439" s="29"/>
    </row>
    <row r="1440" spans="1:33" ht="15.75" customHeight="1">
      <c r="A1440" s="32" t="s">
        <v>196</v>
      </c>
      <c r="B1440" s="33">
        <v>1557</v>
      </c>
      <c r="C1440" s="34" t="s">
        <v>7793</v>
      </c>
      <c r="D1440" s="35">
        <v>45969.882822824075</v>
      </c>
      <c r="E1440" s="43">
        <v>45969</v>
      </c>
      <c r="F1440" s="32" t="s">
        <v>7794</v>
      </c>
      <c r="G1440" s="32" t="s">
        <v>7795</v>
      </c>
      <c r="H1440" s="32" t="s">
        <v>7796</v>
      </c>
      <c r="I1440" s="36" t="s">
        <v>7797</v>
      </c>
      <c r="J1440" s="52" t="s">
        <v>7798</v>
      </c>
      <c r="K1440" s="32" t="s">
        <v>7799</v>
      </c>
      <c r="L1440" s="32" t="s">
        <v>2577</v>
      </c>
      <c r="M1440" s="32" t="s">
        <v>2024</v>
      </c>
      <c r="N1440" s="33">
        <v>5</v>
      </c>
      <c r="O1440" s="35">
        <v>45972</v>
      </c>
      <c r="P1440" s="35">
        <v>45976</v>
      </c>
      <c r="Q1440" s="37"/>
      <c r="R1440" s="38"/>
      <c r="S1440" s="33"/>
      <c r="T1440" s="39">
        <v>197000</v>
      </c>
      <c r="U1440" s="40" t="s">
        <v>61</v>
      </c>
      <c r="V1440" s="41"/>
      <c r="W1440" s="42" t="str">
        <f ca="1">IFERROR(__xludf.DUMMYFUNCTION("""COMPUTED_VALUE"""),"Rumah Sehat")</f>
        <v>Rumah Sehat</v>
      </c>
      <c r="X1440" s="42" t="str">
        <f ca="1"/>
        <v>ON-Rumah Sehat-00011900+5-6287864923726</v>
      </c>
      <c r="Y1440" s="40" t="s">
        <v>62</v>
      </c>
      <c r="Z1440" s="40" t="s">
        <v>639</v>
      </c>
      <c r="AA1440" s="23" t="str">
        <v>https://wa.me/6287864923726</v>
      </c>
      <c r="AB1440" s="28" t="s">
        <v>7800</v>
      </c>
      <c r="AC1440" s="28"/>
      <c r="AD1440" s="28" t="s">
        <v>690</v>
      </c>
      <c r="AE1440" s="28"/>
      <c r="AF1440" s="29"/>
      <c r="AG1440" s="29"/>
    </row>
    <row r="1441" spans="1:33" ht="15.75" customHeight="1">
      <c r="A1441" s="32" t="s">
        <v>52</v>
      </c>
      <c r="B1441" s="33">
        <v>1560</v>
      </c>
      <c r="C1441" s="34" t="s">
        <v>7801</v>
      </c>
      <c r="D1441" s="35">
        <v>45969.89073939815</v>
      </c>
      <c r="E1441" s="43">
        <v>45969</v>
      </c>
      <c r="F1441" s="32" t="s">
        <v>1239</v>
      </c>
      <c r="G1441" s="32" t="s">
        <v>1240</v>
      </c>
      <c r="H1441" s="32" t="s">
        <v>1030</v>
      </c>
      <c r="I1441" s="36" t="s">
        <v>1241</v>
      </c>
      <c r="J1441" s="52" t="s">
        <v>2678</v>
      </c>
      <c r="K1441" s="32" t="s">
        <v>1242</v>
      </c>
      <c r="L1441" s="32" t="s">
        <v>1243</v>
      </c>
      <c r="M1441" s="32" t="s">
        <v>205</v>
      </c>
      <c r="N1441" s="33">
        <v>10</v>
      </c>
      <c r="O1441" s="35"/>
      <c r="P1441" s="35"/>
      <c r="Q1441" s="37"/>
      <c r="R1441" s="38"/>
      <c r="S1441" s="33"/>
      <c r="T1441" s="39">
        <v>375000</v>
      </c>
      <c r="U1441" s="40" t="s">
        <v>61</v>
      </c>
      <c r="V1441" s="41"/>
      <c r="W1441" s="42" t="str">
        <f ca="1">IFERROR(__xludf.DUMMYFUNCTION("""COMPUTED_VALUE"""),"Rumah Sehat")</f>
        <v>Rumah Sehat</v>
      </c>
      <c r="X1441" s="42" t="str">
        <f ca="1"/>
        <v>ON-Rumah Sehat-00011900+10-6282172291579</v>
      </c>
      <c r="Y1441" s="40"/>
      <c r="Z1441" s="40"/>
      <c r="AA1441" s="23" t="str">
        <v>https://wa.me/6282172291579</v>
      </c>
      <c r="AB1441" s="28"/>
      <c r="AC1441" s="28"/>
      <c r="AD1441" s="28"/>
      <c r="AE1441" s="28"/>
      <c r="AF1441" s="29"/>
      <c r="AG1441" s="29"/>
    </row>
    <row r="1442" spans="1:33" ht="15.75" customHeight="1">
      <c r="A1442" s="32" t="s">
        <v>52</v>
      </c>
      <c r="B1442" s="33">
        <v>1561</v>
      </c>
      <c r="C1442" s="34" t="s">
        <v>7802</v>
      </c>
      <c r="D1442" s="35">
        <v>45970.249553842594</v>
      </c>
      <c r="E1442" s="43">
        <v>45946</v>
      </c>
      <c r="F1442" s="32" t="s">
        <v>484</v>
      </c>
      <c r="G1442" s="32" t="s">
        <v>6632</v>
      </c>
      <c r="H1442" s="32"/>
      <c r="I1442" s="36" t="s">
        <v>487</v>
      </c>
      <c r="J1442" s="52"/>
      <c r="K1442" s="32" t="s">
        <v>6633</v>
      </c>
      <c r="L1442" s="32" t="s">
        <v>2050</v>
      </c>
      <c r="M1442" s="32" t="s">
        <v>5643</v>
      </c>
      <c r="N1442" s="33">
        <v>7</v>
      </c>
      <c r="O1442" s="35"/>
      <c r="P1442" s="35"/>
      <c r="Q1442" s="37"/>
      <c r="R1442" s="38"/>
      <c r="S1442" s="33"/>
      <c r="T1442" s="39">
        <v>297000</v>
      </c>
      <c r="U1442" s="40" t="s">
        <v>61</v>
      </c>
      <c r="V1442" s="41"/>
      <c r="W1442" s="42" t="str">
        <f ca="1">IFERROR(__xludf.DUMMYFUNCTION("""COMPUTED_VALUE"""),"Lowongan Pekerjaan")</f>
        <v>Lowongan Pekerjaan</v>
      </c>
      <c r="X1442" s="42" t="str">
        <f ca="1"/>
        <v>ON-Lowongan Pekerjaan-00011900+7-6281904501876</v>
      </c>
      <c r="Y1442" s="40"/>
      <c r="Z1442" s="40"/>
      <c r="AA1442" s="23" t="str">
        <v>https://wa.me/6281904501876</v>
      </c>
      <c r="AB1442" s="28"/>
      <c r="AC1442" s="28"/>
      <c r="AD1442" s="28"/>
      <c r="AE1442" s="28"/>
      <c r="AF1442" s="29"/>
      <c r="AG1442" s="29"/>
    </row>
    <row r="1443" spans="1:33" ht="15.75" customHeight="1">
      <c r="A1443" s="32" t="s">
        <v>33</v>
      </c>
      <c r="B1443" s="33">
        <v>1562</v>
      </c>
      <c r="C1443" s="34" t="s">
        <v>7803</v>
      </c>
      <c r="D1443" s="35">
        <v>45970.653920775461</v>
      </c>
      <c r="E1443" s="43">
        <v>45967</v>
      </c>
      <c r="F1443" s="32" t="s">
        <v>7638</v>
      </c>
      <c r="G1443" s="32" t="s">
        <v>7639</v>
      </c>
      <c r="H1443" s="32" t="s">
        <v>7640</v>
      </c>
      <c r="I1443" s="36" t="s">
        <v>7641</v>
      </c>
      <c r="J1443" s="52" t="s">
        <v>7642</v>
      </c>
      <c r="K1443" s="32" t="s">
        <v>7643</v>
      </c>
      <c r="L1443" s="32" t="s">
        <v>92</v>
      </c>
      <c r="M1443" s="32" t="s">
        <v>92</v>
      </c>
      <c r="N1443" s="33">
        <v>10</v>
      </c>
      <c r="O1443" s="35"/>
      <c r="P1443" s="35"/>
      <c r="Q1443" s="37"/>
      <c r="R1443" s="38"/>
      <c r="S1443" s="33"/>
      <c r="T1443" s="39">
        <v>375000</v>
      </c>
      <c r="U1443" s="40" t="s">
        <v>1229</v>
      </c>
      <c r="V1443" s="41"/>
      <c r="W1443" s="42" t="str">
        <f ca="1">IFERROR(__xludf.DUMMYFUNCTION("""COMPUTED_VALUE"""),"Beli barang")</f>
        <v>Beli barang</v>
      </c>
      <c r="X1443" s="42" t="str">
        <f ca="1"/>
        <v>ON-Beli barang-00011900+10-6281237058617</v>
      </c>
      <c r="Y1443" s="40"/>
      <c r="Z1443" s="40"/>
      <c r="AA1443" s="23" t="str">
        <v>https://wa.me/6281237058617</v>
      </c>
      <c r="AB1443" s="28"/>
      <c r="AC1443" s="28"/>
      <c r="AD1443" s="28"/>
      <c r="AE1443" s="28"/>
      <c r="AF1443" s="29"/>
      <c r="AG1443" s="29"/>
    </row>
    <row r="1444" spans="1:33" ht="15.75" customHeight="1">
      <c r="A1444" s="32" t="s">
        <v>52</v>
      </c>
      <c r="B1444" s="33">
        <v>1563</v>
      </c>
      <c r="C1444" s="34" t="s">
        <v>7804</v>
      </c>
      <c r="D1444" s="35">
        <v>45970.94692884259</v>
      </c>
      <c r="E1444" s="43">
        <v>45970</v>
      </c>
      <c r="F1444" s="32" t="s">
        <v>4299</v>
      </c>
      <c r="G1444" s="32" t="s">
        <v>6863</v>
      </c>
      <c r="H1444" s="32" t="s">
        <v>6864</v>
      </c>
      <c r="I1444" s="36" t="s">
        <v>5742</v>
      </c>
      <c r="J1444" s="52"/>
      <c r="K1444" s="32" t="s">
        <v>1154</v>
      </c>
      <c r="L1444" s="32" t="s">
        <v>2133</v>
      </c>
      <c r="M1444" s="32" t="s">
        <v>60</v>
      </c>
      <c r="N1444" s="33">
        <v>7</v>
      </c>
      <c r="O1444" s="35"/>
      <c r="P1444" s="35"/>
      <c r="Q1444" s="37"/>
      <c r="R1444" s="38"/>
      <c r="S1444" s="33"/>
      <c r="T1444" s="39">
        <v>297000</v>
      </c>
      <c r="U1444" s="40" t="s">
        <v>61</v>
      </c>
      <c r="V1444" s="41"/>
      <c r="W1444" s="42" t="str">
        <f ca="1">IFERROR(__xludf.DUMMYFUNCTION("""COMPUTED_VALUE"""),"Jasa Corlif")</f>
        <v>Jasa Corlif</v>
      </c>
      <c r="X1444" s="42" t="str">
        <f ca="1"/>
        <v>ON-Jasa Corlif-00011900+7-6288227630708</v>
      </c>
      <c r="Y1444" s="40"/>
      <c r="Z1444" s="40"/>
      <c r="AA1444" s="23" t="str">
        <v>https://wa.me/6288227630708</v>
      </c>
      <c r="AB1444" s="28"/>
      <c r="AC1444" s="28"/>
      <c r="AD1444" s="28"/>
      <c r="AE1444" s="28"/>
      <c r="AF1444" s="29"/>
      <c r="AG1444" s="29"/>
    </row>
    <row r="1445" spans="1:33" ht="15.75" customHeight="1">
      <c r="A1445" s="32" t="s">
        <v>52</v>
      </c>
      <c r="B1445" s="33">
        <v>1565</v>
      </c>
      <c r="C1445" s="34" t="s">
        <v>7805</v>
      </c>
      <c r="D1445" s="35">
        <v>45970.947937731486</v>
      </c>
      <c r="E1445" s="43">
        <v>45970</v>
      </c>
      <c r="F1445" s="32" t="s">
        <v>5234</v>
      </c>
      <c r="G1445" s="32" t="s">
        <v>5235</v>
      </c>
      <c r="H1445" s="32" t="s">
        <v>5236</v>
      </c>
      <c r="I1445" s="36" t="s">
        <v>5237</v>
      </c>
      <c r="J1445" s="52"/>
      <c r="K1445" s="32" t="s">
        <v>5238</v>
      </c>
      <c r="L1445" s="32" t="s">
        <v>2780</v>
      </c>
      <c r="M1445" s="32" t="s">
        <v>60</v>
      </c>
      <c r="N1445" s="33">
        <v>14</v>
      </c>
      <c r="O1445" s="35"/>
      <c r="P1445" s="35"/>
      <c r="Q1445" s="37"/>
      <c r="R1445" s="38"/>
      <c r="S1445" s="33"/>
      <c r="T1445" s="39">
        <v>550000</v>
      </c>
      <c r="U1445" s="40" t="s">
        <v>61</v>
      </c>
      <c r="V1445" s="41"/>
      <c r="W1445" s="42" t="str">
        <f ca="1">IFERROR(__xludf.DUMMYFUNCTION("""COMPUTED_VALUE"""),"Bisalagi Bekam")</f>
        <v>Bisalagi Bekam</v>
      </c>
      <c r="X1445" s="42" t="str">
        <f ca="1"/>
        <v>ON-Bisalagi Bekam-00011900+14-6285600287735</v>
      </c>
      <c r="Y1445" s="40"/>
      <c r="Z1445" s="40"/>
      <c r="AA1445" s="23" t="str">
        <v>https://wa.me/6285600287735</v>
      </c>
      <c r="AB1445" s="28"/>
      <c r="AC1445" s="28"/>
      <c r="AD1445" s="28"/>
      <c r="AE1445" s="28"/>
      <c r="AF1445" s="29"/>
      <c r="AG1445" s="29"/>
    </row>
    <row r="1446" spans="1:33" ht="15.75" customHeight="1">
      <c r="A1446" s="32" t="s">
        <v>52</v>
      </c>
      <c r="B1446" s="33">
        <v>1566</v>
      </c>
      <c r="C1446" s="34" t="s">
        <v>7806</v>
      </c>
      <c r="D1446" s="35">
        <v>45970.950141851848</v>
      </c>
      <c r="E1446" s="43">
        <v>45970</v>
      </c>
      <c r="F1446" s="32" t="s">
        <v>969</v>
      </c>
      <c r="G1446" s="32" t="s">
        <v>970</v>
      </c>
      <c r="H1446" s="32" t="s">
        <v>971</v>
      </c>
      <c r="I1446" s="36" t="s">
        <v>972</v>
      </c>
      <c r="J1446" s="52"/>
      <c r="K1446" s="32" t="s">
        <v>973</v>
      </c>
      <c r="L1446" s="32" t="s">
        <v>974</v>
      </c>
      <c r="M1446" s="32" t="s">
        <v>60</v>
      </c>
      <c r="N1446" s="33">
        <v>10</v>
      </c>
      <c r="O1446" s="35"/>
      <c r="P1446" s="35"/>
      <c r="Q1446" s="37"/>
      <c r="R1446" s="38"/>
      <c r="S1446" s="33"/>
      <c r="T1446" s="39">
        <v>375000</v>
      </c>
      <c r="U1446" s="40" t="s">
        <v>61</v>
      </c>
      <c r="V1446" s="41"/>
      <c r="W1446" s="42" t="str">
        <f ca="1">IFERROR(__xludf.DUMMYFUNCTION("""COMPUTED_VALUE"""),"Ragil Mapan")</f>
        <v>Ragil Mapan</v>
      </c>
      <c r="X1446" s="42" t="str">
        <f ca="1"/>
        <v>ON-Ragil Mapan-00011900+10-6282230035858</v>
      </c>
      <c r="Y1446" s="40"/>
      <c r="Z1446" s="40"/>
      <c r="AA1446" s="23" t="str">
        <v>https://wa.me/6282230035858</v>
      </c>
      <c r="AB1446" s="28"/>
      <c r="AC1446" s="28"/>
      <c r="AD1446" s="28"/>
      <c r="AE1446" s="28"/>
      <c r="AF1446" s="29"/>
      <c r="AG1446" s="29"/>
    </row>
    <row r="1447" spans="1:33" ht="15.75" customHeight="1">
      <c r="A1447" s="32" t="s">
        <v>52</v>
      </c>
      <c r="B1447" s="33">
        <v>1568</v>
      </c>
      <c r="C1447" s="34" t="s">
        <v>7807</v>
      </c>
      <c r="D1447" s="35">
        <v>45970.954345335645</v>
      </c>
      <c r="E1447" s="43">
        <v>45970</v>
      </c>
      <c r="F1447" s="32" t="s">
        <v>7808</v>
      </c>
      <c r="G1447" s="32" t="s">
        <v>2480</v>
      </c>
      <c r="H1447" s="32" t="s">
        <v>2481</v>
      </c>
      <c r="I1447" s="36" t="s">
        <v>2482</v>
      </c>
      <c r="J1447" s="52"/>
      <c r="K1447" s="32" t="s">
        <v>7809</v>
      </c>
      <c r="L1447" s="32" t="s">
        <v>2291</v>
      </c>
      <c r="M1447" s="32" t="s">
        <v>60</v>
      </c>
      <c r="N1447" s="33">
        <v>14</v>
      </c>
      <c r="O1447" s="35"/>
      <c r="P1447" s="35"/>
      <c r="Q1447" s="37"/>
      <c r="R1447" s="38"/>
      <c r="S1447" s="33"/>
      <c r="T1447" s="39">
        <v>550000</v>
      </c>
      <c r="U1447" s="40" t="s">
        <v>61</v>
      </c>
      <c r="V1447" s="41"/>
      <c r="W1447" s="42" t="str">
        <f ca="1">IFERROR(__xludf.DUMMYFUNCTION("""COMPUTED_VALUE"""),"AURIGA KONTRAKTOR")</f>
        <v>AURIGA KONTRAKTOR</v>
      </c>
      <c r="X1447" s="42" t="str">
        <f ca="1"/>
        <v>ON-AURIGA KONTRAKTOR-00011900+14-6287856230745</v>
      </c>
      <c r="Y1447" s="40"/>
      <c r="Z1447" s="40"/>
      <c r="AA1447" s="23" t="str">
        <v>https://wa.me/6287856230745</v>
      </c>
      <c r="AB1447" s="28"/>
      <c r="AC1447" s="28"/>
      <c r="AD1447" s="28"/>
      <c r="AE1447" s="28"/>
      <c r="AF1447" s="29"/>
      <c r="AG1447" s="29"/>
    </row>
    <row r="1448" spans="1:33" ht="15.75" customHeight="1">
      <c r="A1448" s="32" t="s">
        <v>196</v>
      </c>
      <c r="B1448" s="33">
        <v>1477</v>
      </c>
      <c r="C1448" s="34" t="s">
        <v>7810</v>
      </c>
      <c r="D1448" s="35">
        <v>45971.312505231486</v>
      </c>
      <c r="E1448" s="43">
        <v>45971</v>
      </c>
      <c r="F1448" s="32" t="s">
        <v>7811</v>
      </c>
      <c r="G1448" s="32" t="s">
        <v>7812</v>
      </c>
      <c r="H1448" s="32" t="s">
        <v>5236</v>
      </c>
      <c r="I1448" s="36" t="s">
        <v>7813</v>
      </c>
      <c r="J1448" s="52" t="s">
        <v>7814</v>
      </c>
      <c r="K1448" s="32" t="s">
        <v>7815</v>
      </c>
      <c r="L1448" s="32" t="s">
        <v>3627</v>
      </c>
      <c r="M1448" s="32" t="s">
        <v>726</v>
      </c>
      <c r="N1448" s="33">
        <v>5</v>
      </c>
      <c r="O1448" s="35">
        <v>45973</v>
      </c>
      <c r="P1448" s="35">
        <v>45977</v>
      </c>
      <c r="Q1448" s="37"/>
      <c r="R1448" s="38"/>
      <c r="S1448" s="33"/>
      <c r="T1448" s="39">
        <v>197000</v>
      </c>
      <c r="U1448" s="40" t="s">
        <v>1774</v>
      </c>
      <c r="V1448" s="41"/>
      <c r="W1448" s="42" t="str">
        <f ca="1">IFERROR(__xludf.DUMMYFUNCTION("""COMPUTED_VALUE"""),"Terapi Stroke")</f>
        <v>Terapi Stroke</v>
      </c>
      <c r="X1448" s="42" t="str">
        <f ca="1"/>
        <v>ON-Terapi Stroke-00011900+5-6281915553329</v>
      </c>
      <c r="Y1448" s="40" t="s">
        <v>62</v>
      </c>
      <c r="Z1448" s="40" t="s">
        <v>639</v>
      </c>
      <c r="AA1448" s="23" t="str">
        <v>https://wa.me/6281915553329</v>
      </c>
      <c r="AB1448" s="28" t="s">
        <v>7816</v>
      </c>
      <c r="AC1448" s="28"/>
      <c r="AD1448" s="28" t="s">
        <v>690</v>
      </c>
      <c r="AE1448" s="28"/>
      <c r="AF1448" s="29"/>
      <c r="AG1448" s="29"/>
    </row>
    <row r="1449" spans="1:33" ht="15.75" customHeight="1">
      <c r="A1449" s="32" t="s">
        <v>196</v>
      </c>
      <c r="B1449" s="33">
        <v>1569</v>
      </c>
      <c r="C1449" s="34" t="s">
        <v>7817</v>
      </c>
      <c r="D1449" s="35">
        <v>45970.958441053241</v>
      </c>
      <c r="E1449" s="43">
        <v>45970</v>
      </c>
      <c r="F1449" s="32" t="s">
        <v>7818</v>
      </c>
      <c r="G1449" s="32" t="s">
        <v>7819</v>
      </c>
      <c r="H1449" s="32" t="s">
        <v>7820</v>
      </c>
      <c r="I1449" s="36" t="s">
        <v>7821</v>
      </c>
      <c r="J1449" s="52"/>
      <c r="K1449" s="32"/>
      <c r="L1449" s="32" t="s">
        <v>7822</v>
      </c>
      <c r="M1449" s="32" t="s">
        <v>106</v>
      </c>
      <c r="N1449" s="33">
        <v>10</v>
      </c>
      <c r="O1449" s="35">
        <v>45974</v>
      </c>
      <c r="P1449" s="35">
        <v>45983</v>
      </c>
      <c r="Q1449" s="37"/>
      <c r="R1449" s="38"/>
      <c r="S1449" s="33"/>
      <c r="T1449" s="39">
        <v>375000</v>
      </c>
      <c r="U1449" s="40" t="s">
        <v>61</v>
      </c>
      <c r="V1449" s="41"/>
      <c r="W1449" s="42" t="str">
        <f ca="1">IFERROR(__xludf.DUMMYFUNCTION("""COMPUTED_VALUE"""),"SNS Aesthetic")</f>
        <v>SNS Aesthetic</v>
      </c>
      <c r="X1449" s="42" t="str">
        <f ca="1"/>
        <v>ON-SNS Aesthetic-00011900+10-6287880869986</v>
      </c>
      <c r="Y1449" s="40" t="s">
        <v>50</v>
      </c>
      <c r="Z1449" s="40" t="s">
        <v>327</v>
      </c>
      <c r="AA1449" s="23" t="str">
        <v>https://wa.me/6287880869986</v>
      </c>
      <c r="AB1449" s="28" t="s">
        <v>7823</v>
      </c>
      <c r="AC1449" s="28"/>
      <c r="AD1449" s="28" t="s">
        <v>690</v>
      </c>
      <c r="AE1449" s="28"/>
      <c r="AF1449" s="29"/>
      <c r="AG1449" s="29"/>
    </row>
    <row r="1450" spans="1:33" ht="15.75" customHeight="1">
      <c r="A1450" s="32" t="s">
        <v>196</v>
      </c>
      <c r="B1450" s="33">
        <v>1478</v>
      </c>
      <c r="C1450" s="34" t="s">
        <v>7824</v>
      </c>
      <c r="D1450" s="35">
        <v>45971.435199270833</v>
      </c>
      <c r="E1450" s="43">
        <v>45941</v>
      </c>
      <c r="F1450" s="32" t="s">
        <v>7825</v>
      </c>
      <c r="G1450" s="32" t="s">
        <v>7826</v>
      </c>
      <c r="H1450" s="32" t="s">
        <v>7827</v>
      </c>
      <c r="I1450" s="36" t="s">
        <v>7828</v>
      </c>
      <c r="J1450" s="52"/>
      <c r="K1450" s="32" t="s">
        <v>570</v>
      </c>
      <c r="L1450" s="32"/>
      <c r="M1450" s="32" t="s">
        <v>711</v>
      </c>
      <c r="N1450" s="33">
        <v>20</v>
      </c>
      <c r="O1450" s="35">
        <v>45974</v>
      </c>
      <c r="P1450" s="35">
        <v>45993</v>
      </c>
      <c r="Q1450" s="37"/>
      <c r="R1450" s="38"/>
      <c r="S1450" s="33"/>
      <c r="T1450" s="39">
        <v>700000</v>
      </c>
      <c r="U1450" s="40" t="s">
        <v>1229</v>
      </c>
      <c r="V1450" s="41"/>
      <c r="W1450" s="42" t="str">
        <f ca="1">IFERROR(__xludf.DUMMYFUNCTION("""COMPUTED_VALUE"""),"Sahabat rumah")</f>
        <v>Sahabat rumah</v>
      </c>
      <c r="X1450" s="42" t="str">
        <f ca="1"/>
        <v>ON-Sahabat rumah-00011900+20-6281218826764</v>
      </c>
      <c r="Y1450" s="40" t="s">
        <v>293</v>
      </c>
      <c r="Z1450" s="40" t="s">
        <v>1057</v>
      </c>
      <c r="AA1450" s="23" t="str">
        <v>https://wa.me/6281218826764</v>
      </c>
      <c r="AB1450" s="28" t="s">
        <v>7829</v>
      </c>
      <c r="AC1450" s="28"/>
      <c r="AD1450" s="28" t="s">
        <v>690</v>
      </c>
      <c r="AE1450" s="28"/>
      <c r="AF1450" s="29"/>
      <c r="AG1450" s="29"/>
    </row>
    <row r="1451" spans="1:33" ht="15.75" customHeight="1">
      <c r="A1451" s="32" t="s">
        <v>196</v>
      </c>
      <c r="B1451" s="33">
        <v>1479</v>
      </c>
      <c r="C1451" s="34" t="s">
        <v>7830</v>
      </c>
      <c r="D1451" s="35">
        <v>45971.481923888889</v>
      </c>
      <c r="E1451" s="43">
        <v>45971</v>
      </c>
      <c r="F1451" s="32" t="s">
        <v>7831</v>
      </c>
      <c r="G1451" s="32" t="s">
        <v>7832</v>
      </c>
      <c r="H1451" s="32" t="s">
        <v>7833</v>
      </c>
      <c r="I1451" s="36" t="s">
        <v>7834</v>
      </c>
      <c r="J1451" s="52"/>
      <c r="K1451" s="32" t="s">
        <v>7835</v>
      </c>
      <c r="L1451" s="32" t="s">
        <v>7836</v>
      </c>
      <c r="M1451" s="32" t="s">
        <v>249</v>
      </c>
      <c r="N1451" s="33">
        <v>5</v>
      </c>
      <c r="O1451" s="35">
        <v>45974</v>
      </c>
      <c r="P1451" s="35">
        <v>45979</v>
      </c>
      <c r="Q1451" s="37"/>
      <c r="R1451" s="38"/>
      <c r="S1451" s="33"/>
      <c r="T1451" s="39">
        <v>197000</v>
      </c>
      <c r="U1451" s="40" t="s">
        <v>1774</v>
      </c>
      <c r="V1451" s="41"/>
      <c r="W1451" s="42" t="str">
        <f ca="1">IFERROR(__xludf.DUMMYFUNCTION("""COMPUTED_VALUE"""),"Bali Semesta")</f>
        <v>Bali Semesta</v>
      </c>
      <c r="X1451" s="42" t="str">
        <f ca="1"/>
        <v>ON-Bali Semesta-00011900+5-6281999413489</v>
      </c>
      <c r="Y1451" s="40" t="s">
        <v>62</v>
      </c>
      <c r="Z1451" s="40" t="s">
        <v>639</v>
      </c>
      <c r="AA1451" s="23" t="str">
        <v>https://wa.me/6281999413489</v>
      </c>
      <c r="AB1451" s="28" t="s">
        <v>7837</v>
      </c>
      <c r="AC1451" s="28"/>
      <c r="AD1451" s="28" t="s">
        <v>690</v>
      </c>
      <c r="AE1451" s="28"/>
      <c r="AF1451" s="29"/>
      <c r="AG1451" s="29"/>
    </row>
    <row r="1452" spans="1:33" ht="15.75" customHeight="1">
      <c r="A1452" s="32" t="s">
        <v>621</v>
      </c>
      <c r="B1452" s="33">
        <v>1480</v>
      </c>
      <c r="C1452" s="34" t="s">
        <v>7838</v>
      </c>
      <c r="D1452" s="35">
        <v>45971.538267025462</v>
      </c>
      <c r="E1452" s="43">
        <v>45967</v>
      </c>
      <c r="F1452" s="32" t="s">
        <v>7654</v>
      </c>
      <c r="G1452" s="32" t="s">
        <v>7655</v>
      </c>
      <c r="H1452" s="32" t="s">
        <v>1711</v>
      </c>
      <c r="I1452" s="36" t="s">
        <v>7656</v>
      </c>
      <c r="J1452" s="52"/>
      <c r="K1452" s="32" t="s">
        <v>7657</v>
      </c>
      <c r="L1452" s="32" t="s">
        <v>85</v>
      </c>
      <c r="M1452" s="32" t="s">
        <v>60</v>
      </c>
      <c r="N1452" s="33">
        <v>5</v>
      </c>
      <c r="O1452" s="35"/>
      <c r="P1452" s="35"/>
      <c r="Q1452" s="37"/>
      <c r="R1452" s="38"/>
      <c r="S1452" s="33"/>
      <c r="T1452" s="39">
        <v>197000</v>
      </c>
      <c r="U1452" s="40" t="s">
        <v>61</v>
      </c>
      <c r="V1452" s="41"/>
      <c r="W1452" s="42" t="str">
        <f ca="1">IFERROR(__xludf.DUMMYFUNCTION("""COMPUTED_VALUE"""),"Pengobatan Vitalitas")</f>
        <v>Pengobatan Vitalitas</v>
      </c>
      <c r="X1452" s="42" t="str">
        <f ca="1"/>
        <v>ON-Pengobatan Vitalitas-00011900+5-6282261110051</v>
      </c>
      <c r="Y1452" s="40"/>
      <c r="Z1452" s="40"/>
      <c r="AA1452" s="23" t="str">
        <v>https://wa.me/6282261110051</v>
      </c>
      <c r="AB1452" s="28"/>
      <c r="AC1452" s="28"/>
      <c r="AD1452" s="28"/>
      <c r="AE1452" s="28"/>
      <c r="AF1452" s="29"/>
      <c r="AG1452" s="29"/>
    </row>
    <row r="1453" spans="1:33" ht="15.75" customHeight="1">
      <c r="A1453" s="32" t="s">
        <v>196</v>
      </c>
      <c r="B1453" s="33">
        <v>1481</v>
      </c>
      <c r="C1453" s="34" t="s">
        <v>7839</v>
      </c>
      <c r="D1453" s="35">
        <v>45971.77000315972</v>
      </c>
      <c r="E1453" s="43">
        <v>45971</v>
      </c>
      <c r="F1453" s="32" t="s">
        <v>7840</v>
      </c>
      <c r="G1453" s="32" t="s">
        <v>7841</v>
      </c>
      <c r="H1453" s="32" t="s">
        <v>7842</v>
      </c>
      <c r="I1453" s="36" t="s">
        <v>7843</v>
      </c>
      <c r="J1453" s="52"/>
      <c r="K1453" s="32" t="s">
        <v>7844</v>
      </c>
      <c r="L1453" s="32" t="s">
        <v>7845</v>
      </c>
      <c r="M1453" s="32" t="s">
        <v>711</v>
      </c>
      <c r="N1453" s="33">
        <v>7</v>
      </c>
      <c r="O1453" s="35">
        <v>45974</v>
      </c>
      <c r="P1453" s="35">
        <v>45980</v>
      </c>
      <c r="Q1453" s="37"/>
      <c r="R1453" s="38"/>
      <c r="S1453" s="33"/>
      <c r="T1453" s="39">
        <v>297000</v>
      </c>
      <c r="U1453" s="40" t="s">
        <v>1229</v>
      </c>
      <c r="V1453" s="41"/>
      <c r="W1453" s="42" t="str">
        <f ca="1">IFERROR(__xludf.DUMMYFUNCTION("""COMPUTED_VALUE"""),"Lapak pasar")</f>
        <v>Lapak pasar</v>
      </c>
      <c r="X1453" s="42" t="str">
        <f ca="1"/>
        <v>ON-Lapak pasar-00011900+7-6287799044400</v>
      </c>
      <c r="Y1453" s="40" t="s">
        <v>62</v>
      </c>
      <c r="Z1453" s="40" t="s">
        <v>1861</v>
      </c>
      <c r="AA1453" s="23" t="str">
        <v>https://wa.me/6287799044400</v>
      </c>
      <c r="AB1453" s="28" t="s">
        <v>7846</v>
      </c>
      <c r="AC1453" s="28"/>
      <c r="AD1453" s="28" t="s">
        <v>690</v>
      </c>
      <c r="AE1453" s="28"/>
      <c r="AF1453" s="29"/>
      <c r="AG1453" s="29"/>
    </row>
    <row r="1454" spans="1:33" ht="15.75" customHeight="1">
      <c r="A1454" s="32" t="s">
        <v>196</v>
      </c>
      <c r="B1454" s="33">
        <v>1483</v>
      </c>
      <c r="C1454" s="34" t="s">
        <v>7847</v>
      </c>
      <c r="D1454" s="35">
        <v>45971.800260995369</v>
      </c>
      <c r="E1454" s="43">
        <v>45971</v>
      </c>
      <c r="F1454" s="32" t="s">
        <v>7848</v>
      </c>
      <c r="G1454" s="32" t="s">
        <v>7849</v>
      </c>
      <c r="H1454" s="32" t="s">
        <v>7850</v>
      </c>
      <c r="I1454" s="36" t="s">
        <v>7851</v>
      </c>
      <c r="J1454" s="52" t="s">
        <v>7852</v>
      </c>
      <c r="K1454" s="32" t="s">
        <v>570</v>
      </c>
      <c r="L1454" s="32" t="s">
        <v>7853</v>
      </c>
      <c r="M1454" s="32" t="s">
        <v>92</v>
      </c>
      <c r="N1454" s="33">
        <v>5</v>
      </c>
      <c r="O1454" s="35">
        <v>45975</v>
      </c>
      <c r="P1454" s="35">
        <v>45979</v>
      </c>
      <c r="Q1454" s="37"/>
      <c r="R1454" s="38"/>
      <c r="S1454" s="33"/>
      <c r="T1454" s="39">
        <v>197000</v>
      </c>
      <c r="U1454" s="40" t="s">
        <v>1774</v>
      </c>
      <c r="V1454" s="41"/>
      <c r="W1454" s="42" t="str">
        <f ca="1">IFERROR(__xludf.DUMMYFUNCTION("""COMPUTED_VALUE"""),"Mandiri")</f>
        <v>Mandiri</v>
      </c>
      <c r="X1454" s="42" t="str">
        <f ca="1"/>
        <v>ON-Mandiri-00011900+5-628129170528</v>
      </c>
      <c r="Y1454" s="40" t="s">
        <v>62</v>
      </c>
      <c r="Z1454" s="40" t="s">
        <v>1861</v>
      </c>
      <c r="AA1454" s="23" t="str">
        <v>https://wa.me/628129170528</v>
      </c>
      <c r="AB1454" s="28" t="s">
        <v>7854</v>
      </c>
      <c r="AC1454" s="28"/>
      <c r="AD1454" s="28" t="s">
        <v>690</v>
      </c>
      <c r="AE1454" s="28"/>
      <c r="AF1454" s="29"/>
      <c r="AG1454" s="29"/>
    </row>
    <row r="1455" spans="1:33" ht="15.75" customHeight="1">
      <c r="A1455" s="32" t="s">
        <v>196</v>
      </c>
      <c r="B1455" s="33">
        <v>1484</v>
      </c>
      <c r="C1455" s="34" t="s">
        <v>7616</v>
      </c>
      <c r="D1455" s="35">
        <v>45972.197051817129</v>
      </c>
      <c r="E1455" s="43">
        <v>45971</v>
      </c>
      <c r="F1455" s="32" t="s">
        <v>7855</v>
      </c>
      <c r="G1455" s="32" t="s">
        <v>7856</v>
      </c>
      <c r="H1455" s="32" t="s">
        <v>7857</v>
      </c>
      <c r="I1455" s="36" t="s">
        <v>7858</v>
      </c>
      <c r="J1455" s="52" t="s">
        <v>7859</v>
      </c>
      <c r="K1455" s="32"/>
      <c r="L1455" s="32" t="s">
        <v>2468</v>
      </c>
      <c r="M1455" s="32" t="s">
        <v>60</v>
      </c>
      <c r="N1455" s="33">
        <v>5</v>
      </c>
      <c r="O1455" s="35">
        <v>45975</v>
      </c>
      <c r="P1455" s="35">
        <v>45979</v>
      </c>
      <c r="Q1455" s="37"/>
      <c r="R1455" s="38"/>
      <c r="S1455" s="33"/>
      <c r="T1455" s="39">
        <v>197000</v>
      </c>
      <c r="U1455" s="40" t="s">
        <v>61</v>
      </c>
      <c r="V1455" s="41"/>
      <c r="W1455" s="42" t="str">
        <f ca="1">IFERROR(__xludf.DUMMYFUNCTION("""COMPUTED_VALUE"""),"Pelatihan Bekam")</f>
        <v>Pelatihan Bekam</v>
      </c>
      <c r="X1455" s="42" t="str">
        <f ca="1"/>
        <v>ON-Pelatihan Bekam-00011900+5-6289529314651</v>
      </c>
      <c r="Y1455" s="40" t="s">
        <v>62</v>
      </c>
      <c r="Z1455" s="40" t="s">
        <v>639</v>
      </c>
      <c r="AA1455" s="23" t="str">
        <v>https://wa.me/6289529314651</v>
      </c>
      <c r="AB1455" s="28" t="s">
        <v>7860</v>
      </c>
      <c r="AC1455" s="28"/>
      <c r="AD1455" s="28" t="s">
        <v>690</v>
      </c>
      <c r="AE1455" s="28"/>
      <c r="AF1455" s="29"/>
      <c r="AG1455" s="29"/>
    </row>
    <row r="1456" spans="1:33" ht="15.75" customHeight="1">
      <c r="A1456" s="32" t="s">
        <v>52</v>
      </c>
      <c r="B1456" s="33">
        <v>1486</v>
      </c>
      <c r="C1456" s="34" t="s">
        <v>7861</v>
      </c>
      <c r="D1456" s="35">
        <v>46064</v>
      </c>
      <c r="E1456" s="43">
        <v>45972</v>
      </c>
      <c r="F1456" s="32" t="s">
        <v>7862</v>
      </c>
      <c r="G1456" s="32" t="s">
        <v>7863</v>
      </c>
      <c r="H1456" s="32" t="s">
        <v>4481</v>
      </c>
      <c r="I1456" s="36" t="s">
        <v>7864</v>
      </c>
      <c r="J1456" s="52"/>
      <c r="K1456" s="32" t="s">
        <v>7865</v>
      </c>
      <c r="L1456" s="32" t="s">
        <v>7866</v>
      </c>
      <c r="M1456" s="32" t="s">
        <v>510</v>
      </c>
      <c r="N1456" s="33">
        <v>5</v>
      </c>
      <c r="O1456" s="35"/>
      <c r="P1456" s="35"/>
      <c r="Q1456" s="37"/>
      <c r="R1456" s="38">
        <v>-1003470351325</v>
      </c>
      <c r="S1456" s="33"/>
      <c r="T1456" s="39">
        <v>197000</v>
      </c>
      <c r="U1456" s="40" t="s">
        <v>115</v>
      </c>
      <c r="V1456" s="47">
        <v>46064.398906527778</v>
      </c>
      <c r="W1456" s="42" t="str">
        <f ca="1">IFERROR(__xludf.DUMMYFUNCTION("""COMPUTED_VALUE"""),"Sales Truk")</f>
        <v>Sales Truk</v>
      </c>
      <c r="X1456" s="42" t="str">
        <f ca="1"/>
        <v>ON-Sales Truk-11022026+5-6281219102600</v>
      </c>
      <c r="Y1456" s="40"/>
      <c r="Z1456" s="40"/>
      <c r="AA1456" s="23" t="str">
        <v>https://wa.me/6281219102600</v>
      </c>
      <c r="AB1456" s="28"/>
      <c r="AC1456" s="28"/>
      <c r="AD1456" s="28"/>
      <c r="AE1456" s="28"/>
      <c r="AF1456" s="29"/>
      <c r="AG1456" s="29"/>
    </row>
    <row r="1457" spans="1:33" ht="15.75" customHeight="1">
      <c r="A1457" s="32" t="s">
        <v>196</v>
      </c>
      <c r="B1457" s="33">
        <v>1487</v>
      </c>
      <c r="C1457" s="34" t="s">
        <v>7867</v>
      </c>
      <c r="D1457" s="35">
        <v>45972.778177465283</v>
      </c>
      <c r="E1457" s="43">
        <v>45972</v>
      </c>
      <c r="F1457" s="32" t="s">
        <v>7868</v>
      </c>
      <c r="G1457" s="32" t="s">
        <v>7869</v>
      </c>
      <c r="H1457" s="32" t="s">
        <v>7870</v>
      </c>
      <c r="I1457" s="36" t="s">
        <v>7871</v>
      </c>
      <c r="J1457" s="52"/>
      <c r="K1457" s="32" t="s">
        <v>7872</v>
      </c>
      <c r="L1457" s="32" t="s">
        <v>2491</v>
      </c>
      <c r="M1457" s="32" t="s">
        <v>92</v>
      </c>
      <c r="N1457" s="33">
        <v>5</v>
      </c>
      <c r="O1457" s="35">
        <v>45975</v>
      </c>
      <c r="P1457" s="35">
        <v>45979</v>
      </c>
      <c r="Q1457" s="37"/>
      <c r="R1457" s="38"/>
      <c r="S1457" s="33"/>
      <c r="T1457" s="39">
        <v>197000</v>
      </c>
      <c r="U1457" s="40" t="s">
        <v>1229</v>
      </c>
      <c r="V1457" s="41"/>
      <c r="W1457" s="42" t="str">
        <f ca="1">IFERROR(__xludf.DUMMYFUNCTION("""COMPUTED_VALUE"""),"Toko ayo")</f>
        <v>Toko ayo</v>
      </c>
      <c r="X1457" s="42" t="str">
        <f ca="1"/>
        <v>ON-Toko ayo-00011900+5-6281130542444</v>
      </c>
      <c r="Y1457" s="40" t="s">
        <v>62</v>
      </c>
      <c r="Z1457" s="40" t="s">
        <v>1861</v>
      </c>
      <c r="AA1457" s="23" t="str">
        <v>https://wa.me/6281130542444</v>
      </c>
      <c r="AB1457" s="28" t="s">
        <v>7873</v>
      </c>
      <c r="AC1457" s="28"/>
      <c r="AD1457" s="28" t="s">
        <v>690</v>
      </c>
      <c r="AE1457" s="28"/>
      <c r="AF1457" s="29"/>
      <c r="AG1457" s="29"/>
    </row>
    <row r="1458" spans="1:33" ht="15.75" customHeight="1">
      <c r="A1458" s="32" t="s">
        <v>196</v>
      </c>
      <c r="B1458" s="33">
        <v>1488</v>
      </c>
      <c r="C1458" s="34" t="s">
        <v>7734</v>
      </c>
      <c r="D1458" s="35">
        <v>45972.778304849533</v>
      </c>
      <c r="E1458" s="43">
        <v>45972</v>
      </c>
      <c r="F1458" s="32" t="s">
        <v>7874</v>
      </c>
      <c r="G1458" s="32" t="s">
        <v>7875</v>
      </c>
      <c r="H1458" s="32" t="s">
        <v>7876</v>
      </c>
      <c r="I1458" s="36" t="s">
        <v>7877</v>
      </c>
      <c r="J1458" s="52" t="s">
        <v>7878</v>
      </c>
      <c r="K1458" s="32" t="s">
        <v>7879</v>
      </c>
      <c r="L1458" s="32" t="s">
        <v>2133</v>
      </c>
      <c r="M1458" s="32" t="s">
        <v>2032</v>
      </c>
      <c r="N1458" s="33">
        <v>30</v>
      </c>
      <c r="O1458" s="35">
        <v>45975</v>
      </c>
      <c r="P1458" s="35">
        <v>46004</v>
      </c>
      <c r="Q1458" s="37"/>
      <c r="R1458" s="38"/>
      <c r="S1458" s="33"/>
      <c r="T1458" s="39">
        <v>1000000</v>
      </c>
      <c r="U1458" s="40" t="s">
        <v>61</v>
      </c>
      <c r="V1458" s="41"/>
      <c r="W1458" s="42" t="str">
        <f ca="1">IFERROR(__xludf.DUMMYFUNCTION("""COMPUTED_VALUE"""),"Orlindo Maju")</f>
        <v>Orlindo Maju</v>
      </c>
      <c r="X1458" s="42" t="str">
        <f ca="1"/>
        <v>ON-Orlindo Maju-00011900+30-628179859231</v>
      </c>
      <c r="Y1458" s="40" t="s">
        <v>293</v>
      </c>
      <c r="Z1458" s="40" t="s">
        <v>1057</v>
      </c>
      <c r="AA1458" s="23" t="str">
        <v>https://wa.me/628179859231</v>
      </c>
      <c r="AB1458" s="28" t="s">
        <v>7880</v>
      </c>
      <c r="AC1458" s="28"/>
      <c r="AD1458" s="28" t="s">
        <v>690</v>
      </c>
      <c r="AE1458" s="28"/>
      <c r="AF1458" s="29"/>
      <c r="AG1458" s="29"/>
    </row>
    <row r="1459" spans="1:33" ht="15.75" customHeight="1">
      <c r="A1459" s="32" t="s">
        <v>196</v>
      </c>
      <c r="B1459" s="33">
        <v>1490</v>
      </c>
      <c r="C1459" s="34" t="s">
        <v>7881</v>
      </c>
      <c r="D1459" s="35">
        <v>45972.779536608796</v>
      </c>
      <c r="E1459" s="43">
        <v>45972</v>
      </c>
      <c r="F1459" s="32" t="s">
        <v>7882</v>
      </c>
      <c r="G1459" s="32" t="s">
        <v>7883</v>
      </c>
      <c r="H1459" s="32" t="s">
        <v>7884</v>
      </c>
      <c r="I1459" s="36" t="s">
        <v>7885</v>
      </c>
      <c r="J1459" s="52" t="s">
        <v>7886</v>
      </c>
      <c r="K1459" s="32" t="s">
        <v>4103</v>
      </c>
      <c r="L1459" s="32" t="s">
        <v>696</v>
      </c>
      <c r="M1459" s="32" t="s">
        <v>382</v>
      </c>
      <c r="N1459" s="33">
        <v>5</v>
      </c>
      <c r="O1459" s="35">
        <v>45975</v>
      </c>
      <c r="P1459" s="35">
        <v>45979</v>
      </c>
      <c r="Q1459" s="37"/>
      <c r="R1459" s="38"/>
      <c r="S1459" s="33"/>
      <c r="T1459" s="39">
        <v>197000</v>
      </c>
      <c r="U1459" s="40" t="s">
        <v>115</v>
      </c>
      <c r="V1459" s="41"/>
      <c r="W1459" s="42" t="str">
        <f ca="1">IFERROR(__xludf.DUMMYFUNCTION("""COMPUTED_VALUE"""),"jasa sedot")</f>
        <v>jasa sedot</v>
      </c>
      <c r="X1459" s="42" t="str">
        <f ca="1"/>
        <v>ON-jasa sedot-00011900+5-6285222823353</v>
      </c>
      <c r="Y1459" s="40" t="s">
        <v>62</v>
      </c>
      <c r="Z1459" s="40" t="s">
        <v>1465</v>
      </c>
      <c r="AA1459" s="23" t="str">
        <v>https://wa.me/6285222823353</v>
      </c>
      <c r="AB1459" s="28" t="s">
        <v>7887</v>
      </c>
      <c r="AC1459" s="28"/>
      <c r="AD1459" s="28" t="s">
        <v>690</v>
      </c>
      <c r="AE1459" s="28"/>
      <c r="AF1459" s="29"/>
      <c r="AG1459" s="29"/>
    </row>
    <row r="1460" spans="1:33" ht="15.75" customHeight="1">
      <c r="A1460" s="32" t="s">
        <v>52</v>
      </c>
      <c r="B1460" s="33">
        <v>1491</v>
      </c>
      <c r="C1460" s="34" t="s">
        <v>7888</v>
      </c>
      <c r="D1460" s="35">
        <v>45972.879526898148</v>
      </c>
      <c r="E1460" s="43">
        <v>45972</v>
      </c>
      <c r="F1460" s="32" t="s">
        <v>7862</v>
      </c>
      <c r="G1460" s="32" t="s">
        <v>7863</v>
      </c>
      <c r="H1460" s="32" t="s">
        <v>4481</v>
      </c>
      <c r="I1460" s="36" t="s">
        <v>7864</v>
      </c>
      <c r="J1460" s="52"/>
      <c r="K1460" s="32" t="s">
        <v>570</v>
      </c>
      <c r="L1460" s="32" t="s">
        <v>7889</v>
      </c>
      <c r="M1460" s="32" t="s">
        <v>510</v>
      </c>
      <c r="N1460" s="33">
        <v>5</v>
      </c>
      <c r="O1460" s="35"/>
      <c r="P1460" s="35"/>
      <c r="Q1460" s="37"/>
      <c r="R1460" s="38"/>
      <c r="S1460" s="33"/>
      <c r="T1460" s="39">
        <v>197000</v>
      </c>
      <c r="U1460" s="40" t="s">
        <v>115</v>
      </c>
      <c r="V1460" s="41"/>
      <c r="W1460" s="42" t="str">
        <f ca="1">IFERROR(__xludf.DUMMYFUNCTION("""COMPUTED_VALUE"""),"Sales Truk")</f>
        <v>Sales Truk</v>
      </c>
      <c r="X1460" s="42" t="str">
        <f ca="1"/>
        <v>ON-Sales Truk-00011900+5-6281219102600</v>
      </c>
      <c r="Y1460" s="40"/>
      <c r="Z1460" s="40"/>
      <c r="AA1460" s="23" t="str">
        <v>https://wa.me/6281219102600</v>
      </c>
      <c r="AB1460" s="28"/>
      <c r="AC1460" s="28"/>
      <c r="AD1460" s="28"/>
      <c r="AE1460" s="28"/>
      <c r="AF1460" s="29"/>
      <c r="AG1460" s="29"/>
    </row>
    <row r="1461" spans="1:33" ht="15.75" customHeight="1">
      <c r="A1461" s="32" t="s">
        <v>52</v>
      </c>
      <c r="B1461" s="33">
        <v>1492</v>
      </c>
      <c r="C1461" s="34" t="s">
        <v>7890</v>
      </c>
      <c r="D1461" s="35">
        <v>45972.880038692128</v>
      </c>
      <c r="E1461" s="43">
        <v>45972</v>
      </c>
      <c r="F1461" s="32" t="s">
        <v>5412</v>
      </c>
      <c r="G1461" s="32" t="s">
        <v>7481</v>
      </c>
      <c r="H1461" s="32" t="s">
        <v>298</v>
      </c>
      <c r="I1461" s="36" t="s">
        <v>5414</v>
      </c>
      <c r="J1461" s="52"/>
      <c r="K1461" s="32" t="s">
        <v>5415</v>
      </c>
      <c r="L1461" s="32" t="s">
        <v>4886</v>
      </c>
      <c r="M1461" s="32" t="s">
        <v>382</v>
      </c>
      <c r="N1461" s="33">
        <v>5</v>
      </c>
      <c r="O1461" s="35"/>
      <c r="P1461" s="35"/>
      <c r="Q1461" s="37"/>
      <c r="R1461" s="38"/>
      <c r="S1461" s="33"/>
      <c r="T1461" s="39">
        <v>197000</v>
      </c>
      <c r="U1461" s="40" t="s">
        <v>115</v>
      </c>
      <c r="V1461" s="41"/>
      <c r="W1461" s="42" t="str">
        <f ca="1">IFERROR(__xludf.DUMMYFUNCTION("""COMPUTED_VALUE"""),"Adam stell")</f>
        <v>Adam stell</v>
      </c>
      <c r="X1461" s="42" t="str">
        <f ca="1"/>
        <v>ON-Adam stell-00011900+5-628990570840</v>
      </c>
      <c r="Y1461" s="40"/>
      <c r="Z1461" s="40"/>
      <c r="AA1461" s="23" t="str">
        <v>https://wa.me/628990570840</v>
      </c>
      <c r="AB1461" s="28"/>
      <c r="AC1461" s="28"/>
      <c r="AD1461" s="28"/>
      <c r="AE1461" s="28"/>
      <c r="AF1461" s="29"/>
      <c r="AG1461" s="29"/>
    </row>
    <row r="1462" spans="1:33" ht="15.75" customHeight="1">
      <c r="A1462" s="32" t="s">
        <v>196</v>
      </c>
      <c r="B1462" s="33">
        <v>1515</v>
      </c>
      <c r="C1462" s="34" t="s">
        <v>7891</v>
      </c>
      <c r="D1462" s="35">
        <v>45968.486704826384</v>
      </c>
      <c r="E1462" s="43">
        <v>45968</v>
      </c>
      <c r="F1462" s="32" t="s">
        <v>7892</v>
      </c>
      <c r="G1462" s="32" t="s">
        <v>7893</v>
      </c>
      <c r="H1462" s="32" t="s">
        <v>7894</v>
      </c>
      <c r="I1462" s="36" t="s">
        <v>7895</v>
      </c>
      <c r="J1462" s="52"/>
      <c r="K1462" s="32" t="s">
        <v>570</v>
      </c>
      <c r="L1462" s="32" t="s">
        <v>92</v>
      </c>
      <c r="M1462" s="32" t="s">
        <v>92</v>
      </c>
      <c r="N1462" s="33">
        <v>5</v>
      </c>
      <c r="O1462" s="35">
        <v>45976</v>
      </c>
      <c r="P1462" s="35">
        <v>45980</v>
      </c>
      <c r="Q1462" s="37"/>
      <c r="R1462" s="38"/>
      <c r="S1462" s="33"/>
      <c r="T1462" s="39">
        <v>197000</v>
      </c>
      <c r="U1462" s="40" t="s">
        <v>1229</v>
      </c>
      <c r="V1462" s="41"/>
      <c r="W1462" s="42" t="str">
        <f ca="1">IFERROR(__xludf.DUMMYFUNCTION("""COMPUTED_VALUE"""),"bengkel layur")</f>
        <v>bengkel layur</v>
      </c>
      <c r="X1462" s="42" t="str">
        <f ca="1"/>
        <v>ON-bengkel layur-00011900+5-6287765670288</v>
      </c>
      <c r="Y1462" s="40" t="s">
        <v>62</v>
      </c>
      <c r="Z1462" s="40" t="s">
        <v>294</v>
      </c>
      <c r="AA1462" s="23" t="str">
        <v>https://wa.me/6287765670288</v>
      </c>
      <c r="AB1462" s="28" t="s">
        <v>7896</v>
      </c>
      <c r="AC1462" s="28"/>
      <c r="AD1462" s="28" t="s">
        <v>690</v>
      </c>
      <c r="AE1462" s="28"/>
      <c r="AF1462" s="29"/>
      <c r="AG1462" s="29"/>
    </row>
    <row r="1463" spans="1:33" ht="15.75" customHeight="1">
      <c r="A1463" s="32" t="s">
        <v>52</v>
      </c>
      <c r="B1463" s="33">
        <v>1491</v>
      </c>
      <c r="C1463" s="34" t="s">
        <v>7888</v>
      </c>
      <c r="D1463" s="35">
        <v>45974.606095138894</v>
      </c>
      <c r="E1463" s="43">
        <v>45973</v>
      </c>
      <c r="F1463" s="32" t="s">
        <v>6417</v>
      </c>
      <c r="G1463" s="32" t="s">
        <v>6418</v>
      </c>
      <c r="H1463" s="32" t="s">
        <v>7246</v>
      </c>
      <c r="I1463" s="36" t="s">
        <v>6420</v>
      </c>
      <c r="J1463" s="52"/>
      <c r="K1463" s="32" t="s">
        <v>570</v>
      </c>
      <c r="L1463" s="32" t="s">
        <v>4783</v>
      </c>
      <c r="M1463" s="32" t="s">
        <v>6421</v>
      </c>
      <c r="N1463" s="33">
        <v>20</v>
      </c>
      <c r="O1463" s="35"/>
      <c r="P1463" s="35"/>
      <c r="Q1463" s="37"/>
      <c r="R1463" s="38"/>
      <c r="S1463" s="33"/>
      <c r="T1463" s="39">
        <v>700000</v>
      </c>
      <c r="U1463" s="40" t="s">
        <v>1229</v>
      </c>
      <c r="V1463" s="41"/>
      <c r="W1463" s="42" t="str">
        <f ca="1">IFERROR(__xludf.DUMMYFUNCTION("""COMPUTED_VALUE"""),"Rudy jaya")</f>
        <v>Rudy jaya</v>
      </c>
      <c r="X1463" s="42" t="str">
        <f ca="1"/>
        <v>ON-Rudy jaya-00011900+20-6285280985750</v>
      </c>
      <c r="Y1463" s="40"/>
      <c r="Z1463" s="40"/>
      <c r="AA1463" s="23" t="str">
        <v>https://wa.me/6285280985750</v>
      </c>
      <c r="AB1463" s="28"/>
      <c r="AC1463" s="28"/>
      <c r="AD1463" s="28"/>
      <c r="AE1463" s="28"/>
      <c r="AF1463" s="29"/>
      <c r="AG1463" s="29"/>
    </row>
    <row r="1464" spans="1:33" ht="15.75" customHeight="1">
      <c r="A1464" s="32" t="s">
        <v>52</v>
      </c>
      <c r="B1464" s="33">
        <v>1492</v>
      </c>
      <c r="C1464" s="34" t="s">
        <v>7890</v>
      </c>
      <c r="D1464" s="35">
        <v>45974.606265729162</v>
      </c>
      <c r="E1464" s="43">
        <v>45973</v>
      </c>
      <c r="F1464" s="32" t="s">
        <v>4575</v>
      </c>
      <c r="G1464" s="32" t="s">
        <v>4576</v>
      </c>
      <c r="H1464" s="32" t="s">
        <v>409</v>
      </c>
      <c r="I1464" s="36" t="s">
        <v>4577</v>
      </c>
      <c r="J1464" s="52"/>
      <c r="K1464" s="32" t="s">
        <v>4578</v>
      </c>
      <c r="L1464" s="32" t="s">
        <v>284</v>
      </c>
      <c r="M1464" s="32" t="s">
        <v>285</v>
      </c>
      <c r="N1464" s="33">
        <v>14</v>
      </c>
      <c r="O1464" s="35"/>
      <c r="P1464" s="35"/>
      <c r="Q1464" s="37"/>
      <c r="R1464" s="38"/>
      <c r="S1464" s="33"/>
      <c r="T1464" s="39">
        <v>550000</v>
      </c>
      <c r="U1464" s="40" t="s">
        <v>1229</v>
      </c>
      <c r="V1464" s="41"/>
      <c r="W1464" s="42" t="str">
        <f ca="1">IFERROR(__xludf.DUMMYFUNCTION("""COMPUTED_VALUE"""),"PT Muria")</f>
        <v>PT Muria</v>
      </c>
      <c r="X1464" s="42" t="str">
        <f ca="1"/>
        <v>ON-PT Muria-00011900+14-628119913004</v>
      </c>
      <c r="Y1464" s="40"/>
      <c r="Z1464" s="40"/>
      <c r="AA1464" s="23" t="str">
        <v>https://wa.me/628119913004</v>
      </c>
      <c r="AB1464" s="28"/>
      <c r="AC1464" s="28"/>
      <c r="AD1464" s="28"/>
      <c r="AE1464" s="28"/>
      <c r="AF1464" s="29"/>
      <c r="AG1464" s="29"/>
    </row>
    <row r="1465" spans="1:33" ht="15.75" customHeight="1">
      <c r="A1465" s="32" t="s">
        <v>52</v>
      </c>
      <c r="B1465" s="33">
        <v>1493</v>
      </c>
      <c r="C1465" s="34" t="s">
        <v>7897</v>
      </c>
      <c r="D1465" s="33" t="s">
        <v>4643</v>
      </c>
      <c r="E1465" s="43">
        <v>45973</v>
      </c>
      <c r="F1465" s="32" t="s">
        <v>7898</v>
      </c>
      <c r="G1465" s="32" t="s">
        <v>7899</v>
      </c>
      <c r="H1465" s="32" t="s">
        <v>7900</v>
      </c>
      <c r="I1465" s="36" t="s">
        <v>7901</v>
      </c>
      <c r="J1465" s="52"/>
      <c r="K1465" s="32" t="s">
        <v>7902</v>
      </c>
      <c r="L1465" s="32" t="s">
        <v>7903</v>
      </c>
      <c r="M1465" s="32" t="s">
        <v>1926</v>
      </c>
      <c r="N1465" s="33">
        <v>30</v>
      </c>
      <c r="O1465" s="35"/>
      <c r="P1465" s="35"/>
      <c r="Q1465" s="37"/>
      <c r="R1465" s="38">
        <v>-1003470351325</v>
      </c>
      <c r="S1465" s="33"/>
      <c r="T1465" s="39">
        <v>1000000</v>
      </c>
      <c r="U1465" s="40" t="s">
        <v>1774</v>
      </c>
      <c r="V1465" s="47">
        <v>45999.729316030091</v>
      </c>
      <c r="W1465" s="42" t="str">
        <f ca="1">IFERROR(__xludf.DUMMYFUNCTION("""COMPUTED_VALUE"""),"Internet/wifi indihome")</f>
        <v>Internet/wifi indihome</v>
      </c>
      <c r="X1465" s="42" t="str">
        <f ca="1"/>
        <v>ON-Internet/wifi indihome-08122025+30-6285167231114</v>
      </c>
      <c r="Y1465" s="40"/>
      <c r="Z1465" s="40"/>
      <c r="AA1465" s="23" t="str">
        <v>https://wa.me/6285167231114</v>
      </c>
      <c r="AB1465" s="28"/>
      <c r="AC1465" s="28"/>
      <c r="AD1465" s="28"/>
      <c r="AE1465" s="28"/>
      <c r="AF1465" s="29"/>
      <c r="AG1465" s="29"/>
    </row>
    <row r="1466" spans="1:33" ht="15.75" customHeight="1">
      <c r="A1466" s="32" t="s">
        <v>52</v>
      </c>
      <c r="B1466" s="33">
        <v>1494</v>
      </c>
      <c r="C1466" s="34" t="s">
        <v>7904</v>
      </c>
      <c r="D1466" s="35">
        <v>45974.608612465279</v>
      </c>
      <c r="E1466" s="43">
        <v>45973</v>
      </c>
      <c r="F1466" s="32" t="s">
        <v>3745</v>
      </c>
      <c r="G1466" s="32" t="s">
        <v>3746</v>
      </c>
      <c r="H1466" s="32" t="s">
        <v>3747</v>
      </c>
      <c r="I1466" s="36" t="s">
        <v>3748</v>
      </c>
      <c r="J1466" s="52"/>
      <c r="K1466" s="32" t="s">
        <v>3749</v>
      </c>
      <c r="L1466" s="32" t="s">
        <v>3750</v>
      </c>
      <c r="M1466" s="32" t="s">
        <v>6373</v>
      </c>
      <c r="N1466" s="33">
        <v>10</v>
      </c>
      <c r="O1466" s="35"/>
      <c r="P1466" s="35"/>
      <c r="Q1466" s="37"/>
      <c r="R1466" s="38"/>
      <c r="S1466" s="33"/>
      <c r="T1466" s="39">
        <v>375000</v>
      </c>
      <c r="U1466" s="40" t="s">
        <v>1229</v>
      </c>
      <c r="V1466" s="41"/>
      <c r="W1466" s="42" t="str">
        <f ca="1">IFERROR(__xludf.DUMMYFUNCTION("""COMPUTED_VALUE"""),"Jasa renovasi")</f>
        <v>Jasa renovasi</v>
      </c>
      <c r="X1466" s="42" t="str">
        <f ca="1"/>
        <v>ON-Jasa renovasi-00011900+10-6282236053835</v>
      </c>
      <c r="Y1466" s="40"/>
      <c r="Z1466" s="40"/>
      <c r="AA1466" s="23" t="str">
        <v>https://wa.me/6282236053835</v>
      </c>
      <c r="AB1466" s="28"/>
      <c r="AC1466" s="28"/>
      <c r="AD1466" s="28"/>
      <c r="AE1466" s="28"/>
      <c r="AF1466" s="29"/>
      <c r="AG1466" s="29"/>
    </row>
    <row r="1467" spans="1:33" ht="15.75" customHeight="1">
      <c r="A1467" s="32" t="s">
        <v>196</v>
      </c>
      <c r="B1467" s="33">
        <v>1495</v>
      </c>
      <c r="C1467" s="34" t="s">
        <v>7905</v>
      </c>
      <c r="D1467" s="35">
        <v>45989</v>
      </c>
      <c r="E1467" s="43">
        <v>45973</v>
      </c>
      <c r="F1467" s="32" t="s">
        <v>2875</v>
      </c>
      <c r="G1467" s="32" t="s">
        <v>7906</v>
      </c>
      <c r="H1467" s="32" t="s">
        <v>7907</v>
      </c>
      <c r="I1467" s="36" t="s">
        <v>7908</v>
      </c>
      <c r="J1467" s="52"/>
      <c r="K1467" s="32" t="s">
        <v>7909</v>
      </c>
      <c r="L1467" s="32" t="s">
        <v>7910</v>
      </c>
      <c r="M1467" s="32" t="s">
        <v>5288</v>
      </c>
      <c r="N1467" s="33">
        <v>5</v>
      </c>
      <c r="O1467" s="35"/>
      <c r="P1467" s="35"/>
      <c r="Q1467" s="37"/>
      <c r="R1467" s="38">
        <v>-1003470351325</v>
      </c>
      <c r="S1467" s="33"/>
      <c r="T1467" s="39">
        <v>197000</v>
      </c>
      <c r="U1467" s="40" t="s">
        <v>243</v>
      </c>
      <c r="V1467" s="47">
        <v>45989.555502453703</v>
      </c>
      <c r="W1467" s="42" t="str">
        <f ca="1">IFERROR(__xludf.DUMMYFUNCTION("""COMPUTED_VALUE"""),"Kharisma Tour")</f>
        <v>Kharisma Tour</v>
      </c>
      <c r="X1467" s="42" t="str">
        <f ca="1"/>
        <v>ON-Kharisma Tour-28112025+5-6282295851975</v>
      </c>
      <c r="Y1467" s="40" t="s">
        <v>62</v>
      </c>
      <c r="Z1467" s="40" t="s">
        <v>1880</v>
      </c>
      <c r="AA1467" s="23" t="str">
        <v>https://wa.me/6282295851975</v>
      </c>
      <c r="AB1467" s="28" t="s">
        <v>7911</v>
      </c>
      <c r="AC1467" s="28"/>
      <c r="AD1467" s="28" t="s">
        <v>690</v>
      </c>
      <c r="AE1467" s="28"/>
      <c r="AF1467" s="29"/>
      <c r="AG1467" s="29"/>
    </row>
    <row r="1468" spans="1:33" ht="15.75" customHeight="1">
      <c r="A1468" s="32" t="s">
        <v>196</v>
      </c>
      <c r="B1468" s="33">
        <v>1496</v>
      </c>
      <c r="C1468" s="34" t="s">
        <v>7912</v>
      </c>
      <c r="D1468" s="35">
        <v>45974.609410891208</v>
      </c>
      <c r="E1468" s="43">
        <v>45973</v>
      </c>
      <c r="F1468" s="32" t="s">
        <v>7913</v>
      </c>
      <c r="G1468" s="32" t="s">
        <v>7914</v>
      </c>
      <c r="H1468" s="32" t="s">
        <v>5516</v>
      </c>
      <c r="I1468" s="36" t="s">
        <v>7915</v>
      </c>
      <c r="J1468" s="52" t="s">
        <v>7916</v>
      </c>
      <c r="K1468" s="32" t="s">
        <v>7917</v>
      </c>
      <c r="L1468" s="32" t="s">
        <v>360</v>
      </c>
      <c r="M1468" s="32" t="s">
        <v>382</v>
      </c>
      <c r="N1468" s="33">
        <v>5</v>
      </c>
      <c r="O1468" s="35">
        <v>45976</v>
      </c>
      <c r="P1468" s="35">
        <v>45980</v>
      </c>
      <c r="Q1468" s="37"/>
      <c r="R1468" s="38"/>
      <c r="S1468" s="33"/>
      <c r="T1468" s="39">
        <v>197000</v>
      </c>
      <c r="U1468" s="40" t="s">
        <v>115</v>
      </c>
      <c r="V1468" s="41"/>
      <c r="W1468" s="42" t="str">
        <f ca="1">IFERROR(__xludf.DUMMYFUNCTION("""COMPUTED_VALUE"""),"Gorden Hawinli")</f>
        <v>Gorden Hawinli</v>
      </c>
      <c r="X1468" s="42" t="str">
        <f ca="1"/>
        <v>ON-Gorden Hawinli-00011900+5-6287774555328</v>
      </c>
      <c r="Y1468" s="40" t="s">
        <v>62</v>
      </c>
      <c r="Z1468" s="40" t="s">
        <v>1465</v>
      </c>
      <c r="AA1468" s="23" t="str">
        <v>https://wa.me/6287774555328</v>
      </c>
      <c r="AB1468" s="28" t="s">
        <v>7918</v>
      </c>
      <c r="AC1468" s="28"/>
      <c r="AD1468" s="28" t="s">
        <v>690</v>
      </c>
      <c r="AE1468" s="28"/>
      <c r="AF1468" s="29"/>
      <c r="AG1468" s="29"/>
    </row>
    <row r="1469" spans="1:33" ht="15.75" customHeight="1">
      <c r="A1469" s="32" t="s">
        <v>196</v>
      </c>
      <c r="B1469" s="33">
        <v>1497</v>
      </c>
      <c r="C1469" s="34" t="s">
        <v>7919</v>
      </c>
      <c r="D1469" s="35">
        <v>45974.6099191088</v>
      </c>
      <c r="E1469" s="43">
        <v>45973</v>
      </c>
      <c r="F1469" s="32" t="s">
        <v>7920</v>
      </c>
      <c r="G1469" s="32" t="s">
        <v>7921</v>
      </c>
      <c r="H1469" s="32" t="s">
        <v>7922</v>
      </c>
      <c r="I1469" s="36" t="s">
        <v>7923</v>
      </c>
      <c r="J1469" s="52"/>
      <c r="K1469" s="32" t="s">
        <v>7924</v>
      </c>
      <c r="L1469" s="32" t="s">
        <v>5303</v>
      </c>
      <c r="M1469" s="32" t="s">
        <v>382</v>
      </c>
      <c r="N1469" s="33">
        <v>5</v>
      </c>
      <c r="O1469" s="35">
        <v>45976</v>
      </c>
      <c r="P1469" s="35">
        <v>45980</v>
      </c>
      <c r="Q1469" s="37"/>
      <c r="R1469" s="38"/>
      <c r="S1469" s="33"/>
      <c r="T1469" s="39">
        <v>197000</v>
      </c>
      <c r="U1469" s="40" t="s">
        <v>1774</v>
      </c>
      <c r="V1469" s="41"/>
      <c r="W1469" s="42" t="str">
        <f ca="1">IFERROR(__xludf.DUMMYFUNCTION("""COMPUTED_VALUE"""),"Mandiri Gorden_Kroya")</f>
        <v>Mandiri Gorden_Kroya</v>
      </c>
      <c r="X1469" s="42" t="str">
        <f ca="1"/>
        <v>ON-Mandiri Gorden_Kroya-00011900+5-6287718286882</v>
      </c>
      <c r="Y1469" s="40" t="s">
        <v>62</v>
      </c>
      <c r="Z1469" s="40" t="s">
        <v>1465</v>
      </c>
      <c r="AA1469" s="23" t="str">
        <v>https://wa.me/6287718286882</v>
      </c>
      <c r="AB1469" s="28" t="s">
        <v>7925</v>
      </c>
      <c r="AC1469" s="28"/>
      <c r="AD1469" s="28" t="s">
        <v>690</v>
      </c>
      <c r="AE1469" s="28"/>
      <c r="AF1469" s="29"/>
      <c r="AG1469" s="29"/>
    </row>
    <row r="1470" spans="1:33" ht="15.75" customHeight="1">
      <c r="A1470" s="32" t="s">
        <v>52</v>
      </c>
      <c r="B1470" s="33">
        <v>1498</v>
      </c>
      <c r="C1470" s="34" t="s">
        <v>7926</v>
      </c>
      <c r="D1470" s="35">
        <v>45974.610028437499</v>
      </c>
      <c r="E1470" s="43">
        <v>45973</v>
      </c>
      <c r="F1470" s="32" t="s">
        <v>6015</v>
      </c>
      <c r="G1470" s="32" t="s">
        <v>6016</v>
      </c>
      <c r="H1470" s="32" t="s">
        <v>6017</v>
      </c>
      <c r="I1470" s="36" t="s">
        <v>6018</v>
      </c>
      <c r="J1470" s="52"/>
      <c r="K1470" s="32" t="s">
        <v>6019</v>
      </c>
      <c r="L1470" s="32" t="s">
        <v>6020</v>
      </c>
      <c r="M1470" s="32" t="s">
        <v>249</v>
      </c>
      <c r="N1470" s="33">
        <v>30</v>
      </c>
      <c r="O1470" s="35"/>
      <c r="P1470" s="35"/>
      <c r="Q1470" s="37"/>
      <c r="R1470" s="38"/>
      <c r="S1470" s="33"/>
      <c r="T1470" s="39">
        <v>1000000</v>
      </c>
      <c r="U1470" s="40" t="s">
        <v>1229</v>
      </c>
      <c r="V1470" s="41"/>
      <c r="W1470" s="42" t="str">
        <f ca="1">IFERROR(__xludf.DUMMYFUNCTION("""COMPUTED_VALUE"""),"Griyo terapi")</f>
        <v>Griyo terapi</v>
      </c>
      <c r="X1470" s="42" t="str">
        <f ca="1"/>
        <v>ON-Griyo terapi-00011900+30-6281390669379</v>
      </c>
      <c r="Y1470" s="40"/>
      <c r="Z1470" s="40"/>
      <c r="AA1470" s="23" t="str">
        <v>https://wa.me/6281390669379</v>
      </c>
      <c r="AB1470" s="28"/>
      <c r="AC1470" s="28"/>
      <c r="AD1470" s="28"/>
      <c r="AE1470" s="28"/>
      <c r="AF1470" s="29"/>
      <c r="AG1470" s="29"/>
    </row>
    <row r="1471" spans="1:33" ht="15.75" customHeight="1">
      <c r="A1471" s="32" t="s">
        <v>52</v>
      </c>
      <c r="B1471" s="33">
        <v>1499</v>
      </c>
      <c r="C1471" s="34" t="s">
        <v>7927</v>
      </c>
      <c r="D1471" s="35">
        <v>45974.610644710643</v>
      </c>
      <c r="E1471" s="43">
        <v>45973</v>
      </c>
      <c r="F1471" s="32" t="s">
        <v>6046</v>
      </c>
      <c r="G1471" s="32" t="s">
        <v>6047</v>
      </c>
      <c r="H1471" s="32" t="s">
        <v>6048</v>
      </c>
      <c r="I1471" s="36" t="s">
        <v>645</v>
      </c>
      <c r="J1471" s="52" t="s">
        <v>6515</v>
      </c>
      <c r="K1471" s="32" t="s">
        <v>6049</v>
      </c>
      <c r="L1471" s="32" t="s">
        <v>3637</v>
      </c>
      <c r="M1471" s="32" t="s">
        <v>5643</v>
      </c>
      <c r="N1471" s="33">
        <v>14</v>
      </c>
      <c r="O1471" s="35"/>
      <c r="P1471" s="35"/>
      <c r="Q1471" s="37"/>
      <c r="R1471" s="38"/>
      <c r="S1471" s="33"/>
      <c r="T1471" s="39">
        <v>550000</v>
      </c>
      <c r="U1471" s="40" t="s">
        <v>1774</v>
      </c>
      <c r="V1471" s="41"/>
      <c r="W1471" s="42" t="str">
        <f ca="1">IFERROR(__xludf.DUMMYFUNCTION("""COMPUTED_VALUE"""),"CV fajar")</f>
        <v>CV fajar</v>
      </c>
      <c r="X1471" s="42" t="str">
        <f ca="1"/>
        <v>ON-CV fajar-00011900+14-6281338789995</v>
      </c>
      <c r="Y1471" s="40"/>
      <c r="Z1471" s="40"/>
      <c r="AA1471" s="23" t="str">
        <v>https://wa.me/6281338789995</v>
      </c>
      <c r="AB1471" s="28"/>
      <c r="AC1471" s="28"/>
      <c r="AD1471" s="28"/>
      <c r="AE1471" s="28"/>
      <c r="AF1471" s="29"/>
      <c r="AG1471" s="29"/>
    </row>
    <row r="1472" spans="1:33" ht="15.75" customHeight="1">
      <c r="A1472" s="32" t="s">
        <v>52</v>
      </c>
      <c r="B1472" s="33">
        <v>1500</v>
      </c>
      <c r="C1472" s="34" t="s">
        <v>7928</v>
      </c>
      <c r="D1472" s="35">
        <v>45974.610660208331</v>
      </c>
      <c r="E1472" s="43">
        <v>45973</v>
      </c>
      <c r="F1472" s="32" t="s">
        <v>4336</v>
      </c>
      <c r="G1472" s="32" t="s">
        <v>4337</v>
      </c>
      <c r="H1472" s="32" t="s">
        <v>4338</v>
      </c>
      <c r="I1472" s="36" t="s">
        <v>4339</v>
      </c>
      <c r="J1472" s="52"/>
      <c r="K1472" s="32" t="s">
        <v>4340</v>
      </c>
      <c r="L1472" s="32" t="s">
        <v>3079</v>
      </c>
      <c r="M1472" s="32" t="s">
        <v>800</v>
      </c>
      <c r="N1472" s="33">
        <v>10</v>
      </c>
      <c r="O1472" s="35"/>
      <c r="P1472" s="35"/>
      <c r="Q1472" s="37"/>
      <c r="R1472" s="38"/>
      <c r="S1472" s="33"/>
      <c r="T1472" s="39">
        <v>375000</v>
      </c>
      <c r="U1472" s="40" t="s">
        <v>1229</v>
      </c>
      <c r="V1472" s="41"/>
      <c r="W1472" s="42" t="str">
        <f ca="1">IFERROR(__xludf.DUMMYFUNCTION("""COMPUTED_VALUE"""),"Las panggilan")</f>
        <v>Las panggilan</v>
      </c>
      <c r="X1472" s="42" t="str">
        <f ca="1"/>
        <v>ON-Las panggilan-00011900+10-6285333355756</v>
      </c>
      <c r="Y1472" s="40"/>
      <c r="Z1472" s="40"/>
      <c r="AA1472" s="23" t="str">
        <v>https://wa.me/6285333355756</v>
      </c>
      <c r="AB1472" s="28"/>
      <c r="AC1472" s="28"/>
      <c r="AD1472" s="28"/>
      <c r="AE1472" s="28"/>
      <c r="AF1472" s="29"/>
      <c r="AG1472" s="29"/>
    </row>
    <row r="1473" spans="1:33" ht="15.75" customHeight="1">
      <c r="A1473" s="32" t="s">
        <v>33</v>
      </c>
      <c r="B1473" s="33">
        <v>1501</v>
      </c>
      <c r="C1473" s="34" t="s">
        <v>7929</v>
      </c>
      <c r="D1473" s="35">
        <v>45974.611119085646</v>
      </c>
      <c r="E1473" s="43">
        <v>45973</v>
      </c>
      <c r="F1473" s="32" t="s">
        <v>2875</v>
      </c>
      <c r="G1473" s="32" t="s">
        <v>7906</v>
      </c>
      <c r="H1473" s="32" t="s">
        <v>7907</v>
      </c>
      <c r="I1473" s="36" t="s">
        <v>7908</v>
      </c>
      <c r="J1473" s="52"/>
      <c r="K1473" s="32" t="s">
        <v>7930</v>
      </c>
      <c r="L1473" s="32" t="s">
        <v>7910</v>
      </c>
      <c r="M1473" s="32" t="s">
        <v>5288</v>
      </c>
      <c r="N1473" s="33">
        <v>5</v>
      </c>
      <c r="O1473" s="35"/>
      <c r="P1473" s="35"/>
      <c r="Q1473" s="37"/>
      <c r="R1473" s="38"/>
      <c r="S1473" s="33"/>
      <c r="T1473" s="39">
        <v>197000</v>
      </c>
      <c r="U1473" s="40"/>
      <c r="V1473" s="41"/>
      <c r="W1473" s="42" t="str">
        <f ca="1">IFERROR(__xludf.DUMMYFUNCTION("""COMPUTED_VALUE"""),"Kharisma Tour")</f>
        <v>Kharisma Tour</v>
      </c>
      <c r="X1473" s="42" t="str">
        <f ca="1"/>
        <v>ON-Kharisma Tour-00011900+5-6282295851975</v>
      </c>
      <c r="Y1473" s="40"/>
      <c r="Z1473" s="40"/>
      <c r="AA1473" s="23" t="str">
        <v>https://wa.me/6282295851975</v>
      </c>
      <c r="AB1473" s="28"/>
      <c r="AC1473" s="28"/>
      <c r="AD1473" s="28"/>
      <c r="AE1473" s="28"/>
      <c r="AF1473" s="29"/>
      <c r="AG1473" s="29"/>
    </row>
    <row r="1474" spans="1:33" ht="15.75" customHeight="1">
      <c r="A1474" s="32" t="s">
        <v>52</v>
      </c>
      <c r="B1474" s="33">
        <v>1502</v>
      </c>
      <c r="C1474" s="34" t="s">
        <v>7931</v>
      </c>
      <c r="D1474" s="35">
        <v>45974.611142835653</v>
      </c>
      <c r="E1474" s="43">
        <v>45974</v>
      </c>
      <c r="F1474" s="32" t="s">
        <v>5440</v>
      </c>
      <c r="G1474" s="32" t="s">
        <v>5441</v>
      </c>
      <c r="H1474" s="32" t="s">
        <v>5442</v>
      </c>
      <c r="I1474" s="36" t="s">
        <v>717</v>
      </c>
      <c r="J1474" s="52"/>
      <c r="K1474" s="32" t="s">
        <v>5444</v>
      </c>
      <c r="L1474" s="32" t="s">
        <v>5445</v>
      </c>
      <c r="M1474" s="32" t="s">
        <v>5446</v>
      </c>
      <c r="N1474" s="33">
        <v>5</v>
      </c>
      <c r="O1474" s="35"/>
      <c r="P1474" s="35"/>
      <c r="Q1474" s="37"/>
      <c r="R1474" s="38"/>
      <c r="S1474" s="33"/>
      <c r="T1474" s="39">
        <v>197000</v>
      </c>
      <c r="U1474" s="40" t="s">
        <v>115</v>
      </c>
      <c r="V1474" s="41"/>
      <c r="W1474" s="42" t="str">
        <f ca="1">IFERROR(__xludf.DUMMYFUNCTION("""COMPUTED_VALUE"""),"mitra jasa")</f>
        <v>mitra jasa</v>
      </c>
      <c r="X1474" s="42" t="str">
        <f ca="1"/>
        <v>ON-mitra jasa-00011900+5-6282141603091</v>
      </c>
      <c r="Y1474" s="40"/>
      <c r="Z1474" s="40"/>
      <c r="AA1474" s="23" t="str">
        <v>https://wa.me/6282141603091</v>
      </c>
      <c r="AB1474" s="28"/>
      <c r="AC1474" s="28"/>
      <c r="AD1474" s="28"/>
      <c r="AE1474" s="28"/>
      <c r="AF1474" s="29"/>
      <c r="AG1474" s="29"/>
    </row>
    <row r="1475" spans="1:33" ht="15.75" customHeight="1">
      <c r="A1475" s="32" t="s">
        <v>52</v>
      </c>
      <c r="B1475" s="33">
        <v>1503</v>
      </c>
      <c r="C1475" s="34" t="s">
        <v>7932</v>
      </c>
      <c r="D1475" s="35">
        <v>45974.611557488424</v>
      </c>
      <c r="E1475" s="43">
        <v>45974</v>
      </c>
      <c r="F1475" s="32" t="s">
        <v>2479</v>
      </c>
      <c r="G1475" s="32" t="s">
        <v>2480</v>
      </c>
      <c r="H1475" s="32" t="s">
        <v>2481</v>
      </c>
      <c r="I1475" s="36" t="s">
        <v>2482</v>
      </c>
      <c r="J1475" s="52"/>
      <c r="K1475" s="32" t="s">
        <v>2483</v>
      </c>
      <c r="L1475" s="32" t="s">
        <v>1628</v>
      </c>
      <c r="M1475" s="32" t="s">
        <v>60</v>
      </c>
      <c r="N1475" s="33">
        <v>10</v>
      </c>
      <c r="O1475" s="35"/>
      <c r="P1475" s="35"/>
      <c r="Q1475" s="37"/>
      <c r="R1475" s="38"/>
      <c r="S1475" s="33"/>
      <c r="T1475" s="39">
        <v>375000</v>
      </c>
      <c r="U1475" s="40" t="s">
        <v>115</v>
      </c>
      <c r="V1475" s="41"/>
      <c r="W1475" s="42" t="str">
        <f ca="1">IFERROR(__xludf.DUMMYFUNCTION("""COMPUTED_VALUE"""),"AURIGA KONTRAKTOR")</f>
        <v>AURIGA KONTRAKTOR</v>
      </c>
      <c r="X1475" s="42" t="str">
        <f ca="1"/>
        <v>ON-AURIGA KONTRAKTOR-00011900+10-6287856230745</v>
      </c>
      <c r="Y1475" s="40"/>
      <c r="Z1475" s="40"/>
      <c r="AA1475" s="23" t="str">
        <v>https://wa.me/6287856230745</v>
      </c>
      <c r="AB1475" s="28"/>
      <c r="AC1475" s="28"/>
      <c r="AD1475" s="28"/>
      <c r="AE1475" s="28"/>
      <c r="AF1475" s="29"/>
      <c r="AG1475" s="29"/>
    </row>
    <row r="1476" spans="1:33" ht="15.75" customHeight="1">
      <c r="A1476" s="32" t="s">
        <v>52</v>
      </c>
      <c r="B1476" s="33">
        <v>1505</v>
      </c>
      <c r="C1476" s="34" t="s">
        <v>7933</v>
      </c>
      <c r="D1476" s="35">
        <v>45974.626137395833</v>
      </c>
      <c r="E1476" s="43">
        <v>45974</v>
      </c>
      <c r="F1476" s="32" t="s">
        <v>7157</v>
      </c>
      <c r="G1476" s="32" t="s">
        <v>7158</v>
      </c>
      <c r="H1476" s="32" t="s">
        <v>7159</v>
      </c>
      <c r="I1476" s="36" t="s">
        <v>7160</v>
      </c>
      <c r="J1476" s="52"/>
      <c r="K1476" s="32" t="s">
        <v>7161</v>
      </c>
      <c r="L1476" s="32" t="s">
        <v>7162</v>
      </c>
      <c r="M1476" s="32" t="s">
        <v>711</v>
      </c>
      <c r="N1476" s="33">
        <v>30</v>
      </c>
      <c r="O1476" s="35"/>
      <c r="P1476" s="35"/>
      <c r="Q1476" s="37"/>
      <c r="R1476" s="38"/>
      <c r="S1476" s="33"/>
      <c r="T1476" s="39">
        <v>1000000</v>
      </c>
      <c r="U1476" s="40" t="s">
        <v>1229</v>
      </c>
      <c r="V1476" s="41"/>
      <c r="W1476" s="42" t="str">
        <f ca="1">IFERROR(__xludf.DUMMYFUNCTION("""COMPUTED_VALUE"""),"Ciptakarya paramacitra")</f>
        <v>Ciptakarya paramacitra</v>
      </c>
      <c r="X1476" s="42" t="str">
        <f ca="1"/>
        <v>ON-Ciptakarya paramacitra-00011900+30-6289506338444</v>
      </c>
      <c r="Y1476" s="40"/>
      <c r="Z1476" s="40"/>
      <c r="AA1476" s="23" t="str">
        <v>https://wa.me/6289506338444</v>
      </c>
      <c r="AB1476" s="28"/>
      <c r="AC1476" s="28"/>
      <c r="AD1476" s="28"/>
      <c r="AE1476" s="28"/>
      <c r="AF1476" s="29"/>
      <c r="AG1476" s="29"/>
    </row>
    <row r="1477" spans="1:33" ht="15.75" customHeight="1">
      <c r="A1477" s="32" t="s">
        <v>52</v>
      </c>
      <c r="B1477" s="33">
        <v>1506</v>
      </c>
      <c r="C1477" s="34" t="s">
        <v>7934</v>
      </c>
      <c r="D1477" s="35">
        <v>45974.631345335649</v>
      </c>
      <c r="E1477" s="43">
        <v>45974</v>
      </c>
      <c r="F1477" s="32" t="s">
        <v>7557</v>
      </c>
      <c r="G1477" s="32" t="s">
        <v>7558</v>
      </c>
      <c r="H1477" s="32" t="s">
        <v>7559</v>
      </c>
      <c r="I1477" s="36" t="s">
        <v>5470</v>
      </c>
      <c r="J1477" s="52"/>
      <c r="K1477" s="32" t="s">
        <v>7560</v>
      </c>
      <c r="L1477" s="32" t="s">
        <v>7561</v>
      </c>
      <c r="M1477" s="32" t="s">
        <v>276</v>
      </c>
      <c r="N1477" s="33">
        <v>7</v>
      </c>
      <c r="O1477" s="35"/>
      <c r="P1477" s="35"/>
      <c r="Q1477" s="37"/>
      <c r="R1477" s="38"/>
      <c r="S1477" s="33"/>
      <c r="T1477" s="39">
        <v>297000</v>
      </c>
      <c r="U1477" s="40" t="s">
        <v>1229</v>
      </c>
      <c r="V1477" s="41"/>
      <c r="W1477" s="42" t="str">
        <f ca="1">IFERROR(__xludf.DUMMYFUNCTION("""COMPUTED_VALUE"""),"Flamboyan spa")</f>
        <v>Flamboyan spa</v>
      </c>
      <c r="X1477" s="42" t="str">
        <f ca="1"/>
        <v>ON-Flamboyan spa-00011900+7-6285750574301</v>
      </c>
      <c r="Y1477" s="40"/>
      <c r="Z1477" s="40"/>
      <c r="AA1477" s="23" t="str">
        <v>https://wa.me/6285750574301</v>
      </c>
      <c r="AB1477" s="28"/>
      <c r="AC1477" s="28"/>
      <c r="AD1477" s="28"/>
      <c r="AE1477" s="28"/>
      <c r="AF1477" s="29"/>
      <c r="AG1477" s="29"/>
    </row>
    <row r="1478" spans="1:33" ht="15.75" customHeight="1">
      <c r="A1478" s="32" t="s">
        <v>196</v>
      </c>
      <c r="B1478" s="33">
        <v>1507</v>
      </c>
      <c r="C1478" s="34" t="s">
        <v>7935</v>
      </c>
      <c r="D1478" s="35">
        <v>45974.645296793984</v>
      </c>
      <c r="E1478" s="43">
        <v>45974</v>
      </c>
      <c r="F1478" s="32" t="s">
        <v>7936</v>
      </c>
      <c r="G1478" s="32" t="s">
        <v>7937</v>
      </c>
      <c r="H1478" s="32" t="s">
        <v>7938</v>
      </c>
      <c r="I1478" s="36" t="s">
        <v>7939</v>
      </c>
      <c r="J1478" s="52"/>
      <c r="K1478" s="32" t="s">
        <v>1194</v>
      </c>
      <c r="L1478" s="32" t="s">
        <v>7940</v>
      </c>
      <c r="M1478" s="32" t="s">
        <v>2424</v>
      </c>
      <c r="N1478" s="33">
        <v>14</v>
      </c>
      <c r="O1478" s="35">
        <v>45977</v>
      </c>
      <c r="P1478" s="35">
        <v>45991</v>
      </c>
      <c r="Q1478" s="37"/>
      <c r="R1478" s="38"/>
      <c r="S1478" s="33"/>
      <c r="T1478" s="39">
        <v>550000</v>
      </c>
      <c r="U1478" s="40"/>
      <c r="V1478" s="41"/>
      <c r="W1478" s="42" t="str">
        <f ca="1">IFERROR(__xludf.DUMMYFUNCTION("""COMPUTED_VALUE"""),"Quality Zoon")</f>
        <v>Quality Zoon</v>
      </c>
      <c r="X1478" s="42" t="str">
        <f ca="1"/>
        <v>ON-Quality Zoon-00011900+14-628125813214</v>
      </c>
      <c r="Y1478" s="40" t="s">
        <v>50</v>
      </c>
      <c r="Z1478" s="40" t="s">
        <v>1465</v>
      </c>
      <c r="AA1478" s="23" t="str">
        <v>https://wa.me/628125813214</v>
      </c>
      <c r="AB1478" s="28" t="s">
        <v>7941</v>
      </c>
      <c r="AC1478" s="28"/>
      <c r="AD1478" s="28" t="s">
        <v>690</v>
      </c>
      <c r="AE1478" s="28"/>
      <c r="AF1478" s="29"/>
      <c r="AG1478" s="29"/>
    </row>
    <row r="1479" spans="1:33" ht="15.75" customHeight="1">
      <c r="A1479" s="32" t="s">
        <v>52</v>
      </c>
      <c r="B1479" s="33">
        <v>1508</v>
      </c>
      <c r="C1479" s="34" t="s">
        <v>7942</v>
      </c>
      <c r="D1479" s="35">
        <v>45974.649714085652</v>
      </c>
      <c r="E1479" s="43">
        <v>45974</v>
      </c>
      <c r="F1479" s="32" t="s">
        <v>7710</v>
      </c>
      <c r="G1479" s="32" t="s">
        <v>7711</v>
      </c>
      <c r="H1479" s="32" t="s">
        <v>7712</v>
      </c>
      <c r="I1479" s="36" t="s">
        <v>7713</v>
      </c>
      <c r="J1479" s="52" t="s">
        <v>7943</v>
      </c>
      <c r="K1479" s="32" t="s">
        <v>345</v>
      </c>
      <c r="L1479" s="32" t="s">
        <v>4783</v>
      </c>
      <c r="M1479" s="32" t="s">
        <v>382</v>
      </c>
      <c r="N1479" s="33">
        <v>5</v>
      </c>
      <c r="O1479" s="35"/>
      <c r="P1479" s="35"/>
      <c r="Q1479" s="37"/>
      <c r="R1479" s="38"/>
      <c r="S1479" s="33"/>
      <c r="T1479" s="39">
        <v>197000</v>
      </c>
      <c r="U1479" s="40" t="s">
        <v>1774</v>
      </c>
      <c r="V1479" s="41"/>
      <c r="W1479" s="42" t="str">
        <f ca="1">IFERROR(__xludf.DUMMYFUNCTION("""COMPUTED_VALUE"""),"AJP Arfi")</f>
        <v>AJP Arfi</v>
      </c>
      <c r="X1479" s="42" t="str">
        <f ca="1"/>
        <v>ON-AJP Arfi-00011900+5-6289673319845</v>
      </c>
      <c r="Y1479" s="40"/>
      <c r="Z1479" s="40"/>
      <c r="AA1479" s="23" t="str">
        <v>https://wa.me/6289673319845</v>
      </c>
      <c r="AB1479" s="28"/>
      <c r="AC1479" s="28"/>
      <c r="AD1479" s="28"/>
      <c r="AE1479" s="28"/>
      <c r="AF1479" s="29"/>
      <c r="AG1479" s="29"/>
    </row>
    <row r="1480" spans="1:33" ht="15.75" customHeight="1">
      <c r="A1480" s="32" t="s">
        <v>196</v>
      </c>
      <c r="B1480" s="33">
        <v>1509</v>
      </c>
      <c r="C1480" s="34" t="s">
        <v>7678</v>
      </c>
      <c r="D1480" s="35">
        <v>45974.719808958333</v>
      </c>
      <c r="E1480" s="43">
        <v>45962</v>
      </c>
      <c r="F1480" s="32" t="s">
        <v>7425</v>
      </c>
      <c r="G1480" s="32" t="s">
        <v>7944</v>
      </c>
      <c r="H1480" s="32" t="s">
        <v>7945</v>
      </c>
      <c r="I1480" s="36" t="s">
        <v>7427</v>
      </c>
      <c r="J1480" s="52"/>
      <c r="K1480" s="32" t="s">
        <v>7428</v>
      </c>
      <c r="L1480" s="32" t="s">
        <v>7429</v>
      </c>
      <c r="M1480" s="32" t="s">
        <v>205</v>
      </c>
      <c r="N1480" s="33">
        <v>10</v>
      </c>
      <c r="O1480" s="35">
        <v>45977</v>
      </c>
      <c r="P1480" s="35">
        <v>45986</v>
      </c>
      <c r="Q1480" s="37"/>
      <c r="R1480" s="38"/>
      <c r="S1480" s="33"/>
      <c r="T1480" s="39">
        <v>375000</v>
      </c>
      <c r="U1480" s="40" t="s">
        <v>61</v>
      </c>
      <c r="V1480" s="41"/>
      <c r="W1480" s="42" t="str">
        <f ca="1">IFERROR(__xludf.DUMMYFUNCTION("""COMPUTED_VALUE"""),"Pijat Terapi")</f>
        <v>Pijat Terapi</v>
      </c>
      <c r="X1480" s="42" t="str">
        <f ca="1"/>
        <v>ON-Pijat Terapi-00011900+10-6285255452796</v>
      </c>
      <c r="Y1480" s="40" t="s">
        <v>62</v>
      </c>
      <c r="Z1480" s="40" t="s">
        <v>639</v>
      </c>
      <c r="AA1480" s="23" t="str">
        <v>https://wa.me/6285255452796</v>
      </c>
      <c r="AB1480" s="28" t="s">
        <v>7946</v>
      </c>
      <c r="AC1480" s="28"/>
      <c r="AD1480" s="28" t="s">
        <v>690</v>
      </c>
      <c r="AE1480" s="28"/>
      <c r="AF1480" s="29"/>
      <c r="AG1480" s="29"/>
    </row>
    <row r="1481" spans="1:33" ht="15.75" customHeight="1">
      <c r="A1481" s="32" t="s">
        <v>52</v>
      </c>
      <c r="B1481" s="33">
        <v>1510</v>
      </c>
      <c r="C1481" s="34" t="s">
        <v>7947</v>
      </c>
      <c r="D1481" s="35">
        <v>45974.74534256944</v>
      </c>
      <c r="E1481" s="43">
        <v>45973</v>
      </c>
      <c r="F1481" s="32" t="s">
        <v>4575</v>
      </c>
      <c r="G1481" s="32" t="s">
        <v>4576</v>
      </c>
      <c r="H1481" s="32" t="s">
        <v>409</v>
      </c>
      <c r="I1481" s="36" t="s">
        <v>4577</v>
      </c>
      <c r="J1481" s="52"/>
      <c r="K1481" s="32" t="s">
        <v>4578</v>
      </c>
      <c r="L1481" s="32" t="s">
        <v>284</v>
      </c>
      <c r="M1481" s="32" t="s">
        <v>285</v>
      </c>
      <c r="N1481" s="33">
        <v>14</v>
      </c>
      <c r="O1481" s="35"/>
      <c r="P1481" s="35"/>
      <c r="Q1481" s="37"/>
      <c r="R1481" s="38"/>
      <c r="S1481" s="33"/>
      <c r="T1481" s="39">
        <v>550000</v>
      </c>
      <c r="U1481" s="40" t="s">
        <v>1229</v>
      </c>
      <c r="V1481" s="41"/>
      <c r="W1481" s="42" t="str">
        <f ca="1">IFERROR(__xludf.DUMMYFUNCTION("""COMPUTED_VALUE"""),"PT Muria")</f>
        <v>PT Muria</v>
      </c>
      <c r="X1481" s="42" t="str">
        <f ca="1"/>
        <v>ON-PT Muria-00011900+14-628119913004</v>
      </c>
      <c r="Y1481" s="40"/>
      <c r="Z1481" s="40"/>
      <c r="AA1481" s="23" t="str">
        <v>https://wa.me/628119913004</v>
      </c>
      <c r="AB1481" s="28"/>
      <c r="AC1481" s="28"/>
      <c r="AD1481" s="28"/>
      <c r="AE1481" s="28"/>
      <c r="AF1481" s="29"/>
      <c r="AG1481" s="29"/>
    </row>
    <row r="1482" spans="1:33" ht="15.75" customHeight="1">
      <c r="A1482" s="32" t="s">
        <v>52</v>
      </c>
      <c r="B1482" s="33">
        <v>1511</v>
      </c>
      <c r="C1482" s="34" t="s">
        <v>7671</v>
      </c>
      <c r="D1482" s="35">
        <v>45974.757220763888</v>
      </c>
      <c r="E1482" s="43">
        <v>45974</v>
      </c>
      <c r="F1482" s="32" t="s">
        <v>4393</v>
      </c>
      <c r="G1482" s="32" t="s">
        <v>7483</v>
      </c>
      <c r="H1482" s="32" t="s">
        <v>7484</v>
      </c>
      <c r="I1482" s="36" t="s">
        <v>7485</v>
      </c>
      <c r="J1482" s="52"/>
      <c r="K1482" s="32" t="s">
        <v>7486</v>
      </c>
      <c r="L1482" s="32" t="s">
        <v>360</v>
      </c>
      <c r="M1482" s="32" t="s">
        <v>382</v>
      </c>
      <c r="N1482" s="33">
        <v>7</v>
      </c>
      <c r="O1482" s="35"/>
      <c r="P1482" s="35"/>
      <c r="Q1482" s="37"/>
      <c r="R1482" s="38"/>
      <c r="S1482" s="33"/>
      <c r="T1482" s="39">
        <v>297000</v>
      </c>
      <c r="U1482" s="40" t="s">
        <v>115</v>
      </c>
      <c r="V1482" s="41"/>
      <c r="W1482" s="42" t="str">
        <f ca="1">IFERROR(__xludf.DUMMYFUNCTION("""COMPUTED_VALUE"""),"Samudra Creatif")</f>
        <v>Samudra Creatif</v>
      </c>
      <c r="X1482" s="42" t="str">
        <f ca="1"/>
        <v>ON-Samudra Creatif-00011900+7-6282147314512</v>
      </c>
      <c r="Y1482" s="40"/>
      <c r="Z1482" s="40"/>
      <c r="AA1482" s="23" t="str">
        <v>https://wa.me/6282147314512</v>
      </c>
      <c r="AB1482" s="28"/>
      <c r="AC1482" s="28"/>
      <c r="AD1482" s="28"/>
      <c r="AE1482" s="28"/>
      <c r="AF1482" s="29"/>
      <c r="AG1482" s="29"/>
    </row>
    <row r="1483" spans="1:33" ht="15.75" customHeight="1">
      <c r="A1483" s="32" t="s">
        <v>196</v>
      </c>
      <c r="B1483" s="33">
        <v>1513</v>
      </c>
      <c r="C1483" s="34" t="s">
        <v>7686</v>
      </c>
      <c r="D1483" s="35">
        <v>45976.477886527777</v>
      </c>
      <c r="E1483" s="43">
        <v>45975</v>
      </c>
      <c r="F1483" s="32" t="s">
        <v>7948</v>
      </c>
      <c r="G1483" s="32" t="s">
        <v>7949</v>
      </c>
      <c r="H1483" s="32" t="s">
        <v>7950</v>
      </c>
      <c r="I1483" s="36" t="s">
        <v>7951</v>
      </c>
      <c r="J1483" s="52"/>
      <c r="K1483" s="32" t="s">
        <v>7952</v>
      </c>
      <c r="L1483" s="32" t="s">
        <v>1542</v>
      </c>
      <c r="M1483" s="32" t="s">
        <v>60</v>
      </c>
      <c r="N1483" s="33">
        <v>14</v>
      </c>
      <c r="O1483" s="35">
        <v>45977</v>
      </c>
      <c r="P1483" s="35">
        <v>45990</v>
      </c>
      <c r="Q1483" s="37"/>
      <c r="R1483" s="38"/>
      <c r="S1483" s="33"/>
      <c r="T1483" s="39">
        <v>550000</v>
      </c>
      <c r="U1483" s="40" t="s">
        <v>61</v>
      </c>
      <c r="V1483" s="41"/>
      <c r="W1483" s="42" t="str">
        <f ca="1">IFERROR(__xludf.DUMMYFUNCTION("""COMPUTED_VALUE"""),"Sinar Gorden")</f>
        <v>Sinar Gorden</v>
      </c>
      <c r="X1483" s="42" t="str">
        <f ca="1"/>
        <v>ON-Sinar Gorden-00011900+14-628156626447</v>
      </c>
      <c r="Y1483" s="40" t="s">
        <v>62</v>
      </c>
      <c r="Z1483" s="40" t="s">
        <v>1465</v>
      </c>
      <c r="AA1483" s="23" t="str">
        <v>https://wa.me/628156626447</v>
      </c>
      <c r="AB1483" s="28" t="s">
        <v>7953</v>
      </c>
      <c r="AC1483" s="28"/>
      <c r="AD1483" s="28" t="s">
        <v>690</v>
      </c>
      <c r="AE1483" s="28"/>
      <c r="AF1483" s="29"/>
      <c r="AG1483" s="29"/>
    </row>
    <row r="1484" spans="1:33" ht="15.75" customHeight="1">
      <c r="A1484" s="32" t="s">
        <v>52</v>
      </c>
      <c r="B1484" s="33">
        <v>1512</v>
      </c>
      <c r="C1484" s="34" t="s">
        <v>7954</v>
      </c>
      <c r="D1484" s="35">
        <v>45976.467631400461</v>
      </c>
      <c r="E1484" s="43">
        <v>45976</v>
      </c>
      <c r="F1484" s="32" t="s">
        <v>738</v>
      </c>
      <c r="G1484" s="32" t="s">
        <v>739</v>
      </c>
      <c r="H1484" s="32" t="s">
        <v>740</v>
      </c>
      <c r="I1484" s="36" t="s">
        <v>741</v>
      </c>
      <c r="J1484" s="52"/>
      <c r="K1484" s="32" t="s">
        <v>1262</v>
      </c>
      <c r="L1484" s="32" t="s">
        <v>629</v>
      </c>
      <c r="M1484" s="32" t="s">
        <v>743</v>
      </c>
      <c r="N1484" s="33">
        <v>14</v>
      </c>
      <c r="O1484" s="35"/>
      <c r="P1484" s="35"/>
      <c r="Q1484" s="37"/>
      <c r="R1484" s="38"/>
      <c r="S1484" s="33"/>
      <c r="T1484" s="39">
        <v>500000</v>
      </c>
      <c r="U1484" s="40" t="s">
        <v>115</v>
      </c>
      <c r="V1484" s="41"/>
      <c r="W1484" s="42" t="str">
        <f ca="1">IFERROR(__xludf.DUMMYFUNCTION("""COMPUTED_VALUE"""),"PT. Panorama")</f>
        <v>PT. Panorama</v>
      </c>
      <c r="X1484" s="42" t="str">
        <f ca="1"/>
        <v>ON-PT. Panorama-00011900+14-628122102657</v>
      </c>
      <c r="Y1484" s="40"/>
      <c r="Z1484" s="40"/>
      <c r="AA1484" s="23" t="str">
        <v>https://wa.me/628122102657</v>
      </c>
      <c r="AB1484" s="28"/>
      <c r="AC1484" s="28"/>
      <c r="AD1484" s="28"/>
      <c r="AE1484" s="28"/>
      <c r="AF1484" s="29"/>
      <c r="AG1484" s="29"/>
    </row>
    <row r="1485" spans="1:33" ht="15.75" customHeight="1">
      <c r="A1485" s="32" t="s">
        <v>196</v>
      </c>
      <c r="B1485" s="33">
        <v>1518</v>
      </c>
      <c r="C1485" s="34" t="s">
        <v>7955</v>
      </c>
      <c r="D1485" s="35">
        <v>45976.568800335648</v>
      </c>
      <c r="E1485" s="43">
        <v>45975</v>
      </c>
      <c r="F1485" s="32" t="s">
        <v>7956</v>
      </c>
      <c r="G1485" s="32" t="s">
        <v>7957</v>
      </c>
      <c r="H1485" s="32" t="s">
        <v>7958</v>
      </c>
      <c r="I1485" s="36" t="s">
        <v>7959</v>
      </c>
      <c r="J1485" s="52"/>
      <c r="K1485" s="32" t="s">
        <v>7960</v>
      </c>
      <c r="L1485" s="32" t="s">
        <v>679</v>
      </c>
      <c r="M1485" s="32" t="s">
        <v>92</v>
      </c>
      <c r="N1485" s="33">
        <v>7</v>
      </c>
      <c r="O1485" s="35">
        <v>45978</v>
      </c>
      <c r="P1485" s="35">
        <v>45984</v>
      </c>
      <c r="Q1485" s="37"/>
      <c r="R1485" s="38"/>
      <c r="S1485" s="33"/>
      <c r="T1485" s="39">
        <v>297000</v>
      </c>
      <c r="U1485" s="40" t="s">
        <v>1229</v>
      </c>
      <c r="V1485" s="41"/>
      <c r="W1485" s="42" t="str">
        <f ca="1">IFERROR(__xludf.DUMMYFUNCTION("""COMPUTED_VALUE"""),"AF chemy")</f>
        <v>AF chemy</v>
      </c>
      <c r="X1485" s="42" t="str">
        <f ca="1"/>
        <v>ON-AF chemy-00011900+7-6282213959236</v>
      </c>
      <c r="Y1485" s="40" t="s">
        <v>62</v>
      </c>
      <c r="Z1485" s="40" t="s">
        <v>294</v>
      </c>
      <c r="AA1485" s="23" t="str">
        <v>https://wa.me/6282213959236</v>
      </c>
      <c r="AB1485" s="28" t="s">
        <v>7961</v>
      </c>
      <c r="AC1485" s="28"/>
      <c r="AD1485" s="28" t="s">
        <v>690</v>
      </c>
      <c r="AE1485" s="28"/>
      <c r="AF1485" s="29"/>
      <c r="AG1485" s="29"/>
    </row>
    <row r="1486" spans="1:33" ht="15.75" customHeight="1">
      <c r="A1486" s="32" t="s">
        <v>52</v>
      </c>
      <c r="B1486" s="33">
        <v>1514</v>
      </c>
      <c r="C1486" s="34" t="s">
        <v>7962</v>
      </c>
      <c r="D1486" s="35">
        <v>45976.478347800927</v>
      </c>
      <c r="E1486" s="43">
        <v>45975</v>
      </c>
      <c r="F1486" s="32" t="s">
        <v>5534</v>
      </c>
      <c r="G1486" s="32" t="s">
        <v>5535</v>
      </c>
      <c r="H1486" s="32" t="s">
        <v>5536</v>
      </c>
      <c r="I1486" s="36" t="s">
        <v>5537</v>
      </c>
      <c r="J1486" s="52"/>
      <c r="K1486" s="32" t="s">
        <v>5709</v>
      </c>
      <c r="L1486" s="32" t="s">
        <v>1008</v>
      </c>
      <c r="M1486" s="32" t="s">
        <v>60</v>
      </c>
      <c r="N1486" s="33">
        <v>7</v>
      </c>
      <c r="O1486" s="35"/>
      <c r="P1486" s="35"/>
      <c r="Q1486" s="37"/>
      <c r="R1486" s="38"/>
      <c r="S1486" s="33"/>
      <c r="T1486" s="39">
        <v>297000</v>
      </c>
      <c r="U1486" s="40" t="s">
        <v>61</v>
      </c>
      <c r="V1486" s="41"/>
      <c r="W1486" s="42" t="str">
        <f ca="1">IFERROR(__xludf.DUMMYFUNCTION("""COMPUTED_VALUE"""),"Rumah Sehat")</f>
        <v>Rumah Sehat</v>
      </c>
      <c r="X1486" s="42" t="str">
        <f ca="1"/>
        <v>ON-Rumah Sehat-00011900+7-6281316122975</v>
      </c>
      <c r="Y1486" s="40"/>
      <c r="Z1486" s="40"/>
      <c r="AA1486" s="23" t="str">
        <v>https://wa.me/6281316122975</v>
      </c>
      <c r="AB1486" s="28"/>
      <c r="AC1486" s="28"/>
      <c r="AD1486" s="28"/>
      <c r="AE1486" s="28"/>
      <c r="AF1486" s="29"/>
      <c r="AG1486" s="29"/>
    </row>
    <row r="1487" spans="1:33" ht="15.75" customHeight="1">
      <c r="A1487" s="32" t="s">
        <v>52</v>
      </c>
      <c r="B1487" s="33">
        <v>1515</v>
      </c>
      <c r="C1487" s="34" t="s">
        <v>7891</v>
      </c>
      <c r="D1487" s="35">
        <v>45976.478549201391</v>
      </c>
      <c r="E1487" s="43">
        <v>45975</v>
      </c>
      <c r="F1487" s="32" t="s">
        <v>6242</v>
      </c>
      <c r="G1487" s="32" t="s">
        <v>6243</v>
      </c>
      <c r="H1487" s="32" t="s">
        <v>6244</v>
      </c>
      <c r="I1487" s="36" t="s">
        <v>6245</v>
      </c>
      <c r="J1487" s="52"/>
      <c r="K1487" s="32" t="s">
        <v>6246</v>
      </c>
      <c r="L1487" s="32" t="s">
        <v>4783</v>
      </c>
      <c r="M1487" s="32" t="s">
        <v>5492</v>
      </c>
      <c r="N1487" s="33">
        <v>5</v>
      </c>
      <c r="O1487" s="35"/>
      <c r="P1487" s="35"/>
      <c r="Q1487" s="37"/>
      <c r="R1487" s="38"/>
      <c r="S1487" s="33"/>
      <c r="T1487" s="39">
        <v>197000</v>
      </c>
      <c r="U1487" s="40" t="s">
        <v>61</v>
      </c>
      <c r="V1487" s="41"/>
      <c r="W1487" s="42" t="str">
        <f ca="1">IFERROR(__xludf.DUMMYFUNCTION("""COMPUTED_VALUE"""),"Rizky Contruksi")</f>
        <v>Rizky Contruksi</v>
      </c>
      <c r="X1487" s="42" t="str">
        <f ca="1"/>
        <v>ON-Rizky Contruksi-00011900+5-6282160889408</v>
      </c>
      <c r="Y1487" s="40"/>
      <c r="Z1487" s="40"/>
      <c r="AA1487" s="23" t="str">
        <v>https://wa.me/6282160889408</v>
      </c>
      <c r="AB1487" s="28"/>
      <c r="AC1487" s="28"/>
      <c r="AD1487" s="28"/>
      <c r="AE1487" s="28"/>
      <c r="AF1487" s="29"/>
      <c r="AG1487" s="29"/>
    </row>
    <row r="1488" spans="1:33" ht="15.75" customHeight="1">
      <c r="A1488" s="32"/>
      <c r="B1488" s="33">
        <v>1517</v>
      </c>
      <c r="C1488" s="34" t="s">
        <v>7708</v>
      </c>
      <c r="D1488" s="35">
        <v>45976.566964618054</v>
      </c>
      <c r="E1488" s="43">
        <v>45976</v>
      </c>
      <c r="F1488" s="32" t="s">
        <v>4306</v>
      </c>
      <c r="G1488" s="32" t="s">
        <v>7963</v>
      </c>
      <c r="H1488" s="32" t="s">
        <v>7964</v>
      </c>
      <c r="I1488" s="36" t="s">
        <v>7965</v>
      </c>
      <c r="J1488" s="52" t="s">
        <v>4307</v>
      </c>
      <c r="K1488" s="32"/>
      <c r="L1488" s="32"/>
      <c r="M1488" s="32"/>
      <c r="N1488" s="33">
        <v>5</v>
      </c>
      <c r="O1488" s="35"/>
      <c r="P1488" s="35"/>
      <c r="Q1488" s="37"/>
      <c r="R1488" s="38"/>
      <c r="S1488" s="33"/>
      <c r="T1488" s="39"/>
      <c r="U1488" s="40"/>
      <c r="V1488" s="41"/>
      <c r="W1488" s="42" t="str">
        <f ca="1">IFERROR(__xludf.DUMMYFUNCTION("""COMPUTED_VALUE"""),"Pengobatan alternatif")</f>
        <v>Pengobatan alternatif</v>
      </c>
      <c r="X1488" s="42" t="str">
        <f ca="1"/>
        <v>ON-Pengobatan alternatif-00011900+5-628137914558</v>
      </c>
      <c r="Y1488" s="40" t="s">
        <v>62</v>
      </c>
      <c r="Z1488" s="40" t="s">
        <v>639</v>
      </c>
      <c r="AA1488" s="23" t="str">
        <v>https://wa.me/628137914558</v>
      </c>
      <c r="AB1488" s="28"/>
      <c r="AC1488" s="28"/>
      <c r="AD1488" s="28"/>
      <c r="AE1488" s="28"/>
      <c r="AF1488" s="29"/>
      <c r="AG1488" s="29"/>
    </row>
    <row r="1489" spans="1:33" ht="15.75" customHeight="1">
      <c r="A1489" s="32" t="s">
        <v>196</v>
      </c>
      <c r="B1489" s="33">
        <v>1516</v>
      </c>
      <c r="C1489" s="34" t="s">
        <v>7966</v>
      </c>
      <c r="D1489" s="35">
        <v>45976</v>
      </c>
      <c r="E1489" s="43">
        <v>45976</v>
      </c>
      <c r="F1489" s="32" t="s">
        <v>7967</v>
      </c>
      <c r="G1489" s="32" t="s">
        <v>7968</v>
      </c>
      <c r="H1489" s="32" t="s">
        <v>7969</v>
      </c>
      <c r="I1489" s="36" t="s">
        <v>1401</v>
      </c>
      <c r="J1489" s="52"/>
      <c r="K1489" s="32" t="s">
        <v>1024</v>
      </c>
      <c r="L1489" s="32" t="s">
        <v>7970</v>
      </c>
      <c r="M1489" s="32" t="s">
        <v>285</v>
      </c>
      <c r="N1489" s="33">
        <v>5</v>
      </c>
      <c r="O1489" s="35">
        <v>45979</v>
      </c>
      <c r="P1489" s="35">
        <v>45983</v>
      </c>
      <c r="Q1489" s="37"/>
      <c r="R1489" s="38"/>
      <c r="S1489" s="33"/>
      <c r="T1489" s="39">
        <v>197000</v>
      </c>
      <c r="U1489" s="40" t="s">
        <v>1229</v>
      </c>
      <c r="V1489" s="47">
        <v>45979.262572418986</v>
      </c>
      <c r="W1489" s="42" t="str">
        <f ca="1">IFERROR(__xludf.DUMMYFUNCTION("""COMPUTED_VALUE"""),"Bispa (")</f>
        <v>Bispa (</v>
      </c>
      <c r="X1489" s="42" t="str">
        <f ca="1"/>
        <v>ON-Bispa (-18112025+5-6285974999484</v>
      </c>
      <c r="Y1489" s="40" t="s">
        <v>62</v>
      </c>
      <c r="Z1489" s="40" t="s">
        <v>1404</v>
      </c>
      <c r="AA1489" s="23" t="str">
        <v>https://wa.me/6285974999484</v>
      </c>
      <c r="AB1489" s="28" t="s">
        <v>7971</v>
      </c>
      <c r="AC1489" s="28"/>
      <c r="AD1489" s="28" t="s">
        <v>690</v>
      </c>
      <c r="AE1489" s="28"/>
      <c r="AF1489" s="29"/>
      <c r="AG1489" s="29"/>
    </row>
    <row r="1490" spans="1:33" ht="15.75" customHeight="1">
      <c r="A1490" s="32" t="s">
        <v>196</v>
      </c>
      <c r="B1490" s="33">
        <v>1519</v>
      </c>
      <c r="C1490" s="34" t="s">
        <v>7694</v>
      </c>
      <c r="D1490" s="35">
        <v>45976.590235393523</v>
      </c>
      <c r="E1490" s="43">
        <v>45976</v>
      </c>
      <c r="F1490" s="32" t="s">
        <v>4306</v>
      </c>
      <c r="G1490" s="32" t="s">
        <v>7963</v>
      </c>
      <c r="H1490" s="32" t="s">
        <v>7964</v>
      </c>
      <c r="I1490" s="36" t="s">
        <v>7965</v>
      </c>
      <c r="J1490" s="52" t="s">
        <v>4307</v>
      </c>
      <c r="K1490" s="32" t="s">
        <v>7972</v>
      </c>
      <c r="L1490" s="32" t="s">
        <v>3462</v>
      </c>
      <c r="M1490" s="32" t="s">
        <v>382</v>
      </c>
      <c r="N1490" s="33">
        <v>5</v>
      </c>
      <c r="O1490" s="35">
        <v>45979</v>
      </c>
      <c r="P1490" s="35">
        <v>45983</v>
      </c>
      <c r="Q1490" s="37"/>
      <c r="R1490" s="38"/>
      <c r="S1490" s="33"/>
      <c r="T1490" s="39">
        <v>197000</v>
      </c>
      <c r="U1490" s="40" t="s">
        <v>1774</v>
      </c>
      <c r="V1490" s="41"/>
      <c r="W1490" s="42" t="str">
        <f ca="1">IFERROR(__xludf.DUMMYFUNCTION("""COMPUTED_VALUE"""),"Pengobatan alternatif")</f>
        <v>Pengobatan alternatif</v>
      </c>
      <c r="X1490" s="42" t="str">
        <f ca="1"/>
        <v>ON-Pengobatan alternatif-00011900+5-628137914558</v>
      </c>
      <c r="Y1490" s="40" t="s">
        <v>62</v>
      </c>
      <c r="Z1490" s="40" t="s">
        <v>639</v>
      </c>
      <c r="AA1490" s="23" t="str">
        <v>https://wa.me/628137914558</v>
      </c>
      <c r="AB1490" s="28" t="s">
        <v>7973</v>
      </c>
      <c r="AC1490" s="28"/>
      <c r="AD1490" s="28" t="s">
        <v>690</v>
      </c>
      <c r="AE1490" s="28"/>
      <c r="AF1490" s="29"/>
      <c r="AG1490" s="29"/>
    </row>
    <row r="1491" spans="1:33" ht="15.75" customHeight="1">
      <c r="A1491" s="32" t="s">
        <v>196</v>
      </c>
      <c r="B1491" s="33">
        <v>1520</v>
      </c>
      <c r="C1491" s="34" t="s">
        <v>7974</v>
      </c>
      <c r="D1491" s="35">
        <v>45976.616874120373</v>
      </c>
      <c r="E1491" s="43">
        <v>45976</v>
      </c>
      <c r="F1491" s="32" t="s">
        <v>7975</v>
      </c>
      <c r="G1491" s="32" t="s">
        <v>7976</v>
      </c>
      <c r="H1491" s="32" t="s">
        <v>588</v>
      </c>
      <c r="I1491" s="36" t="s">
        <v>7977</v>
      </c>
      <c r="J1491" s="52"/>
      <c r="K1491" s="32" t="s">
        <v>7978</v>
      </c>
      <c r="L1491" s="32" t="s">
        <v>3686</v>
      </c>
      <c r="M1491" s="32" t="s">
        <v>726</v>
      </c>
      <c r="N1491" s="33">
        <v>7</v>
      </c>
      <c r="O1491" s="35">
        <v>45979</v>
      </c>
      <c r="P1491" s="35">
        <v>45985</v>
      </c>
      <c r="Q1491" s="37"/>
      <c r="R1491" s="38"/>
      <c r="S1491" s="33"/>
      <c r="T1491" s="39">
        <v>297000</v>
      </c>
      <c r="U1491" s="40" t="s">
        <v>1774</v>
      </c>
      <c r="V1491" s="41"/>
      <c r="W1491" s="42" t="str">
        <f ca="1">IFERROR(__xludf.DUMMYFUNCTION("""COMPUTED_VALUE"""),"Artekelasik")</f>
        <v>Artekelasik</v>
      </c>
      <c r="X1491" s="42" t="str">
        <f ca="1"/>
        <v>ON-Artekelasik-00011900+7-6288210583484</v>
      </c>
      <c r="Y1491" s="40" t="s">
        <v>293</v>
      </c>
      <c r="Z1491" s="40" t="s">
        <v>1057</v>
      </c>
      <c r="AA1491" s="23" t="str">
        <v>https://wa.me/6288210583484</v>
      </c>
      <c r="AB1491" s="28" t="s">
        <v>7979</v>
      </c>
      <c r="AC1491" s="28"/>
      <c r="AD1491" s="28" t="s">
        <v>690</v>
      </c>
      <c r="AE1491" s="28"/>
      <c r="AF1491" s="29"/>
      <c r="AG1491" s="29"/>
    </row>
    <row r="1492" spans="1:33" ht="15.75" customHeight="1">
      <c r="A1492" s="32" t="s">
        <v>52</v>
      </c>
      <c r="B1492" s="33">
        <v>1522</v>
      </c>
      <c r="C1492" s="34" t="s">
        <v>7980</v>
      </c>
      <c r="D1492" s="35">
        <v>45976.803205347227</v>
      </c>
      <c r="E1492" s="43">
        <v>45976</v>
      </c>
      <c r="F1492" s="32" t="s">
        <v>7617</v>
      </c>
      <c r="G1492" s="32" t="s">
        <v>7981</v>
      </c>
      <c r="H1492" s="32" t="s">
        <v>7619</v>
      </c>
      <c r="I1492" s="36" t="s">
        <v>7620</v>
      </c>
      <c r="J1492" s="52"/>
      <c r="K1492" s="32" t="s">
        <v>7982</v>
      </c>
      <c r="L1492" s="32" t="s">
        <v>7983</v>
      </c>
      <c r="M1492" s="32" t="s">
        <v>5288</v>
      </c>
      <c r="N1492" s="33">
        <v>10</v>
      </c>
      <c r="O1492" s="35"/>
      <c r="P1492" s="35"/>
      <c r="Q1492" s="37"/>
      <c r="R1492" s="38"/>
      <c r="S1492" s="33"/>
      <c r="T1492" s="39">
        <v>375000</v>
      </c>
      <c r="U1492" s="40"/>
      <c r="V1492" s="41"/>
      <c r="W1492" s="42" t="str">
        <f ca="1">IFERROR(__xludf.DUMMYFUNCTION("""COMPUTED_VALUE"""),"Rumah Asri")</f>
        <v>Rumah Asri</v>
      </c>
      <c r="X1492" s="42" t="str">
        <f ca="1"/>
        <v>ON-Rumah Asri-00011900+10-6282315459098</v>
      </c>
      <c r="Y1492" s="40"/>
      <c r="Z1492" s="40"/>
      <c r="AA1492" s="23" t="str">
        <v>https://wa.me/6282315459098</v>
      </c>
      <c r="AB1492" s="28"/>
      <c r="AC1492" s="28"/>
      <c r="AD1492" s="28"/>
      <c r="AE1492" s="28"/>
      <c r="AF1492" s="29"/>
      <c r="AG1492" s="29"/>
    </row>
    <row r="1493" spans="1:33" ht="15.75" customHeight="1">
      <c r="A1493" s="32" t="s">
        <v>52</v>
      </c>
      <c r="B1493" s="33">
        <v>1523</v>
      </c>
      <c r="C1493" s="34" t="s">
        <v>7716</v>
      </c>
      <c r="D1493" s="35">
        <v>45976.803876122685</v>
      </c>
      <c r="E1493" s="43">
        <v>45966</v>
      </c>
      <c r="F1493" s="32" t="s">
        <v>7617</v>
      </c>
      <c r="G1493" s="32" t="s">
        <v>7981</v>
      </c>
      <c r="H1493" s="32" t="s">
        <v>7619</v>
      </c>
      <c r="I1493" s="36" t="s">
        <v>7620</v>
      </c>
      <c r="J1493" s="52"/>
      <c r="K1493" s="32" t="s">
        <v>7982</v>
      </c>
      <c r="L1493" s="32" t="s">
        <v>7983</v>
      </c>
      <c r="M1493" s="32" t="s">
        <v>5288</v>
      </c>
      <c r="N1493" s="33">
        <v>10</v>
      </c>
      <c r="O1493" s="35"/>
      <c r="P1493" s="35"/>
      <c r="Q1493" s="37"/>
      <c r="R1493" s="38"/>
      <c r="S1493" s="33"/>
      <c r="T1493" s="39">
        <v>375000</v>
      </c>
      <c r="U1493" s="40"/>
      <c r="V1493" s="41"/>
      <c r="W1493" s="42" t="str">
        <f ca="1">IFERROR(__xludf.DUMMYFUNCTION("""COMPUTED_VALUE"""),"Rumah Asri")</f>
        <v>Rumah Asri</v>
      </c>
      <c r="X1493" s="42" t="str">
        <f ca="1"/>
        <v>ON-Rumah Asri-00011900+10-6282315459098</v>
      </c>
      <c r="Y1493" s="40"/>
      <c r="Z1493" s="40"/>
      <c r="AA1493" s="23" t="str">
        <v>https://wa.me/6282315459098</v>
      </c>
      <c r="AB1493" s="28"/>
      <c r="AC1493" s="28"/>
      <c r="AD1493" s="28"/>
      <c r="AE1493" s="28"/>
      <c r="AF1493" s="29"/>
      <c r="AG1493" s="29"/>
    </row>
    <row r="1494" spans="1:33" ht="15.75" customHeight="1">
      <c r="A1494" s="32" t="s">
        <v>196</v>
      </c>
      <c r="B1494" s="33">
        <v>964</v>
      </c>
      <c r="C1494" s="34" t="s">
        <v>7984</v>
      </c>
      <c r="D1494" s="35">
        <v>45978</v>
      </c>
      <c r="E1494" s="43">
        <v>45912</v>
      </c>
      <c r="F1494" s="32" t="s">
        <v>5939</v>
      </c>
      <c r="G1494" s="32" t="s">
        <v>5940</v>
      </c>
      <c r="H1494" s="32" t="s">
        <v>5941</v>
      </c>
      <c r="I1494" s="36" t="s">
        <v>5942</v>
      </c>
      <c r="J1494" s="52" t="s">
        <v>7985</v>
      </c>
      <c r="K1494" s="32" t="s">
        <v>7986</v>
      </c>
      <c r="L1494" s="32" t="s">
        <v>4068</v>
      </c>
      <c r="M1494" s="32" t="s">
        <v>60</v>
      </c>
      <c r="N1494" s="33">
        <v>7</v>
      </c>
      <c r="O1494" s="35"/>
      <c r="P1494" s="35"/>
      <c r="Q1494" s="37"/>
      <c r="R1494" s="38"/>
      <c r="S1494" s="33"/>
      <c r="T1494" s="39">
        <v>297000</v>
      </c>
      <c r="U1494" s="40" t="s">
        <v>61</v>
      </c>
      <c r="V1494" s="47">
        <v>45979.266650150465</v>
      </c>
      <c r="W1494" s="42" t="str">
        <f ca="1">IFERROR(__xludf.DUMMYFUNCTION("""COMPUTED_VALUE"""),"Jaya Baja")</f>
        <v>Jaya Baja</v>
      </c>
      <c r="X1494" s="42" t="str">
        <f ca="1"/>
        <v>ON-Jaya Baja-18112025+7-6282133932170</v>
      </c>
      <c r="Y1494" s="40" t="s">
        <v>293</v>
      </c>
      <c r="Z1494" s="40" t="s">
        <v>1057</v>
      </c>
      <c r="AA1494" s="23" t="str">
        <v>https://wa.me/6282133932170</v>
      </c>
      <c r="AB1494" s="28" t="s">
        <v>7987</v>
      </c>
      <c r="AC1494" s="28"/>
      <c r="AD1494" s="28" t="s">
        <v>690</v>
      </c>
      <c r="AE1494" s="28"/>
      <c r="AF1494" s="29">
        <v>45915</v>
      </c>
      <c r="AG1494" s="29"/>
    </row>
    <row r="1495" spans="1:33" ht="15.75" customHeight="1">
      <c r="A1495" s="32" t="s">
        <v>196</v>
      </c>
      <c r="B1495" s="33">
        <v>1526</v>
      </c>
      <c r="C1495" s="34" t="s">
        <v>7624</v>
      </c>
      <c r="D1495" s="35">
        <v>45978.23281652778</v>
      </c>
      <c r="E1495" s="43">
        <v>45977</v>
      </c>
      <c r="F1495" s="32" t="s">
        <v>7425</v>
      </c>
      <c r="G1495" s="32" t="s">
        <v>7988</v>
      </c>
      <c r="H1495" s="32" t="s">
        <v>7989</v>
      </c>
      <c r="I1495" s="36" t="s">
        <v>7990</v>
      </c>
      <c r="J1495" s="52" t="s">
        <v>2508</v>
      </c>
      <c r="K1495" s="32" t="s">
        <v>7991</v>
      </c>
      <c r="L1495" s="32" t="s">
        <v>2468</v>
      </c>
      <c r="M1495" s="32" t="s">
        <v>60</v>
      </c>
      <c r="N1495" s="33">
        <v>7</v>
      </c>
      <c r="O1495" s="35">
        <v>45980</v>
      </c>
      <c r="P1495" s="35">
        <v>45986</v>
      </c>
      <c r="Q1495" s="37"/>
      <c r="R1495" s="38"/>
      <c r="S1495" s="33"/>
      <c r="T1495" s="39">
        <v>297000</v>
      </c>
      <c r="U1495" s="40" t="s">
        <v>61</v>
      </c>
      <c r="V1495" s="41"/>
      <c r="W1495" s="42" t="str">
        <f ca="1">IFERROR(__xludf.DUMMYFUNCTION("""COMPUTED_VALUE"""),"Usman Cleaning")</f>
        <v>Usman Cleaning</v>
      </c>
      <c r="X1495" s="42" t="str">
        <f ca="1"/>
        <v>ON-Usman Cleaning-00011900+7-6288971067899</v>
      </c>
      <c r="Y1495" s="40" t="s">
        <v>62</v>
      </c>
      <c r="Z1495" s="40" t="s">
        <v>1465</v>
      </c>
      <c r="AA1495" s="23" t="str">
        <v>https://wa.me/6288971067899</v>
      </c>
      <c r="AB1495" s="28" t="s">
        <v>7992</v>
      </c>
      <c r="AC1495" s="28"/>
      <c r="AD1495" s="28" t="s">
        <v>690</v>
      </c>
      <c r="AE1495" s="28"/>
      <c r="AF1495" s="29"/>
      <c r="AG1495" s="29"/>
    </row>
    <row r="1496" spans="1:33" ht="15.75" customHeight="1">
      <c r="A1496" s="32" t="s">
        <v>196</v>
      </c>
      <c r="B1496" s="33">
        <v>1539</v>
      </c>
      <c r="C1496" s="33" t="s">
        <v>7993</v>
      </c>
      <c r="D1496" s="33" t="s">
        <v>7994</v>
      </c>
      <c r="E1496" s="43"/>
      <c r="F1496" s="32" t="s">
        <v>5939</v>
      </c>
      <c r="G1496" s="32" t="s">
        <v>7995</v>
      </c>
      <c r="H1496" s="32" t="s">
        <v>5941</v>
      </c>
      <c r="I1496" s="32">
        <v>6282133932170</v>
      </c>
      <c r="J1496" s="52"/>
      <c r="K1496" s="32" t="s">
        <v>7996</v>
      </c>
      <c r="L1496" s="32" t="s">
        <v>4068</v>
      </c>
      <c r="M1496" s="32" t="s">
        <v>60</v>
      </c>
      <c r="N1496" s="33">
        <v>5</v>
      </c>
      <c r="O1496" s="59"/>
      <c r="P1496" s="59"/>
      <c r="Q1496" s="33"/>
      <c r="R1496" s="38">
        <v>-1003470351325</v>
      </c>
      <c r="S1496" s="33"/>
      <c r="T1496" s="60">
        <v>197000</v>
      </c>
      <c r="U1496" s="40" t="s">
        <v>61</v>
      </c>
      <c r="V1496" s="61">
        <v>46017.171984814813</v>
      </c>
      <c r="W1496" s="40" t="str">
        <f ca="1">IFERROR(__xludf.DUMMYFUNCTION("""COMPUTED_VALUE"""),"Jaya Baja")</f>
        <v>Jaya Baja</v>
      </c>
      <c r="X1496" s="42" t="str">
        <f ca="1"/>
        <v>ON-Jaya Baja-26122025+5-6282133932170</v>
      </c>
      <c r="Y1496" s="40"/>
      <c r="Z1496" s="40"/>
      <c r="AA1496" s="23" t="str">
        <v>https://wa.me/6282133932170</v>
      </c>
      <c r="AB1496" s="28"/>
      <c r="AC1496" s="28"/>
      <c r="AD1496" s="28"/>
      <c r="AE1496" s="28"/>
      <c r="AF1496" s="29"/>
      <c r="AG1496" s="28"/>
    </row>
    <row r="1497" spans="1:33" ht="15.75" customHeight="1">
      <c r="A1497" s="32" t="s">
        <v>196</v>
      </c>
      <c r="B1497" s="33">
        <v>1524</v>
      </c>
      <c r="C1497" s="34" t="s">
        <v>7997</v>
      </c>
      <c r="D1497" s="35">
        <v>45978.23239099537</v>
      </c>
      <c r="E1497" s="43">
        <v>45977</v>
      </c>
      <c r="F1497" s="32" t="s">
        <v>7998</v>
      </c>
      <c r="G1497" s="32" t="s">
        <v>7999</v>
      </c>
      <c r="H1497" s="32" t="s">
        <v>8000</v>
      </c>
      <c r="I1497" s="36" t="s">
        <v>8001</v>
      </c>
      <c r="J1497" s="52" t="s">
        <v>8002</v>
      </c>
      <c r="K1497" s="32" t="s">
        <v>8003</v>
      </c>
      <c r="L1497" s="32" t="s">
        <v>8004</v>
      </c>
      <c r="M1497" s="32" t="s">
        <v>60</v>
      </c>
      <c r="N1497" s="33">
        <v>10</v>
      </c>
      <c r="O1497" s="35"/>
      <c r="P1497" s="35"/>
      <c r="Q1497" s="37"/>
      <c r="R1497" s="38"/>
      <c r="S1497" s="33"/>
      <c r="T1497" s="39">
        <v>375000</v>
      </c>
      <c r="U1497" s="40" t="s">
        <v>61</v>
      </c>
      <c r="V1497" s="41"/>
      <c r="W1497" s="42" t="str">
        <f ca="1">IFERROR(__xludf.DUMMYFUNCTION("""COMPUTED_VALUE"""),"Institut Olah")</f>
        <v>Institut Olah</v>
      </c>
      <c r="X1497" s="42" t="str">
        <f ca="1"/>
        <v>ON-Institut Olah-00011900+10-6281775758999</v>
      </c>
      <c r="Y1497" s="40" t="s">
        <v>62</v>
      </c>
      <c r="Z1497" s="40" t="s">
        <v>639</v>
      </c>
      <c r="AA1497" s="23" t="str">
        <v>https://wa.me/6281775758999</v>
      </c>
      <c r="AB1497" s="28"/>
      <c r="AC1497" s="28"/>
      <c r="AD1497" s="28" t="s">
        <v>690</v>
      </c>
      <c r="AE1497" s="28"/>
      <c r="AF1497" s="29"/>
      <c r="AG1497" s="29"/>
    </row>
    <row r="1498" spans="1:33" ht="15.75" customHeight="1">
      <c r="A1498" s="32" t="s">
        <v>52</v>
      </c>
      <c r="B1498" s="33">
        <v>1525</v>
      </c>
      <c r="C1498" s="34" t="s">
        <v>7717</v>
      </c>
      <c r="D1498" s="35">
        <v>45978.232658113426</v>
      </c>
      <c r="E1498" s="43">
        <v>45977</v>
      </c>
      <c r="F1498" s="32" t="s">
        <v>7351</v>
      </c>
      <c r="G1498" s="32" t="s">
        <v>7352</v>
      </c>
      <c r="H1498" s="32" t="s">
        <v>1984</v>
      </c>
      <c r="I1498" s="36" t="s">
        <v>7354</v>
      </c>
      <c r="J1498" s="52" t="s">
        <v>7859</v>
      </c>
      <c r="K1498" s="32" t="s">
        <v>7355</v>
      </c>
      <c r="L1498" s="32" t="s">
        <v>8005</v>
      </c>
      <c r="M1498" s="32" t="s">
        <v>2032</v>
      </c>
      <c r="N1498" s="33">
        <v>10</v>
      </c>
      <c r="O1498" s="35"/>
      <c r="P1498" s="35"/>
      <c r="Q1498" s="37"/>
      <c r="R1498" s="38"/>
      <c r="S1498" s="33"/>
      <c r="T1498" s="39">
        <v>375000</v>
      </c>
      <c r="U1498" s="40" t="s">
        <v>61</v>
      </c>
      <c r="V1498" s="41"/>
      <c r="W1498" s="42" t="str">
        <f ca="1">IFERROR(__xludf.DUMMYFUNCTION("""COMPUTED_VALUE"""),"Samira Travel")</f>
        <v>Samira Travel</v>
      </c>
      <c r="X1498" s="42" t="str">
        <f ca="1"/>
        <v>ON-Samira Travel-00011900+10-6281216704496</v>
      </c>
      <c r="Y1498" s="40"/>
      <c r="Z1498" s="40"/>
      <c r="AA1498" s="23" t="str">
        <v>https://wa.me/6281216704496</v>
      </c>
      <c r="AB1498" s="28"/>
      <c r="AC1498" s="28"/>
      <c r="AD1498" s="28"/>
      <c r="AE1498" s="28"/>
      <c r="AF1498" s="29"/>
      <c r="AG1498" s="29"/>
    </row>
    <row r="1499" spans="1:33" ht="15.75" customHeight="1">
      <c r="A1499" s="32" t="s">
        <v>196</v>
      </c>
      <c r="B1499" s="33">
        <v>1527</v>
      </c>
      <c r="C1499" s="34" t="s">
        <v>8006</v>
      </c>
      <c r="D1499" s="35">
        <v>45978.24152304398</v>
      </c>
      <c r="E1499" s="43">
        <v>45976</v>
      </c>
      <c r="F1499" s="32" t="s">
        <v>8007</v>
      </c>
      <c r="G1499" s="32" t="s">
        <v>8008</v>
      </c>
      <c r="H1499" s="32" t="s">
        <v>8009</v>
      </c>
      <c r="I1499" s="36" t="s">
        <v>8010</v>
      </c>
      <c r="J1499" s="52"/>
      <c r="K1499" s="32" t="s">
        <v>8011</v>
      </c>
      <c r="L1499" s="32" t="s">
        <v>2468</v>
      </c>
      <c r="M1499" s="32" t="s">
        <v>60</v>
      </c>
      <c r="N1499" s="33">
        <v>24</v>
      </c>
      <c r="O1499" s="35">
        <v>45980</v>
      </c>
      <c r="P1499" s="35">
        <v>46003</v>
      </c>
      <c r="Q1499" s="37"/>
      <c r="R1499" s="38"/>
      <c r="S1499" s="33"/>
      <c r="T1499" s="39">
        <v>550000</v>
      </c>
      <c r="U1499" s="40" t="s">
        <v>61</v>
      </c>
      <c r="V1499" s="41"/>
      <c r="W1499" s="42" t="str">
        <f ca="1">IFERROR(__xludf.DUMMYFUNCTION("""COMPUTED_VALUE"""),"Grosir Gordyn")</f>
        <v>Grosir Gordyn</v>
      </c>
      <c r="X1499" s="42" t="str">
        <f ca="1"/>
        <v>ON-Grosir Gordyn-00011900+24-628156563072</v>
      </c>
      <c r="Y1499" s="40" t="s">
        <v>62</v>
      </c>
      <c r="Z1499" s="40" t="s">
        <v>1465</v>
      </c>
      <c r="AA1499" s="23" t="str">
        <v>https://wa.me/628156563072</v>
      </c>
      <c r="AB1499" s="28" t="s">
        <v>8012</v>
      </c>
      <c r="AC1499" s="28"/>
      <c r="AD1499" s="28" t="s">
        <v>690</v>
      </c>
      <c r="AE1499" s="28"/>
      <c r="AF1499" s="29"/>
      <c r="AG1499" s="29"/>
    </row>
    <row r="1500" spans="1:33" ht="15.75" customHeight="1">
      <c r="A1500" s="32" t="s">
        <v>196</v>
      </c>
      <c r="B1500" s="33">
        <v>1538</v>
      </c>
      <c r="C1500" s="33" t="s">
        <v>8013</v>
      </c>
      <c r="D1500" s="43">
        <v>45978</v>
      </c>
      <c r="E1500" s="43"/>
      <c r="F1500" s="32" t="s">
        <v>125</v>
      </c>
      <c r="G1500" s="32" t="s">
        <v>8014</v>
      </c>
      <c r="H1500" s="32" t="s">
        <v>8015</v>
      </c>
      <c r="I1500" s="32">
        <v>6282373417891</v>
      </c>
      <c r="J1500" s="52"/>
      <c r="K1500" s="32" t="s">
        <v>8016</v>
      </c>
      <c r="L1500" s="32" t="s">
        <v>1491</v>
      </c>
      <c r="M1500" s="32"/>
      <c r="N1500" s="33">
        <v>10</v>
      </c>
      <c r="O1500" s="35">
        <v>45981</v>
      </c>
      <c r="P1500" s="35">
        <v>45990</v>
      </c>
      <c r="Q1500" s="33"/>
      <c r="R1500" s="38"/>
      <c r="S1500" s="33"/>
      <c r="T1500" s="60">
        <v>375000</v>
      </c>
      <c r="U1500" s="40" t="s">
        <v>61</v>
      </c>
      <c r="V1500" s="61">
        <v>45979.267809826386</v>
      </c>
      <c r="W1500" s="42" t="str">
        <f ca="1">IFERROR(__xludf.DUMMYFUNCTION("""COMPUTED_VALUE"""),"Clean Jaya")</f>
        <v>Clean Jaya</v>
      </c>
      <c r="X1500" s="42" t="str">
        <f ca="1"/>
        <v>ON-Clean Jaya-18112025+10-6282373417891</v>
      </c>
      <c r="Y1500" s="40" t="s">
        <v>293</v>
      </c>
      <c r="Z1500" s="40" t="s">
        <v>1057</v>
      </c>
      <c r="AA1500" s="23" t="str">
        <v>https://wa.me/6282373417891</v>
      </c>
      <c r="AB1500" s="28" t="s">
        <v>8017</v>
      </c>
      <c r="AC1500" s="28"/>
      <c r="AD1500" s="28" t="s">
        <v>690</v>
      </c>
      <c r="AE1500" s="28"/>
      <c r="AF1500" s="29"/>
      <c r="AG1500" s="28"/>
    </row>
    <row r="1501" spans="1:33" ht="15.75" customHeight="1">
      <c r="A1501" s="32" t="s">
        <v>52</v>
      </c>
      <c r="B1501" s="33">
        <v>1528</v>
      </c>
      <c r="C1501" s="34" t="s">
        <v>7726</v>
      </c>
      <c r="D1501" s="35">
        <v>45978.632067048609</v>
      </c>
      <c r="E1501" s="43">
        <v>45977</v>
      </c>
      <c r="F1501" s="32" t="s">
        <v>6449</v>
      </c>
      <c r="G1501" s="32" t="s">
        <v>6450</v>
      </c>
      <c r="H1501" s="32" t="s">
        <v>3535</v>
      </c>
      <c r="I1501" s="36" t="s">
        <v>3039</v>
      </c>
      <c r="J1501" s="52"/>
      <c r="K1501" s="32" t="s">
        <v>6451</v>
      </c>
      <c r="L1501" s="32" t="s">
        <v>3538</v>
      </c>
      <c r="M1501" s="32" t="s">
        <v>382</v>
      </c>
      <c r="N1501" s="33">
        <v>30</v>
      </c>
      <c r="O1501" s="35"/>
      <c r="P1501" s="35"/>
      <c r="Q1501" s="37"/>
      <c r="R1501" s="38"/>
      <c r="S1501" s="33"/>
      <c r="T1501" s="39">
        <v>1000000</v>
      </c>
      <c r="U1501" s="40" t="s">
        <v>115</v>
      </c>
      <c r="V1501" s="41"/>
      <c r="W1501" s="42" t="str">
        <f ca="1">IFERROR(__xludf.DUMMYFUNCTION("""COMPUTED_VALUE"""),"BANDUNG AUTO")</f>
        <v>BANDUNG AUTO</v>
      </c>
      <c r="X1501" s="42" t="str">
        <f ca="1"/>
        <v>ON-BANDUNG AUTO-00011900+30-6287790276733</v>
      </c>
      <c r="Y1501" s="40"/>
      <c r="Z1501" s="40"/>
      <c r="AA1501" s="23" t="str">
        <v>https://wa.me/6287790276733</v>
      </c>
      <c r="AB1501" s="28"/>
      <c r="AC1501" s="28"/>
      <c r="AD1501" s="28"/>
      <c r="AE1501" s="28"/>
      <c r="AF1501" s="29"/>
      <c r="AG1501" s="29"/>
    </row>
    <row r="1502" spans="1:33" ht="15.75" customHeight="1">
      <c r="A1502" s="32" t="s">
        <v>52</v>
      </c>
      <c r="B1502" s="33">
        <v>1529</v>
      </c>
      <c r="C1502" s="34" t="s">
        <v>8018</v>
      </c>
      <c r="D1502" s="35">
        <v>45978.632251990741</v>
      </c>
      <c r="E1502" s="43">
        <v>45978</v>
      </c>
      <c r="F1502" s="32" t="s">
        <v>7596</v>
      </c>
      <c r="G1502" s="32" t="s">
        <v>7597</v>
      </c>
      <c r="H1502" s="32" t="s">
        <v>7598</v>
      </c>
      <c r="I1502" s="36" t="s">
        <v>8019</v>
      </c>
      <c r="J1502" s="52"/>
      <c r="K1502" s="32" t="s">
        <v>570</v>
      </c>
      <c r="L1502" s="32" t="s">
        <v>7600</v>
      </c>
      <c r="M1502" s="32" t="s">
        <v>382</v>
      </c>
      <c r="N1502" s="33">
        <v>5</v>
      </c>
      <c r="O1502" s="35"/>
      <c r="P1502" s="35"/>
      <c r="Q1502" s="37"/>
      <c r="R1502" s="38"/>
      <c r="S1502" s="33"/>
      <c r="T1502" s="39">
        <v>197000</v>
      </c>
      <c r="U1502" s="40" t="s">
        <v>115</v>
      </c>
      <c r="V1502" s="41"/>
      <c r="W1502" s="42" t="str">
        <f ca="1">IFERROR(__xludf.DUMMYFUNCTION("""COMPUTED_VALUE"""),"Yasmine health")</f>
        <v>Yasmine health</v>
      </c>
      <c r="X1502" s="42" t="str">
        <f ca="1"/>
        <v>ON-Yasmine health-00011900+5-6281288965454</v>
      </c>
      <c r="Y1502" s="40"/>
      <c r="Z1502" s="40"/>
      <c r="AA1502" s="23" t="str">
        <v>https://wa.me/6281288965454</v>
      </c>
      <c r="AB1502" s="28"/>
      <c r="AC1502" s="28"/>
      <c r="AD1502" s="28"/>
      <c r="AE1502" s="28"/>
      <c r="AF1502" s="29"/>
      <c r="AG1502" s="29"/>
    </row>
    <row r="1503" spans="1:33" ht="15.75" customHeight="1">
      <c r="A1503" s="32" t="s">
        <v>52</v>
      </c>
      <c r="B1503" s="33">
        <v>1530</v>
      </c>
      <c r="C1503" s="34" t="s">
        <v>8020</v>
      </c>
      <c r="D1503" s="35">
        <v>45978.67827532407</v>
      </c>
      <c r="E1503" s="43">
        <v>45978</v>
      </c>
      <c r="F1503" s="32" t="s">
        <v>7362</v>
      </c>
      <c r="G1503" s="32" t="s">
        <v>7363</v>
      </c>
      <c r="H1503" s="32" t="s">
        <v>7364</v>
      </c>
      <c r="I1503" s="36" t="s">
        <v>7365</v>
      </c>
      <c r="J1503" s="52"/>
      <c r="K1503" s="32" t="s">
        <v>8021</v>
      </c>
      <c r="L1503" s="32" t="s">
        <v>1533</v>
      </c>
      <c r="M1503" s="32" t="s">
        <v>382</v>
      </c>
      <c r="N1503" s="33">
        <v>10</v>
      </c>
      <c r="O1503" s="35"/>
      <c r="P1503" s="35"/>
      <c r="Q1503" s="37"/>
      <c r="R1503" s="38"/>
      <c r="S1503" s="33"/>
      <c r="T1503" s="39">
        <v>375000</v>
      </c>
      <c r="U1503" s="40" t="s">
        <v>115</v>
      </c>
      <c r="V1503" s="41"/>
      <c r="W1503" s="42" t="str">
        <f ca="1">IFERROR(__xludf.DUMMYFUNCTION("""COMPUTED_VALUE"""),"PT FREMONT")</f>
        <v>PT FREMONT</v>
      </c>
      <c r="X1503" s="42" t="str">
        <f ca="1"/>
        <v>ON-PT FREMONT-00011900+10-6285270194027</v>
      </c>
      <c r="Y1503" s="40"/>
      <c r="Z1503" s="40"/>
      <c r="AA1503" s="23" t="str">
        <v>https://wa.me/6285270194027</v>
      </c>
      <c r="AB1503" s="28"/>
      <c r="AC1503" s="28"/>
      <c r="AD1503" s="28"/>
      <c r="AE1503" s="28"/>
      <c r="AF1503" s="29"/>
      <c r="AG1503" s="29"/>
    </row>
    <row r="1504" spans="1:33" ht="15.75" customHeight="1">
      <c r="A1504" s="32" t="s">
        <v>196</v>
      </c>
      <c r="B1504" s="33">
        <v>1531</v>
      </c>
      <c r="C1504" s="34" t="s">
        <v>7728</v>
      </c>
      <c r="D1504" s="33" t="s">
        <v>8022</v>
      </c>
      <c r="E1504" s="43">
        <v>45977</v>
      </c>
      <c r="F1504" s="32" t="s">
        <v>6052</v>
      </c>
      <c r="G1504" s="32" t="s">
        <v>8023</v>
      </c>
      <c r="H1504" s="32" t="s">
        <v>8024</v>
      </c>
      <c r="I1504" s="36" t="s">
        <v>8025</v>
      </c>
      <c r="J1504" s="52"/>
      <c r="K1504" s="32" t="s">
        <v>8026</v>
      </c>
      <c r="L1504" s="32" t="s">
        <v>1763</v>
      </c>
      <c r="M1504" s="32" t="s">
        <v>382</v>
      </c>
      <c r="N1504" s="33">
        <v>14</v>
      </c>
      <c r="O1504" s="35"/>
      <c r="P1504" s="35"/>
      <c r="Q1504" s="37"/>
      <c r="R1504" s="38">
        <v>-1003470351325</v>
      </c>
      <c r="S1504" s="33"/>
      <c r="T1504" s="39">
        <v>550000</v>
      </c>
      <c r="U1504" s="40" t="s">
        <v>1774</v>
      </c>
      <c r="V1504" s="47">
        <v>45995.578133368057</v>
      </c>
      <c r="W1504" s="42" t="str">
        <f ca="1">IFERROR(__xludf.DUMMYFUNCTION("""COMPUTED_VALUE"""),"Elha Furniture")</f>
        <v>Elha Furniture</v>
      </c>
      <c r="X1504" s="42" t="str">
        <f ca="1"/>
        <v>ON-Elha Furniture-04122025+14-6287753731364</v>
      </c>
      <c r="Y1504" s="40" t="s">
        <v>293</v>
      </c>
      <c r="Z1504" s="40" t="s">
        <v>1057</v>
      </c>
      <c r="AA1504" s="23" t="str">
        <v>https://wa.me/6287753731364</v>
      </c>
      <c r="AB1504" s="28" t="s">
        <v>8027</v>
      </c>
      <c r="AC1504" s="28"/>
      <c r="AD1504" s="28" t="s">
        <v>690</v>
      </c>
      <c r="AE1504" s="28"/>
      <c r="AF1504" s="29"/>
      <c r="AG1504" s="29"/>
    </row>
    <row r="1505" spans="1:33" ht="15.75" customHeight="1">
      <c r="A1505" s="32" t="s">
        <v>52</v>
      </c>
      <c r="B1505" s="33">
        <v>1532</v>
      </c>
      <c r="C1505" s="34" t="s">
        <v>7729</v>
      </c>
      <c r="D1505" s="35">
        <v>45978.683246053246</v>
      </c>
      <c r="E1505" s="43">
        <v>45978</v>
      </c>
      <c r="F1505" s="32" t="s">
        <v>7898</v>
      </c>
      <c r="G1505" s="32" t="s">
        <v>7899</v>
      </c>
      <c r="H1505" s="32" t="s">
        <v>7900</v>
      </c>
      <c r="I1505" s="36" t="s">
        <v>7901</v>
      </c>
      <c r="J1505" s="52" t="s">
        <v>8028</v>
      </c>
      <c r="K1505" s="32" t="s">
        <v>7902</v>
      </c>
      <c r="L1505" s="32" t="s">
        <v>7903</v>
      </c>
      <c r="M1505" s="32" t="s">
        <v>1926</v>
      </c>
      <c r="N1505" s="33">
        <v>5</v>
      </c>
      <c r="O1505" s="35"/>
      <c r="P1505" s="35"/>
      <c r="Q1505" s="37"/>
      <c r="R1505" s="38"/>
      <c r="S1505" s="33"/>
      <c r="T1505" s="39">
        <v>197000</v>
      </c>
      <c r="U1505" s="40" t="s">
        <v>1774</v>
      </c>
      <c r="V1505" s="41"/>
      <c r="W1505" s="42" t="str">
        <f ca="1">IFERROR(__xludf.DUMMYFUNCTION("""COMPUTED_VALUE"""),"Internet/wifi indihome")</f>
        <v>Internet/wifi indihome</v>
      </c>
      <c r="X1505" s="42" t="str">
        <f ca="1"/>
        <v>ON-Internet/wifi indihome-00011900+5-6285167231114</v>
      </c>
      <c r="Y1505" s="40"/>
      <c r="Z1505" s="40"/>
      <c r="AA1505" s="23" t="str">
        <v>https://wa.me/6285167231114</v>
      </c>
      <c r="AB1505" s="28"/>
      <c r="AC1505" s="28"/>
      <c r="AD1505" s="28"/>
      <c r="AE1505" s="28"/>
      <c r="AF1505" s="29"/>
      <c r="AG1505" s="29"/>
    </row>
    <row r="1506" spans="1:33" ht="15.75" customHeight="1">
      <c r="A1506" s="32" t="s">
        <v>52</v>
      </c>
      <c r="B1506" s="33">
        <v>1533</v>
      </c>
      <c r="C1506" s="34" t="s">
        <v>7701</v>
      </c>
      <c r="D1506" s="35">
        <v>45978.683466064816</v>
      </c>
      <c r="E1506" s="43">
        <v>45978</v>
      </c>
      <c r="F1506" s="32" t="s">
        <v>3241</v>
      </c>
      <c r="G1506" s="32" t="s">
        <v>4495</v>
      </c>
      <c r="H1506" s="32" t="s">
        <v>3243</v>
      </c>
      <c r="I1506" s="36" t="s">
        <v>3244</v>
      </c>
      <c r="J1506" s="52" t="s">
        <v>7523</v>
      </c>
      <c r="K1506" s="32" t="s">
        <v>4496</v>
      </c>
      <c r="L1506" s="32" t="s">
        <v>166</v>
      </c>
      <c r="M1506" s="32" t="s">
        <v>249</v>
      </c>
      <c r="N1506" s="33">
        <v>7</v>
      </c>
      <c r="O1506" s="35"/>
      <c r="P1506" s="35"/>
      <c r="Q1506" s="37"/>
      <c r="R1506" s="38"/>
      <c r="S1506" s="33"/>
      <c r="T1506" s="39">
        <v>297000</v>
      </c>
      <c r="U1506" s="40" t="s">
        <v>1774</v>
      </c>
      <c r="V1506" s="41"/>
      <c r="W1506" s="42" t="str">
        <f ca="1">IFERROR(__xludf.DUMMYFUNCTION("""COMPUTED_VALUE"""),"Totok saraf")</f>
        <v>Totok saraf</v>
      </c>
      <c r="X1506" s="42" t="str">
        <f ca="1"/>
        <v>ON-Totok saraf-00011900+7-6281330410391</v>
      </c>
      <c r="Y1506" s="40"/>
      <c r="Z1506" s="40"/>
      <c r="AA1506" s="23" t="str">
        <v>https://wa.me/6281330410391</v>
      </c>
      <c r="AB1506" s="28"/>
      <c r="AC1506" s="28"/>
      <c r="AD1506" s="28"/>
      <c r="AE1506" s="28"/>
      <c r="AF1506" s="29"/>
      <c r="AG1506" s="29"/>
    </row>
    <row r="1507" spans="1:33" ht="15.75" customHeight="1">
      <c r="A1507" s="32" t="s">
        <v>621</v>
      </c>
      <c r="B1507" s="33">
        <v>1534</v>
      </c>
      <c r="C1507" s="34" t="s">
        <v>8029</v>
      </c>
      <c r="D1507" s="35">
        <v>45978.687150462967</v>
      </c>
      <c r="E1507" s="43">
        <v>45975</v>
      </c>
      <c r="F1507" s="32" t="s">
        <v>7948</v>
      </c>
      <c r="G1507" s="32" t="s">
        <v>7949</v>
      </c>
      <c r="H1507" s="32" t="s">
        <v>7950</v>
      </c>
      <c r="I1507" s="36" t="s">
        <v>7951</v>
      </c>
      <c r="J1507" s="52"/>
      <c r="K1507" s="32" t="s">
        <v>7952</v>
      </c>
      <c r="L1507" s="32" t="s">
        <v>1542</v>
      </c>
      <c r="M1507" s="32" t="s">
        <v>60</v>
      </c>
      <c r="N1507" s="33">
        <v>14</v>
      </c>
      <c r="O1507" s="35"/>
      <c r="P1507" s="35"/>
      <c r="Q1507" s="37"/>
      <c r="R1507" s="38"/>
      <c r="S1507" s="33"/>
      <c r="T1507" s="39">
        <v>550000</v>
      </c>
      <c r="U1507" s="40" t="s">
        <v>61</v>
      </c>
      <c r="V1507" s="41"/>
      <c r="W1507" s="42" t="str">
        <f ca="1">IFERROR(__xludf.DUMMYFUNCTION("""COMPUTED_VALUE"""),"Sinar Gorden")</f>
        <v>Sinar Gorden</v>
      </c>
      <c r="X1507" s="42" t="str">
        <f ca="1"/>
        <v>ON-Sinar Gorden-00011900+14-628156626447</v>
      </c>
      <c r="Y1507" s="40"/>
      <c r="Z1507" s="40"/>
      <c r="AA1507" s="23" t="str">
        <v>https://wa.me/628156626447</v>
      </c>
      <c r="AB1507" s="28"/>
      <c r="AC1507" s="28"/>
      <c r="AD1507" s="28"/>
      <c r="AE1507" s="28"/>
      <c r="AF1507" s="29"/>
      <c r="AG1507" s="29"/>
    </row>
    <row r="1508" spans="1:33" ht="15.75" customHeight="1">
      <c r="A1508" s="32" t="s">
        <v>621</v>
      </c>
      <c r="B1508" s="33">
        <v>1535</v>
      </c>
      <c r="C1508" s="34" t="s">
        <v>7742</v>
      </c>
      <c r="D1508" s="35">
        <v>45978.745157303245</v>
      </c>
      <c r="E1508" s="43">
        <v>45976</v>
      </c>
      <c r="F1508" s="32" t="s">
        <v>8007</v>
      </c>
      <c r="G1508" s="32" t="s">
        <v>8008</v>
      </c>
      <c r="H1508" s="32" t="s">
        <v>8009</v>
      </c>
      <c r="I1508" s="36" t="s">
        <v>8010</v>
      </c>
      <c r="J1508" s="52"/>
      <c r="K1508" s="32" t="s">
        <v>8011</v>
      </c>
      <c r="L1508" s="32" t="s">
        <v>2468</v>
      </c>
      <c r="M1508" s="32" t="s">
        <v>60</v>
      </c>
      <c r="N1508" s="33">
        <v>24</v>
      </c>
      <c r="O1508" s="35"/>
      <c r="P1508" s="35"/>
      <c r="Q1508" s="37"/>
      <c r="R1508" s="38"/>
      <c r="S1508" s="33"/>
      <c r="T1508" s="39">
        <v>550000</v>
      </c>
      <c r="U1508" s="40" t="s">
        <v>61</v>
      </c>
      <c r="V1508" s="41"/>
      <c r="W1508" s="42" t="str">
        <f ca="1">IFERROR(__xludf.DUMMYFUNCTION("""COMPUTED_VALUE"""),"Grosir Gordyn")</f>
        <v>Grosir Gordyn</v>
      </c>
      <c r="X1508" s="42" t="str">
        <f ca="1"/>
        <v>ON-Grosir Gordyn-00011900+24-628156563072</v>
      </c>
      <c r="Y1508" s="40"/>
      <c r="Z1508" s="40"/>
      <c r="AA1508" s="23" t="str">
        <v>https://wa.me/628156563072</v>
      </c>
      <c r="AB1508" s="28"/>
      <c r="AC1508" s="28"/>
      <c r="AD1508" s="28"/>
      <c r="AE1508" s="28"/>
      <c r="AF1508" s="29"/>
      <c r="AG1508" s="29"/>
    </row>
    <row r="1509" spans="1:33" ht="15.75" customHeight="1">
      <c r="A1509" s="32" t="s">
        <v>196</v>
      </c>
      <c r="B1509" s="33">
        <v>1537</v>
      </c>
      <c r="C1509" s="34" t="s">
        <v>7744</v>
      </c>
      <c r="D1509" s="35">
        <v>45978.785593599532</v>
      </c>
      <c r="E1509" s="43">
        <v>45978</v>
      </c>
      <c r="F1509" s="32" t="s">
        <v>8030</v>
      </c>
      <c r="G1509" s="32" t="s">
        <v>8031</v>
      </c>
      <c r="H1509" s="32" t="s">
        <v>8032</v>
      </c>
      <c r="I1509" s="36" t="s">
        <v>8033</v>
      </c>
      <c r="J1509" s="52"/>
      <c r="K1509" s="32" t="s">
        <v>570</v>
      </c>
      <c r="L1509" s="32" t="s">
        <v>5642</v>
      </c>
      <c r="M1509" s="32" t="s">
        <v>92</v>
      </c>
      <c r="N1509" s="33">
        <v>5</v>
      </c>
      <c r="O1509" s="35">
        <v>45981</v>
      </c>
      <c r="P1509" s="35">
        <v>45985</v>
      </c>
      <c r="Q1509" s="37"/>
      <c r="R1509" s="38"/>
      <c r="S1509" s="33"/>
      <c r="T1509" s="39">
        <v>197000</v>
      </c>
      <c r="U1509" s="40" t="s">
        <v>1229</v>
      </c>
      <c r="V1509" s="41"/>
      <c r="W1509" s="42" t="str">
        <f ca="1">IFERROR(__xludf.DUMMYFUNCTION("""COMPUTED_VALUE"""),"brother aluminium")</f>
        <v>brother aluminium</v>
      </c>
      <c r="X1509" s="42" t="str">
        <f ca="1"/>
        <v>ON-brother aluminium-00011900+5-6281398408303</v>
      </c>
      <c r="Y1509" s="40" t="s">
        <v>293</v>
      </c>
      <c r="Z1509" s="40" t="s">
        <v>1057</v>
      </c>
      <c r="AA1509" s="23" t="str">
        <v>https://wa.me/6281398408303</v>
      </c>
      <c r="AB1509" s="28" t="s">
        <v>8034</v>
      </c>
      <c r="AC1509" s="28"/>
      <c r="AD1509" s="28" t="s">
        <v>690</v>
      </c>
      <c r="AE1509" s="28"/>
      <c r="AF1509" s="29"/>
      <c r="AG1509" s="29"/>
    </row>
    <row r="1510" spans="1:33" ht="15.75" customHeight="1">
      <c r="A1510" s="32" t="s">
        <v>196</v>
      </c>
      <c r="B1510" s="33">
        <v>1228</v>
      </c>
      <c r="C1510" s="34" t="s">
        <v>8035</v>
      </c>
      <c r="D1510" s="35">
        <v>45979</v>
      </c>
      <c r="E1510" s="43">
        <v>45947</v>
      </c>
      <c r="F1510" s="32" t="s">
        <v>1320</v>
      </c>
      <c r="G1510" s="32" t="s">
        <v>7418</v>
      </c>
      <c r="H1510" s="32" t="s">
        <v>5697</v>
      </c>
      <c r="I1510" s="36" t="s">
        <v>7419</v>
      </c>
      <c r="J1510" s="52"/>
      <c r="K1510" s="32" t="s">
        <v>7421</v>
      </c>
      <c r="L1510" s="32" t="s">
        <v>1926</v>
      </c>
      <c r="M1510" s="32" t="s">
        <v>1926</v>
      </c>
      <c r="N1510" s="33">
        <v>10</v>
      </c>
      <c r="O1510" s="35"/>
      <c r="P1510" s="35"/>
      <c r="Q1510" s="37"/>
      <c r="R1510" s="38">
        <v>-1003470351325</v>
      </c>
      <c r="S1510" s="33"/>
      <c r="T1510" s="39">
        <v>375000</v>
      </c>
      <c r="U1510" s="40" t="s">
        <v>1774</v>
      </c>
      <c r="V1510" s="47">
        <v>45979.377396469907</v>
      </c>
      <c r="W1510" s="42" t="str">
        <f ca="1">IFERROR(__xludf.DUMMYFUNCTION("""COMPUTED_VALUE"""),"Karisma")</f>
        <v>Karisma</v>
      </c>
      <c r="X1510" s="42" t="str">
        <f ca="1"/>
        <v>ON-Karisma-18112025+10-6281321441646</v>
      </c>
      <c r="Y1510" s="40" t="s">
        <v>293</v>
      </c>
      <c r="Z1510" s="40" t="s">
        <v>1057</v>
      </c>
      <c r="AA1510" s="23" t="str">
        <v>https://wa.me/6281321441646</v>
      </c>
      <c r="AB1510" s="28" t="s">
        <v>8036</v>
      </c>
      <c r="AC1510" s="28"/>
      <c r="AD1510" s="28" t="s">
        <v>690</v>
      </c>
      <c r="AE1510" s="28"/>
      <c r="AF1510" s="29"/>
      <c r="AG1510" s="29"/>
    </row>
    <row r="1511" spans="1:33" ht="15.75" customHeight="1">
      <c r="A1511" s="32" t="s">
        <v>196</v>
      </c>
      <c r="B1511" s="33">
        <v>1431</v>
      </c>
      <c r="C1511" s="34" t="s">
        <v>8037</v>
      </c>
      <c r="D1511" s="35">
        <v>45979</v>
      </c>
      <c r="E1511" s="43">
        <v>45967</v>
      </c>
      <c r="F1511" s="32" t="s">
        <v>8038</v>
      </c>
      <c r="G1511" s="32" t="s">
        <v>8039</v>
      </c>
      <c r="H1511" s="32" t="s">
        <v>8040</v>
      </c>
      <c r="I1511" s="36" t="s">
        <v>8041</v>
      </c>
      <c r="J1511" s="52"/>
      <c r="K1511" s="32" t="s">
        <v>3222</v>
      </c>
      <c r="L1511" s="32" t="s">
        <v>8042</v>
      </c>
      <c r="M1511" s="32" t="s">
        <v>249</v>
      </c>
      <c r="N1511" s="33">
        <v>5</v>
      </c>
      <c r="O1511" s="35"/>
      <c r="P1511" s="35"/>
      <c r="Q1511" s="37"/>
      <c r="R1511" s="38">
        <v>-1003470351325</v>
      </c>
      <c r="S1511" s="33"/>
      <c r="T1511" s="39">
        <v>197000</v>
      </c>
      <c r="U1511" s="40" t="s">
        <v>1774</v>
      </c>
      <c r="V1511" s="47">
        <v>45979.359289675922</v>
      </c>
      <c r="W1511" s="42" t="str">
        <f ca="1">IFERROR(__xludf.DUMMYFUNCTION("""COMPUTED_VALUE"""),"Graha Trijasa")</f>
        <v>Graha Trijasa</v>
      </c>
      <c r="X1511" s="42" t="str">
        <f ca="1"/>
        <v>ON-Graha Trijasa-18112025+5-6282127669779</v>
      </c>
      <c r="Y1511" s="40" t="s">
        <v>293</v>
      </c>
      <c r="Z1511" s="40" t="s">
        <v>1057</v>
      </c>
      <c r="AA1511" s="23" t="str">
        <v>https://wa.me/6282127669779</v>
      </c>
      <c r="AB1511" s="28" t="s">
        <v>8043</v>
      </c>
      <c r="AC1511" s="28"/>
      <c r="AD1511" s="28" t="s">
        <v>690</v>
      </c>
      <c r="AE1511" s="28"/>
      <c r="AF1511" s="29"/>
      <c r="AG1511" s="29"/>
    </row>
    <row r="1512" spans="1:33" ht="15.75" customHeight="1">
      <c r="A1512" s="32" t="s">
        <v>196</v>
      </c>
      <c r="B1512" s="33">
        <v>1539</v>
      </c>
      <c r="C1512" s="33" t="s">
        <v>8044</v>
      </c>
      <c r="D1512" s="43">
        <v>45979</v>
      </c>
      <c r="E1512" s="43"/>
      <c r="F1512" s="32" t="s">
        <v>8045</v>
      </c>
      <c r="G1512" s="32" t="s">
        <v>8046</v>
      </c>
      <c r="H1512" s="32" t="s">
        <v>1694</v>
      </c>
      <c r="I1512" s="32">
        <v>6285624000805</v>
      </c>
      <c r="J1512" s="52"/>
      <c r="K1512" s="32" t="s">
        <v>8047</v>
      </c>
      <c r="L1512" s="32" t="s">
        <v>6489</v>
      </c>
      <c r="M1512" s="32" t="s">
        <v>382</v>
      </c>
      <c r="N1512" s="33">
        <v>7</v>
      </c>
      <c r="O1512" s="35">
        <v>45981</v>
      </c>
      <c r="P1512" s="35">
        <v>45987</v>
      </c>
      <c r="Q1512" s="33"/>
      <c r="R1512" s="38">
        <v>-1003470351325</v>
      </c>
      <c r="S1512" s="33"/>
      <c r="T1512" s="60">
        <v>297000</v>
      </c>
      <c r="U1512" s="40" t="s">
        <v>1774</v>
      </c>
      <c r="V1512" s="61">
        <v>45979.348323101847</v>
      </c>
      <c r="W1512" s="40" t="str">
        <f ca="1">IFERROR(__xludf.DUMMYFUNCTION("""COMPUTED_VALUE"""),"Pelatihan Terapi")</f>
        <v>Pelatihan Terapi</v>
      </c>
      <c r="X1512" s="42" t="str">
        <f ca="1"/>
        <v>ON-Pelatihan Terapi-18112025+7-6285624000805</v>
      </c>
      <c r="Y1512" s="40" t="s">
        <v>62</v>
      </c>
      <c r="Z1512" s="40" t="s">
        <v>639</v>
      </c>
      <c r="AA1512" s="23" t="str">
        <v>https://wa.me/6285624000805</v>
      </c>
      <c r="AB1512" s="28" t="s">
        <v>8048</v>
      </c>
      <c r="AC1512" s="28"/>
      <c r="AD1512" s="28" t="s">
        <v>690</v>
      </c>
      <c r="AE1512" s="28"/>
      <c r="AF1512" s="29"/>
      <c r="AG1512" s="28"/>
    </row>
    <row r="1513" spans="1:33" ht="15.75" customHeight="1">
      <c r="A1513" s="32" t="s">
        <v>621</v>
      </c>
      <c r="B1513" s="33">
        <v>1540</v>
      </c>
      <c r="C1513" s="33" t="s">
        <v>8049</v>
      </c>
      <c r="D1513" s="43">
        <v>45979</v>
      </c>
      <c r="E1513" s="43"/>
      <c r="F1513" s="32" t="s">
        <v>7596</v>
      </c>
      <c r="G1513" s="32" t="s">
        <v>8050</v>
      </c>
      <c r="H1513" s="32" t="s">
        <v>7598</v>
      </c>
      <c r="I1513" s="32">
        <v>6282265277099</v>
      </c>
      <c r="J1513" s="52"/>
      <c r="K1513" s="32" t="s">
        <v>8051</v>
      </c>
      <c r="L1513" s="32" t="s">
        <v>7600</v>
      </c>
      <c r="M1513" s="32" t="s">
        <v>382</v>
      </c>
      <c r="N1513" s="33">
        <v>5</v>
      </c>
      <c r="O1513" s="59"/>
      <c r="P1513" s="59"/>
      <c r="Q1513" s="33"/>
      <c r="R1513" s="38">
        <v>-1003470351325</v>
      </c>
      <c r="S1513" s="33"/>
      <c r="T1513" s="60">
        <v>197000</v>
      </c>
      <c r="U1513" s="40" t="s">
        <v>115</v>
      </c>
      <c r="V1513" s="61">
        <v>45979.361777916667</v>
      </c>
      <c r="W1513" s="40" t="str">
        <f ca="1">IFERROR(__xludf.DUMMYFUNCTION("""COMPUTED_VALUE"""),"Yasmine stroke")</f>
        <v>Yasmine stroke</v>
      </c>
      <c r="X1513" s="42" t="str">
        <f ca="1"/>
        <v>ON-Yasmine stroke-18112025+5-6282265277099</v>
      </c>
      <c r="Y1513" s="40"/>
      <c r="Z1513" s="40"/>
      <c r="AA1513" s="23" t="str">
        <v>https://wa.me/6282265277099</v>
      </c>
      <c r="AB1513" s="28"/>
      <c r="AC1513" s="28"/>
      <c r="AD1513" s="28"/>
      <c r="AE1513" s="28"/>
      <c r="AF1513" s="29"/>
      <c r="AG1513" s="28"/>
    </row>
    <row r="1514" spans="1:33" ht="15.75" customHeight="1">
      <c r="A1514" s="32" t="s">
        <v>621</v>
      </c>
      <c r="B1514" s="33">
        <v>1541</v>
      </c>
      <c r="C1514" s="33" t="s">
        <v>8052</v>
      </c>
      <c r="D1514" s="43">
        <v>45979</v>
      </c>
      <c r="E1514" s="43"/>
      <c r="F1514" s="32" t="s">
        <v>5753</v>
      </c>
      <c r="G1514" s="32" t="s">
        <v>8053</v>
      </c>
      <c r="H1514" s="32" t="s">
        <v>8054</v>
      </c>
      <c r="I1514" s="32">
        <v>6281325416869</v>
      </c>
      <c r="J1514" s="52"/>
      <c r="K1514" s="32" t="s">
        <v>7650</v>
      </c>
      <c r="L1514" s="32" t="s">
        <v>4783</v>
      </c>
      <c r="M1514" s="32" t="s">
        <v>382</v>
      </c>
      <c r="N1514" s="33">
        <v>5</v>
      </c>
      <c r="O1514" s="59"/>
      <c r="P1514" s="59"/>
      <c r="Q1514" s="33"/>
      <c r="R1514" s="38">
        <v>-1003470351325</v>
      </c>
      <c r="S1514" s="33"/>
      <c r="T1514" s="60">
        <v>197000</v>
      </c>
      <c r="U1514" s="40" t="s">
        <v>1774</v>
      </c>
      <c r="V1514" s="61">
        <v>45979.43539875</v>
      </c>
      <c r="W1514" s="40" t="str">
        <f ca="1">IFERROR(__xludf.DUMMYFUNCTION("""COMPUTED_VALUE"""),"Cari Mitra")</f>
        <v>Cari Mitra</v>
      </c>
      <c r="X1514" s="42" t="str">
        <f ca="1"/>
        <v>ON-Cari Mitra-18112025+5-6281325416869</v>
      </c>
      <c r="Y1514" s="40"/>
      <c r="Z1514" s="40"/>
      <c r="AA1514" s="23" t="str">
        <v>https://wa.me/6281325416869</v>
      </c>
      <c r="AB1514" s="28"/>
      <c r="AC1514" s="28"/>
      <c r="AD1514" s="28"/>
      <c r="AE1514" s="28"/>
      <c r="AF1514" s="29"/>
      <c r="AG1514" s="28"/>
    </row>
    <row r="1515" spans="1:33" ht="15.75" customHeight="1">
      <c r="A1515" s="32" t="s">
        <v>196</v>
      </c>
      <c r="B1515" s="33">
        <v>1542</v>
      </c>
      <c r="C1515" s="33" t="s">
        <v>8055</v>
      </c>
      <c r="D1515" s="43">
        <v>45979</v>
      </c>
      <c r="E1515" s="43"/>
      <c r="F1515" s="32" t="s">
        <v>8056</v>
      </c>
      <c r="G1515" s="32" t="s">
        <v>8057</v>
      </c>
      <c r="H1515" s="32" t="s">
        <v>8058</v>
      </c>
      <c r="I1515" s="32">
        <v>6281325742288</v>
      </c>
      <c r="J1515" s="52"/>
      <c r="K1515" s="32" t="s">
        <v>8059</v>
      </c>
      <c r="L1515" s="32" t="s">
        <v>8060</v>
      </c>
      <c r="M1515" s="32" t="s">
        <v>2424</v>
      </c>
      <c r="N1515" s="33">
        <v>10</v>
      </c>
      <c r="O1515" s="35">
        <v>45981</v>
      </c>
      <c r="P1515" s="35">
        <v>45990</v>
      </c>
      <c r="Q1515" s="33"/>
      <c r="R1515" s="38">
        <v>-1003470351325</v>
      </c>
      <c r="S1515" s="33"/>
      <c r="T1515" s="60">
        <v>375000</v>
      </c>
      <c r="U1515" s="40" t="s">
        <v>243</v>
      </c>
      <c r="V1515" s="61">
        <v>45980.343845601848</v>
      </c>
      <c r="W1515" s="40" t="str">
        <f ca="1">IFERROR(__xludf.DUMMYFUNCTION("""COMPUTED_VALUE"""),"LPK Djieneka")</f>
        <v>LPK Djieneka</v>
      </c>
      <c r="X1515" s="42" t="str">
        <f ca="1"/>
        <v>ON-LPK Djieneka-19112025+10-6281325742288</v>
      </c>
      <c r="Y1515" s="40" t="s">
        <v>62</v>
      </c>
      <c r="Z1515" s="40" t="s">
        <v>1404</v>
      </c>
      <c r="AA1515" s="23" t="str">
        <v>https://wa.me/6281325742288</v>
      </c>
      <c r="AB1515" s="28" t="s">
        <v>8061</v>
      </c>
      <c r="AC1515" s="28"/>
      <c r="AD1515" s="28" t="s">
        <v>690</v>
      </c>
      <c r="AE1515" s="28"/>
      <c r="AF1515" s="29"/>
      <c r="AG1515" s="28"/>
    </row>
    <row r="1516" spans="1:33" ht="15.75" customHeight="1">
      <c r="A1516" s="32" t="s">
        <v>196</v>
      </c>
      <c r="B1516" s="33">
        <v>743</v>
      </c>
      <c r="C1516" s="34" t="s">
        <v>8062</v>
      </c>
      <c r="D1516" s="35">
        <v>45980</v>
      </c>
      <c r="E1516" s="43">
        <v>45892</v>
      </c>
      <c r="F1516" s="32" t="s">
        <v>6090</v>
      </c>
      <c r="G1516" s="32" t="s">
        <v>6091</v>
      </c>
      <c r="H1516" s="32" t="s">
        <v>3076</v>
      </c>
      <c r="I1516" s="36" t="s">
        <v>3077</v>
      </c>
      <c r="J1516" s="52"/>
      <c r="K1516" s="32" t="s">
        <v>3078</v>
      </c>
      <c r="L1516" s="32" t="s">
        <v>3079</v>
      </c>
      <c r="M1516" s="32" t="s">
        <v>48</v>
      </c>
      <c r="N1516" s="33">
        <v>10</v>
      </c>
      <c r="O1516" s="35"/>
      <c r="P1516" s="35"/>
      <c r="Q1516" s="37"/>
      <c r="R1516" s="38">
        <v>-1003470351325</v>
      </c>
      <c r="S1516" s="33"/>
      <c r="T1516" s="39">
        <v>375000</v>
      </c>
      <c r="U1516" s="40" t="s">
        <v>1774</v>
      </c>
      <c r="V1516" s="47">
        <v>45980.633092743054</v>
      </c>
      <c r="W1516" s="42" t="str">
        <f ca="1">IFERROR(__xludf.DUMMYFUNCTION("""COMPUTED_VALUE"""),"Raflesia Rental")</f>
        <v>Raflesia Rental</v>
      </c>
      <c r="X1516" s="42" t="str">
        <f ca="1"/>
        <v>ON-Raflesia Rental-19112025+10-6281938384000</v>
      </c>
      <c r="Y1516" s="40" t="s">
        <v>62</v>
      </c>
      <c r="Z1516" s="40" t="s">
        <v>1880</v>
      </c>
      <c r="AA1516" s="23" t="str">
        <v>https://wa.me/6281938384000</v>
      </c>
      <c r="AB1516" s="28" t="s">
        <v>8063</v>
      </c>
      <c r="AC1516" s="28"/>
      <c r="AD1516" s="28" t="s">
        <v>690</v>
      </c>
      <c r="AE1516" s="28"/>
      <c r="AF1516" s="29">
        <v>45895</v>
      </c>
      <c r="AG1516" s="29"/>
    </row>
    <row r="1517" spans="1:33" ht="15.75" customHeight="1">
      <c r="A1517" s="32" t="s">
        <v>196</v>
      </c>
      <c r="B1517" s="33">
        <v>1392</v>
      </c>
      <c r="C1517" s="34" t="s">
        <v>8064</v>
      </c>
      <c r="D1517" s="35">
        <v>45980</v>
      </c>
      <c r="E1517" s="43">
        <v>45964</v>
      </c>
      <c r="F1517" s="32" t="s">
        <v>7862</v>
      </c>
      <c r="G1517" s="32" t="s">
        <v>7863</v>
      </c>
      <c r="H1517" s="32" t="s">
        <v>4481</v>
      </c>
      <c r="I1517" s="36" t="s">
        <v>7864</v>
      </c>
      <c r="J1517" s="52"/>
      <c r="K1517" s="32" t="s">
        <v>570</v>
      </c>
      <c r="L1517" s="32" t="s">
        <v>7889</v>
      </c>
      <c r="M1517" s="32" t="s">
        <v>510</v>
      </c>
      <c r="N1517" s="33">
        <v>5</v>
      </c>
      <c r="O1517" s="35"/>
      <c r="P1517" s="35"/>
      <c r="Q1517" s="37"/>
      <c r="R1517" s="38">
        <v>-1003470351325</v>
      </c>
      <c r="S1517" s="33"/>
      <c r="T1517" s="39">
        <v>197000</v>
      </c>
      <c r="U1517" s="40" t="s">
        <v>115</v>
      </c>
      <c r="V1517" s="47">
        <v>45980.425001215277</v>
      </c>
      <c r="W1517" s="42" t="str">
        <f ca="1">IFERROR(__xludf.DUMMYFUNCTION("""COMPUTED_VALUE"""),"Sales Truk")</f>
        <v>Sales Truk</v>
      </c>
      <c r="X1517" s="42" t="str">
        <f ca="1"/>
        <v>ON-Sales Truk-19112025+5-6281219102600</v>
      </c>
      <c r="Y1517" s="40" t="s">
        <v>62</v>
      </c>
      <c r="Z1517" s="40" t="s">
        <v>294</v>
      </c>
      <c r="AA1517" s="23" t="str">
        <v>https://wa.me/6281219102600</v>
      </c>
      <c r="AB1517" s="28" t="s">
        <v>8065</v>
      </c>
      <c r="AC1517" s="28"/>
      <c r="AD1517" s="28" t="s">
        <v>690</v>
      </c>
      <c r="AE1517" s="28"/>
      <c r="AF1517" s="29"/>
      <c r="AG1517" s="29"/>
    </row>
    <row r="1518" spans="1:33" ht="15.75" customHeight="1">
      <c r="A1518" s="32" t="s">
        <v>621</v>
      </c>
      <c r="B1518" s="33">
        <v>1543</v>
      </c>
      <c r="C1518" s="33" t="s">
        <v>8066</v>
      </c>
      <c r="D1518" s="43">
        <v>45980</v>
      </c>
      <c r="E1518" s="43"/>
      <c r="F1518" s="32" t="s">
        <v>8067</v>
      </c>
      <c r="G1518" s="32" t="s">
        <v>8068</v>
      </c>
      <c r="H1518" s="32" t="s">
        <v>3070</v>
      </c>
      <c r="I1518" s="32">
        <v>6287780880807</v>
      </c>
      <c r="J1518" s="52"/>
      <c r="K1518" s="32" t="s">
        <v>8069</v>
      </c>
      <c r="L1518" s="32" t="s">
        <v>166</v>
      </c>
      <c r="M1518" s="32" t="s">
        <v>8070</v>
      </c>
      <c r="N1518" s="33">
        <v>5</v>
      </c>
      <c r="O1518" s="59"/>
      <c r="P1518" s="59"/>
      <c r="Q1518" s="33"/>
      <c r="R1518" s="38">
        <v>-1003470351325</v>
      </c>
      <c r="S1518" s="33"/>
      <c r="T1518" s="60">
        <v>197000</v>
      </c>
      <c r="U1518" s="40" t="s">
        <v>1774</v>
      </c>
      <c r="V1518" s="61">
        <v>45980.393059537033</v>
      </c>
      <c r="W1518" s="40" t="str">
        <f ca="1">IFERROR(__xludf.DUMMYFUNCTION("""COMPUTED_VALUE"""),"Pijat dan")</f>
        <v>Pijat dan</v>
      </c>
      <c r="X1518" s="42" t="str">
        <f ca="1"/>
        <v>ON-Pijat dan-19112025+5-6287780880807</v>
      </c>
      <c r="Y1518" s="40"/>
      <c r="Z1518" s="40"/>
      <c r="AA1518" s="23" t="str">
        <v>https://wa.me/6287780880807</v>
      </c>
      <c r="AB1518" s="28"/>
      <c r="AC1518" s="28"/>
      <c r="AD1518" s="28"/>
      <c r="AE1518" s="28"/>
      <c r="AF1518" s="29"/>
      <c r="AG1518" s="28"/>
    </row>
    <row r="1519" spans="1:33" ht="15.75" customHeight="1">
      <c r="A1519" s="32" t="s">
        <v>196</v>
      </c>
      <c r="B1519" s="33">
        <v>1490</v>
      </c>
      <c r="C1519" s="34" t="s">
        <v>7881</v>
      </c>
      <c r="D1519" s="35">
        <v>45974.60533583333</v>
      </c>
      <c r="E1519" s="43">
        <v>45973</v>
      </c>
      <c r="F1519" s="32" t="s">
        <v>8071</v>
      </c>
      <c r="G1519" s="32" t="s">
        <v>8072</v>
      </c>
      <c r="H1519" s="32" t="s">
        <v>8073</v>
      </c>
      <c r="I1519" s="36" t="s">
        <v>8074</v>
      </c>
      <c r="J1519" s="52" t="s">
        <v>8075</v>
      </c>
      <c r="K1519" s="32"/>
      <c r="L1519" s="32"/>
      <c r="M1519" s="32"/>
      <c r="N1519" s="33">
        <v>10</v>
      </c>
      <c r="O1519" s="35">
        <v>45982</v>
      </c>
      <c r="P1519" s="35">
        <v>45991</v>
      </c>
      <c r="Q1519" s="37"/>
      <c r="R1519" s="38"/>
      <c r="S1519" s="33"/>
      <c r="T1519" s="39">
        <v>375000</v>
      </c>
      <c r="U1519" s="40" t="s">
        <v>115</v>
      </c>
      <c r="V1519" s="41"/>
      <c r="W1519" s="42" t="str">
        <f ca="1">IFERROR(__xludf.DUMMYFUNCTION("""COMPUTED_VALUE"""),"BIG Media")</f>
        <v>BIG Media</v>
      </c>
      <c r="X1519" s="42" t="str">
        <f ca="1"/>
        <v>ON-BIG Media-00011900+10-628973668569</v>
      </c>
      <c r="Y1519" s="40" t="s">
        <v>62</v>
      </c>
      <c r="Z1519" s="40" t="s">
        <v>1465</v>
      </c>
      <c r="AA1519" s="23" t="str">
        <v>https://wa.me/628973668569</v>
      </c>
      <c r="AB1519" s="28" t="s">
        <v>8076</v>
      </c>
      <c r="AC1519" s="28"/>
      <c r="AD1519" s="28" t="s">
        <v>690</v>
      </c>
      <c r="AE1519" s="28"/>
      <c r="AF1519" s="29"/>
      <c r="AG1519" s="29"/>
    </row>
    <row r="1520" spans="1:33" ht="15.75" customHeight="1">
      <c r="A1520" s="32" t="s">
        <v>196</v>
      </c>
      <c r="B1520" s="33">
        <v>1544</v>
      </c>
      <c r="C1520" s="33" t="s">
        <v>8077</v>
      </c>
      <c r="D1520" s="43">
        <v>45980</v>
      </c>
      <c r="E1520" s="43"/>
      <c r="F1520" s="32" t="s">
        <v>8078</v>
      </c>
      <c r="G1520" s="32" t="s">
        <v>8079</v>
      </c>
      <c r="H1520" s="32" t="s">
        <v>8080</v>
      </c>
      <c r="I1520" s="32">
        <v>6283875530291</v>
      </c>
      <c r="J1520" s="52"/>
      <c r="K1520" s="32" t="s">
        <v>6592</v>
      </c>
      <c r="L1520" s="32" t="s">
        <v>8081</v>
      </c>
      <c r="M1520" s="32" t="s">
        <v>60</v>
      </c>
      <c r="N1520" s="33">
        <v>5</v>
      </c>
      <c r="O1520" s="35">
        <v>45982</v>
      </c>
      <c r="P1520" s="35">
        <v>45986</v>
      </c>
      <c r="Q1520" s="33"/>
      <c r="R1520" s="38">
        <v>-1003470351325</v>
      </c>
      <c r="S1520" s="33"/>
      <c r="T1520" s="60">
        <v>197000</v>
      </c>
      <c r="U1520" s="40" t="s">
        <v>61</v>
      </c>
      <c r="V1520" s="61">
        <v>45980.492948969906</v>
      </c>
      <c r="W1520" s="40" t="str">
        <f ca="1">IFERROR(__xludf.DUMMYFUNCTION("""COMPUTED_VALUE"""),"Yasmin Herbal")</f>
        <v>Yasmin Herbal</v>
      </c>
      <c r="X1520" s="42" t="str">
        <f ca="1"/>
        <v>ON-Yasmin Herbal-19112025+5-6283875530291</v>
      </c>
      <c r="Y1520" s="40" t="s">
        <v>62</v>
      </c>
      <c r="Z1520" s="40" t="s">
        <v>1861</v>
      </c>
      <c r="AA1520" s="23" t="str">
        <v>https://wa.me/6283875530291</v>
      </c>
      <c r="AB1520" s="28" t="s">
        <v>8082</v>
      </c>
      <c r="AC1520" s="28"/>
      <c r="AD1520" s="28" t="s">
        <v>690</v>
      </c>
      <c r="AE1520" s="28"/>
      <c r="AF1520" s="29"/>
      <c r="AG1520" s="28"/>
    </row>
    <row r="1521" spans="1:33" ht="15.75" customHeight="1">
      <c r="A1521" s="32" t="s">
        <v>196</v>
      </c>
      <c r="B1521" s="33">
        <v>1545</v>
      </c>
      <c r="C1521" s="33" t="s">
        <v>8083</v>
      </c>
      <c r="D1521" s="43">
        <v>45980</v>
      </c>
      <c r="E1521" s="43"/>
      <c r="F1521" s="32" t="s">
        <v>8084</v>
      </c>
      <c r="G1521" s="32" t="s">
        <v>8085</v>
      </c>
      <c r="H1521" s="32" t="s">
        <v>8086</v>
      </c>
      <c r="I1521" s="32">
        <v>6282333466436</v>
      </c>
      <c r="J1521" s="52"/>
      <c r="K1521" s="32" t="s">
        <v>8087</v>
      </c>
      <c r="L1521" s="32" t="s">
        <v>3558</v>
      </c>
      <c r="M1521" s="32" t="s">
        <v>249</v>
      </c>
      <c r="N1521" s="33">
        <v>5</v>
      </c>
      <c r="O1521" s="35">
        <v>45982</v>
      </c>
      <c r="P1521" s="35">
        <v>45986</v>
      </c>
      <c r="Q1521" s="33"/>
      <c r="R1521" s="38">
        <v>-1003470351325</v>
      </c>
      <c r="S1521" s="33"/>
      <c r="T1521" s="60">
        <v>197000</v>
      </c>
      <c r="U1521" s="40" t="s">
        <v>61</v>
      </c>
      <c r="V1521" s="61">
        <v>45980.493241516204</v>
      </c>
      <c r="W1521" s="40" t="str">
        <f ca="1">IFERROR(__xludf.DUMMYFUNCTION("""COMPUTED_VALUE"""),"PT Anugerah")</f>
        <v>PT Anugerah</v>
      </c>
      <c r="X1521" s="42" t="str">
        <f ca="1"/>
        <v>ON-PT Anugerah-19112025+5-6282333466436</v>
      </c>
      <c r="Y1521" s="40" t="s">
        <v>62</v>
      </c>
      <c r="Z1521" s="40" t="s">
        <v>277</v>
      </c>
      <c r="AA1521" s="23" t="str">
        <v>https://wa.me/6282333466436</v>
      </c>
      <c r="AB1521" s="28" t="s">
        <v>8088</v>
      </c>
      <c r="AC1521" s="28"/>
      <c r="AD1521" s="28" t="s">
        <v>690</v>
      </c>
      <c r="AE1521" s="28"/>
      <c r="AF1521" s="29"/>
      <c r="AG1521" s="28"/>
    </row>
    <row r="1522" spans="1:33" ht="15.75" customHeight="1">
      <c r="A1522" s="32" t="s">
        <v>196</v>
      </c>
      <c r="B1522" s="33">
        <v>1546</v>
      </c>
      <c r="C1522" s="33" t="s">
        <v>8089</v>
      </c>
      <c r="D1522" s="43">
        <v>45980</v>
      </c>
      <c r="E1522" s="43"/>
      <c r="F1522" s="32" t="s">
        <v>8090</v>
      </c>
      <c r="G1522" s="32" t="s">
        <v>8091</v>
      </c>
      <c r="H1522" s="32" t="s">
        <v>8092</v>
      </c>
      <c r="I1522" s="32">
        <v>6285332218714</v>
      </c>
      <c r="J1522" s="52"/>
      <c r="K1522" s="32" t="s">
        <v>8093</v>
      </c>
      <c r="L1522" s="32" t="s">
        <v>5081</v>
      </c>
      <c r="M1522" s="32" t="s">
        <v>382</v>
      </c>
      <c r="N1522" s="33">
        <v>5</v>
      </c>
      <c r="O1522" s="35">
        <v>45982</v>
      </c>
      <c r="P1522" s="35">
        <v>45986</v>
      </c>
      <c r="Q1522" s="33"/>
      <c r="R1522" s="38">
        <v>-1003470351325</v>
      </c>
      <c r="S1522" s="33"/>
      <c r="T1522" s="60">
        <v>197000</v>
      </c>
      <c r="U1522" s="40" t="s">
        <v>1774</v>
      </c>
      <c r="V1522" s="61">
        <v>45980.62493604167</v>
      </c>
      <c r="W1522" s="40" t="str">
        <f ca="1">IFERROR(__xludf.DUMMYFUNCTION("""COMPUTED_VALUE"""),"Raudhah aqiqah")</f>
        <v>Raudhah aqiqah</v>
      </c>
      <c r="X1522" s="42" t="str">
        <f ca="1"/>
        <v>ON-Raudhah aqiqah-19112025+5-6285332218714</v>
      </c>
      <c r="Y1522" s="40" t="s">
        <v>62</v>
      </c>
      <c r="Z1522" s="40" t="s">
        <v>1465</v>
      </c>
      <c r="AA1522" s="23" t="str">
        <v>https://wa.me/6285332218714</v>
      </c>
      <c r="AB1522" s="28" t="s">
        <v>8094</v>
      </c>
      <c r="AC1522" s="28"/>
      <c r="AD1522" s="28" t="s">
        <v>690</v>
      </c>
      <c r="AE1522" s="28"/>
      <c r="AF1522" s="29"/>
      <c r="AG1522" s="28"/>
    </row>
    <row r="1523" spans="1:33" ht="15.75" customHeight="1">
      <c r="A1523" s="32" t="s">
        <v>196</v>
      </c>
      <c r="B1523" s="33">
        <v>1547</v>
      </c>
      <c r="C1523" s="33" t="s">
        <v>8095</v>
      </c>
      <c r="D1523" s="43">
        <v>45980</v>
      </c>
      <c r="E1523" s="43"/>
      <c r="F1523" s="32" t="s">
        <v>8067</v>
      </c>
      <c r="G1523" s="32" t="s">
        <v>8096</v>
      </c>
      <c r="H1523" s="32" t="s">
        <v>3070</v>
      </c>
      <c r="I1523" s="32">
        <v>6287780880807</v>
      </c>
      <c r="J1523" s="52"/>
      <c r="K1523" s="32" t="s">
        <v>8069</v>
      </c>
      <c r="L1523" s="32" t="s">
        <v>166</v>
      </c>
      <c r="M1523" s="32" t="s">
        <v>8070</v>
      </c>
      <c r="N1523" s="33">
        <v>5</v>
      </c>
      <c r="O1523" s="35">
        <v>45982</v>
      </c>
      <c r="P1523" s="35">
        <v>45986</v>
      </c>
      <c r="Q1523" s="33"/>
      <c r="R1523" s="38">
        <v>-1003470351325</v>
      </c>
      <c r="S1523" s="33"/>
      <c r="T1523" s="60">
        <v>197000</v>
      </c>
      <c r="U1523" s="40" t="s">
        <v>1774</v>
      </c>
      <c r="V1523" s="61">
        <v>45980.736216238423</v>
      </c>
      <c r="W1523" s="40" t="str">
        <f ca="1">IFERROR(__xludf.DUMMYFUNCTION("""COMPUTED_VALUE"""),"NN, Refleksi")</f>
        <v>NN, Refleksi</v>
      </c>
      <c r="X1523" s="42" t="str">
        <f ca="1"/>
        <v>ON-NN, Refleksi-19112025+5-6287780880807</v>
      </c>
      <c r="Y1523" s="40" t="s">
        <v>62</v>
      </c>
      <c r="Z1523" s="40" t="s">
        <v>639</v>
      </c>
      <c r="AA1523" s="23" t="str">
        <v>https://wa.me/6287780880807</v>
      </c>
      <c r="AB1523" s="28" t="s">
        <v>8097</v>
      </c>
      <c r="AC1523" s="28"/>
      <c r="AD1523" s="28" t="s">
        <v>690</v>
      </c>
      <c r="AE1523" s="28"/>
      <c r="AF1523" s="29"/>
      <c r="AG1523" s="28"/>
    </row>
    <row r="1524" spans="1:33" ht="15.75" customHeight="1">
      <c r="A1524" s="32" t="s">
        <v>196</v>
      </c>
      <c r="B1524" s="33">
        <v>64</v>
      </c>
      <c r="C1524" s="34" t="s">
        <v>8098</v>
      </c>
      <c r="D1524" s="35">
        <v>45981</v>
      </c>
      <c r="E1524" s="44">
        <v>45820</v>
      </c>
      <c r="F1524" s="32" t="s">
        <v>2356</v>
      </c>
      <c r="G1524" s="32" t="s">
        <v>2357</v>
      </c>
      <c r="H1524" s="32" t="s">
        <v>2358</v>
      </c>
      <c r="I1524" s="36" t="s">
        <v>2359</v>
      </c>
      <c r="J1524" s="32"/>
      <c r="K1524" s="32" t="s">
        <v>6384</v>
      </c>
      <c r="L1524" s="32" t="s">
        <v>1542</v>
      </c>
      <c r="M1524" s="32" t="s">
        <v>60</v>
      </c>
      <c r="N1524" s="33">
        <v>5</v>
      </c>
      <c r="O1524" s="35"/>
      <c r="P1524" s="35"/>
      <c r="Q1524" s="37"/>
      <c r="R1524" s="38">
        <v>-1003470351325</v>
      </c>
      <c r="S1524" s="33"/>
      <c r="T1524" s="39">
        <v>197000</v>
      </c>
      <c r="U1524" s="40" t="s">
        <v>61</v>
      </c>
      <c r="V1524" s="47">
        <v>45982.226017453708</v>
      </c>
      <c r="W1524" s="42" t="str">
        <f ca="1">IFERROR(__xludf.DUMMYFUNCTION("""COMPUTED_VALUE"""),"Suzuki Mamuju")</f>
        <v>Suzuki Mamuju</v>
      </c>
      <c r="X1524" s="42" t="str">
        <f ca="1"/>
        <v>ON-Suzuki Mamuju-21112025+5-6281221788919</v>
      </c>
      <c r="Y1524" s="40" t="s">
        <v>62</v>
      </c>
      <c r="Z1524" s="40" t="s">
        <v>214</v>
      </c>
      <c r="AA1524" s="23" t="str">
        <v>https://wa.me/6281221788919</v>
      </c>
      <c r="AB1524" s="28" t="s">
        <v>8099</v>
      </c>
      <c r="AC1524" s="28"/>
      <c r="AD1524" s="28"/>
      <c r="AE1524" s="28"/>
      <c r="AF1524" s="29"/>
      <c r="AG1524" s="29"/>
    </row>
    <row r="1525" spans="1:33" ht="15.75" customHeight="1">
      <c r="A1525" s="32" t="s">
        <v>196</v>
      </c>
      <c r="B1525" s="33">
        <v>143</v>
      </c>
      <c r="C1525" s="34" t="s">
        <v>8100</v>
      </c>
      <c r="D1525" s="35">
        <v>45981</v>
      </c>
      <c r="E1525" s="43">
        <v>45831</v>
      </c>
      <c r="F1525" s="32" t="s">
        <v>2544</v>
      </c>
      <c r="G1525" s="32" t="s">
        <v>2545</v>
      </c>
      <c r="H1525" s="32" t="s">
        <v>6977</v>
      </c>
      <c r="I1525" s="36" t="s">
        <v>2547</v>
      </c>
      <c r="J1525" s="32"/>
      <c r="K1525" s="32" t="s">
        <v>6978</v>
      </c>
      <c r="L1525" s="32" t="s">
        <v>2468</v>
      </c>
      <c r="M1525" s="32" t="s">
        <v>131</v>
      </c>
      <c r="N1525" s="33">
        <v>10</v>
      </c>
      <c r="O1525" s="35"/>
      <c r="P1525" s="35"/>
      <c r="Q1525" s="37"/>
      <c r="R1525" s="38">
        <v>-1003470351325</v>
      </c>
      <c r="S1525" s="33"/>
      <c r="T1525" s="39">
        <v>375000</v>
      </c>
      <c r="U1525" s="40" t="s">
        <v>61</v>
      </c>
      <c r="V1525" s="47">
        <v>45982.225343599537</v>
      </c>
      <c r="W1525" s="42" t="str">
        <f ca="1">IFERROR(__xludf.DUMMYFUNCTION("""COMPUTED_VALUE"""),"Lubijo Berkah")</f>
        <v>Lubijo Berkah</v>
      </c>
      <c r="X1525" s="42" t="str">
        <f ca="1"/>
        <v>ON-Lubijo Berkah-21112025+10-6281233038880</v>
      </c>
      <c r="Y1525" s="40" t="s">
        <v>50</v>
      </c>
      <c r="Z1525" s="40" t="s">
        <v>1057</v>
      </c>
      <c r="AA1525" s="23" t="str">
        <v>https://wa.me/6281233038880</v>
      </c>
      <c r="AB1525" s="28" t="s">
        <v>8101</v>
      </c>
      <c r="AC1525" s="28"/>
      <c r="AD1525" s="28" t="s">
        <v>690</v>
      </c>
      <c r="AE1525" s="28"/>
      <c r="AF1525" s="29"/>
      <c r="AG1525" s="29"/>
    </row>
    <row r="1526" spans="1:33" ht="15.75" customHeight="1">
      <c r="A1526" s="32" t="s">
        <v>196</v>
      </c>
      <c r="B1526" s="33">
        <v>473</v>
      </c>
      <c r="C1526" s="34" t="s">
        <v>8102</v>
      </c>
      <c r="D1526" s="35">
        <v>45981</v>
      </c>
      <c r="E1526" s="43">
        <v>45859</v>
      </c>
      <c r="F1526" s="32" t="s">
        <v>3772</v>
      </c>
      <c r="G1526" s="32" t="s">
        <v>3773</v>
      </c>
      <c r="H1526" s="32" t="s">
        <v>3774</v>
      </c>
      <c r="I1526" s="36" t="s">
        <v>3775</v>
      </c>
      <c r="J1526" s="52"/>
      <c r="K1526" s="32" t="s">
        <v>570</v>
      </c>
      <c r="L1526" s="32" t="s">
        <v>2291</v>
      </c>
      <c r="M1526" s="32" t="s">
        <v>2032</v>
      </c>
      <c r="N1526" s="33">
        <v>10</v>
      </c>
      <c r="O1526" s="35"/>
      <c r="P1526" s="35"/>
      <c r="Q1526" s="37"/>
      <c r="R1526" s="38">
        <v>-1003470351325</v>
      </c>
      <c r="S1526" s="33"/>
      <c r="T1526" s="39">
        <v>375000</v>
      </c>
      <c r="U1526" s="40" t="s">
        <v>61</v>
      </c>
      <c r="V1526" s="47">
        <v>45981.27151979167</v>
      </c>
      <c r="W1526" s="42" t="str">
        <f ca="1">IFERROR(__xludf.DUMMYFUNCTION("""COMPUTED_VALUE"""),"Kharisma Filter")</f>
        <v>Kharisma Filter</v>
      </c>
      <c r="X1526" s="42" t="str">
        <f ca="1"/>
        <v>ON-Kharisma Filter-20112025+10-6285893658659</v>
      </c>
      <c r="Y1526" s="40" t="s">
        <v>293</v>
      </c>
      <c r="Z1526" s="40" t="s">
        <v>1057</v>
      </c>
      <c r="AA1526" s="23" t="str">
        <v>https://wa.me/6285893658659</v>
      </c>
      <c r="AB1526" s="28" t="s">
        <v>8103</v>
      </c>
      <c r="AC1526" s="28"/>
      <c r="AD1526" s="28" t="s">
        <v>690</v>
      </c>
      <c r="AE1526" s="28"/>
      <c r="AF1526" s="29"/>
      <c r="AG1526" s="29"/>
    </row>
    <row r="1527" spans="1:33" ht="15.75" customHeight="1">
      <c r="A1527" s="32" t="s">
        <v>196</v>
      </c>
      <c r="B1527" s="33">
        <v>877</v>
      </c>
      <c r="C1527" s="34" t="s">
        <v>8104</v>
      </c>
      <c r="D1527" s="35">
        <v>45981</v>
      </c>
      <c r="E1527" s="43">
        <v>45903</v>
      </c>
      <c r="F1527" s="32" t="s">
        <v>5904</v>
      </c>
      <c r="G1527" s="32" t="s">
        <v>7554</v>
      </c>
      <c r="H1527" s="32" t="s">
        <v>507</v>
      </c>
      <c r="I1527" s="36" t="s">
        <v>1062</v>
      </c>
      <c r="J1527" s="52"/>
      <c r="K1527" s="32" t="s">
        <v>7555</v>
      </c>
      <c r="L1527" s="32" t="s">
        <v>696</v>
      </c>
      <c r="M1527" s="32" t="s">
        <v>382</v>
      </c>
      <c r="N1527" s="33">
        <v>10</v>
      </c>
      <c r="O1527" s="35"/>
      <c r="P1527" s="35"/>
      <c r="Q1527" s="37"/>
      <c r="R1527" s="38">
        <v>-1003470351325</v>
      </c>
      <c r="S1527" s="33"/>
      <c r="T1527" s="39">
        <v>375000</v>
      </c>
      <c r="U1527" s="40" t="s">
        <v>115</v>
      </c>
      <c r="V1527" s="47">
        <v>45981.658392129626</v>
      </c>
      <c r="W1527" s="42" t="str">
        <f ca="1">IFERROR(__xludf.DUMMYFUNCTION("""COMPUTED_VALUE"""),"YUCA SIDO")</f>
        <v>YUCA SIDO</v>
      </c>
      <c r="X1527" s="42" t="str">
        <f ca="1"/>
        <v>ON-YUCA SIDO-20112025+10-6282399721881</v>
      </c>
      <c r="Y1527" s="40" t="s">
        <v>293</v>
      </c>
      <c r="Z1527" s="40" t="s">
        <v>1057</v>
      </c>
      <c r="AA1527" s="23" t="str">
        <v>https://wa.me/6282399721881</v>
      </c>
      <c r="AB1527" s="28" t="s">
        <v>8105</v>
      </c>
      <c r="AC1527" s="28"/>
      <c r="AD1527" s="28" t="s">
        <v>690</v>
      </c>
      <c r="AE1527" s="28"/>
      <c r="AF1527" s="29">
        <v>45906</v>
      </c>
      <c r="AG1527" s="29"/>
    </row>
    <row r="1528" spans="1:33" ht="15.75" customHeight="1">
      <c r="A1528" s="32" t="s">
        <v>196</v>
      </c>
      <c r="B1528" s="33">
        <v>982</v>
      </c>
      <c r="C1528" s="34" t="s">
        <v>8106</v>
      </c>
      <c r="D1528" s="35">
        <v>46028</v>
      </c>
      <c r="E1528" s="43">
        <v>45914</v>
      </c>
      <c r="F1528" s="32" t="s">
        <v>8107</v>
      </c>
      <c r="G1528" s="32" t="s">
        <v>8108</v>
      </c>
      <c r="H1528" s="32" t="s">
        <v>409</v>
      </c>
      <c r="I1528" s="36" t="s">
        <v>8109</v>
      </c>
      <c r="J1528" s="52"/>
      <c r="K1528" s="32" t="s">
        <v>8110</v>
      </c>
      <c r="L1528" s="32" t="s">
        <v>2133</v>
      </c>
      <c r="M1528" s="32" t="s">
        <v>60</v>
      </c>
      <c r="N1528" s="33">
        <v>14</v>
      </c>
      <c r="O1528" s="35"/>
      <c r="P1528" s="35"/>
      <c r="Q1528" s="37"/>
      <c r="R1528" s="38">
        <v>-1003470351325</v>
      </c>
      <c r="S1528" s="33"/>
      <c r="T1528" s="39">
        <v>550000</v>
      </c>
      <c r="U1528" s="40" t="s">
        <v>61</v>
      </c>
      <c r="V1528" s="47">
        <v>46028.930861840279</v>
      </c>
      <c r="W1528" s="42" t="str">
        <f ca="1">IFERROR(__xludf.DUMMYFUNCTION("""COMPUTED_VALUE"""),"Sukmajaya Makmur")</f>
        <v>Sukmajaya Makmur</v>
      </c>
      <c r="X1528" s="42" t="str">
        <f ca="1"/>
        <v>ON-Sukmajaya Makmur-06012026+14-6285655442852</v>
      </c>
      <c r="Y1528" s="40" t="s">
        <v>293</v>
      </c>
      <c r="Z1528" s="40" t="s">
        <v>1057</v>
      </c>
      <c r="AA1528" s="23" t="str">
        <v>https://wa.me/6285655442852</v>
      </c>
      <c r="AB1528" s="28" t="s">
        <v>8111</v>
      </c>
      <c r="AC1528" s="28"/>
      <c r="AD1528" s="28" t="s">
        <v>690</v>
      </c>
      <c r="AE1528" s="28"/>
      <c r="AF1528" s="29">
        <v>45923</v>
      </c>
      <c r="AG1528" s="29"/>
    </row>
    <row r="1529" spans="1:33" ht="15.75" customHeight="1">
      <c r="A1529" s="32" t="s">
        <v>196</v>
      </c>
      <c r="B1529" s="33">
        <v>1319</v>
      </c>
      <c r="C1529" s="34" t="s">
        <v>8112</v>
      </c>
      <c r="D1529" s="35">
        <v>45981</v>
      </c>
      <c r="E1529" s="43">
        <v>45958</v>
      </c>
      <c r="F1529" s="32" t="s">
        <v>7710</v>
      </c>
      <c r="G1529" s="32" t="s">
        <v>7711</v>
      </c>
      <c r="H1529" s="32" t="s">
        <v>7712</v>
      </c>
      <c r="I1529" s="36" t="s">
        <v>7713</v>
      </c>
      <c r="J1529" s="52"/>
      <c r="K1529" s="32" t="s">
        <v>345</v>
      </c>
      <c r="L1529" s="32" t="s">
        <v>4783</v>
      </c>
      <c r="M1529" s="32" t="s">
        <v>382</v>
      </c>
      <c r="N1529" s="33">
        <v>5</v>
      </c>
      <c r="O1529" s="35"/>
      <c r="P1529" s="35"/>
      <c r="Q1529" s="37"/>
      <c r="R1529" s="38">
        <v>-1003470351325</v>
      </c>
      <c r="S1529" s="33"/>
      <c r="T1529" s="39">
        <v>197000</v>
      </c>
      <c r="U1529" s="40" t="s">
        <v>1774</v>
      </c>
      <c r="V1529" s="47">
        <v>45981.530984675926</v>
      </c>
      <c r="W1529" s="42" t="str">
        <f ca="1">IFERROR(__xludf.DUMMYFUNCTION("""COMPUTED_VALUE"""),"AJP Arfi")</f>
        <v>AJP Arfi</v>
      </c>
      <c r="X1529" s="42" t="str">
        <f ca="1"/>
        <v>ON-AJP Arfi-20112025+5-6289673319845</v>
      </c>
      <c r="Y1529" s="40" t="s">
        <v>293</v>
      </c>
      <c r="Z1529" s="40" t="s">
        <v>1057</v>
      </c>
      <c r="AA1529" s="23" t="str">
        <v>https://wa.me/6289673319845</v>
      </c>
      <c r="AB1529" s="28" t="s">
        <v>8113</v>
      </c>
      <c r="AC1529" s="28"/>
      <c r="AD1529" s="28" t="s">
        <v>690</v>
      </c>
      <c r="AE1529" s="28"/>
      <c r="AF1529" s="29"/>
      <c r="AG1529" s="29"/>
    </row>
    <row r="1530" spans="1:33" ht="15.75" customHeight="1">
      <c r="A1530" s="32" t="s">
        <v>196</v>
      </c>
      <c r="B1530" s="33">
        <v>1548</v>
      </c>
      <c r="C1530" s="33" t="s">
        <v>8114</v>
      </c>
      <c r="D1530" s="43">
        <v>45980</v>
      </c>
      <c r="E1530" s="43"/>
      <c r="F1530" s="32" t="s">
        <v>8115</v>
      </c>
      <c r="G1530" s="32" t="s">
        <v>8116</v>
      </c>
      <c r="H1530" s="32" t="s">
        <v>8117</v>
      </c>
      <c r="I1530" s="32">
        <v>6281321213934</v>
      </c>
      <c r="J1530" s="52"/>
      <c r="K1530" s="32" t="s">
        <v>570</v>
      </c>
      <c r="L1530" s="32" t="s">
        <v>3637</v>
      </c>
      <c r="M1530" s="32" t="s">
        <v>2424</v>
      </c>
      <c r="N1530" s="33">
        <v>5</v>
      </c>
      <c r="O1530" s="35">
        <v>45982</v>
      </c>
      <c r="P1530" s="35">
        <v>45986</v>
      </c>
      <c r="Q1530" s="33"/>
      <c r="R1530" s="38">
        <v>-1003470351325</v>
      </c>
      <c r="S1530" s="33"/>
      <c r="T1530" s="60">
        <v>197000</v>
      </c>
      <c r="U1530" s="40" t="s">
        <v>243</v>
      </c>
      <c r="V1530" s="61">
        <v>45980.951344467598</v>
      </c>
      <c r="W1530" s="40" t="str">
        <f ca="1">IFERROR(__xludf.DUMMYFUNCTION("""COMPUTED_VALUE"""),"Suzuki Cinere")</f>
        <v>Suzuki Cinere</v>
      </c>
      <c r="X1530" s="42" t="str">
        <f ca="1"/>
        <v>ON-Suzuki Cinere-19112025+5-6281321213934</v>
      </c>
      <c r="Y1530" s="40" t="s">
        <v>62</v>
      </c>
      <c r="Z1530" s="40" t="s">
        <v>294</v>
      </c>
      <c r="AA1530" s="23" t="str">
        <v>https://wa.me/6281321213934</v>
      </c>
      <c r="AB1530" s="28" t="s">
        <v>8118</v>
      </c>
      <c r="AC1530" s="28"/>
      <c r="AD1530" s="28" t="s">
        <v>690</v>
      </c>
      <c r="AE1530" s="28"/>
      <c r="AF1530" s="29"/>
      <c r="AG1530" s="28"/>
    </row>
    <row r="1531" spans="1:33" ht="15.75" customHeight="1">
      <c r="A1531" s="32" t="s">
        <v>196</v>
      </c>
      <c r="B1531" s="33">
        <v>1521</v>
      </c>
      <c r="C1531" s="34" t="s">
        <v>8119</v>
      </c>
      <c r="D1531" s="43">
        <v>46038</v>
      </c>
      <c r="E1531" s="43">
        <v>45968</v>
      </c>
      <c r="F1531" s="32" t="s">
        <v>8120</v>
      </c>
      <c r="G1531" s="32" t="s">
        <v>8121</v>
      </c>
      <c r="H1531" s="32" t="s">
        <v>5688</v>
      </c>
      <c r="I1531" s="36" t="s">
        <v>8122</v>
      </c>
      <c r="J1531" s="52"/>
      <c r="K1531" s="32" t="s">
        <v>8123</v>
      </c>
      <c r="L1531" s="32" t="s">
        <v>467</v>
      </c>
      <c r="M1531" s="32" t="s">
        <v>8124</v>
      </c>
      <c r="N1531" s="33">
        <v>5</v>
      </c>
      <c r="O1531" s="35"/>
      <c r="P1531" s="35"/>
      <c r="Q1531" s="37"/>
      <c r="R1531" s="38">
        <v>-1003470351325</v>
      </c>
      <c r="S1531" s="33"/>
      <c r="T1531" s="39">
        <v>197000</v>
      </c>
      <c r="U1531" s="40" t="s">
        <v>115</v>
      </c>
      <c r="V1531" s="47">
        <v>46038.386571319439</v>
      </c>
      <c r="W1531" s="42" t="str">
        <f ca="1">IFERROR(__xludf.DUMMYFUNCTION("""COMPUTED_VALUE"""),"syahdu massage")</f>
        <v>syahdu massage</v>
      </c>
      <c r="X1531" s="42" t="str">
        <f ca="1"/>
        <v>ON-syahdu massage-16012026+5-6285385070717</v>
      </c>
      <c r="Y1531" s="40" t="s">
        <v>62</v>
      </c>
      <c r="Z1531" s="40" t="s">
        <v>639</v>
      </c>
      <c r="AA1531" s="23" t="str">
        <v>https://wa.me/6285385070717</v>
      </c>
      <c r="AB1531" s="28" t="s">
        <v>8125</v>
      </c>
      <c r="AC1531" s="28"/>
      <c r="AD1531" s="28" t="s">
        <v>690</v>
      </c>
      <c r="AE1531" s="28"/>
      <c r="AF1531" s="29"/>
      <c r="AG1531" s="29"/>
    </row>
    <row r="1532" spans="1:33" ht="15.75" customHeight="1">
      <c r="A1532" s="32" t="s">
        <v>196</v>
      </c>
      <c r="B1532" s="33">
        <v>1549</v>
      </c>
      <c r="C1532" s="33" t="s">
        <v>8126</v>
      </c>
      <c r="D1532" s="43">
        <v>45981</v>
      </c>
      <c r="E1532" s="43"/>
      <c r="F1532" s="32" t="s">
        <v>8127</v>
      </c>
      <c r="G1532" s="32" t="s">
        <v>8128</v>
      </c>
      <c r="H1532" s="32" t="s">
        <v>8129</v>
      </c>
      <c r="I1532" s="32">
        <v>6285355119665</v>
      </c>
      <c r="J1532" s="52"/>
      <c r="K1532" s="32" t="s">
        <v>8130</v>
      </c>
      <c r="L1532" s="32" t="s">
        <v>930</v>
      </c>
      <c r="M1532" s="32" t="s">
        <v>285</v>
      </c>
      <c r="N1532" s="33">
        <v>10</v>
      </c>
      <c r="O1532" s="35">
        <v>45983</v>
      </c>
      <c r="P1532" s="35">
        <v>45992</v>
      </c>
      <c r="Q1532" s="33"/>
      <c r="R1532" s="38">
        <v>-1003470351325</v>
      </c>
      <c r="S1532" s="33"/>
      <c r="T1532" s="60">
        <v>375000</v>
      </c>
      <c r="U1532" s="40" t="s">
        <v>1774</v>
      </c>
      <c r="V1532" s="61">
        <v>45981.364971689814</v>
      </c>
      <c r="W1532" s="40" t="str">
        <f ca="1">IFERROR(__xludf.DUMMYFUNCTION("""COMPUTED_VALUE"""),"Papua Cares")</f>
        <v>Papua Cares</v>
      </c>
      <c r="X1532" s="42" t="str">
        <f ca="1"/>
        <v>ON-Papua Cares-20112025+10-6285355119665</v>
      </c>
      <c r="Y1532" s="40" t="s">
        <v>62</v>
      </c>
      <c r="Z1532" s="40" t="s">
        <v>1465</v>
      </c>
      <c r="AA1532" s="23" t="str">
        <v>https://wa.me/6285355119665</v>
      </c>
      <c r="AB1532" s="28" t="s">
        <v>8131</v>
      </c>
      <c r="AC1532" s="28"/>
      <c r="AD1532" s="28" t="s">
        <v>690</v>
      </c>
      <c r="AE1532" s="28"/>
      <c r="AF1532" s="29"/>
      <c r="AG1532" s="28"/>
    </row>
    <row r="1533" spans="1:33" ht="15.75" customHeight="1">
      <c r="A1533" s="32" t="s">
        <v>196</v>
      </c>
      <c r="B1533" s="33">
        <v>1550</v>
      </c>
      <c r="C1533" s="33" t="s">
        <v>8132</v>
      </c>
      <c r="D1533" s="43">
        <v>45981</v>
      </c>
      <c r="E1533" s="43"/>
      <c r="F1533" s="32" t="s">
        <v>8133</v>
      </c>
      <c r="G1533" s="32" t="s">
        <v>8134</v>
      </c>
      <c r="H1533" s="32" t="s">
        <v>8135</v>
      </c>
      <c r="I1533" s="32">
        <v>6285292365257</v>
      </c>
      <c r="J1533" s="52"/>
      <c r="K1533" s="32" t="s">
        <v>8136</v>
      </c>
      <c r="L1533" s="32" t="s">
        <v>3762</v>
      </c>
      <c r="M1533" s="32" t="s">
        <v>2424</v>
      </c>
      <c r="N1533" s="33">
        <v>10</v>
      </c>
      <c r="O1533" s="35">
        <v>45983</v>
      </c>
      <c r="P1533" s="35">
        <v>45992</v>
      </c>
      <c r="Q1533" s="33"/>
      <c r="R1533" s="38">
        <v>-1003470351325</v>
      </c>
      <c r="S1533" s="33"/>
      <c r="T1533" s="60">
        <v>375000</v>
      </c>
      <c r="U1533" s="40" t="s">
        <v>243</v>
      </c>
      <c r="V1533" s="61">
        <v>45981.497187627319</v>
      </c>
      <c r="W1533" s="40" t="str">
        <f ca="1">IFERROR(__xludf.DUMMYFUNCTION("""COMPUTED_VALUE"""),"Bimbel Antusias")</f>
        <v>Bimbel Antusias</v>
      </c>
      <c r="X1533" s="42" t="str">
        <f ca="1"/>
        <v>ON-Bimbel Antusias-20112025+10-6285292365257</v>
      </c>
      <c r="Y1533" s="40" t="s">
        <v>62</v>
      </c>
      <c r="Z1533" s="40" t="s">
        <v>1404</v>
      </c>
      <c r="AA1533" s="23" t="str">
        <v>https://wa.me/6285292365257</v>
      </c>
      <c r="AB1533" s="28" t="s">
        <v>8137</v>
      </c>
      <c r="AC1533" s="28"/>
      <c r="AD1533" s="28" t="s">
        <v>690</v>
      </c>
      <c r="AE1533" s="28"/>
      <c r="AF1533" s="29"/>
      <c r="AG1533" s="28"/>
    </row>
    <row r="1534" spans="1:33" ht="15.75" customHeight="1">
      <c r="A1534" s="32" t="s">
        <v>196</v>
      </c>
      <c r="B1534" s="33">
        <v>1551</v>
      </c>
      <c r="C1534" s="33" t="s">
        <v>8138</v>
      </c>
      <c r="D1534" s="43">
        <v>45981</v>
      </c>
      <c r="E1534" s="43"/>
      <c r="F1534" s="32" t="s">
        <v>8139</v>
      </c>
      <c r="G1534" s="32" t="s">
        <v>8140</v>
      </c>
      <c r="H1534" s="32" t="s">
        <v>8141</v>
      </c>
      <c r="I1534" s="32">
        <v>6285123658125</v>
      </c>
      <c r="J1534" s="52"/>
      <c r="K1534" s="32" t="s">
        <v>8142</v>
      </c>
      <c r="L1534" s="32" t="s">
        <v>92</v>
      </c>
      <c r="M1534" s="32" t="s">
        <v>60</v>
      </c>
      <c r="N1534" s="33">
        <v>5</v>
      </c>
      <c r="O1534" s="35">
        <v>45983</v>
      </c>
      <c r="P1534" s="35">
        <v>45987</v>
      </c>
      <c r="Q1534" s="33"/>
      <c r="R1534" s="38">
        <v>-1003470351325</v>
      </c>
      <c r="S1534" s="33"/>
      <c r="T1534" s="60">
        <v>197000</v>
      </c>
      <c r="U1534" s="40" t="s">
        <v>61</v>
      </c>
      <c r="V1534" s="61">
        <v>45982.230985358794</v>
      </c>
      <c r="W1534" s="40" t="str">
        <f ca="1">IFERROR(__xludf.DUMMYFUNCTION("""COMPUTED_VALUE"""),"Mandiri Home")</f>
        <v>Mandiri Home</v>
      </c>
      <c r="X1534" s="42" t="str">
        <f ca="1"/>
        <v>ON-Mandiri Home-21112025+5-6285123658125</v>
      </c>
      <c r="Y1534" s="40" t="s">
        <v>293</v>
      </c>
      <c r="Z1534" s="40" t="s">
        <v>1057</v>
      </c>
      <c r="AA1534" s="23" t="str">
        <v>https://wa.me/6285123658125</v>
      </c>
      <c r="AB1534" s="28" t="s">
        <v>8143</v>
      </c>
      <c r="AC1534" s="28"/>
      <c r="AD1534" s="28" t="s">
        <v>690</v>
      </c>
      <c r="AE1534" s="28"/>
      <c r="AF1534" s="29"/>
      <c r="AG1534" s="28"/>
    </row>
    <row r="1535" spans="1:33" ht="15.75" customHeight="1">
      <c r="A1535" s="9" t="s">
        <v>52</v>
      </c>
      <c r="B1535" s="10">
        <v>31</v>
      </c>
      <c r="C1535" s="11" t="s">
        <v>8144</v>
      </c>
      <c r="D1535" s="12">
        <v>45982</v>
      </c>
      <c r="E1535" s="12">
        <v>45809.558405231481</v>
      </c>
      <c r="F1535" s="9" t="s">
        <v>2487</v>
      </c>
      <c r="G1535" s="9" t="s">
        <v>2488</v>
      </c>
      <c r="H1535" s="9" t="s">
        <v>879</v>
      </c>
      <c r="I1535" s="13" t="s">
        <v>2489</v>
      </c>
      <c r="J1535" s="9"/>
      <c r="K1535" s="9" t="s">
        <v>2490</v>
      </c>
      <c r="L1535" s="9" t="s">
        <v>2491</v>
      </c>
      <c r="M1535" s="9" t="s">
        <v>249</v>
      </c>
      <c r="N1535" s="14">
        <v>5</v>
      </c>
      <c r="O1535" s="12"/>
      <c r="P1535" s="12"/>
      <c r="Q1535" s="15"/>
      <c r="R1535" s="10">
        <v>-1003470351325</v>
      </c>
      <c r="S1535" s="14"/>
      <c r="T1535" s="16">
        <v>197000</v>
      </c>
      <c r="U1535" s="17" t="s">
        <v>1774</v>
      </c>
      <c r="V1535" s="62">
        <v>45982.801466273144</v>
      </c>
      <c r="W1535" s="19" t="str">
        <f ca="1">IFERROR(__xludf.DUMMYFUNCTION("""COMPUTED_VALUE"""),"Naufal interior")</f>
        <v>Naufal interior</v>
      </c>
      <c r="X1535" s="19" t="str">
        <f ca="1"/>
        <v>ON-Naufal interior-21112025+5-6281347321820</v>
      </c>
      <c r="Y1535" s="17" t="s">
        <v>50</v>
      </c>
      <c r="Z1535" s="17" t="s">
        <v>241</v>
      </c>
      <c r="AA1535" s="23" t="str">
        <v>https://wa.me/6281347321820</v>
      </c>
      <c r="AB1535" s="24"/>
      <c r="AC1535" s="24"/>
      <c r="AD1535" s="24"/>
      <c r="AE1535" s="24"/>
      <c r="AF1535" s="25"/>
      <c r="AG1535" s="25"/>
    </row>
    <row r="1536" spans="1:33" ht="15.75" customHeight="1">
      <c r="A1536" s="32" t="s">
        <v>52</v>
      </c>
      <c r="B1536" s="33">
        <v>621</v>
      </c>
      <c r="C1536" s="34" t="s">
        <v>8145</v>
      </c>
      <c r="D1536" s="35">
        <v>45982</v>
      </c>
      <c r="E1536" s="43">
        <v>45877</v>
      </c>
      <c r="F1536" s="32" t="s">
        <v>5159</v>
      </c>
      <c r="G1536" s="32" t="s">
        <v>5160</v>
      </c>
      <c r="H1536" s="32" t="s">
        <v>5161</v>
      </c>
      <c r="I1536" s="36" t="s">
        <v>5162</v>
      </c>
      <c r="J1536" s="52"/>
      <c r="K1536" s="32" t="s">
        <v>5163</v>
      </c>
      <c r="L1536" s="32" t="s">
        <v>2468</v>
      </c>
      <c r="M1536" s="32" t="s">
        <v>60</v>
      </c>
      <c r="N1536" s="33">
        <v>10</v>
      </c>
      <c r="O1536" s="35"/>
      <c r="P1536" s="35"/>
      <c r="Q1536" s="37"/>
      <c r="R1536" s="38">
        <v>-1003470351325</v>
      </c>
      <c r="S1536" s="33"/>
      <c r="T1536" s="39">
        <v>375000</v>
      </c>
      <c r="U1536" s="40" t="s">
        <v>61</v>
      </c>
      <c r="V1536" s="47">
        <v>45982.847981689818</v>
      </c>
      <c r="W1536" s="42" t="str">
        <f ca="1">IFERROR(__xludf.DUMMYFUNCTION("""COMPUTED_VALUE"""),"Wirisvariasi")</f>
        <v>Wirisvariasi</v>
      </c>
      <c r="X1536" s="42" t="str">
        <f ca="1"/>
        <v>ON-Wirisvariasi-21112025+10-6282242925264</v>
      </c>
      <c r="Y1536" s="40"/>
      <c r="Z1536" s="40"/>
      <c r="AA1536" s="23" t="str">
        <v>https://wa.me/6282242925264</v>
      </c>
      <c r="AB1536" s="28"/>
      <c r="AC1536" s="28"/>
      <c r="AD1536" s="28"/>
      <c r="AE1536" s="28"/>
      <c r="AF1536" s="29"/>
      <c r="AG1536" s="29"/>
    </row>
    <row r="1537" spans="1:33" ht="15.75" customHeight="1">
      <c r="A1537" s="32" t="s">
        <v>196</v>
      </c>
      <c r="B1537" s="33">
        <v>1552</v>
      </c>
      <c r="C1537" s="33" t="s">
        <v>8146</v>
      </c>
      <c r="D1537" s="43">
        <v>45982</v>
      </c>
      <c r="E1537" s="43"/>
      <c r="F1537" s="32" t="s">
        <v>8147</v>
      </c>
      <c r="G1537" s="32" t="s">
        <v>8148</v>
      </c>
      <c r="H1537" s="32" t="s">
        <v>8149</v>
      </c>
      <c r="I1537" s="32">
        <v>6287838914455</v>
      </c>
      <c r="J1537" s="52"/>
      <c r="K1537" s="32" t="s">
        <v>8150</v>
      </c>
      <c r="L1537" s="32" t="s">
        <v>1395</v>
      </c>
      <c r="M1537" s="32" t="s">
        <v>60</v>
      </c>
      <c r="N1537" s="33">
        <v>7</v>
      </c>
      <c r="O1537" s="35">
        <v>45985</v>
      </c>
      <c r="P1537" s="35">
        <v>45991</v>
      </c>
      <c r="Q1537" s="33"/>
      <c r="R1537" s="38">
        <v>-1003470351325</v>
      </c>
      <c r="S1537" s="33"/>
      <c r="T1537" s="60">
        <v>297000</v>
      </c>
      <c r="U1537" s="40" t="s">
        <v>61</v>
      </c>
      <c r="V1537" s="61">
        <v>45983.396308368057</v>
      </c>
      <c r="W1537" s="40" t="str">
        <f ca="1">IFERROR(__xludf.DUMMYFUNCTION("""COMPUTED_VALUE"""),"Toko Maxxis")</f>
        <v>Toko Maxxis</v>
      </c>
      <c r="X1537" s="42" t="str">
        <f ca="1"/>
        <v>ON-Toko Maxxis-22112025+7-6287838914455</v>
      </c>
      <c r="Y1537" s="40" t="s">
        <v>62</v>
      </c>
      <c r="Z1537" s="40" t="s">
        <v>294</v>
      </c>
      <c r="AA1537" s="23" t="str">
        <v>https://wa.me/6287838914455</v>
      </c>
      <c r="AB1537" s="28" t="s">
        <v>8151</v>
      </c>
      <c r="AC1537" s="28"/>
      <c r="AD1537" s="28" t="s">
        <v>690</v>
      </c>
      <c r="AE1537" s="28"/>
      <c r="AF1537" s="29"/>
      <c r="AG1537" s="28"/>
    </row>
    <row r="1538" spans="1:33" ht="15.75" customHeight="1">
      <c r="A1538" s="32" t="s">
        <v>196</v>
      </c>
      <c r="B1538" s="33">
        <v>519</v>
      </c>
      <c r="C1538" s="34" t="s">
        <v>8152</v>
      </c>
      <c r="D1538" s="35">
        <v>45983</v>
      </c>
      <c r="E1538" s="43">
        <v>45870</v>
      </c>
      <c r="F1538" s="32" t="s">
        <v>4689</v>
      </c>
      <c r="G1538" s="32" t="s">
        <v>4690</v>
      </c>
      <c r="H1538" s="32" t="s">
        <v>3927</v>
      </c>
      <c r="I1538" s="36" t="s">
        <v>4691</v>
      </c>
      <c r="J1538" s="52"/>
      <c r="K1538" s="32" t="s">
        <v>3520</v>
      </c>
      <c r="L1538" s="32" t="s">
        <v>964</v>
      </c>
      <c r="M1538" s="32" t="s">
        <v>382</v>
      </c>
      <c r="N1538" s="33">
        <v>30</v>
      </c>
      <c r="O1538" s="35"/>
      <c r="P1538" s="35"/>
      <c r="Q1538" s="37"/>
      <c r="R1538" s="38">
        <v>-1003470351325</v>
      </c>
      <c r="S1538" s="33"/>
      <c r="T1538" s="39">
        <v>1000000</v>
      </c>
      <c r="U1538" s="40" t="s">
        <v>115</v>
      </c>
      <c r="V1538" s="47">
        <v>45983.810154571758</v>
      </c>
      <c r="W1538" s="42" t="str">
        <f ca="1">IFERROR(__xludf.DUMMYFUNCTION("""COMPUTED_VALUE"""),"MEGAH PLAFON")</f>
        <v>MEGAH PLAFON</v>
      </c>
      <c r="X1538" s="42" t="str">
        <f ca="1"/>
        <v>ON-MEGAH PLAFON-22112025+30-6281323291817</v>
      </c>
      <c r="Y1538" s="40" t="s">
        <v>293</v>
      </c>
      <c r="Z1538" s="40" t="s">
        <v>1057</v>
      </c>
      <c r="AA1538" s="23" t="str">
        <v>https://wa.me/6281323291817</v>
      </c>
      <c r="AB1538" s="28" t="s">
        <v>8153</v>
      </c>
      <c r="AC1538" s="28"/>
      <c r="AD1538" s="28" t="s">
        <v>690</v>
      </c>
      <c r="AE1538" s="28"/>
      <c r="AF1538" s="29">
        <v>45880</v>
      </c>
      <c r="AG1538" s="29"/>
    </row>
    <row r="1539" spans="1:33" ht="15.75" customHeight="1">
      <c r="A1539" s="32" t="s">
        <v>196</v>
      </c>
      <c r="B1539" s="33">
        <v>775</v>
      </c>
      <c r="C1539" s="34" t="s">
        <v>8154</v>
      </c>
      <c r="D1539" s="35">
        <v>45983</v>
      </c>
      <c r="E1539" s="43">
        <v>45896</v>
      </c>
      <c r="F1539" s="32" t="s">
        <v>6401</v>
      </c>
      <c r="G1539" s="32" t="s">
        <v>6402</v>
      </c>
      <c r="H1539" s="32" t="s">
        <v>6403</v>
      </c>
      <c r="I1539" s="36" t="s">
        <v>6404</v>
      </c>
      <c r="J1539" s="52"/>
      <c r="K1539" s="32" t="s">
        <v>6405</v>
      </c>
      <c r="L1539" s="32" t="s">
        <v>1250</v>
      </c>
      <c r="M1539" s="32" t="s">
        <v>60</v>
      </c>
      <c r="N1539" s="33">
        <v>5</v>
      </c>
      <c r="O1539" s="35"/>
      <c r="P1539" s="35"/>
      <c r="Q1539" s="37"/>
      <c r="R1539" s="38">
        <v>-1003470351325</v>
      </c>
      <c r="S1539" s="33"/>
      <c r="T1539" s="39">
        <v>197000</v>
      </c>
      <c r="U1539" s="40" t="s">
        <v>61</v>
      </c>
      <c r="V1539" s="47">
        <v>45984.926196527776</v>
      </c>
      <c r="W1539" s="42" t="str">
        <f ca="1">IFERROR(__xludf.DUMMYFUNCTION("""COMPUTED_VALUE"""),"Nizam Traveling")</f>
        <v>Nizam Traveling</v>
      </c>
      <c r="X1539" s="42" t="str">
        <f ca="1"/>
        <v>ON-Nizam Traveling-23112025+5-6285361118289</v>
      </c>
      <c r="Y1539" s="40" t="s">
        <v>62</v>
      </c>
      <c r="Z1539" s="40" t="s">
        <v>1880</v>
      </c>
      <c r="AA1539" s="23" t="str">
        <v>https://wa.me/6285361118289</v>
      </c>
      <c r="AB1539" s="28" t="s">
        <v>8155</v>
      </c>
      <c r="AC1539" s="28"/>
      <c r="AD1539" s="28" t="s">
        <v>690</v>
      </c>
      <c r="AE1539" s="28"/>
      <c r="AF1539" s="29">
        <v>45898</v>
      </c>
      <c r="AG1539" s="29"/>
    </row>
    <row r="1540" spans="1:33" ht="15.75" customHeight="1">
      <c r="A1540" s="32" t="s">
        <v>196</v>
      </c>
      <c r="B1540" s="33">
        <v>1521</v>
      </c>
      <c r="C1540" s="34" t="s">
        <v>8119</v>
      </c>
      <c r="D1540" s="35">
        <v>45983</v>
      </c>
      <c r="E1540" s="43">
        <v>45976</v>
      </c>
      <c r="F1540" s="32" t="s">
        <v>8156</v>
      </c>
      <c r="G1540" s="32" t="s">
        <v>8157</v>
      </c>
      <c r="H1540" s="32" t="s">
        <v>8158</v>
      </c>
      <c r="I1540" s="36" t="s">
        <v>8159</v>
      </c>
      <c r="J1540" s="52"/>
      <c r="K1540" s="32" t="s">
        <v>1381</v>
      </c>
      <c r="L1540" s="32" t="s">
        <v>3921</v>
      </c>
      <c r="M1540" s="32" t="s">
        <v>382</v>
      </c>
      <c r="N1540" s="33">
        <v>5</v>
      </c>
      <c r="O1540" s="35"/>
      <c r="P1540" s="35"/>
      <c r="Q1540" s="37"/>
      <c r="R1540" s="38">
        <v>-1003470351325</v>
      </c>
      <c r="S1540" s="33"/>
      <c r="T1540" s="39">
        <v>197000</v>
      </c>
      <c r="U1540" s="40" t="s">
        <v>1774</v>
      </c>
      <c r="V1540" s="47">
        <v>45983.668660648153</v>
      </c>
      <c r="W1540" s="42" t="str">
        <f ca="1">IFERROR(__xludf.DUMMYFUNCTION("""COMPUTED_VALUE"""),"CV Athawidya")</f>
        <v>CV Athawidya</v>
      </c>
      <c r="X1540" s="42" t="str">
        <f ca="1"/>
        <v>ON-CV Athawidya-22112025+5-6285729738492</v>
      </c>
      <c r="Y1540" s="40" t="s">
        <v>62</v>
      </c>
      <c r="Z1540" s="40" t="s">
        <v>1465</v>
      </c>
      <c r="AA1540" s="23" t="str">
        <v>https://wa.me/6285729738492</v>
      </c>
      <c r="AB1540" s="28" t="s">
        <v>8160</v>
      </c>
      <c r="AC1540" s="28"/>
      <c r="AD1540" s="28" t="s">
        <v>690</v>
      </c>
      <c r="AE1540" s="28"/>
      <c r="AF1540" s="29"/>
      <c r="AG1540" s="29"/>
    </row>
    <row r="1541" spans="1:33" ht="15.75" customHeight="1">
      <c r="A1541" s="32" t="s">
        <v>196</v>
      </c>
      <c r="B1541" s="33">
        <v>1553</v>
      </c>
      <c r="C1541" s="33" t="s">
        <v>8161</v>
      </c>
      <c r="D1541" s="43">
        <v>45983</v>
      </c>
      <c r="E1541" s="43"/>
      <c r="F1541" s="32" t="s">
        <v>8162</v>
      </c>
      <c r="G1541" s="32" t="s">
        <v>8163</v>
      </c>
      <c r="H1541" s="32" t="s">
        <v>1451</v>
      </c>
      <c r="I1541" s="32">
        <v>6281274175987</v>
      </c>
      <c r="J1541" s="52"/>
      <c r="K1541" s="32" t="s">
        <v>5709</v>
      </c>
      <c r="L1541" s="32" t="s">
        <v>2500</v>
      </c>
      <c r="M1541" s="32" t="s">
        <v>205</v>
      </c>
      <c r="N1541" s="33">
        <v>7</v>
      </c>
      <c r="O1541" s="35">
        <v>45986</v>
      </c>
      <c r="P1541" s="35">
        <v>45992</v>
      </c>
      <c r="Q1541" s="33"/>
      <c r="R1541" s="38">
        <v>-1003470351325</v>
      </c>
      <c r="S1541" s="33"/>
      <c r="T1541" s="60">
        <v>397000</v>
      </c>
      <c r="U1541" s="40" t="s">
        <v>243</v>
      </c>
      <c r="V1541" s="61">
        <v>45983.621288831018</v>
      </c>
      <c r="W1541" s="40" t="str">
        <f ca="1">IFERROR(__xludf.DUMMYFUNCTION("""COMPUTED_VALUE"""),"Ahsan Terapi")</f>
        <v>Ahsan Terapi</v>
      </c>
      <c r="X1541" s="42" t="str">
        <f ca="1"/>
        <v>ON-Ahsan Terapi-22112025+7-6281274175987</v>
      </c>
      <c r="Y1541" s="40" t="s">
        <v>62</v>
      </c>
      <c r="Z1541" s="40" t="s">
        <v>639</v>
      </c>
      <c r="AA1541" s="23" t="str">
        <v>https://wa.me/6281274175987</v>
      </c>
      <c r="AB1541" s="28" t="s">
        <v>8164</v>
      </c>
      <c r="AC1541" s="28"/>
      <c r="AD1541" s="28" t="s">
        <v>690</v>
      </c>
      <c r="AE1541" s="28"/>
      <c r="AF1541" s="29"/>
      <c r="AG1541" s="28"/>
    </row>
    <row r="1542" spans="1:33" ht="15.75" customHeight="1">
      <c r="A1542" s="32" t="s">
        <v>196</v>
      </c>
      <c r="B1542" s="33">
        <v>1556</v>
      </c>
      <c r="C1542" s="33" t="s">
        <v>8165</v>
      </c>
      <c r="D1542" s="43">
        <v>45983</v>
      </c>
      <c r="E1542" s="43"/>
      <c r="F1542" s="32" t="s">
        <v>8166</v>
      </c>
      <c r="G1542" s="32" t="s">
        <v>8167</v>
      </c>
      <c r="H1542" s="32" t="s">
        <v>8168</v>
      </c>
      <c r="I1542" s="32">
        <v>6281931902977</v>
      </c>
      <c r="J1542" s="52"/>
      <c r="K1542" s="32" t="s">
        <v>8169</v>
      </c>
      <c r="L1542" s="32" t="s">
        <v>3667</v>
      </c>
      <c r="M1542" s="32" t="s">
        <v>60</v>
      </c>
      <c r="N1542" s="33">
        <v>5</v>
      </c>
      <c r="O1542" s="35">
        <v>45986</v>
      </c>
      <c r="P1542" s="35">
        <v>45990</v>
      </c>
      <c r="Q1542" s="33"/>
      <c r="R1542" s="38">
        <v>-1003470351325</v>
      </c>
      <c r="S1542" s="33"/>
      <c r="T1542" s="60">
        <v>197000</v>
      </c>
      <c r="U1542" s="40" t="s">
        <v>61</v>
      </c>
      <c r="V1542" s="61">
        <v>45984.926608217589</v>
      </c>
      <c r="W1542" s="40" t="str">
        <f ca="1">IFERROR(__xludf.DUMMYFUNCTION("""COMPUTED_VALUE"""),"Magnet Rejeki")</f>
        <v>Magnet Rejeki</v>
      </c>
      <c r="X1542" s="42" t="str">
        <f ca="1"/>
        <v>ON-Magnet Rejeki-23112025+5-6281931902977</v>
      </c>
      <c r="Y1542" s="40" t="s">
        <v>62</v>
      </c>
      <c r="Z1542" s="40" t="s">
        <v>1465</v>
      </c>
      <c r="AA1542" s="23" t="str">
        <v>https://wa.me/6281931902977</v>
      </c>
      <c r="AB1542" s="28" t="s">
        <v>8170</v>
      </c>
      <c r="AC1542" s="28"/>
      <c r="AD1542" s="28" t="s">
        <v>690</v>
      </c>
      <c r="AE1542" s="28"/>
      <c r="AF1542" s="29"/>
      <c r="AG1542" s="28"/>
    </row>
    <row r="1543" spans="1:33" ht="15.75" customHeight="1">
      <c r="A1543" s="32" t="s">
        <v>196</v>
      </c>
      <c r="B1543" s="33">
        <v>1557</v>
      </c>
      <c r="C1543" s="33" t="s">
        <v>8171</v>
      </c>
      <c r="D1543" s="43">
        <v>45983</v>
      </c>
      <c r="E1543" s="43"/>
      <c r="F1543" s="32" t="s">
        <v>8172</v>
      </c>
      <c r="G1543" s="32" t="s">
        <v>8173</v>
      </c>
      <c r="H1543" s="32" t="s">
        <v>838</v>
      </c>
      <c r="I1543" s="32">
        <v>6287897730462</v>
      </c>
      <c r="J1543" s="52"/>
      <c r="K1543" s="32" t="s">
        <v>2132</v>
      </c>
      <c r="L1543" s="32" t="s">
        <v>92</v>
      </c>
      <c r="M1543" s="32" t="s">
        <v>60</v>
      </c>
      <c r="N1543" s="33">
        <v>5</v>
      </c>
      <c r="O1543" s="35">
        <v>45986</v>
      </c>
      <c r="P1543" s="35">
        <v>45990</v>
      </c>
      <c r="Q1543" s="33"/>
      <c r="R1543" s="38">
        <v>-1003470351325</v>
      </c>
      <c r="S1543" s="33"/>
      <c r="T1543" s="60">
        <v>197000</v>
      </c>
      <c r="U1543" s="40" t="s">
        <v>61</v>
      </c>
      <c r="V1543" s="61">
        <v>45984.926989699074</v>
      </c>
      <c r="W1543" s="40" t="str">
        <f ca="1">IFERROR(__xludf.DUMMYFUNCTION("""COMPUTED_VALUE"""),"Rumah Soto")</f>
        <v>Rumah Soto</v>
      </c>
      <c r="X1543" s="42" t="str">
        <f ca="1"/>
        <v>ON-Rumah Soto-23112025+5-6287897730462</v>
      </c>
      <c r="Y1543" s="40" t="s">
        <v>62</v>
      </c>
      <c r="Z1543" s="40" t="s">
        <v>3620</v>
      </c>
      <c r="AA1543" s="23" t="str">
        <v>https://wa.me/6287897730462</v>
      </c>
      <c r="AB1543" s="28" t="s">
        <v>8174</v>
      </c>
      <c r="AC1543" s="28"/>
      <c r="AD1543" s="28" t="s">
        <v>690</v>
      </c>
      <c r="AE1543" s="28"/>
      <c r="AF1543" s="29"/>
      <c r="AG1543" s="28"/>
    </row>
    <row r="1544" spans="1:33" ht="15.75" customHeight="1">
      <c r="A1544" s="32" t="s">
        <v>196</v>
      </c>
      <c r="B1544" s="33">
        <v>1558</v>
      </c>
      <c r="C1544" s="33" t="s">
        <v>8175</v>
      </c>
      <c r="D1544" s="43">
        <v>45984</v>
      </c>
      <c r="E1544" s="43"/>
      <c r="F1544" s="32" t="s">
        <v>8176</v>
      </c>
      <c r="G1544" s="32" t="s">
        <v>8177</v>
      </c>
      <c r="H1544" s="32" t="s">
        <v>1451</v>
      </c>
      <c r="I1544" s="32">
        <v>6281222666815</v>
      </c>
      <c r="J1544" s="52"/>
      <c r="K1544" s="32" t="s">
        <v>8178</v>
      </c>
      <c r="L1544" s="32" t="s">
        <v>8179</v>
      </c>
      <c r="M1544" s="32" t="s">
        <v>60</v>
      </c>
      <c r="N1544" s="33">
        <v>5</v>
      </c>
      <c r="O1544" s="35">
        <v>45986</v>
      </c>
      <c r="P1544" s="35">
        <v>45990</v>
      </c>
      <c r="Q1544" s="33"/>
      <c r="R1544" s="38">
        <v>-1003470351325</v>
      </c>
      <c r="S1544" s="33"/>
      <c r="T1544" s="60">
        <v>197000</v>
      </c>
      <c r="U1544" s="40" t="s">
        <v>61</v>
      </c>
      <c r="V1544" s="61">
        <v>45984.927200949074</v>
      </c>
      <c r="W1544" s="40" t="str">
        <f ca="1">IFERROR(__xludf.DUMMYFUNCTION("""COMPUTED_VALUE"""),"Prife Wealness")</f>
        <v>Prife Wealness</v>
      </c>
      <c r="X1544" s="42" t="str">
        <f ca="1"/>
        <v>ON-Prife Wealness-23112025+5-6281222666815</v>
      </c>
      <c r="Y1544" s="40" t="s">
        <v>62</v>
      </c>
      <c r="Z1544" s="40" t="s">
        <v>639</v>
      </c>
      <c r="AA1544" s="23" t="str">
        <v>https://wa.me/6281222666815</v>
      </c>
      <c r="AB1544" s="28" t="s">
        <v>8180</v>
      </c>
      <c r="AC1544" s="28"/>
      <c r="AD1544" s="28" t="s">
        <v>690</v>
      </c>
      <c r="AE1544" s="28"/>
      <c r="AF1544" s="29"/>
      <c r="AG1544" s="28"/>
    </row>
    <row r="1545" spans="1:33" ht="15.75" customHeight="1">
      <c r="A1545" s="32" t="s">
        <v>196</v>
      </c>
      <c r="B1545" s="33">
        <v>1554</v>
      </c>
      <c r="C1545" s="33" t="s">
        <v>8181</v>
      </c>
      <c r="D1545" s="33" t="s">
        <v>8182</v>
      </c>
      <c r="E1545" s="43"/>
      <c r="F1545" s="32" t="s">
        <v>8183</v>
      </c>
      <c r="G1545" s="32" t="s">
        <v>8184</v>
      </c>
      <c r="H1545" s="32" t="s">
        <v>8185</v>
      </c>
      <c r="I1545" s="32">
        <v>6281217256721</v>
      </c>
      <c r="J1545" s="52"/>
      <c r="K1545" s="32" t="s">
        <v>8186</v>
      </c>
      <c r="L1545" s="32" t="s">
        <v>8187</v>
      </c>
      <c r="M1545" s="32" t="s">
        <v>2024</v>
      </c>
      <c r="N1545" s="33">
        <v>10</v>
      </c>
      <c r="O1545" s="35"/>
      <c r="P1545" s="35"/>
      <c r="Q1545" s="33"/>
      <c r="R1545" s="38">
        <v>-1003470351325</v>
      </c>
      <c r="S1545" s="33"/>
      <c r="T1545" s="60">
        <v>375000</v>
      </c>
      <c r="U1545" s="40" t="s">
        <v>115</v>
      </c>
      <c r="V1545" s="61">
        <v>46007.582495162038</v>
      </c>
      <c r="W1545" s="40" t="str">
        <f ca="1">IFERROR(__xludf.DUMMYFUNCTION("""COMPUTED_VALUE"""),"B-Care (Bekam")</f>
        <v>B-Care (Bekam</v>
      </c>
      <c r="X1545" s="42" t="str">
        <f ca="1"/>
        <v>ON-B-Care (Bekam-16122025+10-6281217256721</v>
      </c>
      <c r="Y1545" s="40" t="s">
        <v>62</v>
      </c>
      <c r="Z1545" s="40" t="s">
        <v>639</v>
      </c>
      <c r="AA1545" s="23" t="str">
        <v>https://wa.me/6281217256721</v>
      </c>
      <c r="AB1545" s="28" t="s">
        <v>8188</v>
      </c>
      <c r="AC1545" s="28"/>
      <c r="AD1545" s="28" t="s">
        <v>690</v>
      </c>
      <c r="AE1545" s="28"/>
      <c r="AF1545" s="29"/>
      <c r="AG1545" s="28"/>
    </row>
    <row r="1546" spans="1:33" ht="15.75" customHeight="1">
      <c r="A1546" s="32" t="s">
        <v>196</v>
      </c>
      <c r="B1546" s="33">
        <v>920</v>
      </c>
      <c r="C1546" s="34" t="s">
        <v>8189</v>
      </c>
      <c r="D1546" s="44">
        <v>46058</v>
      </c>
      <c r="E1546" s="43">
        <v>45909</v>
      </c>
      <c r="F1546" s="32" t="s">
        <v>8190</v>
      </c>
      <c r="G1546" s="32" t="s">
        <v>8191</v>
      </c>
      <c r="H1546" s="32" t="s">
        <v>8192</v>
      </c>
      <c r="I1546" s="36" t="s">
        <v>6279</v>
      </c>
      <c r="J1546" s="52"/>
      <c r="K1546" s="32"/>
      <c r="L1546" s="32" t="s">
        <v>8193</v>
      </c>
      <c r="M1546" s="32" t="s">
        <v>1009</v>
      </c>
      <c r="N1546" s="33">
        <v>10</v>
      </c>
      <c r="O1546" s="35"/>
      <c r="P1546" s="35"/>
      <c r="Q1546" s="37"/>
      <c r="R1546" s="38">
        <v>-1003470351325</v>
      </c>
      <c r="S1546" s="33"/>
      <c r="T1546" s="39">
        <v>375000</v>
      </c>
      <c r="U1546" s="40" t="s">
        <v>115</v>
      </c>
      <c r="V1546" s="47">
        <v>46058.690338738423</v>
      </c>
      <c r="W1546" s="42" t="str">
        <f ca="1">IFERROR(__xludf.DUMMYFUNCTION("""COMPUTED_VALUE"""),"GRAHA WAJA")</f>
        <v>GRAHA WAJA</v>
      </c>
      <c r="X1546" s="42" t="str">
        <f ca="1"/>
        <v>ON-GRAHA WAJA-05022026+10-6287758080333</v>
      </c>
      <c r="Y1546" s="40" t="s">
        <v>293</v>
      </c>
      <c r="Z1546" s="40" t="s">
        <v>1057</v>
      </c>
      <c r="AA1546" s="23" t="str">
        <v>https://wa.me/6287758080333</v>
      </c>
      <c r="AB1546" s="28" t="s">
        <v>8194</v>
      </c>
      <c r="AC1546" s="28"/>
      <c r="AD1546" s="28" t="s">
        <v>690</v>
      </c>
      <c r="AE1546" s="28"/>
      <c r="AF1546" s="29">
        <v>45912</v>
      </c>
      <c r="AG1546" s="29"/>
    </row>
    <row r="1547" spans="1:33" ht="15.75" customHeight="1">
      <c r="A1547" s="32" t="s">
        <v>196</v>
      </c>
      <c r="B1547" s="33">
        <v>1424</v>
      </c>
      <c r="C1547" s="34" t="s">
        <v>8195</v>
      </c>
      <c r="D1547" s="35">
        <v>45985</v>
      </c>
      <c r="E1547" s="43">
        <v>45966</v>
      </c>
      <c r="F1547" s="32" t="s">
        <v>7898</v>
      </c>
      <c r="G1547" s="32" t="s">
        <v>7899</v>
      </c>
      <c r="H1547" s="32" t="s">
        <v>7900</v>
      </c>
      <c r="I1547" s="36" t="s">
        <v>7901</v>
      </c>
      <c r="J1547" s="52"/>
      <c r="K1547" s="32" t="s">
        <v>7902</v>
      </c>
      <c r="L1547" s="32" t="s">
        <v>7903</v>
      </c>
      <c r="M1547" s="32" t="s">
        <v>1926</v>
      </c>
      <c r="N1547" s="33">
        <v>5</v>
      </c>
      <c r="O1547" s="35"/>
      <c r="P1547" s="35"/>
      <c r="Q1547" s="37"/>
      <c r="R1547" s="38">
        <v>-1003470351325</v>
      </c>
      <c r="S1547" s="33"/>
      <c r="T1547" s="39">
        <v>197000</v>
      </c>
      <c r="U1547" s="40" t="s">
        <v>1774</v>
      </c>
      <c r="V1547" s="47">
        <v>45985.36875277778</v>
      </c>
      <c r="W1547" s="42" t="str">
        <f ca="1">IFERROR(__xludf.DUMMYFUNCTION("""COMPUTED_VALUE"""),"Internet/wifi indihome")</f>
        <v>Internet/wifi indihome</v>
      </c>
      <c r="X1547" s="42" t="str">
        <f ca="1"/>
        <v>ON-Internet/wifi indihome-24112025+5-6285167231114</v>
      </c>
      <c r="Y1547" s="40" t="s">
        <v>62</v>
      </c>
      <c r="Z1547" s="40" t="s">
        <v>1465</v>
      </c>
      <c r="AA1547" s="23" t="str">
        <v>https://wa.me/6285167231114</v>
      </c>
      <c r="AB1547" s="28" t="s">
        <v>8196</v>
      </c>
      <c r="AC1547" s="28"/>
      <c r="AD1547" s="28" t="s">
        <v>690</v>
      </c>
      <c r="AE1547" s="28"/>
      <c r="AF1547" s="29"/>
      <c r="AG1547" s="29"/>
    </row>
    <row r="1548" spans="1:33" ht="15.75" customHeight="1">
      <c r="A1548" s="32" t="s">
        <v>196</v>
      </c>
      <c r="B1548" s="33">
        <v>1548</v>
      </c>
      <c r="C1548" s="33" t="s">
        <v>8197</v>
      </c>
      <c r="D1548" s="43">
        <v>45984</v>
      </c>
      <c r="E1548" s="43"/>
      <c r="F1548" s="32" t="s">
        <v>8198</v>
      </c>
      <c r="G1548" s="32" t="s">
        <v>8199</v>
      </c>
      <c r="H1548" s="32" t="s">
        <v>8200</v>
      </c>
      <c r="I1548" s="32">
        <v>6282160932266</v>
      </c>
      <c r="J1548" s="52"/>
      <c r="K1548" s="32" t="s">
        <v>8201</v>
      </c>
      <c r="L1548" s="32" t="s">
        <v>3762</v>
      </c>
      <c r="M1548" s="32" t="s">
        <v>92</v>
      </c>
      <c r="N1548" s="33">
        <v>10</v>
      </c>
      <c r="O1548" s="35">
        <v>45987</v>
      </c>
      <c r="P1548" s="35">
        <v>45996</v>
      </c>
      <c r="Q1548" s="33"/>
      <c r="R1548" s="38">
        <v>-1003470351325</v>
      </c>
      <c r="S1548" s="33"/>
      <c r="T1548" s="60">
        <v>375000</v>
      </c>
      <c r="U1548" s="40" t="s">
        <v>1229</v>
      </c>
      <c r="V1548" s="61">
        <v>45986.351917997687</v>
      </c>
      <c r="W1548" s="40" t="str">
        <f ca="1">IFERROR(__xludf.DUMMYFUNCTION("""COMPUTED_VALUE"""),"Mandiri pool")</f>
        <v>Mandiri pool</v>
      </c>
      <c r="X1548" s="42" t="str">
        <f ca="1"/>
        <v>ON-Mandiri pool-25112025+10-6282160932266</v>
      </c>
      <c r="Y1548" s="40" t="s">
        <v>293</v>
      </c>
      <c r="Z1548" s="40" t="s">
        <v>1057</v>
      </c>
      <c r="AA1548" s="23" t="str">
        <v>https://wa.me/6282160932266</v>
      </c>
      <c r="AB1548" s="28" t="s">
        <v>8202</v>
      </c>
      <c r="AC1548" s="28"/>
      <c r="AD1548" s="28" t="s">
        <v>690</v>
      </c>
      <c r="AE1548" s="28"/>
      <c r="AF1548" s="29"/>
      <c r="AG1548" s="28"/>
    </row>
    <row r="1549" spans="1:33" ht="15.75" customHeight="1">
      <c r="A1549" s="32" t="s">
        <v>196</v>
      </c>
      <c r="B1549" s="33">
        <v>1549</v>
      </c>
      <c r="C1549" s="33" t="s">
        <v>8203</v>
      </c>
      <c r="D1549" s="43">
        <v>45985</v>
      </c>
      <c r="E1549" s="43"/>
      <c r="F1549" s="32" t="s">
        <v>4717</v>
      </c>
      <c r="G1549" s="32" t="s">
        <v>8204</v>
      </c>
      <c r="H1549" s="32" t="s">
        <v>8205</v>
      </c>
      <c r="I1549" s="32">
        <v>6281232240833</v>
      </c>
      <c r="J1549" s="52"/>
      <c r="K1549" s="32" t="s">
        <v>8206</v>
      </c>
      <c r="L1549" s="32" t="s">
        <v>8207</v>
      </c>
      <c r="M1549" s="32" t="s">
        <v>711</v>
      </c>
      <c r="N1549" s="33">
        <v>30</v>
      </c>
      <c r="O1549" s="35">
        <v>45987</v>
      </c>
      <c r="P1549" s="35">
        <v>46016</v>
      </c>
      <c r="Q1549" s="33"/>
      <c r="R1549" s="38">
        <v>-1003470351325</v>
      </c>
      <c r="S1549" s="33"/>
      <c r="T1549" s="60">
        <v>1000000</v>
      </c>
      <c r="U1549" s="40" t="s">
        <v>1229</v>
      </c>
      <c r="V1549" s="61">
        <v>45986.352477627312</v>
      </c>
      <c r="W1549" s="40" t="str">
        <f ca="1">IFERROR(__xludf.DUMMYFUNCTION("""COMPUTED_VALUE"""),"FRZ properti")</f>
        <v>FRZ properti</v>
      </c>
      <c r="X1549" s="42" t="str">
        <f ca="1"/>
        <v>ON-FRZ properti-25112025+30-6281232240833</v>
      </c>
      <c r="Y1549" s="40" t="s">
        <v>293</v>
      </c>
      <c r="Z1549" s="40" t="s">
        <v>1057</v>
      </c>
      <c r="AA1549" s="23" t="str">
        <v>https://wa.me/6281232240833</v>
      </c>
      <c r="AB1549" s="28" t="s">
        <v>8208</v>
      </c>
      <c r="AC1549" s="28"/>
      <c r="AD1549" s="28" t="s">
        <v>690</v>
      </c>
      <c r="AE1549" s="28"/>
      <c r="AF1549" s="29"/>
      <c r="AG1549" s="28"/>
    </row>
    <row r="1550" spans="1:33" ht="15.75" customHeight="1">
      <c r="A1550" s="32" t="s">
        <v>196</v>
      </c>
      <c r="B1550" s="33">
        <v>1555</v>
      </c>
      <c r="C1550" s="33" t="s">
        <v>8209</v>
      </c>
      <c r="D1550" s="43">
        <v>45984</v>
      </c>
      <c r="E1550" s="43"/>
      <c r="F1550" s="32" t="s">
        <v>8210</v>
      </c>
      <c r="G1550" s="32" t="s">
        <v>8211</v>
      </c>
      <c r="H1550" s="32" t="s">
        <v>8212</v>
      </c>
      <c r="I1550" s="32">
        <v>6285179911662</v>
      </c>
      <c r="J1550" s="52"/>
      <c r="K1550" s="32" t="s">
        <v>1381</v>
      </c>
      <c r="L1550" s="32" t="s">
        <v>8213</v>
      </c>
      <c r="M1550" s="32" t="s">
        <v>726</v>
      </c>
      <c r="N1550" s="33">
        <v>5</v>
      </c>
      <c r="O1550" s="35">
        <v>45988</v>
      </c>
      <c r="P1550" s="35">
        <v>45992</v>
      </c>
      <c r="Q1550" s="33"/>
      <c r="R1550" s="38">
        <v>-1003470351325</v>
      </c>
      <c r="S1550" s="33"/>
      <c r="T1550" s="60">
        <v>197000</v>
      </c>
      <c r="U1550" s="40" t="s">
        <v>1774</v>
      </c>
      <c r="V1550" s="61">
        <v>45984.610683495368</v>
      </c>
      <c r="W1550" s="40" t="str">
        <f ca="1">IFERROR(__xludf.DUMMYFUNCTION("""COMPUTED_VALUE"""),"Khusyu' 30")</f>
        <v>Khusyu' 30</v>
      </c>
      <c r="X1550" s="42" t="str">
        <f ca="1"/>
        <v>ON-Khusyu' 30-23112025+5-6285179911662</v>
      </c>
      <c r="Y1550" s="40" t="s">
        <v>62</v>
      </c>
      <c r="Z1550" s="40" t="s">
        <v>1465</v>
      </c>
      <c r="AA1550" s="23" t="str">
        <v>https://wa.me/6285179911662</v>
      </c>
      <c r="AB1550" s="28" t="s">
        <v>8214</v>
      </c>
      <c r="AC1550" s="28"/>
      <c r="AD1550" s="28" t="s">
        <v>690</v>
      </c>
      <c r="AE1550" s="28"/>
      <c r="AF1550" s="29"/>
      <c r="AG1550" s="28"/>
    </row>
    <row r="1551" spans="1:33" ht="15.75" customHeight="1">
      <c r="A1551" s="32" t="s">
        <v>196</v>
      </c>
      <c r="B1551" s="33">
        <v>1550</v>
      </c>
      <c r="C1551" s="33" t="s">
        <v>8215</v>
      </c>
      <c r="D1551" s="43">
        <v>45986</v>
      </c>
      <c r="E1551" s="43"/>
      <c r="F1551" s="32" t="s">
        <v>8216</v>
      </c>
      <c r="G1551" s="32" t="s">
        <v>8217</v>
      </c>
      <c r="H1551" s="32" t="s">
        <v>8218</v>
      </c>
      <c r="I1551" s="32">
        <v>6283114705844</v>
      </c>
      <c r="J1551" s="52"/>
      <c r="K1551" s="32" t="s">
        <v>8219</v>
      </c>
      <c r="L1551" s="32" t="s">
        <v>8220</v>
      </c>
      <c r="M1551" s="32" t="s">
        <v>8221</v>
      </c>
      <c r="N1551" s="33">
        <v>5</v>
      </c>
      <c r="O1551" s="35">
        <v>45988</v>
      </c>
      <c r="P1551" s="35">
        <v>45992</v>
      </c>
      <c r="Q1551" s="33"/>
      <c r="R1551" s="38">
        <v>-1003470351325</v>
      </c>
      <c r="S1551" s="33"/>
      <c r="T1551" s="60">
        <v>197000</v>
      </c>
      <c r="U1551" s="40" t="s">
        <v>115</v>
      </c>
      <c r="V1551" s="61">
        <v>45986.385553275468</v>
      </c>
      <c r="W1551" s="40" t="str">
        <f ca="1">IFERROR(__xludf.DUMMYFUNCTION("""COMPUTED_VALUE"""),"CLEAN UP")</f>
        <v>CLEAN UP</v>
      </c>
      <c r="X1551" s="42" t="str">
        <f ca="1"/>
        <v>ON-CLEAN UP-25112025+5-6283114705844</v>
      </c>
      <c r="Y1551" s="40" t="s">
        <v>62</v>
      </c>
      <c r="Z1551" s="40" t="s">
        <v>1465</v>
      </c>
      <c r="AA1551" s="23" t="str">
        <v>https://wa.me/6283114705844</v>
      </c>
      <c r="AB1551" s="28" t="s">
        <v>8222</v>
      </c>
      <c r="AC1551" s="28"/>
      <c r="AD1551" s="28" t="s">
        <v>690</v>
      </c>
      <c r="AE1551" s="28"/>
      <c r="AF1551" s="29"/>
      <c r="AG1551" s="28"/>
    </row>
    <row r="1552" spans="1:33" ht="15.75" customHeight="1">
      <c r="A1552" s="32" t="s">
        <v>196</v>
      </c>
      <c r="B1552" s="33">
        <v>1551</v>
      </c>
      <c r="C1552" s="33" t="s">
        <v>8223</v>
      </c>
      <c r="D1552" s="33" t="s">
        <v>8224</v>
      </c>
      <c r="E1552" s="43"/>
      <c r="F1552" s="32" t="s">
        <v>8225</v>
      </c>
      <c r="G1552" s="32" t="s">
        <v>8226</v>
      </c>
      <c r="H1552" s="32" t="s">
        <v>8227</v>
      </c>
      <c r="I1552" s="32">
        <v>6281364568015</v>
      </c>
      <c r="J1552" s="52"/>
      <c r="K1552" s="32" t="s">
        <v>8228</v>
      </c>
      <c r="L1552" s="32" t="s">
        <v>85</v>
      </c>
      <c r="M1552" s="32" t="s">
        <v>60</v>
      </c>
      <c r="N1552" s="33">
        <v>5</v>
      </c>
      <c r="O1552" s="35"/>
      <c r="P1552" s="35"/>
      <c r="Q1552" s="33"/>
      <c r="R1552" s="38">
        <v>-1003470351325</v>
      </c>
      <c r="S1552" s="33"/>
      <c r="T1552" s="60">
        <v>197000</v>
      </c>
      <c r="U1552" s="40" t="s">
        <v>61</v>
      </c>
      <c r="V1552" s="61">
        <v>45997.833012986113</v>
      </c>
      <c r="W1552" s="40" t="str">
        <f ca="1">IFERROR(__xludf.DUMMYFUNCTION("""COMPUTED_VALUE"""),"Batu Bata")</f>
        <v>Batu Bata</v>
      </c>
      <c r="X1552" s="42" t="str">
        <f ca="1"/>
        <v>ON-Batu Bata-06122025+5-6281364568015</v>
      </c>
      <c r="Y1552" s="40" t="s">
        <v>293</v>
      </c>
      <c r="Z1552" s="40" t="s">
        <v>1057</v>
      </c>
      <c r="AA1552" s="23" t="str">
        <v>https://wa.me/6281364568015</v>
      </c>
      <c r="AB1552" s="28" t="s">
        <v>8229</v>
      </c>
      <c r="AC1552" s="28"/>
      <c r="AD1552" s="28" t="s">
        <v>690</v>
      </c>
      <c r="AE1552" s="28"/>
      <c r="AF1552" s="29"/>
      <c r="AG1552" s="28"/>
    </row>
    <row r="1553" spans="1:33" ht="15.75" customHeight="1">
      <c r="A1553" s="32" t="s">
        <v>196</v>
      </c>
      <c r="B1553" s="33">
        <v>1552</v>
      </c>
      <c r="C1553" s="33" t="s">
        <v>8230</v>
      </c>
      <c r="D1553" s="43">
        <v>45987</v>
      </c>
      <c r="E1553" s="43">
        <v>45987</v>
      </c>
      <c r="F1553" s="32" t="s">
        <v>8231</v>
      </c>
      <c r="G1553" s="32" t="s">
        <v>8232</v>
      </c>
      <c r="H1553" s="32" t="s">
        <v>8232</v>
      </c>
      <c r="I1553" s="32">
        <v>6285210436926</v>
      </c>
      <c r="J1553" s="52"/>
      <c r="K1553" s="32" t="s">
        <v>8233</v>
      </c>
      <c r="L1553" s="32" t="s">
        <v>8234</v>
      </c>
      <c r="M1553" s="32" t="s">
        <v>711</v>
      </c>
      <c r="N1553" s="33">
        <v>5</v>
      </c>
      <c r="O1553" s="35">
        <v>45989</v>
      </c>
      <c r="P1553" s="35">
        <v>45993</v>
      </c>
      <c r="Q1553" s="33"/>
      <c r="R1553" s="38">
        <v>-1003470351325</v>
      </c>
      <c r="S1553" s="33"/>
      <c r="T1553" s="60">
        <v>197000</v>
      </c>
      <c r="U1553" s="40" t="s">
        <v>1229</v>
      </c>
      <c r="V1553" s="61">
        <v>45988.344608043983</v>
      </c>
      <c r="W1553" s="40" t="str">
        <f ca="1">IFERROR(__xludf.DUMMYFUNCTION("""COMPUTED_VALUE"""),"penjualan e-book")</f>
        <v>penjualan e-book</v>
      </c>
      <c r="X1553" s="42" t="str">
        <f ca="1"/>
        <v>ON-penjualan e-book-27112025+5-6285210436926</v>
      </c>
      <c r="Y1553" s="40" t="s">
        <v>62</v>
      </c>
      <c r="Z1553" s="40" t="s">
        <v>1465</v>
      </c>
      <c r="AA1553" s="23" t="str">
        <v>https://wa.me/6285210436926</v>
      </c>
      <c r="AB1553" s="28" t="s">
        <v>8235</v>
      </c>
      <c r="AC1553" s="28"/>
      <c r="AD1553" s="28" t="s">
        <v>690</v>
      </c>
      <c r="AE1553" s="28"/>
      <c r="AF1553" s="29"/>
      <c r="AG1553" s="28"/>
    </row>
    <row r="1554" spans="1:33" ht="15.75" customHeight="1">
      <c r="A1554" s="32" t="s">
        <v>196</v>
      </c>
      <c r="B1554" s="33">
        <v>1553</v>
      </c>
      <c r="C1554" s="33" t="s">
        <v>8236</v>
      </c>
      <c r="D1554" s="43">
        <v>45988</v>
      </c>
      <c r="E1554" s="43"/>
      <c r="F1554" s="32" t="s">
        <v>3354</v>
      </c>
      <c r="G1554" s="32" t="s">
        <v>8237</v>
      </c>
      <c r="H1554" s="32" t="s">
        <v>8238</v>
      </c>
      <c r="I1554" s="32">
        <v>6288802749485</v>
      </c>
      <c r="J1554" s="52"/>
      <c r="K1554" s="32" t="s">
        <v>8239</v>
      </c>
      <c r="L1554" s="32" t="s">
        <v>8240</v>
      </c>
      <c r="M1554" s="32" t="s">
        <v>382</v>
      </c>
      <c r="N1554" s="33">
        <v>5</v>
      </c>
      <c r="O1554" s="35">
        <v>45990</v>
      </c>
      <c r="P1554" s="35">
        <v>45994</v>
      </c>
      <c r="Q1554" s="33"/>
      <c r="R1554" s="38">
        <v>-1003470351325</v>
      </c>
      <c r="S1554" s="33"/>
      <c r="T1554" s="60">
        <v>197000</v>
      </c>
      <c r="U1554" s="40" t="s">
        <v>1774</v>
      </c>
      <c r="V1554" s="61">
        <v>45988.706670983796</v>
      </c>
      <c r="W1554" s="40" t="str">
        <f ca="1">IFERROR(__xludf.DUMMYFUNCTION("""COMPUTED_VALUE"""),"Pijet urat")</f>
        <v>Pijet urat</v>
      </c>
      <c r="X1554" s="42" t="str">
        <f ca="1"/>
        <v>ON-Pijet urat-27112025+5-6288802749485</v>
      </c>
      <c r="Y1554" s="40" t="s">
        <v>62</v>
      </c>
      <c r="Z1554" s="40" t="s">
        <v>639</v>
      </c>
      <c r="AA1554" s="23" t="str">
        <v>https://wa.me/6288802749485</v>
      </c>
      <c r="AB1554" s="28" t="s">
        <v>8241</v>
      </c>
      <c r="AC1554" s="28"/>
      <c r="AD1554" s="28" t="s">
        <v>690</v>
      </c>
      <c r="AE1554" s="28"/>
      <c r="AF1554" s="29"/>
      <c r="AG1554" s="28"/>
    </row>
    <row r="1555" spans="1:33" ht="15.75" customHeight="1">
      <c r="A1555" s="32" t="s">
        <v>52</v>
      </c>
      <c r="B1555" s="33">
        <v>1554</v>
      </c>
      <c r="C1555" s="33" t="s">
        <v>7779</v>
      </c>
      <c r="D1555" s="33" t="s">
        <v>8242</v>
      </c>
      <c r="E1555" s="43">
        <v>45988</v>
      </c>
      <c r="F1555" s="32" t="s">
        <v>8243</v>
      </c>
      <c r="G1555" s="32" t="s">
        <v>8244</v>
      </c>
      <c r="H1555" s="32" t="s">
        <v>8245</v>
      </c>
      <c r="I1555" s="32">
        <v>6282154318629</v>
      </c>
      <c r="J1555" s="52"/>
      <c r="K1555" s="32" t="s">
        <v>570</v>
      </c>
      <c r="L1555" s="32" t="s">
        <v>360</v>
      </c>
      <c r="M1555" s="32" t="s">
        <v>382</v>
      </c>
      <c r="N1555" s="33">
        <v>5</v>
      </c>
      <c r="O1555" s="35"/>
      <c r="P1555" s="35"/>
      <c r="Q1555" s="33"/>
      <c r="R1555" s="38">
        <v>-1003470351325</v>
      </c>
      <c r="S1555" s="33"/>
      <c r="T1555" s="60">
        <v>197000</v>
      </c>
      <c r="U1555" s="40" t="s">
        <v>115</v>
      </c>
      <c r="V1555" s="61">
        <v>45994.513683055557</v>
      </c>
      <c r="W1555" s="40" t="str">
        <f ca="1">IFERROR(__xludf.DUMMYFUNCTION("""COMPUTED_VALUE"""),"arjuna trevel")</f>
        <v>arjuna trevel</v>
      </c>
      <c r="X1555" s="42" t="str">
        <f ca="1"/>
        <v>ON-arjuna trevel-03122025+5-6282154318629</v>
      </c>
      <c r="Y1555" s="40"/>
      <c r="Z1555" s="40"/>
      <c r="AA1555" s="23" t="str">
        <v>https://wa.me/6282154318629</v>
      </c>
      <c r="AB1555" s="28"/>
      <c r="AC1555" s="28"/>
      <c r="AD1555" s="28"/>
      <c r="AE1555" s="28"/>
      <c r="AF1555" s="29"/>
      <c r="AG1555" s="28"/>
    </row>
    <row r="1556" spans="1:33" ht="15.75" customHeight="1">
      <c r="A1556" s="32" t="s">
        <v>621</v>
      </c>
      <c r="B1556" s="33">
        <v>1555</v>
      </c>
      <c r="C1556" s="33" t="s">
        <v>8246</v>
      </c>
      <c r="D1556" s="43">
        <v>45987</v>
      </c>
      <c r="E1556" s="43"/>
      <c r="F1556" s="32" t="s">
        <v>7855</v>
      </c>
      <c r="G1556" s="32" t="s">
        <v>8247</v>
      </c>
      <c r="H1556" s="32" t="s">
        <v>8248</v>
      </c>
      <c r="I1556" s="32">
        <v>6289529314651</v>
      </c>
      <c r="J1556" s="52"/>
      <c r="K1556" s="32" t="s">
        <v>8249</v>
      </c>
      <c r="L1556" s="32" t="s">
        <v>2468</v>
      </c>
      <c r="M1556" s="32" t="s">
        <v>60</v>
      </c>
      <c r="N1556" s="33">
        <v>5</v>
      </c>
      <c r="O1556" s="35"/>
      <c r="P1556" s="35"/>
      <c r="Q1556" s="33"/>
      <c r="R1556" s="38">
        <v>-1003470351325</v>
      </c>
      <c r="S1556" s="33"/>
      <c r="T1556" s="60">
        <v>197000</v>
      </c>
      <c r="U1556" s="40" t="s">
        <v>61</v>
      </c>
      <c r="V1556" s="61">
        <v>45988.898002349539</v>
      </c>
      <c r="W1556" s="40" t="str">
        <f ca="1">IFERROR(__xludf.DUMMYFUNCTION("""COMPUTED_VALUE"""),"Pelatihan Fasdhu")</f>
        <v>Pelatihan Fasdhu</v>
      </c>
      <c r="X1556" s="42" t="str">
        <f ca="1"/>
        <v>ON-Pelatihan Fasdhu-27112025+5-6289529314651</v>
      </c>
      <c r="Y1556" s="40"/>
      <c r="Z1556" s="40"/>
      <c r="AA1556" s="23" t="str">
        <v>https://wa.me/6289529314651</v>
      </c>
      <c r="AB1556" s="28"/>
      <c r="AC1556" s="28"/>
      <c r="AD1556" s="28"/>
      <c r="AE1556" s="28"/>
      <c r="AF1556" s="29"/>
      <c r="AG1556" s="28"/>
    </row>
    <row r="1557" spans="1:33" ht="15.75" customHeight="1">
      <c r="A1557" s="32" t="s">
        <v>196</v>
      </c>
      <c r="B1557" s="33">
        <v>1556</v>
      </c>
      <c r="C1557" s="33" t="s">
        <v>7786</v>
      </c>
      <c r="D1557" s="43">
        <v>45988.898264305557</v>
      </c>
      <c r="E1557" s="43">
        <v>45987</v>
      </c>
      <c r="F1557" s="32" t="s">
        <v>7855</v>
      </c>
      <c r="G1557" s="32" t="s">
        <v>8247</v>
      </c>
      <c r="H1557" s="32" t="s">
        <v>8248</v>
      </c>
      <c r="I1557" s="32">
        <v>6289529314651</v>
      </c>
      <c r="J1557" s="52" t="s">
        <v>7859</v>
      </c>
      <c r="K1557" s="32"/>
      <c r="L1557" s="32" t="s">
        <v>2468</v>
      </c>
      <c r="M1557" s="32" t="s">
        <v>60</v>
      </c>
      <c r="N1557" s="33">
        <v>5</v>
      </c>
      <c r="O1557" s="35">
        <v>45990</v>
      </c>
      <c r="P1557" s="35">
        <v>45994</v>
      </c>
      <c r="Q1557" s="33"/>
      <c r="R1557" s="38"/>
      <c r="S1557" s="33"/>
      <c r="T1557" s="60">
        <v>197000</v>
      </c>
      <c r="U1557" s="40" t="s">
        <v>61</v>
      </c>
      <c r="V1557" s="61"/>
      <c r="W1557" s="40" t="str">
        <f ca="1">IFERROR(__xludf.DUMMYFUNCTION("""COMPUTED_VALUE"""),"Pelatihan Fasdhu")</f>
        <v>Pelatihan Fasdhu</v>
      </c>
      <c r="X1557" s="42" t="str">
        <f ca="1"/>
        <v>ON-Pelatihan Fasdhu-00011900+5-6289529314651</v>
      </c>
      <c r="Y1557" s="40" t="s">
        <v>62</v>
      </c>
      <c r="Z1557" s="40" t="s">
        <v>639</v>
      </c>
      <c r="AA1557" s="23" t="str">
        <v>https://wa.me/6289529314651</v>
      </c>
      <c r="AB1557" s="28" t="s">
        <v>8250</v>
      </c>
      <c r="AC1557" s="28"/>
      <c r="AD1557" s="28" t="s">
        <v>690</v>
      </c>
      <c r="AE1557" s="28"/>
      <c r="AF1557" s="29"/>
      <c r="AG1557" s="28"/>
    </row>
    <row r="1558" spans="1:33" ht="15.75" customHeight="1">
      <c r="A1558" s="32" t="s">
        <v>52</v>
      </c>
      <c r="B1558" s="33">
        <v>1557</v>
      </c>
      <c r="C1558" s="33" t="s">
        <v>7793</v>
      </c>
      <c r="D1558" s="43">
        <v>45988.899437268519</v>
      </c>
      <c r="E1558" s="43">
        <v>45987</v>
      </c>
      <c r="F1558" s="32" t="s">
        <v>5534</v>
      </c>
      <c r="G1558" s="32" t="s">
        <v>5535</v>
      </c>
      <c r="H1558" s="32" t="s">
        <v>5536</v>
      </c>
      <c r="I1558" s="32">
        <v>6281316122975</v>
      </c>
      <c r="J1558" s="52"/>
      <c r="K1558" s="32" t="s">
        <v>5709</v>
      </c>
      <c r="L1558" s="32" t="s">
        <v>1008</v>
      </c>
      <c r="M1558" s="32" t="s">
        <v>60</v>
      </c>
      <c r="N1558" s="33">
        <v>5</v>
      </c>
      <c r="O1558" s="35"/>
      <c r="P1558" s="35"/>
      <c r="Q1558" s="33"/>
      <c r="R1558" s="38"/>
      <c r="S1558" s="33"/>
      <c r="T1558" s="60">
        <v>197000</v>
      </c>
      <c r="U1558" s="40" t="s">
        <v>61</v>
      </c>
      <c r="V1558" s="61"/>
      <c r="W1558" s="40" t="str">
        <f ca="1">IFERROR(__xludf.DUMMYFUNCTION("""COMPUTED_VALUE"""),"Rumah Sehat")</f>
        <v>Rumah Sehat</v>
      </c>
      <c r="X1558" s="42" t="str">
        <f ca="1"/>
        <v>ON-Rumah Sehat-00011900+5-6281316122975</v>
      </c>
      <c r="Y1558" s="40"/>
      <c r="Z1558" s="40"/>
      <c r="AA1558" s="23" t="str">
        <v>https://wa.me/6281316122975</v>
      </c>
      <c r="AB1558" s="28"/>
      <c r="AC1558" s="28"/>
      <c r="AD1558" s="28"/>
      <c r="AE1558" s="28"/>
      <c r="AF1558" s="29"/>
      <c r="AG1558" s="28"/>
    </row>
    <row r="1559" spans="1:33" ht="15.75" customHeight="1">
      <c r="A1559" s="32" t="s">
        <v>621</v>
      </c>
      <c r="B1559" s="33">
        <v>1558</v>
      </c>
      <c r="C1559" s="33" t="s">
        <v>8251</v>
      </c>
      <c r="D1559" s="43">
        <v>45989</v>
      </c>
      <c r="E1559" s="43"/>
      <c r="F1559" s="32" t="s">
        <v>8252</v>
      </c>
      <c r="G1559" s="32" t="s">
        <v>8253</v>
      </c>
      <c r="H1559" s="32" t="s">
        <v>3451</v>
      </c>
      <c r="I1559" s="32">
        <v>6281357754513</v>
      </c>
      <c r="J1559" s="52"/>
      <c r="K1559" s="32" t="s">
        <v>3453</v>
      </c>
      <c r="L1559" s="32" t="s">
        <v>3454</v>
      </c>
      <c r="M1559" s="32" t="s">
        <v>3455</v>
      </c>
      <c r="N1559" s="33">
        <v>30</v>
      </c>
      <c r="O1559" s="35"/>
      <c r="P1559" s="35"/>
      <c r="Q1559" s="33"/>
      <c r="R1559" s="38">
        <v>-1003470351325</v>
      </c>
      <c r="S1559" s="33"/>
      <c r="T1559" s="60">
        <v>1000000</v>
      </c>
      <c r="U1559" s="40" t="s">
        <v>115</v>
      </c>
      <c r="V1559" s="61">
        <v>45989.437616331023</v>
      </c>
      <c r="W1559" s="40" t="str">
        <f ca="1">IFERROR(__xludf.DUMMYFUNCTION("""COMPUTED_VALUE"""),"*CV.BAGUS DAN")</f>
        <v>*CV.BAGUS DAN</v>
      </c>
      <c r="X1559" s="42" t="str">
        <f ca="1"/>
        <v>ON-*CV.BAGUS DAN-28112025+30-6281357754513</v>
      </c>
      <c r="Y1559" s="40"/>
      <c r="Z1559" s="40"/>
      <c r="AA1559" s="23" t="str">
        <v>https://wa.me/6281357754513</v>
      </c>
      <c r="AB1559" s="28"/>
      <c r="AC1559" s="28"/>
      <c r="AD1559" s="28"/>
      <c r="AE1559" s="28"/>
      <c r="AF1559" s="29"/>
      <c r="AG1559" s="28"/>
    </row>
    <row r="1560" spans="1:33" ht="15.75" customHeight="1">
      <c r="A1560" s="32" t="s">
        <v>196</v>
      </c>
      <c r="B1560" s="33">
        <v>1559</v>
      </c>
      <c r="C1560" s="33" t="s">
        <v>8254</v>
      </c>
      <c r="D1560" s="43">
        <v>45989</v>
      </c>
      <c r="E1560" s="43"/>
      <c r="F1560" s="32" t="s">
        <v>8255</v>
      </c>
      <c r="G1560" s="32" t="s">
        <v>8256</v>
      </c>
      <c r="H1560" s="32" t="s">
        <v>8257</v>
      </c>
      <c r="I1560" s="32">
        <v>6281385926707</v>
      </c>
      <c r="J1560" s="52"/>
      <c r="K1560" s="32" t="s">
        <v>8258</v>
      </c>
      <c r="L1560" s="32" t="s">
        <v>3448</v>
      </c>
      <c r="M1560" s="32" t="s">
        <v>8259</v>
      </c>
      <c r="N1560" s="33">
        <v>7</v>
      </c>
      <c r="O1560" s="35">
        <v>45991</v>
      </c>
      <c r="P1560" s="35">
        <v>45997</v>
      </c>
      <c r="Q1560" s="33"/>
      <c r="R1560" s="38">
        <v>-1003470351325</v>
      </c>
      <c r="S1560" s="33"/>
      <c r="T1560" s="60">
        <v>297000</v>
      </c>
      <c r="U1560" s="40" t="s">
        <v>115</v>
      </c>
      <c r="V1560" s="61">
        <v>45989.559211493055</v>
      </c>
      <c r="W1560" s="40" t="str">
        <f ca="1">IFERROR(__xludf.DUMMYFUNCTION("""COMPUTED_VALUE"""),"Beyond Lights")</f>
        <v>Beyond Lights</v>
      </c>
      <c r="X1560" s="42" t="str">
        <f ca="1"/>
        <v>ON-Beyond Lights-28112025+7-6281385926707</v>
      </c>
      <c r="Y1560" s="40" t="s">
        <v>62</v>
      </c>
      <c r="Z1560" s="40" t="s">
        <v>1465</v>
      </c>
      <c r="AA1560" s="23" t="str">
        <v>https://wa.me/6281385926707</v>
      </c>
      <c r="AB1560" s="28" t="s">
        <v>8260</v>
      </c>
      <c r="AC1560" s="28"/>
      <c r="AD1560" s="28" t="s">
        <v>690</v>
      </c>
      <c r="AE1560" s="28"/>
      <c r="AF1560" s="29"/>
      <c r="AG1560" s="28"/>
    </row>
    <row r="1561" spans="1:33" ht="15.75" customHeight="1">
      <c r="A1561" s="32" t="s">
        <v>621</v>
      </c>
      <c r="B1561" s="33">
        <v>1560</v>
      </c>
      <c r="C1561" s="33" t="s">
        <v>8261</v>
      </c>
      <c r="D1561" s="33" t="s">
        <v>6820</v>
      </c>
      <c r="E1561" s="43"/>
      <c r="F1561" s="32" t="s">
        <v>8156</v>
      </c>
      <c r="G1561" s="32" t="s">
        <v>8157</v>
      </c>
      <c r="H1561" s="32" t="s">
        <v>8262</v>
      </c>
      <c r="I1561" s="32">
        <v>6282139742007</v>
      </c>
      <c r="J1561" s="52"/>
      <c r="K1561" s="32" t="s">
        <v>1381</v>
      </c>
      <c r="L1561" s="32" t="s">
        <v>3921</v>
      </c>
      <c r="M1561" s="32" t="s">
        <v>726</v>
      </c>
      <c r="N1561" s="33">
        <v>10</v>
      </c>
      <c r="O1561" s="35"/>
      <c r="P1561" s="35"/>
      <c r="Q1561" s="33"/>
      <c r="R1561" s="38">
        <v>-1003470351325</v>
      </c>
      <c r="S1561" s="33"/>
      <c r="T1561" s="60">
        <v>375000</v>
      </c>
      <c r="U1561" s="40" t="s">
        <v>1774</v>
      </c>
      <c r="V1561" s="61">
        <v>46005.327948900464</v>
      </c>
      <c r="W1561" s="40" t="str">
        <f ca="1">IFERROR(__xludf.DUMMYFUNCTION("""COMPUTED_VALUE"""),"CV Athawidya")</f>
        <v>CV Athawidya</v>
      </c>
      <c r="X1561" s="42" t="str">
        <f ca="1"/>
        <v>ON-CV Athawidya-14122025+10-6282139742007</v>
      </c>
      <c r="Y1561" s="40"/>
      <c r="Z1561" s="40"/>
      <c r="AA1561" s="23" t="str">
        <v>https://wa.me/6282139742007</v>
      </c>
      <c r="AB1561" s="28"/>
      <c r="AC1561" s="28"/>
      <c r="AD1561" s="28"/>
      <c r="AE1561" s="28"/>
      <c r="AF1561" s="29"/>
      <c r="AG1561" s="28"/>
    </row>
    <row r="1562" spans="1:33" ht="15.75" customHeight="1">
      <c r="A1562" s="32" t="s">
        <v>621</v>
      </c>
      <c r="B1562" s="33">
        <v>1561</v>
      </c>
      <c r="C1562" s="33" t="s">
        <v>8263</v>
      </c>
      <c r="D1562" s="33" t="s">
        <v>6856</v>
      </c>
      <c r="E1562" s="43"/>
      <c r="F1562" s="32" t="s">
        <v>7882</v>
      </c>
      <c r="G1562" s="32" t="s">
        <v>8264</v>
      </c>
      <c r="H1562" s="32" t="s">
        <v>7884</v>
      </c>
      <c r="I1562" s="32">
        <v>6281265779848</v>
      </c>
      <c r="J1562" s="52"/>
      <c r="K1562" s="32" t="s">
        <v>4103</v>
      </c>
      <c r="L1562" s="32" t="s">
        <v>696</v>
      </c>
      <c r="M1562" s="32" t="s">
        <v>382</v>
      </c>
      <c r="N1562" s="33">
        <v>5</v>
      </c>
      <c r="O1562" s="35"/>
      <c r="P1562" s="35"/>
      <c r="Q1562" s="33"/>
      <c r="R1562" s="38">
        <v>-1003470351325</v>
      </c>
      <c r="S1562" s="33"/>
      <c r="T1562" s="60">
        <v>197000</v>
      </c>
      <c r="U1562" s="40" t="s">
        <v>115</v>
      </c>
      <c r="V1562" s="61">
        <v>46005.598800798616</v>
      </c>
      <c r="W1562" s="40" t="str">
        <f ca="1">IFERROR(__xludf.DUMMYFUNCTION("""COMPUTED_VALUE"""),"jasa sedot")</f>
        <v>jasa sedot</v>
      </c>
      <c r="X1562" s="42" t="str">
        <f ca="1"/>
        <v>ON-jasa sedot-14122025+5-6281265779848</v>
      </c>
      <c r="Y1562" s="40"/>
      <c r="Z1562" s="40"/>
      <c r="AA1562" s="23" t="str">
        <v>https://wa.me/6281265779848</v>
      </c>
      <c r="AB1562" s="28"/>
      <c r="AC1562" s="28"/>
      <c r="AD1562" s="28"/>
      <c r="AE1562" s="28"/>
      <c r="AF1562" s="29"/>
      <c r="AG1562" s="28"/>
    </row>
    <row r="1563" spans="1:33" ht="15.75" customHeight="1">
      <c r="A1563" s="32" t="s">
        <v>621</v>
      </c>
      <c r="B1563" s="33">
        <v>1562</v>
      </c>
      <c r="C1563" s="33" t="s">
        <v>8265</v>
      </c>
      <c r="D1563" s="43">
        <v>45990</v>
      </c>
      <c r="E1563" s="43"/>
      <c r="F1563" s="32" t="s">
        <v>8266</v>
      </c>
      <c r="G1563" s="32" t="s">
        <v>8267</v>
      </c>
      <c r="H1563" s="32" t="s">
        <v>8268</v>
      </c>
      <c r="I1563" s="32">
        <v>62882008315520</v>
      </c>
      <c r="J1563" s="52"/>
      <c r="K1563" s="32" t="s">
        <v>1381</v>
      </c>
      <c r="L1563" s="32" t="s">
        <v>8269</v>
      </c>
      <c r="M1563" s="32" t="s">
        <v>1674</v>
      </c>
      <c r="N1563" s="33">
        <v>5</v>
      </c>
      <c r="O1563" s="35"/>
      <c r="P1563" s="35"/>
      <c r="Q1563" s="33"/>
      <c r="R1563" s="38">
        <v>-1003470351325</v>
      </c>
      <c r="S1563" s="33"/>
      <c r="T1563" s="60">
        <v>197000</v>
      </c>
      <c r="U1563" s="40" t="s">
        <v>115</v>
      </c>
      <c r="V1563" s="61">
        <v>45990.664176053237</v>
      </c>
      <c r="W1563" s="40" t="str">
        <f ca="1">IFERROR(__xludf.DUMMYFUNCTION("""COMPUTED_VALUE"""),"Eny J")</f>
        <v>Eny J</v>
      </c>
      <c r="X1563" s="42" t="str">
        <f ca="1"/>
        <v>ON-Eny J-29112025+5-62882008315520</v>
      </c>
      <c r="Y1563" s="40"/>
      <c r="Z1563" s="40"/>
      <c r="AA1563" s="23" t="str">
        <v>https://wa.me/62882008315520</v>
      </c>
      <c r="AB1563" s="28"/>
      <c r="AC1563" s="28"/>
      <c r="AD1563" s="28"/>
      <c r="AE1563" s="28"/>
      <c r="AF1563" s="29"/>
      <c r="AG1563" s="28"/>
    </row>
    <row r="1564" spans="1:33" ht="15.75" customHeight="1">
      <c r="A1564" s="32" t="s">
        <v>196</v>
      </c>
      <c r="B1564" s="33">
        <v>1563</v>
      </c>
      <c r="C1564" s="33" t="s">
        <v>8270</v>
      </c>
      <c r="D1564" s="43">
        <v>45990</v>
      </c>
      <c r="E1564" s="43"/>
      <c r="F1564" s="32" t="s">
        <v>7351</v>
      </c>
      <c r="G1564" s="32" t="s">
        <v>8271</v>
      </c>
      <c r="H1564" s="32" t="s">
        <v>280</v>
      </c>
      <c r="I1564" s="32">
        <v>6281216704496</v>
      </c>
      <c r="J1564" s="52"/>
      <c r="K1564" s="32" t="s">
        <v>8272</v>
      </c>
      <c r="L1564" s="32" t="s">
        <v>2468</v>
      </c>
      <c r="M1564" s="32" t="s">
        <v>60</v>
      </c>
      <c r="N1564" s="33">
        <v>5</v>
      </c>
      <c r="O1564" s="35">
        <v>45993</v>
      </c>
      <c r="P1564" s="35">
        <v>45997</v>
      </c>
      <c r="Q1564" s="33"/>
      <c r="R1564" s="38">
        <v>-1003470351325</v>
      </c>
      <c r="S1564" s="33"/>
      <c r="T1564" s="60">
        <v>197000</v>
      </c>
      <c r="U1564" s="40" t="s">
        <v>61</v>
      </c>
      <c r="V1564" s="61">
        <v>45990.837644525462</v>
      </c>
      <c r="W1564" s="40" t="str">
        <f ca="1">IFERROR(__xludf.DUMMYFUNCTION("""COMPUTED_VALUE"""),"PT Samira")</f>
        <v>PT Samira</v>
      </c>
      <c r="X1564" s="42" t="str">
        <f ca="1"/>
        <v>ON-PT Samira-29112025+5-6281216704496</v>
      </c>
      <c r="Y1564" s="40" t="s">
        <v>62</v>
      </c>
      <c r="Z1564" s="40" t="s">
        <v>1880</v>
      </c>
      <c r="AA1564" s="23" t="str">
        <v>https://wa.me/6281216704496</v>
      </c>
      <c r="AB1564" s="28" t="s">
        <v>8273</v>
      </c>
      <c r="AC1564" s="28"/>
      <c r="AD1564" s="28" t="s">
        <v>690</v>
      </c>
      <c r="AE1564" s="28"/>
      <c r="AF1564" s="29"/>
      <c r="AG1564" s="28"/>
    </row>
    <row r="1565" spans="1:33" ht="15.75" customHeight="1">
      <c r="A1565" s="32" t="s">
        <v>52</v>
      </c>
      <c r="B1565" s="33">
        <v>1564</v>
      </c>
      <c r="C1565" s="33" t="s">
        <v>8274</v>
      </c>
      <c r="D1565" s="43">
        <v>45990.879232152773</v>
      </c>
      <c r="E1565" s="43">
        <v>45990</v>
      </c>
      <c r="F1565" s="32" t="s">
        <v>8030</v>
      </c>
      <c r="G1565" s="32" t="s">
        <v>8031</v>
      </c>
      <c r="H1565" s="32" t="s">
        <v>8032</v>
      </c>
      <c r="I1565" s="32">
        <v>6281398408303</v>
      </c>
      <c r="J1565" s="52"/>
      <c r="K1565" s="32" t="s">
        <v>570</v>
      </c>
      <c r="L1565" s="32" t="s">
        <v>5642</v>
      </c>
      <c r="M1565" s="32" t="s">
        <v>92</v>
      </c>
      <c r="N1565" s="33">
        <v>14</v>
      </c>
      <c r="O1565" s="35"/>
      <c r="P1565" s="35"/>
      <c r="Q1565" s="33"/>
      <c r="R1565" s="38"/>
      <c r="S1565" s="33"/>
      <c r="T1565" s="60">
        <v>550000</v>
      </c>
      <c r="U1565" s="40" t="s">
        <v>1229</v>
      </c>
      <c r="V1565" s="61"/>
      <c r="W1565" s="40" t="str">
        <f ca="1">IFERROR(__xludf.DUMMYFUNCTION("""COMPUTED_VALUE"""),"brother aluminium")</f>
        <v>brother aluminium</v>
      </c>
      <c r="X1565" s="42" t="str">
        <f ca="1"/>
        <v>ON-brother aluminium-00011900+14-6281398408303</v>
      </c>
      <c r="Y1565" s="40"/>
      <c r="Z1565" s="40"/>
      <c r="AA1565" s="23" t="str">
        <v>https://wa.me/6281398408303</v>
      </c>
      <c r="AB1565" s="28"/>
      <c r="AC1565" s="28"/>
      <c r="AD1565" s="28"/>
      <c r="AE1565" s="28"/>
      <c r="AF1565" s="29"/>
      <c r="AG1565" s="28"/>
    </row>
    <row r="1566" spans="1:33" ht="15.75" customHeight="1">
      <c r="A1566" s="32" t="s">
        <v>52</v>
      </c>
      <c r="B1566" s="33">
        <v>1565</v>
      </c>
      <c r="C1566" s="33" t="s">
        <v>7805</v>
      </c>
      <c r="D1566" s="43">
        <v>45992.275003310184</v>
      </c>
      <c r="E1566" s="33" t="s">
        <v>2341</v>
      </c>
      <c r="F1566" s="32" t="s">
        <v>2342</v>
      </c>
      <c r="G1566" s="32" t="s">
        <v>2343</v>
      </c>
      <c r="H1566" s="32" t="s">
        <v>2344</v>
      </c>
      <c r="I1566" s="32">
        <v>6285746861553</v>
      </c>
      <c r="J1566" s="52" t="s">
        <v>8275</v>
      </c>
      <c r="K1566" s="32" t="s">
        <v>2346</v>
      </c>
      <c r="L1566" s="32"/>
      <c r="M1566" s="32" t="s">
        <v>800</v>
      </c>
      <c r="N1566" s="33">
        <v>20</v>
      </c>
      <c r="O1566" s="35"/>
      <c r="P1566" s="35"/>
      <c r="Q1566" s="33"/>
      <c r="R1566" s="38"/>
      <c r="S1566" s="33"/>
      <c r="T1566" s="60">
        <v>700000</v>
      </c>
      <c r="U1566" s="40" t="s">
        <v>115</v>
      </c>
      <c r="V1566" s="61"/>
      <c r="W1566" s="40" t="str">
        <f ca="1">IFERROR(__xludf.DUMMYFUNCTION("""COMPUTED_VALUE"""),"Yahya kaca")</f>
        <v>Yahya kaca</v>
      </c>
      <c r="X1566" s="42" t="str">
        <f ca="1"/>
        <v>ON-Yahya kaca-00011900+20-6285746861553</v>
      </c>
      <c r="Y1566" s="40"/>
      <c r="Z1566" s="40"/>
      <c r="AA1566" s="23" t="str">
        <v>https://wa.me/6285746861553</v>
      </c>
      <c r="AB1566" s="28"/>
      <c r="AC1566" s="28"/>
      <c r="AD1566" s="28"/>
      <c r="AE1566" s="28"/>
      <c r="AF1566" s="29"/>
      <c r="AG1566" s="28"/>
    </row>
    <row r="1567" spans="1:33" ht="15.75" customHeight="1">
      <c r="A1567" s="32" t="s">
        <v>52</v>
      </c>
      <c r="B1567" s="33">
        <v>1566</v>
      </c>
      <c r="C1567" s="33" t="s">
        <v>7806</v>
      </c>
      <c r="D1567" s="43">
        <v>45992.332735219912</v>
      </c>
      <c r="E1567" s="33" t="s">
        <v>2341</v>
      </c>
      <c r="F1567" s="32" t="s">
        <v>642</v>
      </c>
      <c r="G1567" s="32" t="s">
        <v>643</v>
      </c>
      <c r="H1567" s="32" t="s">
        <v>644</v>
      </c>
      <c r="I1567" s="32">
        <v>6281338789995</v>
      </c>
      <c r="J1567" s="52" t="s">
        <v>1457</v>
      </c>
      <c r="K1567" s="32" t="s">
        <v>646</v>
      </c>
      <c r="L1567" s="32" t="s">
        <v>647</v>
      </c>
      <c r="M1567" s="32" t="s">
        <v>382</v>
      </c>
      <c r="N1567" s="33">
        <v>10</v>
      </c>
      <c r="O1567" s="35"/>
      <c r="P1567" s="35"/>
      <c r="Q1567" s="33"/>
      <c r="R1567" s="38"/>
      <c r="S1567" s="33"/>
      <c r="T1567" s="60">
        <v>375000</v>
      </c>
      <c r="U1567" s="40" t="s">
        <v>115</v>
      </c>
      <c r="V1567" s="61"/>
      <c r="W1567" s="40" t="str">
        <f ca="1">IFERROR(__xludf.DUMMYFUNCTION("""COMPUTED_VALUE"""),"CV Fajar")</f>
        <v>CV Fajar</v>
      </c>
      <c r="X1567" s="42" t="str">
        <f ca="1"/>
        <v>ON-CV Fajar-00011900+10-6281338789995</v>
      </c>
      <c r="Y1567" s="40"/>
      <c r="Z1567" s="40"/>
      <c r="AA1567" s="23" t="str">
        <v>https://wa.me/6281338789995</v>
      </c>
      <c r="AB1567" s="28"/>
      <c r="AC1567" s="28"/>
      <c r="AD1567" s="28"/>
      <c r="AE1567" s="28"/>
      <c r="AF1567" s="29"/>
      <c r="AG1567" s="28"/>
    </row>
    <row r="1568" spans="1:33" ht="15.75" customHeight="1">
      <c r="A1568" s="32" t="s">
        <v>196</v>
      </c>
      <c r="B1568" s="33">
        <v>1567</v>
      </c>
      <c r="C1568" s="33" t="s">
        <v>8276</v>
      </c>
      <c r="D1568" s="33" t="s">
        <v>6856</v>
      </c>
      <c r="E1568" s="33"/>
      <c r="F1568" s="32" t="s">
        <v>8277</v>
      </c>
      <c r="G1568" s="32" t="s">
        <v>8278</v>
      </c>
      <c r="H1568" s="32" t="s">
        <v>8279</v>
      </c>
      <c r="I1568" s="32">
        <v>6282136395328</v>
      </c>
      <c r="J1568" s="52"/>
      <c r="K1568" s="32" t="s">
        <v>8280</v>
      </c>
      <c r="L1568" s="32" t="s">
        <v>8281</v>
      </c>
      <c r="M1568" s="32" t="s">
        <v>8282</v>
      </c>
      <c r="N1568" s="33">
        <v>7</v>
      </c>
      <c r="O1568" s="35">
        <v>45994</v>
      </c>
      <c r="P1568" s="35">
        <v>46000</v>
      </c>
      <c r="Q1568" s="33"/>
      <c r="R1568" s="38">
        <v>-1003470351325</v>
      </c>
      <c r="S1568" s="33"/>
      <c r="T1568" s="60">
        <v>297000</v>
      </c>
      <c r="U1568" s="40" t="s">
        <v>115</v>
      </c>
      <c r="V1568" s="61">
        <v>46005.421988078699</v>
      </c>
      <c r="W1568" s="40" t="str">
        <f ca="1">IFERROR(__xludf.DUMMYFUNCTION("""COMPUTED_VALUE"""),"Klinik Akupunktur")</f>
        <v>Klinik Akupunktur</v>
      </c>
      <c r="X1568" s="42" t="str">
        <f ca="1"/>
        <v>ON-Klinik Akupunktur-14122025+7-6282136395328</v>
      </c>
      <c r="Y1568" s="40" t="s">
        <v>62</v>
      </c>
      <c r="Z1568" s="40" t="s">
        <v>639</v>
      </c>
      <c r="AA1568" s="23" t="str">
        <v>https://wa.me/6282136395328</v>
      </c>
      <c r="AB1568" s="28" t="s">
        <v>8283</v>
      </c>
      <c r="AC1568" s="28"/>
      <c r="AD1568" s="28" t="s">
        <v>690</v>
      </c>
      <c r="AE1568" s="28"/>
      <c r="AF1568" s="29"/>
      <c r="AG1568" s="28"/>
    </row>
    <row r="1569" spans="1:33" ht="15.75" customHeight="1">
      <c r="A1569" s="32" t="s">
        <v>196</v>
      </c>
      <c r="B1569" s="33">
        <v>1568</v>
      </c>
      <c r="C1569" s="33" t="s">
        <v>7807</v>
      </c>
      <c r="D1569" s="63">
        <v>45993.134472511578</v>
      </c>
      <c r="E1569" s="33" t="s">
        <v>8284</v>
      </c>
      <c r="F1569" s="32" t="s">
        <v>8285</v>
      </c>
      <c r="G1569" s="32" t="s">
        <v>8286</v>
      </c>
      <c r="H1569" s="32" t="s">
        <v>8287</v>
      </c>
      <c r="I1569" s="32">
        <v>6282173211212</v>
      </c>
      <c r="J1569" s="52"/>
      <c r="K1569" s="32" t="s">
        <v>8288</v>
      </c>
      <c r="L1569" s="32" t="s">
        <v>7592</v>
      </c>
      <c r="M1569" s="32" t="s">
        <v>60</v>
      </c>
      <c r="N1569" s="33">
        <v>5</v>
      </c>
      <c r="O1569" s="35">
        <v>45994</v>
      </c>
      <c r="P1569" s="35">
        <v>45998</v>
      </c>
      <c r="Q1569" s="33"/>
      <c r="R1569" s="38"/>
      <c r="S1569" s="33"/>
      <c r="T1569" s="60">
        <v>197000</v>
      </c>
      <c r="U1569" s="40" t="s">
        <v>61</v>
      </c>
      <c r="V1569" s="61"/>
      <c r="W1569" s="40" t="str">
        <f ca="1">IFERROR(__xludf.DUMMYFUNCTION("""COMPUTED_VALUE"""),"Vinity")</f>
        <v>Vinity</v>
      </c>
      <c r="X1569" s="42" t="str">
        <f ca="1"/>
        <v>ON-Vinity-00011900+5-6282173211212</v>
      </c>
      <c r="Y1569" s="40" t="s">
        <v>62</v>
      </c>
      <c r="Z1569" s="40" t="s">
        <v>1404</v>
      </c>
      <c r="AA1569" s="23" t="str">
        <v>https://wa.me/6282173211212</v>
      </c>
      <c r="AB1569" s="28" t="s">
        <v>8289</v>
      </c>
      <c r="AC1569" s="28"/>
      <c r="AD1569" s="28" t="s">
        <v>690</v>
      </c>
      <c r="AE1569" s="28"/>
      <c r="AF1569" s="29"/>
      <c r="AG1569" s="28"/>
    </row>
    <row r="1570" spans="1:33" ht="15.75" customHeight="1">
      <c r="A1570" s="32" t="s">
        <v>196</v>
      </c>
      <c r="B1570" s="33">
        <v>1569</v>
      </c>
      <c r="C1570" s="33" t="s">
        <v>7817</v>
      </c>
      <c r="D1570" s="63">
        <v>45993.13855127315</v>
      </c>
      <c r="E1570" s="33" t="s">
        <v>8284</v>
      </c>
      <c r="F1570" s="32" t="s">
        <v>5970</v>
      </c>
      <c r="G1570" s="32" t="s">
        <v>8290</v>
      </c>
      <c r="H1570" s="32" t="s">
        <v>8291</v>
      </c>
      <c r="I1570" s="32">
        <v>6281222858582</v>
      </c>
      <c r="J1570" s="52"/>
      <c r="K1570" s="32" t="s">
        <v>8169</v>
      </c>
      <c r="L1570" s="32" t="s">
        <v>1340</v>
      </c>
      <c r="M1570" s="32" t="s">
        <v>60</v>
      </c>
      <c r="N1570" s="33">
        <v>5</v>
      </c>
      <c r="O1570" s="35">
        <v>45994</v>
      </c>
      <c r="P1570" s="35">
        <v>45998</v>
      </c>
      <c r="Q1570" s="33"/>
      <c r="R1570" s="38"/>
      <c r="S1570" s="33"/>
      <c r="T1570" s="60">
        <v>197000</v>
      </c>
      <c r="U1570" s="40" t="s">
        <v>61</v>
      </c>
      <c r="V1570" s="61"/>
      <c r="W1570" s="40" t="str">
        <f ca="1">IFERROR(__xludf.DUMMYFUNCTION("""COMPUTED_VALUE"""),"Bekam BRC")</f>
        <v>Bekam BRC</v>
      </c>
      <c r="X1570" s="42" t="str">
        <f ca="1"/>
        <v>ON-Bekam BRC-00011900+5-6281222858582</v>
      </c>
      <c r="Y1570" s="40" t="s">
        <v>62</v>
      </c>
      <c r="Z1570" s="40" t="s">
        <v>639</v>
      </c>
      <c r="AA1570" s="23" t="str">
        <v>https://wa.me/6281222858582</v>
      </c>
      <c r="AB1570" s="28" t="s">
        <v>8292</v>
      </c>
      <c r="AC1570" s="28"/>
      <c r="AD1570" s="28" t="s">
        <v>690</v>
      </c>
      <c r="AE1570" s="28"/>
      <c r="AF1570" s="29"/>
      <c r="AG1570" s="28"/>
    </row>
    <row r="1571" spans="1:33" ht="15.75" customHeight="1">
      <c r="A1571" s="32" t="s">
        <v>52</v>
      </c>
      <c r="B1571" s="33">
        <v>1570</v>
      </c>
      <c r="C1571" s="33" t="s">
        <v>8293</v>
      </c>
      <c r="D1571" s="63">
        <v>45993.139683657406</v>
      </c>
      <c r="E1571" s="33" t="s">
        <v>8284</v>
      </c>
      <c r="F1571" s="32" t="s">
        <v>3772</v>
      </c>
      <c r="G1571" s="32" t="s">
        <v>3773</v>
      </c>
      <c r="H1571" s="32" t="s">
        <v>3774</v>
      </c>
      <c r="I1571" s="32">
        <v>6285893658659</v>
      </c>
      <c r="J1571" s="52"/>
      <c r="K1571" s="32" t="s">
        <v>570</v>
      </c>
      <c r="L1571" s="32" t="s">
        <v>2291</v>
      </c>
      <c r="M1571" s="32" t="s">
        <v>2032</v>
      </c>
      <c r="N1571" s="33">
        <v>10</v>
      </c>
      <c r="O1571" s="35"/>
      <c r="P1571" s="35"/>
      <c r="Q1571" s="33"/>
      <c r="R1571" s="38"/>
      <c r="S1571" s="33"/>
      <c r="T1571" s="60">
        <v>375000</v>
      </c>
      <c r="U1571" s="40" t="s">
        <v>61</v>
      </c>
      <c r="V1571" s="61"/>
      <c r="W1571" s="40" t="str">
        <f ca="1">IFERROR(__xludf.DUMMYFUNCTION("""COMPUTED_VALUE"""),"Kharisma Filter")</f>
        <v>Kharisma Filter</v>
      </c>
      <c r="X1571" s="42" t="str">
        <f ca="1"/>
        <v>ON-Kharisma Filter-00011900+10-6285893658659</v>
      </c>
      <c r="Y1571" s="40"/>
      <c r="Z1571" s="40"/>
      <c r="AA1571" s="23" t="str">
        <v>https://wa.me/6285893658659</v>
      </c>
      <c r="AB1571" s="28"/>
      <c r="AC1571" s="28"/>
      <c r="AD1571" s="28"/>
      <c r="AE1571" s="28"/>
      <c r="AF1571" s="29"/>
      <c r="AG1571" s="28"/>
    </row>
    <row r="1572" spans="1:33" ht="15.75" customHeight="1">
      <c r="A1572" s="32" t="s">
        <v>52</v>
      </c>
      <c r="B1572" s="33">
        <v>1571</v>
      </c>
      <c r="C1572" s="33" t="s">
        <v>8294</v>
      </c>
      <c r="D1572" s="63">
        <v>45993.142955694449</v>
      </c>
      <c r="E1572" s="33" t="s">
        <v>8284</v>
      </c>
      <c r="F1572" s="32" t="s">
        <v>6242</v>
      </c>
      <c r="G1572" s="32" t="s">
        <v>6243</v>
      </c>
      <c r="H1572" s="32" t="s">
        <v>6244</v>
      </c>
      <c r="I1572" s="32">
        <v>6282160889408</v>
      </c>
      <c r="J1572" s="52"/>
      <c r="K1572" s="32" t="s">
        <v>6246</v>
      </c>
      <c r="L1572" s="32" t="s">
        <v>4783</v>
      </c>
      <c r="M1572" s="32" t="s">
        <v>5492</v>
      </c>
      <c r="N1572" s="33">
        <v>7</v>
      </c>
      <c r="O1572" s="35"/>
      <c r="P1572" s="35"/>
      <c r="Q1572" s="33"/>
      <c r="R1572" s="38"/>
      <c r="S1572" s="33"/>
      <c r="T1572" s="60">
        <v>297000</v>
      </c>
      <c r="U1572" s="40" t="s">
        <v>61</v>
      </c>
      <c r="V1572" s="61"/>
      <c r="W1572" s="40" t="str">
        <f ca="1">IFERROR(__xludf.DUMMYFUNCTION("""COMPUTED_VALUE"""),"Rizky Contruksi")</f>
        <v>Rizky Contruksi</v>
      </c>
      <c r="X1572" s="42" t="str">
        <f ca="1"/>
        <v>ON-Rizky Contruksi-00011900+7-6282160889408</v>
      </c>
      <c r="Y1572" s="40"/>
      <c r="Z1572" s="40"/>
      <c r="AA1572" s="23" t="str">
        <v>https://wa.me/6282160889408</v>
      </c>
      <c r="AB1572" s="28"/>
      <c r="AC1572" s="28"/>
      <c r="AD1572" s="28"/>
      <c r="AE1572" s="28"/>
      <c r="AF1572" s="29"/>
      <c r="AG1572" s="28"/>
    </row>
    <row r="1573" spans="1:33" ht="15.75" customHeight="1">
      <c r="A1573" s="32" t="s">
        <v>52</v>
      </c>
      <c r="B1573" s="33">
        <v>1572</v>
      </c>
      <c r="C1573" s="33" t="s">
        <v>8295</v>
      </c>
      <c r="D1573" s="63">
        <v>45993.143179930557</v>
      </c>
      <c r="E1573" s="33" t="s">
        <v>8284</v>
      </c>
      <c r="F1573" s="32" t="s">
        <v>2035</v>
      </c>
      <c r="G1573" s="32" t="s">
        <v>7542</v>
      </c>
      <c r="H1573" s="32" t="s">
        <v>409</v>
      </c>
      <c r="I1573" s="32">
        <v>6281213766426</v>
      </c>
      <c r="J1573" s="52"/>
      <c r="K1573" s="32" t="s">
        <v>570</v>
      </c>
      <c r="L1573" s="32" t="s">
        <v>4068</v>
      </c>
      <c r="M1573" s="32" t="s">
        <v>60</v>
      </c>
      <c r="N1573" s="33">
        <v>10</v>
      </c>
      <c r="O1573" s="35"/>
      <c r="P1573" s="35"/>
      <c r="Q1573" s="33"/>
      <c r="R1573" s="38"/>
      <c r="S1573" s="33"/>
      <c r="T1573" s="60">
        <v>375000</v>
      </c>
      <c r="U1573" s="40" t="s">
        <v>61</v>
      </c>
      <c r="V1573" s="61"/>
      <c r="W1573" s="40" t="str">
        <f ca="1">IFERROR(__xludf.DUMMYFUNCTION("""COMPUTED_VALUE"""),"CV Kaligiri")</f>
        <v>CV Kaligiri</v>
      </c>
      <c r="X1573" s="42" t="str">
        <f ca="1"/>
        <v>ON-CV Kaligiri-00011900+10-6281213766426</v>
      </c>
      <c r="Y1573" s="40"/>
      <c r="Z1573" s="40"/>
      <c r="AA1573" s="23" t="str">
        <v>https://wa.me/6281213766426</v>
      </c>
      <c r="AB1573" s="28"/>
      <c r="AC1573" s="28"/>
      <c r="AD1573" s="28"/>
      <c r="AE1573" s="28"/>
      <c r="AF1573" s="29"/>
      <c r="AG1573" s="28"/>
    </row>
    <row r="1574" spans="1:33" ht="15.75" customHeight="1">
      <c r="A1574" s="32" t="s">
        <v>52</v>
      </c>
      <c r="B1574" s="33">
        <v>1573</v>
      </c>
      <c r="C1574" s="33" t="s">
        <v>8296</v>
      </c>
      <c r="D1574" s="63">
        <v>45993.151824548608</v>
      </c>
      <c r="E1574" s="43">
        <v>45991</v>
      </c>
      <c r="F1574" s="32" t="s">
        <v>7855</v>
      </c>
      <c r="G1574" s="32" t="s">
        <v>7856</v>
      </c>
      <c r="H1574" s="32" t="s">
        <v>7857</v>
      </c>
      <c r="I1574" s="32">
        <v>6289529314651</v>
      </c>
      <c r="J1574" s="52" t="s">
        <v>7859</v>
      </c>
      <c r="K1574" s="32"/>
      <c r="L1574" s="32" t="s">
        <v>2468</v>
      </c>
      <c r="M1574" s="32" t="s">
        <v>60</v>
      </c>
      <c r="N1574" s="33">
        <v>5</v>
      </c>
      <c r="O1574" s="35"/>
      <c r="P1574" s="35"/>
      <c r="Q1574" s="33"/>
      <c r="R1574" s="38"/>
      <c r="S1574" s="33"/>
      <c r="T1574" s="60">
        <v>197000</v>
      </c>
      <c r="U1574" s="40" t="s">
        <v>61</v>
      </c>
      <c r="V1574" s="61"/>
      <c r="W1574" s="40" t="str">
        <f ca="1">IFERROR(__xludf.DUMMYFUNCTION("""COMPUTED_VALUE"""),"Pelatihan Bekam")</f>
        <v>Pelatihan Bekam</v>
      </c>
      <c r="X1574" s="42" t="str">
        <f ca="1"/>
        <v>ON-Pelatihan Bekam-00011900+5-6289529314651</v>
      </c>
      <c r="Y1574" s="40"/>
      <c r="Z1574" s="40"/>
      <c r="AA1574" s="23" t="str">
        <v>https://wa.me/6289529314651</v>
      </c>
      <c r="AB1574" s="28"/>
      <c r="AC1574" s="28"/>
      <c r="AD1574" s="28"/>
      <c r="AE1574" s="28"/>
      <c r="AF1574" s="29"/>
      <c r="AG1574" s="28"/>
    </row>
    <row r="1575" spans="1:33" ht="15.75" customHeight="1">
      <c r="A1575" s="32" t="s">
        <v>52</v>
      </c>
      <c r="B1575" s="33">
        <v>1574</v>
      </c>
      <c r="C1575" s="33" t="s">
        <v>8297</v>
      </c>
      <c r="D1575" s="63">
        <v>45993.240687141202</v>
      </c>
      <c r="E1575" s="33" t="s">
        <v>8284</v>
      </c>
      <c r="F1575" s="32" t="s">
        <v>6090</v>
      </c>
      <c r="G1575" s="32" t="s">
        <v>6091</v>
      </c>
      <c r="H1575" s="32" t="s">
        <v>3076</v>
      </c>
      <c r="I1575" s="32">
        <v>6281938384000</v>
      </c>
      <c r="J1575" s="52"/>
      <c r="K1575" s="32" t="s">
        <v>3078</v>
      </c>
      <c r="L1575" s="32" t="s">
        <v>3079</v>
      </c>
      <c r="M1575" s="32" t="s">
        <v>48</v>
      </c>
      <c r="N1575" s="33">
        <v>10</v>
      </c>
      <c r="O1575" s="35"/>
      <c r="P1575" s="35"/>
      <c r="Q1575" s="33"/>
      <c r="R1575" s="38"/>
      <c r="S1575" s="33"/>
      <c r="T1575" s="60">
        <v>375000</v>
      </c>
      <c r="U1575" s="40" t="s">
        <v>1774</v>
      </c>
      <c r="V1575" s="61"/>
      <c r="W1575" s="40" t="str">
        <f ca="1">IFERROR(__xludf.DUMMYFUNCTION("""COMPUTED_VALUE"""),"Raflesia Rental")</f>
        <v>Raflesia Rental</v>
      </c>
      <c r="X1575" s="42" t="str">
        <f ca="1"/>
        <v>ON-Raflesia Rental-00011900+10-6281938384000</v>
      </c>
      <c r="Y1575" s="40"/>
      <c r="Z1575" s="40"/>
      <c r="AA1575" s="23" t="str">
        <v>https://wa.me/6281938384000</v>
      </c>
      <c r="AB1575" s="28"/>
      <c r="AC1575" s="28"/>
      <c r="AD1575" s="28"/>
      <c r="AE1575" s="28"/>
      <c r="AF1575" s="29"/>
      <c r="AG1575" s="28"/>
    </row>
    <row r="1576" spans="1:33" ht="15.75" customHeight="1">
      <c r="A1576" s="32" t="s">
        <v>52</v>
      </c>
      <c r="B1576" s="33">
        <v>1575</v>
      </c>
      <c r="C1576" s="33" t="s">
        <v>8298</v>
      </c>
      <c r="D1576" s="63">
        <v>45994.267924537038</v>
      </c>
      <c r="E1576" s="33" t="s">
        <v>8299</v>
      </c>
      <c r="F1576" s="32" t="s">
        <v>5534</v>
      </c>
      <c r="G1576" s="32" t="s">
        <v>5535</v>
      </c>
      <c r="H1576" s="32" t="s">
        <v>5536</v>
      </c>
      <c r="I1576" s="32">
        <v>6281316122975</v>
      </c>
      <c r="J1576" s="52"/>
      <c r="K1576" s="32" t="s">
        <v>5709</v>
      </c>
      <c r="L1576" s="32" t="s">
        <v>1008</v>
      </c>
      <c r="M1576" s="32" t="s">
        <v>60</v>
      </c>
      <c r="N1576" s="33">
        <v>5</v>
      </c>
      <c r="O1576" s="35"/>
      <c r="P1576" s="35"/>
      <c r="Q1576" s="33"/>
      <c r="R1576" s="38"/>
      <c r="S1576" s="33"/>
      <c r="T1576" s="60">
        <v>197000</v>
      </c>
      <c r="U1576" s="40" t="s">
        <v>61</v>
      </c>
      <c r="V1576" s="61"/>
      <c r="W1576" s="40" t="str">
        <f ca="1">IFERROR(__xludf.DUMMYFUNCTION("""COMPUTED_VALUE"""),"Rumah Sehat")</f>
        <v>Rumah Sehat</v>
      </c>
      <c r="X1576" s="42" t="str">
        <f ca="1"/>
        <v>ON-Rumah Sehat-00011900+5-6281316122975</v>
      </c>
      <c r="Y1576" s="40"/>
      <c r="Z1576" s="40"/>
      <c r="AA1576" s="23" t="str">
        <v>https://wa.me/6281316122975</v>
      </c>
      <c r="AB1576" s="28"/>
      <c r="AC1576" s="28"/>
      <c r="AD1576" s="28"/>
      <c r="AE1576" s="28"/>
      <c r="AF1576" s="29"/>
      <c r="AG1576" s="28"/>
    </row>
    <row r="1577" spans="1:33" ht="15.75" customHeight="1">
      <c r="A1577" s="32" t="s">
        <v>52</v>
      </c>
      <c r="B1577" s="33">
        <v>1576</v>
      </c>
      <c r="C1577" s="33" t="s">
        <v>8300</v>
      </c>
      <c r="D1577" s="63">
        <v>45994.269877256942</v>
      </c>
      <c r="E1577" s="33" t="s">
        <v>8299</v>
      </c>
      <c r="F1577" s="32" t="s">
        <v>8176</v>
      </c>
      <c r="G1577" s="32" t="s">
        <v>8177</v>
      </c>
      <c r="H1577" s="32" t="s">
        <v>1451</v>
      </c>
      <c r="I1577" s="32">
        <v>6281222666815</v>
      </c>
      <c r="J1577" s="52"/>
      <c r="K1577" s="32" t="s">
        <v>8178</v>
      </c>
      <c r="L1577" s="32" t="s">
        <v>8179</v>
      </c>
      <c r="M1577" s="32" t="s">
        <v>60</v>
      </c>
      <c r="N1577" s="33">
        <v>5</v>
      </c>
      <c r="O1577" s="35"/>
      <c r="P1577" s="35"/>
      <c r="Q1577" s="33"/>
      <c r="R1577" s="38"/>
      <c r="S1577" s="33"/>
      <c r="T1577" s="60">
        <v>197000</v>
      </c>
      <c r="U1577" s="40" t="s">
        <v>61</v>
      </c>
      <c r="V1577" s="61"/>
      <c r="W1577" s="40" t="str">
        <f ca="1">IFERROR(__xludf.DUMMYFUNCTION("""COMPUTED_VALUE"""),"Prife Wealness")</f>
        <v>Prife Wealness</v>
      </c>
      <c r="X1577" s="42" t="str">
        <f ca="1"/>
        <v>ON-Prife Wealness-00011900+5-6281222666815</v>
      </c>
      <c r="Y1577" s="40"/>
      <c r="Z1577" s="40"/>
      <c r="AA1577" s="23" t="str">
        <v>https://wa.me/6281222666815</v>
      </c>
      <c r="AB1577" s="28"/>
      <c r="AC1577" s="28"/>
      <c r="AD1577" s="28"/>
      <c r="AE1577" s="28"/>
      <c r="AF1577" s="29"/>
      <c r="AG1577" s="28"/>
    </row>
    <row r="1578" spans="1:33" ht="15.75" customHeight="1">
      <c r="A1578" s="32" t="s">
        <v>52</v>
      </c>
      <c r="B1578" s="33">
        <v>1577</v>
      </c>
      <c r="C1578" s="33" t="s">
        <v>8301</v>
      </c>
      <c r="D1578" s="63">
        <v>45994.270369166668</v>
      </c>
      <c r="E1578" s="33" t="s">
        <v>8299</v>
      </c>
      <c r="F1578" s="32" t="s">
        <v>3319</v>
      </c>
      <c r="G1578" s="32" t="s">
        <v>3320</v>
      </c>
      <c r="H1578" s="32" t="s">
        <v>4353</v>
      </c>
      <c r="I1578" s="32">
        <v>6282384370009</v>
      </c>
      <c r="J1578" s="52"/>
      <c r="K1578" s="32" t="s">
        <v>8302</v>
      </c>
      <c r="L1578" s="32" t="s">
        <v>99</v>
      </c>
      <c r="M1578" s="32" t="s">
        <v>60</v>
      </c>
      <c r="N1578" s="33">
        <v>5</v>
      </c>
      <c r="O1578" s="35"/>
      <c r="P1578" s="35"/>
      <c r="Q1578" s="33"/>
      <c r="R1578" s="38"/>
      <c r="S1578" s="33"/>
      <c r="T1578" s="60">
        <v>197000</v>
      </c>
      <c r="U1578" s="40" t="s">
        <v>61</v>
      </c>
      <c r="V1578" s="61"/>
      <c r="W1578" s="40" t="str">
        <f ca="1">IFERROR(__xludf.DUMMYFUNCTION("""COMPUTED_VALUE"""),"Hendri Family")</f>
        <v>Hendri Family</v>
      </c>
      <c r="X1578" s="42" t="str">
        <f ca="1"/>
        <v>ON-Hendri Family-00011900+5-6282384370009</v>
      </c>
      <c r="Y1578" s="40"/>
      <c r="Z1578" s="40"/>
      <c r="AA1578" s="23" t="str">
        <v>https://wa.me/6282384370009</v>
      </c>
      <c r="AB1578" s="28"/>
      <c r="AC1578" s="28"/>
      <c r="AD1578" s="28"/>
      <c r="AE1578" s="28"/>
      <c r="AF1578" s="29"/>
      <c r="AG1578" s="28"/>
    </row>
    <row r="1579" spans="1:33" ht="15.75" customHeight="1">
      <c r="A1579" s="32" t="s">
        <v>52</v>
      </c>
      <c r="B1579" s="33">
        <v>1578</v>
      </c>
      <c r="C1579" s="33" t="s">
        <v>8303</v>
      </c>
      <c r="D1579" s="63">
        <v>45994.271181041666</v>
      </c>
      <c r="E1579" s="33" t="s">
        <v>8299</v>
      </c>
      <c r="F1579" s="32" t="s">
        <v>1537</v>
      </c>
      <c r="G1579" s="32" t="s">
        <v>1538</v>
      </c>
      <c r="H1579" s="32" t="s">
        <v>1539</v>
      </c>
      <c r="I1579" s="32">
        <v>6282338171577</v>
      </c>
      <c r="J1579" s="52" t="s">
        <v>3199</v>
      </c>
      <c r="K1579" s="32" t="s">
        <v>3200</v>
      </c>
      <c r="L1579" s="32" t="s">
        <v>1542</v>
      </c>
      <c r="M1579" s="32" t="s">
        <v>60</v>
      </c>
      <c r="N1579" s="33">
        <v>30</v>
      </c>
      <c r="O1579" s="35"/>
      <c r="P1579" s="35"/>
      <c r="Q1579" s="33"/>
      <c r="R1579" s="38"/>
      <c r="S1579" s="33"/>
      <c r="T1579" s="60">
        <v>1000000</v>
      </c>
      <c r="U1579" s="40" t="s">
        <v>61</v>
      </c>
      <c r="V1579" s="61"/>
      <c r="W1579" s="40" t="str">
        <f ca="1">IFERROR(__xludf.DUMMYFUNCTION("""COMPUTED_VALUE"""),"Mitra Bangun")</f>
        <v>Mitra Bangun</v>
      </c>
      <c r="X1579" s="42" t="str">
        <f ca="1"/>
        <v>ON-Mitra Bangun-00011900+30-6282338171577</v>
      </c>
      <c r="Y1579" s="40"/>
      <c r="Z1579" s="40"/>
      <c r="AA1579" s="23" t="str">
        <v>https://wa.me/6282338171577</v>
      </c>
      <c r="AB1579" s="28"/>
      <c r="AC1579" s="28"/>
      <c r="AD1579" s="28"/>
      <c r="AE1579" s="28"/>
      <c r="AF1579" s="29"/>
      <c r="AG1579" s="28"/>
    </row>
    <row r="1580" spans="1:33" ht="15.75" customHeight="1">
      <c r="A1580" s="32" t="s">
        <v>52</v>
      </c>
      <c r="B1580" s="33">
        <v>1579</v>
      </c>
      <c r="C1580" s="33" t="s">
        <v>8304</v>
      </c>
      <c r="D1580" s="63">
        <v>45994.271443252313</v>
      </c>
      <c r="E1580" s="33" t="s">
        <v>8299</v>
      </c>
      <c r="F1580" s="32" t="s">
        <v>125</v>
      </c>
      <c r="G1580" s="32" t="s">
        <v>5265</v>
      </c>
      <c r="H1580" s="32" t="s">
        <v>5266</v>
      </c>
      <c r="I1580" s="32">
        <v>6283188945188</v>
      </c>
      <c r="J1580" s="52"/>
      <c r="K1580" s="32" t="s">
        <v>8305</v>
      </c>
      <c r="L1580" s="32" t="s">
        <v>2133</v>
      </c>
      <c r="M1580" s="32" t="s">
        <v>60</v>
      </c>
      <c r="N1580" s="33">
        <v>10</v>
      </c>
      <c r="O1580" s="35"/>
      <c r="P1580" s="35"/>
      <c r="Q1580" s="33"/>
      <c r="R1580" s="38"/>
      <c r="S1580" s="33"/>
      <c r="T1580" s="60">
        <v>375000</v>
      </c>
      <c r="U1580" s="40" t="s">
        <v>61</v>
      </c>
      <c r="V1580" s="61"/>
      <c r="W1580" s="40" t="str">
        <f ca="1">IFERROR(__xludf.DUMMYFUNCTION("""COMPUTED_VALUE"""),"AJP Adi")</f>
        <v>AJP Adi</v>
      </c>
      <c r="X1580" s="42" t="str">
        <f ca="1"/>
        <v>ON-AJP Adi-00011900+10-6283188945188</v>
      </c>
      <c r="Y1580" s="40"/>
      <c r="Z1580" s="40"/>
      <c r="AA1580" s="23" t="str">
        <v>https://wa.me/6283188945188</v>
      </c>
      <c r="AB1580" s="28"/>
      <c r="AC1580" s="28"/>
      <c r="AD1580" s="28"/>
      <c r="AE1580" s="28"/>
      <c r="AF1580" s="29"/>
      <c r="AG1580" s="28"/>
    </row>
    <row r="1581" spans="1:33" ht="15.75" customHeight="1">
      <c r="A1581" s="32"/>
      <c r="B1581" s="33">
        <v>1580</v>
      </c>
      <c r="C1581" s="33" t="s">
        <v>8306</v>
      </c>
      <c r="D1581" s="63">
        <v>45994.339475787041</v>
      </c>
      <c r="E1581" s="33" t="s">
        <v>8022</v>
      </c>
      <c r="F1581" s="32" t="s">
        <v>5297</v>
      </c>
      <c r="G1581" s="32" t="s">
        <v>6093</v>
      </c>
      <c r="H1581" s="32" t="s">
        <v>6094</v>
      </c>
      <c r="I1581" s="32">
        <v>6282391199993</v>
      </c>
      <c r="J1581" s="52" t="s">
        <v>6095</v>
      </c>
      <c r="K1581" s="32" t="s">
        <v>6096</v>
      </c>
      <c r="L1581" s="32" t="s">
        <v>3596</v>
      </c>
      <c r="M1581" s="32" t="s">
        <v>285</v>
      </c>
      <c r="N1581" s="33">
        <v>10</v>
      </c>
      <c r="O1581" s="35"/>
      <c r="P1581" s="35"/>
      <c r="Q1581" s="33"/>
      <c r="R1581" s="38"/>
      <c r="S1581" s="33"/>
      <c r="T1581" s="60">
        <v>375000</v>
      </c>
      <c r="U1581" s="40" t="s">
        <v>1229</v>
      </c>
      <c r="V1581" s="61"/>
      <c r="W1581" s="40" t="str">
        <f ca="1">IFERROR(__xludf.DUMMYFUNCTION("""COMPUTED_VALUE"""),"Terapi totok")</f>
        <v>Terapi totok</v>
      </c>
      <c r="X1581" s="42" t="str">
        <f ca="1"/>
        <v>ON-Terapi totok-00011900+10-6282391199993</v>
      </c>
      <c r="Y1581" s="40"/>
      <c r="Z1581" s="40"/>
      <c r="AA1581" s="23" t="str">
        <v>https://wa.me/6282391199993</v>
      </c>
      <c r="AB1581" s="28"/>
      <c r="AC1581" s="28"/>
      <c r="AD1581" s="28"/>
      <c r="AE1581" s="28"/>
      <c r="AF1581" s="29"/>
      <c r="AG1581" s="28"/>
    </row>
    <row r="1582" spans="1:33" ht="15.75" customHeight="1">
      <c r="A1582" s="32" t="s">
        <v>196</v>
      </c>
      <c r="B1582" s="33">
        <v>1581</v>
      </c>
      <c r="C1582" s="33" t="s">
        <v>8307</v>
      </c>
      <c r="D1582" s="33" t="s">
        <v>6856</v>
      </c>
      <c r="E1582" s="33"/>
      <c r="F1582" s="32" t="s">
        <v>8308</v>
      </c>
      <c r="G1582" s="32" t="s">
        <v>8309</v>
      </c>
      <c r="H1582" s="32" t="s">
        <v>8310</v>
      </c>
      <c r="I1582" s="32">
        <v>6288983421843</v>
      </c>
      <c r="J1582" s="52"/>
      <c r="K1582" s="32" t="s">
        <v>173</v>
      </c>
      <c r="L1582" s="32" t="s">
        <v>8311</v>
      </c>
      <c r="M1582" s="32" t="s">
        <v>711</v>
      </c>
      <c r="N1582" s="33">
        <v>7</v>
      </c>
      <c r="O1582" s="35">
        <v>45998</v>
      </c>
      <c r="P1582" s="35">
        <v>46004</v>
      </c>
      <c r="Q1582" s="33"/>
      <c r="R1582" s="38">
        <v>-1003470351325</v>
      </c>
      <c r="S1582" s="33"/>
      <c r="T1582" s="60">
        <v>297000</v>
      </c>
      <c r="U1582" s="40" t="s">
        <v>115</v>
      </c>
      <c r="V1582" s="61">
        <v>46005.510706377318</v>
      </c>
      <c r="W1582" s="40" t="str">
        <f ca="1">IFERROR(__xludf.DUMMYFUNCTION("""COMPUTED_VALUE"""),"Raja Pasir")</f>
        <v>Raja Pasir</v>
      </c>
      <c r="X1582" s="42" t="str">
        <f ca="1"/>
        <v>ON-Raja Pasir-14122025+7-6288983421843</v>
      </c>
      <c r="Y1582" s="40" t="s">
        <v>293</v>
      </c>
      <c r="Z1582" s="40" t="s">
        <v>1057</v>
      </c>
      <c r="AA1582" s="23" t="str">
        <v>https://wa.me/6288983421843</v>
      </c>
      <c r="AB1582" s="28" t="s">
        <v>8312</v>
      </c>
      <c r="AC1582" s="28"/>
      <c r="AD1582" s="28" t="s">
        <v>690</v>
      </c>
      <c r="AE1582" s="28"/>
      <c r="AF1582" s="29"/>
      <c r="AG1582" s="28"/>
    </row>
    <row r="1583" spans="1:33" ht="15.75" customHeight="1">
      <c r="A1583" s="32"/>
      <c r="B1583" s="33">
        <v>1582</v>
      </c>
      <c r="C1583" s="33" t="s">
        <v>8313</v>
      </c>
      <c r="D1583" s="63">
        <v>45994.828342719906</v>
      </c>
      <c r="E1583" s="33" t="s">
        <v>8299</v>
      </c>
      <c r="F1583" s="32" t="s">
        <v>5297</v>
      </c>
      <c r="G1583" s="32" t="s">
        <v>6093</v>
      </c>
      <c r="H1583" s="32" t="s">
        <v>6094</v>
      </c>
      <c r="I1583" s="32">
        <v>6282391199993</v>
      </c>
      <c r="J1583" s="52" t="s">
        <v>6095</v>
      </c>
      <c r="K1583" s="32" t="s">
        <v>6096</v>
      </c>
      <c r="L1583" s="32" t="s">
        <v>3596</v>
      </c>
      <c r="M1583" s="32" t="s">
        <v>285</v>
      </c>
      <c r="N1583" s="33">
        <v>10</v>
      </c>
      <c r="O1583" s="35"/>
      <c r="P1583" s="35"/>
      <c r="Q1583" s="33"/>
      <c r="R1583" s="38"/>
      <c r="S1583" s="33"/>
      <c r="T1583" s="60">
        <v>375000</v>
      </c>
      <c r="U1583" s="40" t="s">
        <v>1229</v>
      </c>
      <c r="V1583" s="61"/>
      <c r="W1583" s="40" t="str">
        <f ca="1">IFERROR(__xludf.DUMMYFUNCTION("""COMPUTED_VALUE"""),"Terapi totok")</f>
        <v>Terapi totok</v>
      </c>
      <c r="X1583" s="42" t="str">
        <f ca="1"/>
        <v>ON-Terapi totok-00011900+10-6282391199993</v>
      </c>
      <c r="Y1583" s="40"/>
      <c r="Z1583" s="40"/>
      <c r="AA1583" s="23" t="str">
        <v>https://wa.me/6282391199993</v>
      </c>
      <c r="AB1583" s="28"/>
      <c r="AC1583" s="28"/>
      <c r="AD1583" s="28"/>
      <c r="AE1583" s="28"/>
      <c r="AF1583" s="29"/>
      <c r="AG1583" s="28"/>
    </row>
    <row r="1584" spans="1:33" ht="15.75" customHeight="1">
      <c r="A1584" s="32" t="s">
        <v>52</v>
      </c>
      <c r="B1584" s="33">
        <v>1583</v>
      </c>
      <c r="C1584" s="33" t="s">
        <v>8314</v>
      </c>
      <c r="D1584" s="63">
        <v>45994.83021511574</v>
      </c>
      <c r="E1584" s="33" t="s">
        <v>8022</v>
      </c>
      <c r="F1584" s="32" t="s">
        <v>4042</v>
      </c>
      <c r="G1584" s="32" t="s">
        <v>4043</v>
      </c>
      <c r="H1584" s="32" t="s">
        <v>4044</v>
      </c>
      <c r="I1584" s="32">
        <v>6285925102815</v>
      </c>
      <c r="J1584" s="52"/>
      <c r="K1584" s="32" t="s">
        <v>6024</v>
      </c>
      <c r="L1584" s="32" t="s">
        <v>4046</v>
      </c>
      <c r="M1584" s="32" t="s">
        <v>4047</v>
      </c>
      <c r="N1584" s="33">
        <v>20</v>
      </c>
      <c r="O1584" s="35"/>
      <c r="P1584" s="35"/>
      <c r="Q1584" s="33"/>
      <c r="R1584" s="38"/>
      <c r="S1584" s="33"/>
      <c r="T1584" s="60">
        <v>700000</v>
      </c>
      <c r="U1584" s="40" t="s">
        <v>1229</v>
      </c>
      <c r="V1584" s="61"/>
      <c r="W1584" s="40" t="str">
        <f ca="1">IFERROR(__xludf.DUMMYFUNCTION("""COMPUTED_VALUE"""),"pusat roster,bata")</f>
        <v>pusat roster,bata</v>
      </c>
      <c r="X1584" s="42" t="str">
        <f ca="1"/>
        <v>ON-pusat roster,bata-00011900+20-6285925102815</v>
      </c>
      <c r="Y1584" s="40"/>
      <c r="Z1584" s="40"/>
      <c r="AA1584" s="23" t="str">
        <v>https://wa.me/6285925102815</v>
      </c>
      <c r="AB1584" s="28"/>
      <c r="AC1584" s="28"/>
      <c r="AD1584" s="28"/>
      <c r="AE1584" s="28"/>
      <c r="AF1584" s="29"/>
      <c r="AG1584" s="28"/>
    </row>
    <row r="1585" spans="1:33" ht="15.75" customHeight="1">
      <c r="A1585" s="32" t="s">
        <v>52</v>
      </c>
      <c r="B1585" s="33">
        <v>1584</v>
      </c>
      <c r="C1585" s="33" t="s">
        <v>8315</v>
      </c>
      <c r="D1585" s="63">
        <v>45994.830581550923</v>
      </c>
      <c r="E1585" s="33" t="s">
        <v>8022</v>
      </c>
      <c r="F1585" s="32" t="s">
        <v>7557</v>
      </c>
      <c r="G1585" s="32" t="s">
        <v>7558</v>
      </c>
      <c r="H1585" s="32" t="s">
        <v>7559</v>
      </c>
      <c r="I1585" s="32">
        <v>6285750574301</v>
      </c>
      <c r="J1585" s="52"/>
      <c r="K1585" s="32" t="s">
        <v>7560</v>
      </c>
      <c r="L1585" s="32" t="s">
        <v>7561</v>
      </c>
      <c r="M1585" s="32" t="s">
        <v>276</v>
      </c>
      <c r="N1585" s="33">
        <v>5</v>
      </c>
      <c r="O1585" s="35"/>
      <c r="P1585" s="35"/>
      <c r="Q1585" s="33"/>
      <c r="R1585" s="38"/>
      <c r="S1585" s="33"/>
      <c r="T1585" s="60">
        <v>197000</v>
      </c>
      <c r="U1585" s="40" t="s">
        <v>1229</v>
      </c>
      <c r="V1585" s="61"/>
      <c r="W1585" s="40" t="str">
        <f ca="1">IFERROR(__xludf.DUMMYFUNCTION("""COMPUTED_VALUE"""),"Flamboyan spa")</f>
        <v>Flamboyan spa</v>
      </c>
      <c r="X1585" s="42" t="str">
        <f ca="1"/>
        <v>ON-Flamboyan spa-00011900+5-6285750574301</v>
      </c>
      <c r="Y1585" s="40"/>
      <c r="Z1585" s="40"/>
      <c r="AA1585" s="23" t="str">
        <v>https://wa.me/6285750574301</v>
      </c>
      <c r="AB1585" s="28"/>
      <c r="AC1585" s="28"/>
      <c r="AD1585" s="28"/>
      <c r="AE1585" s="28"/>
      <c r="AF1585" s="29"/>
      <c r="AG1585" s="28"/>
    </row>
    <row r="1586" spans="1:33" ht="15.75" customHeight="1">
      <c r="A1586" s="32" t="s">
        <v>196</v>
      </c>
      <c r="B1586" s="33">
        <v>1585</v>
      </c>
      <c r="C1586" s="33" t="s">
        <v>8316</v>
      </c>
      <c r="D1586" s="33" t="s">
        <v>8317</v>
      </c>
      <c r="E1586" s="33"/>
      <c r="F1586" s="32" t="s">
        <v>8318</v>
      </c>
      <c r="G1586" s="32" t="s">
        <v>8319</v>
      </c>
      <c r="H1586" s="32" t="s">
        <v>8320</v>
      </c>
      <c r="I1586" s="32">
        <v>6285695504319</v>
      </c>
      <c r="J1586" s="52"/>
      <c r="K1586" s="32" t="s">
        <v>570</v>
      </c>
      <c r="L1586" s="32" t="s">
        <v>8321</v>
      </c>
      <c r="M1586" s="32" t="s">
        <v>60</v>
      </c>
      <c r="N1586" s="33">
        <v>7</v>
      </c>
      <c r="O1586" s="35">
        <v>45998</v>
      </c>
      <c r="P1586" s="35">
        <v>46004</v>
      </c>
      <c r="Q1586" s="33"/>
      <c r="R1586" s="38">
        <v>-1003470351325</v>
      </c>
      <c r="S1586" s="33"/>
      <c r="T1586" s="60">
        <v>297000</v>
      </c>
      <c r="U1586" s="40" t="s">
        <v>243</v>
      </c>
      <c r="V1586" s="61">
        <v>45995.430041539352</v>
      </c>
      <c r="W1586" s="40" t="str">
        <f ca="1">IFERROR(__xludf.DUMMYFUNCTION("""COMPUTED_VALUE"""),"Eshan Aqiqah")</f>
        <v>Eshan Aqiqah</v>
      </c>
      <c r="X1586" s="42" t="str">
        <f ca="1"/>
        <v>ON-Eshan Aqiqah-04122025+7-6285695504319</v>
      </c>
      <c r="Y1586" s="40" t="s">
        <v>62</v>
      </c>
      <c r="Z1586" s="40" t="s">
        <v>1465</v>
      </c>
      <c r="AA1586" s="23" t="str">
        <v>https://wa.me/6285695504319</v>
      </c>
      <c r="AB1586" s="28" t="s">
        <v>8322</v>
      </c>
      <c r="AC1586" s="28"/>
      <c r="AD1586" s="28" t="s">
        <v>690</v>
      </c>
      <c r="AE1586" s="28"/>
      <c r="AF1586" s="29"/>
      <c r="AG1586" s="28"/>
    </row>
    <row r="1587" spans="1:33" ht="15.75" customHeight="1">
      <c r="A1587" s="32" t="s">
        <v>196</v>
      </c>
      <c r="B1587" s="33">
        <v>1586</v>
      </c>
      <c r="C1587" s="33" t="s">
        <v>8323</v>
      </c>
      <c r="D1587" s="33" t="s">
        <v>6171</v>
      </c>
      <c r="E1587" s="33"/>
      <c r="F1587" s="32" t="s">
        <v>1529</v>
      </c>
      <c r="G1587" s="32" t="s">
        <v>8324</v>
      </c>
      <c r="H1587" s="32" t="s">
        <v>8325</v>
      </c>
      <c r="I1587" s="32">
        <v>6282311311119</v>
      </c>
      <c r="J1587" s="52"/>
      <c r="K1587" s="32" t="s">
        <v>8326</v>
      </c>
      <c r="L1587" s="32" t="s">
        <v>3448</v>
      </c>
      <c r="M1587" s="32" t="s">
        <v>760</v>
      </c>
      <c r="N1587" s="33">
        <v>5</v>
      </c>
      <c r="O1587" s="35">
        <v>45998</v>
      </c>
      <c r="P1587" s="35">
        <v>46002</v>
      </c>
      <c r="Q1587" s="33"/>
      <c r="R1587" s="38">
        <v>-1003470351325</v>
      </c>
      <c r="S1587" s="33"/>
      <c r="T1587" s="60">
        <v>150000</v>
      </c>
      <c r="U1587" s="40" t="s">
        <v>1774</v>
      </c>
      <c r="V1587" s="61">
        <v>45995.576601608795</v>
      </c>
      <c r="W1587" s="40" t="str">
        <f ca="1">IFERROR(__xludf.DUMMYFUNCTION("""COMPUTED_VALUE"""),"Brilliant Acsesoris")</f>
        <v>Brilliant Acsesoris</v>
      </c>
      <c r="X1587" s="42" t="str">
        <f ca="1"/>
        <v>ON-Brilliant Acsesoris-04122025+5-6282311311119</v>
      </c>
      <c r="Y1587" s="40" t="s">
        <v>62</v>
      </c>
      <c r="Z1587" s="40" t="s">
        <v>1465</v>
      </c>
      <c r="AA1587" s="23" t="str">
        <v>https://wa.me/6282311311119</v>
      </c>
      <c r="AB1587" s="28" t="s">
        <v>8327</v>
      </c>
      <c r="AC1587" s="28"/>
      <c r="AD1587" s="28" t="s">
        <v>690</v>
      </c>
      <c r="AE1587" s="28"/>
      <c r="AF1587" s="29"/>
      <c r="AG1587" s="28"/>
    </row>
    <row r="1588" spans="1:33" ht="15.75" customHeight="1">
      <c r="A1588" s="32" t="s">
        <v>196</v>
      </c>
      <c r="B1588" s="33">
        <v>1587</v>
      </c>
      <c r="C1588" s="33" t="s">
        <v>8328</v>
      </c>
      <c r="D1588" s="43">
        <v>46025</v>
      </c>
      <c r="E1588" s="33"/>
      <c r="F1588" s="32" t="s">
        <v>8329</v>
      </c>
      <c r="G1588" s="32" t="s">
        <v>8330</v>
      </c>
      <c r="H1588" s="32" t="s">
        <v>1451</v>
      </c>
      <c r="I1588" s="32">
        <v>6282234163461</v>
      </c>
      <c r="J1588" s="52"/>
      <c r="K1588" s="32" t="s">
        <v>8178</v>
      </c>
      <c r="L1588" s="32" t="s">
        <v>2468</v>
      </c>
      <c r="M1588" s="32" t="s">
        <v>60</v>
      </c>
      <c r="N1588" s="33">
        <v>7</v>
      </c>
      <c r="O1588" s="35"/>
      <c r="P1588" s="35"/>
      <c r="Q1588" s="33"/>
      <c r="R1588" s="38">
        <v>-1003470351325</v>
      </c>
      <c r="S1588" s="33"/>
      <c r="T1588" s="60">
        <v>297000</v>
      </c>
      <c r="U1588" s="40" t="s">
        <v>61</v>
      </c>
      <c r="V1588" s="61">
        <v>46025.828086111112</v>
      </c>
      <c r="W1588" s="40" t="str">
        <f ca="1">IFERROR(__xludf.DUMMYFUNCTION("""COMPUTED_VALUE"""),"Fisioterapi (Terapi")</f>
        <v>Fisioterapi (Terapi</v>
      </c>
      <c r="X1588" s="42" t="str">
        <f ca="1"/>
        <v>ON-Fisioterapi (Terapi-03012026+7-6282234163461</v>
      </c>
      <c r="Y1588" s="40" t="s">
        <v>62</v>
      </c>
      <c r="Z1588" s="40" t="s">
        <v>639</v>
      </c>
      <c r="AA1588" s="23" t="str">
        <v>https://wa.me/6282234163461</v>
      </c>
      <c r="AB1588" s="28" t="s">
        <v>8331</v>
      </c>
      <c r="AC1588" s="28"/>
      <c r="AD1588" s="28" t="s">
        <v>690</v>
      </c>
      <c r="AE1588" s="28"/>
      <c r="AF1588" s="29"/>
      <c r="AG1588" s="28"/>
    </row>
    <row r="1589" spans="1:33" ht="15.75" customHeight="1">
      <c r="A1589" s="32" t="s">
        <v>621</v>
      </c>
      <c r="B1589" s="33">
        <v>1588</v>
      </c>
      <c r="C1589" s="33" t="s">
        <v>8332</v>
      </c>
      <c r="D1589" s="33" t="s">
        <v>7709</v>
      </c>
      <c r="E1589" s="33"/>
      <c r="F1589" s="32" t="s">
        <v>4393</v>
      </c>
      <c r="G1589" s="32" t="s">
        <v>7483</v>
      </c>
      <c r="H1589" s="32" t="s">
        <v>7484</v>
      </c>
      <c r="I1589" s="32">
        <v>628131383719</v>
      </c>
      <c r="J1589" s="52"/>
      <c r="K1589" s="32" t="s">
        <v>7486</v>
      </c>
      <c r="L1589" s="32" t="s">
        <v>360</v>
      </c>
      <c r="M1589" s="32" t="s">
        <v>382</v>
      </c>
      <c r="N1589" s="33">
        <v>7</v>
      </c>
      <c r="O1589" s="35"/>
      <c r="P1589" s="35"/>
      <c r="Q1589" s="33"/>
      <c r="R1589" s="38">
        <v>-1003470351325</v>
      </c>
      <c r="S1589" s="33"/>
      <c r="T1589" s="60">
        <v>297000</v>
      </c>
      <c r="U1589" s="40" t="s">
        <v>115</v>
      </c>
      <c r="V1589" s="61">
        <v>46018.459447604168</v>
      </c>
      <c r="W1589" s="40" t="str">
        <f ca="1">IFERROR(__xludf.DUMMYFUNCTION("""COMPUTED_VALUE"""),"Samudra Creatif")</f>
        <v>Samudra Creatif</v>
      </c>
      <c r="X1589" s="42" t="str">
        <f ca="1"/>
        <v>ON-Samudra Creatif-27122025+7-628131383719</v>
      </c>
      <c r="Y1589" s="40"/>
      <c r="Z1589" s="40"/>
      <c r="AA1589" s="23" t="str">
        <v>https://wa.me/628131383719</v>
      </c>
      <c r="AB1589" s="28"/>
      <c r="AC1589" s="28"/>
      <c r="AD1589" s="28"/>
      <c r="AE1589" s="28"/>
      <c r="AF1589" s="29"/>
      <c r="AG1589" s="28"/>
    </row>
    <row r="1590" spans="1:33" ht="15.75" customHeight="1">
      <c r="A1590" s="32" t="s">
        <v>196</v>
      </c>
      <c r="B1590" s="33">
        <v>1589</v>
      </c>
      <c r="C1590" s="33" t="s">
        <v>8333</v>
      </c>
      <c r="D1590" s="33" t="s">
        <v>8224</v>
      </c>
      <c r="E1590" s="33"/>
      <c r="F1590" s="32" t="s">
        <v>8334</v>
      </c>
      <c r="G1590" s="32" t="s">
        <v>8335</v>
      </c>
      <c r="H1590" s="32" t="s">
        <v>8336</v>
      </c>
      <c r="I1590" s="32">
        <v>6281311045317</v>
      </c>
      <c r="J1590" s="52"/>
      <c r="K1590" s="32" t="s">
        <v>8337</v>
      </c>
      <c r="L1590" s="32" t="s">
        <v>3750</v>
      </c>
      <c r="M1590" s="32" t="s">
        <v>382</v>
      </c>
      <c r="N1590" s="33">
        <v>5</v>
      </c>
      <c r="O1590" s="35">
        <v>45999</v>
      </c>
      <c r="P1590" s="35">
        <v>46003</v>
      </c>
      <c r="Q1590" s="33"/>
      <c r="R1590" s="38">
        <v>-1003470351325</v>
      </c>
      <c r="S1590" s="33"/>
      <c r="T1590" s="60">
        <v>150000</v>
      </c>
      <c r="U1590" s="40" t="s">
        <v>1774</v>
      </c>
      <c r="V1590" s="61">
        <v>45996.375837870371</v>
      </c>
      <c r="W1590" s="40" t="str">
        <f ca="1">IFERROR(__xludf.DUMMYFUNCTION("""COMPUTED_VALUE"""),"Rumah Sehat")</f>
        <v>Rumah Sehat</v>
      </c>
      <c r="X1590" s="42" t="str">
        <f ca="1"/>
        <v>ON-Rumah Sehat-05122025+5-6281311045317</v>
      </c>
      <c r="Y1590" s="40" t="s">
        <v>62</v>
      </c>
      <c r="Z1590" s="40" t="s">
        <v>639</v>
      </c>
      <c r="AA1590" s="23" t="str">
        <v>https://wa.me/6281311045317</v>
      </c>
      <c r="AB1590" s="28" t="s">
        <v>8338</v>
      </c>
      <c r="AC1590" s="28"/>
      <c r="AD1590" s="28" t="s">
        <v>690</v>
      </c>
      <c r="AE1590" s="28"/>
      <c r="AF1590" s="29"/>
      <c r="AG1590" s="28"/>
    </row>
    <row r="1591" spans="1:33" ht="15.75" customHeight="1">
      <c r="A1591" s="32" t="s">
        <v>196</v>
      </c>
      <c r="B1591" s="33">
        <v>1590</v>
      </c>
      <c r="C1591" s="33" t="s">
        <v>8339</v>
      </c>
      <c r="D1591" s="33" t="s">
        <v>8224</v>
      </c>
      <c r="E1591" s="33"/>
      <c r="F1591" s="32" t="s">
        <v>8340</v>
      </c>
      <c r="G1591" s="32" t="s">
        <v>8341</v>
      </c>
      <c r="H1591" s="32" t="s">
        <v>8342</v>
      </c>
      <c r="I1591" s="32">
        <v>6285824373432</v>
      </c>
      <c r="J1591" s="52"/>
      <c r="K1591" s="32" t="s">
        <v>4076</v>
      </c>
      <c r="L1591" s="32" t="s">
        <v>1763</v>
      </c>
      <c r="M1591" s="32" t="s">
        <v>726</v>
      </c>
      <c r="N1591" s="33">
        <v>5</v>
      </c>
      <c r="O1591" s="35">
        <v>46000</v>
      </c>
      <c r="P1591" s="35">
        <v>46004</v>
      </c>
      <c r="Q1591" s="33"/>
      <c r="R1591" s="38">
        <v>-1003470351325</v>
      </c>
      <c r="S1591" s="33"/>
      <c r="T1591" s="60">
        <v>150000</v>
      </c>
      <c r="U1591" s="40" t="s">
        <v>1774</v>
      </c>
      <c r="V1591" s="61">
        <v>45996.743699872684</v>
      </c>
      <c r="W1591" s="40" t="str">
        <f ca="1">IFERROR(__xludf.DUMMYFUNCTION("""COMPUTED_VALUE"""),"PT Abuubaidah")</f>
        <v>PT Abuubaidah</v>
      </c>
      <c r="X1591" s="42" t="str">
        <f ca="1"/>
        <v>ON-PT Abuubaidah-05122025+5-6285824373432</v>
      </c>
      <c r="Y1591" s="40" t="s">
        <v>62</v>
      </c>
      <c r="Z1591" s="40" t="s">
        <v>1880</v>
      </c>
      <c r="AA1591" s="23" t="str">
        <v>https://wa.me/6285824373432</v>
      </c>
      <c r="AB1591" s="28" t="s">
        <v>8343</v>
      </c>
      <c r="AC1591" s="28"/>
      <c r="AD1591" s="28" t="s">
        <v>690</v>
      </c>
      <c r="AE1591" s="28"/>
      <c r="AF1591" s="29"/>
      <c r="AG1591" s="28"/>
    </row>
    <row r="1592" spans="1:33" ht="15.75" customHeight="1">
      <c r="A1592" s="32" t="s">
        <v>196</v>
      </c>
      <c r="B1592" s="33">
        <v>1591</v>
      </c>
      <c r="C1592" s="33" t="s">
        <v>8344</v>
      </c>
      <c r="D1592" s="33" t="s">
        <v>8345</v>
      </c>
      <c r="E1592" s="33"/>
      <c r="F1592" s="32" t="s">
        <v>8346</v>
      </c>
      <c r="G1592" s="32" t="s">
        <v>8347</v>
      </c>
      <c r="H1592" s="32" t="s">
        <v>8348</v>
      </c>
      <c r="I1592" s="32">
        <v>62882019221880</v>
      </c>
      <c r="J1592" s="52"/>
      <c r="K1592" s="32" t="s">
        <v>8349</v>
      </c>
      <c r="L1592" s="32" t="s">
        <v>8350</v>
      </c>
      <c r="M1592" s="32" t="s">
        <v>48</v>
      </c>
      <c r="N1592" s="33">
        <v>5</v>
      </c>
      <c r="O1592" s="35">
        <v>45999</v>
      </c>
      <c r="P1592" s="35">
        <v>46003</v>
      </c>
      <c r="Q1592" s="33"/>
      <c r="R1592" s="38">
        <v>-1003470351325</v>
      </c>
      <c r="S1592" s="33"/>
      <c r="T1592" s="60">
        <v>197000</v>
      </c>
      <c r="U1592" s="40" t="s">
        <v>115</v>
      </c>
      <c r="V1592" s="61">
        <v>45996.89159186343</v>
      </c>
      <c r="W1592" s="40" t="str">
        <f ca="1">IFERROR(__xludf.DUMMYFUNCTION("""COMPUTED_VALUE"""),"Tahu bulat")</f>
        <v>Tahu bulat</v>
      </c>
      <c r="X1592" s="42" t="str">
        <f ca="1"/>
        <v>ON-Tahu bulat-05122025+5-62882019221880</v>
      </c>
      <c r="Y1592" s="40" t="s">
        <v>62</v>
      </c>
      <c r="Z1592" s="40" t="s">
        <v>1465</v>
      </c>
      <c r="AA1592" s="23" t="str">
        <v>https://wa.me/62882019221880</v>
      </c>
      <c r="AB1592" s="28" t="s">
        <v>8351</v>
      </c>
      <c r="AC1592" s="28"/>
      <c r="AD1592" s="28" t="s">
        <v>690</v>
      </c>
      <c r="AE1592" s="28"/>
      <c r="AF1592" s="29"/>
      <c r="AG1592" s="28"/>
    </row>
    <row r="1593" spans="1:33" ht="15.75" customHeight="1">
      <c r="A1593" s="32" t="s">
        <v>52</v>
      </c>
      <c r="B1593" s="33">
        <v>1592</v>
      </c>
      <c r="C1593" s="33" t="s">
        <v>8352</v>
      </c>
      <c r="D1593" s="44">
        <v>46049</v>
      </c>
      <c r="E1593" s="33"/>
      <c r="F1593" s="32" t="s">
        <v>7596</v>
      </c>
      <c r="G1593" s="32" t="s">
        <v>7597</v>
      </c>
      <c r="H1593" s="32" t="s">
        <v>7598</v>
      </c>
      <c r="I1593" s="32">
        <v>6287708424140</v>
      </c>
      <c r="J1593" s="52"/>
      <c r="K1593" s="32" t="s">
        <v>4519</v>
      </c>
      <c r="L1593" s="32" t="s">
        <v>7600</v>
      </c>
      <c r="M1593" s="32" t="s">
        <v>382</v>
      </c>
      <c r="N1593" s="33">
        <v>5</v>
      </c>
      <c r="O1593" s="35"/>
      <c r="P1593" s="35"/>
      <c r="Q1593" s="33"/>
      <c r="R1593" s="38">
        <v>-1003470351325</v>
      </c>
      <c r="S1593" s="33"/>
      <c r="T1593" s="60">
        <v>197000</v>
      </c>
      <c r="U1593" s="40" t="s">
        <v>115</v>
      </c>
      <c r="V1593" s="61">
        <v>46049.57528326389</v>
      </c>
      <c r="W1593" s="40" t="str">
        <f ca="1">IFERROR(__xludf.DUMMYFUNCTION("""COMPUTED_VALUE"""),"Yasmine health")</f>
        <v>Yasmine health</v>
      </c>
      <c r="X1593" s="42" t="str">
        <f ca="1"/>
        <v>ON-Yasmine health-27012026+5-6287708424140</v>
      </c>
      <c r="Y1593" s="40"/>
      <c r="Z1593" s="40"/>
      <c r="AA1593" s="23" t="str">
        <v>https://wa.me/6287708424140</v>
      </c>
      <c r="AB1593" s="28"/>
      <c r="AC1593" s="28"/>
      <c r="AD1593" s="28"/>
      <c r="AE1593" s="28"/>
      <c r="AF1593" s="29"/>
      <c r="AG1593" s="28"/>
    </row>
    <row r="1594" spans="1:33" ht="15.75" customHeight="1">
      <c r="A1594" s="32" t="s">
        <v>196</v>
      </c>
      <c r="B1594" s="33">
        <v>1593</v>
      </c>
      <c r="C1594" s="33" t="s">
        <v>8353</v>
      </c>
      <c r="D1594" s="33" t="s">
        <v>8354</v>
      </c>
      <c r="E1594" s="33"/>
      <c r="F1594" s="32" t="s">
        <v>8355</v>
      </c>
      <c r="G1594" s="32" t="s">
        <v>8356</v>
      </c>
      <c r="H1594" s="32" t="s">
        <v>8357</v>
      </c>
      <c r="I1594" s="32">
        <v>6289530316907</v>
      </c>
      <c r="J1594" s="52"/>
      <c r="K1594" s="32" t="s">
        <v>8358</v>
      </c>
      <c r="L1594" s="32" t="s">
        <v>8359</v>
      </c>
      <c r="M1594" s="32" t="s">
        <v>8360</v>
      </c>
      <c r="N1594" s="33">
        <v>5</v>
      </c>
      <c r="O1594" s="35">
        <v>46000</v>
      </c>
      <c r="P1594" s="35">
        <v>46004</v>
      </c>
      <c r="Q1594" s="33"/>
      <c r="R1594" s="38">
        <v>-1003470351325</v>
      </c>
      <c r="S1594" s="33"/>
      <c r="T1594" s="60">
        <v>197000</v>
      </c>
      <c r="U1594" s="40" t="s">
        <v>115</v>
      </c>
      <c r="V1594" s="61">
        <v>45997.674305347224</v>
      </c>
      <c r="W1594" s="40" t="str">
        <f ca="1">IFERROR(__xludf.DUMMYFUNCTION("""COMPUTED_VALUE"""),"Queen Car")</f>
        <v>Queen Car</v>
      </c>
      <c r="X1594" s="42" t="str">
        <f ca="1"/>
        <v>ON-Queen Car-06122025+5-6289530316907</v>
      </c>
      <c r="Y1594" s="40" t="s">
        <v>62</v>
      </c>
      <c r="Z1594" s="40" t="s">
        <v>294</v>
      </c>
      <c r="AA1594" s="23" t="str">
        <v>https://wa.me/6289530316907</v>
      </c>
      <c r="AB1594" s="28" t="s">
        <v>8361</v>
      </c>
      <c r="AC1594" s="28"/>
      <c r="AD1594" s="28" t="s">
        <v>690</v>
      </c>
      <c r="AE1594" s="28"/>
      <c r="AF1594" s="29"/>
      <c r="AG1594" s="28"/>
    </row>
    <row r="1595" spans="1:33" ht="15.75" customHeight="1">
      <c r="A1595" s="32" t="s">
        <v>196</v>
      </c>
      <c r="B1595" s="33">
        <v>1594</v>
      </c>
      <c r="C1595" s="33" t="s">
        <v>8362</v>
      </c>
      <c r="D1595" s="33" t="s">
        <v>8354</v>
      </c>
      <c r="E1595" s="33"/>
      <c r="F1595" s="32" t="s">
        <v>8363</v>
      </c>
      <c r="G1595" s="32" t="s">
        <v>8364</v>
      </c>
      <c r="H1595" s="32" t="s">
        <v>8365</v>
      </c>
      <c r="I1595" s="32">
        <v>628132117968</v>
      </c>
      <c r="J1595" s="52"/>
      <c r="K1595" s="32" t="s">
        <v>8366</v>
      </c>
      <c r="L1595" s="32" t="s">
        <v>8367</v>
      </c>
      <c r="M1595" s="32" t="s">
        <v>2655</v>
      </c>
      <c r="N1595" s="33">
        <v>14</v>
      </c>
      <c r="O1595" s="35">
        <v>46000</v>
      </c>
      <c r="P1595" s="35">
        <v>46013</v>
      </c>
      <c r="Q1595" s="33"/>
      <c r="R1595" s="38">
        <v>-1003470351325</v>
      </c>
      <c r="S1595" s="33"/>
      <c r="T1595" s="60">
        <v>550000</v>
      </c>
      <c r="U1595" s="40" t="s">
        <v>115</v>
      </c>
      <c r="V1595" s="61">
        <v>45997.714728206018</v>
      </c>
      <c r="W1595" s="40" t="str">
        <f ca="1">IFERROR(__xludf.DUMMYFUNCTION("""COMPUTED_VALUE"""),"Sahabat Madinah")</f>
        <v>Sahabat Madinah</v>
      </c>
      <c r="X1595" s="42" t="str">
        <f ca="1"/>
        <v>ON-Sahabat Madinah-06122025+14-628132117968</v>
      </c>
      <c r="Y1595" s="40" t="s">
        <v>62</v>
      </c>
      <c r="Z1595" s="40" t="s">
        <v>1880</v>
      </c>
      <c r="AA1595" s="23" t="str">
        <v>https://wa.me/628132117968</v>
      </c>
      <c r="AB1595" s="28" t="s">
        <v>8368</v>
      </c>
      <c r="AC1595" s="28"/>
      <c r="AD1595" s="28" t="s">
        <v>690</v>
      </c>
      <c r="AE1595" s="28"/>
      <c r="AF1595" s="29"/>
      <c r="AG1595" s="28"/>
    </row>
    <row r="1596" spans="1:33" ht="15.75" customHeight="1">
      <c r="A1596" s="32" t="s">
        <v>196</v>
      </c>
      <c r="B1596" s="33">
        <v>1595</v>
      </c>
      <c r="C1596" s="33" t="s">
        <v>8369</v>
      </c>
      <c r="D1596" s="43">
        <v>46031</v>
      </c>
      <c r="E1596" s="33"/>
      <c r="F1596" s="32" t="s">
        <v>8370</v>
      </c>
      <c r="G1596" s="32" t="s">
        <v>8371</v>
      </c>
      <c r="H1596" s="32" t="s">
        <v>921</v>
      </c>
      <c r="I1596" s="32">
        <v>6281331117198</v>
      </c>
      <c r="J1596" s="52"/>
      <c r="K1596" s="32" t="s">
        <v>8372</v>
      </c>
      <c r="L1596" s="32" t="s">
        <v>647</v>
      </c>
      <c r="M1596" s="32" t="s">
        <v>60</v>
      </c>
      <c r="N1596" s="33">
        <v>7</v>
      </c>
      <c r="O1596" s="35"/>
      <c r="P1596" s="35"/>
      <c r="Q1596" s="33"/>
      <c r="R1596" s="38">
        <v>-1003470351325</v>
      </c>
      <c r="S1596" s="33"/>
      <c r="T1596" s="60">
        <v>297000</v>
      </c>
      <c r="U1596" s="40" t="s">
        <v>115</v>
      </c>
      <c r="V1596" s="61">
        <v>46031.713967465279</v>
      </c>
      <c r="W1596" s="40" t="str">
        <f ca="1">IFERROR(__xludf.DUMMYFUNCTION("""COMPUTED_VALUE"""),"Rumah kavling")</f>
        <v>Rumah kavling</v>
      </c>
      <c r="X1596" s="42" t="str">
        <f ca="1"/>
        <v>ON-Rumah kavling-09012026+7-6281331117198</v>
      </c>
      <c r="Y1596" s="40" t="s">
        <v>293</v>
      </c>
      <c r="Z1596" s="40" t="s">
        <v>1057</v>
      </c>
      <c r="AA1596" s="23" t="str">
        <v>https://wa.me/6281331117198</v>
      </c>
      <c r="AB1596" s="28" t="s">
        <v>8373</v>
      </c>
      <c r="AC1596" s="28"/>
      <c r="AD1596" s="28" t="s">
        <v>690</v>
      </c>
      <c r="AE1596" s="28"/>
      <c r="AF1596" s="29"/>
      <c r="AG1596" s="28"/>
    </row>
    <row r="1597" spans="1:33" ht="15.75" customHeight="1">
      <c r="A1597" s="32" t="s">
        <v>196</v>
      </c>
      <c r="B1597" s="33">
        <v>1596</v>
      </c>
      <c r="C1597" s="33" t="s">
        <v>8374</v>
      </c>
      <c r="D1597" s="33" t="s">
        <v>8375</v>
      </c>
      <c r="E1597" s="33"/>
      <c r="F1597" s="32" t="s">
        <v>8376</v>
      </c>
      <c r="G1597" s="32" t="s">
        <v>8377</v>
      </c>
      <c r="H1597" s="32" t="s">
        <v>8378</v>
      </c>
      <c r="I1597" s="32">
        <v>62074028372</v>
      </c>
      <c r="J1597" s="52"/>
      <c r="K1597" s="32" t="s">
        <v>8379</v>
      </c>
      <c r="L1597" s="32" t="s">
        <v>59</v>
      </c>
      <c r="M1597" s="32" t="s">
        <v>106</v>
      </c>
      <c r="N1597" s="33">
        <v>5</v>
      </c>
      <c r="O1597" s="35">
        <v>46000</v>
      </c>
      <c r="P1597" s="35">
        <v>46004</v>
      </c>
      <c r="Q1597" s="33"/>
      <c r="R1597" s="38">
        <v>-1003470351325</v>
      </c>
      <c r="S1597" s="33"/>
      <c r="T1597" s="60">
        <v>197000</v>
      </c>
      <c r="U1597" s="40" t="s">
        <v>61</v>
      </c>
      <c r="V1597" s="61">
        <v>45997.831742800925</v>
      </c>
      <c r="W1597" s="40" t="str">
        <f ca="1">IFERROR(__xludf.DUMMYFUNCTION("""COMPUTED_VALUE"""),"Roney Beauty")</f>
        <v>Roney Beauty</v>
      </c>
      <c r="X1597" s="42" t="str">
        <f ca="1"/>
        <v>ON-Roney Beauty-06122025+5-62074028372</v>
      </c>
      <c r="Y1597" s="40" t="s">
        <v>50</v>
      </c>
      <c r="Z1597" s="40" t="s">
        <v>327</v>
      </c>
      <c r="AA1597" s="23" t="str">
        <v>https://wa.me/62074028372</v>
      </c>
      <c r="AB1597" s="28" t="s">
        <v>8380</v>
      </c>
      <c r="AC1597" s="28"/>
      <c r="AD1597" s="28" t="s">
        <v>690</v>
      </c>
      <c r="AE1597" s="28"/>
      <c r="AF1597" s="29"/>
      <c r="AG1597" s="28"/>
    </row>
    <row r="1598" spans="1:33" ht="15.75" customHeight="1">
      <c r="A1598" s="32" t="s">
        <v>196</v>
      </c>
      <c r="B1598" s="33">
        <v>1597</v>
      </c>
      <c r="C1598" s="33" t="s">
        <v>8381</v>
      </c>
      <c r="D1598" s="33" t="s">
        <v>3501</v>
      </c>
      <c r="E1598" s="33"/>
      <c r="F1598" s="32" t="s">
        <v>8382</v>
      </c>
      <c r="G1598" s="32" t="s">
        <v>8383</v>
      </c>
      <c r="H1598" s="32" t="s">
        <v>789</v>
      </c>
      <c r="I1598" s="32">
        <v>6282121160054</v>
      </c>
      <c r="J1598" s="52"/>
      <c r="K1598" s="32" t="s">
        <v>1781</v>
      </c>
      <c r="L1598" s="32" t="s">
        <v>8384</v>
      </c>
      <c r="M1598" s="32" t="s">
        <v>60</v>
      </c>
      <c r="N1598" s="33">
        <v>5</v>
      </c>
      <c r="O1598" s="35">
        <v>46001</v>
      </c>
      <c r="P1598" s="35">
        <v>46005</v>
      </c>
      <c r="Q1598" s="33"/>
      <c r="R1598" s="38">
        <v>-1003470351325</v>
      </c>
      <c r="S1598" s="33"/>
      <c r="T1598" s="60">
        <v>197000</v>
      </c>
      <c r="U1598" s="40" t="s">
        <v>61</v>
      </c>
      <c r="V1598" s="61">
        <v>46020.911596111109</v>
      </c>
      <c r="W1598" s="40" t="str">
        <f ca="1">IFERROR(__xludf.DUMMYFUNCTION("""COMPUTED_VALUE"""),"Mazaya Private")</f>
        <v>Mazaya Private</v>
      </c>
      <c r="X1598" s="42" t="str">
        <f ca="1"/>
        <v>ON-Mazaya Private-29122025+5-6282121160054</v>
      </c>
      <c r="Y1598" s="40" t="s">
        <v>293</v>
      </c>
      <c r="Z1598" s="40" t="s">
        <v>1057</v>
      </c>
      <c r="AA1598" s="23" t="str">
        <v>https://wa.me/6282121160054</v>
      </c>
      <c r="AB1598" s="28" t="s">
        <v>8385</v>
      </c>
      <c r="AC1598" s="28"/>
      <c r="AD1598" s="28" t="s">
        <v>690</v>
      </c>
      <c r="AE1598" s="28"/>
      <c r="AF1598" s="29"/>
      <c r="AG1598" s="28"/>
    </row>
    <row r="1599" spans="1:33" ht="15.75" customHeight="1">
      <c r="A1599" s="32" t="s">
        <v>196</v>
      </c>
      <c r="B1599" s="33">
        <v>1598</v>
      </c>
      <c r="C1599" s="33" t="s">
        <v>8386</v>
      </c>
      <c r="D1599" s="33" t="s">
        <v>968</v>
      </c>
      <c r="E1599" s="33"/>
      <c r="F1599" s="32" t="s">
        <v>3772</v>
      </c>
      <c r="G1599" s="32" t="s">
        <v>8387</v>
      </c>
      <c r="H1599" s="32" t="s">
        <v>8388</v>
      </c>
      <c r="I1599" s="32">
        <v>6287896175092</v>
      </c>
      <c r="J1599" s="52"/>
      <c r="K1599" s="32" t="s">
        <v>8389</v>
      </c>
      <c r="L1599" s="32" t="s">
        <v>5336</v>
      </c>
      <c r="M1599" s="32" t="s">
        <v>382</v>
      </c>
      <c r="N1599" s="33">
        <v>5</v>
      </c>
      <c r="O1599" s="35">
        <v>46001</v>
      </c>
      <c r="P1599" s="35">
        <v>46005</v>
      </c>
      <c r="Q1599" s="33"/>
      <c r="R1599" s="38">
        <v>-1003470351325</v>
      </c>
      <c r="S1599" s="33"/>
      <c r="T1599" s="60">
        <v>197000</v>
      </c>
      <c r="U1599" s="40" t="s">
        <v>1774</v>
      </c>
      <c r="V1599" s="61">
        <v>45998.488039305557</v>
      </c>
      <c r="W1599" s="40" t="str">
        <f ca="1">IFERROR(__xludf.DUMMYFUNCTION("""COMPUTED_VALUE"""),"Nophie Catering")</f>
        <v>Nophie Catering</v>
      </c>
      <c r="X1599" s="42" t="str">
        <f ca="1"/>
        <v>ON-Nophie Catering-07122025+5-6287896175092</v>
      </c>
      <c r="Y1599" s="40" t="s">
        <v>62</v>
      </c>
      <c r="Z1599" s="40" t="s">
        <v>3620</v>
      </c>
      <c r="AA1599" s="23" t="str">
        <v>https://wa.me/6287896175092</v>
      </c>
      <c r="AB1599" s="28" t="s">
        <v>8390</v>
      </c>
      <c r="AC1599" s="28"/>
      <c r="AD1599" s="28" t="s">
        <v>690</v>
      </c>
      <c r="AE1599" s="28"/>
      <c r="AF1599" s="29"/>
      <c r="AG1599" s="28"/>
    </row>
    <row r="1600" spans="1:33" ht="15.75" customHeight="1">
      <c r="A1600" s="32" t="s">
        <v>52</v>
      </c>
      <c r="B1600" s="33">
        <v>1599</v>
      </c>
      <c r="C1600" s="33" t="s">
        <v>8391</v>
      </c>
      <c r="D1600" s="33" t="s">
        <v>8392</v>
      </c>
      <c r="E1600" s="33"/>
      <c r="F1600" s="32" t="s">
        <v>8393</v>
      </c>
      <c r="G1600" s="32" t="s">
        <v>8394</v>
      </c>
      <c r="H1600" s="32" t="s">
        <v>4673</v>
      </c>
      <c r="I1600" s="32">
        <v>6281288965454</v>
      </c>
      <c r="J1600" s="52"/>
      <c r="K1600" s="32" t="s">
        <v>8395</v>
      </c>
      <c r="L1600" s="32" t="s">
        <v>7600</v>
      </c>
      <c r="M1600" s="32" t="s">
        <v>382</v>
      </c>
      <c r="N1600" s="33">
        <v>5</v>
      </c>
      <c r="O1600" s="35"/>
      <c r="P1600" s="35"/>
      <c r="Q1600" s="33"/>
      <c r="R1600" s="38">
        <v>-1003470351325</v>
      </c>
      <c r="S1600" s="33"/>
      <c r="T1600" s="60">
        <v>197000</v>
      </c>
      <c r="U1600" s="40" t="s">
        <v>115</v>
      </c>
      <c r="V1600" s="61">
        <v>45998.65112736111</v>
      </c>
      <c r="W1600" s="40" t="str">
        <f ca="1">IFERROR(__xludf.DUMMYFUNCTION("""COMPUTED_VALUE"""),"KLINIK NYERI")</f>
        <v>KLINIK NYERI</v>
      </c>
      <c r="X1600" s="42" t="str">
        <f ca="1"/>
        <v>ON-KLINIK NYERI-07122025+5-6281288965454</v>
      </c>
      <c r="Y1600" s="40"/>
      <c r="Z1600" s="40"/>
      <c r="AA1600" s="23" t="str">
        <v>https://wa.me/6281288965454</v>
      </c>
      <c r="AB1600" s="28"/>
      <c r="AC1600" s="28"/>
      <c r="AD1600" s="28"/>
      <c r="AE1600" s="28"/>
      <c r="AF1600" s="29"/>
      <c r="AG1600" s="28"/>
    </row>
    <row r="1601" spans="1:33" ht="15.75" customHeight="1">
      <c r="A1601" s="32" t="s">
        <v>196</v>
      </c>
      <c r="B1601" s="33">
        <v>1600</v>
      </c>
      <c r="C1601" s="33" t="s">
        <v>8396</v>
      </c>
      <c r="D1601" s="33" t="s">
        <v>4196</v>
      </c>
      <c r="E1601" s="33"/>
      <c r="F1601" s="32" t="s">
        <v>8397</v>
      </c>
      <c r="G1601" s="32" t="s">
        <v>8398</v>
      </c>
      <c r="H1601" s="32" t="s">
        <v>8399</v>
      </c>
      <c r="I1601" s="32">
        <v>6282193076208</v>
      </c>
      <c r="J1601" s="52"/>
      <c r="K1601" s="32" t="s">
        <v>8400</v>
      </c>
      <c r="L1601" s="32" t="s">
        <v>3762</v>
      </c>
      <c r="M1601" s="32" t="s">
        <v>382</v>
      </c>
      <c r="N1601" s="33">
        <v>10</v>
      </c>
      <c r="O1601" s="35">
        <v>45999</v>
      </c>
      <c r="P1601" s="35">
        <v>46009</v>
      </c>
      <c r="Q1601" s="33"/>
      <c r="R1601" s="38">
        <v>-1003470351325</v>
      </c>
      <c r="S1601" s="33"/>
      <c r="T1601" s="60">
        <v>375000</v>
      </c>
      <c r="U1601" s="40" t="s">
        <v>1774</v>
      </c>
      <c r="V1601" s="61">
        <v>46010.869307280096</v>
      </c>
      <c r="W1601" s="40" t="str">
        <f ca="1">IFERROR(__xludf.DUMMYFUNCTION("""COMPUTED_VALUE"""),"Torajahighland Coffee")</f>
        <v>Torajahighland Coffee</v>
      </c>
      <c r="X1601" s="42" t="str">
        <f ca="1"/>
        <v>ON-Torajahighland Coffee-19122025+10-6282193076208</v>
      </c>
      <c r="Y1601" s="40" t="s">
        <v>62</v>
      </c>
      <c r="Z1601" s="40" t="s">
        <v>1465</v>
      </c>
      <c r="AA1601" s="23" t="str">
        <v>https://wa.me/6282193076208</v>
      </c>
      <c r="AB1601" s="28" t="s">
        <v>8401</v>
      </c>
      <c r="AC1601" s="28"/>
      <c r="AD1601" s="28" t="s">
        <v>690</v>
      </c>
      <c r="AE1601" s="28"/>
      <c r="AF1601" s="29"/>
      <c r="AG1601" s="28"/>
    </row>
    <row r="1602" spans="1:33" ht="15.75" customHeight="1">
      <c r="A1602" s="32" t="s">
        <v>196</v>
      </c>
      <c r="B1602" s="33">
        <v>1601</v>
      </c>
      <c r="C1602" s="33" t="s">
        <v>8402</v>
      </c>
      <c r="D1602" s="33" t="s">
        <v>8375</v>
      </c>
      <c r="E1602" s="33"/>
      <c r="F1602" s="32" t="s">
        <v>8403</v>
      </c>
      <c r="G1602" s="32" t="s">
        <v>8404</v>
      </c>
      <c r="H1602" s="32" t="s">
        <v>8405</v>
      </c>
      <c r="I1602" s="32">
        <v>6282241377832</v>
      </c>
      <c r="J1602" s="52"/>
      <c r="K1602" s="32" t="s">
        <v>8406</v>
      </c>
      <c r="L1602" s="32" t="s">
        <v>92</v>
      </c>
      <c r="M1602" s="32" t="s">
        <v>711</v>
      </c>
      <c r="N1602" s="33">
        <v>10</v>
      </c>
      <c r="O1602" s="35">
        <v>45999</v>
      </c>
      <c r="P1602" s="35">
        <v>46009</v>
      </c>
      <c r="Q1602" s="33"/>
      <c r="R1602" s="38">
        <v>-1003470351325</v>
      </c>
      <c r="S1602" s="33"/>
      <c r="T1602" s="60">
        <v>375000</v>
      </c>
      <c r="U1602" s="40" t="s">
        <v>1229</v>
      </c>
      <c r="V1602" s="61">
        <v>45999.401146249998</v>
      </c>
      <c r="W1602" s="40" t="str">
        <f ca="1">IFERROR(__xludf.DUMMYFUNCTION("""COMPUTED_VALUE"""),"totok syaraf")</f>
        <v>totok syaraf</v>
      </c>
      <c r="X1602" s="42" t="str">
        <f ca="1"/>
        <v>ON-totok syaraf-08122025+10-6282241377832</v>
      </c>
      <c r="Y1602" s="40" t="s">
        <v>62</v>
      </c>
      <c r="Z1602" s="40" t="s">
        <v>639</v>
      </c>
      <c r="AA1602" s="23" t="str">
        <v>https://wa.me/6282241377832</v>
      </c>
      <c r="AB1602" s="28" t="s">
        <v>8407</v>
      </c>
      <c r="AC1602" s="28"/>
      <c r="AD1602" s="28" t="s">
        <v>690</v>
      </c>
      <c r="AE1602" s="28"/>
      <c r="AF1602" s="29"/>
      <c r="AG1602" s="28"/>
    </row>
    <row r="1603" spans="1:33" ht="15.75" customHeight="1">
      <c r="A1603" s="32" t="s">
        <v>196</v>
      </c>
      <c r="B1603" s="33">
        <v>1602</v>
      </c>
      <c r="C1603" s="33" t="s">
        <v>8408</v>
      </c>
      <c r="D1603" s="33" t="s">
        <v>8409</v>
      </c>
      <c r="E1603" s="33"/>
      <c r="F1603" s="32" t="s">
        <v>8410</v>
      </c>
      <c r="G1603" s="32" t="s">
        <v>8411</v>
      </c>
      <c r="H1603" s="32" t="s">
        <v>8412</v>
      </c>
      <c r="I1603" s="32">
        <v>6281347069998</v>
      </c>
      <c r="J1603" s="52"/>
      <c r="K1603" s="32" t="s">
        <v>374</v>
      </c>
      <c r="L1603" s="32" t="s">
        <v>8413</v>
      </c>
      <c r="M1603" s="32" t="s">
        <v>8414</v>
      </c>
      <c r="N1603" s="33">
        <v>5</v>
      </c>
      <c r="O1603" s="35">
        <v>46002</v>
      </c>
      <c r="P1603" s="35">
        <v>46006</v>
      </c>
      <c r="Q1603" s="33"/>
      <c r="R1603" s="38">
        <v>-1003470351325</v>
      </c>
      <c r="S1603" s="33"/>
      <c r="T1603" s="60">
        <v>197</v>
      </c>
      <c r="U1603" s="40" t="s">
        <v>115</v>
      </c>
      <c r="V1603" s="61">
        <v>45999.444131886572</v>
      </c>
      <c r="W1603" s="40" t="str">
        <f ca="1">IFERROR(__xludf.DUMMYFUNCTION("""COMPUTED_VALUE"""),"Pratama Digital")</f>
        <v>Pratama Digital</v>
      </c>
      <c r="X1603" s="42" t="str">
        <f ca="1"/>
        <v>ON-Pratama Digital-08122025+5-6281347069998</v>
      </c>
      <c r="Y1603" s="40" t="s">
        <v>62</v>
      </c>
      <c r="Z1603" s="40" t="s">
        <v>1465</v>
      </c>
      <c r="AA1603" s="23" t="str">
        <v>https://wa.me/6281347069998</v>
      </c>
      <c r="AB1603" s="28" t="s">
        <v>8415</v>
      </c>
      <c r="AC1603" s="28"/>
      <c r="AD1603" s="28" t="s">
        <v>690</v>
      </c>
      <c r="AE1603" s="28"/>
      <c r="AF1603" s="29"/>
      <c r="AG1603" s="28"/>
    </row>
    <row r="1604" spans="1:33" ht="15.75" customHeight="1">
      <c r="A1604" s="32" t="s">
        <v>52</v>
      </c>
      <c r="B1604" s="33">
        <v>1603</v>
      </c>
      <c r="C1604" s="33" t="s">
        <v>8416</v>
      </c>
      <c r="D1604" s="43">
        <v>45665</v>
      </c>
      <c r="E1604" s="33"/>
      <c r="F1604" s="32" t="s">
        <v>7757</v>
      </c>
      <c r="G1604" s="32" t="s">
        <v>8417</v>
      </c>
      <c r="H1604" s="32" t="s">
        <v>1711</v>
      </c>
      <c r="I1604" s="32">
        <v>62887435792882</v>
      </c>
      <c r="J1604" s="52"/>
      <c r="K1604" s="32" t="s">
        <v>4076</v>
      </c>
      <c r="L1604" s="32" t="s">
        <v>974</v>
      </c>
      <c r="M1604" s="32" t="s">
        <v>60</v>
      </c>
      <c r="N1604" s="33">
        <v>5</v>
      </c>
      <c r="O1604" s="35"/>
      <c r="P1604" s="35"/>
      <c r="Q1604" s="33"/>
      <c r="R1604" s="38">
        <v>-1003470351325</v>
      </c>
      <c r="S1604" s="33"/>
      <c r="T1604" s="60">
        <v>197000</v>
      </c>
      <c r="U1604" s="40" t="s">
        <v>61</v>
      </c>
      <c r="V1604" s="61">
        <v>46030.975118796297</v>
      </c>
      <c r="W1604" s="40" t="str">
        <f ca="1">IFERROR(__xludf.DUMMYFUNCTION("""COMPUTED_VALUE"""),"Distributor Resmi")</f>
        <v>Distributor Resmi</v>
      </c>
      <c r="X1604" s="42" t="str">
        <f ca="1"/>
        <v>ON-Distributor Resmi-08012026+5-62887435792882</v>
      </c>
      <c r="Y1604" s="40"/>
      <c r="Z1604" s="40"/>
      <c r="AA1604" s="23" t="str">
        <v>https://wa.me/62887435792882</v>
      </c>
      <c r="AB1604" s="28"/>
      <c r="AC1604" s="28"/>
      <c r="AD1604" s="28"/>
      <c r="AE1604" s="28"/>
      <c r="AF1604" s="29"/>
      <c r="AG1604" s="28"/>
    </row>
    <row r="1605" spans="1:33" ht="15.75" customHeight="1">
      <c r="A1605" s="32" t="s">
        <v>196</v>
      </c>
      <c r="B1605" s="33">
        <v>1604</v>
      </c>
      <c r="C1605" s="33" t="s">
        <v>8418</v>
      </c>
      <c r="D1605" s="33" t="s">
        <v>8409</v>
      </c>
      <c r="E1605" s="33"/>
      <c r="F1605" s="32" t="s">
        <v>8419</v>
      </c>
      <c r="G1605" s="32" t="s">
        <v>8420</v>
      </c>
      <c r="H1605" s="32" t="s">
        <v>8421</v>
      </c>
      <c r="I1605" s="32">
        <v>6281913223387</v>
      </c>
      <c r="J1605" s="52"/>
      <c r="K1605" s="32" t="s">
        <v>8422</v>
      </c>
      <c r="L1605" s="32" t="s">
        <v>8423</v>
      </c>
      <c r="M1605" s="32" t="s">
        <v>382</v>
      </c>
      <c r="N1605" s="33">
        <v>5</v>
      </c>
      <c r="O1605" s="35">
        <v>46002</v>
      </c>
      <c r="P1605" s="35">
        <v>46006</v>
      </c>
      <c r="Q1605" s="33"/>
      <c r="R1605" s="38">
        <v>-1003470351325</v>
      </c>
      <c r="S1605" s="33"/>
      <c r="T1605" s="60">
        <v>197000</v>
      </c>
      <c r="U1605" s="40" t="s">
        <v>115</v>
      </c>
      <c r="V1605" s="61">
        <v>45999.71035760417</v>
      </c>
      <c r="W1605" s="40" t="str">
        <f ca="1">IFERROR(__xludf.DUMMYFUNCTION("""COMPUTED_VALUE"""),"Putri Diana")</f>
        <v>Putri Diana</v>
      </c>
      <c r="X1605" s="42" t="str">
        <f ca="1"/>
        <v>ON-Putri Diana-08122025+5-6281913223387</v>
      </c>
      <c r="Y1605" s="40" t="s">
        <v>62</v>
      </c>
      <c r="Z1605" s="40" t="s">
        <v>1861</v>
      </c>
      <c r="AA1605" s="23" t="str">
        <v>https://wa.me/6281913223387</v>
      </c>
      <c r="AB1605" s="28" t="s">
        <v>8424</v>
      </c>
      <c r="AC1605" s="28"/>
      <c r="AD1605" s="28" t="s">
        <v>690</v>
      </c>
      <c r="AE1605" s="28"/>
      <c r="AF1605" s="29"/>
      <c r="AG1605" s="28"/>
    </row>
    <row r="1606" spans="1:33" ht="15.75" customHeight="1">
      <c r="A1606" s="32" t="s">
        <v>196</v>
      </c>
      <c r="B1606" s="33">
        <v>1605</v>
      </c>
      <c r="C1606" s="33" t="s">
        <v>8425</v>
      </c>
      <c r="D1606" s="33" t="s">
        <v>4643</v>
      </c>
      <c r="E1606" s="33"/>
      <c r="F1606" s="32" t="s">
        <v>8426</v>
      </c>
      <c r="G1606" s="32" t="s">
        <v>8427</v>
      </c>
      <c r="H1606" s="32" t="s">
        <v>6388</v>
      </c>
      <c r="I1606" s="32">
        <v>6282335993848</v>
      </c>
      <c r="J1606" s="52"/>
      <c r="K1606" s="32" t="s">
        <v>8428</v>
      </c>
      <c r="L1606" s="32" t="s">
        <v>4055</v>
      </c>
      <c r="M1606" s="32" t="s">
        <v>726</v>
      </c>
      <c r="N1606" s="33">
        <v>5</v>
      </c>
      <c r="O1606" s="35">
        <v>46002</v>
      </c>
      <c r="P1606" s="35">
        <v>46006</v>
      </c>
      <c r="Q1606" s="33"/>
      <c r="R1606" s="38">
        <v>-1003470351325</v>
      </c>
      <c r="S1606" s="33"/>
      <c r="T1606" s="60">
        <v>197000</v>
      </c>
      <c r="U1606" s="40" t="s">
        <v>1774</v>
      </c>
      <c r="V1606" s="61">
        <v>45999.721672326385</v>
      </c>
      <c r="W1606" s="40" t="str">
        <f ca="1">IFERROR(__xludf.DUMMYFUNCTION("""COMPUTED_VALUE"""),"Ayam Geprek")</f>
        <v>Ayam Geprek</v>
      </c>
      <c r="X1606" s="42" t="str">
        <f ca="1"/>
        <v>ON-Ayam Geprek-08122025+5-6282335993848</v>
      </c>
      <c r="Y1606" s="40" t="s">
        <v>62</v>
      </c>
      <c r="Z1606" s="40" t="s">
        <v>3620</v>
      </c>
      <c r="AA1606" s="23" t="str">
        <v>https://wa.me/6282335993848</v>
      </c>
      <c r="AB1606" s="28" t="s">
        <v>8429</v>
      </c>
      <c r="AC1606" s="28"/>
      <c r="AD1606" s="28" t="s">
        <v>690</v>
      </c>
      <c r="AE1606" s="28"/>
      <c r="AF1606" s="29"/>
      <c r="AG1606" s="28"/>
    </row>
    <row r="1607" spans="1:33" ht="15.75" customHeight="1">
      <c r="A1607" s="32" t="s">
        <v>196</v>
      </c>
      <c r="B1607" s="33">
        <v>1606</v>
      </c>
      <c r="C1607" s="33" t="s">
        <v>8430</v>
      </c>
      <c r="D1607" s="33" t="s">
        <v>4643</v>
      </c>
      <c r="E1607" s="33"/>
      <c r="F1607" s="32" t="s">
        <v>8431</v>
      </c>
      <c r="G1607" s="32" t="s">
        <v>8432</v>
      </c>
      <c r="H1607" s="32" t="s">
        <v>350</v>
      </c>
      <c r="I1607" s="32">
        <v>6282343826004</v>
      </c>
      <c r="J1607" s="52"/>
      <c r="K1607" s="32" t="s">
        <v>8433</v>
      </c>
      <c r="L1607" s="32" t="s">
        <v>3079</v>
      </c>
      <c r="M1607" s="32" t="s">
        <v>726</v>
      </c>
      <c r="N1607" s="33">
        <v>5</v>
      </c>
      <c r="O1607" s="35">
        <v>46001</v>
      </c>
      <c r="P1607" s="35">
        <v>46005</v>
      </c>
      <c r="Q1607" s="33"/>
      <c r="R1607" s="38">
        <v>-1003470351325</v>
      </c>
      <c r="S1607" s="33"/>
      <c r="T1607" s="60">
        <v>197000</v>
      </c>
      <c r="U1607" s="40" t="s">
        <v>61</v>
      </c>
      <c r="V1607" s="61">
        <v>46000.449769895829</v>
      </c>
      <c r="W1607" s="40" t="str">
        <f ca="1">IFERROR(__xludf.DUMMYFUNCTION("""COMPUTED_VALUE"""),"Bengkel Rama")</f>
        <v>Bengkel Rama</v>
      </c>
      <c r="X1607" s="42" t="str">
        <f ca="1"/>
        <v>ON-Bengkel Rama-09122025+5-6282343826004</v>
      </c>
      <c r="Y1607" s="40" t="s">
        <v>293</v>
      </c>
      <c r="Z1607" s="40" t="s">
        <v>1057</v>
      </c>
      <c r="AA1607" s="23" t="str">
        <v>https://wa.me/6282343826004</v>
      </c>
      <c r="AB1607" s="28" t="s">
        <v>8434</v>
      </c>
      <c r="AC1607" s="28"/>
      <c r="AD1607" s="28" t="s">
        <v>690</v>
      </c>
      <c r="AE1607" s="28"/>
      <c r="AF1607" s="29"/>
      <c r="AG1607" s="28"/>
    </row>
    <row r="1608" spans="1:33" ht="15.75" customHeight="1">
      <c r="A1608" s="32" t="s">
        <v>196</v>
      </c>
      <c r="B1608" s="33">
        <v>1607</v>
      </c>
      <c r="C1608" s="33" t="s">
        <v>8435</v>
      </c>
      <c r="D1608" s="33" t="s">
        <v>6499</v>
      </c>
      <c r="E1608" s="33"/>
      <c r="F1608" s="32" t="s">
        <v>8436</v>
      </c>
      <c r="G1608" s="32" t="s">
        <v>8437</v>
      </c>
      <c r="H1608" s="32" t="s">
        <v>8438</v>
      </c>
      <c r="I1608" s="32">
        <v>6285640688815</v>
      </c>
      <c r="J1608" s="52"/>
      <c r="K1608" s="32" t="s">
        <v>1024</v>
      </c>
      <c r="L1608" s="32">
        <v>48</v>
      </c>
      <c r="M1608" s="32" t="s">
        <v>106</v>
      </c>
      <c r="N1608" s="33">
        <v>5</v>
      </c>
      <c r="O1608" s="35">
        <v>46003</v>
      </c>
      <c r="P1608" s="35">
        <v>46007</v>
      </c>
      <c r="Q1608" s="33"/>
      <c r="R1608" s="38">
        <v>-1003470351325</v>
      </c>
      <c r="S1608" s="33"/>
      <c r="T1608" s="60">
        <v>197000</v>
      </c>
      <c r="U1608" s="40" t="s">
        <v>115</v>
      </c>
      <c r="V1608" s="61">
        <v>46000.700424502313</v>
      </c>
      <c r="W1608" s="40" t="str">
        <f ca="1">IFERROR(__xludf.DUMMYFUNCTION("""COMPUTED_VALUE"""),"Batik motif")</f>
        <v>Batik motif</v>
      </c>
      <c r="X1608" s="42" t="str">
        <f ca="1"/>
        <v>ON-Batik motif-09122025+5-6285640688815</v>
      </c>
      <c r="Y1608" s="40" t="s">
        <v>62</v>
      </c>
      <c r="Z1608" s="40" t="s">
        <v>1465</v>
      </c>
      <c r="AA1608" s="23" t="str">
        <v>https://wa.me/6285640688815</v>
      </c>
      <c r="AB1608" s="28" t="s">
        <v>8439</v>
      </c>
      <c r="AC1608" s="28"/>
      <c r="AD1608" s="28" t="s">
        <v>690</v>
      </c>
      <c r="AE1608" s="28"/>
      <c r="AF1608" s="29"/>
      <c r="AG1608" s="28"/>
    </row>
    <row r="1609" spans="1:33" ht="15.75" customHeight="1">
      <c r="A1609" s="32" t="s">
        <v>196</v>
      </c>
      <c r="B1609" s="33">
        <v>1608</v>
      </c>
      <c r="C1609" s="33" t="s">
        <v>8440</v>
      </c>
      <c r="D1609" s="33" t="s">
        <v>4643</v>
      </c>
      <c r="E1609" s="33"/>
      <c r="F1609" s="32" t="s">
        <v>7048</v>
      </c>
      <c r="G1609" s="32" t="s">
        <v>8441</v>
      </c>
      <c r="H1609" s="32" t="s">
        <v>8442</v>
      </c>
      <c r="I1609" s="32">
        <v>6282285691485</v>
      </c>
      <c r="J1609" s="52"/>
      <c r="K1609" s="32" t="s">
        <v>1473</v>
      </c>
      <c r="L1609" s="32" t="s">
        <v>8443</v>
      </c>
      <c r="M1609" s="32" t="s">
        <v>205</v>
      </c>
      <c r="N1609" s="33">
        <v>7</v>
      </c>
      <c r="O1609" s="64">
        <v>46002</v>
      </c>
      <c r="P1609" s="65">
        <v>46008</v>
      </c>
      <c r="Q1609" s="33"/>
      <c r="R1609" s="38">
        <v>-1003470351325</v>
      </c>
      <c r="S1609" s="33"/>
      <c r="T1609" s="60">
        <v>297000</v>
      </c>
      <c r="U1609" s="40" t="s">
        <v>61</v>
      </c>
      <c r="V1609" s="61">
        <v>46001.220235034722</v>
      </c>
      <c r="W1609" s="40" t="str">
        <f ca="1">IFERROR(__xludf.DUMMYFUNCTION("""COMPUTED_VALUE"""),"Pelatihan Pengobatan")</f>
        <v>Pelatihan Pengobatan</v>
      </c>
      <c r="X1609" s="42" t="str">
        <f ca="1"/>
        <v>ON-Pelatihan Pengobatan-10122025+7-6282285691485</v>
      </c>
      <c r="Y1609" s="40" t="s">
        <v>62</v>
      </c>
      <c r="Z1609" s="40" t="s">
        <v>639</v>
      </c>
      <c r="AA1609" s="23" t="str">
        <v>https://wa.me/6282285691485</v>
      </c>
      <c r="AB1609" s="28" t="s">
        <v>8444</v>
      </c>
      <c r="AC1609" s="28"/>
      <c r="AD1609" s="28" t="s">
        <v>690</v>
      </c>
      <c r="AE1609" s="28"/>
      <c r="AF1609" s="29"/>
      <c r="AG1609" s="28"/>
    </row>
    <row r="1610" spans="1:33" ht="15.75" customHeight="1">
      <c r="A1610" s="32" t="s">
        <v>196</v>
      </c>
      <c r="B1610" s="33">
        <v>1609</v>
      </c>
      <c r="C1610" s="33" t="s">
        <v>8445</v>
      </c>
      <c r="D1610" s="33" t="s">
        <v>6499</v>
      </c>
      <c r="E1610" s="33"/>
      <c r="F1610" s="32" t="s">
        <v>8446</v>
      </c>
      <c r="G1610" s="32" t="s">
        <v>8447</v>
      </c>
      <c r="H1610" s="32" t="s">
        <v>8448</v>
      </c>
      <c r="I1610" s="32">
        <v>6285339145161</v>
      </c>
      <c r="J1610" s="52"/>
      <c r="K1610" s="32" t="s">
        <v>8449</v>
      </c>
      <c r="L1610" s="32" t="s">
        <v>8450</v>
      </c>
      <c r="M1610" s="32" t="s">
        <v>205</v>
      </c>
      <c r="N1610" s="33">
        <v>10</v>
      </c>
      <c r="O1610" s="35">
        <v>46003</v>
      </c>
      <c r="P1610" s="35">
        <v>46012</v>
      </c>
      <c r="Q1610" s="33"/>
      <c r="R1610" s="38">
        <v>-1003470351325</v>
      </c>
      <c r="S1610" s="33"/>
      <c r="T1610" s="60">
        <v>375000</v>
      </c>
      <c r="U1610" s="40" t="s">
        <v>61</v>
      </c>
      <c r="V1610" s="61">
        <v>46001.221256539357</v>
      </c>
      <c r="W1610" s="40" t="str">
        <f ca="1">IFERROR(__xludf.DUMMYFUNCTION("""COMPUTED_VALUE"""),"Jersi Sufi")</f>
        <v>Jersi Sufi</v>
      </c>
      <c r="X1610" s="42" t="str">
        <f ca="1"/>
        <v>ON-Jersi Sufi-10122025+10-6285339145161</v>
      </c>
      <c r="Y1610" s="40" t="s">
        <v>62</v>
      </c>
      <c r="Z1610" s="40" t="s">
        <v>1465</v>
      </c>
      <c r="AA1610" s="23" t="str">
        <v>https://wa.me/6285339145161</v>
      </c>
      <c r="AB1610" s="28" t="s">
        <v>8451</v>
      </c>
      <c r="AC1610" s="28"/>
      <c r="AD1610" s="28" t="s">
        <v>690</v>
      </c>
      <c r="AE1610" s="28"/>
      <c r="AF1610" s="29"/>
      <c r="AG1610" s="28"/>
    </row>
    <row r="1611" spans="1:33" ht="15.75" customHeight="1">
      <c r="A1611" s="32" t="s">
        <v>196</v>
      </c>
      <c r="B1611" s="33">
        <v>1610</v>
      </c>
      <c r="C1611" s="33" t="s">
        <v>8452</v>
      </c>
      <c r="D1611" s="33" t="s">
        <v>8453</v>
      </c>
      <c r="E1611" s="33"/>
      <c r="F1611" s="32" t="s">
        <v>8454</v>
      </c>
      <c r="G1611" s="32" t="s">
        <v>8455</v>
      </c>
      <c r="H1611" s="32" t="s">
        <v>5697</v>
      </c>
      <c r="I1611" s="32">
        <v>6285725312977</v>
      </c>
      <c r="J1611" s="52"/>
      <c r="K1611" s="32" t="s">
        <v>663</v>
      </c>
      <c r="L1611" s="32" t="s">
        <v>1926</v>
      </c>
      <c r="M1611" s="32" t="s">
        <v>726</v>
      </c>
      <c r="N1611" s="33">
        <v>5</v>
      </c>
      <c r="O1611" s="35">
        <v>46003</v>
      </c>
      <c r="P1611" s="35">
        <v>46007</v>
      </c>
      <c r="Q1611" s="33"/>
      <c r="R1611" s="38">
        <v>-1003470351325</v>
      </c>
      <c r="S1611" s="33"/>
      <c r="T1611" s="60">
        <v>197000</v>
      </c>
      <c r="U1611" s="40" t="s">
        <v>1774</v>
      </c>
      <c r="V1611" s="61">
        <v>46001.742292800925</v>
      </c>
      <c r="W1611" s="40" t="str">
        <f ca="1">IFERROR(__xludf.DUMMYFUNCTION("""COMPUTED_VALUE"""),"Burhan Berdikari")</f>
        <v>Burhan Berdikari</v>
      </c>
      <c r="X1611" s="42" t="str">
        <f ca="1"/>
        <v>ON-Burhan Berdikari-10122025+5-6285725312977</v>
      </c>
      <c r="Y1611" s="40" t="s">
        <v>293</v>
      </c>
      <c r="Z1611" s="40" t="s">
        <v>639</v>
      </c>
      <c r="AA1611" s="23" t="str">
        <v>https://wa.me/6285725312977</v>
      </c>
      <c r="AB1611" s="28" t="s">
        <v>8456</v>
      </c>
      <c r="AC1611" s="28"/>
      <c r="AD1611" s="28" t="s">
        <v>690</v>
      </c>
      <c r="AE1611" s="28"/>
      <c r="AF1611" s="29"/>
      <c r="AG1611" s="28"/>
    </row>
    <row r="1612" spans="1:33" ht="15.75" customHeight="1">
      <c r="A1612" s="32" t="s">
        <v>196</v>
      </c>
      <c r="B1612" s="33">
        <v>1611</v>
      </c>
      <c r="C1612" s="33" t="s">
        <v>8457</v>
      </c>
      <c r="D1612" s="33" t="s">
        <v>8453</v>
      </c>
      <c r="E1612" s="33"/>
      <c r="F1612" s="32" t="s">
        <v>8458</v>
      </c>
      <c r="G1612" s="32" t="s">
        <v>8459</v>
      </c>
      <c r="H1612" s="32" t="s">
        <v>8460</v>
      </c>
      <c r="I1612" s="32">
        <v>6282113490142</v>
      </c>
      <c r="J1612" s="52"/>
      <c r="K1612" s="32" t="s">
        <v>1381</v>
      </c>
      <c r="L1612" s="32" t="s">
        <v>92</v>
      </c>
      <c r="M1612" s="32" t="s">
        <v>711</v>
      </c>
      <c r="N1612" s="33">
        <v>5</v>
      </c>
      <c r="O1612" s="35">
        <v>46003</v>
      </c>
      <c r="P1612" s="35">
        <v>46007</v>
      </c>
      <c r="Q1612" s="33"/>
      <c r="R1612" s="38">
        <v>-1003470351325</v>
      </c>
      <c r="S1612" s="33"/>
      <c r="T1612" s="60">
        <v>197000</v>
      </c>
      <c r="U1612" s="40" t="s">
        <v>1229</v>
      </c>
      <c r="V1612" s="61">
        <v>46002.295833229167</v>
      </c>
      <c r="W1612" s="40" t="str">
        <f ca="1">IFERROR(__xludf.DUMMYFUNCTION("""COMPUTED_VALUE"""),"Agen plus")</f>
        <v>Agen plus</v>
      </c>
      <c r="X1612" s="42" t="str">
        <f ca="1"/>
        <v>ON-Agen plus-11122025+5-6282113490142</v>
      </c>
      <c r="Y1612" s="40" t="s">
        <v>62</v>
      </c>
      <c r="Z1612" s="40" t="s">
        <v>1465</v>
      </c>
      <c r="AA1612" s="23" t="str">
        <v>https://wa.me/6282113490142</v>
      </c>
      <c r="AB1612" s="28" t="s">
        <v>8461</v>
      </c>
      <c r="AC1612" s="28"/>
      <c r="AD1612" s="28" t="s">
        <v>690</v>
      </c>
      <c r="AE1612" s="28"/>
      <c r="AF1612" s="29"/>
      <c r="AG1612" s="28"/>
    </row>
    <row r="1613" spans="1:33" ht="15.75" customHeight="1">
      <c r="A1613" s="32" t="s">
        <v>196</v>
      </c>
      <c r="B1613" s="33">
        <v>1612</v>
      </c>
      <c r="C1613" s="33" t="s">
        <v>8462</v>
      </c>
      <c r="D1613" s="33" t="s">
        <v>8463</v>
      </c>
      <c r="E1613" s="33"/>
      <c r="F1613" s="32" t="s">
        <v>8464</v>
      </c>
      <c r="G1613" s="32" t="s">
        <v>8465</v>
      </c>
      <c r="H1613" s="32" t="s">
        <v>8466</v>
      </c>
      <c r="I1613" s="32">
        <v>6281548619752</v>
      </c>
      <c r="J1613" s="52"/>
      <c r="K1613" s="32" t="s">
        <v>8467</v>
      </c>
      <c r="L1613" s="32" t="s">
        <v>92</v>
      </c>
      <c r="M1613" s="32" t="s">
        <v>60</v>
      </c>
      <c r="N1613" s="33">
        <v>10</v>
      </c>
      <c r="O1613" s="35">
        <v>46004</v>
      </c>
      <c r="P1613" s="35">
        <v>46013</v>
      </c>
      <c r="Q1613" s="33"/>
      <c r="R1613" s="38">
        <v>-1003470351325</v>
      </c>
      <c r="S1613" s="33"/>
      <c r="T1613" s="60">
        <v>375000</v>
      </c>
      <c r="U1613" s="40" t="s">
        <v>61</v>
      </c>
      <c r="V1613" s="61">
        <v>46002.423003668984</v>
      </c>
      <c r="W1613" s="40" t="str">
        <f ca="1">IFERROR(__xludf.DUMMYFUNCTION("""COMPUTED_VALUE"""),"Diva Interior")</f>
        <v>Diva Interior</v>
      </c>
      <c r="X1613" s="42" t="str">
        <f ca="1"/>
        <v>ON-Diva Interior-11122025+10-6281548619752</v>
      </c>
      <c r="Y1613" s="40" t="s">
        <v>62</v>
      </c>
      <c r="Z1613" s="40" t="s">
        <v>639</v>
      </c>
      <c r="AA1613" s="23" t="str">
        <v>https://wa.me/6281548619752</v>
      </c>
      <c r="AB1613" s="28" t="s">
        <v>8468</v>
      </c>
      <c r="AC1613" s="28"/>
      <c r="AD1613" s="28" t="s">
        <v>690</v>
      </c>
      <c r="AE1613" s="28"/>
      <c r="AF1613" s="29"/>
      <c r="AG1613" s="28"/>
    </row>
    <row r="1614" spans="1:33" ht="15.75" customHeight="1">
      <c r="A1614" s="32" t="s">
        <v>196</v>
      </c>
      <c r="B1614" s="33">
        <v>1613</v>
      </c>
      <c r="C1614" s="33" t="s">
        <v>8469</v>
      </c>
      <c r="D1614" s="33" t="s">
        <v>8453</v>
      </c>
      <c r="E1614" s="33"/>
      <c r="F1614" s="32" t="s">
        <v>8470</v>
      </c>
      <c r="G1614" s="32" t="s">
        <v>8471</v>
      </c>
      <c r="H1614" s="32" t="s">
        <v>2671</v>
      </c>
      <c r="I1614" s="32">
        <v>6287778844410</v>
      </c>
      <c r="J1614" s="52"/>
      <c r="K1614" s="32" t="s">
        <v>8472</v>
      </c>
      <c r="L1614" s="32" t="s">
        <v>8473</v>
      </c>
      <c r="M1614" s="32" t="s">
        <v>711</v>
      </c>
      <c r="N1614" s="33">
        <v>20</v>
      </c>
      <c r="O1614" s="35">
        <v>46004</v>
      </c>
      <c r="P1614" s="35">
        <v>46023</v>
      </c>
      <c r="Q1614" s="33"/>
      <c r="R1614" s="38">
        <v>-1003470351325</v>
      </c>
      <c r="S1614" s="33"/>
      <c r="T1614" s="60">
        <v>550000</v>
      </c>
      <c r="U1614" s="40" t="s">
        <v>1229</v>
      </c>
      <c r="V1614" s="61">
        <v>46002.464892997683</v>
      </c>
      <c r="W1614" s="40" t="str">
        <f ca="1">IFERROR(__xludf.DUMMYFUNCTION("""COMPUTED_VALUE"""),"Pengobatan Tradisional/Tionghoa")</f>
        <v>Pengobatan Tradisional/Tionghoa</v>
      </c>
      <c r="X1614" s="42" t="str">
        <f ca="1"/>
        <v>ON-Pengobatan Tradisional/Tionghoa-11122025+20-6287778844410</v>
      </c>
      <c r="Y1614" s="40" t="s">
        <v>62</v>
      </c>
      <c r="Z1614" s="40" t="s">
        <v>639</v>
      </c>
      <c r="AA1614" s="23" t="str">
        <v>https://wa.me/6287778844410</v>
      </c>
      <c r="AB1614" s="28" t="s">
        <v>8474</v>
      </c>
      <c r="AC1614" s="28"/>
      <c r="AD1614" s="28" t="s">
        <v>690</v>
      </c>
      <c r="AE1614" s="28"/>
      <c r="AF1614" s="29"/>
      <c r="AG1614" s="28"/>
    </row>
    <row r="1615" spans="1:33" ht="15.75" customHeight="1">
      <c r="A1615" s="32" t="s">
        <v>196</v>
      </c>
      <c r="B1615" s="33">
        <v>1614</v>
      </c>
      <c r="C1615" s="33" t="s">
        <v>8475</v>
      </c>
      <c r="D1615" s="33" t="s">
        <v>8463</v>
      </c>
      <c r="E1615" s="33"/>
      <c r="F1615" s="32" t="s">
        <v>8476</v>
      </c>
      <c r="G1615" s="32" t="s">
        <v>8477</v>
      </c>
      <c r="H1615" s="32" t="s">
        <v>8478</v>
      </c>
      <c r="I1615" s="32">
        <v>6285849304643</v>
      </c>
      <c r="J1615" s="52"/>
      <c r="K1615" s="32" t="s">
        <v>1381</v>
      </c>
      <c r="L1615" s="32" t="s">
        <v>4096</v>
      </c>
      <c r="M1615" s="32" t="s">
        <v>382</v>
      </c>
      <c r="N1615" s="33">
        <v>5</v>
      </c>
      <c r="O1615" s="35">
        <v>46004</v>
      </c>
      <c r="P1615" s="35">
        <v>46008</v>
      </c>
      <c r="Q1615" s="33"/>
      <c r="R1615" s="38">
        <v>-1003470351325</v>
      </c>
      <c r="S1615" s="33"/>
      <c r="T1615" s="60">
        <v>197000</v>
      </c>
      <c r="U1615" s="40" t="s">
        <v>1774</v>
      </c>
      <c r="V1615" s="61">
        <v>46002.513433749999</v>
      </c>
      <c r="W1615" s="40" t="str">
        <f ca="1">IFERROR(__xludf.DUMMYFUNCTION("""COMPUTED_VALUE"""),"Baitul Kreatif")</f>
        <v>Baitul Kreatif</v>
      </c>
      <c r="X1615" s="42" t="str">
        <f ca="1"/>
        <v>ON-Baitul Kreatif-11122025+5-6285849304643</v>
      </c>
      <c r="Y1615" s="40" t="s">
        <v>62</v>
      </c>
      <c r="Z1615" s="40" t="s">
        <v>1465</v>
      </c>
      <c r="AA1615" s="23" t="str">
        <v>https://wa.me/6285849304643</v>
      </c>
      <c r="AB1615" s="28" t="s">
        <v>8479</v>
      </c>
      <c r="AC1615" s="28"/>
      <c r="AD1615" s="28" t="s">
        <v>690</v>
      </c>
      <c r="AE1615" s="28"/>
      <c r="AF1615" s="29"/>
      <c r="AG1615" s="28"/>
    </row>
    <row r="1616" spans="1:33" ht="15.75" customHeight="1">
      <c r="A1616" s="32" t="s">
        <v>196</v>
      </c>
      <c r="B1616" s="33">
        <v>1615</v>
      </c>
      <c r="C1616" s="33" t="s">
        <v>8480</v>
      </c>
      <c r="D1616" s="33" t="s">
        <v>8463</v>
      </c>
      <c r="E1616" s="33"/>
      <c r="F1616" s="32" t="s">
        <v>8481</v>
      </c>
      <c r="G1616" s="32" t="s">
        <v>8482</v>
      </c>
      <c r="H1616" s="32" t="s">
        <v>1848</v>
      </c>
      <c r="I1616" s="32">
        <v>6285141325957</v>
      </c>
      <c r="J1616" s="52"/>
      <c r="K1616" s="32" t="s">
        <v>8483</v>
      </c>
      <c r="L1616" s="32" t="s">
        <v>7970</v>
      </c>
      <c r="M1616" s="32" t="s">
        <v>726</v>
      </c>
      <c r="N1616" s="33">
        <v>5</v>
      </c>
      <c r="O1616" s="35">
        <v>46004</v>
      </c>
      <c r="P1616" s="35">
        <v>46008</v>
      </c>
      <c r="Q1616" s="33"/>
      <c r="R1616" s="38">
        <v>-1003470351325</v>
      </c>
      <c r="S1616" s="33"/>
      <c r="T1616" s="60">
        <v>197000</v>
      </c>
      <c r="U1616" s="40" t="s">
        <v>1774</v>
      </c>
      <c r="V1616" s="61">
        <v>46002.646698263889</v>
      </c>
      <c r="W1616" s="40" t="str">
        <f ca="1">IFERROR(__xludf.DUMMYFUNCTION("""COMPUTED_VALUE"""),"PT Banyuwangi")</f>
        <v>PT Banyuwangi</v>
      </c>
      <c r="X1616" s="42" t="str">
        <f ca="1"/>
        <v>ON-PT Banyuwangi-11122025+5-6285141325957</v>
      </c>
      <c r="Y1616" s="40" t="s">
        <v>62</v>
      </c>
      <c r="Z1616" s="40" t="s">
        <v>1880</v>
      </c>
      <c r="AA1616" s="23" t="str">
        <v>https://wa.me/6285141325957</v>
      </c>
      <c r="AB1616" s="28" t="s">
        <v>8484</v>
      </c>
      <c r="AC1616" s="28"/>
      <c r="AD1616" s="28" t="s">
        <v>690</v>
      </c>
      <c r="AE1616" s="28"/>
      <c r="AF1616" s="29"/>
      <c r="AG1616" s="28"/>
    </row>
    <row r="1617" spans="1:33" ht="15.75" customHeight="1">
      <c r="A1617" s="32" t="s">
        <v>196</v>
      </c>
      <c r="B1617" s="33">
        <v>1616</v>
      </c>
      <c r="C1617" s="33" t="s">
        <v>8485</v>
      </c>
      <c r="D1617" s="33" t="s">
        <v>737</v>
      </c>
      <c r="E1617" s="33"/>
      <c r="F1617" s="32" t="s">
        <v>8166</v>
      </c>
      <c r="G1617" s="32" t="s">
        <v>8486</v>
      </c>
      <c r="H1617" s="32" t="s">
        <v>1984</v>
      </c>
      <c r="I1617" s="32">
        <v>6281931902977</v>
      </c>
      <c r="J1617" s="52"/>
      <c r="K1617" s="32" t="s">
        <v>8487</v>
      </c>
      <c r="L1617" s="32" t="s">
        <v>1542</v>
      </c>
      <c r="M1617" s="32" t="s">
        <v>60</v>
      </c>
      <c r="N1617" s="33">
        <v>5</v>
      </c>
      <c r="O1617" s="35">
        <v>46006</v>
      </c>
      <c r="P1617" s="35">
        <v>46010</v>
      </c>
      <c r="Q1617" s="33"/>
      <c r="R1617" s="38">
        <v>-1003470351325</v>
      </c>
      <c r="S1617" s="33"/>
      <c r="T1617" s="60">
        <v>197000</v>
      </c>
      <c r="U1617" s="40" t="s">
        <v>61</v>
      </c>
      <c r="V1617" s="61">
        <v>46004.229637800927</v>
      </c>
      <c r="W1617" s="40" t="str">
        <f ca="1">IFERROR(__xludf.DUMMYFUNCTION("""COMPUTED_VALUE"""),"Tanur Mutmainnah")</f>
        <v>Tanur Mutmainnah</v>
      </c>
      <c r="X1617" s="42" t="str">
        <f ca="1"/>
        <v>ON-Tanur Mutmainnah-13122025+5-6281931902977</v>
      </c>
      <c r="Y1617" s="40" t="s">
        <v>62</v>
      </c>
      <c r="Z1617" s="40" t="s">
        <v>1880</v>
      </c>
      <c r="AA1617" s="23" t="str">
        <v>https://wa.me/6281931902977</v>
      </c>
      <c r="AB1617" s="28" t="s">
        <v>8488</v>
      </c>
      <c r="AC1617" s="28"/>
      <c r="AD1617" s="28" t="s">
        <v>690</v>
      </c>
      <c r="AE1617" s="28"/>
      <c r="AF1617" s="29"/>
      <c r="AG1617" s="28"/>
    </row>
    <row r="1618" spans="1:33" ht="15.75" customHeight="1">
      <c r="A1618" s="32" t="s">
        <v>196</v>
      </c>
      <c r="B1618" s="33">
        <v>1617</v>
      </c>
      <c r="C1618" s="33" t="s">
        <v>8489</v>
      </c>
      <c r="D1618" s="33" t="s">
        <v>737</v>
      </c>
      <c r="E1618" s="33"/>
      <c r="F1618" s="32" t="s">
        <v>8490</v>
      </c>
      <c r="G1618" s="32" t="s">
        <v>8491</v>
      </c>
      <c r="H1618" s="32" t="s">
        <v>8492</v>
      </c>
      <c r="I1618" s="32">
        <v>6285219420348</v>
      </c>
      <c r="J1618" s="52"/>
      <c r="K1618" s="32" t="s">
        <v>8493</v>
      </c>
      <c r="L1618" s="32" t="s">
        <v>964</v>
      </c>
      <c r="M1618" s="32" t="s">
        <v>38</v>
      </c>
      <c r="N1618" s="33">
        <v>5</v>
      </c>
      <c r="O1618" s="35">
        <v>46006</v>
      </c>
      <c r="P1618" s="35">
        <v>46010</v>
      </c>
      <c r="Q1618" s="33"/>
      <c r="R1618" s="38">
        <v>-1003470351325</v>
      </c>
      <c r="S1618" s="33"/>
      <c r="T1618" s="60">
        <v>150000</v>
      </c>
      <c r="U1618" s="40" t="s">
        <v>115</v>
      </c>
      <c r="V1618" s="61">
        <v>46003.426207025463</v>
      </c>
      <c r="W1618" s="40" t="str">
        <f ca="1">IFERROR(__xludf.DUMMYFUNCTION("""COMPUTED_VALUE"""),"Jadi Indah")</f>
        <v>Jadi Indah</v>
      </c>
      <c r="X1618" s="42" t="str">
        <f ca="1"/>
        <v>ON-Jadi Indah-12122025+5-6285219420348</v>
      </c>
      <c r="Y1618" s="40" t="s">
        <v>62</v>
      </c>
      <c r="Z1618" s="40" t="s">
        <v>1465</v>
      </c>
      <c r="AA1618" s="23" t="str">
        <v>https://wa.me/6285219420348</v>
      </c>
      <c r="AB1618" s="28" t="s">
        <v>8494</v>
      </c>
      <c r="AC1618" s="28"/>
      <c r="AD1618" s="28" t="s">
        <v>690</v>
      </c>
      <c r="AE1618" s="28"/>
      <c r="AF1618" s="29"/>
      <c r="AG1618" s="28"/>
    </row>
    <row r="1619" spans="1:33" ht="15.75" customHeight="1">
      <c r="A1619" s="32" t="s">
        <v>196</v>
      </c>
      <c r="B1619" s="33">
        <v>1618</v>
      </c>
      <c r="C1619" s="33" t="s">
        <v>8495</v>
      </c>
      <c r="D1619" s="33" t="s">
        <v>737</v>
      </c>
      <c r="E1619" s="33"/>
      <c r="F1619" s="32" t="s">
        <v>8496</v>
      </c>
      <c r="G1619" s="32" t="s">
        <v>8497</v>
      </c>
      <c r="H1619" s="32" t="s">
        <v>838</v>
      </c>
      <c r="I1619" s="32">
        <v>6285776131462</v>
      </c>
      <c r="J1619" s="52"/>
      <c r="K1619" s="32" t="s">
        <v>8498</v>
      </c>
      <c r="L1619" s="32" t="s">
        <v>8499</v>
      </c>
      <c r="M1619" s="32" t="s">
        <v>60</v>
      </c>
      <c r="N1619" s="33">
        <v>5</v>
      </c>
      <c r="O1619" s="35">
        <v>46006</v>
      </c>
      <c r="P1619" s="35">
        <v>46010</v>
      </c>
      <c r="Q1619" s="33"/>
      <c r="R1619" s="38">
        <v>-1003470351325</v>
      </c>
      <c r="S1619" s="33"/>
      <c r="T1619" s="60">
        <v>197000</v>
      </c>
      <c r="U1619" s="40" t="s">
        <v>61</v>
      </c>
      <c r="V1619" s="61">
        <v>46003.912761932872</v>
      </c>
      <c r="W1619" s="40" t="str">
        <f ca="1">IFERROR(__xludf.DUMMYFUNCTION("""COMPUTED_VALUE"""),"Soto Ayam")</f>
        <v>Soto Ayam</v>
      </c>
      <c r="X1619" s="42" t="str">
        <f ca="1"/>
        <v>ON-Soto Ayam-12122025+5-6285776131462</v>
      </c>
      <c r="Y1619" s="40" t="s">
        <v>62</v>
      </c>
      <c r="Z1619" s="40" t="s">
        <v>3620</v>
      </c>
      <c r="AA1619" s="23" t="str">
        <v>https://wa.me/6285776131462</v>
      </c>
      <c r="AB1619" s="28" t="s">
        <v>8500</v>
      </c>
      <c r="AC1619" s="28"/>
      <c r="AD1619" s="28" t="s">
        <v>690</v>
      </c>
      <c r="AE1619" s="28"/>
      <c r="AF1619" s="29"/>
      <c r="AG1619" s="28"/>
    </row>
    <row r="1620" spans="1:33" ht="15.75" customHeight="1">
      <c r="A1620" s="32" t="s">
        <v>196</v>
      </c>
      <c r="B1620" s="33">
        <v>1619</v>
      </c>
      <c r="C1620" s="33" t="s">
        <v>8501</v>
      </c>
      <c r="D1620" s="33" t="s">
        <v>737</v>
      </c>
      <c r="E1620" s="33"/>
      <c r="F1620" s="32" t="s">
        <v>8502</v>
      </c>
      <c r="G1620" s="32" t="s">
        <v>8503</v>
      </c>
      <c r="H1620" s="32" t="s">
        <v>8504</v>
      </c>
      <c r="I1620" s="32">
        <v>6282313901699</v>
      </c>
      <c r="J1620" s="52"/>
      <c r="K1620" s="32" t="s">
        <v>1194</v>
      </c>
      <c r="L1620" s="32" t="s">
        <v>6910</v>
      </c>
      <c r="M1620" s="32" t="s">
        <v>60</v>
      </c>
      <c r="N1620" s="33">
        <v>5</v>
      </c>
      <c r="O1620" s="35">
        <v>46006</v>
      </c>
      <c r="P1620" s="35">
        <v>46010</v>
      </c>
      <c r="Q1620" s="33"/>
      <c r="R1620" s="38">
        <v>-1003470351325</v>
      </c>
      <c r="S1620" s="33"/>
      <c r="T1620" s="60">
        <v>197000</v>
      </c>
      <c r="U1620" s="40" t="s">
        <v>61</v>
      </c>
      <c r="V1620" s="61">
        <v>46003.913689907407</v>
      </c>
      <c r="W1620" s="40" t="str">
        <f ca="1">IFERROR(__xludf.DUMMYFUNCTION("""COMPUTED_VALUE"""),"Condong Raos")</f>
        <v>Condong Raos</v>
      </c>
      <c r="X1620" s="42" t="str">
        <f ca="1"/>
        <v>ON-Condong Raos-12122025+5-6282313901699</v>
      </c>
      <c r="Y1620" s="40" t="s">
        <v>62</v>
      </c>
      <c r="Z1620" s="40" t="s">
        <v>1861</v>
      </c>
      <c r="AA1620" s="23" t="str">
        <v>https://wa.me/6282313901699</v>
      </c>
      <c r="AB1620" s="28" t="s">
        <v>8505</v>
      </c>
      <c r="AC1620" s="28"/>
      <c r="AD1620" s="28" t="s">
        <v>690</v>
      </c>
      <c r="AE1620" s="28"/>
      <c r="AF1620" s="29"/>
      <c r="AG1620" s="28"/>
    </row>
    <row r="1621" spans="1:33" ht="15.75" customHeight="1">
      <c r="A1621" s="32" t="s">
        <v>196</v>
      </c>
      <c r="B1621" s="33">
        <v>1620</v>
      </c>
      <c r="C1621" s="33" t="s">
        <v>8506</v>
      </c>
      <c r="D1621" s="33" t="s">
        <v>6856</v>
      </c>
      <c r="E1621" s="33"/>
      <c r="F1621" s="32" t="s">
        <v>8507</v>
      </c>
      <c r="G1621" s="32" t="s">
        <v>8508</v>
      </c>
      <c r="H1621" s="32" t="s">
        <v>8509</v>
      </c>
      <c r="I1621" s="32">
        <v>628122833297</v>
      </c>
      <c r="J1621" s="52"/>
      <c r="K1621" s="32" t="s">
        <v>374</v>
      </c>
      <c r="L1621" s="32" t="s">
        <v>92</v>
      </c>
      <c r="M1621" s="32" t="s">
        <v>60</v>
      </c>
      <c r="N1621" s="33">
        <v>5</v>
      </c>
      <c r="O1621" s="35">
        <v>46008</v>
      </c>
      <c r="P1621" s="35">
        <v>46012</v>
      </c>
      <c r="Q1621" s="33"/>
      <c r="R1621" s="38">
        <v>-1003470351325</v>
      </c>
      <c r="S1621" s="33"/>
      <c r="T1621" s="60">
        <v>197000</v>
      </c>
      <c r="U1621" s="40" t="s">
        <v>61</v>
      </c>
      <c r="V1621" s="61">
        <v>46005.631134710653</v>
      </c>
      <c r="W1621" s="40" t="str">
        <f ca="1">IFERROR(__xludf.DUMMYFUNCTION("""COMPUTED_VALUE"""),"Aisha Hijab")</f>
        <v>Aisha Hijab</v>
      </c>
      <c r="X1621" s="42" t="str">
        <f ca="1"/>
        <v>ON-Aisha Hijab-14122025+5-628122833297</v>
      </c>
      <c r="Y1621" s="40" t="s">
        <v>62</v>
      </c>
      <c r="Z1621" s="40" t="s">
        <v>1465</v>
      </c>
      <c r="AA1621" s="23" t="str">
        <v>https://wa.me/628122833297</v>
      </c>
      <c r="AB1621" s="28" t="s">
        <v>8510</v>
      </c>
      <c r="AC1621" s="28"/>
      <c r="AD1621" s="28" t="s">
        <v>690</v>
      </c>
      <c r="AE1621" s="28"/>
      <c r="AF1621" s="29"/>
      <c r="AG1621" s="28"/>
    </row>
    <row r="1622" spans="1:33" ht="15.75" customHeight="1">
      <c r="A1622" s="32" t="s">
        <v>196</v>
      </c>
      <c r="B1622" s="33">
        <v>1621</v>
      </c>
      <c r="C1622" s="33" t="s">
        <v>8511</v>
      </c>
      <c r="D1622" s="33" t="s">
        <v>8512</v>
      </c>
      <c r="E1622" s="33"/>
      <c r="F1622" s="32" t="s">
        <v>8513</v>
      </c>
      <c r="G1622" s="32" t="s">
        <v>8514</v>
      </c>
      <c r="H1622" s="32" t="s">
        <v>8515</v>
      </c>
      <c r="I1622" s="32">
        <v>6281908083633</v>
      </c>
      <c r="J1622" s="52"/>
      <c r="K1622" s="32" t="s">
        <v>8516</v>
      </c>
      <c r="L1622" s="32" t="s">
        <v>8517</v>
      </c>
      <c r="M1622" s="32" t="s">
        <v>1605</v>
      </c>
      <c r="N1622" s="33">
        <v>5</v>
      </c>
      <c r="O1622" s="35">
        <v>46008</v>
      </c>
      <c r="P1622" s="35">
        <v>46012</v>
      </c>
      <c r="Q1622" s="33"/>
      <c r="R1622" s="38">
        <v>-1003470351325</v>
      </c>
      <c r="S1622" s="33"/>
      <c r="T1622" s="60">
        <v>197000</v>
      </c>
      <c r="U1622" s="40" t="s">
        <v>1774</v>
      </c>
      <c r="V1622" s="61">
        <v>46006.396886655093</v>
      </c>
      <c r="W1622" s="40" t="str">
        <f ca="1">IFERROR(__xludf.DUMMYFUNCTION("""COMPUTED_VALUE"""),"Flow pilates")</f>
        <v>Flow pilates</v>
      </c>
      <c r="X1622" s="42" t="str">
        <f ca="1"/>
        <v>ON-Flow pilates-15122025+5-6281908083633</v>
      </c>
      <c r="Y1622" s="40" t="s">
        <v>62</v>
      </c>
      <c r="Z1622" s="40" t="s">
        <v>639</v>
      </c>
      <c r="AA1622" s="23" t="str">
        <v>https://wa.me/6281908083633</v>
      </c>
      <c r="AB1622" s="28" t="s">
        <v>8518</v>
      </c>
      <c r="AC1622" s="28"/>
      <c r="AD1622" s="28" t="s">
        <v>690</v>
      </c>
      <c r="AE1622" s="28"/>
      <c r="AF1622" s="29"/>
      <c r="AG1622" s="28"/>
    </row>
    <row r="1623" spans="1:33" ht="15.75" customHeight="1">
      <c r="A1623" s="32" t="s">
        <v>33</v>
      </c>
      <c r="B1623" s="33">
        <v>1622</v>
      </c>
      <c r="C1623" s="33" t="s">
        <v>8519</v>
      </c>
      <c r="D1623" s="33" t="s">
        <v>6856</v>
      </c>
      <c r="E1623" s="33"/>
      <c r="F1623" s="32" t="s">
        <v>8507</v>
      </c>
      <c r="G1623" s="32" t="s">
        <v>8508</v>
      </c>
      <c r="H1623" s="32" t="s">
        <v>8509</v>
      </c>
      <c r="I1623" s="32">
        <v>6285185088849</v>
      </c>
      <c r="J1623" s="52"/>
      <c r="K1623" s="32" t="s">
        <v>374</v>
      </c>
      <c r="L1623" s="32" t="s">
        <v>92</v>
      </c>
      <c r="M1623" s="32" t="s">
        <v>60</v>
      </c>
      <c r="N1623" s="33">
        <v>5</v>
      </c>
      <c r="O1623" s="35"/>
      <c r="P1623" s="35"/>
      <c r="Q1623" s="33"/>
      <c r="R1623" s="38">
        <v>-1003470351325</v>
      </c>
      <c r="S1623" s="33"/>
      <c r="T1623" s="60">
        <v>197000</v>
      </c>
      <c r="U1623" s="40" t="s">
        <v>61</v>
      </c>
      <c r="V1623" s="61">
        <v>46007.501986493051</v>
      </c>
      <c r="W1623" s="40" t="str">
        <f ca="1">IFERROR(__xludf.DUMMYFUNCTION("""COMPUTED_VALUE"""),"Aisha Hijab")</f>
        <v>Aisha Hijab</v>
      </c>
      <c r="X1623" s="42" t="str">
        <f ca="1"/>
        <v>ON-Aisha Hijab-16122025+5-6285185088849</v>
      </c>
      <c r="Y1623" s="40"/>
      <c r="Z1623" s="40"/>
      <c r="AA1623" s="23" t="str">
        <v>https://wa.me/6285185088849</v>
      </c>
      <c r="AB1623" s="28"/>
      <c r="AC1623" s="28"/>
      <c r="AD1623" s="28"/>
      <c r="AE1623" s="28"/>
      <c r="AF1623" s="29"/>
      <c r="AG1623" s="28"/>
    </row>
    <row r="1624" spans="1:33" ht="15.75" customHeight="1">
      <c r="A1624" s="32" t="s">
        <v>196</v>
      </c>
      <c r="B1624" s="33">
        <v>1623</v>
      </c>
      <c r="C1624" s="33" t="s">
        <v>8520</v>
      </c>
      <c r="D1624" s="33" t="s">
        <v>8512</v>
      </c>
      <c r="E1624" s="33"/>
      <c r="F1624" s="32" t="s">
        <v>8521</v>
      </c>
      <c r="G1624" s="32" t="s">
        <v>8522</v>
      </c>
      <c r="H1624" s="32" t="s">
        <v>8523</v>
      </c>
      <c r="I1624" s="32">
        <v>6281282237855</v>
      </c>
      <c r="J1624" s="52"/>
      <c r="K1624" s="32" t="s">
        <v>8524</v>
      </c>
      <c r="L1624" s="32" t="s">
        <v>8525</v>
      </c>
      <c r="M1624" s="32" t="s">
        <v>60</v>
      </c>
      <c r="N1624" s="33">
        <v>5</v>
      </c>
      <c r="O1624" s="35">
        <v>46009</v>
      </c>
      <c r="P1624" s="35">
        <v>46013</v>
      </c>
      <c r="Q1624" s="33"/>
      <c r="R1624" s="38">
        <v>-1003470351325</v>
      </c>
      <c r="S1624" s="33"/>
      <c r="T1624" s="60">
        <v>197000</v>
      </c>
      <c r="U1624" s="40" t="s">
        <v>61</v>
      </c>
      <c r="V1624" s="61">
        <v>46007.830272418985</v>
      </c>
      <c r="W1624" s="40" t="str">
        <f ca="1">IFERROR(__xludf.DUMMYFUNCTION("""COMPUTED_VALUE"""),"CuciSepatuOmway")</f>
        <v>CuciSepatuOmway</v>
      </c>
      <c r="X1624" s="42" t="str">
        <f ca="1"/>
        <v>ON-CuciSepatuOmway-16122025+5-6281282237855</v>
      </c>
      <c r="Y1624" s="40" t="s">
        <v>62</v>
      </c>
      <c r="Z1624" s="40" t="s">
        <v>1465</v>
      </c>
      <c r="AA1624" s="23" t="str">
        <v>https://wa.me/6281282237855</v>
      </c>
      <c r="AB1624" s="28" t="s">
        <v>8526</v>
      </c>
      <c r="AC1624" s="28"/>
      <c r="AD1624" s="28" t="s">
        <v>690</v>
      </c>
      <c r="AE1624" s="28"/>
      <c r="AF1624" s="29"/>
      <c r="AG1624" s="28"/>
    </row>
    <row r="1625" spans="1:33" ht="15.75" customHeight="1">
      <c r="A1625" s="32" t="s">
        <v>196</v>
      </c>
      <c r="B1625" s="33">
        <v>1624</v>
      </c>
      <c r="C1625" s="33" t="s">
        <v>8527</v>
      </c>
      <c r="D1625" s="33" t="s">
        <v>8528</v>
      </c>
      <c r="E1625" s="33"/>
      <c r="F1625" s="32" t="s">
        <v>8529</v>
      </c>
      <c r="G1625" s="32" t="s">
        <v>8530</v>
      </c>
      <c r="H1625" s="32" t="s">
        <v>8531</v>
      </c>
      <c r="I1625" s="32">
        <v>6285720376378</v>
      </c>
      <c r="J1625" s="52"/>
      <c r="K1625" s="32" t="s">
        <v>8532</v>
      </c>
      <c r="L1625" s="32" t="s">
        <v>8533</v>
      </c>
      <c r="M1625" s="32" t="s">
        <v>131</v>
      </c>
      <c r="N1625" s="33">
        <v>30</v>
      </c>
      <c r="O1625" s="35">
        <v>46011</v>
      </c>
      <c r="P1625" s="35">
        <v>46040</v>
      </c>
      <c r="Q1625" s="33"/>
      <c r="R1625" s="38">
        <v>-1003470351325</v>
      </c>
      <c r="S1625" s="33"/>
      <c r="T1625" s="60">
        <v>750000</v>
      </c>
      <c r="U1625" s="40" t="s">
        <v>115</v>
      </c>
      <c r="V1625" s="61">
        <v>46008.301685208338</v>
      </c>
      <c r="W1625" s="40" t="str">
        <f ca="1">IFERROR(__xludf.DUMMYFUNCTION("""COMPUTED_VALUE"""),"Senyoom Dental")</f>
        <v>Senyoom Dental</v>
      </c>
      <c r="X1625" s="42" t="str">
        <f ca="1"/>
        <v>ON-Senyoom Dental-17122025+30-6285720376378</v>
      </c>
      <c r="Y1625" s="40" t="s">
        <v>62</v>
      </c>
      <c r="Z1625" s="40" t="s">
        <v>639</v>
      </c>
      <c r="AA1625" s="23" t="str">
        <v>https://wa.me/6285720376378</v>
      </c>
      <c r="AB1625" s="28" t="s">
        <v>8534</v>
      </c>
      <c r="AC1625" s="28"/>
      <c r="AD1625" s="28" t="s">
        <v>690</v>
      </c>
      <c r="AE1625" s="28"/>
      <c r="AF1625" s="29"/>
      <c r="AG1625" s="28"/>
    </row>
    <row r="1626" spans="1:33" ht="15.75" customHeight="1">
      <c r="A1626" s="32" t="s">
        <v>52</v>
      </c>
      <c r="B1626" s="33">
        <v>1625</v>
      </c>
      <c r="C1626" s="33" t="s">
        <v>8535</v>
      </c>
      <c r="D1626" s="33" t="s">
        <v>8182</v>
      </c>
      <c r="E1626" s="33"/>
      <c r="F1626" s="32" t="s">
        <v>542</v>
      </c>
      <c r="G1626" s="32" t="s">
        <v>8536</v>
      </c>
      <c r="H1626" s="32" t="s">
        <v>8537</v>
      </c>
      <c r="I1626" s="32">
        <v>6281228409107</v>
      </c>
      <c r="J1626" s="52"/>
      <c r="K1626" s="32" t="s">
        <v>8538</v>
      </c>
      <c r="L1626" s="32" t="s">
        <v>1542</v>
      </c>
      <c r="M1626" s="32" t="s">
        <v>60</v>
      </c>
      <c r="N1626" s="33">
        <v>5</v>
      </c>
      <c r="O1626" s="35"/>
      <c r="P1626" s="35"/>
      <c r="Q1626" s="33"/>
      <c r="R1626" s="38">
        <v>-1003470351325</v>
      </c>
      <c r="S1626" s="33"/>
      <c r="T1626" s="60">
        <v>197000</v>
      </c>
      <c r="U1626" s="40" t="s">
        <v>61</v>
      </c>
      <c r="V1626" s="61">
        <v>46008.302405706017</v>
      </c>
      <c r="W1626" s="40" t="str">
        <f ca="1">IFERROR(__xludf.DUMMYFUNCTION("""COMPUTED_VALUE"""),"Mitra Natama")</f>
        <v>Mitra Natama</v>
      </c>
      <c r="X1626" s="42" t="str">
        <f ca="1"/>
        <v>ON-Mitra Natama-17122025+5-6281228409107</v>
      </c>
      <c r="Y1626" s="40"/>
      <c r="Z1626" s="40"/>
      <c r="AA1626" s="23" t="str">
        <v>https://wa.me/6281228409107</v>
      </c>
      <c r="AB1626" s="28"/>
      <c r="AC1626" s="28"/>
      <c r="AD1626" s="28"/>
      <c r="AE1626" s="28"/>
      <c r="AF1626" s="29"/>
      <c r="AG1626" s="28"/>
    </row>
    <row r="1627" spans="1:33" ht="15.75" customHeight="1">
      <c r="A1627" s="32" t="s">
        <v>196</v>
      </c>
      <c r="B1627" s="33">
        <v>1626</v>
      </c>
      <c r="C1627" s="33" t="s">
        <v>8539</v>
      </c>
      <c r="D1627" s="33" t="s">
        <v>8182</v>
      </c>
      <c r="E1627" s="33"/>
      <c r="F1627" s="32" t="s">
        <v>8540</v>
      </c>
      <c r="G1627" s="32" t="s">
        <v>8541</v>
      </c>
      <c r="H1627" s="32" t="s">
        <v>8542</v>
      </c>
      <c r="I1627" s="32">
        <v>6282164558425</v>
      </c>
      <c r="J1627" s="52"/>
      <c r="K1627" s="32" t="s">
        <v>8543</v>
      </c>
      <c r="L1627" s="32" t="s">
        <v>59</v>
      </c>
      <c r="M1627" s="32" t="s">
        <v>60</v>
      </c>
      <c r="N1627" s="33">
        <v>14</v>
      </c>
      <c r="O1627" s="35">
        <v>46009</v>
      </c>
      <c r="P1627" s="35">
        <v>46022</v>
      </c>
      <c r="Q1627" s="33"/>
      <c r="R1627" s="38">
        <v>-1003470351325</v>
      </c>
      <c r="S1627" s="33"/>
      <c r="T1627" s="60">
        <v>550000</v>
      </c>
      <c r="U1627" s="40" t="s">
        <v>61</v>
      </c>
      <c r="V1627" s="61">
        <v>46008.318131828702</v>
      </c>
      <c r="W1627" s="40" t="str">
        <f ca="1">IFERROR(__xludf.DUMMYFUNCTION("""COMPUTED_VALUE"""),"Gaza Safes")</f>
        <v>Gaza Safes</v>
      </c>
      <c r="X1627" s="42" t="str">
        <f ca="1"/>
        <v>ON-Gaza Safes-17122025+14-6282164558425</v>
      </c>
      <c r="Y1627" s="40" t="s">
        <v>62</v>
      </c>
      <c r="Z1627" s="40" t="s">
        <v>1465</v>
      </c>
      <c r="AA1627" s="23" t="str">
        <v>https://wa.me/6282164558425</v>
      </c>
      <c r="AB1627" s="28" t="s">
        <v>8544</v>
      </c>
      <c r="AC1627" s="28"/>
      <c r="AD1627" s="28" t="s">
        <v>690</v>
      </c>
      <c r="AE1627" s="28"/>
      <c r="AF1627" s="29"/>
      <c r="AG1627" s="28"/>
    </row>
    <row r="1628" spans="1:33" ht="15.75" customHeight="1">
      <c r="A1628" s="32" t="s">
        <v>621</v>
      </c>
      <c r="B1628" s="33">
        <v>1627</v>
      </c>
      <c r="C1628" s="33" t="s">
        <v>8545</v>
      </c>
      <c r="D1628" s="33" t="s">
        <v>8546</v>
      </c>
      <c r="E1628" s="33"/>
      <c r="F1628" s="32" t="s">
        <v>8340</v>
      </c>
      <c r="G1628" s="32" t="s">
        <v>8547</v>
      </c>
      <c r="H1628" s="32" t="s">
        <v>8548</v>
      </c>
      <c r="I1628" s="32">
        <v>6282399312016</v>
      </c>
      <c r="J1628" s="52"/>
      <c r="K1628" s="32" t="s">
        <v>8549</v>
      </c>
      <c r="L1628" s="32" t="s">
        <v>8550</v>
      </c>
      <c r="M1628" s="32" t="s">
        <v>726</v>
      </c>
      <c r="N1628" s="33">
        <v>5</v>
      </c>
      <c r="O1628" s="35"/>
      <c r="P1628" s="35"/>
      <c r="Q1628" s="33"/>
      <c r="R1628" s="38">
        <v>-1003470351325</v>
      </c>
      <c r="S1628" s="33"/>
      <c r="T1628" s="60">
        <v>197000</v>
      </c>
      <c r="U1628" s="40" t="s">
        <v>1774</v>
      </c>
      <c r="V1628" s="61">
        <v>46010.285336412038</v>
      </c>
      <c r="W1628" s="40" t="str">
        <f ca="1">IFERROR(__xludf.DUMMYFUNCTION("""COMPUTED_VALUE"""),"MRA Travel")</f>
        <v>MRA Travel</v>
      </c>
      <c r="X1628" s="42" t="str">
        <f ca="1"/>
        <v>ON-MRA Travel-19122025+5-6282399312016</v>
      </c>
      <c r="Y1628" s="40"/>
      <c r="Z1628" s="40"/>
      <c r="AA1628" s="23" t="str">
        <v>https://wa.me/6282399312016</v>
      </c>
      <c r="AB1628" s="28"/>
      <c r="AC1628" s="28"/>
      <c r="AD1628" s="28"/>
      <c r="AE1628" s="28"/>
      <c r="AF1628" s="29"/>
      <c r="AG1628" s="28"/>
    </row>
    <row r="1629" spans="1:33" ht="15.75" customHeight="1">
      <c r="A1629" s="32" t="s">
        <v>196</v>
      </c>
      <c r="B1629" s="33">
        <v>1628</v>
      </c>
      <c r="C1629" s="33" t="s">
        <v>8551</v>
      </c>
      <c r="D1629" s="33" t="s">
        <v>8546</v>
      </c>
      <c r="E1629" s="33"/>
      <c r="F1629" s="32" t="s">
        <v>8552</v>
      </c>
      <c r="G1629" s="32" t="s">
        <v>8553</v>
      </c>
      <c r="H1629" s="32" t="s">
        <v>8554</v>
      </c>
      <c r="I1629" s="32">
        <v>628133032755</v>
      </c>
      <c r="J1629" s="52"/>
      <c r="K1629" s="32" t="s">
        <v>374</v>
      </c>
      <c r="L1629" s="32" t="s">
        <v>92</v>
      </c>
      <c r="M1629" s="32" t="s">
        <v>60</v>
      </c>
      <c r="N1629" s="33">
        <v>5</v>
      </c>
      <c r="O1629" s="35">
        <v>46013</v>
      </c>
      <c r="P1629" s="35">
        <v>46017</v>
      </c>
      <c r="Q1629" s="33"/>
      <c r="R1629" s="38">
        <v>-1003470351325</v>
      </c>
      <c r="S1629" s="33"/>
      <c r="T1629" s="60">
        <v>197000</v>
      </c>
      <c r="U1629" s="40" t="s">
        <v>61</v>
      </c>
      <c r="V1629" s="61">
        <v>46010.562503275461</v>
      </c>
      <c r="W1629" s="40" t="str">
        <f ca="1">IFERROR(__xludf.DUMMYFUNCTION("""COMPUTED_VALUE"""),"Distributor Resmi")</f>
        <v>Distributor Resmi</v>
      </c>
      <c r="X1629" s="42" t="str">
        <f ca="1"/>
        <v>ON-Distributor Resmi-19122025+5-628133032755</v>
      </c>
      <c r="Y1629" s="40" t="s">
        <v>62</v>
      </c>
      <c r="Z1629" s="40" t="s">
        <v>1861</v>
      </c>
      <c r="AA1629" s="23" t="str">
        <v>https://wa.me/628133032755</v>
      </c>
      <c r="AB1629" s="28" t="s">
        <v>8555</v>
      </c>
      <c r="AC1629" s="28"/>
      <c r="AD1629" s="28" t="s">
        <v>690</v>
      </c>
      <c r="AE1629" s="28"/>
      <c r="AF1629" s="29"/>
      <c r="AG1629" s="28"/>
    </row>
    <row r="1630" spans="1:33" ht="15.75" customHeight="1">
      <c r="A1630" s="32" t="s">
        <v>196</v>
      </c>
      <c r="B1630" s="33">
        <v>1629</v>
      </c>
      <c r="C1630" s="33" t="s">
        <v>8556</v>
      </c>
      <c r="D1630" s="33" t="s">
        <v>8557</v>
      </c>
      <c r="E1630" s="33"/>
      <c r="F1630" s="32" t="s">
        <v>8558</v>
      </c>
      <c r="G1630" s="32" t="s">
        <v>8559</v>
      </c>
      <c r="H1630" s="32" t="s">
        <v>8560</v>
      </c>
      <c r="I1630" s="32">
        <v>6282234857245</v>
      </c>
      <c r="J1630" s="52"/>
      <c r="K1630" s="32" t="s">
        <v>8561</v>
      </c>
      <c r="L1630" s="32" t="s">
        <v>8562</v>
      </c>
      <c r="M1630" s="32" t="s">
        <v>8563</v>
      </c>
      <c r="N1630" s="33">
        <v>7</v>
      </c>
      <c r="O1630" s="35"/>
      <c r="P1630" s="35"/>
      <c r="Q1630" s="33"/>
      <c r="R1630" s="38">
        <v>-1003470351325</v>
      </c>
      <c r="S1630" s="33"/>
      <c r="T1630" s="60">
        <v>297000</v>
      </c>
      <c r="U1630" s="40" t="s">
        <v>8564</v>
      </c>
      <c r="V1630" s="61">
        <v>46012.829877349533</v>
      </c>
      <c r="W1630" s="40" t="str">
        <f ca="1">IFERROR(__xludf.DUMMYFUNCTION("""COMPUTED_VALUE"""),"BS_PROJECT")</f>
        <v>BS_PROJECT</v>
      </c>
      <c r="X1630" s="42" t="str">
        <f ca="1"/>
        <v>ON-BS_PROJECT-21122025+7-6282234857245</v>
      </c>
      <c r="Y1630" s="40" t="s">
        <v>293</v>
      </c>
      <c r="Z1630" s="40" t="s">
        <v>1057</v>
      </c>
      <c r="AA1630" s="23" t="str">
        <v>https://wa.me/6282234857245</v>
      </c>
      <c r="AB1630" s="28" t="s">
        <v>8565</v>
      </c>
      <c r="AC1630" s="28"/>
      <c r="AD1630" s="28"/>
      <c r="AE1630" s="28"/>
      <c r="AF1630" s="29"/>
      <c r="AG1630" s="28"/>
    </row>
    <row r="1631" spans="1:33" ht="15.75" customHeight="1">
      <c r="A1631" s="32" t="s">
        <v>196</v>
      </c>
      <c r="B1631" s="33">
        <v>1630</v>
      </c>
      <c r="C1631" s="33" t="s">
        <v>8566</v>
      </c>
      <c r="D1631" s="43">
        <v>46033</v>
      </c>
      <c r="E1631" s="33"/>
      <c r="F1631" s="32" t="s">
        <v>8567</v>
      </c>
      <c r="G1631" s="32" t="s">
        <v>8568</v>
      </c>
      <c r="H1631" s="32" t="s">
        <v>8569</v>
      </c>
      <c r="I1631" s="32">
        <v>6285730668168</v>
      </c>
      <c r="J1631" s="52"/>
      <c r="K1631" s="32" t="s">
        <v>8570</v>
      </c>
      <c r="L1631" s="32" t="s">
        <v>8571</v>
      </c>
      <c r="M1631" s="32" t="s">
        <v>60</v>
      </c>
      <c r="N1631" s="33">
        <v>10</v>
      </c>
      <c r="O1631" s="35"/>
      <c r="P1631" s="35"/>
      <c r="Q1631" s="33"/>
      <c r="R1631" s="38">
        <v>-1003470351325</v>
      </c>
      <c r="S1631" s="33"/>
      <c r="T1631" s="60">
        <v>375000</v>
      </c>
      <c r="U1631" s="40" t="s">
        <v>61</v>
      </c>
      <c r="V1631" s="61">
        <v>46033.795053888884</v>
      </c>
      <c r="W1631" s="40" t="str">
        <f ca="1">IFERROR(__xludf.DUMMYFUNCTION("""COMPUTED_VALUE"""),"Jasa Renovasi")</f>
        <v>Jasa Renovasi</v>
      </c>
      <c r="X1631" s="42" t="str">
        <f ca="1"/>
        <v>ON-Jasa Renovasi-11012026+10-6285730668168</v>
      </c>
      <c r="Y1631" s="40" t="s">
        <v>293</v>
      </c>
      <c r="Z1631" s="40" t="s">
        <v>1057</v>
      </c>
      <c r="AA1631" s="23" t="str">
        <v>https://wa.me/6285730668168</v>
      </c>
      <c r="AB1631" s="28" t="s">
        <v>8572</v>
      </c>
      <c r="AC1631" s="28"/>
      <c r="AD1631" s="28"/>
      <c r="AE1631" s="28"/>
      <c r="AF1631" s="29"/>
      <c r="AG1631" s="28"/>
    </row>
    <row r="1632" spans="1:33" ht="15.75" customHeight="1">
      <c r="A1632" s="32" t="s">
        <v>196</v>
      </c>
      <c r="B1632" s="33">
        <v>1631</v>
      </c>
      <c r="C1632" s="33" t="s">
        <v>8573</v>
      </c>
      <c r="D1632" s="33" t="s">
        <v>8574</v>
      </c>
      <c r="E1632" s="33"/>
      <c r="F1632" s="32" t="s">
        <v>8575</v>
      </c>
      <c r="G1632" s="32" t="s">
        <v>8576</v>
      </c>
      <c r="H1632" s="32" t="s">
        <v>8577</v>
      </c>
      <c r="I1632" s="32">
        <v>6285241716176</v>
      </c>
      <c r="J1632" s="52"/>
      <c r="K1632" s="32" t="s">
        <v>8578</v>
      </c>
      <c r="L1632" s="32" t="s">
        <v>3627</v>
      </c>
      <c r="M1632" s="32" t="s">
        <v>711</v>
      </c>
      <c r="N1632" s="33">
        <v>5</v>
      </c>
      <c r="O1632" s="35"/>
      <c r="P1632" s="35"/>
      <c r="Q1632" s="33"/>
      <c r="R1632" s="38">
        <v>-1003470351325</v>
      </c>
      <c r="S1632" s="33"/>
      <c r="T1632" s="60">
        <v>197000</v>
      </c>
      <c r="U1632" s="40" t="s">
        <v>1229</v>
      </c>
      <c r="V1632" s="61">
        <v>46014.287666608798</v>
      </c>
      <c r="W1632" s="40" t="str">
        <f ca="1">IFERROR(__xludf.DUMMYFUNCTION("""COMPUTED_VALUE"""),"RBA (")</f>
        <v>RBA (</v>
      </c>
      <c r="X1632" s="42" t="str">
        <f ca="1"/>
        <v>ON-RBA (-23122025+5-6285241716176</v>
      </c>
      <c r="Y1632" s="40" t="s">
        <v>62</v>
      </c>
      <c r="Z1632" s="40" t="s">
        <v>639</v>
      </c>
      <c r="AA1632" s="23" t="str">
        <v>https://wa.me/6285241716176</v>
      </c>
      <c r="AB1632" s="28" t="s">
        <v>8579</v>
      </c>
      <c r="AC1632" s="28"/>
      <c r="AD1632" s="28"/>
      <c r="AE1632" s="28"/>
      <c r="AF1632" s="29"/>
      <c r="AG1632" s="28"/>
    </row>
    <row r="1633" spans="1:33" ht="15.75" customHeight="1">
      <c r="A1633" s="32" t="s">
        <v>196</v>
      </c>
      <c r="B1633" s="33">
        <v>1632</v>
      </c>
      <c r="C1633" s="33" t="s">
        <v>8580</v>
      </c>
      <c r="D1633" s="43">
        <v>46039</v>
      </c>
      <c r="E1633" s="33"/>
      <c r="F1633" s="32" t="s">
        <v>8581</v>
      </c>
      <c r="G1633" s="32" t="s">
        <v>8582</v>
      </c>
      <c r="H1633" s="32" t="s">
        <v>8583</v>
      </c>
      <c r="I1633" s="32">
        <v>6285602235618</v>
      </c>
      <c r="J1633" s="52"/>
      <c r="K1633" s="32" t="s">
        <v>8584</v>
      </c>
      <c r="L1633" s="32" t="s">
        <v>5303</v>
      </c>
      <c r="M1633" s="32" t="s">
        <v>726</v>
      </c>
      <c r="N1633" s="33">
        <v>10</v>
      </c>
      <c r="O1633" s="35"/>
      <c r="P1633" s="35"/>
      <c r="Q1633" s="33"/>
      <c r="R1633" s="38">
        <v>-1003470351325</v>
      </c>
      <c r="S1633" s="33"/>
      <c r="T1633" s="60">
        <v>375000</v>
      </c>
      <c r="U1633" s="40" t="s">
        <v>1774</v>
      </c>
      <c r="V1633" s="61">
        <v>46039.523065277783</v>
      </c>
      <c r="W1633" s="40" t="str">
        <f ca="1">IFERROR(__xludf.DUMMYFUNCTION("""COMPUTED_VALUE"""),"Arsitek, Kontraktor")</f>
        <v>Arsitek, Kontraktor</v>
      </c>
      <c r="X1633" s="42" t="str">
        <f ca="1"/>
        <v>ON-Arsitek, Kontraktor-17012026+10-6285602235618</v>
      </c>
      <c r="Y1633" s="40" t="s">
        <v>293</v>
      </c>
      <c r="Z1633" s="40" t="s">
        <v>1057</v>
      </c>
      <c r="AA1633" s="23" t="str">
        <v>https://wa.me/6285602235618</v>
      </c>
      <c r="AB1633" s="28" t="s">
        <v>8585</v>
      </c>
      <c r="AC1633" s="28"/>
      <c r="AD1633" s="28" t="s">
        <v>690</v>
      </c>
      <c r="AE1633" s="28"/>
      <c r="AF1633" s="29"/>
      <c r="AG1633" s="28"/>
    </row>
    <row r="1634" spans="1:33" ht="15.75" customHeight="1">
      <c r="A1634" s="32" t="s">
        <v>196</v>
      </c>
      <c r="B1634" s="33">
        <v>1633</v>
      </c>
      <c r="C1634" s="33" t="s">
        <v>8586</v>
      </c>
      <c r="D1634" s="33" t="s">
        <v>8587</v>
      </c>
      <c r="E1634" s="33"/>
      <c r="F1634" s="32" t="s">
        <v>8588</v>
      </c>
      <c r="G1634" s="32" t="s">
        <v>8589</v>
      </c>
      <c r="H1634" s="32" t="s">
        <v>8590</v>
      </c>
      <c r="I1634" s="32">
        <v>6281245194434</v>
      </c>
      <c r="J1634" s="52"/>
      <c r="K1634" s="32" t="s">
        <v>8591</v>
      </c>
      <c r="L1634" s="32" t="s">
        <v>8473</v>
      </c>
      <c r="M1634" s="32" t="s">
        <v>711</v>
      </c>
      <c r="N1634" s="33">
        <v>7</v>
      </c>
      <c r="O1634" s="35">
        <v>46018</v>
      </c>
      <c r="P1634" s="35">
        <v>46024</v>
      </c>
      <c r="Q1634" s="33"/>
      <c r="R1634" s="38">
        <v>-1003470351325</v>
      </c>
      <c r="S1634" s="33"/>
      <c r="T1634" s="60">
        <v>297000</v>
      </c>
      <c r="U1634" s="40" t="s">
        <v>1229</v>
      </c>
      <c r="V1634" s="61">
        <v>46014.390748078702</v>
      </c>
      <c r="W1634" s="40" t="str">
        <f ca="1">IFERROR(__xludf.DUMMYFUNCTION("""COMPUTED_VALUE"""),"Therapist Bonesetting")</f>
        <v>Therapist Bonesetting</v>
      </c>
      <c r="X1634" s="42" t="str">
        <f ca="1"/>
        <v>ON-Therapist Bonesetting-23122025+7-6281245194434</v>
      </c>
      <c r="Y1634" s="40" t="s">
        <v>62</v>
      </c>
      <c r="Z1634" s="40" t="s">
        <v>639</v>
      </c>
      <c r="AA1634" s="23" t="str">
        <v>https://wa.me/6281245194434</v>
      </c>
      <c r="AB1634" s="28" t="s">
        <v>8592</v>
      </c>
      <c r="AC1634" s="28"/>
      <c r="AD1634" s="28" t="s">
        <v>690</v>
      </c>
      <c r="AE1634" s="28"/>
      <c r="AF1634" s="29"/>
      <c r="AG1634" s="28"/>
    </row>
    <row r="1635" spans="1:33" ht="15.75" customHeight="1">
      <c r="A1635" s="32" t="s">
        <v>196</v>
      </c>
      <c r="B1635" s="33">
        <v>1634</v>
      </c>
      <c r="C1635" s="33" t="s">
        <v>8593</v>
      </c>
      <c r="D1635" s="33" t="s">
        <v>8587</v>
      </c>
      <c r="E1635" s="33"/>
      <c r="F1635" s="32" t="s">
        <v>8594</v>
      </c>
      <c r="G1635" s="32" t="s">
        <v>8595</v>
      </c>
      <c r="H1635" s="32" t="s">
        <v>8596</v>
      </c>
      <c r="I1635" s="32">
        <v>6282132423880</v>
      </c>
      <c r="J1635" s="52"/>
      <c r="K1635" s="32" t="s">
        <v>8597</v>
      </c>
      <c r="L1635" s="32" t="s">
        <v>92</v>
      </c>
      <c r="M1635" s="32" t="s">
        <v>711</v>
      </c>
      <c r="N1635" s="33">
        <v>5</v>
      </c>
      <c r="O1635" s="35">
        <v>46018</v>
      </c>
      <c r="P1635" s="35">
        <v>46022</v>
      </c>
      <c r="Q1635" s="33"/>
      <c r="R1635" s="38">
        <v>-1003470351325</v>
      </c>
      <c r="S1635" s="33"/>
      <c r="T1635" s="60">
        <v>197000</v>
      </c>
      <c r="U1635" s="40" t="s">
        <v>1229</v>
      </c>
      <c r="V1635" s="61">
        <v>46014.399046840277</v>
      </c>
      <c r="W1635" s="40" t="str">
        <f ca="1">IFERROR(__xludf.DUMMYFUNCTION("""COMPUTED_VALUE"""),"Rumah terapi")</f>
        <v>Rumah terapi</v>
      </c>
      <c r="X1635" s="42" t="str">
        <f ca="1"/>
        <v>ON-Rumah terapi-23122025+5-6282132423880</v>
      </c>
      <c r="Y1635" s="40" t="s">
        <v>62</v>
      </c>
      <c r="Z1635" s="40" t="s">
        <v>639</v>
      </c>
      <c r="AA1635" s="23" t="str">
        <v>https://wa.me/6282132423880</v>
      </c>
      <c r="AB1635" s="28" t="s">
        <v>8598</v>
      </c>
      <c r="AC1635" s="28"/>
      <c r="AD1635" s="28" t="s">
        <v>690</v>
      </c>
      <c r="AE1635" s="28"/>
      <c r="AF1635" s="29"/>
      <c r="AG1635" s="28"/>
    </row>
    <row r="1636" spans="1:33" ht="15.75" customHeight="1">
      <c r="A1636" s="32" t="s">
        <v>196</v>
      </c>
      <c r="B1636" s="33">
        <v>1635</v>
      </c>
      <c r="C1636" s="33" t="s">
        <v>8599</v>
      </c>
      <c r="D1636" s="33" t="s">
        <v>8587</v>
      </c>
      <c r="E1636" s="33"/>
      <c r="F1636" s="32" t="s">
        <v>8600</v>
      </c>
      <c r="G1636" s="32" t="s">
        <v>8601</v>
      </c>
      <c r="H1636" s="32" t="s">
        <v>8602</v>
      </c>
      <c r="I1636" s="32">
        <v>6285166449071</v>
      </c>
      <c r="J1636" s="52"/>
      <c r="K1636" s="32" t="s">
        <v>8603</v>
      </c>
      <c r="L1636" s="32" t="s">
        <v>8604</v>
      </c>
      <c r="M1636" s="32" t="s">
        <v>92</v>
      </c>
      <c r="N1636" s="33">
        <v>5</v>
      </c>
      <c r="O1636" s="35">
        <v>46018</v>
      </c>
      <c r="P1636" s="35">
        <v>46022</v>
      </c>
      <c r="Q1636" s="33"/>
      <c r="R1636" s="38">
        <v>-1003470351325</v>
      </c>
      <c r="S1636" s="33"/>
      <c r="T1636" s="60">
        <v>197000</v>
      </c>
      <c r="U1636" s="40" t="s">
        <v>1229</v>
      </c>
      <c r="V1636" s="61">
        <v>46014.436699201389</v>
      </c>
      <c r="W1636" s="40" t="str">
        <f ca="1">IFERROR(__xludf.DUMMYFUNCTION("""COMPUTED_VALUE"""),"terapi pengobatan")</f>
        <v>terapi pengobatan</v>
      </c>
      <c r="X1636" s="42" t="str">
        <f ca="1"/>
        <v>ON-terapi pengobatan-23122025+5-6285166449071</v>
      </c>
      <c r="Y1636" s="40" t="s">
        <v>62</v>
      </c>
      <c r="Z1636" s="40" t="s">
        <v>639</v>
      </c>
      <c r="AA1636" s="23" t="str">
        <v>https://wa.me/6285166449071</v>
      </c>
      <c r="AB1636" s="28" t="s">
        <v>8605</v>
      </c>
      <c r="AC1636" s="28"/>
      <c r="AD1636" s="28" t="s">
        <v>690</v>
      </c>
      <c r="AE1636" s="28"/>
      <c r="AF1636" s="29"/>
      <c r="AG1636" s="28"/>
    </row>
    <row r="1637" spans="1:33" ht="15.75" customHeight="1">
      <c r="A1637" s="32" t="s">
        <v>196</v>
      </c>
      <c r="B1637" s="33">
        <v>1636</v>
      </c>
      <c r="C1637" s="33" t="s">
        <v>8606</v>
      </c>
      <c r="D1637" s="33" t="s">
        <v>7994</v>
      </c>
      <c r="E1637" s="33"/>
      <c r="F1637" s="32" t="s">
        <v>8607</v>
      </c>
      <c r="G1637" s="32" t="s">
        <v>8608</v>
      </c>
      <c r="H1637" s="32" t="s">
        <v>8609</v>
      </c>
      <c r="I1637" s="32">
        <v>6285959674295</v>
      </c>
      <c r="J1637" s="52"/>
      <c r="K1637" s="32" t="s">
        <v>8610</v>
      </c>
      <c r="L1637" s="32" t="s">
        <v>3813</v>
      </c>
      <c r="M1637" s="32" t="s">
        <v>382</v>
      </c>
      <c r="N1637" s="33">
        <v>10</v>
      </c>
      <c r="O1637" s="35">
        <v>46019</v>
      </c>
      <c r="P1637" s="35">
        <v>46029</v>
      </c>
      <c r="Q1637" s="33"/>
      <c r="R1637" s="38">
        <v>-1003470351325</v>
      </c>
      <c r="S1637" s="33"/>
      <c r="T1637" s="60">
        <v>375000</v>
      </c>
      <c r="U1637" s="40" t="s">
        <v>1774</v>
      </c>
      <c r="V1637" s="61">
        <v>46015.389869513892</v>
      </c>
      <c r="W1637" s="40" t="str">
        <f ca="1">IFERROR(__xludf.DUMMYFUNCTION("""COMPUTED_VALUE"""),"Rumah spiritual")</f>
        <v>Rumah spiritual</v>
      </c>
      <c r="X1637" s="42" t="str">
        <f ca="1"/>
        <v>ON-Rumah spiritual-24122025+10-6285959674295</v>
      </c>
      <c r="Y1637" s="40" t="s">
        <v>62</v>
      </c>
      <c r="Z1637" s="40" t="s">
        <v>639</v>
      </c>
      <c r="AA1637" s="23" t="str">
        <v>https://wa.me/6285959674295</v>
      </c>
      <c r="AB1637" s="28" t="s">
        <v>8611</v>
      </c>
      <c r="AC1637" s="28"/>
      <c r="AD1637" s="28" t="s">
        <v>690</v>
      </c>
      <c r="AE1637" s="28"/>
      <c r="AF1637" s="29"/>
      <c r="AG1637" s="28"/>
    </row>
    <row r="1638" spans="1:33" ht="15.75" customHeight="1">
      <c r="A1638" s="32" t="s">
        <v>196</v>
      </c>
      <c r="B1638" s="33">
        <v>1637</v>
      </c>
      <c r="C1638" s="33" t="s">
        <v>8612</v>
      </c>
      <c r="D1638" s="33" t="s">
        <v>8587</v>
      </c>
      <c r="E1638" s="33"/>
      <c r="F1638" s="32" t="s">
        <v>8613</v>
      </c>
      <c r="G1638" s="32" t="s">
        <v>8614</v>
      </c>
      <c r="H1638" s="32" t="s">
        <v>8615</v>
      </c>
      <c r="I1638" s="32">
        <v>6282288320550</v>
      </c>
      <c r="J1638" s="52"/>
      <c r="K1638" s="32" t="s">
        <v>8616</v>
      </c>
      <c r="L1638" s="32" t="s">
        <v>92</v>
      </c>
      <c r="M1638" s="32" t="s">
        <v>711</v>
      </c>
      <c r="N1638" s="33">
        <v>10</v>
      </c>
      <c r="O1638" s="35">
        <v>46019</v>
      </c>
      <c r="P1638" s="35">
        <v>46029</v>
      </c>
      <c r="Q1638" s="33"/>
      <c r="R1638" s="38">
        <v>-1003470351325</v>
      </c>
      <c r="S1638" s="33"/>
      <c r="T1638" s="60">
        <v>375000</v>
      </c>
      <c r="U1638" s="40" t="s">
        <v>1229</v>
      </c>
      <c r="V1638" s="61">
        <v>46015.394560578701</v>
      </c>
      <c r="W1638" s="40" t="str">
        <f ca="1">IFERROR(__xludf.DUMMYFUNCTION("""COMPUTED_VALUE"""),"kavling teluk")</f>
        <v>kavling teluk</v>
      </c>
      <c r="X1638" s="42" t="str">
        <f ca="1"/>
        <v>ON-kavling teluk-24122025+10-6282288320550</v>
      </c>
      <c r="Y1638" s="40" t="s">
        <v>293</v>
      </c>
      <c r="Z1638" s="40" t="s">
        <v>1057</v>
      </c>
      <c r="AA1638" s="23" t="str">
        <v>https://wa.me/6282288320550</v>
      </c>
      <c r="AB1638" s="28" t="s">
        <v>8617</v>
      </c>
      <c r="AC1638" s="28"/>
      <c r="AD1638" s="28" t="s">
        <v>690</v>
      </c>
      <c r="AE1638" s="28"/>
      <c r="AF1638" s="29"/>
      <c r="AG1638" s="28"/>
    </row>
    <row r="1639" spans="1:33" ht="15.75" customHeight="1">
      <c r="A1639" s="32" t="s">
        <v>196</v>
      </c>
      <c r="B1639" s="33">
        <v>1638</v>
      </c>
      <c r="C1639" s="33" t="s">
        <v>8618</v>
      </c>
      <c r="D1639" s="43">
        <v>46048</v>
      </c>
      <c r="E1639" s="33"/>
      <c r="F1639" s="32" t="s">
        <v>8619</v>
      </c>
      <c r="G1639" s="32" t="s">
        <v>8620</v>
      </c>
      <c r="H1639" s="32" t="s">
        <v>8621</v>
      </c>
      <c r="I1639" s="32">
        <v>628132211405</v>
      </c>
      <c r="J1639" s="52"/>
      <c r="K1639" s="32" t="s">
        <v>570</v>
      </c>
      <c r="L1639" s="32" t="s">
        <v>3302</v>
      </c>
      <c r="M1639" s="32" t="s">
        <v>382</v>
      </c>
      <c r="N1639" s="33">
        <v>14</v>
      </c>
      <c r="O1639" s="35"/>
      <c r="P1639" s="35"/>
      <c r="Q1639" s="33"/>
      <c r="R1639" s="38">
        <v>-1003470351325</v>
      </c>
      <c r="S1639" s="33"/>
      <c r="T1639" s="60">
        <v>550000</v>
      </c>
      <c r="U1639" s="40" t="s">
        <v>1774</v>
      </c>
      <c r="V1639" s="61">
        <v>46048.375282731482</v>
      </c>
      <c r="W1639" s="40" t="str">
        <f ca="1">IFERROR(__xludf.DUMMYFUNCTION("""COMPUTED_VALUE"""),"PT karya")</f>
        <v>PT karya</v>
      </c>
      <c r="X1639" s="42" t="str">
        <f ca="1"/>
        <v>ON-PT karya-26012026+14-628132211405</v>
      </c>
      <c r="Y1639" s="40" t="s">
        <v>293</v>
      </c>
      <c r="Z1639" s="40" t="s">
        <v>1057</v>
      </c>
      <c r="AA1639" s="23" t="str">
        <v>https://wa.me/628132211405</v>
      </c>
      <c r="AB1639" s="28" t="s">
        <v>8622</v>
      </c>
      <c r="AC1639" s="28"/>
      <c r="AD1639" s="28" t="s">
        <v>690</v>
      </c>
      <c r="AE1639" s="28"/>
      <c r="AF1639" s="29"/>
      <c r="AG1639" s="28"/>
    </row>
    <row r="1640" spans="1:33" ht="15.75" customHeight="1">
      <c r="A1640" s="32" t="s">
        <v>196</v>
      </c>
      <c r="B1640" s="33">
        <v>1639</v>
      </c>
      <c r="C1640" s="33" t="s">
        <v>8623</v>
      </c>
      <c r="D1640" s="33" t="s">
        <v>7994</v>
      </c>
      <c r="E1640" s="33"/>
      <c r="F1640" s="32" t="s">
        <v>8624</v>
      </c>
      <c r="G1640" s="32" t="s">
        <v>8625</v>
      </c>
      <c r="H1640" s="32" t="s">
        <v>8626</v>
      </c>
      <c r="I1640" s="32">
        <v>6281386087555</v>
      </c>
      <c r="J1640" s="52"/>
      <c r="K1640" s="32" t="s">
        <v>570</v>
      </c>
      <c r="L1640" s="32" t="s">
        <v>5110</v>
      </c>
      <c r="M1640" s="32" t="s">
        <v>285</v>
      </c>
      <c r="N1640" s="33">
        <v>5</v>
      </c>
      <c r="O1640" s="35">
        <v>46020</v>
      </c>
      <c r="P1640" s="35">
        <v>46024</v>
      </c>
      <c r="Q1640" s="33"/>
      <c r="R1640" s="38">
        <v>-1003470351325</v>
      </c>
      <c r="S1640" s="33"/>
      <c r="T1640" s="60">
        <v>197000</v>
      </c>
      <c r="U1640" s="40" t="s">
        <v>1229</v>
      </c>
      <c r="V1640" s="61">
        <v>46015.781094675927</v>
      </c>
      <c r="W1640" s="40" t="str">
        <f ca="1">IFERROR(__xludf.DUMMYFUNCTION("""COMPUTED_VALUE"""),"rumah terapi")</f>
        <v>rumah terapi</v>
      </c>
      <c r="X1640" s="42" t="str">
        <f ca="1"/>
        <v>ON-rumah terapi-24122025+5-6281386087555</v>
      </c>
      <c r="Y1640" s="40" t="s">
        <v>62</v>
      </c>
      <c r="Z1640" s="40" t="s">
        <v>639</v>
      </c>
      <c r="AA1640" s="23" t="str">
        <v>https://wa.me/6281386087555</v>
      </c>
      <c r="AB1640" s="28" t="s">
        <v>8627</v>
      </c>
      <c r="AC1640" s="28"/>
      <c r="AD1640" s="28" t="s">
        <v>690</v>
      </c>
      <c r="AE1640" s="28"/>
      <c r="AF1640" s="29"/>
      <c r="AG1640" s="28"/>
    </row>
    <row r="1641" spans="1:33" ht="15.75" customHeight="1">
      <c r="A1641" s="32" t="s">
        <v>196</v>
      </c>
      <c r="B1641" s="33">
        <v>1640</v>
      </c>
      <c r="C1641" s="33" t="s">
        <v>8628</v>
      </c>
      <c r="D1641" s="33" t="s">
        <v>7994</v>
      </c>
      <c r="E1641" s="33"/>
      <c r="F1641" s="32" t="s">
        <v>8629</v>
      </c>
      <c r="G1641" s="32" t="s">
        <v>8630</v>
      </c>
      <c r="H1641" s="32" t="s">
        <v>495</v>
      </c>
      <c r="I1641" s="32">
        <v>6285640670857</v>
      </c>
      <c r="J1641" s="52"/>
      <c r="K1641" s="32" t="s">
        <v>2673</v>
      </c>
      <c r="L1641" s="32" t="s">
        <v>3596</v>
      </c>
      <c r="M1641" s="32" t="s">
        <v>711</v>
      </c>
      <c r="N1641" s="33">
        <v>5</v>
      </c>
      <c r="O1641" s="35">
        <v>46019</v>
      </c>
      <c r="P1641" s="35">
        <v>46024</v>
      </c>
      <c r="Q1641" s="33"/>
      <c r="R1641" s="38">
        <v>-1003470351325</v>
      </c>
      <c r="S1641" s="33"/>
      <c r="T1641" s="60">
        <v>197000</v>
      </c>
      <c r="U1641" s="40" t="s">
        <v>1229</v>
      </c>
      <c r="V1641" s="61">
        <v>46015.851944722221</v>
      </c>
      <c r="W1641" s="40" t="str">
        <f ca="1">IFERROR(__xludf.DUMMYFUNCTION("""COMPUTED_VALUE"""),"PT cdr")</f>
        <v>PT cdr</v>
      </c>
      <c r="X1641" s="42" t="str">
        <f ca="1"/>
        <v>ON-PT cdr-24122025+5-6285640670857</v>
      </c>
      <c r="Y1641" s="40" t="s">
        <v>293</v>
      </c>
      <c r="Z1641" s="40" t="s">
        <v>1057</v>
      </c>
      <c r="AA1641" s="23" t="str">
        <v>https://wa.me/6285640670857</v>
      </c>
      <c r="AB1641" s="28" t="s">
        <v>8631</v>
      </c>
      <c r="AC1641" s="28"/>
      <c r="AD1641" s="28" t="s">
        <v>690</v>
      </c>
      <c r="AE1641" s="28"/>
      <c r="AF1641" s="29"/>
      <c r="AG1641" s="28"/>
    </row>
    <row r="1642" spans="1:33" ht="15.75" customHeight="1">
      <c r="A1642" s="32" t="s">
        <v>196</v>
      </c>
      <c r="B1642" s="33">
        <v>1641</v>
      </c>
      <c r="C1642" s="33" t="s">
        <v>8632</v>
      </c>
      <c r="D1642" s="33" t="s">
        <v>7994</v>
      </c>
      <c r="E1642" s="33"/>
      <c r="F1642" s="32" t="s">
        <v>8633</v>
      </c>
      <c r="G1642" s="32" t="s">
        <v>8634</v>
      </c>
      <c r="H1642" s="32" t="s">
        <v>8635</v>
      </c>
      <c r="I1642" s="32">
        <v>6285954786519</v>
      </c>
      <c r="J1642" s="52"/>
      <c r="K1642" s="32" t="s">
        <v>8636</v>
      </c>
      <c r="L1642" s="32" t="s">
        <v>92</v>
      </c>
      <c r="M1642" s="32" t="s">
        <v>285</v>
      </c>
      <c r="N1642" s="33">
        <v>5</v>
      </c>
      <c r="O1642" s="35">
        <v>46020</v>
      </c>
      <c r="P1642" s="35">
        <v>46024</v>
      </c>
      <c r="Q1642" s="33"/>
      <c r="R1642" s="38">
        <v>-1003470351325</v>
      </c>
      <c r="S1642" s="33"/>
      <c r="T1642" s="60">
        <v>197000</v>
      </c>
      <c r="U1642" s="40" t="s">
        <v>1229</v>
      </c>
      <c r="V1642" s="61">
        <v>46015.908301886579</v>
      </c>
      <c r="W1642" s="40" t="str">
        <f ca="1">IFERROR(__xludf.DUMMYFUNCTION("""COMPUTED_VALUE"""),"akunpuntur medik")</f>
        <v>akunpuntur medik</v>
      </c>
      <c r="X1642" s="42" t="str">
        <f ca="1"/>
        <v>ON-akunpuntur medik-24122025+5-6285954786519</v>
      </c>
      <c r="Y1642" s="40" t="s">
        <v>62</v>
      </c>
      <c r="Z1642" s="40" t="s">
        <v>639</v>
      </c>
      <c r="AA1642" s="23" t="str">
        <v>https://wa.me/6285954786519</v>
      </c>
      <c r="AB1642" s="28" t="s">
        <v>8637</v>
      </c>
      <c r="AC1642" s="28"/>
      <c r="AD1642" s="28" t="s">
        <v>690</v>
      </c>
      <c r="AE1642" s="28"/>
      <c r="AF1642" s="29"/>
      <c r="AG1642" s="28"/>
    </row>
    <row r="1643" spans="1:33" ht="15.75" customHeight="1">
      <c r="A1643" s="32" t="s">
        <v>196</v>
      </c>
      <c r="B1643" s="33">
        <v>1642</v>
      </c>
      <c r="C1643" s="33" t="s">
        <v>8638</v>
      </c>
      <c r="D1643" s="33" t="s">
        <v>512</v>
      </c>
      <c r="E1643" s="33"/>
      <c r="F1643" s="32" t="s">
        <v>8639</v>
      </c>
      <c r="G1643" s="32" t="s">
        <v>8640</v>
      </c>
      <c r="H1643" s="32" t="s">
        <v>495</v>
      </c>
      <c r="I1643" s="32">
        <v>6285930018999</v>
      </c>
      <c r="J1643" s="52"/>
      <c r="K1643" s="32" t="s">
        <v>8641</v>
      </c>
      <c r="L1643" s="32" t="s">
        <v>5303</v>
      </c>
      <c r="M1643" s="32" t="s">
        <v>382</v>
      </c>
      <c r="N1643" s="33">
        <v>10</v>
      </c>
      <c r="O1643" s="35">
        <v>46019</v>
      </c>
      <c r="P1643" s="35">
        <v>46028</v>
      </c>
      <c r="Q1643" s="33"/>
      <c r="R1643" s="38">
        <v>-1003470351325</v>
      </c>
      <c r="S1643" s="33"/>
      <c r="T1643" s="60">
        <v>375000</v>
      </c>
      <c r="U1643" s="40" t="s">
        <v>1774</v>
      </c>
      <c r="V1643" s="61">
        <v>46016.417007557873</v>
      </c>
      <c r="W1643" s="40" t="str">
        <f ca="1">IFERROR(__xludf.DUMMYFUNCTION("""COMPUTED_VALUE"""),"PT Broto")</f>
        <v>PT Broto</v>
      </c>
      <c r="X1643" s="42" t="str">
        <f ca="1"/>
        <v>ON-PT Broto-25122025+10-6285930018999</v>
      </c>
      <c r="Y1643" s="40" t="s">
        <v>293</v>
      </c>
      <c r="Z1643" s="40" t="s">
        <v>1057</v>
      </c>
      <c r="AA1643" s="23" t="str">
        <v>https://wa.me/6285930018999</v>
      </c>
      <c r="AB1643" s="28" t="s">
        <v>8642</v>
      </c>
      <c r="AC1643" s="28"/>
      <c r="AD1643" s="28" t="s">
        <v>690</v>
      </c>
      <c r="AE1643" s="28"/>
      <c r="AF1643" s="29"/>
      <c r="AG1643" s="28"/>
    </row>
    <row r="1644" spans="1:33" ht="15.75" customHeight="1">
      <c r="A1644" s="32" t="s">
        <v>196</v>
      </c>
      <c r="B1644" s="33">
        <v>1643</v>
      </c>
      <c r="C1644" s="33" t="s">
        <v>8643</v>
      </c>
      <c r="D1644" s="33" t="s">
        <v>512</v>
      </c>
      <c r="E1644" s="33"/>
      <c r="F1644" s="32" t="s">
        <v>8644</v>
      </c>
      <c r="G1644" s="32" t="s">
        <v>8645</v>
      </c>
      <c r="H1644" s="32" t="s">
        <v>8646</v>
      </c>
      <c r="I1644" s="32">
        <v>6281945071777</v>
      </c>
      <c r="J1644" s="52"/>
      <c r="K1644" s="32" t="s">
        <v>8647</v>
      </c>
      <c r="L1644" s="32" t="s">
        <v>5820</v>
      </c>
      <c r="M1644" s="32" t="s">
        <v>711</v>
      </c>
      <c r="N1644" s="33">
        <v>5</v>
      </c>
      <c r="O1644" s="35">
        <v>46020</v>
      </c>
      <c r="P1644" s="35">
        <v>46024</v>
      </c>
      <c r="Q1644" s="33"/>
      <c r="R1644" s="38">
        <v>-1003470351325</v>
      </c>
      <c r="S1644" s="33"/>
      <c r="T1644" s="60">
        <v>197000</v>
      </c>
      <c r="U1644" s="40" t="s">
        <v>1229</v>
      </c>
      <c r="V1644" s="61">
        <v>46016.469519305552</v>
      </c>
      <c r="W1644" s="40" t="str">
        <f ca="1">IFERROR(__xludf.DUMMYFUNCTION("""COMPUTED_VALUE"""),"kretek shakti")</f>
        <v>kretek shakti</v>
      </c>
      <c r="X1644" s="42" t="str">
        <f ca="1"/>
        <v>ON-kretek shakti-25122025+5-6281945071777</v>
      </c>
      <c r="Y1644" s="40" t="s">
        <v>62</v>
      </c>
      <c r="Z1644" s="40" t="s">
        <v>639</v>
      </c>
      <c r="AA1644" s="23" t="str">
        <v>https://wa.me/6281945071777</v>
      </c>
      <c r="AB1644" s="28" t="s">
        <v>8648</v>
      </c>
      <c r="AC1644" s="28"/>
      <c r="AD1644" s="28" t="s">
        <v>690</v>
      </c>
      <c r="AE1644" s="28"/>
      <c r="AF1644" s="29"/>
      <c r="AG1644" s="28"/>
    </row>
    <row r="1645" spans="1:33" ht="15.75" customHeight="1">
      <c r="A1645" s="32" t="s">
        <v>196</v>
      </c>
      <c r="B1645" s="33">
        <v>1644</v>
      </c>
      <c r="C1645" s="33" t="s">
        <v>8649</v>
      </c>
      <c r="D1645" s="33" t="s">
        <v>512</v>
      </c>
      <c r="E1645" s="33"/>
      <c r="F1645" s="32" t="s">
        <v>8650</v>
      </c>
      <c r="G1645" s="32" t="s">
        <v>8651</v>
      </c>
      <c r="H1645" s="32" t="s">
        <v>8652</v>
      </c>
      <c r="I1645" s="32">
        <v>6282225601525</v>
      </c>
      <c r="J1645" s="52"/>
      <c r="K1645" s="32" t="s">
        <v>8653</v>
      </c>
      <c r="L1645" s="32" t="s">
        <v>8654</v>
      </c>
      <c r="M1645" s="32" t="s">
        <v>382</v>
      </c>
      <c r="N1645" s="33">
        <v>5</v>
      </c>
      <c r="O1645" s="64">
        <v>46019</v>
      </c>
      <c r="P1645" s="65">
        <v>46023</v>
      </c>
      <c r="Q1645" s="33"/>
      <c r="R1645" s="38">
        <v>-1003470351325</v>
      </c>
      <c r="S1645" s="33"/>
      <c r="T1645" s="60">
        <v>197000</v>
      </c>
      <c r="U1645" s="40" t="s">
        <v>115</v>
      </c>
      <c r="V1645" s="61">
        <v>46016.556744953705</v>
      </c>
      <c r="W1645" s="40" t="str">
        <f ca="1">IFERROR(__xludf.DUMMYFUNCTION("""COMPUTED_VALUE"""),"AKSES ENGLISH")</f>
        <v>AKSES ENGLISH</v>
      </c>
      <c r="X1645" s="42" t="str">
        <f ca="1"/>
        <v>ON-AKSES ENGLISH-25122025+5-6282225601525</v>
      </c>
      <c r="Y1645" s="40" t="s">
        <v>62</v>
      </c>
      <c r="Z1645" s="40" t="s">
        <v>1404</v>
      </c>
      <c r="AA1645" s="23" t="str">
        <v>https://wa.me/6282225601525</v>
      </c>
      <c r="AB1645" s="28" t="s">
        <v>8655</v>
      </c>
      <c r="AC1645" s="28"/>
      <c r="AD1645" s="28" t="s">
        <v>690</v>
      </c>
      <c r="AE1645" s="28"/>
      <c r="AF1645" s="29"/>
      <c r="AG1645" s="28"/>
    </row>
    <row r="1646" spans="1:33" ht="15.75" customHeight="1">
      <c r="A1646" s="32" t="s">
        <v>196</v>
      </c>
      <c r="B1646" s="33">
        <v>1645</v>
      </c>
      <c r="C1646" s="33" t="s">
        <v>8656</v>
      </c>
      <c r="D1646" s="33" t="s">
        <v>512</v>
      </c>
      <c r="E1646" s="33"/>
      <c r="F1646" s="32" t="s">
        <v>4182</v>
      </c>
      <c r="G1646" s="32" t="s">
        <v>8657</v>
      </c>
      <c r="H1646" s="32" t="s">
        <v>8658</v>
      </c>
      <c r="I1646" s="32">
        <v>6282112073155</v>
      </c>
      <c r="J1646" s="52"/>
      <c r="K1646" s="32" t="s">
        <v>8659</v>
      </c>
      <c r="L1646" s="32" t="s">
        <v>92</v>
      </c>
      <c r="M1646" s="32" t="s">
        <v>711</v>
      </c>
      <c r="N1646" s="33">
        <v>5</v>
      </c>
      <c r="O1646" s="35">
        <v>46019</v>
      </c>
      <c r="P1646" s="35">
        <v>46024</v>
      </c>
      <c r="Q1646" s="33"/>
      <c r="R1646" s="38">
        <v>-1003470351325</v>
      </c>
      <c r="S1646" s="33"/>
      <c r="T1646" s="60">
        <v>197000</v>
      </c>
      <c r="U1646" s="40" t="s">
        <v>1229</v>
      </c>
      <c r="V1646" s="61">
        <v>46016.627434097223</v>
      </c>
      <c r="W1646" s="40" t="str">
        <f ca="1">IFERROR(__xludf.DUMMYFUNCTION("""COMPUTED_VALUE"""),"jasa pijat")</f>
        <v>jasa pijat</v>
      </c>
      <c r="X1646" s="42" t="str">
        <f ca="1"/>
        <v>ON-jasa pijat-25122025+5-6282112073155</v>
      </c>
      <c r="Y1646" s="40" t="s">
        <v>62</v>
      </c>
      <c r="Z1646" s="40" t="s">
        <v>639</v>
      </c>
      <c r="AA1646" s="23" t="str">
        <v>https://wa.me/6282112073155</v>
      </c>
      <c r="AB1646" s="28" t="s">
        <v>8660</v>
      </c>
      <c r="AC1646" s="28"/>
      <c r="AD1646" s="28" t="s">
        <v>690</v>
      </c>
      <c r="AE1646" s="28"/>
      <c r="AF1646" s="29"/>
      <c r="AG1646" s="28"/>
    </row>
    <row r="1647" spans="1:33" ht="15.75" customHeight="1">
      <c r="A1647" s="32" t="s">
        <v>196</v>
      </c>
      <c r="B1647" s="33">
        <v>1646</v>
      </c>
      <c r="C1647" s="33" t="s">
        <v>8661</v>
      </c>
      <c r="D1647" s="33" t="s">
        <v>512</v>
      </c>
      <c r="E1647" s="33"/>
      <c r="F1647" s="32" t="s">
        <v>8403</v>
      </c>
      <c r="G1647" s="32" t="s">
        <v>8662</v>
      </c>
      <c r="H1647" s="32" t="s">
        <v>8405</v>
      </c>
      <c r="I1647" s="32">
        <v>6282241377832</v>
      </c>
      <c r="J1647" s="52"/>
      <c r="K1647" s="32" t="s">
        <v>8663</v>
      </c>
      <c r="L1647" s="32" t="s">
        <v>92</v>
      </c>
      <c r="M1647" s="32" t="s">
        <v>711</v>
      </c>
      <c r="N1647" s="33">
        <v>30</v>
      </c>
      <c r="O1647" s="35">
        <v>46018</v>
      </c>
      <c r="P1647" s="35">
        <v>46047</v>
      </c>
      <c r="Q1647" s="33"/>
      <c r="R1647" s="38">
        <v>-1003470351325</v>
      </c>
      <c r="S1647" s="33"/>
      <c r="T1647" s="60">
        <v>1000000</v>
      </c>
      <c r="U1647" s="40" t="s">
        <v>1229</v>
      </c>
      <c r="V1647" s="61">
        <v>46016.747928958328</v>
      </c>
      <c r="W1647" s="40" t="str">
        <f ca="1">IFERROR(__xludf.DUMMYFUNCTION("""COMPUTED_VALUE"""),"totok syaraf")</f>
        <v>totok syaraf</v>
      </c>
      <c r="X1647" s="42" t="str">
        <f ca="1"/>
        <v>ON-totok syaraf-25122025+30-6282241377832</v>
      </c>
      <c r="Y1647" s="40" t="s">
        <v>62</v>
      </c>
      <c r="Z1647" s="40" t="s">
        <v>639</v>
      </c>
      <c r="AA1647" s="23" t="str">
        <v>https://wa.me/6282241377832</v>
      </c>
      <c r="AB1647" s="28" t="s">
        <v>8664</v>
      </c>
      <c r="AC1647" s="28"/>
      <c r="AD1647" s="28" t="s">
        <v>690</v>
      </c>
      <c r="AE1647" s="28"/>
      <c r="AF1647" s="29"/>
      <c r="AG1647" s="28"/>
    </row>
    <row r="1648" spans="1:33" ht="15.75" customHeight="1">
      <c r="A1648" s="32" t="s">
        <v>196</v>
      </c>
      <c r="B1648" s="33">
        <v>1647</v>
      </c>
      <c r="C1648" s="33" t="s">
        <v>8665</v>
      </c>
      <c r="D1648" s="33" t="s">
        <v>4141</v>
      </c>
      <c r="E1648" s="33"/>
      <c r="F1648" s="32" t="s">
        <v>8666</v>
      </c>
      <c r="G1648" s="32" t="s">
        <v>8667</v>
      </c>
      <c r="H1648" s="32" t="s">
        <v>8668</v>
      </c>
      <c r="I1648" s="32">
        <v>6282333302435</v>
      </c>
      <c r="J1648" s="52"/>
      <c r="K1648" s="32" t="s">
        <v>8669</v>
      </c>
      <c r="L1648" s="32" t="s">
        <v>8670</v>
      </c>
      <c r="M1648" s="32" t="s">
        <v>60</v>
      </c>
      <c r="N1648" s="33">
        <v>5</v>
      </c>
      <c r="O1648" s="35">
        <v>46020</v>
      </c>
      <c r="P1648" s="35">
        <v>46024</v>
      </c>
      <c r="Q1648" s="33"/>
      <c r="R1648" s="38">
        <v>-1003470351325</v>
      </c>
      <c r="S1648" s="33"/>
      <c r="T1648" s="60">
        <v>197000</v>
      </c>
      <c r="U1648" s="40" t="s">
        <v>61</v>
      </c>
      <c r="V1648" s="61">
        <v>46017.903933182868</v>
      </c>
      <c r="W1648" s="40" t="str">
        <f ca="1">IFERROR(__xludf.DUMMYFUNCTION("""COMPUTED_VALUE"""),"Warkop'e Bolodewe")</f>
        <v>Warkop'e Bolodewe</v>
      </c>
      <c r="X1648" s="42" t="str">
        <f ca="1"/>
        <v>ON-Warkop'e Bolodewe-26122025+5-6282333302435</v>
      </c>
      <c r="Y1648" s="40" t="s">
        <v>62</v>
      </c>
      <c r="Z1648" s="40" t="s">
        <v>1465</v>
      </c>
      <c r="AA1648" s="23" t="str">
        <v>https://wa.me/6282333302435</v>
      </c>
      <c r="AB1648" s="28" t="s">
        <v>8671</v>
      </c>
      <c r="AC1648" s="28"/>
      <c r="AD1648" s="28" t="s">
        <v>690</v>
      </c>
      <c r="AE1648" s="28"/>
      <c r="AF1648" s="29"/>
      <c r="AG1648" s="28"/>
    </row>
    <row r="1649" spans="1:33" ht="15.75" customHeight="1">
      <c r="A1649" s="32" t="s">
        <v>196</v>
      </c>
      <c r="B1649" s="33">
        <v>1648</v>
      </c>
      <c r="C1649" s="33" t="s">
        <v>8672</v>
      </c>
      <c r="D1649" s="33" t="s">
        <v>4141</v>
      </c>
      <c r="E1649" s="33"/>
      <c r="F1649" s="32" t="s">
        <v>8673</v>
      </c>
      <c r="G1649" s="32" t="s">
        <v>8674</v>
      </c>
      <c r="H1649" s="32" t="s">
        <v>8068</v>
      </c>
      <c r="I1649" s="32">
        <v>6287762765927</v>
      </c>
      <c r="J1649" s="52"/>
      <c r="K1649" s="32" t="s">
        <v>8675</v>
      </c>
      <c r="L1649" s="32" t="s">
        <v>92</v>
      </c>
      <c r="M1649" s="32" t="s">
        <v>60</v>
      </c>
      <c r="N1649" s="33">
        <v>5</v>
      </c>
      <c r="O1649" s="35">
        <v>46020</v>
      </c>
      <c r="P1649" s="35">
        <v>46024</v>
      </c>
      <c r="Q1649" s="33"/>
      <c r="R1649" s="38">
        <v>-1003470351325</v>
      </c>
      <c r="S1649" s="33"/>
      <c r="T1649" s="60">
        <v>197000</v>
      </c>
      <c r="U1649" s="40" t="s">
        <v>61</v>
      </c>
      <c r="V1649" s="61">
        <v>46017.904145555556</v>
      </c>
      <c r="W1649" s="40" t="str">
        <f ca="1">IFERROR(__xludf.DUMMYFUNCTION("""COMPUTED_VALUE"""),"Titik Bekam")</f>
        <v>Titik Bekam</v>
      </c>
      <c r="X1649" s="42" t="str">
        <f ca="1"/>
        <v>ON-Titik Bekam-26122025+5-6287762765927</v>
      </c>
      <c r="Y1649" s="40" t="s">
        <v>62</v>
      </c>
      <c r="Z1649" s="40" t="s">
        <v>639</v>
      </c>
      <c r="AA1649" s="23" t="str">
        <v>https://wa.me/6287762765927</v>
      </c>
      <c r="AB1649" s="28" t="s">
        <v>8676</v>
      </c>
      <c r="AC1649" s="28"/>
      <c r="AD1649" s="28" t="s">
        <v>690</v>
      </c>
      <c r="AE1649" s="28"/>
      <c r="AF1649" s="29"/>
      <c r="AG1649" s="28"/>
    </row>
    <row r="1650" spans="1:33" ht="15.75" customHeight="1">
      <c r="A1650" s="32" t="s">
        <v>196</v>
      </c>
      <c r="B1650" s="33">
        <v>1649</v>
      </c>
      <c r="C1650" s="33" t="s">
        <v>8677</v>
      </c>
      <c r="D1650" s="33" t="s">
        <v>7709</v>
      </c>
      <c r="E1650" s="33"/>
      <c r="F1650" s="32" t="s">
        <v>8678</v>
      </c>
      <c r="G1650" s="32" t="s">
        <v>8679</v>
      </c>
      <c r="H1650" s="32" t="s">
        <v>298</v>
      </c>
      <c r="I1650" s="32">
        <v>6281328834878</v>
      </c>
      <c r="J1650" s="52"/>
      <c r="K1650" s="32" t="s">
        <v>8680</v>
      </c>
      <c r="L1650" s="32" t="s">
        <v>130</v>
      </c>
      <c r="M1650" s="32" t="s">
        <v>711</v>
      </c>
      <c r="N1650" s="33">
        <v>5</v>
      </c>
      <c r="O1650" s="35">
        <v>46021</v>
      </c>
      <c r="P1650" s="35">
        <v>46025</v>
      </c>
      <c r="Q1650" s="33"/>
      <c r="R1650" s="38">
        <v>-1003470351325</v>
      </c>
      <c r="S1650" s="33"/>
      <c r="T1650" s="60">
        <v>197000</v>
      </c>
      <c r="U1650" s="40" t="s">
        <v>1229</v>
      </c>
      <c r="V1650" s="61">
        <v>46018.45547439815</v>
      </c>
      <c r="W1650" s="40" t="str">
        <f ca="1">IFERROR(__xludf.DUMMYFUNCTION("""COMPUTED_VALUE"""),"Jepara interior")</f>
        <v>Jepara interior</v>
      </c>
      <c r="X1650" s="42" t="str">
        <f ca="1"/>
        <v>ON-Jepara interior-27122025+5-6281328834878</v>
      </c>
      <c r="Y1650" s="40" t="s">
        <v>293</v>
      </c>
      <c r="Z1650" s="40" t="s">
        <v>1057</v>
      </c>
      <c r="AA1650" s="23" t="str">
        <v>https://wa.me/6281328834878</v>
      </c>
      <c r="AB1650" s="28" t="s">
        <v>8681</v>
      </c>
      <c r="AC1650" s="28"/>
      <c r="AD1650" s="28" t="s">
        <v>690</v>
      </c>
      <c r="AE1650" s="28"/>
      <c r="AF1650" s="29"/>
      <c r="AG1650" s="28"/>
    </row>
    <row r="1651" spans="1:33" ht="15.75" customHeight="1">
      <c r="A1651" s="32" t="s">
        <v>196</v>
      </c>
      <c r="B1651" s="33">
        <v>1650</v>
      </c>
      <c r="C1651" s="33" t="s">
        <v>8682</v>
      </c>
      <c r="D1651" s="33" t="s">
        <v>7709</v>
      </c>
      <c r="E1651" s="33"/>
      <c r="F1651" s="32" t="s">
        <v>8683</v>
      </c>
      <c r="G1651" s="32" t="s">
        <v>8684</v>
      </c>
      <c r="H1651" s="32" t="s">
        <v>8685</v>
      </c>
      <c r="I1651" s="32">
        <v>6287719015093</v>
      </c>
      <c r="J1651" s="52"/>
      <c r="K1651" s="32" t="s">
        <v>46</v>
      </c>
      <c r="L1651" s="32" t="s">
        <v>8686</v>
      </c>
      <c r="M1651" s="32" t="s">
        <v>711</v>
      </c>
      <c r="N1651" s="33">
        <v>5</v>
      </c>
      <c r="O1651" s="35">
        <v>46021</v>
      </c>
      <c r="P1651" s="35">
        <v>46025</v>
      </c>
      <c r="Q1651" s="33"/>
      <c r="R1651" s="38">
        <v>-1003470351325</v>
      </c>
      <c r="S1651" s="33"/>
      <c r="T1651" s="60">
        <v>197000</v>
      </c>
      <c r="U1651" s="40" t="s">
        <v>1229</v>
      </c>
      <c r="V1651" s="61">
        <v>46018.845261238428</v>
      </c>
      <c r="W1651" s="40" t="str">
        <f ca="1">IFERROR(__xludf.DUMMYFUNCTION("""COMPUTED_VALUE"""),"balihandyman")</f>
        <v>balihandyman</v>
      </c>
      <c r="X1651" s="42" t="str">
        <f ca="1"/>
        <v>ON-balihandyman-27122025+5-6287719015093</v>
      </c>
      <c r="Y1651" s="40" t="s">
        <v>293</v>
      </c>
      <c r="Z1651" s="40" t="s">
        <v>1057</v>
      </c>
      <c r="AA1651" s="23" t="str">
        <v>https://wa.me/6287719015093</v>
      </c>
      <c r="AB1651" s="28" t="s">
        <v>8687</v>
      </c>
      <c r="AC1651" s="28"/>
      <c r="AD1651" s="28" t="s">
        <v>690</v>
      </c>
      <c r="AE1651" s="28"/>
      <c r="AF1651" s="29"/>
      <c r="AG1651" s="28"/>
    </row>
    <row r="1652" spans="1:33" ht="15.75" customHeight="1">
      <c r="A1652" s="32" t="s">
        <v>621</v>
      </c>
      <c r="B1652" s="33">
        <v>1651</v>
      </c>
      <c r="C1652" s="33" t="s">
        <v>8688</v>
      </c>
      <c r="D1652" s="33" t="s">
        <v>7709</v>
      </c>
      <c r="E1652" s="33"/>
      <c r="F1652" s="32" t="s">
        <v>8689</v>
      </c>
      <c r="G1652" s="32" t="s">
        <v>8690</v>
      </c>
      <c r="H1652" s="32" t="s">
        <v>8691</v>
      </c>
      <c r="I1652" s="32">
        <v>6285212235687</v>
      </c>
      <c r="J1652" s="52"/>
      <c r="K1652" s="32" t="s">
        <v>8692</v>
      </c>
      <c r="L1652" s="32" t="s">
        <v>2432</v>
      </c>
      <c r="M1652" s="32" t="s">
        <v>60</v>
      </c>
      <c r="N1652" s="33">
        <v>5</v>
      </c>
      <c r="O1652" s="35"/>
      <c r="P1652" s="35"/>
      <c r="Q1652" s="33"/>
      <c r="R1652" s="38">
        <v>-1003470351325</v>
      </c>
      <c r="S1652" s="33"/>
      <c r="T1652" s="60">
        <v>197000</v>
      </c>
      <c r="U1652" s="40" t="s">
        <v>61</v>
      </c>
      <c r="V1652" s="61">
        <v>46019.209974502315</v>
      </c>
      <c r="W1652" s="40" t="str">
        <f ca="1">IFERROR(__xludf.DUMMYFUNCTION("""COMPUTED_VALUE"""),"Bob Sobirin")</f>
        <v>Bob Sobirin</v>
      </c>
      <c r="X1652" s="42" t="str">
        <f ca="1"/>
        <v>ON-Bob Sobirin-28122025+5-6285212235687</v>
      </c>
      <c r="Y1652" s="40"/>
      <c r="Z1652" s="40"/>
      <c r="AA1652" s="23" t="str">
        <v>https://wa.me/6285212235687</v>
      </c>
      <c r="AB1652" s="28"/>
      <c r="AC1652" s="28"/>
      <c r="AD1652" s="28"/>
      <c r="AE1652" s="28"/>
      <c r="AF1652" s="29"/>
      <c r="AG1652" s="28"/>
    </row>
    <row r="1653" spans="1:33" ht="15.75" customHeight="1">
      <c r="A1653" s="32" t="s">
        <v>196</v>
      </c>
      <c r="B1653" s="33">
        <v>1652</v>
      </c>
      <c r="C1653" s="33" t="s">
        <v>8693</v>
      </c>
      <c r="D1653" s="33" t="s">
        <v>7709</v>
      </c>
      <c r="E1653" s="33"/>
      <c r="F1653" s="32" t="s">
        <v>8689</v>
      </c>
      <c r="G1653" s="32" t="s">
        <v>8690</v>
      </c>
      <c r="H1653" s="32" t="s">
        <v>8691</v>
      </c>
      <c r="I1653" s="32">
        <v>6288239584588</v>
      </c>
      <c r="J1653" s="52"/>
      <c r="K1653" s="32" t="s">
        <v>8692</v>
      </c>
      <c r="L1653" s="32" t="s">
        <v>2432</v>
      </c>
      <c r="M1653" s="32" t="s">
        <v>60</v>
      </c>
      <c r="N1653" s="33">
        <v>5</v>
      </c>
      <c r="O1653" s="35">
        <v>46020</v>
      </c>
      <c r="P1653" s="35">
        <v>46024</v>
      </c>
      <c r="Q1653" s="33"/>
      <c r="R1653" s="38">
        <v>-1003470351325</v>
      </c>
      <c r="S1653" s="33"/>
      <c r="T1653" s="60">
        <v>197000</v>
      </c>
      <c r="U1653" s="40" t="s">
        <v>61</v>
      </c>
      <c r="V1653" s="61">
        <v>46020.336134479163</v>
      </c>
      <c r="W1653" s="40" t="str">
        <f ca="1">IFERROR(__xludf.DUMMYFUNCTION("""COMPUTED_VALUE"""),"Bob Sobirin")</f>
        <v>Bob Sobirin</v>
      </c>
      <c r="X1653" s="42" t="str">
        <f ca="1"/>
        <v>ON-Bob Sobirin-29122025+5-6288239584588</v>
      </c>
      <c r="Y1653" s="40" t="s">
        <v>62</v>
      </c>
      <c r="Z1653" s="40" t="s">
        <v>1465</v>
      </c>
      <c r="AA1653" s="23" t="str">
        <v>https://wa.me/6288239584588</v>
      </c>
      <c r="AB1653" s="28" t="s">
        <v>8694</v>
      </c>
      <c r="AC1653" s="28"/>
      <c r="AD1653" s="28" t="s">
        <v>690</v>
      </c>
      <c r="AE1653" s="28"/>
      <c r="AF1653" s="29"/>
      <c r="AG1653" s="28"/>
    </row>
    <row r="1654" spans="1:33" ht="15.75" customHeight="1">
      <c r="A1654" s="32" t="s">
        <v>196</v>
      </c>
      <c r="B1654" s="33">
        <v>1653</v>
      </c>
      <c r="C1654" s="33" t="s">
        <v>8695</v>
      </c>
      <c r="D1654" s="43">
        <v>45659</v>
      </c>
      <c r="E1654" s="33"/>
      <c r="F1654" s="32" t="s">
        <v>8696</v>
      </c>
      <c r="G1654" s="32" t="s">
        <v>8697</v>
      </c>
      <c r="H1654" s="32" t="s">
        <v>8698</v>
      </c>
      <c r="I1654" s="32">
        <v>6285291886699</v>
      </c>
      <c r="J1654" s="52"/>
      <c r="K1654" s="32" t="s">
        <v>8699</v>
      </c>
      <c r="L1654" s="32" t="s">
        <v>3257</v>
      </c>
      <c r="M1654" s="32" t="s">
        <v>382</v>
      </c>
      <c r="N1654" s="33">
        <v>5</v>
      </c>
      <c r="O1654" s="35">
        <v>46026</v>
      </c>
      <c r="P1654" s="35">
        <v>46030</v>
      </c>
      <c r="Q1654" s="33"/>
      <c r="R1654" s="38">
        <v>-1003470351325</v>
      </c>
      <c r="S1654" s="33"/>
      <c r="T1654" s="60">
        <v>197000</v>
      </c>
      <c r="U1654" s="40" t="s">
        <v>1774</v>
      </c>
      <c r="V1654" s="61">
        <v>46024.344890624998</v>
      </c>
      <c r="W1654" s="40" t="str">
        <f ca="1">IFERROR(__xludf.DUMMYFUNCTION("""COMPUTED_VALUE"""),"Tirta agung")</f>
        <v>Tirta agung</v>
      </c>
      <c r="X1654" s="42" t="str">
        <f ca="1"/>
        <v>ON-Tirta agung-02012026+5-6285291886699</v>
      </c>
      <c r="Y1654" s="40" t="s">
        <v>293</v>
      </c>
      <c r="Z1654" s="40" t="s">
        <v>1057</v>
      </c>
      <c r="AA1654" s="23" t="str">
        <v>https://wa.me/6285291886699</v>
      </c>
      <c r="AB1654" s="28" t="s">
        <v>8700</v>
      </c>
      <c r="AC1654" s="28"/>
      <c r="AD1654" s="28" t="s">
        <v>690</v>
      </c>
      <c r="AE1654" s="28"/>
      <c r="AF1654" s="29"/>
      <c r="AG1654" s="28"/>
    </row>
    <row r="1655" spans="1:33" ht="15.75" customHeight="1">
      <c r="A1655" s="32" t="s">
        <v>196</v>
      </c>
      <c r="B1655" s="33">
        <v>1654</v>
      </c>
      <c r="C1655" s="33" t="s">
        <v>8701</v>
      </c>
      <c r="D1655" s="44">
        <v>46056</v>
      </c>
      <c r="E1655" s="33"/>
      <c r="F1655" s="32" t="s">
        <v>8702</v>
      </c>
      <c r="G1655" s="32" t="s">
        <v>8703</v>
      </c>
      <c r="H1655" s="32" t="s">
        <v>5284</v>
      </c>
      <c r="I1655" s="32">
        <v>628117108802</v>
      </c>
      <c r="J1655" s="52"/>
      <c r="K1655" s="32" t="s">
        <v>8704</v>
      </c>
      <c r="L1655" s="32" t="s">
        <v>8705</v>
      </c>
      <c r="M1655" s="32" t="s">
        <v>382</v>
      </c>
      <c r="N1655" s="33">
        <v>5</v>
      </c>
      <c r="O1655" s="65"/>
      <c r="P1655" s="65"/>
      <c r="Q1655" s="33"/>
      <c r="R1655" s="38">
        <v>-1003470351325</v>
      </c>
      <c r="S1655" s="33"/>
      <c r="T1655" s="60">
        <v>197000</v>
      </c>
      <c r="U1655" s="40" t="s">
        <v>115</v>
      </c>
      <c r="V1655" s="61">
        <v>46056.411102060185</v>
      </c>
      <c r="W1655" s="40" t="str">
        <f ca="1">IFERROR(__xludf.DUMMYFUNCTION("""COMPUTED_VALUE"""),"Bekam Muslimah")</f>
        <v>Bekam Muslimah</v>
      </c>
      <c r="X1655" s="42" t="str">
        <f ca="1"/>
        <v>ON-Bekam Muslimah-03022026+5-628117108802</v>
      </c>
      <c r="Y1655" s="40" t="s">
        <v>62</v>
      </c>
      <c r="Z1655" s="40" t="s">
        <v>639</v>
      </c>
      <c r="AA1655" s="23" t="str">
        <v>https://wa.me/628117108802</v>
      </c>
      <c r="AB1655" s="28" t="s">
        <v>8706</v>
      </c>
      <c r="AC1655" s="28"/>
      <c r="AD1655" s="28" t="s">
        <v>690</v>
      </c>
      <c r="AE1655" s="28"/>
      <c r="AF1655" s="29"/>
      <c r="AG1655" s="28"/>
    </row>
    <row r="1656" spans="1:33" ht="15.75" customHeight="1">
      <c r="A1656" s="32" t="s">
        <v>196</v>
      </c>
      <c r="B1656" s="33">
        <v>1655</v>
      </c>
      <c r="C1656" s="33" t="s">
        <v>8707</v>
      </c>
      <c r="D1656" s="33" t="s">
        <v>8708</v>
      </c>
      <c r="E1656" s="33"/>
      <c r="F1656" s="32" t="s">
        <v>6924</v>
      </c>
      <c r="G1656" s="32" t="s">
        <v>8709</v>
      </c>
      <c r="H1656" s="32" t="s">
        <v>8710</v>
      </c>
      <c r="I1656" s="32">
        <v>6285933260198</v>
      </c>
      <c r="J1656" s="52"/>
      <c r="K1656" s="32" t="s">
        <v>8711</v>
      </c>
      <c r="L1656" s="32" t="s">
        <v>284</v>
      </c>
      <c r="M1656" s="32" t="s">
        <v>8712</v>
      </c>
      <c r="N1656" s="33">
        <v>5</v>
      </c>
      <c r="O1656" s="65">
        <v>46027</v>
      </c>
      <c r="P1656" s="65">
        <v>46031</v>
      </c>
      <c r="Q1656" s="33"/>
      <c r="R1656" s="38">
        <v>-1003470351325</v>
      </c>
      <c r="S1656" s="33"/>
      <c r="T1656" s="60">
        <v>197000</v>
      </c>
      <c r="U1656" s="40" t="s">
        <v>115</v>
      </c>
      <c r="V1656" s="61">
        <v>46024.463821979167</v>
      </c>
      <c r="W1656" s="40" t="str">
        <f ca="1">IFERROR(__xludf.DUMMYFUNCTION("""COMPUTED_VALUE"""),"Agen Pupuk")</f>
        <v>Agen Pupuk</v>
      </c>
      <c r="X1656" s="42" t="str">
        <f ca="1"/>
        <v>ON-Agen Pupuk-02012026+5-6285933260198</v>
      </c>
      <c r="Y1656" s="40" t="s">
        <v>62</v>
      </c>
      <c r="Z1656" s="40" t="s">
        <v>1465</v>
      </c>
      <c r="AA1656" s="23" t="str">
        <v>https://wa.me/6285933260198</v>
      </c>
      <c r="AB1656" s="28" t="s">
        <v>8713</v>
      </c>
      <c r="AC1656" s="28"/>
      <c r="AD1656" s="28" t="s">
        <v>690</v>
      </c>
      <c r="AE1656" s="28"/>
      <c r="AF1656" s="29"/>
      <c r="AG1656" s="28"/>
    </row>
    <row r="1657" spans="1:33" ht="15.75" customHeight="1">
      <c r="A1657" s="32" t="s">
        <v>196</v>
      </c>
      <c r="B1657" s="33">
        <v>1656</v>
      </c>
      <c r="C1657" s="33" t="s">
        <v>8714</v>
      </c>
      <c r="D1657" s="33" t="s">
        <v>8708</v>
      </c>
      <c r="E1657" s="33"/>
      <c r="F1657" s="32" t="s">
        <v>8715</v>
      </c>
      <c r="G1657" s="32" t="s">
        <v>8716</v>
      </c>
      <c r="H1657" s="32" t="s">
        <v>8717</v>
      </c>
      <c r="I1657" s="32">
        <v>62817624685</v>
      </c>
      <c r="J1657" s="52"/>
      <c r="K1657" s="32" t="s">
        <v>173</v>
      </c>
      <c r="L1657" s="32" t="s">
        <v>8718</v>
      </c>
      <c r="M1657" s="32" t="s">
        <v>1558</v>
      </c>
      <c r="N1657" s="33">
        <v>5</v>
      </c>
      <c r="O1657" s="65">
        <v>46027</v>
      </c>
      <c r="P1657" s="65">
        <v>46031</v>
      </c>
      <c r="Q1657" s="33"/>
      <c r="R1657" s="38">
        <v>-1003470351325</v>
      </c>
      <c r="S1657" s="33"/>
      <c r="T1657" s="60">
        <v>197000</v>
      </c>
      <c r="U1657" s="40" t="s">
        <v>115</v>
      </c>
      <c r="V1657" s="61">
        <v>46024.582172766204</v>
      </c>
      <c r="W1657" s="40" t="str">
        <f ca="1">IFERROR(__xludf.DUMMYFUNCTION("""COMPUTED_VALUE"""),"Gemilang Movers")</f>
        <v>Gemilang Movers</v>
      </c>
      <c r="X1657" s="42" t="str">
        <f ca="1"/>
        <v>ON-Gemilang Movers-02012026+5-62817624685</v>
      </c>
      <c r="Y1657" s="40" t="s">
        <v>62</v>
      </c>
      <c r="Z1657" s="40" t="s">
        <v>1465</v>
      </c>
      <c r="AA1657" s="23" t="str">
        <v>https://wa.me/62817624685</v>
      </c>
      <c r="AB1657" s="28" t="s">
        <v>8719</v>
      </c>
      <c r="AC1657" s="28"/>
      <c r="AD1657" s="28" t="s">
        <v>690</v>
      </c>
      <c r="AE1657" s="28"/>
      <c r="AF1657" s="29"/>
      <c r="AG1657" s="28"/>
    </row>
    <row r="1658" spans="1:33" ht="15.75" customHeight="1">
      <c r="A1658" s="32" t="s">
        <v>196</v>
      </c>
      <c r="B1658" s="33">
        <v>1657</v>
      </c>
      <c r="C1658" s="33" t="s">
        <v>8720</v>
      </c>
      <c r="D1658" s="43">
        <v>46024</v>
      </c>
      <c r="E1658" s="33"/>
      <c r="F1658" s="32" t="s">
        <v>8721</v>
      </c>
      <c r="G1658" s="32" t="s">
        <v>8722</v>
      </c>
      <c r="H1658" s="32" t="s">
        <v>8723</v>
      </c>
      <c r="I1658" s="32">
        <v>6287848662692</v>
      </c>
      <c r="J1658" s="52"/>
      <c r="K1658" s="32" t="s">
        <v>8724</v>
      </c>
      <c r="L1658" s="32" t="s">
        <v>8517</v>
      </c>
      <c r="M1658" s="32" t="s">
        <v>711</v>
      </c>
      <c r="N1658" s="33">
        <v>10</v>
      </c>
      <c r="O1658" s="65">
        <v>46027</v>
      </c>
      <c r="P1658" s="65">
        <v>46036</v>
      </c>
      <c r="Q1658" s="33"/>
      <c r="R1658" s="38">
        <v>-1003470351325</v>
      </c>
      <c r="S1658" s="33"/>
      <c r="T1658" s="60">
        <v>375000</v>
      </c>
      <c r="U1658" s="40" t="s">
        <v>1229</v>
      </c>
      <c r="V1658" s="61">
        <v>46024.824360613427</v>
      </c>
      <c r="W1658" s="40" t="str">
        <f ca="1">IFERROR(__xludf.DUMMYFUNCTION("""COMPUTED_VALUE"""),"RJ teknik")</f>
        <v>RJ teknik</v>
      </c>
      <c r="X1658" s="42" t="str">
        <f ca="1"/>
        <v>ON-RJ teknik-02012026+10-6287848662692</v>
      </c>
      <c r="Y1658" s="40" t="s">
        <v>62</v>
      </c>
      <c r="Z1658" s="40" t="s">
        <v>1465</v>
      </c>
      <c r="AA1658" s="23" t="str">
        <v>https://wa.me/6287848662692</v>
      </c>
      <c r="AB1658" s="28" t="s">
        <v>8725</v>
      </c>
      <c r="AC1658" s="28"/>
      <c r="AD1658" s="28" t="s">
        <v>690</v>
      </c>
      <c r="AE1658" s="28"/>
      <c r="AF1658" s="29"/>
      <c r="AG1658" s="28"/>
    </row>
    <row r="1659" spans="1:33" ht="15.75" customHeight="1">
      <c r="A1659" s="32" t="s">
        <v>196</v>
      </c>
      <c r="B1659" s="33">
        <v>1658</v>
      </c>
      <c r="C1659" s="33" t="s">
        <v>8726</v>
      </c>
      <c r="D1659" s="43">
        <v>46024</v>
      </c>
      <c r="E1659" s="33"/>
      <c r="F1659" s="32" t="s">
        <v>8727</v>
      </c>
      <c r="G1659" s="32" t="s">
        <v>8728</v>
      </c>
      <c r="H1659" s="32" t="s">
        <v>8729</v>
      </c>
      <c r="I1659" s="32">
        <v>6285941336226</v>
      </c>
      <c r="J1659" s="52"/>
      <c r="K1659" s="32" t="s">
        <v>8730</v>
      </c>
      <c r="L1659" s="32" t="s">
        <v>4751</v>
      </c>
      <c r="M1659" s="32" t="s">
        <v>48</v>
      </c>
      <c r="N1659" s="33">
        <v>5</v>
      </c>
      <c r="O1659" s="65">
        <v>46027</v>
      </c>
      <c r="P1659" s="65">
        <v>46031</v>
      </c>
      <c r="Q1659" s="33"/>
      <c r="R1659" s="38">
        <v>-1003470351325</v>
      </c>
      <c r="S1659" s="33"/>
      <c r="T1659" s="60">
        <v>197000</v>
      </c>
      <c r="U1659" s="40" t="s">
        <v>61</v>
      </c>
      <c r="V1659" s="61">
        <v>46024.866325844909</v>
      </c>
      <c r="W1659" s="40" t="str">
        <f ca="1">IFERROR(__xludf.DUMMYFUNCTION("""COMPUTED_VALUE"""),"Al Maz")</f>
        <v>Al Maz</v>
      </c>
      <c r="X1659" s="42" t="str">
        <f ca="1"/>
        <v>ON-Al Maz-02012026+5-6285941336226</v>
      </c>
      <c r="Y1659" s="40" t="s">
        <v>62</v>
      </c>
      <c r="Z1659" s="40" t="s">
        <v>639</v>
      </c>
      <c r="AA1659" s="23" t="str">
        <v>https://wa.me/6285941336226</v>
      </c>
      <c r="AB1659" s="28" t="s">
        <v>8731</v>
      </c>
      <c r="AC1659" s="28"/>
      <c r="AD1659" s="28" t="s">
        <v>690</v>
      </c>
      <c r="AE1659" s="28"/>
      <c r="AF1659" s="29"/>
      <c r="AG1659" s="28"/>
    </row>
    <row r="1660" spans="1:33" ht="15.75" customHeight="1">
      <c r="A1660" s="32" t="s">
        <v>196</v>
      </c>
      <c r="B1660" s="33">
        <v>1659</v>
      </c>
      <c r="C1660" s="33" t="s">
        <v>8732</v>
      </c>
      <c r="D1660" s="43">
        <v>46024</v>
      </c>
      <c r="E1660" s="33"/>
      <c r="F1660" s="32" t="s">
        <v>8733</v>
      </c>
      <c r="G1660" s="32" t="s">
        <v>8734</v>
      </c>
      <c r="H1660" s="32" t="s">
        <v>8735</v>
      </c>
      <c r="I1660" s="32">
        <v>6285927375989</v>
      </c>
      <c r="J1660" s="52"/>
      <c r="K1660" s="32" t="s">
        <v>8736</v>
      </c>
      <c r="L1660" s="32" t="s">
        <v>940</v>
      </c>
      <c r="M1660" s="32" t="s">
        <v>60</v>
      </c>
      <c r="N1660" s="33">
        <v>14</v>
      </c>
      <c r="O1660" s="35">
        <v>46026</v>
      </c>
      <c r="P1660" s="35">
        <v>46039</v>
      </c>
      <c r="Q1660" s="33"/>
      <c r="R1660" s="38">
        <v>-1003470351325</v>
      </c>
      <c r="S1660" s="33"/>
      <c r="T1660" s="60">
        <v>550000</v>
      </c>
      <c r="U1660" s="40" t="s">
        <v>61</v>
      </c>
      <c r="V1660" s="61">
        <v>46025.485117118056</v>
      </c>
      <c r="W1660" s="40" t="str">
        <f ca="1">IFERROR(__xludf.DUMMYFUNCTION("""COMPUTED_VALUE"""),"Green Woloan")</f>
        <v>Green Woloan</v>
      </c>
      <c r="X1660" s="42" t="str">
        <f ca="1"/>
        <v>ON-Green Woloan-03012026+14-6285927375989</v>
      </c>
      <c r="Y1660" s="40" t="s">
        <v>293</v>
      </c>
      <c r="Z1660" s="40" t="s">
        <v>1057</v>
      </c>
      <c r="AA1660" s="23" t="str">
        <v>https://wa.me/6285927375989</v>
      </c>
      <c r="AB1660" s="28" t="s">
        <v>8737</v>
      </c>
      <c r="AC1660" s="28"/>
      <c r="AD1660" s="28" t="s">
        <v>690</v>
      </c>
      <c r="AE1660" s="28"/>
      <c r="AF1660" s="29"/>
      <c r="AG1660" s="28"/>
    </row>
    <row r="1661" spans="1:33" ht="15.75" customHeight="1">
      <c r="A1661" s="32" t="s">
        <v>196</v>
      </c>
      <c r="B1661" s="33">
        <v>1660</v>
      </c>
      <c r="C1661" s="33" t="s">
        <v>8738</v>
      </c>
      <c r="D1661" s="43">
        <v>46025</v>
      </c>
      <c r="E1661" s="33"/>
      <c r="F1661" s="32" t="s">
        <v>8739</v>
      </c>
      <c r="G1661" s="32" t="s">
        <v>8740</v>
      </c>
      <c r="H1661" s="32" t="s">
        <v>8741</v>
      </c>
      <c r="I1661" s="32">
        <v>6281216650175</v>
      </c>
      <c r="J1661" s="52"/>
      <c r="K1661" s="32" t="s">
        <v>8742</v>
      </c>
      <c r="L1661" s="32" t="s">
        <v>6584</v>
      </c>
      <c r="M1661" s="32" t="s">
        <v>711</v>
      </c>
      <c r="N1661" s="33">
        <v>7</v>
      </c>
      <c r="O1661" s="65">
        <v>46028</v>
      </c>
      <c r="P1661" s="65">
        <v>46034</v>
      </c>
      <c r="Q1661" s="33"/>
      <c r="R1661" s="38">
        <v>-1003470351325</v>
      </c>
      <c r="S1661" s="33"/>
      <c r="T1661" s="60">
        <v>297000</v>
      </c>
      <c r="U1661" s="40" t="s">
        <v>1229</v>
      </c>
      <c r="V1661" s="61">
        <v>46025.574826481483</v>
      </c>
      <c r="W1661" s="40" t="str">
        <f ca="1">IFERROR(__xludf.DUMMYFUNCTION("""COMPUTED_VALUE"""),"toko komputer")</f>
        <v>toko komputer</v>
      </c>
      <c r="X1661" s="42" t="str">
        <f ca="1"/>
        <v>ON-toko komputer-03012026+7-6281216650175</v>
      </c>
      <c r="Y1661" s="40" t="s">
        <v>62</v>
      </c>
      <c r="Z1661" s="40" t="s">
        <v>1465</v>
      </c>
      <c r="AA1661" s="23" t="str">
        <v>https://wa.me/6281216650175</v>
      </c>
      <c r="AB1661" s="28" t="s">
        <v>8743</v>
      </c>
      <c r="AC1661" s="28"/>
      <c r="AD1661" s="28" t="s">
        <v>690</v>
      </c>
      <c r="AE1661" s="28"/>
      <c r="AF1661" s="29"/>
      <c r="AG1661" s="28"/>
    </row>
    <row r="1662" spans="1:33" ht="15.75" customHeight="1">
      <c r="A1662" s="32" t="s">
        <v>196</v>
      </c>
      <c r="B1662" s="33">
        <v>1661</v>
      </c>
      <c r="C1662" s="33" t="s">
        <v>8744</v>
      </c>
      <c r="D1662" s="43">
        <v>46025</v>
      </c>
      <c r="E1662" s="33"/>
      <c r="F1662" s="32" t="s">
        <v>8745</v>
      </c>
      <c r="G1662" s="32" t="s">
        <v>8746</v>
      </c>
      <c r="H1662" s="32" t="s">
        <v>8747</v>
      </c>
      <c r="I1662" s="32">
        <v>6281332873809</v>
      </c>
      <c r="J1662" s="52"/>
      <c r="K1662" s="32" t="s">
        <v>8748</v>
      </c>
      <c r="L1662" s="32" t="s">
        <v>3558</v>
      </c>
      <c r="M1662" s="32" t="s">
        <v>711</v>
      </c>
      <c r="N1662" s="33">
        <v>5</v>
      </c>
      <c r="O1662" s="65">
        <v>46028</v>
      </c>
      <c r="P1662" s="65">
        <v>46032</v>
      </c>
      <c r="Q1662" s="33"/>
      <c r="R1662" s="38">
        <v>-1003470351325</v>
      </c>
      <c r="S1662" s="33"/>
      <c r="T1662" s="60">
        <v>197000</v>
      </c>
      <c r="U1662" s="40" t="s">
        <v>1229</v>
      </c>
      <c r="V1662" s="61">
        <v>46025.622609780097</v>
      </c>
      <c r="W1662" s="40" t="str">
        <f ca="1">IFERROR(__xludf.DUMMYFUNCTION("""COMPUTED_VALUE"""),"jasa kontraktor")</f>
        <v>jasa kontraktor</v>
      </c>
      <c r="X1662" s="42" t="str">
        <f ca="1"/>
        <v>ON-jasa kontraktor-03012026+5-6281332873809</v>
      </c>
      <c r="Y1662" s="40" t="s">
        <v>293</v>
      </c>
      <c r="Z1662" s="40" t="s">
        <v>1057</v>
      </c>
      <c r="AA1662" s="23" t="str">
        <v>https://wa.me/6281332873809</v>
      </c>
      <c r="AB1662" s="28" t="s">
        <v>8749</v>
      </c>
      <c r="AC1662" s="28"/>
      <c r="AD1662" s="28" t="s">
        <v>690</v>
      </c>
      <c r="AE1662" s="28"/>
      <c r="AF1662" s="29"/>
      <c r="AG1662" s="28"/>
    </row>
    <row r="1663" spans="1:33" ht="15.75" customHeight="1">
      <c r="A1663" s="32" t="s">
        <v>196</v>
      </c>
      <c r="B1663" s="33">
        <v>1662</v>
      </c>
      <c r="C1663" s="33" t="s">
        <v>8750</v>
      </c>
      <c r="D1663" s="43">
        <v>46025</v>
      </c>
      <c r="E1663" s="33"/>
      <c r="F1663" s="32" t="s">
        <v>8751</v>
      </c>
      <c r="G1663" s="32" t="s">
        <v>8752</v>
      </c>
      <c r="H1663" s="32" t="s">
        <v>8753</v>
      </c>
      <c r="I1663" s="32">
        <v>6285397034019</v>
      </c>
      <c r="J1663" s="52"/>
      <c r="K1663" s="32" t="s">
        <v>8754</v>
      </c>
      <c r="L1663" s="32" t="s">
        <v>92</v>
      </c>
      <c r="M1663" s="32" t="s">
        <v>60</v>
      </c>
      <c r="N1663" s="33">
        <v>5</v>
      </c>
      <c r="O1663" s="65">
        <v>46028</v>
      </c>
      <c r="P1663" s="65">
        <v>46032</v>
      </c>
      <c r="Q1663" s="33"/>
      <c r="R1663" s="38">
        <v>-1003470351325</v>
      </c>
      <c r="S1663" s="33"/>
      <c r="T1663" s="60">
        <v>147000</v>
      </c>
      <c r="U1663" s="40" t="s">
        <v>61</v>
      </c>
      <c r="V1663" s="61">
        <v>46025.825876226852</v>
      </c>
      <c r="W1663" s="40" t="str">
        <f ca="1">IFERROR(__xludf.DUMMYFUNCTION("""COMPUTED_VALUE"""),"Konfeksi Bordier")</f>
        <v>Konfeksi Bordier</v>
      </c>
      <c r="X1663" s="42" t="str">
        <f ca="1"/>
        <v>ON-Konfeksi Bordier-03012026+5-6285397034019</v>
      </c>
      <c r="Y1663" s="40" t="s">
        <v>62</v>
      </c>
      <c r="Z1663" s="40" t="s">
        <v>1465</v>
      </c>
      <c r="AA1663" s="23" t="str">
        <v>https://wa.me/6285397034019</v>
      </c>
      <c r="AB1663" s="28" t="s">
        <v>8755</v>
      </c>
      <c r="AC1663" s="28"/>
      <c r="AD1663" s="28" t="s">
        <v>690</v>
      </c>
      <c r="AE1663" s="28"/>
      <c r="AF1663" s="29"/>
      <c r="AG1663" s="28"/>
    </row>
    <row r="1664" spans="1:33" ht="15.75" customHeight="1">
      <c r="A1664" s="32" t="s">
        <v>621</v>
      </c>
      <c r="B1664" s="33">
        <v>1664</v>
      </c>
      <c r="C1664" s="33" t="s">
        <v>8756</v>
      </c>
      <c r="D1664" s="43">
        <v>46025</v>
      </c>
      <c r="E1664" s="33"/>
      <c r="F1664" s="32" t="s">
        <v>8757</v>
      </c>
      <c r="G1664" s="32" t="s">
        <v>8758</v>
      </c>
      <c r="H1664" s="32" t="s">
        <v>409</v>
      </c>
      <c r="I1664" s="32">
        <v>6281222110766</v>
      </c>
      <c r="J1664" s="52"/>
      <c r="K1664" s="32" t="s">
        <v>8759</v>
      </c>
      <c r="L1664" s="32" t="s">
        <v>2133</v>
      </c>
      <c r="M1664" s="32" t="s">
        <v>60</v>
      </c>
      <c r="N1664" s="33">
        <v>10</v>
      </c>
      <c r="O1664" s="35"/>
      <c r="P1664" s="35"/>
      <c r="Q1664" s="33"/>
      <c r="R1664" s="38">
        <v>-1003470351325</v>
      </c>
      <c r="S1664" s="33"/>
      <c r="T1664" s="60">
        <v>375000</v>
      </c>
      <c r="U1664" s="40" t="s">
        <v>61</v>
      </c>
      <c r="V1664" s="61">
        <v>46025.839035787038</v>
      </c>
      <c r="W1664" s="40" t="str">
        <f ca="1">IFERROR(__xludf.DUMMYFUNCTION("""COMPUTED_VALUE"""),"PT Mengalir")</f>
        <v>PT Mengalir</v>
      </c>
      <c r="X1664" s="42" t="str">
        <f ca="1"/>
        <v>ON-PT Mengalir-03012026+10-6281222110766</v>
      </c>
      <c r="Y1664" s="40"/>
      <c r="Z1664" s="40"/>
      <c r="AA1664" s="23" t="str">
        <v>https://wa.me/6281222110766</v>
      </c>
      <c r="AB1664" s="28"/>
      <c r="AC1664" s="28"/>
      <c r="AD1664" s="28"/>
      <c r="AE1664" s="28"/>
      <c r="AF1664" s="29"/>
      <c r="AG1664" s="28"/>
    </row>
    <row r="1665" spans="1:33" ht="15.75" customHeight="1">
      <c r="A1665" s="32" t="s">
        <v>196</v>
      </c>
      <c r="B1665" s="33">
        <v>1665</v>
      </c>
      <c r="C1665" s="33" t="s">
        <v>8760</v>
      </c>
      <c r="D1665" s="43">
        <v>46025</v>
      </c>
      <c r="E1665" s="33"/>
      <c r="F1665" s="32" t="s">
        <v>8761</v>
      </c>
      <c r="G1665" s="32" t="s">
        <v>8762</v>
      </c>
      <c r="H1665" s="32" t="s">
        <v>8763</v>
      </c>
      <c r="I1665" s="32">
        <v>6285722290661</v>
      </c>
      <c r="J1665" s="52"/>
      <c r="K1665" s="32" t="s">
        <v>3222</v>
      </c>
      <c r="L1665" s="32" t="s">
        <v>2313</v>
      </c>
      <c r="M1665" s="32" t="s">
        <v>60</v>
      </c>
      <c r="N1665" s="33">
        <v>5</v>
      </c>
      <c r="O1665" s="65">
        <v>46028</v>
      </c>
      <c r="P1665" s="65">
        <v>46032</v>
      </c>
      <c r="Q1665" s="33"/>
      <c r="R1665" s="38">
        <v>-1003470351325</v>
      </c>
      <c r="S1665" s="33"/>
      <c r="T1665" s="60">
        <v>197000</v>
      </c>
      <c r="U1665" s="40" t="s">
        <v>61</v>
      </c>
      <c r="V1665" s="61">
        <v>46025.84363938657</v>
      </c>
      <c r="W1665" s="40" t="str">
        <f ca="1">IFERROR(__xludf.DUMMYFUNCTION("""COMPUTED_VALUE"""),"PT Sarana")</f>
        <v>PT Sarana</v>
      </c>
      <c r="X1665" s="42" t="str">
        <f ca="1"/>
        <v>ON-PT Sarana-03012026+5-6285722290661</v>
      </c>
      <c r="Y1665" s="40" t="s">
        <v>293</v>
      </c>
      <c r="Z1665" s="40" t="s">
        <v>1465</v>
      </c>
      <c r="AA1665" s="23" t="str">
        <v>https://wa.me/6285722290661</v>
      </c>
      <c r="AB1665" s="28" t="s">
        <v>8764</v>
      </c>
      <c r="AC1665" s="28"/>
      <c r="AD1665" s="28" t="s">
        <v>690</v>
      </c>
      <c r="AE1665" s="28"/>
      <c r="AF1665" s="29"/>
      <c r="AG1665" s="28"/>
    </row>
    <row r="1666" spans="1:33" ht="15.75" customHeight="1">
      <c r="A1666" s="32" t="s">
        <v>196</v>
      </c>
      <c r="B1666" s="33">
        <v>1666</v>
      </c>
      <c r="C1666" s="33" t="s">
        <v>8765</v>
      </c>
      <c r="D1666" s="43">
        <v>46025</v>
      </c>
      <c r="E1666" s="33"/>
      <c r="F1666" s="32" t="s">
        <v>8766</v>
      </c>
      <c r="G1666" s="32" t="s">
        <v>8767</v>
      </c>
      <c r="H1666" s="32" t="s">
        <v>2090</v>
      </c>
      <c r="I1666" s="32">
        <v>62895351318400</v>
      </c>
      <c r="J1666" s="52"/>
      <c r="K1666" s="32" t="s">
        <v>8768</v>
      </c>
      <c r="L1666" s="32" t="s">
        <v>59</v>
      </c>
      <c r="M1666" s="32" t="s">
        <v>60</v>
      </c>
      <c r="N1666" s="33">
        <v>5</v>
      </c>
      <c r="O1666" s="65">
        <v>46029</v>
      </c>
      <c r="P1666" s="65">
        <v>46033</v>
      </c>
      <c r="Q1666" s="33"/>
      <c r="R1666" s="38">
        <v>-1003470351325</v>
      </c>
      <c r="S1666" s="33"/>
      <c r="T1666" s="60">
        <v>197000</v>
      </c>
      <c r="U1666" s="40" t="s">
        <v>61</v>
      </c>
      <c r="V1666" s="61">
        <v>46025.844542638893</v>
      </c>
      <c r="W1666" s="40" t="str">
        <f ca="1">IFERROR(__xludf.DUMMYFUNCTION("""COMPUTED_VALUE"""),"PT Marawa")</f>
        <v>PT Marawa</v>
      </c>
      <c r="X1666" s="42" t="str">
        <f ca="1"/>
        <v>ON-PT Marawa-03012026+5-62895351318400</v>
      </c>
      <c r="Y1666" s="40" t="s">
        <v>62</v>
      </c>
      <c r="Z1666" s="40" t="s">
        <v>1880</v>
      </c>
      <c r="AA1666" s="23" t="str">
        <v>https://wa.me/62895351318400</v>
      </c>
      <c r="AB1666" s="28" t="s">
        <v>8769</v>
      </c>
      <c r="AC1666" s="28"/>
      <c r="AD1666" s="28" t="s">
        <v>690</v>
      </c>
      <c r="AE1666" s="28"/>
      <c r="AF1666" s="29"/>
      <c r="AG1666" s="28"/>
    </row>
    <row r="1667" spans="1:33" ht="15.75" customHeight="1">
      <c r="A1667" s="32" t="s">
        <v>196</v>
      </c>
      <c r="B1667" s="33">
        <v>1666</v>
      </c>
      <c r="C1667" s="33" t="s">
        <v>8770</v>
      </c>
      <c r="D1667" s="44">
        <v>46058</v>
      </c>
      <c r="E1667" s="33"/>
      <c r="F1667" s="32" t="s">
        <v>8771</v>
      </c>
      <c r="G1667" s="32" t="s">
        <v>8772</v>
      </c>
      <c r="H1667" s="32" t="s">
        <v>8773</v>
      </c>
      <c r="I1667" s="32">
        <v>6282261184459</v>
      </c>
      <c r="J1667" s="52"/>
      <c r="K1667" s="32" t="s">
        <v>8774</v>
      </c>
      <c r="L1667" s="32" t="s">
        <v>8775</v>
      </c>
      <c r="M1667" s="32" t="s">
        <v>1926</v>
      </c>
      <c r="N1667" s="33">
        <v>14</v>
      </c>
      <c r="O1667" s="65"/>
      <c r="P1667" s="65"/>
      <c r="Q1667" s="33"/>
      <c r="R1667" s="38">
        <v>-1003470351325</v>
      </c>
      <c r="S1667" s="33"/>
      <c r="T1667" s="60">
        <v>550000</v>
      </c>
      <c r="U1667" s="40" t="s">
        <v>115</v>
      </c>
      <c r="V1667" s="61">
        <v>46058.536520925925</v>
      </c>
      <c r="W1667" s="40" t="str">
        <f ca="1">IFERROR(__xludf.DUMMYFUNCTION("""COMPUTED_VALUE"""),"PT Garuda")</f>
        <v>PT Garuda</v>
      </c>
      <c r="X1667" s="42" t="str">
        <f ca="1"/>
        <v>ON-PT Garuda-05022026+14-6282261184459</v>
      </c>
      <c r="Y1667" s="40" t="s">
        <v>62</v>
      </c>
      <c r="Z1667" s="40" t="s">
        <v>1465</v>
      </c>
      <c r="AA1667" s="23" t="str">
        <v>https://wa.me/6282261184459</v>
      </c>
      <c r="AB1667" s="28" t="s">
        <v>8776</v>
      </c>
      <c r="AC1667" s="28"/>
      <c r="AD1667" s="28" t="s">
        <v>690</v>
      </c>
      <c r="AE1667" s="28"/>
      <c r="AF1667" s="29"/>
      <c r="AG1667" s="28"/>
    </row>
    <row r="1668" spans="1:33" ht="15.75" customHeight="1">
      <c r="A1668" s="32" t="s">
        <v>196</v>
      </c>
      <c r="B1668" s="33">
        <v>1667</v>
      </c>
      <c r="C1668" s="33" t="s">
        <v>8777</v>
      </c>
      <c r="D1668" s="43">
        <v>46028</v>
      </c>
      <c r="E1668" s="33"/>
      <c r="F1668" s="32" t="s">
        <v>2462</v>
      </c>
      <c r="G1668" s="32" t="s">
        <v>8778</v>
      </c>
      <c r="H1668" s="32" t="s">
        <v>8779</v>
      </c>
      <c r="I1668" s="32">
        <v>6285361983960</v>
      </c>
      <c r="J1668" s="52"/>
      <c r="K1668" s="32" t="s">
        <v>247</v>
      </c>
      <c r="L1668" s="32" t="s">
        <v>92</v>
      </c>
      <c r="M1668" s="32" t="s">
        <v>60</v>
      </c>
      <c r="N1668" s="33">
        <v>5</v>
      </c>
      <c r="O1668" s="65">
        <v>46029</v>
      </c>
      <c r="P1668" s="65">
        <v>46033</v>
      </c>
      <c r="Q1668" s="33"/>
      <c r="R1668" s="38">
        <v>-1003470351325</v>
      </c>
      <c r="S1668" s="33"/>
      <c r="T1668" s="60">
        <v>197000</v>
      </c>
      <c r="U1668" s="40" t="s">
        <v>61</v>
      </c>
      <c r="V1668" s="61">
        <v>46028.42783537037</v>
      </c>
      <c r="W1668" s="40" t="str">
        <f ca="1">IFERROR(__xludf.DUMMYFUNCTION("""COMPUTED_VALUE"""),"Syukur Aqikah")</f>
        <v>Syukur Aqikah</v>
      </c>
      <c r="X1668" s="42" t="str">
        <f ca="1"/>
        <v>ON-Syukur Aqikah-06012026+5-6285361983960</v>
      </c>
      <c r="Y1668" s="40" t="s">
        <v>62</v>
      </c>
      <c r="Z1668" s="40" t="s">
        <v>1465</v>
      </c>
      <c r="AA1668" s="23" t="str">
        <v>https://wa.me/6285361983960</v>
      </c>
      <c r="AB1668" s="28" t="s">
        <v>8780</v>
      </c>
      <c r="AC1668" s="28"/>
      <c r="AD1668" s="28" t="s">
        <v>690</v>
      </c>
      <c r="AE1668" s="28"/>
      <c r="AF1668" s="29"/>
      <c r="AG1668" s="28"/>
    </row>
    <row r="1669" spans="1:33" ht="15.75" customHeight="1">
      <c r="A1669" s="32" t="s">
        <v>196</v>
      </c>
      <c r="B1669" s="33">
        <v>1668</v>
      </c>
      <c r="C1669" s="33" t="s">
        <v>8781</v>
      </c>
      <c r="D1669" s="43">
        <v>46027</v>
      </c>
      <c r="E1669" s="33"/>
      <c r="F1669" s="32" t="s">
        <v>8782</v>
      </c>
      <c r="G1669" s="32" t="s">
        <v>8783</v>
      </c>
      <c r="H1669" s="32" t="s">
        <v>2817</v>
      </c>
      <c r="I1669" s="32">
        <v>6289618523308</v>
      </c>
      <c r="J1669" s="52"/>
      <c r="K1669" s="32" t="s">
        <v>8784</v>
      </c>
      <c r="L1669" s="32" t="s">
        <v>8785</v>
      </c>
      <c r="M1669" s="32" t="s">
        <v>285</v>
      </c>
      <c r="N1669" s="33">
        <v>5</v>
      </c>
      <c r="O1669" s="65">
        <v>46030</v>
      </c>
      <c r="P1669" s="65">
        <v>46034</v>
      </c>
      <c r="Q1669" s="33"/>
      <c r="R1669" s="38">
        <v>-1003470351325</v>
      </c>
      <c r="S1669" s="33"/>
      <c r="T1669" s="60">
        <v>197000</v>
      </c>
      <c r="U1669" s="40" t="s">
        <v>1229</v>
      </c>
      <c r="V1669" s="61">
        <v>46028.78178012732</v>
      </c>
      <c r="W1669" s="40" t="str">
        <f ca="1">IFERROR(__xludf.DUMMYFUNCTION("""COMPUTED_VALUE"""),"terapi kesehatan")</f>
        <v>terapi kesehatan</v>
      </c>
      <c r="X1669" s="42" t="str">
        <f ca="1"/>
        <v>ON-terapi kesehatan-06012026+5-6289618523308</v>
      </c>
      <c r="Y1669" s="40" t="s">
        <v>62</v>
      </c>
      <c r="Z1669" s="40" t="s">
        <v>639</v>
      </c>
      <c r="AA1669" s="23" t="str">
        <v>https://wa.me/6289618523308</v>
      </c>
      <c r="AB1669" s="28" t="s">
        <v>8786</v>
      </c>
      <c r="AC1669" s="28"/>
      <c r="AD1669" s="28" t="s">
        <v>690</v>
      </c>
      <c r="AE1669" s="28"/>
      <c r="AF1669" s="29"/>
      <c r="AG1669" s="28"/>
    </row>
    <row r="1670" spans="1:33" ht="15.75" customHeight="1">
      <c r="A1670" s="32" t="s">
        <v>621</v>
      </c>
      <c r="B1670" s="33">
        <v>1669</v>
      </c>
      <c r="C1670" s="33" t="s">
        <v>8787</v>
      </c>
      <c r="D1670" s="43">
        <v>46027</v>
      </c>
      <c r="E1670" s="33"/>
      <c r="F1670" s="32" t="s">
        <v>4027</v>
      </c>
      <c r="G1670" s="32" t="s">
        <v>8788</v>
      </c>
      <c r="H1670" s="32" t="s">
        <v>409</v>
      </c>
      <c r="I1670" s="32">
        <v>6285642450197</v>
      </c>
      <c r="J1670" s="52"/>
      <c r="K1670" s="32" t="s">
        <v>8789</v>
      </c>
      <c r="L1670" s="32" t="s">
        <v>2468</v>
      </c>
      <c r="M1670" s="32" t="s">
        <v>60</v>
      </c>
      <c r="N1670" s="33">
        <v>7</v>
      </c>
      <c r="O1670" s="35"/>
      <c r="P1670" s="35"/>
      <c r="Q1670" s="33"/>
      <c r="R1670" s="38">
        <v>-1003470351325</v>
      </c>
      <c r="S1670" s="33"/>
      <c r="T1670" s="60">
        <v>697000</v>
      </c>
      <c r="U1670" s="40" t="s">
        <v>61</v>
      </c>
      <c r="V1670" s="61">
        <v>46028.925209629626</v>
      </c>
      <c r="W1670" s="40" t="str">
        <f ca="1">IFERROR(__xludf.DUMMYFUNCTION("""COMPUTED_VALUE"""),"Rumahku Rancang")</f>
        <v>Rumahku Rancang</v>
      </c>
      <c r="X1670" s="42" t="str">
        <f ca="1"/>
        <v>ON-Rumahku Rancang-06012026+7-6285642450197</v>
      </c>
      <c r="Y1670" s="40"/>
      <c r="Z1670" s="40"/>
      <c r="AA1670" s="23" t="str">
        <v>https://wa.me/6285642450197</v>
      </c>
      <c r="AB1670" s="28"/>
      <c r="AC1670" s="28"/>
      <c r="AD1670" s="28"/>
      <c r="AE1670" s="28"/>
      <c r="AF1670" s="29"/>
      <c r="AG1670" s="28"/>
    </row>
    <row r="1671" spans="1:33" ht="15.75" customHeight="1">
      <c r="A1671" s="32" t="s">
        <v>196</v>
      </c>
      <c r="B1671" s="33">
        <v>1670</v>
      </c>
      <c r="C1671" s="33" t="s">
        <v>8790</v>
      </c>
      <c r="D1671" s="43">
        <v>46027</v>
      </c>
      <c r="E1671" s="33"/>
      <c r="F1671" s="32" t="s">
        <v>8791</v>
      </c>
      <c r="G1671" s="32" t="s">
        <v>8792</v>
      </c>
      <c r="H1671" s="32" t="s">
        <v>8793</v>
      </c>
      <c r="I1671" s="32">
        <v>6281337541776</v>
      </c>
      <c r="J1671" s="52"/>
      <c r="K1671" s="32" t="s">
        <v>46</v>
      </c>
      <c r="L1671" s="32" t="s">
        <v>604</v>
      </c>
      <c r="M1671" s="32" t="s">
        <v>205</v>
      </c>
      <c r="N1671" s="33">
        <v>7</v>
      </c>
      <c r="O1671" s="65">
        <v>46030</v>
      </c>
      <c r="P1671" s="65">
        <v>46036</v>
      </c>
      <c r="Q1671" s="33"/>
      <c r="R1671" s="38">
        <v>-1003470351325</v>
      </c>
      <c r="S1671" s="33"/>
      <c r="T1671" s="60">
        <v>297000</v>
      </c>
      <c r="U1671" s="40" t="s">
        <v>61</v>
      </c>
      <c r="V1671" s="61">
        <v>46028.930201817129</v>
      </c>
      <c r="W1671" s="40" t="str">
        <f ca="1">IFERROR(__xludf.DUMMYFUNCTION("""COMPUTED_VALUE"""),"Auto Custom")</f>
        <v>Auto Custom</v>
      </c>
      <c r="X1671" s="42" t="str">
        <f ca="1"/>
        <v>ON-Auto Custom-06012026+7-6281337541776</v>
      </c>
      <c r="Y1671" s="40" t="s">
        <v>62</v>
      </c>
      <c r="Z1671" s="40" t="s">
        <v>294</v>
      </c>
      <c r="AA1671" s="23" t="str">
        <v>https://wa.me/6281337541776</v>
      </c>
      <c r="AB1671" s="28" t="s">
        <v>8794</v>
      </c>
      <c r="AC1671" s="28"/>
      <c r="AD1671" s="28" t="s">
        <v>690</v>
      </c>
      <c r="AE1671" s="28"/>
      <c r="AF1671" s="29"/>
      <c r="AG1671" s="28"/>
    </row>
    <row r="1672" spans="1:33" ht="15.75" customHeight="1">
      <c r="A1672" s="32" t="s">
        <v>196</v>
      </c>
      <c r="B1672" s="33">
        <v>1671</v>
      </c>
      <c r="C1672" s="33" t="s">
        <v>8795</v>
      </c>
      <c r="D1672" s="43">
        <v>46029</v>
      </c>
      <c r="E1672" s="33"/>
      <c r="F1672" s="32" t="s">
        <v>8796</v>
      </c>
      <c r="G1672" s="32" t="s">
        <v>8797</v>
      </c>
      <c r="H1672" s="32" t="s">
        <v>495</v>
      </c>
      <c r="I1672" s="32">
        <v>6282343985114</v>
      </c>
      <c r="J1672" s="52"/>
      <c r="K1672" s="32" t="s">
        <v>8798</v>
      </c>
      <c r="L1672" s="32" t="s">
        <v>284</v>
      </c>
      <c r="M1672" s="32" t="s">
        <v>92</v>
      </c>
      <c r="N1672" s="33">
        <v>5</v>
      </c>
      <c r="O1672" s="65">
        <v>46031</v>
      </c>
      <c r="P1672" s="65">
        <v>46035</v>
      </c>
      <c r="Q1672" s="33"/>
      <c r="R1672" s="38">
        <v>-1003470351325</v>
      </c>
      <c r="S1672" s="33"/>
      <c r="T1672" s="60">
        <v>197000</v>
      </c>
      <c r="U1672" s="40" t="s">
        <v>1229</v>
      </c>
      <c r="V1672" s="61">
        <v>46029.443462118055</v>
      </c>
      <c r="W1672" s="40" t="str">
        <f ca="1">IFERROR(__xludf.DUMMYFUNCTION("""COMPUTED_VALUE"""),"DW Mkarya")</f>
        <v>DW Mkarya</v>
      </c>
      <c r="X1672" s="42" t="str">
        <f ca="1"/>
        <v>ON-DW Mkarya-07012026+5-6282343985114</v>
      </c>
      <c r="Y1672" s="40" t="s">
        <v>293</v>
      </c>
      <c r="Z1672" s="40" t="s">
        <v>1057</v>
      </c>
      <c r="AA1672" s="23" t="str">
        <v>https://wa.me/6282343985114</v>
      </c>
      <c r="AB1672" s="28" t="s">
        <v>8799</v>
      </c>
      <c r="AC1672" s="28"/>
      <c r="AD1672" s="28" t="s">
        <v>690</v>
      </c>
      <c r="AE1672" s="28"/>
      <c r="AF1672" s="29"/>
      <c r="AG1672" s="28"/>
    </row>
    <row r="1673" spans="1:33" ht="15.75" customHeight="1">
      <c r="A1673" s="32" t="s">
        <v>196</v>
      </c>
      <c r="B1673" s="33">
        <v>1672</v>
      </c>
      <c r="C1673" s="33" t="s">
        <v>8800</v>
      </c>
      <c r="D1673" s="43">
        <v>46028</v>
      </c>
      <c r="E1673" s="33"/>
      <c r="F1673" s="32" t="s">
        <v>8801</v>
      </c>
      <c r="G1673" s="32" t="s">
        <v>8802</v>
      </c>
      <c r="H1673" s="32" t="s">
        <v>8803</v>
      </c>
      <c r="I1673" s="32">
        <v>6281277777325</v>
      </c>
      <c r="J1673" s="52"/>
      <c r="K1673" s="32" t="s">
        <v>8804</v>
      </c>
      <c r="L1673" s="32" t="s">
        <v>8805</v>
      </c>
      <c r="M1673" s="32" t="s">
        <v>285</v>
      </c>
      <c r="N1673" s="33">
        <v>5</v>
      </c>
      <c r="O1673" s="65">
        <v>46031</v>
      </c>
      <c r="P1673" s="65">
        <v>46035</v>
      </c>
      <c r="Q1673" s="33"/>
      <c r="R1673" s="38">
        <v>-1003470351325</v>
      </c>
      <c r="S1673" s="33"/>
      <c r="T1673" s="60">
        <v>700000</v>
      </c>
      <c r="U1673" s="40" t="s">
        <v>1229</v>
      </c>
      <c r="V1673" s="61">
        <v>46029.443708356484</v>
      </c>
      <c r="W1673" s="40" t="str">
        <f ca="1">IFERROR(__xludf.DUMMYFUNCTION("""COMPUTED_VALUE"""),"Jenis Usaha:Lpk")</f>
        <v>Jenis Usaha:Lpk</v>
      </c>
      <c r="X1673" s="42" t="str">
        <f ca="1"/>
        <v>ON-Jenis Usaha:Lpk-07012026+5-6281277777325</v>
      </c>
      <c r="Y1673" s="40" t="s">
        <v>62</v>
      </c>
      <c r="Z1673" s="40" t="s">
        <v>1404</v>
      </c>
      <c r="AA1673" s="23" t="str">
        <v>https://wa.me/6281277777325</v>
      </c>
      <c r="AB1673" s="28" t="s">
        <v>8806</v>
      </c>
      <c r="AC1673" s="28"/>
      <c r="AD1673" s="28" t="s">
        <v>690</v>
      </c>
      <c r="AE1673" s="28"/>
      <c r="AF1673" s="29"/>
      <c r="AG1673" s="28"/>
    </row>
    <row r="1674" spans="1:33" ht="15.75" customHeight="1">
      <c r="A1674" s="32" t="s">
        <v>196</v>
      </c>
      <c r="B1674" s="33">
        <v>1673</v>
      </c>
      <c r="C1674" s="33" t="s">
        <v>8807</v>
      </c>
      <c r="D1674" s="43">
        <v>46029</v>
      </c>
      <c r="E1674" s="33"/>
      <c r="F1674" s="32" t="s">
        <v>8808</v>
      </c>
      <c r="G1674" s="32" t="s">
        <v>8809</v>
      </c>
      <c r="H1674" s="32" t="s">
        <v>8810</v>
      </c>
      <c r="I1674" s="32">
        <v>6282173042032</v>
      </c>
      <c r="J1674" s="52"/>
      <c r="K1674" s="32" t="s">
        <v>8811</v>
      </c>
      <c r="L1674" s="32" t="s">
        <v>7148</v>
      </c>
      <c r="M1674" s="32" t="s">
        <v>382</v>
      </c>
      <c r="N1674" s="33">
        <v>5</v>
      </c>
      <c r="O1674" s="65">
        <v>46032</v>
      </c>
      <c r="P1674" s="65">
        <v>46036</v>
      </c>
      <c r="Q1674" s="33"/>
      <c r="R1674" s="38">
        <v>-1003470351325</v>
      </c>
      <c r="S1674" s="33"/>
      <c r="T1674" s="60">
        <v>150000</v>
      </c>
      <c r="U1674" s="40" t="s">
        <v>115</v>
      </c>
      <c r="V1674" s="61">
        <v>46029.493349942131</v>
      </c>
      <c r="W1674" s="40" t="str">
        <f ca="1">IFERROR(__xludf.DUMMYFUNCTION("""COMPUTED_VALUE"""),"MADU AMANAH")</f>
        <v>MADU AMANAH</v>
      </c>
      <c r="X1674" s="42" t="str">
        <f ca="1"/>
        <v>ON-MADU AMANAH-07012026+5-6282173042032</v>
      </c>
      <c r="Y1674" s="40" t="s">
        <v>62</v>
      </c>
      <c r="Z1674" s="40" t="s">
        <v>639</v>
      </c>
      <c r="AA1674" s="23" t="str">
        <v>https://wa.me/6282173042032</v>
      </c>
      <c r="AB1674" s="28" t="s">
        <v>8812</v>
      </c>
      <c r="AC1674" s="28"/>
      <c r="AD1674" s="28" t="s">
        <v>690</v>
      </c>
      <c r="AE1674" s="28"/>
      <c r="AF1674" s="29"/>
      <c r="AG1674" s="28"/>
    </row>
    <row r="1675" spans="1:33" ht="15.75" customHeight="1">
      <c r="A1675" s="32" t="s">
        <v>196</v>
      </c>
      <c r="B1675" s="33">
        <v>1674</v>
      </c>
      <c r="C1675" s="33" t="s">
        <v>8813</v>
      </c>
      <c r="D1675" s="43">
        <v>46029</v>
      </c>
      <c r="E1675" s="33"/>
      <c r="F1675" s="32" t="s">
        <v>8814</v>
      </c>
      <c r="G1675" s="32" t="s">
        <v>8815</v>
      </c>
      <c r="H1675" s="32" t="s">
        <v>6338</v>
      </c>
      <c r="I1675" s="32">
        <v>6285892656287</v>
      </c>
      <c r="J1675" s="52"/>
      <c r="K1675" s="32" t="s">
        <v>8816</v>
      </c>
      <c r="L1675" s="32" t="s">
        <v>2500</v>
      </c>
      <c r="M1675" s="32" t="s">
        <v>711</v>
      </c>
      <c r="N1675" s="33">
        <v>5</v>
      </c>
      <c r="O1675" s="65">
        <v>46032</v>
      </c>
      <c r="P1675" s="65">
        <v>46036</v>
      </c>
      <c r="Q1675" s="33"/>
      <c r="R1675" s="38">
        <v>-1003470351325</v>
      </c>
      <c r="S1675" s="33"/>
      <c r="T1675" s="60">
        <v>197000</v>
      </c>
      <c r="U1675" s="40" t="s">
        <v>1229</v>
      </c>
      <c r="V1675" s="61">
        <v>46029.639210069443</v>
      </c>
      <c r="W1675" s="40" t="str">
        <f ca="1">IFERROR(__xludf.DUMMYFUNCTION("""COMPUTED_VALUE"""),"gusmus Terapy")</f>
        <v>gusmus Terapy</v>
      </c>
      <c r="X1675" s="42" t="str">
        <f ca="1"/>
        <v>ON-gusmus Terapy-07012026+5-6285892656287</v>
      </c>
      <c r="Y1675" s="40" t="s">
        <v>62</v>
      </c>
      <c r="Z1675" s="40" t="s">
        <v>639</v>
      </c>
      <c r="AA1675" s="23" t="str">
        <v>https://wa.me/6285892656287</v>
      </c>
      <c r="AB1675" s="28" t="s">
        <v>8817</v>
      </c>
      <c r="AC1675" s="28"/>
      <c r="AD1675" s="28" t="s">
        <v>690</v>
      </c>
      <c r="AE1675" s="28"/>
      <c r="AF1675" s="29"/>
      <c r="AG1675" s="28"/>
    </row>
    <row r="1676" spans="1:33" ht="15.75" customHeight="1">
      <c r="A1676" s="32" t="s">
        <v>196</v>
      </c>
      <c r="B1676" s="33">
        <v>1675</v>
      </c>
      <c r="C1676" s="33" t="s">
        <v>8818</v>
      </c>
      <c r="D1676" s="43">
        <v>46029</v>
      </c>
      <c r="E1676" s="33"/>
      <c r="F1676" s="32" t="s">
        <v>8819</v>
      </c>
      <c r="G1676" s="32" t="s">
        <v>8820</v>
      </c>
      <c r="H1676" s="32" t="s">
        <v>8821</v>
      </c>
      <c r="I1676" s="32">
        <v>6283856077914</v>
      </c>
      <c r="J1676" s="52"/>
      <c r="K1676" s="32" t="s">
        <v>7872</v>
      </c>
      <c r="L1676" s="32" t="s">
        <v>8822</v>
      </c>
      <c r="M1676" s="32" t="s">
        <v>285</v>
      </c>
      <c r="N1676" s="33">
        <v>7</v>
      </c>
      <c r="O1676" s="65">
        <v>46032</v>
      </c>
      <c r="P1676" s="65">
        <v>46038</v>
      </c>
      <c r="Q1676" s="33"/>
      <c r="R1676" s="38">
        <v>-1003470351325</v>
      </c>
      <c r="S1676" s="33"/>
      <c r="T1676" s="60">
        <v>297000</v>
      </c>
      <c r="U1676" s="40" t="s">
        <v>1229</v>
      </c>
      <c r="V1676" s="61">
        <v>46030.399639930554</v>
      </c>
      <c r="W1676" s="40" t="str">
        <f ca="1">IFERROR(__xludf.DUMMYFUNCTION("""COMPUTED_VALUE"""),"PT bisa")</f>
        <v>PT bisa</v>
      </c>
      <c r="X1676" s="42" t="str">
        <f ca="1"/>
        <v>ON-PT bisa-08012026+7-6283856077914</v>
      </c>
      <c r="Y1676" s="40" t="s">
        <v>62</v>
      </c>
      <c r="Z1676" s="40" t="s">
        <v>639</v>
      </c>
      <c r="AA1676" s="23" t="str">
        <v>https://wa.me/6283856077914</v>
      </c>
      <c r="AB1676" s="28" t="s">
        <v>8823</v>
      </c>
      <c r="AC1676" s="28"/>
      <c r="AD1676" s="28" t="s">
        <v>690</v>
      </c>
      <c r="AE1676" s="28"/>
      <c r="AF1676" s="29"/>
      <c r="AG1676" s="28"/>
    </row>
    <row r="1677" spans="1:33" ht="15.75" customHeight="1">
      <c r="A1677" s="32" t="s">
        <v>196</v>
      </c>
      <c r="B1677" s="33">
        <v>1676</v>
      </c>
      <c r="C1677" s="33" t="s">
        <v>8824</v>
      </c>
      <c r="D1677" s="43">
        <v>46029</v>
      </c>
      <c r="E1677" s="33"/>
      <c r="F1677" s="32" t="s">
        <v>8825</v>
      </c>
      <c r="G1677" s="32" t="s">
        <v>8826</v>
      </c>
      <c r="H1677" s="32" t="s">
        <v>5284</v>
      </c>
      <c r="I1677" s="32">
        <v>6285600287735</v>
      </c>
      <c r="J1677" s="52"/>
      <c r="K1677" s="32" t="s">
        <v>8827</v>
      </c>
      <c r="L1677" s="32" t="s">
        <v>2873</v>
      </c>
      <c r="M1677" s="32" t="s">
        <v>205</v>
      </c>
      <c r="N1677" s="33">
        <v>5</v>
      </c>
      <c r="O1677" s="65">
        <v>46032</v>
      </c>
      <c r="P1677" s="65">
        <v>46036</v>
      </c>
      <c r="Q1677" s="33"/>
      <c r="R1677" s="38">
        <v>-1003470351325</v>
      </c>
      <c r="S1677" s="33"/>
      <c r="T1677" s="60">
        <v>197000</v>
      </c>
      <c r="U1677" s="40" t="s">
        <v>61</v>
      </c>
      <c r="V1677" s="61">
        <v>46030.405194641207</v>
      </c>
      <c r="W1677" s="40" t="str">
        <f ca="1">IFERROR(__xludf.DUMMYFUNCTION("""COMPUTED_VALUE"""),"Bekam Panggilan")</f>
        <v>Bekam Panggilan</v>
      </c>
      <c r="X1677" s="42" t="str">
        <f ca="1"/>
        <v>ON-Bekam Panggilan-08012026+5-6285600287735</v>
      </c>
      <c r="Y1677" s="40" t="s">
        <v>62</v>
      </c>
      <c r="Z1677" s="40" t="s">
        <v>639</v>
      </c>
      <c r="AA1677" s="23" t="str">
        <v>https://wa.me/6285600287735</v>
      </c>
      <c r="AB1677" s="28" t="s">
        <v>8828</v>
      </c>
      <c r="AC1677" s="28"/>
      <c r="AD1677" s="28" t="s">
        <v>690</v>
      </c>
      <c r="AE1677" s="28"/>
      <c r="AF1677" s="29"/>
      <c r="AG1677" s="28"/>
    </row>
    <row r="1678" spans="1:33" ht="15.75" customHeight="1">
      <c r="A1678" s="32" t="s">
        <v>196</v>
      </c>
      <c r="B1678" s="33">
        <v>1677</v>
      </c>
      <c r="C1678" s="33" t="s">
        <v>8829</v>
      </c>
      <c r="D1678" s="43">
        <v>46032</v>
      </c>
      <c r="E1678" s="33"/>
      <c r="F1678" s="32" t="s">
        <v>8830</v>
      </c>
      <c r="G1678" s="32" t="s">
        <v>8831</v>
      </c>
      <c r="H1678" s="32" t="s">
        <v>8832</v>
      </c>
      <c r="I1678" s="32">
        <v>6282286712200</v>
      </c>
      <c r="J1678" s="52"/>
      <c r="K1678" s="32" t="s">
        <v>8833</v>
      </c>
      <c r="L1678" s="32" t="s">
        <v>4055</v>
      </c>
      <c r="M1678" s="32" t="s">
        <v>711</v>
      </c>
      <c r="N1678" s="33">
        <v>5</v>
      </c>
      <c r="O1678" s="65">
        <v>46033</v>
      </c>
      <c r="P1678" s="65">
        <v>46037</v>
      </c>
      <c r="Q1678" s="33"/>
      <c r="R1678" s="38">
        <v>-1003470351325</v>
      </c>
      <c r="S1678" s="33"/>
      <c r="T1678" s="60">
        <v>197000</v>
      </c>
      <c r="U1678" s="40" t="s">
        <v>1229</v>
      </c>
      <c r="V1678" s="61">
        <v>46033.023209039355</v>
      </c>
      <c r="W1678" s="40" t="str">
        <f ca="1">IFERROR(__xludf.DUMMYFUNCTION("""COMPUTED_VALUE"""),"kredit toko")</f>
        <v>kredit toko</v>
      </c>
      <c r="X1678" s="42" t="str">
        <f ca="1"/>
        <v>ON-kredit toko-11012026+5-6282286712200</v>
      </c>
      <c r="Y1678" s="40" t="s">
        <v>62</v>
      </c>
      <c r="Z1678" s="40" t="s">
        <v>1465</v>
      </c>
      <c r="AA1678" s="23" t="str">
        <v>https://wa.me/6282286712200</v>
      </c>
      <c r="AB1678" s="28" t="s">
        <v>8834</v>
      </c>
      <c r="AC1678" s="28"/>
      <c r="AD1678" s="28" t="s">
        <v>690</v>
      </c>
      <c r="AE1678" s="28"/>
      <c r="AF1678" s="29"/>
      <c r="AG1678" s="28"/>
    </row>
    <row r="1679" spans="1:33" ht="15.75" customHeight="1">
      <c r="A1679" s="32" t="s">
        <v>621</v>
      </c>
      <c r="B1679" s="33">
        <v>1678</v>
      </c>
      <c r="C1679" s="33" t="s">
        <v>8835</v>
      </c>
      <c r="D1679" s="43">
        <v>45664</v>
      </c>
      <c r="E1679" s="33"/>
      <c r="F1679" s="32" t="s">
        <v>8836</v>
      </c>
      <c r="G1679" s="32" t="s">
        <v>8837</v>
      </c>
      <c r="H1679" s="32" t="s">
        <v>8838</v>
      </c>
      <c r="I1679" s="32">
        <v>6287835601400</v>
      </c>
      <c r="J1679" s="52"/>
      <c r="K1679" s="32" t="s">
        <v>1722</v>
      </c>
      <c r="L1679" s="32" t="s">
        <v>1333</v>
      </c>
      <c r="M1679" s="32" t="s">
        <v>60</v>
      </c>
      <c r="N1679" s="33">
        <v>5</v>
      </c>
      <c r="O1679" s="35"/>
      <c r="P1679" s="35"/>
      <c r="Q1679" s="33"/>
      <c r="R1679" s="38">
        <v>-1003470351325</v>
      </c>
      <c r="S1679" s="33"/>
      <c r="T1679" s="60">
        <v>197000</v>
      </c>
      <c r="U1679" s="40" t="s">
        <v>61</v>
      </c>
      <c r="V1679" s="61">
        <v>46030.966005891205</v>
      </c>
      <c r="W1679" s="40" t="str">
        <f ca="1">IFERROR(__xludf.DUMMYFUNCTION("""COMPUTED_VALUE"""),"Salon Lucas")</f>
        <v>Salon Lucas</v>
      </c>
      <c r="X1679" s="42" t="str">
        <f ca="1"/>
        <v>ON-Salon Lucas-08012026+5-6287835601400</v>
      </c>
      <c r="Y1679" s="40"/>
      <c r="Z1679" s="40"/>
      <c r="AA1679" s="23" t="str">
        <v>https://wa.me/6287835601400</v>
      </c>
      <c r="AB1679" s="28"/>
      <c r="AC1679" s="28"/>
      <c r="AD1679" s="28"/>
      <c r="AE1679" s="28"/>
      <c r="AF1679" s="29"/>
      <c r="AG1679" s="28"/>
    </row>
    <row r="1680" spans="1:33" ht="15.75" customHeight="1">
      <c r="A1680" s="32" t="s">
        <v>621</v>
      </c>
      <c r="B1680" s="33">
        <v>1679</v>
      </c>
      <c r="C1680" s="33" t="s">
        <v>8839</v>
      </c>
      <c r="D1680" s="43">
        <v>46029</v>
      </c>
      <c r="E1680" s="33"/>
      <c r="F1680" s="32" t="s">
        <v>8840</v>
      </c>
      <c r="G1680" s="32" t="s">
        <v>8841</v>
      </c>
      <c r="H1680" s="32" t="s">
        <v>8842</v>
      </c>
      <c r="I1680" s="32">
        <v>6281340892328</v>
      </c>
      <c r="J1680" s="52"/>
      <c r="K1680" s="32" t="s">
        <v>1194</v>
      </c>
      <c r="L1680" s="32" t="s">
        <v>8843</v>
      </c>
      <c r="M1680" s="32" t="s">
        <v>60</v>
      </c>
      <c r="N1680" s="33">
        <v>7</v>
      </c>
      <c r="O1680" s="35"/>
      <c r="P1680" s="35"/>
      <c r="Q1680" s="33"/>
      <c r="R1680" s="38">
        <v>-1003470351325</v>
      </c>
      <c r="S1680" s="33"/>
      <c r="T1680" s="60">
        <v>397000</v>
      </c>
      <c r="U1680" s="40" t="s">
        <v>61</v>
      </c>
      <c r="V1680" s="61">
        <v>46030.968246377313</v>
      </c>
      <c r="W1680" s="40" t="str">
        <f ca="1">IFERROR(__xludf.DUMMYFUNCTION("""COMPUTED_VALUE"""),"SMA ISTIQOMAH")</f>
        <v>SMA ISTIQOMAH</v>
      </c>
      <c r="X1680" s="42" t="str">
        <f ca="1"/>
        <v>ON-SMA ISTIQOMAH-08012026+7-6281340892328</v>
      </c>
      <c r="Y1680" s="40"/>
      <c r="Z1680" s="40"/>
      <c r="AA1680" s="23" t="str">
        <v>https://wa.me/6281340892328</v>
      </c>
      <c r="AB1680" s="28"/>
      <c r="AC1680" s="28"/>
      <c r="AD1680" s="28"/>
      <c r="AE1680" s="28"/>
      <c r="AF1680" s="29"/>
      <c r="AG1680" s="28"/>
    </row>
    <row r="1681" spans="1:33" ht="15.75" customHeight="1">
      <c r="A1681" s="32" t="s">
        <v>196</v>
      </c>
      <c r="B1681" s="33">
        <v>1680</v>
      </c>
      <c r="C1681" s="33" t="s">
        <v>8844</v>
      </c>
      <c r="D1681" s="43">
        <v>46031</v>
      </c>
      <c r="E1681" s="33"/>
      <c r="F1681" s="32" t="s">
        <v>8845</v>
      </c>
      <c r="G1681" s="32" t="s">
        <v>8846</v>
      </c>
      <c r="H1681" s="32" t="s">
        <v>8847</v>
      </c>
      <c r="I1681" s="32">
        <v>6281260058715</v>
      </c>
      <c r="J1681" s="52"/>
      <c r="K1681" s="32" t="s">
        <v>8848</v>
      </c>
      <c r="L1681" s="32" t="s">
        <v>7409</v>
      </c>
      <c r="M1681" s="32" t="s">
        <v>726</v>
      </c>
      <c r="N1681" s="33">
        <v>5</v>
      </c>
      <c r="O1681" s="65">
        <v>46034</v>
      </c>
      <c r="P1681" s="65">
        <v>46038</v>
      </c>
      <c r="Q1681" s="33"/>
      <c r="R1681" s="38">
        <v>-1003470351325</v>
      </c>
      <c r="S1681" s="33"/>
      <c r="T1681" s="60">
        <v>150000</v>
      </c>
      <c r="U1681" s="40" t="s">
        <v>1774</v>
      </c>
      <c r="V1681" s="61">
        <v>46031.4673649537</v>
      </c>
      <c r="W1681" s="40" t="str">
        <f ca="1">IFERROR(__xludf.DUMMYFUNCTION("""COMPUTED_VALUE"""),"E.O RSQ")</f>
        <v>E.O RSQ</v>
      </c>
      <c r="X1681" s="42" t="str">
        <f ca="1"/>
        <v>ON-E.O RSQ-09012026+5-6281260058715</v>
      </c>
      <c r="Y1681" s="40" t="s">
        <v>62</v>
      </c>
      <c r="Z1681" s="40" t="s">
        <v>639</v>
      </c>
      <c r="AA1681" s="23" t="str">
        <v>https://wa.me/6281260058715</v>
      </c>
      <c r="AB1681" s="28" t="s">
        <v>8849</v>
      </c>
      <c r="AC1681" s="28"/>
      <c r="AD1681" s="28" t="s">
        <v>690</v>
      </c>
      <c r="AE1681" s="28"/>
      <c r="AF1681" s="29"/>
      <c r="AG1681" s="28"/>
    </row>
    <row r="1682" spans="1:33" ht="15.75" customHeight="1">
      <c r="A1682" s="32" t="s">
        <v>196</v>
      </c>
      <c r="B1682" s="33">
        <v>1681</v>
      </c>
      <c r="C1682" s="33" t="s">
        <v>8850</v>
      </c>
      <c r="D1682" s="43">
        <v>46031</v>
      </c>
      <c r="E1682" s="33"/>
      <c r="F1682" s="32" t="s">
        <v>8851</v>
      </c>
      <c r="G1682" s="32" t="s">
        <v>8852</v>
      </c>
      <c r="H1682" s="32" t="s">
        <v>8853</v>
      </c>
      <c r="I1682" s="32">
        <v>6282190622077</v>
      </c>
      <c r="J1682" s="52"/>
      <c r="K1682" s="32" t="s">
        <v>1381</v>
      </c>
      <c r="L1682" s="32" t="s">
        <v>8854</v>
      </c>
      <c r="M1682" s="32" t="s">
        <v>92</v>
      </c>
      <c r="N1682" s="33">
        <v>30</v>
      </c>
      <c r="O1682" s="65">
        <v>46034</v>
      </c>
      <c r="P1682" s="65">
        <v>46063</v>
      </c>
      <c r="Q1682" s="33"/>
      <c r="R1682" s="38">
        <v>-1003470351325</v>
      </c>
      <c r="S1682" s="33"/>
      <c r="T1682" s="60">
        <v>1000000</v>
      </c>
      <c r="U1682" s="40" t="s">
        <v>1229</v>
      </c>
      <c r="V1682" s="61">
        <v>46031.48891453704</v>
      </c>
      <c r="W1682" s="40" t="str">
        <f ca="1">IFERROR(__xludf.DUMMYFUNCTION("""COMPUTED_VALUE"""),"PT luyu")</f>
        <v>PT luyu</v>
      </c>
      <c r="X1682" s="42" t="str">
        <f ca="1"/>
        <v>ON-PT luyu-09012026+30-6282190622077</v>
      </c>
      <c r="Y1682" s="40" t="s">
        <v>293</v>
      </c>
      <c r="Z1682" s="40" t="s">
        <v>1057</v>
      </c>
      <c r="AA1682" s="23" t="str">
        <v>https://wa.me/6282190622077</v>
      </c>
      <c r="AB1682" s="28" t="s">
        <v>8855</v>
      </c>
      <c r="AC1682" s="28"/>
      <c r="AD1682" s="28" t="s">
        <v>690</v>
      </c>
      <c r="AE1682" s="28"/>
      <c r="AF1682" s="29"/>
      <c r="AG1682" s="28"/>
    </row>
    <row r="1683" spans="1:33" ht="15.75" customHeight="1">
      <c r="A1683" s="32" t="s">
        <v>196</v>
      </c>
      <c r="B1683" s="33">
        <v>1682</v>
      </c>
      <c r="C1683" s="33" t="s">
        <v>8856</v>
      </c>
      <c r="D1683" s="43">
        <v>46030</v>
      </c>
      <c r="E1683" s="33"/>
      <c r="F1683" s="32" t="s">
        <v>8857</v>
      </c>
      <c r="G1683" s="32" t="s">
        <v>8858</v>
      </c>
      <c r="H1683" s="32" t="s">
        <v>8859</v>
      </c>
      <c r="I1683" s="32">
        <v>62895603690686</v>
      </c>
      <c r="J1683" s="52"/>
      <c r="K1683" s="32" t="s">
        <v>8860</v>
      </c>
      <c r="L1683" s="32" t="s">
        <v>4783</v>
      </c>
      <c r="M1683" s="32" t="s">
        <v>92</v>
      </c>
      <c r="N1683" s="33">
        <v>5</v>
      </c>
      <c r="O1683" s="65">
        <v>46034</v>
      </c>
      <c r="P1683" s="65">
        <v>46038</v>
      </c>
      <c r="Q1683" s="33"/>
      <c r="R1683" s="38">
        <v>-1003470351325</v>
      </c>
      <c r="S1683" s="33"/>
      <c r="T1683" s="60">
        <v>197000</v>
      </c>
      <c r="U1683" s="40" t="s">
        <v>1229</v>
      </c>
      <c r="V1683" s="61">
        <v>46031.659966099542</v>
      </c>
      <c r="W1683" s="40" t="str">
        <f ca="1">IFERROR(__xludf.DUMMYFUNCTION("""COMPUTED_VALUE"""),"king auto")</f>
        <v>king auto</v>
      </c>
      <c r="X1683" s="42" t="str">
        <f ca="1"/>
        <v>ON-king auto-09012026+5-62895603690686</v>
      </c>
      <c r="Y1683" s="40" t="s">
        <v>62</v>
      </c>
      <c r="Z1683" s="40" t="s">
        <v>294</v>
      </c>
      <c r="AA1683" s="23" t="str">
        <v>https://wa.me/62895603690686</v>
      </c>
      <c r="AB1683" s="28" t="s">
        <v>8861</v>
      </c>
      <c r="AC1683" s="28"/>
      <c r="AD1683" s="28" t="s">
        <v>690</v>
      </c>
      <c r="AE1683" s="28"/>
      <c r="AF1683" s="29"/>
      <c r="AG1683" s="28"/>
    </row>
    <row r="1684" spans="1:33" ht="15.75" customHeight="1">
      <c r="A1684" s="32" t="s">
        <v>196</v>
      </c>
      <c r="B1684" s="33">
        <v>1683</v>
      </c>
      <c r="C1684" s="33" t="s">
        <v>8862</v>
      </c>
      <c r="D1684" s="43">
        <v>46033</v>
      </c>
      <c r="E1684" s="33"/>
      <c r="F1684" s="32" t="s">
        <v>8863</v>
      </c>
      <c r="G1684" s="32" t="s">
        <v>8864</v>
      </c>
      <c r="H1684" s="32" t="s">
        <v>8865</v>
      </c>
      <c r="I1684" s="32">
        <v>6285241716176</v>
      </c>
      <c r="J1684" s="52"/>
      <c r="K1684" s="32" t="s">
        <v>8866</v>
      </c>
      <c r="L1684" s="32" t="s">
        <v>92</v>
      </c>
      <c r="M1684" s="32" t="s">
        <v>92</v>
      </c>
      <c r="N1684" s="33">
        <v>5</v>
      </c>
      <c r="O1684" s="65">
        <v>46036</v>
      </c>
      <c r="P1684" s="65">
        <v>46040</v>
      </c>
      <c r="Q1684" s="33"/>
      <c r="R1684" s="38">
        <v>-1003470351325</v>
      </c>
      <c r="S1684" s="33"/>
      <c r="T1684" s="60">
        <v>197000</v>
      </c>
      <c r="U1684" s="40" t="s">
        <v>1229</v>
      </c>
      <c r="V1684" s="61">
        <v>46033.751368773148</v>
      </c>
      <c r="W1684" s="40" t="str">
        <f ca="1">IFERROR(__xludf.DUMMYFUNCTION("""COMPUTED_VALUE"""),"Rumah Qur'an")</f>
        <v>Rumah Qur'an</v>
      </c>
      <c r="X1684" s="42" t="str">
        <f ca="1"/>
        <v>ON-Rumah Qur'an-11012026+5-6285241716176</v>
      </c>
      <c r="Y1684" s="40" t="s">
        <v>62</v>
      </c>
      <c r="Z1684" s="40" t="s">
        <v>1404</v>
      </c>
      <c r="AA1684" s="23" t="str">
        <v>https://wa.me/6285241716176</v>
      </c>
      <c r="AB1684" s="28" t="s">
        <v>8867</v>
      </c>
      <c r="AC1684" s="28"/>
      <c r="AD1684" s="28" t="s">
        <v>690</v>
      </c>
      <c r="AE1684" s="28"/>
      <c r="AF1684" s="29"/>
      <c r="AG1684" s="28"/>
    </row>
    <row r="1685" spans="1:33" ht="15.75" customHeight="1">
      <c r="A1685" s="32" t="s">
        <v>196</v>
      </c>
      <c r="B1685" s="33">
        <v>1684</v>
      </c>
      <c r="C1685" s="33" t="s">
        <v>8868</v>
      </c>
      <c r="D1685" s="43">
        <v>46045</v>
      </c>
      <c r="E1685" s="33"/>
      <c r="F1685" s="32" t="s">
        <v>8869</v>
      </c>
      <c r="G1685" s="32" t="s">
        <v>8870</v>
      </c>
      <c r="H1685" s="32" t="s">
        <v>8871</v>
      </c>
      <c r="I1685" s="32">
        <v>6282147663578</v>
      </c>
      <c r="J1685" s="52"/>
      <c r="K1685" s="32" t="s">
        <v>8219</v>
      </c>
      <c r="L1685" s="32" t="s">
        <v>8220</v>
      </c>
      <c r="M1685" s="32" t="s">
        <v>8221</v>
      </c>
      <c r="N1685" s="33">
        <v>5</v>
      </c>
      <c r="O1685" s="65">
        <v>46036</v>
      </c>
      <c r="P1685" s="65">
        <v>46040</v>
      </c>
      <c r="Q1685" s="33"/>
      <c r="R1685" s="38">
        <v>-1003470351325</v>
      </c>
      <c r="S1685" s="33"/>
      <c r="T1685" s="60">
        <v>197000</v>
      </c>
      <c r="U1685" s="40" t="s">
        <v>115</v>
      </c>
      <c r="V1685" s="61">
        <v>46045.789125844909</v>
      </c>
      <c r="W1685" s="40" t="str">
        <f ca="1">IFERROR(__xludf.DUMMYFUNCTION("""COMPUTED_VALUE"""),"PT Uber")</f>
        <v>PT Uber</v>
      </c>
      <c r="X1685" s="42" t="str">
        <f ca="1"/>
        <v>ON-PT Uber-23012026+5-6282147663578</v>
      </c>
      <c r="Y1685" s="40" t="s">
        <v>62</v>
      </c>
      <c r="Z1685" s="40" t="s">
        <v>1465</v>
      </c>
      <c r="AA1685" s="23" t="str">
        <v>https://wa.me/6282147663578</v>
      </c>
      <c r="AB1685" s="28" t="s">
        <v>8872</v>
      </c>
      <c r="AC1685" s="28"/>
      <c r="AD1685" s="28" t="s">
        <v>690</v>
      </c>
      <c r="AE1685" s="28"/>
      <c r="AF1685" s="29"/>
      <c r="AG1685" s="28"/>
    </row>
    <row r="1686" spans="1:33" ht="15.75" customHeight="1">
      <c r="A1686" s="32" t="s">
        <v>196</v>
      </c>
      <c r="B1686" s="33">
        <v>1685</v>
      </c>
      <c r="C1686" s="33" t="s">
        <v>8873</v>
      </c>
      <c r="D1686" s="43">
        <v>46034</v>
      </c>
      <c r="E1686" s="33"/>
      <c r="F1686" s="32" t="s">
        <v>8874</v>
      </c>
      <c r="G1686" s="32" t="s">
        <v>8875</v>
      </c>
      <c r="H1686" s="32" t="s">
        <v>4234</v>
      </c>
      <c r="I1686" s="32">
        <v>6282298507962</v>
      </c>
      <c r="J1686" s="52"/>
      <c r="K1686" s="32" t="s">
        <v>8876</v>
      </c>
      <c r="L1686" s="32" t="s">
        <v>92</v>
      </c>
      <c r="M1686" s="32" t="s">
        <v>60</v>
      </c>
      <c r="N1686" s="33">
        <v>5</v>
      </c>
      <c r="O1686" s="65">
        <v>46036</v>
      </c>
      <c r="P1686" s="65">
        <v>46040</v>
      </c>
      <c r="Q1686" s="33"/>
      <c r="R1686" s="38">
        <v>-1003470351325</v>
      </c>
      <c r="S1686" s="33"/>
      <c r="T1686" s="60">
        <v>197000</v>
      </c>
      <c r="U1686" s="40" t="s">
        <v>61</v>
      </c>
      <c r="V1686" s="61">
        <v>46034.926210983795</v>
      </c>
      <c r="W1686" s="40" t="str">
        <f ca="1">IFERROR(__xludf.DUMMYFUNCTION("""COMPUTED_VALUE"""),"Hemart Trans")</f>
        <v>Hemart Trans</v>
      </c>
      <c r="X1686" s="42" t="str">
        <f ca="1"/>
        <v>ON-Hemart Trans-12012026+5-6282298507962</v>
      </c>
      <c r="Y1686" s="40" t="s">
        <v>62</v>
      </c>
      <c r="Z1686" s="40" t="s">
        <v>1880</v>
      </c>
      <c r="AA1686" s="23" t="str">
        <v>https://wa.me/6282298507962</v>
      </c>
      <c r="AB1686" s="28" t="s">
        <v>8877</v>
      </c>
      <c r="AC1686" s="28"/>
      <c r="AD1686" s="28" t="s">
        <v>690</v>
      </c>
      <c r="AE1686" s="28"/>
      <c r="AF1686" s="29"/>
      <c r="AG1686" s="28"/>
    </row>
    <row r="1687" spans="1:33" ht="15.75" customHeight="1">
      <c r="A1687" s="32" t="s">
        <v>196</v>
      </c>
      <c r="B1687" s="33">
        <v>1686</v>
      </c>
      <c r="C1687" s="33" t="s">
        <v>8878</v>
      </c>
      <c r="D1687" s="43">
        <v>46034</v>
      </c>
      <c r="E1687" s="33"/>
      <c r="F1687" s="32" t="s">
        <v>8879</v>
      </c>
      <c r="G1687" s="32" t="s">
        <v>8880</v>
      </c>
      <c r="H1687" s="32" t="s">
        <v>4199</v>
      </c>
      <c r="I1687" s="32">
        <v>6282159686991</v>
      </c>
      <c r="J1687" s="52"/>
      <c r="K1687" s="32" t="s">
        <v>8881</v>
      </c>
      <c r="L1687" s="32" t="s">
        <v>85</v>
      </c>
      <c r="M1687" s="32" t="s">
        <v>60</v>
      </c>
      <c r="N1687" s="33">
        <v>5</v>
      </c>
      <c r="O1687" s="65">
        <v>46036</v>
      </c>
      <c r="P1687" s="65">
        <v>46040</v>
      </c>
      <c r="Q1687" s="33"/>
      <c r="R1687" s="38">
        <v>-1003470351325</v>
      </c>
      <c r="S1687" s="33"/>
      <c r="T1687" s="60">
        <v>197000</v>
      </c>
      <c r="U1687" s="40" t="s">
        <v>61</v>
      </c>
      <c r="V1687" s="61">
        <v>46035.243219097218</v>
      </c>
      <c r="W1687" s="40" t="str">
        <f ca="1">IFERROR(__xludf.DUMMYFUNCTION("""COMPUTED_VALUE"""),"Budi Interior")</f>
        <v>Budi Interior</v>
      </c>
      <c r="X1687" s="42" t="str">
        <f ca="1"/>
        <v>ON-Budi Interior-13012026+5-6282159686991</v>
      </c>
      <c r="Y1687" s="40" t="s">
        <v>293</v>
      </c>
      <c r="Z1687" s="40" t="s">
        <v>1057</v>
      </c>
      <c r="AA1687" s="23" t="str">
        <v>https://wa.me/6282159686991</v>
      </c>
      <c r="AB1687" s="28" t="s">
        <v>8882</v>
      </c>
      <c r="AC1687" s="28"/>
      <c r="AD1687" s="28" t="s">
        <v>690</v>
      </c>
      <c r="AE1687" s="28"/>
      <c r="AF1687" s="29"/>
      <c r="AG1687" s="28"/>
    </row>
    <row r="1688" spans="1:33" ht="15.75" customHeight="1">
      <c r="A1688" s="32" t="s">
        <v>196</v>
      </c>
      <c r="B1688" s="33">
        <v>1687</v>
      </c>
      <c r="C1688" s="33" t="s">
        <v>8883</v>
      </c>
      <c r="D1688" s="43">
        <v>46035</v>
      </c>
      <c r="E1688" s="33"/>
      <c r="F1688" s="32" t="s">
        <v>8884</v>
      </c>
      <c r="G1688" s="32" t="s">
        <v>8885</v>
      </c>
      <c r="H1688" s="32" t="s">
        <v>8886</v>
      </c>
      <c r="I1688" s="32">
        <v>6285242640112</v>
      </c>
      <c r="J1688" s="52"/>
      <c r="K1688" s="32" t="s">
        <v>8887</v>
      </c>
      <c r="L1688" s="32" t="s">
        <v>3750</v>
      </c>
      <c r="M1688" s="32" t="s">
        <v>48</v>
      </c>
      <c r="N1688" s="33">
        <v>5</v>
      </c>
      <c r="O1688" s="65">
        <v>46037</v>
      </c>
      <c r="P1688" s="65">
        <v>46041</v>
      </c>
      <c r="Q1688" s="33"/>
      <c r="R1688" s="38">
        <v>-1003470351325</v>
      </c>
      <c r="S1688" s="33"/>
      <c r="T1688" s="60">
        <v>197000</v>
      </c>
      <c r="U1688" s="40" t="s">
        <v>8564</v>
      </c>
      <c r="V1688" s="61">
        <v>46035.696734155092</v>
      </c>
      <c r="W1688" s="40" t="str">
        <f ca="1">IFERROR(__xludf.DUMMYFUNCTION("""COMPUTED_VALUE"""),"HUMAIROH TRAVEL")</f>
        <v>HUMAIROH TRAVEL</v>
      </c>
      <c r="X1688" s="42" t="str">
        <f ca="1"/>
        <v>ON-HUMAIROH TRAVEL-13012026+5-6285242640112</v>
      </c>
      <c r="Y1688" s="40" t="s">
        <v>62</v>
      </c>
      <c r="Z1688" s="40" t="s">
        <v>1880</v>
      </c>
      <c r="AA1688" s="23" t="str">
        <v>https://wa.me/6285242640112</v>
      </c>
      <c r="AB1688" s="28" t="s">
        <v>8888</v>
      </c>
      <c r="AC1688" s="28"/>
      <c r="AD1688" s="28" t="s">
        <v>690</v>
      </c>
      <c r="AE1688" s="28"/>
      <c r="AF1688" s="29"/>
      <c r="AG1688" s="28"/>
    </row>
    <row r="1689" spans="1:33" ht="15.75" customHeight="1">
      <c r="A1689" s="32" t="s">
        <v>196</v>
      </c>
      <c r="B1689" s="33">
        <v>1688</v>
      </c>
      <c r="C1689" s="33" t="s">
        <v>8889</v>
      </c>
      <c r="D1689" s="43">
        <v>46035</v>
      </c>
      <c r="E1689" s="33"/>
      <c r="F1689" s="32" t="s">
        <v>8890</v>
      </c>
      <c r="G1689" s="32" t="s">
        <v>8891</v>
      </c>
      <c r="H1689" s="32" t="s">
        <v>8892</v>
      </c>
      <c r="I1689" s="32">
        <v>6281390004341</v>
      </c>
      <c r="J1689" s="52"/>
      <c r="K1689" s="32" t="s">
        <v>8893</v>
      </c>
      <c r="L1689" s="32" t="s">
        <v>8894</v>
      </c>
      <c r="M1689" s="32" t="s">
        <v>711</v>
      </c>
      <c r="N1689" s="33">
        <v>10</v>
      </c>
      <c r="O1689" s="65">
        <v>46037</v>
      </c>
      <c r="P1689" s="65">
        <v>46046</v>
      </c>
      <c r="Q1689" s="33"/>
      <c r="R1689" s="38">
        <v>-1003470351325</v>
      </c>
      <c r="S1689" s="33"/>
      <c r="T1689" s="60">
        <v>375000</v>
      </c>
      <c r="U1689" s="40" t="s">
        <v>1229</v>
      </c>
      <c r="V1689" s="61">
        <v>46036.245086597221</v>
      </c>
      <c r="W1689" s="40" t="str">
        <f ca="1">IFERROR(__xludf.DUMMYFUNCTION("""COMPUTED_VALUE"""),"alkana store")</f>
        <v>alkana store</v>
      </c>
      <c r="X1689" s="42" t="str">
        <f ca="1"/>
        <v>ON-alkana store-14012026+10-6281390004341</v>
      </c>
      <c r="Y1689" s="40" t="s">
        <v>62</v>
      </c>
      <c r="Z1689" s="40" t="s">
        <v>1465</v>
      </c>
      <c r="AA1689" s="23" t="str">
        <v>https://wa.me/6281390004341</v>
      </c>
      <c r="AB1689" s="28" t="s">
        <v>8895</v>
      </c>
      <c r="AC1689" s="28"/>
      <c r="AD1689" s="28" t="s">
        <v>690</v>
      </c>
      <c r="AE1689" s="28"/>
      <c r="AF1689" s="29"/>
      <c r="AG1689" s="28"/>
    </row>
    <row r="1690" spans="1:33" ht="15.75" customHeight="1">
      <c r="A1690" s="32" t="s">
        <v>621</v>
      </c>
      <c r="B1690" s="33">
        <v>1689</v>
      </c>
      <c r="C1690" s="33" t="s">
        <v>8896</v>
      </c>
      <c r="D1690" s="43">
        <v>46037</v>
      </c>
      <c r="E1690" s="33"/>
      <c r="F1690" s="32" t="s">
        <v>6857</v>
      </c>
      <c r="G1690" s="32" t="s">
        <v>6858</v>
      </c>
      <c r="H1690" s="32" t="s">
        <v>3617</v>
      </c>
      <c r="I1690" s="32">
        <v>628132699871</v>
      </c>
      <c r="J1690" s="52"/>
      <c r="K1690" s="32" t="s">
        <v>6860</v>
      </c>
      <c r="L1690" s="32" t="s">
        <v>92</v>
      </c>
      <c r="M1690" s="32" t="s">
        <v>60</v>
      </c>
      <c r="N1690" s="33">
        <v>20</v>
      </c>
      <c r="O1690" s="65"/>
      <c r="P1690" s="65"/>
      <c r="Q1690" s="33"/>
      <c r="R1690" s="38">
        <v>-1003470351325</v>
      </c>
      <c r="S1690" s="33"/>
      <c r="T1690" s="60">
        <v>700000</v>
      </c>
      <c r="U1690" s="40" t="s">
        <v>61</v>
      </c>
      <c r="V1690" s="61">
        <v>46040.30528789352</v>
      </c>
      <c r="W1690" s="40" t="str">
        <f ca="1">IFERROR(__xludf.DUMMYFUNCTION("""COMPUTED_VALUE"""),"Maniaka Catering")</f>
        <v>Maniaka Catering</v>
      </c>
      <c r="X1690" s="42" t="str">
        <f ca="1"/>
        <v>ON-Maniaka Catering-18012026+20-628132699871</v>
      </c>
      <c r="Y1690" s="40"/>
      <c r="Z1690" s="40"/>
      <c r="AA1690" s="23" t="str">
        <v>https://wa.me/628132699871</v>
      </c>
      <c r="AB1690" s="28"/>
      <c r="AC1690" s="28"/>
      <c r="AD1690" s="28"/>
      <c r="AE1690" s="28"/>
      <c r="AF1690" s="29"/>
      <c r="AG1690" s="28"/>
    </row>
    <row r="1691" spans="1:33" ht="15.75" customHeight="1">
      <c r="A1691" s="32" t="s">
        <v>196</v>
      </c>
      <c r="B1691" s="33">
        <v>1690</v>
      </c>
      <c r="C1691" s="33" t="s">
        <v>8897</v>
      </c>
      <c r="D1691" s="43">
        <v>46037</v>
      </c>
      <c r="E1691" s="33"/>
      <c r="F1691" s="32" t="s">
        <v>8898</v>
      </c>
      <c r="G1691" s="32" t="s">
        <v>8899</v>
      </c>
      <c r="H1691" s="32" t="s">
        <v>5697</v>
      </c>
      <c r="I1691" s="32">
        <v>6281231954006</v>
      </c>
      <c r="J1691" s="52"/>
      <c r="K1691" s="32" t="s">
        <v>1273</v>
      </c>
      <c r="L1691" s="32" t="s">
        <v>3448</v>
      </c>
      <c r="M1691" s="32" t="s">
        <v>760</v>
      </c>
      <c r="N1691" s="33">
        <v>5</v>
      </c>
      <c r="O1691" s="65">
        <v>46042</v>
      </c>
      <c r="P1691" s="65">
        <v>46046</v>
      </c>
      <c r="Q1691" s="33"/>
      <c r="R1691" s="38">
        <v>-1003470351325</v>
      </c>
      <c r="S1691" s="33"/>
      <c r="T1691" s="60">
        <v>197000</v>
      </c>
      <c r="U1691" s="40" t="s">
        <v>61</v>
      </c>
      <c r="V1691" s="61">
        <v>46040.306394259256</v>
      </c>
      <c r="W1691" s="40" t="str">
        <f ca="1">IFERROR(__xludf.DUMMYFUNCTION("""COMPUTED_VALUE"""),"Ud.sas harmonika")</f>
        <v>Ud.sas harmonika</v>
      </c>
      <c r="X1691" s="42" t="str">
        <f ca="1"/>
        <v>ON-Ud.sas harmonika-18012026+5-6281231954006</v>
      </c>
      <c r="Y1691" s="40" t="s">
        <v>293</v>
      </c>
      <c r="Z1691" s="40" t="s">
        <v>1057</v>
      </c>
      <c r="AA1691" s="23" t="str">
        <v>https://wa.me/6281231954006</v>
      </c>
      <c r="AB1691" s="28" t="s">
        <v>8900</v>
      </c>
      <c r="AC1691" s="28"/>
      <c r="AD1691" s="28" t="s">
        <v>690</v>
      </c>
      <c r="AE1691" s="28"/>
      <c r="AF1691" s="29"/>
      <c r="AG1691" s="28"/>
    </row>
    <row r="1692" spans="1:33" ht="15.75" customHeight="1">
      <c r="A1692" s="32" t="s">
        <v>196</v>
      </c>
      <c r="B1692" s="33">
        <v>1691</v>
      </c>
      <c r="C1692" s="33" t="s">
        <v>8901</v>
      </c>
      <c r="D1692" s="43">
        <v>46034</v>
      </c>
      <c r="E1692" s="33"/>
      <c r="F1692" s="32" t="s">
        <v>8761</v>
      </c>
      <c r="G1692" s="32" t="s">
        <v>8902</v>
      </c>
      <c r="H1692" s="32" t="s">
        <v>8903</v>
      </c>
      <c r="I1692" s="32">
        <v>6285722290661</v>
      </c>
      <c r="J1692" s="52"/>
      <c r="K1692" s="32" t="s">
        <v>8904</v>
      </c>
      <c r="L1692" s="32" t="s">
        <v>2133</v>
      </c>
      <c r="M1692" s="32" t="s">
        <v>205</v>
      </c>
      <c r="N1692" s="33">
        <v>5</v>
      </c>
      <c r="O1692" s="65">
        <v>46042</v>
      </c>
      <c r="P1692" s="65">
        <v>46046</v>
      </c>
      <c r="Q1692" s="33"/>
      <c r="R1692" s="38">
        <v>-1003470351325</v>
      </c>
      <c r="S1692" s="33"/>
      <c r="T1692" s="60">
        <v>197000</v>
      </c>
      <c r="U1692" s="40" t="s">
        <v>61</v>
      </c>
      <c r="V1692" s="61">
        <v>46040.906252048611</v>
      </c>
      <c r="W1692" s="40" t="str">
        <f ca="1">IFERROR(__xludf.DUMMYFUNCTION("""COMPUTED_VALUE"""),"Sarana Perkasa")</f>
        <v>Sarana Perkasa</v>
      </c>
      <c r="X1692" s="42" t="str">
        <f ca="1"/>
        <v>ON-Sarana Perkasa-18012026+5-6285722290661</v>
      </c>
      <c r="Y1692" s="40" t="s">
        <v>293</v>
      </c>
      <c r="Z1692" s="40" t="s">
        <v>1465</v>
      </c>
      <c r="AA1692" s="23" t="str">
        <v>https://wa.me/6285722290661</v>
      </c>
      <c r="AB1692" s="28" t="s">
        <v>8905</v>
      </c>
      <c r="AC1692" s="28"/>
      <c r="AD1692" s="28" t="s">
        <v>690</v>
      </c>
      <c r="AE1692" s="28"/>
      <c r="AF1692" s="29"/>
      <c r="AG1692" s="28"/>
    </row>
    <row r="1693" spans="1:33" ht="15.75" customHeight="1">
      <c r="A1693" s="32" t="s">
        <v>196</v>
      </c>
      <c r="B1693" s="33">
        <v>1692</v>
      </c>
      <c r="C1693" s="33" t="s">
        <v>8906</v>
      </c>
      <c r="D1693" s="43">
        <v>46040</v>
      </c>
      <c r="E1693" s="33"/>
      <c r="F1693" s="32" t="s">
        <v>8907</v>
      </c>
      <c r="G1693" s="32" t="s">
        <v>8908</v>
      </c>
      <c r="H1693" s="32" t="s">
        <v>8909</v>
      </c>
      <c r="I1693" s="32">
        <v>6287861389777</v>
      </c>
      <c r="J1693" s="52"/>
      <c r="K1693" s="32" t="s">
        <v>955</v>
      </c>
      <c r="L1693" s="32" t="s">
        <v>92</v>
      </c>
      <c r="M1693" s="32" t="s">
        <v>60</v>
      </c>
      <c r="N1693" s="33">
        <v>5</v>
      </c>
      <c r="O1693" s="65">
        <v>46042</v>
      </c>
      <c r="P1693" s="65">
        <v>46046</v>
      </c>
      <c r="Q1693" s="33"/>
      <c r="R1693" s="38">
        <v>-1003470351325</v>
      </c>
      <c r="S1693" s="33"/>
      <c r="T1693" s="60">
        <v>197000</v>
      </c>
      <c r="U1693" s="40" t="s">
        <v>61</v>
      </c>
      <c r="V1693" s="61">
        <v>46041.181960636575</v>
      </c>
      <c r="W1693" s="40" t="str">
        <f ca="1">IFERROR(__xludf.DUMMYFUNCTION("""COMPUTED_VALUE"""),"Deler Honda")</f>
        <v>Deler Honda</v>
      </c>
      <c r="X1693" s="42" t="str">
        <f ca="1"/>
        <v>ON-Deler Honda-19012026+5-6287861389777</v>
      </c>
      <c r="Y1693" s="40" t="s">
        <v>62</v>
      </c>
      <c r="Z1693" s="40" t="s">
        <v>294</v>
      </c>
      <c r="AA1693" s="23" t="str">
        <v>https://wa.me/6287861389777</v>
      </c>
      <c r="AB1693" s="28" t="s">
        <v>8910</v>
      </c>
      <c r="AC1693" s="28"/>
      <c r="AD1693" s="28" t="s">
        <v>690</v>
      </c>
      <c r="AE1693" s="28"/>
      <c r="AF1693" s="29"/>
      <c r="AG1693" s="28"/>
    </row>
    <row r="1694" spans="1:33" ht="15.75" customHeight="1">
      <c r="A1694" s="32" t="s">
        <v>196</v>
      </c>
      <c r="B1694" s="33">
        <v>1693</v>
      </c>
      <c r="C1694" s="33" t="s">
        <v>8911</v>
      </c>
      <c r="D1694" s="43">
        <v>46041</v>
      </c>
      <c r="E1694" s="33"/>
      <c r="F1694" s="32" t="s">
        <v>8912</v>
      </c>
      <c r="G1694" s="32" t="s">
        <v>8913</v>
      </c>
      <c r="H1694" s="32" t="s">
        <v>8914</v>
      </c>
      <c r="I1694" s="32">
        <v>6281904501876</v>
      </c>
      <c r="J1694" s="52"/>
      <c r="K1694" s="32" t="s">
        <v>1154</v>
      </c>
      <c r="L1694" s="32" t="s">
        <v>974</v>
      </c>
      <c r="M1694" s="32" t="s">
        <v>60</v>
      </c>
      <c r="N1694" s="33">
        <v>30</v>
      </c>
      <c r="O1694" s="65">
        <v>46044</v>
      </c>
      <c r="P1694" s="65">
        <v>46073</v>
      </c>
      <c r="Q1694" s="33"/>
      <c r="R1694" s="38">
        <v>-1003470351325</v>
      </c>
      <c r="S1694" s="33"/>
      <c r="T1694" s="60">
        <v>1000000</v>
      </c>
      <c r="U1694" s="40" t="s">
        <v>61</v>
      </c>
      <c r="V1694" s="61">
        <v>46042.242323402781</v>
      </c>
      <c r="W1694" s="40" t="str">
        <f ca="1">IFERROR(__xludf.DUMMYFUNCTION("""COMPUTED_VALUE"""),"Kegiatan AMT")</f>
        <v>Kegiatan AMT</v>
      </c>
      <c r="X1694" s="42" t="str">
        <f ca="1"/>
        <v>ON-Kegiatan AMT-20012026+30-6281904501876</v>
      </c>
      <c r="Y1694" s="40" t="s">
        <v>62</v>
      </c>
      <c r="Z1694" s="40" t="s">
        <v>1465</v>
      </c>
      <c r="AA1694" s="23" t="str">
        <v>https://wa.me/6281904501876</v>
      </c>
      <c r="AB1694" s="28" t="s">
        <v>8915</v>
      </c>
      <c r="AC1694" s="28"/>
      <c r="AD1694" s="28" t="s">
        <v>690</v>
      </c>
      <c r="AE1694" s="28"/>
      <c r="AF1694" s="29"/>
      <c r="AG1694" s="28"/>
    </row>
    <row r="1695" spans="1:33" ht="15.75" customHeight="1">
      <c r="A1695" s="32" t="s">
        <v>196</v>
      </c>
      <c r="B1695" s="33">
        <v>1694</v>
      </c>
      <c r="C1695" s="33" t="s">
        <v>8916</v>
      </c>
      <c r="D1695" s="43">
        <v>46044</v>
      </c>
      <c r="E1695" s="33"/>
      <c r="F1695" s="32" t="s">
        <v>8917</v>
      </c>
      <c r="G1695" s="32" t="s">
        <v>8918</v>
      </c>
      <c r="H1695" s="32" t="s">
        <v>8919</v>
      </c>
      <c r="I1695" s="32">
        <v>6281325505225</v>
      </c>
      <c r="J1695" s="52"/>
      <c r="K1695" s="32" t="s">
        <v>8920</v>
      </c>
      <c r="L1695" s="32" t="s">
        <v>4893</v>
      </c>
      <c r="M1695" s="32" t="s">
        <v>8921</v>
      </c>
      <c r="N1695" s="33">
        <v>5</v>
      </c>
      <c r="O1695" s="65">
        <v>46046</v>
      </c>
      <c r="P1695" s="65">
        <v>46050</v>
      </c>
      <c r="Q1695" s="33"/>
      <c r="R1695" s="38">
        <v>-1003470351325</v>
      </c>
      <c r="S1695" s="33"/>
      <c r="T1695" s="60">
        <v>197000</v>
      </c>
      <c r="U1695" s="40" t="s">
        <v>8564</v>
      </c>
      <c r="V1695" s="61">
        <v>46045.342694444444</v>
      </c>
      <c r="W1695" s="40" t="str">
        <f ca="1">IFERROR(__xludf.DUMMYFUNCTION("""COMPUTED_VALUE"""),"BNETFIT")</f>
        <v>BNETFIT</v>
      </c>
      <c r="X1695" s="42" t="str">
        <f ca="1"/>
        <v>ON-BNETFIT-23012026+5-6281325505225</v>
      </c>
      <c r="Y1695" s="40" t="s">
        <v>62</v>
      </c>
      <c r="Z1695" s="40" t="s">
        <v>1465</v>
      </c>
      <c r="AA1695" s="23" t="str">
        <v>https://wa.me/6281325505225</v>
      </c>
      <c r="AB1695" s="28" t="s">
        <v>8922</v>
      </c>
      <c r="AC1695" s="28"/>
      <c r="AD1695" s="28" t="s">
        <v>690</v>
      </c>
      <c r="AE1695" s="28"/>
      <c r="AF1695" s="29"/>
      <c r="AG1695" s="28"/>
    </row>
    <row r="1696" spans="1:33" ht="15.75" customHeight="1">
      <c r="A1696" s="32" t="s">
        <v>196</v>
      </c>
      <c r="B1696" s="33">
        <v>1695</v>
      </c>
      <c r="C1696" s="33" t="s">
        <v>8923</v>
      </c>
      <c r="D1696" s="43">
        <v>46045</v>
      </c>
      <c r="E1696" s="33"/>
      <c r="F1696" s="32" t="s">
        <v>8924</v>
      </c>
      <c r="G1696" s="32" t="s">
        <v>8925</v>
      </c>
      <c r="H1696" s="32" t="s">
        <v>3070</v>
      </c>
      <c r="I1696" s="32">
        <v>6285189067481</v>
      </c>
      <c r="J1696" s="52"/>
      <c r="K1696" s="32" t="s">
        <v>8926</v>
      </c>
      <c r="L1696" s="32" t="s">
        <v>8927</v>
      </c>
      <c r="M1696" s="32" t="s">
        <v>60</v>
      </c>
      <c r="N1696" s="33">
        <v>5</v>
      </c>
      <c r="O1696" s="65">
        <v>46049</v>
      </c>
      <c r="P1696" s="65">
        <v>46053</v>
      </c>
      <c r="Q1696" s="33"/>
      <c r="R1696" s="38">
        <v>-1003470351325</v>
      </c>
      <c r="S1696" s="33"/>
      <c r="T1696" s="60">
        <v>197000</v>
      </c>
      <c r="U1696" s="40" t="s">
        <v>61</v>
      </c>
      <c r="V1696" s="61">
        <v>46045.839507673612</v>
      </c>
      <c r="W1696" s="40" t="str">
        <f ca="1">IFERROR(__xludf.DUMMYFUNCTION("""COMPUTED_VALUE"""),"Urut Tradisional")</f>
        <v>Urut Tradisional</v>
      </c>
      <c r="X1696" s="42" t="str">
        <f ca="1"/>
        <v>ON-Urut Tradisional-23012026+5-6285189067481</v>
      </c>
      <c r="Y1696" s="40" t="s">
        <v>62</v>
      </c>
      <c r="Z1696" s="40" t="s">
        <v>639</v>
      </c>
      <c r="AA1696" s="23" t="str">
        <v>https://wa.me/6285189067481</v>
      </c>
      <c r="AB1696" s="28" t="s">
        <v>8928</v>
      </c>
      <c r="AC1696" s="28"/>
      <c r="AD1696" s="28" t="s">
        <v>690</v>
      </c>
      <c r="AE1696" s="28"/>
      <c r="AF1696" s="29"/>
      <c r="AG1696" s="28"/>
    </row>
    <row r="1697" spans="1:33" ht="15.75" customHeight="1">
      <c r="A1697" s="32" t="s">
        <v>196</v>
      </c>
      <c r="B1697" s="33">
        <v>1696</v>
      </c>
      <c r="C1697" s="33" t="s">
        <v>8929</v>
      </c>
      <c r="D1697" s="43">
        <v>46046</v>
      </c>
      <c r="E1697" s="33"/>
      <c r="F1697" s="32" t="s">
        <v>8930</v>
      </c>
      <c r="G1697" s="32" t="s">
        <v>8931</v>
      </c>
      <c r="H1697" s="32" t="s">
        <v>8892</v>
      </c>
      <c r="I1697" s="32">
        <v>6282191641790</v>
      </c>
      <c r="J1697" s="52"/>
      <c r="K1697" s="32" t="s">
        <v>1024</v>
      </c>
      <c r="L1697" s="32" t="s">
        <v>411</v>
      </c>
      <c r="M1697" s="32" t="s">
        <v>711</v>
      </c>
      <c r="N1697" s="33">
        <v>5</v>
      </c>
      <c r="O1697" s="65">
        <v>46049</v>
      </c>
      <c r="P1697" s="65">
        <v>46053</v>
      </c>
      <c r="Q1697" s="33"/>
      <c r="R1697" s="38">
        <v>-1003470351325</v>
      </c>
      <c r="S1697" s="33"/>
      <c r="T1697" s="60">
        <v>197000</v>
      </c>
      <c r="U1697" s="40" t="s">
        <v>1229</v>
      </c>
      <c r="V1697" s="61">
        <v>46046.339643715277</v>
      </c>
      <c r="W1697" s="40" t="str">
        <f ca="1">IFERROR(__xludf.DUMMYFUNCTION("""COMPUTED_VALUE"""),"ilham shop")</f>
        <v>ilham shop</v>
      </c>
      <c r="X1697" s="42" t="str">
        <f ca="1"/>
        <v>ON-ilham shop-24012026+5-6282191641790</v>
      </c>
      <c r="Y1697" s="40" t="s">
        <v>62</v>
      </c>
      <c r="Z1697" s="40" t="s">
        <v>1465</v>
      </c>
      <c r="AA1697" s="23" t="str">
        <v>https://wa.me/6282191641790</v>
      </c>
      <c r="AB1697" s="28" t="s">
        <v>8932</v>
      </c>
      <c r="AC1697" s="28"/>
      <c r="AD1697" s="28" t="s">
        <v>690</v>
      </c>
      <c r="AE1697" s="28"/>
      <c r="AF1697" s="29"/>
      <c r="AG1697" s="28"/>
    </row>
    <row r="1698" spans="1:33" ht="15.75" customHeight="1">
      <c r="A1698" s="32" t="s">
        <v>196</v>
      </c>
      <c r="B1698" s="33">
        <v>1697</v>
      </c>
      <c r="C1698" s="33" t="s">
        <v>8933</v>
      </c>
      <c r="D1698" s="43">
        <v>46048</v>
      </c>
      <c r="E1698" s="33"/>
      <c r="F1698" s="32" t="s">
        <v>8683</v>
      </c>
      <c r="G1698" s="32" t="s">
        <v>8934</v>
      </c>
      <c r="H1698" s="32" t="s">
        <v>8935</v>
      </c>
      <c r="I1698" s="32">
        <v>6287719015093</v>
      </c>
      <c r="J1698" s="52"/>
      <c r="K1698" s="32" t="s">
        <v>2673</v>
      </c>
      <c r="L1698" s="32" t="s">
        <v>92</v>
      </c>
      <c r="M1698" s="32" t="s">
        <v>92</v>
      </c>
      <c r="N1698" s="33">
        <v>5</v>
      </c>
      <c r="O1698" s="65">
        <v>46051</v>
      </c>
      <c r="P1698" s="65">
        <v>46055</v>
      </c>
      <c r="Q1698" s="33"/>
      <c r="R1698" s="38">
        <v>-1003470351325</v>
      </c>
      <c r="S1698" s="33"/>
      <c r="T1698" s="60">
        <v>197000</v>
      </c>
      <c r="U1698" s="40" t="s">
        <v>1229</v>
      </c>
      <c r="V1698" s="61">
        <v>46050.706649189815</v>
      </c>
      <c r="W1698" s="40" t="str">
        <f ca="1">IFERROR(__xludf.DUMMYFUNCTION("""COMPUTED_VALUE"""),"Plumbing solution")</f>
        <v>Plumbing solution</v>
      </c>
      <c r="X1698" s="42" t="str">
        <f ca="1"/>
        <v>ON-Plumbing solution-28012026+5-6287719015093</v>
      </c>
      <c r="Y1698" s="40" t="s">
        <v>293</v>
      </c>
      <c r="Z1698" s="40" t="s">
        <v>1057</v>
      </c>
      <c r="AA1698" s="23" t="str">
        <v>https://wa.me/6287719015093</v>
      </c>
      <c r="AB1698" s="28" t="s">
        <v>8936</v>
      </c>
      <c r="AC1698" s="28"/>
      <c r="AD1698" s="28" t="s">
        <v>690</v>
      </c>
      <c r="AE1698" s="28"/>
      <c r="AF1698" s="29"/>
      <c r="AG1698" s="28"/>
    </row>
    <row r="1699" spans="1:33" ht="15.75" customHeight="1">
      <c r="A1699" s="32" t="s">
        <v>196</v>
      </c>
      <c r="B1699" s="33">
        <v>1698</v>
      </c>
      <c r="C1699" s="33" t="s">
        <v>8937</v>
      </c>
      <c r="D1699" s="43">
        <v>46048</v>
      </c>
      <c r="E1699" s="33"/>
      <c r="F1699" s="32" t="s">
        <v>8938</v>
      </c>
      <c r="G1699" s="32" t="s">
        <v>8939</v>
      </c>
      <c r="H1699" s="32" t="s">
        <v>8940</v>
      </c>
      <c r="I1699" s="32">
        <v>6281808700968</v>
      </c>
      <c r="J1699" s="52"/>
      <c r="K1699" s="32" t="s">
        <v>570</v>
      </c>
      <c r="L1699" s="32" t="s">
        <v>3057</v>
      </c>
      <c r="M1699" s="32" t="s">
        <v>60</v>
      </c>
      <c r="N1699" s="33">
        <v>5</v>
      </c>
      <c r="O1699" s="65">
        <v>46052</v>
      </c>
      <c r="P1699" s="65">
        <v>46056</v>
      </c>
      <c r="Q1699" s="33"/>
      <c r="R1699" s="38">
        <v>-1003470351325</v>
      </c>
      <c r="S1699" s="33"/>
      <c r="T1699" s="60">
        <v>197000</v>
      </c>
      <c r="U1699" s="40" t="s">
        <v>61</v>
      </c>
      <c r="V1699" s="61">
        <v>46049.4122909375</v>
      </c>
      <c r="W1699" s="40" t="str">
        <f ca="1">IFERROR(__xludf.DUMMYFUNCTION("""COMPUTED_VALUE"""),"PT Lam")</f>
        <v>PT Lam</v>
      </c>
      <c r="X1699" s="42" t="str">
        <f ca="1"/>
        <v>ON-PT Lam-27012026+5-6281808700968</v>
      </c>
      <c r="Y1699" s="40" t="s">
        <v>293</v>
      </c>
      <c r="Z1699" s="40" t="s">
        <v>1057</v>
      </c>
      <c r="AA1699" s="23" t="str">
        <v>https://wa.me/6281808700968</v>
      </c>
      <c r="AB1699" s="28" t="s">
        <v>8941</v>
      </c>
      <c r="AC1699" s="28"/>
      <c r="AD1699" s="28" t="s">
        <v>690</v>
      </c>
      <c r="AE1699" s="28"/>
      <c r="AF1699" s="29"/>
      <c r="AG1699" s="28"/>
    </row>
    <row r="1700" spans="1:33" ht="15.75" customHeight="1">
      <c r="A1700" s="32" t="s">
        <v>196</v>
      </c>
      <c r="B1700" s="33">
        <v>1699</v>
      </c>
      <c r="C1700" s="33" t="s">
        <v>8942</v>
      </c>
      <c r="D1700" s="43">
        <v>46050</v>
      </c>
      <c r="E1700" s="33"/>
      <c r="F1700" s="32" t="s">
        <v>8943</v>
      </c>
      <c r="G1700" s="32" t="s">
        <v>8944</v>
      </c>
      <c r="H1700" s="32" t="s">
        <v>8945</v>
      </c>
      <c r="I1700" s="32">
        <v>6287841350882</v>
      </c>
      <c r="J1700" s="52"/>
      <c r="K1700" s="32" t="s">
        <v>8946</v>
      </c>
      <c r="L1700" s="32" t="s">
        <v>8947</v>
      </c>
      <c r="M1700" s="32" t="s">
        <v>3788</v>
      </c>
      <c r="N1700" s="33">
        <v>5</v>
      </c>
      <c r="O1700" s="65">
        <v>46052</v>
      </c>
      <c r="P1700" s="65">
        <v>46056</v>
      </c>
      <c r="Q1700" s="33"/>
      <c r="R1700" s="38">
        <v>-1003470351325</v>
      </c>
      <c r="S1700" s="33"/>
      <c r="T1700" s="60">
        <v>197000</v>
      </c>
      <c r="U1700" s="40" t="s">
        <v>8564</v>
      </c>
      <c r="V1700" s="61">
        <v>46051.3884859838</v>
      </c>
      <c r="W1700" s="40" t="str">
        <f ca="1">IFERROR(__xludf.DUMMYFUNCTION("""COMPUTED_VALUE"""),"Bangun rumah")</f>
        <v>Bangun rumah</v>
      </c>
      <c r="X1700" s="42" t="str">
        <f ca="1"/>
        <v>ON-Bangun rumah-29012026+5-6287841350882</v>
      </c>
      <c r="Y1700" s="40" t="s">
        <v>293</v>
      </c>
      <c r="Z1700" s="40" t="s">
        <v>1057</v>
      </c>
      <c r="AA1700" s="23" t="str">
        <v>https://wa.me/6287841350882</v>
      </c>
      <c r="AB1700" s="28" t="s">
        <v>8948</v>
      </c>
      <c r="AC1700" s="28"/>
      <c r="AD1700" s="28" t="s">
        <v>690</v>
      </c>
      <c r="AE1700" s="28"/>
      <c r="AF1700" s="29"/>
      <c r="AG1700" s="28"/>
    </row>
    <row r="1701" spans="1:33" ht="15.75" customHeight="1">
      <c r="A1701" s="32" t="s">
        <v>196</v>
      </c>
      <c r="B1701" s="33">
        <v>1700</v>
      </c>
      <c r="C1701" s="33" t="s">
        <v>8949</v>
      </c>
      <c r="D1701" s="43">
        <v>46050</v>
      </c>
      <c r="E1701" s="33"/>
      <c r="F1701" s="32" t="s">
        <v>8950</v>
      </c>
      <c r="G1701" s="32" t="s">
        <v>8951</v>
      </c>
      <c r="H1701" s="32" t="s">
        <v>8952</v>
      </c>
      <c r="I1701" s="32">
        <v>6285124176685</v>
      </c>
      <c r="J1701" s="52"/>
      <c r="K1701" s="32" t="s">
        <v>8953</v>
      </c>
      <c r="L1701" s="32" t="s">
        <v>2468</v>
      </c>
      <c r="M1701" s="32" t="s">
        <v>60</v>
      </c>
      <c r="N1701" s="33">
        <v>10</v>
      </c>
      <c r="O1701" s="65">
        <v>46055</v>
      </c>
      <c r="P1701" s="65">
        <v>46064</v>
      </c>
      <c r="Q1701" s="33"/>
      <c r="R1701" s="38">
        <v>-1003470351325</v>
      </c>
      <c r="S1701" s="33"/>
      <c r="T1701" s="60">
        <v>375000</v>
      </c>
      <c r="U1701" s="40" t="s">
        <v>61</v>
      </c>
      <c r="V1701" s="61">
        <v>46051.700468923613</v>
      </c>
      <c r="W1701" s="40" t="str">
        <f ca="1">IFERROR(__xludf.DUMMYFUNCTION("""COMPUTED_VALUE"""),"HERBALKU")</f>
        <v>HERBALKU</v>
      </c>
      <c r="X1701" s="42" t="str">
        <f ca="1"/>
        <v>ON-HERBALKU-29012026+10-6285124176685</v>
      </c>
      <c r="Y1701" s="40" t="s">
        <v>62</v>
      </c>
      <c r="Z1701" s="40" t="s">
        <v>639</v>
      </c>
      <c r="AA1701" s="23" t="str">
        <v>https://wa.me/6285124176685</v>
      </c>
      <c r="AB1701" s="28" t="s">
        <v>8954</v>
      </c>
      <c r="AC1701" s="28"/>
      <c r="AD1701" s="28" t="s">
        <v>690</v>
      </c>
      <c r="AE1701" s="28"/>
      <c r="AF1701" s="29"/>
      <c r="AG1701" s="28"/>
    </row>
    <row r="1702" spans="1:33" ht="15.75" customHeight="1">
      <c r="A1702" s="32" t="s">
        <v>196</v>
      </c>
      <c r="B1702" s="33">
        <v>1701</v>
      </c>
      <c r="C1702" s="33" t="s">
        <v>8955</v>
      </c>
      <c r="D1702" s="43">
        <v>46051</v>
      </c>
      <c r="E1702" s="33"/>
      <c r="F1702" s="32" t="s">
        <v>5572</v>
      </c>
      <c r="G1702" s="32" t="s">
        <v>8956</v>
      </c>
      <c r="H1702" s="32" t="s">
        <v>8957</v>
      </c>
      <c r="I1702" s="32">
        <v>6287873636555</v>
      </c>
      <c r="J1702" s="52"/>
      <c r="K1702" s="32" t="s">
        <v>8958</v>
      </c>
      <c r="L1702" s="32" t="s">
        <v>92</v>
      </c>
      <c r="M1702" s="32" t="s">
        <v>92</v>
      </c>
      <c r="N1702" s="33">
        <v>20</v>
      </c>
      <c r="O1702" s="65">
        <v>46053</v>
      </c>
      <c r="P1702" s="65">
        <v>46072</v>
      </c>
      <c r="Q1702" s="33"/>
      <c r="R1702" s="38">
        <v>-1003470351325</v>
      </c>
      <c r="S1702" s="33"/>
      <c r="T1702" s="60">
        <v>700000</v>
      </c>
      <c r="U1702" s="40" t="s">
        <v>1229</v>
      </c>
      <c r="V1702" s="61">
        <v>46051.757012824077</v>
      </c>
      <c r="W1702" s="40" t="str">
        <f ca="1">IFERROR(__xludf.DUMMYFUNCTION("""COMPUTED_VALUE"""),"SULTAN TOUR")</f>
        <v>SULTAN TOUR</v>
      </c>
      <c r="X1702" s="42" t="str">
        <f ca="1"/>
        <v>ON-SULTAN TOUR-29012026+20-6287873636555</v>
      </c>
      <c r="Y1702" s="40" t="s">
        <v>62</v>
      </c>
      <c r="Z1702" s="40" t="s">
        <v>1880</v>
      </c>
      <c r="AA1702" s="23" t="str">
        <v>https://wa.me/6287873636555</v>
      </c>
      <c r="AB1702" s="28" t="s">
        <v>8959</v>
      </c>
      <c r="AC1702" s="28"/>
      <c r="AD1702" s="28" t="s">
        <v>690</v>
      </c>
      <c r="AE1702" s="28"/>
      <c r="AF1702" s="29"/>
      <c r="AG1702" s="28"/>
    </row>
    <row r="1703" spans="1:33" ht="15.75" customHeight="1">
      <c r="A1703" s="32" t="s">
        <v>196</v>
      </c>
      <c r="B1703" s="33">
        <v>1702</v>
      </c>
      <c r="C1703" s="33" t="s">
        <v>8960</v>
      </c>
      <c r="D1703" s="43">
        <v>46052</v>
      </c>
      <c r="E1703" s="33"/>
      <c r="F1703" s="32" t="s">
        <v>8961</v>
      </c>
      <c r="G1703" s="32" t="s">
        <v>8962</v>
      </c>
      <c r="H1703" s="32" t="s">
        <v>5284</v>
      </c>
      <c r="I1703" s="32">
        <v>6282264571765</v>
      </c>
      <c r="J1703" s="52"/>
      <c r="K1703" s="32" t="s">
        <v>8963</v>
      </c>
      <c r="L1703" s="32" t="s">
        <v>8964</v>
      </c>
      <c r="M1703" s="32" t="s">
        <v>106</v>
      </c>
      <c r="N1703" s="33">
        <v>5</v>
      </c>
      <c r="O1703" s="65">
        <v>46055</v>
      </c>
      <c r="P1703" s="65">
        <v>46059</v>
      </c>
      <c r="Q1703" s="33"/>
      <c r="R1703" s="38">
        <v>-1003470351325</v>
      </c>
      <c r="S1703" s="33"/>
      <c r="T1703" s="60">
        <v>147000</v>
      </c>
      <c r="U1703" s="40" t="s">
        <v>61</v>
      </c>
      <c r="V1703" s="61">
        <v>46054.686159861114</v>
      </c>
      <c r="W1703" s="40" t="str">
        <f ca="1">IFERROR(__xludf.DUMMYFUNCTION("""COMPUTED_VALUE"""),"Rumah Bekam")</f>
        <v>Rumah Bekam</v>
      </c>
      <c r="X1703" s="42" t="str">
        <f ca="1"/>
        <v>ON-Rumah Bekam-01022026+5-6282264571765</v>
      </c>
      <c r="Y1703" s="40" t="s">
        <v>62</v>
      </c>
      <c r="Z1703" s="40" t="s">
        <v>639</v>
      </c>
      <c r="AA1703" s="23" t="str">
        <v>https://wa.me/6282264571765</v>
      </c>
      <c r="AB1703" s="28" t="s">
        <v>8965</v>
      </c>
      <c r="AC1703" s="28"/>
      <c r="AD1703" s="28" t="s">
        <v>690</v>
      </c>
      <c r="AE1703" s="28"/>
      <c r="AF1703" s="29"/>
      <c r="AG1703" s="28"/>
    </row>
    <row r="1704" spans="1:33" ht="15.75" customHeight="1">
      <c r="A1704" s="32" t="s">
        <v>52</v>
      </c>
      <c r="B1704" s="33">
        <v>1703</v>
      </c>
      <c r="C1704" s="33" t="s">
        <v>8966</v>
      </c>
      <c r="D1704" s="44">
        <v>46065</v>
      </c>
      <c r="E1704" s="33"/>
      <c r="F1704" s="32" t="s">
        <v>7596</v>
      </c>
      <c r="G1704" s="32" t="s">
        <v>8967</v>
      </c>
      <c r="H1704" s="32" t="s">
        <v>7598</v>
      </c>
      <c r="I1704" s="32">
        <v>6287708424140</v>
      </c>
      <c r="J1704" s="52"/>
      <c r="K1704" s="32" t="s">
        <v>4519</v>
      </c>
      <c r="L1704" s="32" t="s">
        <v>7600</v>
      </c>
      <c r="M1704" s="32" t="s">
        <v>382</v>
      </c>
      <c r="N1704" s="33">
        <v>5</v>
      </c>
      <c r="O1704" s="65"/>
      <c r="P1704" s="65"/>
      <c r="Q1704" s="33"/>
      <c r="R1704" s="38">
        <v>-1003470351325</v>
      </c>
      <c r="S1704" s="33"/>
      <c r="T1704" s="60">
        <v>197000</v>
      </c>
      <c r="U1704" s="40" t="s">
        <v>115</v>
      </c>
      <c r="V1704" s="61">
        <v>46065.214904791668</v>
      </c>
      <c r="W1704" s="40" t="str">
        <f ca="1">IFERROR(__xludf.DUMMYFUNCTION("""COMPUTED_VALUE"""),"Yasmin health")</f>
        <v>Yasmin health</v>
      </c>
      <c r="X1704" s="42" t="str">
        <f ca="1"/>
        <v>ON-Yasmin health-12022026+5-6287708424140</v>
      </c>
      <c r="Y1704" s="40"/>
      <c r="Z1704" s="40"/>
      <c r="AA1704" s="23" t="str">
        <v>https://wa.me/6287708424140</v>
      </c>
      <c r="AB1704" s="28"/>
      <c r="AC1704" s="28"/>
      <c r="AD1704" s="28"/>
      <c r="AE1704" s="28"/>
      <c r="AF1704" s="29"/>
      <c r="AG1704" s="28"/>
    </row>
    <row r="1705" spans="1:33" ht="15.75" customHeight="1">
      <c r="A1705" s="32" t="s">
        <v>52</v>
      </c>
      <c r="B1705" s="33">
        <v>1704</v>
      </c>
      <c r="C1705" s="33" t="s">
        <v>8968</v>
      </c>
      <c r="D1705" s="43">
        <v>46055</v>
      </c>
      <c r="E1705" s="33"/>
      <c r="F1705" s="32" t="s">
        <v>6075</v>
      </c>
      <c r="G1705" s="32" t="s">
        <v>6076</v>
      </c>
      <c r="H1705" s="32" t="s">
        <v>595</v>
      </c>
      <c r="I1705" s="32">
        <v>6282234857245</v>
      </c>
      <c r="J1705" s="52"/>
      <c r="K1705" s="32" t="s">
        <v>8969</v>
      </c>
      <c r="L1705" s="32" t="s">
        <v>3057</v>
      </c>
      <c r="M1705" s="32" t="s">
        <v>60</v>
      </c>
      <c r="N1705" s="33">
        <v>7</v>
      </c>
      <c r="O1705" s="65"/>
      <c r="P1705" s="65"/>
      <c r="Q1705" s="33"/>
      <c r="R1705" s="38">
        <v>-1003470351325</v>
      </c>
      <c r="S1705" s="33"/>
      <c r="T1705" s="60">
        <v>297000</v>
      </c>
      <c r="U1705" s="40" t="s">
        <v>61</v>
      </c>
      <c r="V1705" s="61">
        <v>46055.43369824074</v>
      </c>
      <c r="W1705" s="40" t="str">
        <f ca="1">IFERROR(__xludf.DUMMYFUNCTION("""COMPUTED_VALUE"""),"Zena Kontruksi")</f>
        <v>Zena Kontruksi</v>
      </c>
      <c r="X1705" s="42" t="str">
        <f ca="1"/>
        <v>ON-Zena Kontruksi-02022026+7-6282234857245</v>
      </c>
      <c r="Y1705" s="40"/>
      <c r="Z1705" s="40"/>
      <c r="AA1705" s="23" t="str">
        <v>https://wa.me/6282234857245</v>
      </c>
      <c r="AB1705" s="28"/>
      <c r="AC1705" s="28"/>
      <c r="AD1705" s="28"/>
      <c r="AE1705" s="28"/>
      <c r="AF1705" s="29"/>
      <c r="AG1705" s="28"/>
    </row>
    <row r="1706" spans="1:33" ht="15.75" customHeight="1">
      <c r="A1706" s="32" t="s">
        <v>52</v>
      </c>
      <c r="B1706" s="33">
        <v>1705</v>
      </c>
      <c r="C1706" s="33" t="s">
        <v>8970</v>
      </c>
      <c r="D1706" s="43">
        <v>46055</v>
      </c>
      <c r="E1706" s="33"/>
      <c r="F1706" s="32" t="s">
        <v>8971</v>
      </c>
      <c r="G1706" s="32" t="s">
        <v>8972</v>
      </c>
      <c r="H1706" s="32" t="s">
        <v>2248</v>
      </c>
      <c r="I1706" s="32">
        <v>6285296244975</v>
      </c>
      <c r="J1706" s="52"/>
      <c r="K1706" s="32" t="s">
        <v>8973</v>
      </c>
      <c r="L1706" s="32" t="s">
        <v>92</v>
      </c>
      <c r="M1706" s="32" t="s">
        <v>60</v>
      </c>
      <c r="N1706" s="33">
        <v>30</v>
      </c>
      <c r="O1706" s="65"/>
      <c r="P1706" s="65"/>
      <c r="Q1706" s="33"/>
      <c r="R1706" s="38">
        <v>-1003470351325</v>
      </c>
      <c r="S1706" s="33"/>
      <c r="T1706" s="60">
        <v>1000000</v>
      </c>
      <c r="U1706" s="40" t="s">
        <v>61</v>
      </c>
      <c r="V1706" s="61">
        <v>46056.259674004628</v>
      </c>
      <c r="W1706" s="40" t="str">
        <f ca="1">IFERROR(__xludf.DUMMYFUNCTION("""COMPUTED_VALUE"""),"Nizam Travel")</f>
        <v>Nizam Travel</v>
      </c>
      <c r="X1706" s="42" t="str">
        <f ca="1"/>
        <v>ON-Nizam Travel-03022026+30-6285296244975</v>
      </c>
      <c r="Y1706" s="40"/>
      <c r="Z1706" s="40"/>
      <c r="AA1706" s="23" t="str">
        <v>https://wa.me/6285296244975</v>
      </c>
      <c r="AB1706" s="28"/>
      <c r="AC1706" s="28"/>
      <c r="AD1706" s="28"/>
      <c r="AE1706" s="28"/>
      <c r="AF1706" s="29"/>
      <c r="AG1706" s="28"/>
    </row>
    <row r="1707" spans="1:33" ht="15.75" customHeight="1">
      <c r="A1707" s="32" t="s">
        <v>196</v>
      </c>
      <c r="B1707" s="33">
        <v>1706</v>
      </c>
      <c r="C1707" s="33" t="s">
        <v>8974</v>
      </c>
      <c r="D1707" s="43">
        <v>46057</v>
      </c>
      <c r="E1707" s="33"/>
      <c r="F1707" s="32" t="s">
        <v>6751</v>
      </c>
      <c r="G1707" s="32" t="s">
        <v>8975</v>
      </c>
      <c r="H1707" s="32" t="s">
        <v>409</v>
      </c>
      <c r="I1707" s="32">
        <v>628133331583</v>
      </c>
      <c r="J1707" s="52"/>
      <c r="K1707" s="32" t="s">
        <v>8976</v>
      </c>
      <c r="L1707" s="32" t="s">
        <v>3653</v>
      </c>
      <c r="M1707" s="32" t="s">
        <v>726</v>
      </c>
      <c r="N1707" s="33">
        <v>10</v>
      </c>
      <c r="O1707" s="65">
        <v>46060</v>
      </c>
      <c r="P1707" s="65">
        <v>46069</v>
      </c>
      <c r="Q1707" s="33"/>
      <c r="R1707" s="38">
        <v>-1003470351325</v>
      </c>
      <c r="S1707" s="33"/>
      <c r="T1707" s="60">
        <v>375000</v>
      </c>
      <c r="U1707" s="40" t="s">
        <v>1774</v>
      </c>
      <c r="V1707" s="61">
        <v>46057.61075417824</v>
      </c>
      <c r="W1707" s="40" t="str">
        <f ca="1">IFERROR(__xludf.DUMMYFUNCTION("""COMPUTED_VALUE"""),"Bangun omah")</f>
        <v>Bangun omah</v>
      </c>
      <c r="X1707" s="42" t="str">
        <f ca="1"/>
        <v>ON-Bangun omah-04022026+10-628133331583</v>
      </c>
      <c r="Y1707" s="40" t="s">
        <v>293</v>
      </c>
      <c r="Z1707" s="40" t="s">
        <v>1057</v>
      </c>
      <c r="AA1707" s="23" t="str">
        <v>https://wa.me/628133331583</v>
      </c>
      <c r="AB1707" s="28" t="s">
        <v>8977</v>
      </c>
      <c r="AC1707" s="28"/>
      <c r="AD1707" s="28" t="s">
        <v>690</v>
      </c>
      <c r="AE1707" s="28"/>
      <c r="AF1707" s="29"/>
      <c r="AG1707" s="28"/>
    </row>
    <row r="1708" spans="1:33" ht="15.75" customHeight="1">
      <c r="A1708" s="32" t="s">
        <v>196</v>
      </c>
      <c r="B1708" s="33">
        <v>1707</v>
      </c>
      <c r="C1708" s="33" t="s">
        <v>8978</v>
      </c>
      <c r="D1708" s="43">
        <v>46026</v>
      </c>
      <c r="E1708" s="33"/>
      <c r="F1708" s="32" t="s">
        <v>8979</v>
      </c>
      <c r="G1708" s="32" t="s">
        <v>8980</v>
      </c>
      <c r="H1708" s="32" t="s">
        <v>8981</v>
      </c>
      <c r="I1708" s="32">
        <v>6281385838481</v>
      </c>
      <c r="J1708" s="52"/>
      <c r="K1708" s="32" t="s">
        <v>8982</v>
      </c>
      <c r="L1708" s="32" t="s">
        <v>3079</v>
      </c>
      <c r="M1708" s="32" t="s">
        <v>5423</v>
      </c>
      <c r="N1708" s="33">
        <v>5</v>
      </c>
      <c r="O1708" s="65">
        <v>46060</v>
      </c>
      <c r="P1708" s="65">
        <v>46064</v>
      </c>
      <c r="Q1708" s="33"/>
      <c r="R1708" s="38">
        <v>-1003470351325</v>
      </c>
      <c r="S1708" s="33"/>
      <c r="T1708" s="60">
        <v>197000</v>
      </c>
      <c r="U1708" s="40" t="s">
        <v>1229</v>
      </c>
      <c r="V1708" s="61">
        <v>46058.316947141204</v>
      </c>
      <c r="W1708" s="40" t="str">
        <f ca="1">IFERROR(__xludf.DUMMYFUNCTION("""COMPUTED_VALUE"""),"Dimensi desain")</f>
        <v>Dimensi desain</v>
      </c>
      <c r="X1708" s="42" t="str">
        <f ca="1"/>
        <v>ON-Dimensi desain-05022026+5-6281385838481</v>
      </c>
      <c r="Y1708" s="40" t="s">
        <v>293</v>
      </c>
      <c r="Z1708" s="40" t="s">
        <v>1057</v>
      </c>
      <c r="AA1708" s="23" t="str">
        <v>https://wa.me/6281385838481</v>
      </c>
      <c r="AB1708" s="28" t="s">
        <v>8983</v>
      </c>
      <c r="AC1708" s="28"/>
      <c r="AD1708" s="28" t="s">
        <v>690</v>
      </c>
      <c r="AE1708" s="28"/>
      <c r="AF1708" s="29"/>
      <c r="AG1708" s="28"/>
    </row>
    <row r="1709" spans="1:33" ht="15.75" customHeight="1">
      <c r="A1709" s="32" t="s">
        <v>196</v>
      </c>
      <c r="B1709" s="33">
        <v>1708</v>
      </c>
      <c r="C1709" s="33" t="s">
        <v>8984</v>
      </c>
      <c r="D1709" s="43">
        <v>46059</v>
      </c>
      <c r="E1709" s="33"/>
      <c r="F1709" s="32" t="s">
        <v>8985</v>
      </c>
      <c r="G1709" s="32" t="s">
        <v>8986</v>
      </c>
      <c r="H1709" s="32" t="s">
        <v>8987</v>
      </c>
      <c r="I1709" s="32">
        <v>6289648416177</v>
      </c>
      <c r="J1709" s="52"/>
      <c r="K1709" s="32" t="s">
        <v>8988</v>
      </c>
      <c r="L1709" s="32" t="s">
        <v>92</v>
      </c>
      <c r="M1709" s="32" t="s">
        <v>60</v>
      </c>
      <c r="N1709" s="33">
        <v>10</v>
      </c>
      <c r="O1709" s="65">
        <v>46063</v>
      </c>
      <c r="P1709" s="65">
        <v>46072</v>
      </c>
      <c r="Q1709" s="33"/>
      <c r="R1709" s="38">
        <v>-1003470351325</v>
      </c>
      <c r="S1709" s="33"/>
      <c r="T1709" s="60">
        <v>375000</v>
      </c>
      <c r="U1709" s="40" t="s">
        <v>61</v>
      </c>
      <c r="V1709" s="61">
        <v>46060.530945509265</v>
      </c>
      <c r="W1709" s="40" t="str">
        <f ca="1">IFERROR(__xludf.DUMMYFUNCTION("""COMPUTED_VALUE"""),"Berkat Parcel")</f>
        <v>Berkat Parcel</v>
      </c>
      <c r="X1709" s="42" t="str">
        <f ca="1"/>
        <v>ON-Berkat Parcel-07022026+10-6289648416177</v>
      </c>
      <c r="Y1709" s="40" t="s">
        <v>62</v>
      </c>
      <c r="Z1709" s="40" t="s">
        <v>1465</v>
      </c>
      <c r="AA1709" s="23" t="str">
        <v>https://wa.me/6289648416177</v>
      </c>
      <c r="AB1709" s="28" t="s">
        <v>8989</v>
      </c>
      <c r="AC1709" s="28"/>
      <c r="AD1709" s="28" t="s">
        <v>690</v>
      </c>
      <c r="AE1709" s="28"/>
      <c r="AF1709" s="29"/>
      <c r="AG1709" s="28"/>
    </row>
    <row r="1710" spans="1:33" ht="15.75" customHeight="1">
      <c r="A1710" s="32" t="s">
        <v>52</v>
      </c>
      <c r="B1710" s="33">
        <v>1709</v>
      </c>
      <c r="C1710" s="33" t="s">
        <v>8990</v>
      </c>
      <c r="D1710" s="43">
        <v>46061</v>
      </c>
      <c r="E1710" s="33"/>
      <c r="F1710" s="32" t="s">
        <v>4155</v>
      </c>
      <c r="G1710" s="32" t="s">
        <v>8991</v>
      </c>
      <c r="H1710" s="32" t="s">
        <v>4157</v>
      </c>
      <c r="I1710" s="32">
        <v>6281990865975</v>
      </c>
      <c r="J1710" s="52"/>
      <c r="K1710" s="32" t="s">
        <v>570</v>
      </c>
      <c r="L1710" s="32" t="s">
        <v>382</v>
      </c>
      <c r="M1710" s="32" t="s">
        <v>382</v>
      </c>
      <c r="N1710" s="33">
        <v>5</v>
      </c>
      <c r="O1710" s="65"/>
      <c r="P1710" s="65"/>
      <c r="Q1710" s="33"/>
      <c r="R1710" s="38">
        <v>-1003470351325</v>
      </c>
      <c r="S1710" s="33"/>
      <c r="T1710" s="60">
        <v>197000</v>
      </c>
      <c r="U1710" s="40" t="s">
        <v>1774</v>
      </c>
      <c r="V1710" s="61">
        <v>46061.836690543976</v>
      </c>
      <c r="W1710" s="40" t="str">
        <f ca="1">IFERROR(__xludf.DUMMYFUNCTION("""COMPUTED_VALUE"""),"Cv Zalipool")</f>
        <v>Cv Zalipool</v>
      </c>
      <c r="X1710" s="42" t="str">
        <f ca="1"/>
        <v>ON-Cv Zalipool-08022026+5-6281990865975</v>
      </c>
      <c r="Y1710" s="40"/>
      <c r="Z1710" s="40"/>
      <c r="AA1710" s="23" t="str">
        <v>https://wa.me/6281990865975</v>
      </c>
      <c r="AB1710" s="28"/>
      <c r="AC1710" s="28"/>
      <c r="AD1710" s="28"/>
      <c r="AE1710" s="28"/>
      <c r="AF1710" s="29"/>
      <c r="AG1710" s="28"/>
    </row>
    <row r="1711" spans="1:33" ht="15.75" customHeight="1">
      <c r="A1711" s="32" t="s">
        <v>196</v>
      </c>
      <c r="B1711" s="33">
        <v>1710</v>
      </c>
      <c r="C1711" s="33" t="s">
        <v>8992</v>
      </c>
      <c r="D1711" s="43">
        <v>46061</v>
      </c>
      <c r="E1711" s="33"/>
      <c r="F1711" s="32" t="s">
        <v>80</v>
      </c>
      <c r="G1711" s="32" t="s">
        <v>8993</v>
      </c>
      <c r="H1711" s="32" t="s">
        <v>8994</v>
      </c>
      <c r="I1711" s="32">
        <v>6281277547708</v>
      </c>
      <c r="J1711" s="52"/>
      <c r="K1711" s="32" t="s">
        <v>5709</v>
      </c>
      <c r="L1711" s="32" t="s">
        <v>92</v>
      </c>
      <c r="M1711" s="32" t="s">
        <v>60</v>
      </c>
      <c r="N1711" s="33">
        <v>7</v>
      </c>
      <c r="O1711" s="65">
        <v>46063</v>
      </c>
      <c r="P1711" s="65">
        <v>46069</v>
      </c>
      <c r="Q1711" s="33"/>
      <c r="R1711" s="38">
        <v>-1003470351325</v>
      </c>
      <c r="S1711" s="33"/>
      <c r="T1711" s="60">
        <v>297000</v>
      </c>
      <c r="U1711" s="40" t="s">
        <v>61</v>
      </c>
      <c r="V1711" s="61">
        <v>46062.435813217591</v>
      </c>
      <c r="W1711" s="40" t="str">
        <f ca="1">IFERROR(__xludf.DUMMYFUNCTION("""COMPUTED_VALUE"""),"Rumah Terapi")</f>
        <v>Rumah Terapi</v>
      </c>
      <c r="X1711" s="42" t="str">
        <f ca="1"/>
        <v>ON-Rumah Terapi-09022026+7-6281277547708</v>
      </c>
      <c r="Y1711" s="40" t="s">
        <v>62</v>
      </c>
      <c r="Z1711" s="40" t="s">
        <v>639</v>
      </c>
      <c r="AA1711" s="23" t="str">
        <v>https://wa.me/6281277547708</v>
      </c>
      <c r="AB1711" s="28" t="s">
        <v>8995</v>
      </c>
      <c r="AC1711" s="28"/>
      <c r="AD1711" s="28" t="s">
        <v>690</v>
      </c>
      <c r="AE1711" s="28"/>
      <c r="AF1711" s="29"/>
      <c r="AG1711" s="28"/>
    </row>
    <row r="1712" spans="1:33" ht="15.75" customHeight="1">
      <c r="A1712" s="32" t="s">
        <v>196</v>
      </c>
      <c r="B1712" s="33">
        <v>1711</v>
      </c>
      <c r="C1712" s="33" t="s">
        <v>8996</v>
      </c>
      <c r="D1712" s="43">
        <v>46062</v>
      </c>
      <c r="E1712" s="33"/>
      <c r="F1712" s="32" t="s">
        <v>8997</v>
      </c>
      <c r="G1712" s="32" t="s">
        <v>8998</v>
      </c>
      <c r="H1712" s="32" t="s">
        <v>8999</v>
      </c>
      <c r="I1712" s="32">
        <v>628131428282</v>
      </c>
      <c r="J1712" s="52"/>
      <c r="K1712" s="32" t="s">
        <v>9000</v>
      </c>
      <c r="L1712" s="32" t="s">
        <v>2408</v>
      </c>
      <c r="M1712" s="32" t="s">
        <v>60</v>
      </c>
      <c r="N1712" s="33">
        <v>30</v>
      </c>
      <c r="O1712" s="65">
        <v>46065</v>
      </c>
      <c r="P1712" s="65">
        <v>46094</v>
      </c>
      <c r="Q1712" s="33"/>
      <c r="R1712" s="38">
        <v>-1003470351325</v>
      </c>
      <c r="S1712" s="33"/>
      <c r="T1712" s="60">
        <v>1000000</v>
      </c>
      <c r="U1712" s="40" t="s">
        <v>61</v>
      </c>
      <c r="V1712" s="61">
        <v>46063.471384189819</v>
      </c>
      <c r="W1712" s="40" t="str">
        <f ca="1">IFERROR(__xludf.DUMMYFUNCTION("""COMPUTED_VALUE"""),"Bengkel Las")</f>
        <v>Bengkel Las</v>
      </c>
      <c r="X1712" s="42" t="str">
        <f ca="1"/>
        <v>ON-Bengkel Las-10022026+30-628131428282</v>
      </c>
      <c r="Y1712" s="40" t="s">
        <v>293</v>
      </c>
      <c r="Z1712" s="40" t="s">
        <v>1057</v>
      </c>
      <c r="AA1712" s="23" t="str">
        <v>https://wa.me/628131428282</v>
      </c>
      <c r="AB1712" s="28" t="s">
        <v>9001</v>
      </c>
      <c r="AC1712" s="28"/>
      <c r="AD1712" s="28" t="s">
        <v>690</v>
      </c>
      <c r="AE1712" s="28"/>
      <c r="AF1712" s="29"/>
      <c r="AG1712" s="28"/>
    </row>
    <row r="1713" spans="1:33" ht="15.75" customHeight="1">
      <c r="A1713" s="32" t="s">
        <v>196</v>
      </c>
      <c r="B1713" s="33">
        <v>1712</v>
      </c>
      <c r="C1713" s="33" t="s">
        <v>9002</v>
      </c>
      <c r="D1713" s="43">
        <v>46063</v>
      </c>
      <c r="E1713" s="33"/>
      <c r="F1713" s="32" t="s">
        <v>9003</v>
      </c>
      <c r="G1713" s="32" t="s">
        <v>9004</v>
      </c>
      <c r="H1713" s="32" t="s">
        <v>9005</v>
      </c>
      <c r="I1713" s="32">
        <v>6281228061933</v>
      </c>
      <c r="J1713" s="52"/>
      <c r="K1713" s="32" t="s">
        <v>9006</v>
      </c>
      <c r="L1713" s="32" t="s">
        <v>3079</v>
      </c>
      <c r="M1713" s="32" t="s">
        <v>276</v>
      </c>
      <c r="N1713" s="33">
        <v>10</v>
      </c>
      <c r="O1713" s="65">
        <v>46065</v>
      </c>
      <c r="P1713" s="65">
        <v>46074</v>
      </c>
      <c r="Q1713" s="33"/>
      <c r="R1713" s="38">
        <v>-1003470351325</v>
      </c>
      <c r="S1713" s="33"/>
      <c r="T1713" s="60">
        <v>375000</v>
      </c>
      <c r="U1713" s="40" t="s">
        <v>1229</v>
      </c>
      <c r="V1713" s="61">
        <v>46063.903057615738</v>
      </c>
      <c r="W1713" s="40" t="str">
        <f ca="1">IFERROR(__xludf.DUMMYFUNCTION("""COMPUTED_VALUE"""),"Paotere tour")</f>
        <v>Paotere tour</v>
      </c>
      <c r="X1713" s="42" t="str">
        <f ca="1"/>
        <v>ON-Paotere tour-10022026+10-6281228061933</v>
      </c>
      <c r="Y1713" s="40" t="s">
        <v>62</v>
      </c>
      <c r="Z1713" s="40" t="s">
        <v>1880</v>
      </c>
      <c r="AA1713" s="23" t="str">
        <v>https://wa.me/6281228061933</v>
      </c>
      <c r="AB1713" s="28" t="s">
        <v>9007</v>
      </c>
      <c r="AC1713" s="28"/>
      <c r="AD1713" s="28" t="s">
        <v>690</v>
      </c>
      <c r="AE1713" s="28"/>
      <c r="AF1713" s="29"/>
      <c r="AG1713" s="28"/>
    </row>
    <row r="1714" spans="1:33" ht="15.75" customHeight="1">
      <c r="A1714" s="32" t="s">
        <v>196</v>
      </c>
      <c r="B1714" s="33">
        <v>1713</v>
      </c>
      <c r="C1714" s="33" t="s">
        <v>9008</v>
      </c>
      <c r="D1714" s="43">
        <v>46063</v>
      </c>
      <c r="E1714" s="33"/>
      <c r="F1714" s="32" t="s">
        <v>9009</v>
      </c>
      <c r="G1714" s="32" t="s">
        <v>9010</v>
      </c>
      <c r="H1714" s="32" t="s">
        <v>9011</v>
      </c>
      <c r="I1714" s="32">
        <v>6287842727430</v>
      </c>
      <c r="J1714" s="52"/>
      <c r="K1714" s="32" t="s">
        <v>5709</v>
      </c>
      <c r="L1714" s="32" t="s">
        <v>9012</v>
      </c>
      <c r="M1714" s="32" t="s">
        <v>158</v>
      </c>
      <c r="N1714" s="33">
        <v>5</v>
      </c>
      <c r="O1714" s="65">
        <v>46065</v>
      </c>
      <c r="P1714" s="65">
        <v>46069</v>
      </c>
      <c r="Q1714" s="33"/>
      <c r="R1714" s="38">
        <v>-1003470351325</v>
      </c>
      <c r="S1714" s="33"/>
      <c r="T1714" s="60">
        <v>197000</v>
      </c>
      <c r="U1714" s="40" t="s">
        <v>61</v>
      </c>
      <c r="V1714" s="61">
        <v>46064.284638784724</v>
      </c>
      <c r="W1714" s="40" t="str">
        <f ca="1">IFERROR(__xludf.DUMMYFUNCTION("""COMPUTED_VALUE"""),"Rumah Sehat")</f>
        <v>Rumah Sehat</v>
      </c>
      <c r="X1714" s="42" t="str">
        <f ca="1"/>
        <v>ON-Rumah Sehat-11022026+5-6287842727430</v>
      </c>
      <c r="Y1714" s="40" t="s">
        <v>62</v>
      </c>
      <c r="Z1714" s="40" t="s">
        <v>639</v>
      </c>
      <c r="AA1714" s="23" t="str">
        <v>https://wa.me/6287842727430</v>
      </c>
      <c r="AB1714" s="28" t="s">
        <v>9013</v>
      </c>
      <c r="AC1714" s="28"/>
      <c r="AD1714" s="28" t="s">
        <v>690</v>
      </c>
      <c r="AE1714" s="28"/>
      <c r="AF1714" s="29"/>
      <c r="AG1714" s="28"/>
    </row>
    <row r="1715" spans="1:33" ht="15.75" customHeight="1">
      <c r="A1715" s="32" t="s">
        <v>196</v>
      </c>
      <c r="B1715" s="33">
        <v>1714</v>
      </c>
      <c r="C1715" s="33" t="s">
        <v>9014</v>
      </c>
      <c r="D1715" s="43">
        <v>46063</v>
      </c>
      <c r="E1715" s="33"/>
      <c r="F1715" s="32" t="s">
        <v>1003</v>
      </c>
      <c r="G1715" s="32" t="s">
        <v>9015</v>
      </c>
      <c r="H1715" s="32" t="s">
        <v>9016</v>
      </c>
      <c r="I1715" s="32">
        <v>6287782749624</v>
      </c>
      <c r="J1715" s="52"/>
      <c r="K1715" s="32" t="s">
        <v>173</v>
      </c>
      <c r="L1715" s="32" t="s">
        <v>92</v>
      </c>
      <c r="M1715" s="32" t="s">
        <v>92</v>
      </c>
      <c r="N1715" s="33">
        <v>10</v>
      </c>
      <c r="O1715" s="65">
        <v>46065</v>
      </c>
      <c r="P1715" s="65">
        <v>46074</v>
      </c>
      <c r="Q1715" s="33"/>
      <c r="R1715" s="38">
        <v>-1003470351325</v>
      </c>
      <c r="S1715" s="33"/>
      <c r="T1715" s="60">
        <v>350000</v>
      </c>
      <c r="U1715" s="40" t="s">
        <v>8564</v>
      </c>
      <c r="V1715" s="61">
        <v>46064.298694143523</v>
      </c>
      <c r="W1715" s="40" t="str">
        <f ca="1">IFERROR(__xludf.DUMMYFUNCTION("""COMPUTED_VALUE"""),"Anterin. Rent")</f>
        <v>Anterin. Rent</v>
      </c>
      <c r="X1715" s="42" t="str">
        <f ca="1"/>
        <v>ON-Anterin. Rent-11022026+10-6287782749624</v>
      </c>
      <c r="Y1715" s="40" t="s">
        <v>62</v>
      </c>
      <c r="Z1715" s="40" t="s">
        <v>1880</v>
      </c>
      <c r="AA1715" s="23" t="str">
        <v>https://wa.me/6287782749624</v>
      </c>
      <c r="AB1715" s="28" t="s">
        <v>9017</v>
      </c>
      <c r="AC1715" s="28"/>
      <c r="AD1715" s="28" t="s">
        <v>690</v>
      </c>
      <c r="AE1715" s="28"/>
      <c r="AF1715" s="29"/>
      <c r="AG1715" s="28"/>
    </row>
    <row r="1716" spans="1:33" ht="15.75" customHeight="1">
      <c r="A1716" s="33" t="s">
        <v>196</v>
      </c>
      <c r="B1716" s="33">
        <v>1715</v>
      </c>
      <c r="C1716" s="33" t="s">
        <v>9018</v>
      </c>
      <c r="D1716" s="43">
        <v>46063</v>
      </c>
      <c r="E1716" s="33"/>
      <c r="F1716" s="32" t="s">
        <v>1717</v>
      </c>
      <c r="G1716" s="32" t="s">
        <v>9019</v>
      </c>
      <c r="H1716" s="32" t="s">
        <v>9020</v>
      </c>
      <c r="I1716" s="32">
        <v>628562943274</v>
      </c>
      <c r="J1716" s="52"/>
      <c r="K1716" s="32" t="s">
        <v>9021</v>
      </c>
      <c r="L1716" s="32" t="s">
        <v>9022</v>
      </c>
      <c r="M1716" s="32" t="s">
        <v>9023</v>
      </c>
      <c r="N1716" s="33">
        <v>5</v>
      </c>
      <c r="O1716" s="65">
        <v>46065</v>
      </c>
      <c r="P1716" s="65">
        <v>46069</v>
      </c>
      <c r="Q1716" s="33"/>
      <c r="R1716" s="38">
        <v>-1003470351325</v>
      </c>
      <c r="S1716" s="33"/>
      <c r="T1716" s="60">
        <v>197000</v>
      </c>
      <c r="U1716" s="40" t="s">
        <v>8564</v>
      </c>
      <c r="V1716" s="61">
        <v>46064.350383032404</v>
      </c>
      <c r="W1716" s="40" t="str">
        <f ca="1">IFERROR(__xludf.DUMMYFUNCTION("""COMPUTED_VALUE"""),"Gejayan Innova")</f>
        <v>Gejayan Innova</v>
      </c>
      <c r="X1716" s="42" t="str">
        <f ca="1"/>
        <v>ON-Gejayan Innova-11022026+5-628562943274</v>
      </c>
      <c r="Y1716" s="40" t="s">
        <v>62</v>
      </c>
      <c r="Z1716" s="40" t="s">
        <v>1880</v>
      </c>
      <c r="AA1716" s="23" t="str">
        <v>https://wa.me/628562943274</v>
      </c>
      <c r="AB1716" s="28" t="s">
        <v>9024</v>
      </c>
      <c r="AC1716" s="28"/>
      <c r="AD1716" s="28" t="s">
        <v>690</v>
      </c>
      <c r="AE1716" s="28"/>
      <c r="AF1716" s="29"/>
      <c r="AG1716" s="28"/>
    </row>
    <row r="1717" spans="1:33" ht="15.75" customHeight="1">
      <c r="A1717" s="33" t="s">
        <v>33</v>
      </c>
      <c r="B1717" s="33">
        <v>1716</v>
      </c>
      <c r="C1717" s="33" t="s">
        <v>9025</v>
      </c>
      <c r="D1717" s="43">
        <v>46065</v>
      </c>
      <c r="E1717" s="33"/>
      <c r="F1717" s="32" t="s">
        <v>4689</v>
      </c>
      <c r="G1717" s="32" t="s">
        <v>9026</v>
      </c>
      <c r="H1717" s="32" t="s">
        <v>9027</v>
      </c>
      <c r="I1717" s="32">
        <v>6281323291817</v>
      </c>
      <c r="J1717" s="52"/>
      <c r="K1717" s="32" t="s">
        <v>3520</v>
      </c>
      <c r="L1717" s="32" t="s">
        <v>964</v>
      </c>
      <c r="M1717" s="32" t="s">
        <v>382</v>
      </c>
      <c r="N1717" s="33">
        <v>20</v>
      </c>
      <c r="O1717" s="65"/>
      <c r="P1717" s="65"/>
      <c r="Q1717" s="33"/>
      <c r="R1717" s="38">
        <v>-1003470351325</v>
      </c>
      <c r="S1717" s="33"/>
      <c r="T1717" s="60">
        <v>700000</v>
      </c>
      <c r="U1717" s="40" t="s">
        <v>115</v>
      </c>
      <c r="V1717" s="61">
        <v>46065.369916145835</v>
      </c>
      <c r="W1717" s="40" t="str">
        <f ca="1">IFERROR(__xludf.DUMMYFUNCTION("""COMPUTED_VALUE"""),"MEGAH PLAFON")</f>
        <v>MEGAH PLAFON</v>
      </c>
      <c r="X1717" s="42" t="str">
        <f ca="1"/>
        <v>ON-MEGAH PLAFON-12022026+20-6281323291817</v>
      </c>
      <c r="Y1717" s="40"/>
      <c r="Z1717" s="40"/>
      <c r="AA1717" s="23" t="str">
        <v>https://wa.me/6281323291817</v>
      </c>
      <c r="AB1717" s="28"/>
      <c r="AC1717" s="28"/>
      <c r="AD1717" s="28"/>
      <c r="AE1717" s="28"/>
      <c r="AF1717" s="29"/>
      <c r="AG1717" s="28"/>
    </row>
    <row r="1718" spans="1:33" ht="15.75" customHeight="1">
      <c r="A1718" s="33" t="s">
        <v>196</v>
      </c>
      <c r="B1718" s="33">
        <v>1717</v>
      </c>
      <c r="C1718" s="33" t="s">
        <v>9028</v>
      </c>
      <c r="D1718" s="43">
        <v>46065</v>
      </c>
      <c r="E1718" s="33"/>
      <c r="F1718" s="32" t="s">
        <v>9029</v>
      </c>
      <c r="G1718" s="32" t="s">
        <v>9030</v>
      </c>
      <c r="H1718" s="32" t="s">
        <v>9031</v>
      </c>
      <c r="I1718" s="32">
        <v>6285242640112</v>
      </c>
      <c r="J1718" s="52"/>
      <c r="K1718" s="32" t="s">
        <v>9032</v>
      </c>
      <c r="L1718" s="32" t="s">
        <v>9033</v>
      </c>
      <c r="M1718" s="32" t="s">
        <v>382</v>
      </c>
      <c r="N1718" s="33">
        <v>3</v>
      </c>
      <c r="O1718" s="65">
        <v>46069</v>
      </c>
      <c r="P1718" s="65">
        <v>46071</v>
      </c>
      <c r="Q1718" s="33"/>
      <c r="R1718" s="38">
        <v>-1003470351325</v>
      </c>
      <c r="S1718" s="33"/>
      <c r="T1718" s="60">
        <v>147000</v>
      </c>
      <c r="U1718" s="40" t="s">
        <v>115</v>
      </c>
      <c r="V1718" s="61">
        <v>46065.479451087958</v>
      </c>
      <c r="W1718" s="40" t="str">
        <f ca="1">IFERROR(__xludf.DUMMYFUNCTION("""COMPUTED_VALUE"""),"STARLINK")</f>
        <v>STARLINK</v>
      </c>
      <c r="X1718" s="42" t="str">
        <f ca="1"/>
        <v>ON-STARLINK-12022026+3-6285242640112</v>
      </c>
      <c r="Y1718" s="40" t="s">
        <v>62</v>
      </c>
      <c r="Z1718" s="40" t="s">
        <v>1465</v>
      </c>
      <c r="AA1718" s="23" t="str">
        <v>https://wa.me/6285242640112</v>
      </c>
      <c r="AB1718" s="28" t="s">
        <v>9034</v>
      </c>
      <c r="AC1718" s="28"/>
      <c r="AD1718" s="28" t="s">
        <v>690</v>
      </c>
      <c r="AE1718" s="28"/>
      <c r="AF1718" s="29"/>
      <c r="AG1718" s="28"/>
    </row>
    <row r="1719" spans="1:33" ht="15.75" customHeight="1">
      <c r="A1719" s="33" t="s">
        <v>196</v>
      </c>
      <c r="B1719" s="33">
        <v>1718</v>
      </c>
      <c r="C1719" s="33" t="s">
        <v>9035</v>
      </c>
      <c r="D1719" s="43">
        <v>46077</v>
      </c>
      <c r="E1719" s="33"/>
      <c r="F1719" s="32" t="s">
        <v>7445</v>
      </c>
      <c r="G1719" s="32" t="s">
        <v>9036</v>
      </c>
      <c r="H1719" s="32" t="s">
        <v>9037</v>
      </c>
      <c r="I1719" s="32">
        <v>6285888105671</v>
      </c>
      <c r="J1719" s="52"/>
      <c r="K1719" s="32" t="s">
        <v>9038</v>
      </c>
      <c r="L1719" s="32" t="s">
        <v>3448</v>
      </c>
      <c r="M1719" s="32" t="s">
        <v>726</v>
      </c>
      <c r="N1719" s="33">
        <v>5</v>
      </c>
      <c r="O1719" s="65">
        <v>46071</v>
      </c>
      <c r="P1719" s="65">
        <v>46075</v>
      </c>
      <c r="Q1719" s="33"/>
      <c r="R1719" s="38">
        <v>-1003470351325</v>
      </c>
      <c r="S1719" s="33"/>
      <c r="T1719" s="60">
        <v>197000</v>
      </c>
      <c r="U1719" s="40" t="s">
        <v>1774</v>
      </c>
      <c r="V1719" s="61">
        <v>46067.428281550921</v>
      </c>
      <c r="W1719" s="40" t="str">
        <f ca="1">IFERROR(__xludf.DUMMYFUNCTION("""COMPUTED_VALUE"""),"Damey AC")</f>
        <v>Damey AC</v>
      </c>
      <c r="X1719" s="42" t="str">
        <f ca="1"/>
        <v>ON-Damey AC-14022026+5-6285888105671</v>
      </c>
      <c r="Y1719" s="40" t="s">
        <v>62</v>
      </c>
      <c r="Z1719" s="40" t="s">
        <v>277</v>
      </c>
      <c r="AA1719" s="23" t="str">
        <v>https://wa.me/6285888105671</v>
      </c>
      <c r="AB1719" s="28" t="s">
        <v>9039</v>
      </c>
      <c r="AC1719" s="28"/>
      <c r="AD1719" s="28" t="s">
        <v>690</v>
      </c>
      <c r="AE1719" s="28"/>
      <c r="AF1719" s="29"/>
      <c r="AG1719" s="28"/>
    </row>
    <row r="1720" spans="1:33" ht="15.75" customHeight="1">
      <c r="A1720" s="33" t="s">
        <v>196</v>
      </c>
      <c r="B1720" s="33">
        <v>1719</v>
      </c>
      <c r="C1720" s="33" t="s">
        <v>9040</v>
      </c>
      <c r="D1720" s="43">
        <v>46067</v>
      </c>
      <c r="E1720" s="33"/>
      <c r="F1720" s="32" t="s">
        <v>9041</v>
      </c>
      <c r="G1720" s="32" t="s">
        <v>9042</v>
      </c>
      <c r="H1720" s="32" t="s">
        <v>595</v>
      </c>
      <c r="I1720" s="32">
        <v>6285871503571</v>
      </c>
      <c r="J1720" s="52"/>
      <c r="K1720" s="32" t="s">
        <v>9043</v>
      </c>
      <c r="L1720" s="32" t="s">
        <v>85</v>
      </c>
      <c r="M1720" s="32" t="s">
        <v>60</v>
      </c>
      <c r="N1720" s="33">
        <v>5</v>
      </c>
      <c r="O1720" s="65">
        <v>46071</v>
      </c>
      <c r="P1720" s="65">
        <v>46075</v>
      </c>
      <c r="Q1720" s="33"/>
      <c r="R1720" s="38">
        <v>-1003470351325</v>
      </c>
      <c r="S1720" s="33"/>
      <c r="T1720" s="60">
        <v>197000</v>
      </c>
      <c r="U1720" s="40" t="s">
        <v>61</v>
      </c>
      <c r="V1720" s="61">
        <v>46067.490258043981</v>
      </c>
      <c r="W1720" s="40" t="str">
        <f ca="1">IFERROR(__xludf.DUMMYFUNCTION("""COMPUTED_VALUE"""),"PT Lintang")</f>
        <v>PT Lintang</v>
      </c>
      <c r="X1720" s="42" t="str">
        <f ca="1"/>
        <v>ON-PT Lintang-14022026+5-6285871503571</v>
      </c>
      <c r="Y1720" s="40" t="s">
        <v>293</v>
      </c>
      <c r="Z1720" s="40" t="s">
        <v>1057</v>
      </c>
      <c r="AA1720" s="23" t="str">
        <v>https://wa.me/6285871503571</v>
      </c>
      <c r="AB1720" s="28" t="s">
        <v>9044</v>
      </c>
      <c r="AC1720" s="28"/>
      <c r="AD1720" s="28" t="s">
        <v>690</v>
      </c>
      <c r="AE1720" s="28"/>
      <c r="AF1720" s="29"/>
      <c r="AG1720" s="28"/>
    </row>
    <row r="1721" spans="1:33" ht="15.75" customHeight="1">
      <c r="A1721" s="33" t="s">
        <v>196</v>
      </c>
      <c r="B1721" s="33">
        <v>1720</v>
      </c>
      <c r="C1721" s="33" t="s">
        <v>9045</v>
      </c>
      <c r="D1721" s="43">
        <v>46067</v>
      </c>
      <c r="E1721" s="33"/>
      <c r="F1721" s="32" t="s">
        <v>9046</v>
      </c>
      <c r="G1721" s="32" t="s">
        <v>9047</v>
      </c>
      <c r="H1721" s="32" t="s">
        <v>9048</v>
      </c>
      <c r="I1721" s="32">
        <v>6281515661112</v>
      </c>
      <c r="J1721" s="52"/>
      <c r="K1721" s="32" t="s">
        <v>9049</v>
      </c>
      <c r="L1721" s="32" t="s">
        <v>1256</v>
      </c>
      <c r="M1721" s="32" t="s">
        <v>60</v>
      </c>
      <c r="N1721" s="33">
        <v>10</v>
      </c>
      <c r="O1721" s="65">
        <v>46071</v>
      </c>
      <c r="P1721" s="65">
        <v>46080</v>
      </c>
      <c r="Q1721" s="33"/>
      <c r="R1721" s="38">
        <v>-1003470351325</v>
      </c>
      <c r="S1721" s="33"/>
      <c r="T1721" s="60">
        <v>375000</v>
      </c>
      <c r="U1721" s="40" t="s">
        <v>61</v>
      </c>
      <c r="V1721" s="61">
        <v>46067.540104942134</v>
      </c>
      <c r="W1721" s="40" t="str">
        <f ca="1">IFERROR(__xludf.DUMMYFUNCTION("""COMPUTED_VALUE"""),"Ganesha Group")</f>
        <v>Ganesha Group</v>
      </c>
      <c r="X1721" s="42" t="str">
        <f ca="1"/>
        <v>ON-Ganesha Group-14022026+10-6281515661112</v>
      </c>
      <c r="Y1721" s="40" t="s">
        <v>293</v>
      </c>
      <c r="Z1721" s="40" t="s">
        <v>1057</v>
      </c>
      <c r="AA1721" s="23" t="str">
        <v>https://wa.me/6281515661112</v>
      </c>
      <c r="AB1721" s="28" t="s">
        <v>9050</v>
      </c>
      <c r="AC1721" s="28"/>
      <c r="AD1721" s="28" t="s">
        <v>690</v>
      </c>
      <c r="AE1721" s="28"/>
      <c r="AF1721" s="29"/>
      <c r="AG1721" s="28"/>
    </row>
    <row r="1722" spans="1:33" ht="15.75" customHeight="1">
      <c r="A1722" s="33" t="s">
        <v>196</v>
      </c>
      <c r="B1722" s="33">
        <v>1721</v>
      </c>
      <c r="C1722" s="33" t="s">
        <v>9051</v>
      </c>
      <c r="D1722" s="43">
        <v>46067</v>
      </c>
      <c r="E1722" s="33"/>
      <c r="F1722" s="32" t="s">
        <v>9052</v>
      </c>
      <c r="G1722" s="32" t="s">
        <v>9053</v>
      </c>
      <c r="H1722" s="32" t="s">
        <v>9054</v>
      </c>
      <c r="I1722" s="32">
        <v>62895326008269</v>
      </c>
      <c r="J1722" s="52"/>
      <c r="K1722" s="32" t="s">
        <v>1024</v>
      </c>
      <c r="L1722" s="32" t="s">
        <v>92</v>
      </c>
      <c r="M1722" s="32" t="s">
        <v>92</v>
      </c>
      <c r="N1722" s="33">
        <v>5</v>
      </c>
      <c r="O1722" s="65">
        <v>46071</v>
      </c>
      <c r="P1722" s="65">
        <v>46075</v>
      </c>
      <c r="Q1722" s="33"/>
      <c r="R1722" s="38">
        <v>-1003470351325</v>
      </c>
      <c r="S1722" s="33"/>
      <c r="T1722" s="60">
        <v>197000</v>
      </c>
      <c r="U1722" s="40" t="s">
        <v>1774</v>
      </c>
      <c r="V1722" s="61">
        <v>46067.542475729162</v>
      </c>
      <c r="W1722" s="40" t="str">
        <f ca="1">IFERROR(__xludf.DUMMYFUNCTION("""COMPUTED_VALUE"""),"Arsitektur Andri")</f>
        <v>Arsitektur Andri</v>
      </c>
      <c r="X1722" s="42" t="str">
        <f ca="1"/>
        <v>ON-Arsitektur Andri-14022026+5-62895326008269</v>
      </c>
      <c r="Y1722" s="40" t="s">
        <v>293</v>
      </c>
      <c r="Z1722" s="40" t="s">
        <v>1057</v>
      </c>
      <c r="AA1722" s="23" t="str">
        <v>https://wa.me/62895326008269</v>
      </c>
      <c r="AB1722" s="28" t="s">
        <v>9055</v>
      </c>
      <c r="AC1722" s="28"/>
      <c r="AD1722" s="28" t="s">
        <v>690</v>
      </c>
      <c r="AE1722" s="28"/>
      <c r="AF1722" s="29"/>
      <c r="AG1722" s="28"/>
    </row>
    <row r="1723" spans="1:33" ht="15.75" customHeight="1">
      <c r="A1723" s="33" t="s">
        <v>621</v>
      </c>
      <c r="B1723" s="33">
        <v>1722</v>
      </c>
      <c r="C1723" s="33" t="s">
        <v>9056</v>
      </c>
      <c r="D1723" s="43">
        <v>46067</v>
      </c>
      <c r="E1723" s="33"/>
      <c r="F1723" s="32" t="s">
        <v>7695</v>
      </c>
      <c r="G1723" s="32" t="s">
        <v>7696</v>
      </c>
      <c r="H1723" s="32" t="s">
        <v>7697</v>
      </c>
      <c r="I1723" s="32">
        <v>620881010138777</v>
      </c>
      <c r="J1723" s="52"/>
      <c r="K1723" s="32" t="s">
        <v>570</v>
      </c>
      <c r="L1723" s="32" t="s">
        <v>4783</v>
      </c>
      <c r="M1723" s="32" t="s">
        <v>382</v>
      </c>
      <c r="N1723" s="33">
        <v>5</v>
      </c>
      <c r="O1723" s="65"/>
      <c r="P1723" s="65"/>
      <c r="Q1723" s="33"/>
      <c r="R1723" s="38">
        <v>-1003470351325</v>
      </c>
      <c r="S1723" s="33"/>
      <c r="T1723" s="60">
        <v>197000</v>
      </c>
      <c r="U1723" s="40" t="s">
        <v>115</v>
      </c>
      <c r="V1723" s="61">
        <v>46067.648656064819</v>
      </c>
      <c r="W1723" s="40" t="str">
        <f ca="1">IFERROR(__xludf.DUMMYFUNCTION("""COMPUTED_VALUE"""),"Toko Agus")</f>
        <v>Toko Agus</v>
      </c>
      <c r="X1723" s="42" t="str">
        <f ca="1"/>
        <v>ON-Toko Agus-14022026+5-620881010138777</v>
      </c>
      <c r="Y1723" s="40"/>
      <c r="Z1723" s="40"/>
      <c r="AA1723" s="23" t="str">
        <v>https://wa.me/620881010138777</v>
      </c>
      <c r="AB1723" s="28"/>
      <c r="AC1723" s="28"/>
      <c r="AD1723" s="28"/>
      <c r="AE1723" s="28"/>
      <c r="AF1723" s="29"/>
      <c r="AG1723" s="28"/>
    </row>
    <row r="1724" spans="1:33" ht="15.75" customHeight="1">
      <c r="A1724" s="33" t="s">
        <v>196</v>
      </c>
      <c r="B1724" s="33">
        <v>1723</v>
      </c>
      <c r="C1724" s="33" t="s">
        <v>9057</v>
      </c>
      <c r="D1724" s="43">
        <v>46068</v>
      </c>
      <c r="E1724" s="33"/>
      <c r="F1724" s="32" t="s">
        <v>9058</v>
      </c>
      <c r="G1724" s="32" t="s">
        <v>9059</v>
      </c>
      <c r="H1724" s="32" t="s">
        <v>9060</v>
      </c>
      <c r="I1724" s="32">
        <v>628135084276</v>
      </c>
      <c r="J1724" s="52"/>
      <c r="K1724" s="32" t="s">
        <v>9061</v>
      </c>
      <c r="L1724" s="32" t="s">
        <v>92</v>
      </c>
      <c r="M1724" s="32" t="s">
        <v>92</v>
      </c>
      <c r="N1724" s="33">
        <v>5</v>
      </c>
      <c r="O1724" s="65">
        <v>46070</v>
      </c>
      <c r="P1724" s="65">
        <v>46074</v>
      </c>
      <c r="Q1724" s="33"/>
      <c r="R1724" s="38">
        <v>-1003470351325</v>
      </c>
      <c r="S1724" s="33"/>
      <c r="T1724" s="60">
        <v>197000</v>
      </c>
      <c r="U1724" s="40" t="s">
        <v>1774</v>
      </c>
      <c r="V1724" s="61">
        <v>46068.305117986107</v>
      </c>
      <c r="W1724" s="40" t="str">
        <f ca="1">IFERROR(__xludf.DUMMYFUNCTION("""COMPUTED_VALUE"""),"Angkutan dalam")</f>
        <v>Angkutan dalam</v>
      </c>
      <c r="X1724" s="42" t="str">
        <f ca="1"/>
        <v>ON-Angkutan dalam-15022026+5-628135084276</v>
      </c>
      <c r="Y1724" s="40" t="s">
        <v>62</v>
      </c>
      <c r="Z1724" s="40" t="s">
        <v>1880</v>
      </c>
      <c r="AA1724" s="23" t="str">
        <v>https://wa.me/628135084276</v>
      </c>
      <c r="AB1724" s="28" t="s">
        <v>9062</v>
      </c>
      <c r="AC1724" s="28"/>
      <c r="AD1724" s="28" t="s">
        <v>690</v>
      </c>
      <c r="AE1724" s="28"/>
      <c r="AF1724" s="29"/>
      <c r="AG1724" s="28"/>
    </row>
    <row r="1725" spans="1:33" ht="15.75" customHeight="1">
      <c r="A1725" s="33" t="s">
        <v>196</v>
      </c>
      <c r="B1725" s="33">
        <v>1724</v>
      </c>
      <c r="C1725" s="33" t="s">
        <v>9063</v>
      </c>
      <c r="D1725" s="43">
        <v>46069</v>
      </c>
      <c r="E1725" s="33"/>
      <c r="F1725" s="32" t="s">
        <v>9064</v>
      </c>
      <c r="G1725" s="32" t="s">
        <v>9065</v>
      </c>
      <c r="H1725" s="32" t="s">
        <v>9066</v>
      </c>
      <c r="I1725" s="32">
        <v>6282318574594</v>
      </c>
      <c r="J1725" s="52"/>
      <c r="K1725" s="32" t="s">
        <v>1242</v>
      </c>
      <c r="L1725" s="32" t="s">
        <v>9067</v>
      </c>
      <c r="M1725" s="32" t="s">
        <v>9068</v>
      </c>
      <c r="N1725" s="33">
        <v>5</v>
      </c>
      <c r="O1725" s="65">
        <v>46072</v>
      </c>
      <c r="P1725" s="65">
        <v>46076</v>
      </c>
      <c r="Q1725" s="33"/>
      <c r="R1725" s="38">
        <v>-1003470351325</v>
      </c>
      <c r="S1725" s="33"/>
      <c r="T1725" s="60">
        <v>197000</v>
      </c>
      <c r="U1725" s="40" t="s">
        <v>115</v>
      </c>
      <c r="V1725" s="61">
        <v>46068.498663067134</v>
      </c>
      <c r="W1725" s="40" t="str">
        <f ca="1">IFERROR(__xludf.DUMMYFUNCTION("""COMPUTED_VALUE"""),"MY REPUBLIK")</f>
        <v>MY REPUBLIK</v>
      </c>
      <c r="X1725" s="42" t="str">
        <f ca="1"/>
        <v>ON-MY REPUBLIK-15022026+5-6282318574594</v>
      </c>
      <c r="Y1725" s="40" t="s">
        <v>62</v>
      </c>
      <c r="Z1725" s="40" t="s">
        <v>1465</v>
      </c>
      <c r="AA1725" s="23" t="str">
        <v>https://wa.me/6282318574594</v>
      </c>
      <c r="AB1725" s="28" t="s">
        <v>9069</v>
      </c>
      <c r="AC1725" s="28"/>
      <c r="AD1725" s="28" t="s">
        <v>690</v>
      </c>
      <c r="AE1725" s="28"/>
      <c r="AF1725" s="29"/>
      <c r="AG1725" s="28"/>
    </row>
    <row r="1726" spans="1:33" ht="15.75" customHeight="1">
      <c r="A1726" s="33" t="s">
        <v>621</v>
      </c>
      <c r="B1726" s="33">
        <v>1725</v>
      </c>
      <c r="C1726" s="33" t="s">
        <v>9070</v>
      </c>
      <c r="D1726" s="43">
        <v>46067</v>
      </c>
      <c r="E1726" s="33"/>
      <c r="F1726" s="32" t="s">
        <v>9041</v>
      </c>
      <c r="G1726" s="32" t="s">
        <v>9042</v>
      </c>
      <c r="H1726" s="32" t="s">
        <v>595</v>
      </c>
      <c r="I1726" s="32">
        <v>6287791212283</v>
      </c>
      <c r="J1726" s="52"/>
      <c r="K1726" s="32" t="s">
        <v>9043</v>
      </c>
      <c r="L1726" s="32" t="s">
        <v>85</v>
      </c>
      <c r="M1726" s="32" t="s">
        <v>60</v>
      </c>
      <c r="N1726" s="33">
        <v>5</v>
      </c>
      <c r="O1726" s="65"/>
      <c r="P1726" s="65"/>
      <c r="Q1726" s="33"/>
      <c r="R1726" s="38">
        <v>-1003470351325</v>
      </c>
      <c r="S1726" s="33"/>
      <c r="T1726" s="60">
        <v>197000</v>
      </c>
      <c r="U1726" s="40" t="s">
        <v>61</v>
      </c>
      <c r="V1726" s="61">
        <v>46073.295184780094</v>
      </c>
      <c r="W1726" s="40" t="str">
        <f ca="1">IFERROR(__xludf.DUMMYFUNCTION("""COMPUTED_VALUE"""),"PT Lintang")</f>
        <v>PT Lintang</v>
      </c>
      <c r="X1726" s="42" t="str">
        <f ca="1"/>
        <v>ON-PT Lintang-20022026+5-6287791212283</v>
      </c>
      <c r="Y1726" s="40"/>
      <c r="Z1726" s="40"/>
      <c r="AA1726" s="23" t="str">
        <v>https://wa.me/6287791212283</v>
      </c>
      <c r="AB1726" s="28"/>
      <c r="AC1726" s="28"/>
      <c r="AD1726" s="28"/>
      <c r="AE1726" s="28"/>
      <c r="AF1726" s="29"/>
      <c r="AG1726" s="28"/>
    </row>
  </sheetData>
  <autoFilter ref="A1:AG1726" xr:uid="{00000000-0009-0000-0000-000000000000}"/>
  <dataValidations count="4">
    <dataValidation type="list" allowBlank="1" showErrorMessage="1" sqref="A2:A30 A1535" xr:uid="{00000000-0002-0000-0000-000000000000}">
      <formula1>"Baru,Video Selesai,Proses OTP,Iklan Aktif,Iklan Tidak Aktif,Durasi Selesai,Pembuatan Iklan,Perpanjang"</formula1>
    </dataValidation>
    <dataValidation type="list" allowBlank="1" showErrorMessage="1" sqref="U2:U9" xr:uid="{00000000-0002-0000-0000-000003000000}">
      <formula1>"Isna,Devi"</formula1>
    </dataValidation>
    <dataValidation type="list" allowBlank="1" showErrorMessage="1" sqref="U10:U1726" xr:uid="{00000000-0002-0000-0000-000004000000}">
      <formula1>"Isna,Devi,Yuni,Rudi,Jeff,Ilham,Rokhma,Maya,Tika,Rina"</formula1>
    </dataValidation>
    <dataValidation type="list" allowBlank="1" showErrorMessage="1" sqref="A31:A1534 A1536:A1726" xr:uid="{00000000-0002-0000-0000-000005000000}">
      <formula1>"Baru,Video Selesai,Proses OTP,Iklan Aktif,Iklan Tidak Aktif,Durasi Selesai,Perpanjang,Pembuatan Iklan"</formula1>
    </dataValidation>
  </dataValidations>
  <hyperlinks>
    <hyperlink ref="AA4" r:id="rId1" display="https://wa.me/61459676831" xr:uid="{00000000-0004-0000-0000-000000000000}"/>
    <hyperlink ref="AA5" r:id="rId2" display="https://wa.me/628872305953" xr:uid="{00000000-0004-0000-0000-000001000000}"/>
    <hyperlink ref="AA6" r:id="rId3" display="https://wa.me/67076472864" xr:uid="{00000000-0004-0000-0000-000002000000}"/>
    <hyperlink ref="AA7" r:id="rId4" display="https://wa.me/6285711307707" xr:uid="{00000000-0004-0000-0000-000003000000}"/>
    <hyperlink ref="AA8" r:id="rId5" display="https://wa.me/6285270469663" xr:uid="{00000000-0004-0000-0000-000004000000}"/>
    <hyperlink ref="AA9" r:id="rId6" display="https://wa.me/6285757607630" xr:uid="{00000000-0004-0000-0000-000005000000}"/>
    <hyperlink ref="AA10" r:id="rId7" display="https://wa.me/62882015054720" xr:uid="{00000000-0004-0000-0000-000006000000}"/>
    <hyperlink ref="AA11" r:id="rId8" display="https://wa.me/6281549409606" xr:uid="{00000000-0004-0000-0000-000007000000}"/>
    <hyperlink ref="AA12" r:id="rId9" display="https://wa.me/6283129638348" xr:uid="{00000000-0004-0000-0000-000008000000}"/>
    <hyperlink ref="AA13" r:id="rId10" display="https://wa.me/6283188945188" xr:uid="{00000000-0004-0000-0000-000009000000}"/>
    <hyperlink ref="AA14" r:id="rId11" display="https://wa.me/" xr:uid="{00000000-0004-0000-0000-00000A000000}"/>
    <hyperlink ref="AA15" r:id="rId12" display="https://wa.me/6285758792669" xr:uid="{00000000-0004-0000-0000-00000B000000}"/>
    <hyperlink ref="AA16" r:id="rId13" display="https://wa.me/6285220903499" xr:uid="{00000000-0004-0000-0000-00000C000000}"/>
    <hyperlink ref="AA17" r:id="rId14" display="https://wa.me/6282290353409" xr:uid="{00000000-0004-0000-0000-00000D000000}"/>
    <hyperlink ref="AA18" r:id="rId15" display="https://wa.me/6285240684331" xr:uid="{00000000-0004-0000-0000-00000E000000}"/>
    <hyperlink ref="AA19" r:id="rId16" display="https://wa.me/6282136666049" xr:uid="{00000000-0004-0000-0000-00000F000000}"/>
    <hyperlink ref="AA20" r:id="rId17" display="https://wa.me/6282348365032" xr:uid="{00000000-0004-0000-0000-000010000000}"/>
    <hyperlink ref="AA21" r:id="rId18" display="https://wa.me/6285355435848" xr:uid="{00000000-0004-0000-0000-000011000000}"/>
    <hyperlink ref="AA22" r:id="rId19" display="https://wa.me/6281331854948" xr:uid="{00000000-0004-0000-0000-000012000000}"/>
    <hyperlink ref="AA23" r:id="rId20" display="https://wa.me/6282173535013" xr:uid="{00000000-0004-0000-0000-000013000000}"/>
    <hyperlink ref="AA24" r:id="rId21" display="https://wa.me/6288242107169" xr:uid="{00000000-0004-0000-0000-000014000000}"/>
    <hyperlink ref="AA25" r:id="rId22" display="https://wa.me/6282159148587" xr:uid="{00000000-0004-0000-0000-000015000000}"/>
    <hyperlink ref="AA26" r:id="rId23" display="https://wa.me/6282314234523" xr:uid="{00000000-0004-0000-0000-000016000000}"/>
    <hyperlink ref="AA27" r:id="rId24" display="https://wa.me/6281399998259" xr:uid="{00000000-0004-0000-0000-000017000000}"/>
    <hyperlink ref="AA28" r:id="rId25" display="https://wa.me/6285362101860" xr:uid="{00000000-0004-0000-0000-000018000000}"/>
    <hyperlink ref="AA29" r:id="rId26" display="https://wa.me/6282274447649" xr:uid="{00000000-0004-0000-0000-000019000000}"/>
    <hyperlink ref="AA30" r:id="rId27" display="https://wa.me/6282154795446" xr:uid="{00000000-0004-0000-0000-00001A000000}"/>
    <hyperlink ref="AA31" r:id="rId28" display="https://wa.me/6285211510282" xr:uid="{00000000-0004-0000-0000-00001B000000}"/>
    <hyperlink ref="AA32" r:id="rId29" display="https://wa.me/6285737244570" xr:uid="{00000000-0004-0000-0000-00001C000000}"/>
    <hyperlink ref="AA33" r:id="rId30" display="https://wa.me/6285290626929" xr:uid="{00000000-0004-0000-0000-00001D000000}"/>
    <hyperlink ref="AA34" r:id="rId31" display="https://wa.me/6282288123215" xr:uid="{00000000-0004-0000-0000-00001E000000}"/>
    <hyperlink ref="AA35" r:id="rId32" display="https://wa.me/6281384925770" xr:uid="{00000000-0004-0000-0000-00001F000000}"/>
    <hyperlink ref="AA36" r:id="rId33" display="https://wa.me/628988759290" xr:uid="{00000000-0004-0000-0000-000020000000}"/>
    <hyperlink ref="AA37" r:id="rId34" display="https://wa.me/6281934079192" xr:uid="{00000000-0004-0000-0000-000021000000}"/>
    <hyperlink ref="AA38" r:id="rId35" display="https://wa.me/6281335551395" xr:uid="{00000000-0004-0000-0000-000022000000}"/>
    <hyperlink ref="AA39" r:id="rId36" display="https://wa.me/6282350524788" xr:uid="{00000000-0004-0000-0000-000023000000}"/>
    <hyperlink ref="AA40" r:id="rId37" display="https://wa.me/6285822386125" xr:uid="{00000000-0004-0000-0000-000024000000}"/>
    <hyperlink ref="AA41" r:id="rId38" display="https://wa.me/6281226605001" xr:uid="{00000000-0004-0000-0000-000025000000}"/>
    <hyperlink ref="AA42" r:id="rId39" display="https://wa.me/6287715040331" xr:uid="{00000000-0004-0000-0000-000026000000}"/>
    <hyperlink ref="AA43" r:id="rId40" display="https://wa.me/6281515877050" xr:uid="{00000000-0004-0000-0000-000027000000}"/>
    <hyperlink ref="AA44" r:id="rId41" display="https://wa.me/6281318125688" xr:uid="{00000000-0004-0000-0000-000028000000}"/>
    <hyperlink ref="AA45" r:id="rId42" display="https://wa.me/6281219751312" xr:uid="{00000000-0004-0000-0000-000029000000}"/>
    <hyperlink ref="AA46" r:id="rId43" display="https://wa.me/6287845701116" xr:uid="{00000000-0004-0000-0000-00002A000000}"/>
    <hyperlink ref="AA47" r:id="rId44" display="https://wa.me/6283134740502" xr:uid="{00000000-0004-0000-0000-00002B000000}"/>
    <hyperlink ref="AA48" r:id="rId45" display="https://wa.me/6267074784874" xr:uid="{00000000-0004-0000-0000-00002C000000}"/>
    <hyperlink ref="AA49" r:id="rId46" display="https://wa.me/6282211675028" xr:uid="{00000000-0004-0000-0000-00002D000000}"/>
    <hyperlink ref="AA50" r:id="rId47" display="https://wa.me/6281222110766" xr:uid="{00000000-0004-0000-0000-00002E000000}"/>
    <hyperlink ref="AA51" r:id="rId48" display="https://wa.me/6281340892328" xr:uid="{00000000-0004-0000-0000-00002F000000}"/>
    <hyperlink ref="AA52" r:id="rId49" display="https://wa.me/6281328119680" xr:uid="{00000000-0004-0000-0000-000030000000}"/>
    <hyperlink ref="AA53" r:id="rId50" display="https://wa.me/6282399006447" xr:uid="{00000000-0004-0000-0000-000031000000}"/>
    <hyperlink ref="AA54" r:id="rId51" display="https://wa.me/6285864008882" xr:uid="{00000000-0004-0000-0000-000032000000}"/>
    <hyperlink ref="AA56" r:id="rId52" display="https://wa.me/62895401448273" xr:uid="{00000000-0004-0000-0000-000033000000}"/>
    <hyperlink ref="AA57" r:id="rId53" display="https://wa.me/6281278788088" xr:uid="{00000000-0004-0000-0000-000034000000}"/>
    <hyperlink ref="AA58" r:id="rId54" display="https://wa.me/6282255726295" xr:uid="{00000000-0004-0000-0000-000035000000}"/>
    <hyperlink ref="AA59" r:id="rId55" display="https://wa.me/628114170888" xr:uid="{00000000-0004-0000-0000-000036000000}"/>
    <hyperlink ref="AA60" r:id="rId56" display="https://wa.me/6285853370682" xr:uid="{00000000-0004-0000-0000-000037000000}"/>
    <hyperlink ref="AA61" r:id="rId57" display="https://wa.me/6281904501876" xr:uid="{00000000-0004-0000-0000-000038000000}"/>
    <hyperlink ref="AA62" r:id="rId58" display="https://wa.me/6285714611166" xr:uid="{00000000-0004-0000-0000-000039000000}"/>
    <hyperlink ref="AA63" r:id="rId59" display="https://wa.me/6282347206488" xr:uid="{00000000-0004-0000-0000-00003A000000}"/>
    <hyperlink ref="AA64" r:id="rId60" display="https://wa.me/6281519225886" xr:uid="{00000000-0004-0000-0000-00003B000000}"/>
    <hyperlink ref="AA65" r:id="rId61" display="https://wa.me/6282393168368" xr:uid="{00000000-0004-0000-0000-00003C000000}"/>
    <hyperlink ref="AA66" r:id="rId62" display="https://wa.me/6285353864755" xr:uid="{00000000-0004-0000-0000-00003D000000}"/>
    <hyperlink ref="AA67" r:id="rId63" display="https://wa.me/6281216962242" xr:uid="{00000000-0004-0000-0000-00003E000000}"/>
    <hyperlink ref="AA68" r:id="rId64" display="https://wa.me/6281335728695" xr:uid="{00000000-0004-0000-0000-00003F000000}"/>
    <hyperlink ref="AA69" r:id="rId65" display="https://wa.me/6285261023204" xr:uid="{00000000-0004-0000-0000-000040000000}"/>
    <hyperlink ref="AA70" r:id="rId66" display="https://wa.me/6285747906282" xr:uid="{00000000-0004-0000-0000-000041000000}"/>
    <hyperlink ref="AA71" r:id="rId67" display="https://wa.me/6281952482523" xr:uid="{00000000-0004-0000-0000-000042000000}"/>
    <hyperlink ref="AA72" r:id="rId68" display="https://wa.me/6285220216325" xr:uid="{00000000-0004-0000-0000-000043000000}"/>
    <hyperlink ref="AA73" r:id="rId69" display="https://wa.me/6282399006447" xr:uid="{00000000-0004-0000-0000-000044000000}"/>
    <hyperlink ref="AA74" r:id="rId70" display="https://wa.me/6281328119680" xr:uid="{00000000-0004-0000-0000-000045000000}"/>
    <hyperlink ref="AA75" r:id="rId71" display="https://wa.me/6281241440688" xr:uid="{00000000-0004-0000-0000-000046000000}"/>
    <hyperlink ref="AA76" r:id="rId72" display="https://wa.me/6282280929802" xr:uid="{00000000-0004-0000-0000-000047000000}"/>
    <hyperlink ref="AA77" r:id="rId73" display="https://wa.me/6283185169816" xr:uid="{00000000-0004-0000-0000-000048000000}"/>
    <hyperlink ref="AA78" r:id="rId74" display="https://wa.me/6285210107607" xr:uid="{00000000-0004-0000-0000-000049000000}"/>
    <hyperlink ref="AA79" r:id="rId75" display="https://wa.me/6288215445661" xr:uid="{00000000-0004-0000-0000-00004A000000}"/>
    <hyperlink ref="AA80" r:id="rId76" display="https://wa.me/6282162580404" xr:uid="{00000000-0004-0000-0000-00004B000000}"/>
    <hyperlink ref="AA81" r:id="rId77" display="https://wa.me/6281337029495" xr:uid="{00000000-0004-0000-0000-00004C000000}"/>
    <hyperlink ref="AA82" r:id="rId78" display="https://wa.me/6282258886603" xr:uid="{00000000-0004-0000-0000-00004D000000}"/>
    <hyperlink ref="AA83" r:id="rId79" display="https://wa.me/6281338789995" xr:uid="{00000000-0004-0000-0000-00004E000000}"/>
    <hyperlink ref="AA84" r:id="rId80" display="https://wa.me/6281905836259" xr:uid="{00000000-0004-0000-0000-00004F000000}"/>
    <hyperlink ref="AA85" r:id="rId81" display="https://wa.me/6285757057088" xr:uid="{00000000-0004-0000-0000-000050000000}"/>
    <hyperlink ref="AA86" r:id="rId82" display="https://wa.me/6285274759862" xr:uid="{00000000-0004-0000-0000-000051000000}"/>
    <hyperlink ref="AA87" r:id="rId83" display="https://wa.me/6281316155059" xr:uid="{00000000-0004-0000-0000-000052000000}"/>
    <hyperlink ref="AA88" r:id="rId84" display="https://wa.me/6282176695820" xr:uid="{00000000-0004-0000-0000-000053000000}"/>
    <hyperlink ref="AA89" r:id="rId85" display="https://wa.me/6289523308892" xr:uid="{00000000-0004-0000-0000-000054000000}"/>
    <hyperlink ref="AA90" r:id="rId86" display="https://wa.me/6281632236409" xr:uid="{00000000-0004-0000-0000-000055000000}"/>
    <hyperlink ref="AA91" r:id="rId87" display="https://wa.me/628127962347" xr:uid="{00000000-0004-0000-0000-000056000000}"/>
    <hyperlink ref="AA92" r:id="rId88" display="https://wa.me/6282141603091" xr:uid="{00000000-0004-0000-0000-000057000000}"/>
    <hyperlink ref="AA93" r:id="rId89" display="https://wa.me/6282324392716" xr:uid="{00000000-0004-0000-0000-000058000000}"/>
    <hyperlink ref="AA94" r:id="rId90" display="https://wa.me/6281283325291" xr:uid="{00000000-0004-0000-0000-000059000000}"/>
    <hyperlink ref="AA95" r:id="rId91" display="https://wa.me/628122102657" xr:uid="{00000000-0004-0000-0000-00005A000000}"/>
    <hyperlink ref="AA96" r:id="rId92" display="https://wa.me/6281575323811" xr:uid="{00000000-0004-0000-0000-00005B000000}"/>
    <hyperlink ref="AA97" r:id="rId93" display="https://wa.me/6281327680909" xr:uid="{00000000-0004-0000-0000-00005C000000}"/>
    <hyperlink ref="AA98" r:id="rId94" display="https://wa.me/6287778562681" xr:uid="{00000000-0004-0000-0000-00005D000000}"/>
    <hyperlink ref="AA99" r:id="rId95" display="https://wa.me/6285642607938" xr:uid="{00000000-0004-0000-0000-00005E000000}"/>
    <hyperlink ref="AA100" r:id="rId96" display="https://wa.me/6283866009989" xr:uid="{00000000-0004-0000-0000-00005F000000}"/>
    <hyperlink ref="AA101" r:id="rId97" display="https://wa.me/6282224315700" xr:uid="{00000000-0004-0000-0000-000060000000}"/>
    <hyperlink ref="AA102" r:id="rId98" display="https://wa.me/6287877805175" xr:uid="{00000000-0004-0000-0000-000061000000}"/>
    <hyperlink ref="AA103" r:id="rId99" display="https://wa.me/6285227384634" xr:uid="{00000000-0004-0000-0000-000062000000}"/>
    <hyperlink ref="AA104" r:id="rId100" display="https://wa.me/62818585822" xr:uid="{00000000-0004-0000-0000-000063000000}"/>
    <hyperlink ref="AA105" r:id="rId101" display="https://wa.me/6281393958199" xr:uid="{00000000-0004-0000-0000-000064000000}"/>
    <hyperlink ref="AA106" r:id="rId102" display="https://wa.me/6285725492572" xr:uid="{00000000-0004-0000-0000-000065000000}"/>
    <hyperlink ref="AA107" r:id="rId103" display="https://wa.me/6282125465047" xr:uid="{00000000-0004-0000-0000-000066000000}"/>
    <hyperlink ref="AA108" r:id="rId104" display="https://wa.me/6281233044823" xr:uid="{00000000-0004-0000-0000-000067000000}"/>
    <hyperlink ref="AA109" r:id="rId105" display="https://wa.me/6285180805171" xr:uid="{00000000-0004-0000-0000-000068000000}"/>
    <hyperlink ref="AA110" r:id="rId106" display="https://wa.me/6289617461806" xr:uid="{00000000-0004-0000-0000-000069000000}"/>
    <hyperlink ref="AA111" r:id="rId107" display="https://wa.me/6281230995752" xr:uid="{00000000-0004-0000-0000-00006A000000}"/>
    <hyperlink ref="AA112" r:id="rId108" display="https://wa.me/6285733774700" xr:uid="{00000000-0004-0000-0000-00006B000000}"/>
    <hyperlink ref="AA113" r:id="rId109" display="https://wa.me/6281215851833" xr:uid="{00000000-0004-0000-0000-00006C000000}"/>
    <hyperlink ref="AA114" r:id="rId110" display="https://wa.me/6285361188745" xr:uid="{00000000-0004-0000-0000-00006D000000}"/>
    <hyperlink ref="AA115" r:id="rId111" display="https://wa.me/6282183115806" xr:uid="{00000000-0004-0000-0000-00006E000000}"/>
    <hyperlink ref="AA116" r:id="rId112" display="https://wa.me/6285797903614" xr:uid="{00000000-0004-0000-0000-00006F000000}"/>
    <hyperlink ref="AA117" r:id="rId113" display="https://wa.me/6281514999073" xr:uid="{00000000-0004-0000-0000-000070000000}"/>
    <hyperlink ref="AA118" r:id="rId114" display="https://wa.me/6283151330372" xr:uid="{00000000-0004-0000-0000-000071000000}"/>
    <hyperlink ref="AA119" r:id="rId115" display="https://wa.me/6281932590871" xr:uid="{00000000-0004-0000-0000-000072000000}"/>
    <hyperlink ref="AA120" r:id="rId116" display="https://wa.me/6285775986977" xr:uid="{00000000-0004-0000-0000-000073000000}"/>
    <hyperlink ref="AA121" r:id="rId117" display="https://wa.me/6281383899119" xr:uid="{00000000-0004-0000-0000-000074000000}"/>
    <hyperlink ref="AA122" r:id="rId118" display="https://wa.me/6281299907533" xr:uid="{00000000-0004-0000-0000-000075000000}"/>
    <hyperlink ref="AA123" r:id="rId119" display="https://wa.me/6282230035858" xr:uid="{00000000-0004-0000-0000-000076000000}"/>
    <hyperlink ref="AA124" r:id="rId120" display="https://wa.me/628114170888" xr:uid="{00000000-0004-0000-0000-000077000000}"/>
    <hyperlink ref="AA125" r:id="rId121" display="https://wa.me/6283135590465" xr:uid="{00000000-0004-0000-0000-000078000000}"/>
    <hyperlink ref="AA126" r:id="rId122" display="https://wa.me/6281519225886" xr:uid="{00000000-0004-0000-0000-000079000000}"/>
    <hyperlink ref="AA127" r:id="rId123" display="https://wa.me/6285358461095" xr:uid="{00000000-0004-0000-0000-00007A000000}"/>
    <hyperlink ref="AA128" r:id="rId124" display="https://wa.me/6281904501876" xr:uid="{00000000-0004-0000-0000-00007B000000}"/>
    <hyperlink ref="AA129" r:id="rId125" display="https://wa.me/6285711667433" xr:uid="{00000000-0004-0000-0000-00007C000000}"/>
    <hyperlink ref="AA130" r:id="rId126" display="https://wa.me/6287874945781" xr:uid="{00000000-0004-0000-0000-00007D000000}"/>
    <hyperlink ref="AA131" r:id="rId127" display="https://wa.me/6285220216325" xr:uid="{00000000-0004-0000-0000-00007E000000}"/>
    <hyperlink ref="AA132" r:id="rId128" display="https://wa.me/6282122880328" xr:uid="{00000000-0004-0000-0000-00007F000000}"/>
    <hyperlink ref="AA133" r:id="rId129" display="https://wa.me/6281253792753" xr:uid="{00000000-0004-0000-0000-000080000000}"/>
    <hyperlink ref="AA134" r:id="rId130" display="https://wa.me/6281383434602" xr:uid="{00000000-0004-0000-0000-000081000000}"/>
    <hyperlink ref="AA135" r:id="rId131" display="https://wa.me/6281263113266" xr:uid="{00000000-0004-0000-0000-000082000000}"/>
    <hyperlink ref="AA136" r:id="rId132" display="https://wa.me/6282385989828" xr:uid="{00000000-0004-0000-0000-000083000000}"/>
    <hyperlink ref="AA137" r:id="rId133" display="https://wa.me/6282399721881" xr:uid="{00000000-0004-0000-0000-000084000000}"/>
    <hyperlink ref="AA138" r:id="rId134" display="https://wa.me/6281293309300" xr:uid="{00000000-0004-0000-0000-000085000000}"/>
    <hyperlink ref="AA139" r:id="rId135" display="https://wa.me/6281315230027" xr:uid="{00000000-0004-0000-0000-000086000000}"/>
    <hyperlink ref="AA140" r:id="rId136" display="https://wa.me/6285261023204" xr:uid="{00000000-0004-0000-0000-000087000000}"/>
    <hyperlink ref="AA141" r:id="rId137" display="https://wa.me/6282214481223" xr:uid="{00000000-0004-0000-0000-000088000000}"/>
    <hyperlink ref="AA142" r:id="rId138" display="https://wa.me/6282325874670" xr:uid="{00000000-0004-0000-0000-000089000000}"/>
    <hyperlink ref="AA143" r:id="rId139" display="https://wa.me/6281374115054" xr:uid="{00000000-0004-0000-0000-00008A000000}"/>
    <hyperlink ref="AA144" r:id="rId140" display="https://wa.me/6285777110340" xr:uid="{00000000-0004-0000-0000-00008B000000}"/>
    <hyperlink ref="AA145" r:id="rId141" display="https://wa.me/6285722222257" xr:uid="{00000000-0004-0000-0000-00008C000000}"/>
    <hyperlink ref="AA146" r:id="rId142" display="https://wa.me/628158830325" xr:uid="{00000000-0004-0000-0000-00008D000000}"/>
    <hyperlink ref="AA147" r:id="rId143" display="https://wa.me/6285240694097" xr:uid="{00000000-0004-0000-0000-00008E000000}"/>
    <hyperlink ref="AA148" r:id="rId144" display="https://wa.me/6281938563373" xr:uid="{00000000-0004-0000-0000-00008F000000}"/>
    <hyperlink ref="AA149" r:id="rId145" display="https://wa.me/6282365004117" xr:uid="{00000000-0004-0000-0000-000090000000}"/>
    <hyperlink ref="AA150" r:id="rId146" display="https://wa.me/6285167182620" xr:uid="{00000000-0004-0000-0000-000091000000}"/>
    <hyperlink ref="AA151" r:id="rId147" display="https://wa.me/6281399731413" xr:uid="{00000000-0004-0000-0000-000092000000}"/>
    <hyperlink ref="AA152" r:id="rId148" display="https://wa.me/6285950836788" xr:uid="{00000000-0004-0000-0000-000093000000}"/>
    <hyperlink ref="AA153" r:id="rId149" display="https://wa.me/6281384442619" xr:uid="{00000000-0004-0000-0000-000094000000}"/>
    <hyperlink ref="AA154" r:id="rId150" display="https://wa.me/6288215445661" xr:uid="{00000000-0004-0000-0000-000095000000}"/>
    <hyperlink ref="AA155" r:id="rId151" display="https://wa.me/6281649155643" xr:uid="{00000000-0004-0000-0000-000096000000}"/>
    <hyperlink ref="AA156" r:id="rId152" display="https://wa.me/6281248936324" xr:uid="{00000000-0004-0000-0000-000097000000}"/>
    <hyperlink ref="AA157" r:id="rId153" display="https://wa.me/6285266218699" xr:uid="{00000000-0004-0000-0000-000098000000}"/>
    <hyperlink ref="AA158" r:id="rId154" display="https://wa.me/628174741283" xr:uid="{00000000-0004-0000-0000-000099000000}"/>
    <hyperlink ref="AA159" r:id="rId155" display="https://wa.me/6282258886603" xr:uid="{00000000-0004-0000-0000-00009A000000}"/>
    <hyperlink ref="AA160" r:id="rId156" display="https://wa.me/6285715856120" xr:uid="{00000000-0004-0000-0000-00009B000000}"/>
    <hyperlink ref="AA161" r:id="rId157" display="https://wa.me/6281347156140" xr:uid="{00000000-0004-0000-0000-00009C000000}"/>
    <hyperlink ref="AA162" r:id="rId158" display="https://wa.me/6282172291579" xr:uid="{00000000-0004-0000-0000-00009D000000}"/>
    <hyperlink ref="AA163" r:id="rId159" display="https://wa.me/6285210107607" xr:uid="{00000000-0004-0000-0000-00009E000000}"/>
    <hyperlink ref="AA164" r:id="rId160" display="https://wa.me/6282134333004" xr:uid="{00000000-0004-0000-0000-00009F000000}"/>
    <hyperlink ref="AA165" r:id="rId161" display="https://wa.me/6282115973014" xr:uid="{00000000-0004-0000-0000-0000A0000000}"/>
    <hyperlink ref="AA166" r:id="rId162" display="https://wa.me/6281235549299" xr:uid="{00000000-0004-0000-0000-0000A1000000}"/>
    <hyperlink ref="AA167" r:id="rId163" display="https://wa.me/6285340323663" xr:uid="{00000000-0004-0000-0000-0000A2000000}"/>
    <hyperlink ref="AA168" r:id="rId164" display="https://wa.me/6281269441611" xr:uid="{00000000-0004-0000-0000-0000A3000000}"/>
    <hyperlink ref="AA169" r:id="rId165" display="https://wa.me/6281138301069" xr:uid="{00000000-0004-0000-0000-0000A4000000}"/>
    <hyperlink ref="AA170" r:id="rId166" display="https://wa.me/6281213589905" xr:uid="{00000000-0004-0000-0000-0000A5000000}"/>
    <hyperlink ref="AA171" r:id="rId167" display="https://wa.me/6281393958199" xr:uid="{00000000-0004-0000-0000-0000A6000000}"/>
    <hyperlink ref="AA172" r:id="rId168" display="https://wa.me/6281364147407" xr:uid="{00000000-0004-0000-0000-0000A7000000}"/>
    <hyperlink ref="AA173" r:id="rId169" display="https://wa.me/6288228976100" xr:uid="{00000000-0004-0000-0000-0000A8000000}"/>
    <hyperlink ref="AA174" r:id="rId170" display="https://wa.me/6285863299162" xr:uid="{00000000-0004-0000-0000-0000A9000000}"/>
    <hyperlink ref="AA175" r:id="rId171" display="https://wa.me/6287777241263" xr:uid="{00000000-0004-0000-0000-0000AA000000}"/>
    <hyperlink ref="AA176" r:id="rId172" display="https://wa.me/6281952482523" xr:uid="{00000000-0004-0000-0000-0000AB000000}"/>
    <hyperlink ref="AA177" r:id="rId173" display="https://wa.me/6281366622333" xr:uid="{00000000-0004-0000-0000-0000AC000000}"/>
    <hyperlink ref="AA178" r:id="rId174" display="https://wa.me/6281282183261" xr:uid="{00000000-0004-0000-0000-0000AD000000}"/>
    <hyperlink ref="AA179" r:id="rId175" display="https://wa.me/6287822304727" xr:uid="{00000000-0004-0000-0000-0000AE000000}"/>
    <hyperlink ref="AA180" r:id="rId176" display="https://wa.me/6285668750416" xr:uid="{00000000-0004-0000-0000-0000AF000000}"/>
    <hyperlink ref="AA181" r:id="rId177" display="https://wa.me/6281351666729" xr:uid="{00000000-0004-0000-0000-0000B0000000}"/>
    <hyperlink ref="AA182" r:id="rId178" display="https://wa.me/6285747906282" xr:uid="{00000000-0004-0000-0000-0000B1000000}"/>
    <hyperlink ref="AA183" r:id="rId179" display="https://wa.me/6281343148204" xr:uid="{00000000-0004-0000-0000-0000B2000000}"/>
    <hyperlink ref="AA184" r:id="rId180" display="https://wa.me/6285169568997" xr:uid="{00000000-0004-0000-0000-0000B3000000}"/>
    <hyperlink ref="AA185" r:id="rId181" display="https://wa.me/6281291128945" xr:uid="{00000000-0004-0000-0000-0000B4000000}"/>
    <hyperlink ref="AA186" r:id="rId182" display="https://wa.me/6282145068631" xr:uid="{00000000-0004-0000-0000-0000B5000000}"/>
    <hyperlink ref="AA187" r:id="rId183" display="https://wa.me/6285974999484" xr:uid="{00000000-0004-0000-0000-0000B6000000}"/>
    <hyperlink ref="AA188" r:id="rId184" display="https://wa.me/6282211473253" xr:uid="{00000000-0004-0000-0000-0000B7000000}"/>
    <hyperlink ref="AA189" r:id="rId185" display="https://wa.me/6285774217794" xr:uid="{00000000-0004-0000-0000-0000B8000000}"/>
    <hyperlink ref="AA190" r:id="rId186" display="https://wa.me/6285869122507" xr:uid="{00000000-0004-0000-0000-0000B9000000}"/>
    <hyperlink ref="AA191" r:id="rId187" display="https://wa.me/6285263289844" xr:uid="{00000000-0004-0000-0000-0000BA000000}"/>
    <hyperlink ref="AA192" r:id="rId188" display="https://wa.me/6282247030008" xr:uid="{00000000-0004-0000-0000-0000BB000000}"/>
    <hyperlink ref="AA193" r:id="rId189" display="https://wa.me/6282131666003" xr:uid="{00000000-0004-0000-0000-0000BC000000}"/>
    <hyperlink ref="AA194" r:id="rId190" display="https://wa.me/6281338789995" xr:uid="{00000000-0004-0000-0000-0000BD000000}"/>
    <hyperlink ref="AA195" r:id="rId191" display="https://wa.me/6281323910830" xr:uid="{00000000-0004-0000-0000-0000BE000000}"/>
    <hyperlink ref="AA196" r:id="rId192" display="https://wa.me/6282285691485" xr:uid="{00000000-0004-0000-0000-0000BF000000}"/>
    <hyperlink ref="AA197" r:id="rId193" display="https://wa.me/6281352626888" xr:uid="{00000000-0004-0000-0000-0000C0000000}"/>
    <hyperlink ref="AA198" r:id="rId194" display="https://wa.me/6285727410479" xr:uid="{00000000-0004-0000-0000-0000C1000000}"/>
    <hyperlink ref="AA199" r:id="rId195" display="https://wa.me/6281246211381" xr:uid="{00000000-0004-0000-0000-0000C2000000}"/>
    <hyperlink ref="AA200" r:id="rId196" display="https://wa.me/6282188390340" xr:uid="{00000000-0004-0000-0000-0000C3000000}"/>
    <hyperlink ref="AA201" r:id="rId197" display="https://wa.me/6288980619907" xr:uid="{00000000-0004-0000-0000-0000C4000000}"/>
    <hyperlink ref="AA202" r:id="rId198" display="https://wa.me/6282114053996" xr:uid="{00000000-0004-0000-0000-0000C5000000}"/>
    <hyperlink ref="AA203" r:id="rId199" display="https://wa.me/628111988553" xr:uid="{00000000-0004-0000-0000-0000C6000000}"/>
    <hyperlink ref="AA204" r:id="rId200" display="https://wa.me/6282338171577" xr:uid="{00000000-0004-0000-0000-0000C7000000}"/>
    <hyperlink ref="AA205" r:id="rId201" display="https://wa.me/62882003293835" xr:uid="{00000000-0004-0000-0000-0000C8000000}"/>
    <hyperlink ref="AA206" r:id="rId202" display="https://wa.me/6281934879222" xr:uid="{00000000-0004-0000-0000-0000C9000000}"/>
    <hyperlink ref="AA207" r:id="rId203" display="https://wa.me/6285216582806" xr:uid="{00000000-0004-0000-0000-0000CA000000}"/>
    <hyperlink ref="AA208" r:id="rId204" display="https://wa.me/6282169851900" xr:uid="{00000000-0004-0000-0000-0000CB000000}"/>
    <hyperlink ref="AA209" r:id="rId205" display="https://wa.me/6285647189964" xr:uid="{00000000-0004-0000-0000-0000CC000000}"/>
    <hyperlink ref="AA210" r:id="rId206" display="https://wa.me/6281378152512" xr:uid="{00000000-0004-0000-0000-0000CD000000}"/>
    <hyperlink ref="AA211" r:id="rId207" display="https://wa.me/6281355026552" xr:uid="{00000000-0004-0000-0000-0000CE000000}"/>
    <hyperlink ref="AA212" r:id="rId208" display="https://wa.me/6282228737559" xr:uid="{00000000-0004-0000-0000-0000CF000000}"/>
    <hyperlink ref="AA213" r:id="rId209" display="https://wa.me/6288297718776" xr:uid="{00000000-0004-0000-0000-0000D0000000}"/>
    <hyperlink ref="AA214" r:id="rId210" display="https://wa.me/6282227027805" xr:uid="{00000000-0004-0000-0000-0000D1000000}"/>
    <hyperlink ref="AA215" r:id="rId211" display="https://wa.me/6282192773278" xr:uid="{00000000-0004-0000-0000-0000D2000000}"/>
    <hyperlink ref="AA216" r:id="rId212" display="https://wa.me/6281290414113" xr:uid="{00000000-0004-0000-0000-0000D3000000}"/>
    <hyperlink ref="AA217" r:id="rId213" display="https://wa.me/6282164919126" xr:uid="{00000000-0004-0000-0000-0000D4000000}"/>
    <hyperlink ref="AA218" r:id="rId214" display="https://wa.me/6282124027899" xr:uid="{00000000-0004-0000-0000-0000D5000000}"/>
    <hyperlink ref="AA219" r:id="rId215" display="https://wa.me/6282115608585" xr:uid="{00000000-0004-0000-0000-0000D6000000}"/>
    <hyperlink ref="AA220" r:id="rId216" display="https://wa.me/6285238093436" xr:uid="{00000000-0004-0000-0000-0000D7000000}"/>
    <hyperlink ref="AA221" r:id="rId217" display="https://wa.me/62818763108" xr:uid="{00000000-0004-0000-0000-0000D8000000}"/>
    <hyperlink ref="AA222" r:id="rId218" display="https://wa.me/0" xr:uid="{00000000-0004-0000-0000-0000D9000000}"/>
    <hyperlink ref="AA223" r:id="rId219" display="https://wa.me/6282214481223" xr:uid="{00000000-0004-0000-0000-0000DA000000}"/>
    <hyperlink ref="AA224" r:id="rId220" display="https://wa.me/6281943398970" xr:uid="{00000000-0004-0000-0000-0000DB000000}"/>
    <hyperlink ref="AA225" r:id="rId221" display="https://wa.me/6282125330919" xr:uid="{00000000-0004-0000-0000-0000DC000000}"/>
    <hyperlink ref="AA226" r:id="rId222" display="https://wa.me/628111508569" xr:uid="{00000000-0004-0000-0000-0000DD000000}"/>
    <hyperlink ref="AA227" r:id="rId223" display="https://wa.me/628114170888" xr:uid="{00000000-0004-0000-0000-0000DE000000}"/>
    <hyperlink ref="AA228" r:id="rId224" display="https://wa.me/6285702653554" xr:uid="{00000000-0004-0000-0000-0000DF000000}"/>
    <hyperlink ref="AA229" r:id="rId225" display="https://wa.me/628562943274" xr:uid="{00000000-0004-0000-0000-0000E0000000}"/>
    <hyperlink ref="AA230" r:id="rId226" display="https://wa.me/6285362101860" xr:uid="{00000000-0004-0000-0000-0000E1000000}"/>
    <hyperlink ref="AA231" r:id="rId227" display="https://wa.me/6281241440688" xr:uid="{00000000-0004-0000-0000-0000E2000000}"/>
    <hyperlink ref="AA232" r:id="rId228" display="https://wa.me/62812279574" xr:uid="{00000000-0004-0000-0000-0000E3000000}"/>
    <hyperlink ref="AA233" r:id="rId229" display="https://wa.me/6282315669271" xr:uid="{00000000-0004-0000-0000-0000E4000000}"/>
    <hyperlink ref="AA234" r:id="rId230" display="https://wa.me/6285779532526" xr:uid="{00000000-0004-0000-0000-0000E5000000}"/>
    <hyperlink ref="AA235" r:id="rId231" display="https://wa.me/6281779578317" xr:uid="{00000000-0004-0000-0000-0000E6000000}"/>
    <hyperlink ref="AA236" r:id="rId232" display="https://wa.me/6285311472244" xr:uid="{00000000-0004-0000-0000-0000E7000000}"/>
    <hyperlink ref="AA237" r:id="rId233" display="https://wa.me/6289635171849" xr:uid="{00000000-0004-0000-0000-0000E8000000}"/>
    <hyperlink ref="AA238" r:id="rId234" display="https://wa.me/6283162052952" xr:uid="{00000000-0004-0000-0000-0000E9000000}"/>
    <hyperlink ref="AA239" r:id="rId235" display="https://wa.me/62895800343940" xr:uid="{00000000-0004-0000-0000-0000EA000000}"/>
    <hyperlink ref="AA240" r:id="rId236" display="https://wa.me/6285715856120" xr:uid="{00000000-0004-0000-0000-0000EB000000}"/>
    <hyperlink ref="AA241" r:id="rId237" display="https://wa.me/6283845117965" xr:uid="{00000000-0004-0000-0000-0000EC000000}"/>
    <hyperlink ref="AA242" r:id="rId238" display="https://wa.me/628112999165" xr:uid="{00000000-0004-0000-0000-0000ED000000}"/>
    <hyperlink ref="AA243" r:id="rId239" display="https://wa.me/6282258462258" xr:uid="{00000000-0004-0000-0000-0000EE000000}"/>
    <hyperlink ref="AA244" r:id="rId240" display="https://wa.me/6281412281953" xr:uid="{00000000-0004-0000-0000-0000EF000000}"/>
    <hyperlink ref="AA245" r:id="rId241" display="https://wa.me/62895800343940" xr:uid="{00000000-0004-0000-0000-0000F0000000}"/>
    <hyperlink ref="AA246" r:id="rId242" display="https://wa.me/6285338137835" xr:uid="{00000000-0004-0000-0000-0000F1000000}"/>
    <hyperlink ref="AA247" r:id="rId243" display="https://wa.me/62811339289839" xr:uid="{00000000-0004-0000-0000-0000F2000000}"/>
    <hyperlink ref="AA248" r:id="rId244" display="https://wa.me/6281287982295" xr:uid="{00000000-0004-0000-0000-0000F3000000}"/>
    <hyperlink ref="AA249" r:id="rId245" display="https://wa.me/6287754552859" xr:uid="{00000000-0004-0000-0000-0000F4000000}"/>
    <hyperlink ref="AA250" r:id="rId246" display="https://wa.me/628972861717" xr:uid="{00000000-0004-0000-0000-0000F5000000}"/>
    <hyperlink ref="AA251" r:id="rId247" display="https://wa.me/6287782749624" xr:uid="{00000000-0004-0000-0000-0000F6000000}"/>
    <hyperlink ref="AA252" r:id="rId248" display="https://wa.me/6288215032728" xr:uid="{00000000-0004-0000-0000-0000F7000000}"/>
    <hyperlink ref="AA253" r:id="rId249" display="https://wa.me/6287754552859" xr:uid="{00000000-0004-0000-0000-0000F8000000}"/>
    <hyperlink ref="AA254" r:id="rId250" display="https://wa.me/6281237893904" xr:uid="{00000000-0004-0000-0000-0000F9000000}"/>
    <hyperlink ref="AA255" r:id="rId251" display="https://wa.me/6281361879826" xr:uid="{00000000-0004-0000-0000-0000FA000000}"/>
    <hyperlink ref="AA256" r:id="rId252" display="https://wa.me/6282111180648" xr:uid="{00000000-0004-0000-0000-0000FB000000}"/>
    <hyperlink ref="AA257" r:id="rId253" display="https://wa.me/6285713536070" xr:uid="{00000000-0004-0000-0000-0000FC000000}"/>
    <hyperlink ref="AA258" r:id="rId254" display="https://wa.me/6281214999292" xr:uid="{00000000-0004-0000-0000-0000FD000000}"/>
    <hyperlink ref="G259" r:id="rId255" xr:uid="{00000000-0004-0000-0000-0000FE000000}"/>
    <hyperlink ref="W259" r:id="rId256" display="http://primagriya.com/" xr:uid="{00000000-0004-0000-0000-0000FF000000}"/>
    <hyperlink ref="AA259" r:id="rId257" display="https://wa.me/6281239874761" xr:uid="{00000000-0004-0000-0000-000000010000}"/>
    <hyperlink ref="AA260" r:id="rId258" display="https://wa.me/6281240144744" xr:uid="{00000000-0004-0000-0000-000001010000}"/>
    <hyperlink ref="AA261" r:id="rId259" display="https://wa.me/6282184019830" xr:uid="{00000000-0004-0000-0000-000002010000}"/>
    <hyperlink ref="AA262" r:id="rId260" display="https://wa.me/6285956579758" xr:uid="{00000000-0004-0000-0000-000003010000}"/>
    <hyperlink ref="AA263" r:id="rId261" display="https://wa.me/6289525439559" xr:uid="{00000000-0004-0000-0000-000004010000}"/>
    <hyperlink ref="AA264" r:id="rId262" display="https://wa.me/6282128714101" xr:uid="{00000000-0004-0000-0000-000005010000}"/>
    <hyperlink ref="AA265" r:id="rId263" display="https://wa.me/6281212295448" xr:uid="{00000000-0004-0000-0000-000006010000}"/>
    <hyperlink ref="AA266" r:id="rId264" display="https://wa.me/6281337504727" xr:uid="{00000000-0004-0000-0000-000007010000}"/>
    <hyperlink ref="AA267" r:id="rId265" display="https://wa.me/6282136273086" xr:uid="{00000000-0004-0000-0000-000008010000}"/>
    <hyperlink ref="AA268" r:id="rId266" display="https://wa.me/6283878405768" xr:uid="{00000000-0004-0000-0000-000009010000}"/>
    <hyperlink ref="AA269" r:id="rId267" display="https://wa.me/6282238154676" xr:uid="{00000000-0004-0000-0000-00000A010000}"/>
    <hyperlink ref="AA270" r:id="rId268" display="https://wa.me/6283845117965" xr:uid="{00000000-0004-0000-0000-00000B010000}"/>
    <hyperlink ref="AA271" r:id="rId269" display="https://wa.me/6288229559606" xr:uid="{00000000-0004-0000-0000-00000C010000}"/>
    <hyperlink ref="AA272" r:id="rId270" display="https://wa.me/62859130962516" xr:uid="{00000000-0004-0000-0000-00000D010000}"/>
    <hyperlink ref="AA273" r:id="rId271" display="https://wa.me/6285279489086" xr:uid="{00000000-0004-0000-0000-00000E010000}"/>
    <hyperlink ref="AA274" r:id="rId272" display="https://wa.me/628122102657" xr:uid="{00000000-0004-0000-0000-00000F010000}"/>
    <hyperlink ref="AA275" r:id="rId273" display="https://wa.me/6285274759862" xr:uid="{00000000-0004-0000-0000-000010010000}"/>
    <hyperlink ref="AA276" r:id="rId274" display="https://wa.me/6282154541012" xr:uid="{00000000-0004-0000-0000-000011010000}"/>
    <hyperlink ref="AA277" r:id="rId275" display="https://wa.me/6281213766426" xr:uid="{00000000-0004-0000-0000-000012010000}"/>
    <hyperlink ref="AA278" r:id="rId276" display="https://wa.me/6282298717014" xr:uid="{00000000-0004-0000-0000-000013010000}"/>
    <hyperlink ref="AA279" r:id="rId277" display="https://wa.me/6281904501876" xr:uid="{00000000-0004-0000-0000-000014010000}"/>
    <hyperlink ref="AA280" r:id="rId278" display="https://wa.me/6281335728695" xr:uid="{00000000-0004-0000-0000-000015010000}"/>
    <hyperlink ref="AA281" r:id="rId279" display="https://wa.me/6285668750416" xr:uid="{00000000-0004-0000-0000-000016010000}"/>
    <hyperlink ref="AA282" r:id="rId280" display="https://wa.me/6281310204991" xr:uid="{00000000-0004-0000-0000-000017010000}"/>
    <hyperlink ref="AA283" r:id="rId281" display="https://wa.me/6281394618785" xr:uid="{00000000-0004-0000-0000-000018010000}"/>
    <hyperlink ref="AA284" r:id="rId282" display="https://wa.me/6287715704997" xr:uid="{00000000-0004-0000-0000-000019010000}"/>
    <hyperlink ref="AA285" r:id="rId283" display="https://wa.me/6281246211381" xr:uid="{00000000-0004-0000-0000-00001A010000}"/>
    <hyperlink ref="AA286" r:id="rId284" display="https://wa.me/6281252595912" xr:uid="{00000000-0004-0000-0000-00001B010000}"/>
    <hyperlink ref="AA287" r:id="rId285" display="https://wa.me/6285889229948" xr:uid="{00000000-0004-0000-0000-00001C010000}"/>
    <hyperlink ref="AA288" r:id="rId286" display="https://wa.me/6285282777679" xr:uid="{00000000-0004-0000-0000-00001D010000}"/>
    <hyperlink ref="AA289" r:id="rId287" display="https://wa.me/6283183643221" xr:uid="{00000000-0004-0000-0000-00001E010000}"/>
    <hyperlink ref="AA290" r:id="rId288" display="https://wa.me/6282227027805" xr:uid="{00000000-0004-0000-0000-00001F010000}"/>
    <hyperlink ref="AA291" r:id="rId289" display="https://wa.me/6285184844621" xr:uid="{00000000-0004-0000-0000-000020010000}"/>
    <hyperlink ref="AA292" r:id="rId290" display="https://wa.me/6285789446955" xr:uid="{00000000-0004-0000-0000-000021010000}"/>
    <hyperlink ref="AA293" r:id="rId291" display="https://wa.me/6285811444456" xr:uid="{00000000-0004-0000-0000-000022010000}"/>
    <hyperlink ref="AA294" r:id="rId292" display="https://wa.me/6282142833445" xr:uid="{00000000-0004-0000-0000-000023010000}"/>
    <hyperlink ref="AA295" r:id="rId293" display="https://wa.me/6281274238899" xr:uid="{00000000-0004-0000-0000-000024010000}"/>
    <hyperlink ref="AA296" r:id="rId294" display="https://wa.me/6281252228100" xr:uid="{00000000-0004-0000-0000-000025010000}"/>
    <hyperlink ref="AA297" r:id="rId295" display="https://wa.me/6285814054475" xr:uid="{00000000-0004-0000-0000-000026010000}"/>
    <hyperlink ref="AA298" r:id="rId296" display="https://wa.me/6287856746423" xr:uid="{00000000-0004-0000-0000-000027010000}"/>
    <hyperlink ref="AA299" r:id="rId297" display="https://wa.me/6281253629810" xr:uid="{00000000-0004-0000-0000-000028010000}"/>
    <hyperlink ref="AA300" r:id="rId298" display="https://wa.me/6285624268413" xr:uid="{00000000-0004-0000-0000-000029010000}"/>
    <hyperlink ref="AA301" r:id="rId299" display="https://wa.me/6289517787985" xr:uid="{00000000-0004-0000-0000-00002A010000}"/>
    <hyperlink ref="AA302" r:id="rId300" display="https://wa.me/6285150556695" xr:uid="{00000000-0004-0000-0000-00002B010000}"/>
    <hyperlink ref="AA303" r:id="rId301" display="https://wa.me/62895374644456" xr:uid="{00000000-0004-0000-0000-00002C010000}"/>
    <hyperlink ref="AA304" r:id="rId302" display="https://wa.me/6285853370682" xr:uid="{00000000-0004-0000-0000-00002D010000}"/>
    <hyperlink ref="AA305" r:id="rId303" display="https://wa.me/6281252867949" xr:uid="{00000000-0004-0000-0000-00002E010000}"/>
    <hyperlink ref="AA306" r:id="rId304" display="https://wa.me/6283177154244" xr:uid="{00000000-0004-0000-0000-00002F010000}"/>
    <hyperlink ref="AA307" r:id="rId305" display="https://wa.me/6281223544456" xr:uid="{00000000-0004-0000-0000-000030010000}"/>
    <hyperlink ref="AA308" r:id="rId306" display="https://wa.me/6282310465999" xr:uid="{00000000-0004-0000-0000-000031010000}"/>
    <hyperlink ref="AA309" r:id="rId307" display="https://wa.me/6285339158435" xr:uid="{00000000-0004-0000-0000-000032010000}"/>
    <hyperlink ref="AA310" r:id="rId308" display="https://wa.me/6285696765224" xr:uid="{00000000-0004-0000-0000-000033010000}"/>
    <hyperlink ref="AA311" r:id="rId309" display="https://wa.me/6281229745253" xr:uid="{00000000-0004-0000-0000-000034010000}"/>
    <hyperlink ref="AA312" r:id="rId310" display="https://wa.me/6282298717014" xr:uid="{00000000-0004-0000-0000-000035010000}"/>
    <hyperlink ref="AA313" r:id="rId311" display="https://wa.me/6281352626888" xr:uid="{00000000-0004-0000-0000-000036010000}"/>
    <hyperlink ref="AA314" r:id="rId312" display="https://wa.me/6287757150828" xr:uid="{00000000-0004-0000-0000-000037010000}"/>
    <hyperlink ref="AA315" r:id="rId313" display="https://wa.me/6282277773540" xr:uid="{00000000-0004-0000-0000-000038010000}"/>
    <hyperlink ref="AA316" r:id="rId314" display="https://wa.me/6281316839343" xr:uid="{00000000-0004-0000-0000-000039010000}"/>
    <hyperlink ref="AA317" r:id="rId315" display="https://wa.me/6285384321677" xr:uid="{00000000-0004-0000-0000-00003A010000}"/>
    <hyperlink ref="AA318" r:id="rId316" display="https://wa.me/6281284410725" xr:uid="{00000000-0004-0000-0000-00003B010000}"/>
    <hyperlink ref="AA319" r:id="rId317" display="https://wa.me/6282339444339" xr:uid="{00000000-0004-0000-0000-00003C010000}"/>
    <hyperlink ref="AA320" r:id="rId318" display="https://wa.me/6285169411418" xr:uid="{00000000-0004-0000-0000-00003D010000}"/>
    <hyperlink ref="AA321" r:id="rId319" display="https://wa.me/62895416149255" xr:uid="{00000000-0004-0000-0000-00003E010000}"/>
    <hyperlink ref="AA322" r:id="rId320" display="https://wa.me/6281916331011" xr:uid="{00000000-0004-0000-0000-00003F010000}"/>
    <hyperlink ref="AA323" r:id="rId321" display="https://wa.me/6281241440688" xr:uid="{00000000-0004-0000-0000-000040010000}"/>
    <hyperlink ref="AA324" r:id="rId322" display="https://wa.me/6282339444339" xr:uid="{00000000-0004-0000-0000-000041010000}"/>
    <hyperlink ref="AA325" r:id="rId323" display="https://wa.me/6281412281953" xr:uid="{00000000-0004-0000-0000-000042010000}"/>
    <hyperlink ref="AA326" r:id="rId324" display="https://wa.me/6285186029090" xr:uid="{00000000-0004-0000-0000-000043010000}"/>
    <hyperlink ref="AA327" r:id="rId325" display="https://wa.me/6289608357133" xr:uid="{00000000-0004-0000-0000-000044010000}"/>
    <hyperlink ref="AA328" r:id="rId326" display="https://wa.me/6285746861553" xr:uid="{00000000-0004-0000-0000-000045010000}"/>
    <hyperlink ref="AA329" r:id="rId327" display="https://wa.me/6283147736523" xr:uid="{00000000-0004-0000-0000-000046010000}"/>
    <hyperlink ref="AA330" r:id="rId328" display="https://wa.me/6281221788919" xr:uid="{00000000-0004-0000-0000-000047010000}"/>
    <hyperlink ref="AA331" r:id="rId329" display="https://wa.me/6285714141525" xr:uid="{00000000-0004-0000-0000-000048010000}"/>
    <hyperlink ref="AA332" r:id="rId330" display="https://wa.me/6281217985917" xr:uid="{00000000-0004-0000-0000-000049010000}"/>
    <hyperlink ref="AA333" r:id="rId331" display="https://wa.me/6287839406770" xr:uid="{00000000-0004-0000-0000-00004A010000}"/>
    <hyperlink ref="AA334" r:id="rId332" display="https://wa.me/6285668750416" xr:uid="{00000000-0004-0000-0000-00004B010000}"/>
    <hyperlink ref="AA335" r:id="rId333" display="https://wa.me/6281317170441" xr:uid="{00000000-0004-0000-0000-00004C010000}"/>
    <hyperlink ref="AA336" r:id="rId334" display="https://wa.me/6288274090631" xr:uid="{00000000-0004-0000-0000-00004D010000}"/>
    <hyperlink ref="AA337" r:id="rId335" display="https://wa.me/6283870060603" xr:uid="{00000000-0004-0000-0000-00004E010000}"/>
    <hyperlink ref="AA338" r:id="rId336" display="https://wa.me/62881038177010" xr:uid="{00000000-0004-0000-0000-00004F010000}"/>
    <hyperlink ref="AA339" r:id="rId337" display="https://wa.me/6282307376695" xr:uid="{00000000-0004-0000-0000-000050010000}"/>
    <hyperlink ref="AA340" r:id="rId338" display="https://wa.me/6283865096870" xr:uid="{00000000-0004-0000-0000-000051010000}"/>
    <hyperlink ref="AA341" r:id="rId339" display="https://wa.me/62882001677470" xr:uid="{00000000-0004-0000-0000-000052010000}"/>
    <hyperlink ref="AA342" r:id="rId340" display="https://wa.me/6285716210341" xr:uid="{00000000-0004-0000-0000-000053010000}"/>
    <hyperlink ref="AA343" r:id="rId341" display="https://wa.me/6287878863000" xr:uid="{00000000-0004-0000-0000-000054010000}"/>
    <hyperlink ref="AA344" r:id="rId342" display="https://wa.me/6281223055720" xr:uid="{00000000-0004-0000-0000-000055010000}"/>
    <hyperlink ref="AA345" r:id="rId343" display="https://wa.me/6281230288300" xr:uid="{00000000-0004-0000-0000-000056010000}"/>
    <hyperlink ref="AA346" r:id="rId344" display="https://wa.me/628563562851" xr:uid="{00000000-0004-0000-0000-000057010000}"/>
    <hyperlink ref="AA347" r:id="rId345" display="https://wa.me/6281269441611" xr:uid="{00000000-0004-0000-0000-000058010000}"/>
    <hyperlink ref="AA348" r:id="rId346" display="https://wa.me/6282230035858" xr:uid="{00000000-0004-0000-0000-000059010000}"/>
    <hyperlink ref="AA349" r:id="rId347" display="https://wa.me/6281779578317" xr:uid="{00000000-0004-0000-0000-00005A010000}"/>
    <hyperlink ref="AA350" r:id="rId348" display="https://wa.me/6287856230745" xr:uid="{00000000-0004-0000-0000-00005B010000}"/>
    <hyperlink ref="AA351" r:id="rId349" display="https://wa.me/6281932590871" xr:uid="{00000000-0004-0000-0000-00005C010000}"/>
    <hyperlink ref="AA352" r:id="rId350" display="https://wa.me/6281347321820" xr:uid="{00000000-0004-0000-0000-00005D010000}"/>
    <hyperlink ref="AA353" r:id="rId351" display="https://wa.me/6281779578317" xr:uid="{00000000-0004-0000-0000-00005E010000}"/>
    <hyperlink ref="AA354" r:id="rId352" display="https://wa.me/6281932590871" xr:uid="{00000000-0004-0000-0000-00005F010000}"/>
    <hyperlink ref="AA355" r:id="rId353" display="https://wa.me/6281933176790" xr:uid="{00000000-0004-0000-0000-000060010000}"/>
    <hyperlink ref="AA356" r:id="rId354" display="https://wa.me/6282393168368" xr:uid="{00000000-0004-0000-0000-000061010000}"/>
    <hyperlink ref="AA357" r:id="rId355" display="https://wa.me/6282292283543" xr:uid="{00000000-0004-0000-0000-000062010000}"/>
    <hyperlink ref="AA358" r:id="rId356" display="https://wa.me/6281298551100" xr:uid="{00000000-0004-0000-0000-000063010000}"/>
    <hyperlink ref="AA359" r:id="rId357" display="https://wa.me/6285191259285" xr:uid="{00000000-0004-0000-0000-000064010000}"/>
    <hyperlink ref="AA360" r:id="rId358" display="https://wa.me/6287888068088" xr:uid="{00000000-0004-0000-0000-000065010000}"/>
    <hyperlink ref="AA361" r:id="rId359" display="https://wa.me/6281385001244" xr:uid="{00000000-0004-0000-0000-000066010000}"/>
    <hyperlink ref="AA362" r:id="rId360" display="https://wa.me/6281233038880" xr:uid="{00000000-0004-0000-0000-000067010000}"/>
    <hyperlink ref="AA363" r:id="rId361" display="https://wa.me/6281311129854" xr:uid="{00000000-0004-0000-0000-000068010000}"/>
    <hyperlink ref="AA364" r:id="rId362" display="https://wa.me/6285268101557" xr:uid="{00000000-0004-0000-0000-000069010000}"/>
    <hyperlink ref="AA365" r:id="rId363" display="https://wa.me/6281233038880" xr:uid="{00000000-0004-0000-0000-00006A010000}"/>
    <hyperlink ref="AA366" r:id="rId364" display="https://wa.me/628116655901" xr:uid="{00000000-0004-0000-0000-00006B010000}"/>
    <hyperlink ref="AA367" r:id="rId365" display="https://wa.me/6287734875393" xr:uid="{00000000-0004-0000-0000-00006C010000}"/>
    <hyperlink ref="AA368" r:id="rId366" display="https://wa.me/6287829346006" xr:uid="{00000000-0004-0000-0000-00006D010000}"/>
    <hyperlink ref="AA369" r:id="rId367" display="https://wa.me/6285789446955" xr:uid="{00000000-0004-0000-0000-00006E010000}"/>
    <hyperlink ref="AA370" r:id="rId368" display="https://wa.me/6281936030924" xr:uid="{00000000-0004-0000-0000-00006F010000}"/>
    <hyperlink ref="AA371" r:id="rId369" display="https://wa.me/6283891332074" xr:uid="{00000000-0004-0000-0000-000070010000}"/>
    <hyperlink ref="AA372" r:id="rId370" display="https://wa.me/62882015555380" xr:uid="{00000000-0004-0000-0000-000071010000}"/>
    <hyperlink ref="AA373" r:id="rId371" display="https://wa.me/6285741977776" xr:uid="{00000000-0004-0000-0000-000072010000}"/>
    <hyperlink ref="AA374" r:id="rId372" display="https://wa.me/6287821760177" xr:uid="{00000000-0004-0000-0000-000073010000}"/>
    <hyperlink ref="AA375" r:id="rId373" display="https://wa.me/6285773570295" xr:uid="{00000000-0004-0000-0000-000074010000}"/>
    <hyperlink ref="AA376" r:id="rId374" display="https://wa.me/62895329361572" xr:uid="{00000000-0004-0000-0000-000075010000}"/>
    <hyperlink ref="AA377" r:id="rId375" display="https://wa.me/6281215284044" xr:uid="{00000000-0004-0000-0000-000076010000}"/>
    <hyperlink ref="AA378" r:id="rId376" display="https://wa.me/6282183115806" xr:uid="{00000000-0004-0000-0000-000077010000}"/>
    <hyperlink ref="AA379" r:id="rId377" display="https://wa.me/628158830325" xr:uid="{00000000-0004-0000-0000-000078010000}"/>
    <hyperlink ref="AA380" r:id="rId378" display="https://wa.me/6281225745133" xr:uid="{00000000-0004-0000-0000-000079010000}"/>
    <hyperlink ref="AA381" r:id="rId379" display="https://wa.me/6287762707927" xr:uid="{00000000-0004-0000-0000-00007A010000}"/>
    <hyperlink ref="AA382" r:id="rId380" display="https://wa.me/6285869122507" xr:uid="{00000000-0004-0000-0000-00007B010000}"/>
    <hyperlink ref="AA383" r:id="rId381" display="https://wa.me/6281999375257" xr:uid="{00000000-0004-0000-0000-00007C010000}"/>
    <hyperlink ref="AA384" r:id="rId382" display="https://wa.me/6281338789995" xr:uid="{00000000-0004-0000-0000-00007D010000}"/>
    <hyperlink ref="AA385" r:id="rId383" display="https://wa.me/6282172291579" xr:uid="{00000000-0004-0000-0000-00007E010000}"/>
    <hyperlink ref="AA386" r:id="rId384" display="https://wa.me/6282169354443" xr:uid="{00000000-0004-0000-0000-00007F010000}"/>
    <hyperlink ref="AA387" r:id="rId385" display="https://wa.me/6281392854108" xr:uid="{00000000-0004-0000-0000-000080010000}"/>
    <hyperlink ref="AA388" r:id="rId386" display="https://wa.me/6285888590045" xr:uid="{00000000-0004-0000-0000-000081010000}"/>
    <hyperlink ref="AA389" r:id="rId387" display="https://wa.me/6282197248722" xr:uid="{00000000-0004-0000-0000-000082010000}"/>
    <hyperlink ref="AA390" r:id="rId388" display="https://wa.me/6281219329853" xr:uid="{00000000-0004-0000-0000-000083010000}"/>
    <hyperlink ref="AA391" r:id="rId389" display="https://wa.me/6285268858846" xr:uid="{00000000-0004-0000-0000-000084010000}"/>
    <hyperlink ref="AA392" r:id="rId390" display="https://wa.me/628155157779" xr:uid="{00000000-0004-0000-0000-000085010000}"/>
    <hyperlink ref="AA393" r:id="rId391" display="https://wa.me/6282123039124" xr:uid="{00000000-0004-0000-0000-000086010000}"/>
    <hyperlink ref="AA394" r:id="rId392" display="https://wa.me/62816904358" xr:uid="{00000000-0004-0000-0000-000087010000}"/>
    <hyperlink ref="AA395" r:id="rId393" display="https://wa.me/6283131677011" xr:uid="{00000000-0004-0000-0000-000088010000}"/>
    <hyperlink ref="AA396" r:id="rId394" display="https://wa.me/6285668750416" xr:uid="{00000000-0004-0000-0000-000089010000}"/>
    <hyperlink ref="AA397" r:id="rId395" display="https://wa.me/6285955053385" xr:uid="{00000000-0004-0000-0000-00008A010000}"/>
    <hyperlink ref="AA398" r:id="rId396" display="https://wa.me/6285186697099" xr:uid="{00000000-0004-0000-0000-00008B010000}"/>
    <hyperlink ref="AA399" r:id="rId397" display="https://wa.me/6285234005559" xr:uid="{00000000-0004-0000-0000-00008C010000}"/>
    <hyperlink ref="AA400" r:id="rId398" display="https://wa.me/6282183115806" xr:uid="{00000000-0004-0000-0000-00008D010000}"/>
    <hyperlink ref="AA401" r:id="rId399" display="https://wa.me/6285645050058" xr:uid="{00000000-0004-0000-0000-00008E010000}"/>
    <hyperlink ref="AA402" r:id="rId400" display="https://wa.me/6285657238556" xr:uid="{00000000-0004-0000-0000-00008F010000}"/>
    <hyperlink ref="AA403" r:id="rId401" display="https://wa.me/6282111180648" xr:uid="{00000000-0004-0000-0000-000090010000}"/>
    <hyperlink ref="AA404" r:id="rId402" display="https://wa.me/6285267044893" xr:uid="{00000000-0004-0000-0000-000091010000}"/>
    <hyperlink ref="AA405" r:id="rId403" display="https://wa.me/6285921009099" xr:uid="{00000000-0004-0000-0000-000092010000}"/>
    <hyperlink ref="AA406" r:id="rId404" display="https://wa.me/6289524188028" xr:uid="{00000000-0004-0000-0000-000093010000}"/>
    <hyperlink ref="AA407" r:id="rId405" display="https://wa.me/6281325757271" xr:uid="{00000000-0004-0000-0000-000094010000}"/>
    <hyperlink ref="AA408" r:id="rId406" display="https://wa.me/6289607006888" xr:uid="{00000000-0004-0000-0000-000095010000}"/>
    <hyperlink ref="AA409" r:id="rId407" display="https://wa.me/6281933176790" xr:uid="{00000000-0004-0000-0000-000096010000}"/>
    <hyperlink ref="G410" r:id="rId408" xr:uid="{00000000-0004-0000-0000-000097010000}"/>
    <hyperlink ref="W410" r:id="rId409" display="http://derra.id/" xr:uid="{00000000-0004-0000-0000-000098010000}"/>
    <hyperlink ref="AA410" r:id="rId410" display="https://wa.me/085719003688" xr:uid="{00000000-0004-0000-0000-000099010000}"/>
    <hyperlink ref="AA411" r:id="rId411" display="https://wa.me/62895632627969" xr:uid="{00000000-0004-0000-0000-00009A010000}"/>
    <hyperlink ref="AA412" r:id="rId412" display="https://wa.me/62811693222" xr:uid="{00000000-0004-0000-0000-00009B010000}"/>
    <hyperlink ref="AA413" r:id="rId413" display="https://wa.me/6281378757554" xr:uid="{00000000-0004-0000-0000-00009C010000}"/>
    <hyperlink ref="AA414" r:id="rId414" display="https://wa.me/6285778471007" xr:uid="{00000000-0004-0000-0000-00009D010000}"/>
    <hyperlink ref="AA415" r:id="rId415" display="https://wa.me/6282133271189" xr:uid="{00000000-0004-0000-0000-00009E010000}"/>
    <hyperlink ref="AA416" r:id="rId416" display="https://wa.me/6289672163096" xr:uid="{00000000-0004-0000-0000-00009F010000}"/>
    <hyperlink ref="AA417" r:id="rId417" display="https://wa.me/6285281921180" xr:uid="{00000000-0004-0000-0000-0000A0010000}"/>
    <hyperlink ref="AA418" r:id="rId418" display="https://wa.me/6281217985917" xr:uid="{00000000-0004-0000-0000-0000A1010000}"/>
    <hyperlink ref="AA419" r:id="rId419" display="https://wa.me/6285397990632" xr:uid="{00000000-0004-0000-0000-0000A2010000}"/>
    <hyperlink ref="AA420" r:id="rId420" display="https://wa.me/62881010278235" xr:uid="{00000000-0004-0000-0000-0000A3010000}"/>
    <hyperlink ref="AA421" r:id="rId421" display="https://wa.me/6287856230745" xr:uid="{00000000-0004-0000-0000-0000A4010000}"/>
    <hyperlink ref="AA422" r:id="rId422" display="https://wa.me/6282333203355" xr:uid="{00000000-0004-0000-0000-0000A5010000}"/>
    <hyperlink ref="AA423" r:id="rId423" display="https://wa.me/628113311777" xr:uid="{00000000-0004-0000-0000-0000A6010000}"/>
    <hyperlink ref="AA424" r:id="rId424" display="https://wa.me/62823885166777" xr:uid="{00000000-0004-0000-0000-0000A7010000}"/>
    <hyperlink ref="AA425" r:id="rId425" display="https://wa.me/6281553075560" xr:uid="{00000000-0004-0000-0000-0000A8010000}"/>
    <hyperlink ref="AA426" r:id="rId426" display="https://wa.me/6281280241630" xr:uid="{00000000-0004-0000-0000-0000A9010000}"/>
    <hyperlink ref="AA427" r:id="rId427" display="https://wa.me/6282123587173" xr:uid="{00000000-0004-0000-0000-0000AA010000}"/>
    <hyperlink ref="AA428" r:id="rId428" display="https://wa.me/6285657238556" xr:uid="{00000000-0004-0000-0000-0000AB010000}"/>
    <hyperlink ref="AA429" r:id="rId429" display="https://wa.me/6281327457634" xr:uid="{00000000-0004-0000-0000-0000AC010000}"/>
    <hyperlink ref="AA430" r:id="rId430" display="https://wa.me/6282299236521" xr:uid="{00000000-0004-0000-0000-0000AD010000}"/>
    <hyperlink ref="AA431" r:id="rId431" display="https://wa.me/6281258553437" xr:uid="{00000000-0004-0000-0000-0000AE010000}"/>
    <hyperlink ref="AA432" r:id="rId432" display="https://wa.me/6281316839343" xr:uid="{00000000-0004-0000-0000-0000AF010000}"/>
    <hyperlink ref="AA433" r:id="rId433" display="https://wa.me/6281286402030" xr:uid="{00000000-0004-0000-0000-0000B0010000}"/>
    <hyperlink ref="AA434" r:id="rId434" display="https://wa.me/6285373309275" xr:uid="{00000000-0004-0000-0000-0000B1010000}"/>
    <hyperlink ref="AA435" r:id="rId435" display="https://wa.me/6281335728695" xr:uid="{00000000-0004-0000-0000-0000B2010000}"/>
    <hyperlink ref="AA436" r:id="rId436" display="https://wa.me/6282340878030" xr:uid="{00000000-0004-0000-0000-0000B3010000}"/>
    <hyperlink ref="AA437" r:id="rId437" display="https://wa.me/6281335728695" xr:uid="{00000000-0004-0000-0000-0000B4010000}"/>
    <hyperlink ref="AA438" r:id="rId438" display="https://wa.me/6287826386983" xr:uid="{00000000-0004-0000-0000-0000B5010000}"/>
    <hyperlink ref="AA439" r:id="rId439" display="https://wa.me/6281270765156" xr:uid="{00000000-0004-0000-0000-0000B6010000}"/>
    <hyperlink ref="AA440" r:id="rId440" display="https://wa.me/6282333358533" xr:uid="{00000000-0004-0000-0000-0000B7010000}"/>
    <hyperlink ref="AA441" r:id="rId441" display="https://wa.me/6281347245985" xr:uid="{00000000-0004-0000-0000-0000B8010000}"/>
    <hyperlink ref="AA442" r:id="rId442" display="https://wa.me/6285274759862" xr:uid="{00000000-0004-0000-0000-0000B9010000}"/>
    <hyperlink ref="AA443" r:id="rId443" display="https://wa.me/6281366479393" xr:uid="{00000000-0004-0000-0000-0000BA010000}"/>
    <hyperlink ref="AA444" r:id="rId444" display="https://wa.me/6287790276733" xr:uid="{00000000-0004-0000-0000-0000BB010000}"/>
    <hyperlink ref="AA445" r:id="rId445" display="https://wa.me/6285727626320" xr:uid="{00000000-0004-0000-0000-0000BC010000}"/>
    <hyperlink ref="AA446" r:id="rId446" display="https://wa.me/6281321528899" xr:uid="{00000000-0004-0000-0000-0000BD010000}"/>
    <hyperlink ref="AA447" r:id="rId447" display="https://wa.me/6287846030252" xr:uid="{00000000-0004-0000-0000-0000BE010000}"/>
    <hyperlink ref="AA448" r:id="rId448" display="https://wa.me/6282285205998" xr:uid="{00000000-0004-0000-0000-0000BF010000}"/>
    <hyperlink ref="AA449" r:id="rId449" display="https://wa.me/6281938384000" xr:uid="{00000000-0004-0000-0000-0000C0010000}"/>
    <hyperlink ref="AA450" r:id="rId450" display="https://wa.me/6281399886462" xr:uid="{00000000-0004-0000-0000-0000C1010000}"/>
    <hyperlink ref="AA451" r:id="rId451" display="https://wa.me/6281378305888" xr:uid="{00000000-0004-0000-0000-0000C2010000}"/>
    <hyperlink ref="AA452" r:id="rId452" display="https://wa.me/6282297965454" xr:uid="{00000000-0004-0000-0000-0000C3010000}"/>
    <hyperlink ref="AA453" r:id="rId453" display="https://wa.me/6287745180632" xr:uid="{00000000-0004-0000-0000-0000C4010000}"/>
    <hyperlink ref="AA454" r:id="rId454" display="https://wa.me/628111099911" xr:uid="{00000000-0004-0000-0000-0000C5010000}"/>
    <hyperlink ref="AA455" r:id="rId455" display="https://wa.me/6281255005229" xr:uid="{00000000-0004-0000-0000-0000C6010000}"/>
    <hyperlink ref="AA456" r:id="rId456" display="https://wa.me/6285207285812" xr:uid="{00000000-0004-0000-0000-0000C7010000}"/>
    <hyperlink ref="AA457" r:id="rId457" display="https://wa.me/6282186829904" xr:uid="{00000000-0004-0000-0000-0000C8010000}"/>
    <hyperlink ref="AA458" r:id="rId458" display="https://wa.me/6777619002" xr:uid="{00000000-0004-0000-0000-0000C9010000}"/>
    <hyperlink ref="AA459" r:id="rId459" display="https://wa.me/6285282777679" xr:uid="{00000000-0004-0000-0000-0000CA010000}"/>
    <hyperlink ref="AA460" r:id="rId460" display="https://wa.me/6285785858869" xr:uid="{00000000-0004-0000-0000-0000CB010000}"/>
    <hyperlink ref="AA461" r:id="rId461" display="https://wa.me/6281217126285" xr:uid="{00000000-0004-0000-0000-0000CC010000}"/>
    <hyperlink ref="AA462" r:id="rId462" display="https://wa.me/6285820117323" xr:uid="{00000000-0004-0000-0000-0000CD010000}"/>
    <hyperlink ref="AA463" r:id="rId463" display="https://wa.me/628123264621" xr:uid="{00000000-0004-0000-0000-0000CE010000}"/>
    <hyperlink ref="AA464" r:id="rId464" display="https://wa.me/6281326160059" xr:uid="{00000000-0004-0000-0000-0000CF010000}"/>
    <hyperlink ref="AA465" r:id="rId465" display="https://wa.me/6282164564557" xr:uid="{00000000-0004-0000-0000-0000D0010000}"/>
    <hyperlink ref="AA466" r:id="rId466" display="https://wa.me/6282177410110" xr:uid="{00000000-0004-0000-0000-0000D1010000}"/>
    <hyperlink ref="AA467" r:id="rId467" display="https://wa.me/6282338171577" xr:uid="{00000000-0004-0000-0000-0000D2010000}"/>
    <hyperlink ref="AA468" r:id="rId468" display="https://wa.me/6282352307329" xr:uid="{00000000-0004-0000-0000-0000D3010000}"/>
    <hyperlink ref="AA469" r:id="rId469" display="https://wa.me/6285668750416" xr:uid="{00000000-0004-0000-0000-0000D4010000}"/>
    <hyperlink ref="AA470" r:id="rId470" display="https://wa.me/6281779578317" xr:uid="{00000000-0004-0000-0000-0000D5010000}"/>
    <hyperlink ref="AA471" r:id="rId471" display="https://wa.me/6281111121020" xr:uid="{00000000-0004-0000-0000-0000D6010000}"/>
    <hyperlink ref="AA472" r:id="rId472" display="https://wa.me/6285223186555" xr:uid="{00000000-0004-0000-0000-0000D7010000}"/>
    <hyperlink ref="AA473" r:id="rId473" display="https://wa.me/6285362101860" xr:uid="{00000000-0004-0000-0000-0000D8010000}"/>
    <hyperlink ref="AA474" r:id="rId474" display="https://wa.me/6287865111033" xr:uid="{00000000-0004-0000-0000-0000D9010000}"/>
    <hyperlink ref="AA475" r:id="rId475" display="https://wa.me/6283831211890" xr:uid="{00000000-0004-0000-0000-0000DA010000}"/>
    <hyperlink ref="AA476" r:id="rId476" display="https://wa.me/6281330410391" xr:uid="{00000000-0004-0000-0000-0000DB010000}"/>
    <hyperlink ref="AA477" r:id="rId477" display="https://wa.me/62895635983361" xr:uid="{00000000-0004-0000-0000-0000DC010000}"/>
    <hyperlink ref="AA478" r:id="rId478" display="https://wa.me/628127126274" xr:uid="{00000000-0004-0000-0000-0000DD010000}"/>
    <hyperlink ref="AA479" r:id="rId479" display="https://wa.me/6282154233977" xr:uid="{00000000-0004-0000-0000-0000DE010000}"/>
    <hyperlink ref="AA480" r:id="rId480" display="https://wa.me/6287762605372" xr:uid="{00000000-0004-0000-0000-0000DF010000}"/>
    <hyperlink ref="AA481" r:id="rId481" display="https://wa.me/6287709999980" xr:uid="{00000000-0004-0000-0000-0000E0010000}"/>
    <hyperlink ref="AA482" r:id="rId482" display="https://wa.me/6285286258400" xr:uid="{00000000-0004-0000-0000-0000E1010000}"/>
    <hyperlink ref="AA483" r:id="rId483" display="https://wa.me/6285691146546" xr:uid="{00000000-0004-0000-0000-0000E2010000}"/>
    <hyperlink ref="AA484" r:id="rId484" display="https://wa.me/6281362440234" xr:uid="{00000000-0004-0000-0000-0000E3010000}"/>
    <hyperlink ref="AA485" r:id="rId485" display="https://wa.me/6282249348536" xr:uid="{00000000-0004-0000-0000-0000E4010000}"/>
    <hyperlink ref="AA486" r:id="rId486" display="https://wa.me/628122703083" xr:uid="{00000000-0004-0000-0000-0000E5010000}"/>
    <hyperlink ref="AA487" r:id="rId487" display="https://wa.me/6282384370009" xr:uid="{00000000-0004-0000-0000-0000E6010000}"/>
    <hyperlink ref="AA488" r:id="rId488" display="https://wa.me/6281299298585" xr:uid="{00000000-0004-0000-0000-0000E7010000}"/>
    <hyperlink ref="AA489" r:id="rId489" display="https://wa.me/6282118113002" xr:uid="{00000000-0004-0000-0000-0000E8010000}"/>
    <hyperlink ref="AA490" r:id="rId490" display="https://wa.me/6285294617773" xr:uid="{00000000-0004-0000-0000-0000E9010000}"/>
    <hyperlink ref="AA491" r:id="rId491" display="https://wa.me/6285737375137" xr:uid="{00000000-0004-0000-0000-0000EA010000}"/>
    <hyperlink ref="AA492" r:id="rId492" display="https://wa.me/6288802749485" xr:uid="{00000000-0004-0000-0000-0000EB010000}"/>
    <hyperlink ref="AA493" r:id="rId493" display="https://wa.me/628990145388" xr:uid="{00000000-0004-0000-0000-0000EC010000}"/>
    <hyperlink ref="AA494" r:id="rId494" display="https://wa.me/628811252834" xr:uid="{00000000-0004-0000-0000-0000ED010000}"/>
    <hyperlink ref="AA495" r:id="rId495" display="https://wa.me/6285657238556" xr:uid="{00000000-0004-0000-0000-0000EE010000}"/>
    <hyperlink ref="AA496" r:id="rId496" display="https://wa.me/6285657238556" xr:uid="{00000000-0004-0000-0000-0000EF010000}"/>
    <hyperlink ref="AA497" r:id="rId497" display="https://wa.me/628557182563" xr:uid="{00000000-0004-0000-0000-0000F0010000}"/>
    <hyperlink ref="AA498" r:id="rId498" display="https://wa.me/6285326750989" xr:uid="{00000000-0004-0000-0000-0000F1010000}"/>
    <hyperlink ref="AA499" r:id="rId499" display="https://wa.me/6282384544939" xr:uid="{00000000-0004-0000-0000-0000F2010000}"/>
    <hyperlink ref="AA500" r:id="rId500" display="https://wa.me/6282322308711" xr:uid="{00000000-0004-0000-0000-0000F3010000}"/>
    <hyperlink ref="AA501" r:id="rId501" display="https://wa.me/6281226950679" xr:uid="{00000000-0004-0000-0000-0000F4010000}"/>
    <hyperlink ref="AA502" r:id="rId502" display="https://wa.me/6281233038880" xr:uid="{00000000-0004-0000-0000-0000F5010000}"/>
    <hyperlink ref="AA503" r:id="rId503" display="https://wa.me/6287751970643" xr:uid="{00000000-0004-0000-0000-0000F6010000}"/>
    <hyperlink ref="AA504" r:id="rId504" display="https://wa.me/6285694618282" xr:uid="{00000000-0004-0000-0000-0000F7010000}"/>
    <hyperlink ref="AA505" r:id="rId505" display="https://wa.me/6289609613105" xr:uid="{00000000-0004-0000-0000-0000F8010000}"/>
    <hyperlink ref="AA506" r:id="rId506" display="https://wa.me/6281543365581" xr:uid="{00000000-0004-0000-0000-0000F9010000}"/>
    <hyperlink ref="AA507" r:id="rId507" display="https://wa.me/6285378141823" xr:uid="{00000000-0004-0000-0000-0000FA010000}"/>
    <hyperlink ref="AA508" r:id="rId508" display="https://wa.me/6281357754513" xr:uid="{00000000-0004-0000-0000-0000FB010000}"/>
    <hyperlink ref="AA509" r:id="rId509" display="https://wa.me/628562943274" xr:uid="{00000000-0004-0000-0000-0000FC010000}"/>
    <hyperlink ref="AA510" r:id="rId510" display="https://wa.me/6283865096870" xr:uid="{00000000-0004-0000-0000-0000FD010000}"/>
    <hyperlink ref="AA511" r:id="rId511" display="https://wa.me/6285920572002" xr:uid="{00000000-0004-0000-0000-0000FE010000}"/>
    <hyperlink ref="AA512" r:id="rId512" display="https://wa.me/6281326757091" xr:uid="{00000000-0004-0000-0000-0000FF010000}"/>
    <hyperlink ref="AA513" r:id="rId513" display="https://wa.me/6285780314346" xr:uid="{00000000-0004-0000-0000-000000020000}"/>
    <hyperlink ref="AA514" r:id="rId514" display="https://wa.me/6285946504405" xr:uid="{00000000-0004-0000-0000-000001020000}"/>
    <hyperlink ref="AA515" r:id="rId515" display="https://wa.me/6285214612372" xr:uid="{00000000-0004-0000-0000-000002020000}"/>
    <hyperlink ref="AA516" r:id="rId516" display="https://wa.me/6282245454940" xr:uid="{00000000-0004-0000-0000-000003020000}"/>
    <hyperlink ref="AA517" r:id="rId517" display="https://wa.me/6285767074516" xr:uid="{00000000-0004-0000-0000-000004020000}"/>
    <hyperlink ref="AA518" r:id="rId518" display="https://wa.me/6282241824727" xr:uid="{00000000-0004-0000-0000-000005020000}"/>
    <hyperlink ref="AA519" r:id="rId519" display="https://wa.me/6285244535934" xr:uid="{00000000-0004-0000-0000-000006020000}"/>
    <hyperlink ref="AA520" r:id="rId520" display="https://wa.me/6287721853921" xr:uid="{00000000-0004-0000-0000-000007020000}"/>
    <hyperlink ref="AA521" r:id="rId521" display="https://wa.me/6287790276733" xr:uid="{00000000-0004-0000-0000-000008020000}"/>
    <hyperlink ref="AA522" r:id="rId522" display="https://wa.me/6282129364133" xr:uid="{00000000-0004-0000-0000-000009020000}"/>
    <hyperlink ref="AA523" r:id="rId523" display="https://wa.me/6287864812126" xr:uid="{00000000-0004-0000-0000-00000A020000}"/>
    <hyperlink ref="AA524" r:id="rId524" display="https://wa.me/6281363504410" xr:uid="{00000000-0004-0000-0000-00000B020000}"/>
    <hyperlink ref="AA525" r:id="rId525" display="https://wa.me/6281374844270" xr:uid="{00000000-0004-0000-0000-00000C020000}"/>
    <hyperlink ref="AA526" r:id="rId526" display="https://wa.me/6281558225822" xr:uid="{00000000-0004-0000-0000-00000D020000}"/>
    <hyperlink ref="AA527" r:id="rId527" display="https://wa.me/6281394618785" xr:uid="{00000000-0004-0000-0000-00000E020000}"/>
    <hyperlink ref="AA528" r:id="rId528" display="https://wa.me/6281238115957" xr:uid="{00000000-0004-0000-0000-00000F020000}"/>
    <hyperlink ref="AA529" r:id="rId529" display="https://wa.me/6285338700113" xr:uid="{00000000-0004-0000-0000-000010020000}"/>
    <hyperlink ref="AA530" r:id="rId530" display="https://wa.me/6281394618785" xr:uid="{00000000-0004-0000-0000-000011020000}"/>
    <hyperlink ref="AA531" r:id="rId531" display="https://wa.me/6289515920603" xr:uid="{00000000-0004-0000-0000-000012020000}"/>
    <hyperlink ref="AA532" r:id="rId532" display="https://wa.me/6281291436933" xr:uid="{00000000-0004-0000-0000-000013020000}"/>
    <hyperlink ref="AA533" r:id="rId533" display="https://wa.me/6285241858483" xr:uid="{00000000-0004-0000-0000-000014020000}"/>
    <hyperlink ref="AA534" r:id="rId534" display="https://wa.me/62881038177010" xr:uid="{00000000-0004-0000-0000-000015020000}"/>
    <hyperlink ref="AA535" r:id="rId535" display="https://wa.me/6285821233475" xr:uid="{00000000-0004-0000-0000-000016020000}"/>
    <hyperlink ref="AA536" r:id="rId536" display="https://wa.me/6285299991164" xr:uid="{00000000-0004-0000-0000-000017020000}"/>
    <hyperlink ref="AA537" r:id="rId537" display="https://wa.me/6281225101319" xr:uid="{00000000-0004-0000-0000-000018020000}"/>
    <hyperlink ref="AA538" r:id="rId538" display="https://wa.me/6285715856120" xr:uid="{00000000-0004-0000-0000-000019020000}"/>
    <hyperlink ref="AA539" r:id="rId539" display="https://wa.me/6285715856120" xr:uid="{00000000-0004-0000-0000-00001A020000}"/>
    <hyperlink ref="AA540" r:id="rId540" display="https://wa.me/6285279489086" xr:uid="{00000000-0004-0000-0000-00001B020000}"/>
    <hyperlink ref="AA541" r:id="rId541" display="https://wa.me/6281779578317" xr:uid="{00000000-0004-0000-0000-00001C020000}"/>
    <hyperlink ref="AA542" r:id="rId542" display="https://wa.me/6282245454940" xr:uid="{00000000-0004-0000-0000-00001D020000}"/>
    <hyperlink ref="AA543" r:id="rId543" display="https://wa.me/6285710003464" xr:uid="{00000000-0004-0000-0000-00001E020000}"/>
    <hyperlink ref="AA544" r:id="rId544" display="https://wa.me/6281999375257" xr:uid="{00000000-0004-0000-0000-00001F020000}"/>
    <hyperlink ref="AA545" r:id="rId545" display="https://wa.me/6287865111033" xr:uid="{00000000-0004-0000-0000-000020020000}"/>
    <hyperlink ref="AA546" r:id="rId546" display="https://wa.me/6285338373761" xr:uid="{00000000-0004-0000-0000-000021020000}"/>
    <hyperlink ref="AA547" r:id="rId547" display="https://wa.me/6282130129819" xr:uid="{00000000-0004-0000-0000-000022020000}"/>
    <hyperlink ref="AA548" r:id="rId548" display="https://wa.me/6285715856120" xr:uid="{00000000-0004-0000-0000-000023020000}"/>
    <hyperlink ref="AA549" r:id="rId549" display="https://wa.me/6281222110766" xr:uid="{00000000-0004-0000-0000-000024020000}"/>
    <hyperlink ref="AA550" r:id="rId550" display="https://wa.me/6282172291579" xr:uid="{00000000-0004-0000-0000-000025020000}"/>
    <hyperlink ref="AA551" r:id="rId551" display="https://wa.me/6281222110766" xr:uid="{00000000-0004-0000-0000-000026020000}"/>
    <hyperlink ref="AA552" r:id="rId552" display="https://wa.me/6285333751528" xr:uid="{00000000-0004-0000-0000-000027020000}"/>
    <hyperlink ref="AA553" r:id="rId553" display="https://wa.me/628170204528" xr:uid="{00000000-0004-0000-0000-000028020000}"/>
    <hyperlink ref="AA554" r:id="rId554" display="https://wa.me/6285645050058" xr:uid="{00000000-0004-0000-0000-000029020000}"/>
    <hyperlink ref="AA555" r:id="rId555" display="https://wa.me/6285602235226" xr:uid="{00000000-0004-0000-0000-00002A020000}"/>
    <hyperlink ref="AA556" r:id="rId556" display="https://wa.me/6281353489660" xr:uid="{00000000-0004-0000-0000-00002B020000}"/>
    <hyperlink ref="AA557" r:id="rId557" display="https://wa.me/6282122880328" xr:uid="{00000000-0004-0000-0000-00002C020000}"/>
    <hyperlink ref="AA558" r:id="rId558" display="https://wa.me/6283856759344" xr:uid="{00000000-0004-0000-0000-00002D020000}"/>
    <hyperlink ref="AA559" r:id="rId559" display="https://wa.me/62818763108" xr:uid="{00000000-0004-0000-0000-00002E020000}"/>
    <hyperlink ref="AA560" r:id="rId560" display="https://wa.me/6285888590045" xr:uid="{00000000-0004-0000-0000-00002F020000}"/>
    <hyperlink ref="AA561" r:id="rId561" display="https://wa.me/6285888590045" xr:uid="{00000000-0004-0000-0000-000030020000}"/>
    <hyperlink ref="AA562" r:id="rId562" display="https://wa.me/6285888590045" xr:uid="{00000000-0004-0000-0000-000031020000}"/>
    <hyperlink ref="AA563" r:id="rId563" display="https://wa.me/6281915041833" xr:uid="{00000000-0004-0000-0000-000032020000}"/>
    <hyperlink ref="AA564" r:id="rId564" display="https://wa.me/6282172291579" xr:uid="{00000000-0004-0000-0000-000033020000}"/>
    <hyperlink ref="AA565" r:id="rId565" display="https://wa.me/6282230035858" xr:uid="{00000000-0004-0000-0000-000034020000}"/>
    <hyperlink ref="AA566" r:id="rId566" display="https://wa.me/6285715856120" xr:uid="{00000000-0004-0000-0000-000035020000}"/>
    <hyperlink ref="AA567" r:id="rId567" display="https://wa.me/62882001438924" xr:uid="{00000000-0004-0000-0000-000036020000}"/>
    <hyperlink ref="AA568" r:id="rId568" display="https://wa.me/6285328883803" xr:uid="{00000000-0004-0000-0000-000037020000}"/>
    <hyperlink ref="AA569" r:id="rId569" display="https://wa.me/6282236053835" xr:uid="{00000000-0004-0000-0000-000038020000}"/>
    <hyperlink ref="AA570" r:id="rId570" display="https://wa.me/6285789446955" xr:uid="{00000000-0004-0000-0000-000039020000}"/>
    <hyperlink ref="AA571" r:id="rId571" display="https://wa.me/6285668750426" xr:uid="{00000000-0004-0000-0000-00003A020000}"/>
    <hyperlink ref="AA572" r:id="rId572" display="https://wa.me/6285814213281" xr:uid="{00000000-0004-0000-0000-00003B020000}"/>
    <hyperlink ref="AA573" r:id="rId573" display="https://wa.me/6281338789995" xr:uid="{00000000-0004-0000-0000-00003C020000}"/>
    <hyperlink ref="AA574" r:id="rId574" display="https://wa.me/6281393958199" xr:uid="{00000000-0004-0000-0000-00003D020000}"/>
    <hyperlink ref="AA575" r:id="rId575" display="https://wa.me/628114170888" xr:uid="{00000000-0004-0000-0000-00003E020000}"/>
    <hyperlink ref="AA576" r:id="rId576" display="https://wa.me/6282183115806" xr:uid="{00000000-0004-0000-0000-00003F020000}"/>
    <hyperlink ref="AA577" r:id="rId577" display="https://wa.me/6289563598336" xr:uid="{00000000-0004-0000-0000-000040020000}"/>
    <hyperlink ref="AA578" r:id="rId578" display="https://wa.me/6285893658659" xr:uid="{00000000-0004-0000-0000-000041020000}"/>
    <hyperlink ref="AA579" r:id="rId579" display="https://wa.me/6287797504113" xr:uid="{00000000-0004-0000-0000-000042020000}"/>
    <hyperlink ref="AA580" r:id="rId580" display="https://wa.me/6287856230745" xr:uid="{00000000-0004-0000-0000-000043020000}"/>
    <hyperlink ref="AA581" r:id="rId581" display="https://wa.me/62895321637812" xr:uid="{00000000-0004-0000-0000-000044020000}"/>
    <hyperlink ref="AA582" r:id="rId582" display="https://wa.me/6282347206488" xr:uid="{00000000-0004-0000-0000-000045020000}"/>
    <hyperlink ref="AA583" r:id="rId583" display="https://wa.me/6285100570275" xr:uid="{00000000-0004-0000-0000-000046020000}"/>
    <hyperlink ref="AA584" r:id="rId584" display="https://wa.me/6283185169816" xr:uid="{00000000-0004-0000-0000-000047020000}"/>
    <hyperlink ref="AA585" r:id="rId585" display="https://wa.me/6281288245836" xr:uid="{00000000-0004-0000-0000-000048020000}"/>
    <hyperlink ref="AA586" r:id="rId586" display="https://wa.me/6282393168368" xr:uid="{00000000-0004-0000-0000-000049020000}"/>
    <hyperlink ref="AA587" r:id="rId587" display="https://wa.me/6282154233977" xr:uid="{00000000-0004-0000-0000-00004A020000}"/>
    <hyperlink ref="AA588" r:id="rId588" display="https://wa.me/628122102657" xr:uid="{00000000-0004-0000-0000-00004B020000}"/>
    <hyperlink ref="AA589" r:id="rId589" display="https://wa.me/62817262229" xr:uid="{00000000-0004-0000-0000-00004C020000}"/>
    <hyperlink ref="AA590" r:id="rId590" display="https://wa.me/6281326757091" xr:uid="{00000000-0004-0000-0000-00004D020000}"/>
    <hyperlink ref="AA591" r:id="rId591" display="https://wa.me/6287768646729" xr:uid="{00000000-0004-0000-0000-00004E020000}"/>
    <hyperlink ref="AA592" r:id="rId592" display="https://wa.me/6281324481252" xr:uid="{00000000-0004-0000-0000-00004F020000}"/>
    <hyperlink ref="AA593" r:id="rId593" display="https://wa.me/6283870060603" xr:uid="{00000000-0004-0000-0000-000050020000}"/>
    <hyperlink ref="AA594" r:id="rId594" display="https://wa.me/6282112042148" xr:uid="{00000000-0004-0000-0000-000051020000}"/>
    <hyperlink ref="AA595" r:id="rId595" display="https://wa.me/6285138380189" xr:uid="{00000000-0004-0000-0000-000052020000}"/>
    <hyperlink ref="AA596" r:id="rId596" display="https://wa.me/6287886480138" xr:uid="{00000000-0004-0000-0000-000053020000}"/>
    <hyperlink ref="AA597" r:id="rId597" display="https://wa.me/6285748377961" xr:uid="{00000000-0004-0000-0000-000054020000}"/>
    <hyperlink ref="AA598" r:id="rId598" display="https://wa.me/6285748377961" xr:uid="{00000000-0004-0000-0000-000055020000}"/>
    <hyperlink ref="AA599" r:id="rId599" display="https://wa.me/6282241382009" xr:uid="{00000000-0004-0000-0000-000056020000}"/>
    <hyperlink ref="AA600" r:id="rId600" display="https://wa.me/6282184823441" xr:uid="{00000000-0004-0000-0000-000057020000}"/>
    <hyperlink ref="AA601" r:id="rId601" display="https://wa.me/6282153090123" xr:uid="{00000000-0004-0000-0000-000058020000}"/>
    <hyperlink ref="AA602" r:id="rId602" display="https://wa.me/6281342202869" xr:uid="{00000000-0004-0000-0000-000059020000}"/>
    <hyperlink ref="AA603" r:id="rId603" display="https://wa.me/6282382535847" xr:uid="{00000000-0004-0000-0000-00005A020000}"/>
    <hyperlink ref="AA604" r:id="rId604" display="https://wa.me/6281241440688" xr:uid="{00000000-0004-0000-0000-00005B020000}"/>
    <hyperlink ref="AA605" r:id="rId605" display="https://wa.me/6285376667233" xr:uid="{00000000-0004-0000-0000-00005C020000}"/>
    <hyperlink ref="AA606" r:id="rId606" display="https://wa.me/6285376667233" xr:uid="{00000000-0004-0000-0000-00005D020000}"/>
    <hyperlink ref="AA607" r:id="rId607" display="https://wa.me/628127962347" xr:uid="{00000000-0004-0000-0000-00005E020000}"/>
    <hyperlink ref="AA608" r:id="rId608" display="https://wa.me/6281231728008" xr:uid="{00000000-0004-0000-0000-00005F020000}"/>
    <hyperlink ref="AA609" r:id="rId609" display="https://wa.me/6281243260218" xr:uid="{00000000-0004-0000-0000-000060020000}"/>
    <hyperlink ref="AA610" r:id="rId610" display="https://wa.me/62882001677470" xr:uid="{00000000-0004-0000-0000-000061020000}"/>
    <hyperlink ref="AA611" r:id="rId611" display="https://wa.me/62882001677470" xr:uid="{00000000-0004-0000-0000-000062020000}"/>
    <hyperlink ref="AA612" r:id="rId612" display="https://wa.me/628179780980" xr:uid="{00000000-0004-0000-0000-000063020000}"/>
    <hyperlink ref="AA613" r:id="rId613" display="https://wa.me/62882001677470" xr:uid="{00000000-0004-0000-0000-000064020000}"/>
    <hyperlink ref="AA614" r:id="rId614" display="https://wa.me/6281938384000" xr:uid="{00000000-0004-0000-0000-000065020000}"/>
    <hyperlink ref="AA615" r:id="rId615" display="https://wa.me/6283185169816" xr:uid="{00000000-0004-0000-0000-000066020000}"/>
    <hyperlink ref="AA616" r:id="rId616" display="https://wa.me/6287701349406" xr:uid="{00000000-0004-0000-0000-000067020000}"/>
    <hyperlink ref="AA617" r:id="rId617" display="https://wa.me/628156516849" xr:uid="{00000000-0004-0000-0000-000068020000}"/>
    <hyperlink ref="AA618" r:id="rId618" display="https://wa.me/6285294617773" xr:uid="{00000000-0004-0000-0000-000069020000}"/>
    <hyperlink ref="AA619" r:id="rId619" display="https://wa.me/62881010328220" xr:uid="{00000000-0004-0000-0000-00006A020000}"/>
    <hyperlink ref="AA620" r:id="rId620" display="https://wa.me/6281938384000" xr:uid="{00000000-0004-0000-0000-00006B020000}"/>
    <hyperlink ref="AA621" r:id="rId621" display="https://wa.me/6285361188745" xr:uid="{00000000-0004-0000-0000-00006C020000}"/>
    <hyperlink ref="AA622" r:id="rId622" display="https://wa.me/628997485901" xr:uid="{00000000-0004-0000-0000-00006D020000}"/>
    <hyperlink ref="AA623" r:id="rId623" display="https://wa.me/62882008302847" xr:uid="{00000000-0004-0000-0000-00006E020000}"/>
    <hyperlink ref="AA624" r:id="rId624" display="https://wa.me/6281215552664" xr:uid="{00000000-0004-0000-0000-00006F020000}"/>
    <hyperlink ref="AA625" r:id="rId625" display="https://wa.me/6285268858846" xr:uid="{00000000-0004-0000-0000-000070020000}"/>
    <hyperlink ref="AA626" r:id="rId626" display="https://wa.me/6281558225822" xr:uid="{00000000-0004-0000-0000-000071020000}"/>
    <hyperlink ref="AA627" r:id="rId627" display="https://wa.me/6285217189178" xr:uid="{00000000-0004-0000-0000-000072020000}"/>
    <hyperlink ref="AA628" r:id="rId628" display="https://wa.me/6282390759437" xr:uid="{00000000-0004-0000-0000-000073020000}"/>
    <hyperlink ref="AA629" r:id="rId629" display="https://wa.me/6282328059129" xr:uid="{00000000-0004-0000-0000-000074020000}"/>
    <hyperlink ref="AA630" r:id="rId630" display="https://wa.me/6283129404339" xr:uid="{00000000-0004-0000-0000-000075020000}"/>
    <hyperlink ref="AA631" r:id="rId631" display="https://wa.me/6285925102815" xr:uid="{00000000-0004-0000-0000-000076020000}"/>
    <hyperlink ref="AA632" r:id="rId632" display="https://wa.me/6283117425214" xr:uid="{00000000-0004-0000-0000-000077020000}"/>
    <hyperlink ref="AA633" r:id="rId633" display="https://wa.me/62818200980" xr:uid="{00000000-0004-0000-0000-000078020000}"/>
    <hyperlink ref="AA634" r:id="rId634" display="https://wa.me/6282221896658" xr:uid="{00000000-0004-0000-0000-000079020000}"/>
    <hyperlink ref="AA635" r:id="rId635" display="https://wa.me/6282164564557" xr:uid="{00000000-0004-0000-0000-00007A020000}"/>
    <hyperlink ref="AA636" r:id="rId636" display="https://wa.me/6285166200242" xr:uid="{00000000-0004-0000-0000-00007B020000}"/>
    <hyperlink ref="AA637" r:id="rId637" display="https://wa.me/6281339823715" xr:uid="{00000000-0004-0000-0000-00007C020000}"/>
    <hyperlink ref="AA638" r:id="rId638" display="https://wa.me/62077619002" xr:uid="{00000000-0004-0000-0000-00007D020000}"/>
    <hyperlink ref="AA639" r:id="rId639" display="https://wa.me/6277619002" xr:uid="{00000000-0004-0000-0000-00007E020000}"/>
    <hyperlink ref="AA640" r:id="rId640" display="https://wa.me/6281320188313" xr:uid="{00000000-0004-0000-0000-00007F020000}"/>
    <hyperlink ref="AA641" r:id="rId641" display="https://wa.me/6285780314346" xr:uid="{00000000-0004-0000-0000-000080020000}"/>
    <hyperlink ref="AA642" r:id="rId642" display="https://wa.me/6281330410391" xr:uid="{00000000-0004-0000-0000-000081020000}"/>
    <hyperlink ref="AA643" r:id="rId643" display="https://wa.me/6281558225822" xr:uid="{00000000-0004-0000-0000-000082020000}"/>
    <hyperlink ref="AA644" r:id="rId644" display="https://wa.me/628561302381" xr:uid="{00000000-0004-0000-0000-000083020000}"/>
    <hyperlink ref="AA645" r:id="rId645" display="https://wa.me/6285240694097" xr:uid="{00000000-0004-0000-0000-000084020000}"/>
    <hyperlink ref="AA646" r:id="rId646" display="https://wa.me/6285640123555" xr:uid="{00000000-0004-0000-0000-000085020000}"/>
    <hyperlink ref="AA647" r:id="rId647" display="https://wa.me/628971115941" xr:uid="{00000000-0004-0000-0000-000086020000}"/>
    <hyperlink ref="AA648" r:id="rId648" display="https://wa.me/6282280929802" xr:uid="{00000000-0004-0000-0000-000087020000}"/>
    <hyperlink ref="AA649" r:id="rId649" display="https://wa.me/6285274759862" xr:uid="{00000000-0004-0000-0000-000088020000}"/>
    <hyperlink ref="AA650" r:id="rId650" display="https://wa.me/6285240194507" xr:uid="{00000000-0004-0000-0000-000089020000}"/>
    <hyperlink ref="AA651" r:id="rId651" display="https://wa.me/6285189492568" xr:uid="{00000000-0004-0000-0000-00008A020000}"/>
    <hyperlink ref="AA652" r:id="rId652" display="https://wa.me/6281990865975" xr:uid="{00000000-0004-0000-0000-00008B020000}"/>
    <hyperlink ref="AA653" r:id="rId653" display="https://wa.me/6285944023744" xr:uid="{00000000-0004-0000-0000-00008C020000}"/>
    <hyperlink ref="AA654" r:id="rId654" display="https://wa.me/6285811111804" xr:uid="{00000000-0004-0000-0000-00008D020000}"/>
    <hyperlink ref="AA655" r:id="rId655" display="https://wa.me/6281313889118" xr:uid="{00000000-0004-0000-0000-00008E020000}"/>
    <hyperlink ref="AA656" r:id="rId656" display="https://wa.me/6282112073155" xr:uid="{00000000-0004-0000-0000-00008F020000}"/>
    <hyperlink ref="AA657" r:id="rId657" display="https://wa.me/628195131666" xr:uid="{00000000-0004-0000-0000-000090020000}"/>
    <hyperlink ref="AA658" r:id="rId658" display="https://wa.me/6285283208198" xr:uid="{00000000-0004-0000-0000-000091020000}"/>
    <hyperlink ref="AA659" r:id="rId659" display="https://wa.me/628815361682" xr:uid="{00000000-0004-0000-0000-000092020000}"/>
    <hyperlink ref="AA660" r:id="rId660" display="https://wa.me/6285640123555" xr:uid="{00000000-0004-0000-0000-000093020000}"/>
    <hyperlink ref="AA661" r:id="rId661" display="https://wa.me/628131361661" xr:uid="{00000000-0004-0000-0000-000094020000}"/>
    <hyperlink ref="AA662" r:id="rId662" display="https://wa.me/6285967129366" xr:uid="{00000000-0004-0000-0000-000095020000}"/>
    <hyperlink ref="AA663" r:id="rId663" display="https://wa.me/6289514176661" xr:uid="{00000000-0004-0000-0000-000096020000}"/>
    <hyperlink ref="AA664" r:id="rId664" display="https://wa.me/6281380503300" xr:uid="{00000000-0004-0000-0000-000097020000}"/>
    <hyperlink ref="AA665" r:id="rId665" display="https://wa.me/6287833789401" xr:uid="{00000000-0004-0000-0000-000098020000}"/>
    <hyperlink ref="AA666" r:id="rId666" display="https://wa.me/6281222788601" xr:uid="{00000000-0004-0000-0000-000099020000}"/>
    <hyperlink ref="AA667" r:id="rId667" display="https://wa.me/6285702241111" xr:uid="{00000000-0004-0000-0000-00009A020000}"/>
    <hyperlink ref="AA668" r:id="rId668" display="https://wa.me/6285854789952" xr:uid="{00000000-0004-0000-0000-00009B020000}"/>
    <hyperlink ref="AA669" r:id="rId669" display="https://wa.me/6287862271550" xr:uid="{00000000-0004-0000-0000-00009C020000}"/>
    <hyperlink ref="AA670" r:id="rId670" display="https://wa.me/6285255115894" xr:uid="{00000000-0004-0000-0000-00009D020000}"/>
    <hyperlink ref="AA671" r:id="rId671" display="https://wa.me/6281513169730" xr:uid="{00000000-0004-0000-0000-00009E020000}"/>
    <hyperlink ref="AA672" r:id="rId672" display="https://wa.me/6285864637086" xr:uid="{00000000-0004-0000-0000-00009F020000}"/>
    <hyperlink ref="AA673" r:id="rId673" display="https://wa.me/6282160743576" xr:uid="{00000000-0004-0000-0000-0000A0020000}"/>
    <hyperlink ref="AA674" r:id="rId674" display="https://wa.me/6287740636181" xr:uid="{00000000-0004-0000-0000-0000A1020000}"/>
    <hyperlink ref="AA675" r:id="rId675" display="https://wa.me/6282154318629" xr:uid="{00000000-0004-0000-0000-0000A2020000}"/>
    <hyperlink ref="AA676" r:id="rId676" display="https://wa.me/62076472864" xr:uid="{00000000-0004-0000-0000-0000A3020000}"/>
    <hyperlink ref="AA677" r:id="rId677" display="https://wa.me/6285888452389" xr:uid="{00000000-0004-0000-0000-0000A4020000}"/>
    <hyperlink ref="AA678" r:id="rId678" display="https://wa.me/6285333355756" xr:uid="{00000000-0004-0000-0000-0000A5020000}"/>
    <hyperlink ref="AA679" r:id="rId679" display="https://wa.me/6281210801646" xr:uid="{00000000-0004-0000-0000-0000A6020000}"/>
    <hyperlink ref="AA680" r:id="rId680" display="https://wa.me/62818763108" xr:uid="{00000000-0004-0000-0000-0000A7020000}"/>
    <hyperlink ref="AA681" r:id="rId681" display="https://wa.me/628179780980" xr:uid="{00000000-0004-0000-0000-0000A8020000}"/>
    <hyperlink ref="AA682" r:id="rId682" display="https://wa.me/6282384370009" xr:uid="{00000000-0004-0000-0000-0000A9020000}"/>
    <hyperlink ref="AA683" r:id="rId683" display="https://wa.me/6282173535013" xr:uid="{00000000-0004-0000-0000-0000AA020000}"/>
    <hyperlink ref="AA684" r:id="rId684" display="https://wa.me/6281779578317" xr:uid="{00000000-0004-0000-0000-0000AB020000}"/>
    <hyperlink ref="AA685" r:id="rId685" display="https://wa.me/6285100570275" xr:uid="{00000000-0004-0000-0000-0000AC020000}"/>
    <hyperlink ref="AA686" r:id="rId686" display="https://wa.me/6287842913251" xr:uid="{00000000-0004-0000-0000-0000AD020000}"/>
    <hyperlink ref="AA687" r:id="rId687" display="https://wa.me/6285642368174" xr:uid="{00000000-0004-0000-0000-0000AE020000}"/>
    <hyperlink ref="AA688" r:id="rId688" display="https://wa.me/62082287715351" xr:uid="{00000000-0004-0000-0000-0000AF020000}"/>
    <hyperlink ref="AA689" r:id="rId689" display="https://wa.me/62818533354" xr:uid="{00000000-0004-0000-0000-0000B0020000}"/>
    <hyperlink ref="AA690" r:id="rId690" display="https://wa.me/6289667480162" xr:uid="{00000000-0004-0000-0000-0000B1020000}"/>
    <hyperlink ref="AA691" r:id="rId691" display="https://wa.me/6282111180648" xr:uid="{00000000-0004-0000-0000-0000B2020000}"/>
    <hyperlink ref="AA692" r:id="rId692" display="https://wa.me/6288802749485" xr:uid="{00000000-0004-0000-0000-0000B3020000}"/>
    <hyperlink ref="AA693" r:id="rId693" display="https://wa.me/6282393168368" xr:uid="{00000000-0004-0000-0000-0000B4020000}"/>
    <hyperlink ref="AA694" r:id="rId694" display="https://wa.me/6287777304498" xr:uid="{00000000-0004-0000-0000-0000B5020000}"/>
    <hyperlink ref="AA695" r:id="rId695" display="https://wa.me/6282171933337" xr:uid="{00000000-0004-0000-0000-0000B6020000}"/>
    <hyperlink ref="AA696" r:id="rId696" display="https://wa.me/f" xr:uid="{00000000-0004-0000-0000-0000B7020000}"/>
    <hyperlink ref="AA697" r:id="rId697" display="https://wa.me/6282129364133" xr:uid="{00000000-0004-0000-0000-0000B8020000}"/>
    <hyperlink ref="AA698" r:id="rId698" display="https://wa.me/6287790276733" xr:uid="{00000000-0004-0000-0000-0000B9020000}"/>
    <hyperlink ref="AA699" r:id="rId699" display="https://wa.me/6281334257715" xr:uid="{00000000-0004-0000-0000-0000BA020000}"/>
    <hyperlink ref="AA700" r:id="rId700" display="https://wa.me/6282365004117" xr:uid="{00000000-0004-0000-0000-0000BB020000}"/>
    <hyperlink ref="AA701" r:id="rId701" display="https://wa.me/6285920572002" xr:uid="{00000000-0004-0000-0000-0000BC020000}"/>
    <hyperlink ref="AA702" r:id="rId702" display="https://wa.me/6287821734079" xr:uid="{00000000-0004-0000-0000-0000BD020000}"/>
    <hyperlink ref="AA703" r:id="rId703" display="https://wa.me/6282365004117" xr:uid="{00000000-0004-0000-0000-0000BE020000}"/>
    <hyperlink ref="AA704" r:id="rId704" display="https://wa.me/6287856230745" xr:uid="{00000000-0004-0000-0000-0000BF020000}"/>
    <hyperlink ref="AA705" r:id="rId705" display="https://wa.me/6282137097189" xr:uid="{00000000-0004-0000-0000-0000C0020000}"/>
    <hyperlink ref="AA706" r:id="rId706" display="https://wa.me/6285251757431" xr:uid="{00000000-0004-0000-0000-0000C1020000}"/>
    <hyperlink ref="G707" r:id="rId707" xr:uid="{00000000-0004-0000-0000-0000C2020000}"/>
    <hyperlink ref="W707" r:id="rId708" display="http://hratour.id/" xr:uid="{00000000-0004-0000-0000-0000C3020000}"/>
    <hyperlink ref="AA707" r:id="rId709" display="https://wa.me/kmm" xr:uid="{00000000-0004-0000-0000-0000C4020000}"/>
    <hyperlink ref="AA708" r:id="rId710" display="https://wa.me/6285741888828" xr:uid="{00000000-0004-0000-0000-0000C5020000}"/>
    <hyperlink ref="AA709" r:id="rId711" display="https://wa.me/6281316807185" xr:uid="{00000000-0004-0000-0000-0000C6020000}"/>
    <hyperlink ref="AA710" r:id="rId712" display="https://wa.me/6285169730762" xr:uid="{00000000-0004-0000-0000-0000C7020000}"/>
    <hyperlink ref="AA711" r:id="rId713" display="https://wa.me/6285946504405" xr:uid="{00000000-0004-0000-0000-0000C8020000}"/>
    <hyperlink ref="AA712" r:id="rId714" display="https://wa.me/62881038177010" xr:uid="{00000000-0004-0000-0000-0000C9020000}"/>
    <hyperlink ref="AA713" r:id="rId715" display="https://wa.me/6285893658659" xr:uid="{00000000-0004-0000-0000-0000CA020000}"/>
    <hyperlink ref="AA714" r:id="rId716" display="https://wa.me/6281330410391" xr:uid="{00000000-0004-0000-0000-0000CB020000}"/>
    <hyperlink ref="AA715" r:id="rId717" display="https://wa.me/6281316807185" xr:uid="{00000000-0004-0000-0000-0000CC020000}"/>
    <hyperlink ref="AA716" r:id="rId718" display="https://wa.me/6289630527354" xr:uid="{00000000-0004-0000-0000-0000CD020000}"/>
    <hyperlink ref="AA717" r:id="rId719" display="https://wa.me/6285376667233" xr:uid="{00000000-0004-0000-0000-0000CE020000}"/>
    <hyperlink ref="AA718" r:id="rId720" display="https://wa.me/628112656686" xr:uid="{00000000-0004-0000-0000-0000CF020000}"/>
    <hyperlink ref="AA719" r:id="rId721" display="https://wa.me/6281315163838" xr:uid="{00000000-0004-0000-0000-0000D0020000}"/>
    <hyperlink ref="AA720" r:id="rId722" display="https://wa.me/6281224628935" xr:uid="{00000000-0004-0000-0000-0000D1020000}"/>
    <hyperlink ref="AA721" r:id="rId723" display="https://wa.me/6282267832085" xr:uid="{00000000-0004-0000-0000-0000D2020000}"/>
    <hyperlink ref="AA722" r:id="rId724" display="https://wa.me/628970060010" xr:uid="{00000000-0004-0000-0000-0000D3020000}"/>
    <hyperlink ref="AA723" r:id="rId725" display="https://wa.me/6281239004410" xr:uid="{00000000-0004-0000-0000-0000D4020000}"/>
    <hyperlink ref="AA724" r:id="rId726" display="https://wa.me/6282171085542" xr:uid="{00000000-0004-0000-0000-0000D5020000}"/>
    <hyperlink ref="AA725" r:id="rId727" display="https://wa.me/6282171085542" xr:uid="{00000000-0004-0000-0000-0000D6020000}"/>
    <hyperlink ref="AA726" r:id="rId728" display="https://wa.me/6282171085542" xr:uid="{00000000-0004-0000-0000-0000D7020000}"/>
    <hyperlink ref="AA727" r:id="rId729" display="https://wa.me/6282310465999" xr:uid="{00000000-0004-0000-0000-0000D8020000}"/>
    <hyperlink ref="AA728" r:id="rId730" display="https://wa.me/6289508681093" xr:uid="{00000000-0004-0000-0000-0000D9020000}"/>
    <hyperlink ref="AA729" r:id="rId731" display="https://wa.me/6285748377961" xr:uid="{00000000-0004-0000-0000-0000DA020000}"/>
    <hyperlink ref="AA730" r:id="rId732" display="https://wa.me/6285888411685" xr:uid="{00000000-0004-0000-0000-0000DB020000}"/>
    <hyperlink ref="AA731" r:id="rId733" display="https://wa.me/6281558225822" xr:uid="{00000000-0004-0000-0000-0000DC020000}"/>
    <hyperlink ref="AA732" r:id="rId734" display="https://wa.me/628119913004" xr:uid="{00000000-0004-0000-0000-0000DD020000}"/>
    <hyperlink ref="AA733" r:id="rId735" display="https://wa.me/6287836691500" xr:uid="{00000000-0004-0000-0000-0000DE020000}"/>
    <hyperlink ref="AA734" r:id="rId736" display="https://wa.me/628122577723" xr:uid="{00000000-0004-0000-0000-0000DF020000}"/>
    <hyperlink ref="AA735" r:id="rId737" display="https://wa.me/6281990865975" xr:uid="{00000000-0004-0000-0000-0000E0020000}"/>
    <hyperlink ref="AA736" r:id="rId738" display="https://wa.me/6281338789995" xr:uid="{00000000-0004-0000-0000-0000E1020000}"/>
    <hyperlink ref="AA737" r:id="rId739" display="https://wa.me/6281231382365" xr:uid="{00000000-0004-0000-0000-0000E2020000}"/>
    <hyperlink ref="AA738" r:id="rId740" display="https://wa.me/6281359605566" xr:uid="{00000000-0004-0000-0000-0000E3020000}"/>
    <hyperlink ref="AA739" r:id="rId741" display="https://wa.me/628720705874" xr:uid="{00000000-0004-0000-0000-0000E4020000}"/>
    <hyperlink ref="AA740" r:id="rId742" display="https://wa.me/6281779578317" xr:uid="{00000000-0004-0000-0000-0000E5020000}"/>
    <hyperlink ref="AA741" r:id="rId743" display="https://wa.me/6281328027701" xr:uid="{00000000-0004-0000-0000-0000E6020000}"/>
    <hyperlink ref="AA742" r:id="rId744" display="https://wa.me/628152343305" xr:uid="{00000000-0004-0000-0000-0000E7020000}"/>
    <hyperlink ref="AA743" r:id="rId745" display="https://wa.me/6281234132926" xr:uid="{00000000-0004-0000-0000-0000E8020000}"/>
    <hyperlink ref="AA744" r:id="rId746" display="https://wa.me/6282393168368" xr:uid="{00000000-0004-0000-0000-0000E9020000}"/>
    <hyperlink ref="AA745" r:id="rId747" display="https://wa.me/6287849666629" xr:uid="{00000000-0004-0000-0000-0000EA020000}"/>
    <hyperlink ref="AA746" r:id="rId748" display="https://wa.me/6285720705874" xr:uid="{00000000-0004-0000-0000-0000EB020000}"/>
    <hyperlink ref="AA747" r:id="rId749" display="https://wa.me/6281915041833" xr:uid="{00000000-0004-0000-0000-0000EC020000}"/>
    <hyperlink ref="AA748" r:id="rId750" display="https://wa.me/6281353892010" xr:uid="{00000000-0004-0000-0000-0000ED020000}"/>
    <hyperlink ref="AA749" r:id="rId751" display="https://wa.me/6281376129355" xr:uid="{00000000-0004-0000-0000-0000EE020000}"/>
    <hyperlink ref="AA750" r:id="rId752" display="https://wa.me/6281226825253" xr:uid="{00000000-0004-0000-0000-0000EF020000}"/>
    <hyperlink ref="AA751" r:id="rId753" display="https://wa.me/6287863509004" xr:uid="{00000000-0004-0000-0000-0000F0020000}"/>
    <hyperlink ref="AA752" r:id="rId754" display="https://wa.me/6285194619788" xr:uid="{00000000-0004-0000-0000-0000F1020000}"/>
    <hyperlink ref="AA753" r:id="rId755" display="https://wa.me/6285311472244" xr:uid="{00000000-0004-0000-0000-0000F2020000}"/>
    <hyperlink ref="AA754" r:id="rId756" display="https://wa.me/628122102657" xr:uid="{00000000-0004-0000-0000-0000F3020000}"/>
    <hyperlink ref="AA755" r:id="rId757" display="https://wa.me/6281323291817" xr:uid="{00000000-0004-0000-0000-0000F4020000}"/>
    <hyperlink ref="AA756" r:id="rId758" display="https://wa.me/6282154318629" xr:uid="{00000000-0004-0000-0000-0000F5020000}"/>
    <hyperlink ref="AA757" r:id="rId759" display="https://wa.me/6281385001244" xr:uid="{00000000-0004-0000-0000-0000F6020000}"/>
    <hyperlink ref="AA758" r:id="rId760" display="https://wa.me/6289606523838" xr:uid="{00000000-0004-0000-0000-0000F7020000}"/>
    <hyperlink ref="AA759" r:id="rId761" display="https://wa.me/6281545971465" xr:uid="{00000000-0004-0000-0000-0000F8020000}"/>
    <hyperlink ref="AA760" r:id="rId762" display="https://wa.me/62811955059" xr:uid="{00000000-0004-0000-0000-0000F9020000}"/>
    <hyperlink ref="AA761" r:id="rId763" display="https://wa.me/6285864550854" xr:uid="{00000000-0004-0000-0000-0000FA020000}"/>
    <hyperlink ref="AA762" r:id="rId764" display="https://wa.me/6281212231218" xr:uid="{00000000-0004-0000-0000-0000FB020000}"/>
    <hyperlink ref="AA763" r:id="rId765" display="https://wa.me/6281558225822" xr:uid="{00000000-0004-0000-0000-0000FC020000}"/>
    <hyperlink ref="AA764" r:id="rId766" display="https://wa.me/6285788382935" xr:uid="{00000000-0004-0000-0000-0000FD020000}"/>
    <hyperlink ref="AA765" r:id="rId767" display="https://wa.me/6289637761233" xr:uid="{00000000-0004-0000-0000-0000FE020000}"/>
    <hyperlink ref="AA766" r:id="rId768" display="https://wa.me/6281381118500" xr:uid="{00000000-0004-0000-0000-0000FF020000}"/>
    <hyperlink ref="AA767" r:id="rId769" display="https://wa.me/6285787104091" xr:uid="{00000000-0004-0000-0000-000000030000}"/>
    <hyperlink ref="AA768" r:id="rId770" display="https://wa.me/6281380503300" xr:uid="{00000000-0004-0000-0000-000001030000}"/>
    <hyperlink ref="AA769" r:id="rId771" display="https://wa.me/6281380503300" xr:uid="{00000000-0004-0000-0000-000002030000}"/>
    <hyperlink ref="AA770" r:id="rId772" display="https://wa.me/6285854789952" xr:uid="{00000000-0004-0000-0000-000003030000}"/>
    <hyperlink ref="AA771" r:id="rId773" display="https://wa.me/6285771466144" xr:uid="{00000000-0004-0000-0000-000004030000}"/>
    <hyperlink ref="AA772" r:id="rId774" display="https://wa.me/6282130257988" xr:uid="{00000000-0004-0000-0000-000005030000}"/>
    <hyperlink ref="AA773" r:id="rId775" display="https://wa.me/6285600822636" xr:uid="{00000000-0004-0000-0000-000006030000}"/>
    <hyperlink ref="AA774" r:id="rId776" display="https://wa.me/6285655300070" xr:uid="{00000000-0004-0000-0000-000007030000}"/>
    <hyperlink ref="AA775" r:id="rId777" display="https://wa.me/6285338058843" xr:uid="{00000000-0004-0000-0000-000008030000}"/>
    <hyperlink ref="AA776" r:id="rId778" display="https://wa.me/6285946504405" xr:uid="{00000000-0004-0000-0000-000009030000}"/>
    <hyperlink ref="AA777" r:id="rId779" display="https://wa.me/6281223735839" xr:uid="{00000000-0004-0000-0000-00000A030000}"/>
    <hyperlink ref="AA778" r:id="rId780" display="https://wa.me/6285748377961" xr:uid="{00000000-0004-0000-0000-00000B030000}"/>
    <hyperlink ref="AA779" r:id="rId781" display="https://wa.me/6287782749624" xr:uid="{00000000-0004-0000-0000-00000C030000}"/>
    <hyperlink ref="AA780" r:id="rId782" display="https://wa.me/6282217300224" xr:uid="{00000000-0004-0000-0000-00000D030000}"/>
    <hyperlink ref="AA781" r:id="rId783" display="https://wa.me/6281222895502" xr:uid="{00000000-0004-0000-0000-00000E030000}"/>
    <hyperlink ref="AA782" r:id="rId784" display="https://wa.me/62881038177010" xr:uid="{00000000-0004-0000-0000-00000F030000}"/>
    <hyperlink ref="AA783" r:id="rId785" display="https://wa.me/6285645712595" xr:uid="{00000000-0004-0000-0000-000010030000}"/>
    <hyperlink ref="AA784" r:id="rId786" display="https://wa.me/6282122880328" xr:uid="{00000000-0004-0000-0000-000011030000}"/>
    <hyperlink ref="AA785" r:id="rId787" display="https://wa.me/6285925102815" xr:uid="{00000000-0004-0000-0000-000012030000}"/>
    <hyperlink ref="AA786" r:id="rId788" display="https://wa.me/6285251757431" xr:uid="{00000000-0004-0000-0000-000013030000}"/>
    <hyperlink ref="AA787" r:id="rId789" display="https://wa.me/6285375555590" xr:uid="{00000000-0004-0000-0000-000014030000}"/>
    <hyperlink ref="AA788" r:id="rId790" display="https://wa.me/6281222200099" xr:uid="{00000000-0004-0000-0000-000015030000}"/>
    <hyperlink ref="AA789" r:id="rId791" display="https://wa.me/6285225512004" xr:uid="{00000000-0004-0000-0000-000016030000}"/>
    <hyperlink ref="AA790" r:id="rId792" display="https://wa.me/6281281230009" xr:uid="{00000000-0004-0000-0000-000017030000}"/>
    <hyperlink ref="G791" r:id="rId793" xr:uid="{00000000-0004-0000-0000-000018030000}"/>
    <hyperlink ref="W791" r:id="rId794" display="http://adhidezign.com/" xr:uid="{00000000-0004-0000-0000-000019030000}"/>
    <hyperlink ref="AA791" r:id="rId795" display="https://wa.me/6285719003688" xr:uid="{00000000-0004-0000-0000-00001A030000}"/>
    <hyperlink ref="AA792" r:id="rId796" display="https://wa.me/6281328881949" xr:uid="{00000000-0004-0000-0000-00001B030000}"/>
    <hyperlink ref="AA793" r:id="rId797" display="https://wa.me/6281262080126" xr:uid="{00000000-0004-0000-0000-00001C030000}"/>
    <hyperlink ref="AA794" r:id="rId798" display="https://wa.me/6282393168368" xr:uid="{00000000-0004-0000-0000-00001D030000}"/>
    <hyperlink ref="AA795" r:id="rId799" display="https://wa.me/6285776131462" xr:uid="{00000000-0004-0000-0000-00001E030000}"/>
    <hyperlink ref="AA796" r:id="rId800" display="https://wa.me/6281317409433" xr:uid="{00000000-0004-0000-0000-00001F030000}"/>
    <hyperlink ref="AA797" r:id="rId801" display="https://wa.me/6287885910719" xr:uid="{00000000-0004-0000-0000-000020030000}"/>
    <hyperlink ref="AA798" r:id="rId802" display="https://wa.me/6285888452389" xr:uid="{00000000-0004-0000-0000-000021030000}"/>
    <hyperlink ref="AA799" r:id="rId803" display="https://wa.me/6281283204192" xr:uid="{00000000-0004-0000-0000-000022030000}"/>
    <hyperlink ref="AA800" r:id="rId804" display="https://wa.me/6287778562681" xr:uid="{00000000-0004-0000-0000-000023030000}"/>
    <hyperlink ref="AA801" r:id="rId805" display="https://wa.me/6287790276733" xr:uid="{00000000-0004-0000-0000-000024030000}"/>
    <hyperlink ref="AA802" r:id="rId806" display="https://wa.me/6282129364133" xr:uid="{00000000-0004-0000-0000-000025030000}"/>
    <hyperlink ref="AA803" r:id="rId807" display="https://wa.me/6285268858846" xr:uid="{00000000-0004-0000-0000-000026030000}"/>
    <hyperlink ref="AA804" r:id="rId808" display="https://wa.me/6282172291579" xr:uid="{00000000-0004-0000-0000-000027030000}"/>
    <hyperlink ref="AA805" r:id="rId809" display="https://wa.me/6282110903007" xr:uid="{00000000-0004-0000-0000-000028030000}"/>
    <hyperlink ref="AA806" r:id="rId810" display="https://wa.me/6281330410391" xr:uid="{00000000-0004-0000-0000-000029030000}"/>
    <hyperlink ref="AA807" r:id="rId811" display="https://wa.me/6287835601400" xr:uid="{00000000-0004-0000-0000-00002A030000}"/>
    <hyperlink ref="AA808" r:id="rId812" display="https://wa.me/6285742130079" xr:uid="{00000000-0004-0000-0000-00002B030000}"/>
    <hyperlink ref="AA809" r:id="rId813" display="https://wa.me/628562882464" xr:uid="{00000000-0004-0000-0000-00002C030000}"/>
    <hyperlink ref="AA810" r:id="rId814" display="https://wa.me/6285243442275" xr:uid="{00000000-0004-0000-0000-00002D030000}"/>
    <hyperlink ref="AA811" r:id="rId815" display="https://wa.me/6287888330007" xr:uid="{00000000-0004-0000-0000-00002E030000}"/>
    <hyperlink ref="AA812" r:id="rId816" display="https://wa.me/6285780314346" xr:uid="{00000000-0004-0000-0000-00002F030000}"/>
    <hyperlink ref="AA813" r:id="rId817" display="https://wa.me/6281351572278" xr:uid="{00000000-0004-0000-0000-000030030000}"/>
    <hyperlink ref="AA814" r:id="rId818" display="https://wa.me/6282315669271" xr:uid="{00000000-0004-0000-0000-000031030000}"/>
    <hyperlink ref="AA815" r:id="rId819" display="https://wa.me/6282125057012" xr:uid="{00000000-0004-0000-0000-000032030000}"/>
    <hyperlink ref="AA816" r:id="rId820" display="https://wa.me/6282338171577" xr:uid="{00000000-0004-0000-0000-000033030000}"/>
    <hyperlink ref="AA817" r:id="rId821" display="https://wa.me/6287856230745" xr:uid="{00000000-0004-0000-0000-000034030000}"/>
    <hyperlink ref="AA818" r:id="rId822" display="https://wa.me/6287865111033" xr:uid="{00000000-0004-0000-0000-000035030000}"/>
    <hyperlink ref="AA819" r:id="rId823" display="https://wa.me/6287865111033" xr:uid="{00000000-0004-0000-0000-000036030000}"/>
    <hyperlink ref="AA820" r:id="rId824" display="https://wa.me/6285242515222" xr:uid="{00000000-0004-0000-0000-000037030000}"/>
    <hyperlink ref="AA821" r:id="rId825" display="https://wa.me/628112000639" xr:uid="{00000000-0004-0000-0000-000038030000}"/>
    <hyperlink ref="AA822" r:id="rId826" display="https://wa.me/6285888851587" xr:uid="{00000000-0004-0000-0000-000039030000}"/>
    <hyperlink ref="AA823" r:id="rId827" display="https://wa.me/6285100570275" xr:uid="{00000000-0004-0000-0000-00003A030000}"/>
    <hyperlink ref="AA824" r:id="rId828" display="https://wa.me/6283117425214" xr:uid="{00000000-0004-0000-0000-00003B030000}"/>
    <hyperlink ref="AA825" r:id="rId829" display="https://wa.me/6285353523822" xr:uid="{00000000-0004-0000-0000-00003C030000}"/>
    <hyperlink ref="AA826" r:id="rId830" display="https://wa.me/6287862271550" xr:uid="{00000000-0004-0000-0000-00003D030000}"/>
    <hyperlink ref="AA827" r:id="rId831" display="https://wa.me/6281543128320" xr:uid="{00000000-0004-0000-0000-00003E030000}"/>
    <hyperlink ref="G828" r:id="rId832" xr:uid="{00000000-0004-0000-0000-00003F030000}"/>
    <hyperlink ref="W828" r:id="rId833" display="http://primagriya.com/" xr:uid="{00000000-0004-0000-0000-000040030000}"/>
    <hyperlink ref="AA828" r:id="rId834" display="https://wa.me/6281239874761" xr:uid="{00000000-0004-0000-0000-000041030000}"/>
    <hyperlink ref="AA829" r:id="rId835" display="https://wa.me/6285893658659" xr:uid="{00000000-0004-0000-0000-000042030000}"/>
    <hyperlink ref="AA830" r:id="rId836" display="https://wa.me/6281233038880" xr:uid="{00000000-0004-0000-0000-000043030000}"/>
    <hyperlink ref="AA831" r:id="rId837" display="https://wa.me/628129696801" xr:uid="{00000000-0004-0000-0000-000044030000}"/>
    <hyperlink ref="AA832" r:id="rId838" display="https://wa.me/6281263113266" xr:uid="{00000000-0004-0000-0000-000045030000}"/>
    <hyperlink ref="AA833" r:id="rId839" display="https://wa.me/6282266469686" xr:uid="{00000000-0004-0000-0000-000046030000}"/>
    <hyperlink ref="AA834" r:id="rId840" display="https://wa.me/628886255082" xr:uid="{00000000-0004-0000-0000-000047030000}"/>
    <hyperlink ref="AA835" r:id="rId841" display="https://wa.me/62895804080442" xr:uid="{00000000-0004-0000-0000-000048030000}"/>
    <hyperlink ref="AA836" r:id="rId842" display="https://wa.me/6285341061917" xr:uid="{00000000-0004-0000-0000-000049030000}"/>
    <hyperlink ref="AA837" r:id="rId843" display="https://wa.me/6287838234518" xr:uid="{00000000-0004-0000-0000-00004A030000}"/>
    <hyperlink ref="AA838" r:id="rId844" display="https://wa.me/6285741941594" xr:uid="{00000000-0004-0000-0000-00004B030000}"/>
    <hyperlink ref="AA839" r:id="rId845" display="https://wa.me/6282229433259" xr:uid="{00000000-0004-0000-0000-00004C030000}"/>
    <hyperlink ref="AA840" r:id="rId846" display="https://wa.me/6282362576312" xr:uid="{00000000-0004-0000-0000-00004D030000}"/>
    <hyperlink ref="AA841" r:id="rId847" display="https://wa.me/62817308228" xr:uid="{00000000-0004-0000-0000-00004E030000}"/>
    <hyperlink ref="AA842" r:id="rId848" display="https://wa.me/6281323207611" xr:uid="{00000000-0004-0000-0000-00004F030000}"/>
    <hyperlink ref="AA843" r:id="rId849" display="https://wa.me/6281221788919" xr:uid="{00000000-0004-0000-0000-000050030000}"/>
    <hyperlink ref="AA844" r:id="rId850" display="https://wa.me/6285786318640" xr:uid="{00000000-0004-0000-0000-000051030000}"/>
    <hyperlink ref="AA845" r:id="rId851" display="https://wa.me/6287849856444" xr:uid="{00000000-0004-0000-0000-000052030000}"/>
    <hyperlink ref="AA846" r:id="rId852" display="https://wa.me/6285341061917" xr:uid="{00000000-0004-0000-0000-000053030000}"/>
    <hyperlink ref="AA847" r:id="rId853" display="https://wa.me/6285384956538" xr:uid="{00000000-0004-0000-0000-000054030000}"/>
    <hyperlink ref="AA848" r:id="rId854" display="https://wa.me/62881010328220" xr:uid="{00000000-0004-0000-0000-000055030000}"/>
    <hyperlink ref="AA849" r:id="rId855" display="https://wa.me/6285946504405" xr:uid="{00000000-0004-0000-0000-000056030000}"/>
    <hyperlink ref="AA850" r:id="rId856" display="https://wa.me/6285338373761" xr:uid="{00000000-0004-0000-0000-000057030000}"/>
    <hyperlink ref="AA851" r:id="rId857" display="https://wa.me/6287871214170" xr:uid="{00000000-0004-0000-0000-000058030000}"/>
    <hyperlink ref="AA852" r:id="rId858" display="https://wa.me/6281296182529" xr:uid="{00000000-0004-0000-0000-000059030000}"/>
    <hyperlink ref="AA853" r:id="rId859" display="https://wa.me/6285921481643" xr:uid="{00000000-0004-0000-0000-00005A030000}"/>
    <hyperlink ref="AA854" r:id="rId860" display="https://wa.me/6282242925264" xr:uid="{00000000-0004-0000-0000-00005B030000}"/>
    <hyperlink ref="AA855" r:id="rId861" display="https://wa.me/6285741941594" xr:uid="{00000000-0004-0000-0000-00005C030000}"/>
    <hyperlink ref="AA856" r:id="rId862" display="https://wa.me/6281296182529" xr:uid="{00000000-0004-0000-0000-00005D030000}"/>
    <hyperlink ref="AA857" r:id="rId863" display="https://wa.me/62895614711817" xr:uid="{00000000-0004-0000-0000-00005E030000}"/>
    <hyperlink ref="AA858" r:id="rId864" display="https://wa.me/6283890485112" xr:uid="{00000000-0004-0000-0000-00005F030000}"/>
    <hyperlink ref="AA859" r:id="rId865" display="https://wa.me/6282286608220" xr:uid="{00000000-0004-0000-0000-000060030000}"/>
    <hyperlink ref="AA860" r:id="rId866" display="https://wa.me/6281558822937" xr:uid="{00000000-0004-0000-0000-000061030000}"/>
    <hyperlink ref="AA861" r:id="rId867" display="https://wa.me/6282318568540" xr:uid="{00000000-0004-0000-0000-000062030000}"/>
    <hyperlink ref="AA862" r:id="rId868" display="https://wa.me/6281241440688" xr:uid="{00000000-0004-0000-0000-000063030000}"/>
    <hyperlink ref="AA863" r:id="rId869" display="https://wa.me/6285272737979" xr:uid="{00000000-0004-0000-0000-000064030000}"/>
    <hyperlink ref="AA864" r:id="rId870" display="https://wa.me/62895420142524" xr:uid="{00000000-0004-0000-0000-000065030000}"/>
    <hyperlink ref="AA865" r:id="rId871" display="https://wa.me/6281341637566" xr:uid="{00000000-0004-0000-0000-000066030000}"/>
    <hyperlink ref="AA866" r:id="rId872" display="https://wa.me/6285333751528" xr:uid="{00000000-0004-0000-0000-000067030000}"/>
    <hyperlink ref="AA867" r:id="rId873" display="https://wa.me/6283890485123" xr:uid="{00000000-0004-0000-0000-000068030000}"/>
    <hyperlink ref="AA868" r:id="rId874" display="https://wa.me/6283865096870" xr:uid="{00000000-0004-0000-0000-000069030000}"/>
    <hyperlink ref="AA869" r:id="rId875" display="https://wa.me/6285654251369" xr:uid="{00000000-0004-0000-0000-00006A030000}"/>
    <hyperlink ref="AA870" r:id="rId876" display="https://wa.me/6285600287735" xr:uid="{00000000-0004-0000-0000-00006B030000}"/>
    <hyperlink ref="AA871" r:id="rId877" display="https://wa.me/6285280808856" xr:uid="{00000000-0004-0000-0000-00006C030000}"/>
    <hyperlink ref="AA872" r:id="rId878" display="https://wa.me/6285602235618" xr:uid="{00000000-0004-0000-0000-00006D030000}"/>
    <hyperlink ref="AA873" r:id="rId879" display="https://wa.me/6287722264777" xr:uid="{00000000-0004-0000-0000-00006E030000}"/>
    <hyperlink ref="AA874" r:id="rId880" display="https://wa.me/6281223735839" xr:uid="{00000000-0004-0000-0000-00006F030000}"/>
    <hyperlink ref="AA875" r:id="rId881" display="https://wa.me/6283188945188" xr:uid="{00000000-0004-0000-0000-000070030000}"/>
    <hyperlink ref="AA876" r:id="rId882" display="https://wa.me/62881022356673" xr:uid="{00000000-0004-0000-0000-000071030000}"/>
    <hyperlink ref="AA877" r:id="rId883" display="https://wa.me/6281394618785" xr:uid="{00000000-0004-0000-0000-000072030000}"/>
    <hyperlink ref="AA878" r:id="rId884" display="https://wa.me/6281519225886" xr:uid="{00000000-0004-0000-0000-000073030000}"/>
    <hyperlink ref="AA879" r:id="rId885" display="https://wa.me/6281283204192" xr:uid="{00000000-0004-0000-0000-000074030000}"/>
    <hyperlink ref="AA880" r:id="rId886" display="https://wa.me/6283149477297" xr:uid="{00000000-0004-0000-0000-000075030000}"/>
    <hyperlink ref="AA881" r:id="rId887" display="https://wa.me/6281249008778" xr:uid="{00000000-0004-0000-0000-000076030000}"/>
    <hyperlink ref="AA882" r:id="rId888" display="https://wa.me/6285787104091" xr:uid="{00000000-0004-0000-0000-000077030000}"/>
    <hyperlink ref="AA883" r:id="rId889" display="https://wa.me/6282391199993" xr:uid="{00000000-0004-0000-0000-000078030000}"/>
    <hyperlink ref="AA884" r:id="rId890" display="https://wa.me/6285333355756" xr:uid="{00000000-0004-0000-0000-000079030000}"/>
    <hyperlink ref="AA885" r:id="rId891" display="https://wa.me/62881038177010" xr:uid="{00000000-0004-0000-0000-00007A030000}"/>
    <hyperlink ref="AA886" r:id="rId892" display="https://wa.me/6281990865975" xr:uid="{00000000-0004-0000-0000-00007B030000}"/>
    <hyperlink ref="AA887" r:id="rId893" display="https://wa.me/6285169730762" xr:uid="{00000000-0004-0000-0000-00007C030000}"/>
    <hyperlink ref="AA888" r:id="rId894" display="https://wa.me/6281460494182" xr:uid="{00000000-0004-0000-0000-00007D030000}"/>
    <hyperlink ref="AA889" r:id="rId895" display="https://wa.me/62895374644456" xr:uid="{00000000-0004-0000-0000-00007E030000}"/>
    <hyperlink ref="AA890" r:id="rId896" display="https://wa.me/6282393369967" xr:uid="{00000000-0004-0000-0000-00007F030000}"/>
    <hyperlink ref="AA891" r:id="rId897" display="https://wa.me/6281355662725" xr:uid="{00000000-0004-0000-0000-000080030000}"/>
    <hyperlink ref="AA892" r:id="rId898" display="https://wa.me/6282220371971" xr:uid="{00000000-0004-0000-0000-000081030000}"/>
    <hyperlink ref="AA893" r:id="rId899" display="https://wa.me/6285376667233" xr:uid="{00000000-0004-0000-0000-000082030000}"/>
    <hyperlink ref="AA895" r:id="rId900" display="https://wa.me/6282364480929" xr:uid="{00000000-0004-0000-0000-000083030000}"/>
    <hyperlink ref="AA896" r:id="rId901" display="https://wa.me/6281348215665" xr:uid="{00000000-0004-0000-0000-000084030000}"/>
    <hyperlink ref="AA897" r:id="rId902" display="https://wa.me/6282111518881" xr:uid="{00000000-0004-0000-0000-000085030000}"/>
    <hyperlink ref="AA898" r:id="rId903" display="https://wa.me/6282135496939" xr:uid="{00000000-0004-0000-0000-000086030000}"/>
    <hyperlink ref="AA899" r:id="rId904" display="https://wa.me/6282186829904" xr:uid="{00000000-0004-0000-0000-000087030000}"/>
    <hyperlink ref="AA900" r:id="rId905" display="https://wa.me/62817164567" xr:uid="{00000000-0004-0000-0000-000088030000}"/>
    <hyperlink ref="AA901" r:id="rId906" display="https://wa.me/6282195508557" xr:uid="{00000000-0004-0000-0000-000089030000}"/>
    <hyperlink ref="AA902" r:id="rId907" display="https://wa.me/6285821233475" xr:uid="{00000000-0004-0000-0000-00008A030000}"/>
    <hyperlink ref="AA903" r:id="rId908" display="https://wa.me/6285213857442" xr:uid="{00000000-0004-0000-0000-00008B030000}"/>
    <hyperlink ref="AA904" r:id="rId909" display="https://wa.me/6282220945171" xr:uid="{00000000-0004-0000-0000-00008C030000}"/>
    <hyperlink ref="AA905" r:id="rId910" display="https://wa.me/6285161653332" xr:uid="{00000000-0004-0000-0000-00008D030000}"/>
    <hyperlink ref="AA906" r:id="rId911" display="https://wa.me/628990570840" xr:uid="{00000000-0004-0000-0000-00008E030000}"/>
    <hyperlink ref="AA907" r:id="rId912" display="https://wa.me/6285657238556" xr:uid="{00000000-0004-0000-0000-00008F030000}"/>
    <hyperlink ref="AA908" r:id="rId913" display="https://wa.me/6287790276733" xr:uid="{00000000-0004-0000-0000-000090030000}"/>
    <hyperlink ref="AA909" r:id="rId914" display="https://wa.me/6281393958199" xr:uid="{00000000-0004-0000-0000-000091030000}"/>
    <hyperlink ref="AA910" r:id="rId915" display="https://wa.me/6282229433259" xr:uid="{00000000-0004-0000-0000-000092030000}"/>
    <hyperlink ref="AA911" r:id="rId916" display="https://wa.me/6281338789995" xr:uid="{00000000-0004-0000-0000-000093030000}"/>
    <hyperlink ref="AA912" r:id="rId917" display="https://wa.me/6285668750426" xr:uid="{00000000-0004-0000-0000-000094030000}"/>
    <hyperlink ref="AA913" r:id="rId918" display="https://wa.me/6289508681093" xr:uid="{00000000-0004-0000-0000-000095030000}"/>
    <hyperlink ref="AA914" r:id="rId919" display="https://wa.me/6285255115894" xr:uid="{00000000-0004-0000-0000-000096030000}"/>
    <hyperlink ref="AA915" r:id="rId920" display="https://wa.me/6287888330007" xr:uid="{00000000-0004-0000-0000-000097030000}"/>
    <hyperlink ref="AA916" r:id="rId921" display="https://wa.me/6281330410391" xr:uid="{00000000-0004-0000-0000-000098030000}"/>
    <hyperlink ref="AA917" r:id="rId922" display="https://wa.me/6282141603091" xr:uid="{00000000-0004-0000-0000-000099030000}"/>
    <hyperlink ref="AA918" r:id="rId923" display="https://wa.me/6281911256837" xr:uid="{00000000-0004-0000-0000-00009A030000}"/>
    <hyperlink ref="AA919" r:id="rId924" display="https://wa.me/6281338383022" xr:uid="{00000000-0004-0000-0000-00009B030000}"/>
    <hyperlink ref="AA920" r:id="rId925" display="https://wa.me/6281232743716" xr:uid="{00000000-0004-0000-0000-00009C030000}"/>
    <hyperlink ref="AA921" r:id="rId926" display="https://wa.me/6285750574301" xr:uid="{00000000-0004-0000-0000-00009D030000}"/>
    <hyperlink ref="AA922" r:id="rId927" display="https://wa.me/6282249145533" xr:uid="{00000000-0004-0000-0000-00009E030000}"/>
    <hyperlink ref="AA923" r:id="rId928" display="https://wa.me/6281328710760" xr:uid="{00000000-0004-0000-0000-00009F030000}"/>
    <hyperlink ref="AA924" r:id="rId929" display="https://wa.me/6285792806011" xr:uid="{00000000-0004-0000-0000-0000A0030000}"/>
    <hyperlink ref="AA925" r:id="rId930" display="https://wa.me/6287856230745" xr:uid="{00000000-0004-0000-0000-0000A1030000}"/>
    <hyperlink ref="AA926" r:id="rId931" display="https://wa.me/6285136983356" xr:uid="{00000000-0004-0000-0000-0000A2030000}"/>
    <hyperlink ref="AA927" r:id="rId932" display="https://wa.me/6285210107607" xr:uid="{00000000-0004-0000-0000-0000A3030000}"/>
    <hyperlink ref="AA928" r:id="rId933" display="https://wa.me/6282193434799" xr:uid="{00000000-0004-0000-0000-0000A4030000}"/>
    <hyperlink ref="AA929" r:id="rId934" display="https://wa.me/6281243260218" xr:uid="{00000000-0004-0000-0000-0000A5030000}"/>
    <hyperlink ref="AA930" r:id="rId935" display="https://wa.me/6285780314346" xr:uid="{00000000-0004-0000-0000-0000A6030000}"/>
    <hyperlink ref="AA931" r:id="rId936" display="https://wa.me/6285780314346" xr:uid="{00000000-0004-0000-0000-0000A7030000}"/>
    <hyperlink ref="AA932" r:id="rId937" display="https://wa.me/6285245301996" xr:uid="{00000000-0004-0000-0000-0000A8030000}"/>
    <hyperlink ref="AA933" r:id="rId938" display="https://wa.me/6287822292311" xr:uid="{00000000-0004-0000-0000-0000A9030000}"/>
    <hyperlink ref="AA934" r:id="rId939" display="https://wa.me/6289638779870" xr:uid="{00000000-0004-0000-0000-0000AA030000}"/>
    <hyperlink ref="AA935" r:id="rId940" display="https://wa.me/6281316122975" xr:uid="{00000000-0004-0000-0000-0000AB030000}"/>
    <hyperlink ref="AA936" r:id="rId941" display="https://wa.me/6285237233077" xr:uid="{00000000-0004-0000-0000-0000AC030000}"/>
    <hyperlink ref="AA937" r:id="rId942" display="https://wa.me/6283107086952" xr:uid="{00000000-0004-0000-0000-0000AD030000}"/>
    <hyperlink ref="AA938" r:id="rId943" display="https://wa.me/6282225676438" xr:uid="{00000000-0004-0000-0000-0000AE030000}"/>
    <hyperlink ref="AA939" r:id="rId944" display="https://wa.me/6282154770550" xr:uid="{00000000-0004-0000-0000-0000AF030000}"/>
    <hyperlink ref="AA940" r:id="rId945" display="https://wa.me/6282115969323" xr:uid="{00000000-0004-0000-0000-0000B0030000}"/>
    <hyperlink ref="AA941" r:id="rId946" display="https://wa.me/6285278894266" xr:uid="{00000000-0004-0000-0000-0000B1030000}"/>
    <hyperlink ref="AA942" r:id="rId947" display="https://wa.me/6282322433383" xr:uid="{00000000-0004-0000-0000-0000B2030000}"/>
    <hyperlink ref="AA943" r:id="rId948" display="https://wa.me/6285888452389" xr:uid="{00000000-0004-0000-0000-0000B3030000}"/>
    <hyperlink ref="AA944" r:id="rId949" display="https://wa.me/6285269882188" xr:uid="{00000000-0004-0000-0000-0000B4030000}"/>
    <hyperlink ref="AA945" r:id="rId950" display="https://wa.me/6287751068360" xr:uid="{00000000-0004-0000-0000-0000B5030000}"/>
    <hyperlink ref="AA946" r:id="rId951" display="https://wa.me/6285600287735" xr:uid="{00000000-0004-0000-0000-0000B6030000}"/>
    <hyperlink ref="AA947" r:id="rId952" display="https://wa.me/6283824541579" xr:uid="{00000000-0004-0000-0000-0000B7030000}"/>
    <hyperlink ref="AA948" r:id="rId953" display="https://wa.me/6285893658659" xr:uid="{00000000-0004-0000-0000-0000B8030000}"/>
    <hyperlink ref="AA949" r:id="rId954" display="https://wa.me/6285357908485" xr:uid="{00000000-0004-0000-0000-0000B9030000}"/>
    <hyperlink ref="AA950" r:id="rId955" display="https://wa.me/6281283416732" xr:uid="{00000000-0004-0000-0000-0000BA030000}"/>
    <hyperlink ref="AA951" r:id="rId956" display="https://wa.me/6282125057012" xr:uid="{00000000-0004-0000-0000-0000BB030000}"/>
    <hyperlink ref="AA952" r:id="rId957" display="https://wa.me/628179231111" xr:uid="{00000000-0004-0000-0000-0000BC030000}"/>
    <hyperlink ref="AA953" r:id="rId958" display="https://wa.me/6281223735839" xr:uid="{00000000-0004-0000-0000-0000BD030000}"/>
    <hyperlink ref="AA954" r:id="rId959" display="https://wa.me/6289678497690" xr:uid="{00000000-0004-0000-0000-0000BE030000}"/>
    <hyperlink ref="AA955" r:id="rId960" display="https://wa.me/6287838501890" xr:uid="{00000000-0004-0000-0000-0000BF030000}"/>
    <hyperlink ref="AA956" r:id="rId961" display="https://wa.me/6285379989666" xr:uid="{00000000-0004-0000-0000-0000C0030000}"/>
    <hyperlink ref="AA957" r:id="rId962" display="https://wa.me/6285168611197" xr:uid="{00000000-0004-0000-0000-0000C1030000}"/>
    <hyperlink ref="AA958" r:id="rId963" display="https://wa.me/6282183115806" xr:uid="{00000000-0004-0000-0000-0000C2030000}"/>
    <hyperlink ref="AA959" r:id="rId964" display="https://wa.me/6282320232344" xr:uid="{00000000-0004-0000-0000-0000C3030000}"/>
    <hyperlink ref="AA960" r:id="rId965" display="https://wa.me/6287777144455" xr:uid="{00000000-0004-0000-0000-0000C4030000}"/>
    <hyperlink ref="AA961" r:id="rId966" display="https://wa.me/6285255550388" xr:uid="{00000000-0004-0000-0000-0000C5030000}"/>
    <hyperlink ref="AA962" r:id="rId967" display="https://wa.me/6281990022760" xr:uid="{00000000-0004-0000-0000-0000C6030000}"/>
    <hyperlink ref="AA963" r:id="rId968" display="https://wa.me/6287761318839" xr:uid="{00000000-0004-0000-0000-0000C7030000}"/>
    <hyperlink ref="AA964" r:id="rId969" display="https://wa.me/6285720705874" xr:uid="{00000000-0004-0000-0000-0000C8030000}"/>
    <hyperlink ref="AA965" r:id="rId970" display="https://wa.me/6281325100200" xr:uid="{00000000-0004-0000-0000-0000C9030000}"/>
    <hyperlink ref="AA966" r:id="rId971" display="https://wa.me/6287778562681" xr:uid="{00000000-0004-0000-0000-0000CA030000}"/>
    <hyperlink ref="AA967" r:id="rId972" display="https://wa.me/6282230035858" xr:uid="{00000000-0004-0000-0000-0000CB030000}"/>
    <hyperlink ref="AA968" r:id="rId973" display="https://wa.me/6285375422999" xr:uid="{00000000-0004-0000-0000-0000CC030000}"/>
    <hyperlink ref="AA969" r:id="rId974" display="https://wa.me/6282122386711" xr:uid="{00000000-0004-0000-0000-0000CD030000}"/>
    <hyperlink ref="AA970" r:id="rId975" display="https://wa.me/6285806682200" xr:uid="{00000000-0004-0000-0000-0000CE030000}"/>
    <hyperlink ref="AA971" r:id="rId976" display="https://wa.me/6285359314400" xr:uid="{00000000-0004-0000-0000-0000CF030000}"/>
    <hyperlink ref="AA972" r:id="rId977" display="https://wa.me/6288227630708" xr:uid="{00000000-0004-0000-0000-0000D0030000}"/>
    <hyperlink ref="AA973" r:id="rId978" display="https://wa.me/6285218573607" xr:uid="{00000000-0004-0000-0000-0000D1030000}"/>
    <hyperlink ref="AA974" r:id="rId979" display="https://wa.me/6282266152909" xr:uid="{00000000-0004-0000-0000-0000D2030000}"/>
    <hyperlink ref="AA975" r:id="rId980" display="https://wa.me/6281389082618" xr:uid="{00000000-0004-0000-0000-0000D3030000}"/>
    <hyperlink ref="AA976" r:id="rId981" display="https://wa.me/6282242925264" xr:uid="{00000000-0004-0000-0000-0000D4030000}"/>
    <hyperlink ref="AA977" r:id="rId982" display="https://wa.me/6283185169816" xr:uid="{00000000-0004-0000-0000-0000D5030000}"/>
    <hyperlink ref="AA978" r:id="rId983" display="https://wa.me/6281256662335" xr:uid="{00000000-0004-0000-0000-0000D6030000}"/>
    <hyperlink ref="AA979" r:id="rId984" display="https://wa.me/6285233857272" xr:uid="{00000000-0004-0000-0000-0000D7030000}"/>
    <hyperlink ref="AA980" r:id="rId985" display="https://wa.me/62895632627969" xr:uid="{00000000-0004-0000-0000-0000D8030000}"/>
    <hyperlink ref="AA981" r:id="rId986" display="https://wa.me/62076472864" xr:uid="{00000000-0004-0000-0000-0000D9030000}"/>
    <hyperlink ref="AA982" r:id="rId987" display="https://wa.me/6287888330007" xr:uid="{00000000-0004-0000-0000-0000DA030000}"/>
    <hyperlink ref="AA983" r:id="rId988" display="https://wa.me/6281779578317" xr:uid="{00000000-0004-0000-0000-0000DB030000}"/>
    <hyperlink ref="AA984" r:id="rId989" display="https://wa.me/6281318819599" xr:uid="{00000000-0004-0000-0000-0000DC030000}"/>
    <hyperlink ref="AA985" r:id="rId990" display="https://wa.me/6285811687779" xr:uid="{00000000-0004-0000-0000-0000DD030000}"/>
    <hyperlink ref="AA986" r:id="rId991" display="https://wa.me/6281220005953" xr:uid="{00000000-0004-0000-0000-0000DE030000}"/>
    <hyperlink ref="AA987" r:id="rId992" display="https://wa.me/6282193198971" xr:uid="{00000000-0004-0000-0000-0000DF030000}"/>
    <hyperlink ref="AA988" r:id="rId993" display="https://wa.me/6285848731489" xr:uid="{00000000-0004-0000-0000-0000E0030000}"/>
    <hyperlink ref="AA989" r:id="rId994" display="https://wa.me/6282190655084" xr:uid="{00000000-0004-0000-0000-0000E1030000}"/>
    <hyperlink ref="AA990" r:id="rId995" display="https://wa.me/6282142466407" xr:uid="{00000000-0004-0000-0000-0000E2030000}"/>
    <hyperlink ref="AA991" r:id="rId996" display="https://wa.me/6287835601400" xr:uid="{00000000-0004-0000-0000-0000E3030000}"/>
    <hyperlink ref="AA992" r:id="rId997" display="https://wa.me/6281244854040" xr:uid="{00000000-0004-0000-0000-0000E4030000}"/>
    <hyperlink ref="AA993" r:id="rId998" display="https://wa.me/6287823423000" xr:uid="{00000000-0004-0000-0000-0000E5030000}"/>
    <hyperlink ref="AA994" r:id="rId999" display="https://wa.me/6287835601400" xr:uid="{00000000-0004-0000-0000-0000E6030000}"/>
    <hyperlink ref="AA995" r:id="rId1000" display="https://wa.me/6285788482665" xr:uid="{00000000-0004-0000-0000-0000E7030000}"/>
    <hyperlink ref="AA996" r:id="rId1001" display="https://wa.me/6287885910719" xr:uid="{00000000-0004-0000-0000-0000E8030000}"/>
    <hyperlink ref="AA997" r:id="rId1002" display="https://wa.me/6282311906512" xr:uid="{00000000-0004-0000-0000-0000E9030000}"/>
    <hyperlink ref="AA998" r:id="rId1003" display="https://wa.me/62895374644456" xr:uid="{00000000-0004-0000-0000-0000EA030000}"/>
    <hyperlink ref="AA999" r:id="rId1004" display="https://wa.me/6285268858846" xr:uid="{00000000-0004-0000-0000-0000EB030000}"/>
    <hyperlink ref="AA1000" r:id="rId1005" display="https://wa.me/62823332108583" xr:uid="{00000000-0004-0000-0000-0000EC030000}"/>
    <hyperlink ref="AA1001" r:id="rId1006" display="https://wa.me/6281802101982" xr:uid="{00000000-0004-0000-0000-0000ED030000}"/>
    <hyperlink ref="AA1002" r:id="rId1007" display="https://wa.me/6282381329891" xr:uid="{00000000-0004-0000-0000-0000EE030000}"/>
    <hyperlink ref="AA1003" r:id="rId1008" display="https://wa.me/6281311406604" xr:uid="{00000000-0004-0000-0000-0000EF030000}"/>
    <hyperlink ref="AA1004" r:id="rId1009" display="https://wa.me/6282399721881" xr:uid="{00000000-0004-0000-0000-0000F0030000}"/>
    <hyperlink ref="AA1005" r:id="rId1010" display="https://wa.me/6281170038881" xr:uid="{00000000-0004-0000-0000-0000F1030000}"/>
    <hyperlink ref="AA1006" r:id="rId1011" display="https://wa.me/62881022322099" xr:uid="{00000000-0004-0000-0000-0000F2030000}"/>
    <hyperlink ref="AA1007" r:id="rId1012" display="https://wa.me/6282225676546" xr:uid="{00000000-0004-0000-0000-0000F3030000}"/>
    <hyperlink ref="AA1008" r:id="rId1013" display="https://wa.me/6282110222282" xr:uid="{00000000-0004-0000-0000-0000F4030000}"/>
    <hyperlink ref="AA1009" r:id="rId1014" display="https://wa.me/6287865111033" xr:uid="{00000000-0004-0000-0000-0000F5030000}"/>
    <hyperlink ref="AA1010" r:id="rId1015" display="https://wa.me/6281330410391" xr:uid="{00000000-0004-0000-0000-0000F6030000}"/>
    <hyperlink ref="AA1011" r:id="rId1016" display="https://wa.me/6282183115806" xr:uid="{00000000-0004-0000-0000-0000F7030000}"/>
    <hyperlink ref="AA1012" r:id="rId1017" display="https://wa.me/6282183115806" xr:uid="{00000000-0004-0000-0000-0000F8030000}"/>
    <hyperlink ref="AA1013" r:id="rId1018" display="https://wa.me/6282183115806" xr:uid="{00000000-0004-0000-0000-0000F9030000}"/>
    <hyperlink ref="AA1014" r:id="rId1019" display="https://wa.me/6282133932170" xr:uid="{00000000-0004-0000-0000-0000FA030000}"/>
    <hyperlink ref="AA1015" r:id="rId1020" display="https://wa.me/6281575323811" xr:uid="{00000000-0004-0000-0000-0000FB030000}"/>
    <hyperlink ref="AA1016" r:id="rId1021" display="https://wa.me/6289653773632" xr:uid="{00000000-0004-0000-0000-0000FC030000}"/>
    <hyperlink ref="AA1017" r:id="rId1022" display="https://wa.me/6288242676434" xr:uid="{00000000-0004-0000-0000-0000FD030000}"/>
    <hyperlink ref="AA1018" r:id="rId1023" display="https://wa.me/6289653773632" xr:uid="{00000000-0004-0000-0000-0000FE030000}"/>
    <hyperlink ref="AA1019" r:id="rId1024" display="https://wa.me/6285746851999" xr:uid="{00000000-0004-0000-0000-0000FF030000}"/>
    <hyperlink ref="AA1020" r:id="rId1025" display="https://wa.me/6282219980006" xr:uid="{00000000-0004-0000-0000-000000040000}"/>
    <hyperlink ref="AA1021" r:id="rId1026" display="https://wa.me/6282122880328" xr:uid="{00000000-0004-0000-0000-000001040000}"/>
    <hyperlink ref="AA1022" r:id="rId1027" display="https://wa.me/6285285660299" xr:uid="{00000000-0004-0000-0000-000002040000}"/>
    <hyperlink ref="AA1023" r:id="rId1028" display="https://wa.me/6282125465047" xr:uid="{00000000-0004-0000-0000-000003040000}"/>
    <hyperlink ref="AA1024" r:id="rId1029" display="https://wa.me/6282224215385" xr:uid="{00000000-0004-0000-0000-000004040000}"/>
    <hyperlink ref="G1025" r:id="rId1030" xr:uid="{00000000-0004-0000-0000-000005040000}"/>
    <hyperlink ref="W1025" r:id="rId1031" display="http://kolamrenangku.id/" xr:uid="{00000000-0004-0000-0000-000006040000}"/>
    <hyperlink ref="AA1025" r:id="rId1032" display="https://wa.me/6282225454797" xr:uid="{00000000-0004-0000-0000-000007040000}"/>
    <hyperlink ref="AA1026" r:id="rId1033" display="https://wa.me/6287856230745" xr:uid="{00000000-0004-0000-0000-000008040000}"/>
    <hyperlink ref="AA1027" r:id="rId1034" display="https://wa.me/6285946504405" xr:uid="{00000000-0004-0000-0000-000009040000}"/>
    <hyperlink ref="AA1028" r:id="rId1035" display="https://wa.me/6285737244570" xr:uid="{00000000-0004-0000-0000-00000A040000}"/>
    <hyperlink ref="AA1029" r:id="rId1036" display="https://wa.me/6285891693677" xr:uid="{00000000-0004-0000-0000-00000B040000}"/>
    <hyperlink ref="AA1030" r:id="rId1037" display="https://wa.me/6281230656664" xr:uid="{00000000-0004-0000-0000-00000C040000}"/>
    <hyperlink ref="AA1031" r:id="rId1038" display="https://wa.me/6281390669379" xr:uid="{00000000-0004-0000-0000-00000D040000}"/>
    <hyperlink ref="AA1032" r:id="rId1039" display="https://wa.me/628990570840" xr:uid="{00000000-0004-0000-0000-00000E040000}"/>
    <hyperlink ref="AA1033" r:id="rId1040" display="https://wa.me/6285925102815" xr:uid="{00000000-0004-0000-0000-00000F040000}"/>
    <hyperlink ref="AA1034" r:id="rId1041" display="https://wa.me/6281390669379" xr:uid="{00000000-0004-0000-0000-000010040000}"/>
    <hyperlink ref="AA1035" r:id="rId1042" display="https://wa.me/6285811687779" xr:uid="{00000000-0004-0000-0000-000011040000}"/>
    <hyperlink ref="AA1036" r:id="rId1043" display="https://wa.me/6281297252309" xr:uid="{00000000-0004-0000-0000-000012040000}"/>
    <hyperlink ref="AA1037" r:id="rId1044" display="https://wa.me/6285245301996" xr:uid="{00000000-0004-0000-0000-000013040000}"/>
    <hyperlink ref="AA1038" r:id="rId1045" display="https://wa.me/6281316122975" xr:uid="{00000000-0004-0000-0000-000014040000}"/>
    <hyperlink ref="AA1039" r:id="rId1046" display="https://wa.me/6282241290026" xr:uid="{00000000-0004-0000-0000-000015040000}"/>
    <hyperlink ref="AA1040" r:id="rId1047" display="https://wa.me/6285893658659" xr:uid="{00000000-0004-0000-0000-000016040000}"/>
    <hyperlink ref="AA1041" r:id="rId1048" display="https://wa.me/6281338789995" xr:uid="{00000000-0004-0000-0000-000017040000}"/>
    <hyperlink ref="AA1042" r:id="rId1049" display="https://wa.me/6283196194949" xr:uid="{00000000-0004-0000-0000-000018040000}"/>
    <hyperlink ref="AA1043" r:id="rId1050" display="https://wa.me/6281338789995" xr:uid="{00000000-0004-0000-0000-000019040000}"/>
    <hyperlink ref="AA1044" r:id="rId1051" display="https://wa.me/6281779578317" xr:uid="{00000000-0004-0000-0000-00001A040000}"/>
    <hyperlink ref="AA1045" r:id="rId1052" display="https://wa.me/6285849693521" xr:uid="{00000000-0004-0000-0000-00001B040000}"/>
    <hyperlink ref="AA1046" r:id="rId1053" display="https://wa.me/6281310674130" xr:uid="{00000000-0004-0000-0000-00001C040000}"/>
    <hyperlink ref="AA1047" r:id="rId1054" display="https://wa.me/62895426264600" xr:uid="{00000000-0004-0000-0000-00001D040000}"/>
    <hyperlink ref="AA1048" r:id="rId1055" display="https://wa.me/6285169730762" xr:uid="{00000000-0004-0000-0000-00001E040000}"/>
    <hyperlink ref="AA1049" r:id="rId1056" display="https://wa.me/6285924240918" xr:uid="{00000000-0004-0000-0000-00001F040000}"/>
    <hyperlink ref="AA1050" r:id="rId1057" display="https://wa.me/6281938384000" xr:uid="{00000000-0004-0000-0000-000020040000}"/>
    <hyperlink ref="AA1051" r:id="rId1058" display="https://wa.me/6281223735839" xr:uid="{00000000-0004-0000-0000-000021040000}"/>
    <hyperlink ref="AA1052" r:id="rId1059" display="https://wa.me/6282391199993" xr:uid="{00000000-0004-0000-0000-000022040000}"/>
    <hyperlink ref="AA1053" r:id="rId1060" display="https://wa.me/628122102657" xr:uid="{00000000-0004-0000-0000-000023040000}"/>
    <hyperlink ref="AA1054" r:id="rId1061" display="https://wa.me/6281338789995" xr:uid="{00000000-0004-0000-0000-000024040000}"/>
    <hyperlink ref="AA1055" r:id="rId1062" display="https://wa.me/62818833829" xr:uid="{00000000-0004-0000-0000-000025040000}"/>
    <hyperlink ref="AA1056" r:id="rId1063" display="https://wa.me/6287888330007" xr:uid="{00000000-0004-0000-0000-000026040000}"/>
    <hyperlink ref="AA1057" r:id="rId1064" display="https://wa.me/6281112009646" xr:uid="{00000000-0004-0000-0000-000027040000}"/>
    <hyperlink ref="AA1058" r:id="rId1065" display="https://wa.me/6283140427590" xr:uid="{00000000-0004-0000-0000-000028040000}"/>
    <hyperlink ref="AA1059" r:id="rId1066" display="https://wa.me/6287865111033" xr:uid="{00000000-0004-0000-0000-000029040000}"/>
    <hyperlink ref="AA1060" r:id="rId1067" display="https://wa.me/6285387148899" xr:uid="{00000000-0004-0000-0000-00002A040000}"/>
    <hyperlink ref="AA1061" r:id="rId1068" display="https://wa.me/6289668245188" xr:uid="{00000000-0004-0000-0000-00002B040000}"/>
    <hyperlink ref="AA1062" r:id="rId1069" display="https://wa.me/6281336570262" xr:uid="{00000000-0004-0000-0000-00002C040000}"/>
    <hyperlink ref="AA1063" r:id="rId1070" display="https://wa.me/6289667480162" xr:uid="{00000000-0004-0000-0000-00002D040000}"/>
    <hyperlink ref="AA1064" r:id="rId1071" display="https://wa.me/62895405794474" xr:uid="{00000000-0004-0000-0000-00002E040000}"/>
    <hyperlink ref="AA1065" r:id="rId1072" display="https://wa.me/6281394618785" xr:uid="{00000000-0004-0000-0000-00002F040000}"/>
    <hyperlink ref="AA1066" r:id="rId1073" display="https://wa.me/628118472727" xr:uid="{00000000-0004-0000-0000-000030040000}"/>
    <hyperlink ref="AA1067" r:id="rId1074" display="https://wa.me/6285210107607" xr:uid="{00000000-0004-0000-0000-000031040000}"/>
    <hyperlink ref="AA1068" r:id="rId1075" display="https://wa.me/6285344060945" xr:uid="{00000000-0004-0000-0000-000032040000}"/>
    <hyperlink ref="AA1069" r:id="rId1076" display="https://wa.me/6285314630194" xr:uid="{00000000-0004-0000-0000-000033040000}"/>
    <hyperlink ref="AA1070" r:id="rId1077" display="https://wa.me/6282242925264" xr:uid="{00000000-0004-0000-0000-000034040000}"/>
    <hyperlink ref="G1071" r:id="rId1078" xr:uid="{00000000-0004-0000-0000-000035040000}"/>
    <hyperlink ref="W1071" r:id="rId1079" display="http://ahlibangun.com/" xr:uid="{00000000-0004-0000-0000-000036040000}"/>
    <hyperlink ref="AA1071" r:id="rId1080" display="https://wa.me/6285220216325" xr:uid="{00000000-0004-0000-0000-000037040000}"/>
    <hyperlink ref="AA1072" r:id="rId1081" display="https://wa.me/6285299623063" xr:uid="{00000000-0004-0000-0000-000038040000}"/>
    <hyperlink ref="AA1073" r:id="rId1082" display="https://wa.me/6282338171577" xr:uid="{00000000-0004-0000-0000-000039040000}"/>
    <hyperlink ref="AA1074" r:id="rId1083" display="https://wa.me/6285888452389" xr:uid="{00000000-0004-0000-0000-00003A040000}"/>
    <hyperlink ref="AA1075" r:id="rId1084" display="https://wa.me/6285888851587" xr:uid="{00000000-0004-0000-0000-00003B040000}"/>
    <hyperlink ref="AA1076" r:id="rId1085" display="https://wa.me/6281227074313" xr:uid="{00000000-0004-0000-0000-00003C040000}"/>
    <hyperlink ref="AA1077" r:id="rId1086" display="https://wa.me/6282310465999" xr:uid="{00000000-0004-0000-0000-00003D040000}"/>
    <hyperlink ref="AA1078" r:id="rId1087" display="https://wa.me/6287835601400" xr:uid="{00000000-0004-0000-0000-00003E040000}"/>
    <hyperlink ref="AA1079" r:id="rId1088" display="https://wa.me/6281330410391" xr:uid="{00000000-0004-0000-0000-00003F040000}"/>
    <hyperlink ref="AA1080" r:id="rId1089" display="https://wa.me/62817164567" xr:uid="{00000000-0004-0000-0000-000040040000}"/>
    <hyperlink ref="AA1081" r:id="rId1090" display="https://wa.me/6282266152909" xr:uid="{00000000-0004-0000-0000-000041040000}"/>
    <hyperlink ref="AA1082" r:id="rId1091" display="https://wa.me/6281356480021" xr:uid="{00000000-0004-0000-0000-000042040000}"/>
    <hyperlink ref="AA1083" r:id="rId1092" display="https://wa.me/6282266152909" xr:uid="{00000000-0004-0000-0000-000043040000}"/>
    <hyperlink ref="AA1084" r:id="rId1093" display="https://wa.me/6287782749624" xr:uid="{00000000-0004-0000-0000-000044040000}"/>
    <hyperlink ref="AA1085" r:id="rId1094" display="https://wa.me/6285748377961" xr:uid="{00000000-0004-0000-0000-000045040000}"/>
    <hyperlink ref="AA1086" r:id="rId1095" display="https://wa.me/62859175514516" xr:uid="{00000000-0004-0000-0000-000046040000}"/>
    <hyperlink ref="AA1087" r:id="rId1096" display="https://wa.me/6285600287735" xr:uid="{00000000-0004-0000-0000-000047040000}"/>
    <hyperlink ref="AA1088" r:id="rId1097" display="https://wa.me/6287856230745" xr:uid="{00000000-0004-0000-0000-000048040000}"/>
    <hyperlink ref="AA1089" r:id="rId1098" display="https://wa.me/6287778585820" xr:uid="{00000000-0004-0000-0000-000049040000}"/>
    <hyperlink ref="AA1090" r:id="rId1099" display="https://wa.me/6283824541579" xr:uid="{00000000-0004-0000-0000-00004A040000}"/>
    <hyperlink ref="AA1091" r:id="rId1100" display="https://wa.me/6285641004233" xr:uid="{00000000-0004-0000-0000-00004B040000}"/>
    <hyperlink ref="AA1092" r:id="rId1101" display="https://wa.me/6282160889408" xr:uid="{00000000-0004-0000-0000-00004C040000}"/>
    <hyperlink ref="AA1093" r:id="rId1102" display="https://wa.me/6281323291817" xr:uid="{00000000-0004-0000-0000-00004D040000}"/>
    <hyperlink ref="AA1094" r:id="rId1103" display="https://wa.me/6281917803566" xr:uid="{00000000-0004-0000-0000-00004E040000}"/>
    <hyperlink ref="AA1095" r:id="rId1104" display="https://wa.me/6285333751528" xr:uid="{00000000-0004-0000-0000-00004F040000}"/>
    <hyperlink ref="AA1096" r:id="rId1105" display="https://wa.me/6282170648491" xr:uid="{00000000-0004-0000-0000-000050040000}"/>
    <hyperlink ref="AA1097" r:id="rId1106" display="https://wa.me/6285600287735" xr:uid="{00000000-0004-0000-0000-000051040000}"/>
    <hyperlink ref="AA1098" r:id="rId1107" display="https://wa.me/6282160889408" xr:uid="{00000000-0004-0000-0000-000052040000}"/>
    <hyperlink ref="AA1099" r:id="rId1108" display="https://wa.me/6282129900978" xr:uid="{00000000-0004-0000-0000-000053040000}"/>
    <hyperlink ref="AA1100" r:id="rId1109" display="https://wa.me/6287758080333" xr:uid="{00000000-0004-0000-0000-000054040000}"/>
    <hyperlink ref="AA1101" r:id="rId1110" display="https://wa.me/6287758080333" xr:uid="{00000000-0004-0000-0000-000055040000}"/>
    <hyperlink ref="AA1102" r:id="rId1111" display="https://wa.me/6282311117783" xr:uid="{00000000-0004-0000-0000-000056040000}"/>
    <hyperlink ref="AA1103" r:id="rId1112" display="https://wa.me/6287823423000" xr:uid="{00000000-0004-0000-0000-000057040000}"/>
    <hyperlink ref="AA1104" r:id="rId1113" display="https://wa.me/6282136210727" xr:uid="{00000000-0004-0000-0000-000058040000}"/>
    <hyperlink ref="AA1105" r:id="rId1114" display="https://wa.me/6282120547879" xr:uid="{00000000-0004-0000-0000-000059040000}"/>
    <hyperlink ref="AA1106" r:id="rId1115" display="https://wa.me/6281280900781" xr:uid="{00000000-0004-0000-0000-00005A040000}"/>
    <hyperlink ref="AA1107" r:id="rId1116" display="https://wa.me/628170204528" xr:uid="{00000000-0004-0000-0000-00005B040000}"/>
    <hyperlink ref="AA1108" r:id="rId1117" display="https://wa.me/6287817756006" xr:uid="{00000000-0004-0000-0000-00005C040000}"/>
    <hyperlink ref="AA1109" r:id="rId1118" display="https://wa.me/6281460966685" xr:uid="{00000000-0004-0000-0000-00005D040000}"/>
    <hyperlink ref="AA1110" r:id="rId1119" display="https://wa.me/6285893658659" xr:uid="{00000000-0004-0000-0000-00005E040000}"/>
    <hyperlink ref="G1111" r:id="rId1120" xr:uid="{00000000-0004-0000-0000-00005F040000}"/>
    <hyperlink ref="W1111" r:id="rId1121" display="http://bromoiswonderland.com/" xr:uid="{00000000-0004-0000-0000-000060040000}"/>
    <hyperlink ref="AA1111" r:id="rId1122" display="https://wa.me/6285788482665" xr:uid="{00000000-0004-0000-0000-000061040000}"/>
    <hyperlink ref="AA1112" r:id="rId1123" display="https://wa.me/6282160889408" xr:uid="{00000000-0004-0000-0000-000062040000}"/>
    <hyperlink ref="AA1113" r:id="rId1124" display="https://wa.me/6281533867110" xr:uid="{00000000-0004-0000-0000-000063040000}"/>
    <hyperlink ref="AA1114" r:id="rId1125" display="https://wa.me/6287865111033" xr:uid="{00000000-0004-0000-0000-000064040000}"/>
    <hyperlink ref="AA1115" r:id="rId1126" display="https://wa.me/6282229433259" xr:uid="{00000000-0004-0000-0000-000065040000}"/>
    <hyperlink ref="AA1116" r:id="rId1127" display="https://wa.me/62881010328220" xr:uid="{00000000-0004-0000-0000-000066040000}"/>
    <hyperlink ref="AA1117" r:id="rId1128" display="https://wa.me/6285741977776" xr:uid="{00000000-0004-0000-0000-000067040000}"/>
    <hyperlink ref="AA1118" r:id="rId1129" display="https://wa.me/6285645050058" xr:uid="{00000000-0004-0000-0000-000068040000}"/>
    <hyperlink ref="AA1119" r:id="rId1130" display="https://wa.me/6282120205382" xr:uid="{00000000-0004-0000-0000-000069040000}"/>
    <hyperlink ref="AA1120" r:id="rId1131" display="https://wa.me/6283188945188" xr:uid="{00000000-0004-0000-0000-00006A040000}"/>
    <hyperlink ref="AA1121" r:id="rId1132" display="https://wa.me/6285849693521" xr:uid="{00000000-0004-0000-0000-00006B040000}"/>
    <hyperlink ref="AA1122" r:id="rId1133" display="https://wa.me/6287776264559" xr:uid="{00000000-0004-0000-0000-00006C040000}"/>
    <hyperlink ref="AA1123" r:id="rId1134" display="https://wa.me/6287776264559" xr:uid="{00000000-0004-0000-0000-00006D040000}"/>
    <hyperlink ref="AA1124" r:id="rId1135" display="https://wa.me/6282236053835" xr:uid="{00000000-0004-0000-0000-00006E040000}"/>
    <hyperlink ref="AA1125" r:id="rId1136" display="https://wa.me/6281286882004" xr:uid="{00000000-0004-0000-0000-00006F040000}"/>
    <hyperlink ref="AA1126" r:id="rId1137" display="https://wa.me/6281804207532" xr:uid="{00000000-0004-0000-0000-000070040000}"/>
    <hyperlink ref="AA1127" r:id="rId1138" display="https://wa.me/6281221788919" xr:uid="{00000000-0004-0000-0000-000071040000}"/>
    <hyperlink ref="AA1128" r:id="rId1139" display="https://wa.me/6281808567531" xr:uid="{00000000-0004-0000-0000-000072040000}"/>
    <hyperlink ref="AA1129" r:id="rId1140" display="https://wa.me/6283865096870" xr:uid="{00000000-0004-0000-0000-000073040000}"/>
    <hyperlink ref="AA1130" r:id="rId1141" display="https://wa.me/6282197803231" xr:uid="{00000000-0004-0000-0000-000074040000}"/>
    <hyperlink ref="AA1131" r:id="rId1142" display="https://wa.me/6285361118289" xr:uid="{00000000-0004-0000-0000-000075040000}"/>
    <hyperlink ref="AA1132" r:id="rId1143" display="https://wa.me/6289509489308" xr:uid="{00000000-0004-0000-0000-000076040000}"/>
    <hyperlink ref="AA1133" r:id="rId1144" display="https://wa.me/6285376667233" xr:uid="{00000000-0004-0000-0000-000077040000}"/>
    <hyperlink ref="AA1134" r:id="rId1145" display="https://wa.me/62895405794474" xr:uid="{00000000-0004-0000-0000-000078040000}"/>
    <hyperlink ref="AA1135" r:id="rId1146" display="https://wa.me/6282160889408" xr:uid="{00000000-0004-0000-0000-000079040000}"/>
    <hyperlink ref="AA1136" r:id="rId1147" display="https://wa.me/6285280985750" xr:uid="{00000000-0004-0000-0000-00007A040000}"/>
    <hyperlink ref="AA1137" r:id="rId1148" display="https://wa.me/6288289347121" xr:uid="{00000000-0004-0000-0000-00007B040000}"/>
    <hyperlink ref="AA1138" r:id="rId1149" display="https://wa.me/6282399006447" xr:uid="{00000000-0004-0000-0000-00007C040000}"/>
    <hyperlink ref="AA1139" r:id="rId1150" display="https://wa.me/6285924240918" xr:uid="{00000000-0004-0000-0000-00007D040000}"/>
    <hyperlink ref="AA1140" r:id="rId1151" display="https://wa.me/6282230860291" xr:uid="{00000000-0004-0000-0000-00007E040000}"/>
    <hyperlink ref="AA1141" r:id="rId1152" display="https://wa.me/6281355539323" xr:uid="{00000000-0004-0000-0000-00007F040000}"/>
    <hyperlink ref="AA1142" r:id="rId1153" display="https://wa.me/6281310674130" xr:uid="{00000000-0004-0000-0000-000080040000}"/>
    <hyperlink ref="AA1143" r:id="rId1154" display="https://wa.me/6285748377961" xr:uid="{00000000-0004-0000-0000-000081040000}"/>
    <hyperlink ref="AA1144" r:id="rId1155" display="https://wa.me/6287790276733" xr:uid="{00000000-0004-0000-0000-000082040000}"/>
    <hyperlink ref="AA1145" r:id="rId1156" display="https://wa.me/6282396657937" xr:uid="{00000000-0004-0000-0000-000083040000}"/>
    <hyperlink ref="AA1146" r:id="rId1157" display="https://wa.me/6281356480021" xr:uid="{00000000-0004-0000-0000-000084040000}"/>
    <hyperlink ref="AA1147" r:id="rId1158" display="https://wa.me/6281356480021" xr:uid="{00000000-0004-0000-0000-000085040000}"/>
    <hyperlink ref="AA1148" r:id="rId1159" display="https://wa.me/6281234383696" xr:uid="{00000000-0004-0000-0000-000086040000}"/>
    <hyperlink ref="AA1149" r:id="rId1160" display="https://wa.me/6281385001244" xr:uid="{00000000-0004-0000-0000-000087040000}"/>
    <hyperlink ref="AA1150" r:id="rId1161" display="https://wa.me/6282245454940" xr:uid="{00000000-0004-0000-0000-000088040000}"/>
    <hyperlink ref="AA1151" r:id="rId1162" display="https://wa.me/6285850248298" xr:uid="{00000000-0004-0000-0000-000089040000}"/>
    <hyperlink ref="AA1152" r:id="rId1163" display="https://wa.me/628118055948" xr:uid="{00000000-0004-0000-0000-00008A040000}"/>
    <hyperlink ref="AA1153" r:id="rId1164" display="https://wa.me/6285668750426" xr:uid="{00000000-0004-0000-0000-00008B040000}"/>
    <hyperlink ref="AA1154" r:id="rId1165" display="https://wa.me/6282119195533" xr:uid="{00000000-0004-0000-0000-00008C040000}"/>
    <hyperlink ref="AA1155" r:id="rId1166" display="https://wa.me/6289509489308" xr:uid="{00000000-0004-0000-0000-00008D040000}"/>
    <hyperlink ref="AA1156" r:id="rId1167" display="https://wa.me/6287886480138" xr:uid="{00000000-0004-0000-0000-00008E040000}"/>
    <hyperlink ref="AA1157" r:id="rId1168" display="https://wa.me/6285792806011" xr:uid="{00000000-0004-0000-0000-00008F040000}"/>
    <hyperlink ref="AA1158" r:id="rId1169" display="https://wa.me/6281338789995" xr:uid="{00000000-0004-0000-0000-000090040000}"/>
    <hyperlink ref="AA1159" r:id="rId1170" display="https://wa.me/6287856230745" xr:uid="{00000000-0004-0000-0000-000091040000}"/>
    <hyperlink ref="AA1160" r:id="rId1171" display="https://wa.me/6285341061917" xr:uid="{00000000-0004-0000-0000-000092040000}"/>
    <hyperlink ref="AA1161" r:id="rId1172" display="https://wa.me/6281338789995" xr:uid="{00000000-0004-0000-0000-000093040000}"/>
    <hyperlink ref="AA1162" r:id="rId1173" display="https://wa.me/6282159753331" xr:uid="{00000000-0004-0000-0000-000094040000}"/>
    <hyperlink ref="AA1163" r:id="rId1174" display="https://wa.me/6282242925264" xr:uid="{00000000-0004-0000-0000-000095040000}"/>
    <hyperlink ref="AA1164" r:id="rId1175" display="https://wa.me/6282339444339" xr:uid="{00000000-0004-0000-0000-000096040000}"/>
    <hyperlink ref="AA1165" r:id="rId1176" display="https://wa.me/62818833829" xr:uid="{00000000-0004-0000-0000-000097040000}"/>
    <hyperlink ref="AA1166" r:id="rId1177" display="https://wa.me/62881037282380" xr:uid="{00000000-0004-0000-0000-000098040000}"/>
    <hyperlink ref="AA1167" r:id="rId1178" display="https://wa.me/6282232143251" xr:uid="{00000000-0004-0000-0000-000099040000}"/>
    <hyperlink ref="AA1168" r:id="rId1179" display="https://wa.me/6281330410391" xr:uid="{00000000-0004-0000-0000-00009A040000}"/>
    <hyperlink ref="AA1169" r:id="rId1180" display="https://wa.me/6281330410391" xr:uid="{00000000-0004-0000-0000-00009B040000}"/>
    <hyperlink ref="AA1170" r:id="rId1181" display="https://wa.me/6283890485123" xr:uid="{00000000-0004-0000-0000-00009C040000}"/>
    <hyperlink ref="AA1171" r:id="rId1182" display="https://wa.me/6285893658659" xr:uid="{00000000-0004-0000-0000-00009D040000}"/>
    <hyperlink ref="AA1172" r:id="rId1183" display="https://wa.me/6281337173939" xr:uid="{00000000-0004-0000-0000-00009E040000}"/>
    <hyperlink ref="AA1173" r:id="rId1184" display="https://wa.me/628562571037" xr:uid="{00000000-0004-0000-0000-00009F040000}"/>
    <hyperlink ref="AA1174" r:id="rId1185" display="https://wa.me/6282125465047" xr:uid="{00000000-0004-0000-0000-0000A0040000}"/>
    <hyperlink ref="AA1175" r:id="rId1186" display="https://wa.me/6285888452389" xr:uid="{00000000-0004-0000-0000-0000A1040000}"/>
    <hyperlink ref="AA1176" r:id="rId1187" display="https://wa.me/6282315669271" xr:uid="{00000000-0004-0000-0000-0000A2040000}"/>
    <hyperlink ref="AA1177" r:id="rId1188" display="https://wa.me/6281222788601" xr:uid="{00000000-0004-0000-0000-0000A3040000}"/>
    <hyperlink ref="AA1178" r:id="rId1189" display="https://wa.me/6285155158766" xr:uid="{00000000-0004-0000-0000-0000A4040000}"/>
    <hyperlink ref="AA1179" r:id="rId1190" display="https://wa.me/6285974999484" xr:uid="{00000000-0004-0000-0000-0000A5040000}"/>
    <hyperlink ref="AA1180" r:id="rId1191" display="https://wa.me/6282229433259" xr:uid="{00000000-0004-0000-0000-0000A6040000}"/>
    <hyperlink ref="AA1181" r:id="rId1192" display="https://wa.me/6285295804136" xr:uid="{00000000-0004-0000-0000-0000A7040000}"/>
    <hyperlink ref="AA1182" r:id="rId1193" display="https://wa.me/6282134821545" xr:uid="{00000000-0004-0000-0000-0000A8040000}"/>
    <hyperlink ref="AA1183" r:id="rId1194" display="https://wa.me/6281223735839" xr:uid="{00000000-0004-0000-0000-0000A9040000}"/>
    <hyperlink ref="AA1184" r:id="rId1195" display="https://wa.me/628562882464" xr:uid="{00000000-0004-0000-0000-0000AA040000}"/>
    <hyperlink ref="AA1185" r:id="rId1196" display="https://wa.me/6281355539323" xr:uid="{00000000-0004-0000-0000-0000AB040000}"/>
    <hyperlink ref="AA1186" r:id="rId1197" display="https://wa.me/628122102657" xr:uid="{00000000-0004-0000-0000-0000AC040000}"/>
    <hyperlink ref="AA1187" r:id="rId1198" display="https://wa.me/6281932016179" xr:uid="{00000000-0004-0000-0000-0000AD040000}"/>
    <hyperlink ref="AA1188" r:id="rId1199" display="https://wa.me/6281327272773" xr:uid="{00000000-0004-0000-0000-0000AE040000}"/>
    <hyperlink ref="AA1189" r:id="rId1200" display="https://wa.me/6282228814370" xr:uid="{00000000-0004-0000-0000-0000AF040000}"/>
    <hyperlink ref="AA1190" r:id="rId1201" display="https://wa.me/6289504615502" xr:uid="{00000000-0004-0000-0000-0000B0040000}"/>
    <hyperlink ref="AA1191" r:id="rId1202" display="https://wa.me/6281904501876" xr:uid="{00000000-0004-0000-0000-0000B1040000}"/>
    <hyperlink ref="AA1192" r:id="rId1203" display="https://wa.me/6287782210321" xr:uid="{00000000-0004-0000-0000-0000B2040000}"/>
    <hyperlink ref="AA1193" r:id="rId1204" display="https://wa.me/6281779578317" xr:uid="{00000000-0004-0000-0000-0000B3040000}"/>
    <hyperlink ref="AA1194" r:id="rId1205" display="https://wa.me/6283834613639" xr:uid="{00000000-0004-0000-0000-0000B4040000}"/>
    <hyperlink ref="AA1195" r:id="rId1206" display="https://wa.me/6285177465204" xr:uid="{00000000-0004-0000-0000-0000B5040000}"/>
    <hyperlink ref="AA1196" r:id="rId1207" display="https://wa.me/6287790276733" xr:uid="{00000000-0004-0000-0000-0000B6040000}"/>
    <hyperlink ref="AA1197" r:id="rId1208" display="https://wa.me/6281287627383" xr:uid="{00000000-0004-0000-0000-0000B7040000}"/>
    <hyperlink ref="AA1198" r:id="rId1209" display="https://wa.me/6285869301245" xr:uid="{00000000-0004-0000-0000-0000B8040000}"/>
    <hyperlink ref="AA1199" r:id="rId1210" display="https://wa.me/6281363504410" xr:uid="{00000000-0004-0000-0000-0000B9040000}"/>
    <hyperlink ref="AA1200" r:id="rId1211" display="https://wa.me/6282226387170" xr:uid="{00000000-0004-0000-0000-0000BA040000}"/>
    <hyperlink ref="AA1201" r:id="rId1212" display="https://wa.me/6282170648491" xr:uid="{00000000-0004-0000-0000-0000BB040000}"/>
    <hyperlink ref="AA1202" r:id="rId1213" display="https://wa.me/6281287627383" xr:uid="{00000000-0004-0000-0000-0000BC040000}"/>
    <hyperlink ref="AA1203" r:id="rId1214" display="https://wa.me/6285869301245" xr:uid="{00000000-0004-0000-0000-0000BD040000}"/>
    <hyperlink ref="AA1204" r:id="rId1215" display="https://wa.me/6281330759646" xr:uid="{00000000-0004-0000-0000-0000BE040000}"/>
    <hyperlink ref="AA1205" r:id="rId1216" display="https://wa.me/6281287393915" xr:uid="{00000000-0004-0000-0000-0000BF040000}"/>
    <hyperlink ref="AA1206" r:id="rId1217" display="https://wa.me/6285145256777" xr:uid="{00000000-0004-0000-0000-0000C0040000}"/>
    <hyperlink ref="AA1207" r:id="rId1218" display="https://wa.me/628112349706" xr:uid="{00000000-0004-0000-0000-0000C1040000}"/>
    <hyperlink ref="AA1208" r:id="rId1219" display="https://wa.me/62895703252001" xr:uid="{00000000-0004-0000-0000-0000C2040000}"/>
    <hyperlink ref="AA1209" r:id="rId1220" display="https://wa.me/6285280985750" xr:uid="{00000000-0004-0000-0000-0000C3040000}"/>
    <hyperlink ref="AA1210" r:id="rId1221" display="https://wa.me/6287778585820" xr:uid="{00000000-0004-0000-0000-0000C4040000}"/>
    <hyperlink ref="AA1211" r:id="rId1222" display="https://wa.me/6285925102815" xr:uid="{00000000-0004-0000-0000-0000C5040000}"/>
    <hyperlink ref="AA1212" r:id="rId1223" display="https://wa.me/6281316122975" xr:uid="{00000000-0004-0000-0000-0000C6040000}"/>
    <hyperlink ref="AA1213" r:id="rId1224" display="https://wa.me/6285191214595" xr:uid="{00000000-0004-0000-0000-0000C7040000}"/>
    <hyperlink ref="AA1214" r:id="rId1225" display="https://wa.me/6287711729293" xr:uid="{00000000-0004-0000-0000-0000C8040000}"/>
    <hyperlink ref="AA1215" r:id="rId1226" display="https://wa.me/6287823423000" xr:uid="{00000000-0004-0000-0000-0000C9040000}"/>
    <hyperlink ref="AA1216" r:id="rId1227" display="https://wa.me/6282155336565" xr:uid="{00000000-0004-0000-0000-0000CA040000}"/>
    <hyperlink ref="AA1217" r:id="rId1228" display="https://wa.me/6281283325291" xr:uid="{00000000-0004-0000-0000-0000CB040000}"/>
    <hyperlink ref="AA1218" r:id="rId1229" display="https://wa.me/62817260911" xr:uid="{00000000-0004-0000-0000-0000CC040000}"/>
    <hyperlink ref="AA1219" r:id="rId1230" display="https://wa.me/6287874019135" xr:uid="{00000000-0004-0000-0000-0000CD040000}"/>
    <hyperlink ref="AA1220" r:id="rId1231" display="https://wa.me/6285779204213" xr:uid="{00000000-0004-0000-0000-0000CE040000}"/>
    <hyperlink ref="AA1221" r:id="rId1232" display="https://wa.me/6285536645859" xr:uid="{00000000-0004-0000-0000-0000CF040000}"/>
    <hyperlink ref="AA1222" r:id="rId1233" display="https://wa.me/6285811687779" xr:uid="{00000000-0004-0000-0000-0000D0040000}"/>
    <hyperlink ref="AA1223" r:id="rId1234" display="https://wa.me/6285692993799" xr:uid="{00000000-0004-0000-0000-0000D1040000}"/>
    <hyperlink ref="AA1224" r:id="rId1235" display="https://wa.me/6281224803384" xr:uid="{00000000-0004-0000-0000-0000D2040000}"/>
    <hyperlink ref="AA1225" r:id="rId1236" display="https://wa.me/62881026498889" xr:uid="{00000000-0004-0000-0000-0000D3040000}"/>
    <hyperlink ref="AA1226" r:id="rId1237" display="https://wa.me/6288238489812" xr:uid="{00000000-0004-0000-0000-0000D4040000}"/>
    <hyperlink ref="AA1227" r:id="rId1238" display="https://wa.me/6285135535559" xr:uid="{00000000-0004-0000-0000-0000D5040000}"/>
    <hyperlink ref="AA1228" r:id="rId1239" display="https://wa.me/6281517599665" xr:uid="{00000000-0004-0000-0000-0000D6040000}"/>
    <hyperlink ref="AA1229" r:id="rId1240" display="https://wa.me/62895712902288" xr:uid="{00000000-0004-0000-0000-0000D7040000}"/>
    <hyperlink ref="AA1230" r:id="rId1241" display="https://wa.me/6288296589477" xr:uid="{00000000-0004-0000-0000-0000D8040000}"/>
    <hyperlink ref="AA1231" r:id="rId1242" display="https://wa.me/6282283028020" xr:uid="{00000000-0004-0000-0000-0000D9040000}"/>
    <hyperlink ref="AA1232" r:id="rId1243" display="https://wa.me/6285727826488" xr:uid="{00000000-0004-0000-0000-0000DA040000}"/>
    <hyperlink ref="AA1233" r:id="rId1244" display="https://wa.me/6282288320550" xr:uid="{00000000-0004-0000-0000-0000DB040000}"/>
    <hyperlink ref="AA1234" r:id="rId1245" display="https://wa.me/6285245301996" xr:uid="{00000000-0004-0000-0000-0000DC040000}"/>
    <hyperlink ref="AA1235" r:id="rId1246" display="https://wa.me/6285645050058" xr:uid="{00000000-0004-0000-0000-0000DD040000}"/>
    <hyperlink ref="AA1236" r:id="rId1247" display="https://wa.me/6282227534335" xr:uid="{00000000-0004-0000-0000-0000DE040000}"/>
    <hyperlink ref="AA1237" r:id="rId1248" display="https://wa.me/6281246072868" xr:uid="{00000000-0004-0000-0000-0000DF040000}"/>
    <hyperlink ref="AA1238" r:id="rId1249" display="https://wa.me/6288227630708" xr:uid="{00000000-0004-0000-0000-0000E0040000}"/>
    <hyperlink ref="AA1239" r:id="rId1250" display="https://wa.me/628111122017" xr:uid="{00000000-0004-0000-0000-0000E1040000}"/>
    <hyperlink ref="AA1240" r:id="rId1251" display="https://wa.me/628976305757" xr:uid="{00000000-0004-0000-0000-0000E2040000}"/>
    <hyperlink ref="AA1241" r:id="rId1252" display="https://wa.me/628119221176" xr:uid="{00000000-0004-0000-0000-0000E3040000}"/>
    <hyperlink ref="AA1242" r:id="rId1253" display="https://wa.me/6285136912407" xr:uid="{00000000-0004-0000-0000-0000E4040000}"/>
    <hyperlink ref="AA1243" r:id="rId1254" display="https://wa.me/6281325669787" xr:uid="{00000000-0004-0000-0000-0000E5040000}"/>
    <hyperlink ref="AA1244" r:id="rId1255" display="https://wa.me/628111122017" xr:uid="{00000000-0004-0000-0000-0000E6040000}"/>
    <hyperlink ref="AA1245" r:id="rId1256" display="https://wa.me/6282358936888" xr:uid="{00000000-0004-0000-0000-0000E7040000}"/>
    <hyperlink ref="AA1246" r:id="rId1257" display="https://wa.me/62075670898" xr:uid="{00000000-0004-0000-0000-0000E8040000}"/>
    <hyperlink ref="AA1247" r:id="rId1258" display="https://wa.me/6285237233077" xr:uid="{00000000-0004-0000-0000-0000E9040000}"/>
    <hyperlink ref="AA1248" r:id="rId1259" display="https://wa.me/6281236788148" xr:uid="{00000000-0004-0000-0000-0000EA040000}"/>
    <hyperlink ref="AA1249" r:id="rId1260" display="https://wa.me/6282148973454" xr:uid="{00000000-0004-0000-0000-0000EB040000}"/>
    <hyperlink ref="AA1250" r:id="rId1261" display="https://wa.me/6281357656901" xr:uid="{00000000-0004-0000-0000-0000EC040000}"/>
    <hyperlink ref="AA1251" r:id="rId1262" display="https://wa.me/6287750640871" xr:uid="{00000000-0004-0000-0000-0000ED040000}"/>
    <hyperlink ref="AA1252" r:id="rId1263" display="https://wa.me/6282236053835" xr:uid="{00000000-0004-0000-0000-0000EE040000}"/>
    <hyperlink ref="AA1253" r:id="rId1264" display="https://wa.me/6287856230745" xr:uid="{00000000-0004-0000-0000-0000EF040000}"/>
    <hyperlink ref="AA1254" r:id="rId1265" display="https://wa.me/628562571037" xr:uid="{00000000-0004-0000-0000-0000F0040000}"/>
    <hyperlink ref="AA1255" r:id="rId1266" display="https://wa.me/628562571037" xr:uid="{00000000-0004-0000-0000-0000F1040000}"/>
    <hyperlink ref="AA1256" r:id="rId1267" display="https://wa.me/6281369013633" xr:uid="{00000000-0004-0000-0000-0000F2040000}"/>
    <hyperlink ref="AA1257" r:id="rId1268" display="https://wa.me/6285141091362" xr:uid="{00000000-0004-0000-0000-0000F3040000}"/>
    <hyperlink ref="AA1258" r:id="rId1269" display="https://wa.me/6285141091362" xr:uid="{00000000-0004-0000-0000-0000F4040000}"/>
    <hyperlink ref="AA1259" r:id="rId1270" display="https://wa.me/62881010320770" xr:uid="{00000000-0004-0000-0000-0000F5040000}"/>
    <hyperlink ref="AA1260" r:id="rId1271" display="https://wa.me/6282266256678" xr:uid="{00000000-0004-0000-0000-0000F6040000}"/>
    <hyperlink ref="AA1261" r:id="rId1272" display="https://wa.me/6281233038880" xr:uid="{00000000-0004-0000-0000-0000F7040000}"/>
    <hyperlink ref="AA1262" r:id="rId1273" display="https://wa.me/6281282788282" xr:uid="{00000000-0004-0000-0000-0000F8040000}"/>
    <hyperlink ref="AA1263" r:id="rId1274" display="https://wa.me/628811252834" xr:uid="{00000000-0004-0000-0000-0000F9040000}"/>
    <hyperlink ref="AA1264" r:id="rId1275" display="https://wa.me/6285337776770" xr:uid="{00000000-0004-0000-0000-0000FA040000}"/>
    <hyperlink ref="AA1265" r:id="rId1276" display="https://wa.me/6285714094023" xr:uid="{00000000-0004-0000-0000-0000FB040000}"/>
    <hyperlink ref="AA1266" r:id="rId1277" display="https://wa.me/6282181277069" xr:uid="{00000000-0004-0000-0000-0000FC040000}"/>
    <hyperlink ref="AA1267" r:id="rId1278" display="https://wa.me/6282120480802" xr:uid="{00000000-0004-0000-0000-0000FD040000}"/>
    <hyperlink ref="AA1268" r:id="rId1279" display="https://wa.me/6285280985750" xr:uid="{00000000-0004-0000-0000-0000FE040000}"/>
    <hyperlink ref="AA1269" r:id="rId1280" display="https://wa.me/6287830703946" xr:uid="{00000000-0004-0000-0000-0000FF040000}"/>
    <hyperlink ref="AA1270" r:id="rId1281" display="https://wa.me/6281330410391" xr:uid="{00000000-0004-0000-0000-000000050000}"/>
    <hyperlink ref="AA1271" r:id="rId1282" display="https://wa.me/6282245454940" xr:uid="{00000000-0004-0000-0000-000001050000}"/>
    <hyperlink ref="AA1272" r:id="rId1283" display="https://wa.me/6285179930885" xr:uid="{00000000-0004-0000-0000-000002050000}"/>
    <hyperlink ref="AA1273" r:id="rId1284" display="https://wa.me/6287782059170" xr:uid="{00000000-0004-0000-0000-000003050000}"/>
    <hyperlink ref="AA1274" r:id="rId1285" display="https://wa.me/6282285691485" xr:uid="{00000000-0004-0000-0000-000004050000}"/>
    <hyperlink ref="AA1275" r:id="rId1286" display="https://wa.me/6287852936679" xr:uid="{00000000-0004-0000-0000-000005050000}"/>
    <hyperlink ref="AA1276" r:id="rId1287" display="https://wa.me/6287782059170" xr:uid="{00000000-0004-0000-0000-000006050000}"/>
    <hyperlink ref="AA1277" r:id="rId1288" display="https://wa.me/628111820815" xr:uid="{00000000-0004-0000-0000-000007050000}"/>
    <hyperlink ref="AA1278" r:id="rId1289" display="https://wa.me/6282135671899" xr:uid="{00000000-0004-0000-0000-000008050000}"/>
    <hyperlink ref="AA1279" r:id="rId1290" display="https://wa.me/6282155336565" xr:uid="{00000000-0004-0000-0000-000009050000}"/>
    <hyperlink ref="AA1280" r:id="rId1291" display="https://wa.me/6285602588779" xr:uid="{00000000-0004-0000-0000-00000A050000}"/>
    <hyperlink ref="AA1281" r:id="rId1292" display="https://wa.me/6287754649850" xr:uid="{00000000-0004-0000-0000-00000B050000}"/>
    <hyperlink ref="AA1282" r:id="rId1293" display="https://wa.me/628116612224" xr:uid="{00000000-0004-0000-0000-00000C050000}"/>
    <hyperlink ref="AA1283" r:id="rId1294" display="https://wa.me/6282142550427" xr:uid="{00000000-0004-0000-0000-00000D050000}"/>
    <hyperlink ref="AA1284" r:id="rId1295" display="https://wa.me/6282242925264" xr:uid="{00000000-0004-0000-0000-00000E050000}"/>
    <hyperlink ref="AA1285" r:id="rId1296" display="https://wa.me/62881022322099" xr:uid="{00000000-0004-0000-0000-00000F050000}"/>
    <hyperlink ref="AA1286" r:id="rId1297" display="https://wa.me/6287858406222" xr:uid="{00000000-0004-0000-0000-000010050000}"/>
    <hyperlink ref="AA1287" r:id="rId1298" display="https://wa.me/6281395812234" xr:uid="{00000000-0004-0000-0000-000011050000}"/>
    <hyperlink ref="AA1288" r:id="rId1299" display="https://wa.me/6282250370505" xr:uid="{00000000-0004-0000-0000-000012050000}"/>
    <hyperlink ref="AA1289" r:id="rId1300" display="https://wa.me/6281936003881" xr:uid="{00000000-0004-0000-0000-000013050000}"/>
    <hyperlink ref="AA1290" r:id="rId1301" display="https://wa.me/62816690928" xr:uid="{00000000-0004-0000-0000-000014050000}"/>
    <hyperlink ref="AA1291" r:id="rId1302" display="https://wa.me/6281338789995" xr:uid="{00000000-0004-0000-0000-000015050000}"/>
    <hyperlink ref="AA1292" r:id="rId1303" display="https://wa.me/6285334003008" xr:uid="{00000000-0004-0000-0000-000016050000}"/>
    <hyperlink ref="AA1293" r:id="rId1304" display="https://wa.me/6289506338444" xr:uid="{00000000-0004-0000-0000-000017050000}"/>
    <hyperlink ref="AA1294" r:id="rId1305" display="https://wa.me/6285779204213" xr:uid="{00000000-0004-0000-0000-000018050000}"/>
    <hyperlink ref="AA1295" r:id="rId1306" display="https://wa.me/6289504615501" xr:uid="{00000000-0004-0000-0000-000019050000}"/>
    <hyperlink ref="AA1296" r:id="rId1307" display="https://wa.me/6281282148369" xr:uid="{00000000-0004-0000-0000-00001A050000}"/>
    <hyperlink ref="AA1297" r:id="rId1308" display="https://wa.me/6285720705874" xr:uid="{00000000-0004-0000-0000-00001B050000}"/>
    <hyperlink ref="AA1298" r:id="rId1309" display="https://wa.me/6282315999337" xr:uid="{00000000-0004-0000-0000-00001C050000}"/>
    <hyperlink ref="AA1299" r:id="rId1310" display="https://wa.me/62882008728060" xr:uid="{00000000-0004-0000-0000-00001D050000}"/>
    <hyperlink ref="AA1300" r:id="rId1311" display="https://wa.me/6285275329089" xr:uid="{00000000-0004-0000-0000-00001E050000}"/>
    <hyperlink ref="AA1301" r:id="rId1312" display="https://wa.me/6281222788601" xr:uid="{00000000-0004-0000-0000-00001F050000}"/>
    <hyperlink ref="AA1302" r:id="rId1313" display="https://wa.me/628114170888" xr:uid="{00000000-0004-0000-0000-000020050000}"/>
    <hyperlink ref="AA1303" r:id="rId1314" display="https://wa.me/6281283325291" xr:uid="{00000000-0004-0000-0000-000021050000}"/>
    <hyperlink ref="AA1304" r:id="rId1315" display="https://wa.me/6287889902933" xr:uid="{00000000-0004-0000-0000-000022050000}"/>
    <hyperlink ref="AA1305" r:id="rId1316" display="https://wa.me/628114207593" xr:uid="{00000000-0004-0000-0000-000023050000}"/>
    <hyperlink ref="AA1306" r:id="rId1317" display="https://wa.me/6282285691485" xr:uid="{00000000-0004-0000-0000-000024050000}"/>
    <hyperlink ref="AA1307" r:id="rId1318" display="https://wa.me/628114170888" xr:uid="{00000000-0004-0000-0000-000025050000}"/>
    <hyperlink ref="AA1308" r:id="rId1319" display="https://wa.me/628114170888" xr:uid="{00000000-0004-0000-0000-000026050000}"/>
    <hyperlink ref="AA1309" r:id="rId1320" display="https://wa.me/6285716918108" xr:uid="{00000000-0004-0000-0000-000027050000}"/>
    <hyperlink ref="AA1310" r:id="rId1321" display="https://wa.me/6285888590045" xr:uid="{00000000-0004-0000-0000-000028050000}"/>
    <hyperlink ref="AA1311" r:id="rId1322" display="https://wa.me/6285888590045" xr:uid="{00000000-0004-0000-0000-000029050000}"/>
    <hyperlink ref="AA1312" r:id="rId1323" display="https://wa.me/6281374879424" xr:uid="{00000000-0004-0000-0000-00002A050000}"/>
    <hyperlink ref="AA1313" r:id="rId1324" display="https://wa.me/6285280985750" xr:uid="{00000000-0004-0000-0000-00002B050000}"/>
    <hyperlink ref="AA1314" r:id="rId1325" display="https://wa.me/6283188945188" xr:uid="{00000000-0004-0000-0000-00002C050000}"/>
    <hyperlink ref="AA1315" r:id="rId1326" display="https://wa.me/6283188945188" xr:uid="{00000000-0004-0000-0000-00002D050000}"/>
    <hyperlink ref="AA1316" r:id="rId1327" display="https://wa.me/6281260058715" xr:uid="{00000000-0004-0000-0000-00002E050000}"/>
    <hyperlink ref="AA1317" r:id="rId1328" display="https://wa.me/6281393958199" xr:uid="{00000000-0004-0000-0000-00002F050000}"/>
    <hyperlink ref="AA1318" r:id="rId1329" display="https://wa.me/6285329035057" xr:uid="{00000000-0004-0000-0000-000030050000}"/>
    <hyperlink ref="AA1319" r:id="rId1330" display="https://wa.me/6281293111178" xr:uid="{00000000-0004-0000-0000-000031050000}"/>
    <hyperlink ref="AA1320" r:id="rId1331" display="https://wa.me/6287888330007" xr:uid="{00000000-0004-0000-0000-000032050000}"/>
    <hyperlink ref="AA1321" r:id="rId1332" display="https://wa.me/628990666173" xr:uid="{00000000-0004-0000-0000-000033050000}"/>
    <hyperlink ref="AA1322" r:id="rId1333" display="https://wa.me/6285285589041" xr:uid="{00000000-0004-0000-0000-000034050000}"/>
    <hyperlink ref="AA1323" r:id="rId1334" display="https://wa.me/6281223331880" xr:uid="{00000000-0004-0000-0000-000035050000}"/>
    <hyperlink ref="G1324" r:id="rId1335" xr:uid="{00000000-0004-0000-0000-000036050000}"/>
    <hyperlink ref="W1324" r:id="rId1336" display="http://villa.puncak.com/" xr:uid="{00000000-0004-0000-0000-000037050000}"/>
    <hyperlink ref="AA1324" r:id="rId1337" display="https://wa.me/6281296671835" xr:uid="{00000000-0004-0000-0000-000038050000}"/>
    <hyperlink ref="AA1325" r:id="rId1338" display="https://wa.me/6285285589041" xr:uid="{00000000-0004-0000-0000-000039050000}"/>
    <hyperlink ref="AA1326" r:id="rId1339" display="https://wa.me/6285839388829" xr:uid="{00000000-0004-0000-0000-00003A050000}"/>
    <hyperlink ref="AA1327" r:id="rId1340" display="https://wa.me/6281316122975" xr:uid="{00000000-0004-0000-0000-00003B050000}"/>
    <hyperlink ref="AA1328" r:id="rId1341" display="https://wa.me/6285817484675" xr:uid="{00000000-0004-0000-0000-00003C050000}"/>
    <hyperlink ref="AA1329" r:id="rId1342" display="https://wa.me/6285189067481" xr:uid="{00000000-0004-0000-0000-00003D050000}"/>
    <hyperlink ref="AA1330" r:id="rId1343" display="https://wa.me/6285715856120" xr:uid="{00000000-0004-0000-0000-00003E050000}"/>
    <hyperlink ref="AA1331" r:id="rId1344" display="https://wa.me/6282399006447" xr:uid="{00000000-0004-0000-0000-00003F050000}"/>
    <hyperlink ref="AA1332" r:id="rId1345" display="https://wa.me/6287865111033" xr:uid="{00000000-0004-0000-0000-000040050000}"/>
    <hyperlink ref="AA1333" r:id="rId1346" display="https://wa.me/6281338789995" xr:uid="{00000000-0004-0000-0000-000041050000}"/>
    <hyperlink ref="AA1334" r:id="rId1347" display="https://wa.me/6281369013633" xr:uid="{00000000-0004-0000-0000-000042050000}"/>
    <hyperlink ref="AA1335" r:id="rId1348" display="https://wa.me/6285255115894" xr:uid="{00000000-0004-0000-0000-000043050000}"/>
    <hyperlink ref="AA1336" r:id="rId1349" display="https://wa.me/6285141091362" xr:uid="{00000000-0004-0000-0000-000044050000}"/>
    <hyperlink ref="AA1337" r:id="rId1350" display="https://wa.me/6285141091362" xr:uid="{00000000-0004-0000-0000-000045050000}"/>
    <hyperlink ref="AA1338" r:id="rId1351" display="https://wa.me/6287788161343" xr:uid="{00000000-0004-0000-0000-000046050000}"/>
    <hyperlink ref="AA1339" r:id="rId1352" display="https://wa.me/6281215552664" xr:uid="{00000000-0004-0000-0000-000047050000}"/>
    <hyperlink ref="AA1340" r:id="rId1353" display="https://wa.me/6285754778814" xr:uid="{00000000-0004-0000-0000-000048050000}"/>
    <hyperlink ref="AA1341" r:id="rId1354" display="https://wa.me/6281235675956" xr:uid="{00000000-0004-0000-0000-000049050000}"/>
    <hyperlink ref="AA1342" r:id="rId1355" display="https://wa.me/6281216704496" xr:uid="{00000000-0004-0000-0000-00004A050000}"/>
    <hyperlink ref="AA1343" r:id="rId1356" display="https://wa.me/6285333355756" xr:uid="{00000000-0004-0000-0000-00004B050000}"/>
    <hyperlink ref="AA1344" r:id="rId1357" display="https://wa.me/6281347321820" xr:uid="{00000000-0004-0000-0000-00004C050000}"/>
    <hyperlink ref="AA1345" r:id="rId1358" display="https://wa.me/6285270194027" xr:uid="{00000000-0004-0000-0000-00004D050000}"/>
    <hyperlink ref="AA1346" r:id="rId1359" display="https://wa.me/6281617770477" xr:uid="{00000000-0004-0000-0000-00004E050000}"/>
    <hyperlink ref="AA1347" r:id="rId1360" display="https://wa.me/6285338813949" xr:uid="{00000000-0004-0000-0000-00004F050000}"/>
    <hyperlink ref="AA1348" r:id="rId1361" display="https://wa.me/6281445321599" xr:uid="{00000000-0004-0000-0000-000050050000}"/>
    <hyperlink ref="AA1349" r:id="rId1362" display="https://wa.me/6282351028887" xr:uid="{00000000-0004-0000-0000-000051050000}"/>
    <hyperlink ref="AA1350" r:id="rId1363" display="https://wa.me/628122102657" xr:uid="{00000000-0004-0000-0000-000052050000}"/>
    <hyperlink ref="AA1351" r:id="rId1364" display="https://wa.me/6285398802006" xr:uid="{00000000-0004-0000-0000-000053050000}"/>
    <hyperlink ref="AA1352" r:id="rId1365" display="https://wa.me/6285878882667" xr:uid="{00000000-0004-0000-0000-000054050000}"/>
    <hyperlink ref="AA1353" r:id="rId1366" display="https://wa.me/6287712052457" xr:uid="{00000000-0004-0000-0000-000055050000}"/>
    <hyperlink ref="AA1354" r:id="rId1367" display="https://wa.me/6281321441646" xr:uid="{00000000-0004-0000-0000-000056050000}"/>
    <hyperlink ref="AA1355" r:id="rId1368" display="https://wa.me/6281321441646" xr:uid="{00000000-0004-0000-0000-000057050000}"/>
    <hyperlink ref="AA1356" r:id="rId1369" display="https://wa.me/6289504615501" xr:uid="{00000000-0004-0000-0000-000058050000}"/>
    <hyperlink ref="AA1357" r:id="rId1370" display="https://wa.me/6285255452796" xr:uid="{00000000-0004-0000-0000-000059050000}"/>
    <hyperlink ref="AA1358" r:id="rId1371" display="https://wa.me/6287758080333" xr:uid="{00000000-0004-0000-0000-00005A050000}"/>
    <hyperlink ref="AA1359" r:id="rId1372" display="https://wa.me/6282232143251" xr:uid="{00000000-0004-0000-0000-00005B050000}"/>
    <hyperlink ref="G1360" r:id="rId1373" xr:uid="{00000000-0004-0000-0000-00005C050000}"/>
    <hyperlink ref="W1360" r:id="rId1374" display="http://ciptagriya.id/" xr:uid="{00000000-0004-0000-0000-00005D050000}"/>
    <hyperlink ref="AA1360" r:id="rId1375" display="https://wa.me/6282225454797" xr:uid="{00000000-0004-0000-0000-00005E050000}"/>
    <hyperlink ref="AA1361" r:id="rId1376" display="https://wa.me/6282288320550" xr:uid="{00000000-0004-0000-0000-00005F050000}"/>
    <hyperlink ref="AA1362" r:id="rId1377" display="https://wa.me/6281394618785" xr:uid="{00000000-0004-0000-0000-000060050000}"/>
    <hyperlink ref="AA1363" r:id="rId1378" display="https://wa.me/6285361118289" xr:uid="{00000000-0004-0000-0000-000061050000}"/>
    <hyperlink ref="AA1364" r:id="rId1379" display="https://wa.me/6281233038880" xr:uid="{00000000-0004-0000-0000-000062050000}"/>
    <hyperlink ref="AA1365" r:id="rId1380" display="https://wa.me/6285133445758" xr:uid="{00000000-0004-0000-0000-000063050000}"/>
    <hyperlink ref="AA1366" r:id="rId1381" display="https://wa.me/6285657199451" xr:uid="{00000000-0004-0000-0000-000064050000}"/>
    <hyperlink ref="AA1367" r:id="rId1382" display="https://wa.me/6281323291817" xr:uid="{00000000-0004-0000-0000-000065050000}"/>
    <hyperlink ref="AA1368" r:id="rId1383" display="https://wa.me/6281524365621" xr:uid="{00000000-0004-0000-0000-000066050000}"/>
    <hyperlink ref="AA1369" r:id="rId1384" display="https://wa.me/6289508272900" xr:uid="{00000000-0004-0000-0000-000067050000}"/>
    <hyperlink ref="AA1370" r:id="rId1385" display="https://wa.me/62882008315520" xr:uid="{00000000-0004-0000-0000-000068050000}"/>
    <hyperlink ref="AA1371" r:id="rId1386" display="https://wa.me/6287856230745" xr:uid="{00000000-0004-0000-0000-000069050000}"/>
    <hyperlink ref="AA1372" r:id="rId1387" display="https://wa.me/628990570840" xr:uid="{00000000-0004-0000-0000-00006A050000}"/>
    <hyperlink ref="AA1373" r:id="rId1388" display="https://wa.me/6282147314512" xr:uid="{00000000-0004-0000-0000-00006B050000}"/>
    <hyperlink ref="AA1374" r:id="rId1389" display="https://wa.me/6282124101919" xr:uid="{00000000-0004-0000-0000-00006C050000}"/>
    <hyperlink ref="AA1375" r:id="rId1390" display="https://wa.me/6282153090123" xr:uid="{00000000-0004-0000-0000-00006D050000}"/>
    <hyperlink ref="AA1376" r:id="rId1391" display="https://wa.me/6283865096870" xr:uid="{00000000-0004-0000-0000-00006E050000}"/>
    <hyperlink ref="AA1377" r:id="rId1392" display="https://wa.me/6281299670702" xr:uid="{00000000-0004-0000-0000-00006F050000}"/>
    <hyperlink ref="AA1378" r:id="rId1393" display="https://wa.me/6281275085000" xr:uid="{00000000-0004-0000-0000-000070050000}"/>
    <hyperlink ref="AA1379" r:id="rId1394" display="https://wa.me/628119581969" xr:uid="{00000000-0004-0000-0000-000071050000}"/>
    <hyperlink ref="AA1380" r:id="rId1395" display="https://wa.me/6281330410391" xr:uid="{00000000-0004-0000-0000-000072050000}"/>
    <hyperlink ref="AA1381" r:id="rId1396" display="https://wa.me/6282122880328" xr:uid="{00000000-0004-0000-0000-000073050000}"/>
    <hyperlink ref="AA1382" r:id="rId1397" display="https://wa.me/6285888695439" xr:uid="{00000000-0004-0000-0000-000074050000}"/>
    <hyperlink ref="AA1383" r:id="rId1398" display="https://wa.me/6282134406672" xr:uid="{00000000-0004-0000-0000-000075050000}"/>
    <hyperlink ref="G1384" r:id="rId1399" xr:uid="{00000000-0004-0000-0000-000076050000}"/>
    <hyperlink ref="W1384" r:id="rId1400" display="http://ahlibangun.com/" xr:uid="{00000000-0004-0000-0000-000077050000}"/>
    <hyperlink ref="AA1384" r:id="rId1401" display="https://wa.me/6285220216325" xr:uid="{00000000-0004-0000-0000-000078050000}"/>
    <hyperlink ref="AA1385" r:id="rId1402" display="https://wa.me/6281213766426" xr:uid="{00000000-0004-0000-0000-000079050000}"/>
    <hyperlink ref="AA1386" r:id="rId1403" display="https://wa.me/6285775337574" xr:uid="{00000000-0004-0000-0000-00007A050000}"/>
    <hyperlink ref="AA1387" r:id="rId1404" display="https://wa.me/6282153090123" xr:uid="{00000000-0004-0000-0000-00007B050000}"/>
    <hyperlink ref="AA1388" r:id="rId1405" display="https://wa.me/6282399721881" xr:uid="{00000000-0004-0000-0000-00007C050000}"/>
    <hyperlink ref="AA1389" r:id="rId1406" display="https://wa.me/6285750574301" xr:uid="{00000000-0004-0000-0000-00007D050000}"/>
    <hyperlink ref="AA1390" r:id="rId1407" display="https://wa.me/6289653336063" xr:uid="{00000000-0004-0000-0000-00007E050000}"/>
    <hyperlink ref="AA1391" r:id="rId1408" display="https://wa.me/6287852936679" xr:uid="{00000000-0004-0000-0000-00007F050000}"/>
    <hyperlink ref="AA1392" r:id="rId1409" display="https://wa.me/6285238063446" xr:uid="{00000000-0004-0000-0000-000080050000}"/>
    <hyperlink ref="AA1393" r:id="rId1410" display="https://wa.me/6281802736799" xr:uid="{00000000-0004-0000-0000-000081050000}"/>
    <hyperlink ref="AA1394" r:id="rId1411" display="https://wa.me/6282286110903" xr:uid="{00000000-0004-0000-0000-000082050000}"/>
    <hyperlink ref="AA1395" r:id="rId1412" display="https://wa.me/6285333751528" xr:uid="{00000000-0004-0000-0000-000083050000}"/>
    <hyperlink ref="AA1396" r:id="rId1413" display="https://wa.me/6282135671899" xr:uid="{00000000-0004-0000-0000-000084050000}"/>
    <hyperlink ref="AA1397" r:id="rId1414" display="https://wa.me/6282393168368" xr:uid="{00000000-0004-0000-0000-000085050000}"/>
    <hyperlink ref="AA1398" r:id="rId1415" display="https://wa.me/6282265277099" xr:uid="{00000000-0004-0000-0000-000086050000}"/>
    <hyperlink ref="AA1399" r:id="rId1416" display="https://wa.me/6285893658659" xr:uid="{00000000-0004-0000-0000-000087050000}"/>
    <hyperlink ref="AA1400" r:id="rId1417" display="https://wa.me/6285381277559" xr:uid="{00000000-0004-0000-0000-000088050000}"/>
    <hyperlink ref="AA1401" r:id="rId1418" display="https://wa.me/6285713820117" xr:uid="{00000000-0004-0000-0000-000089050000}"/>
    <hyperlink ref="AA1402" r:id="rId1419" display="https://wa.me/6282315459098" xr:uid="{00000000-0004-0000-0000-00008A050000}"/>
    <hyperlink ref="AA1403" r:id="rId1420" display="https://wa.me/6285878711093" xr:uid="{00000000-0004-0000-0000-00008B050000}"/>
    <hyperlink ref="AA1404" r:id="rId1421" display="https://wa.me/6281310674130" xr:uid="{00000000-0004-0000-0000-00008C050000}"/>
    <hyperlink ref="AA1405" r:id="rId1422" display="https://wa.me/6281237058617" xr:uid="{00000000-0004-0000-0000-00008D050000}"/>
    <hyperlink ref="AA1406" r:id="rId1423" display="https://wa.me/6281904149328" xr:uid="{00000000-0004-0000-0000-00008E050000}"/>
    <hyperlink ref="AA1407" r:id="rId1424" display="https://wa.me/6285888452389" xr:uid="{00000000-0004-0000-0000-00008F050000}"/>
    <hyperlink ref="AA1408" r:id="rId1425" display="https://wa.me/6282261110051" xr:uid="{00000000-0004-0000-0000-000090050000}"/>
    <hyperlink ref="AA1409" r:id="rId1426" display="https://wa.me/6285381277559" xr:uid="{00000000-0004-0000-0000-000091050000}"/>
    <hyperlink ref="AA1410" r:id="rId1427" display="https://wa.me/6285381277559" xr:uid="{00000000-0004-0000-0000-000092050000}"/>
    <hyperlink ref="AA1411" r:id="rId1428" display="https://wa.me/6285834603770" xr:uid="{00000000-0004-0000-0000-000093050000}"/>
    <hyperlink ref="AA1412" r:id="rId1429" display="https://wa.me/6281904149328" xr:uid="{00000000-0004-0000-0000-000094050000}"/>
    <hyperlink ref="AA1413" r:id="rId1430" display="https://wa.me/628172829797" xr:uid="{00000000-0004-0000-0000-000095050000}"/>
    <hyperlink ref="AA1414" r:id="rId1431" display="https://wa.me/6283142837128" xr:uid="{00000000-0004-0000-0000-000096050000}"/>
    <hyperlink ref="AA1415" r:id="rId1432" display="https://wa.me/6289627431774" xr:uid="{00000000-0004-0000-0000-000097050000}"/>
    <hyperlink ref="AA1416" r:id="rId1433" display="https://wa.me/62818752345" xr:uid="{00000000-0004-0000-0000-000098050000}"/>
    <hyperlink ref="AA1417" r:id="rId1434" display="https://wa.me/6287786425009" xr:uid="{00000000-0004-0000-0000-000099050000}"/>
    <hyperlink ref="AA1418" r:id="rId1435" display="https://wa.me/6289673319845" xr:uid="{00000000-0004-0000-0000-00009A050000}"/>
    <hyperlink ref="AA1419" r:id="rId1436" display="https://wa.me/6282261110051" xr:uid="{00000000-0004-0000-0000-00009B050000}"/>
    <hyperlink ref="AA1420" r:id="rId1437" display="https://wa.me/6285850248298" xr:uid="{00000000-0004-0000-0000-00009C050000}"/>
    <hyperlink ref="AA1421" r:id="rId1438" display="https://wa.me/6285850248298" xr:uid="{00000000-0004-0000-0000-00009D050000}"/>
    <hyperlink ref="AA1422" r:id="rId1439" display="https://wa.me/6285591221799" xr:uid="{00000000-0004-0000-0000-00009E050000}"/>
    <hyperlink ref="AA1423" r:id="rId1440" display="https://wa.me/6281328881949" xr:uid="{00000000-0004-0000-0000-00009F050000}"/>
    <hyperlink ref="AA1424" r:id="rId1441" display="https://wa.me/6282225676546" xr:uid="{00000000-0004-0000-0000-0000A0050000}"/>
    <hyperlink ref="AA1425" r:id="rId1442" display="https://wa.me/6281904501876" xr:uid="{00000000-0004-0000-0000-0000A1050000}"/>
    <hyperlink ref="AA1426" r:id="rId1443" display="https://wa.me/6289672274848" xr:uid="{00000000-0004-0000-0000-0000A2050000}"/>
    <hyperlink ref="AA1427" r:id="rId1444" display="https://wa.me/6282225676546" xr:uid="{00000000-0004-0000-0000-0000A3050000}"/>
    <hyperlink ref="AA1428" r:id="rId1445" display="https://wa.me/6281904501876" xr:uid="{00000000-0004-0000-0000-0000A4050000}"/>
    <hyperlink ref="AA1429" r:id="rId1446" display="https://wa.me/6289678497690" xr:uid="{00000000-0004-0000-0000-0000A5050000}"/>
    <hyperlink ref="AA1430" r:id="rId1447" display="https://wa.me/6285850248298" xr:uid="{00000000-0004-0000-0000-0000A6050000}"/>
    <hyperlink ref="AA1431" r:id="rId1448" display="https://wa.me/6289658272184" xr:uid="{00000000-0004-0000-0000-0000A7050000}"/>
    <hyperlink ref="AA1432" r:id="rId1449" display="https://wa.me/62887435792882" xr:uid="{00000000-0004-0000-0000-0000A8050000}"/>
    <hyperlink ref="AA1433" r:id="rId1450" display="https://wa.me/6282325548836" xr:uid="{00000000-0004-0000-0000-0000A9050000}"/>
    <hyperlink ref="AA1434" r:id="rId1451" display="https://wa.me/6281318378049" xr:uid="{00000000-0004-0000-0000-0000AA050000}"/>
    <hyperlink ref="AA1435" r:id="rId1452" display="https://wa.me/6281932016179" xr:uid="{00000000-0004-0000-0000-0000AB050000}"/>
    <hyperlink ref="AA1436" r:id="rId1453" display="https://wa.me/6285925102815" xr:uid="{00000000-0004-0000-0000-0000AC050000}"/>
    <hyperlink ref="AA1437" r:id="rId1454" display="https://wa.me/6289504615501" xr:uid="{00000000-0004-0000-0000-0000AD050000}"/>
    <hyperlink ref="AA1438" r:id="rId1455" display="https://wa.me/6281249560405" xr:uid="{00000000-0004-0000-0000-0000AE050000}"/>
    <hyperlink ref="AA1439" r:id="rId1456" display="https://wa.me/6281391117757" xr:uid="{00000000-0004-0000-0000-0000AF050000}"/>
    <hyperlink ref="AA1440" r:id="rId1457" display="https://wa.me/6287864923726" xr:uid="{00000000-0004-0000-0000-0000B0050000}"/>
    <hyperlink ref="AA1441" r:id="rId1458" display="https://wa.me/6282172291579" xr:uid="{00000000-0004-0000-0000-0000B1050000}"/>
    <hyperlink ref="AA1442" r:id="rId1459" display="https://wa.me/6281904501876" xr:uid="{00000000-0004-0000-0000-0000B2050000}"/>
    <hyperlink ref="AA1443" r:id="rId1460" display="https://wa.me/6281237058617" xr:uid="{00000000-0004-0000-0000-0000B3050000}"/>
    <hyperlink ref="AA1444" r:id="rId1461" display="https://wa.me/6288227630708" xr:uid="{00000000-0004-0000-0000-0000B4050000}"/>
    <hyperlink ref="AA1445" r:id="rId1462" display="https://wa.me/6285600287735" xr:uid="{00000000-0004-0000-0000-0000B5050000}"/>
    <hyperlink ref="AA1446" r:id="rId1463" display="https://wa.me/6282230035858" xr:uid="{00000000-0004-0000-0000-0000B6050000}"/>
    <hyperlink ref="AA1447" r:id="rId1464" display="https://wa.me/6287856230745" xr:uid="{00000000-0004-0000-0000-0000B7050000}"/>
    <hyperlink ref="AA1448" r:id="rId1465" display="https://wa.me/6281915553329" xr:uid="{00000000-0004-0000-0000-0000B8050000}"/>
    <hyperlink ref="AA1449" r:id="rId1466" display="https://wa.me/6287880869986" xr:uid="{00000000-0004-0000-0000-0000B9050000}"/>
    <hyperlink ref="AA1450" r:id="rId1467" display="https://wa.me/6281218826764" xr:uid="{00000000-0004-0000-0000-0000BA050000}"/>
    <hyperlink ref="AA1451" r:id="rId1468" display="https://wa.me/6281999413489" xr:uid="{00000000-0004-0000-0000-0000BB050000}"/>
    <hyperlink ref="AA1452" r:id="rId1469" display="https://wa.me/6282261110051" xr:uid="{00000000-0004-0000-0000-0000BC050000}"/>
    <hyperlink ref="AA1453" r:id="rId1470" display="https://wa.me/6287799044400" xr:uid="{00000000-0004-0000-0000-0000BD050000}"/>
    <hyperlink ref="AA1454" r:id="rId1471" display="https://wa.me/628129170528" xr:uid="{00000000-0004-0000-0000-0000BE050000}"/>
    <hyperlink ref="AA1455" r:id="rId1472" display="https://wa.me/6289529314651" xr:uid="{00000000-0004-0000-0000-0000BF050000}"/>
    <hyperlink ref="AA1456" r:id="rId1473" display="https://wa.me/6281219102600" xr:uid="{00000000-0004-0000-0000-0000C0050000}"/>
    <hyperlink ref="AA1457" r:id="rId1474" display="https://wa.me/6281130542444" xr:uid="{00000000-0004-0000-0000-0000C1050000}"/>
    <hyperlink ref="AA1458" r:id="rId1475" display="https://wa.me/628179859231" xr:uid="{00000000-0004-0000-0000-0000C2050000}"/>
    <hyperlink ref="AA1459" r:id="rId1476" display="https://wa.me/6285222823353" xr:uid="{00000000-0004-0000-0000-0000C3050000}"/>
    <hyperlink ref="AA1460" r:id="rId1477" display="https://wa.me/6281219102600" xr:uid="{00000000-0004-0000-0000-0000C4050000}"/>
    <hyperlink ref="AA1461" r:id="rId1478" display="https://wa.me/628990570840" xr:uid="{00000000-0004-0000-0000-0000C5050000}"/>
    <hyperlink ref="AA1462" r:id="rId1479" display="https://wa.me/6287765670288" xr:uid="{00000000-0004-0000-0000-0000C6050000}"/>
    <hyperlink ref="AA1463" r:id="rId1480" display="https://wa.me/6285280985750" xr:uid="{00000000-0004-0000-0000-0000C7050000}"/>
    <hyperlink ref="AA1464" r:id="rId1481" display="https://wa.me/628119913004" xr:uid="{00000000-0004-0000-0000-0000C8050000}"/>
    <hyperlink ref="AA1465" r:id="rId1482" display="https://wa.me/6285167231114" xr:uid="{00000000-0004-0000-0000-0000C9050000}"/>
    <hyperlink ref="AA1466" r:id="rId1483" display="https://wa.me/6282236053835" xr:uid="{00000000-0004-0000-0000-0000CA050000}"/>
    <hyperlink ref="AA1467" r:id="rId1484" display="https://wa.me/6282295851975" xr:uid="{00000000-0004-0000-0000-0000CB050000}"/>
    <hyperlink ref="AA1468" r:id="rId1485" display="https://wa.me/6287774555328" xr:uid="{00000000-0004-0000-0000-0000CC050000}"/>
    <hyperlink ref="AA1469" r:id="rId1486" display="https://wa.me/6287718286882" xr:uid="{00000000-0004-0000-0000-0000CD050000}"/>
    <hyperlink ref="AA1470" r:id="rId1487" display="https://wa.me/6281390669379" xr:uid="{00000000-0004-0000-0000-0000CE050000}"/>
    <hyperlink ref="AA1471" r:id="rId1488" display="https://wa.me/6281338789995" xr:uid="{00000000-0004-0000-0000-0000CF050000}"/>
    <hyperlink ref="AA1472" r:id="rId1489" display="https://wa.me/6285333355756" xr:uid="{00000000-0004-0000-0000-0000D0050000}"/>
    <hyperlink ref="AA1473" r:id="rId1490" display="https://wa.me/6282295851975" xr:uid="{00000000-0004-0000-0000-0000D1050000}"/>
    <hyperlink ref="AA1474" r:id="rId1491" display="https://wa.me/6282141603091" xr:uid="{00000000-0004-0000-0000-0000D2050000}"/>
    <hyperlink ref="AA1475" r:id="rId1492" display="https://wa.me/6287856230745" xr:uid="{00000000-0004-0000-0000-0000D3050000}"/>
    <hyperlink ref="AA1476" r:id="rId1493" display="https://wa.me/6289506338444" xr:uid="{00000000-0004-0000-0000-0000D4050000}"/>
    <hyperlink ref="AA1477" r:id="rId1494" display="https://wa.me/6285750574301" xr:uid="{00000000-0004-0000-0000-0000D5050000}"/>
    <hyperlink ref="AA1478" r:id="rId1495" display="https://wa.me/628125813214" xr:uid="{00000000-0004-0000-0000-0000D6050000}"/>
    <hyperlink ref="AA1479" r:id="rId1496" display="https://wa.me/6289673319845" xr:uid="{00000000-0004-0000-0000-0000D7050000}"/>
    <hyperlink ref="AA1480" r:id="rId1497" display="https://wa.me/6285255452796" xr:uid="{00000000-0004-0000-0000-0000D8050000}"/>
    <hyperlink ref="AA1481" r:id="rId1498" display="https://wa.me/628119913004" xr:uid="{00000000-0004-0000-0000-0000D9050000}"/>
    <hyperlink ref="AA1482" r:id="rId1499" display="https://wa.me/6282147314512" xr:uid="{00000000-0004-0000-0000-0000DA050000}"/>
    <hyperlink ref="AA1483" r:id="rId1500" display="https://wa.me/628156626447" xr:uid="{00000000-0004-0000-0000-0000DB050000}"/>
    <hyperlink ref="AA1484" r:id="rId1501" display="https://wa.me/628122102657" xr:uid="{00000000-0004-0000-0000-0000DC050000}"/>
    <hyperlink ref="AA1485" r:id="rId1502" display="https://wa.me/6282213959236" xr:uid="{00000000-0004-0000-0000-0000DD050000}"/>
    <hyperlink ref="AA1486" r:id="rId1503" display="https://wa.me/6281316122975" xr:uid="{00000000-0004-0000-0000-0000DE050000}"/>
    <hyperlink ref="AA1487" r:id="rId1504" display="https://wa.me/6282160889408" xr:uid="{00000000-0004-0000-0000-0000DF050000}"/>
    <hyperlink ref="AA1488" r:id="rId1505" display="https://wa.me/628137914558" xr:uid="{00000000-0004-0000-0000-0000E0050000}"/>
    <hyperlink ref="AA1489" r:id="rId1506" display="https://wa.me/6285974999484" xr:uid="{00000000-0004-0000-0000-0000E1050000}"/>
    <hyperlink ref="AA1490" r:id="rId1507" display="https://wa.me/628137914558" xr:uid="{00000000-0004-0000-0000-0000E2050000}"/>
    <hyperlink ref="AA1491" r:id="rId1508" display="https://wa.me/6288210583484" xr:uid="{00000000-0004-0000-0000-0000E3050000}"/>
    <hyperlink ref="AA1492" r:id="rId1509" display="https://wa.me/6282315459098" xr:uid="{00000000-0004-0000-0000-0000E4050000}"/>
    <hyperlink ref="AA1493" r:id="rId1510" display="https://wa.me/6282315459098" xr:uid="{00000000-0004-0000-0000-0000E5050000}"/>
    <hyperlink ref="AA1494" r:id="rId1511" display="https://wa.me/6282133932170" xr:uid="{00000000-0004-0000-0000-0000E6050000}"/>
    <hyperlink ref="AA1495" r:id="rId1512" display="https://wa.me/6288971067899" xr:uid="{00000000-0004-0000-0000-0000E7050000}"/>
    <hyperlink ref="AA1496" r:id="rId1513" display="https://wa.me/6282133932170" xr:uid="{00000000-0004-0000-0000-0000E8050000}"/>
    <hyperlink ref="AA1497" r:id="rId1514" display="https://wa.me/6281775758999" xr:uid="{00000000-0004-0000-0000-0000E9050000}"/>
    <hyperlink ref="AA1498" r:id="rId1515" display="https://wa.me/6281216704496" xr:uid="{00000000-0004-0000-0000-0000EA050000}"/>
    <hyperlink ref="AA1499" r:id="rId1516" display="https://wa.me/628156563072" xr:uid="{00000000-0004-0000-0000-0000EB050000}"/>
    <hyperlink ref="AA1500" r:id="rId1517" display="https://wa.me/6282373417891" xr:uid="{00000000-0004-0000-0000-0000EC050000}"/>
    <hyperlink ref="AA1501" r:id="rId1518" display="https://wa.me/6287790276733" xr:uid="{00000000-0004-0000-0000-0000ED050000}"/>
    <hyperlink ref="AA1502" r:id="rId1519" display="https://wa.me/6281288965454" xr:uid="{00000000-0004-0000-0000-0000EE050000}"/>
    <hyperlink ref="AA1503" r:id="rId1520" display="https://wa.me/6285270194027" xr:uid="{00000000-0004-0000-0000-0000EF050000}"/>
    <hyperlink ref="AA1504" r:id="rId1521" display="https://wa.me/6287753731364" xr:uid="{00000000-0004-0000-0000-0000F0050000}"/>
    <hyperlink ref="AA1505" r:id="rId1522" display="https://wa.me/6285167231114" xr:uid="{00000000-0004-0000-0000-0000F1050000}"/>
    <hyperlink ref="AA1506" r:id="rId1523" display="https://wa.me/6281330410391" xr:uid="{00000000-0004-0000-0000-0000F2050000}"/>
    <hyperlink ref="AA1507" r:id="rId1524" display="https://wa.me/628156626447" xr:uid="{00000000-0004-0000-0000-0000F3050000}"/>
    <hyperlink ref="AA1508" r:id="rId1525" display="https://wa.me/628156563072" xr:uid="{00000000-0004-0000-0000-0000F4050000}"/>
    <hyperlink ref="AA1509" r:id="rId1526" display="https://wa.me/6281398408303" xr:uid="{00000000-0004-0000-0000-0000F5050000}"/>
    <hyperlink ref="AA1510" r:id="rId1527" display="https://wa.me/6281321441646" xr:uid="{00000000-0004-0000-0000-0000F6050000}"/>
    <hyperlink ref="AA1511" r:id="rId1528" display="https://wa.me/6282127669779" xr:uid="{00000000-0004-0000-0000-0000F7050000}"/>
    <hyperlink ref="AA1512" r:id="rId1529" display="https://wa.me/6285624000805" xr:uid="{00000000-0004-0000-0000-0000F8050000}"/>
    <hyperlink ref="AA1513" r:id="rId1530" display="https://wa.me/6282265277099" xr:uid="{00000000-0004-0000-0000-0000F9050000}"/>
    <hyperlink ref="AA1514" r:id="rId1531" display="https://wa.me/6281325416869" xr:uid="{00000000-0004-0000-0000-0000FA050000}"/>
    <hyperlink ref="AA1515" r:id="rId1532" display="https://wa.me/6281325742288" xr:uid="{00000000-0004-0000-0000-0000FB050000}"/>
    <hyperlink ref="AA1516" r:id="rId1533" display="https://wa.me/6281938384000" xr:uid="{00000000-0004-0000-0000-0000FC050000}"/>
    <hyperlink ref="AA1517" r:id="rId1534" display="https://wa.me/6281219102600" xr:uid="{00000000-0004-0000-0000-0000FD050000}"/>
    <hyperlink ref="AA1518" r:id="rId1535" display="https://wa.me/6287780880807" xr:uid="{00000000-0004-0000-0000-0000FE050000}"/>
    <hyperlink ref="AA1519" r:id="rId1536" display="https://wa.me/628973668569" xr:uid="{00000000-0004-0000-0000-0000FF050000}"/>
    <hyperlink ref="AA1520" r:id="rId1537" display="https://wa.me/6283875530291" xr:uid="{00000000-0004-0000-0000-000000060000}"/>
    <hyperlink ref="AA1521" r:id="rId1538" display="https://wa.me/6282333466436" xr:uid="{00000000-0004-0000-0000-000001060000}"/>
    <hyperlink ref="AA1522" r:id="rId1539" display="https://wa.me/6285332218714" xr:uid="{00000000-0004-0000-0000-000002060000}"/>
    <hyperlink ref="AA1523" r:id="rId1540" display="https://wa.me/6287780880807" xr:uid="{00000000-0004-0000-0000-000003060000}"/>
    <hyperlink ref="AA1524" r:id="rId1541" display="https://wa.me/6281221788919" xr:uid="{00000000-0004-0000-0000-000004060000}"/>
    <hyperlink ref="AA1525" r:id="rId1542" display="https://wa.me/6281233038880" xr:uid="{00000000-0004-0000-0000-000005060000}"/>
    <hyperlink ref="AA1526" r:id="rId1543" display="https://wa.me/6285893658659" xr:uid="{00000000-0004-0000-0000-000006060000}"/>
    <hyperlink ref="AA1527" r:id="rId1544" display="https://wa.me/6282399721881" xr:uid="{00000000-0004-0000-0000-000007060000}"/>
    <hyperlink ref="AA1528" r:id="rId1545" display="https://wa.me/6285655442852" xr:uid="{00000000-0004-0000-0000-000008060000}"/>
    <hyperlink ref="AA1529" r:id="rId1546" display="https://wa.me/6289673319845" xr:uid="{00000000-0004-0000-0000-000009060000}"/>
    <hyperlink ref="AA1530" r:id="rId1547" display="https://wa.me/6281321213934" xr:uid="{00000000-0004-0000-0000-00000A060000}"/>
    <hyperlink ref="AA1531" r:id="rId1548" display="https://wa.me/6285385070717" xr:uid="{00000000-0004-0000-0000-00000B060000}"/>
    <hyperlink ref="AA1532" r:id="rId1549" display="https://wa.me/6285355119665" xr:uid="{00000000-0004-0000-0000-00000C060000}"/>
    <hyperlink ref="AA1533" r:id="rId1550" display="https://wa.me/6285292365257" xr:uid="{00000000-0004-0000-0000-00000D060000}"/>
    <hyperlink ref="AA1534" r:id="rId1551" display="https://wa.me/6285123658125" xr:uid="{00000000-0004-0000-0000-00000E060000}"/>
    <hyperlink ref="AA1535" r:id="rId1552" display="https://wa.me/6281347321820" xr:uid="{00000000-0004-0000-0000-00000F060000}"/>
    <hyperlink ref="AA1536" r:id="rId1553" display="https://wa.me/6282242925264" xr:uid="{00000000-0004-0000-0000-000010060000}"/>
    <hyperlink ref="AA1537" r:id="rId1554" display="https://wa.me/6287838914455" xr:uid="{00000000-0004-0000-0000-000011060000}"/>
    <hyperlink ref="AA1538" r:id="rId1555" display="https://wa.me/6281323291817" xr:uid="{00000000-0004-0000-0000-000012060000}"/>
    <hyperlink ref="AA1539" r:id="rId1556" display="https://wa.me/6285361118289" xr:uid="{00000000-0004-0000-0000-000013060000}"/>
    <hyperlink ref="AA1540" r:id="rId1557" display="https://wa.me/6285729738492" xr:uid="{00000000-0004-0000-0000-000014060000}"/>
    <hyperlink ref="AA1541" r:id="rId1558" display="https://wa.me/6281274175987" xr:uid="{00000000-0004-0000-0000-000015060000}"/>
    <hyperlink ref="AA1542" r:id="rId1559" display="https://wa.me/6281931902977" xr:uid="{00000000-0004-0000-0000-000016060000}"/>
    <hyperlink ref="AA1543" r:id="rId1560" display="https://wa.me/6287897730462" xr:uid="{00000000-0004-0000-0000-000017060000}"/>
    <hyperlink ref="AA1544" r:id="rId1561" display="https://wa.me/6281222666815" xr:uid="{00000000-0004-0000-0000-000018060000}"/>
    <hyperlink ref="AA1545" r:id="rId1562" display="https://wa.me/6281217256721" xr:uid="{00000000-0004-0000-0000-000019060000}"/>
    <hyperlink ref="AA1546" r:id="rId1563" display="https://wa.me/6287758080333" xr:uid="{00000000-0004-0000-0000-00001A060000}"/>
    <hyperlink ref="AA1547" r:id="rId1564" display="https://wa.me/6285167231114" xr:uid="{00000000-0004-0000-0000-00001B060000}"/>
    <hyperlink ref="AA1548" r:id="rId1565" display="https://wa.me/6282160932266" xr:uid="{00000000-0004-0000-0000-00001C060000}"/>
    <hyperlink ref="AA1549" r:id="rId1566" display="https://wa.me/6281232240833" xr:uid="{00000000-0004-0000-0000-00001D060000}"/>
    <hyperlink ref="AA1550" r:id="rId1567" display="https://wa.me/6285179911662" xr:uid="{00000000-0004-0000-0000-00001E060000}"/>
    <hyperlink ref="AA1551" r:id="rId1568" display="https://wa.me/6283114705844" xr:uid="{00000000-0004-0000-0000-00001F060000}"/>
    <hyperlink ref="AA1552" r:id="rId1569" display="https://wa.me/6281364568015" xr:uid="{00000000-0004-0000-0000-000020060000}"/>
    <hyperlink ref="AA1553" r:id="rId1570" display="https://wa.me/6285210436926" xr:uid="{00000000-0004-0000-0000-000021060000}"/>
    <hyperlink ref="AA1554" r:id="rId1571" display="https://wa.me/6288802749485" xr:uid="{00000000-0004-0000-0000-000022060000}"/>
    <hyperlink ref="AA1555" r:id="rId1572" display="https://wa.me/6282154318629" xr:uid="{00000000-0004-0000-0000-000023060000}"/>
    <hyperlink ref="AA1556" r:id="rId1573" display="https://wa.me/6289529314651" xr:uid="{00000000-0004-0000-0000-000024060000}"/>
    <hyperlink ref="AA1557" r:id="rId1574" display="https://wa.me/6289529314651" xr:uid="{00000000-0004-0000-0000-000025060000}"/>
    <hyperlink ref="AA1558" r:id="rId1575" display="https://wa.me/6281316122975" xr:uid="{00000000-0004-0000-0000-000026060000}"/>
    <hyperlink ref="AA1559" r:id="rId1576" display="https://wa.me/6281357754513" xr:uid="{00000000-0004-0000-0000-000027060000}"/>
    <hyperlink ref="AA1560" r:id="rId1577" display="https://wa.me/6281385926707" xr:uid="{00000000-0004-0000-0000-000028060000}"/>
    <hyperlink ref="AA1561" r:id="rId1578" display="https://wa.me/6282139742007" xr:uid="{00000000-0004-0000-0000-000029060000}"/>
    <hyperlink ref="AA1562" r:id="rId1579" display="https://wa.me/6281265779848" xr:uid="{00000000-0004-0000-0000-00002A060000}"/>
    <hyperlink ref="AA1563" r:id="rId1580" display="https://wa.me/62882008315520" xr:uid="{00000000-0004-0000-0000-00002B060000}"/>
    <hyperlink ref="AA1564" r:id="rId1581" display="https://wa.me/6281216704496" xr:uid="{00000000-0004-0000-0000-00002C060000}"/>
    <hyperlink ref="AA1565" r:id="rId1582" display="https://wa.me/6281398408303" xr:uid="{00000000-0004-0000-0000-00002D060000}"/>
    <hyperlink ref="AA1566" r:id="rId1583" display="https://wa.me/6285746861553" xr:uid="{00000000-0004-0000-0000-00002E060000}"/>
    <hyperlink ref="AA1567" r:id="rId1584" display="https://wa.me/6281338789995" xr:uid="{00000000-0004-0000-0000-00002F060000}"/>
    <hyperlink ref="AA1568" r:id="rId1585" display="https://wa.me/6282136395328" xr:uid="{00000000-0004-0000-0000-000030060000}"/>
    <hyperlink ref="AA1569" r:id="rId1586" display="https://wa.me/6282173211212" xr:uid="{00000000-0004-0000-0000-000031060000}"/>
    <hyperlink ref="AA1570" r:id="rId1587" display="https://wa.me/6281222858582" xr:uid="{00000000-0004-0000-0000-000032060000}"/>
    <hyperlink ref="AA1571" r:id="rId1588" display="https://wa.me/6285893658659" xr:uid="{00000000-0004-0000-0000-000033060000}"/>
    <hyperlink ref="AA1572" r:id="rId1589" display="https://wa.me/6282160889408" xr:uid="{00000000-0004-0000-0000-000034060000}"/>
    <hyperlink ref="AA1573" r:id="rId1590" display="https://wa.me/6281213766426" xr:uid="{00000000-0004-0000-0000-000035060000}"/>
    <hyperlink ref="AA1574" r:id="rId1591" display="https://wa.me/6289529314651" xr:uid="{00000000-0004-0000-0000-000036060000}"/>
    <hyperlink ref="AA1575" r:id="rId1592" display="https://wa.me/6281938384000" xr:uid="{00000000-0004-0000-0000-000037060000}"/>
    <hyperlink ref="AA1576" r:id="rId1593" display="https://wa.me/6281316122975" xr:uid="{00000000-0004-0000-0000-000038060000}"/>
    <hyperlink ref="AA1577" r:id="rId1594" display="https://wa.me/6281222666815" xr:uid="{00000000-0004-0000-0000-000039060000}"/>
    <hyperlink ref="AA1578" r:id="rId1595" display="https://wa.me/6282384370009" xr:uid="{00000000-0004-0000-0000-00003A060000}"/>
    <hyperlink ref="AA1579" r:id="rId1596" display="https://wa.me/6282338171577" xr:uid="{00000000-0004-0000-0000-00003B060000}"/>
    <hyperlink ref="AA1580" r:id="rId1597" display="https://wa.me/6283188945188" xr:uid="{00000000-0004-0000-0000-00003C060000}"/>
    <hyperlink ref="AA1581" r:id="rId1598" display="https://wa.me/6282391199993" xr:uid="{00000000-0004-0000-0000-00003D060000}"/>
    <hyperlink ref="AA1582" r:id="rId1599" display="https://wa.me/6288983421843" xr:uid="{00000000-0004-0000-0000-00003E060000}"/>
    <hyperlink ref="AA1583" r:id="rId1600" display="https://wa.me/6282391199993" xr:uid="{00000000-0004-0000-0000-00003F060000}"/>
    <hyperlink ref="AA1584" r:id="rId1601" display="https://wa.me/6285925102815" xr:uid="{00000000-0004-0000-0000-000040060000}"/>
    <hyperlink ref="AA1585" r:id="rId1602" display="https://wa.me/6285750574301" xr:uid="{00000000-0004-0000-0000-000041060000}"/>
    <hyperlink ref="AA1586" r:id="rId1603" display="https://wa.me/6285695504319" xr:uid="{00000000-0004-0000-0000-000042060000}"/>
    <hyperlink ref="AA1587" r:id="rId1604" display="https://wa.me/6282311311119" xr:uid="{00000000-0004-0000-0000-000043060000}"/>
    <hyperlink ref="AA1588" r:id="rId1605" display="https://wa.me/6282234163461" xr:uid="{00000000-0004-0000-0000-000044060000}"/>
    <hyperlink ref="AA1589" r:id="rId1606" display="https://wa.me/628131383719" xr:uid="{00000000-0004-0000-0000-000045060000}"/>
    <hyperlink ref="AA1590" r:id="rId1607" display="https://wa.me/6281311045317" xr:uid="{00000000-0004-0000-0000-000046060000}"/>
    <hyperlink ref="AA1591" r:id="rId1608" display="https://wa.me/6285824373432" xr:uid="{00000000-0004-0000-0000-000047060000}"/>
    <hyperlink ref="AA1592" r:id="rId1609" display="https://wa.me/62882019221880" xr:uid="{00000000-0004-0000-0000-000048060000}"/>
    <hyperlink ref="AA1593" r:id="rId1610" display="https://wa.me/6287708424140" xr:uid="{00000000-0004-0000-0000-000049060000}"/>
    <hyperlink ref="AA1594" r:id="rId1611" display="https://wa.me/6289530316907" xr:uid="{00000000-0004-0000-0000-00004A060000}"/>
    <hyperlink ref="AA1595" r:id="rId1612" display="https://wa.me/628132117968" xr:uid="{00000000-0004-0000-0000-00004B060000}"/>
    <hyperlink ref="AA1596" r:id="rId1613" display="https://wa.me/6281331117198" xr:uid="{00000000-0004-0000-0000-00004C060000}"/>
    <hyperlink ref="AA1597" r:id="rId1614" display="https://wa.me/62074028372" xr:uid="{00000000-0004-0000-0000-00004D060000}"/>
    <hyperlink ref="AA1598" r:id="rId1615" display="https://wa.me/6282121160054" xr:uid="{00000000-0004-0000-0000-00004E060000}"/>
    <hyperlink ref="AA1599" r:id="rId1616" display="https://wa.me/6287896175092" xr:uid="{00000000-0004-0000-0000-00004F060000}"/>
    <hyperlink ref="AA1600" r:id="rId1617" display="https://wa.me/6281288965454" xr:uid="{00000000-0004-0000-0000-000050060000}"/>
    <hyperlink ref="AA1601" r:id="rId1618" display="https://wa.me/6282193076208" xr:uid="{00000000-0004-0000-0000-000051060000}"/>
    <hyperlink ref="AA1602" r:id="rId1619" display="https://wa.me/6282241377832" xr:uid="{00000000-0004-0000-0000-000052060000}"/>
    <hyperlink ref="AA1603" r:id="rId1620" display="https://wa.me/6281347069998" xr:uid="{00000000-0004-0000-0000-000053060000}"/>
    <hyperlink ref="AA1604" r:id="rId1621" display="https://wa.me/62887435792882" xr:uid="{00000000-0004-0000-0000-000054060000}"/>
    <hyperlink ref="AA1605" r:id="rId1622" display="https://wa.me/6281913223387" xr:uid="{00000000-0004-0000-0000-000055060000}"/>
    <hyperlink ref="AA1606" r:id="rId1623" display="https://wa.me/6282335993848" xr:uid="{00000000-0004-0000-0000-000056060000}"/>
    <hyperlink ref="AA1607" r:id="rId1624" display="https://wa.me/6282343826004" xr:uid="{00000000-0004-0000-0000-000057060000}"/>
    <hyperlink ref="AA1608" r:id="rId1625" display="https://wa.me/6285640688815" xr:uid="{00000000-0004-0000-0000-000058060000}"/>
    <hyperlink ref="AA1609" r:id="rId1626" display="https://wa.me/6282285691485" xr:uid="{00000000-0004-0000-0000-000059060000}"/>
    <hyperlink ref="AA1610" r:id="rId1627" display="https://wa.me/6285339145161" xr:uid="{00000000-0004-0000-0000-00005A060000}"/>
    <hyperlink ref="AA1611" r:id="rId1628" display="https://wa.me/6285725312977" xr:uid="{00000000-0004-0000-0000-00005B060000}"/>
    <hyperlink ref="AA1612" r:id="rId1629" display="https://wa.me/6282113490142" xr:uid="{00000000-0004-0000-0000-00005C060000}"/>
    <hyperlink ref="AA1613" r:id="rId1630" display="https://wa.me/6281548619752" xr:uid="{00000000-0004-0000-0000-00005D060000}"/>
    <hyperlink ref="AA1614" r:id="rId1631" display="https://wa.me/6287778844410" xr:uid="{00000000-0004-0000-0000-00005E060000}"/>
    <hyperlink ref="AA1615" r:id="rId1632" display="https://wa.me/6285849304643" xr:uid="{00000000-0004-0000-0000-00005F060000}"/>
    <hyperlink ref="AA1616" r:id="rId1633" display="https://wa.me/6285141325957" xr:uid="{00000000-0004-0000-0000-000060060000}"/>
    <hyperlink ref="AA1617" r:id="rId1634" display="https://wa.me/6281931902977" xr:uid="{00000000-0004-0000-0000-000061060000}"/>
    <hyperlink ref="AA1618" r:id="rId1635" display="https://wa.me/6285219420348" xr:uid="{00000000-0004-0000-0000-000062060000}"/>
    <hyperlink ref="AA1619" r:id="rId1636" display="https://wa.me/6285776131462" xr:uid="{00000000-0004-0000-0000-000063060000}"/>
    <hyperlink ref="AA1620" r:id="rId1637" display="https://wa.me/6282313901699" xr:uid="{00000000-0004-0000-0000-000064060000}"/>
    <hyperlink ref="AA1621" r:id="rId1638" display="https://wa.me/628122833297" xr:uid="{00000000-0004-0000-0000-000065060000}"/>
    <hyperlink ref="AA1622" r:id="rId1639" display="https://wa.me/6281908083633" xr:uid="{00000000-0004-0000-0000-000066060000}"/>
    <hyperlink ref="AA1623" r:id="rId1640" display="https://wa.me/6285185088849" xr:uid="{00000000-0004-0000-0000-000067060000}"/>
    <hyperlink ref="AA1624" r:id="rId1641" display="https://wa.me/6281282237855" xr:uid="{00000000-0004-0000-0000-000068060000}"/>
    <hyperlink ref="AA1625" r:id="rId1642" display="https://wa.me/6285720376378" xr:uid="{00000000-0004-0000-0000-000069060000}"/>
    <hyperlink ref="AA1626" r:id="rId1643" display="https://wa.me/6281228409107" xr:uid="{00000000-0004-0000-0000-00006A060000}"/>
    <hyperlink ref="AA1627" r:id="rId1644" display="https://wa.me/6282164558425" xr:uid="{00000000-0004-0000-0000-00006B060000}"/>
    <hyperlink ref="AA1628" r:id="rId1645" display="https://wa.me/6282399312016" xr:uid="{00000000-0004-0000-0000-00006C060000}"/>
    <hyperlink ref="AA1629" r:id="rId1646" display="https://wa.me/628133032755" xr:uid="{00000000-0004-0000-0000-00006D060000}"/>
    <hyperlink ref="AA1630" r:id="rId1647" display="https://wa.me/6282234857245" xr:uid="{00000000-0004-0000-0000-00006E060000}"/>
    <hyperlink ref="AA1631" r:id="rId1648" display="https://wa.me/6285730668168" xr:uid="{00000000-0004-0000-0000-00006F060000}"/>
    <hyperlink ref="AA1632" r:id="rId1649" display="https://wa.me/6285241716176" xr:uid="{00000000-0004-0000-0000-000070060000}"/>
    <hyperlink ref="AA1633" r:id="rId1650" display="https://wa.me/6285602235618" xr:uid="{00000000-0004-0000-0000-000071060000}"/>
    <hyperlink ref="AA1634" r:id="rId1651" display="https://wa.me/6281245194434" xr:uid="{00000000-0004-0000-0000-000072060000}"/>
    <hyperlink ref="AA1635" r:id="rId1652" display="https://wa.me/6282132423880" xr:uid="{00000000-0004-0000-0000-000073060000}"/>
    <hyperlink ref="AA1636" r:id="rId1653" display="https://wa.me/6285166449071" xr:uid="{00000000-0004-0000-0000-000074060000}"/>
    <hyperlink ref="AA1637" r:id="rId1654" display="https://wa.me/6285959674295" xr:uid="{00000000-0004-0000-0000-000075060000}"/>
    <hyperlink ref="AA1638" r:id="rId1655" display="https://wa.me/6282288320550" xr:uid="{00000000-0004-0000-0000-000076060000}"/>
    <hyperlink ref="AA1639" r:id="rId1656" display="https://wa.me/628132211405" xr:uid="{00000000-0004-0000-0000-000077060000}"/>
    <hyperlink ref="AA1640" r:id="rId1657" display="https://wa.me/6281386087555" xr:uid="{00000000-0004-0000-0000-000078060000}"/>
    <hyperlink ref="AA1641" r:id="rId1658" display="https://wa.me/6285640670857" xr:uid="{00000000-0004-0000-0000-000079060000}"/>
    <hyperlink ref="AA1642" r:id="rId1659" display="https://wa.me/6285954786519" xr:uid="{00000000-0004-0000-0000-00007A060000}"/>
    <hyperlink ref="AA1643" r:id="rId1660" display="https://wa.me/6285930018999" xr:uid="{00000000-0004-0000-0000-00007B060000}"/>
    <hyperlink ref="AA1644" r:id="rId1661" display="https://wa.me/6281945071777" xr:uid="{00000000-0004-0000-0000-00007C060000}"/>
    <hyperlink ref="AA1645" r:id="rId1662" display="https://wa.me/6282225601525" xr:uid="{00000000-0004-0000-0000-00007D060000}"/>
    <hyperlink ref="AA1646" r:id="rId1663" display="https://wa.me/6282112073155" xr:uid="{00000000-0004-0000-0000-00007E060000}"/>
    <hyperlink ref="AA1647" r:id="rId1664" display="https://wa.me/6282241377832" xr:uid="{00000000-0004-0000-0000-00007F060000}"/>
    <hyperlink ref="AA1648" r:id="rId1665" display="https://wa.me/6282333302435" xr:uid="{00000000-0004-0000-0000-000080060000}"/>
    <hyperlink ref="AA1649" r:id="rId1666" display="https://wa.me/6287762765927" xr:uid="{00000000-0004-0000-0000-000081060000}"/>
    <hyperlink ref="AA1650" r:id="rId1667" display="https://wa.me/6281328834878" xr:uid="{00000000-0004-0000-0000-000082060000}"/>
    <hyperlink ref="AA1651" r:id="rId1668" display="https://wa.me/6287719015093" xr:uid="{00000000-0004-0000-0000-000083060000}"/>
    <hyperlink ref="AA1652" r:id="rId1669" display="https://wa.me/6285212235687" xr:uid="{00000000-0004-0000-0000-000084060000}"/>
    <hyperlink ref="AA1653" r:id="rId1670" display="https://wa.me/6288239584588" xr:uid="{00000000-0004-0000-0000-000085060000}"/>
    <hyperlink ref="AA1654" r:id="rId1671" display="https://wa.me/6285291886699" xr:uid="{00000000-0004-0000-0000-000086060000}"/>
    <hyperlink ref="AA1655" r:id="rId1672" display="https://wa.me/628117108802" xr:uid="{00000000-0004-0000-0000-000087060000}"/>
    <hyperlink ref="AA1656" r:id="rId1673" display="https://wa.me/6285933260198" xr:uid="{00000000-0004-0000-0000-000088060000}"/>
    <hyperlink ref="AA1657" r:id="rId1674" display="https://wa.me/62817624685" xr:uid="{00000000-0004-0000-0000-000089060000}"/>
    <hyperlink ref="AA1658" r:id="rId1675" display="https://wa.me/6287848662692" xr:uid="{00000000-0004-0000-0000-00008A060000}"/>
    <hyperlink ref="AA1659" r:id="rId1676" display="https://wa.me/6285941336226" xr:uid="{00000000-0004-0000-0000-00008B060000}"/>
    <hyperlink ref="AA1660" r:id="rId1677" display="https://wa.me/6285927375989" xr:uid="{00000000-0004-0000-0000-00008C060000}"/>
    <hyperlink ref="AA1661" r:id="rId1678" display="https://wa.me/6281216650175" xr:uid="{00000000-0004-0000-0000-00008D060000}"/>
    <hyperlink ref="AA1662" r:id="rId1679" display="https://wa.me/6281332873809" xr:uid="{00000000-0004-0000-0000-00008E060000}"/>
    <hyperlink ref="AA1663" r:id="rId1680" display="https://wa.me/6285397034019" xr:uid="{00000000-0004-0000-0000-00008F060000}"/>
    <hyperlink ref="AA1664" r:id="rId1681" display="https://wa.me/6281222110766" xr:uid="{00000000-0004-0000-0000-000090060000}"/>
    <hyperlink ref="AA1665" r:id="rId1682" display="https://wa.me/6285722290661" xr:uid="{00000000-0004-0000-0000-000091060000}"/>
    <hyperlink ref="AA1666" r:id="rId1683" display="https://wa.me/62895351318400" xr:uid="{00000000-0004-0000-0000-000092060000}"/>
    <hyperlink ref="AA1667" r:id="rId1684" display="https://wa.me/6282261184459" xr:uid="{00000000-0004-0000-0000-000093060000}"/>
    <hyperlink ref="AA1668" r:id="rId1685" display="https://wa.me/6285361983960" xr:uid="{00000000-0004-0000-0000-000094060000}"/>
    <hyperlink ref="AA1669" r:id="rId1686" display="https://wa.me/6289618523308" xr:uid="{00000000-0004-0000-0000-000095060000}"/>
    <hyperlink ref="AA1670" r:id="rId1687" display="https://wa.me/6285642450197" xr:uid="{00000000-0004-0000-0000-000096060000}"/>
    <hyperlink ref="AA1671" r:id="rId1688" display="https://wa.me/6281337541776" xr:uid="{00000000-0004-0000-0000-000097060000}"/>
    <hyperlink ref="AA1672" r:id="rId1689" display="https://wa.me/6282343985114" xr:uid="{00000000-0004-0000-0000-000098060000}"/>
    <hyperlink ref="AA1673" r:id="rId1690" display="https://wa.me/6281277777325" xr:uid="{00000000-0004-0000-0000-000099060000}"/>
    <hyperlink ref="AA1674" r:id="rId1691" display="https://wa.me/6282173042032" xr:uid="{00000000-0004-0000-0000-00009A060000}"/>
    <hyperlink ref="AA1675" r:id="rId1692" display="https://wa.me/6285892656287" xr:uid="{00000000-0004-0000-0000-00009B060000}"/>
    <hyperlink ref="AA1676" r:id="rId1693" display="https://wa.me/6283856077914" xr:uid="{00000000-0004-0000-0000-00009C060000}"/>
    <hyperlink ref="AA1677" r:id="rId1694" display="https://wa.me/6285600287735" xr:uid="{00000000-0004-0000-0000-00009D060000}"/>
    <hyperlink ref="AA1678" r:id="rId1695" display="https://wa.me/6282286712200" xr:uid="{00000000-0004-0000-0000-00009E060000}"/>
    <hyperlink ref="AA1679" r:id="rId1696" display="https://wa.me/6287835601400" xr:uid="{00000000-0004-0000-0000-00009F060000}"/>
    <hyperlink ref="AA1680" r:id="rId1697" display="https://wa.me/6281340892328" xr:uid="{00000000-0004-0000-0000-0000A0060000}"/>
    <hyperlink ref="AA1681" r:id="rId1698" display="https://wa.me/6281260058715" xr:uid="{00000000-0004-0000-0000-0000A1060000}"/>
    <hyperlink ref="AA1682" r:id="rId1699" display="https://wa.me/6282190622077" xr:uid="{00000000-0004-0000-0000-0000A2060000}"/>
    <hyperlink ref="AA1683" r:id="rId1700" display="https://wa.me/62895603690686" xr:uid="{00000000-0004-0000-0000-0000A3060000}"/>
    <hyperlink ref="AA1684" r:id="rId1701" display="https://wa.me/6285241716176" xr:uid="{00000000-0004-0000-0000-0000A4060000}"/>
    <hyperlink ref="AA1685" r:id="rId1702" display="https://wa.me/6282147663578" xr:uid="{00000000-0004-0000-0000-0000A5060000}"/>
    <hyperlink ref="AA1686" r:id="rId1703" display="https://wa.me/6282298507962" xr:uid="{00000000-0004-0000-0000-0000A6060000}"/>
    <hyperlink ref="AA1687" r:id="rId1704" display="https://wa.me/6282159686991" xr:uid="{00000000-0004-0000-0000-0000A7060000}"/>
    <hyperlink ref="AA1688" r:id="rId1705" display="https://wa.me/6285242640112" xr:uid="{00000000-0004-0000-0000-0000A8060000}"/>
    <hyperlink ref="AA1689" r:id="rId1706" display="https://wa.me/6281390004341" xr:uid="{00000000-0004-0000-0000-0000A9060000}"/>
    <hyperlink ref="AA1690" r:id="rId1707" display="https://wa.me/628132699871" xr:uid="{00000000-0004-0000-0000-0000AA060000}"/>
    <hyperlink ref="AA1691" r:id="rId1708" display="https://wa.me/6281231954006" xr:uid="{00000000-0004-0000-0000-0000AB060000}"/>
    <hyperlink ref="AA1692" r:id="rId1709" display="https://wa.me/6285722290661" xr:uid="{00000000-0004-0000-0000-0000AC060000}"/>
    <hyperlink ref="AA1693" r:id="rId1710" display="https://wa.me/6287861389777" xr:uid="{00000000-0004-0000-0000-0000AD060000}"/>
    <hyperlink ref="AA1694" r:id="rId1711" display="https://wa.me/6281904501876" xr:uid="{00000000-0004-0000-0000-0000AE060000}"/>
    <hyperlink ref="AA1695" r:id="rId1712" display="https://wa.me/6281325505225" xr:uid="{00000000-0004-0000-0000-0000AF060000}"/>
    <hyperlink ref="AA1696" r:id="rId1713" display="https://wa.me/6285189067481" xr:uid="{00000000-0004-0000-0000-0000B0060000}"/>
    <hyperlink ref="AA1697" r:id="rId1714" display="https://wa.me/6282191641790" xr:uid="{00000000-0004-0000-0000-0000B1060000}"/>
    <hyperlink ref="AA1698" r:id="rId1715" display="https://wa.me/6287719015093" xr:uid="{00000000-0004-0000-0000-0000B2060000}"/>
    <hyperlink ref="AA1699" r:id="rId1716" display="https://wa.me/6281808700968" xr:uid="{00000000-0004-0000-0000-0000B3060000}"/>
    <hyperlink ref="AA1700" r:id="rId1717" display="https://wa.me/6287841350882" xr:uid="{00000000-0004-0000-0000-0000B4060000}"/>
    <hyperlink ref="AA1701" r:id="rId1718" display="https://wa.me/6285124176685" xr:uid="{00000000-0004-0000-0000-0000B5060000}"/>
    <hyperlink ref="AA1702" r:id="rId1719" display="https://wa.me/6287873636555" xr:uid="{00000000-0004-0000-0000-0000B6060000}"/>
    <hyperlink ref="AA1703" r:id="rId1720" display="https://wa.me/6282264571765" xr:uid="{00000000-0004-0000-0000-0000B7060000}"/>
    <hyperlink ref="AA1704" r:id="rId1721" display="https://wa.me/6287708424140" xr:uid="{00000000-0004-0000-0000-0000B8060000}"/>
    <hyperlink ref="AA1705" r:id="rId1722" display="https://wa.me/6282234857245" xr:uid="{00000000-0004-0000-0000-0000B9060000}"/>
    <hyperlink ref="AA1706" r:id="rId1723" display="https://wa.me/6285296244975" xr:uid="{00000000-0004-0000-0000-0000BA060000}"/>
    <hyperlink ref="AA1707" r:id="rId1724" display="https://wa.me/628133331583" xr:uid="{00000000-0004-0000-0000-0000BB060000}"/>
    <hyperlink ref="AA1708" r:id="rId1725" display="https://wa.me/6281385838481" xr:uid="{00000000-0004-0000-0000-0000BC060000}"/>
    <hyperlink ref="AA1709" r:id="rId1726" display="https://wa.me/6289648416177" xr:uid="{00000000-0004-0000-0000-0000BD060000}"/>
    <hyperlink ref="AA1710" r:id="rId1727" display="https://wa.me/6281990865975" xr:uid="{00000000-0004-0000-0000-0000BE060000}"/>
    <hyperlink ref="AA1711" r:id="rId1728" display="https://wa.me/6281277547708" xr:uid="{00000000-0004-0000-0000-0000BF060000}"/>
    <hyperlink ref="AA1712" r:id="rId1729" display="https://wa.me/628131428282" xr:uid="{00000000-0004-0000-0000-0000C0060000}"/>
    <hyperlink ref="AA1713" r:id="rId1730" display="https://wa.me/6281228061933" xr:uid="{00000000-0004-0000-0000-0000C1060000}"/>
    <hyperlink ref="AA1714" r:id="rId1731" display="https://wa.me/6287842727430" xr:uid="{00000000-0004-0000-0000-0000C2060000}"/>
    <hyperlink ref="AA1715" r:id="rId1732" display="https://wa.me/6287782749624" xr:uid="{00000000-0004-0000-0000-0000C3060000}"/>
    <hyperlink ref="AA1716" r:id="rId1733" display="https://wa.me/628562943274" xr:uid="{00000000-0004-0000-0000-0000C4060000}"/>
    <hyperlink ref="AA1717" r:id="rId1734" display="https://wa.me/6281323291817" xr:uid="{00000000-0004-0000-0000-0000C5060000}"/>
    <hyperlink ref="AA1718" r:id="rId1735" display="https://wa.me/6285242640112" xr:uid="{00000000-0004-0000-0000-0000C6060000}"/>
    <hyperlink ref="AA1719" r:id="rId1736" display="https://wa.me/6285888105671" xr:uid="{00000000-0004-0000-0000-0000C7060000}"/>
    <hyperlink ref="AA1720" r:id="rId1737" display="https://wa.me/6285871503571" xr:uid="{00000000-0004-0000-0000-0000C8060000}"/>
    <hyperlink ref="AA1721" r:id="rId1738" display="https://wa.me/6281515661112" xr:uid="{00000000-0004-0000-0000-0000C9060000}"/>
    <hyperlink ref="AA1722" r:id="rId1739" display="https://wa.me/62895326008269" xr:uid="{00000000-0004-0000-0000-0000CA060000}"/>
    <hyperlink ref="AA1723" r:id="rId1740" display="https://wa.me/620881010138777" xr:uid="{00000000-0004-0000-0000-0000CB060000}"/>
    <hyperlink ref="AA1724" r:id="rId1741" display="https://wa.me/628135084276" xr:uid="{00000000-0004-0000-0000-0000CC060000}"/>
    <hyperlink ref="AA1725" r:id="rId1742" display="https://wa.me/6282318574594" xr:uid="{00000000-0004-0000-0000-0000CD060000}"/>
    <hyperlink ref="AA1726" r:id="rId1743" display="https://wa.me/6287791212283" xr:uid="{00000000-0004-0000-0000-0000CE06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AccountId!$C$2:$C$5</xm:f>
          </x14:formula1>
          <xm:sqref>Y3:Y1726</xm:sqref>
        </x14:dataValidation>
        <x14:dataValidation type="list" allowBlank="1" showErrorMessage="1" xr:uid="{00000000-0002-0000-0000-000002000000}">
          <x14:formula1>
            <xm:f>Fanspage!$D$2:$D1726</xm:f>
          </x14:formula1>
          <xm:sqref>Z3:Z1726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7875"/>
  <sheetViews>
    <sheetView workbookViewId="0"/>
  </sheetViews>
  <sheetFormatPr defaultColWidth="12.5703125" defaultRowHeight="15.75" customHeight="1"/>
  <cols>
    <col min="1" max="1" width="17" customWidth="1"/>
  </cols>
  <sheetData>
    <row r="1" spans="1:2">
      <c r="A1" s="66">
        <v>45975.53352921296</v>
      </c>
      <c r="B1" s="49" t="s">
        <v>9071</v>
      </c>
    </row>
    <row r="2" spans="1:2">
      <c r="A2" s="66">
        <v>45975.533532650465</v>
      </c>
      <c r="B2" s="49" t="s">
        <v>9072</v>
      </c>
    </row>
    <row r="3" spans="1:2">
      <c r="A3" s="66">
        <v>45975.537099513887</v>
      </c>
      <c r="B3" s="49" t="s">
        <v>9071</v>
      </c>
    </row>
    <row r="4" spans="1:2">
      <c r="A4" s="66">
        <v>45975.537138865737</v>
      </c>
      <c r="B4" s="49" t="s">
        <v>9073</v>
      </c>
    </row>
    <row r="5" spans="1:2">
      <c r="A5" s="66">
        <v>45975.537144409725</v>
      </c>
      <c r="B5" s="49" t="s">
        <v>9074</v>
      </c>
    </row>
    <row r="6" spans="1:2">
      <c r="A6" s="66">
        <v>45975.537603460645</v>
      </c>
      <c r="B6" s="49" t="s">
        <v>9071</v>
      </c>
    </row>
    <row r="7" spans="1:2">
      <c r="A7" s="66">
        <v>45975.537631516199</v>
      </c>
      <c r="B7" s="49" t="s">
        <v>9073</v>
      </c>
    </row>
    <row r="8" spans="1:2">
      <c r="A8" s="66">
        <v>45975.537636840279</v>
      </c>
      <c r="B8" s="49" t="s">
        <v>9074</v>
      </c>
    </row>
    <row r="9" spans="1:2">
      <c r="A9" s="66">
        <v>45976.386979571762</v>
      </c>
      <c r="B9" s="49" t="s">
        <v>9075</v>
      </c>
    </row>
    <row r="10" spans="1:2">
      <c r="A10" s="66">
        <v>45976.388159467591</v>
      </c>
      <c r="B10" s="49"/>
    </row>
    <row r="11" spans="1:2">
      <c r="A11" s="66">
        <v>45976.388944849532</v>
      </c>
      <c r="B11" s="49"/>
    </row>
    <row r="12" spans="1:2">
      <c r="A12" s="66">
        <v>45976.389102546294</v>
      </c>
      <c r="B12" s="49"/>
    </row>
    <row r="13" spans="1:2">
      <c r="A13" s="66">
        <v>45976.389132094904</v>
      </c>
      <c r="B13" s="49"/>
    </row>
    <row r="14" spans="1:2">
      <c r="A14" s="66">
        <v>45976.397935381945</v>
      </c>
      <c r="B14" s="49"/>
    </row>
    <row r="15" spans="1:2">
      <c r="A15" s="66">
        <v>45976.406927199074</v>
      </c>
      <c r="B15" s="49"/>
    </row>
    <row r="16" spans="1:2">
      <c r="A16" s="66">
        <v>45976.415311655088</v>
      </c>
      <c r="B16" s="49"/>
    </row>
    <row r="17" spans="1:2">
      <c r="A17" s="66">
        <v>45976.421758819444</v>
      </c>
      <c r="B17" s="49"/>
    </row>
    <row r="18" spans="1:2">
      <c r="A18" s="66">
        <v>45976.465906527781</v>
      </c>
      <c r="B18" s="49" t="s">
        <v>9075</v>
      </c>
    </row>
    <row r="19" spans="1:2">
      <c r="A19" s="66">
        <v>45976.46760679398</v>
      </c>
      <c r="B19" s="49" t="s">
        <v>9076</v>
      </c>
    </row>
    <row r="20" spans="1:2">
      <c r="A20" s="66">
        <v>45976.467612511573</v>
      </c>
      <c r="B20" s="49" t="s">
        <v>9077</v>
      </c>
    </row>
    <row r="21" spans="1:2">
      <c r="A21" s="66">
        <v>45976.467627627309</v>
      </c>
      <c r="B21" s="49" t="s">
        <v>9078</v>
      </c>
    </row>
    <row r="22" spans="1:2">
      <c r="A22" s="66">
        <v>45976.467678298606</v>
      </c>
      <c r="B22" s="49" t="s">
        <v>9079</v>
      </c>
    </row>
    <row r="23" spans="1:2">
      <c r="A23" s="66">
        <v>45976.477851909724</v>
      </c>
      <c r="B23" s="49" t="s">
        <v>9080</v>
      </c>
    </row>
    <row r="24" spans="1:2">
      <c r="A24" s="66">
        <v>45976.477876643519</v>
      </c>
      <c r="B24" s="49" t="s">
        <v>9081</v>
      </c>
    </row>
    <row r="25" spans="1:2">
      <c r="A25" s="66">
        <v>45976.477882569445</v>
      </c>
      <c r="B25" s="49" t="s">
        <v>9078</v>
      </c>
    </row>
    <row r="26" spans="1:2">
      <c r="A26" s="66">
        <v>45976.477927025466</v>
      </c>
      <c r="B26" s="49" t="s">
        <v>9082</v>
      </c>
    </row>
    <row r="27" spans="1:2">
      <c r="A27" s="66">
        <v>45976.478337233799</v>
      </c>
      <c r="B27" s="49" t="s">
        <v>9083</v>
      </c>
    </row>
    <row r="28" spans="1:2">
      <c r="A28" s="66">
        <v>45976.47834076389</v>
      </c>
      <c r="B28" s="49" t="s">
        <v>9084</v>
      </c>
    </row>
    <row r="29" spans="1:2">
      <c r="A29" s="66">
        <v>45976.478345034717</v>
      </c>
      <c r="B29" s="49" t="s">
        <v>9078</v>
      </c>
    </row>
    <row r="30" spans="1:2">
      <c r="A30" s="66">
        <v>45976.478364583338</v>
      </c>
      <c r="B30" s="49" t="s">
        <v>9085</v>
      </c>
    </row>
    <row r="31" spans="1:2">
      <c r="A31" s="66">
        <v>45976.478532175926</v>
      </c>
      <c r="B31" s="49" t="s">
        <v>9086</v>
      </c>
    </row>
    <row r="32" spans="1:2">
      <c r="A32" s="66">
        <v>45976.47853832176</v>
      </c>
      <c r="B32" s="49" t="s">
        <v>9087</v>
      </c>
    </row>
    <row r="33" spans="1:2">
      <c r="A33" s="66">
        <v>45976.478544513884</v>
      </c>
      <c r="B33" s="49" t="s">
        <v>9078</v>
      </c>
    </row>
    <row r="34" spans="1:2">
      <c r="A34" s="66">
        <v>45976.47857658565</v>
      </c>
      <c r="B34" s="49" t="s">
        <v>9088</v>
      </c>
    </row>
    <row r="35" spans="1:2">
      <c r="A35" s="66">
        <v>45976.478765092594</v>
      </c>
      <c r="B35" s="49" t="s">
        <v>9089</v>
      </c>
    </row>
    <row r="36" spans="1:2">
      <c r="A36" s="66">
        <v>45976.478799236109</v>
      </c>
      <c r="B36" s="49" t="s">
        <v>9073</v>
      </c>
    </row>
    <row r="37" spans="1:2">
      <c r="A37" s="66">
        <v>45976.478806388885</v>
      </c>
      <c r="B37" s="49" t="s">
        <v>9074</v>
      </c>
    </row>
    <row r="38" spans="1:2">
      <c r="A38" s="66">
        <v>45976.552419780091</v>
      </c>
      <c r="B38" s="49" t="s">
        <v>9075</v>
      </c>
    </row>
    <row r="39" spans="1:2">
      <c r="A39" s="66">
        <v>45976.566275682868</v>
      </c>
      <c r="B39" s="49" t="s">
        <v>9090</v>
      </c>
    </row>
    <row r="40" spans="1:2">
      <c r="A40" s="66">
        <v>45976.566283055552</v>
      </c>
      <c r="B40" s="49" t="s">
        <v>9091</v>
      </c>
    </row>
    <row r="41" spans="1:2">
      <c r="A41" s="66">
        <v>45976.566287870373</v>
      </c>
      <c r="B41" s="49" t="s">
        <v>9078</v>
      </c>
    </row>
    <row r="42" spans="1:2">
      <c r="A42" s="66">
        <v>45976.566340011574</v>
      </c>
      <c r="B42" s="49" t="s">
        <v>9092</v>
      </c>
    </row>
    <row r="43" spans="1:2">
      <c r="A43" s="66">
        <v>45976.566933437498</v>
      </c>
      <c r="B43" s="49" t="s">
        <v>9093</v>
      </c>
    </row>
    <row r="44" spans="1:2">
      <c r="A44" s="66">
        <v>45976.566947418978</v>
      </c>
      <c r="B44" s="49" t="s">
        <v>9094</v>
      </c>
    </row>
    <row r="45" spans="1:2">
      <c r="A45" s="66">
        <v>45976.566960787037</v>
      </c>
      <c r="B45" s="49" t="s">
        <v>9078</v>
      </c>
    </row>
    <row r="46" spans="1:2">
      <c r="A46" s="66">
        <v>45976.566986701393</v>
      </c>
      <c r="B46" s="49" t="s">
        <v>9095</v>
      </c>
    </row>
    <row r="47" spans="1:2">
      <c r="A47" s="66">
        <v>45976.567029745369</v>
      </c>
      <c r="B47" s="49" t="s">
        <v>9096</v>
      </c>
    </row>
    <row r="48" spans="1:2">
      <c r="A48" s="66">
        <v>45976.568774467596</v>
      </c>
      <c r="B48" s="49" t="s">
        <v>9097</v>
      </c>
    </row>
    <row r="49" spans="1:2">
      <c r="A49" s="66">
        <v>45976.568781944443</v>
      </c>
      <c r="B49" s="49" t="s">
        <v>9098</v>
      </c>
    </row>
    <row r="50" spans="1:2">
      <c r="A50" s="66">
        <v>45976.56879568287</v>
      </c>
      <c r="B50" s="49" t="s">
        <v>9078</v>
      </c>
    </row>
    <row r="51" spans="1:2">
      <c r="A51" s="66">
        <v>45976.568827499999</v>
      </c>
      <c r="B51" s="49" t="s">
        <v>9099</v>
      </c>
    </row>
    <row r="52" spans="1:2">
      <c r="A52" s="66">
        <v>45976.590183402775</v>
      </c>
      <c r="B52" s="49" t="s">
        <v>9100</v>
      </c>
    </row>
    <row r="53" spans="1:2">
      <c r="A53" s="66">
        <v>45976.590199965278</v>
      </c>
      <c r="B53" s="49" t="s">
        <v>9094</v>
      </c>
    </row>
    <row r="54" spans="1:2">
      <c r="A54" s="66">
        <v>45976.590222256942</v>
      </c>
      <c r="B54" s="49" t="s">
        <v>9078</v>
      </c>
    </row>
    <row r="55" spans="1:2">
      <c r="A55" s="66">
        <v>45976.590276527779</v>
      </c>
      <c r="B55" s="49" t="s">
        <v>9101</v>
      </c>
    </row>
    <row r="56" spans="1:2">
      <c r="A56" s="66">
        <v>45976.61684707176</v>
      </c>
      <c r="B56" s="49" t="s">
        <v>9102</v>
      </c>
    </row>
    <row r="57" spans="1:2">
      <c r="A57" s="66">
        <v>45976.616871099541</v>
      </c>
      <c r="B57" s="49" t="s">
        <v>9078</v>
      </c>
    </row>
    <row r="58" spans="1:2">
      <c r="A58" s="66">
        <v>45976.753042141208</v>
      </c>
      <c r="B58" s="49" t="s">
        <v>9103</v>
      </c>
    </row>
    <row r="59" spans="1:2">
      <c r="A59" s="66">
        <v>45976.753050381943</v>
      </c>
      <c r="B59" s="49" t="s">
        <v>9078</v>
      </c>
    </row>
    <row r="60" spans="1:2">
      <c r="A60" s="66">
        <v>45976.803196770838</v>
      </c>
      <c r="B60" s="49" t="s">
        <v>9104</v>
      </c>
    </row>
    <row r="61" spans="1:2">
      <c r="A61" s="66">
        <v>45976.803202453702</v>
      </c>
      <c r="B61" s="49" t="s">
        <v>9078</v>
      </c>
    </row>
    <row r="62" spans="1:2">
      <c r="A62" s="66">
        <v>45976.803861284723</v>
      </c>
      <c r="B62" s="49" t="s">
        <v>9105</v>
      </c>
    </row>
    <row r="63" spans="1:2">
      <c r="A63" s="66">
        <v>45976.803866574075</v>
      </c>
      <c r="B63" s="49" t="s">
        <v>9104</v>
      </c>
    </row>
    <row r="64" spans="1:2">
      <c r="A64" s="66">
        <v>45976.803872974539</v>
      </c>
      <c r="B64" s="49" t="s">
        <v>9078</v>
      </c>
    </row>
    <row r="65" spans="1:2">
      <c r="A65" s="66">
        <v>45976.803897418984</v>
      </c>
      <c r="B65" s="49" t="s">
        <v>9106</v>
      </c>
    </row>
    <row r="66" spans="1:2">
      <c r="A66" s="66">
        <v>45977.230945925927</v>
      </c>
      <c r="B66" s="49"/>
    </row>
    <row r="67" spans="1:2">
      <c r="A67" s="66">
        <v>45977.231184374999</v>
      </c>
      <c r="B67" s="49"/>
    </row>
    <row r="68" spans="1:2">
      <c r="A68" s="66">
        <v>45977.23156774306</v>
      </c>
      <c r="B68" s="49"/>
    </row>
    <row r="69" spans="1:2">
      <c r="A69" s="66">
        <v>45977.231784861113</v>
      </c>
      <c r="B69" s="49"/>
    </row>
    <row r="70" spans="1:2">
      <c r="A70" s="66">
        <v>45977.239552361112</v>
      </c>
      <c r="B70" s="49"/>
    </row>
    <row r="71" spans="1:2">
      <c r="A71" s="66">
        <v>45977.245492314818</v>
      </c>
      <c r="B71" s="49"/>
    </row>
    <row r="72" spans="1:2">
      <c r="A72" s="66">
        <v>45977.251879652773</v>
      </c>
      <c r="B72" s="49"/>
    </row>
    <row r="73" spans="1:2">
      <c r="A73" s="66">
        <v>45977.257673726854</v>
      </c>
      <c r="B73" s="49"/>
    </row>
    <row r="74" spans="1:2">
      <c r="A74" s="66">
        <v>45977.290643842593</v>
      </c>
      <c r="B74" s="49" t="s">
        <v>9107</v>
      </c>
    </row>
    <row r="75" spans="1:2">
      <c r="A75" s="66">
        <v>45977.290693726856</v>
      </c>
      <c r="B75" s="49" t="s">
        <v>9073</v>
      </c>
    </row>
    <row r="76" spans="1:2">
      <c r="A76" s="66">
        <v>45977.290700439815</v>
      </c>
      <c r="B76" s="49" t="s">
        <v>9074</v>
      </c>
    </row>
    <row r="77" spans="1:2">
      <c r="A77" s="66">
        <v>45978.232350694445</v>
      </c>
      <c r="B77" s="49" t="s">
        <v>9108</v>
      </c>
    </row>
    <row r="78" spans="1:2">
      <c r="A78" s="66">
        <v>45978.23235716435</v>
      </c>
      <c r="B78" s="49" t="s">
        <v>9109</v>
      </c>
    </row>
    <row r="79" spans="1:2">
      <c r="A79" s="66">
        <v>45978.232384999996</v>
      </c>
      <c r="B79" s="49" t="s">
        <v>9078</v>
      </c>
    </row>
    <row r="80" spans="1:2">
      <c r="A80" s="66">
        <v>45978.232444884256</v>
      </c>
      <c r="B80" s="49" t="s">
        <v>9110</v>
      </c>
    </row>
    <row r="81" spans="1:2">
      <c r="A81" s="66">
        <v>45978.232645671298</v>
      </c>
      <c r="B81" s="49" t="s">
        <v>9111</v>
      </c>
    </row>
    <row r="82" spans="1:2">
      <c r="A82" s="66">
        <v>45978.232651273152</v>
      </c>
      <c r="B82" s="49" t="s">
        <v>9112</v>
      </c>
    </row>
    <row r="83" spans="1:2">
      <c r="A83" s="66">
        <v>45978.232655474538</v>
      </c>
      <c r="B83" s="49" t="s">
        <v>9078</v>
      </c>
    </row>
    <row r="84" spans="1:2">
      <c r="A84" s="66">
        <v>45978.232690486111</v>
      </c>
      <c r="B84" s="49" t="s">
        <v>9113</v>
      </c>
    </row>
    <row r="85" spans="1:2">
      <c r="A85" s="66">
        <v>45978.232803298612</v>
      </c>
      <c r="B85" s="49" t="s">
        <v>9114</v>
      </c>
    </row>
    <row r="86" spans="1:2">
      <c r="A86" s="66">
        <v>45978.23280810185</v>
      </c>
      <c r="B86" s="49" t="s">
        <v>9115</v>
      </c>
    </row>
    <row r="87" spans="1:2">
      <c r="A87" s="66">
        <v>45978.232812893519</v>
      </c>
      <c r="B87" s="49" t="s">
        <v>9078</v>
      </c>
    </row>
    <row r="88" spans="1:2">
      <c r="A88" s="66">
        <v>45978.232839976852</v>
      </c>
      <c r="B88" s="49" t="s">
        <v>9116</v>
      </c>
    </row>
    <row r="89" spans="1:2">
      <c r="A89" s="66">
        <v>45978.23616414352</v>
      </c>
      <c r="B89" s="49" t="s">
        <v>9117</v>
      </c>
    </row>
    <row r="90" spans="1:2">
      <c r="A90" s="66">
        <v>45978.236203067128</v>
      </c>
      <c r="B90" s="49" t="s">
        <v>9073</v>
      </c>
    </row>
    <row r="91" spans="1:2">
      <c r="A91" s="66">
        <v>45978.236209537034</v>
      </c>
      <c r="B91" s="49" t="s">
        <v>9074</v>
      </c>
    </row>
    <row r="92" spans="1:2">
      <c r="A92" s="66">
        <v>45978.2414894213</v>
      </c>
      <c r="B92" s="49" t="s">
        <v>9118</v>
      </c>
    </row>
    <row r="93" spans="1:2">
      <c r="A93" s="66">
        <v>45978.241497048613</v>
      </c>
      <c r="B93" s="49" t="s">
        <v>9119</v>
      </c>
    </row>
    <row r="94" spans="1:2">
      <c r="A94" s="66">
        <v>45978.241518449075</v>
      </c>
      <c r="B94" s="49" t="s">
        <v>9078</v>
      </c>
    </row>
    <row r="95" spans="1:2">
      <c r="A95" s="66">
        <v>45978.24155446759</v>
      </c>
      <c r="B95" s="49" t="s">
        <v>9120</v>
      </c>
    </row>
    <row r="96" spans="1:2">
      <c r="A96" s="66">
        <v>45978.244827418981</v>
      </c>
      <c r="B96" s="49" t="s">
        <v>9121</v>
      </c>
    </row>
    <row r="97" spans="1:2">
      <c r="A97" s="66">
        <v>45978.244854837962</v>
      </c>
      <c r="B97" s="49" t="s">
        <v>9073</v>
      </c>
    </row>
    <row r="98" spans="1:2">
      <c r="A98" s="66">
        <v>45978.244861203704</v>
      </c>
      <c r="B98" s="49" t="s">
        <v>9074</v>
      </c>
    </row>
    <row r="99" spans="1:2">
      <c r="A99" s="66">
        <v>45978.363616967588</v>
      </c>
      <c r="B99" s="49"/>
    </row>
    <row r="100" spans="1:2">
      <c r="A100" s="66">
        <v>45978.363667013888</v>
      </c>
      <c r="B100" s="49"/>
    </row>
    <row r="101" spans="1:2">
      <c r="A101" s="66">
        <v>45978.363691215272</v>
      </c>
      <c r="B101" s="49"/>
    </row>
    <row r="102" spans="1:2">
      <c r="A102" s="66">
        <v>45978.363743541668</v>
      </c>
      <c r="B102" s="49"/>
    </row>
    <row r="103" spans="1:2">
      <c r="A103" s="66">
        <v>45978.363783981476</v>
      </c>
      <c r="B103" s="49"/>
    </row>
    <row r="104" spans="1:2">
      <c r="A104" s="66">
        <v>45978.363826967594</v>
      </c>
      <c r="B104" s="49"/>
    </row>
    <row r="105" spans="1:2">
      <c r="A105" s="66">
        <v>45978.363834317133</v>
      </c>
      <c r="B105" s="49"/>
    </row>
    <row r="106" spans="1:2">
      <c r="A106" s="66">
        <v>45978.630298715274</v>
      </c>
      <c r="B106" s="49" t="s">
        <v>9122</v>
      </c>
    </row>
    <row r="107" spans="1:2">
      <c r="A107" s="66">
        <v>45978.630341875003</v>
      </c>
      <c r="B107" s="49" t="s">
        <v>9073</v>
      </c>
    </row>
    <row r="108" spans="1:2">
      <c r="A108" s="66">
        <v>45978.630347199069</v>
      </c>
      <c r="B108" s="49" t="s">
        <v>9074</v>
      </c>
    </row>
    <row r="109" spans="1:2">
      <c r="A109" s="66">
        <v>45978.632039884258</v>
      </c>
      <c r="B109" s="49" t="s">
        <v>9123</v>
      </c>
    </row>
    <row r="110" spans="1:2">
      <c r="A110" s="66">
        <v>45978.632045092592</v>
      </c>
      <c r="B110" s="49" t="s">
        <v>9124</v>
      </c>
    </row>
    <row r="111" spans="1:2">
      <c r="A111" s="66">
        <v>45978.632055902781</v>
      </c>
      <c r="B111" s="49" t="s">
        <v>9078</v>
      </c>
    </row>
    <row r="112" spans="1:2">
      <c r="A112" s="66">
        <v>45978.632106446763</v>
      </c>
      <c r="B112" s="49" t="s">
        <v>9125</v>
      </c>
    </row>
    <row r="113" spans="1:2">
      <c r="A113" s="66">
        <v>45978.632238113423</v>
      </c>
      <c r="B113" s="49" t="s">
        <v>9126</v>
      </c>
    </row>
    <row r="114" spans="1:2">
      <c r="A114" s="66">
        <v>45978.632243009255</v>
      </c>
      <c r="B114" s="49" t="s">
        <v>9127</v>
      </c>
    </row>
    <row r="115" spans="1:2">
      <c r="A115" s="66">
        <v>45978.63224806713</v>
      </c>
      <c r="B115" s="49" t="s">
        <v>9078</v>
      </c>
    </row>
    <row r="116" spans="1:2">
      <c r="A116" s="66">
        <v>45978.632278888894</v>
      </c>
      <c r="B116" s="49" t="s">
        <v>9128</v>
      </c>
    </row>
    <row r="117" spans="1:2">
      <c r="A117" s="66">
        <v>45978.67824454861</v>
      </c>
      <c r="B117" s="49" t="s">
        <v>9129</v>
      </c>
    </row>
    <row r="118" spans="1:2">
      <c r="A118" s="66">
        <v>45978.678252557875</v>
      </c>
      <c r="B118" s="49" t="s">
        <v>9130</v>
      </c>
    </row>
    <row r="119" spans="1:2">
      <c r="A119" s="66">
        <v>45978.678271018522</v>
      </c>
      <c r="B119" s="49" t="s">
        <v>9078</v>
      </c>
    </row>
    <row r="120" spans="1:2">
      <c r="A120" s="66">
        <v>45978.67831638889</v>
      </c>
      <c r="B120" s="49" t="s">
        <v>9131</v>
      </c>
    </row>
    <row r="121" spans="1:2">
      <c r="A121" s="66">
        <v>45978.680377662036</v>
      </c>
      <c r="B121" s="49" t="s">
        <v>9132</v>
      </c>
    </row>
    <row r="122" spans="1:2">
      <c r="A122" s="66">
        <v>45978.680410659726</v>
      </c>
      <c r="B122" s="49" t="s">
        <v>9073</v>
      </c>
    </row>
    <row r="123" spans="1:2">
      <c r="A123" s="66">
        <v>45978.680418032411</v>
      </c>
      <c r="B123" s="49" t="s">
        <v>9074</v>
      </c>
    </row>
    <row r="124" spans="1:2">
      <c r="A124" s="66">
        <v>45978.682344351851</v>
      </c>
      <c r="B124" s="49" t="s">
        <v>9075</v>
      </c>
    </row>
    <row r="125" spans="1:2">
      <c r="A125" s="66">
        <v>45978.682697060183</v>
      </c>
      <c r="B125" s="49" t="s">
        <v>9133</v>
      </c>
    </row>
    <row r="126" spans="1:2">
      <c r="A126" s="66">
        <v>45978.682702719903</v>
      </c>
      <c r="B126" s="49" t="s">
        <v>9134</v>
      </c>
    </row>
    <row r="127" spans="1:2">
      <c r="A127" s="66">
        <v>45978.682711388887</v>
      </c>
      <c r="B127" s="49" t="s">
        <v>9078</v>
      </c>
    </row>
    <row r="128" spans="1:2">
      <c r="A128" s="66">
        <v>45978.682744270831</v>
      </c>
      <c r="B128" s="49" t="s">
        <v>9135</v>
      </c>
    </row>
    <row r="129" spans="1:2">
      <c r="A129" s="66">
        <v>45978.683018703705</v>
      </c>
      <c r="B129" s="49" t="s">
        <v>9136</v>
      </c>
    </row>
    <row r="130" spans="1:2">
      <c r="A130" s="66">
        <v>45978.683051527776</v>
      </c>
      <c r="B130" s="49" t="s">
        <v>9073</v>
      </c>
    </row>
    <row r="131" spans="1:2">
      <c r="A131" s="66">
        <v>45978.683056574075</v>
      </c>
      <c r="B131" s="49" t="s">
        <v>9074</v>
      </c>
    </row>
    <row r="132" spans="1:2">
      <c r="A132" s="66">
        <v>45978.683227037036</v>
      </c>
      <c r="B132" s="49" t="s">
        <v>9137</v>
      </c>
    </row>
    <row r="133" spans="1:2">
      <c r="A133" s="66">
        <v>45978.683231296294</v>
      </c>
      <c r="B133" s="49" t="s">
        <v>9138</v>
      </c>
    </row>
    <row r="134" spans="1:2">
      <c r="A134" s="66">
        <v>45978.683236469908</v>
      </c>
      <c r="B134" s="49" t="s">
        <v>9078</v>
      </c>
    </row>
    <row r="135" spans="1:2">
      <c r="A135" s="66">
        <v>45978.683265844906</v>
      </c>
      <c r="B135" s="49" t="s">
        <v>9139</v>
      </c>
    </row>
    <row r="136" spans="1:2">
      <c r="A136" s="66">
        <v>45978.68345251157</v>
      </c>
      <c r="B136" s="49" t="s">
        <v>9140</v>
      </c>
    </row>
    <row r="137" spans="1:2">
      <c r="A137" s="66">
        <v>45978.683456828701</v>
      </c>
      <c r="B137" s="49" t="s">
        <v>9141</v>
      </c>
    </row>
    <row r="138" spans="1:2">
      <c r="A138" s="66">
        <v>45978.68346237269</v>
      </c>
      <c r="B138" s="49" t="s">
        <v>9078</v>
      </c>
    </row>
    <row r="139" spans="1:2">
      <c r="A139" s="66">
        <v>45978.68348876157</v>
      </c>
      <c r="B139" s="49" t="s">
        <v>9142</v>
      </c>
    </row>
    <row r="140" spans="1:2">
      <c r="A140" s="66">
        <v>45978.684964456013</v>
      </c>
      <c r="B140" s="49" t="s">
        <v>9075</v>
      </c>
    </row>
    <row r="141" spans="1:2">
      <c r="A141" s="66">
        <v>45978.686116990742</v>
      </c>
      <c r="B141" s="49" t="s">
        <v>9143</v>
      </c>
    </row>
    <row r="142" spans="1:2">
      <c r="A142" s="66">
        <v>45978.687135219909</v>
      </c>
      <c r="B142" s="49" t="s">
        <v>9144</v>
      </c>
    </row>
    <row r="143" spans="1:2">
      <c r="A143" s="66">
        <v>45978.687141342598</v>
      </c>
      <c r="B143" s="49" t="s">
        <v>9081</v>
      </c>
    </row>
    <row r="144" spans="1:2">
      <c r="A144" s="66">
        <v>45978.687146597222</v>
      </c>
      <c r="B144" s="49" t="s">
        <v>9078</v>
      </c>
    </row>
    <row r="145" spans="1:2">
      <c r="A145" s="66">
        <v>45978.687183136572</v>
      </c>
      <c r="B145" s="49" t="s">
        <v>9145</v>
      </c>
    </row>
    <row r="146" spans="1:2">
      <c r="A146" s="66">
        <v>45978.691941273151</v>
      </c>
      <c r="B146" s="49" t="s">
        <v>9146</v>
      </c>
    </row>
    <row r="147" spans="1:2">
      <c r="A147" s="66">
        <v>45978.703429780093</v>
      </c>
      <c r="B147" s="49" t="s">
        <v>9147</v>
      </c>
    </row>
    <row r="148" spans="1:2">
      <c r="A148" s="66">
        <v>45978.705073703706</v>
      </c>
      <c r="B148" s="49" t="s">
        <v>9148</v>
      </c>
    </row>
    <row r="149" spans="1:2">
      <c r="A149" s="66">
        <v>45978.705079884261</v>
      </c>
      <c r="B149" s="49" t="s">
        <v>9149</v>
      </c>
    </row>
    <row r="150" spans="1:2">
      <c r="A150" s="66">
        <v>45978.705140902777</v>
      </c>
      <c r="B150" s="49" t="s">
        <v>9148</v>
      </c>
    </row>
    <row r="151" spans="1:2">
      <c r="A151" s="66">
        <v>45978.711235694442</v>
      </c>
      <c r="B151" s="49" t="s">
        <v>9148</v>
      </c>
    </row>
    <row r="152" spans="1:2">
      <c r="A152" s="66">
        <v>45978.712479016205</v>
      </c>
      <c r="B152" s="49" t="s">
        <v>9148</v>
      </c>
    </row>
    <row r="153" spans="1:2">
      <c r="A153" s="66">
        <v>45978.712486064818</v>
      </c>
      <c r="B153" s="49" t="s">
        <v>9149</v>
      </c>
    </row>
    <row r="154" spans="1:2">
      <c r="A154" s="66">
        <v>45978.71250991898</v>
      </c>
      <c r="B154" s="49" t="s">
        <v>9148</v>
      </c>
    </row>
    <row r="155" spans="1:2">
      <c r="A155" s="66">
        <v>45978.712513958337</v>
      </c>
      <c r="B155" s="49" t="s">
        <v>9149</v>
      </c>
    </row>
    <row r="156" spans="1:2">
      <c r="A156" s="66">
        <v>45978.712536018516</v>
      </c>
      <c r="B156" s="49" t="s">
        <v>9148</v>
      </c>
    </row>
    <row r="157" spans="1:2">
      <c r="A157" s="66">
        <v>45978.712539363427</v>
      </c>
      <c r="B157" s="49" t="s">
        <v>9148</v>
      </c>
    </row>
    <row r="158" spans="1:2">
      <c r="A158" s="66">
        <v>45978.712543715279</v>
      </c>
      <c r="B158" s="49" t="s">
        <v>9150</v>
      </c>
    </row>
    <row r="159" spans="1:2">
      <c r="A159" s="66">
        <v>45978.712842835652</v>
      </c>
      <c r="B159" s="49" t="s">
        <v>9151</v>
      </c>
    </row>
    <row r="160" spans="1:2">
      <c r="A160" s="66">
        <v>45978.712847314819</v>
      </c>
      <c r="B160" s="49" t="s">
        <v>9130</v>
      </c>
    </row>
    <row r="161" spans="1:2">
      <c r="A161" s="66">
        <v>45978.712852384255</v>
      </c>
      <c r="B161" s="49" t="s">
        <v>9078</v>
      </c>
    </row>
    <row r="162" spans="1:2">
      <c r="A162" s="66">
        <v>45978.712915520839</v>
      </c>
      <c r="B162" s="49" t="s">
        <v>9152</v>
      </c>
    </row>
    <row r="163" spans="1:2">
      <c r="A163" s="66">
        <v>45978.716286145835</v>
      </c>
      <c r="B163" s="49" t="s">
        <v>9153</v>
      </c>
    </row>
    <row r="164" spans="1:2">
      <c r="A164" s="66">
        <v>45978.716289490738</v>
      </c>
      <c r="B164" s="49" t="s">
        <v>9153</v>
      </c>
    </row>
    <row r="165" spans="1:2">
      <c r="A165" s="66">
        <v>45978.723891574075</v>
      </c>
      <c r="B165" s="49" t="s">
        <v>9122</v>
      </c>
    </row>
    <row r="166" spans="1:2">
      <c r="A166" s="66">
        <v>45978.72393738426</v>
      </c>
      <c r="B166" s="49" t="s">
        <v>9073</v>
      </c>
    </row>
    <row r="167" spans="1:2">
      <c r="A167" s="66">
        <v>45978.723942326389</v>
      </c>
      <c r="B167" s="49" t="s">
        <v>9074</v>
      </c>
    </row>
    <row r="168" spans="1:2">
      <c r="A168" s="66">
        <v>45978.745119432875</v>
      </c>
      <c r="B168" s="49" t="s">
        <v>9118</v>
      </c>
    </row>
    <row r="169" spans="1:2">
      <c r="A169" s="66">
        <v>45978.745125324072</v>
      </c>
      <c r="B169" s="49" t="s">
        <v>9119</v>
      </c>
    </row>
    <row r="170" spans="1:2">
      <c r="A170" s="66">
        <v>45978.745153356482</v>
      </c>
      <c r="B170" s="49" t="s">
        <v>9078</v>
      </c>
    </row>
    <row r="171" spans="1:2">
      <c r="A171" s="66">
        <v>45978.745208229171</v>
      </c>
      <c r="B171" s="49" t="s">
        <v>9152</v>
      </c>
    </row>
    <row r="172" spans="1:2">
      <c r="A172" s="66">
        <v>45978.745415567129</v>
      </c>
      <c r="B172" s="49" t="s">
        <v>9154</v>
      </c>
    </row>
    <row r="173" spans="1:2">
      <c r="A173" s="66">
        <v>45978.745419664352</v>
      </c>
      <c r="B173" s="49" t="s">
        <v>9119</v>
      </c>
    </row>
    <row r="174" spans="1:2">
      <c r="A174" s="66">
        <v>45978.745424629626</v>
      </c>
      <c r="B174" s="49" t="s">
        <v>9078</v>
      </c>
    </row>
    <row r="175" spans="1:2">
      <c r="A175" s="66">
        <v>45978.745447210647</v>
      </c>
      <c r="B175" s="49" t="s">
        <v>9155</v>
      </c>
    </row>
    <row r="176" spans="1:2">
      <c r="A176" s="66">
        <v>45978.785555416667</v>
      </c>
      <c r="B176" s="49" t="s">
        <v>9156</v>
      </c>
    </row>
    <row r="177" spans="1:2">
      <c r="A177" s="66">
        <v>45978.785564328704</v>
      </c>
      <c r="B177" s="49" t="s">
        <v>9157</v>
      </c>
    </row>
    <row r="178" spans="1:2">
      <c r="A178" s="66">
        <v>45978.785587766208</v>
      </c>
      <c r="B178" s="49" t="s">
        <v>9078</v>
      </c>
    </row>
    <row r="179" spans="1:2">
      <c r="A179" s="66">
        <v>45978.785632835643</v>
      </c>
      <c r="B179" s="49" t="s">
        <v>9158</v>
      </c>
    </row>
    <row r="180" spans="1:2">
      <c r="A180" s="66">
        <v>45979.002031921293</v>
      </c>
      <c r="B180" s="49"/>
    </row>
    <row r="181" spans="1:2">
      <c r="A181" s="66">
        <v>45979.002473784727</v>
      </c>
      <c r="B181" s="49"/>
    </row>
    <row r="182" spans="1:2">
      <c r="A182" s="66">
        <v>45979.00281189815</v>
      </c>
      <c r="B182" s="49"/>
    </row>
    <row r="183" spans="1:2">
      <c r="A183" s="66">
        <v>45979.003032395834</v>
      </c>
      <c r="B183" s="49"/>
    </row>
    <row r="184" spans="1:2">
      <c r="A184" s="66">
        <v>45979.003376365741</v>
      </c>
      <c r="B184" s="49"/>
    </row>
    <row r="185" spans="1:2">
      <c r="A185" s="66">
        <v>45979.003653391206</v>
      </c>
      <c r="B185" s="49"/>
    </row>
    <row r="186" spans="1:2">
      <c r="A186" s="66">
        <v>45979.003885891201</v>
      </c>
      <c r="B186" s="49"/>
    </row>
    <row r="187" spans="1:2">
      <c r="A187" s="66">
        <v>45979.139752905088</v>
      </c>
      <c r="B187" s="49" t="s">
        <v>9153</v>
      </c>
    </row>
    <row r="188" spans="1:2">
      <c r="A188" s="66">
        <v>45979.139775925927</v>
      </c>
      <c r="B188" s="49" t="s">
        <v>9153</v>
      </c>
    </row>
    <row r="189" spans="1:2">
      <c r="A189" s="66">
        <v>45979.141108078707</v>
      </c>
      <c r="B189" s="49" t="s">
        <v>9159</v>
      </c>
    </row>
    <row r="190" spans="1:2">
      <c r="A190" s="66">
        <v>45979.141123020832</v>
      </c>
      <c r="B190" s="49" t="s">
        <v>9119</v>
      </c>
    </row>
    <row r="191" spans="1:2">
      <c r="A191" s="66">
        <v>45979.14112936343</v>
      </c>
      <c r="B191" s="49" t="s">
        <v>9078</v>
      </c>
    </row>
    <row r="192" spans="1:2">
      <c r="A192" s="66">
        <v>45979.141178865742</v>
      </c>
      <c r="B192" s="49" t="s">
        <v>9158</v>
      </c>
    </row>
    <row r="193" spans="1:2">
      <c r="A193" s="66">
        <v>45979.143127210649</v>
      </c>
      <c r="B193" s="49" t="s">
        <v>9160</v>
      </c>
    </row>
    <row r="194" spans="1:2">
      <c r="A194" s="66">
        <v>45979.143133726851</v>
      </c>
      <c r="B194" s="49" t="s">
        <v>9161</v>
      </c>
    </row>
    <row r="195" spans="1:2">
      <c r="A195" s="66">
        <v>45979.143150208329</v>
      </c>
      <c r="B195" s="49" t="s">
        <v>9078</v>
      </c>
    </row>
    <row r="196" spans="1:2">
      <c r="A196" s="66">
        <v>45979.143189837967</v>
      </c>
      <c r="B196" s="49" t="s">
        <v>9162</v>
      </c>
    </row>
    <row r="197" spans="1:2">
      <c r="A197" s="66">
        <v>45979.143601990741</v>
      </c>
      <c r="B197" s="49" t="s">
        <v>9163</v>
      </c>
    </row>
    <row r="198" spans="1:2">
      <c r="A198" s="66">
        <v>45979.143607303238</v>
      </c>
      <c r="B198" s="49" t="s">
        <v>9161</v>
      </c>
    </row>
    <row r="199" spans="1:2">
      <c r="A199" s="66">
        <v>45979.14361564815</v>
      </c>
      <c r="B199" s="49" t="s">
        <v>9078</v>
      </c>
    </row>
    <row r="200" spans="1:2">
      <c r="A200" s="66">
        <v>45979.143665416668</v>
      </c>
      <c r="B200" s="49" t="s">
        <v>9162</v>
      </c>
    </row>
    <row r="201" spans="1:2">
      <c r="A201" s="66">
        <v>45979.144009710653</v>
      </c>
      <c r="B201" s="49" t="s">
        <v>9164</v>
      </c>
    </row>
    <row r="202" spans="1:2">
      <c r="A202" s="66">
        <v>45979.144016724538</v>
      </c>
      <c r="B202" s="49" t="s">
        <v>9161</v>
      </c>
    </row>
    <row r="203" spans="1:2">
      <c r="A203" s="66">
        <v>45979.144022650464</v>
      </c>
      <c r="B203" s="49" t="s">
        <v>9078</v>
      </c>
    </row>
    <row r="204" spans="1:2">
      <c r="A204" s="66">
        <v>45979.144061840278</v>
      </c>
      <c r="B204" s="49" t="s">
        <v>9162</v>
      </c>
    </row>
    <row r="205" spans="1:2">
      <c r="A205" s="66">
        <v>45979.144530289355</v>
      </c>
      <c r="B205" s="49" t="s">
        <v>9164</v>
      </c>
    </row>
    <row r="206" spans="1:2">
      <c r="A206" s="66">
        <v>45979.144535717598</v>
      </c>
      <c r="B206" s="49" t="s">
        <v>9161</v>
      </c>
    </row>
    <row r="207" spans="1:2">
      <c r="A207" s="66">
        <v>45979.144542152775</v>
      </c>
      <c r="B207" s="49" t="s">
        <v>9078</v>
      </c>
    </row>
    <row r="208" spans="1:2">
      <c r="A208" s="66">
        <v>45979.144805578704</v>
      </c>
      <c r="B208" s="49" t="s">
        <v>9162</v>
      </c>
    </row>
    <row r="209" spans="1:2">
      <c r="A209" s="66">
        <v>45979.145209583337</v>
      </c>
      <c r="B209" s="49" t="s">
        <v>9164</v>
      </c>
    </row>
    <row r="210" spans="1:2">
      <c r="A210" s="66">
        <v>45979.145344791672</v>
      </c>
      <c r="B210" s="49" t="s">
        <v>9161</v>
      </c>
    </row>
    <row r="211" spans="1:2">
      <c r="A211" s="66">
        <v>45979.145350752311</v>
      </c>
      <c r="B211" s="49" t="s">
        <v>9078</v>
      </c>
    </row>
    <row r="212" spans="1:2">
      <c r="A212" s="66">
        <v>45979.145519537036</v>
      </c>
      <c r="B212" s="49" t="s">
        <v>9162</v>
      </c>
    </row>
    <row r="213" spans="1:2">
      <c r="A213" s="66">
        <v>45979.146191111111</v>
      </c>
      <c r="B213" s="49" t="s">
        <v>9164</v>
      </c>
    </row>
    <row r="214" spans="1:2">
      <c r="A214" s="66">
        <v>45979.146245729164</v>
      </c>
      <c r="B214" s="49" t="s">
        <v>9161</v>
      </c>
    </row>
    <row r="215" spans="1:2">
      <c r="A215" s="66">
        <v>45979.14625957176</v>
      </c>
      <c r="B215" s="49" t="s">
        <v>9078</v>
      </c>
    </row>
    <row r="216" spans="1:2">
      <c r="A216" s="66">
        <v>45979.146435023147</v>
      </c>
      <c r="B216" s="49" t="s">
        <v>9162</v>
      </c>
    </row>
    <row r="217" spans="1:2">
      <c r="A217" s="66">
        <v>45979.146494699075</v>
      </c>
      <c r="B217" s="49" t="s">
        <v>9164</v>
      </c>
    </row>
    <row r="218" spans="1:2">
      <c r="A218" s="66">
        <v>45979.146560937501</v>
      </c>
      <c r="B218" s="49" t="s">
        <v>9161</v>
      </c>
    </row>
    <row r="219" spans="1:2">
      <c r="A219" s="66">
        <v>45979.14657409722</v>
      </c>
      <c r="B219" s="49" t="s">
        <v>9078</v>
      </c>
    </row>
    <row r="220" spans="1:2">
      <c r="A220" s="66">
        <v>45979.148016284722</v>
      </c>
      <c r="B220" s="49" t="s">
        <v>9164</v>
      </c>
    </row>
    <row r="221" spans="1:2">
      <c r="A221" s="66">
        <v>45979.149204872687</v>
      </c>
      <c r="B221" s="49" t="s">
        <v>9161</v>
      </c>
    </row>
    <row r="222" spans="1:2">
      <c r="A222" s="66">
        <v>45979.149209641204</v>
      </c>
      <c r="B222" s="49" t="s">
        <v>9078</v>
      </c>
    </row>
    <row r="223" spans="1:2">
      <c r="A223" s="66">
        <v>45979.150623935187</v>
      </c>
      <c r="B223" s="49" t="s">
        <v>9164</v>
      </c>
    </row>
    <row r="224" spans="1:2">
      <c r="A224" s="66">
        <v>45979.150631620374</v>
      </c>
      <c r="B224" s="49" t="s">
        <v>9161</v>
      </c>
    </row>
    <row r="225" spans="1:2">
      <c r="A225" s="66">
        <v>45979.150638715277</v>
      </c>
      <c r="B225" s="49" t="s">
        <v>9078</v>
      </c>
    </row>
    <row r="226" spans="1:2">
      <c r="A226" s="66">
        <v>45979.150678298611</v>
      </c>
      <c r="B226" s="49" t="s">
        <v>9162</v>
      </c>
    </row>
    <row r="227" spans="1:2">
      <c r="A227" s="66">
        <v>45979.152789201384</v>
      </c>
      <c r="B227" s="49" t="s">
        <v>9164</v>
      </c>
    </row>
    <row r="228" spans="1:2">
      <c r="A228" s="66">
        <v>45979.152795844908</v>
      </c>
      <c r="B228" s="49" t="s">
        <v>9161</v>
      </c>
    </row>
    <row r="229" spans="1:2">
      <c r="A229" s="66">
        <v>45979.152802094904</v>
      </c>
      <c r="B229" s="49" t="s">
        <v>9078</v>
      </c>
    </row>
    <row r="230" spans="1:2">
      <c r="A230" s="66">
        <v>45979.153404039353</v>
      </c>
      <c r="B230" s="49" t="s">
        <v>9164</v>
      </c>
    </row>
    <row r="231" spans="1:2">
      <c r="A231" s="66">
        <v>45979.153411423613</v>
      </c>
      <c r="B231" s="49" t="s">
        <v>9161</v>
      </c>
    </row>
    <row r="232" spans="1:2">
      <c r="A232" s="66">
        <v>45979.153418576389</v>
      </c>
      <c r="B232" s="49" t="s">
        <v>9078</v>
      </c>
    </row>
    <row r="233" spans="1:2">
      <c r="A233" s="66">
        <v>45979.153593703704</v>
      </c>
      <c r="B233" s="49" t="s">
        <v>9164</v>
      </c>
    </row>
    <row r="234" spans="1:2">
      <c r="A234" s="66">
        <v>45979.153803055553</v>
      </c>
      <c r="B234" s="49" t="s">
        <v>9161</v>
      </c>
    </row>
    <row r="235" spans="1:2">
      <c r="A235" s="66">
        <v>45979.153809178242</v>
      </c>
      <c r="B235" s="49" t="s">
        <v>9078</v>
      </c>
    </row>
    <row r="236" spans="1:2">
      <c r="A236" s="66">
        <v>45979.154669467593</v>
      </c>
      <c r="B236" s="49" t="s">
        <v>9164</v>
      </c>
    </row>
    <row r="237" spans="1:2">
      <c r="A237" s="66">
        <v>45979.154769826389</v>
      </c>
      <c r="B237" s="49" t="s">
        <v>9161</v>
      </c>
    </row>
    <row r="238" spans="1:2">
      <c r="A238" s="66">
        <v>45979.154775300922</v>
      </c>
      <c r="B238" s="49" t="s">
        <v>9078</v>
      </c>
    </row>
    <row r="239" spans="1:2">
      <c r="A239" s="66">
        <v>45979.15630091435</v>
      </c>
      <c r="B239" s="49" t="s">
        <v>9165</v>
      </c>
    </row>
    <row r="240" spans="1:2">
      <c r="A240" s="66">
        <v>45979.156307245372</v>
      </c>
      <c r="B240" s="49" t="s">
        <v>9161</v>
      </c>
    </row>
    <row r="241" spans="1:2">
      <c r="A241" s="66">
        <v>45979.156312974534</v>
      </c>
      <c r="B241" s="49" t="s">
        <v>9078</v>
      </c>
    </row>
    <row r="242" spans="1:2">
      <c r="A242" s="66">
        <v>45979.156559687501</v>
      </c>
      <c r="B242" s="49" t="s">
        <v>9166</v>
      </c>
    </row>
    <row r="243" spans="1:2">
      <c r="A243" s="66">
        <v>45979.156565081023</v>
      </c>
      <c r="B243" s="49" t="s">
        <v>9161</v>
      </c>
    </row>
    <row r="244" spans="1:2">
      <c r="A244" s="66">
        <v>45979.156570798616</v>
      </c>
      <c r="B244" s="49" t="s">
        <v>9078</v>
      </c>
    </row>
    <row r="245" spans="1:2">
      <c r="A245" s="66">
        <v>45979.157026597226</v>
      </c>
      <c r="B245" s="49" t="s">
        <v>9167</v>
      </c>
    </row>
    <row r="246" spans="1:2">
      <c r="A246" s="66">
        <v>45979.157032569448</v>
      </c>
      <c r="B246" s="49" t="s">
        <v>9161</v>
      </c>
    </row>
    <row r="247" spans="1:2">
      <c r="A247" s="66">
        <v>45979.157042800929</v>
      </c>
      <c r="B247" s="49" t="s">
        <v>9078</v>
      </c>
    </row>
    <row r="248" spans="1:2">
      <c r="A248" s="66">
        <v>45979.157358576384</v>
      </c>
      <c r="B248" s="49" t="s">
        <v>9168</v>
      </c>
    </row>
    <row r="249" spans="1:2">
      <c r="A249" s="66">
        <v>45979.157363240738</v>
      </c>
      <c r="B249" s="49" t="s">
        <v>9161</v>
      </c>
    </row>
    <row r="250" spans="1:2">
      <c r="A250" s="66">
        <v>45979.157368645829</v>
      </c>
      <c r="B250" s="49" t="s">
        <v>9078</v>
      </c>
    </row>
    <row r="251" spans="1:2">
      <c r="A251" s="66">
        <v>45979.157621053237</v>
      </c>
      <c r="B251" s="49" t="s">
        <v>9169</v>
      </c>
    </row>
    <row r="252" spans="1:2">
      <c r="A252" s="66">
        <v>45979.157634282412</v>
      </c>
      <c r="B252" s="49" t="s">
        <v>9161</v>
      </c>
    </row>
    <row r="253" spans="1:2">
      <c r="A253" s="66">
        <v>45979.157639444442</v>
      </c>
      <c r="B253" s="49" t="s">
        <v>9078</v>
      </c>
    </row>
    <row r="254" spans="1:2">
      <c r="A254" s="66">
        <v>45979.158012268519</v>
      </c>
      <c r="B254" s="49" t="s">
        <v>9170</v>
      </c>
    </row>
    <row r="255" spans="1:2">
      <c r="A255" s="66">
        <v>45979.15801944444</v>
      </c>
      <c r="B255" s="49" t="s">
        <v>9161</v>
      </c>
    </row>
    <row r="256" spans="1:2">
      <c r="A256" s="66">
        <v>45979.158024444449</v>
      </c>
      <c r="B256" s="49" t="s">
        <v>9078</v>
      </c>
    </row>
    <row r="257" spans="1:2">
      <c r="A257" s="66">
        <v>45979.158504317129</v>
      </c>
      <c r="B257" s="49" t="s">
        <v>9171</v>
      </c>
    </row>
    <row r="258" spans="1:2">
      <c r="A258" s="66">
        <v>45979.158512418981</v>
      </c>
      <c r="B258" s="49" t="s">
        <v>9161</v>
      </c>
    </row>
    <row r="259" spans="1:2">
      <c r="A259" s="66">
        <v>45979.158528067128</v>
      </c>
      <c r="B259" s="49" t="s">
        <v>9078</v>
      </c>
    </row>
    <row r="260" spans="1:2">
      <c r="A260" s="66">
        <v>45979.158732048614</v>
      </c>
      <c r="B260" s="49" t="s">
        <v>9171</v>
      </c>
    </row>
    <row r="261" spans="1:2">
      <c r="A261" s="66">
        <v>45979.158953356484</v>
      </c>
      <c r="B261" s="49" t="s">
        <v>9161</v>
      </c>
    </row>
    <row r="262" spans="1:2">
      <c r="A262" s="66">
        <v>45979.158959016204</v>
      </c>
      <c r="B262" s="49" t="s">
        <v>9078</v>
      </c>
    </row>
    <row r="263" spans="1:2">
      <c r="A263" s="66">
        <v>45979.159139629628</v>
      </c>
      <c r="B263" s="49" t="s">
        <v>9171</v>
      </c>
    </row>
    <row r="264" spans="1:2">
      <c r="A264" s="66">
        <v>45979.15933819444</v>
      </c>
      <c r="B264" s="49" t="s">
        <v>9161</v>
      </c>
    </row>
    <row r="265" spans="1:2">
      <c r="A265" s="66">
        <v>45979.159345972221</v>
      </c>
      <c r="B265" s="49" t="s">
        <v>9078</v>
      </c>
    </row>
    <row r="266" spans="1:2">
      <c r="A266" s="66">
        <v>45979.16584037037</v>
      </c>
      <c r="B266" s="49" t="s">
        <v>9171</v>
      </c>
    </row>
    <row r="267" spans="1:2">
      <c r="A267" s="66">
        <v>45979.165848622681</v>
      </c>
      <c r="B267" s="49" t="s">
        <v>9161</v>
      </c>
    </row>
    <row r="268" spans="1:2">
      <c r="A268" s="66">
        <v>45979.165868993055</v>
      </c>
      <c r="B268" s="49" t="s">
        <v>9078</v>
      </c>
    </row>
    <row r="269" spans="1:2">
      <c r="A269" s="66">
        <v>45979.166208136579</v>
      </c>
      <c r="B269" s="49" t="s">
        <v>9172</v>
      </c>
    </row>
    <row r="270" spans="1:2">
      <c r="A270" s="66">
        <v>45979.166217499995</v>
      </c>
      <c r="B270" s="49" t="s">
        <v>9161</v>
      </c>
    </row>
    <row r="271" spans="1:2">
      <c r="A271" s="66">
        <v>45979.166225370369</v>
      </c>
      <c r="B271" s="49" t="s">
        <v>9078</v>
      </c>
    </row>
    <row r="272" spans="1:2">
      <c r="A272" s="66">
        <v>45979.166398090281</v>
      </c>
      <c r="B272" s="49" t="s">
        <v>9172</v>
      </c>
    </row>
    <row r="273" spans="1:2">
      <c r="A273" s="66">
        <v>45979.166403275463</v>
      </c>
      <c r="B273" s="49" t="s">
        <v>9161</v>
      </c>
    </row>
    <row r="274" spans="1:2">
      <c r="A274" s="66">
        <v>45979.166413182873</v>
      </c>
      <c r="B274" s="49" t="s">
        <v>9078</v>
      </c>
    </row>
    <row r="275" spans="1:2">
      <c r="A275" s="66">
        <v>45979.169112696763</v>
      </c>
      <c r="B275" s="49" t="s">
        <v>9172</v>
      </c>
    </row>
    <row r="276" spans="1:2">
      <c r="A276" s="66">
        <v>45979.169121990737</v>
      </c>
      <c r="B276" s="49" t="s">
        <v>9173</v>
      </c>
    </row>
    <row r="277" spans="1:2">
      <c r="A277" s="66">
        <v>45979.169127395835</v>
      </c>
      <c r="B277" s="49" t="s">
        <v>9174</v>
      </c>
    </row>
    <row r="278" spans="1:2">
      <c r="A278" s="66">
        <v>45979.169244525459</v>
      </c>
      <c r="B278" s="49" t="s">
        <v>9172</v>
      </c>
    </row>
    <row r="279" spans="1:2">
      <c r="A279" s="66">
        <v>45979.169249155093</v>
      </c>
      <c r="B279" s="49" t="s">
        <v>9173</v>
      </c>
    </row>
    <row r="280" spans="1:2">
      <c r="A280" s="66">
        <v>45979.169254803244</v>
      </c>
      <c r="B280" s="49" t="s">
        <v>9174</v>
      </c>
    </row>
    <row r="281" spans="1:2">
      <c r="A281" s="66">
        <v>45979.169411261573</v>
      </c>
      <c r="B281" s="49" t="s">
        <v>9172</v>
      </c>
    </row>
    <row r="282" spans="1:2">
      <c r="A282" s="66">
        <v>45979.169771250003</v>
      </c>
      <c r="B282" s="49" t="s">
        <v>9173</v>
      </c>
    </row>
    <row r="283" spans="1:2">
      <c r="A283" s="66">
        <v>45979.169776331022</v>
      </c>
      <c r="B283" s="49" t="s">
        <v>9174</v>
      </c>
    </row>
    <row r="284" spans="1:2">
      <c r="A284" s="66">
        <v>45979.170144351854</v>
      </c>
      <c r="B284" s="49" t="s">
        <v>9172</v>
      </c>
    </row>
    <row r="285" spans="1:2">
      <c r="A285" s="66">
        <v>45979.170305925931</v>
      </c>
      <c r="B285" s="49" t="s">
        <v>9173</v>
      </c>
    </row>
    <row r="286" spans="1:2">
      <c r="A286" s="66">
        <v>45979.170311724534</v>
      </c>
      <c r="B286" s="49" t="s">
        <v>9174</v>
      </c>
    </row>
    <row r="287" spans="1:2">
      <c r="A287" s="66">
        <v>45979.170821689811</v>
      </c>
      <c r="B287" s="49" t="s">
        <v>9172</v>
      </c>
    </row>
    <row r="288" spans="1:2">
      <c r="A288" s="66">
        <v>45979.170927812505</v>
      </c>
      <c r="B288" s="49" t="s">
        <v>9175</v>
      </c>
    </row>
    <row r="289" spans="1:2">
      <c r="A289" s="66">
        <v>45979.170932696754</v>
      </c>
      <c r="B289" s="49" t="s">
        <v>9174</v>
      </c>
    </row>
    <row r="290" spans="1:2">
      <c r="A290" s="66">
        <v>45979.172147708334</v>
      </c>
      <c r="B290" s="49" t="s">
        <v>9172</v>
      </c>
    </row>
    <row r="291" spans="1:2">
      <c r="A291" s="66">
        <v>45979.172154178239</v>
      </c>
      <c r="B291" s="49" t="s">
        <v>9175</v>
      </c>
    </row>
    <row r="292" spans="1:2">
      <c r="A292" s="66">
        <v>45979.172159953705</v>
      </c>
      <c r="B292" s="49" t="s">
        <v>9174</v>
      </c>
    </row>
    <row r="293" spans="1:2">
      <c r="A293" s="66">
        <v>45979.202239687496</v>
      </c>
      <c r="B293" s="49" t="s">
        <v>9172</v>
      </c>
    </row>
    <row r="294" spans="1:2">
      <c r="A294" s="66">
        <v>45979.20224859954</v>
      </c>
      <c r="B294" s="49" t="s">
        <v>9175</v>
      </c>
    </row>
    <row r="295" spans="1:2">
      <c r="A295" s="66">
        <v>45979.202271319446</v>
      </c>
      <c r="B295" s="49" t="s">
        <v>9174</v>
      </c>
    </row>
    <row r="296" spans="1:2">
      <c r="A296" s="66">
        <v>45979.202342106481</v>
      </c>
      <c r="B296" s="49" t="s">
        <v>9172</v>
      </c>
    </row>
    <row r="297" spans="1:2">
      <c r="A297" s="66">
        <v>45979.203450393514</v>
      </c>
      <c r="B297" s="49" t="s">
        <v>9172</v>
      </c>
    </row>
    <row r="298" spans="1:2">
      <c r="A298" s="66">
        <v>45979.204052974535</v>
      </c>
      <c r="B298" s="49" t="s">
        <v>9172</v>
      </c>
    </row>
    <row r="299" spans="1:2">
      <c r="A299" s="66">
        <v>45979.204246053239</v>
      </c>
      <c r="B299" s="49" t="s">
        <v>9161</v>
      </c>
    </row>
    <row r="300" spans="1:2">
      <c r="A300" s="66">
        <v>45979.204252233802</v>
      </c>
      <c r="B300" s="49" t="s">
        <v>9078</v>
      </c>
    </row>
    <row r="301" spans="1:2">
      <c r="A301" s="66">
        <v>45979.209011944447</v>
      </c>
      <c r="B301" s="49" t="s">
        <v>9172</v>
      </c>
    </row>
    <row r="302" spans="1:2">
      <c r="A302" s="66">
        <v>45979.209140787032</v>
      </c>
      <c r="B302" s="49" t="s">
        <v>9161</v>
      </c>
    </row>
    <row r="303" spans="1:2">
      <c r="A303" s="66">
        <v>45979.209146574074</v>
      </c>
      <c r="B303" s="49" t="s">
        <v>9078</v>
      </c>
    </row>
    <row r="304" spans="1:2">
      <c r="A304" s="66">
        <v>45979.21286049769</v>
      </c>
      <c r="B304" s="49" t="s">
        <v>9176</v>
      </c>
    </row>
    <row r="305" spans="1:2">
      <c r="A305" s="66">
        <v>45979.212874259261</v>
      </c>
      <c r="B305" s="49" t="s">
        <v>9161</v>
      </c>
    </row>
    <row r="306" spans="1:2">
      <c r="A306" s="66">
        <v>45979.212879548606</v>
      </c>
      <c r="B306" s="49" t="s">
        <v>9078</v>
      </c>
    </row>
    <row r="307" spans="1:2">
      <c r="A307" s="66">
        <v>45979.213272349538</v>
      </c>
      <c r="B307" s="49" t="s">
        <v>9177</v>
      </c>
    </row>
    <row r="308" spans="1:2">
      <c r="A308" s="66">
        <v>45979.213277199073</v>
      </c>
      <c r="B308" s="49" t="s">
        <v>9161</v>
      </c>
    </row>
    <row r="309" spans="1:2">
      <c r="A309" s="66">
        <v>45979.213292106477</v>
      </c>
      <c r="B309" s="49" t="s">
        <v>9078</v>
      </c>
    </row>
    <row r="310" spans="1:2">
      <c r="A310" s="66">
        <v>45979.21387688657</v>
      </c>
      <c r="B310" s="49" t="s">
        <v>9177</v>
      </c>
    </row>
    <row r="311" spans="1:2">
      <c r="A311" s="66">
        <v>45979.213898483795</v>
      </c>
      <c r="B311" s="49" t="s">
        <v>9161</v>
      </c>
    </row>
    <row r="312" spans="1:2">
      <c r="A312" s="66">
        <v>45979.213904212964</v>
      </c>
      <c r="B312" s="49" t="s">
        <v>9078</v>
      </c>
    </row>
    <row r="313" spans="1:2">
      <c r="A313" s="66">
        <v>45979.214686388892</v>
      </c>
      <c r="B313" s="49" t="s">
        <v>9177</v>
      </c>
    </row>
    <row r="314" spans="1:2">
      <c r="A314" s="66">
        <v>45979.214697083335</v>
      </c>
      <c r="B314" s="49" t="s">
        <v>9177</v>
      </c>
    </row>
    <row r="315" spans="1:2">
      <c r="A315" s="66">
        <v>45979.214830821758</v>
      </c>
      <c r="B315" s="49" t="s">
        <v>9161</v>
      </c>
    </row>
    <row r="316" spans="1:2">
      <c r="A316" s="66">
        <v>45979.214836863423</v>
      </c>
      <c r="B316" s="49" t="s">
        <v>9078</v>
      </c>
    </row>
    <row r="317" spans="1:2">
      <c r="A317" s="66">
        <v>45979.234008032407</v>
      </c>
      <c r="B317" s="49" t="s">
        <v>9177</v>
      </c>
    </row>
    <row r="318" spans="1:2">
      <c r="A318" s="66">
        <v>45979.23401670139</v>
      </c>
      <c r="B318" s="49" t="s">
        <v>9161</v>
      </c>
    </row>
    <row r="319" spans="1:2">
      <c r="A319" s="66">
        <v>45979.234023483798</v>
      </c>
      <c r="B319" s="49" t="s">
        <v>9078</v>
      </c>
    </row>
    <row r="320" spans="1:2">
      <c r="A320" s="66">
        <v>45979.237896099541</v>
      </c>
      <c r="B320" s="49"/>
    </row>
    <row r="321" spans="1:2">
      <c r="A321" s="66">
        <v>45979.240231574076</v>
      </c>
      <c r="B321" s="49" t="s">
        <v>9177</v>
      </c>
    </row>
    <row r="322" spans="1:2">
      <c r="A322" s="66">
        <v>45979.24094231482</v>
      </c>
      <c r="B322" s="49" t="s">
        <v>9161</v>
      </c>
    </row>
    <row r="323" spans="1:2">
      <c r="A323" s="66">
        <v>45979.240947638886</v>
      </c>
      <c r="B323" s="49" t="s">
        <v>9078</v>
      </c>
    </row>
    <row r="324" spans="1:2">
      <c r="A324" s="66">
        <v>45979.246264571761</v>
      </c>
      <c r="B324" s="49"/>
    </row>
    <row r="325" spans="1:2">
      <c r="A325" s="66">
        <v>45979.253893333334</v>
      </c>
      <c r="B325" s="49" t="s">
        <v>9177</v>
      </c>
    </row>
    <row r="326" spans="1:2">
      <c r="A326" s="66">
        <v>45979.253902164353</v>
      </c>
      <c r="B326" s="49" t="s">
        <v>9161</v>
      </c>
    </row>
    <row r="327" spans="1:2">
      <c r="A327" s="66">
        <v>45979.25391053241</v>
      </c>
      <c r="B327" s="49" t="s">
        <v>9078</v>
      </c>
    </row>
    <row r="328" spans="1:2">
      <c r="A328" s="66">
        <v>45979.254847615739</v>
      </c>
      <c r="B328" s="49" t="s">
        <v>9178</v>
      </c>
    </row>
    <row r="329" spans="1:2">
      <c r="A329" s="66">
        <v>45979.254854016202</v>
      </c>
      <c r="B329" s="49" t="s">
        <v>9161</v>
      </c>
    </row>
    <row r="330" spans="1:2">
      <c r="A330" s="66">
        <v>45979.254860682871</v>
      </c>
      <c r="B330" s="49" t="s">
        <v>9078</v>
      </c>
    </row>
    <row r="331" spans="1:2">
      <c r="A331" s="66">
        <v>45979.257083634264</v>
      </c>
      <c r="B331" s="49" t="s">
        <v>9179</v>
      </c>
    </row>
    <row r="332" spans="1:2">
      <c r="A332" s="66">
        <v>45979.257110497681</v>
      </c>
      <c r="B332" s="49" t="s">
        <v>9073</v>
      </c>
    </row>
    <row r="333" spans="1:2">
      <c r="A333" s="66">
        <v>45979.257116064815</v>
      </c>
      <c r="B333" s="49" t="s">
        <v>9074</v>
      </c>
    </row>
    <row r="334" spans="1:2">
      <c r="A334" s="66">
        <v>45979.260136840283</v>
      </c>
      <c r="B334" s="49" t="s">
        <v>9148</v>
      </c>
    </row>
    <row r="335" spans="1:2">
      <c r="A335" s="66">
        <v>45979.261867048612</v>
      </c>
      <c r="B335" s="49" t="s">
        <v>9148</v>
      </c>
    </row>
    <row r="336" spans="1:2">
      <c r="A336" s="66">
        <v>45979.262528935185</v>
      </c>
      <c r="B336" s="49" t="s">
        <v>9090</v>
      </c>
    </row>
    <row r="337" spans="1:2">
      <c r="A337" s="66">
        <v>45979.262540555559</v>
      </c>
      <c r="B337" s="49" t="s">
        <v>9091</v>
      </c>
    </row>
    <row r="338" spans="1:2">
      <c r="A338" s="66">
        <v>45979.262548425926</v>
      </c>
      <c r="B338" s="49" t="s">
        <v>9078</v>
      </c>
    </row>
    <row r="339" spans="1:2">
      <c r="A339" s="66">
        <v>45979.262578275462</v>
      </c>
      <c r="B339" s="49" t="s">
        <v>9092</v>
      </c>
    </row>
    <row r="340" spans="1:2">
      <c r="A340" s="66">
        <v>45979.26273938657</v>
      </c>
      <c r="B340" s="49"/>
    </row>
    <row r="341" spans="1:2">
      <c r="A341" s="66">
        <v>45979.263134942128</v>
      </c>
      <c r="B341" s="49" t="s">
        <v>9180</v>
      </c>
    </row>
    <row r="342" spans="1:2">
      <c r="A342" s="66">
        <v>45979.263140543982</v>
      </c>
      <c r="B342" s="49" t="s">
        <v>9181</v>
      </c>
    </row>
    <row r="343" spans="1:2">
      <c r="A343" s="66">
        <v>45979.263147025464</v>
      </c>
      <c r="B343" s="49" t="s">
        <v>9078</v>
      </c>
    </row>
    <row r="344" spans="1:2">
      <c r="A344" s="66">
        <v>45979.263167604164</v>
      </c>
      <c r="B344" s="49" t="s">
        <v>9149</v>
      </c>
    </row>
    <row r="345" spans="1:2">
      <c r="A345" s="66">
        <v>45979.266600312505</v>
      </c>
      <c r="B345" s="49" t="s">
        <v>9182</v>
      </c>
    </row>
    <row r="346" spans="1:2">
      <c r="A346" s="66">
        <v>45979.266612118052</v>
      </c>
      <c r="B346" s="49" t="s">
        <v>9181</v>
      </c>
    </row>
    <row r="347" spans="1:2">
      <c r="A347" s="66">
        <v>45979.266631412036</v>
      </c>
      <c r="B347" s="49" t="s">
        <v>9078</v>
      </c>
    </row>
    <row r="348" spans="1:2">
      <c r="A348" s="66">
        <v>45979.266652604172</v>
      </c>
      <c r="B348" s="49" t="s">
        <v>9149</v>
      </c>
    </row>
    <row r="349" spans="1:2">
      <c r="A349" s="66">
        <v>45979.267783634263</v>
      </c>
      <c r="B349" s="49" t="s">
        <v>9183</v>
      </c>
    </row>
    <row r="350" spans="1:2">
      <c r="A350" s="66">
        <v>45979.267788587968</v>
      </c>
      <c r="B350" s="49" t="s">
        <v>9184</v>
      </c>
    </row>
    <row r="351" spans="1:2">
      <c r="A351" s="66">
        <v>45979.267794120373</v>
      </c>
      <c r="B351" s="49" t="s">
        <v>9078</v>
      </c>
    </row>
    <row r="352" spans="1:2">
      <c r="A352" s="66">
        <v>45979.267843576388</v>
      </c>
      <c r="B352" s="49" t="s">
        <v>9185</v>
      </c>
    </row>
    <row r="353" spans="1:2">
      <c r="A353" s="66">
        <v>45979.268396643514</v>
      </c>
      <c r="B353" s="49" t="s">
        <v>9186</v>
      </c>
    </row>
    <row r="354" spans="1:2">
      <c r="A354" s="66">
        <v>45979.268401377311</v>
      </c>
      <c r="B354" s="49" t="s">
        <v>9181</v>
      </c>
    </row>
    <row r="355" spans="1:2">
      <c r="A355" s="66">
        <v>45979.26840674768</v>
      </c>
      <c r="B355" s="49" t="s">
        <v>9078</v>
      </c>
    </row>
    <row r="356" spans="1:2">
      <c r="A356" s="66">
        <v>45979.268425509261</v>
      </c>
      <c r="B356" s="49" t="s">
        <v>9187</v>
      </c>
    </row>
    <row r="357" spans="1:2">
      <c r="A357" s="66">
        <v>45979.269295532409</v>
      </c>
      <c r="B357" s="49"/>
    </row>
    <row r="358" spans="1:2">
      <c r="A358" s="66">
        <v>45979.270131099533</v>
      </c>
      <c r="B358" s="49" t="s">
        <v>9179</v>
      </c>
    </row>
    <row r="359" spans="1:2">
      <c r="A359" s="66">
        <v>45979.270156412036</v>
      </c>
      <c r="B359" s="49" t="s">
        <v>9073</v>
      </c>
    </row>
    <row r="360" spans="1:2">
      <c r="A360" s="66">
        <v>45979.27016137731</v>
      </c>
      <c r="B360" s="49" t="s">
        <v>9074</v>
      </c>
    </row>
    <row r="361" spans="1:2">
      <c r="A361" s="66">
        <v>45979.273792581022</v>
      </c>
      <c r="B361" s="49" t="s">
        <v>9188</v>
      </c>
    </row>
    <row r="362" spans="1:2">
      <c r="A362" s="66">
        <v>45979.273800821757</v>
      </c>
      <c r="B362" s="49" t="s">
        <v>9181</v>
      </c>
    </row>
    <row r="363" spans="1:2">
      <c r="A363" s="66">
        <v>45979.27380678241</v>
      </c>
      <c r="B363" s="49" t="s">
        <v>9078</v>
      </c>
    </row>
    <row r="364" spans="1:2">
      <c r="A364" s="66">
        <v>45979.27383539352</v>
      </c>
      <c r="B364" s="49" t="s">
        <v>9149</v>
      </c>
    </row>
    <row r="365" spans="1:2">
      <c r="A365" s="66">
        <v>45979.275318263884</v>
      </c>
      <c r="B365" s="49"/>
    </row>
    <row r="366" spans="1:2">
      <c r="A366" s="66">
        <v>45979.279940324079</v>
      </c>
      <c r="B366" s="49" t="s">
        <v>9189</v>
      </c>
    </row>
    <row r="367" spans="1:2">
      <c r="A367" s="66">
        <v>45979.279946747687</v>
      </c>
      <c r="B367" s="49" t="s">
        <v>9181</v>
      </c>
    </row>
    <row r="368" spans="1:2">
      <c r="A368" s="66">
        <v>45979.27995188658</v>
      </c>
      <c r="B368" s="49" t="s">
        <v>9078</v>
      </c>
    </row>
    <row r="369" spans="1:2">
      <c r="A369" s="66">
        <v>45979.287134351849</v>
      </c>
      <c r="B369" s="49" t="s">
        <v>9190</v>
      </c>
    </row>
    <row r="370" spans="1:2">
      <c r="A370" s="66">
        <v>45979.287163414352</v>
      </c>
      <c r="B370" s="49" t="s">
        <v>9181</v>
      </c>
    </row>
    <row r="371" spans="1:2">
      <c r="A371" s="66">
        <v>45979.287170671298</v>
      </c>
      <c r="B371" s="49" t="s">
        <v>9078</v>
      </c>
    </row>
    <row r="372" spans="1:2">
      <c r="A372" s="66">
        <v>45979.287205821762</v>
      </c>
      <c r="B372" s="49" t="s">
        <v>9187</v>
      </c>
    </row>
    <row r="373" spans="1:2">
      <c r="A373" s="66">
        <v>45979.28720987268</v>
      </c>
      <c r="B373" s="49" t="s">
        <v>9191</v>
      </c>
    </row>
    <row r="374" spans="1:2">
      <c r="A374" s="66">
        <v>45979.30100457176</v>
      </c>
      <c r="B374" s="49" t="s">
        <v>9192</v>
      </c>
    </row>
    <row r="375" spans="1:2">
      <c r="A375" s="66">
        <v>45979.301011076386</v>
      </c>
      <c r="B375" s="49" t="s">
        <v>9181</v>
      </c>
    </row>
    <row r="376" spans="1:2">
      <c r="A376" s="66">
        <v>45979.301041898143</v>
      </c>
      <c r="B376" s="49" t="s">
        <v>9078</v>
      </c>
    </row>
    <row r="377" spans="1:2">
      <c r="A377" s="66">
        <v>45979.30106456019</v>
      </c>
      <c r="B377" s="49" t="s">
        <v>9193</v>
      </c>
    </row>
    <row r="378" spans="1:2">
      <c r="A378" s="66">
        <v>45979.30106755787</v>
      </c>
      <c r="B378" s="49" t="s">
        <v>9191</v>
      </c>
    </row>
    <row r="379" spans="1:2">
      <c r="A379" s="66">
        <v>45979.305214444445</v>
      </c>
      <c r="B379" s="49" t="s">
        <v>9192</v>
      </c>
    </row>
    <row r="380" spans="1:2">
      <c r="A380" s="66">
        <v>45979.305220844908</v>
      </c>
      <c r="B380" s="49" t="s">
        <v>9181</v>
      </c>
    </row>
    <row r="381" spans="1:2">
      <c r="A381" s="66">
        <v>45979.30522603009</v>
      </c>
      <c r="B381" s="49" t="s">
        <v>9078</v>
      </c>
    </row>
    <row r="382" spans="1:2">
      <c r="A382" s="66">
        <v>45979.305252754624</v>
      </c>
      <c r="B382" s="49" t="s">
        <v>9193</v>
      </c>
    </row>
    <row r="383" spans="1:2">
      <c r="A383" s="66">
        <v>45979.305262071764</v>
      </c>
      <c r="B383" s="49" t="s">
        <v>9191</v>
      </c>
    </row>
    <row r="384" spans="1:2">
      <c r="A384" s="66">
        <v>45979.347324525465</v>
      </c>
      <c r="B384" s="49" t="s">
        <v>9194</v>
      </c>
    </row>
    <row r="385" spans="1:2">
      <c r="A385" s="66">
        <v>45979.347328090276</v>
      </c>
      <c r="B385" s="49" t="s">
        <v>9191</v>
      </c>
    </row>
    <row r="386" spans="1:2">
      <c r="A386" s="66">
        <v>45979.347993703705</v>
      </c>
      <c r="B386" s="49" t="s">
        <v>9195</v>
      </c>
    </row>
    <row r="387" spans="1:2">
      <c r="A387" s="66">
        <v>45979.347998819445</v>
      </c>
      <c r="B387" s="49" t="s">
        <v>9196</v>
      </c>
    </row>
    <row r="388" spans="1:2">
      <c r="A388" s="66">
        <v>45979.348003993058</v>
      </c>
      <c r="B388" s="49" t="s">
        <v>9078</v>
      </c>
    </row>
    <row r="389" spans="1:2">
      <c r="A389" s="66">
        <v>45979.348009513888</v>
      </c>
      <c r="B389" s="49" t="s">
        <v>9191</v>
      </c>
    </row>
    <row r="390" spans="1:2">
      <c r="A390" s="66">
        <v>45979.348288668982</v>
      </c>
      <c r="B390" s="49" t="s">
        <v>9197</v>
      </c>
    </row>
    <row r="391" spans="1:2">
      <c r="A391" s="66">
        <v>45979.348295902775</v>
      </c>
      <c r="B391" s="49" t="s">
        <v>9196</v>
      </c>
    </row>
    <row r="392" spans="1:2">
      <c r="A392" s="66">
        <v>45979.348300972226</v>
      </c>
      <c r="B392" s="49" t="s">
        <v>9078</v>
      </c>
    </row>
    <row r="393" spans="1:2">
      <c r="A393" s="66">
        <v>45979.34833400463</v>
      </c>
      <c r="B393" s="49" t="s">
        <v>9198</v>
      </c>
    </row>
    <row r="394" spans="1:2">
      <c r="A394" s="66">
        <v>45979.348348055559</v>
      </c>
      <c r="B394" s="49" t="s">
        <v>9191</v>
      </c>
    </row>
    <row r="395" spans="1:2">
      <c r="A395" s="66">
        <v>45979.348989444443</v>
      </c>
      <c r="B395" s="49" t="s">
        <v>9199</v>
      </c>
    </row>
    <row r="396" spans="1:2">
      <c r="A396" s="66">
        <v>45979.349044930554</v>
      </c>
      <c r="B396" s="49" t="s">
        <v>9073</v>
      </c>
    </row>
    <row r="397" spans="1:2">
      <c r="A397" s="66">
        <v>45979.349050231482</v>
      </c>
      <c r="B397" s="49" t="s">
        <v>9074</v>
      </c>
    </row>
    <row r="398" spans="1:2">
      <c r="A398" s="66">
        <v>45979.349054050923</v>
      </c>
      <c r="B398" s="49" t="s">
        <v>9191</v>
      </c>
    </row>
    <row r="399" spans="1:2">
      <c r="A399" s="66">
        <v>45979.349176736112</v>
      </c>
      <c r="B399" s="49" t="s">
        <v>9200</v>
      </c>
    </row>
    <row r="400" spans="1:2">
      <c r="A400" s="66">
        <v>45979.349214756949</v>
      </c>
      <c r="B400" s="49" t="s">
        <v>9073</v>
      </c>
    </row>
    <row r="401" spans="1:2">
      <c r="A401" s="66">
        <v>45979.349219918979</v>
      </c>
      <c r="B401" s="49" t="s">
        <v>9074</v>
      </c>
    </row>
    <row r="402" spans="1:2">
      <c r="A402" s="66">
        <v>45979.34922265046</v>
      </c>
      <c r="B402" s="49" t="s">
        <v>9191</v>
      </c>
    </row>
    <row r="403" spans="1:2">
      <c r="A403" s="66">
        <v>45979.351006446755</v>
      </c>
      <c r="B403" s="49" t="s">
        <v>9194</v>
      </c>
    </row>
    <row r="404" spans="1:2">
      <c r="A404" s="66">
        <v>45979.351010879633</v>
      </c>
      <c r="B404" s="49" t="s">
        <v>9191</v>
      </c>
    </row>
    <row r="405" spans="1:2">
      <c r="A405" s="66">
        <v>45979.35701133102</v>
      </c>
      <c r="B405" s="49" t="s">
        <v>9201</v>
      </c>
    </row>
    <row r="406" spans="1:2">
      <c r="A406" s="66">
        <v>45979.357052928244</v>
      </c>
      <c r="B406" s="49" t="s">
        <v>9073</v>
      </c>
    </row>
    <row r="407" spans="1:2">
      <c r="A407" s="66">
        <v>45979.357058726848</v>
      </c>
      <c r="B407" s="49" t="s">
        <v>9074</v>
      </c>
    </row>
    <row r="408" spans="1:2">
      <c r="A408" s="66">
        <v>45979.357061655093</v>
      </c>
      <c r="B408" s="49" t="s">
        <v>9191</v>
      </c>
    </row>
    <row r="409" spans="1:2">
      <c r="A409" s="66">
        <v>45979.35780510417</v>
      </c>
      <c r="B409" s="67">
        <v>45977</v>
      </c>
    </row>
    <row r="410" spans="1:2">
      <c r="A410" s="66">
        <v>45979.358115416668</v>
      </c>
      <c r="B410" s="67">
        <v>45977</v>
      </c>
    </row>
    <row r="411" spans="1:2">
      <c r="A411" s="66">
        <v>45979.358215694447</v>
      </c>
      <c r="B411" s="67">
        <v>45977</v>
      </c>
    </row>
    <row r="412" spans="1:2">
      <c r="A412" s="66">
        <v>45979.35877924769</v>
      </c>
      <c r="B412" s="67">
        <v>45977</v>
      </c>
    </row>
    <row r="413" spans="1:2">
      <c r="A413" s="66">
        <v>45979.359169756943</v>
      </c>
      <c r="B413" s="67">
        <v>45977</v>
      </c>
    </row>
    <row r="414" spans="1:2">
      <c r="A414" s="66">
        <v>45979.359263761573</v>
      </c>
      <c r="B414" s="49" t="s">
        <v>9202</v>
      </c>
    </row>
    <row r="415" spans="1:2">
      <c r="A415" s="66">
        <v>45979.359268252316</v>
      </c>
      <c r="B415" s="49" t="s">
        <v>9203</v>
      </c>
    </row>
    <row r="416" spans="1:2">
      <c r="A416" s="66">
        <v>45979.359273935188</v>
      </c>
      <c r="B416" s="49" t="s">
        <v>9078</v>
      </c>
    </row>
    <row r="417" spans="1:2">
      <c r="A417" s="66">
        <v>45979.359294201393</v>
      </c>
      <c r="B417" s="49" t="s">
        <v>9204</v>
      </c>
    </row>
    <row r="418" spans="1:2">
      <c r="A418" s="66">
        <v>45979.359297453702</v>
      </c>
      <c r="B418" s="49" t="s">
        <v>9191</v>
      </c>
    </row>
    <row r="419" spans="1:2">
      <c r="A419" s="66">
        <v>45979.361744467591</v>
      </c>
      <c r="B419" s="49" t="s">
        <v>9205</v>
      </c>
    </row>
    <row r="420" spans="1:2">
      <c r="A420" s="66">
        <v>45979.361750752316</v>
      </c>
      <c r="B420" s="49" t="s">
        <v>9206</v>
      </c>
    </row>
    <row r="421" spans="1:2">
      <c r="A421" s="66">
        <v>45979.361756261569</v>
      </c>
      <c r="B421" s="49" t="s">
        <v>9078</v>
      </c>
    </row>
    <row r="422" spans="1:2">
      <c r="A422" s="66">
        <v>45979.361786435184</v>
      </c>
      <c r="B422" s="49" t="s">
        <v>9207</v>
      </c>
    </row>
    <row r="423" spans="1:2">
      <c r="A423" s="66">
        <v>45979.361789328701</v>
      </c>
      <c r="B423" s="49" t="s">
        <v>9191</v>
      </c>
    </row>
    <row r="424" spans="1:2">
      <c r="A424" s="66">
        <v>45979.362913888894</v>
      </c>
      <c r="B424" s="67">
        <v>45977</v>
      </c>
    </row>
    <row r="425" spans="1:2">
      <c r="A425" s="66">
        <v>45979.363140000001</v>
      </c>
      <c r="B425" s="67">
        <v>45977</v>
      </c>
    </row>
    <row r="426" spans="1:2">
      <c r="A426" s="66">
        <v>45979.377365613429</v>
      </c>
      <c r="B426" s="49" t="s">
        <v>9208</v>
      </c>
    </row>
    <row r="427" spans="1:2">
      <c r="A427" s="66">
        <v>45979.377371932875</v>
      </c>
      <c r="B427" s="49" t="s">
        <v>9209</v>
      </c>
    </row>
    <row r="428" spans="1:2">
      <c r="A428" s="66">
        <v>45979.377378310186</v>
      </c>
      <c r="B428" s="49" t="s">
        <v>9078</v>
      </c>
    </row>
    <row r="429" spans="1:2">
      <c r="A429" s="66">
        <v>45979.377401331018</v>
      </c>
      <c r="B429" s="49" t="s">
        <v>9210</v>
      </c>
    </row>
    <row r="430" spans="1:2">
      <c r="A430" s="66">
        <v>45979.377405405088</v>
      </c>
      <c r="B430" s="49" t="s">
        <v>9191</v>
      </c>
    </row>
    <row r="431" spans="1:2">
      <c r="A431" s="66">
        <v>45979.381973750002</v>
      </c>
      <c r="B431" s="49" t="s">
        <v>9153</v>
      </c>
    </row>
    <row r="432" spans="1:2">
      <c r="A432" s="66">
        <v>45979.381980624996</v>
      </c>
      <c r="B432" s="49" t="s">
        <v>9153</v>
      </c>
    </row>
    <row r="433" spans="1:2">
      <c r="A433" s="66">
        <v>45979.386733807871</v>
      </c>
      <c r="B433" s="49" t="s">
        <v>9211</v>
      </c>
    </row>
    <row r="434" spans="1:2">
      <c r="A434" s="66">
        <v>45979.386742696763</v>
      </c>
      <c r="B434" s="49" t="s">
        <v>9212</v>
      </c>
    </row>
    <row r="435" spans="1:2">
      <c r="A435" s="66">
        <v>45979.386765289353</v>
      </c>
      <c r="B435" s="49" t="s">
        <v>9078</v>
      </c>
    </row>
    <row r="436" spans="1:2">
      <c r="A436" s="66">
        <v>45979.386795694445</v>
      </c>
      <c r="B436" s="49" t="s">
        <v>9213</v>
      </c>
    </row>
    <row r="437" spans="1:2">
      <c r="A437" s="66">
        <v>45979.386799872686</v>
      </c>
      <c r="B437" s="49" t="s">
        <v>9191</v>
      </c>
    </row>
    <row r="438" spans="1:2">
      <c r="A438" s="66">
        <v>45979.387084363421</v>
      </c>
      <c r="B438" s="49"/>
    </row>
    <row r="439" spans="1:2">
      <c r="A439" s="66">
        <v>45979.387151400464</v>
      </c>
      <c r="B439" s="49"/>
    </row>
    <row r="440" spans="1:2">
      <c r="A440" s="66">
        <v>45979.387191331014</v>
      </c>
      <c r="B440" s="49"/>
    </row>
    <row r="441" spans="1:2">
      <c r="A441" s="66">
        <v>45979.38720513889</v>
      </c>
      <c r="B441" s="49"/>
    </row>
    <row r="442" spans="1:2">
      <c r="A442" s="66">
        <v>45979.387227465282</v>
      </c>
      <c r="B442" s="49"/>
    </row>
    <row r="443" spans="1:2">
      <c r="A443" s="66">
        <v>45979.387313483792</v>
      </c>
      <c r="B443" s="49"/>
    </row>
    <row r="444" spans="1:2">
      <c r="A444" s="66">
        <v>45979.387331458332</v>
      </c>
      <c r="B444" s="49"/>
    </row>
    <row r="445" spans="1:2">
      <c r="A445" s="66">
        <v>45979.387378564817</v>
      </c>
      <c r="B445" s="49"/>
    </row>
    <row r="446" spans="1:2">
      <c r="A446" s="66">
        <v>45979.389494328701</v>
      </c>
      <c r="B446" s="49" t="s">
        <v>9214</v>
      </c>
    </row>
    <row r="447" spans="1:2">
      <c r="A447" s="66">
        <v>45979.389501273152</v>
      </c>
      <c r="B447" s="49" t="s">
        <v>9212</v>
      </c>
    </row>
    <row r="448" spans="1:2">
      <c r="A448" s="66">
        <v>45979.389507372689</v>
      </c>
      <c r="B448" s="49" t="s">
        <v>9078</v>
      </c>
    </row>
    <row r="449" spans="1:2">
      <c r="A449" s="66">
        <v>45979.389534004629</v>
      </c>
      <c r="B449" s="49" t="s">
        <v>9215</v>
      </c>
    </row>
    <row r="450" spans="1:2">
      <c r="A450" s="66">
        <v>45979.389537280091</v>
      </c>
      <c r="B450" s="49" t="s">
        <v>9191</v>
      </c>
    </row>
    <row r="451" spans="1:2">
      <c r="A451" s="66">
        <v>45979.389920937501</v>
      </c>
      <c r="B451" s="49" t="s">
        <v>9214</v>
      </c>
    </row>
    <row r="452" spans="1:2">
      <c r="A452" s="66">
        <v>45979.389925740739</v>
      </c>
      <c r="B452" s="49" t="s">
        <v>9212</v>
      </c>
    </row>
    <row r="453" spans="1:2">
      <c r="A453" s="66">
        <v>45979.389931736107</v>
      </c>
      <c r="B453" s="49" t="s">
        <v>9078</v>
      </c>
    </row>
    <row r="454" spans="1:2">
      <c r="A454" s="66">
        <v>45979.390843159723</v>
      </c>
      <c r="B454" s="49" t="s">
        <v>9211</v>
      </c>
    </row>
    <row r="455" spans="1:2">
      <c r="A455" s="66">
        <v>45979.390849039351</v>
      </c>
      <c r="B455" s="49" t="s">
        <v>9212</v>
      </c>
    </row>
    <row r="456" spans="1:2">
      <c r="A456" s="66">
        <v>45979.390855057871</v>
      </c>
      <c r="B456" s="49" t="s">
        <v>9078</v>
      </c>
    </row>
    <row r="457" spans="1:2">
      <c r="A457" s="66">
        <v>45979.390878472223</v>
      </c>
      <c r="B457" s="49" t="s">
        <v>9216</v>
      </c>
    </row>
    <row r="458" spans="1:2">
      <c r="A458" s="66">
        <v>45979.390890208335</v>
      </c>
      <c r="B458" s="49" t="s">
        <v>9191</v>
      </c>
    </row>
    <row r="459" spans="1:2">
      <c r="A459" s="66">
        <v>45979.396175775459</v>
      </c>
      <c r="B459" s="67">
        <v>45977</v>
      </c>
    </row>
    <row r="460" spans="1:2">
      <c r="A460" s="66">
        <v>45979.396307951392</v>
      </c>
      <c r="B460" s="67">
        <v>45977</v>
      </c>
    </row>
    <row r="461" spans="1:2">
      <c r="A461" s="66">
        <v>45979.402676041667</v>
      </c>
      <c r="B461" s="49" t="s">
        <v>9217</v>
      </c>
    </row>
    <row r="462" spans="1:2">
      <c r="A462" s="66">
        <v>45979.402684699075</v>
      </c>
      <c r="B462" s="49" t="s">
        <v>9218</v>
      </c>
    </row>
    <row r="463" spans="1:2">
      <c r="A463" s="66">
        <v>45979.402704548615</v>
      </c>
      <c r="B463" s="49" t="s">
        <v>9078</v>
      </c>
    </row>
    <row r="464" spans="1:2">
      <c r="A464" s="66">
        <v>45979.40273563657</v>
      </c>
      <c r="B464" s="49" t="s">
        <v>9219</v>
      </c>
    </row>
    <row r="465" spans="1:2">
      <c r="A465" s="66">
        <v>45979.402739386569</v>
      </c>
      <c r="B465" s="49" t="s">
        <v>9191</v>
      </c>
    </row>
    <row r="466" spans="1:2">
      <c r="A466" s="66">
        <v>45979.403306157408</v>
      </c>
      <c r="B466" s="49" t="s">
        <v>9153</v>
      </c>
    </row>
    <row r="467" spans="1:2">
      <c r="A467" s="66">
        <v>45979.403312164352</v>
      </c>
      <c r="B467" s="49" t="s">
        <v>9153</v>
      </c>
    </row>
    <row r="468" spans="1:2">
      <c r="A468" s="66">
        <v>45979.411661736114</v>
      </c>
      <c r="B468" s="49" t="s">
        <v>9217</v>
      </c>
    </row>
    <row r="469" spans="1:2">
      <c r="A469" s="66">
        <v>45979.411669918976</v>
      </c>
      <c r="B469" s="49" t="s">
        <v>9218</v>
      </c>
    </row>
    <row r="470" spans="1:2">
      <c r="A470" s="66">
        <v>45979.411675555559</v>
      </c>
      <c r="B470" s="49" t="s">
        <v>9078</v>
      </c>
    </row>
    <row r="471" spans="1:2">
      <c r="A471" s="66">
        <v>45979.41171695602</v>
      </c>
      <c r="B471" s="49" t="s">
        <v>9220</v>
      </c>
    </row>
    <row r="472" spans="1:2">
      <c r="A472" s="66">
        <v>45979.411719212963</v>
      </c>
      <c r="B472" s="49" t="s">
        <v>9221</v>
      </c>
    </row>
    <row r="473" spans="1:2">
      <c r="A473" s="66">
        <v>45979.43535295139</v>
      </c>
      <c r="B473" s="49" t="s">
        <v>9217</v>
      </c>
    </row>
    <row r="474" spans="1:2">
      <c r="A474" s="66">
        <v>45979.435364999998</v>
      </c>
      <c r="B474" s="49" t="s">
        <v>9218</v>
      </c>
    </row>
    <row r="475" spans="1:2">
      <c r="A475" s="66">
        <v>45979.435384861106</v>
      </c>
      <c r="B475" s="49" t="s">
        <v>9078</v>
      </c>
    </row>
    <row r="476" spans="1:2">
      <c r="A476" s="66">
        <v>45979.435398819449</v>
      </c>
      <c r="B476" s="49" t="s">
        <v>9222</v>
      </c>
    </row>
    <row r="477" spans="1:2">
      <c r="A477" s="66">
        <v>45979.435401793977</v>
      </c>
      <c r="B477" s="49" t="s">
        <v>9191</v>
      </c>
    </row>
    <row r="478" spans="1:2">
      <c r="A478" s="66">
        <v>45979.441551469907</v>
      </c>
      <c r="B478" s="49" t="s">
        <v>9223</v>
      </c>
    </row>
    <row r="479" spans="1:2">
      <c r="A479" s="66">
        <v>45979.44155747685</v>
      </c>
      <c r="B479" s="49" t="s">
        <v>9224</v>
      </c>
    </row>
    <row r="480" spans="1:2">
      <c r="A480" s="66">
        <v>45979.44156280093</v>
      </c>
      <c r="B480" s="49" t="s">
        <v>9078</v>
      </c>
    </row>
    <row r="481" spans="1:2">
      <c r="A481" s="66">
        <v>45979.441590011571</v>
      </c>
      <c r="B481" s="49" t="s">
        <v>9225</v>
      </c>
    </row>
    <row r="482" spans="1:2">
      <c r="A482" s="66">
        <v>45979.441594039352</v>
      </c>
      <c r="B482" s="49" t="s">
        <v>9221</v>
      </c>
    </row>
    <row r="483" spans="1:2">
      <c r="A483" s="66">
        <v>45979.446549699074</v>
      </c>
      <c r="B483" s="49" t="s">
        <v>9223</v>
      </c>
    </row>
    <row r="484" spans="1:2">
      <c r="A484" s="66">
        <v>45979.446561724537</v>
      </c>
      <c r="B484" s="49" t="s">
        <v>9224</v>
      </c>
    </row>
    <row r="485" spans="1:2">
      <c r="A485" s="66">
        <v>45979.44657832176</v>
      </c>
      <c r="B485" s="49" t="s">
        <v>9078</v>
      </c>
    </row>
    <row r="486" spans="1:2">
      <c r="A486" s="66">
        <v>45979.446599537041</v>
      </c>
      <c r="B486" s="49" t="s">
        <v>9225</v>
      </c>
    </row>
    <row r="487" spans="1:2">
      <c r="A487" s="66">
        <v>45979.446601759264</v>
      </c>
      <c r="B487" s="49" t="s">
        <v>9221</v>
      </c>
    </row>
    <row r="488" spans="1:2">
      <c r="A488" s="66">
        <v>45979.460062569444</v>
      </c>
      <c r="B488" s="49" t="s">
        <v>9223</v>
      </c>
    </row>
    <row r="489" spans="1:2">
      <c r="A489" s="66">
        <v>45979.460068206019</v>
      </c>
      <c r="B489" s="49" t="s">
        <v>9224</v>
      </c>
    </row>
    <row r="490" spans="1:2">
      <c r="A490" s="66">
        <v>45979.460079386576</v>
      </c>
      <c r="B490" s="49" t="s">
        <v>9078</v>
      </c>
    </row>
    <row r="491" spans="1:2">
      <c r="A491" s="66">
        <v>45979.460104108795</v>
      </c>
      <c r="B491" s="49" t="s">
        <v>9225</v>
      </c>
    </row>
    <row r="492" spans="1:2">
      <c r="A492" s="66">
        <v>45979.460106585648</v>
      </c>
      <c r="B492" s="49" t="s">
        <v>9221</v>
      </c>
    </row>
    <row r="493" spans="1:2">
      <c r="A493" s="66">
        <v>45979.476513784721</v>
      </c>
      <c r="B493" s="49" t="s">
        <v>9223</v>
      </c>
    </row>
    <row r="494" spans="1:2">
      <c r="A494" s="66">
        <v>45979.476521273144</v>
      </c>
      <c r="B494" s="49" t="s">
        <v>9224</v>
      </c>
    </row>
    <row r="495" spans="1:2">
      <c r="A495" s="66">
        <v>45979.47652783565</v>
      </c>
      <c r="B495" s="49" t="s">
        <v>9078</v>
      </c>
    </row>
    <row r="496" spans="1:2">
      <c r="A496" s="66">
        <v>45979.476572731481</v>
      </c>
      <c r="B496" s="49" t="s">
        <v>9225</v>
      </c>
    </row>
    <row r="497" spans="1:2">
      <c r="A497" s="66">
        <v>45979.476575555556</v>
      </c>
      <c r="B497" s="49" t="s">
        <v>9221</v>
      </c>
    </row>
    <row r="498" spans="1:2">
      <c r="A498" s="66">
        <v>45979.47704859954</v>
      </c>
      <c r="B498" s="49" t="s">
        <v>9223</v>
      </c>
    </row>
    <row r="499" spans="1:2">
      <c r="A499" s="66">
        <v>45979.477054155097</v>
      </c>
      <c r="B499" s="49" t="s">
        <v>9224</v>
      </c>
    </row>
    <row r="500" spans="1:2">
      <c r="A500" s="66">
        <v>45979.477060254634</v>
      </c>
      <c r="B500" s="49" t="s">
        <v>9078</v>
      </c>
    </row>
    <row r="501" spans="1:2">
      <c r="A501" s="66">
        <v>45979.477098159725</v>
      </c>
      <c r="B501" s="49" t="s">
        <v>9225</v>
      </c>
    </row>
    <row r="502" spans="1:2">
      <c r="A502" s="66">
        <v>45979.477100671298</v>
      </c>
      <c r="B502" s="49" t="s">
        <v>9221</v>
      </c>
    </row>
    <row r="503" spans="1:2">
      <c r="A503" s="66">
        <v>45979.487556273147</v>
      </c>
      <c r="B503" s="49" t="s">
        <v>9153</v>
      </c>
    </row>
    <row r="504" spans="1:2">
      <c r="A504" s="66">
        <v>45979.487560972222</v>
      </c>
      <c r="B504" s="49" t="s">
        <v>9153</v>
      </c>
    </row>
    <row r="505" spans="1:2">
      <c r="A505" s="66">
        <v>45979.495273668981</v>
      </c>
      <c r="B505" s="49" t="s">
        <v>9223</v>
      </c>
    </row>
    <row r="506" spans="1:2">
      <c r="A506" s="66">
        <v>45979.495280358795</v>
      </c>
      <c r="B506" s="49" t="s">
        <v>9224</v>
      </c>
    </row>
    <row r="507" spans="1:2">
      <c r="A507" s="66">
        <v>45979.49528618055</v>
      </c>
      <c r="B507" s="49" t="s">
        <v>9078</v>
      </c>
    </row>
    <row r="508" spans="1:2">
      <c r="A508" s="66">
        <v>45979.495322337963</v>
      </c>
      <c r="B508" s="49" t="s">
        <v>9225</v>
      </c>
    </row>
    <row r="509" spans="1:2">
      <c r="A509" s="66">
        <v>45979.49533046296</v>
      </c>
      <c r="B509" s="49" t="s">
        <v>9226</v>
      </c>
    </row>
    <row r="510" spans="1:2">
      <c r="A510" s="66">
        <v>45979.495337708329</v>
      </c>
      <c r="B510" s="49" t="s">
        <v>9191</v>
      </c>
    </row>
    <row r="511" spans="1:2">
      <c r="A511" s="66">
        <v>45979.684316620369</v>
      </c>
      <c r="B511" s="49"/>
    </row>
    <row r="512" spans="1:2">
      <c r="A512" s="66">
        <v>45979.685954456014</v>
      </c>
      <c r="B512" s="49"/>
    </row>
    <row r="513" spans="1:2">
      <c r="A513" s="66">
        <v>45979.686088969909</v>
      </c>
      <c r="B513" s="49"/>
    </row>
    <row r="514" spans="1:2">
      <c r="A514" s="66">
        <v>45979.826571064812</v>
      </c>
      <c r="B514" s="49"/>
    </row>
    <row r="515" spans="1:2">
      <c r="A515" s="66">
        <v>45980.241921203706</v>
      </c>
      <c r="B515" s="49"/>
    </row>
    <row r="516" spans="1:2">
      <c r="A516" s="66">
        <v>45980.241939965279</v>
      </c>
      <c r="B516" s="49"/>
    </row>
    <row r="517" spans="1:2">
      <c r="A517" s="66">
        <v>45980.24205630787</v>
      </c>
      <c r="B517" s="49"/>
    </row>
    <row r="518" spans="1:2">
      <c r="A518" s="66">
        <v>45980.242075752314</v>
      </c>
      <c r="B518" s="49"/>
    </row>
    <row r="519" spans="1:2">
      <c r="A519" s="66">
        <v>45980.251201423613</v>
      </c>
      <c r="B519" s="49"/>
    </row>
    <row r="520" spans="1:2">
      <c r="A520" s="66">
        <v>45980.260714212964</v>
      </c>
      <c r="B520" s="49"/>
    </row>
    <row r="521" spans="1:2">
      <c r="A521" s="66">
        <v>45980.275323263893</v>
      </c>
      <c r="B521" s="49" t="s">
        <v>9227</v>
      </c>
    </row>
    <row r="522" spans="1:2">
      <c r="A522" s="66">
        <v>45980.275357418985</v>
      </c>
      <c r="B522" s="49" t="s">
        <v>9073</v>
      </c>
    </row>
    <row r="523" spans="1:2">
      <c r="A523" s="66">
        <v>45980.275363414352</v>
      </c>
      <c r="B523" s="49" t="s">
        <v>9074</v>
      </c>
    </row>
    <row r="524" spans="1:2">
      <c r="A524" s="66">
        <v>45980.275366469912</v>
      </c>
      <c r="B524" s="49" t="s">
        <v>9191</v>
      </c>
    </row>
    <row r="525" spans="1:2">
      <c r="A525" s="66">
        <v>45980.283972210644</v>
      </c>
      <c r="B525" s="49" t="s">
        <v>9228</v>
      </c>
    </row>
    <row r="526" spans="1:2">
      <c r="A526" s="66">
        <v>45980.284001689812</v>
      </c>
      <c r="B526" s="49" t="s">
        <v>9073</v>
      </c>
    </row>
    <row r="527" spans="1:2">
      <c r="A527" s="66">
        <v>45980.284007581024</v>
      </c>
      <c r="B527" s="49" t="s">
        <v>9074</v>
      </c>
    </row>
    <row r="528" spans="1:2">
      <c r="A528" s="66">
        <v>45980.284009629628</v>
      </c>
      <c r="B528" s="49" t="s">
        <v>9191</v>
      </c>
    </row>
    <row r="529" spans="1:2">
      <c r="A529" s="66">
        <v>45980.295901898149</v>
      </c>
      <c r="B529" s="49" t="s">
        <v>9229</v>
      </c>
    </row>
    <row r="530" spans="1:2">
      <c r="A530" s="66">
        <v>45980.295955300928</v>
      </c>
      <c r="B530" s="49" t="s">
        <v>9073</v>
      </c>
    </row>
    <row r="531" spans="1:2">
      <c r="A531" s="66">
        <v>45980.295961076394</v>
      </c>
      <c r="B531" s="49" t="s">
        <v>9074</v>
      </c>
    </row>
    <row r="532" spans="1:2">
      <c r="A532" s="66">
        <v>45980.295965300931</v>
      </c>
      <c r="B532" s="49" t="s">
        <v>9191</v>
      </c>
    </row>
    <row r="533" spans="1:2">
      <c r="A533" s="66">
        <v>45980.306605555554</v>
      </c>
      <c r="B533" s="67">
        <v>45977</v>
      </c>
    </row>
    <row r="534" spans="1:2">
      <c r="A534" s="66">
        <v>45980.32179991898</v>
      </c>
      <c r="B534" s="49" t="s">
        <v>9230</v>
      </c>
    </row>
    <row r="535" spans="1:2">
      <c r="A535" s="66">
        <v>45980.321851597226</v>
      </c>
      <c r="B535" s="49" t="s">
        <v>9073</v>
      </c>
    </row>
    <row r="536" spans="1:2">
      <c r="A536" s="66">
        <v>45980.321856956019</v>
      </c>
      <c r="B536" s="49" t="s">
        <v>9074</v>
      </c>
    </row>
    <row r="537" spans="1:2">
      <c r="A537" s="66">
        <v>45980.321858854164</v>
      </c>
      <c r="B537" s="49" t="s">
        <v>9191</v>
      </c>
    </row>
    <row r="538" spans="1:2">
      <c r="A538" s="66">
        <v>45980.322345011577</v>
      </c>
      <c r="B538" s="49" t="s">
        <v>9231</v>
      </c>
    </row>
    <row r="539" spans="1:2">
      <c r="A539" s="66">
        <v>45980.322364733795</v>
      </c>
      <c r="B539" s="49" t="s">
        <v>9073</v>
      </c>
    </row>
    <row r="540" spans="1:2">
      <c r="A540" s="66">
        <v>45980.322369942129</v>
      </c>
      <c r="B540" s="49" t="s">
        <v>9074</v>
      </c>
    </row>
    <row r="541" spans="1:2">
      <c r="A541" s="66">
        <v>45980.322373298608</v>
      </c>
      <c r="B541" s="49" t="s">
        <v>9191</v>
      </c>
    </row>
    <row r="542" spans="1:2">
      <c r="A542" s="66">
        <v>45980.322496631939</v>
      </c>
      <c r="B542" s="49" t="s">
        <v>9232</v>
      </c>
    </row>
    <row r="543" spans="1:2">
      <c r="A543" s="66">
        <v>45980.322515578708</v>
      </c>
      <c r="B543" s="49" t="s">
        <v>9073</v>
      </c>
    </row>
    <row r="544" spans="1:2">
      <c r="A544" s="66">
        <v>45980.322521273149</v>
      </c>
      <c r="B544" s="49" t="s">
        <v>9074</v>
      </c>
    </row>
    <row r="545" spans="1:2">
      <c r="A545" s="66">
        <v>45980.322522893519</v>
      </c>
      <c r="B545" s="49" t="s">
        <v>9191</v>
      </c>
    </row>
    <row r="546" spans="1:2">
      <c r="A546" s="66">
        <v>45980.343401840277</v>
      </c>
      <c r="B546" s="49" t="s">
        <v>9233</v>
      </c>
    </row>
    <row r="547" spans="1:2">
      <c r="A547" s="66">
        <v>45980.343411006943</v>
      </c>
      <c r="B547" s="49" t="s">
        <v>9234</v>
      </c>
    </row>
    <row r="548" spans="1:2">
      <c r="A548" s="66">
        <v>45980.343417986107</v>
      </c>
      <c r="B548" s="49" t="s">
        <v>9078</v>
      </c>
    </row>
    <row r="549" spans="1:2">
      <c r="A549" s="66">
        <v>45980.343478946757</v>
      </c>
      <c r="B549" s="49" t="s">
        <v>9235</v>
      </c>
    </row>
    <row r="550" spans="1:2">
      <c r="A550" s="66">
        <v>45980.343491053238</v>
      </c>
      <c r="B550" s="49" t="s">
        <v>9236</v>
      </c>
    </row>
    <row r="551" spans="1:2">
      <c r="A551" s="66">
        <v>45980.343495775465</v>
      </c>
      <c r="B551" s="49" t="s">
        <v>9191</v>
      </c>
    </row>
    <row r="552" spans="1:2">
      <c r="A552" s="66">
        <v>45980.343815775464</v>
      </c>
      <c r="B552" s="49" t="s">
        <v>9237</v>
      </c>
    </row>
    <row r="553" spans="1:2">
      <c r="A553" s="66">
        <v>45980.343821620372</v>
      </c>
      <c r="B553" s="49" t="s">
        <v>9234</v>
      </c>
    </row>
    <row r="554" spans="1:2">
      <c r="A554" s="66">
        <v>45980.343827233795</v>
      </c>
      <c r="B554" s="49" t="s">
        <v>9078</v>
      </c>
    </row>
    <row r="555" spans="1:2">
      <c r="A555" s="66">
        <v>45980.343845798612</v>
      </c>
      <c r="B555" s="49" t="s">
        <v>9238</v>
      </c>
    </row>
    <row r="556" spans="1:2">
      <c r="A556" s="66">
        <v>45980.343859641202</v>
      </c>
      <c r="B556" s="49" t="s">
        <v>9191</v>
      </c>
    </row>
    <row r="557" spans="1:2">
      <c r="A557" s="66">
        <v>45980.344044664351</v>
      </c>
      <c r="B557" s="49" t="s">
        <v>9075</v>
      </c>
    </row>
    <row r="558" spans="1:2">
      <c r="A558" s="66">
        <v>45980.344051793982</v>
      </c>
      <c r="B558" s="49" t="s">
        <v>9191</v>
      </c>
    </row>
    <row r="559" spans="1:2">
      <c r="A559" s="66">
        <v>45980.344441412039</v>
      </c>
      <c r="B559" s="49" t="s">
        <v>9194</v>
      </c>
    </row>
    <row r="560" spans="1:2">
      <c r="A560" s="66">
        <v>45980.344445115741</v>
      </c>
      <c r="B560" s="49" t="s">
        <v>9191</v>
      </c>
    </row>
    <row r="561" spans="1:2">
      <c r="A561" s="66">
        <v>45980.347069675925</v>
      </c>
      <c r="B561" s="49"/>
    </row>
    <row r="562" spans="1:2">
      <c r="A562" s="66">
        <v>45980.393037789356</v>
      </c>
      <c r="B562" s="49" t="s">
        <v>9239</v>
      </c>
    </row>
    <row r="563" spans="1:2">
      <c r="A563" s="66">
        <v>45980.393042800926</v>
      </c>
      <c r="B563" s="49" t="s">
        <v>9240</v>
      </c>
    </row>
    <row r="564" spans="1:2">
      <c r="A564" s="66">
        <v>45980.393046562502</v>
      </c>
      <c r="B564" s="49" t="s">
        <v>9078</v>
      </c>
    </row>
    <row r="565" spans="1:2">
      <c r="A565" s="66">
        <v>45980.393080787035</v>
      </c>
      <c r="B565" s="49" t="s">
        <v>9241</v>
      </c>
    </row>
    <row r="566" spans="1:2">
      <c r="A566" s="66">
        <v>45980.393090185185</v>
      </c>
      <c r="B566" s="49" t="s">
        <v>9242</v>
      </c>
    </row>
    <row r="567" spans="1:2">
      <c r="A567" s="66">
        <v>45980.393092939819</v>
      </c>
      <c r="B567" s="49" t="s">
        <v>9191</v>
      </c>
    </row>
    <row r="568" spans="1:2">
      <c r="A568" s="66">
        <v>45980.424975196758</v>
      </c>
      <c r="B568" s="49" t="s">
        <v>9243</v>
      </c>
    </row>
    <row r="569" spans="1:2">
      <c r="A569" s="66">
        <v>45980.424983993056</v>
      </c>
      <c r="B569" s="49" t="s">
        <v>9244</v>
      </c>
    </row>
    <row r="570" spans="1:2">
      <c r="A570" s="66">
        <v>45980.424987719904</v>
      </c>
      <c r="B570" s="49" t="s">
        <v>9078</v>
      </c>
    </row>
    <row r="571" spans="1:2">
      <c r="A571" s="66">
        <v>45980.425007094906</v>
      </c>
      <c r="B571" s="49" t="s">
        <v>9245</v>
      </c>
    </row>
    <row r="572" spans="1:2">
      <c r="A572" s="66">
        <v>45980.425011585648</v>
      </c>
      <c r="B572" s="49" t="s">
        <v>9191</v>
      </c>
    </row>
    <row r="573" spans="1:2">
      <c r="A573" s="66">
        <v>45980.456304039355</v>
      </c>
      <c r="B573" s="49" t="s">
        <v>9246</v>
      </c>
    </row>
    <row r="574" spans="1:2">
      <c r="A574" s="66">
        <v>45980.456310034722</v>
      </c>
      <c r="B574" s="49" t="s">
        <v>9247</v>
      </c>
    </row>
    <row r="575" spans="1:2">
      <c r="A575" s="66">
        <v>45980.456330416666</v>
      </c>
      <c r="B575" s="49" t="s">
        <v>9078</v>
      </c>
    </row>
    <row r="576" spans="1:2">
      <c r="A576" s="66">
        <v>45980.456354699076</v>
      </c>
      <c r="B576" s="49" t="s">
        <v>9248</v>
      </c>
    </row>
    <row r="577" spans="1:2">
      <c r="A577" s="66">
        <v>45980.456357951392</v>
      </c>
      <c r="B577" s="49" t="s">
        <v>9191</v>
      </c>
    </row>
    <row r="578" spans="1:2">
      <c r="A578" s="66">
        <v>45980.492910324072</v>
      </c>
      <c r="B578" s="49" t="s">
        <v>9249</v>
      </c>
    </row>
    <row r="579" spans="1:2">
      <c r="A579" s="66">
        <v>45980.492914548609</v>
      </c>
      <c r="B579" s="49" t="s">
        <v>9250</v>
      </c>
    </row>
    <row r="580" spans="1:2">
      <c r="A580" s="66">
        <v>45980.492935127317</v>
      </c>
      <c r="B580" s="49" t="s">
        <v>9078</v>
      </c>
    </row>
    <row r="581" spans="1:2">
      <c r="A581" s="66">
        <v>45980.492983530094</v>
      </c>
      <c r="B581" s="49" t="s">
        <v>9251</v>
      </c>
    </row>
    <row r="582" spans="1:2">
      <c r="A582" s="66">
        <v>45980.492990011575</v>
      </c>
      <c r="B582" s="49" t="s">
        <v>9252</v>
      </c>
    </row>
    <row r="583" spans="1:2">
      <c r="A583" s="66">
        <v>45980.49299363426</v>
      </c>
      <c r="B583" s="49" t="s">
        <v>9191</v>
      </c>
    </row>
    <row r="584" spans="1:2">
      <c r="A584" s="66">
        <v>45980.493209085646</v>
      </c>
      <c r="B584" s="49" t="s">
        <v>9253</v>
      </c>
    </row>
    <row r="585" spans="1:2">
      <c r="A585" s="66">
        <v>45980.493214965274</v>
      </c>
      <c r="B585" s="49" t="s">
        <v>9254</v>
      </c>
    </row>
    <row r="586" spans="1:2">
      <c r="A586" s="66">
        <v>45980.493226365739</v>
      </c>
      <c r="B586" s="49" t="s">
        <v>9078</v>
      </c>
    </row>
    <row r="587" spans="1:2">
      <c r="A587" s="66">
        <v>45980.493251215274</v>
      </c>
      <c r="B587" s="49" t="s">
        <v>9255</v>
      </c>
    </row>
    <row r="588" spans="1:2">
      <c r="A588" s="66">
        <v>45980.49326638889</v>
      </c>
      <c r="B588" s="49" t="s">
        <v>9256</v>
      </c>
    </row>
    <row r="589" spans="1:2">
      <c r="A589" s="66">
        <v>45980.493269722225</v>
      </c>
      <c r="B589" s="49" t="s">
        <v>9191</v>
      </c>
    </row>
    <row r="590" spans="1:2">
      <c r="A590" s="66">
        <v>45980.624890752311</v>
      </c>
      <c r="B590" s="49" t="s">
        <v>9257</v>
      </c>
    </row>
    <row r="591" spans="1:2">
      <c r="A591" s="66">
        <v>45980.624897430556</v>
      </c>
      <c r="B591" s="49" t="s">
        <v>9258</v>
      </c>
    </row>
    <row r="592" spans="1:2">
      <c r="A592" s="66">
        <v>45980.624903865741</v>
      </c>
      <c r="B592" s="49" t="s">
        <v>9078</v>
      </c>
    </row>
    <row r="593" spans="1:2">
      <c r="A593" s="66">
        <v>45980.624953391205</v>
      </c>
      <c r="B593" s="49" t="s">
        <v>9259</v>
      </c>
    </row>
    <row r="594" spans="1:2">
      <c r="A594" s="66">
        <v>45980.62503894676</v>
      </c>
      <c r="B594" s="49" t="s">
        <v>9260</v>
      </c>
    </row>
    <row r="595" spans="1:2">
      <c r="A595" s="66">
        <v>45980.632684745375</v>
      </c>
      <c r="B595" s="49" t="s">
        <v>9261</v>
      </c>
    </row>
    <row r="596" spans="1:2">
      <c r="A596" s="66">
        <v>45980.632699293987</v>
      </c>
      <c r="B596" s="49" t="s">
        <v>9247</v>
      </c>
    </row>
    <row r="597" spans="1:2">
      <c r="A597" s="66">
        <v>45980.632719606481</v>
      </c>
      <c r="B597" s="49" t="s">
        <v>9078</v>
      </c>
    </row>
    <row r="598" spans="1:2">
      <c r="A598" s="66">
        <v>45980.632741053239</v>
      </c>
      <c r="B598" s="49" t="s">
        <v>9248</v>
      </c>
    </row>
    <row r="599" spans="1:2">
      <c r="A599" s="66">
        <v>45980.632744259259</v>
      </c>
      <c r="B599" s="49" t="s">
        <v>9191</v>
      </c>
    </row>
    <row r="600" spans="1:2">
      <c r="A600" s="66">
        <v>45980.633064340276</v>
      </c>
      <c r="B600" s="49" t="s">
        <v>9262</v>
      </c>
    </row>
    <row r="601" spans="1:2">
      <c r="A601" s="66">
        <v>45980.633070358796</v>
      </c>
      <c r="B601" s="49" t="s">
        <v>9247</v>
      </c>
    </row>
    <row r="602" spans="1:2">
      <c r="A602" s="66">
        <v>45980.63307703704</v>
      </c>
      <c r="B602" s="49" t="s">
        <v>9078</v>
      </c>
    </row>
    <row r="603" spans="1:2">
      <c r="A603" s="66">
        <v>45980.633092835647</v>
      </c>
      <c r="B603" s="49" t="s">
        <v>9248</v>
      </c>
    </row>
    <row r="604" spans="1:2">
      <c r="A604" s="66">
        <v>45980.633095856479</v>
      </c>
      <c r="B604" s="49" t="s">
        <v>9191</v>
      </c>
    </row>
    <row r="605" spans="1:2">
      <c r="A605" s="66">
        <v>45980.736182407403</v>
      </c>
      <c r="B605" s="49" t="s">
        <v>9263</v>
      </c>
    </row>
    <row r="606" spans="1:2">
      <c r="A606" s="66">
        <v>45980.73618792824</v>
      </c>
      <c r="B606" s="49" t="s">
        <v>9240</v>
      </c>
    </row>
    <row r="607" spans="1:2">
      <c r="A607" s="66">
        <v>45980.736193391203</v>
      </c>
      <c r="B607" s="49" t="s">
        <v>9078</v>
      </c>
    </row>
    <row r="608" spans="1:2">
      <c r="A608" s="66">
        <v>45980.736234826385</v>
      </c>
      <c r="B608" s="49" t="s">
        <v>9241</v>
      </c>
    </row>
    <row r="609" spans="1:2">
      <c r="A609" s="66">
        <v>45980.736244085652</v>
      </c>
      <c r="B609" s="49" t="s">
        <v>9264</v>
      </c>
    </row>
    <row r="610" spans="1:2">
      <c r="A610" s="66">
        <v>45980.736246793982</v>
      </c>
      <c r="B610" s="49" t="s">
        <v>9191</v>
      </c>
    </row>
    <row r="611" spans="1:2">
      <c r="A611" s="66">
        <v>45980.951297997686</v>
      </c>
      <c r="B611" s="49" t="s">
        <v>9265</v>
      </c>
    </row>
    <row r="612" spans="1:2">
      <c r="A612" s="66">
        <v>45980.951304699076</v>
      </c>
      <c r="B612" s="49" t="s">
        <v>9266</v>
      </c>
    </row>
    <row r="613" spans="1:2">
      <c r="A613" s="66">
        <v>45980.951311365745</v>
      </c>
      <c r="B613" s="49" t="s">
        <v>9078</v>
      </c>
    </row>
    <row r="614" spans="1:2">
      <c r="A614" s="66">
        <v>45980.951357951388</v>
      </c>
      <c r="B614" s="49" t="s">
        <v>9267</v>
      </c>
    </row>
    <row r="615" spans="1:2">
      <c r="A615" s="66">
        <v>45980.951365787041</v>
      </c>
      <c r="B615" s="49" t="s">
        <v>9268</v>
      </c>
    </row>
    <row r="616" spans="1:2">
      <c r="A616" s="66">
        <v>45980.951369386574</v>
      </c>
      <c r="B616" s="49" t="s">
        <v>9191</v>
      </c>
    </row>
    <row r="617" spans="1:2">
      <c r="A617" s="66">
        <v>45981.255296250005</v>
      </c>
      <c r="B617" s="49"/>
    </row>
    <row r="618" spans="1:2">
      <c r="A618" s="66">
        <v>45981.25545921296</v>
      </c>
      <c r="B618" s="49"/>
    </row>
    <row r="619" spans="1:2">
      <c r="A619" s="66">
        <v>45981.255533877316</v>
      </c>
      <c r="B619" s="49"/>
    </row>
    <row r="620" spans="1:2">
      <c r="A620" s="66">
        <v>45981.256020393514</v>
      </c>
      <c r="B620" s="49"/>
    </row>
    <row r="621" spans="1:2">
      <c r="A621" s="66">
        <v>45981.256083483793</v>
      </c>
      <c r="B621" s="49"/>
    </row>
    <row r="622" spans="1:2">
      <c r="A622" s="66">
        <v>45981.256294212959</v>
      </c>
      <c r="B622" s="49"/>
    </row>
    <row r="623" spans="1:2">
      <c r="A623" s="66">
        <v>45981.262920486115</v>
      </c>
      <c r="B623" s="49" t="s">
        <v>9269</v>
      </c>
    </row>
    <row r="624" spans="1:2">
      <c r="A624" s="66">
        <v>45981.262957361112</v>
      </c>
      <c r="B624" s="49" t="s">
        <v>9073</v>
      </c>
    </row>
    <row r="625" spans="1:2">
      <c r="A625" s="66">
        <v>45981.262963611109</v>
      </c>
      <c r="B625" s="49" t="s">
        <v>9074</v>
      </c>
    </row>
    <row r="626" spans="1:2">
      <c r="A626" s="66">
        <v>45981.262965891205</v>
      </c>
      <c r="B626" s="49" t="s">
        <v>9191</v>
      </c>
    </row>
    <row r="627" spans="1:2">
      <c r="A627" s="66">
        <v>45981.265868599541</v>
      </c>
      <c r="B627" s="49" t="s">
        <v>9270</v>
      </c>
    </row>
    <row r="628" spans="1:2">
      <c r="A628" s="66">
        <v>45981.265886620371</v>
      </c>
      <c r="B628" s="49" t="s">
        <v>9073</v>
      </c>
    </row>
    <row r="629" spans="1:2">
      <c r="A629" s="66">
        <v>45981.265891967589</v>
      </c>
      <c r="B629" s="49" t="s">
        <v>9074</v>
      </c>
    </row>
    <row r="630" spans="1:2">
      <c r="A630" s="66">
        <v>45981.265893900461</v>
      </c>
      <c r="B630" s="49" t="s">
        <v>9191</v>
      </c>
    </row>
    <row r="631" spans="1:2">
      <c r="A631" s="66">
        <v>45981.267911967589</v>
      </c>
      <c r="B631" s="49"/>
    </row>
    <row r="632" spans="1:2">
      <c r="A632" s="66">
        <v>45981.27147576389</v>
      </c>
      <c r="B632" s="49" t="s">
        <v>9271</v>
      </c>
    </row>
    <row r="633" spans="1:2">
      <c r="A633" s="66">
        <v>45981.271481736112</v>
      </c>
      <c r="B633" s="49" t="s">
        <v>9272</v>
      </c>
    </row>
    <row r="634" spans="1:2">
      <c r="A634" s="66">
        <v>45981.271486736106</v>
      </c>
      <c r="B634" s="49" t="s">
        <v>9078</v>
      </c>
    </row>
    <row r="635" spans="1:2">
      <c r="A635" s="66">
        <v>45981.27152623843</v>
      </c>
      <c r="B635" s="49" t="s">
        <v>9273</v>
      </c>
    </row>
    <row r="636" spans="1:2">
      <c r="A636" s="66">
        <v>45981.27152988426</v>
      </c>
      <c r="B636" s="49" t="s">
        <v>9191</v>
      </c>
    </row>
    <row r="637" spans="1:2">
      <c r="A637" s="66">
        <v>45981.275670567135</v>
      </c>
      <c r="B637" s="49"/>
    </row>
    <row r="638" spans="1:2">
      <c r="A638" s="66">
        <v>45981.299847766204</v>
      </c>
      <c r="B638" s="49" t="s">
        <v>9274</v>
      </c>
    </row>
    <row r="639" spans="1:2">
      <c r="A639" s="66">
        <v>45981.299875266202</v>
      </c>
      <c r="B639" s="49" t="s">
        <v>9073</v>
      </c>
    </row>
    <row r="640" spans="1:2">
      <c r="A640" s="66">
        <v>45981.299880509257</v>
      </c>
      <c r="B640" s="49" t="s">
        <v>9074</v>
      </c>
    </row>
    <row r="641" spans="1:2">
      <c r="A641" s="66">
        <v>45981.299882476851</v>
      </c>
      <c r="B641" s="49" t="s">
        <v>9191</v>
      </c>
    </row>
    <row r="642" spans="1:2">
      <c r="A642" s="66">
        <v>45981.327060243057</v>
      </c>
      <c r="B642" s="49"/>
    </row>
    <row r="643" spans="1:2">
      <c r="A643" s="66">
        <v>45981.33706017361</v>
      </c>
      <c r="B643" s="49"/>
    </row>
    <row r="644" spans="1:2">
      <c r="A644" s="66">
        <v>45981.340229780093</v>
      </c>
      <c r="B644" s="49"/>
    </row>
    <row r="645" spans="1:2">
      <c r="A645" s="66">
        <v>45981.343391018519</v>
      </c>
      <c r="B645" s="49" t="s">
        <v>9275</v>
      </c>
    </row>
    <row r="646" spans="1:2">
      <c r="A646" s="66">
        <v>45981.343425729166</v>
      </c>
      <c r="B646" s="49" t="s">
        <v>9073</v>
      </c>
    </row>
    <row r="647" spans="1:2">
      <c r="A647" s="66">
        <v>45981.343431273148</v>
      </c>
      <c r="B647" s="49" t="s">
        <v>9074</v>
      </c>
    </row>
    <row r="648" spans="1:2">
      <c r="A648" s="66">
        <v>45981.343437546297</v>
      </c>
      <c r="B648" s="49" t="s">
        <v>9191</v>
      </c>
    </row>
    <row r="649" spans="1:2">
      <c r="A649" s="66">
        <v>45981.354368437504</v>
      </c>
      <c r="B649" s="49"/>
    </row>
    <row r="650" spans="1:2">
      <c r="A650" s="66">
        <v>45981.364932905097</v>
      </c>
      <c r="B650" s="49" t="s">
        <v>9276</v>
      </c>
    </row>
    <row r="651" spans="1:2">
      <c r="A651" s="66">
        <v>45981.364938078703</v>
      </c>
      <c r="B651" s="49" t="s">
        <v>9277</v>
      </c>
    </row>
    <row r="652" spans="1:2">
      <c r="A652" s="66">
        <v>45981.364943032408</v>
      </c>
      <c r="B652" s="49" t="s">
        <v>9078</v>
      </c>
    </row>
    <row r="653" spans="1:2">
      <c r="A653" s="66">
        <v>45981.364988252317</v>
      </c>
      <c r="B653" s="49" t="s">
        <v>9278</v>
      </c>
    </row>
    <row r="654" spans="1:2">
      <c r="A654" s="66">
        <v>45981.364995706019</v>
      </c>
      <c r="B654" s="49" t="s">
        <v>9279</v>
      </c>
    </row>
    <row r="655" spans="1:2">
      <c r="A655" s="66">
        <v>45981.364998460645</v>
      </c>
      <c r="B655" s="49" t="s">
        <v>9191</v>
      </c>
    </row>
    <row r="656" spans="1:2">
      <c r="A656" s="66">
        <v>45981.376134513892</v>
      </c>
      <c r="B656" s="49"/>
    </row>
    <row r="657" spans="1:2">
      <c r="A657" s="66">
        <v>45981.381248657402</v>
      </c>
      <c r="B657" s="49"/>
    </row>
    <row r="658" spans="1:2">
      <c r="A658" s="66">
        <v>45981.381863020833</v>
      </c>
      <c r="B658" s="67">
        <v>45981</v>
      </c>
    </row>
    <row r="659" spans="1:2">
      <c r="A659" s="66">
        <v>45981.382044710648</v>
      </c>
      <c r="B659" s="67"/>
    </row>
    <row r="660" spans="1:2">
      <c r="A660" s="66">
        <v>45981.416951724532</v>
      </c>
      <c r="B660" s="49" t="s">
        <v>9280</v>
      </c>
    </row>
    <row r="661" spans="1:2">
      <c r="A661" s="66">
        <v>45981.416963067131</v>
      </c>
      <c r="B661" s="49" t="s">
        <v>9281</v>
      </c>
    </row>
    <row r="662" spans="1:2">
      <c r="A662" s="66">
        <v>45981.416981006943</v>
      </c>
      <c r="B662" s="49" t="s">
        <v>9078</v>
      </c>
    </row>
    <row r="663" spans="1:2">
      <c r="A663" s="66">
        <v>45981.417024317125</v>
      </c>
      <c r="B663" s="49" t="s">
        <v>9282</v>
      </c>
    </row>
    <row r="664" spans="1:2">
      <c r="A664" s="66">
        <v>45981.417026979165</v>
      </c>
      <c r="B664" s="49" t="s">
        <v>9191</v>
      </c>
    </row>
    <row r="665" spans="1:2">
      <c r="A665" s="66">
        <v>45981.497143842593</v>
      </c>
      <c r="B665" s="49" t="s">
        <v>9283</v>
      </c>
    </row>
    <row r="666" spans="1:2">
      <c r="A666" s="66">
        <v>45981.497150925927</v>
      </c>
      <c r="B666" s="49" t="s">
        <v>9284</v>
      </c>
    </row>
    <row r="667" spans="1:2">
      <c r="A667" s="66">
        <v>45981.4971721412</v>
      </c>
      <c r="B667" s="49" t="s">
        <v>9078</v>
      </c>
    </row>
    <row r="668" spans="1:2">
      <c r="A668" s="66">
        <v>45981.497207407403</v>
      </c>
      <c r="B668" s="49" t="s">
        <v>9285</v>
      </c>
    </row>
    <row r="669" spans="1:2">
      <c r="A669" s="66">
        <v>45981.497215613424</v>
      </c>
      <c r="B669" s="49" t="s">
        <v>9286</v>
      </c>
    </row>
    <row r="670" spans="1:2">
      <c r="A670" s="66">
        <v>45981.49721883102</v>
      </c>
      <c r="B670" s="49" t="s">
        <v>9191</v>
      </c>
    </row>
    <row r="671" spans="1:2">
      <c r="A671" s="66">
        <v>45981.530924872684</v>
      </c>
      <c r="B671" s="49" t="s">
        <v>9287</v>
      </c>
    </row>
    <row r="672" spans="1:2">
      <c r="A672" s="66">
        <v>45981.530930752313</v>
      </c>
      <c r="B672" s="49" t="s">
        <v>9288</v>
      </c>
    </row>
    <row r="673" spans="1:2">
      <c r="A673" s="66">
        <v>45981.530936249997</v>
      </c>
      <c r="B673" s="49" t="s">
        <v>9078</v>
      </c>
    </row>
    <row r="674" spans="1:2">
      <c r="A674" s="66">
        <v>45981.530992037035</v>
      </c>
      <c r="B674" s="49" t="s">
        <v>9289</v>
      </c>
    </row>
    <row r="675" spans="1:2">
      <c r="A675" s="66">
        <v>45981.530994606481</v>
      </c>
      <c r="B675" s="49" t="s">
        <v>9191</v>
      </c>
    </row>
    <row r="676" spans="1:2">
      <c r="A676" s="66">
        <v>45981.658345891206</v>
      </c>
      <c r="B676" s="49" t="s">
        <v>9290</v>
      </c>
    </row>
    <row r="677" spans="1:2">
      <c r="A677" s="66">
        <v>45981.658352372688</v>
      </c>
      <c r="B677" s="49" t="s">
        <v>9291</v>
      </c>
    </row>
    <row r="678" spans="1:2">
      <c r="A678" s="66">
        <v>45981.658376111111</v>
      </c>
      <c r="B678" s="49" t="s">
        <v>9078</v>
      </c>
    </row>
    <row r="679" spans="1:2">
      <c r="A679" s="66">
        <v>45981.658398194442</v>
      </c>
      <c r="B679" s="49" t="s">
        <v>9292</v>
      </c>
    </row>
    <row r="680" spans="1:2">
      <c r="A680" s="66">
        <v>45981.65840122685</v>
      </c>
      <c r="B680" s="49" t="s">
        <v>9191</v>
      </c>
    </row>
    <row r="681" spans="1:2">
      <c r="A681" s="66">
        <v>45981.754063761575</v>
      </c>
      <c r="B681" s="49" t="s">
        <v>9293</v>
      </c>
    </row>
    <row r="682" spans="1:2">
      <c r="A682" s="66">
        <v>45981.754069108792</v>
      </c>
      <c r="B682" s="49" t="s">
        <v>9294</v>
      </c>
    </row>
    <row r="683" spans="1:2">
      <c r="A683" s="66">
        <v>45981.754075486111</v>
      </c>
      <c r="B683" s="49" t="s">
        <v>9078</v>
      </c>
    </row>
    <row r="684" spans="1:2">
      <c r="A684" s="66">
        <v>45981.754109884263</v>
      </c>
      <c r="B684" s="49" t="s">
        <v>9295</v>
      </c>
    </row>
    <row r="685" spans="1:2">
      <c r="A685" s="66">
        <v>45981.754113136572</v>
      </c>
      <c r="B685" s="49" t="s">
        <v>9191</v>
      </c>
    </row>
    <row r="686" spans="1:2">
      <c r="A686" s="66">
        <v>45982.225086377315</v>
      </c>
      <c r="B686" s="49" t="s">
        <v>9296</v>
      </c>
    </row>
    <row r="687" spans="1:2">
      <c r="A687" s="66">
        <v>45982.225090613429</v>
      </c>
      <c r="B687" s="49" t="s">
        <v>9297</v>
      </c>
    </row>
    <row r="688" spans="1:2">
      <c r="A688" s="66">
        <v>45982.225117199079</v>
      </c>
      <c r="B688" s="49" t="s">
        <v>9078</v>
      </c>
    </row>
    <row r="689" spans="1:2">
      <c r="A689" s="66">
        <v>45982.22512938657</v>
      </c>
      <c r="B689" s="49" t="s">
        <v>9298</v>
      </c>
    </row>
    <row r="690" spans="1:2">
      <c r="A690" s="66">
        <v>45982.225131435189</v>
      </c>
      <c r="B690" s="49" t="s">
        <v>9191</v>
      </c>
    </row>
    <row r="691" spans="1:2">
      <c r="A691" s="66">
        <v>45982.225316956014</v>
      </c>
      <c r="B691" s="49" t="s">
        <v>9299</v>
      </c>
    </row>
    <row r="692" spans="1:2">
      <c r="A692" s="66">
        <v>45982.225323831022</v>
      </c>
      <c r="B692" s="49" t="s">
        <v>9300</v>
      </c>
    </row>
    <row r="693" spans="1:2">
      <c r="A693" s="66">
        <v>45982.225329363428</v>
      </c>
      <c r="B693" s="49" t="s">
        <v>9078</v>
      </c>
    </row>
    <row r="694" spans="1:2">
      <c r="A694" s="66">
        <v>45982.225349687498</v>
      </c>
      <c r="B694" s="49" t="s">
        <v>9301</v>
      </c>
    </row>
    <row r="695" spans="1:2">
      <c r="A695" s="66">
        <v>45982.225354108799</v>
      </c>
      <c r="B695" s="49" t="s">
        <v>9191</v>
      </c>
    </row>
    <row r="696" spans="1:2">
      <c r="A696" s="66">
        <v>45982.22599334491</v>
      </c>
      <c r="B696" s="49" t="s">
        <v>9302</v>
      </c>
    </row>
    <row r="697" spans="1:2">
      <c r="A697" s="66">
        <v>45982.225998715279</v>
      </c>
      <c r="B697" s="49" t="s">
        <v>9303</v>
      </c>
    </row>
    <row r="698" spans="1:2">
      <c r="A698" s="66">
        <v>45982.226003877317</v>
      </c>
      <c r="B698" s="49" t="s">
        <v>9078</v>
      </c>
    </row>
    <row r="699" spans="1:2">
      <c r="A699" s="66">
        <v>45982.226024212963</v>
      </c>
      <c r="B699" s="49" t="s">
        <v>9304</v>
      </c>
    </row>
    <row r="700" spans="1:2">
      <c r="A700" s="66">
        <v>45982.226026956021</v>
      </c>
      <c r="B700" s="49" t="s">
        <v>9191</v>
      </c>
    </row>
    <row r="701" spans="1:2">
      <c r="A701" s="66">
        <v>45982.226370648146</v>
      </c>
      <c r="B701" s="49" t="s">
        <v>9296</v>
      </c>
    </row>
    <row r="702" spans="1:2">
      <c r="A702" s="66">
        <v>45982.226374270831</v>
      </c>
      <c r="B702" s="49" t="s">
        <v>9297</v>
      </c>
    </row>
    <row r="703" spans="1:2">
      <c r="A703" s="66">
        <v>45982.226378206018</v>
      </c>
      <c r="B703" s="49" t="s">
        <v>9078</v>
      </c>
    </row>
    <row r="704" spans="1:2">
      <c r="A704" s="66">
        <v>45982.226401828702</v>
      </c>
      <c r="B704" s="49" t="s">
        <v>9298</v>
      </c>
    </row>
    <row r="705" spans="1:2">
      <c r="A705" s="66">
        <v>45982.226403761575</v>
      </c>
      <c r="B705" s="49" t="s">
        <v>9191</v>
      </c>
    </row>
    <row r="706" spans="1:2">
      <c r="A706" s="66">
        <v>45982.230925335651</v>
      </c>
      <c r="B706" s="49" t="s">
        <v>9305</v>
      </c>
    </row>
    <row r="707" spans="1:2">
      <c r="A707" s="66">
        <v>45982.230938009263</v>
      </c>
      <c r="B707" s="49" t="s">
        <v>9306</v>
      </c>
    </row>
    <row r="708" spans="1:2">
      <c r="A708" s="66">
        <v>45982.230963703703</v>
      </c>
      <c r="B708" s="49" t="s">
        <v>9078</v>
      </c>
    </row>
    <row r="709" spans="1:2">
      <c r="A709" s="66">
        <v>45982.230995624996</v>
      </c>
      <c r="B709" s="49" t="s">
        <v>9307</v>
      </c>
    </row>
    <row r="710" spans="1:2">
      <c r="A710" s="66">
        <v>45982.231002488421</v>
      </c>
      <c r="B710" s="49" t="s">
        <v>9308</v>
      </c>
    </row>
    <row r="711" spans="1:2">
      <c r="A711" s="66">
        <v>45982.231004953705</v>
      </c>
      <c r="B711" s="49" t="s">
        <v>9191</v>
      </c>
    </row>
    <row r="712" spans="1:2">
      <c r="A712" s="66">
        <v>45982.236794583332</v>
      </c>
      <c r="B712" s="67">
        <v>45979</v>
      </c>
    </row>
    <row r="713" spans="1:2">
      <c r="A713" s="66">
        <v>45982.23690802083</v>
      </c>
      <c r="B713" s="67">
        <v>45979</v>
      </c>
    </row>
    <row r="714" spans="1:2">
      <c r="A714" s="66">
        <v>45982.240760590277</v>
      </c>
      <c r="B714" s="49" t="s">
        <v>9309</v>
      </c>
    </row>
    <row r="715" spans="1:2">
      <c r="A715" s="66">
        <v>45982.240780266206</v>
      </c>
      <c r="B715" s="49" t="s">
        <v>9310</v>
      </c>
    </row>
    <row r="716" spans="1:2">
      <c r="A716" s="66">
        <v>45982.240785601854</v>
      </c>
      <c r="B716" s="49" t="s">
        <v>9074</v>
      </c>
    </row>
    <row r="717" spans="1:2">
      <c r="A717" s="66">
        <v>45982.240787534727</v>
      </c>
      <c r="B717" s="49" t="s">
        <v>9191</v>
      </c>
    </row>
    <row r="718" spans="1:2">
      <c r="A718" s="66">
        <v>45982.242662291668</v>
      </c>
      <c r="B718" s="67">
        <v>45979</v>
      </c>
    </row>
    <row r="719" spans="1:2">
      <c r="A719" s="66">
        <v>45982.247070347221</v>
      </c>
      <c r="B719" s="67"/>
    </row>
    <row r="720" spans="1:2">
      <c r="A720" s="66">
        <v>45982.247096446757</v>
      </c>
      <c r="B720" s="67"/>
    </row>
    <row r="721" spans="1:2">
      <c r="A721" s="66">
        <v>45982.24712644676</v>
      </c>
      <c r="B721" s="67"/>
    </row>
    <row r="722" spans="1:2">
      <c r="A722" s="66">
        <v>45982.247147928239</v>
      </c>
      <c r="B722" s="67"/>
    </row>
    <row r="723" spans="1:2">
      <c r="A723" s="66">
        <v>45982.247160625004</v>
      </c>
      <c r="B723" s="67"/>
    </row>
    <row r="724" spans="1:2">
      <c r="A724" s="66">
        <v>45982.254348807866</v>
      </c>
      <c r="B724" s="67"/>
    </row>
    <row r="725" spans="1:2">
      <c r="A725" s="66">
        <v>45982.262894988424</v>
      </c>
      <c r="B725" s="67"/>
    </row>
    <row r="726" spans="1:2">
      <c r="A726" s="66">
        <v>45982.268572048612</v>
      </c>
      <c r="B726" s="49" t="s">
        <v>9311</v>
      </c>
    </row>
    <row r="727" spans="1:2">
      <c r="A727" s="66">
        <v>45982.268611620369</v>
      </c>
      <c r="B727" s="49" t="s">
        <v>9310</v>
      </c>
    </row>
    <row r="728" spans="1:2">
      <c r="A728" s="66">
        <v>45982.26861752315</v>
      </c>
      <c r="B728" s="49" t="s">
        <v>9074</v>
      </c>
    </row>
    <row r="729" spans="1:2">
      <c r="A729" s="66">
        <v>45982.268619374998</v>
      </c>
      <c r="B729" s="49" t="s">
        <v>9191</v>
      </c>
    </row>
    <row r="730" spans="1:2">
      <c r="A730" s="66">
        <v>45982.271024861111</v>
      </c>
      <c r="B730" s="49"/>
    </row>
    <row r="731" spans="1:2">
      <c r="A731" s="66">
        <v>45982.278415451394</v>
      </c>
      <c r="B731" s="49"/>
    </row>
    <row r="732" spans="1:2">
      <c r="A732" s="66">
        <v>45982.278953356479</v>
      </c>
      <c r="B732" s="49" t="s">
        <v>9312</v>
      </c>
    </row>
    <row r="733" spans="1:2">
      <c r="A733" s="66">
        <v>45982.278983287033</v>
      </c>
      <c r="B733" s="49" t="s">
        <v>9310</v>
      </c>
    </row>
    <row r="734" spans="1:2">
      <c r="A734" s="66">
        <v>45982.278989502316</v>
      </c>
      <c r="B734" s="49" t="s">
        <v>9074</v>
      </c>
    </row>
    <row r="735" spans="1:2">
      <c r="A735" s="66">
        <v>45982.278992615742</v>
      </c>
      <c r="B735" s="49" t="s">
        <v>9191</v>
      </c>
    </row>
    <row r="736" spans="1:2">
      <c r="A736" s="66">
        <v>45982.285282962963</v>
      </c>
      <c r="B736" s="49"/>
    </row>
    <row r="737" spans="1:2">
      <c r="A737" s="66">
        <v>45982.332354722224</v>
      </c>
      <c r="B737" s="49"/>
    </row>
    <row r="738" spans="1:2">
      <c r="A738" s="66">
        <v>45982.332362037036</v>
      </c>
      <c r="B738" s="49"/>
    </row>
    <row r="739" spans="1:2">
      <c r="A739" s="66">
        <v>45982.332390729163</v>
      </c>
      <c r="B739" s="49"/>
    </row>
    <row r="740" spans="1:2">
      <c r="A740" s="66">
        <v>45982.36550861111</v>
      </c>
      <c r="B740" s="49" t="s">
        <v>9313</v>
      </c>
    </row>
    <row r="741" spans="1:2">
      <c r="A741" s="66">
        <v>45982.36555505787</v>
      </c>
      <c r="B741" s="49" t="s">
        <v>9073</v>
      </c>
    </row>
    <row r="742" spans="1:2">
      <c r="A742" s="66">
        <v>45982.365562789353</v>
      </c>
      <c r="B742" s="49" t="s">
        <v>9074</v>
      </c>
    </row>
    <row r="743" spans="1:2">
      <c r="A743" s="66">
        <v>45982.365565995366</v>
      </c>
      <c r="B743" s="49" t="s">
        <v>9191</v>
      </c>
    </row>
    <row r="744" spans="1:2">
      <c r="A744" s="66">
        <v>45982.80138336806</v>
      </c>
      <c r="B744" s="49" t="s">
        <v>9314</v>
      </c>
    </row>
    <row r="745" spans="1:2">
      <c r="A745" s="66">
        <v>45982.801405578706</v>
      </c>
      <c r="B745" s="49" t="s">
        <v>9315</v>
      </c>
    </row>
    <row r="746" spans="1:2">
      <c r="A746" s="66">
        <v>45982.801420787036</v>
      </c>
      <c r="B746" s="49" t="s">
        <v>9078</v>
      </c>
    </row>
    <row r="747" spans="1:2">
      <c r="A747" s="66">
        <v>45982.801476666667</v>
      </c>
      <c r="B747" s="49" t="s">
        <v>9316</v>
      </c>
    </row>
    <row r="748" spans="1:2">
      <c r="A748" s="66">
        <v>45982.801480289352</v>
      </c>
      <c r="B748" s="49" t="s">
        <v>9191</v>
      </c>
    </row>
    <row r="749" spans="1:2">
      <c r="A749" s="66">
        <v>45982.824967175926</v>
      </c>
      <c r="B749" s="49" t="s">
        <v>9317</v>
      </c>
    </row>
    <row r="750" spans="1:2">
      <c r="A750" s="66">
        <v>45982.824972465278</v>
      </c>
      <c r="B750" s="49" t="s">
        <v>9318</v>
      </c>
    </row>
    <row r="751" spans="1:2">
      <c r="A751" s="66">
        <v>45982.824977129625</v>
      </c>
      <c r="B751" s="49" t="s">
        <v>9078</v>
      </c>
    </row>
    <row r="752" spans="1:2">
      <c r="A752" s="66">
        <v>45982.824996030089</v>
      </c>
      <c r="B752" s="49" t="s">
        <v>9319</v>
      </c>
    </row>
    <row r="753" spans="1:2">
      <c r="A753" s="66">
        <v>45982.825000914352</v>
      </c>
      <c r="B753" s="49" t="s">
        <v>9191</v>
      </c>
    </row>
    <row r="754" spans="1:2">
      <c r="A754" s="66">
        <v>45982.84793481481</v>
      </c>
      <c r="B754" s="49" t="s">
        <v>9320</v>
      </c>
    </row>
    <row r="755" spans="1:2">
      <c r="A755" s="66">
        <v>45982.847941631946</v>
      </c>
      <c r="B755" s="49" t="s">
        <v>9318</v>
      </c>
    </row>
    <row r="756" spans="1:2">
      <c r="A756" s="66">
        <v>45982.847966585643</v>
      </c>
      <c r="B756" s="49" t="s">
        <v>9078</v>
      </c>
    </row>
    <row r="757" spans="1:2">
      <c r="A757" s="66">
        <v>45982.847993495372</v>
      </c>
      <c r="B757" s="49" t="s">
        <v>9319</v>
      </c>
    </row>
    <row r="758" spans="1:2">
      <c r="A758" s="66">
        <v>45982.847998680554</v>
      </c>
      <c r="B758" s="49" t="s">
        <v>9191</v>
      </c>
    </row>
    <row r="759" spans="1:2">
      <c r="A759" s="66">
        <v>45983.227117337963</v>
      </c>
      <c r="B759" s="49" t="s">
        <v>9321</v>
      </c>
    </row>
    <row r="760" spans="1:2">
      <c r="A760" s="66">
        <v>45983.227160567127</v>
      </c>
      <c r="B760" s="49" t="s">
        <v>9073</v>
      </c>
    </row>
    <row r="761" spans="1:2">
      <c r="A761" s="66">
        <v>45983.227168078709</v>
      </c>
      <c r="B761" s="49" t="s">
        <v>9074</v>
      </c>
    </row>
    <row r="762" spans="1:2">
      <c r="A762" s="66">
        <v>45983.227170578699</v>
      </c>
      <c r="B762" s="49" t="s">
        <v>9191</v>
      </c>
    </row>
    <row r="763" spans="1:2">
      <c r="A763" s="66">
        <v>45983.240309733796</v>
      </c>
      <c r="B763" s="49"/>
    </row>
    <row r="764" spans="1:2">
      <c r="A764" s="66">
        <v>45983.249840092598</v>
      </c>
      <c r="B764" s="49"/>
    </row>
    <row r="765" spans="1:2">
      <c r="A765" s="66">
        <v>45983.25643981481</v>
      </c>
      <c r="B765" s="49" t="s">
        <v>9322</v>
      </c>
    </row>
    <row r="766" spans="1:2">
      <c r="A766" s="66">
        <v>45983.256485185186</v>
      </c>
      <c r="B766" s="49" t="s">
        <v>9073</v>
      </c>
    </row>
    <row r="767" spans="1:2">
      <c r="A767" s="66">
        <v>45983.256490324071</v>
      </c>
      <c r="B767" s="49" t="s">
        <v>9074</v>
      </c>
    </row>
    <row r="768" spans="1:2">
      <c r="A768" s="66">
        <v>45983.256492233792</v>
      </c>
      <c r="B768" s="49" t="s">
        <v>9191</v>
      </c>
    </row>
    <row r="769" spans="1:2">
      <c r="A769" s="66">
        <v>45983.262357754633</v>
      </c>
      <c r="B769" s="49"/>
    </row>
    <row r="770" spans="1:2">
      <c r="A770" s="66">
        <v>45983.262402743057</v>
      </c>
      <c r="B770" s="49"/>
    </row>
    <row r="771" spans="1:2">
      <c r="A771" s="66">
        <v>45983.281419398147</v>
      </c>
      <c r="B771" s="49"/>
    </row>
    <row r="772" spans="1:2">
      <c r="A772" s="66">
        <v>45983.295205775459</v>
      </c>
      <c r="B772" s="49" t="s">
        <v>9323</v>
      </c>
    </row>
    <row r="773" spans="1:2">
      <c r="A773" s="66">
        <v>45983.295253958335</v>
      </c>
      <c r="B773" s="49" t="s">
        <v>9073</v>
      </c>
    </row>
    <row r="774" spans="1:2">
      <c r="A774" s="66">
        <v>45983.295259074075</v>
      </c>
      <c r="B774" s="49" t="s">
        <v>9074</v>
      </c>
    </row>
    <row r="775" spans="1:2">
      <c r="A775" s="66">
        <v>45983.295261747684</v>
      </c>
      <c r="B775" s="49" t="s">
        <v>9191</v>
      </c>
    </row>
    <row r="776" spans="1:2">
      <c r="A776" s="66">
        <v>45983.330614189814</v>
      </c>
      <c r="B776" s="49" t="s">
        <v>9324</v>
      </c>
    </row>
    <row r="777" spans="1:2">
      <c r="A777" s="66">
        <v>45983.330645428243</v>
      </c>
      <c r="B777" s="49" t="s">
        <v>9073</v>
      </c>
    </row>
    <row r="778" spans="1:2">
      <c r="A778" s="66">
        <v>45983.330651458338</v>
      </c>
      <c r="B778" s="49" t="s">
        <v>9074</v>
      </c>
    </row>
    <row r="779" spans="1:2">
      <c r="A779" s="66">
        <v>45983.330655347221</v>
      </c>
      <c r="B779" s="49" t="s">
        <v>9191</v>
      </c>
    </row>
    <row r="780" spans="1:2">
      <c r="A780" s="66">
        <v>45983.393513680552</v>
      </c>
      <c r="B780" s="49" t="s">
        <v>9325</v>
      </c>
    </row>
    <row r="781" spans="1:2">
      <c r="A781" s="66">
        <v>45983.393521018515</v>
      </c>
      <c r="B781" s="49" t="s">
        <v>9326</v>
      </c>
    </row>
    <row r="782" spans="1:2">
      <c r="A782" s="66">
        <v>45983.393525925931</v>
      </c>
      <c r="B782" s="49" t="s">
        <v>9078</v>
      </c>
    </row>
    <row r="783" spans="1:2">
      <c r="A783" s="66">
        <v>45983.39357857639</v>
      </c>
      <c r="B783" s="49" t="s">
        <v>9327</v>
      </c>
    </row>
    <row r="784" spans="1:2">
      <c r="A784" s="66">
        <v>45983.393586863429</v>
      </c>
      <c r="B784" s="49" t="s">
        <v>9328</v>
      </c>
    </row>
    <row r="785" spans="1:2">
      <c r="A785" s="66">
        <v>45983.393589444444</v>
      </c>
      <c r="B785" s="49" t="s">
        <v>9191</v>
      </c>
    </row>
    <row r="786" spans="1:2">
      <c r="A786" s="66">
        <v>45983.396270011574</v>
      </c>
      <c r="B786" s="49" t="s">
        <v>9329</v>
      </c>
    </row>
    <row r="787" spans="1:2">
      <c r="A787" s="66">
        <v>45983.396286909723</v>
      </c>
      <c r="B787" s="49" t="s">
        <v>9326</v>
      </c>
    </row>
    <row r="788" spans="1:2">
      <c r="A788" s="66">
        <v>45983.39629326389</v>
      </c>
      <c r="B788" s="49" t="s">
        <v>9078</v>
      </c>
    </row>
    <row r="789" spans="1:2">
      <c r="A789" s="66">
        <v>45983.396314039353</v>
      </c>
      <c r="B789" s="49" t="s">
        <v>9330</v>
      </c>
    </row>
    <row r="790" spans="1:2">
      <c r="A790" s="66">
        <v>45983.396317175924</v>
      </c>
      <c r="B790" s="49" t="s">
        <v>9191</v>
      </c>
    </row>
    <row r="791" spans="1:2">
      <c r="A791" s="66">
        <v>45983.42254003472</v>
      </c>
      <c r="B791" s="49"/>
    </row>
    <row r="792" spans="1:2">
      <c r="A792" s="66">
        <v>45983.621249502314</v>
      </c>
      <c r="B792" s="49" t="s">
        <v>9331</v>
      </c>
    </row>
    <row r="793" spans="1:2">
      <c r="A793" s="66">
        <v>45983.621257384264</v>
      </c>
      <c r="B793" s="49" t="s">
        <v>9332</v>
      </c>
    </row>
    <row r="794" spans="1:2">
      <c r="A794" s="66">
        <v>45983.621263483801</v>
      </c>
      <c r="B794" s="49" t="s">
        <v>9078</v>
      </c>
    </row>
    <row r="795" spans="1:2">
      <c r="A795" s="66">
        <v>45983.621301412037</v>
      </c>
      <c r="B795" s="49" t="s">
        <v>9333</v>
      </c>
    </row>
    <row r="796" spans="1:2">
      <c r="A796" s="66">
        <v>45983.621310347226</v>
      </c>
      <c r="B796" s="49" t="s">
        <v>9334</v>
      </c>
    </row>
    <row r="797" spans="1:2">
      <c r="A797" s="66">
        <v>45983.621313043986</v>
      </c>
      <c r="B797" s="49" t="s">
        <v>9191</v>
      </c>
    </row>
    <row r="798" spans="1:2">
      <c r="A798" s="66">
        <v>45983.668611423607</v>
      </c>
      <c r="B798" s="49" t="s">
        <v>9335</v>
      </c>
    </row>
    <row r="799" spans="1:2">
      <c r="A799" s="66">
        <v>45983.668619282413</v>
      </c>
      <c r="B799" s="49" t="s">
        <v>9103</v>
      </c>
    </row>
    <row r="800" spans="1:2">
      <c r="A800" s="66">
        <v>45983.668627499996</v>
      </c>
      <c r="B800" s="49" t="s">
        <v>9078</v>
      </c>
    </row>
    <row r="801" spans="1:2">
      <c r="A801" s="66">
        <v>45983.66866599537</v>
      </c>
      <c r="B801" s="49" t="s">
        <v>9282</v>
      </c>
    </row>
    <row r="802" spans="1:2">
      <c r="A802" s="66">
        <v>45983.66867186343</v>
      </c>
      <c r="B802" s="49" t="s">
        <v>9191</v>
      </c>
    </row>
    <row r="803" spans="1:2">
      <c r="A803" s="66">
        <v>45983.810107627316</v>
      </c>
      <c r="B803" s="49" t="s">
        <v>9336</v>
      </c>
    </row>
    <row r="804" spans="1:2">
      <c r="A804" s="66">
        <v>45983.81011460648</v>
      </c>
      <c r="B804" s="49" t="s">
        <v>9337</v>
      </c>
    </row>
    <row r="805" spans="1:2">
      <c r="A805" s="66">
        <v>45983.810130300924</v>
      </c>
      <c r="B805" s="49" t="s">
        <v>9078</v>
      </c>
    </row>
    <row r="806" spans="1:2">
      <c r="A806" s="66">
        <v>45983.810166192125</v>
      </c>
      <c r="B806" s="49" t="s">
        <v>9338</v>
      </c>
    </row>
    <row r="807" spans="1:2">
      <c r="A807" s="66">
        <v>45983.810168842596</v>
      </c>
      <c r="B807" s="49" t="s">
        <v>9191</v>
      </c>
    </row>
    <row r="808" spans="1:2">
      <c r="A808" s="66">
        <v>45984.23443084491</v>
      </c>
      <c r="B808" s="49" t="s">
        <v>9339</v>
      </c>
    </row>
    <row r="809" spans="1:2">
      <c r="A809" s="66">
        <v>45984.234464479166</v>
      </c>
      <c r="B809" s="49" t="s">
        <v>9073</v>
      </c>
    </row>
    <row r="810" spans="1:2">
      <c r="A810" s="66">
        <v>45984.234469675925</v>
      </c>
      <c r="B810" s="49" t="s">
        <v>9074</v>
      </c>
    </row>
    <row r="811" spans="1:2">
      <c r="A811" s="66">
        <v>45984.234472662036</v>
      </c>
      <c r="B811" s="49" t="s">
        <v>9191</v>
      </c>
    </row>
    <row r="812" spans="1:2">
      <c r="A812" s="66">
        <v>45984.321271469904</v>
      </c>
      <c r="B812" s="49" t="s">
        <v>9340</v>
      </c>
    </row>
    <row r="813" spans="1:2">
      <c r="A813" s="66">
        <v>45984.321318576389</v>
      </c>
      <c r="B813" s="49" t="s">
        <v>9073</v>
      </c>
    </row>
    <row r="814" spans="1:2">
      <c r="A814" s="66">
        <v>45984.321326342593</v>
      </c>
      <c r="B814" s="49" t="s">
        <v>9074</v>
      </c>
    </row>
    <row r="815" spans="1:2">
      <c r="A815" s="66">
        <v>45984.321329907412</v>
      </c>
      <c r="B815" s="49" t="s">
        <v>9191</v>
      </c>
    </row>
    <row r="816" spans="1:2">
      <c r="A816" s="66">
        <v>45984.343639837964</v>
      </c>
      <c r="B816" s="49" t="s">
        <v>9341</v>
      </c>
    </row>
    <row r="817" spans="1:2">
      <c r="A817" s="66">
        <v>45984.343693263887</v>
      </c>
      <c r="B817" s="49" t="s">
        <v>9073</v>
      </c>
    </row>
    <row r="818" spans="1:2">
      <c r="A818" s="66">
        <v>45984.343699456018</v>
      </c>
      <c r="B818" s="49" t="s">
        <v>9074</v>
      </c>
    </row>
    <row r="819" spans="1:2">
      <c r="A819" s="66">
        <v>45984.343702083337</v>
      </c>
      <c r="B819" s="49" t="s">
        <v>9191</v>
      </c>
    </row>
    <row r="820" spans="1:2">
      <c r="A820" s="66">
        <v>45984.371992129629</v>
      </c>
      <c r="B820" s="49" t="s">
        <v>9342</v>
      </c>
    </row>
    <row r="821" spans="1:2">
      <c r="A821" s="66">
        <v>45984.372034884262</v>
      </c>
      <c r="B821" s="49" t="s">
        <v>9073</v>
      </c>
    </row>
    <row r="822" spans="1:2">
      <c r="A822" s="66">
        <v>45984.372041319446</v>
      </c>
      <c r="B822" s="49" t="s">
        <v>9074</v>
      </c>
    </row>
    <row r="823" spans="1:2">
      <c r="A823" s="66">
        <v>45984.372046631943</v>
      </c>
      <c r="B823" s="49" t="s">
        <v>9191</v>
      </c>
    </row>
    <row r="824" spans="1:2">
      <c r="A824" s="66">
        <v>45984.508562662042</v>
      </c>
      <c r="B824" s="49" t="s">
        <v>9343</v>
      </c>
    </row>
    <row r="825" spans="1:2">
      <c r="A825" s="66">
        <v>45984.50857075231</v>
      </c>
      <c r="B825" s="49" t="s">
        <v>9344</v>
      </c>
    </row>
    <row r="826" spans="1:2">
      <c r="A826" s="66">
        <v>45984.50857766204</v>
      </c>
      <c r="B826" s="49" t="s">
        <v>9078</v>
      </c>
    </row>
    <row r="827" spans="1:2">
      <c r="A827" s="66">
        <v>45984.508619363427</v>
      </c>
      <c r="B827" s="49" t="s">
        <v>9345</v>
      </c>
    </row>
    <row r="828" spans="1:2">
      <c r="A828" s="66">
        <v>45984.508627754629</v>
      </c>
      <c r="B828" s="49" t="s">
        <v>9346</v>
      </c>
    </row>
    <row r="829" spans="1:2">
      <c r="A829" s="66">
        <v>45984.508630393517</v>
      </c>
      <c r="B829" s="49" t="s">
        <v>9191</v>
      </c>
    </row>
    <row r="830" spans="1:2">
      <c r="A830" s="66">
        <v>45984.610656018514</v>
      </c>
      <c r="B830" s="49" t="s">
        <v>9347</v>
      </c>
    </row>
    <row r="831" spans="1:2">
      <c r="A831" s="66">
        <v>45984.610663506945</v>
      </c>
      <c r="B831" s="49" t="s">
        <v>9348</v>
      </c>
    </row>
    <row r="832" spans="1:2">
      <c r="A832" s="66">
        <v>45984.610668680558</v>
      </c>
      <c r="B832" s="49" t="s">
        <v>9078</v>
      </c>
    </row>
    <row r="833" spans="1:2">
      <c r="A833" s="66">
        <v>45984.610693726849</v>
      </c>
      <c r="B833" s="49" t="s">
        <v>9349</v>
      </c>
    </row>
    <row r="834" spans="1:2">
      <c r="A834" s="66">
        <v>45984.610702384263</v>
      </c>
      <c r="B834" s="49" t="s">
        <v>9350</v>
      </c>
    </row>
    <row r="835" spans="1:2">
      <c r="A835" s="66">
        <v>45984.610704907405</v>
      </c>
      <c r="B835" s="49" t="s">
        <v>9191</v>
      </c>
    </row>
    <row r="836" spans="1:2">
      <c r="A836" s="66">
        <v>45984.926155462963</v>
      </c>
      <c r="B836" s="49" t="s">
        <v>9351</v>
      </c>
    </row>
    <row r="837" spans="1:2">
      <c r="A837" s="66">
        <v>45984.926162013886</v>
      </c>
      <c r="B837" s="49" t="s">
        <v>9352</v>
      </c>
    </row>
    <row r="838" spans="1:2">
      <c r="A838" s="66">
        <v>45984.926167835649</v>
      </c>
      <c r="B838" s="49" t="s">
        <v>9078</v>
      </c>
    </row>
    <row r="839" spans="1:2">
      <c r="A839" s="66">
        <v>45984.926196608794</v>
      </c>
      <c r="B839" s="49" t="s">
        <v>9353</v>
      </c>
    </row>
    <row r="840" spans="1:2">
      <c r="A840" s="66">
        <v>45984.926199571761</v>
      </c>
      <c r="B840" s="49" t="s">
        <v>9191</v>
      </c>
    </row>
    <row r="841" spans="1:2">
      <c r="A841" s="66">
        <v>45984.926576030091</v>
      </c>
      <c r="B841" s="49" t="s">
        <v>9354</v>
      </c>
    </row>
    <row r="842" spans="1:2">
      <c r="A842" s="66">
        <v>45984.926583807872</v>
      </c>
      <c r="B842" s="49" t="s">
        <v>9355</v>
      </c>
    </row>
    <row r="843" spans="1:2">
      <c r="A843" s="66">
        <v>45984.9265896875</v>
      </c>
      <c r="B843" s="49" t="s">
        <v>9078</v>
      </c>
    </row>
    <row r="844" spans="1:2">
      <c r="A844" s="66">
        <v>45984.926625636574</v>
      </c>
      <c r="B844" s="49" t="s">
        <v>9356</v>
      </c>
    </row>
    <row r="845" spans="1:2">
      <c r="A845" s="66">
        <v>45984.926634224539</v>
      </c>
      <c r="B845" s="49" t="s">
        <v>9357</v>
      </c>
    </row>
    <row r="846" spans="1:2">
      <c r="A846" s="66">
        <v>45984.926637025463</v>
      </c>
      <c r="B846" s="49" t="s">
        <v>9191</v>
      </c>
    </row>
    <row r="847" spans="1:2">
      <c r="A847" s="66">
        <v>45984.926963611113</v>
      </c>
      <c r="B847" s="49" t="s">
        <v>9358</v>
      </c>
    </row>
    <row r="848" spans="1:2">
      <c r="A848" s="66">
        <v>45984.926970127315</v>
      </c>
      <c r="B848" s="49" t="s">
        <v>9359</v>
      </c>
    </row>
    <row r="849" spans="1:2">
      <c r="A849" s="66">
        <v>45984.926975416667</v>
      </c>
      <c r="B849" s="49" t="s">
        <v>9078</v>
      </c>
    </row>
    <row r="850" spans="1:2">
      <c r="A850" s="66">
        <v>45984.92699994213</v>
      </c>
      <c r="B850" s="49" t="s">
        <v>9360</v>
      </c>
    </row>
    <row r="851" spans="1:2">
      <c r="A851" s="66">
        <v>45984.927007407408</v>
      </c>
      <c r="B851" s="49" t="s">
        <v>9361</v>
      </c>
    </row>
    <row r="852" spans="1:2">
      <c r="A852" s="66">
        <v>45984.927009780091</v>
      </c>
      <c r="B852" s="49" t="s">
        <v>9191</v>
      </c>
    </row>
    <row r="853" spans="1:2">
      <c r="A853" s="66">
        <v>45984.927171678239</v>
      </c>
      <c r="B853" s="49" t="s">
        <v>9362</v>
      </c>
    </row>
    <row r="854" spans="1:2">
      <c r="A854" s="66">
        <v>45984.927182106483</v>
      </c>
      <c r="B854" s="49" t="s">
        <v>9363</v>
      </c>
    </row>
    <row r="855" spans="1:2">
      <c r="A855" s="66">
        <v>45984.927186840279</v>
      </c>
      <c r="B855" s="49" t="s">
        <v>9078</v>
      </c>
    </row>
    <row r="856" spans="1:2">
      <c r="A856" s="66">
        <v>45984.927207916669</v>
      </c>
      <c r="B856" s="49" t="s">
        <v>9364</v>
      </c>
    </row>
    <row r="857" spans="1:2">
      <c r="A857" s="66">
        <v>45984.927216180557</v>
      </c>
      <c r="B857" s="49" t="s">
        <v>9365</v>
      </c>
    </row>
    <row r="858" spans="1:2">
      <c r="A858" s="66">
        <v>45984.927218391203</v>
      </c>
      <c r="B858" s="49" t="s">
        <v>9191</v>
      </c>
    </row>
    <row r="859" spans="1:2">
      <c r="A859" s="66">
        <v>45985.255516249999</v>
      </c>
      <c r="B859" s="49" t="s">
        <v>9366</v>
      </c>
    </row>
    <row r="860" spans="1:2">
      <c r="A860" s="66">
        <v>45985.255562766208</v>
      </c>
      <c r="B860" s="49" t="s">
        <v>9073</v>
      </c>
    </row>
    <row r="861" spans="1:2">
      <c r="A861" s="66">
        <v>45985.255568877314</v>
      </c>
      <c r="B861" s="49" t="s">
        <v>9074</v>
      </c>
    </row>
    <row r="862" spans="1:2">
      <c r="A862" s="66">
        <v>45985.255571747686</v>
      </c>
      <c r="B862" s="49" t="s">
        <v>9191</v>
      </c>
    </row>
    <row r="863" spans="1:2">
      <c r="A863" s="66">
        <v>45985.260216736111</v>
      </c>
      <c r="B863" s="49" t="s">
        <v>9367</v>
      </c>
    </row>
    <row r="864" spans="1:2">
      <c r="A864" s="66">
        <v>45985.26027846065</v>
      </c>
      <c r="B864" s="49" t="s">
        <v>9073</v>
      </c>
    </row>
    <row r="865" spans="1:2">
      <c r="A865" s="66">
        <v>45985.260284201388</v>
      </c>
      <c r="B865" s="49" t="s">
        <v>9074</v>
      </c>
    </row>
    <row r="866" spans="1:2">
      <c r="A866" s="66">
        <v>45985.260287083336</v>
      </c>
      <c r="B866" s="49" t="s">
        <v>9191</v>
      </c>
    </row>
    <row r="867" spans="1:2">
      <c r="A867" s="66">
        <v>45985.345465613427</v>
      </c>
      <c r="B867" s="49"/>
    </row>
    <row r="868" spans="1:2">
      <c r="A868" s="66">
        <v>45985.345507604172</v>
      </c>
      <c r="B868" s="49"/>
    </row>
    <row r="869" spans="1:2">
      <c r="A869" s="66">
        <v>45985.345541828705</v>
      </c>
      <c r="B869" s="49"/>
    </row>
    <row r="870" spans="1:2">
      <c r="A870" s="66">
        <v>45985.345591724537</v>
      </c>
      <c r="B870" s="49"/>
    </row>
    <row r="871" spans="1:2">
      <c r="A871" s="66">
        <v>45985.345619699074</v>
      </c>
      <c r="B871" s="49"/>
    </row>
    <row r="872" spans="1:2">
      <c r="A872" s="66">
        <v>45985.345699247686</v>
      </c>
      <c r="B872" s="49"/>
    </row>
    <row r="873" spans="1:2">
      <c r="A873" s="66">
        <v>45985.355170636569</v>
      </c>
      <c r="B873" s="49"/>
    </row>
    <row r="874" spans="1:2">
      <c r="A874" s="66">
        <v>45985.358313194447</v>
      </c>
      <c r="B874" s="49" t="s">
        <v>9368</v>
      </c>
    </row>
    <row r="875" spans="1:2">
      <c r="A875" s="66">
        <v>45985.35832003472</v>
      </c>
      <c r="B875" s="49" t="s">
        <v>9369</v>
      </c>
    </row>
    <row r="876" spans="1:2">
      <c r="A876" s="66">
        <v>45985.358325763889</v>
      </c>
      <c r="B876" s="49" t="s">
        <v>9078</v>
      </c>
    </row>
    <row r="877" spans="1:2">
      <c r="A877" s="66">
        <v>45985.358346064815</v>
      </c>
      <c r="B877" s="49" t="s">
        <v>9370</v>
      </c>
    </row>
    <row r="878" spans="1:2">
      <c r="A878" s="66">
        <v>45985.358349953705</v>
      </c>
      <c r="B878" s="49" t="s">
        <v>9191</v>
      </c>
    </row>
    <row r="879" spans="1:2">
      <c r="A879" s="66">
        <v>45985.363757418978</v>
      </c>
      <c r="B879" s="49"/>
    </row>
    <row r="880" spans="1:2">
      <c r="A880" s="66">
        <v>45985.368705555557</v>
      </c>
      <c r="B880" s="49" t="s">
        <v>9371</v>
      </c>
    </row>
    <row r="881" spans="1:2">
      <c r="A881" s="66">
        <v>45985.368712118056</v>
      </c>
      <c r="B881" s="49" t="s">
        <v>9138</v>
      </c>
    </row>
    <row r="882" spans="1:2">
      <c r="A882" s="66">
        <v>45985.368736238423</v>
      </c>
      <c r="B882" s="49" t="s">
        <v>9078</v>
      </c>
    </row>
    <row r="883" spans="1:2">
      <c r="A883" s="66">
        <v>45985.368762002312</v>
      </c>
      <c r="B883" s="49" t="s">
        <v>9372</v>
      </c>
    </row>
    <row r="884" spans="1:2">
      <c r="A884" s="66">
        <v>45985.368764872685</v>
      </c>
      <c r="B884" s="49" t="s">
        <v>9191</v>
      </c>
    </row>
    <row r="885" spans="1:2">
      <c r="A885" s="66">
        <v>45985.949504884258</v>
      </c>
      <c r="B885" s="49" t="s">
        <v>9373</v>
      </c>
    </row>
    <row r="886" spans="1:2">
      <c r="A886" s="66">
        <v>45985.949553865736</v>
      </c>
      <c r="B886" s="49" t="s">
        <v>9073</v>
      </c>
    </row>
    <row r="887" spans="1:2">
      <c r="A887" s="66">
        <v>45985.949560474532</v>
      </c>
      <c r="B887" s="49" t="s">
        <v>9074</v>
      </c>
    </row>
    <row r="888" spans="1:2">
      <c r="A888" s="66">
        <v>45985.949569236109</v>
      </c>
      <c r="B888" s="49" t="s">
        <v>9191</v>
      </c>
    </row>
    <row r="889" spans="1:2">
      <c r="A889" s="66">
        <v>45986.211875567125</v>
      </c>
      <c r="B889" s="49" t="s">
        <v>9374</v>
      </c>
    </row>
    <row r="890" spans="1:2">
      <c r="A890" s="66">
        <v>45986.211922071758</v>
      </c>
      <c r="B890" s="49" t="s">
        <v>9073</v>
      </c>
    </row>
    <row r="891" spans="1:2">
      <c r="A891" s="66">
        <v>45986.211927164353</v>
      </c>
      <c r="B891" s="49" t="s">
        <v>9074</v>
      </c>
    </row>
    <row r="892" spans="1:2">
      <c r="A892" s="66">
        <v>45986.211928993056</v>
      </c>
      <c r="B892" s="49" t="s">
        <v>9191</v>
      </c>
    </row>
    <row r="893" spans="1:2">
      <c r="A893" s="66">
        <v>45986.325204444445</v>
      </c>
      <c r="B893" s="49" t="s">
        <v>9375</v>
      </c>
    </row>
    <row r="894" spans="1:2">
      <c r="A894" s="66">
        <v>45986.325247777779</v>
      </c>
      <c r="B894" s="49" t="s">
        <v>9073</v>
      </c>
    </row>
    <row r="895" spans="1:2">
      <c r="A895" s="66">
        <v>45986.325252476847</v>
      </c>
      <c r="B895" s="49" t="s">
        <v>9074</v>
      </c>
    </row>
    <row r="896" spans="1:2">
      <c r="A896" s="66">
        <v>45986.325254837968</v>
      </c>
      <c r="B896" s="49" t="s">
        <v>9191</v>
      </c>
    </row>
    <row r="897" spans="1:2">
      <c r="A897" s="66">
        <v>45986.333336759257</v>
      </c>
      <c r="B897" s="49"/>
    </row>
    <row r="898" spans="1:2">
      <c r="A898" s="66">
        <v>45986.333378993055</v>
      </c>
      <c r="B898" s="49"/>
    </row>
    <row r="899" spans="1:2">
      <c r="A899" s="66">
        <v>45986.333404421297</v>
      </c>
      <c r="B899" s="49"/>
    </row>
    <row r="900" spans="1:2">
      <c r="A900" s="66">
        <v>45986.333409039347</v>
      </c>
      <c r="B900" s="49"/>
    </row>
    <row r="901" spans="1:2">
      <c r="A901" s="66">
        <v>45986.344387627316</v>
      </c>
      <c r="B901" s="49"/>
    </row>
    <row r="902" spans="1:2">
      <c r="A902" s="66">
        <v>45986.350051250003</v>
      </c>
      <c r="B902" s="49"/>
    </row>
    <row r="903" spans="1:2">
      <c r="A903" s="66">
        <v>45986.351879409718</v>
      </c>
      <c r="B903" s="49" t="s">
        <v>9376</v>
      </c>
    </row>
    <row r="904" spans="1:2">
      <c r="A904" s="66">
        <v>45986.351890902777</v>
      </c>
      <c r="B904" s="49" t="s">
        <v>9377</v>
      </c>
    </row>
    <row r="905" spans="1:2">
      <c r="A905" s="66">
        <v>45986.351897789355</v>
      </c>
      <c r="B905" s="49" t="s">
        <v>9078</v>
      </c>
    </row>
    <row r="906" spans="1:2">
      <c r="A906" s="66">
        <v>45986.351932129633</v>
      </c>
      <c r="B906" s="49" t="s">
        <v>9378</v>
      </c>
    </row>
    <row r="907" spans="1:2">
      <c r="A907" s="66">
        <v>45986.351939502318</v>
      </c>
      <c r="B907" s="49" t="s">
        <v>9379</v>
      </c>
    </row>
    <row r="908" spans="1:2">
      <c r="A908" s="66">
        <v>45986.351942916663</v>
      </c>
      <c r="B908" s="49" t="s">
        <v>9191</v>
      </c>
    </row>
    <row r="909" spans="1:2">
      <c r="A909" s="66">
        <v>45986.352442303236</v>
      </c>
      <c r="B909" s="49" t="s">
        <v>9380</v>
      </c>
    </row>
    <row r="910" spans="1:2">
      <c r="A910" s="66">
        <v>45986.352446192133</v>
      </c>
      <c r="B910" s="49" t="s">
        <v>9381</v>
      </c>
    </row>
    <row r="911" spans="1:2">
      <c r="A911" s="66">
        <v>45986.352462037037</v>
      </c>
      <c r="B911" s="49" t="s">
        <v>9078</v>
      </c>
    </row>
    <row r="912" spans="1:2">
      <c r="A912" s="66">
        <v>45986.352483750001</v>
      </c>
      <c r="B912" s="49" t="s">
        <v>9382</v>
      </c>
    </row>
    <row r="913" spans="1:2">
      <c r="A913" s="66">
        <v>45986.352489247685</v>
      </c>
      <c r="B913" s="49" t="s">
        <v>9383</v>
      </c>
    </row>
    <row r="914" spans="1:2">
      <c r="A914" s="66">
        <v>45986.352491122685</v>
      </c>
      <c r="B914" s="49" t="s">
        <v>9191</v>
      </c>
    </row>
    <row r="915" spans="1:2">
      <c r="A915" s="66">
        <v>45986.356008414354</v>
      </c>
      <c r="B915" s="49"/>
    </row>
    <row r="916" spans="1:2">
      <c r="A916" s="66">
        <v>45986.362386724533</v>
      </c>
      <c r="B916" s="49"/>
    </row>
    <row r="917" spans="1:2">
      <c r="A917" s="66">
        <v>45986.367736388886</v>
      </c>
      <c r="B917" s="49"/>
    </row>
    <row r="918" spans="1:2">
      <c r="A918" s="66">
        <v>45986.385515578702</v>
      </c>
      <c r="B918" s="49" t="s">
        <v>9384</v>
      </c>
    </row>
    <row r="919" spans="1:2">
      <c r="A919" s="66">
        <v>45986.385521365737</v>
      </c>
      <c r="B919" s="49" t="s">
        <v>9385</v>
      </c>
    </row>
    <row r="920" spans="1:2">
      <c r="A920" s="66">
        <v>45986.385542534721</v>
      </c>
      <c r="B920" s="49" t="s">
        <v>9078</v>
      </c>
    </row>
    <row r="921" spans="1:2">
      <c r="A921" s="66">
        <v>45986.385571238425</v>
      </c>
      <c r="B921" s="49" t="s">
        <v>9386</v>
      </c>
    </row>
    <row r="922" spans="1:2">
      <c r="A922" s="66">
        <v>45986.385579872687</v>
      </c>
      <c r="B922" s="49" t="s">
        <v>9387</v>
      </c>
    </row>
    <row r="923" spans="1:2">
      <c r="A923" s="66">
        <v>45986.385583078707</v>
      </c>
      <c r="B923" s="49" t="s">
        <v>9191</v>
      </c>
    </row>
    <row r="924" spans="1:2">
      <c r="A924" s="66">
        <v>45986.471035208335</v>
      </c>
      <c r="B924" s="49"/>
    </row>
    <row r="925" spans="1:2">
      <c r="A925" s="66">
        <v>45986.507379236107</v>
      </c>
      <c r="B925" s="49" t="s">
        <v>9388</v>
      </c>
    </row>
    <row r="926" spans="1:2">
      <c r="A926" s="66">
        <v>45986.507384826386</v>
      </c>
      <c r="B926" s="49" t="s">
        <v>9389</v>
      </c>
    </row>
    <row r="927" spans="1:2">
      <c r="A927" s="66">
        <v>45986.507409421298</v>
      </c>
      <c r="B927" s="49" t="s">
        <v>9078</v>
      </c>
    </row>
    <row r="928" spans="1:2">
      <c r="A928" s="66">
        <v>45986.507437442131</v>
      </c>
      <c r="B928" s="49" t="s">
        <v>9390</v>
      </c>
    </row>
    <row r="929" spans="1:2">
      <c r="A929" s="66">
        <v>45986.507448460645</v>
      </c>
      <c r="B929" s="49" t="s">
        <v>9391</v>
      </c>
    </row>
    <row r="930" spans="1:2">
      <c r="A930" s="66">
        <v>45986.507450601857</v>
      </c>
      <c r="B930" s="49" t="s">
        <v>9191</v>
      </c>
    </row>
    <row r="931" spans="1:2">
      <c r="A931" s="66">
        <v>45986.614210821761</v>
      </c>
      <c r="B931" s="49" t="s">
        <v>9392</v>
      </c>
    </row>
    <row r="932" spans="1:2">
      <c r="A932" s="66">
        <v>45986.614217592592</v>
      </c>
      <c r="B932" s="49" t="s">
        <v>9393</v>
      </c>
    </row>
    <row r="933" spans="1:2">
      <c r="A933" s="66">
        <v>45986.614243402779</v>
      </c>
      <c r="B933" s="49" t="s">
        <v>9078</v>
      </c>
    </row>
    <row r="934" spans="1:2">
      <c r="A934" s="66">
        <v>45986.614287881945</v>
      </c>
      <c r="B934" s="49" t="s">
        <v>9394</v>
      </c>
    </row>
    <row r="935" spans="1:2">
      <c r="A935" s="66">
        <v>45986.614296932872</v>
      </c>
      <c r="B935" s="49" t="s">
        <v>9191</v>
      </c>
    </row>
    <row r="936" spans="1:2">
      <c r="A936" s="66">
        <v>45987.004571319441</v>
      </c>
      <c r="B936" s="49" t="s">
        <v>9395</v>
      </c>
    </row>
    <row r="937" spans="1:2">
      <c r="A937" s="66">
        <v>45987.004621319444</v>
      </c>
      <c r="B937" s="49" t="s">
        <v>9073</v>
      </c>
    </row>
    <row r="938" spans="1:2">
      <c r="A938" s="66">
        <v>45987.004627731483</v>
      </c>
      <c r="B938" s="49" t="s">
        <v>9074</v>
      </c>
    </row>
    <row r="939" spans="1:2">
      <c r="A939" s="66">
        <v>45987.004630625001</v>
      </c>
      <c r="B939" s="49" t="s">
        <v>9191</v>
      </c>
    </row>
    <row r="940" spans="1:2">
      <c r="A940" s="66">
        <v>45987.245167766203</v>
      </c>
      <c r="B940" s="49" t="s">
        <v>9396</v>
      </c>
    </row>
    <row r="941" spans="1:2">
      <c r="A941" s="66">
        <v>45987.245209212968</v>
      </c>
      <c r="B941" s="49" t="s">
        <v>9073</v>
      </c>
    </row>
    <row r="942" spans="1:2">
      <c r="A942" s="66">
        <v>45987.245224675928</v>
      </c>
      <c r="B942" s="49" t="s">
        <v>9074</v>
      </c>
    </row>
    <row r="943" spans="1:2">
      <c r="A943" s="66">
        <v>45987.245227349536</v>
      </c>
      <c r="B943" s="49" t="s">
        <v>9191</v>
      </c>
    </row>
    <row r="944" spans="1:2">
      <c r="A944" s="66">
        <v>45987.249963159724</v>
      </c>
      <c r="B944" s="49" t="s">
        <v>9397</v>
      </c>
    </row>
    <row r="945" spans="1:2">
      <c r="A945" s="66">
        <v>45987.249988692129</v>
      </c>
      <c r="B945" s="49" t="s">
        <v>9073</v>
      </c>
    </row>
    <row r="946" spans="1:2">
      <c r="A946" s="66">
        <v>45987.249994062498</v>
      </c>
      <c r="B946" s="49" t="s">
        <v>9074</v>
      </c>
    </row>
    <row r="947" spans="1:2">
      <c r="A947" s="66">
        <v>45987.249996226848</v>
      </c>
      <c r="B947" s="49" t="s">
        <v>9191</v>
      </c>
    </row>
    <row r="948" spans="1:2">
      <c r="A948" s="66">
        <v>45987.250265104165</v>
      </c>
      <c r="B948" s="49" t="s">
        <v>9398</v>
      </c>
    </row>
    <row r="949" spans="1:2">
      <c r="A949" s="66">
        <v>45987.250276701394</v>
      </c>
      <c r="B949" s="49" t="s">
        <v>9399</v>
      </c>
    </row>
    <row r="950" spans="1:2">
      <c r="A950" s="66">
        <v>45987.250292928242</v>
      </c>
      <c r="B950" s="49" t="s">
        <v>9078</v>
      </c>
    </row>
    <row r="951" spans="1:2">
      <c r="A951" s="66">
        <v>45987.250314907404</v>
      </c>
      <c r="B951" s="49" t="s">
        <v>9400</v>
      </c>
    </row>
    <row r="952" spans="1:2">
      <c r="A952" s="66">
        <v>45987.25031747685</v>
      </c>
      <c r="B952" s="49" t="s">
        <v>9191</v>
      </c>
    </row>
    <row r="953" spans="1:2">
      <c r="A953" s="66">
        <v>45987.250557129628</v>
      </c>
      <c r="B953" s="49" t="s">
        <v>9401</v>
      </c>
    </row>
    <row r="954" spans="1:2">
      <c r="A954" s="66">
        <v>45987.250588599534</v>
      </c>
      <c r="B954" s="49" t="s">
        <v>9073</v>
      </c>
    </row>
    <row r="955" spans="1:2">
      <c r="A955" s="66">
        <v>45987.250596423612</v>
      </c>
      <c r="B955" s="49" t="s">
        <v>9074</v>
      </c>
    </row>
    <row r="956" spans="1:2">
      <c r="A956" s="66">
        <v>45987.250599652776</v>
      </c>
      <c r="B956" s="49" t="s">
        <v>9191</v>
      </c>
    </row>
    <row r="957" spans="1:2">
      <c r="A957" s="66">
        <v>45987.290046168986</v>
      </c>
      <c r="B957" s="49"/>
    </row>
    <row r="958" spans="1:2">
      <c r="A958" s="66">
        <v>45987.290332025463</v>
      </c>
      <c r="B958" s="49"/>
    </row>
    <row r="959" spans="1:2">
      <c r="A959" s="66">
        <v>45987.300900219911</v>
      </c>
      <c r="B959" s="49"/>
    </row>
    <row r="960" spans="1:2">
      <c r="A960" s="66">
        <v>45987.306591840279</v>
      </c>
      <c r="B960" s="49"/>
    </row>
    <row r="961" spans="1:2">
      <c r="A961" s="66">
        <v>45987.378795648146</v>
      </c>
      <c r="B961" s="49"/>
    </row>
    <row r="962" spans="1:2">
      <c r="A962" s="66">
        <v>45987.446813981485</v>
      </c>
      <c r="B962" s="49" t="s">
        <v>9402</v>
      </c>
    </row>
    <row r="963" spans="1:2">
      <c r="A963" s="66">
        <v>45987.446821956022</v>
      </c>
      <c r="B963" s="49" t="s">
        <v>9084</v>
      </c>
    </row>
    <row r="964" spans="1:2">
      <c r="A964" s="66">
        <v>45987.446846087958</v>
      </c>
      <c r="B964" s="49" t="s">
        <v>9078</v>
      </c>
    </row>
    <row r="965" spans="1:2">
      <c r="A965" s="66">
        <v>45987.446866990736</v>
      </c>
      <c r="B965" s="49" t="s">
        <v>9403</v>
      </c>
    </row>
    <row r="966" spans="1:2">
      <c r="A966" s="66">
        <v>45987.446879965282</v>
      </c>
      <c r="B966" s="49" t="s">
        <v>9191</v>
      </c>
    </row>
    <row r="967" spans="1:2">
      <c r="A967" s="66">
        <v>45987.517326956018</v>
      </c>
      <c r="B967" s="49" t="s">
        <v>9404</v>
      </c>
    </row>
    <row r="968" spans="1:2">
      <c r="A968" s="66">
        <v>45987.517351689814</v>
      </c>
      <c r="B968" s="49" t="s">
        <v>9405</v>
      </c>
    </row>
    <row r="969" spans="1:2">
      <c r="A969" s="66">
        <v>45987.517356273151</v>
      </c>
      <c r="B969" s="49" t="s">
        <v>9078</v>
      </c>
    </row>
    <row r="970" spans="1:2">
      <c r="A970" s="66">
        <v>45987.517376192132</v>
      </c>
      <c r="B970" s="49" t="s">
        <v>9406</v>
      </c>
    </row>
    <row r="971" spans="1:2">
      <c r="A971" s="66">
        <v>45987.517378460645</v>
      </c>
      <c r="B971" s="49" t="s">
        <v>9191</v>
      </c>
    </row>
    <row r="972" spans="1:2">
      <c r="A972" s="66">
        <v>45987.684147557869</v>
      </c>
      <c r="B972" s="49" t="s">
        <v>9407</v>
      </c>
    </row>
    <row r="973" spans="1:2">
      <c r="A973" s="66">
        <v>45987.684159722223</v>
      </c>
      <c r="B973" s="49" t="s">
        <v>9288</v>
      </c>
    </row>
    <row r="974" spans="1:2">
      <c r="A974" s="66">
        <v>45987.684181400458</v>
      </c>
      <c r="B974" s="49" t="s">
        <v>9078</v>
      </c>
    </row>
    <row r="975" spans="1:2">
      <c r="A975" s="66">
        <v>45987.684214282403</v>
      </c>
      <c r="B975" s="49" t="s">
        <v>9408</v>
      </c>
    </row>
    <row r="976" spans="1:2">
      <c r="A976" s="66">
        <v>45987.684217743052</v>
      </c>
      <c r="B976" s="49" t="s">
        <v>9191</v>
      </c>
    </row>
    <row r="977" spans="1:2">
      <c r="A977" s="66">
        <v>45987.728544618054</v>
      </c>
      <c r="B977" s="49" t="s">
        <v>9409</v>
      </c>
    </row>
    <row r="978" spans="1:2">
      <c r="A978" s="66">
        <v>45987.728549907406</v>
      </c>
      <c r="B978" s="49" t="s">
        <v>9410</v>
      </c>
    </row>
    <row r="979" spans="1:2">
      <c r="A979" s="66">
        <v>45987.728556655093</v>
      </c>
      <c r="B979" s="49" t="s">
        <v>9078</v>
      </c>
    </row>
    <row r="980" spans="1:2">
      <c r="A980" s="66">
        <v>45987.728585844903</v>
      </c>
      <c r="B980" s="49" t="s">
        <v>9411</v>
      </c>
    </row>
    <row r="981" spans="1:2">
      <c r="A981" s="66">
        <v>45987.728588344908</v>
      </c>
      <c r="B981" s="49" t="s">
        <v>9191</v>
      </c>
    </row>
    <row r="982" spans="1:2">
      <c r="A982" s="66">
        <v>45987.90086115741</v>
      </c>
      <c r="B982" s="49" t="s">
        <v>9412</v>
      </c>
    </row>
    <row r="983" spans="1:2">
      <c r="A983" s="66">
        <v>45987.900868055556</v>
      </c>
      <c r="B983" s="49" t="s">
        <v>9078</v>
      </c>
    </row>
    <row r="984" spans="1:2">
      <c r="A984" s="66">
        <v>45988.103975891208</v>
      </c>
      <c r="B984" s="49" t="s">
        <v>9413</v>
      </c>
    </row>
    <row r="985" spans="1:2">
      <c r="A985" s="66">
        <v>45988.104013067132</v>
      </c>
      <c r="B985" s="49" t="s">
        <v>9073</v>
      </c>
    </row>
    <row r="986" spans="1:2">
      <c r="A986" s="66">
        <v>45988.104017557867</v>
      </c>
      <c r="B986" s="49" t="s">
        <v>9074</v>
      </c>
    </row>
    <row r="987" spans="1:2">
      <c r="A987" s="66">
        <v>45988.104019479171</v>
      </c>
      <c r="B987" s="49" t="s">
        <v>9191</v>
      </c>
    </row>
    <row r="988" spans="1:2">
      <c r="A988" s="66">
        <v>45988.275104953704</v>
      </c>
      <c r="B988" s="49" t="s">
        <v>9414</v>
      </c>
    </row>
    <row r="989" spans="1:2">
      <c r="A989" s="66">
        <v>45988.275132708339</v>
      </c>
      <c r="B989" s="49" t="s">
        <v>9073</v>
      </c>
    </row>
    <row r="990" spans="1:2">
      <c r="A990" s="66">
        <v>45988.275138263889</v>
      </c>
      <c r="B990" s="49" t="s">
        <v>9074</v>
      </c>
    </row>
    <row r="991" spans="1:2">
      <c r="A991" s="66">
        <v>45988.275152256945</v>
      </c>
      <c r="B991" s="49" t="s">
        <v>9191</v>
      </c>
    </row>
    <row r="992" spans="1:2">
      <c r="A992" s="66">
        <v>45988.296259641204</v>
      </c>
      <c r="B992" s="49"/>
    </row>
    <row r="993" spans="1:2">
      <c r="A993" s="66">
        <v>45988.296402638887</v>
      </c>
      <c r="B993" s="49"/>
    </row>
    <row r="994" spans="1:2">
      <c r="A994" s="66">
        <v>45988.300745972221</v>
      </c>
      <c r="B994" s="49" t="s">
        <v>9415</v>
      </c>
    </row>
    <row r="995" spans="1:2">
      <c r="A995" s="66">
        <v>45988.300778113422</v>
      </c>
      <c r="B995" s="49" t="s">
        <v>9073</v>
      </c>
    </row>
    <row r="996" spans="1:2">
      <c r="A996" s="66">
        <v>45988.300784178238</v>
      </c>
      <c r="B996" s="49" t="s">
        <v>9074</v>
      </c>
    </row>
    <row r="997" spans="1:2">
      <c r="A997" s="66">
        <v>45988.300787615735</v>
      </c>
      <c r="B997" s="49" t="s">
        <v>9191</v>
      </c>
    </row>
    <row r="998" spans="1:2">
      <c r="A998" s="66">
        <v>45988.304317453702</v>
      </c>
      <c r="B998" s="49"/>
    </row>
    <row r="999" spans="1:2">
      <c r="A999" s="66">
        <v>45988.306324201389</v>
      </c>
      <c r="B999" s="49"/>
    </row>
    <row r="1000" spans="1:2">
      <c r="A1000" s="66">
        <v>45988.306902025462</v>
      </c>
      <c r="B1000" s="49" t="s">
        <v>9416</v>
      </c>
    </row>
    <row r="1001" spans="1:2">
      <c r="A1001" s="66">
        <v>45988.306939490736</v>
      </c>
      <c r="B1001" s="49" t="s">
        <v>9073</v>
      </c>
    </row>
    <row r="1002" spans="1:2">
      <c r="A1002" s="66">
        <v>45988.306947002318</v>
      </c>
      <c r="B1002" s="49" t="s">
        <v>9074</v>
      </c>
    </row>
    <row r="1003" spans="1:2">
      <c r="A1003" s="66">
        <v>45988.306958981484</v>
      </c>
      <c r="B1003" s="49" t="s">
        <v>9191</v>
      </c>
    </row>
    <row r="1004" spans="1:2">
      <c r="A1004" s="66">
        <v>45988.319332858795</v>
      </c>
      <c r="B1004" s="49"/>
    </row>
    <row r="1005" spans="1:2">
      <c r="A1005" s="66">
        <v>45988.333894189811</v>
      </c>
      <c r="B1005" s="49"/>
    </row>
    <row r="1006" spans="1:2">
      <c r="A1006" s="66">
        <v>45988.344559236109</v>
      </c>
      <c r="B1006" s="49" t="s">
        <v>9417</v>
      </c>
    </row>
    <row r="1007" spans="1:2">
      <c r="A1007" s="66">
        <v>45988.344570300927</v>
      </c>
      <c r="B1007" s="49" t="s">
        <v>9412</v>
      </c>
    </row>
    <row r="1008" spans="1:2">
      <c r="A1008" s="66">
        <v>45988.344590729168</v>
      </c>
      <c r="B1008" s="49" t="s">
        <v>9078</v>
      </c>
    </row>
    <row r="1009" spans="1:2">
      <c r="A1009" s="66">
        <v>45988.344608148152</v>
      </c>
      <c r="B1009" s="49" t="s">
        <v>9418</v>
      </c>
    </row>
    <row r="1010" spans="1:2">
      <c r="A1010" s="66">
        <v>45988.344611770837</v>
      </c>
      <c r="B1010" s="49" t="s">
        <v>9191</v>
      </c>
    </row>
    <row r="1011" spans="1:2">
      <c r="A1011" s="66">
        <v>45988.366888773147</v>
      </c>
      <c r="B1011" s="49"/>
    </row>
    <row r="1012" spans="1:2">
      <c r="A1012" s="66">
        <v>45988.706628043983</v>
      </c>
      <c r="B1012" s="49" t="s">
        <v>9419</v>
      </c>
    </row>
    <row r="1013" spans="1:2">
      <c r="A1013" s="66">
        <v>45988.706640358796</v>
      </c>
      <c r="B1013" s="49" t="s">
        <v>9420</v>
      </c>
    </row>
    <row r="1014" spans="1:2">
      <c r="A1014" s="66">
        <v>45988.706645729166</v>
      </c>
      <c r="B1014" s="49" t="s">
        <v>9078</v>
      </c>
    </row>
    <row r="1015" spans="1:2">
      <c r="A1015" s="66">
        <v>45988.706688009261</v>
      </c>
      <c r="B1015" s="49" t="s">
        <v>9421</v>
      </c>
    </row>
    <row r="1016" spans="1:2">
      <c r="A1016" s="66">
        <v>45988.706694305554</v>
      </c>
      <c r="B1016" s="49" t="s">
        <v>9422</v>
      </c>
    </row>
    <row r="1017" spans="1:2">
      <c r="A1017" s="66">
        <v>45988.706696701389</v>
      </c>
      <c r="B1017" s="49" t="s">
        <v>9191</v>
      </c>
    </row>
    <row r="1018" spans="1:2">
      <c r="A1018" s="66">
        <v>45988.719729398144</v>
      </c>
      <c r="B1018" s="49" t="s">
        <v>9194</v>
      </c>
    </row>
    <row r="1019" spans="1:2">
      <c r="A1019" s="66">
        <v>45988.719732881946</v>
      </c>
      <c r="B1019" s="49" t="s">
        <v>9191</v>
      </c>
    </row>
    <row r="1020" spans="1:2">
      <c r="A1020" s="66">
        <v>45988.719924606485</v>
      </c>
      <c r="B1020" s="49" t="s">
        <v>9423</v>
      </c>
    </row>
    <row r="1021" spans="1:2">
      <c r="A1021" s="66">
        <v>45988.719930902778</v>
      </c>
      <c r="B1021" s="49" t="s">
        <v>9191</v>
      </c>
    </row>
    <row r="1022" spans="1:2">
      <c r="A1022" s="66">
        <v>45988.806215798613</v>
      </c>
      <c r="B1022" s="49" t="s">
        <v>9424</v>
      </c>
    </row>
    <row r="1023" spans="1:2">
      <c r="A1023" s="66">
        <v>45988.806224675922</v>
      </c>
      <c r="B1023" s="49" t="s">
        <v>9078</v>
      </c>
    </row>
    <row r="1024" spans="1:2">
      <c r="A1024" s="66">
        <v>45988.806550196758</v>
      </c>
      <c r="B1024" s="49" t="s">
        <v>9425</v>
      </c>
    </row>
    <row r="1025" spans="1:2">
      <c r="A1025" s="66">
        <v>45988.806554733797</v>
      </c>
      <c r="B1025" s="49" t="s">
        <v>9424</v>
      </c>
    </row>
    <row r="1026" spans="1:2">
      <c r="A1026" s="66">
        <v>45988.806559282406</v>
      </c>
      <c r="B1026" s="49" t="s">
        <v>9078</v>
      </c>
    </row>
    <row r="1027" spans="1:2">
      <c r="A1027" s="66">
        <v>45988.806573032409</v>
      </c>
      <c r="B1027" s="49" t="s">
        <v>9426</v>
      </c>
    </row>
    <row r="1028" spans="1:2">
      <c r="A1028" s="66">
        <v>45988.806575810187</v>
      </c>
      <c r="B1028" s="49" t="s">
        <v>9191</v>
      </c>
    </row>
    <row r="1029" spans="1:2">
      <c r="A1029" s="66">
        <v>45988.897947094913</v>
      </c>
      <c r="B1029" s="49" t="s">
        <v>9427</v>
      </c>
    </row>
    <row r="1030" spans="1:2">
      <c r="A1030" s="66">
        <v>45988.897974039355</v>
      </c>
      <c r="B1030" s="49" t="s">
        <v>9428</v>
      </c>
    </row>
    <row r="1031" spans="1:2">
      <c r="A1031" s="66">
        <v>45988.897982476847</v>
      </c>
      <c r="B1031" s="49" t="s">
        <v>9078</v>
      </c>
    </row>
    <row r="1032" spans="1:2">
      <c r="A1032" s="66">
        <v>45988.898018356485</v>
      </c>
      <c r="B1032" s="49" t="s">
        <v>9429</v>
      </c>
    </row>
    <row r="1033" spans="1:2">
      <c r="A1033" s="66">
        <v>45988.898024236114</v>
      </c>
      <c r="B1033" s="49" t="s">
        <v>9430</v>
      </c>
    </row>
    <row r="1034" spans="1:2">
      <c r="A1034" s="66">
        <v>45988.898025949078</v>
      </c>
      <c r="B1034" s="49" t="s">
        <v>9191</v>
      </c>
    </row>
    <row r="1035" spans="1:2">
      <c r="A1035" s="66">
        <v>45988.898256377317</v>
      </c>
      <c r="B1035" s="49" t="s">
        <v>9428</v>
      </c>
    </row>
    <row r="1036" spans="1:2">
      <c r="A1036" s="66">
        <v>45988.898260787042</v>
      </c>
      <c r="B1036" s="49" t="s">
        <v>9078</v>
      </c>
    </row>
    <row r="1037" spans="1:2">
      <c r="A1037" s="66">
        <v>45988.89902084491</v>
      </c>
      <c r="B1037" s="49" t="s">
        <v>9402</v>
      </c>
    </row>
    <row r="1038" spans="1:2">
      <c r="A1038" s="66">
        <v>45988.899025324077</v>
      </c>
      <c r="B1038" s="49" t="s">
        <v>9084</v>
      </c>
    </row>
    <row r="1039" spans="1:2">
      <c r="A1039" s="66">
        <v>45988.899029560183</v>
      </c>
      <c r="B1039" s="49" t="s">
        <v>9078</v>
      </c>
    </row>
    <row r="1040" spans="1:2">
      <c r="A1040" s="66">
        <v>45988.899051469911</v>
      </c>
      <c r="B1040" s="49" t="s">
        <v>9403</v>
      </c>
    </row>
    <row r="1041" spans="1:2">
      <c r="A1041" s="66">
        <v>45988.899053796296</v>
      </c>
      <c r="B1041" s="49" t="s">
        <v>9191</v>
      </c>
    </row>
    <row r="1042" spans="1:2">
      <c r="A1042" s="66">
        <v>45988.899382083335</v>
      </c>
      <c r="B1042" s="49" t="s">
        <v>9084</v>
      </c>
    </row>
    <row r="1043" spans="1:2">
      <c r="A1043" s="66">
        <v>45988.899386620367</v>
      </c>
      <c r="B1043" s="49" t="s">
        <v>9078</v>
      </c>
    </row>
    <row r="1044" spans="1:2">
      <c r="A1044" s="66">
        <v>45989.042351122684</v>
      </c>
      <c r="B1044" s="49" t="s">
        <v>9431</v>
      </c>
    </row>
    <row r="1045" spans="1:2">
      <c r="A1045" s="66">
        <v>45989.042402395833</v>
      </c>
      <c r="B1045" s="49" t="s">
        <v>9073</v>
      </c>
    </row>
    <row r="1046" spans="1:2">
      <c r="A1046" s="66">
        <v>45989.042407928238</v>
      </c>
      <c r="B1046" s="49" t="s">
        <v>9074</v>
      </c>
    </row>
    <row r="1047" spans="1:2">
      <c r="A1047" s="66">
        <v>45989.042410624999</v>
      </c>
      <c r="B1047" s="49" t="s">
        <v>9191</v>
      </c>
    </row>
    <row r="1048" spans="1:2">
      <c r="A1048" s="66">
        <v>45989.229253217592</v>
      </c>
      <c r="B1048" s="49" t="s">
        <v>9432</v>
      </c>
    </row>
    <row r="1049" spans="1:2">
      <c r="A1049" s="66">
        <v>45989.229282835644</v>
      </c>
      <c r="B1049" s="49" t="s">
        <v>9073</v>
      </c>
    </row>
    <row r="1050" spans="1:2">
      <c r="A1050" s="66">
        <v>45989.22928900463</v>
      </c>
      <c r="B1050" s="49" t="s">
        <v>9074</v>
      </c>
    </row>
    <row r="1051" spans="1:2">
      <c r="A1051" s="66">
        <v>45989.229291134259</v>
      </c>
      <c r="B1051" s="49" t="s">
        <v>9191</v>
      </c>
    </row>
    <row r="1052" spans="1:2">
      <c r="A1052" s="66">
        <v>45989.352617534722</v>
      </c>
      <c r="B1052" s="49"/>
    </row>
    <row r="1053" spans="1:2">
      <c r="A1053" s="66">
        <v>45989.352627581015</v>
      </c>
      <c r="B1053" s="49"/>
    </row>
    <row r="1054" spans="1:2">
      <c r="A1054" s="66">
        <v>45989.352666261577</v>
      </c>
      <c r="B1054" s="49"/>
    </row>
    <row r="1055" spans="1:2">
      <c r="A1055" s="66">
        <v>45989.367812708333</v>
      </c>
      <c r="B1055" s="49"/>
    </row>
    <row r="1056" spans="1:2">
      <c r="A1056" s="66">
        <v>45989.377505625002</v>
      </c>
      <c r="B1056" s="49"/>
    </row>
    <row r="1057" spans="1:2">
      <c r="A1057" s="66">
        <v>45989.437579120371</v>
      </c>
      <c r="B1057" s="49" t="s">
        <v>9433</v>
      </c>
    </row>
    <row r="1058" spans="1:2">
      <c r="A1058" s="66">
        <v>45989.437585335647</v>
      </c>
      <c r="B1058" s="49" t="s">
        <v>9434</v>
      </c>
    </row>
    <row r="1059" spans="1:2">
      <c r="A1059" s="66">
        <v>45989.437589837966</v>
      </c>
      <c r="B1059" s="49" t="s">
        <v>9078</v>
      </c>
    </row>
    <row r="1060" spans="1:2">
      <c r="A1060" s="66">
        <v>45989.437625694445</v>
      </c>
      <c r="B1060" s="49" t="s">
        <v>9435</v>
      </c>
    </row>
    <row r="1061" spans="1:2">
      <c r="A1061" s="66">
        <v>45989.437631990746</v>
      </c>
      <c r="B1061" s="49" t="s">
        <v>9436</v>
      </c>
    </row>
    <row r="1062" spans="1:2">
      <c r="A1062" s="66">
        <v>45989.437634618051</v>
      </c>
      <c r="B1062" s="49" t="s">
        <v>9191</v>
      </c>
    </row>
    <row r="1063" spans="1:2">
      <c r="A1063" s="66">
        <v>45989.447268553238</v>
      </c>
      <c r="B1063" s="49" t="s">
        <v>9437</v>
      </c>
    </row>
    <row r="1064" spans="1:2">
      <c r="A1064" s="66">
        <v>45989.447275405095</v>
      </c>
      <c r="B1064" s="49" t="s">
        <v>9438</v>
      </c>
    </row>
    <row r="1065" spans="1:2">
      <c r="A1065" s="66">
        <v>45989.447281354165</v>
      </c>
      <c r="B1065" s="49" t="s">
        <v>9078</v>
      </c>
    </row>
    <row r="1066" spans="1:2">
      <c r="A1066" s="66">
        <v>45989.447315914353</v>
      </c>
      <c r="B1066" s="49" t="s">
        <v>9439</v>
      </c>
    </row>
    <row r="1067" spans="1:2">
      <c r="A1067" s="66">
        <v>45989.447328101851</v>
      </c>
      <c r="B1067" s="49" t="s">
        <v>9191</v>
      </c>
    </row>
    <row r="1068" spans="1:2">
      <c r="A1068" s="66">
        <v>45989.475052453708</v>
      </c>
      <c r="B1068" s="49" t="s">
        <v>9440</v>
      </c>
    </row>
    <row r="1069" spans="1:2">
      <c r="A1069" s="66">
        <v>45989.475078460644</v>
      </c>
      <c r="B1069" s="49" t="s">
        <v>9073</v>
      </c>
    </row>
    <row r="1070" spans="1:2">
      <c r="A1070" s="66">
        <v>45989.475084143516</v>
      </c>
      <c r="B1070" s="49" t="s">
        <v>9074</v>
      </c>
    </row>
    <row r="1071" spans="1:2">
      <c r="A1071" s="66">
        <v>45989.47508606482</v>
      </c>
      <c r="B1071" s="49" t="s">
        <v>9191</v>
      </c>
    </row>
    <row r="1072" spans="1:2">
      <c r="A1072" s="66">
        <v>45989.555455682872</v>
      </c>
      <c r="B1072" s="49" t="s">
        <v>9441</v>
      </c>
    </row>
    <row r="1073" spans="1:2">
      <c r="A1073" s="66">
        <v>45989.555461643518</v>
      </c>
      <c r="B1073" s="49" t="s">
        <v>9442</v>
      </c>
    </row>
    <row r="1074" spans="1:2">
      <c r="A1074" s="66">
        <v>45989.555483252319</v>
      </c>
      <c r="B1074" s="49" t="s">
        <v>9078</v>
      </c>
    </row>
    <row r="1075" spans="1:2">
      <c r="A1075" s="66">
        <v>45989.555506886572</v>
      </c>
      <c r="B1075" s="49" t="s">
        <v>9443</v>
      </c>
    </row>
    <row r="1076" spans="1:2">
      <c r="A1076" s="66">
        <v>45989.555509224534</v>
      </c>
      <c r="B1076" s="49" t="s">
        <v>9191</v>
      </c>
    </row>
    <row r="1077" spans="1:2">
      <c r="A1077" s="66">
        <v>45989.55916153935</v>
      </c>
      <c r="B1077" s="49" t="s">
        <v>9444</v>
      </c>
    </row>
    <row r="1078" spans="1:2">
      <c r="A1078" s="66">
        <v>45989.559186574072</v>
      </c>
      <c r="B1078" s="49" t="s">
        <v>9445</v>
      </c>
    </row>
    <row r="1079" spans="1:2">
      <c r="A1079" s="66">
        <v>45989.559193831017</v>
      </c>
      <c r="B1079" s="49" t="s">
        <v>9078</v>
      </c>
    </row>
    <row r="1080" spans="1:2">
      <c r="A1080" s="66">
        <v>45989.55923027778</v>
      </c>
      <c r="B1080" s="49" t="s">
        <v>9446</v>
      </c>
    </row>
    <row r="1081" spans="1:2">
      <c r="A1081" s="66">
        <v>45989.559240555551</v>
      </c>
      <c r="B1081" s="49" t="s">
        <v>9447</v>
      </c>
    </row>
    <row r="1082" spans="1:2">
      <c r="A1082" s="66">
        <v>45989.559243449075</v>
      </c>
      <c r="B1082" s="49" t="s">
        <v>9191</v>
      </c>
    </row>
    <row r="1083" spans="1:2">
      <c r="A1083" s="66">
        <v>45989.594336122682</v>
      </c>
      <c r="B1083" s="49" t="s">
        <v>9448</v>
      </c>
    </row>
    <row r="1084" spans="1:2">
      <c r="A1084" s="66">
        <v>45989.594342731478</v>
      </c>
      <c r="B1084" s="49" t="s">
        <v>9449</v>
      </c>
    </row>
    <row r="1085" spans="1:2">
      <c r="A1085" s="66">
        <v>45989.594347997685</v>
      </c>
      <c r="B1085" s="49" t="s">
        <v>9078</v>
      </c>
    </row>
    <row r="1086" spans="1:2">
      <c r="A1086" s="66">
        <v>45989.594381377319</v>
      </c>
      <c r="B1086" s="49" t="s">
        <v>9450</v>
      </c>
    </row>
    <row r="1087" spans="1:2">
      <c r="A1087" s="66">
        <v>45989.594384317126</v>
      </c>
      <c r="B1087" s="49" t="s">
        <v>9191</v>
      </c>
    </row>
    <row r="1088" spans="1:2">
      <c r="A1088" s="66">
        <v>45990.226063090275</v>
      </c>
      <c r="B1088" s="49" t="s">
        <v>9451</v>
      </c>
    </row>
    <row r="1089" spans="1:2">
      <c r="A1089" s="66">
        <v>45990.226127870366</v>
      </c>
      <c r="B1089" s="49" t="s">
        <v>9073</v>
      </c>
    </row>
    <row r="1090" spans="1:2">
      <c r="A1090" s="66">
        <v>45990.226132800926</v>
      </c>
      <c r="B1090" s="49" t="s">
        <v>9074</v>
      </c>
    </row>
    <row r="1091" spans="1:2">
      <c r="A1091" s="66">
        <v>45990.226135254634</v>
      </c>
      <c r="B1091" s="49" t="s">
        <v>9191</v>
      </c>
    </row>
    <row r="1092" spans="1:2">
      <c r="A1092" s="66">
        <v>45990.262299907408</v>
      </c>
      <c r="B1092" s="49"/>
    </row>
    <row r="1093" spans="1:2">
      <c r="A1093" s="66">
        <v>45990.262576678244</v>
      </c>
      <c r="B1093" s="49"/>
    </row>
    <row r="1094" spans="1:2">
      <c r="A1094" s="66">
        <v>45990.274297511569</v>
      </c>
      <c r="B1094" s="49"/>
    </row>
    <row r="1095" spans="1:2">
      <c r="A1095" s="66">
        <v>45990.332922581016</v>
      </c>
      <c r="B1095" s="49"/>
    </row>
    <row r="1096" spans="1:2">
      <c r="A1096" s="66">
        <v>45990.33293394676</v>
      </c>
      <c r="B1096" s="49"/>
    </row>
    <row r="1097" spans="1:2">
      <c r="A1097" s="66">
        <v>45990.360469282408</v>
      </c>
      <c r="B1097" s="49" t="s">
        <v>9452</v>
      </c>
    </row>
    <row r="1098" spans="1:2">
      <c r="A1098" s="66">
        <v>45990.36050923611</v>
      </c>
      <c r="B1098" s="49" t="s">
        <v>9073</v>
      </c>
    </row>
    <row r="1099" spans="1:2">
      <c r="A1099" s="66">
        <v>45990.360514965279</v>
      </c>
      <c r="B1099" s="49" t="s">
        <v>9074</v>
      </c>
    </row>
    <row r="1100" spans="1:2">
      <c r="A1100" s="66">
        <v>45990.360518043977</v>
      </c>
      <c r="B1100" s="49" t="s">
        <v>9191</v>
      </c>
    </row>
    <row r="1101" spans="1:2">
      <c r="A1101" s="66">
        <v>45990.435907824074</v>
      </c>
      <c r="B1101" s="49" t="s">
        <v>9453</v>
      </c>
    </row>
    <row r="1102" spans="1:2">
      <c r="A1102" s="66">
        <v>45990.435954606481</v>
      </c>
      <c r="B1102" s="49" t="s">
        <v>9073</v>
      </c>
    </row>
    <row r="1103" spans="1:2">
      <c r="A1103" s="66">
        <v>45990.435961458337</v>
      </c>
      <c r="B1103" s="49" t="s">
        <v>9074</v>
      </c>
    </row>
    <row r="1104" spans="1:2">
      <c r="A1104" s="66">
        <v>45990.435968113423</v>
      </c>
      <c r="B1104" s="49" t="s">
        <v>9191</v>
      </c>
    </row>
    <row r="1105" spans="1:2">
      <c r="A1105" s="66">
        <v>45990.436119085643</v>
      </c>
      <c r="B1105" s="49" t="s">
        <v>9454</v>
      </c>
    </row>
    <row r="1106" spans="1:2">
      <c r="A1106" s="66">
        <v>45990.436150428242</v>
      </c>
      <c r="B1106" s="49" t="s">
        <v>9073</v>
      </c>
    </row>
    <row r="1107" spans="1:2">
      <c r="A1107" s="66">
        <v>45990.436155937496</v>
      </c>
      <c r="B1107" s="49" t="s">
        <v>9074</v>
      </c>
    </row>
    <row r="1108" spans="1:2">
      <c r="A1108" s="66">
        <v>45990.43615872685</v>
      </c>
      <c r="B1108" s="49" t="s">
        <v>9191</v>
      </c>
    </row>
    <row r="1109" spans="1:2">
      <c r="A1109" s="66">
        <v>45990.450545381944</v>
      </c>
      <c r="B1109" s="49" t="s">
        <v>9455</v>
      </c>
    </row>
    <row r="1110" spans="1:2">
      <c r="A1110" s="66">
        <v>45990.45055076389</v>
      </c>
      <c r="B1110" s="49" t="s">
        <v>9456</v>
      </c>
    </row>
    <row r="1111" spans="1:2">
      <c r="A1111" s="66">
        <v>45990.450555219912</v>
      </c>
      <c r="B1111" s="49" t="s">
        <v>9078</v>
      </c>
    </row>
    <row r="1112" spans="1:2">
      <c r="A1112" s="66">
        <v>45990.450587395833</v>
      </c>
      <c r="B1112" s="49" t="s">
        <v>9457</v>
      </c>
    </row>
    <row r="1113" spans="1:2">
      <c r="A1113" s="66">
        <v>45990.450594259259</v>
      </c>
      <c r="B1113" s="49" t="s">
        <v>9458</v>
      </c>
    </row>
    <row r="1114" spans="1:2">
      <c r="A1114" s="66">
        <v>45990.45059630787</v>
      </c>
      <c r="B1114" s="49" t="s">
        <v>9191</v>
      </c>
    </row>
    <row r="1115" spans="1:2">
      <c r="A1115" s="66">
        <v>45990.663991655092</v>
      </c>
      <c r="B1115" s="49" t="s">
        <v>9459</v>
      </c>
    </row>
    <row r="1116" spans="1:2">
      <c r="A1116" s="66">
        <v>45990.664000439814</v>
      </c>
      <c r="B1116" s="49" t="s">
        <v>9460</v>
      </c>
    </row>
    <row r="1117" spans="1:2">
      <c r="A1117" s="66">
        <v>45990.664005416664</v>
      </c>
      <c r="B1117" s="49" t="s">
        <v>9078</v>
      </c>
    </row>
    <row r="1118" spans="1:2">
      <c r="A1118" s="66">
        <v>45990.664050381944</v>
      </c>
      <c r="B1118" s="49" t="s">
        <v>9461</v>
      </c>
    </row>
    <row r="1119" spans="1:2">
      <c r="A1119" s="66">
        <v>45990.664058124996</v>
      </c>
      <c r="B1119" s="49" t="s">
        <v>9462</v>
      </c>
    </row>
    <row r="1120" spans="1:2">
      <c r="A1120" s="66">
        <v>45990.664060625</v>
      </c>
      <c r="B1120" s="49" t="s">
        <v>9191</v>
      </c>
    </row>
    <row r="1121" spans="1:2">
      <c r="A1121" s="66">
        <v>45990.664152013887</v>
      </c>
      <c r="B1121" s="49" t="s">
        <v>9463</v>
      </c>
    </row>
    <row r="1122" spans="1:2">
      <c r="A1122" s="66">
        <v>45990.664157997686</v>
      </c>
      <c r="B1122" s="49" t="s">
        <v>9464</v>
      </c>
    </row>
    <row r="1123" spans="1:2">
      <c r="A1123" s="66">
        <v>45990.664163090274</v>
      </c>
      <c r="B1123" s="49" t="s">
        <v>9078</v>
      </c>
    </row>
    <row r="1124" spans="1:2">
      <c r="A1124" s="66">
        <v>45990.664182650464</v>
      </c>
      <c r="B1124" s="49" t="s">
        <v>9465</v>
      </c>
    </row>
    <row r="1125" spans="1:2">
      <c r="A1125" s="66">
        <v>45990.664189699077</v>
      </c>
      <c r="B1125" s="49" t="s">
        <v>9466</v>
      </c>
    </row>
    <row r="1126" spans="1:2">
      <c r="A1126" s="66">
        <v>45990.664191944445</v>
      </c>
      <c r="B1126" s="49" t="s">
        <v>9191</v>
      </c>
    </row>
    <row r="1127" spans="1:2">
      <c r="A1127" s="66">
        <v>45990.830190266206</v>
      </c>
      <c r="B1127" s="49" t="s">
        <v>9467</v>
      </c>
    </row>
    <row r="1128" spans="1:2">
      <c r="A1128" s="66">
        <v>45990.830201990742</v>
      </c>
      <c r="B1128" s="49" t="s">
        <v>9112</v>
      </c>
    </row>
    <row r="1129" spans="1:2">
      <c r="A1129" s="66">
        <v>45990.830206886574</v>
      </c>
      <c r="B1129" s="49" t="s">
        <v>9078</v>
      </c>
    </row>
    <row r="1130" spans="1:2">
      <c r="A1130" s="66">
        <v>45990.830237905087</v>
      </c>
      <c r="B1130" s="49" t="s">
        <v>9468</v>
      </c>
    </row>
    <row r="1131" spans="1:2">
      <c r="A1131" s="66">
        <v>45990.830240891199</v>
      </c>
      <c r="B1131" s="49" t="s">
        <v>9191</v>
      </c>
    </row>
    <row r="1132" spans="1:2">
      <c r="A1132" s="66">
        <v>45990.83759048611</v>
      </c>
      <c r="B1132" s="49" t="s">
        <v>9469</v>
      </c>
    </row>
    <row r="1133" spans="1:2">
      <c r="A1133" s="66">
        <v>45990.837597083329</v>
      </c>
      <c r="B1133" s="49" t="s">
        <v>9112</v>
      </c>
    </row>
    <row r="1134" spans="1:2">
      <c r="A1134" s="66">
        <v>45990.837616851852</v>
      </c>
      <c r="B1134" s="49" t="s">
        <v>9078</v>
      </c>
    </row>
    <row r="1135" spans="1:2">
      <c r="A1135" s="66">
        <v>45990.83766380787</v>
      </c>
      <c r="B1135" s="49" t="s">
        <v>9470</v>
      </c>
    </row>
    <row r="1136" spans="1:2">
      <c r="A1136" s="66">
        <v>45990.837670312496</v>
      </c>
      <c r="B1136" s="49" t="s">
        <v>9471</v>
      </c>
    </row>
    <row r="1137" spans="1:2">
      <c r="A1137" s="66">
        <v>45990.837672997688</v>
      </c>
      <c r="B1137" s="49" t="s">
        <v>9191</v>
      </c>
    </row>
    <row r="1138" spans="1:2">
      <c r="A1138" s="66">
        <v>45990.879223171301</v>
      </c>
      <c r="B1138" s="49" t="s">
        <v>9157</v>
      </c>
    </row>
    <row r="1139" spans="1:2">
      <c r="A1139" s="66">
        <v>45990.87922884259</v>
      </c>
      <c r="B1139" s="49" t="s">
        <v>9078</v>
      </c>
    </row>
    <row r="1140" spans="1:2">
      <c r="A1140" s="66">
        <v>45991.20675268519</v>
      </c>
      <c r="B1140" s="49" t="s">
        <v>9472</v>
      </c>
    </row>
    <row r="1141" spans="1:2">
      <c r="A1141" s="66">
        <v>45991.206781921297</v>
      </c>
      <c r="B1141" s="49" t="s">
        <v>9310</v>
      </c>
    </row>
    <row r="1142" spans="1:2">
      <c r="A1142" s="66">
        <v>45991.206787407413</v>
      </c>
      <c r="B1142" s="49" t="s">
        <v>9074</v>
      </c>
    </row>
    <row r="1143" spans="1:2">
      <c r="A1143" s="66">
        <v>45991.206789930555</v>
      </c>
      <c r="B1143" s="49" t="s">
        <v>9191</v>
      </c>
    </row>
    <row r="1144" spans="1:2">
      <c r="A1144" s="66">
        <v>45991.20815658565</v>
      </c>
      <c r="B1144" s="49" t="s">
        <v>9473</v>
      </c>
    </row>
    <row r="1145" spans="1:2">
      <c r="A1145" s="66">
        <v>45991.208185810188</v>
      </c>
      <c r="B1145" s="49" t="s">
        <v>9310</v>
      </c>
    </row>
    <row r="1146" spans="1:2">
      <c r="A1146" s="66">
        <v>45991.208192314814</v>
      </c>
      <c r="B1146" s="49" t="s">
        <v>9074</v>
      </c>
    </row>
    <row r="1147" spans="1:2">
      <c r="A1147" s="66">
        <v>45991.208196041669</v>
      </c>
      <c r="B1147" s="49" t="s">
        <v>9191</v>
      </c>
    </row>
    <row r="1148" spans="1:2">
      <c r="A1148" s="66">
        <v>45991.208312465278</v>
      </c>
      <c r="B1148" s="49" t="s">
        <v>9474</v>
      </c>
    </row>
    <row r="1149" spans="1:2">
      <c r="A1149" s="66">
        <v>45991.208341226855</v>
      </c>
      <c r="B1149" s="49" t="s">
        <v>9310</v>
      </c>
    </row>
    <row r="1150" spans="1:2">
      <c r="A1150" s="66">
        <v>45991.20834636574</v>
      </c>
      <c r="B1150" s="49" t="s">
        <v>9074</v>
      </c>
    </row>
    <row r="1151" spans="1:2">
      <c r="A1151" s="66">
        <v>45991.208349131943</v>
      </c>
      <c r="B1151" s="49" t="s">
        <v>9191</v>
      </c>
    </row>
    <row r="1152" spans="1:2">
      <c r="A1152" s="66">
        <v>45991.208480555557</v>
      </c>
      <c r="B1152" s="49" t="s">
        <v>9475</v>
      </c>
    </row>
    <row r="1153" spans="1:2">
      <c r="A1153" s="66">
        <v>45991.208503634261</v>
      </c>
      <c r="B1153" s="49" t="s">
        <v>9310</v>
      </c>
    </row>
    <row r="1154" spans="1:2">
      <c r="A1154" s="66">
        <v>45991.208508136573</v>
      </c>
      <c r="B1154" s="49" t="s">
        <v>9074</v>
      </c>
    </row>
    <row r="1155" spans="1:2">
      <c r="A1155" s="66">
        <v>45991.20851034722</v>
      </c>
      <c r="B1155" s="49" t="s">
        <v>9191</v>
      </c>
    </row>
    <row r="1156" spans="1:2">
      <c r="A1156" s="66">
        <v>45991.259113518521</v>
      </c>
      <c r="B1156" s="49"/>
    </row>
    <row r="1157" spans="1:2">
      <c r="A1157" s="66">
        <v>45991.267795162035</v>
      </c>
      <c r="B1157" s="49"/>
    </row>
    <row r="1158" spans="1:2">
      <c r="A1158" s="66">
        <v>45991.282134398149</v>
      </c>
      <c r="B1158" s="49" t="s">
        <v>9476</v>
      </c>
    </row>
    <row r="1159" spans="1:2">
      <c r="A1159" s="66">
        <v>45991.282193819439</v>
      </c>
      <c r="B1159" s="49" t="s">
        <v>9310</v>
      </c>
    </row>
    <row r="1160" spans="1:2">
      <c r="A1160" s="66">
        <v>45991.282198784727</v>
      </c>
      <c r="B1160" s="49" t="s">
        <v>9074</v>
      </c>
    </row>
    <row r="1161" spans="1:2">
      <c r="A1161" s="66">
        <v>45991.282200914357</v>
      </c>
      <c r="B1161" s="49" t="s">
        <v>9191</v>
      </c>
    </row>
    <row r="1162" spans="1:2">
      <c r="A1162" s="66">
        <v>45992.102513032412</v>
      </c>
      <c r="B1162" s="49" t="s">
        <v>9477</v>
      </c>
    </row>
    <row r="1163" spans="1:2">
      <c r="A1163" s="66">
        <v>45992.102548773153</v>
      </c>
      <c r="B1163" s="49" t="s">
        <v>9073</v>
      </c>
    </row>
    <row r="1164" spans="1:2">
      <c r="A1164" s="66">
        <v>45992.102553356483</v>
      </c>
      <c r="B1164" s="49" t="s">
        <v>9074</v>
      </c>
    </row>
    <row r="1165" spans="1:2">
      <c r="A1165" s="66">
        <v>45992.10255570602</v>
      </c>
      <c r="B1165" s="49" t="s">
        <v>9191</v>
      </c>
    </row>
    <row r="1166" spans="1:2">
      <c r="A1166" s="66">
        <v>45992.239844641204</v>
      </c>
      <c r="B1166" s="49" t="s">
        <v>9478</v>
      </c>
    </row>
    <row r="1167" spans="1:2">
      <c r="A1167" s="66">
        <v>45992.239892650468</v>
      </c>
      <c r="B1167" s="49" t="s">
        <v>9073</v>
      </c>
    </row>
    <row r="1168" spans="1:2">
      <c r="A1168" s="66">
        <v>45992.23989780093</v>
      </c>
      <c r="B1168" s="49" t="s">
        <v>9074</v>
      </c>
    </row>
    <row r="1169" spans="1:2">
      <c r="A1169" s="66">
        <v>45992.239902175927</v>
      </c>
      <c r="B1169" s="49" t="s">
        <v>9191</v>
      </c>
    </row>
    <row r="1170" spans="1:2">
      <c r="A1170" s="66">
        <v>45992.274977974535</v>
      </c>
      <c r="B1170" s="49" t="s">
        <v>9479</v>
      </c>
    </row>
    <row r="1171" spans="1:2">
      <c r="A1171" s="66">
        <v>45992.274986504628</v>
      </c>
      <c r="B1171" s="49" t="s">
        <v>9078</v>
      </c>
    </row>
    <row r="1172" spans="1:2">
      <c r="A1172" s="66">
        <v>45992.277003854164</v>
      </c>
      <c r="B1172" s="49" t="s">
        <v>9480</v>
      </c>
    </row>
    <row r="1173" spans="1:2">
      <c r="A1173" s="66">
        <v>45992.277007708333</v>
      </c>
      <c r="B1173" s="49" t="s">
        <v>9479</v>
      </c>
    </row>
    <row r="1174" spans="1:2">
      <c r="A1174" s="66">
        <v>45992.277024884257</v>
      </c>
      <c r="B1174" s="49" t="s">
        <v>9078</v>
      </c>
    </row>
    <row r="1175" spans="1:2">
      <c r="A1175" s="66">
        <v>45992.277039259265</v>
      </c>
      <c r="B1175" s="49" t="s">
        <v>9481</v>
      </c>
    </row>
    <row r="1176" spans="1:2">
      <c r="A1176" s="66">
        <v>45992.277044432871</v>
      </c>
      <c r="B1176" s="49" t="s">
        <v>9191</v>
      </c>
    </row>
    <row r="1177" spans="1:2">
      <c r="A1177" s="66">
        <v>45992.332709814815</v>
      </c>
      <c r="B1177" s="49" t="s">
        <v>9482</v>
      </c>
    </row>
    <row r="1178" spans="1:2">
      <c r="A1178" s="66">
        <v>45992.332732731476</v>
      </c>
      <c r="B1178" s="49" t="s">
        <v>9078</v>
      </c>
    </row>
    <row r="1179" spans="1:2">
      <c r="A1179" s="66">
        <v>45992.332965543981</v>
      </c>
      <c r="B1179" s="49" t="s">
        <v>9483</v>
      </c>
    </row>
    <row r="1180" spans="1:2">
      <c r="A1180" s="66">
        <v>45992.332968807867</v>
      </c>
      <c r="B1180" s="49" t="s">
        <v>9482</v>
      </c>
    </row>
    <row r="1181" spans="1:2">
      <c r="A1181" s="66">
        <v>45992.332974236109</v>
      </c>
      <c r="B1181" s="49" t="s">
        <v>9078</v>
      </c>
    </row>
    <row r="1182" spans="1:2">
      <c r="A1182" s="66">
        <v>45992.332992118056</v>
      </c>
      <c r="B1182" s="49" t="s">
        <v>9484</v>
      </c>
    </row>
    <row r="1183" spans="1:2">
      <c r="A1183" s="66">
        <v>45992.332994039352</v>
      </c>
      <c r="B1183" s="49" t="s">
        <v>9191</v>
      </c>
    </row>
    <row r="1184" spans="1:2">
      <c r="A1184" s="66">
        <v>45992.333889837959</v>
      </c>
      <c r="B1184" s="49"/>
    </row>
    <row r="1185" spans="1:2">
      <c r="A1185" s="66">
        <v>45992.391392962963</v>
      </c>
      <c r="B1185" s="49" t="s">
        <v>9485</v>
      </c>
    </row>
    <row r="1186" spans="1:2">
      <c r="A1186" s="66">
        <v>45992.39139744213</v>
      </c>
      <c r="B1186" s="49" t="s">
        <v>9486</v>
      </c>
    </row>
    <row r="1187" spans="1:2">
      <c r="A1187" s="66">
        <v>45992.391400682871</v>
      </c>
      <c r="B1187" s="49" t="s">
        <v>9078</v>
      </c>
    </row>
    <row r="1188" spans="1:2">
      <c r="A1188" s="66">
        <v>45992.391414942133</v>
      </c>
      <c r="B1188" s="49" t="s">
        <v>9487</v>
      </c>
    </row>
    <row r="1189" spans="1:2">
      <c r="A1189" s="66">
        <v>45992.391421527776</v>
      </c>
      <c r="B1189" s="49" t="s">
        <v>9191</v>
      </c>
    </row>
    <row r="1190" spans="1:2">
      <c r="A1190" s="66">
        <v>45992.392043518514</v>
      </c>
      <c r="B1190" s="49" t="s">
        <v>9488</v>
      </c>
    </row>
    <row r="1191" spans="1:2">
      <c r="A1191" s="66">
        <v>45992.392061863429</v>
      </c>
      <c r="B1191" s="49" t="s">
        <v>9073</v>
      </c>
    </row>
    <row r="1192" spans="1:2">
      <c r="A1192" s="66">
        <v>45992.392066388886</v>
      </c>
      <c r="B1192" s="49" t="s">
        <v>9074</v>
      </c>
    </row>
    <row r="1193" spans="1:2">
      <c r="A1193" s="66">
        <v>45992.392071631941</v>
      </c>
      <c r="B1193" s="49" t="s">
        <v>9191</v>
      </c>
    </row>
    <row r="1194" spans="1:2">
      <c r="A1194" s="66">
        <v>45992.392590856485</v>
      </c>
      <c r="B1194" s="49" t="s">
        <v>9489</v>
      </c>
    </row>
    <row r="1195" spans="1:2">
      <c r="A1195" s="66">
        <v>45992.39260309028</v>
      </c>
      <c r="B1195" s="49" t="s">
        <v>9138</v>
      </c>
    </row>
    <row r="1196" spans="1:2">
      <c r="A1196" s="66">
        <v>45992.392609085648</v>
      </c>
      <c r="B1196" s="49" t="s">
        <v>9078</v>
      </c>
    </row>
    <row r="1197" spans="1:2">
      <c r="A1197" s="66">
        <v>45992.392734027773</v>
      </c>
      <c r="B1197" s="49" t="s">
        <v>9490</v>
      </c>
    </row>
    <row r="1198" spans="1:2">
      <c r="A1198" s="66">
        <v>45992.392737615737</v>
      </c>
      <c r="B1198" s="49" t="s">
        <v>9191</v>
      </c>
    </row>
    <row r="1199" spans="1:2">
      <c r="A1199" s="66">
        <v>45992.561698611113</v>
      </c>
      <c r="B1199" s="49" t="s">
        <v>9491</v>
      </c>
    </row>
    <row r="1200" spans="1:2">
      <c r="A1200" s="66">
        <v>45992.561704224536</v>
      </c>
      <c r="B1200" s="49" t="s">
        <v>9492</v>
      </c>
    </row>
    <row r="1201" spans="1:2">
      <c r="A1201" s="66">
        <v>45992.561725127314</v>
      </c>
      <c r="B1201" s="49" t="s">
        <v>9078</v>
      </c>
    </row>
    <row r="1202" spans="1:2">
      <c r="A1202" s="66">
        <v>45992.5617503588</v>
      </c>
      <c r="B1202" s="49" t="s">
        <v>9493</v>
      </c>
    </row>
    <row r="1203" spans="1:2">
      <c r="A1203" s="66">
        <v>45992.561755902774</v>
      </c>
      <c r="B1203" s="49" t="s">
        <v>9494</v>
      </c>
    </row>
    <row r="1204" spans="1:2">
      <c r="A1204" s="66">
        <v>45992.561757881944</v>
      </c>
      <c r="B1204" s="49" t="s">
        <v>9191</v>
      </c>
    </row>
    <row r="1205" spans="1:2">
      <c r="A1205" s="66">
        <v>45993.134463252311</v>
      </c>
      <c r="B1205" s="49" t="s">
        <v>9495</v>
      </c>
    </row>
    <row r="1206" spans="1:2">
      <c r="A1206" s="66">
        <v>45993.134468599535</v>
      </c>
      <c r="B1206" s="49" t="s">
        <v>9078</v>
      </c>
    </row>
    <row r="1207" spans="1:2">
      <c r="A1207" s="66">
        <v>45993.138542500004</v>
      </c>
      <c r="B1207" s="49" t="s">
        <v>9496</v>
      </c>
    </row>
    <row r="1208" spans="1:2">
      <c r="A1208" s="66">
        <v>45993.138547858791</v>
      </c>
      <c r="B1208" s="49" t="s">
        <v>9078</v>
      </c>
    </row>
    <row r="1209" spans="1:2">
      <c r="A1209" s="66">
        <v>45993.139676226856</v>
      </c>
      <c r="B1209" s="49" t="s">
        <v>9272</v>
      </c>
    </row>
    <row r="1210" spans="1:2">
      <c r="A1210" s="66">
        <v>45993.139680451393</v>
      </c>
      <c r="B1210" s="49" t="s">
        <v>9078</v>
      </c>
    </row>
    <row r="1211" spans="1:2">
      <c r="A1211" s="66">
        <v>45993.142933275463</v>
      </c>
      <c r="B1211" s="49" t="s">
        <v>9087</v>
      </c>
    </row>
    <row r="1212" spans="1:2">
      <c r="A1212" s="66">
        <v>45993.142941087965</v>
      </c>
      <c r="B1212" s="49" t="s">
        <v>9078</v>
      </c>
    </row>
    <row r="1213" spans="1:2">
      <c r="A1213" s="66">
        <v>45993.143166770838</v>
      </c>
      <c r="B1213" s="49" t="s">
        <v>9497</v>
      </c>
    </row>
    <row r="1214" spans="1:2">
      <c r="A1214" s="66">
        <v>45993.14317693287</v>
      </c>
      <c r="B1214" s="49" t="s">
        <v>9078</v>
      </c>
    </row>
    <row r="1215" spans="1:2">
      <c r="A1215" s="66">
        <v>45993.145439456013</v>
      </c>
      <c r="B1215" s="49" t="s">
        <v>9498</v>
      </c>
    </row>
    <row r="1216" spans="1:2">
      <c r="A1216" s="66">
        <v>45993.15177459491</v>
      </c>
      <c r="B1216" s="49" t="s">
        <v>9428</v>
      </c>
    </row>
    <row r="1217" spans="1:2">
      <c r="A1217" s="66">
        <v>45993.151794502315</v>
      </c>
      <c r="B1217" s="49" t="s">
        <v>9078</v>
      </c>
    </row>
    <row r="1218" spans="1:2">
      <c r="A1218" s="66">
        <v>45993.153174965279</v>
      </c>
      <c r="B1218" s="49" t="s">
        <v>9499</v>
      </c>
    </row>
    <row r="1219" spans="1:2">
      <c r="A1219" s="66">
        <v>45993.153216145831</v>
      </c>
      <c r="B1219" s="49" t="s">
        <v>9073</v>
      </c>
    </row>
    <row r="1220" spans="1:2">
      <c r="A1220" s="66">
        <v>45993.153221909721</v>
      </c>
      <c r="B1220" s="49" t="s">
        <v>9074</v>
      </c>
    </row>
    <row r="1221" spans="1:2">
      <c r="A1221" s="66">
        <v>45993.153224907408</v>
      </c>
      <c r="B1221" s="49" t="s">
        <v>9191</v>
      </c>
    </row>
    <row r="1222" spans="1:2">
      <c r="A1222" s="66">
        <v>45993.153835405094</v>
      </c>
      <c r="B1222" s="49" t="s">
        <v>9500</v>
      </c>
    </row>
    <row r="1223" spans="1:2">
      <c r="A1223" s="66">
        <v>45993.15386608796</v>
      </c>
      <c r="B1223" s="49" t="s">
        <v>9073</v>
      </c>
    </row>
    <row r="1224" spans="1:2">
      <c r="A1224" s="66">
        <v>45993.153871377319</v>
      </c>
      <c r="B1224" s="49" t="s">
        <v>9074</v>
      </c>
    </row>
    <row r="1225" spans="1:2">
      <c r="A1225" s="66">
        <v>45993.153874421296</v>
      </c>
      <c r="B1225" s="49" t="s">
        <v>9191</v>
      </c>
    </row>
    <row r="1226" spans="1:2">
      <c r="A1226" s="66">
        <v>45993.233328333328</v>
      </c>
      <c r="B1226" s="49" t="s">
        <v>9501</v>
      </c>
    </row>
    <row r="1227" spans="1:2">
      <c r="A1227" s="66">
        <v>45993.233378287041</v>
      </c>
      <c r="B1227" s="49" t="s">
        <v>9073</v>
      </c>
    </row>
    <row r="1228" spans="1:2">
      <c r="A1228" s="66">
        <v>45993.233382881939</v>
      </c>
      <c r="B1228" s="49" t="s">
        <v>9074</v>
      </c>
    </row>
    <row r="1229" spans="1:2">
      <c r="A1229" s="66">
        <v>45993.233384861116</v>
      </c>
      <c r="B1229" s="49" t="s">
        <v>9191</v>
      </c>
    </row>
    <row r="1230" spans="1:2">
      <c r="A1230" s="66">
        <v>45993.240659409727</v>
      </c>
      <c r="B1230" s="49" t="s">
        <v>9247</v>
      </c>
    </row>
    <row r="1231" spans="1:2">
      <c r="A1231" s="66">
        <v>45993.240666377314</v>
      </c>
      <c r="B1231" s="49" t="s">
        <v>9078</v>
      </c>
    </row>
    <row r="1232" spans="1:2">
      <c r="A1232" s="66">
        <v>45993.309026157411</v>
      </c>
      <c r="B1232" s="49" t="s">
        <v>9498</v>
      </c>
    </row>
    <row r="1233" spans="1:2">
      <c r="A1233" s="66">
        <v>45993.311157048607</v>
      </c>
      <c r="B1233" s="49" t="s">
        <v>9498</v>
      </c>
    </row>
    <row r="1234" spans="1:2">
      <c r="A1234" s="66">
        <v>45993.334066435185</v>
      </c>
      <c r="B1234" s="49"/>
    </row>
    <row r="1235" spans="1:2">
      <c r="A1235" s="66">
        <v>45993.335144027777</v>
      </c>
      <c r="B1235" s="49"/>
    </row>
    <row r="1236" spans="1:2">
      <c r="A1236" s="66">
        <v>45993.336097291671</v>
      </c>
      <c r="B1236" s="49"/>
    </row>
    <row r="1237" spans="1:2">
      <c r="A1237" s="66">
        <v>45993.597933541663</v>
      </c>
      <c r="B1237" s="49" t="s">
        <v>9502</v>
      </c>
    </row>
    <row r="1238" spans="1:2">
      <c r="A1238" s="66">
        <v>45993.597940624997</v>
      </c>
      <c r="B1238" s="49" t="s">
        <v>9503</v>
      </c>
    </row>
    <row r="1239" spans="1:2">
      <c r="A1239" s="66">
        <v>45993.597968414353</v>
      </c>
      <c r="B1239" s="49" t="s">
        <v>9078</v>
      </c>
    </row>
    <row r="1240" spans="1:2">
      <c r="A1240" s="66">
        <v>45993.598002719911</v>
      </c>
      <c r="B1240" s="49" t="s">
        <v>9504</v>
      </c>
    </row>
    <row r="1241" spans="1:2">
      <c r="A1241" s="66">
        <v>45993.598005486114</v>
      </c>
      <c r="B1241" s="49" t="s">
        <v>9191</v>
      </c>
    </row>
    <row r="1242" spans="1:2">
      <c r="A1242" s="66">
        <v>45993.969579722223</v>
      </c>
      <c r="B1242" s="49" t="s">
        <v>9505</v>
      </c>
    </row>
    <row r="1243" spans="1:2">
      <c r="A1243" s="66">
        <v>45993.969630706022</v>
      </c>
      <c r="B1243" s="49" t="s">
        <v>9073</v>
      </c>
    </row>
    <row r="1244" spans="1:2">
      <c r="A1244" s="66">
        <v>45993.969637905087</v>
      </c>
      <c r="B1244" s="49" t="s">
        <v>9074</v>
      </c>
    </row>
    <row r="1245" spans="1:2">
      <c r="A1245" s="66">
        <v>45993.969641053242</v>
      </c>
      <c r="B1245" s="49" t="s">
        <v>9191</v>
      </c>
    </row>
    <row r="1246" spans="1:2">
      <c r="A1246" s="66">
        <v>45993.969909548614</v>
      </c>
      <c r="B1246" s="49" t="s">
        <v>9506</v>
      </c>
    </row>
    <row r="1247" spans="1:2">
      <c r="A1247" s="66">
        <v>45993.969963344905</v>
      </c>
      <c r="B1247" s="49" t="s">
        <v>9073</v>
      </c>
    </row>
    <row r="1248" spans="1:2">
      <c r="A1248" s="66">
        <v>45993.969970069447</v>
      </c>
      <c r="B1248" s="49" t="s">
        <v>9074</v>
      </c>
    </row>
    <row r="1249" spans="1:2">
      <c r="A1249" s="66">
        <v>45993.969974409723</v>
      </c>
      <c r="B1249" s="49" t="s">
        <v>9191</v>
      </c>
    </row>
    <row r="1250" spans="1:2">
      <c r="A1250" s="66">
        <v>45994.26776368056</v>
      </c>
      <c r="B1250" s="49" t="s">
        <v>9507</v>
      </c>
    </row>
    <row r="1251" spans="1:2">
      <c r="A1251" s="66">
        <v>45994.267814166669</v>
      </c>
      <c r="B1251" s="49" t="s">
        <v>9073</v>
      </c>
    </row>
    <row r="1252" spans="1:2">
      <c r="A1252" s="66">
        <v>45994.267820856483</v>
      </c>
      <c r="B1252" s="49" t="s">
        <v>9074</v>
      </c>
    </row>
    <row r="1253" spans="1:2">
      <c r="A1253" s="66">
        <v>45994.267824594906</v>
      </c>
      <c r="B1253" s="49" t="s">
        <v>9191</v>
      </c>
    </row>
    <row r="1254" spans="1:2">
      <c r="A1254" s="66">
        <v>45994.267916932869</v>
      </c>
      <c r="B1254" s="49" t="s">
        <v>9084</v>
      </c>
    </row>
    <row r="1255" spans="1:2">
      <c r="A1255" s="66">
        <v>45994.267921516206</v>
      </c>
      <c r="B1255" s="49" t="s">
        <v>9078</v>
      </c>
    </row>
    <row r="1256" spans="1:2">
      <c r="A1256" s="66">
        <v>45994.269869490745</v>
      </c>
      <c r="B1256" s="49" t="s">
        <v>9363</v>
      </c>
    </row>
    <row r="1257" spans="1:2">
      <c r="A1257" s="66">
        <v>45994.269874583333</v>
      </c>
      <c r="B1257" s="49" t="s">
        <v>9078</v>
      </c>
    </row>
    <row r="1258" spans="1:2">
      <c r="A1258" s="66">
        <v>45994.270347418977</v>
      </c>
      <c r="B1258" s="49" t="s">
        <v>9508</v>
      </c>
    </row>
    <row r="1259" spans="1:2">
      <c r="A1259" s="66">
        <v>45994.270357256944</v>
      </c>
      <c r="B1259" s="49" t="s">
        <v>9078</v>
      </c>
    </row>
    <row r="1260" spans="1:2">
      <c r="A1260" s="66">
        <v>45994.27117359954</v>
      </c>
      <c r="B1260" s="49" t="s">
        <v>9509</v>
      </c>
    </row>
    <row r="1261" spans="1:2">
      <c r="A1261" s="66">
        <v>45994.271178067131</v>
      </c>
      <c r="B1261" s="49" t="s">
        <v>9078</v>
      </c>
    </row>
    <row r="1262" spans="1:2">
      <c r="A1262" s="66">
        <v>45994.271435787035</v>
      </c>
      <c r="B1262" s="49" t="s">
        <v>9510</v>
      </c>
    </row>
    <row r="1263" spans="1:2">
      <c r="A1263" s="66">
        <v>45994.271440312499</v>
      </c>
      <c r="B1263" s="49" t="s">
        <v>9078</v>
      </c>
    </row>
    <row r="1264" spans="1:2">
      <c r="A1264" s="66">
        <v>45994.27353564815</v>
      </c>
      <c r="B1264" s="49"/>
    </row>
    <row r="1265" spans="1:2">
      <c r="A1265" s="66">
        <v>45994.273651921292</v>
      </c>
      <c r="B1265" s="49"/>
    </row>
    <row r="1266" spans="1:2">
      <c r="A1266" s="66">
        <v>45994.275591087964</v>
      </c>
      <c r="B1266" s="49" t="s">
        <v>9511</v>
      </c>
    </row>
    <row r="1267" spans="1:2">
      <c r="A1267" s="66">
        <v>45994.275982106483</v>
      </c>
      <c r="B1267" s="49" t="s">
        <v>9512</v>
      </c>
    </row>
    <row r="1268" spans="1:2">
      <c r="A1268" s="66">
        <v>45994.276006412038</v>
      </c>
      <c r="B1268" s="49" t="s">
        <v>9073</v>
      </c>
    </row>
    <row r="1269" spans="1:2">
      <c r="A1269" s="66">
        <v>45994.276011331021</v>
      </c>
      <c r="B1269" s="49" t="s">
        <v>9074</v>
      </c>
    </row>
    <row r="1270" spans="1:2">
      <c r="A1270" s="66">
        <v>45994.276014062503</v>
      </c>
      <c r="B1270" s="49" t="s">
        <v>9191</v>
      </c>
    </row>
    <row r="1271" spans="1:2">
      <c r="A1271" s="66">
        <v>45994.297565960645</v>
      </c>
      <c r="B1271" s="49" t="s">
        <v>9511</v>
      </c>
    </row>
    <row r="1272" spans="1:2">
      <c r="A1272" s="66">
        <v>45994.298864780096</v>
      </c>
      <c r="B1272" s="49" t="s">
        <v>9511</v>
      </c>
    </row>
    <row r="1273" spans="1:2">
      <c r="A1273" s="66">
        <v>45994.339447118051</v>
      </c>
      <c r="B1273" s="49" t="s">
        <v>9513</v>
      </c>
    </row>
    <row r="1274" spans="1:2">
      <c r="A1274" s="66">
        <v>45994.33945388889</v>
      </c>
      <c r="B1274" s="49" t="s">
        <v>9078</v>
      </c>
    </row>
    <row r="1275" spans="1:2">
      <c r="A1275" s="66">
        <v>45994.513633738425</v>
      </c>
      <c r="B1275" s="49" t="s">
        <v>9514</v>
      </c>
    </row>
    <row r="1276" spans="1:2">
      <c r="A1276" s="66">
        <v>45994.513642256949</v>
      </c>
      <c r="B1276" s="49" t="s">
        <v>9424</v>
      </c>
    </row>
    <row r="1277" spans="1:2">
      <c r="A1277" s="66">
        <v>45994.51366449074</v>
      </c>
      <c r="B1277" s="49" t="s">
        <v>9078</v>
      </c>
    </row>
    <row r="1278" spans="1:2">
      <c r="A1278" s="66">
        <v>45994.513683182871</v>
      </c>
      <c r="B1278" s="49" t="s">
        <v>9426</v>
      </c>
    </row>
    <row r="1279" spans="1:2">
      <c r="A1279" s="66">
        <v>45994.513687106482</v>
      </c>
      <c r="B1279" s="49" t="s">
        <v>9191</v>
      </c>
    </row>
    <row r="1280" spans="1:2">
      <c r="A1280" s="66">
        <v>45994.680100428246</v>
      </c>
      <c r="B1280" s="49" t="s">
        <v>9515</v>
      </c>
    </row>
    <row r="1281" spans="1:2">
      <c r="A1281" s="66">
        <v>45994.680107731481</v>
      </c>
      <c r="B1281" s="49" t="s">
        <v>9516</v>
      </c>
    </row>
    <row r="1282" spans="1:2">
      <c r="A1282" s="66">
        <v>45994.680128900465</v>
      </c>
      <c r="B1282" s="49" t="s">
        <v>9078</v>
      </c>
    </row>
    <row r="1283" spans="1:2">
      <c r="A1283" s="66">
        <v>45994.680164131947</v>
      </c>
      <c r="B1283" s="49" t="s">
        <v>9517</v>
      </c>
    </row>
    <row r="1284" spans="1:2">
      <c r="A1284" s="66">
        <v>45994.680171574073</v>
      </c>
      <c r="B1284" s="49" t="s">
        <v>9518</v>
      </c>
    </row>
    <row r="1285" spans="1:2">
      <c r="A1285" s="66">
        <v>45994.680174895839</v>
      </c>
      <c r="B1285" s="49" t="s">
        <v>9191</v>
      </c>
    </row>
    <row r="1286" spans="1:2">
      <c r="A1286" s="66">
        <v>45994.828333287034</v>
      </c>
      <c r="B1286" s="49" t="s">
        <v>9513</v>
      </c>
    </row>
    <row r="1287" spans="1:2">
      <c r="A1287" s="66">
        <v>45994.828339398147</v>
      </c>
      <c r="B1287" s="49" t="s">
        <v>9078</v>
      </c>
    </row>
    <row r="1288" spans="1:2">
      <c r="A1288" s="66">
        <v>45994.830202303245</v>
      </c>
      <c r="B1288" s="49" t="s">
        <v>9519</v>
      </c>
    </row>
    <row r="1289" spans="1:2">
      <c r="A1289" s="66">
        <v>45994.830209930558</v>
      </c>
      <c r="B1289" s="49" t="s">
        <v>9078</v>
      </c>
    </row>
    <row r="1290" spans="1:2">
      <c r="A1290" s="66">
        <v>45994.830574479165</v>
      </c>
      <c r="B1290" s="49" t="s">
        <v>9520</v>
      </c>
    </row>
    <row r="1291" spans="1:2">
      <c r="A1291" s="66">
        <v>45994.830578761575</v>
      </c>
      <c r="B1291" s="49" t="s">
        <v>9078</v>
      </c>
    </row>
    <row r="1292" spans="1:2">
      <c r="A1292" s="66">
        <v>45994.833163518517</v>
      </c>
      <c r="B1292" s="49" t="s">
        <v>9489</v>
      </c>
    </row>
    <row r="1293" spans="1:2">
      <c r="A1293" s="66">
        <v>45994.833172974541</v>
      </c>
      <c r="B1293" s="49" t="s">
        <v>9138</v>
      </c>
    </row>
    <row r="1294" spans="1:2">
      <c r="A1294" s="66">
        <v>45994.833178506946</v>
      </c>
      <c r="B1294" s="49" t="s">
        <v>9078</v>
      </c>
    </row>
    <row r="1295" spans="1:2">
      <c r="A1295" s="66">
        <v>45994.833195648149</v>
      </c>
      <c r="B1295" s="49" t="s">
        <v>9490</v>
      </c>
    </row>
    <row r="1296" spans="1:2">
      <c r="A1296" s="66">
        <v>45994.833204062495</v>
      </c>
      <c r="B1296" s="49" t="s">
        <v>9191</v>
      </c>
    </row>
    <row r="1297" spans="1:2">
      <c r="A1297" s="66">
        <v>45994.833508715281</v>
      </c>
      <c r="B1297" s="49" t="s">
        <v>9521</v>
      </c>
    </row>
    <row r="1298" spans="1:2">
      <c r="A1298" s="66">
        <v>45994.833513182872</v>
      </c>
      <c r="B1298" s="49" t="s">
        <v>9134</v>
      </c>
    </row>
    <row r="1299" spans="1:2">
      <c r="A1299" s="66">
        <v>45994.833517685183</v>
      </c>
      <c r="B1299" s="49" t="s">
        <v>9078</v>
      </c>
    </row>
    <row r="1300" spans="1:2">
      <c r="A1300" s="66">
        <v>45994.833537199069</v>
      </c>
      <c r="B1300" s="49" t="s">
        <v>9522</v>
      </c>
    </row>
    <row r="1301" spans="1:2">
      <c r="A1301" s="66">
        <v>45994.833539988424</v>
      </c>
      <c r="B1301" s="49" t="s">
        <v>9191</v>
      </c>
    </row>
    <row r="1302" spans="1:2">
      <c r="A1302" s="66">
        <v>45995.273372199073</v>
      </c>
      <c r="B1302" s="49" t="s">
        <v>9523</v>
      </c>
    </row>
    <row r="1303" spans="1:2">
      <c r="A1303" s="66">
        <v>45995.27342085648</v>
      </c>
      <c r="B1303" s="49" t="s">
        <v>9073</v>
      </c>
    </row>
    <row r="1304" spans="1:2">
      <c r="A1304" s="66">
        <v>45995.273425775464</v>
      </c>
      <c r="B1304" s="49" t="s">
        <v>9074</v>
      </c>
    </row>
    <row r="1305" spans="1:2">
      <c r="A1305" s="66">
        <v>45995.273428425928</v>
      </c>
      <c r="B1305" s="49" t="s">
        <v>9191</v>
      </c>
    </row>
    <row r="1306" spans="1:2">
      <c r="A1306" s="66">
        <v>45995.332125567133</v>
      </c>
      <c r="B1306" s="49"/>
    </row>
    <row r="1307" spans="1:2">
      <c r="A1307" s="66">
        <v>45995.35545393519</v>
      </c>
      <c r="B1307" s="49"/>
    </row>
    <row r="1308" spans="1:2">
      <c r="A1308" s="66">
        <v>45995.373998807874</v>
      </c>
      <c r="B1308" s="49"/>
    </row>
    <row r="1309" spans="1:2">
      <c r="A1309" s="66">
        <v>45995.429790474533</v>
      </c>
      <c r="B1309" s="49" t="s">
        <v>9524</v>
      </c>
    </row>
    <row r="1310" spans="1:2">
      <c r="A1310" s="66">
        <v>45995.429797291668</v>
      </c>
      <c r="B1310" s="49" t="s">
        <v>9525</v>
      </c>
    </row>
    <row r="1311" spans="1:2">
      <c r="A1311" s="66">
        <v>45995.429815405092</v>
      </c>
      <c r="B1311" s="49" t="s">
        <v>9174</v>
      </c>
    </row>
    <row r="1312" spans="1:2">
      <c r="A1312" s="66">
        <v>45995.429820937497</v>
      </c>
      <c r="B1312" s="49" t="s">
        <v>9191</v>
      </c>
    </row>
    <row r="1313" spans="1:2">
      <c r="A1313" s="66">
        <v>45995.430010879631</v>
      </c>
      <c r="B1313" s="49" t="s">
        <v>9526</v>
      </c>
    </row>
    <row r="1314" spans="1:2">
      <c r="A1314" s="66">
        <v>45995.430018020837</v>
      </c>
      <c r="B1314" s="49" t="s">
        <v>9527</v>
      </c>
    </row>
    <row r="1315" spans="1:2">
      <c r="A1315" s="66">
        <v>45995.430025439811</v>
      </c>
      <c r="B1315" s="49" t="s">
        <v>9078</v>
      </c>
    </row>
    <row r="1316" spans="1:2">
      <c r="A1316" s="66">
        <v>45995.430052881944</v>
      </c>
      <c r="B1316" s="49" t="s">
        <v>9528</v>
      </c>
    </row>
    <row r="1317" spans="1:2">
      <c r="A1317" s="66">
        <v>45995.430062037034</v>
      </c>
      <c r="B1317" s="49" t="s">
        <v>9529</v>
      </c>
    </row>
    <row r="1318" spans="1:2">
      <c r="A1318" s="66">
        <v>45995.430065636574</v>
      </c>
      <c r="B1318" s="49" t="s">
        <v>9191</v>
      </c>
    </row>
    <row r="1319" spans="1:2">
      <c r="A1319" s="66">
        <v>45995.559235914348</v>
      </c>
      <c r="B1319" s="49" t="s">
        <v>9530</v>
      </c>
    </row>
    <row r="1320" spans="1:2">
      <c r="A1320" s="66">
        <v>45995.559242557865</v>
      </c>
      <c r="B1320" s="49" t="s">
        <v>9291</v>
      </c>
    </row>
    <row r="1321" spans="1:2">
      <c r="A1321" s="66">
        <v>45995.559247349534</v>
      </c>
      <c r="B1321" s="49" t="s">
        <v>9078</v>
      </c>
    </row>
    <row r="1322" spans="1:2">
      <c r="A1322" s="66">
        <v>45995.559266041666</v>
      </c>
      <c r="B1322" s="49" t="s">
        <v>9531</v>
      </c>
    </row>
    <row r="1323" spans="1:2">
      <c r="A1323" s="66">
        <v>45995.559270775462</v>
      </c>
      <c r="B1323" s="49" t="s">
        <v>9191</v>
      </c>
    </row>
    <row r="1324" spans="1:2">
      <c r="A1324" s="66">
        <v>45995.576561284717</v>
      </c>
      <c r="B1324" s="49" t="s">
        <v>9532</v>
      </c>
    </row>
    <row r="1325" spans="1:2">
      <c r="A1325" s="66">
        <v>45995.576567488424</v>
      </c>
      <c r="B1325" s="49" t="s">
        <v>9533</v>
      </c>
    </row>
    <row r="1326" spans="1:2">
      <c r="A1326" s="66">
        <v>45995.576573356477</v>
      </c>
      <c r="B1326" s="49" t="s">
        <v>9078</v>
      </c>
    </row>
    <row r="1327" spans="1:2">
      <c r="A1327" s="66">
        <v>45995.576618194449</v>
      </c>
      <c r="B1327" s="49" t="s">
        <v>9534</v>
      </c>
    </row>
    <row r="1328" spans="1:2">
      <c r="A1328" s="66">
        <v>45995.57662605324</v>
      </c>
      <c r="B1328" s="49" t="s">
        <v>9535</v>
      </c>
    </row>
    <row r="1329" spans="1:2">
      <c r="A1329" s="66">
        <v>45995.576630081021</v>
      </c>
      <c r="B1329" s="49" t="s">
        <v>9191</v>
      </c>
    </row>
    <row r="1330" spans="1:2">
      <c r="A1330" s="66">
        <v>45995.577061446762</v>
      </c>
      <c r="B1330" s="49" t="s">
        <v>9536</v>
      </c>
    </row>
    <row r="1331" spans="1:2">
      <c r="A1331" s="66">
        <v>45995.577067905091</v>
      </c>
      <c r="B1331" s="49" t="s">
        <v>9482</v>
      </c>
    </row>
    <row r="1332" spans="1:2">
      <c r="A1332" s="66">
        <v>45995.577086898149</v>
      </c>
      <c r="B1332" s="49" t="s">
        <v>9078</v>
      </c>
    </row>
    <row r="1333" spans="1:2">
      <c r="A1333" s="66">
        <v>45995.577109849539</v>
      </c>
      <c r="B1333" s="49" t="s">
        <v>9537</v>
      </c>
    </row>
    <row r="1334" spans="1:2">
      <c r="A1334" s="66">
        <v>45995.57711273148</v>
      </c>
      <c r="B1334" s="49" t="s">
        <v>9191</v>
      </c>
    </row>
    <row r="1335" spans="1:2">
      <c r="A1335" s="66">
        <v>45995.577303310187</v>
      </c>
      <c r="B1335" s="49" t="s">
        <v>9538</v>
      </c>
    </row>
    <row r="1336" spans="1:2">
      <c r="A1336" s="66">
        <v>45995.577311064815</v>
      </c>
      <c r="B1336" s="49" t="s">
        <v>9539</v>
      </c>
    </row>
    <row r="1337" spans="1:2">
      <c r="A1337" s="66">
        <v>45995.577318414347</v>
      </c>
      <c r="B1337" s="49" t="s">
        <v>9078</v>
      </c>
    </row>
    <row r="1338" spans="1:2">
      <c r="A1338" s="66">
        <v>45995.577346516206</v>
      </c>
      <c r="B1338" s="49" t="s">
        <v>9540</v>
      </c>
    </row>
    <row r="1339" spans="1:2">
      <c r="A1339" s="66">
        <v>45995.577350219908</v>
      </c>
      <c r="B1339" s="49" t="s">
        <v>9191</v>
      </c>
    </row>
    <row r="1340" spans="1:2">
      <c r="A1340" s="66">
        <v>45995.577625162041</v>
      </c>
      <c r="B1340" s="49" t="s">
        <v>9541</v>
      </c>
    </row>
    <row r="1341" spans="1:2">
      <c r="A1341" s="66">
        <v>45995.577652083331</v>
      </c>
      <c r="B1341" s="49" t="s">
        <v>9073</v>
      </c>
    </row>
    <row r="1342" spans="1:2">
      <c r="A1342" s="66">
        <v>45995.577658263894</v>
      </c>
      <c r="B1342" s="49" t="s">
        <v>9074</v>
      </c>
    </row>
    <row r="1343" spans="1:2">
      <c r="A1343" s="66">
        <v>45995.577661226853</v>
      </c>
      <c r="B1343" s="49" t="s">
        <v>9191</v>
      </c>
    </row>
    <row r="1344" spans="1:2">
      <c r="A1344" s="66">
        <v>45995.578101585648</v>
      </c>
      <c r="B1344" s="49" t="s">
        <v>9521</v>
      </c>
    </row>
    <row r="1345" spans="1:2">
      <c r="A1345" s="66">
        <v>45995.578109016205</v>
      </c>
      <c r="B1345" s="49" t="s">
        <v>9134</v>
      </c>
    </row>
    <row r="1346" spans="1:2">
      <c r="A1346" s="66">
        <v>45995.578116759258</v>
      </c>
      <c r="B1346" s="49" t="s">
        <v>9078</v>
      </c>
    </row>
    <row r="1347" spans="1:2">
      <c r="A1347" s="66">
        <v>45995.578133437499</v>
      </c>
      <c r="B1347" s="49" t="s">
        <v>9522</v>
      </c>
    </row>
    <row r="1348" spans="1:2">
      <c r="A1348" s="66">
        <v>45995.578137268516</v>
      </c>
      <c r="B1348" s="49" t="s">
        <v>9191</v>
      </c>
    </row>
    <row r="1349" spans="1:2">
      <c r="A1349" s="66">
        <v>45995.885070752316</v>
      </c>
      <c r="B1349" s="49" t="s">
        <v>9542</v>
      </c>
    </row>
    <row r="1350" spans="1:2">
      <c r="A1350" s="66">
        <v>45995.88507935185</v>
      </c>
      <c r="B1350" s="49" t="s">
        <v>9543</v>
      </c>
    </row>
    <row r="1351" spans="1:2">
      <c r="A1351" s="66">
        <v>45995.885105914349</v>
      </c>
      <c r="B1351" s="49" t="s">
        <v>9078</v>
      </c>
    </row>
    <row r="1352" spans="1:2">
      <c r="A1352" s="66">
        <v>45995.885143449079</v>
      </c>
      <c r="B1352" s="49" t="s">
        <v>9544</v>
      </c>
    </row>
    <row r="1353" spans="1:2">
      <c r="A1353" s="66">
        <v>45995.885152962961</v>
      </c>
      <c r="B1353" s="49" t="s">
        <v>9545</v>
      </c>
    </row>
    <row r="1354" spans="1:2">
      <c r="A1354" s="66">
        <v>45995.885160254635</v>
      </c>
      <c r="B1354" s="49" t="s">
        <v>9191</v>
      </c>
    </row>
    <row r="1355" spans="1:2">
      <c r="A1355" s="66">
        <v>45995.892074328702</v>
      </c>
      <c r="B1355" s="49" t="s">
        <v>9546</v>
      </c>
    </row>
    <row r="1356" spans="1:2">
      <c r="A1356" s="66">
        <v>45995.892081261569</v>
      </c>
      <c r="B1356" s="49" t="s">
        <v>9547</v>
      </c>
    </row>
    <row r="1357" spans="1:2">
      <c r="A1357" s="66">
        <v>45995.892087245375</v>
      </c>
      <c r="B1357" s="49" t="s">
        <v>9078</v>
      </c>
    </row>
    <row r="1358" spans="1:2">
      <c r="A1358" s="66">
        <v>45995.892148460647</v>
      </c>
      <c r="B1358" s="49" t="s">
        <v>9548</v>
      </c>
    </row>
    <row r="1359" spans="1:2">
      <c r="A1359" s="66">
        <v>45995.892159120369</v>
      </c>
      <c r="B1359" s="49" t="s">
        <v>9549</v>
      </c>
    </row>
    <row r="1360" spans="1:2">
      <c r="A1360" s="66">
        <v>45995.892161886572</v>
      </c>
      <c r="B1360" s="49" t="s">
        <v>9191</v>
      </c>
    </row>
    <row r="1361" spans="1:2">
      <c r="A1361" s="66">
        <v>45996.022731562502</v>
      </c>
      <c r="B1361" s="49" t="s">
        <v>9550</v>
      </c>
    </row>
    <row r="1362" spans="1:2">
      <c r="A1362" s="66">
        <v>45996.02276334491</v>
      </c>
      <c r="B1362" s="49" t="s">
        <v>9073</v>
      </c>
    </row>
    <row r="1363" spans="1:2">
      <c r="A1363" s="66">
        <v>45996.022774201389</v>
      </c>
      <c r="B1363" s="49" t="s">
        <v>9074</v>
      </c>
    </row>
    <row r="1364" spans="1:2">
      <c r="A1364" s="66">
        <v>45996.022776979167</v>
      </c>
      <c r="B1364" s="49" t="s">
        <v>9191</v>
      </c>
    </row>
    <row r="1365" spans="1:2">
      <c r="A1365" s="66">
        <v>45996.022861180551</v>
      </c>
      <c r="B1365" s="49" t="s">
        <v>9551</v>
      </c>
    </row>
    <row r="1366" spans="1:2">
      <c r="A1366" s="66">
        <v>45996.022893587964</v>
      </c>
      <c r="B1366" s="49" t="s">
        <v>9073</v>
      </c>
    </row>
    <row r="1367" spans="1:2">
      <c r="A1367" s="66">
        <v>45996.022900428245</v>
      </c>
      <c r="B1367" s="49" t="s">
        <v>9074</v>
      </c>
    </row>
    <row r="1368" spans="1:2">
      <c r="A1368" s="66">
        <v>45996.022914537039</v>
      </c>
      <c r="B1368" s="49" t="s">
        <v>9191</v>
      </c>
    </row>
    <row r="1369" spans="1:2">
      <c r="A1369" s="66">
        <v>45996.25373788194</v>
      </c>
      <c r="B1369" s="49" t="s">
        <v>9552</v>
      </c>
    </row>
    <row r="1370" spans="1:2">
      <c r="A1370" s="66">
        <v>45996.253787499998</v>
      </c>
      <c r="B1370" s="49" t="s">
        <v>9073</v>
      </c>
    </row>
    <row r="1371" spans="1:2">
      <c r="A1371" s="66">
        <v>45996.253792326388</v>
      </c>
      <c r="B1371" s="49" t="s">
        <v>9074</v>
      </c>
    </row>
    <row r="1372" spans="1:2">
      <c r="A1372" s="66">
        <v>45996.253796342593</v>
      </c>
      <c r="B1372" s="49" t="s">
        <v>9191</v>
      </c>
    </row>
    <row r="1373" spans="1:2">
      <c r="A1373" s="66">
        <v>45996.276758831023</v>
      </c>
      <c r="B1373" s="49" t="s">
        <v>9553</v>
      </c>
    </row>
    <row r="1374" spans="1:2">
      <c r="A1374" s="66">
        <v>45996.27679452546</v>
      </c>
      <c r="B1374" s="49" t="s">
        <v>9073</v>
      </c>
    </row>
    <row r="1375" spans="1:2">
      <c r="A1375" s="66">
        <v>45996.276799155094</v>
      </c>
      <c r="B1375" s="49" t="s">
        <v>9074</v>
      </c>
    </row>
    <row r="1376" spans="1:2">
      <c r="A1376" s="66">
        <v>45996.276801307875</v>
      </c>
      <c r="B1376" s="49" t="s">
        <v>9191</v>
      </c>
    </row>
    <row r="1377" spans="1:2">
      <c r="A1377" s="66">
        <v>45996.347430833332</v>
      </c>
      <c r="B1377" s="49"/>
    </row>
    <row r="1378" spans="1:2">
      <c r="A1378" s="66">
        <v>45996.347522800927</v>
      </c>
      <c r="B1378" s="49"/>
    </row>
    <row r="1379" spans="1:2">
      <c r="A1379" s="66">
        <v>45996.347585173615</v>
      </c>
      <c r="B1379" s="49"/>
    </row>
    <row r="1380" spans="1:2">
      <c r="A1380" s="66">
        <v>45996.347600486115</v>
      </c>
      <c r="B1380" s="49"/>
    </row>
    <row r="1381" spans="1:2">
      <c r="A1381" s="66">
        <v>45996.347646944443</v>
      </c>
      <c r="B1381" s="49"/>
    </row>
    <row r="1382" spans="1:2">
      <c r="A1382" s="66">
        <v>45996.375787037032</v>
      </c>
      <c r="B1382" s="49" t="s">
        <v>9554</v>
      </c>
    </row>
    <row r="1383" spans="1:2">
      <c r="A1383" s="66">
        <v>45996.375796527776</v>
      </c>
      <c r="B1383" s="49" t="s">
        <v>9555</v>
      </c>
    </row>
    <row r="1384" spans="1:2">
      <c r="A1384" s="66">
        <v>45996.375801875001</v>
      </c>
      <c r="B1384" s="49" t="s">
        <v>9078</v>
      </c>
    </row>
    <row r="1385" spans="1:2">
      <c r="A1385" s="66">
        <v>45996.37586270833</v>
      </c>
      <c r="B1385" s="49" t="s">
        <v>9556</v>
      </c>
    </row>
    <row r="1386" spans="1:2">
      <c r="A1386" s="66">
        <v>45996.375870995369</v>
      </c>
      <c r="B1386" s="49" t="s">
        <v>9557</v>
      </c>
    </row>
    <row r="1387" spans="1:2">
      <c r="A1387" s="66">
        <v>45996.375873287034</v>
      </c>
      <c r="B1387" s="49" t="s">
        <v>9191</v>
      </c>
    </row>
    <row r="1388" spans="1:2">
      <c r="A1388" s="66">
        <v>45996.38091842593</v>
      </c>
      <c r="B1388" s="49"/>
    </row>
    <row r="1389" spans="1:2">
      <c r="A1389" s="66">
        <v>45996.39003008102</v>
      </c>
      <c r="B1389" s="49"/>
    </row>
    <row r="1390" spans="1:2">
      <c r="A1390" s="66">
        <v>45996.449044907407</v>
      </c>
      <c r="B1390" s="49" t="s">
        <v>9558</v>
      </c>
    </row>
    <row r="1391" spans="1:2">
      <c r="A1391" s="66">
        <v>45996.44905127315</v>
      </c>
      <c r="B1391" s="49" t="s">
        <v>9281</v>
      </c>
    </row>
    <row r="1392" spans="1:2">
      <c r="A1392" s="66">
        <v>45996.449056099533</v>
      </c>
      <c r="B1392" s="49" t="s">
        <v>9078</v>
      </c>
    </row>
    <row r="1393" spans="1:2">
      <c r="A1393" s="66">
        <v>45996.449088981477</v>
      </c>
      <c r="B1393" s="49" t="s">
        <v>9282</v>
      </c>
    </row>
    <row r="1394" spans="1:2">
      <c r="A1394" s="66">
        <v>45996.449092094903</v>
      </c>
      <c r="B1394" s="49" t="s">
        <v>9191</v>
      </c>
    </row>
    <row r="1395" spans="1:2">
      <c r="A1395" s="66">
        <v>45996.663789155093</v>
      </c>
      <c r="B1395" s="49" t="s">
        <v>9559</v>
      </c>
    </row>
    <row r="1396" spans="1:2">
      <c r="A1396" s="66">
        <v>45996.663795104163</v>
      </c>
      <c r="B1396" s="49" t="s">
        <v>9560</v>
      </c>
    </row>
    <row r="1397" spans="1:2">
      <c r="A1397" s="66">
        <v>45996.663798773152</v>
      </c>
      <c r="B1397" s="49" t="s">
        <v>9078</v>
      </c>
    </row>
    <row r="1398" spans="1:2">
      <c r="A1398" s="66">
        <v>45996.663816099535</v>
      </c>
      <c r="B1398" s="49" t="s">
        <v>9561</v>
      </c>
    </row>
    <row r="1399" spans="1:2">
      <c r="A1399" s="66">
        <v>45996.663821979164</v>
      </c>
      <c r="B1399" s="49" t="s">
        <v>9191</v>
      </c>
    </row>
    <row r="1400" spans="1:2">
      <c r="A1400" s="66">
        <v>45996.743654201389</v>
      </c>
      <c r="B1400" s="49" t="s">
        <v>9562</v>
      </c>
    </row>
    <row r="1401" spans="1:2">
      <c r="A1401" s="66">
        <v>45996.743661365741</v>
      </c>
      <c r="B1401" s="49" t="s">
        <v>9563</v>
      </c>
    </row>
    <row r="1402" spans="1:2">
      <c r="A1402" s="66">
        <v>45996.743679791667</v>
      </c>
      <c r="B1402" s="49" t="s">
        <v>9078</v>
      </c>
    </row>
    <row r="1403" spans="1:2">
      <c r="A1403" s="66">
        <v>45996.743719097227</v>
      </c>
      <c r="B1403" s="49" t="s">
        <v>9564</v>
      </c>
    </row>
    <row r="1404" spans="1:2">
      <c r="A1404" s="66">
        <v>45996.743727708337</v>
      </c>
      <c r="B1404" s="49" t="s">
        <v>9565</v>
      </c>
    </row>
    <row r="1405" spans="1:2">
      <c r="A1405" s="66">
        <v>45996.743730891205</v>
      </c>
      <c r="B1405" s="49" t="s">
        <v>9191</v>
      </c>
    </row>
    <row r="1406" spans="1:2">
      <c r="A1406" s="66">
        <v>45996.891558113421</v>
      </c>
      <c r="B1406" s="49" t="s">
        <v>9566</v>
      </c>
    </row>
    <row r="1407" spans="1:2">
      <c r="A1407" s="66">
        <v>45996.891564166668</v>
      </c>
      <c r="B1407" s="49" t="s">
        <v>9567</v>
      </c>
    </row>
    <row r="1408" spans="1:2">
      <c r="A1408" s="66">
        <v>45996.891569143518</v>
      </c>
      <c r="B1408" s="49" t="s">
        <v>9078</v>
      </c>
    </row>
    <row r="1409" spans="1:2">
      <c r="A1409" s="66">
        <v>45996.891607812504</v>
      </c>
      <c r="B1409" s="49" t="s">
        <v>9568</v>
      </c>
    </row>
    <row r="1410" spans="1:2">
      <c r="A1410" s="66">
        <v>45996.891615567132</v>
      </c>
      <c r="B1410" s="49" t="s">
        <v>9569</v>
      </c>
    </row>
    <row r="1411" spans="1:2">
      <c r="A1411" s="66">
        <v>45996.891617673609</v>
      </c>
      <c r="B1411" s="49" t="s">
        <v>9191</v>
      </c>
    </row>
    <row r="1412" spans="1:2">
      <c r="A1412" s="66">
        <v>45996.985316446764</v>
      </c>
      <c r="B1412" s="49" t="s">
        <v>9570</v>
      </c>
    </row>
    <row r="1413" spans="1:2">
      <c r="A1413" s="66">
        <v>45996.985360497682</v>
      </c>
      <c r="B1413" s="49" t="s">
        <v>9073</v>
      </c>
    </row>
    <row r="1414" spans="1:2">
      <c r="A1414" s="66">
        <v>45996.985368055553</v>
      </c>
      <c r="B1414" s="49" t="s">
        <v>9074</v>
      </c>
    </row>
    <row r="1415" spans="1:2">
      <c r="A1415" s="66">
        <v>45996.985376331024</v>
      </c>
      <c r="B1415" s="49" t="s">
        <v>9191</v>
      </c>
    </row>
    <row r="1416" spans="1:2">
      <c r="A1416" s="66">
        <v>45997.260908159718</v>
      </c>
      <c r="B1416" s="49" t="s">
        <v>9571</v>
      </c>
    </row>
    <row r="1417" spans="1:2">
      <c r="A1417" s="66">
        <v>45997.260957222221</v>
      </c>
      <c r="B1417" s="49" t="s">
        <v>9073</v>
      </c>
    </row>
    <row r="1418" spans="1:2">
      <c r="A1418" s="66">
        <v>45997.260962604167</v>
      </c>
      <c r="B1418" s="49" t="s">
        <v>9074</v>
      </c>
    </row>
    <row r="1419" spans="1:2">
      <c r="A1419" s="66">
        <v>45997.260965150461</v>
      </c>
      <c r="B1419" s="49" t="s">
        <v>9191</v>
      </c>
    </row>
    <row r="1420" spans="1:2">
      <c r="A1420" s="66">
        <v>45997.266386041665</v>
      </c>
      <c r="B1420" s="49" t="s">
        <v>9572</v>
      </c>
    </row>
    <row r="1421" spans="1:2">
      <c r="A1421" s="66">
        <v>45997.266409548611</v>
      </c>
      <c r="B1421" s="49" t="s">
        <v>9073</v>
      </c>
    </row>
    <row r="1422" spans="1:2">
      <c r="A1422" s="66">
        <v>45997.266415069447</v>
      </c>
      <c r="B1422" s="49" t="s">
        <v>9074</v>
      </c>
    </row>
    <row r="1423" spans="1:2">
      <c r="A1423" s="66">
        <v>45997.266417418985</v>
      </c>
      <c r="B1423" s="49" t="s">
        <v>9191</v>
      </c>
    </row>
    <row r="1424" spans="1:2">
      <c r="A1424" s="66">
        <v>45997.32107341435</v>
      </c>
      <c r="B1424" s="49"/>
    </row>
    <row r="1425" spans="1:2">
      <c r="A1425" s="66">
        <v>45997.321165648144</v>
      </c>
      <c r="B1425" s="49"/>
    </row>
    <row r="1426" spans="1:2">
      <c r="A1426" s="66">
        <v>45997.321184583328</v>
      </c>
      <c r="B1426" s="49"/>
    </row>
    <row r="1427" spans="1:2">
      <c r="A1427" s="66">
        <v>45997.645973912033</v>
      </c>
      <c r="B1427" s="49" t="s">
        <v>9573</v>
      </c>
    </row>
    <row r="1428" spans="1:2">
      <c r="A1428" s="66">
        <v>45997.645981851849</v>
      </c>
      <c r="B1428" s="49" t="s">
        <v>9393</v>
      </c>
    </row>
    <row r="1429" spans="1:2">
      <c r="A1429" s="66">
        <v>45997.64598912037</v>
      </c>
      <c r="B1429" s="49" t="s">
        <v>9078</v>
      </c>
    </row>
    <row r="1430" spans="1:2">
      <c r="A1430" s="66">
        <v>45997.646015763894</v>
      </c>
      <c r="B1430" s="49" t="s">
        <v>9394</v>
      </c>
    </row>
    <row r="1431" spans="1:2">
      <c r="A1431" s="66">
        <v>45997.646019189815</v>
      </c>
      <c r="B1431" s="49" t="s">
        <v>9191</v>
      </c>
    </row>
    <row r="1432" spans="1:2">
      <c r="A1432" s="66">
        <v>45997.661224432872</v>
      </c>
      <c r="B1432" s="49" t="s">
        <v>9574</v>
      </c>
    </row>
    <row r="1433" spans="1:2">
      <c r="A1433" s="66">
        <v>45997.661233599538</v>
      </c>
      <c r="B1433" s="49" t="s">
        <v>9575</v>
      </c>
    </row>
    <row r="1434" spans="1:2">
      <c r="A1434" s="66">
        <v>45997.661254942126</v>
      </c>
      <c r="B1434" s="49" t="s">
        <v>9078</v>
      </c>
    </row>
    <row r="1435" spans="1:2">
      <c r="A1435" s="66">
        <v>45997.66128965278</v>
      </c>
      <c r="B1435" s="49" t="s">
        <v>9576</v>
      </c>
    </row>
    <row r="1436" spans="1:2">
      <c r="A1436" s="66">
        <v>45997.661298530089</v>
      </c>
      <c r="B1436" s="49" t="s">
        <v>9577</v>
      </c>
    </row>
    <row r="1437" spans="1:2">
      <c r="A1437" s="66">
        <v>45997.661302789347</v>
      </c>
      <c r="B1437" s="49" t="s">
        <v>9191</v>
      </c>
    </row>
    <row r="1438" spans="1:2">
      <c r="A1438" s="66">
        <v>45997.674251319448</v>
      </c>
      <c r="B1438" s="49" t="s">
        <v>9578</v>
      </c>
    </row>
    <row r="1439" spans="1:2">
      <c r="A1439" s="66">
        <v>45997.674259143518</v>
      </c>
      <c r="B1439" s="49" t="s">
        <v>9579</v>
      </c>
    </row>
    <row r="1440" spans="1:2">
      <c r="A1440" s="66">
        <v>45997.674264965273</v>
      </c>
      <c r="B1440" s="49" t="s">
        <v>9078</v>
      </c>
    </row>
    <row r="1441" spans="1:2">
      <c r="A1441" s="66">
        <v>45997.674322349536</v>
      </c>
      <c r="B1441" s="49" t="s">
        <v>9580</v>
      </c>
    </row>
    <row r="1442" spans="1:2">
      <c r="A1442" s="66">
        <v>45997.674330162037</v>
      </c>
      <c r="B1442" s="49" t="s">
        <v>9581</v>
      </c>
    </row>
    <row r="1443" spans="1:2">
      <c r="A1443" s="66">
        <v>45997.674332893519</v>
      </c>
      <c r="B1443" s="49" t="s">
        <v>9191</v>
      </c>
    </row>
    <row r="1444" spans="1:2">
      <c r="A1444" s="66">
        <v>45997.7146765625</v>
      </c>
      <c r="B1444" s="49" t="s">
        <v>9582</v>
      </c>
    </row>
    <row r="1445" spans="1:2">
      <c r="A1445" s="66">
        <v>45997.714687557869</v>
      </c>
      <c r="B1445" s="49" t="s">
        <v>9583</v>
      </c>
    </row>
    <row r="1446" spans="1:2">
      <c r="A1446" s="66">
        <v>45997.714708020838</v>
      </c>
      <c r="B1446" s="49" t="s">
        <v>9078</v>
      </c>
    </row>
    <row r="1447" spans="1:2">
      <c r="A1447" s="66">
        <v>45997.714743553239</v>
      </c>
      <c r="B1447" s="49" t="s">
        <v>9584</v>
      </c>
    </row>
    <row r="1448" spans="1:2">
      <c r="A1448" s="66">
        <v>45997.714751377316</v>
      </c>
      <c r="B1448" s="49" t="s">
        <v>9585</v>
      </c>
    </row>
    <row r="1449" spans="1:2">
      <c r="A1449" s="66">
        <v>45997.714754444445</v>
      </c>
      <c r="B1449" s="49" t="s">
        <v>9191</v>
      </c>
    </row>
    <row r="1450" spans="1:2">
      <c r="A1450" s="66">
        <v>45997.806866817133</v>
      </c>
      <c r="B1450" s="49" t="s">
        <v>9586</v>
      </c>
    </row>
    <row r="1451" spans="1:2">
      <c r="A1451" s="66">
        <v>45997.806875682872</v>
      </c>
      <c r="B1451" s="49" t="s">
        <v>9587</v>
      </c>
    </row>
    <row r="1452" spans="1:2">
      <c r="A1452" s="66">
        <v>45997.806898587965</v>
      </c>
      <c r="B1452" s="49" t="s">
        <v>9078</v>
      </c>
    </row>
    <row r="1453" spans="1:2">
      <c r="A1453" s="66">
        <v>45997.806928703707</v>
      </c>
      <c r="B1453" s="49" t="s">
        <v>9588</v>
      </c>
    </row>
    <row r="1454" spans="1:2">
      <c r="A1454" s="66">
        <v>45997.806937754634</v>
      </c>
      <c r="B1454" s="49" t="s">
        <v>9589</v>
      </c>
    </row>
    <row r="1455" spans="1:2">
      <c r="A1455" s="66">
        <v>45997.80694141204</v>
      </c>
      <c r="B1455" s="49" t="s">
        <v>9191</v>
      </c>
    </row>
    <row r="1456" spans="1:2">
      <c r="A1456" s="66">
        <v>45997.831466805554</v>
      </c>
      <c r="B1456" s="49" t="s">
        <v>9590</v>
      </c>
    </row>
    <row r="1457" spans="1:2">
      <c r="A1457" s="66">
        <v>45997.831475104162</v>
      </c>
      <c r="B1457" s="49" t="s">
        <v>9591</v>
      </c>
    </row>
    <row r="1458" spans="1:2">
      <c r="A1458" s="66">
        <v>45997.831495057872</v>
      </c>
      <c r="B1458" s="49" t="s">
        <v>9174</v>
      </c>
    </row>
    <row r="1459" spans="1:2">
      <c r="A1459" s="66">
        <v>45997.831503796297</v>
      </c>
      <c r="B1459" s="49" t="s">
        <v>9191</v>
      </c>
    </row>
    <row r="1460" spans="1:2">
      <c r="A1460" s="66">
        <v>45997.831717118053</v>
      </c>
      <c r="B1460" s="49" t="s">
        <v>9592</v>
      </c>
    </row>
    <row r="1461" spans="1:2">
      <c r="A1461" s="66">
        <v>45997.831722777773</v>
      </c>
      <c r="B1461" s="49" t="s">
        <v>9593</v>
      </c>
    </row>
    <row r="1462" spans="1:2">
      <c r="A1462" s="66">
        <v>45997.831728287041</v>
      </c>
      <c r="B1462" s="49" t="s">
        <v>9078</v>
      </c>
    </row>
    <row r="1463" spans="1:2">
      <c r="A1463" s="66">
        <v>45997.831754409723</v>
      </c>
      <c r="B1463" s="49" t="s">
        <v>9594</v>
      </c>
    </row>
    <row r="1464" spans="1:2">
      <c r="A1464" s="66">
        <v>45997.831761157402</v>
      </c>
      <c r="B1464" s="49" t="s">
        <v>9595</v>
      </c>
    </row>
    <row r="1465" spans="1:2">
      <c r="A1465" s="66">
        <v>45997.831763912036</v>
      </c>
      <c r="B1465" s="49" t="s">
        <v>9191</v>
      </c>
    </row>
    <row r="1466" spans="1:2">
      <c r="A1466" s="66">
        <v>45997.832990196759</v>
      </c>
      <c r="B1466" s="49" t="s">
        <v>9596</v>
      </c>
    </row>
    <row r="1467" spans="1:2">
      <c r="A1467" s="66">
        <v>45997.83299545139</v>
      </c>
      <c r="B1467" s="49" t="s">
        <v>9389</v>
      </c>
    </row>
    <row r="1468" spans="1:2">
      <c r="A1468" s="66">
        <v>45997.832999918981</v>
      </c>
      <c r="B1468" s="49" t="s">
        <v>9078</v>
      </c>
    </row>
    <row r="1469" spans="1:2">
      <c r="A1469" s="66">
        <v>45997.833017789351</v>
      </c>
      <c r="B1469" s="49" t="s">
        <v>9597</v>
      </c>
    </row>
    <row r="1470" spans="1:2">
      <c r="A1470" s="66">
        <v>45997.833021967592</v>
      </c>
      <c r="B1470" s="49" t="s">
        <v>9191</v>
      </c>
    </row>
    <row r="1471" spans="1:2">
      <c r="A1471" s="66">
        <v>45997.946945613425</v>
      </c>
      <c r="B1471" s="49" t="s">
        <v>9598</v>
      </c>
    </row>
    <row r="1472" spans="1:2">
      <c r="A1472" s="66">
        <v>45997.946976851847</v>
      </c>
      <c r="B1472" s="49" t="s">
        <v>9073</v>
      </c>
    </row>
    <row r="1473" spans="1:2">
      <c r="A1473" s="66">
        <v>45997.946982361114</v>
      </c>
      <c r="B1473" s="49" t="s">
        <v>9074</v>
      </c>
    </row>
    <row r="1474" spans="1:2">
      <c r="A1474" s="66">
        <v>45997.946990729164</v>
      </c>
      <c r="B1474" s="49" t="s">
        <v>9191</v>
      </c>
    </row>
    <row r="1475" spans="1:2">
      <c r="A1475" s="66">
        <v>45998.237216226851</v>
      </c>
      <c r="B1475" s="49"/>
    </row>
    <row r="1476" spans="1:2">
      <c r="A1476" s="66">
        <v>45998.237512164356</v>
      </c>
      <c r="B1476" s="49"/>
    </row>
    <row r="1477" spans="1:2">
      <c r="A1477" s="66">
        <v>45998.237742094905</v>
      </c>
      <c r="B1477" s="49"/>
    </row>
    <row r="1478" spans="1:2">
      <c r="A1478" s="66">
        <v>45998.238710324076</v>
      </c>
      <c r="B1478" s="49"/>
    </row>
    <row r="1479" spans="1:2">
      <c r="A1479" s="66">
        <v>45998.23874075232</v>
      </c>
      <c r="B1479" s="49"/>
    </row>
    <row r="1480" spans="1:2">
      <c r="A1480" s="66">
        <v>45998.252452048611</v>
      </c>
      <c r="B1480" s="49"/>
    </row>
    <row r="1481" spans="1:2">
      <c r="A1481" s="66">
        <v>45998.260228865736</v>
      </c>
      <c r="B1481" s="49"/>
    </row>
    <row r="1482" spans="1:2">
      <c r="A1482" s="66">
        <v>45998.267365162035</v>
      </c>
      <c r="B1482" s="49"/>
    </row>
    <row r="1483" spans="1:2">
      <c r="A1483" s="66">
        <v>45998.275203541663</v>
      </c>
      <c r="B1483" s="49" t="s">
        <v>9599</v>
      </c>
    </row>
    <row r="1484" spans="1:2">
      <c r="A1484" s="66">
        <v>45998.275210497683</v>
      </c>
      <c r="B1484" s="49" t="s">
        <v>9600</v>
      </c>
    </row>
    <row r="1485" spans="1:2">
      <c r="A1485" s="66">
        <v>45998.275216145834</v>
      </c>
      <c r="B1485" s="49" t="s">
        <v>9078</v>
      </c>
    </row>
    <row r="1486" spans="1:2">
      <c r="A1486" s="66">
        <v>45998.275250694445</v>
      </c>
      <c r="B1486" s="49" t="s">
        <v>9601</v>
      </c>
    </row>
    <row r="1487" spans="1:2">
      <c r="A1487" s="66">
        <v>45998.275257048612</v>
      </c>
      <c r="B1487" s="49" t="s">
        <v>9602</v>
      </c>
    </row>
    <row r="1488" spans="1:2">
      <c r="A1488" s="66">
        <v>45998.275259930553</v>
      </c>
      <c r="B1488" s="49" t="s">
        <v>9191</v>
      </c>
    </row>
    <row r="1489" spans="1:2">
      <c r="A1489" s="66">
        <v>45998.277662627312</v>
      </c>
      <c r="B1489" s="49" t="s">
        <v>9603</v>
      </c>
    </row>
    <row r="1490" spans="1:2">
      <c r="A1490" s="66">
        <v>45998.277705509259</v>
      </c>
      <c r="B1490" s="68" t="s">
        <v>9604</v>
      </c>
    </row>
    <row r="1491" spans="1:2">
      <c r="A1491" s="66">
        <v>45998.277710115741</v>
      </c>
      <c r="B1491" s="49" t="s">
        <v>9074</v>
      </c>
    </row>
    <row r="1492" spans="1:2">
      <c r="A1492" s="66">
        <v>45998.277712326388</v>
      </c>
      <c r="B1492" s="49" t="s">
        <v>9191</v>
      </c>
    </row>
    <row r="1493" spans="1:2">
      <c r="A1493" s="66">
        <v>45998.27780217593</v>
      </c>
      <c r="B1493" s="49" t="s">
        <v>9605</v>
      </c>
    </row>
    <row r="1494" spans="1:2">
      <c r="A1494" s="66">
        <v>45998.277822326389</v>
      </c>
      <c r="B1494" s="68" t="s">
        <v>9604</v>
      </c>
    </row>
    <row r="1495" spans="1:2">
      <c r="A1495" s="66">
        <v>45998.277826921301</v>
      </c>
      <c r="B1495" s="49" t="s">
        <v>9074</v>
      </c>
    </row>
    <row r="1496" spans="1:2">
      <c r="A1496" s="66">
        <v>45998.277829525468</v>
      </c>
      <c r="B1496" s="49" t="s">
        <v>9191</v>
      </c>
    </row>
    <row r="1497" spans="1:2">
      <c r="A1497" s="66">
        <v>45998.284761388888</v>
      </c>
      <c r="B1497" s="49" t="s">
        <v>9606</v>
      </c>
    </row>
    <row r="1498" spans="1:2">
      <c r="A1498" s="66">
        <v>45998.284786782402</v>
      </c>
      <c r="B1498" s="68" t="s">
        <v>9604</v>
      </c>
    </row>
    <row r="1499" spans="1:2">
      <c r="A1499" s="66">
        <v>45998.284791377315</v>
      </c>
      <c r="B1499" s="49" t="s">
        <v>9074</v>
      </c>
    </row>
    <row r="1500" spans="1:2">
      <c r="A1500" s="66">
        <v>45998.284793495375</v>
      </c>
      <c r="B1500" s="49" t="s">
        <v>9191</v>
      </c>
    </row>
    <row r="1501" spans="1:2">
      <c r="A1501" s="66">
        <v>45998.29248131944</v>
      </c>
      <c r="B1501" s="49" t="s">
        <v>9607</v>
      </c>
    </row>
    <row r="1502" spans="1:2">
      <c r="A1502" s="66">
        <v>45998.292526377314</v>
      </c>
      <c r="B1502" s="68" t="s">
        <v>9604</v>
      </c>
    </row>
    <row r="1503" spans="1:2">
      <c r="A1503" s="66">
        <v>45998.292533217595</v>
      </c>
      <c r="B1503" s="49" t="s">
        <v>9074</v>
      </c>
    </row>
    <row r="1504" spans="1:2">
      <c r="A1504" s="66">
        <v>45998.292536979163</v>
      </c>
      <c r="B1504" s="49" t="s">
        <v>9191</v>
      </c>
    </row>
    <row r="1505" spans="1:2">
      <c r="A1505" s="66">
        <v>45998.487838009256</v>
      </c>
      <c r="B1505" s="49" t="s">
        <v>9608</v>
      </c>
    </row>
    <row r="1506" spans="1:2">
      <c r="A1506" s="66">
        <v>45998.487845543983</v>
      </c>
      <c r="B1506" s="49" t="s">
        <v>9609</v>
      </c>
    </row>
    <row r="1507" spans="1:2">
      <c r="A1507" s="66">
        <v>45998.487851875005</v>
      </c>
      <c r="B1507" s="49" t="s">
        <v>9174</v>
      </c>
    </row>
    <row r="1508" spans="1:2">
      <c r="A1508" s="66">
        <v>45998.487857442131</v>
      </c>
      <c r="B1508" s="49" t="s">
        <v>9191</v>
      </c>
    </row>
    <row r="1509" spans="1:2">
      <c r="A1509" s="66">
        <v>45998.488003900464</v>
      </c>
      <c r="B1509" s="49" t="s">
        <v>9610</v>
      </c>
    </row>
    <row r="1510" spans="1:2">
      <c r="A1510" s="66">
        <v>45998.488012083333</v>
      </c>
      <c r="B1510" s="49" t="s">
        <v>9611</v>
      </c>
    </row>
    <row r="1511" spans="1:2">
      <c r="A1511" s="66">
        <v>45998.488021967598</v>
      </c>
      <c r="B1511" s="49" t="s">
        <v>9078</v>
      </c>
    </row>
    <row r="1512" spans="1:2">
      <c r="A1512" s="66">
        <v>45998.488062013887</v>
      </c>
      <c r="B1512" s="49" t="s">
        <v>9612</v>
      </c>
    </row>
    <row r="1513" spans="1:2">
      <c r="A1513" s="66">
        <v>45998.488074814813</v>
      </c>
      <c r="B1513" s="49" t="s">
        <v>9613</v>
      </c>
    </row>
    <row r="1514" spans="1:2">
      <c r="A1514" s="66">
        <v>45998.488078807874</v>
      </c>
      <c r="B1514" s="49" t="s">
        <v>9191</v>
      </c>
    </row>
    <row r="1515" spans="1:2">
      <c r="A1515" s="66">
        <v>45998.540393553238</v>
      </c>
      <c r="B1515" s="49" t="s">
        <v>9614</v>
      </c>
    </row>
    <row r="1516" spans="1:2">
      <c r="A1516" s="66">
        <v>45998.54040002315</v>
      </c>
      <c r="B1516" s="49" t="s">
        <v>9288</v>
      </c>
    </row>
    <row r="1517" spans="1:2">
      <c r="A1517" s="66">
        <v>45998.540404467596</v>
      </c>
      <c r="B1517" s="49" t="s">
        <v>9078</v>
      </c>
    </row>
    <row r="1518" spans="1:2">
      <c r="A1518" s="66">
        <v>45998.540433587958</v>
      </c>
      <c r="B1518" s="49" t="s">
        <v>9408</v>
      </c>
    </row>
    <row r="1519" spans="1:2">
      <c r="A1519" s="66">
        <v>45998.540436516203</v>
      </c>
      <c r="B1519" s="49" t="s">
        <v>9191</v>
      </c>
    </row>
    <row r="1520" spans="1:2">
      <c r="A1520" s="66">
        <v>45998.651086550926</v>
      </c>
      <c r="B1520" s="49" t="s">
        <v>9615</v>
      </c>
    </row>
    <row r="1521" spans="1:2">
      <c r="A1521" s="66">
        <v>45998.651096678237</v>
      </c>
      <c r="B1521" s="49" t="s">
        <v>9127</v>
      </c>
    </row>
    <row r="1522" spans="1:2">
      <c r="A1522" s="66">
        <v>45998.651101608797</v>
      </c>
      <c r="B1522" s="49" t="s">
        <v>9078</v>
      </c>
    </row>
    <row r="1523" spans="1:2">
      <c r="A1523" s="66">
        <v>45998.651142395829</v>
      </c>
      <c r="B1523" s="49" t="s">
        <v>9616</v>
      </c>
    </row>
    <row r="1524" spans="1:2">
      <c r="A1524" s="66">
        <v>45998.651149409721</v>
      </c>
      <c r="B1524" s="49" t="s">
        <v>9617</v>
      </c>
    </row>
    <row r="1525" spans="1:2">
      <c r="A1525" s="66">
        <v>45998.651151689817</v>
      </c>
      <c r="B1525" s="49" t="s">
        <v>9191</v>
      </c>
    </row>
    <row r="1526" spans="1:2">
      <c r="A1526" s="66">
        <v>45999.090128796292</v>
      </c>
      <c r="B1526" s="49" t="s">
        <v>9618</v>
      </c>
    </row>
    <row r="1527" spans="1:2">
      <c r="A1527" s="66">
        <v>45999.090170277777</v>
      </c>
      <c r="B1527" s="49" t="s">
        <v>9073</v>
      </c>
    </row>
    <row r="1528" spans="1:2">
      <c r="A1528" s="66">
        <v>45999.090175613426</v>
      </c>
      <c r="B1528" s="49" t="s">
        <v>9074</v>
      </c>
    </row>
    <row r="1529" spans="1:2">
      <c r="A1529" s="66">
        <v>45999.090178171296</v>
      </c>
      <c r="B1529" s="49" t="s">
        <v>9191</v>
      </c>
    </row>
    <row r="1530" spans="1:2">
      <c r="A1530" s="66">
        <v>45999.216212268519</v>
      </c>
      <c r="B1530" s="49" t="s">
        <v>9619</v>
      </c>
    </row>
    <row r="1531" spans="1:2">
      <c r="A1531" s="66">
        <v>45999.216225648153</v>
      </c>
      <c r="B1531" s="49" t="s">
        <v>9620</v>
      </c>
    </row>
    <row r="1532" spans="1:2">
      <c r="A1532" s="66">
        <v>45999.216244386575</v>
      </c>
      <c r="B1532" s="49" t="s">
        <v>9078</v>
      </c>
    </row>
    <row r="1533" spans="1:2">
      <c r="A1533" s="66">
        <v>45999.216276400461</v>
      </c>
      <c r="B1533" s="49" t="s">
        <v>9621</v>
      </c>
    </row>
    <row r="1534" spans="1:2">
      <c r="A1534" s="66">
        <v>45999.216279224536</v>
      </c>
      <c r="B1534" s="49" t="s">
        <v>9191</v>
      </c>
    </row>
    <row r="1535" spans="1:2">
      <c r="A1535" s="66">
        <v>45999.216882361114</v>
      </c>
      <c r="B1535" s="49" t="s">
        <v>9622</v>
      </c>
    </row>
    <row r="1536" spans="1:2">
      <c r="A1536" s="66">
        <v>45999.216908738425</v>
      </c>
      <c r="B1536" s="49" t="s">
        <v>9073</v>
      </c>
    </row>
    <row r="1537" spans="1:2">
      <c r="A1537" s="66">
        <v>45999.216913680561</v>
      </c>
      <c r="B1537" s="49" t="s">
        <v>9074</v>
      </c>
    </row>
    <row r="1538" spans="1:2">
      <c r="A1538" s="66">
        <v>45999.216924328706</v>
      </c>
      <c r="B1538" s="49" t="s">
        <v>9191</v>
      </c>
    </row>
    <row r="1539" spans="1:2">
      <c r="A1539" s="66">
        <v>45999.28571142361</v>
      </c>
      <c r="B1539" s="49" t="s">
        <v>9623</v>
      </c>
    </row>
    <row r="1540" spans="1:2">
      <c r="A1540" s="66">
        <v>45999.285717719904</v>
      </c>
      <c r="B1540" s="49" t="s">
        <v>9624</v>
      </c>
    </row>
    <row r="1541" spans="1:2">
      <c r="A1541" s="66">
        <v>45999.285738912033</v>
      </c>
      <c r="B1541" s="49" t="s">
        <v>9078</v>
      </c>
    </row>
    <row r="1542" spans="1:2">
      <c r="A1542" s="66">
        <v>45999.285767511574</v>
      </c>
      <c r="B1542" s="49" t="s">
        <v>9625</v>
      </c>
    </row>
    <row r="1543" spans="1:2">
      <c r="A1543" s="66">
        <v>45999.28577386574</v>
      </c>
      <c r="B1543" s="49" t="s">
        <v>9626</v>
      </c>
    </row>
    <row r="1544" spans="1:2">
      <c r="A1544" s="66">
        <v>45999.285776412042</v>
      </c>
      <c r="B1544" s="49" t="s">
        <v>9191</v>
      </c>
    </row>
    <row r="1545" spans="1:2">
      <c r="A1545" s="66">
        <v>45999.288968171299</v>
      </c>
      <c r="B1545" s="49" t="s">
        <v>9627</v>
      </c>
    </row>
    <row r="1546" spans="1:2">
      <c r="A1546" s="66">
        <v>45999.288994606482</v>
      </c>
      <c r="B1546" s="49" t="s">
        <v>9073</v>
      </c>
    </row>
    <row r="1547" spans="1:2">
      <c r="A1547" s="66">
        <v>45999.289000347228</v>
      </c>
      <c r="B1547" s="49" t="s">
        <v>9074</v>
      </c>
    </row>
    <row r="1548" spans="1:2">
      <c r="A1548" s="66">
        <v>45999.289010069449</v>
      </c>
      <c r="B1548" s="49" t="s">
        <v>9191</v>
      </c>
    </row>
    <row r="1549" spans="1:2">
      <c r="A1549" s="66">
        <v>45999.289118483794</v>
      </c>
      <c r="B1549" s="49" t="s">
        <v>9628</v>
      </c>
    </row>
    <row r="1550" spans="1:2">
      <c r="A1550" s="66">
        <v>45999.289142962967</v>
      </c>
      <c r="B1550" s="49" t="s">
        <v>9073</v>
      </c>
    </row>
    <row r="1551" spans="1:2">
      <c r="A1551" s="66">
        <v>45999.289148240743</v>
      </c>
      <c r="B1551" s="49" t="s">
        <v>9074</v>
      </c>
    </row>
    <row r="1552" spans="1:2">
      <c r="A1552" s="66">
        <v>45999.289150729164</v>
      </c>
      <c r="B1552" s="49" t="s">
        <v>9191</v>
      </c>
    </row>
    <row r="1553" spans="1:2">
      <c r="A1553" s="66">
        <v>45999.32350622685</v>
      </c>
      <c r="B1553" s="49"/>
    </row>
    <row r="1554" spans="1:2">
      <c r="A1554" s="66">
        <v>45999.324743136574</v>
      </c>
      <c r="B1554" s="49"/>
    </row>
    <row r="1555" spans="1:2">
      <c r="A1555" s="66">
        <v>45999.331072719906</v>
      </c>
      <c r="B1555" s="49"/>
    </row>
    <row r="1556" spans="1:2">
      <c r="A1556" s="66">
        <v>45999.331098194445</v>
      </c>
      <c r="B1556" s="49"/>
    </row>
    <row r="1557" spans="1:2">
      <c r="A1557" s="66">
        <v>45999.331163298615</v>
      </c>
      <c r="B1557" s="49"/>
    </row>
    <row r="1558" spans="1:2">
      <c r="A1558" s="66">
        <v>45999.331202395835</v>
      </c>
      <c r="B1558" s="49"/>
    </row>
    <row r="1559" spans="1:2">
      <c r="A1559" s="66">
        <v>45999.331229328702</v>
      </c>
      <c r="B1559" s="49"/>
    </row>
    <row r="1560" spans="1:2">
      <c r="A1560" s="66">
        <v>45999.331255277779</v>
      </c>
      <c r="B1560" s="49"/>
    </row>
    <row r="1561" spans="1:2">
      <c r="A1561" s="66">
        <v>45999.331293611111</v>
      </c>
      <c r="B1561" s="49"/>
    </row>
    <row r="1562" spans="1:2">
      <c r="A1562" s="66">
        <v>45999.370291805557</v>
      </c>
      <c r="B1562" s="49"/>
    </row>
    <row r="1563" spans="1:2">
      <c r="A1563" s="66">
        <v>45999.394493321757</v>
      </c>
      <c r="B1563" s="49"/>
    </row>
    <row r="1564" spans="1:2">
      <c r="A1564" s="66">
        <v>45999.401095104171</v>
      </c>
      <c r="B1564" s="49" t="s">
        <v>9629</v>
      </c>
    </row>
    <row r="1565" spans="1:2">
      <c r="A1565" s="66">
        <v>45999.401102083335</v>
      </c>
      <c r="B1565" s="49" t="s">
        <v>9630</v>
      </c>
    </row>
    <row r="1566" spans="1:2">
      <c r="A1566" s="66">
        <v>45999.401121342591</v>
      </c>
      <c r="B1566" s="49" t="s">
        <v>9078</v>
      </c>
    </row>
    <row r="1567" spans="1:2">
      <c r="A1567" s="66">
        <v>45999.401153541665</v>
      </c>
      <c r="B1567" s="49" t="s">
        <v>9631</v>
      </c>
    </row>
    <row r="1568" spans="1:2">
      <c r="A1568" s="66">
        <v>45999.401160891204</v>
      </c>
      <c r="B1568" s="49" t="s">
        <v>9632</v>
      </c>
    </row>
    <row r="1569" spans="1:2">
      <c r="A1569" s="66">
        <v>45999.401166828698</v>
      </c>
      <c r="B1569" s="49" t="s">
        <v>9191</v>
      </c>
    </row>
    <row r="1570" spans="1:2">
      <c r="A1570" s="66">
        <v>45999.444076377316</v>
      </c>
      <c r="B1570" s="49" t="s">
        <v>9633</v>
      </c>
    </row>
    <row r="1571" spans="1:2">
      <c r="A1571" s="66">
        <v>45999.44408321759</v>
      </c>
      <c r="B1571" s="49" t="s">
        <v>9634</v>
      </c>
    </row>
    <row r="1572" spans="1:2">
      <c r="A1572" s="66">
        <v>45999.444115034727</v>
      </c>
      <c r="B1572" s="49" t="s">
        <v>9078</v>
      </c>
    </row>
    <row r="1573" spans="1:2">
      <c r="A1573" s="66">
        <v>45999.444140069449</v>
      </c>
      <c r="B1573" s="49" t="s">
        <v>9635</v>
      </c>
    </row>
    <row r="1574" spans="1:2">
      <c r="A1574" s="66">
        <v>45999.444147106478</v>
      </c>
      <c r="B1574" s="49" t="s">
        <v>9636</v>
      </c>
    </row>
    <row r="1575" spans="1:2">
      <c r="A1575" s="66">
        <v>45999.444149675925</v>
      </c>
      <c r="B1575" s="49" t="s">
        <v>9191</v>
      </c>
    </row>
    <row r="1576" spans="1:2">
      <c r="A1576" s="66">
        <v>45999.695186423611</v>
      </c>
      <c r="B1576" s="49"/>
    </row>
    <row r="1577" spans="1:2">
      <c r="A1577" s="66">
        <v>45999.69537991898</v>
      </c>
      <c r="B1577" s="49"/>
    </row>
    <row r="1578" spans="1:2">
      <c r="A1578" s="66">
        <v>45999.695462835647</v>
      </c>
      <c r="B1578" s="49"/>
    </row>
    <row r="1579" spans="1:2">
      <c r="A1579" s="66">
        <v>45999.701462118057</v>
      </c>
      <c r="B1579" s="49" t="s">
        <v>9637</v>
      </c>
    </row>
    <row r="1580" spans="1:2">
      <c r="A1580" s="66">
        <v>45999.701493692133</v>
      </c>
      <c r="B1580" s="49" t="s">
        <v>9638</v>
      </c>
    </row>
    <row r="1581" spans="1:2">
      <c r="A1581" s="66">
        <v>45999.701498287039</v>
      </c>
      <c r="B1581" s="49" t="s">
        <v>9078</v>
      </c>
    </row>
    <row r="1582" spans="1:2">
      <c r="A1582" s="66">
        <v>45999.701523900461</v>
      </c>
      <c r="B1582" s="49" t="s">
        <v>9639</v>
      </c>
    </row>
    <row r="1583" spans="1:2">
      <c r="A1583" s="66">
        <v>45999.701529861108</v>
      </c>
      <c r="B1583" s="49" t="s">
        <v>9640</v>
      </c>
    </row>
    <row r="1584" spans="1:2">
      <c r="A1584" s="66">
        <v>45999.701533078704</v>
      </c>
      <c r="B1584" s="49" t="s">
        <v>9191</v>
      </c>
    </row>
    <row r="1585" spans="1:2">
      <c r="A1585" s="66">
        <v>45999.70254564815</v>
      </c>
      <c r="B1585" s="49" t="s">
        <v>9641</v>
      </c>
    </row>
    <row r="1586" spans="1:2">
      <c r="A1586" s="66">
        <v>45999.702550312504</v>
      </c>
      <c r="B1586" s="49" t="s">
        <v>9642</v>
      </c>
    </row>
    <row r="1587" spans="1:2">
      <c r="A1587" s="66">
        <v>45999.702555150463</v>
      </c>
      <c r="B1587" s="49" t="s">
        <v>9078</v>
      </c>
    </row>
    <row r="1588" spans="1:2">
      <c r="A1588" s="66">
        <v>45999.702571909722</v>
      </c>
      <c r="B1588" s="49" t="s">
        <v>9643</v>
      </c>
    </row>
    <row r="1589" spans="1:2">
      <c r="A1589" s="66">
        <v>45999.702585046296</v>
      </c>
      <c r="B1589" s="49" t="s">
        <v>9191</v>
      </c>
    </row>
    <row r="1590" spans="1:2">
      <c r="A1590" s="66">
        <v>45999.710028761576</v>
      </c>
      <c r="B1590" s="49" t="s">
        <v>9644</v>
      </c>
    </row>
    <row r="1591" spans="1:2">
      <c r="A1591" s="66">
        <v>45999.710036111108</v>
      </c>
      <c r="B1591" s="49" t="s">
        <v>9191</v>
      </c>
    </row>
    <row r="1592" spans="1:2">
      <c r="A1592" s="66">
        <v>45999.710328993053</v>
      </c>
      <c r="B1592" s="49" t="s">
        <v>9645</v>
      </c>
    </row>
    <row r="1593" spans="1:2">
      <c r="A1593" s="66">
        <v>45999.710335115742</v>
      </c>
      <c r="B1593" s="49" t="s">
        <v>9646</v>
      </c>
    </row>
    <row r="1594" spans="1:2">
      <c r="A1594" s="66">
        <v>45999.710342326391</v>
      </c>
      <c r="B1594" s="49" t="s">
        <v>9078</v>
      </c>
    </row>
    <row r="1595" spans="1:2">
      <c r="A1595" s="66">
        <v>45999.710365960651</v>
      </c>
      <c r="B1595" s="49" t="s">
        <v>9647</v>
      </c>
    </row>
    <row r="1596" spans="1:2">
      <c r="A1596" s="66">
        <v>45999.710376805553</v>
      </c>
      <c r="B1596" s="49" t="s">
        <v>9648</v>
      </c>
    </row>
    <row r="1597" spans="1:2">
      <c r="A1597" s="66">
        <v>45999.710380532408</v>
      </c>
      <c r="B1597" s="49" t="s">
        <v>9191</v>
      </c>
    </row>
    <row r="1598" spans="1:2">
      <c r="A1598" s="66">
        <v>45999.721638692128</v>
      </c>
      <c r="B1598" s="49" t="s">
        <v>9649</v>
      </c>
    </row>
    <row r="1599" spans="1:2">
      <c r="A1599" s="66">
        <v>45999.721645972226</v>
      </c>
      <c r="B1599" s="49" t="s">
        <v>9650</v>
      </c>
    </row>
    <row r="1600" spans="1:2">
      <c r="A1600" s="66">
        <v>45999.721651967593</v>
      </c>
      <c r="B1600" s="49" t="s">
        <v>9078</v>
      </c>
    </row>
    <row r="1601" spans="1:2">
      <c r="A1601" s="66">
        <v>45999.72168195602</v>
      </c>
      <c r="B1601" s="49" t="s">
        <v>9651</v>
      </c>
    </row>
    <row r="1602" spans="1:2">
      <c r="A1602" s="66">
        <v>45999.721692222221</v>
      </c>
      <c r="B1602" s="49" t="s">
        <v>9652</v>
      </c>
    </row>
    <row r="1603" spans="1:2">
      <c r="A1603" s="66">
        <v>45999.721694780092</v>
      </c>
      <c r="B1603" s="49" t="s">
        <v>9191</v>
      </c>
    </row>
    <row r="1604" spans="1:2">
      <c r="A1604" s="66">
        <v>45999.729286782407</v>
      </c>
      <c r="B1604" s="49" t="s">
        <v>9653</v>
      </c>
    </row>
    <row r="1605" spans="1:2">
      <c r="A1605" s="66">
        <v>45999.729293310185</v>
      </c>
      <c r="B1605" s="49" t="s">
        <v>9138</v>
      </c>
    </row>
    <row r="1606" spans="1:2">
      <c r="A1606" s="66">
        <v>45999.729298981481</v>
      </c>
      <c r="B1606" s="49" t="s">
        <v>9078</v>
      </c>
    </row>
    <row r="1607" spans="1:2">
      <c r="A1607" s="66">
        <v>45999.729323020831</v>
      </c>
      <c r="B1607" s="49" t="s">
        <v>9490</v>
      </c>
    </row>
    <row r="1608" spans="1:2">
      <c r="A1608" s="66">
        <v>45999.729326365741</v>
      </c>
      <c r="B1608" s="49" t="s">
        <v>9191</v>
      </c>
    </row>
    <row r="1609" spans="1:2">
      <c r="A1609" s="66">
        <v>46000.257184895832</v>
      </c>
      <c r="B1609" s="49" t="s">
        <v>9654</v>
      </c>
    </row>
    <row r="1610" spans="1:2">
      <c r="A1610" s="66">
        <v>46000.257214803241</v>
      </c>
      <c r="B1610" s="49" t="s">
        <v>9073</v>
      </c>
    </row>
    <row r="1611" spans="1:2">
      <c r="A1611" s="66">
        <v>46000.257221435182</v>
      </c>
      <c r="B1611" s="49" t="s">
        <v>9074</v>
      </c>
    </row>
    <row r="1612" spans="1:2">
      <c r="A1612" s="66">
        <v>46000.257224548608</v>
      </c>
      <c r="B1612" s="49" t="s">
        <v>9191</v>
      </c>
    </row>
    <row r="1613" spans="1:2">
      <c r="A1613" s="66">
        <v>46000.270944722222</v>
      </c>
      <c r="B1613" s="49"/>
    </row>
    <row r="1614" spans="1:2">
      <c r="A1614" s="66">
        <v>46000.273167743057</v>
      </c>
      <c r="B1614" s="49" t="s">
        <v>9655</v>
      </c>
    </row>
    <row r="1615" spans="1:2">
      <c r="A1615" s="66">
        <v>46000.273192152774</v>
      </c>
      <c r="B1615" s="49" t="s">
        <v>9073</v>
      </c>
    </row>
    <row r="1616" spans="1:2">
      <c r="A1616" s="66">
        <v>46000.273198229166</v>
      </c>
      <c r="B1616" s="49" t="s">
        <v>9074</v>
      </c>
    </row>
    <row r="1617" spans="1:2">
      <c r="A1617" s="66">
        <v>46000.273201620366</v>
      </c>
      <c r="B1617" s="49" t="s">
        <v>9191</v>
      </c>
    </row>
    <row r="1618" spans="1:2">
      <c r="A1618" s="66">
        <v>46000.273314039354</v>
      </c>
      <c r="B1618" s="49"/>
    </row>
    <row r="1619" spans="1:2">
      <c r="A1619" s="66">
        <v>46000.273563449075</v>
      </c>
      <c r="B1619" s="49"/>
    </row>
    <row r="1620" spans="1:2">
      <c r="A1620" s="66">
        <v>46000.273718912038</v>
      </c>
      <c r="B1620" s="49"/>
    </row>
    <row r="1621" spans="1:2">
      <c r="A1621" s="66">
        <v>46000.274367465274</v>
      </c>
      <c r="B1621" s="49"/>
    </row>
    <row r="1622" spans="1:2">
      <c r="A1622" s="66">
        <v>46000.274674953704</v>
      </c>
      <c r="B1622" s="49"/>
    </row>
    <row r="1623" spans="1:2">
      <c r="A1623" s="66">
        <v>46000.284571712968</v>
      </c>
      <c r="B1623" s="49"/>
    </row>
    <row r="1624" spans="1:2">
      <c r="A1624" s="66">
        <v>46000.292725821761</v>
      </c>
      <c r="B1624" s="49"/>
    </row>
    <row r="1625" spans="1:2">
      <c r="A1625" s="66">
        <v>46000.299890405091</v>
      </c>
      <c r="B1625" s="49"/>
    </row>
    <row r="1626" spans="1:2">
      <c r="A1626" s="66">
        <v>46000.342489641203</v>
      </c>
      <c r="B1626" s="49"/>
    </row>
    <row r="1627" spans="1:2">
      <c r="A1627" s="66">
        <v>46000.34322357639</v>
      </c>
      <c r="B1627" s="49"/>
    </row>
    <row r="1628" spans="1:2">
      <c r="A1628" s="66">
        <v>46000.343230462968</v>
      </c>
      <c r="B1628" s="49"/>
    </row>
    <row r="1629" spans="1:2">
      <c r="A1629" s="66">
        <v>46000.343244745367</v>
      </c>
      <c r="B1629" s="49"/>
    </row>
    <row r="1630" spans="1:2">
      <c r="A1630" s="66">
        <v>46000.343321562497</v>
      </c>
      <c r="B1630" s="49"/>
    </row>
    <row r="1631" spans="1:2">
      <c r="A1631" s="66">
        <v>46000.404741967592</v>
      </c>
      <c r="B1631" s="49"/>
    </row>
    <row r="1632" spans="1:2">
      <c r="A1632" s="66">
        <v>46000.449744363425</v>
      </c>
      <c r="B1632" s="49" t="s">
        <v>9656</v>
      </c>
    </row>
    <row r="1633" spans="1:2">
      <c r="A1633" s="66">
        <v>46000.449749583335</v>
      </c>
      <c r="B1633" s="49" t="s">
        <v>9657</v>
      </c>
    </row>
    <row r="1634" spans="1:2">
      <c r="A1634" s="66">
        <v>46000.449754722227</v>
      </c>
      <c r="B1634" s="49" t="s">
        <v>9078</v>
      </c>
    </row>
    <row r="1635" spans="1:2">
      <c r="A1635" s="66">
        <v>46000.449784652781</v>
      </c>
      <c r="B1635" s="49" t="s">
        <v>9658</v>
      </c>
    </row>
    <row r="1636" spans="1:2">
      <c r="A1636" s="66">
        <v>46000.449792476851</v>
      </c>
      <c r="B1636" s="49" t="s">
        <v>9659</v>
      </c>
    </row>
    <row r="1637" spans="1:2">
      <c r="A1637" s="66">
        <v>46000.449803263888</v>
      </c>
      <c r="B1637" s="49" t="s">
        <v>9191</v>
      </c>
    </row>
    <row r="1638" spans="1:2">
      <c r="A1638" s="66">
        <v>46000.453473078705</v>
      </c>
      <c r="B1638" s="49"/>
    </row>
    <row r="1639" spans="1:2">
      <c r="A1639" s="66">
        <v>46000.464133506946</v>
      </c>
      <c r="B1639" s="49" t="s">
        <v>9660</v>
      </c>
    </row>
    <row r="1640" spans="1:2">
      <c r="A1640" s="66">
        <v>46000.47286652778</v>
      </c>
      <c r="B1640" s="49" t="s">
        <v>9660</v>
      </c>
    </row>
    <row r="1641" spans="1:2">
      <c r="A1641" s="66">
        <v>46000.700380393522</v>
      </c>
      <c r="B1641" s="49" t="s">
        <v>9661</v>
      </c>
    </row>
    <row r="1642" spans="1:2">
      <c r="A1642" s="66">
        <v>46000.700387835648</v>
      </c>
      <c r="B1642" s="49" t="s">
        <v>9662</v>
      </c>
    </row>
    <row r="1643" spans="1:2">
      <c r="A1643" s="66">
        <v>46000.700394108797</v>
      </c>
      <c r="B1643" s="49" t="s">
        <v>9078</v>
      </c>
    </row>
    <row r="1644" spans="1:2">
      <c r="A1644" s="66">
        <v>46000.70043986111</v>
      </c>
      <c r="B1644" s="49" t="s">
        <v>9663</v>
      </c>
    </row>
    <row r="1645" spans="1:2">
      <c r="A1645" s="66">
        <v>46000.700447164352</v>
      </c>
      <c r="B1645" s="49" t="s">
        <v>9664</v>
      </c>
    </row>
    <row r="1646" spans="1:2">
      <c r="A1646" s="66">
        <v>46000.700449722222</v>
      </c>
      <c r="B1646" s="49" t="s">
        <v>9191</v>
      </c>
    </row>
    <row r="1647" spans="1:2">
      <c r="A1647" s="66">
        <v>46001.220212905093</v>
      </c>
      <c r="B1647" s="49" t="s">
        <v>9665</v>
      </c>
    </row>
    <row r="1648" spans="1:2">
      <c r="A1648" s="66">
        <v>46001.220217997688</v>
      </c>
      <c r="B1648" s="49" t="s">
        <v>9666</v>
      </c>
    </row>
    <row r="1649" spans="1:2">
      <c r="A1649" s="66">
        <v>46001.220222129632</v>
      </c>
      <c r="B1649" s="49" t="s">
        <v>9078</v>
      </c>
    </row>
    <row r="1650" spans="1:2">
      <c r="A1650" s="66">
        <v>46001.220256053246</v>
      </c>
      <c r="B1650" s="49" t="s">
        <v>9667</v>
      </c>
    </row>
    <row r="1651" spans="1:2">
      <c r="A1651" s="66">
        <v>46001.220262418981</v>
      </c>
      <c r="B1651" s="49" t="s">
        <v>9668</v>
      </c>
    </row>
    <row r="1652" spans="1:2">
      <c r="A1652" s="66">
        <v>46001.220264525458</v>
      </c>
      <c r="B1652" s="49" t="s">
        <v>9191</v>
      </c>
    </row>
    <row r="1653" spans="1:2">
      <c r="A1653" s="66">
        <v>46001.221230289353</v>
      </c>
      <c r="B1653" s="49" t="s">
        <v>9669</v>
      </c>
    </row>
    <row r="1654" spans="1:2">
      <c r="A1654" s="66">
        <v>46001.221235694444</v>
      </c>
      <c r="B1654" s="49" t="s">
        <v>9670</v>
      </c>
    </row>
    <row r="1655" spans="1:2">
      <c r="A1655" s="66">
        <v>46001.221242465283</v>
      </c>
      <c r="B1655" s="49" t="s">
        <v>9078</v>
      </c>
    </row>
    <row r="1656" spans="1:2">
      <c r="A1656" s="66">
        <v>46001.221276585653</v>
      </c>
      <c r="B1656" s="49" t="s">
        <v>9671</v>
      </c>
    </row>
    <row r="1657" spans="1:2">
      <c r="A1657" s="66">
        <v>46001.221283425926</v>
      </c>
      <c r="B1657" s="49" t="s">
        <v>9672</v>
      </c>
    </row>
    <row r="1658" spans="1:2">
      <c r="A1658" s="66">
        <v>46001.22129371528</v>
      </c>
      <c r="B1658" s="49" t="s">
        <v>9191</v>
      </c>
    </row>
    <row r="1659" spans="1:2">
      <c r="A1659" s="66">
        <v>46001.221504895831</v>
      </c>
      <c r="B1659" s="49" t="s">
        <v>9673</v>
      </c>
    </row>
    <row r="1660" spans="1:2">
      <c r="A1660" s="66">
        <v>46001.221508657407</v>
      </c>
      <c r="B1660" s="49" t="s">
        <v>9674</v>
      </c>
    </row>
    <row r="1661" spans="1:2">
      <c r="A1661" s="66">
        <v>46001.221512731485</v>
      </c>
      <c r="B1661" s="49" t="s">
        <v>9078</v>
      </c>
    </row>
    <row r="1662" spans="1:2">
      <c r="A1662" s="66">
        <v>46001.221530381939</v>
      </c>
      <c r="B1662" s="49" t="s">
        <v>9675</v>
      </c>
    </row>
    <row r="1663" spans="1:2">
      <c r="A1663" s="66">
        <v>46001.221532754629</v>
      </c>
      <c r="B1663" s="49" t="s">
        <v>9191</v>
      </c>
    </row>
    <row r="1664" spans="1:2">
      <c r="A1664" s="66">
        <v>46001.247229143519</v>
      </c>
      <c r="B1664" s="49" t="s">
        <v>9676</v>
      </c>
    </row>
    <row r="1665" spans="1:2">
      <c r="A1665" s="66">
        <v>46001.247258333329</v>
      </c>
      <c r="B1665" s="49" t="s">
        <v>9073</v>
      </c>
    </row>
    <row r="1666" spans="1:2">
      <c r="A1666" s="66">
        <v>46001.247263796293</v>
      </c>
      <c r="B1666" s="49" t="s">
        <v>9074</v>
      </c>
    </row>
    <row r="1667" spans="1:2">
      <c r="A1667" s="66">
        <v>46001.247265868056</v>
      </c>
      <c r="B1667" s="49" t="s">
        <v>9191</v>
      </c>
    </row>
    <row r="1668" spans="1:2">
      <c r="A1668" s="66">
        <v>46001.251785462962</v>
      </c>
      <c r="B1668" s="49" t="s">
        <v>9677</v>
      </c>
    </row>
    <row r="1669" spans="1:2">
      <c r="A1669" s="66">
        <v>46001.251812314818</v>
      </c>
      <c r="B1669" s="49" t="s">
        <v>9073</v>
      </c>
    </row>
    <row r="1670" spans="1:2">
      <c r="A1670" s="66">
        <v>46001.251818912038</v>
      </c>
      <c r="B1670" s="49" t="s">
        <v>9074</v>
      </c>
    </row>
    <row r="1671" spans="1:2">
      <c r="A1671" s="66">
        <v>46001.251820868056</v>
      </c>
      <c r="B1671" s="49" t="s">
        <v>9191</v>
      </c>
    </row>
    <row r="1672" spans="1:2">
      <c r="A1672" s="66">
        <v>46001.253324710648</v>
      </c>
      <c r="B1672" s="49" t="s">
        <v>9678</v>
      </c>
    </row>
    <row r="1673" spans="1:2">
      <c r="A1673" s="66">
        <v>46001.25334664352</v>
      </c>
      <c r="B1673" s="49" t="s">
        <v>9073</v>
      </c>
    </row>
    <row r="1674" spans="1:2">
      <c r="A1674" s="66">
        <v>46001.253351331019</v>
      </c>
      <c r="B1674" s="49" t="s">
        <v>9074</v>
      </c>
    </row>
    <row r="1675" spans="1:2">
      <c r="A1675" s="66">
        <v>46001.253354837958</v>
      </c>
      <c r="B1675" s="49" t="s">
        <v>9191</v>
      </c>
    </row>
    <row r="1676" spans="1:2">
      <c r="A1676" s="66">
        <v>46001.292701712962</v>
      </c>
      <c r="B1676" s="49" t="s">
        <v>9679</v>
      </c>
    </row>
    <row r="1677" spans="1:2">
      <c r="A1677" s="66">
        <v>46001.292732337963</v>
      </c>
      <c r="B1677" s="49" t="s">
        <v>9073</v>
      </c>
    </row>
    <row r="1678" spans="1:2">
      <c r="A1678" s="66">
        <v>46001.292737858792</v>
      </c>
      <c r="B1678" s="49" t="s">
        <v>9074</v>
      </c>
    </row>
    <row r="1679" spans="1:2">
      <c r="A1679" s="66">
        <v>46001.2927522338</v>
      </c>
      <c r="B1679" s="49" t="s">
        <v>9191</v>
      </c>
    </row>
    <row r="1680" spans="1:2">
      <c r="A1680" s="66">
        <v>46001.325054525463</v>
      </c>
      <c r="B1680" s="49"/>
    </row>
    <row r="1681" spans="1:2">
      <c r="A1681" s="66">
        <v>46001.325084988421</v>
      </c>
      <c r="B1681" s="49"/>
    </row>
    <row r="1682" spans="1:2">
      <c r="A1682" s="66">
        <v>46001.325099131944</v>
      </c>
      <c r="B1682" s="49"/>
    </row>
    <row r="1683" spans="1:2">
      <c r="A1683" s="66">
        <v>46001.387791516201</v>
      </c>
      <c r="B1683" s="49"/>
    </row>
    <row r="1684" spans="1:2">
      <c r="A1684" s="66">
        <v>46001.38850262732</v>
      </c>
      <c r="B1684" s="49"/>
    </row>
    <row r="1685" spans="1:2">
      <c r="A1685" s="66">
        <v>46001.399699641202</v>
      </c>
      <c r="B1685" s="49"/>
    </row>
    <row r="1686" spans="1:2">
      <c r="A1686" s="66">
        <v>46001.408806226857</v>
      </c>
      <c r="B1686" s="49"/>
    </row>
    <row r="1687" spans="1:2">
      <c r="A1687" s="66">
        <v>46001.742262800923</v>
      </c>
      <c r="B1687" s="49" t="s">
        <v>9680</v>
      </c>
    </row>
    <row r="1688" spans="1:2">
      <c r="A1688" s="66">
        <v>46001.742270300922</v>
      </c>
      <c r="B1688" s="49" t="s">
        <v>9681</v>
      </c>
    </row>
    <row r="1689" spans="1:2">
      <c r="A1689" s="66">
        <v>46001.742275092591</v>
      </c>
      <c r="B1689" s="49" t="s">
        <v>9078</v>
      </c>
    </row>
    <row r="1690" spans="1:2">
      <c r="A1690" s="66">
        <v>46001.742307696761</v>
      </c>
      <c r="B1690" s="49" t="s">
        <v>9682</v>
      </c>
    </row>
    <row r="1691" spans="1:2">
      <c r="A1691" s="66">
        <v>46001.742314768519</v>
      </c>
      <c r="B1691" s="49" t="s">
        <v>9683</v>
      </c>
    </row>
    <row r="1692" spans="1:2">
      <c r="A1692" s="66">
        <v>46001.742317152777</v>
      </c>
      <c r="B1692" s="49" t="s">
        <v>9191</v>
      </c>
    </row>
    <row r="1693" spans="1:2">
      <c r="A1693" s="66">
        <v>46002.278051215282</v>
      </c>
      <c r="B1693" s="49" t="s">
        <v>9684</v>
      </c>
    </row>
    <row r="1694" spans="1:2">
      <c r="A1694" s="66">
        <v>46002.27808974537</v>
      </c>
      <c r="B1694" s="49" t="s">
        <v>9073</v>
      </c>
    </row>
    <row r="1695" spans="1:2">
      <c r="A1695" s="66">
        <v>46002.278094583336</v>
      </c>
      <c r="B1695" s="49" t="s">
        <v>9074</v>
      </c>
    </row>
    <row r="1696" spans="1:2">
      <c r="A1696" s="66">
        <v>46002.278096747687</v>
      </c>
      <c r="B1696" s="49" t="s">
        <v>9191</v>
      </c>
    </row>
    <row r="1697" spans="1:2">
      <c r="A1697" s="66">
        <v>46002.292992280098</v>
      </c>
      <c r="B1697" s="49" t="s">
        <v>9685</v>
      </c>
    </row>
    <row r="1698" spans="1:2">
      <c r="A1698" s="66">
        <v>46002.292998564815</v>
      </c>
      <c r="B1698" s="49" t="s">
        <v>9482</v>
      </c>
    </row>
    <row r="1699" spans="1:2">
      <c r="A1699" s="66">
        <v>46002.293003877319</v>
      </c>
      <c r="B1699" s="49" t="s">
        <v>9078</v>
      </c>
    </row>
    <row r="1700" spans="1:2">
      <c r="A1700" s="66">
        <v>46002.293032256945</v>
      </c>
      <c r="B1700" s="49" t="s">
        <v>9484</v>
      </c>
    </row>
    <row r="1701" spans="1:2">
      <c r="A1701" s="66">
        <v>46002.29304261574</v>
      </c>
      <c r="B1701" s="49" t="s">
        <v>9191</v>
      </c>
    </row>
    <row r="1702" spans="1:2">
      <c r="A1702" s="66">
        <v>46002.293261921295</v>
      </c>
      <c r="B1702" s="49" t="s">
        <v>9686</v>
      </c>
    </row>
    <row r="1703" spans="1:2">
      <c r="A1703" s="66">
        <v>46002.293292048613</v>
      </c>
      <c r="B1703" s="49" t="s">
        <v>9073</v>
      </c>
    </row>
    <row r="1704" spans="1:2">
      <c r="A1704" s="66">
        <v>46002.293298379635</v>
      </c>
      <c r="B1704" s="49" t="s">
        <v>9074</v>
      </c>
    </row>
    <row r="1705" spans="1:2">
      <c r="A1705" s="66">
        <v>46002.293301516205</v>
      </c>
      <c r="B1705" s="49" t="s">
        <v>9191</v>
      </c>
    </row>
    <row r="1706" spans="1:2">
      <c r="A1706" s="66">
        <v>46002.295791689816</v>
      </c>
      <c r="B1706" s="49" t="s">
        <v>9687</v>
      </c>
    </row>
    <row r="1707" spans="1:2">
      <c r="A1707" s="66">
        <v>46002.295798749998</v>
      </c>
      <c r="B1707" s="49" t="s">
        <v>9688</v>
      </c>
    </row>
    <row r="1708" spans="1:2">
      <c r="A1708" s="66">
        <v>46002.295816145837</v>
      </c>
      <c r="B1708" s="49" t="s">
        <v>9078</v>
      </c>
    </row>
    <row r="1709" spans="1:2">
      <c r="A1709" s="66">
        <v>46002.295856446755</v>
      </c>
      <c r="B1709" s="49" t="s">
        <v>9689</v>
      </c>
    </row>
    <row r="1710" spans="1:2">
      <c r="A1710" s="66">
        <v>46002.295865370368</v>
      </c>
      <c r="B1710" s="49" t="s">
        <v>9690</v>
      </c>
    </row>
    <row r="1711" spans="1:2">
      <c r="A1711" s="66">
        <v>46002.295868831017</v>
      </c>
      <c r="B1711" s="49" t="s">
        <v>9191</v>
      </c>
    </row>
    <row r="1712" spans="1:2">
      <c r="A1712" s="66">
        <v>46002.296445995366</v>
      </c>
      <c r="B1712" s="49" t="s">
        <v>9691</v>
      </c>
    </row>
    <row r="1713" spans="1:2">
      <c r="A1713" s="66">
        <v>46002.29647479167</v>
      </c>
      <c r="B1713" s="49" t="s">
        <v>9073</v>
      </c>
    </row>
    <row r="1714" spans="1:2">
      <c r="A1714" s="66">
        <v>46002.296479849538</v>
      </c>
      <c r="B1714" s="49" t="s">
        <v>9074</v>
      </c>
    </row>
    <row r="1715" spans="1:2">
      <c r="A1715" s="66">
        <v>46002.29648336806</v>
      </c>
      <c r="B1715" s="49" t="s">
        <v>9191</v>
      </c>
    </row>
    <row r="1716" spans="1:2">
      <c r="A1716" s="66">
        <v>46002.31671741898</v>
      </c>
      <c r="B1716" s="49"/>
    </row>
    <row r="1717" spans="1:2">
      <c r="A1717" s="66">
        <v>46002.317080428242</v>
      </c>
      <c r="B1717" s="49"/>
    </row>
    <row r="1718" spans="1:2">
      <c r="A1718" s="66">
        <v>46002.317600254624</v>
      </c>
      <c r="B1718" s="49"/>
    </row>
    <row r="1719" spans="1:2">
      <c r="A1719" s="66">
        <v>46002.318100115735</v>
      </c>
      <c r="B1719" s="49"/>
    </row>
    <row r="1720" spans="1:2">
      <c r="A1720" s="66">
        <v>46002.328919074076</v>
      </c>
      <c r="B1720" s="49" t="s">
        <v>9692</v>
      </c>
    </row>
    <row r="1721" spans="1:2">
      <c r="A1721" s="66">
        <v>46002.328949606483</v>
      </c>
      <c r="B1721" s="49" t="s">
        <v>9073</v>
      </c>
    </row>
    <row r="1722" spans="1:2">
      <c r="A1722" s="66">
        <v>46002.32895516204</v>
      </c>
      <c r="B1722" s="49" t="s">
        <v>9074</v>
      </c>
    </row>
    <row r="1723" spans="1:2">
      <c r="A1723" s="66">
        <v>46002.328958032405</v>
      </c>
      <c r="B1723" s="49" t="s">
        <v>9191</v>
      </c>
    </row>
    <row r="1724" spans="1:2">
      <c r="A1724" s="66">
        <v>46002.332113587967</v>
      </c>
      <c r="B1724" s="49"/>
    </row>
    <row r="1725" spans="1:2">
      <c r="A1725" s="66">
        <v>46002.345925729169</v>
      </c>
      <c r="B1725" s="49"/>
    </row>
    <row r="1726" spans="1:2">
      <c r="A1726" s="66">
        <v>46002.34623693287</v>
      </c>
      <c r="B1726" s="49"/>
    </row>
    <row r="1727" spans="1:2">
      <c r="A1727" s="66">
        <v>46002.346264733795</v>
      </c>
      <c r="B1727" s="49"/>
    </row>
    <row r="1728" spans="1:2">
      <c r="A1728" s="66">
        <v>46002.390183009258</v>
      </c>
      <c r="B1728" s="49"/>
    </row>
    <row r="1729" spans="1:2">
      <c r="A1729" s="66">
        <v>46002.400252071762</v>
      </c>
      <c r="B1729" s="49"/>
    </row>
    <row r="1730" spans="1:2">
      <c r="A1730" s="66">
        <v>46002.422947974541</v>
      </c>
      <c r="B1730" s="49" t="s">
        <v>9693</v>
      </c>
    </row>
    <row r="1731" spans="1:2">
      <c r="A1731" s="66">
        <v>46002.422965370366</v>
      </c>
      <c r="B1731" s="49" t="s">
        <v>9694</v>
      </c>
    </row>
    <row r="1732" spans="1:2">
      <c r="A1732" s="66">
        <v>46002.422982928241</v>
      </c>
      <c r="B1732" s="49" t="s">
        <v>9078</v>
      </c>
    </row>
    <row r="1733" spans="1:2">
      <c r="A1733" s="66">
        <v>46002.423015983797</v>
      </c>
      <c r="B1733" s="49" t="s">
        <v>9695</v>
      </c>
    </row>
    <row r="1734" spans="1:2">
      <c r="A1734" s="66">
        <v>46002.423022870367</v>
      </c>
      <c r="B1734" s="49" t="s">
        <v>9696</v>
      </c>
    </row>
    <row r="1735" spans="1:2">
      <c r="A1735" s="66">
        <v>46002.423025312499</v>
      </c>
      <c r="B1735" s="49" t="s">
        <v>9191</v>
      </c>
    </row>
    <row r="1736" spans="1:2">
      <c r="A1736" s="66">
        <v>46002.430922928237</v>
      </c>
      <c r="B1736" s="49"/>
    </row>
    <row r="1737" spans="1:2">
      <c r="A1737" s="66">
        <v>46002.464847719908</v>
      </c>
      <c r="B1737" s="49" t="s">
        <v>9697</v>
      </c>
    </row>
    <row r="1738" spans="1:2">
      <c r="A1738" s="66">
        <v>46002.46485935185</v>
      </c>
      <c r="B1738" s="49" t="s">
        <v>9698</v>
      </c>
    </row>
    <row r="1739" spans="1:2">
      <c r="A1739" s="66">
        <v>46002.46487708333</v>
      </c>
      <c r="B1739" s="49" t="s">
        <v>9078</v>
      </c>
    </row>
    <row r="1740" spans="1:2">
      <c r="A1740" s="66">
        <v>46002.464909618051</v>
      </c>
      <c r="B1740" s="49" t="s">
        <v>9699</v>
      </c>
    </row>
    <row r="1741" spans="1:2">
      <c r="A1741" s="66">
        <v>46002.464916192126</v>
      </c>
      <c r="B1741" s="49" t="s">
        <v>9700</v>
      </c>
    </row>
    <row r="1742" spans="1:2">
      <c r="A1742" s="66">
        <v>46002.464919745369</v>
      </c>
      <c r="B1742" s="49" t="s">
        <v>9191</v>
      </c>
    </row>
    <row r="1743" spans="1:2">
      <c r="A1743" s="66">
        <v>46002.513411238426</v>
      </c>
      <c r="B1743" s="49" t="s">
        <v>9701</v>
      </c>
    </row>
    <row r="1744" spans="1:2">
      <c r="A1744" s="66">
        <v>46002.513417199079</v>
      </c>
      <c r="B1744" s="49" t="s">
        <v>9702</v>
      </c>
    </row>
    <row r="1745" spans="1:2">
      <c r="A1745" s="66">
        <v>46002.513421412033</v>
      </c>
      <c r="B1745" s="49" t="s">
        <v>9078</v>
      </c>
    </row>
    <row r="1746" spans="1:2">
      <c r="A1746" s="66">
        <v>46002.513466064818</v>
      </c>
      <c r="B1746" s="49" t="s">
        <v>9703</v>
      </c>
    </row>
    <row r="1747" spans="1:2">
      <c r="A1747" s="66">
        <v>46002.513471990736</v>
      </c>
      <c r="B1747" s="49" t="s">
        <v>9704</v>
      </c>
    </row>
    <row r="1748" spans="1:2">
      <c r="A1748" s="66">
        <v>46002.513473680556</v>
      </c>
      <c r="B1748" s="49" t="s">
        <v>9191</v>
      </c>
    </row>
    <row r="1749" spans="1:2">
      <c r="A1749" s="66">
        <v>46002.646632233795</v>
      </c>
      <c r="B1749" s="49" t="s">
        <v>9705</v>
      </c>
    </row>
    <row r="1750" spans="1:2">
      <c r="A1750" s="66">
        <v>46002.646644155087</v>
      </c>
      <c r="B1750" s="49" t="s">
        <v>9706</v>
      </c>
    </row>
    <row r="1751" spans="1:2">
      <c r="A1751" s="66">
        <v>46002.646665081018</v>
      </c>
      <c r="B1751" s="49" t="s">
        <v>9078</v>
      </c>
    </row>
    <row r="1752" spans="1:2">
      <c r="A1752" s="66">
        <v>46002.646715439812</v>
      </c>
      <c r="B1752" s="49" t="s">
        <v>9707</v>
      </c>
    </row>
    <row r="1753" spans="1:2">
      <c r="A1753" s="66">
        <v>46002.646724375001</v>
      </c>
      <c r="B1753" s="49" t="s">
        <v>9708</v>
      </c>
    </row>
    <row r="1754" spans="1:2">
      <c r="A1754" s="66">
        <v>46002.646729259257</v>
      </c>
      <c r="B1754" s="49" t="s">
        <v>9191</v>
      </c>
    </row>
    <row r="1755" spans="1:2">
      <c r="A1755" s="66">
        <v>46003.237397210643</v>
      </c>
      <c r="B1755" s="49" t="s">
        <v>9709</v>
      </c>
    </row>
    <row r="1756" spans="1:2">
      <c r="A1756" s="66">
        <v>46003.237424340274</v>
      </c>
      <c r="B1756" s="49" t="s">
        <v>9073</v>
      </c>
    </row>
    <row r="1757" spans="1:2">
      <c r="A1757" s="66">
        <v>46003.237430312496</v>
      </c>
      <c r="B1757" s="49" t="s">
        <v>9074</v>
      </c>
    </row>
    <row r="1758" spans="1:2">
      <c r="A1758" s="66">
        <v>46003.237433182869</v>
      </c>
      <c r="B1758" s="49" t="s">
        <v>9191</v>
      </c>
    </row>
    <row r="1759" spans="1:2">
      <c r="A1759" s="66">
        <v>46003.238897013885</v>
      </c>
      <c r="B1759" s="49" t="s">
        <v>9710</v>
      </c>
    </row>
    <row r="1760" spans="1:2">
      <c r="A1760" s="66">
        <v>46003.238901423611</v>
      </c>
      <c r="B1760" s="49" t="s">
        <v>9543</v>
      </c>
    </row>
    <row r="1761" spans="1:2">
      <c r="A1761" s="66">
        <v>46003.238905787039</v>
      </c>
      <c r="B1761" s="49" t="s">
        <v>9078</v>
      </c>
    </row>
    <row r="1762" spans="1:2">
      <c r="A1762" s="66">
        <v>46003.238925219906</v>
      </c>
      <c r="B1762" s="49" t="s">
        <v>9711</v>
      </c>
    </row>
    <row r="1763" spans="1:2">
      <c r="A1763" s="66">
        <v>46003.238927858794</v>
      </c>
      <c r="B1763" s="49" t="s">
        <v>9191</v>
      </c>
    </row>
    <row r="1764" spans="1:2">
      <c r="A1764" s="66">
        <v>46003.27502887731</v>
      </c>
      <c r="B1764" s="49" t="s">
        <v>9712</v>
      </c>
    </row>
    <row r="1765" spans="1:2">
      <c r="A1765" s="66">
        <v>46003.27506054398</v>
      </c>
      <c r="B1765" s="49" t="s">
        <v>9073</v>
      </c>
    </row>
    <row r="1766" spans="1:2">
      <c r="A1766" s="66">
        <v>46003.275066400463</v>
      </c>
      <c r="B1766" s="49" t="s">
        <v>9074</v>
      </c>
    </row>
    <row r="1767" spans="1:2">
      <c r="A1767" s="66">
        <v>46003.275068148148</v>
      </c>
      <c r="B1767" s="49" t="s">
        <v>9191</v>
      </c>
    </row>
    <row r="1768" spans="1:2">
      <c r="A1768" s="66">
        <v>46003.276534722223</v>
      </c>
      <c r="B1768" s="49" t="s">
        <v>9713</v>
      </c>
    </row>
    <row r="1769" spans="1:2">
      <c r="A1769" s="66">
        <v>46003.276572361108</v>
      </c>
      <c r="B1769" s="49" t="s">
        <v>9073</v>
      </c>
    </row>
    <row r="1770" spans="1:2">
      <c r="A1770" s="66">
        <v>46003.276577951387</v>
      </c>
      <c r="B1770" s="49" t="s">
        <v>9074</v>
      </c>
    </row>
    <row r="1771" spans="1:2">
      <c r="A1771" s="66">
        <v>46003.276581284721</v>
      </c>
      <c r="B1771" s="49" t="s">
        <v>9191</v>
      </c>
    </row>
    <row r="1772" spans="1:2">
      <c r="A1772" s="66">
        <v>46003.276700312505</v>
      </c>
      <c r="B1772" s="49" t="s">
        <v>9714</v>
      </c>
    </row>
    <row r="1773" spans="1:2">
      <c r="A1773" s="66">
        <v>46003.276718587964</v>
      </c>
      <c r="B1773" s="49" t="s">
        <v>9073</v>
      </c>
    </row>
    <row r="1774" spans="1:2">
      <c r="A1774" s="66">
        <v>46003.276723437499</v>
      </c>
      <c r="B1774" s="49" t="s">
        <v>9074</v>
      </c>
    </row>
    <row r="1775" spans="1:2">
      <c r="A1775" s="66">
        <v>46003.276724965282</v>
      </c>
      <c r="B1775" s="49" t="s">
        <v>9191</v>
      </c>
    </row>
    <row r="1776" spans="1:2">
      <c r="A1776" s="66">
        <v>46003.31229923611</v>
      </c>
      <c r="B1776" s="49" t="s">
        <v>9715</v>
      </c>
    </row>
    <row r="1777" spans="1:2">
      <c r="A1777" s="66">
        <v>46003.31230380787</v>
      </c>
      <c r="B1777" s="49" t="s">
        <v>9355</v>
      </c>
    </row>
    <row r="1778" spans="1:2">
      <c r="A1778" s="66">
        <v>46003.312308414352</v>
      </c>
      <c r="B1778" s="49" t="s">
        <v>9078</v>
      </c>
    </row>
    <row r="1779" spans="1:2">
      <c r="A1779" s="66">
        <v>46003.312357071758</v>
      </c>
      <c r="B1779" s="49" t="s">
        <v>9356</v>
      </c>
    </row>
    <row r="1780" spans="1:2">
      <c r="A1780" s="66">
        <v>46003.312363391204</v>
      </c>
      <c r="B1780" s="49" t="s">
        <v>9716</v>
      </c>
    </row>
    <row r="1781" spans="1:2">
      <c r="A1781" s="66">
        <v>46003.312367592589</v>
      </c>
      <c r="B1781" s="49" t="s">
        <v>9191</v>
      </c>
    </row>
    <row r="1782" spans="1:2">
      <c r="A1782" s="66">
        <v>46003.318568946765</v>
      </c>
      <c r="B1782" s="49"/>
    </row>
    <row r="1783" spans="1:2">
      <c r="A1783" s="66">
        <v>46003.31883452546</v>
      </c>
      <c r="B1783" s="49"/>
    </row>
    <row r="1784" spans="1:2">
      <c r="A1784" s="66">
        <v>46003.318931527778</v>
      </c>
      <c r="B1784" s="49"/>
    </row>
    <row r="1785" spans="1:2">
      <c r="A1785" s="66">
        <v>46003.319156840276</v>
      </c>
      <c r="B1785" s="49"/>
    </row>
    <row r="1786" spans="1:2">
      <c r="A1786" s="66">
        <v>46003.319403831018</v>
      </c>
      <c r="B1786" s="49"/>
    </row>
    <row r="1787" spans="1:2">
      <c r="A1787" s="66">
        <v>46003.331435717591</v>
      </c>
      <c r="B1787" s="49"/>
    </row>
    <row r="1788" spans="1:2">
      <c r="A1788" s="66">
        <v>46003.346182986112</v>
      </c>
      <c r="B1788" s="49"/>
    </row>
    <row r="1789" spans="1:2">
      <c r="A1789" s="66">
        <v>46003.348042777783</v>
      </c>
      <c r="B1789" s="49"/>
    </row>
    <row r="1790" spans="1:2">
      <c r="A1790" s="66">
        <v>46003.348052800924</v>
      </c>
      <c r="B1790" s="49"/>
    </row>
    <row r="1791" spans="1:2">
      <c r="A1791" s="66">
        <v>46003.348137083332</v>
      </c>
      <c r="B1791" s="49"/>
    </row>
    <row r="1792" spans="1:2">
      <c r="A1792" s="66">
        <v>46003.354775995365</v>
      </c>
      <c r="B1792" s="49"/>
    </row>
    <row r="1793" spans="1:2">
      <c r="A1793" s="66">
        <v>46003.362327013892</v>
      </c>
      <c r="B1793" s="49"/>
    </row>
    <row r="1794" spans="1:2">
      <c r="A1794" s="66">
        <v>46003.426182870375</v>
      </c>
      <c r="B1794" s="49" t="s">
        <v>9717</v>
      </c>
    </row>
    <row r="1795" spans="1:2">
      <c r="A1795" s="66">
        <v>46003.426187962963</v>
      </c>
      <c r="B1795" s="49" t="s">
        <v>9718</v>
      </c>
    </row>
    <row r="1796" spans="1:2">
      <c r="A1796" s="66">
        <v>46003.4261934838</v>
      </c>
      <c r="B1796" s="49" t="s">
        <v>9078</v>
      </c>
    </row>
    <row r="1797" spans="1:2">
      <c r="A1797" s="66">
        <v>46003.42623297454</v>
      </c>
      <c r="B1797" s="49" t="s">
        <v>9719</v>
      </c>
    </row>
    <row r="1798" spans="1:2">
      <c r="A1798" s="66">
        <v>46003.426241018518</v>
      </c>
      <c r="B1798" s="49" t="s">
        <v>9720</v>
      </c>
    </row>
    <row r="1799" spans="1:2">
      <c r="A1799" s="66">
        <v>46003.426243437498</v>
      </c>
      <c r="B1799" s="49" t="s">
        <v>9191</v>
      </c>
    </row>
    <row r="1800" spans="1:2">
      <c r="A1800" s="66">
        <v>46003.459479108795</v>
      </c>
      <c r="B1800" s="49" t="s">
        <v>9721</v>
      </c>
    </row>
    <row r="1801" spans="1:2">
      <c r="A1801" s="66">
        <v>46003.459491238427</v>
      </c>
      <c r="B1801" s="49" t="s">
        <v>9077</v>
      </c>
    </row>
    <row r="1802" spans="1:2">
      <c r="A1802" s="66">
        <v>46003.459495949079</v>
      </c>
      <c r="B1802" s="49" t="s">
        <v>9078</v>
      </c>
    </row>
    <row r="1803" spans="1:2">
      <c r="A1803" s="66">
        <v>46003.45953547454</v>
      </c>
      <c r="B1803" s="49" t="s">
        <v>9722</v>
      </c>
    </row>
    <row r="1804" spans="1:2">
      <c r="A1804" s="66">
        <v>46003.459543402772</v>
      </c>
      <c r="B1804" s="49" t="s">
        <v>9191</v>
      </c>
    </row>
    <row r="1805" spans="1:2">
      <c r="A1805" s="66">
        <v>46003.460153101856</v>
      </c>
      <c r="B1805" s="49" t="s">
        <v>9723</v>
      </c>
    </row>
    <row r="1806" spans="1:2">
      <c r="A1806" s="66">
        <v>46003.460159513888</v>
      </c>
      <c r="B1806" s="49" t="s">
        <v>9724</v>
      </c>
    </row>
    <row r="1807" spans="1:2">
      <c r="A1807" s="66">
        <v>46003.460165104167</v>
      </c>
      <c r="B1807" s="49" t="s">
        <v>9078</v>
      </c>
    </row>
    <row r="1808" spans="1:2">
      <c r="A1808" s="66">
        <v>46003.460189768521</v>
      </c>
      <c r="B1808" s="49" t="s">
        <v>9725</v>
      </c>
    </row>
    <row r="1809" spans="1:2">
      <c r="A1809" s="66">
        <v>46003.460193379629</v>
      </c>
      <c r="B1809" s="49" t="s">
        <v>9191</v>
      </c>
    </row>
    <row r="1810" spans="1:2">
      <c r="A1810" s="66">
        <v>46003.912727164352</v>
      </c>
      <c r="B1810" s="49" t="s">
        <v>9726</v>
      </c>
    </row>
    <row r="1811" spans="1:2">
      <c r="A1811" s="66">
        <v>46003.912732094905</v>
      </c>
      <c r="B1811" s="49" t="s">
        <v>9727</v>
      </c>
    </row>
    <row r="1812" spans="1:2">
      <c r="A1812" s="66">
        <v>46003.912736377315</v>
      </c>
      <c r="B1812" s="49" t="s">
        <v>9078</v>
      </c>
    </row>
    <row r="1813" spans="1:2">
      <c r="A1813" s="66">
        <v>46003.912784259257</v>
      </c>
      <c r="B1813" s="49" t="s">
        <v>9728</v>
      </c>
    </row>
    <row r="1814" spans="1:2">
      <c r="A1814" s="66">
        <v>46003.912791863426</v>
      </c>
      <c r="B1814" s="49" t="s">
        <v>9729</v>
      </c>
    </row>
    <row r="1815" spans="1:2">
      <c r="A1815" s="66">
        <v>46003.91279396991</v>
      </c>
      <c r="B1815" s="49" t="s">
        <v>9191</v>
      </c>
    </row>
    <row r="1816" spans="1:2">
      <c r="A1816" s="66">
        <v>46003.913652604169</v>
      </c>
      <c r="B1816" s="49" t="s">
        <v>9730</v>
      </c>
    </row>
    <row r="1817" spans="1:2">
      <c r="A1817" s="66">
        <v>46003.913657025463</v>
      </c>
      <c r="B1817" s="49" t="s">
        <v>9731</v>
      </c>
    </row>
    <row r="1818" spans="1:2">
      <c r="A1818" s="66">
        <v>46003.913677048607</v>
      </c>
      <c r="B1818" s="49" t="s">
        <v>9078</v>
      </c>
    </row>
    <row r="1819" spans="1:2">
      <c r="A1819" s="66">
        <v>46003.913697361109</v>
      </c>
      <c r="B1819" s="49" t="s">
        <v>9732</v>
      </c>
    </row>
    <row r="1820" spans="1:2">
      <c r="A1820" s="66">
        <v>46003.913703518519</v>
      </c>
      <c r="B1820" s="49" t="s">
        <v>9733</v>
      </c>
    </row>
    <row r="1821" spans="1:2">
      <c r="A1821" s="66">
        <v>46003.913705833329</v>
      </c>
      <c r="B1821" s="49" t="s">
        <v>9191</v>
      </c>
    </row>
    <row r="1822" spans="1:2">
      <c r="A1822" s="66">
        <v>46003.913824479168</v>
      </c>
      <c r="B1822" s="49" t="s">
        <v>9734</v>
      </c>
    </row>
    <row r="1823" spans="1:2">
      <c r="A1823" s="66">
        <v>46003.913828668985</v>
      </c>
      <c r="B1823" s="49" t="s">
        <v>9355</v>
      </c>
    </row>
    <row r="1824" spans="1:2">
      <c r="A1824" s="66">
        <v>46003.913832916667</v>
      </c>
      <c r="B1824" s="49" t="s">
        <v>9078</v>
      </c>
    </row>
    <row r="1825" spans="1:2">
      <c r="A1825" s="66">
        <v>46003.913848055556</v>
      </c>
      <c r="B1825" s="49" t="s">
        <v>9735</v>
      </c>
    </row>
    <row r="1826" spans="1:2">
      <c r="A1826" s="66">
        <v>46003.913851342593</v>
      </c>
      <c r="B1826" s="49" t="s">
        <v>9191</v>
      </c>
    </row>
    <row r="1827" spans="1:2">
      <c r="A1827" s="66">
        <v>46004.229277152779</v>
      </c>
      <c r="B1827" s="49" t="s">
        <v>9736</v>
      </c>
    </row>
    <row r="1828" spans="1:2">
      <c r="A1828" s="66">
        <v>46004.229325312495</v>
      </c>
      <c r="B1828" s="49" t="s">
        <v>9073</v>
      </c>
    </row>
    <row r="1829" spans="1:2">
      <c r="A1829" s="66">
        <v>46004.22933055555</v>
      </c>
      <c r="B1829" s="49" t="s">
        <v>9074</v>
      </c>
    </row>
    <row r="1830" spans="1:2">
      <c r="A1830" s="66">
        <v>46004.22933425926</v>
      </c>
      <c r="B1830" s="49" t="s">
        <v>9191</v>
      </c>
    </row>
    <row r="1831" spans="1:2">
      <c r="A1831" s="66">
        <v>46004.229611863426</v>
      </c>
      <c r="B1831" s="49" t="s">
        <v>9734</v>
      </c>
    </row>
    <row r="1832" spans="1:2">
      <c r="A1832" s="66">
        <v>46004.229615856486</v>
      </c>
      <c r="B1832" s="49" t="s">
        <v>9355</v>
      </c>
    </row>
    <row r="1833" spans="1:2">
      <c r="A1833" s="66">
        <v>46004.229623344909</v>
      </c>
      <c r="B1833" s="49" t="s">
        <v>9078</v>
      </c>
    </row>
    <row r="1834" spans="1:2">
      <c r="A1834" s="66">
        <v>46004.229638020828</v>
      </c>
      <c r="B1834" s="49" t="s">
        <v>9735</v>
      </c>
    </row>
    <row r="1835" spans="1:2">
      <c r="A1835" s="66">
        <v>46004.229640995371</v>
      </c>
      <c r="B1835" s="49" t="s">
        <v>9191</v>
      </c>
    </row>
    <row r="1836" spans="1:2">
      <c r="A1836" s="66">
        <v>46004.300918726847</v>
      </c>
      <c r="B1836" s="49"/>
    </row>
    <row r="1837" spans="1:2">
      <c r="A1837" s="66">
        <v>46004.301058182871</v>
      </c>
      <c r="B1837" s="49"/>
    </row>
    <row r="1838" spans="1:2">
      <c r="A1838" s="66">
        <v>46004.301199664347</v>
      </c>
      <c r="B1838" s="49"/>
    </row>
    <row r="1839" spans="1:2">
      <c r="A1839" s="66">
        <v>46004.30957618056</v>
      </c>
      <c r="B1839" s="49"/>
    </row>
    <row r="1840" spans="1:2">
      <c r="A1840" s="66">
        <v>46004.322430740736</v>
      </c>
      <c r="B1840" s="49"/>
    </row>
    <row r="1841" spans="1:2">
      <c r="A1841" s="66">
        <v>46004.334664097223</v>
      </c>
      <c r="B1841" s="49"/>
    </row>
    <row r="1842" spans="1:2">
      <c r="A1842" s="66">
        <v>46004.341186296297</v>
      </c>
      <c r="B1842" s="49" t="s">
        <v>9737</v>
      </c>
    </row>
    <row r="1843" spans="1:2">
      <c r="A1843" s="66">
        <v>46004.359369016209</v>
      </c>
      <c r="B1843" s="49"/>
    </row>
    <row r="1844" spans="1:2">
      <c r="A1844" s="66">
        <v>46004.359394317129</v>
      </c>
      <c r="B1844" s="49"/>
    </row>
    <row r="1845" spans="1:2">
      <c r="A1845" s="66">
        <v>46004.359463611108</v>
      </c>
      <c r="B1845" s="49"/>
    </row>
    <row r="1846" spans="1:2">
      <c r="A1846" s="66">
        <v>46004.470781261574</v>
      </c>
      <c r="B1846" s="49" t="s">
        <v>9738</v>
      </c>
    </row>
    <row r="1847" spans="1:2">
      <c r="A1847" s="66">
        <v>46004.470787407408</v>
      </c>
      <c r="B1847" s="49" t="s">
        <v>9739</v>
      </c>
    </row>
    <row r="1848" spans="1:2">
      <c r="A1848" s="66">
        <v>46004.470793784727</v>
      </c>
      <c r="B1848" s="49" t="s">
        <v>9078</v>
      </c>
    </row>
    <row r="1849" spans="1:2">
      <c r="A1849" s="66">
        <v>46004.470817094909</v>
      </c>
      <c r="B1849" s="49" t="s">
        <v>9740</v>
      </c>
    </row>
    <row r="1850" spans="1:2">
      <c r="A1850" s="66">
        <v>46004.470820300921</v>
      </c>
      <c r="B1850" s="49" t="s">
        <v>9191</v>
      </c>
    </row>
    <row r="1851" spans="1:2">
      <c r="A1851" s="66">
        <v>46004.498079444442</v>
      </c>
      <c r="B1851" s="49" t="s">
        <v>9741</v>
      </c>
    </row>
    <row r="1852" spans="1:2">
      <c r="A1852" s="66">
        <v>46004.498084791667</v>
      </c>
      <c r="B1852" s="49" t="s">
        <v>9315</v>
      </c>
    </row>
    <row r="1853" spans="1:2">
      <c r="A1853" s="66">
        <v>46004.498090636574</v>
      </c>
      <c r="B1853" s="49" t="s">
        <v>9078</v>
      </c>
    </row>
    <row r="1854" spans="1:2">
      <c r="A1854" s="66">
        <v>46004.498109571759</v>
      </c>
      <c r="B1854" s="49" t="s">
        <v>9742</v>
      </c>
    </row>
    <row r="1855" spans="1:2">
      <c r="A1855" s="66">
        <v>46004.498112349538</v>
      </c>
      <c r="B1855" s="49" t="s">
        <v>9191</v>
      </c>
    </row>
    <row r="1856" spans="1:2">
      <c r="A1856" s="66">
        <v>46005.317424016204</v>
      </c>
      <c r="B1856" s="49" t="s">
        <v>9743</v>
      </c>
    </row>
    <row r="1857" spans="1:2">
      <c r="A1857" s="66">
        <v>46005.317430428244</v>
      </c>
      <c r="B1857" s="49" t="s">
        <v>9456</v>
      </c>
    </row>
    <row r="1858" spans="1:2">
      <c r="A1858" s="66">
        <v>46005.317453425931</v>
      </c>
      <c r="B1858" s="49" t="s">
        <v>9078</v>
      </c>
    </row>
    <row r="1859" spans="1:2">
      <c r="A1859" s="66">
        <v>46005.31747548611</v>
      </c>
      <c r="B1859" s="49" t="s">
        <v>9744</v>
      </c>
    </row>
    <row r="1860" spans="1:2">
      <c r="A1860" s="66">
        <v>46005.317478460653</v>
      </c>
      <c r="B1860" s="49" t="s">
        <v>9191</v>
      </c>
    </row>
    <row r="1861" spans="1:2">
      <c r="A1861" s="66">
        <v>46005.317584537042</v>
      </c>
      <c r="B1861" s="49" t="s">
        <v>9745</v>
      </c>
    </row>
    <row r="1862" spans="1:2">
      <c r="A1862" s="66">
        <v>46005.317610833328</v>
      </c>
      <c r="B1862" s="49" t="s">
        <v>9073</v>
      </c>
    </row>
    <row r="1863" spans="1:2">
      <c r="A1863" s="66">
        <v>46005.317616585649</v>
      </c>
      <c r="B1863" s="49" t="s">
        <v>9074</v>
      </c>
    </row>
    <row r="1864" spans="1:2">
      <c r="A1864" s="66">
        <v>46005.317619456022</v>
      </c>
      <c r="B1864" s="49" t="s">
        <v>9191</v>
      </c>
    </row>
    <row r="1865" spans="1:2">
      <c r="A1865" s="66">
        <v>46005.327908032406</v>
      </c>
      <c r="B1865" s="49" t="s">
        <v>9746</v>
      </c>
    </row>
    <row r="1866" spans="1:2">
      <c r="A1866" s="66">
        <v>46005.327913738423</v>
      </c>
      <c r="B1866" s="49" t="s">
        <v>9456</v>
      </c>
    </row>
    <row r="1867" spans="1:2">
      <c r="A1867" s="66">
        <v>46005.327918634255</v>
      </c>
      <c r="B1867" s="49" t="s">
        <v>9078</v>
      </c>
    </row>
    <row r="1868" spans="1:2">
      <c r="A1868" s="66">
        <v>46005.327953900458</v>
      </c>
      <c r="B1868" s="49" t="s">
        <v>9744</v>
      </c>
    </row>
    <row r="1869" spans="1:2">
      <c r="A1869" s="66">
        <v>46005.32795637731</v>
      </c>
      <c r="B1869" s="49" t="s">
        <v>9191</v>
      </c>
    </row>
    <row r="1870" spans="1:2">
      <c r="A1870" s="66">
        <v>46005.421941261578</v>
      </c>
      <c r="B1870" s="49" t="s">
        <v>9747</v>
      </c>
    </row>
    <row r="1871" spans="1:2">
      <c r="A1871" s="66">
        <v>46005.421945405091</v>
      </c>
      <c r="B1871" s="49" t="s">
        <v>9492</v>
      </c>
    </row>
    <row r="1872" spans="1:2">
      <c r="A1872" s="66">
        <v>46005.421972511569</v>
      </c>
      <c r="B1872" s="49" t="s">
        <v>9078</v>
      </c>
    </row>
    <row r="1873" spans="1:2">
      <c r="A1873" s="66">
        <v>46005.421993495373</v>
      </c>
      <c r="B1873" s="49" t="s">
        <v>9748</v>
      </c>
    </row>
    <row r="1874" spans="1:2">
      <c r="A1874" s="66">
        <v>46005.422000023143</v>
      </c>
      <c r="B1874" s="49" t="s">
        <v>9191</v>
      </c>
    </row>
    <row r="1875" spans="1:2">
      <c r="A1875" s="66">
        <v>46005.51065762731</v>
      </c>
      <c r="B1875" s="49" t="s">
        <v>9749</v>
      </c>
    </row>
    <row r="1876" spans="1:2">
      <c r="A1876" s="66">
        <v>46005.510663530091</v>
      </c>
      <c r="B1876" s="49" t="s">
        <v>9516</v>
      </c>
    </row>
    <row r="1877" spans="1:2">
      <c r="A1877" s="66">
        <v>46005.510688287039</v>
      </c>
      <c r="B1877" s="49" t="s">
        <v>9078</v>
      </c>
    </row>
    <row r="1878" spans="1:2">
      <c r="A1878" s="66">
        <v>46005.510711979165</v>
      </c>
      <c r="B1878" s="49" t="s">
        <v>9750</v>
      </c>
    </row>
    <row r="1879" spans="1:2">
      <c r="A1879" s="66">
        <v>46005.510716331017</v>
      </c>
      <c r="B1879" s="49" t="s">
        <v>9191</v>
      </c>
    </row>
    <row r="1880" spans="1:2">
      <c r="A1880" s="66">
        <v>46005.566766331016</v>
      </c>
      <c r="B1880" s="49" t="s">
        <v>9751</v>
      </c>
    </row>
    <row r="1881" spans="1:2">
      <c r="A1881" s="66">
        <v>46005.566770810183</v>
      </c>
      <c r="B1881" s="49" t="s">
        <v>9247</v>
      </c>
    </row>
    <row r="1882" spans="1:2">
      <c r="A1882" s="66">
        <v>46005.566775011575</v>
      </c>
      <c r="B1882" s="49" t="s">
        <v>9078</v>
      </c>
    </row>
    <row r="1883" spans="1:2">
      <c r="A1883" s="66">
        <v>46005.566796689818</v>
      </c>
      <c r="B1883" s="49" t="s">
        <v>9752</v>
      </c>
    </row>
    <row r="1884" spans="1:2">
      <c r="A1884" s="66">
        <v>46005.566799155087</v>
      </c>
      <c r="B1884" s="49" t="s">
        <v>9191</v>
      </c>
    </row>
    <row r="1885" spans="1:2">
      <c r="A1885" s="66">
        <v>46005.567233240741</v>
      </c>
      <c r="B1885" s="49" t="s">
        <v>9751</v>
      </c>
    </row>
    <row r="1886" spans="1:2">
      <c r="A1886" s="66">
        <v>46005.56723980324</v>
      </c>
      <c r="B1886" s="49" t="s">
        <v>9247</v>
      </c>
    </row>
    <row r="1887" spans="1:2">
      <c r="A1887" s="66">
        <v>46005.567245416663</v>
      </c>
      <c r="B1887" s="49" t="s">
        <v>9078</v>
      </c>
    </row>
    <row r="1888" spans="1:2">
      <c r="A1888" s="66">
        <v>46005.567261273143</v>
      </c>
      <c r="B1888" s="49" t="s">
        <v>9752</v>
      </c>
    </row>
    <row r="1889" spans="1:2">
      <c r="A1889" s="66">
        <v>46005.567264456018</v>
      </c>
      <c r="B1889" s="49" t="s">
        <v>9191</v>
      </c>
    </row>
    <row r="1890" spans="1:2">
      <c r="A1890" s="66">
        <v>46005.567663564812</v>
      </c>
      <c r="B1890" s="49" t="s">
        <v>9751</v>
      </c>
    </row>
    <row r="1891" spans="1:2">
      <c r="A1891" s="66">
        <v>46005.567667418982</v>
      </c>
      <c r="B1891" s="49" t="s">
        <v>9247</v>
      </c>
    </row>
    <row r="1892" spans="1:2">
      <c r="A1892" s="66">
        <v>46005.567671458339</v>
      </c>
      <c r="B1892" s="49" t="s">
        <v>9078</v>
      </c>
    </row>
    <row r="1893" spans="1:2">
      <c r="A1893" s="66">
        <v>46005.567689027783</v>
      </c>
      <c r="B1893" s="49" t="s">
        <v>9752</v>
      </c>
    </row>
    <row r="1894" spans="1:2">
      <c r="A1894" s="66">
        <v>46005.567691666671</v>
      </c>
      <c r="B1894" s="49" t="s">
        <v>9191</v>
      </c>
    </row>
    <row r="1895" spans="1:2">
      <c r="A1895" s="66">
        <v>46005.570092465277</v>
      </c>
      <c r="B1895" s="49" t="s">
        <v>9753</v>
      </c>
    </row>
    <row r="1896" spans="1:2">
      <c r="A1896" s="66">
        <v>46005.570098842596</v>
      </c>
      <c r="B1896" s="49" t="s">
        <v>9247</v>
      </c>
    </row>
    <row r="1897" spans="1:2">
      <c r="A1897" s="66">
        <v>46005.570104270839</v>
      </c>
      <c r="B1897" s="49" t="s">
        <v>9078</v>
      </c>
    </row>
    <row r="1898" spans="1:2">
      <c r="A1898" s="66">
        <v>46005.570123344907</v>
      </c>
      <c r="B1898" s="49" t="s">
        <v>9752</v>
      </c>
    </row>
    <row r="1899" spans="1:2">
      <c r="A1899" s="66">
        <v>46005.570126203704</v>
      </c>
      <c r="B1899" s="49" t="s">
        <v>9191</v>
      </c>
    </row>
    <row r="1900" spans="1:2">
      <c r="A1900" s="66">
        <v>46005.598394826389</v>
      </c>
      <c r="B1900" s="49" t="s">
        <v>9754</v>
      </c>
    </row>
    <row r="1901" spans="1:2">
      <c r="A1901" s="66">
        <v>46005.598398206013</v>
      </c>
      <c r="B1901" s="49" t="s">
        <v>9460</v>
      </c>
    </row>
    <row r="1902" spans="1:2">
      <c r="A1902" s="66">
        <v>46005.598401296302</v>
      </c>
      <c r="B1902" s="49" t="s">
        <v>9078</v>
      </c>
    </row>
    <row r="1903" spans="1:2">
      <c r="A1903" s="66">
        <v>46005.598414143518</v>
      </c>
      <c r="B1903" s="49" t="s">
        <v>9755</v>
      </c>
    </row>
    <row r="1904" spans="1:2">
      <c r="A1904" s="66">
        <v>46005.59842195602</v>
      </c>
      <c r="B1904" s="49" t="s">
        <v>9191</v>
      </c>
    </row>
    <row r="1905" spans="1:2">
      <c r="A1905" s="66">
        <v>46005.598766608797</v>
      </c>
      <c r="B1905" s="49" t="s">
        <v>9754</v>
      </c>
    </row>
    <row r="1906" spans="1:2">
      <c r="A1906" s="66">
        <v>46005.598778576386</v>
      </c>
      <c r="B1906" s="49" t="s">
        <v>9460</v>
      </c>
    </row>
    <row r="1907" spans="1:2">
      <c r="A1907" s="66">
        <v>46005.598784988426</v>
      </c>
      <c r="B1907" s="49" t="s">
        <v>9078</v>
      </c>
    </row>
    <row r="1908" spans="1:2">
      <c r="A1908" s="66">
        <v>46005.598800902779</v>
      </c>
      <c r="B1908" s="49" t="s">
        <v>9755</v>
      </c>
    </row>
    <row r="1909" spans="1:2">
      <c r="A1909" s="66">
        <v>46005.598803842593</v>
      </c>
      <c r="B1909" s="49" t="s">
        <v>9191</v>
      </c>
    </row>
    <row r="1910" spans="1:2">
      <c r="A1910" s="66">
        <v>46005.614451990739</v>
      </c>
      <c r="B1910" s="49" t="s">
        <v>9756</v>
      </c>
    </row>
    <row r="1911" spans="1:2">
      <c r="A1911" s="66">
        <v>46005.614456597221</v>
      </c>
      <c r="B1911" s="49" t="s">
        <v>9112</v>
      </c>
    </row>
    <row r="1912" spans="1:2">
      <c r="A1912" s="66">
        <v>46005.614460358796</v>
      </c>
      <c r="B1912" s="49" t="s">
        <v>9078</v>
      </c>
    </row>
    <row r="1913" spans="1:2">
      <c r="A1913" s="66">
        <v>46005.614471539353</v>
      </c>
      <c r="B1913" s="49" t="s">
        <v>9468</v>
      </c>
    </row>
    <row r="1914" spans="1:2">
      <c r="A1914" s="66">
        <v>46005.61448005787</v>
      </c>
      <c r="B1914" s="49" t="s">
        <v>9191</v>
      </c>
    </row>
    <row r="1915" spans="1:2">
      <c r="A1915" s="66">
        <v>46005.614716875003</v>
      </c>
      <c r="B1915" s="49" t="s">
        <v>9757</v>
      </c>
    </row>
    <row r="1916" spans="1:2">
      <c r="A1916" s="66">
        <v>46005.614721527774</v>
      </c>
      <c r="B1916" s="49" t="s">
        <v>9272</v>
      </c>
    </row>
    <row r="1917" spans="1:2">
      <c r="A1917" s="66">
        <v>46005.614726006941</v>
      </c>
      <c r="B1917" s="49" t="s">
        <v>9078</v>
      </c>
    </row>
    <row r="1918" spans="1:2">
      <c r="A1918" s="66">
        <v>46005.61473961806</v>
      </c>
      <c r="B1918" s="49" t="s">
        <v>9758</v>
      </c>
    </row>
    <row r="1919" spans="1:2">
      <c r="A1919" s="66">
        <v>46005.614742303238</v>
      </c>
      <c r="B1919" s="49" t="s">
        <v>9191</v>
      </c>
    </row>
    <row r="1920" spans="1:2">
      <c r="A1920" s="66">
        <v>46005.614928333336</v>
      </c>
      <c r="B1920" s="49" t="s">
        <v>9759</v>
      </c>
    </row>
    <row r="1921" spans="1:2">
      <c r="A1921" s="66">
        <v>46005.614933807869</v>
      </c>
      <c r="B1921" s="49" t="s">
        <v>9760</v>
      </c>
    </row>
    <row r="1922" spans="1:2">
      <c r="A1922" s="66">
        <v>46005.614939074076</v>
      </c>
      <c r="B1922" s="49" t="s">
        <v>9078</v>
      </c>
    </row>
    <row r="1923" spans="1:2">
      <c r="A1923" s="66">
        <v>46005.614960868057</v>
      </c>
      <c r="B1923" s="49" t="s">
        <v>9761</v>
      </c>
    </row>
    <row r="1924" spans="1:2">
      <c r="A1924" s="66">
        <v>46005.614966527777</v>
      </c>
      <c r="B1924" s="49" t="s">
        <v>9191</v>
      </c>
    </row>
    <row r="1925" spans="1:2">
      <c r="A1925" s="66">
        <v>46005.615351550921</v>
      </c>
      <c r="B1925" s="49" t="s">
        <v>9762</v>
      </c>
    </row>
    <row r="1926" spans="1:2">
      <c r="A1926" s="66">
        <v>46005.615369189814</v>
      </c>
      <c r="B1926" s="49" t="s">
        <v>9073</v>
      </c>
    </row>
    <row r="1927" spans="1:2">
      <c r="A1927" s="66">
        <v>46005.615374930552</v>
      </c>
      <c r="B1927" s="49" t="s">
        <v>9074</v>
      </c>
    </row>
    <row r="1928" spans="1:2">
      <c r="A1928" s="66">
        <v>46005.615377048613</v>
      </c>
      <c r="B1928" s="49" t="s">
        <v>9191</v>
      </c>
    </row>
    <row r="1929" spans="1:2">
      <c r="A1929" s="66">
        <v>46005.623672939815</v>
      </c>
      <c r="B1929" s="49" t="s">
        <v>9763</v>
      </c>
    </row>
    <row r="1930" spans="1:2">
      <c r="A1930" s="66">
        <v>46005.623679282406</v>
      </c>
      <c r="B1930" s="49" t="s">
        <v>9764</v>
      </c>
    </row>
    <row r="1931" spans="1:2">
      <c r="A1931" s="66">
        <v>46005.623699363423</v>
      </c>
      <c r="B1931" s="49" t="s">
        <v>9078</v>
      </c>
    </row>
    <row r="1932" spans="1:2">
      <c r="A1932" s="66">
        <v>46005.623724537036</v>
      </c>
      <c r="B1932" s="49" t="s">
        <v>9765</v>
      </c>
    </row>
    <row r="1933" spans="1:2">
      <c r="A1933" s="66">
        <v>46005.623727303246</v>
      </c>
      <c r="B1933" s="49" t="s">
        <v>9191</v>
      </c>
    </row>
    <row r="1934" spans="1:2">
      <c r="A1934" s="66">
        <v>46005.623988263891</v>
      </c>
      <c r="B1934" s="49" t="s">
        <v>9766</v>
      </c>
    </row>
    <row r="1935" spans="1:2">
      <c r="A1935" s="66">
        <v>46005.623992534718</v>
      </c>
      <c r="B1935" s="49" t="s">
        <v>9318</v>
      </c>
    </row>
    <row r="1936" spans="1:2">
      <c r="A1936" s="66">
        <v>46005.623996956019</v>
      </c>
      <c r="B1936" s="49" t="s">
        <v>9078</v>
      </c>
    </row>
    <row r="1937" spans="1:2">
      <c r="A1937" s="66">
        <v>46005.624016076385</v>
      </c>
      <c r="B1937" s="49" t="s">
        <v>9767</v>
      </c>
    </row>
    <row r="1938" spans="1:2">
      <c r="A1938" s="66">
        <v>46005.624018796298</v>
      </c>
      <c r="B1938" s="49" t="s">
        <v>9191</v>
      </c>
    </row>
    <row r="1939" spans="1:2">
      <c r="A1939" s="66">
        <v>46005.631114837961</v>
      </c>
      <c r="B1939" s="49" t="s">
        <v>9768</v>
      </c>
    </row>
    <row r="1940" spans="1:2">
      <c r="A1940" s="66">
        <v>46005.631119074074</v>
      </c>
      <c r="B1940" s="49" t="s">
        <v>9769</v>
      </c>
    </row>
    <row r="1941" spans="1:2">
      <c r="A1941" s="66">
        <v>46005.631122847219</v>
      </c>
      <c r="B1941" s="49" t="s">
        <v>9078</v>
      </c>
    </row>
    <row r="1942" spans="1:2">
      <c r="A1942" s="66">
        <v>46005.631151284717</v>
      </c>
      <c r="B1942" s="49" t="s">
        <v>9770</v>
      </c>
    </row>
    <row r="1943" spans="1:2">
      <c r="A1943" s="66">
        <v>46005.631157372685</v>
      </c>
      <c r="B1943" s="49" t="s">
        <v>9771</v>
      </c>
    </row>
    <row r="1944" spans="1:2">
      <c r="A1944" s="66">
        <v>46005.631169895831</v>
      </c>
      <c r="B1944" s="49" t="s">
        <v>9191</v>
      </c>
    </row>
    <row r="1945" spans="1:2">
      <c r="A1945" s="66">
        <v>46006.22281929398</v>
      </c>
      <c r="B1945" s="49" t="s">
        <v>9772</v>
      </c>
    </row>
    <row r="1946" spans="1:2">
      <c r="A1946" s="66">
        <v>46006.222875706022</v>
      </c>
      <c r="B1946" s="49" t="s">
        <v>9073</v>
      </c>
    </row>
    <row r="1947" spans="1:2">
      <c r="A1947" s="66">
        <v>46006.222881562499</v>
      </c>
      <c r="B1947" s="49" t="s">
        <v>9074</v>
      </c>
    </row>
    <row r="1948" spans="1:2">
      <c r="A1948" s="66">
        <v>46006.222886354168</v>
      </c>
      <c r="B1948" s="49" t="s">
        <v>9191</v>
      </c>
    </row>
    <row r="1949" spans="1:2">
      <c r="A1949" s="66">
        <v>46006.223013495372</v>
      </c>
      <c r="B1949" s="49" t="s">
        <v>9773</v>
      </c>
    </row>
    <row r="1950" spans="1:2">
      <c r="A1950" s="66">
        <v>46006.223034895833</v>
      </c>
      <c r="B1950" s="49" t="s">
        <v>9073</v>
      </c>
    </row>
    <row r="1951" spans="1:2">
      <c r="A1951" s="66">
        <v>46006.223039953707</v>
      </c>
      <c r="B1951" s="49" t="s">
        <v>9074</v>
      </c>
    </row>
    <row r="1952" spans="1:2">
      <c r="A1952" s="66">
        <v>46006.223042233796</v>
      </c>
      <c r="B1952" s="49" t="s">
        <v>9191</v>
      </c>
    </row>
    <row r="1953" spans="1:2">
      <c r="A1953" s="66">
        <v>46006.223132199069</v>
      </c>
      <c r="B1953" s="49" t="s">
        <v>9774</v>
      </c>
    </row>
    <row r="1954" spans="1:2">
      <c r="A1954" s="66">
        <v>46006.223154270832</v>
      </c>
      <c r="B1954" s="49" t="s">
        <v>9073</v>
      </c>
    </row>
    <row r="1955" spans="1:2">
      <c r="A1955" s="66">
        <v>46006.223160960653</v>
      </c>
      <c r="B1955" s="49" t="s">
        <v>9074</v>
      </c>
    </row>
    <row r="1956" spans="1:2">
      <c r="A1956" s="66">
        <v>46006.223163206014</v>
      </c>
      <c r="B1956" s="49" t="s">
        <v>9191</v>
      </c>
    </row>
    <row r="1957" spans="1:2">
      <c r="A1957" s="66">
        <v>46006.289805624998</v>
      </c>
      <c r="B1957" s="49"/>
    </row>
    <row r="1958" spans="1:2">
      <c r="A1958" s="66">
        <v>46006.289876527779</v>
      </c>
      <c r="B1958" s="49"/>
    </row>
    <row r="1959" spans="1:2">
      <c r="A1959" s="66">
        <v>46006.289962141207</v>
      </c>
      <c r="B1959" s="49"/>
    </row>
    <row r="1960" spans="1:2">
      <c r="A1960" s="66">
        <v>46006.290086562498</v>
      </c>
      <c r="B1960" s="49"/>
    </row>
    <row r="1961" spans="1:2">
      <c r="A1961" s="66">
        <v>46006.300968645832</v>
      </c>
      <c r="B1961" s="49"/>
    </row>
    <row r="1962" spans="1:2">
      <c r="A1962" s="66">
        <v>46006.302787071763</v>
      </c>
      <c r="B1962" s="49" t="s">
        <v>9775</v>
      </c>
    </row>
    <row r="1963" spans="1:2">
      <c r="A1963" s="66">
        <v>46006.302808518521</v>
      </c>
      <c r="B1963" s="49" t="s">
        <v>9073</v>
      </c>
    </row>
    <row r="1964" spans="1:2">
      <c r="A1964" s="66">
        <v>46006.302813784721</v>
      </c>
      <c r="B1964" s="49" t="s">
        <v>9074</v>
      </c>
    </row>
    <row r="1965" spans="1:2">
      <c r="A1965" s="66">
        <v>46006.302815671297</v>
      </c>
      <c r="B1965" s="49" t="s">
        <v>9191</v>
      </c>
    </row>
    <row r="1966" spans="1:2">
      <c r="A1966" s="66">
        <v>46006.309494594912</v>
      </c>
      <c r="B1966" s="49"/>
    </row>
    <row r="1967" spans="1:2">
      <c r="A1967" s="66">
        <v>46006.314381736112</v>
      </c>
      <c r="B1967" s="49"/>
    </row>
    <row r="1968" spans="1:2">
      <c r="A1968" s="66">
        <v>46006.318322453706</v>
      </c>
      <c r="B1968" s="49"/>
    </row>
    <row r="1969" spans="1:2">
      <c r="A1969" s="66">
        <v>46006.325003564816</v>
      </c>
      <c r="B1969" s="49"/>
    </row>
    <row r="1970" spans="1:2">
      <c r="A1970" s="66">
        <v>46006.390667777778</v>
      </c>
      <c r="B1970" s="49"/>
    </row>
    <row r="1971" spans="1:2">
      <c r="A1971" s="66">
        <v>46006.395465266207</v>
      </c>
      <c r="B1971" s="49"/>
    </row>
    <row r="1972" spans="1:2">
      <c r="A1972" s="66">
        <v>46006.396860972221</v>
      </c>
      <c r="B1972" s="49" t="s">
        <v>9776</v>
      </c>
    </row>
    <row r="1973" spans="1:2">
      <c r="A1973" s="66">
        <v>46006.396866099538</v>
      </c>
      <c r="B1973" s="49" t="s">
        <v>9777</v>
      </c>
    </row>
    <row r="1974" spans="1:2">
      <c r="A1974" s="66">
        <v>46006.396870717595</v>
      </c>
      <c r="B1974" s="49" t="s">
        <v>9078</v>
      </c>
    </row>
    <row r="1975" spans="1:2">
      <c r="A1975" s="66">
        <v>46006.396896458333</v>
      </c>
      <c r="B1975" s="49" t="s">
        <v>9778</v>
      </c>
    </row>
    <row r="1976" spans="1:2">
      <c r="A1976" s="66">
        <v>46006.396904560184</v>
      </c>
      <c r="B1976" s="49" t="s">
        <v>9779</v>
      </c>
    </row>
    <row r="1977" spans="1:2">
      <c r="A1977" s="66">
        <v>46006.396907071758</v>
      </c>
      <c r="B1977" s="49" t="s">
        <v>9191</v>
      </c>
    </row>
    <row r="1978" spans="1:2">
      <c r="A1978" s="66">
        <v>46006.412072696759</v>
      </c>
      <c r="B1978" s="49" t="s">
        <v>9780</v>
      </c>
    </row>
    <row r="1979" spans="1:2">
      <c r="A1979" s="66">
        <v>46006.412118506945</v>
      </c>
      <c r="B1979" s="49" t="s">
        <v>9073</v>
      </c>
    </row>
    <row r="1980" spans="1:2">
      <c r="A1980" s="66">
        <v>46006.412123738424</v>
      </c>
      <c r="B1980" s="49" t="s">
        <v>9074</v>
      </c>
    </row>
    <row r="1981" spans="1:2">
      <c r="A1981" s="66">
        <v>46006.412125763891</v>
      </c>
      <c r="B1981" s="49" t="s">
        <v>9191</v>
      </c>
    </row>
    <row r="1982" spans="1:2">
      <c r="A1982" s="66">
        <v>46006.558487442133</v>
      </c>
      <c r="B1982" s="49" t="s">
        <v>9781</v>
      </c>
    </row>
    <row r="1983" spans="1:2">
      <c r="A1983" s="66">
        <v>46006.558491759264</v>
      </c>
      <c r="B1983" s="49" t="s">
        <v>9288</v>
      </c>
    </row>
    <row r="1984" spans="1:2">
      <c r="A1984" s="66">
        <v>46006.558496203703</v>
      </c>
      <c r="B1984" s="49" t="s">
        <v>9078</v>
      </c>
    </row>
    <row r="1985" spans="1:2">
      <c r="A1985" s="66">
        <v>46006.558529988426</v>
      </c>
      <c r="B1985" s="49" t="s">
        <v>9408</v>
      </c>
    </row>
    <row r="1986" spans="1:2">
      <c r="A1986" s="66">
        <v>46006.558532314812</v>
      </c>
      <c r="B1986" s="49" t="s">
        <v>9191</v>
      </c>
    </row>
    <row r="1987" spans="1:2">
      <c r="A1987" s="66">
        <v>46007.266952719903</v>
      </c>
      <c r="B1987" s="49" t="s">
        <v>9782</v>
      </c>
    </row>
    <row r="1988" spans="1:2">
      <c r="A1988" s="66">
        <v>46007.266981145833</v>
      </c>
      <c r="B1988" s="49" t="s">
        <v>9310</v>
      </c>
    </row>
    <row r="1989" spans="1:2">
      <c r="A1989" s="66">
        <v>46007.26698641204</v>
      </c>
      <c r="B1989" s="49" t="s">
        <v>9074</v>
      </c>
    </row>
    <row r="1990" spans="1:2">
      <c r="A1990" s="66">
        <v>46007.26698940972</v>
      </c>
      <c r="B1990" s="49" t="s">
        <v>9191</v>
      </c>
    </row>
    <row r="1991" spans="1:2">
      <c r="A1991" s="66">
        <v>46007.352677442133</v>
      </c>
      <c r="B1991" s="49"/>
    </row>
    <row r="1992" spans="1:2">
      <c r="A1992" s="66">
        <v>46007.427825046296</v>
      </c>
      <c r="B1992" s="49" t="s">
        <v>9783</v>
      </c>
    </row>
    <row r="1993" spans="1:2">
      <c r="A1993" s="66">
        <v>46007.42783375</v>
      </c>
      <c r="B1993" s="49" t="s">
        <v>9784</v>
      </c>
    </row>
    <row r="1994" spans="1:2">
      <c r="A1994" s="66">
        <v>46007.427849386571</v>
      </c>
      <c r="B1994" s="49" t="s">
        <v>9078</v>
      </c>
    </row>
    <row r="1995" spans="1:2">
      <c r="A1995" s="66">
        <v>46007.427873414352</v>
      </c>
      <c r="B1995" s="49" t="s">
        <v>9785</v>
      </c>
    </row>
    <row r="1996" spans="1:2">
      <c r="A1996" s="66">
        <v>46007.427877152775</v>
      </c>
      <c r="B1996" s="49" t="s">
        <v>9191</v>
      </c>
    </row>
    <row r="1997" spans="1:2">
      <c r="A1997" s="66">
        <v>46007.433950081017</v>
      </c>
      <c r="B1997" s="49" t="s">
        <v>9786</v>
      </c>
    </row>
    <row r="1998" spans="1:2">
      <c r="A1998" s="66">
        <v>46007.433977164357</v>
      </c>
      <c r="B1998" s="49" t="s">
        <v>9073</v>
      </c>
    </row>
    <row r="1999" spans="1:2">
      <c r="A1999" s="66">
        <v>46007.433982222225</v>
      </c>
      <c r="B1999" s="49" t="s">
        <v>9074</v>
      </c>
    </row>
    <row r="2000" spans="1:2">
      <c r="A2000" s="66">
        <v>46007.433986342592</v>
      </c>
      <c r="B2000" s="49" t="s">
        <v>9191</v>
      </c>
    </row>
    <row r="2001" spans="1:2">
      <c r="A2001" s="66">
        <v>46007.501946886579</v>
      </c>
      <c r="B2001" s="49" t="s">
        <v>9787</v>
      </c>
    </row>
    <row r="2002" spans="1:2">
      <c r="A2002" s="66">
        <v>46007.50196893519</v>
      </c>
      <c r="B2002" s="49" t="s">
        <v>9788</v>
      </c>
    </row>
    <row r="2003" spans="1:2">
      <c r="A2003" s="66">
        <v>46007.501973796301</v>
      </c>
      <c r="B2003" s="49" t="s">
        <v>9078</v>
      </c>
    </row>
    <row r="2004" spans="1:2">
      <c r="A2004" s="66">
        <v>46007.502003449074</v>
      </c>
      <c r="B2004" s="49" t="s">
        <v>9789</v>
      </c>
    </row>
    <row r="2005" spans="1:2">
      <c r="A2005" s="66">
        <v>46007.502010312499</v>
      </c>
      <c r="B2005" s="49" t="s">
        <v>9790</v>
      </c>
    </row>
    <row r="2006" spans="1:2">
      <c r="A2006" s="66">
        <v>46007.502012534722</v>
      </c>
      <c r="B2006" s="49" t="s">
        <v>9191</v>
      </c>
    </row>
    <row r="2007" spans="1:2">
      <c r="A2007" s="66">
        <v>46007.582450821763</v>
      </c>
      <c r="B2007" s="49" t="s">
        <v>9791</v>
      </c>
    </row>
    <row r="2008" spans="1:2">
      <c r="A2008" s="66">
        <v>46007.582464548614</v>
      </c>
      <c r="B2008" s="49" t="s">
        <v>9344</v>
      </c>
    </row>
    <row r="2009" spans="1:2">
      <c r="A2009" s="66">
        <v>46007.582480775462</v>
      </c>
      <c r="B2009" s="49" t="s">
        <v>9078</v>
      </c>
    </row>
    <row r="2010" spans="1:2">
      <c r="A2010" s="66">
        <v>46007.582500555553</v>
      </c>
      <c r="B2010" s="49" t="s">
        <v>9792</v>
      </c>
    </row>
    <row r="2011" spans="1:2">
      <c r="A2011" s="66">
        <v>46007.582504097227</v>
      </c>
      <c r="B2011" s="49" t="s">
        <v>9191</v>
      </c>
    </row>
    <row r="2012" spans="1:2">
      <c r="A2012" s="66">
        <v>46007.809324062502</v>
      </c>
      <c r="B2012" s="49" t="s">
        <v>9793</v>
      </c>
    </row>
    <row r="2013" spans="1:2">
      <c r="A2013" s="66">
        <v>46007.809332407407</v>
      </c>
      <c r="B2013" s="49" t="s">
        <v>9291</v>
      </c>
    </row>
    <row r="2014" spans="1:2">
      <c r="A2014" s="66">
        <v>46007.809338854167</v>
      </c>
      <c r="B2014" s="49" t="s">
        <v>9078</v>
      </c>
    </row>
    <row r="2015" spans="1:2">
      <c r="A2015" s="66">
        <v>46007.809373773147</v>
      </c>
      <c r="B2015" s="49" t="s">
        <v>9531</v>
      </c>
    </row>
    <row r="2016" spans="1:2">
      <c r="A2016" s="66">
        <v>46007.809377407408</v>
      </c>
      <c r="B2016" s="49" t="s">
        <v>9191</v>
      </c>
    </row>
    <row r="2017" spans="1:2">
      <c r="A2017" s="66">
        <v>46007.830233854169</v>
      </c>
      <c r="B2017" s="49" t="s">
        <v>9794</v>
      </c>
    </row>
    <row r="2018" spans="1:2">
      <c r="A2018" s="66">
        <v>46007.830239432871</v>
      </c>
      <c r="B2018" s="49" t="s">
        <v>9795</v>
      </c>
    </row>
    <row r="2019" spans="1:2">
      <c r="A2019" s="66">
        <v>46007.830257766203</v>
      </c>
      <c r="B2019" s="49" t="s">
        <v>9078</v>
      </c>
    </row>
    <row r="2020" spans="1:2">
      <c r="A2020" s="66">
        <v>46007.830288969912</v>
      </c>
      <c r="B2020" s="49" t="s">
        <v>9796</v>
      </c>
    </row>
    <row r="2021" spans="1:2">
      <c r="A2021" s="66">
        <v>46007.830295810185</v>
      </c>
      <c r="B2021" s="49" t="s">
        <v>9797</v>
      </c>
    </row>
    <row r="2022" spans="1:2">
      <c r="A2022" s="66">
        <v>46007.830298113426</v>
      </c>
      <c r="B2022" s="49" t="s">
        <v>9191</v>
      </c>
    </row>
    <row r="2023" spans="1:2">
      <c r="A2023" s="66">
        <v>46008.22597240741</v>
      </c>
      <c r="B2023" s="49" t="s">
        <v>9798</v>
      </c>
    </row>
    <row r="2024" spans="1:2">
      <c r="A2024" s="66">
        <v>46008.225977291666</v>
      </c>
      <c r="B2024" s="49" t="s">
        <v>9393</v>
      </c>
    </row>
    <row r="2025" spans="1:2">
      <c r="A2025" s="66">
        <v>46008.225981516203</v>
      </c>
      <c r="B2025" s="49" t="s">
        <v>9078</v>
      </c>
    </row>
    <row r="2026" spans="1:2">
      <c r="A2026" s="66">
        <v>46008.225997800924</v>
      </c>
      <c r="B2026" s="49" t="s">
        <v>9394</v>
      </c>
    </row>
    <row r="2027" spans="1:2">
      <c r="A2027" s="66">
        <v>46008.226002418982</v>
      </c>
      <c r="B2027" s="49" t="s">
        <v>9191</v>
      </c>
    </row>
    <row r="2028" spans="1:2">
      <c r="A2028" s="66">
        <v>46008.226850520834</v>
      </c>
      <c r="B2028" s="49" t="s">
        <v>9799</v>
      </c>
    </row>
    <row r="2029" spans="1:2">
      <c r="A2029" s="66">
        <v>46008.226874675922</v>
      </c>
      <c r="B2029" s="49" t="s">
        <v>9073</v>
      </c>
    </row>
    <row r="2030" spans="1:2">
      <c r="A2030" s="66">
        <v>46008.226879837966</v>
      </c>
      <c r="B2030" s="49" t="s">
        <v>9074</v>
      </c>
    </row>
    <row r="2031" spans="1:2">
      <c r="A2031" s="66">
        <v>46008.226883877316</v>
      </c>
      <c r="B2031" s="49" t="s">
        <v>9191</v>
      </c>
    </row>
    <row r="2032" spans="1:2">
      <c r="A2032" s="66">
        <v>46008.301646793981</v>
      </c>
      <c r="B2032" s="49" t="s">
        <v>9800</v>
      </c>
    </row>
    <row r="2033" spans="1:2">
      <c r="A2033" s="66">
        <v>46008.301653425922</v>
      </c>
      <c r="B2033" s="49" t="s">
        <v>9801</v>
      </c>
    </row>
    <row r="2034" spans="1:2">
      <c r="A2034" s="66">
        <v>46008.301658240744</v>
      </c>
      <c r="B2034" s="49" t="s">
        <v>9078</v>
      </c>
    </row>
    <row r="2035" spans="1:2">
      <c r="A2035" s="66">
        <v>46008.30170650463</v>
      </c>
      <c r="B2035" s="49" t="s">
        <v>9802</v>
      </c>
    </row>
    <row r="2036" spans="1:2">
      <c r="A2036" s="66">
        <v>46008.301713125002</v>
      </c>
      <c r="B2036" s="49" t="s">
        <v>9803</v>
      </c>
    </row>
    <row r="2037" spans="1:2">
      <c r="A2037" s="66">
        <v>46008.301715590278</v>
      </c>
      <c r="B2037" s="49" t="s">
        <v>9191</v>
      </c>
    </row>
    <row r="2038" spans="1:2">
      <c r="A2038" s="66">
        <v>46008.30190309028</v>
      </c>
      <c r="B2038" s="49" t="s">
        <v>9798</v>
      </c>
    </row>
    <row r="2039" spans="1:2">
      <c r="A2039" s="66">
        <v>46008.301908599533</v>
      </c>
      <c r="B2039" s="49" t="s">
        <v>9393</v>
      </c>
    </row>
    <row r="2040" spans="1:2">
      <c r="A2040" s="66">
        <v>46008.301912997689</v>
      </c>
      <c r="B2040" s="49" t="s">
        <v>9078</v>
      </c>
    </row>
    <row r="2041" spans="1:2">
      <c r="A2041" s="66">
        <v>46008.301927523149</v>
      </c>
      <c r="B2041" s="49" t="s">
        <v>9394</v>
      </c>
    </row>
    <row r="2042" spans="1:2">
      <c r="A2042" s="66">
        <v>46008.301930706017</v>
      </c>
      <c r="B2042" s="49" t="s">
        <v>9191</v>
      </c>
    </row>
    <row r="2043" spans="1:2">
      <c r="A2043" s="66">
        <v>46008.30238587963</v>
      </c>
      <c r="B2043" s="49" t="s">
        <v>9804</v>
      </c>
    </row>
    <row r="2044" spans="1:2">
      <c r="A2044" s="66">
        <v>46008.302389918987</v>
      </c>
      <c r="B2044" s="49" t="s">
        <v>9805</v>
      </c>
    </row>
    <row r="2045" spans="1:2">
      <c r="A2045" s="66">
        <v>46008.302393564816</v>
      </c>
      <c r="B2045" s="49" t="s">
        <v>9078</v>
      </c>
    </row>
    <row r="2046" spans="1:2">
      <c r="A2046" s="66">
        <v>46008.302417083338</v>
      </c>
      <c r="B2046" s="49" t="s">
        <v>9806</v>
      </c>
    </row>
    <row r="2047" spans="1:2">
      <c r="A2047" s="66">
        <v>46008.302422800931</v>
      </c>
      <c r="B2047" s="49" t="s">
        <v>9807</v>
      </c>
    </row>
    <row r="2048" spans="1:2">
      <c r="A2048" s="66">
        <v>46008.30242472222</v>
      </c>
      <c r="B2048" s="49" t="s">
        <v>9191</v>
      </c>
    </row>
    <row r="2049" spans="1:2">
      <c r="A2049" s="66">
        <v>46008.318107094907</v>
      </c>
      <c r="B2049" s="49" t="s">
        <v>9808</v>
      </c>
    </row>
    <row r="2050" spans="1:2">
      <c r="A2050" s="66">
        <v>46008.31811630787</v>
      </c>
      <c r="B2050" s="49" t="s">
        <v>9809</v>
      </c>
    </row>
    <row r="2051" spans="1:2">
      <c r="A2051" s="66">
        <v>46008.318120439813</v>
      </c>
      <c r="B2051" s="49" t="s">
        <v>9078</v>
      </c>
    </row>
    <row r="2052" spans="1:2">
      <c r="A2052" s="66">
        <v>46008.318147847225</v>
      </c>
      <c r="B2052" s="49" t="s">
        <v>9810</v>
      </c>
    </row>
    <row r="2053" spans="1:2">
      <c r="A2053" s="66">
        <v>46008.318153819448</v>
      </c>
      <c r="B2053" s="49" t="s">
        <v>9811</v>
      </c>
    </row>
    <row r="2054" spans="1:2">
      <c r="A2054" s="66">
        <v>46008.318167696758</v>
      </c>
      <c r="B2054" s="49" t="s">
        <v>9191</v>
      </c>
    </row>
    <row r="2055" spans="1:2">
      <c r="A2055" s="66">
        <v>46008.318865208334</v>
      </c>
      <c r="B2055" s="49" t="s">
        <v>9812</v>
      </c>
    </row>
    <row r="2056" spans="1:2">
      <c r="A2056" s="66">
        <v>46008.318871655094</v>
      </c>
      <c r="B2056" s="49" t="s">
        <v>9813</v>
      </c>
    </row>
    <row r="2057" spans="1:2">
      <c r="A2057" s="66">
        <v>46008.318878159727</v>
      </c>
      <c r="B2057" s="49" t="s">
        <v>9078</v>
      </c>
    </row>
    <row r="2058" spans="1:2">
      <c r="A2058" s="66">
        <v>46008.318900891201</v>
      </c>
      <c r="B2058" s="49" t="s">
        <v>9814</v>
      </c>
    </row>
    <row r="2059" spans="1:2">
      <c r="A2059" s="66">
        <v>46008.318909039357</v>
      </c>
      <c r="B2059" s="49" t="s">
        <v>9191</v>
      </c>
    </row>
    <row r="2060" spans="1:2">
      <c r="A2060" s="66">
        <v>46008.322859907406</v>
      </c>
      <c r="B2060" s="49"/>
    </row>
    <row r="2061" spans="1:2">
      <c r="A2061" s="66">
        <v>46008.324501435185</v>
      </c>
      <c r="B2061" s="49"/>
    </row>
    <row r="2062" spans="1:2">
      <c r="A2062" s="66">
        <v>46008.324543252311</v>
      </c>
      <c r="B2062" s="49"/>
    </row>
    <row r="2063" spans="1:2">
      <c r="A2063" s="66">
        <v>46008.377687731481</v>
      </c>
      <c r="B2063" s="49"/>
    </row>
    <row r="2064" spans="1:2">
      <c r="A2064" s="66">
        <v>46008.37783542824</v>
      </c>
      <c r="B2064" s="49"/>
    </row>
    <row r="2065" spans="1:2">
      <c r="A2065" s="66">
        <v>46008.386174791667</v>
      </c>
      <c r="B2065" s="49"/>
    </row>
    <row r="2066" spans="1:2">
      <c r="A2066" s="66">
        <v>46008.395925266203</v>
      </c>
      <c r="B2066" s="49"/>
    </row>
    <row r="2067" spans="1:2">
      <c r="A2067" s="66">
        <v>46009.269525451389</v>
      </c>
      <c r="B2067" s="49" t="s">
        <v>9815</v>
      </c>
    </row>
    <row r="2068" spans="1:2">
      <c r="A2068" s="66">
        <v>46009.269573564816</v>
      </c>
      <c r="B2068" s="49" t="s">
        <v>9073</v>
      </c>
    </row>
    <row r="2069" spans="1:2">
      <c r="A2069" s="66">
        <v>46009.269578738429</v>
      </c>
      <c r="B2069" s="49" t="s">
        <v>9074</v>
      </c>
    </row>
    <row r="2070" spans="1:2">
      <c r="A2070" s="66">
        <v>46009.269581377317</v>
      </c>
      <c r="B2070" s="49" t="s">
        <v>9191</v>
      </c>
    </row>
    <row r="2071" spans="1:2">
      <c r="A2071" s="66">
        <v>46009.27972958333</v>
      </c>
      <c r="B2071" s="49" t="s">
        <v>9816</v>
      </c>
    </row>
    <row r="2072" spans="1:2">
      <c r="A2072" s="66">
        <v>46009.279734687501</v>
      </c>
      <c r="B2072" s="49" t="s">
        <v>9638</v>
      </c>
    </row>
    <row r="2073" spans="1:2">
      <c r="A2073" s="66">
        <v>46009.279739143516</v>
      </c>
      <c r="B2073" s="49" t="s">
        <v>9078</v>
      </c>
    </row>
    <row r="2074" spans="1:2">
      <c r="A2074" s="66">
        <v>46009.279759502315</v>
      </c>
      <c r="B2074" s="49" t="s">
        <v>9817</v>
      </c>
    </row>
    <row r="2075" spans="1:2">
      <c r="A2075" s="66">
        <v>46009.279761909725</v>
      </c>
      <c r="B2075" s="49" t="s">
        <v>9191</v>
      </c>
    </row>
    <row r="2076" spans="1:2">
      <c r="A2076" s="66">
        <v>46009.28008921296</v>
      </c>
      <c r="B2076" s="49" t="s">
        <v>9818</v>
      </c>
    </row>
    <row r="2077" spans="1:2">
      <c r="A2077" s="66">
        <v>46009.280116979164</v>
      </c>
      <c r="B2077" s="49" t="s">
        <v>9073</v>
      </c>
    </row>
    <row r="2078" spans="1:2">
      <c r="A2078" s="66">
        <v>46009.280121898148</v>
      </c>
      <c r="B2078" s="49" t="s">
        <v>9074</v>
      </c>
    </row>
    <row r="2079" spans="1:2">
      <c r="A2079" s="66">
        <v>46009.280124513883</v>
      </c>
      <c r="B2079" s="49" t="s">
        <v>9191</v>
      </c>
    </row>
    <row r="2080" spans="1:2">
      <c r="A2080" s="66">
        <v>46009.282580868057</v>
      </c>
      <c r="B2080" s="49" t="s">
        <v>9819</v>
      </c>
    </row>
    <row r="2081" spans="1:2">
      <c r="A2081" s="66">
        <v>46009.282622430561</v>
      </c>
      <c r="B2081" s="49" t="s">
        <v>9073</v>
      </c>
    </row>
    <row r="2082" spans="1:2">
      <c r="A2082" s="66">
        <v>46009.282628414352</v>
      </c>
      <c r="B2082" s="49" t="s">
        <v>9074</v>
      </c>
    </row>
    <row r="2083" spans="1:2">
      <c r="A2083" s="66">
        <v>46009.28263134259</v>
      </c>
      <c r="B2083" s="49" t="s">
        <v>9191</v>
      </c>
    </row>
    <row r="2084" spans="1:2">
      <c r="A2084" s="66">
        <v>46009.284192453706</v>
      </c>
      <c r="B2084" s="49" t="s">
        <v>9820</v>
      </c>
    </row>
    <row r="2085" spans="1:2">
      <c r="A2085" s="66">
        <v>46009.284211805556</v>
      </c>
      <c r="B2085" s="49" t="s">
        <v>9073</v>
      </c>
    </row>
    <row r="2086" spans="1:2">
      <c r="A2086" s="66">
        <v>46009.284216423606</v>
      </c>
      <c r="B2086" s="49" t="s">
        <v>9074</v>
      </c>
    </row>
    <row r="2087" spans="1:2">
      <c r="A2087" s="66">
        <v>46009.284218368055</v>
      </c>
      <c r="B2087" s="49" t="s">
        <v>9191</v>
      </c>
    </row>
    <row r="2088" spans="1:2">
      <c r="A2088" s="66">
        <v>46009.326314768521</v>
      </c>
      <c r="B2088" s="49"/>
    </row>
    <row r="2089" spans="1:2">
      <c r="A2089" s="66">
        <v>46009.357329756946</v>
      </c>
      <c r="B2089" s="49"/>
    </row>
    <row r="2090" spans="1:2">
      <c r="A2090" s="66">
        <v>46009.357323958335</v>
      </c>
      <c r="B2090" s="49"/>
    </row>
    <row r="2091" spans="1:2">
      <c r="A2091" s="66">
        <v>46009.366208055551</v>
      </c>
      <c r="B2091" s="49"/>
    </row>
    <row r="2092" spans="1:2">
      <c r="A2092" s="66">
        <v>46009.373253171296</v>
      </c>
      <c r="B2092" s="49"/>
    </row>
    <row r="2093" spans="1:2">
      <c r="A2093" s="66">
        <v>46010.285305474536</v>
      </c>
      <c r="B2093" s="49" t="s">
        <v>9821</v>
      </c>
    </row>
    <row r="2094" spans="1:2">
      <c r="A2094" s="66">
        <v>46010.285316076392</v>
      </c>
      <c r="B2094" s="49" t="s">
        <v>9822</v>
      </c>
    </row>
    <row r="2095" spans="1:2">
      <c r="A2095" s="66">
        <v>46010.285321331015</v>
      </c>
      <c r="B2095" s="49" t="s">
        <v>9078</v>
      </c>
    </row>
    <row r="2096" spans="1:2">
      <c r="A2096" s="66">
        <v>46010.285350104168</v>
      </c>
      <c r="B2096" s="49" t="s">
        <v>9823</v>
      </c>
    </row>
    <row r="2097" spans="1:2">
      <c r="A2097" s="66">
        <v>46010.285356076391</v>
      </c>
      <c r="B2097" s="49" t="s">
        <v>9824</v>
      </c>
    </row>
    <row r="2098" spans="1:2">
      <c r="A2098" s="66">
        <v>46010.285358611116</v>
      </c>
      <c r="B2098" s="49" t="s">
        <v>9191</v>
      </c>
    </row>
    <row r="2099" spans="1:2">
      <c r="A2099" s="66">
        <v>46010.337567349532</v>
      </c>
      <c r="B2099" s="49"/>
    </row>
    <row r="2100" spans="1:2">
      <c r="A2100" s="66">
        <v>46010.343401909719</v>
      </c>
      <c r="B2100" s="49" t="s">
        <v>9825</v>
      </c>
    </row>
    <row r="2101" spans="1:2">
      <c r="A2101" s="66">
        <v>46010.343447499996</v>
      </c>
      <c r="B2101" s="49" t="s">
        <v>9310</v>
      </c>
    </row>
    <row r="2102" spans="1:2">
      <c r="A2102" s="66">
        <v>46010.343467430561</v>
      </c>
      <c r="B2102" s="49" t="s">
        <v>9074</v>
      </c>
    </row>
    <row r="2103" spans="1:2">
      <c r="A2103" s="66">
        <v>46010.34347954861</v>
      </c>
      <c r="B2103" s="49" t="s">
        <v>9191</v>
      </c>
    </row>
    <row r="2104" spans="1:2">
      <c r="A2104" s="66">
        <v>46010.561963842592</v>
      </c>
      <c r="B2104" s="49" t="s">
        <v>9826</v>
      </c>
    </row>
    <row r="2105" spans="1:2">
      <c r="A2105" s="66">
        <v>46010.561968263894</v>
      </c>
      <c r="B2105" s="49" t="s">
        <v>9547</v>
      </c>
    </row>
    <row r="2106" spans="1:2">
      <c r="A2106" s="66">
        <v>46010.561975138888</v>
      </c>
      <c r="B2106" s="49" t="s">
        <v>9078</v>
      </c>
    </row>
    <row r="2107" spans="1:2">
      <c r="A2107" s="66">
        <v>46010.561999710648</v>
      </c>
      <c r="B2107" s="49" t="s">
        <v>9827</v>
      </c>
    </row>
    <row r="2108" spans="1:2">
      <c r="A2108" s="66">
        <v>46010.562002430554</v>
      </c>
      <c r="B2108" s="49" t="s">
        <v>9191</v>
      </c>
    </row>
    <row r="2109" spans="1:2">
      <c r="A2109" s="66">
        <v>46010.56247300926</v>
      </c>
      <c r="B2109" s="49" t="s">
        <v>9828</v>
      </c>
    </row>
    <row r="2110" spans="1:2">
      <c r="A2110" s="66">
        <v>46010.562476423613</v>
      </c>
      <c r="B2110" s="49" t="s">
        <v>9829</v>
      </c>
    </row>
    <row r="2111" spans="1:2">
      <c r="A2111" s="66">
        <v>46010.562489421296</v>
      </c>
      <c r="B2111" s="49" t="s">
        <v>9078</v>
      </c>
    </row>
    <row r="2112" spans="1:2">
      <c r="A2112" s="66">
        <v>46010.562525752313</v>
      </c>
      <c r="B2112" s="49" t="s">
        <v>9830</v>
      </c>
    </row>
    <row r="2113" spans="1:2">
      <c r="A2113" s="66">
        <v>46010.562531863427</v>
      </c>
      <c r="B2113" s="49" t="s">
        <v>9831</v>
      </c>
    </row>
    <row r="2114" spans="1:2">
      <c r="A2114" s="66">
        <v>46010.562533958335</v>
      </c>
      <c r="B2114" s="49" t="s">
        <v>9191</v>
      </c>
    </row>
    <row r="2115" spans="1:2">
      <c r="A2115" s="66">
        <v>46010.56476335648</v>
      </c>
      <c r="B2115" s="49"/>
    </row>
    <row r="2116" spans="1:2">
      <c r="A2116" s="66">
        <v>46010.724145081018</v>
      </c>
      <c r="B2116" s="49" t="s">
        <v>9832</v>
      </c>
    </row>
    <row r="2117" spans="1:2">
      <c r="A2117" s="66">
        <v>46010.724152048613</v>
      </c>
      <c r="B2117" s="49" t="s">
        <v>9833</v>
      </c>
    </row>
    <row r="2118" spans="1:2">
      <c r="A2118" s="66">
        <v>46010.724171238428</v>
      </c>
      <c r="B2118" s="49" t="s">
        <v>9078</v>
      </c>
    </row>
    <row r="2119" spans="1:2">
      <c r="A2119" s="66">
        <v>46010.724193171292</v>
      </c>
      <c r="B2119" s="49" t="s">
        <v>9834</v>
      </c>
    </row>
    <row r="2120" spans="1:2">
      <c r="A2120" s="66">
        <v>46010.724196469906</v>
      </c>
      <c r="B2120" s="49" t="s">
        <v>9191</v>
      </c>
    </row>
    <row r="2121" spans="1:2">
      <c r="A2121" s="66">
        <v>46010.869282384258</v>
      </c>
      <c r="B2121" s="49" t="s">
        <v>9835</v>
      </c>
    </row>
    <row r="2122" spans="1:2">
      <c r="A2122" s="66">
        <v>46010.869288101851</v>
      </c>
      <c r="B2122" s="49" t="s">
        <v>9624</v>
      </c>
    </row>
    <row r="2123" spans="1:2">
      <c r="A2123" s="66">
        <v>46010.869292256946</v>
      </c>
      <c r="B2123" s="49" t="s">
        <v>9078</v>
      </c>
    </row>
    <row r="2124" spans="1:2">
      <c r="A2124" s="66">
        <v>46010.869312083334</v>
      </c>
      <c r="B2124" s="49" t="s">
        <v>9836</v>
      </c>
    </row>
    <row r="2125" spans="1:2">
      <c r="A2125" s="66">
        <v>46010.869314687501</v>
      </c>
      <c r="B2125" s="49" t="s">
        <v>9191</v>
      </c>
    </row>
    <row r="2126" spans="1:2">
      <c r="A2126" s="66">
        <v>46011.297473425926</v>
      </c>
      <c r="B2126" s="49" t="s">
        <v>9837</v>
      </c>
    </row>
    <row r="2127" spans="1:2">
      <c r="A2127" s="66">
        <v>46011.297493726852</v>
      </c>
      <c r="B2127" s="49" t="s">
        <v>9310</v>
      </c>
    </row>
    <row r="2128" spans="1:2">
      <c r="A2128" s="66">
        <v>46011.297502256944</v>
      </c>
      <c r="B2128" s="49" t="s">
        <v>9074</v>
      </c>
    </row>
    <row r="2129" spans="1:2">
      <c r="A2129" s="66">
        <v>46011.297504618051</v>
      </c>
      <c r="B2129" s="49" t="s">
        <v>9191</v>
      </c>
    </row>
    <row r="2130" spans="1:2">
      <c r="A2130" s="66">
        <v>46011.318669305554</v>
      </c>
      <c r="B2130" s="49"/>
    </row>
    <row r="2131" spans="1:2">
      <c r="A2131" s="66">
        <v>46011.348991238425</v>
      </c>
      <c r="B2131" s="49"/>
    </row>
    <row r="2132" spans="1:2">
      <c r="A2132" s="66">
        <v>46011.359094537038</v>
      </c>
      <c r="B2132" s="49" t="s">
        <v>9838</v>
      </c>
    </row>
    <row r="2133" spans="1:2">
      <c r="A2133" s="66">
        <v>46011.359101689814</v>
      </c>
      <c r="B2133" s="49" t="s">
        <v>9482</v>
      </c>
    </row>
    <row r="2134" spans="1:2">
      <c r="A2134" s="66">
        <v>46011.359121354166</v>
      </c>
      <c r="B2134" s="49" t="s">
        <v>9078</v>
      </c>
    </row>
    <row r="2135" spans="1:2">
      <c r="A2135" s="66">
        <v>46011.359136631945</v>
      </c>
      <c r="B2135" s="49" t="s">
        <v>9537</v>
      </c>
    </row>
    <row r="2136" spans="1:2">
      <c r="A2136" s="66">
        <v>46011.359139791668</v>
      </c>
      <c r="B2136" s="49" t="s">
        <v>9191</v>
      </c>
    </row>
    <row r="2137" spans="1:2">
      <c r="A2137" s="66">
        <v>46011.35916359954</v>
      </c>
      <c r="B2137" s="49" t="s">
        <v>9839</v>
      </c>
    </row>
    <row r="2138" spans="1:2">
      <c r="A2138" s="66">
        <v>46011.359200347222</v>
      </c>
      <c r="B2138" s="49" t="s">
        <v>9310</v>
      </c>
    </row>
    <row r="2139" spans="1:2">
      <c r="A2139" s="66">
        <v>46011.359205150467</v>
      </c>
      <c r="B2139" s="49" t="s">
        <v>9074</v>
      </c>
    </row>
    <row r="2140" spans="1:2">
      <c r="A2140" s="66">
        <v>46011.359207060188</v>
      </c>
      <c r="B2140" s="49" t="s">
        <v>9191</v>
      </c>
    </row>
    <row r="2141" spans="1:2">
      <c r="A2141" s="66">
        <v>46012.314994710643</v>
      </c>
      <c r="B2141" s="49" t="s">
        <v>9840</v>
      </c>
    </row>
    <row r="2142" spans="1:2">
      <c r="A2142" s="66">
        <v>46012.31503331018</v>
      </c>
      <c r="B2142" s="49" t="s">
        <v>9073</v>
      </c>
    </row>
    <row r="2143" spans="1:2">
      <c r="A2143" s="66">
        <v>46012.315040555557</v>
      </c>
      <c r="B2143" s="49" t="s">
        <v>9074</v>
      </c>
    </row>
    <row r="2144" spans="1:2">
      <c r="A2144" s="66">
        <v>46012.315044479168</v>
      </c>
      <c r="B2144" s="49" t="s">
        <v>9191</v>
      </c>
    </row>
    <row r="2145" spans="1:2">
      <c r="A2145" s="66">
        <v>46012.829831655094</v>
      </c>
      <c r="B2145" s="49" t="s">
        <v>9841</v>
      </c>
    </row>
    <row r="2146" spans="1:2">
      <c r="A2146" s="66">
        <v>46012.829843495376</v>
      </c>
      <c r="B2146" s="49" t="s">
        <v>9842</v>
      </c>
    </row>
    <row r="2147" spans="1:2">
      <c r="A2147" s="66">
        <v>46012.829861782404</v>
      </c>
      <c r="B2147" s="49" t="s">
        <v>9078</v>
      </c>
    </row>
    <row r="2148" spans="1:2">
      <c r="A2148" s="66">
        <v>46012.829895254632</v>
      </c>
      <c r="B2148" s="49" t="s">
        <v>9843</v>
      </c>
    </row>
    <row r="2149" spans="1:2">
      <c r="A2149" s="66">
        <v>46012.829902199075</v>
      </c>
      <c r="B2149" s="49" t="s">
        <v>9844</v>
      </c>
    </row>
    <row r="2150" spans="1:2">
      <c r="A2150" s="66">
        <v>46012.829904641199</v>
      </c>
      <c r="B2150" s="49" t="s">
        <v>9191</v>
      </c>
    </row>
    <row r="2151" spans="1:2">
      <c r="A2151" s="66">
        <v>46012.832680057865</v>
      </c>
      <c r="B2151" s="49"/>
    </row>
    <row r="2152" spans="1:2">
      <c r="A2152" s="66">
        <v>46012.83676799768</v>
      </c>
      <c r="B2152" s="49" t="s">
        <v>9845</v>
      </c>
    </row>
    <row r="2153" spans="1:2">
      <c r="A2153" s="66">
        <v>46012.836773831019</v>
      </c>
      <c r="B2153" s="49" t="s">
        <v>9846</v>
      </c>
    </row>
    <row r="2154" spans="1:2">
      <c r="A2154" s="66">
        <v>46012.836778946759</v>
      </c>
      <c r="B2154" s="49" t="s">
        <v>9078</v>
      </c>
    </row>
    <row r="2155" spans="1:2">
      <c r="A2155" s="66">
        <v>46012.83682596065</v>
      </c>
      <c r="B2155" s="49" t="s">
        <v>9847</v>
      </c>
    </row>
    <row r="2156" spans="1:2">
      <c r="A2156" s="66">
        <v>46012.83683299768</v>
      </c>
      <c r="B2156" s="49" t="s">
        <v>9848</v>
      </c>
    </row>
    <row r="2157" spans="1:2">
      <c r="A2157" s="66">
        <v>46012.836835902781</v>
      </c>
      <c r="B2157" s="49" t="s">
        <v>9191</v>
      </c>
    </row>
    <row r="2158" spans="1:2">
      <c r="A2158" s="66">
        <v>46013.209068217591</v>
      </c>
      <c r="B2158" s="49" t="s">
        <v>9849</v>
      </c>
    </row>
    <row r="2159" spans="1:2">
      <c r="A2159" s="66">
        <v>46013.20910630787</v>
      </c>
      <c r="B2159" s="49" t="s">
        <v>9073</v>
      </c>
    </row>
    <row r="2160" spans="1:2">
      <c r="A2160" s="66">
        <v>46013.209111597222</v>
      </c>
      <c r="B2160" s="49" t="s">
        <v>9074</v>
      </c>
    </row>
    <row r="2161" spans="1:2">
      <c r="A2161" s="66">
        <v>46013.209113703706</v>
      </c>
      <c r="B2161" s="49" t="s">
        <v>9191</v>
      </c>
    </row>
    <row r="2162" spans="1:2">
      <c r="A2162" s="66">
        <v>46013.209490208334</v>
      </c>
      <c r="B2162" s="49" t="s">
        <v>9850</v>
      </c>
    </row>
    <row r="2163" spans="1:2">
      <c r="A2163" s="66">
        <v>46013.209495949079</v>
      </c>
      <c r="B2163" s="49" t="s">
        <v>9112</v>
      </c>
    </row>
    <row r="2164" spans="1:2">
      <c r="A2164" s="66">
        <v>46013.209501712961</v>
      </c>
      <c r="B2164" s="49" t="s">
        <v>9078</v>
      </c>
    </row>
    <row r="2165" spans="1:2">
      <c r="A2165" s="66">
        <v>46013.209517141207</v>
      </c>
      <c r="B2165" s="49" t="s">
        <v>9468</v>
      </c>
    </row>
    <row r="2166" spans="1:2">
      <c r="A2166" s="66">
        <v>46013.209524270831</v>
      </c>
      <c r="B2166" s="49" t="s">
        <v>9191</v>
      </c>
    </row>
    <row r="2167" spans="1:2">
      <c r="A2167" s="66">
        <v>46013.210817673607</v>
      </c>
      <c r="B2167" s="49" t="s">
        <v>9851</v>
      </c>
    </row>
    <row r="2168" spans="1:2">
      <c r="A2168" s="66">
        <v>46013.210849675925</v>
      </c>
      <c r="B2168" s="49" t="s">
        <v>9073</v>
      </c>
    </row>
    <row r="2169" spans="1:2">
      <c r="A2169" s="66">
        <v>46013.210854224541</v>
      </c>
      <c r="B2169" s="49" t="s">
        <v>9074</v>
      </c>
    </row>
    <row r="2170" spans="1:2">
      <c r="A2170" s="66">
        <v>46013.210856111109</v>
      </c>
      <c r="B2170" s="49" t="s">
        <v>9191</v>
      </c>
    </row>
    <row r="2171" spans="1:2">
      <c r="A2171" s="66">
        <v>46013.211553043977</v>
      </c>
      <c r="B2171" s="49" t="s">
        <v>9852</v>
      </c>
    </row>
    <row r="2172" spans="1:2">
      <c r="A2172" s="66">
        <v>46013.211576793983</v>
      </c>
      <c r="B2172" s="49" t="s">
        <v>9073</v>
      </c>
    </row>
    <row r="2173" spans="1:2">
      <c r="A2173" s="66">
        <v>46013.211581493058</v>
      </c>
      <c r="B2173" s="49" t="s">
        <v>9074</v>
      </c>
    </row>
    <row r="2174" spans="1:2">
      <c r="A2174" s="66">
        <v>46013.211586527774</v>
      </c>
      <c r="B2174" s="49" t="s">
        <v>9191</v>
      </c>
    </row>
    <row r="2175" spans="1:2">
      <c r="A2175" s="66">
        <v>46013.212049664347</v>
      </c>
      <c r="B2175" s="49" t="s">
        <v>9853</v>
      </c>
    </row>
    <row r="2176" spans="1:2">
      <c r="A2176" s="66">
        <v>46013.212072534719</v>
      </c>
      <c r="B2176" s="49" t="s">
        <v>9073</v>
      </c>
    </row>
    <row r="2177" spans="1:2">
      <c r="A2177" s="66">
        <v>46013.212089629626</v>
      </c>
      <c r="B2177" s="49" t="s">
        <v>9074</v>
      </c>
    </row>
    <row r="2178" spans="1:2">
      <c r="A2178" s="66">
        <v>46013.212092175927</v>
      </c>
      <c r="B2178" s="49" t="s">
        <v>9191</v>
      </c>
    </row>
    <row r="2179" spans="1:2">
      <c r="A2179" s="66">
        <v>46013.291479965279</v>
      </c>
      <c r="B2179" s="49" t="s">
        <v>9854</v>
      </c>
    </row>
    <row r="2180" spans="1:2">
      <c r="A2180" s="66">
        <v>46013.291487754628</v>
      </c>
      <c r="B2180" s="49" t="s">
        <v>9482</v>
      </c>
    </row>
    <row r="2181" spans="1:2">
      <c r="A2181" s="66">
        <v>46013.291505092595</v>
      </c>
      <c r="B2181" s="49" t="s">
        <v>9078</v>
      </c>
    </row>
    <row r="2182" spans="1:2">
      <c r="A2182" s="66">
        <v>46013.291520046296</v>
      </c>
      <c r="B2182" s="49" t="s">
        <v>9484</v>
      </c>
    </row>
    <row r="2183" spans="1:2">
      <c r="A2183" s="66">
        <v>46013.291522557869</v>
      </c>
      <c r="B2183" s="49" t="s">
        <v>9191</v>
      </c>
    </row>
    <row r="2184" spans="1:2">
      <c r="A2184" s="66">
        <v>46013.340892546301</v>
      </c>
      <c r="B2184" s="49"/>
    </row>
    <row r="2185" spans="1:2">
      <c r="A2185" s="66">
        <v>46013.422045023151</v>
      </c>
      <c r="B2185" s="49"/>
    </row>
    <row r="2186" spans="1:2">
      <c r="A2186" s="66">
        <v>46013.43715484954</v>
      </c>
      <c r="B2186" s="49"/>
    </row>
    <row r="2187" spans="1:2">
      <c r="A2187" s="66">
        <v>46013.466678923607</v>
      </c>
      <c r="B2187" s="49" t="s">
        <v>9855</v>
      </c>
    </row>
    <row r="2188" spans="1:2">
      <c r="A2188" s="66">
        <v>46013.466683749997</v>
      </c>
      <c r="B2188" s="49" t="s">
        <v>9724</v>
      </c>
    </row>
    <row r="2189" spans="1:2">
      <c r="A2189" s="66">
        <v>46013.466689097222</v>
      </c>
      <c r="B2189" s="49" t="s">
        <v>9078</v>
      </c>
    </row>
    <row r="2190" spans="1:2">
      <c r="A2190" s="66">
        <v>46013.46671818287</v>
      </c>
      <c r="B2190" s="49" t="s">
        <v>9725</v>
      </c>
    </row>
    <row r="2191" spans="1:2">
      <c r="A2191" s="66">
        <v>46013.466720590281</v>
      </c>
      <c r="B2191" s="49" t="s">
        <v>9191</v>
      </c>
    </row>
    <row r="2192" spans="1:2">
      <c r="A2192" s="66">
        <v>46013.773166423613</v>
      </c>
      <c r="B2192" s="49" t="s">
        <v>9856</v>
      </c>
    </row>
    <row r="2193" spans="1:2">
      <c r="A2193" s="66">
        <v>46013.773171701388</v>
      </c>
      <c r="B2193" s="49" t="s">
        <v>9857</v>
      </c>
    </row>
    <row r="2194" spans="1:2">
      <c r="A2194" s="66">
        <v>46013.773192349538</v>
      </c>
      <c r="B2194" s="49" t="s">
        <v>9078</v>
      </c>
    </row>
    <row r="2195" spans="1:2">
      <c r="A2195" s="66">
        <v>46013.77322372685</v>
      </c>
      <c r="B2195" s="49" t="s">
        <v>9858</v>
      </c>
    </row>
    <row r="2196" spans="1:2">
      <c r="A2196" s="66">
        <v>46013.773229965278</v>
      </c>
      <c r="B2196" s="49" t="s">
        <v>9859</v>
      </c>
    </row>
    <row r="2197" spans="1:2">
      <c r="A2197" s="66">
        <v>46013.773231736108</v>
      </c>
      <c r="B2197" s="49" t="s">
        <v>9191</v>
      </c>
    </row>
    <row r="2198" spans="1:2">
      <c r="A2198" s="66">
        <v>46014.250350219911</v>
      </c>
      <c r="B2198" s="49" t="s">
        <v>9860</v>
      </c>
    </row>
    <row r="2199" spans="1:2">
      <c r="A2199" s="66">
        <v>46014.250373912037</v>
      </c>
      <c r="B2199" s="49" t="s">
        <v>9073</v>
      </c>
    </row>
    <row r="2200" spans="1:2">
      <c r="A2200" s="66">
        <v>46014.250378819444</v>
      </c>
      <c r="B2200" s="49" t="s">
        <v>9074</v>
      </c>
    </row>
    <row r="2201" spans="1:2">
      <c r="A2201" s="66">
        <v>46014.250380937505</v>
      </c>
      <c r="B2201" s="49" t="s">
        <v>9191</v>
      </c>
    </row>
    <row r="2202" spans="1:2">
      <c r="A2202" s="66">
        <v>46014.287322245371</v>
      </c>
      <c r="B2202" s="49" t="s">
        <v>9856</v>
      </c>
    </row>
    <row r="2203" spans="1:2">
      <c r="A2203" s="66">
        <v>46014.287327824073</v>
      </c>
      <c r="B2203" s="49" t="s">
        <v>9857</v>
      </c>
    </row>
    <row r="2204" spans="1:2">
      <c r="A2204" s="66">
        <v>46014.287332743057</v>
      </c>
      <c r="B2204" s="49" t="s">
        <v>9078</v>
      </c>
    </row>
    <row r="2205" spans="1:2">
      <c r="A2205" s="66">
        <v>46014.287360439819</v>
      </c>
      <c r="B2205" s="49" t="s">
        <v>9861</v>
      </c>
    </row>
    <row r="2206" spans="1:2">
      <c r="A2206" s="66">
        <v>46014.287363009258</v>
      </c>
      <c r="B2206" s="49" t="s">
        <v>9191</v>
      </c>
    </row>
    <row r="2207" spans="1:2">
      <c r="A2207" s="66">
        <v>46014.287631793981</v>
      </c>
      <c r="B2207" s="49" t="s">
        <v>9862</v>
      </c>
    </row>
    <row r="2208" spans="1:2">
      <c r="A2208" s="66">
        <v>46014.28763796296</v>
      </c>
      <c r="B2208" s="49" t="s">
        <v>9857</v>
      </c>
    </row>
    <row r="2209" spans="1:2">
      <c r="A2209" s="66">
        <v>46014.287651597224</v>
      </c>
      <c r="B2209" s="49" t="s">
        <v>9078</v>
      </c>
    </row>
    <row r="2210" spans="1:2">
      <c r="A2210" s="66">
        <v>46014.287666793985</v>
      </c>
      <c r="B2210" s="49" t="s">
        <v>9861</v>
      </c>
    </row>
    <row r="2211" spans="1:2">
      <c r="A2211" s="66">
        <v>46014.287669687503</v>
      </c>
      <c r="B2211" s="49" t="s">
        <v>9191</v>
      </c>
    </row>
    <row r="2212" spans="1:2">
      <c r="A2212" s="66">
        <v>46014.2910475463</v>
      </c>
      <c r="B2212" s="49" t="s">
        <v>9863</v>
      </c>
    </row>
    <row r="2213" spans="1:2">
      <c r="A2213" s="66">
        <v>46014.291071898144</v>
      </c>
      <c r="B2213" s="49" t="s">
        <v>9073</v>
      </c>
    </row>
    <row r="2214" spans="1:2">
      <c r="A2214" s="66">
        <v>46014.291077013884</v>
      </c>
      <c r="B2214" s="49" t="s">
        <v>9074</v>
      </c>
    </row>
    <row r="2215" spans="1:2">
      <c r="A2215" s="66">
        <v>46014.291079768518</v>
      </c>
      <c r="B2215" s="49" t="s">
        <v>9191</v>
      </c>
    </row>
    <row r="2216" spans="1:2">
      <c r="A2216" s="66">
        <v>46014.291420381945</v>
      </c>
      <c r="B2216" s="49"/>
    </row>
    <row r="2217" spans="1:2">
      <c r="A2217" s="66">
        <v>46014.319923067131</v>
      </c>
      <c r="B2217" s="49"/>
    </row>
    <row r="2218" spans="1:2">
      <c r="A2218" s="66">
        <v>46014.319916238426</v>
      </c>
      <c r="B2218" s="49"/>
    </row>
    <row r="2219" spans="1:2">
      <c r="A2219" s="66">
        <v>46014.325710729172</v>
      </c>
      <c r="B2219" s="49" t="s">
        <v>9864</v>
      </c>
    </row>
    <row r="2220" spans="1:2">
      <c r="A2220" s="66">
        <v>46014.325715810184</v>
      </c>
      <c r="B2220" s="49" t="s">
        <v>9865</v>
      </c>
    </row>
    <row r="2221" spans="1:2">
      <c r="A2221" s="66">
        <v>46014.325738159721</v>
      </c>
      <c r="B2221" s="49" t="s">
        <v>9078</v>
      </c>
    </row>
    <row r="2222" spans="1:2">
      <c r="A2222" s="66">
        <v>46014.325771400458</v>
      </c>
      <c r="B2222" s="49" t="s">
        <v>9866</v>
      </c>
    </row>
    <row r="2223" spans="1:2">
      <c r="A2223" s="66">
        <v>46014.325777569444</v>
      </c>
      <c r="B2223" s="49" t="s">
        <v>9867</v>
      </c>
    </row>
    <row r="2224" spans="1:2">
      <c r="A2224" s="66">
        <v>46014.32577949074</v>
      </c>
      <c r="B2224" s="49" t="s">
        <v>9191</v>
      </c>
    </row>
    <row r="2225" spans="1:2">
      <c r="A2225" s="66">
        <v>46014.390705104168</v>
      </c>
      <c r="B2225" s="49" t="s">
        <v>9868</v>
      </c>
    </row>
    <row r="2226" spans="1:2">
      <c r="A2226" s="66">
        <v>46014.390715069443</v>
      </c>
      <c r="B2226" s="49" t="s">
        <v>9869</v>
      </c>
    </row>
    <row r="2227" spans="1:2">
      <c r="A2227" s="66">
        <v>46014.390733182867</v>
      </c>
      <c r="B2227" s="49" t="s">
        <v>9078</v>
      </c>
    </row>
    <row r="2228" spans="1:2">
      <c r="A2228" s="66">
        <v>46014.390764398151</v>
      </c>
      <c r="B2228" s="49" t="s">
        <v>9870</v>
      </c>
    </row>
    <row r="2229" spans="1:2">
      <c r="A2229" s="66">
        <v>46014.39077106482</v>
      </c>
      <c r="B2229" s="49" t="s">
        <v>9871</v>
      </c>
    </row>
    <row r="2230" spans="1:2">
      <c r="A2230" s="66">
        <v>46014.390773530089</v>
      </c>
      <c r="B2230" s="49" t="s">
        <v>9191</v>
      </c>
    </row>
    <row r="2231" spans="1:2">
      <c r="A2231" s="66">
        <v>46014.399007430555</v>
      </c>
      <c r="B2231" s="49" t="s">
        <v>9872</v>
      </c>
    </row>
    <row r="2232" spans="1:2">
      <c r="A2232" s="66">
        <v>46014.399013368056</v>
      </c>
      <c r="B2232" s="49" t="s">
        <v>9873</v>
      </c>
    </row>
    <row r="2233" spans="1:2">
      <c r="A2233" s="66">
        <v>46014.399018715281</v>
      </c>
      <c r="B2233" s="49" t="s">
        <v>9078</v>
      </c>
    </row>
    <row r="2234" spans="1:2">
      <c r="A2234" s="66">
        <v>46014.399062986107</v>
      </c>
      <c r="B2234" s="49" t="s">
        <v>9874</v>
      </c>
    </row>
    <row r="2235" spans="1:2">
      <c r="A2235" s="66">
        <v>46014.399069490741</v>
      </c>
      <c r="B2235" s="49" t="s">
        <v>9875</v>
      </c>
    </row>
    <row r="2236" spans="1:2">
      <c r="A2236" s="66">
        <v>46014.399078425922</v>
      </c>
      <c r="B2236" s="49" t="s">
        <v>9191</v>
      </c>
    </row>
    <row r="2237" spans="1:2">
      <c r="A2237" s="66">
        <v>46014.436653078708</v>
      </c>
      <c r="B2237" s="49" t="s">
        <v>9876</v>
      </c>
    </row>
    <row r="2238" spans="1:2">
      <c r="A2238" s="66">
        <v>46014.436679131948</v>
      </c>
      <c r="B2238" s="49" t="s">
        <v>9877</v>
      </c>
    </row>
    <row r="2239" spans="1:2">
      <c r="A2239" s="66">
        <v>46014.436684131942</v>
      </c>
      <c r="B2239" s="49" t="s">
        <v>9078</v>
      </c>
    </row>
    <row r="2240" spans="1:2">
      <c r="A2240" s="66">
        <v>46014.436731354166</v>
      </c>
      <c r="B2240" s="49" t="s">
        <v>9878</v>
      </c>
    </row>
    <row r="2241" spans="1:2">
      <c r="A2241" s="66">
        <v>46014.436738032411</v>
      </c>
      <c r="B2241" s="49" t="s">
        <v>9879</v>
      </c>
    </row>
    <row r="2242" spans="1:2">
      <c r="A2242" s="66">
        <v>46014.436740150464</v>
      </c>
      <c r="B2242" s="49" t="s">
        <v>9191</v>
      </c>
    </row>
    <row r="2243" spans="1:2">
      <c r="A2243" s="66">
        <v>46015.270075636574</v>
      </c>
      <c r="B2243" s="49" t="s">
        <v>9880</v>
      </c>
    </row>
    <row r="2244" spans="1:2">
      <c r="A2244" s="66">
        <v>46015.270117002314</v>
      </c>
      <c r="B2244" s="49" t="s">
        <v>9073</v>
      </c>
    </row>
    <row r="2245" spans="1:2">
      <c r="A2245" s="66">
        <v>46015.270121770838</v>
      </c>
      <c r="B2245" s="49" t="s">
        <v>9074</v>
      </c>
    </row>
    <row r="2246" spans="1:2">
      <c r="A2246" s="66">
        <v>46015.270124074072</v>
      </c>
      <c r="B2246" s="49" t="s">
        <v>9191</v>
      </c>
    </row>
    <row r="2247" spans="1:2">
      <c r="A2247" s="66">
        <v>46015.335692800931</v>
      </c>
      <c r="B2247" s="49"/>
    </row>
    <row r="2248" spans="1:2">
      <c r="A2248" s="66">
        <v>46015.335721516203</v>
      </c>
      <c r="B2248" s="49"/>
    </row>
    <row r="2249" spans="1:2">
      <c r="A2249" s="66">
        <v>46015.335814074075</v>
      </c>
      <c r="B2249" s="49"/>
    </row>
    <row r="2250" spans="1:2">
      <c r="A2250" s="66">
        <v>46015.335832870369</v>
      </c>
      <c r="B2250" s="49"/>
    </row>
    <row r="2251" spans="1:2">
      <c r="A2251" s="66">
        <v>46015.389826377315</v>
      </c>
      <c r="B2251" s="49" t="s">
        <v>9881</v>
      </c>
    </row>
    <row r="2252" spans="1:2">
      <c r="A2252" s="66">
        <v>46015.389852499997</v>
      </c>
      <c r="B2252" s="49" t="s">
        <v>9882</v>
      </c>
    </row>
    <row r="2253" spans="1:2">
      <c r="A2253" s="66">
        <v>46015.389856388894</v>
      </c>
      <c r="B2253" s="49" t="s">
        <v>9078</v>
      </c>
    </row>
    <row r="2254" spans="1:2">
      <c r="A2254" s="66">
        <v>46015.389881238429</v>
      </c>
      <c r="B2254" s="49" t="s">
        <v>9883</v>
      </c>
    </row>
    <row r="2255" spans="1:2">
      <c r="A2255" s="66">
        <v>46015.389887129626</v>
      </c>
      <c r="B2255" s="49" t="s">
        <v>9884</v>
      </c>
    </row>
    <row r="2256" spans="1:2">
      <c r="A2256" s="66">
        <v>46015.389889016209</v>
      </c>
      <c r="B2256" s="49" t="s">
        <v>9191</v>
      </c>
    </row>
    <row r="2257" spans="1:2">
      <c r="A2257" s="66">
        <v>46015.394524710646</v>
      </c>
      <c r="B2257" s="49" t="s">
        <v>9885</v>
      </c>
    </row>
    <row r="2258" spans="1:2">
      <c r="A2258" s="66">
        <v>46015.394530925929</v>
      </c>
      <c r="B2258" s="49" t="s">
        <v>9886</v>
      </c>
    </row>
    <row r="2259" spans="1:2">
      <c r="A2259" s="66">
        <v>46015.394535775464</v>
      </c>
      <c r="B2259" s="49" t="s">
        <v>9078</v>
      </c>
    </row>
    <row r="2260" spans="1:2">
      <c r="A2260" s="66">
        <v>46015.394569386575</v>
      </c>
      <c r="B2260" s="49" t="s">
        <v>9887</v>
      </c>
    </row>
    <row r="2261" spans="1:2">
      <c r="A2261" s="66">
        <v>46015.394576342587</v>
      </c>
      <c r="B2261" s="49" t="s">
        <v>9888</v>
      </c>
    </row>
    <row r="2262" spans="1:2">
      <c r="A2262" s="66">
        <v>46015.394579398147</v>
      </c>
      <c r="B2262" s="49" t="s">
        <v>9191</v>
      </c>
    </row>
    <row r="2263" spans="1:2">
      <c r="A2263" s="66">
        <v>46015.601838599541</v>
      </c>
      <c r="B2263" s="49" t="s">
        <v>9889</v>
      </c>
    </row>
    <row r="2264" spans="1:2">
      <c r="A2264" s="66">
        <v>46015.601843796292</v>
      </c>
      <c r="B2264" s="49" t="s">
        <v>9890</v>
      </c>
    </row>
    <row r="2265" spans="1:2">
      <c r="A2265" s="66">
        <v>46015.601848657403</v>
      </c>
      <c r="B2265" s="49" t="s">
        <v>9078</v>
      </c>
    </row>
    <row r="2266" spans="1:2">
      <c r="A2266" s="66">
        <v>46015.601898726847</v>
      </c>
      <c r="B2266" s="49" t="s">
        <v>9891</v>
      </c>
    </row>
    <row r="2267" spans="1:2">
      <c r="A2267" s="66">
        <v>46015.601907013886</v>
      </c>
      <c r="B2267" s="49" t="s">
        <v>9892</v>
      </c>
    </row>
    <row r="2268" spans="1:2">
      <c r="A2268" s="66">
        <v>46015.601909305551</v>
      </c>
      <c r="B2268" s="49" t="s">
        <v>9191</v>
      </c>
    </row>
    <row r="2269" spans="1:2">
      <c r="A2269" s="66">
        <v>46015.650660717598</v>
      </c>
      <c r="B2269" s="49"/>
    </row>
    <row r="2270" spans="1:2">
      <c r="A2270" s="66">
        <v>46015.781052974533</v>
      </c>
      <c r="B2270" s="49" t="s">
        <v>9893</v>
      </c>
    </row>
    <row r="2271" spans="1:2">
      <c r="A2271" s="66">
        <v>46015.781060196758</v>
      </c>
      <c r="B2271" s="49" t="s">
        <v>9894</v>
      </c>
    </row>
    <row r="2272" spans="1:2">
      <c r="A2272" s="66">
        <v>46015.781078576387</v>
      </c>
      <c r="B2272" s="49" t="s">
        <v>9078</v>
      </c>
    </row>
    <row r="2273" spans="1:2">
      <c r="A2273" s="66">
        <v>46015.78111491898</v>
      </c>
      <c r="B2273" s="49" t="s">
        <v>9895</v>
      </c>
    </row>
    <row r="2274" spans="1:2">
      <c r="A2274" s="66">
        <v>46015.781124907408</v>
      </c>
      <c r="B2274" s="49" t="s">
        <v>9896</v>
      </c>
    </row>
    <row r="2275" spans="1:2">
      <c r="A2275" s="66">
        <v>46015.781127858798</v>
      </c>
      <c r="B2275" s="49" t="s">
        <v>9191</v>
      </c>
    </row>
    <row r="2276" spans="1:2">
      <c r="A2276" s="66">
        <v>46015.851894444444</v>
      </c>
      <c r="B2276" s="49" t="s">
        <v>9897</v>
      </c>
    </row>
    <row r="2277" spans="1:2">
      <c r="A2277" s="66">
        <v>46015.851901944443</v>
      </c>
      <c r="B2277" s="49" t="s">
        <v>9898</v>
      </c>
    </row>
    <row r="2278" spans="1:2">
      <c r="A2278" s="66">
        <v>46015.851930671299</v>
      </c>
      <c r="B2278" s="49" t="s">
        <v>9078</v>
      </c>
    </row>
    <row r="2279" spans="1:2">
      <c r="A2279" s="66">
        <v>46015.851957557868</v>
      </c>
      <c r="B2279" s="49" t="s">
        <v>9899</v>
      </c>
    </row>
    <row r="2280" spans="1:2">
      <c r="A2280" s="66">
        <v>46015.851963715279</v>
      </c>
      <c r="B2280" s="49" t="s">
        <v>9900</v>
      </c>
    </row>
    <row r="2281" spans="1:2">
      <c r="A2281" s="66">
        <v>46015.851965972222</v>
      </c>
      <c r="B2281" s="49" t="s">
        <v>9191</v>
      </c>
    </row>
    <row r="2282" spans="1:2">
      <c r="A2282" s="66">
        <v>46015.908275347218</v>
      </c>
      <c r="B2282" s="49" t="s">
        <v>9901</v>
      </c>
    </row>
    <row r="2283" spans="1:2">
      <c r="A2283" s="66">
        <v>46015.90828265046</v>
      </c>
      <c r="B2283" s="49" t="s">
        <v>9902</v>
      </c>
    </row>
    <row r="2284" spans="1:2">
      <c r="A2284" s="66">
        <v>46015.908287037033</v>
      </c>
      <c r="B2284" s="49" t="s">
        <v>9078</v>
      </c>
    </row>
    <row r="2285" spans="1:2">
      <c r="A2285" s="66">
        <v>46015.908319837967</v>
      </c>
      <c r="B2285" s="49" t="s">
        <v>9903</v>
      </c>
    </row>
    <row r="2286" spans="1:2">
      <c r="A2286" s="66">
        <v>46015.908325902783</v>
      </c>
      <c r="B2286" s="49" t="s">
        <v>9904</v>
      </c>
    </row>
    <row r="2287" spans="1:2">
      <c r="A2287" s="66">
        <v>46015.908328194448</v>
      </c>
      <c r="B2287" s="49" t="s">
        <v>9191</v>
      </c>
    </row>
    <row r="2288" spans="1:2">
      <c r="A2288" s="66">
        <v>46016.256297604166</v>
      </c>
      <c r="B2288" s="49" t="s">
        <v>9905</v>
      </c>
    </row>
    <row r="2289" spans="1:2">
      <c r="A2289" s="66">
        <v>46016.256342187495</v>
      </c>
      <c r="B2289" s="49" t="s">
        <v>9310</v>
      </c>
    </row>
    <row r="2290" spans="1:2">
      <c r="A2290" s="66">
        <v>46016.256347048606</v>
      </c>
      <c r="B2290" s="49" t="s">
        <v>9074</v>
      </c>
    </row>
    <row r="2291" spans="1:2">
      <c r="A2291" s="66">
        <v>46016.25634925926</v>
      </c>
      <c r="B2291" s="49" t="s">
        <v>9191</v>
      </c>
    </row>
    <row r="2292" spans="1:2">
      <c r="A2292" s="66">
        <v>46016.317871990745</v>
      </c>
      <c r="B2292" s="49"/>
    </row>
    <row r="2293" spans="1:2">
      <c r="A2293" s="66">
        <v>46016.31789608796</v>
      </c>
      <c r="B2293" s="49"/>
    </row>
    <row r="2294" spans="1:2">
      <c r="A2294" s="66">
        <v>46016.317968877316</v>
      </c>
      <c r="B2294" s="49"/>
    </row>
    <row r="2295" spans="1:2">
      <c r="A2295" s="66">
        <v>46016.317989918985</v>
      </c>
      <c r="B2295" s="49"/>
    </row>
    <row r="2296" spans="1:2">
      <c r="A2296" s="66">
        <v>46016.3180603125</v>
      </c>
      <c r="B2296" s="49"/>
    </row>
    <row r="2297" spans="1:2">
      <c r="A2297" s="66">
        <v>46016.323942731484</v>
      </c>
      <c r="B2297" s="49" t="s">
        <v>9906</v>
      </c>
    </row>
    <row r="2298" spans="1:2">
      <c r="A2298" s="66">
        <v>46016.323968032404</v>
      </c>
      <c r="B2298" s="49" t="s">
        <v>9310</v>
      </c>
    </row>
    <row r="2299" spans="1:2">
      <c r="A2299" s="66">
        <v>46016.323974537037</v>
      </c>
      <c r="B2299" s="49" t="s">
        <v>9074</v>
      </c>
    </row>
    <row r="2300" spans="1:2">
      <c r="A2300" s="66">
        <v>46016.323976678235</v>
      </c>
      <c r="B2300" s="49" t="s">
        <v>9191</v>
      </c>
    </row>
    <row r="2301" spans="1:2">
      <c r="A2301" s="66">
        <v>46016.343312245372</v>
      </c>
      <c r="B2301" s="49" t="s">
        <v>9907</v>
      </c>
    </row>
    <row r="2302" spans="1:2">
      <c r="A2302" s="66">
        <v>46016.343349594907</v>
      </c>
      <c r="B2302" s="49" t="s">
        <v>9310</v>
      </c>
    </row>
    <row r="2303" spans="1:2">
      <c r="A2303" s="66">
        <v>46016.343354270837</v>
      </c>
      <c r="B2303" s="49" t="s">
        <v>9074</v>
      </c>
    </row>
    <row r="2304" spans="1:2">
      <c r="A2304" s="66">
        <v>46016.343356365745</v>
      </c>
      <c r="B2304" s="49" t="s">
        <v>9191</v>
      </c>
    </row>
    <row r="2305" spans="1:2">
      <c r="A2305" s="66">
        <v>46016.343753923611</v>
      </c>
      <c r="B2305" s="49" t="s">
        <v>9908</v>
      </c>
    </row>
    <row r="2306" spans="1:2">
      <c r="A2306" s="66">
        <v>46016.343772071763</v>
      </c>
      <c r="B2306" s="49" t="s">
        <v>9310</v>
      </c>
    </row>
    <row r="2307" spans="1:2">
      <c r="A2307" s="66">
        <v>46016.343776574075</v>
      </c>
      <c r="B2307" s="49" t="s">
        <v>9074</v>
      </c>
    </row>
    <row r="2308" spans="1:2">
      <c r="A2308" s="66">
        <v>46016.343778541668</v>
      </c>
      <c r="B2308" s="49" t="s">
        <v>9191</v>
      </c>
    </row>
    <row r="2309" spans="1:2">
      <c r="A2309" s="66">
        <v>46016.351032048609</v>
      </c>
      <c r="B2309" s="49" t="s">
        <v>9909</v>
      </c>
    </row>
    <row r="2310" spans="1:2">
      <c r="A2310" s="66">
        <v>46016.351056724539</v>
      </c>
      <c r="B2310" s="49" t="s">
        <v>9310</v>
      </c>
    </row>
    <row r="2311" spans="1:2">
      <c r="A2311" s="66">
        <v>46016.351061527777</v>
      </c>
      <c r="B2311" s="49" t="s">
        <v>9074</v>
      </c>
    </row>
    <row r="2312" spans="1:2">
      <c r="A2312" s="66">
        <v>46016.351063206021</v>
      </c>
      <c r="B2312" s="49" t="s">
        <v>9191</v>
      </c>
    </row>
    <row r="2313" spans="1:2">
      <c r="A2313" s="66">
        <v>46016.416973229163</v>
      </c>
      <c r="B2313" s="49" t="s">
        <v>9910</v>
      </c>
    </row>
    <row r="2314" spans="1:2">
      <c r="A2314" s="66">
        <v>46016.41697899306</v>
      </c>
      <c r="B2314" s="49" t="s">
        <v>9911</v>
      </c>
    </row>
    <row r="2315" spans="1:2">
      <c r="A2315" s="66">
        <v>46016.416983622687</v>
      </c>
      <c r="B2315" s="49" t="s">
        <v>9078</v>
      </c>
    </row>
    <row r="2316" spans="1:2">
      <c r="A2316" s="66">
        <v>46016.417038032407</v>
      </c>
      <c r="B2316" s="49" t="s">
        <v>9912</v>
      </c>
    </row>
    <row r="2317" spans="1:2">
      <c r="A2317" s="66">
        <v>46016.41704424769</v>
      </c>
      <c r="B2317" s="49" t="s">
        <v>9913</v>
      </c>
    </row>
    <row r="2318" spans="1:2">
      <c r="A2318" s="66">
        <v>46016.417046388888</v>
      </c>
      <c r="B2318" s="49" t="s">
        <v>9191</v>
      </c>
    </row>
    <row r="2319" spans="1:2">
      <c r="A2319" s="66">
        <v>46016.469483449073</v>
      </c>
      <c r="B2319" s="49" t="s">
        <v>9914</v>
      </c>
    </row>
    <row r="2320" spans="1:2">
      <c r="A2320" s="66">
        <v>46016.46948994213</v>
      </c>
      <c r="B2320" s="49" t="s">
        <v>9915</v>
      </c>
    </row>
    <row r="2321" spans="1:2">
      <c r="A2321" s="66">
        <v>46016.469494710647</v>
      </c>
      <c r="B2321" s="49" t="s">
        <v>9078</v>
      </c>
    </row>
    <row r="2322" spans="1:2">
      <c r="A2322" s="66">
        <v>46016.469533935189</v>
      </c>
      <c r="B2322" s="49" t="s">
        <v>9916</v>
      </c>
    </row>
    <row r="2323" spans="1:2">
      <c r="A2323" s="66">
        <v>46016.469540439815</v>
      </c>
      <c r="B2323" s="49" t="s">
        <v>9917</v>
      </c>
    </row>
    <row r="2324" spans="1:2">
      <c r="A2324" s="66">
        <v>46016.469542986109</v>
      </c>
      <c r="B2324" s="49" t="s">
        <v>9191</v>
      </c>
    </row>
    <row r="2325" spans="1:2">
      <c r="A2325" s="66">
        <v>46016.55670818287</v>
      </c>
      <c r="B2325" s="49" t="s">
        <v>9918</v>
      </c>
    </row>
    <row r="2326" spans="1:2">
      <c r="A2326" s="66">
        <v>46016.556713819446</v>
      </c>
      <c r="B2326" s="49" t="s">
        <v>9919</v>
      </c>
    </row>
    <row r="2327" spans="1:2">
      <c r="A2327" s="66">
        <v>46016.556720057866</v>
      </c>
      <c r="B2327" s="49" t="s">
        <v>9078</v>
      </c>
    </row>
    <row r="2328" spans="1:2">
      <c r="A2328" s="66">
        <v>46016.556756678241</v>
      </c>
      <c r="B2328" s="49" t="s">
        <v>9920</v>
      </c>
    </row>
    <row r="2329" spans="1:2">
      <c r="A2329" s="66">
        <v>46016.556762442131</v>
      </c>
      <c r="B2329" s="49" t="s">
        <v>9921</v>
      </c>
    </row>
    <row r="2330" spans="1:2">
      <c r="A2330" s="66">
        <v>46016.556764895839</v>
      </c>
      <c r="B2330" s="49" t="s">
        <v>9191</v>
      </c>
    </row>
    <row r="2331" spans="1:2">
      <c r="A2331" s="66">
        <v>46016.557204386569</v>
      </c>
      <c r="B2331" s="49" t="s">
        <v>9922</v>
      </c>
    </row>
    <row r="2332" spans="1:2">
      <c r="A2332" s="66">
        <v>46016.557211666666</v>
      </c>
      <c r="B2332" s="49" t="s">
        <v>9337</v>
      </c>
    </row>
    <row r="2333" spans="1:2">
      <c r="A2333" s="66">
        <v>46016.557217916663</v>
      </c>
      <c r="B2333" s="49" t="s">
        <v>9078</v>
      </c>
    </row>
    <row r="2334" spans="1:2">
      <c r="A2334" s="66">
        <v>46016.557243252319</v>
      </c>
      <c r="B2334" s="49" t="s">
        <v>9923</v>
      </c>
    </row>
    <row r="2335" spans="1:2">
      <c r="A2335" s="66">
        <v>46016.557247326389</v>
      </c>
      <c r="B2335" s="49" t="s">
        <v>9191</v>
      </c>
    </row>
    <row r="2336" spans="1:2">
      <c r="A2336" s="66">
        <v>46016.627398206023</v>
      </c>
      <c r="B2336" s="49" t="s">
        <v>9924</v>
      </c>
    </row>
    <row r="2337" spans="1:2">
      <c r="A2337" s="66">
        <v>46016.627404803236</v>
      </c>
      <c r="B2337" s="49" t="s">
        <v>9925</v>
      </c>
    </row>
    <row r="2338" spans="1:2">
      <c r="A2338" s="66">
        <v>46016.627410879628</v>
      </c>
      <c r="B2338" s="49" t="s">
        <v>9078</v>
      </c>
    </row>
    <row r="2339" spans="1:2">
      <c r="A2339" s="66">
        <v>46016.627452604167</v>
      </c>
      <c r="B2339" s="49" t="s">
        <v>9926</v>
      </c>
    </row>
    <row r="2340" spans="1:2">
      <c r="A2340" s="66">
        <v>46016.627460625001</v>
      </c>
      <c r="B2340" s="49" t="s">
        <v>9927</v>
      </c>
    </row>
    <row r="2341" spans="1:2">
      <c r="A2341" s="66">
        <v>46016.627462835648</v>
      </c>
      <c r="B2341" s="49" t="s">
        <v>9191</v>
      </c>
    </row>
    <row r="2342" spans="1:2">
      <c r="A2342" s="66">
        <v>46016.74787673611</v>
      </c>
      <c r="B2342" s="49" t="s">
        <v>9928</v>
      </c>
    </row>
    <row r="2343" spans="1:2">
      <c r="A2343" s="66">
        <v>46016.74790519676</v>
      </c>
      <c r="B2343" s="49" t="s">
        <v>9630</v>
      </c>
    </row>
    <row r="2344" spans="1:2">
      <c r="A2344" s="66">
        <v>46016.747915347223</v>
      </c>
      <c r="B2344" s="49" t="s">
        <v>9078</v>
      </c>
    </row>
    <row r="2345" spans="1:2">
      <c r="A2345" s="66">
        <v>46016.747951863421</v>
      </c>
      <c r="B2345" s="49" t="s">
        <v>9631</v>
      </c>
    </row>
    <row r="2346" spans="1:2">
      <c r="A2346" s="66">
        <v>46016.747960000001</v>
      </c>
      <c r="B2346" s="49" t="s">
        <v>9929</v>
      </c>
    </row>
    <row r="2347" spans="1:2">
      <c r="A2347" s="66">
        <v>46016.747963032409</v>
      </c>
      <c r="B2347" s="49" t="s">
        <v>9191</v>
      </c>
    </row>
    <row r="2348" spans="1:2">
      <c r="A2348" s="66">
        <v>46016.751213217591</v>
      </c>
      <c r="B2348" s="49"/>
    </row>
    <row r="2349" spans="1:2">
      <c r="A2349" s="66">
        <v>46016.79493394676</v>
      </c>
      <c r="B2349" s="49" t="s">
        <v>9930</v>
      </c>
    </row>
    <row r="2350" spans="1:2">
      <c r="A2350" s="66">
        <v>46016.794939178246</v>
      </c>
      <c r="B2350" s="49" t="s">
        <v>9587</v>
      </c>
    </row>
    <row r="2351" spans="1:2">
      <c r="A2351" s="66">
        <v>46016.794974502314</v>
      </c>
      <c r="B2351" s="49" t="s">
        <v>9078</v>
      </c>
    </row>
    <row r="2352" spans="1:2">
      <c r="A2352" s="66">
        <v>46016.79498924769</v>
      </c>
      <c r="B2352" s="49" t="s">
        <v>9931</v>
      </c>
    </row>
    <row r="2353" spans="1:2">
      <c r="A2353" s="66">
        <v>46016.794991469906</v>
      </c>
      <c r="B2353" s="49" t="s">
        <v>9191</v>
      </c>
    </row>
    <row r="2354" spans="1:2">
      <c r="A2354" s="66">
        <v>46017.168798182873</v>
      </c>
      <c r="B2354" s="49" t="s">
        <v>9932</v>
      </c>
    </row>
    <row r="2355" spans="1:2">
      <c r="A2355" s="66">
        <v>46017.16883253472</v>
      </c>
      <c r="B2355" s="49" t="s">
        <v>9310</v>
      </c>
    </row>
    <row r="2356" spans="1:2">
      <c r="A2356" s="66">
        <v>46017.168837754631</v>
      </c>
      <c r="B2356" s="49" t="s">
        <v>9074</v>
      </c>
    </row>
    <row r="2357" spans="1:2">
      <c r="A2357" s="66">
        <v>46017.168840451384</v>
      </c>
      <c r="B2357" s="49" t="s">
        <v>9191</v>
      </c>
    </row>
    <row r="2358" spans="1:2">
      <c r="A2358" s="66">
        <v>46017.169169305555</v>
      </c>
      <c r="B2358" s="49" t="s">
        <v>9933</v>
      </c>
    </row>
    <row r="2359" spans="1:2">
      <c r="A2359" s="66">
        <v>46017.169174733797</v>
      </c>
      <c r="B2359" s="49" t="s">
        <v>9934</v>
      </c>
    </row>
    <row r="2360" spans="1:2">
      <c r="A2360" s="66">
        <v>46017.16918592593</v>
      </c>
      <c r="B2360" s="49" t="s">
        <v>9078</v>
      </c>
    </row>
    <row r="2361" spans="1:2">
      <c r="A2361" s="66">
        <v>46017.169202164354</v>
      </c>
      <c r="B2361" s="49" t="s">
        <v>9935</v>
      </c>
    </row>
    <row r="2362" spans="1:2">
      <c r="A2362" s="66">
        <v>46017.169205312501</v>
      </c>
      <c r="B2362" s="49" t="s">
        <v>9191</v>
      </c>
    </row>
    <row r="2363" spans="1:2">
      <c r="A2363" s="66">
        <v>46017.169449328707</v>
      </c>
      <c r="B2363" s="49" t="s">
        <v>9936</v>
      </c>
    </row>
    <row r="2364" spans="1:2">
      <c r="A2364" s="66">
        <v>46017.169454664356</v>
      </c>
      <c r="B2364" s="49" t="s">
        <v>9937</v>
      </c>
    </row>
    <row r="2365" spans="1:2">
      <c r="A2365" s="66">
        <v>46017.169460069446</v>
      </c>
      <c r="B2365" s="49" t="s">
        <v>9078</v>
      </c>
    </row>
    <row r="2366" spans="1:2">
      <c r="A2366" s="66">
        <v>46017.169480081022</v>
      </c>
      <c r="B2366" s="49" t="s">
        <v>9938</v>
      </c>
    </row>
    <row r="2367" spans="1:2">
      <c r="A2367" s="66">
        <v>46017.169483472222</v>
      </c>
      <c r="B2367" s="49" t="s">
        <v>9191</v>
      </c>
    </row>
    <row r="2368" spans="1:2">
      <c r="A2368" s="66">
        <v>46017.170476770829</v>
      </c>
      <c r="B2368" s="49" t="s">
        <v>9939</v>
      </c>
    </row>
    <row r="2369" spans="1:2">
      <c r="A2369" s="66">
        <v>46017.170482395828</v>
      </c>
      <c r="B2369" s="49" t="s">
        <v>9112</v>
      </c>
    </row>
    <row r="2370" spans="1:2">
      <c r="A2370" s="66">
        <v>46017.170487395837</v>
      </c>
      <c r="B2370" s="49" t="s">
        <v>9078</v>
      </c>
    </row>
    <row r="2371" spans="1:2">
      <c r="A2371" s="66">
        <v>46017.170506504626</v>
      </c>
      <c r="B2371" s="49" t="s">
        <v>9468</v>
      </c>
    </row>
    <row r="2372" spans="1:2">
      <c r="A2372" s="66">
        <v>46017.170509293981</v>
      </c>
      <c r="B2372" s="49" t="s">
        <v>9191</v>
      </c>
    </row>
    <row r="2373" spans="1:2">
      <c r="A2373" s="66">
        <v>46017.17195614583</v>
      </c>
      <c r="B2373" s="49" t="s">
        <v>9940</v>
      </c>
    </row>
    <row r="2374" spans="1:2">
      <c r="A2374" s="66">
        <v>46017.171964282403</v>
      </c>
      <c r="B2374" s="49" t="s">
        <v>9181</v>
      </c>
    </row>
    <row r="2375" spans="1:2">
      <c r="A2375" s="66">
        <v>46017.171971400458</v>
      </c>
      <c r="B2375" s="49" t="s">
        <v>9078</v>
      </c>
    </row>
    <row r="2376" spans="1:2">
      <c r="A2376" s="66">
        <v>46017.171989305556</v>
      </c>
      <c r="B2376" s="49" t="s">
        <v>9193</v>
      </c>
    </row>
    <row r="2377" spans="1:2">
      <c r="A2377" s="66">
        <v>46017.171992986114</v>
      </c>
      <c r="B2377" s="49" t="s">
        <v>9191</v>
      </c>
    </row>
    <row r="2378" spans="1:2">
      <c r="A2378" s="66">
        <v>46017.17214844907</v>
      </c>
      <c r="B2378" s="49" t="s">
        <v>9941</v>
      </c>
    </row>
    <row r="2379" spans="1:2">
      <c r="A2379" s="66">
        <v>46017.172153680556</v>
      </c>
      <c r="B2379" s="49" t="s">
        <v>9543</v>
      </c>
    </row>
    <row r="2380" spans="1:2">
      <c r="A2380" s="66">
        <v>46017.172159490743</v>
      </c>
      <c r="B2380" s="49" t="s">
        <v>9078</v>
      </c>
    </row>
    <row r="2381" spans="1:2">
      <c r="A2381" s="66">
        <v>46017.172178310182</v>
      </c>
      <c r="B2381" s="49" t="s">
        <v>9711</v>
      </c>
    </row>
    <row r="2382" spans="1:2">
      <c r="A2382" s="66">
        <v>46017.172181319445</v>
      </c>
      <c r="B2382" s="49" t="s">
        <v>9191</v>
      </c>
    </row>
    <row r="2383" spans="1:2">
      <c r="A2383" s="66">
        <v>46017.252800682865</v>
      </c>
      <c r="B2383" s="49" t="s">
        <v>9942</v>
      </c>
    </row>
    <row r="2384" spans="1:2">
      <c r="A2384" s="66">
        <v>46017.252844398143</v>
      </c>
      <c r="B2384" s="49" t="s">
        <v>9310</v>
      </c>
    </row>
    <row r="2385" spans="1:2">
      <c r="A2385" s="66">
        <v>46017.252849201388</v>
      </c>
      <c r="B2385" s="49" t="s">
        <v>9074</v>
      </c>
    </row>
    <row r="2386" spans="1:2">
      <c r="A2386" s="66">
        <v>46017.252851377314</v>
      </c>
      <c r="B2386" s="49" t="s">
        <v>9191</v>
      </c>
    </row>
    <row r="2387" spans="1:2">
      <c r="A2387" s="66">
        <v>46017.297141909723</v>
      </c>
      <c r="B2387" s="49" t="s">
        <v>9943</v>
      </c>
    </row>
    <row r="2388" spans="1:2">
      <c r="A2388" s="66">
        <v>46017.297189884259</v>
      </c>
      <c r="B2388" s="49" t="s">
        <v>9310</v>
      </c>
    </row>
    <row r="2389" spans="1:2">
      <c r="A2389" s="66">
        <v>46017.297195034727</v>
      </c>
      <c r="B2389" s="49" t="s">
        <v>9074</v>
      </c>
    </row>
    <row r="2390" spans="1:2">
      <c r="A2390" s="66">
        <v>46017.297199537032</v>
      </c>
      <c r="B2390" s="49" t="s">
        <v>9191</v>
      </c>
    </row>
    <row r="2391" spans="1:2">
      <c r="A2391" s="66">
        <v>46017.318498252316</v>
      </c>
      <c r="B2391" s="49"/>
    </row>
    <row r="2392" spans="1:2">
      <c r="A2392" s="66">
        <v>46017.318881458334</v>
      </c>
      <c r="B2392" s="49"/>
    </row>
    <row r="2393" spans="1:2">
      <c r="A2393" s="66">
        <v>46017.633513518522</v>
      </c>
      <c r="B2393" s="49" t="s">
        <v>9944</v>
      </c>
    </row>
    <row r="2394" spans="1:2">
      <c r="A2394" s="66">
        <v>46017.633523067125</v>
      </c>
      <c r="B2394" s="49" t="s">
        <v>9945</v>
      </c>
    </row>
    <row r="2395" spans="1:2">
      <c r="A2395" s="66">
        <v>46017.633529085651</v>
      </c>
      <c r="B2395" s="49" t="s">
        <v>9078</v>
      </c>
    </row>
    <row r="2396" spans="1:2">
      <c r="A2396" s="66">
        <v>46017.633567094905</v>
      </c>
      <c r="B2396" s="49" t="s">
        <v>9946</v>
      </c>
    </row>
    <row r="2397" spans="1:2">
      <c r="A2397" s="66">
        <v>46017.633571273152</v>
      </c>
      <c r="B2397" s="49" t="s">
        <v>9191</v>
      </c>
    </row>
    <row r="2398" spans="1:2">
      <c r="A2398" s="66">
        <v>46017.769920879626</v>
      </c>
      <c r="B2398" s="49" t="s">
        <v>9947</v>
      </c>
    </row>
    <row r="2399" spans="1:2">
      <c r="A2399" s="66">
        <v>46017.769933298609</v>
      </c>
      <c r="B2399" s="49" t="s">
        <v>9560</v>
      </c>
    </row>
    <row r="2400" spans="1:2">
      <c r="A2400" s="66">
        <v>46017.769953819443</v>
      </c>
      <c r="B2400" s="49" t="s">
        <v>9078</v>
      </c>
    </row>
    <row r="2401" spans="1:2">
      <c r="A2401" s="66">
        <v>46017.769978194439</v>
      </c>
      <c r="B2401" s="49" t="s">
        <v>9561</v>
      </c>
    </row>
    <row r="2402" spans="1:2">
      <c r="A2402" s="66">
        <v>46017.769981793987</v>
      </c>
      <c r="B2402" s="49" t="s">
        <v>9191</v>
      </c>
    </row>
    <row r="2403" spans="1:2">
      <c r="A2403" s="66">
        <v>46017.903904467588</v>
      </c>
      <c r="B2403" s="49" t="s">
        <v>9948</v>
      </c>
    </row>
    <row r="2404" spans="1:2">
      <c r="A2404" s="66">
        <v>46017.903912685186</v>
      </c>
      <c r="B2404" s="49" t="s">
        <v>9949</v>
      </c>
    </row>
    <row r="2405" spans="1:2">
      <c r="A2405" s="66">
        <v>46017.903918101852</v>
      </c>
      <c r="B2405" s="49" t="s">
        <v>9078</v>
      </c>
    </row>
    <row r="2406" spans="1:2">
      <c r="A2406" s="66">
        <v>46017.903945555554</v>
      </c>
      <c r="B2406" s="49" t="s">
        <v>9950</v>
      </c>
    </row>
    <row r="2407" spans="1:2">
      <c r="A2407" s="66">
        <v>46017.90395331019</v>
      </c>
      <c r="B2407" s="49" t="s">
        <v>9951</v>
      </c>
    </row>
    <row r="2408" spans="1:2">
      <c r="A2408" s="66">
        <v>46017.903956157403</v>
      </c>
      <c r="B2408" s="49" t="s">
        <v>9191</v>
      </c>
    </row>
    <row r="2409" spans="1:2">
      <c r="A2409" s="66">
        <v>46017.904103611116</v>
      </c>
      <c r="B2409" s="49" t="s">
        <v>9952</v>
      </c>
    </row>
    <row r="2410" spans="1:2">
      <c r="A2410" s="66">
        <v>46017.904111018521</v>
      </c>
      <c r="B2410" s="49" t="s">
        <v>9953</v>
      </c>
    </row>
    <row r="2411" spans="1:2">
      <c r="A2411" s="66">
        <v>46017.904119837964</v>
      </c>
      <c r="B2411" s="49" t="s">
        <v>9078</v>
      </c>
    </row>
    <row r="2412" spans="1:2">
      <c r="A2412" s="66">
        <v>46017.904156122684</v>
      </c>
      <c r="B2412" s="49" t="s">
        <v>9954</v>
      </c>
    </row>
    <row r="2413" spans="1:2">
      <c r="A2413" s="66">
        <v>46017.904167442131</v>
      </c>
      <c r="B2413" s="49" t="s">
        <v>9955</v>
      </c>
    </row>
    <row r="2414" spans="1:2">
      <c r="A2414" s="66">
        <v>46017.904170196758</v>
      </c>
      <c r="B2414" s="49" t="s">
        <v>9191</v>
      </c>
    </row>
    <row r="2415" spans="1:2">
      <c r="A2415" s="66">
        <v>46018.26123822917</v>
      </c>
      <c r="B2415" s="49"/>
    </row>
    <row r="2416" spans="1:2">
      <c r="A2416" s="66">
        <v>46018.261287789355</v>
      </c>
      <c r="B2416" s="49"/>
    </row>
    <row r="2417" spans="1:2">
      <c r="A2417" s="66">
        <v>46018.261315567128</v>
      </c>
      <c r="B2417" s="49"/>
    </row>
    <row r="2418" spans="1:2">
      <c r="A2418" s="66">
        <v>46018.261480590278</v>
      </c>
      <c r="B2418" s="49"/>
    </row>
    <row r="2419" spans="1:2">
      <c r="A2419" s="66">
        <v>46018.261597488425</v>
      </c>
      <c r="B2419" s="49"/>
    </row>
    <row r="2420" spans="1:2">
      <c r="A2420" s="66">
        <v>46018.261645474537</v>
      </c>
      <c r="B2420" s="49"/>
    </row>
    <row r="2421" spans="1:2">
      <c r="A2421" s="66">
        <v>46018.261818553241</v>
      </c>
      <c r="B2421" s="49"/>
    </row>
    <row r="2422" spans="1:2">
      <c r="A2422" s="66">
        <v>46018.261929490742</v>
      </c>
      <c r="B2422" s="49"/>
    </row>
    <row r="2423" spans="1:2">
      <c r="A2423" s="66">
        <v>46018.264275543981</v>
      </c>
      <c r="B2423" s="49" t="s">
        <v>9956</v>
      </c>
    </row>
    <row r="2424" spans="1:2">
      <c r="A2424" s="66">
        <v>46018.264304606477</v>
      </c>
      <c r="B2424" s="49" t="s">
        <v>9310</v>
      </c>
    </row>
    <row r="2425" spans="1:2">
      <c r="A2425" s="66">
        <v>46018.264311087958</v>
      </c>
      <c r="B2425" s="49" t="s">
        <v>9074</v>
      </c>
    </row>
    <row r="2426" spans="1:2">
      <c r="A2426" s="66">
        <v>46018.264313217587</v>
      </c>
      <c r="B2426" s="49" t="s">
        <v>9191</v>
      </c>
    </row>
    <row r="2427" spans="1:2">
      <c r="A2427" s="66">
        <v>46018.273150983798</v>
      </c>
      <c r="B2427" s="49"/>
    </row>
    <row r="2428" spans="1:2">
      <c r="A2428" s="66">
        <v>46018.273451261572</v>
      </c>
      <c r="B2428" s="49"/>
    </row>
    <row r="2429" spans="1:2">
      <c r="A2429" s="66">
        <v>46018.280233217592</v>
      </c>
      <c r="B2429" s="49"/>
    </row>
    <row r="2430" spans="1:2">
      <c r="A2430" s="66">
        <v>46018.283534224538</v>
      </c>
      <c r="B2430" s="49" t="s">
        <v>9957</v>
      </c>
    </row>
    <row r="2431" spans="1:2">
      <c r="A2431" s="66">
        <v>46018.283561249998</v>
      </c>
      <c r="B2431" s="49" t="s">
        <v>9310</v>
      </c>
    </row>
    <row r="2432" spans="1:2">
      <c r="A2432" s="66">
        <v>46018.283566076389</v>
      </c>
      <c r="B2432" s="49" t="s">
        <v>9074</v>
      </c>
    </row>
    <row r="2433" spans="1:2">
      <c r="A2433" s="66">
        <v>46018.283568657411</v>
      </c>
      <c r="B2433" s="49" t="s">
        <v>9191</v>
      </c>
    </row>
    <row r="2434" spans="1:2">
      <c r="A2434" s="66">
        <v>46018.289889861117</v>
      </c>
      <c r="B2434" s="49"/>
    </row>
    <row r="2435" spans="1:2">
      <c r="A2435" s="66">
        <v>46018.309747847219</v>
      </c>
      <c r="B2435" s="49"/>
    </row>
    <row r="2436" spans="1:2">
      <c r="A2436" s="66">
        <v>46018.319979722219</v>
      </c>
      <c r="B2436" s="49"/>
    </row>
    <row r="2437" spans="1:2">
      <c r="A2437" s="66">
        <v>46018.326447314816</v>
      </c>
      <c r="B2437" s="49"/>
    </row>
    <row r="2438" spans="1:2">
      <c r="A2438" s="66">
        <v>46018.326509942126</v>
      </c>
      <c r="B2438" s="49"/>
    </row>
    <row r="2439" spans="1:2">
      <c r="A2439" s="66">
        <v>46018.455426388886</v>
      </c>
      <c r="B2439" s="49" t="s">
        <v>9958</v>
      </c>
    </row>
    <row r="2440" spans="1:2">
      <c r="A2440" s="66">
        <v>46018.455434143514</v>
      </c>
      <c r="B2440" s="49" t="s">
        <v>9959</v>
      </c>
    </row>
    <row r="2441" spans="1:2">
      <c r="A2441" s="66">
        <v>46018.455458703706</v>
      </c>
      <c r="B2441" s="49" t="s">
        <v>9078</v>
      </c>
    </row>
    <row r="2442" spans="1:2">
      <c r="A2442" s="66">
        <v>46018.455495868053</v>
      </c>
      <c r="B2442" s="49" t="s">
        <v>9960</v>
      </c>
    </row>
    <row r="2443" spans="1:2">
      <c r="A2443" s="66">
        <v>46018.455502534722</v>
      </c>
      <c r="B2443" s="49" t="s">
        <v>9961</v>
      </c>
    </row>
    <row r="2444" spans="1:2">
      <c r="A2444" s="66">
        <v>46018.455505300924</v>
      </c>
      <c r="B2444" s="49" t="s">
        <v>9191</v>
      </c>
    </row>
    <row r="2445" spans="1:2">
      <c r="A2445" s="66">
        <v>46018.459423159722</v>
      </c>
      <c r="B2445" s="49" t="s">
        <v>9962</v>
      </c>
    </row>
    <row r="2446" spans="1:2">
      <c r="A2446" s="66">
        <v>46018.459428206013</v>
      </c>
      <c r="B2446" s="49" t="s">
        <v>9547</v>
      </c>
    </row>
    <row r="2447" spans="1:2">
      <c r="A2447" s="66">
        <v>46018.459432407406</v>
      </c>
      <c r="B2447" s="49" t="s">
        <v>9078</v>
      </c>
    </row>
    <row r="2448" spans="1:2">
      <c r="A2448" s="66">
        <v>46018.45944791667</v>
      </c>
      <c r="B2448" s="49" t="s">
        <v>9827</v>
      </c>
    </row>
    <row r="2449" spans="1:2">
      <c r="A2449" s="66">
        <v>46018.45945086806</v>
      </c>
      <c r="B2449" s="49" t="s">
        <v>9191</v>
      </c>
    </row>
    <row r="2450" spans="1:2">
      <c r="A2450" s="66">
        <v>46018.543259976854</v>
      </c>
      <c r="B2450" s="49" t="s">
        <v>9781</v>
      </c>
    </row>
    <row r="2451" spans="1:2">
      <c r="A2451" s="66">
        <v>46018.543269108792</v>
      </c>
      <c r="B2451" s="49" t="s">
        <v>9288</v>
      </c>
    </row>
    <row r="2452" spans="1:2">
      <c r="A2452" s="66">
        <v>46018.543288969908</v>
      </c>
      <c r="B2452" s="49" t="s">
        <v>9078</v>
      </c>
    </row>
    <row r="2453" spans="1:2">
      <c r="A2453" s="66">
        <v>46018.543306458334</v>
      </c>
      <c r="B2453" s="49" t="s">
        <v>9408</v>
      </c>
    </row>
    <row r="2454" spans="1:2">
      <c r="A2454" s="66">
        <v>46018.543309988425</v>
      </c>
      <c r="B2454" s="49" t="s">
        <v>9191</v>
      </c>
    </row>
    <row r="2455" spans="1:2">
      <c r="A2455" s="66">
        <v>46018.543467939817</v>
      </c>
      <c r="B2455" s="49" t="s">
        <v>9963</v>
      </c>
    </row>
    <row r="2456" spans="1:2">
      <c r="A2456" s="66">
        <v>46018.543473391204</v>
      </c>
      <c r="B2456" s="49" t="s">
        <v>9288</v>
      </c>
    </row>
    <row r="2457" spans="1:2">
      <c r="A2457" s="66">
        <v>46018.543479513886</v>
      </c>
      <c r="B2457" s="49" t="s">
        <v>9078</v>
      </c>
    </row>
    <row r="2458" spans="1:2">
      <c r="A2458" s="66">
        <v>46018.543499895837</v>
      </c>
      <c r="B2458" s="49" t="s">
        <v>9408</v>
      </c>
    </row>
    <row r="2459" spans="1:2">
      <c r="A2459" s="66">
        <v>46018.543503287037</v>
      </c>
      <c r="B2459" s="49" t="s">
        <v>9191</v>
      </c>
    </row>
    <row r="2460" spans="1:2">
      <c r="A2460" s="66">
        <v>46018.582587662037</v>
      </c>
      <c r="B2460" s="49" t="s">
        <v>9964</v>
      </c>
    </row>
    <row r="2461" spans="1:2">
      <c r="A2461" s="66">
        <v>46018.582594722218</v>
      </c>
      <c r="B2461" s="49" t="s">
        <v>9369</v>
      </c>
    </row>
    <row r="2462" spans="1:2">
      <c r="A2462" s="66">
        <v>46018.582602581024</v>
      </c>
      <c r="B2462" s="49" t="s">
        <v>9078</v>
      </c>
    </row>
    <row r="2463" spans="1:2">
      <c r="A2463" s="66">
        <v>46018.582632442129</v>
      </c>
      <c r="B2463" s="49" t="s">
        <v>9370</v>
      </c>
    </row>
    <row r="2464" spans="1:2">
      <c r="A2464" s="66">
        <v>46018.582635833329</v>
      </c>
      <c r="B2464" s="49" t="s">
        <v>9191</v>
      </c>
    </row>
    <row r="2465" spans="1:2">
      <c r="A2465" s="66">
        <v>46018.845230833336</v>
      </c>
      <c r="B2465" s="49" t="s">
        <v>9965</v>
      </c>
    </row>
    <row r="2466" spans="1:2">
      <c r="A2466" s="66">
        <v>46018.845238796297</v>
      </c>
      <c r="B2466" s="49" t="s">
        <v>9966</v>
      </c>
    </row>
    <row r="2467" spans="1:2">
      <c r="A2467" s="66">
        <v>46018.845244189812</v>
      </c>
      <c r="B2467" s="49" t="s">
        <v>9078</v>
      </c>
    </row>
    <row r="2468" spans="1:2">
      <c r="A2468" s="66">
        <v>46018.845276793982</v>
      </c>
      <c r="B2468" s="49" t="s">
        <v>9967</v>
      </c>
    </row>
    <row r="2469" spans="1:2">
      <c r="A2469" s="66">
        <v>46018.84528361111</v>
      </c>
      <c r="B2469" s="49" t="s">
        <v>9968</v>
      </c>
    </row>
    <row r="2470" spans="1:2">
      <c r="A2470" s="66">
        <v>46018.845286284719</v>
      </c>
      <c r="B2470" s="49" t="s">
        <v>9191</v>
      </c>
    </row>
    <row r="2471" spans="1:2">
      <c r="A2471" s="66">
        <v>46019.209919791669</v>
      </c>
      <c r="B2471" s="49" t="s">
        <v>9969</v>
      </c>
    </row>
    <row r="2472" spans="1:2">
      <c r="A2472" s="66">
        <v>46019.209946828705</v>
      </c>
      <c r="B2472" s="49" t="s">
        <v>9970</v>
      </c>
    </row>
    <row r="2473" spans="1:2">
      <c r="A2473" s="66">
        <v>46019.209953240745</v>
      </c>
      <c r="B2473" s="49" t="s">
        <v>9078</v>
      </c>
    </row>
    <row r="2474" spans="1:2">
      <c r="A2474" s="66">
        <v>46019.209991805561</v>
      </c>
      <c r="B2474" s="49" t="s">
        <v>9971</v>
      </c>
    </row>
    <row r="2475" spans="1:2">
      <c r="A2475" s="66">
        <v>46019.209997789352</v>
      </c>
      <c r="B2475" s="49" t="s">
        <v>9972</v>
      </c>
    </row>
    <row r="2476" spans="1:2">
      <c r="A2476" s="66">
        <v>46019.210000011575</v>
      </c>
      <c r="B2476" s="49" t="s">
        <v>9191</v>
      </c>
    </row>
    <row r="2477" spans="1:2">
      <c r="A2477" s="66">
        <v>46019.224633391204</v>
      </c>
      <c r="B2477" s="49" t="s">
        <v>9973</v>
      </c>
    </row>
    <row r="2478" spans="1:2">
      <c r="A2478" s="66">
        <v>46019.224661203705</v>
      </c>
      <c r="B2478" s="49" t="s">
        <v>9310</v>
      </c>
    </row>
    <row r="2479" spans="1:2">
      <c r="A2479" s="66">
        <v>46019.22466659722</v>
      </c>
      <c r="B2479" s="49" t="s">
        <v>9074</v>
      </c>
    </row>
    <row r="2480" spans="1:2">
      <c r="A2480" s="66">
        <v>46019.224668784722</v>
      </c>
      <c r="B2480" s="49" t="s">
        <v>9191</v>
      </c>
    </row>
    <row r="2481" spans="1:2">
      <c r="A2481" s="66">
        <v>46019.227052569448</v>
      </c>
      <c r="B2481" s="49" t="s">
        <v>9974</v>
      </c>
    </row>
    <row r="2482" spans="1:2">
      <c r="A2482" s="66">
        <v>46019.227057696757</v>
      </c>
      <c r="B2482" s="49" t="s">
        <v>9784</v>
      </c>
    </row>
    <row r="2483" spans="1:2">
      <c r="A2483" s="66">
        <v>46019.227062141203</v>
      </c>
      <c r="B2483" s="49" t="s">
        <v>9078</v>
      </c>
    </row>
    <row r="2484" spans="1:2">
      <c r="A2484" s="66">
        <v>46019.227081284727</v>
      </c>
      <c r="B2484" s="49" t="s">
        <v>9785</v>
      </c>
    </row>
    <row r="2485" spans="1:2">
      <c r="A2485" s="66">
        <v>46019.227084305559</v>
      </c>
      <c r="B2485" s="49" t="s">
        <v>9191</v>
      </c>
    </row>
    <row r="2486" spans="1:2">
      <c r="A2486" s="66">
        <v>46019.243359548607</v>
      </c>
      <c r="B2486" s="49" t="s">
        <v>9975</v>
      </c>
    </row>
    <row r="2487" spans="1:2">
      <c r="A2487" s="66">
        <v>46019.243368287032</v>
      </c>
      <c r="B2487" s="49" t="s">
        <v>9393</v>
      </c>
    </row>
    <row r="2488" spans="1:2">
      <c r="A2488" s="66">
        <v>46019.243373275458</v>
      </c>
      <c r="B2488" s="49" t="s">
        <v>9078</v>
      </c>
    </row>
    <row r="2489" spans="1:2">
      <c r="A2489" s="66">
        <v>46019.243398981482</v>
      </c>
      <c r="B2489" s="49" t="s">
        <v>9394</v>
      </c>
    </row>
    <row r="2490" spans="1:2">
      <c r="A2490" s="66">
        <v>46019.243401886575</v>
      </c>
      <c r="B2490" s="49" t="s">
        <v>9191</v>
      </c>
    </row>
    <row r="2491" spans="1:2">
      <c r="A2491" s="66">
        <v>46019.24410700232</v>
      </c>
      <c r="B2491" s="49" t="s">
        <v>9194</v>
      </c>
    </row>
    <row r="2492" spans="1:2">
      <c r="A2492" s="66">
        <v>46019.244110914355</v>
      </c>
      <c r="B2492" s="49" t="s">
        <v>9191</v>
      </c>
    </row>
    <row r="2493" spans="1:2">
      <c r="A2493" s="66">
        <v>46019.307112627313</v>
      </c>
      <c r="B2493" s="49" t="s">
        <v>9976</v>
      </c>
    </row>
    <row r="2494" spans="1:2">
      <c r="A2494" s="66">
        <v>46019.307140173609</v>
      </c>
      <c r="B2494" s="49" t="s">
        <v>9310</v>
      </c>
    </row>
    <row r="2495" spans="1:2">
      <c r="A2495" s="66">
        <v>46019.307145462968</v>
      </c>
      <c r="B2495" s="49" t="s">
        <v>9074</v>
      </c>
    </row>
    <row r="2496" spans="1:2">
      <c r="A2496" s="66">
        <v>46019.307149108798</v>
      </c>
      <c r="B2496" s="49" t="s">
        <v>9191</v>
      </c>
    </row>
    <row r="2497" spans="1:2">
      <c r="A2497" s="66">
        <v>46019.334994120371</v>
      </c>
      <c r="B2497" s="49"/>
    </row>
    <row r="2498" spans="1:2">
      <c r="A2498" s="66">
        <v>46019.346518495367</v>
      </c>
      <c r="B2498" s="49"/>
    </row>
    <row r="2499" spans="1:2">
      <c r="A2499" s="66">
        <v>46019.347616516199</v>
      </c>
      <c r="B2499" s="49"/>
    </row>
    <row r="2500" spans="1:2">
      <c r="A2500" s="66">
        <v>46019.347828298611</v>
      </c>
      <c r="B2500" s="49"/>
    </row>
    <row r="2501" spans="1:2">
      <c r="A2501" s="66">
        <v>46019.356524976851</v>
      </c>
      <c r="B2501" s="49"/>
    </row>
    <row r="2502" spans="1:2">
      <c r="A2502" s="66">
        <v>46019.357813831019</v>
      </c>
      <c r="B2502" s="49" t="s">
        <v>9977</v>
      </c>
    </row>
    <row r="2503" spans="1:2">
      <c r="A2503" s="66">
        <v>46019.357835011571</v>
      </c>
      <c r="B2503" s="49" t="s">
        <v>9310</v>
      </c>
    </row>
    <row r="2504" spans="1:2">
      <c r="A2504" s="66">
        <v>46019.357839629629</v>
      </c>
      <c r="B2504" s="49" t="s">
        <v>9074</v>
      </c>
    </row>
    <row r="2505" spans="1:2">
      <c r="A2505" s="66">
        <v>46019.357841851852</v>
      </c>
      <c r="B2505" s="49" t="s">
        <v>9191</v>
      </c>
    </row>
    <row r="2506" spans="1:2">
      <c r="A2506" s="66">
        <v>46019.362904664347</v>
      </c>
      <c r="B2506" s="49"/>
    </row>
    <row r="2507" spans="1:2">
      <c r="A2507" s="66">
        <v>46019.368718229161</v>
      </c>
      <c r="B2507" s="49"/>
    </row>
    <row r="2508" spans="1:2">
      <c r="A2508" s="66">
        <v>46019.397953888889</v>
      </c>
      <c r="B2508" s="49"/>
    </row>
    <row r="2509" spans="1:2">
      <c r="A2509" s="66">
        <v>46019.547675405091</v>
      </c>
      <c r="B2509" s="49"/>
    </row>
    <row r="2510" spans="1:2">
      <c r="A2510" s="66">
        <v>46019.559734872688</v>
      </c>
      <c r="B2510" s="49"/>
    </row>
    <row r="2511" spans="1:2">
      <c r="A2511" s="66">
        <v>46019.616583703704</v>
      </c>
      <c r="B2511" s="49"/>
    </row>
    <row r="2512" spans="1:2">
      <c r="A2512" s="66">
        <v>46020.246590659721</v>
      </c>
      <c r="B2512" s="49" t="s">
        <v>9978</v>
      </c>
    </row>
    <row r="2513" spans="1:2">
      <c r="A2513" s="66">
        <v>46020.246635844909</v>
      </c>
      <c r="B2513" s="49" t="s">
        <v>9310</v>
      </c>
    </row>
    <row r="2514" spans="1:2">
      <c r="A2514" s="66">
        <v>46020.246642592596</v>
      </c>
      <c r="B2514" s="49" t="s">
        <v>9074</v>
      </c>
    </row>
    <row r="2515" spans="1:2">
      <c r="A2515" s="66">
        <v>46020.246646226849</v>
      </c>
      <c r="B2515" s="49" t="s">
        <v>9191</v>
      </c>
    </row>
    <row r="2516" spans="1:2">
      <c r="A2516" s="66">
        <v>46020.294118819445</v>
      </c>
      <c r="B2516" s="49"/>
    </row>
    <row r="2517" spans="1:2">
      <c r="A2517" s="66">
        <v>46020.294933819445</v>
      </c>
      <c r="B2517" s="49"/>
    </row>
    <row r="2518" spans="1:2">
      <c r="A2518" s="66">
        <v>46020.295013645838</v>
      </c>
      <c r="B2518" s="49"/>
    </row>
    <row r="2519" spans="1:2">
      <c r="A2519" s="66">
        <v>46020.295093090273</v>
      </c>
      <c r="B2519" s="49"/>
    </row>
    <row r="2520" spans="1:2">
      <c r="A2520" s="66">
        <v>46020.295180335648</v>
      </c>
      <c r="B2520" s="49"/>
    </row>
    <row r="2521" spans="1:2">
      <c r="A2521" s="66">
        <v>46020.29538546296</v>
      </c>
      <c r="B2521" s="49"/>
    </row>
    <row r="2522" spans="1:2">
      <c r="A2522" s="66">
        <v>46020.295456944441</v>
      </c>
      <c r="B2522" s="49"/>
    </row>
    <row r="2523" spans="1:2">
      <c r="A2523" s="66">
        <v>46020.306493067124</v>
      </c>
      <c r="B2523" s="49"/>
    </row>
    <row r="2524" spans="1:2">
      <c r="A2524" s="66">
        <v>46020.314970925931</v>
      </c>
      <c r="B2524" s="49"/>
    </row>
    <row r="2525" spans="1:2">
      <c r="A2525" s="66">
        <v>46020.321468495371</v>
      </c>
      <c r="B2525" s="49"/>
    </row>
    <row r="2526" spans="1:2">
      <c r="A2526" s="66">
        <v>46020.32883755787</v>
      </c>
      <c r="B2526" s="49"/>
    </row>
    <row r="2527" spans="1:2">
      <c r="A2527" s="66">
        <v>46020.331791365737</v>
      </c>
      <c r="B2527" s="49"/>
    </row>
    <row r="2528" spans="1:2">
      <c r="A2528" s="66">
        <v>46020.331894629635</v>
      </c>
      <c r="B2528" s="49"/>
    </row>
    <row r="2529" spans="1:2">
      <c r="A2529" s="66">
        <v>46020.336087488424</v>
      </c>
      <c r="B2529" s="49" t="s">
        <v>9979</v>
      </c>
    </row>
    <row r="2530" spans="1:2">
      <c r="A2530" s="66">
        <v>46020.336095833336</v>
      </c>
      <c r="B2530" s="49" t="s">
        <v>9980</v>
      </c>
    </row>
    <row r="2531" spans="1:2">
      <c r="A2531" s="66">
        <v>46020.336117002313</v>
      </c>
      <c r="B2531" s="49" t="s">
        <v>9078</v>
      </c>
    </row>
    <row r="2532" spans="1:2">
      <c r="A2532" s="66">
        <v>46020.336153761571</v>
      </c>
      <c r="B2532" s="49" t="s">
        <v>9981</v>
      </c>
    </row>
    <row r="2533" spans="1:2">
      <c r="A2533" s="66">
        <v>46020.336162974534</v>
      </c>
      <c r="B2533" s="49" t="s">
        <v>9982</v>
      </c>
    </row>
    <row r="2534" spans="1:2">
      <c r="A2534" s="66">
        <v>46020.336166493056</v>
      </c>
      <c r="B2534" s="49" t="s">
        <v>9191</v>
      </c>
    </row>
    <row r="2535" spans="1:2">
      <c r="A2535" s="66">
        <v>46020.36699574074</v>
      </c>
      <c r="B2535" s="49"/>
    </row>
    <row r="2536" spans="1:2">
      <c r="A2536" s="66">
        <v>46020.398852546292</v>
      </c>
      <c r="B2536" s="49"/>
    </row>
    <row r="2537" spans="1:2">
      <c r="A2537" s="66">
        <v>46020.545795590282</v>
      </c>
      <c r="B2537" s="49"/>
    </row>
    <row r="2538" spans="1:2">
      <c r="A2538" s="66">
        <v>46020.553147800922</v>
      </c>
      <c r="B2538" s="49"/>
    </row>
    <row r="2539" spans="1:2">
      <c r="A2539" s="66">
        <v>46020.893460266205</v>
      </c>
      <c r="B2539" s="49" t="s">
        <v>9983</v>
      </c>
    </row>
    <row r="2540" spans="1:2">
      <c r="A2540" s="66">
        <v>46020.893475543984</v>
      </c>
      <c r="B2540" s="49" t="s">
        <v>9291</v>
      </c>
    </row>
    <row r="2541" spans="1:2">
      <c r="A2541" s="66">
        <v>46020.89349638889</v>
      </c>
      <c r="B2541" s="49" t="s">
        <v>9078</v>
      </c>
    </row>
    <row r="2542" spans="1:2">
      <c r="A2542" s="66">
        <v>46020.893511319446</v>
      </c>
      <c r="B2542" s="49" t="s">
        <v>9531</v>
      </c>
    </row>
    <row r="2543" spans="1:2">
      <c r="A2543" s="66">
        <v>46020.893515057869</v>
      </c>
      <c r="B2543" s="49" t="s">
        <v>9191</v>
      </c>
    </row>
    <row r="2544" spans="1:2">
      <c r="A2544" s="66">
        <v>46020.908673472222</v>
      </c>
      <c r="B2544" s="49" t="s">
        <v>9984</v>
      </c>
    </row>
    <row r="2545" spans="1:2">
      <c r="A2545" s="66">
        <v>46020.908680520835</v>
      </c>
      <c r="B2545" s="49" t="s">
        <v>9985</v>
      </c>
    </row>
    <row r="2546" spans="1:2">
      <c r="A2546" s="66">
        <v>46020.908700729167</v>
      </c>
      <c r="B2546" s="49" t="s">
        <v>9078</v>
      </c>
    </row>
    <row r="2547" spans="1:2">
      <c r="A2547" s="66">
        <v>46020.908722569446</v>
      </c>
      <c r="B2547" s="49" t="s">
        <v>9986</v>
      </c>
    </row>
    <row r="2548" spans="1:2">
      <c r="A2548" s="66">
        <v>46020.908726076392</v>
      </c>
      <c r="B2548" s="49" t="s">
        <v>9191</v>
      </c>
    </row>
    <row r="2549" spans="1:2">
      <c r="A2549" s="66">
        <v>46020.909023819448</v>
      </c>
      <c r="B2549" s="49" t="s">
        <v>9987</v>
      </c>
    </row>
    <row r="2550" spans="1:2">
      <c r="A2550" s="66">
        <v>46020.909031006944</v>
      </c>
      <c r="B2550" s="49" t="s">
        <v>9988</v>
      </c>
    </row>
    <row r="2551" spans="1:2">
      <c r="A2551" s="66">
        <v>46020.90903855324</v>
      </c>
      <c r="B2551" s="49" t="s">
        <v>9078</v>
      </c>
    </row>
    <row r="2552" spans="1:2">
      <c r="A2552" s="66">
        <v>46020.909063090279</v>
      </c>
      <c r="B2552" s="49" t="s">
        <v>9989</v>
      </c>
    </row>
    <row r="2553" spans="1:2">
      <c r="A2553" s="66">
        <v>46020.909066793982</v>
      </c>
      <c r="B2553" s="49" t="s">
        <v>9191</v>
      </c>
    </row>
    <row r="2554" spans="1:2">
      <c r="A2554" s="66">
        <v>46020.911570289347</v>
      </c>
      <c r="B2554" s="49" t="s">
        <v>9990</v>
      </c>
    </row>
    <row r="2555" spans="1:2">
      <c r="A2555" s="66">
        <v>46020.91157733796</v>
      </c>
      <c r="B2555" s="49" t="s">
        <v>9600</v>
      </c>
    </row>
    <row r="2556" spans="1:2">
      <c r="A2556" s="66">
        <v>46020.911582361106</v>
      </c>
      <c r="B2556" s="49" t="s">
        <v>9078</v>
      </c>
    </row>
    <row r="2557" spans="1:2">
      <c r="A2557" s="66">
        <v>46020.911600960651</v>
      </c>
      <c r="B2557" s="49" t="s">
        <v>9991</v>
      </c>
    </row>
    <row r="2558" spans="1:2">
      <c r="A2558" s="66">
        <v>46020.911612465279</v>
      </c>
      <c r="B2558" s="49" t="s">
        <v>9191</v>
      </c>
    </row>
    <row r="2559" spans="1:2">
      <c r="A2559" s="66">
        <v>46020.913598726853</v>
      </c>
      <c r="B2559" s="49" t="s">
        <v>9992</v>
      </c>
    </row>
    <row r="2560" spans="1:2">
      <c r="A2560" s="66">
        <v>46020.913604652778</v>
      </c>
      <c r="B2560" s="49" t="s">
        <v>9993</v>
      </c>
    </row>
    <row r="2561" spans="1:2">
      <c r="A2561" s="66">
        <v>46020.913610046293</v>
      </c>
      <c r="B2561" s="49" t="s">
        <v>9078</v>
      </c>
    </row>
    <row r="2562" spans="1:2">
      <c r="A2562" s="66">
        <v>46020.913634965276</v>
      </c>
      <c r="B2562" s="49" t="s">
        <v>9994</v>
      </c>
    </row>
    <row r="2563" spans="1:2">
      <c r="A2563" s="66">
        <v>46020.913640625004</v>
      </c>
      <c r="B2563" s="49" t="s">
        <v>9191</v>
      </c>
    </row>
    <row r="2564" spans="1:2">
      <c r="A2564" s="66">
        <v>46021.207367916664</v>
      </c>
      <c r="B2564" s="49" t="s">
        <v>9995</v>
      </c>
    </row>
    <row r="2565" spans="1:2">
      <c r="A2565" s="66">
        <v>46021.20740068287</v>
      </c>
      <c r="B2565" s="49" t="s">
        <v>9073</v>
      </c>
    </row>
    <row r="2566" spans="1:2">
      <c r="A2566" s="66">
        <v>46021.207405752313</v>
      </c>
      <c r="B2566" s="49" t="s">
        <v>9074</v>
      </c>
    </row>
    <row r="2567" spans="1:2">
      <c r="A2567" s="66">
        <v>46021.207408321759</v>
      </c>
      <c r="B2567" s="49" t="s">
        <v>9191</v>
      </c>
    </row>
    <row r="2568" spans="1:2">
      <c r="A2568" s="66">
        <v>46021.20820256944</v>
      </c>
      <c r="B2568" s="49" t="s">
        <v>9996</v>
      </c>
    </row>
    <row r="2569" spans="1:2">
      <c r="A2569" s="66">
        <v>46021.208229247684</v>
      </c>
      <c r="B2569" s="49" t="s">
        <v>9073</v>
      </c>
    </row>
    <row r="2570" spans="1:2">
      <c r="A2570" s="66">
        <v>46021.208234317135</v>
      </c>
      <c r="B2570" s="49" t="s">
        <v>9074</v>
      </c>
    </row>
    <row r="2571" spans="1:2">
      <c r="A2571" s="66">
        <v>46021.208237037034</v>
      </c>
      <c r="B2571" s="49" t="s">
        <v>9191</v>
      </c>
    </row>
    <row r="2572" spans="1:2">
      <c r="A2572" s="66">
        <v>46021.208842569446</v>
      </c>
      <c r="B2572" s="49" t="s">
        <v>9997</v>
      </c>
    </row>
    <row r="2573" spans="1:2">
      <c r="A2573" s="66">
        <v>46021.208868715279</v>
      </c>
      <c r="B2573" s="49" t="s">
        <v>9073</v>
      </c>
    </row>
    <row r="2574" spans="1:2">
      <c r="A2574" s="66">
        <v>46021.208873518517</v>
      </c>
      <c r="B2574" s="49" t="s">
        <v>9074</v>
      </c>
    </row>
    <row r="2575" spans="1:2">
      <c r="A2575" s="66">
        <v>46021.208876076387</v>
      </c>
      <c r="B2575" s="49" t="s">
        <v>9191</v>
      </c>
    </row>
    <row r="2576" spans="1:2">
      <c r="A2576" s="66">
        <v>46021.211340717593</v>
      </c>
      <c r="B2576" s="49" t="s">
        <v>9998</v>
      </c>
    </row>
    <row r="2577" spans="1:2">
      <c r="A2577" s="66">
        <v>46021.211376342588</v>
      </c>
      <c r="B2577" s="49" t="s">
        <v>9073</v>
      </c>
    </row>
    <row r="2578" spans="1:2">
      <c r="A2578" s="66">
        <v>46021.211381655092</v>
      </c>
      <c r="B2578" s="49" t="s">
        <v>9074</v>
      </c>
    </row>
    <row r="2579" spans="1:2">
      <c r="A2579" s="66">
        <v>46021.211384490744</v>
      </c>
      <c r="B2579" s="49" t="s">
        <v>9191</v>
      </c>
    </row>
    <row r="2580" spans="1:2">
      <c r="A2580" s="66">
        <v>46021.303492847219</v>
      </c>
      <c r="B2580" s="49" t="s">
        <v>9999</v>
      </c>
    </row>
    <row r="2581" spans="1:2">
      <c r="A2581" s="66">
        <v>46021.303526655094</v>
      </c>
      <c r="B2581" s="49" t="s">
        <v>9310</v>
      </c>
    </row>
    <row r="2582" spans="1:2">
      <c r="A2582" s="66">
        <v>46021.303532916667</v>
      </c>
      <c r="B2582" s="49" t="s">
        <v>9074</v>
      </c>
    </row>
    <row r="2583" spans="1:2">
      <c r="A2583" s="66">
        <v>46021.303535381943</v>
      </c>
      <c r="B2583" s="49" t="s">
        <v>9191</v>
      </c>
    </row>
    <row r="2584" spans="1:2">
      <c r="A2584" s="66">
        <v>46021.385201863421</v>
      </c>
      <c r="B2584" s="49"/>
    </row>
    <row r="2585" spans="1:2">
      <c r="A2585" s="66">
        <v>46021.396594537036</v>
      </c>
      <c r="B2585" s="49"/>
    </row>
    <row r="2586" spans="1:2">
      <c r="A2586" s="66">
        <v>46021.396616527782</v>
      </c>
      <c r="B2586" s="49"/>
    </row>
    <row r="2587" spans="1:2">
      <c r="A2587" s="66">
        <v>46021.404110358795</v>
      </c>
      <c r="B2587" s="49"/>
    </row>
    <row r="2588" spans="1:2">
      <c r="A2588" s="66">
        <v>46022.394714606482</v>
      </c>
      <c r="B2588" s="49" t="s">
        <v>9984</v>
      </c>
    </row>
    <row r="2589" spans="1:2">
      <c r="A2589" s="66">
        <v>46022.394721909717</v>
      </c>
      <c r="B2589" s="49" t="s">
        <v>9985</v>
      </c>
    </row>
    <row r="2590" spans="1:2">
      <c r="A2590" s="66">
        <v>46022.394727488427</v>
      </c>
      <c r="B2590" s="49" t="s">
        <v>9078</v>
      </c>
    </row>
    <row r="2591" spans="1:2">
      <c r="A2591" s="66">
        <v>46022.394765370365</v>
      </c>
      <c r="B2591" s="49" t="s">
        <v>9986</v>
      </c>
    </row>
    <row r="2592" spans="1:2">
      <c r="A2592" s="66">
        <v>46022.394768460646</v>
      </c>
      <c r="B2592" s="49" t="s">
        <v>9191</v>
      </c>
    </row>
    <row r="2593" spans="1:2">
      <c r="A2593" s="66">
        <v>46022.394964293984</v>
      </c>
      <c r="B2593" s="49" t="s">
        <v>9984</v>
      </c>
    </row>
    <row r="2594" spans="1:2">
      <c r="A2594" s="66">
        <v>46022.394968657405</v>
      </c>
      <c r="B2594" s="49" t="s">
        <v>9985</v>
      </c>
    </row>
    <row r="2595" spans="1:2">
      <c r="A2595" s="66">
        <v>46022.394975497686</v>
      </c>
      <c r="B2595" s="49" t="s">
        <v>9078</v>
      </c>
    </row>
    <row r="2596" spans="1:2">
      <c r="A2596" s="66">
        <v>46022.39498798611</v>
      </c>
      <c r="B2596" s="49" t="s">
        <v>9986</v>
      </c>
    </row>
    <row r="2597" spans="1:2">
      <c r="A2597" s="66">
        <v>46022.394991099536</v>
      </c>
      <c r="B2597" s="49" t="s">
        <v>9191</v>
      </c>
    </row>
    <row r="2598" spans="1:2">
      <c r="A2598" s="66">
        <v>46023.547866134264</v>
      </c>
      <c r="B2598" s="49" t="s">
        <v>10000</v>
      </c>
    </row>
    <row r="2599" spans="1:2">
      <c r="A2599" s="66">
        <v>46023.547872974537</v>
      </c>
      <c r="B2599" s="49" t="s">
        <v>9486</v>
      </c>
    </row>
    <row r="2600" spans="1:2">
      <c r="A2600" s="66">
        <v>46023.547877314813</v>
      </c>
      <c r="B2600" s="49" t="s">
        <v>9078</v>
      </c>
    </row>
    <row r="2601" spans="1:2">
      <c r="A2601" s="66">
        <v>46023.547890601854</v>
      </c>
      <c r="B2601" s="49" t="s">
        <v>9487</v>
      </c>
    </row>
    <row r="2602" spans="1:2">
      <c r="A2602" s="66">
        <v>46023.547897094904</v>
      </c>
      <c r="B2602" s="49" t="s">
        <v>9191</v>
      </c>
    </row>
    <row r="2603" spans="1:2">
      <c r="A2603" s="66">
        <v>46024.266275995367</v>
      </c>
      <c r="B2603" s="49" t="s">
        <v>10001</v>
      </c>
    </row>
    <row r="2604" spans="1:2">
      <c r="A2604" s="66">
        <v>46024.266320300929</v>
      </c>
      <c r="B2604" s="49" t="s">
        <v>9073</v>
      </c>
    </row>
    <row r="2605" spans="1:2">
      <c r="A2605" s="66">
        <v>46024.26632894676</v>
      </c>
      <c r="B2605" s="49" t="s">
        <v>9074</v>
      </c>
    </row>
    <row r="2606" spans="1:2">
      <c r="A2606" s="66">
        <v>46024.266332199069</v>
      </c>
      <c r="B2606" s="49" t="s">
        <v>9191</v>
      </c>
    </row>
    <row r="2607" spans="1:2">
      <c r="A2607" s="66">
        <v>46024.267211736107</v>
      </c>
      <c r="B2607" s="49" t="s">
        <v>10002</v>
      </c>
    </row>
    <row r="2608" spans="1:2">
      <c r="A2608" s="66">
        <v>46024.267231192134</v>
      </c>
      <c r="B2608" s="49" t="s">
        <v>9073</v>
      </c>
    </row>
    <row r="2609" spans="1:2">
      <c r="A2609" s="66">
        <v>46024.267235810185</v>
      </c>
      <c r="B2609" s="49" t="s">
        <v>9074</v>
      </c>
    </row>
    <row r="2610" spans="1:2">
      <c r="A2610" s="66">
        <v>46024.267237824075</v>
      </c>
      <c r="B2610" s="49" t="s">
        <v>9191</v>
      </c>
    </row>
    <row r="2611" spans="1:2">
      <c r="A2611" s="66">
        <v>46024.344864629631</v>
      </c>
      <c r="B2611" s="49" t="s">
        <v>10003</v>
      </c>
    </row>
    <row r="2612" spans="1:2">
      <c r="A2612" s="66">
        <v>46024.344869456021</v>
      </c>
      <c r="B2612" s="49" t="s">
        <v>10004</v>
      </c>
    </row>
    <row r="2613" spans="1:2">
      <c r="A2613" s="66">
        <v>46024.344872939815</v>
      </c>
      <c r="B2613" s="49" t="s">
        <v>9078</v>
      </c>
    </row>
    <row r="2614" spans="1:2">
      <c r="A2614" s="66">
        <v>46024.344923946759</v>
      </c>
      <c r="B2614" s="49" t="s">
        <v>10005</v>
      </c>
    </row>
    <row r="2615" spans="1:2">
      <c r="A2615" s="66">
        <v>46024.344930069448</v>
      </c>
      <c r="B2615" s="49" t="s">
        <v>10006</v>
      </c>
    </row>
    <row r="2616" spans="1:2">
      <c r="A2616" s="66">
        <v>46024.344931805557</v>
      </c>
      <c r="B2616" s="49" t="s">
        <v>9191</v>
      </c>
    </row>
    <row r="2617" spans="1:2">
      <c r="A2617" s="66">
        <v>46024.421712673611</v>
      </c>
      <c r="B2617" s="49" t="s">
        <v>10007</v>
      </c>
    </row>
    <row r="2618" spans="1:2">
      <c r="A2618" s="66">
        <v>46024.421717858801</v>
      </c>
      <c r="B2618" s="49" t="s">
        <v>10008</v>
      </c>
    </row>
    <row r="2619" spans="1:2">
      <c r="A2619" s="66">
        <v>46024.42173887731</v>
      </c>
      <c r="B2619" s="49" t="s">
        <v>9078</v>
      </c>
    </row>
    <row r="2620" spans="1:2">
      <c r="A2620" s="66">
        <v>46024.421762523147</v>
      </c>
      <c r="B2620" s="49" t="s">
        <v>10009</v>
      </c>
    </row>
    <row r="2621" spans="1:2">
      <c r="A2621" s="66">
        <v>46024.421776226853</v>
      </c>
      <c r="B2621" s="49" t="s">
        <v>10010</v>
      </c>
    </row>
    <row r="2622" spans="1:2">
      <c r="A2622" s="66">
        <v>46024.421778055555</v>
      </c>
      <c r="B2622" s="49" t="s">
        <v>9191</v>
      </c>
    </row>
    <row r="2623" spans="1:2">
      <c r="A2623" s="66">
        <v>46024.463592245374</v>
      </c>
      <c r="B2623" s="49" t="s">
        <v>10011</v>
      </c>
    </row>
    <row r="2624" spans="1:2">
      <c r="A2624" s="66">
        <v>46024.463599745373</v>
      </c>
      <c r="B2624" s="49" t="s">
        <v>9175</v>
      </c>
    </row>
    <row r="2625" spans="1:2">
      <c r="A2625" s="66">
        <v>46024.463617615736</v>
      </c>
      <c r="B2625" s="49" t="s">
        <v>9174</v>
      </c>
    </row>
    <row r="2626" spans="1:2">
      <c r="A2626" s="66">
        <v>46024.463626631943</v>
      </c>
      <c r="B2626" s="49" t="s">
        <v>9191</v>
      </c>
    </row>
    <row r="2627" spans="1:2">
      <c r="A2627" s="66">
        <v>46024.463790011578</v>
      </c>
      <c r="B2627" s="49" t="s">
        <v>10012</v>
      </c>
    </row>
    <row r="2628" spans="1:2">
      <c r="A2628" s="66">
        <v>46024.4638021875</v>
      </c>
      <c r="B2628" s="49" t="s">
        <v>10013</v>
      </c>
    </row>
    <row r="2629" spans="1:2">
      <c r="A2629" s="66">
        <v>46024.463808657412</v>
      </c>
      <c r="B2629" s="49" t="s">
        <v>9078</v>
      </c>
    </row>
    <row r="2630" spans="1:2">
      <c r="A2630" s="66">
        <v>46024.463839548611</v>
      </c>
      <c r="B2630" s="49" t="s">
        <v>10014</v>
      </c>
    </row>
    <row r="2631" spans="1:2">
      <c r="A2631" s="66">
        <v>46024.463847974534</v>
      </c>
      <c r="B2631" s="49" t="s">
        <v>10015</v>
      </c>
    </row>
    <row r="2632" spans="1:2">
      <c r="A2632" s="66">
        <v>46024.463850949076</v>
      </c>
      <c r="B2632" s="49" t="s">
        <v>9191</v>
      </c>
    </row>
    <row r="2633" spans="1:2">
      <c r="A2633" s="66">
        <v>46024.582151643517</v>
      </c>
      <c r="B2633" s="49" t="s">
        <v>10016</v>
      </c>
    </row>
    <row r="2634" spans="1:2">
      <c r="A2634" s="66">
        <v>46024.582157210651</v>
      </c>
      <c r="B2634" s="49" t="s">
        <v>10017</v>
      </c>
    </row>
    <row r="2635" spans="1:2">
      <c r="A2635" s="66">
        <v>46024.582161157407</v>
      </c>
      <c r="B2635" s="49" t="s">
        <v>9078</v>
      </c>
    </row>
    <row r="2636" spans="1:2">
      <c r="A2636" s="66">
        <v>46024.582192997681</v>
      </c>
      <c r="B2636" s="49" t="s">
        <v>10018</v>
      </c>
    </row>
    <row r="2637" spans="1:2">
      <c r="A2637" s="66">
        <v>46024.582198854172</v>
      </c>
      <c r="B2637" s="49" t="s">
        <v>10019</v>
      </c>
    </row>
    <row r="2638" spans="1:2">
      <c r="A2638" s="66">
        <v>46024.582200636578</v>
      </c>
      <c r="B2638" s="49" t="s">
        <v>9191</v>
      </c>
    </row>
    <row r="2639" spans="1:2">
      <c r="A2639" s="66">
        <v>46024.824315057871</v>
      </c>
      <c r="B2639" s="49" t="s">
        <v>10020</v>
      </c>
    </row>
    <row r="2640" spans="1:2">
      <c r="A2640" s="66">
        <v>46024.82432605324</v>
      </c>
      <c r="B2640" s="49" t="s">
        <v>10021</v>
      </c>
    </row>
    <row r="2641" spans="1:2">
      <c r="A2641" s="66">
        <v>46024.824330023148</v>
      </c>
      <c r="B2641" s="49" t="s">
        <v>9078</v>
      </c>
    </row>
    <row r="2642" spans="1:2">
      <c r="A2642" s="66">
        <v>46024.824376712961</v>
      </c>
      <c r="B2642" s="49" t="s">
        <v>10022</v>
      </c>
    </row>
    <row r="2643" spans="1:2">
      <c r="A2643" s="66">
        <v>46024.82438982639</v>
      </c>
      <c r="B2643" s="49" t="s">
        <v>10023</v>
      </c>
    </row>
    <row r="2644" spans="1:2">
      <c r="A2644" s="66">
        <v>46024.824401516205</v>
      </c>
      <c r="B2644" s="49" t="s">
        <v>9191</v>
      </c>
    </row>
    <row r="2645" spans="1:2">
      <c r="A2645" s="66">
        <v>46024.865307673608</v>
      </c>
      <c r="B2645" s="49" t="s">
        <v>10024</v>
      </c>
    </row>
    <row r="2646" spans="1:2">
      <c r="A2646" s="66">
        <v>46024.865312465277</v>
      </c>
      <c r="B2646" s="49" t="s">
        <v>9272</v>
      </c>
    </row>
    <row r="2647" spans="1:2">
      <c r="A2647" s="66">
        <v>46024.865316782409</v>
      </c>
      <c r="B2647" s="49" t="s">
        <v>9078</v>
      </c>
    </row>
    <row r="2648" spans="1:2">
      <c r="A2648" s="66">
        <v>46024.865329363427</v>
      </c>
      <c r="B2648" s="49" t="s">
        <v>9758</v>
      </c>
    </row>
    <row r="2649" spans="1:2">
      <c r="A2649" s="66">
        <v>46024.865340219912</v>
      </c>
      <c r="B2649" s="49" t="s">
        <v>9191</v>
      </c>
    </row>
    <row r="2650" spans="1:2">
      <c r="A2650" s="66">
        <v>46024.865665902777</v>
      </c>
      <c r="B2650" s="49" t="s">
        <v>10025</v>
      </c>
    </row>
    <row r="2651" spans="1:2">
      <c r="A2651" s="66">
        <v>46024.865679583338</v>
      </c>
      <c r="B2651" s="49" t="s">
        <v>9112</v>
      </c>
    </row>
    <row r="2652" spans="1:2">
      <c r="A2652" s="66">
        <v>46024.865684027776</v>
      </c>
      <c r="B2652" s="49" t="s">
        <v>9078</v>
      </c>
    </row>
    <row r="2653" spans="1:2">
      <c r="A2653" s="66">
        <v>46024.865704189811</v>
      </c>
      <c r="B2653" s="49" t="s">
        <v>9468</v>
      </c>
    </row>
    <row r="2654" spans="1:2">
      <c r="A2654" s="66">
        <v>46024.865710555554</v>
      </c>
      <c r="B2654" s="49" t="s">
        <v>9191</v>
      </c>
    </row>
    <row r="2655" spans="1:2">
      <c r="A2655" s="66">
        <v>46024.86595201389</v>
      </c>
      <c r="B2655" s="49" t="s">
        <v>10026</v>
      </c>
    </row>
    <row r="2656" spans="1:2">
      <c r="A2656" s="66">
        <v>46024.86595950232</v>
      </c>
      <c r="B2656" s="49" t="s">
        <v>10027</v>
      </c>
    </row>
    <row r="2657" spans="1:2">
      <c r="A2657" s="66">
        <v>46024.865967939812</v>
      </c>
      <c r="B2657" s="49" t="s">
        <v>9078</v>
      </c>
    </row>
    <row r="2658" spans="1:2">
      <c r="A2658" s="66">
        <v>46024.866012013888</v>
      </c>
      <c r="B2658" s="49" t="s">
        <v>10028</v>
      </c>
    </row>
    <row r="2659" spans="1:2">
      <c r="A2659" s="66">
        <v>46024.866016631946</v>
      </c>
      <c r="B2659" s="49" t="s">
        <v>9191</v>
      </c>
    </row>
    <row r="2660" spans="1:2">
      <c r="A2660" s="66">
        <v>46024.866296388893</v>
      </c>
      <c r="B2660" s="49" t="s">
        <v>10029</v>
      </c>
    </row>
    <row r="2661" spans="1:2">
      <c r="A2661" s="66">
        <v>46024.866302743059</v>
      </c>
      <c r="B2661" s="49" t="s">
        <v>10030</v>
      </c>
    </row>
    <row r="2662" spans="1:2">
      <c r="A2662" s="66">
        <v>46024.866308877317</v>
      </c>
      <c r="B2662" s="49" t="s">
        <v>9078</v>
      </c>
    </row>
    <row r="2663" spans="1:2">
      <c r="A2663" s="66">
        <v>46024.866346053241</v>
      </c>
      <c r="B2663" s="49" t="s">
        <v>10031</v>
      </c>
    </row>
    <row r="2664" spans="1:2">
      <c r="A2664" s="66">
        <v>46024.866354571757</v>
      </c>
      <c r="B2664" s="49" t="s">
        <v>10032</v>
      </c>
    </row>
    <row r="2665" spans="1:2">
      <c r="A2665" s="66">
        <v>46024.866357384264</v>
      </c>
      <c r="B2665" s="49" t="s">
        <v>9191</v>
      </c>
    </row>
    <row r="2666" spans="1:2">
      <c r="A2666" s="66">
        <v>46025.207705659719</v>
      </c>
      <c r="B2666" s="49" t="s">
        <v>10033</v>
      </c>
    </row>
    <row r="2667" spans="1:2">
      <c r="A2667" s="66">
        <v>46025.207747685185</v>
      </c>
      <c r="B2667" s="49" t="s">
        <v>9073</v>
      </c>
    </row>
    <row r="2668" spans="1:2">
      <c r="A2668" s="66">
        <v>46025.207752465278</v>
      </c>
      <c r="B2668" s="49" t="s">
        <v>9074</v>
      </c>
    </row>
    <row r="2669" spans="1:2">
      <c r="A2669" s="66">
        <v>46025.207755601848</v>
      </c>
      <c r="B2669" s="49" t="s">
        <v>9191</v>
      </c>
    </row>
    <row r="2670" spans="1:2">
      <c r="A2670" s="66">
        <v>46025.20843298611</v>
      </c>
      <c r="B2670" s="49" t="s">
        <v>9194</v>
      </c>
    </row>
    <row r="2671" spans="1:2">
      <c r="A2671" s="66">
        <v>46025.208436122688</v>
      </c>
      <c r="B2671" s="49" t="s">
        <v>9191</v>
      </c>
    </row>
    <row r="2672" spans="1:2">
      <c r="A2672" s="66">
        <v>46025.208543113426</v>
      </c>
      <c r="B2672" s="49" t="s">
        <v>9194</v>
      </c>
    </row>
    <row r="2673" spans="1:2">
      <c r="A2673" s="66">
        <v>46025.208545949077</v>
      </c>
      <c r="B2673" s="49" t="s">
        <v>9191</v>
      </c>
    </row>
    <row r="2674" spans="1:2">
      <c r="A2674" s="66">
        <v>46025.209198657409</v>
      </c>
      <c r="B2674" s="49" t="s">
        <v>9194</v>
      </c>
    </row>
    <row r="2675" spans="1:2">
      <c r="A2675" s="66">
        <v>46025.209202141203</v>
      </c>
      <c r="B2675" s="49" t="s">
        <v>9191</v>
      </c>
    </row>
    <row r="2676" spans="1:2">
      <c r="A2676" s="66">
        <v>46025.313169918983</v>
      </c>
      <c r="B2676" s="49" t="s">
        <v>10034</v>
      </c>
    </row>
    <row r="2677" spans="1:2">
      <c r="A2677" s="66">
        <v>46025.313195069444</v>
      </c>
      <c r="B2677" s="49" t="s">
        <v>9073</v>
      </c>
    </row>
    <row r="2678" spans="1:2">
      <c r="A2678" s="66">
        <v>46025.313200069446</v>
      </c>
      <c r="B2678" s="49" t="s">
        <v>9074</v>
      </c>
    </row>
    <row r="2679" spans="1:2">
      <c r="A2679" s="66">
        <v>46025.313201967598</v>
      </c>
      <c r="B2679" s="49" t="s">
        <v>9191</v>
      </c>
    </row>
    <row r="2680" spans="1:2">
      <c r="A2680" s="66">
        <v>46025.330402928244</v>
      </c>
      <c r="B2680" s="49"/>
    </row>
    <row r="2681" spans="1:2">
      <c r="A2681" s="66">
        <v>46025.330440381949</v>
      </c>
      <c r="B2681" s="49"/>
    </row>
    <row r="2682" spans="1:2">
      <c r="A2682" s="66">
        <v>46025.330463749997</v>
      </c>
      <c r="B2682" s="49"/>
    </row>
    <row r="2683" spans="1:2">
      <c r="A2683" s="66">
        <v>46025.330550763887</v>
      </c>
      <c r="B2683" s="49"/>
    </row>
    <row r="2684" spans="1:2">
      <c r="A2684" s="66">
        <v>46025.330585162039</v>
      </c>
      <c r="B2684" s="49"/>
    </row>
    <row r="2685" spans="1:2">
      <c r="A2685" s="66">
        <v>46025.330623148147</v>
      </c>
      <c r="B2685" s="49"/>
    </row>
    <row r="2686" spans="1:2">
      <c r="A2686" s="66">
        <v>46025.482753344906</v>
      </c>
      <c r="B2686" s="49" t="s">
        <v>10035</v>
      </c>
    </row>
    <row r="2687" spans="1:2">
      <c r="A2687" s="66">
        <v>46025.48275894676</v>
      </c>
      <c r="B2687" s="49" t="s">
        <v>10036</v>
      </c>
    </row>
    <row r="2688" spans="1:2">
      <c r="A2688" s="66">
        <v>46025.482763333333</v>
      </c>
      <c r="B2688" s="49" t="s">
        <v>9078</v>
      </c>
    </row>
    <row r="2689" spans="1:2">
      <c r="A2689" s="66">
        <v>46025.482793495372</v>
      </c>
      <c r="B2689" s="49" t="s">
        <v>10037</v>
      </c>
    </row>
    <row r="2690" spans="1:2">
      <c r="A2690" s="66">
        <v>46025.482799618054</v>
      </c>
      <c r="B2690" s="49" t="s">
        <v>10038</v>
      </c>
    </row>
    <row r="2691" spans="1:2">
      <c r="A2691" s="66">
        <v>46025.482801817125</v>
      </c>
      <c r="B2691" s="49" t="s">
        <v>9191</v>
      </c>
    </row>
    <row r="2692" spans="1:2">
      <c r="A2692" s="66">
        <v>46025.485084201384</v>
      </c>
      <c r="B2692" s="49" t="s">
        <v>10039</v>
      </c>
    </row>
    <row r="2693" spans="1:2">
      <c r="A2693" s="66">
        <v>46025.48509736111</v>
      </c>
      <c r="B2693" s="49" t="s">
        <v>10036</v>
      </c>
    </row>
    <row r="2694" spans="1:2">
      <c r="A2694" s="66">
        <v>46025.485101053244</v>
      </c>
      <c r="B2694" s="49" t="s">
        <v>9078</v>
      </c>
    </row>
    <row r="2695" spans="1:2">
      <c r="A2695" s="66">
        <v>46025.485121828708</v>
      </c>
      <c r="B2695" s="49" t="s">
        <v>10040</v>
      </c>
    </row>
    <row r="2696" spans="1:2">
      <c r="A2696" s="66">
        <v>46025.485131458336</v>
      </c>
      <c r="B2696" s="49" t="s">
        <v>9191</v>
      </c>
    </row>
    <row r="2697" spans="1:2">
      <c r="A2697" s="66">
        <v>46025.485387858796</v>
      </c>
      <c r="B2697" s="49"/>
    </row>
    <row r="2698" spans="1:2">
      <c r="A2698" s="66">
        <v>46025.57478667824</v>
      </c>
      <c r="B2698" s="49" t="s">
        <v>10041</v>
      </c>
    </row>
    <row r="2699" spans="1:2">
      <c r="A2699" s="66">
        <v>46025.574797430556</v>
      </c>
      <c r="B2699" s="49" t="s">
        <v>10042</v>
      </c>
    </row>
    <row r="2700" spans="1:2">
      <c r="A2700" s="66">
        <v>46025.57481387732</v>
      </c>
      <c r="B2700" s="49" t="s">
        <v>9078</v>
      </c>
    </row>
    <row r="2701" spans="1:2">
      <c r="A2701" s="66">
        <v>46025.574844050927</v>
      </c>
      <c r="B2701" s="49" t="s">
        <v>10043</v>
      </c>
    </row>
    <row r="2702" spans="1:2">
      <c r="A2702" s="66">
        <v>46025.574852800928</v>
      </c>
      <c r="B2702" s="49" t="s">
        <v>10044</v>
      </c>
    </row>
    <row r="2703" spans="1:2">
      <c r="A2703" s="66">
        <v>46025.574855787039</v>
      </c>
      <c r="B2703" s="49" t="s">
        <v>9191</v>
      </c>
    </row>
    <row r="2704" spans="1:2">
      <c r="A2704" s="66">
        <v>46025.62258545139</v>
      </c>
      <c r="B2704" s="49" t="s">
        <v>10045</v>
      </c>
    </row>
    <row r="2705" spans="1:2">
      <c r="A2705" s="66">
        <v>46025.622592685184</v>
      </c>
      <c r="B2705" s="49" t="s">
        <v>10046</v>
      </c>
    </row>
    <row r="2706" spans="1:2">
      <c r="A2706" s="66">
        <v>46025.622596516201</v>
      </c>
      <c r="B2706" s="49" t="s">
        <v>9078</v>
      </c>
    </row>
    <row r="2707" spans="1:2">
      <c r="A2707" s="66">
        <v>46025.622630960643</v>
      </c>
      <c r="B2707" s="49" t="s">
        <v>10047</v>
      </c>
    </row>
    <row r="2708" spans="1:2">
      <c r="A2708" s="66">
        <v>46025.622636840279</v>
      </c>
      <c r="B2708" s="49" t="s">
        <v>10048</v>
      </c>
    </row>
    <row r="2709" spans="1:2">
      <c r="A2709" s="66">
        <v>46025.62263859954</v>
      </c>
      <c r="B2709" s="49" t="s">
        <v>9191</v>
      </c>
    </row>
    <row r="2710" spans="1:2">
      <c r="A2710" s="66">
        <v>46025.641119247681</v>
      </c>
      <c r="B2710" s="49" t="s">
        <v>10049</v>
      </c>
    </row>
    <row r="2711" spans="1:2">
      <c r="A2711" s="66">
        <v>46025.641146284717</v>
      </c>
      <c r="B2711" s="49" t="s">
        <v>9560</v>
      </c>
    </row>
    <row r="2712" spans="1:2">
      <c r="A2712" s="66">
        <v>46025.641152199074</v>
      </c>
      <c r="B2712" s="49" t="s">
        <v>9078</v>
      </c>
    </row>
    <row r="2713" spans="1:2">
      <c r="A2713" s="66">
        <v>46025.641190173614</v>
      </c>
      <c r="B2713" s="49" t="s">
        <v>9561</v>
      </c>
    </row>
    <row r="2714" spans="1:2">
      <c r="A2714" s="66">
        <v>46025.641193275464</v>
      </c>
      <c r="B2714" s="49" t="s">
        <v>9191</v>
      </c>
    </row>
    <row r="2715" spans="1:2">
      <c r="A2715" s="66">
        <v>46025.825852627313</v>
      </c>
      <c r="B2715" s="49" t="s">
        <v>10050</v>
      </c>
    </row>
    <row r="2716" spans="1:2">
      <c r="A2716" s="66">
        <v>46025.825857696764</v>
      </c>
      <c r="B2716" s="49" t="s">
        <v>10051</v>
      </c>
    </row>
    <row r="2717" spans="1:2">
      <c r="A2717" s="66">
        <v>46025.825861979167</v>
      </c>
      <c r="B2717" s="49" t="s">
        <v>9078</v>
      </c>
    </row>
    <row r="2718" spans="1:2">
      <c r="A2718" s="66">
        <v>46025.825895520829</v>
      </c>
      <c r="B2718" s="49" t="s">
        <v>10052</v>
      </c>
    </row>
    <row r="2719" spans="1:2">
      <c r="A2719" s="66">
        <v>46025.825901956021</v>
      </c>
      <c r="B2719" s="49" t="s">
        <v>10053</v>
      </c>
    </row>
    <row r="2720" spans="1:2">
      <c r="A2720" s="66">
        <v>46025.825904074074</v>
      </c>
      <c r="B2720" s="49" t="s">
        <v>9191</v>
      </c>
    </row>
    <row r="2721" spans="1:2">
      <c r="A2721" s="66">
        <v>46025.826782152777</v>
      </c>
      <c r="B2721" s="49" t="s">
        <v>10054</v>
      </c>
    </row>
    <row r="2722" spans="1:2">
      <c r="A2722" s="66">
        <v>46025.826794120367</v>
      </c>
      <c r="B2722" s="49" t="s">
        <v>9191</v>
      </c>
    </row>
    <row r="2723" spans="1:2">
      <c r="A2723" s="66">
        <v>46025.827100219904</v>
      </c>
      <c r="B2723" s="49" t="s">
        <v>10055</v>
      </c>
    </row>
    <row r="2724" spans="1:2">
      <c r="A2724" s="66">
        <v>46025.827106087963</v>
      </c>
      <c r="B2724" s="49" t="s">
        <v>9509</v>
      </c>
    </row>
    <row r="2725" spans="1:2">
      <c r="A2725" s="66">
        <v>46025.827123449075</v>
      </c>
      <c r="B2725" s="49" t="s">
        <v>9078</v>
      </c>
    </row>
    <row r="2726" spans="1:2">
      <c r="A2726" s="66">
        <v>46025.827144143521</v>
      </c>
      <c r="B2726" s="49" t="s">
        <v>10056</v>
      </c>
    </row>
    <row r="2727" spans="1:2">
      <c r="A2727" s="66">
        <v>46025.827150740741</v>
      </c>
      <c r="B2727" s="49" t="s">
        <v>9191</v>
      </c>
    </row>
    <row r="2728" spans="1:2">
      <c r="A2728" s="66">
        <v>46025.828057060186</v>
      </c>
      <c r="B2728" s="49" t="s">
        <v>10057</v>
      </c>
    </row>
    <row r="2729" spans="1:2">
      <c r="A2729" s="66">
        <v>46025.828063599532</v>
      </c>
      <c r="B2729" s="49" t="s">
        <v>9543</v>
      </c>
    </row>
    <row r="2730" spans="1:2">
      <c r="A2730" s="66">
        <v>46025.828070208328</v>
      </c>
      <c r="B2730" s="49" t="s">
        <v>9078</v>
      </c>
    </row>
    <row r="2731" spans="1:2">
      <c r="A2731" s="66">
        <v>46025.828091192132</v>
      </c>
      <c r="B2731" s="49" t="s">
        <v>9711</v>
      </c>
    </row>
    <row r="2732" spans="1:2">
      <c r="A2732" s="66">
        <v>46025.82809412037</v>
      </c>
      <c r="B2732" s="49" t="s">
        <v>9191</v>
      </c>
    </row>
    <row r="2733" spans="1:2">
      <c r="A2733" s="66">
        <v>46025.829278831021</v>
      </c>
      <c r="B2733" s="49" t="s">
        <v>10058</v>
      </c>
    </row>
    <row r="2734" spans="1:2">
      <c r="A2734" s="66">
        <v>46025.829283263884</v>
      </c>
      <c r="B2734" s="49" t="s">
        <v>10059</v>
      </c>
    </row>
    <row r="2735" spans="1:2">
      <c r="A2735" s="66">
        <v>46025.829286979162</v>
      </c>
      <c r="B2735" s="49" t="s">
        <v>9174</v>
      </c>
    </row>
    <row r="2736" spans="1:2">
      <c r="A2736" s="66">
        <v>46025.829291481481</v>
      </c>
      <c r="B2736" s="49" t="s">
        <v>9191</v>
      </c>
    </row>
    <row r="2737" spans="1:2">
      <c r="A2737" s="66">
        <v>46025.829532523145</v>
      </c>
      <c r="B2737" s="49" t="s">
        <v>10060</v>
      </c>
    </row>
    <row r="2738" spans="1:2">
      <c r="A2738" s="66">
        <v>46025.829538483798</v>
      </c>
      <c r="B2738" s="49" t="s">
        <v>10061</v>
      </c>
    </row>
    <row r="2739" spans="1:2">
      <c r="A2739" s="66">
        <v>46025.829544328706</v>
      </c>
      <c r="B2739" s="49" t="s">
        <v>9078</v>
      </c>
    </row>
    <row r="2740" spans="1:2">
      <c r="A2740" s="66">
        <v>46025.829566261571</v>
      </c>
      <c r="B2740" s="49" t="s">
        <v>10062</v>
      </c>
    </row>
    <row r="2741" spans="1:2">
      <c r="A2741" s="66">
        <v>46025.829569409718</v>
      </c>
      <c r="B2741" s="49" t="s">
        <v>9191</v>
      </c>
    </row>
    <row r="2742" spans="1:2">
      <c r="A2742" s="66">
        <v>46025.836167893518</v>
      </c>
      <c r="B2742" s="49" t="s">
        <v>10063</v>
      </c>
    </row>
    <row r="2743" spans="1:2">
      <c r="A2743" s="66">
        <v>46025.836172569441</v>
      </c>
      <c r="B2743" s="49" t="s">
        <v>10064</v>
      </c>
    </row>
    <row r="2744" spans="1:2">
      <c r="A2744" s="66">
        <v>46025.836176168981</v>
      </c>
      <c r="B2744" s="49" t="s">
        <v>9078</v>
      </c>
    </row>
    <row r="2745" spans="1:2">
      <c r="A2745" s="66">
        <v>46025.83620450231</v>
      </c>
      <c r="B2745" s="49" t="s">
        <v>10065</v>
      </c>
    </row>
    <row r="2746" spans="1:2">
      <c r="A2746" s="66">
        <v>46025.83621076389</v>
      </c>
      <c r="B2746" s="49" t="s">
        <v>10066</v>
      </c>
    </row>
    <row r="2747" spans="1:2">
      <c r="A2747" s="66">
        <v>46025.836212407405</v>
      </c>
      <c r="B2747" s="49" t="s">
        <v>9191</v>
      </c>
    </row>
    <row r="2748" spans="1:2">
      <c r="A2748" s="66">
        <v>46025.839013923614</v>
      </c>
      <c r="B2748" s="49" t="s">
        <v>10067</v>
      </c>
    </row>
    <row r="2749" spans="1:2">
      <c r="A2749" s="66">
        <v>46025.839018101848</v>
      </c>
      <c r="B2749" s="49" t="s">
        <v>10068</v>
      </c>
    </row>
    <row r="2750" spans="1:2">
      <c r="A2750" s="66">
        <v>46025.83902162037</v>
      </c>
      <c r="B2750" s="49" t="s">
        <v>9078</v>
      </c>
    </row>
    <row r="2751" spans="1:2">
      <c r="A2751" s="66">
        <v>46025.83904712963</v>
      </c>
      <c r="B2751" s="49" t="s">
        <v>10069</v>
      </c>
    </row>
    <row r="2752" spans="1:2">
      <c r="A2752" s="66">
        <v>46025.839053148149</v>
      </c>
      <c r="B2752" s="49" t="s">
        <v>10070</v>
      </c>
    </row>
    <row r="2753" spans="1:2">
      <c r="A2753" s="66">
        <v>46025.839054988421</v>
      </c>
      <c r="B2753" s="49" t="s">
        <v>9191</v>
      </c>
    </row>
    <row r="2754" spans="1:2">
      <c r="A2754" s="66">
        <v>46025.843589537035</v>
      </c>
      <c r="B2754" s="49" t="s">
        <v>10071</v>
      </c>
    </row>
    <row r="2755" spans="1:2">
      <c r="A2755" s="66">
        <v>46025.843604247682</v>
      </c>
      <c r="B2755" s="49" t="s">
        <v>10072</v>
      </c>
    </row>
    <row r="2756" spans="1:2">
      <c r="A2756" s="66">
        <v>46025.843609490737</v>
      </c>
      <c r="B2756" s="49" t="s">
        <v>9078</v>
      </c>
    </row>
    <row r="2757" spans="1:2">
      <c r="A2757" s="66">
        <v>46025.843646701389</v>
      </c>
      <c r="B2757" s="49" t="s">
        <v>10073</v>
      </c>
    </row>
    <row r="2758" spans="1:2">
      <c r="A2758" s="66">
        <v>46025.843653564814</v>
      </c>
      <c r="B2758" s="49" t="s">
        <v>10074</v>
      </c>
    </row>
    <row r="2759" spans="1:2">
      <c r="A2759" s="66">
        <v>46025.843655949073</v>
      </c>
      <c r="B2759" s="49" t="s">
        <v>9191</v>
      </c>
    </row>
    <row r="2760" spans="1:2">
      <c r="A2760" s="66">
        <v>46025.84451732639</v>
      </c>
      <c r="B2760" s="49" t="s">
        <v>10075</v>
      </c>
    </row>
    <row r="2761" spans="1:2">
      <c r="A2761" s="66">
        <v>46025.844522685184</v>
      </c>
      <c r="B2761" s="49" t="s">
        <v>10064</v>
      </c>
    </row>
    <row r="2762" spans="1:2">
      <c r="A2762" s="66">
        <v>46025.84452820602</v>
      </c>
      <c r="B2762" s="49" t="s">
        <v>9078</v>
      </c>
    </row>
    <row r="2763" spans="1:2">
      <c r="A2763" s="66">
        <v>46025.844553182869</v>
      </c>
      <c r="B2763" s="49" t="s">
        <v>10065</v>
      </c>
    </row>
    <row r="2764" spans="1:2">
      <c r="A2764" s="66">
        <v>46025.844569699075</v>
      </c>
      <c r="B2764" s="49" t="s">
        <v>10076</v>
      </c>
    </row>
    <row r="2765" spans="1:2">
      <c r="A2765" s="66">
        <v>46025.844571875001</v>
      </c>
      <c r="B2765" s="49" t="s">
        <v>9191</v>
      </c>
    </row>
    <row r="2766" spans="1:2">
      <c r="A2766" s="66">
        <v>46026.229604953704</v>
      </c>
      <c r="B2766" s="49"/>
    </row>
    <row r="2767" spans="1:2">
      <c r="A2767" s="66">
        <v>46026.23027049769</v>
      </c>
      <c r="B2767" s="49"/>
    </row>
    <row r="2768" spans="1:2">
      <c r="A2768" s="66">
        <v>46026.239227789352</v>
      </c>
      <c r="B2768" s="49"/>
    </row>
    <row r="2769" spans="1:2">
      <c r="A2769" s="66">
        <v>46026.247249780092</v>
      </c>
      <c r="B2769" s="49"/>
    </row>
    <row r="2770" spans="1:2">
      <c r="A2770" s="66">
        <v>46026.258360370368</v>
      </c>
      <c r="B2770" s="49" t="s">
        <v>10077</v>
      </c>
    </row>
    <row r="2771" spans="1:2">
      <c r="A2771" s="66">
        <v>46026.258386435184</v>
      </c>
      <c r="B2771" s="49" t="s">
        <v>9073</v>
      </c>
    </row>
    <row r="2772" spans="1:2">
      <c r="A2772" s="66">
        <v>46026.258391597221</v>
      </c>
      <c r="B2772" s="49" t="s">
        <v>9074</v>
      </c>
    </row>
    <row r="2773" spans="1:2">
      <c r="A2773" s="66">
        <v>46026.258393796292</v>
      </c>
      <c r="B2773" s="49" t="s">
        <v>9191</v>
      </c>
    </row>
    <row r="2774" spans="1:2">
      <c r="A2774" s="66">
        <v>46026.263787777774</v>
      </c>
      <c r="B2774" s="49" t="s">
        <v>10078</v>
      </c>
    </row>
    <row r="2775" spans="1:2">
      <c r="A2775" s="66">
        <v>46026.263812256948</v>
      </c>
      <c r="B2775" s="49" t="s">
        <v>9073</v>
      </c>
    </row>
    <row r="2776" spans="1:2">
      <c r="A2776" s="66">
        <v>46026.263817430554</v>
      </c>
      <c r="B2776" s="49" t="s">
        <v>9074</v>
      </c>
    </row>
    <row r="2777" spans="1:2">
      <c r="A2777" s="66">
        <v>46026.263819756947</v>
      </c>
      <c r="B2777" s="49" t="s">
        <v>9191</v>
      </c>
    </row>
    <row r="2778" spans="1:2">
      <c r="A2778" s="66">
        <v>46026.312211956014</v>
      </c>
      <c r="B2778" s="49"/>
    </row>
    <row r="2779" spans="1:2">
      <c r="A2779" s="66">
        <v>46026.312236273152</v>
      </c>
      <c r="B2779" s="49"/>
    </row>
    <row r="2780" spans="1:2">
      <c r="A2780" s="66">
        <v>46026.31231681713</v>
      </c>
      <c r="B2780" s="49"/>
    </row>
    <row r="2781" spans="1:2">
      <c r="A2781" s="66">
        <v>46026.312338391203</v>
      </c>
      <c r="B2781" s="49"/>
    </row>
    <row r="2782" spans="1:2">
      <c r="A2782" s="66">
        <v>46026.31241864583</v>
      </c>
      <c r="B2782" s="49"/>
    </row>
    <row r="2783" spans="1:2">
      <c r="A2783" s="66">
        <v>46026.387086354167</v>
      </c>
      <c r="B2783" s="49" t="s">
        <v>10079</v>
      </c>
    </row>
    <row r="2784" spans="1:2">
      <c r="A2784" s="66">
        <v>46026.387093854166</v>
      </c>
      <c r="B2784" s="49" t="s">
        <v>10080</v>
      </c>
    </row>
    <row r="2785" spans="1:2">
      <c r="A2785" s="66">
        <v>46026.387108946758</v>
      </c>
      <c r="B2785" s="49" t="s">
        <v>9078</v>
      </c>
    </row>
    <row r="2786" spans="1:2">
      <c r="A2786" s="66">
        <v>46026.38713023148</v>
      </c>
      <c r="B2786" s="49" t="s">
        <v>10081</v>
      </c>
    </row>
    <row r="2787" spans="1:2">
      <c r="A2787" s="66">
        <v>46026.387133101853</v>
      </c>
      <c r="B2787" s="49" t="s">
        <v>9191</v>
      </c>
    </row>
    <row r="2788" spans="1:2">
      <c r="A2788" s="66">
        <v>46026.407227268515</v>
      </c>
      <c r="B2788" s="49" t="s">
        <v>10082</v>
      </c>
    </row>
    <row r="2789" spans="1:2">
      <c r="A2789" s="66">
        <v>46026.407232407408</v>
      </c>
      <c r="B2789" s="49" t="s">
        <v>9124</v>
      </c>
    </row>
    <row r="2790" spans="1:2">
      <c r="A2790" s="66">
        <v>46026.407235891209</v>
      </c>
      <c r="B2790" s="49" t="s">
        <v>9078</v>
      </c>
    </row>
    <row r="2791" spans="1:2">
      <c r="A2791" s="66">
        <v>46026.407253032405</v>
      </c>
      <c r="B2791" s="49" t="s">
        <v>10083</v>
      </c>
    </row>
    <row r="2792" spans="1:2">
      <c r="A2792" s="66">
        <v>46026.407260347223</v>
      </c>
      <c r="B2792" s="49" t="s">
        <v>9191</v>
      </c>
    </row>
    <row r="2793" spans="1:2">
      <c r="A2793" s="66">
        <v>46026.531962372683</v>
      </c>
      <c r="B2793" s="49" t="s">
        <v>10084</v>
      </c>
    </row>
    <row r="2794" spans="1:2">
      <c r="A2794" s="66">
        <v>46026.531974641199</v>
      </c>
      <c r="B2794" s="49" t="s">
        <v>10085</v>
      </c>
    </row>
    <row r="2795" spans="1:2">
      <c r="A2795" s="66">
        <v>46026.531989780095</v>
      </c>
      <c r="B2795" s="49" t="s">
        <v>9078</v>
      </c>
    </row>
    <row r="2796" spans="1:2">
      <c r="A2796" s="66">
        <v>46026.532016307872</v>
      </c>
      <c r="B2796" s="49" t="s">
        <v>10086</v>
      </c>
    </row>
    <row r="2797" spans="1:2">
      <c r="A2797" s="66">
        <v>46026.532019120372</v>
      </c>
      <c r="B2797" s="49" t="s">
        <v>9191</v>
      </c>
    </row>
    <row r="2798" spans="1:2">
      <c r="A2798" s="66">
        <v>46027.212832453704</v>
      </c>
      <c r="B2798" s="49" t="s">
        <v>10087</v>
      </c>
    </row>
    <row r="2799" spans="1:2">
      <c r="A2799" s="66">
        <v>46027.212871550924</v>
      </c>
      <c r="B2799" s="49" t="s">
        <v>9073</v>
      </c>
    </row>
    <row r="2800" spans="1:2">
      <c r="A2800" s="66">
        <v>46027.212877384256</v>
      </c>
      <c r="B2800" s="49" t="s">
        <v>9074</v>
      </c>
    </row>
    <row r="2801" spans="1:2">
      <c r="A2801" s="66">
        <v>46027.212879456019</v>
      </c>
      <c r="B2801" s="49" t="s">
        <v>9191</v>
      </c>
    </row>
    <row r="2802" spans="1:2">
      <c r="A2802" s="66">
        <v>46027.28498423611</v>
      </c>
      <c r="B2802" s="49" t="s">
        <v>10088</v>
      </c>
    </row>
    <row r="2803" spans="1:2">
      <c r="A2803" s="66">
        <v>46027.284991539353</v>
      </c>
      <c r="B2803" s="49" t="s">
        <v>9482</v>
      </c>
    </row>
    <row r="2804" spans="1:2">
      <c r="A2804" s="66">
        <v>46027.284997650466</v>
      </c>
      <c r="B2804" s="49" t="s">
        <v>9078</v>
      </c>
    </row>
    <row r="2805" spans="1:2">
      <c r="A2805" s="66">
        <v>46027.285022245371</v>
      </c>
      <c r="B2805" s="49" t="s">
        <v>9484</v>
      </c>
    </row>
    <row r="2806" spans="1:2">
      <c r="A2806" s="66">
        <v>46027.285025115736</v>
      </c>
      <c r="B2806" s="49" t="s">
        <v>9191</v>
      </c>
    </row>
    <row r="2807" spans="1:2">
      <c r="A2807" s="66">
        <v>46027.334546620375</v>
      </c>
      <c r="B2807" s="49"/>
    </row>
    <row r="2808" spans="1:2">
      <c r="A2808" s="66">
        <v>46027.334608159726</v>
      </c>
      <c r="B2808" s="49"/>
    </row>
    <row r="2809" spans="1:2">
      <c r="A2809" s="66">
        <v>46027.34836087963</v>
      </c>
      <c r="B2809" s="49" t="s">
        <v>10089</v>
      </c>
    </row>
    <row r="2810" spans="1:2">
      <c r="A2810" s="66">
        <v>46027.348390023151</v>
      </c>
      <c r="B2810" s="49" t="s">
        <v>9073</v>
      </c>
    </row>
    <row r="2811" spans="1:2">
      <c r="A2811" s="66">
        <v>46027.348394953704</v>
      </c>
      <c r="B2811" s="49" t="s">
        <v>9074</v>
      </c>
    </row>
    <row r="2812" spans="1:2">
      <c r="A2812" s="66">
        <v>46027.348397453708</v>
      </c>
      <c r="B2812" s="49" t="s">
        <v>9191</v>
      </c>
    </row>
    <row r="2813" spans="1:2">
      <c r="A2813" s="66">
        <v>46027.379259270834</v>
      </c>
      <c r="B2813" s="49"/>
    </row>
    <row r="2814" spans="1:2">
      <c r="A2814" s="66">
        <v>46027.404076238425</v>
      </c>
      <c r="B2814" s="49"/>
    </row>
    <row r="2815" spans="1:2">
      <c r="A2815" s="66">
        <v>46027.412470601848</v>
      </c>
      <c r="B2815" s="49"/>
    </row>
    <row r="2816" spans="1:2">
      <c r="A2816" s="66">
        <v>46027.422093275462</v>
      </c>
      <c r="B2816" s="49"/>
    </row>
    <row r="2817" spans="1:2">
      <c r="A2817" s="66">
        <v>46027.428832233796</v>
      </c>
      <c r="B2817" s="49"/>
    </row>
    <row r="2818" spans="1:2">
      <c r="A2818" s="66">
        <v>46027.432656712961</v>
      </c>
      <c r="B2818" s="49" t="s">
        <v>10090</v>
      </c>
    </row>
    <row r="2819" spans="1:2">
      <c r="A2819" s="66">
        <v>46027.432663680556</v>
      </c>
      <c r="B2819" s="49" t="s">
        <v>9191</v>
      </c>
    </row>
    <row r="2820" spans="1:2">
      <c r="A2820" s="66">
        <v>46027.433297928241</v>
      </c>
      <c r="B2820" s="49" t="s">
        <v>10091</v>
      </c>
    </row>
    <row r="2821" spans="1:2">
      <c r="A2821" s="66">
        <v>46027.433306874998</v>
      </c>
      <c r="B2821" s="49" t="s">
        <v>9191</v>
      </c>
    </row>
    <row r="2822" spans="1:2">
      <c r="A2822" s="66">
        <v>46027.482817951386</v>
      </c>
      <c r="B2822" s="49" t="s">
        <v>10092</v>
      </c>
    </row>
    <row r="2823" spans="1:2">
      <c r="A2823" s="66">
        <v>46027.482822604172</v>
      </c>
      <c r="B2823" s="49" t="s">
        <v>10093</v>
      </c>
    </row>
    <row r="2824" spans="1:2">
      <c r="A2824" s="66">
        <v>46027.482826319443</v>
      </c>
      <c r="B2824" s="49" t="s">
        <v>9078</v>
      </c>
    </row>
    <row r="2825" spans="1:2">
      <c r="A2825" s="66">
        <v>46027.482872928245</v>
      </c>
      <c r="B2825" s="49" t="s">
        <v>10094</v>
      </c>
    </row>
    <row r="2826" spans="1:2">
      <c r="A2826" s="66">
        <v>46027.482880347219</v>
      </c>
      <c r="B2826" s="49" t="s">
        <v>10095</v>
      </c>
    </row>
    <row r="2827" spans="1:2">
      <c r="A2827" s="66">
        <v>46027.482882233795</v>
      </c>
      <c r="B2827" s="49" t="s">
        <v>9191</v>
      </c>
    </row>
    <row r="2828" spans="1:2">
      <c r="A2828" s="66">
        <v>46027.494471261569</v>
      </c>
      <c r="B2828" s="49" t="s">
        <v>10096</v>
      </c>
    </row>
    <row r="2829" spans="1:2">
      <c r="A2829" s="66">
        <v>46027.494477430555</v>
      </c>
      <c r="B2829" s="49" t="s">
        <v>10097</v>
      </c>
    </row>
    <row r="2830" spans="1:2">
      <c r="A2830" s="66">
        <v>46027.494498206019</v>
      </c>
      <c r="B2830" s="49" t="s">
        <v>9078</v>
      </c>
    </row>
    <row r="2831" spans="1:2">
      <c r="A2831" s="66">
        <v>46027.494517141204</v>
      </c>
      <c r="B2831" s="49" t="s">
        <v>10098</v>
      </c>
    </row>
    <row r="2832" spans="1:2">
      <c r="A2832" s="66">
        <v>46027.494519652777</v>
      </c>
      <c r="B2832" s="49" t="s">
        <v>9191</v>
      </c>
    </row>
    <row r="2833" spans="1:2">
      <c r="A2833" s="66">
        <v>46027.530430196755</v>
      </c>
      <c r="B2833" s="49" t="s">
        <v>10099</v>
      </c>
    </row>
    <row r="2834" spans="1:2">
      <c r="A2834" s="66">
        <v>46027.530437997688</v>
      </c>
      <c r="B2834" s="49" t="s">
        <v>9141</v>
      </c>
    </row>
    <row r="2835" spans="1:2">
      <c r="A2835" s="66">
        <v>46027.530458946756</v>
      </c>
      <c r="B2835" s="49" t="s">
        <v>9078</v>
      </c>
    </row>
    <row r="2836" spans="1:2">
      <c r="A2836" s="66">
        <v>46027.530484178242</v>
      </c>
      <c r="B2836" s="49" t="s">
        <v>10100</v>
      </c>
    </row>
    <row r="2837" spans="1:2">
      <c r="A2837" s="66">
        <v>46027.530500752313</v>
      </c>
      <c r="B2837" s="49" t="s">
        <v>9191</v>
      </c>
    </row>
    <row r="2838" spans="1:2">
      <c r="A2838" s="66">
        <v>46027.858503391202</v>
      </c>
      <c r="B2838" s="49" t="s">
        <v>10101</v>
      </c>
    </row>
    <row r="2839" spans="1:2">
      <c r="A2839" s="66">
        <v>46027.858508483798</v>
      </c>
      <c r="B2839" s="49" t="s">
        <v>9130</v>
      </c>
    </row>
    <row r="2840" spans="1:2">
      <c r="A2840" s="66">
        <v>46027.858513032406</v>
      </c>
      <c r="B2840" s="49" t="s">
        <v>9078</v>
      </c>
    </row>
    <row r="2841" spans="1:2">
      <c r="A2841" s="66">
        <v>46027.858534571758</v>
      </c>
      <c r="B2841" s="49" t="s">
        <v>10102</v>
      </c>
    </row>
    <row r="2842" spans="1:2">
      <c r="A2842" s="66">
        <v>46027.858537175925</v>
      </c>
      <c r="B2842" s="49" t="s">
        <v>9191</v>
      </c>
    </row>
    <row r="2843" spans="1:2">
      <c r="A2843" s="66">
        <v>46027.860802118055</v>
      </c>
      <c r="B2843" s="49" t="s">
        <v>9194</v>
      </c>
    </row>
    <row r="2844" spans="1:2">
      <c r="A2844" s="66">
        <v>46027.860805069446</v>
      </c>
      <c r="B2844" s="49" t="s">
        <v>9191</v>
      </c>
    </row>
    <row r="2845" spans="1:2">
      <c r="A2845" s="66">
        <v>46028.216618923616</v>
      </c>
      <c r="B2845" s="49" t="s">
        <v>10103</v>
      </c>
    </row>
    <row r="2846" spans="1:2">
      <c r="A2846" s="66">
        <v>46028.216680925922</v>
      </c>
      <c r="B2846" s="49" t="s">
        <v>9073</v>
      </c>
    </row>
    <row r="2847" spans="1:2">
      <c r="A2847" s="66">
        <v>46028.216687152773</v>
      </c>
      <c r="B2847" s="49" t="s">
        <v>9074</v>
      </c>
    </row>
    <row r="2848" spans="1:2">
      <c r="A2848" s="66">
        <v>46028.216690057874</v>
      </c>
      <c r="B2848" s="49" t="s">
        <v>9191</v>
      </c>
    </row>
    <row r="2849" spans="1:2">
      <c r="A2849" s="66">
        <v>46028.283026446763</v>
      </c>
      <c r="B2849" s="49" t="s">
        <v>10104</v>
      </c>
    </row>
    <row r="2850" spans="1:2">
      <c r="A2850" s="66">
        <v>46028.283038854162</v>
      </c>
      <c r="B2850" s="49" t="s">
        <v>9434</v>
      </c>
    </row>
    <row r="2851" spans="1:2">
      <c r="A2851" s="66">
        <v>46028.283057071763</v>
      </c>
      <c r="B2851" s="49" t="s">
        <v>9078</v>
      </c>
    </row>
    <row r="2852" spans="1:2">
      <c r="A2852" s="66">
        <v>46028.28307578704</v>
      </c>
      <c r="B2852" s="49" t="s">
        <v>10105</v>
      </c>
    </row>
    <row r="2853" spans="1:2">
      <c r="A2853" s="66">
        <v>46028.283078761575</v>
      </c>
      <c r="B2853" s="49" t="s">
        <v>9191</v>
      </c>
    </row>
    <row r="2854" spans="1:2">
      <c r="A2854" s="66">
        <v>46028.320586909722</v>
      </c>
      <c r="B2854" s="49"/>
    </row>
    <row r="2855" spans="1:2">
      <c r="A2855" s="66">
        <v>46028.320629351852</v>
      </c>
      <c r="B2855" s="49"/>
    </row>
    <row r="2856" spans="1:2">
      <c r="A2856" s="66">
        <v>46028.320678807868</v>
      </c>
      <c r="B2856" s="49"/>
    </row>
    <row r="2857" spans="1:2">
      <c r="A2857" s="66">
        <v>46028.332582569448</v>
      </c>
      <c r="B2857" s="49"/>
    </row>
    <row r="2858" spans="1:2">
      <c r="A2858" s="66">
        <v>46028.360032997683</v>
      </c>
      <c r="B2858" s="49"/>
    </row>
    <row r="2859" spans="1:2">
      <c r="A2859" s="66">
        <v>46028.368727499997</v>
      </c>
      <c r="B2859" s="49"/>
    </row>
    <row r="2860" spans="1:2">
      <c r="A2860" s="66">
        <v>46028.368855682871</v>
      </c>
      <c r="B2860" s="49"/>
    </row>
    <row r="2861" spans="1:2">
      <c r="A2861" s="66">
        <v>46028.381138090277</v>
      </c>
      <c r="B2861" s="49"/>
    </row>
    <row r="2862" spans="1:2">
      <c r="A2862" s="66">
        <v>46028.404160543985</v>
      </c>
      <c r="B2862" s="49"/>
    </row>
    <row r="2863" spans="1:2">
      <c r="A2863" s="66">
        <v>46028.422290590279</v>
      </c>
      <c r="B2863" s="49"/>
    </row>
    <row r="2864" spans="1:2">
      <c r="A2864" s="66">
        <v>46028.427786296292</v>
      </c>
      <c r="B2864" s="49" t="s">
        <v>10106</v>
      </c>
    </row>
    <row r="2865" spans="1:2">
      <c r="A2865" s="66">
        <v>46028.427794270829</v>
      </c>
      <c r="B2865" s="49" t="s">
        <v>10107</v>
      </c>
    </row>
    <row r="2866" spans="1:2">
      <c r="A2866" s="66">
        <v>46028.427816736112</v>
      </c>
      <c r="B2866" s="49" t="s">
        <v>9078</v>
      </c>
    </row>
    <row r="2867" spans="1:2">
      <c r="A2867" s="66">
        <v>46028.427856574075</v>
      </c>
      <c r="B2867" s="49" t="s">
        <v>10108</v>
      </c>
    </row>
    <row r="2868" spans="1:2">
      <c r="A2868" s="66">
        <v>46028.427866666665</v>
      </c>
      <c r="B2868" s="49" t="s">
        <v>10109</v>
      </c>
    </row>
    <row r="2869" spans="1:2">
      <c r="A2869" s="66">
        <v>46028.42787028935</v>
      </c>
      <c r="B2869" s="49" t="s">
        <v>9191</v>
      </c>
    </row>
    <row r="2870" spans="1:2">
      <c r="A2870" s="66">
        <v>46028.546611678241</v>
      </c>
      <c r="B2870" s="49"/>
    </row>
    <row r="2871" spans="1:2">
      <c r="A2871" s="66">
        <v>46028.613656817135</v>
      </c>
      <c r="B2871" s="49" t="s">
        <v>10110</v>
      </c>
    </row>
    <row r="2872" spans="1:2">
      <c r="A2872" s="66">
        <v>46028.613663645832</v>
      </c>
      <c r="B2872" s="49" t="s">
        <v>9575</v>
      </c>
    </row>
    <row r="2873" spans="1:2">
      <c r="A2873" s="66">
        <v>46028.613668668986</v>
      </c>
      <c r="B2873" s="49" t="s">
        <v>9078</v>
      </c>
    </row>
    <row r="2874" spans="1:2">
      <c r="A2874" s="66">
        <v>46028.613702418981</v>
      </c>
      <c r="B2874" s="49" t="s">
        <v>10111</v>
      </c>
    </row>
    <row r="2875" spans="1:2">
      <c r="A2875" s="66">
        <v>46028.613706539356</v>
      </c>
      <c r="B2875" s="49" t="s">
        <v>9191</v>
      </c>
    </row>
    <row r="2876" spans="1:2">
      <c r="A2876" s="66">
        <v>46028.78173043982</v>
      </c>
      <c r="B2876" s="49" t="s">
        <v>10112</v>
      </c>
    </row>
    <row r="2877" spans="1:2">
      <c r="A2877" s="66">
        <v>46028.781739178245</v>
      </c>
      <c r="B2877" s="49" t="s">
        <v>10113</v>
      </c>
    </row>
    <row r="2878" spans="1:2">
      <c r="A2878" s="66">
        <v>46028.78176140046</v>
      </c>
      <c r="B2878" s="49" t="s">
        <v>9078</v>
      </c>
    </row>
    <row r="2879" spans="1:2">
      <c r="A2879" s="66">
        <v>46028.781792164351</v>
      </c>
      <c r="B2879" s="49" t="s">
        <v>10114</v>
      </c>
    </row>
    <row r="2880" spans="1:2">
      <c r="A2880" s="66">
        <v>46028.781814907408</v>
      </c>
      <c r="B2880" s="49" t="s">
        <v>10115</v>
      </c>
    </row>
    <row r="2881" spans="1:2">
      <c r="A2881" s="66">
        <v>46028.781818726857</v>
      </c>
      <c r="B2881" s="49" t="s">
        <v>9191</v>
      </c>
    </row>
    <row r="2882" spans="1:2">
      <c r="A2882" s="66">
        <v>46028.919196967589</v>
      </c>
      <c r="B2882" s="49" t="s">
        <v>10116</v>
      </c>
    </row>
    <row r="2883" spans="1:2">
      <c r="A2883" s="66">
        <v>46028.919212465276</v>
      </c>
      <c r="B2883" s="49" t="s">
        <v>10117</v>
      </c>
    </row>
    <row r="2884" spans="1:2">
      <c r="A2884" s="66">
        <v>46028.919246122685</v>
      </c>
      <c r="B2884" s="49" t="s">
        <v>9078</v>
      </c>
    </row>
    <row r="2885" spans="1:2">
      <c r="A2885" s="66">
        <v>46028.919271585648</v>
      </c>
      <c r="B2885" s="49" t="s">
        <v>10118</v>
      </c>
    </row>
    <row r="2886" spans="1:2">
      <c r="A2886" s="66">
        <v>46028.919274976855</v>
      </c>
      <c r="B2886" s="49" t="s">
        <v>9191</v>
      </c>
    </row>
    <row r="2887" spans="1:2">
      <c r="A2887" s="66">
        <v>46028.919420497681</v>
      </c>
      <c r="B2887" s="49" t="s">
        <v>10119</v>
      </c>
    </row>
    <row r="2888" spans="1:2">
      <c r="A2888" s="66">
        <v>46028.919436585653</v>
      </c>
      <c r="B2888" s="49" t="s">
        <v>10120</v>
      </c>
    </row>
    <row r="2889" spans="1:2">
      <c r="A2889" s="66">
        <v>46028.91944247685</v>
      </c>
      <c r="B2889" s="49" t="s">
        <v>9078</v>
      </c>
    </row>
    <row r="2890" spans="1:2">
      <c r="A2890" s="66">
        <v>46028.91946478009</v>
      </c>
      <c r="B2890" s="49" t="s">
        <v>10121</v>
      </c>
    </row>
    <row r="2891" spans="1:2">
      <c r="A2891" s="66">
        <v>46028.919469965273</v>
      </c>
      <c r="B2891" s="49" t="s">
        <v>9191</v>
      </c>
    </row>
    <row r="2892" spans="1:2">
      <c r="A2892" s="66">
        <v>46028.920900729165</v>
      </c>
      <c r="B2892" s="49" t="s">
        <v>10122</v>
      </c>
    </row>
    <row r="2893" spans="1:2">
      <c r="A2893" s="66">
        <v>46028.920906712963</v>
      </c>
      <c r="B2893" s="49" t="s">
        <v>9318</v>
      </c>
    </row>
    <row r="2894" spans="1:2">
      <c r="A2894" s="66">
        <v>46028.920920439814</v>
      </c>
      <c r="B2894" s="49" t="s">
        <v>9078</v>
      </c>
    </row>
    <row r="2895" spans="1:2">
      <c r="A2895" s="66">
        <v>46028.92093818287</v>
      </c>
      <c r="B2895" s="49" t="s">
        <v>9767</v>
      </c>
    </row>
    <row r="2896" spans="1:2">
      <c r="A2896" s="66">
        <v>46028.920941006945</v>
      </c>
      <c r="B2896" s="49" t="s">
        <v>9191</v>
      </c>
    </row>
    <row r="2897" spans="1:2">
      <c r="A2897" s="66">
        <v>46028.921349085649</v>
      </c>
      <c r="B2897" s="49" t="s">
        <v>10123</v>
      </c>
    </row>
    <row r="2898" spans="1:2">
      <c r="A2898" s="66">
        <v>46028.921367025461</v>
      </c>
      <c r="B2898" s="49" t="s">
        <v>10124</v>
      </c>
    </row>
    <row r="2899" spans="1:2">
      <c r="A2899" s="66">
        <v>46028.921372951387</v>
      </c>
      <c r="B2899" s="49" t="s">
        <v>9078</v>
      </c>
    </row>
    <row r="2900" spans="1:2">
      <c r="A2900" s="66">
        <v>46028.921395162033</v>
      </c>
      <c r="B2900" s="49" t="s">
        <v>10125</v>
      </c>
    </row>
    <row r="2901" spans="1:2">
      <c r="A2901" s="66">
        <v>46028.921398333332</v>
      </c>
      <c r="B2901" s="49" t="s">
        <v>9191</v>
      </c>
    </row>
    <row r="2902" spans="1:2">
      <c r="A2902" s="66">
        <v>46028.924951793982</v>
      </c>
      <c r="B2902" s="49" t="s">
        <v>10126</v>
      </c>
    </row>
    <row r="2903" spans="1:2">
      <c r="A2903" s="66">
        <v>46028.924958414354</v>
      </c>
      <c r="B2903" s="49" t="s">
        <v>10127</v>
      </c>
    </row>
    <row r="2904" spans="1:2">
      <c r="A2904" s="66">
        <v>46028.924964641206</v>
      </c>
      <c r="B2904" s="49" t="s">
        <v>9078</v>
      </c>
    </row>
    <row r="2905" spans="1:2">
      <c r="A2905" s="66">
        <v>46028.924971111112</v>
      </c>
      <c r="B2905" s="49" t="s">
        <v>9191</v>
      </c>
    </row>
    <row r="2906" spans="1:2">
      <c r="A2906" s="66">
        <v>46028.925182719904</v>
      </c>
      <c r="B2906" s="49" t="s">
        <v>10128</v>
      </c>
    </row>
    <row r="2907" spans="1:2">
      <c r="A2907" s="66">
        <v>46028.925188310182</v>
      </c>
      <c r="B2907" s="49" t="s">
        <v>10127</v>
      </c>
    </row>
    <row r="2908" spans="1:2">
      <c r="A2908" s="66">
        <v>46028.925193923613</v>
      </c>
      <c r="B2908" s="49" t="s">
        <v>9078</v>
      </c>
    </row>
    <row r="2909" spans="1:2">
      <c r="A2909" s="66">
        <v>46028.92522769676</v>
      </c>
      <c r="B2909" s="49" t="s">
        <v>10129</v>
      </c>
    </row>
    <row r="2910" spans="1:2">
      <c r="A2910" s="66">
        <v>46028.925235208335</v>
      </c>
      <c r="B2910" s="49" t="s">
        <v>10130</v>
      </c>
    </row>
    <row r="2911" spans="1:2">
      <c r="A2911" s="66">
        <v>46028.925238009258</v>
      </c>
      <c r="B2911" s="49" t="s">
        <v>9191</v>
      </c>
    </row>
    <row r="2912" spans="1:2">
      <c r="A2912" s="66">
        <v>46028.930161111115</v>
      </c>
      <c r="B2912" s="49" t="s">
        <v>10131</v>
      </c>
    </row>
    <row r="2913" spans="1:2">
      <c r="A2913" s="66">
        <v>46028.930167349536</v>
      </c>
      <c r="B2913" s="49" t="s">
        <v>10132</v>
      </c>
    </row>
    <row r="2914" spans="1:2">
      <c r="A2914" s="66">
        <v>46028.930173252316</v>
      </c>
      <c r="B2914" s="49" t="s">
        <v>9078</v>
      </c>
    </row>
    <row r="2915" spans="1:2">
      <c r="A2915" s="66">
        <v>46028.930209976854</v>
      </c>
      <c r="B2915" s="49" t="s">
        <v>10133</v>
      </c>
    </row>
    <row r="2916" spans="1:2">
      <c r="A2916" s="66">
        <v>46028.930217233792</v>
      </c>
      <c r="B2916" s="49" t="s">
        <v>10134</v>
      </c>
    </row>
    <row r="2917" spans="1:2">
      <c r="A2917" s="66">
        <v>46028.930219768517</v>
      </c>
      <c r="B2917" s="49" t="s">
        <v>9191</v>
      </c>
    </row>
    <row r="2918" spans="1:2">
      <c r="A2918" s="66">
        <v>46028.930815428241</v>
      </c>
      <c r="B2918" s="49" t="s">
        <v>10135</v>
      </c>
    </row>
    <row r="2919" spans="1:2">
      <c r="A2919" s="66">
        <v>46028.930833217593</v>
      </c>
      <c r="B2919" s="49" t="s">
        <v>9297</v>
      </c>
    </row>
    <row r="2920" spans="1:2">
      <c r="A2920" s="66">
        <v>46028.930843043985</v>
      </c>
      <c r="B2920" s="49" t="s">
        <v>9078</v>
      </c>
    </row>
    <row r="2921" spans="1:2">
      <c r="A2921" s="66">
        <v>46028.930861944449</v>
      </c>
      <c r="B2921" s="49" t="s">
        <v>9298</v>
      </c>
    </row>
    <row r="2922" spans="1:2">
      <c r="A2922" s="66">
        <v>46028.930865821763</v>
      </c>
      <c r="B2922" s="49" t="s">
        <v>9191</v>
      </c>
    </row>
    <row r="2923" spans="1:2">
      <c r="A2923" s="66">
        <v>46028.932892881945</v>
      </c>
      <c r="B2923" s="49" t="s">
        <v>10136</v>
      </c>
    </row>
    <row r="2924" spans="1:2">
      <c r="A2924" s="66">
        <v>46028.932924548615</v>
      </c>
      <c r="B2924" s="49" t="s">
        <v>9073</v>
      </c>
    </row>
    <row r="2925" spans="1:2">
      <c r="A2925" s="66">
        <v>46028.93292950232</v>
      </c>
      <c r="B2925" s="49" t="s">
        <v>9074</v>
      </c>
    </row>
    <row r="2926" spans="1:2">
      <c r="A2926" s="66">
        <v>46028.932932060183</v>
      </c>
      <c r="B2926" s="49" t="s">
        <v>9191</v>
      </c>
    </row>
    <row r="2927" spans="1:2">
      <c r="A2927" s="66">
        <v>46029.260617199077</v>
      </c>
      <c r="B2927" s="49" t="s">
        <v>10137</v>
      </c>
    </row>
    <row r="2928" spans="1:2">
      <c r="A2928" s="66">
        <v>46029.26064842593</v>
      </c>
      <c r="B2928" s="49" t="s">
        <v>9073</v>
      </c>
    </row>
    <row r="2929" spans="1:2">
      <c r="A2929" s="66">
        <v>46029.260653715275</v>
      </c>
      <c r="B2929" s="49" t="s">
        <v>9074</v>
      </c>
    </row>
    <row r="2930" spans="1:2">
      <c r="A2930" s="66">
        <v>46029.260656180559</v>
      </c>
      <c r="B2930" s="49" t="s">
        <v>9191</v>
      </c>
    </row>
    <row r="2931" spans="1:2">
      <c r="A2931" s="66">
        <v>46029.26991643518</v>
      </c>
      <c r="B2931" s="49" t="s">
        <v>10138</v>
      </c>
    </row>
    <row r="2932" spans="1:2">
      <c r="A2932" s="66">
        <v>46029.269961678241</v>
      </c>
      <c r="B2932" s="49" t="s">
        <v>9073</v>
      </c>
    </row>
    <row r="2933" spans="1:2">
      <c r="A2933" s="66">
        <v>46029.269966354172</v>
      </c>
      <c r="B2933" s="49" t="s">
        <v>9074</v>
      </c>
    </row>
    <row r="2934" spans="1:2">
      <c r="A2934" s="66">
        <v>46029.269968831017</v>
      </c>
      <c r="B2934" s="49" t="s">
        <v>9191</v>
      </c>
    </row>
    <row r="2935" spans="1:2">
      <c r="A2935" s="66">
        <v>46029.275151909722</v>
      </c>
      <c r="B2935" s="49" t="s">
        <v>10139</v>
      </c>
    </row>
    <row r="2936" spans="1:2">
      <c r="A2936" s="66">
        <v>46029.275160266203</v>
      </c>
      <c r="B2936" s="49" t="s">
        <v>9393</v>
      </c>
    </row>
    <row r="2937" spans="1:2">
      <c r="A2937" s="66">
        <v>46029.275178587966</v>
      </c>
      <c r="B2937" s="49" t="s">
        <v>9078</v>
      </c>
    </row>
    <row r="2938" spans="1:2">
      <c r="A2938" s="66">
        <v>46029.275194791669</v>
      </c>
      <c r="B2938" s="49" t="s">
        <v>9394</v>
      </c>
    </row>
    <row r="2939" spans="1:2">
      <c r="A2939" s="66">
        <v>46029.275198541669</v>
      </c>
      <c r="B2939" s="49" t="s">
        <v>9191</v>
      </c>
    </row>
    <row r="2940" spans="1:2">
      <c r="A2940" s="66">
        <v>46029.301267743052</v>
      </c>
      <c r="B2940" s="49"/>
    </row>
    <row r="2941" spans="1:2">
      <c r="A2941" s="66">
        <v>46029.301301770829</v>
      </c>
      <c r="B2941" s="49"/>
    </row>
    <row r="2942" spans="1:2">
      <c r="A2942" s="66">
        <v>46029.301397361109</v>
      </c>
      <c r="B2942" s="49"/>
    </row>
    <row r="2943" spans="1:2">
      <c r="A2943" s="66">
        <v>46029.309499178242</v>
      </c>
      <c r="B2943" s="49"/>
    </row>
    <row r="2944" spans="1:2">
      <c r="A2944" s="66">
        <v>46029.32160855324</v>
      </c>
      <c r="B2944" s="49"/>
    </row>
    <row r="2945" spans="1:2">
      <c r="A2945" s="66">
        <v>46029.331512222227</v>
      </c>
      <c r="B2945" s="49"/>
    </row>
    <row r="2946" spans="1:2">
      <c r="A2946" s="66">
        <v>46029.331553622687</v>
      </c>
      <c r="B2946" s="49"/>
    </row>
    <row r="2947" spans="1:2">
      <c r="A2947" s="66">
        <v>46029.337779293986</v>
      </c>
      <c r="B2947" s="49"/>
    </row>
    <row r="2948" spans="1:2">
      <c r="A2948" s="66">
        <v>46029.348950752319</v>
      </c>
      <c r="B2948" s="49" t="s">
        <v>10140</v>
      </c>
    </row>
    <row r="2949" spans="1:2">
      <c r="A2949" s="66">
        <v>46029.348960405092</v>
      </c>
      <c r="B2949" s="49" t="s">
        <v>9410</v>
      </c>
    </row>
    <row r="2950" spans="1:2">
      <c r="A2950" s="66">
        <v>46029.348980243056</v>
      </c>
      <c r="B2950" s="49" t="s">
        <v>9078</v>
      </c>
    </row>
    <row r="2951" spans="1:2">
      <c r="A2951" s="66">
        <v>46029.349006307872</v>
      </c>
      <c r="B2951" s="49" t="s">
        <v>9411</v>
      </c>
    </row>
    <row r="2952" spans="1:2">
      <c r="A2952" s="66">
        <v>46029.349009143523</v>
      </c>
      <c r="B2952" s="49" t="s">
        <v>9191</v>
      </c>
    </row>
    <row r="2953" spans="1:2">
      <c r="A2953" s="66">
        <v>46029.434177361109</v>
      </c>
      <c r="B2953" s="49" t="s">
        <v>10141</v>
      </c>
    </row>
    <row r="2954" spans="1:2">
      <c r="A2954" s="66">
        <v>46029.434187199076</v>
      </c>
      <c r="B2954" s="49" t="s">
        <v>9739</v>
      </c>
    </row>
    <row r="2955" spans="1:2">
      <c r="A2955" s="66">
        <v>46029.434207951388</v>
      </c>
      <c r="B2955" s="49" t="s">
        <v>9078</v>
      </c>
    </row>
    <row r="2956" spans="1:2">
      <c r="A2956" s="66">
        <v>46029.434225868055</v>
      </c>
      <c r="B2956" s="49" t="s">
        <v>9740</v>
      </c>
    </row>
    <row r="2957" spans="1:2">
      <c r="A2957" s="66">
        <v>46029.434229386577</v>
      </c>
      <c r="B2957" s="49" t="s">
        <v>9191</v>
      </c>
    </row>
    <row r="2958" spans="1:2">
      <c r="A2958" s="66">
        <v>46029.443428981482</v>
      </c>
      <c r="B2958" s="49" t="s">
        <v>10142</v>
      </c>
    </row>
    <row r="2959" spans="1:2">
      <c r="A2959" s="66">
        <v>46029.443438472226</v>
      </c>
      <c r="B2959" s="49" t="s">
        <v>10143</v>
      </c>
    </row>
    <row r="2960" spans="1:2">
      <c r="A2960" s="66">
        <v>46029.443444675926</v>
      </c>
      <c r="B2960" s="49" t="s">
        <v>9078</v>
      </c>
    </row>
    <row r="2961" spans="1:2">
      <c r="A2961" s="66">
        <v>46029.443475868058</v>
      </c>
      <c r="B2961" s="49" t="s">
        <v>10144</v>
      </c>
    </row>
    <row r="2962" spans="1:2">
      <c r="A2962" s="66">
        <v>46029.443484178242</v>
      </c>
      <c r="B2962" s="49" t="s">
        <v>10145</v>
      </c>
    </row>
    <row r="2963" spans="1:2">
      <c r="A2963" s="66">
        <v>46029.443488854165</v>
      </c>
      <c r="B2963" s="49" t="s">
        <v>9191</v>
      </c>
    </row>
    <row r="2964" spans="1:2">
      <c r="A2964" s="66">
        <v>46029.443669618056</v>
      </c>
      <c r="B2964" s="49" t="s">
        <v>10146</v>
      </c>
    </row>
    <row r="2965" spans="1:2">
      <c r="A2965" s="66">
        <v>46029.443674733797</v>
      </c>
      <c r="B2965" s="49" t="s">
        <v>10147</v>
      </c>
    </row>
    <row r="2966" spans="1:2">
      <c r="A2966" s="66">
        <v>46029.443682245372</v>
      </c>
      <c r="B2966" s="49" t="s">
        <v>9078</v>
      </c>
    </row>
    <row r="2967" spans="1:2">
      <c r="A2967" s="66">
        <v>46029.443716307869</v>
      </c>
      <c r="B2967" s="49" t="s">
        <v>10148</v>
      </c>
    </row>
    <row r="2968" spans="1:2">
      <c r="A2968" s="66">
        <v>46029.443723993056</v>
      </c>
      <c r="B2968" s="49" t="s">
        <v>10149</v>
      </c>
    </row>
    <row r="2969" spans="1:2">
      <c r="A2969" s="66">
        <v>46029.443726597223</v>
      </c>
      <c r="B2969" s="49" t="s">
        <v>9191</v>
      </c>
    </row>
    <row r="2970" spans="1:2">
      <c r="A2970" s="66">
        <v>46029.493271354164</v>
      </c>
      <c r="B2970" s="49" t="s">
        <v>10150</v>
      </c>
    </row>
    <row r="2971" spans="1:2">
      <c r="A2971" s="66">
        <v>46029.493304293981</v>
      </c>
      <c r="B2971" s="49" t="s">
        <v>10151</v>
      </c>
    </row>
    <row r="2972" spans="1:2">
      <c r="A2972" s="66">
        <v>46029.49332444444</v>
      </c>
      <c r="B2972" s="49" t="s">
        <v>9078</v>
      </c>
    </row>
    <row r="2973" spans="1:2">
      <c r="A2973" s="66">
        <v>46029.493369479169</v>
      </c>
      <c r="B2973" s="49" t="s">
        <v>10152</v>
      </c>
    </row>
    <row r="2974" spans="1:2">
      <c r="A2974" s="66">
        <v>46029.493378368061</v>
      </c>
      <c r="B2974" s="49" t="s">
        <v>10153</v>
      </c>
    </row>
    <row r="2975" spans="1:2">
      <c r="A2975" s="66">
        <v>46029.493381631946</v>
      </c>
      <c r="B2975" s="49" t="s">
        <v>9191</v>
      </c>
    </row>
    <row r="2976" spans="1:2">
      <c r="A2976" s="66">
        <v>46029.590265034727</v>
      </c>
      <c r="B2976" s="49" t="s">
        <v>10154</v>
      </c>
    </row>
    <row r="2977" spans="1:2">
      <c r="A2977" s="66">
        <v>46029.59027237269</v>
      </c>
      <c r="B2977" s="49" t="s">
        <v>9482</v>
      </c>
    </row>
    <row r="2978" spans="1:2">
      <c r="A2978" s="66">
        <v>46029.590276678238</v>
      </c>
      <c r="B2978" s="49" t="s">
        <v>9078</v>
      </c>
    </row>
    <row r="2979" spans="1:2">
      <c r="A2979" s="66">
        <v>46029.590293715279</v>
      </c>
      <c r="B2979" s="49" t="s">
        <v>9537</v>
      </c>
    </row>
    <row r="2980" spans="1:2">
      <c r="A2980" s="66">
        <v>46029.590296331022</v>
      </c>
      <c r="B2980" s="49" t="s">
        <v>9191</v>
      </c>
    </row>
    <row r="2981" spans="1:2">
      <c r="A2981" s="66">
        <v>46029.639166828703</v>
      </c>
      <c r="B2981" s="49" t="s">
        <v>10155</v>
      </c>
    </row>
    <row r="2982" spans="1:2">
      <c r="A2982" s="66">
        <v>46029.639174374999</v>
      </c>
      <c r="B2982" s="49" t="s">
        <v>10156</v>
      </c>
    </row>
    <row r="2983" spans="1:2">
      <c r="A2983" s="66">
        <v>46029.639180358798</v>
      </c>
      <c r="B2983" s="49" t="s">
        <v>9078</v>
      </c>
    </row>
    <row r="2984" spans="1:2">
      <c r="A2984" s="66">
        <v>46029.639227581021</v>
      </c>
      <c r="B2984" s="49" t="s">
        <v>10157</v>
      </c>
    </row>
    <row r="2985" spans="1:2">
      <c r="A2985" s="66">
        <v>46029.639234467591</v>
      </c>
      <c r="B2985" s="49" t="s">
        <v>10158</v>
      </c>
    </row>
    <row r="2986" spans="1:2">
      <c r="A2986" s="66">
        <v>46029.639236979172</v>
      </c>
      <c r="B2986" s="49" t="s">
        <v>9191</v>
      </c>
    </row>
    <row r="2987" spans="1:2">
      <c r="A2987" s="66">
        <v>46030.271863148148</v>
      </c>
      <c r="B2987" s="49" t="s">
        <v>10159</v>
      </c>
    </row>
    <row r="2988" spans="1:2">
      <c r="A2988" s="66">
        <v>46030.271902523149</v>
      </c>
      <c r="B2988" s="49" t="s">
        <v>9073</v>
      </c>
    </row>
    <row r="2989" spans="1:2">
      <c r="A2989" s="66">
        <v>46030.271907372684</v>
      </c>
      <c r="B2989" s="49" t="s">
        <v>9074</v>
      </c>
    </row>
    <row r="2990" spans="1:2">
      <c r="A2990" s="66">
        <v>46030.271916909725</v>
      </c>
      <c r="B2990" s="49" t="s">
        <v>9191</v>
      </c>
    </row>
    <row r="2991" spans="1:2">
      <c r="A2991" s="66">
        <v>46030.286579386579</v>
      </c>
      <c r="B2991" s="49"/>
    </row>
    <row r="2992" spans="1:2">
      <c r="A2992" s="66">
        <v>46030.286723958328</v>
      </c>
      <c r="B2992" s="49"/>
    </row>
    <row r="2993" spans="1:2">
      <c r="A2993" s="66">
        <v>46030.297528078707</v>
      </c>
      <c r="B2993" s="49"/>
    </row>
    <row r="2994" spans="1:2">
      <c r="A2994" s="66">
        <v>46030.305692893518</v>
      </c>
      <c r="B2994" s="49"/>
    </row>
    <row r="2995" spans="1:2">
      <c r="A2995" s="66">
        <v>46030.329597337965</v>
      </c>
      <c r="B2995" s="49"/>
    </row>
    <row r="2996" spans="1:2">
      <c r="A2996" s="66">
        <v>46030.329629201384</v>
      </c>
      <c r="B2996" s="49"/>
    </row>
    <row r="2997" spans="1:2">
      <c r="A2997" s="66">
        <v>46030.329734212966</v>
      </c>
      <c r="B2997" s="49"/>
    </row>
    <row r="2998" spans="1:2">
      <c r="A2998" s="66">
        <v>46030.329755543979</v>
      </c>
      <c r="B2998" s="49"/>
    </row>
    <row r="2999" spans="1:2">
      <c r="A2999" s="66">
        <v>46030.399151076388</v>
      </c>
      <c r="B2999" s="49" t="s">
        <v>10160</v>
      </c>
    </row>
    <row r="3000" spans="1:2">
      <c r="A3000" s="66">
        <v>46030.399155370367</v>
      </c>
      <c r="B3000" s="49" t="s">
        <v>10161</v>
      </c>
    </row>
    <row r="3001" spans="1:2">
      <c r="A3001" s="66">
        <v>46030.399158854168</v>
      </c>
      <c r="B3001" s="49" t="s">
        <v>9174</v>
      </c>
    </row>
    <row r="3002" spans="1:2">
      <c r="A3002" s="66">
        <v>46030.399163425929</v>
      </c>
      <c r="B3002" s="49" t="s">
        <v>9191</v>
      </c>
    </row>
    <row r="3003" spans="1:2">
      <c r="A3003" s="66">
        <v>46030.399366307873</v>
      </c>
      <c r="B3003" s="49" t="s">
        <v>10162</v>
      </c>
    </row>
    <row r="3004" spans="1:2">
      <c r="A3004" s="66">
        <v>46030.399369756946</v>
      </c>
      <c r="B3004" s="49" t="s">
        <v>10161</v>
      </c>
    </row>
    <row r="3005" spans="1:2">
      <c r="A3005" s="66">
        <v>46030.399373182867</v>
      </c>
      <c r="B3005" s="49" t="s">
        <v>9174</v>
      </c>
    </row>
    <row r="3006" spans="1:2">
      <c r="A3006" s="66">
        <v>46030.399378182876</v>
      </c>
      <c r="B3006" s="49" t="s">
        <v>9191</v>
      </c>
    </row>
    <row r="3007" spans="1:2">
      <c r="A3007" s="66">
        <v>46030.399616273149</v>
      </c>
      <c r="B3007" s="49" t="s">
        <v>10163</v>
      </c>
    </row>
    <row r="3008" spans="1:2">
      <c r="A3008" s="66">
        <v>46030.399621481483</v>
      </c>
      <c r="B3008" s="49" t="s">
        <v>10164</v>
      </c>
    </row>
    <row r="3009" spans="1:2">
      <c r="A3009" s="66">
        <v>46030.399627060186</v>
      </c>
      <c r="B3009" s="49" t="s">
        <v>9078</v>
      </c>
    </row>
    <row r="3010" spans="1:2">
      <c r="A3010" s="66">
        <v>46030.399655428242</v>
      </c>
      <c r="B3010" s="49" t="s">
        <v>10165</v>
      </c>
    </row>
    <row r="3011" spans="1:2">
      <c r="A3011" s="66">
        <v>46030.399662395837</v>
      </c>
      <c r="B3011" s="49" t="s">
        <v>10166</v>
      </c>
    </row>
    <row r="3012" spans="1:2">
      <c r="A3012" s="66">
        <v>46030.399665277779</v>
      </c>
      <c r="B3012" s="49" t="s">
        <v>9191</v>
      </c>
    </row>
    <row r="3013" spans="1:2">
      <c r="A3013" s="66">
        <v>46030.405127152779</v>
      </c>
      <c r="B3013" s="49" t="s">
        <v>10167</v>
      </c>
    </row>
    <row r="3014" spans="1:2">
      <c r="A3014" s="66">
        <v>46030.405135474539</v>
      </c>
      <c r="B3014" s="49" t="s">
        <v>10168</v>
      </c>
    </row>
    <row r="3015" spans="1:2">
      <c r="A3015" s="66">
        <v>46030.405154976848</v>
      </c>
      <c r="B3015" s="49" t="s">
        <v>9078</v>
      </c>
    </row>
    <row r="3016" spans="1:2">
      <c r="A3016" s="66">
        <v>46030.405202268521</v>
      </c>
      <c r="B3016" s="49" t="s">
        <v>10169</v>
      </c>
    </row>
    <row r="3017" spans="1:2">
      <c r="A3017" s="66">
        <v>46030.40521060185</v>
      </c>
      <c r="B3017" s="49" t="s">
        <v>10170</v>
      </c>
    </row>
    <row r="3018" spans="1:2">
      <c r="A3018" s="66">
        <v>46030.405221666668</v>
      </c>
      <c r="B3018" s="49" t="s">
        <v>9191</v>
      </c>
    </row>
    <row r="3019" spans="1:2">
      <c r="A3019" s="66">
        <v>46030.619769375</v>
      </c>
      <c r="B3019" s="49" t="s">
        <v>10171</v>
      </c>
    </row>
    <row r="3020" spans="1:2">
      <c r="A3020" s="66">
        <v>46030.619776828702</v>
      </c>
      <c r="B3020" s="49" t="s">
        <v>9575</v>
      </c>
    </row>
    <row r="3021" spans="1:2">
      <c r="A3021" s="66">
        <v>46030.61978202546</v>
      </c>
      <c r="B3021" s="49" t="s">
        <v>9078</v>
      </c>
    </row>
    <row r="3022" spans="1:2">
      <c r="A3022" s="66">
        <v>46030.619809988428</v>
      </c>
      <c r="B3022" s="49" t="s">
        <v>10111</v>
      </c>
    </row>
    <row r="3023" spans="1:2">
      <c r="A3023" s="66">
        <v>46030.619812511577</v>
      </c>
      <c r="B3023" s="49" t="s">
        <v>9191</v>
      </c>
    </row>
    <row r="3024" spans="1:2">
      <c r="A3024" s="66">
        <v>46030.620083668982</v>
      </c>
      <c r="B3024" s="49" t="s">
        <v>9194</v>
      </c>
    </row>
    <row r="3025" spans="1:2">
      <c r="A3025" s="66">
        <v>46030.620086527779</v>
      </c>
      <c r="B3025" s="49" t="s">
        <v>9191</v>
      </c>
    </row>
    <row r="3026" spans="1:2">
      <c r="A3026" s="66">
        <v>46030.834201469908</v>
      </c>
      <c r="B3026" s="49" t="s">
        <v>10172</v>
      </c>
    </row>
    <row r="3027" spans="1:2">
      <c r="A3027" s="66">
        <v>46030.834208865737</v>
      </c>
      <c r="B3027" s="49" t="s">
        <v>10173</v>
      </c>
    </row>
    <row r="3028" spans="1:2">
      <c r="A3028" s="66">
        <v>46030.834212881949</v>
      </c>
      <c r="B3028" s="49" t="s">
        <v>9078</v>
      </c>
    </row>
    <row r="3029" spans="1:2">
      <c r="A3029" s="66">
        <v>46030.834256747687</v>
      </c>
      <c r="B3029" s="49" t="s">
        <v>10174</v>
      </c>
    </row>
    <row r="3030" spans="1:2">
      <c r="A3030" s="66">
        <v>46030.834263784724</v>
      </c>
      <c r="B3030" s="49" t="s">
        <v>10175</v>
      </c>
    </row>
    <row r="3031" spans="1:2">
      <c r="A3031" s="66">
        <v>46030.834266134261</v>
      </c>
      <c r="B3031" s="49" t="s">
        <v>9191</v>
      </c>
    </row>
    <row r="3032" spans="1:2">
      <c r="A3032" s="66">
        <v>46030.965935081018</v>
      </c>
      <c r="B3032" s="49" t="s">
        <v>10176</v>
      </c>
    </row>
    <row r="3033" spans="1:2">
      <c r="A3033" s="66">
        <v>46030.965960150468</v>
      </c>
      <c r="B3033" s="49" t="s">
        <v>10177</v>
      </c>
    </row>
    <row r="3034" spans="1:2">
      <c r="A3034" s="66">
        <v>46030.965975219908</v>
      </c>
      <c r="B3034" s="49" t="s">
        <v>9078</v>
      </c>
    </row>
    <row r="3035" spans="1:2">
      <c r="A3035" s="66">
        <v>46030.966026655093</v>
      </c>
      <c r="B3035" s="49" t="s">
        <v>10178</v>
      </c>
    </row>
    <row r="3036" spans="1:2">
      <c r="A3036" s="66">
        <v>46030.966040092593</v>
      </c>
      <c r="B3036" s="49" t="s">
        <v>10179</v>
      </c>
    </row>
    <row r="3037" spans="1:2">
      <c r="A3037" s="66">
        <v>46030.966045787034</v>
      </c>
      <c r="B3037" s="49" t="s">
        <v>9191</v>
      </c>
    </row>
    <row r="3038" spans="1:2">
      <c r="A3038" s="66">
        <v>46030.967985150462</v>
      </c>
      <c r="B3038" s="49" t="s">
        <v>10180</v>
      </c>
    </row>
    <row r="3039" spans="1:2">
      <c r="A3039" s="66">
        <v>46030.967993819446</v>
      </c>
      <c r="B3039" s="49" t="s">
        <v>10181</v>
      </c>
    </row>
    <row r="3040" spans="1:2">
      <c r="A3040" s="66">
        <v>46030.968000162036</v>
      </c>
      <c r="B3040" s="49" t="s">
        <v>9078</v>
      </c>
    </row>
    <row r="3041" spans="1:2">
      <c r="A3041" s="66">
        <v>46030.968007326388</v>
      </c>
      <c r="B3041" s="49" t="s">
        <v>9191</v>
      </c>
    </row>
    <row r="3042" spans="1:2">
      <c r="A3042" s="66">
        <v>46030.968215370369</v>
      </c>
      <c r="B3042" s="49" t="s">
        <v>10182</v>
      </c>
    </row>
    <row r="3043" spans="1:2">
      <c r="A3043" s="66">
        <v>46030.968227673613</v>
      </c>
      <c r="B3043" s="49" t="s">
        <v>10181</v>
      </c>
    </row>
    <row r="3044" spans="1:2">
      <c r="A3044" s="66">
        <v>46030.968232349536</v>
      </c>
      <c r="B3044" s="49" t="s">
        <v>9078</v>
      </c>
    </row>
    <row r="3045" spans="1:2">
      <c r="A3045" s="66">
        <v>46030.968253333333</v>
      </c>
      <c r="B3045" s="49" t="s">
        <v>10183</v>
      </c>
    </row>
    <row r="3046" spans="1:2">
      <c r="A3046" s="66">
        <v>46030.968260694441</v>
      </c>
      <c r="B3046" s="49" t="s">
        <v>10184</v>
      </c>
    </row>
    <row r="3047" spans="1:2">
      <c r="A3047" s="66">
        <v>46030.968262858798</v>
      </c>
      <c r="B3047" s="49" t="s">
        <v>9191</v>
      </c>
    </row>
    <row r="3048" spans="1:2">
      <c r="A3048" s="66">
        <v>46030.975077673611</v>
      </c>
      <c r="B3048" s="49" t="s">
        <v>10185</v>
      </c>
    </row>
    <row r="3049" spans="1:2">
      <c r="A3049" s="66">
        <v>46030.97508423611</v>
      </c>
      <c r="B3049" s="49" t="s">
        <v>9638</v>
      </c>
    </row>
    <row r="3050" spans="1:2">
      <c r="A3050" s="66">
        <v>46030.975105578706</v>
      </c>
      <c r="B3050" s="49" t="s">
        <v>9078</v>
      </c>
    </row>
    <row r="3051" spans="1:2">
      <c r="A3051" s="66">
        <v>46030.975118923612</v>
      </c>
      <c r="B3051" s="49" t="s">
        <v>9817</v>
      </c>
    </row>
    <row r="3052" spans="1:2">
      <c r="A3052" s="66">
        <v>46030.975121701384</v>
      </c>
      <c r="B3052" s="49" t="s">
        <v>9191</v>
      </c>
    </row>
    <row r="3053" spans="1:2">
      <c r="A3053" s="66">
        <v>46031.273524351855</v>
      </c>
      <c r="B3053" s="49" t="s">
        <v>10186</v>
      </c>
    </row>
    <row r="3054" spans="1:2">
      <c r="A3054" s="66">
        <v>46031.273559849535</v>
      </c>
      <c r="B3054" s="49" t="s">
        <v>9073</v>
      </c>
    </row>
    <row r="3055" spans="1:2">
      <c r="A3055" s="66">
        <v>46031.273564328701</v>
      </c>
      <c r="B3055" s="49" t="s">
        <v>9074</v>
      </c>
    </row>
    <row r="3056" spans="1:2">
      <c r="A3056" s="66">
        <v>46031.273566458331</v>
      </c>
      <c r="B3056" s="49" t="s">
        <v>9191</v>
      </c>
    </row>
    <row r="3057" spans="1:2">
      <c r="A3057" s="66">
        <v>46031.301349004629</v>
      </c>
      <c r="B3057" s="49"/>
    </row>
    <row r="3058" spans="1:2">
      <c r="A3058" s="66">
        <v>46031.301394224538</v>
      </c>
      <c r="B3058" s="49"/>
    </row>
    <row r="3059" spans="1:2">
      <c r="A3059" s="66">
        <v>46031.342010405089</v>
      </c>
      <c r="B3059" s="49"/>
    </row>
    <row r="3060" spans="1:2">
      <c r="A3060" s="66">
        <v>46031.342028935185</v>
      </c>
      <c r="B3060" s="49"/>
    </row>
    <row r="3061" spans="1:2">
      <c r="A3061" s="66">
        <v>46031.342047858794</v>
      </c>
      <c r="B3061" s="49"/>
    </row>
    <row r="3062" spans="1:2">
      <c r="A3062" s="66">
        <v>46031.342119918976</v>
      </c>
      <c r="B3062" s="49"/>
    </row>
    <row r="3063" spans="1:2">
      <c r="A3063" s="66">
        <v>46031.342138101856</v>
      </c>
      <c r="B3063" s="49"/>
    </row>
    <row r="3064" spans="1:2">
      <c r="A3064" s="66">
        <v>46031.385525648147</v>
      </c>
      <c r="B3064" s="49" t="s">
        <v>10187</v>
      </c>
    </row>
    <row r="3065" spans="1:2">
      <c r="A3065" s="66">
        <v>46031.385580648144</v>
      </c>
      <c r="B3065" s="49" t="s">
        <v>9073</v>
      </c>
    </row>
    <row r="3066" spans="1:2">
      <c r="A3066" s="66">
        <v>46031.385586122684</v>
      </c>
      <c r="B3066" s="49" t="s">
        <v>9074</v>
      </c>
    </row>
    <row r="3067" spans="1:2">
      <c r="A3067" s="66">
        <v>46031.385588993056</v>
      </c>
      <c r="B3067" s="49" t="s">
        <v>9191</v>
      </c>
    </row>
    <row r="3068" spans="1:2">
      <c r="A3068" s="66">
        <v>46031.452202708329</v>
      </c>
      <c r="B3068" s="49"/>
    </row>
    <row r="3069" spans="1:2">
      <c r="A3069" s="66">
        <v>46031.462115613424</v>
      </c>
      <c r="B3069" s="67">
        <v>46031</v>
      </c>
    </row>
    <row r="3070" spans="1:2">
      <c r="A3070" s="66">
        <v>46031.467343854165</v>
      </c>
      <c r="B3070" s="49" t="s">
        <v>10188</v>
      </c>
    </row>
    <row r="3071" spans="1:2">
      <c r="A3071" s="66">
        <v>46031.467348958337</v>
      </c>
      <c r="B3071" s="49" t="s">
        <v>10189</v>
      </c>
    </row>
    <row r="3072" spans="1:2">
      <c r="A3072" s="66">
        <v>46031.467352754626</v>
      </c>
      <c r="B3072" s="49" t="s">
        <v>9078</v>
      </c>
    </row>
    <row r="3073" spans="1:2">
      <c r="A3073" s="66">
        <v>46031.467380393515</v>
      </c>
      <c r="B3073" s="49" t="s">
        <v>10190</v>
      </c>
    </row>
    <row r="3074" spans="1:2">
      <c r="A3074" s="66">
        <v>46031.467386087963</v>
      </c>
      <c r="B3074" s="49" t="s">
        <v>10191</v>
      </c>
    </row>
    <row r="3075" spans="1:2">
      <c r="A3075" s="66">
        <v>46031.467387789351</v>
      </c>
      <c r="B3075" s="49" t="s">
        <v>9191</v>
      </c>
    </row>
    <row r="3076" spans="1:2">
      <c r="A3076" s="66">
        <v>46031.488868611108</v>
      </c>
      <c r="B3076" s="49" t="s">
        <v>10192</v>
      </c>
    </row>
    <row r="3077" spans="1:2">
      <c r="A3077" s="66">
        <v>46031.488882094913</v>
      </c>
      <c r="B3077" s="49" t="s">
        <v>10193</v>
      </c>
    </row>
    <row r="3078" spans="1:2">
      <c r="A3078" s="66">
        <v>46031.488900659722</v>
      </c>
      <c r="B3078" s="49" t="s">
        <v>9078</v>
      </c>
    </row>
    <row r="3079" spans="1:2">
      <c r="A3079" s="66">
        <v>46031.488926655089</v>
      </c>
      <c r="B3079" s="49" t="s">
        <v>10194</v>
      </c>
    </row>
    <row r="3080" spans="1:2">
      <c r="A3080" s="66">
        <v>46031.488936354166</v>
      </c>
      <c r="B3080" s="49" t="s">
        <v>10195</v>
      </c>
    </row>
    <row r="3081" spans="1:2">
      <c r="A3081" s="66">
        <v>46031.488939456016</v>
      </c>
      <c r="B3081" s="49" t="s">
        <v>9191</v>
      </c>
    </row>
    <row r="3082" spans="1:2">
      <c r="A3082" s="66">
        <v>46031.659927037035</v>
      </c>
      <c r="B3082" s="49" t="s">
        <v>10196</v>
      </c>
    </row>
    <row r="3083" spans="1:2">
      <c r="A3083" s="66">
        <v>46031.659932870374</v>
      </c>
      <c r="B3083" s="49" t="s">
        <v>10197</v>
      </c>
    </row>
    <row r="3084" spans="1:2">
      <c r="A3084" s="66">
        <v>46031.659953784721</v>
      </c>
      <c r="B3084" s="49" t="s">
        <v>9078</v>
      </c>
    </row>
    <row r="3085" spans="1:2">
      <c r="A3085" s="66">
        <v>46031.659985115737</v>
      </c>
      <c r="B3085" s="49" t="s">
        <v>10198</v>
      </c>
    </row>
    <row r="3086" spans="1:2">
      <c r="A3086" s="66">
        <v>46031.659992025467</v>
      </c>
      <c r="B3086" s="49" t="s">
        <v>10199</v>
      </c>
    </row>
    <row r="3087" spans="1:2">
      <c r="A3087" s="66">
        <v>46031.659994074071</v>
      </c>
      <c r="B3087" s="49" t="s">
        <v>9191</v>
      </c>
    </row>
    <row r="3088" spans="1:2">
      <c r="A3088" s="66">
        <v>46031.713926863427</v>
      </c>
      <c r="B3088" s="49" t="s">
        <v>10200</v>
      </c>
    </row>
    <row r="3089" spans="1:2">
      <c r="A3089" s="66">
        <v>46031.713947870376</v>
      </c>
      <c r="B3089" s="49" t="s">
        <v>9587</v>
      </c>
    </row>
    <row r="3090" spans="1:2">
      <c r="A3090" s="66">
        <v>46031.713951759259</v>
      </c>
      <c r="B3090" s="49" t="s">
        <v>9078</v>
      </c>
    </row>
    <row r="3091" spans="1:2">
      <c r="A3091" s="66">
        <v>46031.713972939819</v>
      </c>
      <c r="B3091" s="49" t="s">
        <v>9931</v>
      </c>
    </row>
    <row r="3092" spans="1:2">
      <c r="A3092" s="66">
        <v>46031.713982442132</v>
      </c>
      <c r="B3092" s="49" t="s">
        <v>9191</v>
      </c>
    </row>
    <row r="3093" spans="1:2">
      <c r="A3093" s="66">
        <v>46032.263511273151</v>
      </c>
      <c r="B3093" s="49" t="s">
        <v>10201</v>
      </c>
    </row>
    <row r="3094" spans="1:2">
      <c r="A3094" s="66">
        <v>46032.263541736116</v>
      </c>
      <c r="B3094" s="49" t="s">
        <v>9073</v>
      </c>
    </row>
    <row r="3095" spans="1:2">
      <c r="A3095" s="66">
        <v>46032.263546631948</v>
      </c>
      <c r="B3095" s="49" t="s">
        <v>9074</v>
      </c>
    </row>
    <row r="3096" spans="1:2">
      <c r="A3096" s="66">
        <v>46032.263548460644</v>
      </c>
      <c r="B3096" s="49" t="s">
        <v>9191</v>
      </c>
    </row>
    <row r="3097" spans="1:2">
      <c r="A3097" s="66">
        <v>46032.299414062501</v>
      </c>
      <c r="B3097" s="49" t="s">
        <v>10202</v>
      </c>
    </row>
    <row r="3098" spans="1:2">
      <c r="A3098" s="66">
        <v>46032.299420081021</v>
      </c>
      <c r="B3098" s="49" t="s">
        <v>10008</v>
      </c>
    </row>
    <row r="3099" spans="1:2">
      <c r="A3099" s="66">
        <v>46032.299426215279</v>
      </c>
      <c r="B3099" s="49" t="s">
        <v>9078</v>
      </c>
    </row>
    <row r="3100" spans="1:2">
      <c r="A3100" s="66">
        <v>46032.299445949073</v>
      </c>
      <c r="B3100" s="49" t="s">
        <v>10203</v>
      </c>
    </row>
    <row r="3101" spans="1:2">
      <c r="A3101" s="66">
        <v>46032.299461388888</v>
      </c>
      <c r="B3101" s="49" t="s">
        <v>9191</v>
      </c>
    </row>
    <row r="3102" spans="1:2">
      <c r="A3102" s="66">
        <v>46032.300227129628</v>
      </c>
      <c r="B3102" s="49"/>
    </row>
    <row r="3103" spans="1:2">
      <c r="A3103" s="66">
        <v>46032.350218796295</v>
      </c>
      <c r="B3103" s="49"/>
    </row>
    <row r="3104" spans="1:2">
      <c r="A3104" s="66">
        <v>46032.357554201386</v>
      </c>
      <c r="B3104" s="49"/>
    </row>
    <row r="3105" spans="1:2">
      <c r="A3105" s="66">
        <v>46032.364762638885</v>
      </c>
      <c r="B3105" s="49"/>
    </row>
    <row r="3106" spans="1:2">
      <c r="A3106" s="66">
        <v>46032.373707962965</v>
      </c>
      <c r="B3106" s="49"/>
    </row>
    <row r="3107" spans="1:2">
      <c r="A3107" s="66">
        <v>46032.39703018518</v>
      </c>
      <c r="B3107" s="49" t="s">
        <v>10204</v>
      </c>
    </row>
    <row r="3108" spans="1:2">
      <c r="A3108" s="66">
        <v>46032.397066168982</v>
      </c>
      <c r="B3108" s="49" t="s">
        <v>9073</v>
      </c>
    </row>
    <row r="3109" spans="1:2">
      <c r="A3109" s="66">
        <v>46032.397071030093</v>
      </c>
      <c r="B3109" s="49" t="s">
        <v>9074</v>
      </c>
    </row>
    <row r="3110" spans="1:2">
      <c r="A3110" s="66">
        <v>46032.397073518514</v>
      </c>
      <c r="B3110" s="49" t="s">
        <v>9191</v>
      </c>
    </row>
    <row r="3111" spans="1:2">
      <c r="A3111" s="66">
        <v>46032.432638275466</v>
      </c>
      <c r="B3111" s="49" t="s">
        <v>10205</v>
      </c>
    </row>
    <row r="3112" spans="1:2">
      <c r="A3112" s="66">
        <v>46032.432644722227</v>
      </c>
      <c r="B3112" s="49" t="s">
        <v>9890</v>
      </c>
    </row>
    <row r="3113" spans="1:2">
      <c r="A3113" s="66">
        <v>46032.432649675931</v>
      </c>
      <c r="B3113" s="49" t="s">
        <v>9078</v>
      </c>
    </row>
    <row r="3114" spans="1:2">
      <c r="A3114" s="66">
        <v>46032.432681122686</v>
      </c>
      <c r="B3114" s="49" t="s">
        <v>10206</v>
      </c>
    </row>
    <row r="3115" spans="1:2">
      <c r="A3115" s="66">
        <v>46032.432686979169</v>
      </c>
      <c r="B3115" s="49" t="s">
        <v>9191</v>
      </c>
    </row>
    <row r="3116" spans="1:2">
      <c r="A3116" s="66">
        <v>46032.701775868059</v>
      </c>
      <c r="B3116" s="49" t="s">
        <v>10207</v>
      </c>
    </row>
    <row r="3117" spans="1:2">
      <c r="A3117" s="66">
        <v>46032.701782800927</v>
      </c>
      <c r="B3117" s="49" t="s">
        <v>9560</v>
      </c>
    </row>
    <row r="3118" spans="1:2">
      <c r="A3118" s="66">
        <v>46032.701803055556</v>
      </c>
      <c r="B3118" s="49" t="s">
        <v>9078</v>
      </c>
    </row>
    <row r="3119" spans="1:2">
      <c r="A3119" s="66">
        <v>46032.701822013885</v>
      </c>
      <c r="B3119" s="49" t="s">
        <v>9561</v>
      </c>
    </row>
    <row r="3120" spans="1:2">
      <c r="A3120" s="66">
        <v>46032.701824942131</v>
      </c>
      <c r="B3120" s="49" t="s">
        <v>9191</v>
      </c>
    </row>
    <row r="3121" spans="1:2">
      <c r="A3121" s="66">
        <v>46032.852291874995</v>
      </c>
      <c r="B3121" s="49" t="s">
        <v>10208</v>
      </c>
    </row>
    <row r="3122" spans="1:2">
      <c r="A3122" s="66">
        <v>46032.852298981481</v>
      </c>
      <c r="B3122" s="49" t="s">
        <v>9247</v>
      </c>
    </row>
    <row r="3123" spans="1:2">
      <c r="A3123" s="66">
        <v>46032.852316319448</v>
      </c>
      <c r="B3123" s="49" t="s">
        <v>9078</v>
      </c>
    </row>
    <row r="3124" spans="1:2">
      <c r="A3124" s="66">
        <v>46032.852336331023</v>
      </c>
      <c r="B3124" s="49" t="s">
        <v>9752</v>
      </c>
    </row>
    <row r="3125" spans="1:2">
      <c r="A3125" s="66">
        <v>46032.852339062505</v>
      </c>
      <c r="B3125" s="49" t="s">
        <v>9191</v>
      </c>
    </row>
    <row r="3126" spans="1:2">
      <c r="A3126" s="66">
        <v>46033.022579942131</v>
      </c>
      <c r="B3126" s="49" t="s">
        <v>10172</v>
      </c>
    </row>
    <row r="3127" spans="1:2">
      <c r="A3127" s="66">
        <v>46033.022586284722</v>
      </c>
      <c r="B3127" s="49" t="s">
        <v>10173</v>
      </c>
    </row>
    <row r="3128" spans="1:2">
      <c r="A3128" s="66">
        <v>46033.022589467597</v>
      </c>
      <c r="B3128" s="49" t="s">
        <v>9078</v>
      </c>
    </row>
    <row r="3129" spans="1:2">
      <c r="A3129" s="66">
        <v>46033.02260045139</v>
      </c>
      <c r="B3129" s="49" t="s">
        <v>10209</v>
      </c>
    </row>
    <row r="3130" spans="1:2">
      <c r="A3130" s="66">
        <v>46033.022602326389</v>
      </c>
      <c r="B3130" s="49" t="s">
        <v>9191</v>
      </c>
    </row>
    <row r="3131" spans="1:2">
      <c r="A3131" s="66">
        <v>46033.023184930556</v>
      </c>
      <c r="B3131" s="49" t="s">
        <v>10210</v>
      </c>
    </row>
    <row r="3132" spans="1:2">
      <c r="A3132" s="66">
        <v>46033.023190127315</v>
      </c>
      <c r="B3132" s="49" t="s">
        <v>10173</v>
      </c>
    </row>
    <row r="3133" spans="1:2">
      <c r="A3133" s="66">
        <v>46033.02319547454</v>
      </c>
      <c r="B3133" s="49" t="s">
        <v>9078</v>
      </c>
    </row>
    <row r="3134" spans="1:2">
      <c r="A3134" s="66">
        <v>46033.023209212959</v>
      </c>
      <c r="B3134" s="49" t="s">
        <v>10209</v>
      </c>
    </row>
    <row r="3135" spans="1:2">
      <c r="A3135" s="66">
        <v>46033.023211840278</v>
      </c>
      <c r="B3135" s="49" t="s">
        <v>9191</v>
      </c>
    </row>
    <row r="3136" spans="1:2">
      <c r="A3136" s="66">
        <v>46033.223546782407</v>
      </c>
      <c r="B3136" s="49" t="s">
        <v>10211</v>
      </c>
    </row>
    <row r="3137" spans="1:2">
      <c r="A3137" s="66">
        <v>46033.223573587966</v>
      </c>
      <c r="B3137" s="49" t="s">
        <v>9073</v>
      </c>
    </row>
    <row r="3138" spans="1:2">
      <c r="A3138" s="66">
        <v>46033.223579502315</v>
      </c>
      <c r="B3138" s="49" t="s">
        <v>9074</v>
      </c>
    </row>
    <row r="3139" spans="1:2">
      <c r="A3139" s="66">
        <v>46033.223581608792</v>
      </c>
      <c r="B3139" s="49" t="s">
        <v>9191</v>
      </c>
    </row>
    <row r="3140" spans="1:2">
      <c r="A3140" s="66">
        <v>46033.235409247689</v>
      </c>
      <c r="B3140" s="49"/>
    </row>
    <row r="3141" spans="1:2">
      <c r="A3141" s="66">
        <v>46033.252957662036</v>
      </c>
      <c r="B3141" s="49"/>
    </row>
    <row r="3142" spans="1:2">
      <c r="A3142" s="66">
        <v>46033.263403078701</v>
      </c>
      <c r="B3142" s="49" t="s">
        <v>10212</v>
      </c>
    </row>
    <row r="3143" spans="1:2">
      <c r="A3143" s="66">
        <v>46033.263439097223</v>
      </c>
      <c r="B3143" s="49" t="s">
        <v>9073</v>
      </c>
    </row>
    <row r="3144" spans="1:2">
      <c r="A3144" s="66">
        <v>46033.26344412037</v>
      </c>
      <c r="B3144" s="49" t="s">
        <v>9074</v>
      </c>
    </row>
    <row r="3145" spans="1:2">
      <c r="A3145" s="66">
        <v>46033.263446863421</v>
      </c>
      <c r="B3145" s="49" t="s">
        <v>9191</v>
      </c>
    </row>
    <row r="3146" spans="1:2">
      <c r="A3146" s="66">
        <v>46033.751338865739</v>
      </c>
      <c r="B3146" s="49" t="s">
        <v>10213</v>
      </c>
    </row>
    <row r="3147" spans="1:2">
      <c r="A3147" s="66">
        <v>46033.751344398144</v>
      </c>
      <c r="B3147" s="49" t="s">
        <v>9857</v>
      </c>
    </row>
    <row r="3148" spans="1:2">
      <c r="A3148" s="66">
        <v>46033.751348437501</v>
      </c>
      <c r="B3148" s="49" t="s">
        <v>9078</v>
      </c>
    </row>
    <row r="3149" spans="1:2">
      <c r="A3149" s="66">
        <v>46033.751395925923</v>
      </c>
      <c r="B3149" s="49" t="s">
        <v>9858</v>
      </c>
    </row>
    <row r="3150" spans="1:2">
      <c r="A3150" s="66">
        <v>46033.751401712958</v>
      </c>
      <c r="B3150" s="49" t="s">
        <v>10214</v>
      </c>
    </row>
    <row r="3151" spans="1:2">
      <c r="A3151" s="66">
        <v>46033.751403692135</v>
      </c>
      <c r="B3151" s="49" t="s">
        <v>9191</v>
      </c>
    </row>
    <row r="3152" spans="1:2">
      <c r="A3152" s="66">
        <v>46033.795034212962</v>
      </c>
      <c r="B3152" s="49" t="s">
        <v>10215</v>
      </c>
    </row>
    <row r="3153" spans="1:2">
      <c r="A3153" s="66">
        <v>46033.795039108794</v>
      </c>
      <c r="B3153" s="49" t="s">
        <v>9846</v>
      </c>
    </row>
    <row r="3154" spans="1:2">
      <c r="A3154" s="66">
        <v>46033.7950427662</v>
      </c>
      <c r="B3154" s="49" t="s">
        <v>9078</v>
      </c>
    </row>
    <row r="3155" spans="1:2">
      <c r="A3155" s="66">
        <v>46033.795058900461</v>
      </c>
      <c r="B3155" s="49" t="s">
        <v>10216</v>
      </c>
    </row>
    <row r="3156" spans="1:2">
      <c r="A3156" s="66">
        <v>46033.795060717588</v>
      </c>
      <c r="B3156" s="49" t="s">
        <v>9191</v>
      </c>
    </row>
    <row r="3157" spans="1:2">
      <c r="A3157" s="66">
        <v>46033.882855937496</v>
      </c>
      <c r="B3157" s="49" t="s">
        <v>10217</v>
      </c>
    </row>
    <row r="3158" spans="1:2">
      <c r="A3158" s="66">
        <v>46033.882861203703</v>
      </c>
      <c r="B3158" s="49" t="s">
        <v>10218</v>
      </c>
    </row>
    <row r="3159" spans="1:2">
      <c r="A3159" s="66">
        <v>46033.882865416672</v>
      </c>
      <c r="B3159" s="49" t="s">
        <v>9078</v>
      </c>
    </row>
    <row r="3160" spans="1:2">
      <c r="A3160" s="66">
        <v>46033.882894282404</v>
      </c>
      <c r="B3160" s="49" t="s">
        <v>10219</v>
      </c>
    </row>
    <row r="3161" spans="1:2">
      <c r="A3161" s="66">
        <v>46033.882902002311</v>
      </c>
      <c r="B3161" s="49" t="s">
        <v>10220</v>
      </c>
    </row>
    <row r="3162" spans="1:2">
      <c r="A3162" s="66">
        <v>46033.88290405093</v>
      </c>
      <c r="B3162" s="49" t="s">
        <v>9191</v>
      </c>
    </row>
    <row r="3163" spans="1:2">
      <c r="A3163" s="66">
        <v>46034.26538517361</v>
      </c>
      <c r="B3163" s="49" t="s">
        <v>10221</v>
      </c>
    </row>
    <row r="3164" spans="1:2">
      <c r="A3164" s="66">
        <v>46034.26542048611</v>
      </c>
      <c r="B3164" s="49" t="s">
        <v>9073</v>
      </c>
    </row>
    <row r="3165" spans="1:2">
      <c r="A3165" s="66">
        <v>46034.265425486112</v>
      </c>
      <c r="B3165" s="49" t="s">
        <v>9074</v>
      </c>
    </row>
    <row r="3166" spans="1:2">
      <c r="A3166" s="66">
        <v>46034.265427974533</v>
      </c>
      <c r="B3166" s="49" t="s">
        <v>9191</v>
      </c>
    </row>
    <row r="3167" spans="1:2">
      <c r="A3167" s="66">
        <v>46034.301929039357</v>
      </c>
      <c r="B3167" s="49"/>
    </row>
    <row r="3168" spans="1:2">
      <c r="A3168" s="66">
        <v>46034.301948969907</v>
      </c>
      <c r="B3168" s="49"/>
    </row>
    <row r="3169" spans="1:2">
      <c r="A3169" s="66">
        <v>46034.302072152779</v>
      </c>
      <c r="B3169" s="49"/>
    </row>
    <row r="3170" spans="1:2">
      <c r="A3170" s="66">
        <v>46034.302116932871</v>
      </c>
      <c r="B3170" s="49"/>
    </row>
    <row r="3171" spans="1:2">
      <c r="A3171" s="66">
        <v>46034.319783495375</v>
      </c>
      <c r="B3171" s="49" t="s">
        <v>10222</v>
      </c>
    </row>
    <row r="3172" spans="1:2">
      <c r="A3172" s="66">
        <v>46034.31979065972</v>
      </c>
      <c r="B3172" s="49" t="s">
        <v>9724</v>
      </c>
    </row>
    <row r="3173" spans="1:2">
      <c r="A3173" s="66">
        <v>46034.319812951391</v>
      </c>
      <c r="B3173" s="49" t="s">
        <v>9078</v>
      </c>
    </row>
    <row r="3174" spans="1:2">
      <c r="A3174" s="66">
        <v>46034.319828738429</v>
      </c>
      <c r="B3174" s="49" t="s">
        <v>9725</v>
      </c>
    </row>
    <row r="3175" spans="1:2">
      <c r="A3175" s="66">
        <v>46034.319831805551</v>
      </c>
      <c r="B3175" s="49" t="s">
        <v>9191</v>
      </c>
    </row>
    <row r="3176" spans="1:2">
      <c r="A3176" s="66">
        <v>46034.322886365742</v>
      </c>
      <c r="B3176" s="49"/>
    </row>
    <row r="3177" spans="1:2">
      <c r="A3177" s="66">
        <v>46034.322954224539</v>
      </c>
      <c r="B3177" s="49"/>
    </row>
    <row r="3178" spans="1:2">
      <c r="A3178" s="66">
        <v>46034.322990347224</v>
      </c>
      <c r="B3178" s="49"/>
    </row>
    <row r="3179" spans="1:2">
      <c r="A3179" s="66">
        <v>46034.323397534725</v>
      </c>
      <c r="B3179" s="49"/>
    </row>
    <row r="3180" spans="1:2">
      <c r="A3180" s="66">
        <v>46034.329209606483</v>
      </c>
      <c r="B3180" s="49"/>
    </row>
    <row r="3181" spans="1:2">
      <c r="A3181" s="66">
        <v>46034.333850185183</v>
      </c>
      <c r="B3181" s="49"/>
    </row>
    <row r="3182" spans="1:2">
      <c r="A3182" s="66">
        <v>46034.346929895837</v>
      </c>
      <c r="B3182" s="49" t="s">
        <v>10223</v>
      </c>
    </row>
    <row r="3183" spans="1:2">
      <c r="A3183" s="66">
        <v>46034.346935057867</v>
      </c>
      <c r="B3183" s="49" t="s">
        <v>9988</v>
      </c>
    </row>
    <row r="3184" spans="1:2">
      <c r="A3184" s="66">
        <v>46034.346941585653</v>
      </c>
      <c r="B3184" s="49" t="s">
        <v>9078</v>
      </c>
    </row>
    <row r="3185" spans="1:2">
      <c r="A3185" s="66">
        <v>46034.346967118057</v>
      </c>
      <c r="B3185" s="49" t="s">
        <v>9989</v>
      </c>
    </row>
    <row r="3186" spans="1:2">
      <c r="A3186" s="66">
        <v>46034.346969999999</v>
      </c>
      <c r="B3186" s="49" t="s">
        <v>9191</v>
      </c>
    </row>
    <row r="3187" spans="1:2">
      <c r="A3187" s="66">
        <v>46034.347951990741</v>
      </c>
      <c r="B3187" s="49"/>
    </row>
    <row r="3188" spans="1:2">
      <c r="A3188" s="66">
        <v>46034.838557303243</v>
      </c>
      <c r="B3188" s="49" t="s">
        <v>10224</v>
      </c>
    </row>
    <row r="3189" spans="1:2">
      <c r="A3189" s="66">
        <v>46034.838564027777</v>
      </c>
      <c r="B3189" s="49" t="s">
        <v>9291</v>
      </c>
    </row>
    <row r="3190" spans="1:2">
      <c r="A3190" s="66">
        <v>46034.838569571759</v>
      </c>
      <c r="B3190" s="49" t="s">
        <v>9078</v>
      </c>
    </row>
    <row r="3191" spans="1:2">
      <c r="A3191" s="66">
        <v>46034.838598159724</v>
      </c>
      <c r="B3191" s="49" t="s">
        <v>9531</v>
      </c>
    </row>
    <row r="3192" spans="1:2">
      <c r="A3192" s="66">
        <v>46034.838600856485</v>
      </c>
      <c r="B3192" s="49" t="s">
        <v>9191</v>
      </c>
    </row>
    <row r="3193" spans="1:2">
      <c r="A3193" s="66">
        <v>46034.926173831016</v>
      </c>
      <c r="B3193" s="49" t="s">
        <v>10225</v>
      </c>
    </row>
    <row r="3194" spans="1:2">
      <c r="A3194" s="66">
        <v>46034.926180266208</v>
      </c>
      <c r="B3194" s="49" t="s">
        <v>10226</v>
      </c>
    </row>
    <row r="3195" spans="1:2">
      <c r="A3195" s="66">
        <v>46034.926197418987</v>
      </c>
      <c r="B3195" s="49" t="s">
        <v>9078</v>
      </c>
    </row>
    <row r="3196" spans="1:2">
      <c r="A3196" s="66">
        <v>46034.926238773143</v>
      </c>
      <c r="B3196" s="49" t="s">
        <v>10227</v>
      </c>
    </row>
    <row r="3197" spans="1:2">
      <c r="A3197" s="66">
        <v>46034.926247291667</v>
      </c>
      <c r="B3197" s="49" t="s">
        <v>10228</v>
      </c>
    </row>
    <row r="3198" spans="1:2">
      <c r="A3198" s="66">
        <v>46034.926250150464</v>
      </c>
      <c r="B3198" s="49" t="s">
        <v>9191</v>
      </c>
    </row>
    <row r="3199" spans="1:2">
      <c r="A3199" s="66">
        <v>46035.227216932872</v>
      </c>
      <c r="B3199" s="49" t="s">
        <v>10229</v>
      </c>
    </row>
    <row r="3200" spans="1:2">
      <c r="A3200" s="66">
        <v>46035.227258194442</v>
      </c>
      <c r="B3200" s="49" t="s">
        <v>9073</v>
      </c>
    </row>
    <row r="3201" spans="1:2">
      <c r="A3201" s="66">
        <v>46035.22726373843</v>
      </c>
      <c r="B3201" s="49" t="s">
        <v>9074</v>
      </c>
    </row>
    <row r="3202" spans="1:2">
      <c r="A3202" s="66">
        <v>46035.227266516202</v>
      </c>
      <c r="B3202" s="49" t="s">
        <v>9191</v>
      </c>
    </row>
    <row r="3203" spans="1:2">
      <c r="A3203" s="66">
        <v>46035.243183287035</v>
      </c>
      <c r="B3203" s="49" t="s">
        <v>10230</v>
      </c>
    </row>
    <row r="3204" spans="1:2">
      <c r="A3204" s="66">
        <v>46035.243190543981</v>
      </c>
      <c r="B3204" s="49" t="s">
        <v>10231</v>
      </c>
    </row>
    <row r="3205" spans="1:2">
      <c r="A3205" s="66">
        <v>46035.243207002313</v>
      </c>
      <c r="B3205" s="49" t="s">
        <v>9078</v>
      </c>
    </row>
    <row r="3206" spans="1:2">
      <c r="A3206" s="66">
        <v>46035.243249444444</v>
      </c>
      <c r="B3206" s="49" t="s">
        <v>10232</v>
      </c>
    </row>
    <row r="3207" spans="1:2">
      <c r="A3207" s="66">
        <v>46035.243255868059</v>
      </c>
      <c r="B3207" s="49" t="s">
        <v>10233</v>
      </c>
    </row>
    <row r="3208" spans="1:2">
      <c r="A3208" s="66">
        <v>46035.243258576389</v>
      </c>
      <c r="B3208" s="49" t="s">
        <v>9191</v>
      </c>
    </row>
    <row r="3209" spans="1:2">
      <c r="A3209" s="66">
        <v>46035.322655868054</v>
      </c>
      <c r="B3209" s="49" t="s">
        <v>10234</v>
      </c>
    </row>
    <row r="3210" spans="1:2">
      <c r="A3210" s="66">
        <v>46035.322664525462</v>
      </c>
      <c r="B3210" s="49" t="s">
        <v>9124</v>
      </c>
    </row>
    <row r="3211" spans="1:2">
      <c r="A3211" s="66">
        <v>46035.32267631944</v>
      </c>
      <c r="B3211" s="49" t="s">
        <v>9078</v>
      </c>
    </row>
    <row r="3212" spans="1:2">
      <c r="A3212" s="66">
        <v>46035.322692881949</v>
      </c>
      <c r="B3212" s="49" t="s">
        <v>10083</v>
      </c>
    </row>
    <row r="3213" spans="1:2">
      <c r="A3213" s="66">
        <v>46035.32269508102</v>
      </c>
      <c r="B3213" s="49" t="s">
        <v>9191</v>
      </c>
    </row>
    <row r="3214" spans="1:2">
      <c r="A3214" s="66">
        <v>46035.334606307872</v>
      </c>
      <c r="B3214" s="49"/>
    </row>
    <row r="3215" spans="1:2">
      <c r="A3215" s="66">
        <v>46035.400716608798</v>
      </c>
      <c r="B3215" s="49" t="s">
        <v>10235</v>
      </c>
    </row>
    <row r="3216" spans="1:2">
      <c r="A3216" s="66">
        <v>46035.400720451391</v>
      </c>
      <c r="B3216" s="49" t="s">
        <v>9739</v>
      </c>
    </row>
    <row r="3217" spans="1:2">
      <c r="A3217" s="66">
        <v>46035.400725254629</v>
      </c>
      <c r="B3217" s="49" t="s">
        <v>9078</v>
      </c>
    </row>
    <row r="3218" spans="1:2">
      <c r="A3218" s="66">
        <v>46035.400738275464</v>
      </c>
      <c r="B3218" s="49" t="s">
        <v>9740</v>
      </c>
    </row>
    <row r="3219" spans="1:2">
      <c r="A3219" s="66">
        <v>46035.400740520832</v>
      </c>
      <c r="B3219" s="49" t="s">
        <v>9191</v>
      </c>
    </row>
    <row r="3220" spans="1:2">
      <c r="A3220" s="66">
        <v>46035.489393819444</v>
      </c>
      <c r="B3220" s="49" t="s">
        <v>10236</v>
      </c>
    </row>
    <row r="3221" spans="1:2">
      <c r="A3221" s="66">
        <v>46035.489398993057</v>
      </c>
      <c r="B3221" s="49" t="s">
        <v>10237</v>
      </c>
    </row>
    <row r="3222" spans="1:2">
      <c r="A3222" s="66">
        <v>46035.489413379633</v>
      </c>
      <c r="B3222" s="49" t="s">
        <v>9174</v>
      </c>
    </row>
    <row r="3223" spans="1:2">
      <c r="A3223" s="66">
        <v>46035.489418726851</v>
      </c>
      <c r="B3223" s="49" t="s">
        <v>9191</v>
      </c>
    </row>
    <row r="3224" spans="1:2">
      <c r="A3224" s="66">
        <v>46035.489792824075</v>
      </c>
      <c r="B3224" s="49" t="s">
        <v>10238</v>
      </c>
    </row>
    <row r="3225" spans="1:2">
      <c r="A3225" s="66">
        <v>46035.489804560188</v>
      </c>
      <c r="B3225" s="49" t="s">
        <v>10239</v>
      </c>
    </row>
    <row r="3226" spans="1:2">
      <c r="A3226" s="66">
        <v>46035.489810659725</v>
      </c>
      <c r="B3226" s="49" t="s">
        <v>9174</v>
      </c>
    </row>
    <row r="3227" spans="1:2">
      <c r="A3227" s="66">
        <v>46035.489819270835</v>
      </c>
      <c r="B3227" s="49" t="s">
        <v>9191</v>
      </c>
    </row>
    <row r="3228" spans="1:2">
      <c r="A3228" s="66">
        <v>46035.490083032404</v>
      </c>
      <c r="B3228" s="49" t="s">
        <v>10240</v>
      </c>
    </row>
    <row r="3229" spans="1:2">
      <c r="A3229" s="66">
        <v>46035.490087071754</v>
      </c>
      <c r="B3229" s="49" t="s">
        <v>10241</v>
      </c>
    </row>
    <row r="3230" spans="1:2">
      <c r="A3230" s="66">
        <v>46035.490091909727</v>
      </c>
      <c r="B3230" s="49" t="s">
        <v>9174</v>
      </c>
    </row>
    <row r="3231" spans="1:2">
      <c r="A3231" s="66">
        <v>46035.490096562498</v>
      </c>
      <c r="B3231" s="49" t="s">
        <v>9191</v>
      </c>
    </row>
    <row r="3232" spans="1:2">
      <c r="A3232" s="66">
        <v>46035.490970219907</v>
      </c>
      <c r="B3232" s="49" t="s">
        <v>10242</v>
      </c>
    </row>
    <row r="3233" spans="1:2">
      <c r="A3233" s="66">
        <v>46035.490973888889</v>
      </c>
      <c r="B3233" s="49" t="s">
        <v>10243</v>
      </c>
    </row>
    <row r="3234" spans="1:2">
      <c r="A3234" s="66">
        <v>46035.490982928241</v>
      </c>
      <c r="B3234" s="49" t="s">
        <v>9078</v>
      </c>
    </row>
    <row r="3235" spans="1:2">
      <c r="A3235" s="66">
        <v>46035.491004571755</v>
      </c>
      <c r="B3235" s="49" t="s">
        <v>10244</v>
      </c>
    </row>
    <row r="3236" spans="1:2">
      <c r="A3236" s="66">
        <v>46035.494877152778</v>
      </c>
      <c r="B3236" s="49" t="s">
        <v>10245</v>
      </c>
    </row>
    <row r="3237" spans="1:2">
      <c r="A3237" s="66">
        <v>46035.494881134262</v>
      </c>
      <c r="B3237" s="49" t="s">
        <v>10243</v>
      </c>
    </row>
    <row r="3238" spans="1:2">
      <c r="A3238" s="66">
        <v>46035.49488554398</v>
      </c>
      <c r="B3238" s="49" t="s">
        <v>9078</v>
      </c>
    </row>
    <row r="3239" spans="1:2">
      <c r="A3239" s="66">
        <v>46035.494915625</v>
      </c>
      <c r="B3239" s="49" t="s">
        <v>10244</v>
      </c>
    </row>
    <row r="3240" spans="1:2">
      <c r="A3240" s="66">
        <v>46035.500165983802</v>
      </c>
      <c r="B3240" s="49" t="s">
        <v>10246</v>
      </c>
    </row>
    <row r="3241" spans="1:2">
      <c r="A3241" s="66">
        <v>46035.500179756942</v>
      </c>
      <c r="B3241" s="49" t="s">
        <v>10243</v>
      </c>
    </row>
    <row r="3242" spans="1:2">
      <c r="A3242" s="66">
        <v>46035.500197152782</v>
      </c>
      <c r="B3242" s="49" t="s">
        <v>9078</v>
      </c>
    </row>
    <row r="3243" spans="1:2">
      <c r="A3243" s="66">
        <v>46035.500228657409</v>
      </c>
      <c r="B3243" s="49" t="s">
        <v>10244</v>
      </c>
    </row>
    <row r="3244" spans="1:2">
      <c r="A3244" s="66">
        <v>46035.695802453702</v>
      </c>
      <c r="B3244" s="49" t="s">
        <v>10247</v>
      </c>
    </row>
    <row r="3245" spans="1:2">
      <c r="A3245" s="66">
        <v>46035.695814386578</v>
      </c>
      <c r="B3245" s="49" t="s">
        <v>9191</v>
      </c>
    </row>
    <row r="3246" spans="1:2">
      <c r="A3246" s="66">
        <v>46035.696706770832</v>
      </c>
      <c r="B3246" s="49" t="s">
        <v>10248</v>
      </c>
    </row>
    <row r="3247" spans="1:2">
      <c r="A3247" s="66">
        <v>46035.69671311343</v>
      </c>
      <c r="B3247" s="49" t="s">
        <v>10249</v>
      </c>
    </row>
    <row r="3248" spans="1:2">
      <c r="A3248" s="66">
        <v>46035.696720277774</v>
      </c>
      <c r="B3248" s="49" t="s">
        <v>9078</v>
      </c>
    </row>
    <row r="3249" spans="1:2">
      <c r="A3249" s="66">
        <v>46035.696750474541</v>
      </c>
      <c r="B3249" s="49" t="s">
        <v>10250</v>
      </c>
    </row>
    <row r="3250" spans="1:2">
      <c r="A3250" s="66">
        <v>46035.696761354164</v>
      </c>
      <c r="B3250" s="49" t="s">
        <v>10251</v>
      </c>
    </row>
    <row r="3251" spans="1:2">
      <c r="A3251" s="66">
        <v>46035.696772187497</v>
      </c>
      <c r="B3251" s="49" t="s">
        <v>9191</v>
      </c>
    </row>
    <row r="3252" spans="1:2">
      <c r="A3252" s="66">
        <v>46035.759987997684</v>
      </c>
      <c r="B3252" s="49" t="s">
        <v>10246</v>
      </c>
    </row>
    <row r="3253" spans="1:2">
      <c r="A3253" s="66">
        <v>46035.759992534724</v>
      </c>
      <c r="B3253" s="49" t="s">
        <v>10243</v>
      </c>
    </row>
    <row r="3254" spans="1:2">
      <c r="A3254" s="66">
        <v>46035.759997337962</v>
      </c>
      <c r="B3254" s="49" t="s">
        <v>9078</v>
      </c>
    </row>
    <row r="3255" spans="1:2">
      <c r="A3255" s="66">
        <v>46035.760018125002</v>
      </c>
      <c r="B3255" s="49" t="s">
        <v>10244</v>
      </c>
    </row>
    <row r="3256" spans="1:2">
      <c r="A3256" s="66">
        <v>46035.780105763886</v>
      </c>
      <c r="B3256" s="49" t="s">
        <v>10252</v>
      </c>
    </row>
    <row r="3257" spans="1:2">
      <c r="A3257" s="66">
        <v>46035.78011446759</v>
      </c>
      <c r="B3257" s="49" t="s">
        <v>9175</v>
      </c>
    </row>
    <row r="3258" spans="1:2">
      <c r="A3258" s="66">
        <v>46035.78013353009</v>
      </c>
      <c r="B3258" s="49" t="s">
        <v>9174</v>
      </c>
    </row>
    <row r="3259" spans="1:2">
      <c r="A3259" s="66">
        <v>46035.780140347226</v>
      </c>
      <c r="B3259" s="49" t="s">
        <v>9191</v>
      </c>
    </row>
    <row r="3260" spans="1:2">
      <c r="A3260" s="66">
        <v>46035.780397696755</v>
      </c>
      <c r="B3260" s="49" t="s">
        <v>10253</v>
      </c>
    </row>
    <row r="3261" spans="1:2">
      <c r="A3261" s="66">
        <v>46035.780401446755</v>
      </c>
      <c r="B3261" s="49" t="s">
        <v>10243</v>
      </c>
    </row>
    <row r="3262" spans="1:2">
      <c r="A3262" s="66">
        <v>46035.780406759259</v>
      </c>
      <c r="B3262" s="49" t="s">
        <v>9078</v>
      </c>
    </row>
    <row r="3263" spans="1:2">
      <c r="A3263" s="66">
        <v>46035.780424432873</v>
      </c>
      <c r="B3263" s="49" t="s">
        <v>10244</v>
      </c>
    </row>
    <row r="3264" spans="1:2">
      <c r="A3264" s="66">
        <v>46035.786193252316</v>
      </c>
      <c r="B3264" s="49" t="s">
        <v>10254</v>
      </c>
    </row>
    <row r="3265" spans="1:2">
      <c r="A3265" s="66">
        <v>46035.786201157403</v>
      </c>
      <c r="B3265" s="49" t="s">
        <v>9175</v>
      </c>
    </row>
    <row r="3266" spans="1:2">
      <c r="A3266" s="66">
        <v>46035.786219270834</v>
      </c>
      <c r="B3266" s="49" t="s">
        <v>9174</v>
      </c>
    </row>
    <row r="3267" spans="1:2">
      <c r="A3267" s="66">
        <v>46035.786226747688</v>
      </c>
      <c r="B3267" s="49" t="s">
        <v>9191</v>
      </c>
    </row>
    <row r="3268" spans="1:2">
      <c r="A3268" s="66">
        <v>46035.786484537035</v>
      </c>
      <c r="B3268" s="49" t="s">
        <v>10255</v>
      </c>
    </row>
    <row r="3269" spans="1:2">
      <c r="A3269" s="66">
        <v>46035.786489351856</v>
      </c>
      <c r="B3269" s="49" t="s">
        <v>10243</v>
      </c>
    </row>
    <row r="3270" spans="1:2">
      <c r="A3270" s="66">
        <v>46035.786493865744</v>
      </c>
      <c r="B3270" s="49" t="s">
        <v>9078</v>
      </c>
    </row>
    <row r="3271" spans="1:2">
      <c r="A3271" s="66">
        <v>46035.78651247685</v>
      </c>
      <c r="B3271" s="49" t="s">
        <v>10244</v>
      </c>
    </row>
    <row r="3272" spans="1:2">
      <c r="A3272" s="66">
        <v>46035.796071597222</v>
      </c>
      <c r="B3272" s="49" t="s">
        <v>10256</v>
      </c>
    </row>
    <row r="3273" spans="1:2">
      <c r="A3273" s="66">
        <v>46035.79607773148</v>
      </c>
      <c r="B3273" s="49" t="s">
        <v>10257</v>
      </c>
    </row>
    <row r="3274" spans="1:2">
      <c r="A3274" s="66">
        <v>46035.796082719906</v>
      </c>
      <c r="B3274" s="49" t="s">
        <v>9174</v>
      </c>
    </row>
    <row r="3275" spans="1:2">
      <c r="A3275" s="66">
        <v>46035.796089722222</v>
      </c>
      <c r="B3275" s="49" t="s">
        <v>9191</v>
      </c>
    </row>
    <row r="3276" spans="1:2">
      <c r="A3276" s="66">
        <v>46035.796524548612</v>
      </c>
      <c r="B3276" s="49" t="s">
        <v>10258</v>
      </c>
    </row>
    <row r="3277" spans="1:2">
      <c r="A3277" s="66">
        <v>46035.796529212967</v>
      </c>
      <c r="B3277" s="49" t="s">
        <v>10243</v>
      </c>
    </row>
    <row r="3278" spans="1:2">
      <c r="A3278" s="66">
        <v>46035.796534259258</v>
      </c>
      <c r="B3278" s="49" t="s">
        <v>9078</v>
      </c>
    </row>
    <row r="3279" spans="1:2">
      <c r="A3279" s="66">
        <v>46035.796553969907</v>
      </c>
      <c r="B3279" s="49" t="s">
        <v>10244</v>
      </c>
    </row>
    <row r="3280" spans="1:2">
      <c r="A3280" s="66">
        <v>46035.798054699073</v>
      </c>
      <c r="B3280" s="49" t="s">
        <v>10259</v>
      </c>
    </row>
    <row r="3281" spans="1:2">
      <c r="A3281" s="66">
        <v>46035.798097581021</v>
      </c>
      <c r="B3281" s="49" t="s">
        <v>10243</v>
      </c>
    </row>
    <row r="3282" spans="1:2">
      <c r="A3282" s="66">
        <v>46035.798102777779</v>
      </c>
      <c r="B3282" s="49" t="s">
        <v>9078</v>
      </c>
    </row>
    <row r="3283" spans="1:2">
      <c r="A3283" s="66">
        <v>46035.798130914351</v>
      </c>
      <c r="B3283" s="49" t="s">
        <v>10244</v>
      </c>
    </row>
    <row r="3284" spans="1:2">
      <c r="A3284" s="66">
        <v>46035.800532245368</v>
      </c>
      <c r="B3284" s="49"/>
    </row>
    <row r="3285" spans="1:2">
      <c r="A3285" s="66">
        <v>46035.803407326384</v>
      </c>
      <c r="B3285" s="49" t="s">
        <v>10260</v>
      </c>
    </row>
    <row r="3286" spans="1:2">
      <c r="A3286" s="66">
        <v>46035.803414953705</v>
      </c>
      <c r="B3286" s="49" t="s">
        <v>10243</v>
      </c>
    </row>
    <row r="3287" spans="1:2">
      <c r="A3287" s="66">
        <v>46035.803422997684</v>
      </c>
      <c r="B3287" s="49" t="s">
        <v>9078</v>
      </c>
    </row>
    <row r="3288" spans="1:2">
      <c r="A3288" s="66">
        <v>46035.803445428246</v>
      </c>
      <c r="B3288" s="49" t="s">
        <v>10261</v>
      </c>
    </row>
    <row r="3289" spans="1:2">
      <c r="A3289" s="66">
        <v>46035.803460648152</v>
      </c>
      <c r="B3289" s="49" t="s">
        <v>9191</v>
      </c>
    </row>
    <row r="3290" spans="1:2">
      <c r="A3290" s="66">
        <v>46035.803889097224</v>
      </c>
      <c r="B3290" s="49" t="s">
        <v>9194</v>
      </c>
    </row>
    <row r="3291" spans="1:2">
      <c r="A3291" s="66">
        <v>46035.803891307871</v>
      </c>
      <c r="B3291" s="49" t="s">
        <v>9191</v>
      </c>
    </row>
    <row r="3292" spans="1:2">
      <c r="A3292" s="66">
        <v>46035.804927523146</v>
      </c>
      <c r="B3292" s="49" t="s">
        <v>10262</v>
      </c>
    </row>
    <row r="3293" spans="1:2">
      <c r="A3293" s="66">
        <v>46035.804939259258</v>
      </c>
      <c r="B3293" s="49" t="s">
        <v>10243</v>
      </c>
    </row>
    <row r="3294" spans="1:2">
      <c r="A3294" s="66">
        <v>46035.804944155097</v>
      </c>
      <c r="B3294" s="49" t="s">
        <v>9078</v>
      </c>
    </row>
    <row r="3295" spans="1:2">
      <c r="A3295" s="66">
        <v>46035.804962210648</v>
      </c>
      <c r="B3295" s="49" t="s">
        <v>10261</v>
      </c>
    </row>
    <row r="3296" spans="1:2">
      <c r="A3296" s="66">
        <v>46035.804965208328</v>
      </c>
      <c r="B3296" s="49" t="s">
        <v>9191</v>
      </c>
    </row>
    <row r="3297" spans="1:2">
      <c r="A3297" s="66">
        <v>46036.220260972223</v>
      </c>
      <c r="B3297" s="49" t="s">
        <v>10263</v>
      </c>
    </row>
    <row r="3298" spans="1:2">
      <c r="A3298" s="66">
        <v>46036.220285405092</v>
      </c>
      <c r="B3298" s="49" t="s">
        <v>9073</v>
      </c>
    </row>
    <row r="3299" spans="1:2">
      <c r="A3299" s="66">
        <v>46036.22029081019</v>
      </c>
      <c r="B3299" s="49" t="s">
        <v>9074</v>
      </c>
    </row>
    <row r="3300" spans="1:2">
      <c r="A3300" s="66">
        <v>46036.220301203706</v>
      </c>
      <c r="B3300" s="49" t="s">
        <v>9191</v>
      </c>
    </row>
    <row r="3301" spans="1:2">
      <c r="A3301" s="66">
        <v>46036.245058113425</v>
      </c>
      <c r="B3301" s="49" t="s">
        <v>10264</v>
      </c>
    </row>
    <row r="3302" spans="1:2">
      <c r="A3302" s="66">
        <v>46036.245062719907</v>
      </c>
      <c r="B3302" s="49" t="s">
        <v>10265</v>
      </c>
    </row>
    <row r="3303" spans="1:2">
      <c r="A3303" s="66">
        <v>46036.245066342592</v>
      </c>
      <c r="B3303" s="49" t="s">
        <v>9078</v>
      </c>
    </row>
    <row r="3304" spans="1:2">
      <c r="A3304" s="66">
        <v>46036.245098680556</v>
      </c>
      <c r="B3304" s="49" t="s">
        <v>10266</v>
      </c>
    </row>
    <row r="3305" spans="1:2">
      <c r="A3305" s="66">
        <v>46036.245106944443</v>
      </c>
      <c r="B3305" s="49" t="s">
        <v>10267</v>
      </c>
    </row>
    <row r="3306" spans="1:2">
      <c r="A3306" s="66">
        <v>46036.245108553238</v>
      </c>
      <c r="B3306" s="49" t="s">
        <v>9191</v>
      </c>
    </row>
    <row r="3307" spans="1:2">
      <c r="A3307" s="66">
        <v>46036.295911215275</v>
      </c>
      <c r="B3307" s="49"/>
    </row>
    <row r="3308" spans="1:2">
      <c r="A3308" s="66">
        <v>46036.310887187501</v>
      </c>
      <c r="B3308" s="49"/>
    </row>
    <row r="3309" spans="1:2">
      <c r="A3309" s="66">
        <v>46036.313994710647</v>
      </c>
      <c r="B3309" s="49" t="s">
        <v>10268</v>
      </c>
    </row>
    <row r="3310" spans="1:2">
      <c r="A3310" s="66">
        <v>46036.314000416663</v>
      </c>
      <c r="B3310" s="49" t="s">
        <v>9206</v>
      </c>
    </row>
    <row r="3311" spans="1:2">
      <c r="A3311" s="66">
        <v>46036.314004803236</v>
      </c>
      <c r="B3311" s="49" t="s">
        <v>9078</v>
      </c>
    </row>
    <row r="3312" spans="1:2">
      <c r="A3312" s="66">
        <v>46036.314023437502</v>
      </c>
      <c r="B3312" s="49" t="s">
        <v>10269</v>
      </c>
    </row>
    <row r="3313" spans="1:2">
      <c r="A3313" s="66">
        <v>46036.314026504631</v>
      </c>
      <c r="B3313" s="49" t="s">
        <v>9191</v>
      </c>
    </row>
    <row r="3314" spans="1:2">
      <c r="A3314" s="66">
        <v>46036.351064201386</v>
      </c>
      <c r="B3314" s="49"/>
    </row>
    <row r="3315" spans="1:2">
      <c r="A3315" s="66">
        <v>46036.35274991898</v>
      </c>
      <c r="B3315" s="49"/>
    </row>
    <row r="3316" spans="1:2">
      <c r="A3316" s="66">
        <v>46036.40290685185</v>
      </c>
      <c r="B3316" s="49"/>
    </row>
    <row r="3317" spans="1:2">
      <c r="A3317" s="66">
        <v>46036.409119548611</v>
      </c>
      <c r="B3317" s="49"/>
    </row>
    <row r="3318" spans="1:2">
      <c r="A3318" s="66">
        <v>46037.307354641205</v>
      </c>
      <c r="B3318" s="49" t="s">
        <v>10270</v>
      </c>
    </row>
    <row r="3319" spans="1:2">
      <c r="A3319" s="66">
        <v>46037.307389780093</v>
      </c>
      <c r="B3319" s="49" t="s">
        <v>9073</v>
      </c>
    </row>
    <row r="3320" spans="1:2">
      <c r="A3320" s="66">
        <v>46037.307394768519</v>
      </c>
      <c r="B3320" s="49" t="s">
        <v>9074</v>
      </c>
    </row>
    <row r="3321" spans="1:2">
      <c r="A3321" s="66">
        <v>46037.307397048615</v>
      </c>
      <c r="B3321" s="49" t="s">
        <v>9191</v>
      </c>
    </row>
    <row r="3322" spans="1:2">
      <c r="A3322" s="66">
        <v>46037.329632349538</v>
      </c>
      <c r="B3322" s="49"/>
    </row>
    <row r="3323" spans="1:2">
      <c r="A3323" s="66">
        <v>46037.347486180559</v>
      </c>
      <c r="B3323" s="49"/>
    </row>
    <row r="3324" spans="1:2">
      <c r="A3324" s="66">
        <v>46037.356167337959</v>
      </c>
      <c r="B3324" s="49"/>
    </row>
    <row r="3325" spans="1:2">
      <c r="A3325" s="66">
        <v>46038.375790347221</v>
      </c>
      <c r="B3325" s="49" t="s">
        <v>10271</v>
      </c>
    </row>
    <row r="3326" spans="1:2">
      <c r="A3326" s="66">
        <v>46038.375798969908</v>
      </c>
      <c r="B3326" s="49" t="s">
        <v>10080</v>
      </c>
    </row>
    <row r="3327" spans="1:2">
      <c r="A3327" s="66">
        <v>46038.375803460644</v>
      </c>
      <c r="B3327" s="49" t="s">
        <v>9078</v>
      </c>
    </row>
    <row r="3328" spans="1:2">
      <c r="A3328" s="66">
        <v>46038.375842326393</v>
      </c>
      <c r="B3328" s="49" t="s">
        <v>10081</v>
      </c>
    </row>
    <row r="3329" spans="1:2">
      <c r="A3329" s="66">
        <v>46038.375857210645</v>
      </c>
      <c r="B3329" s="49" t="s">
        <v>9191</v>
      </c>
    </row>
    <row r="3330" spans="1:2">
      <c r="A3330" s="66">
        <v>46038.386527326387</v>
      </c>
      <c r="B3330" s="49" t="s">
        <v>10272</v>
      </c>
    </row>
    <row r="3331" spans="1:2">
      <c r="A3331" s="66">
        <v>46038.386534293983</v>
      </c>
      <c r="B3331" s="49" t="s">
        <v>9281</v>
      </c>
    </row>
    <row r="3332" spans="1:2">
      <c r="A3332" s="66">
        <v>46038.386540995372</v>
      </c>
      <c r="B3332" s="49" t="s">
        <v>9078</v>
      </c>
    </row>
    <row r="3333" spans="1:2">
      <c r="A3333" s="66">
        <v>46038.386571493058</v>
      </c>
      <c r="B3333" s="49" t="s">
        <v>9282</v>
      </c>
    </row>
    <row r="3334" spans="1:2">
      <c r="A3334" s="66">
        <v>46038.386575682875</v>
      </c>
      <c r="B3334" s="49" t="s">
        <v>9191</v>
      </c>
    </row>
    <row r="3335" spans="1:2">
      <c r="A3335" s="66">
        <v>46038.38807828704</v>
      </c>
      <c r="B3335" s="49" t="s">
        <v>10273</v>
      </c>
    </row>
    <row r="3336" spans="1:2">
      <c r="A3336" s="66">
        <v>46038.388082881946</v>
      </c>
      <c r="B3336" s="49" t="s">
        <v>9482</v>
      </c>
    </row>
    <row r="3337" spans="1:2">
      <c r="A3337" s="66">
        <v>46038.38808769676</v>
      </c>
      <c r="B3337" s="49" t="s">
        <v>9078</v>
      </c>
    </row>
    <row r="3338" spans="1:2">
      <c r="A3338" s="66">
        <v>46038.388103171295</v>
      </c>
      <c r="B3338" s="49" t="s">
        <v>9484</v>
      </c>
    </row>
    <row r="3339" spans="1:2">
      <c r="A3339" s="66">
        <v>46038.388106122686</v>
      </c>
      <c r="B3339" s="49" t="s">
        <v>9191</v>
      </c>
    </row>
    <row r="3340" spans="1:2">
      <c r="A3340" s="66">
        <v>46039.258045694442</v>
      </c>
      <c r="B3340" s="49" t="s">
        <v>10274</v>
      </c>
    </row>
    <row r="3341" spans="1:2">
      <c r="A3341" s="66">
        <v>46039.258077048609</v>
      </c>
      <c r="B3341" s="49" t="s">
        <v>9073</v>
      </c>
    </row>
    <row r="3342" spans="1:2">
      <c r="A3342" s="66">
        <v>46039.258083148146</v>
      </c>
      <c r="B3342" s="49" t="s">
        <v>9074</v>
      </c>
    </row>
    <row r="3343" spans="1:2">
      <c r="A3343" s="66">
        <v>46039.258085393521</v>
      </c>
      <c r="B3343" s="49" t="s">
        <v>9191</v>
      </c>
    </row>
    <row r="3344" spans="1:2">
      <c r="A3344" s="66">
        <v>46039.266921840273</v>
      </c>
      <c r="B3344" s="49" t="s">
        <v>10275</v>
      </c>
    </row>
    <row r="3345" spans="1:2">
      <c r="A3345" s="66">
        <v>46039.266926608798</v>
      </c>
      <c r="B3345" s="49" t="s">
        <v>9393</v>
      </c>
    </row>
    <row r="3346" spans="1:2">
      <c r="A3346" s="66">
        <v>46039.266930578699</v>
      </c>
      <c r="B3346" s="49" t="s">
        <v>9078</v>
      </c>
    </row>
    <row r="3347" spans="1:2">
      <c r="A3347" s="66">
        <v>46039.266945740739</v>
      </c>
      <c r="B3347" s="49" t="s">
        <v>9394</v>
      </c>
    </row>
    <row r="3348" spans="1:2">
      <c r="A3348" s="66">
        <v>46039.266948553239</v>
      </c>
      <c r="B3348" s="49" t="s">
        <v>9191</v>
      </c>
    </row>
    <row r="3349" spans="1:2">
      <c r="A3349" s="66">
        <v>46039.523018703709</v>
      </c>
      <c r="B3349" s="49" t="s">
        <v>10276</v>
      </c>
    </row>
    <row r="3350" spans="1:2">
      <c r="A3350" s="66">
        <v>46039.523030081022</v>
      </c>
      <c r="B3350" s="49" t="s">
        <v>9865</v>
      </c>
    </row>
    <row r="3351" spans="1:2">
      <c r="A3351" s="66">
        <v>46039.523047557872</v>
      </c>
      <c r="B3351" s="49" t="s">
        <v>9078</v>
      </c>
    </row>
    <row r="3352" spans="1:2">
      <c r="A3352" s="66">
        <v>46039.523070671297</v>
      </c>
      <c r="B3352" s="49" t="s">
        <v>10277</v>
      </c>
    </row>
    <row r="3353" spans="1:2">
      <c r="A3353" s="66">
        <v>46039.523074189812</v>
      </c>
      <c r="B3353" s="49" t="s">
        <v>9191</v>
      </c>
    </row>
    <row r="3354" spans="1:2">
      <c r="A3354" s="66">
        <v>46039.663550266203</v>
      </c>
      <c r="B3354" s="49" t="s">
        <v>10278</v>
      </c>
    </row>
    <row r="3355" spans="1:2">
      <c r="A3355" s="66">
        <v>46039.663565219904</v>
      </c>
      <c r="B3355" s="49" t="s">
        <v>9560</v>
      </c>
    </row>
    <row r="3356" spans="1:2">
      <c r="A3356" s="66">
        <v>46039.663587187504</v>
      </c>
      <c r="B3356" s="49" t="s">
        <v>9078</v>
      </c>
    </row>
    <row r="3357" spans="1:2">
      <c r="A3357" s="66">
        <v>46039.663602361106</v>
      </c>
      <c r="B3357" s="49" t="s">
        <v>9561</v>
      </c>
    </row>
    <row r="3358" spans="1:2">
      <c r="A3358" s="66">
        <v>46039.663605717593</v>
      </c>
      <c r="B3358" s="49" t="s">
        <v>9191</v>
      </c>
    </row>
    <row r="3359" spans="1:2">
      <c r="A3359" s="66">
        <v>46040.278459756941</v>
      </c>
      <c r="B3359" s="49" t="s">
        <v>10279</v>
      </c>
    </row>
    <row r="3360" spans="1:2">
      <c r="A3360" s="66">
        <v>46040.278489976852</v>
      </c>
      <c r="B3360" s="49" t="s">
        <v>9073</v>
      </c>
    </row>
    <row r="3361" spans="1:2">
      <c r="A3361" s="66">
        <v>46040.278496527782</v>
      </c>
      <c r="B3361" s="49" t="s">
        <v>9074</v>
      </c>
    </row>
    <row r="3362" spans="1:2">
      <c r="A3362" s="66">
        <v>46040.278498437503</v>
      </c>
      <c r="B3362" s="49" t="s">
        <v>9191</v>
      </c>
    </row>
    <row r="3363" spans="1:2">
      <c r="A3363" s="66">
        <v>46040.290520729162</v>
      </c>
      <c r="B3363" s="49" t="s">
        <v>10280</v>
      </c>
    </row>
    <row r="3364" spans="1:2">
      <c r="A3364" s="66">
        <v>46040.290563807866</v>
      </c>
      <c r="B3364" s="49" t="s">
        <v>9073</v>
      </c>
    </row>
    <row r="3365" spans="1:2">
      <c r="A3365" s="66">
        <v>46040.290568946759</v>
      </c>
      <c r="B3365" s="49" t="s">
        <v>9074</v>
      </c>
    </row>
    <row r="3366" spans="1:2">
      <c r="A3366" s="66">
        <v>46040.29057128472</v>
      </c>
      <c r="B3366" s="49" t="s">
        <v>9191</v>
      </c>
    </row>
    <row r="3367" spans="1:2">
      <c r="A3367" s="66">
        <v>46040.300755682867</v>
      </c>
      <c r="B3367" s="49" t="s">
        <v>10281</v>
      </c>
    </row>
    <row r="3368" spans="1:2">
      <c r="A3368" s="66">
        <v>46040.300761273145</v>
      </c>
      <c r="B3368" s="49" t="s">
        <v>10282</v>
      </c>
    </row>
    <row r="3369" spans="1:2">
      <c r="A3369" s="66">
        <v>46040.300782233797</v>
      </c>
      <c r="B3369" s="49" t="s">
        <v>9078</v>
      </c>
    </row>
    <row r="3370" spans="1:2">
      <c r="A3370" s="66">
        <v>46040.300801689817</v>
      </c>
      <c r="B3370" s="49" t="s">
        <v>10283</v>
      </c>
    </row>
    <row r="3371" spans="1:2">
      <c r="A3371" s="66">
        <v>46040.300804583334</v>
      </c>
      <c r="B3371" s="49" t="s">
        <v>9191</v>
      </c>
    </row>
    <row r="3372" spans="1:2">
      <c r="A3372" s="66">
        <v>46040.300964710652</v>
      </c>
      <c r="B3372" s="49" t="s">
        <v>10284</v>
      </c>
    </row>
    <row r="3373" spans="1:2">
      <c r="A3373" s="66">
        <v>46040.300970416662</v>
      </c>
      <c r="B3373" s="49" t="s">
        <v>10285</v>
      </c>
    </row>
    <row r="3374" spans="1:2">
      <c r="A3374" s="66">
        <v>46040.300976354163</v>
      </c>
      <c r="B3374" s="49" t="s">
        <v>9078</v>
      </c>
    </row>
    <row r="3375" spans="1:2">
      <c r="A3375" s="66">
        <v>46040.300992777775</v>
      </c>
      <c r="B3375" s="49" t="s">
        <v>10286</v>
      </c>
    </row>
    <row r="3376" spans="1:2">
      <c r="A3376" s="66">
        <v>46040.300996782404</v>
      </c>
      <c r="B3376" s="49" t="s">
        <v>9191</v>
      </c>
    </row>
    <row r="3377" spans="1:2">
      <c r="A3377" s="66">
        <v>46040.304661817128</v>
      </c>
      <c r="B3377" s="49" t="s">
        <v>10287</v>
      </c>
    </row>
    <row r="3378" spans="1:2">
      <c r="A3378" s="66">
        <v>46040.304667175922</v>
      </c>
      <c r="B3378" s="49" t="s">
        <v>10288</v>
      </c>
    </row>
    <row r="3379" spans="1:2">
      <c r="A3379" s="66">
        <v>46040.304672037033</v>
      </c>
      <c r="B3379" s="49" t="s">
        <v>9174</v>
      </c>
    </row>
    <row r="3380" spans="1:2">
      <c r="A3380" s="66">
        <v>46040.304676793981</v>
      </c>
      <c r="B3380" s="49" t="s">
        <v>9191</v>
      </c>
    </row>
    <row r="3381" spans="1:2">
      <c r="A3381" s="66">
        <v>46040.305066215282</v>
      </c>
      <c r="B3381" s="49" t="s">
        <v>10289</v>
      </c>
    </row>
    <row r="3382" spans="1:2">
      <c r="A3382" s="66">
        <v>46040.305070659721</v>
      </c>
      <c r="B3382" s="49" t="s">
        <v>10290</v>
      </c>
    </row>
    <row r="3383" spans="1:2">
      <c r="A3383" s="66">
        <v>46040.305078194448</v>
      </c>
      <c r="B3383" s="49" t="s">
        <v>9078</v>
      </c>
    </row>
    <row r="3384" spans="1:2">
      <c r="A3384" s="66">
        <v>46040.305097025463</v>
      </c>
      <c r="B3384" s="49" t="s">
        <v>10291</v>
      </c>
    </row>
    <row r="3385" spans="1:2">
      <c r="A3385" s="66">
        <v>46040.305099930556</v>
      </c>
      <c r="B3385" s="49" t="s">
        <v>9191</v>
      </c>
    </row>
    <row r="3386" spans="1:2">
      <c r="A3386" s="66">
        <v>46040.305265972223</v>
      </c>
      <c r="B3386" s="49" t="s">
        <v>10292</v>
      </c>
    </row>
    <row r="3387" spans="1:2">
      <c r="A3387" s="66">
        <v>46040.305270081022</v>
      </c>
      <c r="B3387" s="49" t="s">
        <v>10293</v>
      </c>
    </row>
    <row r="3388" spans="1:2">
      <c r="A3388" s="66">
        <v>46040.305274421291</v>
      </c>
      <c r="B3388" s="49" t="s">
        <v>9078</v>
      </c>
    </row>
    <row r="3389" spans="1:2">
      <c r="A3389" s="66">
        <v>46040.305303171292</v>
      </c>
      <c r="B3389" s="49" t="s">
        <v>10294</v>
      </c>
    </row>
    <row r="3390" spans="1:2">
      <c r="A3390" s="66">
        <v>46040.305309062504</v>
      </c>
      <c r="B3390" s="49" t="s">
        <v>10295</v>
      </c>
    </row>
    <row r="3391" spans="1:2">
      <c r="A3391" s="66">
        <v>46040.305311215277</v>
      </c>
      <c r="B3391" s="49" t="s">
        <v>9191</v>
      </c>
    </row>
    <row r="3392" spans="1:2">
      <c r="A3392" s="66">
        <v>46040.305571261575</v>
      </c>
      <c r="B3392" s="49" t="s">
        <v>10296</v>
      </c>
    </row>
    <row r="3393" spans="1:2">
      <c r="A3393" s="66">
        <v>46040.305576192128</v>
      </c>
      <c r="B3393" s="49" t="s">
        <v>9272</v>
      </c>
    </row>
    <row r="3394" spans="1:2">
      <c r="A3394" s="66">
        <v>46040.305580983797</v>
      </c>
      <c r="B3394" s="49" t="s">
        <v>9078</v>
      </c>
    </row>
    <row r="3395" spans="1:2">
      <c r="A3395" s="66">
        <v>46040.305594606485</v>
      </c>
      <c r="B3395" s="49" t="s">
        <v>9758</v>
      </c>
    </row>
    <row r="3396" spans="1:2">
      <c r="A3396" s="66">
        <v>46040.305598148145</v>
      </c>
      <c r="B3396" s="49" t="s">
        <v>9191</v>
      </c>
    </row>
    <row r="3397" spans="1:2">
      <c r="A3397" s="66">
        <v>46040.305843055554</v>
      </c>
      <c r="B3397" s="49" t="s">
        <v>10297</v>
      </c>
    </row>
    <row r="3398" spans="1:2">
      <c r="A3398" s="66">
        <v>46040.305857268519</v>
      </c>
      <c r="B3398" s="49" t="s">
        <v>10177</v>
      </c>
    </row>
    <row r="3399" spans="1:2">
      <c r="A3399" s="66">
        <v>46040.305869421296</v>
      </c>
      <c r="B3399" s="49" t="s">
        <v>9078</v>
      </c>
    </row>
    <row r="3400" spans="1:2">
      <c r="A3400" s="66">
        <v>46040.305885138892</v>
      </c>
      <c r="B3400" s="49" t="s">
        <v>10298</v>
      </c>
    </row>
    <row r="3401" spans="1:2">
      <c r="A3401" s="66">
        <v>46040.305887974537</v>
      </c>
      <c r="B3401" s="49" t="s">
        <v>9191</v>
      </c>
    </row>
    <row r="3402" spans="1:2">
      <c r="A3402" s="66">
        <v>46040.306156018516</v>
      </c>
      <c r="B3402" s="49" t="s">
        <v>10299</v>
      </c>
    </row>
    <row r="3403" spans="1:2">
      <c r="A3403" s="66">
        <v>46040.30616010417</v>
      </c>
      <c r="B3403" s="49" t="s">
        <v>10300</v>
      </c>
    </row>
    <row r="3404" spans="1:2">
      <c r="A3404" s="66">
        <v>46040.306163900459</v>
      </c>
      <c r="B3404" s="49" t="s">
        <v>9174</v>
      </c>
    </row>
    <row r="3405" spans="1:2">
      <c r="A3405" s="66">
        <v>46040.306168541661</v>
      </c>
      <c r="B3405" s="49" t="s">
        <v>9191</v>
      </c>
    </row>
    <row r="3406" spans="1:2">
      <c r="A3406" s="66">
        <v>46040.306362037038</v>
      </c>
      <c r="B3406" s="49" t="s">
        <v>10301</v>
      </c>
    </row>
    <row r="3407" spans="1:2">
      <c r="A3407" s="66">
        <v>46040.306372581021</v>
      </c>
      <c r="B3407" s="49" t="s">
        <v>10302</v>
      </c>
    </row>
    <row r="3408" spans="1:2">
      <c r="A3408" s="66">
        <v>46040.306378101857</v>
      </c>
      <c r="B3408" s="49" t="s">
        <v>9078</v>
      </c>
    </row>
    <row r="3409" spans="1:2">
      <c r="A3409" s="66">
        <v>46040.306403009265</v>
      </c>
      <c r="B3409" s="49" t="s">
        <v>10303</v>
      </c>
    </row>
    <row r="3410" spans="1:2">
      <c r="A3410" s="66">
        <v>46040.306410127319</v>
      </c>
      <c r="B3410" s="49" t="s">
        <v>10304</v>
      </c>
    </row>
    <row r="3411" spans="1:2">
      <c r="A3411" s="66">
        <v>46040.306413124999</v>
      </c>
      <c r="B3411" s="49" t="s">
        <v>9191</v>
      </c>
    </row>
    <row r="3412" spans="1:2">
      <c r="A3412" s="66">
        <v>46040.43408663194</v>
      </c>
      <c r="B3412" s="49" t="s">
        <v>10305</v>
      </c>
    </row>
    <row r="3413" spans="1:2">
      <c r="A3413" s="66">
        <v>46040.434092824071</v>
      </c>
      <c r="B3413" s="49" t="s">
        <v>10306</v>
      </c>
    </row>
    <row r="3414" spans="1:2">
      <c r="A3414" s="66">
        <v>46040.434097465273</v>
      </c>
      <c r="B3414" s="49" t="s">
        <v>9078</v>
      </c>
    </row>
    <row r="3415" spans="1:2">
      <c r="A3415" s="66">
        <v>46040.434116203702</v>
      </c>
      <c r="B3415" s="49" t="s">
        <v>10307</v>
      </c>
    </row>
    <row r="3416" spans="1:2">
      <c r="A3416" s="66">
        <v>46040.434118854166</v>
      </c>
      <c r="B3416" s="49" t="s">
        <v>9191</v>
      </c>
    </row>
    <row r="3417" spans="1:2">
      <c r="A3417" s="66">
        <v>46040.906210497684</v>
      </c>
      <c r="B3417" s="49" t="s">
        <v>10308</v>
      </c>
    </row>
    <row r="3418" spans="1:2">
      <c r="A3418" s="66">
        <v>46040.906218599535</v>
      </c>
      <c r="B3418" s="49" t="s">
        <v>10072</v>
      </c>
    </row>
    <row r="3419" spans="1:2">
      <c r="A3419" s="66">
        <v>46040.906225196755</v>
      </c>
      <c r="B3419" s="49" t="s">
        <v>9078</v>
      </c>
    </row>
    <row r="3420" spans="1:2">
      <c r="A3420" s="66">
        <v>46040.906265520833</v>
      </c>
      <c r="B3420" s="49" t="s">
        <v>10073</v>
      </c>
    </row>
    <row r="3421" spans="1:2">
      <c r="A3421" s="66">
        <v>46040.906273553242</v>
      </c>
      <c r="B3421" s="49" t="s">
        <v>10309</v>
      </c>
    </row>
    <row r="3422" spans="1:2">
      <c r="A3422" s="66">
        <v>46040.906276481481</v>
      </c>
      <c r="B3422" s="49" t="s">
        <v>9191</v>
      </c>
    </row>
    <row r="3423" spans="1:2">
      <c r="A3423" s="66">
        <v>46041.181921585652</v>
      </c>
      <c r="B3423" s="49" t="s">
        <v>10310</v>
      </c>
    </row>
    <row r="3424" spans="1:2">
      <c r="A3424" s="66">
        <v>46041.181928159727</v>
      </c>
      <c r="B3424" s="49" t="s">
        <v>10311</v>
      </c>
    </row>
    <row r="3425" spans="1:2">
      <c r="A3425" s="66">
        <v>46041.181935312503</v>
      </c>
      <c r="B3425" s="49" t="s">
        <v>9078</v>
      </c>
    </row>
    <row r="3426" spans="1:2">
      <c r="A3426" s="66">
        <v>46041.181971759259</v>
      </c>
      <c r="B3426" s="49" t="s">
        <v>10312</v>
      </c>
    </row>
    <row r="3427" spans="1:2">
      <c r="A3427" s="66">
        <v>46041.18197755787</v>
      </c>
      <c r="B3427" s="49" t="s">
        <v>10313</v>
      </c>
    </row>
    <row r="3428" spans="1:2">
      <c r="A3428" s="66">
        <v>46041.181979687499</v>
      </c>
      <c r="B3428" s="49" t="s">
        <v>9191</v>
      </c>
    </row>
    <row r="3429" spans="1:2">
      <c r="A3429" s="66">
        <v>46041.21908023148</v>
      </c>
      <c r="B3429" s="49" t="s">
        <v>10314</v>
      </c>
    </row>
    <row r="3430" spans="1:2">
      <c r="A3430" s="66">
        <v>46041.219111041668</v>
      </c>
      <c r="B3430" s="49" t="s">
        <v>9073</v>
      </c>
    </row>
    <row r="3431" spans="1:2">
      <c r="A3431" s="66">
        <v>46041.219116631946</v>
      </c>
      <c r="B3431" s="49" t="s">
        <v>9074</v>
      </c>
    </row>
    <row r="3432" spans="1:2">
      <c r="A3432" s="66">
        <v>46041.219119444446</v>
      </c>
      <c r="B3432" s="49" t="s">
        <v>9191</v>
      </c>
    </row>
    <row r="3433" spans="1:2">
      <c r="A3433" s="66">
        <v>46041.229576585647</v>
      </c>
      <c r="B3433" s="49" t="s">
        <v>10315</v>
      </c>
    </row>
    <row r="3434" spans="1:2">
      <c r="A3434" s="66">
        <v>46041.22961112269</v>
      </c>
      <c r="B3434" s="49" t="s">
        <v>9073</v>
      </c>
    </row>
    <row r="3435" spans="1:2">
      <c r="A3435" s="66">
        <v>46041.229616331024</v>
      </c>
      <c r="B3435" s="49" t="s">
        <v>9074</v>
      </c>
    </row>
    <row r="3436" spans="1:2">
      <c r="A3436" s="66">
        <v>46041.229618310186</v>
      </c>
      <c r="B3436" s="49" t="s">
        <v>9191</v>
      </c>
    </row>
    <row r="3437" spans="1:2">
      <c r="A3437" s="66">
        <v>46042.242296053242</v>
      </c>
      <c r="B3437" s="49" t="s">
        <v>10316</v>
      </c>
    </row>
    <row r="3438" spans="1:2">
      <c r="A3438" s="66">
        <v>46042.242302245373</v>
      </c>
      <c r="B3438" s="49" t="s">
        <v>10317</v>
      </c>
    </row>
    <row r="3439" spans="1:2">
      <c r="A3439" s="66">
        <v>46042.242306689819</v>
      </c>
      <c r="B3439" s="49" t="s">
        <v>9078</v>
      </c>
    </row>
    <row r="3440" spans="1:2">
      <c r="A3440" s="66">
        <v>46042.24233768518</v>
      </c>
      <c r="B3440" s="49" t="s">
        <v>10318</v>
      </c>
    </row>
    <row r="3441" spans="1:2">
      <c r="A3441" s="66">
        <v>46042.242343587961</v>
      </c>
      <c r="B3441" s="49" t="s">
        <v>10319</v>
      </c>
    </row>
    <row r="3442" spans="1:2">
      <c r="A3442" s="66">
        <v>46042.242345648148</v>
      </c>
      <c r="B3442" s="49" t="s">
        <v>9191</v>
      </c>
    </row>
    <row r="3443" spans="1:2">
      <c r="A3443" s="66">
        <v>46042.326942662039</v>
      </c>
      <c r="B3443" s="49"/>
    </row>
    <row r="3444" spans="1:2">
      <c r="A3444" s="66">
        <v>46042.327020381941</v>
      </c>
      <c r="B3444" s="49"/>
    </row>
    <row r="3445" spans="1:2">
      <c r="A3445" s="66">
        <v>46042.327104988421</v>
      </c>
      <c r="B3445" s="49"/>
    </row>
    <row r="3446" spans="1:2">
      <c r="A3446" s="66">
        <v>46042.327960567127</v>
      </c>
      <c r="B3446" s="49"/>
    </row>
    <row r="3447" spans="1:2">
      <c r="A3447" s="66">
        <v>46042.340784502318</v>
      </c>
      <c r="B3447" s="49" t="s">
        <v>10320</v>
      </c>
    </row>
    <row r="3448" spans="1:2">
      <c r="A3448" s="66">
        <v>46042.34079209491</v>
      </c>
      <c r="B3448" s="49" t="s">
        <v>9739</v>
      </c>
    </row>
    <row r="3449" spans="1:2">
      <c r="A3449" s="66">
        <v>46042.340797685189</v>
      </c>
      <c r="B3449" s="49" t="s">
        <v>9078</v>
      </c>
    </row>
    <row r="3450" spans="1:2">
      <c r="A3450" s="66">
        <v>46042.340835798612</v>
      </c>
      <c r="B3450" s="49" t="s">
        <v>9740</v>
      </c>
    </row>
    <row r="3451" spans="1:2">
      <c r="A3451" s="66">
        <v>46042.340839641205</v>
      </c>
      <c r="B3451" s="49" t="s">
        <v>9191</v>
      </c>
    </row>
    <row r="3452" spans="1:2">
      <c r="A3452" s="66">
        <v>46042.366234560184</v>
      </c>
      <c r="B3452" s="49"/>
    </row>
    <row r="3453" spans="1:2">
      <c r="A3453" s="66">
        <v>46042.366454525458</v>
      </c>
      <c r="B3453" s="49"/>
    </row>
    <row r="3454" spans="1:2">
      <c r="A3454" s="66">
        <v>46042.37550318287</v>
      </c>
      <c r="B3454" s="49"/>
    </row>
    <row r="3455" spans="1:2">
      <c r="A3455" s="66">
        <v>46042.382353819441</v>
      </c>
      <c r="B3455" s="49"/>
    </row>
    <row r="3456" spans="1:2">
      <c r="A3456" s="66">
        <v>46042.389385312505</v>
      </c>
      <c r="B3456" s="49"/>
    </row>
    <row r="3457" spans="1:2">
      <c r="A3457" s="66">
        <v>46042.606090763889</v>
      </c>
      <c r="B3457" s="49" t="s">
        <v>10321</v>
      </c>
    </row>
    <row r="3458" spans="1:2">
      <c r="A3458" s="66">
        <v>46042.606096053241</v>
      </c>
      <c r="B3458" s="49" t="s">
        <v>10093</v>
      </c>
    </row>
    <row r="3459" spans="1:2">
      <c r="A3459" s="66">
        <v>46042.606101053243</v>
      </c>
      <c r="B3459" s="49" t="s">
        <v>9078</v>
      </c>
    </row>
    <row r="3460" spans="1:2">
      <c r="A3460" s="66">
        <v>46042.606143020836</v>
      </c>
      <c r="B3460" s="49" t="s">
        <v>10322</v>
      </c>
    </row>
    <row r="3461" spans="1:2">
      <c r="A3461" s="66">
        <v>46042.606145914353</v>
      </c>
      <c r="B3461" s="49" t="s">
        <v>9191</v>
      </c>
    </row>
    <row r="3462" spans="1:2">
      <c r="A3462" s="66">
        <v>46043.254375428238</v>
      </c>
      <c r="B3462" s="49" t="s">
        <v>10323</v>
      </c>
    </row>
    <row r="3463" spans="1:2">
      <c r="A3463" s="66">
        <v>46043.254405324071</v>
      </c>
      <c r="B3463" s="49" t="s">
        <v>9073</v>
      </c>
    </row>
    <row r="3464" spans="1:2">
      <c r="A3464" s="66">
        <v>46043.254410046298</v>
      </c>
      <c r="B3464" s="49" t="s">
        <v>9074</v>
      </c>
    </row>
    <row r="3465" spans="1:2">
      <c r="A3465" s="66">
        <v>46043.254412141207</v>
      </c>
      <c r="B3465" s="49" t="s">
        <v>9191</v>
      </c>
    </row>
    <row r="3466" spans="1:2">
      <c r="A3466" s="66">
        <v>46043.280048182874</v>
      </c>
      <c r="B3466" s="49" t="s">
        <v>10324</v>
      </c>
    </row>
    <row r="3467" spans="1:2">
      <c r="A3467" s="66">
        <v>46043.28005342593</v>
      </c>
      <c r="B3467" s="49" t="s">
        <v>9124</v>
      </c>
    </row>
    <row r="3468" spans="1:2">
      <c r="A3468" s="66">
        <v>46043.280059270837</v>
      </c>
      <c r="B3468" s="49" t="s">
        <v>9078</v>
      </c>
    </row>
    <row r="3469" spans="1:2">
      <c r="A3469" s="66">
        <v>46043.280075879629</v>
      </c>
      <c r="B3469" s="49" t="s">
        <v>10083</v>
      </c>
    </row>
    <row r="3470" spans="1:2">
      <c r="A3470" s="66">
        <v>46043.280078784723</v>
      </c>
      <c r="B3470" s="49" t="s">
        <v>9191</v>
      </c>
    </row>
    <row r="3471" spans="1:2">
      <c r="A3471" s="66">
        <v>46044.216665300926</v>
      </c>
      <c r="B3471" s="49" t="s">
        <v>10325</v>
      </c>
    </row>
    <row r="3472" spans="1:2">
      <c r="A3472" s="66">
        <v>46044.216708078704</v>
      </c>
      <c r="B3472" s="49" t="s">
        <v>9073</v>
      </c>
    </row>
    <row r="3473" spans="1:2">
      <c r="A3473" s="66">
        <v>46044.216715046292</v>
      </c>
      <c r="B3473" s="49" t="s">
        <v>9074</v>
      </c>
    </row>
    <row r="3474" spans="1:2">
      <c r="A3474" s="66">
        <v>46044.216718240743</v>
      </c>
      <c r="B3474" s="49" t="s">
        <v>9191</v>
      </c>
    </row>
    <row r="3475" spans="1:2">
      <c r="A3475" s="66">
        <v>46044.311329236109</v>
      </c>
      <c r="B3475" s="49"/>
    </row>
    <row r="3476" spans="1:2">
      <c r="A3476" s="66">
        <v>46044.333960891207</v>
      </c>
      <c r="B3476" s="67">
        <v>46042</v>
      </c>
    </row>
    <row r="3477" spans="1:2">
      <c r="A3477" s="66">
        <v>46045.342384537042</v>
      </c>
      <c r="B3477" s="49" t="s">
        <v>10326</v>
      </c>
    </row>
    <row r="3478" spans="1:2">
      <c r="A3478" s="66">
        <v>46045.342424467592</v>
      </c>
      <c r="B3478" s="49" t="s">
        <v>10327</v>
      </c>
    </row>
    <row r="3479" spans="1:2">
      <c r="A3479" s="66">
        <v>46045.342429988421</v>
      </c>
      <c r="B3479" s="49" t="s">
        <v>9078</v>
      </c>
    </row>
    <row r="3480" spans="1:2">
      <c r="A3480" s="66">
        <v>46045.342448206022</v>
      </c>
      <c r="B3480" s="49" t="s">
        <v>9191</v>
      </c>
    </row>
    <row r="3481" spans="1:2">
      <c r="A3481" s="66">
        <v>46045.342665185184</v>
      </c>
      <c r="B3481" s="49" t="s">
        <v>10328</v>
      </c>
    </row>
    <row r="3482" spans="1:2">
      <c r="A3482" s="66">
        <v>46045.342669861115</v>
      </c>
      <c r="B3482" s="49" t="s">
        <v>10327</v>
      </c>
    </row>
    <row r="3483" spans="1:2">
      <c r="A3483" s="66">
        <v>46045.342674814819</v>
      </c>
      <c r="B3483" s="49" t="s">
        <v>9078</v>
      </c>
    </row>
    <row r="3484" spans="1:2">
      <c r="A3484" s="66">
        <v>46045.342717152773</v>
      </c>
      <c r="B3484" s="49" t="s">
        <v>10329</v>
      </c>
    </row>
    <row r="3485" spans="1:2">
      <c r="A3485" s="66">
        <v>46045.342723530091</v>
      </c>
      <c r="B3485" s="49" t="s">
        <v>10330</v>
      </c>
    </row>
    <row r="3486" spans="1:2">
      <c r="A3486" s="66">
        <v>46045.342725833332</v>
      </c>
      <c r="B3486" s="49" t="s">
        <v>9191</v>
      </c>
    </row>
    <row r="3487" spans="1:2">
      <c r="A3487" s="66">
        <v>46045.343809756945</v>
      </c>
      <c r="B3487" s="49" t="s">
        <v>10331</v>
      </c>
    </row>
    <row r="3488" spans="1:2">
      <c r="A3488" s="66">
        <v>46045.34381421296</v>
      </c>
      <c r="B3488" s="49" t="s">
        <v>10332</v>
      </c>
    </row>
    <row r="3489" spans="1:2">
      <c r="A3489" s="66">
        <v>46045.34381899306</v>
      </c>
      <c r="B3489" s="49" t="s">
        <v>9078</v>
      </c>
    </row>
    <row r="3490" spans="1:2">
      <c r="A3490" s="66">
        <v>46045.343855902778</v>
      </c>
      <c r="B3490" s="49" t="s">
        <v>10333</v>
      </c>
    </row>
    <row r="3491" spans="1:2">
      <c r="A3491" s="66">
        <v>46045.349685347217</v>
      </c>
      <c r="B3491" s="49"/>
    </row>
    <row r="3492" spans="1:2">
      <c r="A3492" s="66">
        <v>46045.789083333337</v>
      </c>
      <c r="B3492" s="49" t="s">
        <v>10334</v>
      </c>
    </row>
    <row r="3493" spans="1:2">
      <c r="A3493" s="66">
        <v>46045.789091134255</v>
      </c>
      <c r="B3493" s="49" t="s">
        <v>10218</v>
      </c>
    </row>
    <row r="3494" spans="1:2">
      <c r="A3494" s="66">
        <v>46045.789111076389</v>
      </c>
      <c r="B3494" s="49" t="s">
        <v>9078</v>
      </c>
    </row>
    <row r="3495" spans="1:2">
      <c r="A3495" s="66">
        <v>46045.789131018522</v>
      </c>
      <c r="B3495" s="49" t="s">
        <v>10335</v>
      </c>
    </row>
    <row r="3496" spans="1:2">
      <c r="A3496" s="66">
        <v>46045.789133298611</v>
      </c>
      <c r="B3496" s="49" t="s">
        <v>9191</v>
      </c>
    </row>
    <row r="3497" spans="1:2">
      <c r="A3497" s="66">
        <v>46045.818707592596</v>
      </c>
      <c r="B3497" s="49" t="s">
        <v>10336</v>
      </c>
    </row>
    <row r="3498" spans="1:2">
      <c r="A3498" s="66">
        <v>46045.818714027773</v>
      </c>
      <c r="B3498" s="49" t="s">
        <v>9191</v>
      </c>
    </row>
    <row r="3499" spans="1:2">
      <c r="A3499" s="66">
        <v>46045.818905740744</v>
      </c>
      <c r="B3499" s="49" t="s">
        <v>10337</v>
      </c>
    </row>
    <row r="3500" spans="1:2">
      <c r="A3500" s="66">
        <v>46045.818910694448</v>
      </c>
      <c r="B3500" s="49" t="s">
        <v>9482</v>
      </c>
    </row>
    <row r="3501" spans="1:2">
      <c r="A3501" s="66">
        <v>46045.818915324075</v>
      </c>
      <c r="B3501" s="49" t="s">
        <v>9078</v>
      </c>
    </row>
    <row r="3502" spans="1:2">
      <c r="A3502" s="66">
        <v>46045.818932465278</v>
      </c>
      <c r="B3502" s="49" t="s">
        <v>9537</v>
      </c>
    </row>
    <row r="3503" spans="1:2">
      <c r="A3503" s="66">
        <v>46045.81893523148</v>
      </c>
      <c r="B3503" s="49" t="s">
        <v>9191</v>
      </c>
    </row>
    <row r="3504" spans="1:2">
      <c r="A3504" s="66">
        <v>46045.83946260417</v>
      </c>
      <c r="B3504" s="49" t="s">
        <v>10338</v>
      </c>
    </row>
    <row r="3505" spans="1:2">
      <c r="A3505" s="66">
        <v>46045.839467199075</v>
      </c>
      <c r="B3505" s="49" t="s">
        <v>10339</v>
      </c>
    </row>
    <row r="3506" spans="1:2">
      <c r="A3506" s="66">
        <v>46045.839485810182</v>
      </c>
      <c r="B3506" s="49" t="s">
        <v>9078</v>
      </c>
    </row>
    <row r="3507" spans="1:2">
      <c r="A3507" s="66">
        <v>46045.839547256939</v>
      </c>
      <c r="B3507" s="49" t="s">
        <v>10340</v>
      </c>
    </row>
    <row r="3508" spans="1:2">
      <c r="A3508" s="66">
        <v>46045.839556296298</v>
      </c>
      <c r="B3508" s="49" t="s">
        <v>10341</v>
      </c>
    </row>
    <row r="3509" spans="1:2">
      <c r="A3509" s="66">
        <v>46045.839558368054</v>
      </c>
      <c r="B3509" s="49" t="s">
        <v>9191</v>
      </c>
    </row>
    <row r="3510" spans="1:2">
      <c r="A3510" s="66">
        <v>46046.221655185189</v>
      </c>
      <c r="B3510" s="49" t="s">
        <v>10342</v>
      </c>
    </row>
    <row r="3511" spans="1:2">
      <c r="A3511" s="66">
        <v>46046.221696134264</v>
      </c>
      <c r="B3511" s="49" t="s">
        <v>9073</v>
      </c>
    </row>
    <row r="3512" spans="1:2">
      <c r="A3512" s="66">
        <v>46046.221702557872</v>
      </c>
      <c r="B3512" s="49" t="s">
        <v>9074</v>
      </c>
    </row>
    <row r="3513" spans="1:2">
      <c r="A3513" s="66">
        <v>46046.221709583333</v>
      </c>
      <c r="B3513" s="49" t="s">
        <v>9191</v>
      </c>
    </row>
    <row r="3514" spans="1:2">
      <c r="A3514" s="66">
        <v>46046.306658229165</v>
      </c>
      <c r="B3514" s="49"/>
    </row>
    <row r="3515" spans="1:2">
      <c r="A3515" s="66">
        <v>46046.338923101852</v>
      </c>
      <c r="B3515" s="49"/>
    </row>
    <row r="3516" spans="1:2">
      <c r="A3516" s="66">
        <v>46046.339622858795</v>
      </c>
      <c r="B3516" s="49" t="s">
        <v>10343</v>
      </c>
    </row>
    <row r="3517" spans="1:2">
      <c r="A3517" s="66">
        <v>46046.339627326393</v>
      </c>
      <c r="B3517" s="49" t="s">
        <v>10344</v>
      </c>
    </row>
    <row r="3518" spans="1:2">
      <c r="A3518" s="66">
        <v>46046.33963292824</v>
      </c>
      <c r="B3518" s="49" t="s">
        <v>9078</v>
      </c>
    </row>
    <row r="3519" spans="1:2">
      <c r="A3519" s="66">
        <v>46046.33965814815</v>
      </c>
      <c r="B3519" s="49" t="s">
        <v>10345</v>
      </c>
    </row>
    <row r="3520" spans="1:2">
      <c r="A3520" s="66">
        <v>46046.339664178246</v>
      </c>
      <c r="B3520" s="49" t="s">
        <v>10346</v>
      </c>
    </row>
    <row r="3521" spans="1:2">
      <c r="A3521" s="66">
        <v>46046.339665763888</v>
      </c>
      <c r="B3521" s="49" t="s">
        <v>9191</v>
      </c>
    </row>
    <row r="3522" spans="1:2">
      <c r="A3522" s="66">
        <v>46046.365962361117</v>
      </c>
      <c r="B3522" s="49"/>
    </row>
    <row r="3523" spans="1:2">
      <c r="A3523" s="66">
        <v>46046.377638194448</v>
      </c>
      <c r="B3523" s="49"/>
    </row>
    <row r="3524" spans="1:2">
      <c r="A3524" s="66">
        <v>46047.360452997687</v>
      </c>
      <c r="B3524" s="49" t="s">
        <v>10347</v>
      </c>
    </row>
    <row r="3525" spans="1:2">
      <c r="A3525" s="66">
        <v>46047.360488888888</v>
      </c>
      <c r="B3525" s="49" t="s">
        <v>9073</v>
      </c>
    </row>
    <row r="3526" spans="1:2">
      <c r="A3526" s="66">
        <v>46047.360493819448</v>
      </c>
      <c r="B3526" s="49" t="s">
        <v>9074</v>
      </c>
    </row>
    <row r="3527" spans="1:2">
      <c r="A3527" s="66">
        <v>46047.360496215275</v>
      </c>
      <c r="B3527" s="49" t="s">
        <v>9191</v>
      </c>
    </row>
    <row r="3528" spans="1:2">
      <c r="A3528" s="66">
        <v>46047.554442592591</v>
      </c>
      <c r="B3528" s="49" t="s">
        <v>10348</v>
      </c>
    </row>
    <row r="3529" spans="1:2">
      <c r="A3529" s="66">
        <v>46047.55444842593</v>
      </c>
      <c r="B3529" s="49" t="s">
        <v>9291</v>
      </c>
    </row>
    <row r="3530" spans="1:2">
      <c r="A3530" s="66">
        <v>46047.554465543981</v>
      </c>
      <c r="B3530" s="49" t="s">
        <v>9078</v>
      </c>
    </row>
    <row r="3531" spans="1:2">
      <c r="A3531" s="66">
        <v>46047.554478206017</v>
      </c>
      <c r="B3531" s="49" t="s">
        <v>9531</v>
      </c>
    </row>
    <row r="3532" spans="1:2">
      <c r="A3532" s="66">
        <v>46047.554481157407</v>
      </c>
      <c r="B3532" s="49" t="s">
        <v>9191</v>
      </c>
    </row>
    <row r="3533" spans="1:2">
      <c r="A3533" s="66">
        <v>46047.813598564811</v>
      </c>
      <c r="B3533" s="49" t="s">
        <v>10349</v>
      </c>
    </row>
    <row r="3534" spans="1:2">
      <c r="A3534" s="66">
        <v>46047.813603425922</v>
      </c>
      <c r="B3534" s="49" t="s">
        <v>10080</v>
      </c>
    </row>
    <row r="3535" spans="1:2">
      <c r="A3535" s="66">
        <v>46047.813622071757</v>
      </c>
      <c r="B3535" s="49" t="s">
        <v>9078</v>
      </c>
    </row>
    <row r="3536" spans="1:2">
      <c r="A3536" s="66">
        <v>46047.813637581014</v>
      </c>
      <c r="B3536" s="49" t="s">
        <v>10081</v>
      </c>
    </row>
    <row r="3537" spans="1:2">
      <c r="A3537" s="66">
        <v>46047.813640057866</v>
      </c>
      <c r="B3537" s="49" t="s">
        <v>9191</v>
      </c>
    </row>
    <row r="3538" spans="1:2">
      <c r="A3538" s="66">
        <v>46047.823398217588</v>
      </c>
      <c r="B3538" s="49" t="s">
        <v>10350</v>
      </c>
    </row>
    <row r="3539" spans="1:2">
      <c r="A3539" s="66">
        <v>46047.823404340277</v>
      </c>
      <c r="B3539" s="49" t="s">
        <v>9560</v>
      </c>
    </row>
    <row r="3540" spans="1:2">
      <c r="A3540" s="66">
        <v>46047.823423854163</v>
      </c>
      <c r="B3540" s="49" t="s">
        <v>9078</v>
      </c>
    </row>
    <row r="3541" spans="1:2">
      <c r="A3541" s="66">
        <v>46047.823443518515</v>
      </c>
      <c r="B3541" s="49" t="s">
        <v>9561</v>
      </c>
    </row>
    <row r="3542" spans="1:2">
      <c r="A3542" s="66">
        <v>46047.823446296301</v>
      </c>
      <c r="B3542" s="49" t="s">
        <v>9191</v>
      </c>
    </row>
    <row r="3543" spans="1:2">
      <c r="A3543" s="66">
        <v>46048.232212789357</v>
      </c>
      <c r="B3543" s="49" t="s">
        <v>10351</v>
      </c>
    </row>
    <row r="3544" spans="1:2">
      <c r="A3544" s="66">
        <v>46048.232255138893</v>
      </c>
      <c r="B3544" s="49" t="s">
        <v>9073</v>
      </c>
    </row>
    <row r="3545" spans="1:2">
      <c r="A3545" s="66">
        <v>46048.232259780096</v>
      </c>
      <c r="B3545" s="49" t="s">
        <v>9074</v>
      </c>
    </row>
    <row r="3546" spans="1:2">
      <c r="A3546" s="66">
        <v>46048.232262442129</v>
      </c>
      <c r="B3546" s="49" t="s">
        <v>9191</v>
      </c>
    </row>
    <row r="3547" spans="1:2">
      <c r="A3547" s="66">
        <v>46048.343335208338</v>
      </c>
      <c r="B3547" s="49" t="s">
        <v>10352</v>
      </c>
    </row>
    <row r="3548" spans="1:2">
      <c r="A3548" s="66">
        <v>46048.343341203705</v>
      </c>
      <c r="B3548" s="49" t="s">
        <v>9337</v>
      </c>
    </row>
    <row r="3549" spans="1:2">
      <c r="A3549" s="66">
        <v>46048.343347488422</v>
      </c>
      <c r="B3549" s="49" t="s">
        <v>9078</v>
      </c>
    </row>
    <row r="3550" spans="1:2">
      <c r="A3550" s="66">
        <v>46048.343378622681</v>
      </c>
      <c r="B3550" s="49" t="s">
        <v>9923</v>
      </c>
    </row>
    <row r="3551" spans="1:2">
      <c r="A3551" s="66">
        <v>46048.343381574072</v>
      </c>
      <c r="B3551" s="49" t="s">
        <v>9191</v>
      </c>
    </row>
    <row r="3552" spans="1:2">
      <c r="A3552" s="66">
        <v>46048.347604965282</v>
      </c>
      <c r="B3552" s="49"/>
    </row>
    <row r="3553" spans="1:2">
      <c r="A3553" s="66">
        <v>46048.375237175926</v>
      </c>
      <c r="B3553" s="49" t="s">
        <v>10353</v>
      </c>
    </row>
    <row r="3554" spans="1:2">
      <c r="A3554" s="66">
        <v>46048.375243402777</v>
      </c>
      <c r="B3554" s="49" t="s">
        <v>9890</v>
      </c>
    </row>
    <row r="3555" spans="1:2">
      <c r="A3555" s="66">
        <v>46048.375264884264</v>
      </c>
      <c r="B3555" s="49" t="s">
        <v>9078</v>
      </c>
    </row>
    <row r="3556" spans="1:2">
      <c r="A3556" s="66">
        <v>46048.375282962967</v>
      </c>
      <c r="B3556" s="49" t="s">
        <v>10206</v>
      </c>
    </row>
    <row r="3557" spans="1:2">
      <c r="A3557" s="66">
        <v>46048.375286608796</v>
      </c>
      <c r="B3557" s="49" t="s">
        <v>9191</v>
      </c>
    </row>
    <row r="3558" spans="1:2">
      <c r="A3558" s="66">
        <v>46048.382472013887</v>
      </c>
      <c r="B3558" s="49" t="s">
        <v>10354</v>
      </c>
    </row>
    <row r="3559" spans="1:2">
      <c r="A3559" s="66">
        <v>46048.382476400468</v>
      </c>
      <c r="B3559" s="49" t="s">
        <v>10008</v>
      </c>
    </row>
    <row r="3560" spans="1:2">
      <c r="A3560" s="66">
        <v>46048.382480439817</v>
      </c>
      <c r="B3560" s="49" t="s">
        <v>9078</v>
      </c>
    </row>
    <row r="3561" spans="1:2">
      <c r="A3561" s="66">
        <v>46048.382495972226</v>
      </c>
      <c r="B3561" s="49" t="s">
        <v>10203</v>
      </c>
    </row>
    <row r="3562" spans="1:2">
      <c r="A3562" s="66">
        <v>46048.382498576393</v>
      </c>
      <c r="B3562" s="49" t="s">
        <v>9191</v>
      </c>
    </row>
    <row r="3563" spans="1:2">
      <c r="A3563" s="66">
        <v>46048.56794418981</v>
      </c>
      <c r="B3563" s="49" t="s">
        <v>10355</v>
      </c>
    </row>
    <row r="3564" spans="1:2">
      <c r="A3564" s="66">
        <v>46048.567950138888</v>
      </c>
      <c r="B3564" s="49" t="s">
        <v>9966</v>
      </c>
    </row>
    <row r="3565" spans="1:2">
      <c r="A3565" s="66">
        <v>46048.567955150458</v>
      </c>
      <c r="B3565" s="49" t="s">
        <v>9078</v>
      </c>
    </row>
    <row r="3566" spans="1:2">
      <c r="A3566" s="66">
        <v>46048.568006134257</v>
      </c>
      <c r="B3566" s="49" t="s">
        <v>9967</v>
      </c>
    </row>
    <row r="3567" spans="1:2">
      <c r="A3567" s="66">
        <v>46048.568012800926</v>
      </c>
      <c r="B3567" s="49" t="s">
        <v>10356</v>
      </c>
    </row>
    <row r="3568" spans="1:2">
      <c r="A3568" s="66">
        <v>46048.568015393517</v>
      </c>
      <c r="B3568" s="49" t="s">
        <v>9191</v>
      </c>
    </row>
    <row r="3569" spans="1:2">
      <c r="A3569" s="66">
        <v>46048.668314953698</v>
      </c>
      <c r="B3569" s="49" t="s">
        <v>10357</v>
      </c>
    </row>
    <row r="3570" spans="1:2">
      <c r="A3570" s="66">
        <v>46048.668320532408</v>
      </c>
      <c r="B3570" s="49" t="s">
        <v>9410</v>
      </c>
    </row>
    <row r="3571" spans="1:2">
      <c r="A3571" s="66">
        <v>46048.668340844903</v>
      </c>
      <c r="B3571" s="49" t="s">
        <v>9078</v>
      </c>
    </row>
    <row r="3572" spans="1:2">
      <c r="A3572" s="66">
        <v>46048.668361990742</v>
      </c>
      <c r="B3572" s="49" t="s">
        <v>9411</v>
      </c>
    </row>
    <row r="3573" spans="1:2">
      <c r="A3573" s="66">
        <v>46048.668364444442</v>
      </c>
      <c r="B3573" s="49" t="s">
        <v>9191</v>
      </c>
    </row>
    <row r="3574" spans="1:2">
      <c r="A3574" s="66">
        <v>46048.691477581015</v>
      </c>
      <c r="B3574" s="49" t="s">
        <v>10358</v>
      </c>
    </row>
    <row r="3575" spans="1:2">
      <c r="A3575" s="66">
        <v>46048.69148228009</v>
      </c>
      <c r="B3575" s="49" t="s">
        <v>10359</v>
      </c>
    </row>
    <row r="3576" spans="1:2">
      <c r="A3576" s="66">
        <v>46048.691500196757</v>
      </c>
      <c r="B3576" s="49" t="s">
        <v>9174</v>
      </c>
    </row>
    <row r="3577" spans="1:2">
      <c r="A3577" s="66">
        <v>46048.691506331015</v>
      </c>
      <c r="B3577" s="49" t="s">
        <v>9191</v>
      </c>
    </row>
    <row r="3578" spans="1:2">
      <c r="A3578" s="66">
        <v>46049.290893032405</v>
      </c>
      <c r="B3578" s="49" t="s">
        <v>10360</v>
      </c>
    </row>
    <row r="3579" spans="1:2">
      <c r="A3579" s="66">
        <v>46049.290931481482</v>
      </c>
      <c r="B3579" s="49" t="s">
        <v>9073</v>
      </c>
    </row>
    <row r="3580" spans="1:2">
      <c r="A3580" s="66">
        <v>46049.29093625</v>
      </c>
      <c r="B3580" s="49" t="s">
        <v>9074</v>
      </c>
    </row>
    <row r="3581" spans="1:2">
      <c r="A3581" s="66">
        <v>46049.290938368053</v>
      </c>
      <c r="B3581" s="49" t="s">
        <v>9191</v>
      </c>
    </row>
    <row r="3582" spans="1:2">
      <c r="A3582" s="66">
        <v>46049.291379027782</v>
      </c>
      <c r="B3582" s="49" t="s">
        <v>10361</v>
      </c>
    </row>
    <row r="3583" spans="1:2">
      <c r="A3583" s="66">
        <v>46049.291405312499</v>
      </c>
      <c r="B3583" s="49" t="s">
        <v>9073</v>
      </c>
    </row>
    <row r="3584" spans="1:2">
      <c r="A3584" s="66">
        <v>46049.291409849538</v>
      </c>
      <c r="B3584" s="49" t="s">
        <v>9074</v>
      </c>
    </row>
    <row r="3585" spans="1:2">
      <c r="A3585" s="66">
        <v>46049.291427511576</v>
      </c>
      <c r="B3585" s="49" t="s">
        <v>9191</v>
      </c>
    </row>
    <row r="3586" spans="1:2">
      <c r="A3586" s="66">
        <v>46049.291659803246</v>
      </c>
      <c r="B3586" s="49" t="s">
        <v>10362</v>
      </c>
    </row>
    <row r="3587" spans="1:2">
      <c r="A3587" s="66">
        <v>46049.291684895834</v>
      </c>
      <c r="B3587" s="49" t="s">
        <v>9073</v>
      </c>
    </row>
    <row r="3588" spans="1:2">
      <c r="A3588" s="66">
        <v>46049.291690081023</v>
      </c>
      <c r="B3588" s="49" t="s">
        <v>9074</v>
      </c>
    </row>
    <row r="3589" spans="1:2">
      <c r="A3589" s="66">
        <v>46049.291695219908</v>
      </c>
      <c r="B3589" s="49" t="s">
        <v>9191</v>
      </c>
    </row>
    <row r="3590" spans="1:2">
      <c r="A3590" s="66">
        <v>46049.296646238421</v>
      </c>
      <c r="B3590" s="49"/>
    </row>
    <row r="3591" spans="1:2">
      <c r="A3591" s="66">
        <v>46049.296731261573</v>
      </c>
      <c r="B3591" s="49"/>
    </row>
    <row r="3592" spans="1:2">
      <c r="A3592" s="66">
        <v>46049.305910972224</v>
      </c>
      <c r="B3592" s="49" t="s">
        <v>10363</v>
      </c>
    </row>
    <row r="3593" spans="1:2">
      <c r="A3593" s="66">
        <v>46049.30595248843</v>
      </c>
      <c r="B3593" s="49" t="s">
        <v>9073</v>
      </c>
    </row>
    <row r="3594" spans="1:2">
      <c r="A3594" s="66">
        <v>46049.305959363424</v>
      </c>
      <c r="B3594" s="49" t="s">
        <v>9074</v>
      </c>
    </row>
    <row r="3595" spans="1:2">
      <c r="A3595" s="66">
        <v>46049.305962708335</v>
      </c>
      <c r="B3595" s="49" t="s">
        <v>9191</v>
      </c>
    </row>
    <row r="3596" spans="1:2">
      <c r="A3596" s="66">
        <v>46049.323355428241</v>
      </c>
      <c r="B3596" s="49" t="s">
        <v>10364</v>
      </c>
    </row>
    <row r="3597" spans="1:2">
      <c r="A3597" s="66">
        <v>46049.323361643517</v>
      </c>
      <c r="B3597" s="49" t="s">
        <v>10365</v>
      </c>
    </row>
    <row r="3598" spans="1:2">
      <c r="A3598" s="66">
        <v>46049.32336707176</v>
      </c>
      <c r="B3598" s="49" t="s">
        <v>9078</v>
      </c>
    </row>
    <row r="3599" spans="1:2">
      <c r="A3599" s="66">
        <v>46049.323400740745</v>
      </c>
      <c r="B3599" s="49" t="s">
        <v>10366</v>
      </c>
    </row>
    <row r="3600" spans="1:2">
      <c r="A3600" s="66">
        <v>46049.32340429398</v>
      </c>
      <c r="B3600" s="49" t="s">
        <v>9191</v>
      </c>
    </row>
    <row r="3601" spans="1:2">
      <c r="A3601" s="66">
        <v>46049.330604050927</v>
      </c>
      <c r="B3601" s="49"/>
    </row>
    <row r="3602" spans="1:2">
      <c r="A3602" s="66">
        <v>46049.35142097222</v>
      </c>
      <c r="B3602" s="49"/>
    </row>
    <row r="3603" spans="1:2">
      <c r="A3603" s="66">
        <v>46049.388103437501</v>
      </c>
      <c r="B3603" s="49" t="s">
        <v>10367</v>
      </c>
    </row>
    <row r="3604" spans="1:2">
      <c r="A3604" s="66">
        <v>46049.388111192129</v>
      </c>
      <c r="B3604" s="49" t="s">
        <v>9315</v>
      </c>
    </row>
    <row r="3605" spans="1:2">
      <c r="A3605" s="66">
        <v>46049.388116076385</v>
      </c>
      <c r="B3605" s="49" t="s">
        <v>9078</v>
      </c>
    </row>
    <row r="3606" spans="1:2">
      <c r="A3606" s="66">
        <v>46049.388135775458</v>
      </c>
      <c r="B3606" s="49" t="s">
        <v>9742</v>
      </c>
    </row>
    <row r="3607" spans="1:2">
      <c r="A3607" s="66">
        <v>46049.388138726848</v>
      </c>
      <c r="B3607" s="49" t="s">
        <v>9191</v>
      </c>
    </row>
    <row r="3608" spans="1:2">
      <c r="A3608" s="66">
        <v>46049.412221192135</v>
      </c>
      <c r="B3608" s="49" t="s">
        <v>10368</v>
      </c>
    </row>
    <row r="3609" spans="1:2">
      <c r="A3609" s="66">
        <v>46049.412238263889</v>
      </c>
      <c r="B3609" s="49" t="s">
        <v>10369</v>
      </c>
    </row>
    <row r="3610" spans="1:2">
      <c r="A3610" s="66">
        <v>46049.412266458334</v>
      </c>
      <c r="B3610" s="49" t="s">
        <v>9078</v>
      </c>
    </row>
    <row r="3611" spans="1:2">
      <c r="A3611" s="66">
        <v>46049.412313136578</v>
      </c>
      <c r="B3611" s="49" t="s">
        <v>10370</v>
      </c>
    </row>
    <row r="3612" spans="1:2">
      <c r="A3612" s="66">
        <v>46049.41232072917</v>
      </c>
      <c r="B3612" s="49" t="s">
        <v>10371</v>
      </c>
    </row>
    <row r="3613" spans="1:2">
      <c r="A3613" s="66">
        <v>46049.412325428246</v>
      </c>
      <c r="B3613" s="49" t="s">
        <v>9191</v>
      </c>
    </row>
    <row r="3614" spans="1:2">
      <c r="A3614" s="66">
        <v>46049.530276736114</v>
      </c>
      <c r="B3614" s="49" t="s">
        <v>10372</v>
      </c>
    </row>
    <row r="3615" spans="1:2">
      <c r="A3615" s="66">
        <v>46049.530283229164</v>
      </c>
      <c r="B3615" s="49" t="s">
        <v>9724</v>
      </c>
    </row>
    <row r="3616" spans="1:2">
      <c r="A3616" s="66">
        <v>46049.530288182868</v>
      </c>
      <c r="B3616" s="49" t="s">
        <v>9078</v>
      </c>
    </row>
    <row r="3617" spans="1:2">
      <c r="A3617" s="66">
        <v>46049.530312175921</v>
      </c>
      <c r="B3617" s="49" t="s">
        <v>9725</v>
      </c>
    </row>
    <row r="3618" spans="1:2">
      <c r="A3618" s="66">
        <v>46049.53031530093</v>
      </c>
      <c r="B3618" s="49" t="s">
        <v>9191</v>
      </c>
    </row>
    <row r="3619" spans="1:2">
      <c r="A3619" s="66">
        <v>46049.575255787036</v>
      </c>
      <c r="B3619" s="49" t="s">
        <v>10373</v>
      </c>
    </row>
    <row r="3620" spans="1:2">
      <c r="A3620" s="66">
        <v>46049.575260706013</v>
      </c>
      <c r="B3620" s="49" t="s">
        <v>9575</v>
      </c>
    </row>
    <row r="3621" spans="1:2">
      <c r="A3621" s="66">
        <v>46049.575265277774</v>
      </c>
      <c r="B3621" s="49" t="s">
        <v>9078</v>
      </c>
    </row>
    <row r="3622" spans="1:2">
      <c r="A3622" s="66">
        <v>46049.575288368054</v>
      </c>
      <c r="B3622" s="49" t="s">
        <v>10111</v>
      </c>
    </row>
    <row r="3623" spans="1:2">
      <c r="A3623" s="66">
        <v>46049.575290844907</v>
      </c>
      <c r="B3623" s="49" t="s">
        <v>9191</v>
      </c>
    </row>
    <row r="3624" spans="1:2">
      <c r="A3624" s="66">
        <v>46050.196392569444</v>
      </c>
      <c r="B3624" s="49" t="s">
        <v>10374</v>
      </c>
    </row>
    <row r="3625" spans="1:2">
      <c r="A3625" s="66">
        <v>46050.196418125</v>
      </c>
      <c r="B3625" s="49" t="s">
        <v>9073</v>
      </c>
    </row>
    <row r="3626" spans="1:2">
      <c r="A3626" s="66">
        <v>46050.196422928246</v>
      </c>
      <c r="B3626" s="49" t="s">
        <v>9074</v>
      </c>
    </row>
    <row r="3627" spans="1:2">
      <c r="A3627" s="66">
        <v>46050.196425254631</v>
      </c>
      <c r="B3627" s="49" t="s">
        <v>9191</v>
      </c>
    </row>
    <row r="3628" spans="1:2">
      <c r="A3628" s="66">
        <v>46050.337966122686</v>
      </c>
      <c r="B3628" s="49" t="s">
        <v>10375</v>
      </c>
    </row>
    <row r="3629" spans="1:2">
      <c r="A3629" s="66">
        <v>46050.337975486109</v>
      </c>
      <c r="B3629" s="49" t="s">
        <v>9393</v>
      </c>
    </row>
    <row r="3630" spans="1:2">
      <c r="A3630" s="66">
        <v>46050.33799266204</v>
      </c>
      <c r="B3630" s="49" t="s">
        <v>9078</v>
      </c>
    </row>
    <row r="3631" spans="1:2">
      <c r="A3631" s="66">
        <v>46050.338009490741</v>
      </c>
      <c r="B3631" s="49" t="s">
        <v>9394</v>
      </c>
    </row>
    <row r="3632" spans="1:2">
      <c r="A3632" s="66">
        <v>46050.338012939814</v>
      </c>
      <c r="B3632" s="49" t="s">
        <v>9191</v>
      </c>
    </row>
    <row r="3633" spans="1:2">
      <c r="A3633" s="66">
        <v>46050.705896446758</v>
      </c>
      <c r="B3633" s="49" t="s">
        <v>10355</v>
      </c>
    </row>
    <row r="3634" spans="1:2">
      <c r="A3634" s="66">
        <v>46050.705902500005</v>
      </c>
      <c r="B3634" s="49" t="s">
        <v>9966</v>
      </c>
    </row>
    <row r="3635" spans="1:2">
      <c r="A3635" s="66">
        <v>46050.705924386573</v>
      </c>
      <c r="B3635" s="49" t="s">
        <v>9078</v>
      </c>
    </row>
    <row r="3636" spans="1:2">
      <c r="A3636" s="66">
        <v>46050.705942175926</v>
      </c>
      <c r="B3636" s="49" t="s">
        <v>10376</v>
      </c>
    </row>
    <row r="3637" spans="1:2">
      <c r="A3637" s="66">
        <v>46050.705945590278</v>
      </c>
      <c r="B3637" s="49" t="s">
        <v>9191</v>
      </c>
    </row>
    <row r="3638" spans="1:2">
      <c r="A3638" s="66">
        <v>46050.706610497684</v>
      </c>
      <c r="B3638" s="49" t="s">
        <v>10377</v>
      </c>
    </row>
    <row r="3639" spans="1:2">
      <c r="A3639" s="66">
        <v>46050.706616550931</v>
      </c>
      <c r="B3639" s="49" t="s">
        <v>9966</v>
      </c>
    </row>
    <row r="3640" spans="1:2">
      <c r="A3640" s="66">
        <v>46050.706622488426</v>
      </c>
      <c r="B3640" s="49" t="s">
        <v>9078</v>
      </c>
    </row>
    <row r="3641" spans="1:2">
      <c r="A3641" s="66">
        <v>46050.706649988424</v>
      </c>
      <c r="B3641" s="49" t="s">
        <v>10376</v>
      </c>
    </row>
    <row r="3642" spans="1:2">
      <c r="A3642" s="66">
        <v>46050.70665310185</v>
      </c>
      <c r="B3642" s="49" t="s">
        <v>9191</v>
      </c>
    </row>
    <row r="3643" spans="1:2">
      <c r="A3643" s="66">
        <v>46051.218106342596</v>
      </c>
      <c r="B3643" s="49" t="s">
        <v>10378</v>
      </c>
    </row>
    <row r="3644" spans="1:2">
      <c r="A3644" s="66">
        <v>46051.21813681713</v>
      </c>
      <c r="B3644" s="49" t="s">
        <v>9073</v>
      </c>
    </row>
    <row r="3645" spans="1:2">
      <c r="A3645" s="66">
        <v>46051.218142280093</v>
      </c>
      <c r="B3645" s="49" t="s">
        <v>9074</v>
      </c>
    </row>
    <row r="3646" spans="1:2">
      <c r="A3646" s="66">
        <v>46051.218144259255</v>
      </c>
      <c r="B3646" s="49" t="s">
        <v>9191</v>
      </c>
    </row>
    <row r="3647" spans="1:2">
      <c r="A3647" s="66">
        <v>46051.253238993057</v>
      </c>
      <c r="B3647" s="49" t="s">
        <v>10379</v>
      </c>
    </row>
    <row r="3648" spans="1:2">
      <c r="A3648" s="66">
        <v>46051.253242916668</v>
      </c>
      <c r="B3648" s="49" t="s">
        <v>9482</v>
      </c>
    </row>
    <row r="3649" spans="1:2">
      <c r="A3649" s="66">
        <v>46051.253246238426</v>
      </c>
      <c r="B3649" s="49" t="s">
        <v>9078</v>
      </c>
    </row>
    <row r="3650" spans="1:2">
      <c r="A3650" s="66">
        <v>46051.253266828702</v>
      </c>
      <c r="B3650" s="49" t="s">
        <v>9484</v>
      </c>
    </row>
    <row r="3651" spans="1:2">
      <c r="A3651" s="66">
        <v>46051.253268819448</v>
      </c>
      <c r="B3651" s="49" t="s">
        <v>9191</v>
      </c>
    </row>
    <row r="3652" spans="1:2">
      <c r="A3652" s="66">
        <v>46051.317404699075</v>
      </c>
      <c r="B3652" s="49"/>
    </row>
    <row r="3653" spans="1:2">
      <c r="A3653" s="66">
        <v>46051.317570543979</v>
      </c>
      <c r="B3653" s="49"/>
    </row>
    <row r="3654" spans="1:2">
      <c r="A3654" s="66">
        <v>46051.368295879627</v>
      </c>
      <c r="B3654" s="49"/>
    </row>
    <row r="3655" spans="1:2">
      <c r="A3655" s="66">
        <v>46051.38844811343</v>
      </c>
      <c r="B3655" s="49" t="s">
        <v>10380</v>
      </c>
    </row>
    <row r="3656" spans="1:2">
      <c r="A3656" s="66">
        <v>46051.388454687505</v>
      </c>
      <c r="B3656" s="49" t="s">
        <v>10381</v>
      </c>
    </row>
    <row r="3657" spans="1:2">
      <c r="A3657" s="66">
        <v>46051.388470300924</v>
      </c>
      <c r="B3657" s="49" t="s">
        <v>9078</v>
      </c>
    </row>
    <row r="3658" spans="1:2">
      <c r="A3658" s="66">
        <v>46051.388498854169</v>
      </c>
      <c r="B3658" s="49" t="s">
        <v>10382</v>
      </c>
    </row>
    <row r="3659" spans="1:2">
      <c r="A3659" s="66">
        <v>46051.388507291667</v>
      </c>
      <c r="B3659" s="49" t="s">
        <v>10383</v>
      </c>
    </row>
    <row r="3660" spans="1:2">
      <c r="A3660" s="66">
        <v>46051.388510532408</v>
      </c>
      <c r="B3660" s="49" t="s">
        <v>9191</v>
      </c>
    </row>
    <row r="3661" spans="1:2">
      <c r="A3661" s="66">
        <v>46051.446417129628</v>
      </c>
      <c r="B3661" s="49"/>
    </row>
    <row r="3662" spans="1:2">
      <c r="A3662" s="66">
        <v>46051.700427233794</v>
      </c>
      <c r="B3662" s="49" t="s">
        <v>10384</v>
      </c>
    </row>
    <row r="3663" spans="1:2">
      <c r="A3663" s="66">
        <v>46051.700434375001</v>
      </c>
      <c r="B3663" s="49" t="s">
        <v>10385</v>
      </c>
    </row>
    <row r="3664" spans="1:2">
      <c r="A3664" s="66">
        <v>46051.700454247686</v>
      </c>
      <c r="B3664" s="49" t="s">
        <v>9078</v>
      </c>
    </row>
    <row r="3665" spans="1:2">
      <c r="A3665" s="66">
        <v>46051.700490717594</v>
      </c>
      <c r="B3665" s="49" t="s">
        <v>10386</v>
      </c>
    </row>
    <row r="3666" spans="1:2">
      <c r="A3666" s="66">
        <v>46051.70049920139</v>
      </c>
      <c r="B3666" s="49" t="s">
        <v>10387</v>
      </c>
    </row>
    <row r="3667" spans="1:2">
      <c r="A3667" s="66">
        <v>46051.700502430554</v>
      </c>
      <c r="B3667" s="49" t="s">
        <v>9191</v>
      </c>
    </row>
    <row r="3668" spans="1:2">
      <c r="A3668" s="66">
        <v>46051.756982638894</v>
      </c>
      <c r="B3668" s="49" t="s">
        <v>10388</v>
      </c>
    </row>
    <row r="3669" spans="1:2">
      <c r="A3669" s="66">
        <v>46051.756986527776</v>
      </c>
      <c r="B3669" s="49" t="s">
        <v>10389</v>
      </c>
    </row>
    <row r="3670" spans="1:2">
      <c r="A3670" s="66">
        <v>46051.756989814814</v>
      </c>
      <c r="B3670" s="49" t="s">
        <v>9078</v>
      </c>
    </row>
    <row r="3671" spans="1:2">
      <c r="A3671" s="66">
        <v>46051.757028310181</v>
      </c>
      <c r="B3671" s="49" t="s">
        <v>10390</v>
      </c>
    </row>
    <row r="3672" spans="1:2">
      <c r="A3672" s="66">
        <v>46051.757034826383</v>
      </c>
      <c r="B3672" s="49" t="s">
        <v>10391</v>
      </c>
    </row>
    <row r="3673" spans="1:2">
      <c r="A3673" s="66">
        <v>46051.757036527779</v>
      </c>
      <c r="B3673" s="49" t="s">
        <v>9191</v>
      </c>
    </row>
    <row r="3674" spans="1:2">
      <c r="A3674" s="66">
        <v>46052.229093611109</v>
      </c>
      <c r="B3674" s="49" t="s">
        <v>10392</v>
      </c>
    </row>
    <row r="3675" spans="1:2">
      <c r="A3675" s="66">
        <v>46052.229134155088</v>
      </c>
      <c r="B3675" s="49" t="s">
        <v>9073</v>
      </c>
    </row>
    <row r="3676" spans="1:2">
      <c r="A3676" s="66">
        <v>46052.229140960648</v>
      </c>
      <c r="B3676" s="49" t="s">
        <v>9074</v>
      </c>
    </row>
    <row r="3677" spans="1:2">
      <c r="A3677" s="66">
        <v>46052.229143703706</v>
      </c>
      <c r="B3677" s="49" t="s">
        <v>9191</v>
      </c>
    </row>
    <row r="3678" spans="1:2">
      <c r="A3678" s="66">
        <v>46052.296067569448</v>
      </c>
      <c r="B3678" s="49"/>
    </row>
    <row r="3679" spans="1:2">
      <c r="A3679" s="66">
        <v>46052.354304201392</v>
      </c>
      <c r="B3679" s="49"/>
    </row>
    <row r="3680" spans="1:2">
      <c r="A3680" s="66">
        <v>46052.36723207176</v>
      </c>
      <c r="B3680" s="49"/>
    </row>
    <row r="3681" spans="1:2">
      <c r="A3681" s="66">
        <v>46052.36725171296</v>
      </c>
      <c r="B3681" s="49"/>
    </row>
    <row r="3682" spans="1:2">
      <c r="A3682" s="66">
        <v>46052.36825349537</v>
      </c>
      <c r="B3682" s="49"/>
    </row>
    <row r="3683" spans="1:2">
      <c r="A3683" s="66">
        <v>46053.334429131944</v>
      </c>
      <c r="B3683" s="49"/>
    </row>
    <row r="3684" spans="1:2">
      <c r="A3684" s="66">
        <v>46053.34657086806</v>
      </c>
      <c r="B3684" s="49"/>
    </row>
    <row r="3685" spans="1:2">
      <c r="A3685" s="66">
        <v>46054.413520543982</v>
      </c>
      <c r="B3685" s="49" t="s">
        <v>10393</v>
      </c>
    </row>
    <row r="3686" spans="1:2">
      <c r="A3686" s="66">
        <v>46054.413528217592</v>
      </c>
      <c r="B3686" s="49" t="s">
        <v>9560</v>
      </c>
    </row>
    <row r="3687" spans="1:2">
      <c r="A3687" s="66">
        <v>46054.413547766206</v>
      </c>
      <c r="B3687" s="49" t="s">
        <v>9078</v>
      </c>
    </row>
    <row r="3688" spans="1:2">
      <c r="A3688" s="66">
        <v>46054.413561134264</v>
      </c>
      <c r="B3688" s="49" t="s">
        <v>9561</v>
      </c>
    </row>
    <row r="3689" spans="1:2">
      <c r="A3689" s="66">
        <v>46054.413563900467</v>
      </c>
      <c r="B3689" s="49" t="s">
        <v>9191</v>
      </c>
    </row>
    <row r="3690" spans="1:2">
      <c r="A3690" s="66">
        <v>46054.426326284723</v>
      </c>
      <c r="B3690" s="49" t="s">
        <v>10394</v>
      </c>
    </row>
    <row r="3691" spans="1:2">
      <c r="A3691" s="66">
        <v>46054.426333553245</v>
      </c>
      <c r="B3691" s="49" t="s">
        <v>9486</v>
      </c>
    </row>
    <row r="3692" spans="1:2">
      <c r="A3692" s="66">
        <v>46054.426354374998</v>
      </c>
      <c r="B3692" s="49" t="s">
        <v>9078</v>
      </c>
    </row>
    <row r="3693" spans="1:2">
      <c r="A3693" s="66">
        <v>46054.426374965275</v>
      </c>
      <c r="B3693" s="49" t="s">
        <v>9487</v>
      </c>
    </row>
    <row r="3694" spans="1:2">
      <c r="A3694" s="66">
        <v>46054.426379421297</v>
      </c>
      <c r="B3694" s="49" t="s">
        <v>9191</v>
      </c>
    </row>
    <row r="3695" spans="1:2">
      <c r="A3695" s="66">
        <v>46054.686109884264</v>
      </c>
      <c r="B3695" s="49" t="s">
        <v>10395</v>
      </c>
    </row>
    <row r="3696" spans="1:2">
      <c r="A3696" s="66">
        <v>46054.686119027778</v>
      </c>
      <c r="B3696" s="49" t="s">
        <v>10396</v>
      </c>
    </row>
    <row r="3697" spans="1:2">
      <c r="A3697" s="66">
        <v>46054.686138263889</v>
      </c>
      <c r="B3697" s="49" t="s">
        <v>9078</v>
      </c>
    </row>
    <row r="3698" spans="1:2">
      <c r="A3698" s="66">
        <v>46054.686177800926</v>
      </c>
      <c r="B3698" s="49" t="s">
        <v>10397</v>
      </c>
    </row>
    <row r="3699" spans="1:2">
      <c r="A3699" s="66">
        <v>46054.686187546293</v>
      </c>
      <c r="B3699" s="49" t="s">
        <v>10398</v>
      </c>
    </row>
    <row r="3700" spans="1:2">
      <c r="A3700" s="66">
        <v>46054.686191180561</v>
      </c>
      <c r="B3700" s="49" t="s">
        <v>9191</v>
      </c>
    </row>
    <row r="3701" spans="1:2">
      <c r="A3701" s="66">
        <v>46054.697057037032</v>
      </c>
      <c r="B3701" s="49" t="s">
        <v>10399</v>
      </c>
    </row>
    <row r="3702" spans="1:2">
      <c r="A3702" s="66">
        <v>46054.697065844906</v>
      </c>
      <c r="B3702" s="49" t="s">
        <v>9318</v>
      </c>
    </row>
    <row r="3703" spans="1:2">
      <c r="A3703" s="66">
        <v>46054.697086458335</v>
      </c>
      <c r="B3703" s="49" t="s">
        <v>9078</v>
      </c>
    </row>
    <row r="3704" spans="1:2">
      <c r="A3704" s="66">
        <v>46054.697104120365</v>
      </c>
      <c r="B3704" s="49" t="s">
        <v>9767</v>
      </c>
    </row>
    <row r="3705" spans="1:2">
      <c r="A3705" s="66">
        <v>46054.697107314816</v>
      </c>
      <c r="B3705" s="49" t="s">
        <v>9191</v>
      </c>
    </row>
    <row r="3706" spans="1:2">
      <c r="A3706" s="66">
        <v>46055.271194479166</v>
      </c>
      <c r="B3706" s="49" t="s">
        <v>10400</v>
      </c>
    </row>
    <row r="3707" spans="1:2">
      <c r="A3707" s="66">
        <v>46055.271201666663</v>
      </c>
      <c r="B3707" s="49" t="s">
        <v>10401</v>
      </c>
    </row>
    <row r="3708" spans="1:2">
      <c r="A3708" s="66">
        <v>46055.27120664352</v>
      </c>
      <c r="B3708" s="49" t="s">
        <v>9078</v>
      </c>
    </row>
    <row r="3709" spans="1:2">
      <c r="A3709" s="66">
        <v>46055.271236747685</v>
      </c>
      <c r="B3709" s="49" t="s">
        <v>10402</v>
      </c>
    </row>
    <row r="3710" spans="1:2">
      <c r="A3710" s="66">
        <v>46055.271239201393</v>
      </c>
      <c r="B3710" s="49" t="s">
        <v>9191</v>
      </c>
    </row>
    <row r="3711" spans="1:2">
      <c r="A3711" s="66">
        <v>46055.273539618051</v>
      </c>
      <c r="B3711" s="49" t="s">
        <v>10403</v>
      </c>
    </row>
    <row r="3712" spans="1:2">
      <c r="A3712" s="66">
        <v>46055.273570150464</v>
      </c>
      <c r="B3712" s="49" t="s">
        <v>9073</v>
      </c>
    </row>
    <row r="3713" spans="1:2">
      <c r="A3713" s="66">
        <v>46055.273576550928</v>
      </c>
      <c r="B3713" s="49" t="s">
        <v>9074</v>
      </c>
    </row>
    <row r="3714" spans="1:2">
      <c r="A3714" s="66">
        <v>46055.273580046298</v>
      </c>
      <c r="B3714" s="49" t="s">
        <v>9191</v>
      </c>
    </row>
    <row r="3715" spans="1:2">
      <c r="A3715" s="66">
        <v>46055.3012121875</v>
      </c>
      <c r="B3715" s="49" t="s">
        <v>10404</v>
      </c>
    </row>
    <row r="3716" spans="1:2">
      <c r="A3716" s="66">
        <v>46055.301249224533</v>
      </c>
      <c r="B3716" s="49" t="s">
        <v>9073</v>
      </c>
    </row>
    <row r="3717" spans="1:2">
      <c r="A3717" s="66">
        <v>46055.301254224541</v>
      </c>
      <c r="B3717" s="49" t="s">
        <v>9074</v>
      </c>
    </row>
    <row r="3718" spans="1:2">
      <c r="A3718" s="66">
        <v>46055.301256724539</v>
      </c>
      <c r="B3718" s="49" t="s">
        <v>9191</v>
      </c>
    </row>
    <row r="3719" spans="1:2">
      <c r="A3719" s="66">
        <v>46055.311091412033</v>
      </c>
      <c r="B3719" s="49"/>
    </row>
    <row r="3720" spans="1:2">
      <c r="A3720" s="66">
        <v>46055.367074444446</v>
      </c>
      <c r="B3720" s="49"/>
    </row>
    <row r="3721" spans="1:2">
      <c r="A3721" s="66">
        <v>46055.367833958335</v>
      </c>
      <c r="B3721" s="49" t="s">
        <v>10405</v>
      </c>
    </row>
    <row r="3722" spans="1:2">
      <c r="A3722" s="66">
        <v>46055.367842037042</v>
      </c>
      <c r="B3722" s="49" t="s">
        <v>9575</v>
      </c>
    </row>
    <row r="3723" spans="1:2">
      <c r="A3723" s="66">
        <v>46055.367852800926</v>
      </c>
      <c r="B3723" s="49" t="s">
        <v>9078</v>
      </c>
    </row>
    <row r="3724" spans="1:2">
      <c r="A3724" s="66">
        <v>46055.367882268518</v>
      </c>
      <c r="B3724" s="49" t="s">
        <v>9576</v>
      </c>
    </row>
    <row r="3725" spans="1:2">
      <c r="A3725" s="66">
        <v>46055.367888692126</v>
      </c>
      <c r="B3725" s="49" t="s">
        <v>10406</v>
      </c>
    </row>
    <row r="3726" spans="1:2">
      <c r="A3726" s="66">
        <v>46055.367894201394</v>
      </c>
      <c r="B3726" s="49" t="s">
        <v>9191</v>
      </c>
    </row>
    <row r="3727" spans="1:2">
      <c r="A3727" s="66">
        <v>46055.380591168985</v>
      </c>
      <c r="B3727" s="49"/>
    </row>
    <row r="3728" spans="1:2">
      <c r="A3728" s="66">
        <v>46055.433645694444</v>
      </c>
      <c r="B3728" s="49" t="s">
        <v>10407</v>
      </c>
    </row>
    <row r="3729" spans="1:2">
      <c r="A3729" s="66">
        <v>46055.433660451388</v>
      </c>
      <c r="B3729" s="49" t="s">
        <v>9842</v>
      </c>
    </row>
    <row r="3730" spans="1:2">
      <c r="A3730" s="66">
        <v>46055.433666226847</v>
      </c>
      <c r="B3730" s="49" t="s">
        <v>9078</v>
      </c>
    </row>
    <row r="3731" spans="1:2">
      <c r="A3731" s="66">
        <v>46055.433715960651</v>
      </c>
      <c r="B3731" s="49" t="s">
        <v>9843</v>
      </c>
    </row>
    <row r="3732" spans="1:2">
      <c r="A3732" s="66">
        <v>46055.433722465277</v>
      </c>
      <c r="B3732" s="49" t="s">
        <v>10408</v>
      </c>
    </row>
    <row r="3733" spans="1:2">
      <c r="A3733" s="66">
        <v>46055.433725138893</v>
      </c>
      <c r="B3733" s="49" t="s">
        <v>9191</v>
      </c>
    </row>
    <row r="3734" spans="1:2">
      <c r="A3734" s="66">
        <v>46055.998118738426</v>
      </c>
      <c r="B3734" s="49" t="s">
        <v>10409</v>
      </c>
    </row>
    <row r="3735" spans="1:2">
      <c r="A3735" s="66">
        <v>46055.998125405094</v>
      </c>
      <c r="B3735" s="49" t="s">
        <v>9449</v>
      </c>
    </row>
    <row r="3736" spans="1:2">
      <c r="A3736" s="66">
        <v>46055.998151666667</v>
      </c>
      <c r="B3736" s="49" t="s">
        <v>9078</v>
      </c>
    </row>
    <row r="3737" spans="1:2">
      <c r="A3737" s="66">
        <v>46055.998175150467</v>
      </c>
      <c r="B3737" s="49" t="s">
        <v>9450</v>
      </c>
    </row>
    <row r="3738" spans="1:2">
      <c r="A3738" s="66">
        <v>46055.998177997681</v>
      </c>
      <c r="B3738" s="49" t="s">
        <v>9191</v>
      </c>
    </row>
    <row r="3739" spans="1:2">
      <c r="A3739" s="66">
        <v>46056.239887974538</v>
      </c>
      <c r="B3739" s="49" t="s">
        <v>10410</v>
      </c>
    </row>
    <row r="3740" spans="1:2">
      <c r="A3740" s="66">
        <v>46056.239928923613</v>
      </c>
      <c r="B3740" s="49" t="s">
        <v>9073</v>
      </c>
    </row>
    <row r="3741" spans="1:2">
      <c r="A3741" s="66">
        <v>46056.239934050929</v>
      </c>
      <c r="B3741" s="49" t="s">
        <v>9074</v>
      </c>
    </row>
    <row r="3742" spans="1:2">
      <c r="A3742" s="66">
        <v>46056.239936979167</v>
      </c>
      <c r="B3742" s="49" t="s">
        <v>9191</v>
      </c>
    </row>
    <row r="3743" spans="1:2">
      <c r="A3743" s="66">
        <v>46056.258971030096</v>
      </c>
      <c r="B3743" s="49" t="s">
        <v>10411</v>
      </c>
    </row>
    <row r="3744" spans="1:2">
      <c r="A3744" s="66">
        <v>46056.259016377313</v>
      </c>
      <c r="B3744" s="49" t="s">
        <v>9073</v>
      </c>
    </row>
    <row r="3745" spans="1:2">
      <c r="A3745" s="66">
        <v>46056.25902513889</v>
      </c>
      <c r="B3745" s="49" t="s">
        <v>9074</v>
      </c>
    </row>
    <row r="3746" spans="1:2">
      <c r="A3746" s="66">
        <v>46056.259028807872</v>
      </c>
      <c r="B3746" s="49" t="s">
        <v>9191</v>
      </c>
    </row>
    <row r="3747" spans="1:2">
      <c r="A3747" s="66">
        <v>46056.259444988427</v>
      </c>
      <c r="B3747" s="49" t="s">
        <v>10412</v>
      </c>
    </row>
    <row r="3748" spans="1:2">
      <c r="A3748" s="66">
        <v>46056.259450625003</v>
      </c>
      <c r="B3748" s="49" t="s">
        <v>9813</v>
      </c>
    </row>
    <row r="3749" spans="1:2">
      <c r="A3749" s="66">
        <v>46056.259455740743</v>
      </c>
      <c r="B3749" s="49" t="s">
        <v>9078</v>
      </c>
    </row>
    <row r="3750" spans="1:2">
      <c r="A3750" s="66">
        <v>46056.259470787038</v>
      </c>
      <c r="B3750" s="49" t="s">
        <v>9814</v>
      </c>
    </row>
    <row r="3751" spans="1:2">
      <c r="A3751" s="66">
        <v>46056.259473564816</v>
      </c>
      <c r="B3751" s="49" t="s">
        <v>9191</v>
      </c>
    </row>
    <row r="3752" spans="1:2">
      <c r="A3752" s="66">
        <v>46056.259632951391</v>
      </c>
      <c r="B3752" s="49" t="s">
        <v>10413</v>
      </c>
    </row>
    <row r="3753" spans="1:2">
      <c r="A3753" s="66">
        <v>46056.259645752318</v>
      </c>
      <c r="B3753" s="49" t="s">
        <v>10414</v>
      </c>
    </row>
    <row r="3754" spans="1:2">
      <c r="A3754" s="66">
        <v>46056.259651030094</v>
      </c>
      <c r="B3754" s="49" t="s">
        <v>9078</v>
      </c>
    </row>
    <row r="3755" spans="1:2">
      <c r="A3755" s="66">
        <v>46056.259685925921</v>
      </c>
      <c r="B3755" s="49" t="s">
        <v>10415</v>
      </c>
    </row>
    <row r="3756" spans="1:2">
      <c r="A3756" s="66">
        <v>46056.259692453707</v>
      </c>
      <c r="B3756" s="49" t="s">
        <v>10416</v>
      </c>
    </row>
    <row r="3757" spans="1:2">
      <c r="A3757" s="66">
        <v>46056.259695162036</v>
      </c>
      <c r="B3757" s="49" t="s">
        <v>9191</v>
      </c>
    </row>
    <row r="3758" spans="1:2">
      <c r="A3758" s="66">
        <v>46056.259843622684</v>
      </c>
      <c r="B3758" s="49" t="s">
        <v>10417</v>
      </c>
    </row>
    <row r="3759" spans="1:2">
      <c r="A3759" s="66">
        <v>46056.259849548616</v>
      </c>
      <c r="B3759" s="49" t="s">
        <v>9191</v>
      </c>
    </row>
    <row r="3760" spans="1:2">
      <c r="A3760" s="66">
        <v>46056.260229594904</v>
      </c>
      <c r="B3760" s="49" t="s">
        <v>10418</v>
      </c>
    </row>
    <row r="3761" spans="1:2">
      <c r="A3761" s="66">
        <v>46056.260241099539</v>
      </c>
      <c r="B3761" s="49" t="s">
        <v>9509</v>
      </c>
    </row>
    <row r="3762" spans="1:2">
      <c r="A3762" s="66">
        <v>46056.260248958337</v>
      </c>
      <c r="B3762" s="49" t="s">
        <v>9078</v>
      </c>
    </row>
    <row r="3763" spans="1:2">
      <c r="A3763" s="66">
        <v>46056.26029046296</v>
      </c>
      <c r="B3763" s="49" t="s">
        <v>10056</v>
      </c>
    </row>
    <row r="3764" spans="1:2">
      <c r="A3764" s="66">
        <v>46056.260293553241</v>
      </c>
      <c r="B3764" s="49" t="s">
        <v>9191</v>
      </c>
    </row>
    <row r="3765" spans="1:2">
      <c r="A3765" s="66">
        <v>46056.261649942127</v>
      </c>
      <c r="B3765" s="49" t="s">
        <v>10419</v>
      </c>
    </row>
    <row r="3766" spans="1:2">
      <c r="A3766" s="66">
        <v>46056.261656006944</v>
      </c>
      <c r="B3766" s="49" t="s">
        <v>10420</v>
      </c>
    </row>
    <row r="3767" spans="1:2">
      <c r="A3767" s="66">
        <v>46056.261661354161</v>
      </c>
      <c r="B3767" s="49" t="s">
        <v>9078</v>
      </c>
    </row>
    <row r="3768" spans="1:2">
      <c r="A3768" s="66">
        <v>46056.261680370371</v>
      </c>
      <c r="B3768" s="49" t="s">
        <v>9989</v>
      </c>
    </row>
    <row r="3769" spans="1:2">
      <c r="A3769" s="66">
        <v>46056.261683391203</v>
      </c>
      <c r="B3769" s="49" t="s">
        <v>9191</v>
      </c>
    </row>
    <row r="3770" spans="1:2">
      <c r="A3770" s="66">
        <v>46056.263273495366</v>
      </c>
      <c r="B3770" s="49" t="s">
        <v>10421</v>
      </c>
    </row>
    <row r="3771" spans="1:2">
      <c r="A3771" s="66">
        <v>46056.263280173611</v>
      </c>
      <c r="B3771" s="49" t="s">
        <v>10290</v>
      </c>
    </row>
    <row r="3772" spans="1:2">
      <c r="A3772" s="66">
        <v>46056.263285821755</v>
      </c>
      <c r="B3772" s="49" t="s">
        <v>9078</v>
      </c>
    </row>
    <row r="3773" spans="1:2">
      <c r="A3773" s="66">
        <v>46056.263308402777</v>
      </c>
      <c r="B3773" s="49" t="s">
        <v>10291</v>
      </c>
    </row>
    <row r="3774" spans="1:2">
      <c r="A3774" s="66">
        <v>46056.263311435185</v>
      </c>
      <c r="B3774" s="49" t="s">
        <v>9191</v>
      </c>
    </row>
    <row r="3775" spans="1:2">
      <c r="A3775" s="66">
        <v>46056.34975415509</v>
      </c>
      <c r="B3775" s="49" t="s">
        <v>10422</v>
      </c>
    </row>
    <row r="3776" spans="1:2">
      <c r="A3776" s="66">
        <v>46056.349764537037</v>
      </c>
      <c r="B3776" s="49" t="s">
        <v>9449</v>
      </c>
    </row>
    <row r="3777" spans="1:2">
      <c r="A3777" s="66">
        <v>46056.349781249999</v>
      </c>
      <c r="B3777" s="49" t="s">
        <v>9078</v>
      </c>
    </row>
    <row r="3778" spans="1:2">
      <c r="A3778" s="66">
        <v>46056.349803518518</v>
      </c>
      <c r="B3778" s="49" t="s">
        <v>9450</v>
      </c>
    </row>
    <row r="3779" spans="1:2">
      <c r="A3779" s="66">
        <v>46056.349807256949</v>
      </c>
      <c r="B3779" s="49" t="s">
        <v>9191</v>
      </c>
    </row>
    <row r="3780" spans="1:2">
      <c r="A3780" s="66">
        <v>46056.411048541668</v>
      </c>
      <c r="B3780" s="49" t="s">
        <v>10423</v>
      </c>
    </row>
    <row r="3781" spans="1:2">
      <c r="A3781" s="66">
        <v>46056.411057245372</v>
      </c>
      <c r="B3781" s="49" t="s">
        <v>10008</v>
      </c>
    </row>
    <row r="3782" spans="1:2">
      <c r="A3782" s="66">
        <v>46056.411084212959</v>
      </c>
      <c r="B3782" s="49" t="s">
        <v>9078</v>
      </c>
    </row>
    <row r="3783" spans="1:2">
      <c r="A3783" s="66">
        <v>46056.411112476853</v>
      </c>
      <c r="B3783" s="49" t="s">
        <v>10203</v>
      </c>
    </row>
    <row r="3784" spans="1:2">
      <c r="A3784" s="66">
        <v>46056.411115972223</v>
      </c>
      <c r="B3784" s="49" t="s">
        <v>9191</v>
      </c>
    </row>
    <row r="3785" spans="1:2">
      <c r="A3785" s="66">
        <v>46057.240655636575</v>
      </c>
      <c r="B3785" s="49" t="s">
        <v>10424</v>
      </c>
    </row>
    <row r="3786" spans="1:2">
      <c r="A3786" s="66">
        <v>46057.240661250005</v>
      </c>
      <c r="B3786" s="49" t="s">
        <v>9084</v>
      </c>
    </row>
    <row r="3787" spans="1:2">
      <c r="A3787" s="66">
        <v>46057.240679050927</v>
      </c>
      <c r="B3787" s="49" t="s">
        <v>9078</v>
      </c>
    </row>
    <row r="3788" spans="1:2">
      <c r="A3788" s="66">
        <v>46057.240700196759</v>
      </c>
      <c r="B3788" s="49" t="s">
        <v>9403</v>
      </c>
    </row>
    <row r="3789" spans="1:2">
      <c r="A3789" s="66">
        <v>46057.240703101852</v>
      </c>
      <c r="B3789" s="49" t="s">
        <v>9191</v>
      </c>
    </row>
    <row r="3790" spans="1:2">
      <c r="A3790" s="66">
        <v>46057.241011273145</v>
      </c>
      <c r="B3790" s="49" t="s">
        <v>10425</v>
      </c>
    </row>
    <row r="3791" spans="1:2">
      <c r="A3791" s="66">
        <v>46057.241036203704</v>
      </c>
      <c r="B3791" s="49" t="s">
        <v>9073</v>
      </c>
    </row>
    <row r="3792" spans="1:2">
      <c r="A3792" s="66">
        <v>46057.241041539353</v>
      </c>
      <c r="B3792" s="49" t="s">
        <v>9074</v>
      </c>
    </row>
    <row r="3793" spans="1:2">
      <c r="A3793" s="66">
        <v>46057.241044363429</v>
      </c>
      <c r="B3793" s="49" t="s">
        <v>9191</v>
      </c>
    </row>
    <row r="3794" spans="1:2">
      <c r="A3794" s="66">
        <v>46057.259763587965</v>
      </c>
      <c r="B3794" s="49" t="s">
        <v>10426</v>
      </c>
    </row>
    <row r="3795" spans="1:2">
      <c r="A3795" s="66">
        <v>46057.259823391199</v>
      </c>
      <c r="B3795" s="49" t="s">
        <v>9073</v>
      </c>
    </row>
    <row r="3796" spans="1:2">
      <c r="A3796" s="66">
        <v>46057.259828773153</v>
      </c>
      <c r="B3796" s="49" t="s">
        <v>9074</v>
      </c>
    </row>
    <row r="3797" spans="1:2">
      <c r="A3797" s="66">
        <v>46057.25983505787</v>
      </c>
      <c r="B3797" s="49" t="s">
        <v>9191</v>
      </c>
    </row>
    <row r="3798" spans="1:2">
      <c r="A3798" s="66">
        <v>46057.328217071758</v>
      </c>
      <c r="B3798" s="49"/>
    </row>
    <row r="3799" spans="1:2">
      <c r="A3799" s="66">
        <v>46057.610705775463</v>
      </c>
      <c r="B3799" s="49" t="s">
        <v>10427</v>
      </c>
    </row>
    <row r="3800" spans="1:2">
      <c r="A3800" s="66">
        <v>46057.610718692129</v>
      </c>
      <c r="B3800" s="49" t="s">
        <v>10428</v>
      </c>
    </row>
    <row r="3801" spans="1:2">
      <c r="A3801" s="66">
        <v>46057.610723113423</v>
      </c>
      <c r="B3801" s="49" t="s">
        <v>9078</v>
      </c>
    </row>
    <row r="3802" spans="1:2">
      <c r="A3802" s="66">
        <v>46057.61076703704</v>
      </c>
      <c r="B3802" s="49" t="s">
        <v>10429</v>
      </c>
    </row>
    <row r="3803" spans="1:2">
      <c r="A3803" s="66">
        <v>46057.610773761575</v>
      </c>
      <c r="B3803" s="49" t="s">
        <v>10430</v>
      </c>
    </row>
    <row r="3804" spans="1:2">
      <c r="A3804" s="66">
        <v>46057.610776041663</v>
      </c>
      <c r="B3804" s="49" t="s">
        <v>9191</v>
      </c>
    </row>
    <row r="3805" spans="1:2">
      <c r="A3805" s="66">
        <v>46058.316921898149</v>
      </c>
      <c r="B3805" s="49" t="s">
        <v>10431</v>
      </c>
    </row>
    <row r="3806" spans="1:2">
      <c r="A3806" s="66">
        <v>46058.316927071763</v>
      </c>
      <c r="B3806" s="49" t="s">
        <v>10432</v>
      </c>
    </row>
    <row r="3807" spans="1:2">
      <c r="A3807" s="66">
        <v>46058.316932476853</v>
      </c>
      <c r="B3807" s="49" t="s">
        <v>9078</v>
      </c>
    </row>
    <row r="3808" spans="1:2">
      <c r="A3808" s="66">
        <v>46058.316968333333</v>
      </c>
      <c r="B3808" s="49" t="s">
        <v>10433</v>
      </c>
    </row>
    <row r="3809" spans="1:2">
      <c r="A3809" s="66">
        <v>46058.316974699075</v>
      </c>
      <c r="B3809" s="49" t="s">
        <v>10434</v>
      </c>
    </row>
    <row r="3810" spans="1:2">
      <c r="A3810" s="66">
        <v>46058.316977395836</v>
      </c>
      <c r="B3810" s="49" t="s">
        <v>9191</v>
      </c>
    </row>
    <row r="3811" spans="1:2">
      <c r="A3811" s="66">
        <v>46058.422081944445</v>
      </c>
      <c r="B3811" s="49"/>
    </row>
    <row r="3812" spans="1:2">
      <c r="A3812" s="66">
        <v>46058.536487002319</v>
      </c>
      <c r="B3812" s="49" t="s">
        <v>10435</v>
      </c>
    </row>
    <row r="3813" spans="1:2">
      <c r="A3813" s="66">
        <v>46058.53649377315</v>
      </c>
      <c r="B3813" s="49" t="s">
        <v>10093</v>
      </c>
    </row>
    <row r="3814" spans="1:2">
      <c r="A3814" s="66">
        <v>46058.536499791662</v>
      </c>
      <c r="B3814" s="49" t="s">
        <v>9078</v>
      </c>
    </row>
    <row r="3815" spans="1:2">
      <c r="A3815" s="66">
        <v>46058.536526342592</v>
      </c>
      <c r="B3815" s="49" t="s">
        <v>10322</v>
      </c>
    </row>
    <row r="3816" spans="1:2">
      <c r="A3816" s="66">
        <v>46058.536531215279</v>
      </c>
      <c r="B3816" s="49" t="s">
        <v>9191</v>
      </c>
    </row>
    <row r="3817" spans="1:2">
      <c r="A3817" s="66">
        <v>46058.570805393523</v>
      </c>
      <c r="B3817" s="49" t="s">
        <v>10436</v>
      </c>
    </row>
    <row r="3818" spans="1:2">
      <c r="A3818" s="66">
        <v>46058.57081931713</v>
      </c>
      <c r="B3818" s="49" t="s">
        <v>9244</v>
      </c>
    </row>
    <row r="3819" spans="1:2">
      <c r="A3819" s="66">
        <v>46058.570844780093</v>
      </c>
      <c r="B3819" s="49" t="s">
        <v>9078</v>
      </c>
    </row>
    <row r="3820" spans="1:2">
      <c r="A3820" s="66">
        <v>46058.570873078701</v>
      </c>
      <c r="B3820" s="49" t="s">
        <v>10437</v>
      </c>
    </row>
    <row r="3821" spans="1:2">
      <c r="A3821" s="66">
        <v>46058.570879189814</v>
      </c>
      <c r="B3821" s="49" t="s">
        <v>9191</v>
      </c>
    </row>
    <row r="3822" spans="1:2">
      <c r="A3822" s="66">
        <v>46058.690295509259</v>
      </c>
      <c r="B3822" s="49" t="s">
        <v>10438</v>
      </c>
    </row>
    <row r="3823" spans="1:2">
      <c r="A3823" s="66">
        <v>46058.69030357639</v>
      </c>
      <c r="B3823" s="49" t="s">
        <v>9369</v>
      </c>
    </row>
    <row r="3824" spans="1:2">
      <c r="A3824" s="66">
        <v>46058.690310289356</v>
      </c>
      <c r="B3824" s="49" t="s">
        <v>9078</v>
      </c>
    </row>
    <row r="3825" spans="1:2">
      <c r="A3825" s="66">
        <v>46058.690345416668</v>
      </c>
      <c r="B3825" s="49" t="s">
        <v>9370</v>
      </c>
    </row>
    <row r="3826" spans="1:2">
      <c r="A3826" s="66">
        <v>46058.690350069446</v>
      </c>
      <c r="B3826" s="49" t="s">
        <v>9191</v>
      </c>
    </row>
    <row r="3827" spans="1:2">
      <c r="A3827" s="66">
        <v>46059.25930233796</v>
      </c>
      <c r="B3827" s="49" t="s">
        <v>10439</v>
      </c>
    </row>
    <row r="3828" spans="1:2">
      <c r="A3828" s="66">
        <v>46059.259335740746</v>
      </c>
      <c r="B3828" s="49" t="s">
        <v>9073</v>
      </c>
    </row>
    <row r="3829" spans="1:2">
      <c r="A3829" s="66">
        <v>46059.259340879631</v>
      </c>
      <c r="B3829" s="49" t="s">
        <v>9074</v>
      </c>
    </row>
    <row r="3830" spans="1:2">
      <c r="A3830" s="66">
        <v>46059.259347604166</v>
      </c>
      <c r="B3830" s="49" t="s">
        <v>9191</v>
      </c>
    </row>
    <row r="3831" spans="1:2">
      <c r="A3831" s="66">
        <v>46059.410825983796</v>
      </c>
      <c r="B3831" s="49" t="s">
        <v>10440</v>
      </c>
    </row>
    <row r="3832" spans="1:2">
      <c r="A3832" s="66">
        <v>46059.410829039349</v>
      </c>
      <c r="B3832" s="49" t="s">
        <v>9739</v>
      </c>
    </row>
    <row r="3833" spans="1:2">
      <c r="A3833" s="66">
        <v>46059.410831956018</v>
      </c>
      <c r="B3833" s="49" t="s">
        <v>9078</v>
      </c>
    </row>
    <row r="3834" spans="1:2">
      <c r="A3834" s="66">
        <v>46059.410845092592</v>
      </c>
      <c r="B3834" s="49" t="s">
        <v>9740</v>
      </c>
    </row>
    <row r="3835" spans="1:2">
      <c r="A3835" s="66">
        <v>46059.410853078705</v>
      </c>
      <c r="B3835" s="49" t="s">
        <v>9191</v>
      </c>
    </row>
    <row r="3836" spans="1:2">
      <c r="A3836" s="66">
        <v>46059.4941774537</v>
      </c>
      <c r="B3836" s="49" t="s">
        <v>10441</v>
      </c>
    </row>
    <row r="3837" spans="1:2">
      <c r="A3837" s="66">
        <v>46059.494182187496</v>
      </c>
      <c r="B3837" s="49" t="s">
        <v>9434</v>
      </c>
    </row>
    <row r="3838" spans="1:2">
      <c r="A3838" s="66">
        <v>46059.49420371528</v>
      </c>
      <c r="B3838" s="49" t="s">
        <v>9078</v>
      </c>
    </row>
    <row r="3839" spans="1:2">
      <c r="A3839" s="66">
        <v>46059.494220208333</v>
      </c>
      <c r="B3839" s="49" t="s">
        <v>10105</v>
      </c>
    </row>
    <row r="3840" spans="1:2">
      <c r="A3840" s="66">
        <v>46059.49422356482</v>
      </c>
      <c r="B3840" s="49" t="s">
        <v>9191</v>
      </c>
    </row>
    <row r="3841" spans="1:2">
      <c r="A3841" s="66">
        <v>46060.244765509255</v>
      </c>
      <c r="B3841" s="49"/>
    </row>
    <row r="3842" spans="1:2">
      <c r="A3842" s="66">
        <v>46060.244905520834</v>
      </c>
      <c r="B3842" s="49"/>
    </row>
    <row r="3843" spans="1:2">
      <c r="A3843" s="66">
        <v>46060.245352662037</v>
      </c>
      <c r="B3843" s="49"/>
    </row>
    <row r="3844" spans="1:2">
      <c r="A3844" s="66">
        <v>46060.258426134256</v>
      </c>
      <c r="B3844" s="49" t="s">
        <v>10442</v>
      </c>
    </row>
    <row r="3845" spans="1:2">
      <c r="A3845" s="66">
        <v>46060.258450879628</v>
      </c>
      <c r="B3845" s="49" t="s">
        <v>9073</v>
      </c>
    </row>
    <row r="3846" spans="1:2">
      <c r="A3846" s="66">
        <v>46060.258456041665</v>
      </c>
      <c r="B3846" s="49" t="s">
        <v>9074</v>
      </c>
    </row>
    <row r="3847" spans="1:2">
      <c r="A3847" s="66">
        <v>46060.258457986114</v>
      </c>
      <c r="B3847" s="49" t="s">
        <v>9191</v>
      </c>
    </row>
    <row r="3848" spans="1:2">
      <c r="A3848" s="66">
        <v>46060.262120879634</v>
      </c>
      <c r="B3848" s="49"/>
    </row>
    <row r="3849" spans="1:2">
      <c r="A3849" s="66">
        <v>46060.271059641207</v>
      </c>
      <c r="B3849" s="49"/>
    </row>
    <row r="3850" spans="1:2">
      <c r="A3850" s="66">
        <v>46060.327565902779</v>
      </c>
      <c r="B3850" s="49" t="s">
        <v>10443</v>
      </c>
    </row>
    <row r="3851" spans="1:2">
      <c r="A3851" s="66">
        <v>46060.327573738425</v>
      </c>
      <c r="B3851" s="49" t="s">
        <v>9393</v>
      </c>
    </row>
    <row r="3852" spans="1:2">
      <c r="A3852" s="66">
        <v>46060.327580381942</v>
      </c>
      <c r="B3852" s="49" t="s">
        <v>9078</v>
      </c>
    </row>
    <row r="3853" spans="1:2">
      <c r="A3853" s="66">
        <v>46060.327605370374</v>
      </c>
      <c r="B3853" s="49" t="s">
        <v>9394</v>
      </c>
    </row>
    <row r="3854" spans="1:2">
      <c r="A3854" s="66">
        <v>46060.327608703708</v>
      </c>
      <c r="B3854" s="49" t="s">
        <v>9191</v>
      </c>
    </row>
    <row r="3855" spans="1:2">
      <c r="A3855" s="66">
        <v>46060.376551805559</v>
      </c>
      <c r="B3855" s="49" t="s">
        <v>10444</v>
      </c>
    </row>
    <row r="3856" spans="1:2">
      <c r="A3856" s="66">
        <v>46060.37655778935</v>
      </c>
      <c r="B3856" s="49" t="s">
        <v>10097</v>
      </c>
    </row>
    <row r="3857" spans="1:2">
      <c r="A3857" s="66">
        <v>46060.376562916666</v>
      </c>
      <c r="B3857" s="49" t="s">
        <v>9078</v>
      </c>
    </row>
    <row r="3858" spans="1:2">
      <c r="A3858" s="66">
        <v>46060.376589374995</v>
      </c>
      <c r="B3858" s="49" t="s">
        <v>10098</v>
      </c>
    </row>
    <row r="3859" spans="1:2">
      <c r="A3859" s="66">
        <v>46060.376592106477</v>
      </c>
      <c r="B3859" s="49" t="s">
        <v>9191</v>
      </c>
    </row>
    <row r="3860" spans="1:2">
      <c r="A3860" s="66">
        <v>46060.530923067126</v>
      </c>
      <c r="B3860" s="49" t="s">
        <v>10445</v>
      </c>
    </row>
    <row r="3861" spans="1:2">
      <c r="A3861" s="66">
        <v>46060.530928807872</v>
      </c>
      <c r="B3861" s="49" t="s">
        <v>10446</v>
      </c>
    </row>
    <row r="3862" spans="1:2">
      <c r="A3862" s="66">
        <v>46060.530934733797</v>
      </c>
      <c r="B3862" s="49" t="s">
        <v>9078</v>
      </c>
    </row>
    <row r="3863" spans="1:2">
      <c r="A3863" s="66">
        <v>46060.530977523144</v>
      </c>
      <c r="B3863" s="49" t="s">
        <v>10447</v>
      </c>
    </row>
    <row r="3864" spans="1:2">
      <c r="A3864" s="66">
        <v>46060.53098358796</v>
      </c>
      <c r="B3864" s="49" t="s">
        <v>10448</v>
      </c>
    </row>
    <row r="3865" spans="1:2">
      <c r="A3865" s="66">
        <v>46060.53098546296</v>
      </c>
      <c r="B3865" s="49" t="s">
        <v>9191</v>
      </c>
    </row>
    <row r="3866" spans="1:2">
      <c r="A3866" s="66">
        <v>46061.242021203703</v>
      </c>
      <c r="B3866" s="49" t="s">
        <v>10449</v>
      </c>
    </row>
    <row r="3867" spans="1:2">
      <c r="A3867" s="66">
        <v>46061.242047060186</v>
      </c>
      <c r="B3867" s="49" t="s">
        <v>9073</v>
      </c>
    </row>
    <row r="3868" spans="1:2">
      <c r="A3868" s="66">
        <v>46061.2420528125</v>
      </c>
      <c r="B3868" s="49" t="s">
        <v>9074</v>
      </c>
    </row>
    <row r="3869" spans="1:2">
      <c r="A3869" s="66">
        <v>46061.24205483796</v>
      </c>
      <c r="B3869" s="49" t="s">
        <v>9191</v>
      </c>
    </row>
    <row r="3870" spans="1:2">
      <c r="A3870" s="66">
        <v>46061.280634976851</v>
      </c>
      <c r="B3870" s="49" t="s">
        <v>10450</v>
      </c>
    </row>
    <row r="3871" spans="1:2">
      <c r="A3871" s="66">
        <v>46061.280679340278</v>
      </c>
      <c r="B3871" s="49" t="s">
        <v>9073</v>
      </c>
    </row>
    <row r="3872" spans="1:2">
      <c r="A3872" s="66">
        <v>46061.280684166668</v>
      </c>
      <c r="B3872" s="49" t="s">
        <v>9074</v>
      </c>
    </row>
    <row r="3873" spans="1:2">
      <c r="A3873" s="66">
        <v>46061.280687268518</v>
      </c>
      <c r="B3873" s="49" t="s">
        <v>9191</v>
      </c>
    </row>
    <row r="3874" spans="1:2">
      <c r="A3874" s="66">
        <v>46061.282348680557</v>
      </c>
      <c r="B3874" s="49" t="s">
        <v>10451</v>
      </c>
    </row>
    <row r="3875" spans="1:2">
      <c r="A3875" s="66">
        <v>46061.282422847224</v>
      </c>
      <c r="B3875" s="49" t="s">
        <v>9073</v>
      </c>
    </row>
    <row r="3876" spans="1:2">
      <c r="A3876" s="66">
        <v>46061.282427951388</v>
      </c>
      <c r="B3876" s="49" t="s">
        <v>9074</v>
      </c>
    </row>
    <row r="3877" spans="1:2">
      <c r="A3877" s="66">
        <v>46061.282430775464</v>
      </c>
      <c r="B3877" s="49" t="s">
        <v>9191</v>
      </c>
    </row>
    <row r="3878" spans="1:2">
      <c r="A3878" s="66">
        <v>46061.287732326389</v>
      </c>
      <c r="B3878" s="49" t="s">
        <v>10452</v>
      </c>
    </row>
    <row r="3879" spans="1:2">
      <c r="A3879" s="66">
        <v>46061.287768993054</v>
      </c>
      <c r="B3879" s="49" t="s">
        <v>9073</v>
      </c>
    </row>
    <row r="3880" spans="1:2">
      <c r="A3880" s="66">
        <v>46061.287774432873</v>
      </c>
      <c r="B3880" s="49" t="s">
        <v>9074</v>
      </c>
    </row>
    <row r="3881" spans="1:2">
      <c r="A3881" s="66">
        <v>46061.287776689816</v>
      </c>
      <c r="B3881" s="49" t="s">
        <v>9191</v>
      </c>
    </row>
    <row r="3882" spans="1:2">
      <c r="A3882" s="66">
        <v>46061.28961634259</v>
      </c>
      <c r="B3882" s="49" t="s">
        <v>10453</v>
      </c>
    </row>
    <row r="3883" spans="1:2">
      <c r="A3883" s="66">
        <v>46061.289643206022</v>
      </c>
      <c r="B3883" s="49" t="s">
        <v>9073</v>
      </c>
    </row>
    <row r="3884" spans="1:2">
      <c r="A3884" s="66">
        <v>46061.289647789352</v>
      </c>
      <c r="B3884" s="49" t="s">
        <v>9074</v>
      </c>
    </row>
    <row r="3885" spans="1:2">
      <c r="A3885" s="66">
        <v>46061.289649745369</v>
      </c>
      <c r="B3885" s="49" t="s">
        <v>9191</v>
      </c>
    </row>
    <row r="3886" spans="1:2">
      <c r="A3886" s="66">
        <v>46061.289723495371</v>
      </c>
      <c r="B3886" s="49" t="s">
        <v>9194</v>
      </c>
    </row>
    <row r="3887" spans="1:2">
      <c r="A3887" s="66">
        <v>46061.289725833332</v>
      </c>
      <c r="B3887" s="49" t="s">
        <v>9191</v>
      </c>
    </row>
    <row r="3888" spans="1:2">
      <c r="A3888" s="66">
        <v>46061.320319594903</v>
      </c>
      <c r="B3888" s="49" t="s">
        <v>10454</v>
      </c>
    </row>
    <row r="3889" spans="1:2">
      <c r="A3889" s="66">
        <v>46061.320330416667</v>
      </c>
      <c r="B3889" s="49" t="s">
        <v>9291</v>
      </c>
    </row>
    <row r="3890" spans="1:2">
      <c r="A3890" s="66">
        <v>46061.320347222223</v>
      </c>
      <c r="B3890" s="49" t="s">
        <v>9078</v>
      </c>
    </row>
    <row r="3891" spans="1:2">
      <c r="A3891" s="66">
        <v>46061.320360208338</v>
      </c>
      <c r="B3891" s="49" t="s">
        <v>9531</v>
      </c>
    </row>
    <row r="3892" spans="1:2">
      <c r="A3892" s="66">
        <v>46061.320362951388</v>
      </c>
      <c r="B3892" s="49" t="s">
        <v>9191</v>
      </c>
    </row>
    <row r="3893" spans="1:2">
      <c r="A3893" s="66">
        <v>46061.834821805554</v>
      </c>
      <c r="B3893" s="49" t="s">
        <v>10455</v>
      </c>
    </row>
    <row r="3894" spans="1:2">
      <c r="A3894" s="66">
        <v>46061.834860324074</v>
      </c>
      <c r="B3894" s="49" t="s">
        <v>9073</v>
      </c>
    </row>
    <row r="3895" spans="1:2">
      <c r="A3895" s="66">
        <v>46061.834866249999</v>
      </c>
      <c r="B3895" s="49" t="s">
        <v>9074</v>
      </c>
    </row>
    <row r="3896" spans="1:2">
      <c r="A3896" s="66">
        <v>46061.834868796301</v>
      </c>
      <c r="B3896" s="49" t="s">
        <v>9191</v>
      </c>
    </row>
    <row r="3897" spans="1:2">
      <c r="A3897" s="66">
        <v>46061.835413877314</v>
      </c>
      <c r="B3897" s="49" t="s">
        <v>10456</v>
      </c>
    </row>
    <row r="3898" spans="1:2">
      <c r="A3898" s="66">
        <v>46061.835437071757</v>
      </c>
      <c r="B3898" s="49" t="s">
        <v>9073</v>
      </c>
    </row>
    <row r="3899" spans="1:2">
      <c r="A3899" s="66">
        <v>46061.835443240736</v>
      </c>
      <c r="B3899" s="49" t="s">
        <v>9074</v>
      </c>
    </row>
    <row r="3900" spans="1:2">
      <c r="A3900" s="66">
        <v>46061.835449270831</v>
      </c>
      <c r="B3900" s="49" t="s">
        <v>9191</v>
      </c>
    </row>
    <row r="3901" spans="1:2">
      <c r="A3901" s="66">
        <v>46061.836023391203</v>
      </c>
      <c r="B3901" s="49" t="s">
        <v>10457</v>
      </c>
    </row>
    <row r="3902" spans="1:2">
      <c r="A3902" s="66">
        <v>46061.836056111111</v>
      </c>
      <c r="B3902" s="49" t="s">
        <v>9073</v>
      </c>
    </row>
    <row r="3903" spans="1:2">
      <c r="A3903" s="66">
        <v>46061.836064247684</v>
      </c>
      <c r="B3903" s="49" t="s">
        <v>9074</v>
      </c>
    </row>
    <row r="3904" spans="1:2">
      <c r="A3904" s="66">
        <v>46061.836066886579</v>
      </c>
      <c r="B3904" s="49" t="s">
        <v>9191</v>
      </c>
    </row>
    <row r="3905" spans="1:2">
      <c r="A3905" s="66">
        <v>46061.836461192128</v>
      </c>
      <c r="B3905" s="49" t="s">
        <v>10458</v>
      </c>
    </row>
    <row r="3906" spans="1:2">
      <c r="A3906" s="66">
        <v>46061.836465949076</v>
      </c>
      <c r="B3906" s="49" t="s">
        <v>9482</v>
      </c>
    </row>
    <row r="3907" spans="1:2">
      <c r="A3907" s="66">
        <v>46061.836470567127</v>
      </c>
      <c r="B3907" s="49" t="s">
        <v>9078</v>
      </c>
    </row>
    <row r="3908" spans="1:2">
      <c r="A3908" s="66">
        <v>46061.836490127316</v>
      </c>
      <c r="B3908" s="49" t="s">
        <v>9537</v>
      </c>
    </row>
    <row r="3909" spans="1:2">
      <c r="A3909" s="66">
        <v>46061.836493090275</v>
      </c>
      <c r="B3909" s="49" t="s">
        <v>9191</v>
      </c>
    </row>
    <row r="3910" spans="1:2">
      <c r="A3910" s="66">
        <v>46061.836655543986</v>
      </c>
      <c r="B3910" s="49" t="s">
        <v>10459</v>
      </c>
    </row>
    <row r="3911" spans="1:2">
      <c r="A3911" s="66">
        <v>46061.836664930554</v>
      </c>
      <c r="B3911" s="49" t="s">
        <v>10080</v>
      </c>
    </row>
    <row r="3912" spans="1:2">
      <c r="A3912" s="66">
        <v>46061.836669039352</v>
      </c>
      <c r="B3912" s="49" t="s">
        <v>9078</v>
      </c>
    </row>
    <row r="3913" spans="1:2">
      <c r="A3913" s="66">
        <v>46061.83670561343</v>
      </c>
      <c r="B3913" s="49" t="s">
        <v>10460</v>
      </c>
    </row>
    <row r="3914" spans="1:2">
      <c r="A3914" s="66">
        <v>46061.836711747688</v>
      </c>
      <c r="B3914" s="49" t="s">
        <v>10461</v>
      </c>
    </row>
    <row r="3915" spans="1:2">
      <c r="A3915" s="66">
        <v>46061.83671393519</v>
      </c>
      <c r="B3915" s="49" t="s">
        <v>9191</v>
      </c>
    </row>
    <row r="3916" spans="1:2">
      <c r="A3916" s="66">
        <v>46062.313765555555</v>
      </c>
      <c r="B3916" s="49" t="s">
        <v>9143</v>
      </c>
    </row>
    <row r="3917" spans="1:2">
      <c r="A3917" s="66">
        <v>46062.313776030089</v>
      </c>
      <c r="B3917" s="49" t="s">
        <v>9191</v>
      </c>
    </row>
    <row r="3918" spans="1:2">
      <c r="A3918" s="66">
        <v>46062.317525011575</v>
      </c>
      <c r="B3918" s="49" t="s">
        <v>9075</v>
      </c>
    </row>
    <row r="3919" spans="1:2">
      <c r="A3919" s="66">
        <v>46062.317534571761</v>
      </c>
      <c r="B3919" s="49" t="s">
        <v>9191</v>
      </c>
    </row>
    <row r="3920" spans="1:2">
      <c r="A3920" s="66">
        <v>46062.317989155097</v>
      </c>
      <c r="B3920" s="49" t="s">
        <v>10462</v>
      </c>
    </row>
    <row r="3921" spans="1:2">
      <c r="A3921" s="66">
        <v>46062.317995740741</v>
      </c>
      <c r="B3921" s="49" t="s">
        <v>9191</v>
      </c>
    </row>
    <row r="3922" spans="1:2">
      <c r="A3922" s="66">
        <v>46062.337926388893</v>
      </c>
      <c r="B3922" s="49" t="s">
        <v>10463</v>
      </c>
    </row>
    <row r="3923" spans="1:2">
      <c r="A3923" s="66">
        <v>46062.337973993053</v>
      </c>
      <c r="B3923" s="49" t="s">
        <v>9073</v>
      </c>
    </row>
    <row r="3924" spans="1:2">
      <c r="A3924" s="66">
        <v>46062.337983958336</v>
      </c>
      <c r="B3924" s="49" t="s">
        <v>9074</v>
      </c>
    </row>
    <row r="3925" spans="1:2">
      <c r="A3925" s="66">
        <v>46062.337987314815</v>
      </c>
      <c r="B3925" s="49" t="s">
        <v>9191</v>
      </c>
    </row>
    <row r="3926" spans="1:2">
      <c r="A3926" s="66">
        <v>46062.375442129633</v>
      </c>
      <c r="B3926" s="49"/>
    </row>
    <row r="3927" spans="1:2">
      <c r="A3927" s="66">
        <v>46062.39671450232</v>
      </c>
      <c r="B3927" s="49" t="s">
        <v>9143</v>
      </c>
    </row>
    <row r="3928" spans="1:2">
      <c r="A3928" s="66">
        <v>46062.396718125005</v>
      </c>
      <c r="B3928" s="49" t="s">
        <v>10464</v>
      </c>
    </row>
    <row r="3929" spans="1:2">
      <c r="A3929" s="66">
        <v>46062.396724999999</v>
      </c>
      <c r="B3929" s="49" t="s">
        <v>9191</v>
      </c>
    </row>
    <row r="3930" spans="1:2">
      <c r="A3930" s="66">
        <v>46062.397885300925</v>
      </c>
      <c r="B3930" s="49"/>
    </row>
    <row r="3931" spans="1:2">
      <c r="A3931" s="66">
        <v>46062.399053356479</v>
      </c>
      <c r="B3931" s="49" t="s">
        <v>9194</v>
      </c>
    </row>
    <row r="3932" spans="1:2">
      <c r="A3932" s="66">
        <v>46062.3990571412</v>
      </c>
      <c r="B3932" s="49" t="s">
        <v>9191</v>
      </c>
    </row>
    <row r="3933" spans="1:2">
      <c r="A3933" s="66">
        <v>46062.399079085648</v>
      </c>
      <c r="B3933" s="49" t="s">
        <v>9194</v>
      </c>
    </row>
    <row r="3934" spans="1:2">
      <c r="A3934" s="66">
        <v>46062.399081423609</v>
      </c>
      <c r="B3934" s="49" t="s">
        <v>9191</v>
      </c>
    </row>
    <row r="3935" spans="1:2">
      <c r="A3935" s="66">
        <v>46062.399206886577</v>
      </c>
      <c r="B3935" s="49" t="s">
        <v>9194</v>
      </c>
    </row>
    <row r="3936" spans="1:2">
      <c r="A3936" s="66">
        <v>46062.399208877316</v>
      </c>
      <c r="B3936" s="49" t="s">
        <v>9191</v>
      </c>
    </row>
    <row r="3937" spans="1:2">
      <c r="A3937" s="66">
        <v>46062.403279131948</v>
      </c>
      <c r="B3937" s="49" t="s">
        <v>10465</v>
      </c>
    </row>
    <row r="3938" spans="1:2">
      <c r="A3938" s="66">
        <v>46062.403282673607</v>
      </c>
      <c r="B3938" s="49" t="s">
        <v>10466</v>
      </c>
    </row>
    <row r="3939" spans="1:2">
      <c r="A3939" s="66">
        <v>46062.403290486109</v>
      </c>
      <c r="B3939" s="49" t="s">
        <v>9191</v>
      </c>
    </row>
    <row r="3940" spans="1:2">
      <c r="A3940" s="66">
        <v>46062.435796550926</v>
      </c>
      <c r="B3940" s="49" t="s">
        <v>10467</v>
      </c>
    </row>
    <row r="3941" spans="1:2">
      <c r="A3941" s="66">
        <v>46062.43579909722</v>
      </c>
      <c r="B3941" s="49" t="s">
        <v>10466</v>
      </c>
    </row>
    <row r="3942" spans="1:2">
      <c r="A3942" s="66">
        <v>46062.435835972225</v>
      </c>
      <c r="B3942" s="49" t="s">
        <v>10468</v>
      </c>
    </row>
    <row r="3943" spans="1:2">
      <c r="A3943" s="66">
        <v>46062.435849664354</v>
      </c>
      <c r="B3943" s="49" t="s">
        <v>10469</v>
      </c>
    </row>
    <row r="3944" spans="1:2">
      <c r="A3944" s="66">
        <v>46062.435857986115</v>
      </c>
      <c r="B3944" s="49" t="s">
        <v>9191</v>
      </c>
    </row>
    <row r="3945" spans="1:2">
      <c r="A3945" s="66">
        <v>46062.913816956017</v>
      </c>
      <c r="B3945" s="49" t="s">
        <v>9146</v>
      </c>
    </row>
    <row r="3946" spans="1:2">
      <c r="A3946" s="66">
        <v>46062.913820196758</v>
      </c>
      <c r="B3946" s="49" t="s">
        <v>10464</v>
      </c>
    </row>
    <row r="3947" spans="1:2">
      <c r="A3947" s="66">
        <v>46062.913826979166</v>
      </c>
      <c r="B3947" s="49" t="s">
        <v>9191</v>
      </c>
    </row>
    <row r="3948" spans="1:2">
      <c r="A3948" s="66">
        <v>46062.914035347218</v>
      </c>
      <c r="B3948" s="49" t="s">
        <v>9146</v>
      </c>
    </row>
    <row r="3949" spans="1:2">
      <c r="A3949" s="66">
        <v>46062.914039224532</v>
      </c>
      <c r="B3949" s="49" t="s">
        <v>10466</v>
      </c>
    </row>
    <row r="3950" spans="1:2">
      <c r="A3950" s="66">
        <v>46062.914048032406</v>
      </c>
      <c r="B3950" s="49" t="s">
        <v>9191</v>
      </c>
    </row>
    <row r="3951" spans="1:2">
      <c r="A3951" s="66">
        <v>46062.917845648146</v>
      </c>
      <c r="B3951" s="49" t="s">
        <v>9194</v>
      </c>
    </row>
    <row r="3952" spans="1:2">
      <c r="A3952" s="66">
        <v>46062.917849270831</v>
      </c>
      <c r="B3952" s="49" t="s">
        <v>9191</v>
      </c>
    </row>
    <row r="3953" spans="1:2">
      <c r="A3953" s="66">
        <v>46062.917868946759</v>
      </c>
      <c r="B3953" s="49" t="s">
        <v>9194</v>
      </c>
    </row>
    <row r="3954" spans="1:2">
      <c r="A3954" s="66">
        <v>46062.91787503472</v>
      </c>
      <c r="B3954" s="49" t="s">
        <v>9191</v>
      </c>
    </row>
    <row r="3955" spans="1:2">
      <c r="A3955" s="66">
        <v>46062.918167245371</v>
      </c>
      <c r="B3955" s="49" t="s">
        <v>9194</v>
      </c>
    </row>
    <row r="3956" spans="1:2">
      <c r="A3956" s="66">
        <v>46062.918171053243</v>
      </c>
      <c r="B3956" s="49" t="s">
        <v>9191</v>
      </c>
    </row>
    <row r="3957" spans="1:2">
      <c r="A3957" s="66">
        <v>46062.918189490738</v>
      </c>
      <c r="B3957" s="49" t="s">
        <v>9194</v>
      </c>
    </row>
    <row r="3958" spans="1:2">
      <c r="A3958" s="66">
        <v>46062.918191446763</v>
      </c>
      <c r="B3958" s="49" t="s">
        <v>9191</v>
      </c>
    </row>
    <row r="3959" spans="1:2">
      <c r="A3959" s="66">
        <v>46062.918385543977</v>
      </c>
      <c r="B3959" s="49" t="s">
        <v>9194</v>
      </c>
    </row>
    <row r="3960" spans="1:2">
      <c r="A3960" s="66">
        <v>46062.918395266199</v>
      </c>
      <c r="B3960" s="49" t="s">
        <v>9191</v>
      </c>
    </row>
    <row r="3961" spans="1:2">
      <c r="A3961" s="66">
        <v>46062.924537291663</v>
      </c>
      <c r="B3961" s="49" t="s">
        <v>9143</v>
      </c>
    </row>
    <row r="3962" spans="1:2">
      <c r="A3962" s="66">
        <v>46062.924540868058</v>
      </c>
      <c r="B3962" s="49" t="s">
        <v>10470</v>
      </c>
    </row>
    <row r="3963" spans="1:2">
      <c r="A3963" s="66">
        <v>46062.924550532407</v>
      </c>
      <c r="B3963" s="49" t="s">
        <v>9191</v>
      </c>
    </row>
    <row r="3964" spans="1:2">
      <c r="A3964" s="66">
        <v>46062.952253912037</v>
      </c>
      <c r="B3964" s="49" t="s">
        <v>9194</v>
      </c>
    </row>
    <row r="3965" spans="1:2">
      <c r="A3965" s="66">
        <v>46062.952256643519</v>
      </c>
      <c r="B3965" s="49" t="s">
        <v>9191</v>
      </c>
    </row>
    <row r="3966" spans="1:2">
      <c r="A3966" s="66">
        <v>46062.953034861115</v>
      </c>
      <c r="B3966" s="49" t="s">
        <v>9194</v>
      </c>
    </row>
    <row r="3967" spans="1:2">
      <c r="A3967" s="66">
        <v>46062.953051516204</v>
      </c>
      <c r="B3967" s="49" t="s">
        <v>9191</v>
      </c>
    </row>
    <row r="3968" spans="1:2">
      <c r="A3968" s="66">
        <v>46062.953473020832</v>
      </c>
      <c r="B3968" s="49" t="s">
        <v>9194</v>
      </c>
    </row>
    <row r="3969" spans="1:2">
      <c r="A3969" s="66">
        <v>46062.953475347225</v>
      </c>
      <c r="B3969" s="49" t="s">
        <v>9191</v>
      </c>
    </row>
    <row r="3970" spans="1:2">
      <c r="A3970" s="66">
        <v>46063.308979409718</v>
      </c>
      <c r="B3970" s="49"/>
    </row>
    <row r="3971" spans="1:2">
      <c r="A3971" s="66">
        <v>46063.36035440972</v>
      </c>
      <c r="B3971" s="49"/>
    </row>
    <row r="3972" spans="1:2">
      <c r="A3972" s="66">
        <v>46063.36689060185</v>
      </c>
      <c r="B3972" s="49" t="s">
        <v>9194</v>
      </c>
    </row>
    <row r="3973" spans="1:2">
      <c r="A3973" s="66">
        <v>46063.366893541664</v>
      </c>
      <c r="B3973" s="49" t="s">
        <v>9191</v>
      </c>
    </row>
    <row r="3974" spans="1:2">
      <c r="A3974" s="66">
        <v>46063.392623171298</v>
      </c>
      <c r="B3974" s="49" t="s">
        <v>9194</v>
      </c>
    </row>
    <row r="3975" spans="1:2">
      <c r="A3975" s="66">
        <v>46063.392627627312</v>
      </c>
      <c r="B3975" s="49" t="s">
        <v>9191</v>
      </c>
    </row>
    <row r="3976" spans="1:2">
      <c r="A3976" s="66">
        <v>46063.394476782407</v>
      </c>
      <c r="B3976" s="49"/>
    </row>
    <row r="3977" spans="1:2">
      <c r="A3977" s="66">
        <v>46063.402152731476</v>
      </c>
      <c r="B3977" s="49"/>
    </row>
    <row r="3978" spans="1:2">
      <c r="A3978" s="66">
        <v>46063.471370567131</v>
      </c>
      <c r="B3978" s="49" t="s">
        <v>10471</v>
      </c>
    </row>
    <row r="3979" spans="1:2">
      <c r="A3979" s="66">
        <v>46063.471373263892</v>
      </c>
      <c r="B3979" s="49" t="s">
        <v>10466</v>
      </c>
    </row>
    <row r="3980" spans="1:2">
      <c r="A3980" s="66">
        <v>46063.471414432875</v>
      </c>
      <c r="B3980" s="49" t="s">
        <v>10472</v>
      </c>
    </row>
    <row r="3981" spans="1:2">
      <c r="A3981" s="66">
        <v>46063.471421851849</v>
      </c>
      <c r="B3981" s="49" t="s">
        <v>10473</v>
      </c>
    </row>
    <row r="3982" spans="1:2">
      <c r="A3982" s="66">
        <v>46063.471424085648</v>
      </c>
      <c r="B3982" s="49" t="s">
        <v>9191</v>
      </c>
    </row>
    <row r="3983" spans="1:2">
      <c r="A3983" s="66">
        <v>46063.903034872681</v>
      </c>
      <c r="B3983" s="49" t="s">
        <v>10474</v>
      </c>
    </row>
    <row r="3984" spans="1:2">
      <c r="A3984" s="66">
        <v>46063.903037962962</v>
      </c>
      <c r="B3984" s="49" t="s">
        <v>10466</v>
      </c>
    </row>
    <row r="3985" spans="1:2">
      <c r="A3985" s="66">
        <v>46063.903084282407</v>
      </c>
      <c r="B3985" s="49" t="s">
        <v>10475</v>
      </c>
    </row>
    <row r="3986" spans="1:2">
      <c r="A3986" s="66">
        <v>46063.903092592591</v>
      </c>
      <c r="B3986" s="49" t="s">
        <v>10476</v>
      </c>
    </row>
    <row r="3987" spans="1:2">
      <c r="A3987" s="66">
        <v>46063.90309576389</v>
      </c>
      <c r="B3987" s="49" t="s">
        <v>9191</v>
      </c>
    </row>
    <row r="3988" spans="1:2">
      <c r="A3988" s="66">
        <v>46064.284620289356</v>
      </c>
      <c r="B3988" s="49" t="s">
        <v>10477</v>
      </c>
    </row>
    <row r="3989" spans="1:2">
      <c r="A3989" s="66">
        <v>46064.284623807871</v>
      </c>
      <c r="B3989" s="49" t="s">
        <v>10466</v>
      </c>
    </row>
    <row r="3990" spans="1:2">
      <c r="A3990" s="66">
        <v>46064.284669594912</v>
      </c>
      <c r="B3990" s="49" t="s">
        <v>10478</v>
      </c>
    </row>
    <row r="3991" spans="1:2">
      <c r="A3991" s="66">
        <v>46064.284681249999</v>
      </c>
      <c r="B3991" s="49" t="s">
        <v>10479</v>
      </c>
    </row>
    <row r="3992" spans="1:2">
      <c r="A3992" s="66">
        <v>46064.284703993057</v>
      </c>
      <c r="B3992" s="49" t="s">
        <v>9191</v>
      </c>
    </row>
    <row r="3993" spans="1:2">
      <c r="A3993" s="66">
        <v>46064.29866915509</v>
      </c>
      <c r="B3993" s="49" t="s">
        <v>10480</v>
      </c>
    </row>
    <row r="3994" spans="1:2">
      <c r="A3994" s="66">
        <v>46064.298677638886</v>
      </c>
      <c r="B3994" s="49" t="s">
        <v>10466</v>
      </c>
    </row>
    <row r="3995" spans="1:2">
      <c r="A3995" s="66">
        <v>46064.298713819444</v>
      </c>
      <c r="B3995" s="49" t="s">
        <v>10481</v>
      </c>
    </row>
    <row r="3996" spans="1:2">
      <c r="A3996" s="66">
        <v>46064.298727407411</v>
      </c>
      <c r="B3996" s="49" t="s">
        <v>10482</v>
      </c>
    </row>
    <row r="3997" spans="1:2">
      <c r="A3997" s="66">
        <v>46064.298730891205</v>
      </c>
      <c r="B3997" s="49" t="s">
        <v>9191</v>
      </c>
    </row>
    <row r="3998" spans="1:2">
      <c r="A3998" s="66">
        <v>46064.350363749996</v>
      </c>
      <c r="B3998" s="49" t="s">
        <v>10483</v>
      </c>
    </row>
    <row r="3999" spans="1:2">
      <c r="A3999" s="66">
        <v>46064.35036960648</v>
      </c>
      <c r="B3999" s="49" t="s">
        <v>10466</v>
      </c>
    </row>
    <row r="4000" spans="1:2">
      <c r="A4000" s="66">
        <v>46064.350416273148</v>
      </c>
      <c r="B4000" s="49" t="s">
        <v>10484</v>
      </c>
    </row>
    <row r="4001" spans="1:2">
      <c r="A4001" s="66">
        <v>46064.350422615738</v>
      </c>
      <c r="B4001" s="49" t="s">
        <v>10485</v>
      </c>
    </row>
    <row r="4002" spans="1:2">
      <c r="A4002" s="66">
        <v>46064.350424930555</v>
      </c>
      <c r="B4002" s="49" t="s">
        <v>9191</v>
      </c>
    </row>
    <row r="4003" spans="1:2">
      <c r="A4003" s="66">
        <v>46064.398886967596</v>
      </c>
      <c r="B4003" s="49" t="s">
        <v>10486</v>
      </c>
    </row>
    <row r="4004" spans="1:2">
      <c r="A4004" s="66">
        <v>46064.39889232639</v>
      </c>
      <c r="B4004" s="49" t="s">
        <v>10466</v>
      </c>
    </row>
    <row r="4005" spans="1:2">
      <c r="A4005" s="66">
        <v>46064.398911006945</v>
      </c>
      <c r="B4005" s="49" t="s">
        <v>10437</v>
      </c>
    </row>
    <row r="4006" spans="1:2">
      <c r="A4006" s="66">
        <v>46064.398913425925</v>
      </c>
      <c r="B4006" s="49" t="s">
        <v>9191</v>
      </c>
    </row>
    <row r="4007" spans="1:2">
      <c r="A4007" s="66">
        <v>46064.499405011578</v>
      </c>
      <c r="B4007" s="49"/>
    </row>
    <row r="4008" spans="1:2">
      <c r="A4008" s="66">
        <v>46064.507256921293</v>
      </c>
      <c r="B4008" s="49"/>
    </row>
    <row r="4009" spans="1:2">
      <c r="A4009" s="66">
        <v>46064.507288981476</v>
      </c>
      <c r="B4009" s="49"/>
    </row>
    <row r="4010" spans="1:2">
      <c r="A4010" s="66">
        <v>46064.507323622689</v>
      </c>
      <c r="B4010" s="49"/>
    </row>
    <row r="4011" spans="1:2">
      <c r="A4011" s="66">
        <v>46064.608768981481</v>
      </c>
      <c r="B4011" s="49" t="s">
        <v>9194</v>
      </c>
    </row>
    <row r="4012" spans="1:2">
      <c r="A4012" s="66">
        <v>46064.60877136574</v>
      </c>
      <c r="B4012" s="49" t="s">
        <v>9191</v>
      </c>
    </row>
    <row r="4013" spans="1:2">
      <c r="A4013" s="66">
        <v>46064.61224800926</v>
      </c>
      <c r="B4013" s="49" t="s">
        <v>9194</v>
      </c>
    </row>
    <row r="4014" spans="1:2">
      <c r="A4014" s="66">
        <v>46064.612251307874</v>
      </c>
      <c r="B4014" s="49" t="s">
        <v>9191</v>
      </c>
    </row>
    <row r="4015" spans="1:2">
      <c r="A4015" s="66">
        <v>46064.931090011574</v>
      </c>
      <c r="B4015" s="49" t="s">
        <v>10487</v>
      </c>
    </row>
    <row r="4016" spans="1:2">
      <c r="A4016" s="66">
        <v>46064.931093981482</v>
      </c>
      <c r="B4016" s="49" t="s">
        <v>10466</v>
      </c>
    </row>
    <row r="4017" spans="1:2">
      <c r="A4017" s="66">
        <v>46064.931112604172</v>
      </c>
      <c r="B4017" s="49" t="s">
        <v>9561</v>
      </c>
    </row>
    <row r="4018" spans="1:2">
      <c r="A4018" s="66">
        <v>46064.931127986114</v>
      </c>
      <c r="B4018" s="49" t="s">
        <v>9191</v>
      </c>
    </row>
    <row r="4019" spans="1:2">
      <c r="A4019" s="66">
        <v>46065.187362488425</v>
      </c>
      <c r="B4019" s="49" t="s">
        <v>10488</v>
      </c>
    </row>
    <row r="4020" spans="1:2">
      <c r="A4020" s="66">
        <v>46065.187372233791</v>
      </c>
      <c r="B4020" s="49" t="s">
        <v>10466</v>
      </c>
    </row>
    <row r="4021" spans="1:2">
      <c r="A4021" s="66">
        <v>46065.187383854165</v>
      </c>
      <c r="B4021" s="49" t="s">
        <v>10489</v>
      </c>
    </row>
    <row r="4022" spans="1:2">
      <c r="A4022" s="66">
        <v>46065.187400787036</v>
      </c>
      <c r="B4022" s="49" t="s">
        <v>9191</v>
      </c>
    </row>
    <row r="4023" spans="1:2">
      <c r="A4023" s="66">
        <v>46065.214883148146</v>
      </c>
      <c r="B4023" s="49" t="s">
        <v>10490</v>
      </c>
    </row>
    <row r="4024" spans="1:2">
      <c r="A4024" s="66">
        <v>46065.214887175927</v>
      </c>
      <c r="B4024" s="49" t="s">
        <v>10466</v>
      </c>
    </row>
    <row r="4025" spans="1:2">
      <c r="A4025" s="66">
        <v>46065.214904942128</v>
      </c>
      <c r="B4025" s="49" t="s">
        <v>10491</v>
      </c>
    </row>
    <row r="4026" spans="1:2">
      <c r="A4026" s="66">
        <v>46065.214911817129</v>
      </c>
      <c r="B4026" s="49" t="s">
        <v>9191</v>
      </c>
    </row>
    <row r="4027" spans="1:2">
      <c r="A4027" s="66">
        <v>46065.355546134262</v>
      </c>
      <c r="B4027" s="49" t="s">
        <v>10492</v>
      </c>
    </row>
    <row r="4028" spans="1:2">
      <c r="A4028" s="66">
        <v>46065.355549409724</v>
      </c>
      <c r="B4028" s="49" t="s">
        <v>10466</v>
      </c>
    </row>
    <row r="4029" spans="1:2">
      <c r="A4029" s="66">
        <v>46065.355568344909</v>
      </c>
      <c r="B4029" s="49" t="s">
        <v>9725</v>
      </c>
    </row>
    <row r="4030" spans="1:2">
      <c r="A4030" s="66">
        <v>46065.355579039351</v>
      </c>
      <c r="B4030" s="49" t="s">
        <v>9191</v>
      </c>
    </row>
    <row r="4031" spans="1:2">
      <c r="A4031" s="66">
        <v>46065.355891608793</v>
      </c>
      <c r="B4031" s="49" t="s">
        <v>10493</v>
      </c>
    </row>
    <row r="4032" spans="1:2">
      <c r="A4032" s="66">
        <v>46065.355894560184</v>
      </c>
      <c r="B4032" s="49" t="s">
        <v>10466</v>
      </c>
    </row>
    <row r="4033" spans="1:2">
      <c r="A4033" s="66">
        <v>46065.355916053246</v>
      </c>
      <c r="B4033" s="49" t="s">
        <v>9484</v>
      </c>
    </row>
    <row r="4034" spans="1:2">
      <c r="A4034" s="66">
        <v>46065.355919641202</v>
      </c>
      <c r="B4034" s="49" t="s">
        <v>9191</v>
      </c>
    </row>
    <row r="4035" spans="1:2">
      <c r="A4035" s="66">
        <v>46065.357004548612</v>
      </c>
      <c r="B4035" s="49"/>
    </row>
    <row r="4036" spans="1:2">
      <c r="A4036" s="66">
        <v>46065.357052754625</v>
      </c>
      <c r="B4036" s="49"/>
    </row>
    <row r="4037" spans="1:2">
      <c r="A4037" s="66">
        <v>46065.369199120367</v>
      </c>
      <c r="B4037" s="49" t="s">
        <v>10493</v>
      </c>
    </row>
    <row r="4038" spans="1:2">
      <c r="A4038" s="66">
        <v>46065.369203020833</v>
      </c>
      <c r="B4038" s="49" t="s">
        <v>10466</v>
      </c>
    </row>
    <row r="4039" spans="1:2">
      <c r="A4039" s="66">
        <v>46065.369234803242</v>
      </c>
      <c r="B4039" s="49" t="s">
        <v>9484</v>
      </c>
    </row>
    <row r="4040" spans="1:2">
      <c r="A4040" s="66">
        <v>46065.369238738422</v>
      </c>
      <c r="B4040" s="49" t="s">
        <v>9191</v>
      </c>
    </row>
    <row r="4041" spans="1:2">
      <c r="A4041" s="66">
        <v>46065.369896249998</v>
      </c>
      <c r="B4041" s="49" t="s">
        <v>10494</v>
      </c>
    </row>
    <row r="4042" spans="1:2">
      <c r="A4042" s="66">
        <v>46065.369899293983</v>
      </c>
      <c r="B4042" s="49" t="s">
        <v>10466</v>
      </c>
    </row>
    <row r="4043" spans="1:2">
      <c r="A4043" s="66">
        <v>46065.369942627316</v>
      </c>
      <c r="B4043" s="49" t="s">
        <v>10495</v>
      </c>
    </row>
    <row r="4044" spans="1:2">
      <c r="A4044" s="66">
        <v>46065.369949652777</v>
      </c>
      <c r="B4044" s="49" t="s">
        <v>10496</v>
      </c>
    </row>
    <row r="4045" spans="1:2">
      <c r="A4045" s="66">
        <v>46065.369952210647</v>
      </c>
      <c r="B4045" s="49" t="s">
        <v>9191</v>
      </c>
    </row>
    <row r="4046" spans="1:2">
      <c r="A4046" s="66">
        <v>46065.380225949077</v>
      </c>
      <c r="B4046" s="49"/>
    </row>
    <row r="4047" spans="1:2">
      <c r="A4047" s="66">
        <v>46065.396343101849</v>
      </c>
      <c r="B4047" s="67">
        <v>46065</v>
      </c>
    </row>
    <row r="4048" spans="1:2">
      <c r="A4048" s="66">
        <v>46065.403306631946</v>
      </c>
      <c r="B4048" s="67"/>
    </row>
    <row r="4049" spans="1:2">
      <c r="A4049" s="66">
        <v>46065.421241412041</v>
      </c>
      <c r="B4049" s="67"/>
    </row>
    <row r="4050" spans="1:2">
      <c r="A4050" s="66">
        <v>46065.429635393521</v>
      </c>
      <c r="B4050" s="67"/>
    </row>
    <row r="4051" spans="1:2">
      <c r="A4051" s="66">
        <v>46065.479432465276</v>
      </c>
      <c r="B4051" s="49" t="s">
        <v>10497</v>
      </c>
    </row>
    <row r="4052" spans="1:2">
      <c r="A4052" s="66">
        <v>46065.479435752313</v>
      </c>
      <c r="B4052" s="49" t="s">
        <v>10466</v>
      </c>
    </row>
    <row r="4053" spans="1:2">
      <c r="A4053" s="66">
        <v>46065.479476319444</v>
      </c>
      <c r="B4053" s="49" t="s">
        <v>10250</v>
      </c>
    </row>
    <row r="4054" spans="1:2">
      <c r="A4054" s="66">
        <v>46065.479482905095</v>
      </c>
      <c r="B4054" s="49" t="s">
        <v>10498</v>
      </c>
    </row>
    <row r="4055" spans="1:2">
      <c r="A4055" s="66">
        <v>46065.479486400465</v>
      </c>
      <c r="B4055" s="49" t="s">
        <v>9191</v>
      </c>
    </row>
    <row r="4056" spans="1:2">
      <c r="A4056" s="66">
        <v>46066.206872777781</v>
      </c>
      <c r="B4056" s="49" t="s">
        <v>10499</v>
      </c>
    </row>
    <row r="4057" spans="1:2">
      <c r="A4057" s="66">
        <v>46066.20687681713</v>
      </c>
      <c r="B4057" s="49" t="s">
        <v>10466</v>
      </c>
    </row>
    <row r="4058" spans="1:2">
      <c r="A4058" s="66">
        <v>46066.206887604167</v>
      </c>
      <c r="B4058" s="49" t="s">
        <v>10500</v>
      </c>
    </row>
    <row r="4059" spans="1:2">
      <c r="A4059" s="66">
        <v>46066.206902106482</v>
      </c>
      <c r="B4059" s="49" t="s">
        <v>9191</v>
      </c>
    </row>
    <row r="4060" spans="1:2">
      <c r="A4060" s="66">
        <v>46066.260527210645</v>
      </c>
      <c r="B4060" s="49" t="s">
        <v>10501</v>
      </c>
    </row>
    <row r="4061" spans="1:2">
      <c r="A4061" s="66">
        <v>46066.260532187502</v>
      </c>
      <c r="B4061" s="49" t="s">
        <v>10466</v>
      </c>
    </row>
    <row r="4062" spans="1:2">
      <c r="A4062" s="66">
        <v>46066.26054422454</v>
      </c>
      <c r="B4062" s="49" t="s">
        <v>10502</v>
      </c>
    </row>
    <row r="4063" spans="1:2">
      <c r="A4063" s="66">
        <v>46066.260558437498</v>
      </c>
      <c r="B4063" s="49" t="s">
        <v>9191</v>
      </c>
    </row>
    <row r="4064" spans="1:2">
      <c r="A4064" s="66">
        <v>46066.816917245371</v>
      </c>
      <c r="B4064" s="49" t="s">
        <v>9194</v>
      </c>
    </row>
    <row r="4065" spans="1:2">
      <c r="A4065" s="66">
        <v>46066.816931111112</v>
      </c>
      <c r="B4065" s="49" t="s">
        <v>9191</v>
      </c>
    </row>
    <row r="4066" spans="1:2">
      <c r="A4066" s="66">
        <v>46067.259306921296</v>
      </c>
      <c r="B4066" s="49" t="s">
        <v>10503</v>
      </c>
    </row>
    <row r="4067" spans="1:2">
      <c r="A4067" s="66">
        <v>46067.259318460652</v>
      </c>
      <c r="B4067" s="49" t="s">
        <v>10466</v>
      </c>
    </row>
    <row r="4068" spans="1:2">
      <c r="A4068" s="66">
        <v>46067.259344062499</v>
      </c>
      <c r="B4068" s="49" t="s">
        <v>10504</v>
      </c>
    </row>
    <row r="4069" spans="1:2">
      <c r="A4069" s="66">
        <v>46067.259346967592</v>
      </c>
      <c r="B4069" s="49" t="s">
        <v>9191</v>
      </c>
    </row>
    <row r="4070" spans="1:2">
      <c r="A4070" s="66">
        <v>46067.265001238426</v>
      </c>
      <c r="B4070" s="49" t="s">
        <v>10505</v>
      </c>
    </row>
    <row r="4071" spans="1:2">
      <c r="A4071" s="66">
        <v>46067.265003981476</v>
      </c>
      <c r="B4071" s="49" t="s">
        <v>10466</v>
      </c>
    </row>
    <row r="4072" spans="1:2">
      <c r="A4072" s="66">
        <v>46067.265015486111</v>
      </c>
      <c r="B4072" s="49" t="s">
        <v>10506</v>
      </c>
    </row>
    <row r="4073" spans="1:2">
      <c r="A4073" s="66">
        <v>46067.265032094903</v>
      </c>
      <c r="B4073" s="49" t="s">
        <v>9191</v>
      </c>
    </row>
    <row r="4074" spans="1:2">
      <c r="A4074" s="66">
        <v>46067.42798335648</v>
      </c>
      <c r="B4074" s="49" t="s">
        <v>10507</v>
      </c>
    </row>
    <row r="4075" spans="1:2">
      <c r="A4075" s="66">
        <v>46067.427997199076</v>
      </c>
      <c r="B4075" s="49" t="s">
        <v>10466</v>
      </c>
    </row>
    <row r="4076" spans="1:2">
      <c r="A4076" s="66">
        <v>46067.428032291667</v>
      </c>
      <c r="B4076" s="49" t="s">
        <v>10508</v>
      </c>
    </row>
    <row r="4077" spans="1:2">
      <c r="A4077" s="66">
        <v>46067.428037175923</v>
      </c>
      <c r="B4077" s="49" t="s">
        <v>9191</v>
      </c>
    </row>
    <row r="4078" spans="1:2">
      <c r="A4078" s="66">
        <v>46067.428261111112</v>
      </c>
      <c r="B4078" s="49" t="s">
        <v>10509</v>
      </c>
    </row>
    <row r="4079" spans="1:2">
      <c r="A4079" s="66">
        <v>46067.428264004629</v>
      </c>
      <c r="B4079" s="49" t="s">
        <v>10466</v>
      </c>
    </row>
    <row r="4080" spans="1:2">
      <c r="A4080" s="66">
        <v>46067.428296863422</v>
      </c>
      <c r="B4080" s="49" t="s">
        <v>10510</v>
      </c>
    </row>
    <row r="4081" spans="1:2">
      <c r="A4081" s="66">
        <v>46067.428303854162</v>
      </c>
      <c r="B4081" s="49" t="s">
        <v>10511</v>
      </c>
    </row>
    <row r="4082" spans="1:2">
      <c r="A4082" s="66">
        <v>46067.428311238429</v>
      </c>
      <c r="B4082" s="49" t="s">
        <v>9191</v>
      </c>
    </row>
    <row r="4083" spans="1:2">
      <c r="A4083" s="66">
        <v>46067.490212986115</v>
      </c>
      <c r="B4083" s="49" t="s">
        <v>10512</v>
      </c>
    </row>
    <row r="4084" spans="1:2">
      <c r="A4084" s="66">
        <v>46067.490215787038</v>
      </c>
      <c r="B4084" s="49" t="s">
        <v>10466</v>
      </c>
    </row>
    <row r="4085" spans="1:2">
      <c r="A4085" s="66">
        <v>46067.490273958334</v>
      </c>
      <c r="B4085" s="49" t="s">
        <v>10513</v>
      </c>
    </row>
    <row r="4086" spans="1:2">
      <c r="A4086" s="66">
        <v>46067.490280995371</v>
      </c>
      <c r="B4086" s="49" t="s">
        <v>10514</v>
      </c>
    </row>
    <row r="4087" spans="1:2">
      <c r="A4087" s="66">
        <v>46067.490283067134</v>
      </c>
      <c r="B4087" s="49" t="s">
        <v>9191</v>
      </c>
    </row>
    <row r="4088" spans="1:2">
      <c r="A4088" s="66">
        <v>46067.540074710647</v>
      </c>
      <c r="B4088" s="49" t="s">
        <v>10515</v>
      </c>
    </row>
    <row r="4089" spans="1:2">
      <c r="A4089" s="66">
        <v>46067.540079178245</v>
      </c>
      <c r="B4089" s="49" t="s">
        <v>10466</v>
      </c>
    </row>
    <row r="4090" spans="1:2">
      <c r="A4090" s="66">
        <v>46067.540125358792</v>
      </c>
      <c r="B4090" s="49" t="s">
        <v>10516</v>
      </c>
    </row>
    <row r="4091" spans="1:2">
      <c r="A4091" s="66">
        <v>46067.540131944443</v>
      </c>
      <c r="B4091" s="49" t="s">
        <v>10517</v>
      </c>
    </row>
    <row r="4092" spans="1:2">
      <c r="A4092" s="66">
        <v>46067.540134664348</v>
      </c>
      <c r="B4092" s="49" t="s">
        <v>9191</v>
      </c>
    </row>
    <row r="4093" spans="1:2">
      <c r="A4093" s="66">
        <v>46067.54245494213</v>
      </c>
      <c r="B4093" s="49" t="s">
        <v>10518</v>
      </c>
    </row>
    <row r="4094" spans="1:2">
      <c r="A4094" s="66">
        <v>46067.542458449076</v>
      </c>
      <c r="B4094" s="49" t="s">
        <v>10466</v>
      </c>
    </row>
    <row r="4095" spans="1:2">
      <c r="A4095" s="66">
        <v>46067.542485671293</v>
      </c>
      <c r="B4095" s="49" t="s">
        <v>10519</v>
      </c>
    </row>
    <row r="4096" spans="1:2">
      <c r="A4096" s="66">
        <v>46067.54249226852</v>
      </c>
      <c r="B4096" s="49" t="s">
        <v>10520</v>
      </c>
    </row>
    <row r="4097" spans="1:2">
      <c r="A4097" s="66">
        <v>46067.542495289352</v>
      </c>
      <c r="B4097" s="49" t="s">
        <v>9191</v>
      </c>
    </row>
    <row r="4098" spans="1:2">
      <c r="A4098" s="66">
        <v>46067.64861694444</v>
      </c>
      <c r="B4098" s="49" t="s">
        <v>10521</v>
      </c>
    </row>
    <row r="4099" spans="1:2">
      <c r="A4099" s="66">
        <v>46067.648621203705</v>
      </c>
      <c r="B4099" s="49" t="s">
        <v>10466</v>
      </c>
    </row>
    <row r="4100" spans="1:2">
      <c r="A4100" s="66">
        <v>46067.648673298609</v>
      </c>
      <c r="B4100" s="49" t="s">
        <v>10522</v>
      </c>
    </row>
    <row r="4101" spans="1:2">
      <c r="A4101" s="66">
        <v>46067.648680625003</v>
      </c>
      <c r="B4101" s="49" t="s">
        <v>10523</v>
      </c>
    </row>
    <row r="4102" spans="1:2">
      <c r="A4102" s="66">
        <v>46067.648682824074</v>
      </c>
      <c r="B4102" s="49" t="s">
        <v>9191</v>
      </c>
    </row>
    <row r="4103" spans="1:2">
      <c r="A4103" s="66">
        <v>46068.240265520828</v>
      </c>
      <c r="B4103" s="49" t="s">
        <v>10524</v>
      </c>
    </row>
    <row r="4104" spans="1:2">
      <c r="A4104" s="66">
        <v>46068.240272592593</v>
      </c>
      <c r="B4104" s="49" t="s">
        <v>10466</v>
      </c>
    </row>
    <row r="4105" spans="1:2">
      <c r="A4105" s="66">
        <v>46068.240283993058</v>
      </c>
      <c r="B4105" s="49" t="s">
        <v>10525</v>
      </c>
    </row>
    <row r="4106" spans="1:2">
      <c r="A4106" s="66">
        <v>46068.240299097219</v>
      </c>
      <c r="B4106" s="49" t="s">
        <v>9191</v>
      </c>
    </row>
    <row r="4107" spans="1:2">
      <c r="A4107" s="66">
        <v>46068.286151388893</v>
      </c>
      <c r="B4107" s="49" t="s">
        <v>10526</v>
      </c>
    </row>
    <row r="4108" spans="1:2">
      <c r="A4108" s="66">
        <v>46068.286154629634</v>
      </c>
      <c r="B4108" s="49" t="s">
        <v>10466</v>
      </c>
    </row>
    <row r="4109" spans="1:2">
      <c r="A4109" s="66">
        <v>46068.286165775462</v>
      </c>
      <c r="B4109" s="49" t="s">
        <v>10527</v>
      </c>
    </row>
    <row r="4110" spans="1:2">
      <c r="A4110" s="66">
        <v>46068.286179907409</v>
      </c>
      <c r="B4110" s="49" t="s">
        <v>9191</v>
      </c>
    </row>
    <row r="4111" spans="1:2">
      <c r="A4111" s="66">
        <v>46068.30509303241</v>
      </c>
      <c r="B4111" s="49" t="s">
        <v>10528</v>
      </c>
    </row>
    <row r="4112" spans="1:2">
      <c r="A4112" s="66">
        <v>46068.305096099539</v>
      </c>
      <c r="B4112" s="49" t="s">
        <v>10466</v>
      </c>
    </row>
    <row r="4113" spans="1:2">
      <c r="A4113" s="66">
        <v>46068.305137048606</v>
      </c>
      <c r="B4113" s="49" t="s">
        <v>10529</v>
      </c>
    </row>
    <row r="4114" spans="1:2">
      <c r="A4114" s="66">
        <v>46068.305145150458</v>
      </c>
      <c r="B4114" s="49" t="s">
        <v>10530</v>
      </c>
    </row>
    <row r="4115" spans="1:2">
      <c r="A4115" s="66">
        <v>46068.30514773148</v>
      </c>
      <c r="B4115" s="49" t="s">
        <v>9191</v>
      </c>
    </row>
    <row r="4116" spans="1:2">
      <c r="A4116" s="66">
        <v>46068.498646168984</v>
      </c>
      <c r="B4116" s="49" t="s">
        <v>10531</v>
      </c>
    </row>
    <row r="4117" spans="1:2">
      <c r="A4117" s="66">
        <v>46068.498649525463</v>
      </c>
      <c r="B4117" s="49" t="s">
        <v>10466</v>
      </c>
    </row>
    <row r="4118" spans="1:2">
      <c r="A4118" s="66">
        <v>46068.498688726853</v>
      </c>
      <c r="B4118" s="49" t="s">
        <v>10532</v>
      </c>
    </row>
    <row r="4119" spans="1:2">
      <c r="A4119" s="66">
        <v>46068.498694884256</v>
      </c>
      <c r="B4119" s="49" t="s">
        <v>10533</v>
      </c>
    </row>
    <row r="4120" spans="1:2">
      <c r="A4120" s="66">
        <v>46068.498696863426</v>
      </c>
      <c r="B4120" s="49" t="s">
        <v>9191</v>
      </c>
    </row>
    <row r="4121" spans="1:2">
      <c r="A4121" s="66">
        <v>46069.23714420139</v>
      </c>
      <c r="B4121" s="49" t="s">
        <v>10534</v>
      </c>
    </row>
    <row r="4122" spans="1:2">
      <c r="A4122" s="66">
        <v>46069.237147083331</v>
      </c>
      <c r="B4122" s="49" t="s">
        <v>10466</v>
      </c>
    </row>
    <row r="4123" spans="1:2">
      <c r="A4123" s="66">
        <v>46069.237177384261</v>
      </c>
      <c r="B4123" s="49" t="s">
        <v>10535</v>
      </c>
    </row>
    <row r="4124" spans="1:2">
      <c r="A4124" s="66">
        <v>46069.237193379631</v>
      </c>
      <c r="B4124" s="49" t="s">
        <v>9191</v>
      </c>
    </row>
    <row r="4125" spans="1:2">
      <c r="A4125" s="66">
        <v>46069.280182175928</v>
      </c>
      <c r="B4125" s="49"/>
    </row>
    <row r="4126" spans="1:2">
      <c r="A4126" s="66">
        <v>46069.333547141199</v>
      </c>
      <c r="B4126" s="49" t="s">
        <v>10536</v>
      </c>
    </row>
    <row r="4127" spans="1:2">
      <c r="A4127" s="66">
        <v>46069.333551840275</v>
      </c>
      <c r="B4127" s="49" t="s">
        <v>10466</v>
      </c>
    </row>
    <row r="4128" spans="1:2">
      <c r="A4128" s="66">
        <v>46069.333563009262</v>
      </c>
      <c r="B4128" s="49" t="s">
        <v>10537</v>
      </c>
    </row>
    <row r="4129" spans="1:2">
      <c r="A4129" s="66">
        <v>46069.333578217593</v>
      </c>
      <c r="B4129" s="49" t="s">
        <v>9191</v>
      </c>
    </row>
    <row r="4130" spans="1:2">
      <c r="A4130" s="66">
        <v>46069.360173518522</v>
      </c>
      <c r="B4130" s="49"/>
    </row>
    <row r="4131" spans="1:2">
      <c r="A4131" s="66">
        <v>46069.584789398148</v>
      </c>
      <c r="B4131" s="49" t="s">
        <v>10538</v>
      </c>
    </row>
    <row r="4132" spans="1:2">
      <c r="A4132" s="66">
        <v>46069.584793495371</v>
      </c>
      <c r="B4132" s="49" t="s">
        <v>10466</v>
      </c>
    </row>
    <row r="4133" spans="1:2">
      <c r="A4133" s="66">
        <v>46069.584801064819</v>
      </c>
      <c r="B4133" s="49" t="s">
        <v>9191</v>
      </c>
    </row>
    <row r="4134" spans="1:2">
      <c r="A4134" s="66">
        <v>46070.253518587968</v>
      </c>
      <c r="B4134" s="49"/>
    </row>
    <row r="4135" spans="1:2">
      <c r="A4135" s="66">
        <v>46070.253566134255</v>
      </c>
      <c r="B4135" s="49"/>
    </row>
    <row r="4136" spans="1:2">
      <c r="A4136" s="66">
        <v>46070.253645578705</v>
      </c>
      <c r="B4136" s="49"/>
    </row>
    <row r="4137" spans="1:2">
      <c r="A4137" s="66">
        <v>46070.25368819444</v>
      </c>
      <c r="B4137" s="49"/>
    </row>
    <row r="4138" spans="1:2">
      <c r="A4138" s="66">
        <v>46070.2537209375</v>
      </c>
      <c r="B4138" s="49"/>
    </row>
    <row r="4139" spans="1:2">
      <c r="A4139" s="66">
        <v>46070.253788888891</v>
      </c>
      <c r="B4139" s="49"/>
    </row>
    <row r="4140" spans="1:2">
      <c r="A4140" s="66">
        <v>46070.253818333338</v>
      </c>
      <c r="B4140" s="49"/>
    </row>
    <row r="4141" spans="1:2">
      <c r="A4141" s="66">
        <v>46070.312928750005</v>
      </c>
      <c r="B4141" s="49" t="s">
        <v>10539</v>
      </c>
    </row>
    <row r="4142" spans="1:2">
      <c r="A4142" s="66">
        <v>46070.312933935187</v>
      </c>
      <c r="B4142" s="49" t="s">
        <v>10466</v>
      </c>
    </row>
    <row r="4143" spans="1:2">
      <c r="A4143" s="66">
        <v>46070.312952453707</v>
      </c>
      <c r="B4143" s="49" t="s">
        <v>9394</v>
      </c>
    </row>
    <row r="4144" spans="1:2">
      <c r="A4144" s="66">
        <v>46070.312960300929</v>
      </c>
      <c r="B4144" s="49" t="s">
        <v>9191</v>
      </c>
    </row>
    <row r="4145" spans="1:2">
      <c r="A4145" s="66">
        <v>46070.320197939815</v>
      </c>
      <c r="B4145" s="49"/>
    </row>
    <row r="4146" spans="1:2">
      <c r="A4146" s="66">
        <v>46070.320366192129</v>
      </c>
      <c r="B4146" s="49"/>
    </row>
    <row r="4147" spans="1:2">
      <c r="A4147" s="66">
        <v>46070.571432430559</v>
      </c>
      <c r="B4147" s="49" t="s">
        <v>10539</v>
      </c>
    </row>
    <row r="4148" spans="1:2">
      <c r="A4148" s="66">
        <v>46070.571437858795</v>
      </c>
      <c r="B4148" s="49" t="s">
        <v>10466</v>
      </c>
    </row>
    <row r="4149" spans="1:2">
      <c r="A4149" s="66">
        <v>46070.57145570602</v>
      </c>
      <c r="B4149" s="49" t="s">
        <v>9394</v>
      </c>
    </row>
    <row r="4150" spans="1:2">
      <c r="A4150" s="66">
        <v>46070.571473611111</v>
      </c>
      <c r="B4150" s="49" t="s">
        <v>9191</v>
      </c>
    </row>
    <row r="4151" spans="1:2">
      <c r="A4151" s="66">
        <v>46071.146225127319</v>
      </c>
      <c r="B4151" s="49" t="s">
        <v>10540</v>
      </c>
    </row>
    <row r="4152" spans="1:2">
      <c r="A4152" s="66">
        <v>46071.146228136575</v>
      </c>
      <c r="B4152" s="49" t="s">
        <v>10466</v>
      </c>
    </row>
    <row r="4153" spans="1:2">
      <c r="A4153" s="66">
        <v>46071.14624574074</v>
      </c>
      <c r="B4153" s="49" t="s">
        <v>9394</v>
      </c>
    </row>
    <row r="4154" spans="1:2">
      <c r="A4154" s="66">
        <v>46071.146261250004</v>
      </c>
      <c r="B4154" s="49" t="s">
        <v>9191</v>
      </c>
    </row>
    <row r="4155" spans="1:2">
      <c r="A4155" s="66">
        <v>46071.168897719908</v>
      </c>
      <c r="B4155" s="49" t="s">
        <v>10540</v>
      </c>
    </row>
    <row r="4156" spans="1:2">
      <c r="A4156" s="66">
        <v>46071.168900787037</v>
      </c>
      <c r="B4156" s="49" t="s">
        <v>10466</v>
      </c>
    </row>
    <row r="4157" spans="1:2">
      <c r="A4157" s="66">
        <v>46071.168928333333</v>
      </c>
      <c r="B4157" s="49" t="s">
        <v>10541</v>
      </c>
    </row>
    <row r="4158" spans="1:2">
      <c r="A4158" s="66">
        <v>46071.168938576389</v>
      </c>
      <c r="B4158" s="49" t="s">
        <v>9221</v>
      </c>
    </row>
    <row r="4159" spans="1:2">
      <c r="A4159" s="66">
        <v>46071.168966446756</v>
      </c>
      <c r="B4159" s="49" t="s">
        <v>10540</v>
      </c>
    </row>
    <row r="4160" spans="1:2">
      <c r="A4160" s="66">
        <v>46071.168969293984</v>
      </c>
      <c r="B4160" s="49" t="s">
        <v>10466</v>
      </c>
    </row>
    <row r="4161" spans="1:2">
      <c r="A4161" s="66">
        <v>46071.168992847219</v>
      </c>
      <c r="B4161" s="49" t="s">
        <v>10541</v>
      </c>
    </row>
    <row r="4162" spans="1:2">
      <c r="A4162" s="66">
        <v>46071.168996516208</v>
      </c>
      <c r="B4162" s="49" t="s">
        <v>9221</v>
      </c>
    </row>
    <row r="4163" spans="1:2">
      <c r="A4163" s="66">
        <v>46071.169049826392</v>
      </c>
      <c r="B4163" s="49" t="s">
        <v>10540</v>
      </c>
    </row>
    <row r="4164" spans="1:2">
      <c r="A4164" s="66">
        <v>46071.169053773148</v>
      </c>
      <c r="B4164" s="49" t="s">
        <v>10466</v>
      </c>
    </row>
    <row r="4165" spans="1:2">
      <c r="A4165" s="66">
        <v>46071.169083217595</v>
      </c>
      <c r="B4165" s="49" t="s">
        <v>10541</v>
      </c>
    </row>
    <row r="4166" spans="1:2">
      <c r="A4166" s="66">
        <v>46071.169087337963</v>
      </c>
      <c r="B4166" s="49" t="s">
        <v>9221</v>
      </c>
    </row>
    <row r="4167" spans="1:2">
      <c r="A4167" s="66">
        <v>46071.169168680557</v>
      </c>
      <c r="B4167" s="49" t="s">
        <v>10540</v>
      </c>
    </row>
    <row r="4168" spans="1:2">
      <c r="A4168" s="66">
        <v>46071.169172696755</v>
      </c>
      <c r="B4168" s="49" t="s">
        <v>10466</v>
      </c>
    </row>
    <row r="4169" spans="1:2">
      <c r="A4169" s="66">
        <v>46071.169198900461</v>
      </c>
      <c r="B4169" s="49" t="s">
        <v>10541</v>
      </c>
    </row>
    <row r="4170" spans="1:2">
      <c r="A4170" s="66">
        <v>46071.169208078703</v>
      </c>
      <c r="B4170" s="49" t="s">
        <v>9221</v>
      </c>
    </row>
    <row r="4171" spans="1:2">
      <c r="A4171" s="66">
        <v>46071.169329062497</v>
      </c>
      <c r="B4171" s="49" t="s">
        <v>10540</v>
      </c>
    </row>
    <row r="4172" spans="1:2">
      <c r="A4172" s="66">
        <v>46071.169331817131</v>
      </c>
      <c r="B4172" s="49" t="s">
        <v>10466</v>
      </c>
    </row>
    <row r="4173" spans="1:2">
      <c r="A4173" s="66">
        <v>46071.169357488427</v>
      </c>
      <c r="B4173" s="49" t="s">
        <v>10541</v>
      </c>
    </row>
    <row r="4174" spans="1:2">
      <c r="A4174" s="66">
        <v>46071.169362071756</v>
      </c>
      <c r="B4174" s="49" t="s">
        <v>9221</v>
      </c>
    </row>
    <row r="4175" spans="1:2">
      <c r="A4175" s="66">
        <v>46071.169575648149</v>
      </c>
      <c r="B4175" s="49" t="s">
        <v>10540</v>
      </c>
    </row>
    <row r="4176" spans="1:2">
      <c r="A4176" s="66">
        <v>46071.169578425921</v>
      </c>
      <c r="B4176" s="49" t="s">
        <v>10466</v>
      </c>
    </row>
    <row r="4177" spans="1:2">
      <c r="A4177" s="66">
        <v>46071.169610127312</v>
      </c>
      <c r="B4177" s="49" t="s">
        <v>10541</v>
      </c>
    </row>
    <row r="4178" spans="1:2">
      <c r="A4178" s="66">
        <v>46071.169624629634</v>
      </c>
      <c r="B4178" s="49" t="s">
        <v>9221</v>
      </c>
    </row>
    <row r="4179" spans="1:2">
      <c r="A4179" s="66">
        <v>46071.17002409722</v>
      </c>
      <c r="B4179" s="49" t="s">
        <v>10540</v>
      </c>
    </row>
    <row r="4180" spans="1:2">
      <c r="A4180" s="66">
        <v>46071.170026724532</v>
      </c>
      <c r="B4180" s="49" t="s">
        <v>10466</v>
      </c>
    </row>
    <row r="4181" spans="1:2">
      <c r="A4181" s="66">
        <v>46071.170056863426</v>
      </c>
      <c r="B4181" s="49" t="s">
        <v>10541</v>
      </c>
    </row>
    <row r="4182" spans="1:2">
      <c r="A4182" s="66">
        <v>46071.170060370372</v>
      </c>
      <c r="B4182" s="49" t="s">
        <v>9221</v>
      </c>
    </row>
    <row r="4183" spans="1:2">
      <c r="A4183" s="66">
        <v>46071.170724097217</v>
      </c>
      <c r="B4183" s="49" t="s">
        <v>10540</v>
      </c>
    </row>
    <row r="4184" spans="1:2">
      <c r="A4184" s="66">
        <v>46071.170728252313</v>
      </c>
      <c r="B4184" s="49" t="s">
        <v>10466</v>
      </c>
    </row>
    <row r="4185" spans="1:2">
      <c r="A4185" s="66">
        <v>46071.170753020837</v>
      </c>
      <c r="B4185" s="49" t="s">
        <v>10541</v>
      </c>
    </row>
    <row r="4186" spans="1:2">
      <c r="A4186" s="66">
        <v>46071.170756192128</v>
      </c>
      <c r="B4186" s="49" t="s">
        <v>10542</v>
      </c>
    </row>
    <row r="4187" spans="1:2">
      <c r="A4187" s="66">
        <v>46071.170758344902</v>
      </c>
      <c r="B4187" s="49" t="s">
        <v>10543</v>
      </c>
    </row>
    <row r="4188" spans="1:2">
      <c r="A4188" s="66">
        <v>46071.17076061343</v>
      </c>
      <c r="B4188" s="49" t="s">
        <v>9394</v>
      </c>
    </row>
    <row r="4189" spans="1:2">
      <c r="A4189" s="66">
        <v>46071.170789178243</v>
      </c>
      <c r="B4189" s="49" t="s">
        <v>10540</v>
      </c>
    </row>
    <row r="4190" spans="1:2">
      <c r="A4190" s="66">
        <v>46071.170792222227</v>
      </c>
      <c r="B4190" s="49" t="s">
        <v>10466</v>
      </c>
    </row>
    <row r="4191" spans="1:2">
      <c r="A4191" s="66">
        <v>46071.170816296297</v>
      </c>
      <c r="B4191" s="49" t="s">
        <v>10541</v>
      </c>
    </row>
    <row r="4192" spans="1:2">
      <c r="A4192" s="66">
        <v>46071.170819594903</v>
      </c>
      <c r="B4192" s="49" t="s">
        <v>10542</v>
      </c>
    </row>
    <row r="4193" spans="1:2">
      <c r="A4193" s="66">
        <v>46071.170822997687</v>
      </c>
      <c r="B4193" s="49" t="s">
        <v>10543</v>
      </c>
    </row>
    <row r="4194" spans="1:2">
      <c r="A4194" s="66">
        <v>46071.170826284724</v>
      </c>
      <c r="B4194" s="49" t="s">
        <v>9394</v>
      </c>
    </row>
    <row r="4195" spans="1:2">
      <c r="A4195" s="66">
        <v>46071.17087671296</v>
      </c>
      <c r="B4195" s="49" t="s">
        <v>10540</v>
      </c>
    </row>
    <row r="4196" spans="1:2">
      <c r="A4196" s="66">
        <v>46071.170879074074</v>
      </c>
      <c r="B4196" s="49" t="s">
        <v>10466</v>
      </c>
    </row>
    <row r="4197" spans="1:2">
      <c r="A4197" s="66">
        <v>46071.17091184028</v>
      </c>
      <c r="B4197" s="49" t="s">
        <v>10541</v>
      </c>
    </row>
    <row r="4198" spans="1:2">
      <c r="A4198" s="66">
        <v>46071.170915428243</v>
      </c>
      <c r="B4198" s="49" t="s">
        <v>10542</v>
      </c>
    </row>
    <row r="4199" spans="1:2">
      <c r="A4199" s="66">
        <v>46071.170917916665</v>
      </c>
      <c r="B4199" s="49" t="s">
        <v>10543</v>
      </c>
    </row>
    <row r="4200" spans="1:2">
      <c r="A4200" s="66">
        <v>46071.170920393517</v>
      </c>
      <c r="B4200" s="49" t="s">
        <v>9394</v>
      </c>
    </row>
    <row r="4201" spans="1:2">
      <c r="A4201" s="66">
        <v>46071.170995046297</v>
      </c>
      <c r="B4201" s="49" t="s">
        <v>10540</v>
      </c>
    </row>
    <row r="4202" spans="1:2">
      <c r="A4202" s="66">
        <v>46071.170997662033</v>
      </c>
      <c r="B4202" s="49" t="s">
        <v>10466</v>
      </c>
    </row>
    <row r="4203" spans="1:2">
      <c r="A4203" s="66">
        <v>46071.171020416667</v>
      </c>
      <c r="B4203" s="49" t="s">
        <v>10541</v>
      </c>
    </row>
    <row r="4204" spans="1:2">
      <c r="A4204" s="66">
        <v>46071.171023773146</v>
      </c>
      <c r="B4204" s="49" t="s">
        <v>10542</v>
      </c>
    </row>
    <row r="4205" spans="1:2">
      <c r="A4205" s="66">
        <v>46071.171026689815</v>
      </c>
      <c r="B4205" s="49" t="s">
        <v>10543</v>
      </c>
    </row>
    <row r="4206" spans="1:2">
      <c r="A4206" s="66">
        <v>46071.171029641206</v>
      </c>
      <c r="B4206" s="49" t="s">
        <v>9394</v>
      </c>
    </row>
    <row r="4207" spans="1:2">
      <c r="A4207" s="66">
        <v>46071.171150844908</v>
      </c>
      <c r="B4207" s="49" t="s">
        <v>10540</v>
      </c>
    </row>
    <row r="4208" spans="1:2">
      <c r="A4208" s="66">
        <v>46071.171153287039</v>
      </c>
      <c r="B4208" s="49" t="s">
        <v>10466</v>
      </c>
    </row>
    <row r="4209" spans="1:2">
      <c r="A4209" s="66">
        <v>46071.171177187498</v>
      </c>
      <c r="B4209" s="49" t="s">
        <v>10541</v>
      </c>
    </row>
    <row r="4210" spans="1:2">
      <c r="A4210" s="66">
        <v>46071.171183530096</v>
      </c>
      <c r="B4210" s="49" t="s">
        <v>10542</v>
      </c>
    </row>
    <row r="4211" spans="1:2">
      <c r="A4211" s="66">
        <v>46071.171185983796</v>
      </c>
      <c r="B4211" s="49" t="s">
        <v>10543</v>
      </c>
    </row>
    <row r="4212" spans="1:2">
      <c r="A4212" s="66">
        <v>46071.171189039349</v>
      </c>
      <c r="B4212" s="49" t="s">
        <v>9394</v>
      </c>
    </row>
    <row r="4213" spans="1:2">
      <c r="A4213" s="66">
        <v>46071.171401504631</v>
      </c>
      <c r="B4213" s="49" t="s">
        <v>10540</v>
      </c>
    </row>
    <row r="4214" spans="1:2">
      <c r="A4214" s="66">
        <v>46071.171405844907</v>
      </c>
      <c r="B4214" s="49" t="s">
        <v>10466</v>
      </c>
    </row>
    <row r="4215" spans="1:2">
      <c r="A4215" s="66">
        <v>46071.171440393518</v>
      </c>
      <c r="B4215" s="49" t="s">
        <v>10541</v>
      </c>
    </row>
    <row r="4216" spans="1:2">
      <c r="A4216" s="66">
        <v>46071.171444479165</v>
      </c>
      <c r="B4216" s="49" t="s">
        <v>10542</v>
      </c>
    </row>
    <row r="4217" spans="1:2">
      <c r="A4217" s="66">
        <v>46071.171448634261</v>
      </c>
      <c r="B4217" s="49" t="s">
        <v>10543</v>
      </c>
    </row>
    <row r="4218" spans="1:2">
      <c r="A4218" s="66">
        <v>46071.171453240742</v>
      </c>
      <c r="B4218" s="49" t="s">
        <v>9394</v>
      </c>
    </row>
    <row r="4219" spans="1:2">
      <c r="A4219" s="66">
        <v>46071.171856909721</v>
      </c>
      <c r="B4219" s="49" t="s">
        <v>10540</v>
      </c>
    </row>
    <row r="4220" spans="1:2">
      <c r="A4220" s="66">
        <v>46071.171859212962</v>
      </c>
      <c r="B4220" s="49" t="s">
        <v>10466</v>
      </c>
    </row>
    <row r="4221" spans="1:2">
      <c r="A4221" s="66">
        <v>46071.171892673607</v>
      </c>
      <c r="B4221" s="49" t="s">
        <v>10541</v>
      </c>
    </row>
    <row r="4222" spans="1:2">
      <c r="A4222" s="66">
        <v>46071.171896134256</v>
      </c>
      <c r="B4222" s="49" t="s">
        <v>10542</v>
      </c>
    </row>
    <row r="4223" spans="1:2">
      <c r="A4223" s="66">
        <v>46071.171898807872</v>
      </c>
      <c r="B4223" s="49" t="s">
        <v>10543</v>
      </c>
    </row>
    <row r="4224" spans="1:2">
      <c r="A4224" s="66">
        <v>46071.171902511574</v>
      </c>
      <c r="B4224" s="49" t="s">
        <v>9394</v>
      </c>
    </row>
    <row r="4225" spans="1:2">
      <c r="A4225" s="66">
        <v>46071.172669085645</v>
      </c>
      <c r="B4225" s="49" t="s">
        <v>10540</v>
      </c>
    </row>
    <row r="4226" spans="1:2">
      <c r="A4226" s="66">
        <v>46071.172672777779</v>
      </c>
      <c r="B4226" s="49" t="s">
        <v>10466</v>
      </c>
    </row>
    <row r="4227" spans="1:2">
      <c r="A4227" s="66">
        <v>46071.172699918985</v>
      </c>
      <c r="B4227" s="49" t="s">
        <v>10541</v>
      </c>
    </row>
    <row r="4228" spans="1:2">
      <c r="A4228" s="66">
        <v>46071.172704016208</v>
      </c>
      <c r="B4228" s="49" t="s">
        <v>10542</v>
      </c>
    </row>
    <row r="4229" spans="1:2">
      <c r="A4229" s="66">
        <v>46071.172708020837</v>
      </c>
      <c r="B4229" s="49" t="s">
        <v>10543</v>
      </c>
    </row>
    <row r="4230" spans="1:2">
      <c r="A4230" s="66">
        <v>46071.172711180552</v>
      </c>
      <c r="B4230" s="49" t="s">
        <v>9394</v>
      </c>
    </row>
    <row r="4231" spans="1:2">
      <c r="A4231" s="66">
        <v>46071.173766678243</v>
      </c>
      <c r="B4231" s="49" t="s">
        <v>10540</v>
      </c>
    </row>
    <row r="4232" spans="1:2">
      <c r="A4232" s="66">
        <v>46071.17376957176</v>
      </c>
      <c r="B4232" s="49" t="s">
        <v>10466</v>
      </c>
    </row>
    <row r="4233" spans="1:2">
      <c r="A4233" s="66">
        <v>46071.173791550929</v>
      </c>
      <c r="B4233" s="49" t="s">
        <v>10541</v>
      </c>
    </row>
    <row r="4234" spans="1:2">
      <c r="A4234" s="66">
        <v>46071.173794606482</v>
      </c>
      <c r="B4234" s="49" t="s">
        <v>10542</v>
      </c>
    </row>
    <row r="4235" spans="1:2">
      <c r="A4235" s="66">
        <v>46071.173797060183</v>
      </c>
      <c r="B4235" s="49" t="s">
        <v>10543</v>
      </c>
    </row>
    <row r="4236" spans="1:2">
      <c r="A4236" s="66">
        <v>46071.173799872689</v>
      </c>
      <c r="B4236" s="49" t="s">
        <v>9394</v>
      </c>
    </row>
    <row r="4237" spans="1:2">
      <c r="A4237" s="66">
        <v>46071.174544490743</v>
      </c>
      <c r="B4237" s="49" t="s">
        <v>10540</v>
      </c>
    </row>
    <row r="4238" spans="1:2">
      <c r="A4238" s="66">
        <v>46071.174548819443</v>
      </c>
      <c r="B4238" s="49" t="s">
        <v>10466</v>
      </c>
    </row>
    <row r="4239" spans="1:2">
      <c r="A4239" s="66">
        <v>46071.174579756946</v>
      </c>
      <c r="B4239" s="49" t="s">
        <v>10541</v>
      </c>
    </row>
    <row r="4240" spans="1:2">
      <c r="A4240" s="66">
        <v>46071.174583819447</v>
      </c>
      <c r="B4240" s="49" t="s">
        <v>10542</v>
      </c>
    </row>
    <row r="4241" spans="1:2">
      <c r="A4241" s="66">
        <v>46071.174587118054</v>
      </c>
      <c r="B4241" s="49" t="s">
        <v>10543</v>
      </c>
    </row>
    <row r="4242" spans="1:2">
      <c r="A4242" s="66">
        <v>46071.174590405091</v>
      </c>
      <c r="B4242" s="49" t="s">
        <v>9394</v>
      </c>
    </row>
    <row r="4243" spans="1:2">
      <c r="A4243" s="66">
        <v>46071.17565719907</v>
      </c>
      <c r="B4243" s="49" t="s">
        <v>10540</v>
      </c>
    </row>
    <row r="4244" spans="1:2">
      <c r="A4244" s="66">
        <v>46071.175660081019</v>
      </c>
      <c r="B4244" s="49" t="s">
        <v>10466</v>
      </c>
    </row>
    <row r="4245" spans="1:2">
      <c r="A4245" s="66">
        <v>46071.175689479162</v>
      </c>
      <c r="B4245" s="49" t="s">
        <v>10541</v>
      </c>
    </row>
    <row r="4246" spans="1:2">
      <c r="A4246" s="66">
        <v>46071.175692928242</v>
      </c>
      <c r="B4246" s="49" t="s">
        <v>10542</v>
      </c>
    </row>
    <row r="4247" spans="1:2">
      <c r="A4247" s="66">
        <v>46071.175695937505</v>
      </c>
      <c r="B4247" s="49" t="s">
        <v>10543</v>
      </c>
    </row>
    <row r="4248" spans="1:2">
      <c r="A4248" s="66">
        <v>46071.175698981482</v>
      </c>
      <c r="B4248" s="49" t="s">
        <v>9394</v>
      </c>
    </row>
    <row r="4249" spans="1:2">
      <c r="A4249" s="66">
        <v>46071.175994803241</v>
      </c>
      <c r="B4249" s="49" t="s">
        <v>10540</v>
      </c>
    </row>
    <row r="4250" spans="1:2">
      <c r="A4250" s="66">
        <v>46071.175998333332</v>
      </c>
      <c r="B4250" s="49" t="s">
        <v>10466</v>
      </c>
    </row>
    <row r="4251" spans="1:2">
      <c r="A4251" s="66">
        <v>46071.176023807871</v>
      </c>
      <c r="B4251" s="49" t="s">
        <v>10541</v>
      </c>
    </row>
    <row r="4252" spans="1:2">
      <c r="A4252" s="66">
        <v>46071.176026828703</v>
      </c>
      <c r="B4252" s="49" t="s">
        <v>10542</v>
      </c>
    </row>
    <row r="4253" spans="1:2">
      <c r="A4253" s="66">
        <v>46071.176030057875</v>
      </c>
      <c r="B4253" s="49" t="s">
        <v>10543</v>
      </c>
    </row>
    <row r="4254" spans="1:2">
      <c r="A4254" s="66">
        <v>46071.176032731484</v>
      </c>
      <c r="B4254" s="49" t="s">
        <v>9394</v>
      </c>
    </row>
    <row r="4255" spans="1:2">
      <c r="A4255" s="66">
        <v>46071.176063715277</v>
      </c>
      <c r="B4255" s="49" t="s">
        <v>10544</v>
      </c>
    </row>
    <row r="4256" spans="1:2">
      <c r="A4256" s="66">
        <v>46071.17611266204</v>
      </c>
      <c r="B4256" s="49" t="s">
        <v>10544</v>
      </c>
    </row>
    <row r="4257" spans="1:2">
      <c r="A4257" s="66">
        <v>46071.176184467593</v>
      </c>
      <c r="B4257" s="49" t="s">
        <v>10544</v>
      </c>
    </row>
    <row r="4258" spans="1:2">
      <c r="A4258" s="66">
        <v>46071.176304953704</v>
      </c>
      <c r="B4258" s="49" t="s">
        <v>10544</v>
      </c>
    </row>
    <row r="4259" spans="1:2">
      <c r="A4259" s="66">
        <v>46071.176514583334</v>
      </c>
      <c r="B4259" s="49" t="s">
        <v>10544</v>
      </c>
    </row>
    <row r="4260" spans="1:2">
      <c r="A4260" s="66">
        <v>46071.176909675924</v>
      </c>
      <c r="B4260" s="49" t="s">
        <v>10544</v>
      </c>
    </row>
    <row r="4261" spans="1:2">
      <c r="A4261" s="66">
        <v>46071.177686099538</v>
      </c>
      <c r="B4261" s="49" t="s">
        <v>10540</v>
      </c>
    </row>
    <row r="4262" spans="1:2">
      <c r="A4262" s="66">
        <v>46071.177689837961</v>
      </c>
      <c r="B4262" s="49" t="s">
        <v>10466</v>
      </c>
    </row>
    <row r="4263" spans="1:2">
      <c r="A4263" s="66">
        <v>46071.177716817125</v>
      </c>
      <c r="B4263" s="49" t="s">
        <v>10541</v>
      </c>
    </row>
    <row r="4264" spans="1:2">
      <c r="A4264" s="66">
        <v>46071.177720231484</v>
      </c>
      <c r="B4264" s="49" t="s">
        <v>10542</v>
      </c>
    </row>
    <row r="4265" spans="1:2">
      <c r="A4265" s="66">
        <v>46071.177723692133</v>
      </c>
      <c r="B4265" s="49" t="s">
        <v>10543</v>
      </c>
    </row>
    <row r="4266" spans="1:2">
      <c r="A4266" s="66">
        <v>46071.177726898153</v>
      </c>
      <c r="B4266" s="49" t="s">
        <v>9394</v>
      </c>
    </row>
    <row r="4267" spans="1:2">
      <c r="A4267" s="66">
        <v>46071.178576215279</v>
      </c>
      <c r="B4267" s="49" t="s">
        <v>10540</v>
      </c>
    </row>
    <row r="4268" spans="1:2">
      <c r="A4268" s="66">
        <v>46071.178580474538</v>
      </c>
      <c r="B4268" s="49" t="s">
        <v>10466</v>
      </c>
    </row>
    <row r="4269" spans="1:2">
      <c r="A4269" s="66">
        <v>46071.178609490744</v>
      </c>
      <c r="B4269" s="49" t="s">
        <v>10541</v>
      </c>
    </row>
    <row r="4270" spans="1:2">
      <c r="A4270" s="66">
        <v>46071.178613194439</v>
      </c>
      <c r="B4270" s="49" t="s">
        <v>10542</v>
      </c>
    </row>
    <row r="4271" spans="1:2">
      <c r="A4271" s="66">
        <v>46071.178617858794</v>
      </c>
      <c r="B4271" s="49" t="s">
        <v>10543</v>
      </c>
    </row>
    <row r="4272" spans="1:2">
      <c r="A4272" s="66">
        <v>46071.178621712963</v>
      </c>
      <c r="B4272" s="49" t="s">
        <v>9394</v>
      </c>
    </row>
    <row r="4273" spans="1:2">
      <c r="A4273" s="66">
        <v>46071.178648831017</v>
      </c>
      <c r="B4273" s="49" t="s">
        <v>10545</v>
      </c>
    </row>
    <row r="4274" spans="1:2">
      <c r="A4274" s="66">
        <v>46071.178696261573</v>
      </c>
      <c r="B4274" s="49" t="s">
        <v>10545</v>
      </c>
    </row>
    <row r="4275" spans="1:2">
      <c r="A4275" s="66">
        <v>46071.178768379628</v>
      </c>
      <c r="B4275" s="49" t="s">
        <v>10545</v>
      </c>
    </row>
    <row r="4276" spans="1:2">
      <c r="A4276" s="66">
        <v>46071.178891041665</v>
      </c>
      <c r="B4276" s="49" t="s">
        <v>10545</v>
      </c>
    </row>
    <row r="4277" spans="1:2">
      <c r="A4277" s="66">
        <v>46071.17910105324</v>
      </c>
      <c r="B4277" s="49" t="s">
        <v>10545</v>
      </c>
    </row>
    <row r="4278" spans="1:2">
      <c r="A4278" s="66">
        <v>46071.179509374997</v>
      </c>
      <c r="B4278" s="49" t="s">
        <v>10545</v>
      </c>
    </row>
    <row r="4279" spans="1:2">
      <c r="A4279" s="66">
        <v>46071.180277418985</v>
      </c>
      <c r="B4279" s="49" t="s">
        <v>10545</v>
      </c>
    </row>
    <row r="4280" spans="1:2">
      <c r="A4280" s="66">
        <v>46071.181402071757</v>
      </c>
      <c r="B4280" s="49" t="s">
        <v>10545</v>
      </c>
    </row>
    <row r="4281" spans="1:2">
      <c r="A4281" s="66">
        <v>46071.18260940972</v>
      </c>
      <c r="B4281" s="49" t="s">
        <v>10545</v>
      </c>
    </row>
    <row r="4282" spans="1:2">
      <c r="A4282" s="66">
        <v>46071.183737372688</v>
      </c>
      <c r="B4282" s="49" t="s">
        <v>10545</v>
      </c>
    </row>
    <row r="4283" spans="1:2">
      <c r="A4283" s="66">
        <v>46071.184941527783</v>
      </c>
      <c r="B4283" s="49" t="s">
        <v>10545</v>
      </c>
    </row>
    <row r="4284" spans="1:2">
      <c r="A4284" s="66">
        <v>46071.185880798614</v>
      </c>
      <c r="B4284" s="49" t="s">
        <v>10545</v>
      </c>
    </row>
    <row r="4285" spans="1:2">
      <c r="A4285" s="66">
        <v>46071.186681006948</v>
      </c>
      <c r="B4285" s="49" t="s">
        <v>10545</v>
      </c>
    </row>
    <row r="4286" spans="1:2">
      <c r="A4286" s="66">
        <v>46071.187689710649</v>
      </c>
      <c r="B4286" s="49" t="s">
        <v>10545</v>
      </c>
    </row>
    <row r="4287" spans="1:2">
      <c r="A4287" s="66">
        <v>46071.188814548615</v>
      </c>
      <c r="B4287" s="49" t="s">
        <v>10545</v>
      </c>
    </row>
    <row r="4288" spans="1:2">
      <c r="A4288" s="66">
        <v>46071.189825532405</v>
      </c>
      <c r="B4288" s="49" t="s">
        <v>10545</v>
      </c>
    </row>
    <row r="4289" spans="1:2">
      <c r="A4289" s="66">
        <v>46071.191184861113</v>
      </c>
      <c r="B4289" s="49" t="s">
        <v>10545</v>
      </c>
    </row>
    <row r="4290" spans="1:2">
      <c r="A4290" s="66">
        <v>46071.192396018523</v>
      </c>
      <c r="B4290" s="49" t="s">
        <v>10545</v>
      </c>
    </row>
    <row r="4291" spans="1:2">
      <c r="A4291" s="66">
        <v>46071.193289826391</v>
      </c>
      <c r="B4291" s="49" t="s">
        <v>10545</v>
      </c>
    </row>
    <row r="4292" spans="1:2">
      <c r="A4292" s="66">
        <v>46071.194241481484</v>
      </c>
      <c r="B4292" s="49" t="s">
        <v>10545</v>
      </c>
    </row>
    <row r="4293" spans="1:2">
      <c r="A4293" s="66">
        <v>46071.19565248843</v>
      </c>
      <c r="B4293" s="49" t="s">
        <v>10545</v>
      </c>
    </row>
    <row r="4294" spans="1:2">
      <c r="A4294" s="66">
        <v>46071.196422499997</v>
      </c>
      <c r="B4294" s="49" t="s">
        <v>10545</v>
      </c>
    </row>
    <row r="4295" spans="1:2">
      <c r="A4295" s="66">
        <v>46071.197787627316</v>
      </c>
      <c r="B4295" s="49" t="s">
        <v>10545</v>
      </c>
    </row>
    <row r="4296" spans="1:2">
      <c r="A4296" s="66">
        <v>46071.198763344903</v>
      </c>
      <c r="B4296" s="49" t="s">
        <v>10545</v>
      </c>
    </row>
    <row r="4297" spans="1:2">
      <c r="A4297" s="66">
        <v>46071.199576180559</v>
      </c>
      <c r="B4297" s="49" t="s">
        <v>10545</v>
      </c>
    </row>
    <row r="4298" spans="1:2">
      <c r="A4298" s="66">
        <v>46071.200785636574</v>
      </c>
      <c r="B4298" s="49" t="s">
        <v>10545</v>
      </c>
    </row>
    <row r="4299" spans="1:2">
      <c r="A4299" s="66">
        <v>46071.201954571763</v>
      </c>
      <c r="B4299" s="49" t="s">
        <v>10545</v>
      </c>
    </row>
    <row r="4300" spans="1:2">
      <c r="A4300" s="66">
        <v>46071.202720486108</v>
      </c>
      <c r="B4300" s="49" t="s">
        <v>10545</v>
      </c>
    </row>
    <row r="4301" spans="1:2">
      <c r="A4301" s="66">
        <v>46071.203714861113</v>
      </c>
      <c r="B4301" s="49" t="s">
        <v>10545</v>
      </c>
    </row>
    <row r="4302" spans="1:2">
      <c r="A4302" s="66">
        <v>46071.204778541665</v>
      </c>
      <c r="B4302" s="49" t="s">
        <v>10545</v>
      </c>
    </row>
    <row r="4303" spans="1:2">
      <c r="A4303" s="66">
        <v>46071.20611353009</v>
      </c>
      <c r="B4303" s="49" t="s">
        <v>10545</v>
      </c>
    </row>
    <row r="4304" spans="1:2">
      <c r="A4304" s="66">
        <v>46071.207519976851</v>
      </c>
      <c r="B4304" s="49" t="s">
        <v>10545</v>
      </c>
    </row>
    <row r="4305" spans="1:2">
      <c r="A4305" s="66">
        <v>46071.20888204861</v>
      </c>
      <c r="B4305" s="49" t="s">
        <v>10545</v>
      </c>
    </row>
    <row r="4306" spans="1:2">
      <c r="A4306" s="66">
        <v>46071.209653680555</v>
      </c>
      <c r="B4306" s="49" t="s">
        <v>10545</v>
      </c>
    </row>
    <row r="4307" spans="1:2">
      <c r="A4307" s="66">
        <v>46071.210928067128</v>
      </c>
      <c r="B4307" s="49" t="s">
        <v>10545</v>
      </c>
    </row>
    <row r="4308" spans="1:2">
      <c r="A4308" s="66">
        <v>46071.212189409722</v>
      </c>
      <c r="B4308" s="49" t="s">
        <v>10545</v>
      </c>
    </row>
    <row r="4309" spans="1:2">
      <c r="A4309" s="66">
        <v>46071.213512858798</v>
      </c>
      <c r="B4309" s="49" t="s">
        <v>10545</v>
      </c>
    </row>
    <row r="4310" spans="1:2">
      <c r="A4310" s="66">
        <v>46071.214754583329</v>
      </c>
      <c r="B4310" s="49" t="s">
        <v>10545</v>
      </c>
    </row>
    <row r="4311" spans="1:2">
      <c r="A4311" s="66">
        <v>46071.215744004629</v>
      </c>
      <c r="B4311" s="49" t="s">
        <v>10545</v>
      </c>
    </row>
    <row r="4312" spans="1:2">
      <c r="A4312" s="66">
        <v>46071.216615567129</v>
      </c>
      <c r="B4312" s="49" t="s">
        <v>10545</v>
      </c>
    </row>
    <row r="4313" spans="1:2">
      <c r="A4313" s="66">
        <v>46071.21750564815</v>
      </c>
      <c r="B4313" s="49" t="s">
        <v>10545</v>
      </c>
    </row>
    <row r="4314" spans="1:2">
      <c r="A4314" s="66">
        <v>46071.218641979169</v>
      </c>
      <c r="B4314" s="49" t="s">
        <v>10545</v>
      </c>
    </row>
    <row r="4315" spans="1:2">
      <c r="A4315" s="66">
        <v>46071.219497916667</v>
      </c>
      <c r="B4315" s="49" t="s">
        <v>10545</v>
      </c>
    </row>
    <row r="4316" spans="1:2">
      <c r="A4316" s="66">
        <v>46071.220852743056</v>
      </c>
      <c r="B4316" s="49" t="s">
        <v>10545</v>
      </c>
    </row>
    <row r="4317" spans="1:2">
      <c r="A4317" s="66">
        <v>46071.221892106478</v>
      </c>
      <c r="B4317" s="49" t="s">
        <v>10545</v>
      </c>
    </row>
    <row r="4318" spans="1:2">
      <c r="A4318" s="66">
        <v>46071.222850358798</v>
      </c>
      <c r="B4318" s="49" t="s">
        <v>10545</v>
      </c>
    </row>
    <row r="4319" spans="1:2">
      <c r="A4319" s="66">
        <v>46071.224142534724</v>
      </c>
      <c r="B4319" s="49" t="s">
        <v>10545</v>
      </c>
    </row>
    <row r="4320" spans="1:2">
      <c r="A4320" s="66">
        <v>46071.225387766201</v>
      </c>
      <c r="B4320" s="49" t="s">
        <v>10545</v>
      </c>
    </row>
    <row r="4321" spans="1:2">
      <c r="A4321" s="66">
        <v>46071.225412476851</v>
      </c>
      <c r="B4321" s="49" t="s">
        <v>10540</v>
      </c>
    </row>
    <row r="4322" spans="1:2">
      <c r="A4322" s="66">
        <v>46071.22541590278</v>
      </c>
      <c r="B4322" s="49" t="s">
        <v>10466</v>
      </c>
    </row>
    <row r="4323" spans="1:2">
      <c r="A4323" s="66">
        <v>46071.225444212963</v>
      </c>
      <c r="B4323" s="49" t="s">
        <v>10541</v>
      </c>
    </row>
    <row r="4324" spans="1:2">
      <c r="A4324" s="66">
        <v>46071.225447442128</v>
      </c>
      <c r="B4324" s="49" t="s">
        <v>10542</v>
      </c>
    </row>
    <row r="4325" spans="1:2">
      <c r="A4325" s="66">
        <v>46071.225450659724</v>
      </c>
      <c r="B4325" s="49" t="s">
        <v>10543</v>
      </c>
    </row>
    <row r="4326" spans="1:2">
      <c r="A4326" s="66">
        <v>46071.225453657404</v>
      </c>
      <c r="B4326" s="49" t="s">
        <v>9394</v>
      </c>
    </row>
    <row r="4327" spans="1:2">
      <c r="A4327" s="66">
        <v>46071.243461180551</v>
      </c>
      <c r="B4327" s="49" t="s">
        <v>10546</v>
      </c>
    </row>
    <row r="4328" spans="1:2">
      <c r="A4328" s="66">
        <v>46071.243463946761</v>
      </c>
      <c r="B4328" s="49" t="s">
        <v>10466</v>
      </c>
    </row>
    <row r="4329" spans="1:2">
      <c r="A4329" s="66">
        <v>46071.243493518516</v>
      </c>
      <c r="B4329" s="49" t="s">
        <v>10541</v>
      </c>
    </row>
    <row r="4330" spans="1:2">
      <c r="A4330" s="66">
        <v>46071.243496354167</v>
      </c>
      <c r="B4330" s="49" t="s">
        <v>10542</v>
      </c>
    </row>
    <row r="4331" spans="1:2">
      <c r="A4331" s="66">
        <v>46071.243498703705</v>
      </c>
      <c r="B4331" s="49" t="s">
        <v>10543</v>
      </c>
    </row>
    <row r="4332" spans="1:2">
      <c r="A4332" s="66">
        <v>46071.243501354169</v>
      </c>
      <c r="B4332" s="49" t="s">
        <v>9394</v>
      </c>
    </row>
    <row r="4333" spans="1:2">
      <c r="A4333" s="66">
        <v>46071.321925509255</v>
      </c>
      <c r="B4333" s="49"/>
    </row>
    <row r="4334" spans="1:2">
      <c r="A4334" s="66">
        <v>46071.322288726849</v>
      </c>
      <c r="B4334" s="49" t="s">
        <v>13124</v>
      </c>
    </row>
    <row r="4335" spans="1:2">
      <c r="A4335" s="66">
        <v>46071.322292083336</v>
      </c>
      <c r="B4335" s="49" t="s">
        <v>10547</v>
      </c>
    </row>
    <row r="4336" spans="1:2">
      <c r="A4336" s="66">
        <v>46071.322313009259</v>
      </c>
      <c r="B4336" s="49" t="s">
        <v>13124</v>
      </c>
    </row>
    <row r="4337" spans="1:2">
      <c r="A4337" s="66">
        <v>46071.322315752317</v>
      </c>
      <c r="B4337" s="49" t="s">
        <v>10548</v>
      </c>
    </row>
    <row r="4338" spans="1:2">
      <c r="A4338" s="66">
        <v>46071.322362615741</v>
      </c>
      <c r="B4338" s="49" t="s">
        <v>13124</v>
      </c>
    </row>
    <row r="4339" spans="1:2">
      <c r="A4339" s="66">
        <v>46071.322366782406</v>
      </c>
      <c r="B4339" s="49" t="s">
        <v>10549</v>
      </c>
    </row>
    <row r="4340" spans="1:2">
      <c r="A4340" s="66">
        <v>46071.322437604162</v>
      </c>
      <c r="B4340" s="49" t="s">
        <v>13124</v>
      </c>
    </row>
    <row r="4341" spans="1:2">
      <c r="A4341" s="66">
        <v>46071.322441099532</v>
      </c>
      <c r="B4341" s="49" t="s">
        <v>10550</v>
      </c>
    </row>
    <row r="4342" spans="1:2">
      <c r="A4342" s="66">
        <v>46071.322557858795</v>
      </c>
      <c r="B4342" s="49" t="s">
        <v>13124</v>
      </c>
    </row>
    <row r="4343" spans="1:2">
      <c r="A4343" s="66">
        <v>46071.322561168985</v>
      </c>
      <c r="B4343" s="49" t="s">
        <v>10551</v>
      </c>
    </row>
    <row r="4344" spans="1:2">
      <c r="A4344" s="66">
        <v>46071.322771469902</v>
      </c>
      <c r="B4344" s="49" t="s">
        <v>13124</v>
      </c>
    </row>
    <row r="4345" spans="1:2">
      <c r="A4345" s="66">
        <v>46071.322774745371</v>
      </c>
      <c r="B4345" s="49" t="s">
        <v>10552</v>
      </c>
    </row>
    <row r="4346" spans="1:2">
      <c r="A4346" s="66">
        <v>46071.323170115742</v>
      </c>
      <c r="B4346" s="49" t="s">
        <v>13124</v>
      </c>
    </row>
    <row r="4347" spans="1:2">
      <c r="A4347" s="66">
        <v>46071.323173831013</v>
      </c>
      <c r="B4347" s="49" t="s">
        <v>10553</v>
      </c>
    </row>
    <row r="4348" spans="1:2">
      <c r="A4348" s="66">
        <v>46071.323939699076</v>
      </c>
      <c r="B4348" s="49" t="s">
        <v>13124</v>
      </c>
    </row>
    <row r="4349" spans="1:2">
      <c r="A4349" s="66">
        <v>46071.323942662042</v>
      </c>
      <c r="B4349" s="49" t="s">
        <v>10554</v>
      </c>
    </row>
    <row r="4350" spans="1:2">
      <c r="A4350" s="66">
        <v>46071.324752673609</v>
      </c>
      <c r="B4350" s="49" t="s">
        <v>13124</v>
      </c>
    </row>
    <row r="4351" spans="1:2">
      <c r="A4351" s="66">
        <v>46071.324761597221</v>
      </c>
      <c r="B4351" s="49" t="s">
        <v>10555</v>
      </c>
    </row>
    <row r="4352" spans="1:2">
      <c r="A4352" s="66">
        <v>46071.325241168983</v>
      </c>
      <c r="B4352" s="49" t="s">
        <v>10556</v>
      </c>
    </row>
    <row r="4353" spans="1:2">
      <c r="A4353" s="66">
        <v>46071.325244236112</v>
      </c>
      <c r="B4353" s="49" t="s">
        <v>10557</v>
      </c>
    </row>
    <row r="4354" spans="1:2">
      <c r="A4354" s="66">
        <v>46071.325247488421</v>
      </c>
      <c r="B4354" s="49" t="s">
        <v>10558</v>
      </c>
    </row>
    <row r="4355" spans="1:2">
      <c r="A4355" s="66">
        <v>46071.32525248843</v>
      </c>
      <c r="B4355" s="49" t="s">
        <v>10559</v>
      </c>
    </row>
    <row r="4356" spans="1:2">
      <c r="A4356" s="66">
        <v>46071.325273773153</v>
      </c>
      <c r="B4356" s="49" t="s">
        <v>10556</v>
      </c>
    </row>
    <row r="4357" spans="1:2">
      <c r="A4357" s="66">
        <v>46071.325276863427</v>
      </c>
      <c r="B4357" s="49" t="s">
        <v>10557</v>
      </c>
    </row>
    <row r="4358" spans="1:2">
      <c r="A4358" s="66">
        <v>46071.325280000005</v>
      </c>
      <c r="B4358" s="49" t="s">
        <v>10558</v>
      </c>
    </row>
    <row r="4359" spans="1:2">
      <c r="A4359" s="66">
        <v>46071.325285115745</v>
      </c>
      <c r="B4359" s="49" t="s">
        <v>10559</v>
      </c>
    </row>
    <row r="4360" spans="1:2">
      <c r="A4360" s="66">
        <v>46071.325327361112</v>
      </c>
      <c r="B4360" s="49" t="s">
        <v>10556</v>
      </c>
    </row>
    <row r="4361" spans="1:2">
      <c r="A4361" s="66">
        <v>46071.325329872685</v>
      </c>
      <c r="B4361" s="49" t="s">
        <v>10557</v>
      </c>
    </row>
    <row r="4362" spans="1:2">
      <c r="A4362" s="66">
        <v>46071.325332442131</v>
      </c>
      <c r="B4362" s="49" t="s">
        <v>10558</v>
      </c>
    </row>
    <row r="4363" spans="1:2">
      <c r="A4363" s="66">
        <v>46071.325350358791</v>
      </c>
      <c r="B4363" s="49" t="s">
        <v>10559</v>
      </c>
    </row>
    <row r="4364" spans="1:2">
      <c r="A4364" s="66">
        <v>46071.325419965273</v>
      </c>
      <c r="B4364" s="49" t="s">
        <v>10556</v>
      </c>
    </row>
    <row r="4365" spans="1:2">
      <c r="A4365" s="66">
        <v>46071.325423599541</v>
      </c>
      <c r="B4365" s="49" t="s">
        <v>10557</v>
      </c>
    </row>
    <row r="4366" spans="1:2">
      <c r="A4366" s="66">
        <v>46071.325426747688</v>
      </c>
      <c r="B4366" s="49" t="s">
        <v>10558</v>
      </c>
    </row>
    <row r="4367" spans="1:2">
      <c r="A4367" s="66">
        <v>46071.325432071761</v>
      </c>
      <c r="B4367" s="49" t="s">
        <v>10559</v>
      </c>
    </row>
    <row r="4368" spans="1:2">
      <c r="A4368" s="66">
        <v>46071.325545451386</v>
      </c>
      <c r="B4368" s="49" t="s">
        <v>10556</v>
      </c>
    </row>
    <row r="4369" spans="1:2">
      <c r="A4369" s="66">
        <v>46071.325548796296</v>
      </c>
      <c r="B4369" s="49" t="s">
        <v>10557</v>
      </c>
    </row>
    <row r="4370" spans="1:2">
      <c r="A4370" s="66">
        <v>46071.325552268521</v>
      </c>
      <c r="B4370" s="49" t="s">
        <v>10558</v>
      </c>
    </row>
    <row r="4371" spans="1:2">
      <c r="A4371" s="66">
        <v>46071.325559409721</v>
      </c>
      <c r="B4371" s="49" t="s">
        <v>10559</v>
      </c>
    </row>
    <row r="4372" spans="1:2">
      <c r="A4372" s="66">
        <v>46071.325767754628</v>
      </c>
      <c r="B4372" s="49" t="s">
        <v>10556</v>
      </c>
    </row>
    <row r="4373" spans="1:2">
      <c r="A4373" s="66">
        <v>46071.325771331016</v>
      </c>
      <c r="B4373" s="49" t="s">
        <v>10557</v>
      </c>
    </row>
    <row r="4374" spans="1:2">
      <c r="A4374" s="66">
        <v>46071.325776030091</v>
      </c>
      <c r="B4374" s="49" t="s">
        <v>10558</v>
      </c>
    </row>
    <row r="4375" spans="1:2">
      <c r="A4375" s="66">
        <v>46071.325781782405</v>
      </c>
      <c r="B4375" s="49" t="s">
        <v>10559</v>
      </c>
    </row>
    <row r="4376" spans="1:2">
      <c r="A4376" s="66">
        <v>46071.326172233792</v>
      </c>
      <c r="B4376" s="49" t="s">
        <v>10556</v>
      </c>
    </row>
    <row r="4377" spans="1:2">
      <c r="A4377" s="66">
        <v>46071.326175254631</v>
      </c>
      <c r="B4377" s="49" t="s">
        <v>10557</v>
      </c>
    </row>
    <row r="4378" spans="1:2">
      <c r="A4378" s="66">
        <v>46071.326178275463</v>
      </c>
      <c r="B4378" s="49" t="s">
        <v>10558</v>
      </c>
    </row>
    <row r="4379" spans="1:2">
      <c r="A4379" s="66">
        <v>46071.326183842597</v>
      </c>
      <c r="B4379" s="49" t="s">
        <v>10559</v>
      </c>
    </row>
    <row r="4380" spans="1:2">
      <c r="A4380" s="66">
        <v>46071.326959317128</v>
      </c>
      <c r="B4380" s="49" t="s">
        <v>10556</v>
      </c>
    </row>
    <row r="4381" spans="1:2">
      <c r="A4381" s="66">
        <v>46071.326962604166</v>
      </c>
      <c r="B4381" s="49" t="s">
        <v>10557</v>
      </c>
    </row>
    <row r="4382" spans="1:2">
      <c r="A4382" s="66">
        <v>46071.326965972221</v>
      </c>
      <c r="B4382" s="49" t="s">
        <v>10558</v>
      </c>
    </row>
    <row r="4383" spans="1:2">
      <c r="A4383" s="66">
        <v>46071.326971736111</v>
      </c>
      <c r="B4383" s="49" t="s">
        <v>10559</v>
      </c>
    </row>
    <row r="4384" spans="1:2">
      <c r="A4384" s="66">
        <v>46071.328289155092</v>
      </c>
      <c r="B4384" s="49" t="s">
        <v>10556</v>
      </c>
    </row>
    <row r="4385" spans="1:2">
      <c r="A4385" s="66">
        <v>46071.328292233797</v>
      </c>
      <c r="B4385" s="49" t="s">
        <v>10557</v>
      </c>
    </row>
    <row r="4386" spans="1:2">
      <c r="A4386" s="66">
        <v>46071.328295601852</v>
      </c>
      <c r="B4386" s="49" t="s">
        <v>10558</v>
      </c>
    </row>
    <row r="4387" spans="1:2">
      <c r="A4387" s="66">
        <v>46071.328303726856</v>
      </c>
      <c r="B4387" s="49" t="s">
        <v>10559</v>
      </c>
    </row>
    <row r="4388" spans="1:2">
      <c r="A4388" s="66">
        <v>46071.328935231482</v>
      </c>
      <c r="B4388" s="49" t="s">
        <v>10556</v>
      </c>
    </row>
    <row r="4389" spans="1:2">
      <c r="A4389" s="66">
        <v>46071.328948923612</v>
      </c>
      <c r="B4389" s="49" t="s">
        <v>10557</v>
      </c>
    </row>
    <row r="4390" spans="1:2">
      <c r="A4390" s="66">
        <v>46071.328951469906</v>
      </c>
      <c r="B4390" s="49" t="s">
        <v>10558</v>
      </c>
    </row>
    <row r="4391" spans="1:2">
      <c r="A4391" s="66">
        <v>46071.328955138888</v>
      </c>
      <c r="B4391" s="49" t="s">
        <v>10560</v>
      </c>
    </row>
    <row r="4392" spans="1:2">
      <c r="A4392" s="66">
        <v>46071.328957685182</v>
      </c>
      <c r="B4392" s="49" t="s">
        <v>10546</v>
      </c>
    </row>
    <row r="4393" spans="1:2">
      <c r="A4393" s="66">
        <v>46071.328960358791</v>
      </c>
      <c r="B4393" s="49" t="s">
        <v>10466</v>
      </c>
    </row>
    <row r="4394" spans="1:2">
      <c r="A4394" s="66">
        <v>46071.328977569443</v>
      </c>
      <c r="B4394" s="49" t="s">
        <v>10561</v>
      </c>
    </row>
    <row r="4395" spans="1:2">
      <c r="A4395" s="66">
        <v>46071.32898017361</v>
      </c>
      <c r="B4395" s="49" t="s">
        <v>10562</v>
      </c>
    </row>
    <row r="4396" spans="1:2">
      <c r="A4396" s="66">
        <v>46071.328987766203</v>
      </c>
      <c r="B4396" s="49" t="s">
        <v>10563</v>
      </c>
    </row>
    <row r="4397" spans="1:2">
      <c r="A4397" s="66">
        <v>46071.329017800927</v>
      </c>
      <c r="B4397" s="49" t="s">
        <v>10541</v>
      </c>
    </row>
    <row r="4398" spans="1:2">
      <c r="A4398" s="66">
        <v>46071.329021041667</v>
      </c>
      <c r="B4398" s="49" t="s">
        <v>10542</v>
      </c>
    </row>
    <row r="4399" spans="1:2">
      <c r="A4399" s="66">
        <v>46071.329024340273</v>
      </c>
      <c r="B4399" s="49" t="s">
        <v>10543</v>
      </c>
    </row>
    <row r="4400" spans="1:2">
      <c r="A4400" s="66">
        <v>46071.32902892361</v>
      </c>
      <c r="B4400" s="49" t="s">
        <v>9394</v>
      </c>
    </row>
    <row r="4401" spans="1:2">
      <c r="A4401" s="66">
        <v>46071.329063784724</v>
      </c>
      <c r="B4401" s="49" t="s">
        <v>10556</v>
      </c>
    </row>
    <row r="4402" spans="1:2">
      <c r="A4402" s="66">
        <v>46071.329066539351</v>
      </c>
      <c r="B4402" s="49" t="s">
        <v>10557</v>
      </c>
    </row>
    <row r="4403" spans="1:2">
      <c r="A4403" s="66">
        <v>46071.329075856484</v>
      </c>
      <c r="B4403" s="49" t="s">
        <v>10558</v>
      </c>
    </row>
    <row r="4404" spans="1:2">
      <c r="A4404" s="66">
        <v>46071.329078923613</v>
      </c>
      <c r="B4404" s="49" t="s">
        <v>10559</v>
      </c>
    </row>
    <row r="4405" spans="1:2">
      <c r="A4405" s="66">
        <v>46071.329122731477</v>
      </c>
      <c r="B4405" s="49" t="s">
        <v>10556</v>
      </c>
    </row>
    <row r="4406" spans="1:2">
      <c r="A4406" s="66">
        <v>46071.329125879631</v>
      </c>
      <c r="B4406" s="49" t="s">
        <v>10557</v>
      </c>
    </row>
    <row r="4407" spans="1:2">
      <c r="A4407" s="66">
        <v>46071.329129062498</v>
      </c>
      <c r="B4407" s="49" t="s">
        <v>10558</v>
      </c>
    </row>
    <row r="4408" spans="1:2">
      <c r="A4408" s="66">
        <v>46071.329132800922</v>
      </c>
      <c r="B4408" s="49" t="s">
        <v>10559</v>
      </c>
    </row>
    <row r="4409" spans="1:2">
      <c r="A4409" s="66">
        <v>46071.329199803236</v>
      </c>
      <c r="B4409" s="49" t="s">
        <v>10556</v>
      </c>
    </row>
    <row r="4410" spans="1:2">
      <c r="A4410" s="66">
        <v>46071.329202905094</v>
      </c>
      <c r="B4410" s="49" t="s">
        <v>10557</v>
      </c>
    </row>
    <row r="4411" spans="1:2">
      <c r="A4411" s="66">
        <v>46071.329206018519</v>
      </c>
      <c r="B4411" s="49" t="s">
        <v>10558</v>
      </c>
    </row>
    <row r="4412" spans="1:2">
      <c r="A4412" s="66">
        <v>46071.329210138894</v>
      </c>
      <c r="B4412" s="49" t="s">
        <v>10559</v>
      </c>
    </row>
    <row r="4413" spans="1:2">
      <c r="A4413" s="66">
        <v>46071.329334305556</v>
      </c>
      <c r="B4413" s="49" t="s">
        <v>10556</v>
      </c>
    </row>
    <row r="4414" spans="1:2">
      <c r="A4414" s="66">
        <v>46071.329342523153</v>
      </c>
      <c r="B4414" s="49" t="s">
        <v>10557</v>
      </c>
    </row>
    <row r="4415" spans="1:2">
      <c r="A4415" s="66">
        <v>46071.329346099534</v>
      </c>
      <c r="B4415" s="49" t="s">
        <v>10558</v>
      </c>
    </row>
    <row r="4416" spans="1:2">
      <c r="A4416" s="66">
        <v>46071.329350231477</v>
      </c>
      <c r="B4416" s="49" t="s">
        <v>10559</v>
      </c>
    </row>
    <row r="4417" spans="1:2">
      <c r="A4417" s="66">
        <v>46071.329555659722</v>
      </c>
      <c r="B4417" s="49" t="s">
        <v>10556</v>
      </c>
    </row>
    <row r="4418" spans="1:2">
      <c r="A4418" s="66">
        <v>46071.329563912033</v>
      </c>
      <c r="B4418" s="49" t="s">
        <v>10557</v>
      </c>
    </row>
    <row r="4419" spans="1:2">
      <c r="A4419" s="66">
        <v>46071.329566238426</v>
      </c>
      <c r="B4419" s="49" t="s">
        <v>10558</v>
      </c>
    </row>
    <row r="4420" spans="1:2">
      <c r="A4420" s="66">
        <v>46071.329568969908</v>
      </c>
      <c r="B4420" s="49" t="s">
        <v>10559</v>
      </c>
    </row>
    <row r="4421" spans="1:2">
      <c r="A4421" s="66">
        <v>46071.329962835647</v>
      </c>
      <c r="B4421" s="49" t="s">
        <v>10556</v>
      </c>
    </row>
    <row r="4422" spans="1:2">
      <c r="A4422" s="66">
        <v>46071.329965856479</v>
      </c>
      <c r="B4422" s="49" t="s">
        <v>10557</v>
      </c>
    </row>
    <row r="4423" spans="1:2">
      <c r="A4423" s="66">
        <v>46071.329968935184</v>
      </c>
      <c r="B4423" s="49" t="s">
        <v>10558</v>
      </c>
    </row>
    <row r="4424" spans="1:2">
      <c r="A4424" s="66">
        <v>46071.329972650463</v>
      </c>
      <c r="B4424" s="49" t="s">
        <v>10559</v>
      </c>
    </row>
    <row r="4425" spans="1:2">
      <c r="A4425" s="66">
        <v>46071.330309444442</v>
      </c>
      <c r="B4425" s="49" t="s">
        <v>10556</v>
      </c>
    </row>
    <row r="4426" spans="1:2">
      <c r="A4426" s="66">
        <v>46071.330312430553</v>
      </c>
      <c r="B4426" s="49" t="s">
        <v>10557</v>
      </c>
    </row>
    <row r="4427" spans="1:2">
      <c r="A4427" s="66">
        <v>46071.330315370375</v>
      </c>
      <c r="B4427" s="49" t="s">
        <v>10546</v>
      </c>
    </row>
    <row r="4428" spans="1:2">
      <c r="A4428" s="66">
        <v>46071.330318414351</v>
      </c>
      <c r="B4428" s="49" t="s">
        <v>10466</v>
      </c>
    </row>
    <row r="4429" spans="1:2">
      <c r="A4429" s="66">
        <v>46071.33032168982</v>
      </c>
      <c r="B4429" s="49" t="s">
        <v>10561</v>
      </c>
    </row>
    <row r="4430" spans="1:2">
      <c r="A4430" s="66">
        <v>46071.330333657403</v>
      </c>
      <c r="B4430" s="49" t="s">
        <v>10562</v>
      </c>
    </row>
    <row r="4431" spans="1:2">
      <c r="A4431" s="66">
        <v>46071.330341319444</v>
      </c>
      <c r="B4431" s="49" t="s">
        <v>10563</v>
      </c>
    </row>
    <row r="4432" spans="1:2">
      <c r="A4432" s="66">
        <v>46071.33037019676</v>
      </c>
      <c r="B4432" s="49" t="s">
        <v>10541</v>
      </c>
    </row>
    <row r="4433" spans="1:2">
      <c r="A4433" s="66">
        <v>46071.330374120371</v>
      </c>
      <c r="B4433" s="49" t="s">
        <v>10542</v>
      </c>
    </row>
    <row r="4434" spans="1:2">
      <c r="A4434" s="66">
        <v>46071.330376967591</v>
      </c>
      <c r="B4434" s="49" t="s">
        <v>10543</v>
      </c>
    </row>
    <row r="4435" spans="1:2">
      <c r="A4435" s="66">
        <v>46071.330379872685</v>
      </c>
      <c r="B4435" s="49" t="s">
        <v>9394</v>
      </c>
    </row>
    <row r="4436" spans="1:2">
      <c r="A4436" s="66">
        <v>46071.330403680557</v>
      </c>
      <c r="B4436" s="49" t="s">
        <v>10556</v>
      </c>
    </row>
    <row r="4437" spans="1:2">
      <c r="A4437" s="66">
        <v>46071.33040770833</v>
      </c>
      <c r="B4437" s="49" t="s">
        <v>10557</v>
      </c>
    </row>
    <row r="4438" spans="1:2">
      <c r="A4438" s="66">
        <v>46071.330412453703</v>
      </c>
      <c r="B4438" s="49" t="s">
        <v>10546</v>
      </c>
    </row>
    <row r="4439" spans="1:2">
      <c r="A4439" s="66">
        <v>46071.330416585653</v>
      </c>
      <c r="B4439" s="49" t="s">
        <v>10466</v>
      </c>
    </row>
    <row r="4440" spans="1:2">
      <c r="A4440" s="66">
        <v>46071.330429074078</v>
      </c>
      <c r="B4440" s="49" t="s">
        <v>10561</v>
      </c>
    </row>
    <row r="4441" spans="1:2">
      <c r="A4441" s="66">
        <v>46071.330433043986</v>
      </c>
      <c r="B4441" s="49" t="s">
        <v>10562</v>
      </c>
    </row>
    <row r="4442" spans="1:2">
      <c r="A4442" s="66">
        <v>46071.330437199074</v>
      </c>
      <c r="B4442" s="49" t="s">
        <v>10563</v>
      </c>
    </row>
    <row r="4443" spans="1:2">
      <c r="A4443" s="66">
        <v>46071.330469444445</v>
      </c>
      <c r="B4443" s="49" t="s">
        <v>10541</v>
      </c>
    </row>
    <row r="4444" spans="1:2">
      <c r="A4444" s="66">
        <v>46071.330473530092</v>
      </c>
      <c r="B4444" s="49" t="s">
        <v>10542</v>
      </c>
    </row>
    <row r="4445" spans="1:2">
      <c r="A4445" s="66">
        <v>46071.33047700231</v>
      </c>
      <c r="B4445" s="49" t="s">
        <v>10543</v>
      </c>
    </row>
    <row r="4446" spans="1:2">
      <c r="A4446" s="66">
        <v>46071.330489502318</v>
      </c>
      <c r="B4446" s="49" t="s">
        <v>9394</v>
      </c>
    </row>
    <row r="4447" spans="1:2">
      <c r="A4447" s="66">
        <v>46071.330537326387</v>
      </c>
      <c r="B4447" s="49" t="s">
        <v>10556</v>
      </c>
    </row>
    <row r="4448" spans="1:2">
      <c r="A4448" s="66">
        <v>46071.33053983796</v>
      </c>
      <c r="B4448" s="49" t="s">
        <v>10557</v>
      </c>
    </row>
    <row r="4449" spans="1:2">
      <c r="A4449" s="66">
        <v>46071.330542291667</v>
      </c>
      <c r="B4449" s="49" t="s">
        <v>10546</v>
      </c>
    </row>
    <row r="4450" spans="1:2">
      <c r="A4450" s="66">
        <v>46071.330544814817</v>
      </c>
      <c r="B4450" s="49" t="s">
        <v>10466</v>
      </c>
    </row>
    <row r="4451" spans="1:2">
      <c r="A4451" s="66">
        <v>46071.330548425925</v>
      </c>
      <c r="B4451" s="49" t="s">
        <v>10561</v>
      </c>
    </row>
    <row r="4452" spans="1:2">
      <c r="A4452" s="66">
        <v>46071.330550879633</v>
      </c>
      <c r="B4452" s="49" t="s">
        <v>10562</v>
      </c>
    </row>
    <row r="4453" spans="1:2">
      <c r="A4453" s="66">
        <v>46071.330553622684</v>
      </c>
      <c r="B4453" s="49" t="s">
        <v>10563</v>
      </c>
    </row>
    <row r="4454" spans="1:2">
      <c r="A4454" s="66">
        <v>46071.330582719907</v>
      </c>
      <c r="B4454" s="49" t="s">
        <v>10541</v>
      </c>
    </row>
    <row r="4455" spans="1:2">
      <c r="A4455" s="66">
        <v>46071.330586249998</v>
      </c>
      <c r="B4455" s="49" t="s">
        <v>10542</v>
      </c>
    </row>
    <row r="4456" spans="1:2">
      <c r="A4456" s="66">
        <v>46071.330588831013</v>
      </c>
      <c r="B4456" s="49" t="s">
        <v>10543</v>
      </c>
    </row>
    <row r="4457" spans="1:2">
      <c r="A4457" s="66">
        <v>46071.330598831017</v>
      </c>
      <c r="B4457" s="49" t="s">
        <v>9394</v>
      </c>
    </row>
    <row r="4458" spans="1:2">
      <c r="A4458" s="66">
        <v>46071.330675092591</v>
      </c>
      <c r="B4458" s="49" t="s">
        <v>10556</v>
      </c>
    </row>
    <row r="4459" spans="1:2">
      <c r="A4459" s="66">
        <v>46071.330677719903</v>
      </c>
      <c r="B4459" s="49" t="s">
        <v>10557</v>
      </c>
    </row>
    <row r="4460" spans="1:2">
      <c r="A4460" s="66">
        <v>46071.330680451385</v>
      </c>
      <c r="B4460" s="49" t="s">
        <v>10546</v>
      </c>
    </row>
    <row r="4461" spans="1:2">
      <c r="A4461" s="66">
        <v>46071.33068298611</v>
      </c>
      <c r="B4461" s="49" t="s">
        <v>10466</v>
      </c>
    </row>
    <row r="4462" spans="1:2">
      <c r="A4462" s="66">
        <v>46071.33068564815</v>
      </c>
      <c r="B4462" s="49" t="s">
        <v>10561</v>
      </c>
    </row>
    <row r="4463" spans="1:2">
      <c r="A4463" s="66">
        <v>46071.330688240741</v>
      </c>
      <c r="B4463" s="49" t="s">
        <v>10562</v>
      </c>
    </row>
    <row r="4464" spans="1:2">
      <c r="A4464" s="66">
        <v>46071.33069101852</v>
      </c>
      <c r="B4464" s="49" t="s">
        <v>10563</v>
      </c>
    </row>
    <row r="4465" spans="1:2">
      <c r="A4465" s="66">
        <v>46071.33071248843</v>
      </c>
      <c r="B4465" s="49" t="s">
        <v>10541</v>
      </c>
    </row>
    <row r="4466" spans="1:2">
      <c r="A4466" s="66">
        <v>46071.330715694443</v>
      </c>
      <c r="B4466" s="49" t="s">
        <v>10542</v>
      </c>
    </row>
    <row r="4467" spans="1:2">
      <c r="A4467" s="66">
        <v>46071.330724212967</v>
      </c>
      <c r="B4467" s="49" t="s">
        <v>10543</v>
      </c>
    </row>
    <row r="4468" spans="1:2">
      <c r="A4468" s="66">
        <v>46071.33072868055</v>
      </c>
      <c r="B4468" s="49" t="s">
        <v>9394</v>
      </c>
    </row>
    <row r="4469" spans="1:2">
      <c r="A4469" s="66">
        <v>46071.330850254628</v>
      </c>
      <c r="B4469" s="49" t="s">
        <v>10556</v>
      </c>
    </row>
    <row r="4470" spans="1:2">
      <c r="A4470" s="66">
        <v>46071.3308540625</v>
      </c>
      <c r="B4470" s="49" t="s">
        <v>10557</v>
      </c>
    </row>
    <row r="4471" spans="1:2">
      <c r="A4471" s="66">
        <v>46071.33085810185</v>
      </c>
      <c r="B4471" s="49" t="s">
        <v>10546</v>
      </c>
    </row>
    <row r="4472" spans="1:2">
      <c r="A4472" s="66">
        <v>46071.33086188657</v>
      </c>
      <c r="B4472" s="49" t="s">
        <v>10466</v>
      </c>
    </row>
    <row r="4473" spans="1:2">
      <c r="A4473" s="66">
        <v>46071.330865729164</v>
      </c>
      <c r="B4473" s="49" t="s">
        <v>10561</v>
      </c>
    </row>
    <row r="4474" spans="1:2">
      <c r="A4474" s="66">
        <v>46071.330869687503</v>
      </c>
      <c r="B4474" s="49" t="s">
        <v>10562</v>
      </c>
    </row>
    <row r="4475" spans="1:2">
      <c r="A4475" s="66">
        <v>46071.330873506944</v>
      </c>
      <c r="B4475" s="49" t="s">
        <v>10563</v>
      </c>
    </row>
    <row r="4476" spans="1:2">
      <c r="A4476" s="66">
        <v>46071.330902974536</v>
      </c>
      <c r="B4476" s="49" t="s">
        <v>10541</v>
      </c>
    </row>
    <row r="4477" spans="1:2">
      <c r="A4477" s="66">
        <v>46071.330907268522</v>
      </c>
      <c r="B4477" s="49" t="s">
        <v>10542</v>
      </c>
    </row>
    <row r="4478" spans="1:2">
      <c r="A4478" s="66">
        <v>46071.330911111116</v>
      </c>
      <c r="B4478" s="49" t="s">
        <v>10543</v>
      </c>
    </row>
    <row r="4479" spans="1:2">
      <c r="A4479" s="66">
        <v>46071.33091478009</v>
      </c>
      <c r="B4479" s="49" t="s">
        <v>9394</v>
      </c>
    </row>
    <row r="4480" spans="1:2">
      <c r="A4480" s="66">
        <v>46071.331132650463</v>
      </c>
      <c r="B4480" s="49" t="s">
        <v>10556</v>
      </c>
    </row>
    <row r="4481" spans="1:2">
      <c r="A4481" s="66">
        <v>46071.331136064815</v>
      </c>
      <c r="B4481" s="49" t="s">
        <v>10557</v>
      </c>
    </row>
    <row r="4482" spans="1:2">
      <c r="A4482" s="66">
        <v>46071.331139837959</v>
      </c>
      <c r="B4482" s="49" t="s">
        <v>10546</v>
      </c>
    </row>
    <row r="4483" spans="1:2">
      <c r="A4483" s="66">
        <v>46071.331143206015</v>
      </c>
      <c r="B4483" s="49" t="s">
        <v>10466</v>
      </c>
    </row>
    <row r="4484" spans="1:2">
      <c r="A4484" s="66">
        <v>46071.331146863427</v>
      </c>
      <c r="B4484" s="49" t="s">
        <v>10561</v>
      </c>
    </row>
    <row r="4485" spans="1:2">
      <c r="A4485" s="66">
        <v>46071.331150266204</v>
      </c>
      <c r="B4485" s="49" t="s">
        <v>10562</v>
      </c>
    </row>
    <row r="4486" spans="1:2">
      <c r="A4486" s="66">
        <v>46071.33115351852</v>
      </c>
      <c r="B4486" s="49" t="s">
        <v>10563</v>
      </c>
    </row>
    <row r="4487" spans="1:2">
      <c r="A4487" s="66">
        <v>46071.331180844907</v>
      </c>
      <c r="B4487" s="49" t="s">
        <v>10541</v>
      </c>
    </row>
    <row r="4488" spans="1:2">
      <c r="A4488" s="66">
        <v>46071.331191053236</v>
      </c>
      <c r="B4488" s="49" t="s">
        <v>10542</v>
      </c>
    </row>
    <row r="4489" spans="1:2">
      <c r="A4489" s="66">
        <v>46071.331194236111</v>
      </c>
      <c r="B4489" s="49" t="s">
        <v>10543</v>
      </c>
    </row>
    <row r="4490" spans="1:2">
      <c r="A4490" s="66">
        <v>46071.331198229163</v>
      </c>
      <c r="B4490" s="49" t="s">
        <v>9394</v>
      </c>
    </row>
    <row r="4491" spans="1:2">
      <c r="A4491" s="66">
        <v>46071.331592268514</v>
      </c>
      <c r="B4491" s="49" t="s">
        <v>10556</v>
      </c>
    </row>
    <row r="4492" spans="1:2">
      <c r="A4492" s="66">
        <v>46071.331595162032</v>
      </c>
      <c r="B4492" s="49" t="s">
        <v>10557</v>
      </c>
    </row>
    <row r="4493" spans="1:2">
      <c r="A4493" s="66">
        <v>46071.331598344907</v>
      </c>
      <c r="B4493" s="49" t="s">
        <v>10546</v>
      </c>
    </row>
    <row r="4494" spans="1:2">
      <c r="A4494" s="66">
        <v>46071.33160125</v>
      </c>
      <c r="B4494" s="49" t="s">
        <v>10466</v>
      </c>
    </row>
    <row r="4495" spans="1:2">
      <c r="A4495" s="66">
        <v>46071.331604409723</v>
      </c>
      <c r="B4495" s="49" t="s">
        <v>10561</v>
      </c>
    </row>
    <row r="4496" spans="1:2">
      <c r="A4496" s="66">
        <v>46071.33160769676</v>
      </c>
      <c r="B4496" s="49" t="s">
        <v>10562</v>
      </c>
    </row>
    <row r="4497" spans="1:2">
      <c r="A4497" s="66">
        <v>46071.331610787034</v>
      </c>
      <c r="B4497" s="49" t="s">
        <v>10563</v>
      </c>
    </row>
    <row r="4498" spans="1:2">
      <c r="A4498" s="66">
        <v>46071.33163969907</v>
      </c>
      <c r="B4498" s="49" t="s">
        <v>10541</v>
      </c>
    </row>
    <row r="4499" spans="1:2">
      <c r="A4499" s="66">
        <v>46071.331643101847</v>
      </c>
      <c r="B4499" s="49" t="s">
        <v>10542</v>
      </c>
    </row>
    <row r="4500" spans="1:2">
      <c r="A4500" s="66">
        <v>46071.331646458333</v>
      </c>
      <c r="B4500" s="49" t="s">
        <v>10543</v>
      </c>
    </row>
    <row r="4501" spans="1:2">
      <c r="A4501" s="66">
        <v>46071.331649479165</v>
      </c>
      <c r="B4501" s="49" t="s">
        <v>9394</v>
      </c>
    </row>
    <row r="4502" spans="1:2">
      <c r="A4502" s="66">
        <v>46071.33241555556</v>
      </c>
      <c r="B4502" s="49" t="s">
        <v>10556</v>
      </c>
    </row>
    <row r="4503" spans="1:2">
      <c r="A4503" s="66">
        <v>46071.332419074075</v>
      </c>
      <c r="B4503" s="49" t="s">
        <v>10557</v>
      </c>
    </row>
    <row r="4504" spans="1:2">
      <c r="A4504" s="66">
        <v>46071.332424490742</v>
      </c>
      <c r="B4504" s="49" t="s">
        <v>10546</v>
      </c>
    </row>
    <row r="4505" spans="1:2">
      <c r="A4505" s="66">
        <v>46071.332428518523</v>
      </c>
      <c r="B4505" s="49" t="s">
        <v>10466</v>
      </c>
    </row>
    <row r="4506" spans="1:2">
      <c r="A4506" s="66">
        <v>46071.332431932868</v>
      </c>
      <c r="B4506" s="49" t="s">
        <v>10561</v>
      </c>
    </row>
    <row r="4507" spans="1:2">
      <c r="A4507" s="66">
        <v>46071.332435717588</v>
      </c>
      <c r="B4507" s="49" t="s">
        <v>10562</v>
      </c>
    </row>
    <row r="4508" spans="1:2">
      <c r="A4508" s="66">
        <v>46071.332440289349</v>
      </c>
      <c r="B4508" s="49" t="s">
        <v>10563</v>
      </c>
    </row>
    <row r="4509" spans="1:2">
      <c r="A4509" s="66">
        <v>46071.33247454861</v>
      </c>
      <c r="B4509" s="49" t="s">
        <v>10541</v>
      </c>
    </row>
    <row r="4510" spans="1:2">
      <c r="A4510" s="66">
        <v>46071.332478900462</v>
      </c>
      <c r="B4510" s="49" t="s">
        <v>10542</v>
      </c>
    </row>
    <row r="4511" spans="1:2">
      <c r="A4511" s="66">
        <v>46071.332482893515</v>
      </c>
      <c r="B4511" s="49" t="s">
        <v>10543</v>
      </c>
    </row>
    <row r="4512" spans="1:2">
      <c r="A4512" s="66">
        <v>46071.332487268519</v>
      </c>
      <c r="B4512" s="49" t="s">
        <v>9394</v>
      </c>
    </row>
    <row r="4513" spans="1:2">
      <c r="A4513" s="66">
        <v>46071.333354178241</v>
      </c>
      <c r="B4513" s="49" t="s">
        <v>10556</v>
      </c>
    </row>
    <row r="4514" spans="1:2">
      <c r="A4514" s="66">
        <v>46071.33335700231</v>
      </c>
      <c r="B4514" s="49" t="s">
        <v>10557</v>
      </c>
    </row>
    <row r="4515" spans="1:2">
      <c r="A4515" s="66">
        <v>46071.33335961806</v>
      </c>
      <c r="B4515" s="49" t="s">
        <v>10546</v>
      </c>
    </row>
    <row r="4516" spans="1:2">
      <c r="A4516" s="66">
        <v>46071.333362291669</v>
      </c>
      <c r="B4516" s="49" t="s">
        <v>10466</v>
      </c>
    </row>
    <row r="4517" spans="1:2">
      <c r="A4517" s="66">
        <v>46071.333364872684</v>
      </c>
      <c r="B4517" s="49" t="s">
        <v>10561</v>
      </c>
    </row>
    <row r="4518" spans="1:2">
      <c r="A4518" s="66">
        <v>46071.333367569445</v>
      </c>
      <c r="B4518" s="49" t="s">
        <v>10562</v>
      </c>
    </row>
    <row r="4519" spans="1:2">
      <c r="A4519" s="66">
        <v>46071.333370381944</v>
      </c>
      <c r="B4519" s="49" t="s">
        <v>10563</v>
      </c>
    </row>
    <row r="4520" spans="1:2">
      <c r="A4520" s="66">
        <v>46071.333390173611</v>
      </c>
      <c r="B4520" s="49" t="s">
        <v>10541</v>
      </c>
    </row>
    <row r="4521" spans="1:2">
      <c r="A4521" s="66">
        <v>46071.333395578702</v>
      </c>
      <c r="B4521" s="49" t="s">
        <v>10542</v>
      </c>
    </row>
    <row r="4522" spans="1:2">
      <c r="A4522" s="66">
        <v>46071.333406261576</v>
      </c>
      <c r="B4522" s="49" t="s">
        <v>10543</v>
      </c>
    </row>
    <row r="4523" spans="1:2">
      <c r="A4523" s="66">
        <v>46071.333408935185</v>
      </c>
      <c r="B4523" s="49" t="s">
        <v>9394</v>
      </c>
    </row>
    <row r="4524" spans="1:2">
      <c r="A4524" s="66">
        <v>46071.334795486109</v>
      </c>
      <c r="B4524" s="49" t="s">
        <v>10556</v>
      </c>
    </row>
    <row r="4525" spans="1:2">
      <c r="A4525" s="66">
        <v>46071.334799085649</v>
      </c>
      <c r="B4525" s="49" t="s">
        <v>10557</v>
      </c>
    </row>
    <row r="4526" spans="1:2">
      <c r="A4526" s="66">
        <v>46071.334802453704</v>
      </c>
      <c r="B4526" s="49" t="s">
        <v>10546</v>
      </c>
    </row>
    <row r="4527" spans="1:2">
      <c r="A4527" s="66">
        <v>46071.334805833336</v>
      </c>
      <c r="B4527" s="49" t="s">
        <v>10466</v>
      </c>
    </row>
    <row r="4528" spans="1:2">
      <c r="A4528" s="66">
        <v>46071.334809328706</v>
      </c>
      <c r="B4528" s="49" t="s">
        <v>10561</v>
      </c>
    </row>
    <row r="4529" spans="1:2">
      <c r="A4529" s="66">
        <v>46071.334812928239</v>
      </c>
      <c r="B4529" s="49" t="s">
        <v>10562</v>
      </c>
    </row>
    <row r="4530" spans="1:2">
      <c r="A4530" s="66">
        <v>46071.334816666669</v>
      </c>
      <c r="B4530" s="49" t="s">
        <v>10563</v>
      </c>
    </row>
    <row r="4531" spans="1:2">
      <c r="A4531" s="66">
        <v>46071.334840428244</v>
      </c>
      <c r="B4531" s="49" t="s">
        <v>10541</v>
      </c>
    </row>
    <row r="4532" spans="1:2">
      <c r="A4532" s="66">
        <v>46071.334844108795</v>
      </c>
      <c r="B4532" s="49" t="s">
        <v>10542</v>
      </c>
    </row>
    <row r="4533" spans="1:2">
      <c r="A4533" s="66">
        <v>46071.334847881946</v>
      </c>
      <c r="B4533" s="49" t="s">
        <v>10543</v>
      </c>
    </row>
    <row r="4534" spans="1:2">
      <c r="A4534" s="66">
        <v>46071.334851018517</v>
      </c>
      <c r="B4534" s="49" t="s">
        <v>9394</v>
      </c>
    </row>
    <row r="4535" spans="1:2">
      <c r="A4535" s="66">
        <v>46071.335970555556</v>
      </c>
      <c r="B4535" s="49" t="s">
        <v>10556</v>
      </c>
    </row>
    <row r="4536" spans="1:2">
      <c r="A4536" s="66">
        <v>46071.335973414352</v>
      </c>
      <c r="B4536" s="49" t="s">
        <v>10557</v>
      </c>
    </row>
    <row r="4537" spans="1:2">
      <c r="A4537" s="66">
        <v>46071.335976041664</v>
      </c>
      <c r="B4537" s="49" t="s">
        <v>10546</v>
      </c>
    </row>
    <row r="4538" spans="1:2">
      <c r="A4538" s="66">
        <v>46071.335978993055</v>
      </c>
      <c r="B4538" s="49" t="s">
        <v>10466</v>
      </c>
    </row>
    <row r="4539" spans="1:2">
      <c r="A4539" s="66">
        <v>46071.335981747688</v>
      </c>
      <c r="B4539" s="49" t="s">
        <v>10561</v>
      </c>
    </row>
    <row r="4540" spans="1:2">
      <c r="A4540" s="66">
        <v>46071.335989398147</v>
      </c>
      <c r="B4540" s="49" t="s">
        <v>10562</v>
      </c>
    </row>
    <row r="4541" spans="1:2">
      <c r="A4541" s="66">
        <v>46071.335992233799</v>
      </c>
      <c r="B4541" s="49" t="s">
        <v>10563</v>
      </c>
    </row>
    <row r="4542" spans="1:2">
      <c r="A4542" s="66">
        <v>46071.336013460648</v>
      </c>
      <c r="B4542" s="49" t="s">
        <v>10541</v>
      </c>
    </row>
    <row r="4543" spans="1:2">
      <c r="A4543" s="66">
        <v>46071.336016851856</v>
      </c>
      <c r="B4543" s="49" t="s">
        <v>10542</v>
      </c>
    </row>
    <row r="4544" spans="1:2">
      <c r="A4544" s="66">
        <v>46071.336020486109</v>
      </c>
      <c r="B4544" s="49" t="s">
        <v>10543</v>
      </c>
    </row>
    <row r="4545" spans="1:2">
      <c r="A4545" s="66">
        <v>46071.336026898149</v>
      </c>
      <c r="B4545" s="49" t="s">
        <v>9394</v>
      </c>
    </row>
    <row r="4546" spans="1:2">
      <c r="A4546" s="66">
        <v>46071.337192847219</v>
      </c>
      <c r="B4546" s="49" t="s">
        <v>10556</v>
      </c>
    </row>
    <row r="4547" spans="1:2">
      <c r="A4547" s="66">
        <v>46071.337196782406</v>
      </c>
      <c r="B4547" s="49" t="s">
        <v>10557</v>
      </c>
    </row>
    <row r="4548" spans="1:2">
      <c r="A4548" s="66">
        <v>46071.337199988426</v>
      </c>
      <c r="B4548" s="49" t="s">
        <v>10546</v>
      </c>
    </row>
    <row r="4549" spans="1:2">
      <c r="A4549" s="66">
        <v>46071.337203414354</v>
      </c>
      <c r="B4549" s="49" t="s">
        <v>10466</v>
      </c>
    </row>
    <row r="4550" spans="1:2">
      <c r="A4550" s="66">
        <v>46071.337207025463</v>
      </c>
      <c r="B4550" s="49" t="s">
        <v>10561</v>
      </c>
    </row>
    <row r="4551" spans="1:2">
      <c r="A4551" s="66">
        <v>46071.337210729165</v>
      </c>
      <c r="B4551" s="49" t="s">
        <v>10562</v>
      </c>
    </row>
    <row r="4552" spans="1:2">
      <c r="A4552" s="66">
        <v>46071.337214490741</v>
      </c>
      <c r="B4552" s="49" t="s">
        <v>10563</v>
      </c>
    </row>
    <row r="4553" spans="1:2">
      <c r="A4553" s="66">
        <v>46071.337243217597</v>
      </c>
      <c r="B4553" s="49" t="s">
        <v>10541</v>
      </c>
    </row>
    <row r="4554" spans="1:2">
      <c r="A4554" s="66">
        <v>46071.3372471412</v>
      </c>
      <c r="B4554" s="49" t="s">
        <v>10542</v>
      </c>
    </row>
    <row r="4555" spans="1:2">
      <c r="A4555" s="66">
        <v>46071.337251516205</v>
      </c>
      <c r="B4555" s="49" t="s">
        <v>10543</v>
      </c>
    </row>
    <row r="4556" spans="1:2">
      <c r="A4556" s="66">
        <v>46071.337255069448</v>
      </c>
      <c r="B4556" s="49" t="s">
        <v>9394</v>
      </c>
    </row>
    <row r="4557" spans="1:2">
      <c r="A4557" s="66">
        <v>46071.338214629628</v>
      </c>
      <c r="B4557" s="49" t="s">
        <v>10556</v>
      </c>
    </row>
    <row r="4558" spans="1:2">
      <c r="A4558" s="66">
        <v>46071.338217650467</v>
      </c>
      <c r="B4558" s="49" t="s">
        <v>10557</v>
      </c>
    </row>
    <row r="4559" spans="1:2">
      <c r="A4559" s="66">
        <v>46071.338220624995</v>
      </c>
      <c r="B4559" s="49" t="s">
        <v>10546</v>
      </c>
    </row>
    <row r="4560" spans="1:2">
      <c r="A4560" s="66">
        <v>46071.338223993051</v>
      </c>
      <c r="B4560" s="49" t="s">
        <v>10466</v>
      </c>
    </row>
    <row r="4561" spans="1:2">
      <c r="A4561" s="66">
        <v>46071.33822769676</v>
      </c>
      <c r="B4561" s="49" t="s">
        <v>10561</v>
      </c>
    </row>
    <row r="4562" spans="1:2">
      <c r="A4562" s="66">
        <v>46071.338230891204</v>
      </c>
      <c r="B4562" s="49" t="s">
        <v>10562</v>
      </c>
    </row>
    <row r="4563" spans="1:2">
      <c r="A4563" s="66">
        <v>46071.3382341088</v>
      </c>
      <c r="B4563" s="49" t="s">
        <v>10563</v>
      </c>
    </row>
    <row r="4564" spans="1:2">
      <c r="A4564" s="66">
        <v>46071.33825886574</v>
      </c>
      <c r="B4564" s="49" t="s">
        <v>10541</v>
      </c>
    </row>
    <row r="4565" spans="1:2">
      <c r="A4565" s="66">
        <v>46071.33826193287</v>
      </c>
      <c r="B4565" s="49" t="s">
        <v>10542</v>
      </c>
    </row>
    <row r="4566" spans="1:2">
      <c r="A4566" s="66">
        <v>46071.338265694445</v>
      </c>
      <c r="B4566" s="49" t="s">
        <v>10543</v>
      </c>
    </row>
    <row r="4567" spans="1:2">
      <c r="A4567" s="66">
        <v>46071.338269039348</v>
      </c>
      <c r="B4567" s="49" t="s">
        <v>9394</v>
      </c>
    </row>
    <row r="4568" spans="1:2">
      <c r="A4568" s="66">
        <v>46071.339658703699</v>
      </c>
      <c r="B4568" s="49" t="s">
        <v>10556</v>
      </c>
    </row>
    <row r="4569" spans="1:2">
      <c r="A4569" s="66">
        <v>46071.339661238424</v>
      </c>
      <c r="B4569" s="49" t="s">
        <v>10557</v>
      </c>
    </row>
    <row r="4570" spans="1:2">
      <c r="A4570" s="66">
        <v>46071.339663773149</v>
      </c>
      <c r="B4570" s="49" t="s">
        <v>10546</v>
      </c>
    </row>
    <row r="4571" spans="1:2">
      <c r="A4571" s="66">
        <v>46071.33967079861</v>
      </c>
      <c r="B4571" s="49" t="s">
        <v>10466</v>
      </c>
    </row>
    <row r="4572" spans="1:2">
      <c r="A4572" s="66">
        <v>46071.339679560188</v>
      </c>
      <c r="B4572" s="49" t="s">
        <v>10561</v>
      </c>
    </row>
    <row r="4573" spans="1:2">
      <c r="A4573" s="66">
        <v>46071.339682222228</v>
      </c>
      <c r="B4573" s="49" t="s">
        <v>10562</v>
      </c>
    </row>
    <row r="4574" spans="1:2">
      <c r="A4574" s="66">
        <v>46071.339684930557</v>
      </c>
      <c r="B4574" s="49" t="s">
        <v>10563</v>
      </c>
    </row>
    <row r="4575" spans="1:2">
      <c r="A4575" s="66">
        <v>46071.339711400462</v>
      </c>
      <c r="B4575" s="49" t="s">
        <v>10541</v>
      </c>
    </row>
    <row r="4576" spans="1:2">
      <c r="A4576" s="66">
        <v>46071.33971601852</v>
      </c>
      <c r="B4576" s="49" t="s">
        <v>10542</v>
      </c>
    </row>
    <row r="4577" spans="1:2">
      <c r="A4577" s="66">
        <v>46071.339718553238</v>
      </c>
      <c r="B4577" s="49" t="s">
        <v>10543</v>
      </c>
    </row>
    <row r="4578" spans="1:2">
      <c r="A4578" s="66">
        <v>46071.339721099532</v>
      </c>
      <c r="B4578" s="49" t="s">
        <v>9394</v>
      </c>
    </row>
    <row r="4579" spans="1:2">
      <c r="A4579" s="66">
        <v>46071.341085358799</v>
      </c>
      <c r="B4579" s="49" t="s">
        <v>10556</v>
      </c>
    </row>
    <row r="4580" spans="1:2">
      <c r="A4580" s="66">
        <v>46071.341088738423</v>
      </c>
      <c r="B4580" s="49" t="s">
        <v>10557</v>
      </c>
    </row>
    <row r="4581" spans="1:2">
      <c r="A4581" s="66">
        <v>46071.341092268514</v>
      </c>
      <c r="B4581" s="49" t="s">
        <v>10546</v>
      </c>
    </row>
    <row r="4582" spans="1:2">
      <c r="A4582" s="66">
        <v>46071.341095659722</v>
      </c>
      <c r="B4582" s="49" t="s">
        <v>10466</v>
      </c>
    </row>
    <row r="4583" spans="1:2">
      <c r="A4583" s="66">
        <v>46071.341098761579</v>
      </c>
      <c r="B4583" s="49" t="s">
        <v>10561</v>
      </c>
    </row>
    <row r="4584" spans="1:2">
      <c r="A4584" s="66">
        <v>46071.3411021875</v>
      </c>
      <c r="B4584" s="49" t="s">
        <v>10562</v>
      </c>
    </row>
    <row r="4585" spans="1:2">
      <c r="A4585" s="66">
        <v>46071.341105555555</v>
      </c>
      <c r="B4585" s="49" t="s">
        <v>10563</v>
      </c>
    </row>
    <row r="4586" spans="1:2">
      <c r="A4586" s="66">
        <v>46071.341132511574</v>
      </c>
      <c r="B4586" s="49" t="s">
        <v>10541</v>
      </c>
    </row>
    <row r="4587" spans="1:2">
      <c r="A4587" s="66">
        <v>46071.341136145835</v>
      </c>
      <c r="B4587" s="49" t="s">
        <v>10542</v>
      </c>
    </row>
    <row r="4588" spans="1:2">
      <c r="A4588" s="66">
        <v>46071.341139421296</v>
      </c>
      <c r="B4588" s="49" t="s">
        <v>10543</v>
      </c>
    </row>
    <row r="4589" spans="1:2">
      <c r="A4589" s="66">
        <v>46071.34114261574</v>
      </c>
      <c r="B4589" s="49" t="s">
        <v>9394</v>
      </c>
    </row>
    <row r="4590" spans="1:2">
      <c r="A4590" s="66">
        <v>46071.342066261575</v>
      </c>
      <c r="B4590" s="49" t="s">
        <v>10556</v>
      </c>
    </row>
    <row r="4591" spans="1:2">
      <c r="A4591" s="66">
        <v>46071.342070995372</v>
      </c>
      <c r="B4591" s="49" t="s">
        <v>10557</v>
      </c>
    </row>
    <row r="4592" spans="1:2">
      <c r="A4592" s="66">
        <v>46071.342073935186</v>
      </c>
      <c r="B4592" s="49" t="s">
        <v>10546</v>
      </c>
    </row>
    <row r="4593" spans="1:2">
      <c r="A4593" s="66">
        <v>46071.342076666668</v>
      </c>
      <c r="B4593" s="49" t="s">
        <v>10466</v>
      </c>
    </row>
    <row r="4594" spans="1:2">
      <c r="A4594" s="66">
        <v>46071.342080000002</v>
      </c>
      <c r="B4594" s="49" t="s">
        <v>10561</v>
      </c>
    </row>
    <row r="4595" spans="1:2">
      <c r="A4595" s="66">
        <v>46071.342082615738</v>
      </c>
      <c r="B4595" s="49" t="s">
        <v>10562</v>
      </c>
    </row>
    <row r="4596" spans="1:2">
      <c r="A4596" s="66">
        <v>46071.342085312499</v>
      </c>
      <c r="B4596" s="49" t="s">
        <v>10563</v>
      </c>
    </row>
    <row r="4597" spans="1:2">
      <c r="A4597" s="66">
        <v>46071.342107164353</v>
      </c>
      <c r="B4597" s="49" t="s">
        <v>10541</v>
      </c>
    </row>
    <row r="4598" spans="1:2">
      <c r="A4598" s="66">
        <v>46071.342110057871</v>
      </c>
      <c r="B4598" s="49" t="s">
        <v>10542</v>
      </c>
    </row>
    <row r="4599" spans="1:2">
      <c r="A4599" s="66">
        <v>46071.342112812505</v>
      </c>
      <c r="B4599" s="49" t="s">
        <v>10543</v>
      </c>
    </row>
    <row r="4600" spans="1:2">
      <c r="A4600" s="66">
        <v>46071.342115358799</v>
      </c>
      <c r="B4600" s="49" t="s">
        <v>9394</v>
      </c>
    </row>
    <row r="4601" spans="1:2">
      <c r="A4601" s="66">
        <v>46071.342991620375</v>
      </c>
      <c r="B4601" s="49" t="s">
        <v>10556</v>
      </c>
    </row>
    <row r="4602" spans="1:2">
      <c r="A4602" s="66">
        <v>46071.342993958329</v>
      </c>
      <c r="B4602" s="49" t="s">
        <v>10557</v>
      </c>
    </row>
    <row r="4603" spans="1:2">
      <c r="A4603" s="66">
        <v>46071.342997094907</v>
      </c>
      <c r="B4603" s="49" t="s">
        <v>10546</v>
      </c>
    </row>
    <row r="4604" spans="1:2">
      <c r="A4604" s="66">
        <v>46071.342999270833</v>
      </c>
      <c r="B4604" s="49" t="s">
        <v>10466</v>
      </c>
    </row>
    <row r="4605" spans="1:2">
      <c r="A4605" s="66">
        <v>46071.343001446759</v>
      </c>
      <c r="B4605" s="49" t="s">
        <v>10561</v>
      </c>
    </row>
    <row r="4606" spans="1:2">
      <c r="A4606" s="66">
        <v>46071.343003668982</v>
      </c>
      <c r="B4606" s="49" t="s">
        <v>10562</v>
      </c>
    </row>
    <row r="4607" spans="1:2">
      <c r="A4607" s="66">
        <v>46071.343005787036</v>
      </c>
      <c r="B4607" s="49" t="s">
        <v>10563</v>
      </c>
    </row>
    <row r="4608" spans="1:2">
      <c r="A4608" s="66">
        <v>46071.343030300923</v>
      </c>
      <c r="B4608" s="49" t="s">
        <v>10541</v>
      </c>
    </row>
    <row r="4609" spans="1:2">
      <c r="A4609" s="66">
        <v>46071.343039722226</v>
      </c>
      <c r="B4609" s="49" t="s">
        <v>10542</v>
      </c>
    </row>
    <row r="4610" spans="1:2">
      <c r="A4610" s="66">
        <v>46071.343055879624</v>
      </c>
      <c r="B4610" s="49" t="s">
        <v>10543</v>
      </c>
    </row>
    <row r="4611" spans="1:2">
      <c r="A4611" s="66">
        <v>46071.343063553242</v>
      </c>
      <c r="B4611" s="49" t="s">
        <v>9394</v>
      </c>
    </row>
    <row r="4612" spans="1:2">
      <c r="A4612" s="66">
        <v>46071.344021736106</v>
      </c>
      <c r="B4612" s="49" t="s">
        <v>10556</v>
      </c>
    </row>
    <row r="4613" spans="1:2">
      <c r="A4613" s="66">
        <v>46071.344034201393</v>
      </c>
      <c r="B4613" s="49" t="s">
        <v>10557</v>
      </c>
    </row>
    <row r="4614" spans="1:2">
      <c r="A4614" s="66">
        <v>46071.344037662042</v>
      </c>
      <c r="B4614" s="49" t="s">
        <v>10546</v>
      </c>
    </row>
    <row r="4615" spans="1:2">
      <c r="A4615" s="66">
        <v>46071.344041006945</v>
      </c>
      <c r="B4615" s="49" t="s">
        <v>10466</v>
      </c>
    </row>
    <row r="4616" spans="1:2">
      <c r="A4616" s="66">
        <v>46071.344044513884</v>
      </c>
      <c r="B4616" s="49" t="s">
        <v>10561</v>
      </c>
    </row>
    <row r="4617" spans="1:2">
      <c r="A4617" s="66">
        <v>46071.344048182873</v>
      </c>
      <c r="B4617" s="49" t="s">
        <v>10562</v>
      </c>
    </row>
    <row r="4618" spans="1:2">
      <c r="A4618" s="66">
        <v>46071.344051458334</v>
      </c>
      <c r="B4618" s="49" t="s">
        <v>10563</v>
      </c>
    </row>
    <row r="4619" spans="1:2">
      <c r="A4619" s="66">
        <v>46071.344076863425</v>
      </c>
      <c r="B4619" s="49" t="s">
        <v>10541</v>
      </c>
    </row>
    <row r="4620" spans="1:2">
      <c r="A4620" s="66">
        <v>46071.344080370371</v>
      </c>
      <c r="B4620" s="49" t="s">
        <v>10542</v>
      </c>
    </row>
    <row r="4621" spans="1:2">
      <c r="A4621" s="66">
        <v>46071.344084016207</v>
      </c>
      <c r="B4621" s="49" t="s">
        <v>10543</v>
      </c>
    </row>
    <row r="4622" spans="1:2">
      <c r="A4622" s="66">
        <v>46071.344087141202</v>
      </c>
      <c r="B4622" s="49" t="s">
        <v>9394</v>
      </c>
    </row>
    <row r="4623" spans="1:2">
      <c r="A4623" s="66">
        <v>46071.345046192131</v>
      </c>
      <c r="B4623" s="49" t="s">
        <v>10556</v>
      </c>
    </row>
    <row r="4624" spans="1:2">
      <c r="A4624" s="66">
        <v>46071.345052777775</v>
      </c>
      <c r="B4624" s="49" t="s">
        <v>10557</v>
      </c>
    </row>
    <row r="4625" spans="1:2">
      <c r="A4625" s="66">
        <v>46071.345055682876</v>
      </c>
      <c r="B4625" s="49" t="s">
        <v>10546</v>
      </c>
    </row>
    <row r="4626" spans="1:2">
      <c r="A4626" s="66">
        <v>46071.345059085652</v>
      </c>
      <c r="B4626" s="49" t="s">
        <v>10466</v>
      </c>
    </row>
    <row r="4627" spans="1:2">
      <c r="A4627" s="66">
        <v>46071.345062141205</v>
      </c>
      <c r="B4627" s="49" t="s">
        <v>10561</v>
      </c>
    </row>
    <row r="4628" spans="1:2">
      <c r="A4628" s="66">
        <v>46071.345065185189</v>
      </c>
      <c r="B4628" s="49" t="s">
        <v>10562</v>
      </c>
    </row>
    <row r="4629" spans="1:2">
      <c r="A4629" s="66">
        <v>46071.345068333336</v>
      </c>
      <c r="B4629" s="49" t="s">
        <v>10563</v>
      </c>
    </row>
    <row r="4630" spans="1:2">
      <c r="A4630" s="66">
        <v>46071.345088182876</v>
      </c>
      <c r="B4630" s="49" t="s">
        <v>10541</v>
      </c>
    </row>
    <row r="4631" spans="1:2">
      <c r="A4631" s="66">
        <v>46071.345091759256</v>
      </c>
      <c r="B4631" s="49" t="s">
        <v>10542</v>
      </c>
    </row>
    <row r="4632" spans="1:2">
      <c r="A4632" s="66">
        <v>46071.345094687495</v>
      </c>
      <c r="B4632" s="49" t="s">
        <v>10543</v>
      </c>
    </row>
    <row r="4633" spans="1:2">
      <c r="A4633" s="66">
        <v>46071.345097743055</v>
      </c>
      <c r="B4633" s="49" t="s">
        <v>9394</v>
      </c>
    </row>
    <row r="4634" spans="1:2">
      <c r="A4634" s="66">
        <v>46071.346210254633</v>
      </c>
      <c r="B4634" s="49" t="s">
        <v>10556</v>
      </c>
    </row>
    <row r="4635" spans="1:2">
      <c r="A4635" s="66">
        <v>46071.346212696764</v>
      </c>
      <c r="B4635" s="49" t="s">
        <v>10557</v>
      </c>
    </row>
    <row r="4636" spans="1:2">
      <c r="A4636" s="66">
        <v>46071.34621502315</v>
      </c>
      <c r="B4636" s="49" t="s">
        <v>10546</v>
      </c>
    </row>
    <row r="4637" spans="1:2">
      <c r="A4637" s="66">
        <v>46071.346217268518</v>
      </c>
      <c r="B4637" s="49" t="s">
        <v>10466</v>
      </c>
    </row>
    <row r="4638" spans="1:2">
      <c r="A4638" s="66">
        <v>46071.346220752312</v>
      </c>
      <c r="B4638" s="49" t="s">
        <v>10561</v>
      </c>
    </row>
    <row r="4639" spans="1:2">
      <c r="A4639" s="66">
        <v>46071.346223067128</v>
      </c>
      <c r="B4639" s="49" t="s">
        <v>10562</v>
      </c>
    </row>
    <row r="4640" spans="1:2">
      <c r="A4640" s="66">
        <v>46071.346232812502</v>
      </c>
      <c r="B4640" s="49" t="s">
        <v>10563</v>
      </c>
    </row>
    <row r="4641" spans="1:2">
      <c r="A4641" s="66">
        <v>46071.346254502314</v>
      </c>
      <c r="B4641" s="49" t="s">
        <v>10541</v>
      </c>
    </row>
    <row r="4642" spans="1:2">
      <c r="A4642" s="66">
        <v>46071.346257881945</v>
      </c>
      <c r="B4642" s="49" t="s">
        <v>10542</v>
      </c>
    </row>
    <row r="4643" spans="1:2">
      <c r="A4643" s="66">
        <v>46071.346260185186</v>
      </c>
      <c r="B4643" s="49" t="s">
        <v>10543</v>
      </c>
    </row>
    <row r="4644" spans="1:2">
      <c r="A4644" s="66">
        <v>46071.3462625463</v>
      </c>
      <c r="B4644" s="49" t="s">
        <v>9394</v>
      </c>
    </row>
    <row r="4645" spans="1:2">
      <c r="A4645" s="66">
        <v>46071.347609421297</v>
      </c>
      <c r="B4645" s="49" t="s">
        <v>10556</v>
      </c>
    </row>
    <row r="4646" spans="1:2">
      <c r="A4646" s="66">
        <v>46071.347611828707</v>
      </c>
      <c r="B4646" s="49" t="s">
        <v>10557</v>
      </c>
    </row>
    <row r="4647" spans="1:2">
      <c r="A4647" s="66">
        <v>46071.347614282407</v>
      </c>
      <c r="B4647" s="49" t="s">
        <v>10546</v>
      </c>
    </row>
    <row r="4648" spans="1:2">
      <c r="A4648" s="66">
        <v>46071.347616886575</v>
      </c>
      <c r="B4648" s="49" t="s">
        <v>10466</v>
      </c>
    </row>
    <row r="4649" spans="1:2">
      <c r="A4649" s="66">
        <v>46071.347619305554</v>
      </c>
      <c r="B4649" s="49" t="s">
        <v>10561</v>
      </c>
    </row>
    <row r="4650" spans="1:2">
      <c r="A4650" s="66">
        <v>46071.347621736109</v>
      </c>
      <c r="B4650" s="49" t="s">
        <v>10562</v>
      </c>
    </row>
    <row r="4651" spans="1:2">
      <c r="A4651" s="66">
        <v>46071.347624224538</v>
      </c>
      <c r="B4651" s="49" t="s">
        <v>10563</v>
      </c>
    </row>
    <row r="4652" spans="1:2">
      <c r="A4652" s="66">
        <v>46071.347661412037</v>
      </c>
      <c r="B4652" s="49" t="s">
        <v>10541</v>
      </c>
    </row>
    <row r="4653" spans="1:2">
      <c r="A4653" s="66">
        <v>46071.347685925924</v>
      </c>
      <c r="B4653" s="49" t="s">
        <v>10542</v>
      </c>
    </row>
    <row r="4654" spans="1:2">
      <c r="A4654" s="66">
        <v>46071.347688738431</v>
      </c>
      <c r="B4654" s="49" t="s">
        <v>10543</v>
      </c>
    </row>
    <row r="4655" spans="1:2">
      <c r="A4655" s="66">
        <v>46071.347691319446</v>
      </c>
      <c r="B4655" s="49" t="s">
        <v>9394</v>
      </c>
    </row>
    <row r="4656" spans="1:2">
      <c r="A4656" s="66">
        <v>46071.348523067129</v>
      </c>
      <c r="B4656" s="49" t="s">
        <v>10556</v>
      </c>
    </row>
    <row r="4657" spans="1:2">
      <c r="A4657" s="66">
        <v>46071.348526076385</v>
      </c>
      <c r="B4657" s="49" t="s">
        <v>10557</v>
      </c>
    </row>
    <row r="4658" spans="1:2">
      <c r="A4658" s="66">
        <v>46071.348529351853</v>
      </c>
      <c r="B4658" s="49" t="s">
        <v>10546</v>
      </c>
    </row>
    <row r="4659" spans="1:2">
      <c r="A4659" s="66">
        <v>46071.348532488424</v>
      </c>
      <c r="B4659" s="49" t="s">
        <v>10466</v>
      </c>
    </row>
    <row r="4660" spans="1:2">
      <c r="A4660" s="66">
        <v>46071.348535497687</v>
      </c>
      <c r="B4660" s="49" t="s">
        <v>10561</v>
      </c>
    </row>
    <row r="4661" spans="1:2">
      <c r="A4661" s="66">
        <v>46071.34853855324</v>
      </c>
      <c r="B4661" s="49" t="s">
        <v>10562</v>
      </c>
    </row>
    <row r="4662" spans="1:2">
      <c r="A4662" s="66">
        <v>46071.348541863423</v>
      </c>
      <c r="B4662" s="49" t="s">
        <v>10563</v>
      </c>
    </row>
    <row r="4663" spans="1:2">
      <c r="A4663" s="66">
        <v>46071.348577118057</v>
      </c>
      <c r="B4663" s="49" t="s">
        <v>10541</v>
      </c>
    </row>
    <row r="4664" spans="1:2">
      <c r="A4664" s="66">
        <v>46071.348581990736</v>
      </c>
      <c r="B4664" s="49" t="s">
        <v>10542</v>
      </c>
    </row>
    <row r="4665" spans="1:2">
      <c r="A4665" s="66">
        <v>46071.348584872685</v>
      </c>
      <c r="B4665" s="49" t="s">
        <v>10543</v>
      </c>
    </row>
    <row r="4666" spans="1:2">
      <c r="A4666" s="66">
        <v>46071.348587881948</v>
      </c>
      <c r="B4666" s="49" t="s">
        <v>9394</v>
      </c>
    </row>
    <row r="4667" spans="1:2">
      <c r="A4667" s="66">
        <v>46071.349480486111</v>
      </c>
      <c r="B4667" s="49" t="s">
        <v>10556</v>
      </c>
    </row>
    <row r="4668" spans="1:2">
      <c r="A4668" s="66">
        <v>46071.3494837037</v>
      </c>
      <c r="B4668" s="49" t="s">
        <v>10557</v>
      </c>
    </row>
    <row r="4669" spans="1:2">
      <c r="A4669" s="66">
        <v>46071.349485798608</v>
      </c>
      <c r="B4669" s="49" t="s">
        <v>10546</v>
      </c>
    </row>
    <row r="4670" spans="1:2">
      <c r="A4670" s="66">
        <v>46071.34948798611</v>
      </c>
      <c r="B4670" s="49" t="s">
        <v>10466</v>
      </c>
    </row>
    <row r="4671" spans="1:2">
      <c r="A4671" s="66">
        <v>46071.349490185181</v>
      </c>
      <c r="B4671" s="49" t="s">
        <v>10561</v>
      </c>
    </row>
    <row r="4672" spans="1:2">
      <c r="A4672" s="66">
        <v>46071.349492280089</v>
      </c>
      <c r="B4672" s="49" t="s">
        <v>10562</v>
      </c>
    </row>
    <row r="4673" spans="1:2">
      <c r="A4673" s="66">
        <v>46071.34949439815</v>
      </c>
      <c r="B4673" s="49" t="s">
        <v>10563</v>
      </c>
    </row>
    <row r="4674" spans="1:2">
      <c r="A4674" s="66">
        <v>46071.34951378472</v>
      </c>
      <c r="B4674" s="49" t="s">
        <v>10541</v>
      </c>
    </row>
    <row r="4675" spans="1:2">
      <c r="A4675" s="66">
        <v>46071.349517256946</v>
      </c>
      <c r="B4675" s="49" t="s">
        <v>10542</v>
      </c>
    </row>
    <row r="4676" spans="1:2">
      <c r="A4676" s="66">
        <v>46071.349519432872</v>
      </c>
      <c r="B4676" s="49" t="s">
        <v>10543</v>
      </c>
    </row>
    <row r="4677" spans="1:2">
      <c r="A4677" s="66">
        <v>46071.349522094912</v>
      </c>
      <c r="B4677" s="49" t="s">
        <v>9394</v>
      </c>
    </row>
    <row r="4678" spans="1:2">
      <c r="A4678" s="66">
        <v>46071.350712372689</v>
      </c>
      <c r="B4678" s="49" t="s">
        <v>10556</v>
      </c>
    </row>
    <row r="4679" spans="1:2">
      <c r="A4679" s="66">
        <v>46071.350714849541</v>
      </c>
      <c r="B4679" s="49" t="s">
        <v>10557</v>
      </c>
    </row>
    <row r="4680" spans="1:2">
      <c r="A4680" s="66">
        <v>46071.350719872687</v>
      </c>
      <c r="B4680" s="49" t="s">
        <v>10546</v>
      </c>
    </row>
    <row r="4681" spans="1:2">
      <c r="A4681" s="66">
        <v>46071.35072224537</v>
      </c>
      <c r="B4681" s="49" t="s">
        <v>10466</v>
      </c>
    </row>
    <row r="4682" spans="1:2">
      <c r="A4682" s="66">
        <v>46071.350724988428</v>
      </c>
      <c r="B4682" s="49" t="s">
        <v>10561</v>
      </c>
    </row>
    <row r="4683" spans="1:2">
      <c r="A4683" s="66">
        <v>46071.350727303245</v>
      </c>
      <c r="B4683" s="49" t="s">
        <v>10562</v>
      </c>
    </row>
    <row r="4684" spans="1:2">
      <c r="A4684" s="66">
        <v>46071.350729745369</v>
      </c>
      <c r="B4684" s="49" t="s">
        <v>10563</v>
      </c>
    </row>
    <row r="4685" spans="1:2">
      <c r="A4685" s="66">
        <v>46071.350748009259</v>
      </c>
      <c r="B4685" s="49" t="s">
        <v>10541</v>
      </c>
    </row>
    <row r="4686" spans="1:2">
      <c r="A4686" s="66">
        <v>46071.350751284721</v>
      </c>
      <c r="B4686" s="49" t="s">
        <v>10542</v>
      </c>
    </row>
    <row r="4687" spans="1:2">
      <c r="A4687" s="66">
        <v>46071.350753738428</v>
      </c>
      <c r="B4687" s="49" t="s">
        <v>10543</v>
      </c>
    </row>
    <row r="4688" spans="1:2">
      <c r="A4688" s="66">
        <v>46071.35075618056</v>
      </c>
      <c r="B4688" s="49" t="s">
        <v>9394</v>
      </c>
    </row>
    <row r="4689" spans="1:2">
      <c r="A4689" s="66">
        <v>46071.351947465278</v>
      </c>
      <c r="B4689" s="49" t="s">
        <v>10556</v>
      </c>
    </row>
    <row r="4690" spans="1:2">
      <c r="A4690" s="66">
        <v>46071.351950104166</v>
      </c>
      <c r="B4690" s="49" t="s">
        <v>10557</v>
      </c>
    </row>
    <row r="4691" spans="1:2">
      <c r="A4691" s="66">
        <v>46071.351952500001</v>
      </c>
      <c r="B4691" s="49" t="s">
        <v>10546</v>
      </c>
    </row>
    <row r="4692" spans="1:2">
      <c r="A4692" s="66">
        <v>46071.35195517361</v>
      </c>
      <c r="B4692" s="49" t="s">
        <v>10466</v>
      </c>
    </row>
    <row r="4693" spans="1:2">
      <c r="A4693" s="66">
        <v>46071.351957673614</v>
      </c>
      <c r="B4693" s="49" t="s">
        <v>10561</v>
      </c>
    </row>
    <row r="4694" spans="1:2">
      <c r="A4694" s="66">
        <v>46071.351960011569</v>
      </c>
      <c r="B4694" s="49" t="s">
        <v>10562</v>
      </c>
    </row>
    <row r="4695" spans="1:2">
      <c r="A4695" s="66">
        <v>46071.3519624537</v>
      </c>
      <c r="B4695" s="49" t="s">
        <v>10563</v>
      </c>
    </row>
    <row r="4696" spans="1:2">
      <c r="A4696" s="66">
        <v>46071.351982407403</v>
      </c>
      <c r="B4696" s="49" t="s">
        <v>10541</v>
      </c>
    </row>
    <row r="4697" spans="1:2">
      <c r="A4697" s="66">
        <v>46071.351985995367</v>
      </c>
      <c r="B4697" s="49" t="s">
        <v>10542</v>
      </c>
    </row>
    <row r="4698" spans="1:2">
      <c r="A4698" s="66">
        <v>46071.351988564813</v>
      </c>
      <c r="B4698" s="49" t="s">
        <v>10543</v>
      </c>
    </row>
    <row r="4699" spans="1:2">
      <c r="A4699" s="66">
        <v>46071.351991087962</v>
      </c>
      <c r="B4699" s="49" t="s">
        <v>9394</v>
      </c>
    </row>
    <row r="4700" spans="1:2">
      <c r="A4700" s="66">
        <v>46071.353299039351</v>
      </c>
      <c r="B4700" s="49" t="s">
        <v>10556</v>
      </c>
    </row>
    <row r="4701" spans="1:2">
      <c r="A4701" s="66">
        <v>46071.353304432865</v>
      </c>
      <c r="B4701" s="49" t="s">
        <v>10557</v>
      </c>
    </row>
    <row r="4702" spans="1:2">
      <c r="A4702" s="66">
        <v>46071.353307048616</v>
      </c>
      <c r="B4702" s="49" t="s">
        <v>10546</v>
      </c>
    </row>
    <row r="4703" spans="1:2">
      <c r="A4703" s="66">
        <v>46071.353309733793</v>
      </c>
      <c r="B4703" s="49" t="s">
        <v>10466</v>
      </c>
    </row>
    <row r="4704" spans="1:2">
      <c r="A4704" s="66">
        <v>46071.3533125463</v>
      </c>
      <c r="B4704" s="49" t="s">
        <v>10561</v>
      </c>
    </row>
    <row r="4705" spans="1:2">
      <c r="A4705" s="66">
        <v>46071.353314976848</v>
      </c>
      <c r="B4705" s="49" t="s">
        <v>10562</v>
      </c>
    </row>
    <row r="4706" spans="1:2">
      <c r="A4706" s="66">
        <v>46071.353317592591</v>
      </c>
      <c r="B4706" s="49" t="s">
        <v>10563</v>
      </c>
    </row>
    <row r="4707" spans="1:2">
      <c r="A4707" s="66">
        <v>46071.35334530093</v>
      </c>
      <c r="B4707" s="49" t="s">
        <v>10541</v>
      </c>
    </row>
    <row r="4708" spans="1:2">
      <c r="A4708" s="66">
        <v>46071.353348738427</v>
      </c>
      <c r="B4708" s="49" t="s">
        <v>10542</v>
      </c>
    </row>
    <row r="4709" spans="1:2">
      <c r="A4709" s="66">
        <v>46071.353351342594</v>
      </c>
      <c r="B4709" s="49" t="s">
        <v>10543</v>
      </c>
    </row>
    <row r="4710" spans="1:2">
      <c r="A4710" s="66">
        <v>46071.35335395833</v>
      </c>
      <c r="B4710" s="49" t="s">
        <v>9394</v>
      </c>
    </row>
    <row r="4711" spans="1:2">
      <c r="A4711" s="66">
        <v>46071.354748703699</v>
      </c>
      <c r="B4711" s="49" t="s">
        <v>10556</v>
      </c>
    </row>
    <row r="4712" spans="1:2">
      <c r="A4712" s="66">
        <v>46071.354751585648</v>
      </c>
      <c r="B4712" s="49" t="s">
        <v>10557</v>
      </c>
    </row>
    <row r="4713" spans="1:2">
      <c r="A4713" s="66">
        <v>46071.354764004631</v>
      </c>
      <c r="B4713" s="49" t="s">
        <v>10546</v>
      </c>
    </row>
    <row r="4714" spans="1:2">
      <c r="A4714" s="66">
        <v>46071.354766932869</v>
      </c>
      <c r="B4714" s="49" t="s">
        <v>10466</v>
      </c>
    </row>
    <row r="4715" spans="1:2">
      <c r="A4715" s="66">
        <v>46071.354769687503</v>
      </c>
      <c r="B4715" s="49" t="s">
        <v>10561</v>
      </c>
    </row>
    <row r="4716" spans="1:2">
      <c r="A4716" s="66">
        <v>46071.354772499995</v>
      </c>
      <c r="B4716" s="49" t="s">
        <v>10562</v>
      </c>
    </row>
    <row r="4717" spans="1:2">
      <c r="A4717" s="66">
        <v>46071.354775312502</v>
      </c>
      <c r="B4717" s="49" t="s">
        <v>10563</v>
      </c>
    </row>
    <row r="4718" spans="1:2">
      <c r="A4718" s="66">
        <v>46071.354798425928</v>
      </c>
      <c r="B4718" s="49" t="s">
        <v>10541</v>
      </c>
    </row>
    <row r="4719" spans="1:2">
      <c r="A4719" s="66">
        <v>46071.354801666668</v>
      </c>
      <c r="B4719" s="49" t="s">
        <v>10542</v>
      </c>
    </row>
    <row r="4720" spans="1:2">
      <c r="A4720" s="66">
        <v>46071.354804768518</v>
      </c>
      <c r="B4720" s="49" t="s">
        <v>10543</v>
      </c>
    </row>
    <row r="4721" spans="1:2">
      <c r="A4721" s="66">
        <v>46071.354809050928</v>
      </c>
      <c r="B4721" s="49" t="s">
        <v>9394</v>
      </c>
    </row>
    <row r="4722" spans="1:2">
      <c r="A4722" s="66">
        <v>46071.355665648152</v>
      </c>
      <c r="B4722" s="49" t="s">
        <v>10556</v>
      </c>
    </row>
    <row r="4723" spans="1:2">
      <c r="A4723" s="66">
        <v>46071.355667870375</v>
      </c>
      <c r="B4723" s="49" t="s">
        <v>10557</v>
      </c>
    </row>
    <row r="4724" spans="1:2">
      <c r="A4724" s="66">
        <v>46071.355679687498</v>
      </c>
      <c r="B4724" s="49" t="s">
        <v>10546</v>
      </c>
    </row>
    <row r="4725" spans="1:2">
      <c r="A4725" s="66">
        <v>46071.355681909721</v>
      </c>
      <c r="B4725" s="49" t="s">
        <v>10466</v>
      </c>
    </row>
    <row r="4726" spans="1:2">
      <c r="A4726" s="66">
        <v>46071.355684016205</v>
      </c>
      <c r="B4726" s="49" t="s">
        <v>10561</v>
      </c>
    </row>
    <row r="4727" spans="1:2">
      <c r="A4727" s="66">
        <v>46071.355686111114</v>
      </c>
      <c r="B4727" s="49" t="s">
        <v>10562</v>
      </c>
    </row>
    <row r="4728" spans="1:2">
      <c r="A4728" s="66">
        <v>46071.355688356482</v>
      </c>
      <c r="B4728" s="49" t="s">
        <v>10563</v>
      </c>
    </row>
    <row r="4729" spans="1:2">
      <c r="A4729" s="66">
        <v>46071.355711597222</v>
      </c>
      <c r="B4729" s="49" t="s">
        <v>10541</v>
      </c>
    </row>
    <row r="4730" spans="1:2">
      <c r="A4730" s="66">
        <v>46071.355714409721</v>
      </c>
      <c r="B4730" s="49" t="s">
        <v>10542</v>
      </c>
    </row>
    <row r="4731" spans="1:2">
      <c r="A4731" s="66">
        <v>46071.355716446764</v>
      </c>
      <c r="B4731" s="49" t="s">
        <v>10543</v>
      </c>
    </row>
    <row r="4732" spans="1:2">
      <c r="A4732" s="66">
        <v>46071.355718495368</v>
      </c>
      <c r="B4732" s="49" t="s">
        <v>9394</v>
      </c>
    </row>
    <row r="4733" spans="1:2">
      <c r="A4733" s="66">
        <v>46071.356714918977</v>
      </c>
      <c r="B4733" s="49" t="s">
        <v>10556</v>
      </c>
    </row>
    <row r="4734" spans="1:2">
      <c r="A4734" s="66">
        <v>46071.356718020834</v>
      </c>
      <c r="B4734" s="49" t="s">
        <v>10557</v>
      </c>
    </row>
    <row r="4735" spans="1:2">
      <c r="A4735" s="66">
        <v>46071.356721099539</v>
      </c>
      <c r="B4735" s="49" t="s">
        <v>10546</v>
      </c>
    </row>
    <row r="4736" spans="1:2">
      <c r="A4736" s="66">
        <v>46071.356724062498</v>
      </c>
      <c r="B4736" s="49" t="s">
        <v>10466</v>
      </c>
    </row>
    <row r="4737" spans="1:2">
      <c r="A4737" s="66">
        <v>46071.35672689815</v>
      </c>
      <c r="B4737" s="49" t="s">
        <v>10561</v>
      </c>
    </row>
    <row r="4738" spans="1:2">
      <c r="A4738" s="66">
        <v>46071.356729918982</v>
      </c>
      <c r="B4738" s="49" t="s">
        <v>10562</v>
      </c>
    </row>
    <row r="4739" spans="1:2">
      <c r="A4739" s="66">
        <v>46071.356732650464</v>
      </c>
      <c r="B4739" s="49" t="s">
        <v>10563</v>
      </c>
    </row>
    <row r="4740" spans="1:2">
      <c r="A4740" s="66">
        <v>46071.356764629629</v>
      </c>
      <c r="B4740" s="49" t="s">
        <v>10541</v>
      </c>
    </row>
    <row r="4741" spans="1:2">
      <c r="A4741" s="66">
        <v>46071.356768020836</v>
      </c>
      <c r="B4741" s="49" t="s">
        <v>10542</v>
      </c>
    </row>
    <row r="4742" spans="1:2">
      <c r="A4742" s="66">
        <v>46071.356770717597</v>
      </c>
      <c r="B4742" s="49" t="s">
        <v>10543</v>
      </c>
    </row>
    <row r="4743" spans="1:2">
      <c r="A4743" s="66">
        <v>46071.35677377315</v>
      </c>
      <c r="B4743" s="49" t="s">
        <v>9394</v>
      </c>
    </row>
    <row r="4744" spans="1:2">
      <c r="A4744" s="66">
        <v>46071.357646122684</v>
      </c>
      <c r="B4744" s="49" t="s">
        <v>10556</v>
      </c>
    </row>
    <row r="4745" spans="1:2">
      <c r="A4745" s="66">
        <v>46071.357648761579</v>
      </c>
      <c r="B4745" s="49" t="s">
        <v>10557</v>
      </c>
    </row>
    <row r="4746" spans="1:2">
      <c r="A4746" s="66">
        <v>46071.357651643513</v>
      </c>
      <c r="B4746" s="49" t="s">
        <v>10546</v>
      </c>
    </row>
    <row r="4747" spans="1:2">
      <c r="A4747" s="66">
        <v>46071.357654201391</v>
      </c>
      <c r="B4747" s="49" t="s">
        <v>10466</v>
      </c>
    </row>
    <row r="4748" spans="1:2">
      <c r="A4748" s="66">
        <v>46071.357657129629</v>
      </c>
      <c r="B4748" s="49" t="s">
        <v>10561</v>
      </c>
    </row>
    <row r="4749" spans="1:2">
      <c r="A4749" s="66">
        <v>46071.357659895832</v>
      </c>
      <c r="B4749" s="49" t="s">
        <v>10562</v>
      </c>
    </row>
    <row r="4750" spans="1:2">
      <c r="A4750" s="66">
        <v>46071.357662615745</v>
      </c>
      <c r="B4750" s="49" t="s">
        <v>10563</v>
      </c>
    </row>
    <row r="4751" spans="1:2">
      <c r="A4751" s="66">
        <v>46071.357683483795</v>
      </c>
      <c r="B4751" s="49" t="s">
        <v>10541</v>
      </c>
    </row>
    <row r="4752" spans="1:2">
      <c r="A4752" s="66">
        <v>46071.357686504634</v>
      </c>
      <c r="B4752" s="49" t="s">
        <v>10542</v>
      </c>
    </row>
    <row r="4753" spans="1:2">
      <c r="A4753" s="66">
        <v>46071.357688923614</v>
      </c>
      <c r="B4753" s="49" t="s">
        <v>10543</v>
      </c>
    </row>
    <row r="4754" spans="1:2">
      <c r="A4754" s="66">
        <v>46071.35769167824</v>
      </c>
      <c r="B4754" s="49" t="s">
        <v>9394</v>
      </c>
    </row>
    <row r="4755" spans="1:2">
      <c r="A4755" s="66">
        <v>46071.359044675926</v>
      </c>
      <c r="B4755" s="49" t="s">
        <v>10556</v>
      </c>
    </row>
    <row r="4756" spans="1:2">
      <c r="A4756" s="66">
        <v>46071.359047569444</v>
      </c>
      <c r="B4756" s="49" t="s">
        <v>10557</v>
      </c>
    </row>
    <row r="4757" spans="1:2">
      <c r="A4757" s="66">
        <v>46071.359050115745</v>
      </c>
      <c r="B4757" s="49" t="s">
        <v>10546</v>
      </c>
    </row>
    <row r="4758" spans="1:2">
      <c r="A4758" s="66">
        <v>46071.359052627318</v>
      </c>
      <c r="B4758" s="49" t="s">
        <v>10466</v>
      </c>
    </row>
    <row r="4759" spans="1:2">
      <c r="A4759" s="66">
        <v>46071.359055300927</v>
      </c>
      <c r="B4759" s="49" t="s">
        <v>10561</v>
      </c>
    </row>
    <row r="4760" spans="1:2">
      <c r="A4760" s="66">
        <v>46071.359058009257</v>
      </c>
      <c r="B4760" s="49" t="s">
        <v>10562</v>
      </c>
    </row>
    <row r="4761" spans="1:2">
      <c r="A4761" s="66">
        <v>46071.359060879629</v>
      </c>
      <c r="B4761" s="49" t="s">
        <v>10563</v>
      </c>
    </row>
    <row r="4762" spans="1:2">
      <c r="A4762" s="66">
        <v>46071.359084606476</v>
      </c>
      <c r="B4762" s="49" t="s">
        <v>10541</v>
      </c>
    </row>
    <row r="4763" spans="1:2">
      <c r="A4763" s="66">
        <v>46071.359090844911</v>
      </c>
      <c r="B4763" s="49" t="s">
        <v>10542</v>
      </c>
    </row>
    <row r="4764" spans="1:2">
      <c r="A4764" s="66">
        <v>46071.359093321764</v>
      </c>
      <c r="B4764" s="49" t="s">
        <v>10543</v>
      </c>
    </row>
    <row r="4765" spans="1:2">
      <c r="A4765" s="66">
        <v>46071.359096238426</v>
      </c>
      <c r="B4765" s="49" t="s">
        <v>9394</v>
      </c>
    </row>
    <row r="4766" spans="1:2">
      <c r="A4766" s="66">
        <v>46071.360250451384</v>
      </c>
      <c r="B4766" s="49" t="s">
        <v>10556</v>
      </c>
    </row>
    <row r="4767" spans="1:2">
      <c r="A4767" s="66">
        <v>46071.360254143518</v>
      </c>
      <c r="B4767" s="49" t="s">
        <v>10557</v>
      </c>
    </row>
    <row r="4768" spans="1:2">
      <c r="A4768" s="66">
        <v>46071.360266087962</v>
      </c>
      <c r="B4768" s="49" t="s">
        <v>10546</v>
      </c>
    </row>
    <row r="4769" spans="1:2">
      <c r="A4769" s="66">
        <v>46071.360269363431</v>
      </c>
      <c r="B4769" s="49" t="s">
        <v>10466</v>
      </c>
    </row>
    <row r="4770" spans="1:2">
      <c r="A4770" s="66">
        <v>46071.360272546299</v>
      </c>
      <c r="B4770" s="49" t="s">
        <v>10561</v>
      </c>
    </row>
    <row r="4771" spans="1:2">
      <c r="A4771" s="66">
        <v>46071.360275625004</v>
      </c>
      <c r="B4771" s="49" t="s">
        <v>10562</v>
      </c>
    </row>
    <row r="4772" spans="1:2">
      <c r="A4772" s="66">
        <v>46071.360279224536</v>
      </c>
      <c r="B4772" s="49" t="s">
        <v>10563</v>
      </c>
    </row>
    <row r="4773" spans="1:2">
      <c r="A4773" s="66">
        <v>46071.360302951391</v>
      </c>
      <c r="B4773" s="49" t="s">
        <v>10541</v>
      </c>
    </row>
    <row r="4774" spans="1:2">
      <c r="A4774" s="66">
        <v>46071.360306504634</v>
      </c>
      <c r="B4774" s="49" t="s">
        <v>10542</v>
      </c>
    </row>
    <row r="4775" spans="1:2">
      <c r="A4775" s="66">
        <v>46071.360309791664</v>
      </c>
      <c r="B4775" s="49" t="s">
        <v>10543</v>
      </c>
    </row>
    <row r="4776" spans="1:2">
      <c r="A4776" s="66">
        <v>46071.360312962963</v>
      </c>
      <c r="B4776" s="49" t="s">
        <v>9394</v>
      </c>
    </row>
    <row r="4777" spans="1:2">
      <c r="A4777" s="66">
        <v>46071.361304317128</v>
      </c>
      <c r="B4777" s="49" t="s">
        <v>10556</v>
      </c>
    </row>
    <row r="4778" spans="1:2">
      <c r="A4778" s="66">
        <v>46071.361307800922</v>
      </c>
      <c r="B4778" s="49" t="s">
        <v>10557</v>
      </c>
    </row>
    <row r="4779" spans="1:2">
      <c r="A4779" s="66">
        <v>46071.361311250002</v>
      </c>
      <c r="B4779" s="49" t="s">
        <v>10546</v>
      </c>
    </row>
    <row r="4780" spans="1:2">
      <c r="A4780" s="66">
        <v>46071.361314814814</v>
      </c>
      <c r="B4780" s="49" t="s">
        <v>10466</v>
      </c>
    </row>
    <row r="4781" spans="1:2">
      <c r="A4781" s="66">
        <v>46071.361318402778</v>
      </c>
      <c r="B4781" s="49" t="s">
        <v>10561</v>
      </c>
    </row>
    <row r="4782" spans="1:2">
      <c r="A4782" s="66">
        <v>46071.361325497681</v>
      </c>
      <c r="B4782" s="49" t="s">
        <v>10562</v>
      </c>
    </row>
    <row r="4783" spans="1:2">
      <c r="A4783" s="66">
        <v>46071.361328888888</v>
      </c>
      <c r="B4783" s="49" t="s">
        <v>10563</v>
      </c>
    </row>
    <row r="4784" spans="1:2">
      <c r="A4784" s="66">
        <v>46071.361361203701</v>
      </c>
      <c r="B4784" s="49" t="s">
        <v>10541</v>
      </c>
    </row>
    <row r="4785" spans="1:2">
      <c r="A4785" s="66">
        <v>46071.361364583332</v>
      </c>
      <c r="B4785" s="49" t="s">
        <v>10542</v>
      </c>
    </row>
    <row r="4786" spans="1:2">
      <c r="A4786" s="66">
        <v>46071.361367847217</v>
      </c>
      <c r="B4786" s="49" t="s">
        <v>10543</v>
      </c>
    </row>
    <row r="4787" spans="1:2">
      <c r="A4787" s="66">
        <v>46071.361370752318</v>
      </c>
      <c r="B4787" s="49" t="s">
        <v>9394</v>
      </c>
    </row>
    <row r="4788" spans="1:2">
      <c r="A4788" s="66">
        <v>46071.362382395833</v>
      </c>
      <c r="B4788" s="49" t="s">
        <v>10556</v>
      </c>
    </row>
    <row r="4789" spans="1:2">
      <c r="A4789" s="66">
        <v>46071.362385185188</v>
      </c>
      <c r="B4789" s="49" t="s">
        <v>10557</v>
      </c>
    </row>
    <row r="4790" spans="1:2">
      <c r="A4790" s="66">
        <v>46071.36238791667</v>
      </c>
      <c r="B4790" s="49" t="s">
        <v>10546</v>
      </c>
    </row>
    <row r="4791" spans="1:2">
      <c r="A4791" s="66">
        <v>46071.362390613431</v>
      </c>
      <c r="B4791" s="49" t="s">
        <v>10466</v>
      </c>
    </row>
    <row r="4792" spans="1:2">
      <c r="A4792" s="66">
        <v>46071.362393310184</v>
      </c>
      <c r="B4792" s="49" t="s">
        <v>10561</v>
      </c>
    </row>
    <row r="4793" spans="1:2">
      <c r="A4793" s="66">
        <v>46071.362395949072</v>
      </c>
      <c r="B4793" s="49" t="s">
        <v>10562</v>
      </c>
    </row>
    <row r="4794" spans="1:2">
      <c r="A4794" s="66">
        <v>46071.362398622688</v>
      </c>
      <c r="B4794" s="49" t="s">
        <v>10563</v>
      </c>
    </row>
    <row r="4795" spans="1:2">
      <c r="A4795" s="66">
        <v>46071.36242125</v>
      </c>
      <c r="B4795" s="49" t="s">
        <v>10541</v>
      </c>
    </row>
    <row r="4796" spans="1:2">
      <c r="A4796" s="66">
        <v>46071.362425335647</v>
      </c>
      <c r="B4796" s="49" t="s">
        <v>10542</v>
      </c>
    </row>
    <row r="4797" spans="1:2">
      <c r="A4797" s="66">
        <v>46071.362427986111</v>
      </c>
      <c r="B4797" s="49" t="s">
        <v>10543</v>
      </c>
    </row>
    <row r="4798" spans="1:2">
      <c r="A4798" s="66">
        <v>46071.36243069444</v>
      </c>
      <c r="B4798" s="49" t="s">
        <v>9394</v>
      </c>
    </row>
    <row r="4799" spans="1:2">
      <c r="A4799" s="66">
        <v>46071.363526388886</v>
      </c>
      <c r="B4799" s="49" t="s">
        <v>10556</v>
      </c>
    </row>
    <row r="4800" spans="1:2">
      <c r="A4800" s="66">
        <v>46071.363528958333</v>
      </c>
      <c r="B4800" s="49" t="s">
        <v>10557</v>
      </c>
    </row>
    <row r="4801" spans="1:2">
      <c r="A4801" s="66">
        <v>46071.363531400464</v>
      </c>
      <c r="B4801" s="49" t="s">
        <v>10546</v>
      </c>
    </row>
    <row r="4802" spans="1:2">
      <c r="A4802" s="66">
        <v>46071.363533912037</v>
      </c>
      <c r="B4802" s="49" t="s">
        <v>10466</v>
      </c>
    </row>
    <row r="4803" spans="1:2">
      <c r="A4803" s="66">
        <v>46071.363536261575</v>
      </c>
      <c r="B4803" s="49" t="s">
        <v>10561</v>
      </c>
    </row>
    <row r="4804" spans="1:2">
      <c r="A4804" s="66">
        <v>46071.363538738427</v>
      </c>
      <c r="B4804" s="49" t="s">
        <v>10562</v>
      </c>
    </row>
    <row r="4805" spans="1:2">
      <c r="A4805" s="66">
        <v>46071.363541458333</v>
      </c>
      <c r="B4805" s="49" t="s">
        <v>10563</v>
      </c>
    </row>
    <row r="4806" spans="1:2">
      <c r="A4806" s="66">
        <v>46071.363567037042</v>
      </c>
      <c r="B4806" s="49" t="s">
        <v>10541</v>
      </c>
    </row>
    <row r="4807" spans="1:2">
      <c r="A4807" s="66">
        <v>46071.363571099537</v>
      </c>
      <c r="B4807" s="49" t="s">
        <v>10542</v>
      </c>
    </row>
    <row r="4808" spans="1:2">
      <c r="A4808" s="66">
        <v>46071.363573657407</v>
      </c>
      <c r="B4808" s="49" t="s">
        <v>10543</v>
      </c>
    </row>
    <row r="4809" spans="1:2">
      <c r="A4809" s="66">
        <v>46071.363576111107</v>
      </c>
      <c r="B4809" s="49" t="s">
        <v>9394</v>
      </c>
    </row>
    <row r="4810" spans="1:2">
      <c r="A4810" s="66">
        <v>46071.36431636574</v>
      </c>
      <c r="B4810" s="49" t="s">
        <v>10556</v>
      </c>
    </row>
    <row r="4811" spans="1:2">
      <c r="A4811" s="66">
        <v>46071.364318888889</v>
      </c>
      <c r="B4811" s="49" t="s">
        <v>10557</v>
      </c>
    </row>
    <row r="4812" spans="1:2">
      <c r="A4812" s="66">
        <v>46071.36432581018</v>
      </c>
      <c r="B4812" s="49" t="s">
        <v>10546</v>
      </c>
    </row>
    <row r="4813" spans="1:2">
      <c r="A4813" s="66">
        <v>46071.364335520833</v>
      </c>
      <c r="B4813" s="49" t="s">
        <v>10466</v>
      </c>
    </row>
    <row r="4814" spans="1:2">
      <c r="A4814" s="66">
        <v>46071.364337951389</v>
      </c>
      <c r="B4814" s="49" t="s">
        <v>10561</v>
      </c>
    </row>
    <row r="4815" spans="1:2">
      <c r="A4815" s="66">
        <v>46071.364340300926</v>
      </c>
      <c r="B4815" s="49" t="s">
        <v>10562</v>
      </c>
    </row>
    <row r="4816" spans="1:2">
      <c r="A4816" s="66">
        <v>46071.364342569446</v>
      </c>
      <c r="B4816" s="49" t="s">
        <v>10563</v>
      </c>
    </row>
    <row r="4817" spans="1:2">
      <c r="A4817" s="66">
        <v>46071.364363611108</v>
      </c>
      <c r="B4817" s="49" t="s">
        <v>10541</v>
      </c>
    </row>
    <row r="4818" spans="1:2">
      <c r="A4818" s="66">
        <v>46071.364366493057</v>
      </c>
      <c r="B4818" s="49" t="s">
        <v>10542</v>
      </c>
    </row>
    <row r="4819" spans="1:2">
      <c r="A4819" s="66">
        <v>46071.364368923612</v>
      </c>
      <c r="B4819" s="49" t="s">
        <v>10543</v>
      </c>
    </row>
    <row r="4820" spans="1:2">
      <c r="A4820" s="66">
        <v>46071.364371435186</v>
      </c>
      <c r="B4820" s="49" t="s">
        <v>9394</v>
      </c>
    </row>
    <row r="4821" spans="1:2">
      <c r="A4821" s="66">
        <v>46071.365517384256</v>
      </c>
      <c r="B4821" s="49" t="s">
        <v>10556</v>
      </c>
    </row>
    <row r="4822" spans="1:2">
      <c r="A4822" s="66">
        <v>46071.365519895829</v>
      </c>
      <c r="B4822" s="49" t="s">
        <v>10557</v>
      </c>
    </row>
    <row r="4823" spans="1:2">
      <c r="A4823" s="66">
        <v>46071.365522939814</v>
      </c>
      <c r="B4823" s="49" t="s">
        <v>10546</v>
      </c>
    </row>
    <row r="4824" spans="1:2">
      <c r="A4824" s="66">
        <v>46071.365525451387</v>
      </c>
      <c r="B4824" s="49" t="s">
        <v>10466</v>
      </c>
    </row>
    <row r="4825" spans="1:2">
      <c r="A4825" s="66">
        <v>46071.36552796296</v>
      </c>
      <c r="B4825" s="49" t="s">
        <v>10561</v>
      </c>
    </row>
    <row r="4826" spans="1:2">
      <c r="A4826" s="66">
        <v>46071.365530659721</v>
      </c>
      <c r="B4826" s="49" t="s">
        <v>10562</v>
      </c>
    </row>
    <row r="4827" spans="1:2">
      <c r="A4827" s="66">
        <v>46071.365533090277</v>
      </c>
      <c r="B4827" s="49" t="s">
        <v>10563</v>
      </c>
    </row>
    <row r="4828" spans="1:2">
      <c r="A4828" s="66">
        <v>46071.365556990742</v>
      </c>
      <c r="B4828" s="49" t="s">
        <v>10541</v>
      </c>
    </row>
    <row r="4829" spans="1:2">
      <c r="A4829" s="66">
        <v>46071.365560162041</v>
      </c>
      <c r="B4829" s="49" t="s">
        <v>10542</v>
      </c>
    </row>
    <row r="4830" spans="1:2">
      <c r="A4830" s="66">
        <v>46071.365562754625</v>
      </c>
      <c r="B4830" s="49" t="s">
        <v>10543</v>
      </c>
    </row>
    <row r="4831" spans="1:2">
      <c r="A4831" s="66">
        <v>46071.365565243061</v>
      </c>
      <c r="B4831" s="49" t="s">
        <v>9394</v>
      </c>
    </row>
    <row r="4832" spans="1:2">
      <c r="A4832" s="66">
        <v>46071.366598958339</v>
      </c>
      <c r="B4832" s="49" t="s">
        <v>10556</v>
      </c>
    </row>
    <row r="4833" spans="1:2">
      <c r="A4833" s="66">
        <v>46071.366602037037</v>
      </c>
      <c r="B4833" s="49" t="s">
        <v>10557</v>
      </c>
    </row>
    <row r="4834" spans="1:2">
      <c r="A4834" s="66">
        <v>46071.366604710653</v>
      </c>
      <c r="B4834" s="49" t="s">
        <v>10546</v>
      </c>
    </row>
    <row r="4835" spans="1:2">
      <c r="A4835" s="66">
        <v>46071.366607361109</v>
      </c>
      <c r="B4835" s="49" t="s">
        <v>10466</v>
      </c>
    </row>
    <row r="4836" spans="1:2">
      <c r="A4836" s="66">
        <v>46071.366610254627</v>
      </c>
      <c r="B4836" s="49" t="s">
        <v>10561</v>
      </c>
    </row>
    <row r="4837" spans="1:2">
      <c r="A4837" s="66">
        <v>46071.366612916667</v>
      </c>
      <c r="B4837" s="49" t="s">
        <v>10562</v>
      </c>
    </row>
    <row r="4838" spans="1:2">
      <c r="A4838" s="66">
        <v>46071.366615763887</v>
      </c>
      <c r="B4838" s="49" t="s">
        <v>10563</v>
      </c>
    </row>
    <row r="4839" spans="1:2">
      <c r="A4839" s="66">
        <v>46071.366640810185</v>
      </c>
      <c r="B4839" s="49" t="s">
        <v>10541</v>
      </c>
    </row>
    <row r="4840" spans="1:2">
      <c r="A4840" s="66">
        <v>46071.366643923611</v>
      </c>
      <c r="B4840" s="49" t="s">
        <v>10542</v>
      </c>
    </row>
    <row r="4841" spans="1:2">
      <c r="A4841" s="66">
        <v>46071.366646759256</v>
      </c>
      <c r="B4841" s="49" t="s">
        <v>10543</v>
      </c>
    </row>
    <row r="4842" spans="1:2">
      <c r="A4842" s="66">
        <v>46071.366649444448</v>
      </c>
      <c r="B4842" s="49" t="s">
        <v>9394</v>
      </c>
    </row>
    <row r="4843" spans="1:2">
      <c r="A4843" s="66">
        <v>46071.367886805558</v>
      </c>
      <c r="B4843" s="49" t="s">
        <v>10556</v>
      </c>
    </row>
    <row r="4844" spans="1:2">
      <c r="A4844" s="66">
        <v>46071.367890162037</v>
      </c>
      <c r="B4844" s="49" t="s">
        <v>10557</v>
      </c>
    </row>
    <row r="4845" spans="1:2">
      <c r="A4845" s="66">
        <v>46071.367893125003</v>
      </c>
      <c r="B4845" s="49" t="s">
        <v>10546</v>
      </c>
    </row>
    <row r="4846" spans="1:2">
      <c r="A4846" s="66">
        <v>46071.367896145835</v>
      </c>
      <c r="B4846" s="49" t="s">
        <v>10466</v>
      </c>
    </row>
    <row r="4847" spans="1:2">
      <c r="A4847" s="66">
        <v>46071.367899305551</v>
      </c>
      <c r="B4847" s="49" t="s">
        <v>10561</v>
      </c>
    </row>
    <row r="4848" spans="1:2">
      <c r="A4848" s="66">
        <v>46071.367902731479</v>
      </c>
      <c r="B4848" s="49" t="s">
        <v>10562</v>
      </c>
    </row>
    <row r="4849" spans="1:2">
      <c r="A4849" s="66">
        <v>46071.367905891202</v>
      </c>
      <c r="B4849" s="49" t="s">
        <v>10563</v>
      </c>
    </row>
    <row r="4850" spans="1:2">
      <c r="A4850" s="66">
        <v>46071.367941342593</v>
      </c>
      <c r="B4850" s="49" t="s">
        <v>10541</v>
      </c>
    </row>
    <row r="4851" spans="1:2">
      <c r="A4851" s="66">
        <v>46071.367944861107</v>
      </c>
      <c r="B4851" s="49" t="s">
        <v>10542</v>
      </c>
    </row>
    <row r="4852" spans="1:2">
      <c r="A4852" s="66">
        <v>46071.367947870371</v>
      </c>
      <c r="B4852" s="49" t="s">
        <v>10543</v>
      </c>
    </row>
    <row r="4853" spans="1:2">
      <c r="A4853" s="66">
        <v>46071.367951006949</v>
      </c>
      <c r="B4853" s="49" t="s">
        <v>9394</v>
      </c>
    </row>
    <row r="4854" spans="1:2">
      <c r="A4854" s="66">
        <v>46071.368851620369</v>
      </c>
      <c r="B4854" s="49" t="s">
        <v>10556</v>
      </c>
    </row>
    <row r="4855" spans="1:2">
      <c r="A4855" s="66">
        <v>46071.368854340282</v>
      </c>
      <c r="B4855" s="49" t="s">
        <v>10557</v>
      </c>
    </row>
    <row r="4856" spans="1:2">
      <c r="A4856" s="66">
        <v>46071.368875208333</v>
      </c>
      <c r="B4856" s="49" t="s">
        <v>10546</v>
      </c>
    </row>
    <row r="4857" spans="1:2">
      <c r="A4857" s="66">
        <v>46071.368877835645</v>
      </c>
      <c r="B4857" s="49" t="s">
        <v>10466</v>
      </c>
    </row>
    <row r="4858" spans="1:2">
      <c r="A4858" s="66">
        <v>46071.36888037037</v>
      </c>
      <c r="B4858" s="49" t="s">
        <v>10561</v>
      </c>
    </row>
    <row r="4859" spans="1:2">
      <c r="A4859" s="66">
        <v>46071.368883067131</v>
      </c>
      <c r="B4859" s="49" t="s">
        <v>10562</v>
      </c>
    </row>
    <row r="4860" spans="1:2">
      <c r="A4860" s="66">
        <v>46071.368885532407</v>
      </c>
      <c r="B4860" s="49" t="s">
        <v>10563</v>
      </c>
    </row>
    <row r="4861" spans="1:2">
      <c r="A4861" s="66">
        <v>46071.368911967591</v>
      </c>
      <c r="B4861" s="49" t="s">
        <v>10541</v>
      </c>
    </row>
    <row r="4862" spans="1:2">
      <c r="A4862" s="66">
        <v>46071.368915509258</v>
      </c>
      <c r="B4862" s="49" t="s">
        <v>10542</v>
      </c>
    </row>
    <row r="4863" spans="1:2">
      <c r="A4863" s="66">
        <v>46071.368917939813</v>
      </c>
      <c r="B4863" s="49" t="s">
        <v>10543</v>
      </c>
    </row>
    <row r="4864" spans="1:2">
      <c r="A4864" s="66">
        <v>46071.368921747686</v>
      </c>
      <c r="B4864" s="49" t="s">
        <v>9394</v>
      </c>
    </row>
    <row r="4865" spans="1:2">
      <c r="A4865" s="66">
        <v>46071.370017754627</v>
      </c>
      <c r="B4865" s="49" t="s">
        <v>10556</v>
      </c>
    </row>
    <row r="4866" spans="1:2">
      <c r="A4866" s="66">
        <v>46071.370020439819</v>
      </c>
      <c r="B4866" s="49" t="s">
        <v>10557</v>
      </c>
    </row>
    <row r="4867" spans="1:2">
      <c r="A4867" s="66">
        <v>46071.370023009258</v>
      </c>
      <c r="B4867" s="49" t="s">
        <v>10546</v>
      </c>
    </row>
    <row r="4868" spans="1:2">
      <c r="A4868" s="66">
        <v>46071.370025983793</v>
      </c>
      <c r="B4868" s="49" t="s">
        <v>10466</v>
      </c>
    </row>
    <row r="4869" spans="1:2">
      <c r="A4869" s="66">
        <v>46071.370028668985</v>
      </c>
      <c r="B4869" s="49" t="s">
        <v>10561</v>
      </c>
    </row>
    <row r="4870" spans="1:2">
      <c r="A4870" s="66">
        <v>46071.370031388884</v>
      </c>
      <c r="B4870" s="49" t="s">
        <v>10562</v>
      </c>
    </row>
    <row r="4871" spans="1:2">
      <c r="A4871" s="66">
        <v>46071.370034027779</v>
      </c>
      <c r="B4871" s="49" t="s">
        <v>10563</v>
      </c>
    </row>
    <row r="4872" spans="1:2">
      <c r="A4872" s="66">
        <v>46071.370063333336</v>
      </c>
      <c r="B4872" s="49" t="s">
        <v>10541</v>
      </c>
    </row>
    <row r="4873" spans="1:2">
      <c r="A4873" s="66">
        <v>46071.370066724536</v>
      </c>
      <c r="B4873" s="49" t="s">
        <v>10542</v>
      </c>
    </row>
    <row r="4874" spans="1:2">
      <c r="A4874" s="66">
        <v>46071.37007128472</v>
      </c>
      <c r="B4874" s="49" t="s">
        <v>10543</v>
      </c>
    </row>
    <row r="4875" spans="1:2">
      <c r="A4875" s="66">
        <v>46071.370075219907</v>
      </c>
      <c r="B4875" s="49" t="s">
        <v>9394</v>
      </c>
    </row>
    <row r="4876" spans="1:2">
      <c r="A4876" s="66">
        <v>46071.371368402775</v>
      </c>
      <c r="B4876" s="49" t="s">
        <v>10556</v>
      </c>
    </row>
    <row r="4877" spans="1:2">
      <c r="A4877" s="66">
        <v>46071.371371111112</v>
      </c>
      <c r="B4877" s="49" t="s">
        <v>10557</v>
      </c>
    </row>
    <row r="4878" spans="1:2">
      <c r="A4878" s="66">
        <v>46071.371373946764</v>
      </c>
      <c r="B4878" s="49" t="s">
        <v>10546</v>
      </c>
    </row>
    <row r="4879" spans="1:2">
      <c r="A4879" s="66">
        <v>46071.371388495369</v>
      </c>
      <c r="B4879" s="49" t="s">
        <v>10466</v>
      </c>
    </row>
    <row r="4880" spans="1:2">
      <c r="A4880" s="66">
        <v>46071.371392731482</v>
      </c>
      <c r="B4880" s="49" t="s">
        <v>10561</v>
      </c>
    </row>
    <row r="4881" spans="1:2">
      <c r="A4881" s="66">
        <v>46071.371395428243</v>
      </c>
      <c r="B4881" s="49" t="s">
        <v>10562</v>
      </c>
    </row>
    <row r="4882" spans="1:2">
      <c r="A4882" s="66">
        <v>46071.3713980787</v>
      </c>
      <c r="B4882" s="49" t="s">
        <v>10563</v>
      </c>
    </row>
    <row r="4883" spans="1:2">
      <c r="A4883" s="66">
        <v>46071.371421087963</v>
      </c>
      <c r="B4883" s="49" t="s">
        <v>10541</v>
      </c>
    </row>
    <row r="4884" spans="1:2">
      <c r="A4884" s="66">
        <v>46071.37142408565</v>
      </c>
      <c r="B4884" s="49" t="s">
        <v>10542</v>
      </c>
    </row>
    <row r="4885" spans="1:2">
      <c r="A4885" s="66">
        <v>46071.371426724538</v>
      </c>
      <c r="B4885" s="49" t="s">
        <v>10543</v>
      </c>
    </row>
    <row r="4886" spans="1:2">
      <c r="A4886" s="66">
        <v>46071.371429351857</v>
      </c>
      <c r="B4886" s="49" t="s">
        <v>9394</v>
      </c>
    </row>
    <row r="4887" spans="1:2">
      <c r="A4887" s="66">
        <v>46071.372389293982</v>
      </c>
      <c r="B4887" s="49" t="s">
        <v>10556</v>
      </c>
    </row>
    <row r="4888" spans="1:2">
      <c r="A4888" s="66">
        <v>46071.372392245372</v>
      </c>
      <c r="B4888" s="49" t="s">
        <v>10557</v>
      </c>
    </row>
    <row r="4889" spans="1:2">
      <c r="A4889" s="66">
        <v>46071.372395474536</v>
      </c>
      <c r="B4889" s="49" t="s">
        <v>10546</v>
      </c>
    </row>
    <row r="4890" spans="1:2">
      <c r="A4890" s="66">
        <v>46071.372398518521</v>
      </c>
      <c r="B4890" s="49" t="s">
        <v>10466</v>
      </c>
    </row>
    <row r="4891" spans="1:2">
      <c r="A4891" s="66">
        <v>46071.372401365741</v>
      </c>
      <c r="B4891" s="49" t="s">
        <v>10561</v>
      </c>
    </row>
    <row r="4892" spans="1:2">
      <c r="A4892" s="66">
        <v>46071.372404629627</v>
      </c>
      <c r="B4892" s="49" t="s">
        <v>10562</v>
      </c>
    </row>
    <row r="4893" spans="1:2">
      <c r="A4893" s="66">
        <v>46071.372407546296</v>
      </c>
      <c r="B4893" s="49" t="s">
        <v>10563</v>
      </c>
    </row>
    <row r="4894" spans="1:2">
      <c r="A4894" s="66">
        <v>46071.372438402774</v>
      </c>
      <c r="B4894" s="49" t="s">
        <v>10541</v>
      </c>
    </row>
    <row r="4895" spans="1:2">
      <c r="A4895" s="66">
        <v>46071.372441932872</v>
      </c>
      <c r="B4895" s="49" t="s">
        <v>10542</v>
      </c>
    </row>
    <row r="4896" spans="1:2">
      <c r="A4896" s="66">
        <v>46071.372444710651</v>
      </c>
      <c r="B4896" s="49" t="s">
        <v>10543</v>
      </c>
    </row>
    <row r="4897" spans="1:2">
      <c r="A4897" s="66">
        <v>46071.372447800924</v>
      </c>
      <c r="B4897" s="49" t="s">
        <v>9394</v>
      </c>
    </row>
    <row r="4898" spans="1:2">
      <c r="A4898" s="66">
        <v>46071.373570868054</v>
      </c>
      <c r="B4898" s="49" t="s">
        <v>10556</v>
      </c>
    </row>
    <row r="4899" spans="1:2">
      <c r="A4899" s="66">
        <v>46071.373574097219</v>
      </c>
      <c r="B4899" s="49" t="s">
        <v>10557</v>
      </c>
    </row>
    <row r="4900" spans="1:2">
      <c r="A4900" s="66">
        <v>46071.373577523147</v>
      </c>
      <c r="B4900" s="49" t="s">
        <v>10546</v>
      </c>
    </row>
    <row r="4901" spans="1:2">
      <c r="A4901" s="66">
        <v>46071.373580451385</v>
      </c>
      <c r="B4901" s="49" t="s">
        <v>10466</v>
      </c>
    </row>
    <row r="4902" spans="1:2">
      <c r="A4902" s="66">
        <v>46071.373583761575</v>
      </c>
      <c r="B4902" s="49" t="s">
        <v>10561</v>
      </c>
    </row>
    <row r="4903" spans="1:2">
      <c r="A4903" s="66">
        <v>46071.373586921298</v>
      </c>
      <c r="B4903" s="49" t="s">
        <v>10562</v>
      </c>
    </row>
    <row r="4904" spans="1:2">
      <c r="A4904" s="66">
        <v>46071.373590648145</v>
      </c>
      <c r="B4904" s="49" t="s">
        <v>10563</v>
      </c>
    </row>
    <row r="4905" spans="1:2">
      <c r="A4905" s="66">
        <v>46071.373615787037</v>
      </c>
      <c r="B4905" s="49" t="s">
        <v>10541</v>
      </c>
    </row>
    <row r="4906" spans="1:2">
      <c r="A4906" s="66">
        <v>46071.373619062499</v>
      </c>
      <c r="B4906" s="49" t="s">
        <v>10542</v>
      </c>
    </row>
    <row r="4907" spans="1:2">
      <c r="A4907" s="66">
        <v>46071.373622500003</v>
      </c>
      <c r="B4907" s="49" t="s">
        <v>10543</v>
      </c>
    </row>
    <row r="4908" spans="1:2">
      <c r="A4908" s="66">
        <v>46071.373625335647</v>
      </c>
      <c r="B4908" s="49" t="s">
        <v>9394</v>
      </c>
    </row>
    <row r="4909" spans="1:2">
      <c r="A4909" s="66">
        <v>46071.374760300925</v>
      </c>
      <c r="B4909" s="49" t="s">
        <v>10556</v>
      </c>
    </row>
    <row r="4910" spans="1:2">
      <c r="A4910" s="66">
        <v>46071.37476259259</v>
      </c>
      <c r="B4910" s="49" t="s">
        <v>10557</v>
      </c>
    </row>
    <row r="4911" spans="1:2">
      <c r="A4911" s="66">
        <v>46071.374764745371</v>
      </c>
      <c r="B4911" s="49" t="s">
        <v>10546</v>
      </c>
    </row>
    <row r="4912" spans="1:2">
      <c r="A4912" s="66">
        <v>46071.374766921297</v>
      </c>
      <c r="B4912" s="49" t="s">
        <v>10466</v>
      </c>
    </row>
    <row r="4913" spans="1:2">
      <c r="A4913" s="66">
        <v>46071.374777199075</v>
      </c>
      <c r="B4913" s="49" t="s">
        <v>10561</v>
      </c>
    </row>
    <row r="4914" spans="1:2">
      <c r="A4914" s="66">
        <v>46071.37477952546</v>
      </c>
      <c r="B4914" s="49" t="s">
        <v>10562</v>
      </c>
    </row>
    <row r="4915" spans="1:2">
      <c r="A4915" s="66">
        <v>46071.3747865162</v>
      </c>
      <c r="B4915" s="49" t="s">
        <v>10563</v>
      </c>
    </row>
    <row r="4916" spans="1:2">
      <c r="A4916" s="66">
        <v>46071.374822002312</v>
      </c>
      <c r="B4916" s="49" t="s">
        <v>10541</v>
      </c>
    </row>
    <row r="4917" spans="1:2">
      <c r="A4917" s="66">
        <v>46071.374824837963</v>
      </c>
      <c r="B4917" s="49" t="s">
        <v>10542</v>
      </c>
    </row>
    <row r="4918" spans="1:2">
      <c r="A4918" s="66">
        <v>46071.374831203706</v>
      </c>
      <c r="B4918" s="49" t="s">
        <v>10543</v>
      </c>
    </row>
    <row r="4919" spans="1:2">
      <c r="A4919" s="66">
        <v>46071.374833599533</v>
      </c>
      <c r="B4919" s="49" t="s">
        <v>9394</v>
      </c>
    </row>
    <row r="4920" spans="1:2">
      <c r="A4920" s="66">
        <v>46071.37590579861</v>
      </c>
      <c r="B4920" s="49" t="s">
        <v>10556</v>
      </c>
    </row>
    <row r="4921" spans="1:2">
      <c r="A4921" s="66">
        <v>46071.375908171292</v>
      </c>
      <c r="B4921" s="49" t="s">
        <v>10557</v>
      </c>
    </row>
    <row r="4922" spans="1:2">
      <c r="A4922" s="66">
        <v>46071.375910787036</v>
      </c>
      <c r="B4922" s="49" t="s">
        <v>10546</v>
      </c>
    </row>
    <row r="4923" spans="1:2">
      <c r="A4923" s="66">
        <v>46071.375916354169</v>
      </c>
      <c r="B4923" s="49" t="s">
        <v>10466</v>
      </c>
    </row>
    <row r="4924" spans="1:2">
      <c r="A4924" s="66">
        <v>46071.375918726852</v>
      </c>
      <c r="B4924" s="49" t="s">
        <v>10561</v>
      </c>
    </row>
    <row r="4925" spans="1:2">
      <c r="A4925" s="66">
        <v>46071.375921157407</v>
      </c>
      <c r="B4925" s="49" t="s">
        <v>10562</v>
      </c>
    </row>
    <row r="4926" spans="1:2">
      <c r="A4926" s="66">
        <v>46071.375923587962</v>
      </c>
      <c r="B4926" s="49" t="s">
        <v>10563</v>
      </c>
    </row>
    <row r="4927" spans="1:2">
      <c r="A4927" s="66">
        <v>46071.375943784718</v>
      </c>
      <c r="B4927" s="49" t="s">
        <v>10541</v>
      </c>
    </row>
    <row r="4928" spans="1:2">
      <c r="A4928" s="66">
        <v>46071.375946574073</v>
      </c>
      <c r="B4928" s="49" t="s">
        <v>10542</v>
      </c>
    </row>
    <row r="4929" spans="1:2">
      <c r="A4929" s="66">
        <v>46071.375948784727</v>
      </c>
      <c r="B4929" s="49" t="s">
        <v>10543</v>
      </c>
    </row>
    <row r="4930" spans="1:2">
      <c r="A4930" s="66">
        <v>46071.375960393518</v>
      </c>
      <c r="B4930" s="49" t="s">
        <v>9394</v>
      </c>
    </row>
    <row r="4931" spans="1:2">
      <c r="A4931" s="66">
        <v>46071.377273773149</v>
      </c>
      <c r="B4931" s="49" t="s">
        <v>10556</v>
      </c>
    </row>
    <row r="4932" spans="1:2">
      <c r="A4932" s="66">
        <v>46071.377275995372</v>
      </c>
      <c r="B4932" s="49" t="s">
        <v>10557</v>
      </c>
    </row>
    <row r="4933" spans="1:2">
      <c r="A4933" s="66">
        <v>46071.377278217595</v>
      </c>
      <c r="B4933" s="49" t="s">
        <v>10546</v>
      </c>
    </row>
    <row r="4934" spans="1:2">
      <c r="A4934" s="66">
        <v>46071.377280520828</v>
      </c>
      <c r="B4934" s="49" t="s">
        <v>10466</v>
      </c>
    </row>
    <row r="4935" spans="1:2">
      <c r="A4935" s="66">
        <v>46071.377282743051</v>
      </c>
      <c r="B4935" s="49" t="s">
        <v>10561</v>
      </c>
    </row>
    <row r="4936" spans="1:2">
      <c r="A4936" s="66">
        <v>46071.377284999995</v>
      </c>
      <c r="B4936" s="49" t="s">
        <v>10562</v>
      </c>
    </row>
    <row r="4937" spans="1:2">
      <c r="A4937" s="66">
        <v>46071.377287175928</v>
      </c>
      <c r="B4937" s="49" t="s">
        <v>10563</v>
      </c>
    </row>
    <row r="4938" spans="1:2">
      <c r="A4938" s="66">
        <v>46071.377308784722</v>
      </c>
      <c r="B4938" s="49" t="s">
        <v>10541</v>
      </c>
    </row>
    <row r="4939" spans="1:2">
      <c r="A4939" s="66">
        <v>46071.377312581018</v>
      </c>
      <c r="B4939" s="49" t="s">
        <v>10542</v>
      </c>
    </row>
    <row r="4940" spans="1:2">
      <c r="A4940" s="66">
        <v>46071.377331435186</v>
      </c>
      <c r="B4940" s="49" t="s">
        <v>10543</v>
      </c>
    </row>
    <row r="4941" spans="1:2">
      <c r="A4941" s="66">
        <v>46071.377333680561</v>
      </c>
      <c r="B4941" s="49" t="s">
        <v>9394</v>
      </c>
    </row>
    <row r="4942" spans="1:2">
      <c r="A4942" s="66">
        <v>46071.378691076388</v>
      </c>
      <c r="B4942" s="49" t="s">
        <v>10556</v>
      </c>
    </row>
    <row r="4943" spans="1:2">
      <c r="A4943" s="66">
        <v>46071.378694270832</v>
      </c>
      <c r="B4943" s="49" t="s">
        <v>10557</v>
      </c>
    </row>
    <row r="4944" spans="1:2">
      <c r="A4944" s="66">
        <v>46071.378697685184</v>
      </c>
      <c r="B4944" s="49" t="s">
        <v>10546</v>
      </c>
    </row>
    <row r="4945" spans="1:2">
      <c r="A4945" s="66">
        <v>46071.378700567133</v>
      </c>
      <c r="B4945" s="49" t="s">
        <v>10466</v>
      </c>
    </row>
    <row r="4946" spans="1:2">
      <c r="A4946" s="66">
        <v>46071.378703368056</v>
      </c>
      <c r="B4946" s="49" t="s">
        <v>10561</v>
      </c>
    </row>
    <row r="4947" spans="1:2">
      <c r="A4947" s="66">
        <v>46071.378706527779</v>
      </c>
      <c r="B4947" s="49" t="s">
        <v>10562</v>
      </c>
    </row>
    <row r="4948" spans="1:2">
      <c r="A4948" s="66">
        <v>46071.378709652781</v>
      </c>
      <c r="B4948" s="49" t="s">
        <v>10563</v>
      </c>
    </row>
    <row r="4949" spans="1:2">
      <c r="A4949" s="66">
        <v>46071.378736423612</v>
      </c>
      <c r="B4949" s="49" t="s">
        <v>10541</v>
      </c>
    </row>
    <row r="4950" spans="1:2">
      <c r="A4950" s="66">
        <v>46071.37873971065</v>
      </c>
      <c r="B4950" s="49" t="s">
        <v>10542</v>
      </c>
    </row>
    <row r="4951" spans="1:2">
      <c r="A4951" s="66">
        <v>46071.378742893517</v>
      </c>
      <c r="B4951" s="49" t="s">
        <v>10543</v>
      </c>
    </row>
    <row r="4952" spans="1:2">
      <c r="A4952" s="66">
        <v>46071.378746643517</v>
      </c>
      <c r="B4952" s="49" t="s">
        <v>9394</v>
      </c>
    </row>
    <row r="4953" spans="1:2">
      <c r="A4953" s="66">
        <v>46071.379893078702</v>
      </c>
      <c r="B4953" s="49" t="s">
        <v>10556</v>
      </c>
    </row>
    <row r="4954" spans="1:2">
      <c r="A4954" s="66">
        <v>46071.379896145838</v>
      </c>
      <c r="B4954" s="49" t="s">
        <v>10557</v>
      </c>
    </row>
    <row r="4955" spans="1:2">
      <c r="A4955" s="66">
        <v>46071.379903113426</v>
      </c>
      <c r="B4955" s="49" t="s">
        <v>10546</v>
      </c>
    </row>
    <row r="4956" spans="1:2">
      <c r="A4956" s="66">
        <v>46071.379906064816</v>
      </c>
      <c r="B4956" s="49" t="s">
        <v>10466</v>
      </c>
    </row>
    <row r="4957" spans="1:2">
      <c r="A4957" s="66">
        <v>46071.379909224532</v>
      </c>
      <c r="B4957" s="49" t="s">
        <v>10561</v>
      </c>
    </row>
    <row r="4958" spans="1:2">
      <c r="A4958" s="66">
        <v>46071.379912430551</v>
      </c>
      <c r="B4958" s="49" t="s">
        <v>10562</v>
      </c>
    </row>
    <row r="4959" spans="1:2">
      <c r="A4959" s="66">
        <v>46071.379915937505</v>
      </c>
      <c r="B4959" s="49" t="s">
        <v>10563</v>
      </c>
    </row>
    <row r="4960" spans="1:2">
      <c r="A4960" s="66">
        <v>46071.37994107639</v>
      </c>
      <c r="B4960" s="49" t="s">
        <v>10541</v>
      </c>
    </row>
    <row r="4961" spans="1:2">
      <c r="A4961" s="66">
        <v>46071.379944594912</v>
      </c>
      <c r="B4961" s="49" t="s">
        <v>10542</v>
      </c>
    </row>
    <row r="4962" spans="1:2">
      <c r="A4962" s="66">
        <v>46071.379947604168</v>
      </c>
      <c r="B4962" s="49" t="s">
        <v>10543</v>
      </c>
    </row>
    <row r="4963" spans="1:2">
      <c r="A4963" s="66">
        <v>46071.37995052083</v>
      </c>
      <c r="B4963" s="49" t="s">
        <v>9394</v>
      </c>
    </row>
    <row r="4964" spans="1:2">
      <c r="A4964" s="66">
        <v>46071.381143252314</v>
      </c>
      <c r="B4964" s="49" t="s">
        <v>10556</v>
      </c>
    </row>
    <row r="4965" spans="1:2">
      <c r="A4965" s="66">
        <v>46071.381146331019</v>
      </c>
      <c r="B4965" s="49" t="s">
        <v>10557</v>
      </c>
    </row>
    <row r="4966" spans="1:2">
      <c r="A4966" s="66">
        <v>46071.38114972222</v>
      </c>
      <c r="B4966" s="49" t="s">
        <v>10546</v>
      </c>
    </row>
    <row r="4967" spans="1:2">
      <c r="A4967" s="66">
        <v>46071.381152442133</v>
      </c>
      <c r="B4967" s="49" t="s">
        <v>10466</v>
      </c>
    </row>
    <row r="4968" spans="1:2">
      <c r="A4968" s="66">
        <v>46071.381155590279</v>
      </c>
      <c r="B4968" s="49" t="s">
        <v>10561</v>
      </c>
    </row>
    <row r="4969" spans="1:2">
      <c r="A4969" s="66">
        <v>46071.381164513892</v>
      </c>
      <c r="B4969" s="49" t="s">
        <v>10562</v>
      </c>
    </row>
    <row r="4970" spans="1:2">
      <c r="A4970" s="66">
        <v>46071.381167569445</v>
      </c>
      <c r="B4970" s="49" t="s">
        <v>10563</v>
      </c>
    </row>
    <row r="4971" spans="1:2">
      <c r="A4971" s="66">
        <v>46071.38119414352</v>
      </c>
      <c r="B4971" s="49" t="s">
        <v>10541</v>
      </c>
    </row>
    <row r="4972" spans="1:2">
      <c r="A4972" s="66">
        <v>46071.38119832176</v>
      </c>
      <c r="B4972" s="49" t="s">
        <v>10542</v>
      </c>
    </row>
    <row r="4973" spans="1:2">
      <c r="A4973" s="66">
        <v>46071.381201759257</v>
      </c>
      <c r="B4973" s="49" t="s">
        <v>10543</v>
      </c>
    </row>
    <row r="4974" spans="1:2">
      <c r="A4974" s="66">
        <v>46071.381204756944</v>
      </c>
      <c r="B4974" s="49" t="s">
        <v>9394</v>
      </c>
    </row>
    <row r="4975" spans="1:2">
      <c r="A4975" s="66">
        <v>46071.382239155093</v>
      </c>
      <c r="B4975" s="49" t="s">
        <v>10556</v>
      </c>
    </row>
    <row r="4976" spans="1:2">
      <c r="A4976" s="66">
        <v>46071.382242268519</v>
      </c>
      <c r="B4976" s="49" t="s">
        <v>10557</v>
      </c>
    </row>
    <row r="4977" spans="1:2">
      <c r="A4977" s="66">
        <v>46071.382245486107</v>
      </c>
      <c r="B4977" s="49" t="s">
        <v>10546</v>
      </c>
    </row>
    <row r="4978" spans="1:2">
      <c r="A4978" s="66">
        <v>46071.382254479162</v>
      </c>
      <c r="B4978" s="49" t="s">
        <v>10466</v>
      </c>
    </row>
    <row r="4979" spans="1:2">
      <c r="A4979" s="66">
        <v>46071.382257476856</v>
      </c>
      <c r="B4979" s="49" t="s">
        <v>10561</v>
      </c>
    </row>
    <row r="4980" spans="1:2">
      <c r="A4980" s="66">
        <v>46071.382260636572</v>
      </c>
      <c r="B4980" s="49" t="s">
        <v>10562</v>
      </c>
    </row>
    <row r="4981" spans="1:2">
      <c r="A4981" s="66">
        <v>46071.382263541665</v>
      </c>
      <c r="B4981" s="49" t="s">
        <v>10563</v>
      </c>
    </row>
    <row r="4982" spans="1:2">
      <c r="A4982" s="66">
        <v>46071.382295381947</v>
      </c>
      <c r="B4982" s="49" t="s">
        <v>10541</v>
      </c>
    </row>
    <row r="4983" spans="1:2">
      <c r="A4983" s="66">
        <v>46071.38229898148</v>
      </c>
      <c r="B4983" s="49" t="s">
        <v>10542</v>
      </c>
    </row>
    <row r="4984" spans="1:2">
      <c r="A4984" s="66">
        <v>46071.382301712962</v>
      </c>
      <c r="B4984" s="49" t="s">
        <v>10543</v>
      </c>
    </row>
    <row r="4985" spans="1:2">
      <c r="A4985" s="66">
        <v>46071.382304537037</v>
      </c>
      <c r="B4985" s="49" t="s">
        <v>9394</v>
      </c>
    </row>
    <row r="4986" spans="1:2">
      <c r="A4986" s="66">
        <v>46071.383037071762</v>
      </c>
      <c r="B4986" s="49" t="s">
        <v>10556</v>
      </c>
    </row>
    <row r="4987" spans="1:2">
      <c r="A4987" s="66">
        <v>46071.383039178239</v>
      </c>
      <c r="B4987" s="49" t="s">
        <v>10557</v>
      </c>
    </row>
    <row r="4988" spans="1:2">
      <c r="A4988" s="66">
        <v>46071.383041261579</v>
      </c>
      <c r="B4988" s="49" t="s">
        <v>10546</v>
      </c>
    </row>
    <row r="4989" spans="1:2">
      <c r="A4989" s="66">
        <v>46071.383043379625</v>
      </c>
      <c r="B4989" s="49" t="s">
        <v>10466</v>
      </c>
    </row>
    <row r="4990" spans="1:2">
      <c r="A4990" s="66">
        <v>46071.383045405091</v>
      </c>
      <c r="B4990" s="49" t="s">
        <v>10561</v>
      </c>
    </row>
    <row r="4991" spans="1:2">
      <c r="A4991" s="66">
        <v>46071.383047395837</v>
      </c>
      <c r="B4991" s="49" t="s">
        <v>10562</v>
      </c>
    </row>
    <row r="4992" spans="1:2">
      <c r="A4992" s="66">
        <v>46071.383049502314</v>
      </c>
      <c r="B4992" s="49" t="s">
        <v>10563</v>
      </c>
    </row>
    <row r="4993" spans="1:2">
      <c r="A4993" s="66">
        <v>46071.383072303244</v>
      </c>
      <c r="B4993" s="49" t="s">
        <v>10541</v>
      </c>
    </row>
    <row r="4994" spans="1:2">
      <c r="A4994" s="66">
        <v>46071.383075000005</v>
      </c>
      <c r="B4994" s="49" t="s">
        <v>10542</v>
      </c>
    </row>
    <row r="4995" spans="1:2">
      <c r="A4995" s="66">
        <v>46071.383077152779</v>
      </c>
      <c r="B4995" s="49" t="s">
        <v>10543</v>
      </c>
    </row>
    <row r="4996" spans="1:2">
      <c r="A4996" s="66">
        <v>46071.383079189814</v>
      </c>
      <c r="B4996" s="49" t="s">
        <v>9394</v>
      </c>
    </row>
    <row r="4997" spans="1:2">
      <c r="A4997" s="66">
        <v>46071.38385697917</v>
      </c>
      <c r="B4997" s="49" t="s">
        <v>10556</v>
      </c>
    </row>
    <row r="4998" spans="1:2">
      <c r="A4998" s="66">
        <v>46071.383860162037</v>
      </c>
      <c r="B4998" s="49" t="s">
        <v>10557</v>
      </c>
    </row>
    <row r="4999" spans="1:2">
      <c r="A4999" s="66">
        <v>46071.38386361111</v>
      </c>
      <c r="B4999" s="49" t="s">
        <v>10546</v>
      </c>
    </row>
    <row r="5000" spans="1:2">
      <c r="A5000" s="66">
        <v>46071.383866863427</v>
      </c>
      <c r="B5000" s="49" t="s">
        <v>10466</v>
      </c>
    </row>
    <row r="5001" spans="1:2">
      <c r="A5001" s="66">
        <v>46071.383874178238</v>
      </c>
      <c r="B5001" s="49" t="s">
        <v>10561</v>
      </c>
    </row>
    <row r="5002" spans="1:2">
      <c r="A5002" s="66">
        <v>46071.383877314816</v>
      </c>
      <c r="B5002" s="49" t="s">
        <v>10562</v>
      </c>
    </row>
    <row r="5003" spans="1:2">
      <c r="A5003" s="66">
        <v>46071.383888807875</v>
      </c>
      <c r="B5003" s="49" t="s">
        <v>10563</v>
      </c>
    </row>
    <row r="5004" spans="1:2">
      <c r="A5004" s="66">
        <v>46071.38391856481</v>
      </c>
      <c r="B5004" s="49" t="s">
        <v>10541</v>
      </c>
    </row>
    <row r="5005" spans="1:2">
      <c r="A5005" s="66">
        <v>46071.383922152774</v>
      </c>
      <c r="B5005" s="49" t="s">
        <v>10542</v>
      </c>
    </row>
    <row r="5006" spans="1:2">
      <c r="A5006" s="66">
        <v>46071.383925358794</v>
      </c>
      <c r="B5006" s="49" t="s">
        <v>10543</v>
      </c>
    </row>
    <row r="5007" spans="1:2">
      <c r="A5007" s="66">
        <v>46071.383928460651</v>
      </c>
      <c r="B5007" s="49" t="s">
        <v>9394</v>
      </c>
    </row>
    <row r="5008" spans="1:2">
      <c r="A5008" s="66">
        <v>46071.385145972221</v>
      </c>
      <c r="B5008" s="49" t="s">
        <v>10556</v>
      </c>
    </row>
    <row r="5009" spans="1:2">
      <c r="A5009" s="66">
        <v>46071.385149236114</v>
      </c>
      <c r="B5009" s="49" t="s">
        <v>10557</v>
      </c>
    </row>
    <row r="5010" spans="1:2">
      <c r="A5010" s="66">
        <v>46071.385151932875</v>
      </c>
      <c r="B5010" s="49" t="s">
        <v>10546</v>
      </c>
    </row>
    <row r="5011" spans="1:2">
      <c r="A5011" s="66">
        <v>46071.385165879634</v>
      </c>
      <c r="B5011" s="49" t="s">
        <v>10466</v>
      </c>
    </row>
    <row r="5012" spans="1:2">
      <c r="A5012" s="66">
        <v>46071.385169224537</v>
      </c>
      <c r="B5012" s="49" t="s">
        <v>10561</v>
      </c>
    </row>
    <row r="5013" spans="1:2">
      <c r="A5013" s="66">
        <v>46071.385180150464</v>
      </c>
      <c r="B5013" s="49" t="s">
        <v>10562</v>
      </c>
    </row>
    <row r="5014" spans="1:2">
      <c r="A5014" s="66">
        <v>46071.385183240738</v>
      </c>
      <c r="B5014" s="49" t="s">
        <v>10563</v>
      </c>
    </row>
    <row r="5015" spans="1:2">
      <c r="A5015" s="66">
        <v>46071.385247662038</v>
      </c>
      <c r="B5015" s="49" t="s">
        <v>10541</v>
      </c>
    </row>
    <row r="5016" spans="1:2">
      <c r="A5016" s="66">
        <v>46071.385251215281</v>
      </c>
      <c r="B5016" s="49" t="s">
        <v>10542</v>
      </c>
    </row>
    <row r="5017" spans="1:2">
      <c r="A5017" s="66">
        <v>46071.385253958331</v>
      </c>
      <c r="B5017" s="49" t="s">
        <v>10543</v>
      </c>
    </row>
    <row r="5018" spans="1:2">
      <c r="A5018" s="66">
        <v>46071.385257326387</v>
      </c>
      <c r="B5018" s="49" t="s">
        <v>9394</v>
      </c>
    </row>
    <row r="5019" spans="1:2">
      <c r="A5019" s="66">
        <v>46071.386050046298</v>
      </c>
      <c r="B5019" s="49" t="s">
        <v>10556</v>
      </c>
    </row>
    <row r="5020" spans="1:2">
      <c r="A5020" s="66">
        <v>46071.386053912036</v>
      </c>
      <c r="B5020" s="49" t="s">
        <v>10557</v>
      </c>
    </row>
    <row r="5021" spans="1:2">
      <c r="A5021" s="66">
        <v>46071.386057546297</v>
      </c>
      <c r="B5021" s="49" t="s">
        <v>10546</v>
      </c>
    </row>
    <row r="5022" spans="1:2">
      <c r="A5022" s="66">
        <v>46071.386066122686</v>
      </c>
      <c r="B5022" s="49" t="s">
        <v>10466</v>
      </c>
    </row>
    <row r="5023" spans="1:2">
      <c r="A5023" s="66">
        <v>46071.386069699074</v>
      </c>
      <c r="B5023" s="49" t="s">
        <v>10561</v>
      </c>
    </row>
    <row r="5024" spans="1:2">
      <c r="A5024" s="66">
        <v>46071.386073379632</v>
      </c>
      <c r="B5024" s="49" t="s">
        <v>10562</v>
      </c>
    </row>
    <row r="5025" spans="1:2">
      <c r="A5025" s="66">
        <v>46071.386076354167</v>
      </c>
      <c r="B5025" s="49" t="s">
        <v>10563</v>
      </c>
    </row>
    <row r="5026" spans="1:2">
      <c r="A5026" s="66">
        <v>46071.386106631944</v>
      </c>
      <c r="B5026" s="49" t="s">
        <v>10541</v>
      </c>
    </row>
    <row r="5027" spans="1:2">
      <c r="A5027" s="66">
        <v>46071.38611018518</v>
      </c>
      <c r="B5027" s="49" t="s">
        <v>10542</v>
      </c>
    </row>
    <row r="5028" spans="1:2">
      <c r="A5028" s="66">
        <v>46071.386113275468</v>
      </c>
      <c r="B5028" s="49" t="s">
        <v>10543</v>
      </c>
    </row>
    <row r="5029" spans="1:2">
      <c r="A5029" s="66">
        <v>46071.386116203706</v>
      </c>
      <c r="B5029" s="49" t="s">
        <v>9394</v>
      </c>
    </row>
    <row r="5030" spans="1:2">
      <c r="A5030" s="66">
        <v>46071.386872962961</v>
      </c>
      <c r="B5030" s="49" t="s">
        <v>10556</v>
      </c>
    </row>
    <row r="5031" spans="1:2">
      <c r="A5031" s="66">
        <v>46071.386875833334</v>
      </c>
      <c r="B5031" s="49" t="s">
        <v>10557</v>
      </c>
    </row>
    <row r="5032" spans="1:2">
      <c r="A5032" s="66">
        <v>46071.386878599536</v>
      </c>
      <c r="B5032" s="49" t="s">
        <v>10546</v>
      </c>
    </row>
    <row r="5033" spans="1:2">
      <c r="A5033" s="66">
        <v>46071.386881273153</v>
      </c>
      <c r="B5033" s="49" t="s">
        <v>10466</v>
      </c>
    </row>
    <row r="5034" spans="1:2">
      <c r="A5034" s="66">
        <v>46071.386885925924</v>
      </c>
      <c r="B5034" s="49" t="s">
        <v>10561</v>
      </c>
    </row>
    <row r="5035" spans="1:2">
      <c r="A5035" s="66">
        <v>46071.386888692126</v>
      </c>
      <c r="B5035" s="49" t="s">
        <v>10562</v>
      </c>
    </row>
    <row r="5036" spans="1:2">
      <c r="A5036" s="66">
        <v>46071.386892708339</v>
      </c>
      <c r="B5036" s="49" t="s">
        <v>10563</v>
      </c>
    </row>
    <row r="5037" spans="1:2">
      <c r="A5037" s="66">
        <v>46071.386917291667</v>
      </c>
      <c r="B5037" s="49" t="s">
        <v>10541</v>
      </c>
    </row>
    <row r="5038" spans="1:2">
      <c r="A5038" s="66">
        <v>46071.38692070602</v>
      </c>
      <c r="B5038" s="49" t="s">
        <v>10542</v>
      </c>
    </row>
    <row r="5039" spans="1:2">
      <c r="A5039" s="66">
        <v>46071.386923506943</v>
      </c>
      <c r="B5039" s="49" t="s">
        <v>10543</v>
      </c>
    </row>
    <row r="5040" spans="1:2">
      <c r="A5040" s="66">
        <v>46071.386926527775</v>
      </c>
      <c r="B5040" s="49" t="s">
        <v>9394</v>
      </c>
    </row>
    <row r="5041" spans="1:2">
      <c r="A5041" s="66">
        <v>46071.388058761571</v>
      </c>
      <c r="B5041" s="49" t="s">
        <v>10556</v>
      </c>
    </row>
    <row r="5042" spans="1:2">
      <c r="A5042" s="66">
        <v>46071.38806351852</v>
      </c>
      <c r="B5042" s="49" t="s">
        <v>10557</v>
      </c>
    </row>
    <row r="5043" spans="1:2">
      <c r="A5043" s="66">
        <v>46071.388066087966</v>
      </c>
      <c r="B5043" s="49" t="s">
        <v>10546</v>
      </c>
    </row>
    <row r="5044" spans="1:2">
      <c r="A5044" s="66">
        <v>46071.388068842592</v>
      </c>
      <c r="B5044" s="49" t="s">
        <v>10466</v>
      </c>
    </row>
    <row r="5045" spans="1:2">
      <c r="A5045" s="66">
        <v>46071.388071655092</v>
      </c>
      <c r="B5045" s="49" t="s">
        <v>10561</v>
      </c>
    </row>
    <row r="5046" spans="1:2">
      <c r="A5046" s="66">
        <v>46071.388074467592</v>
      </c>
      <c r="B5046" s="49" t="s">
        <v>10562</v>
      </c>
    </row>
    <row r="5047" spans="1:2">
      <c r="A5047" s="66">
        <v>46071.388077395837</v>
      </c>
      <c r="B5047" s="49" t="s">
        <v>10563</v>
      </c>
    </row>
    <row r="5048" spans="1:2">
      <c r="A5048" s="66">
        <v>46071.388100972224</v>
      </c>
      <c r="B5048" s="49" t="s">
        <v>10541</v>
      </c>
    </row>
    <row r="5049" spans="1:2">
      <c r="A5049" s="66">
        <v>46071.38810394676</v>
      </c>
      <c r="B5049" s="49" t="s">
        <v>10542</v>
      </c>
    </row>
    <row r="5050" spans="1:2">
      <c r="A5050" s="66">
        <v>46071.388106770828</v>
      </c>
      <c r="B5050" s="49" t="s">
        <v>10543</v>
      </c>
    </row>
    <row r="5051" spans="1:2">
      <c r="A5051" s="66">
        <v>46071.388114641202</v>
      </c>
      <c r="B5051" s="49" t="s">
        <v>9394</v>
      </c>
    </row>
    <row r="5052" spans="1:2">
      <c r="A5052" s="66">
        <v>46071.389387465279</v>
      </c>
      <c r="B5052" s="49" t="s">
        <v>10556</v>
      </c>
    </row>
    <row r="5053" spans="1:2">
      <c r="A5053" s="66">
        <v>46071.389390335651</v>
      </c>
      <c r="B5053" s="49" t="s">
        <v>10557</v>
      </c>
    </row>
    <row r="5054" spans="1:2">
      <c r="A5054" s="66">
        <v>46071.389393240737</v>
      </c>
      <c r="B5054" s="49" t="s">
        <v>10546</v>
      </c>
    </row>
    <row r="5055" spans="1:2">
      <c r="A5055" s="66">
        <v>46071.389396342594</v>
      </c>
      <c r="B5055" s="49" t="s">
        <v>10466</v>
      </c>
    </row>
    <row r="5056" spans="1:2">
      <c r="A5056" s="66">
        <v>46071.38939916667</v>
      </c>
      <c r="B5056" s="49" t="s">
        <v>10561</v>
      </c>
    </row>
    <row r="5057" spans="1:2">
      <c r="A5057" s="66">
        <v>46071.389402152781</v>
      </c>
      <c r="B5057" s="49" t="s">
        <v>10562</v>
      </c>
    </row>
    <row r="5058" spans="1:2">
      <c r="A5058" s="66">
        <v>46071.38940561343</v>
      </c>
      <c r="B5058" s="49" t="s">
        <v>10563</v>
      </c>
    </row>
    <row r="5059" spans="1:2">
      <c r="A5059" s="66">
        <v>46071.389448831018</v>
      </c>
      <c r="B5059" s="49" t="s">
        <v>10541</v>
      </c>
    </row>
    <row r="5060" spans="1:2">
      <c r="A5060" s="66">
        <v>46071.389452384261</v>
      </c>
      <c r="B5060" s="49" t="s">
        <v>10542</v>
      </c>
    </row>
    <row r="5061" spans="1:2">
      <c r="A5061" s="66">
        <v>46071.389455543977</v>
      </c>
      <c r="B5061" s="49" t="s">
        <v>10543</v>
      </c>
    </row>
    <row r="5062" spans="1:2">
      <c r="A5062" s="66">
        <v>46071.389458888894</v>
      </c>
      <c r="B5062" s="49" t="s">
        <v>9394</v>
      </c>
    </row>
    <row r="5063" spans="1:2">
      <c r="A5063" s="66">
        <v>46071.390341377315</v>
      </c>
      <c r="B5063" s="49" t="s">
        <v>10556</v>
      </c>
    </row>
    <row r="5064" spans="1:2">
      <c r="A5064" s="66">
        <v>46071.390357650467</v>
      </c>
      <c r="B5064" s="49" t="s">
        <v>10557</v>
      </c>
    </row>
    <row r="5065" spans="1:2">
      <c r="A5065" s="66">
        <v>46071.390361064812</v>
      </c>
      <c r="B5065" s="49" t="s">
        <v>10546</v>
      </c>
    </row>
    <row r="5066" spans="1:2">
      <c r="A5066" s="66">
        <v>46071.390364791667</v>
      </c>
      <c r="B5066" s="49" t="s">
        <v>10466</v>
      </c>
    </row>
    <row r="5067" spans="1:2">
      <c r="A5067" s="66">
        <v>46071.390367650463</v>
      </c>
      <c r="B5067" s="49" t="s">
        <v>10561</v>
      </c>
    </row>
    <row r="5068" spans="1:2">
      <c r="A5068" s="66">
        <v>46071.390370567126</v>
      </c>
      <c r="B5068" s="49" t="s">
        <v>10562</v>
      </c>
    </row>
    <row r="5069" spans="1:2">
      <c r="A5069" s="66">
        <v>46071.390374236114</v>
      </c>
      <c r="B5069" s="49" t="s">
        <v>10563</v>
      </c>
    </row>
    <row r="5070" spans="1:2">
      <c r="A5070" s="66">
        <v>46071.39040556713</v>
      </c>
      <c r="B5070" s="49" t="s">
        <v>10541</v>
      </c>
    </row>
    <row r="5071" spans="1:2">
      <c r="A5071" s="66">
        <v>46071.390409074069</v>
      </c>
      <c r="B5071" s="49" t="s">
        <v>10542</v>
      </c>
    </row>
    <row r="5072" spans="1:2">
      <c r="A5072" s="66">
        <v>46071.390412129629</v>
      </c>
      <c r="B5072" s="49" t="s">
        <v>10543</v>
      </c>
    </row>
    <row r="5073" spans="1:2">
      <c r="A5073" s="66">
        <v>46071.390421655087</v>
      </c>
      <c r="B5073" s="49" t="s">
        <v>9394</v>
      </c>
    </row>
    <row r="5074" spans="1:2">
      <c r="A5074" s="66">
        <v>46071.391683946757</v>
      </c>
      <c r="B5074" s="49" t="s">
        <v>10556</v>
      </c>
    </row>
    <row r="5075" spans="1:2">
      <c r="A5075" s="66">
        <v>46071.391686608797</v>
      </c>
      <c r="B5075" s="49" t="s">
        <v>10557</v>
      </c>
    </row>
    <row r="5076" spans="1:2">
      <c r="A5076" s="66">
        <v>46071.391689548611</v>
      </c>
      <c r="B5076" s="49" t="s">
        <v>10546</v>
      </c>
    </row>
    <row r="5077" spans="1:2">
      <c r="A5077" s="66">
        <v>46071.391692268517</v>
      </c>
      <c r="B5077" s="49" t="s">
        <v>10466</v>
      </c>
    </row>
    <row r="5078" spans="1:2">
      <c r="A5078" s="66">
        <v>46071.39169506944</v>
      </c>
      <c r="B5078" s="49" t="s">
        <v>10561</v>
      </c>
    </row>
    <row r="5079" spans="1:2">
      <c r="A5079" s="66">
        <v>46071.391697638886</v>
      </c>
      <c r="B5079" s="49" t="s">
        <v>10562</v>
      </c>
    </row>
    <row r="5080" spans="1:2">
      <c r="A5080" s="66">
        <v>46071.391700497683</v>
      </c>
      <c r="B5080" s="49" t="s">
        <v>10563</v>
      </c>
    </row>
    <row r="5081" spans="1:2">
      <c r="A5081" s="66">
        <v>46071.391725254631</v>
      </c>
      <c r="B5081" s="49" t="s">
        <v>10541</v>
      </c>
    </row>
    <row r="5082" spans="1:2">
      <c r="A5082" s="66">
        <v>46071.391733194439</v>
      </c>
      <c r="B5082" s="49" t="s">
        <v>10542</v>
      </c>
    </row>
    <row r="5083" spans="1:2">
      <c r="A5083" s="66">
        <v>46071.3917358912</v>
      </c>
      <c r="B5083" s="49" t="s">
        <v>10543</v>
      </c>
    </row>
    <row r="5084" spans="1:2">
      <c r="A5084" s="66">
        <v>46071.391738634258</v>
      </c>
      <c r="B5084" s="49" t="s">
        <v>9394</v>
      </c>
    </row>
    <row r="5085" spans="1:2">
      <c r="A5085" s="66">
        <v>46071.39218278935</v>
      </c>
      <c r="B5085" s="49"/>
    </row>
    <row r="5086" spans="1:2">
      <c r="A5086" s="66">
        <v>46071.392816689811</v>
      </c>
      <c r="B5086" s="49"/>
    </row>
    <row r="5087" spans="1:2">
      <c r="A5087" s="66">
        <v>46071.393115381943</v>
      </c>
      <c r="B5087" s="49" t="s">
        <v>10556</v>
      </c>
    </row>
    <row r="5088" spans="1:2">
      <c r="A5088" s="66">
        <v>46071.393119548608</v>
      </c>
      <c r="B5088" s="49" t="s">
        <v>10557</v>
      </c>
    </row>
    <row r="5089" spans="1:2">
      <c r="A5089" s="66">
        <v>46071.393122361114</v>
      </c>
      <c r="B5089" s="49" t="s">
        <v>10546</v>
      </c>
    </row>
    <row r="5090" spans="1:2">
      <c r="A5090" s="66">
        <v>46071.393125347226</v>
      </c>
      <c r="B5090" s="49" t="s">
        <v>10466</v>
      </c>
    </row>
    <row r="5091" spans="1:2">
      <c r="A5091" s="66">
        <v>46071.393128206022</v>
      </c>
      <c r="B5091" s="49" t="s">
        <v>10561</v>
      </c>
    </row>
    <row r="5092" spans="1:2">
      <c r="A5092" s="66">
        <v>46071.393130868055</v>
      </c>
      <c r="B5092" s="49" t="s">
        <v>10562</v>
      </c>
    </row>
    <row r="5093" spans="1:2">
      <c r="A5093" s="66">
        <v>46071.393133784717</v>
      </c>
      <c r="B5093" s="49" t="s">
        <v>10563</v>
      </c>
    </row>
    <row r="5094" spans="1:2">
      <c r="A5094" s="66">
        <v>46071.393157210652</v>
      </c>
      <c r="B5094" s="49" t="s">
        <v>10541</v>
      </c>
    </row>
    <row r="5095" spans="1:2">
      <c r="A5095" s="66">
        <v>46071.393160312495</v>
      </c>
      <c r="B5095" s="49" t="s">
        <v>10542</v>
      </c>
    </row>
    <row r="5096" spans="1:2">
      <c r="A5096" s="66">
        <v>46071.393163321758</v>
      </c>
      <c r="B5096" s="49" t="s">
        <v>10543</v>
      </c>
    </row>
    <row r="5097" spans="1:2">
      <c r="A5097" s="66">
        <v>46071.393166168986</v>
      </c>
      <c r="B5097" s="49" t="s">
        <v>9394</v>
      </c>
    </row>
    <row r="5098" spans="1:2">
      <c r="A5098" s="66">
        <v>46071.394174560184</v>
      </c>
      <c r="B5098" s="49" t="s">
        <v>10556</v>
      </c>
    </row>
    <row r="5099" spans="1:2">
      <c r="A5099" s="66">
        <v>46071.394177719907</v>
      </c>
      <c r="B5099" s="49" t="s">
        <v>10557</v>
      </c>
    </row>
    <row r="5100" spans="1:2">
      <c r="A5100" s="66">
        <v>46071.3941809838</v>
      </c>
      <c r="B5100" s="49" t="s">
        <v>10546</v>
      </c>
    </row>
    <row r="5101" spans="1:2">
      <c r="A5101" s="66">
        <v>46071.394183888886</v>
      </c>
      <c r="B5101" s="49" t="s">
        <v>10466</v>
      </c>
    </row>
    <row r="5102" spans="1:2">
      <c r="A5102" s="66">
        <v>46071.394186828707</v>
      </c>
      <c r="B5102" s="49" t="s">
        <v>10561</v>
      </c>
    </row>
    <row r="5103" spans="1:2">
      <c r="A5103" s="66">
        <v>46071.394189999999</v>
      </c>
      <c r="B5103" s="49" t="s">
        <v>10562</v>
      </c>
    </row>
    <row r="5104" spans="1:2">
      <c r="A5104" s="66">
        <v>46071.394197719907</v>
      </c>
      <c r="B5104" s="49" t="s">
        <v>10563</v>
      </c>
    </row>
    <row r="5105" spans="1:2">
      <c r="A5105" s="66">
        <v>46071.394235439817</v>
      </c>
      <c r="B5105" s="49" t="s">
        <v>10541</v>
      </c>
    </row>
    <row r="5106" spans="1:2">
      <c r="A5106" s="66">
        <v>46071.394239189816</v>
      </c>
      <c r="B5106" s="49" t="s">
        <v>10542</v>
      </c>
    </row>
    <row r="5107" spans="1:2">
      <c r="A5107" s="66">
        <v>46071.394242129631</v>
      </c>
      <c r="B5107" s="49" t="s">
        <v>10543</v>
      </c>
    </row>
    <row r="5108" spans="1:2">
      <c r="A5108" s="66">
        <v>46071.394245324074</v>
      </c>
      <c r="B5108" s="49" t="s">
        <v>9394</v>
      </c>
    </row>
    <row r="5109" spans="1:2">
      <c r="A5109" s="66">
        <v>46071.395124641203</v>
      </c>
      <c r="B5109" s="49" t="s">
        <v>10556</v>
      </c>
    </row>
    <row r="5110" spans="1:2">
      <c r="A5110" s="66">
        <v>46071.395127187498</v>
      </c>
      <c r="B5110" s="49" t="s">
        <v>10557</v>
      </c>
    </row>
    <row r="5111" spans="1:2">
      <c r="A5111" s="66">
        <v>46071.395129652781</v>
      </c>
      <c r="B5111" s="49" t="s">
        <v>10546</v>
      </c>
    </row>
    <row r="5112" spans="1:2">
      <c r="A5112" s="66">
        <v>46071.395132141202</v>
      </c>
      <c r="B5112" s="49" t="s">
        <v>10466</v>
      </c>
    </row>
    <row r="5113" spans="1:2">
      <c r="A5113" s="66">
        <v>46071.395134537037</v>
      </c>
      <c r="B5113" s="49" t="s">
        <v>10561</v>
      </c>
    </row>
    <row r="5114" spans="1:2">
      <c r="A5114" s="66">
        <v>46071.395137118059</v>
      </c>
      <c r="B5114" s="49" t="s">
        <v>10562</v>
      </c>
    </row>
    <row r="5115" spans="1:2">
      <c r="A5115" s="66">
        <v>46071.39514043981</v>
      </c>
      <c r="B5115" s="49" t="s">
        <v>10563</v>
      </c>
    </row>
    <row r="5116" spans="1:2">
      <c r="A5116" s="66">
        <v>46071.395162511573</v>
      </c>
      <c r="B5116" s="49" t="s">
        <v>10541</v>
      </c>
    </row>
    <row r="5117" spans="1:2">
      <c r="A5117" s="66">
        <v>46071.395166388887</v>
      </c>
      <c r="B5117" s="49" t="s">
        <v>10542</v>
      </c>
    </row>
    <row r="5118" spans="1:2">
      <c r="A5118" s="66">
        <v>46071.395168773146</v>
      </c>
      <c r="B5118" s="49" t="s">
        <v>10543</v>
      </c>
    </row>
    <row r="5119" spans="1:2">
      <c r="A5119" s="66">
        <v>46071.395170960648</v>
      </c>
      <c r="B5119" s="49" t="s">
        <v>9394</v>
      </c>
    </row>
    <row r="5120" spans="1:2">
      <c r="A5120" s="66">
        <v>46071.396413703704</v>
      </c>
      <c r="B5120" s="49" t="s">
        <v>10556</v>
      </c>
    </row>
    <row r="5121" spans="1:2">
      <c r="A5121" s="66">
        <v>46071.396416608797</v>
      </c>
      <c r="B5121" s="49" t="s">
        <v>10557</v>
      </c>
    </row>
    <row r="5122" spans="1:2">
      <c r="A5122" s="66">
        <v>46071.396418946759</v>
      </c>
      <c r="B5122" s="49" t="s">
        <v>10546</v>
      </c>
    </row>
    <row r="5123" spans="1:2">
      <c r="A5123" s="66">
        <v>46071.39642138889</v>
      </c>
      <c r="B5123" s="49" t="s">
        <v>10466</v>
      </c>
    </row>
    <row r="5124" spans="1:2">
      <c r="A5124" s="66">
        <v>46071.396429629633</v>
      </c>
      <c r="B5124" s="49" t="s">
        <v>10561</v>
      </c>
    </row>
    <row r="5125" spans="1:2">
      <c r="A5125" s="66">
        <v>46071.396432060181</v>
      </c>
      <c r="B5125" s="49" t="s">
        <v>10562</v>
      </c>
    </row>
    <row r="5126" spans="1:2">
      <c r="A5126" s="66">
        <v>46071.396434583337</v>
      </c>
      <c r="B5126" s="49" t="s">
        <v>10563</v>
      </c>
    </row>
    <row r="5127" spans="1:2">
      <c r="A5127" s="66">
        <v>46071.396469259256</v>
      </c>
      <c r="B5127" s="49" t="s">
        <v>10541</v>
      </c>
    </row>
    <row r="5128" spans="1:2">
      <c r="A5128" s="66">
        <v>46071.396472499997</v>
      </c>
      <c r="B5128" s="49" t="s">
        <v>10542</v>
      </c>
    </row>
    <row r="5129" spans="1:2">
      <c r="A5129" s="66">
        <v>46071.396475057874</v>
      </c>
      <c r="B5129" s="49" t="s">
        <v>10543</v>
      </c>
    </row>
    <row r="5130" spans="1:2">
      <c r="A5130" s="66">
        <v>46071.396477476854</v>
      </c>
      <c r="B5130" s="49" t="s">
        <v>9394</v>
      </c>
    </row>
    <row r="5131" spans="1:2">
      <c r="A5131" s="66">
        <v>46071.397494398145</v>
      </c>
      <c r="B5131" s="49" t="s">
        <v>10556</v>
      </c>
    </row>
    <row r="5132" spans="1:2">
      <c r="A5132" s="66">
        <v>46071.397497557875</v>
      </c>
      <c r="B5132" s="49" t="s">
        <v>10557</v>
      </c>
    </row>
    <row r="5133" spans="1:2">
      <c r="A5133" s="66">
        <v>46071.397500543986</v>
      </c>
      <c r="B5133" s="49" t="s">
        <v>10546</v>
      </c>
    </row>
    <row r="5134" spans="1:2">
      <c r="A5134" s="66">
        <v>46071.397503645829</v>
      </c>
      <c r="B5134" s="49" t="s">
        <v>10466</v>
      </c>
    </row>
    <row r="5135" spans="1:2">
      <c r="A5135" s="66">
        <v>46071.397506643523</v>
      </c>
      <c r="B5135" s="49" t="s">
        <v>10561</v>
      </c>
    </row>
    <row r="5136" spans="1:2">
      <c r="A5136" s="66">
        <v>46071.397509733797</v>
      </c>
      <c r="B5136" s="49" t="s">
        <v>10562</v>
      </c>
    </row>
    <row r="5137" spans="1:2">
      <c r="A5137" s="66">
        <v>46071.397512696756</v>
      </c>
      <c r="B5137" s="49" t="s">
        <v>10563</v>
      </c>
    </row>
    <row r="5138" spans="1:2">
      <c r="A5138" s="66">
        <v>46071.397541122686</v>
      </c>
      <c r="B5138" s="49" t="s">
        <v>10541</v>
      </c>
    </row>
    <row r="5139" spans="1:2">
      <c r="A5139" s="66">
        <v>46071.397545451386</v>
      </c>
      <c r="B5139" s="49" t="s">
        <v>10542</v>
      </c>
    </row>
    <row r="5140" spans="1:2">
      <c r="A5140" s="66">
        <v>46071.397558229168</v>
      </c>
      <c r="B5140" s="49" t="s">
        <v>10543</v>
      </c>
    </row>
    <row r="5141" spans="1:2">
      <c r="A5141" s="66">
        <v>46071.397561226855</v>
      </c>
      <c r="B5141" s="49" t="s">
        <v>9394</v>
      </c>
    </row>
    <row r="5142" spans="1:2">
      <c r="A5142" s="66">
        <v>46071.3987871875</v>
      </c>
      <c r="B5142" s="49" t="s">
        <v>10556</v>
      </c>
    </row>
    <row r="5143" spans="1:2">
      <c r="A5143" s="66">
        <v>46071.398790567131</v>
      </c>
      <c r="B5143" s="49" t="s">
        <v>10557</v>
      </c>
    </row>
    <row r="5144" spans="1:2">
      <c r="A5144" s="66">
        <v>46071.398793611108</v>
      </c>
      <c r="B5144" s="49" t="s">
        <v>10546</v>
      </c>
    </row>
    <row r="5145" spans="1:2">
      <c r="A5145" s="66">
        <v>46071.398796620371</v>
      </c>
      <c r="B5145" s="49" t="s">
        <v>10466</v>
      </c>
    </row>
    <row r="5146" spans="1:2">
      <c r="A5146" s="66">
        <v>46071.398799699076</v>
      </c>
      <c r="B5146" s="49" t="s">
        <v>10561</v>
      </c>
    </row>
    <row r="5147" spans="1:2">
      <c r="A5147" s="66">
        <v>46071.398803067132</v>
      </c>
      <c r="B5147" s="49" t="s">
        <v>10562</v>
      </c>
    </row>
    <row r="5148" spans="1:2">
      <c r="A5148" s="66">
        <v>46071.398806585647</v>
      </c>
      <c r="B5148" s="49" t="s">
        <v>10563</v>
      </c>
    </row>
    <row r="5149" spans="1:2">
      <c r="A5149" s="66">
        <v>46071.398852430561</v>
      </c>
      <c r="B5149" s="49" t="s">
        <v>10541</v>
      </c>
    </row>
    <row r="5150" spans="1:2">
      <c r="A5150" s="66">
        <v>46071.39885597222</v>
      </c>
      <c r="B5150" s="49" t="s">
        <v>10542</v>
      </c>
    </row>
    <row r="5151" spans="1:2">
      <c r="A5151" s="66">
        <v>46071.398859166671</v>
      </c>
      <c r="B5151" s="49" t="s">
        <v>10543</v>
      </c>
    </row>
    <row r="5152" spans="1:2">
      <c r="A5152" s="66">
        <v>46071.398862465277</v>
      </c>
      <c r="B5152" s="49" t="s">
        <v>9394</v>
      </c>
    </row>
    <row r="5153" spans="1:2">
      <c r="A5153" s="66">
        <v>46071.400007523145</v>
      </c>
      <c r="B5153" s="49" t="s">
        <v>10556</v>
      </c>
    </row>
    <row r="5154" spans="1:2">
      <c r="A5154" s="66">
        <v>46071.400010625002</v>
      </c>
      <c r="B5154" s="49" t="s">
        <v>10557</v>
      </c>
    </row>
    <row r="5155" spans="1:2">
      <c r="A5155" s="66">
        <v>46071.400013634258</v>
      </c>
      <c r="B5155" s="49" t="s">
        <v>10546</v>
      </c>
    </row>
    <row r="5156" spans="1:2">
      <c r="A5156" s="66">
        <v>46071.400016631946</v>
      </c>
      <c r="B5156" s="49" t="s">
        <v>10466</v>
      </c>
    </row>
    <row r="5157" spans="1:2">
      <c r="A5157" s="66">
        <v>46071.400019629626</v>
      </c>
      <c r="B5157" s="49" t="s">
        <v>10561</v>
      </c>
    </row>
    <row r="5158" spans="1:2">
      <c r="A5158" s="66">
        <v>46071.400022812501</v>
      </c>
      <c r="B5158" s="49" t="s">
        <v>10562</v>
      </c>
    </row>
    <row r="5159" spans="1:2">
      <c r="A5159" s="66">
        <v>46071.400025960647</v>
      </c>
      <c r="B5159" s="49" t="s">
        <v>10563</v>
      </c>
    </row>
    <row r="5160" spans="1:2">
      <c r="A5160" s="66">
        <v>46071.400070960648</v>
      </c>
      <c r="B5160" s="49" t="s">
        <v>10541</v>
      </c>
    </row>
    <row r="5161" spans="1:2">
      <c r="A5161" s="66">
        <v>46071.400074305551</v>
      </c>
      <c r="B5161" s="49" t="s">
        <v>10542</v>
      </c>
    </row>
    <row r="5162" spans="1:2">
      <c r="A5162" s="66">
        <v>46071.400088692128</v>
      </c>
      <c r="B5162" s="49" t="s">
        <v>10543</v>
      </c>
    </row>
    <row r="5163" spans="1:2">
      <c r="A5163" s="66">
        <v>46071.400091516203</v>
      </c>
      <c r="B5163" s="49" t="s">
        <v>9394</v>
      </c>
    </row>
    <row r="5164" spans="1:2">
      <c r="A5164" s="66">
        <v>46071.400894618055</v>
      </c>
      <c r="B5164" s="49" t="s">
        <v>10556</v>
      </c>
    </row>
    <row r="5165" spans="1:2">
      <c r="A5165" s="66">
        <v>46071.400897129628</v>
      </c>
      <c r="B5165" s="49" t="s">
        <v>10557</v>
      </c>
    </row>
    <row r="5166" spans="1:2">
      <c r="A5166" s="66">
        <v>46071.400899895831</v>
      </c>
      <c r="B5166" s="49" t="s">
        <v>10546</v>
      </c>
    </row>
    <row r="5167" spans="1:2">
      <c r="A5167" s="66">
        <v>46071.400902766203</v>
      </c>
      <c r="B5167" s="49" t="s">
        <v>10466</v>
      </c>
    </row>
    <row r="5168" spans="1:2">
      <c r="A5168" s="66">
        <v>46071.400905358794</v>
      </c>
      <c r="B5168" s="49" t="s">
        <v>10561</v>
      </c>
    </row>
    <row r="5169" spans="1:2">
      <c r="A5169" s="66">
        <v>46071.400908159718</v>
      </c>
      <c r="B5169" s="49" t="s">
        <v>10562</v>
      </c>
    </row>
    <row r="5170" spans="1:2">
      <c r="A5170" s="66">
        <v>46071.400910648154</v>
      </c>
      <c r="B5170" s="49" t="s">
        <v>10563</v>
      </c>
    </row>
    <row r="5171" spans="1:2">
      <c r="A5171" s="66">
        <v>46071.400931967597</v>
      </c>
      <c r="B5171" s="49" t="s">
        <v>10541</v>
      </c>
    </row>
    <row r="5172" spans="1:2">
      <c r="A5172" s="66">
        <v>46071.400935671292</v>
      </c>
      <c r="B5172" s="49" t="s">
        <v>10542</v>
      </c>
    </row>
    <row r="5173" spans="1:2">
      <c r="A5173" s="66">
        <v>46071.400944143519</v>
      </c>
      <c r="B5173" s="49" t="s">
        <v>10543</v>
      </c>
    </row>
    <row r="5174" spans="1:2">
      <c r="A5174" s="66">
        <v>46071.400946539346</v>
      </c>
      <c r="B5174" s="49" t="s">
        <v>9394</v>
      </c>
    </row>
    <row r="5175" spans="1:2">
      <c r="A5175" s="66">
        <v>46071.401962592594</v>
      </c>
      <c r="B5175" s="49" t="s">
        <v>10556</v>
      </c>
    </row>
    <row r="5176" spans="1:2">
      <c r="A5176" s="66">
        <v>46071.401965196761</v>
      </c>
      <c r="B5176" s="49" t="s">
        <v>10557</v>
      </c>
    </row>
    <row r="5177" spans="1:2">
      <c r="A5177" s="66">
        <v>46071.401968194448</v>
      </c>
      <c r="B5177" s="49" t="s">
        <v>10546</v>
      </c>
    </row>
    <row r="5178" spans="1:2">
      <c r="A5178" s="66">
        <v>46071.401970902778</v>
      </c>
      <c r="B5178" s="49" t="s">
        <v>10466</v>
      </c>
    </row>
    <row r="5179" spans="1:2">
      <c r="A5179" s="66">
        <v>46071.401973483793</v>
      </c>
      <c r="B5179" s="49" t="s">
        <v>10561</v>
      </c>
    </row>
    <row r="5180" spans="1:2">
      <c r="A5180" s="66">
        <v>46071.401976111112</v>
      </c>
      <c r="B5180" s="49" t="s">
        <v>10562</v>
      </c>
    </row>
    <row r="5181" spans="1:2">
      <c r="A5181" s="66">
        <v>46071.401978900467</v>
      </c>
      <c r="B5181" s="49" t="s">
        <v>10563</v>
      </c>
    </row>
    <row r="5182" spans="1:2">
      <c r="A5182" s="66">
        <v>46071.402001435185</v>
      </c>
      <c r="B5182" s="49" t="s">
        <v>10541</v>
      </c>
    </row>
    <row r="5183" spans="1:2">
      <c r="A5183" s="66">
        <v>46071.402004664356</v>
      </c>
      <c r="B5183" s="49" t="s">
        <v>10542</v>
      </c>
    </row>
    <row r="5184" spans="1:2">
      <c r="A5184" s="66">
        <v>46071.402007395838</v>
      </c>
      <c r="B5184" s="49" t="s">
        <v>10543</v>
      </c>
    </row>
    <row r="5185" spans="1:2">
      <c r="A5185" s="66">
        <v>46071.402010069447</v>
      </c>
      <c r="B5185" s="49" t="s">
        <v>9394</v>
      </c>
    </row>
    <row r="5186" spans="1:2">
      <c r="A5186" s="66">
        <v>46071.402862766205</v>
      </c>
      <c r="B5186" s="49" t="s">
        <v>10556</v>
      </c>
    </row>
    <row r="5187" spans="1:2">
      <c r="A5187" s="66">
        <v>46071.40286534722</v>
      </c>
      <c r="B5187" s="49" t="s">
        <v>10557</v>
      </c>
    </row>
    <row r="5188" spans="1:2">
      <c r="A5188" s="66">
        <v>46071.402867893514</v>
      </c>
      <c r="B5188" s="49" t="s">
        <v>10546</v>
      </c>
    </row>
    <row r="5189" spans="1:2">
      <c r="A5189" s="66">
        <v>46071.402870289356</v>
      </c>
      <c r="B5189" s="49" t="s">
        <v>10466</v>
      </c>
    </row>
    <row r="5190" spans="1:2">
      <c r="A5190" s="66">
        <v>46071.402872650462</v>
      </c>
      <c r="B5190" s="49" t="s">
        <v>10561</v>
      </c>
    </row>
    <row r="5191" spans="1:2">
      <c r="A5191" s="66">
        <v>46071.402875115746</v>
      </c>
      <c r="B5191" s="49" t="s">
        <v>10562</v>
      </c>
    </row>
    <row r="5192" spans="1:2">
      <c r="A5192" s="66">
        <v>46071.402877604167</v>
      </c>
      <c r="B5192" s="49" t="s">
        <v>10563</v>
      </c>
    </row>
    <row r="5193" spans="1:2">
      <c r="A5193" s="66">
        <v>46071.40290828704</v>
      </c>
      <c r="B5193" s="49" t="s">
        <v>10541</v>
      </c>
    </row>
    <row r="5194" spans="1:2">
      <c r="A5194" s="66">
        <v>46071.402911481477</v>
      </c>
      <c r="B5194" s="49" t="s">
        <v>10542</v>
      </c>
    </row>
    <row r="5195" spans="1:2">
      <c r="A5195" s="66">
        <v>46071.402913993057</v>
      </c>
      <c r="B5195" s="49" t="s">
        <v>10543</v>
      </c>
    </row>
    <row r="5196" spans="1:2">
      <c r="A5196" s="66">
        <v>46071.402916597217</v>
      </c>
      <c r="B5196" s="49" t="s">
        <v>9394</v>
      </c>
    </row>
    <row r="5197" spans="1:2">
      <c r="A5197" s="66">
        <v>46071.403850497685</v>
      </c>
      <c r="B5197" s="49" t="s">
        <v>10556</v>
      </c>
    </row>
    <row r="5198" spans="1:2">
      <c r="A5198" s="66">
        <v>46071.40385422454</v>
      </c>
      <c r="B5198" s="49" t="s">
        <v>10557</v>
      </c>
    </row>
    <row r="5199" spans="1:2">
      <c r="A5199" s="66">
        <v>46071.403857557874</v>
      </c>
      <c r="B5199" s="49" t="s">
        <v>10546</v>
      </c>
    </row>
    <row r="5200" spans="1:2">
      <c r="A5200" s="66">
        <v>46071.403861180559</v>
      </c>
      <c r="B5200" s="49" t="s">
        <v>10466</v>
      </c>
    </row>
    <row r="5201" spans="1:2">
      <c r="A5201" s="66">
        <v>46071.403868055553</v>
      </c>
      <c r="B5201" s="49" t="s">
        <v>10561</v>
      </c>
    </row>
    <row r="5202" spans="1:2">
      <c r="A5202" s="66">
        <v>46071.403871273149</v>
      </c>
      <c r="B5202" s="49" t="s">
        <v>10562</v>
      </c>
    </row>
    <row r="5203" spans="1:2">
      <c r="A5203" s="66">
        <v>46071.403874594907</v>
      </c>
      <c r="B5203" s="49" t="s">
        <v>10563</v>
      </c>
    </row>
    <row r="5204" spans="1:2">
      <c r="A5204" s="66">
        <v>46071.403910567125</v>
      </c>
      <c r="B5204" s="49" t="s">
        <v>10541</v>
      </c>
    </row>
    <row r="5205" spans="1:2">
      <c r="A5205" s="66">
        <v>46071.403925011575</v>
      </c>
      <c r="B5205" s="49" t="s">
        <v>10542</v>
      </c>
    </row>
    <row r="5206" spans="1:2">
      <c r="A5206" s="66">
        <v>46071.403928437503</v>
      </c>
      <c r="B5206" s="49" t="s">
        <v>10543</v>
      </c>
    </row>
    <row r="5207" spans="1:2">
      <c r="A5207" s="66">
        <v>46071.403931180554</v>
      </c>
      <c r="B5207" s="49" t="s">
        <v>9394</v>
      </c>
    </row>
    <row r="5208" spans="1:2">
      <c r="A5208" s="66">
        <v>46071.405089016203</v>
      </c>
      <c r="B5208" s="49" t="s">
        <v>10556</v>
      </c>
    </row>
    <row r="5209" spans="1:2">
      <c r="A5209" s="66">
        <v>46071.405091469904</v>
      </c>
      <c r="B5209" s="49" t="s">
        <v>10557</v>
      </c>
    </row>
    <row r="5210" spans="1:2">
      <c r="A5210" s="66">
        <v>46071.405093969908</v>
      </c>
      <c r="B5210" s="49" t="s">
        <v>10546</v>
      </c>
    </row>
    <row r="5211" spans="1:2">
      <c r="A5211" s="66">
        <v>46071.405096539354</v>
      </c>
      <c r="B5211" s="49" t="s">
        <v>10466</v>
      </c>
    </row>
    <row r="5212" spans="1:2">
      <c r="A5212" s="66">
        <v>46071.405099097217</v>
      </c>
      <c r="B5212" s="49" t="s">
        <v>10561</v>
      </c>
    </row>
    <row r="5213" spans="1:2">
      <c r="A5213" s="66">
        <v>46071.405102962963</v>
      </c>
      <c r="B5213" s="49" t="s">
        <v>10562</v>
      </c>
    </row>
    <row r="5214" spans="1:2">
      <c r="A5214" s="66">
        <v>46071.405105694445</v>
      </c>
      <c r="B5214" s="49" t="s">
        <v>10563</v>
      </c>
    </row>
    <row r="5215" spans="1:2">
      <c r="A5215" s="66">
        <v>46071.40512758102</v>
      </c>
      <c r="B5215" s="49" t="s">
        <v>10541</v>
      </c>
    </row>
    <row r="5216" spans="1:2">
      <c r="A5216" s="66">
        <v>46071.40513068287</v>
      </c>
      <c r="B5216" s="49" t="s">
        <v>10542</v>
      </c>
    </row>
    <row r="5217" spans="1:2">
      <c r="A5217" s="66">
        <v>46071.405133310182</v>
      </c>
      <c r="B5217" s="49" t="s">
        <v>10543</v>
      </c>
    </row>
    <row r="5218" spans="1:2">
      <c r="A5218" s="66">
        <v>46071.405136064815</v>
      </c>
      <c r="B5218" s="49" t="s">
        <v>9394</v>
      </c>
    </row>
    <row r="5219" spans="1:2">
      <c r="A5219" s="66">
        <v>46071.40586186343</v>
      </c>
      <c r="B5219" s="49" t="s">
        <v>10556</v>
      </c>
    </row>
    <row r="5220" spans="1:2">
      <c r="A5220" s="66">
        <v>46071.405864328699</v>
      </c>
      <c r="B5220" s="49" t="s">
        <v>10557</v>
      </c>
    </row>
    <row r="5221" spans="1:2">
      <c r="A5221" s="66">
        <v>46071.405866759262</v>
      </c>
      <c r="B5221" s="49" t="s">
        <v>10546</v>
      </c>
    </row>
    <row r="5222" spans="1:2">
      <c r="A5222" s="66">
        <v>46071.405869155089</v>
      </c>
      <c r="B5222" s="49" t="s">
        <v>10466</v>
      </c>
    </row>
    <row r="5223" spans="1:2">
      <c r="A5223" s="66">
        <v>46071.405871481482</v>
      </c>
      <c r="B5223" s="49" t="s">
        <v>10561</v>
      </c>
    </row>
    <row r="5224" spans="1:2">
      <c r="A5224" s="66">
        <v>46071.405874166667</v>
      </c>
      <c r="B5224" s="49" t="s">
        <v>10562</v>
      </c>
    </row>
    <row r="5225" spans="1:2">
      <c r="A5225" s="66">
        <v>46071.405876701392</v>
      </c>
      <c r="B5225" s="49" t="s">
        <v>10563</v>
      </c>
    </row>
    <row r="5226" spans="1:2">
      <c r="A5226" s="66">
        <v>46071.405902534723</v>
      </c>
      <c r="B5226" s="49" t="s">
        <v>10541</v>
      </c>
    </row>
    <row r="5227" spans="1:2">
      <c r="A5227" s="66">
        <v>46071.405906481479</v>
      </c>
      <c r="B5227" s="49" t="s">
        <v>10542</v>
      </c>
    </row>
    <row r="5228" spans="1:2">
      <c r="A5228" s="66">
        <v>46071.405908912042</v>
      </c>
      <c r="B5228" s="49" t="s">
        <v>10543</v>
      </c>
    </row>
    <row r="5229" spans="1:2">
      <c r="A5229" s="66">
        <v>46071.40591533565</v>
      </c>
      <c r="B5229" s="49" t="s">
        <v>9394</v>
      </c>
    </row>
    <row r="5230" spans="1:2">
      <c r="A5230" s="66">
        <v>46071.407081863421</v>
      </c>
      <c r="B5230" s="49" t="s">
        <v>10556</v>
      </c>
    </row>
    <row r="5231" spans="1:2">
      <c r="A5231" s="66">
        <v>46071.407084641207</v>
      </c>
      <c r="B5231" s="49" t="s">
        <v>10557</v>
      </c>
    </row>
    <row r="5232" spans="1:2">
      <c r="A5232" s="66">
        <v>46071.407087314816</v>
      </c>
      <c r="B5232" s="49" t="s">
        <v>10546</v>
      </c>
    </row>
    <row r="5233" spans="1:2">
      <c r="A5233" s="66">
        <v>46071.407089930552</v>
      </c>
      <c r="B5233" s="49" t="s">
        <v>10466</v>
      </c>
    </row>
    <row r="5234" spans="1:2">
      <c r="A5234" s="66">
        <v>46071.407092881942</v>
      </c>
      <c r="B5234" s="49" t="s">
        <v>10561</v>
      </c>
    </row>
    <row r="5235" spans="1:2">
      <c r="A5235" s="66">
        <v>46071.407099432865</v>
      </c>
      <c r="B5235" s="49" t="s">
        <v>10562</v>
      </c>
    </row>
    <row r="5236" spans="1:2">
      <c r="A5236" s="66">
        <v>46071.407102256941</v>
      </c>
      <c r="B5236" s="49" t="s">
        <v>10563</v>
      </c>
    </row>
    <row r="5237" spans="1:2">
      <c r="A5237" s="66">
        <v>46071.407129918982</v>
      </c>
      <c r="B5237" s="49" t="s">
        <v>10541</v>
      </c>
    </row>
    <row r="5238" spans="1:2">
      <c r="A5238" s="66">
        <v>46071.407134548615</v>
      </c>
      <c r="B5238" s="49" t="s">
        <v>10542</v>
      </c>
    </row>
    <row r="5239" spans="1:2">
      <c r="A5239" s="66">
        <v>46071.407137280097</v>
      </c>
      <c r="B5239" s="49" t="s">
        <v>10543</v>
      </c>
    </row>
    <row r="5240" spans="1:2">
      <c r="A5240" s="66">
        <v>46071.40713983796</v>
      </c>
      <c r="B5240" s="49" t="s">
        <v>9394</v>
      </c>
    </row>
    <row r="5241" spans="1:2">
      <c r="A5241" s="66">
        <v>46071.408398935186</v>
      </c>
      <c r="B5241" s="49" t="s">
        <v>10556</v>
      </c>
    </row>
    <row r="5242" spans="1:2">
      <c r="A5242" s="66">
        <v>46071.408403043984</v>
      </c>
      <c r="B5242" s="49" t="s">
        <v>10557</v>
      </c>
    </row>
    <row r="5243" spans="1:2">
      <c r="A5243" s="66">
        <v>46071.408406215276</v>
      </c>
      <c r="B5243" s="49" t="s">
        <v>10546</v>
      </c>
    </row>
    <row r="5244" spans="1:2">
      <c r="A5244" s="66">
        <v>46071.408409537034</v>
      </c>
      <c r="B5244" s="49" t="s">
        <v>10466</v>
      </c>
    </row>
    <row r="5245" spans="1:2">
      <c r="A5245" s="66">
        <v>46071.408412430552</v>
      </c>
      <c r="B5245" s="49" t="s">
        <v>10561</v>
      </c>
    </row>
    <row r="5246" spans="1:2">
      <c r="A5246" s="66">
        <v>46071.408415428239</v>
      </c>
      <c r="B5246" s="49" t="s">
        <v>10562</v>
      </c>
    </row>
    <row r="5247" spans="1:2">
      <c r="A5247" s="66">
        <v>46071.408418877312</v>
      </c>
      <c r="B5247" s="49" t="s">
        <v>10563</v>
      </c>
    </row>
    <row r="5248" spans="1:2">
      <c r="A5248" s="66">
        <v>46071.408452766205</v>
      </c>
      <c r="B5248" s="49" t="s">
        <v>10541</v>
      </c>
    </row>
    <row r="5249" spans="1:2">
      <c r="A5249" s="66">
        <v>46071.408461354164</v>
      </c>
      <c r="B5249" s="49" t="s">
        <v>10542</v>
      </c>
    </row>
    <row r="5250" spans="1:2">
      <c r="A5250" s="66">
        <v>46071.408464270833</v>
      </c>
      <c r="B5250" s="49" t="s">
        <v>10543</v>
      </c>
    </row>
    <row r="5251" spans="1:2">
      <c r="A5251" s="66">
        <v>46071.408467256944</v>
      </c>
      <c r="B5251" s="49" t="s">
        <v>9394</v>
      </c>
    </row>
    <row r="5252" spans="1:2">
      <c r="A5252" s="66">
        <v>46071.409715972222</v>
      </c>
      <c r="B5252" s="49" t="s">
        <v>10556</v>
      </c>
    </row>
    <row r="5253" spans="1:2">
      <c r="A5253" s="66">
        <v>46071.409718310184</v>
      </c>
      <c r="B5253" s="49" t="s">
        <v>10557</v>
      </c>
    </row>
    <row r="5254" spans="1:2">
      <c r="A5254" s="66">
        <v>46071.409720601849</v>
      </c>
      <c r="B5254" s="49" t="s">
        <v>10546</v>
      </c>
    </row>
    <row r="5255" spans="1:2">
      <c r="A5255" s="66">
        <v>46071.409723009259</v>
      </c>
      <c r="B5255" s="49" t="s">
        <v>10466</v>
      </c>
    </row>
    <row r="5256" spans="1:2">
      <c r="A5256" s="66">
        <v>46071.409725439815</v>
      </c>
      <c r="B5256" s="49" t="s">
        <v>10561</v>
      </c>
    </row>
    <row r="5257" spans="1:2">
      <c r="A5257" s="66">
        <v>46071.409727800929</v>
      </c>
      <c r="B5257" s="49" t="s">
        <v>10562</v>
      </c>
    </row>
    <row r="5258" spans="1:2">
      <c r="A5258" s="66">
        <v>46071.409730127314</v>
      </c>
      <c r="B5258" s="49" t="s">
        <v>10563</v>
      </c>
    </row>
    <row r="5259" spans="1:2">
      <c r="A5259" s="66">
        <v>46071.409755243054</v>
      </c>
      <c r="B5259" s="49" t="s">
        <v>10541</v>
      </c>
    </row>
    <row r="5260" spans="1:2">
      <c r="A5260" s="66">
        <v>46071.40975825231</v>
      </c>
      <c r="B5260" s="49" t="s">
        <v>10542</v>
      </c>
    </row>
    <row r="5261" spans="1:2">
      <c r="A5261" s="66">
        <v>46071.409760520837</v>
      </c>
      <c r="B5261" s="49" t="s">
        <v>10543</v>
      </c>
    </row>
    <row r="5262" spans="1:2">
      <c r="A5262" s="66">
        <v>46071.409762812502</v>
      </c>
      <c r="B5262" s="49" t="s">
        <v>9394</v>
      </c>
    </row>
    <row r="5263" spans="1:2">
      <c r="A5263" s="66">
        <v>46071.410976979168</v>
      </c>
      <c r="B5263" s="49" t="s">
        <v>10556</v>
      </c>
    </row>
    <row r="5264" spans="1:2">
      <c r="A5264" s="66">
        <v>46071.41097921296</v>
      </c>
      <c r="B5264" s="49" t="s">
        <v>10557</v>
      </c>
    </row>
    <row r="5265" spans="1:2">
      <c r="A5265" s="66">
        <v>46071.410981342589</v>
      </c>
      <c r="B5265" s="49" t="s">
        <v>10546</v>
      </c>
    </row>
    <row r="5266" spans="1:2">
      <c r="A5266" s="66">
        <v>46071.410983518523</v>
      </c>
      <c r="B5266" s="49" t="s">
        <v>10466</v>
      </c>
    </row>
    <row r="5267" spans="1:2">
      <c r="A5267" s="66">
        <v>46071.410985590279</v>
      </c>
      <c r="B5267" s="49" t="s">
        <v>10561</v>
      </c>
    </row>
    <row r="5268" spans="1:2">
      <c r="A5268" s="66">
        <v>46071.41100148148</v>
      </c>
      <c r="B5268" s="49" t="s">
        <v>10562</v>
      </c>
    </row>
    <row r="5269" spans="1:2">
      <c r="A5269" s="66">
        <v>46071.411003518515</v>
      </c>
      <c r="B5269" s="49" t="s">
        <v>10563</v>
      </c>
    </row>
    <row r="5270" spans="1:2">
      <c r="A5270" s="66">
        <v>46071.411038958337</v>
      </c>
      <c r="B5270" s="49" t="s">
        <v>10541</v>
      </c>
    </row>
    <row r="5271" spans="1:2">
      <c r="A5271" s="66">
        <v>46071.411041840278</v>
      </c>
      <c r="B5271" s="49" t="s">
        <v>10542</v>
      </c>
    </row>
    <row r="5272" spans="1:2">
      <c r="A5272" s="66">
        <v>46071.411043877313</v>
      </c>
      <c r="B5272" s="49" t="s">
        <v>10543</v>
      </c>
    </row>
    <row r="5273" spans="1:2">
      <c r="A5273" s="66">
        <v>46071.411045983798</v>
      </c>
      <c r="B5273" s="49" t="s">
        <v>9394</v>
      </c>
    </row>
    <row r="5274" spans="1:2">
      <c r="A5274" s="66">
        <v>46071.412182256943</v>
      </c>
      <c r="B5274" s="49" t="s">
        <v>10556</v>
      </c>
    </row>
    <row r="5275" spans="1:2">
      <c r="A5275" s="66">
        <v>46071.412184942128</v>
      </c>
      <c r="B5275" s="49" t="s">
        <v>10557</v>
      </c>
    </row>
    <row r="5276" spans="1:2">
      <c r="A5276" s="66">
        <v>46071.412187511574</v>
      </c>
      <c r="B5276" s="49" t="s">
        <v>10546</v>
      </c>
    </row>
    <row r="5277" spans="1:2">
      <c r="A5277" s="66">
        <v>46071.412190659721</v>
      </c>
      <c r="B5277" s="49" t="s">
        <v>10466</v>
      </c>
    </row>
    <row r="5278" spans="1:2">
      <c r="A5278" s="66">
        <v>46071.412193101853</v>
      </c>
      <c r="B5278" s="49" t="s">
        <v>10561</v>
      </c>
    </row>
    <row r="5279" spans="1:2">
      <c r="A5279" s="66">
        <v>46071.412195775461</v>
      </c>
      <c r="B5279" s="49" t="s">
        <v>10562</v>
      </c>
    </row>
    <row r="5280" spans="1:2">
      <c r="A5280" s="66">
        <v>46071.41219826389</v>
      </c>
      <c r="B5280" s="49" t="s">
        <v>10563</v>
      </c>
    </row>
    <row r="5281" spans="1:2">
      <c r="A5281" s="66">
        <v>46071.412218217592</v>
      </c>
      <c r="B5281" s="49" t="s">
        <v>10541</v>
      </c>
    </row>
    <row r="5282" spans="1:2">
      <c r="A5282" s="66">
        <v>46071.412221273145</v>
      </c>
      <c r="B5282" s="49" t="s">
        <v>10542</v>
      </c>
    </row>
    <row r="5283" spans="1:2">
      <c r="A5283" s="66">
        <v>46071.412223692125</v>
      </c>
      <c r="B5283" s="49" t="s">
        <v>10543</v>
      </c>
    </row>
    <row r="5284" spans="1:2">
      <c r="A5284" s="66">
        <v>46071.412240289355</v>
      </c>
      <c r="B5284" s="49" t="s">
        <v>9394</v>
      </c>
    </row>
    <row r="5285" spans="1:2">
      <c r="A5285" s="66">
        <v>46071.413163252313</v>
      </c>
      <c r="B5285" s="49" t="s">
        <v>10556</v>
      </c>
    </row>
    <row r="5286" spans="1:2">
      <c r="A5286" s="66">
        <v>46071.413166226848</v>
      </c>
      <c r="B5286" s="49" t="s">
        <v>10557</v>
      </c>
    </row>
    <row r="5287" spans="1:2">
      <c r="A5287" s="66">
        <v>46071.413169236112</v>
      </c>
      <c r="B5287" s="49" t="s">
        <v>10546</v>
      </c>
    </row>
    <row r="5288" spans="1:2">
      <c r="A5288" s="66">
        <v>46071.413172141205</v>
      </c>
      <c r="B5288" s="49" t="s">
        <v>10466</v>
      </c>
    </row>
    <row r="5289" spans="1:2">
      <c r="A5289" s="66">
        <v>46071.413175196758</v>
      </c>
      <c r="B5289" s="49" t="s">
        <v>10561</v>
      </c>
    </row>
    <row r="5290" spans="1:2">
      <c r="A5290" s="66">
        <v>46071.413178159724</v>
      </c>
      <c r="B5290" s="49" t="s">
        <v>10562</v>
      </c>
    </row>
    <row r="5291" spans="1:2">
      <c r="A5291" s="66">
        <v>46071.413181053242</v>
      </c>
      <c r="B5291" s="49" t="s">
        <v>10563</v>
      </c>
    </row>
    <row r="5292" spans="1:2">
      <c r="A5292" s="66">
        <v>46071.413216608795</v>
      </c>
      <c r="B5292" s="49" t="s">
        <v>10541</v>
      </c>
    </row>
    <row r="5293" spans="1:2">
      <c r="A5293" s="66">
        <v>46071.413220162038</v>
      </c>
      <c r="B5293" s="49" t="s">
        <v>10542</v>
      </c>
    </row>
    <row r="5294" spans="1:2">
      <c r="A5294" s="66">
        <v>46071.413222951393</v>
      </c>
      <c r="B5294" s="49" t="s">
        <v>10543</v>
      </c>
    </row>
    <row r="5295" spans="1:2">
      <c r="A5295" s="66">
        <v>46071.413225879631</v>
      </c>
      <c r="B5295" s="49" t="s">
        <v>9394</v>
      </c>
    </row>
    <row r="5296" spans="1:2">
      <c r="A5296" s="66">
        <v>46071.414091932871</v>
      </c>
      <c r="B5296" s="49" t="s">
        <v>10556</v>
      </c>
    </row>
    <row r="5297" spans="1:2">
      <c r="A5297" s="66">
        <v>46071.414094351851</v>
      </c>
      <c r="B5297" s="49" t="s">
        <v>10557</v>
      </c>
    </row>
    <row r="5298" spans="1:2">
      <c r="A5298" s="66">
        <v>46071.414100347218</v>
      </c>
      <c r="B5298" s="49" t="s">
        <v>10546</v>
      </c>
    </row>
    <row r="5299" spans="1:2">
      <c r="A5299" s="66">
        <v>46071.41410274306</v>
      </c>
      <c r="B5299" s="49" t="s">
        <v>10466</v>
      </c>
    </row>
    <row r="5300" spans="1:2">
      <c r="A5300" s="66">
        <v>46071.414105300923</v>
      </c>
      <c r="B5300" s="49" t="s">
        <v>10561</v>
      </c>
    </row>
    <row r="5301" spans="1:2">
      <c r="A5301" s="66">
        <v>46071.414108067125</v>
      </c>
      <c r="B5301" s="49" t="s">
        <v>10562</v>
      </c>
    </row>
    <row r="5302" spans="1:2">
      <c r="A5302" s="66">
        <v>46071.414110405094</v>
      </c>
      <c r="B5302" s="49" t="s">
        <v>10563</v>
      </c>
    </row>
    <row r="5303" spans="1:2">
      <c r="A5303" s="66">
        <v>46071.414131331017</v>
      </c>
      <c r="B5303" s="49" t="s">
        <v>10541</v>
      </c>
    </row>
    <row r="5304" spans="1:2">
      <c r="A5304" s="66">
        <v>46071.414134236111</v>
      </c>
      <c r="B5304" s="49" t="s">
        <v>10542</v>
      </c>
    </row>
    <row r="5305" spans="1:2">
      <c r="A5305" s="66">
        <v>46071.414145648145</v>
      </c>
      <c r="B5305" s="49" t="s">
        <v>10543</v>
      </c>
    </row>
    <row r="5306" spans="1:2">
      <c r="A5306" s="66">
        <v>46071.414147939809</v>
      </c>
      <c r="B5306" s="49" t="s">
        <v>9394</v>
      </c>
    </row>
    <row r="5307" spans="1:2">
      <c r="A5307" s="66">
        <v>46071.415011863428</v>
      </c>
      <c r="B5307" s="49"/>
    </row>
    <row r="5308" spans="1:2">
      <c r="A5308" s="66">
        <v>46071.415394849537</v>
      </c>
      <c r="B5308" s="49" t="s">
        <v>10556</v>
      </c>
    </row>
    <row r="5309" spans="1:2">
      <c r="A5309" s="66">
        <v>46071.41539765046</v>
      </c>
      <c r="B5309" s="49" t="s">
        <v>10557</v>
      </c>
    </row>
    <row r="5310" spans="1:2">
      <c r="A5310" s="66">
        <v>46071.415400381942</v>
      </c>
      <c r="B5310" s="49" t="s">
        <v>10546</v>
      </c>
    </row>
    <row r="5311" spans="1:2">
      <c r="A5311" s="66">
        <v>46071.415403923616</v>
      </c>
      <c r="B5311" s="49" t="s">
        <v>10466</v>
      </c>
    </row>
    <row r="5312" spans="1:2">
      <c r="A5312" s="66">
        <v>46071.415406655091</v>
      </c>
      <c r="B5312" s="49" t="s">
        <v>10561</v>
      </c>
    </row>
    <row r="5313" spans="1:2">
      <c r="A5313" s="66">
        <v>46071.415409421301</v>
      </c>
      <c r="B5313" s="49" t="s">
        <v>10562</v>
      </c>
    </row>
    <row r="5314" spans="1:2">
      <c r="A5314" s="66">
        <v>46071.41541199074</v>
      </c>
      <c r="B5314" s="49" t="s">
        <v>10563</v>
      </c>
    </row>
    <row r="5315" spans="1:2">
      <c r="A5315" s="66">
        <v>46071.415435358795</v>
      </c>
      <c r="B5315" s="49" t="s">
        <v>10541</v>
      </c>
    </row>
    <row r="5316" spans="1:2">
      <c r="A5316" s="66">
        <v>46071.415438541662</v>
      </c>
      <c r="B5316" s="49" t="s">
        <v>10542</v>
      </c>
    </row>
    <row r="5317" spans="1:2">
      <c r="A5317" s="66">
        <v>46071.415441365738</v>
      </c>
      <c r="B5317" s="49" t="s">
        <v>10543</v>
      </c>
    </row>
    <row r="5318" spans="1:2">
      <c r="A5318" s="66">
        <v>46071.415447997686</v>
      </c>
      <c r="B5318" s="49" t="s">
        <v>9394</v>
      </c>
    </row>
    <row r="5319" spans="1:2">
      <c r="A5319" s="66">
        <v>46071.41662481481</v>
      </c>
      <c r="B5319" s="49" t="s">
        <v>10556</v>
      </c>
    </row>
    <row r="5320" spans="1:2">
      <c r="A5320" s="66">
        <v>46071.416627615741</v>
      </c>
      <c r="B5320" s="49" t="s">
        <v>10557</v>
      </c>
    </row>
    <row r="5321" spans="1:2">
      <c r="A5321" s="66">
        <v>46071.416630474538</v>
      </c>
      <c r="B5321" s="49" t="s">
        <v>10546</v>
      </c>
    </row>
    <row r="5322" spans="1:2">
      <c r="A5322" s="66">
        <v>46071.416637604168</v>
      </c>
      <c r="B5322" s="49" t="s">
        <v>10466</v>
      </c>
    </row>
    <row r="5323" spans="1:2">
      <c r="A5323" s="66">
        <v>46071.416648229162</v>
      </c>
      <c r="B5323" s="49" t="s">
        <v>10561</v>
      </c>
    </row>
    <row r="5324" spans="1:2">
      <c r="A5324" s="66">
        <v>46071.416651180552</v>
      </c>
      <c r="B5324" s="49" t="s">
        <v>10562</v>
      </c>
    </row>
    <row r="5325" spans="1:2">
      <c r="A5325" s="66">
        <v>46071.416653668981</v>
      </c>
      <c r="B5325" s="49" t="s">
        <v>10563</v>
      </c>
    </row>
    <row r="5326" spans="1:2">
      <c r="A5326" s="66">
        <v>46071.416681967588</v>
      </c>
      <c r="B5326" s="49" t="s">
        <v>10541</v>
      </c>
    </row>
    <row r="5327" spans="1:2">
      <c r="A5327" s="66">
        <v>46071.416685324075</v>
      </c>
      <c r="B5327" s="49" t="s">
        <v>10542</v>
      </c>
    </row>
    <row r="5328" spans="1:2">
      <c r="A5328" s="66">
        <v>46071.416687847217</v>
      </c>
      <c r="B5328" s="49" t="s">
        <v>10543</v>
      </c>
    </row>
    <row r="5329" spans="1:2">
      <c r="A5329" s="66">
        <v>46071.416690289348</v>
      </c>
      <c r="B5329" s="49" t="s">
        <v>9394</v>
      </c>
    </row>
    <row r="5330" spans="1:2">
      <c r="A5330" s="66">
        <v>46071.417555474538</v>
      </c>
      <c r="B5330" s="49" t="s">
        <v>10556</v>
      </c>
    </row>
    <row r="5331" spans="1:2">
      <c r="A5331" s="66">
        <v>46071.41755820602</v>
      </c>
      <c r="B5331" s="49" t="s">
        <v>10557</v>
      </c>
    </row>
    <row r="5332" spans="1:2">
      <c r="A5332" s="66">
        <v>46071.417560648144</v>
      </c>
      <c r="B5332" s="49" t="s">
        <v>10546</v>
      </c>
    </row>
    <row r="5333" spans="1:2">
      <c r="A5333" s="66">
        <v>46071.417563263887</v>
      </c>
      <c r="B5333" s="49" t="s">
        <v>10466</v>
      </c>
    </row>
    <row r="5334" spans="1:2">
      <c r="A5334" s="66">
        <v>46071.417565868054</v>
      </c>
      <c r="B5334" s="49" t="s">
        <v>10561</v>
      </c>
    </row>
    <row r="5335" spans="1:2">
      <c r="A5335" s="66">
        <v>46071.417568495366</v>
      </c>
      <c r="B5335" s="49" t="s">
        <v>10562</v>
      </c>
    </row>
    <row r="5336" spans="1:2">
      <c r="A5336" s="66">
        <v>46071.417571284721</v>
      </c>
      <c r="B5336" s="49" t="s">
        <v>10563</v>
      </c>
    </row>
    <row r="5337" spans="1:2">
      <c r="A5337" s="66">
        <v>46071.417592175931</v>
      </c>
      <c r="B5337" s="49" t="s">
        <v>10541</v>
      </c>
    </row>
    <row r="5338" spans="1:2">
      <c r="A5338" s="66">
        <v>46071.417595300925</v>
      </c>
      <c r="B5338" s="49" t="s">
        <v>10542</v>
      </c>
    </row>
    <row r="5339" spans="1:2">
      <c r="A5339" s="66">
        <v>46071.417599016204</v>
      </c>
      <c r="B5339" s="49" t="s">
        <v>10543</v>
      </c>
    </row>
    <row r="5340" spans="1:2">
      <c r="A5340" s="66">
        <v>46071.417602384259</v>
      </c>
      <c r="B5340" s="49" t="s">
        <v>9394</v>
      </c>
    </row>
    <row r="5341" spans="1:2">
      <c r="A5341" s="66">
        <v>46071.418785960646</v>
      </c>
      <c r="B5341" s="49" t="s">
        <v>10556</v>
      </c>
    </row>
    <row r="5342" spans="1:2">
      <c r="A5342" s="66">
        <v>46071.418789699077</v>
      </c>
      <c r="B5342" s="49" t="s">
        <v>10557</v>
      </c>
    </row>
    <row r="5343" spans="1:2">
      <c r="A5343" s="66">
        <v>46071.418793206016</v>
      </c>
      <c r="B5343" s="49" t="s">
        <v>10546</v>
      </c>
    </row>
    <row r="5344" spans="1:2">
      <c r="A5344" s="66">
        <v>46071.418814398145</v>
      </c>
      <c r="B5344" s="49" t="s">
        <v>10466</v>
      </c>
    </row>
    <row r="5345" spans="1:2">
      <c r="A5345" s="66">
        <v>46071.418818136575</v>
      </c>
      <c r="B5345" s="49" t="s">
        <v>10561</v>
      </c>
    </row>
    <row r="5346" spans="1:2">
      <c r="A5346" s="66">
        <v>46071.418821458334</v>
      </c>
      <c r="B5346" s="49" t="s">
        <v>10562</v>
      </c>
    </row>
    <row r="5347" spans="1:2">
      <c r="A5347" s="66">
        <v>46071.418825069442</v>
      </c>
      <c r="B5347" s="49" t="s">
        <v>10563</v>
      </c>
    </row>
    <row r="5348" spans="1:2">
      <c r="A5348" s="66">
        <v>46071.418857824072</v>
      </c>
      <c r="B5348" s="49" t="s">
        <v>10541</v>
      </c>
    </row>
    <row r="5349" spans="1:2">
      <c r="A5349" s="66">
        <v>46071.418861701386</v>
      </c>
      <c r="B5349" s="49" t="s">
        <v>10542</v>
      </c>
    </row>
    <row r="5350" spans="1:2">
      <c r="A5350" s="66">
        <v>46071.418864664352</v>
      </c>
      <c r="B5350" s="49" t="s">
        <v>10543</v>
      </c>
    </row>
    <row r="5351" spans="1:2">
      <c r="A5351" s="66">
        <v>46071.418876793978</v>
      </c>
      <c r="B5351" s="49" t="s">
        <v>9394</v>
      </c>
    </row>
    <row r="5352" spans="1:2">
      <c r="A5352" s="66">
        <v>46071.419626898147</v>
      </c>
      <c r="B5352" s="49" t="s">
        <v>10556</v>
      </c>
    </row>
    <row r="5353" spans="1:2">
      <c r="A5353" s="66">
        <v>46071.419630324075</v>
      </c>
      <c r="B5353" s="49" t="s">
        <v>10557</v>
      </c>
    </row>
    <row r="5354" spans="1:2">
      <c r="A5354" s="66">
        <v>46071.419633391204</v>
      </c>
      <c r="B5354" s="49" t="s">
        <v>10546</v>
      </c>
    </row>
    <row r="5355" spans="1:2">
      <c r="A5355" s="66">
        <v>46071.419636435181</v>
      </c>
      <c r="B5355" s="49" t="s">
        <v>10466</v>
      </c>
    </row>
    <row r="5356" spans="1:2">
      <c r="A5356" s="66">
        <v>46071.419639513886</v>
      </c>
      <c r="B5356" s="49" t="s">
        <v>10561</v>
      </c>
    </row>
    <row r="5357" spans="1:2">
      <c r="A5357" s="66">
        <v>46071.419642881941</v>
      </c>
      <c r="B5357" s="49" t="s">
        <v>10562</v>
      </c>
    </row>
    <row r="5358" spans="1:2">
      <c r="A5358" s="66">
        <v>46071.419645798611</v>
      </c>
      <c r="B5358" s="49" t="s">
        <v>10563</v>
      </c>
    </row>
    <row r="5359" spans="1:2">
      <c r="A5359" s="66">
        <v>46071.419674953708</v>
      </c>
      <c r="B5359" s="49" t="s">
        <v>10541</v>
      </c>
    </row>
    <row r="5360" spans="1:2">
      <c r="A5360" s="66">
        <v>46071.419678240738</v>
      </c>
      <c r="B5360" s="49" t="s">
        <v>10542</v>
      </c>
    </row>
    <row r="5361" spans="1:2">
      <c r="A5361" s="66">
        <v>46071.419681689818</v>
      </c>
      <c r="B5361" s="49" t="s">
        <v>10543</v>
      </c>
    </row>
    <row r="5362" spans="1:2">
      <c r="A5362" s="66">
        <v>46071.419684826389</v>
      </c>
      <c r="B5362" s="49" t="s">
        <v>9394</v>
      </c>
    </row>
    <row r="5363" spans="1:2">
      <c r="A5363" s="66">
        <v>46071.420515555554</v>
      </c>
      <c r="B5363" s="49" t="s">
        <v>10556</v>
      </c>
    </row>
    <row r="5364" spans="1:2">
      <c r="A5364" s="66">
        <v>46071.420518113431</v>
      </c>
      <c r="B5364" s="49" t="s">
        <v>10557</v>
      </c>
    </row>
    <row r="5365" spans="1:2">
      <c r="A5365" s="66">
        <v>46071.420520752319</v>
      </c>
      <c r="B5365" s="49" t="s">
        <v>10546</v>
      </c>
    </row>
    <row r="5366" spans="1:2">
      <c r="A5366" s="66">
        <v>46071.420523599532</v>
      </c>
      <c r="B5366" s="49" t="s">
        <v>10466</v>
      </c>
    </row>
    <row r="5367" spans="1:2">
      <c r="A5367" s="66">
        <v>46071.420526817128</v>
      </c>
      <c r="B5367" s="49" t="s">
        <v>10561</v>
      </c>
    </row>
    <row r="5368" spans="1:2">
      <c r="A5368" s="66">
        <v>46071.420529317125</v>
      </c>
      <c r="B5368" s="49" t="s">
        <v>10562</v>
      </c>
    </row>
    <row r="5369" spans="1:2">
      <c r="A5369" s="66">
        <v>46071.420532337965</v>
      </c>
      <c r="B5369" s="49" t="s">
        <v>10563</v>
      </c>
    </row>
    <row r="5370" spans="1:2">
      <c r="A5370" s="66">
        <v>46071.420555127319</v>
      </c>
      <c r="B5370" s="49" t="s">
        <v>10541</v>
      </c>
    </row>
    <row r="5371" spans="1:2">
      <c r="A5371" s="66">
        <v>46071.42055844907</v>
      </c>
      <c r="B5371" s="49" t="s">
        <v>10542</v>
      </c>
    </row>
    <row r="5372" spans="1:2">
      <c r="A5372" s="66">
        <v>46071.420561087958</v>
      </c>
      <c r="B5372" s="49" t="s">
        <v>10543</v>
      </c>
    </row>
    <row r="5373" spans="1:2">
      <c r="A5373" s="66">
        <v>46071.420563576394</v>
      </c>
      <c r="B5373" s="49" t="s">
        <v>9394</v>
      </c>
    </row>
    <row r="5374" spans="1:2">
      <c r="A5374" s="66">
        <v>46071.42136951389</v>
      </c>
      <c r="B5374" s="49" t="s">
        <v>10556</v>
      </c>
    </row>
    <row r="5375" spans="1:2">
      <c r="A5375" s="66">
        <v>46071.421372199075</v>
      </c>
      <c r="B5375" s="49" t="s">
        <v>10557</v>
      </c>
    </row>
    <row r="5376" spans="1:2">
      <c r="A5376" s="66">
        <v>46071.421374884259</v>
      </c>
      <c r="B5376" s="49" t="s">
        <v>10546</v>
      </c>
    </row>
    <row r="5377" spans="1:2">
      <c r="A5377" s="66">
        <v>46071.421377789353</v>
      </c>
      <c r="B5377" s="49" t="s">
        <v>10466</v>
      </c>
    </row>
    <row r="5378" spans="1:2">
      <c r="A5378" s="66">
        <v>46071.421380439817</v>
      </c>
      <c r="B5378" s="49" t="s">
        <v>10561</v>
      </c>
    </row>
    <row r="5379" spans="1:2">
      <c r="A5379" s="66">
        <v>46071.421383148147</v>
      </c>
      <c r="B5379" s="49" t="s">
        <v>10562</v>
      </c>
    </row>
    <row r="5380" spans="1:2">
      <c r="A5380" s="66">
        <v>46071.421385844907</v>
      </c>
      <c r="B5380" s="49" t="s">
        <v>10563</v>
      </c>
    </row>
    <row r="5381" spans="1:2">
      <c r="A5381" s="66">
        <v>46071.42140846065</v>
      </c>
      <c r="B5381" s="49" t="s">
        <v>10541</v>
      </c>
    </row>
    <row r="5382" spans="1:2">
      <c r="A5382" s="66">
        <v>46071.421411631949</v>
      </c>
      <c r="B5382" s="49" t="s">
        <v>10542</v>
      </c>
    </row>
    <row r="5383" spans="1:2">
      <c r="A5383" s="66">
        <v>46071.42141461806</v>
      </c>
      <c r="B5383" s="49" t="s">
        <v>10543</v>
      </c>
    </row>
    <row r="5384" spans="1:2">
      <c r="A5384" s="66">
        <v>46071.42141761574</v>
      </c>
      <c r="B5384" s="49" t="s">
        <v>9394</v>
      </c>
    </row>
    <row r="5385" spans="1:2">
      <c r="A5385" s="66">
        <v>46071.422774976847</v>
      </c>
      <c r="B5385" s="49" t="s">
        <v>10556</v>
      </c>
    </row>
    <row r="5386" spans="1:2">
      <c r="A5386" s="66">
        <v>46071.422777094907</v>
      </c>
      <c r="B5386" s="49" t="s">
        <v>10557</v>
      </c>
    </row>
    <row r="5387" spans="1:2">
      <c r="A5387" s="66">
        <v>46071.422779050925</v>
      </c>
      <c r="B5387" s="49" t="s">
        <v>10546</v>
      </c>
    </row>
    <row r="5388" spans="1:2">
      <c r="A5388" s="66">
        <v>46071.422780937501</v>
      </c>
      <c r="B5388" s="49" t="s">
        <v>10466</v>
      </c>
    </row>
    <row r="5389" spans="1:2">
      <c r="A5389" s="66">
        <v>46071.422782858797</v>
      </c>
      <c r="B5389" s="49" t="s">
        <v>10561</v>
      </c>
    </row>
    <row r="5390" spans="1:2">
      <c r="A5390" s="66">
        <v>46071.422784745373</v>
      </c>
      <c r="B5390" s="49" t="s">
        <v>10562</v>
      </c>
    </row>
    <row r="5391" spans="1:2">
      <c r="A5391" s="66">
        <v>46071.422786608797</v>
      </c>
      <c r="B5391" s="49" t="s">
        <v>10563</v>
      </c>
    </row>
    <row r="5392" spans="1:2">
      <c r="A5392" s="66">
        <v>46071.422806747687</v>
      </c>
      <c r="B5392" s="49" t="s">
        <v>10541</v>
      </c>
    </row>
    <row r="5393" spans="1:2">
      <c r="A5393" s="66">
        <v>46071.422809837968</v>
      </c>
      <c r="B5393" s="49" t="s">
        <v>10542</v>
      </c>
    </row>
    <row r="5394" spans="1:2">
      <c r="A5394" s="66">
        <v>46071.422813229168</v>
      </c>
      <c r="B5394" s="49" t="s">
        <v>10543</v>
      </c>
    </row>
    <row r="5395" spans="1:2">
      <c r="A5395" s="66">
        <v>46071.422815659724</v>
      </c>
      <c r="B5395" s="49" t="s">
        <v>9394</v>
      </c>
    </row>
    <row r="5396" spans="1:2">
      <c r="A5396" s="66">
        <v>46071.424096990741</v>
      </c>
      <c r="B5396" s="49" t="s">
        <v>10556</v>
      </c>
    </row>
    <row r="5397" spans="1:2">
      <c r="A5397" s="66">
        <v>46071.424112025459</v>
      </c>
      <c r="B5397" s="49" t="s">
        <v>10557</v>
      </c>
    </row>
    <row r="5398" spans="1:2">
      <c r="A5398" s="66">
        <v>46071.424114756941</v>
      </c>
      <c r="B5398" s="49" t="s">
        <v>10546</v>
      </c>
    </row>
    <row r="5399" spans="1:2">
      <c r="A5399" s="66">
        <v>46071.424134375004</v>
      </c>
      <c r="B5399" s="49" t="s">
        <v>10466</v>
      </c>
    </row>
    <row r="5400" spans="1:2">
      <c r="A5400" s="66">
        <v>46071.424137106485</v>
      </c>
      <c r="B5400" s="49" t="s">
        <v>10561</v>
      </c>
    </row>
    <row r="5401" spans="1:2">
      <c r="A5401" s="66">
        <v>46071.424139826384</v>
      </c>
      <c r="B5401" s="49" t="s">
        <v>10562</v>
      </c>
    </row>
    <row r="5402" spans="1:2">
      <c r="A5402" s="66">
        <v>46071.424151608793</v>
      </c>
      <c r="B5402" s="49" t="s">
        <v>10563</v>
      </c>
    </row>
    <row r="5403" spans="1:2">
      <c r="A5403" s="66">
        <v>46071.424172557869</v>
      </c>
      <c r="B5403" s="49" t="s">
        <v>10541</v>
      </c>
    </row>
    <row r="5404" spans="1:2">
      <c r="A5404" s="66">
        <v>46071.424175671295</v>
      </c>
      <c r="B5404" s="49" t="s">
        <v>10542</v>
      </c>
    </row>
    <row r="5405" spans="1:2">
      <c r="A5405" s="66">
        <v>46071.424178738424</v>
      </c>
      <c r="B5405" s="49" t="s">
        <v>10543</v>
      </c>
    </row>
    <row r="5406" spans="1:2">
      <c r="A5406" s="66">
        <v>46071.424181273149</v>
      </c>
      <c r="B5406" s="49" t="s">
        <v>9394</v>
      </c>
    </row>
    <row r="5407" spans="1:2">
      <c r="A5407" s="66">
        <v>46071.425217685188</v>
      </c>
      <c r="B5407" s="49" t="s">
        <v>10556</v>
      </c>
    </row>
    <row r="5408" spans="1:2">
      <c r="A5408" s="66">
        <v>46071.425220347221</v>
      </c>
      <c r="B5408" s="49" t="s">
        <v>10557</v>
      </c>
    </row>
    <row r="5409" spans="1:2">
      <c r="A5409" s="66">
        <v>46071.425222858801</v>
      </c>
      <c r="B5409" s="49" t="s">
        <v>10546</v>
      </c>
    </row>
    <row r="5410" spans="1:2">
      <c r="A5410" s="66">
        <v>46071.425225219908</v>
      </c>
      <c r="B5410" s="49" t="s">
        <v>10466</v>
      </c>
    </row>
    <row r="5411" spans="1:2">
      <c r="A5411" s="66">
        <v>46071.425240659722</v>
      </c>
      <c r="B5411" s="49" t="s">
        <v>10561</v>
      </c>
    </row>
    <row r="5412" spans="1:2">
      <c r="A5412" s="66">
        <v>46071.425243229169</v>
      </c>
      <c r="B5412" s="49" t="s">
        <v>10562</v>
      </c>
    </row>
    <row r="5413" spans="1:2">
      <c r="A5413" s="66">
        <v>46071.425256805553</v>
      </c>
      <c r="B5413" s="49" t="s">
        <v>10563</v>
      </c>
    </row>
    <row r="5414" spans="1:2">
      <c r="A5414" s="66">
        <v>46071.425278182869</v>
      </c>
      <c r="B5414" s="49" t="s">
        <v>10541</v>
      </c>
    </row>
    <row r="5415" spans="1:2">
      <c r="A5415" s="66">
        <v>46071.425281134259</v>
      </c>
      <c r="B5415" s="49" t="s">
        <v>10542</v>
      </c>
    </row>
    <row r="5416" spans="1:2">
      <c r="A5416" s="66">
        <v>46071.425283715274</v>
      </c>
      <c r="B5416" s="49" t="s">
        <v>10543</v>
      </c>
    </row>
    <row r="5417" spans="1:2">
      <c r="A5417" s="66">
        <v>46071.425286030091</v>
      </c>
      <c r="B5417" s="49" t="s">
        <v>9394</v>
      </c>
    </row>
    <row r="5418" spans="1:2">
      <c r="A5418" s="66">
        <v>46071.426614050928</v>
      </c>
      <c r="B5418" s="49" t="s">
        <v>10556</v>
      </c>
    </row>
    <row r="5419" spans="1:2">
      <c r="A5419" s="66">
        <v>46071.426617268517</v>
      </c>
      <c r="B5419" s="49" t="s">
        <v>10557</v>
      </c>
    </row>
    <row r="5420" spans="1:2">
      <c r="A5420" s="66">
        <v>46071.426620787039</v>
      </c>
      <c r="B5420" s="49" t="s">
        <v>10546</v>
      </c>
    </row>
    <row r="5421" spans="1:2">
      <c r="A5421" s="66">
        <v>46071.426623912033</v>
      </c>
      <c r="B5421" s="49" t="s">
        <v>10466</v>
      </c>
    </row>
    <row r="5422" spans="1:2">
      <c r="A5422" s="66">
        <v>46071.426626898145</v>
      </c>
      <c r="B5422" s="49" t="s">
        <v>10561</v>
      </c>
    </row>
    <row r="5423" spans="1:2">
      <c r="A5423" s="66">
        <v>46071.426629733796</v>
      </c>
      <c r="B5423" s="49" t="s">
        <v>10562</v>
      </c>
    </row>
    <row r="5424" spans="1:2">
      <c r="A5424" s="66">
        <v>46071.426632824077</v>
      </c>
      <c r="B5424" s="49" t="s">
        <v>10563</v>
      </c>
    </row>
    <row r="5425" spans="1:2">
      <c r="A5425" s="66">
        <v>46071.426657731485</v>
      </c>
      <c r="B5425" s="49" t="s">
        <v>10541</v>
      </c>
    </row>
    <row r="5426" spans="1:2">
      <c r="A5426" s="66">
        <v>46071.426661666672</v>
      </c>
      <c r="B5426" s="49" t="s">
        <v>10542</v>
      </c>
    </row>
    <row r="5427" spans="1:2">
      <c r="A5427" s="66">
        <v>46071.426665127314</v>
      </c>
      <c r="B5427" s="49" t="s">
        <v>10543</v>
      </c>
    </row>
    <row r="5428" spans="1:2">
      <c r="A5428" s="66">
        <v>46071.42666798611</v>
      </c>
      <c r="B5428" s="49" t="s">
        <v>9394</v>
      </c>
    </row>
    <row r="5429" spans="1:2">
      <c r="A5429" s="66">
        <v>46071.42770782407</v>
      </c>
      <c r="B5429" s="49" t="s">
        <v>10556</v>
      </c>
    </row>
    <row r="5430" spans="1:2">
      <c r="A5430" s="66">
        <v>46071.427711875003</v>
      </c>
      <c r="B5430" s="49" t="s">
        <v>10557</v>
      </c>
    </row>
    <row r="5431" spans="1:2">
      <c r="A5431" s="66">
        <v>46071.427714675927</v>
      </c>
      <c r="B5431" s="49" t="s">
        <v>10546</v>
      </c>
    </row>
    <row r="5432" spans="1:2">
      <c r="A5432" s="66">
        <v>46071.427717754632</v>
      </c>
      <c r="B5432" s="49" t="s">
        <v>10466</v>
      </c>
    </row>
    <row r="5433" spans="1:2">
      <c r="A5433" s="66">
        <v>46071.427720798616</v>
      </c>
      <c r="B5433" s="49" t="s">
        <v>10561</v>
      </c>
    </row>
    <row r="5434" spans="1:2">
      <c r="A5434" s="66">
        <v>46071.427723668981</v>
      </c>
      <c r="B5434" s="49" t="s">
        <v>10562</v>
      </c>
    </row>
    <row r="5435" spans="1:2">
      <c r="A5435" s="66">
        <v>46071.427726435184</v>
      </c>
      <c r="B5435" s="49" t="s">
        <v>10563</v>
      </c>
    </row>
    <row r="5436" spans="1:2">
      <c r="A5436" s="66">
        <v>46071.427753240743</v>
      </c>
      <c r="B5436" s="49" t="s">
        <v>10541</v>
      </c>
    </row>
    <row r="5437" spans="1:2">
      <c r="A5437" s="66">
        <v>46071.427756597222</v>
      </c>
      <c r="B5437" s="49" t="s">
        <v>10542</v>
      </c>
    </row>
    <row r="5438" spans="1:2">
      <c r="A5438" s="66">
        <v>46071.427759513885</v>
      </c>
      <c r="B5438" s="49" t="s">
        <v>10543</v>
      </c>
    </row>
    <row r="5439" spans="1:2">
      <c r="A5439" s="66">
        <v>46071.427763171298</v>
      </c>
      <c r="B5439" s="49" t="s">
        <v>9394</v>
      </c>
    </row>
    <row r="5440" spans="1:2">
      <c r="A5440" s="66">
        <v>46071.428721874996</v>
      </c>
      <c r="B5440" s="49" t="s">
        <v>10556</v>
      </c>
    </row>
    <row r="5441" spans="1:2">
      <c r="A5441" s="66">
        <v>46071.428724409721</v>
      </c>
      <c r="B5441" s="49" t="s">
        <v>10557</v>
      </c>
    </row>
    <row r="5442" spans="1:2">
      <c r="A5442" s="66">
        <v>46071.428728692132</v>
      </c>
      <c r="B5442" s="49" t="s">
        <v>10546</v>
      </c>
    </row>
    <row r="5443" spans="1:2">
      <c r="A5443" s="66">
        <v>46071.428731064814</v>
      </c>
      <c r="B5443" s="49" t="s">
        <v>10466</v>
      </c>
    </row>
    <row r="5444" spans="1:2">
      <c r="A5444" s="66">
        <v>46071.428733414352</v>
      </c>
      <c r="B5444" s="49" t="s">
        <v>10561</v>
      </c>
    </row>
    <row r="5445" spans="1:2">
      <c r="A5445" s="66">
        <v>46071.428735844907</v>
      </c>
      <c r="B5445" s="49" t="s">
        <v>10562</v>
      </c>
    </row>
    <row r="5446" spans="1:2">
      <c r="A5446" s="66">
        <v>46071.428738217597</v>
      </c>
      <c r="B5446" s="49" t="s">
        <v>10563</v>
      </c>
    </row>
    <row r="5447" spans="1:2">
      <c r="A5447" s="66">
        <v>46071.428764537035</v>
      </c>
      <c r="B5447" s="49" t="s">
        <v>10541</v>
      </c>
    </row>
    <row r="5448" spans="1:2">
      <c r="A5448" s="66">
        <v>46071.428767824073</v>
      </c>
      <c r="B5448" s="49" t="s">
        <v>10542</v>
      </c>
    </row>
    <row r="5449" spans="1:2">
      <c r="A5449" s="66">
        <v>46071.42877032407</v>
      </c>
      <c r="B5449" s="49" t="s">
        <v>10543</v>
      </c>
    </row>
    <row r="5450" spans="1:2">
      <c r="A5450" s="66">
        <v>46071.428772546293</v>
      </c>
      <c r="B5450" s="49" t="s">
        <v>9394</v>
      </c>
    </row>
    <row r="5451" spans="1:2">
      <c r="A5451" s="66">
        <v>46071.429637002315</v>
      </c>
      <c r="B5451" s="49" t="s">
        <v>10556</v>
      </c>
    </row>
    <row r="5452" spans="1:2">
      <c r="A5452" s="66">
        <v>46071.429639328708</v>
      </c>
      <c r="B5452" s="49" t="s">
        <v>10557</v>
      </c>
    </row>
    <row r="5453" spans="1:2">
      <c r="A5453" s="66">
        <v>46071.429641666662</v>
      </c>
      <c r="B5453" s="49" t="s">
        <v>10546</v>
      </c>
    </row>
    <row r="5454" spans="1:2">
      <c r="A5454" s="66">
        <v>46071.429644097225</v>
      </c>
      <c r="B5454" s="49" t="s">
        <v>10466</v>
      </c>
    </row>
    <row r="5455" spans="1:2">
      <c r="A5455" s="66">
        <v>46071.429646377313</v>
      </c>
      <c r="B5455" s="49" t="s">
        <v>10561</v>
      </c>
    </row>
    <row r="5456" spans="1:2">
      <c r="A5456" s="66">
        <v>46071.429648541671</v>
      </c>
      <c r="B5456" s="49" t="s">
        <v>10562</v>
      </c>
    </row>
    <row r="5457" spans="1:2">
      <c r="A5457" s="66">
        <v>46071.429650891208</v>
      </c>
      <c r="B5457" s="49" t="s">
        <v>10563</v>
      </c>
    </row>
    <row r="5458" spans="1:2">
      <c r="A5458" s="66">
        <v>46071.429678680557</v>
      </c>
      <c r="B5458" s="49" t="s">
        <v>10541</v>
      </c>
    </row>
    <row r="5459" spans="1:2">
      <c r="A5459" s="66">
        <v>46071.429682025468</v>
      </c>
      <c r="B5459" s="49" t="s">
        <v>10542</v>
      </c>
    </row>
    <row r="5460" spans="1:2">
      <c r="A5460" s="66">
        <v>46071.429684363422</v>
      </c>
      <c r="B5460" s="49" t="s">
        <v>10543</v>
      </c>
    </row>
    <row r="5461" spans="1:2">
      <c r="A5461" s="66">
        <v>46071.429686898147</v>
      </c>
      <c r="B5461" s="49" t="s">
        <v>9394</v>
      </c>
    </row>
    <row r="5462" spans="1:2">
      <c r="A5462" s="66">
        <v>46071.431059560186</v>
      </c>
      <c r="B5462" s="49" t="s">
        <v>10556</v>
      </c>
    </row>
    <row r="5463" spans="1:2">
      <c r="A5463" s="66">
        <v>46071.431062118056</v>
      </c>
      <c r="B5463" s="49" t="s">
        <v>10557</v>
      </c>
    </row>
    <row r="5464" spans="1:2">
      <c r="A5464" s="66">
        <v>46071.43106451389</v>
      </c>
      <c r="B5464" s="49" t="s">
        <v>10546</v>
      </c>
    </row>
    <row r="5465" spans="1:2">
      <c r="A5465" s="66">
        <v>46071.431069456019</v>
      </c>
      <c r="B5465" s="49" t="s">
        <v>10466</v>
      </c>
    </row>
    <row r="5466" spans="1:2">
      <c r="A5466" s="66">
        <v>46071.431071828702</v>
      </c>
      <c r="B5466" s="49" t="s">
        <v>10561</v>
      </c>
    </row>
    <row r="5467" spans="1:2">
      <c r="A5467" s="66">
        <v>46071.431078136578</v>
      </c>
      <c r="B5467" s="49" t="s">
        <v>10562</v>
      </c>
    </row>
    <row r="5468" spans="1:2">
      <c r="A5468" s="66">
        <v>46071.431080729162</v>
      </c>
      <c r="B5468" s="49" t="s">
        <v>10563</v>
      </c>
    </row>
    <row r="5469" spans="1:2">
      <c r="A5469" s="66">
        <v>46071.431104328702</v>
      </c>
      <c r="B5469" s="49" t="s">
        <v>10541</v>
      </c>
    </row>
    <row r="5470" spans="1:2">
      <c r="A5470" s="66">
        <v>46071.431107638884</v>
      </c>
      <c r="B5470" s="49" t="s">
        <v>10542</v>
      </c>
    </row>
    <row r="5471" spans="1:2">
      <c r="A5471" s="66">
        <v>46071.431109942132</v>
      </c>
      <c r="B5471" s="49" t="s">
        <v>10543</v>
      </c>
    </row>
    <row r="5472" spans="1:2">
      <c r="A5472" s="66">
        <v>46071.43111262731</v>
      </c>
      <c r="B5472" s="49" t="s">
        <v>9394</v>
      </c>
    </row>
    <row r="5473" spans="1:2">
      <c r="A5473" s="66">
        <v>46071.43203650463</v>
      </c>
      <c r="B5473" s="49" t="s">
        <v>10556</v>
      </c>
    </row>
    <row r="5474" spans="1:2">
      <c r="A5474" s="66">
        <v>46071.432041296299</v>
      </c>
      <c r="B5474" s="49" t="s">
        <v>10557</v>
      </c>
    </row>
    <row r="5475" spans="1:2">
      <c r="A5475" s="66">
        <v>46071.432044965273</v>
      </c>
      <c r="B5475" s="49" t="s">
        <v>10546</v>
      </c>
    </row>
    <row r="5476" spans="1:2">
      <c r="A5476" s="66">
        <v>46071.432048576389</v>
      </c>
      <c r="B5476" s="49" t="s">
        <v>10466</v>
      </c>
    </row>
    <row r="5477" spans="1:2">
      <c r="A5477" s="66">
        <v>46071.43205239583</v>
      </c>
      <c r="B5477" s="49" t="s">
        <v>10561</v>
      </c>
    </row>
    <row r="5478" spans="1:2">
      <c r="A5478" s="66">
        <v>46071.432058761573</v>
      </c>
      <c r="B5478" s="49" t="s">
        <v>10562</v>
      </c>
    </row>
    <row r="5479" spans="1:2">
      <c r="A5479" s="66">
        <v>46071.432066261579</v>
      </c>
      <c r="B5479" s="49" t="s">
        <v>10563</v>
      </c>
    </row>
    <row r="5480" spans="1:2">
      <c r="A5480" s="66">
        <v>46071.432092314819</v>
      </c>
      <c r="B5480" s="49" t="s">
        <v>10541</v>
      </c>
    </row>
    <row r="5481" spans="1:2">
      <c r="A5481" s="66">
        <v>46071.432096192133</v>
      </c>
      <c r="B5481" s="49" t="s">
        <v>10542</v>
      </c>
    </row>
    <row r="5482" spans="1:2">
      <c r="A5482" s="66">
        <v>46071.432099502315</v>
      </c>
      <c r="B5482" s="49" t="s">
        <v>10543</v>
      </c>
    </row>
    <row r="5483" spans="1:2">
      <c r="A5483" s="66">
        <v>46071.43210244213</v>
      </c>
      <c r="B5483" s="49" t="s">
        <v>9394</v>
      </c>
    </row>
    <row r="5484" spans="1:2">
      <c r="A5484" s="66">
        <v>46071.432947881942</v>
      </c>
      <c r="B5484" s="49" t="s">
        <v>10556</v>
      </c>
    </row>
    <row r="5485" spans="1:2">
      <c r="A5485" s="66">
        <v>46071.432954432872</v>
      </c>
      <c r="B5485" s="49" t="s">
        <v>10557</v>
      </c>
    </row>
    <row r="5486" spans="1:2">
      <c r="A5486" s="66">
        <v>46071.432957407407</v>
      </c>
      <c r="B5486" s="49" t="s">
        <v>10546</v>
      </c>
    </row>
    <row r="5487" spans="1:2">
      <c r="A5487" s="66">
        <v>46071.432960648148</v>
      </c>
      <c r="B5487" s="49" t="s">
        <v>10466</v>
      </c>
    </row>
    <row r="5488" spans="1:2">
      <c r="A5488" s="66">
        <v>46071.432963715277</v>
      </c>
      <c r="B5488" s="49" t="s">
        <v>10561</v>
      </c>
    </row>
    <row r="5489" spans="1:2">
      <c r="A5489" s="66">
        <v>46071.432966990746</v>
      </c>
      <c r="B5489" s="49" t="s">
        <v>10562</v>
      </c>
    </row>
    <row r="5490" spans="1:2">
      <c r="A5490" s="66">
        <v>46071.432970543981</v>
      </c>
      <c r="B5490" s="49" t="s">
        <v>10563</v>
      </c>
    </row>
    <row r="5491" spans="1:2">
      <c r="A5491" s="66">
        <v>46071.432998518518</v>
      </c>
      <c r="B5491" s="49" t="s">
        <v>10541</v>
      </c>
    </row>
    <row r="5492" spans="1:2">
      <c r="A5492" s="66">
        <v>46071.433002500002</v>
      </c>
      <c r="B5492" s="49" t="s">
        <v>10542</v>
      </c>
    </row>
    <row r="5493" spans="1:2">
      <c r="A5493" s="66">
        <v>46071.433005555555</v>
      </c>
      <c r="B5493" s="49" t="s">
        <v>10543</v>
      </c>
    </row>
    <row r="5494" spans="1:2">
      <c r="A5494" s="66">
        <v>46071.43300902778</v>
      </c>
      <c r="B5494" s="49" t="s">
        <v>9394</v>
      </c>
    </row>
    <row r="5495" spans="1:2">
      <c r="A5495" s="66">
        <v>46071.434065231486</v>
      </c>
      <c r="B5495" s="49" t="s">
        <v>10556</v>
      </c>
    </row>
    <row r="5496" spans="1:2">
      <c r="A5496" s="66">
        <v>46071.434067881943</v>
      </c>
      <c r="B5496" s="49" t="s">
        <v>10557</v>
      </c>
    </row>
    <row r="5497" spans="1:2">
      <c r="A5497" s="66">
        <v>46071.434076550926</v>
      </c>
      <c r="B5497" s="49" t="s">
        <v>10546</v>
      </c>
    </row>
    <row r="5498" spans="1:2">
      <c r="A5498" s="66">
        <v>46071.434078958337</v>
      </c>
      <c r="B5498" s="49" t="s">
        <v>10466</v>
      </c>
    </row>
    <row r="5499" spans="1:2">
      <c r="A5499" s="66">
        <v>46071.434081527783</v>
      </c>
      <c r="B5499" s="49" t="s">
        <v>10561</v>
      </c>
    </row>
    <row r="5500" spans="1:2">
      <c r="A5500" s="66">
        <v>46071.434083946762</v>
      </c>
      <c r="B5500" s="49" t="s">
        <v>10562</v>
      </c>
    </row>
    <row r="5501" spans="1:2">
      <c r="A5501" s="66">
        <v>46071.434086770838</v>
      </c>
      <c r="B5501" s="49" t="s">
        <v>10563</v>
      </c>
    </row>
    <row r="5502" spans="1:2">
      <c r="A5502" s="66">
        <v>46071.4341274537</v>
      </c>
      <c r="B5502" s="49" t="s">
        <v>10541</v>
      </c>
    </row>
    <row r="5503" spans="1:2">
      <c r="A5503" s="66">
        <v>46071.434131782407</v>
      </c>
      <c r="B5503" s="49" t="s">
        <v>10542</v>
      </c>
    </row>
    <row r="5504" spans="1:2">
      <c r="A5504" s="66">
        <v>46071.434134236115</v>
      </c>
      <c r="B5504" s="49" t="s">
        <v>10543</v>
      </c>
    </row>
    <row r="5505" spans="1:2">
      <c r="A5505" s="66">
        <v>46071.434136724536</v>
      </c>
      <c r="B5505" s="49" t="s">
        <v>9394</v>
      </c>
    </row>
    <row r="5506" spans="1:2">
      <c r="A5506" s="66">
        <v>46071.435492037039</v>
      </c>
      <c r="B5506" s="49" t="s">
        <v>10556</v>
      </c>
    </row>
    <row r="5507" spans="1:2">
      <c r="A5507" s="66">
        <v>46071.435494826394</v>
      </c>
      <c r="B5507" s="49" t="s">
        <v>10557</v>
      </c>
    </row>
    <row r="5508" spans="1:2">
      <c r="A5508" s="66">
        <v>46071.435497523147</v>
      </c>
      <c r="B5508" s="49" t="s">
        <v>10546</v>
      </c>
    </row>
    <row r="5509" spans="1:2">
      <c r="A5509" s="66">
        <v>46071.435500196763</v>
      </c>
      <c r="B5509" s="49" t="s">
        <v>10466</v>
      </c>
    </row>
    <row r="5510" spans="1:2">
      <c r="A5510" s="66">
        <v>46071.435502939814</v>
      </c>
      <c r="B5510" s="49" t="s">
        <v>10561</v>
      </c>
    </row>
    <row r="5511" spans="1:2">
      <c r="A5511" s="66">
        <v>46071.435508043985</v>
      </c>
      <c r="B5511" s="49" t="s">
        <v>10562</v>
      </c>
    </row>
    <row r="5512" spans="1:2">
      <c r="A5512" s="66">
        <v>46071.435510706018</v>
      </c>
      <c r="B5512" s="49" t="s">
        <v>10563</v>
      </c>
    </row>
    <row r="5513" spans="1:2">
      <c r="A5513" s="66">
        <v>46071.435533865741</v>
      </c>
      <c r="B5513" s="49" t="s">
        <v>10541</v>
      </c>
    </row>
    <row r="5514" spans="1:2">
      <c r="A5514" s="66">
        <v>46071.435538113423</v>
      </c>
      <c r="B5514" s="49" t="s">
        <v>10542</v>
      </c>
    </row>
    <row r="5515" spans="1:2">
      <c r="A5515" s="66">
        <v>46071.435540752311</v>
      </c>
      <c r="B5515" s="49" t="s">
        <v>10543</v>
      </c>
    </row>
    <row r="5516" spans="1:2">
      <c r="A5516" s="66">
        <v>46071.435543298612</v>
      </c>
      <c r="B5516" s="49" t="s">
        <v>9394</v>
      </c>
    </row>
    <row r="5517" spans="1:2">
      <c r="A5517" s="66">
        <v>46071.436267881945</v>
      </c>
      <c r="B5517" s="49" t="s">
        <v>10556</v>
      </c>
    </row>
    <row r="5518" spans="1:2">
      <c r="A5518" s="66">
        <v>46071.436270347222</v>
      </c>
      <c r="B5518" s="49" t="s">
        <v>10557</v>
      </c>
    </row>
    <row r="5519" spans="1:2">
      <c r="A5519" s="66">
        <v>46071.436277106477</v>
      </c>
      <c r="B5519" s="49" t="s">
        <v>10546</v>
      </c>
    </row>
    <row r="5520" spans="1:2">
      <c r="A5520" s="66">
        <v>46071.436279652778</v>
      </c>
      <c r="B5520" s="49" t="s">
        <v>10466</v>
      </c>
    </row>
    <row r="5521" spans="1:2">
      <c r="A5521" s="66">
        <v>46071.436281967588</v>
      </c>
      <c r="B5521" s="49" t="s">
        <v>10561</v>
      </c>
    </row>
    <row r="5522" spans="1:2">
      <c r="A5522" s="66">
        <v>46071.43628444444</v>
      </c>
      <c r="B5522" s="49" t="s">
        <v>10562</v>
      </c>
    </row>
    <row r="5523" spans="1:2">
      <c r="A5523" s="66">
        <v>46071.436286886572</v>
      </c>
      <c r="B5523" s="49" t="s">
        <v>10563</v>
      </c>
    </row>
    <row r="5524" spans="1:2">
      <c r="A5524" s="66">
        <v>46071.436307881944</v>
      </c>
      <c r="B5524" s="49" t="s">
        <v>10541</v>
      </c>
    </row>
    <row r="5525" spans="1:2">
      <c r="A5525" s="66">
        <v>46071.436314918981</v>
      </c>
      <c r="B5525" s="49" t="s">
        <v>10542</v>
      </c>
    </row>
    <row r="5526" spans="1:2">
      <c r="A5526" s="66">
        <v>46071.436317384258</v>
      </c>
      <c r="B5526" s="49" t="s">
        <v>10543</v>
      </c>
    </row>
    <row r="5527" spans="1:2">
      <c r="A5527" s="66">
        <v>46071.436319918983</v>
      </c>
      <c r="B5527" s="49" t="s">
        <v>9394</v>
      </c>
    </row>
    <row r="5528" spans="1:2">
      <c r="A5528" s="66">
        <v>46071.437207141207</v>
      </c>
      <c r="B5528" s="49" t="s">
        <v>10556</v>
      </c>
    </row>
    <row r="5529" spans="1:2">
      <c r="A5529" s="66">
        <v>46071.437210254633</v>
      </c>
      <c r="B5529" s="49" t="s">
        <v>10557</v>
      </c>
    </row>
    <row r="5530" spans="1:2">
      <c r="A5530" s="66">
        <v>46071.43721314815</v>
      </c>
      <c r="B5530" s="49" t="s">
        <v>10546</v>
      </c>
    </row>
    <row r="5531" spans="1:2">
      <c r="A5531" s="66">
        <v>46071.437216226856</v>
      </c>
      <c r="B5531" s="49" t="s">
        <v>10466</v>
      </c>
    </row>
    <row r="5532" spans="1:2">
      <c r="A5532" s="66">
        <v>46071.437232708333</v>
      </c>
      <c r="B5532" s="49" t="s">
        <v>10561</v>
      </c>
    </row>
    <row r="5533" spans="1:2">
      <c r="A5533" s="66">
        <v>46071.437239537037</v>
      </c>
      <c r="B5533" s="49" t="s">
        <v>10562</v>
      </c>
    </row>
    <row r="5534" spans="1:2">
      <c r="A5534" s="66">
        <v>46071.4372424537</v>
      </c>
      <c r="B5534" s="49" t="s">
        <v>10563</v>
      </c>
    </row>
    <row r="5535" spans="1:2">
      <c r="A5535" s="66">
        <v>46071.437265219909</v>
      </c>
      <c r="B5535" s="49" t="s">
        <v>10541</v>
      </c>
    </row>
    <row r="5536" spans="1:2">
      <c r="A5536" s="66">
        <v>46071.437268692127</v>
      </c>
      <c r="B5536" s="49" t="s">
        <v>10542</v>
      </c>
    </row>
    <row r="5537" spans="1:2">
      <c r="A5537" s="66">
        <v>46071.437272106486</v>
      </c>
      <c r="B5537" s="49" t="s">
        <v>10543</v>
      </c>
    </row>
    <row r="5538" spans="1:2">
      <c r="A5538" s="66">
        <v>46071.437275150463</v>
      </c>
      <c r="B5538" s="49" t="s">
        <v>9394</v>
      </c>
    </row>
    <row r="5539" spans="1:2">
      <c r="A5539" s="66">
        <v>46071.438496574076</v>
      </c>
      <c r="B5539" s="49" t="s">
        <v>10556</v>
      </c>
    </row>
    <row r="5540" spans="1:2">
      <c r="A5540" s="66">
        <v>46071.438499340278</v>
      </c>
      <c r="B5540" s="49" t="s">
        <v>10557</v>
      </c>
    </row>
    <row r="5541" spans="1:2">
      <c r="A5541" s="66">
        <v>46071.438501967597</v>
      </c>
      <c r="B5541" s="49" t="s">
        <v>10546</v>
      </c>
    </row>
    <row r="5542" spans="1:2">
      <c r="A5542" s="66">
        <v>46071.4385047338</v>
      </c>
      <c r="B5542" s="49" t="s">
        <v>10466</v>
      </c>
    </row>
    <row r="5543" spans="1:2">
      <c r="A5543" s="66">
        <v>46071.438507604165</v>
      </c>
      <c r="B5543" s="49" t="s">
        <v>10561</v>
      </c>
    </row>
    <row r="5544" spans="1:2">
      <c r="A5544" s="66">
        <v>46071.438510138891</v>
      </c>
      <c r="B5544" s="49" t="s">
        <v>10562</v>
      </c>
    </row>
    <row r="5545" spans="1:2">
      <c r="A5545" s="66">
        <v>46071.438512777779</v>
      </c>
      <c r="B5545" s="49" t="s">
        <v>10563</v>
      </c>
    </row>
    <row r="5546" spans="1:2">
      <c r="A5546" s="66">
        <v>46071.438534918983</v>
      </c>
      <c r="B5546" s="49" t="s">
        <v>10541</v>
      </c>
    </row>
    <row r="5547" spans="1:2">
      <c r="A5547" s="66">
        <v>46071.438538020833</v>
      </c>
      <c r="B5547" s="49" t="s">
        <v>10542</v>
      </c>
    </row>
    <row r="5548" spans="1:2">
      <c r="A5548" s="66">
        <v>46071.438540682866</v>
      </c>
      <c r="B5548" s="49" t="s">
        <v>10543</v>
      </c>
    </row>
    <row r="5549" spans="1:2">
      <c r="A5549" s="66">
        <v>46071.438543344906</v>
      </c>
      <c r="B5549" s="49" t="s">
        <v>9394</v>
      </c>
    </row>
    <row r="5550" spans="1:2">
      <c r="A5550" s="66">
        <v>46071.439386782411</v>
      </c>
      <c r="B5550" s="49" t="s">
        <v>10556</v>
      </c>
    </row>
    <row r="5551" spans="1:2">
      <c r="A5551" s="66">
        <v>46071.439389537038</v>
      </c>
      <c r="B5551" s="49" t="s">
        <v>10557</v>
      </c>
    </row>
    <row r="5552" spans="1:2">
      <c r="A5552" s="66">
        <v>46071.439392314816</v>
      </c>
      <c r="B5552" s="49" t="s">
        <v>10546</v>
      </c>
    </row>
    <row r="5553" spans="1:2">
      <c r="A5553" s="66">
        <v>46071.439395023146</v>
      </c>
      <c r="B5553" s="49" t="s">
        <v>10466</v>
      </c>
    </row>
    <row r="5554" spans="1:2">
      <c r="A5554" s="66">
        <v>46071.439397615744</v>
      </c>
      <c r="B5554" s="49" t="s">
        <v>10561</v>
      </c>
    </row>
    <row r="5555" spans="1:2">
      <c r="A5555" s="66">
        <v>46071.439400219911</v>
      </c>
      <c r="B5555" s="49" t="s">
        <v>10562</v>
      </c>
    </row>
    <row r="5556" spans="1:2">
      <c r="A5556" s="66">
        <v>46071.439412245367</v>
      </c>
      <c r="B5556" s="49" t="s">
        <v>10563</v>
      </c>
    </row>
    <row r="5557" spans="1:2">
      <c r="A5557" s="66">
        <v>46071.439431689811</v>
      </c>
      <c r="B5557" s="49" t="s">
        <v>10541</v>
      </c>
    </row>
    <row r="5558" spans="1:2">
      <c r="A5558" s="66">
        <v>46071.439435046297</v>
      </c>
      <c r="B5558" s="49" t="s">
        <v>10542</v>
      </c>
    </row>
    <row r="5559" spans="1:2">
      <c r="A5559" s="66">
        <v>46071.439437731482</v>
      </c>
      <c r="B5559" s="49" t="s">
        <v>10543</v>
      </c>
    </row>
    <row r="5560" spans="1:2">
      <c r="A5560" s="66">
        <v>46071.43944047454</v>
      </c>
      <c r="B5560" s="49" t="s">
        <v>9394</v>
      </c>
    </row>
    <row r="5561" spans="1:2">
      <c r="A5561" s="66">
        <v>46071.440714699071</v>
      </c>
      <c r="B5561" s="49" t="s">
        <v>10556</v>
      </c>
    </row>
    <row r="5562" spans="1:2">
      <c r="A5562" s="66">
        <v>46071.440717025464</v>
      </c>
      <c r="B5562" s="49" t="s">
        <v>10557</v>
      </c>
    </row>
    <row r="5563" spans="1:2">
      <c r="A5563" s="66">
        <v>46071.440719328704</v>
      </c>
      <c r="B5563" s="49" t="s">
        <v>10546</v>
      </c>
    </row>
    <row r="5564" spans="1:2">
      <c r="A5564" s="66">
        <v>46071.440725833338</v>
      </c>
      <c r="B5564" s="49" t="s">
        <v>10466</v>
      </c>
    </row>
    <row r="5565" spans="1:2">
      <c r="A5565" s="66">
        <v>46071.440728078705</v>
      </c>
      <c r="B5565" s="49" t="s">
        <v>10561</v>
      </c>
    </row>
    <row r="5566" spans="1:2">
      <c r="A5566" s="66">
        <v>46071.440730312504</v>
      </c>
      <c r="B5566" s="49" t="s">
        <v>10562</v>
      </c>
    </row>
    <row r="5567" spans="1:2">
      <c r="A5567" s="66">
        <v>46071.440732557865</v>
      </c>
      <c r="B5567" s="49" t="s">
        <v>10563</v>
      </c>
    </row>
    <row r="5568" spans="1:2">
      <c r="A5568" s="66">
        <v>46071.440754097217</v>
      </c>
      <c r="B5568" s="49" t="s">
        <v>10541</v>
      </c>
    </row>
    <row r="5569" spans="1:2">
      <c r="A5569" s="66">
        <v>46071.440757233795</v>
      </c>
      <c r="B5569" s="49" t="s">
        <v>10542</v>
      </c>
    </row>
    <row r="5570" spans="1:2">
      <c r="A5570" s="66">
        <v>46071.440768530098</v>
      </c>
      <c r="B5570" s="49" t="s">
        <v>10543</v>
      </c>
    </row>
    <row r="5571" spans="1:2">
      <c r="A5571" s="66">
        <v>46071.440771585651</v>
      </c>
      <c r="B5571" s="49" t="s">
        <v>9394</v>
      </c>
    </row>
    <row r="5572" spans="1:2">
      <c r="A5572" s="66">
        <v>46071.441894861113</v>
      </c>
      <c r="B5572" s="49" t="s">
        <v>10556</v>
      </c>
    </row>
    <row r="5573" spans="1:2">
      <c r="A5573" s="66">
        <v>46071.441898090277</v>
      </c>
      <c r="B5573" s="49" t="s">
        <v>10557</v>
      </c>
    </row>
    <row r="5574" spans="1:2">
      <c r="A5574" s="66">
        <v>46071.441899884259</v>
      </c>
      <c r="B5574" s="49" t="s">
        <v>10546</v>
      </c>
    </row>
    <row r="5575" spans="1:2">
      <c r="A5575" s="66">
        <v>46071.441901597223</v>
      </c>
      <c r="B5575" s="49" t="s">
        <v>10466</v>
      </c>
    </row>
    <row r="5576" spans="1:2">
      <c r="A5576" s="66">
        <v>46071.441903564817</v>
      </c>
      <c r="B5576" s="49" t="s">
        <v>10561</v>
      </c>
    </row>
    <row r="5577" spans="1:2">
      <c r="A5577" s="66">
        <v>46071.441905613421</v>
      </c>
      <c r="B5577" s="49" t="s">
        <v>10562</v>
      </c>
    </row>
    <row r="5578" spans="1:2">
      <c r="A5578" s="66">
        <v>46071.441907418979</v>
      </c>
      <c r="B5578" s="49" t="s">
        <v>10563</v>
      </c>
    </row>
    <row r="5579" spans="1:2">
      <c r="A5579" s="66">
        <v>46071.441924803235</v>
      </c>
      <c r="B5579" s="49" t="s">
        <v>10541</v>
      </c>
    </row>
    <row r="5580" spans="1:2">
      <c r="A5580" s="66">
        <v>46071.441927349537</v>
      </c>
      <c r="B5580" s="49" t="s">
        <v>10542</v>
      </c>
    </row>
    <row r="5581" spans="1:2">
      <c r="A5581" s="66">
        <v>46071.441929016204</v>
      </c>
      <c r="B5581" s="49" t="s">
        <v>10543</v>
      </c>
    </row>
    <row r="5582" spans="1:2">
      <c r="A5582" s="66">
        <v>46071.441930810186</v>
      </c>
      <c r="B5582" s="49" t="s">
        <v>9394</v>
      </c>
    </row>
    <row r="5583" spans="1:2">
      <c r="A5583" s="66">
        <v>46071.442841157404</v>
      </c>
      <c r="B5583" s="49" t="s">
        <v>10556</v>
      </c>
    </row>
    <row r="5584" spans="1:2">
      <c r="A5584" s="66">
        <v>46071.442843506942</v>
      </c>
      <c r="B5584" s="49" t="s">
        <v>10557</v>
      </c>
    </row>
    <row r="5585" spans="1:2">
      <c r="A5585" s="66">
        <v>46071.442846018515</v>
      </c>
      <c r="B5585" s="49" t="s">
        <v>10546</v>
      </c>
    </row>
    <row r="5586" spans="1:2">
      <c r="A5586" s="66">
        <v>46071.442848240738</v>
      </c>
      <c r="B5586" s="49" t="s">
        <v>10466</v>
      </c>
    </row>
    <row r="5587" spans="1:2">
      <c r="A5587" s="66">
        <v>46071.442850601852</v>
      </c>
      <c r="B5587" s="49" t="s">
        <v>10561</v>
      </c>
    </row>
    <row r="5588" spans="1:2">
      <c r="A5588" s="66">
        <v>46071.442852789347</v>
      </c>
      <c r="B5588" s="49" t="s">
        <v>10562</v>
      </c>
    </row>
    <row r="5589" spans="1:2">
      <c r="A5589" s="66">
        <v>46071.44285521991</v>
      </c>
      <c r="B5589" s="49" t="s">
        <v>10563</v>
      </c>
    </row>
    <row r="5590" spans="1:2">
      <c r="A5590" s="66">
        <v>46071.442876620371</v>
      </c>
      <c r="B5590" s="49" t="s">
        <v>10541</v>
      </c>
    </row>
    <row r="5591" spans="1:2">
      <c r="A5591" s="66">
        <v>46071.442879537033</v>
      </c>
      <c r="B5591" s="49" t="s">
        <v>10542</v>
      </c>
    </row>
    <row r="5592" spans="1:2">
      <c r="A5592" s="66">
        <v>46071.4428821412</v>
      </c>
      <c r="B5592" s="49" t="s">
        <v>10543</v>
      </c>
    </row>
    <row r="5593" spans="1:2">
      <c r="A5593" s="66">
        <v>46071.442884791672</v>
      </c>
      <c r="B5593" s="49" t="s">
        <v>9394</v>
      </c>
    </row>
    <row r="5594" spans="1:2">
      <c r="A5594" s="66">
        <v>46071.444194351847</v>
      </c>
      <c r="B5594" s="49" t="s">
        <v>10556</v>
      </c>
    </row>
    <row r="5595" spans="1:2">
      <c r="A5595" s="66">
        <v>46071.44419631944</v>
      </c>
      <c r="B5595" s="49" t="s">
        <v>10557</v>
      </c>
    </row>
    <row r="5596" spans="1:2">
      <c r="A5596" s="66">
        <v>46071.444198206023</v>
      </c>
      <c r="B5596" s="49" t="s">
        <v>10546</v>
      </c>
    </row>
    <row r="5597" spans="1:2">
      <c r="A5597" s="66">
        <v>46071.444200115744</v>
      </c>
      <c r="B5597" s="49" t="s">
        <v>10466</v>
      </c>
    </row>
    <row r="5598" spans="1:2">
      <c r="A5598" s="66">
        <v>46071.444201909719</v>
      </c>
      <c r="B5598" s="49" t="s">
        <v>10561</v>
      </c>
    </row>
    <row r="5599" spans="1:2">
      <c r="A5599" s="66">
        <v>46071.44420377315</v>
      </c>
      <c r="B5599" s="49" t="s">
        <v>10562</v>
      </c>
    </row>
    <row r="5600" spans="1:2">
      <c r="A5600" s="66">
        <v>46071.444205601852</v>
      </c>
      <c r="B5600" s="49" t="s">
        <v>10563</v>
      </c>
    </row>
    <row r="5601" spans="1:2">
      <c r="A5601" s="66">
        <v>46071.444229375003</v>
      </c>
      <c r="B5601" s="49" t="s">
        <v>10541</v>
      </c>
    </row>
    <row r="5602" spans="1:2">
      <c r="A5602" s="66">
        <v>46071.444240104167</v>
      </c>
      <c r="B5602" s="49" t="s">
        <v>10542</v>
      </c>
    </row>
    <row r="5603" spans="1:2">
      <c r="A5603" s="66">
        <v>46071.444242002312</v>
      </c>
      <c r="B5603" s="49" t="s">
        <v>10543</v>
      </c>
    </row>
    <row r="5604" spans="1:2">
      <c r="A5604" s="66">
        <v>46071.444243807869</v>
      </c>
      <c r="B5604" s="49" t="s">
        <v>9394</v>
      </c>
    </row>
    <row r="5605" spans="1:2">
      <c r="A5605" s="66">
        <v>46071.445288703704</v>
      </c>
      <c r="B5605" s="49" t="s">
        <v>10556</v>
      </c>
    </row>
    <row r="5606" spans="1:2">
      <c r="A5606" s="66">
        <v>46071.445291377313</v>
      </c>
      <c r="B5606" s="49" t="s">
        <v>10557</v>
      </c>
    </row>
    <row r="5607" spans="1:2">
      <c r="A5607" s="66">
        <v>46071.445294039353</v>
      </c>
      <c r="B5607" s="49" t="s">
        <v>10546</v>
      </c>
    </row>
    <row r="5608" spans="1:2">
      <c r="A5608" s="66">
        <v>46071.445297453705</v>
      </c>
      <c r="B5608" s="49" t="s">
        <v>10466</v>
      </c>
    </row>
    <row r="5609" spans="1:2">
      <c r="A5609" s="66">
        <v>46071.445300358799</v>
      </c>
      <c r="B5609" s="49" t="s">
        <v>10561</v>
      </c>
    </row>
    <row r="5610" spans="1:2">
      <c r="A5610" s="66">
        <v>46071.44530634259</v>
      </c>
      <c r="B5610" s="49" t="s">
        <v>10562</v>
      </c>
    </row>
    <row r="5611" spans="1:2">
      <c r="A5611" s="66">
        <v>46071.445309282411</v>
      </c>
      <c r="B5611" s="49" t="s">
        <v>10563</v>
      </c>
    </row>
    <row r="5612" spans="1:2">
      <c r="A5612" s="66">
        <v>46071.445332453703</v>
      </c>
      <c r="B5612" s="49" t="s">
        <v>10541</v>
      </c>
    </row>
    <row r="5613" spans="1:2">
      <c r="A5613" s="66">
        <v>46071.445335625001</v>
      </c>
      <c r="B5613" s="49" t="s">
        <v>10542</v>
      </c>
    </row>
    <row r="5614" spans="1:2">
      <c r="A5614" s="66">
        <v>46071.445338923615</v>
      </c>
      <c r="B5614" s="49" t="s">
        <v>10543</v>
      </c>
    </row>
    <row r="5615" spans="1:2">
      <c r="A5615" s="66">
        <v>46071.445341909726</v>
      </c>
      <c r="B5615" s="49" t="s">
        <v>9394</v>
      </c>
    </row>
    <row r="5616" spans="1:2">
      <c r="A5616" s="66">
        <v>46071.446466122681</v>
      </c>
      <c r="B5616" s="49" t="s">
        <v>10556</v>
      </c>
    </row>
    <row r="5617" spans="1:2">
      <c r="A5617" s="66">
        <v>46071.446468449074</v>
      </c>
      <c r="B5617" s="49" t="s">
        <v>10557</v>
      </c>
    </row>
    <row r="5618" spans="1:2">
      <c r="A5618" s="66">
        <v>46071.446470879629</v>
      </c>
      <c r="B5618" s="49" t="s">
        <v>10546</v>
      </c>
    </row>
    <row r="5619" spans="1:2">
      <c r="A5619" s="66">
        <v>46071.446473599535</v>
      </c>
      <c r="B5619" s="49" t="s">
        <v>10466</v>
      </c>
    </row>
    <row r="5620" spans="1:2">
      <c r="A5620" s="66">
        <v>46071.446475925928</v>
      </c>
      <c r="B5620" s="49" t="s">
        <v>10561</v>
      </c>
    </row>
    <row r="5621" spans="1:2">
      <c r="A5621" s="66">
        <v>46071.446478379628</v>
      </c>
      <c r="B5621" s="49" t="s">
        <v>10562</v>
      </c>
    </row>
    <row r="5622" spans="1:2">
      <c r="A5622" s="66">
        <v>46071.446481643521</v>
      </c>
      <c r="B5622" s="49" t="s">
        <v>10563</v>
      </c>
    </row>
    <row r="5623" spans="1:2">
      <c r="A5623" s="66">
        <v>46071.44650096065</v>
      </c>
      <c r="B5623" s="49" t="s">
        <v>10541</v>
      </c>
    </row>
    <row r="5624" spans="1:2">
      <c r="A5624" s="66">
        <v>46071.446503553241</v>
      </c>
      <c r="B5624" s="49" t="s">
        <v>10542</v>
      </c>
    </row>
    <row r="5625" spans="1:2">
      <c r="A5625" s="66">
        <v>46071.446505972221</v>
      </c>
      <c r="B5625" s="49" t="s">
        <v>10543</v>
      </c>
    </row>
    <row r="5626" spans="1:2">
      <c r="A5626" s="66">
        <v>46071.446508240741</v>
      </c>
      <c r="B5626" s="49" t="s">
        <v>9394</v>
      </c>
    </row>
    <row r="5627" spans="1:2">
      <c r="A5627" s="66">
        <v>46071.447703229162</v>
      </c>
      <c r="B5627" s="49" t="s">
        <v>10556</v>
      </c>
    </row>
    <row r="5628" spans="1:2">
      <c r="A5628" s="66">
        <v>46071.447706238425</v>
      </c>
      <c r="B5628" s="49" t="s">
        <v>10557</v>
      </c>
    </row>
    <row r="5629" spans="1:2">
      <c r="A5629" s="66">
        <v>46071.447709386572</v>
      </c>
      <c r="B5629" s="49" t="s">
        <v>10546</v>
      </c>
    </row>
    <row r="5630" spans="1:2">
      <c r="A5630" s="66">
        <v>46071.447712233799</v>
      </c>
      <c r="B5630" s="49" t="s">
        <v>10466</v>
      </c>
    </row>
    <row r="5631" spans="1:2">
      <c r="A5631" s="66">
        <v>46071.447714918977</v>
      </c>
      <c r="B5631" s="49" t="s">
        <v>10561</v>
      </c>
    </row>
    <row r="5632" spans="1:2">
      <c r="A5632" s="66">
        <v>46071.447717673611</v>
      </c>
      <c r="B5632" s="49" t="s">
        <v>10562</v>
      </c>
    </row>
    <row r="5633" spans="1:2">
      <c r="A5633" s="66">
        <v>46071.447720833334</v>
      </c>
      <c r="B5633" s="49" t="s">
        <v>10563</v>
      </c>
    </row>
    <row r="5634" spans="1:2">
      <c r="A5634" s="66">
        <v>46071.447748113424</v>
      </c>
      <c r="B5634" s="49" t="s">
        <v>10541</v>
      </c>
    </row>
    <row r="5635" spans="1:2">
      <c r="A5635" s="66">
        <v>46071.447751562504</v>
      </c>
      <c r="B5635" s="49" t="s">
        <v>10542</v>
      </c>
    </row>
    <row r="5636" spans="1:2">
      <c r="A5636" s="66">
        <v>46071.447754490742</v>
      </c>
      <c r="B5636" s="49" t="s">
        <v>10543</v>
      </c>
    </row>
    <row r="5637" spans="1:2">
      <c r="A5637" s="66">
        <v>46071.447757291666</v>
      </c>
      <c r="B5637" s="49" t="s">
        <v>9394</v>
      </c>
    </row>
    <row r="5638" spans="1:2">
      <c r="A5638" s="66">
        <v>46071.449126296298</v>
      </c>
      <c r="B5638" s="49" t="s">
        <v>10556</v>
      </c>
    </row>
    <row r="5639" spans="1:2">
      <c r="A5639" s="66">
        <v>46071.44912907407</v>
      </c>
      <c r="B5639" s="49" t="s">
        <v>10557</v>
      </c>
    </row>
    <row r="5640" spans="1:2">
      <c r="A5640" s="66">
        <v>46071.44913212963</v>
      </c>
      <c r="B5640" s="49" t="s">
        <v>10546</v>
      </c>
    </row>
    <row r="5641" spans="1:2">
      <c r="A5641" s="66">
        <v>46071.449134930561</v>
      </c>
      <c r="B5641" s="49" t="s">
        <v>10466</v>
      </c>
    </row>
    <row r="5642" spans="1:2">
      <c r="A5642" s="66">
        <v>46071.44913872685</v>
      </c>
      <c r="B5642" s="49" t="s">
        <v>10561</v>
      </c>
    </row>
    <row r="5643" spans="1:2">
      <c r="A5643" s="66">
        <v>46071.449141539357</v>
      </c>
      <c r="B5643" s="49" t="s">
        <v>10562</v>
      </c>
    </row>
    <row r="5644" spans="1:2">
      <c r="A5644" s="66">
        <v>46071.44914438657</v>
      </c>
      <c r="B5644" s="49" t="s">
        <v>10563</v>
      </c>
    </row>
    <row r="5645" spans="1:2">
      <c r="A5645" s="66">
        <v>46071.44917576389</v>
      </c>
      <c r="B5645" s="49" t="s">
        <v>10541</v>
      </c>
    </row>
    <row r="5646" spans="1:2">
      <c r="A5646" s="66">
        <v>46071.449178773153</v>
      </c>
      <c r="B5646" s="49" t="s">
        <v>10542</v>
      </c>
    </row>
    <row r="5647" spans="1:2">
      <c r="A5647" s="66">
        <v>46071.44918171296</v>
      </c>
      <c r="B5647" s="49" t="s">
        <v>10543</v>
      </c>
    </row>
    <row r="5648" spans="1:2">
      <c r="A5648" s="66">
        <v>46071.449184988422</v>
      </c>
      <c r="B5648" s="49" t="s">
        <v>9394</v>
      </c>
    </row>
    <row r="5649" spans="1:2">
      <c r="A5649" s="66">
        <v>46071.450339097224</v>
      </c>
      <c r="B5649" s="49" t="s">
        <v>10556</v>
      </c>
    </row>
    <row r="5650" spans="1:2">
      <c r="A5650" s="66">
        <v>46071.450345902776</v>
      </c>
      <c r="B5650" s="49" t="s">
        <v>10557</v>
      </c>
    </row>
    <row r="5651" spans="1:2">
      <c r="A5651" s="66">
        <v>46071.450348483791</v>
      </c>
      <c r="B5651" s="49" t="s">
        <v>10546</v>
      </c>
    </row>
    <row r="5652" spans="1:2">
      <c r="A5652" s="66">
        <v>46071.450350914354</v>
      </c>
      <c r="B5652" s="49" t="s">
        <v>10466</v>
      </c>
    </row>
    <row r="5653" spans="1:2">
      <c r="A5653" s="66">
        <v>46071.450360532406</v>
      </c>
      <c r="B5653" s="49" t="s">
        <v>10561</v>
      </c>
    </row>
    <row r="5654" spans="1:2">
      <c r="A5654" s="66">
        <v>46071.450363159718</v>
      </c>
      <c r="B5654" s="49" t="s">
        <v>10562</v>
      </c>
    </row>
    <row r="5655" spans="1:2">
      <c r="A5655" s="66">
        <v>46071.450368356484</v>
      </c>
      <c r="B5655" s="49" t="s">
        <v>10563</v>
      </c>
    </row>
    <row r="5656" spans="1:2">
      <c r="A5656" s="66">
        <v>46071.450396053246</v>
      </c>
      <c r="B5656" s="49" t="s">
        <v>10541</v>
      </c>
    </row>
    <row r="5657" spans="1:2">
      <c r="A5657" s="66">
        <v>46071.450398946763</v>
      </c>
      <c r="B5657" s="49" t="s">
        <v>10542</v>
      </c>
    </row>
    <row r="5658" spans="1:2">
      <c r="A5658" s="66">
        <v>46071.450401493057</v>
      </c>
      <c r="B5658" s="49" t="s">
        <v>10543</v>
      </c>
    </row>
    <row r="5659" spans="1:2">
      <c r="A5659" s="66">
        <v>46071.450404120369</v>
      </c>
      <c r="B5659" s="49" t="s">
        <v>9394</v>
      </c>
    </row>
    <row r="5660" spans="1:2">
      <c r="A5660" s="66">
        <v>46071.451746712963</v>
      </c>
      <c r="B5660" s="49" t="s">
        <v>10556</v>
      </c>
    </row>
    <row r="5661" spans="1:2">
      <c r="A5661" s="66">
        <v>46071.451749456013</v>
      </c>
      <c r="B5661" s="49" t="s">
        <v>10557</v>
      </c>
    </row>
    <row r="5662" spans="1:2">
      <c r="A5662" s="66">
        <v>46071.451751990739</v>
      </c>
      <c r="B5662" s="49" t="s">
        <v>10546</v>
      </c>
    </row>
    <row r="5663" spans="1:2">
      <c r="A5663" s="66">
        <v>46071.451754537033</v>
      </c>
      <c r="B5663" s="49" t="s">
        <v>10466</v>
      </c>
    </row>
    <row r="5664" spans="1:2">
      <c r="A5664" s="66">
        <v>46071.451756944443</v>
      </c>
      <c r="B5664" s="49" t="s">
        <v>10561</v>
      </c>
    </row>
    <row r="5665" spans="1:2">
      <c r="A5665" s="66">
        <v>46071.451759629628</v>
      </c>
      <c r="B5665" s="49" t="s">
        <v>10562</v>
      </c>
    </row>
    <row r="5666" spans="1:2">
      <c r="A5666" s="66">
        <v>46071.451762500001</v>
      </c>
      <c r="B5666" s="49" t="s">
        <v>10563</v>
      </c>
    </row>
    <row r="5667" spans="1:2">
      <c r="A5667" s="66">
        <v>46071.451781388889</v>
      </c>
      <c r="B5667" s="49" t="s">
        <v>10541</v>
      </c>
    </row>
    <row r="5668" spans="1:2">
      <c r="A5668" s="66">
        <v>46071.45178418982</v>
      </c>
      <c r="B5668" s="49" t="s">
        <v>10542</v>
      </c>
    </row>
    <row r="5669" spans="1:2">
      <c r="A5669" s="66">
        <v>46071.45178693287</v>
      </c>
      <c r="B5669" s="49" t="s">
        <v>10543</v>
      </c>
    </row>
    <row r="5670" spans="1:2">
      <c r="A5670" s="66">
        <v>46071.451789340281</v>
      </c>
      <c r="B5670" s="49" t="s">
        <v>9394</v>
      </c>
    </row>
    <row r="5671" spans="1:2">
      <c r="A5671" s="66">
        <v>46071.453026759264</v>
      </c>
      <c r="B5671" s="49" t="s">
        <v>10556</v>
      </c>
    </row>
    <row r="5672" spans="1:2">
      <c r="A5672" s="66">
        <v>46071.453028587959</v>
      </c>
      <c r="B5672" s="49" t="s">
        <v>10557</v>
      </c>
    </row>
    <row r="5673" spans="1:2">
      <c r="A5673" s="66">
        <v>46071.453034050923</v>
      </c>
      <c r="B5673" s="49" t="s">
        <v>10546</v>
      </c>
    </row>
    <row r="5674" spans="1:2">
      <c r="A5674" s="66">
        <v>46071.453038877313</v>
      </c>
      <c r="B5674" s="49" t="s">
        <v>10466</v>
      </c>
    </row>
    <row r="5675" spans="1:2">
      <c r="A5675" s="66">
        <v>46071.45304054398</v>
      </c>
      <c r="B5675" s="49" t="s">
        <v>10561</v>
      </c>
    </row>
    <row r="5676" spans="1:2">
      <c r="A5676" s="66">
        <v>46071.453042233799</v>
      </c>
      <c r="B5676" s="49" t="s">
        <v>10562</v>
      </c>
    </row>
    <row r="5677" spans="1:2">
      <c r="A5677" s="66">
        <v>46071.453044374997</v>
      </c>
      <c r="B5677" s="49" t="s">
        <v>10563</v>
      </c>
    </row>
    <row r="5678" spans="1:2">
      <c r="A5678" s="66">
        <v>46071.453073159719</v>
      </c>
      <c r="B5678" s="49" t="s">
        <v>10541</v>
      </c>
    </row>
    <row r="5679" spans="1:2">
      <c r="A5679" s="66">
        <v>46071.453075879632</v>
      </c>
      <c r="B5679" s="49" t="s">
        <v>10542</v>
      </c>
    </row>
    <row r="5680" spans="1:2">
      <c r="A5680" s="66">
        <v>46071.453077650462</v>
      </c>
      <c r="B5680" s="49" t="s">
        <v>10543</v>
      </c>
    </row>
    <row r="5681" spans="1:2">
      <c r="A5681" s="66">
        <v>46071.453079386571</v>
      </c>
      <c r="B5681" s="49" t="s">
        <v>9394</v>
      </c>
    </row>
    <row r="5682" spans="1:2">
      <c r="A5682" s="66">
        <v>46071.453982523148</v>
      </c>
      <c r="B5682" s="49" t="s">
        <v>10556</v>
      </c>
    </row>
    <row r="5683" spans="1:2">
      <c r="A5683" s="66">
        <v>46071.453984756939</v>
      </c>
      <c r="B5683" s="49" t="s">
        <v>10557</v>
      </c>
    </row>
    <row r="5684" spans="1:2">
      <c r="A5684" s="66">
        <v>46071.453986979162</v>
      </c>
      <c r="B5684" s="49" t="s">
        <v>10546</v>
      </c>
    </row>
    <row r="5685" spans="1:2">
      <c r="A5685" s="66">
        <v>46071.453989375004</v>
      </c>
      <c r="B5685" s="49" t="s">
        <v>10466</v>
      </c>
    </row>
    <row r="5686" spans="1:2">
      <c r="A5686" s="66">
        <v>46071.453993935182</v>
      </c>
      <c r="B5686" s="49" t="s">
        <v>10561</v>
      </c>
    </row>
    <row r="5687" spans="1:2">
      <c r="A5687" s="66">
        <v>46071.453996666663</v>
      </c>
      <c r="B5687" s="49" t="s">
        <v>10562</v>
      </c>
    </row>
    <row r="5688" spans="1:2">
      <c r="A5688" s="66">
        <v>46071.453998831013</v>
      </c>
      <c r="B5688" s="49" t="s">
        <v>10563</v>
      </c>
    </row>
    <row r="5689" spans="1:2">
      <c r="A5689" s="66">
        <v>46071.454018761578</v>
      </c>
      <c r="B5689" s="49" t="s">
        <v>10541</v>
      </c>
    </row>
    <row r="5690" spans="1:2">
      <c r="A5690" s="66">
        <v>46071.454021585647</v>
      </c>
      <c r="B5690" s="49" t="s">
        <v>10542</v>
      </c>
    </row>
    <row r="5691" spans="1:2">
      <c r="A5691" s="66">
        <v>46071.454024062499</v>
      </c>
      <c r="B5691" s="49" t="s">
        <v>10543</v>
      </c>
    </row>
    <row r="5692" spans="1:2">
      <c r="A5692" s="66">
        <v>46071.454026168984</v>
      </c>
      <c r="B5692" s="49" t="s">
        <v>9394</v>
      </c>
    </row>
    <row r="5693" spans="1:2">
      <c r="A5693" s="66">
        <v>46071.45534537037</v>
      </c>
      <c r="B5693" s="49" t="s">
        <v>10556</v>
      </c>
    </row>
    <row r="5694" spans="1:2">
      <c r="A5694" s="66">
        <v>46071.45534753472</v>
      </c>
      <c r="B5694" s="49" t="s">
        <v>10557</v>
      </c>
    </row>
    <row r="5695" spans="1:2">
      <c r="A5695" s="66">
        <v>46071.455350034725</v>
      </c>
      <c r="B5695" s="49" t="s">
        <v>10546</v>
      </c>
    </row>
    <row r="5696" spans="1:2">
      <c r="A5696" s="66">
        <v>46071.455359675921</v>
      </c>
      <c r="B5696" s="49" t="s">
        <v>10466</v>
      </c>
    </row>
    <row r="5697" spans="1:2">
      <c r="A5697" s="66">
        <v>46071.455362002314</v>
      </c>
      <c r="B5697" s="49" t="s">
        <v>10561</v>
      </c>
    </row>
    <row r="5698" spans="1:2">
      <c r="A5698" s="66">
        <v>46071.455364201393</v>
      </c>
      <c r="B5698" s="49" t="s">
        <v>10562</v>
      </c>
    </row>
    <row r="5699" spans="1:2">
      <c r="A5699" s="66">
        <v>46071.45536655093</v>
      </c>
      <c r="B5699" s="49" t="s">
        <v>10563</v>
      </c>
    </row>
    <row r="5700" spans="1:2">
      <c r="A5700" s="66">
        <v>46071.455394999997</v>
      </c>
      <c r="B5700" s="49" t="s">
        <v>10541</v>
      </c>
    </row>
    <row r="5701" spans="1:2">
      <c r="A5701" s="66">
        <v>46071.455397673606</v>
      </c>
      <c r="B5701" s="49" t="s">
        <v>10542</v>
      </c>
    </row>
    <row r="5702" spans="1:2">
      <c r="A5702" s="66">
        <v>46071.455407314817</v>
      </c>
      <c r="B5702" s="49" t="s">
        <v>10543</v>
      </c>
    </row>
    <row r="5703" spans="1:2">
      <c r="A5703" s="66">
        <v>46071.455409548609</v>
      </c>
      <c r="B5703" s="49" t="s">
        <v>9394</v>
      </c>
    </row>
    <row r="5704" spans="1:2">
      <c r="A5704" s="66">
        <v>46071.456165798612</v>
      </c>
      <c r="B5704" s="49" t="s">
        <v>10556</v>
      </c>
    </row>
    <row r="5705" spans="1:2">
      <c r="A5705" s="66">
        <v>46071.456178136577</v>
      </c>
      <c r="B5705" s="49" t="s">
        <v>10557</v>
      </c>
    </row>
    <row r="5706" spans="1:2">
      <c r="A5706" s="66">
        <v>46071.456180416666</v>
      </c>
      <c r="B5706" s="49" t="s">
        <v>10546</v>
      </c>
    </row>
    <row r="5707" spans="1:2">
      <c r="A5707" s="66">
        <v>46071.456182581023</v>
      </c>
      <c r="B5707" s="49" t="s">
        <v>10466</v>
      </c>
    </row>
    <row r="5708" spans="1:2">
      <c r="A5708" s="66">
        <v>46071.456184814815</v>
      </c>
      <c r="B5708" s="49" t="s">
        <v>10561</v>
      </c>
    </row>
    <row r="5709" spans="1:2">
      <c r="A5709" s="66">
        <v>46071.456186921292</v>
      </c>
      <c r="B5709" s="49" t="s">
        <v>10562</v>
      </c>
    </row>
    <row r="5710" spans="1:2">
      <c r="A5710" s="66">
        <v>46071.456189201388</v>
      </c>
      <c r="B5710" s="49" t="s">
        <v>10563</v>
      </c>
    </row>
    <row r="5711" spans="1:2">
      <c r="A5711" s="66">
        <v>46071.456217962965</v>
      </c>
      <c r="B5711" s="49" t="s">
        <v>10541</v>
      </c>
    </row>
    <row r="5712" spans="1:2">
      <c r="A5712" s="66">
        <v>46071.456220729167</v>
      </c>
      <c r="B5712" s="49" t="s">
        <v>10542</v>
      </c>
    </row>
    <row r="5713" spans="1:2">
      <c r="A5713" s="66">
        <v>46071.45622310185</v>
      </c>
      <c r="B5713" s="49" t="s">
        <v>10543</v>
      </c>
    </row>
    <row r="5714" spans="1:2">
      <c r="A5714" s="66">
        <v>46071.456225601854</v>
      </c>
      <c r="B5714" s="49" t="s">
        <v>9394</v>
      </c>
    </row>
    <row r="5715" spans="1:2">
      <c r="A5715" s="66">
        <v>46071.456951817134</v>
      </c>
      <c r="B5715" s="49" t="s">
        <v>10556</v>
      </c>
    </row>
    <row r="5716" spans="1:2">
      <c r="A5716" s="66">
        <v>46071.456954224537</v>
      </c>
      <c r="B5716" s="49" t="s">
        <v>10557</v>
      </c>
    </row>
    <row r="5717" spans="1:2">
      <c r="A5717" s="66">
        <v>46071.456956493057</v>
      </c>
      <c r="B5717" s="49" t="s">
        <v>10546</v>
      </c>
    </row>
    <row r="5718" spans="1:2">
      <c r="A5718" s="66">
        <v>46071.456958993054</v>
      </c>
      <c r="B5718" s="49" t="s">
        <v>10466</v>
      </c>
    </row>
    <row r="5719" spans="1:2">
      <c r="A5719" s="66">
        <v>46071.456961215277</v>
      </c>
      <c r="B5719" s="49" t="s">
        <v>10561</v>
      </c>
    </row>
    <row r="5720" spans="1:2">
      <c r="A5720" s="66">
        <v>46071.456971064814</v>
      </c>
      <c r="B5720" s="49" t="s">
        <v>10562</v>
      </c>
    </row>
    <row r="5721" spans="1:2">
      <c r="A5721" s="66">
        <v>46071.456973437496</v>
      </c>
      <c r="B5721" s="49" t="s">
        <v>10563</v>
      </c>
    </row>
    <row r="5722" spans="1:2">
      <c r="A5722" s="66">
        <v>46071.456993252315</v>
      </c>
      <c r="B5722" s="49" t="s">
        <v>10541</v>
      </c>
    </row>
    <row r="5723" spans="1:2">
      <c r="A5723" s="66">
        <v>46071.456995914356</v>
      </c>
      <c r="B5723" s="49" t="s">
        <v>10542</v>
      </c>
    </row>
    <row r="5724" spans="1:2">
      <c r="A5724" s="66">
        <v>46071.456998171299</v>
      </c>
      <c r="B5724" s="49" t="s">
        <v>10543</v>
      </c>
    </row>
    <row r="5725" spans="1:2">
      <c r="A5725" s="66">
        <v>46071.457000405091</v>
      </c>
      <c r="B5725" s="49" t="s">
        <v>9394</v>
      </c>
    </row>
    <row r="5726" spans="1:2">
      <c r="A5726" s="66">
        <v>46071.458320057871</v>
      </c>
      <c r="B5726" s="49" t="s">
        <v>10556</v>
      </c>
    </row>
    <row r="5727" spans="1:2">
      <c r="A5727" s="66">
        <v>46071.4583221875</v>
      </c>
      <c r="B5727" s="49" t="s">
        <v>10557</v>
      </c>
    </row>
    <row r="5728" spans="1:2">
      <c r="A5728" s="66">
        <v>46071.458324571759</v>
      </c>
      <c r="B5728" s="49" t="s">
        <v>10546</v>
      </c>
    </row>
    <row r="5729" spans="1:2">
      <c r="A5729" s="66">
        <v>46071.458326747685</v>
      </c>
      <c r="B5729" s="49" t="s">
        <v>10466</v>
      </c>
    </row>
    <row r="5730" spans="1:2">
      <c r="A5730" s="66">
        <v>46071.45832899306</v>
      </c>
      <c r="B5730" s="49" t="s">
        <v>10561</v>
      </c>
    </row>
    <row r="5731" spans="1:2">
      <c r="A5731" s="66">
        <v>46071.458331562499</v>
      </c>
      <c r="B5731" s="49" t="s">
        <v>10562</v>
      </c>
    </row>
    <row r="5732" spans="1:2">
      <c r="A5732" s="66">
        <v>46071.458333969902</v>
      </c>
      <c r="B5732" s="49" t="s">
        <v>10563</v>
      </c>
    </row>
    <row r="5733" spans="1:2">
      <c r="A5733" s="66">
        <v>46071.45835966435</v>
      </c>
      <c r="B5733" s="49" t="s">
        <v>10541</v>
      </c>
    </row>
    <row r="5734" spans="1:2">
      <c r="A5734" s="66">
        <v>46071.458362604171</v>
      </c>
      <c r="B5734" s="49" t="s">
        <v>10542</v>
      </c>
    </row>
    <row r="5735" spans="1:2">
      <c r="A5735" s="66">
        <v>46071.458364942126</v>
      </c>
      <c r="B5735" s="49" t="s">
        <v>10543</v>
      </c>
    </row>
    <row r="5736" spans="1:2">
      <c r="A5736" s="66">
        <v>46071.458367326384</v>
      </c>
      <c r="B5736" s="49" t="s">
        <v>9394</v>
      </c>
    </row>
    <row r="5737" spans="1:2">
      <c r="A5737" s="66">
        <v>46071.459536226852</v>
      </c>
      <c r="B5737" s="49" t="s">
        <v>10556</v>
      </c>
    </row>
    <row r="5738" spans="1:2">
      <c r="A5738" s="66">
        <v>46071.459538020834</v>
      </c>
      <c r="B5738" s="49" t="s">
        <v>10557</v>
      </c>
    </row>
    <row r="5739" spans="1:2">
      <c r="A5739" s="66">
        <v>46071.459539791671</v>
      </c>
      <c r="B5739" s="49" t="s">
        <v>10546</v>
      </c>
    </row>
    <row r="5740" spans="1:2">
      <c r="A5740" s="66">
        <v>46071.459541562501</v>
      </c>
      <c r="B5740" s="49" t="s">
        <v>10466</v>
      </c>
    </row>
    <row r="5741" spans="1:2">
      <c r="A5741" s="66">
        <v>46071.459543391204</v>
      </c>
      <c r="B5741" s="49" t="s">
        <v>10561</v>
      </c>
    </row>
    <row r="5742" spans="1:2">
      <c r="A5742" s="66">
        <v>46071.459554942128</v>
      </c>
      <c r="B5742" s="49" t="s">
        <v>10562</v>
      </c>
    </row>
    <row r="5743" spans="1:2">
      <c r="A5743" s="66">
        <v>46071.459556840273</v>
      </c>
      <c r="B5743" s="49" t="s">
        <v>10563</v>
      </c>
    </row>
    <row r="5744" spans="1:2">
      <c r="A5744" s="66">
        <v>46071.459582928241</v>
      </c>
      <c r="B5744" s="49" t="s">
        <v>10541</v>
      </c>
    </row>
    <row r="5745" spans="1:2">
      <c r="A5745" s="66">
        <v>46071.459585671299</v>
      </c>
      <c r="B5745" s="49" t="s">
        <v>10542</v>
      </c>
    </row>
    <row r="5746" spans="1:2">
      <c r="A5746" s="66">
        <v>46071.459587418984</v>
      </c>
      <c r="B5746" s="49" t="s">
        <v>10543</v>
      </c>
    </row>
    <row r="5747" spans="1:2">
      <c r="A5747" s="66">
        <v>46071.459589270831</v>
      </c>
      <c r="B5747" s="49" t="s">
        <v>9394</v>
      </c>
    </row>
    <row r="5748" spans="1:2">
      <c r="A5748" s="66">
        <v>46071.460797685184</v>
      </c>
      <c r="B5748" s="49" t="s">
        <v>10556</v>
      </c>
    </row>
    <row r="5749" spans="1:2">
      <c r="A5749" s="66">
        <v>46071.460800729168</v>
      </c>
      <c r="B5749" s="49" t="s">
        <v>10557</v>
      </c>
    </row>
    <row r="5750" spans="1:2">
      <c r="A5750" s="66">
        <v>46071.460804317132</v>
      </c>
      <c r="B5750" s="49" t="s">
        <v>10546</v>
      </c>
    </row>
    <row r="5751" spans="1:2">
      <c r="A5751" s="66">
        <v>46071.460807974538</v>
      </c>
      <c r="B5751" s="49" t="s">
        <v>10466</v>
      </c>
    </row>
    <row r="5752" spans="1:2">
      <c r="A5752" s="66">
        <v>46071.460811226847</v>
      </c>
      <c r="B5752" s="49" t="s">
        <v>10561</v>
      </c>
    </row>
    <row r="5753" spans="1:2">
      <c r="A5753" s="66">
        <v>46071.460814282407</v>
      </c>
      <c r="B5753" s="49" t="s">
        <v>10562</v>
      </c>
    </row>
    <row r="5754" spans="1:2">
      <c r="A5754" s="66">
        <v>46071.460817361112</v>
      </c>
      <c r="B5754" s="49" t="s">
        <v>10563</v>
      </c>
    </row>
    <row r="5755" spans="1:2">
      <c r="A5755" s="66">
        <v>46071.460845162037</v>
      </c>
      <c r="B5755" s="49" t="s">
        <v>10541</v>
      </c>
    </row>
    <row r="5756" spans="1:2">
      <c r="A5756" s="66">
        <v>46071.460848310184</v>
      </c>
      <c r="B5756" s="49" t="s">
        <v>10542</v>
      </c>
    </row>
    <row r="5757" spans="1:2">
      <c r="A5757" s="66">
        <v>46071.460851469907</v>
      </c>
      <c r="B5757" s="49" t="s">
        <v>10543</v>
      </c>
    </row>
    <row r="5758" spans="1:2">
      <c r="A5758" s="66">
        <v>46071.460854652774</v>
      </c>
      <c r="B5758" s="49" t="s">
        <v>9394</v>
      </c>
    </row>
    <row r="5759" spans="1:2">
      <c r="A5759" s="66">
        <v>46071.461865266203</v>
      </c>
      <c r="B5759" s="49" t="s">
        <v>10556</v>
      </c>
    </row>
    <row r="5760" spans="1:2">
      <c r="A5760" s="66">
        <v>46071.461867777776</v>
      </c>
      <c r="B5760" s="49" t="s">
        <v>10557</v>
      </c>
    </row>
    <row r="5761" spans="1:2">
      <c r="A5761" s="66">
        <v>46071.461870104162</v>
      </c>
      <c r="B5761" s="49" t="s">
        <v>10546</v>
      </c>
    </row>
    <row r="5762" spans="1:2">
      <c r="A5762" s="66">
        <v>46071.461872581014</v>
      </c>
      <c r="B5762" s="49" t="s">
        <v>10466</v>
      </c>
    </row>
    <row r="5763" spans="1:2">
      <c r="A5763" s="66">
        <v>46071.461875740744</v>
      </c>
      <c r="B5763" s="49" t="s">
        <v>10561</v>
      </c>
    </row>
    <row r="5764" spans="1:2">
      <c r="A5764" s="66">
        <v>46071.461882210649</v>
      </c>
      <c r="B5764" s="49" t="s">
        <v>10562</v>
      </c>
    </row>
    <row r="5765" spans="1:2">
      <c r="A5765" s="66">
        <v>46071.461884467593</v>
      </c>
      <c r="B5765" s="49" t="s">
        <v>10563</v>
      </c>
    </row>
    <row r="5766" spans="1:2">
      <c r="A5766" s="66">
        <v>46071.461908159719</v>
      </c>
      <c r="B5766" s="49" t="s">
        <v>10541</v>
      </c>
    </row>
    <row r="5767" spans="1:2">
      <c r="A5767" s="66">
        <v>46071.461911053237</v>
      </c>
      <c r="B5767" s="49" t="s">
        <v>10542</v>
      </c>
    </row>
    <row r="5768" spans="1:2">
      <c r="A5768" s="66">
        <v>46071.461913449079</v>
      </c>
      <c r="B5768" s="49" t="s">
        <v>10543</v>
      </c>
    </row>
    <row r="5769" spans="1:2">
      <c r="A5769" s="66">
        <v>46071.461915891203</v>
      </c>
      <c r="B5769" s="49" t="s">
        <v>9394</v>
      </c>
    </row>
    <row r="5770" spans="1:2">
      <c r="A5770" s="66">
        <v>46071.463188495371</v>
      </c>
      <c r="B5770" s="49" t="s">
        <v>10556</v>
      </c>
    </row>
    <row r="5771" spans="1:2">
      <c r="A5771" s="66">
        <v>46071.463190810187</v>
      </c>
      <c r="B5771" s="49" t="s">
        <v>10557</v>
      </c>
    </row>
    <row r="5772" spans="1:2">
      <c r="A5772" s="66">
        <v>46071.463195428238</v>
      </c>
      <c r="B5772" s="49" t="s">
        <v>10546</v>
      </c>
    </row>
    <row r="5773" spans="1:2">
      <c r="A5773" s="66">
        <v>46071.463197893521</v>
      </c>
      <c r="B5773" s="49" t="s">
        <v>10466</v>
      </c>
    </row>
    <row r="5774" spans="1:2">
      <c r="A5774" s="66">
        <v>46071.463200439815</v>
      </c>
      <c r="B5774" s="49" t="s">
        <v>10561</v>
      </c>
    </row>
    <row r="5775" spans="1:2">
      <c r="A5775" s="66">
        <v>46071.463202800922</v>
      </c>
      <c r="B5775" s="49" t="s">
        <v>10562</v>
      </c>
    </row>
    <row r="5776" spans="1:2">
      <c r="A5776" s="66">
        <v>46071.463205219909</v>
      </c>
      <c r="B5776" s="49" t="s">
        <v>10563</v>
      </c>
    </row>
    <row r="5777" spans="1:2">
      <c r="A5777" s="66">
        <v>46071.463224490741</v>
      </c>
      <c r="B5777" s="49" t="s">
        <v>10541</v>
      </c>
    </row>
    <row r="5778" spans="1:2">
      <c r="A5778" s="66">
        <v>46071.463234733797</v>
      </c>
      <c r="B5778" s="49" t="s">
        <v>10542</v>
      </c>
    </row>
    <row r="5779" spans="1:2">
      <c r="A5779" s="66">
        <v>46071.463237037038</v>
      </c>
      <c r="B5779" s="49" t="s">
        <v>10543</v>
      </c>
    </row>
    <row r="5780" spans="1:2">
      <c r="A5780" s="66">
        <v>46071.463239456018</v>
      </c>
      <c r="B5780" s="49" t="s">
        <v>9394</v>
      </c>
    </row>
    <row r="5781" spans="1:2">
      <c r="A5781" s="66">
        <v>46071.463954571758</v>
      </c>
      <c r="B5781" s="49" t="s">
        <v>10556</v>
      </c>
    </row>
    <row r="5782" spans="1:2">
      <c r="A5782" s="66">
        <v>46071.463957812499</v>
      </c>
      <c r="B5782" s="49" t="s">
        <v>10557</v>
      </c>
    </row>
    <row r="5783" spans="1:2">
      <c r="A5783" s="66">
        <v>46071.463960868059</v>
      </c>
      <c r="B5783" s="49" t="s">
        <v>10546</v>
      </c>
    </row>
    <row r="5784" spans="1:2">
      <c r="A5784" s="66">
        <v>46071.463963819449</v>
      </c>
      <c r="B5784" s="49" t="s">
        <v>10466</v>
      </c>
    </row>
    <row r="5785" spans="1:2">
      <c r="A5785" s="66">
        <v>46071.463967025462</v>
      </c>
      <c r="B5785" s="49" t="s">
        <v>10561</v>
      </c>
    </row>
    <row r="5786" spans="1:2">
      <c r="A5786" s="66">
        <v>46071.46397045139</v>
      </c>
      <c r="B5786" s="49" t="s">
        <v>10562</v>
      </c>
    </row>
    <row r="5787" spans="1:2">
      <c r="A5787" s="66">
        <v>46071.463973229169</v>
      </c>
      <c r="B5787" s="49" t="s">
        <v>10563</v>
      </c>
    </row>
    <row r="5788" spans="1:2">
      <c r="A5788" s="66">
        <v>46071.463996747683</v>
      </c>
      <c r="B5788" s="49" t="s">
        <v>10541</v>
      </c>
    </row>
    <row r="5789" spans="1:2">
      <c r="A5789" s="66">
        <v>46071.464002372682</v>
      </c>
      <c r="B5789" s="49" t="s">
        <v>10542</v>
      </c>
    </row>
    <row r="5790" spans="1:2">
      <c r="A5790" s="66">
        <v>46071.464005810187</v>
      </c>
      <c r="B5790" s="49" t="s">
        <v>10543</v>
      </c>
    </row>
    <row r="5791" spans="1:2">
      <c r="A5791" s="66">
        <v>46071.464009027783</v>
      </c>
      <c r="B5791" s="49" t="s">
        <v>9394</v>
      </c>
    </row>
    <row r="5792" spans="1:2">
      <c r="A5792" s="66">
        <v>46071.465130960649</v>
      </c>
      <c r="B5792" s="49" t="s">
        <v>10556</v>
      </c>
    </row>
    <row r="5793" spans="1:2">
      <c r="A5793" s="66">
        <v>46071.465136030092</v>
      </c>
      <c r="B5793" s="49" t="s">
        <v>10557</v>
      </c>
    </row>
    <row r="5794" spans="1:2">
      <c r="A5794" s="66">
        <v>46071.465138148153</v>
      </c>
      <c r="B5794" s="49" t="s">
        <v>10546</v>
      </c>
    </row>
    <row r="5795" spans="1:2">
      <c r="A5795" s="66">
        <v>46071.465140057873</v>
      </c>
      <c r="B5795" s="49" t="s">
        <v>10466</v>
      </c>
    </row>
    <row r="5796" spans="1:2">
      <c r="A5796" s="66">
        <v>46071.465142210647</v>
      </c>
      <c r="B5796" s="49" t="s">
        <v>10561</v>
      </c>
    </row>
    <row r="5797" spans="1:2">
      <c r="A5797" s="66">
        <v>46071.465144259259</v>
      </c>
      <c r="B5797" s="49" t="s">
        <v>10562</v>
      </c>
    </row>
    <row r="5798" spans="1:2">
      <c r="A5798" s="66">
        <v>46071.465147349532</v>
      </c>
      <c r="B5798" s="49" t="s">
        <v>10563</v>
      </c>
    </row>
    <row r="5799" spans="1:2">
      <c r="A5799" s="66">
        <v>46071.465165949077</v>
      </c>
      <c r="B5799" s="49" t="s">
        <v>10541</v>
      </c>
    </row>
    <row r="5800" spans="1:2">
      <c r="A5800" s="66">
        <v>46071.465168773153</v>
      </c>
      <c r="B5800" s="49" t="s">
        <v>10542</v>
      </c>
    </row>
    <row r="5801" spans="1:2">
      <c r="A5801" s="66">
        <v>46071.465170810188</v>
      </c>
      <c r="B5801" s="49" t="s">
        <v>10543</v>
      </c>
    </row>
    <row r="5802" spans="1:2">
      <c r="A5802" s="66">
        <v>46071.465181828702</v>
      </c>
      <c r="B5802" s="49" t="s">
        <v>9394</v>
      </c>
    </row>
    <row r="5803" spans="1:2">
      <c r="A5803" s="66">
        <v>46071.466033379635</v>
      </c>
      <c r="B5803" s="49" t="s">
        <v>10556</v>
      </c>
    </row>
    <row r="5804" spans="1:2">
      <c r="A5804" s="66">
        <v>46071.4660353125</v>
      </c>
      <c r="B5804" s="49" t="s">
        <v>10557</v>
      </c>
    </row>
    <row r="5805" spans="1:2">
      <c r="A5805" s="66">
        <v>46071.466037233797</v>
      </c>
      <c r="B5805" s="49" t="s">
        <v>10546</v>
      </c>
    </row>
    <row r="5806" spans="1:2">
      <c r="A5806" s="66">
        <v>46071.466039131948</v>
      </c>
      <c r="B5806" s="49" t="s">
        <v>10466</v>
      </c>
    </row>
    <row r="5807" spans="1:2">
      <c r="A5807" s="66">
        <v>46071.46605018519</v>
      </c>
      <c r="B5807" s="49" t="s">
        <v>10561</v>
      </c>
    </row>
    <row r="5808" spans="1:2">
      <c r="A5808" s="66">
        <v>46071.466052048607</v>
      </c>
      <c r="B5808" s="49" t="s">
        <v>10562</v>
      </c>
    </row>
    <row r="5809" spans="1:2">
      <c r="A5809" s="66">
        <v>46071.466053969911</v>
      </c>
      <c r="B5809" s="49" t="s">
        <v>10563</v>
      </c>
    </row>
    <row r="5810" spans="1:2">
      <c r="A5810" s="66">
        <v>46071.466070729162</v>
      </c>
      <c r="B5810" s="49" t="s">
        <v>10541</v>
      </c>
    </row>
    <row r="5811" spans="1:2">
      <c r="A5811" s="66">
        <v>46071.466073645832</v>
      </c>
      <c r="B5811" s="49" t="s">
        <v>10542</v>
      </c>
    </row>
    <row r="5812" spans="1:2">
      <c r="A5812" s="66">
        <v>46071.466075648146</v>
      </c>
      <c r="B5812" s="49" t="s">
        <v>10543</v>
      </c>
    </row>
    <row r="5813" spans="1:2">
      <c r="A5813" s="66">
        <v>46071.466077569443</v>
      </c>
      <c r="B5813" s="49" t="s">
        <v>9394</v>
      </c>
    </row>
    <row r="5814" spans="1:2">
      <c r="A5814" s="66">
        <v>46071.467238310186</v>
      </c>
      <c r="B5814" s="49" t="s">
        <v>10556</v>
      </c>
    </row>
    <row r="5815" spans="1:2">
      <c r="A5815" s="66">
        <v>46071.467241458333</v>
      </c>
      <c r="B5815" s="49" t="s">
        <v>10557</v>
      </c>
    </row>
    <row r="5816" spans="1:2">
      <c r="A5816" s="66">
        <v>46071.4672531713</v>
      </c>
      <c r="B5816" s="49" t="s">
        <v>10546</v>
      </c>
    </row>
    <row r="5817" spans="1:2">
      <c r="A5817" s="66">
        <v>46071.467257060183</v>
      </c>
      <c r="B5817" s="49" t="s">
        <v>10466</v>
      </c>
    </row>
    <row r="5818" spans="1:2">
      <c r="A5818" s="66">
        <v>46071.467259594909</v>
      </c>
      <c r="B5818" s="49" t="s">
        <v>10561</v>
      </c>
    </row>
    <row r="5819" spans="1:2">
      <c r="A5819" s="66">
        <v>46071.467262152779</v>
      </c>
      <c r="B5819" s="49" t="s">
        <v>10562</v>
      </c>
    </row>
    <row r="5820" spans="1:2">
      <c r="A5820" s="66">
        <v>46071.467264560182</v>
      </c>
      <c r="B5820" s="49" t="s">
        <v>10563</v>
      </c>
    </row>
    <row r="5821" spans="1:2">
      <c r="A5821" s="66">
        <v>46071.467284664352</v>
      </c>
      <c r="B5821" s="49" t="s">
        <v>10541</v>
      </c>
    </row>
    <row r="5822" spans="1:2">
      <c r="A5822" s="66">
        <v>46071.467287499996</v>
      </c>
      <c r="B5822" s="49" t="s">
        <v>10542</v>
      </c>
    </row>
    <row r="5823" spans="1:2">
      <c r="A5823" s="66">
        <v>46071.467289895838</v>
      </c>
      <c r="B5823" s="49" t="s">
        <v>10543</v>
      </c>
    </row>
    <row r="5824" spans="1:2">
      <c r="A5824" s="66">
        <v>46071.467292164351</v>
      </c>
      <c r="B5824" s="49" t="s">
        <v>9394</v>
      </c>
    </row>
    <row r="5825" spans="1:2">
      <c r="A5825" s="66">
        <v>46071.468194768517</v>
      </c>
      <c r="B5825" s="49" t="s">
        <v>10556</v>
      </c>
    </row>
    <row r="5826" spans="1:2">
      <c r="A5826" s="66">
        <v>46071.468197337963</v>
      </c>
      <c r="B5826" s="49" t="s">
        <v>10557</v>
      </c>
    </row>
    <row r="5827" spans="1:2">
      <c r="A5827" s="66">
        <v>46071.468200034724</v>
      </c>
      <c r="B5827" s="49" t="s">
        <v>10546</v>
      </c>
    </row>
    <row r="5828" spans="1:2">
      <c r="A5828" s="66">
        <v>46071.468202557866</v>
      </c>
      <c r="B5828" s="49" t="s">
        <v>10466</v>
      </c>
    </row>
    <row r="5829" spans="1:2">
      <c r="A5829" s="66">
        <v>46071.468205104167</v>
      </c>
      <c r="B5829" s="49" t="s">
        <v>10561</v>
      </c>
    </row>
    <row r="5830" spans="1:2">
      <c r="A5830" s="66">
        <v>46071.468210648149</v>
      </c>
      <c r="B5830" s="49" t="s">
        <v>10562</v>
      </c>
    </row>
    <row r="5831" spans="1:2">
      <c r="A5831" s="66">
        <v>46071.468213252316</v>
      </c>
      <c r="B5831" s="49" t="s">
        <v>10563</v>
      </c>
    </row>
    <row r="5832" spans="1:2">
      <c r="A5832" s="66">
        <v>46071.468238738424</v>
      </c>
      <c r="B5832" s="49" t="s">
        <v>10541</v>
      </c>
    </row>
    <row r="5833" spans="1:2">
      <c r="A5833" s="66">
        <v>46071.468241793977</v>
      </c>
      <c r="B5833" s="49" t="s">
        <v>10542</v>
      </c>
    </row>
    <row r="5834" spans="1:2">
      <c r="A5834" s="66">
        <v>46071.468244583331</v>
      </c>
      <c r="B5834" s="49" t="s">
        <v>10543</v>
      </c>
    </row>
    <row r="5835" spans="1:2">
      <c r="A5835" s="66">
        <v>46071.468247141209</v>
      </c>
      <c r="B5835" s="49" t="s">
        <v>9394</v>
      </c>
    </row>
    <row r="5836" spans="1:2">
      <c r="A5836" s="66">
        <v>46071.469482465276</v>
      </c>
      <c r="B5836" s="49" t="s">
        <v>10556</v>
      </c>
    </row>
    <row r="5837" spans="1:2">
      <c r="A5837" s="66">
        <v>46071.469485729162</v>
      </c>
      <c r="B5837" s="49" t="s">
        <v>10557</v>
      </c>
    </row>
    <row r="5838" spans="1:2">
      <c r="A5838" s="66">
        <v>46071.469488506948</v>
      </c>
      <c r="B5838" s="49" t="s">
        <v>10546</v>
      </c>
    </row>
    <row r="5839" spans="1:2">
      <c r="A5839" s="66">
        <v>46071.469491655094</v>
      </c>
      <c r="B5839" s="49" t="s">
        <v>10466</v>
      </c>
    </row>
    <row r="5840" spans="1:2">
      <c r="A5840" s="66">
        <v>46071.469494756944</v>
      </c>
      <c r="B5840" s="49" t="s">
        <v>10561</v>
      </c>
    </row>
    <row r="5841" spans="1:2">
      <c r="A5841" s="66">
        <v>46071.469497719911</v>
      </c>
      <c r="B5841" s="49" t="s">
        <v>10562</v>
      </c>
    </row>
    <row r="5842" spans="1:2">
      <c r="A5842" s="66">
        <v>46071.469500844905</v>
      </c>
      <c r="B5842" s="49" t="s">
        <v>10563</v>
      </c>
    </row>
    <row r="5843" spans="1:2">
      <c r="A5843" s="66">
        <v>46071.469523425927</v>
      </c>
      <c r="B5843" s="49" t="s">
        <v>10541</v>
      </c>
    </row>
    <row r="5844" spans="1:2">
      <c r="A5844" s="66">
        <v>46071.46952677083</v>
      </c>
      <c r="B5844" s="49" t="s">
        <v>10542</v>
      </c>
    </row>
    <row r="5845" spans="1:2">
      <c r="A5845" s="66">
        <v>46071.469535914352</v>
      </c>
      <c r="B5845" s="49" t="s">
        <v>10543</v>
      </c>
    </row>
    <row r="5846" spans="1:2">
      <c r="A5846" s="66">
        <v>46071.469539039354</v>
      </c>
      <c r="B5846" s="49" t="s">
        <v>9394</v>
      </c>
    </row>
    <row r="5847" spans="1:2">
      <c r="A5847" s="66">
        <v>46071.470791064814</v>
      </c>
      <c r="B5847" s="49" t="s">
        <v>10556</v>
      </c>
    </row>
    <row r="5848" spans="1:2">
      <c r="A5848" s="66">
        <v>46071.470794120367</v>
      </c>
      <c r="B5848" s="49" t="s">
        <v>10557</v>
      </c>
    </row>
    <row r="5849" spans="1:2">
      <c r="A5849" s="66">
        <v>46071.47079684028</v>
      </c>
      <c r="B5849" s="49" t="s">
        <v>10546</v>
      </c>
    </row>
    <row r="5850" spans="1:2">
      <c r="A5850" s="66">
        <v>46071.470799421295</v>
      </c>
      <c r="B5850" s="49" t="s">
        <v>10466</v>
      </c>
    </row>
    <row r="5851" spans="1:2">
      <c r="A5851" s="66">
        <v>46071.470806354162</v>
      </c>
      <c r="B5851" s="49" t="s">
        <v>10561</v>
      </c>
    </row>
    <row r="5852" spans="1:2">
      <c r="A5852" s="66">
        <v>46071.470809502316</v>
      </c>
      <c r="B5852" s="49" t="s">
        <v>10562</v>
      </c>
    </row>
    <row r="5853" spans="1:2">
      <c r="A5853" s="66">
        <v>46071.470812511572</v>
      </c>
      <c r="B5853" s="49" t="s">
        <v>10563</v>
      </c>
    </row>
    <row r="5854" spans="1:2">
      <c r="A5854" s="66">
        <v>46071.470835173612</v>
      </c>
      <c r="B5854" s="49" t="s">
        <v>10541</v>
      </c>
    </row>
    <row r="5855" spans="1:2">
      <c r="A5855" s="66">
        <v>46071.470844664349</v>
      </c>
      <c r="B5855" s="49" t="s">
        <v>10542</v>
      </c>
    </row>
    <row r="5856" spans="1:2">
      <c r="A5856" s="66">
        <v>46071.470847824079</v>
      </c>
      <c r="B5856" s="49" t="s">
        <v>10543</v>
      </c>
    </row>
    <row r="5857" spans="1:2">
      <c r="A5857" s="66">
        <v>46071.470851018516</v>
      </c>
      <c r="B5857" s="49" t="s">
        <v>9394</v>
      </c>
    </row>
    <row r="5858" spans="1:2">
      <c r="A5858" s="66">
        <v>46071.471985219905</v>
      </c>
      <c r="B5858" s="49" t="s">
        <v>10556</v>
      </c>
    </row>
    <row r="5859" spans="1:2">
      <c r="A5859" s="66">
        <v>46071.471987997684</v>
      </c>
      <c r="B5859" s="49" t="s">
        <v>10557</v>
      </c>
    </row>
    <row r="5860" spans="1:2">
      <c r="A5860" s="66">
        <v>46071.471991724538</v>
      </c>
      <c r="B5860" s="49" t="s">
        <v>10546</v>
      </c>
    </row>
    <row r="5861" spans="1:2">
      <c r="A5861" s="66">
        <v>46071.471994490741</v>
      </c>
      <c r="B5861" s="49" t="s">
        <v>10466</v>
      </c>
    </row>
    <row r="5862" spans="1:2">
      <c r="A5862" s="66">
        <v>46071.47199701389</v>
      </c>
      <c r="B5862" s="49" t="s">
        <v>10561</v>
      </c>
    </row>
    <row r="5863" spans="1:2">
      <c r="A5863" s="66">
        <v>46071.471999733796</v>
      </c>
      <c r="B5863" s="49" t="s">
        <v>10562</v>
      </c>
    </row>
    <row r="5864" spans="1:2">
      <c r="A5864" s="66">
        <v>46071.472002303242</v>
      </c>
      <c r="B5864" s="49" t="s">
        <v>10563</v>
      </c>
    </row>
    <row r="5865" spans="1:2">
      <c r="A5865" s="66">
        <v>46071.472025925927</v>
      </c>
      <c r="B5865" s="49" t="s">
        <v>10541</v>
      </c>
    </row>
    <row r="5866" spans="1:2">
      <c r="A5866" s="66">
        <v>46071.472029236116</v>
      </c>
      <c r="B5866" s="49" t="s">
        <v>10542</v>
      </c>
    </row>
    <row r="5867" spans="1:2">
      <c r="A5867" s="66">
        <v>46071.472032013888</v>
      </c>
      <c r="B5867" s="49" t="s">
        <v>10543</v>
      </c>
    </row>
    <row r="5868" spans="1:2">
      <c r="A5868" s="66">
        <v>46071.472034594903</v>
      </c>
      <c r="B5868" s="49" t="s">
        <v>9394</v>
      </c>
    </row>
    <row r="5869" spans="1:2">
      <c r="A5869" s="66">
        <v>46071.472865613425</v>
      </c>
      <c r="B5869" s="49" t="s">
        <v>10556</v>
      </c>
    </row>
    <row r="5870" spans="1:2">
      <c r="A5870" s="66">
        <v>46071.472867476856</v>
      </c>
      <c r="B5870" s="49" t="s">
        <v>10557</v>
      </c>
    </row>
    <row r="5871" spans="1:2">
      <c r="A5871" s="66">
        <v>46071.472876689819</v>
      </c>
      <c r="B5871" s="49" t="s">
        <v>10546</v>
      </c>
    </row>
    <row r="5872" spans="1:2">
      <c r="A5872" s="66">
        <v>46071.472879189816</v>
      </c>
      <c r="B5872" s="49" t="s">
        <v>10466</v>
      </c>
    </row>
    <row r="5873" spans="1:2">
      <c r="A5873" s="66">
        <v>46071.472881006943</v>
      </c>
      <c r="B5873" s="49" t="s">
        <v>10561</v>
      </c>
    </row>
    <row r="5874" spans="1:2">
      <c r="A5874" s="66">
        <v>46071.472882592592</v>
      </c>
      <c r="B5874" s="49" t="s">
        <v>10562</v>
      </c>
    </row>
    <row r="5875" spans="1:2">
      <c r="A5875" s="66">
        <v>46071.472884363422</v>
      </c>
      <c r="B5875" s="49" t="s">
        <v>10563</v>
      </c>
    </row>
    <row r="5876" spans="1:2">
      <c r="A5876" s="66">
        <v>46071.472903923612</v>
      </c>
      <c r="B5876" s="49" t="s">
        <v>10541</v>
      </c>
    </row>
    <row r="5877" spans="1:2">
      <c r="A5877" s="66">
        <v>46071.472906666662</v>
      </c>
      <c r="B5877" s="49" t="s">
        <v>10542</v>
      </c>
    </row>
    <row r="5878" spans="1:2">
      <c r="A5878" s="66">
        <v>46071.472908356482</v>
      </c>
      <c r="B5878" s="49" t="s">
        <v>10543</v>
      </c>
    </row>
    <row r="5879" spans="1:2">
      <c r="A5879" s="66">
        <v>46071.472910266202</v>
      </c>
      <c r="B5879" s="49" t="s">
        <v>9394</v>
      </c>
    </row>
    <row r="5880" spans="1:2">
      <c r="A5880" s="66">
        <v>46071.474332662037</v>
      </c>
      <c r="B5880" s="49" t="s">
        <v>10556</v>
      </c>
    </row>
    <row r="5881" spans="1:2">
      <c r="A5881" s="66">
        <v>46071.474335046296</v>
      </c>
      <c r="B5881" s="49" t="s">
        <v>10557</v>
      </c>
    </row>
    <row r="5882" spans="1:2">
      <c r="A5882" s="66">
        <v>46071.474337187501</v>
      </c>
      <c r="B5882" s="49" t="s">
        <v>10546</v>
      </c>
    </row>
    <row r="5883" spans="1:2">
      <c r="A5883" s="66">
        <v>46071.474339282402</v>
      </c>
      <c r="B5883" s="49" t="s">
        <v>10466</v>
      </c>
    </row>
    <row r="5884" spans="1:2">
      <c r="A5884" s="66">
        <v>46071.474341331021</v>
      </c>
      <c r="B5884" s="49" t="s">
        <v>10561</v>
      </c>
    </row>
    <row r="5885" spans="1:2">
      <c r="A5885" s="66">
        <v>46071.474350659722</v>
      </c>
      <c r="B5885" s="49" t="s">
        <v>10562</v>
      </c>
    </row>
    <row r="5886" spans="1:2">
      <c r="A5886" s="66">
        <v>46071.474352800928</v>
      </c>
      <c r="B5886" s="49" t="s">
        <v>10563</v>
      </c>
    </row>
    <row r="5887" spans="1:2">
      <c r="A5887" s="66">
        <v>46071.474374097219</v>
      </c>
      <c r="B5887" s="49" t="s">
        <v>10541</v>
      </c>
    </row>
    <row r="5888" spans="1:2">
      <c r="A5888" s="66">
        <v>46071.474376724538</v>
      </c>
      <c r="B5888" s="49" t="s">
        <v>10542</v>
      </c>
    </row>
    <row r="5889" spans="1:2">
      <c r="A5889" s="66">
        <v>46071.474378831015</v>
      </c>
      <c r="B5889" s="49" t="s">
        <v>10543</v>
      </c>
    </row>
    <row r="5890" spans="1:2">
      <c r="A5890" s="66">
        <v>46071.474380972228</v>
      </c>
      <c r="B5890" s="49" t="s">
        <v>9394</v>
      </c>
    </row>
    <row r="5891" spans="1:2">
      <c r="A5891" s="66">
        <v>46071.475279791666</v>
      </c>
      <c r="B5891" s="49" t="s">
        <v>10556</v>
      </c>
    </row>
    <row r="5892" spans="1:2">
      <c r="A5892" s="66">
        <v>46071.475281990744</v>
      </c>
      <c r="B5892" s="49" t="s">
        <v>10557</v>
      </c>
    </row>
    <row r="5893" spans="1:2">
      <c r="A5893" s="66">
        <v>46071.475284108797</v>
      </c>
      <c r="B5893" s="49" t="s">
        <v>10546</v>
      </c>
    </row>
    <row r="5894" spans="1:2">
      <c r="A5894" s="66">
        <v>46071.475286307876</v>
      </c>
      <c r="B5894" s="49" t="s">
        <v>10466</v>
      </c>
    </row>
    <row r="5895" spans="1:2">
      <c r="A5895" s="66">
        <v>46071.475288333335</v>
      </c>
      <c r="B5895" s="49" t="s">
        <v>10561</v>
      </c>
    </row>
    <row r="5896" spans="1:2">
      <c r="A5896" s="66">
        <v>46071.475290428236</v>
      </c>
      <c r="B5896" s="49" t="s">
        <v>10562</v>
      </c>
    </row>
    <row r="5897" spans="1:2">
      <c r="A5897" s="66">
        <v>46071.475293935189</v>
      </c>
      <c r="B5897" s="49" t="s">
        <v>10563</v>
      </c>
    </row>
    <row r="5898" spans="1:2">
      <c r="A5898" s="66">
        <v>46071.475329525463</v>
      </c>
      <c r="B5898" s="49" t="s">
        <v>10541</v>
      </c>
    </row>
    <row r="5899" spans="1:2">
      <c r="A5899" s="66">
        <v>46071.475332233793</v>
      </c>
      <c r="B5899" s="49" t="s">
        <v>10542</v>
      </c>
    </row>
    <row r="5900" spans="1:2">
      <c r="A5900" s="66">
        <v>46071.475334537041</v>
      </c>
      <c r="B5900" s="49" t="s">
        <v>10543</v>
      </c>
    </row>
    <row r="5901" spans="1:2">
      <c r="A5901" s="66">
        <v>46071.475343298611</v>
      </c>
      <c r="B5901" s="49" t="s">
        <v>9394</v>
      </c>
    </row>
    <row r="5902" spans="1:2">
      <c r="A5902" s="66">
        <v>46071.476608773148</v>
      </c>
      <c r="B5902" s="49" t="s">
        <v>10556</v>
      </c>
    </row>
    <row r="5903" spans="1:2">
      <c r="A5903" s="66">
        <v>46071.476610497688</v>
      </c>
      <c r="B5903" s="49" t="s">
        <v>10557</v>
      </c>
    </row>
    <row r="5904" spans="1:2">
      <c r="A5904" s="66">
        <v>46071.476612222221</v>
      </c>
      <c r="B5904" s="49" t="s">
        <v>10546</v>
      </c>
    </row>
    <row r="5905" spans="1:2">
      <c r="A5905" s="66">
        <v>46071.476613912033</v>
      </c>
      <c r="B5905" s="49" t="s">
        <v>10466</v>
      </c>
    </row>
    <row r="5906" spans="1:2">
      <c r="A5906" s="66">
        <v>46071.476615590276</v>
      </c>
      <c r="B5906" s="49" t="s">
        <v>10561</v>
      </c>
    </row>
    <row r="5907" spans="1:2">
      <c r="A5907" s="66">
        <v>46071.476617314816</v>
      </c>
      <c r="B5907" s="49" t="s">
        <v>10562</v>
      </c>
    </row>
    <row r="5908" spans="1:2">
      <c r="A5908" s="66">
        <v>46071.476619062501</v>
      </c>
      <c r="B5908" s="49" t="s">
        <v>10563</v>
      </c>
    </row>
    <row r="5909" spans="1:2">
      <c r="A5909" s="66">
        <v>46071.476635740742</v>
      </c>
      <c r="B5909" s="49" t="s">
        <v>10541</v>
      </c>
    </row>
    <row r="5910" spans="1:2">
      <c r="A5910" s="66">
        <v>46071.476638171298</v>
      </c>
      <c r="B5910" s="49" t="s">
        <v>10542</v>
      </c>
    </row>
    <row r="5911" spans="1:2">
      <c r="A5911" s="66">
        <v>46071.476639953704</v>
      </c>
      <c r="B5911" s="49" t="s">
        <v>10543</v>
      </c>
    </row>
    <row r="5912" spans="1:2">
      <c r="A5912" s="66">
        <v>46071.476641608795</v>
      </c>
      <c r="B5912" s="49" t="s">
        <v>9394</v>
      </c>
    </row>
    <row r="5913" spans="1:2">
      <c r="A5913" s="66">
        <v>46071.477911979164</v>
      </c>
      <c r="B5913" s="49" t="s">
        <v>10556</v>
      </c>
    </row>
    <row r="5914" spans="1:2">
      <c r="A5914" s="66">
        <v>46071.477914733798</v>
      </c>
      <c r="B5914" s="49" t="s">
        <v>10557</v>
      </c>
    </row>
    <row r="5915" spans="1:2">
      <c r="A5915" s="66">
        <v>46071.477917488424</v>
      </c>
      <c r="B5915" s="49" t="s">
        <v>10546</v>
      </c>
    </row>
    <row r="5916" spans="1:2">
      <c r="A5916" s="66">
        <v>46071.477920231482</v>
      </c>
      <c r="B5916" s="49" t="s">
        <v>10466</v>
      </c>
    </row>
    <row r="5917" spans="1:2">
      <c r="A5917" s="66">
        <v>46071.477922881946</v>
      </c>
      <c r="B5917" s="49" t="s">
        <v>10561</v>
      </c>
    </row>
    <row r="5918" spans="1:2">
      <c r="A5918" s="66">
        <v>46071.477925613421</v>
      </c>
      <c r="B5918" s="49" t="s">
        <v>10562</v>
      </c>
    </row>
    <row r="5919" spans="1:2">
      <c r="A5919" s="66">
        <v>46071.477928449072</v>
      </c>
      <c r="B5919" s="49" t="s">
        <v>10563</v>
      </c>
    </row>
    <row r="5920" spans="1:2">
      <c r="A5920" s="66">
        <v>46071.477952939815</v>
      </c>
      <c r="B5920" s="49" t="s">
        <v>10541</v>
      </c>
    </row>
    <row r="5921" spans="1:2">
      <c r="A5921" s="66">
        <v>46071.477956342591</v>
      </c>
      <c r="B5921" s="49" t="s">
        <v>10542</v>
      </c>
    </row>
    <row r="5922" spans="1:2">
      <c r="A5922" s="66">
        <v>46071.477959212963</v>
      </c>
      <c r="B5922" s="49" t="s">
        <v>10543</v>
      </c>
    </row>
    <row r="5923" spans="1:2">
      <c r="A5923" s="66">
        <v>46071.477961863427</v>
      </c>
      <c r="B5923" s="49" t="s">
        <v>9394</v>
      </c>
    </row>
    <row r="5924" spans="1:2">
      <c r="A5924" s="66">
        <v>46071.479141261574</v>
      </c>
      <c r="B5924" s="49" t="s">
        <v>10556</v>
      </c>
    </row>
    <row r="5925" spans="1:2">
      <c r="A5925" s="66">
        <v>46071.479144456018</v>
      </c>
      <c r="B5925" s="49" t="s">
        <v>10557</v>
      </c>
    </row>
    <row r="5926" spans="1:2">
      <c r="A5926" s="66">
        <v>46071.479147546299</v>
      </c>
      <c r="B5926" s="49" t="s">
        <v>10546</v>
      </c>
    </row>
    <row r="5927" spans="1:2">
      <c r="A5927" s="66">
        <v>46071.479150439816</v>
      </c>
      <c r="B5927" s="49" t="s">
        <v>10466</v>
      </c>
    </row>
    <row r="5928" spans="1:2">
      <c r="A5928" s="66">
        <v>46071.479153414351</v>
      </c>
      <c r="B5928" s="49" t="s">
        <v>10561</v>
      </c>
    </row>
    <row r="5929" spans="1:2">
      <c r="A5929" s="66">
        <v>46071.479156261572</v>
      </c>
      <c r="B5929" s="49" t="s">
        <v>10562</v>
      </c>
    </row>
    <row r="5930" spans="1:2">
      <c r="A5930" s="66">
        <v>46071.479159467592</v>
      </c>
      <c r="B5930" s="49" t="s">
        <v>10563</v>
      </c>
    </row>
    <row r="5931" spans="1:2">
      <c r="A5931" s="66">
        <v>46071.479181226852</v>
      </c>
      <c r="B5931" s="49" t="s">
        <v>10541</v>
      </c>
    </row>
    <row r="5932" spans="1:2">
      <c r="A5932" s="66">
        <v>46071.479184641204</v>
      </c>
      <c r="B5932" s="49" t="s">
        <v>10542</v>
      </c>
    </row>
    <row r="5933" spans="1:2">
      <c r="A5933" s="66">
        <v>46071.479187453704</v>
      </c>
      <c r="B5933" s="49" t="s">
        <v>10543</v>
      </c>
    </row>
    <row r="5934" spans="1:2">
      <c r="A5934" s="66">
        <v>46071.479190405094</v>
      </c>
      <c r="B5934" s="49" t="s">
        <v>9394</v>
      </c>
    </row>
    <row r="5935" spans="1:2">
      <c r="A5935" s="66">
        <v>46071.479939340279</v>
      </c>
      <c r="B5935" s="49" t="s">
        <v>10556</v>
      </c>
    </row>
    <row r="5936" spans="1:2">
      <c r="A5936" s="66">
        <v>46071.479941967591</v>
      </c>
      <c r="B5936" s="49" t="s">
        <v>10557</v>
      </c>
    </row>
    <row r="5937" spans="1:2">
      <c r="A5937" s="66">
        <v>46071.47994503472</v>
      </c>
      <c r="B5937" s="49" t="s">
        <v>10546</v>
      </c>
    </row>
    <row r="5938" spans="1:2">
      <c r="A5938" s="66">
        <v>46071.479947731481</v>
      </c>
      <c r="B5938" s="49" t="s">
        <v>10466</v>
      </c>
    </row>
    <row r="5939" spans="1:2">
      <c r="A5939" s="66">
        <v>46071.479952893518</v>
      </c>
      <c r="B5939" s="49" t="s">
        <v>10561</v>
      </c>
    </row>
    <row r="5940" spans="1:2">
      <c r="A5940" s="66">
        <v>46071.479963113423</v>
      </c>
      <c r="B5940" s="49" t="s">
        <v>10562</v>
      </c>
    </row>
    <row r="5941" spans="1:2">
      <c r="A5941" s="66">
        <v>46071.47996626157</v>
      </c>
      <c r="B5941" s="49" t="s">
        <v>10563</v>
      </c>
    </row>
    <row r="5942" spans="1:2">
      <c r="A5942" s="66">
        <v>46071.479988958337</v>
      </c>
      <c r="B5942" s="49" t="s">
        <v>10541</v>
      </c>
    </row>
    <row r="5943" spans="1:2">
      <c r="A5943" s="66">
        <v>46071.479992118053</v>
      </c>
      <c r="B5943" s="49" t="s">
        <v>10542</v>
      </c>
    </row>
    <row r="5944" spans="1:2">
      <c r="A5944" s="66">
        <v>46071.479995023146</v>
      </c>
      <c r="B5944" s="49" t="s">
        <v>10543</v>
      </c>
    </row>
    <row r="5945" spans="1:2">
      <c r="A5945" s="66">
        <v>46071.479997881943</v>
      </c>
      <c r="B5945" s="49" t="s">
        <v>9394</v>
      </c>
    </row>
    <row r="5946" spans="1:2">
      <c r="A5946" s="66">
        <v>46071.481153298606</v>
      </c>
      <c r="B5946" s="49" t="s">
        <v>10556</v>
      </c>
    </row>
    <row r="5947" spans="1:2">
      <c r="A5947" s="66">
        <v>46071.48115663194</v>
      </c>
      <c r="B5947" s="49" t="s">
        <v>10557</v>
      </c>
    </row>
    <row r="5948" spans="1:2">
      <c r="A5948" s="66">
        <v>46071.481159537041</v>
      </c>
      <c r="B5948" s="49" t="s">
        <v>10546</v>
      </c>
    </row>
    <row r="5949" spans="1:2">
      <c r="A5949" s="66">
        <v>46071.481162627315</v>
      </c>
      <c r="B5949" s="49" t="s">
        <v>10466</v>
      </c>
    </row>
    <row r="5950" spans="1:2">
      <c r="A5950" s="66">
        <v>46071.481169502316</v>
      </c>
      <c r="B5950" s="49" t="s">
        <v>10561</v>
      </c>
    </row>
    <row r="5951" spans="1:2">
      <c r="A5951" s="66">
        <v>46071.481172777778</v>
      </c>
      <c r="B5951" s="49" t="s">
        <v>10562</v>
      </c>
    </row>
    <row r="5952" spans="1:2">
      <c r="A5952" s="66">
        <v>46071.481175428242</v>
      </c>
      <c r="B5952" s="49" t="s">
        <v>10563</v>
      </c>
    </row>
    <row r="5953" spans="1:2">
      <c r="A5953" s="66">
        <v>46071.481199965274</v>
      </c>
      <c r="B5953" s="49" t="s">
        <v>10541</v>
      </c>
    </row>
    <row r="5954" spans="1:2">
      <c r="A5954" s="66">
        <v>46071.481214247688</v>
      </c>
      <c r="B5954" s="49" t="s">
        <v>10542</v>
      </c>
    </row>
    <row r="5955" spans="1:2">
      <c r="A5955" s="66">
        <v>46071.481217245368</v>
      </c>
      <c r="B5955" s="49" t="s">
        <v>10543</v>
      </c>
    </row>
    <row r="5956" spans="1:2">
      <c r="A5956" s="66">
        <v>46071.481220601854</v>
      </c>
      <c r="B5956" s="49" t="s">
        <v>9394</v>
      </c>
    </row>
    <row r="5957" spans="1:2">
      <c r="A5957" s="66">
        <v>46071.482380081019</v>
      </c>
      <c r="B5957" s="49" t="s">
        <v>10556</v>
      </c>
    </row>
    <row r="5958" spans="1:2">
      <c r="A5958" s="66">
        <v>46071.482382430557</v>
      </c>
      <c r="B5958" s="49" t="s">
        <v>10557</v>
      </c>
    </row>
    <row r="5959" spans="1:2">
      <c r="A5959" s="66">
        <v>46071.482384780087</v>
      </c>
      <c r="B5959" s="49" t="s">
        <v>10546</v>
      </c>
    </row>
    <row r="5960" spans="1:2">
      <c r="A5960" s="66">
        <v>46071.482387048614</v>
      </c>
      <c r="B5960" s="49" t="s">
        <v>10466</v>
      </c>
    </row>
    <row r="5961" spans="1:2">
      <c r="A5961" s="66">
        <v>46071.482389386569</v>
      </c>
      <c r="B5961" s="49" t="s">
        <v>10561</v>
      </c>
    </row>
    <row r="5962" spans="1:2">
      <c r="A5962" s="66">
        <v>46071.482391782411</v>
      </c>
      <c r="B5962" s="49" t="s">
        <v>10562</v>
      </c>
    </row>
    <row r="5963" spans="1:2">
      <c r="A5963" s="66">
        <v>46071.482406620373</v>
      </c>
      <c r="B5963" s="49" t="s">
        <v>10563</v>
      </c>
    </row>
    <row r="5964" spans="1:2">
      <c r="A5964" s="66">
        <v>46071.482428067131</v>
      </c>
      <c r="B5964" s="49" t="s">
        <v>10541</v>
      </c>
    </row>
    <row r="5965" spans="1:2">
      <c r="A5965" s="66">
        <v>46071.482431087963</v>
      </c>
      <c r="B5965" s="49" t="s">
        <v>10542</v>
      </c>
    </row>
    <row r="5966" spans="1:2">
      <c r="A5966" s="66">
        <v>46071.482434201389</v>
      </c>
      <c r="B5966" s="49" t="s">
        <v>10543</v>
      </c>
    </row>
    <row r="5967" spans="1:2">
      <c r="A5967" s="66">
        <v>46071.48243650463</v>
      </c>
      <c r="B5967" s="49" t="s">
        <v>9394</v>
      </c>
    </row>
    <row r="5968" spans="1:2">
      <c r="A5968" s="66">
        <v>46071.483785844903</v>
      </c>
      <c r="B5968" s="49" t="s">
        <v>10556</v>
      </c>
    </row>
    <row r="5969" spans="1:2">
      <c r="A5969" s="66">
        <v>46071.483789375001</v>
      </c>
      <c r="B5969" s="49" t="s">
        <v>10557</v>
      </c>
    </row>
    <row r="5970" spans="1:2">
      <c r="A5970" s="66">
        <v>46071.483792476851</v>
      </c>
      <c r="B5970" s="49" t="s">
        <v>10546</v>
      </c>
    </row>
    <row r="5971" spans="1:2">
      <c r="A5971" s="66">
        <v>46071.483795497683</v>
      </c>
      <c r="B5971" s="49" t="s">
        <v>10466</v>
      </c>
    </row>
    <row r="5972" spans="1:2">
      <c r="A5972" s="66">
        <v>46071.483798587964</v>
      </c>
      <c r="B5972" s="49" t="s">
        <v>10561</v>
      </c>
    </row>
    <row r="5973" spans="1:2">
      <c r="A5973" s="66">
        <v>46071.483801620372</v>
      </c>
      <c r="B5973" s="49" t="s">
        <v>10562</v>
      </c>
    </row>
    <row r="5974" spans="1:2">
      <c r="A5974" s="66">
        <v>46071.483804386575</v>
      </c>
      <c r="B5974" s="49" t="s">
        <v>10563</v>
      </c>
    </row>
    <row r="5975" spans="1:2">
      <c r="A5975" s="66">
        <v>46071.483830532408</v>
      </c>
      <c r="B5975" s="49" t="s">
        <v>10541</v>
      </c>
    </row>
    <row r="5976" spans="1:2">
      <c r="A5976" s="66">
        <v>46071.483835983796</v>
      </c>
      <c r="B5976" s="49" t="s">
        <v>10542</v>
      </c>
    </row>
    <row r="5977" spans="1:2">
      <c r="A5977" s="66">
        <v>46071.483839236113</v>
      </c>
      <c r="B5977" s="49" t="s">
        <v>10543</v>
      </c>
    </row>
    <row r="5978" spans="1:2">
      <c r="A5978" s="66">
        <v>46071.483855555554</v>
      </c>
      <c r="B5978" s="49" t="s">
        <v>9394</v>
      </c>
    </row>
    <row r="5979" spans="1:2">
      <c r="A5979" s="66">
        <v>46071.484749664349</v>
      </c>
      <c r="B5979" s="49" t="s">
        <v>10556</v>
      </c>
    </row>
    <row r="5980" spans="1:2">
      <c r="A5980" s="66">
        <v>46071.484753009259</v>
      </c>
      <c r="B5980" s="49" t="s">
        <v>10557</v>
      </c>
    </row>
    <row r="5981" spans="1:2">
      <c r="A5981" s="66">
        <v>46071.484755995371</v>
      </c>
      <c r="B5981" s="49" t="s">
        <v>10546</v>
      </c>
    </row>
    <row r="5982" spans="1:2">
      <c r="A5982" s="66">
        <v>46071.484759016203</v>
      </c>
      <c r="B5982" s="49" t="s">
        <v>10466</v>
      </c>
    </row>
    <row r="5983" spans="1:2">
      <c r="A5983" s="66">
        <v>46071.484762638887</v>
      </c>
      <c r="B5983" s="49" t="s">
        <v>10561</v>
      </c>
    </row>
    <row r="5984" spans="1:2">
      <c r="A5984" s="66">
        <v>46071.484765555557</v>
      </c>
      <c r="B5984" s="49" t="s">
        <v>10562</v>
      </c>
    </row>
    <row r="5985" spans="1:2">
      <c r="A5985" s="66">
        <v>46071.484768541668</v>
      </c>
      <c r="B5985" s="49" t="s">
        <v>10563</v>
      </c>
    </row>
    <row r="5986" spans="1:2">
      <c r="A5986" s="66">
        <v>46071.484791331022</v>
      </c>
      <c r="B5986" s="49" t="s">
        <v>10541</v>
      </c>
    </row>
    <row r="5987" spans="1:2">
      <c r="A5987" s="66">
        <v>46071.484794837961</v>
      </c>
      <c r="B5987" s="49" t="s">
        <v>10542</v>
      </c>
    </row>
    <row r="5988" spans="1:2">
      <c r="A5988" s="66">
        <v>46071.484797812504</v>
      </c>
      <c r="B5988" s="49" t="s">
        <v>10543</v>
      </c>
    </row>
    <row r="5989" spans="1:2">
      <c r="A5989" s="66">
        <v>46071.484800590275</v>
      </c>
      <c r="B5989" s="49" t="s">
        <v>9394</v>
      </c>
    </row>
    <row r="5990" spans="1:2">
      <c r="A5990" s="66">
        <v>46071.485591712961</v>
      </c>
      <c r="B5990" s="49" t="s">
        <v>10556</v>
      </c>
    </row>
    <row r="5991" spans="1:2">
      <c r="A5991" s="66">
        <v>46071.485594074074</v>
      </c>
      <c r="B5991" s="49" t="s">
        <v>10557</v>
      </c>
    </row>
    <row r="5992" spans="1:2">
      <c r="A5992" s="66">
        <v>46071.485596840277</v>
      </c>
      <c r="B5992" s="49" t="s">
        <v>10546</v>
      </c>
    </row>
    <row r="5993" spans="1:2">
      <c r="A5993" s="66">
        <v>46071.485599178239</v>
      </c>
      <c r="B5993" s="49" t="s">
        <v>10466</v>
      </c>
    </row>
    <row r="5994" spans="1:2">
      <c r="A5994" s="66">
        <v>46071.485601365741</v>
      </c>
      <c r="B5994" s="49" t="s">
        <v>10561</v>
      </c>
    </row>
    <row r="5995" spans="1:2">
      <c r="A5995" s="66">
        <v>46071.485603877314</v>
      </c>
      <c r="B5995" s="49" t="s">
        <v>10562</v>
      </c>
    </row>
    <row r="5996" spans="1:2">
      <c r="A5996" s="66">
        <v>46071.485608275463</v>
      </c>
      <c r="B5996" s="49" t="s">
        <v>10563</v>
      </c>
    </row>
    <row r="5997" spans="1:2">
      <c r="A5997" s="66">
        <v>46071.485635567129</v>
      </c>
      <c r="B5997" s="49" t="s">
        <v>10541</v>
      </c>
    </row>
    <row r="5998" spans="1:2">
      <c r="A5998" s="66">
        <v>46071.485638576385</v>
      </c>
      <c r="B5998" s="49" t="s">
        <v>10542</v>
      </c>
    </row>
    <row r="5999" spans="1:2">
      <c r="A5999" s="66">
        <v>46071.485640856481</v>
      </c>
      <c r="B5999" s="49" t="s">
        <v>10543</v>
      </c>
    </row>
    <row r="6000" spans="1:2">
      <c r="A6000" s="66">
        <v>46071.485643055552</v>
      </c>
      <c r="B6000" s="49" t="s">
        <v>9394</v>
      </c>
    </row>
    <row r="6001" spans="1:2">
      <c r="A6001" s="66">
        <v>46071.486538240744</v>
      </c>
      <c r="B6001" s="49" t="s">
        <v>10556</v>
      </c>
    </row>
    <row r="6002" spans="1:2">
      <c r="A6002" s="66">
        <v>46071.48654943287</v>
      </c>
      <c r="B6002" s="49" t="s">
        <v>10557</v>
      </c>
    </row>
    <row r="6003" spans="1:2">
      <c r="A6003" s="66">
        <v>46071.48655209491</v>
      </c>
      <c r="B6003" s="49" t="s">
        <v>10546</v>
      </c>
    </row>
    <row r="6004" spans="1:2">
      <c r="A6004" s="66">
        <v>46071.486554930554</v>
      </c>
      <c r="B6004" s="49" t="s">
        <v>10466</v>
      </c>
    </row>
    <row r="6005" spans="1:2">
      <c r="A6005" s="66">
        <v>46071.486557534721</v>
      </c>
      <c r="B6005" s="49" t="s">
        <v>10561</v>
      </c>
    </row>
    <row r="6006" spans="1:2">
      <c r="A6006" s="66">
        <v>46071.4865603125</v>
      </c>
      <c r="B6006" s="49" t="s">
        <v>10562</v>
      </c>
    </row>
    <row r="6007" spans="1:2">
      <c r="A6007" s="66">
        <v>46071.486563067127</v>
      </c>
      <c r="B6007" s="49" t="s">
        <v>10563</v>
      </c>
    </row>
    <row r="6008" spans="1:2">
      <c r="A6008" s="66">
        <v>46071.486590069442</v>
      </c>
      <c r="B6008" s="49" t="s">
        <v>10541</v>
      </c>
    </row>
    <row r="6009" spans="1:2">
      <c r="A6009" s="66">
        <v>46071.48659346065</v>
      </c>
      <c r="B6009" s="49" t="s">
        <v>10542</v>
      </c>
    </row>
    <row r="6010" spans="1:2">
      <c r="A6010" s="66">
        <v>46071.486596226852</v>
      </c>
      <c r="B6010" s="49" t="s">
        <v>10543</v>
      </c>
    </row>
    <row r="6011" spans="1:2">
      <c r="A6011" s="66">
        <v>46071.486599039352</v>
      </c>
      <c r="B6011" s="49" t="s">
        <v>9394</v>
      </c>
    </row>
    <row r="6012" spans="1:2">
      <c r="A6012" s="66">
        <v>46071.487990416666</v>
      </c>
      <c r="B6012" s="49" t="s">
        <v>10556</v>
      </c>
    </row>
    <row r="6013" spans="1:2">
      <c r="A6013" s="66">
        <v>46071.488003819446</v>
      </c>
      <c r="B6013" s="49" t="s">
        <v>10557</v>
      </c>
    </row>
    <row r="6014" spans="1:2">
      <c r="A6014" s="66">
        <v>46071.488006307874</v>
      </c>
      <c r="B6014" s="49" t="s">
        <v>10546</v>
      </c>
    </row>
    <row r="6015" spans="1:2">
      <c r="A6015" s="66">
        <v>46071.488008749999</v>
      </c>
      <c r="B6015" s="49" t="s">
        <v>10466</v>
      </c>
    </row>
    <row r="6016" spans="1:2">
      <c r="A6016" s="66">
        <v>46071.488012071757</v>
      </c>
      <c r="B6016" s="49" t="s">
        <v>10561</v>
      </c>
    </row>
    <row r="6017" spans="1:2">
      <c r="A6017" s="66">
        <v>46071.488014479168</v>
      </c>
      <c r="B6017" s="49" t="s">
        <v>10562</v>
      </c>
    </row>
    <row r="6018" spans="1:2">
      <c r="A6018" s="66">
        <v>46071.488016840274</v>
      </c>
      <c r="B6018" s="49" t="s">
        <v>10563</v>
      </c>
    </row>
    <row r="6019" spans="1:2">
      <c r="A6019" s="66">
        <v>46071.488039849537</v>
      </c>
      <c r="B6019" s="49" t="s">
        <v>10541</v>
      </c>
    </row>
    <row r="6020" spans="1:2">
      <c r="A6020" s="66">
        <v>46071.488042523153</v>
      </c>
      <c r="B6020" s="49" t="s">
        <v>10542</v>
      </c>
    </row>
    <row r="6021" spans="1:2">
      <c r="A6021" s="66">
        <v>46071.488044988422</v>
      </c>
      <c r="B6021" s="49" t="s">
        <v>10543</v>
      </c>
    </row>
    <row r="6022" spans="1:2">
      <c r="A6022" s="66">
        <v>46071.4880471875</v>
      </c>
      <c r="B6022" s="49" t="s">
        <v>9394</v>
      </c>
    </row>
    <row r="6023" spans="1:2">
      <c r="A6023" s="66">
        <v>46071.489323229165</v>
      </c>
      <c r="B6023" s="49" t="s">
        <v>10556</v>
      </c>
    </row>
    <row r="6024" spans="1:2">
      <c r="A6024" s="66">
        <v>46071.489326203708</v>
      </c>
      <c r="B6024" s="49" t="s">
        <v>10557</v>
      </c>
    </row>
    <row r="6025" spans="1:2">
      <c r="A6025" s="66">
        <v>46071.489329421296</v>
      </c>
      <c r="B6025" s="49" t="s">
        <v>10546</v>
      </c>
    </row>
    <row r="6026" spans="1:2">
      <c r="A6026" s="66">
        <v>46071.489332604164</v>
      </c>
      <c r="B6026" s="49" t="s">
        <v>10466</v>
      </c>
    </row>
    <row r="6027" spans="1:2">
      <c r="A6027" s="66">
        <v>46071.489335810184</v>
      </c>
      <c r="B6027" s="49" t="s">
        <v>10561</v>
      </c>
    </row>
    <row r="6028" spans="1:2">
      <c r="A6028" s="66">
        <v>46071.48933916667</v>
      </c>
      <c r="B6028" s="49" t="s">
        <v>10562</v>
      </c>
    </row>
    <row r="6029" spans="1:2">
      <c r="A6029" s="66">
        <v>46071.489342037035</v>
      </c>
      <c r="B6029" s="49" t="s">
        <v>10563</v>
      </c>
    </row>
    <row r="6030" spans="1:2">
      <c r="A6030" s="66">
        <v>46071.489365138885</v>
      </c>
      <c r="B6030" s="49" t="s">
        <v>10541</v>
      </c>
    </row>
    <row r="6031" spans="1:2">
      <c r="A6031" s="66">
        <v>46071.489368402777</v>
      </c>
      <c r="B6031" s="49" t="s">
        <v>10542</v>
      </c>
    </row>
    <row r="6032" spans="1:2">
      <c r="A6032" s="66">
        <v>46071.489371481483</v>
      </c>
      <c r="B6032" s="49" t="s">
        <v>10543</v>
      </c>
    </row>
    <row r="6033" spans="1:2">
      <c r="A6033" s="66">
        <v>46071.489374340279</v>
      </c>
      <c r="B6033" s="49" t="s">
        <v>9394</v>
      </c>
    </row>
    <row r="6034" spans="1:2">
      <c r="A6034" s="66">
        <v>46071.490567986111</v>
      </c>
      <c r="B6034" s="49" t="s">
        <v>10556</v>
      </c>
    </row>
    <row r="6035" spans="1:2">
      <c r="A6035" s="66">
        <v>46071.490570416667</v>
      </c>
      <c r="B6035" s="49" t="s">
        <v>10557</v>
      </c>
    </row>
    <row r="6036" spans="1:2">
      <c r="A6036" s="66">
        <v>46071.490572951385</v>
      </c>
      <c r="B6036" s="49" t="s">
        <v>10546</v>
      </c>
    </row>
    <row r="6037" spans="1:2">
      <c r="A6037" s="66">
        <v>46071.490576249998</v>
      </c>
      <c r="B6037" s="49" t="s">
        <v>10466</v>
      </c>
    </row>
    <row r="6038" spans="1:2">
      <c r="A6038" s="66">
        <v>46071.490591539346</v>
      </c>
      <c r="B6038" s="49" t="s">
        <v>10561</v>
      </c>
    </row>
    <row r="6039" spans="1:2">
      <c r="A6039" s="66">
        <v>46071.490593854163</v>
      </c>
      <c r="B6039" s="49" t="s">
        <v>10562</v>
      </c>
    </row>
    <row r="6040" spans="1:2">
      <c r="A6040" s="66">
        <v>46071.490596203701</v>
      </c>
      <c r="B6040" s="49" t="s">
        <v>10563</v>
      </c>
    </row>
    <row r="6041" spans="1:2">
      <c r="A6041" s="66">
        <v>46071.490620127312</v>
      </c>
      <c r="B6041" s="49" t="s">
        <v>10541</v>
      </c>
    </row>
    <row r="6042" spans="1:2">
      <c r="A6042" s="66">
        <v>46071.490626736108</v>
      </c>
      <c r="B6042" s="49" t="s">
        <v>10542</v>
      </c>
    </row>
    <row r="6043" spans="1:2">
      <c r="A6043" s="66">
        <v>46071.490629236112</v>
      </c>
      <c r="B6043" s="49" t="s">
        <v>10543</v>
      </c>
    </row>
    <row r="6044" spans="1:2">
      <c r="A6044" s="66">
        <v>46071.490631620371</v>
      </c>
      <c r="B6044" s="49" t="s">
        <v>9394</v>
      </c>
    </row>
    <row r="6045" spans="1:2">
      <c r="A6045" s="66">
        <v>46071.491756284726</v>
      </c>
      <c r="B6045" s="49" t="s">
        <v>10556</v>
      </c>
    </row>
    <row r="6046" spans="1:2">
      <c r="A6046" s="66">
        <v>46071.491759560187</v>
      </c>
      <c r="B6046" s="49" t="s">
        <v>10557</v>
      </c>
    </row>
    <row r="6047" spans="1:2">
      <c r="A6047" s="66">
        <v>46071.491762280093</v>
      </c>
      <c r="B6047" s="49" t="s">
        <v>10546</v>
      </c>
    </row>
    <row r="6048" spans="1:2">
      <c r="A6048" s="66">
        <v>46071.491764999999</v>
      </c>
      <c r="B6048" s="49" t="s">
        <v>10466</v>
      </c>
    </row>
    <row r="6049" spans="1:2">
      <c r="A6049" s="66">
        <v>46071.491767858795</v>
      </c>
      <c r="B6049" s="49" t="s">
        <v>10561</v>
      </c>
    </row>
    <row r="6050" spans="1:2">
      <c r="A6050" s="66">
        <v>46071.491776203708</v>
      </c>
      <c r="B6050" s="49" t="s">
        <v>10562</v>
      </c>
    </row>
    <row r="6051" spans="1:2">
      <c r="A6051" s="66">
        <v>46071.491791157408</v>
      </c>
      <c r="B6051" s="49" t="s">
        <v>10563</v>
      </c>
    </row>
    <row r="6052" spans="1:2">
      <c r="A6052" s="66">
        <v>46071.491814803245</v>
      </c>
      <c r="B6052" s="49" t="s">
        <v>10541</v>
      </c>
    </row>
    <row r="6053" spans="1:2">
      <c r="A6053" s="66">
        <v>46071.491817916671</v>
      </c>
      <c r="B6053" s="49" t="s">
        <v>10542</v>
      </c>
    </row>
    <row r="6054" spans="1:2">
      <c r="A6054" s="66">
        <v>46071.49182383102</v>
      </c>
      <c r="B6054" s="49" t="s">
        <v>10543</v>
      </c>
    </row>
    <row r="6055" spans="1:2">
      <c r="A6055" s="66">
        <v>46071.491827141203</v>
      </c>
      <c r="B6055" s="49" t="s">
        <v>9394</v>
      </c>
    </row>
    <row r="6056" spans="1:2">
      <c r="A6056" s="66">
        <v>46071.492813368051</v>
      </c>
      <c r="B6056" s="49" t="s">
        <v>10556</v>
      </c>
    </row>
    <row r="6057" spans="1:2">
      <c r="A6057" s="66">
        <v>46071.49281653935</v>
      </c>
      <c r="B6057" s="49" t="s">
        <v>10557</v>
      </c>
    </row>
    <row r="6058" spans="1:2">
      <c r="A6058" s="66">
        <v>46071.492819328705</v>
      </c>
      <c r="B6058" s="49" t="s">
        <v>10546</v>
      </c>
    </row>
    <row r="6059" spans="1:2">
      <c r="A6059" s="66">
        <v>46071.492825266207</v>
      </c>
      <c r="B6059" s="49" t="s">
        <v>10466</v>
      </c>
    </row>
    <row r="6060" spans="1:2">
      <c r="A6060" s="66">
        <v>46071.492828634262</v>
      </c>
      <c r="B6060" s="49" t="s">
        <v>10561</v>
      </c>
    </row>
    <row r="6061" spans="1:2">
      <c r="A6061" s="66">
        <v>46071.492831550924</v>
      </c>
      <c r="B6061" s="49" t="s">
        <v>10562</v>
      </c>
    </row>
    <row r="6062" spans="1:2">
      <c r="A6062" s="66">
        <v>46071.492834386576</v>
      </c>
      <c r="B6062" s="49" t="s">
        <v>10563</v>
      </c>
    </row>
    <row r="6063" spans="1:2">
      <c r="A6063" s="66">
        <v>46071.492859201389</v>
      </c>
      <c r="B6063" s="49" t="s">
        <v>10541</v>
      </c>
    </row>
    <row r="6064" spans="1:2">
      <c r="A6064" s="66">
        <v>46071.492862384257</v>
      </c>
      <c r="B6064" s="49" t="s">
        <v>10542</v>
      </c>
    </row>
    <row r="6065" spans="1:2">
      <c r="A6065" s="66">
        <v>46071.492865300926</v>
      </c>
      <c r="B6065" s="49" t="s">
        <v>10543</v>
      </c>
    </row>
    <row r="6066" spans="1:2">
      <c r="A6066" s="66">
        <v>46071.492868321759</v>
      </c>
      <c r="B6066" s="49" t="s">
        <v>9394</v>
      </c>
    </row>
    <row r="6067" spans="1:2">
      <c r="A6067" s="66">
        <v>46071.493611597223</v>
      </c>
      <c r="B6067" s="49" t="s">
        <v>10556</v>
      </c>
    </row>
    <row r="6068" spans="1:2">
      <c r="A6068" s="66">
        <v>46071.493613402781</v>
      </c>
      <c r="B6068" s="49" t="s">
        <v>10557</v>
      </c>
    </row>
    <row r="6069" spans="1:2">
      <c r="A6069" s="66">
        <v>46071.493615266205</v>
      </c>
      <c r="B6069" s="49" t="s">
        <v>10546</v>
      </c>
    </row>
    <row r="6070" spans="1:2">
      <c r="A6070" s="66">
        <v>46071.493617152781</v>
      </c>
      <c r="B6070" s="49" t="s">
        <v>10466</v>
      </c>
    </row>
    <row r="6071" spans="1:2">
      <c r="A6071" s="66">
        <v>46071.493618958339</v>
      </c>
      <c r="B6071" s="49" t="s">
        <v>10561</v>
      </c>
    </row>
    <row r="6072" spans="1:2">
      <c r="A6072" s="66">
        <v>46071.493620624999</v>
      </c>
      <c r="B6072" s="49" t="s">
        <v>10562</v>
      </c>
    </row>
    <row r="6073" spans="1:2">
      <c r="A6073" s="66">
        <v>46071.493622337963</v>
      </c>
      <c r="B6073" s="49" t="s">
        <v>10563</v>
      </c>
    </row>
    <row r="6074" spans="1:2">
      <c r="A6074" s="66">
        <v>46071.493641446759</v>
      </c>
      <c r="B6074" s="49" t="s">
        <v>10541</v>
      </c>
    </row>
    <row r="6075" spans="1:2">
      <c r="A6075" s="66">
        <v>46071.493644351853</v>
      </c>
      <c r="B6075" s="49" t="s">
        <v>10542</v>
      </c>
    </row>
    <row r="6076" spans="1:2">
      <c r="A6076" s="66">
        <v>46071.493653888887</v>
      </c>
      <c r="B6076" s="49" t="s">
        <v>10543</v>
      </c>
    </row>
    <row r="6077" spans="1:2">
      <c r="A6077" s="66">
        <v>46071.493655532409</v>
      </c>
      <c r="B6077" s="49" t="s">
        <v>9394</v>
      </c>
    </row>
    <row r="6078" spans="1:2">
      <c r="A6078" s="66">
        <v>46071.495055520834</v>
      </c>
      <c r="B6078" s="49" t="s">
        <v>10556</v>
      </c>
    </row>
    <row r="6079" spans="1:2">
      <c r="A6079" s="66">
        <v>46071.495058113425</v>
      </c>
      <c r="B6079" s="49" t="s">
        <v>10557</v>
      </c>
    </row>
    <row r="6080" spans="1:2">
      <c r="A6080" s="66">
        <v>46071.495060949077</v>
      </c>
      <c r="B6080" s="49" t="s">
        <v>10546</v>
      </c>
    </row>
    <row r="6081" spans="1:2">
      <c r="A6081" s="66">
        <v>46071.495063622686</v>
      </c>
      <c r="B6081" s="49" t="s">
        <v>10466</v>
      </c>
    </row>
    <row r="6082" spans="1:2">
      <c r="A6082" s="66">
        <v>46071.495069733792</v>
      </c>
      <c r="B6082" s="49" t="s">
        <v>10561</v>
      </c>
    </row>
    <row r="6083" spans="1:2">
      <c r="A6083" s="66">
        <v>46071.495072673613</v>
      </c>
      <c r="B6083" s="49" t="s">
        <v>10562</v>
      </c>
    </row>
    <row r="6084" spans="1:2">
      <c r="A6084" s="66">
        <v>46071.495075879633</v>
      </c>
      <c r="B6084" s="49" t="s">
        <v>10563</v>
      </c>
    </row>
    <row r="6085" spans="1:2">
      <c r="A6085" s="66">
        <v>46071.495096273153</v>
      </c>
      <c r="B6085" s="49" t="s">
        <v>10541</v>
      </c>
    </row>
    <row r="6086" spans="1:2">
      <c r="A6086" s="66">
        <v>46071.495099178239</v>
      </c>
      <c r="B6086" s="49" t="s">
        <v>10542</v>
      </c>
    </row>
    <row r="6087" spans="1:2">
      <c r="A6087" s="66">
        <v>46071.495106342598</v>
      </c>
      <c r="B6087" s="49" t="s">
        <v>10543</v>
      </c>
    </row>
    <row r="6088" spans="1:2">
      <c r="A6088" s="66">
        <v>46071.495109374999</v>
      </c>
      <c r="B6088" s="49" t="s">
        <v>9394</v>
      </c>
    </row>
    <row r="6089" spans="1:2">
      <c r="A6089" s="66">
        <v>46071.496408194449</v>
      </c>
      <c r="B6089" s="49" t="s">
        <v>10556</v>
      </c>
    </row>
    <row r="6090" spans="1:2">
      <c r="A6090" s="66">
        <v>46071.496410624997</v>
      </c>
      <c r="B6090" s="49" t="s">
        <v>10557</v>
      </c>
    </row>
    <row r="6091" spans="1:2">
      <c r="A6091" s="66">
        <v>46071.496412928245</v>
      </c>
      <c r="B6091" s="49" t="s">
        <v>10546</v>
      </c>
    </row>
    <row r="6092" spans="1:2">
      <c r="A6092" s="66">
        <v>46071.49641530092</v>
      </c>
      <c r="B6092" s="49" t="s">
        <v>10466</v>
      </c>
    </row>
    <row r="6093" spans="1:2">
      <c r="A6093" s="66">
        <v>46071.496417581016</v>
      </c>
      <c r="B6093" s="49" t="s">
        <v>10561</v>
      </c>
    </row>
    <row r="6094" spans="1:2">
      <c r="A6094" s="66">
        <v>46071.496419907402</v>
      </c>
      <c r="B6094" s="49" t="s">
        <v>10562</v>
      </c>
    </row>
    <row r="6095" spans="1:2">
      <c r="A6095" s="66">
        <v>46071.496422280092</v>
      </c>
      <c r="B6095" s="49" t="s">
        <v>10563</v>
      </c>
    </row>
    <row r="6096" spans="1:2">
      <c r="A6096" s="66">
        <v>46071.496441365744</v>
      </c>
      <c r="B6096" s="49" t="s">
        <v>10541</v>
      </c>
    </row>
    <row r="6097" spans="1:2">
      <c r="A6097" s="66">
        <v>46071.4964440162</v>
      </c>
      <c r="B6097" s="49" t="s">
        <v>10542</v>
      </c>
    </row>
    <row r="6098" spans="1:2">
      <c r="A6098" s="66">
        <v>46071.496447118057</v>
      </c>
      <c r="B6098" s="49" t="s">
        <v>10543</v>
      </c>
    </row>
    <row r="6099" spans="1:2">
      <c r="A6099" s="66">
        <v>46071.496449814818</v>
      </c>
      <c r="B6099" s="49" t="s">
        <v>9394</v>
      </c>
    </row>
    <row r="6100" spans="1:2">
      <c r="A6100" s="66">
        <v>46071.497677407402</v>
      </c>
      <c r="B6100" s="49" t="s">
        <v>10556</v>
      </c>
    </row>
    <row r="6101" spans="1:2">
      <c r="A6101" s="66">
        <v>46071.497680046297</v>
      </c>
      <c r="B6101" s="49" t="s">
        <v>10557</v>
      </c>
    </row>
    <row r="6102" spans="1:2">
      <c r="A6102" s="66">
        <v>46071.497689872689</v>
      </c>
      <c r="B6102" s="49" t="s">
        <v>10546</v>
      </c>
    </row>
    <row r="6103" spans="1:2">
      <c r="A6103" s="66">
        <v>46071.497692418983</v>
      </c>
      <c r="B6103" s="49" t="s">
        <v>10466</v>
      </c>
    </row>
    <row r="6104" spans="1:2">
      <c r="A6104" s="66">
        <v>46071.497695034719</v>
      </c>
      <c r="B6104" s="49" t="s">
        <v>10561</v>
      </c>
    </row>
    <row r="6105" spans="1:2">
      <c r="A6105" s="66">
        <v>46071.497697592597</v>
      </c>
      <c r="B6105" s="49" t="s">
        <v>10562</v>
      </c>
    </row>
    <row r="6106" spans="1:2">
      <c r="A6106" s="66">
        <v>46071.497700173612</v>
      </c>
      <c r="B6106" s="49" t="s">
        <v>10563</v>
      </c>
    </row>
    <row r="6107" spans="1:2">
      <c r="A6107" s="66">
        <v>46071.497722870372</v>
      </c>
      <c r="B6107" s="49" t="s">
        <v>10541</v>
      </c>
    </row>
    <row r="6108" spans="1:2">
      <c r="A6108" s="66">
        <v>46071.497725671295</v>
      </c>
      <c r="B6108" s="49" t="s">
        <v>10542</v>
      </c>
    </row>
    <row r="6109" spans="1:2">
      <c r="A6109" s="66">
        <v>46071.497727916663</v>
      </c>
      <c r="B6109" s="49" t="s">
        <v>10543</v>
      </c>
    </row>
    <row r="6110" spans="1:2">
      <c r="A6110" s="66">
        <v>46071.497730416668</v>
      </c>
      <c r="B6110" s="49" t="s">
        <v>9394</v>
      </c>
    </row>
    <row r="6111" spans="1:2">
      <c r="A6111" s="66">
        <v>46071.498582071756</v>
      </c>
      <c r="B6111" s="49" t="s">
        <v>10556</v>
      </c>
    </row>
    <row r="6112" spans="1:2">
      <c r="A6112" s="66">
        <v>46071.498584641202</v>
      </c>
      <c r="B6112" s="49" t="s">
        <v>10557</v>
      </c>
    </row>
    <row r="6113" spans="1:2">
      <c r="A6113" s="66">
        <v>46071.498586967587</v>
      </c>
      <c r="B6113" s="49" t="s">
        <v>10546</v>
      </c>
    </row>
    <row r="6114" spans="1:2">
      <c r="A6114" s="66">
        <v>46071.498589201394</v>
      </c>
      <c r="B6114" s="49" t="s">
        <v>10466</v>
      </c>
    </row>
    <row r="6115" spans="1:2">
      <c r="A6115" s="66">
        <v>46071.498591446754</v>
      </c>
      <c r="B6115" s="49" t="s">
        <v>10561</v>
      </c>
    </row>
    <row r="6116" spans="1:2">
      <c r="A6116" s="66">
        <v>46071.498593680561</v>
      </c>
      <c r="B6116" s="49" t="s">
        <v>10562</v>
      </c>
    </row>
    <row r="6117" spans="1:2">
      <c r="A6117" s="66">
        <v>46071.498595972225</v>
      </c>
      <c r="B6117" s="49" t="s">
        <v>10563</v>
      </c>
    </row>
    <row r="6118" spans="1:2">
      <c r="A6118" s="66">
        <v>46071.498618472222</v>
      </c>
      <c r="B6118" s="49" t="s">
        <v>10541</v>
      </c>
    </row>
    <row r="6119" spans="1:2">
      <c r="A6119" s="66">
        <v>46071.498621192135</v>
      </c>
      <c r="B6119" s="49" t="s">
        <v>10542</v>
      </c>
    </row>
    <row r="6120" spans="1:2">
      <c r="A6120" s="66">
        <v>46071.498623576394</v>
      </c>
      <c r="B6120" s="49" t="s">
        <v>10543</v>
      </c>
    </row>
    <row r="6121" spans="1:2">
      <c r="A6121" s="66">
        <v>46071.498625891203</v>
      </c>
      <c r="B6121" s="49" t="s">
        <v>9394</v>
      </c>
    </row>
    <row r="6122" spans="1:2">
      <c r="A6122" s="66">
        <v>46071.499512789349</v>
      </c>
      <c r="B6122" s="49" t="s">
        <v>10556</v>
      </c>
    </row>
    <row r="6123" spans="1:2">
      <c r="A6123" s="66">
        <v>46071.499515613425</v>
      </c>
      <c r="B6123" s="49" t="s">
        <v>10557</v>
      </c>
    </row>
    <row r="6124" spans="1:2">
      <c r="A6124" s="66">
        <v>46071.499518217592</v>
      </c>
      <c r="B6124" s="49" t="s">
        <v>10546</v>
      </c>
    </row>
    <row r="6125" spans="1:2">
      <c r="A6125" s="66">
        <v>46071.499520925921</v>
      </c>
      <c r="B6125" s="49" t="s">
        <v>10466</v>
      </c>
    </row>
    <row r="6126" spans="1:2">
      <c r="A6126" s="66">
        <v>46071.499523634258</v>
      </c>
      <c r="B6126" s="49" t="s">
        <v>10561</v>
      </c>
    </row>
    <row r="6127" spans="1:2">
      <c r="A6127" s="66">
        <v>46071.499526296291</v>
      </c>
      <c r="B6127" s="49" t="s">
        <v>10562</v>
      </c>
    </row>
    <row r="6128" spans="1:2">
      <c r="A6128" s="66">
        <v>46071.499528958331</v>
      </c>
      <c r="B6128" s="49" t="s">
        <v>10563</v>
      </c>
    </row>
    <row r="6129" spans="1:2">
      <c r="A6129" s="66">
        <v>46071.499549675922</v>
      </c>
      <c r="B6129" s="49" t="s">
        <v>10541</v>
      </c>
    </row>
    <row r="6130" spans="1:2">
      <c r="A6130" s="66">
        <v>46071.499553090282</v>
      </c>
      <c r="B6130" s="49" t="s">
        <v>10542</v>
      </c>
    </row>
    <row r="6131" spans="1:2">
      <c r="A6131" s="66">
        <v>46071.499555925926</v>
      </c>
      <c r="B6131" s="49" t="s">
        <v>10543</v>
      </c>
    </row>
    <row r="6132" spans="1:2">
      <c r="A6132" s="66">
        <v>46071.49955980324</v>
      </c>
      <c r="B6132" s="49" t="s">
        <v>9394</v>
      </c>
    </row>
    <row r="6133" spans="1:2">
      <c r="A6133" s="66">
        <v>46071.500721145829</v>
      </c>
      <c r="B6133" s="49" t="s">
        <v>10556</v>
      </c>
    </row>
    <row r="6134" spans="1:2">
      <c r="A6134" s="66">
        <v>46071.500724270838</v>
      </c>
      <c r="B6134" s="49" t="s">
        <v>10557</v>
      </c>
    </row>
    <row r="6135" spans="1:2">
      <c r="A6135" s="66">
        <v>46071.500727094906</v>
      </c>
      <c r="B6135" s="49" t="s">
        <v>10546</v>
      </c>
    </row>
    <row r="6136" spans="1:2">
      <c r="A6136" s="66">
        <v>46071.500729918982</v>
      </c>
      <c r="B6136" s="49" t="s">
        <v>10466</v>
      </c>
    </row>
    <row r="6137" spans="1:2">
      <c r="A6137" s="66">
        <v>46071.500733055553</v>
      </c>
      <c r="B6137" s="49" t="s">
        <v>10561</v>
      </c>
    </row>
    <row r="6138" spans="1:2">
      <c r="A6138" s="66">
        <v>46071.500736319445</v>
      </c>
      <c r="B6138" s="49" t="s">
        <v>10562</v>
      </c>
    </row>
    <row r="6139" spans="1:2">
      <c r="A6139" s="66">
        <v>46071.500750127314</v>
      </c>
      <c r="B6139" s="49" t="s">
        <v>10563</v>
      </c>
    </row>
    <row r="6140" spans="1:2">
      <c r="A6140" s="66">
        <v>46071.500773182866</v>
      </c>
      <c r="B6140" s="49" t="s">
        <v>10541</v>
      </c>
    </row>
    <row r="6141" spans="1:2">
      <c r="A6141" s="66">
        <v>46071.50077619213</v>
      </c>
      <c r="B6141" s="49" t="s">
        <v>10542</v>
      </c>
    </row>
    <row r="6142" spans="1:2">
      <c r="A6142" s="66">
        <v>46071.500778831018</v>
      </c>
      <c r="B6142" s="49" t="s">
        <v>10543</v>
      </c>
    </row>
    <row r="6143" spans="1:2">
      <c r="A6143" s="66">
        <v>46071.500782106479</v>
      </c>
      <c r="B6143" s="49" t="s">
        <v>9394</v>
      </c>
    </row>
    <row r="6144" spans="1:2">
      <c r="A6144" s="66">
        <v>46071.501841076388</v>
      </c>
      <c r="B6144" s="49" t="s">
        <v>10556</v>
      </c>
    </row>
    <row r="6145" spans="1:2">
      <c r="A6145" s="66">
        <v>46071.501843738428</v>
      </c>
      <c r="B6145" s="49" t="s">
        <v>10557</v>
      </c>
    </row>
    <row r="6146" spans="1:2">
      <c r="A6146" s="66">
        <v>46071.501846180559</v>
      </c>
      <c r="B6146" s="49" t="s">
        <v>10546</v>
      </c>
    </row>
    <row r="6147" spans="1:2">
      <c r="A6147" s="66">
        <v>46071.501848622684</v>
      </c>
      <c r="B6147" s="49" t="s">
        <v>10466</v>
      </c>
    </row>
    <row r="6148" spans="1:2">
      <c r="A6148" s="66">
        <v>46071.501851076391</v>
      </c>
      <c r="B6148" s="49" t="s">
        <v>10561</v>
      </c>
    </row>
    <row r="6149" spans="1:2">
      <c r="A6149" s="66">
        <v>46071.501853518523</v>
      </c>
      <c r="B6149" s="49" t="s">
        <v>10562</v>
      </c>
    </row>
    <row r="6150" spans="1:2">
      <c r="A6150" s="66">
        <v>46071.501857349533</v>
      </c>
      <c r="B6150" s="49" t="s">
        <v>10563</v>
      </c>
    </row>
    <row r="6151" spans="1:2">
      <c r="A6151" s="66">
        <v>46071.501877349539</v>
      </c>
      <c r="B6151" s="49" t="s">
        <v>10541</v>
      </c>
    </row>
    <row r="6152" spans="1:2">
      <c r="A6152" s="66">
        <v>46071.501880347219</v>
      </c>
      <c r="B6152" s="49" t="s">
        <v>10542</v>
      </c>
    </row>
    <row r="6153" spans="1:2">
      <c r="A6153" s="66">
        <v>46071.501882974539</v>
      </c>
      <c r="B6153" s="49" t="s">
        <v>10543</v>
      </c>
    </row>
    <row r="6154" spans="1:2">
      <c r="A6154" s="66">
        <v>46071.50188546296</v>
      </c>
      <c r="B6154" s="49" t="s">
        <v>9394</v>
      </c>
    </row>
    <row r="6155" spans="1:2">
      <c r="A6155" s="66">
        <v>46071.503155763887</v>
      </c>
      <c r="B6155" s="49" t="s">
        <v>10556</v>
      </c>
    </row>
    <row r="6156" spans="1:2">
      <c r="A6156" s="66">
        <v>46071.503158587962</v>
      </c>
      <c r="B6156" s="49" t="s">
        <v>10557</v>
      </c>
    </row>
    <row r="6157" spans="1:2">
      <c r="A6157" s="66">
        <v>46071.503160972221</v>
      </c>
      <c r="B6157" s="49" t="s">
        <v>10546</v>
      </c>
    </row>
    <row r="6158" spans="1:2">
      <c r="A6158" s="66">
        <v>46071.503163344911</v>
      </c>
      <c r="B6158" s="49" t="s">
        <v>10466</v>
      </c>
    </row>
    <row r="6159" spans="1:2">
      <c r="A6159" s="66">
        <v>46071.503165717593</v>
      </c>
      <c r="B6159" s="49" t="s">
        <v>10561</v>
      </c>
    </row>
    <row r="6160" spans="1:2">
      <c r="A6160" s="66">
        <v>46071.503167997682</v>
      </c>
      <c r="B6160" s="49" t="s">
        <v>10562</v>
      </c>
    </row>
    <row r="6161" spans="1:2">
      <c r="A6161" s="66">
        <v>46071.503170243057</v>
      </c>
      <c r="B6161" s="49" t="s">
        <v>10563</v>
      </c>
    </row>
    <row r="6162" spans="1:2">
      <c r="A6162" s="66">
        <v>46071.503196076388</v>
      </c>
      <c r="B6162" s="49" t="s">
        <v>10541</v>
      </c>
    </row>
    <row r="6163" spans="1:2">
      <c r="A6163" s="66">
        <v>46071.50320162037</v>
      </c>
      <c r="B6163" s="49" t="s">
        <v>10542</v>
      </c>
    </row>
    <row r="6164" spans="1:2">
      <c r="A6164" s="66">
        <v>46071.503203900458</v>
      </c>
      <c r="B6164" s="49" t="s">
        <v>10543</v>
      </c>
    </row>
    <row r="6165" spans="1:2">
      <c r="A6165" s="66">
        <v>46071.503207106478</v>
      </c>
      <c r="B6165" s="49" t="s">
        <v>9394</v>
      </c>
    </row>
    <row r="6166" spans="1:2">
      <c r="A6166" s="66">
        <v>46071.504572361111</v>
      </c>
      <c r="B6166" s="49" t="s">
        <v>10556</v>
      </c>
    </row>
    <row r="6167" spans="1:2">
      <c r="A6167" s="66">
        <v>46071.504574224542</v>
      </c>
      <c r="B6167" s="49" t="s">
        <v>10557</v>
      </c>
    </row>
    <row r="6168" spans="1:2">
      <c r="A6168" s="66">
        <v>46071.504576122687</v>
      </c>
      <c r="B6168" s="49" t="s">
        <v>10546</v>
      </c>
    </row>
    <row r="6169" spans="1:2">
      <c r="A6169" s="66">
        <v>46071.50457798611</v>
      </c>
      <c r="B6169" s="49" t="s">
        <v>10466</v>
      </c>
    </row>
    <row r="6170" spans="1:2">
      <c r="A6170" s="66">
        <v>46071.504579826389</v>
      </c>
      <c r="B6170" s="49" t="s">
        <v>10561</v>
      </c>
    </row>
    <row r="6171" spans="1:2">
      <c r="A6171" s="66">
        <v>46071.504581805551</v>
      </c>
      <c r="B6171" s="49" t="s">
        <v>10562</v>
      </c>
    </row>
    <row r="6172" spans="1:2">
      <c r="A6172" s="66">
        <v>46071.504583726855</v>
      </c>
      <c r="B6172" s="49" t="s">
        <v>10563</v>
      </c>
    </row>
    <row r="6173" spans="1:2">
      <c r="A6173" s="66">
        <v>46071.504602604167</v>
      </c>
      <c r="B6173" s="49" t="s">
        <v>10541</v>
      </c>
    </row>
    <row r="6174" spans="1:2">
      <c r="A6174" s="66">
        <v>46071.504612824079</v>
      </c>
      <c r="B6174" s="49" t="s">
        <v>10542</v>
      </c>
    </row>
    <row r="6175" spans="1:2">
      <c r="A6175" s="66">
        <v>46071.504614652775</v>
      </c>
      <c r="B6175" s="49" t="s">
        <v>10543</v>
      </c>
    </row>
    <row r="6176" spans="1:2">
      <c r="A6176" s="66">
        <v>46071.50461664352</v>
      </c>
      <c r="B6176" s="49" t="s">
        <v>9394</v>
      </c>
    </row>
    <row r="6177" spans="1:2">
      <c r="A6177" s="66">
        <v>46071.505355833331</v>
      </c>
      <c r="B6177" s="49" t="s">
        <v>10556</v>
      </c>
    </row>
    <row r="6178" spans="1:2">
      <c r="A6178" s="66">
        <v>46071.505358807874</v>
      </c>
      <c r="B6178" s="49" t="s">
        <v>10557</v>
      </c>
    </row>
    <row r="6179" spans="1:2">
      <c r="A6179" s="66">
        <v>46071.505361782409</v>
      </c>
      <c r="B6179" s="49" t="s">
        <v>10546</v>
      </c>
    </row>
    <row r="6180" spans="1:2">
      <c r="A6180" s="66">
        <v>46071.505364351848</v>
      </c>
      <c r="B6180" s="49" t="s">
        <v>10466</v>
      </c>
    </row>
    <row r="6181" spans="1:2">
      <c r="A6181" s="66">
        <v>46071.505372233798</v>
      </c>
      <c r="B6181" s="49" t="s">
        <v>10561</v>
      </c>
    </row>
    <row r="6182" spans="1:2">
      <c r="A6182" s="66">
        <v>46071.505375937501</v>
      </c>
      <c r="B6182" s="49" t="s">
        <v>10562</v>
      </c>
    </row>
    <row r="6183" spans="1:2">
      <c r="A6183" s="66">
        <v>46071.505378483795</v>
      </c>
      <c r="B6183" s="49" t="s">
        <v>10563</v>
      </c>
    </row>
    <row r="6184" spans="1:2">
      <c r="A6184" s="66">
        <v>46071.505420023153</v>
      </c>
      <c r="B6184" s="49" t="s">
        <v>10541</v>
      </c>
    </row>
    <row r="6185" spans="1:2">
      <c r="A6185" s="66">
        <v>46071.505426203701</v>
      </c>
      <c r="B6185" s="49" t="s">
        <v>10542</v>
      </c>
    </row>
    <row r="6186" spans="1:2">
      <c r="A6186" s="66">
        <v>46071.505429363431</v>
      </c>
      <c r="B6186" s="49" t="s">
        <v>10543</v>
      </c>
    </row>
    <row r="6187" spans="1:2">
      <c r="A6187" s="66">
        <v>46071.505432175923</v>
      </c>
      <c r="B6187" s="49" t="s">
        <v>9394</v>
      </c>
    </row>
    <row r="6188" spans="1:2">
      <c r="A6188" s="66">
        <v>46071.506477361108</v>
      </c>
      <c r="B6188" s="49" t="s">
        <v>10556</v>
      </c>
    </row>
    <row r="6189" spans="1:2">
      <c r="A6189" s="66">
        <v>46071.50648019676</v>
      </c>
      <c r="B6189" s="49" t="s">
        <v>10557</v>
      </c>
    </row>
    <row r="6190" spans="1:2">
      <c r="A6190" s="66">
        <v>46071.506484467594</v>
      </c>
      <c r="B6190" s="49" t="s">
        <v>10546</v>
      </c>
    </row>
    <row r="6191" spans="1:2">
      <c r="A6191" s="66">
        <v>46071.506487523147</v>
      </c>
      <c r="B6191" s="49" t="s">
        <v>10466</v>
      </c>
    </row>
    <row r="6192" spans="1:2">
      <c r="A6192" s="66">
        <v>46071.50649049769</v>
      </c>
      <c r="B6192" s="49" t="s">
        <v>10561</v>
      </c>
    </row>
    <row r="6193" spans="1:2">
      <c r="A6193" s="66">
        <v>46071.506493194443</v>
      </c>
      <c r="B6193" s="49" t="s">
        <v>10562</v>
      </c>
    </row>
    <row r="6194" spans="1:2">
      <c r="A6194" s="66">
        <v>46071.506496388887</v>
      </c>
      <c r="B6194" s="49" t="s">
        <v>10563</v>
      </c>
    </row>
    <row r="6195" spans="1:2">
      <c r="A6195" s="66">
        <v>46071.506527025464</v>
      </c>
      <c r="B6195" s="49" t="s">
        <v>10541</v>
      </c>
    </row>
    <row r="6196" spans="1:2">
      <c r="A6196" s="66">
        <v>46071.506531956024</v>
      </c>
      <c r="B6196" s="49" t="s">
        <v>10542</v>
      </c>
    </row>
    <row r="6197" spans="1:2">
      <c r="A6197" s="66">
        <v>46071.506534918983</v>
      </c>
      <c r="B6197" s="49" t="s">
        <v>10543</v>
      </c>
    </row>
    <row r="6198" spans="1:2">
      <c r="A6198" s="66">
        <v>46071.506537592591</v>
      </c>
      <c r="B6198" s="49" t="s">
        <v>9394</v>
      </c>
    </row>
    <row r="6199" spans="1:2">
      <c r="A6199" s="66">
        <v>46071.507883969913</v>
      </c>
      <c r="B6199" s="49" t="s">
        <v>10556</v>
      </c>
    </row>
    <row r="6200" spans="1:2">
      <c r="A6200" s="66">
        <v>46071.507886805557</v>
      </c>
      <c r="B6200" s="49" t="s">
        <v>10557</v>
      </c>
    </row>
    <row r="6201" spans="1:2">
      <c r="A6201" s="66">
        <v>46071.507889363427</v>
      </c>
      <c r="B6201" s="49" t="s">
        <v>10546</v>
      </c>
    </row>
    <row r="6202" spans="1:2">
      <c r="A6202" s="66">
        <v>46071.507900856479</v>
      </c>
      <c r="B6202" s="49" t="s">
        <v>10466</v>
      </c>
    </row>
    <row r="6203" spans="1:2">
      <c r="A6203" s="66">
        <v>46071.507903807869</v>
      </c>
      <c r="B6203" s="49" t="s">
        <v>10561</v>
      </c>
    </row>
    <row r="6204" spans="1:2">
      <c r="A6204" s="66">
        <v>46071.507914097223</v>
      </c>
      <c r="B6204" s="49" t="s">
        <v>10562</v>
      </c>
    </row>
    <row r="6205" spans="1:2">
      <c r="A6205" s="66">
        <v>46071.507917835646</v>
      </c>
      <c r="B6205" s="49" t="s">
        <v>10563</v>
      </c>
    </row>
    <row r="6206" spans="1:2">
      <c r="A6206" s="66">
        <v>46071.507937418981</v>
      </c>
      <c r="B6206" s="49" t="s">
        <v>10541</v>
      </c>
    </row>
    <row r="6207" spans="1:2">
      <c r="A6207" s="66">
        <v>46071.507940370371</v>
      </c>
      <c r="B6207" s="49" t="s">
        <v>10542</v>
      </c>
    </row>
    <row r="6208" spans="1:2">
      <c r="A6208" s="66">
        <v>46071.507942974538</v>
      </c>
      <c r="B6208" s="49" t="s">
        <v>10543</v>
      </c>
    </row>
    <row r="6209" spans="1:2">
      <c r="A6209" s="66">
        <v>46071.507945613426</v>
      </c>
      <c r="B6209" s="49" t="s">
        <v>9394</v>
      </c>
    </row>
    <row r="6210" spans="1:2">
      <c r="A6210" s="66">
        <v>46071.508988391201</v>
      </c>
      <c r="B6210" s="49" t="s">
        <v>10556</v>
      </c>
    </row>
    <row r="6211" spans="1:2">
      <c r="A6211" s="66">
        <v>46071.508991157403</v>
      </c>
      <c r="B6211" s="49" t="s">
        <v>10557</v>
      </c>
    </row>
    <row r="6212" spans="1:2">
      <c r="A6212" s="66">
        <v>46071.508993935189</v>
      </c>
      <c r="B6212" s="49" t="s">
        <v>10546</v>
      </c>
    </row>
    <row r="6213" spans="1:2">
      <c r="A6213" s="66">
        <v>46071.508996597222</v>
      </c>
      <c r="B6213" s="49" t="s">
        <v>10466</v>
      </c>
    </row>
    <row r="6214" spans="1:2">
      <c r="A6214" s="66">
        <v>46071.508999398153</v>
      </c>
      <c r="B6214" s="49" t="s">
        <v>10561</v>
      </c>
    </row>
    <row r="6215" spans="1:2">
      <c r="A6215" s="66">
        <v>46071.509002141203</v>
      </c>
      <c r="B6215" s="49" t="s">
        <v>10562</v>
      </c>
    </row>
    <row r="6216" spans="1:2">
      <c r="A6216" s="66">
        <v>46071.509005034721</v>
      </c>
      <c r="B6216" s="49" t="s">
        <v>10563</v>
      </c>
    </row>
    <row r="6217" spans="1:2">
      <c r="A6217" s="66">
        <v>46071.509026597225</v>
      </c>
      <c r="B6217" s="49" t="s">
        <v>10541</v>
      </c>
    </row>
    <row r="6218" spans="1:2">
      <c r="A6218" s="66">
        <v>46071.509029826389</v>
      </c>
      <c r="B6218" s="49" t="s">
        <v>10542</v>
      </c>
    </row>
    <row r="6219" spans="1:2">
      <c r="A6219" s="66">
        <v>46071.50903262732</v>
      </c>
      <c r="B6219" s="49" t="s">
        <v>10543</v>
      </c>
    </row>
    <row r="6220" spans="1:2">
      <c r="A6220" s="66">
        <v>46071.509041296296</v>
      </c>
      <c r="B6220" s="49" t="s">
        <v>9394</v>
      </c>
    </row>
    <row r="6221" spans="1:2">
      <c r="A6221" s="66">
        <v>46071.509774976847</v>
      </c>
      <c r="B6221" s="49" t="s">
        <v>10556</v>
      </c>
    </row>
    <row r="6222" spans="1:2">
      <c r="A6222" s="66">
        <v>46071.509785601855</v>
      </c>
      <c r="B6222" s="49" t="s">
        <v>10557</v>
      </c>
    </row>
    <row r="6223" spans="1:2">
      <c r="A6223" s="66">
        <v>46071.509788449075</v>
      </c>
      <c r="B6223" s="49" t="s">
        <v>10546</v>
      </c>
    </row>
    <row r="6224" spans="1:2">
      <c r="A6224" s="66">
        <v>46071.509791365737</v>
      </c>
      <c r="B6224" s="49" t="s">
        <v>10466</v>
      </c>
    </row>
    <row r="6225" spans="1:2">
      <c r="A6225" s="66">
        <v>46071.509794687503</v>
      </c>
      <c r="B6225" s="49" t="s">
        <v>10561</v>
      </c>
    </row>
    <row r="6226" spans="1:2">
      <c r="A6226" s="66">
        <v>46071.509797824074</v>
      </c>
      <c r="B6226" s="49" t="s">
        <v>10562</v>
      </c>
    </row>
    <row r="6227" spans="1:2">
      <c r="A6227" s="66">
        <v>46071.509801261578</v>
      </c>
      <c r="B6227" s="49" t="s">
        <v>10563</v>
      </c>
    </row>
    <row r="6228" spans="1:2">
      <c r="A6228" s="66">
        <v>46071.509829594906</v>
      </c>
      <c r="B6228" s="49" t="s">
        <v>10541</v>
      </c>
    </row>
    <row r="6229" spans="1:2">
      <c r="A6229" s="66">
        <v>46071.509833020835</v>
      </c>
      <c r="B6229" s="49" t="s">
        <v>10542</v>
      </c>
    </row>
    <row r="6230" spans="1:2">
      <c r="A6230" s="66">
        <v>46071.509836180558</v>
      </c>
      <c r="B6230" s="49" t="s">
        <v>10543</v>
      </c>
    </row>
    <row r="6231" spans="1:2">
      <c r="A6231" s="66">
        <v>46071.509839340273</v>
      </c>
      <c r="B6231" s="49" t="s">
        <v>9394</v>
      </c>
    </row>
    <row r="6232" spans="1:2">
      <c r="A6232" s="66">
        <v>46071.511047939814</v>
      </c>
      <c r="B6232" s="49" t="s">
        <v>10556</v>
      </c>
    </row>
    <row r="6233" spans="1:2">
      <c r="A6233" s="66">
        <v>46071.511050717592</v>
      </c>
      <c r="B6233" s="49" t="s">
        <v>10557</v>
      </c>
    </row>
    <row r="6234" spans="1:2">
      <c r="A6234" s="66">
        <v>46071.511053483795</v>
      </c>
      <c r="B6234" s="49" t="s">
        <v>10546</v>
      </c>
    </row>
    <row r="6235" spans="1:2">
      <c r="A6235" s="66">
        <v>46071.511056053241</v>
      </c>
      <c r="B6235" s="49" t="s">
        <v>10466</v>
      </c>
    </row>
    <row r="6236" spans="1:2">
      <c r="A6236" s="66">
        <v>46071.511058900462</v>
      </c>
      <c r="B6236" s="49" t="s">
        <v>10561</v>
      </c>
    </row>
    <row r="6237" spans="1:2">
      <c r="A6237" s="66">
        <v>46071.51106138889</v>
      </c>
      <c r="B6237" s="49" t="s">
        <v>10562</v>
      </c>
    </row>
    <row r="6238" spans="1:2">
      <c r="A6238" s="66">
        <v>46071.511064351856</v>
      </c>
      <c r="B6238" s="49" t="s">
        <v>10563</v>
      </c>
    </row>
    <row r="6239" spans="1:2">
      <c r="A6239" s="66">
        <v>46071.511086469909</v>
      </c>
      <c r="B6239" s="49" t="s">
        <v>10541</v>
      </c>
    </row>
    <row r="6240" spans="1:2">
      <c r="A6240" s="66">
        <v>46071.511089386579</v>
      </c>
      <c r="B6240" s="49" t="s">
        <v>10542</v>
      </c>
    </row>
    <row r="6241" spans="1:2">
      <c r="A6241" s="66">
        <v>46071.51109201389</v>
      </c>
      <c r="B6241" s="49" t="s">
        <v>10543</v>
      </c>
    </row>
    <row r="6242" spans="1:2">
      <c r="A6242" s="66">
        <v>46071.511094699075</v>
      </c>
      <c r="B6242" s="49" t="s">
        <v>9394</v>
      </c>
    </row>
    <row r="6243" spans="1:2">
      <c r="A6243" s="66">
        <v>46071.512017280096</v>
      </c>
      <c r="B6243" s="49" t="s">
        <v>10556</v>
      </c>
    </row>
    <row r="6244" spans="1:2">
      <c r="A6244" s="66">
        <v>46071.51201953704</v>
      </c>
      <c r="B6244" s="49" t="s">
        <v>10557</v>
      </c>
    </row>
    <row r="6245" spans="1:2">
      <c r="A6245" s="66">
        <v>46071.512021851857</v>
      </c>
      <c r="B6245" s="49" t="s">
        <v>10546</v>
      </c>
    </row>
    <row r="6246" spans="1:2">
      <c r="A6246" s="66">
        <v>46071.512034814819</v>
      </c>
      <c r="B6246" s="49" t="s">
        <v>10466</v>
      </c>
    </row>
    <row r="6247" spans="1:2">
      <c r="A6247" s="66">
        <v>46071.51203706018</v>
      </c>
      <c r="B6247" s="49" t="s">
        <v>10561</v>
      </c>
    </row>
    <row r="6248" spans="1:2">
      <c r="A6248" s="66">
        <v>46071.512039398149</v>
      </c>
      <c r="B6248" s="49" t="s">
        <v>10562</v>
      </c>
    </row>
    <row r="6249" spans="1:2">
      <c r="A6249" s="66">
        <v>46071.512041805559</v>
      </c>
      <c r="B6249" s="49" t="s">
        <v>10563</v>
      </c>
    </row>
    <row r="6250" spans="1:2">
      <c r="A6250" s="66">
        <v>46071.512061226851</v>
      </c>
      <c r="B6250" s="49" t="s">
        <v>10541</v>
      </c>
    </row>
    <row r="6251" spans="1:2">
      <c r="A6251" s="66">
        <v>46071.512064085648</v>
      </c>
      <c r="B6251" s="49" t="s">
        <v>10542</v>
      </c>
    </row>
    <row r="6252" spans="1:2">
      <c r="A6252" s="66">
        <v>46071.5120665625</v>
      </c>
      <c r="B6252" s="49" t="s">
        <v>10543</v>
      </c>
    </row>
    <row r="6253" spans="1:2">
      <c r="A6253" s="66">
        <v>46071.512068923606</v>
      </c>
      <c r="B6253" s="49" t="s">
        <v>9394</v>
      </c>
    </row>
    <row r="6254" spans="1:2">
      <c r="A6254" s="66">
        <v>46071.513411805558</v>
      </c>
      <c r="B6254" s="49" t="s">
        <v>10556</v>
      </c>
    </row>
    <row r="6255" spans="1:2">
      <c r="A6255" s="66">
        <v>46071.513415231486</v>
      </c>
      <c r="B6255" s="49" t="s">
        <v>10557</v>
      </c>
    </row>
    <row r="6256" spans="1:2">
      <c r="A6256" s="66">
        <v>46071.513419212963</v>
      </c>
      <c r="B6256" s="49" t="s">
        <v>10546</v>
      </c>
    </row>
    <row r="6257" spans="1:2">
      <c r="A6257" s="66">
        <v>46071.513422071759</v>
      </c>
      <c r="B6257" s="49" t="s">
        <v>10466</v>
      </c>
    </row>
    <row r="6258" spans="1:2">
      <c r="A6258" s="66">
        <v>46071.513425231482</v>
      </c>
      <c r="B6258" s="49" t="s">
        <v>10561</v>
      </c>
    </row>
    <row r="6259" spans="1:2">
      <c r="A6259" s="66">
        <v>46071.513428032413</v>
      </c>
      <c r="B6259" s="49" t="s">
        <v>10562</v>
      </c>
    </row>
    <row r="6260" spans="1:2">
      <c r="A6260" s="66">
        <v>46071.513430983796</v>
      </c>
      <c r="B6260" s="49" t="s">
        <v>10563</v>
      </c>
    </row>
    <row r="6261" spans="1:2">
      <c r="A6261" s="66">
        <v>46071.513462974537</v>
      </c>
      <c r="B6261" s="49" t="s">
        <v>10541</v>
      </c>
    </row>
    <row r="6262" spans="1:2">
      <c r="A6262" s="66">
        <v>46071.513466377313</v>
      </c>
      <c r="B6262" s="49" t="s">
        <v>10542</v>
      </c>
    </row>
    <row r="6263" spans="1:2">
      <c r="A6263" s="66">
        <v>46071.513469363425</v>
      </c>
      <c r="B6263" s="49" t="s">
        <v>10543</v>
      </c>
    </row>
    <row r="6264" spans="1:2">
      <c r="A6264" s="66">
        <v>46071.513472546299</v>
      </c>
      <c r="B6264" s="49" t="s">
        <v>9394</v>
      </c>
    </row>
    <row r="6265" spans="1:2">
      <c r="A6265" s="66">
        <v>46071.514365972223</v>
      </c>
      <c r="B6265" s="49" t="s">
        <v>10556</v>
      </c>
    </row>
    <row r="6266" spans="1:2">
      <c r="A6266" s="66">
        <v>46071.514368391203</v>
      </c>
      <c r="B6266" s="49" t="s">
        <v>10557</v>
      </c>
    </row>
    <row r="6267" spans="1:2">
      <c r="A6267" s="66">
        <v>46071.514370590274</v>
      </c>
      <c r="B6267" s="49" t="s">
        <v>10546</v>
      </c>
    </row>
    <row r="6268" spans="1:2">
      <c r="A6268" s="66">
        <v>46071.514373194441</v>
      </c>
      <c r="B6268" s="49" t="s">
        <v>10466</v>
      </c>
    </row>
    <row r="6269" spans="1:2">
      <c r="A6269" s="66">
        <v>46071.514375740742</v>
      </c>
      <c r="B6269" s="49" t="s">
        <v>10561</v>
      </c>
    </row>
    <row r="6270" spans="1:2">
      <c r="A6270" s="66">
        <v>46071.514378101856</v>
      </c>
      <c r="B6270" s="49" t="s">
        <v>10562</v>
      </c>
    </row>
    <row r="6271" spans="1:2">
      <c r="A6271" s="66">
        <v>46071.514380405089</v>
      </c>
      <c r="B6271" s="49" t="s">
        <v>10563</v>
      </c>
    </row>
    <row r="6272" spans="1:2">
      <c r="A6272" s="66">
        <v>46071.514399479165</v>
      </c>
      <c r="B6272" s="49" t="s">
        <v>10541</v>
      </c>
    </row>
    <row r="6273" spans="1:2">
      <c r="A6273" s="66">
        <v>46071.514402152781</v>
      </c>
      <c r="B6273" s="49" t="s">
        <v>10542</v>
      </c>
    </row>
    <row r="6274" spans="1:2">
      <c r="A6274" s="66">
        <v>46071.514410925927</v>
      </c>
      <c r="B6274" s="49" t="s">
        <v>10543</v>
      </c>
    </row>
    <row r="6275" spans="1:2">
      <c r="A6275" s="66">
        <v>46071.514413356483</v>
      </c>
      <c r="B6275" s="49" t="s">
        <v>9394</v>
      </c>
    </row>
    <row r="6276" spans="1:2">
      <c r="A6276" s="66">
        <v>46071.515566145834</v>
      </c>
      <c r="B6276" s="49" t="s">
        <v>10556</v>
      </c>
    </row>
    <row r="6277" spans="1:2">
      <c r="A6277" s="66">
        <v>46071.515568391202</v>
      </c>
      <c r="B6277" s="49" t="s">
        <v>10557</v>
      </c>
    </row>
    <row r="6278" spans="1:2">
      <c r="A6278" s="66">
        <v>46071.515570578704</v>
      </c>
      <c r="B6278" s="49" t="s">
        <v>10546</v>
      </c>
    </row>
    <row r="6279" spans="1:2">
      <c r="A6279" s="66">
        <v>46071.515572743054</v>
      </c>
      <c r="B6279" s="49" t="s">
        <v>10466</v>
      </c>
    </row>
    <row r="6280" spans="1:2">
      <c r="A6280" s="66">
        <v>46071.515574895835</v>
      </c>
      <c r="B6280" s="49" t="s">
        <v>10561</v>
      </c>
    </row>
    <row r="6281" spans="1:2">
      <c r="A6281" s="66">
        <v>46071.515577210652</v>
      </c>
      <c r="B6281" s="49" t="s">
        <v>10562</v>
      </c>
    </row>
    <row r="6282" spans="1:2">
      <c r="A6282" s="66">
        <v>46071.515579398147</v>
      </c>
      <c r="B6282" s="49" t="s">
        <v>10563</v>
      </c>
    </row>
    <row r="6283" spans="1:2">
      <c r="A6283" s="66">
        <v>46071.515598912039</v>
      </c>
      <c r="B6283" s="49" t="s">
        <v>10541</v>
      </c>
    </row>
    <row r="6284" spans="1:2">
      <c r="A6284" s="66">
        <v>46071.51560150463</v>
      </c>
      <c r="B6284" s="49" t="s">
        <v>10542</v>
      </c>
    </row>
    <row r="6285" spans="1:2">
      <c r="A6285" s="66">
        <v>46071.515604409724</v>
      </c>
      <c r="B6285" s="49" t="s">
        <v>10543</v>
      </c>
    </row>
    <row r="6286" spans="1:2">
      <c r="A6286" s="66">
        <v>46071.515606620371</v>
      </c>
      <c r="B6286" s="49" t="s">
        <v>9394</v>
      </c>
    </row>
    <row r="6287" spans="1:2">
      <c r="A6287" s="66">
        <v>46071.516774664356</v>
      </c>
      <c r="B6287" s="49" t="s">
        <v>10556</v>
      </c>
    </row>
    <row r="6288" spans="1:2">
      <c r="A6288" s="66">
        <v>46071.516776886579</v>
      </c>
      <c r="B6288" s="49" t="s">
        <v>10557</v>
      </c>
    </row>
    <row r="6289" spans="1:2">
      <c r="A6289" s="66">
        <v>46071.516779062498</v>
      </c>
      <c r="B6289" s="49" t="s">
        <v>10546</v>
      </c>
    </row>
    <row r="6290" spans="1:2">
      <c r="A6290" s="66">
        <v>46071.516781203703</v>
      </c>
      <c r="B6290" s="49" t="s">
        <v>10466</v>
      </c>
    </row>
    <row r="6291" spans="1:2">
      <c r="A6291" s="66">
        <v>46071.516788912035</v>
      </c>
      <c r="B6291" s="49" t="s">
        <v>10561</v>
      </c>
    </row>
    <row r="6292" spans="1:2">
      <c r="A6292" s="66">
        <v>46071.516791180555</v>
      </c>
      <c r="B6292" s="49" t="s">
        <v>10562</v>
      </c>
    </row>
    <row r="6293" spans="1:2">
      <c r="A6293" s="66">
        <v>46071.516793159724</v>
      </c>
      <c r="B6293" s="49" t="s">
        <v>10563</v>
      </c>
    </row>
    <row r="6294" spans="1:2">
      <c r="A6294" s="66">
        <v>46071.516817754629</v>
      </c>
      <c r="B6294" s="49" t="s">
        <v>10541</v>
      </c>
    </row>
    <row r="6295" spans="1:2">
      <c r="A6295" s="66">
        <v>46071.516832199079</v>
      </c>
      <c r="B6295" s="49" t="s">
        <v>10542</v>
      </c>
    </row>
    <row r="6296" spans="1:2">
      <c r="A6296" s="66">
        <v>46071.516834710652</v>
      </c>
      <c r="B6296" s="49" t="s">
        <v>10543</v>
      </c>
    </row>
    <row r="6297" spans="1:2">
      <c r="A6297" s="66">
        <v>46071.516837256946</v>
      </c>
      <c r="B6297" s="49" t="s">
        <v>9394</v>
      </c>
    </row>
    <row r="6298" spans="1:2">
      <c r="A6298" s="66">
        <v>46071.517970682871</v>
      </c>
      <c r="B6298" s="49" t="s">
        <v>10556</v>
      </c>
    </row>
    <row r="6299" spans="1:2">
      <c r="A6299" s="66">
        <v>46071.517973032409</v>
      </c>
      <c r="B6299" s="49" t="s">
        <v>10557</v>
      </c>
    </row>
    <row r="6300" spans="1:2">
      <c r="A6300" s="66">
        <v>46071.517975138893</v>
      </c>
      <c r="B6300" s="49" t="s">
        <v>10546</v>
      </c>
    </row>
    <row r="6301" spans="1:2">
      <c r="A6301" s="66">
        <v>46071.517977233802</v>
      </c>
      <c r="B6301" s="49" t="s">
        <v>10466</v>
      </c>
    </row>
    <row r="6302" spans="1:2">
      <c r="A6302" s="66">
        <v>46071.517989212967</v>
      </c>
      <c r="B6302" s="49" t="s">
        <v>10561</v>
      </c>
    </row>
    <row r="6303" spans="1:2">
      <c r="A6303" s="66">
        <v>46071.517995000002</v>
      </c>
      <c r="B6303" s="49" t="s">
        <v>10562</v>
      </c>
    </row>
    <row r="6304" spans="1:2">
      <c r="A6304" s="66">
        <v>46071.518005810183</v>
      </c>
      <c r="B6304" s="49" t="s">
        <v>10563</v>
      </c>
    </row>
    <row r="6305" spans="1:2">
      <c r="A6305" s="66">
        <v>46071.51804008102</v>
      </c>
      <c r="B6305" s="49" t="s">
        <v>10541</v>
      </c>
    </row>
    <row r="6306" spans="1:2">
      <c r="A6306" s="66">
        <v>46071.518042627315</v>
      </c>
      <c r="B6306" s="49" t="s">
        <v>10542</v>
      </c>
    </row>
    <row r="6307" spans="1:2">
      <c r="A6307" s="66">
        <v>46071.518044675926</v>
      </c>
      <c r="B6307" s="49" t="s">
        <v>10543</v>
      </c>
    </row>
    <row r="6308" spans="1:2">
      <c r="A6308" s="66">
        <v>46071.518046712961</v>
      </c>
      <c r="B6308" s="49" t="s">
        <v>9394</v>
      </c>
    </row>
    <row r="6309" spans="1:2">
      <c r="A6309" s="66">
        <v>46071.51876637731</v>
      </c>
      <c r="B6309" s="49" t="s">
        <v>10556</v>
      </c>
    </row>
    <row r="6310" spans="1:2">
      <c r="A6310" s="66">
        <v>46071.518779155092</v>
      </c>
      <c r="B6310" s="49" t="s">
        <v>10557</v>
      </c>
    </row>
    <row r="6311" spans="1:2">
      <c r="A6311" s="66">
        <v>46071.51878244213</v>
      </c>
      <c r="B6311" s="49" t="s">
        <v>10546</v>
      </c>
    </row>
    <row r="6312" spans="1:2">
      <c r="A6312" s="66">
        <v>46071.518787430556</v>
      </c>
      <c r="B6312" s="49" t="s">
        <v>10466</v>
      </c>
    </row>
    <row r="6313" spans="1:2">
      <c r="A6313" s="66">
        <v>46071.518790405091</v>
      </c>
      <c r="B6313" s="49" t="s">
        <v>10561</v>
      </c>
    </row>
    <row r="6314" spans="1:2">
      <c r="A6314" s="66">
        <v>46071.518793437499</v>
      </c>
      <c r="B6314" s="49" t="s">
        <v>10562</v>
      </c>
    </row>
    <row r="6315" spans="1:2">
      <c r="A6315" s="66">
        <v>46071.518796400458</v>
      </c>
      <c r="B6315" s="49" t="s">
        <v>10563</v>
      </c>
    </row>
    <row r="6316" spans="1:2">
      <c r="A6316" s="66">
        <v>46071.518833935188</v>
      </c>
      <c r="B6316" s="49" t="s">
        <v>10541</v>
      </c>
    </row>
    <row r="6317" spans="1:2">
      <c r="A6317" s="66">
        <v>46071.518842349542</v>
      </c>
      <c r="B6317" s="49" t="s">
        <v>10542</v>
      </c>
    </row>
    <row r="6318" spans="1:2">
      <c r="A6318" s="66">
        <v>46071.518845289349</v>
      </c>
      <c r="B6318" s="49" t="s">
        <v>10543</v>
      </c>
    </row>
    <row r="6319" spans="1:2">
      <c r="A6319" s="66">
        <v>46071.518860509255</v>
      </c>
      <c r="B6319" s="49" t="s">
        <v>9394</v>
      </c>
    </row>
    <row r="6320" spans="1:2">
      <c r="A6320" s="66">
        <v>46071.519811909719</v>
      </c>
      <c r="B6320" s="49" t="s">
        <v>10556</v>
      </c>
    </row>
    <row r="6321" spans="1:2">
      <c r="A6321" s="66">
        <v>46071.519814571759</v>
      </c>
      <c r="B6321" s="49" t="s">
        <v>10557</v>
      </c>
    </row>
    <row r="6322" spans="1:2">
      <c r="A6322" s="66">
        <v>46071.519816631946</v>
      </c>
      <c r="B6322" s="49" t="s">
        <v>10546</v>
      </c>
    </row>
    <row r="6323" spans="1:2">
      <c r="A6323" s="66">
        <v>46071.519818680557</v>
      </c>
      <c r="B6323" s="49" t="s">
        <v>10466</v>
      </c>
    </row>
    <row r="6324" spans="1:2">
      <c r="A6324" s="66">
        <v>46071.519820659727</v>
      </c>
      <c r="B6324" s="49" t="s">
        <v>10561</v>
      </c>
    </row>
    <row r="6325" spans="1:2">
      <c r="A6325" s="66">
        <v>46071.519822604168</v>
      </c>
      <c r="B6325" s="49" t="s">
        <v>10562</v>
      </c>
    </row>
    <row r="6326" spans="1:2">
      <c r="A6326" s="66">
        <v>46071.519824594907</v>
      </c>
      <c r="B6326" s="49" t="s">
        <v>10563</v>
      </c>
    </row>
    <row r="6327" spans="1:2">
      <c r="A6327" s="66">
        <v>46071.519846319439</v>
      </c>
      <c r="B6327" s="49" t="s">
        <v>10541</v>
      </c>
    </row>
    <row r="6328" spans="1:2">
      <c r="A6328" s="66">
        <v>46071.519849097225</v>
      </c>
      <c r="B6328" s="49" t="s">
        <v>10542</v>
      </c>
    </row>
    <row r="6329" spans="1:2">
      <c r="A6329" s="66">
        <v>46071.519851192134</v>
      </c>
      <c r="B6329" s="49" t="s">
        <v>10543</v>
      </c>
    </row>
    <row r="6330" spans="1:2">
      <c r="A6330" s="66">
        <v>46071.519853275458</v>
      </c>
      <c r="B6330" s="49" t="s">
        <v>9394</v>
      </c>
    </row>
    <row r="6331" spans="1:2">
      <c r="A6331" s="66">
        <v>46071.520731979166</v>
      </c>
      <c r="B6331" s="49" t="s">
        <v>10556</v>
      </c>
    </row>
    <row r="6332" spans="1:2">
      <c r="A6332" s="66">
        <v>46071.520734120371</v>
      </c>
      <c r="B6332" s="49" t="s">
        <v>10557</v>
      </c>
    </row>
    <row r="6333" spans="1:2">
      <c r="A6333" s="66">
        <v>46071.520738437495</v>
      </c>
      <c r="B6333" s="49" t="s">
        <v>10546</v>
      </c>
    </row>
    <row r="6334" spans="1:2">
      <c r="A6334" s="66">
        <v>46071.520740497683</v>
      </c>
      <c r="B6334" s="49" t="s">
        <v>10466</v>
      </c>
    </row>
    <row r="6335" spans="1:2">
      <c r="A6335" s="66">
        <v>46071.5207428125</v>
      </c>
      <c r="B6335" s="49" t="s">
        <v>10561</v>
      </c>
    </row>
    <row r="6336" spans="1:2">
      <c r="A6336" s="66">
        <v>46071.520747013885</v>
      </c>
      <c r="B6336" s="49" t="s">
        <v>10562</v>
      </c>
    </row>
    <row r="6337" spans="1:2">
      <c r="A6337" s="66">
        <v>46071.520751180557</v>
      </c>
      <c r="B6337" s="49" t="s">
        <v>10563</v>
      </c>
    </row>
    <row r="6338" spans="1:2">
      <c r="A6338" s="66">
        <v>46071.520799479171</v>
      </c>
      <c r="B6338" s="49" t="s">
        <v>10541</v>
      </c>
    </row>
    <row r="6339" spans="1:2">
      <c r="A6339" s="66">
        <v>46071.520802337967</v>
      </c>
      <c r="B6339" s="49" t="s">
        <v>10542</v>
      </c>
    </row>
    <row r="6340" spans="1:2">
      <c r="A6340" s="66">
        <v>46071.520804328698</v>
      </c>
      <c r="B6340" s="49" t="s">
        <v>10543</v>
      </c>
    </row>
    <row r="6341" spans="1:2">
      <c r="A6341" s="66">
        <v>46071.520806354165</v>
      </c>
      <c r="B6341" s="49" t="s">
        <v>9394</v>
      </c>
    </row>
    <row r="6342" spans="1:2">
      <c r="A6342" s="66">
        <v>46071.521743252313</v>
      </c>
      <c r="B6342" s="49" t="s">
        <v>10556</v>
      </c>
    </row>
    <row r="6343" spans="1:2">
      <c r="A6343" s="66">
        <v>46071.521745405094</v>
      </c>
      <c r="B6343" s="49" t="s">
        <v>10557</v>
      </c>
    </row>
    <row r="6344" spans="1:2">
      <c r="A6344" s="66">
        <v>46071.521747638893</v>
      </c>
      <c r="B6344" s="49" t="s">
        <v>10546</v>
      </c>
    </row>
    <row r="6345" spans="1:2">
      <c r="A6345" s="66">
        <v>46071.521749814812</v>
      </c>
      <c r="B6345" s="49" t="s">
        <v>10466</v>
      </c>
    </row>
    <row r="6346" spans="1:2">
      <c r="A6346" s="66">
        <v>46071.521752025466</v>
      </c>
      <c r="B6346" s="49" t="s">
        <v>10561</v>
      </c>
    </row>
    <row r="6347" spans="1:2">
      <c r="A6347" s="66">
        <v>46071.521754120375</v>
      </c>
      <c r="B6347" s="49" t="s">
        <v>10562</v>
      </c>
    </row>
    <row r="6348" spans="1:2">
      <c r="A6348" s="66">
        <v>46071.521756412039</v>
      </c>
      <c r="B6348" s="49" t="s">
        <v>10563</v>
      </c>
    </row>
    <row r="6349" spans="1:2">
      <c r="A6349" s="66">
        <v>46071.52177550926</v>
      </c>
      <c r="B6349" s="49" t="s">
        <v>10541</v>
      </c>
    </row>
    <row r="6350" spans="1:2">
      <c r="A6350" s="66">
        <v>46071.521778240742</v>
      </c>
      <c r="B6350" s="49" t="s">
        <v>10542</v>
      </c>
    </row>
    <row r="6351" spans="1:2">
      <c r="A6351" s="66">
        <v>46071.521780486109</v>
      </c>
      <c r="B6351" s="49" t="s">
        <v>10543</v>
      </c>
    </row>
    <row r="6352" spans="1:2">
      <c r="A6352" s="66">
        <v>46071.521782708332</v>
      </c>
      <c r="B6352" s="49" t="s">
        <v>9394</v>
      </c>
    </row>
    <row r="6353" spans="1:2">
      <c r="A6353" s="66">
        <v>46071.522934988425</v>
      </c>
      <c r="B6353" s="49" t="s">
        <v>10556</v>
      </c>
    </row>
    <row r="6354" spans="1:2">
      <c r="A6354" s="66">
        <v>46071.522936712965</v>
      </c>
      <c r="B6354" s="49" t="s">
        <v>10557</v>
      </c>
    </row>
    <row r="6355" spans="1:2">
      <c r="A6355" s="66">
        <v>46071.522938449074</v>
      </c>
      <c r="B6355" s="49" t="s">
        <v>10546</v>
      </c>
    </row>
    <row r="6356" spans="1:2">
      <c r="A6356" s="66">
        <v>46071.522940208335</v>
      </c>
      <c r="B6356" s="49" t="s">
        <v>10466</v>
      </c>
    </row>
    <row r="6357" spans="1:2">
      <c r="A6357" s="66">
        <v>46071.522942060183</v>
      </c>
      <c r="B6357" s="49" t="s">
        <v>10561</v>
      </c>
    </row>
    <row r="6358" spans="1:2">
      <c r="A6358" s="66">
        <v>46071.522943819444</v>
      </c>
      <c r="B6358" s="49" t="s">
        <v>10562</v>
      </c>
    </row>
    <row r="6359" spans="1:2">
      <c r="A6359" s="66">
        <v>46071.52294574074</v>
      </c>
      <c r="B6359" s="49" t="s">
        <v>10563</v>
      </c>
    </row>
    <row r="6360" spans="1:2">
      <c r="A6360" s="66">
        <v>46071.522963020834</v>
      </c>
      <c r="B6360" s="49" t="s">
        <v>10541</v>
      </c>
    </row>
    <row r="6361" spans="1:2">
      <c r="A6361" s="66">
        <v>46071.522981331014</v>
      </c>
      <c r="B6361" s="49" t="s">
        <v>10542</v>
      </c>
    </row>
    <row r="6362" spans="1:2">
      <c r="A6362" s="66">
        <v>46071.522987199074</v>
      </c>
      <c r="B6362" s="49" t="s">
        <v>10543</v>
      </c>
    </row>
    <row r="6363" spans="1:2">
      <c r="A6363" s="66">
        <v>46071.522988877317</v>
      </c>
      <c r="B6363" s="49" t="s">
        <v>9394</v>
      </c>
    </row>
    <row r="6364" spans="1:2">
      <c r="A6364" s="66">
        <v>46071.52413701389</v>
      </c>
      <c r="B6364" s="49" t="s">
        <v>10556</v>
      </c>
    </row>
    <row r="6365" spans="1:2">
      <c r="A6365" s="66">
        <v>46071.524140555557</v>
      </c>
      <c r="B6365" s="49" t="s">
        <v>10557</v>
      </c>
    </row>
    <row r="6366" spans="1:2">
      <c r="A6366" s="66">
        <v>46071.524143055554</v>
      </c>
      <c r="B6366" s="49" t="s">
        <v>10546</v>
      </c>
    </row>
    <row r="6367" spans="1:2">
      <c r="A6367" s="66">
        <v>46071.524145543983</v>
      </c>
      <c r="B6367" s="49" t="s">
        <v>10466</v>
      </c>
    </row>
    <row r="6368" spans="1:2">
      <c r="A6368" s="66">
        <v>46071.524148217592</v>
      </c>
      <c r="B6368" s="49" t="s">
        <v>10561</v>
      </c>
    </row>
    <row r="6369" spans="1:2">
      <c r="A6369" s="66">
        <v>46071.524150613426</v>
      </c>
      <c r="B6369" s="49" t="s">
        <v>10562</v>
      </c>
    </row>
    <row r="6370" spans="1:2">
      <c r="A6370" s="66">
        <v>46071.524153182865</v>
      </c>
      <c r="B6370" s="49" t="s">
        <v>10563</v>
      </c>
    </row>
    <row r="6371" spans="1:2">
      <c r="A6371" s="66">
        <v>46071.524172835649</v>
      </c>
      <c r="B6371" s="49" t="s">
        <v>10541</v>
      </c>
    </row>
    <row r="6372" spans="1:2">
      <c r="A6372" s="66">
        <v>46071.524175682869</v>
      </c>
      <c r="B6372" s="49" t="s">
        <v>10542</v>
      </c>
    </row>
    <row r="6373" spans="1:2">
      <c r="A6373" s="66">
        <v>46071.524178171298</v>
      </c>
      <c r="B6373" s="49" t="s">
        <v>10543</v>
      </c>
    </row>
    <row r="6374" spans="1:2">
      <c r="A6374" s="66">
        <v>46071.524184120368</v>
      </c>
      <c r="B6374" s="49" t="s">
        <v>9394</v>
      </c>
    </row>
    <row r="6375" spans="1:2">
      <c r="A6375" s="66">
        <v>46071.525158761578</v>
      </c>
      <c r="B6375" s="49" t="s">
        <v>10556</v>
      </c>
    </row>
    <row r="6376" spans="1:2">
      <c r="A6376" s="66">
        <v>46071.525161354162</v>
      </c>
      <c r="B6376" s="49" t="s">
        <v>10557</v>
      </c>
    </row>
    <row r="6377" spans="1:2">
      <c r="A6377" s="66">
        <v>46071.525166747684</v>
      </c>
      <c r="B6377" s="49" t="s">
        <v>10546</v>
      </c>
    </row>
    <row r="6378" spans="1:2">
      <c r="A6378" s="66">
        <v>46071.525169375003</v>
      </c>
      <c r="B6378" s="49" t="s">
        <v>10466</v>
      </c>
    </row>
    <row r="6379" spans="1:2">
      <c r="A6379" s="66">
        <v>46071.525171898145</v>
      </c>
      <c r="B6379" s="49" t="s">
        <v>10561</v>
      </c>
    </row>
    <row r="6380" spans="1:2">
      <c r="A6380" s="66">
        <v>46071.525174571754</v>
      </c>
      <c r="B6380" s="49" t="s">
        <v>10562</v>
      </c>
    </row>
    <row r="6381" spans="1:2">
      <c r="A6381" s="66">
        <v>46071.525177175921</v>
      </c>
      <c r="B6381" s="49" t="s">
        <v>10563</v>
      </c>
    </row>
    <row r="6382" spans="1:2">
      <c r="A6382" s="66">
        <v>46071.525198946758</v>
      </c>
      <c r="B6382" s="49" t="s">
        <v>10541</v>
      </c>
    </row>
    <row r="6383" spans="1:2">
      <c r="A6383" s="66">
        <v>46071.525202465273</v>
      </c>
      <c r="B6383" s="49" t="s">
        <v>10542</v>
      </c>
    </row>
    <row r="6384" spans="1:2">
      <c r="A6384" s="66">
        <v>46071.52520506944</v>
      </c>
      <c r="B6384" s="49" t="s">
        <v>10543</v>
      </c>
    </row>
    <row r="6385" spans="1:2">
      <c r="A6385" s="66">
        <v>46071.525207951388</v>
      </c>
      <c r="B6385" s="49" t="s">
        <v>9394</v>
      </c>
    </row>
    <row r="6386" spans="1:2">
      <c r="A6386" s="66">
        <v>46071.526057048613</v>
      </c>
      <c r="B6386" s="49" t="s">
        <v>10556</v>
      </c>
    </row>
    <row r="6387" spans="1:2">
      <c r="A6387" s="66">
        <v>46071.526071319444</v>
      </c>
      <c r="B6387" s="49" t="s">
        <v>10557</v>
      </c>
    </row>
    <row r="6388" spans="1:2">
      <c r="A6388" s="66">
        <v>46071.526073831017</v>
      </c>
      <c r="B6388" s="49" t="s">
        <v>10546</v>
      </c>
    </row>
    <row r="6389" spans="1:2">
      <c r="A6389" s="66">
        <v>46071.526076331022</v>
      </c>
      <c r="B6389" s="49" t="s">
        <v>10466</v>
      </c>
    </row>
    <row r="6390" spans="1:2">
      <c r="A6390" s="66">
        <v>46071.526087210645</v>
      </c>
      <c r="B6390" s="49" t="s">
        <v>10561</v>
      </c>
    </row>
    <row r="6391" spans="1:2">
      <c r="A6391" s="66">
        <v>46071.526089594903</v>
      </c>
      <c r="B6391" s="49" t="s">
        <v>10562</v>
      </c>
    </row>
    <row r="6392" spans="1:2">
      <c r="A6392" s="66">
        <v>46071.526092152781</v>
      </c>
      <c r="B6392" s="49" t="s">
        <v>10563</v>
      </c>
    </row>
    <row r="6393" spans="1:2">
      <c r="A6393" s="66">
        <v>46071.526115000001</v>
      </c>
      <c r="B6393" s="49" t="s">
        <v>10541</v>
      </c>
    </row>
    <row r="6394" spans="1:2">
      <c r="A6394" s="66">
        <v>46071.526117905094</v>
      </c>
      <c r="B6394" s="49" t="s">
        <v>10542</v>
      </c>
    </row>
    <row r="6395" spans="1:2">
      <c r="A6395" s="66">
        <v>46071.526120613431</v>
      </c>
      <c r="B6395" s="49" t="s">
        <v>10543</v>
      </c>
    </row>
    <row r="6396" spans="1:2">
      <c r="A6396" s="66">
        <v>46071.526123414355</v>
      </c>
      <c r="B6396" s="49" t="s">
        <v>9394</v>
      </c>
    </row>
    <row r="6397" spans="1:2">
      <c r="A6397" s="66">
        <v>46071.527272511579</v>
      </c>
      <c r="B6397" s="49" t="s">
        <v>10556</v>
      </c>
    </row>
    <row r="6398" spans="1:2">
      <c r="A6398" s="66">
        <v>46071.527279108792</v>
      </c>
      <c r="B6398" s="49" t="s">
        <v>10557</v>
      </c>
    </row>
    <row r="6399" spans="1:2">
      <c r="A6399" s="66">
        <v>46071.527282465278</v>
      </c>
      <c r="B6399" s="49" t="s">
        <v>10546</v>
      </c>
    </row>
    <row r="6400" spans="1:2">
      <c r="A6400" s="66">
        <v>46071.527285706019</v>
      </c>
      <c r="B6400" s="49" t="s">
        <v>10466</v>
      </c>
    </row>
    <row r="6401" spans="1:2">
      <c r="A6401" s="66">
        <v>46071.527288634257</v>
      </c>
      <c r="B6401" s="49" t="s">
        <v>10561</v>
      </c>
    </row>
    <row r="6402" spans="1:2">
      <c r="A6402" s="66">
        <v>46071.527299317131</v>
      </c>
      <c r="B6402" s="49" t="s">
        <v>10562</v>
      </c>
    </row>
    <row r="6403" spans="1:2">
      <c r="A6403" s="66">
        <v>46071.527302175928</v>
      </c>
      <c r="B6403" s="49" t="s">
        <v>10563</v>
      </c>
    </row>
    <row r="6404" spans="1:2">
      <c r="A6404" s="66">
        <v>46071.527326875002</v>
      </c>
      <c r="B6404" s="49" t="s">
        <v>10541</v>
      </c>
    </row>
    <row r="6405" spans="1:2">
      <c r="A6405" s="66">
        <v>46071.527342025467</v>
      </c>
      <c r="B6405" s="49" t="s">
        <v>10542</v>
      </c>
    </row>
    <row r="6406" spans="1:2">
      <c r="A6406" s="66">
        <v>46071.527345104165</v>
      </c>
      <c r="B6406" s="49" t="s">
        <v>10543</v>
      </c>
    </row>
    <row r="6407" spans="1:2">
      <c r="A6407" s="66">
        <v>46071.52734828704</v>
      </c>
      <c r="B6407" s="49" t="s">
        <v>9394</v>
      </c>
    </row>
    <row r="6408" spans="1:2">
      <c r="A6408" s="66">
        <v>46071.528243773151</v>
      </c>
      <c r="B6408" s="49" t="s">
        <v>10556</v>
      </c>
    </row>
    <row r="6409" spans="1:2">
      <c r="A6409" s="66">
        <v>46071.528246354166</v>
      </c>
      <c r="B6409" s="49" t="s">
        <v>10557</v>
      </c>
    </row>
    <row r="6410" spans="1:2">
      <c r="A6410" s="66">
        <v>46071.528249085648</v>
      </c>
      <c r="B6410" s="49" t="s">
        <v>10546</v>
      </c>
    </row>
    <row r="6411" spans="1:2">
      <c r="A6411" s="66">
        <v>46071.528251493059</v>
      </c>
      <c r="B6411" s="49" t="s">
        <v>10466</v>
      </c>
    </row>
    <row r="6412" spans="1:2">
      <c r="A6412" s="66">
        <v>46071.528257118058</v>
      </c>
      <c r="B6412" s="49" t="s">
        <v>10561</v>
      </c>
    </row>
    <row r="6413" spans="1:2">
      <c r="A6413" s="66">
        <v>46071.528260162042</v>
      </c>
      <c r="B6413" s="49" t="s">
        <v>10562</v>
      </c>
    </row>
    <row r="6414" spans="1:2">
      <c r="A6414" s="66">
        <v>46071.528262974534</v>
      </c>
      <c r="B6414" s="49" t="s">
        <v>10563</v>
      </c>
    </row>
    <row r="6415" spans="1:2">
      <c r="A6415" s="66">
        <v>46071.528284791668</v>
      </c>
      <c r="B6415" s="49" t="s">
        <v>10541</v>
      </c>
    </row>
    <row r="6416" spans="1:2">
      <c r="A6416" s="66">
        <v>46071.528287951391</v>
      </c>
      <c r="B6416" s="49" t="s">
        <v>10542</v>
      </c>
    </row>
    <row r="6417" spans="1:2">
      <c r="A6417" s="66">
        <v>46071.528290509261</v>
      </c>
      <c r="B6417" s="49" t="s">
        <v>10543</v>
      </c>
    </row>
    <row r="6418" spans="1:2">
      <c r="A6418" s="66">
        <v>46071.528293148149</v>
      </c>
      <c r="B6418" s="49" t="s">
        <v>9394</v>
      </c>
    </row>
    <row r="6419" spans="1:2">
      <c r="A6419" s="66">
        <v>46071.529623831018</v>
      </c>
      <c r="B6419" s="49" t="s">
        <v>10556</v>
      </c>
    </row>
    <row r="6420" spans="1:2">
      <c r="A6420" s="66">
        <v>46071.529626250005</v>
      </c>
      <c r="B6420" s="49" t="s">
        <v>10557</v>
      </c>
    </row>
    <row r="6421" spans="1:2">
      <c r="A6421" s="66">
        <v>46071.529628553239</v>
      </c>
      <c r="B6421" s="49" t="s">
        <v>10546</v>
      </c>
    </row>
    <row r="6422" spans="1:2">
      <c r="A6422" s="66">
        <v>46071.529630821758</v>
      </c>
      <c r="B6422" s="49" t="s">
        <v>10466</v>
      </c>
    </row>
    <row r="6423" spans="1:2">
      <c r="A6423" s="66">
        <v>46071.529633090278</v>
      </c>
      <c r="B6423" s="49" t="s">
        <v>10561</v>
      </c>
    </row>
    <row r="6424" spans="1:2">
      <c r="A6424" s="66">
        <v>46071.529635358791</v>
      </c>
      <c r="B6424" s="49" t="s">
        <v>10562</v>
      </c>
    </row>
    <row r="6425" spans="1:2">
      <c r="A6425" s="66">
        <v>46071.529637974541</v>
      </c>
      <c r="B6425" s="49" t="s">
        <v>10563</v>
      </c>
    </row>
    <row r="6426" spans="1:2">
      <c r="A6426" s="66">
        <v>46071.52966424769</v>
      </c>
      <c r="B6426" s="49" t="s">
        <v>10541</v>
      </c>
    </row>
    <row r="6427" spans="1:2">
      <c r="A6427" s="66">
        <v>46071.529667222218</v>
      </c>
      <c r="B6427" s="49" t="s">
        <v>10542</v>
      </c>
    </row>
    <row r="6428" spans="1:2">
      <c r="A6428" s="66">
        <v>46071.529669444441</v>
      </c>
      <c r="B6428" s="49" t="s">
        <v>10543</v>
      </c>
    </row>
    <row r="6429" spans="1:2">
      <c r="A6429" s="66">
        <v>46071.529671712968</v>
      </c>
      <c r="B6429" s="49" t="s">
        <v>9394</v>
      </c>
    </row>
    <row r="6430" spans="1:2">
      <c r="A6430" s="66">
        <v>46071.530592233801</v>
      </c>
      <c r="B6430" s="49" t="s">
        <v>10556</v>
      </c>
    </row>
    <row r="6431" spans="1:2">
      <c r="A6431" s="66">
        <v>46071.530595358796</v>
      </c>
      <c r="B6431" s="49" t="s">
        <v>10557</v>
      </c>
    </row>
    <row r="6432" spans="1:2">
      <c r="A6432" s="66">
        <v>46071.530598530095</v>
      </c>
      <c r="B6432" s="49" t="s">
        <v>10546</v>
      </c>
    </row>
    <row r="6433" spans="1:2">
      <c r="A6433" s="66">
        <v>46071.530601805556</v>
      </c>
      <c r="B6433" s="49" t="s">
        <v>10466</v>
      </c>
    </row>
    <row r="6434" spans="1:2">
      <c r="A6434" s="66">
        <v>46071.530604699074</v>
      </c>
      <c r="B6434" s="49" t="s">
        <v>10561</v>
      </c>
    </row>
    <row r="6435" spans="1:2">
      <c r="A6435" s="66">
        <v>46071.530607777779</v>
      </c>
      <c r="B6435" s="49" t="s">
        <v>10562</v>
      </c>
    </row>
    <row r="6436" spans="1:2">
      <c r="A6436" s="66">
        <v>46071.530613680559</v>
      </c>
      <c r="B6436" s="49" t="s">
        <v>10563</v>
      </c>
    </row>
    <row r="6437" spans="1:2">
      <c r="A6437" s="66">
        <v>46071.53064118055</v>
      </c>
      <c r="B6437" s="49" t="s">
        <v>10541</v>
      </c>
    </row>
    <row r="6438" spans="1:2">
      <c r="A6438" s="66">
        <v>46071.53064467592</v>
      </c>
      <c r="B6438" s="49" t="s">
        <v>10542</v>
      </c>
    </row>
    <row r="6439" spans="1:2">
      <c r="A6439" s="66">
        <v>46071.530647708336</v>
      </c>
      <c r="B6439" s="49" t="s">
        <v>10543</v>
      </c>
    </row>
    <row r="6440" spans="1:2">
      <c r="A6440" s="66">
        <v>46071.530650486107</v>
      </c>
      <c r="B6440" s="49" t="s">
        <v>9394</v>
      </c>
    </row>
    <row r="6441" spans="1:2">
      <c r="A6441" s="66">
        <v>46071.531877824076</v>
      </c>
      <c r="B6441" s="49" t="s">
        <v>10556</v>
      </c>
    </row>
    <row r="6442" spans="1:2">
      <c r="A6442" s="66">
        <v>46071.531880243056</v>
      </c>
      <c r="B6442" s="49" t="s">
        <v>10557</v>
      </c>
    </row>
    <row r="6443" spans="1:2">
      <c r="A6443" s="66">
        <v>46071.531882870375</v>
      </c>
      <c r="B6443" s="49" t="s">
        <v>10546</v>
      </c>
    </row>
    <row r="6444" spans="1:2">
      <c r="A6444" s="66">
        <v>46071.53188516204</v>
      </c>
      <c r="B6444" s="49" t="s">
        <v>10466</v>
      </c>
    </row>
    <row r="6445" spans="1:2">
      <c r="A6445" s="66">
        <v>46071.531887581019</v>
      </c>
      <c r="B6445" s="49" t="s">
        <v>10561</v>
      </c>
    </row>
    <row r="6446" spans="1:2">
      <c r="A6446" s="66">
        <v>46071.531890046295</v>
      </c>
      <c r="B6446" s="49" t="s">
        <v>10562</v>
      </c>
    </row>
    <row r="6447" spans="1:2">
      <c r="A6447" s="66">
        <v>46071.531892395833</v>
      </c>
      <c r="B6447" s="49" t="s">
        <v>10563</v>
      </c>
    </row>
    <row r="6448" spans="1:2">
      <c r="A6448" s="66">
        <v>46071.531920844907</v>
      </c>
      <c r="B6448" s="49" t="s">
        <v>10541</v>
      </c>
    </row>
    <row r="6449" spans="1:2">
      <c r="A6449" s="66">
        <v>46071.531934131941</v>
      </c>
      <c r="B6449" s="49" t="s">
        <v>10542</v>
      </c>
    </row>
    <row r="6450" spans="1:2">
      <c r="A6450" s="66">
        <v>46071.531936446758</v>
      </c>
      <c r="B6450" s="49" t="s">
        <v>10543</v>
      </c>
    </row>
    <row r="6451" spans="1:2">
      <c r="A6451" s="66">
        <v>46071.531939201392</v>
      </c>
      <c r="B6451" s="49" t="s">
        <v>9394</v>
      </c>
    </row>
    <row r="6452" spans="1:2">
      <c r="A6452" s="66">
        <v>46071.532923495368</v>
      </c>
      <c r="B6452" s="49" t="s">
        <v>10556</v>
      </c>
    </row>
    <row r="6453" spans="1:2">
      <c r="A6453" s="66">
        <v>46071.532928715278</v>
      </c>
      <c r="B6453" s="49" t="s">
        <v>10557</v>
      </c>
    </row>
    <row r="6454" spans="1:2">
      <c r="A6454" s="66">
        <v>46071.532931516209</v>
      </c>
      <c r="B6454" s="49" t="s">
        <v>10546</v>
      </c>
    </row>
    <row r="6455" spans="1:2">
      <c r="A6455" s="66">
        <v>46071.532934247683</v>
      </c>
      <c r="B6455" s="49" t="s">
        <v>10466</v>
      </c>
    </row>
    <row r="6456" spans="1:2">
      <c r="A6456" s="66">
        <v>46071.532936932868</v>
      </c>
      <c r="B6456" s="49" t="s">
        <v>10561</v>
      </c>
    </row>
    <row r="6457" spans="1:2">
      <c r="A6457" s="66">
        <v>46071.532939606477</v>
      </c>
      <c r="B6457" s="49" t="s">
        <v>10562</v>
      </c>
    </row>
    <row r="6458" spans="1:2">
      <c r="A6458" s="66">
        <v>46071.532942245365</v>
      </c>
      <c r="B6458" s="49" t="s">
        <v>10563</v>
      </c>
    </row>
    <row r="6459" spans="1:2">
      <c r="A6459" s="66">
        <v>46071.532965069448</v>
      </c>
      <c r="B6459" s="49" t="s">
        <v>10541</v>
      </c>
    </row>
    <row r="6460" spans="1:2">
      <c r="A6460" s="66">
        <v>46071.532968194442</v>
      </c>
      <c r="B6460" s="49" t="s">
        <v>10542</v>
      </c>
    </row>
    <row r="6461" spans="1:2">
      <c r="A6461" s="66">
        <v>46071.532979317126</v>
      </c>
      <c r="B6461" s="49" t="s">
        <v>10543</v>
      </c>
    </row>
    <row r="6462" spans="1:2">
      <c r="A6462" s="66">
        <v>46071.53298207176</v>
      </c>
      <c r="B6462" s="49" t="s">
        <v>9394</v>
      </c>
    </row>
    <row r="6463" spans="1:2">
      <c r="A6463" s="66">
        <v>46071.534105925923</v>
      </c>
      <c r="B6463" s="49" t="s">
        <v>10556</v>
      </c>
    </row>
    <row r="6464" spans="1:2">
      <c r="A6464" s="66">
        <v>46071.53410819445</v>
      </c>
      <c r="B6464" s="49" t="s">
        <v>10557</v>
      </c>
    </row>
    <row r="6465" spans="1:2">
      <c r="A6465" s="66">
        <v>46071.534110590277</v>
      </c>
      <c r="B6465" s="49" t="s">
        <v>10546</v>
      </c>
    </row>
    <row r="6466" spans="1:2">
      <c r="A6466" s="66">
        <v>46071.534112893518</v>
      </c>
      <c r="B6466" s="49" t="s">
        <v>10466</v>
      </c>
    </row>
    <row r="6467" spans="1:2">
      <c r="A6467" s="66">
        <v>46071.534115381946</v>
      </c>
      <c r="B6467" s="49" t="s">
        <v>10561</v>
      </c>
    </row>
    <row r="6468" spans="1:2">
      <c r="A6468" s="66">
        <v>46071.534117523144</v>
      </c>
      <c r="B6468" s="49" t="s">
        <v>10562</v>
      </c>
    </row>
    <row r="6469" spans="1:2">
      <c r="A6469" s="66">
        <v>46071.534119918986</v>
      </c>
      <c r="B6469" s="49" t="s">
        <v>10563</v>
      </c>
    </row>
    <row r="6470" spans="1:2">
      <c r="A6470" s="66">
        <v>46071.534139733798</v>
      </c>
      <c r="B6470" s="49" t="s">
        <v>10541</v>
      </c>
    </row>
    <row r="6471" spans="1:2">
      <c r="A6471" s="66">
        <v>46071.53414236111</v>
      </c>
      <c r="B6471" s="49" t="s">
        <v>10542</v>
      </c>
    </row>
    <row r="6472" spans="1:2">
      <c r="A6472" s="66">
        <v>46071.534144710648</v>
      </c>
      <c r="B6472" s="49" t="s">
        <v>10543</v>
      </c>
    </row>
    <row r="6473" spans="1:2">
      <c r="A6473" s="66">
        <v>46071.534146956023</v>
      </c>
      <c r="B6473" s="49" t="s">
        <v>9394</v>
      </c>
    </row>
    <row r="6474" spans="1:2">
      <c r="A6474" s="66">
        <v>46071.535464259257</v>
      </c>
      <c r="B6474" s="49" t="s">
        <v>10556</v>
      </c>
    </row>
    <row r="6475" spans="1:2">
      <c r="A6475" s="66">
        <v>46071.535479027778</v>
      </c>
      <c r="B6475" s="49" t="s">
        <v>10557</v>
      </c>
    </row>
    <row r="6476" spans="1:2">
      <c r="A6476" s="66">
        <v>46071.535481342595</v>
      </c>
      <c r="B6476" s="49" t="s">
        <v>10546</v>
      </c>
    </row>
    <row r="6477" spans="1:2">
      <c r="A6477" s="66">
        <v>46071.535483541666</v>
      </c>
      <c r="B6477" s="49" t="s">
        <v>10466</v>
      </c>
    </row>
    <row r="6478" spans="1:2">
      <c r="A6478" s="66">
        <v>46071.535485740736</v>
      </c>
      <c r="B6478" s="49" t="s">
        <v>10561</v>
      </c>
    </row>
    <row r="6479" spans="1:2">
      <c r="A6479" s="66">
        <v>46071.535488032408</v>
      </c>
      <c r="B6479" s="49" t="s">
        <v>10562</v>
      </c>
    </row>
    <row r="6480" spans="1:2">
      <c r="A6480" s="66">
        <v>46071.535490231487</v>
      </c>
      <c r="B6480" s="49" t="s">
        <v>10563</v>
      </c>
    </row>
    <row r="6481" spans="1:2">
      <c r="A6481" s="66">
        <v>46071.535512118055</v>
      </c>
      <c r="B6481" s="49" t="s">
        <v>10541</v>
      </c>
    </row>
    <row r="6482" spans="1:2">
      <c r="A6482" s="66">
        <v>46071.535515254625</v>
      </c>
      <c r="B6482" s="49" t="s">
        <v>10542</v>
      </c>
    </row>
    <row r="6483" spans="1:2">
      <c r="A6483" s="66">
        <v>46071.535517546297</v>
      </c>
      <c r="B6483" s="49" t="s">
        <v>10543</v>
      </c>
    </row>
    <row r="6484" spans="1:2">
      <c r="A6484" s="66">
        <v>46071.53552085648</v>
      </c>
      <c r="B6484" s="49" t="s">
        <v>9394</v>
      </c>
    </row>
    <row r="6485" spans="1:2">
      <c r="A6485" s="66">
        <v>46071.536801817128</v>
      </c>
      <c r="B6485" s="49" t="s">
        <v>10556</v>
      </c>
    </row>
    <row r="6486" spans="1:2">
      <c r="A6486" s="66">
        <v>46071.536804363423</v>
      </c>
      <c r="B6486" s="49" t="s">
        <v>10557</v>
      </c>
    </row>
    <row r="6487" spans="1:2">
      <c r="A6487" s="66">
        <v>46071.536806944445</v>
      </c>
      <c r="B6487" s="49" t="s">
        <v>10546</v>
      </c>
    </row>
    <row r="6488" spans="1:2">
      <c r="A6488" s="66">
        <v>46071.536809386569</v>
      </c>
      <c r="B6488" s="49" t="s">
        <v>10466</v>
      </c>
    </row>
    <row r="6489" spans="1:2">
      <c r="A6489" s="66">
        <v>46071.536812094906</v>
      </c>
      <c r="B6489" s="49" t="s">
        <v>10561</v>
      </c>
    </row>
    <row r="6490" spans="1:2">
      <c r="A6490" s="66">
        <v>46071.536814699073</v>
      </c>
      <c r="B6490" s="49" t="s">
        <v>10562</v>
      </c>
    </row>
    <row r="6491" spans="1:2">
      <c r="A6491" s="66">
        <v>46071.536817210646</v>
      </c>
      <c r="B6491" s="49" t="s">
        <v>10563</v>
      </c>
    </row>
    <row r="6492" spans="1:2">
      <c r="A6492" s="66">
        <v>46071.536836678242</v>
      </c>
      <c r="B6492" s="49" t="s">
        <v>10541</v>
      </c>
    </row>
    <row r="6493" spans="1:2">
      <c r="A6493" s="66">
        <v>46071.536839780092</v>
      </c>
      <c r="B6493" s="49" t="s">
        <v>10542</v>
      </c>
    </row>
    <row r="6494" spans="1:2">
      <c r="A6494" s="66">
        <v>46071.536842268513</v>
      </c>
      <c r="B6494" s="49" t="s">
        <v>10543</v>
      </c>
    </row>
    <row r="6495" spans="1:2">
      <c r="A6495" s="66">
        <v>46071.536844768518</v>
      </c>
      <c r="B6495" s="49" t="s">
        <v>9394</v>
      </c>
    </row>
    <row r="6496" spans="1:2">
      <c r="A6496" s="66">
        <v>46071.537592638888</v>
      </c>
      <c r="B6496" s="49" t="s">
        <v>10556</v>
      </c>
    </row>
    <row r="6497" spans="1:2">
      <c r="A6497" s="66">
        <v>46071.537596076392</v>
      </c>
      <c r="B6497" s="49" t="s">
        <v>10557</v>
      </c>
    </row>
    <row r="6498" spans="1:2">
      <c r="A6498" s="66">
        <v>46071.53759886574</v>
      </c>
      <c r="B6498" s="49" t="s">
        <v>10546</v>
      </c>
    </row>
    <row r="6499" spans="1:2">
      <c r="A6499" s="66">
        <v>46071.537601666671</v>
      </c>
      <c r="B6499" s="49" t="s">
        <v>10466</v>
      </c>
    </row>
    <row r="6500" spans="1:2">
      <c r="A6500" s="66">
        <v>46071.537610300926</v>
      </c>
      <c r="B6500" s="49" t="s">
        <v>10561</v>
      </c>
    </row>
    <row r="6501" spans="1:2">
      <c r="A6501" s="66">
        <v>46071.537613495369</v>
      </c>
      <c r="B6501" s="49" t="s">
        <v>10562</v>
      </c>
    </row>
    <row r="6502" spans="1:2">
      <c r="A6502" s="66">
        <v>46071.537623622688</v>
      </c>
      <c r="B6502" s="49" t="s">
        <v>10563</v>
      </c>
    </row>
    <row r="6503" spans="1:2">
      <c r="A6503" s="66">
        <v>46071.537646423611</v>
      </c>
      <c r="B6503" s="49" t="s">
        <v>10541</v>
      </c>
    </row>
    <row r="6504" spans="1:2">
      <c r="A6504" s="66">
        <v>46071.537649328704</v>
      </c>
      <c r="B6504" s="49" t="s">
        <v>10542</v>
      </c>
    </row>
    <row r="6505" spans="1:2">
      <c r="A6505" s="66">
        <v>46071.537652488427</v>
      </c>
      <c r="B6505" s="49" t="s">
        <v>10543</v>
      </c>
    </row>
    <row r="6506" spans="1:2">
      <c r="A6506" s="66">
        <v>46071.537655706023</v>
      </c>
      <c r="B6506" s="49" t="s">
        <v>9394</v>
      </c>
    </row>
    <row r="6507" spans="1:2">
      <c r="A6507" s="66">
        <v>46071.538752581022</v>
      </c>
      <c r="B6507" s="49" t="s">
        <v>10556</v>
      </c>
    </row>
    <row r="6508" spans="1:2">
      <c r="A6508" s="66">
        <v>46071.538755729169</v>
      </c>
      <c r="B6508" s="49" t="s">
        <v>10557</v>
      </c>
    </row>
    <row r="6509" spans="1:2">
      <c r="A6509" s="66">
        <v>46071.538758564813</v>
      </c>
      <c r="B6509" s="49" t="s">
        <v>10546</v>
      </c>
    </row>
    <row r="6510" spans="1:2">
      <c r="A6510" s="66">
        <v>46071.538761180556</v>
      </c>
      <c r="B6510" s="49" t="s">
        <v>10466</v>
      </c>
    </row>
    <row r="6511" spans="1:2">
      <c r="A6511" s="66">
        <v>46071.538769571758</v>
      </c>
      <c r="B6511" s="49" t="s">
        <v>10561</v>
      </c>
    </row>
    <row r="6512" spans="1:2">
      <c r="A6512" s="66">
        <v>46071.538772731481</v>
      </c>
      <c r="B6512" s="49" t="s">
        <v>10562</v>
      </c>
    </row>
    <row r="6513" spans="1:2">
      <c r="A6513" s="66">
        <v>46071.538780868053</v>
      </c>
      <c r="B6513" s="49" t="s">
        <v>10563</v>
      </c>
    </row>
    <row r="6514" spans="1:2">
      <c r="A6514" s="66">
        <v>46071.538803483796</v>
      </c>
      <c r="B6514" s="49" t="s">
        <v>10541</v>
      </c>
    </row>
    <row r="6515" spans="1:2">
      <c r="A6515" s="66">
        <v>46071.538806655095</v>
      </c>
      <c r="B6515" s="49" t="s">
        <v>10542</v>
      </c>
    </row>
    <row r="6516" spans="1:2">
      <c r="A6516" s="66">
        <v>46071.538815474538</v>
      </c>
      <c r="B6516" s="49" t="s">
        <v>10543</v>
      </c>
    </row>
    <row r="6517" spans="1:2">
      <c r="A6517" s="66">
        <v>46071.538818530091</v>
      </c>
      <c r="B6517" s="49" t="s">
        <v>9394</v>
      </c>
    </row>
    <row r="6518" spans="1:2">
      <c r="A6518" s="66">
        <v>46071.540023449073</v>
      </c>
      <c r="B6518" s="49" t="s">
        <v>10556</v>
      </c>
    </row>
    <row r="6519" spans="1:2">
      <c r="A6519" s="66">
        <v>46071.540027407405</v>
      </c>
      <c r="B6519" s="49" t="s">
        <v>10557</v>
      </c>
    </row>
    <row r="6520" spans="1:2">
      <c r="A6520" s="66">
        <v>46071.540029652781</v>
      </c>
      <c r="B6520" s="49" t="s">
        <v>10546</v>
      </c>
    </row>
    <row r="6521" spans="1:2">
      <c r="A6521" s="66">
        <v>46071.540031875003</v>
      </c>
      <c r="B6521" s="49" t="s">
        <v>10466</v>
      </c>
    </row>
    <row r="6522" spans="1:2">
      <c r="A6522" s="66">
        <v>46071.540034074074</v>
      </c>
      <c r="B6522" s="49" t="s">
        <v>10561</v>
      </c>
    </row>
    <row r="6523" spans="1:2">
      <c r="A6523" s="66">
        <v>46071.540036203703</v>
      </c>
      <c r="B6523" s="49" t="s">
        <v>10562</v>
      </c>
    </row>
    <row r="6524" spans="1:2">
      <c r="A6524" s="66">
        <v>46071.540038344909</v>
      </c>
      <c r="B6524" s="49" t="s">
        <v>10563</v>
      </c>
    </row>
    <row r="6525" spans="1:2">
      <c r="A6525" s="66">
        <v>46071.540065578709</v>
      </c>
      <c r="B6525" s="49" t="s">
        <v>10541</v>
      </c>
    </row>
    <row r="6526" spans="1:2">
      <c r="A6526" s="66">
        <v>46071.540068460643</v>
      </c>
      <c r="B6526" s="49" t="s">
        <v>10542</v>
      </c>
    </row>
    <row r="6527" spans="1:2">
      <c r="A6527" s="66">
        <v>46071.540070601855</v>
      </c>
      <c r="B6527" s="49" t="s">
        <v>10543</v>
      </c>
    </row>
    <row r="6528" spans="1:2">
      <c r="A6528" s="66">
        <v>46071.54007278935</v>
      </c>
      <c r="B6528" s="49" t="s">
        <v>9394</v>
      </c>
    </row>
    <row r="6529" spans="1:2">
      <c r="A6529" s="66">
        <v>46071.540941354164</v>
      </c>
      <c r="B6529" s="49" t="s">
        <v>10556</v>
      </c>
    </row>
    <row r="6530" spans="1:2">
      <c r="A6530" s="66">
        <v>46071.540944247681</v>
      </c>
      <c r="B6530" s="49" t="s">
        <v>10557</v>
      </c>
    </row>
    <row r="6531" spans="1:2">
      <c r="A6531" s="66">
        <v>46071.540947048612</v>
      </c>
      <c r="B6531" s="49" t="s">
        <v>10546</v>
      </c>
    </row>
    <row r="6532" spans="1:2">
      <c r="A6532" s="66">
        <v>46071.540949733797</v>
      </c>
      <c r="B6532" s="49" t="s">
        <v>10466</v>
      </c>
    </row>
    <row r="6533" spans="1:2">
      <c r="A6533" s="66">
        <v>46071.540954537035</v>
      </c>
      <c r="B6533" s="49" t="s">
        <v>10561</v>
      </c>
    </row>
    <row r="6534" spans="1:2">
      <c r="A6534" s="66">
        <v>46071.540957314814</v>
      </c>
      <c r="B6534" s="49" t="s">
        <v>10562</v>
      </c>
    </row>
    <row r="6535" spans="1:2">
      <c r="A6535" s="66">
        <v>46071.540959953709</v>
      </c>
      <c r="B6535" s="49" t="s">
        <v>10563</v>
      </c>
    </row>
    <row r="6536" spans="1:2">
      <c r="A6536" s="66">
        <v>46071.540981041668</v>
      </c>
      <c r="B6536" s="49" t="s">
        <v>10541</v>
      </c>
    </row>
    <row r="6537" spans="1:2">
      <c r="A6537" s="66">
        <v>46071.540984120365</v>
      </c>
      <c r="B6537" s="49" t="s">
        <v>10542</v>
      </c>
    </row>
    <row r="6538" spans="1:2">
      <c r="A6538" s="66">
        <v>46071.540988356486</v>
      </c>
      <c r="B6538" s="49" t="s">
        <v>10543</v>
      </c>
    </row>
    <row r="6539" spans="1:2">
      <c r="A6539" s="66">
        <v>46071.540992118054</v>
      </c>
      <c r="B6539" s="49" t="s">
        <v>9394</v>
      </c>
    </row>
    <row r="6540" spans="1:2">
      <c r="A6540" s="66">
        <v>46071.541788587958</v>
      </c>
      <c r="B6540" s="49" t="s">
        <v>10556</v>
      </c>
    </row>
    <row r="6541" spans="1:2">
      <c r="A6541" s="66">
        <v>46071.541790370371</v>
      </c>
      <c r="B6541" s="49" t="s">
        <v>10557</v>
      </c>
    </row>
    <row r="6542" spans="1:2">
      <c r="A6542" s="66">
        <v>46071.541792233795</v>
      </c>
      <c r="B6542" s="49" t="s">
        <v>10546</v>
      </c>
    </row>
    <row r="6543" spans="1:2">
      <c r="A6543" s="66">
        <v>46071.541794062505</v>
      </c>
      <c r="B6543" s="49" t="s">
        <v>10466</v>
      </c>
    </row>
    <row r="6544" spans="1:2">
      <c r="A6544" s="66">
        <v>46071.541799629631</v>
      </c>
      <c r="B6544" s="49" t="s">
        <v>10561</v>
      </c>
    </row>
    <row r="6545" spans="1:2">
      <c r="A6545" s="66">
        <v>46071.541801724539</v>
      </c>
      <c r="B6545" s="49" t="s">
        <v>10562</v>
      </c>
    </row>
    <row r="6546" spans="1:2">
      <c r="A6546" s="66">
        <v>46071.541803483793</v>
      </c>
      <c r="B6546" s="49" t="s">
        <v>10563</v>
      </c>
    </row>
    <row r="6547" spans="1:2">
      <c r="A6547" s="66">
        <v>46071.541823136577</v>
      </c>
      <c r="B6547" s="49" t="s">
        <v>10541</v>
      </c>
    </row>
    <row r="6548" spans="1:2">
      <c r="A6548" s="66">
        <v>46071.541825590277</v>
      </c>
      <c r="B6548" s="49" t="s">
        <v>10542</v>
      </c>
    </row>
    <row r="6549" spans="1:2">
      <c r="A6549" s="66">
        <v>46071.541827326393</v>
      </c>
      <c r="B6549" s="49" t="s">
        <v>10543</v>
      </c>
    </row>
    <row r="6550" spans="1:2">
      <c r="A6550" s="66">
        <v>46071.541829247682</v>
      </c>
      <c r="B6550" s="49" t="s">
        <v>9394</v>
      </c>
    </row>
    <row r="6551" spans="1:2">
      <c r="A6551" s="66">
        <v>46071.542828587961</v>
      </c>
      <c r="B6551" s="49" t="s">
        <v>10556</v>
      </c>
    </row>
    <row r="6552" spans="1:2">
      <c r="A6552" s="66">
        <v>46071.542831828701</v>
      </c>
      <c r="B6552" s="49" t="s">
        <v>10557</v>
      </c>
    </row>
    <row r="6553" spans="1:2">
      <c r="A6553" s="66">
        <v>46071.542834907406</v>
      </c>
      <c r="B6553" s="49" t="s">
        <v>10546</v>
      </c>
    </row>
    <row r="6554" spans="1:2">
      <c r="A6554" s="66">
        <v>46071.542837569446</v>
      </c>
      <c r="B6554" s="49" t="s">
        <v>10466</v>
      </c>
    </row>
    <row r="6555" spans="1:2">
      <c r="A6555" s="66">
        <v>46071.542840358801</v>
      </c>
      <c r="B6555" s="49" t="s">
        <v>10561</v>
      </c>
    </row>
    <row r="6556" spans="1:2">
      <c r="A6556" s="66">
        <v>46071.542843229166</v>
      </c>
      <c r="B6556" s="49" t="s">
        <v>10562</v>
      </c>
    </row>
    <row r="6557" spans="1:2">
      <c r="A6557" s="66">
        <v>46071.542846099532</v>
      </c>
      <c r="B6557" s="49" t="s">
        <v>10563</v>
      </c>
    </row>
    <row r="6558" spans="1:2">
      <c r="A6558" s="66">
        <v>46071.542870185185</v>
      </c>
      <c r="B6558" s="49" t="s">
        <v>10541</v>
      </c>
    </row>
    <row r="6559" spans="1:2">
      <c r="A6559" s="66">
        <v>46071.542873726852</v>
      </c>
      <c r="B6559" s="49" t="s">
        <v>10542</v>
      </c>
    </row>
    <row r="6560" spans="1:2">
      <c r="A6560" s="66">
        <v>46071.542877638887</v>
      </c>
      <c r="B6560" s="49" t="s">
        <v>10543</v>
      </c>
    </row>
    <row r="6561" spans="1:2">
      <c r="A6561" s="66">
        <v>46071.542880324079</v>
      </c>
      <c r="B6561" s="49" t="s">
        <v>9394</v>
      </c>
    </row>
    <row r="6562" spans="1:2">
      <c r="A6562" s="66">
        <v>46071.544199780095</v>
      </c>
      <c r="B6562" s="49" t="s">
        <v>10556</v>
      </c>
    </row>
    <row r="6563" spans="1:2">
      <c r="A6563" s="66">
        <v>46071.544203379628</v>
      </c>
      <c r="B6563" s="49" t="s">
        <v>10557</v>
      </c>
    </row>
    <row r="6564" spans="1:2">
      <c r="A6564" s="66">
        <v>46071.544205636572</v>
      </c>
      <c r="B6564" s="49" t="s">
        <v>10546</v>
      </c>
    </row>
    <row r="6565" spans="1:2">
      <c r="A6565" s="66">
        <v>46071.544208263891</v>
      </c>
      <c r="B6565" s="49" t="s">
        <v>10466</v>
      </c>
    </row>
    <row r="6566" spans="1:2">
      <c r="A6566" s="66">
        <v>46071.544210567125</v>
      </c>
      <c r="B6566" s="49" t="s">
        <v>10561</v>
      </c>
    </row>
    <row r="6567" spans="1:2">
      <c r="A6567" s="66">
        <v>46071.544214062495</v>
      </c>
      <c r="B6567" s="49" t="s">
        <v>10562</v>
      </c>
    </row>
    <row r="6568" spans="1:2">
      <c r="A6568" s="66">
        <v>46071.544216585651</v>
      </c>
      <c r="B6568" s="49" t="s">
        <v>10563</v>
      </c>
    </row>
    <row r="6569" spans="1:2">
      <c r="A6569" s="66">
        <v>46071.544244143515</v>
      </c>
      <c r="B6569" s="49" t="s">
        <v>10541</v>
      </c>
    </row>
    <row r="6570" spans="1:2">
      <c r="A6570" s="66">
        <v>46071.544247164347</v>
      </c>
      <c r="B6570" s="49" t="s">
        <v>10542</v>
      </c>
    </row>
    <row r="6571" spans="1:2">
      <c r="A6571" s="66">
        <v>46071.544249791667</v>
      </c>
      <c r="B6571" s="49" t="s">
        <v>10543</v>
      </c>
    </row>
    <row r="6572" spans="1:2">
      <c r="A6572" s="66">
        <v>46071.544262060183</v>
      </c>
      <c r="B6572" s="49" t="s">
        <v>9394</v>
      </c>
    </row>
    <row r="6573" spans="1:2">
      <c r="A6573" s="66">
        <v>46071.545098958333</v>
      </c>
      <c r="B6573" s="49" t="s">
        <v>10556</v>
      </c>
    </row>
    <row r="6574" spans="1:2">
      <c r="A6574" s="66">
        <v>46071.545101388889</v>
      </c>
      <c r="B6574" s="49" t="s">
        <v>10557</v>
      </c>
    </row>
    <row r="6575" spans="1:2">
      <c r="A6575" s="66">
        <v>46071.545103842596</v>
      </c>
      <c r="B6575" s="49" t="s">
        <v>10546</v>
      </c>
    </row>
    <row r="6576" spans="1:2">
      <c r="A6576" s="66">
        <v>46071.545106516205</v>
      </c>
      <c r="B6576" s="49" t="s">
        <v>10466</v>
      </c>
    </row>
    <row r="6577" spans="1:2">
      <c r="A6577" s="66">
        <v>46071.545109027778</v>
      </c>
      <c r="B6577" s="49" t="s">
        <v>10561</v>
      </c>
    </row>
    <row r="6578" spans="1:2">
      <c r="A6578" s="66">
        <v>46071.545111354164</v>
      </c>
      <c r="B6578" s="49" t="s">
        <v>10562</v>
      </c>
    </row>
    <row r="6579" spans="1:2">
      <c r="A6579" s="66">
        <v>46071.545113530097</v>
      </c>
      <c r="B6579" s="49" t="s">
        <v>10563</v>
      </c>
    </row>
    <row r="6580" spans="1:2">
      <c r="A6580" s="66">
        <v>46071.545134976855</v>
      </c>
      <c r="B6580" s="49" t="s">
        <v>10541</v>
      </c>
    </row>
    <row r="6581" spans="1:2">
      <c r="A6581" s="66">
        <v>46071.545137627312</v>
      </c>
      <c r="B6581" s="49" t="s">
        <v>10542</v>
      </c>
    </row>
    <row r="6582" spans="1:2">
      <c r="A6582" s="66">
        <v>46071.545139965281</v>
      </c>
      <c r="B6582" s="49" t="s">
        <v>10543</v>
      </c>
    </row>
    <row r="6583" spans="1:2">
      <c r="A6583" s="66">
        <v>46071.54514224537</v>
      </c>
      <c r="B6583" s="49" t="s">
        <v>9394</v>
      </c>
    </row>
    <row r="6584" spans="1:2">
      <c r="A6584" s="66">
        <v>46071.546128379632</v>
      </c>
      <c r="B6584" s="49" t="s">
        <v>10556</v>
      </c>
    </row>
    <row r="6585" spans="1:2">
      <c r="A6585" s="66">
        <v>46071.546130601855</v>
      </c>
      <c r="B6585" s="49" t="s">
        <v>10557</v>
      </c>
    </row>
    <row r="6586" spans="1:2">
      <c r="A6586" s="66">
        <v>46071.546132928241</v>
      </c>
      <c r="B6586" s="49" t="s">
        <v>10546</v>
      </c>
    </row>
    <row r="6587" spans="1:2">
      <c r="A6587" s="66">
        <v>46071.546136493052</v>
      </c>
      <c r="B6587" s="49" t="s">
        <v>10466</v>
      </c>
    </row>
    <row r="6588" spans="1:2">
      <c r="A6588" s="66">
        <v>46071.546139108796</v>
      </c>
      <c r="B6588" s="49" t="s">
        <v>10561</v>
      </c>
    </row>
    <row r="6589" spans="1:2">
      <c r="A6589" s="66">
        <v>46071.546141423612</v>
      </c>
      <c r="B6589" s="49" t="s">
        <v>10562</v>
      </c>
    </row>
    <row r="6590" spans="1:2">
      <c r="A6590" s="66">
        <v>46071.546143750005</v>
      </c>
      <c r="B6590" s="49" t="s">
        <v>10563</v>
      </c>
    </row>
    <row r="6591" spans="1:2">
      <c r="A6591" s="66">
        <v>46071.546164016203</v>
      </c>
      <c r="B6591" s="49" t="s">
        <v>10541</v>
      </c>
    </row>
    <row r="6592" spans="1:2">
      <c r="A6592" s="66">
        <v>46071.546171643524</v>
      </c>
      <c r="B6592" s="49" t="s">
        <v>10542</v>
      </c>
    </row>
    <row r="6593" spans="1:2">
      <c r="A6593" s="66">
        <v>46071.546175393523</v>
      </c>
      <c r="B6593" s="49" t="s">
        <v>10543</v>
      </c>
    </row>
    <row r="6594" spans="1:2">
      <c r="A6594" s="66">
        <v>46071.546184085644</v>
      </c>
      <c r="B6594" s="49" t="s">
        <v>9394</v>
      </c>
    </row>
    <row r="6595" spans="1:2">
      <c r="A6595" s="66">
        <v>46071.547273680553</v>
      </c>
      <c r="B6595" s="49" t="s">
        <v>10556</v>
      </c>
    </row>
    <row r="6596" spans="1:2">
      <c r="A6596" s="66">
        <v>46071.547276122685</v>
      </c>
      <c r="B6596" s="49" t="s">
        <v>10557</v>
      </c>
    </row>
    <row r="6597" spans="1:2">
      <c r="A6597" s="66">
        <v>46071.547278460646</v>
      </c>
      <c r="B6597" s="49" t="s">
        <v>10546</v>
      </c>
    </row>
    <row r="6598" spans="1:2">
      <c r="A6598" s="66">
        <v>46071.547280844912</v>
      </c>
      <c r="B6598" s="49" t="s">
        <v>10466</v>
      </c>
    </row>
    <row r="6599" spans="1:2">
      <c r="A6599" s="66">
        <v>46071.547283576394</v>
      </c>
      <c r="B6599" s="49" t="s">
        <v>10561</v>
      </c>
    </row>
    <row r="6600" spans="1:2">
      <c r="A6600" s="66">
        <v>46071.547286111112</v>
      </c>
      <c r="B6600" s="49" t="s">
        <v>10562</v>
      </c>
    </row>
    <row r="6601" spans="1:2">
      <c r="A6601" s="66">
        <v>46071.547288414353</v>
      </c>
      <c r="B6601" s="49" t="s">
        <v>10563</v>
      </c>
    </row>
    <row r="6602" spans="1:2">
      <c r="A6602" s="66">
        <v>46071.547318842597</v>
      </c>
      <c r="B6602" s="49" t="s">
        <v>10541</v>
      </c>
    </row>
    <row r="6603" spans="1:2">
      <c r="A6603" s="66">
        <v>46071.54732179398</v>
      </c>
      <c r="B6603" s="49" t="s">
        <v>10542</v>
      </c>
    </row>
    <row r="6604" spans="1:2">
      <c r="A6604" s="66">
        <v>46071.547324363426</v>
      </c>
      <c r="B6604" s="49" t="s">
        <v>10543</v>
      </c>
    </row>
    <row r="6605" spans="1:2">
      <c r="A6605" s="66">
        <v>46071.547326701388</v>
      </c>
      <c r="B6605" s="49" t="s">
        <v>9394</v>
      </c>
    </row>
    <row r="6606" spans="1:2">
      <c r="A6606" s="66">
        <v>46071.548211597226</v>
      </c>
      <c r="B6606" s="49" t="s">
        <v>10556</v>
      </c>
    </row>
    <row r="6607" spans="1:2">
      <c r="A6607" s="66">
        <v>46071.548214328708</v>
      </c>
      <c r="B6607" s="49" t="s">
        <v>10557</v>
      </c>
    </row>
    <row r="6608" spans="1:2">
      <c r="A6608" s="66">
        <v>46071.548216828705</v>
      </c>
      <c r="B6608" s="49" t="s">
        <v>10546</v>
      </c>
    </row>
    <row r="6609" spans="1:2">
      <c r="A6609" s="66">
        <v>46071.54821956018</v>
      </c>
      <c r="B6609" s="49" t="s">
        <v>10466</v>
      </c>
    </row>
    <row r="6610" spans="1:2">
      <c r="A6610" s="66">
        <v>46071.548225208331</v>
      </c>
      <c r="B6610" s="49" t="s">
        <v>10561</v>
      </c>
    </row>
    <row r="6611" spans="1:2">
      <c r="A6611" s="66">
        <v>46071.548227812498</v>
      </c>
      <c r="B6611" s="49" t="s">
        <v>10562</v>
      </c>
    </row>
    <row r="6612" spans="1:2">
      <c r="A6612" s="66">
        <v>46071.548230405097</v>
      </c>
      <c r="B6612" s="49" t="s">
        <v>10563</v>
      </c>
    </row>
    <row r="6613" spans="1:2">
      <c r="A6613" s="66">
        <v>46071.54825206018</v>
      </c>
      <c r="B6613" s="49" t="s">
        <v>10541</v>
      </c>
    </row>
    <row r="6614" spans="1:2">
      <c r="A6614" s="66">
        <v>46071.548255590278</v>
      </c>
      <c r="B6614" s="49" t="s">
        <v>10542</v>
      </c>
    </row>
    <row r="6615" spans="1:2">
      <c r="A6615" s="66">
        <v>46071.548258333336</v>
      </c>
      <c r="B6615" s="49" t="s">
        <v>10543</v>
      </c>
    </row>
    <row r="6616" spans="1:2">
      <c r="A6616" s="66">
        <v>46071.548261087963</v>
      </c>
      <c r="B6616" s="49" t="s">
        <v>9394</v>
      </c>
    </row>
    <row r="6617" spans="1:2">
      <c r="A6617" s="66">
        <v>46071.549178148147</v>
      </c>
      <c r="B6617" s="49" t="s">
        <v>10556</v>
      </c>
    </row>
    <row r="6618" spans="1:2">
      <c r="A6618" s="66">
        <v>46071.54918130787</v>
      </c>
      <c r="B6618" s="49" t="s">
        <v>10557</v>
      </c>
    </row>
    <row r="6619" spans="1:2">
      <c r="A6619" s="66">
        <v>46071.549184687501</v>
      </c>
      <c r="B6619" s="49" t="s">
        <v>10546</v>
      </c>
    </row>
    <row r="6620" spans="1:2">
      <c r="A6620" s="66">
        <v>46071.549187673612</v>
      </c>
      <c r="B6620" s="49" t="s">
        <v>10466</v>
      </c>
    </row>
    <row r="6621" spans="1:2">
      <c r="A6621" s="66">
        <v>46071.549190891208</v>
      </c>
      <c r="B6621" s="49" t="s">
        <v>10561</v>
      </c>
    </row>
    <row r="6622" spans="1:2">
      <c r="A6622" s="66">
        <v>46071.549194224535</v>
      </c>
      <c r="B6622" s="49" t="s">
        <v>10562</v>
      </c>
    </row>
    <row r="6623" spans="1:2">
      <c r="A6623" s="66">
        <v>46071.549202662034</v>
      </c>
      <c r="B6623" s="49" t="s">
        <v>10563</v>
      </c>
    </row>
    <row r="6624" spans="1:2">
      <c r="A6624" s="66">
        <v>46071.549228148149</v>
      </c>
      <c r="B6624" s="49" t="s">
        <v>10541</v>
      </c>
    </row>
    <row r="6625" spans="1:2">
      <c r="A6625" s="66">
        <v>46071.549232060184</v>
      </c>
      <c r="B6625" s="49" t="s">
        <v>10542</v>
      </c>
    </row>
    <row r="6626" spans="1:2">
      <c r="A6626" s="66">
        <v>46071.549235625003</v>
      </c>
      <c r="B6626" s="49" t="s">
        <v>10543</v>
      </c>
    </row>
    <row r="6627" spans="1:2">
      <c r="A6627" s="66">
        <v>46071.549238715277</v>
      </c>
      <c r="B6627" s="49" t="s">
        <v>9394</v>
      </c>
    </row>
    <row r="6628" spans="1:2">
      <c r="A6628" s="66">
        <v>46071.550626585653</v>
      </c>
      <c r="B6628" s="49" t="s">
        <v>10556</v>
      </c>
    </row>
    <row r="6629" spans="1:2">
      <c r="A6629" s="66">
        <v>46071.550628946759</v>
      </c>
      <c r="B6629" s="49" t="s">
        <v>10557</v>
      </c>
    </row>
    <row r="6630" spans="1:2">
      <c r="A6630" s="66">
        <v>46071.550631053236</v>
      </c>
      <c r="B6630" s="49" t="s">
        <v>10546</v>
      </c>
    </row>
    <row r="6631" spans="1:2">
      <c r="A6631" s="66">
        <v>46071.550633391205</v>
      </c>
      <c r="B6631" s="49" t="s">
        <v>10466</v>
      </c>
    </row>
    <row r="6632" spans="1:2">
      <c r="A6632" s="66">
        <v>46071.550635555555</v>
      </c>
      <c r="B6632" s="49" t="s">
        <v>10561</v>
      </c>
    </row>
    <row r="6633" spans="1:2">
      <c r="A6633" s="66">
        <v>46071.550638009256</v>
      </c>
      <c r="B6633" s="49" t="s">
        <v>10562</v>
      </c>
    </row>
    <row r="6634" spans="1:2">
      <c r="A6634" s="66">
        <v>46071.550640243055</v>
      </c>
      <c r="B6634" s="49" t="s">
        <v>10563</v>
      </c>
    </row>
    <row r="6635" spans="1:2">
      <c r="A6635" s="66">
        <v>46071.550660289351</v>
      </c>
      <c r="B6635" s="49" t="s">
        <v>10541</v>
      </c>
    </row>
    <row r="6636" spans="1:2">
      <c r="A6636" s="66">
        <v>46071.550663217597</v>
      </c>
      <c r="B6636" s="49" t="s">
        <v>10542</v>
      </c>
    </row>
    <row r="6637" spans="1:2">
      <c r="A6637" s="66">
        <v>46071.550665266201</v>
      </c>
      <c r="B6637" s="49" t="s">
        <v>10543</v>
      </c>
    </row>
    <row r="6638" spans="1:2">
      <c r="A6638" s="66">
        <v>46071.550667384261</v>
      </c>
      <c r="B6638" s="49" t="s">
        <v>9394</v>
      </c>
    </row>
    <row r="6639" spans="1:2">
      <c r="A6639" s="66">
        <v>46071.551918668978</v>
      </c>
      <c r="B6639" s="49" t="s">
        <v>10556</v>
      </c>
    </row>
    <row r="6640" spans="1:2">
      <c r="A6640" s="66">
        <v>46071.551921226855</v>
      </c>
      <c r="B6640" s="49" t="s">
        <v>10557</v>
      </c>
    </row>
    <row r="6641" spans="1:2">
      <c r="A6641" s="66">
        <v>46071.551923865743</v>
      </c>
      <c r="B6641" s="49" t="s">
        <v>10546</v>
      </c>
    </row>
    <row r="6642" spans="1:2">
      <c r="A6642" s="66">
        <v>46071.5519265162</v>
      </c>
      <c r="B6642" s="49" t="s">
        <v>10466</v>
      </c>
    </row>
    <row r="6643" spans="1:2">
      <c r="A6643" s="66">
        <v>46071.551929016205</v>
      </c>
      <c r="B6643" s="49" t="s">
        <v>10561</v>
      </c>
    </row>
    <row r="6644" spans="1:2">
      <c r="A6644" s="66">
        <v>46071.551931585651</v>
      </c>
      <c r="B6644" s="49" t="s">
        <v>10562</v>
      </c>
    </row>
    <row r="6645" spans="1:2">
      <c r="A6645" s="66">
        <v>46071.551936250005</v>
      </c>
      <c r="B6645" s="49" t="s">
        <v>10563</v>
      </c>
    </row>
    <row r="6646" spans="1:2">
      <c r="A6646" s="66">
        <v>46071.551956458337</v>
      </c>
      <c r="B6646" s="49" t="s">
        <v>10541</v>
      </c>
    </row>
    <row r="6647" spans="1:2">
      <c r="A6647" s="66">
        <v>46071.551960254626</v>
      </c>
      <c r="B6647" s="49" t="s">
        <v>10542</v>
      </c>
    </row>
    <row r="6648" spans="1:2">
      <c r="A6648" s="66">
        <v>46071.551962928235</v>
      </c>
      <c r="B6648" s="49" t="s">
        <v>10543</v>
      </c>
    </row>
    <row r="6649" spans="1:2">
      <c r="A6649" s="66">
        <v>46071.551972430556</v>
      </c>
      <c r="B6649" s="49" t="s">
        <v>9394</v>
      </c>
    </row>
    <row r="6650" spans="1:2">
      <c r="A6650" s="66">
        <v>46071.55304027778</v>
      </c>
      <c r="B6650" s="49" t="s">
        <v>10556</v>
      </c>
    </row>
    <row r="6651" spans="1:2">
      <c r="A6651" s="66">
        <v>46071.553043518521</v>
      </c>
      <c r="B6651" s="49" t="s">
        <v>10557</v>
      </c>
    </row>
    <row r="6652" spans="1:2">
      <c r="A6652" s="66">
        <v>46071.553047141206</v>
      </c>
      <c r="B6652" s="49" t="s">
        <v>10546</v>
      </c>
    </row>
    <row r="6653" spans="1:2">
      <c r="A6653" s="66">
        <v>46071.553072314811</v>
      </c>
      <c r="B6653" s="49" t="s">
        <v>10466</v>
      </c>
    </row>
    <row r="6654" spans="1:2">
      <c r="A6654" s="66">
        <v>46071.553075787037</v>
      </c>
      <c r="B6654" s="49" t="s">
        <v>10561</v>
      </c>
    </row>
    <row r="6655" spans="1:2">
      <c r="A6655" s="66">
        <v>46071.553078425924</v>
      </c>
      <c r="B6655" s="49" t="s">
        <v>10562</v>
      </c>
    </row>
    <row r="6656" spans="1:2">
      <c r="A6656" s="66">
        <v>46071.553081585647</v>
      </c>
      <c r="B6656" s="49" t="s">
        <v>10563</v>
      </c>
    </row>
    <row r="6657" spans="1:2">
      <c r="A6657" s="66">
        <v>46071.553104930557</v>
      </c>
      <c r="B6657" s="49" t="s">
        <v>10541</v>
      </c>
    </row>
    <row r="6658" spans="1:2">
      <c r="A6658" s="66">
        <v>46071.553109062501</v>
      </c>
      <c r="B6658" s="49" t="s">
        <v>10542</v>
      </c>
    </row>
    <row r="6659" spans="1:2">
      <c r="A6659" s="66">
        <v>46071.553112662034</v>
      </c>
      <c r="B6659" s="49" t="s">
        <v>10543</v>
      </c>
    </row>
    <row r="6660" spans="1:2">
      <c r="A6660" s="66">
        <v>46071.553115972223</v>
      </c>
      <c r="B6660" s="49" t="s">
        <v>9394</v>
      </c>
    </row>
    <row r="6661" spans="1:2">
      <c r="A6661" s="66">
        <v>46071.554198321755</v>
      </c>
      <c r="B6661" s="49" t="s">
        <v>10556</v>
      </c>
    </row>
    <row r="6662" spans="1:2">
      <c r="A6662" s="66">
        <v>46071.554200949075</v>
      </c>
      <c r="B6662" s="49" t="s">
        <v>10557</v>
      </c>
    </row>
    <row r="6663" spans="1:2">
      <c r="A6663" s="66">
        <v>46071.554203449079</v>
      </c>
      <c r="B6663" s="49" t="s">
        <v>10546</v>
      </c>
    </row>
    <row r="6664" spans="1:2">
      <c r="A6664" s="66">
        <v>46071.554205775465</v>
      </c>
      <c r="B6664" s="49" t="s">
        <v>10466</v>
      </c>
    </row>
    <row r="6665" spans="1:2">
      <c r="A6665" s="66">
        <v>46071.554208194444</v>
      </c>
      <c r="B6665" s="49" t="s">
        <v>10561</v>
      </c>
    </row>
    <row r="6666" spans="1:2">
      <c r="A6666" s="66">
        <v>46071.554210856484</v>
      </c>
      <c r="B6666" s="49" t="s">
        <v>10562</v>
      </c>
    </row>
    <row r="6667" spans="1:2">
      <c r="A6667" s="66">
        <v>46071.554213148149</v>
      </c>
      <c r="B6667" s="49" t="s">
        <v>10563</v>
      </c>
    </row>
    <row r="6668" spans="1:2">
      <c r="A6668" s="66">
        <v>46071.554260879631</v>
      </c>
      <c r="B6668" s="49" t="s">
        <v>10541</v>
      </c>
    </row>
    <row r="6669" spans="1:2">
      <c r="A6669" s="66">
        <v>46071.554264513892</v>
      </c>
      <c r="B6669" s="49" t="s">
        <v>10542</v>
      </c>
    </row>
    <row r="6670" spans="1:2">
      <c r="A6670" s="66">
        <v>46071.554266967592</v>
      </c>
      <c r="B6670" s="49" t="s">
        <v>10543</v>
      </c>
    </row>
    <row r="6671" spans="1:2">
      <c r="A6671" s="66">
        <v>46071.554276122682</v>
      </c>
      <c r="B6671" s="49" t="s">
        <v>9394</v>
      </c>
    </row>
    <row r="6672" spans="1:2">
      <c r="A6672" s="66">
        <v>46071.555411956018</v>
      </c>
      <c r="B6672" s="49" t="s">
        <v>10556</v>
      </c>
    </row>
    <row r="6673" spans="1:2">
      <c r="A6673" s="66">
        <v>46071.555414780094</v>
      </c>
      <c r="B6673" s="49" t="s">
        <v>10557</v>
      </c>
    </row>
    <row r="6674" spans="1:2">
      <c r="A6674" s="66">
        <v>46071.555417280091</v>
      </c>
      <c r="B6674" s="49" t="s">
        <v>10546</v>
      </c>
    </row>
    <row r="6675" spans="1:2">
      <c r="A6675" s="66">
        <v>46071.555419490745</v>
      </c>
      <c r="B6675" s="49" t="s">
        <v>10466</v>
      </c>
    </row>
    <row r="6676" spans="1:2">
      <c r="A6676" s="66">
        <v>46071.555421967598</v>
      </c>
      <c r="B6676" s="49" t="s">
        <v>10561</v>
      </c>
    </row>
    <row r="6677" spans="1:2">
      <c r="A6677" s="66">
        <v>46071.55542686343</v>
      </c>
      <c r="B6677" s="49" t="s">
        <v>10562</v>
      </c>
    </row>
    <row r="6678" spans="1:2">
      <c r="A6678" s="66">
        <v>46071.555429108797</v>
      </c>
      <c r="B6678" s="49" t="s">
        <v>10563</v>
      </c>
    </row>
    <row r="6679" spans="1:2">
      <c r="A6679" s="66">
        <v>46071.555447893523</v>
      </c>
      <c r="B6679" s="49" t="s">
        <v>10541</v>
      </c>
    </row>
    <row r="6680" spans="1:2">
      <c r="A6680" s="66">
        <v>46071.555450914355</v>
      </c>
      <c r="B6680" s="49" t="s">
        <v>10542</v>
      </c>
    </row>
    <row r="6681" spans="1:2">
      <c r="A6681" s="66">
        <v>46071.555453055553</v>
      </c>
      <c r="B6681" s="49" t="s">
        <v>10543</v>
      </c>
    </row>
    <row r="6682" spans="1:2">
      <c r="A6682" s="66">
        <v>46071.55545537037</v>
      </c>
      <c r="B6682" s="49" t="s">
        <v>9394</v>
      </c>
    </row>
    <row r="6683" spans="1:2">
      <c r="A6683" s="66">
        <v>46071.556484918983</v>
      </c>
      <c r="B6683" s="49" t="s">
        <v>10556</v>
      </c>
    </row>
    <row r="6684" spans="1:2">
      <c r="A6684" s="66">
        <v>46071.556487060181</v>
      </c>
      <c r="B6684" s="49" t="s">
        <v>10557</v>
      </c>
    </row>
    <row r="6685" spans="1:2">
      <c r="A6685" s="66">
        <v>46071.556489317125</v>
      </c>
      <c r="B6685" s="49" t="s">
        <v>10546</v>
      </c>
    </row>
    <row r="6686" spans="1:2">
      <c r="A6686" s="66">
        <v>46071.556491481482</v>
      </c>
      <c r="B6686" s="49" t="s">
        <v>10466</v>
      </c>
    </row>
    <row r="6687" spans="1:2">
      <c r="A6687" s="66">
        <v>46071.556493865741</v>
      </c>
      <c r="B6687" s="49" t="s">
        <v>10561</v>
      </c>
    </row>
    <row r="6688" spans="1:2">
      <c r="A6688" s="66">
        <v>46071.55649638889</v>
      </c>
      <c r="B6688" s="49" t="s">
        <v>10562</v>
      </c>
    </row>
    <row r="6689" spans="1:2">
      <c r="A6689" s="66">
        <v>46071.556498761573</v>
      </c>
      <c r="B6689" s="49" t="s">
        <v>10563</v>
      </c>
    </row>
    <row r="6690" spans="1:2">
      <c r="A6690" s="66">
        <v>46071.556518773148</v>
      </c>
      <c r="B6690" s="49" t="s">
        <v>10541</v>
      </c>
    </row>
    <row r="6691" spans="1:2">
      <c r="A6691" s="66">
        <v>46071.5565221875</v>
      </c>
      <c r="B6691" s="49" t="s">
        <v>10542</v>
      </c>
    </row>
    <row r="6692" spans="1:2">
      <c r="A6692" s="66">
        <v>46071.556524432875</v>
      </c>
      <c r="B6692" s="49" t="s">
        <v>10543</v>
      </c>
    </row>
    <row r="6693" spans="1:2">
      <c r="A6693" s="66">
        <v>46071.556526840279</v>
      </c>
      <c r="B6693" s="49" t="s">
        <v>9394</v>
      </c>
    </row>
    <row r="6694" spans="1:2">
      <c r="A6694" s="66">
        <v>46071.557442164354</v>
      </c>
      <c r="B6694" s="49" t="s">
        <v>10556</v>
      </c>
    </row>
    <row r="6695" spans="1:2">
      <c r="A6695" s="66">
        <v>46071.557445706014</v>
      </c>
      <c r="B6695" s="49" t="s">
        <v>10557</v>
      </c>
    </row>
    <row r="6696" spans="1:2">
      <c r="A6696" s="66">
        <v>46071.55744822917</v>
      </c>
      <c r="B6696" s="49" t="s">
        <v>10546</v>
      </c>
    </row>
    <row r="6697" spans="1:2">
      <c r="A6697" s="66">
        <v>46071.55745119213</v>
      </c>
      <c r="B6697" s="49" t="s">
        <v>10466</v>
      </c>
    </row>
    <row r="6698" spans="1:2">
      <c r="A6698" s="66">
        <v>46071.557453993053</v>
      </c>
      <c r="B6698" s="49" t="s">
        <v>10561</v>
      </c>
    </row>
    <row r="6699" spans="1:2">
      <c r="A6699" s="66">
        <v>46071.557457106479</v>
      </c>
      <c r="B6699" s="49" t="s">
        <v>10562</v>
      </c>
    </row>
    <row r="6700" spans="1:2">
      <c r="A6700" s="66">
        <v>46071.557460011572</v>
      </c>
      <c r="B6700" s="49" t="s">
        <v>10563</v>
      </c>
    </row>
    <row r="6701" spans="1:2">
      <c r="A6701" s="66">
        <v>46071.557490891202</v>
      </c>
      <c r="B6701" s="49" t="s">
        <v>10541</v>
      </c>
    </row>
    <row r="6702" spans="1:2">
      <c r="A6702" s="66">
        <v>46071.557509189814</v>
      </c>
      <c r="B6702" s="49" t="s">
        <v>10542</v>
      </c>
    </row>
    <row r="6703" spans="1:2">
      <c r="A6703" s="66">
        <v>46071.557512256943</v>
      </c>
      <c r="B6703" s="49" t="s">
        <v>10543</v>
      </c>
    </row>
    <row r="6704" spans="1:2">
      <c r="A6704" s="66">
        <v>46071.557514918983</v>
      </c>
      <c r="B6704" s="49" t="s">
        <v>9394</v>
      </c>
    </row>
    <row r="6705" spans="1:2">
      <c r="A6705" s="66">
        <v>46071.558338148148</v>
      </c>
      <c r="B6705" s="49" t="s">
        <v>10556</v>
      </c>
    </row>
    <row r="6706" spans="1:2">
      <c r="A6706" s="66">
        <v>46071.558339976851</v>
      </c>
      <c r="B6706" s="49" t="s">
        <v>10557</v>
      </c>
    </row>
    <row r="6707" spans="1:2">
      <c r="A6707" s="66">
        <v>46071.558341770833</v>
      </c>
      <c r="B6707" s="49" t="s">
        <v>10546</v>
      </c>
    </row>
    <row r="6708" spans="1:2">
      <c r="A6708" s="66">
        <v>46071.558343414348</v>
      </c>
      <c r="B6708" s="49" t="s">
        <v>10466</v>
      </c>
    </row>
    <row r="6709" spans="1:2">
      <c r="A6709" s="66">
        <v>46071.558345104168</v>
      </c>
      <c r="B6709" s="49" t="s">
        <v>10561</v>
      </c>
    </row>
    <row r="6710" spans="1:2">
      <c r="A6710" s="66">
        <v>46071.558346701393</v>
      </c>
      <c r="B6710" s="49" t="s">
        <v>10562</v>
      </c>
    </row>
    <row r="6711" spans="1:2">
      <c r="A6711" s="66">
        <v>46071.558348472223</v>
      </c>
      <c r="B6711" s="49" t="s">
        <v>10563</v>
      </c>
    </row>
    <row r="6712" spans="1:2">
      <c r="A6712" s="66">
        <v>46071.558365173609</v>
      </c>
      <c r="B6712" s="49" t="s">
        <v>10541</v>
      </c>
    </row>
    <row r="6713" spans="1:2">
      <c r="A6713" s="66">
        <v>46071.558368206017</v>
      </c>
      <c r="B6713" s="49" t="s">
        <v>10542</v>
      </c>
    </row>
    <row r="6714" spans="1:2">
      <c r="A6714" s="66">
        <v>46071.558369907405</v>
      </c>
      <c r="B6714" s="49" t="s">
        <v>10543</v>
      </c>
    </row>
    <row r="6715" spans="1:2">
      <c r="A6715" s="66">
        <v>46071.55837165509</v>
      </c>
      <c r="B6715" s="49" t="s">
        <v>9394</v>
      </c>
    </row>
    <row r="6716" spans="1:2">
      <c r="A6716" s="66">
        <v>46071.559461273151</v>
      </c>
      <c r="B6716" s="49" t="s">
        <v>10556</v>
      </c>
    </row>
    <row r="6717" spans="1:2">
      <c r="A6717" s="66">
        <v>46071.559463425925</v>
      </c>
      <c r="B6717" s="49" t="s">
        <v>10557</v>
      </c>
    </row>
    <row r="6718" spans="1:2">
      <c r="A6718" s="66">
        <v>46071.559465416663</v>
      </c>
      <c r="B6718" s="49" t="s">
        <v>10546</v>
      </c>
    </row>
    <row r="6719" spans="1:2">
      <c r="A6719" s="66">
        <v>46071.559467407409</v>
      </c>
      <c r="B6719" s="49" t="s">
        <v>10466</v>
      </c>
    </row>
    <row r="6720" spans="1:2">
      <c r="A6720" s="66">
        <v>46071.559469502317</v>
      </c>
      <c r="B6720" s="49" t="s">
        <v>10561</v>
      </c>
    </row>
    <row r="6721" spans="1:2">
      <c r="A6721" s="66">
        <v>46071.559471655091</v>
      </c>
      <c r="B6721" s="49" t="s">
        <v>10562</v>
      </c>
    </row>
    <row r="6722" spans="1:2">
      <c r="A6722" s="66">
        <v>46071.55947375</v>
      </c>
      <c r="B6722" s="49" t="s">
        <v>10563</v>
      </c>
    </row>
    <row r="6723" spans="1:2">
      <c r="A6723" s="66">
        <v>46071.559491273147</v>
      </c>
      <c r="B6723" s="49" t="s">
        <v>10541</v>
      </c>
    </row>
    <row r="6724" spans="1:2">
      <c r="A6724" s="66">
        <v>46071.559494490743</v>
      </c>
      <c r="B6724" s="49" t="s">
        <v>10542</v>
      </c>
    </row>
    <row r="6725" spans="1:2">
      <c r="A6725" s="66">
        <v>46071.559496608796</v>
      </c>
      <c r="B6725" s="49" t="s">
        <v>10543</v>
      </c>
    </row>
    <row r="6726" spans="1:2">
      <c r="A6726" s="66">
        <v>46071.559498726856</v>
      </c>
      <c r="B6726" s="49" t="s">
        <v>9394</v>
      </c>
    </row>
    <row r="6727" spans="1:2">
      <c r="A6727" s="66">
        <v>46071.560343217592</v>
      </c>
      <c r="B6727" s="49" t="s">
        <v>10556</v>
      </c>
    </row>
    <row r="6728" spans="1:2">
      <c r="A6728" s="66">
        <v>46071.560345486112</v>
      </c>
      <c r="B6728" s="49" t="s">
        <v>10557</v>
      </c>
    </row>
    <row r="6729" spans="1:2">
      <c r="A6729" s="66">
        <v>46071.560347708335</v>
      </c>
      <c r="B6729" s="49" t="s">
        <v>10546</v>
      </c>
    </row>
    <row r="6730" spans="1:2">
      <c r="A6730" s="66">
        <v>46071.560349826388</v>
      </c>
      <c r="B6730" s="49" t="s">
        <v>10466</v>
      </c>
    </row>
    <row r="6731" spans="1:2">
      <c r="A6731" s="66">
        <v>46071.560351944441</v>
      </c>
      <c r="B6731" s="49" t="s">
        <v>10561</v>
      </c>
    </row>
    <row r="6732" spans="1:2">
      <c r="A6732" s="66">
        <v>46071.560353981477</v>
      </c>
      <c r="B6732" s="49" t="s">
        <v>10562</v>
      </c>
    </row>
    <row r="6733" spans="1:2">
      <c r="A6733" s="66">
        <v>46071.560357893519</v>
      </c>
      <c r="B6733" s="49" t="s">
        <v>10563</v>
      </c>
    </row>
    <row r="6734" spans="1:2">
      <c r="A6734" s="66">
        <v>46071.560376539353</v>
      </c>
      <c r="B6734" s="49" t="s">
        <v>10541</v>
      </c>
    </row>
    <row r="6735" spans="1:2">
      <c r="A6735" s="66">
        <v>46071.56037958333</v>
      </c>
      <c r="B6735" s="49" t="s">
        <v>10542</v>
      </c>
    </row>
    <row r="6736" spans="1:2">
      <c r="A6736" s="66">
        <v>46071.560381608797</v>
      </c>
      <c r="B6736" s="49" t="s">
        <v>10543</v>
      </c>
    </row>
    <row r="6737" spans="1:2">
      <c r="A6737" s="66">
        <v>46071.560383749995</v>
      </c>
      <c r="B6737" s="49" t="s">
        <v>9394</v>
      </c>
    </row>
    <row r="6738" spans="1:2">
      <c r="A6738" s="66">
        <v>46071.561390150462</v>
      </c>
      <c r="B6738" s="49" t="s">
        <v>10556</v>
      </c>
    </row>
    <row r="6739" spans="1:2">
      <c r="A6739" s="66">
        <v>46071.561392858799</v>
      </c>
      <c r="B6739" s="49" t="s">
        <v>10557</v>
      </c>
    </row>
    <row r="6740" spans="1:2">
      <c r="A6740" s="66">
        <v>46071.561395543977</v>
      </c>
      <c r="B6740" s="49" t="s">
        <v>10546</v>
      </c>
    </row>
    <row r="6741" spans="1:2">
      <c r="A6741" s="66">
        <v>46071.561398460646</v>
      </c>
      <c r="B6741" s="49" t="s">
        <v>10466</v>
      </c>
    </row>
    <row r="6742" spans="1:2">
      <c r="A6742" s="66">
        <v>46071.56140604167</v>
      </c>
      <c r="B6742" s="49" t="s">
        <v>10561</v>
      </c>
    </row>
    <row r="6743" spans="1:2">
      <c r="A6743" s="66">
        <v>46071.561409178241</v>
      </c>
      <c r="B6743" s="49" t="s">
        <v>10562</v>
      </c>
    </row>
    <row r="6744" spans="1:2">
      <c r="A6744" s="66">
        <v>46071.561412268522</v>
      </c>
      <c r="B6744" s="49" t="s">
        <v>10563</v>
      </c>
    </row>
    <row r="6745" spans="1:2">
      <c r="A6745" s="66">
        <v>46071.561437743054</v>
      </c>
      <c r="B6745" s="49" t="s">
        <v>10541</v>
      </c>
    </row>
    <row r="6746" spans="1:2">
      <c r="A6746" s="66">
        <v>46071.561441180558</v>
      </c>
      <c r="B6746" s="49" t="s">
        <v>10542</v>
      </c>
    </row>
    <row r="6747" spans="1:2">
      <c r="A6747" s="66">
        <v>46071.56144424768</v>
      </c>
      <c r="B6747" s="49" t="s">
        <v>10543</v>
      </c>
    </row>
    <row r="6748" spans="1:2">
      <c r="A6748" s="66">
        <v>46071.561447060187</v>
      </c>
      <c r="B6748" s="49" t="s">
        <v>9394</v>
      </c>
    </row>
    <row r="6749" spans="1:2">
      <c r="A6749" s="66">
        <v>46071.56249225694</v>
      </c>
      <c r="B6749" s="49" t="s">
        <v>10556</v>
      </c>
    </row>
    <row r="6750" spans="1:2">
      <c r="A6750" s="66">
        <v>46071.562494328704</v>
      </c>
      <c r="B6750" s="49" t="s">
        <v>10557</v>
      </c>
    </row>
    <row r="6751" spans="1:2">
      <c r="A6751" s="66">
        <v>46071.562496469909</v>
      </c>
      <c r="B6751" s="49" t="s">
        <v>10546</v>
      </c>
    </row>
    <row r="6752" spans="1:2">
      <c r="A6752" s="66">
        <v>46071.562498634259</v>
      </c>
      <c r="B6752" s="49" t="s">
        <v>10466</v>
      </c>
    </row>
    <row r="6753" spans="1:2">
      <c r="A6753" s="66">
        <v>46071.5625009375</v>
      </c>
      <c r="B6753" s="49" t="s">
        <v>10561</v>
      </c>
    </row>
    <row r="6754" spans="1:2">
      <c r="A6754" s="66">
        <v>46071.562503067129</v>
      </c>
      <c r="B6754" s="49" t="s">
        <v>10562</v>
      </c>
    </row>
    <row r="6755" spans="1:2">
      <c r="A6755" s="66">
        <v>46071.562507337963</v>
      </c>
      <c r="B6755" s="49" t="s">
        <v>10563</v>
      </c>
    </row>
    <row r="6756" spans="1:2">
      <c r="A6756" s="66">
        <v>46071.562524849534</v>
      </c>
      <c r="B6756" s="49" t="s">
        <v>10541</v>
      </c>
    </row>
    <row r="6757" spans="1:2">
      <c r="A6757" s="66">
        <v>46071.562527905087</v>
      </c>
      <c r="B6757" s="49" t="s">
        <v>10542</v>
      </c>
    </row>
    <row r="6758" spans="1:2">
      <c r="A6758" s="66">
        <v>46071.562532928241</v>
      </c>
      <c r="B6758" s="49" t="s">
        <v>10543</v>
      </c>
    </row>
    <row r="6759" spans="1:2">
      <c r="A6759" s="66">
        <v>46071.562534976852</v>
      </c>
      <c r="B6759" s="49" t="s">
        <v>9394</v>
      </c>
    </row>
    <row r="6760" spans="1:2">
      <c r="A6760" s="66">
        <v>46071.563289814818</v>
      </c>
      <c r="B6760" s="49" t="s">
        <v>10556</v>
      </c>
    </row>
    <row r="6761" spans="1:2">
      <c r="A6761" s="66">
        <v>46071.563292210645</v>
      </c>
      <c r="B6761" s="49" t="s">
        <v>10557</v>
      </c>
    </row>
    <row r="6762" spans="1:2">
      <c r="A6762" s="66">
        <v>46071.563294942127</v>
      </c>
      <c r="B6762" s="49" t="s">
        <v>10546</v>
      </c>
    </row>
    <row r="6763" spans="1:2">
      <c r="A6763" s="66">
        <v>46071.563297407411</v>
      </c>
      <c r="B6763" s="49" t="s">
        <v>10466</v>
      </c>
    </row>
    <row r="6764" spans="1:2">
      <c r="A6764" s="66">
        <v>46071.563300277776</v>
      </c>
      <c r="B6764" s="49" t="s">
        <v>10561</v>
      </c>
    </row>
    <row r="6765" spans="1:2">
      <c r="A6765" s="66">
        <v>46071.56330277778</v>
      </c>
      <c r="B6765" s="49" t="s">
        <v>10562</v>
      </c>
    </row>
    <row r="6766" spans="1:2">
      <c r="A6766" s="66">
        <v>46071.563305150463</v>
      </c>
      <c r="B6766" s="49" t="s">
        <v>10563</v>
      </c>
    </row>
    <row r="6767" spans="1:2">
      <c r="A6767" s="66">
        <v>46071.563326238422</v>
      </c>
      <c r="B6767" s="49" t="s">
        <v>10541</v>
      </c>
    </row>
    <row r="6768" spans="1:2">
      <c r="A6768" s="66">
        <v>46071.563329849538</v>
      </c>
      <c r="B6768" s="49" t="s">
        <v>10542</v>
      </c>
    </row>
    <row r="6769" spans="1:2">
      <c r="A6769" s="66">
        <v>46071.563332152778</v>
      </c>
      <c r="B6769" s="49" t="s">
        <v>10543</v>
      </c>
    </row>
    <row r="6770" spans="1:2">
      <c r="A6770" s="66">
        <v>46071.563334456019</v>
      </c>
      <c r="B6770" s="49" t="s">
        <v>9394</v>
      </c>
    </row>
    <row r="6771" spans="1:2">
      <c r="A6771" s="66">
        <v>46071.56457988426</v>
      </c>
      <c r="B6771" s="49" t="s">
        <v>10556</v>
      </c>
    </row>
    <row r="6772" spans="1:2">
      <c r="A6772" s="66">
        <v>46071.564582199077</v>
      </c>
      <c r="B6772" s="49" t="s">
        <v>10557</v>
      </c>
    </row>
    <row r="6773" spans="1:2">
      <c r="A6773" s="66">
        <v>46071.564586666667</v>
      </c>
      <c r="B6773" s="49" t="s">
        <v>10546</v>
      </c>
    </row>
    <row r="6774" spans="1:2">
      <c r="A6774" s="66">
        <v>46071.564589120375</v>
      </c>
      <c r="B6774" s="49" t="s">
        <v>10466</v>
      </c>
    </row>
    <row r="6775" spans="1:2">
      <c r="A6775" s="66">
        <v>46071.564591574075</v>
      </c>
      <c r="B6775" s="49" t="s">
        <v>10561</v>
      </c>
    </row>
    <row r="6776" spans="1:2">
      <c r="A6776" s="66">
        <v>46071.564594004631</v>
      </c>
      <c r="B6776" s="49" t="s">
        <v>10562</v>
      </c>
    </row>
    <row r="6777" spans="1:2">
      <c r="A6777" s="66">
        <v>46071.564596331023</v>
      </c>
      <c r="B6777" s="49" t="s">
        <v>10563</v>
      </c>
    </row>
    <row r="6778" spans="1:2">
      <c r="A6778" s="66">
        <v>46071.564619155091</v>
      </c>
      <c r="B6778" s="49" t="s">
        <v>10541</v>
      </c>
    </row>
    <row r="6779" spans="1:2">
      <c r="A6779" s="66">
        <v>46071.564622465274</v>
      </c>
      <c r="B6779" s="49" t="s">
        <v>10542</v>
      </c>
    </row>
    <row r="6780" spans="1:2">
      <c r="A6780" s="66">
        <v>46071.564624895836</v>
      </c>
      <c r="B6780" s="49" t="s">
        <v>10543</v>
      </c>
    </row>
    <row r="6781" spans="1:2">
      <c r="A6781" s="66">
        <v>46071.564627430555</v>
      </c>
      <c r="B6781" s="49" t="s">
        <v>9394</v>
      </c>
    </row>
    <row r="6782" spans="1:2">
      <c r="A6782" s="66">
        <v>46071.565715925928</v>
      </c>
      <c r="B6782" s="49" t="s">
        <v>10556</v>
      </c>
    </row>
    <row r="6783" spans="1:2">
      <c r="A6783" s="66">
        <v>46071.56571836806</v>
      </c>
      <c r="B6783" s="49" t="s">
        <v>10557</v>
      </c>
    </row>
    <row r="6784" spans="1:2">
      <c r="A6784" s="66">
        <v>46071.565720787039</v>
      </c>
      <c r="B6784" s="49" t="s">
        <v>10546</v>
      </c>
    </row>
    <row r="6785" spans="1:2">
      <c r="A6785" s="66">
        <v>46071.565723009262</v>
      </c>
      <c r="B6785" s="49" t="s">
        <v>10466</v>
      </c>
    </row>
    <row r="6786" spans="1:2">
      <c r="A6786" s="66">
        <v>46071.565725868059</v>
      </c>
      <c r="B6786" s="49" t="s">
        <v>10561</v>
      </c>
    </row>
    <row r="6787" spans="1:2">
      <c r="A6787" s="66">
        <v>46071.565728182875</v>
      </c>
      <c r="B6787" s="49" t="s">
        <v>10562</v>
      </c>
    </row>
    <row r="6788" spans="1:2">
      <c r="A6788" s="66">
        <v>46071.565730358794</v>
      </c>
      <c r="B6788" s="49" t="s">
        <v>10563</v>
      </c>
    </row>
    <row r="6789" spans="1:2">
      <c r="A6789" s="66">
        <v>46071.565748483801</v>
      </c>
      <c r="B6789" s="49" t="s">
        <v>10541</v>
      </c>
    </row>
    <row r="6790" spans="1:2">
      <c r="A6790" s="66">
        <v>46071.565754212963</v>
      </c>
      <c r="B6790" s="49" t="s">
        <v>10542</v>
      </c>
    </row>
    <row r="6791" spans="1:2">
      <c r="A6791" s="66">
        <v>46071.565756342592</v>
      </c>
      <c r="B6791" s="49" t="s">
        <v>10543</v>
      </c>
    </row>
    <row r="6792" spans="1:2">
      <c r="A6792" s="66">
        <v>46071.565758576384</v>
      </c>
      <c r="B6792" s="49" t="s">
        <v>9394</v>
      </c>
    </row>
    <row r="6793" spans="1:2">
      <c r="A6793" s="66">
        <v>46071.566845624999</v>
      </c>
      <c r="B6793" s="49" t="s">
        <v>10556</v>
      </c>
    </row>
    <row r="6794" spans="1:2">
      <c r="A6794" s="66">
        <v>46071.566848217597</v>
      </c>
      <c r="B6794" s="49" t="s">
        <v>10557</v>
      </c>
    </row>
    <row r="6795" spans="1:2">
      <c r="A6795" s="66">
        <v>46071.566850810181</v>
      </c>
      <c r="B6795" s="49" t="s">
        <v>10546</v>
      </c>
    </row>
    <row r="6796" spans="1:2">
      <c r="A6796" s="66">
        <v>46071.566853483797</v>
      </c>
      <c r="B6796" s="49" t="s">
        <v>10466</v>
      </c>
    </row>
    <row r="6797" spans="1:2">
      <c r="A6797" s="66">
        <v>46071.566856122685</v>
      </c>
      <c r="B6797" s="49" t="s">
        <v>10561</v>
      </c>
    </row>
    <row r="6798" spans="1:2">
      <c r="A6798" s="66">
        <v>46071.566858703707</v>
      </c>
      <c r="B6798" s="49" t="s">
        <v>10562</v>
      </c>
    </row>
    <row r="6799" spans="1:2">
      <c r="A6799" s="66">
        <v>46071.566861238425</v>
      </c>
      <c r="B6799" s="49" t="s">
        <v>10563</v>
      </c>
    </row>
    <row r="6800" spans="1:2">
      <c r="A6800" s="66">
        <v>46071.566882384257</v>
      </c>
      <c r="B6800" s="49" t="s">
        <v>10541</v>
      </c>
    </row>
    <row r="6801" spans="1:2">
      <c r="A6801" s="66">
        <v>46071.566885509259</v>
      </c>
      <c r="B6801" s="49" t="s">
        <v>10542</v>
      </c>
    </row>
    <row r="6802" spans="1:2">
      <c r="A6802" s="66">
        <v>46071.566897407407</v>
      </c>
      <c r="B6802" s="49" t="s">
        <v>10543</v>
      </c>
    </row>
    <row r="6803" spans="1:2">
      <c r="A6803" s="66">
        <v>46071.566899837962</v>
      </c>
      <c r="B6803" s="49" t="s">
        <v>9394</v>
      </c>
    </row>
    <row r="6804" spans="1:2">
      <c r="A6804" s="66">
        <v>46071.567907233795</v>
      </c>
      <c r="B6804" s="49" t="s">
        <v>10556</v>
      </c>
    </row>
    <row r="6805" spans="1:2">
      <c r="A6805" s="66">
        <v>46071.56790918982</v>
      </c>
      <c r="B6805" s="49" t="s">
        <v>10557</v>
      </c>
    </row>
    <row r="6806" spans="1:2">
      <c r="A6806" s="66">
        <v>46071.567910821759</v>
      </c>
      <c r="B6806" s="49" t="s">
        <v>10546</v>
      </c>
    </row>
    <row r="6807" spans="1:2">
      <c r="A6807" s="66">
        <v>46071.567912673607</v>
      </c>
      <c r="B6807" s="49" t="s">
        <v>10466</v>
      </c>
    </row>
    <row r="6808" spans="1:2">
      <c r="A6808" s="66">
        <v>46071.567914479165</v>
      </c>
      <c r="B6808" s="49" t="s">
        <v>10561</v>
      </c>
    </row>
    <row r="6809" spans="1:2">
      <c r="A6809" s="66">
        <v>46071.567917499997</v>
      </c>
      <c r="B6809" s="49" t="s">
        <v>10562</v>
      </c>
    </row>
    <row r="6810" spans="1:2">
      <c r="A6810" s="66">
        <v>46071.567919305555</v>
      </c>
      <c r="B6810" s="49" t="s">
        <v>10563</v>
      </c>
    </row>
    <row r="6811" spans="1:2">
      <c r="A6811" s="66">
        <v>46071.567953425925</v>
      </c>
      <c r="B6811" s="49" t="s">
        <v>10541</v>
      </c>
    </row>
    <row r="6812" spans="1:2">
      <c r="A6812" s="66">
        <v>46071.56795611111</v>
      </c>
      <c r="B6812" s="49" t="s">
        <v>10542</v>
      </c>
    </row>
    <row r="6813" spans="1:2">
      <c r="A6813" s="66">
        <v>46071.567957939813</v>
      </c>
      <c r="B6813" s="49" t="s">
        <v>10543</v>
      </c>
    </row>
    <row r="6814" spans="1:2">
      <c r="A6814" s="66">
        <v>46071.567959837965</v>
      </c>
      <c r="B6814" s="49" t="s">
        <v>9394</v>
      </c>
    </row>
    <row r="6815" spans="1:2">
      <c r="A6815" s="66">
        <v>46071.568844560185</v>
      </c>
      <c r="B6815" s="49" t="s">
        <v>10556</v>
      </c>
    </row>
    <row r="6816" spans="1:2">
      <c r="A6816" s="66">
        <v>46071.568846875001</v>
      </c>
      <c r="B6816" s="49" t="s">
        <v>10557</v>
      </c>
    </row>
    <row r="6817" spans="1:2">
      <c r="A6817" s="66">
        <v>46071.568849097224</v>
      </c>
      <c r="B6817" s="49" t="s">
        <v>10546</v>
      </c>
    </row>
    <row r="6818" spans="1:2">
      <c r="A6818" s="66">
        <v>46071.568851458331</v>
      </c>
      <c r="B6818" s="49" t="s">
        <v>10466</v>
      </c>
    </row>
    <row r="6819" spans="1:2">
      <c r="A6819" s="66">
        <v>46071.56885369213</v>
      </c>
      <c r="B6819" s="49" t="s">
        <v>10561</v>
      </c>
    </row>
    <row r="6820" spans="1:2">
      <c r="A6820" s="66">
        <v>46071.568855937498</v>
      </c>
      <c r="B6820" s="49" t="s">
        <v>10562</v>
      </c>
    </row>
    <row r="6821" spans="1:2">
      <c r="A6821" s="66">
        <v>46071.568858252314</v>
      </c>
      <c r="B6821" s="49" t="s">
        <v>10563</v>
      </c>
    </row>
    <row r="6822" spans="1:2">
      <c r="A6822" s="66">
        <v>46071.568886990739</v>
      </c>
      <c r="B6822" s="49" t="s">
        <v>10541</v>
      </c>
    </row>
    <row r="6823" spans="1:2">
      <c r="A6823" s="66">
        <v>46071.568894525466</v>
      </c>
      <c r="B6823" s="49" t="s">
        <v>10542</v>
      </c>
    </row>
    <row r="6824" spans="1:2">
      <c r="A6824" s="66">
        <v>46071.568896608791</v>
      </c>
      <c r="B6824" s="49" t="s">
        <v>10543</v>
      </c>
    </row>
    <row r="6825" spans="1:2">
      <c r="A6825" s="66">
        <v>46071.568898912039</v>
      </c>
      <c r="B6825" s="49" t="s">
        <v>9394</v>
      </c>
    </row>
    <row r="6826" spans="1:2">
      <c r="A6826" s="66">
        <v>46071.569788217588</v>
      </c>
      <c r="B6826" s="49" t="s">
        <v>10556</v>
      </c>
    </row>
    <row r="6827" spans="1:2">
      <c r="A6827" s="66">
        <v>46071.569791932867</v>
      </c>
      <c r="B6827" s="49" t="s">
        <v>10557</v>
      </c>
    </row>
    <row r="6828" spans="1:2">
      <c r="A6828" s="66">
        <v>46071.569795474541</v>
      </c>
      <c r="B6828" s="49" t="s">
        <v>10546</v>
      </c>
    </row>
    <row r="6829" spans="1:2">
      <c r="A6829" s="66">
        <v>46071.569798750003</v>
      </c>
      <c r="B6829" s="49" t="s">
        <v>10466</v>
      </c>
    </row>
    <row r="6830" spans="1:2">
      <c r="A6830" s="66">
        <v>46071.569801874997</v>
      </c>
      <c r="B6830" s="49" t="s">
        <v>10561</v>
      </c>
    </row>
    <row r="6831" spans="1:2">
      <c r="A6831" s="66">
        <v>46071.569805300926</v>
      </c>
      <c r="B6831" s="49" t="s">
        <v>10562</v>
      </c>
    </row>
    <row r="6832" spans="1:2">
      <c r="A6832" s="66">
        <v>46071.569808726854</v>
      </c>
      <c r="B6832" s="49" t="s">
        <v>10563</v>
      </c>
    </row>
    <row r="6833" spans="1:2">
      <c r="A6833" s="66">
        <v>46071.569833703703</v>
      </c>
      <c r="B6833" s="49" t="s">
        <v>10541</v>
      </c>
    </row>
    <row r="6834" spans="1:2">
      <c r="A6834" s="66">
        <v>46071.569838993055</v>
      </c>
      <c r="B6834" s="49" t="s">
        <v>10542</v>
      </c>
    </row>
    <row r="6835" spans="1:2">
      <c r="A6835" s="66">
        <v>46071.569842210651</v>
      </c>
      <c r="B6835" s="49" t="s">
        <v>10543</v>
      </c>
    </row>
    <row r="6836" spans="1:2">
      <c r="A6836" s="66">
        <v>46071.569846828701</v>
      </c>
      <c r="B6836" s="49" t="s">
        <v>9394</v>
      </c>
    </row>
    <row r="6837" spans="1:2">
      <c r="A6837" s="66">
        <v>46071.570713263893</v>
      </c>
      <c r="B6837" s="49" t="s">
        <v>10556</v>
      </c>
    </row>
    <row r="6838" spans="1:2">
      <c r="A6838" s="66">
        <v>46071.570716631948</v>
      </c>
      <c r="B6838" s="49" t="s">
        <v>10557</v>
      </c>
    </row>
    <row r="6839" spans="1:2">
      <c r="A6839" s="66">
        <v>46071.570719768519</v>
      </c>
      <c r="B6839" s="49" t="s">
        <v>10546</v>
      </c>
    </row>
    <row r="6840" spans="1:2">
      <c r="A6840" s="66">
        <v>46071.570727546292</v>
      </c>
      <c r="B6840" s="49" t="s">
        <v>10466</v>
      </c>
    </row>
    <row r="6841" spans="1:2">
      <c r="A6841" s="66">
        <v>46071.570730520834</v>
      </c>
      <c r="B6841" s="49" t="s">
        <v>10561</v>
      </c>
    </row>
    <row r="6842" spans="1:2">
      <c r="A6842" s="66">
        <v>46071.570733738423</v>
      </c>
      <c r="B6842" s="49" t="s">
        <v>10562</v>
      </c>
    </row>
    <row r="6843" spans="1:2">
      <c r="A6843" s="66">
        <v>46071.570737083333</v>
      </c>
      <c r="B6843" s="49" t="s">
        <v>10563</v>
      </c>
    </row>
    <row r="6844" spans="1:2">
      <c r="A6844" s="66">
        <v>46071.57076347222</v>
      </c>
      <c r="B6844" s="49" t="s">
        <v>10541</v>
      </c>
    </row>
    <row r="6845" spans="1:2">
      <c r="A6845" s="66">
        <v>46071.570767685189</v>
      </c>
      <c r="B6845" s="49" t="s">
        <v>10542</v>
      </c>
    </row>
    <row r="6846" spans="1:2">
      <c r="A6846" s="66">
        <v>46071.570770520833</v>
      </c>
      <c r="B6846" s="49" t="s">
        <v>10543</v>
      </c>
    </row>
    <row r="6847" spans="1:2">
      <c r="A6847" s="66">
        <v>46071.570773344909</v>
      </c>
      <c r="B6847" s="49" t="s">
        <v>9394</v>
      </c>
    </row>
    <row r="6848" spans="1:2">
      <c r="A6848" s="66">
        <v>46071.571503032406</v>
      </c>
      <c r="B6848" s="49" t="s">
        <v>10556</v>
      </c>
    </row>
    <row r="6849" spans="1:2">
      <c r="A6849" s="66">
        <v>46071.571505717591</v>
      </c>
      <c r="B6849" s="49" t="s">
        <v>10557</v>
      </c>
    </row>
    <row r="6850" spans="1:2">
      <c r="A6850" s="66">
        <v>46071.571508414352</v>
      </c>
      <c r="B6850" s="49" t="s">
        <v>10546</v>
      </c>
    </row>
    <row r="6851" spans="1:2">
      <c r="A6851" s="66">
        <v>46071.571511168979</v>
      </c>
      <c r="B6851" s="49" t="s">
        <v>10466</v>
      </c>
    </row>
    <row r="6852" spans="1:2">
      <c r="A6852" s="66">
        <v>46071.571513831019</v>
      </c>
      <c r="B6852" s="49" t="s">
        <v>10561</v>
      </c>
    </row>
    <row r="6853" spans="1:2">
      <c r="A6853" s="66">
        <v>46071.571516724536</v>
      </c>
      <c r="B6853" s="49" t="s">
        <v>10562</v>
      </c>
    </row>
    <row r="6854" spans="1:2">
      <c r="A6854" s="66">
        <v>46071.571519363424</v>
      </c>
      <c r="B6854" s="49" t="s">
        <v>10563</v>
      </c>
    </row>
    <row r="6855" spans="1:2">
      <c r="A6855" s="66">
        <v>46071.571541793979</v>
      </c>
      <c r="B6855" s="49" t="s">
        <v>10541</v>
      </c>
    </row>
    <row r="6856" spans="1:2">
      <c r="A6856" s="66">
        <v>46071.571545173611</v>
      </c>
      <c r="B6856" s="49" t="s">
        <v>10542</v>
      </c>
    </row>
    <row r="6857" spans="1:2">
      <c r="A6857" s="66">
        <v>46071.571547812498</v>
      </c>
      <c r="B6857" s="49" t="s">
        <v>10543</v>
      </c>
    </row>
    <row r="6858" spans="1:2">
      <c r="A6858" s="66">
        <v>46071.571551261572</v>
      </c>
      <c r="B6858" s="49" t="s">
        <v>9394</v>
      </c>
    </row>
    <row r="6859" spans="1:2">
      <c r="A6859" s="66">
        <v>46071.572806666663</v>
      </c>
      <c r="B6859" s="49" t="s">
        <v>10556</v>
      </c>
    </row>
    <row r="6860" spans="1:2">
      <c r="A6860" s="66">
        <v>46071.572815740743</v>
      </c>
      <c r="B6860" s="49" t="s">
        <v>10557</v>
      </c>
    </row>
    <row r="6861" spans="1:2">
      <c r="A6861" s="66">
        <v>46071.572818298606</v>
      </c>
      <c r="B6861" s="49" t="s">
        <v>10546</v>
      </c>
    </row>
    <row r="6862" spans="1:2">
      <c r="A6862" s="66">
        <v>46071.572821701389</v>
      </c>
      <c r="B6862" s="49" t="s">
        <v>10466</v>
      </c>
    </row>
    <row r="6863" spans="1:2">
      <c r="A6863" s="66">
        <v>46071.572826851851</v>
      </c>
      <c r="B6863" s="49" t="s">
        <v>10561</v>
      </c>
    </row>
    <row r="6864" spans="1:2">
      <c r="A6864" s="66">
        <v>46071.572829537035</v>
      </c>
      <c r="B6864" s="49" t="s">
        <v>10562</v>
      </c>
    </row>
    <row r="6865" spans="1:2">
      <c r="A6865" s="66">
        <v>46071.572832129634</v>
      </c>
      <c r="B6865" s="49" t="s">
        <v>10563</v>
      </c>
    </row>
    <row r="6866" spans="1:2">
      <c r="A6866" s="66">
        <v>46071.572853969905</v>
      </c>
      <c r="B6866" s="49" t="s">
        <v>10541</v>
      </c>
    </row>
    <row r="6867" spans="1:2">
      <c r="A6867" s="66">
        <v>46071.572856979168</v>
      </c>
      <c r="B6867" s="49" t="s">
        <v>10542</v>
      </c>
    </row>
    <row r="6868" spans="1:2">
      <c r="A6868" s="66">
        <v>46071.572859768523</v>
      </c>
      <c r="B6868" s="49" t="s">
        <v>10543</v>
      </c>
    </row>
    <row r="6869" spans="1:2">
      <c r="A6869" s="66">
        <v>46071.572862233792</v>
      </c>
      <c r="B6869" s="49" t="s">
        <v>9394</v>
      </c>
    </row>
    <row r="6870" spans="1:2">
      <c r="A6870" s="66">
        <v>46071.573927106481</v>
      </c>
      <c r="B6870" s="49" t="s">
        <v>10556</v>
      </c>
    </row>
    <row r="6871" spans="1:2">
      <c r="A6871" s="66">
        <v>46071.57392998843</v>
      </c>
      <c r="B6871" s="49" t="s">
        <v>10557</v>
      </c>
    </row>
    <row r="6872" spans="1:2">
      <c r="A6872" s="66">
        <v>46071.573932893516</v>
      </c>
      <c r="B6872" s="49" t="s">
        <v>10546</v>
      </c>
    </row>
    <row r="6873" spans="1:2">
      <c r="A6873" s="66">
        <v>46071.573935798609</v>
      </c>
      <c r="B6873" s="49" t="s">
        <v>10466</v>
      </c>
    </row>
    <row r="6874" spans="1:2">
      <c r="A6874" s="66">
        <v>46071.573938483794</v>
      </c>
      <c r="B6874" s="49" t="s">
        <v>10561</v>
      </c>
    </row>
    <row r="6875" spans="1:2">
      <c r="A6875" s="66">
        <v>46071.573941238428</v>
      </c>
      <c r="B6875" s="49" t="s">
        <v>10562</v>
      </c>
    </row>
    <row r="6876" spans="1:2">
      <c r="A6876" s="66">
        <v>46071.57394545139</v>
      </c>
      <c r="B6876" s="49" t="s">
        <v>10563</v>
      </c>
    </row>
    <row r="6877" spans="1:2">
      <c r="A6877" s="66">
        <v>46071.573969432866</v>
      </c>
      <c r="B6877" s="49" t="s">
        <v>10541</v>
      </c>
    </row>
    <row r="6878" spans="1:2">
      <c r="A6878" s="66">
        <v>46071.573975694446</v>
      </c>
      <c r="B6878" s="49" t="s">
        <v>10542</v>
      </c>
    </row>
    <row r="6879" spans="1:2">
      <c r="A6879" s="66">
        <v>46071.573978761575</v>
      </c>
      <c r="B6879" s="49" t="s">
        <v>10543</v>
      </c>
    </row>
    <row r="6880" spans="1:2">
      <c r="A6880" s="66">
        <v>46071.573982349539</v>
      </c>
      <c r="B6880" s="49" t="s">
        <v>9394</v>
      </c>
    </row>
    <row r="6881" spans="1:2">
      <c r="A6881" s="66">
        <v>46071.575243113424</v>
      </c>
      <c r="B6881" s="49" t="s">
        <v>10556</v>
      </c>
    </row>
    <row r="6882" spans="1:2">
      <c r="A6882" s="66">
        <v>46071.575245520835</v>
      </c>
      <c r="B6882" s="49" t="s">
        <v>10557</v>
      </c>
    </row>
    <row r="6883" spans="1:2">
      <c r="A6883" s="66">
        <v>46071.575249189817</v>
      </c>
      <c r="B6883" s="49" t="s">
        <v>10546</v>
      </c>
    </row>
    <row r="6884" spans="1:2">
      <c r="A6884" s="66">
        <v>46071.575251539354</v>
      </c>
      <c r="B6884" s="49" t="s">
        <v>10466</v>
      </c>
    </row>
    <row r="6885" spans="1:2">
      <c r="A6885" s="66">
        <v>46071.575254178242</v>
      </c>
      <c r="B6885" s="49" t="s">
        <v>10561</v>
      </c>
    </row>
    <row r="6886" spans="1:2">
      <c r="A6886" s="66">
        <v>46071.57525631944</v>
      </c>
      <c r="B6886" s="49" t="s">
        <v>10562</v>
      </c>
    </row>
    <row r="6887" spans="1:2">
      <c r="A6887" s="66">
        <v>46071.575260555561</v>
      </c>
      <c r="B6887" s="49" t="s">
        <v>10563</v>
      </c>
    </row>
    <row r="6888" spans="1:2">
      <c r="A6888" s="66">
        <v>46071.575284930557</v>
      </c>
      <c r="B6888" s="49" t="s">
        <v>10541</v>
      </c>
    </row>
    <row r="6889" spans="1:2">
      <c r="A6889" s="66">
        <v>46071.575287766202</v>
      </c>
      <c r="B6889" s="49" t="s">
        <v>10542</v>
      </c>
    </row>
    <row r="6890" spans="1:2">
      <c r="A6890" s="66">
        <v>46071.575290162036</v>
      </c>
      <c r="B6890" s="49" t="s">
        <v>10543</v>
      </c>
    </row>
    <row r="6891" spans="1:2">
      <c r="A6891" s="66">
        <v>46071.575292395835</v>
      </c>
      <c r="B6891" s="49" t="s">
        <v>9394</v>
      </c>
    </row>
    <row r="6892" spans="1:2">
      <c r="A6892" s="66">
        <v>46071.576375810182</v>
      </c>
      <c r="B6892" s="49" t="s">
        <v>10556</v>
      </c>
    </row>
    <row r="6893" spans="1:2">
      <c r="A6893" s="66">
        <v>46071.576378587968</v>
      </c>
      <c r="B6893" s="49" t="s">
        <v>10557</v>
      </c>
    </row>
    <row r="6894" spans="1:2">
      <c r="A6894" s="66">
        <v>46071.576381099541</v>
      </c>
      <c r="B6894" s="49" t="s">
        <v>10546</v>
      </c>
    </row>
    <row r="6895" spans="1:2">
      <c r="A6895" s="66">
        <v>46071.576383888889</v>
      </c>
      <c r="B6895" s="49" t="s">
        <v>10466</v>
      </c>
    </row>
    <row r="6896" spans="1:2">
      <c r="A6896" s="66">
        <v>46071.576386666668</v>
      </c>
      <c r="B6896" s="49" t="s">
        <v>10561</v>
      </c>
    </row>
    <row r="6897" spans="1:2">
      <c r="A6897" s="66">
        <v>46071.576389374997</v>
      </c>
      <c r="B6897" s="49" t="s">
        <v>10562</v>
      </c>
    </row>
    <row r="6898" spans="1:2">
      <c r="A6898" s="66">
        <v>46071.576392916671</v>
      </c>
      <c r="B6898" s="49" t="s">
        <v>10563</v>
      </c>
    </row>
    <row r="6899" spans="1:2">
      <c r="A6899" s="66">
        <v>46071.576413495372</v>
      </c>
      <c r="B6899" s="49" t="s">
        <v>10541</v>
      </c>
    </row>
    <row r="6900" spans="1:2">
      <c r="A6900" s="66">
        <v>46071.576416597221</v>
      </c>
      <c r="B6900" s="49" t="s">
        <v>10542</v>
      </c>
    </row>
    <row r="6901" spans="1:2">
      <c r="A6901" s="66">
        <v>46071.576419212965</v>
      </c>
      <c r="B6901" s="49" t="s">
        <v>10543</v>
      </c>
    </row>
    <row r="6902" spans="1:2">
      <c r="A6902" s="66">
        <v>46071.57643591435</v>
      </c>
      <c r="B6902" s="49" t="s">
        <v>9394</v>
      </c>
    </row>
    <row r="6903" spans="1:2">
      <c r="A6903" s="66">
        <v>46071.577559201389</v>
      </c>
      <c r="B6903" s="49" t="s">
        <v>10556</v>
      </c>
    </row>
    <row r="6904" spans="1:2">
      <c r="A6904" s="66">
        <v>46071.57756164352</v>
      </c>
      <c r="B6904" s="49" t="s">
        <v>10557</v>
      </c>
    </row>
    <row r="6905" spans="1:2">
      <c r="A6905" s="66">
        <v>46071.577564108797</v>
      </c>
      <c r="B6905" s="49" t="s">
        <v>10546</v>
      </c>
    </row>
    <row r="6906" spans="1:2">
      <c r="A6906" s="66">
        <v>46071.577566458334</v>
      </c>
      <c r="B6906" s="49" t="s">
        <v>10466</v>
      </c>
    </row>
    <row r="6907" spans="1:2">
      <c r="A6907" s="66">
        <v>46071.577568877314</v>
      </c>
      <c r="B6907" s="49" t="s">
        <v>10561</v>
      </c>
    </row>
    <row r="6908" spans="1:2">
      <c r="A6908" s="66">
        <v>46071.577571377318</v>
      </c>
      <c r="B6908" s="49" t="s">
        <v>10562</v>
      </c>
    </row>
    <row r="6909" spans="1:2">
      <c r="A6909" s="66">
        <v>46071.577573657407</v>
      </c>
      <c r="B6909" s="49" t="s">
        <v>10563</v>
      </c>
    </row>
    <row r="6910" spans="1:2">
      <c r="A6910" s="66">
        <v>46071.577602743055</v>
      </c>
      <c r="B6910" s="49" t="s">
        <v>10541</v>
      </c>
    </row>
    <row r="6911" spans="1:2">
      <c r="A6911" s="66">
        <v>46071.577606122686</v>
      </c>
      <c r="B6911" s="49" t="s">
        <v>10542</v>
      </c>
    </row>
    <row r="6912" spans="1:2">
      <c r="A6912" s="66">
        <v>46071.577608946754</v>
      </c>
      <c r="B6912" s="49" t="s">
        <v>10543</v>
      </c>
    </row>
    <row r="6913" spans="1:2">
      <c r="A6913" s="66">
        <v>46071.57761493056</v>
      </c>
      <c r="B6913" s="49" t="s">
        <v>9394</v>
      </c>
    </row>
    <row r="6914" spans="1:2">
      <c r="A6914" s="66">
        <v>46071.578537673609</v>
      </c>
      <c r="B6914" s="49" t="s">
        <v>10556</v>
      </c>
    </row>
    <row r="6915" spans="1:2">
      <c r="A6915" s="66">
        <v>46071.578540393515</v>
      </c>
      <c r="B6915" s="49" t="s">
        <v>10557</v>
      </c>
    </row>
    <row r="6916" spans="1:2">
      <c r="A6916" s="66">
        <v>46071.578546354169</v>
      </c>
      <c r="B6916" s="49" t="s">
        <v>10546</v>
      </c>
    </row>
    <row r="6917" spans="1:2">
      <c r="A6917" s="66">
        <v>46071.578549062498</v>
      </c>
      <c r="B6917" s="49" t="s">
        <v>10466</v>
      </c>
    </row>
    <row r="6918" spans="1:2">
      <c r="A6918" s="66">
        <v>46071.578551678242</v>
      </c>
      <c r="B6918" s="49" t="s">
        <v>10561</v>
      </c>
    </row>
    <row r="6919" spans="1:2">
      <c r="A6919" s="66">
        <v>46071.578554224536</v>
      </c>
      <c r="B6919" s="49" t="s">
        <v>10562</v>
      </c>
    </row>
    <row r="6920" spans="1:2">
      <c r="A6920" s="66">
        <v>46071.578556793982</v>
      </c>
      <c r="B6920" s="49" t="s">
        <v>10563</v>
      </c>
    </row>
    <row r="6921" spans="1:2">
      <c r="A6921" s="66">
        <v>46071.578577789347</v>
      </c>
      <c r="B6921" s="49" t="s">
        <v>10541</v>
      </c>
    </row>
    <row r="6922" spans="1:2">
      <c r="A6922" s="66">
        <v>46071.578580706017</v>
      </c>
      <c r="B6922" s="49" t="s">
        <v>10542</v>
      </c>
    </row>
    <row r="6923" spans="1:2">
      <c r="A6923" s="66">
        <v>46071.578583310184</v>
      </c>
      <c r="B6923" s="49" t="s">
        <v>10543</v>
      </c>
    </row>
    <row r="6924" spans="1:2">
      <c r="A6924" s="66">
        <v>46071.578585706018</v>
      </c>
      <c r="B6924" s="49" t="s">
        <v>9394</v>
      </c>
    </row>
    <row r="6925" spans="1:2">
      <c r="A6925" s="66">
        <v>46071.579421481481</v>
      </c>
      <c r="B6925" s="49" t="s">
        <v>10556</v>
      </c>
    </row>
    <row r="6926" spans="1:2">
      <c r="A6926" s="66">
        <v>46071.579424074072</v>
      </c>
      <c r="B6926" s="49" t="s">
        <v>10557</v>
      </c>
    </row>
    <row r="6927" spans="1:2">
      <c r="A6927" s="66">
        <v>46071.579427245371</v>
      </c>
      <c r="B6927" s="49" t="s">
        <v>10546</v>
      </c>
    </row>
    <row r="6928" spans="1:2">
      <c r="A6928" s="66">
        <v>46071.579430358797</v>
      </c>
      <c r="B6928" s="49" t="s">
        <v>10466</v>
      </c>
    </row>
    <row r="6929" spans="1:2">
      <c r="A6929" s="66">
        <v>46071.579433113424</v>
      </c>
      <c r="B6929" s="49" t="s">
        <v>10561</v>
      </c>
    </row>
    <row r="6930" spans="1:2">
      <c r="A6930" s="66">
        <v>46071.579440138885</v>
      </c>
      <c r="B6930" s="49" t="s">
        <v>10562</v>
      </c>
    </row>
    <row r="6931" spans="1:2">
      <c r="A6931" s="66">
        <v>46071.579442754628</v>
      </c>
      <c r="B6931" s="49" t="s">
        <v>10563</v>
      </c>
    </row>
    <row r="6932" spans="1:2">
      <c r="A6932" s="66">
        <v>46071.579465347226</v>
      </c>
      <c r="B6932" s="49" t="s">
        <v>10541</v>
      </c>
    </row>
    <row r="6933" spans="1:2">
      <c r="A6933" s="66">
        <v>46071.579468206022</v>
      </c>
      <c r="B6933" s="49" t="s">
        <v>10542</v>
      </c>
    </row>
    <row r="6934" spans="1:2">
      <c r="A6934" s="66">
        <v>46071.579470960649</v>
      </c>
      <c r="B6934" s="49" t="s">
        <v>10543</v>
      </c>
    </row>
    <row r="6935" spans="1:2">
      <c r="A6935" s="66">
        <v>46071.579473344907</v>
      </c>
      <c r="B6935" s="49" t="s">
        <v>9394</v>
      </c>
    </row>
    <row r="6936" spans="1:2">
      <c r="A6936" s="66">
        <v>46071.580381712964</v>
      </c>
      <c r="B6936" s="49" t="s">
        <v>10556</v>
      </c>
    </row>
    <row r="6937" spans="1:2">
      <c r="A6937" s="66">
        <v>46071.580383773151</v>
      </c>
      <c r="B6937" s="49" t="s">
        <v>10557</v>
      </c>
    </row>
    <row r="6938" spans="1:2">
      <c r="A6938" s="66">
        <v>46071.58038561343</v>
      </c>
      <c r="B6938" s="49" t="s">
        <v>10546</v>
      </c>
    </row>
    <row r="6939" spans="1:2">
      <c r="A6939" s="66">
        <v>46071.580387453709</v>
      </c>
      <c r="B6939" s="49" t="s">
        <v>10466</v>
      </c>
    </row>
    <row r="6940" spans="1:2">
      <c r="A6940" s="66">
        <v>46071.58038939815</v>
      </c>
      <c r="B6940" s="49" t="s">
        <v>10561</v>
      </c>
    </row>
    <row r="6941" spans="1:2">
      <c r="A6941" s="66">
        <v>46071.580391180556</v>
      </c>
      <c r="B6941" s="49" t="s">
        <v>10562</v>
      </c>
    </row>
    <row r="6942" spans="1:2">
      <c r="A6942" s="66">
        <v>46071.580393090277</v>
      </c>
      <c r="B6942" s="49" t="s">
        <v>10563</v>
      </c>
    </row>
    <row r="6943" spans="1:2">
      <c r="A6943" s="66">
        <v>46071.580421863429</v>
      </c>
      <c r="B6943" s="49" t="s">
        <v>10541</v>
      </c>
    </row>
    <row r="6944" spans="1:2">
      <c r="A6944" s="66">
        <v>46071.580427858797</v>
      </c>
      <c r="B6944" s="49" t="s">
        <v>10542</v>
      </c>
    </row>
    <row r="6945" spans="1:2">
      <c r="A6945" s="66">
        <v>46071.580429756941</v>
      </c>
      <c r="B6945" s="49" t="s">
        <v>10543</v>
      </c>
    </row>
    <row r="6946" spans="1:2">
      <c r="A6946" s="66">
        <v>46071.580431516202</v>
      </c>
      <c r="B6946" s="49" t="s">
        <v>9394</v>
      </c>
    </row>
    <row r="6947" spans="1:2">
      <c r="A6947" s="66">
        <v>46071.581657291666</v>
      </c>
      <c r="B6947" s="49" t="s">
        <v>10556</v>
      </c>
    </row>
    <row r="6948" spans="1:2">
      <c r="A6948" s="66">
        <v>46071.581659479169</v>
      </c>
      <c r="B6948" s="49" t="s">
        <v>10557</v>
      </c>
    </row>
    <row r="6949" spans="1:2">
      <c r="A6949" s="66">
        <v>46071.581661597222</v>
      </c>
      <c r="B6949" s="49" t="s">
        <v>10546</v>
      </c>
    </row>
    <row r="6950" spans="1:2">
      <c r="A6950" s="66">
        <v>46071.581663946759</v>
      </c>
      <c r="B6950" s="49" t="s">
        <v>10466</v>
      </c>
    </row>
    <row r="6951" spans="1:2">
      <c r="A6951" s="66">
        <v>46071.581666516198</v>
      </c>
      <c r="B6951" s="49" t="s">
        <v>10561</v>
      </c>
    </row>
    <row r="6952" spans="1:2">
      <c r="A6952" s="66">
        <v>46071.581669050924</v>
      </c>
      <c r="B6952" s="49" t="s">
        <v>10562</v>
      </c>
    </row>
    <row r="6953" spans="1:2">
      <c r="A6953" s="66">
        <v>46071.581674016204</v>
      </c>
      <c r="B6953" s="49" t="s">
        <v>10563</v>
      </c>
    </row>
    <row r="6954" spans="1:2">
      <c r="A6954" s="66">
        <v>46071.581694016204</v>
      </c>
      <c r="B6954" s="49" t="s">
        <v>10541</v>
      </c>
    </row>
    <row r="6955" spans="1:2">
      <c r="A6955" s="66">
        <v>46071.581696759255</v>
      </c>
      <c r="B6955" s="49" t="s">
        <v>10542</v>
      </c>
    </row>
    <row r="6956" spans="1:2">
      <c r="A6956" s="66">
        <v>46071.581699050927</v>
      </c>
      <c r="B6956" s="49" t="s">
        <v>10543</v>
      </c>
    </row>
    <row r="6957" spans="1:2">
      <c r="A6957" s="66">
        <v>46071.581702986106</v>
      </c>
      <c r="B6957" s="49" t="s">
        <v>9394</v>
      </c>
    </row>
    <row r="6958" spans="1:2">
      <c r="A6958" s="66">
        <v>46071.582881099537</v>
      </c>
      <c r="B6958" s="49" t="s">
        <v>10556</v>
      </c>
    </row>
    <row r="6959" spans="1:2">
      <c r="A6959" s="66">
        <v>46071.582882858798</v>
      </c>
      <c r="B6959" s="49" t="s">
        <v>10557</v>
      </c>
    </row>
    <row r="6960" spans="1:2">
      <c r="A6960" s="66">
        <v>46071.582884629628</v>
      </c>
      <c r="B6960" s="49" t="s">
        <v>10546</v>
      </c>
    </row>
    <row r="6961" spans="1:2">
      <c r="A6961" s="66">
        <v>46071.58288642361</v>
      </c>
      <c r="B6961" s="49" t="s">
        <v>10466</v>
      </c>
    </row>
    <row r="6962" spans="1:2">
      <c r="A6962" s="66">
        <v>46071.582888055556</v>
      </c>
      <c r="B6962" s="49" t="s">
        <v>10561</v>
      </c>
    </row>
    <row r="6963" spans="1:2">
      <c r="A6963" s="66">
        <v>46071.582889664351</v>
      </c>
      <c r="B6963" s="49" t="s">
        <v>10562</v>
      </c>
    </row>
    <row r="6964" spans="1:2">
      <c r="A6964" s="66">
        <v>46071.582891597223</v>
      </c>
      <c r="B6964" s="49" t="s">
        <v>10563</v>
      </c>
    </row>
    <row r="6965" spans="1:2">
      <c r="A6965" s="66">
        <v>46071.582915092593</v>
      </c>
      <c r="B6965" s="49" t="s">
        <v>10541</v>
      </c>
    </row>
    <row r="6966" spans="1:2">
      <c r="A6966" s="66">
        <v>46071.582926284726</v>
      </c>
      <c r="B6966" s="49" t="s">
        <v>10542</v>
      </c>
    </row>
    <row r="6967" spans="1:2">
      <c r="A6967" s="66">
        <v>46071.582928148149</v>
      </c>
      <c r="B6967" s="49" t="s">
        <v>10543</v>
      </c>
    </row>
    <row r="6968" spans="1:2">
      <c r="A6968" s="66">
        <v>46071.582929976852</v>
      </c>
      <c r="B6968" s="49" t="s">
        <v>9394</v>
      </c>
    </row>
    <row r="6969" spans="1:2">
      <c r="A6969" s="66">
        <v>46071.584175625001</v>
      </c>
      <c r="B6969" s="49" t="s">
        <v>10556</v>
      </c>
    </row>
    <row r="6970" spans="1:2">
      <c r="A6970" s="66">
        <v>46071.58417800926</v>
      </c>
      <c r="B6970" s="49" t="s">
        <v>10557</v>
      </c>
    </row>
    <row r="6971" spans="1:2">
      <c r="A6971" s="66">
        <v>46071.584180289356</v>
      </c>
      <c r="B6971" s="49" t="s">
        <v>10546</v>
      </c>
    </row>
    <row r="6972" spans="1:2">
      <c r="A6972" s="66">
        <v>46071.584182800929</v>
      </c>
      <c r="B6972" s="49" t="s">
        <v>10466</v>
      </c>
    </row>
    <row r="6973" spans="1:2">
      <c r="A6973" s="66">
        <v>46071.584185057873</v>
      </c>
      <c r="B6973" s="49" t="s">
        <v>10561</v>
      </c>
    </row>
    <row r="6974" spans="1:2">
      <c r="A6974" s="66">
        <v>46071.584187280096</v>
      </c>
      <c r="B6974" s="49" t="s">
        <v>10562</v>
      </c>
    </row>
    <row r="6975" spans="1:2">
      <c r="A6975" s="66">
        <v>46071.584190601847</v>
      </c>
      <c r="B6975" s="49" t="s">
        <v>10563</v>
      </c>
    </row>
    <row r="6976" spans="1:2">
      <c r="A6976" s="66">
        <v>46071.584213518523</v>
      </c>
      <c r="B6976" s="49" t="s">
        <v>10541</v>
      </c>
    </row>
    <row r="6977" spans="1:2">
      <c r="A6977" s="66">
        <v>46071.584216284726</v>
      </c>
      <c r="B6977" s="49" t="s">
        <v>10542</v>
      </c>
    </row>
    <row r="6978" spans="1:2">
      <c r="A6978" s="66">
        <v>46071.584218483797</v>
      </c>
      <c r="B6978" s="49" t="s">
        <v>10543</v>
      </c>
    </row>
    <row r="6979" spans="1:2">
      <c r="A6979" s="66">
        <v>46071.584221018522</v>
      </c>
      <c r="B6979" s="49" t="s">
        <v>9394</v>
      </c>
    </row>
    <row r="6980" spans="1:2">
      <c r="A6980" s="66">
        <v>46071.585233414356</v>
      </c>
      <c r="B6980" s="49" t="s">
        <v>10556</v>
      </c>
    </row>
    <row r="6981" spans="1:2">
      <c r="A6981" s="66">
        <v>46071.585236180559</v>
      </c>
      <c r="B6981" s="49" t="s">
        <v>10557</v>
      </c>
    </row>
    <row r="6982" spans="1:2">
      <c r="A6982" s="66">
        <v>46071.5852390625</v>
      </c>
      <c r="B6982" s="49" t="s">
        <v>10546</v>
      </c>
    </row>
    <row r="6983" spans="1:2">
      <c r="A6983" s="66">
        <v>46071.585241747685</v>
      </c>
      <c r="B6983" s="49" t="s">
        <v>10466</v>
      </c>
    </row>
    <row r="6984" spans="1:2">
      <c r="A6984" s="66">
        <v>46071.585244293979</v>
      </c>
      <c r="B6984" s="49" t="s">
        <v>10561</v>
      </c>
    </row>
    <row r="6985" spans="1:2">
      <c r="A6985" s="66">
        <v>46071.585247141207</v>
      </c>
      <c r="B6985" s="49" t="s">
        <v>10562</v>
      </c>
    </row>
    <row r="6986" spans="1:2">
      <c r="A6986" s="66">
        <v>46071.585250659722</v>
      </c>
      <c r="B6986" s="49" t="s">
        <v>10563</v>
      </c>
    </row>
    <row r="6987" spans="1:2">
      <c r="A6987" s="66">
        <v>46071.5852719213</v>
      </c>
      <c r="B6987" s="49" t="s">
        <v>10541</v>
      </c>
    </row>
    <row r="6988" spans="1:2">
      <c r="A6988" s="66">
        <v>46071.585274861107</v>
      </c>
      <c r="B6988" s="49" t="s">
        <v>10542</v>
      </c>
    </row>
    <row r="6989" spans="1:2">
      <c r="A6989" s="66">
        <v>46071.585278009261</v>
      </c>
      <c r="B6989" s="49" t="s">
        <v>10543</v>
      </c>
    </row>
    <row r="6990" spans="1:2">
      <c r="A6990" s="66">
        <v>46071.585280636573</v>
      </c>
      <c r="B6990" s="49" t="s">
        <v>9394</v>
      </c>
    </row>
    <row r="6991" spans="1:2">
      <c r="A6991" s="66">
        <v>46071.586086793977</v>
      </c>
      <c r="B6991" s="49" t="s">
        <v>10556</v>
      </c>
    </row>
    <row r="6992" spans="1:2">
      <c r="A6992" s="66">
        <v>46071.586089606484</v>
      </c>
      <c r="B6992" s="49" t="s">
        <v>10557</v>
      </c>
    </row>
    <row r="6993" spans="1:2">
      <c r="A6993" s="66">
        <v>46071.586092754631</v>
      </c>
      <c r="B6993" s="49" t="s">
        <v>10546</v>
      </c>
    </row>
    <row r="6994" spans="1:2">
      <c r="A6994" s="66">
        <v>46071.586095787032</v>
      </c>
      <c r="B6994" s="49" t="s">
        <v>10466</v>
      </c>
    </row>
    <row r="6995" spans="1:2">
      <c r="A6995" s="66">
        <v>46071.586098553242</v>
      </c>
      <c r="B6995" s="49" t="s">
        <v>10561</v>
      </c>
    </row>
    <row r="6996" spans="1:2">
      <c r="A6996" s="66">
        <v>46071.586101412038</v>
      </c>
      <c r="B6996" s="49" t="s">
        <v>10562</v>
      </c>
    </row>
    <row r="6997" spans="1:2">
      <c r="A6997" s="66">
        <v>46071.586112280092</v>
      </c>
      <c r="B6997" s="49" t="s">
        <v>10563</v>
      </c>
    </row>
    <row r="6998" spans="1:2">
      <c r="A6998" s="66">
        <v>46071.586135509264</v>
      </c>
      <c r="B6998" s="49" t="s">
        <v>10541</v>
      </c>
    </row>
    <row r="6999" spans="1:2">
      <c r="A6999" s="66">
        <v>46071.586138275467</v>
      </c>
      <c r="B6999" s="49" t="s">
        <v>10542</v>
      </c>
    </row>
    <row r="7000" spans="1:2">
      <c r="A7000" s="66">
        <v>46071.586143136577</v>
      </c>
      <c r="B7000" s="49" t="s">
        <v>10543</v>
      </c>
    </row>
    <row r="7001" spans="1:2">
      <c r="A7001" s="66">
        <v>46071.58614579861</v>
      </c>
      <c r="B7001" s="49" t="s">
        <v>9394</v>
      </c>
    </row>
    <row r="7002" spans="1:2">
      <c r="A7002" s="66">
        <v>46071.587401122684</v>
      </c>
      <c r="B7002" s="49" t="s">
        <v>10556</v>
      </c>
    </row>
    <row r="7003" spans="1:2">
      <c r="A7003" s="66">
        <v>46071.587403530095</v>
      </c>
      <c r="B7003" s="49" t="s">
        <v>10557</v>
      </c>
    </row>
    <row r="7004" spans="1:2">
      <c r="A7004" s="66">
        <v>46071.587405844912</v>
      </c>
      <c r="B7004" s="49" t="s">
        <v>10546</v>
      </c>
    </row>
    <row r="7005" spans="1:2">
      <c r="A7005" s="66">
        <v>46071.587408090279</v>
      </c>
      <c r="B7005" s="49" t="s">
        <v>10466</v>
      </c>
    </row>
    <row r="7006" spans="1:2">
      <c r="A7006" s="66">
        <v>46071.587410497683</v>
      </c>
      <c r="B7006" s="49" t="s">
        <v>10561</v>
      </c>
    </row>
    <row r="7007" spans="1:2">
      <c r="A7007" s="66">
        <v>46071.587417465278</v>
      </c>
      <c r="B7007" s="49" t="s">
        <v>10562</v>
      </c>
    </row>
    <row r="7008" spans="1:2">
      <c r="A7008" s="66">
        <v>46071.587420127311</v>
      </c>
      <c r="B7008" s="49" t="s">
        <v>10563</v>
      </c>
    </row>
    <row r="7009" spans="1:2">
      <c r="A7009" s="66">
        <v>46071.587440023148</v>
      </c>
      <c r="B7009" s="49" t="s">
        <v>10541</v>
      </c>
    </row>
    <row r="7010" spans="1:2">
      <c r="A7010" s="66">
        <v>46071.587443009259</v>
      </c>
      <c r="B7010" s="49" t="s">
        <v>10542</v>
      </c>
    </row>
    <row r="7011" spans="1:2">
      <c r="A7011" s="66">
        <v>46071.587445451391</v>
      </c>
      <c r="B7011" s="49" t="s">
        <v>10543</v>
      </c>
    </row>
    <row r="7012" spans="1:2">
      <c r="A7012" s="66">
        <v>46071.587447662037</v>
      </c>
      <c r="B7012" s="49" t="s">
        <v>9394</v>
      </c>
    </row>
    <row r="7013" spans="1:2">
      <c r="A7013" s="66">
        <v>46071.588232395836</v>
      </c>
      <c r="B7013" s="49" t="s">
        <v>10556</v>
      </c>
    </row>
    <row r="7014" spans="1:2">
      <c r="A7014" s="66">
        <v>46071.588235532407</v>
      </c>
      <c r="B7014" s="49" t="s">
        <v>10557</v>
      </c>
    </row>
    <row r="7015" spans="1:2">
      <c r="A7015" s="66">
        <v>46071.588238842596</v>
      </c>
      <c r="B7015" s="49" t="s">
        <v>10546</v>
      </c>
    </row>
    <row r="7016" spans="1:2">
      <c r="A7016" s="66">
        <v>46071.58824164352</v>
      </c>
      <c r="B7016" s="49" t="s">
        <v>10466</v>
      </c>
    </row>
    <row r="7017" spans="1:2">
      <c r="A7017" s="66">
        <v>46071.588244652783</v>
      </c>
      <c r="B7017" s="49" t="s">
        <v>10561</v>
      </c>
    </row>
    <row r="7018" spans="1:2">
      <c r="A7018" s="66">
        <v>46071.588250185188</v>
      </c>
      <c r="B7018" s="49" t="s">
        <v>10562</v>
      </c>
    </row>
    <row r="7019" spans="1:2">
      <c r="A7019" s="66">
        <v>46071.58826074074</v>
      </c>
      <c r="B7019" s="49" t="s">
        <v>10563</v>
      </c>
    </row>
    <row r="7020" spans="1:2">
      <c r="A7020" s="66">
        <v>46071.588283645833</v>
      </c>
      <c r="B7020" s="49" t="s">
        <v>10541</v>
      </c>
    </row>
    <row r="7021" spans="1:2">
      <c r="A7021" s="66">
        <v>46071.588286932871</v>
      </c>
      <c r="B7021" s="49" t="s">
        <v>10542</v>
      </c>
    </row>
    <row r="7022" spans="1:2">
      <c r="A7022" s="66">
        <v>46071.588290092594</v>
      </c>
      <c r="B7022" s="49" t="s">
        <v>10543</v>
      </c>
    </row>
    <row r="7023" spans="1:2">
      <c r="A7023" s="66">
        <v>46071.588292997687</v>
      </c>
      <c r="B7023" s="49" t="s">
        <v>9394</v>
      </c>
    </row>
    <row r="7024" spans="1:2">
      <c r="A7024" s="66">
        <v>46071.589152986111</v>
      </c>
      <c r="B7024" s="49" t="s">
        <v>10556</v>
      </c>
    </row>
    <row r="7025" spans="1:2">
      <c r="A7025" s="66">
        <v>46071.589155578702</v>
      </c>
      <c r="B7025" s="49" t="s">
        <v>10557</v>
      </c>
    </row>
    <row r="7026" spans="1:2">
      <c r="A7026" s="66">
        <v>46071.589158310184</v>
      </c>
      <c r="B7026" s="49" t="s">
        <v>10546</v>
      </c>
    </row>
    <row r="7027" spans="1:2">
      <c r="A7027" s="66">
        <v>46071.589162800927</v>
      </c>
      <c r="B7027" s="49" t="s">
        <v>10466</v>
      </c>
    </row>
    <row r="7028" spans="1:2">
      <c r="A7028" s="66">
        <v>46071.589165254627</v>
      </c>
      <c r="B7028" s="49" t="s">
        <v>10561</v>
      </c>
    </row>
    <row r="7029" spans="1:2">
      <c r="A7029" s="66">
        <v>46071.589168032406</v>
      </c>
      <c r="B7029" s="49" t="s">
        <v>10562</v>
      </c>
    </row>
    <row r="7030" spans="1:2">
      <c r="A7030" s="66">
        <v>46071.589170856481</v>
      </c>
      <c r="B7030" s="49" t="s">
        <v>10563</v>
      </c>
    </row>
    <row r="7031" spans="1:2">
      <c r="A7031" s="66">
        <v>46071.589200532406</v>
      </c>
      <c r="B7031" s="49" t="s">
        <v>10541</v>
      </c>
    </row>
    <row r="7032" spans="1:2">
      <c r="A7032" s="66">
        <v>46071.58920347222</v>
      </c>
      <c r="B7032" s="49" t="s">
        <v>10542</v>
      </c>
    </row>
    <row r="7033" spans="1:2">
      <c r="A7033" s="66">
        <v>46071.589206099539</v>
      </c>
      <c r="B7033" s="49" t="s">
        <v>10543</v>
      </c>
    </row>
    <row r="7034" spans="1:2">
      <c r="A7034" s="66">
        <v>46071.589208611113</v>
      </c>
      <c r="B7034" s="49" t="s">
        <v>9394</v>
      </c>
    </row>
    <row r="7035" spans="1:2">
      <c r="A7035" s="66">
        <v>46071.590561446763</v>
      </c>
      <c r="B7035" s="49" t="s">
        <v>10556</v>
      </c>
    </row>
    <row r="7036" spans="1:2">
      <c r="A7036" s="66">
        <v>46071.590563877311</v>
      </c>
      <c r="B7036" s="49" t="s">
        <v>10557</v>
      </c>
    </row>
    <row r="7037" spans="1:2">
      <c r="A7037" s="66">
        <v>46071.590566608793</v>
      </c>
      <c r="B7037" s="49" t="s">
        <v>10546</v>
      </c>
    </row>
    <row r="7038" spans="1:2">
      <c r="A7038" s="66">
        <v>46071.590569097221</v>
      </c>
      <c r="B7038" s="49" t="s">
        <v>10466</v>
      </c>
    </row>
    <row r="7039" spans="1:2">
      <c r="A7039" s="66">
        <v>46071.590582997684</v>
      </c>
      <c r="B7039" s="49" t="s">
        <v>10561</v>
      </c>
    </row>
    <row r="7040" spans="1:2">
      <c r="A7040" s="66">
        <v>46071.59058585648</v>
      </c>
      <c r="B7040" s="49" t="s">
        <v>10562</v>
      </c>
    </row>
    <row r="7041" spans="1:2">
      <c r="A7041" s="66">
        <v>46071.590589166663</v>
      </c>
      <c r="B7041" s="49" t="s">
        <v>10563</v>
      </c>
    </row>
    <row r="7042" spans="1:2">
      <c r="A7042" s="66">
        <v>46071.590612349537</v>
      </c>
      <c r="B7042" s="49" t="s">
        <v>10541</v>
      </c>
    </row>
    <row r="7043" spans="1:2">
      <c r="A7043" s="66">
        <v>46071.590615486115</v>
      </c>
      <c r="B7043" s="49" t="s">
        <v>10542</v>
      </c>
    </row>
    <row r="7044" spans="1:2">
      <c r="A7044" s="66">
        <v>46071.590617835653</v>
      </c>
      <c r="B7044" s="49" t="s">
        <v>10543</v>
      </c>
    </row>
    <row r="7045" spans="1:2">
      <c r="A7045" s="66">
        <v>46071.590620243056</v>
      </c>
      <c r="B7045" s="49" t="s">
        <v>9394</v>
      </c>
    </row>
    <row r="7046" spans="1:2">
      <c r="A7046" s="66">
        <v>46071.591685949075</v>
      </c>
      <c r="B7046" s="49" t="s">
        <v>10556</v>
      </c>
    </row>
    <row r="7047" spans="1:2">
      <c r="A7047" s="66">
        <v>46071.591688078704</v>
      </c>
      <c r="B7047" s="49" t="s">
        <v>10557</v>
      </c>
    </row>
    <row r="7048" spans="1:2">
      <c r="A7048" s="66">
        <v>46071.591690231478</v>
      </c>
      <c r="B7048" s="49" t="s">
        <v>10546</v>
      </c>
    </row>
    <row r="7049" spans="1:2">
      <c r="A7049" s="66">
        <v>46071.591695509254</v>
      </c>
      <c r="B7049" s="49" t="s">
        <v>10466</v>
      </c>
    </row>
    <row r="7050" spans="1:2">
      <c r="A7050" s="66">
        <v>46071.591697557873</v>
      </c>
      <c r="B7050" s="49" t="s">
        <v>10561</v>
      </c>
    </row>
    <row r="7051" spans="1:2">
      <c r="A7051" s="66">
        <v>46071.59169961806</v>
      </c>
      <c r="B7051" s="49" t="s">
        <v>10562</v>
      </c>
    </row>
    <row r="7052" spans="1:2">
      <c r="A7052" s="66">
        <v>46071.591701712961</v>
      </c>
      <c r="B7052" s="49" t="s">
        <v>10563</v>
      </c>
    </row>
    <row r="7053" spans="1:2">
      <c r="A7053" s="66">
        <v>46071.591722523153</v>
      </c>
      <c r="B7053" s="49" t="s">
        <v>10541</v>
      </c>
    </row>
    <row r="7054" spans="1:2">
      <c r="A7054" s="66">
        <v>46071.5917309375</v>
      </c>
      <c r="B7054" s="49" t="s">
        <v>10542</v>
      </c>
    </row>
    <row r="7055" spans="1:2">
      <c r="A7055" s="66">
        <v>46071.591733101857</v>
      </c>
      <c r="B7055" s="49" t="s">
        <v>10543</v>
      </c>
    </row>
    <row r="7056" spans="1:2">
      <c r="A7056" s="66">
        <v>46071.591735243055</v>
      </c>
      <c r="B7056" s="49" t="s">
        <v>9394</v>
      </c>
    </row>
    <row r="7057" spans="1:2">
      <c r="A7057" s="66">
        <v>46071.59254140046</v>
      </c>
      <c r="B7057" s="49" t="s">
        <v>10556</v>
      </c>
    </row>
    <row r="7058" spans="1:2">
      <c r="A7058" s="66">
        <v>46071.592543460647</v>
      </c>
      <c r="B7058" s="49" t="s">
        <v>10557</v>
      </c>
    </row>
    <row r="7059" spans="1:2">
      <c r="A7059" s="66">
        <v>46071.592545636573</v>
      </c>
      <c r="B7059" s="49" t="s">
        <v>10546</v>
      </c>
    </row>
    <row r="7060" spans="1:2">
      <c r="A7060" s="66">
        <v>46071.592547743057</v>
      </c>
      <c r="B7060" s="49" t="s">
        <v>10466</v>
      </c>
    </row>
    <row r="7061" spans="1:2">
      <c r="A7061" s="66">
        <v>46071.592550000001</v>
      </c>
      <c r="B7061" s="49" t="s">
        <v>10561</v>
      </c>
    </row>
    <row r="7062" spans="1:2">
      <c r="A7062" s="66">
        <v>46071.592552152782</v>
      </c>
      <c r="B7062" s="49" t="s">
        <v>10562</v>
      </c>
    </row>
    <row r="7063" spans="1:2">
      <c r="A7063" s="66">
        <v>46071.592561990736</v>
      </c>
      <c r="B7063" s="49" t="s">
        <v>10563</v>
      </c>
    </row>
    <row r="7064" spans="1:2">
      <c r="A7064" s="66">
        <v>46071.59258261574</v>
      </c>
      <c r="B7064" s="49" t="s">
        <v>10541</v>
      </c>
    </row>
    <row r="7065" spans="1:2">
      <c r="A7065" s="66">
        <v>46071.592585196762</v>
      </c>
      <c r="B7065" s="49" t="s">
        <v>10542</v>
      </c>
    </row>
    <row r="7066" spans="1:2">
      <c r="A7066" s="66">
        <v>46071.592587349536</v>
      </c>
      <c r="B7066" s="49" t="s">
        <v>10543</v>
      </c>
    </row>
    <row r="7067" spans="1:2">
      <c r="A7067" s="66">
        <v>46071.5925894213</v>
      </c>
      <c r="B7067" s="49" t="s">
        <v>9394</v>
      </c>
    </row>
    <row r="7068" spans="1:2">
      <c r="A7068" s="66">
        <v>46071.593512175925</v>
      </c>
      <c r="B7068" s="49" t="s">
        <v>10556</v>
      </c>
    </row>
    <row r="7069" spans="1:2">
      <c r="A7069" s="66">
        <v>46071.593518287038</v>
      </c>
      <c r="B7069" s="49" t="s">
        <v>10557</v>
      </c>
    </row>
    <row r="7070" spans="1:2">
      <c r="A7070" s="66">
        <v>46071.593523101852</v>
      </c>
      <c r="B7070" s="49" t="s">
        <v>10546</v>
      </c>
    </row>
    <row r="7071" spans="1:2">
      <c r="A7071" s="66">
        <v>46071.593525520831</v>
      </c>
      <c r="B7071" s="49" t="s">
        <v>10466</v>
      </c>
    </row>
    <row r="7072" spans="1:2">
      <c r="A7072" s="66">
        <v>46071.593528287034</v>
      </c>
      <c r="B7072" s="49" t="s">
        <v>10561</v>
      </c>
    </row>
    <row r="7073" spans="1:2">
      <c r="A7073" s="66">
        <v>46071.593530659724</v>
      </c>
      <c r="B7073" s="49" t="s">
        <v>10562</v>
      </c>
    </row>
    <row r="7074" spans="1:2">
      <c r="A7074" s="66">
        <v>46071.59353327546</v>
      </c>
      <c r="B7074" s="49" t="s">
        <v>10563</v>
      </c>
    </row>
    <row r="7075" spans="1:2">
      <c r="A7075" s="66">
        <v>46071.59355229167</v>
      </c>
      <c r="B7075" s="49" t="s">
        <v>10541</v>
      </c>
    </row>
    <row r="7076" spans="1:2">
      <c r="A7076" s="66">
        <v>46071.593555659725</v>
      </c>
      <c r="B7076" s="49" t="s">
        <v>10542</v>
      </c>
    </row>
    <row r="7077" spans="1:2">
      <c r="A7077" s="66">
        <v>46071.593558425928</v>
      </c>
      <c r="B7077" s="49" t="s">
        <v>10543</v>
      </c>
    </row>
    <row r="7078" spans="1:2">
      <c r="A7078" s="66">
        <v>46071.59356119213</v>
      </c>
      <c r="B7078" s="49" t="s">
        <v>9394</v>
      </c>
    </row>
    <row r="7079" spans="1:2">
      <c r="A7079" s="66">
        <v>46071.594452650461</v>
      </c>
      <c r="B7079" s="49" t="s">
        <v>10556</v>
      </c>
    </row>
    <row r="7080" spans="1:2">
      <c r="A7080" s="66">
        <v>46071.594456087958</v>
      </c>
      <c r="B7080" s="49" t="s">
        <v>10557</v>
      </c>
    </row>
    <row r="7081" spans="1:2">
      <c r="A7081" s="66">
        <v>46071.594459224536</v>
      </c>
      <c r="B7081" s="49" t="s">
        <v>10546</v>
      </c>
    </row>
    <row r="7082" spans="1:2">
      <c r="A7082" s="66">
        <v>46071.59446231481</v>
      </c>
      <c r="B7082" s="49" t="s">
        <v>10466</v>
      </c>
    </row>
    <row r="7083" spans="1:2">
      <c r="A7083" s="66">
        <v>46071.594465393515</v>
      </c>
      <c r="B7083" s="49" t="s">
        <v>10561</v>
      </c>
    </row>
    <row r="7084" spans="1:2">
      <c r="A7084" s="66">
        <v>46071.594468460651</v>
      </c>
      <c r="B7084" s="49" t="s">
        <v>10562</v>
      </c>
    </row>
    <row r="7085" spans="1:2">
      <c r="A7085" s="66">
        <v>46071.594471562501</v>
      </c>
      <c r="B7085" s="49" t="s">
        <v>10563</v>
      </c>
    </row>
    <row r="7086" spans="1:2">
      <c r="A7086" s="66">
        <v>46071.594501701387</v>
      </c>
      <c r="B7086" s="49" t="s">
        <v>10541</v>
      </c>
    </row>
    <row r="7087" spans="1:2">
      <c r="A7087" s="66">
        <v>46071.594504710651</v>
      </c>
      <c r="B7087" s="49" t="s">
        <v>10542</v>
      </c>
    </row>
    <row r="7088" spans="1:2">
      <c r="A7088" s="66">
        <v>46071.594516412035</v>
      </c>
      <c r="B7088" s="49" t="s">
        <v>10543</v>
      </c>
    </row>
    <row r="7089" spans="1:2">
      <c r="A7089" s="66">
        <v>46071.594520902778</v>
      </c>
      <c r="B7089" s="49" t="s">
        <v>9394</v>
      </c>
    </row>
    <row r="7090" spans="1:2">
      <c r="A7090" s="66">
        <v>46071.595299768524</v>
      </c>
      <c r="B7090" s="49" t="s">
        <v>10556</v>
      </c>
    </row>
    <row r="7091" spans="1:2">
      <c r="A7091" s="66">
        <v>46071.595301898153</v>
      </c>
      <c r="B7091" s="49" t="s">
        <v>10557</v>
      </c>
    </row>
    <row r="7092" spans="1:2">
      <c r="A7092" s="66">
        <v>46071.595308298609</v>
      </c>
      <c r="B7092" s="49" t="s">
        <v>10546</v>
      </c>
    </row>
    <row r="7093" spans="1:2">
      <c r="A7093" s="66">
        <v>46071.595310370365</v>
      </c>
      <c r="B7093" s="49" t="s">
        <v>10466</v>
      </c>
    </row>
    <row r="7094" spans="1:2">
      <c r="A7094" s="66">
        <v>46071.595312569443</v>
      </c>
      <c r="B7094" s="49" t="s">
        <v>10561</v>
      </c>
    </row>
    <row r="7095" spans="1:2">
      <c r="A7095" s="66">
        <v>46071.595314606486</v>
      </c>
      <c r="B7095" s="49" t="s">
        <v>10562</v>
      </c>
    </row>
    <row r="7096" spans="1:2">
      <c r="A7096" s="66">
        <v>46071.595316585648</v>
      </c>
      <c r="B7096" s="49" t="s">
        <v>10563</v>
      </c>
    </row>
    <row r="7097" spans="1:2">
      <c r="A7097" s="66">
        <v>46071.595335185186</v>
      </c>
      <c r="B7097" s="49" t="s">
        <v>10541</v>
      </c>
    </row>
    <row r="7098" spans="1:2">
      <c r="A7098" s="66">
        <v>46071.595349745374</v>
      </c>
      <c r="B7098" s="49" t="s">
        <v>10542</v>
      </c>
    </row>
    <row r="7099" spans="1:2">
      <c r="A7099" s="66">
        <v>46071.595351840282</v>
      </c>
      <c r="B7099" s="49" t="s">
        <v>10543</v>
      </c>
    </row>
    <row r="7100" spans="1:2">
      <c r="A7100" s="66">
        <v>46071.595353831013</v>
      </c>
      <c r="B7100" s="49" t="s">
        <v>9394</v>
      </c>
    </row>
    <row r="7101" spans="1:2">
      <c r="A7101" s="66">
        <v>46071.596415636574</v>
      </c>
      <c r="B7101" s="49" t="s">
        <v>10556</v>
      </c>
    </row>
    <row r="7102" spans="1:2">
      <c r="A7102" s="66">
        <v>46071.59642530093</v>
      </c>
      <c r="B7102" s="49" t="s">
        <v>10557</v>
      </c>
    </row>
    <row r="7103" spans="1:2">
      <c r="A7103" s="66">
        <v>46071.596427696757</v>
      </c>
      <c r="B7103" s="49" t="s">
        <v>10546</v>
      </c>
    </row>
    <row r="7104" spans="1:2">
      <c r="A7104" s="66">
        <v>46071.596429756944</v>
      </c>
      <c r="B7104" s="49" t="s">
        <v>10466</v>
      </c>
    </row>
    <row r="7105" spans="1:2">
      <c r="A7105" s="66">
        <v>46071.596431828701</v>
      </c>
      <c r="B7105" s="49" t="s">
        <v>10561</v>
      </c>
    </row>
    <row r="7106" spans="1:2">
      <c r="A7106" s="66">
        <v>46071.596435925923</v>
      </c>
      <c r="B7106" s="49" t="s">
        <v>10562</v>
      </c>
    </row>
    <row r="7107" spans="1:2">
      <c r="A7107" s="66">
        <v>46071.596438113425</v>
      </c>
      <c r="B7107" s="49" t="s">
        <v>10563</v>
      </c>
    </row>
    <row r="7108" spans="1:2">
      <c r="A7108" s="66">
        <v>46071.596454803243</v>
      </c>
      <c r="B7108" s="49" t="s">
        <v>10541</v>
      </c>
    </row>
    <row r="7109" spans="1:2">
      <c r="A7109" s="66">
        <v>46071.596457268519</v>
      </c>
      <c r="B7109" s="49" t="s">
        <v>10542</v>
      </c>
    </row>
    <row r="7110" spans="1:2">
      <c r="A7110" s="66">
        <v>46071.596459513894</v>
      </c>
      <c r="B7110" s="49" t="s">
        <v>10543</v>
      </c>
    </row>
    <row r="7111" spans="1:2">
      <c r="A7111" s="66">
        <v>46071.596461504625</v>
      </c>
      <c r="B7111" s="49" t="s">
        <v>9394</v>
      </c>
    </row>
    <row r="7112" spans="1:2">
      <c r="A7112" s="66">
        <v>46071.597512106484</v>
      </c>
      <c r="B7112" s="49" t="s">
        <v>10556</v>
      </c>
    </row>
    <row r="7113" spans="1:2">
      <c r="A7113" s="66">
        <v>46071.597514317131</v>
      </c>
      <c r="B7113" s="49" t="s">
        <v>10557</v>
      </c>
    </row>
    <row r="7114" spans="1:2">
      <c r="A7114" s="66">
        <v>46071.59752200231</v>
      </c>
      <c r="B7114" s="49" t="s">
        <v>10546</v>
      </c>
    </row>
    <row r="7115" spans="1:2">
      <c r="A7115" s="66">
        <v>46071.597524386569</v>
      </c>
      <c r="B7115" s="49" t="s">
        <v>10466</v>
      </c>
    </row>
    <row r="7116" spans="1:2">
      <c r="A7116" s="66">
        <v>46071.597526562502</v>
      </c>
      <c r="B7116" s="49" t="s">
        <v>10561</v>
      </c>
    </row>
    <row r="7117" spans="1:2">
      <c r="A7117" s="66">
        <v>46071.597528784725</v>
      </c>
      <c r="B7117" s="49" t="s">
        <v>10562</v>
      </c>
    </row>
    <row r="7118" spans="1:2">
      <c r="A7118" s="66">
        <v>46071.597531273146</v>
      </c>
      <c r="B7118" s="49" t="s">
        <v>10563</v>
      </c>
    </row>
    <row r="7119" spans="1:2">
      <c r="A7119" s="66">
        <v>46071.597554351851</v>
      </c>
      <c r="B7119" s="49" t="s">
        <v>10541</v>
      </c>
    </row>
    <row r="7120" spans="1:2">
      <c r="A7120" s="66">
        <v>46071.597557118061</v>
      </c>
      <c r="B7120" s="49" t="s">
        <v>10542</v>
      </c>
    </row>
    <row r="7121" spans="1:2">
      <c r="A7121" s="66">
        <v>46071.597559166665</v>
      </c>
      <c r="B7121" s="49" t="s">
        <v>10543</v>
      </c>
    </row>
    <row r="7122" spans="1:2">
      <c r="A7122" s="66">
        <v>46071.597561828705</v>
      </c>
      <c r="B7122" s="49" t="s">
        <v>9394</v>
      </c>
    </row>
    <row r="7123" spans="1:2">
      <c r="A7123" s="66">
        <v>46071.598883750004</v>
      </c>
      <c r="B7123" s="49" t="s">
        <v>10556</v>
      </c>
    </row>
    <row r="7124" spans="1:2">
      <c r="A7124" s="66">
        <v>46071.598886342588</v>
      </c>
      <c r="B7124" s="49" t="s">
        <v>10557</v>
      </c>
    </row>
    <row r="7125" spans="1:2">
      <c r="A7125" s="66">
        <v>46071.598888923611</v>
      </c>
      <c r="B7125" s="49" t="s">
        <v>10546</v>
      </c>
    </row>
    <row r="7126" spans="1:2">
      <c r="A7126" s="66">
        <v>46071.598891400463</v>
      </c>
      <c r="B7126" s="49" t="s">
        <v>10466</v>
      </c>
    </row>
    <row r="7127" spans="1:2">
      <c r="A7127" s="66">
        <v>46071.598894479168</v>
      </c>
      <c r="B7127" s="49" t="s">
        <v>10561</v>
      </c>
    </row>
    <row r="7128" spans="1:2">
      <c r="A7128" s="66">
        <v>46071.598896875003</v>
      </c>
      <c r="B7128" s="49" t="s">
        <v>10562</v>
      </c>
    </row>
    <row r="7129" spans="1:2">
      <c r="A7129" s="66">
        <v>46071.598899432865</v>
      </c>
      <c r="B7129" s="49" t="s">
        <v>10563</v>
      </c>
    </row>
    <row r="7130" spans="1:2">
      <c r="A7130" s="66">
        <v>46071.598919328702</v>
      </c>
      <c r="B7130" s="49" t="s">
        <v>10541</v>
      </c>
    </row>
    <row r="7131" spans="1:2">
      <c r="A7131" s="66">
        <v>46071.598925520833</v>
      </c>
      <c r="B7131" s="49" t="s">
        <v>10542</v>
      </c>
    </row>
    <row r="7132" spans="1:2">
      <c r="A7132" s="66">
        <v>46071.598928067135</v>
      </c>
      <c r="B7132" s="49" t="s">
        <v>10543</v>
      </c>
    </row>
    <row r="7133" spans="1:2">
      <c r="A7133" s="66">
        <v>46071.598930624998</v>
      </c>
      <c r="B7133" s="49" t="s">
        <v>9394</v>
      </c>
    </row>
    <row r="7134" spans="1:2">
      <c r="A7134" s="66">
        <v>46071.599721307866</v>
      </c>
      <c r="B7134" s="49" t="s">
        <v>10556</v>
      </c>
    </row>
    <row r="7135" spans="1:2">
      <c r="A7135" s="66">
        <v>46071.599723680556</v>
      </c>
      <c r="B7135" s="49" t="s">
        <v>10557</v>
      </c>
    </row>
    <row r="7136" spans="1:2">
      <c r="A7136" s="66">
        <v>46071.599725949069</v>
      </c>
      <c r="B7136" s="49" t="s">
        <v>10546</v>
      </c>
    </row>
    <row r="7137" spans="1:2">
      <c r="A7137" s="66">
        <v>46071.59972805556</v>
      </c>
      <c r="B7137" s="49" t="s">
        <v>10466</v>
      </c>
    </row>
    <row r="7138" spans="1:2">
      <c r="A7138" s="66">
        <v>46071.599730208334</v>
      </c>
      <c r="B7138" s="49" t="s">
        <v>10561</v>
      </c>
    </row>
    <row r="7139" spans="1:2">
      <c r="A7139" s="66">
        <v>46071.599736331016</v>
      </c>
      <c r="B7139" s="49" t="s">
        <v>10562</v>
      </c>
    </row>
    <row r="7140" spans="1:2">
      <c r="A7140" s="66">
        <v>46071.599739212965</v>
      </c>
      <c r="B7140" s="49" t="s">
        <v>10563</v>
      </c>
    </row>
    <row r="7141" spans="1:2">
      <c r="A7141" s="66">
        <v>46071.59975775463</v>
      </c>
      <c r="B7141" s="49" t="s">
        <v>10541</v>
      </c>
    </row>
    <row r="7142" spans="1:2">
      <c r="A7142" s="66">
        <v>46071.599760717596</v>
      </c>
      <c r="B7142" s="49" t="s">
        <v>10542</v>
      </c>
    </row>
    <row r="7143" spans="1:2">
      <c r="A7143" s="66">
        <v>46071.59976287037</v>
      </c>
      <c r="B7143" s="49" t="s">
        <v>10543</v>
      </c>
    </row>
    <row r="7144" spans="1:2">
      <c r="A7144" s="66">
        <v>46071.599764930557</v>
      </c>
      <c r="B7144" s="49" t="s">
        <v>9394</v>
      </c>
    </row>
    <row r="7145" spans="1:2">
      <c r="A7145" s="66">
        <v>46071.601011863429</v>
      </c>
      <c r="B7145" s="49" t="s">
        <v>10556</v>
      </c>
    </row>
    <row r="7146" spans="1:2">
      <c r="A7146" s="66">
        <v>46071.601014074069</v>
      </c>
      <c r="B7146" s="49" t="s">
        <v>10557</v>
      </c>
    </row>
    <row r="7147" spans="1:2">
      <c r="A7147" s="66">
        <v>46071.601016597226</v>
      </c>
      <c r="B7147" s="49" t="s">
        <v>10546</v>
      </c>
    </row>
    <row r="7148" spans="1:2">
      <c r="A7148" s="66">
        <v>46071.601018865738</v>
      </c>
      <c r="B7148" s="49" t="s">
        <v>10466</v>
      </c>
    </row>
    <row r="7149" spans="1:2">
      <c r="A7149" s="66">
        <v>46071.601022962961</v>
      </c>
      <c r="B7149" s="49" t="s">
        <v>10561</v>
      </c>
    </row>
    <row r="7150" spans="1:2">
      <c r="A7150" s="66">
        <v>46071.60102923611</v>
      </c>
      <c r="B7150" s="49" t="s">
        <v>10562</v>
      </c>
    </row>
    <row r="7151" spans="1:2">
      <c r="A7151" s="66">
        <v>46071.601031446757</v>
      </c>
      <c r="B7151" s="49" t="s">
        <v>10563</v>
      </c>
    </row>
    <row r="7152" spans="1:2">
      <c r="A7152" s="66">
        <v>46071.601050567129</v>
      </c>
      <c r="B7152" s="49" t="s">
        <v>10541</v>
      </c>
    </row>
    <row r="7153" spans="1:2">
      <c r="A7153" s="66">
        <v>46071.60105326389</v>
      </c>
      <c r="B7153" s="49" t="s">
        <v>10542</v>
      </c>
    </row>
    <row r="7154" spans="1:2">
      <c r="A7154" s="66">
        <v>46071.60105582176</v>
      </c>
      <c r="B7154" s="49" t="s">
        <v>10543</v>
      </c>
    </row>
    <row r="7155" spans="1:2">
      <c r="A7155" s="66">
        <v>46071.60105834491</v>
      </c>
      <c r="B7155" s="49" t="s">
        <v>9394</v>
      </c>
    </row>
    <row r="7156" spans="1:2">
      <c r="A7156" s="66">
        <v>46071.602340775462</v>
      </c>
      <c r="B7156" s="49" t="s">
        <v>10556</v>
      </c>
    </row>
    <row r="7157" spans="1:2">
      <c r="A7157" s="66">
        <v>46071.602342951388</v>
      </c>
      <c r="B7157" s="49" t="s">
        <v>10557</v>
      </c>
    </row>
    <row r="7158" spans="1:2">
      <c r="A7158" s="66">
        <v>46071.602345011575</v>
      </c>
      <c r="B7158" s="49" t="s">
        <v>10546</v>
      </c>
    </row>
    <row r="7159" spans="1:2">
      <c r="A7159" s="66">
        <v>46071.602346898144</v>
      </c>
      <c r="B7159" s="49" t="s">
        <v>10466</v>
      </c>
    </row>
    <row r="7160" spans="1:2">
      <c r="A7160" s="66">
        <v>46071.60234888889</v>
      </c>
      <c r="B7160" s="49" t="s">
        <v>10561</v>
      </c>
    </row>
    <row r="7161" spans="1:2">
      <c r="A7161" s="66">
        <v>46071.602350902773</v>
      </c>
      <c r="B7161" s="49" t="s">
        <v>10562</v>
      </c>
    </row>
    <row r="7162" spans="1:2">
      <c r="A7162" s="66">
        <v>46071.602352928239</v>
      </c>
      <c r="B7162" s="49" t="s">
        <v>10563</v>
      </c>
    </row>
    <row r="7163" spans="1:2">
      <c r="A7163" s="66">
        <v>46071.602389479165</v>
      </c>
      <c r="B7163" s="49" t="s">
        <v>10541</v>
      </c>
    </row>
    <row r="7164" spans="1:2">
      <c r="A7164" s="66">
        <v>46071.602392592591</v>
      </c>
      <c r="B7164" s="49" t="s">
        <v>10542</v>
      </c>
    </row>
    <row r="7165" spans="1:2">
      <c r="A7165" s="66">
        <v>46071.602394687499</v>
      </c>
      <c r="B7165" s="49" t="s">
        <v>10543</v>
      </c>
    </row>
    <row r="7166" spans="1:2">
      <c r="A7166" s="66">
        <v>46071.602396863425</v>
      </c>
      <c r="B7166" s="49" t="s">
        <v>9394</v>
      </c>
    </row>
    <row r="7167" spans="1:2">
      <c r="A7167" s="66">
        <v>46071.603251932873</v>
      </c>
      <c r="B7167" s="49" t="s">
        <v>10556</v>
      </c>
    </row>
    <row r="7168" spans="1:2">
      <c r="A7168" s="66">
        <v>46071.603255543982</v>
      </c>
      <c r="B7168" s="49" t="s">
        <v>10557</v>
      </c>
    </row>
    <row r="7169" spans="1:2">
      <c r="A7169" s="66">
        <v>46071.603258391202</v>
      </c>
      <c r="B7169" s="49" t="s">
        <v>10546</v>
      </c>
    </row>
    <row r="7170" spans="1:2">
      <c r="A7170" s="66">
        <v>46071.603261516204</v>
      </c>
      <c r="B7170" s="49" t="s">
        <v>10466</v>
      </c>
    </row>
    <row r="7171" spans="1:2">
      <c r="A7171" s="66">
        <v>46071.603265127313</v>
      </c>
      <c r="B7171" s="49" t="s">
        <v>10561</v>
      </c>
    </row>
    <row r="7172" spans="1:2">
      <c r="A7172" s="66">
        <v>46071.603268425926</v>
      </c>
      <c r="B7172" s="49" t="s">
        <v>10562</v>
      </c>
    </row>
    <row r="7173" spans="1:2">
      <c r="A7173" s="66">
        <v>46071.603271481479</v>
      </c>
      <c r="B7173" s="49" t="s">
        <v>10563</v>
      </c>
    </row>
    <row r="7174" spans="1:2">
      <c r="A7174" s="66">
        <v>46071.603296006942</v>
      </c>
      <c r="B7174" s="49" t="s">
        <v>10541</v>
      </c>
    </row>
    <row r="7175" spans="1:2">
      <c r="A7175" s="66">
        <v>46071.603299537033</v>
      </c>
      <c r="B7175" s="49" t="s">
        <v>10542</v>
      </c>
    </row>
    <row r="7176" spans="1:2">
      <c r="A7176" s="66">
        <v>46071.603302847223</v>
      </c>
      <c r="B7176" s="49" t="s">
        <v>10543</v>
      </c>
    </row>
    <row r="7177" spans="1:2">
      <c r="A7177" s="66">
        <v>46071.603318333335</v>
      </c>
      <c r="B7177" s="49" t="s">
        <v>9394</v>
      </c>
    </row>
    <row r="7178" spans="1:2">
      <c r="A7178" s="66">
        <v>46071.604397708332</v>
      </c>
      <c r="B7178" s="49" t="s">
        <v>10556</v>
      </c>
    </row>
    <row r="7179" spans="1:2">
      <c r="A7179" s="66">
        <v>46071.604400405093</v>
      </c>
      <c r="B7179" s="49" t="s">
        <v>10557</v>
      </c>
    </row>
    <row r="7180" spans="1:2">
      <c r="A7180" s="66">
        <v>46071.604402800927</v>
      </c>
      <c r="B7180" s="49" t="s">
        <v>10546</v>
      </c>
    </row>
    <row r="7181" spans="1:2">
      <c r="A7181" s="66">
        <v>46071.604405312501</v>
      </c>
      <c r="B7181" s="49" t="s">
        <v>10466</v>
      </c>
    </row>
    <row r="7182" spans="1:2">
      <c r="A7182" s="66">
        <v>46071.604407708335</v>
      </c>
      <c r="B7182" s="49" t="s">
        <v>10561</v>
      </c>
    </row>
    <row r="7183" spans="1:2">
      <c r="A7183" s="66">
        <v>46071.604410069442</v>
      </c>
      <c r="B7183" s="49" t="s">
        <v>10562</v>
      </c>
    </row>
    <row r="7184" spans="1:2">
      <c r="A7184" s="66">
        <v>46071.604412500004</v>
      </c>
      <c r="B7184" s="49" t="s">
        <v>10563</v>
      </c>
    </row>
    <row r="7185" spans="1:2">
      <c r="A7185" s="66">
        <v>46071.60443392361</v>
      </c>
      <c r="B7185" s="49" t="s">
        <v>10541</v>
      </c>
    </row>
    <row r="7186" spans="1:2">
      <c r="A7186" s="66">
        <v>46071.604437164351</v>
      </c>
      <c r="B7186" s="49" t="s">
        <v>10542</v>
      </c>
    </row>
    <row r="7187" spans="1:2">
      <c r="A7187" s="66">
        <v>46071.60443950232</v>
      </c>
      <c r="B7187" s="49" t="s">
        <v>10543</v>
      </c>
    </row>
    <row r="7188" spans="1:2">
      <c r="A7188" s="66">
        <v>46071.604442083335</v>
      </c>
      <c r="B7188" s="49" t="s">
        <v>9394</v>
      </c>
    </row>
    <row r="7189" spans="1:2">
      <c r="A7189" s="66">
        <v>46071.605481296298</v>
      </c>
      <c r="B7189" s="49" t="s">
        <v>10556</v>
      </c>
    </row>
    <row r="7190" spans="1:2">
      <c r="A7190" s="66">
        <v>46071.605491481481</v>
      </c>
      <c r="B7190" s="49" t="s">
        <v>10557</v>
      </c>
    </row>
    <row r="7191" spans="1:2">
      <c r="A7191" s="66">
        <v>46071.605494479169</v>
      </c>
      <c r="B7191" s="49" t="s">
        <v>10546</v>
      </c>
    </row>
    <row r="7192" spans="1:2">
      <c r="A7192" s="66">
        <v>46071.605501099533</v>
      </c>
      <c r="B7192" s="49" t="s">
        <v>10466</v>
      </c>
    </row>
    <row r="7193" spans="1:2">
      <c r="A7193" s="66">
        <v>46071.605504131949</v>
      </c>
      <c r="B7193" s="49" t="s">
        <v>10561</v>
      </c>
    </row>
    <row r="7194" spans="1:2">
      <c r="A7194" s="66">
        <v>46071.605507835644</v>
      </c>
      <c r="B7194" s="49" t="s">
        <v>10562</v>
      </c>
    </row>
    <row r="7195" spans="1:2">
      <c r="A7195" s="66">
        <v>46071.605511273148</v>
      </c>
      <c r="B7195" s="49" t="s">
        <v>10563</v>
      </c>
    </row>
    <row r="7196" spans="1:2">
      <c r="A7196" s="66">
        <v>46071.605534733797</v>
      </c>
      <c r="B7196" s="49" t="s">
        <v>10541</v>
      </c>
    </row>
    <row r="7197" spans="1:2">
      <c r="A7197" s="66">
        <v>46071.605538599542</v>
      </c>
      <c r="B7197" s="49" t="s">
        <v>10542</v>
      </c>
    </row>
    <row r="7198" spans="1:2">
      <c r="A7198" s="66">
        <v>46071.605541412035</v>
      </c>
      <c r="B7198" s="49" t="s">
        <v>10543</v>
      </c>
    </row>
    <row r="7199" spans="1:2">
      <c r="A7199" s="66">
        <v>46071.605544155093</v>
      </c>
      <c r="B7199" s="49" t="s">
        <v>9394</v>
      </c>
    </row>
    <row r="7200" spans="1:2">
      <c r="A7200" s="66">
        <v>46071.606563807873</v>
      </c>
      <c r="B7200" s="49" t="s">
        <v>10556</v>
      </c>
    </row>
    <row r="7201" spans="1:2">
      <c r="A7201" s="66">
        <v>46071.60656649305</v>
      </c>
      <c r="B7201" s="49" t="s">
        <v>10557</v>
      </c>
    </row>
    <row r="7202" spans="1:2">
      <c r="A7202" s="66">
        <v>46071.606578796302</v>
      </c>
      <c r="B7202" s="49" t="s">
        <v>10546</v>
      </c>
    </row>
    <row r="7203" spans="1:2">
      <c r="A7203" s="66">
        <v>46071.606581689819</v>
      </c>
      <c r="B7203" s="49" t="s">
        <v>10466</v>
      </c>
    </row>
    <row r="7204" spans="1:2">
      <c r="A7204" s="66">
        <v>46071.606584201392</v>
      </c>
      <c r="B7204" s="49" t="s">
        <v>10561</v>
      </c>
    </row>
    <row r="7205" spans="1:2">
      <c r="A7205" s="66">
        <v>46071.606587048613</v>
      </c>
      <c r="B7205" s="49" t="s">
        <v>10562</v>
      </c>
    </row>
    <row r="7206" spans="1:2">
      <c r="A7206" s="66">
        <v>46071.606589733798</v>
      </c>
      <c r="B7206" s="49" t="s">
        <v>10563</v>
      </c>
    </row>
    <row r="7207" spans="1:2">
      <c r="A7207" s="66">
        <v>46071.606611782408</v>
      </c>
      <c r="B7207" s="49" t="s">
        <v>10541</v>
      </c>
    </row>
    <row r="7208" spans="1:2">
      <c r="A7208" s="66">
        <v>46071.606615196761</v>
      </c>
      <c r="B7208" s="49" t="s">
        <v>10542</v>
      </c>
    </row>
    <row r="7209" spans="1:2">
      <c r="A7209" s="66">
        <v>46071.606620775463</v>
      </c>
      <c r="B7209" s="49" t="s">
        <v>10543</v>
      </c>
    </row>
    <row r="7210" spans="1:2">
      <c r="A7210" s="66">
        <v>46071.606623564818</v>
      </c>
      <c r="B7210" s="49" t="s">
        <v>9394</v>
      </c>
    </row>
    <row r="7211" spans="1:2">
      <c r="A7211" s="66">
        <v>46071.607814687501</v>
      </c>
      <c r="B7211" s="49" t="s">
        <v>10556</v>
      </c>
    </row>
    <row r="7212" spans="1:2">
      <c r="A7212" s="66">
        <v>46071.607820972218</v>
      </c>
      <c r="B7212" s="49" t="s">
        <v>10557</v>
      </c>
    </row>
    <row r="7213" spans="1:2">
      <c r="A7213" s="66">
        <v>46071.607823252314</v>
      </c>
      <c r="B7213" s="49" t="s">
        <v>10546</v>
      </c>
    </row>
    <row r="7214" spans="1:2">
      <c r="A7214" s="66">
        <v>46071.607843738428</v>
      </c>
      <c r="B7214" s="49" t="s">
        <v>10466</v>
      </c>
    </row>
    <row r="7215" spans="1:2">
      <c r="A7215" s="66">
        <v>46071.60784600694</v>
      </c>
      <c r="B7215" s="49" t="s">
        <v>10561</v>
      </c>
    </row>
    <row r="7216" spans="1:2">
      <c r="A7216" s="66">
        <v>46071.607848321757</v>
      </c>
      <c r="B7216" s="49" t="s">
        <v>10562</v>
      </c>
    </row>
    <row r="7217" spans="1:2">
      <c r="A7217" s="66">
        <v>46071.607850567132</v>
      </c>
      <c r="B7217" s="49" t="s">
        <v>10563</v>
      </c>
    </row>
    <row r="7218" spans="1:2">
      <c r="A7218" s="66">
        <v>46071.60787324074</v>
      </c>
      <c r="B7218" s="49" t="s">
        <v>10541</v>
      </c>
    </row>
    <row r="7219" spans="1:2">
      <c r="A7219" s="66">
        <v>46071.607876469905</v>
      </c>
      <c r="B7219" s="49" t="s">
        <v>10542</v>
      </c>
    </row>
    <row r="7220" spans="1:2">
      <c r="A7220" s="66">
        <v>46071.607878738425</v>
      </c>
      <c r="B7220" s="49" t="s">
        <v>10543</v>
      </c>
    </row>
    <row r="7221" spans="1:2">
      <c r="A7221" s="66">
        <v>46071.607881087963</v>
      </c>
      <c r="B7221" s="49" t="s">
        <v>9394</v>
      </c>
    </row>
    <row r="7222" spans="1:2">
      <c r="A7222" s="66">
        <v>46071.608981689817</v>
      </c>
      <c r="B7222" s="49" t="s">
        <v>10556</v>
      </c>
    </row>
    <row r="7223" spans="1:2">
      <c r="A7223" s="66">
        <v>46071.608985173611</v>
      </c>
      <c r="B7223" s="49" t="s">
        <v>10557</v>
      </c>
    </row>
    <row r="7224" spans="1:2">
      <c r="A7224" s="66">
        <v>46071.608987974541</v>
      </c>
      <c r="B7224" s="49" t="s">
        <v>10546</v>
      </c>
    </row>
    <row r="7225" spans="1:2">
      <c r="A7225" s="66">
        <v>46071.608991157409</v>
      </c>
      <c r="B7225" s="49" t="s">
        <v>10466</v>
      </c>
    </row>
    <row r="7226" spans="1:2">
      <c r="A7226" s="66">
        <v>46071.608994247683</v>
      </c>
      <c r="B7226" s="49" t="s">
        <v>10561</v>
      </c>
    </row>
    <row r="7227" spans="1:2">
      <c r="A7227" s="66">
        <v>46071.608997326388</v>
      </c>
      <c r="B7227" s="49" t="s">
        <v>10562</v>
      </c>
    </row>
    <row r="7228" spans="1:2">
      <c r="A7228" s="66">
        <v>46071.609000520832</v>
      </c>
      <c r="B7228" s="49" t="s">
        <v>10563</v>
      </c>
    </row>
    <row r="7229" spans="1:2">
      <c r="A7229" s="66">
        <v>46071.609024166668</v>
      </c>
      <c r="B7229" s="49" t="s">
        <v>10541</v>
      </c>
    </row>
    <row r="7230" spans="1:2">
      <c r="A7230" s="66">
        <v>46071.609027395833</v>
      </c>
      <c r="B7230" s="49" t="s">
        <v>10542</v>
      </c>
    </row>
    <row r="7231" spans="1:2">
      <c r="A7231" s="66">
        <v>46071.609030428241</v>
      </c>
      <c r="B7231" s="49" t="s">
        <v>10543</v>
      </c>
    </row>
    <row r="7232" spans="1:2">
      <c r="A7232" s="66">
        <v>46071.609038657407</v>
      </c>
      <c r="B7232" s="49" t="s">
        <v>9394</v>
      </c>
    </row>
    <row r="7233" spans="1:2">
      <c r="A7233" s="66">
        <v>46071.60990841435</v>
      </c>
      <c r="B7233" s="49" t="s">
        <v>10556</v>
      </c>
    </row>
    <row r="7234" spans="1:2">
      <c r="A7234" s="66">
        <v>46071.609911087959</v>
      </c>
      <c r="B7234" s="49" t="s">
        <v>10557</v>
      </c>
    </row>
    <row r="7235" spans="1:2">
      <c r="A7235" s="66">
        <v>46071.609913645836</v>
      </c>
      <c r="B7235" s="49" t="s">
        <v>10546</v>
      </c>
    </row>
    <row r="7236" spans="1:2">
      <c r="A7236" s="66">
        <v>46071.609915972222</v>
      </c>
      <c r="B7236" s="49" t="s">
        <v>10466</v>
      </c>
    </row>
    <row r="7237" spans="1:2">
      <c r="A7237" s="66">
        <v>46071.609918819449</v>
      </c>
      <c r="B7237" s="49" t="s">
        <v>10561</v>
      </c>
    </row>
    <row r="7238" spans="1:2">
      <c r="A7238" s="66">
        <v>46071.609921446754</v>
      </c>
      <c r="B7238" s="49" t="s">
        <v>10562</v>
      </c>
    </row>
    <row r="7239" spans="1:2">
      <c r="A7239" s="66">
        <v>46071.609923900462</v>
      </c>
      <c r="B7239" s="49" t="s">
        <v>10563</v>
      </c>
    </row>
    <row r="7240" spans="1:2">
      <c r="A7240" s="66">
        <v>46071.60995121528</v>
      </c>
      <c r="B7240" s="49" t="s">
        <v>10541</v>
      </c>
    </row>
    <row r="7241" spans="1:2">
      <c r="A7241" s="66">
        <v>46071.609954432875</v>
      </c>
      <c r="B7241" s="49" t="s">
        <v>10542</v>
      </c>
    </row>
    <row r="7242" spans="1:2">
      <c r="A7242" s="66">
        <v>46071.609957094908</v>
      </c>
      <c r="B7242" s="49" t="s">
        <v>10543</v>
      </c>
    </row>
    <row r="7243" spans="1:2">
      <c r="A7243" s="66">
        <v>46071.609959918977</v>
      </c>
      <c r="B7243" s="49" t="s">
        <v>9394</v>
      </c>
    </row>
    <row r="7244" spans="1:2">
      <c r="A7244" s="66">
        <v>46071.611338391202</v>
      </c>
      <c r="B7244" s="49" t="s">
        <v>10556</v>
      </c>
    </row>
    <row r="7245" spans="1:2">
      <c r="A7245" s="66">
        <v>46071.611347893515</v>
      </c>
      <c r="B7245" s="49" t="s">
        <v>10557</v>
      </c>
    </row>
    <row r="7246" spans="1:2">
      <c r="A7246" s="66">
        <v>46071.61135013889</v>
      </c>
      <c r="B7246" s="49" t="s">
        <v>10546</v>
      </c>
    </row>
    <row r="7247" spans="1:2">
      <c r="A7247" s="66">
        <v>46071.611352349537</v>
      </c>
      <c r="B7247" s="49" t="s">
        <v>10466</v>
      </c>
    </row>
    <row r="7248" spans="1:2">
      <c r="A7248" s="66">
        <v>46071.611354548615</v>
      </c>
      <c r="B7248" s="49" t="s">
        <v>10561</v>
      </c>
    </row>
    <row r="7249" spans="1:2">
      <c r="A7249" s="66">
        <v>46071.611356770838</v>
      </c>
      <c r="B7249" s="49" t="s">
        <v>10562</v>
      </c>
    </row>
    <row r="7250" spans="1:2">
      <c r="A7250" s="66">
        <v>46071.611358900467</v>
      </c>
      <c r="B7250" s="49" t="s">
        <v>10563</v>
      </c>
    </row>
    <row r="7251" spans="1:2">
      <c r="A7251" s="66">
        <v>46071.611381539347</v>
      </c>
      <c r="B7251" s="49" t="s">
        <v>10541</v>
      </c>
    </row>
    <row r="7252" spans="1:2">
      <c r="A7252" s="66">
        <v>46071.611384907403</v>
      </c>
      <c r="B7252" s="49" t="s">
        <v>10542</v>
      </c>
    </row>
    <row r="7253" spans="1:2">
      <c r="A7253" s="66">
        <v>46071.611387407407</v>
      </c>
      <c r="B7253" s="49" t="s">
        <v>10543</v>
      </c>
    </row>
    <row r="7254" spans="1:2">
      <c r="A7254" s="66">
        <v>46071.611389849539</v>
      </c>
      <c r="B7254" s="49" t="s">
        <v>9394</v>
      </c>
    </row>
    <row r="7255" spans="1:2">
      <c r="A7255" s="66">
        <v>46071.61214222222</v>
      </c>
      <c r="B7255" s="49" t="s">
        <v>10556</v>
      </c>
    </row>
    <row r="7256" spans="1:2">
      <c r="A7256" s="66">
        <v>46071.6121446412</v>
      </c>
      <c r="B7256" s="49" t="s">
        <v>10557</v>
      </c>
    </row>
    <row r="7257" spans="1:2">
      <c r="A7257" s="66">
        <v>46071.612146851854</v>
      </c>
      <c r="B7257" s="49" t="s">
        <v>10546</v>
      </c>
    </row>
    <row r="7258" spans="1:2">
      <c r="A7258" s="66">
        <v>46071.612148958331</v>
      </c>
      <c r="B7258" s="49" t="s">
        <v>10466</v>
      </c>
    </row>
    <row r="7259" spans="1:2">
      <c r="A7259" s="66">
        <v>46071.612152557871</v>
      </c>
      <c r="B7259" s="49" t="s">
        <v>10561</v>
      </c>
    </row>
    <row r="7260" spans="1:2">
      <c r="A7260" s="66">
        <v>46071.612154780094</v>
      </c>
      <c r="B7260" s="49" t="s">
        <v>10562</v>
      </c>
    </row>
    <row r="7261" spans="1:2">
      <c r="A7261" s="66">
        <v>46071.612157037038</v>
      </c>
      <c r="B7261" s="49" t="s">
        <v>10563</v>
      </c>
    </row>
    <row r="7262" spans="1:2">
      <c r="A7262" s="66">
        <v>46071.612179363423</v>
      </c>
      <c r="B7262" s="49" t="s">
        <v>10541</v>
      </c>
    </row>
    <row r="7263" spans="1:2">
      <c r="A7263" s="66">
        <v>46071.612182488425</v>
      </c>
      <c r="B7263" s="49" t="s">
        <v>10542</v>
      </c>
    </row>
    <row r="7264" spans="1:2">
      <c r="A7264" s="66">
        <v>46071.612184814818</v>
      </c>
      <c r="B7264" s="49" t="s">
        <v>10543</v>
      </c>
    </row>
    <row r="7265" spans="1:2">
      <c r="A7265" s="66">
        <v>46071.612187048609</v>
      </c>
      <c r="B7265" s="49" t="s">
        <v>9394</v>
      </c>
    </row>
    <row r="7266" spans="1:2">
      <c r="A7266" s="66">
        <v>46071.613551180555</v>
      </c>
      <c r="B7266" s="49" t="s">
        <v>10556</v>
      </c>
    </row>
    <row r="7267" spans="1:2">
      <c r="A7267" s="66">
        <v>46071.613554201387</v>
      </c>
      <c r="B7267" s="49" t="s">
        <v>10557</v>
      </c>
    </row>
    <row r="7268" spans="1:2">
      <c r="A7268" s="66">
        <v>46071.613557523146</v>
      </c>
      <c r="B7268" s="49" t="s">
        <v>10546</v>
      </c>
    </row>
    <row r="7269" spans="1:2">
      <c r="A7269" s="66">
        <v>46071.613560370373</v>
      </c>
      <c r="B7269" s="49" t="s">
        <v>10466</v>
      </c>
    </row>
    <row r="7270" spans="1:2">
      <c r="A7270" s="66">
        <v>46071.613564224535</v>
      </c>
      <c r="B7270" s="49" t="s">
        <v>10561</v>
      </c>
    </row>
    <row r="7271" spans="1:2">
      <c r="A7271" s="66">
        <v>46071.613567037042</v>
      </c>
      <c r="B7271" s="49" t="s">
        <v>10562</v>
      </c>
    </row>
    <row r="7272" spans="1:2">
      <c r="A7272" s="66">
        <v>46071.613570231479</v>
      </c>
      <c r="B7272" s="49" t="s">
        <v>10563</v>
      </c>
    </row>
    <row r="7273" spans="1:2">
      <c r="A7273" s="66">
        <v>46071.613593472226</v>
      </c>
      <c r="B7273" s="49" t="s">
        <v>10541</v>
      </c>
    </row>
    <row r="7274" spans="1:2">
      <c r="A7274" s="66">
        <v>46071.613597824078</v>
      </c>
      <c r="B7274" s="49" t="s">
        <v>10542</v>
      </c>
    </row>
    <row r="7275" spans="1:2">
      <c r="A7275" s="66">
        <v>46071.613606168983</v>
      </c>
      <c r="B7275" s="49" t="s">
        <v>10543</v>
      </c>
    </row>
    <row r="7276" spans="1:2">
      <c r="A7276" s="66">
        <v>46071.613609513894</v>
      </c>
      <c r="B7276" s="49" t="s">
        <v>9394</v>
      </c>
    </row>
    <row r="7277" spans="1:2">
      <c r="A7277" s="66">
        <v>46071.614638113431</v>
      </c>
      <c r="B7277" s="49" t="s">
        <v>10556</v>
      </c>
    </row>
    <row r="7278" spans="1:2">
      <c r="A7278" s="66">
        <v>46071.614648912037</v>
      </c>
      <c r="B7278" s="49" t="s">
        <v>10557</v>
      </c>
    </row>
    <row r="7279" spans="1:2">
      <c r="A7279" s="66">
        <v>46071.614650532407</v>
      </c>
      <c r="B7279" s="49" t="s">
        <v>10546</v>
      </c>
    </row>
    <row r="7280" spans="1:2">
      <c r="A7280" s="66">
        <v>46071.614652233795</v>
      </c>
      <c r="B7280" s="49" t="s">
        <v>10466</v>
      </c>
    </row>
    <row r="7281" spans="1:2">
      <c r="A7281" s="66">
        <v>46071.614653842596</v>
      </c>
      <c r="B7281" s="49" t="s">
        <v>10561</v>
      </c>
    </row>
    <row r="7282" spans="1:2">
      <c r="A7282" s="66">
        <v>46071.61465570602</v>
      </c>
      <c r="B7282" s="49" t="s">
        <v>10562</v>
      </c>
    </row>
    <row r="7283" spans="1:2">
      <c r="A7283" s="66">
        <v>46071.614657500002</v>
      </c>
      <c r="B7283" s="49" t="s">
        <v>10563</v>
      </c>
    </row>
    <row r="7284" spans="1:2">
      <c r="A7284" s="66">
        <v>46071.614677210644</v>
      </c>
      <c r="B7284" s="49" t="s">
        <v>10541</v>
      </c>
    </row>
    <row r="7285" spans="1:2">
      <c r="A7285" s="66">
        <v>46071.614679768521</v>
      </c>
      <c r="B7285" s="49" t="s">
        <v>10542</v>
      </c>
    </row>
    <row r="7286" spans="1:2">
      <c r="A7286" s="66">
        <v>46071.614681550927</v>
      </c>
      <c r="B7286" s="49" t="s">
        <v>10543</v>
      </c>
    </row>
    <row r="7287" spans="1:2">
      <c r="A7287" s="66">
        <v>46071.614684571759</v>
      </c>
      <c r="B7287" s="49" t="s">
        <v>9394</v>
      </c>
    </row>
    <row r="7288" spans="1:2">
      <c r="A7288" s="66">
        <v>46071.61600228009</v>
      </c>
      <c r="B7288" s="49" t="s">
        <v>10556</v>
      </c>
    </row>
    <row r="7289" spans="1:2">
      <c r="A7289" s="66">
        <v>46071.616004733798</v>
      </c>
      <c r="B7289" s="49" t="s">
        <v>10557</v>
      </c>
    </row>
    <row r="7290" spans="1:2">
      <c r="A7290" s="66">
        <v>46071.616007615739</v>
      </c>
      <c r="B7290" s="49" t="s">
        <v>10546</v>
      </c>
    </row>
    <row r="7291" spans="1:2">
      <c r="A7291" s="66">
        <v>46071.616010277779</v>
      </c>
      <c r="B7291" s="49" t="s">
        <v>10466</v>
      </c>
    </row>
    <row r="7292" spans="1:2">
      <c r="A7292" s="66">
        <v>46071.616013043982</v>
      </c>
      <c r="B7292" s="49" t="s">
        <v>10561</v>
      </c>
    </row>
    <row r="7293" spans="1:2">
      <c r="A7293" s="66">
        <v>46071.616015613428</v>
      </c>
      <c r="B7293" s="49" t="s">
        <v>10562</v>
      </c>
    </row>
    <row r="7294" spans="1:2">
      <c r="A7294" s="66">
        <v>46071.616018287037</v>
      </c>
      <c r="B7294" s="49" t="s">
        <v>10563</v>
      </c>
    </row>
    <row r="7295" spans="1:2">
      <c r="A7295" s="66">
        <v>46071.616039548608</v>
      </c>
      <c r="B7295" s="49" t="s">
        <v>10541</v>
      </c>
    </row>
    <row r="7296" spans="1:2">
      <c r="A7296" s="66">
        <v>46071.616047673611</v>
      </c>
      <c r="B7296" s="49" t="s">
        <v>10542</v>
      </c>
    </row>
    <row r="7297" spans="1:2">
      <c r="A7297" s="66">
        <v>46071.61605099537</v>
      </c>
      <c r="B7297" s="49" t="s">
        <v>10543</v>
      </c>
    </row>
    <row r="7298" spans="1:2">
      <c r="A7298" s="66">
        <v>46071.616054085651</v>
      </c>
      <c r="B7298" s="49" t="s">
        <v>9394</v>
      </c>
    </row>
    <row r="7299" spans="1:2">
      <c r="A7299" s="66">
        <v>46071.61693502315</v>
      </c>
      <c r="B7299" s="49" t="s">
        <v>10556</v>
      </c>
    </row>
    <row r="7300" spans="1:2">
      <c r="A7300" s="66">
        <v>46071.616938240739</v>
      </c>
      <c r="B7300" s="49" t="s">
        <v>10557</v>
      </c>
    </row>
    <row r="7301" spans="1:2">
      <c r="A7301" s="66">
        <v>46071.616941064814</v>
      </c>
      <c r="B7301" s="49" t="s">
        <v>10546</v>
      </c>
    </row>
    <row r="7302" spans="1:2">
      <c r="A7302" s="66">
        <v>46071.616950694442</v>
      </c>
      <c r="B7302" s="49" t="s">
        <v>10466</v>
      </c>
    </row>
    <row r="7303" spans="1:2">
      <c r="A7303" s="66">
        <v>46071.616953495366</v>
      </c>
      <c r="B7303" s="49" t="s">
        <v>10561</v>
      </c>
    </row>
    <row r="7304" spans="1:2">
      <c r="A7304" s="66">
        <v>46071.616960381943</v>
      </c>
      <c r="B7304" s="49" t="s">
        <v>10562</v>
      </c>
    </row>
    <row r="7305" spans="1:2">
      <c r="A7305" s="66">
        <v>46071.61697505787</v>
      </c>
      <c r="B7305" s="49" t="s">
        <v>10563</v>
      </c>
    </row>
    <row r="7306" spans="1:2">
      <c r="A7306" s="66">
        <v>46071.616996469907</v>
      </c>
      <c r="B7306" s="49" t="s">
        <v>10541</v>
      </c>
    </row>
    <row r="7307" spans="1:2">
      <c r="A7307" s="66">
        <v>46071.616999351856</v>
      </c>
      <c r="B7307" s="49" t="s">
        <v>10542</v>
      </c>
    </row>
    <row r="7308" spans="1:2">
      <c r="A7308" s="66">
        <v>46071.617002951389</v>
      </c>
      <c r="B7308" s="49" t="s">
        <v>10543</v>
      </c>
    </row>
    <row r="7309" spans="1:2">
      <c r="A7309" s="66">
        <v>46071.61700859954</v>
      </c>
      <c r="B7309" s="49" t="s">
        <v>9394</v>
      </c>
    </row>
    <row r="7310" spans="1:2">
      <c r="A7310" s="66">
        <v>46071.617922210644</v>
      </c>
      <c r="B7310" s="49" t="s">
        <v>10556</v>
      </c>
    </row>
    <row r="7311" spans="1:2">
      <c r="A7311" s="66">
        <v>46071.617925092592</v>
      </c>
      <c r="B7311" s="49" t="s">
        <v>10557</v>
      </c>
    </row>
    <row r="7312" spans="1:2">
      <c r="A7312" s="66">
        <v>46071.617928067135</v>
      </c>
      <c r="B7312" s="49" t="s">
        <v>10546</v>
      </c>
    </row>
    <row r="7313" spans="1:2">
      <c r="A7313" s="66">
        <v>46071.617931562505</v>
      </c>
      <c r="B7313" s="49" t="s">
        <v>10466</v>
      </c>
    </row>
    <row r="7314" spans="1:2">
      <c r="A7314" s="66">
        <v>46071.617933958332</v>
      </c>
      <c r="B7314" s="49" t="s">
        <v>10561</v>
      </c>
    </row>
    <row r="7315" spans="1:2">
      <c r="A7315" s="66">
        <v>46071.617936863426</v>
      </c>
      <c r="B7315" s="49" t="s">
        <v>10562</v>
      </c>
    </row>
    <row r="7316" spans="1:2">
      <c r="A7316" s="66">
        <v>46071.617940185184</v>
      </c>
      <c r="B7316" s="49" t="s">
        <v>10563</v>
      </c>
    </row>
    <row r="7317" spans="1:2">
      <c r="A7317" s="66">
        <v>46071.617969814819</v>
      </c>
      <c r="B7317" s="49" t="s">
        <v>10541</v>
      </c>
    </row>
    <row r="7318" spans="1:2">
      <c r="A7318" s="66">
        <v>46071.617972581022</v>
      </c>
      <c r="B7318" s="49" t="s">
        <v>10542</v>
      </c>
    </row>
    <row r="7319" spans="1:2">
      <c r="A7319" s="66">
        <v>46071.617975416666</v>
      </c>
      <c r="B7319" s="49" t="s">
        <v>10543</v>
      </c>
    </row>
    <row r="7320" spans="1:2">
      <c r="A7320" s="66">
        <v>46071.617978124996</v>
      </c>
      <c r="B7320" s="49" t="s">
        <v>9394</v>
      </c>
    </row>
    <row r="7321" spans="1:2">
      <c r="A7321" s="66">
        <v>46071.618735949072</v>
      </c>
      <c r="B7321" s="49" t="s">
        <v>10556</v>
      </c>
    </row>
    <row r="7322" spans="1:2">
      <c r="A7322" s="66">
        <v>46071.618738171295</v>
      </c>
      <c r="B7322" s="49" t="s">
        <v>10557</v>
      </c>
    </row>
    <row r="7323" spans="1:2">
      <c r="A7323" s="66">
        <v>46071.618740358797</v>
      </c>
      <c r="B7323" s="49" t="s">
        <v>10546</v>
      </c>
    </row>
    <row r="7324" spans="1:2">
      <c r="A7324" s="66">
        <v>46071.618742523147</v>
      </c>
      <c r="B7324" s="49" t="s">
        <v>10466</v>
      </c>
    </row>
    <row r="7325" spans="1:2">
      <c r="A7325" s="66">
        <v>46071.618744768522</v>
      </c>
      <c r="B7325" s="49" t="s">
        <v>10561</v>
      </c>
    </row>
    <row r="7326" spans="1:2">
      <c r="A7326" s="66">
        <v>46071.618746990745</v>
      </c>
      <c r="B7326" s="49" t="s">
        <v>10562</v>
      </c>
    </row>
    <row r="7327" spans="1:2">
      <c r="A7327" s="66">
        <v>46071.618749363421</v>
      </c>
      <c r="B7327" s="49" t="s">
        <v>10563</v>
      </c>
    </row>
    <row r="7328" spans="1:2">
      <c r="A7328" s="66">
        <v>46071.618768668981</v>
      </c>
      <c r="B7328" s="49" t="s">
        <v>10541</v>
      </c>
    </row>
    <row r="7329" spans="1:2">
      <c r="A7329" s="66">
        <v>46071.618771284717</v>
      </c>
      <c r="B7329" s="49" t="s">
        <v>10542</v>
      </c>
    </row>
    <row r="7330" spans="1:2">
      <c r="A7330" s="66">
        <v>46071.618773587965</v>
      </c>
      <c r="B7330" s="49" t="s">
        <v>10543</v>
      </c>
    </row>
    <row r="7331" spans="1:2">
      <c r="A7331" s="66">
        <v>46071.618776064817</v>
      </c>
      <c r="B7331" s="49" t="s">
        <v>9394</v>
      </c>
    </row>
    <row r="7332" spans="1:2">
      <c r="A7332" s="66">
        <v>46071.620115659724</v>
      </c>
      <c r="B7332" s="49" t="s">
        <v>10556</v>
      </c>
    </row>
    <row r="7333" spans="1:2">
      <c r="A7333" s="66">
        <v>46071.620117812505</v>
      </c>
      <c r="B7333" s="49" t="s">
        <v>10557</v>
      </c>
    </row>
    <row r="7334" spans="1:2">
      <c r="A7334" s="66">
        <v>46071.620120196763</v>
      </c>
      <c r="B7334" s="49" t="s">
        <v>10546</v>
      </c>
    </row>
    <row r="7335" spans="1:2">
      <c r="A7335" s="66">
        <v>46071.620122407403</v>
      </c>
      <c r="B7335" s="49" t="s">
        <v>10466</v>
      </c>
    </row>
    <row r="7336" spans="1:2">
      <c r="A7336" s="66">
        <v>46071.620124652778</v>
      </c>
      <c r="B7336" s="49" t="s">
        <v>10561</v>
      </c>
    </row>
    <row r="7337" spans="1:2">
      <c r="A7337" s="66">
        <v>46071.620126828704</v>
      </c>
      <c r="B7337" s="49" t="s">
        <v>10562</v>
      </c>
    </row>
    <row r="7338" spans="1:2">
      <c r="A7338" s="66">
        <v>46071.620129351853</v>
      </c>
      <c r="B7338" s="49" t="s">
        <v>10563</v>
      </c>
    </row>
    <row r="7339" spans="1:2">
      <c r="A7339" s="66">
        <v>46071.620150879629</v>
      </c>
      <c r="B7339" s="49" t="s">
        <v>10541</v>
      </c>
    </row>
    <row r="7340" spans="1:2">
      <c r="A7340" s="66">
        <v>46071.620153668977</v>
      </c>
      <c r="B7340" s="49" t="s">
        <v>10542</v>
      </c>
    </row>
    <row r="7341" spans="1:2">
      <c r="A7341" s="66">
        <v>46071.620155902783</v>
      </c>
      <c r="B7341" s="49" t="s">
        <v>10543</v>
      </c>
    </row>
    <row r="7342" spans="1:2">
      <c r="A7342" s="66">
        <v>46071.620158032412</v>
      </c>
      <c r="B7342" s="49" t="s">
        <v>9394</v>
      </c>
    </row>
    <row r="7343" spans="1:2">
      <c r="A7343" s="66">
        <v>46071.621209351855</v>
      </c>
      <c r="B7343" s="49" t="s">
        <v>10556</v>
      </c>
    </row>
    <row r="7344" spans="1:2">
      <c r="A7344" s="66">
        <v>46071.621211516205</v>
      </c>
      <c r="B7344" s="49" t="s">
        <v>10557</v>
      </c>
    </row>
    <row r="7345" spans="1:2">
      <c r="A7345" s="66">
        <v>46071.621213506944</v>
      </c>
      <c r="B7345" s="49" t="s">
        <v>10546</v>
      </c>
    </row>
    <row r="7346" spans="1:2">
      <c r="A7346" s="66">
        <v>46071.62121946759</v>
      </c>
      <c r="B7346" s="49" t="s">
        <v>10466</v>
      </c>
    </row>
    <row r="7347" spans="1:2">
      <c r="A7347" s="66">
        <v>46071.621221712965</v>
      </c>
      <c r="B7347" s="49" t="s">
        <v>10561</v>
      </c>
    </row>
    <row r="7348" spans="1:2">
      <c r="A7348" s="66">
        <v>46071.621228101852</v>
      </c>
      <c r="B7348" s="49" t="s">
        <v>10562</v>
      </c>
    </row>
    <row r="7349" spans="1:2">
      <c r="A7349" s="66">
        <v>46071.621229988421</v>
      </c>
      <c r="B7349" s="49" t="s">
        <v>10563</v>
      </c>
    </row>
    <row r="7350" spans="1:2">
      <c r="A7350" s="66">
        <v>46071.621251770834</v>
      </c>
      <c r="B7350" s="49" t="s">
        <v>10541</v>
      </c>
    </row>
    <row r="7351" spans="1:2">
      <c r="A7351" s="66">
        <v>46071.621264062502</v>
      </c>
      <c r="B7351" s="49" t="s">
        <v>10542</v>
      </c>
    </row>
    <row r="7352" spans="1:2">
      <c r="A7352" s="66">
        <v>46071.621271388889</v>
      </c>
      <c r="B7352" s="49" t="s">
        <v>10543</v>
      </c>
    </row>
    <row r="7353" spans="1:2">
      <c r="A7353" s="66">
        <v>46071.621274849538</v>
      </c>
      <c r="B7353" s="49" t="s">
        <v>9394</v>
      </c>
    </row>
    <row r="7354" spans="1:2">
      <c r="A7354" s="66">
        <v>46071.622604039352</v>
      </c>
      <c r="B7354" s="49" t="s">
        <v>10556</v>
      </c>
    </row>
    <row r="7355" spans="1:2">
      <c r="A7355" s="66">
        <v>46071.622606319448</v>
      </c>
      <c r="B7355" s="49" t="s">
        <v>10557</v>
      </c>
    </row>
    <row r="7356" spans="1:2">
      <c r="A7356" s="66">
        <v>46071.622608472222</v>
      </c>
      <c r="B7356" s="49" t="s">
        <v>10546</v>
      </c>
    </row>
    <row r="7357" spans="1:2">
      <c r="A7357" s="66">
        <v>46071.622610694445</v>
      </c>
      <c r="B7357" s="49" t="s">
        <v>10466</v>
      </c>
    </row>
    <row r="7358" spans="1:2">
      <c r="A7358" s="66">
        <v>46071.622612974534</v>
      </c>
      <c r="B7358" s="49" t="s">
        <v>10561</v>
      </c>
    </row>
    <row r="7359" spans="1:2">
      <c r="A7359" s="66">
        <v>46071.622615127315</v>
      </c>
      <c r="B7359" s="49" t="s">
        <v>10562</v>
      </c>
    </row>
    <row r="7360" spans="1:2">
      <c r="A7360" s="66">
        <v>46071.622617384259</v>
      </c>
      <c r="B7360" s="49" t="s">
        <v>10563</v>
      </c>
    </row>
    <row r="7361" spans="1:2">
      <c r="A7361" s="66">
        <v>46071.622671539357</v>
      </c>
      <c r="B7361" s="49" t="s">
        <v>10541</v>
      </c>
    </row>
    <row r="7362" spans="1:2">
      <c r="A7362" s="66">
        <v>46071.622674178245</v>
      </c>
      <c r="B7362" s="49" t="s">
        <v>10542</v>
      </c>
    </row>
    <row r="7363" spans="1:2">
      <c r="A7363" s="66">
        <v>46071.62267650463</v>
      </c>
      <c r="B7363" s="49" t="s">
        <v>10543</v>
      </c>
    </row>
    <row r="7364" spans="1:2">
      <c r="A7364" s="66">
        <v>46071.622678692132</v>
      </c>
      <c r="B7364" s="49" t="s">
        <v>9394</v>
      </c>
    </row>
    <row r="7365" spans="1:2">
      <c r="A7365" s="66">
        <v>46071.62403983796</v>
      </c>
      <c r="B7365" s="49" t="s">
        <v>10556</v>
      </c>
    </row>
    <row r="7366" spans="1:2">
      <c r="A7366" s="66">
        <v>46071.624041979172</v>
      </c>
      <c r="B7366" s="49" t="s">
        <v>10557</v>
      </c>
    </row>
    <row r="7367" spans="1:2">
      <c r="A7367" s="66">
        <v>46071.624044085649</v>
      </c>
      <c r="B7367" s="49" t="s">
        <v>10546</v>
      </c>
    </row>
    <row r="7368" spans="1:2">
      <c r="A7368" s="66">
        <v>46071.624046273151</v>
      </c>
      <c r="B7368" s="49" t="s">
        <v>10466</v>
      </c>
    </row>
    <row r="7369" spans="1:2">
      <c r="A7369" s="66">
        <v>46071.624048287034</v>
      </c>
      <c r="B7369" s="49" t="s">
        <v>10561</v>
      </c>
    </row>
    <row r="7370" spans="1:2">
      <c r="A7370" s="66">
        <v>46071.624055335647</v>
      </c>
      <c r="B7370" s="49" t="s">
        <v>10562</v>
      </c>
    </row>
    <row r="7371" spans="1:2">
      <c r="A7371" s="66">
        <v>46071.624057499997</v>
      </c>
      <c r="B7371" s="49" t="s">
        <v>10563</v>
      </c>
    </row>
    <row r="7372" spans="1:2">
      <c r="A7372" s="66">
        <v>46071.624076666667</v>
      </c>
      <c r="B7372" s="49" t="s">
        <v>10541</v>
      </c>
    </row>
    <row r="7373" spans="1:2">
      <c r="A7373" s="66">
        <v>46071.624079016205</v>
      </c>
      <c r="B7373" s="49" t="s">
        <v>10542</v>
      </c>
    </row>
    <row r="7374" spans="1:2">
      <c r="A7374" s="66">
        <v>46071.624081400463</v>
      </c>
      <c r="B7374" s="49" t="s">
        <v>10543</v>
      </c>
    </row>
    <row r="7375" spans="1:2">
      <c r="A7375" s="66">
        <v>46071.624083356481</v>
      </c>
      <c r="B7375" s="49" t="s">
        <v>9394</v>
      </c>
    </row>
    <row r="7376" spans="1:2">
      <c r="A7376" s="66">
        <v>46071.624876550923</v>
      </c>
      <c r="B7376" s="49" t="s">
        <v>10556</v>
      </c>
    </row>
    <row r="7377" spans="1:2">
      <c r="A7377" s="66">
        <v>46071.624887465281</v>
      </c>
      <c r="B7377" s="49" t="s">
        <v>10557</v>
      </c>
    </row>
    <row r="7378" spans="1:2">
      <c r="A7378" s="66">
        <v>46071.624889039347</v>
      </c>
      <c r="B7378" s="49" t="s">
        <v>10546</v>
      </c>
    </row>
    <row r="7379" spans="1:2">
      <c r="A7379" s="66">
        <v>46071.624890706022</v>
      </c>
      <c r="B7379" s="49" t="s">
        <v>10466</v>
      </c>
    </row>
    <row r="7380" spans="1:2">
      <c r="A7380" s="66">
        <v>46071.624904537035</v>
      </c>
      <c r="B7380" s="49" t="s">
        <v>10561</v>
      </c>
    </row>
    <row r="7381" spans="1:2">
      <c r="A7381" s="66">
        <v>46071.624906006946</v>
      </c>
      <c r="B7381" s="49" t="s">
        <v>10562</v>
      </c>
    </row>
    <row r="7382" spans="1:2">
      <c r="A7382" s="66">
        <v>46071.624907731486</v>
      </c>
      <c r="B7382" s="49" t="s">
        <v>10563</v>
      </c>
    </row>
    <row r="7383" spans="1:2">
      <c r="A7383" s="66">
        <v>46071.624929606478</v>
      </c>
      <c r="B7383" s="49" t="s">
        <v>10541</v>
      </c>
    </row>
    <row r="7384" spans="1:2">
      <c r="A7384" s="66">
        <v>46071.624936898152</v>
      </c>
      <c r="B7384" s="49" t="s">
        <v>10542</v>
      </c>
    </row>
    <row r="7385" spans="1:2">
      <c r="A7385" s="66">
        <v>46071.624938414352</v>
      </c>
      <c r="B7385" s="49" t="s">
        <v>10543</v>
      </c>
    </row>
    <row r="7386" spans="1:2">
      <c r="A7386" s="66">
        <v>46071.624939918984</v>
      </c>
      <c r="B7386" s="49" t="s">
        <v>9394</v>
      </c>
    </row>
    <row r="7387" spans="1:2">
      <c r="A7387" s="66">
        <v>46071.625988032407</v>
      </c>
      <c r="B7387" s="49" t="s">
        <v>10556</v>
      </c>
    </row>
    <row r="7388" spans="1:2">
      <c r="A7388" s="66">
        <v>46071.62599075232</v>
      </c>
      <c r="B7388" s="49" t="s">
        <v>10557</v>
      </c>
    </row>
    <row r="7389" spans="1:2">
      <c r="A7389" s="66">
        <v>46071.625999895834</v>
      </c>
      <c r="B7389" s="49" t="s">
        <v>10546</v>
      </c>
    </row>
    <row r="7390" spans="1:2">
      <c r="A7390" s="66">
        <v>46071.626002708334</v>
      </c>
      <c r="B7390" s="49" t="s">
        <v>10466</v>
      </c>
    </row>
    <row r="7391" spans="1:2">
      <c r="A7391" s="66">
        <v>46071.62600556713</v>
      </c>
      <c r="B7391" s="49" t="s">
        <v>10561</v>
      </c>
    </row>
    <row r="7392" spans="1:2">
      <c r="A7392" s="66">
        <v>46071.62600827546</v>
      </c>
      <c r="B7392" s="49" t="s">
        <v>10562</v>
      </c>
    </row>
    <row r="7393" spans="1:2">
      <c r="A7393" s="66">
        <v>46071.626011076391</v>
      </c>
      <c r="B7393" s="49" t="s">
        <v>10563</v>
      </c>
    </row>
    <row r="7394" spans="1:2">
      <c r="A7394" s="66">
        <v>46071.626040636576</v>
      </c>
      <c r="B7394" s="49" t="s">
        <v>10541</v>
      </c>
    </row>
    <row r="7395" spans="1:2">
      <c r="A7395" s="66">
        <v>46071.626043761571</v>
      </c>
      <c r="B7395" s="49" t="s">
        <v>10542</v>
      </c>
    </row>
    <row r="7396" spans="1:2">
      <c r="A7396" s="66">
        <v>46071.626046504629</v>
      </c>
      <c r="B7396" s="49" t="s">
        <v>10543</v>
      </c>
    </row>
    <row r="7397" spans="1:2">
      <c r="A7397" s="66">
        <v>46071.626049409722</v>
      </c>
      <c r="B7397" s="49" t="s">
        <v>9394</v>
      </c>
    </row>
    <row r="7398" spans="1:2">
      <c r="A7398" s="66">
        <v>46071.626812106479</v>
      </c>
      <c r="B7398" s="49" t="s">
        <v>10556</v>
      </c>
    </row>
    <row r="7399" spans="1:2">
      <c r="A7399" s="66">
        <v>46071.626814525458</v>
      </c>
      <c r="B7399" s="49" t="s">
        <v>10557</v>
      </c>
    </row>
    <row r="7400" spans="1:2">
      <c r="A7400" s="66">
        <v>46071.626816828706</v>
      </c>
      <c r="B7400" s="49" t="s">
        <v>10546</v>
      </c>
    </row>
    <row r="7401" spans="1:2">
      <c r="A7401" s="66">
        <v>46071.626819016208</v>
      </c>
      <c r="B7401" s="49" t="s">
        <v>10466</v>
      </c>
    </row>
    <row r="7402" spans="1:2">
      <c r="A7402" s="66">
        <v>46071.626829456014</v>
      </c>
      <c r="B7402" s="49" t="s">
        <v>10561</v>
      </c>
    </row>
    <row r="7403" spans="1:2">
      <c r="A7403" s="66">
        <v>46071.626831620371</v>
      </c>
      <c r="B7403" s="49" t="s">
        <v>10562</v>
      </c>
    </row>
    <row r="7404" spans="1:2">
      <c r="A7404" s="66">
        <v>46071.626833784721</v>
      </c>
      <c r="B7404" s="49" t="s">
        <v>10563</v>
      </c>
    </row>
    <row r="7405" spans="1:2">
      <c r="A7405" s="66">
        <v>46071.626853969909</v>
      </c>
      <c r="B7405" s="49" t="s">
        <v>10541</v>
      </c>
    </row>
    <row r="7406" spans="1:2">
      <c r="A7406" s="66">
        <v>46071.62685695602</v>
      </c>
      <c r="B7406" s="49" t="s">
        <v>10542</v>
      </c>
    </row>
    <row r="7407" spans="1:2">
      <c r="A7407" s="66">
        <v>46071.626859155091</v>
      </c>
      <c r="B7407" s="49" t="s">
        <v>10543</v>
      </c>
    </row>
    <row r="7408" spans="1:2">
      <c r="A7408" s="66">
        <v>46071.626861261575</v>
      </c>
      <c r="B7408" s="49" t="s">
        <v>9394</v>
      </c>
    </row>
    <row r="7409" spans="1:2">
      <c r="A7409" s="66">
        <v>46071.627644004635</v>
      </c>
      <c r="B7409" s="49" t="s">
        <v>10556</v>
      </c>
    </row>
    <row r="7410" spans="1:2">
      <c r="A7410" s="66">
        <v>46071.627650578703</v>
      </c>
      <c r="B7410" s="49" t="s">
        <v>10557</v>
      </c>
    </row>
    <row r="7411" spans="1:2">
      <c r="A7411" s="66">
        <v>46071.627653564814</v>
      </c>
      <c r="B7411" s="49" t="s">
        <v>10546</v>
      </c>
    </row>
    <row r="7412" spans="1:2">
      <c r="A7412" s="66">
        <v>46071.62766528935</v>
      </c>
      <c r="B7412" s="49" t="s">
        <v>10466</v>
      </c>
    </row>
    <row r="7413" spans="1:2">
      <c r="A7413" s="66">
        <v>46071.627668287038</v>
      </c>
      <c r="B7413" s="49" t="s">
        <v>10561</v>
      </c>
    </row>
    <row r="7414" spans="1:2">
      <c r="A7414" s="66">
        <v>46071.627672013885</v>
      </c>
      <c r="B7414" s="49" t="s">
        <v>10562</v>
      </c>
    </row>
    <row r="7415" spans="1:2">
      <c r="A7415" s="66">
        <v>46071.627675277778</v>
      </c>
      <c r="B7415" s="49" t="s">
        <v>10563</v>
      </c>
    </row>
    <row r="7416" spans="1:2">
      <c r="A7416" s="66">
        <v>46071.627698287033</v>
      </c>
      <c r="B7416" s="49" t="s">
        <v>10541</v>
      </c>
    </row>
    <row r="7417" spans="1:2">
      <c r="A7417" s="66">
        <v>46071.627701736114</v>
      </c>
      <c r="B7417" s="49" t="s">
        <v>10542</v>
      </c>
    </row>
    <row r="7418" spans="1:2">
      <c r="A7418" s="66">
        <v>46071.627704976854</v>
      </c>
      <c r="B7418" s="49" t="s">
        <v>10543</v>
      </c>
    </row>
    <row r="7419" spans="1:2">
      <c r="A7419" s="66">
        <v>46071.627707835651</v>
      </c>
      <c r="B7419" s="49" t="s">
        <v>9394</v>
      </c>
    </row>
    <row r="7420" spans="1:2">
      <c r="A7420" s="66">
        <v>46071.628875011578</v>
      </c>
      <c r="B7420" s="49" t="s">
        <v>10556</v>
      </c>
    </row>
    <row r="7421" spans="1:2">
      <c r="A7421" s="66">
        <v>46071.628877604162</v>
      </c>
      <c r="B7421" s="49" t="s">
        <v>10557</v>
      </c>
    </row>
    <row r="7422" spans="1:2">
      <c r="A7422" s="66">
        <v>46071.628880509263</v>
      </c>
      <c r="B7422" s="49" t="s">
        <v>10546</v>
      </c>
    </row>
    <row r="7423" spans="1:2">
      <c r="A7423" s="66">
        <v>46071.628883530095</v>
      </c>
      <c r="B7423" s="49" t="s">
        <v>10466</v>
      </c>
    </row>
    <row r="7424" spans="1:2">
      <c r="A7424" s="66">
        <v>46071.628886828708</v>
      </c>
      <c r="B7424" s="49" t="s">
        <v>10561</v>
      </c>
    </row>
    <row r="7425" spans="1:2">
      <c r="A7425" s="66">
        <v>46071.628889837964</v>
      </c>
      <c r="B7425" s="49" t="s">
        <v>10562</v>
      </c>
    </row>
    <row r="7426" spans="1:2">
      <c r="A7426" s="66">
        <v>46071.628898333336</v>
      </c>
      <c r="B7426" s="49" t="s">
        <v>10563</v>
      </c>
    </row>
    <row r="7427" spans="1:2">
      <c r="A7427" s="66">
        <v>46071.628926168982</v>
      </c>
      <c r="B7427" s="49" t="s">
        <v>10541</v>
      </c>
    </row>
    <row r="7428" spans="1:2">
      <c r="A7428" s="66">
        <v>46071.628929791666</v>
      </c>
      <c r="B7428" s="49" t="s">
        <v>10542</v>
      </c>
    </row>
    <row r="7429" spans="1:2">
      <c r="A7429" s="66">
        <v>46071.62893288194</v>
      </c>
      <c r="B7429" s="49" t="s">
        <v>10543</v>
      </c>
    </row>
    <row r="7430" spans="1:2">
      <c r="A7430" s="66">
        <v>46071.628935925924</v>
      </c>
      <c r="B7430" s="49" t="s">
        <v>9394</v>
      </c>
    </row>
    <row r="7431" spans="1:2">
      <c r="A7431" s="66">
        <v>46071.630230381939</v>
      </c>
      <c r="B7431" s="49" t="s">
        <v>10556</v>
      </c>
    </row>
    <row r="7432" spans="1:2">
      <c r="A7432" s="66">
        <v>46071.630248958332</v>
      </c>
      <c r="B7432" s="49" t="s">
        <v>10557</v>
      </c>
    </row>
    <row r="7433" spans="1:2">
      <c r="A7433" s="66">
        <v>46071.630252986113</v>
      </c>
      <c r="B7433" s="49" t="s">
        <v>10546</v>
      </c>
    </row>
    <row r="7434" spans="1:2">
      <c r="A7434" s="66">
        <v>46071.630255150463</v>
      </c>
      <c r="B7434" s="49" t="s">
        <v>10466</v>
      </c>
    </row>
    <row r="7435" spans="1:2">
      <c r="A7435" s="66">
        <v>46071.630257094905</v>
      </c>
      <c r="B7435" s="49" t="s">
        <v>10561</v>
      </c>
    </row>
    <row r="7436" spans="1:2">
      <c r="A7436" s="66">
        <v>46071.630259305559</v>
      </c>
      <c r="B7436" s="49" t="s">
        <v>10562</v>
      </c>
    </row>
    <row r="7437" spans="1:2">
      <c r="A7437" s="66">
        <v>46071.63026150463</v>
      </c>
      <c r="B7437" s="49" t="s">
        <v>10563</v>
      </c>
    </row>
    <row r="7438" spans="1:2">
      <c r="A7438" s="66">
        <v>46071.630285254629</v>
      </c>
      <c r="B7438" s="49" t="s">
        <v>10541</v>
      </c>
    </row>
    <row r="7439" spans="1:2">
      <c r="A7439" s="66">
        <v>46071.630288043976</v>
      </c>
      <c r="B7439" s="49" t="s">
        <v>10542</v>
      </c>
    </row>
    <row r="7440" spans="1:2">
      <c r="A7440" s="66">
        <v>46071.63029011574</v>
      </c>
      <c r="B7440" s="49" t="s">
        <v>10543</v>
      </c>
    </row>
    <row r="7441" spans="1:2">
      <c r="A7441" s="66">
        <v>46071.630292939815</v>
      </c>
      <c r="B7441" s="49" t="s">
        <v>9394</v>
      </c>
    </row>
    <row r="7442" spans="1:2">
      <c r="A7442" s="66">
        <v>46071.631438310185</v>
      </c>
      <c r="B7442" s="49" t="s">
        <v>10556</v>
      </c>
    </row>
    <row r="7443" spans="1:2">
      <c r="A7443" s="66">
        <v>46071.631441770834</v>
      </c>
      <c r="B7443" s="49" t="s">
        <v>10557</v>
      </c>
    </row>
    <row r="7444" spans="1:2">
      <c r="A7444" s="66">
        <v>46071.631445266205</v>
      </c>
      <c r="B7444" s="49" t="s">
        <v>10546</v>
      </c>
    </row>
    <row r="7445" spans="1:2">
      <c r="A7445" s="66">
        <v>46071.631448321757</v>
      </c>
      <c r="B7445" s="49" t="s">
        <v>10466</v>
      </c>
    </row>
    <row r="7446" spans="1:2">
      <c r="A7446" s="66">
        <v>46071.631451238427</v>
      </c>
      <c r="B7446" s="49" t="s">
        <v>10561</v>
      </c>
    </row>
    <row r="7447" spans="1:2">
      <c r="A7447" s="66">
        <v>46071.631454606482</v>
      </c>
      <c r="B7447" s="49" t="s">
        <v>10562</v>
      </c>
    </row>
    <row r="7448" spans="1:2">
      <c r="A7448" s="66">
        <v>46071.631457476848</v>
      </c>
      <c r="B7448" s="49" t="s">
        <v>10563</v>
      </c>
    </row>
    <row r="7449" spans="1:2">
      <c r="A7449" s="66">
        <v>46071.631484120371</v>
      </c>
      <c r="B7449" s="49" t="s">
        <v>10541</v>
      </c>
    </row>
    <row r="7450" spans="1:2">
      <c r="A7450" s="66">
        <v>46071.631487152779</v>
      </c>
      <c r="B7450" s="49" t="s">
        <v>10542</v>
      </c>
    </row>
    <row r="7451" spans="1:2">
      <c r="A7451" s="66">
        <v>46071.631490381944</v>
      </c>
      <c r="B7451" s="49" t="s">
        <v>10543</v>
      </c>
    </row>
    <row r="7452" spans="1:2">
      <c r="A7452" s="66">
        <v>46071.631493229172</v>
      </c>
      <c r="B7452" s="49" t="s">
        <v>9394</v>
      </c>
    </row>
    <row r="7453" spans="1:2">
      <c r="A7453" s="66">
        <v>46071.632360625001</v>
      </c>
      <c r="B7453" s="49" t="s">
        <v>10556</v>
      </c>
    </row>
    <row r="7454" spans="1:2">
      <c r="A7454" s="66">
        <v>46071.632363831013</v>
      </c>
      <c r="B7454" s="49" t="s">
        <v>10557</v>
      </c>
    </row>
    <row r="7455" spans="1:2">
      <c r="A7455" s="66">
        <v>46071.632367025464</v>
      </c>
      <c r="B7455" s="49" t="s">
        <v>10546</v>
      </c>
    </row>
    <row r="7456" spans="1:2">
      <c r="A7456" s="66">
        <v>46071.63236984954</v>
      </c>
      <c r="B7456" s="49" t="s">
        <v>10466</v>
      </c>
    </row>
    <row r="7457" spans="1:2">
      <c r="A7457" s="66">
        <v>46071.632373125001</v>
      </c>
      <c r="B7457" s="49" t="s">
        <v>10561</v>
      </c>
    </row>
    <row r="7458" spans="1:2">
      <c r="A7458" s="66">
        <v>46071.632378437498</v>
      </c>
      <c r="B7458" s="49" t="s">
        <v>10562</v>
      </c>
    </row>
    <row r="7459" spans="1:2">
      <c r="A7459" s="66">
        <v>46071.632385266203</v>
      </c>
      <c r="B7459" s="49" t="s">
        <v>10563</v>
      </c>
    </row>
    <row r="7460" spans="1:2">
      <c r="A7460" s="66">
        <v>46071.632411377315</v>
      </c>
      <c r="B7460" s="49" t="s">
        <v>10541</v>
      </c>
    </row>
    <row r="7461" spans="1:2">
      <c r="A7461" s="66">
        <v>46071.632414791668</v>
      </c>
      <c r="B7461" s="49" t="s">
        <v>10542</v>
      </c>
    </row>
    <row r="7462" spans="1:2">
      <c r="A7462" s="66">
        <v>46071.632418159723</v>
      </c>
      <c r="B7462" s="49" t="s">
        <v>10543</v>
      </c>
    </row>
    <row r="7463" spans="1:2">
      <c r="A7463" s="66">
        <v>46071.632420636575</v>
      </c>
      <c r="B7463" s="49" t="s">
        <v>9394</v>
      </c>
    </row>
    <row r="7464" spans="1:2">
      <c r="A7464" s="66">
        <v>46071.63368831019</v>
      </c>
      <c r="B7464" s="49" t="s">
        <v>10556</v>
      </c>
    </row>
    <row r="7465" spans="1:2">
      <c r="A7465" s="66">
        <v>46071.633690497685</v>
      </c>
      <c r="B7465" s="49" t="s">
        <v>10557</v>
      </c>
    </row>
    <row r="7466" spans="1:2">
      <c r="A7466" s="66">
        <v>46071.633692650459</v>
      </c>
      <c r="B7466" s="49" t="s">
        <v>10546</v>
      </c>
    </row>
    <row r="7467" spans="1:2">
      <c r="A7467" s="66">
        <v>46071.633694953707</v>
      </c>
      <c r="B7467" s="49" t="s">
        <v>10466</v>
      </c>
    </row>
    <row r="7468" spans="1:2">
      <c r="A7468" s="66">
        <v>46071.633697199075</v>
      </c>
      <c r="B7468" s="49" t="s">
        <v>10561</v>
      </c>
    </row>
    <row r="7469" spans="1:2">
      <c r="A7469" s="66">
        <v>46071.63369934028</v>
      </c>
      <c r="B7469" s="49" t="s">
        <v>10562</v>
      </c>
    </row>
    <row r="7470" spans="1:2">
      <c r="A7470" s="66">
        <v>46071.633701365739</v>
      </c>
      <c r="B7470" s="49" t="s">
        <v>10563</v>
      </c>
    </row>
    <row r="7471" spans="1:2">
      <c r="A7471" s="66">
        <v>46071.633721041668</v>
      </c>
      <c r="B7471" s="49" t="s">
        <v>10541</v>
      </c>
    </row>
    <row r="7472" spans="1:2">
      <c r="A7472" s="66">
        <v>46071.633724259256</v>
      </c>
      <c r="B7472" s="49" t="s">
        <v>10542</v>
      </c>
    </row>
    <row r="7473" spans="1:2">
      <c r="A7473" s="66">
        <v>46071.633726550921</v>
      </c>
      <c r="B7473" s="49" t="s">
        <v>10543</v>
      </c>
    </row>
    <row r="7474" spans="1:2">
      <c r="A7474" s="66">
        <v>46071.633728784727</v>
      </c>
      <c r="B7474" s="49" t="s">
        <v>9394</v>
      </c>
    </row>
    <row r="7475" spans="1:2">
      <c r="A7475" s="66">
        <v>46071.635045682866</v>
      </c>
      <c r="B7475" s="49" t="s">
        <v>10556</v>
      </c>
    </row>
    <row r="7476" spans="1:2">
      <c r="A7476" s="66">
        <v>46071.635048807875</v>
      </c>
      <c r="B7476" s="49" t="s">
        <v>10557</v>
      </c>
    </row>
    <row r="7477" spans="1:2">
      <c r="A7477" s="66">
        <v>46071.635051527774</v>
      </c>
      <c r="B7477" s="49" t="s">
        <v>10546</v>
      </c>
    </row>
    <row r="7478" spans="1:2">
      <c r="A7478" s="66">
        <v>46071.635054722225</v>
      </c>
      <c r="B7478" s="49" t="s">
        <v>10466</v>
      </c>
    </row>
    <row r="7479" spans="1:2">
      <c r="A7479" s="66">
        <v>46071.635057824074</v>
      </c>
      <c r="B7479" s="49" t="s">
        <v>10561</v>
      </c>
    </row>
    <row r="7480" spans="1:2">
      <c r="A7480" s="66">
        <v>46071.635060590277</v>
      </c>
      <c r="B7480" s="49" t="s">
        <v>10562</v>
      </c>
    </row>
    <row r="7481" spans="1:2">
      <c r="A7481" s="66">
        <v>46071.635063692127</v>
      </c>
      <c r="B7481" s="49" t="s">
        <v>10563</v>
      </c>
    </row>
    <row r="7482" spans="1:2">
      <c r="A7482" s="66">
        <v>46071.635087546296</v>
      </c>
      <c r="B7482" s="49" t="s">
        <v>10541</v>
      </c>
    </row>
    <row r="7483" spans="1:2">
      <c r="A7483" s="66">
        <v>46071.635091192133</v>
      </c>
      <c r="B7483" s="49" t="s">
        <v>10542</v>
      </c>
    </row>
    <row r="7484" spans="1:2">
      <c r="A7484" s="66">
        <v>46071.63509408565</v>
      </c>
      <c r="B7484" s="49" t="s">
        <v>10543</v>
      </c>
    </row>
    <row r="7485" spans="1:2">
      <c r="A7485" s="66">
        <v>46071.635096932871</v>
      </c>
      <c r="B7485" s="49" t="s">
        <v>9394</v>
      </c>
    </row>
    <row r="7486" spans="1:2">
      <c r="A7486" s="66">
        <v>46071.636206180556</v>
      </c>
      <c r="B7486" s="49" t="s">
        <v>10556</v>
      </c>
    </row>
    <row r="7487" spans="1:2">
      <c r="A7487" s="66">
        <v>46071.636208240743</v>
      </c>
      <c r="B7487" s="49" t="s">
        <v>10557</v>
      </c>
    </row>
    <row r="7488" spans="1:2">
      <c r="A7488" s="66">
        <v>46071.63621045139</v>
      </c>
      <c r="B7488" s="49" t="s">
        <v>10546</v>
      </c>
    </row>
    <row r="7489" spans="1:2">
      <c r="A7489" s="66">
        <v>46071.636212442128</v>
      </c>
      <c r="B7489" s="49" t="s">
        <v>10466</v>
      </c>
    </row>
    <row r="7490" spans="1:2">
      <c r="A7490" s="66">
        <v>46071.636214629631</v>
      </c>
      <c r="B7490" s="49" t="s">
        <v>10561</v>
      </c>
    </row>
    <row r="7491" spans="1:2">
      <c r="A7491" s="66">
        <v>46071.636216898143</v>
      </c>
      <c r="B7491" s="49" t="s">
        <v>10562</v>
      </c>
    </row>
    <row r="7492" spans="1:2">
      <c r="A7492" s="66">
        <v>46071.636219016204</v>
      </c>
      <c r="B7492" s="49" t="s">
        <v>10563</v>
      </c>
    </row>
    <row r="7493" spans="1:2">
      <c r="A7493" s="66">
        <v>46071.636237997685</v>
      </c>
      <c r="B7493" s="49" t="s">
        <v>10541</v>
      </c>
    </row>
    <row r="7494" spans="1:2">
      <c r="A7494" s="66">
        <v>46071.636240543987</v>
      </c>
      <c r="B7494" s="49" t="s">
        <v>10542</v>
      </c>
    </row>
    <row r="7495" spans="1:2">
      <c r="A7495" s="66">
        <v>46071.636242592591</v>
      </c>
      <c r="B7495" s="49" t="s">
        <v>10543</v>
      </c>
    </row>
    <row r="7496" spans="1:2">
      <c r="A7496" s="66">
        <v>46071.636244953705</v>
      </c>
      <c r="B7496" s="49" t="s">
        <v>9394</v>
      </c>
    </row>
    <row r="7497" spans="1:2">
      <c r="A7497" s="66">
        <v>46071.636962627315</v>
      </c>
      <c r="B7497" s="49" t="s">
        <v>10556</v>
      </c>
    </row>
    <row r="7498" spans="1:2">
      <c r="A7498" s="66">
        <v>46071.636965185186</v>
      </c>
      <c r="B7498" s="49" t="s">
        <v>10557</v>
      </c>
    </row>
    <row r="7499" spans="1:2">
      <c r="A7499" s="66">
        <v>46071.636967500002</v>
      </c>
      <c r="B7499" s="49" t="s">
        <v>10546</v>
      </c>
    </row>
    <row r="7500" spans="1:2">
      <c r="A7500" s="66">
        <v>46071.636970069449</v>
      </c>
      <c r="B7500" s="49" t="s">
        <v>10466</v>
      </c>
    </row>
    <row r="7501" spans="1:2">
      <c r="A7501" s="66">
        <v>46071.63697269676</v>
      </c>
      <c r="B7501" s="49" t="s">
        <v>10561</v>
      </c>
    </row>
    <row r="7502" spans="1:2">
      <c r="A7502" s="66">
        <v>46071.636982835647</v>
      </c>
      <c r="B7502" s="49" t="s">
        <v>10562</v>
      </c>
    </row>
    <row r="7503" spans="1:2">
      <c r="A7503" s="66">
        <v>46071.636985358797</v>
      </c>
      <c r="B7503" s="49" t="s">
        <v>10563</v>
      </c>
    </row>
    <row r="7504" spans="1:2">
      <c r="A7504" s="66">
        <v>46071.637005474535</v>
      </c>
      <c r="B7504" s="49" t="s">
        <v>10541</v>
      </c>
    </row>
    <row r="7505" spans="1:2">
      <c r="A7505" s="66">
        <v>46071.637008344907</v>
      </c>
      <c r="B7505" s="49" t="s">
        <v>10542</v>
      </c>
    </row>
    <row r="7506" spans="1:2">
      <c r="A7506" s="66">
        <v>46071.637010833336</v>
      </c>
      <c r="B7506" s="49" t="s">
        <v>10543</v>
      </c>
    </row>
    <row r="7507" spans="1:2">
      <c r="A7507" s="66">
        <v>46071.637013437503</v>
      </c>
      <c r="B7507" s="49" t="s">
        <v>9394</v>
      </c>
    </row>
    <row r="7508" spans="1:2">
      <c r="A7508" s="66">
        <v>46071.638260821761</v>
      </c>
      <c r="B7508" s="49" t="s">
        <v>10556</v>
      </c>
    </row>
    <row r="7509" spans="1:2">
      <c r="A7509" s="66">
        <v>46071.638262962966</v>
      </c>
      <c r="B7509" s="49" t="s">
        <v>10557</v>
      </c>
    </row>
    <row r="7510" spans="1:2">
      <c r="A7510" s="66">
        <v>46071.638265185189</v>
      </c>
      <c r="B7510" s="49" t="s">
        <v>10546</v>
      </c>
    </row>
    <row r="7511" spans="1:2">
      <c r="A7511" s="66">
        <v>46071.638267708331</v>
      </c>
      <c r="B7511" s="49" t="s">
        <v>10466</v>
      </c>
    </row>
    <row r="7512" spans="1:2">
      <c r="A7512" s="66">
        <v>46071.638269803239</v>
      </c>
      <c r="B7512" s="49" t="s">
        <v>10561</v>
      </c>
    </row>
    <row r="7513" spans="1:2">
      <c r="A7513" s="66">
        <v>46071.638272060183</v>
      </c>
      <c r="B7513" s="49" t="s">
        <v>10562</v>
      </c>
    </row>
    <row r="7514" spans="1:2">
      <c r="A7514" s="66">
        <v>46071.638274189812</v>
      </c>
      <c r="B7514" s="49" t="s">
        <v>10563</v>
      </c>
    </row>
    <row r="7515" spans="1:2">
      <c r="A7515" s="66">
        <v>46071.638291932875</v>
      </c>
      <c r="B7515" s="49" t="s">
        <v>10541</v>
      </c>
    </row>
    <row r="7516" spans="1:2">
      <c r="A7516" s="66">
        <v>46071.638294537042</v>
      </c>
      <c r="B7516" s="49" t="s">
        <v>10542</v>
      </c>
    </row>
    <row r="7517" spans="1:2">
      <c r="A7517" s="66">
        <v>46071.638296747682</v>
      </c>
      <c r="B7517" s="49" t="s">
        <v>10543</v>
      </c>
    </row>
    <row r="7518" spans="1:2">
      <c r="A7518" s="66">
        <v>46071.638298981481</v>
      </c>
      <c r="B7518" s="49" t="s">
        <v>9394</v>
      </c>
    </row>
    <row r="7519" spans="1:2">
      <c r="A7519" s="66">
        <v>46071.639143518521</v>
      </c>
      <c r="B7519" s="49" t="s">
        <v>10556</v>
      </c>
    </row>
    <row r="7520" spans="1:2">
      <c r="A7520" s="66">
        <v>46071.639146643516</v>
      </c>
      <c r="B7520" s="49" t="s">
        <v>10557</v>
      </c>
    </row>
    <row r="7521" spans="1:2">
      <c r="A7521" s="66">
        <v>46071.639149340277</v>
      </c>
      <c r="B7521" s="49" t="s">
        <v>10546</v>
      </c>
    </row>
    <row r="7522" spans="1:2">
      <c r="A7522" s="66">
        <v>46071.639152291667</v>
      </c>
      <c r="B7522" s="49" t="s">
        <v>10466</v>
      </c>
    </row>
    <row r="7523" spans="1:2">
      <c r="A7523" s="66">
        <v>46071.639155173616</v>
      </c>
      <c r="B7523" s="49" t="s">
        <v>10561</v>
      </c>
    </row>
    <row r="7524" spans="1:2">
      <c r="A7524" s="66">
        <v>46071.63915800926</v>
      </c>
      <c r="B7524" s="49" t="s">
        <v>10562</v>
      </c>
    </row>
    <row r="7525" spans="1:2">
      <c r="A7525" s="66">
        <v>46071.639160706021</v>
      </c>
      <c r="B7525" s="49" t="s">
        <v>10563</v>
      </c>
    </row>
    <row r="7526" spans="1:2">
      <c r="A7526" s="66">
        <v>46071.639185555556</v>
      </c>
      <c r="B7526" s="49" t="s">
        <v>10541</v>
      </c>
    </row>
    <row r="7527" spans="1:2">
      <c r="A7527" s="66">
        <v>46071.639188298606</v>
      </c>
      <c r="B7527" s="49" t="s">
        <v>10542</v>
      </c>
    </row>
    <row r="7528" spans="1:2">
      <c r="A7528" s="66">
        <v>46071.639194467592</v>
      </c>
      <c r="B7528" s="49" t="s">
        <v>10543</v>
      </c>
    </row>
    <row r="7529" spans="1:2">
      <c r="A7529" s="66">
        <v>46071.639197303244</v>
      </c>
      <c r="B7529" s="49" t="s">
        <v>9394</v>
      </c>
    </row>
    <row r="7530" spans="1:2">
      <c r="A7530" s="66">
        <v>46071.639947777774</v>
      </c>
      <c r="B7530" s="49" t="s">
        <v>10556</v>
      </c>
    </row>
    <row r="7531" spans="1:2">
      <c r="A7531" s="66">
        <v>46071.639950162033</v>
      </c>
      <c r="B7531" s="49" t="s">
        <v>10557</v>
      </c>
    </row>
    <row r="7532" spans="1:2">
      <c r="A7532" s="66">
        <v>46071.639952453705</v>
      </c>
      <c r="B7532" s="49" t="s">
        <v>10546</v>
      </c>
    </row>
    <row r="7533" spans="1:2">
      <c r="A7533" s="66">
        <v>46071.639954791666</v>
      </c>
      <c r="B7533" s="49" t="s">
        <v>10466</v>
      </c>
    </row>
    <row r="7534" spans="1:2">
      <c r="A7534" s="66">
        <v>46071.639956990737</v>
      </c>
      <c r="B7534" s="49" t="s">
        <v>10561</v>
      </c>
    </row>
    <row r="7535" spans="1:2">
      <c r="A7535" s="66">
        <v>46071.639959386579</v>
      </c>
      <c r="B7535" s="49" t="s">
        <v>10562</v>
      </c>
    </row>
    <row r="7536" spans="1:2">
      <c r="A7536" s="66">
        <v>46071.639961770838</v>
      </c>
      <c r="B7536" s="49" t="s">
        <v>10563</v>
      </c>
    </row>
    <row r="7537" spans="1:2">
      <c r="A7537" s="66">
        <v>46071.639981678236</v>
      </c>
      <c r="B7537" s="49" t="s">
        <v>10541</v>
      </c>
    </row>
    <row r="7538" spans="1:2">
      <c r="A7538" s="66">
        <v>46071.639984664347</v>
      </c>
      <c r="B7538" s="49" t="s">
        <v>10542</v>
      </c>
    </row>
    <row r="7539" spans="1:2">
      <c r="A7539" s="66">
        <v>46071.639988414347</v>
      </c>
      <c r="B7539" s="49" t="s">
        <v>10543</v>
      </c>
    </row>
    <row r="7540" spans="1:2">
      <c r="A7540" s="66">
        <v>46071.639990694443</v>
      </c>
      <c r="B7540" s="49" t="s">
        <v>9394</v>
      </c>
    </row>
    <row r="7541" spans="1:2">
      <c r="A7541" s="66">
        <v>46071.641017662041</v>
      </c>
      <c r="B7541" s="49" t="s">
        <v>10556</v>
      </c>
    </row>
    <row r="7542" spans="1:2">
      <c r="A7542" s="66">
        <v>46071.641020219904</v>
      </c>
      <c r="B7542" s="49" t="s">
        <v>10557</v>
      </c>
    </row>
    <row r="7543" spans="1:2">
      <c r="A7543" s="66">
        <v>46071.641022592594</v>
      </c>
      <c r="B7543" s="49" t="s">
        <v>10546</v>
      </c>
    </row>
    <row r="7544" spans="1:2">
      <c r="A7544" s="66">
        <v>46071.64102487269</v>
      </c>
      <c r="B7544" s="49" t="s">
        <v>10466</v>
      </c>
    </row>
    <row r="7545" spans="1:2">
      <c r="A7545" s="66">
        <v>46071.641026921294</v>
      </c>
      <c r="B7545" s="49" t="s">
        <v>10561</v>
      </c>
    </row>
    <row r="7546" spans="1:2">
      <c r="A7546" s="66">
        <v>46071.641029259263</v>
      </c>
      <c r="B7546" s="49" t="s">
        <v>10562</v>
      </c>
    </row>
    <row r="7547" spans="1:2">
      <c r="A7547" s="66">
        <v>46071.641034629632</v>
      </c>
      <c r="B7547" s="49" t="s">
        <v>10563</v>
      </c>
    </row>
    <row r="7548" spans="1:2">
      <c r="A7548" s="66">
        <v>46071.641064398151</v>
      </c>
      <c r="B7548" s="49" t="s">
        <v>10541</v>
      </c>
    </row>
    <row r="7549" spans="1:2">
      <c r="A7549" s="66">
        <v>46071.641067245371</v>
      </c>
      <c r="B7549" s="49" t="s">
        <v>10542</v>
      </c>
    </row>
    <row r="7550" spans="1:2">
      <c r="A7550" s="66">
        <v>46071.641069143516</v>
      </c>
      <c r="B7550" s="49" t="s">
        <v>10543</v>
      </c>
    </row>
    <row r="7551" spans="1:2">
      <c r="A7551" s="66">
        <v>46071.641070925922</v>
      </c>
      <c r="B7551" s="49" t="s">
        <v>9394</v>
      </c>
    </row>
    <row r="7552" spans="1:2">
      <c r="A7552" s="66">
        <v>46071.642412222223</v>
      </c>
      <c r="B7552" s="49" t="s">
        <v>10556</v>
      </c>
    </row>
    <row r="7553" spans="1:2">
      <c r="A7553" s="66">
        <v>46071.642414340276</v>
      </c>
      <c r="B7553" s="49" t="s">
        <v>10557</v>
      </c>
    </row>
    <row r="7554" spans="1:2">
      <c r="A7554" s="66">
        <v>46071.64241645833</v>
      </c>
      <c r="B7554" s="49" t="s">
        <v>10546</v>
      </c>
    </row>
    <row r="7555" spans="1:2">
      <c r="A7555" s="66">
        <v>46071.642418738425</v>
      </c>
      <c r="B7555" s="49" t="s">
        <v>10466</v>
      </c>
    </row>
    <row r="7556" spans="1:2">
      <c r="A7556" s="66">
        <v>46071.642420787037</v>
      </c>
      <c r="B7556" s="49" t="s">
        <v>10561</v>
      </c>
    </row>
    <row r="7557" spans="1:2">
      <c r="A7557" s="66">
        <v>46071.642422939811</v>
      </c>
      <c r="B7557" s="49" t="s">
        <v>10562</v>
      </c>
    </row>
    <row r="7558" spans="1:2">
      <c r="A7558" s="66">
        <v>46071.642425034719</v>
      </c>
      <c r="B7558" s="49" t="s">
        <v>10563</v>
      </c>
    </row>
    <row r="7559" spans="1:2">
      <c r="A7559" s="66">
        <v>46071.642451296299</v>
      </c>
      <c r="B7559" s="49" t="s">
        <v>10541</v>
      </c>
    </row>
    <row r="7560" spans="1:2">
      <c r="A7560" s="66">
        <v>46071.642464976852</v>
      </c>
      <c r="B7560" s="49" t="s">
        <v>10542</v>
      </c>
    </row>
    <row r="7561" spans="1:2">
      <c r="A7561" s="66">
        <v>46071.642467094905</v>
      </c>
      <c r="B7561" s="49" t="s">
        <v>10543</v>
      </c>
    </row>
    <row r="7562" spans="1:2">
      <c r="A7562" s="66">
        <v>46071.642469259255</v>
      </c>
      <c r="B7562" s="49" t="s">
        <v>9394</v>
      </c>
    </row>
    <row r="7563" spans="1:2">
      <c r="A7563" s="66">
        <v>46071.643455266203</v>
      </c>
      <c r="B7563" s="49" t="s">
        <v>10556</v>
      </c>
    </row>
    <row r="7564" spans="1:2">
      <c r="A7564" s="66">
        <v>46071.643458009261</v>
      </c>
      <c r="B7564" s="49" t="s">
        <v>10557</v>
      </c>
    </row>
    <row r="7565" spans="1:2">
      <c r="A7565" s="66">
        <v>46071.643460706022</v>
      </c>
      <c r="B7565" s="49" t="s">
        <v>10546</v>
      </c>
    </row>
    <row r="7566" spans="1:2">
      <c r="A7566" s="66">
        <v>46071.643463368055</v>
      </c>
      <c r="B7566" s="49" t="s">
        <v>10466</v>
      </c>
    </row>
    <row r="7567" spans="1:2">
      <c r="A7567" s="66">
        <v>46071.643465833331</v>
      </c>
      <c r="B7567" s="49" t="s">
        <v>10561</v>
      </c>
    </row>
    <row r="7568" spans="1:2">
      <c r="A7568" s="66">
        <v>46071.643468634255</v>
      </c>
      <c r="B7568" s="49" t="s">
        <v>10562</v>
      </c>
    </row>
    <row r="7569" spans="1:2">
      <c r="A7569" s="66">
        <v>46071.643471423609</v>
      </c>
      <c r="B7569" s="49" t="s">
        <v>10563</v>
      </c>
    </row>
    <row r="7570" spans="1:2">
      <c r="A7570" s="66">
        <v>46071.643494548611</v>
      </c>
      <c r="B7570" s="49" t="s">
        <v>10541</v>
      </c>
    </row>
    <row r="7571" spans="1:2">
      <c r="A7571" s="66">
        <v>46071.643497627316</v>
      </c>
      <c r="B7571" s="49" t="s">
        <v>10542</v>
      </c>
    </row>
    <row r="7572" spans="1:2">
      <c r="A7572" s="66">
        <v>46071.643512557872</v>
      </c>
      <c r="B7572" s="49" t="s">
        <v>10543</v>
      </c>
    </row>
    <row r="7573" spans="1:2">
      <c r="A7573" s="66">
        <v>46071.643516041666</v>
      </c>
      <c r="B7573" s="49" t="s">
        <v>9394</v>
      </c>
    </row>
    <row r="7574" spans="1:2">
      <c r="A7574" s="66">
        <v>46071.644845416668</v>
      </c>
      <c r="B7574" s="49" t="s">
        <v>10556</v>
      </c>
    </row>
    <row r="7575" spans="1:2">
      <c r="A7575" s="66">
        <v>46071.644847175921</v>
      </c>
      <c r="B7575" s="49" t="s">
        <v>10557</v>
      </c>
    </row>
    <row r="7576" spans="1:2">
      <c r="A7576" s="66">
        <v>46071.644848912038</v>
      </c>
      <c r="B7576" s="49" t="s">
        <v>10546</v>
      </c>
    </row>
    <row r="7577" spans="1:2">
      <c r="A7577" s="66">
        <v>46071.644851053235</v>
      </c>
      <c r="B7577" s="49" t="s">
        <v>10466</v>
      </c>
    </row>
    <row r="7578" spans="1:2">
      <c r="A7578" s="66">
        <v>46071.644852777783</v>
      </c>
      <c r="B7578" s="49" t="s">
        <v>10561</v>
      </c>
    </row>
    <row r="7579" spans="1:2">
      <c r="A7579" s="66">
        <v>46071.644854305559</v>
      </c>
      <c r="B7579" s="49" t="s">
        <v>10562</v>
      </c>
    </row>
    <row r="7580" spans="1:2">
      <c r="A7580" s="66">
        <v>46071.64485611111</v>
      </c>
      <c r="B7580" s="49" t="s">
        <v>10563</v>
      </c>
    </row>
    <row r="7581" spans="1:2">
      <c r="A7581" s="66">
        <v>46071.644873703699</v>
      </c>
      <c r="B7581" s="49" t="s">
        <v>10541</v>
      </c>
    </row>
    <row r="7582" spans="1:2">
      <c r="A7582" s="66">
        <v>46071.644876921295</v>
      </c>
      <c r="B7582" s="49" t="s">
        <v>10542</v>
      </c>
    </row>
    <row r="7583" spans="1:2">
      <c r="A7583" s="66">
        <v>46071.644878483799</v>
      </c>
      <c r="B7583" s="49" t="s">
        <v>10543</v>
      </c>
    </row>
    <row r="7584" spans="1:2">
      <c r="A7584" s="66">
        <v>46071.644880115738</v>
      </c>
      <c r="B7584" s="49" t="s">
        <v>9394</v>
      </c>
    </row>
    <row r="7585" spans="1:2">
      <c r="A7585" s="66">
        <v>46071.645639837967</v>
      </c>
      <c r="B7585" s="49" t="s">
        <v>10556</v>
      </c>
    </row>
    <row r="7586" spans="1:2">
      <c r="A7586" s="66">
        <v>46071.645642094911</v>
      </c>
      <c r="B7586" s="49" t="s">
        <v>10557</v>
      </c>
    </row>
    <row r="7587" spans="1:2">
      <c r="A7587" s="66">
        <v>46071.645644548611</v>
      </c>
      <c r="B7587" s="49" t="s">
        <v>10546</v>
      </c>
    </row>
    <row r="7588" spans="1:2">
      <c r="A7588" s="66">
        <v>46071.645646979166</v>
      </c>
      <c r="B7588" s="49" t="s">
        <v>10466</v>
      </c>
    </row>
    <row r="7589" spans="1:2">
      <c r="A7589" s="66">
        <v>46071.645649259255</v>
      </c>
      <c r="B7589" s="49" t="s">
        <v>10561</v>
      </c>
    </row>
    <row r="7590" spans="1:2">
      <c r="A7590" s="66">
        <v>46071.645651631945</v>
      </c>
      <c r="B7590" s="49" t="s">
        <v>10562</v>
      </c>
    </row>
    <row r="7591" spans="1:2">
      <c r="A7591" s="66">
        <v>46071.645653888889</v>
      </c>
      <c r="B7591" s="49" t="s">
        <v>10563</v>
      </c>
    </row>
    <row r="7592" spans="1:2">
      <c r="A7592" s="66">
        <v>46071.645672546292</v>
      </c>
      <c r="B7592" s="49" t="s">
        <v>10541</v>
      </c>
    </row>
    <row r="7593" spans="1:2">
      <c r="A7593" s="66">
        <v>46071.645675023145</v>
      </c>
      <c r="B7593" s="49" t="s">
        <v>10542</v>
      </c>
    </row>
    <row r="7594" spans="1:2">
      <c r="A7594" s="66">
        <v>46071.64567701389</v>
      </c>
      <c r="B7594" s="49" t="s">
        <v>10543</v>
      </c>
    </row>
    <row r="7595" spans="1:2">
      <c r="A7595" s="66">
        <v>46071.645679062502</v>
      </c>
      <c r="B7595" s="49" t="s">
        <v>9394</v>
      </c>
    </row>
    <row r="7596" spans="1:2">
      <c r="A7596" s="66">
        <v>46071.646954166667</v>
      </c>
      <c r="B7596" s="49" t="s">
        <v>10556</v>
      </c>
    </row>
    <row r="7597" spans="1:2">
      <c r="A7597" s="66">
        <v>46071.646957650461</v>
      </c>
      <c r="B7597" s="49" t="s">
        <v>10557</v>
      </c>
    </row>
    <row r="7598" spans="1:2">
      <c r="A7598" s="66">
        <v>46071.646961550927</v>
      </c>
      <c r="B7598" s="49" t="s">
        <v>10546</v>
      </c>
    </row>
    <row r="7599" spans="1:2">
      <c r="A7599" s="66">
        <v>46071.646964525462</v>
      </c>
      <c r="B7599" s="49" t="s">
        <v>10466</v>
      </c>
    </row>
    <row r="7600" spans="1:2">
      <c r="A7600" s="66">
        <v>46071.646967083332</v>
      </c>
      <c r="B7600" s="49" t="s">
        <v>10561</v>
      </c>
    </row>
    <row r="7601" spans="1:2">
      <c r="A7601" s="66">
        <v>46071.646969699075</v>
      </c>
      <c r="B7601" s="49" t="s">
        <v>10562</v>
      </c>
    </row>
    <row r="7602" spans="1:2">
      <c r="A7602" s="66">
        <v>46071.64698060185</v>
      </c>
      <c r="B7602" s="49" t="s">
        <v>10563</v>
      </c>
    </row>
    <row r="7603" spans="1:2">
      <c r="A7603" s="66">
        <v>46071.647006168976</v>
      </c>
      <c r="B7603" s="49" t="s">
        <v>10541</v>
      </c>
    </row>
    <row r="7604" spans="1:2">
      <c r="A7604" s="66">
        <v>46071.647012013884</v>
      </c>
      <c r="B7604" s="49" t="s">
        <v>10542</v>
      </c>
    </row>
    <row r="7605" spans="1:2">
      <c r="A7605" s="66">
        <v>46071.64701487268</v>
      </c>
      <c r="B7605" s="49" t="s">
        <v>10543</v>
      </c>
    </row>
    <row r="7606" spans="1:2">
      <c r="A7606" s="66">
        <v>46071.647017673611</v>
      </c>
      <c r="B7606" s="49" t="s">
        <v>9394</v>
      </c>
    </row>
    <row r="7607" spans="1:2">
      <c r="A7607" s="66">
        <v>46071.647804293985</v>
      </c>
      <c r="B7607" s="49" t="s">
        <v>10556</v>
      </c>
    </row>
    <row r="7608" spans="1:2">
      <c r="A7608" s="66">
        <v>46071.647807696761</v>
      </c>
      <c r="B7608" s="49" t="s">
        <v>10557</v>
      </c>
    </row>
    <row r="7609" spans="1:2">
      <c r="A7609" s="66">
        <v>46071.64781076389</v>
      </c>
      <c r="B7609" s="49" t="s">
        <v>10546</v>
      </c>
    </row>
    <row r="7610" spans="1:2">
      <c r="A7610" s="66">
        <v>46071.647813831019</v>
      </c>
      <c r="B7610" s="49" t="s">
        <v>10466</v>
      </c>
    </row>
    <row r="7611" spans="1:2">
      <c r="A7611" s="66">
        <v>46071.647816504628</v>
      </c>
      <c r="B7611" s="49" t="s">
        <v>10561</v>
      </c>
    </row>
    <row r="7612" spans="1:2">
      <c r="A7612" s="66">
        <v>46071.647819664351</v>
      </c>
      <c r="B7612" s="49" t="s">
        <v>10562</v>
      </c>
    </row>
    <row r="7613" spans="1:2">
      <c r="A7613" s="66">
        <v>46071.647822604165</v>
      </c>
      <c r="B7613" s="49" t="s">
        <v>10563</v>
      </c>
    </row>
    <row r="7614" spans="1:2">
      <c r="A7614" s="66">
        <v>46071.647844756946</v>
      </c>
      <c r="B7614" s="49" t="s">
        <v>10541</v>
      </c>
    </row>
    <row r="7615" spans="1:2">
      <c r="A7615" s="66">
        <v>46071.647847731481</v>
      </c>
      <c r="B7615" s="49" t="s">
        <v>10542</v>
      </c>
    </row>
    <row r="7616" spans="1:2">
      <c r="A7616" s="66">
        <v>46071.647850671296</v>
      </c>
      <c r="B7616" s="49" t="s">
        <v>10543</v>
      </c>
    </row>
    <row r="7617" spans="1:2">
      <c r="A7617" s="66">
        <v>46071.647853530092</v>
      </c>
      <c r="B7617" s="49" t="s">
        <v>9394</v>
      </c>
    </row>
    <row r="7618" spans="1:2">
      <c r="A7618" s="66">
        <v>46071.648573831015</v>
      </c>
      <c r="B7618" s="49" t="s">
        <v>10556</v>
      </c>
    </row>
    <row r="7619" spans="1:2">
      <c r="A7619" s="66">
        <v>46071.648576446758</v>
      </c>
      <c r="B7619" s="49" t="s">
        <v>10557</v>
      </c>
    </row>
    <row r="7620" spans="1:2">
      <c r="A7620" s="66">
        <v>46071.648579814813</v>
      </c>
      <c r="B7620" s="49" t="s">
        <v>10546</v>
      </c>
    </row>
    <row r="7621" spans="1:2">
      <c r="A7621" s="66">
        <v>46071.648582361115</v>
      </c>
      <c r="B7621" s="49" t="s">
        <v>10466</v>
      </c>
    </row>
    <row r="7622" spans="1:2">
      <c r="A7622" s="66">
        <v>46071.648585208335</v>
      </c>
      <c r="B7622" s="49" t="s">
        <v>10561</v>
      </c>
    </row>
    <row r="7623" spans="1:2">
      <c r="A7623" s="66">
        <v>46071.648588460652</v>
      </c>
      <c r="B7623" s="49" t="s">
        <v>10562</v>
      </c>
    </row>
    <row r="7624" spans="1:2">
      <c r="A7624" s="66">
        <v>46071.648590972225</v>
      </c>
      <c r="B7624" s="49" t="s">
        <v>10563</v>
      </c>
    </row>
    <row r="7625" spans="1:2">
      <c r="A7625" s="66">
        <v>46071.648613576384</v>
      </c>
      <c r="B7625" s="49" t="s">
        <v>10541</v>
      </c>
    </row>
    <row r="7626" spans="1:2">
      <c r="A7626" s="66">
        <v>46071.648616666665</v>
      </c>
      <c r="B7626" s="49" t="s">
        <v>10542</v>
      </c>
    </row>
    <row r="7627" spans="1:2">
      <c r="A7627" s="66">
        <v>46071.648619328698</v>
      </c>
      <c r="B7627" s="49" t="s">
        <v>10543</v>
      </c>
    </row>
    <row r="7628" spans="1:2">
      <c r="A7628" s="66">
        <v>46071.648621875</v>
      </c>
      <c r="B7628" s="49" t="s">
        <v>9394</v>
      </c>
    </row>
    <row r="7629" spans="1:2">
      <c r="A7629" s="66">
        <v>46071.649753194448</v>
      </c>
      <c r="B7629" s="49" t="s">
        <v>10556</v>
      </c>
    </row>
    <row r="7630" spans="1:2">
      <c r="A7630" s="66">
        <v>46071.649755416671</v>
      </c>
      <c r="B7630" s="49" t="s">
        <v>10557</v>
      </c>
    </row>
    <row r="7631" spans="1:2">
      <c r="A7631" s="66">
        <v>46071.649757465275</v>
      </c>
      <c r="B7631" s="49" t="s">
        <v>10546</v>
      </c>
    </row>
    <row r="7632" spans="1:2">
      <c r="A7632" s="66">
        <v>46071.649759699074</v>
      </c>
      <c r="B7632" s="49" t="s">
        <v>10466</v>
      </c>
    </row>
    <row r="7633" spans="1:2">
      <c r="A7633" s="66">
        <v>46071.649774490739</v>
      </c>
      <c r="B7633" s="49" t="s">
        <v>10561</v>
      </c>
    </row>
    <row r="7634" spans="1:2">
      <c r="A7634" s="66">
        <v>46071.649781504631</v>
      </c>
      <c r="B7634" s="49" t="s">
        <v>10562</v>
      </c>
    </row>
    <row r="7635" spans="1:2">
      <c r="A7635" s="66">
        <v>46071.649783530098</v>
      </c>
      <c r="B7635" s="49" t="s">
        <v>10563</v>
      </c>
    </row>
    <row r="7636" spans="1:2">
      <c r="A7636" s="66">
        <v>46071.649806134257</v>
      </c>
      <c r="B7636" s="49" t="s">
        <v>10541</v>
      </c>
    </row>
    <row r="7637" spans="1:2">
      <c r="A7637" s="66">
        <v>46071.649808622686</v>
      </c>
      <c r="B7637" s="49" t="s">
        <v>10542</v>
      </c>
    </row>
    <row r="7638" spans="1:2">
      <c r="A7638" s="66">
        <v>46071.649811053241</v>
      </c>
      <c r="B7638" s="49" t="s">
        <v>10543</v>
      </c>
    </row>
    <row r="7639" spans="1:2">
      <c r="A7639" s="66">
        <v>46071.649821805557</v>
      </c>
      <c r="B7639" s="49" t="s">
        <v>9394</v>
      </c>
    </row>
    <row r="7640" spans="1:2">
      <c r="A7640" s="66">
        <v>46071.6507322338</v>
      </c>
      <c r="B7640" s="49" t="s">
        <v>10556</v>
      </c>
    </row>
    <row r="7641" spans="1:2">
      <c r="A7641" s="66">
        <v>46071.650733946764</v>
      </c>
      <c r="B7641" s="49" t="s">
        <v>10557</v>
      </c>
    </row>
    <row r="7642" spans="1:2">
      <c r="A7642" s="66">
        <v>46071.650735648145</v>
      </c>
      <c r="B7642" s="49" t="s">
        <v>10546</v>
      </c>
    </row>
    <row r="7643" spans="1:2">
      <c r="A7643" s="66">
        <v>46071.650737268516</v>
      </c>
      <c r="B7643" s="49" t="s">
        <v>10466</v>
      </c>
    </row>
    <row r="7644" spans="1:2">
      <c r="A7644" s="66">
        <v>46071.650739016201</v>
      </c>
      <c r="B7644" s="49" t="s">
        <v>10561</v>
      </c>
    </row>
    <row r="7645" spans="1:2">
      <c r="A7645" s="66">
        <v>46071.650740740741</v>
      </c>
      <c r="B7645" s="49" t="s">
        <v>10562</v>
      </c>
    </row>
    <row r="7646" spans="1:2">
      <c r="A7646" s="66">
        <v>46071.650742395832</v>
      </c>
      <c r="B7646" s="49" t="s">
        <v>10563</v>
      </c>
    </row>
    <row r="7647" spans="1:2">
      <c r="A7647" s="66">
        <v>46071.650801157404</v>
      </c>
      <c r="B7647" s="49" t="s">
        <v>10541</v>
      </c>
    </row>
    <row r="7648" spans="1:2">
      <c r="A7648" s="66">
        <v>46071.650803506942</v>
      </c>
      <c r="B7648" s="49" t="s">
        <v>10542</v>
      </c>
    </row>
    <row r="7649" spans="1:2">
      <c r="A7649" s="66">
        <v>46071.650805150464</v>
      </c>
      <c r="B7649" s="49" t="s">
        <v>10543</v>
      </c>
    </row>
    <row r="7650" spans="1:2">
      <c r="A7650" s="66">
        <v>46071.650806909718</v>
      </c>
      <c r="B7650" s="49" t="s">
        <v>9394</v>
      </c>
    </row>
    <row r="7651" spans="1:2">
      <c r="A7651" s="66">
        <v>46071.651599826393</v>
      </c>
      <c r="B7651" s="49" t="s">
        <v>10556</v>
      </c>
    </row>
    <row r="7652" spans="1:2">
      <c r="A7652" s="66">
        <v>46071.651602928236</v>
      </c>
      <c r="B7652" s="49" t="s">
        <v>10557</v>
      </c>
    </row>
    <row r="7653" spans="1:2">
      <c r="A7653" s="66">
        <v>46071.651606018517</v>
      </c>
      <c r="B7653" s="49" t="s">
        <v>10546</v>
      </c>
    </row>
    <row r="7654" spans="1:2">
      <c r="A7654" s="66">
        <v>46071.651608946762</v>
      </c>
      <c r="B7654" s="49" t="s">
        <v>10466</v>
      </c>
    </row>
    <row r="7655" spans="1:2">
      <c r="A7655" s="66">
        <v>46071.65161291667</v>
      </c>
      <c r="B7655" s="49" t="s">
        <v>10561</v>
      </c>
    </row>
    <row r="7656" spans="1:2">
      <c r="A7656" s="66">
        <v>46071.651615648152</v>
      </c>
      <c r="B7656" s="49" t="s">
        <v>10562</v>
      </c>
    </row>
    <row r="7657" spans="1:2">
      <c r="A7657" s="66">
        <v>46071.65161847222</v>
      </c>
      <c r="B7657" s="49" t="s">
        <v>10563</v>
      </c>
    </row>
    <row r="7658" spans="1:2">
      <c r="A7658" s="66">
        <v>46071.651643321762</v>
      </c>
      <c r="B7658" s="49" t="s">
        <v>10541</v>
      </c>
    </row>
    <row r="7659" spans="1:2">
      <c r="A7659" s="66">
        <v>46071.651646597224</v>
      </c>
      <c r="B7659" s="49" t="s">
        <v>10542</v>
      </c>
    </row>
    <row r="7660" spans="1:2">
      <c r="A7660" s="66">
        <v>46071.651649594904</v>
      </c>
      <c r="B7660" s="49" t="s">
        <v>10543</v>
      </c>
    </row>
    <row r="7661" spans="1:2">
      <c r="A7661" s="66">
        <v>46071.651652581015</v>
      </c>
      <c r="B7661" s="49" t="s">
        <v>9394</v>
      </c>
    </row>
    <row r="7662" spans="1:2">
      <c r="A7662" s="66">
        <v>46071.652876400462</v>
      </c>
      <c r="B7662" s="49" t="s">
        <v>10556</v>
      </c>
    </row>
    <row r="7663" spans="1:2">
      <c r="A7663" s="66">
        <v>46071.652878043984</v>
      </c>
      <c r="B7663" s="49" t="s">
        <v>10557</v>
      </c>
    </row>
    <row r="7664" spans="1:2">
      <c r="A7664" s="66">
        <v>46071.652879930552</v>
      </c>
      <c r="B7664" s="49" t="s">
        <v>10546</v>
      </c>
    </row>
    <row r="7665" spans="1:2">
      <c r="A7665" s="66">
        <v>46071.652881631948</v>
      </c>
      <c r="B7665" s="49" t="s">
        <v>10466</v>
      </c>
    </row>
    <row r="7666" spans="1:2">
      <c r="A7666" s="66">
        <v>46071.652883726856</v>
      </c>
      <c r="B7666" s="49" t="s">
        <v>10561</v>
      </c>
    </row>
    <row r="7667" spans="1:2">
      <c r="A7667" s="66">
        <v>46071.652885312498</v>
      </c>
      <c r="B7667" s="49" t="s">
        <v>10562</v>
      </c>
    </row>
    <row r="7668" spans="1:2">
      <c r="A7668" s="66">
        <v>46071.652887129632</v>
      </c>
      <c r="B7668" s="49" t="s">
        <v>10563</v>
      </c>
    </row>
    <row r="7669" spans="1:2">
      <c r="A7669" s="66">
        <v>46071.652906342591</v>
      </c>
      <c r="B7669" s="49" t="s">
        <v>10541</v>
      </c>
    </row>
    <row r="7670" spans="1:2">
      <c r="A7670" s="66">
        <v>46071.652909259261</v>
      </c>
      <c r="B7670" s="49" t="s">
        <v>10542</v>
      </c>
    </row>
    <row r="7671" spans="1:2">
      <c r="A7671" s="66">
        <v>46071.652910787037</v>
      </c>
      <c r="B7671" s="49" t="s">
        <v>10543</v>
      </c>
    </row>
    <row r="7672" spans="1:2">
      <c r="A7672" s="66">
        <v>46071.652912372687</v>
      </c>
      <c r="B7672" s="49" t="s">
        <v>9394</v>
      </c>
    </row>
    <row r="7673" spans="1:2">
      <c r="A7673" s="66">
        <v>46071.653684108795</v>
      </c>
      <c r="B7673" s="49" t="s">
        <v>10556</v>
      </c>
    </row>
    <row r="7674" spans="1:2">
      <c r="A7674" s="66">
        <v>46071.653688460647</v>
      </c>
      <c r="B7674" s="49" t="s">
        <v>10557</v>
      </c>
    </row>
    <row r="7675" spans="1:2">
      <c r="A7675" s="66">
        <v>46071.653691597225</v>
      </c>
      <c r="B7675" s="49" t="s">
        <v>10546</v>
      </c>
    </row>
    <row r="7676" spans="1:2">
      <c r="A7676" s="66">
        <v>46071.653694398148</v>
      </c>
      <c r="B7676" s="49" t="s">
        <v>10466</v>
      </c>
    </row>
    <row r="7677" spans="1:2">
      <c r="A7677" s="66">
        <v>46071.653697592592</v>
      </c>
      <c r="B7677" s="49" t="s">
        <v>10561</v>
      </c>
    </row>
    <row r="7678" spans="1:2">
      <c r="A7678" s="66">
        <v>46071.653700347219</v>
      </c>
      <c r="B7678" s="49" t="s">
        <v>10562</v>
      </c>
    </row>
    <row r="7679" spans="1:2">
      <c r="A7679" s="66">
        <v>46071.65370354167</v>
      </c>
      <c r="B7679" s="49" t="s">
        <v>10563</v>
      </c>
    </row>
    <row r="7680" spans="1:2">
      <c r="A7680" s="66">
        <v>46071.653726805554</v>
      </c>
      <c r="B7680" s="49" t="s">
        <v>10541</v>
      </c>
    </row>
    <row r="7681" spans="1:2">
      <c r="A7681" s="66">
        <v>46071.653730000005</v>
      </c>
      <c r="B7681" s="49" t="s">
        <v>10542</v>
      </c>
    </row>
    <row r="7682" spans="1:2">
      <c r="A7682" s="66">
        <v>46071.653733368061</v>
      </c>
      <c r="B7682" s="49" t="s">
        <v>10543</v>
      </c>
    </row>
    <row r="7683" spans="1:2">
      <c r="A7683" s="66">
        <v>46071.653736157408</v>
      </c>
      <c r="B7683" s="49" t="s">
        <v>9394</v>
      </c>
    </row>
    <row r="7684" spans="1:2">
      <c r="A7684" s="66">
        <v>46071.655094108792</v>
      </c>
      <c r="B7684" s="49" t="s">
        <v>10556</v>
      </c>
    </row>
    <row r="7685" spans="1:2">
      <c r="A7685" s="66">
        <v>46071.655096273149</v>
      </c>
      <c r="B7685" s="49" t="s">
        <v>10557</v>
      </c>
    </row>
    <row r="7686" spans="1:2">
      <c r="A7686" s="66">
        <v>46071.655098506948</v>
      </c>
      <c r="B7686" s="49" t="s">
        <v>10546</v>
      </c>
    </row>
    <row r="7687" spans="1:2">
      <c r="A7687" s="66">
        <v>46071.655100601856</v>
      </c>
      <c r="B7687" s="49" t="s">
        <v>10466</v>
      </c>
    </row>
    <row r="7688" spans="1:2">
      <c r="A7688" s="66">
        <v>46071.65510265046</v>
      </c>
      <c r="B7688" s="49" t="s">
        <v>10561</v>
      </c>
    </row>
    <row r="7689" spans="1:2">
      <c r="A7689" s="66">
        <v>46071.655104791666</v>
      </c>
      <c r="B7689" s="49" t="s">
        <v>10562</v>
      </c>
    </row>
    <row r="7690" spans="1:2">
      <c r="A7690" s="66">
        <v>46071.65510679398</v>
      </c>
      <c r="B7690" s="49" t="s">
        <v>10563</v>
      </c>
    </row>
    <row r="7691" spans="1:2">
      <c r="A7691" s="66">
        <v>46071.655125914353</v>
      </c>
      <c r="B7691" s="49" t="s">
        <v>10541</v>
      </c>
    </row>
    <row r="7692" spans="1:2">
      <c r="A7692" s="66">
        <v>46071.6551287037</v>
      </c>
      <c r="B7692" s="49" t="s">
        <v>10542</v>
      </c>
    </row>
    <row r="7693" spans="1:2">
      <c r="A7693" s="66">
        <v>46071.655130798608</v>
      </c>
      <c r="B7693" s="49" t="s">
        <v>10543</v>
      </c>
    </row>
    <row r="7694" spans="1:2">
      <c r="A7694" s="66">
        <v>46071.655132939813</v>
      </c>
      <c r="B7694" s="49" t="s">
        <v>9394</v>
      </c>
    </row>
    <row r="7695" spans="1:2">
      <c r="A7695" s="66">
        <v>46071.656373715276</v>
      </c>
      <c r="B7695" s="49" t="s">
        <v>10556</v>
      </c>
    </row>
    <row r="7696" spans="1:2">
      <c r="A7696" s="66">
        <v>46071.656375532402</v>
      </c>
      <c r="B7696" s="49" t="s">
        <v>10557</v>
      </c>
    </row>
    <row r="7697" spans="1:2">
      <c r="A7697" s="66">
        <v>46071.656377118052</v>
      </c>
      <c r="B7697" s="49" t="s">
        <v>10546</v>
      </c>
    </row>
    <row r="7698" spans="1:2">
      <c r="A7698" s="66">
        <v>46071.656378622683</v>
      </c>
      <c r="B7698" s="49" t="s">
        <v>10466</v>
      </c>
    </row>
    <row r="7699" spans="1:2">
      <c r="A7699" s="66">
        <v>46071.656380312503</v>
      </c>
      <c r="B7699" s="49" t="s">
        <v>10561</v>
      </c>
    </row>
    <row r="7700" spans="1:2">
      <c r="A7700" s="66">
        <v>46071.65638458333</v>
      </c>
      <c r="B7700" s="49" t="s">
        <v>10562</v>
      </c>
    </row>
    <row r="7701" spans="1:2">
      <c r="A7701" s="66">
        <v>46071.656386678238</v>
      </c>
      <c r="B7701" s="49" t="s">
        <v>10563</v>
      </c>
    </row>
    <row r="7702" spans="1:2">
      <c r="A7702" s="66">
        <v>46071.656416678241</v>
      </c>
      <c r="B7702" s="49" t="s">
        <v>10541</v>
      </c>
    </row>
    <row r="7703" spans="1:2">
      <c r="A7703" s="66">
        <v>46071.656419016203</v>
      </c>
      <c r="B7703" s="49" t="s">
        <v>10542</v>
      </c>
    </row>
    <row r="7704" spans="1:2">
      <c r="A7704" s="66">
        <v>46071.656420636573</v>
      </c>
      <c r="B7704" s="49" t="s">
        <v>10543</v>
      </c>
    </row>
    <row r="7705" spans="1:2">
      <c r="A7705" s="66">
        <v>46071.656422291664</v>
      </c>
      <c r="B7705" s="49" t="s">
        <v>9394</v>
      </c>
    </row>
    <row r="7706" spans="1:2">
      <c r="A7706" s="66">
        <v>46071.657155185181</v>
      </c>
      <c r="B7706" s="49" t="s">
        <v>10556</v>
      </c>
    </row>
    <row r="7707" spans="1:2">
      <c r="A7707" s="66">
        <v>46071.657158263886</v>
      </c>
      <c r="B7707" s="49" t="s">
        <v>10557</v>
      </c>
    </row>
    <row r="7708" spans="1:2">
      <c r="A7708" s="66">
        <v>46071.657170381943</v>
      </c>
      <c r="B7708" s="49" t="s">
        <v>10546</v>
      </c>
    </row>
    <row r="7709" spans="1:2">
      <c r="A7709" s="66">
        <v>46071.657173599539</v>
      </c>
      <c r="B7709" s="49" t="s">
        <v>10466</v>
      </c>
    </row>
    <row r="7710" spans="1:2">
      <c r="A7710" s="66">
        <v>46071.657177025467</v>
      </c>
      <c r="B7710" s="49" t="s">
        <v>10561</v>
      </c>
    </row>
    <row r="7711" spans="1:2">
      <c r="A7711" s="66">
        <v>46071.657180162038</v>
      </c>
      <c r="B7711" s="49" t="s">
        <v>10562</v>
      </c>
    </row>
    <row r="7712" spans="1:2">
      <c r="A7712" s="66">
        <v>46071.657182986106</v>
      </c>
      <c r="B7712" s="49" t="s">
        <v>10563</v>
      </c>
    </row>
    <row r="7713" spans="1:2">
      <c r="A7713" s="66">
        <v>46071.657204594907</v>
      </c>
      <c r="B7713" s="49" t="s">
        <v>10541</v>
      </c>
    </row>
    <row r="7714" spans="1:2">
      <c r="A7714" s="66">
        <v>46071.657208530094</v>
      </c>
      <c r="B7714" s="49" t="s">
        <v>10542</v>
      </c>
    </row>
    <row r="7715" spans="1:2">
      <c r="A7715" s="66">
        <v>46071.65721164352</v>
      </c>
      <c r="B7715" s="49" t="s">
        <v>10543</v>
      </c>
    </row>
    <row r="7716" spans="1:2">
      <c r="A7716" s="66">
        <v>46071.657214398147</v>
      </c>
      <c r="B7716" s="49" t="s">
        <v>9394</v>
      </c>
    </row>
    <row r="7717" spans="1:2">
      <c r="A7717" s="66">
        <v>46071.657967175925</v>
      </c>
      <c r="B7717" s="49" t="s">
        <v>10556</v>
      </c>
    </row>
    <row r="7718" spans="1:2">
      <c r="A7718" s="66">
        <v>46071.657969340275</v>
      </c>
      <c r="B7718" s="49" t="s">
        <v>10557</v>
      </c>
    </row>
    <row r="7719" spans="1:2">
      <c r="A7719" s="66">
        <v>46071.657971631939</v>
      </c>
      <c r="B7719" s="49" t="s">
        <v>10546</v>
      </c>
    </row>
    <row r="7720" spans="1:2">
      <c r="A7720" s="66">
        <v>46071.657973831017</v>
      </c>
      <c r="B7720" s="49" t="s">
        <v>10466</v>
      </c>
    </row>
    <row r="7721" spans="1:2">
      <c r="A7721" s="66">
        <v>46071.657976030096</v>
      </c>
      <c r="B7721" s="49" t="s">
        <v>10561</v>
      </c>
    </row>
    <row r="7722" spans="1:2">
      <c r="A7722" s="66">
        <v>46071.657978344912</v>
      </c>
      <c r="B7722" s="49" t="s">
        <v>10562</v>
      </c>
    </row>
    <row r="7723" spans="1:2">
      <c r="A7723" s="66">
        <v>46071.657980509262</v>
      </c>
      <c r="B7723" s="49" t="s">
        <v>10563</v>
      </c>
    </row>
    <row r="7724" spans="1:2">
      <c r="A7724" s="66">
        <v>46071.658002326389</v>
      </c>
      <c r="B7724" s="49" t="s">
        <v>10541</v>
      </c>
    </row>
    <row r="7725" spans="1:2">
      <c r="A7725" s="66">
        <v>46071.658005000005</v>
      </c>
      <c r="B7725" s="49" t="s">
        <v>10542</v>
      </c>
    </row>
    <row r="7726" spans="1:2">
      <c r="A7726" s="66">
        <v>46071.658006909725</v>
      </c>
      <c r="B7726" s="49" t="s">
        <v>10543</v>
      </c>
    </row>
    <row r="7727" spans="1:2">
      <c r="A7727" s="66">
        <v>46071.658009050923</v>
      </c>
      <c r="B7727" s="49" t="s">
        <v>9394</v>
      </c>
    </row>
    <row r="7728" spans="1:2">
      <c r="A7728" s="66">
        <v>46071.659378634256</v>
      </c>
      <c r="B7728" s="49" t="s">
        <v>10556</v>
      </c>
    </row>
    <row r="7729" spans="1:2">
      <c r="A7729" s="66">
        <v>46071.659383182865</v>
      </c>
      <c r="B7729" s="49" t="s">
        <v>10557</v>
      </c>
    </row>
    <row r="7730" spans="1:2">
      <c r="A7730" s="66">
        <v>46071.659385497682</v>
      </c>
      <c r="B7730" s="49" t="s">
        <v>10546</v>
      </c>
    </row>
    <row r="7731" spans="1:2">
      <c r="A7731" s="66">
        <v>46071.659387650463</v>
      </c>
      <c r="B7731" s="49" t="s">
        <v>10466</v>
      </c>
    </row>
    <row r="7732" spans="1:2">
      <c r="A7732" s="66">
        <v>46071.659389745371</v>
      </c>
      <c r="B7732" s="49" t="s">
        <v>10561</v>
      </c>
    </row>
    <row r="7733" spans="1:2">
      <c r="A7733" s="66">
        <v>46071.659391828704</v>
      </c>
      <c r="B7733" s="49" t="s">
        <v>10562</v>
      </c>
    </row>
    <row r="7734" spans="1:2">
      <c r="A7734" s="66">
        <v>46071.659394062503</v>
      </c>
      <c r="B7734" s="49" t="s">
        <v>10563</v>
      </c>
    </row>
    <row r="7735" spans="1:2">
      <c r="A7735" s="66">
        <v>46071.659418252311</v>
      </c>
      <c r="B7735" s="49" t="s">
        <v>10541</v>
      </c>
    </row>
    <row r="7736" spans="1:2">
      <c r="A7736" s="66">
        <v>46071.659421041666</v>
      </c>
      <c r="B7736" s="49" t="s">
        <v>10542</v>
      </c>
    </row>
    <row r="7737" spans="1:2">
      <c r="A7737" s="66">
        <v>46071.659423217592</v>
      </c>
      <c r="B7737" s="49" t="s">
        <v>10543</v>
      </c>
    </row>
    <row r="7738" spans="1:2">
      <c r="A7738" s="66">
        <v>46071.659425289356</v>
      </c>
      <c r="B7738" s="49" t="s">
        <v>9394</v>
      </c>
    </row>
    <row r="7739" spans="1:2">
      <c r="A7739" s="66">
        <v>46071.660568043982</v>
      </c>
      <c r="B7739" s="49" t="s">
        <v>10556</v>
      </c>
    </row>
    <row r="7740" spans="1:2">
      <c r="A7740" s="66">
        <v>46071.660570208333</v>
      </c>
      <c r="B7740" s="49" t="s">
        <v>10557</v>
      </c>
    </row>
    <row r="7741" spans="1:2">
      <c r="A7741" s="66">
        <v>46071.660578877316</v>
      </c>
      <c r="B7741" s="49" t="s">
        <v>10546</v>
      </c>
    </row>
    <row r="7742" spans="1:2">
      <c r="A7742" s="66">
        <v>46071.660581168981</v>
      </c>
      <c r="B7742" s="49" t="s">
        <v>10466</v>
      </c>
    </row>
    <row r="7743" spans="1:2">
      <c r="A7743" s="66">
        <v>46071.660583229168</v>
      </c>
      <c r="B7743" s="49" t="s">
        <v>10561</v>
      </c>
    </row>
    <row r="7744" spans="1:2">
      <c r="A7744" s="66">
        <v>46071.660586053244</v>
      </c>
      <c r="B7744" s="49" t="s">
        <v>10562</v>
      </c>
    </row>
    <row r="7745" spans="1:2">
      <c r="A7745" s="66">
        <v>46071.660592719913</v>
      </c>
      <c r="B7745" s="49" t="s">
        <v>10563</v>
      </c>
    </row>
    <row r="7746" spans="1:2">
      <c r="A7746" s="66">
        <v>46071.660616851848</v>
      </c>
      <c r="B7746" s="49" t="s">
        <v>10541</v>
      </c>
    </row>
    <row r="7747" spans="1:2">
      <c r="A7747" s="66">
        <v>46071.660619444447</v>
      </c>
      <c r="B7747" s="49" t="s">
        <v>10542</v>
      </c>
    </row>
    <row r="7748" spans="1:2">
      <c r="A7748" s="66">
        <v>46071.660621469906</v>
      </c>
      <c r="B7748" s="49" t="s">
        <v>10543</v>
      </c>
    </row>
    <row r="7749" spans="1:2">
      <c r="A7749" s="66">
        <v>46071.660623715274</v>
      </c>
      <c r="B7749" s="49" t="s">
        <v>9394</v>
      </c>
    </row>
    <row r="7750" spans="1:2">
      <c r="A7750" s="66">
        <v>46071.662032083332</v>
      </c>
      <c r="B7750" s="49" t="s">
        <v>10556</v>
      </c>
    </row>
    <row r="7751" spans="1:2">
      <c r="A7751" s="66">
        <v>46071.662034305555</v>
      </c>
      <c r="B7751" s="49" t="s">
        <v>10557</v>
      </c>
    </row>
    <row r="7752" spans="1:2">
      <c r="A7752" s="66">
        <v>46071.662036400463</v>
      </c>
      <c r="B7752" s="49" t="s">
        <v>10546</v>
      </c>
    </row>
    <row r="7753" spans="1:2">
      <c r="A7753" s="66">
        <v>46071.662049421298</v>
      </c>
      <c r="B7753" s="49" t="s">
        <v>10466</v>
      </c>
    </row>
    <row r="7754" spans="1:2">
      <c r="A7754" s="66">
        <v>46071.662054918983</v>
      </c>
      <c r="B7754" s="49" t="s">
        <v>10561</v>
      </c>
    </row>
    <row r="7755" spans="1:2">
      <c r="A7755" s="66">
        <v>46071.662057928239</v>
      </c>
      <c r="B7755" s="49" t="s">
        <v>10562</v>
      </c>
    </row>
    <row r="7756" spans="1:2">
      <c r="A7756" s="66">
        <v>46071.662060034723</v>
      </c>
      <c r="B7756" s="49" t="s">
        <v>10563</v>
      </c>
    </row>
    <row r="7757" spans="1:2">
      <c r="A7757" s="66">
        <v>46071.66208923611</v>
      </c>
      <c r="B7757" s="49" t="s">
        <v>10541</v>
      </c>
    </row>
    <row r="7758" spans="1:2">
      <c r="A7758" s="66">
        <v>46071.662092048609</v>
      </c>
      <c r="B7758" s="49" t="s">
        <v>10542</v>
      </c>
    </row>
    <row r="7759" spans="1:2">
      <c r="A7759" s="66">
        <v>46071.662094375002</v>
      </c>
      <c r="B7759" s="49" t="s">
        <v>10543</v>
      </c>
    </row>
    <row r="7760" spans="1:2">
      <c r="A7760" s="66">
        <v>46071.662096446758</v>
      </c>
      <c r="B7760" s="49" t="s">
        <v>9394</v>
      </c>
    </row>
    <row r="7761" spans="1:2">
      <c r="A7761" s="66">
        <v>46071.662871678243</v>
      </c>
      <c r="B7761" s="49" t="s">
        <v>10556</v>
      </c>
    </row>
    <row r="7762" spans="1:2">
      <c r="A7762" s="66">
        <v>46071.662873692127</v>
      </c>
      <c r="B7762" s="49" t="s">
        <v>10557</v>
      </c>
    </row>
    <row r="7763" spans="1:2">
      <c r="A7763" s="66">
        <v>46071.662875706017</v>
      </c>
      <c r="B7763" s="49" t="s">
        <v>10546</v>
      </c>
    </row>
    <row r="7764" spans="1:2">
      <c r="A7764" s="66">
        <v>46071.662877696755</v>
      </c>
      <c r="B7764" s="49" t="s">
        <v>10466</v>
      </c>
    </row>
    <row r="7765" spans="1:2">
      <c r="A7765" s="66">
        <v>46071.662879629628</v>
      </c>
      <c r="B7765" s="49" t="s">
        <v>10561</v>
      </c>
    </row>
    <row r="7766" spans="1:2">
      <c r="A7766" s="66">
        <v>46071.662881643519</v>
      </c>
      <c r="B7766" s="49" t="s">
        <v>10562</v>
      </c>
    </row>
    <row r="7767" spans="1:2">
      <c r="A7767" s="66">
        <v>46071.662883912039</v>
      </c>
      <c r="B7767" s="49" t="s">
        <v>10563</v>
      </c>
    </row>
    <row r="7768" spans="1:2">
      <c r="A7768" s="66">
        <v>46071.662905856487</v>
      </c>
      <c r="B7768" s="49" t="s">
        <v>10541</v>
      </c>
    </row>
    <row r="7769" spans="1:2">
      <c r="A7769" s="66">
        <v>46071.662908402781</v>
      </c>
      <c r="B7769" s="49" t="s">
        <v>10542</v>
      </c>
    </row>
    <row r="7770" spans="1:2">
      <c r="A7770" s="66">
        <v>46071.662910358791</v>
      </c>
      <c r="B7770" s="49" t="s">
        <v>10543</v>
      </c>
    </row>
    <row r="7771" spans="1:2">
      <c r="A7771" s="66">
        <v>46071.662912557869</v>
      </c>
      <c r="B7771" s="49" t="s">
        <v>9394</v>
      </c>
    </row>
    <row r="7772" spans="1:2">
      <c r="A7772" s="66">
        <v>46071.663698842589</v>
      </c>
      <c r="B7772" s="49" t="s">
        <v>10556</v>
      </c>
    </row>
    <row r="7773" spans="1:2">
      <c r="A7773" s="66">
        <v>46071.663701157406</v>
      </c>
      <c r="B7773" s="49" t="s">
        <v>10557</v>
      </c>
    </row>
    <row r="7774" spans="1:2">
      <c r="A7774" s="66">
        <v>46071.663703541664</v>
      </c>
      <c r="B7774" s="49" t="s">
        <v>10546</v>
      </c>
    </row>
    <row r="7775" spans="1:2">
      <c r="A7775" s="66">
        <v>46071.663705879633</v>
      </c>
      <c r="B7775" s="49" t="s">
        <v>10466</v>
      </c>
    </row>
    <row r="7776" spans="1:2">
      <c r="A7776" s="66">
        <v>46071.663708055552</v>
      </c>
      <c r="B7776" s="49" t="s">
        <v>10561</v>
      </c>
    </row>
    <row r="7777" spans="1:2">
      <c r="A7777" s="66">
        <v>46071.663710289351</v>
      </c>
      <c r="B7777" s="49" t="s">
        <v>10562</v>
      </c>
    </row>
    <row r="7778" spans="1:2">
      <c r="A7778" s="66">
        <v>46071.663712650465</v>
      </c>
      <c r="B7778" s="49" t="s">
        <v>10563</v>
      </c>
    </row>
    <row r="7779" spans="1:2">
      <c r="A7779" s="66">
        <v>46071.663734317131</v>
      </c>
      <c r="B7779" s="49" t="s">
        <v>10541</v>
      </c>
    </row>
    <row r="7780" spans="1:2">
      <c r="A7780" s="66">
        <v>46071.663736932867</v>
      </c>
      <c r="B7780" s="49" t="s">
        <v>10542</v>
      </c>
    </row>
    <row r="7781" spans="1:2">
      <c r="A7781" s="66">
        <v>46071.663739085649</v>
      </c>
      <c r="B7781" s="49" t="s">
        <v>10543</v>
      </c>
    </row>
    <row r="7782" spans="1:2">
      <c r="A7782" s="66">
        <v>46071.663741458338</v>
      </c>
      <c r="B7782" s="49" t="s">
        <v>9394</v>
      </c>
    </row>
    <row r="7783" spans="1:2">
      <c r="A7783" s="66">
        <v>46071.664858923614</v>
      </c>
      <c r="B7783" s="49" t="s">
        <v>10556</v>
      </c>
    </row>
    <row r="7784" spans="1:2">
      <c r="A7784" s="66">
        <v>46071.664861111116</v>
      </c>
      <c r="B7784" s="49" t="s">
        <v>10557</v>
      </c>
    </row>
    <row r="7785" spans="1:2">
      <c r="A7785" s="66">
        <v>46071.664863252314</v>
      </c>
      <c r="B7785" s="49" t="s">
        <v>10546</v>
      </c>
    </row>
    <row r="7786" spans="1:2">
      <c r="A7786" s="66">
        <v>46071.664866168983</v>
      </c>
      <c r="B7786" s="49" t="s">
        <v>10466</v>
      </c>
    </row>
    <row r="7787" spans="1:2">
      <c r="A7787" s="66">
        <v>46071.66486853009</v>
      </c>
      <c r="B7787" s="49" t="s">
        <v>10561</v>
      </c>
    </row>
    <row r="7788" spans="1:2">
      <c r="A7788" s="66">
        <v>46071.664871354165</v>
      </c>
      <c r="B7788" s="49" t="s">
        <v>10562</v>
      </c>
    </row>
    <row r="7789" spans="1:2">
      <c r="A7789" s="66">
        <v>46071.664873576388</v>
      </c>
      <c r="B7789" s="49" t="s">
        <v>10563</v>
      </c>
    </row>
    <row r="7790" spans="1:2">
      <c r="A7790" s="66">
        <v>46071.66492304398</v>
      </c>
      <c r="B7790" s="49" t="s">
        <v>10541</v>
      </c>
    </row>
    <row r="7791" spans="1:2">
      <c r="A7791" s="66">
        <v>46071.664925694444</v>
      </c>
      <c r="B7791" s="49" t="s">
        <v>10542</v>
      </c>
    </row>
    <row r="7792" spans="1:2">
      <c r="A7792" s="66">
        <v>46071.664927777776</v>
      </c>
      <c r="B7792" s="49" t="s">
        <v>10543</v>
      </c>
    </row>
    <row r="7793" spans="1:2">
      <c r="A7793" s="66">
        <v>46071.664929872684</v>
      </c>
      <c r="B7793" s="49" t="s">
        <v>9394</v>
      </c>
    </row>
    <row r="7794" spans="1:2">
      <c r="A7794" s="66">
        <v>46071.666181099536</v>
      </c>
      <c r="B7794" s="49" t="s">
        <v>10556</v>
      </c>
    </row>
    <row r="7795" spans="1:2">
      <c r="A7795" s="66">
        <v>46071.666184259258</v>
      </c>
      <c r="B7795" s="49" t="s">
        <v>10557</v>
      </c>
    </row>
    <row r="7796" spans="1:2">
      <c r="A7796" s="66">
        <v>46071.666186273149</v>
      </c>
      <c r="B7796" s="49" t="s">
        <v>10546</v>
      </c>
    </row>
    <row r="7797" spans="1:2">
      <c r="A7797" s="66">
        <v>46071.666188252319</v>
      </c>
      <c r="B7797" s="49" t="s">
        <v>10466</v>
      </c>
    </row>
    <row r="7798" spans="1:2">
      <c r="A7798" s="66">
        <v>46071.666190532407</v>
      </c>
      <c r="B7798" s="49" t="s">
        <v>10561</v>
      </c>
    </row>
    <row r="7799" spans="1:2">
      <c r="A7799" s="66">
        <v>46071.666192627315</v>
      </c>
      <c r="B7799" s="49" t="s">
        <v>10562</v>
      </c>
    </row>
    <row r="7800" spans="1:2">
      <c r="A7800" s="66">
        <v>46071.666194722224</v>
      </c>
      <c r="B7800" s="49" t="s">
        <v>10563</v>
      </c>
    </row>
    <row r="7801" spans="1:2">
      <c r="A7801" s="66">
        <v>46071.666223229171</v>
      </c>
      <c r="B7801" s="49" t="s">
        <v>10541</v>
      </c>
    </row>
    <row r="7802" spans="1:2">
      <c r="A7802" s="66">
        <v>46071.666233298616</v>
      </c>
      <c r="B7802" s="49" t="s">
        <v>10542</v>
      </c>
    </row>
    <row r="7803" spans="1:2">
      <c r="A7803" s="66">
        <v>46071.666242083331</v>
      </c>
      <c r="B7803" s="49" t="s">
        <v>10543</v>
      </c>
    </row>
    <row r="7804" spans="1:2">
      <c r="A7804" s="66">
        <v>46071.6662440625</v>
      </c>
      <c r="B7804" s="49" t="s">
        <v>9394</v>
      </c>
    </row>
    <row r="7805" spans="1:2">
      <c r="A7805" s="66">
        <v>46071.667323587964</v>
      </c>
      <c r="B7805" s="49" t="s">
        <v>10556</v>
      </c>
    </row>
    <row r="7806" spans="1:2">
      <c r="A7806" s="66">
        <v>46071.667326550931</v>
      </c>
      <c r="B7806" s="49" t="s">
        <v>10557</v>
      </c>
    </row>
    <row r="7807" spans="1:2">
      <c r="A7807" s="66">
        <v>46071.667329560187</v>
      </c>
      <c r="B7807" s="49" t="s">
        <v>10546</v>
      </c>
    </row>
    <row r="7808" spans="1:2">
      <c r="A7808" s="66">
        <v>46071.667332523153</v>
      </c>
      <c r="B7808" s="49" t="s">
        <v>10466</v>
      </c>
    </row>
    <row r="7809" spans="1:2">
      <c r="A7809" s="66">
        <v>46071.667335162041</v>
      </c>
      <c r="B7809" s="49" t="s">
        <v>10561</v>
      </c>
    </row>
    <row r="7810" spans="1:2">
      <c r="A7810" s="66">
        <v>46071.667337962965</v>
      </c>
      <c r="B7810" s="49" t="s">
        <v>10562</v>
      </c>
    </row>
    <row r="7811" spans="1:2">
      <c r="A7811" s="66">
        <v>46071.667340914355</v>
      </c>
      <c r="B7811" s="49" t="s">
        <v>10563</v>
      </c>
    </row>
    <row r="7812" spans="1:2">
      <c r="A7812" s="66">
        <v>46071.667364050925</v>
      </c>
      <c r="B7812" s="49" t="s">
        <v>10541</v>
      </c>
    </row>
    <row r="7813" spans="1:2">
      <c r="A7813" s="66">
        <v>46071.667367094909</v>
      </c>
      <c r="B7813" s="49" t="s">
        <v>10542</v>
      </c>
    </row>
    <row r="7814" spans="1:2">
      <c r="A7814" s="66">
        <v>46071.667369895833</v>
      </c>
      <c r="B7814" s="49" t="s">
        <v>10543</v>
      </c>
    </row>
    <row r="7815" spans="1:2">
      <c r="A7815" s="66">
        <v>46071.66737289352</v>
      </c>
      <c r="B7815" s="49" t="s">
        <v>9394</v>
      </c>
    </row>
    <row r="7816" spans="1:2">
      <c r="A7816" s="66">
        <v>46071.668580347221</v>
      </c>
      <c r="B7816" s="49" t="s">
        <v>10556</v>
      </c>
    </row>
    <row r="7817" spans="1:2">
      <c r="A7817" s="66">
        <v>46071.668583738428</v>
      </c>
      <c r="B7817" s="49" t="s">
        <v>10557</v>
      </c>
    </row>
    <row r="7818" spans="1:2">
      <c r="A7818" s="66">
        <v>46071.668587152773</v>
      </c>
      <c r="B7818" s="49" t="s">
        <v>10546</v>
      </c>
    </row>
    <row r="7819" spans="1:2">
      <c r="A7819" s="66">
        <v>46071.668590069443</v>
      </c>
      <c r="B7819" s="49" t="s">
        <v>10466</v>
      </c>
    </row>
    <row r="7820" spans="1:2">
      <c r="A7820" s="66">
        <v>46071.668593240742</v>
      </c>
      <c r="B7820" s="49" t="s">
        <v>10561</v>
      </c>
    </row>
    <row r="7821" spans="1:2">
      <c r="A7821" s="66">
        <v>46071.668595902782</v>
      </c>
      <c r="B7821" s="49" t="s">
        <v>10562</v>
      </c>
    </row>
    <row r="7822" spans="1:2">
      <c r="A7822" s="66">
        <v>46071.668599224533</v>
      </c>
      <c r="B7822" s="49" t="s">
        <v>10563</v>
      </c>
    </row>
    <row r="7823" spans="1:2">
      <c r="A7823" s="66">
        <v>46071.668625937498</v>
      </c>
      <c r="B7823" s="49" t="s">
        <v>10541</v>
      </c>
    </row>
    <row r="7824" spans="1:2">
      <c r="A7824" s="66">
        <v>46071.668629305554</v>
      </c>
      <c r="B7824" s="49" t="s">
        <v>10542</v>
      </c>
    </row>
    <row r="7825" spans="1:2">
      <c r="A7825" s="66">
        <v>46071.668632638888</v>
      </c>
      <c r="B7825" s="49" t="s">
        <v>10543</v>
      </c>
    </row>
    <row r="7826" spans="1:2">
      <c r="A7826" s="66">
        <v>46071.668635775466</v>
      </c>
      <c r="B7826" s="49" t="s">
        <v>9394</v>
      </c>
    </row>
    <row r="7827" spans="1:2">
      <c r="A7827" s="66">
        <v>46071.670005613429</v>
      </c>
      <c r="B7827" s="49" t="s">
        <v>10556</v>
      </c>
    </row>
    <row r="7828" spans="1:2">
      <c r="A7828" s="66">
        <v>46071.670008587964</v>
      </c>
      <c r="B7828" s="49" t="s">
        <v>10557</v>
      </c>
    </row>
    <row r="7829" spans="1:2">
      <c r="A7829" s="66">
        <v>46071.670011620372</v>
      </c>
      <c r="B7829" s="49" t="s">
        <v>10546</v>
      </c>
    </row>
    <row r="7830" spans="1:2">
      <c r="A7830" s="66">
        <v>46071.670014594907</v>
      </c>
      <c r="B7830" s="49" t="s">
        <v>10466</v>
      </c>
    </row>
    <row r="7831" spans="1:2">
      <c r="A7831" s="66">
        <v>46071.67001775463</v>
      </c>
      <c r="B7831" s="49" t="s">
        <v>10561</v>
      </c>
    </row>
    <row r="7832" spans="1:2">
      <c r="A7832" s="66">
        <v>46071.670020844904</v>
      </c>
      <c r="B7832" s="49" t="s">
        <v>10562</v>
      </c>
    </row>
    <row r="7833" spans="1:2">
      <c r="A7833" s="66">
        <v>46071.670023865736</v>
      </c>
      <c r="B7833" s="49" t="s">
        <v>10563</v>
      </c>
    </row>
    <row r="7834" spans="1:2">
      <c r="A7834" s="66">
        <v>46071.670049097222</v>
      </c>
      <c r="B7834" s="49" t="s">
        <v>10541</v>
      </c>
    </row>
    <row r="7835" spans="1:2">
      <c r="A7835" s="66">
        <v>46071.67005262732</v>
      </c>
      <c r="B7835" s="49" t="s">
        <v>10542</v>
      </c>
    </row>
    <row r="7836" spans="1:2">
      <c r="A7836" s="66">
        <v>46071.670055451388</v>
      </c>
      <c r="B7836" s="49" t="s">
        <v>10543</v>
      </c>
    </row>
    <row r="7837" spans="1:2">
      <c r="A7837" s="66">
        <v>46071.67005883102</v>
      </c>
      <c r="B7837" s="49" t="s">
        <v>9394</v>
      </c>
    </row>
    <row r="7838" spans="1:2">
      <c r="A7838" s="66">
        <v>46071.671335474537</v>
      </c>
      <c r="B7838" s="49" t="s">
        <v>10556</v>
      </c>
    </row>
    <row r="7839" spans="1:2">
      <c r="A7839" s="66">
        <v>46071.67133788194</v>
      </c>
      <c r="B7839" s="49" t="s">
        <v>10557</v>
      </c>
    </row>
    <row r="7840" spans="1:2">
      <c r="A7840" s="66">
        <v>46071.671339895838</v>
      </c>
      <c r="B7840" s="49" t="s">
        <v>10546</v>
      </c>
    </row>
    <row r="7841" spans="1:2">
      <c r="A7841" s="66">
        <v>46071.671342141199</v>
      </c>
      <c r="B7841" s="49" t="s">
        <v>10466</v>
      </c>
    </row>
    <row r="7842" spans="1:2">
      <c r="A7842" s="66">
        <v>46071.671344444447</v>
      </c>
      <c r="B7842" s="49" t="s">
        <v>10561</v>
      </c>
    </row>
    <row r="7843" spans="1:2">
      <c r="A7843" s="66">
        <v>46071.671354606486</v>
      </c>
      <c r="B7843" s="49" t="s">
        <v>10562</v>
      </c>
    </row>
    <row r="7844" spans="1:2">
      <c r="A7844" s="66">
        <v>46071.671356817125</v>
      </c>
      <c r="B7844" s="49" t="s">
        <v>10563</v>
      </c>
    </row>
    <row r="7845" spans="1:2">
      <c r="A7845" s="66">
        <v>46071.671381377309</v>
      </c>
      <c r="B7845" s="49" t="s">
        <v>10541</v>
      </c>
    </row>
    <row r="7846" spans="1:2">
      <c r="A7846" s="66">
        <v>46071.67138457176</v>
      </c>
      <c r="B7846" s="49" t="s">
        <v>10542</v>
      </c>
    </row>
    <row r="7847" spans="1:2">
      <c r="A7847" s="66">
        <v>46071.671391898148</v>
      </c>
      <c r="B7847" s="49" t="s">
        <v>10543</v>
      </c>
    </row>
    <row r="7848" spans="1:2">
      <c r="A7848" s="66">
        <v>46071.671393900462</v>
      </c>
      <c r="B7848" s="49" t="s">
        <v>9394</v>
      </c>
    </row>
    <row r="7849" spans="1:2">
      <c r="A7849" s="66">
        <v>46071.672575567129</v>
      </c>
      <c r="B7849" s="49" t="s">
        <v>10556</v>
      </c>
    </row>
    <row r="7850" spans="1:2">
      <c r="A7850" s="66">
        <v>46071.672578622689</v>
      </c>
      <c r="B7850" s="49" t="s">
        <v>10557</v>
      </c>
    </row>
    <row r="7851" spans="1:2">
      <c r="A7851" s="66">
        <v>46071.672581377316</v>
      </c>
      <c r="B7851" s="49" t="s">
        <v>10546</v>
      </c>
    </row>
    <row r="7852" spans="1:2">
      <c r="A7852" s="66">
        <v>46071.672584270833</v>
      </c>
      <c r="B7852" s="49" t="s">
        <v>10466</v>
      </c>
    </row>
    <row r="7853" spans="1:2">
      <c r="A7853" s="66">
        <v>46071.67258726852</v>
      </c>
      <c r="B7853" s="49" t="s">
        <v>10561</v>
      </c>
    </row>
    <row r="7854" spans="1:2">
      <c r="A7854" s="66">
        <v>46071.672591574075</v>
      </c>
      <c r="B7854" s="49" t="s">
        <v>10562</v>
      </c>
    </row>
    <row r="7855" spans="1:2">
      <c r="A7855" s="66">
        <v>46071.672594560187</v>
      </c>
      <c r="B7855" s="49" t="s">
        <v>10563</v>
      </c>
    </row>
    <row r="7856" spans="1:2">
      <c r="A7856" s="66">
        <v>46071.672624074075</v>
      </c>
      <c r="B7856" s="49" t="s">
        <v>10541</v>
      </c>
    </row>
    <row r="7857" spans="1:2">
      <c r="A7857" s="66">
        <v>46071.672627974534</v>
      </c>
      <c r="B7857" s="49" t="s">
        <v>10542</v>
      </c>
    </row>
    <row r="7858" spans="1:2">
      <c r="A7858" s="66">
        <v>46071.672630925925</v>
      </c>
      <c r="B7858" s="49" t="s">
        <v>10543</v>
      </c>
    </row>
    <row r="7859" spans="1:2">
      <c r="A7859" s="66">
        <v>46071.672634143513</v>
      </c>
      <c r="B7859" s="49" t="s">
        <v>9394</v>
      </c>
    </row>
    <row r="7860" spans="1:2">
      <c r="A7860" s="66">
        <v>46071.673821087963</v>
      </c>
      <c r="B7860" s="49" t="s">
        <v>10556</v>
      </c>
    </row>
    <row r="7861" spans="1:2">
      <c r="A7861" s="66">
        <v>46071.673823749996</v>
      </c>
      <c r="B7861" s="49" t="s">
        <v>10557</v>
      </c>
    </row>
    <row r="7862" spans="1:2">
      <c r="A7862" s="66">
        <v>46071.673826307873</v>
      </c>
      <c r="B7862" s="49" t="s">
        <v>10546</v>
      </c>
    </row>
    <row r="7863" spans="1:2">
      <c r="A7863" s="66">
        <v>46071.673828761574</v>
      </c>
      <c r="B7863" s="49" t="s">
        <v>10466</v>
      </c>
    </row>
    <row r="7864" spans="1:2">
      <c r="A7864" s="66">
        <v>46071.673836064816</v>
      </c>
      <c r="B7864" s="49" t="s">
        <v>10561</v>
      </c>
    </row>
    <row r="7865" spans="1:2">
      <c r="A7865" s="66">
        <v>46071.673839756942</v>
      </c>
      <c r="B7865" s="49" t="s">
        <v>10562</v>
      </c>
    </row>
    <row r="7866" spans="1:2">
      <c r="A7866" s="66">
        <v>46071.673842708333</v>
      </c>
      <c r="B7866" s="49" t="s">
        <v>10563</v>
      </c>
    </row>
    <row r="7867" spans="1:2">
      <c r="A7867" s="66">
        <v>46071.673865219913</v>
      </c>
      <c r="B7867" s="49" t="s">
        <v>10541</v>
      </c>
    </row>
    <row r="7868" spans="1:2">
      <c r="A7868" s="66">
        <v>46071.673868518519</v>
      </c>
      <c r="B7868" s="49" t="s">
        <v>10542</v>
      </c>
    </row>
    <row r="7869" spans="1:2">
      <c r="A7869" s="66">
        <v>46071.673871064813</v>
      </c>
      <c r="B7869" s="49" t="s">
        <v>10543</v>
      </c>
    </row>
    <row r="7870" spans="1:2">
      <c r="A7870" s="66">
        <v>46071.673873854168</v>
      </c>
      <c r="B7870" s="49" t="s">
        <v>9394</v>
      </c>
    </row>
    <row r="7871" spans="1:2">
      <c r="A7871" s="66">
        <v>46071.675085173614</v>
      </c>
      <c r="B7871" s="49" t="s">
        <v>10556</v>
      </c>
    </row>
    <row r="7872" spans="1:2">
      <c r="A7872" s="66">
        <v>46071.675087141208</v>
      </c>
      <c r="B7872" s="49" t="s">
        <v>10557</v>
      </c>
    </row>
    <row r="7873" spans="1:2">
      <c r="A7873" s="66">
        <v>46071.675093750004</v>
      </c>
      <c r="B7873" s="49" t="s">
        <v>10546</v>
      </c>
    </row>
    <row r="7874" spans="1:2">
      <c r="A7874" s="66">
        <v>46071.675096446765</v>
      </c>
      <c r="B7874" s="49" t="s">
        <v>10466</v>
      </c>
    </row>
    <row r="7875" spans="1:2">
      <c r="A7875" s="66">
        <v>46071.675098634259</v>
      </c>
      <c r="B7875" s="49" t="s">
        <v>10561</v>
      </c>
    </row>
    <row r="7876" spans="1:2">
      <c r="A7876" s="66">
        <v>46071.675100960652</v>
      </c>
      <c r="B7876" s="49" t="s">
        <v>10562</v>
      </c>
    </row>
    <row r="7877" spans="1:2">
      <c r="A7877" s="66">
        <v>46071.67510310185</v>
      </c>
      <c r="B7877" s="49" t="s">
        <v>10563</v>
      </c>
    </row>
    <row r="7878" spans="1:2">
      <c r="A7878" s="66">
        <v>46071.675125590278</v>
      </c>
      <c r="B7878" s="49" t="s">
        <v>10541</v>
      </c>
    </row>
    <row r="7879" spans="1:2">
      <c r="A7879" s="66">
        <v>46071.675130277777</v>
      </c>
      <c r="B7879" s="49" t="s">
        <v>10542</v>
      </c>
    </row>
    <row r="7880" spans="1:2">
      <c r="A7880" s="66">
        <v>46071.675132384262</v>
      </c>
      <c r="B7880" s="49" t="s">
        <v>10543</v>
      </c>
    </row>
    <row r="7881" spans="1:2">
      <c r="A7881" s="66">
        <v>46071.675134212965</v>
      </c>
      <c r="B7881" s="49" t="s">
        <v>9394</v>
      </c>
    </row>
    <row r="7882" spans="1:2">
      <c r="A7882" s="66">
        <v>46071.675969745367</v>
      </c>
      <c r="B7882" s="49" t="s">
        <v>10556</v>
      </c>
    </row>
    <row r="7883" spans="1:2">
      <c r="A7883" s="66">
        <v>46071.675973182872</v>
      </c>
      <c r="B7883" s="49" t="s">
        <v>10557</v>
      </c>
    </row>
    <row r="7884" spans="1:2">
      <c r="A7884" s="66">
        <v>46071.67597950231</v>
      </c>
      <c r="B7884" s="49" t="s">
        <v>10546</v>
      </c>
    </row>
    <row r="7885" spans="1:2">
      <c r="A7885" s="66">
        <v>46071.675986331014</v>
      </c>
      <c r="B7885" s="49" t="s">
        <v>10466</v>
      </c>
    </row>
    <row r="7886" spans="1:2">
      <c r="A7886" s="66">
        <v>46071.675989872689</v>
      </c>
      <c r="B7886" s="49" t="s">
        <v>10561</v>
      </c>
    </row>
    <row r="7887" spans="1:2">
      <c r="A7887" s="66">
        <v>46071.675994317135</v>
      </c>
      <c r="B7887" s="49" t="s">
        <v>10562</v>
      </c>
    </row>
    <row r="7888" spans="1:2">
      <c r="A7888" s="66">
        <v>46071.675997384256</v>
      </c>
      <c r="B7888" s="49" t="s">
        <v>10563</v>
      </c>
    </row>
    <row r="7889" spans="1:2">
      <c r="A7889" s="66">
        <v>46071.676030682866</v>
      </c>
      <c r="B7889" s="49" t="s">
        <v>10541</v>
      </c>
    </row>
    <row r="7890" spans="1:2">
      <c r="A7890" s="66">
        <v>46071.67603386574</v>
      </c>
      <c r="B7890" s="49" t="s">
        <v>10542</v>
      </c>
    </row>
    <row r="7891" spans="1:2">
      <c r="A7891" s="66">
        <v>46071.676037303245</v>
      </c>
      <c r="B7891" s="49" t="s">
        <v>10543</v>
      </c>
    </row>
    <row r="7892" spans="1:2">
      <c r="A7892" s="66">
        <v>46071.676040497681</v>
      </c>
      <c r="B7892" s="49" t="s">
        <v>9394</v>
      </c>
    </row>
    <row r="7893" spans="1:2">
      <c r="A7893" s="66">
        <v>46071.677031967592</v>
      </c>
      <c r="B7893" s="49" t="s">
        <v>10556</v>
      </c>
    </row>
    <row r="7894" spans="1:2">
      <c r="A7894" s="66">
        <v>46071.677034374996</v>
      </c>
      <c r="B7894" s="49" t="s">
        <v>10557</v>
      </c>
    </row>
    <row r="7895" spans="1:2">
      <c r="A7895" s="66">
        <v>46071.677036666668</v>
      </c>
      <c r="B7895" s="49" t="s">
        <v>10546</v>
      </c>
    </row>
    <row r="7896" spans="1:2">
      <c r="A7896" s="66">
        <v>46071.677038981477</v>
      </c>
      <c r="B7896" s="49" t="s">
        <v>10466</v>
      </c>
    </row>
    <row r="7897" spans="1:2">
      <c r="A7897" s="66">
        <v>46071.677041493051</v>
      </c>
      <c r="B7897" s="49" t="s">
        <v>10561</v>
      </c>
    </row>
    <row r="7898" spans="1:2">
      <c r="A7898" s="66">
        <v>46071.677044155091</v>
      </c>
      <c r="B7898" s="49" t="s">
        <v>10562</v>
      </c>
    </row>
    <row r="7899" spans="1:2">
      <c r="A7899" s="66">
        <v>46071.677046562501</v>
      </c>
      <c r="B7899" s="49" t="s">
        <v>10563</v>
      </c>
    </row>
    <row r="7900" spans="1:2">
      <c r="A7900" s="66">
        <v>46071.677066886579</v>
      </c>
      <c r="B7900" s="49" t="s">
        <v>10541</v>
      </c>
    </row>
    <row r="7901" spans="1:2">
      <c r="A7901" s="66">
        <v>46071.677070509264</v>
      </c>
      <c r="B7901" s="49" t="s">
        <v>10542</v>
      </c>
    </row>
    <row r="7902" spans="1:2">
      <c r="A7902" s="66">
        <v>46071.677082407405</v>
      </c>
      <c r="B7902" s="49" t="s">
        <v>10543</v>
      </c>
    </row>
    <row r="7903" spans="1:2">
      <c r="A7903" s="66">
        <v>46071.677084884257</v>
      </c>
      <c r="B7903" s="49" t="s">
        <v>9394</v>
      </c>
    </row>
    <row r="7904" spans="1:2">
      <c r="A7904" s="66">
        <v>46071.677839872689</v>
      </c>
      <c r="B7904" s="49" t="s">
        <v>10556</v>
      </c>
    </row>
    <row r="7905" spans="1:2">
      <c r="A7905" s="66">
        <v>46071.677842060184</v>
      </c>
      <c r="B7905" s="49" t="s">
        <v>10557</v>
      </c>
    </row>
    <row r="7906" spans="1:2">
      <c r="A7906" s="66">
        <v>46071.677844131947</v>
      </c>
      <c r="B7906" s="49" t="s">
        <v>10546</v>
      </c>
    </row>
    <row r="7907" spans="1:2">
      <c r="A7907" s="66">
        <v>46071.677846168983</v>
      </c>
      <c r="B7907" s="49" t="s">
        <v>10466</v>
      </c>
    </row>
    <row r="7908" spans="1:2">
      <c r="A7908" s="66">
        <v>46071.677850138891</v>
      </c>
      <c r="B7908" s="49" t="s">
        <v>10561</v>
      </c>
    </row>
    <row r="7909" spans="1:2">
      <c r="A7909" s="66">
        <v>46071.677852453708</v>
      </c>
      <c r="B7909" s="49" t="s">
        <v>10562</v>
      </c>
    </row>
    <row r="7910" spans="1:2">
      <c r="A7910" s="66">
        <v>46071.677854351852</v>
      </c>
      <c r="B7910" s="49" t="s">
        <v>10563</v>
      </c>
    </row>
    <row r="7911" spans="1:2">
      <c r="A7911" s="66">
        <v>46071.677884016201</v>
      </c>
      <c r="B7911" s="49" t="s">
        <v>10541</v>
      </c>
    </row>
    <row r="7912" spans="1:2">
      <c r="A7912" s="66">
        <v>46071.677887256941</v>
      </c>
      <c r="B7912" s="49" t="s">
        <v>10542</v>
      </c>
    </row>
    <row r="7913" spans="1:2">
      <c r="A7913" s="66">
        <v>46071.677889189814</v>
      </c>
      <c r="B7913" s="49" t="s">
        <v>10543</v>
      </c>
    </row>
    <row r="7914" spans="1:2">
      <c r="A7914" s="66">
        <v>46071.677891134255</v>
      </c>
      <c r="B7914" s="49" t="s">
        <v>9394</v>
      </c>
    </row>
    <row r="7915" spans="1:2">
      <c r="A7915" s="66">
        <v>46071.678806666663</v>
      </c>
      <c r="B7915" s="49" t="s">
        <v>10556</v>
      </c>
    </row>
    <row r="7916" spans="1:2">
      <c r="A7916" s="66">
        <v>46071.678810381942</v>
      </c>
      <c r="B7916" s="49" t="s">
        <v>10557</v>
      </c>
    </row>
    <row r="7917" spans="1:2">
      <c r="A7917" s="66">
        <v>46071.678814131941</v>
      </c>
      <c r="B7917" s="49" t="s">
        <v>10546</v>
      </c>
    </row>
    <row r="7918" spans="1:2">
      <c r="A7918" s="66">
        <v>46071.678817326392</v>
      </c>
      <c r="B7918" s="49" t="s">
        <v>10466</v>
      </c>
    </row>
    <row r="7919" spans="1:2">
      <c r="A7919" s="66">
        <v>46071.678820347224</v>
      </c>
      <c r="B7919" s="49" t="s">
        <v>10561</v>
      </c>
    </row>
    <row r="7920" spans="1:2">
      <c r="A7920" s="66">
        <v>46071.678830810182</v>
      </c>
      <c r="B7920" s="49" t="s">
        <v>10562</v>
      </c>
    </row>
    <row r="7921" spans="1:2">
      <c r="A7921" s="66">
        <v>46071.678849409727</v>
      </c>
      <c r="B7921" s="49" t="s">
        <v>10563</v>
      </c>
    </row>
    <row r="7922" spans="1:2">
      <c r="A7922" s="66">
        <v>46071.678889189818</v>
      </c>
      <c r="B7922" s="49" t="s">
        <v>10541</v>
      </c>
    </row>
    <row r="7923" spans="1:2">
      <c r="A7923" s="66">
        <v>46071.678892812502</v>
      </c>
      <c r="B7923" s="49" t="s">
        <v>10542</v>
      </c>
    </row>
    <row r="7924" spans="1:2">
      <c r="A7924" s="66">
        <v>46071.678895868055</v>
      </c>
      <c r="B7924" s="49" t="s">
        <v>10543</v>
      </c>
    </row>
    <row r="7925" spans="1:2">
      <c r="A7925" s="66">
        <v>46071.678903182867</v>
      </c>
      <c r="B7925" s="49" t="s">
        <v>9394</v>
      </c>
    </row>
    <row r="7926" spans="1:2">
      <c r="A7926" s="66">
        <v>46071.68029498843</v>
      </c>
      <c r="B7926" s="49" t="s">
        <v>10556</v>
      </c>
    </row>
    <row r="7927" spans="1:2">
      <c r="A7927" s="66">
        <v>46071.680297164348</v>
      </c>
      <c r="B7927" s="49" t="s">
        <v>10557</v>
      </c>
    </row>
    <row r="7928" spans="1:2">
      <c r="A7928" s="66">
        <v>46071.68029931713</v>
      </c>
      <c r="B7928" s="49" t="s">
        <v>10546</v>
      </c>
    </row>
    <row r="7929" spans="1:2">
      <c r="A7929" s="66">
        <v>46071.680301377317</v>
      </c>
      <c r="B7929" s="49" t="s">
        <v>10466</v>
      </c>
    </row>
    <row r="7930" spans="1:2">
      <c r="A7930" s="66">
        <v>46071.680303541667</v>
      </c>
      <c r="B7930" s="49" t="s">
        <v>10561</v>
      </c>
    </row>
    <row r="7931" spans="1:2">
      <c r="A7931" s="66">
        <v>46071.680305601854</v>
      </c>
      <c r="B7931" s="49" t="s">
        <v>10562</v>
      </c>
    </row>
    <row r="7932" spans="1:2">
      <c r="A7932" s="66">
        <v>46071.680309583331</v>
      </c>
      <c r="B7932" s="49" t="s">
        <v>10563</v>
      </c>
    </row>
    <row r="7933" spans="1:2">
      <c r="A7933" s="66">
        <v>46071.680337708334</v>
      </c>
      <c r="B7933" s="49" t="s">
        <v>10541</v>
      </c>
    </row>
    <row r="7934" spans="1:2">
      <c r="A7934" s="66">
        <v>46071.680340763887</v>
      </c>
      <c r="B7934" s="49" t="s">
        <v>10542</v>
      </c>
    </row>
    <row r="7935" spans="1:2">
      <c r="A7935" s="66">
        <v>46071.68034363426</v>
      </c>
      <c r="B7935" s="49" t="s">
        <v>10543</v>
      </c>
    </row>
    <row r="7936" spans="1:2">
      <c r="A7936" s="66">
        <v>46071.680345729168</v>
      </c>
      <c r="B7936" s="49" t="s">
        <v>9394</v>
      </c>
    </row>
    <row r="7937" spans="1:2">
      <c r="A7937" s="66">
        <v>46071.681177569444</v>
      </c>
      <c r="B7937" s="49" t="s">
        <v>10556</v>
      </c>
    </row>
    <row r="7938" spans="1:2">
      <c r="A7938" s="66">
        <v>46071.681184351852</v>
      </c>
      <c r="B7938" s="49" t="s">
        <v>10557</v>
      </c>
    </row>
    <row r="7939" spans="1:2">
      <c r="A7939" s="66">
        <v>46071.681186550923</v>
      </c>
      <c r="B7939" s="49" t="s">
        <v>10546</v>
      </c>
    </row>
    <row r="7940" spans="1:2">
      <c r="A7940" s="66">
        <v>46071.681188703704</v>
      </c>
      <c r="B7940" s="49" t="s">
        <v>10466</v>
      </c>
    </row>
    <row r="7941" spans="1:2">
      <c r="A7941" s="66">
        <v>46071.681191099538</v>
      </c>
      <c r="B7941" s="49" t="s">
        <v>10561</v>
      </c>
    </row>
    <row r="7942" spans="1:2">
      <c r="A7942" s="66">
        <v>46071.681193518518</v>
      </c>
      <c r="B7942" s="49" t="s">
        <v>10562</v>
      </c>
    </row>
    <row r="7943" spans="1:2">
      <c r="A7943" s="66">
        <v>46071.68119758102</v>
      </c>
      <c r="B7943" s="49" t="s">
        <v>10563</v>
      </c>
    </row>
    <row r="7944" spans="1:2">
      <c r="A7944" s="66">
        <v>46071.681218425925</v>
      </c>
      <c r="B7944" s="49" t="s">
        <v>10541</v>
      </c>
    </row>
    <row r="7945" spans="1:2">
      <c r="A7945" s="66">
        <v>46071.6812216088</v>
      </c>
      <c r="B7945" s="49" t="s">
        <v>10542</v>
      </c>
    </row>
    <row r="7946" spans="1:2">
      <c r="A7946" s="66">
        <v>46071.681225474538</v>
      </c>
      <c r="B7946" s="49" t="s">
        <v>10543</v>
      </c>
    </row>
    <row r="7947" spans="1:2">
      <c r="A7947" s="66">
        <v>46071.6812278125</v>
      </c>
      <c r="B7947" s="49" t="s">
        <v>9394</v>
      </c>
    </row>
    <row r="7948" spans="1:2">
      <c r="A7948" s="66">
        <v>46071.681963148148</v>
      </c>
      <c r="B7948" s="49" t="s">
        <v>10556</v>
      </c>
    </row>
    <row r="7949" spans="1:2">
      <c r="A7949" s="66">
        <v>46071.68196548611</v>
      </c>
      <c r="B7949" s="49" t="s">
        <v>10557</v>
      </c>
    </row>
    <row r="7950" spans="1:2">
      <c r="A7950" s="66">
        <v>46071.681967789351</v>
      </c>
      <c r="B7950" s="49" t="s">
        <v>10546</v>
      </c>
    </row>
    <row r="7951" spans="1:2">
      <c r="A7951" s="66">
        <v>46071.681970081016</v>
      </c>
      <c r="B7951" s="49" t="s">
        <v>10466</v>
      </c>
    </row>
    <row r="7952" spans="1:2">
      <c r="A7952" s="66">
        <v>46071.681972384264</v>
      </c>
      <c r="B7952" s="49" t="s">
        <v>10561</v>
      </c>
    </row>
    <row r="7953" spans="1:2">
      <c r="A7953" s="66">
        <v>46071.681975717591</v>
      </c>
      <c r="B7953" s="49" t="s">
        <v>10562</v>
      </c>
    </row>
    <row r="7954" spans="1:2">
      <c r="A7954" s="66">
        <v>46071.681978090273</v>
      </c>
      <c r="B7954" s="49" t="s">
        <v>10563</v>
      </c>
    </row>
    <row r="7955" spans="1:2">
      <c r="A7955" s="66">
        <v>46071.682007962962</v>
      </c>
      <c r="B7955" s="49" t="s">
        <v>10541</v>
      </c>
    </row>
    <row r="7956" spans="1:2">
      <c r="A7956" s="66">
        <v>46071.682011215278</v>
      </c>
      <c r="B7956" s="49" t="s">
        <v>10542</v>
      </c>
    </row>
    <row r="7957" spans="1:2">
      <c r="A7957" s="66">
        <v>46071.682013460653</v>
      </c>
      <c r="B7957" s="49" t="s">
        <v>10543</v>
      </c>
    </row>
    <row r="7958" spans="1:2">
      <c r="A7958" s="66">
        <v>46071.682015659724</v>
      </c>
      <c r="B7958" s="49" t="s">
        <v>9394</v>
      </c>
    </row>
    <row r="7959" spans="1:2">
      <c r="A7959" s="66">
        <v>46071.683284699073</v>
      </c>
      <c r="B7959" s="49" t="s">
        <v>10556</v>
      </c>
    </row>
    <row r="7960" spans="1:2">
      <c r="A7960" s="66">
        <v>46071.683287361113</v>
      </c>
      <c r="B7960" s="49" t="s">
        <v>10557</v>
      </c>
    </row>
    <row r="7961" spans="1:2">
      <c r="A7961" s="66">
        <v>46071.683290636574</v>
      </c>
      <c r="B7961" s="49" t="s">
        <v>10546</v>
      </c>
    </row>
    <row r="7962" spans="1:2">
      <c r="A7962" s="66">
        <v>46071.683293449074</v>
      </c>
      <c r="B7962" s="49" t="s">
        <v>10466</v>
      </c>
    </row>
    <row r="7963" spans="1:2">
      <c r="A7963" s="66">
        <v>46071.68329645833</v>
      </c>
      <c r="B7963" s="49" t="s">
        <v>10561</v>
      </c>
    </row>
    <row r="7964" spans="1:2">
      <c r="A7964" s="66">
        <v>46071.683299652781</v>
      </c>
      <c r="B7964" s="49" t="s">
        <v>10562</v>
      </c>
    </row>
    <row r="7965" spans="1:2">
      <c r="A7965" s="66">
        <v>46071.683302314814</v>
      </c>
      <c r="B7965" s="49" t="s">
        <v>10563</v>
      </c>
    </row>
    <row r="7966" spans="1:2">
      <c r="A7966" s="66">
        <v>46071.68332841435</v>
      </c>
      <c r="B7966" s="49" t="s">
        <v>10541</v>
      </c>
    </row>
    <row r="7967" spans="1:2">
      <c r="A7967" s="66">
        <v>46071.683332233792</v>
      </c>
      <c r="B7967" s="49" t="s">
        <v>10542</v>
      </c>
    </row>
    <row r="7968" spans="1:2">
      <c r="A7968" s="66">
        <v>46071.68333511574</v>
      </c>
      <c r="B7968" s="49" t="s">
        <v>10543</v>
      </c>
    </row>
    <row r="7969" spans="1:2">
      <c r="A7969" s="66">
        <v>46071.683337905095</v>
      </c>
      <c r="B7969" s="49" t="s">
        <v>9394</v>
      </c>
    </row>
    <row r="7970" spans="1:2">
      <c r="A7970" s="66">
        <v>46071.684068263887</v>
      </c>
      <c r="B7970" s="49" t="s">
        <v>10556</v>
      </c>
    </row>
    <row r="7971" spans="1:2">
      <c r="A7971" s="66">
        <v>46071.684072280092</v>
      </c>
      <c r="B7971" s="49" t="s">
        <v>10557</v>
      </c>
    </row>
    <row r="7972" spans="1:2">
      <c r="A7972" s="66">
        <v>46071.684074687495</v>
      </c>
      <c r="B7972" s="49" t="s">
        <v>10546</v>
      </c>
    </row>
    <row r="7973" spans="1:2">
      <c r="A7973" s="66">
        <v>46071.684077025464</v>
      </c>
      <c r="B7973" s="49" t="s">
        <v>10466</v>
      </c>
    </row>
    <row r="7974" spans="1:2">
      <c r="A7974" s="66">
        <v>46071.684079224535</v>
      </c>
      <c r="B7974" s="49" t="s">
        <v>10561</v>
      </c>
    </row>
    <row r="7975" spans="1:2">
      <c r="A7975" s="66">
        <v>46071.684083842592</v>
      </c>
      <c r="B7975" s="49" t="s">
        <v>10562</v>
      </c>
    </row>
    <row r="7976" spans="1:2">
      <c r="A7976" s="66">
        <v>46071.684087615737</v>
      </c>
      <c r="B7976" s="49" t="s">
        <v>10563</v>
      </c>
    </row>
    <row r="7977" spans="1:2">
      <c r="A7977" s="66">
        <v>46071.684107152774</v>
      </c>
      <c r="B7977" s="49" t="s">
        <v>10541</v>
      </c>
    </row>
    <row r="7978" spans="1:2">
      <c r="A7978" s="66">
        <v>46071.684110173606</v>
      </c>
      <c r="B7978" s="49" t="s">
        <v>10542</v>
      </c>
    </row>
    <row r="7979" spans="1:2">
      <c r="A7979" s="66">
        <v>46071.684112488423</v>
      </c>
      <c r="B7979" s="49" t="s">
        <v>10543</v>
      </c>
    </row>
    <row r="7980" spans="1:2">
      <c r="A7980" s="66">
        <v>46071.684114930555</v>
      </c>
      <c r="B7980" s="49" t="s">
        <v>9394</v>
      </c>
    </row>
    <row r="7981" spans="1:2">
      <c r="A7981" s="66">
        <v>46071.685276412041</v>
      </c>
      <c r="B7981" s="49" t="s">
        <v>10556</v>
      </c>
    </row>
    <row r="7982" spans="1:2">
      <c r="A7982" s="66">
        <v>46071.685278749996</v>
      </c>
      <c r="B7982" s="49" t="s">
        <v>10557</v>
      </c>
    </row>
    <row r="7983" spans="1:2">
      <c r="A7983" s="66">
        <v>46071.685280937498</v>
      </c>
      <c r="B7983" s="49" t="s">
        <v>10546</v>
      </c>
    </row>
    <row r="7984" spans="1:2">
      <c r="A7984" s="66">
        <v>46071.685282905091</v>
      </c>
      <c r="B7984" s="49" t="s">
        <v>10466</v>
      </c>
    </row>
    <row r="7985" spans="1:2">
      <c r="A7985" s="66">
        <v>46071.685285069441</v>
      </c>
      <c r="B7985" s="49" t="s">
        <v>10561</v>
      </c>
    </row>
    <row r="7986" spans="1:2">
      <c r="A7986" s="66">
        <v>46071.685287071756</v>
      </c>
      <c r="B7986" s="49" t="s">
        <v>10562</v>
      </c>
    </row>
    <row r="7987" spans="1:2">
      <c r="A7987" s="66">
        <v>46071.685290138892</v>
      </c>
      <c r="B7987" s="49" t="s">
        <v>10563</v>
      </c>
    </row>
    <row r="7988" spans="1:2">
      <c r="A7988" s="66">
        <v>46071.685311956018</v>
      </c>
      <c r="B7988" s="49" t="s">
        <v>10541</v>
      </c>
    </row>
    <row r="7989" spans="1:2">
      <c r="A7989" s="66">
        <v>46071.685315034723</v>
      </c>
      <c r="B7989" s="49" t="s">
        <v>10542</v>
      </c>
    </row>
    <row r="7990" spans="1:2">
      <c r="A7990" s="66">
        <v>46071.685317303243</v>
      </c>
      <c r="B7990" s="49" t="s">
        <v>10543</v>
      </c>
    </row>
    <row r="7991" spans="1:2">
      <c r="A7991" s="66">
        <v>46071.685319432872</v>
      </c>
      <c r="B7991" s="49" t="s">
        <v>9394</v>
      </c>
    </row>
    <row r="7992" spans="1:2">
      <c r="A7992" s="66">
        <v>46071.686631886572</v>
      </c>
      <c r="B7992" s="49" t="s">
        <v>10556</v>
      </c>
    </row>
    <row r="7993" spans="1:2">
      <c r="A7993" s="66">
        <v>46071.686634027777</v>
      </c>
      <c r="B7993" s="49" t="s">
        <v>10557</v>
      </c>
    </row>
    <row r="7994" spans="1:2">
      <c r="A7994" s="66">
        <v>46071.686636226848</v>
      </c>
      <c r="B7994" s="49" t="s">
        <v>10546</v>
      </c>
    </row>
    <row r="7995" spans="1:2">
      <c r="A7995" s="66">
        <v>46071.686638298612</v>
      </c>
      <c r="B7995" s="49" t="s">
        <v>10466</v>
      </c>
    </row>
    <row r="7996" spans="1:2">
      <c r="A7996" s="66">
        <v>46071.686640462962</v>
      </c>
      <c r="B7996" s="49" t="s">
        <v>10561</v>
      </c>
    </row>
    <row r="7997" spans="1:2">
      <c r="A7997" s="66">
        <v>46071.686642893517</v>
      </c>
      <c r="B7997" s="49" t="s">
        <v>10562</v>
      </c>
    </row>
    <row r="7998" spans="1:2">
      <c r="A7998" s="66">
        <v>46071.686645150461</v>
      </c>
      <c r="B7998" s="49" t="s">
        <v>10563</v>
      </c>
    </row>
    <row r="7999" spans="1:2">
      <c r="A7999" s="66">
        <v>46071.686854097221</v>
      </c>
      <c r="B7999" s="49" t="s">
        <v>10541</v>
      </c>
    </row>
    <row r="8000" spans="1:2">
      <c r="A8000" s="66">
        <v>46071.686857604167</v>
      </c>
      <c r="B8000" s="49" t="s">
        <v>10542</v>
      </c>
    </row>
    <row r="8001" spans="1:2">
      <c r="A8001" s="66">
        <v>46071.686860972222</v>
      </c>
      <c r="B8001" s="49" t="s">
        <v>10543</v>
      </c>
    </row>
    <row r="8002" spans="1:2">
      <c r="A8002" s="66">
        <v>46071.686873032406</v>
      </c>
      <c r="B8002" s="49" t="s">
        <v>9394</v>
      </c>
    </row>
    <row r="8003" spans="1:2">
      <c r="A8003" s="66">
        <v>46071.688398981481</v>
      </c>
      <c r="B8003" s="49" t="s">
        <v>10556</v>
      </c>
    </row>
    <row r="8004" spans="1:2">
      <c r="A8004" s="66">
        <v>46071.688426932873</v>
      </c>
      <c r="B8004" s="49" t="s">
        <v>10557</v>
      </c>
    </row>
    <row r="8005" spans="1:2">
      <c r="A8005" s="66">
        <v>46071.688429456015</v>
      </c>
      <c r="B8005" s="49" t="s">
        <v>10546</v>
      </c>
    </row>
    <row r="8006" spans="1:2">
      <c r="A8006" s="66">
        <v>46071.688432025461</v>
      </c>
      <c r="B8006" s="49" t="s">
        <v>10466</v>
      </c>
    </row>
    <row r="8007" spans="1:2">
      <c r="A8007" s="66">
        <v>46071.68843436343</v>
      </c>
      <c r="B8007" s="49" t="s">
        <v>10561</v>
      </c>
    </row>
    <row r="8008" spans="1:2">
      <c r="A8008" s="66">
        <v>46071.688437152778</v>
      </c>
      <c r="B8008" s="49" t="s">
        <v>10562</v>
      </c>
    </row>
    <row r="8009" spans="1:2">
      <c r="A8009" s="66">
        <v>46071.688439583333</v>
      </c>
      <c r="B8009" s="49" t="s">
        <v>10563</v>
      </c>
    </row>
    <row r="8010" spans="1:2">
      <c r="A8010" s="66">
        <v>46071.688460532408</v>
      </c>
      <c r="B8010" s="49" t="s">
        <v>10541</v>
      </c>
    </row>
    <row r="8011" spans="1:2">
      <c r="A8011" s="66">
        <v>46071.688463877319</v>
      </c>
      <c r="B8011" s="49" t="s">
        <v>10542</v>
      </c>
    </row>
    <row r="8012" spans="1:2">
      <c r="A8012" s="66">
        <v>46071.688476574069</v>
      </c>
      <c r="B8012" s="49" t="s">
        <v>10543</v>
      </c>
    </row>
    <row r="8013" spans="1:2">
      <c r="A8013" s="66">
        <v>46071.68847912037</v>
      </c>
      <c r="B8013" s="49" t="s">
        <v>9394</v>
      </c>
    </row>
    <row r="8014" spans="1:2">
      <c r="A8014" s="66">
        <v>46071.68952803241</v>
      </c>
      <c r="B8014" s="49" t="s">
        <v>10556</v>
      </c>
    </row>
    <row r="8015" spans="1:2">
      <c r="A8015" s="66">
        <v>46071.689530706019</v>
      </c>
      <c r="B8015" s="49" t="s">
        <v>10557</v>
      </c>
    </row>
    <row r="8016" spans="1:2">
      <c r="A8016" s="66">
        <v>46071.689533229168</v>
      </c>
      <c r="B8016" s="49" t="s">
        <v>10546</v>
      </c>
    </row>
    <row r="8017" spans="1:2">
      <c r="A8017" s="66">
        <v>46071.689541435189</v>
      </c>
      <c r="B8017" s="49" t="s">
        <v>10466</v>
      </c>
    </row>
    <row r="8018" spans="1:2">
      <c r="A8018" s="66">
        <v>46071.689544016204</v>
      </c>
      <c r="B8018" s="49" t="s">
        <v>10561</v>
      </c>
    </row>
    <row r="8019" spans="1:2">
      <c r="A8019" s="66">
        <v>46071.689546747686</v>
      </c>
      <c r="B8019" s="49" t="s">
        <v>10562</v>
      </c>
    </row>
    <row r="8020" spans="1:2">
      <c r="A8020" s="66">
        <v>46071.689549467592</v>
      </c>
      <c r="B8020" s="49" t="s">
        <v>10563</v>
      </c>
    </row>
    <row r="8021" spans="1:2">
      <c r="A8021" s="66">
        <v>46071.6895787963</v>
      </c>
      <c r="B8021" s="49" t="s">
        <v>10541</v>
      </c>
    </row>
    <row r="8022" spans="1:2">
      <c r="A8022" s="66">
        <v>46071.689584293985</v>
      </c>
      <c r="B8022" s="49" t="s">
        <v>10542</v>
      </c>
    </row>
    <row r="8023" spans="1:2">
      <c r="A8023" s="66">
        <v>46071.689586898152</v>
      </c>
      <c r="B8023" s="49" t="s">
        <v>10543</v>
      </c>
    </row>
    <row r="8024" spans="1:2">
      <c r="A8024" s="66">
        <v>46071.68958943287</v>
      </c>
      <c r="B8024" s="49" t="s">
        <v>9394</v>
      </c>
    </row>
    <row r="8025" spans="1:2">
      <c r="A8025" s="66">
        <v>46071.69088105324</v>
      </c>
      <c r="B8025" s="49" t="s">
        <v>10556</v>
      </c>
    </row>
    <row r="8026" spans="1:2">
      <c r="A8026" s="66">
        <v>46071.690883622687</v>
      </c>
      <c r="B8026" s="49" t="s">
        <v>10557</v>
      </c>
    </row>
    <row r="8027" spans="1:2">
      <c r="A8027" s="66">
        <v>46071.690886296296</v>
      </c>
      <c r="B8027" s="49" t="s">
        <v>10546</v>
      </c>
    </row>
    <row r="8028" spans="1:2">
      <c r="A8028" s="66">
        <v>46071.690889340272</v>
      </c>
      <c r="B8028" s="49" t="s">
        <v>10466</v>
      </c>
    </row>
    <row r="8029" spans="1:2">
      <c r="A8029" s="66">
        <v>46071.690892071754</v>
      </c>
      <c r="B8029" s="49" t="s">
        <v>10561</v>
      </c>
    </row>
    <row r="8030" spans="1:2">
      <c r="A8030" s="66">
        <v>46071.690894583335</v>
      </c>
      <c r="B8030" s="49" t="s">
        <v>10562</v>
      </c>
    </row>
    <row r="8031" spans="1:2">
      <c r="A8031" s="66">
        <v>46071.690897314817</v>
      </c>
      <c r="B8031" s="49" t="s">
        <v>10563</v>
      </c>
    </row>
    <row r="8032" spans="1:2">
      <c r="A8032" s="66">
        <v>46071.690919444445</v>
      </c>
      <c r="B8032" s="49" t="s">
        <v>10541</v>
      </c>
    </row>
    <row r="8033" spans="1:2">
      <c r="A8033" s="66">
        <v>46071.690923460643</v>
      </c>
      <c r="B8033" s="49" t="s">
        <v>10542</v>
      </c>
    </row>
    <row r="8034" spans="1:2">
      <c r="A8034" s="66">
        <v>46071.690926145835</v>
      </c>
      <c r="B8034" s="49" t="s">
        <v>10543</v>
      </c>
    </row>
    <row r="8035" spans="1:2">
      <c r="A8035" s="66">
        <v>46071.690928819444</v>
      </c>
      <c r="B8035" s="49" t="s">
        <v>9394</v>
      </c>
    </row>
    <row r="8036" spans="1:2">
      <c r="A8036" s="66">
        <v>46071.691783599541</v>
      </c>
      <c r="B8036" s="49" t="s">
        <v>10556</v>
      </c>
    </row>
    <row r="8037" spans="1:2">
      <c r="A8037" s="66">
        <v>46071.691786203708</v>
      </c>
      <c r="B8037" s="49" t="s">
        <v>10557</v>
      </c>
    </row>
    <row r="8038" spans="1:2">
      <c r="A8038" s="66">
        <v>46071.691788715281</v>
      </c>
      <c r="B8038" s="49" t="s">
        <v>10546</v>
      </c>
    </row>
    <row r="8039" spans="1:2">
      <c r="A8039" s="66">
        <v>46071.691791354169</v>
      </c>
      <c r="B8039" s="49" t="s">
        <v>10466</v>
      </c>
    </row>
    <row r="8040" spans="1:2">
      <c r="A8040" s="66">
        <v>46071.691794085651</v>
      </c>
      <c r="B8040" s="49" t="s">
        <v>10561</v>
      </c>
    </row>
    <row r="8041" spans="1:2">
      <c r="A8041" s="66">
        <v>46071.691796909727</v>
      </c>
      <c r="B8041" s="49" t="s">
        <v>10562</v>
      </c>
    </row>
    <row r="8042" spans="1:2">
      <c r="A8042" s="66">
        <v>46071.691799618056</v>
      </c>
      <c r="B8042" s="49" t="s">
        <v>10563</v>
      </c>
    </row>
    <row r="8043" spans="1:2">
      <c r="A8043" s="66">
        <v>46071.691835833335</v>
      </c>
      <c r="B8043" s="49" t="s">
        <v>10541</v>
      </c>
    </row>
    <row r="8044" spans="1:2">
      <c r="A8044" s="66">
        <v>46071.691839097221</v>
      </c>
      <c r="B8044" s="49" t="s">
        <v>10542</v>
      </c>
    </row>
    <row r="8045" spans="1:2">
      <c r="A8045" s="66">
        <v>46071.691841944441</v>
      </c>
      <c r="B8045" s="49" t="s">
        <v>10543</v>
      </c>
    </row>
    <row r="8046" spans="1:2">
      <c r="A8046" s="66">
        <v>46071.691844548608</v>
      </c>
      <c r="B8046" s="49" t="s">
        <v>9394</v>
      </c>
    </row>
    <row r="8047" spans="1:2">
      <c r="A8047" s="66">
        <v>46071.693000011575</v>
      </c>
      <c r="B8047" s="49" t="s">
        <v>10556</v>
      </c>
    </row>
    <row r="8048" spans="1:2">
      <c r="A8048" s="66">
        <v>46071.693002974542</v>
      </c>
      <c r="B8048" s="49" t="s">
        <v>10557</v>
      </c>
    </row>
    <row r="8049" spans="1:2">
      <c r="A8049" s="66">
        <v>46071.693006331014</v>
      </c>
      <c r="B8049" s="49" t="s">
        <v>10546</v>
      </c>
    </row>
    <row r="8050" spans="1:2">
      <c r="A8050" s="66">
        <v>46071.693009803239</v>
      </c>
      <c r="B8050" s="49" t="s">
        <v>10466</v>
      </c>
    </row>
    <row r="8051" spans="1:2">
      <c r="A8051" s="66">
        <v>46071.693013090277</v>
      </c>
      <c r="B8051" s="49" t="s">
        <v>10561</v>
      </c>
    </row>
    <row r="8052" spans="1:2">
      <c r="A8052" s="66">
        <v>46071.693016666672</v>
      </c>
      <c r="B8052" s="49" t="s">
        <v>10562</v>
      </c>
    </row>
    <row r="8053" spans="1:2">
      <c r="A8053" s="66">
        <v>46071.693019456019</v>
      </c>
      <c r="B8053" s="49" t="s">
        <v>10563</v>
      </c>
    </row>
    <row r="8054" spans="1:2">
      <c r="A8054" s="66">
        <v>46071.693064398147</v>
      </c>
      <c r="B8054" s="49" t="s">
        <v>10541</v>
      </c>
    </row>
    <row r="8055" spans="1:2">
      <c r="A8055" s="66">
        <v>46071.693069849542</v>
      </c>
      <c r="B8055" s="49" t="s">
        <v>10542</v>
      </c>
    </row>
    <row r="8056" spans="1:2">
      <c r="A8056" s="66">
        <v>46071.693072939815</v>
      </c>
      <c r="B8056" s="49" t="s">
        <v>10543</v>
      </c>
    </row>
    <row r="8057" spans="1:2">
      <c r="A8057" s="66">
        <v>46071.693076087962</v>
      </c>
      <c r="B8057" s="49" t="s">
        <v>9394</v>
      </c>
    </row>
    <row r="8058" spans="1:2">
      <c r="A8058" s="66">
        <v>46071.693983969904</v>
      </c>
      <c r="B8058" s="49" t="s">
        <v>10556</v>
      </c>
    </row>
    <row r="8059" spans="1:2">
      <c r="A8059" s="66">
        <v>46071.693986284721</v>
      </c>
      <c r="B8059" s="49" t="s">
        <v>10557</v>
      </c>
    </row>
    <row r="8060" spans="1:2">
      <c r="A8060" s="66">
        <v>46071.693993854162</v>
      </c>
      <c r="B8060" s="49" t="s">
        <v>10546</v>
      </c>
    </row>
    <row r="8061" spans="1:2">
      <c r="A8061" s="66">
        <v>46071.694000972224</v>
      </c>
      <c r="B8061" s="49" t="s">
        <v>10466</v>
      </c>
    </row>
    <row r="8062" spans="1:2">
      <c r="A8062" s="66">
        <v>46071.694003310186</v>
      </c>
      <c r="B8062" s="49" t="s">
        <v>10561</v>
      </c>
    </row>
    <row r="8063" spans="1:2">
      <c r="A8063" s="66">
        <v>46071.694005752317</v>
      </c>
      <c r="B8063" s="49" t="s">
        <v>10562</v>
      </c>
    </row>
    <row r="8064" spans="1:2">
      <c r="A8064" s="66">
        <v>46071.694008090279</v>
      </c>
      <c r="B8064" s="49" t="s">
        <v>10563</v>
      </c>
    </row>
    <row r="8065" spans="1:2">
      <c r="A8065" s="66">
        <v>46071.69403013889</v>
      </c>
      <c r="B8065" s="49" t="s">
        <v>10541</v>
      </c>
    </row>
    <row r="8066" spans="1:2">
      <c r="A8066" s="66">
        <v>46071.694033506945</v>
      </c>
      <c r="B8066" s="49" t="s">
        <v>10542</v>
      </c>
    </row>
    <row r="8067" spans="1:2">
      <c r="A8067" s="66">
        <v>46071.694035763889</v>
      </c>
      <c r="B8067" s="49" t="s">
        <v>10543</v>
      </c>
    </row>
    <row r="8068" spans="1:2">
      <c r="A8068" s="66">
        <v>46071.694039016205</v>
      </c>
      <c r="B8068" s="49" t="s">
        <v>9394</v>
      </c>
    </row>
    <row r="8069" spans="1:2">
      <c r="A8069" s="66">
        <v>46071.694898680551</v>
      </c>
      <c r="B8069" s="49" t="s">
        <v>10556</v>
      </c>
    </row>
    <row r="8070" spans="1:2">
      <c r="A8070" s="66">
        <v>46071.694901099538</v>
      </c>
      <c r="B8070" s="49" t="s">
        <v>10557</v>
      </c>
    </row>
    <row r="8071" spans="1:2">
      <c r="A8071" s="66">
        <v>46071.694903703705</v>
      </c>
      <c r="B8071" s="49" t="s">
        <v>10546</v>
      </c>
    </row>
    <row r="8072" spans="1:2">
      <c r="A8072" s="66">
        <v>46071.694905856479</v>
      </c>
      <c r="B8072" s="49" t="s">
        <v>10466</v>
      </c>
    </row>
    <row r="8073" spans="1:2">
      <c r="A8073" s="66">
        <v>46071.694908263889</v>
      </c>
      <c r="B8073" s="49" t="s">
        <v>10561</v>
      </c>
    </row>
    <row r="8074" spans="1:2">
      <c r="A8074" s="66">
        <v>46071.694910555554</v>
      </c>
      <c r="B8074" s="49" t="s">
        <v>10562</v>
      </c>
    </row>
    <row r="8075" spans="1:2">
      <c r="A8075" s="66">
        <v>46071.69491283565</v>
      </c>
      <c r="B8075" s="49" t="s">
        <v>10563</v>
      </c>
    </row>
    <row r="8076" spans="1:2">
      <c r="A8076" s="66">
        <v>46071.694933981482</v>
      </c>
      <c r="B8076" s="49" t="s">
        <v>10541</v>
      </c>
    </row>
    <row r="8077" spans="1:2">
      <c r="A8077" s="66">
        <v>46071.694938425921</v>
      </c>
      <c r="B8077" s="49" t="s">
        <v>10542</v>
      </c>
    </row>
    <row r="8078" spans="1:2">
      <c r="A8078" s="66">
        <v>46071.694940717593</v>
      </c>
      <c r="B8078" s="49" t="s">
        <v>10543</v>
      </c>
    </row>
    <row r="8079" spans="1:2">
      <c r="A8079" s="66">
        <v>46071.694942997681</v>
      </c>
      <c r="B8079" s="49" t="s">
        <v>9394</v>
      </c>
    </row>
    <row r="8080" spans="1:2">
      <c r="A8080" s="66">
        <v>46071.696324131946</v>
      </c>
      <c r="B8080" s="49" t="s">
        <v>10556</v>
      </c>
    </row>
    <row r="8081" spans="1:2">
      <c r="A8081" s="66">
        <v>46071.696327337966</v>
      </c>
      <c r="B8081" s="49" t="s">
        <v>10557</v>
      </c>
    </row>
    <row r="8082" spans="1:2">
      <c r="A8082" s="66">
        <v>46071.696330763887</v>
      </c>
      <c r="B8082" s="49" t="s">
        <v>10546</v>
      </c>
    </row>
    <row r="8083" spans="1:2">
      <c r="A8083" s="66">
        <v>46071.696334085646</v>
      </c>
      <c r="B8083" s="49" t="s">
        <v>10466</v>
      </c>
    </row>
    <row r="8084" spans="1:2">
      <c r="A8084" s="66">
        <v>46071.696337106478</v>
      </c>
      <c r="B8084" s="49" t="s">
        <v>10561</v>
      </c>
    </row>
    <row r="8085" spans="1:2">
      <c r="A8085" s="66">
        <v>46071.696340196759</v>
      </c>
      <c r="B8085" s="49" t="s">
        <v>10562</v>
      </c>
    </row>
    <row r="8086" spans="1:2">
      <c r="A8086" s="66">
        <v>46071.696343275464</v>
      </c>
      <c r="B8086" s="49" t="s">
        <v>10563</v>
      </c>
    </row>
    <row r="8087" spans="1:2">
      <c r="A8087" s="66">
        <v>46071.696371111109</v>
      </c>
      <c r="B8087" s="49" t="s">
        <v>10541</v>
      </c>
    </row>
    <row r="8088" spans="1:2">
      <c r="A8088" s="66">
        <v>46071.696374513893</v>
      </c>
      <c r="B8088" s="49" t="s">
        <v>10542</v>
      </c>
    </row>
    <row r="8089" spans="1:2">
      <c r="A8089" s="66">
        <v>46071.696377719913</v>
      </c>
      <c r="B8089" s="49" t="s">
        <v>10543</v>
      </c>
    </row>
    <row r="8090" spans="1:2">
      <c r="A8090" s="66">
        <v>46071.696382523151</v>
      </c>
      <c r="B8090" s="49" t="s">
        <v>9394</v>
      </c>
    </row>
    <row r="8091" spans="1:2">
      <c r="A8091" s="66">
        <v>46071.697281238427</v>
      </c>
      <c r="B8091" s="49" t="s">
        <v>10556</v>
      </c>
    </row>
    <row r="8092" spans="1:2">
      <c r="A8092" s="66">
        <v>46071.697283969908</v>
      </c>
      <c r="B8092" s="49" t="s">
        <v>10557</v>
      </c>
    </row>
    <row r="8093" spans="1:2">
      <c r="A8093" s="66">
        <v>46071.697286111113</v>
      </c>
      <c r="B8093" s="49" t="s">
        <v>10546</v>
      </c>
    </row>
    <row r="8094" spans="1:2">
      <c r="A8094" s="66">
        <v>46071.697288263887</v>
      </c>
      <c r="B8094" s="49" t="s">
        <v>10466</v>
      </c>
    </row>
    <row r="8095" spans="1:2">
      <c r="A8095" s="66">
        <v>46071.697290416661</v>
      </c>
      <c r="B8095" s="49" t="s">
        <v>10561</v>
      </c>
    </row>
    <row r="8096" spans="1:2">
      <c r="A8096" s="66">
        <v>46071.697292662036</v>
      </c>
      <c r="B8096" s="49" t="s">
        <v>10562</v>
      </c>
    </row>
    <row r="8097" spans="1:2">
      <c r="A8097" s="66">
        <v>46071.697294976853</v>
      </c>
      <c r="B8097" s="49" t="s">
        <v>10563</v>
      </c>
    </row>
    <row r="8098" spans="1:2">
      <c r="A8098" s="66">
        <v>46071.697315092591</v>
      </c>
      <c r="B8098" s="49" t="s">
        <v>10541</v>
      </c>
    </row>
    <row r="8099" spans="1:2">
      <c r="A8099" s="66">
        <v>46071.697319224535</v>
      </c>
      <c r="B8099" s="49" t="s">
        <v>10542</v>
      </c>
    </row>
    <row r="8100" spans="1:2">
      <c r="A8100" s="66">
        <v>46071.69732634259</v>
      </c>
      <c r="B8100" s="49" t="s">
        <v>10543</v>
      </c>
    </row>
    <row r="8101" spans="1:2">
      <c r="A8101" s="66">
        <v>46071.697329641203</v>
      </c>
      <c r="B8101" s="49" t="s">
        <v>9394</v>
      </c>
    </row>
    <row r="8102" spans="1:2">
      <c r="A8102" s="66">
        <v>46071.698652743056</v>
      </c>
      <c r="B8102" s="49" t="s">
        <v>10556</v>
      </c>
    </row>
    <row r="8103" spans="1:2">
      <c r="A8103" s="66">
        <v>46071.69865578704</v>
      </c>
      <c r="B8103" s="49" t="s">
        <v>10557</v>
      </c>
    </row>
    <row r="8104" spans="1:2">
      <c r="A8104" s="66">
        <v>46071.698658935187</v>
      </c>
      <c r="B8104" s="49" t="s">
        <v>10546</v>
      </c>
    </row>
    <row r="8105" spans="1:2">
      <c r="A8105" s="66">
        <v>46071.698662256946</v>
      </c>
      <c r="B8105" s="49" t="s">
        <v>10466</v>
      </c>
    </row>
    <row r="8106" spans="1:2">
      <c r="A8106" s="66">
        <v>46071.698665381948</v>
      </c>
      <c r="B8106" s="49" t="s">
        <v>10561</v>
      </c>
    </row>
    <row r="8107" spans="1:2">
      <c r="A8107" s="66">
        <v>46071.698668449069</v>
      </c>
      <c r="B8107" s="49" t="s">
        <v>10562</v>
      </c>
    </row>
    <row r="8108" spans="1:2">
      <c r="A8108" s="66">
        <v>46071.698671874998</v>
      </c>
      <c r="B8108" s="49" t="s">
        <v>10563</v>
      </c>
    </row>
    <row r="8109" spans="1:2">
      <c r="A8109" s="66">
        <v>46071.698707314819</v>
      </c>
      <c r="B8109" s="49" t="s">
        <v>10541</v>
      </c>
    </row>
    <row r="8110" spans="1:2">
      <c r="A8110" s="66">
        <v>46071.698713738428</v>
      </c>
      <c r="B8110" s="49" t="s">
        <v>10542</v>
      </c>
    </row>
    <row r="8111" spans="1:2">
      <c r="A8111" s="66">
        <v>46071.69871759259</v>
      </c>
      <c r="B8111" s="49" t="s">
        <v>10543</v>
      </c>
    </row>
    <row r="8112" spans="1:2">
      <c r="A8112" s="66">
        <v>46071.698721030094</v>
      </c>
      <c r="B8112" s="49" t="s">
        <v>9394</v>
      </c>
    </row>
    <row r="8113" spans="1:2">
      <c r="A8113" s="66">
        <v>46071.700017881943</v>
      </c>
      <c r="B8113" s="49" t="s">
        <v>10556</v>
      </c>
    </row>
    <row r="8114" spans="1:2">
      <c r="A8114" s="66">
        <v>46071.700029131942</v>
      </c>
      <c r="B8114" s="49" t="s">
        <v>10557</v>
      </c>
    </row>
    <row r="8115" spans="1:2">
      <c r="A8115" s="66">
        <v>46071.700035069443</v>
      </c>
      <c r="B8115" s="49" t="s">
        <v>10546</v>
      </c>
    </row>
    <row r="8116" spans="1:2">
      <c r="A8116" s="66">
        <v>46071.700040844909</v>
      </c>
      <c r="B8116" s="49" t="s">
        <v>10466</v>
      </c>
    </row>
    <row r="8117" spans="1:2">
      <c r="A8117" s="66">
        <v>46071.70004708333</v>
      </c>
      <c r="B8117" s="49" t="s">
        <v>10561</v>
      </c>
    </row>
    <row r="8118" spans="1:2">
      <c r="A8118" s="66">
        <v>46071.700064467594</v>
      </c>
      <c r="B8118" s="49" t="s">
        <v>10562</v>
      </c>
    </row>
    <row r="8119" spans="1:2">
      <c r="A8119" s="66">
        <v>46071.700067106482</v>
      </c>
      <c r="B8119" s="49" t="s">
        <v>10563</v>
      </c>
    </row>
    <row r="8120" spans="1:2">
      <c r="A8120" s="66">
        <v>46071.700096689819</v>
      </c>
      <c r="B8120" s="49" t="s">
        <v>10541</v>
      </c>
    </row>
    <row r="8121" spans="1:2">
      <c r="A8121" s="66">
        <v>46071.7001021412</v>
      </c>
      <c r="B8121" s="49" t="s">
        <v>10542</v>
      </c>
    </row>
    <row r="8122" spans="1:2">
      <c r="A8122" s="66">
        <v>46071.70010587963</v>
      </c>
      <c r="B8122" s="49" t="s">
        <v>10543</v>
      </c>
    </row>
    <row r="8123" spans="1:2">
      <c r="A8123" s="66">
        <v>46071.700112685183</v>
      </c>
      <c r="B8123" s="49" t="s">
        <v>9394</v>
      </c>
    </row>
    <row r="8124" spans="1:2">
      <c r="A8124" s="66">
        <v>46071.70142582176</v>
      </c>
      <c r="B8124" s="49" t="s">
        <v>10556</v>
      </c>
    </row>
    <row r="8125" spans="1:2">
      <c r="A8125" s="66">
        <v>46071.701428159722</v>
      </c>
      <c r="B8125" s="49" t="s">
        <v>10557</v>
      </c>
    </row>
    <row r="8126" spans="1:2">
      <c r="A8126" s="66">
        <v>46071.701430717592</v>
      </c>
      <c r="B8126" s="49" t="s">
        <v>10546</v>
      </c>
    </row>
    <row r="8127" spans="1:2">
      <c r="A8127" s="66">
        <v>46071.70143325231</v>
      </c>
      <c r="B8127" s="49" t="s">
        <v>10466</v>
      </c>
    </row>
    <row r="8128" spans="1:2">
      <c r="A8128" s="66">
        <v>46071.701435601848</v>
      </c>
      <c r="B8128" s="49" t="s">
        <v>10561</v>
      </c>
    </row>
    <row r="8129" spans="1:2">
      <c r="A8129" s="66">
        <v>46071.701438101853</v>
      </c>
      <c r="B8129" s="49" t="s">
        <v>10562</v>
      </c>
    </row>
    <row r="8130" spans="1:2">
      <c r="A8130" s="66">
        <v>46071.701442280093</v>
      </c>
      <c r="B8130" s="49" t="s">
        <v>10563</v>
      </c>
    </row>
    <row r="8131" spans="1:2">
      <c r="A8131" s="66">
        <v>46071.701465787039</v>
      </c>
      <c r="B8131" s="49" t="s">
        <v>10541</v>
      </c>
    </row>
    <row r="8132" spans="1:2">
      <c r="A8132" s="66">
        <v>46071.701468796295</v>
      </c>
      <c r="B8132" s="49" t="s">
        <v>10542</v>
      </c>
    </row>
    <row r="8133" spans="1:2">
      <c r="A8133" s="66">
        <v>46071.701471168984</v>
      </c>
      <c r="B8133" s="49" t="s">
        <v>10543</v>
      </c>
    </row>
    <row r="8134" spans="1:2">
      <c r="A8134" s="66">
        <v>46071.701473599533</v>
      </c>
      <c r="B8134" s="49" t="s">
        <v>9394</v>
      </c>
    </row>
    <row r="8135" spans="1:2">
      <c r="A8135" s="66">
        <v>46071.702370104162</v>
      </c>
      <c r="B8135" s="49" t="s">
        <v>10556</v>
      </c>
    </row>
    <row r="8136" spans="1:2">
      <c r="A8136" s="66">
        <v>46071.702372314816</v>
      </c>
      <c r="B8136" s="49" t="s">
        <v>10557</v>
      </c>
    </row>
    <row r="8137" spans="1:2">
      <c r="A8137" s="66">
        <v>46071.702374583328</v>
      </c>
      <c r="B8137" s="49" t="s">
        <v>10546</v>
      </c>
    </row>
    <row r="8138" spans="1:2">
      <c r="A8138" s="66">
        <v>46071.702376851856</v>
      </c>
      <c r="B8138" s="49" t="s">
        <v>10466</v>
      </c>
    </row>
    <row r="8139" spans="1:2">
      <c r="A8139" s="66">
        <v>46071.702379201393</v>
      </c>
      <c r="B8139" s="49" t="s">
        <v>10561</v>
      </c>
    </row>
    <row r="8140" spans="1:2">
      <c r="A8140" s="66">
        <v>46071.7023815625</v>
      </c>
      <c r="B8140" s="49" t="s">
        <v>10562</v>
      </c>
    </row>
    <row r="8141" spans="1:2">
      <c r="A8141" s="66">
        <v>46071.702383877317</v>
      </c>
      <c r="B8141" s="49" t="s">
        <v>10563</v>
      </c>
    </row>
    <row r="8142" spans="1:2">
      <c r="A8142" s="66">
        <v>46071.702406886572</v>
      </c>
      <c r="B8142" s="49" t="s">
        <v>10541</v>
      </c>
    </row>
    <row r="8143" spans="1:2">
      <c r="A8143" s="66">
        <v>46071.702409942125</v>
      </c>
      <c r="B8143" s="49" t="s">
        <v>10542</v>
      </c>
    </row>
    <row r="8144" spans="1:2">
      <c r="A8144" s="66">
        <v>46071.702412361112</v>
      </c>
      <c r="B8144" s="49" t="s">
        <v>10543</v>
      </c>
    </row>
    <row r="8145" spans="1:2">
      <c r="A8145" s="66">
        <v>46071.702414652776</v>
      </c>
      <c r="B8145" s="49" t="s">
        <v>9394</v>
      </c>
    </row>
    <row r="8146" spans="1:2">
      <c r="A8146" s="66">
        <v>46071.703585439813</v>
      </c>
      <c r="B8146" s="49" t="s">
        <v>10556</v>
      </c>
    </row>
    <row r="8147" spans="1:2">
      <c r="A8147" s="66">
        <v>46071.703590358797</v>
      </c>
      <c r="B8147" s="49" t="s">
        <v>10557</v>
      </c>
    </row>
    <row r="8148" spans="1:2">
      <c r="A8148" s="66">
        <v>46071.703593854167</v>
      </c>
      <c r="B8148" s="49" t="s">
        <v>10546</v>
      </c>
    </row>
    <row r="8149" spans="1:2">
      <c r="A8149" s="66">
        <v>46071.703597025466</v>
      </c>
      <c r="B8149" s="49" t="s">
        <v>10466</v>
      </c>
    </row>
    <row r="8150" spans="1:2">
      <c r="A8150" s="66">
        <v>46071.703601018518</v>
      </c>
      <c r="B8150" s="49" t="s">
        <v>10561</v>
      </c>
    </row>
    <row r="8151" spans="1:2">
      <c r="A8151" s="66">
        <v>46071.703604918977</v>
      </c>
      <c r="B8151" s="49" t="s">
        <v>10562</v>
      </c>
    </row>
    <row r="8152" spans="1:2">
      <c r="A8152" s="66">
        <v>46071.703608217591</v>
      </c>
      <c r="B8152" s="49" t="s">
        <v>10563</v>
      </c>
    </row>
    <row r="8153" spans="1:2">
      <c r="A8153" s="66">
        <v>46071.703635011574</v>
      </c>
      <c r="B8153" s="49" t="s">
        <v>10541</v>
      </c>
    </row>
    <row r="8154" spans="1:2">
      <c r="A8154" s="66">
        <v>46071.703638553241</v>
      </c>
      <c r="B8154" s="49" t="s">
        <v>10542</v>
      </c>
    </row>
    <row r="8155" spans="1:2">
      <c r="A8155" s="66">
        <v>46071.703641736109</v>
      </c>
      <c r="B8155" s="49" t="s">
        <v>10543</v>
      </c>
    </row>
    <row r="8156" spans="1:2">
      <c r="A8156" s="66">
        <v>46071.703646504626</v>
      </c>
      <c r="B8156" s="49" t="s">
        <v>9394</v>
      </c>
    </row>
    <row r="8157" spans="1:2">
      <c r="A8157" s="66">
        <v>46071.705008287041</v>
      </c>
      <c r="B8157" s="49" t="s">
        <v>10556</v>
      </c>
    </row>
    <row r="8158" spans="1:2">
      <c r="A8158" s="66">
        <v>46071.705010648147</v>
      </c>
      <c r="B8158" s="49" t="s">
        <v>10557</v>
      </c>
    </row>
    <row r="8159" spans="1:2">
      <c r="A8159" s="66">
        <v>46071.705013078703</v>
      </c>
      <c r="B8159" s="49" t="s">
        <v>10546</v>
      </c>
    </row>
    <row r="8160" spans="1:2">
      <c r="A8160" s="66">
        <v>46071.705017337961</v>
      </c>
      <c r="B8160" s="49" t="s">
        <v>10466</v>
      </c>
    </row>
    <row r="8161" spans="1:2">
      <c r="A8161" s="66">
        <v>46071.70501986111</v>
      </c>
      <c r="B8161" s="49" t="s">
        <v>10561</v>
      </c>
    </row>
    <row r="8162" spans="1:2">
      <c r="A8162" s="66">
        <v>46071.705022118054</v>
      </c>
      <c r="B8162" s="49" t="s">
        <v>10562</v>
      </c>
    </row>
    <row r="8163" spans="1:2">
      <c r="A8163" s="66">
        <v>46071.705024502313</v>
      </c>
      <c r="B8163" s="49" t="s">
        <v>10563</v>
      </c>
    </row>
    <row r="8164" spans="1:2">
      <c r="A8164" s="66">
        <v>46071.705061990739</v>
      </c>
      <c r="B8164" s="49" t="s">
        <v>10541</v>
      </c>
    </row>
    <row r="8165" spans="1:2">
      <c r="A8165" s="66">
        <v>46071.705070104166</v>
      </c>
      <c r="B8165" s="49" t="s">
        <v>10542</v>
      </c>
    </row>
    <row r="8166" spans="1:2">
      <c r="A8166" s="66">
        <v>46071.705072337965</v>
      </c>
      <c r="B8166" s="49" t="s">
        <v>10543</v>
      </c>
    </row>
    <row r="8167" spans="1:2">
      <c r="A8167" s="66">
        <v>46071.705074652782</v>
      </c>
      <c r="B8167" s="49" t="s">
        <v>9394</v>
      </c>
    </row>
    <row r="8168" spans="1:2">
      <c r="A8168" s="66">
        <v>46071.705884189811</v>
      </c>
      <c r="B8168" s="49" t="s">
        <v>10556</v>
      </c>
    </row>
    <row r="8169" spans="1:2">
      <c r="A8169" s="66">
        <v>46071.705893819446</v>
      </c>
      <c r="B8169" s="49" t="s">
        <v>10557</v>
      </c>
    </row>
    <row r="8170" spans="1:2">
      <c r="A8170" s="66">
        <v>46071.705896203704</v>
      </c>
      <c r="B8170" s="49" t="s">
        <v>10546</v>
      </c>
    </row>
    <row r="8171" spans="1:2">
      <c r="A8171" s="66">
        <v>46071.705898587963</v>
      </c>
      <c r="B8171" s="49" t="s">
        <v>10466</v>
      </c>
    </row>
    <row r="8172" spans="1:2">
      <c r="A8172" s="66">
        <v>46071.705900995366</v>
      </c>
      <c r="B8172" s="49" t="s">
        <v>10561</v>
      </c>
    </row>
    <row r="8173" spans="1:2">
      <c r="A8173" s="66">
        <v>46071.705903437498</v>
      </c>
      <c r="B8173" s="49" t="s">
        <v>10562</v>
      </c>
    </row>
    <row r="8174" spans="1:2">
      <c r="A8174" s="66">
        <v>46071.705905821756</v>
      </c>
      <c r="B8174" s="49" t="s">
        <v>10563</v>
      </c>
    </row>
    <row r="8175" spans="1:2">
      <c r="A8175" s="66">
        <v>46071.705930011572</v>
      </c>
      <c r="B8175" s="49" t="s">
        <v>10541</v>
      </c>
    </row>
    <row r="8176" spans="1:2">
      <c r="A8176" s="66">
        <v>46071.705933622681</v>
      </c>
      <c r="B8176" s="49" t="s">
        <v>10542</v>
      </c>
    </row>
    <row r="8177" spans="1:2">
      <c r="A8177" s="66">
        <v>46071.705935810183</v>
      </c>
      <c r="B8177" s="49" t="s">
        <v>10543</v>
      </c>
    </row>
    <row r="8178" spans="1:2">
      <c r="A8178" s="66">
        <v>46071.705938159721</v>
      </c>
      <c r="B8178" s="49" t="s">
        <v>9394</v>
      </c>
    </row>
    <row r="8179" spans="1:2">
      <c r="A8179" s="66">
        <v>46071.706796701386</v>
      </c>
      <c r="B8179" s="49" t="s">
        <v>10556</v>
      </c>
    </row>
    <row r="8180" spans="1:2">
      <c r="A8180" s="66">
        <v>46071.70679924768</v>
      </c>
      <c r="B8180" s="49" t="s">
        <v>10557</v>
      </c>
    </row>
    <row r="8181" spans="1:2">
      <c r="A8181" s="66">
        <v>46071.706801701388</v>
      </c>
      <c r="B8181" s="49" t="s">
        <v>10546</v>
      </c>
    </row>
    <row r="8182" spans="1:2">
      <c r="A8182" s="66">
        <v>46071.706804942129</v>
      </c>
      <c r="B8182" s="49" t="s">
        <v>10466</v>
      </c>
    </row>
    <row r="8183" spans="1:2">
      <c r="A8183" s="66">
        <v>46071.706808530093</v>
      </c>
      <c r="B8183" s="49" t="s">
        <v>10561</v>
      </c>
    </row>
    <row r="8184" spans="1:2">
      <c r="A8184" s="66">
        <v>46071.706812430552</v>
      </c>
      <c r="B8184" s="49" t="s">
        <v>10562</v>
      </c>
    </row>
    <row r="8185" spans="1:2">
      <c r="A8185" s="66">
        <v>46071.706815405094</v>
      </c>
      <c r="B8185" s="49" t="s">
        <v>10563</v>
      </c>
    </row>
    <row r="8186" spans="1:2">
      <c r="A8186" s="66">
        <v>46071.706855902783</v>
      </c>
      <c r="B8186" s="49" t="s">
        <v>10541</v>
      </c>
    </row>
    <row r="8187" spans="1:2">
      <c r="A8187" s="66">
        <v>46071.706860393519</v>
      </c>
      <c r="B8187" s="49" t="s">
        <v>10542</v>
      </c>
    </row>
    <row r="8188" spans="1:2">
      <c r="A8188" s="66">
        <v>46071.706863020838</v>
      </c>
      <c r="B8188" s="49" t="s">
        <v>10543</v>
      </c>
    </row>
    <row r="8189" spans="1:2">
      <c r="A8189" s="66">
        <v>46071.70686554398</v>
      </c>
      <c r="B8189" s="49" t="s">
        <v>9394</v>
      </c>
    </row>
    <row r="8190" spans="1:2">
      <c r="A8190" s="66">
        <v>46071.708283344909</v>
      </c>
      <c r="B8190" s="49" t="s">
        <v>10556</v>
      </c>
    </row>
    <row r="8191" spans="1:2">
      <c r="A8191" s="66">
        <v>46071.708286030094</v>
      </c>
      <c r="B8191" s="49" t="s">
        <v>10557</v>
      </c>
    </row>
    <row r="8192" spans="1:2">
      <c r="A8192" s="66">
        <v>46071.708293437499</v>
      </c>
      <c r="B8192" s="49" t="s">
        <v>10546</v>
      </c>
    </row>
    <row r="8193" spans="1:2">
      <c r="A8193" s="66">
        <v>46071.708296261575</v>
      </c>
      <c r="B8193" s="49" t="s">
        <v>10466</v>
      </c>
    </row>
    <row r="8194" spans="1:2">
      <c r="A8194" s="66">
        <v>46071.708298807869</v>
      </c>
      <c r="B8194" s="49" t="s">
        <v>10561</v>
      </c>
    </row>
    <row r="8195" spans="1:2">
      <c r="A8195" s="66">
        <v>46071.708301342587</v>
      </c>
      <c r="B8195" s="49" t="s">
        <v>10562</v>
      </c>
    </row>
    <row r="8196" spans="1:2">
      <c r="A8196" s="66">
        <v>46071.708306562505</v>
      </c>
      <c r="B8196" s="49" t="s">
        <v>10563</v>
      </c>
    </row>
    <row r="8197" spans="1:2">
      <c r="A8197" s="66">
        <v>46071.708337557866</v>
      </c>
      <c r="B8197" s="49" t="s">
        <v>10541</v>
      </c>
    </row>
    <row r="8198" spans="1:2">
      <c r="A8198" s="66">
        <v>46071.708340879632</v>
      </c>
      <c r="B8198" s="49" t="s">
        <v>10542</v>
      </c>
    </row>
    <row r="8199" spans="1:2">
      <c r="A8199" s="66">
        <v>46071.708343530088</v>
      </c>
      <c r="B8199" s="49" t="s">
        <v>10543</v>
      </c>
    </row>
    <row r="8200" spans="1:2">
      <c r="A8200" s="66">
        <v>46071.708346122687</v>
      </c>
      <c r="B8200" s="49" t="s">
        <v>9394</v>
      </c>
    </row>
    <row r="8201" spans="1:2">
      <c r="A8201" s="66">
        <v>46071.709636932872</v>
      </c>
      <c r="B8201" s="49" t="s">
        <v>10556</v>
      </c>
    </row>
    <row r="8202" spans="1:2">
      <c r="A8202" s="66">
        <v>46071.709648553238</v>
      </c>
      <c r="B8202" s="49" t="s">
        <v>10557</v>
      </c>
    </row>
    <row r="8203" spans="1:2">
      <c r="A8203" s="66">
        <v>46071.709651041667</v>
      </c>
      <c r="B8203" s="49" t="s">
        <v>10546</v>
      </c>
    </row>
    <row r="8204" spans="1:2">
      <c r="A8204" s="66">
        <v>46071.709653530095</v>
      </c>
      <c r="B8204" s="49" t="s">
        <v>10466</v>
      </c>
    </row>
    <row r="8205" spans="1:2">
      <c r="A8205" s="66">
        <v>46071.709656041668</v>
      </c>
      <c r="B8205" s="49" t="s">
        <v>10561</v>
      </c>
    </row>
    <row r="8206" spans="1:2">
      <c r="A8206" s="66">
        <v>46071.709658715277</v>
      </c>
      <c r="B8206" s="49" t="s">
        <v>10562</v>
      </c>
    </row>
    <row r="8207" spans="1:2">
      <c r="A8207" s="66">
        <v>46071.709661215282</v>
      </c>
      <c r="B8207" s="49" t="s">
        <v>10563</v>
      </c>
    </row>
    <row r="8208" spans="1:2">
      <c r="A8208" s="66">
        <v>46071.709682893517</v>
      </c>
      <c r="B8208" s="49" t="s">
        <v>10541</v>
      </c>
    </row>
    <row r="8209" spans="1:2">
      <c r="A8209" s="66">
        <v>46071.709686388887</v>
      </c>
      <c r="B8209" s="49" t="s">
        <v>10542</v>
      </c>
    </row>
    <row r="8210" spans="1:2">
      <c r="A8210" s="66">
        <v>46071.709688761577</v>
      </c>
      <c r="B8210" s="49" t="s">
        <v>10543</v>
      </c>
    </row>
    <row r="8211" spans="1:2">
      <c r="A8211" s="66">
        <v>46071.709691631942</v>
      </c>
      <c r="B8211" s="49" t="s">
        <v>9394</v>
      </c>
    </row>
    <row r="8212" spans="1:2">
      <c r="A8212" s="66">
        <v>46071.710824641203</v>
      </c>
      <c r="B8212" s="49" t="s">
        <v>10556</v>
      </c>
    </row>
    <row r="8213" spans="1:2">
      <c r="A8213" s="66">
        <v>46071.710827939816</v>
      </c>
      <c r="B8213" s="49" t="s">
        <v>10557</v>
      </c>
    </row>
    <row r="8214" spans="1:2">
      <c r="A8214" s="66">
        <v>46071.71083019676</v>
      </c>
      <c r="B8214" s="49" t="s">
        <v>10546</v>
      </c>
    </row>
    <row r="8215" spans="1:2">
      <c r="A8215" s="66">
        <v>46071.710832708333</v>
      </c>
      <c r="B8215" s="49" t="s">
        <v>10466</v>
      </c>
    </row>
    <row r="8216" spans="1:2">
      <c r="A8216" s="66">
        <v>46071.710835208331</v>
      </c>
      <c r="B8216" s="49" t="s">
        <v>10561</v>
      </c>
    </row>
    <row r="8217" spans="1:2">
      <c r="A8217" s="66">
        <v>46071.710837638893</v>
      </c>
      <c r="B8217" s="49" t="s">
        <v>10562</v>
      </c>
    </row>
    <row r="8218" spans="1:2">
      <c r="A8218" s="66">
        <v>46071.710840173611</v>
      </c>
      <c r="B8218" s="49" t="s">
        <v>10563</v>
      </c>
    </row>
    <row r="8219" spans="1:2">
      <c r="A8219" s="66">
        <v>46071.710877951387</v>
      </c>
      <c r="B8219" s="49" t="s">
        <v>10541</v>
      </c>
    </row>
    <row r="8220" spans="1:2">
      <c r="A8220" s="66">
        <v>46071.710881250001</v>
      </c>
      <c r="B8220" s="49" t="s">
        <v>10542</v>
      </c>
    </row>
    <row r="8221" spans="1:2">
      <c r="A8221" s="66">
        <v>46071.710883715277</v>
      </c>
      <c r="B8221" s="49" t="s">
        <v>10543</v>
      </c>
    </row>
    <row r="8222" spans="1:2">
      <c r="A8222" s="66">
        <v>46071.710885983797</v>
      </c>
      <c r="B8222" s="49" t="s">
        <v>9394</v>
      </c>
    </row>
    <row r="8223" spans="1:2">
      <c r="A8223" s="66">
        <v>46071.711860416668</v>
      </c>
      <c r="B8223" s="49" t="s">
        <v>10556</v>
      </c>
    </row>
    <row r="8224" spans="1:2">
      <c r="A8224" s="66">
        <v>46071.711862199074</v>
      </c>
      <c r="B8224" s="49" t="s">
        <v>10557</v>
      </c>
    </row>
    <row r="8225" spans="1:2">
      <c r="A8225" s="66">
        <v>46071.711864062498</v>
      </c>
      <c r="B8225" s="49" t="s">
        <v>10546</v>
      </c>
    </row>
    <row r="8226" spans="1:2">
      <c r="A8226" s="66">
        <v>46071.711865763893</v>
      </c>
      <c r="B8226" s="49" t="s">
        <v>10466</v>
      </c>
    </row>
    <row r="8227" spans="1:2">
      <c r="A8227" s="66">
        <v>46071.711867384263</v>
      </c>
      <c r="B8227" s="49" t="s">
        <v>10561</v>
      </c>
    </row>
    <row r="8228" spans="1:2">
      <c r="A8228" s="66">
        <v>46071.711869166669</v>
      </c>
      <c r="B8228" s="49" t="s">
        <v>10562</v>
      </c>
    </row>
    <row r="8229" spans="1:2">
      <c r="A8229" s="66">
        <v>46071.711870925923</v>
      </c>
      <c r="B8229" s="49" t="s">
        <v>10563</v>
      </c>
    </row>
    <row r="8230" spans="1:2">
      <c r="A8230" s="66">
        <v>46071.7118962963</v>
      </c>
      <c r="B8230" s="49" t="s">
        <v>10541</v>
      </c>
    </row>
    <row r="8231" spans="1:2">
      <c r="A8231" s="66">
        <v>46071.71189914352</v>
      </c>
      <c r="B8231" s="49" t="s">
        <v>10542</v>
      </c>
    </row>
    <row r="8232" spans="1:2">
      <c r="A8232" s="66">
        <v>46071.711900821756</v>
      </c>
      <c r="B8232" s="49" t="s">
        <v>10543</v>
      </c>
    </row>
    <row r="8233" spans="1:2">
      <c r="A8233" s="66">
        <v>46071.71190253472</v>
      </c>
      <c r="B8233" s="49" t="s">
        <v>9394</v>
      </c>
    </row>
    <row r="8234" spans="1:2">
      <c r="A8234" s="66">
        <v>46071.713166875001</v>
      </c>
      <c r="B8234" s="49" t="s">
        <v>10556</v>
      </c>
    </row>
    <row r="8235" spans="1:2">
      <c r="A8235" s="66">
        <v>46071.713169988427</v>
      </c>
      <c r="B8235" s="49" t="s">
        <v>10557</v>
      </c>
    </row>
    <row r="8236" spans="1:2">
      <c r="A8236" s="66">
        <v>46071.713173020835</v>
      </c>
      <c r="B8236" s="49" t="s">
        <v>10546</v>
      </c>
    </row>
    <row r="8237" spans="1:2">
      <c r="A8237" s="66">
        <v>46071.713176041667</v>
      </c>
      <c r="B8237" s="49" t="s">
        <v>10466</v>
      </c>
    </row>
    <row r="8238" spans="1:2">
      <c r="A8238" s="66">
        <v>46071.713184699074</v>
      </c>
      <c r="B8238" s="49" t="s">
        <v>10561</v>
      </c>
    </row>
    <row r="8239" spans="1:2">
      <c r="A8239" s="66">
        <v>46071.713192164352</v>
      </c>
      <c r="B8239" s="49" t="s">
        <v>10562</v>
      </c>
    </row>
    <row r="8240" spans="1:2">
      <c r="A8240" s="66">
        <v>46071.713196157405</v>
      </c>
      <c r="B8240" s="49" t="s">
        <v>10563</v>
      </c>
    </row>
    <row r="8241" spans="1:2">
      <c r="A8241" s="66">
        <v>46071.713227604167</v>
      </c>
      <c r="B8241" s="49" t="s">
        <v>10541</v>
      </c>
    </row>
    <row r="8242" spans="1:2">
      <c r="A8242" s="66">
        <v>46071.713231851856</v>
      </c>
      <c r="B8242" s="49" t="s">
        <v>10542</v>
      </c>
    </row>
    <row r="8243" spans="1:2">
      <c r="A8243" s="66">
        <v>46071.713235069445</v>
      </c>
      <c r="B8243" s="49" t="s">
        <v>10543</v>
      </c>
    </row>
    <row r="8244" spans="1:2">
      <c r="A8244" s="66">
        <v>46071.713237905089</v>
      </c>
      <c r="B8244" s="49" t="s">
        <v>9394</v>
      </c>
    </row>
    <row r="8245" spans="1:2">
      <c r="A8245" s="66">
        <v>46071.714167141203</v>
      </c>
      <c r="B8245" s="49" t="s">
        <v>10556</v>
      </c>
    </row>
    <row r="8246" spans="1:2">
      <c r="A8246" s="66">
        <v>46071.714170127314</v>
      </c>
      <c r="B8246" s="49" t="s">
        <v>10557</v>
      </c>
    </row>
    <row r="8247" spans="1:2">
      <c r="A8247" s="66">
        <v>46071.714177476853</v>
      </c>
      <c r="B8247" s="49" t="s">
        <v>10546</v>
      </c>
    </row>
    <row r="8248" spans="1:2">
      <c r="A8248" s="66">
        <v>46071.714180011579</v>
      </c>
      <c r="B8248" s="49" t="s">
        <v>10466</v>
      </c>
    </row>
    <row r="8249" spans="1:2">
      <c r="A8249" s="66">
        <v>46071.714185092591</v>
      </c>
      <c r="B8249" s="49" t="s">
        <v>10561</v>
      </c>
    </row>
    <row r="8250" spans="1:2">
      <c r="A8250" s="66">
        <v>46071.714187777776</v>
      </c>
      <c r="B8250" s="49" t="s">
        <v>10562</v>
      </c>
    </row>
    <row r="8251" spans="1:2">
      <c r="A8251" s="66">
        <v>46071.714190300925</v>
      </c>
      <c r="B8251" s="49" t="s">
        <v>10563</v>
      </c>
    </row>
    <row r="8252" spans="1:2">
      <c r="A8252" s="66">
        <v>46071.71421612268</v>
      </c>
      <c r="B8252" s="49" t="s">
        <v>10541</v>
      </c>
    </row>
    <row r="8253" spans="1:2">
      <c r="A8253" s="66">
        <v>46071.714219236106</v>
      </c>
      <c r="B8253" s="49" t="s">
        <v>10542</v>
      </c>
    </row>
    <row r="8254" spans="1:2">
      <c r="A8254" s="66">
        <v>46071.714222314811</v>
      </c>
      <c r="B8254" s="49" t="s">
        <v>10543</v>
      </c>
    </row>
    <row r="8255" spans="1:2">
      <c r="A8255" s="66">
        <v>46071.714225092597</v>
      </c>
      <c r="B8255" s="49" t="s">
        <v>9394</v>
      </c>
    </row>
    <row r="8256" spans="1:2">
      <c r="A8256" s="66">
        <v>46071.715143761576</v>
      </c>
      <c r="B8256" s="49" t="s">
        <v>10556</v>
      </c>
    </row>
    <row r="8257" spans="1:2">
      <c r="A8257" s="66">
        <v>46071.715147395837</v>
      </c>
      <c r="B8257" s="49" t="s">
        <v>10557</v>
      </c>
    </row>
    <row r="8258" spans="1:2">
      <c r="A8258" s="66">
        <v>46071.715154317135</v>
      </c>
      <c r="B8258" s="49" t="s">
        <v>10546</v>
      </c>
    </row>
    <row r="8259" spans="1:2">
      <c r="A8259" s="66">
        <v>46071.715159421292</v>
      </c>
      <c r="B8259" s="49" t="s">
        <v>10466</v>
      </c>
    </row>
    <row r="8260" spans="1:2">
      <c r="A8260" s="66">
        <v>46071.71516324074</v>
      </c>
      <c r="B8260" s="49" t="s">
        <v>10561</v>
      </c>
    </row>
    <row r="8261" spans="1:2">
      <c r="A8261" s="66">
        <v>46071.715166249996</v>
      </c>
      <c r="B8261" s="49" t="s">
        <v>10562</v>
      </c>
    </row>
    <row r="8262" spans="1:2">
      <c r="A8262" s="66">
        <v>46071.715169513889</v>
      </c>
      <c r="B8262" s="49" t="s">
        <v>10563</v>
      </c>
    </row>
    <row r="8263" spans="1:2">
      <c r="A8263" s="66">
        <v>46071.715213634263</v>
      </c>
      <c r="B8263" s="49" t="s">
        <v>10541</v>
      </c>
    </row>
    <row r="8264" spans="1:2">
      <c r="A8264" s="66">
        <v>46071.715226712964</v>
      </c>
      <c r="B8264" s="49" t="s">
        <v>10542</v>
      </c>
    </row>
    <row r="8265" spans="1:2">
      <c r="A8265" s="66">
        <v>46071.715229768517</v>
      </c>
      <c r="B8265" s="49" t="s">
        <v>10543</v>
      </c>
    </row>
    <row r="8266" spans="1:2">
      <c r="A8266" s="66">
        <v>46071.715235335651</v>
      </c>
      <c r="B8266" s="49" t="s">
        <v>9394</v>
      </c>
    </row>
    <row r="8267" spans="1:2">
      <c r="A8267" s="66">
        <v>46071.716423680555</v>
      </c>
      <c r="B8267" s="49" t="s">
        <v>10556</v>
      </c>
    </row>
    <row r="8268" spans="1:2">
      <c r="A8268" s="66">
        <v>46071.716426666666</v>
      </c>
      <c r="B8268" s="49" t="s">
        <v>10557</v>
      </c>
    </row>
    <row r="8269" spans="1:2">
      <c r="A8269" s="66">
        <v>46071.716429259264</v>
      </c>
      <c r="B8269" s="49" t="s">
        <v>10546</v>
      </c>
    </row>
    <row r="8270" spans="1:2">
      <c r="A8270" s="66">
        <v>46071.716431863431</v>
      </c>
      <c r="B8270" s="49" t="s">
        <v>10466</v>
      </c>
    </row>
    <row r="8271" spans="1:2">
      <c r="A8271" s="66">
        <v>46071.716434467591</v>
      </c>
      <c r="B8271" s="49" t="s">
        <v>10561</v>
      </c>
    </row>
    <row r="8272" spans="1:2">
      <c r="A8272" s="66">
        <v>46071.71643699074</v>
      </c>
      <c r="B8272" s="49" t="s">
        <v>10562</v>
      </c>
    </row>
    <row r="8273" spans="1:2">
      <c r="A8273" s="66">
        <v>46071.716439560187</v>
      </c>
      <c r="B8273" s="49" t="s">
        <v>10563</v>
      </c>
    </row>
    <row r="8274" spans="1:2">
      <c r="A8274" s="66">
        <v>46071.71646113426</v>
      </c>
      <c r="B8274" s="49" t="s">
        <v>10541</v>
      </c>
    </row>
    <row r="8275" spans="1:2">
      <c r="A8275" s="66">
        <v>46071.716464594909</v>
      </c>
      <c r="B8275" s="49" t="s">
        <v>10542</v>
      </c>
    </row>
    <row r="8276" spans="1:2">
      <c r="A8276" s="66">
        <v>46071.716467106482</v>
      </c>
      <c r="B8276" s="49" t="s">
        <v>10543</v>
      </c>
    </row>
    <row r="8277" spans="1:2">
      <c r="A8277" s="66">
        <v>46071.716469652776</v>
      </c>
      <c r="B8277" s="49" t="s">
        <v>9394</v>
      </c>
    </row>
    <row r="8278" spans="1:2">
      <c r="A8278" s="66">
        <v>46071.717335428242</v>
      </c>
      <c r="B8278" s="49" t="s">
        <v>10556</v>
      </c>
    </row>
    <row r="8279" spans="1:2">
      <c r="A8279" s="66">
        <v>46071.717345358797</v>
      </c>
      <c r="B8279" s="49" t="s">
        <v>10557</v>
      </c>
    </row>
    <row r="8280" spans="1:2">
      <c r="A8280" s="66">
        <v>46071.717359884264</v>
      </c>
      <c r="B8280" s="49" t="s">
        <v>10546</v>
      </c>
    </row>
    <row r="8281" spans="1:2">
      <c r="A8281" s="66">
        <v>46071.717369074075</v>
      </c>
      <c r="B8281" s="49" t="s">
        <v>10466</v>
      </c>
    </row>
    <row r="8282" spans="1:2">
      <c r="A8282" s="66">
        <v>46071.717380300921</v>
      </c>
      <c r="B8282" s="49" t="s">
        <v>10561</v>
      </c>
    </row>
    <row r="8283" spans="1:2">
      <c r="A8283" s="66">
        <v>46071.717388263889</v>
      </c>
      <c r="B8283" s="49" t="s">
        <v>10562</v>
      </c>
    </row>
    <row r="8284" spans="1:2">
      <c r="A8284" s="66">
        <v>46071.717394201391</v>
      </c>
      <c r="B8284" s="49" t="s">
        <v>10563</v>
      </c>
    </row>
    <row r="8285" spans="1:2">
      <c r="A8285" s="66">
        <v>46071.717432986115</v>
      </c>
      <c r="B8285" s="49" t="s">
        <v>10541</v>
      </c>
    </row>
    <row r="8286" spans="1:2">
      <c r="A8286" s="66">
        <v>46071.717439629632</v>
      </c>
      <c r="B8286" s="49" t="s">
        <v>10542</v>
      </c>
    </row>
    <row r="8287" spans="1:2">
      <c r="A8287" s="66">
        <v>46071.717444803246</v>
      </c>
      <c r="B8287" s="49" t="s">
        <v>10543</v>
      </c>
    </row>
    <row r="8288" spans="1:2">
      <c r="A8288" s="66">
        <v>46071.717449548611</v>
      </c>
      <c r="B8288" s="49" t="s">
        <v>9394</v>
      </c>
    </row>
    <row r="8289" spans="1:2">
      <c r="A8289" s="66">
        <v>46071.718299699074</v>
      </c>
      <c r="B8289" s="49" t="s">
        <v>10556</v>
      </c>
    </row>
    <row r="8290" spans="1:2">
      <c r="A8290" s="66">
        <v>46071.718302499998</v>
      </c>
      <c r="B8290" s="49" t="s">
        <v>10557</v>
      </c>
    </row>
    <row r="8291" spans="1:2">
      <c r="A8291" s="66">
        <v>46071.71830518519</v>
      </c>
      <c r="B8291" s="49" t="s">
        <v>10546</v>
      </c>
    </row>
    <row r="8292" spans="1:2">
      <c r="A8292" s="66">
        <v>46071.718312303245</v>
      </c>
      <c r="B8292" s="49" t="s">
        <v>10466</v>
      </c>
    </row>
    <row r="8293" spans="1:2">
      <c r="A8293" s="66">
        <v>46071.718316342594</v>
      </c>
      <c r="B8293" s="49" t="s">
        <v>10561</v>
      </c>
    </row>
    <row r="8294" spans="1:2">
      <c r="A8294" s="66">
        <v>46071.718320949076</v>
      </c>
      <c r="B8294" s="49" t="s">
        <v>10562</v>
      </c>
    </row>
    <row r="8295" spans="1:2">
      <c r="A8295" s="66">
        <v>46071.718326076385</v>
      </c>
      <c r="B8295" s="49" t="s">
        <v>10563</v>
      </c>
    </row>
    <row r="8296" spans="1:2">
      <c r="A8296" s="66">
        <v>46071.718357789352</v>
      </c>
      <c r="B8296" s="49" t="s">
        <v>10541</v>
      </c>
    </row>
    <row r="8297" spans="1:2">
      <c r="A8297" s="66">
        <v>46071.718361238425</v>
      </c>
      <c r="B8297" s="49" t="s">
        <v>10542</v>
      </c>
    </row>
    <row r="8298" spans="1:2">
      <c r="A8298" s="66">
        <v>46071.718364270833</v>
      </c>
      <c r="B8298" s="49" t="s">
        <v>10543</v>
      </c>
    </row>
    <row r="8299" spans="1:2">
      <c r="A8299" s="66">
        <v>46071.718367766203</v>
      </c>
      <c r="B8299" s="49" t="s">
        <v>9394</v>
      </c>
    </row>
    <row r="8300" spans="1:2">
      <c r="A8300" s="66">
        <v>46071.719412118051</v>
      </c>
      <c r="B8300" s="49" t="s">
        <v>10556</v>
      </c>
    </row>
    <row r="8301" spans="1:2">
      <c r="A8301" s="66">
        <v>46071.719415196756</v>
      </c>
      <c r="B8301" s="49" t="s">
        <v>10557</v>
      </c>
    </row>
    <row r="8302" spans="1:2">
      <c r="A8302" s="66">
        <v>46071.719435046296</v>
      </c>
      <c r="B8302" s="49" t="s">
        <v>10546</v>
      </c>
    </row>
    <row r="8303" spans="1:2">
      <c r="A8303" s="66">
        <v>46071.719439097222</v>
      </c>
      <c r="B8303" s="49" t="s">
        <v>10466</v>
      </c>
    </row>
    <row r="8304" spans="1:2">
      <c r="A8304" s="66">
        <v>46071.719442939815</v>
      </c>
      <c r="B8304" s="49" t="s">
        <v>10561</v>
      </c>
    </row>
    <row r="8305" spans="1:2">
      <c r="A8305" s="66">
        <v>46071.719447523152</v>
      </c>
      <c r="B8305" s="49" t="s">
        <v>10562</v>
      </c>
    </row>
    <row r="8306" spans="1:2">
      <c r="A8306" s="66">
        <v>46071.719452939811</v>
      </c>
      <c r="B8306" s="49" t="s">
        <v>10563</v>
      </c>
    </row>
    <row r="8307" spans="1:2">
      <c r="A8307" s="66">
        <v>46071.719481006949</v>
      </c>
      <c r="B8307" s="49" t="s">
        <v>10541</v>
      </c>
    </row>
    <row r="8308" spans="1:2">
      <c r="A8308" s="66">
        <v>46071.719484456014</v>
      </c>
      <c r="B8308" s="49" t="s">
        <v>10542</v>
      </c>
    </row>
    <row r="8309" spans="1:2">
      <c r="A8309" s="66">
        <v>46071.71948792824</v>
      </c>
      <c r="B8309" s="49" t="s">
        <v>10543</v>
      </c>
    </row>
    <row r="8310" spans="1:2">
      <c r="A8310" s="66">
        <v>46071.719490763891</v>
      </c>
      <c r="B8310" s="49" t="s">
        <v>9394</v>
      </c>
    </row>
    <row r="8311" spans="1:2">
      <c r="A8311" s="66">
        <v>46071.720859166671</v>
      </c>
      <c r="B8311" s="49" t="s">
        <v>10556</v>
      </c>
    </row>
    <row r="8312" spans="1:2">
      <c r="A8312" s="66">
        <v>46071.72086296296</v>
      </c>
      <c r="B8312" s="49" t="s">
        <v>10557</v>
      </c>
    </row>
    <row r="8313" spans="1:2">
      <c r="A8313" s="66">
        <v>46071.720866388889</v>
      </c>
      <c r="B8313" s="49" t="s">
        <v>10546</v>
      </c>
    </row>
    <row r="8314" spans="1:2">
      <c r="A8314" s="66">
        <v>46071.720869895835</v>
      </c>
      <c r="B8314" s="49" t="s">
        <v>10466</v>
      </c>
    </row>
    <row r="8315" spans="1:2">
      <c r="A8315" s="66">
        <v>46071.720874189814</v>
      </c>
      <c r="B8315" s="49" t="s">
        <v>10561</v>
      </c>
    </row>
    <row r="8316" spans="1:2">
      <c r="A8316" s="66">
        <v>46071.720878043983</v>
      </c>
      <c r="B8316" s="49" t="s">
        <v>10562</v>
      </c>
    </row>
    <row r="8317" spans="1:2">
      <c r="A8317" s="66">
        <v>46071.720881458328</v>
      </c>
      <c r="B8317" s="49" t="s">
        <v>10563</v>
      </c>
    </row>
    <row r="8318" spans="1:2">
      <c r="A8318" s="66">
        <v>46071.720926759255</v>
      </c>
      <c r="B8318" s="49" t="s">
        <v>10541</v>
      </c>
    </row>
    <row r="8319" spans="1:2">
      <c r="A8319" s="66">
        <v>46071.720936898149</v>
      </c>
      <c r="B8319" s="49" t="s">
        <v>10542</v>
      </c>
    </row>
    <row r="8320" spans="1:2">
      <c r="A8320" s="66">
        <v>46071.720939942126</v>
      </c>
      <c r="B8320" s="49" t="s">
        <v>10543</v>
      </c>
    </row>
    <row r="8321" spans="1:2">
      <c r="A8321" s="66">
        <v>46071.720942650463</v>
      </c>
      <c r="B8321" s="49" t="s">
        <v>9394</v>
      </c>
    </row>
    <row r="8322" spans="1:2">
      <c r="A8322" s="66">
        <v>46071.722207291663</v>
      </c>
      <c r="B8322" s="49" t="s">
        <v>10556</v>
      </c>
    </row>
    <row r="8323" spans="1:2">
      <c r="A8323" s="66">
        <v>46071.722209780091</v>
      </c>
      <c r="B8323" s="49" t="s">
        <v>10557</v>
      </c>
    </row>
    <row r="8324" spans="1:2">
      <c r="A8324" s="66">
        <v>46071.722212337962</v>
      </c>
      <c r="B8324" s="49" t="s">
        <v>10546</v>
      </c>
    </row>
    <row r="8325" spans="1:2">
      <c r="A8325" s="66">
        <v>46071.722215624999</v>
      </c>
      <c r="B8325" s="49" t="s">
        <v>10466</v>
      </c>
    </row>
    <row r="8326" spans="1:2">
      <c r="A8326" s="66">
        <v>46071.722218229166</v>
      </c>
      <c r="B8326" s="49" t="s">
        <v>10561</v>
      </c>
    </row>
    <row r="8327" spans="1:2">
      <c r="A8327" s="66">
        <v>46071.722220810188</v>
      </c>
      <c r="B8327" s="49" t="s">
        <v>10562</v>
      </c>
    </row>
    <row r="8328" spans="1:2">
      <c r="A8328" s="66">
        <v>46071.722223055556</v>
      </c>
      <c r="B8328" s="49" t="s">
        <v>10563</v>
      </c>
    </row>
    <row r="8329" spans="1:2">
      <c r="A8329" s="66">
        <v>46071.722257696762</v>
      </c>
      <c r="B8329" s="49" t="s">
        <v>10541</v>
      </c>
    </row>
    <row r="8330" spans="1:2">
      <c r="A8330" s="66">
        <v>46071.722266689816</v>
      </c>
      <c r="B8330" s="49" t="s">
        <v>10542</v>
      </c>
    </row>
    <row r="8331" spans="1:2">
      <c r="A8331" s="66">
        <v>46071.722269259262</v>
      </c>
      <c r="B8331" s="49" t="s">
        <v>10543</v>
      </c>
    </row>
    <row r="8332" spans="1:2">
      <c r="A8332" s="66">
        <v>46071.722271412036</v>
      </c>
      <c r="B8332" s="49" t="s">
        <v>9394</v>
      </c>
    </row>
    <row r="8333" spans="1:2">
      <c r="A8333" s="66">
        <v>46071.723345995371</v>
      </c>
      <c r="B8333" s="49" t="s">
        <v>10556</v>
      </c>
    </row>
    <row r="8334" spans="1:2">
      <c r="A8334" s="66">
        <v>46071.723348287036</v>
      </c>
      <c r="B8334" s="49" t="s">
        <v>10557</v>
      </c>
    </row>
    <row r="8335" spans="1:2">
      <c r="A8335" s="66">
        <v>46071.723350601853</v>
      </c>
      <c r="B8335" s="49" t="s">
        <v>10546</v>
      </c>
    </row>
    <row r="8336" spans="1:2">
      <c r="A8336" s="66">
        <v>46071.723352800924</v>
      </c>
      <c r="B8336" s="49" t="s">
        <v>10466</v>
      </c>
    </row>
    <row r="8337" spans="1:2">
      <c r="A8337" s="66">
        <v>46071.723355162037</v>
      </c>
      <c r="B8337" s="49" t="s">
        <v>10561</v>
      </c>
    </row>
    <row r="8338" spans="1:2">
      <c r="A8338" s="66">
        <v>46071.723357476847</v>
      </c>
      <c r="B8338" s="49" t="s">
        <v>10562</v>
      </c>
    </row>
    <row r="8339" spans="1:2">
      <c r="A8339" s="66">
        <v>46071.723359687501</v>
      </c>
      <c r="B8339" s="49" t="s">
        <v>10563</v>
      </c>
    </row>
    <row r="8340" spans="1:2">
      <c r="A8340" s="66">
        <v>46071.723393912034</v>
      </c>
      <c r="B8340" s="49" t="s">
        <v>10541</v>
      </c>
    </row>
    <row r="8341" spans="1:2">
      <c r="A8341" s="66">
        <v>46071.72340195602</v>
      </c>
      <c r="B8341" s="49" t="s">
        <v>10542</v>
      </c>
    </row>
    <row r="8342" spans="1:2">
      <c r="A8342" s="66">
        <v>46071.723404166667</v>
      </c>
      <c r="B8342" s="49" t="s">
        <v>10543</v>
      </c>
    </row>
    <row r="8343" spans="1:2">
      <c r="A8343" s="66">
        <v>46071.723406249999</v>
      </c>
      <c r="B8343" s="49" t="s">
        <v>9394</v>
      </c>
    </row>
    <row r="8344" spans="1:2">
      <c r="A8344" s="66">
        <v>46071.724753495371</v>
      </c>
      <c r="B8344" s="49" t="s">
        <v>10556</v>
      </c>
    </row>
    <row r="8345" spans="1:2">
      <c r="A8345" s="66">
        <v>46071.724756388889</v>
      </c>
      <c r="B8345" s="49" t="s">
        <v>10557</v>
      </c>
    </row>
    <row r="8346" spans="1:2">
      <c r="A8346" s="66">
        <v>46071.724760439814</v>
      </c>
      <c r="B8346" s="49" t="s">
        <v>10546</v>
      </c>
    </row>
    <row r="8347" spans="1:2">
      <c r="A8347" s="66">
        <v>46071.724774421295</v>
      </c>
      <c r="B8347" s="49" t="s">
        <v>10466</v>
      </c>
    </row>
    <row r="8348" spans="1:2">
      <c r="A8348" s="66">
        <v>46071.724777141208</v>
      </c>
      <c r="B8348" s="49" t="s">
        <v>10561</v>
      </c>
    </row>
    <row r="8349" spans="1:2">
      <c r="A8349" s="66">
        <v>46071.724780092598</v>
      </c>
      <c r="B8349" s="49" t="s">
        <v>10562</v>
      </c>
    </row>
    <row r="8350" spans="1:2">
      <c r="A8350" s="66">
        <v>46071.724782974532</v>
      </c>
      <c r="B8350" s="49" t="s">
        <v>10563</v>
      </c>
    </row>
    <row r="8351" spans="1:2">
      <c r="A8351" s="66">
        <v>46071.724817719907</v>
      </c>
      <c r="B8351" s="49" t="s">
        <v>10541</v>
      </c>
    </row>
    <row r="8352" spans="1:2">
      <c r="A8352" s="66">
        <v>46071.724821574069</v>
      </c>
      <c r="B8352" s="49" t="s">
        <v>10542</v>
      </c>
    </row>
    <row r="8353" spans="1:2">
      <c r="A8353" s="66">
        <v>46071.724824849538</v>
      </c>
      <c r="B8353" s="49" t="s">
        <v>10543</v>
      </c>
    </row>
    <row r="8354" spans="1:2">
      <c r="A8354" s="66">
        <v>46071.724828182865</v>
      </c>
      <c r="B8354" s="49" t="s">
        <v>9394</v>
      </c>
    </row>
    <row r="8355" spans="1:2">
      <c r="A8355" s="66">
        <v>46071.725878055557</v>
      </c>
      <c r="B8355" s="49" t="s">
        <v>10556</v>
      </c>
    </row>
    <row r="8356" spans="1:2">
      <c r="A8356" s="66">
        <v>46071.725896446762</v>
      </c>
      <c r="B8356" s="49" t="s">
        <v>10557</v>
      </c>
    </row>
    <row r="8357" spans="1:2">
      <c r="A8357" s="66">
        <v>46071.725898842589</v>
      </c>
      <c r="B8357" s="49" t="s">
        <v>10546</v>
      </c>
    </row>
    <row r="8358" spans="1:2">
      <c r="A8358" s="66">
        <v>46071.725901261569</v>
      </c>
      <c r="B8358" s="49" t="s">
        <v>10466</v>
      </c>
    </row>
    <row r="8359" spans="1:2">
      <c r="A8359" s="66">
        <v>46071.725903715276</v>
      </c>
      <c r="B8359" s="49" t="s">
        <v>10561</v>
      </c>
    </row>
    <row r="8360" spans="1:2">
      <c r="A8360" s="66">
        <v>46071.725906168984</v>
      </c>
      <c r="B8360" s="49" t="s">
        <v>10562</v>
      </c>
    </row>
    <row r="8361" spans="1:2">
      <c r="A8361" s="66">
        <v>46071.725908587963</v>
      </c>
      <c r="B8361" s="49" t="s">
        <v>10563</v>
      </c>
    </row>
    <row r="8362" spans="1:2">
      <c r="A8362" s="66">
        <v>46071.725929444445</v>
      </c>
      <c r="B8362" s="49" t="s">
        <v>10564</v>
      </c>
    </row>
    <row r="8363" spans="1:2">
      <c r="A8363" s="66">
        <v>46071.725932685185</v>
      </c>
      <c r="B8363" s="49" t="s">
        <v>10542</v>
      </c>
    </row>
    <row r="8364" spans="1:2">
      <c r="A8364" s="66">
        <v>46071.725935300929</v>
      </c>
      <c r="B8364" s="49" t="s">
        <v>10543</v>
      </c>
    </row>
    <row r="8365" spans="1:2">
      <c r="A8365" s="66">
        <v>46071.72593792824</v>
      </c>
      <c r="B8365" s="49" t="s">
        <v>9394</v>
      </c>
    </row>
    <row r="8366" spans="1:2">
      <c r="A8366" s="66">
        <v>46071.727146168982</v>
      </c>
      <c r="B8366" s="49" t="s">
        <v>10556</v>
      </c>
    </row>
    <row r="8367" spans="1:2">
      <c r="A8367" s="66">
        <v>46071.727165983801</v>
      </c>
      <c r="B8367" s="49" t="s">
        <v>10557</v>
      </c>
    </row>
    <row r="8368" spans="1:2">
      <c r="A8368" s="66">
        <v>46071.72717643519</v>
      </c>
      <c r="B8368" s="49" t="s">
        <v>10546</v>
      </c>
    </row>
    <row r="8369" spans="1:2">
      <c r="A8369" s="66">
        <v>46071.727190185185</v>
      </c>
      <c r="B8369" s="49" t="s">
        <v>10466</v>
      </c>
    </row>
    <row r="8370" spans="1:2">
      <c r="A8370" s="66">
        <v>46071.727201840273</v>
      </c>
      <c r="B8370" s="49" t="s">
        <v>10561</v>
      </c>
    </row>
    <row r="8371" spans="1:2">
      <c r="A8371" s="66">
        <v>46071.727210983794</v>
      </c>
      <c r="B8371" s="49" t="s">
        <v>10562</v>
      </c>
    </row>
    <row r="8372" spans="1:2">
      <c r="A8372" s="66">
        <v>46071.727218113425</v>
      </c>
      <c r="B8372" s="49" t="s">
        <v>10563</v>
      </c>
    </row>
    <row r="8373" spans="1:2">
      <c r="A8373" s="66">
        <v>46071.727247083334</v>
      </c>
      <c r="B8373" s="49" t="s">
        <v>10564</v>
      </c>
    </row>
    <row r="8374" spans="1:2">
      <c r="A8374" s="66">
        <v>46071.727252939818</v>
      </c>
      <c r="B8374" s="49" t="s">
        <v>10542</v>
      </c>
    </row>
    <row r="8375" spans="1:2">
      <c r="A8375" s="66">
        <v>46071.727257256949</v>
      </c>
      <c r="B8375" s="49" t="s">
        <v>10543</v>
      </c>
    </row>
    <row r="8376" spans="1:2">
      <c r="A8376" s="66">
        <v>46071.727261134263</v>
      </c>
      <c r="B8376" s="49" t="s">
        <v>9394</v>
      </c>
    </row>
    <row r="8377" spans="1:2">
      <c r="A8377" s="66">
        <v>46071.728271747685</v>
      </c>
      <c r="B8377" s="49" t="s">
        <v>10556</v>
      </c>
    </row>
    <row r="8378" spans="1:2">
      <c r="A8378" s="66">
        <v>46071.728274363428</v>
      </c>
      <c r="B8378" s="49" t="s">
        <v>10557</v>
      </c>
    </row>
    <row r="8379" spans="1:2">
      <c r="A8379" s="66">
        <v>46071.728277175927</v>
      </c>
      <c r="B8379" s="49" t="s">
        <v>10546</v>
      </c>
    </row>
    <row r="8380" spans="1:2">
      <c r="A8380" s="66">
        <v>46071.728279999996</v>
      </c>
      <c r="B8380" s="49" t="s">
        <v>10466</v>
      </c>
    </row>
    <row r="8381" spans="1:2">
      <c r="A8381" s="66">
        <v>46071.728282974538</v>
      </c>
      <c r="B8381" s="49" t="s">
        <v>10561</v>
      </c>
    </row>
    <row r="8382" spans="1:2">
      <c r="A8382" s="66">
        <v>46071.728287650461</v>
      </c>
      <c r="B8382" s="49" t="s">
        <v>10562</v>
      </c>
    </row>
    <row r="8383" spans="1:2">
      <c r="A8383" s="66">
        <v>46071.728301921292</v>
      </c>
      <c r="B8383" s="49" t="s">
        <v>10563</v>
      </c>
    </row>
    <row r="8384" spans="1:2">
      <c r="A8384" s="66">
        <v>46071.728321851857</v>
      </c>
      <c r="B8384" s="49" t="s">
        <v>10564</v>
      </c>
    </row>
    <row r="8385" spans="1:2">
      <c r="A8385" s="66">
        <v>46071.728333159721</v>
      </c>
      <c r="B8385" s="49" t="s">
        <v>10542</v>
      </c>
    </row>
    <row r="8386" spans="1:2">
      <c r="A8386" s="66">
        <v>46071.728335775464</v>
      </c>
      <c r="B8386" s="49" t="s">
        <v>10543</v>
      </c>
    </row>
    <row r="8387" spans="1:2">
      <c r="A8387" s="66">
        <v>46071.72833849537</v>
      </c>
      <c r="B8387" s="49" t="s">
        <v>9394</v>
      </c>
    </row>
    <row r="8388" spans="1:2">
      <c r="A8388" s="66">
        <v>46071.729158668983</v>
      </c>
      <c r="B8388" s="49" t="s">
        <v>10556</v>
      </c>
    </row>
    <row r="8389" spans="1:2">
      <c r="A8389" s="66">
        <v>46071.729161180556</v>
      </c>
      <c r="B8389" s="49" t="s">
        <v>10557</v>
      </c>
    </row>
    <row r="8390" spans="1:2">
      <c r="A8390" s="66">
        <v>46071.729169571758</v>
      </c>
      <c r="B8390" s="49" t="s">
        <v>10546</v>
      </c>
    </row>
    <row r="8391" spans="1:2">
      <c r="A8391" s="66">
        <v>46071.729173182874</v>
      </c>
      <c r="B8391" s="49" t="s">
        <v>10466</v>
      </c>
    </row>
    <row r="8392" spans="1:2">
      <c r="A8392" s="66">
        <v>46071.729175740737</v>
      </c>
      <c r="B8392" s="49" t="s">
        <v>10561</v>
      </c>
    </row>
    <row r="8393" spans="1:2">
      <c r="A8393" s="66">
        <v>46071.729178009264</v>
      </c>
      <c r="B8393" s="49" t="s">
        <v>10562</v>
      </c>
    </row>
    <row r="8394" spans="1:2">
      <c r="A8394" s="66">
        <v>46071.729180381946</v>
      </c>
      <c r="B8394" s="49" t="s">
        <v>10563</v>
      </c>
    </row>
    <row r="8395" spans="1:2">
      <c r="A8395" s="66">
        <v>46071.729210231482</v>
      </c>
      <c r="B8395" s="49" t="s">
        <v>10564</v>
      </c>
    </row>
    <row r="8396" spans="1:2">
      <c r="A8396" s="66">
        <v>46071.729237824075</v>
      </c>
      <c r="B8396" s="49" t="s">
        <v>10542</v>
      </c>
    </row>
    <row r="8397" spans="1:2">
      <c r="A8397" s="66">
        <v>46071.729243472219</v>
      </c>
      <c r="B8397" s="49" t="s">
        <v>10543</v>
      </c>
    </row>
    <row r="8398" spans="1:2">
      <c r="A8398" s="66">
        <v>46071.729248414355</v>
      </c>
      <c r="B8398" s="49" t="s">
        <v>9394</v>
      </c>
    </row>
    <row r="8399" spans="1:2">
      <c r="A8399" s="66">
        <v>46071.730191863426</v>
      </c>
      <c r="B8399" s="49" t="s">
        <v>10556</v>
      </c>
    </row>
    <row r="8400" spans="1:2">
      <c r="A8400" s="66">
        <v>46071.730200810183</v>
      </c>
      <c r="B8400" s="49" t="s">
        <v>10557</v>
      </c>
    </row>
    <row r="8401" spans="1:2">
      <c r="A8401" s="66">
        <v>46071.73020637731</v>
      </c>
      <c r="B8401" s="49" t="s">
        <v>10546</v>
      </c>
    </row>
    <row r="8402" spans="1:2">
      <c r="A8402" s="66">
        <v>46071.730232268514</v>
      </c>
      <c r="B8402" s="49" t="s">
        <v>10466</v>
      </c>
    </row>
    <row r="8403" spans="1:2">
      <c r="A8403" s="66">
        <v>46071.730235694442</v>
      </c>
      <c r="B8403" s="49" t="s">
        <v>10561</v>
      </c>
    </row>
    <row r="8404" spans="1:2">
      <c r="A8404" s="66">
        <v>46071.730239224533</v>
      </c>
      <c r="B8404" s="49" t="s">
        <v>10562</v>
      </c>
    </row>
    <row r="8405" spans="1:2">
      <c r="A8405" s="66">
        <v>46071.730242673613</v>
      </c>
      <c r="B8405" s="49" t="s">
        <v>10563</v>
      </c>
    </row>
    <row r="8406" spans="1:2">
      <c r="A8406" s="66">
        <v>46071.730270960645</v>
      </c>
      <c r="B8406" s="49" t="s">
        <v>10564</v>
      </c>
    </row>
    <row r="8407" spans="1:2">
      <c r="A8407" s="66">
        <v>46071.730278518517</v>
      </c>
      <c r="B8407" s="49" t="s">
        <v>10542</v>
      </c>
    </row>
    <row r="8408" spans="1:2">
      <c r="A8408" s="66">
        <v>46071.730285115744</v>
      </c>
      <c r="B8408" s="49" t="s">
        <v>10543</v>
      </c>
    </row>
    <row r="8409" spans="1:2">
      <c r="A8409" s="66">
        <v>46071.730300034724</v>
      </c>
      <c r="B8409" s="49" t="s">
        <v>9394</v>
      </c>
    </row>
    <row r="8410" spans="1:2">
      <c r="A8410" s="66">
        <v>46071.731340810184</v>
      </c>
      <c r="B8410" s="49" t="s">
        <v>10556</v>
      </c>
    </row>
    <row r="8411" spans="1:2">
      <c r="A8411" s="66">
        <v>46071.731351203707</v>
      </c>
      <c r="B8411" s="49" t="s">
        <v>10557</v>
      </c>
    </row>
    <row r="8412" spans="1:2">
      <c r="A8412" s="66">
        <v>46071.731368344903</v>
      </c>
      <c r="B8412" s="49" t="s">
        <v>10546</v>
      </c>
    </row>
    <row r="8413" spans="1:2">
      <c r="A8413" s="66">
        <v>46071.731382268517</v>
      </c>
      <c r="B8413" s="49" t="s">
        <v>10466</v>
      </c>
    </row>
    <row r="8414" spans="1:2">
      <c r="A8414" s="66">
        <v>46071.73145762732</v>
      </c>
      <c r="B8414" s="49" t="s">
        <v>10561</v>
      </c>
    </row>
    <row r="8415" spans="1:2">
      <c r="A8415" s="66">
        <v>46071.73146920139</v>
      </c>
      <c r="B8415" s="49" t="s">
        <v>10562</v>
      </c>
    </row>
    <row r="8416" spans="1:2">
      <c r="A8416" s="66">
        <v>46071.731476284724</v>
      </c>
      <c r="B8416" s="49" t="s">
        <v>10563</v>
      </c>
    </row>
    <row r="8417" spans="1:2">
      <c r="A8417" s="66">
        <v>46071.731507199074</v>
      </c>
      <c r="B8417" s="49" t="s">
        <v>10564</v>
      </c>
    </row>
    <row r="8418" spans="1:2">
      <c r="A8418" s="66">
        <v>46071.731513368053</v>
      </c>
      <c r="B8418" s="49" t="s">
        <v>10542</v>
      </c>
    </row>
    <row r="8419" spans="1:2">
      <c r="A8419" s="66">
        <v>46071.73151805556</v>
      </c>
      <c r="B8419" s="49" t="s">
        <v>10543</v>
      </c>
    </row>
    <row r="8420" spans="1:2">
      <c r="A8420" s="66">
        <v>46071.731522361108</v>
      </c>
      <c r="B8420" s="49" t="s">
        <v>9394</v>
      </c>
    </row>
    <row r="8421" spans="1:2">
      <c r="A8421" s="66">
        <v>46071.732614085646</v>
      </c>
      <c r="B8421" s="49" t="s">
        <v>10556</v>
      </c>
    </row>
    <row r="8422" spans="1:2">
      <c r="A8422" s="66">
        <v>46071.732616516209</v>
      </c>
      <c r="B8422" s="49" t="s">
        <v>10557</v>
      </c>
    </row>
    <row r="8423" spans="1:2">
      <c r="A8423" s="66">
        <v>46071.732618726848</v>
      </c>
      <c r="B8423" s="49" t="s">
        <v>10546</v>
      </c>
    </row>
    <row r="8424" spans="1:2">
      <c r="A8424" s="66">
        <v>46071.732627581019</v>
      </c>
      <c r="B8424" s="49" t="s">
        <v>10466</v>
      </c>
    </row>
    <row r="8425" spans="1:2">
      <c r="A8425" s="66">
        <v>46071.73262978009</v>
      </c>
      <c r="B8425" s="49" t="s">
        <v>10561</v>
      </c>
    </row>
    <row r="8426" spans="1:2">
      <c r="A8426" s="66">
        <v>46071.73263273148</v>
      </c>
      <c r="B8426" s="49" t="s">
        <v>10562</v>
      </c>
    </row>
    <row r="8427" spans="1:2">
      <c r="A8427" s="66">
        <v>46071.732634942135</v>
      </c>
      <c r="B8427" s="49" t="s">
        <v>10563</v>
      </c>
    </row>
    <row r="8428" spans="1:2">
      <c r="A8428" s="66">
        <v>46071.732656944441</v>
      </c>
      <c r="B8428" s="49" t="s">
        <v>10564</v>
      </c>
    </row>
    <row r="8429" spans="1:2">
      <c r="A8429" s="66">
        <v>46071.73265957176</v>
      </c>
      <c r="B8429" s="49" t="s">
        <v>10542</v>
      </c>
    </row>
    <row r="8430" spans="1:2">
      <c r="A8430" s="66">
        <v>46071.732661770831</v>
      </c>
      <c r="B8430" s="49" t="s">
        <v>10543</v>
      </c>
    </row>
    <row r="8431" spans="1:2">
      <c r="A8431" s="66">
        <v>46071.732664224532</v>
      </c>
      <c r="B8431" s="49" t="s">
        <v>9394</v>
      </c>
    </row>
    <row r="8432" spans="1:2">
      <c r="A8432" s="66">
        <v>46071.733760555551</v>
      </c>
      <c r="B8432" s="49" t="s">
        <v>10556</v>
      </c>
    </row>
    <row r="8433" spans="1:2">
      <c r="A8433" s="66">
        <v>46071.73376751157</v>
      </c>
      <c r="B8433" s="49" t="s">
        <v>10557</v>
      </c>
    </row>
    <row r="8434" spans="1:2">
      <c r="A8434" s="66">
        <v>46071.733770532403</v>
      </c>
      <c r="B8434" s="49" t="s">
        <v>10546</v>
      </c>
    </row>
    <row r="8435" spans="1:2">
      <c r="A8435" s="66">
        <v>46071.733777164351</v>
      </c>
      <c r="B8435" s="49" t="s">
        <v>10466</v>
      </c>
    </row>
    <row r="8436" spans="1:2">
      <c r="A8436" s="66">
        <v>46071.733781064817</v>
      </c>
      <c r="B8436" s="49" t="s">
        <v>10561</v>
      </c>
    </row>
    <row r="8437" spans="1:2">
      <c r="A8437" s="66">
        <v>46071.733784340278</v>
      </c>
      <c r="B8437" s="49" t="s">
        <v>10562</v>
      </c>
    </row>
    <row r="8438" spans="1:2">
      <c r="A8438" s="66">
        <v>46071.733787291669</v>
      </c>
      <c r="B8438" s="49" t="s">
        <v>10563</v>
      </c>
    </row>
    <row r="8439" spans="1:2">
      <c r="A8439" s="66">
        <v>46071.733810729165</v>
      </c>
      <c r="B8439" s="49" t="s">
        <v>10564</v>
      </c>
    </row>
    <row r="8440" spans="1:2">
      <c r="A8440" s="66">
        <v>46071.733814548614</v>
      </c>
      <c r="B8440" s="49" t="s">
        <v>10542</v>
      </c>
    </row>
    <row r="8441" spans="1:2">
      <c r="A8441" s="66">
        <v>46071.73381795139</v>
      </c>
      <c r="B8441" s="49" t="s">
        <v>10543</v>
      </c>
    </row>
    <row r="8442" spans="1:2">
      <c r="A8442" s="66">
        <v>46071.733823055554</v>
      </c>
      <c r="B8442" s="49" t="s">
        <v>9394</v>
      </c>
    </row>
    <row r="8443" spans="1:2">
      <c r="A8443" s="66">
        <v>46071.735011643519</v>
      </c>
      <c r="B8443" s="49" t="s">
        <v>10556</v>
      </c>
    </row>
    <row r="8444" spans="1:2">
      <c r="A8444" s="66">
        <v>46071.735014953709</v>
      </c>
      <c r="B8444" s="49" t="s">
        <v>10557</v>
      </c>
    </row>
    <row r="8445" spans="1:2">
      <c r="A8445" s="66">
        <v>46071.735018125</v>
      </c>
      <c r="B8445" s="49" t="s">
        <v>10546</v>
      </c>
    </row>
    <row r="8446" spans="1:2">
      <c r="A8446" s="66">
        <v>46071.735021412038</v>
      </c>
      <c r="B8446" s="49" t="s">
        <v>10466</v>
      </c>
    </row>
    <row r="8447" spans="1:2">
      <c r="A8447" s="66">
        <v>46071.73502482639</v>
      </c>
      <c r="B8447" s="49" t="s">
        <v>10561</v>
      </c>
    </row>
    <row r="8448" spans="1:2">
      <c r="A8448" s="66">
        <v>46071.735029467593</v>
      </c>
      <c r="B8448" s="49" t="s">
        <v>10562</v>
      </c>
    </row>
    <row r="8449" spans="1:2">
      <c r="A8449" s="66">
        <v>46071.735034189813</v>
      </c>
      <c r="B8449" s="49" t="s">
        <v>10563</v>
      </c>
    </row>
    <row r="8450" spans="1:2">
      <c r="A8450" s="66">
        <v>46071.73505938657</v>
      </c>
      <c r="B8450" s="49" t="s">
        <v>10564</v>
      </c>
    </row>
    <row r="8451" spans="1:2">
      <c r="A8451" s="66">
        <v>46071.735062939813</v>
      </c>
      <c r="B8451" s="49" t="s">
        <v>10542</v>
      </c>
    </row>
    <row r="8452" spans="1:2">
      <c r="A8452" s="66">
        <v>46071.735065995366</v>
      </c>
      <c r="B8452" s="49" t="s">
        <v>10543</v>
      </c>
    </row>
    <row r="8453" spans="1:2">
      <c r="A8453" s="66">
        <v>46071.735069155096</v>
      </c>
      <c r="B8453" s="49" t="s">
        <v>9394</v>
      </c>
    </row>
    <row r="8454" spans="1:2">
      <c r="A8454" s="66">
        <v>46071.735878634259</v>
      </c>
      <c r="B8454" s="49" t="s">
        <v>10556</v>
      </c>
    </row>
    <row r="8455" spans="1:2">
      <c r="A8455" s="66">
        <v>46071.735881840279</v>
      </c>
      <c r="B8455" s="49" t="s">
        <v>10557</v>
      </c>
    </row>
    <row r="8456" spans="1:2">
      <c r="A8456" s="66">
        <v>46071.735885115741</v>
      </c>
      <c r="B8456" s="49" t="s">
        <v>10546</v>
      </c>
    </row>
    <row r="8457" spans="1:2">
      <c r="A8457" s="66">
        <v>46071.735888275463</v>
      </c>
      <c r="B8457" s="49" t="s">
        <v>10466</v>
      </c>
    </row>
    <row r="8458" spans="1:2">
      <c r="A8458" s="66">
        <v>46071.73589113426</v>
      </c>
      <c r="B8458" s="49" t="s">
        <v>10561</v>
      </c>
    </row>
    <row r="8459" spans="1:2">
      <c r="A8459" s="66">
        <v>46071.735895763893</v>
      </c>
      <c r="B8459" s="49" t="s">
        <v>10562</v>
      </c>
    </row>
    <row r="8460" spans="1:2">
      <c r="A8460" s="66">
        <v>46071.735898784726</v>
      </c>
      <c r="B8460" s="49" t="s">
        <v>10563</v>
      </c>
    </row>
    <row r="8461" spans="1:2">
      <c r="A8461" s="66">
        <v>46071.735920995372</v>
      </c>
      <c r="B8461" s="49" t="s">
        <v>10564</v>
      </c>
    </row>
    <row r="8462" spans="1:2">
      <c r="A8462" s="66">
        <v>46071.735924490742</v>
      </c>
      <c r="B8462" s="49" t="s">
        <v>10542</v>
      </c>
    </row>
    <row r="8463" spans="1:2">
      <c r="A8463" s="66">
        <v>46071.735927141199</v>
      </c>
      <c r="B8463" s="49" t="s">
        <v>10543</v>
      </c>
    </row>
    <row r="8464" spans="1:2">
      <c r="A8464" s="66">
        <v>46071.73592979167</v>
      </c>
      <c r="B8464" s="49" t="s">
        <v>9394</v>
      </c>
    </row>
    <row r="8465" spans="1:2">
      <c r="A8465" s="66">
        <v>46071.73728991898</v>
      </c>
      <c r="B8465" s="49" t="s">
        <v>10556</v>
      </c>
    </row>
    <row r="8466" spans="1:2">
      <c r="A8466" s="66">
        <v>46071.737291967591</v>
      </c>
      <c r="B8466" s="49" t="s">
        <v>10557</v>
      </c>
    </row>
    <row r="8467" spans="1:2">
      <c r="A8467" s="66">
        <v>46071.737293877319</v>
      </c>
      <c r="B8467" s="49" t="s">
        <v>10546</v>
      </c>
    </row>
    <row r="8468" spans="1:2">
      <c r="A8468" s="66">
        <v>46071.737295763887</v>
      </c>
      <c r="B8468" s="49" t="s">
        <v>10466</v>
      </c>
    </row>
    <row r="8469" spans="1:2">
      <c r="A8469" s="66">
        <v>46071.737297673608</v>
      </c>
      <c r="B8469" s="49" t="s">
        <v>10561</v>
      </c>
    </row>
    <row r="8470" spans="1:2">
      <c r="A8470" s="66">
        <v>46071.737299490742</v>
      </c>
      <c r="B8470" s="49" t="s">
        <v>10562</v>
      </c>
    </row>
    <row r="8471" spans="1:2">
      <c r="A8471" s="66">
        <v>46071.737308495372</v>
      </c>
      <c r="B8471" s="49" t="s">
        <v>10563</v>
      </c>
    </row>
    <row r="8472" spans="1:2">
      <c r="A8472" s="66">
        <v>46071.737324884263</v>
      </c>
      <c r="B8472" s="49" t="s">
        <v>10564</v>
      </c>
    </row>
    <row r="8473" spans="1:2">
      <c r="A8473" s="66">
        <v>46071.737327673611</v>
      </c>
      <c r="B8473" s="49" t="s">
        <v>10542</v>
      </c>
    </row>
    <row r="8474" spans="1:2">
      <c r="A8474" s="66">
        <v>46071.737329444441</v>
      </c>
      <c r="B8474" s="49" t="s">
        <v>10543</v>
      </c>
    </row>
    <row r="8475" spans="1:2">
      <c r="A8475" s="66">
        <v>46071.737331249999</v>
      </c>
      <c r="B8475" s="49" t="s">
        <v>9394</v>
      </c>
    </row>
    <row r="8476" spans="1:2">
      <c r="A8476" s="66">
        <v>46071.738470150463</v>
      </c>
      <c r="B8476" s="49" t="s">
        <v>10556</v>
      </c>
    </row>
    <row r="8477" spans="1:2">
      <c r="A8477" s="66">
        <v>46071.738473333331</v>
      </c>
      <c r="B8477" s="49" t="s">
        <v>10557</v>
      </c>
    </row>
    <row r="8478" spans="1:2">
      <c r="A8478" s="66">
        <v>46071.738475902777</v>
      </c>
      <c r="B8478" s="49" t="s">
        <v>10546</v>
      </c>
    </row>
    <row r="8479" spans="1:2">
      <c r="A8479" s="66">
        <v>46071.738478634259</v>
      </c>
      <c r="B8479" s="49" t="s">
        <v>10466</v>
      </c>
    </row>
    <row r="8480" spans="1:2">
      <c r="A8480" s="66">
        <v>46071.738481192129</v>
      </c>
      <c r="B8480" s="49" t="s">
        <v>10561</v>
      </c>
    </row>
    <row r="8481" spans="1:2">
      <c r="A8481" s="66">
        <v>46071.738484687499</v>
      </c>
      <c r="B8481" s="49" t="s">
        <v>10562</v>
      </c>
    </row>
    <row r="8482" spans="1:2">
      <c r="A8482" s="66">
        <v>46071.73848738426</v>
      </c>
      <c r="B8482" s="49" t="s">
        <v>10563</v>
      </c>
    </row>
    <row r="8483" spans="1:2">
      <c r="A8483" s="66">
        <v>46071.738507499998</v>
      </c>
      <c r="B8483" s="49" t="s">
        <v>10564</v>
      </c>
    </row>
    <row r="8484" spans="1:2">
      <c r="A8484" s="66">
        <v>46071.738510868061</v>
      </c>
      <c r="B8484" s="49" t="s">
        <v>10542</v>
      </c>
    </row>
    <row r="8485" spans="1:2">
      <c r="A8485" s="66">
        <v>46071.738513668985</v>
      </c>
      <c r="B8485" s="49" t="s">
        <v>10543</v>
      </c>
    </row>
    <row r="8486" spans="1:2">
      <c r="A8486" s="66">
        <v>46071.738517129634</v>
      </c>
      <c r="B8486" s="49" t="s">
        <v>9394</v>
      </c>
    </row>
    <row r="8487" spans="1:2">
      <c r="A8487" s="66">
        <v>46071.73937549768</v>
      </c>
      <c r="B8487" s="49" t="s">
        <v>10556</v>
      </c>
    </row>
    <row r="8488" spans="1:2">
      <c r="A8488" s="66">
        <v>46071.739378043982</v>
      </c>
      <c r="B8488" s="49" t="s">
        <v>10557</v>
      </c>
    </row>
    <row r="8489" spans="1:2">
      <c r="A8489" s="66">
        <v>46071.739380381943</v>
      </c>
      <c r="B8489" s="49" t="s">
        <v>10546</v>
      </c>
    </row>
    <row r="8490" spans="1:2">
      <c r="A8490" s="66">
        <v>46071.739382673608</v>
      </c>
      <c r="B8490" s="49" t="s">
        <v>10466</v>
      </c>
    </row>
    <row r="8491" spans="1:2">
      <c r="A8491" s="66">
        <v>46071.739385624998</v>
      </c>
      <c r="B8491" s="49" t="s">
        <v>10561</v>
      </c>
    </row>
    <row r="8492" spans="1:2">
      <c r="A8492" s="66">
        <v>46071.739387847221</v>
      </c>
      <c r="B8492" s="49" t="s">
        <v>10562</v>
      </c>
    </row>
    <row r="8493" spans="1:2">
      <c r="A8493" s="66">
        <v>46071.739390243056</v>
      </c>
      <c r="B8493" s="49" t="s">
        <v>10563</v>
      </c>
    </row>
    <row r="8494" spans="1:2">
      <c r="A8494" s="66">
        <v>46071.739411261573</v>
      </c>
      <c r="B8494" s="49" t="s">
        <v>10564</v>
      </c>
    </row>
    <row r="8495" spans="1:2">
      <c r="A8495" s="66">
        <v>46071.73941425926</v>
      </c>
      <c r="B8495" s="49" t="s">
        <v>10542</v>
      </c>
    </row>
    <row r="8496" spans="1:2">
      <c r="A8496" s="66">
        <v>46071.739426157408</v>
      </c>
      <c r="B8496" s="49" t="s">
        <v>10543</v>
      </c>
    </row>
    <row r="8497" spans="1:2">
      <c r="A8497" s="66">
        <v>46071.73942824074</v>
      </c>
      <c r="B8497" s="49" t="s">
        <v>9394</v>
      </c>
    </row>
    <row r="8498" spans="1:2">
      <c r="A8498" s="66">
        <v>46071.740362627315</v>
      </c>
      <c r="B8498" s="49" t="s">
        <v>10556</v>
      </c>
    </row>
    <row r="8499" spans="1:2">
      <c r="A8499" s="66">
        <v>46071.740364861107</v>
      </c>
      <c r="B8499" s="49" t="s">
        <v>10557</v>
      </c>
    </row>
    <row r="8500" spans="1:2">
      <c r="A8500" s="66">
        <v>46071.740367164355</v>
      </c>
      <c r="B8500" s="49" t="s">
        <v>10546</v>
      </c>
    </row>
    <row r="8501" spans="1:2">
      <c r="A8501" s="66">
        <v>46071.74036945602</v>
      </c>
      <c r="B8501" s="49" t="s">
        <v>10466</v>
      </c>
    </row>
    <row r="8502" spans="1:2">
      <c r="A8502" s="66">
        <v>46071.740381261574</v>
      </c>
      <c r="B8502" s="49" t="s">
        <v>10561</v>
      </c>
    </row>
    <row r="8503" spans="1:2">
      <c r="A8503" s="66">
        <v>46071.740383645832</v>
      </c>
      <c r="B8503" s="49" t="s">
        <v>10562</v>
      </c>
    </row>
    <row r="8504" spans="1:2">
      <c r="A8504" s="66">
        <v>46071.74038581019</v>
      </c>
      <c r="B8504" s="49" t="s">
        <v>10563</v>
      </c>
    </row>
    <row r="8505" spans="1:2">
      <c r="A8505" s="66">
        <v>46071.740404710647</v>
      </c>
      <c r="B8505" s="49" t="s">
        <v>10564</v>
      </c>
    </row>
    <row r="8506" spans="1:2">
      <c r="A8506" s="66">
        <v>46071.740407685182</v>
      </c>
      <c r="B8506" s="49" t="s">
        <v>10542</v>
      </c>
    </row>
    <row r="8507" spans="1:2">
      <c r="A8507" s="66">
        <v>46071.740410208338</v>
      </c>
      <c r="B8507" s="49" t="s">
        <v>10543</v>
      </c>
    </row>
    <row r="8508" spans="1:2">
      <c r="A8508" s="66">
        <v>46071.740412395833</v>
      </c>
      <c r="B8508" s="49" t="s">
        <v>9394</v>
      </c>
    </row>
    <row r="8509" spans="1:2">
      <c r="A8509" s="66">
        <v>46071.741813645829</v>
      </c>
      <c r="B8509" s="49" t="s">
        <v>10556</v>
      </c>
    </row>
    <row r="8510" spans="1:2">
      <c r="A8510" s="66">
        <v>46071.741819409726</v>
      </c>
      <c r="B8510" s="49" t="s">
        <v>10557</v>
      </c>
    </row>
    <row r="8511" spans="1:2">
      <c r="A8511" s="66">
        <v>46071.741821701391</v>
      </c>
      <c r="B8511" s="49" t="s">
        <v>10546</v>
      </c>
    </row>
    <row r="8512" spans="1:2">
      <c r="A8512" s="66">
        <v>46071.741830543979</v>
      </c>
      <c r="B8512" s="49" t="s">
        <v>10466</v>
      </c>
    </row>
    <row r="8513" spans="1:2">
      <c r="A8513" s="66">
        <v>46071.741833368054</v>
      </c>
      <c r="B8513" s="49" t="s">
        <v>10561</v>
      </c>
    </row>
    <row r="8514" spans="1:2">
      <c r="A8514" s="66">
        <v>46071.741836157409</v>
      </c>
      <c r="B8514" s="49" t="s">
        <v>10562</v>
      </c>
    </row>
    <row r="8515" spans="1:2">
      <c r="A8515" s="66">
        <v>46071.741838506947</v>
      </c>
      <c r="B8515" s="49" t="s">
        <v>10563</v>
      </c>
    </row>
    <row r="8516" spans="1:2">
      <c r="A8516" s="66">
        <v>46071.74185741898</v>
      </c>
      <c r="B8516" s="49" t="s">
        <v>10564</v>
      </c>
    </row>
    <row r="8517" spans="1:2">
      <c r="A8517" s="66">
        <v>46071.74186274306</v>
      </c>
      <c r="B8517" s="49" t="s">
        <v>10542</v>
      </c>
    </row>
    <row r="8518" spans="1:2">
      <c r="A8518" s="66">
        <v>46071.741865034724</v>
      </c>
      <c r="B8518" s="49" t="s">
        <v>10543</v>
      </c>
    </row>
    <row r="8519" spans="1:2">
      <c r="A8519" s="66">
        <v>46071.74186736111</v>
      </c>
      <c r="B8519" s="49" t="s">
        <v>9394</v>
      </c>
    </row>
    <row r="8520" spans="1:2">
      <c r="A8520" s="66">
        <v>46071.742966631944</v>
      </c>
      <c r="B8520" s="49" t="s">
        <v>10556</v>
      </c>
    </row>
    <row r="8521" spans="1:2">
      <c r="A8521" s="66">
        <v>46071.742968935185</v>
      </c>
      <c r="B8521" s="49" t="s">
        <v>10557</v>
      </c>
    </row>
    <row r="8522" spans="1:2">
      <c r="A8522" s="66">
        <v>46071.742971157408</v>
      </c>
      <c r="B8522" s="49" t="s">
        <v>10546</v>
      </c>
    </row>
    <row r="8523" spans="1:2">
      <c r="A8523" s="66">
        <v>46071.742973310189</v>
      </c>
      <c r="B8523" s="49" t="s">
        <v>10466</v>
      </c>
    </row>
    <row r="8524" spans="1:2">
      <c r="A8524" s="66">
        <v>46071.742975624999</v>
      </c>
      <c r="B8524" s="49" t="s">
        <v>10561</v>
      </c>
    </row>
    <row r="8525" spans="1:2">
      <c r="A8525" s="66">
        <v>46071.742977615737</v>
      </c>
      <c r="B8525" s="49" t="s">
        <v>10562</v>
      </c>
    </row>
    <row r="8526" spans="1:2">
      <c r="A8526" s="66">
        <v>46071.742979525465</v>
      </c>
      <c r="B8526" s="49" t="s">
        <v>10563</v>
      </c>
    </row>
    <row r="8527" spans="1:2">
      <c r="A8527" s="66">
        <v>46071.743003946758</v>
      </c>
      <c r="B8527" s="49" t="s">
        <v>10564</v>
      </c>
    </row>
    <row r="8528" spans="1:2">
      <c r="A8528" s="66">
        <v>46071.743006932869</v>
      </c>
      <c r="B8528" s="49" t="s">
        <v>10542</v>
      </c>
    </row>
    <row r="8529" spans="1:2">
      <c r="A8529" s="66">
        <v>46071.743009155092</v>
      </c>
      <c r="B8529" s="49" t="s">
        <v>10543</v>
      </c>
    </row>
    <row r="8530" spans="1:2">
      <c r="A8530" s="66">
        <v>46071.743011331018</v>
      </c>
      <c r="B8530" s="49" t="s">
        <v>9394</v>
      </c>
    </row>
    <row r="8531" spans="1:2">
      <c r="A8531" s="66">
        <v>46071.743925648145</v>
      </c>
      <c r="B8531" s="49" t="s">
        <v>10556</v>
      </c>
    </row>
    <row r="8532" spans="1:2">
      <c r="A8532" s="66">
        <v>46071.74392922454</v>
      </c>
      <c r="B8532" s="49" t="s">
        <v>10557</v>
      </c>
    </row>
    <row r="8533" spans="1:2">
      <c r="A8533" s="66">
        <v>46071.743932824073</v>
      </c>
      <c r="B8533" s="49" t="s">
        <v>10546</v>
      </c>
    </row>
    <row r="8534" spans="1:2">
      <c r="A8534" s="66">
        <v>46071.743936030092</v>
      </c>
      <c r="B8534" s="49" t="s">
        <v>10466</v>
      </c>
    </row>
    <row r="8535" spans="1:2">
      <c r="A8535" s="66">
        <v>46071.743942175926</v>
      </c>
      <c r="B8535" s="49" t="s">
        <v>10561</v>
      </c>
    </row>
    <row r="8536" spans="1:2">
      <c r="A8536" s="66">
        <v>46071.743945682872</v>
      </c>
      <c r="B8536" s="49" t="s">
        <v>10562</v>
      </c>
    </row>
    <row r="8537" spans="1:2">
      <c r="A8537" s="66">
        <v>46071.743949027776</v>
      </c>
      <c r="B8537" s="49" t="s">
        <v>10563</v>
      </c>
    </row>
    <row r="8538" spans="1:2">
      <c r="A8538" s="66">
        <v>46071.743971828706</v>
      </c>
      <c r="B8538" s="49" t="s">
        <v>10564</v>
      </c>
    </row>
    <row r="8539" spans="1:2">
      <c r="A8539" s="66">
        <v>46071.743976608792</v>
      </c>
      <c r="B8539" s="49" t="s">
        <v>10542</v>
      </c>
    </row>
    <row r="8540" spans="1:2">
      <c r="A8540" s="66">
        <v>46071.743979849532</v>
      </c>
      <c r="B8540" s="49" t="s">
        <v>10543</v>
      </c>
    </row>
    <row r="8541" spans="1:2">
      <c r="A8541" s="66">
        <v>46071.743982962958</v>
      </c>
      <c r="B8541" s="49" t="s">
        <v>9394</v>
      </c>
    </row>
    <row r="8542" spans="1:2">
      <c r="A8542" s="66">
        <v>46071.745287731479</v>
      </c>
      <c r="B8542" s="49" t="s">
        <v>10556</v>
      </c>
    </row>
    <row r="8543" spans="1:2">
      <c r="A8543" s="66">
        <v>46071.745290775463</v>
      </c>
      <c r="B8543" s="49" t="s">
        <v>10557</v>
      </c>
    </row>
    <row r="8544" spans="1:2">
      <c r="A8544" s="66">
        <v>46071.745295821762</v>
      </c>
      <c r="B8544" s="49" t="s">
        <v>10546</v>
      </c>
    </row>
    <row r="8545" spans="1:2">
      <c r="A8545" s="66">
        <v>46071.745299178241</v>
      </c>
      <c r="B8545" s="49" t="s">
        <v>10466</v>
      </c>
    </row>
    <row r="8546" spans="1:2">
      <c r="A8546" s="66">
        <v>46071.745302696756</v>
      </c>
      <c r="B8546" s="49" t="s">
        <v>10561</v>
      </c>
    </row>
    <row r="8547" spans="1:2">
      <c r="A8547" s="66">
        <v>46071.745305810182</v>
      </c>
      <c r="B8547" s="49" t="s">
        <v>10562</v>
      </c>
    </row>
    <row r="8548" spans="1:2">
      <c r="A8548" s="66">
        <v>46071.745308831014</v>
      </c>
      <c r="B8548" s="49" t="s">
        <v>10563</v>
      </c>
    </row>
    <row r="8549" spans="1:2">
      <c r="A8549" s="66">
        <v>46071.745337824075</v>
      </c>
      <c r="B8549" s="49" t="s">
        <v>10564</v>
      </c>
    </row>
    <row r="8550" spans="1:2">
      <c r="A8550" s="66">
        <v>46071.745341111113</v>
      </c>
      <c r="B8550" s="49" t="s">
        <v>10542</v>
      </c>
    </row>
    <row r="8551" spans="1:2">
      <c r="A8551" s="66">
        <v>46071.745344189811</v>
      </c>
      <c r="B8551" s="49" t="s">
        <v>10543</v>
      </c>
    </row>
    <row r="8552" spans="1:2">
      <c r="A8552" s="66">
        <v>46071.745347280092</v>
      </c>
      <c r="B8552" s="49" t="s">
        <v>9394</v>
      </c>
    </row>
    <row r="8553" spans="1:2">
      <c r="A8553" s="66">
        <v>46071.746525416667</v>
      </c>
      <c r="B8553" s="49" t="s">
        <v>10556</v>
      </c>
    </row>
    <row r="8554" spans="1:2">
      <c r="A8554" s="66">
        <v>46071.746527962961</v>
      </c>
      <c r="B8554" s="49" t="s">
        <v>10557</v>
      </c>
    </row>
    <row r="8555" spans="1:2">
      <c r="A8555" s="66">
        <v>46071.746530532408</v>
      </c>
      <c r="B8555" s="49" t="s">
        <v>10546</v>
      </c>
    </row>
    <row r="8556" spans="1:2">
      <c r="A8556" s="66">
        <v>46071.746532939811</v>
      </c>
      <c r="B8556" s="49" t="s">
        <v>10466</v>
      </c>
    </row>
    <row r="8557" spans="1:2">
      <c r="A8557" s="66">
        <v>46071.746535127313</v>
      </c>
      <c r="B8557" s="49" t="s">
        <v>10561</v>
      </c>
    </row>
    <row r="8558" spans="1:2">
      <c r="A8558" s="66">
        <v>46071.746537662038</v>
      </c>
      <c r="B8558" s="49" t="s">
        <v>10562</v>
      </c>
    </row>
    <row r="8559" spans="1:2">
      <c r="A8559" s="66">
        <v>46071.746540208333</v>
      </c>
      <c r="B8559" s="49" t="s">
        <v>10563</v>
      </c>
    </row>
    <row r="8560" spans="1:2">
      <c r="A8560" s="66">
        <v>46071.746562881948</v>
      </c>
      <c r="B8560" s="49" t="s">
        <v>10564</v>
      </c>
    </row>
    <row r="8561" spans="1:2">
      <c r="A8561" s="66">
        <v>46071.746566134258</v>
      </c>
      <c r="B8561" s="49" t="s">
        <v>10542</v>
      </c>
    </row>
    <row r="8562" spans="1:2">
      <c r="A8562" s="66">
        <v>46071.746571076394</v>
      </c>
      <c r="B8562" s="49" t="s">
        <v>10543</v>
      </c>
    </row>
    <row r="8563" spans="1:2">
      <c r="A8563" s="66">
        <v>46071.746573298617</v>
      </c>
      <c r="B8563" s="49" t="s">
        <v>9394</v>
      </c>
    </row>
    <row r="8564" spans="1:2">
      <c r="A8564" s="66">
        <v>46071.748001712964</v>
      </c>
      <c r="B8564" s="49" t="s">
        <v>10556</v>
      </c>
    </row>
    <row r="8565" spans="1:2">
      <c r="A8565" s="66">
        <v>46071.748003946763</v>
      </c>
      <c r="B8565" s="49" t="s">
        <v>10557</v>
      </c>
    </row>
    <row r="8566" spans="1:2">
      <c r="A8566" s="66">
        <v>46071.748008182869</v>
      </c>
      <c r="B8566" s="49" t="s">
        <v>10546</v>
      </c>
    </row>
    <row r="8567" spans="1:2">
      <c r="A8567" s="66">
        <v>46071.748010405092</v>
      </c>
      <c r="B8567" s="49" t="s">
        <v>10466</v>
      </c>
    </row>
    <row r="8568" spans="1:2">
      <c r="A8568" s="66">
        <v>46071.748012615746</v>
      </c>
      <c r="B8568" s="49" t="s">
        <v>10561</v>
      </c>
    </row>
    <row r="8569" spans="1:2">
      <c r="A8569" s="66">
        <v>46071.748014687502</v>
      </c>
      <c r="B8569" s="49" t="s">
        <v>10562</v>
      </c>
    </row>
    <row r="8570" spans="1:2">
      <c r="A8570" s="66">
        <v>46071.748018032406</v>
      </c>
      <c r="B8570" s="49" t="s">
        <v>10563</v>
      </c>
    </row>
    <row r="8571" spans="1:2">
      <c r="A8571" s="66">
        <v>46071.748035648146</v>
      </c>
      <c r="B8571" s="49" t="s">
        <v>10564</v>
      </c>
    </row>
    <row r="8572" spans="1:2">
      <c r="A8572" s="66">
        <v>46071.748038587961</v>
      </c>
      <c r="B8572" s="49" t="s">
        <v>10542</v>
      </c>
    </row>
    <row r="8573" spans="1:2">
      <c r="A8573" s="66">
        <v>46071.748041122686</v>
      </c>
      <c r="B8573" s="49" t="s">
        <v>10543</v>
      </c>
    </row>
    <row r="8574" spans="1:2">
      <c r="A8574" s="66">
        <v>46071.748045983797</v>
      </c>
      <c r="B8574" s="49" t="s">
        <v>9394</v>
      </c>
    </row>
    <row r="8575" spans="1:2">
      <c r="A8575" s="66">
        <v>46071.749145439811</v>
      </c>
      <c r="B8575" s="49" t="s">
        <v>10556</v>
      </c>
    </row>
    <row r="8576" spans="1:2">
      <c r="A8576" s="66">
        <v>46071.749147361115</v>
      </c>
      <c r="B8576" s="49" t="s">
        <v>10557</v>
      </c>
    </row>
    <row r="8577" spans="1:2">
      <c r="A8577" s="66">
        <v>46071.749149340278</v>
      </c>
      <c r="B8577" s="49" t="s">
        <v>10546</v>
      </c>
    </row>
    <row r="8578" spans="1:2">
      <c r="A8578" s="66">
        <v>46071.749151203709</v>
      </c>
      <c r="B8578" s="49" t="s">
        <v>10466</v>
      </c>
    </row>
    <row r="8579" spans="1:2">
      <c r="A8579" s="66">
        <v>46071.749169143513</v>
      </c>
      <c r="B8579" s="49" t="s">
        <v>10561</v>
      </c>
    </row>
    <row r="8580" spans="1:2">
      <c r="A8580" s="66">
        <v>46071.749171238422</v>
      </c>
      <c r="B8580" s="49" t="s">
        <v>10562</v>
      </c>
    </row>
    <row r="8581" spans="1:2">
      <c r="A8581" s="66">
        <v>46071.749173159726</v>
      </c>
      <c r="B8581" s="49" t="s">
        <v>10563</v>
      </c>
    </row>
    <row r="8582" spans="1:2">
      <c r="A8582" s="66">
        <v>46071.749190509261</v>
      </c>
      <c r="B8582" s="49" t="s">
        <v>10564</v>
      </c>
    </row>
    <row r="8583" spans="1:2">
      <c r="A8583" s="66">
        <v>46071.749193391202</v>
      </c>
      <c r="B8583" s="49" t="s">
        <v>10542</v>
      </c>
    </row>
    <row r="8584" spans="1:2">
      <c r="A8584" s="66">
        <v>46071.749194988428</v>
      </c>
      <c r="B8584" s="49" t="s">
        <v>10543</v>
      </c>
    </row>
    <row r="8585" spans="1:2">
      <c r="A8585" s="66">
        <v>46071.749197268524</v>
      </c>
      <c r="B8585" s="49" t="s">
        <v>9394</v>
      </c>
    </row>
    <row r="8586" spans="1:2">
      <c r="A8586" s="66">
        <v>46071.750145405094</v>
      </c>
      <c r="B8586" s="49" t="s">
        <v>10556</v>
      </c>
    </row>
    <row r="8587" spans="1:2">
      <c r="A8587" s="66">
        <v>46071.750147812505</v>
      </c>
      <c r="B8587" s="49" t="s">
        <v>10557</v>
      </c>
    </row>
    <row r="8588" spans="1:2">
      <c r="A8588" s="66">
        <v>46071.750154317131</v>
      </c>
      <c r="B8588" s="49" t="s">
        <v>10546</v>
      </c>
    </row>
    <row r="8589" spans="1:2">
      <c r="A8589" s="66">
        <v>46071.750156736111</v>
      </c>
      <c r="B8589" s="49" t="s">
        <v>10466</v>
      </c>
    </row>
    <row r="8590" spans="1:2">
      <c r="A8590" s="66">
        <v>46071.750158923613</v>
      </c>
      <c r="B8590" s="49" t="s">
        <v>10561</v>
      </c>
    </row>
    <row r="8591" spans="1:2">
      <c r="A8591" s="66">
        <v>46071.750161122683</v>
      </c>
      <c r="B8591" s="49" t="s">
        <v>10562</v>
      </c>
    </row>
    <row r="8592" spans="1:2">
      <c r="A8592" s="66">
        <v>46071.750163518518</v>
      </c>
      <c r="B8592" s="49" t="s">
        <v>10563</v>
      </c>
    </row>
    <row r="8593" spans="1:2">
      <c r="A8593" s="66">
        <v>46071.750185752317</v>
      </c>
      <c r="B8593" s="49" t="s">
        <v>10564</v>
      </c>
    </row>
    <row r="8594" spans="1:2">
      <c r="A8594" s="66">
        <v>46071.75018880787</v>
      </c>
      <c r="B8594" s="49" t="s">
        <v>10542</v>
      </c>
    </row>
    <row r="8595" spans="1:2">
      <c r="A8595" s="66">
        <v>46071.750191203704</v>
      </c>
      <c r="B8595" s="49" t="s">
        <v>10543</v>
      </c>
    </row>
    <row r="8596" spans="1:2">
      <c r="A8596" s="66">
        <v>46071.750222048606</v>
      </c>
      <c r="B8596" s="49" t="s">
        <v>9394</v>
      </c>
    </row>
    <row r="8597" spans="1:2">
      <c r="A8597" s="66">
        <v>46071.751622881944</v>
      </c>
      <c r="B8597" s="49" t="s">
        <v>10556</v>
      </c>
    </row>
    <row r="8598" spans="1:2">
      <c r="A8598" s="66">
        <v>46071.751625289355</v>
      </c>
      <c r="B8598" s="49" t="s">
        <v>10557</v>
      </c>
    </row>
    <row r="8599" spans="1:2">
      <c r="A8599" s="66">
        <v>46071.751629907405</v>
      </c>
      <c r="B8599" s="49" t="s">
        <v>10546</v>
      </c>
    </row>
    <row r="8600" spans="1:2">
      <c r="A8600" s="66">
        <v>46071.75163230324</v>
      </c>
      <c r="B8600" s="49" t="s">
        <v>10466</v>
      </c>
    </row>
    <row r="8601" spans="1:2">
      <c r="A8601" s="66">
        <v>46071.751634675922</v>
      </c>
      <c r="B8601" s="49" t="s">
        <v>10561</v>
      </c>
    </row>
    <row r="8602" spans="1:2">
      <c r="A8602" s="66">
        <v>46071.751648414356</v>
      </c>
      <c r="B8602" s="49" t="s">
        <v>10562</v>
      </c>
    </row>
    <row r="8603" spans="1:2">
      <c r="A8603" s="66">
        <v>46071.751650937498</v>
      </c>
      <c r="B8603" s="49" t="s">
        <v>10563</v>
      </c>
    </row>
    <row r="8604" spans="1:2">
      <c r="A8604" s="66">
        <v>46071.751673796301</v>
      </c>
      <c r="B8604" s="49" t="s">
        <v>10564</v>
      </c>
    </row>
    <row r="8605" spans="1:2">
      <c r="A8605" s="66">
        <v>46071.751714189813</v>
      </c>
      <c r="B8605" s="49" t="s">
        <v>10542</v>
      </c>
    </row>
    <row r="8606" spans="1:2">
      <c r="A8606" s="66">
        <v>46071.751717685183</v>
      </c>
      <c r="B8606" s="49" t="s">
        <v>10543</v>
      </c>
    </row>
    <row r="8607" spans="1:2">
      <c r="A8607" s="66">
        <v>46071.751720601853</v>
      </c>
      <c r="B8607" s="49" t="s">
        <v>9394</v>
      </c>
    </row>
    <row r="8608" spans="1:2">
      <c r="A8608" s="66">
        <v>46071.752733020832</v>
      </c>
      <c r="B8608" s="49" t="s">
        <v>10556</v>
      </c>
    </row>
    <row r="8609" spans="1:2">
      <c r="A8609" s="66">
        <v>46071.752736736111</v>
      </c>
      <c r="B8609" s="49" t="s">
        <v>10557</v>
      </c>
    </row>
    <row r="8610" spans="1:2">
      <c r="A8610" s="66">
        <v>46071.752739965275</v>
      </c>
      <c r="B8610" s="49" t="s">
        <v>10546</v>
      </c>
    </row>
    <row r="8611" spans="1:2">
      <c r="A8611" s="66">
        <v>46071.752743217592</v>
      </c>
      <c r="B8611" s="49" t="s">
        <v>10466</v>
      </c>
    </row>
    <row r="8612" spans="1:2">
      <c r="A8612" s="66">
        <v>46071.752748333332</v>
      </c>
      <c r="B8612" s="49" t="s">
        <v>10561</v>
      </c>
    </row>
    <row r="8613" spans="1:2">
      <c r="A8613" s="66">
        <v>46071.752763472221</v>
      </c>
      <c r="B8613" s="49" t="s">
        <v>10562</v>
      </c>
    </row>
    <row r="8614" spans="1:2">
      <c r="A8614" s="66">
        <v>46071.752766782403</v>
      </c>
      <c r="B8614" s="49" t="s">
        <v>10563</v>
      </c>
    </row>
    <row r="8615" spans="1:2">
      <c r="A8615" s="66">
        <v>46071.752795277775</v>
      </c>
      <c r="B8615" s="49" t="s">
        <v>10564</v>
      </c>
    </row>
    <row r="8616" spans="1:2">
      <c r="A8616" s="66">
        <v>46071.752800196758</v>
      </c>
      <c r="B8616" s="49" t="s">
        <v>10542</v>
      </c>
    </row>
    <row r="8617" spans="1:2">
      <c r="A8617" s="66">
        <v>46071.752803888885</v>
      </c>
      <c r="B8617" s="49" t="s">
        <v>10543</v>
      </c>
    </row>
    <row r="8618" spans="1:2">
      <c r="A8618" s="66">
        <v>46071.752807534722</v>
      </c>
      <c r="B8618" s="49" t="s">
        <v>9394</v>
      </c>
    </row>
    <row r="8619" spans="1:2">
      <c r="A8619" s="66">
        <v>46071.75421944444</v>
      </c>
      <c r="B8619" s="49" t="s">
        <v>10556</v>
      </c>
    </row>
    <row r="8620" spans="1:2">
      <c r="A8620" s="66">
        <v>46071.754232893523</v>
      </c>
      <c r="B8620" s="49" t="s">
        <v>10557</v>
      </c>
    </row>
    <row r="8621" spans="1:2">
      <c r="A8621" s="66">
        <v>46071.754235451386</v>
      </c>
      <c r="B8621" s="49" t="s">
        <v>10546</v>
      </c>
    </row>
    <row r="8622" spans="1:2">
      <c r="A8622" s="66">
        <v>46071.754237800924</v>
      </c>
      <c r="B8622" s="49" t="s">
        <v>10466</v>
      </c>
    </row>
    <row r="8623" spans="1:2">
      <c r="A8623" s="66">
        <v>46071.754240567127</v>
      </c>
      <c r="B8623" s="49" t="s">
        <v>10561</v>
      </c>
    </row>
    <row r="8624" spans="1:2">
      <c r="A8624" s="66">
        <v>46071.754242974537</v>
      </c>
      <c r="B8624" s="49" t="s">
        <v>10562</v>
      </c>
    </row>
    <row r="8625" spans="1:2">
      <c r="A8625" s="66">
        <v>46071.754247164354</v>
      </c>
      <c r="B8625" s="49" t="s">
        <v>10563</v>
      </c>
    </row>
    <row r="8626" spans="1:2">
      <c r="A8626" s="66">
        <v>46071.754270243051</v>
      </c>
      <c r="B8626" s="49" t="s">
        <v>10564</v>
      </c>
    </row>
    <row r="8627" spans="1:2">
      <c r="A8627" s="66">
        <v>46071.754273240746</v>
      </c>
      <c r="B8627" s="49" t="s">
        <v>10542</v>
      </c>
    </row>
    <row r="8628" spans="1:2">
      <c r="A8628" s="66">
        <v>46071.754276319443</v>
      </c>
      <c r="B8628" s="49" t="s">
        <v>10543</v>
      </c>
    </row>
    <row r="8629" spans="1:2">
      <c r="A8629" s="66">
        <v>46071.754280451394</v>
      </c>
      <c r="B8629" s="49" t="s">
        <v>9394</v>
      </c>
    </row>
    <row r="8630" spans="1:2">
      <c r="A8630" s="66">
        <v>46071.755473495374</v>
      </c>
      <c r="B8630" s="49" t="s">
        <v>10556</v>
      </c>
    </row>
    <row r="8631" spans="1:2">
      <c r="A8631" s="66">
        <v>46071.755475972226</v>
      </c>
      <c r="B8631" s="49" t="s">
        <v>10557</v>
      </c>
    </row>
    <row r="8632" spans="1:2">
      <c r="A8632" s="66">
        <v>46071.755478148145</v>
      </c>
      <c r="B8632" s="49" t="s">
        <v>10546</v>
      </c>
    </row>
    <row r="8633" spans="1:2">
      <c r="A8633" s="66">
        <v>46071.755480046297</v>
      </c>
      <c r="B8633" s="49" t="s">
        <v>10466</v>
      </c>
    </row>
    <row r="8634" spans="1:2">
      <c r="A8634" s="66">
        <v>46071.75548206018</v>
      </c>
      <c r="B8634" s="49" t="s">
        <v>10561</v>
      </c>
    </row>
    <row r="8635" spans="1:2">
      <c r="A8635" s="66">
        <v>46071.755483981484</v>
      </c>
      <c r="B8635" s="49" t="s">
        <v>10562</v>
      </c>
    </row>
    <row r="8636" spans="1:2">
      <c r="A8636" s="66">
        <v>46071.755486018519</v>
      </c>
      <c r="B8636" s="49" t="s">
        <v>10563</v>
      </c>
    </row>
    <row r="8637" spans="1:2">
      <c r="A8637" s="66">
        <v>46071.75550363426</v>
      </c>
      <c r="B8637" s="49" t="s">
        <v>10564</v>
      </c>
    </row>
    <row r="8638" spans="1:2">
      <c r="A8638" s="66">
        <v>46071.755513240743</v>
      </c>
      <c r="B8638" s="49" t="s">
        <v>10542</v>
      </c>
    </row>
    <row r="8639" spans="1:2">
      <c r="A8639" s="66">
        <v>46071.755515324076</v>
      </c>
      <c r="B8639" s="49" t="s">
        <v>10543</v>
      </c>
    </row>
    <row r="8640" spans="1:2">
      <c r="A8640" s="66">
        <v>46071.755517557875</v>
      </c>
      <c r="B8640" s="49" t="s">
        <v>9394</v>
      </c>
    </row>
    <row r="8641" spans="1:2">
      <c r="A8641" s="66">
        <v>46071.756439131947</v>
      </c>
      <c r="B8641" s="49" t="s">
        <v>10556</v>
      </c>
    </row>
    <row r="8642" spans="1:2">
      <c r="A8642" s="66">
        <v>46071.756441446763</v>
      </c>
      <c r="B8642" s="49" t="s">
        <v>10557</v>
      </c>
    </row>
    <row r="8643" spans="1:2">
      <c r="A8643" s="66">
        <v>46071.756443749997</v>
      </c>
      <c r="B8643" s="49" t="s">
        <v>10546</v>
      </c>
    </row>
    <row r="8644" spans="1:2">
      <c r="A8644" s="66">
        <v>46071.75644607639</v>
      </c>
      <c r="B8644" s="49" t="s">
        <v>10466</v>
      </c>
    </row>
    <row r="8645" spans="1:2">
      <c r="A8645" s="66">
        <v>46071.756448599539</v>
      </c>
      <c r="B8645" s="49" t="s">
        <v>10561</v>
      </c>
    </row>
    <row r="8646" spans="1:2">
      <c r="A8646" s="66">
        <v>46071.756450949077</v>
      </c>
      <c r="B8646" s="49" t="s">
        <v>10562</v>
      </c>
    </row>
    <row r="8647" spans="1:2">
      <c r="A8647" s="66">
        <v>46071.756453182868</v>
      </c>
      <c r="B8647" s="49" t="s">
        <v>10563</v>
      </c>
    </row>
    <row r="8648" spans="1:2">
      <c r="A8648" s="66">
        <v>46071.756471747685</v>
      </c>
      <c r="B8648" s="49" t="s">
        <v>10564</v>
      </c>
    </row>
    <row r="8649" spans="1:2">
      <c r="A8649" s="66">
        <v>46071.756475358794</v>
      </c>
      <c r="B8649" s="49" t="s">
        <v>10542</v>
      </c>
    </row>
    <row r="8650" spans="1:2">
      <c r="A8650" s="66">
        <v>46071.756477824078</v>
      </c>
      <c r="B8650" s="49" t="s">
        <v>10543</v>
      </c>
    </row>
    <row r="8651" spans="1:2">
      <c r="A8651" s="66">
        <v>46071.756480173615</v>
      </c>
      <c r="B8651" s="49" t="s">
        <v>9394</v>
      </c>
    </row>
    <row r="8652" spans="1:2">
      <c r="A8652" s="66">
        <v>46071.757438969908</v>
      </c>
      <c r="B8652" s="49" t="s">
        <v>10556</v>
      </c>
    </row>
    <row r="8653" spans="1:2">
      <c r="A8653" s="66">
        <v>46071.757440648144</v>
      </c>
      <c r="B8653" s="49" t="s">
        <v>10557</v>
      </c>
    </row>
    <row r="8654" spans="1:2">
      <c r="A8654" s="66">
        <v>46071.757450196761</v>
      </c>
      <c r="B8654" s="49" t="s">
        <v>10546</v>
      </c>
    </row>
    <row r="8655" spans="1:2">
      <c r="A8655" s="66">
        <v>46071.757451805555</v>
      </c>
      <c r="B8655" s="49" t="s">
        <v>10466</v>
      </c>
    </row>
    <row r="8656" spans="1:2">
      <c r="A8656" s="66">
        <v>46071.75745344907</v>
      </c>
      <c r="B8656" s="49" t="s">
        <v>10561</v>
      </c>
    </row>
    <row r="8657" spans="1:2">
      <c r="A8657" s="66">
        <v>46071.757455081017</v>
      </c>
      <c r="B8657" s="49" t="s">
        <v>10562</v>
      </c>
    </row>
    <row r="8658" spans="1:2">
      <c r="A8658" s="66">
        <v>46071.757456701387</v>
      </c>
      <c r="B8658" s="49" t="s">
        <v>10563</v>
      </c>
    </row>
    <row r="8659" spans="1:2">
      <c r="A8659" s="66">
        <v>46071.757482476853</v>
      </c>
      <c r="B8659" s="49" t="s">
        <v>10564</v>
      </c>
    </row>
    <row r="8660" spans="1:2">
      <c r="A8660" s="66">
        <v>46071.757485543982</v>
      </c>
      <c r="B8660" s="49" t="s">
        <v>10542</v>
      </c>
    </row>
    <row r="8661" spans="1:2">
      <c r="A8661" s="66">
        <v>46071.757487685187</v>
      </c>
      <c r="B8661" s="49" t="s">
        <v>10543</v>
      </c>
    </row>
    <row r="8662" spans="1:2">
      <c r="A8662" s="66">
        <v>46071.757489374999</v>
      </c>
      <c r="B8662" s="49" t="s">
        <v>9394</v>
      </c>
    </row>
    <row r="8663" spans="1:2">
      <c r="A8663" s="66">
        <v>46071.75874049768</v>
      </c>
      <c r="B8663" s="49" t="s">
        <v>10556</v>
      </c>
    </row>
    <row r="8664" spans="1:2">
      <c r="A8664" s="66">
        <v>46071.758743298611</v>
      </c>
      <c r="B8664" s="49" t="s">
        <v>10557</v>
      </c>
    </row>
    <row r="8665" spans="1:2">
      <c r="A8665" s="66">
        <v>46071.758745925923</v>
      </c>
      <c r="B8665" s="49" t="s">
        <v>10546</v>
      </c>
    </row>
    <row r="8666" spans="1:2">
      <c r="A8666" s="66">
        <v>46071.758748506945</v>
      </c>
      <c r="B8666" s="49" t="s">
        <v>10466</v>
      </c>
    </row>
    <row r="8667" spans="1:2">
      <c r="A8667" s="66">
        <v>46071.758751215282</v>
      </c>
      <c r="B8667" s="49" t="s">
        <v>10561</v>
      </c>
    </row>
    <row r="8668" spans="1:2">
      <c r="A8668" s="66">
        <v>46071.758753842594</v>
      </c>
      <c r="B8668" s="49" t="s">
        <v>10562</v>
      </c>
    </row>
    <row r="8669" spans="1:2">
      <c r="A8669" s="66">
        <v>46071.758756701391</v>
      </c>
      <c r="B8669" s="49" t="s">
        <v>10563</v>
      </c>
    </row>
    <row r="8670" spans="1:2">
      <c r="A8670" s="66">
        <v>46071.758783182871</v>
      </c>
      <c r="B8670" s="49" t="s">
        <v>10564</v>
      </c>
    </row>
    <row r="8671" spans="1:2">
      <c r="A8671" s="66">
        <v>46071.758786585648</v>
      </c>
      <c r="B8671" s="49" t="s">
        <v>10542</v>
      </c>
    </row>
    <row r="8672" spans="1:2">
      <c r="A8672" s="66">
        <v>46071.758789652777</v>
      </c>
      <c r="B8672" s="49" t="s">
        <v>10543</v>
      </c>
    </row>
    <row r="8673" spans="1:2">
      <c r="A8673" s="66">
        <v>46071.758793958332</v>
      </c>
      <c r="B8673" s="49" t="s">
        <v>9394</v>
      </c>
    </row>
    <row r="8674" spans="1:2">
      <c r="A8674" s="66">
        <v>46071.75968722222</v>
      </c>
      <c r="B8674" s="49" t="s">
        <v>10556</v>
      </c>
    </row>
    <row r="8675" spans="1:2">
      <c r="A8675" s="66">
        <v>46071.759690208331</v>
      </c>
      <c r="B8675" s="49" t="s">
        <v>10557</v>
      </c>
    </row>
    <row r="8676" spans="1:2">
      <c r="A8676" s="66">
        <v>46071.759692766209</v>
      </c>
      <c r="B8676" s="49" t="s">
        <v>10546</v>
      </c>
    </row>
    <row r="8677" spans="1:2">
      <c r="A8677" s="66">
        <v>46071.759695312503</v>
      </c>
      <c r="B8677" s="49" t="s">
        <v>10466</v>
      </c>
    </row>
    <row r="8678" spans="1:2">
      <c r="A8678" s="66">
        <v>46071.759698298614</v>
      </c>
      <c r="B8678" s="49" t="s">
        <v>10561</v>
      </c>
    </row>
    <row r="8679" spans="1:2">
      <c r="A8679" s="66">
        <v>46071.759701493051</v>
      </c>
      <c r="B8679" s="49" t="s">
        <v>10562</v>
      </c>
    </row>
    <row r="8680" spans="1:2">
      <c r="A8680" s="66">
        <v>46071.759704236116</v>
      </c>
      <c r="B8680" s="49" t="s">
        <v>10563</v>
      </c>
    </row>
    <row r="8681" spans="1:2">
      <c r="A8681" s="66">
        <v>46071.759727442128</v>
      </c>
      <c r="B8681" s="49" t="s">
        <v>10564</v>
      </c>
    </row>
    <row r="8682" spans="1:2">
      <c r="A8682" s="66">
        <v>46071.759731192127</v>
      </c>
      <c r="B8682" s="49" t="s">
        <v>10542</v>
      </c>
    </row>
    <row r="8683" spans="1:2">
      <c r="A8683" s="66">
        <v>46071.759734641208</v>
      </c>
      <c r="B8683" s="49" t="s">
        <v>10543</v>
      </c>
    </row>
    <row r="8684" spans="1:2">
      <c r="A8684" s="66">
        <v>46071.759737673608</v>
      </c>
      <c r="B8684" s="49" t="s">
        <v>9394</v>
      </c>
    </row>
    <row r="8685" spans="1:2">
      <c r="A8685" s="66">
        <v>46071.761177106484</v>
      </c>
      <c r="B8685" s="49" t="s">
        <v>10556</v>
      </c>
    </row>
    <row r="8686" spans="1:2">
      <c r="A8686" s="66">
        <v>46071.761179791662</v>
      </c>
      <c r="B8686" s="49" t="s">
        <v>10557</v>
      </c>
    </row>
    <row r="8687" spans="1:2">
      <c r="A8687" s="66">
        <v>46071.761182025468</v>
      </c>
      <c r="B8687" s="49" t="s">
        <v>10546</v>
      </c>
    </row>
    <row r="8688" spans="1:2">
      <c r="A8688" s="66">
        <v>46071.761188657409</v>
      </c>
      <c r="B8688" s="49" t="s">
        <v>10466</v>
      </c>
    </row>
    <row r="8689" spans="1:2">
      <c r="A8689" s="66">
        <v>46071.761190983801</v>
      </c>
      <c r="B8689" s="49" t="s">
        <v>10561</v>
      </c>
    </row>
    <row r="8690" spans="1:2">
      <c r="A8690" s="66">
        <v>46071.761193530096</v>
      </c>
      <c r="B8690" s="49" t="s">
        <v>10562</v>
      </c>
    </row>
    <row r="8691" spans="1:2">
      <c r="A8691" s="66">
        <v>46071.761202662034</v>
      </c>
      <c r="B8691" s="49" t="s">
        <v>10563</v>
      </c>
    </row>
    <row r="8692" spans="1:2">
      <c r="A8692" s="66">
        <v>46071.761221273147</v>
      </c>
      <c r="B8692" s="49" t="s">
        <v>10564</v>
      </c>
    </row>
    <row r="8693" spans="1:2">
      <c r="A8693" s="66">
        <v>46071.761224618051</v>
      </c>
      <c r="B8693" s="49" t="s">
        <v>10542</v>
      </c>
    </row>
    <row r="8694" spans="1:2">
      <c r="A8694" s="66">
        <v>46071.761227071758</v>
      </c>
      <c r="B8694" s="49" t="s">
        <v>10543</v>
      </c>
    </row>
    <row r="8695" spans="1:2">
      <c r="A8695" s="66">
        <v>46071.761229351847</v>
      </c>
      <c r="B8695" s="49" t="s">
        <v>9394</v>
      </c>
    </row>
    <row r="8696" spans="1:2">
      <c r="A8696" s="66">
        <v>46071.762528935185</v>
      </c>
      <c r="B8696" s="49" t="s">
        <v>10556</v>
      </c>
    </row>
    <row r="8697" spans="1:2">
      <c r="A8697" s="66">
        <v>46071.762532141205</v>
      </c>
      <c r="B8697" s="49" t="s">
        <v>10557</v>
      </c>
    </row>
    <row r="8698" spans="1:2">
      <c r="A8698" s="66">
        <v>46071.762535358794</v>
      </c>
      <c r="B8698" s="49" t="s">
        <v>10546</v>
      </c>
    </row>
    <row r="8699" spans="1:2">
      <c r="A8699" s="66">
        <v>46071.762538460651</v>
      </c>
      <c r="B8699" s="49" t="s">
        <v>10466</v>
      </c>
    </row>
    <row r="8700" spans="1:2">
      <c r="A8700" s="66">
        <v>46071.762541944445</v>
      </c>
      <c r="B8700" s="49" t="s">
        <v>10561</v>
      </c>
    </row>
    <row r="8701" spans="1:2">
      <c r="A8701" s="66">
        <v>46071.762544907411</v>
      </c>
      <c r="B8701" s="49" t="s">
        <v>10562</v>
      </c>
    </row>
    <row r="8702" spans="1:2">
      <c r="A8702" s="66">
        <v>46071.762565671292</v>
      </c>
      <c r="B8702" s="49" t="s">
        <v>10563</v>
      </c>
    </row>
    <row r="8703" spans="1:2">
      <c r="A8703" s="66">
        <v>46071.762604768519</v>
      </c>
      <c r="B8703" s="49" t="s">
        <v>10564</v>
      </c>
    </row>
    <row r="8704" spans="1:2">
      <c r="A8704" s="66">
        <v>46071.762614768522</v>
      </c>
      <c r="B8704" s="49" t="s">
        <v>10542</v>
      </c>
    </row>
    <row r="8705" spans="1:2">
      <c r="A8705" s="66">
        <v>46071.762618159722</v>
      </c>
      <c r="B8705" s="49" t="s">
        <v>10543</v>
      </c>
    </row>
    <row r="8706" spans="1:2">
      <c r="A8706" s="66">
        <v>46071.762625590272</v>
      </c>
      <c r="B8706" s="49" t="s">
        <v>9394</v>
      </c>
    </row>
    <row r="8707" spans="1:2">
      <c r="A8707" s="66">
        <v>46071.763372326386</v>
      </c>
      <c r="B8707" s="49" t="s">
        <v>10556</v>
      </c>
    </row>
    <row r="8708" spans="1:2">
      <c r="A8708" s="66">
        <v>46071.763374999995</v>
      </c>
      <c r="B8708" s="49" t="s">
        <v>10557</v>
      </c>
    </row>
    <row r="8709" spans="1:2">
      <c r="A8709" s="66">
        <v>46071.763377511576</v>
      </c>
      <c r="B8709" s="49" t="s">
        <v>10546</v>
      </c>
    </row>
    <row r="8710" spans="1:2">
      <c r="A8710" s="66">
        <v>46071.763380081014</v>
      </c>
      <c r="B8710" s="49" t="s">
        <v>10466</v>
      </c>
    </row>
    <row r="8711" spans="1:2">
      <c r="A8711" s="66">
        <v>46071.763394374997</v>
      </c>
      <c r="B8711" s="49" t="s">
        <v>10561</v>
      </c>
    </row>
    <row r="8712" spans="1:2">
      <c r="A8712" s="66">
        <v>46071.763399837961</v>
      </c>
      <c r="B8712" s="49" t="s">
        <v>10562</v>
      </c>
    </row>
    <row r="8713" spans="1:2">
      <c r="A8713" s="66">
        <v>46071.763402407407</v>
      </c>
      <c r="B8713" s="49" t="s">
        <v>10563</v>
      </c>
    </row>
    <row r="8714" spans="1:2">
      <c r="A8714" s="66">
        <v>46071.763423680561</v>
      </c>
      <c r="B8714" s="49" t="s">
        <v>10564</v>
      </c>
    </row>
    <row r="8715" spans="1:2">
      <c r="A8715" s="66">
        <v>46071.763432407402</v>
      </c>
      <c r="B8715" s="49" t="s">
        <v>10542</v>
      </c>
    </row>
    <row r="8716" spans="1:2">
      <c r="A8716" s="66">
        <v>46071.76343554398</v>
      </c>
      <c r="B8716" s="49" t="s">
        <v>10543</v>
      </c>
    </row>
    <row r="8717" spans="1:2">
      <c r="A8717" s="66">
        <v>46071.76343900463</v>
      </c>
      <c r="B8717" s="49" t="s">
        <v>9394</v>
      </c>
    </row>
    <row r="8718" spans="1:2">
      <c r="A8718" s="66">
        <v>46071.764404745365</v>
      </c>
      <c r="B8718" s="49" t="s">
        <v>10556</v>
      </c>
    </row>
    <row r="8719" spans="1:2">
      <c r="A8719" s="66">
        <v>46071.764407418981</v>
      </c>
      <c r="B8719" s="49" t="s">
        <v>10557</v>
      </c>
    </row>
    <row r="8720" spans="1:2">
      <c r="A8720" s="66">
        <v>46071.764410092597</v>
      </c>
      <c r="B8720" s="49" t="s">
        <v>10546</v>
      </c>
    </row>
    <row r="8721" spans="1:2">
      <c r="A8721" s="66">
        <v>46071.764412881945</v>
      </c>
      <c r="B8721" s="49" t="s">
        <v>10466</v>
      </c>
    </row>
    <row r="8722" spans="1:2">
      <c r="A8722" s="66">
        <v>46071.764415682876</v>
      </c>
      <c r="B8722" s="49" t="s">
        <v>10561</v>
      </c>
    </row>
    <row r="8723" spans="1:2">
      <c r="A8723" s="66">
        <v>46071.764418379629</v>
      </c>
      <c r="B8723" s="49" t="s">
        <v>10562</v>
      </c>
    </row>
    <row r="8724" spans="1:2">
      <c r="A8724" s="66">
        <v>46071.764420833337</v>
      </c>
      <c r="B8724" s="49" t="s">
        <v>10563</v>
      </c>
    </row>
    <row r="8725" spans="1:2">
      <c r="A8725" s="66">
        <v>46071.764446585643</v>
      </c>
      <c r="B8725" s="49" t="s">
        <v>10564</v>
      </c>
    </row>
    <row r="8726" spans="1:2">
      <c r="A8726" s="66">
        <v>46071.764449560185</v>
      </c>
      <c r="B8726" s="49" t="s">
        <v>10542</v>
      </c>
    </row>
    <row r="8727" spans="1:2">
      <c r="A8727" s="66">
        <v>46071.764452152776</v>
      </c>
      <c r="B8727" s="49" t="s">
        <v>10543</v>
      </c>
    </row>
    <row r="8728" spans="1:2">
      <c r="A8728" s="66">
        <v>46071.764454861113</v>
      </c>
      <c r="B8728" s="49" t="s">
        <v>9394</v>
      </c>
    </row>
    <row r="8729" spans="1:2">
      <c r="A8729" s="66">
        <v>46071.765592314812</v>
      </c>
      <c r="B8729" s="49" t="s">
        <v>10556</v>
      </c>
    </row>
    <row r="8730" spans="1:2">
      <c r="A8730" s="66">
        <v>46071.765605775465</v>
      </c>
      <c r="B8730" s="49" t="s">
        <v>10557</v>
      </c>
    </row>
    <row r="8731" spans="1:2">
      <c r="A8731" s="66">
        <v>46071.765608530091</v>
      </c>
      <c r="B8731" s="49" t="s">
        <v>10546</v>
      </c>
    </row>
    <row r="8732" spans="1:2">
      <c r="A8732" s="66">
        <v>46071.765611840281</v>
      </c>
      <c r="B8732" s="49" t="s">
        <v>10466</v>
      </c>
    </row>
    <row r="8733" spans="1:2">
      <c r="A8733" s="66">
        <v>46071.765616168981</v>
      </c>
      <c r="B8733" s="49" t="s">
        <v>10561</v>
      </c>
    </row>
    <row r="8734" spans="1:2">
      <c r="A8734" s="66">
        <v>46071.765619687503</v>
      </c>
      <c r="B8734" s="49" t="s">
        <v>10562</v>
      </c>
    </row>
    <row r="8735" spans="1:2">
      <c r="A8735" s="66">
        <v>46071.765623159721</v>
      </c>
      <c r="B8735" s="49" t="s">
        <v>10563</v>
      </c>
    </row>
    <row r="8736" spans="1:2">
      <c r="A8736" s="66">
        <v>46071.765650462963</v>
      </c>
      <c r="B8736" s="49" t="s">
        <v>10564</v>
      </c>
    </row>
    <row r="8737" spans="1:2">
      <c r="A8737" s="66">
        <v>46071.765661342593</v>
      </c>
      <c r="B8737" s="49" t="s">
        <v>10542</v>
      </c>
    </row>
    <row r="8738" spans="1:2">
      <c r="A8738" s="66">
        <v>46071.765664108796</v>
      </c>
      <c r="B8738" s="49" t="s">
        <v>10543</v>
      </c>
    </row>
    <row r="8739" spans="1:2">
      <c r="A8739" s="66">
        <v>46071.76566665509</v>
      </c>
      <c r="B8739" s="49" t="s">
        <v>9394</v>
      </c>
    </row>
    <row r="8740" spans="1:2">
      <c r="A8740" s="66">
        <v>46071.766975706021</v>
      </c>
      <c r="B8740" s="49" t="s">
        <v>10556</v>
      </c>
    </row>
    <row r="8741" spans="1:2">
      <c r="A8741" s="66">
        <v>46071.766978368054</v>
      </c>
      <c r="B8741" s="49" t="s">
        <v>10557</v>
      </c>
    </row>
    <row r="8742" spans="1:2">
      <c r="A8742" s="66">
        <v>46071.766980879635</v>
      </c>
      <c r="B8742" s="49" t="s">
        <v>10546</v>
      </c>
    </row>
    <row r="8743" spans="1:2">
      <c r="A8743" s="66">
        <v>46071.76698453704</v>
      </c>
      <c r="B8743" s="49" t="s">
        <v>10466</v>
      </c>
    </row>
    <row r="8744" spans="1:2">
      <c r="A8744" s="66">
        <v>46071.766987013893</v>
      </c>
      <c r="B8744" s="49" t="s">
        <v>10561</v>
      </c>
    </row>
    <row r="8745" spans="1:2">
      <c r="A8745" s="66">
        <v>46071.766989479162</v>
      </c>
      <c r="B8745" s="49" t="s">
        <v>10562</v>
      </c>
    </row>
    <row r="8746" spans="1:2">
      <c r="A8746" s="66">
        <v>46071.766991944445</v>
      </c>
      <c r="B8746" s="49" t="s">
        <v>10563</v>
      </c>
    </row>
    <row r="8747" spans="1:2">
      <c r="A8747" s="66">
        <v>46071.767018831015</v>
      </c>
      <c r="B8747" s="49" t="s">
        <v>10564</v>
      </c>
    </row>
    <row r="8748" spans="1:2">
      <c r="A8748" s="66">
        <v>46071.767024756948</v>
      </c>
      <c r="B8748" s="49" t="s">
        <v>10542</v>
      </c>
    </row>
    <row r="8749" spans="1:2">
      <c r="A8749" s="66">
        <v>46071.767027372684</v>
      </c>
      <c r="B8749" s="49" t="s">
        <v>10543</v>
      </c>
    </row>
    <row r="8750" spans="1:2">
      <c r="A8750" s="66">
        <v>46071.767030011571</v>
      </c>
      <c r="B8750" s="49" t="s">
        <v>9394</v>
      </c>
    </row>
    <row r="8751" spans="1:2">
      <c r="A8751" s="66">
        <v>46071.767792118058</v>
      </c>
      <c r="B8751" s="49" t="s">
        <v>10556</v>
      </c>
    </row>
    <row r="8752" spans="1:2">
      <c r="A8752" s="66">
        <v>46071.767800995367</v>
      </c>
      <c r="B8752" s="49" t="s">
        <v>10557</v>
      </c>
    </row>
    <row r="8753" spans="1:2">
      <c r="A8753" s="66">
        <v>46071.76780342593</v>
      </c>
      <c r="B8753" s="49" t="s">
        <v>10546</v>
      </c>
    </row>
    <row r="8754" spans="1:2">
      <c r="A8754" s="66">
        <v>46071.767806064818</v>
      </c>
      <c r="B8754" s="49" t="s">
        <v>10466</v>
      </c>
    </row>
    <row r="8755" spans="1:2">
      <c r="A8755" s="66">
        <v>46071.767808217592</v>
      </c>
      <c r="B8755" s="49" t="s">
        <v>10561</v>
      </c>
    </row>
    <row r="8756" spans="1:2">
      <c r="A8756" s="66">
        <v>46071.76781049768</v>
      </c>
      <c r="B8756" s="49" t="s">
        <v>10562</v>
      </c>
    </row>
    <row r="8757" spans="1:2">
      <c r="A8757" s="66">
        <v>46071.767812997685</v>
      </c>
      <c r="B8757" s="49" t="s">
        <v>10563</v>
      </c>
    </row>
    <row r="8758" spans="1:2">
      <c r="A8758" s="66">
        <v>46071.767829687495</v>
      </c>
      <c r="B8758" s="49" t="s">
        <v>10564</v>
      </c>
    </row>
    <row r="8759" spans="1:2">
      <c r="A8759" s="66">
        <v>46071.767832951387</v>
      </c>
      <c r="B8759" s="49" t="s">
        <v>10542</v>
      </c>
    </row>
    <row r="8760" spans="1:2">
      <c r="A8760" s="66">
        <v>46071.767835104169</v>
      </c>
      <c r="B8760" s="49" t="s">
        <v>10543</v>
      </c>
    </row>
    <row r="8761" spans="1:2">
      <c r="A8761" s="66">
        <v>46071.767837395833</v>
      </c>
      <c r="B8761" s="49" t="s">
        <v>9394</v>
      </c>
    </row>
    <row r="8762" spans="1:2">
      <c r="A8762" s="66">
        <v>46071.769208634258</v>
      </c>
      <c r="B8762" s="49" t="s">
        <v>10556</v>
      </c>
    </row>
    <row r="8763" spans="1:2">
      <c r="A8763" s="66">
        <v>46071.769211134262</v>
      </c>
      <c r="B8763" s="49" t="s">
        <v>10557</v>
      </c>
    </row>
    <row r="8764" spans="1:2">
      <c r="A8764" s="66">
        <v>46071.769221620372</v>
      </c>
      <c r="B8764" s="49" t="s">
        <v>10546</v>
      </c>
    </row>
    <row r="8765" spans="1:2">
      <c r="A8765" s="66">
        <v>46071.76922386574</v>
      </c>
      <c r="B8765" s="49" t="s">
        <v>10466</v>
      </c>
    </row>
    <row r="8766" spans="1:2">
      <c r="A8766" s="66">
        <v>46071.769226342592</v>
      </c>
      <c r="B8766" s="49" t="s">
        <v>10561</v>
      </c>
    </row>
    <row r="8767" spans="1:2">
      <c r="A8767" s="66">
        <v>46071.769228854166</v>
      </c>
      <c r="B8767" s="49" t="s">
        <v>10562</v>
      </c>
    </row>
    <row r="8768" spans="1:2">
      <c r="A8768" s="66">
        <v>46071.769230972219</v>
      </c>
      <c r="B8768" s="49" t="s">
        <v>10563</v>
      </c>
    </row>
    <row r="8769" spans="1:2">
      <c r="A8769" s="66">
        <v>46071.769254814819</v>
      </c>
      <c r="B8769" s="49" t="s">
        <v>10564</v>
      </c>
    </row>
    <row r="8770" spans="1:2">
      <c r="A8770" s="66">
        <v>46071.769257928245</v>
      </c>
      <c r="B8770" s="49" t="s">
        <v>10542</v>
      </c>
    </row>
    <row r="8771" spans="1:2">
      <c r="A8771" s="66">
        <v>46071.769260405097</v>
      </c>
      <c r="B8771" s="49" t="s">
        <v>10543</v>
      </c>
    </row>
    <row r="8772" spans="1:2">
      <c r="A8772" s="66">
        <v>46071.769263553244</v>
      </c>
      <c r="B8772" s="49" t="s">
        <v>9394</v>
      </c>
    </row>
    <row r="8773" spans="1:2">
      <c r="A8773" s="66">
        <v>46071.770571967594</v>
      </c>
      <c r="B8773" s="49" t="s">
        <v>10556</v>
      </c>
    </row>
    <row r="8774" spans="1:2">
      <c r="A8774" s="66">
        <v>46071.770573784721</v>
      </c>
      <c r="B8774" s="49" t="s">
        <v>10557</v>
      </c>
    </row>
    <row r="8775" spans="1:2">
      <c r="A8775" s="66">
        <v>46071.770575775459</v>
      </c>
      <c r="B8775" s="49" t="s">
        <v>10546</v>
      </c>
    </row>
    <row r="8776" spans="1:2">
      <c r="A8776" s="66">
        <v>46071.77057768518</v>
      </c>
      <c r="B8776" s="49" t="s">
        <v>10466</v>
      </c>
    </row>
    <row r="8777" spans="1:2">
      <c r="A8777" s="66">
        <v>46071.770579571763</v>
      </c>
      <c r="B8777" s="49" t="s">
        <v>10561</v>
      </c>
    </row>
    <row r="8778" spans="1:2">
      <c r="A8778" s="66">
        <v>46071.770581516204</v>
      </c>
      <c r="B8778" s="49" t="s">
        <v>10562</v>
      </c>
    </row>
    <row r="8779" spans="1:2">
      <c r="A8779" s="66">
        <v>46071.770583449077</v>
      </c>
      <c r="B8779" s="49" t="s">
        <v>10563</v>
      </c>
    </row>
    <row r="8780" spans="1:2">
      <c r="A8780" s="66">
        <v>46071.77060300926</v>
      </c>
      <c r="B8780" s="49" t="s">
        <v>10564</v>
      </c>
    </row>
    <row r="8781" spans="1:2">
      <c r="A8781" s="66">
        <v>46071.770606111109</v>
      </c>
      <c r="B8781" s="49" t="s">
        <v>10542</v>
      </c>
    </row>
    <row r="8782" spans="1:2">
      <c r="A8782" s="66">
        <v>46071.770608148145</v>
      </c>
      <c r="B8782" s="49" t="s">
        <v>10543</v>
      </c>
    </row>
    <row r="8783" spans="1:2">
      <c r="A8783" s="66">
        <v>46071.770610219908</v>
      </c>
      <c r="B8783" s="49" t="s">
        <v>9394</v>
      </c>
    </row>
    <row r="8784" spans="1:2">
      <c r="A8784" s="66">
        <v>46071.771649768518</v>
      </c>
      <c r="B8784" s="49" t="s">
        <v>10556</v>
      </c>
    </row>
    <row r="8785" spans="1:2">
      <c r="A8785" s="66">
        <v>46071.771651932868</v>
      </c>
      <c r="B8785" s="49" t="s">
        <v>10557</v>
      </c>
    </row>
    <row r="8786" spans="1:2">
      <c r="A8786" s="66">
        <v>46071.771654189812</v>
      </c>
      <c r="B8786" s="49" t="s">
        <v>10546</v>
      </c>
    </row>
    <row r="8787" spans="1:2">
      <c r="A8787" s="66">
        <v>46071.771656469908</v>
      </c>
      <c r="B8787" s="49" t="s">
        <v>10466</v>
      </c>
    </row>
    <row r="8788" spans="1:2">
      <c r="A8788" s="66">
        <v>46071.771658750004</v>
      </c>
      <c r="B8788" s="49" t="s">
        <v>10561</v>
      </c>
    </row>
    <row r="8789" spans="1:2">
      <c r="A8789" s="66">
        <v>46071.771661064813</v>
      </c>
      <c r="B8789" s="49" t="s">
        <v>10562</v>
      </c>
    </row>
    <row r="8790" spans="1:2">
      <c r="A8790" s="66">
        <v>46071.771663530089</v>
      </c>
      <c r="B8790" s="49" t="s">
        <v>10563</v>
      </c>
    </row>
    <row r="8791" spans="1:2">
      <c r="A8791" s="66">
        <v>46071.771681458333</v>
      </c>
      <c r="B8791" s="49" t="s">
        <v>10564</v>
      </c>
    </row>
    <row r="8792" spans="1:2">
      <c r="A8792" s="66">
        <v>46071.771684525462</v>
      </c>
      <c r="B8792" s="49" t="s">
        <v>10542</v>
      </c>
    </row>
    <row r="8793" spans="1:2">
      <c r="A8793" s="66">
        <v>46071.771686805558</v>
      </c>
      <c r="B8793" s="49" t="s">
        <v>10543</v>
      </c>
    </row>
    <row r="8794" spans="1:2">
      <c r="A8794" s="66">
        <v>46071.771689039349</v>
      </c>
      <c r="B8794" s="49" t="s">
        <v>9394</v>
      </c>
    </row>
    <row r="8795" spans="1:2">
      <c r="A8795" s="66">
        <v>46071.773027326388</v>
      </c>
      <c r="B8795" s="49" t="s">
        <v>10556</v>
      </c>
    </row>
    <row r="8796" spans="1:2">
      <c r="A8796" s="66">
        <v>46071.773029131946</v>
      </c>
      <c r="B8796" s="49" t="s">
        <v>10557</v>
      </c>
    </row>
    <row r="8797" spans="1:2">
      <c r="A8797" s="66">
        <v>46071.773030763885</v>
      </c>
      <c r="B8797" s="49" t="s">
        <v>10546</v>
      </c>
    </row>
    <row r="8798" spans="1:2">
      <c r="A8798" s="66">
        <v>46071.773032800927</v>
      </c>
      <c r="B8798" s="49" t="s">
        <v>10466</v>
      </c>
    </row>
    <row r="8799" spans="1:2">
      <c r="A8799" s="66">
        <v>46071.773034479163</v>
      </c>
      <c r="B8799" s="49" t="s">
        <v>10561</v>
      </c>
    </row>
    <row r="8800" spans="1:2">
      <c r="A8800" s="66">
        <v>46071.773036203704</v>
      </c>
      <c r="B8800" s="49" t="s">
        <v>10562</v>
      </c>
    </row>
    <row r="8801" spans="1:2">
      <c r="A8801" s="66">
        <v>46071.773038182873</v>
      </c>
      <c r="B8801" s="49" t="s">
        <v>10563</v>
      </c>
    </row>
    <row r="8802" spans="1:2">
      <c r="A8802" s="66">
        <v>46071.773063425921</v>
      </c>
      <c r="B8802" s="49" t="s">
        <v>10564</v>
      </c>
    </row>
    <row r="8803" spans="1:2">
      <c r="A8803" s="66">
        <v>46071.773081122687</v>
      </c>
      <c r="B8803" s="49" t="s">
        <v>10542</v>
      </c>
    </row>
    <row r="8804" spans="1:2">
      <c r="A8804" s="66">
        <v>46071.773082766202</v>
      </c>
      <c r="B8804" s="49" t="s">
        <v>10543</v>
      </c>
    </row>
    <row r="8805" spans="1:2">
      <c r="A8805" s="66">
        <v>46071.773084548608</v>
      </c>
      <c r="B8805" s="49" t="s">
        <v>9394</v>
      </c>
    </row>
    <row r="8806" spans="1:2">
      <c r="A8806" s="66">
        <v>46071.774241539351</v>
      </c>
      <c r="B8806" s="49" t="s">
        <v>10556</v>
      </c>
    </row>
    <row r="8807" spans="1:2">
      <c r="A8807" s="66">
        <v>46071.774243958338</v>
      </c>
      <c r="B8807" s="49" t="s">
        <v>10557</v>
      </c>
    </row>
    <row r="8808" spans="1:2">
      <c r="A8808" s="66">
        <v>46071.774246354165</v>
      </c>
      <c r="B8808" s="49" t="s">
        <v>10546</v>
      </c>
    </row>
    <row r="8809" spans="1:2">
      <c r="A8809" s="66">
        <v>46071.774249212962</v>
      </c>
      <c r="B8809" s="49" t="s">
        <v>10466</v>
      </c>
    </row>
    <row r="8810" spans="1:2">
      <c r="A8810" s="66">
        <v>46071.774251736111</v>
      </c>
      <c r="B8810" s="49" t="s">
        <v>10561</v>
      </c>
    </row>
    <row r="8811" spans="1:2">
      <c r="A8811" s="66">
        <v>46071.774254039352</v>
      </c>
      <c r="B8811" s="49" t="s">
        <v>10562</v>
      </c>
    </row>
    <row r="8812" spans="1:2">
      <c r="A8812" s="66">
        <v>46071.774256412042</v>
      </c>
      <c r="B8812" s="49" t="s">
        <v>10563</v>
      </c>
    </row>
    <row r="8813" spans="1:2">
      <c r="A8813" s="66">
        <v>46071.774277719909</v>
      </c>
      <c r="B8813" s="49" t="s">
        <v>10564</v>
      </c>
    </row>
    <row r="8814" spans="1:2">
      <c r="A8814" s="66">
        <v>46071.774281192134</v>
      </c>
      <c r="B8814" s="49" t="s">
        <v>10542</v>
      </c>
    </row>
    <row r="8815" spans="1:2">
      <c r="A8815" s="66">
        <v>46071.774285879626</v>
      </c>
      <c r="B8815" s="49" t="s">
        <v>10543</v>
      </c>
    </row>
    <row r="8816" spans="1:2">
      <c r="A8816" s="66">
        <v>46071.774288113425</v>
      </c>
      <c r="B8816" s="49" t="s">
        <v>9394</v>
      </c>
    </row>
    <row r="8817" spans="1:2">
      <c r="A8817" s="66">
        <v>46071.775646134258</v>
      </c>
      <c r="B8817" s="49" t="s">
        <v>10556</v>
      </c>
    </row>
    <row r="8818" spans="1:2">
      <c r="A8818" s="66">
        <v>46071.775648738425</v>
      </c>
      <c r="B8818" s="49" t="s">
        <v>10557</v>
      </c>
    </row>
    <row r="8819" spans="1:2">
      <c r="A8819" s="66">
        <v>46071.775651215277</v>
      </c>
      <c r="B8819" s="49" t="s">
        <v>10546</v>
      </c>
    </row>
    <row r="8820" spans="1:2">
      <c r="A8820" s="66">
        <v>46071.775653657409</v>
      </c>
      <c r="B8820" s="49" t="s">
        <v>10466</v>
      </c>
    </row>
    <row r="8821" spans="1:2">
      <c r="A8821" s="66">
        <v>46071.775656041667</v>
      </c>
      <c r="B8821" s="49" t="s">
        <v>10561</v>
      </c>
    </row>
    <row r="8822" spans="1:2">
      <c r="A8822" s="66">
        <v>46071.775658287035</v>
      </c>
      <c r="B8822" s="49" t="s">
        <v>10562</v>
      </c>
    </row>
    <row r="8823" spans="1:2">
      <c r="A8823" s="66">
        <v>46071.775661724532</v>
      </c>
      <c r="B8823" s="49" t="s">
        <v>10563</v>
      </c>
    </row>
    <row r="8824" spans="1:2">
      <c r="A8824" s="66">
        <v>46071.775690393522</v>
      </c>
      <c r="B8824" s="49" t="s">
        <v>10564</v>
      </c>
    </row>
    <row r="8825" spans="1:2">
      <c r="A8825" s="66">
        <v>46071.775693460644</v>
      </c>
      <c r="B8825" s="49" t="s">
        <v>10542</v>
      </c>
    </row>
    <row r="8826" spans="1:2">
      <c r="A8826" s="66">
        <v>46071.775695775461</v>
      </c>
      <c r="B8826" s="49" t="s">
        <v>10543</v>
      </c>
    </row>
    <row r="8827" spans="1:2">
      <c r="A8827" s="66">
        <v>46071.77569819444</v>
      </c>
      <c r="B8827" s="49" t="s">
        <v>9394</v>
      </c>
    </row>
    <row r="8828" spans="1:2">
      <c r="A8828" s="66">
        <v>46071.776605844905</v>
      </c>
      <c r="B8828" s="49" t="s">
        <v>10556</v>
      </c>
    </row>
    <row r="8829" spans="1:2">
      <c r="A8829" s="66">
        <v>46071.776608402783</v>
      </c>
      <c r="B8829" s="49" t="s">
        <v>10557</v>
      </c>
    </row>
    <row r="8830" spans="1:2">
      <c r="A8830" s="66">
        <v>46071.776610844907</v>
      </c>
      <c r="B8830" s="49" t="s">
        <v>10546</v>
      </c>
    </row>
    <row r="8831" spans="1:2">
      <c r="A8831" s="66">
        <v>46071.776613298614</v>
      </c>
      <c r="B8831" s="49" t="s">
        <v>10466</v>
      </c>
    </row>
    <row r="8832" spans="1:2">
      <c r="A8832" s="66">
        <v>46071.776615798612</v>
      </c>
      <c r="B8832" s="49" t="s">
        <v>10561</v>
      </c>
    </row>
    <row r="8833" spans="1:2">
      <c r="A8833" s="66">
        <v>46071.776618263888</v>
      </c>
      <c r="B8833" s="49" t="s">
        <v>10562</v>
      </c>
    </row>
    <row r="8834" spans="1:2">
      <c r="A8834" s="66">
        <v>46071.776620694443</v>
      </c>
      <c r="B8834" s="49" t="s">
        <v>10563</v>
      </c>
    </row>
    <row r="8835" spans="1:2">
      <c r="A8835" s="66">
        <v>46071.776640543976</v>
      </c>
      <c r="B8835" s="49" t="s">
        <v>10564</v>
      </c>
    </row>
    <row r="8836" spans="1:2">
      <c r="A8836" s="66">
        <v>46071.776643657402</v>
      </c>
      <c r="B8836" s="49" t="s">
        <v>10542</v>
      </c>
    </row>
    <row r="8837" spans="1:2">
      <c r="A8837" s="66">
        <v>46071.776646168983</v>
      </c>
      <c r="B8837" s="49" t="s">
        <v>10543</v>
      </c>
    </row>
    <row r="8838" spans="1:2">
      <c r="A8838" s="66">
        <v>46071.776653414352</v>
      </c>
      <c r="B8838" s="49" t="s">
        <v>9394</v>
      </c>
    </row>
    <row r="8839" spans="1:2">
      <c r="A8839" s="66">
        <v>46071.777935416671</v>
      </c>
      <c r="B8839" s="49" t="s">
        <v>10556</v>
      </c>
    </row>
    <row r="8840" spans="1:2">
      <c r="A8840" s="66">
        <v>46071.777938460647</v>
      </c>
      <c r="B8840" s="49" t="s">
        <v>10557</v>
      </c>
    </row>
    <row r="8841" spans="1:2">
      <c r="A8841" s="66">
        <v>46071.777941192129</v>
      </c>
      <c r="B8841" s="49" t="s">
        <v>10546</v>
      </c>
    </row>
    <row r="8842" spans="1:2">
      <c r="A8842" s="66">
        <v>46071.777943842593</v>
      </c>
      <c r="B8842" s="49" t="s">
        <v>10466</v>
      </c>
    </row>
    <row r="8843" spans="1:2">
      <c r="A8843" s="66">
        <v>46071.777946956019</v>
      </c>
      <c r="B8843" s="49" t="s">
        <v>10561</v>
      </c>
    </row>
    <row r="8844" spans="1:2">
      <c r="A8844" s="66">
        <v>46071.777954965277</v>
      </c>
      <c r="B8844" s="49" t="s">
        <v>10562</v>
      </c>
    </row>
    <row r="8845" spans="1:2">
      <c r="A8845" s="66">
        <v>46071.777958055551</v>
      </c>
      <c r="B8845" s="49" t="s">
        <v>10563</v>
      </c>
    </row>
    <row r="8846" spans="1:2">
      <c r="A8846" s="66">
        <v>46071.77798677083</v>
      </c>
      <c r="B8846" s="49" t="s">
        <v>10564</v>
      </c>
    </row>
    <row r="8847" spans="1:2">
      <c r="A8847" s="66">
        <v>46071.777990590279</v>
      </c>
      <c r="B8847" s="49" t="s">
        <v>10542</v>
      </c>
    </row>
    <row r="8848" spans="1:2">
      <c r="A8848" s="66">
        <v>46071.777993148149</v>
      </c>
      <c r="B8848" s="49" t="s">
        <v>10543</v>
      </c>
    </row>
    <row r="8849" spans="1:2">
      <c r="A8849" s="66">
        <v>46071.777995937504</v>
      </c>
      <c r="B8849" s="49" t="s">
        <v>9394</v>
      </c>
    </row>
    <row r="8850" spans="1:2">
      <c r="A8850" s="66">
        <v>46071.779332303238</v>
      </c>
      <c r="B8850" s="49" t="s">
        <v>10556</v>
      </c>
    </row>
    <row r="8851" spans="1:2">
      <c r="A8851" s="66">
        <v>46071.779335208332</v>
      </c>
      <c r="B8851" s="49" t="s">
        <v>10557</v>
      </c>
    </row>
    <row r="8852" spans="1:2">
      <c r="A8852" s="66">
        <v>46071.779347777774</v>
      </c>
      <c r="B8852" s="49" t="s">
        <v>10546</v>
      </c>
    </row>
    <row r="8853" spans="1:2">
      <c r="A8853" s="66">
        <v>46071.779351342593</v>
      </c>
      <c r="B8853" s="49" t="s">
        <v>10466</v>
      </c>
    </row>
    <row r="8854" spans="1:2">
      <c r="A8854" s="66">
        <v>46071.779355300925</v>
      </c>
      <c r="B8854" s="49" t="s">
        <v>10561</v>
      </c>
    </row>
    <row r="8855" spans="1:2">
      <c r="A8855" s="66">
        <v>46071.779358622684</v>
      </c>
      <c r="B8855" s="49" t="s">
        <v>10562</v>
      </c>
    </row>
    <row r="8856" spans="1:2">
      <c r="A8856" s="66">
        <v>46071.779361851848</v>
      </c>
      <c r="B8856" s="49" t="s">
        <v>10563</v>
      </c>
    </row>
    <row r="8857" spans="1:2">
      <c r="A8857" s="66">
        <v>46071.779386365743</v>
      </c>
      <c r="B8857" s="49" t="s">
        <v>10564</v>
      </c>
    </row>
    <row r="8858" spans="1:2">
      <c r="A8858" s="66">
        <v>46071.779390185184</v>
      </c>
      <c r="B8858" s="49" t="s">
        <v>10542</v>
      </c>
    </row>
    <row r="8859" spans="1:2">
      <c r="A8859" s="66">
        <v>46071.77939354167</v>
      </c>
      <c r="B8859" s="49" t="s">
        <v>10543</v>
      </c>
    </row>
    <row r="8860" spans="1:2">
      <c r="A8860" s="66">
        <v>46071.779396504629</v>
      </c>
      <c r="B8860" s="49" t="s">
        <v>9394</v>
      </c>
    </row>
    <row r="8861" spans="1:2">
      <c r="A8861" s="66">
        <v>46071.780749004625</v>
      </c>
      <c r="B8861" s="49" t="s">
        <v>10556</v>
      </c>
    </row>
    <row r="8862" spans="1:2">
      <c r="A8862" s="66">
        <v>46071.780751956016</v>
      </c>
      <c r="B8862" s="49" t="s">
        <v>10557</v>
      </c>
    </row>
    <row r="8863" spans="1:2">
      <c r="A8863" s="66">
        <v>46071.780754849533</v>
      </c>
      <c r="B8863" s="49" t="s">
        <v>10546</v>
      </c>
    </row>
    <row r="8864" spans="1:2">
      <c r="A8864" s="66">
        <v>46071.780758275461</v>
      </c>
      <c r="B8864" s="49" t="s">
        <v>10466</v>
      </c>
    </row>
    <row r="8865" spans="1:2">
      <c r="A8865" s="66">
        <v>46071.780761250004</v>
      </c>
      <c r="B8865" s="49" t="s">
        <v>10561</v>
      </c>
    </row>
    <row r="8866" spans="1:2">
      <c r="A8866" s="66">
        <v>46071.780764328709</v>
      </c>
      <c r="B8866" s="49" t="s">
        <v>10562</v>
      </c>
    </row>
    <row r="8867" spans="1:2">
      <c r="A8867" s="66">
        <v>46071.780767662036</v>
      </c>
      <c r="B8867" s="49" t="s">
        <v>10563</v>
      </c>
    </row>
    <row r="8868" spans="1:2">
      <c r="A8868" s="66">
        <v>46071.780793958329</v>
      </c>
      <c r="B8868" s="49" t="s">
        <v>10564</v>
      </c>
    </row>
    <row r="8869" spans="1:2">
      <c r="A8869" s="66">
        <v>46071.780797685184</v>
      </c>
      <c r="B8869" s="49" t="s">
        <v>10542</v>
      </c>
    </row>
    <row r="8870" spans="1:2">
      <c r="A8870" s="66">
        <v>46071.780800567125</v>
      </c>
      <c r="B8870" s="49" t="s">
        <v>10543</v>
      </c>
    </row>
    <row r="8871" spans="1:2">
      <c r="A8871" s="66">
        <v>46071.780804050926</v>
      </c>
      <c r="B8871" s="49" t="s">
        <v>9394</v>
      </c>
    </row>
    <row r="8872" spans="1:2">
      <c r="A8872" s="66">
        <v>46071.781721770836</v>
      </c>
      <c r="B8872" s="49" t="s">
        <v>10556</v>
      </c>
    </row>
    <row r="8873" spans="1:2">
      <c r="A8873" s="66">
        <v>46071.781725162036</v>
      </c>
      <c r="B8873" s="49" t="s">
        <v>10557</v>
      </c>
    </row>
    <row r="8874" spans="1:2">
      <c r="A8874" s="66">
        <v>46071.781728611109</v>
      </c>
      <c r="B8874" s="49" t="s">
        <v>10546</v>
      </c>
    </row>
    <row r="8875" spans="1:2">
      <c r="A8875" s="66">
        <v>46071.781732199073</v>
      </c>
      <c r="B8875" s="49" t="s">
        <v>10466</v>
      </c>
    </row>
    <row r="8876" spans="1:2">
      <c r="A8876" s="66">
        <v>46071.78173574074</v>
      </c>
      <c r="B8876" s="49" t="s">
        <v>10561</v>
      </c>
    </row>
    <row r="8877" spans="1:2">
      <c r="A8877" s="66">
        <v>46071.781738854166</v>
      </c>
      <c r="B8877" s="49" t="s">
        <v>10562</v>
      </c>
    </row>
    <row r="8878" spans="1:2">
      <c r="A8878" s="66">
        <v>46071.781742916668</v>
      </c>
      <c r="B8878" s="49" t="s">
        <v>10563</v>
      </c>
    </row>
    <row r="8879" spans="1:2">
      <c r="A8879" s="66">
        <v>46071.781768298606</v>
      </c>
      <c r="B8879" s="49" t="s">
        <v>10564</v>
      </c>
    </row>
    <row r="8880" spans="1:2">
      <c r="A8880" s="66">
        <v>46071.7817750463</v>
      </c>
      <c r="B8880" s="49" t="s">
        <v>10542</v>
      </c>
    </row>
    <row r="8881" spans="1:2">
      <c r="A8881" s="66">
        <v>46071.781778298609</v>
      </c>
      <c r="B8881" s="49" t="s">
        <v>10543</v>
      </c>
    </row>
    <row r="8882" spans="1:2">
      <c r="A8882" s="66">
        <v>46071.781781875005</v>
      </c>
      <c r="B8882" s="49" t="s">
        <v>9394</v>
      </c>
    </row>
    <row r="8883" spans="1:2">
      <c r="A8883" s="66">
        <v>46071.782714444445</v>
      </c>
      <c r="B8883" s="49" t="s">
        <v>10556</v>
      </c>
    </row>
    <row r="8884" spans="1:2">
      <c r="A8884" s="66">
        <v>46071.782717164351</v>
      </c>
      <c r="B8884" s="49" t="s">
        <v>10557</v>
      </c>
    </row>
    <row r="8885" spans="1:2">
      <c r="A8885" s="66">
        <v>46071.782719062496</v>
      </c>
      <c r="B8885" s="49" t="s">
        <v>10546</v>
      </c>
    </row>
    <row r="8886" spans="1:2">
      <c r="A8886" s="66">
        <v>46071.782721030089</v>
      </c>
      <c r="B8886" s="49" t="s">
        <v>10466</v>
      </c>
    </row>
    <row r="8887" spans="1:2">
      <c r="A8887" s="66">
        <v>46071.782722812495</v>
      </c>
      <c r="B8887" s="49" t="s">
        <v>10561</v>
      </c>
    </row>
    <row r="8888" spans="1:2">
      <c r="A8888" s="66">
        <v>46071.782724641205</v>
      </c>
      <c r="B8888" s="49" t="s">
        <v>10562</v>
      </c>
    </row>
    <row r="8889" spans="1:2">
      <c r="A8889" s="66">
        <v>46071.782726608799</v>
      </c>
      <c r="B8889" s="49" t="s">
        <v>10563</v>
      </c>
    </row>
    <row r="8890" spans="1:2">
      <c r="A8890" s="66">
        <v>46071.78274667824</v>
      </c>
      <c r="B8890" s="49" t="s">
        <v>10564</v>
      </c>
    </row>
    <row r="8891" spans="1:2">
      <c r="A8891" s="66">
        <v>46071.782750474536</v>
      </c>
      <c r="B8891" s="49" t="s">
        <v>10542</v>
      </c>
    </row>
    <row r="8892" spans="1:2">
      <c r="A8892" s="66">
        <v>46071.782752465282</v>
      </c>
      <c r="B8892" s="49" t="s">
        <v>10543</v>
      </c>
    </row>
    <row r="8893" spans="1:2">
      <c r="A8893" s="66">
        <v>46071.782754490741</v>
      </c>
      <c r="B8893" s="49" t="s">
        <v>9394</v>
      </c>
    </row>
    <row r="8894" spans="1:2">
      <c r="A8894" s="66">
        <v>46071.783840787037</v>
      </c>
      <c r="B8894" s="49" t="s">
        <v>10556</v>
      </c>
    </row>
    <row r="8895" spans="1:2">
      <c r="A8895" s="66">
        <v>46071.783843182871</v>
      </c>
      <c r="B8895" s="49" t="s">
        <v>10557</v>
      </c>
    </row>
    <row r="8896" spans="1:2">
      <c r="A8896" s="66">
        <v>46071.783845486112</v>
      </c>
      <c r="B8896" s="49" t="s">
        <v>10546</v>
      </c>
    </row>
    <row r="8897" spans="1:2">
      <c r="A8897" s="66">
        <v>46071.783847812505</v>
      </c>
      <c r="B8897" s="49" t="s">
        <v>10466</v>
      </c>
    </row>
    <row r="8898" spans="1:2">
      <c r="A8898" s="66">
        <v>46071.783851805551</v>
      </c>
      <c r="B8898" s="49" t="s">
        <v>10561</v>
      </c>
    </row>
    <row r="8899" spans="1:2">
      <c r="A8899" s="66">
        <v>46071.783854305555</v>
      </c>
      <c r="B8899" s="49" t="s">
        <v>10562</v>
      </c>
    </row>
    <row r="8900" spans="1:2">
      <c r="A8900" s="66">
        <v>46071.783856574075</v>
      </c>
      <c r="B8900" s="49" t="s">
        <v>10563</v>
      </c>
    </row>
    <row r="8901" spans="1:2">
      <c r="A8901" s="66">
        <v>46071.783872534725</v>
      </c>
      <c r="B8901" s="49" t="s">
        <v>10564</v>
      </c>
    </row>
    <row r="8902" spans="1:2">
      <c r="A8902" s="66">
        <v>46071.783884942131</v>
      </c>
      <c r="B8902" s="49" t="s">
        <v>10542</v>
      </c>
    </row>
    <row r="8903" spans="1:2">
      <c r="A8903" s="66">
        <v>46071.783887291662</v>
      </c>
      <c r="B8903" s="49" t="s">
        <v>10543</v>
      </c>
    </row>
    <row r="8904" spans="1:2">
      <c r="A8904" s="66">
        <v>46071.78388959491</v>
      </c>
      <c r="B8904" s="49" t="s">
        <v>9394</v>
      </c>
    </row>
    <row r="8905" spans="1:2">
      <c r="A8905" s="66">
        <v>46071.785213981479</v>
      </c>
      <c r="B8905" s="49" t="s">
        <v>10556</v>
      </c>
    </row>
    <row r="8906" spans="1:2">
      <c r="A8906" s="66">
        <v>46071.785216516204</v>
      </c>
      <c r="B8906" s="49" t="s">
        <v>10557</v>
      </c>
    </row>
    <row r="8907" spans="1:2">
      <c r="A8907" s="66">
        <v>46071.785219050929</v>
      </c>
      <c r="B8907" s="49" t="s">
        <v>10546</v>
      </c>
    </row>
    <row r="8908" spans="1:2">
      <c r="A8908" s="66">
        <v>46071.785224108797</v>
      </c>
      <c r="B8908" s="49" t="s">
        <v>10466</v>
      </c>
    </row>
    <row r="8909" spans="1:2">
      <c r="A8909" s="66">
        <v>46071.785226747685</v>
      </c>
      <c r="B8909" s="49" t="s">
        <v>10561</v>
      </c>
    </row>
    <row r="8910" spans="1:2">
      <c r="A8910" s="66">
        <v>46071.785229375004</v>
      </c>
      <c r="B8910" s="49" t="s">
        <v>10562</v>
      </c>
    </row>
    <row r="8911" spans="1:2">
      <c r="A8911" s="66">
        <v>46071.785232164351</v>
      </c>
      <c r="B8911" s="49" t="s">
        <v>10563</v>
      </c>
    </row>
    <row r="8912" spans="1:2">
      <c r="A8912" s="66">
        <v>46071.785251990739</v>
      </c>
      <c r="B8912" s="49" t="s">
        <v>10564</v>
      </c>
    </row>
    <row r="8913" spans="1:2">
      <c r="A8913" s="66">
        <v>46071.78525980324</v>
      </c>
      <c r="B8913" s="49" t="s">
        <v>10542</v>
      </c>
    </row>
    <row r="8914" spans="1:2">
      <c r="A8914" s="66">
        <v>46071.785262928242</v>
      </c>
      <c r="B8914" s="49" t="s">
        <v>10543</v>
      </c>
    </row>
    <row r="8915" spans="1:2">
      <c r="A8915" s="66">
        <v>46071.785270138891</v>
      </c>
      <c r="B8915" s="49" t="s">
        <v>9394</v>
      </c>
    </row>
    <row r="8916" spans="1:2">
      <c r="A8916" s="66">
        <v>46071.786259664354</v>
      </c>
      <c r="B8916" s="49" t="s">
        <v>10556</v>
      </c>
    </row>
    <row r="8917" spans="1:2">
      <c r="A8917" s="66">
        <v>46071.786262824069</v>
      </c>
      <c r="B8917" s="49" t="s">
        <v>10557</v>
      </c>
    </row>
    <row r="8918" spans="1:2">
      <c r="A8918" s="66">
        <v>46071.786265821764</v>
      </c>
      <c r="B8918" s="49" t="s">
        <v>10546</v>
      </c>
    </row>
    <row r="8919" spans="1:2">
      <c r="A8919" s="66">
        <v>46071.786268703705</v>
      </c>
      <c r="B8919" s="49" t="s">
        <v>10466</v>
      </c>
    </row>
    <row r="8920" spans="1:2">
      <c r="A8920" s="66">
        <v>46071.786271747682</v>
      </c>
      <c r="B8920" s="49" t="s">
        <v>10561</v>
      </c>
    </row>
    <row r="8921" spans="1:2">
      <c r="A8921" s="66">
        <v>46071.786274710648</v>
      </c>
      <c r="B8921" s="49" t="s">
        <v>10562</v>
      </c>
    </row>
    <row r="8922" spans="1:2">
      <c r="A8922" s="66">
        <v>46071.786277430554</v>
      </c>
      <c r="B8922" s="49" t="s">
        <v>10563</v>
      </c>
    </row>
    <row r="8923" spans="1:2">
      <c r="A8923" s="66">
        <v>46071.786296736114</v>
      </c>
      <c r="B8923" s="49" t="s">
        <v>10564</v>
      </c>
    </row>
    <row r="8924" spans="1:2">
      <c r="A8924" s="66">
        <v>46071.786300358799</v>
      </c>
      <c r="B8924" s="49" t="s">
        <v>10542</v>
      </c>
    </row>
    <row r="8925" spans="1:2">
      <c r="A8925" s="66">
        <v>46071.786303321758</v>
      </c>
      <c r="B8925" s="49" t="s">
        <v>10543</v>
      </c>
    </row>
    <row r="8926" spans="1:2">
      <c r="A8926" s="66">
        <v>46071.786306249996</v>
      </c>
      <c r="B8926" s="49" t="s">
        <v>9394</v>
      </c>
    </row>
    <row r="8927" spans="1:2">
      <c r="A8927" s="66">
        <v>46071.787264027778</v>
      </c>
      <c r="B8927" s="49" t="s">
        <v>10556</v>
      </c>
    </row>
    <row r="8928" spans="1:2">
      <c r="A8928" s="66">
        <v>46071.787266921296</v>
      </c>
      <c r="B8928" s="49" t="s">
        <v>10557</v>
      </c>
    </row>
    <row r="8929" spans="1:2">
      <c r="A8929" s="66">
        <v>46071.787269942128</v>
      </c>
      <c r="B8929" s="49" t="s">
        <v>10546</v>
      </c>
    </row>
    <row r="8930" spans="1:2">
      <c r="A8930" s="66">
        <v>46071.787272835645</v>
      </c>
      <c r="B8930" s="49" t="s">
        <v>10466</v>
      </c>
    </row>
    <row r="8931" spans="1:2">
      <c r="A8931" s="66">
        <v>46071.787275682873</v>
      </c>
      <c r="B8931" s="49" t="s">
        <v>10561</v>
      </c>
    </row>
    <row r="8932" spans="1:2">
      <c r="A8932" s="66">
        <v>46071.787278773147</v>
      </c>
      <c r="B8932" s="49" t="s">
        <v>10562</v>
      </c>
    </row>
    <row r="8933" spans="1:2">
      <c r="A8933" s="66">
        <v>46071.787281886573</v>
      </c>
      <c r="B8933" s="49" t="s">
        <v>10563</v>
      </c>
    </row>
    <row r="8934" spans="1:2">
      <c r="A8934" s="66">
        <v>46071.787301006945</v>
      </c>
      <c r="B8934" s="49" t="s">
        <v>10564</v>
      </c>
    </row>
    <row r="8935" spans="1:2">
      <c r="A8935" s="66">
        <v>46071.787304675927</v>
      </c>
      <c r="B8935" s="49" t="s">
        <v>10542</v>
      </c>
    </row>
    <row r="8936" spans="1:2">
      <c r="A8936" s="66">
        <v>46071.787307812498</v>
      </c>
      <c r="B8936" s="49" t="s">
        <v>10543</v>
      </c>
    </row>
    <row r="8937" spans="1:2">
      <c r="A8937" s="66">
        <v>46071.787310775464</v>
      </c>
      <c r="B8937" s="49" t="s">
        <v>9394</v>
      </c>
    </row>
    <row r="8938" spans="1:2">
      <c r="A8938" s="66">
        <v>46071.788440833334</v>
      </c>
      <c r="B8938" s="49" t="s">
        <v>10556</v>
      </c>
    </row>
    <row r="8939" spans="1:2">
      <c r="A8939" s="66">
        <v>46071.788443240745</v>
      </c>
      <c r="B8939" s="49" t="s">
        <v>10557</v>
      </c>
    </row>
    <row r="8940" spans="1:2">
      <c r="A8940" s="66">
        <v>46071.788445671293</v>
      </c>
      <c r="B8940" s="49" t="s">
        <v>10546</v>
      </c>
    </row>
    <row r="8941" spans="1:2">
      <c r="A8941" s="66">
        <v>46071.788450081018</v>
      </c>
      <c r="B8941" s="49" t="s">
        <v>10466</v>
      </c>
    </row>
    <row r="8942" spans="1:2">
      <c r="A8942" s="66">
        <v>46071.7884533912</v>
      </c>
      <c r="B8942" s="49" t="s">
        <v>10561</v>
      </c>
    </row>
    <row r="8943" spans="1:2">
      <c r="A8943" s="66">
        <v>46071.788455659727</v>
      </c>
      <c r="B8943" s="49" t="s">
        <v>10562</v>
      </c>
    </row>
    <row r="8944" spans="1:2">
      <c r="A8944" s="66">
        <v>46071.788458090276</v>
      </c>
      <c r="B8944" s="49" t="s">
        <v>10563</v>
      </c>
    </row>
    <row r="8945" spans="1:2">
      <c r="A8945" s="66">
        <v>46071.788478182869</v>
      </c>
      <c r="B8945" s="49" t="s">
        <v>10564</v>
      </c>
    </row>
    <row r="8946" spans="1:2">
      <c r="A8946" s="66">
        <v>46071.788481354168</v>
      </c>
      <c r="B8946" s="49" t="s">
        <v>10542</v>
      </c>
    </row>
    <row r="8947" spans="1:2">
      <c r="A8947" s="66">
        <v>46071.788483506942</v>
      </c>
      <c r="B8947" s="49" t="s">
        <v>10543</v>
      </c>
    </row>
    <row r="8948" spans="1:2">
      <c r="A8948" s="66">
        <v>46071.788485925921</v>
      </c>
      <c r="B8948" s="49" t="s">
        <v>9394</v>
      </c>
    </row>
    <row r="8949" spans="1:2">
      <c r="A8949" s="66">
        <v>46071.789711273144</v>
      </c>
      <c r="B8949" s="49" t="s">
        <v>10556</v>
      </c>
    </row>
    <row r="8950" spans="1:2">
      <c r="A8950" s="66">
        <v>46071.789714166662</v>
      </c>
      <c r="B8950" s="49" t="s">
        <v>10557</v>
      </c>
    </row>
    <row r="8951" spans="1:2">
      <c r="A8951" s="66">
        <v>46071.789716643514</v>
      </c>
      <c r="B8951" s="49" t="s">
        <v>10546</v>
      </c>
    </row>
    <row r="8952" spans="1:2">
      <c r="A8952" s="66">
        <v>46071.789722071757</v>
      </c>
      <c r="B8952" s="49" t="s">
        <v>10466</v>
      </c>
    </row>
    <row r="8953" spans="1:2">
      <c r="A8953" s="66">
        <v>46071.789724733797</v>
      </c>
      <c r="B8953" s="49" t="s">
        <v>10561</v>
      </c>
    </row>
    <row r="8954" spans="1:2">
      <c r="A8954" s="66">
        <v>46071.789727418982</v>
      </c>
      <c r="B8954" s="49" t="s">
        <v>10562</v>
      </c>
    </row>
    <row r="8955" spans="1:2">
      <c r="A8955" s="66">
        <v>46071.789731354162</v>
      </c>
      <c r="B8955" s="49" t="s">
        <v>10563</v>
      </c>
    </row>
    <row r="8956" spans="1:2">
      <c r="A8956" s="66">
        <v>46071.78975300926</v>
      </c>
      <c r="B8956" s="49" t="s">
        <v>10564</v>
      </c>
    </row>
    <row r="8957" spans="1:2">
      <c r="A8957" s="66">
        <v>46071.789757071761</v>
      </c>
      <c r="B8957" s="49" t="s">
        <v>10542</v>
      </c>
    </row>
    <row r="8958" spans="1:2">
      <c r="A8958" s="66">
        <v>46071.789760011576</v>
      </c>
      <c r="B8958" s="49" t="s">
        <v>10543</v>
      </c>
    </row>
    <row r="8959" spans="1:2">
      <c r="A8959" s="66">
        <v>46071.789762974542</v>
      </c>
      <c r="B8959" s="49" t="s">
        <v>9394</v>
      </c>
    </row>
    <row r="8960" spans="1:2">
      <c r="A8960" s="66">
        <v>46071.790960127313</v>
      </c>
      <c r="B8960" s="49" t="s">
        <v>10556</v>
      </c>
    </row>
    <row r="8961" spans="1:2">
      <c r="A8961" s="66">
        <v>46071.790968333335</v>
      </c>
      <c r="B8961" s="49" t="s">
        <v>10557</v>
      </c>
    </row>
    <row r="8962" spans="1:2">
      <c r="A8962" s="66">
        <v>46071.790971504626</v>
      </c>
      <c r="B8962" s="49" t="s">
        <v>10546</v>
      </c>
    </row>
    <row r="8963" spans="1:2">
      <c r="A8963" s="66">
        <v>46071.790974988427</v>
      </c>
      <c r="B8963" s="49" t="s">
        <v>10466</v>
      </c>
    </row>
    <row r="8964" spans="1:2">
      <c r="A8964" s="66">
        <v>46071.790977777782</v>
      </c>
      <c r="B8964" s="49" t="s">
        <v>10561</v>
      </c>
    </row>
    <row r="8965" spans="1:2">
      <c r="A8965" s="66">
        <v>46071.790980497681</v>
      </c>
      <c r="B8965" s="49" t="s">
        <v>10562</v>
      </c>
    </row>
    <row r="8966" spans="1:2">
      <c r="A8966" s="66">
        <v>46071.790983321756</v>
      </c>
      <c r="B8966" s="49" t="s">
        <v>10563</v>
      </c>
    </row>
    <row r="8967" spans="1:2">
      <c r="A8967" s="66">
        <v>46071.791006192128</v>
      </c>
      <c r="B8967" s="49" t="s">
        <v>10564</v>
      </c>
    </row>
    <row r="8968" spans="1:2">
      <c r="A8968" s="66">
        <v>46071.791009780092</v>
      </c>
      <c r="B8968" s="49" t="s">
        <v>10542</v>
      </c>
    </row>
    <row r="8969" spans="1:2">
      <c r="A8969" s="66">
        <v>46071.791012500005</v>
      </c>
      <c r="B8969" s="49" t="s">
        <v>10543</v>
      </c>
    </row>
    <row r="8970" spans="1:2">
      <c r="A8970" s="66">
        <v>46071.791015266208</v>
      </c>
      <c r="B8970" s="49" t="s">
        <v>9394</v>
      </c>
    </row>
    <row r="8971" spans="1:2">
      <c r="A8971" s="66">
        <v>46071.79205478009</v>
      </c>
      <c r="B8971" s="49" t="s">
        <v>10556</v>
      </c>
    </row>
    <row r="8972" spans="1:2">
      <c r="A8972" s="66">
        <v>46071.792058182866</v>
      </c>
      <c r="B8972" s="49" t="s">
        <v>10557</v>
      </c>
    </row>
    <row r="8973" spans="1:2">
      <c r="A8973" s="66">
        <v>46071.792061215281</v>
      </c>
      <c r="B8973" s="49" t="s">
        <v>10546</v>
      </c>
    </row>
    <row r="8974" spans="1:2">
      <c r="A8974" s="66">
        <v>46071.792063946763</v>
      </c>
      <c r="B8974" s="49" t="s">
        <v>10466</v>
      </c>
    </row>
    <row r="8975" spans="1:2">
      <c r="A8975" s="66">
        <v>46071.792067835646</v>
      </c>
      <c r="B8975" s="49" t="s">
        <v>10561</v>
      </c>
    </row>
    <row r="8976" spans="1:2">
      <c r="A8976" s="66">
        <v>46071.792070995369</v>
      </c>
      <c r="B8976" s="49" t="s">
        <v>10562</v>
      </c>
    </row>
    <row r="8977" spans="1:2">
      <c r="A8977" s="66">
        <v>46071.792074432873</v>
      </c>
      <c r="B8977" s="49" t="s">
        <v>10563</v>
      </c>
    </row>
    <row r="8978" spans="1:2">
      <c r="A8978" s="66">
        <v>46071.792097986108</v>
      </c>
      <c r="B8978" s="49" t="s">
        <v>10564</v>
      </c>
    </row>
    <row r="8979" spans="1:2">
      <c r="A8979" s="66">
        <v>46071.792101851854</v>
      </c>
      <c r="B8979" s="49" t="s">
        <v>10542</v>
      </c>
    </row>
    <row r="8980" spans="1:2">
      <c r="A8980" s="66">
        <v>46071.792105486107</v>
      </c>
      <c r="B8980" s="49" t="s">
        <v>10543</v>
      </c>
    </row>
    <row r="8981" spans="1:2">
      <c r="A8981" s="66">
        <v>46071.792118275465</v>
      </c>
      <c r="B8981" s="49" t="s">
        <v>9394</v>
      </c>
    </row>
    <row r="8982" spans="1:2">
      <c r="A8982" s="66">
        <v>46071.793128078702</v>
      </c>
      <c r="B8982" s="49" t="s">
        <v>10556</v>
      </c>
    </row>
    <row r="8983" spans="1:2">
      <c r="A8983" s="66">
        <v>46071.793131284721</v>
      </c>
      <c r="B8983" s="49" t="s">
        <v>10557</v>
      </c>
    </row>
    <row r="8984" spans="1:2">
      <c r="A8984" s="66">
        <v>46071.79313424768</v>
      </c>
      <c r="B8984" s="49" t="s">
        <v>10546</v>
      </c>
    </row>
    <row r="8985" spans="1:2">
      <c r="A8985" s="66">
        <v>46071.793137546294</v>
      </c>
      <c r="B8985" s="49" t="s">
        <v>10466</v>
      </c>
    </row>
    <row r="8986" spans="1:2">
      <c r="A8986" s="66">
        <v>46071.793157025459</v>
      </c>
      <c r="B8986" s="49" t="s">
        <v>10561</v>
      </c>
    </row>
    <row r="8987" spans="1:2">
      <c r="A8987" s="66">
        <v>46071.793160474539</v>
      </c>
      <c r="B8987" s="49" t="s">
        <v>10562</v>
      </c>
    </row>
    <row r="8988" spans="1:2">
      <c r="A8988" s="66">
        <v>46071.793163576389</v>
      </c>
      <c r="B8988" s="49" t="s">
        <v>10563</v>
      </c>
    </row>
    <row r="8989" spans="1:2">
      <c r="A8989" s="66">
        <v>46071.793186608797</v>
      </c>
      <c r="B8989" s="49" t="s">
        <v>10564</v>
      </c>
    </row>
    <row r="8990" spans="1:2">
      <c r="A8990" s="66">
        <v>46071.793191168981</v>
      </c>
      <c r="B8990" s="49" t="s">
        <v>10542</v>
      </c>
    </row>
    <row r="8991" spans="1:2">
      <c r="A8991" s="66">
        <v>46071.793194895828</v>
      </c>
      <c r="B8991" s="49" t="s">
        <v>10543</v>
      </c>
    </row>
    <row r="8992" spans="1:2">
      <c r="A8992" s="66">
        <v>46071.793198113424</v>
      </c>
      <c r="B8992" s="49" t="s">
        <v>9394</v>
      </c>
    </row>
    <row r="8993" spans="1:2">
      <c r="A8993" s="66">
        <v>46071.794435000003</v>
      </c>
      <c r="B8993" s="49" t="s">
        <v>10556</v>
      </c>
    </row>
    <row r="8994" spans="1:2">
      <c r="A8994" s="66">
        <v>46071.794439803241</v>
      </c>
      <c r="B8994" s="49" t="s">
        <v>10557</v>
      </c>
    </row>
    <row r="8995" spans="1:2">
      <c r="A8995" s="66">
        <v>46071.794442997685</v>
      </c>
      <c r="B8995" s="49" t="s">
        <v>10546</v>
      </c>
    </row>
    <row r="8996" spans="1:2">
      <c r="A8996" s="66">
        <v>46071.794445937499</v>
      </c>
      <c r="B8996" s="49" t="s">
        <v>10466</v>
      </c>
    </row>
    <row r="8997" spans="1:2">
      <c r="A8997" s="66">
        <v>46071.79444996528</v>
      </c>
      <c r="B8997" s="49" t="s">
        <v>10561</v>
      </c>
    </row>
    <row r="8998" spans="1:2">
      <c r="A8998" s="66">
        <v>46071.794453483795</v>
      </c>
      <c r="B8998" s="49" t="s">
        <v>10562</v>
      </c>
    </row>
    <row r="8999" spans="1:2">
      <c r="A8999" s="66">
        <v>46071.794458263888</v>
      </c>
      <c r="B8999" s="49" t="s">
        <v>10563</v>
      </c>
    </row>
    <row r="9000" spans="1:2">
      <c r="A9000" s="66">
        <v>46071.79448138889</v>
      </c>
      <c r="B9000" s="49" t="s">
        <v>10564</v>
      </c>
    </row>
    <row r="9001" spans="1:2">
      <c r="A9001" s="66">
        <v>46071.794487557869</v>
      </c>
      <c r="B9001" s="49" t="s">
        <v>10542</v>
      </c>
    </row>
    <row r="9002" spans="1:2">
      <c r="A9002" s="66">
        <v>46071.794501099532</v>
      </c>
      <c r="B9002" s="49" t="s">
        <v>10543</v>
      </c>
    </row>
    <row r="9003" spans="1:2">
      <c r="A9003" s="66">
        <v>46071.794504594909</v>
      </c>
      <c r="B9003" s="49" t="s">
        <v>9394</v>
      </c>
    </row>
    <row r="9004" spans="1:2">
      <c r="A9004" s="66">
        <v>46071.795881608792</v>
      </c>
      <c r="B9004" s="49" t="s">
        <v>10556</v>
      </c>
    </row>
    <row r="9005" spans="1:2">
      <c r="A9005" s="66">
        <v>46071.795896608797</v>
      </c>
      <c r="B9005" s="49" t="s">
        <v>10557</v>
      </c>
    </row>
    <row r="9006" spans="1:2">
      <c r="A9006" s="66">
        <v>46071.795900763886</v>
      </c>
      <c r="B9006" s="49" t="s">
        <v>10546</v>
      </c>
    </row>
    <row r="9007" spans="1:2">
      <c r="A9007" s="66">
        <v>46071.795904629631</v>
      </c>
      <c r="B9007" s="49" t="s">
        <v>10466</v>
      </c>
    </row>
    <row r="9008" spans="1:2">
      <c r="A9008" s="66">
        <v>46071.795906921296</v>
      </c>
      <c r="B9008" s="49" t="s">
        <v>10561</v>
      </c>
    </row>
    <row r="9009" spans="1:2">
      <c r="A9009" s="66">
        <v>46071.795909224536</v>
      </c>
      <c r="B9009" s="49" t="s">
        <v>10562</v>
      </c>
    </row>
    <row r="9010" spans="1:2">
      <c r="A9010" s="66">
        <v>46071.795911597219</v>
      </c>
      <c r="B9010" s="49" t="s">
        <v>10563</v>
      </c>
    </row>
    <row r="9011" spans="1:2">
      <c r="A9011" s="66">
        <v>46071.795931076384</v>
      </c>
      <c r="B9011" s="49" t="s">
        <v>10564</v>
      </c>
    </row>
    <row r="9012" spans="1:2">
      <c r="A9012" s="66">
        <v>46071.795936469905</v>
      </c>
      <c r="B9012" s="49" t="s">
        <v>10542</v>
      </c>
    </row>
    <row r="9013" spans="1:2">
      <c r="A9013" s="66">
        <v>46071.795938622687</v>
      </c>
      <c r="B9013" s="49" t="s">
        <v>10543</v>
      </c>
    </row>
    <row r="9014" spans="1:2">
      <c r="A9014" s="66">
        <v>46071.795941145829</v>
      </c>
      <c r="B9014" s="49" t="s">
        <v>9394</v>
      </c>
    </row>
    <row r="9015" spans="1:2">
      <c r="A9015" s="66">
        <v>46071.796839016199</v>
      </c>
      <c r="B9015" s="49" t="s">
        <v>10556</v>
      </c>
    </row>
    <row r="9016" spans="1:2">
      <c r="A9016" s="66">
        <v>46071.796845636578</v>
      </c>
      <c r="B9016" s="49" t="s">
        <v>10557</v>
      </c>
    </row>
    <row r="9017" spans="1:2">
      <c r="A9017" s="66">
        <v>46071.796848414349</v>
      </c>
      <c r="B9017" s="49" t="s">
        <v>10546</v>
      </c>
    </row>
    <row r="9018" spans="1:2">
      <c r="A9018" s="66">
        <v>46071.796851423613</v>
      </c>
      <c r="B9018" s="49" t="s">
        <v>10466</v>
      </c>
    </row>
    <row r="9019" spans="1:2">
      <c r="A9019" s="66">
        <v>46071.796854189815</v>
      </c>
      <c r="B9019" s="49" t="s">
        <v>10561</v>
      </c>
    </row>
    <row r="9020" spans="1:2">
      <c r="A9020" s="66">
        <v>46071.796857037036</v>
      </c>
      <c r="B9020" s="49" t="s">
        <v>10562</v>
      </c>
    </row>
    <row r="9021" spans="1:2">
      <c r="A9021" s="66">
        <v>46071.796861087962</v>
      </c>
      <c r="B9021" s="49" t="s">
        <v>10563</v>
      </c>
    </row>
    <row r="9022" spans="1:2">
      <c r="A9022" s="66">
        <v>46071.796883634262</v>
      </c>
      <c r="B9022" s="49" t="s">
        <v>10564</v>
      </c>
    </row>
    <row r="9023" spans="1:2">
      <c r="A9023" s="66">
        <v>46071.796888136574</v>
      </c>
      <c r="B9023" s="49" t="s">
        <v>10542</v>
      </c>
    </row>
    <row r="9024" spans="1:2">
      <c r="A9024" s="66">
        <v>46071.796891423612</v>
      </c>
      <c r="B9024" s="49" t="s">
        <v>10543</v>
      </c>
    </row>
    <row r="9025" spans="1:2">
      <c r="A9025" s="66">
        <v>46071.796894363426</v>
      </c>
      <c r="B9025" s="49" t="s">
        <v>9394</v>
      </c>
    </row>
    <row r="9026" spans="1:2">
      <c r="A9026" s="66">
        <v>46071.798112083328</v>
      </c>
      <c r="B9026" s="49" t="s">
        <v>10556</v>
      </c>
    </row>
    <row r="9027" spans="1:2">
      <c r="A9027" s="66">
        <v>46071.798114675927</v>
      </c>
      <c r="B9027" s="49" t="s">
        <v>10557</v>
      </c>
    </row>
    <row r="9028" spans="1:2">
      <c r="A9028" s="66">
        <v>46071.798117442129</v>
      </c>
      <c r="B9028" s="49" t="s">
        <v>10546</v>
      </c>
    </row>
    <row r="9029" spans="1:2">
      <c r="A9029" s="66">
        <v>46071.798120196763</v>
      </c>
      <c r="B9029" s="49" t="s">
        <v>10466</v>
      </c>
    </row>
    <row r="9030" spans="1:2">
      <c r="A9030" s="66">
        <v>46071.798124687499</v>
      </c>
      <c r="B9030" s="49" t="s">
        <v>10561</v>
      </c>
    </row>
    <row r="9031" spans="1:2">
      <c r="A9031" s="66">
        <v>46071.798127499998</v>
      </c>
      <c r="B9031" s="49" t="s">
        <v>10562</v>
      </c>
    </row>
    <row r="9032" spans="1:2">
      <c r="A9032" s="66">
        <v>46071.798130138894</v>
      </c>
      <c r="B9032" s="49" t="s">
        <v>10563</v>
      </c>
    </row>
    <row r="9033" spans="1:2">
      <c r="A9033" s="66">
        <v>46071.798157268524</v>
      </c>
      <c r="B9033" s="49" t="s">
        <v>10564</v>
      </c>
    </row>
    <row r="9034" spans="1:2">
      <c r="A9034" s="66">
        <v>46071.798160879625</v>
      </c>
      <c r="B9034" s="49" t="s">
        <v>10542</v>
      </c>
    </row>
    <row r="9035" spans="1:2">
      <c r="A9035" s="66">
        <v>46071.798163449072</v>
      </c>
      <c r="B9035" s="49" t="s">
        <v>10543</v>
      </c>
    </row>
    <row r="9036" spans="1:2">
      <c r="A9036" s="66">
        <v>46071.798167013891</v>
      </c>
      <c r="B9036" s="49" t="s">
        <v>9394</v>
      </c>
    </row>
    <row r="9037" spans="1:2">
      <c r="A9037" s="66">
        <v>46071.799311006944</v>
      </c>
      <c r="B9037" s="49" t="s">
        <v>10556</v>
      </c>
    </row>
    <row r="9038" spans="1:2">
      <c r="A9038" s="66">
        <v>46071.799313483796</v>
      </c>
      <c r="B9038" s="49" t="s">
        <v>10557</v>
      </c>
    </row>
    <row r="9039" spans="1:2">
      <c r="A9039" s="66">
        <v>46071.799317534722</v>
      </c>
      <c r="B9039" s="49" t="s">
        <v>10546</v>
      </c>
    </row>
    <row r="9040" spans="1:2">
      <c r="A9040" s="66">
        <v>46071.79932012732</v>
      </c>
      <c r="B9040" s="49" t="s">
        <v>10466</v>
      </c>
    </row>
    <row r="9041" spans="1:2">
      <c r="A9041" s="66">
        <v>46071.799322465275</v>
      </c>
      <c r="B9041" s="49" t="s">
        <v>10561</v>
      </c>
    </row>
    <row r="9042" spans="1:2">
      <c r="A9042" s="66">
        <v>46071.799324872685</v>
      </c>
      <c r="B9042" s="49" t="s">
        <v>10562</v>
      </c>
    </row>
    <row r="9043" spans="1:2">
      <c r="A9043" s="66">
        <v>46071.799327442131</v>
      </c>
      <c r="B9043" s="49" t="s">
        <v>10563</v>
      </c>
    </row>
    <row r="9044" spans="1:2">
      <c r="A9044" s="66">
        <v>46071.799347627311</v>
      </c>
      <c r="B9044" s="49" t="s">
        <v>10564</v>
      </c>
    </row>
    <row r="9045" spans="1:2">
      <c r="A9045" s="66">
        <v>46071.799351319445</v>
      </c>
      <c r="B9045" s="49" t="s">
        <v>10542</v>
      </c>
    </row>
    <row r="9046" spans="1:2">
      <c r="A9046" s="66">
        <v>46071.799354988427</v>
      </c>
      <c r="B9046" s="49" t="s">
        <v>10543</v>
      </c>
    </row>
    <row r="9047" spans="1:2">
      <c r="A9047" s="66">
        <v>46071.799357604163</v>
      </c>
      <c r="B9047" s="49" t="s">
        <v>9394</v>
      </c>
    </row>
    <row r="9048" spans="1:2">
      <c r="A9048" s="66">
        <v>46071.800748842594</v>
      </c>
      <c r="B9048" s="49" t="s">
        <v>10556</v>
      </c>
    </row>
    <row r="9049" spans="1:2">
      <c r="A9049" s="66">
        <v>46071.800751469906</v>
      </c>
      <c r="B9049" s="49" t="s">
        <v>10557</v>
      </c>
    </row>
    <row r="9050" spans="1:2">
      <c r="A9050" s="66">
        <v>46071.800754178243</v>
      </c>
      <c r="B9050" s="49" t="s">
        <v>10546</v>
      </c>
    </row>
    <row r="9051" spans="1:2">
      <c r="A9051" s="66">
        <v>46071.800756851851</v>
      </c>
      <c r="B9051" s="49" t="s">
        <v>10466</v>
      </c>
    </row>
    <row r="9052" spans="1:2">
      <c r="A9052" s="66">
        <v>46071.800762847226</v>
      </c>
      <c r="B9052" s="49" t="s">
        <v>10561</v>
      </c>
    </row>
    <row r="9053" spans="1:2">
      <c r="A9053" s="66">
        <v>46071.800765451393</v>
      </c>
      <c r="B9053" s="49" t="s">
        <v>10562</v>
      </c>
    </row>
    <row r="9054" spans="1:2">
      <c r="A9054" s="66">
        <v>46071.800768333334</v>
      </c>
      <c r="B9054" s="49" t="s">
        <v>10563</v>
      </c>
    </row>
    <row r="9055" spans="1:2">
      <c r="A9055" s="66">
        <v>46071.800786099542</v>
      </c>
      <c r="B9055" s="49" t="s">
        <v>10564</v>
      </c>
    </row>
    <row r="9056" spans="1:2">
      <c r="A9056" s="66">
        <v>46071.800789386572</v>
      </c>
      <c r="B9056" s="49" t="s">
        <v>10542</v>
      </c>
    </row>
    <row r="9057" spans="1:2">
      <c r="A9057" s="66">
        <v>46071.800792037036</v>
      </c>
      <c r="B9057" s="49" t="s">
        <v>10543</v>
      </c>
    </row>
    <row r="9058" spans="1:2">
      <c r="A9058" s="66">
        <v>46071.800794722221</v>
      </c>
      <c r="B9058" s="49" t="s">
        <v>9394</v>
      </c>
    </row>
    <row r="9059" spans="1:2">
      <c r="A9059" s="66">
        <v>46071.801896354169</v>
      </c>
      <c r="B9059" s="49" t="s">
        <v>10556</v>
      </c>
    </row>
    <row r="9060" spans="1:2">
      <c r="A9060" s="66">
        <v>46071.801900995371</v>
      </c>
      <c r="B9060" s="49" t="s">
        <v>10557</v>
      </c>
    </row>
    <row r="9061" spans="1:2">
      <c r="A9061" s="66">
        <v>46071.801904328706</v>
      </c>
      <c r="B9061" s="49" t="s">
        <v>10546</v>
      </c>
    </row>
    <row r="9062" spans="1:2">
      <c r="A9062" s="66">
        <v>46071.801908194444</v>
      </c>
      <c r="B9062" s="49" t="s">
        <v>10466</v>
      </c>
    </row>
    <row r="9063" spans="1:2">
      <c r="A9063" s="66">
        <v>46071.801911597227</v>
      </c>
      <c r="B9063" s="49" t="s">
        <v>10561</v>
      </c>
    </row>
    <row r="9064" spans="1:2">
      <c r="A9064" s="66">
        <v>46071.801915324075</v>
      </c>
      <c r="B9064" s="49" t="s">
        <v>10562</v>
      </c>
    </row>
    <row r="9065" spans="1:2">
      <c r="A9065" s="66">
        <v>46071.801918449069</v>
      </c>
      <c r="B9065" s="49" t="s">
        <v>10563</v>
      </c>
    </row>
    <row r="9066" spans="1:2">
      <c r="A9066" s="66">
        <v>46071.801947789354</v>
      </c>
      <c r="B9066" s="49" t="s">
        <v>10564</v>
      </c>
    </row>
    <row r="9067" spans="1:2">
      <c r="A9067" s="66">
        <v>46071.801951226851</v>
      </c>
      <c r="B9067" s="49" t="s">
        <v>10542</v>
      </c>
    </row>
    <row r="9068" spans="1:2">
      <c r="A9068" s="66">
        <v>46071.801954745373</v>
      </c>
      <c r="B9068" s="49" t="s">
        <v>10543</v>
      </c>
    </row>
    <row r="9069" spans="1:2">
      <c r="A9069" s="66">
        <v>46071.801958078708</v>
      </c>
      <c r="B9069" s="49" t="s">
        <v>9394</v>
      </c>
    </row>
    <row r="9070" spans="1:2">
      <c r="A9070" s="66">
        <v>46071.803013067125</v>
      </c>
      <c r="B9070" s="49" t="s">
        <v>10556</v>
      </c>
    </row>
    <row r="9071" spans="1:2">
      <c r="A9071" s="66">
        <v>46071.803016979167</v>
      </c>
      <c r="B9071" s="49" t="s">
        <v>10557</v>
      </c>
    </row>
    <row r="9072" spans="1:2">
      <c r="A9072" s="66">
        <v>46071.80301993055</v>
      </c>
      <c r="B9072" s="49" t="s">
        <v>10546</v>
      </c>
    </row>
    <row r="9073" spans="1:2">
      <c r="A9073" s="66">
        <v>46071.803022812499</v>
      </c>
      <c r="B9073" s="49" t="s">
        <v>10466</v>
      </c>
    </row>
    <row r="9074" spans="1:2">
      <c r="A9074" s="66">
        <v>46071.80302619213</v>
      </c>
      <c r="B9074" s="49" t="s">
        <v>10561</v>
      </c>
    </row>
    <row r="9075" spans="1:2">
      <c r="A9075" s="66">
        <v>46071.803031203701</v>
      </c>
      <c r="B9075" s="49" t="s">
        <v>10562</v>
      </c>
    </row>
    <row r="9076" spans="1:2">
      <c r="A9076" s="66">
        <v>46071.803034212964</v>
      </c>
      <c r="B9076" s="49" t="s">
        <v>10563</v>
      </c>
    </row>
    <row r="9077" spans="1:2">
      <c r="A9077" s="66">
        <v>46071.803057083336</v>
      </c>
      <c r="B9077" s="49" t="s">
        <v>10564</v>
      </c>
    </row>
    <row r="9078" spans="1:2">
      <c r="A9078" s="66">
        <v>46071.803060983795</v>
      </c>
      <c r="B9078" s="49" t="s">
        <v>10542</v>
      </c>
    </row>
    <row r="9079" spans="1:2">
      <c r="A9079" s="66">
        <v>46071.803064363427</v>
      </c>
      <c r="B9079" s="49" t="s">
        <v>10543</v>
      </c>
    </row>
    <row r="9080" spans="1:2">
      <c r="A9080" s="66">
        <v>46071.803067361107</v>
      </c>
      <c r="B9080" s="49" t="s">
        <v>9394</v>
      </c>
    </row>
    <row r="9081" spans="1:2">
      <c r="A9081" s="66">
        <v>46071.804066064811</v>
      </c>
      <c r="B9081" s="49" t="s">
        <v>10556</v>
      </c>
    </row>
    <row r="9082" spans="1:2">
      <c r="A9082" s="66">
        <v>46071.804068807869</v>
      </c>
      <c r="B9082" s="49" t="s">
        <v>10557</v>
      </c>
    </row>
    <row r="9083" spans="1:2">
      <c r="A9083" s="66">
        <v>46071.804071631945</v>
      </c>
      <c r="B9083" s="49" t="s">
        <v>10546</v>
      </c>
    </row>
    <row r="9084" spans="1:2">
      <c r="A9084" s="66">
        <v>46071.804074108797</v>
      </c>
      <c r="B9084" s="49" t="s">
        <v>10466</v>
      </c>
    </row>
    <row r="9085" spans="1:2">
      <c r="A9085" s="66">
        <v>46071.804076956018</v>
      </c>
      <c r="B9085" s="49" t="s">
        <v>10561</v>
      </c>
    </row>
    <row r="9086" spans="1:2">
      <c r="A9086" s="66">
        <v>46071.804079583337</v>
      </c>
      <c r="B9086" s="49" t="s">
        <v>10562</v>
      </c>
    </row>
    <row r="9087" spans="1:2">
      <c r="A9087" s="66">
        <v>46071.80408642361</v>
      </c>
      <c r="B9087" s="49" t="s">
        <v>10563</v>
      </c>
    </row>
    <row r="9088" spans="1:2">
      <c r="A9088" s="66">
        <v>46071.80411420139</v>
      </c>
      <c r="B9088" s="49" t="s">
        <v>10564</v>
      </c>
    </row>
    <row r="9089" spans="1:2">
      <c r="A9089" s="66">
        <v>46071.80411759259</v>
      </c>
      <c r="B9089" s="49" t="s">
        <v>10542</v>
      </c>
    </row>
    <row r="9090" spans="1:2">
      <c r="A9090" s="66">
        <v>46071.804124259259</v>
      </c>
      <c r="B9090" s="49" t="s">
        <v>10543</v>
      </c>
    </row>
    <row r="9091" spans="1:2">
      <c r="A9091" s="66">
        <v>46071.804128969903</v>
      </c>
      <c r="B9091" s="49" t="s">
        <v>9394</v>
      </c>
    </row>
    <row r="9092" spans="1:2">
      <c r="A9092" s="66">
        <v>46071.805236793982</v>
      </c>
      <c r="B9092" s="49" t="s">
        <v>10556</v>
      </c>
    </row>
    <row r="9093" spans="1:2">
      <c r="A9093" s="66">
        <v>46071.805239305555</v>
      </c>
      <c r="B9093" s="49" t="s">
        <v>10557</v>
      </c>
    </row>
    <row r="9094" spans="1:2">
      <c r="A9094" s="66">
        <v>46071.805241932874</v>
      </c>
      <c r="B9094" s="49" t="s">
        <v>10546</v>
      </c>
    </row>
    <row r="9095" spans="1:2">
      <c r="A9095" s="66">
        <v>46071.805244456016</v>
      </c>
      <c r="B9095" s="49" t="s">
        <v>10466</v>
      </c>
    </row>
    <row r="9096" spans="1:2">
      <c r="A9096" s="66">
        <v>46071.805251446756</v>
      </c>
      <c r="B9096" s="49" t="s">
        <v>10561</v>
      </c>
    </row>
    <row r="9097" spans="1:2">
      <c r="A9097" s="66">
        <v>46071.80525524306</v>
      </c>
      <c r="B9097" s="49" t="s">
        <v>10562</v>
      </c>
    </row>
    <row r="9098" spans="1:2">
      <c r="A9098" s="66">
        <v>46071.805257719912</v>
      </c>
      <c r="B9098" s="49" t="s">
        <v>10563</v>
      </c>
    </row>
    <row r="9099" spans="1:2">
      <c r="A9099" s="66">
        <v>46071.8052828125</v>
      </c>
      <c r="B9099" s="49" t="s">
        <v>10564</v>
      </c>
    </row>
    <row r="9100" spans="1:2">
      <c r="A9100" s="66">
        <v>46071.805287233801</v>
      </c>
      <c r="B9100" s="49" t="s">
        <v>10542</v>
      </c>
    </row>
    <row r="9101" spans="1:2">
      <c r="A9101" s="66">
        <v>46071.805290567128</v>
      </c>
      <c r="B9101" s="49" t="s">
        <v>10543</v>
      </c>
    </row>
    <row r="9102" spans="1:2">
      <c r="A9102" s="66">
        <v>46071.805304583337</v>
      </c>
      <c r="B9102" s="49" t="s">
        <v>9394</v>
      </c>
    </row>
    <row r="9103" spans="1:2">
      <c r="A9103" s="66">
        <v>46071.806641006944</v>
      </c>
      <c r="B9103" s="49" t="s">
        <v>10556</v>
      </c>
    </row>
    <row r="9104" spans="1:2">
      <c r="A9104" s="66">
        <v>46071.806644560187</v>
      </c>
      <c r="B9104" s="49" t="s">
        <v>10557</v>
      </c>
    </row>
    <row r="9105" spans="1:2">
      <c r="A9105" s="66">
        <v>46071.806649328704</v>
      </c>
      <c r="B9105" s="49" t="s">
        <v>10546</v>
      </c>
    </row>
    <row r="9106" spans="1:2">
      <c r="A9106" s="66">
        <v>46071.80665677083</v>
      </c>
      <c r="B9106" s="49" t="s">
        <v>10466</v>
      </c>
    </row>
    <row r="9107" spans="1:2">
      <c r="A9107" s="66">
        <v>46071.806661099537</v>
      </c>
      <c r="B9107" s="49" t="s">
        <v>10561</v>
      </c>
    </row>
    <row r="9108" spans="1:2">
      <c r="A9108" s="66">
        <v>46071.806665150463</v>
      </c>
      <c r="B9108" s="49" t="s">
        <v>10562</v>
      </c>
    </row>
    <row r="9109" spans="1:2">
      <c r="A9109" s="66">
        <v>46071.806670706021</v>
      </c>
      <c r="B9109" s="49" t="s">
        <v>10563</v>
      </c>
    </row>
    <row r="9110" spans="1:2">
      <c r="A9110" s="66">
        <v>46071.806701099536</v>
      </c>
      <c r="B9110" s="49" t="s">
        <v>10564</v>
      </c>
    </row>
    <row r="9111" spans="1:2">
      <c r="A9111" s="66">
        <v>46071.806704826391</v>
      </c>
      <c r="B9111" s="49" t="s">
        <v>10542</v>
      </c>
    </row>
    <row r="9112" spans="1:2">
      <c r="A9112" s="66">
        <v>46071.806707881944</v>
      </c>
      <c r="B9112" s="49" t="s">
        <v>10543</v>
      </c>
    </row>
    <row r="9113" spans="1:2">
      <c r="A9113" s="66">
        <v>46071.806712094913</v>
      </c>
      <c r="B9113" s="49" t="s">
        <v>9394</v>
      </c>
    </row>
    <row r="9114" spans="1:2">
      <c r="A9114" s="66">
        <v>46071.807926180554</v>
      </c>
      <c r="B9114" s="49" t="s">
        <v>10556</v>
      </c>
    </row>
    <row r="9115" spans="1:2">
      <c r="A9115" s="66">
        <v>46071.807928229166</v>
      </c>
      <c r="B9115" s="49" t="s">
        <v>10557</v>
      </c>
    </row>
    <row r="9116" spans="1:2">
      <c r="A9116" s="66">
        <v>46071.807930115741</v>
      </c>
      <c r="B9116" s="49" t="s">
        <v>10546</v>
      </c>
    </row>
    <row r="9117" spans="1:2">
      <c r="A9117" s="66">
        <v>46071.807932442127</v>
      </c>
      <c r="B9117" s="49" t="s">
        <v>10466</v>
      </c>
    </row>
    <row r="9118" spans="1:2">
      <c r="A9118" s="66">
        <v>46071.807935972218</v>
      </c>
      <c r="B9118" s="49" t="s">
        <v>10561</v>
      </c>
    </row>
    <row r="9119" spans="1:2">
      <c r="A9119" s="66">
        <v>46071.807939189814</v>
      </c>
      <c r="B9119" s="49" t="s">
        <v>10562</v>
      </c>
    </row>
    <row r="9120" spans="1:2">
      <c r="A9120" s="66">
        <v>46071.807945381945</v>
      </c>
      <c r="B9120" s="49" t="s">
        <v>10563</v>
      </c>
    </row>
    <row r="9121" spans="1:2">
      <c r="A9121" s="66">
        <v>46071.807964872685</v>
      </c>
      <c r="B9121" s="49" t="s">
        <v>10564</v>
      </c>
    </row>
    <row r="9122" spans="1:2">
      <c r="A9122" s="66">
        <v>46071.807968263893</v>
      </c>
      <c r="B9122" s="49" t="s">
        <v>10542</v>
      </c>
    </row>
    <row r="9123" spans="1:2">
      <c r="A9123" s="66">
        <v>46071.807970787035</v>
      </c>
      <c r="B9123" s="49" t="s">
        <v>10543</v>
      </c>
    </row>
    <row r="9124" spans="1:2">
      <c r="A9124" s="66">
        <v>46071.80797292824</v>
      </c>
      <c r="B9124" s="49" t="s">
        <v>9394</v>
      </c>
    </row>
    <row r="9125" spans="1:2">
      <c r="A9125" s="66">
        <v>46071.808963692129</v>
      </c>
      <c r="B9125" s="49" t="s">
        <v>10556</v>
      </c>
    </row>
    <row r="9126" spans="1:2">
      <c r="A9126" s="66">
        <v>46071.808967164354</v>
      </c>
      <c r="B9126" s="49" t="s">
        <v>10557</v>
      </c>
    </row>
    <row r="9127" spans="1:2">
      <c r="A9127" s="66">
        <v>46071.808970509257</v>
      </c>
      <c r="B9127" s="49" t="s">
        <v>10546</v>
      </c>
    </row>
    <row r="9128" spans="1:2">
      <c r="A9128" s="66">
        <v>46071.808975902779</v>
      </c>
      <c r="B9128" s="49" t="s">
        <v>10466</v>
      </c>
    </row>
    <row r="9129" spans="1:2">
      <c r="A9129" s="66">
        <v>46071.808979884256</v>
      </c>
      <c r="B9129" s="49" t="s">
        <v>10561</v>
      </c>
    </row>
    <row r="9130" spans="1:2">
      <c r="A9130" s="66">
        <v>46071.808989143523</v>
      </c>
      <c r="B9130" s="49" t="s">
        <v>10562</v>
      </c>
    </row>
    <row r="9131" spans="1:2">
      <c r="A9131" s="66">
        <v>46071.80899247685</v>
      </c>
      <c r="B9131" s="49" t="s">
        <v>10563</v>
      </c>
    </row>
    <row r="9132" spans="1:2">
      <c r="A9132" s="66">
        <v>46071.809023807873</v>
      </c>
      <c r="B9132" s="49" t="s">
        <v>10564</v>
      </c>
    </row>
    <row r="9133" spans="1:2">
      <c r="A9133" s="66">
        <v>46071.809027361116</v>
      </c>
      <c r="B9133" s="49" t="s">
        <v>10542</v>
      </c>
    </row>
    <row r="9134" spans="1:2">
      <c r="A9134" s="66">
        <v>46071.809030949073</v>
      </c>
      <c r="B9134" s="49" t="s">
        <v>10543</v>
      </c>
    </row>
    <row r="9135" spans="1:2">
      <c r="A9135" s="66">
        <v>46071.809033842597</v>
      </c>
      <c r="B9135" s="49" t="s">
        <v>9394</v>
      </c>
    </row>
    <row r="9136" spans="1:2">
      <c r="A9136" s="66">
        <v>46071.810122592593</v>
      </c>
      <c r="B9136" s="49" t="s">
        <v>10556</v>
      </c>
    </row>
    <row r="9137" spans="1:2">
      <c r="A9137" s="66">
        <v>46071.810126145836</v>
      </c>
      <c r="B9137" s="49" t="s">
        <v>10557</v>
      </c>
    </row>
    <row r="9138" spans="1:2">
      <c r="A9138" s="66">
        <v>46071.810128796293</v>
      </c>
      <c r="B9138" s="49" t="s">
        <v>10546</v>
      </c>
    </row>
    <row r="9139" spans="1:2">
      <c r="A9139" s="66">
        <v>46071.810131539351</v>
      </c>
      <c r="B9139" s="49" t="s">
        <v>10466</v>
      </c>
    </row>
    <row r="9140" spans="1:2">
      <c r="A9140" s="66">
        <v>46071.81013456019</v>
      </c>
      <c r="B9140" s="49" t="s">
        <v>10561</v>
      </c>
    </row>
    <row r="9141" spans="1:2">
      <c r="A9141" s="66">
        <v>46071.810137349537</v>
      </c>
      <c r="B9141" s="49" t="s">
        <v>10562</v>
      </c>
    </row>
    <row r="9142" spans="1:2">
      <c r="A9142" s="66">
        <v>46071.81014400463</v>
      </c>
      <c r="B9142" s="49" t="s">
        <v>10563</v>
      </c>
    </row>
    <row r="9143" spans="1:2">
      <c r="A9143" s="66">
        <v>46071.810171030098</v>
      </c>
      <c r="B9143" s="49" t="s">
        <v>10564</v>
      </c>
    </row>
    <row r="9144" spans="1:2">
      <c r="A9144" s="66">
        <v>46071.810174583334</v>
      </c>
      <c r="B9144" s="49" t="s">
        <v>10542</v>
      </c>
    </row>
    <row r="9145" spans="1:2">
      <c r="A9145" s="66">
        <v>46071.810177372681</v>
      </c>
      <c r="B9145" s="49" t="s">
        <v>10543</v>
      </c>
    </row>
    <row r="9146" spans="1:2">
      <c r="A9146" s="66">
        <v>46071.81018</v>
      </c>
      <c r="B9146" s="49" t="s">
        <v>9394</v>
      </c>
    </row>
    <row r="9147" spans="1:2">
      <c r="A9147" s="66">
        <v>46071.811250405095</v>
      </c>
      <c r="B9147" s="49" t="s">
        <v>10556</v>
      </c>
    </row>
    <row r="9148" spans="1:2">
      <c r="A9148" s="66">
        <v>46071.811257164351</v>
      </c>
      <c r="B9148" s="49" t="s">
        <v>10557</v>
      </c>
    </row>
    <row r="9149" spans="1:2">
      <c r="A9149" s="66">
        <v>46071.811259722221</v>
      </c>
      <c r="B9149" s="49" t="s">
        <v>10546</v>
      </c>
    </row>
    <row r="9150" spans="1:2">
      <c r="A9150" s="66">
        <v>46071.811263194446</v>
      </c>
      <c r="B9150" s="49" t="s">
        <v>10466</v>
      </c>
    </row>
    <row r="9151" spans="1:2">
      <c r="A9151" s="66">
        <v>46071.811266631943</v>
      </c>
      <c r="B9151" s="49" t="s">
        <v>10561</v>
      </c>
    </row>
    <row r="9152" spans="1:2">
      <c r="A9152" s="66">
        <v>46071.811269872684</v>
      </c>
      <c r="B9152" s="49" t="s">
        <v>10562</v>
      </c>
    </row>
    <row r="9153" spans="1:2">
      <c r="A9153" s="66">
        <v>46071.811271574072</v>
      </c>
      <c r="B9153" s="49" t="s">
        <v>10563</v>
      </c>
    </row>
    <row r="9154" spans="1:2">
      <c r="A9154" s="66">
        <v>46071.811287731485</v>
      </c>
      <c r="B9154" s="49" t="s">
        <v>10564</v>
      </c>
    </row>
    <row r="9155" spans="1:2">
      <c r="A9155" s="66">
        <v>46071.81129085648</v>
      </c>
      <c r="B9155" s="49" t="s">
        <v>10542</v>
      </c>
    </row>
    <row r="9156" spans="1:2">
      <c r="A9156" s="66">
        <v>46071.811292337967</v>
      </c>
      <c r="B9156" s="49" t="s">
        <v>10543</v>
      </c>
    </row>
    <row r="9157" spans="1:2">
      <c r="A9157" s="66">
        <v>46071.811294247687</v>
      </c>
      <c r="B9157" s="49" t="s">
        <v>9394</v>
      </c>
    </row>
    <row r="9158" spans="1:2">
      <c r="A9158" s="66">
        <v>46071.812703229167</v>
      </c>
      <c r="B9158" s="49" t="s">
        <v>10556</v>
      </c>
    </row>
    <row r="9159" spans="1:2">
      <c r="A9159" s="66">
        <v>46071.812709849539</v>
      </c>
      <c r="B9159" s="49" t="s">
        <v>10557</v>
      </c>
    </row>
    <row r="9160" spans="1:2">
      <c r="A9160" s="66">
        <v>46071.812716817134</v>
      </c>
      <c r="B9160" s="49" t="s">
        <v>10546</v>
      </c>
    </row>
    <row r="9161" spans="1:2">
      <c r="A9161" s="66">
        <v>46071.812719108799</v>
      </c>
      <c r="B9161" s="49" t="s">
        <v>10466</v>
      </c>
    </row>
    <row r="9162" spans="1:2">
      <c r="A9162" s="66">
        <v>46071.81272130787</v>
      </c>
      <c r="B9162" s="49" t="s">
        <v>10561</v>
      </c>
    </row>
    <row r="9163" spans="1:2">
      <c r="A9163" s="66">
        <v>46071.812724166666</v>
      </c>
      <c r="B9163" s="49" t="s">
        <v>10562</v>
      </c>
    </row>
    <row r="9164" spans="1:2">
      <c r="A9164" s="66">
        <v>46071.812740138892</v>
      </c>
      <c r="B9164" s="49" t="s">
        <v>10563</v>
      </c>
    </row>
    <row r="9165" spans="1:2">
      <c r="A9165" s="66">
        <v>46071.812767928241</v>
      </c>
      <c r="B9165" s="49" t="s">
        <v>10564</v>
      </c>
    </row>
    <row r="9166" spans="1:2">
      <c r="A9166" s="66">
        <v>46071.812770752316</v>
      </c>
      <c r="B9166" s="49" t="s">
        <v>10542</v>
      </c>
    </row>
    <row r="9167" spans="1:2">
      <c r="A9167" s="66">
        <v>46071.812772847217</v>
      </c>
      <c r="B9167" s="49" t="s">
        <v>10543</v>
      </c>
    </row>
    <row r="9168" spans="1:2">
      <c r="A9168" s="66">
        <v>46071.81277542824</v>
      </c>
      <c r="B9168" s="49" t="s">
        <v>9394</v>
      </c>
    </row>
    <row r="9169" spans="1:2">
      <c r="A9169" s="66">
        <v>46071.813749548615</v>
      </c>
      <c r="B9169" s="49" t="s">
        <v>10556</v>
      </c>
    </row>
    <row r="9170" spans="1:2">
      <c r="A9170" s="66">
        <v>46071.813752835646</v>
      </c>
      <c r="B9170" s="49" t="s">
        <v>10557</v>
      </c>
    </row>
    <row r="9171" spans="1:2">
      <c r="A9171" s="66">
        <v>46071.813756631949</v>
      </c>
      <c r="B9171" s="49" t="s">
        <v>10546</v>
      </c>
    </row>
    <row r="9172" spans="1:2">
      <c r="A9172" s="66">
        <v>46071.813760405093</v>
      </c>
      <c r="B9172" s="49" t="s">
        <v>10466</v>
      </c>
    </row>
    <row r="9173" spans="1:2">
      <c r="A9173" s="66">
        <v>46071.813773194444</v>
      </c>
      <c r="B9173" s="49" t="s">
        <v>10561</v>
      </c>
    </row>
    <row r="9174" spans="1:2">
      <c r="A9174" s="66">
        <v>46071.81377685185</v>
      </c>
      <c r="B9174" s="49" t="s">
        <v>10562</v>
      </c>
    </row>
    <row r="9175" spans="1:2">
      <c r="A9175" s="66">
        <v>46071.813780613425</v>
      </c>
      <c r="B9175" s="49" t="s">
        <v>10563</v>
      </c>
    </row>
    <row r="9176" spans="1:2">
      <c r="A9176" s="66">
        <v>46071.813807291663</v>
      </c>
      <c r="B9176" s="49" t="s">
        <v>10564</v>
      </c>
    </row>
    <row r="9177" spans="1:2">
      <c r="A9177" s="66">
        <v>46071.813811793982</v>
      </c>
      <c r="B9177" s="49" t="s">
        <v>10542</v>
      </c>
    </row>
    <row r="9178" spans="1:2">
      <c r="A9178" s="66">
        <v>46071.813815104164</v>
      </c>
      <c r="B9178" s="49" t="s">
        <v>10543</v>
      </c>
    </row>
    <row r="9179" spans="1:2">
      <c r="A9179" s="66">
        <v>46071.813817905087</v>
      </c>
      <c r="B9179" s="49" t="s">
        <v>9394</v>
      </c>
    </row>
    <row r="9180" spans="1:2">
      <c r="A9180" s="66">
        <v>46071.815047662036</v>
      </c>
      <c r="B9180" s="49" t="s">
        <v>10556</v>
      </c>
    </row>
    <row r="9181" spans="1:2">
      <c r="A9181" s="66">
        <v>46071.815060833338</v>
      </c>
      <c r="B9181" s="49" t="s">
        <v>10557</v>
      </c>
    </row>
    <row r="9182" spans="1:2">
      <c r="A9182" s="66">
        <v>46071.81506789352</v>
      </c>
      <c r="B9182" s="49" t="s">
        <v>10546</v>
      </c>
    </row>
    <row r="9183" spans="1:2">
      <c r="A9183" s="66">
        <v>46071.815071539357</v>
      </c>
      <c r="B9183" s="49" t="s">
        <v>10466</v>
      </c>
    </row>
    <row r="9184" spans="1:2">
      <c r="A9184" s="66">
        <v>46071.815074479164</v>
      </c>
      <c r="B9184" s="49" t="s">
        <v>10561</v>
      </c>
    </row>
    <row r="9185" spans="1:2">
      <c r="A9185" s="66">
        <v>46071.815077604166</v>
      </c>
      <c r="B9185" s="49" t="s">
        <v>10562</v>
      </c>
    </row>
    <row r="9186" spans="1:2">
      <c r="A9186" s="66">
        <v>46071.815081828703</v>
      </c>
      <c r="B9186" s="49" t="s">
        <v>10563</v>
      </c>
    </row>
    <row r="9187" spans="1:2">
      <c r="A9187" s="66">
        <v>46071.815105844908</v>
      </c>
      <c r="B9187" s="49" t="s">
        <v>10564</v>
      </c>
    </row>
    <row r="9188" spans="1:2">
      <c r="A9188" s="66">
        <v>46071.815109155097</v>
      </c>
      <c r="B9188" s="49" t="s">
        <v>10542</v>
      </c>
    </row>
    <row r="9189" spans="1:2">
      <c r="A9189" s="66">
        <v>46071.815115057871</v>
      </c>
      <c r="B9189" s="49" t="s">
        <v>10543</v>
      </c>
    </row>
    <row r="9190" spans="1:2">
      <c r="A9190" s="66">
        <v>46071.815118182873</v>
      </c>
      <c r="B9190" s="49" t="s">
        <v>9394</v>
      </c>
    </row>
    <row r="9191" spans="1:2">
      <c r="A9191" s="66">
        <v>46071.816065081017</v>
      </c>
      <c r="B9191" s="49" t="s">
        <v>10556</v>
      </c>
    </row>
    <row r="9192" spans="1:2">
      <c r="A9192" s="66">
        <v>46071.816067337961</v>
      </c>
      <c r="B9192" s="49" t="s">
        <v>10557</v>
      </c>
    </row>
    <row r="9193" spans="1:2">
      <c r="A9193" s="66">
        <v>46071.816074652779</v>
      </c>
      <c r="B9193" s="49" t="s">
        <v>10546</v>
      </c>
    </row>
    <row r="9194" spans="1:2">
      <c r="A9194" s="66">
        <v>46071.816076979172</v>
      </c>
      <c r="B9194" s="49" t="s">
        <v>10466</v>
      </c>
    </row>
    <row r="9195" spans="1:2">
      <c r="A9195" s="66">
        <v>46071.816079282406</v>
      </c>
      <c r="B9195" s="49" t="s">
        <v>10561</v>
      </c>
    </row>
    <row r="9196" spans="1:2">
      <c r="A9196" s="66">
        <v>46071.816081655095</v>
      </c>
      <c r="B9196" s="49" t="s">
        <v>10562</v>
      </c>
    </row>
    <row r="9197" spans="1:2">
      <c r="A9197" s="66">
        <v>46071.816085381943</v>
      </c>
      <c r="B9197" s="49" t="s">
        <v>10563</v>
      </c>
    </row>
    <row r="9198" spans="1:2">
      <c r="A9198" s="66">
        <v>46071.816103622681</v>
      </c>
      <c r="B9198" s="49" t="s">
        <v>10564</v>
      </c>
    </row>
    <row r="9199" spans="1:2">
      <c r="A9199" s="66">
        <v>46071.816107210645</v>
      </c>
      <c r="B9199" s="49" t="s">
        <v>10542</v>
      </c>
    </row>
    <row r="9200" spans="1:2">
      <c r="A9200" s="66">
        <v>46071.816110590276</v>
      </c>
      <c r="B9200" s="49" t="s">
        <v>10543</v>
      </c>
    </row>
    <row r="9201" spans="1:2">
      <c r="A9201" s="66">
        <v>46071.816113055553</v>
      </c>
      <c r="B9201" s="49" t="s">
        <v>9394</v>
      </c>
    </row>
    <row r="9202" spans="1:2">
      <c r="A9202" s="66">
        <v>46071.817134548612</v>
      </c>
      <c r="B9202" s="49" t="s">
        <v>10556</v>
      </c>
    </row>
    <row r="9203" spans="1:2">
      <c r="A9203" s="66">
        <v>46071.817137013888</v>
      </c>
      <c r="B9203" s="49" t="s">
        <v>10557</v>
      </c>
    </row>
    <row r="9204" spans="1:2">
      <c r="A9204" s="66">
        <v>46071.817139270832</v>
      </c>
      <c r="B9204" s="49" t="s">
        <v>10546</v>
      </c>
    </row>
    <row r="9205" spans="1:2">
      <c r="A9205" s="66">
        <v>46071.817141678242</v>
      </c>
      <c r="B9205" s="49" t="s">
        <v>10466</v>
      </c>
    </row>
    <row r="9206" spans="1:2">
      <c r="A9206" s="66">
        <v>46071.817144814813</v>
      </c>
      <c r="B9206" s="49" t="s">
        <v>10561</v>
      </c>
    </row>
    <row r="9207" spans="1:2">
      <c r="A9207" s="66">
        <v>46071.817147175927</v>
      </c>
      <c r="B9207" s="49" t="s">
        <v>10562</v>
      </c>
    </row>
    <row r="9208" spans="1:2">
      <c r="A9208" s="66">
        <v>46071.817149525465</v>
      </c>
      <c r="B9208" s="49" t="s">
        <v>10563</v>
      </c>
    </row>
    <row r="9209" spans="1:2">
      <c r="A9209" s="66">
        <v>46071.817167615736</v>
      </c>
      <c r="B9209" s="49" t="s">
        <v>10564</v>
      </c>
    </row>
    <row r="9210" spans="1:2">
      <c r="A9210" s="66">
        <v>46071.817170590279</v>
      </c>
      <c r="B9210" s="49" t="s">
        <v>10542</v>
      </c>
    </row>
    <row r="9211" spans="1:2">
      <c r="A9211" s="66">
        <v>46071.817172754629</v>
      </c>
      <c r="B9211" s="49" t="s">
        <v>10543</v>
      </c>
    </row>
    <row r="9212" spans="1:2">
      <c r="A9212" s="66">
        <v>46071.817174918979</v>
      </c>
      <c r="B9212" s="49" t="s">
        <v>9394</v>
      </c>
    </row>
    <row r="9213" spans="1:2">
      <c r="A9213" s="66">
        <v>46071.818089351851</v>
      </c>
      <c r="B9213" s="49" t="s">
        <v>10556</v>
      </c>
    </row>
    <row r="9214" spans="1:2">
      <c r="A9214" s="66">
        <v>46071.818094363422</v>
      </c>
      <c r="B9214" s="49" t="s">
        <v>10557</v>
      </c>
    </row>
    <row r="9215" spans="1:2">
      <c r="A9215" s="66">
        <v>46071.818096250005</v>
      </c>
      <c r="B9215" s="49" t="s">
        <v>10546</v>
      </c>
    </row>
    <row r="9216" spans="1:2">
      <c r="A9216" s="66">
        <v>46071.818098206015</v>
      </c>
      <c r="B9216" s="49" t="s">
        <v>10466</v>
      </c>
    </row>
    <row r="9217" spans="1:2">
      <c r="A9217" s="66">
        <v>46071.818100173608</v>
      </c>
      <c r="B9217" s="49" t="s">
        <v>10561</v>
      </c>
    </row>
    <row r="9218" spans="1:2">
      <c r="A9218" s="66">
        <v>46071.818103344907</v>
      </c>
      <c r="B9218" s="49" t="s">
        <v>10562</v>
      </c>
    </row>
    <row r="9219" spans="1:2">
      <c r="A9219" s="66">
        <v>46071.818105115744</v>
      </c>
      <c r="B9219" s="49" t="s">
        <v>10563</v>
      </c>
    </row>
    <row r="9220" spans="1:2">
      <c r="A9220" s="66">
        <v>46071.818128206018</v>
      </c>
      <c r="B9220" s="49" t="s">
        <v>10564</v>
      </c>
    </row>
    <row r="9221" spans="1:2">
      <c r="A9221" s="66">
        <v>46071.818131400461</v>
      </c>
      <c r="B9221" s="49" t="s">
        <v>10542</v>
      </c>
    </row>
    <row r="9222" spans="1:2">
      <c r="A9222" s="66">
        <v>46071.818133587964</v>
      </c>
      <c r="B9222" s="49" t="s">
        <v>10543</v>
      </c>
    </row>
    <row r="9223" spans="1:2">
      <c r="A9223" s="66">
        <v>46071.818135972222</v>
      </c>
      <c r="B9223" s="49" t="s">
        <v>9394</v>
      </c>
    </row>
    <row r="9224" spans="1:2">
      <c r="A9224" s="66">
        <v>46071.819285057871</v>
      </c>
      <c r="B9224" s="49" t="s">
        <v>10556</v>
      </c>
    </row>
    <row r="9225" spans="1:2">
      <c r="A9225" s="66">
        <v>46071.819287256949</v>
      </c>
      <c r="B9225" s="49" t="s">
        <v>10557</v>
      </c>
    </row>
    <row r="9226" spans="1:2">
      <c r="A9226" s="66">
        <v>46071.819289374995</v>
      </c>
      <c r="B9226" s="49" t="s">
        <v>10546</v>
      </c>
    </row>
    <row r="9227" spans="1:2">
      <c r="A9227" s="66">
        <v>46071.819294537039</v>
      </c>
      <c r="B9227" s="49" t="s">
        <v>10466</v>
      </c>
    </row>
    <row r="9228" spans="1:2">
      <c r="A9228" s="66">
        <v>46071.819300162038</v>
      </c>
      <c r="B9228" s="49" t="s">
        <v>10561</v>
      </c>
    </row>
    <row r="9229" spans="1:2">
      <c r="A9229" s="66">
        <v>46071.819302858799</v>
      </c>
      <c r="B9229" s="49" t="s">
        <v>10562</v>
      </c>
    </row>
    <row r="9230" spans="1:2">
      <c r="A9230" s="66">
        <v>46071.819305231482</v>
      </c>
      <c r="B9230" s="49" t="s">
        <v>10563</v>
      </c>
    </row>
    <row r="9231" spans="1:2">
      <c r="A9231" s="66">
        <v>46071.819324131946</v>
      </c>
      <c r="B9231" s="49" t="s">
        <v>10564</v>
      </c>
    </row>
    <row r="9232" spans="1:2">
      <c r="A9232" s="66">
        <v>46071.819332893516</v>
      </c>
      <c r="B9232" s="49" t="s">
        <v>10542</v>
      </c>
    </row>
    <row r="9233" spans="1:2">
      <c r="A9233" s="66">
        <v>46071.819335416665</v>
      </c>
      <c r="B9233" s="49" t="s">
        <v>10543</v>
      </c>
    </row>
    <row r="9234" spans="1:2">
      <c r="A9234" s="66">
        <v>46071.819338078705</v>
      </c>
      <c r="B9234" s="49" t="s">
        <v>9394</v>
      </c>
    </row>
    <row r="9235" spans="1:2">
      <c r="A9235" s="66">
        <v>46071.820052152776</v>
      </c>
      <c r="B9235" s="49" t="s">
        <v>10556</v>
      </c>
    </row>
    <row r="9236" spans="1:2">
      <c r="A9236" s="66">
        <v>46071.820055081014</v>
      </c>
      <c r="B9236" s="49" t="s">
        <v>10557</v>
      </c>
    </row>
    <row r="9237" spans="1:2">
      <c r="A9237" s="66">
        <v>46071.82006106482</v>
      </c>
      <c r="B9237" s="49" t="s">
        <v>10546</v>
      </c>
    </row>
    <row r="9238" spans="1:2">
      <c r="A9238" s="66">
        <v>46071.820063831023</v>
      </c>
      <c r="B9238" s="49" t="s">
        <v>10466</v>
      </c>
    </row>
    <row r="9239" spans="1:2">
      <c r="A9239" s="66">
        <v>46071.820066898144</v>
      </c>
      <c r="B9239" s="49" t="s">
        <v>10561</v>
      </c>
    </row>
    <row r="9240" spans="1:2">
      <c r="A9240" s="66">
        <v>46071.820069837966</v>
      </c>
      <c r="B9240" s="49" t="s">
        <v>10562</v>
      </c>
    </row>
    <row r="9241" spans="1:2">
      <c r="A9241" s="66">
        <v>46071.820076550925</v>
      </c>
      <c r="B9241" s="49" t="s">
        <v>10563</v>
      </c>
    </row>
    <row r="9242" spans="1:2">
      <c r="A9242" s="66">
        <v>46071.820097037038</v>
      </c>
      <c r="B9242" s="49" t="s">
        <v>10564</v>
      </c>
    </row>
    <row r="9243" spans="1:2">
      <c r="A9243" s="66">
        <v>46071.82010114583</v>
      </c>
      <c r="B9243" s="49" t="s">
        <v>10542</v>
      </c>
    </row>
    <row r="9244" spans="1:2">
      <c r="A9244" s="66">
        <v>46071.820104027778</v>
      </c>
      <c r="B9244" s="49" t="s">
        <v>10543</v>
      </c>
    </row>
    <row r="9245" spans="1:2">
      <c r="A9245" s="66">
        <v>46071.820107060186</v>
      </c>
      <c r="B9245" s="49" t="s">
        <v>9394</v>
      </c>
    </row>
    <row r="9246" spans="1:2">
      <c r="A9246" s="66">
        <v>46071.82122982639</v>
      </c>
      <c r="B9246" s="49" t="s">
        <v>10556</v>
      </c>
    </row>
    <row r="9247" spans="1:2">
      <c r="A9247" s="66">
        <v>46071.821233136579</v>
      </c>
      <c r="B9247" s="49" t="s">
        <v>10557</v>
      </c>
    </row>
    <row r="9248" spans="1:2">
      <c r="A9248" s="66">
        <v>46071.821235462965</v>
      </c>
      <c r="B9248" s="49" t="s">
        <v>10546</v>
      </c>
    </row>
    <row r="9249" spans="1:2">
      <c r="A9249" s="66">
        <v>46071.821238032411</v>
      </c>
      <c r="B9249" s="49" t="s">
        <v>10466</v>
      </c>
    </row>
    <row r="9250" spans="1:2">
      <c r="A9250" s="66">
        <v>46071.821240439815</v>
      </c>
      <c r="B9250" s="49" t="s">
        <v>10561</v>
      </c>
    </row>
    <row r="9251" spans="1:2">
      <c r="A9251" s="66">
        <v>46071.821251921298</v>
      </c>
      <c r="B9251" s="49" t="s">
        <v>10562</v>
      </c>
    </row>
    <row r="9252" spans="1:2">
      <c r="A9252" s="66">
        <v>46071.821254849536</v>
      </c>
      <c r="B9252" s="49" t="s">
        <v>10563</v>
      </c>
    </row>
    <row r="9253" spans="1:2">
      <c r="A9253" s="66">
        <v>46071.821282106481</v>
      </c>
      <c r="B9253" s="49" t="s">
        <v>10564</v>
      </c>
    </row>
    <row r="9254" spans="1:2">
      <c r="A9254" s="66">
        <v>46071.821285532409</v>
      </c>
      <c r="B9254" s="49" t="s">
        <v>10542</v>
      </c>
    </row>
    <row r="9255" spans="1:2">
      <c r="A9255" s="66">
        <v>46071.821287997685</v>
      </c>
      <c r="B9255" s="49" t="s">
        <v>10543</v>
      </c>
    </row>
    <row r="9256" spans="1:2">
      <c r="A9256" s="66">
        <v>46071.821290312495</v>
      </c>
      <c r="B9256" s="49" t="s">
        <v>9394</v>
      </c>
    </row>
    <row r="9257" spans="1:2">
      <c r="A9257" s="66">
        <v>46071.822354479169</v>
      </c>
      <c r="B9257" s="49" t="s">
        <v>10556</v>
      </c>
    </row>
    <row r="9258" spans="1:2">
      <c r="A9258" s="66">
        <v>46071.822359560188</v>
      </c>
      <c r="B9258" s="49" t="s">
        <v>10557</v>
      </c>
    </row>
    <row r="9259" spans="1:2">
      <c r="A9259" s="66">
        <v>46071.822366018518</v>
      </c>
      <c r="B9259" s="49" t="s">
        <v>10546</v>
      </c>
    </row>
    <row r="9260" spans="1:2">
      <c r="A9260" s="66">
        <v>46071.822369965274</v>
      </c>
      <c r="B9260" s="49" t="s">
        <v>10466</v>
      </c>
    </row>
    <row r="9261" spans="1:2">
      <c r="A9261" s="66">
        <v>46071.822374120369</v>
      </c>
      <c r="B9261" s="49" t="s">
        <v>10561</v>
      </c>
    </row>
    <row r="9262" spans="1:2">
      <c r="A9262" s="66">
        <v>46071.822380393518</v>
      </c>
      <c r="B9262" s="49" t="s">
        <v>10562</v>
      </c>
    </row>
    <row r="9263" spans="1:2">
      <c r="A9263" s="66">
        <v>46071.822386041662</v>
      </c>
      <c r="B9263" s="49" t="s">
        <v>10563</v>
      </c>
    </row>
    <row r="9264" spans="1:2">
      <c r="A9264" s="66">
        <v>46071.822414525464</v>
      </c>
      <c r="B9264" s="49" t="s">
        <v>10564</v>
      </c>
    </row>
    <row r="9265" spans="1:2">
      <c r="A9265" s="66">
        <v>46071.82242271991</v>
      </c>
      <c r="B9265" s="49" t="s">
        <v>10542</v>
      </c>
    </row>
    <row r="9266" spans="1:2">
      <c r="A9266" s="66">
        <v>46071.822429571759</v>
      </c>
      <c r="B9266" s="49" t="s">
        <v>10543</v>
      </c>
    </row>
    <row r="9267" spans="1:2">
      <c r="A9267" s="66">
        <v>46071.82243724537</v>
      </c>
      <c r="B9267" s="49" t="s">
        <v>9394</v>
      </c>
    </row>
    <row r="9268" spans="1:2">
      <c r="A9268" s="66">
        <v>46071.823845370367</v>
      </c>
      <c r="B9268" s="49" t="s">
        <v>10556</v>
      </c>
    </row>
    <row r="9269" spans="1:2">
      <c r="A9269" s="66">
        <v>46071.823847708336</v>
      </c>
      <c r="B9269" s="49" t="s">
        <v>10557</v>
      </c>
    </row>
    <row r="9270" spans="1:2">
      <c r="A9270" s="66">
        <v>46071.823850034722</v>
      </c>
      <c r="B9270" s="49" t="s">
        <v>10546</v>
      </c>
    </row>
    <row r="9271" spans="1:2">
      <c r="A9271" s="66">
        <v>46071.823852280097</v>
      </c>
      <c r="B9271" s="49" t="s">
        <v>10466</v>
      </c>
    </row>
    <row r="9272" spans="1:2">
      <c r="A9272" s="66">
        <v>46071.823854479167</v>
      </c>
      <c r="B9272" s="49" t="s">
        <v>10561</v>
      </c>
    </row>
    <row r="9273" spans="1:2">
      <c r="A9273" s="66">
        <v>46071.823864479171</v>
      </c>
      <c r="B9273" s="49" t="s">
        <v>10562</v>
      </c>
    </row>
    <row r="9274" spans="1:2">
      <c r="A9274" s="66">
        <v>46071.823866840277</v>
      </c>
      <c r="B9274" s="49" t="s">
        <v>10563</v>
      </c>
    </row>
    <row r="9275" spans="1:2">
      <c r="A9275" s="66">
        <v>46071.823889328705</v>
      </c>
      <c r="B9275" s="49" t="s">
        <v>10564</v>
      </c>
    </row>
    <row r="9276" spans="1:2">
      <c r="A9276" s="66">
        <v>46071.823892511573</v>
      </c>
      <c r="B9276" s="49" t="s">
        <v>10542</v>
      </c>
    </row>
    <row r="9277" spans="1:2">
      <c r="A9277" s="66">
        <v>46071.823894745372</v>
      </c>
      <c r="B9277" s="49" t="s">
        <v>10543</v>
      </c>
    </row>
    <row r="9278" spans="1:2">
      <c r="A9278" s="66">
        <v>46071.823897175927</v>
      </c>
      <c r="B9278" s="49" t="s">
        <v>9394</v>
      </c>
    </row>
    <row r="9279" spans="1:2">
      <c r="A9279" s="66">
        <v>46071.824919479172</v>
      </c>
      <c r="B9279" s="49" t="s">
        <v>10556</v>
      </c>
    </row>
    <row r="9280" spans="1:2">
      <c r="A9280" s="66">
        <v>46071.824923067128</v>
      </c>
      <c r="B9280" s="49" t="s">
        <v>10557</v>
      </c>
    </row>
    <row r="9281" spans="1:2">
      <c r="A9281" s="66">
        <v>46071.824926145833</v>
      </c>
      <c r="B9281" s="49" t="s">
        <v>10546</v>
      </c>
    </row>
    <row r="9282" spans="1:2">
      <c r="A9282" s="66">
        <v>46071.824934872682</v>
      </c>
      <c r="B9282" s="49" t="s">
        <v>10466</v>
      </c>
    </row>
    <row r="9283" spans="1:2">
      <c r="A9283" s="66">
        <v>46071.824937928242</v>
      </c>
      <c r="B9283" s="49" t="s">
        <v>10561</v>
      </c>
    </row>
    <row r="9284" spans="1:2">
      <c r="A9284" s="66">
        <v>46071.824941469909</v>
      </c>
      <c r="B9284" s="49" t="s">
        <v>10562</v>
      </c>
    </row>
    <row r="9285" spans="1:2">
      <c r="A9285" s="66">
        <v>46071.824944583335</v>
      </c>
      <c r="B9285" s="49" t="s">
        <v>10563</v>
      </c>
    </row>
    <row r="9286" spans="1:2">
      <c r="A9286" s="66">
        <v>46071.824965671301</v>
      </c>
      <c r="B9286" s="49" t="s">
        <v>10564</v>
      </c>
    </row>
    <row r="9287" spans="1:2">
      <c r="A9287" s="66">
        <v>46071.824970995367</v>
      </c>
      <c r="B9287" s="49" t="s">
        <v>10542</v>
      </c>
    </row>
    <row r="9288" spans="1:2">
      <c r="A9288" s="66">
        <v>46071.824974641204</v>
      </c>
      <c r="B9288" s="49" t="s">
        <v>10543</v>
      </c>
    </row>
    <row r="9289" spans="1:2">
      <c r="A9289" s="66">
        <v>46071.824978136574</v>
      </c>
      <c r="B9289" s="49" t="s">
        <v>9394</v>
      </c>
    </row>
    <row r="9290" spans="1:2">
      <c r="A9290" s="66">
        <v>46071.826024768518</v>
      </c>
      <c r="B9290" s="49" t="s">
        <v>10556</v>
      </c>
    </row>
    <row r="9291" spans="1:2">
      <c r="A9291" s="66">
        <v>46071.826028344905</v>
      </c>
      <c r="B9291" s="49" t="s">
        <v>10557</v>
      </c>
    </row>
    <row r="9292" spans="1:2">
      <c r="A9292" s="66">
        <v>46071.826031064818</v>
      </c>
      <c r="B9292" s="49" t="s">
        <v>10546</v>
      </c>
    </row>
    <row r="9293" spans="1:2">
      <c r="A9293" s="66">
        <v>46071.826034467595</v>
      </c>
      <c r="B9293" s="49" t="s">
        <v>10466</v>
      </c>
    </row>
    <row r="9294" spans="1:2">
      <c r="A9294" s="66">
        <v>46071.826037013889</v>
      </c>
      <c r="B9294" s="49" t="s">
        <v>10561</v>
      </c>
    </row>
    <row r="9295" spans="1:2">
      <c r="A9295" s="66">
        <v>46071.826044421294</v>
      </c>
      <c r="B9295" s="49" t="s">
        <v>10562</v>
      </c>
    </row>
    <row r="9296" spans="1:2">
      <c r="A9296" s="66">
        <v>46071.826047627314</v>
      </c>
      <c r="B9296" s="49" t="s">
        <v>10563</v>
      </c>
    </row>
    <row r="9297" spans="1:2">
      <c r="A9297" s="66">
        <v>46071.826083252316</v>
      </c>
      <c r="B9297" s="49" t="s">
        <v>10564</v>
      </c>
    </row>
    <row r="9298" spans="1:2">
      <c r="A9298" s="66">
        <v>46071.826088657406</v>
      </c>
      <c r="B9298" s="49" t="s">
        <v>10542</v>
      </c>
    </row>
    <row r="9299" spans="1:2">
      <c r="A9299" s="66">
        <v>46071.826091284718</v>
      </c>
      <c r="B9299" s="49" t="s">
        <v>10543</v>
      </c>
    </row>
    <row r="9300" spans="1:2">
      <c r="A9300" s="66">
        <v>46071.82609412037</v>
      </c>
      <c r="B9300" s="49" t="s">
        <v>9394</v>
      </c>
    </row>
    <row r="9301" spans="1:2">
      <c r="A9301" s="66">
        <v>46071.827023530088</v>
      </c>
      <c r="B9301" s="49" t="s">
        <v>10556</v>
      </c>
    </row>
    <row r="9302" spans="1:2">
      <c r="A9302" s="66">
        <v>46071.82703612269</v>
      </c>
      <c r="B9302" s="49" t="s">
        <v>10557</v>
      </c>
    </row>
    <row r="9303" spans="1:2">
      <c r="A9303" s="66">
        <v>46071.827038587959</v>
      </c>
      <c r="B9303" s="49" t="s">
        <v>10546</v>
      </c>
    </row>
    <row r="9304" spans="1:2">
      <c r="A9304" s="66">
        <v>46071.827041018521</v>
      </c>
      <c r="B9304" s="49" t="s">
        <v>10466</v>
      </c>
    </row>
    <row r="9305" spans="1:2">
      <c r="A9305" s="66">
        <v>46071.827043587968</v>
      </c>
      <c r="B9305" s="49" t="s">
        <v>10561</v>
      </c>
    </row>
    <row r="9306" spans="1:2">
      <c r="A9306" s="66">
        <v>46071.827047303239</v>
      </c>
      <c r="B9306" s="49" t="s">
        <v>10562</v>
      </c>
    </row>
    <row r="9307" spans="1:2">
      <c r="A9307" s="66">
        <v>46071.827049965279</v>
      </c>
      <c r="B9307" s="49" t="s">
        <v>10563</v>
      </c>
    </row>
    <row r="9308" spans="1:2">
      <c r="A9308" s="66">
        <v>46071.827074062501</v>
      </c>
      <c r="B9308" s="49" t="s">
        <v>10564</v>
      </c>
    </row>
    <row r="9309" spans="1:2">
      <c r="A9309" s="66">
        <v>46071.827077430557</v>
      </c>
      <c r="B9309" s="49" t="s">
        <v>10542</v>
      </c>
    </row>
    <row r="9310" spans="1:2">
      <c r="A9310" s="66">
        <v>46071.827079930554</v>
      </c>
      <c r="B9310" s="49" t="s">
        <v>10543</v>
      </c>
    </row>
    <row r="9311" spans="1:2">
      <c r="A9311" s="66">
        <v>46071.827082812495</v>
      </c>
      <c r="B9311" s="49" t="s">
        <v>9394</v>
      </c>
    </row>
    <row r="9312" spans="1:2">
      <c r="A9312" s="66">
        <v>46071.828533252316</v>
      </c>
      <c r="B9312" s="49" t="s">
        <v>10556</v>
      </c>
    </row>
    <row r="9313" spans="1:2">
      <c r="A9313" s="66">
        <v>46071.828535671295</v>
      </c>
      <c r="B9313" s="49" t="s">
        <v>10557</v>
      </c>
    </row>
    <row r="9314" spans="1:2">
      <c r="A9314" s="66">
        <v>46071.828537986112</v>
      </c>
      <c r="B9314" s="49" t="s">
        <v>10546</v>
      </c>
    </row>
    <row r="9315" spans="1:2">
      <c r="A9315" s="66">
        <v>46071.828542303236</v>
      </c>
      <c r="B9315" s="49" t="s">
        <v>10466</v>
      </c>
    </row>
    <row r="9316" spans="1:2">
      <c r="A9316" s="66">
        <v>46071.828544687502</v>
      </c>
      <c r="B9316" s="49" t="s">
        <v>10561</v>
      </c>
    </row>
    <row r="9317" spans="1:2">
      <c r="A9317" s="66">
        <v>46071.82854696759</v>
      </c>
      <c r="B9317" s="49" t="s">
        <v>10562</v>
      </c>
    </row>
    <row r="9318" spans="1:2">
      <c r="A9318" s="66">
        <v>46071.828549282407</v>
      </c>
      <c r="B9318" s="49" t="s">
        <v>10563</v>
      </c>
    </row>
    <row r="9319" spans="1:2">
      <c r="A9319" s="66">
        <v>46071.828568009259</v>
      </c>
      <c r="B9319" s="49" t="s">
        <v>10564</v>
      </c>
    </row>
    <row r="9320" spans="1:2">
      <c r="A9320" s="66">
        <v>46071.82857081019</v>
      </c>
      <c r="B9320" s="49" t="s">
        <v>10542</v>
      </c>
    </row>
    <row r="9321" spans="1:2">
      <c r="A9321" s="66">
        <v>46071.828573009261</v>
      </c>
      <c r="B9321" s="49" t="s">
        <v>10543</v>
      </c>
    </row>
    <row r="9322" spans="1:2">
      <c r="A9322" s="66">
        <v>46071.82857513889</v>
      </c>
      <c r="B9322" s="49" t="s">
        <v>9394</v>
      </c>
    </row>
    <row r="9323" spans="1:2">
      <c r="A9323" s="66">
        <v>46071.8293634375</v>
      </c>
      <c r="B9323" s="49" t="s">
        <v>10556</v>
      </c>
    </row>
    <row r="9324" spans="1:2">
      <c r="A9324" s="66">
        <v>46071.829366608799</v>
      </c>
      <c r="B9324" s="49" t="s">
        <v>10557</v>
      </c>
    </row>
    <row r="9325" spans="1:2">
      <c r="A9325" s="66">
        <v>46071.829369652776</v>
      </c>
      <c r="B9325" s="49" t="s">
        <v>10546</v>
      </c>
    </row>
    <row r="9326" spans="1:2">
      <c r="A9326" s="66">
        <v>46071.829372349537</v>
      </c>
      <c r="B9326" s="49" t="s">
        <v>10466</v>
      </c>
    </row>
    <row r="9327" spans="1:2">
      <c r="A9327" s="66">
        <v>46071.829375335648</v>
      </c>
      <c r="B9327" s="49" t="s">
        <v>10561</v>
      </c>
    </row>
    <row r="9328" spans="1:2">
      <c r="A9328" s="66">
        <v>46071.829378888884</v>
      </c>
      <c r="B9328" s="49" t="s">
        <v>10562</v>
      </c>
    </row>
    <row r="9329" spans="1:2">
      <c r="A9329" s="66">
        <v>46071.829385960649</v>
      </c>
      <c r="B9329" s="49" t="s">
        <v>10563</v>
      </c>
    </row>
    <row r="9330" spans="1:2">
      <c r="A9330" s="66">
        <v>46071.829404537042</v>
      </c>
      <c r="B9330" s="49" t="s">
        <v>10564</v>
      </c>
    </row>
    <row r="9331" spans="1:2">
      <c r="A9331" s="66">
        <v>46071.829407916666</v>
      </c>
      <c r="B9331" s="49" t="s">
        <v>10542</v>
      </c>
    </row>
    <row r="9332" spans="1:2">
      <c r="A9332" s="66">
        <v>46071.829410798615</v>
      </c>
      <c r="B9332" s="49" t="s">
        <v>10543</v>
      </c>
    </row>
    <row r="9333" spans="1:2">
      <c r="A9333" s="66">
        <v>46071.829417754634</v>
      </c>
      <c r="B9333" s="49" t="s">
        <v>9394</v>
      </c>
    </row>
    <row r="9334" spans="1:2">
      <c r="A9334" s="66">
        <v>46071.830669097224</v>
      </c>
      <c r="B9334" s="49" t="s">
        <v>10556</v>
      </c>
    </row>
    <row r="9335" spans="1:2">
      <c r="A9335" s="66">
        <v>46071.830671527779</v>
      </c>
      <c r="B9335" s="49" t="s">
        <v>10557</v>
      </c>
    </row>
    <row r="9336" spans="1:2">
      <c r="A9336" s="66">
        <v>46071.830673900462</v>
      </c>
      <c r="B9336" s="49" t="s">
        <v>10546</v>
      </c>
    </row>
    <row r="9337" spans="1:2">
      <c r="A9337" s="66">
        <v>46071.830676307873</v>
      </c>
      <c r="B9337" s="49" t="s">
        <v>10466</v>
      </c>
    </row>
    <row r="9338" spans="1:2">
      <c r="A9338" s="66">
        <v>46071.830678449071</v>
      </c>
      <c r="B9338" s="49" t="s">
        <v>10561</v>
      </c>
    </row>
    <row r="9339" spans="1:2">
      <c r="A9339" s="66">
        <v>46071.830681666666</v>
      </c>
      <c r="B9339" s="49" t="s">
        <v>10562</v>
      </c>
    </row>
    <row r="9340" spans="1:2">
      <c r="A9340" s="66">
        <v>46071.830690682866</v>
      </c>
      <c r="B9340" s="49" t="s">
        <v>10563</v>
      </c>
    </row>
    <row r="9341" spans="1:2">
      <c r="A9341" s="66">
        <v>46071.830713159725</v>
      </c>
      <c r="B9341" s="49" t="s">
        <v>10564</v>
      </c>
    </row>
    <row r="9342" spans="1:2">
      <c r="A9342" s="66">
        <v>46071.830716631943</v>
      </c>
      <c r="B9342" s="49" t="s">
        <v>10542</v>
      </c>
    </row>
    <row r="9343" spans="1:2">
      <c r="A9343" s="66">
        <v>46071.830719201389</v>
      </c>
      <c r="B9343" s="49" t="s">
        <v>10543</v>
      </c>
    </row>
    <row r="9344" spans="1:2">
      <c r="A9344" s="66">
        <v>46071.830721435181</v>
      </c>
      <c r="B9344" s="49" t="s">
        <v>9394</v>
      </c>
    </row>
    <row r="9345" spans="1:2">
      <c r="A9345" s="66">
        <v>46071.832146493056</v>
      </c>
      <c r="B9345" s="49" t="s">
        <v>10556</v>
      </c>
    </row>
    <row r="9346" spans="1:2">
      <c r="A9346" s="66">
        <v>46071.832149236114</v>
      </c>
      <c r="B9346" s="49" t="s">
        <v>10557</v>
      </c>
    </row>
    <row r="9347" spans="1:2">
      <c r="A9347" s="66">
        <v>46071.832152071758</v>
      </c>
      <c r="B9347" s="49" t="s">
        <v>10546</v>
      </c>
    </row>
    <row r="9348" spans="1:2">
      <c r="A9348" s="66">
        <v>46071.832154872682</v>
      </c>
      <c r="B9348" s="49" t="s">
        <v>10466</v>
      </c>
    </row>
    <row r="9349" spans="1:2">
      <c r="A9349" s="66">
        <v>46071.832157546298</v>
      </c>
      <c r="B9349" s="49" t="s">
        <v>10561</v>
      </c>
    </row>
    <row r="9350" spans="1:2">
      <c r="A9350" s="66">
        <v>46071.832160219907</v>
      </c>
      <c r="B9350" s="49" t="s">
        <v>10562</v>
      </c>
    </row>
    <row r="9351" spans="1:2">
      <c r="A9351" s="66">
        <v>46071.832162592589</v>
      </c>
      <c r="B9351" s="49" t="s">
        <v>10563</v>
      </c>
    </row>
    <row r="9352" spans="1:2">
      <c r="A9352" s="66">
        <v>46071.832199907411</v>
      </c>
      <c r="B9352" s="49" t="s">
        <v>10564</v>
      </c>
    </row>
    <row r="9353" spans="1:2">
      <c r="A9353" s="66">
        <v>46071.832203067126</v>
      </c>
      <c r="B9353" s="49" t="s">
        <v>10542</v>
      </c>
    </row>
    <row r="9354" spans="1:2">
      <c r="A9354" s="66">
        <v>46071.83220553241</v>
      </c>
      <c r="B9354" s="49" t="s">
        <v>10543</v>
      </c>
    </row>
    <row r="9355" spans="1:2">
      <c r="A9355" s="66">
        <v>46071.832207905092</v>
      </c>
      <c r="B9355" s="49" t="s">
        <v>9394</v>
      </c>
    </row>
    <row r="9356" spans="1:2">
      <c r="A9356" s="66">
        <v>46071.833376215276</v>
      </c>
      <c r="B9356" s="49" t="s">
        <v>10556</v>
      </c>
    </row>
    <row r="9357" spans="1:2">
      <c r="A9357" s="66">
        <v>46071.833378506941</v>
      </c>
      <c r="B9357" s="49" t="s">
        <v>10557</v>
      </c>
    </row>
    <row r="9358" spans="1:2">
      <c r="A9358" s="66">
        <v>46071.833380601849</v>
      </c>
      <c r="B9358" s="49" t="s">
        <v>10546</v>
      </c>
    </row>
    <row r="9359" spans="1:2">
      <c r="A9359" s="66">
        <v>46071.833398333329</v>
      </c>
      <c r="B9359" s="49" t="s">
        <v>10466</v>
      </c>
    </row>
    <row r="9360" spans="1:2">
      <c r="A9360" s="66">
        <v>46071.833401296295</v>
      </c>
      <c r="B9360" s="49" t="s">
        <v>10561</v>
      </c>
    </row>
    <row r="9361" spans="1:2">
      <c r="A9361" s="66">
        <v>46071.833403611112</v>
      </c>
      <c r="B9361" s="49" t="s">
        <v>10562</v>
      </c>
    </row>
    <row r="9362" spans="1:2">
      <c r="A9362" s="66">
        <v>46071.833405798607</v>
      </c>
      <c r="B9362" s="49" t="s">
        <v>10563</v>
      </c>
    </row>
    <row r="9363" spans="1:2">
      <c r="A9363" s="66">
        <v>46071.833435902779</v>
      </c>
      <c r="B9363" s="49" t="s">
        <v>10564</v>
      </c>
    </row>
    <row r="9364" spans="1:2">
      <c r="A9364" s="66">
        <v>46071.833439363429</v>
      </c>
      <c r="B9364" s="49" t="s">
        <v>10542</v>
      </c>
    </row>
    <row r="9365" spans="1:2">
      <c r="A9365" s="66">
        <v>46071.833441550931</v>
      </c>
      <c r="B9365" s="49" t="s">
        <v>10543</v>
      </c>
    </row>
    <row r="9366" spans="1:2">
      <c r="A9366" s="66">
        <v>46071.833443750002</v>
      </c>
      <c r="B9366" s="49" t="s">
        <v>9394</v>
      </c>
    </row>
    <row r="9367" spans="1:2">
      <c r="A9367" s="66">
        <v>46071.834413414355</v>
      </c>
      <c r="B9367" s="49" t="s">
        <v>10556</v>
      </c>
    </row>
    <row r="9368" spans="1:2">
      <c r="A9368" s="66">
        <v>46071.834415370366</v>
      </c>
      <c r="B9368" s="49" t="s">
        <v>10557</v>
      </c>
    </row>
    <row r="9369" spans="1:2">
      <c r="A9369" s="66">
        <v>46071.834417256949</v>
      </c>
      <c r="B9369" s="49" t="s">
        <v>10546</v>
      </c>
    </row>
    <row r="9370" spans="1:2">
      <c r="A9370" s="66">
        <v>46071.834419409723</v>
      </c>
      <c r="B9370" s="49" t="s">
        <v>10466</v>
      </c>
    </row>
    <row r="9371" spans="1:2">
      <c r="A9371" s="66">
        <v>46071.834421331019</v>
      </c>
      <c r="B9371" s="49" t="s">
        <v>10561</v>
      </c>
    </row>
    <row r="9372" spans="1:2">
      <c r="A9372" s="66">
        <v>46071.834423321758</v>
      </c>
      <c r="B9372" s="49" t="s">
        <v>10562</v>
      </c>
    </row>
    <row r="9373" spans="1:2">
      <c r="A9373" s="66">
        <v>46071.834425416666</v>
      </c>
      <c r="B9373" s="49" t="s">
        <v>10563</v>
      </c>
    </row>
    <row r="9374" spans="1:2">
      <c r="A9374" s="66">
        <v>46071.834442662039</v>
      </c>
      <c r="B9374" s="49" t="s">
        <v>10564</v>
      </c>
    </row>
    <row r="9375" spans="1:2">
      <c r="A9375" s="66">
        <v>46071.834445775465</v>
      </c>
      <c r="B9375" s="49" t="s">
        <v>10542</v>
      </c>
    </row>
    <row r="9376" spans="1:2">
      <c r="A9376" s="66">
        <v>46071.8344478125</v>
      </c>
      <c r="B9376" s="49" t="s">
        <v>10543</v>
      </c>
    </row>
    <row r="9377" spans="1:2">
      <c r="A9377" s="66">
        <v>46071.834449629634</v>
      </c>
      <c r="B9377" s="49" t="s">
        <v>9394</v>
      </c>
    </row>
    <row r="9378" spans="1:2">
      <c r="A9378" s="66">
        <v>46071.835807546297</v>
      </c>
      <c r="B9378" s="49" t="s">
        <v>10556</v>
      </c>
    </row>
    <row r="9379" spans="1:2">
      <c r="A9379" s="66">
        <v>46071.835809895834</v>
      </c>
      <c r="B9379" s="49" t="s">
        <v>10557</v>
      </c>
    </row>
    <row r="9380" spans="1:2">
      <c r="A9380" s="66">
        <v>46071.835812291669</v>
      </c>
      <c r="B9380" s="49" t="s">
        <v>10546</v>
      </c>
    </row>
    <row r="9381" spans="1:2">
      <c r="A9381" s="66">
        <v>46071.835814548613</v>
      </c>
      <c r="B9381" s="49" t="s">
        <v>10466</v>
      </c>
    </row>
    <row r="9382" spans="1:2">
      <c r="A9382" s="66">
        <v>46071.835816840277</v>
      </c>
      <c r="B9382" s="49" t="s">
        <v>10561</v>
      </c>
    </row>
    <row r="9383" spans="1:2">
      <c r="A9383" s="66">
        <v>46071.835819270833</v>
      </c>
      <c r="B9383" s="49" t="s">
        <v>10562</v>
      </c>
    </row>
    <row r="9384" spans="1:2">
      <c r="A9384" s="66">
        <v>46071.835822037036</v>
      </c>
      <c r="B9384" s="49" t="s">
        <v>10563</v>
      </c>
    </row>
    <row r="9385" spans="1:2">
      <c r="A9385" s="66">
        <v>46071.835854108795</v>
      </c>
      <c r="B9385" s="49" t="s">
        <v>10564</v>
      </c>
    </row>
    <row r="9386" spans="1:2">
      <c r="A9386" s="66">
        <v>46071.835857025464</v>
      </c>
      <c r="B9386" s="49" t="s">
        <v>10542</v>
      </c>
    </row>
    <row r="9387" spans="1:2">
      <c r="A9387" s="66">
        <v>46071.835859548606</v>
      </c>
      <c r="B9387" s="49" t="s">
        <v>10543</v>
      </c>
    </row>
    <row r="9388" spans="1:2">
      <c r="A9388" s="66">
        <v>46071.835862048611</v>
      </c>
      <c r="B9388" s="49" t="s">
        <v>9394</v>
      </c>
    </row>
    <row r="9389" spans="1:2">
      <c r="A9389" s="66">
        <v>46071.836823206017</v>
      </c>
      <c r="B9389" s="49" t="s">
        <v>10556</v>
      </c>
    </row>
    <row r="9390" spans="1:2">
      <c r="A9390" s="66">
        <v>46071.83682582176</v>
      </c>
      <c r="B9390" s="49" t="s">
        <v>10557</v>
      </c>
    </row>
    <row r="9391" spans="1:2">
      <c r="A9391" s="66">
        <v>46071.836828101848</v>
      </c>
      <c r="B9391" s="49" t="s">
        <v>10546</v>
      </c>
    </row>
    <row r="9392" spans="1:2">
      <c r="A9392" s="66">
        <v>46071.836830787041</v>
      </c>
      <c r="B9392" s="49" t="s">
        <v>10466</v>
      </c>
    </row>
    <row r="9393" spans="1:2">
      <c r="A9393" s="66">
        <v>46071.836833379624</v>
      </c>
      <c r="B9393" s="49" t="s">
        <v>10561</v>
      </c>
    </row>
    <row r="9394" spans="1:2">
      <c r="A9394" s="66">
        <v>46071.836835937502</v>
      </c>
      <c r="B9394" s="49" t="s">
        <v>10562</v>
      </c>
    </row>
    <row r="9395" spans="1:2">
      <c r="A9395" s="66">
        <v>46071.836838402778</v>
      </c>
      <c r="B9395" s="49" t="s">
        <v>10563</v>
      </c>
    </row>
    <row r="9396" spans="1:2">
      <c r="A9396" s="66">
        <v>46071.836863680554</v>
      </c>
      <c r="B9396" s="49" t="s">
        <v>10564</v>
      </c>
    </row>
    <row r="9397" spans="1:2">
      <c r="A9397" s="66">
        <v>46071.836867060185</v>
      </c>
      <c r="B9397" s="49" t="s">
        <v>10542</v>
      </c>
    </row>
    <row r="9398" spans="1:2">
      <c r="A9398" s="66">
        <v>46071.836869710649</v>
      </c>
      <c r="B9398" s="49" t="s">
        <v>10543</v>
      </c>
    </row>
    <row r="9399" spans="1:2">
      <c r="A9399" s="66">
        <v>46071.836872557869</v>
      </c>
      <c r="B9399" s="49" t="s">
        <v>9394</v>
      </c>
    </row>
    <row r="9400" spans="1:2">
      <c r="A9400" s="66">
        <v>46071.837694756949</v>
      </c>
      <c r="B9400" s="49" t="s">
        <v>10556</v>
      </c>
    </row>
    <row r="9401" spans="1:2">
      <c r="A9401" s="66">
        <v>46071.83770123843</v>
      </c>
      <c r="B9401" s="49" t="s">
        <v>10557</v>
      </c>
    </row>
    <row r="9402" spans="1:2">
      <c r="A9402" s="66">
        <v>46071.837733171298</v>
      </c>
      <c r="B9402" s="49" t="s">
        <v>10546</v>
      </c>
    </row>
    <row r="9403" spans="1:2">
      <c r="A9403" s="66">
        <v>46071.837739953698</v>
      </c>
      <c r="B9403" s="49" t="s">
        <v>10466</v>
      </c>
    </row>
    <row r="9404" spans="1:2">
      <c r="A9404" s="66">
        <v>46071.837747465281</v>
      </c>
      <c r="B9404" s="49" t="s">
        <v>10561</v>
      </c>
    </row>
    <row r="9405" spans="1:2">
      <c r="A9405" s="66">
        <v>46071.837756365741</v>
      </c>
      <c r="B9405" s="49" t="s">
        <v>10562</v>
      </c>
    </row>
    <row r="9406" spans="1:2">
      <c r="A9406" s="66">
        <v>46071.837762210649</v>
      </c>
      <c r="B9406" s="49" t="s">
        <v>10563</v>
      </c>
    </row>
    <row r="9407" spans="1:2">
      <c r="A9407" s="66">
        <v>46071.837801562498</v>
      </c>
      <c r="B9407" s="49" t="s">
        <v>10564</v>
      </c>
    </row>
    <row r="9408" spans="1:2">
      <c r="A9408" s="66">
        <v>46071.837815532403</v>
      </c>
      <c r="B9408" s="49" t="s">
        <v>10542</v>
      </c>
    </row>
    <row r="9409" spans="1:2">
      <c r="A9409" s="66">
        <v>46071.83782262732</v>
      </c>
      <c r="B9409" s="49" t="s">
        <v>10543</v>
      </c>
    </row>
    <row r="9410" spans="1:2">
      <c r="A9410" s="66">
        <v>46071.837832002318</v>
      </c>
      <c r="B9410" s="49" t="s">
        <v>9394</v>
      </c>
    </row>
    <row r="9411" spans="1:2">
      <c r="A9411" s="66">
        <v>46071.838778090278</v>
      </c>
      <c r="B9411" s="49" t="s">
        <v>10556</v>
      </c>
    </row>
    <row r="9412" spans="1:2">
      <c r="A9412" s="66">
        <v>46071.838856770832</v>
      </c>
      <c r="B9412" s="49" t="s">
        <v>10557</v>
      </c>
    </row>
    <row r="9413" spans="1:2">
      <c r="A9413" s="66">
        <v>46071.83886851852</v>
      </c>
      <c r="B9413" s="49" t="s">
        <v>10546</v>
      </c>
    </row>
    <row r="9414" spans="1:2">
      <c r="A9414" s="66">
        <v>46071.838880219904</v>
      </c>
      <c r="B9414" s="49" t="s">
        <v>10466</v>
      </c>
    </row>
    <row r="9415" spans="1:2">
      <c r="A9415" s="66">
        <v>46071.838924074073</v>
      </c>
      <c r="B9415" s="49" t="s">
        <v>10561</v>
      </c>
    </row>
    <row r="9416" spans="1:2">
      <c r="A9416" s="66">
        <v>46071.838956354171</v>
      </c>
      <c r="B9416" s="49" t="s">
        <v>10562</v>
      </c>
    </row>
    <row r="9417" spans="1:2">
      <c r="A9417" s="66">
        <v>46071.838987673611</v>
      </c>
      <c r="B9417" s="49" t="s">
        <v>10563</v>
      </c>
    </row>
    <row r="9418" spans="1:2">
      <c r="A9418" s="66">
        <v>46071.839225104166</v>
      </c>
      <c r="B9418" s="49" t="s">
        <v>10564</v>
      </c>
    </row>
    <row r="9419" spans="1:2">
      <c r="A9419" s="66">
        <v>46071.83925957176</v>
      </c>
      <c r="B9419" s="49" t="s">
        <v>10542</v>
      </c>
    </row>
    <row r="9420" spans="1:2">
      <c r="A9420" s="66">
        <v>46071.839287511575</v>
      </c>
      <c r="B9420" s="49" t="s">
        <v>10543</v>
      </c>
    </row>
    <row r="9421" spans="1:2">
      <c r="A9421" s="66">
        <v>46071.83931299769</v>
      </c>
      <c r="B9421" s="49" t="s">
        <v>9394</v>
      </c>
    </row>
    <row r="9422" spans="1:2">
      <c r="A9422" s="66">
        <v>46071.841783009259</v>
      </c>
      <c r="B9422" s="49" t="s">
        <v>10556</v>
      </c>
    </row>
    <row r="9423" spans="1:2">
      <c r="A9423" s="66">
        <v>46071.841785520832</v>
      </c>
      <c r="B9423" s="49" t="s">
        <v>10557</v>
      </c>
    </row>
    <row r="9424" spans="1:2">
      <c r="A9424" s="66">
        <v>46071.841787986108</v>
      </c>
      <c r="B9424" s="49" t="s">
        <v>10546</v>
      </c>
    </row>
    <row r="9425" spans="1:2">
      <c r="A9425" s="66">
        <v>46071.841790358798</v>
      </c>
      <c r="B9425" s="49" t="s">
        <v>10466</v>
      </c>
    </row>
    <row r="9426" spans="1:2">
      <c r="A9426" s="66">
        <v>46071.841793043983</v>
      </c>
      <c r="B9426" s="49" t="s">
        <v>10561</v>
      </c>
    </row>
    <row r="9427" spans="1:2">
      <c r="A9427" s="66">
        <v>46071.841795474538</v>
      </c>
      <c r="B9427" s="49" t="s">
        <v>10562</v>
      </c>
    </row>
    <row r="9428" spans="1:2">
      <c r="A9428" s="66">
        <v>46071.841798055553</v>
      </c>
      <c r="B9428" s="49" t="s">
        <v>10563</v>
      </c>
    </row>
    <row r="9429" spans="1:2">
      <c r="A9429" s="66">
        <v>46071.841825023148</v>
      </c>
      <c r="B9429" s="49" t="s">
        <v>10564</v>
      </c>
    </row>
    <row r="9430" spans="1:2">
      <c r="A9430" s="66">
        <v>46071.84183203704</v>
      </c>
      <c r="B9430" s="49" t="s">
        <v>10542</v>
      </c>
    </row>
    <row r="9431" spans="1:2">
      <c r="A9431" s="66">
        <v>46071.841834409723</v>
      </c>
      <c r="B9431" s="49" t="s">
        <v>10543</v>
      </c>
    </row>
    <row r="9432" spans="1:2">
      <c r="A9432" s="66">
        <v>46071.841836724532</v>
      </c>
      <c r="B9432" s="49" t="s">
        <v>9394</v>
      </c>
    </row>
    <row r="9433" spans="1:2">
      <c r="A9433" s="66">
        <v>46071.842570277775</v>
      </c>
      <c r="B9433" s="49" t="s">
        <v>10556</v>
      </c>
    </row>
    <row r="9434" spans="1:2">
      <c r="A9434" s="66">
        <v>46071.842572430556</v>
      </c>
      <c r="B9434" s="49" t="s">
        <v>10557</v>
      </c>
    </row>
    <row r="9435" spans="1:2">
      <c r="A9435" s="66">
        <v>46071.84257429398</v>
      </c>
      <c r="B9435" s="49" t="s">
        <v>10546</v>
      </c>
    </row>
    <row r="9436" spans="1:2">
      <c r="A9436" s="66">
        <v>46071.842576087962</v>
      </c>
      <c r="B9436" s="49" t="s">
        <v>10466</v>
      </c>
    </row>
    <row r="9437" spans="1:2">
      <c r="A9437" s="66">
        <v>46071.842578206022</v>
      </c>
      <c r="B9437" s="49" t="s">
        <v>10561</v>
      </c>
    </row>
    <row r="9438" spans="1:2">
      <c r="A9438" s="66">
        <v>46071.842580104167</v>
      </c>
      <c r="B9438" s="49" t="s">
        <v>10562</v>
      </c>
    </row>
    <row r="9439" spans="1:2">
      <c r="A9439" s="66">
        <v>46071.842582129626</v>
      </c>
      <c r="B9439" s="49" t="s">
        <v>10563</v>
      </c>
    </row>
    <row r="9440" spans="1:2">
      <c r="A9440" s="66">
        <v>46071.842596423608</v>
      </c>
      <c r="B9440" s="49" t="s">
        <v>10564</v>
      </c>
    </row>
    <row r="9441" spans="1:2">
      <c r="A9441" s="66">
        <v>46071.842598217598</v>
      </c>
      <c r="B9441" s="49" t="s">
        <v>10542</v>
      </c>
    </row>
    <row r="9442" spans="1:2">
      <c r="A9442" s="66">
        <v>46071.842600972217</v>
      </c>
      <c r="B9442" s="49" t="s">
        <v>10543</v>
      </c>
    </row>
    <row r="9443" spans="1:2">
      <c r="A9443" s="66">
        <v>46071.842602685181</v>
      </c>
      <c r="B9443" s="49" t="s">
        <v>9394</v>
      </c>
    </row>
    <row r="9444" spans="1:2">
      <c r="A9444" s="66">
        <v>46071.843941412037</v>
      </c>
      <c r="B9444" s="49" t="s">
        <v>10556</v>
      </c>
    </row>
    <row r="9445" spans="1:2">
      <c r="A9445" s="66">
        <v>46071.84394337963</v>
      </c>
      <c r="B9445" s="49" t="s">
        <v>10557</v>
      </c>
    </row>
    <row r="9446" spans="1:2">
      <c r="A9446" s="66">
        <v>46071.843945567132</v>
      </c>
      <c r="B9446" s="49" t="s">
        <v>10546</v>
      </c>
    </row>
    <row r="9447" spans="1:2">
      <c r="A9447" s="66">
        <v>46071.843947291665</v>
      </c>
      <c r="B9447" s="49" t="s">
        <v>10466</v>
      </c>
    </row>
    <row r="9448" spans="1:2">
      <c r="A9448" s="66">
        <v>46071.843949212962</v>
      </c>
      <c r="B9448" s="49" t="s">
        <v>10561</v>
      </c>
    </row>
    <row r="9449" spans="1:2">
      <c r="A9449" s="66">
        <v>46071.843951354167</v>
      </c>
      <c r="B9449" s="49" t="s">
        <v>10562</v>
      </c>
    </row>
    <row r="9450" spans="1:2">
      <c r="A9450" s="66">
        <v>46071.84395303241</v>
      </c>
      <c r="B9450" s="49" t="s">
        <v>10563</v>
      </c>
    </row>
    <row r="9451" spans="1:2">
      <c r="A9451" s="66">
        <v>46071.843968865738</v>
      </c>
      <c r="B9451" s="49" t="s">
        <v>10564</v>
      </c>
    </row>
    <row r="9452" spans="1:2">
      <c r="A9452" s="66">
        <v>46071.843971076392</v>
      </c>
      <c r="B9452" s="49" t="s">
        <v>10542</v>
      </c>
    </row>
    <row r="9453" spans="1:2">
      <c r="A9453" s="66">
        <v>46071.843972673611</v>
      </c>
      <c r="B9453" s="49" t="s">
        <v>10543</v>
      </c>
    </row>
    <row r="9454" spans="1:2">
      <c r="A9454" s="66">
        <v>46071.843974675925</v>
      </c>
      <c r="B9454" s="49" t="s">
        <v>9394</v>
      </c>
    </row>
    <row r="9455" spans="1:2">
      <c r="A9455" s="66">
        <v>46071.844755520833</v>
      </c>
      <c r="B9455" s="49" t="s">
        <v>10556</v>
      </c>
    </row>
    <row r="9456" spans="1:2">
      <c r="A9456" s="66">
        <v>46071.844757696759</v>
      </c>
      <c r="B9456" s="49" t="s">
        <v>10557</v>
      </c>
    </row>
    <row r="9457" spans="1:2">
      <c r="A9457" s="66">
        <v>46071.844768460651</v>
      </c>
      <c r="B9457" s="49" t="s">
        <v>10546</v>
      </c>
    </row>
    <row r="9458" spans="1:2">
      <c r="A9458" s="66">
        <v>46071.844770393524</v>
      </c>
      <c r="B9458" s="49" t="s">
        <v>10466</v>
      </c>
    </row>
    <row r="9459" spans="1:2">
      <c r="A9459" s="66">
        <v>46071.844772476848</v>
      </c>
      <c r="B9459" s="49" t="s">
        <v>10561</v>
      </c>
    </row>
    <row r="9460" spans="1:2">
      <c r="A9460" s="66">
        <v>46071.844774421297</v>
      </c>
      <c r="B9460" s="49" t="s">
        <v>10562</v>
      </c>
    </row>
    <row r="9461" spans="1:2">
      <c r="A9461" s="66">
        <v>46071.844776388883</v>
      </c>
      <c r="B9461" s="49" t="s">
        <v>10563</v>
      </c>
    </row>
    <row r="9462" spans="1:2">
      <c r="A9462" s="66">
        <v>46071.844790902775</v>
      </c>
      <c r="B9462" s="49" t="s">
        <v>10564</v>
      </c>
    </row>
    <row r="9463" spans="1:2">
      <c r="A9463" s="66">
        <v>46071.844792847223</v>
      </c>
      <c r="B9463" s="49" t="s">
        <v>10542</v>
      </c>
    </row>
    <row r="9464" spans="1:2">
      <c r="A9464" s="66">
        <v>46071.844794733799</v>
      </c>
      <c r="B9464" s="49" t="s">
        <v>10543</v>
      </c>
    </row>
    <row r="9465" spans="1:2">
      <c r="A9465" s="66">
        <v>46071.844798865743</v>
      </c>
      <c r="B9465" s="49" t="s">
        <v>9394</v>
      </c>
    </row>
    <row r="9466" spans="1:2">
      <c r="A9466" s="66">
        <v>46071.845933553239</v>
      </c>
      <c r="B9466" s="49" t="s">
        <v>10556</v>
      </c>
    </row>
    <row r="9467" spans="1:2">
      <c r="A9467" s="66">
        <v>46071.845935787038</v>
      </c>
      <c r="B9467" s="49" t="s">
        <v>10557</v>
      </c>
    </row>
    <row r="9468" spans="1:2">
      <c r="A9468" s="66">
        <v>46071.845937789352</v>
      </c>
      <c r="B9468" s="49" t="s">
        <v>10546</v>
      </c>
    </row>
    <row r="9469" spans="1:2">
      <c r="A9469" s="66">
        <v>46071.845940312502</v>
      </c>
      <c r="B9469" s="49" t="s">
        <v>10466</v>
      </c>
    </row>
    <row r="9470" spans="1:2">
      <c r="A9470" s="66">
        <v>46071.845942361106</v>
      </c>
      <c r="B9470" s="49" t="s">
        <v>10561</v>
      </c>
    </row>
    <row r="9471" spans="1:2">
      <c r="A9471" s="66">
        <v>46071.845944583329</v>
      </c>
      <c r="B9471" s="49" t="s">
        <v>10562</v>
      </c>
    </row>
    <row r="9472" spans="1:2">
      <c r="A9472" s="66">
        <v>46071.84594644676</v>
      </c>
      <c r="B9472" s="49" t="s">
        <v>10563</v>
      </c>
    </row>
    <row r="9473" spans="1:2">
      <c r="A9473" s="66">
        <v>46071.845968275462</v>
      </c>
      <c r="B9473" s="49" t="s">
        <v>10564</v>
      </c>
    </row>
    <row r="9474" spans="1:2">
      <c r="A9474" s="66">
        <v>46071.845970451388</v>
      </c>
      <c r="B9474" s="49" t="s">
        <v>10542</v>
      </c>
    </row>
    <row r="9475" spans="1:2">
      <c r="A9475" s="66">
        <v>46071.845972280091</v>
      </c>
      <c r="B9475" s="49" t="s">
        <v>10543</v>
      </c>
    </row>
    <row r="9476" spans="1:2">
      <c r="A9476" s="66">
        <v>46071.845978055557</v>
      </c>
      <c r="B9476" s="49" t="s">
        <v>9394</v>
      </c>
    </row>
    <row r="9477" spans="1:2">
      <c r="A9477" s="66">
        <v>46071.847196180555</v>
      </c>
      <c r="B9477" s="49" t="s">
        <v>10556</v>
      </c>
    </row>
    <row r="9478" spans="1:2">
      <c r="A9478" s="66">
        <v>46071.847198622687</v>
      </c>
      <c r="B9478" s="49" t="s">
        <v>10557</v>
      </c>
    </row>
    <row r="9479" spans="1:2">
      <c r="A9479" s="66">
        <v>46071.847201145836</v>
      </c>
      <c r="B9479" s="49" t="s">
        <v>10546</v>
      </c>
    </row>
    <row r="9480" spans="1:2">
      <c r="A9480" s="66">
        <v>46071.847203460653</v>
      </c>
      <c r="B9480" s="49" t="s">
        <v>10466</v>
      </c>
    </row>
    <row r="9481" spans="1:2">
      <c r="A9481" s="66">
        <v>46071.84720611111</v>
      </c>
      <c r="B9481" s="49" t="s">
        <v>10561</v>
      </c>
    </row>
    <row r="9482" spans="1:2">
      <c r="A9482" s="66">
        <v>46071.847208784719</v>
      </c>
      <c r="B9482" s="49" t="s">
        <v>10562</v>
      </c>
    </row>
    <row r="9483" spans="1:2">
      <c r="A9483" s="66">
        <v>46071.847211284723</v>
      </c>
      <c r="B9483" s="49" t="s">
        <v>10563</v>
      </c>
    </row>
    <row r="9484" spans="1:2">
      <c r="A9484" s="66">
        <v>46071.847235185181</v>
      </c>
      <c r="B9484" s="49" t="s">
        <v>10564</v>
      </c>
    </row>
    <row r="9485" spans="1:2">
      <c r="A9485" s="66">
        <v>46071.847237986112</v>
      </c>
      <c r="B9485" s="49" t="s">
        <v>10542</v>
      </c>
    </row>
    <row r="9486" spans="1:2">
      <c r="A9486" s="66">
        <v>46071.84724023148</v>
      </c>
      <c r="B9486" s="49" t="s">
        <v>10543</v>
      </c>
    </row>
    <row r="9487" spans="1:2">
      <c r="A9487" s="66">
        <v>46071.847242847223</v>
      </c>
      <c r="B9487" s="49" t="s">
        <v>9394</v>
      </c>
    </row>
    <row r="9488" spans="1:2">
      <c r="A9488" s="66">
        <v>46071.8480303588</v>
      </c>
      <c r="B9488" s="49" t="s">
        <v>10556</v>
      </c>
    </row>
    <row r="9489" spans="1:2">
      <c r="A9489" s="66">
        <v>46071.848032268521</v>
      </c>
      <c r="B9489" s="49" t="s">
        <v>10557</v>
      </c>
    </row>
    <row r="9490" spans="1:2">
      <c r="A9490" s="66">
        <v>46071.84803418981</v>
      </c>
      <c r="B9490" s="49" t="s">
        <v>10546</v>
      </c>
    </row>
    <row r="9491" spans="1:2">
      <c r="A9491" s="66">
        <v>46071.848035810181</v>
      </c>
      <c r="B9491" s="49" t="s">
        <v>10466</v>
      </c>
    </row>
    <row r="9492" spans="1:2">
      <c r="A9492" s="66">
        <v>46071.848037997683</v>
      </c>
      <c r="B9492" s="49" t="s">
        <v>10561</v>
      </c>
    </row>
    <row r="9493" spans="1:2">
      <c r="A9493" s="66">
        <v>46071.848039976852</v>
      </c>
      <c r="B9493" s="49" t="s">
        <v>10562</v>
      </c>
    </row>
    <row r="9494" spans="1:2">
      <c r="A9494" s="66">
        <v>46071.84804193287</v>
      </c>
      <c r="B9494" s="49" t="s">
        <v>10563</v>
      </c>
    </row>
    <row r="9495" spans="1:2">
      <c r="A9495" s="66">
        <v>46071.84805818287</v>
      </c>
      <c r="B9495" s="49" t="s">
        <v>10564</v>
      </c>
    </row>
    <row r="9496" spans="1:2">
      <c r="A9496" s="66">
        <v>46071.848060046294</v>
      </c>
      <c r="B9496" s="49" t="s">
        <v>10542</v>
      </c>
    </row>
    <row r="9497" spans="1:2">
      <c r="A9497" s="66">
        <v>46071.848062210644</v>
      </c>
      <c r="B9497" s="49" t="s">
        <v>10543</v>
      </c>
    </row>
    <row r="9498" spans="1:2">
      <c r="A9498" s="66">
        <v>46071.848064050922</v>
      </c>
      <c r="B9498" s="49" t="s">
        <v>9394</v>
      </c>
    </row>
    <row r="9499" spans="1:2">
      <c r="A9499" s="66">
        <v>46071.849004201387</v>
      </c>
      <c r="B9499" s="49" t="s">
        <v>10556</v>
      </c>
    </row>
    <row r="9500" spans="1:2">
      <c r="A9500" s="66">
        <v>46071.849006493052</v>
      </c>
      <c r="B9500" s="49" t="s">
        <v>10557</v>
      </c>
    </row>
    <row r="9501" spans="1:2">
      <c r="A9501" s="66">
        <v>46071.849013553241</v>
      </c>
      <c r="B9501" s="49" t="s">
        <v>10546</v>
      </c>
    </row>
    <row r="9502" spans="1:2">
      <c r="A9502" s="66">
        <v>46071.84902086806</v>
      </c>
      <c r="B9502" s="49" t="s">
        <v>10466</v>
      </c>
    </row>
    <row r="9503" spans="1:2">
      <c r="A9503" s="66">
        <v>46071.849022615745</v>
      </c>
      <c r="B9503" s="49" t="s">
        <v>10561</v>
      </c>
    </row>
    <row r="9504" spans="1:2">
      <c r="A9504" s="66">
        <v>46071.849024398151</v>
      </c>
      <c r="B9504" s="49" t="s">
        <v>10562</v>
      </c>
    </row>
    <row r="9505" spans="1:2">
      <c r="A9505" s="66">
        <v>46071.849026284719</v>
      </c>
      <c r="B9505" s="49" t="s">
        <v>10563</v>
      </c>
    </row>
    <row r="9506" spans="1:2">
      <c r="A9506" s="66">
        <v>46071.84904854167</v>
      </c>
      <c r="B9506" s="49" t="s">
        <v>10564</v>
      </c>
    </row>
    <row r="9507" spans="1:2">
      <c r="A9507" s="66">
        <v>46071.849050300923</v>
      </c>
      <c r="B9507" s="49" t="s">
        <v>10542</v>
      </c>
    </row>
    <row r="9508" spans="1:2">
      <c r="A9508" s="66">
        <v>46071.849051990735</v>
      </c>
      <c r="B9508" s="49" t="s">
        <v>10543</v>
      </c>
    </row>
    <row r="9509" spans="1:2">
      <c r="A9509" s="66">
        <v>46071.849053865742</v>
      </c>
      <c r="B9509" s="49" t="s">
        <v>9394</v>
      </c>
    </row>
    <row r="9510" spans="1:2">
      <c r="A9510" s="66">
        <v>46071.849883240742</v>
      </c>
      <c r="B9510" s="49" t="s">
        <v>10556</v>
      </c>
    </row>
    <row r="9511" spans="1:2">
      <c r="A9511" s="66">
        <v>46071.849886041666</v>
      </c>
      <c r="B9511" s="49" t="s">
        <v>10557</v>
      </c>
    </row>
    <row r="9512" spans="1:2">
      <c r="A9512" s="66">
        <v>46071.849888541663</v>
      </c>
      <c r="B9512" s="49" t="s">
        <v>10546</v>
      </c>
    </row>
    <row r="9513" spans="1:2">
      <c r="A9513" s="66">
        <v>46071.849890925921</v>
      </c>
      <c r="B9513" s="49" t="s">
        <v>10466</v>
      </c>
    </row>
    <row r="9514" spans="1:2">
      <c r="A9514" s="66">
        <v>46071.849893356484</v>
      </c>
      <c r="B9514" s="49" t="s">
        <v>10561</v>
      </c>
    </row>
    <row r="9515" spans="1:2">
      <c r="A9515" s="66">
        <v>46071.849895787032</v>
      </c>
      <c r="B9515" s="49" t="s">
        <v>10562</v>
      </c>
    </row>
    <row r="9516" spans="1:2">
      <c r="A9516" s="66">
        <v>46071.849898310189</v>
      </c>
      <c r="B9516" s="49" t="s">
        <v>10563</v>
      </c>
    </row>
    <row r="9517" spans="1:2">
      <c r="A9517" s="66">
        <v>46071.849914143517</v>
      </c>
      <c r="B9517" s="49" t="s">
        <v>10564</v>
      </c>
    </row>
    <row r="9518" spans="1:2">
      <c r="A9518" s="66">
        <v>46071.849922731482</v>
      </c>
      <c r="B9518" s="49" t="s">
        <v>10542</v>
      </c>
    </row>
    <row r="9519" spans="1:2">
      <c r="A9519" s="66">
        <v>46071.84992497685</v>
      </c>
      <c r="B9519" s="49" t="s">
        <v>10543</v>
      </c>
    </row>
    <row r="9520" spans="1:2">
      <c r="A9520" s="66">
        <v>46071.849927939817</v>
      </c>
      <c r="B9520" s="49" t="s">
        <v>9394</v>
      </c>
    </row>
    <row r="9521" spans="1:2">
      <c r="A9521" s="66">
        <v>46071.850870844908</v>
      </c>
      <c r="B9521" s="49" t="s">
        <v>10556</v>
      </c>
    </row>
    <row r="9522" spans="1:2">
      <c r="A9522" s="66">
        <v>46071.850873796298</v>
      </c>
      <c r="B9522" s="49" t="s">
        <v>10557</v>
      </c>
    </row>
    <row r="9523" spans="1:2">
      <c r="A9523" s="66">
        <v>46071.850877384262</v>
      </c>
      <c r="B9523" s="49" t="s">
        <v>10546</v>
      </c>
    </row>
    <row r="9524" spans="1:2">
      <c r="A9524" s="66">
        <v>46071.850880752318</v>
      </c>
      <c r="B9524" s="49" t="s">
        <v>10466</v>
      </c>
    </row>
    <row r="9525" spans="1:2">
      <c r="A9525" s="66">
        <v>46071.85088302083</v>
      </c>
      <c r="B9525" s="49" t="s">
        <v>10561</v>
      </c>
    </row>
    <row r="9526" spans="1:2">
      <c r="A9526" s="66">
        <v>46071.850885787033</v>
      </c>
      <c r="B9526" s="49" t="s">
        <v>10562</v>
      </c>
    </row>
    <row r="9527" spans="1:2">
      <c r="A9527" s="66">
        <v>46071.85088888889</v>
      </c>
      <c r="B9527" s="49" t="s">
        <v>10563</v>
      </c>
    </row>
    <row r="9528" spans="1:2">
      <c r="A9528" s="66">
        <v>46071.85093375</v>
      </c>
      <c r="B9528" s="49" t="s">
        <v>10564</v>
      </c>
    </row>
    <row r="9529" spans="1:2">
      <c r="A9529" s="66">
        <v>46071.850935925926</v>
      </c>
      <c r="B9529" s="49" t="s">
        <v>10542</v>
      </c>
    </row>
    <row r="9530" spans="1:2">
      <c r="A9530" s="66">
        <v>46071.850938217598</v>
      </c>
      <c r="B9530" s="49" t="s">
        <v>10543</v>
      </c>
    </row>
    <row r="9531" spans="1:2">
      <c r="A9531" s="66">
        <v>46071.850940370372</v>
      </c>
      <c r="B9531" s="49" t="s">
        <v>9394</v>
      </c>
    </row>
    <row r="9532" spans="1:2">
      <c r="A9532" s="66">
        <v>46071.851951793986</v>
      </c>
      <c r="B9532" s="49" t="s">
        <v>10556</v>
      </c>
    </row>
    <row r="9533" spans="1:2">
      <c r="A9533" s="66">
        <v>46071.851953784717</v>
      </c>
      <c r="B9533" s="49" t="s">
        <v>10557</v>
      </c>
    </row>
    <row r="9534" spans="1:2">
      <c r="A9534" s="66">
        <v>46071.851955486112</v>
      </c>
      <c r="B9534" s="49" t="s">
        <v>10546</v>
      </c>
    </row>
    <row r="9535" spans="1:2">
      <c r="A9535" s="66">
        <v>46071.851957210645</v>
      </c>
      <c r="B9535" s="49" t="s">
        <v>10466</v>
      </c>
    </row>
    <row r="9536" spans="1:2">
      <c r="A9536" s="66">
        <v>46071.85195921296</v>
      </c>
      <c r="B9536" s="49" t="s">
        <v>10561</v>
      </c>
    </row>
    <row r="9537" spans="1:2">
      <c r="A9537" s="66">
        <v>46071.85196078704</v>
      </c>
      <c r="B9537" s="49" t="s">
        <v>10562</v>
      </c>
    </row>
    <row r="9538" spans="1:2">
      <c r="A9538" s="66">
        <v>46071.85196255787</v>
      </c>
      <c r="B9538" s="49" t="s">
        <v>10563</v>
      </c>
    </row>
    <row r="9539" spans="1:2">
      <c r="A9539" s="66">
        <v>46071.851978576393</v>
      </c>
      <c r="B9539" s="49" t="s">
        <v>10564</v>
      </c>
    </row>
    <row r="9540" spans="1:2">
      <c r="A9540" s="66">
        <v>46071.851980474537</v>
      </c>
      <c r="B9540" s="49" t="s">
        <v>10542</v>
      </c>
    </row>
    <row r="9541" spans="1:2">
      <c r="A9541" s="66">
        <v>46071.851982476852</v>
      </c>
      <c r="B9541" s="49" t="s">
        <v>10543</v>
      </c>
    </row>
    <row r="9542" spans="1:2">
      <c r="A9542" s="66">
        <v>46071.851984456021</v>
      </c>
      <c r="B9542" s="49" t="s">
        <v>9394</v>
      </c>
    </row>
    <row r="9543" spans="1:2">
      <c r="A9543" s="66">
        <v>46071.852751030092</v>
      </c>
      <c r="B9543" s="49" t="s">
        <v>10556</v>
      </c>
    </row>
    <row r="9544" spans="1:2">
      <c r="A9544" s="66">
        <v>46071.852753252315</v>
      </c>
      <c r="B9544" s="49" t="s">
        <v>10557</v>
      </c>
    </row>
    <row r="9545" spans="1:2">
      <c r="A9545" s="66">
        <v>46071.852755300926</v>
      </c>
      <c r="B9545" s="49" t="s">
        <v>10546</v>
      </c>
    </row>
    <row r="9546" spans="1:2">
      <c r="A9546" s="66">
        <v>46071.852757337962</v>
      </c>
      <c r="B9546" s="49" t="s">
        <v>10466</v>
      </c>
    </row>
    <row r="9547" spans="1:2">
      <c r="A9547" s="66">
        <v>46071.85275928241</v>
      </c>
      <c r="B9547" s="49" t="s">
        <v>10561</v>
      </c>
    </row>
    <row r="9548" spans="1:2">
      <c r="A9548" s="66">
        <v>46071.852765902775</v>
      </c>
      <c r="B9548" s="49" t="s">
        <v>10562</v>
      </c>
    </row>
    <row r="9549" spans="1:2">
      <c r="A9549" s="66">
        <v>46071.852768113429</v>
      </c>
      <c r="B9549" s="49" t="s">
        <v>10563</v>
      </c>
    </row>
    <row r="9550" spans="1:2">
      <c r="A9550" s="66">
        <v>46071.852786574076</v>
      </c>
      <c r="B9550" s="49" t="s">
        <v>10564</v>
      </c>
    </row>
    <row r="9551" spans="1:2">
      <c r="A9551" s="66">
        <v>46071.852788773147</v>
      </c>
      <c r="B9551" s="49" t="s">
        <v>10542</v>
      </c>
    </row>
    <row r="9552" spans="1:2">
      <c r="A9552" s="66">
        <v>46071.85279070602</v>
      </c>
      <c r="B9552" s="49" t="s">
        <v>10543</v>
      </c>
    </row>
    <row r="9553" spans="1:2">
      <c r="A9553" s="66">
        <v>46071.852792719903</v>
      </c>
      <c r="B9553" s="49" t="s">
        <v>9394</v>
      </c>
    </row>
    <row r="9554" spans="1:2">
      <c r="A9554" s="66">
        <v>46071.853561863427</v>
      </c>
      <c r="B9554" s="49" t="s">
        <v>10556</v>
      </c>
    </row>
    <row r="9555" spans="1:2">
      <c r="A9555" s="66">
        <v>46071.853564039353</v>
      </c>
      <c r="B9555" s="49" t="s">
        <v>10557</v>
      </c>
    </row>
    <row r="9556" spans="1:2">
      <c r="A9556" s="66">
        <v>46071.853565937505</v>
      </c>
      <c r="B9556" s="49" t="s">
        <v>10546</v>
      </c>
    </row>
    <row r="9557" spans="1:2">
      <c r="A9557" s="66">
        <v>46071.853567546292</v>
      </c>
      <c r="B9557" s="49" t="s">
        <v>10466</v>
      </c>
    </row>
    <row r="9558" spans="1:2">
      <c r="A9558" s="66">
        <v>46071.853569212966</v>
      </c>
      <c r="B9558" s="49" t="s">
        <v>10561</v>
      </c>
    </row>
    <row r="9559" spans="1:2">
      <c r="A9559" s="66">
        <v>46071.853570821761</v>
      </c>
      <c r="B9559" s="49" t="s">
        <v>10562</v>
      </c>
    </row>
    <row r="9560" spans="1:2">
      <c r="A9560" s="66">
        <v>46071.853572581022</v>
      </c>
      <c r="B9560" s="49" t="s">
        <v>10563</v>
      </c>
    </row>
    <row r="9561" spans="1:2">
      <c r="A9561" s="66">
        <v>46071.8535868287</v>
      </c>
      <c r="B9561" s="49" t="s">
        <v>10564</v>
      </c>
    </row>
    <row r="9562" spans="1:2">
      <c r="A9562" s="66">
        <v>46071.853588796293</v>
      </c>
      <c r="B9562" s="49" t="s">
        <v>10542</v>
      </c>
    </row>
    <row r="9563" spans="1:2">
      <c r="A9563" s="66">
        <v>46071.853590578699</v>
      </c>
      <c r="B9563" s="49" t="s">
        <v>10543</v>
      </c>
    </row>
    <row r="9564" spans="1:2">
      <c r="A9564" s="66">
        <v>46071.853600740738</v>
      </c>
      <c r="B9564" s="49" t="s">
        <v>9394</v>
      </c>
    </row>
    <row r="9565" spans="1:2">
      <c r="A9565" s="66">
        <v>46071.854406689818</v>
      </c>
      <c r="B9565" s="49" t="s">
        <v>10556</v>
      </c>
    </row>
    <row r="9566" spans="1:2">
      <c r="A9566" s="66">
        <v>46071.85440971065</v>
      </c>
      <c r="B9566" s="49" t="s">
        <v>10557</v>
      </c>
    </row>
    <row r="9567" spans="1:2">
      <c r="A9567" s="66">
        <v>46071.854412766203</v>
      </c>
      <c r="B9567" s="49" t="s">
        <v>10546</v>
      </c>
    </row>
    <row r="9568" spans="1:2">
      <c r="A9568" s="66">
        <v>46071.854415694441</v>
      </c>
      <c r="B9568" s="49" t="s">
        <v>10466</v>
      </c>
    </row>
    <row r="9569" spans="1:2">
      <c r="A9569" s="66">
        <v>46071.854419421295</v>
      </c>
      <c r="B9569" s="49" t="s">
        <v>10561</v>
      </c>
    </row>
    <row r="9570" spans="1:2">
      <c r="A9570" s="66">
        <v>46071.854426331018</v>
      </c>
      <c r="B9570" s="49" t="s">
        <v>10562</v>
      </c>
    </row>
    <row r="9571" spans="1:2">
      <c r="A9571" s="66">
        <v>46071.854429479165</v>
      </c>
      <c r="B9571" s="49" t="s">
        <v>10563</v>
      </c>
    </row>
    <row r="9572" spans="1:2">
      <c r="A9572" s="66">
        <v>46071.854448865735</v>
      </c>
      <c r="B9572" s="49" t="s">
        <v>10564</v>
      </c>
    </row>
    <row r="9573" spans="1:2">
      <c r="A9573" s="66">
        <v>46071.854454293978</v>
      </c>
      <c r="B9573" s="49" t="s">
        <v>10542</v>
      </c>
    </row>
    <row r="9574" spans="1:2">
      <c r="A9574" s="66">
        <v>46071.854457650465</v>
      </c>
      <c r="B9574" s="49" t="s">
        <v>10543</v>
      </c>
    </row>
    <row r="9575" spans="1:2">
      <c r="A9575" s="66">
        <v>46071.85446052083</v>
      </c>
      <c r="B9575" s="49" t="s">
        <v>9394</v>
      </c>
    </row>
    <row r="9576" spans="1:2">
      <c r="A9576" s="66">
        <v>46071.855643668983</v>
      </c>
      <c r="B9576" s="49" t="s">
        <v>10556</v>
      </c>
    </row>
    <row r="9577" spans="1:2">
      <c r="A9577" s="66">
        <v>46071.85564577546</v>
      </c>
      <c r="B9577" s="49" t="s">
        <v>10557</v>
      </c>
    </row>
    <row r="9578" spans="1:2">
      <c r="A9578" s="66">
        <v>46071.855647615739</v>
      </c>
      <c r="B9578" s="49" t="s">
        <v>10546</v>
      </c>
    </row>
    <row r="9579" spans="1:2">
      <c r="A9579" s="66">
        <v>46071.85564952546</v>
      </c>
      <c r="B9579" s="49" t="s">
        <v>10466</v>
      </c>
    </row>
    <row r="9580" spans="1:2">
      <c r="A9580" s="66">
        <v>46071.855653483799</v>
      </c>
      <c r="B9580" s="49" t="s">
        <v>10561</v>
      </c>
    </row>
    <row r="9581" spans="1:2">
      <c r="A9581" s="66">
        <v>46071.855655381944</v>
      </c>
      <c r="B9581" s="49" t="s">
        <v>10562</v>
      </c>
    </row>
    <row r="9582" spans="1:2">
      <c r="A9582" s="66">
        <v>46071.855657187501</v>
      </c>
      <c r="B9582" s="49" t="s">
        <v>10563</v>
      </c>
    </row>
    <row r="9583" spans="1:2">
      <c r="A9583" s="66">
        <v>46071.855673599537</v>
      </c>
      <c r="B9583" s="49" t="s">
        <v>10564</v>
      </c>
    </row>
    <row r="9584" spans="1:2">
      <c r="A9584" s="66">
        <v>46071.855675659725</v>
      </c>
      <c r="B9584" s="49" t="s">
        <v>10542</v>
      </c>
    </row>
    <row r="9585" spans="1:2">
      <c r="A9585" s="66">
        <v>46071.855677731481</v>
      </c>
      <c r="B9585" s="49" t="s">
        <v>10543</v>
      </c>
    </row>
    <row r="9586" spans="1:2">
      <c r="A9586" s="66">
        <v>46071.855679745371</v>
      </c>
      <c r="B9586" s="49" t="s">
        <v>9394</v>
      </c>
    </row>
    <row r="9587" spans="1:2">
      <c r="A9587" s="66">
        <v>46071.856593402779</v>
      </c>
      <c r="B9587" s="49" t="s">
        <v>10556</v>
      </c>
    </row>
    <row r="9588" spans="1:2">
      <c r="A9588" s="66">
        <v>46071.856595902776</v>
      </c>
      <c r="B9588" s="49" t="s">
        <v>10557</v>
      </c>
    </row>
    <row r="9589" spans="1:2">
      <c r="A9589" s="66">
        <v>46071.856602500004</v>
      </c>
      <c r="B9589" s="49" t="s">
        <v>10546</v>
      </c>
    </row>
    <row r="9590" spans="1:2">
      <c r="A9590" s="66">
        <v>46071.856604675922</v>
      </c>
      <c r="B9590" s="49" t="s">
        <v>10466</v>
      </c>
    </row>
    <row r="9591" spans="1:2">
      <c r="A9591" s="66">
        <v>46071.856606851856</v>
      </c>
      <c r="B9591" s="49" t="s">
        <v>10561</v>
      </c>
    </row>
    <row r="9592" spans="1:2">
      <c r="A9592" s="66">
        <v>46071.856610000003</v>
      </c>
      <c r="B9592" s="49" t="s">
        <v>10562</v>
      </c>
    </row>
    <row r="9593" spans="1:2">
      <c r="A9593" s="66">
        <v>46071.856612210649</v>
      </c>
      <c r="B9593" s="49" t="s">
        <v>10563</v>
      </c>
    </row>
    <row r="9594" spans="1:2">
      <c r="A9594" s="66">
        <v>46071.85663145833</v>
      </c>
      <c r="B9594" s="49" t="s">
        <v>10564</v>
      </c>
    </row>
    <row r="9595" spans="1:2">
      <c r="A9595" s="66">
        <v>46071.856633645832</v>
      </c>
      <c r="B9595" s="49" t="s">
        <v>10542</v>
      </c>
    </row>
    <row r="9596" spans="1:2">
      <c r="A9596" s="66">
        <v>46071.856639930556</v>
      </c>
      <c r="B9596" s="49" t="s">
        <v>10543</v>
      </c>
    </row>
    <row r="9597" spans="1:2">
      <c r="A9597" s="66">
        <v>46071.856642222221</v>
      </c>
      <c r="B9597" s="49" t="s">
        <v>9394</v>
      </c>
    </row>
    <row r="9598" spans="1:2">
      <c r="A9598" s="66">
        <v>46071.857540543977</v>
      </c>
      <c r="B9598" s="49" t="s">
        <v>10556</v>
      </c>
    </row>
    <row r="9599" spans="1:2">
      <c r="A9599" s="66">
        <v>46071.857542800921</v>
      </c>
      <c r="B9599" s="49" t="s">
        <v>10557</v>
      </c>
    </row>
    <row r="9600" spans="1:2">
      <c r="A9600" s="66">
        <v>46071.857544560189</v>
      </c>
      <c r="B9600" s="49" t="s">
        <v>10546</v>
      </c>
    </row>
    <row r="9601" spans="1:2">
      <c r="A9601" s="66">
        <v>46071.857546539351</v>
      </c>
      <c r="B9601" s="49" t="s">
        <v>10466</v>
      </c>
    </row>
    <row r="9602" spans="1:2">
      <c r="A9602" s="66">
        <v>46071.857555428243</v>
      </c>
      <c r="B9602" s="49" t="s">
        <v>10561</v>
      </c>
    </row>
    <row r="9603" spans="1:2">
      <c r="A9603" s="66">
        <v>46071.857557361116</v>
      </c>
      <c r="B9603" s="49" t="s">
        <v>10562</v>
      </c>
    </row>
    <row r="9604" spans="1:2">
      <c r="A9604" s="66">
        <v>46071.857559340278</v>
      </c>
      <c r="B9604" s="49" t="s">
        <v>10563</v>
      </c>
    </row>
    <row r="9605" spans="1:2">
      <c r="A9605" s="66">
        <v>46071.857576562499</v>
      </c>
      <c r="B9605" s="49" t="s">
        <v>10564</v>
      </c>
    </row>
    <row r="9606" spans="1:2">
      <c r="A9606" s="66">
        <v>46071.857578564814</v>
      </c>
      <c r="B9606" s="49" t="s">
        <v>10542</v>
      </c>
    </row>
    <row r="9607" spans="1:2">
      <c r="A9607" s="66">
        <v>46071.857580428245</v>
      </c>
      <c r="B9607" s="49" t="s">
        <v>10543</v>
      </c>
    </row>
    <row r="9608" spans="1:2">
      <c r="A9608" s="66">
        <v>46071.857582245371</v>
      </c>
      <c r="B9608" s="49" t="s">
        <v>9394</v>
      </c>
    </row>
    <row r="9609" spans="1:2">
      <c r="A9609" s="66">
        <v>46071.858846944444</v>
      </c>
      <c r="B9609" s="49" t="s">
        <v>10556</v>
      </c>
    </row>
    <row r="9610" spans="1:2">
      <c r="A9610" s="66">
        <v>46071.858850879631</v>
      </c>
      <c r="B9610" s="49" t="s">
        <v>10557</v>
      </c>
    </row>
    <row r="9611" spans="1:2">
      <c r="A9611" s="66">
        <v>46071.85885315972</v>
      </c>
      <c r="B9611" s="49" t="s">
        <v>10546</v>
      </c>
    </row>
    <row r="9612" spans="1:2">
      <c r="A9612" s="66">
        <v>46071.858855474537</v>
      </c>
      <c r="B9612" s="49" t="s">
        <v>10466</v>
      </c>
    </row>
    <row r="9613" spans="1:2">
      <c r="A9613" s="66">
        <v>46071.85885744213</v>
      </c>
      <c r="B9613" s="49" t="s">
        <v>10561</v>
      </c>
    </row>
    <row r="9614" spans="1:2">
      <c r="A9614" s="66">
        <v>46071.858859548607</v>
      </c>
      <c r="B9614" s="49" t="s">
        <v>10562</v>
      </c>
    </row>
    <row r="9615" spans="1:2">
      <c r="A9615" s="66">
        <v>46071.858863090281</v>
      </c>
      <c r="B9615" s="49" t="s">
        <v>10563</v>
      </c>
    </row>
    <row r="9616" spans="1:2">
      <c r="A9616" s="66">
        <v>46071.858886597227</v>
      </c>
      <c r="B9616" s="49" t="s">
        <v>10564</v>
      </c>
    </row>
    <row r="9617" spans="1:2">
      <c r="A9617" s="66">
        <v>46071.858888923613</v>
      </c>
      <c r="B9617" s="49" t="s">
        <v>10542</v>
      </c>
    </row>
    <row r="9618" spans="1:2">
      <c r="A9618" s="66">
        <v>46071.858891875003</v>
      </c>
      <c r="B9618" s="49" t="s">
        <v>10543</v>
      </c>
    </row>
    <row r="9619" spans="1:2">
      <c r="A9619" s="66">
        <v>46071.858895219906</v>
      </c>
      <c r="B9619" s="49" t="s">
        <v>9394</v>
      </c>
    </row>
    <row r="9620" spans="1:2">
      <c r="A9620" s="66">
        <v>46071.86030601852</v>
      </c>
      <c r="B9620" s="49" t="s">
        <v>10556</v>
      </c>
    </row>
    <row r="9621" spans="1:2">
      <c r="A9621" s="66">
        <v>46071.860308645832</v>
      </c>
      <c r="B9621" s="49" t="s">
        <v>10557</v>
      </c>
    </row>
    <row r="9622" spans="1:2">
      <c r="A9622" s="66">
        <v>46071.860310787037</v>
      </c>
      <c r="B9622" s="49" t="s">
        <v>10546</v>
      </c>
    </row>
    <row r="9623" spans="1:2">
      <c r="A9623" s="66">
        <v>46071.860312523146</v>
      </c>
      <c r="B9623" s="49" t="s">
        <v>10466</v>
      </c>
    </row>
    <row r="9624" spans="1:2">
      <c r="A9624" s="66">
        <v>46071.860314432866</v>
      </c>
      <c r="B9624" s="49" t="s">
        <v>10561</v>
      </c>
    </row>
    <row r="9625" spans="1:2">
      <c r="A9625" s="66">
        <v>46071.86031635417</v>
      </c>
      <c r="B9625" s="49" t="s">
        <v>10562</v>
      </c>
    </row>
    <row r="9626" spans="1:2">
      <c r="A9626" s="66">
        <v>46071.86031802083</v>
      </c>
      <c r="B9626" s="49" t="s">
        <v>10563</v>
      </c>
    </row>
    <row r="9627" spans="1:2">
      <c r="A9627" s="66">
        <v>46071.860336053243</v>
      </c>
      <c r="B9627" s="49" t="s">
        <v>10564</v>
      </c>
    </row>
    <row r="9628" spans="1:2">
      <c r="A9628" s="66">
        <v>46071.860337858801</v>
      </c>
      <c r="B9628" s="49" t="s">
        <v>10542</v>
      </c>
    </row>
    <row r="9629" spans="1:2">
      <c r="A9629" s="66">
        <v>46071.860339525461</v>
      </c>
      <c r="B9629" s="49" t="s">
        <v>10543</v>
      </c>
    </row>
    <row r="9630" spans="1:2">
      <c r="A9630" s="66">
        <v>46071.860341435182</v>
      </c>
      <c r="B9630" s="49" t="s">
        <v>9394</v>
      </c>
    </row>
    <row r="9631" spans="1:2">
      <c r="A9631" s="66">
        <v>46071.861599016207</v>
      </c>
      <c r="B9631" s="49" t="s">
        <v>10556</v>
      </c>
    </row>
    <row r="9632" spans="1:2">
      <c r="A9632" s="66">
        <v>46071.861601331024</v>
      </c>
      <c r="B9632" s="49" t="s">
        <v>10557</v>
      </c>
    </row>
    <row r="9633" spans="1:2">
      <c r="A9633" s="66">
        <v>46071.861604305552</v>
      </c>
      <c r="B9633" s="49" t="s">
        <v>10546</v>
      </c>
    </row>
    <row r="9634" spans="1:2">
      <c r="A9634" s="66">
        <v>46071.861611793982</v>
      </c>
      <c r="B9634" s="49" t="s">
        <v>10466</v>
      </c>
    </row>
    <row r="9635" spans="1:2">
      <c r="A9635" s="66">
        <v>46071.861616041671</v>
      </c>
      <c r="B9635" s="49" t="s">
        <v>10561</v>
      </c>
    </row>
    <row r="9636" spans="1:2">
      <c r="A9636" s="66">
        <v>46071.861617824077</v>
      </c>
      <c r="B9636" s="49" t="s">
        <v>10562</v>
      </c>
    </row>
    <row r="9637" spans="1:2">
      <c r="A9637" s="66">
        <v>46071.861619502313</v>
      </c>
      <c r="B9637" s="49" t="s">
        <v>10563</v>
      </c>
    </row>
    <row r="9638" spans="1:2">
      <c r="A9638" s="66">
        <v>46071.861633680557</v>
      </c>
      <c r="B9638" s="49" t="s">
        <v>10564</v>
      </c>
    </row>
    <row r="9639" spans="1:2">
      <c r="A9639" s="66">
        <v>46071.861635671296</v>
      </c>
      <c r="B9639" s="49" t="s">
        <v>10542</v>
      </c>
    </row>
    <row r="9640" spans="1:2">
      <c r="A9640" s="66">
        <v>46071.861637418981</v>
      </c>
      <c r="B9640" s="49" t="s">
        <v>10543</v>
      </c>
    </row>
    <row r="9641" spans="1:2">
      <c r="A9641" s="66">
        <v>46071.861639386574</v>
      </c>
      <c r="B9641" s="49" t="s">
        <v>9394</v>
      </c>
    </row>
    <row r="9642" spans="1:2">
      <c r="A9642" s="66">
        <v>46071.862968819449</v>
      </c>
      <c r="B9642" s="49" t="s">
        <v>10556</v>
      </c>
    </row>
    <row r="9643" spans="1:2">
      <c r="A9643" s="66">
        <v>46071.862971134258</v>
      </c>
      <c r="B9643" s="49" t="s">
        <v>10557</v>
      </c>
    </row>
    <row r="9644" spans="1:2">
      <c r="A9644" s="66">
        <v>46071.862973611111</v>
      </c>
      <c r="B9644" s="49" t="s">
        <v>10546</v>
      </c>
    </row>
    <row r="9645" spans="1:2">
      <c r="A9645" s="66">
        <v>46071.862975416661</v>
      </c>
      <c r="B9645" s="49" t="s">
        <v>10466</v>
      </c>
    </row>
    <row r="9646" spans="1:2">
      <c r="A9646" s="66">
        <v>46071.862977430559</v>
      </c>
      <c r="B9646" s="49" t="s">
        <v>10561</v>
      </c>
    </row>
    <row r="9647" spans="1:2">
      <c r="A9647" s="66">
        <v>46071.862989976857</v>
      </c>
      <c r="B9647" s="49" t="s">
        <v>10562</v>
      </c>
    </row>
    <row r="9648" spans="1:2">
      <c r="A9648" s="66">
        <v>46071.862992199072</v>
      </c>
      <c r="B9648" s="49" t="s">
        <v>10563</v>
      </c>
    </row>
    <row r="9649" spans="1:2">
      <c r="A9649" s="66">
        <v>46071.863011041671</v>
      </c>
      <c r="B9649" s="49" t="s">
        <v>10564</v>
      </c>
    </row>
    <row r="9650" spans="1:2">
      <c r="A9650" s="66">
        <v>46071.863013240742</v>
      </c>
      <c r="B9650" s="49" t="s">
        <v>10542</v>
      </c>
    </row>
    <row r="9651" spans="1:2">
      <c r="A9651" s="66">
        <v>46071.863015358795</v>
      </c>
      <c r="B9651" s="49" t="s">
        <v>10543</v>
      </c>
    </row>
    <row r="9652" spans="1:2">
      <c r="A9652" s="66">
        <v>46071.863017465279</v>
      </c>
      <c r="B9652" s="49" t="s">
        <v>9394</v>
      </c>
    </row>
    <row r="9653" spans="1:2">
      <c r="A9653" s="66">
        <v>46071.863979479167</v>
      </c>
      <c r="B9653" s="49" t="s">
        <v>10556</v>
      </c>
    </row>
    <row r="9654" spans="1:2">
      <c r="A9654" s="66">
        <v>46071.863981643517</v>
      </c>
      <c r="B9654" s="49" t="s">
        <v>10557</v>
      </c>
    </row>
    <row r="9655" spans="1:2">
      <c r="A9655" s="66">
        <v>46071.863983414354</v>
      </c>
      <c r="B9655" s="49" t="s">
        <v>10546</v>
      </c>
    </row>
    <row r="9656" spans="1:2">
      <c r="A9656" s="66">
        <v>46071.863985115742</v>
      </c>
      <c r="B9656" s="49" t="s">
        <v>10466</v>
      </c>
    </row>
    <row r="9657" spans="1:2">
      <c r="A9657" s="66">
        <v>46071.863987083329</v>
      </c>
      <c r="B9657" s="49" t="s">
        <v>10561</v>
      </c>
    </row>
    <row r="9658" spans="1:2">
      <c r="A9658" s="66">
        <v>46071.863988923607</v>
      </c>
      <c r="B9658" s="49" t="s">
        <v>10562</v>
      </c>
    </row>
    <row r="9659" spans="1:2">
      <c r="A9659" s="66">
        <v>46071.863990682876</v>
      </c>
      <c r="B9659" s="49" t="s">
        <v>10563</v>
      </c>
    </row>
    <row r="9660" spans="1:2">
      <c r="A9660" s="66">
        <v>46071.864006064818</v>
      </c>
      <c r="B9660" s="49" t="s">
        <v>10564</v>
      </c>
    </row>
    <row r="9661" spans="1:2">
      <c r="A9661" s="66">
        <v>46071.864008240736</v>
      </c>
      <c r="B9661" s="49" t="s">
        <v>10542</v>
      </c>
    </row>
    <row r="9662" spans="1:2">
      <c r="A9662" s="66">
        <v>46071.864009965277</v>
      </c>
      <c r="B9662" s="49" t="s">
        <v>10543</v>
      </c>
    </row>
    <row r="9663" spans="1:2">
      <c r="A9663" s="66">
        <v>46071.864011608792</v>
      </c>
      <c r="B9663" s="49" t="s">
        <v>9394</v>
      </c>
    </row>
    <row r="9664" spans="1:2">
      <c r="A9664" s="66">
        <v>46071.865145289354</v>
      </c>
      <c r="B9664" s="49" t="s">
        <v>10556</v>
      </c>
    </row>
    <row r="9665" spans="1:2">
      <c r="A9665" s="66">
        <v>46071.865147407407</v>
      </c>
      <c r="B9665" s="49" t="s">
        <v>10557</v>
      </c>
    </row>
    <row r="9666" spans="1:2">
      <c r="A9666" s="66">
        <v>46071.865149432866</v>
      </c>
      <c r="B9666" s="49" t="s">
        <v>10546</v>
      </c>
    </row>
    <row r="9667" spans="1:2">
      <c r="A9667" s="66">
        <v>46071.865151296297</v>
      </c>
      <c r="B9667" s="49" t="s">
        <v>10466</v>
      </c>
    </row>
    <row r="9668" spans="1:2">
      <c r="A9668" s="66">
        <v>46071.865153159721</v>
      </c>
      <c r="B9668" s="49" t="s">
        <v>10561</v>
      </c>
    </row>
    <row r="9669" spans="1:2">
      <c r="A9669" s="66">
        <v>46071.865155011576</v>
      </c>
      <c r="B9669" s="49" t="s">
        <v>10562</v>
      </c>
    </row>
    <row r="9670" spans="1:2">
      <c r="A9670" s="66">
        <v>46071.865156840278</v>
      </c>
      <c r="B9670" s="49" t="s">
        <v>10563</v>
      </c>
    </row>
    <row r="9671" spans="1:2">
      <c r="A9671" s="66">
        <v>46071.865171180558</v>
      </c>
      <c r="B9671" s="49" t="s">
        <v>10564</v>
      </c>
    </row>
    <row r="9672" spans="1:2">
      <c r="A9672" s="66">
        <v>46071.865173252314</v>
      </c>
      <c r="B9672" s="49" t="s">
        <v>10542</v>
      </c>
    </row>
    <row r="9673" spans="1:2">
      <c r="A9673" s="66">
        <v>46071.865177395834</v>
      </c>
      <c r="B9673" s="49" t="s">
        <v>10543</v>
      </c>
    </row>
    <row r="9674" spans="1:2">
      <c r="A9674" s="66">
        <v>46071.865179502318</v>
      </c>
      <c r="B9674" s="49" t="s">
        <v>9394</v>
      </c>
    </row>
    <row r="9675" spans="1:2">
      <c r="A9675" s="66">
        <v>46071.866485254628</v>
      </c>
      <c r="B9675" s="49" t="s">
        <v>10556</v>
      </c>
    </row>
    <row r="9676" spans="1:2">
      <c r="A9676" s="66">
        <v>46071.866487476851</v>
      </c>
      <c r="B9676" s="49" t="s">
        <v>10557</v>
      </c>
    </row>
    <row r="9677" spans="1:2">
      <c r="A9677" s="66">
        <v>46071.866489456021</v>
      </c>
      <c r="B9677" s="49" t="s">
        <v>10546</v>
      </c>
    </row>
    <row r="9678" spans="1:2">
      <c r="A9678" s="66">
        <v>46071.866491435183</v>
      </c>
      <c r="B9678" s="49" t="s">
        <v>10466</v>
      </c>
    </row>
    <row r="9679" spans="1:2">
      <c r="A9679" s="66">
        <v>46071.86649320602</v>
      </c>
      <c r="B9679" s="49" t="s">
        <v>10561</v>
      </c>
    </row>
    <row r="9680" spans="1:2">
      <c r="A9680" s="66">
        <v>46071.866495185182</v>
      </c>
      <c r="B9680" s="49" t="s">
        <v>10562</v>
      </c>
    </row>
    <row r="9681" spans="1:2">
      <c r="A9681" s="66">
        <v>46071.86649695602</v>
      </c>
      <c r="B9681" s="49" t="s">
        <v>10563</v>
      </c>
    </row>
    <row r="9682" spans="1:2">
      <c r="A9682" s="66">
        <v>46071.866510613429</v>
      </c>
      <c r="B9682" s="49" t="s">
        <v>10564</v>
      </c>
    </row>
    <row r="9683" spans="1:2">
      <c r="A9683" s="66">
        <v>46071.866512453707</v>
      </c>
      <c r="B9683" s="49" t="s">
        <v>10542</v>
      </c>
    </row>
    <row r="9684" spans="1:2">
      <c r="A9684" s="66">
        <v>46071.866514074078</v>
      </c>
      <c r="B9684" s="49" t="s">
        <v>10543</v>
      </c>
    </row>
    <row r="9685" spans="1:2">
      <c r="A9685" s="66">
        <v>46071.866515740738</v>
      </c>
      <c r="B9685" s="49" t="s">
        <v>9394</v>
      </c>
    </row>
    <row r="9686" spans="1:2">
      <c r="A9686" s="66">
        <v>46071.867851273149</v>
      </c>
      <c r="B9686" s="49" t="s">
        <v>10556</v>
      </c>
    </row>
    <row r="9687" spans="1:2">
      <c r="A9687" s="66">
        <v>46071.867858854166</v>
      </c>
      <c r="B9687" s="49" t="s">
        <v>10557</v>
      </c>
    </row>
    <row r="9688" spans="1:2">
      <c r="A9688" s="66">
        <v>46071.867862025465</v>
      </c>
      <c r="B9688" s="49" t="s">
        <v>10546</v>
      </c>
    </row>
    <row r="9689" spans="1:2">
      <c r="A9689" s="66">
        <v>46071.867865266206</v>
      </c>
      <c r="B9689" s="49" t="s">
        <v>10466</v>
      </c>
    </row>
    <row r="9690" spans="1:2">
      <c r="A9690" s="66">
        <v>46071.867868321759</v>
      </c>
      <c r="B9690" s="49" t="s">
        <v>10561</v>
      </c>
    </row>
    <row r="9691" spans="1:2">
      <c r="A9691" s="66">
        <v>46071.86787199074</v>
      </c>
      <c r="B9691" s="49" t="s">
        <v>10562</v>
      </c>
    </row>
    <row r="9692" spans="1:2">
      <c r="A9692" s="66">
        <v>46071.867883831015</v>
      </c>
      <c r="B9692" s="49" t="s">
        <v>10563</v>
      </c>
    </row>
    <row r="9693" spans="1:2">
      <c r="A9693" s="66">
        <v>46071.867912847221</v>
      </c>
      <c r="B9693" s="49" t="s">
        <v>10564</v>
      </c>
    </row>
    <row r="9694" spans="1:2">
      <c r="A9694" s="66">
        <v>46071.8679165625</v>
      </c>
      <c r="B9694" s="49" t="s">
        <v>10542</v>
      </c>
    </row>
    <row r="9695" spans="1:2">
      <c r="A9695" s="66">
        <v>46071.867919456017</v>
      </c>
      <c r="B9695" s="49" t="s">
        <v>10543</v>
      </c>
    </row>
    <row r="9696" spans="1:2">
      <c r="A9696" s="66">
        <v>46071.867923518519</v>
      </c>
      <c r="B9696" s="49" t="s">
        <v>9394</v>
      </c>
    </row>
    <row r="9697" spans="1:2">
      <c r="A9697" s="66">
        <v>46071.868642719906</v>
      </c>
      <c r="B9697" s="49" t="s">
        <v>10556</v>
      </c>
    </row>
    <row r="9698" spans="1:2">
      <c r="A9698" s="66">
        <v>46071.868644722221</v>
      </c>
      <c r="B9698" s="49" t="s">
        <v>10557</v>
      </c>
    </row>
    <row r="9699" spans="1:2">
      <c r="A9699" s="66">
        <v>46071.868652002318</v>
      </c>
      <c r="B9699" s="49" t="s">
        <v>10546</v>
      </c>
    </row>
    <row r="9700" spans="1:2">
      <c r="A9700" s="66">
        <v>46071.868653900463</v>
      </c>
      <c r="B9700" s="49" t="s">
        <v>10466</v>
      </c>
    </row>
    <row r="9701" spans="1:2">
      <c r="A9701" s="66">
        <v>46071.868658252315</v>
      </c>
      <c r="B9701" s="49" t="s">
        <v>10561</v>
      </c>
    </row>
    <row r="9702" spans="1:2">
      <c r="A9702" s="66">
        <v>46071.868665486109</v>
      </c>
      <c r="B9702" s="49" t="s">
        <v>10562</v>
      </c>
    </row>
    <row r="9703" spans="1:2">
      <c r="A9703" s="66">
        <v>46071.86866709491</v>
      </c>
      <c r="B9703" s="49" t="s">
        <v>10563</v>
      </c>
    </row>
    <row r="9704" spans="1:2">
      <c r="A9704" s="66">
        <v>46071.868681608801</v>
      </c>
      <c r="B9704" s="49" t="s">
        <v>10564</v>
      </c>
    </row>
    <row r="9705" spans="1:2">
      <c r="A9705" s="66">
        <v>46071.86868363426</v>
      </c>
      <c r="B9705" s="49" t="s">
        <v>10542</v>
      </c>
    </row>
    <row r="9706" spans="1:2">
      <c r="A9706" s="66">
        <v>46071.868688229166</v>
      </c>
      <c r="B9706" s="49" t="s">
        <v>10543</v>
      </c>
    </row>
    <row r="9707" spans="1:2">
      <c r="A9707" s="66">
        <v>46071.868690081013</v>
      </c>
      <c r="B9707" s="49" t="s">
        <v>9394</v>
      </c>
    </row>
    <row r="9708" spans="1:2">
      <c r="A9708" s="66">
        <v>46071.869589050926</v>
      </c>
      <c r="B9708" s="49" t="s">
        <v>10556</v>
      </c>
    </row>
    <row r="9709" spans="1:2">
      <c r="A9709" s="66">
        <v>46071.869592048606</v>
      </c>
      <c r="B9709" s="49" t="s">
        <v>10557</v>
      </c>
    </row>
    <row r="9710" spans="1:2">
      <c r="A9710" s="66">
        <v>46071.869594039352</v>
      </c>
      <c r="B9710" s="49" t="s">
        <v>10546</v>
      </c>
    </row>
    <row r="9711" spans="1:2">
      <c r="A9711" s="66">
        <v>46071.869596736113</v>
      </c>
      <c r="B9711" s="49" t="s">
        <v>10466</v>
      </c>
    </row>
    <row r="9712" spans="1:2">
      <c r="A9712" s="66">
        <v>46071.869598865742</v>
      </c>
      <c r="B9712" s="49" t="s">
        <v>10561</v>
      </c>
    </row>
    <row r="9713" spans="1:2">
      <c r="A9713" s="66">
        <v>46071.869601377315</v>
      </c>
      <c r="B9713" s="49" t="s">
        <v>10562</v>
      </c>
    </row>
    <row r="9714" spans="1:2">
      <c r="A9714" s="66">
        <v>46071.869603483792</v>
      </c>
      <c r="B9714" s="49" t="s">
        <v>10563</v>
      </c>
    </row>
    <row r="9715" spans="1:2">
      <c r="A9715" s="66">
        <v>46071.869620057871</v>
      </c>
      <c r="B9715" s="49" t="s">
        <v>10564</v>
      </c>
    </row>
    <row r="9716" spans="1:2">
      <c r="A9716" s="66">
        <v>46071.869622696759</v>
      </c>
      <c r="B9716" s="49" t="s">
        <v>10542</v>
      </c>
    </row>
    <row r="9717" spans="1:2">
      <c r="A9717" s="66">
        <v>46071.86962484954</v>
      </c>
      <c r="B9717" s="49" t="s">
        <v>10543</v>
      </c>
    </row>
    <row r="9718" spans="1:2">
      <c r="A9718" s="66">
        <v>46071.869628449072</v>
      </c>
      <c r="B9718" s="49" t="s">
        <v>9394</v>
      </c>
    </row>
    <row r="9719" spans="1:2">
      <c r="A9719" s="66">
        <v>46071.870672210644</v>
      </c>
      <c r="B9719" s="49" t="s">
        <v>10556</v>
      </c>
    </row>
    <row r="9720" spans="1:2">
      <c r="A9720" s="66">
        <v>46071.870674837963</v>
      </c>
      <c r="B9720" s="49" t="s">
        <v>10557</v>
      </c>
    </row>
    <row r="9721" spans="1:2">
      <c r="A9721" s="66">
        <v>46071.870677812505</v>
      </c>
      <c r="B9721" s="49" t="s">
        <v>10546</v>
      </c>
    </row>
    <row r="9722" spans="1:2">
      <c r="A9722" s="66">
        <v>46071.870684027774</v>
      </c>
      <c r="B9722" s="49" t="s">
        <v>10466</v>
      </c>
    </row>
    <row r="9723" spans="1:2">
      <c r="A9723" s="66">
        <v>46071.870686238428</v>
      </c>
      <c r="B9723" s="49" t="s">
        <v>10561</v>
      </c>
    </row>
    <row r="9724" spans="1:2">
      <c r="A9724" s="66">
        <v>46071.870688599534</v>
      </c>
      <c r="B9724" s="49" t="s">
        <v>10562</v>
      </c>
    </row>
    <row r="9725" spans="1:2">
      <c r="A9725" s="66">
        <v>46071.870691932869</v>
      </c>
      <c r="B9725" s="49" t="s">
        <v>10563</v>
      </c>
    </row>
    <row r="9726" spans="1:2">
      <c r="A9726" s="66">
        <v>46071.870710706018</v>
      </c>
      <c r="B9726" s="49" t="s">
        <v>10564</v>
      </c>
    </row>
    <row r="9727" spans="1:2">
      <c r="A9727" s="66">
        <v>46071.87071278935</v>
      </c>
      <c r="B9727" s="49" t="s">
        <v>10542</v>
      </c>
    </row>
    <row r="9728" spans="1:2">
      <c r="A9728" s="66">
        <v>46071.870714826393</v>
      </c>
      <c r="B9728" s="49" t="s">
        <v>10543</v>
      </c>
    </row>
    <row r="9729" spans="1:2">
      <c r="A9729" s="66">
        <v>46071.870717696758</v>
      </c>
      <c r="B9729" s="49" t="s">
        <v>9394</v>
      </c>
    </row>
    <row r="9730" spans="1:2">
      <c r="A9730" s="66">
        <v>46071.871874340279</v>
      </c>
      <c r="B9730" s="49" t="s">
        <v>10556</v>
      </c>
    </row>
    <row r="9731" spans="1:2">
      <c r="A9731" s="66">
        <v>46071.871876261575</v>
      </c>
      <c r="B9731" s="49" t="s">
        <v>10557</v>
      </c>
    </row>
    <row r="9732" spans="1:2">
      <c r="A9732" s="66">
        <v>46071.871877881946</v>
      </c>
      <c r="B9732" s="49" t="s">
        <v>10546</v>
      </c>
    </row>
    <row r="9733" spans="1:2">
      <c r="A9733" s="66">
        <v>46071.871879409722</v>
      </c>
      <c r="B9733" s="49" t="s">
        <v>10466</v>
      </c>
    </row>
    <row r="9734" spans="1:2">
      <c r="A9734" s="66">
        <v>46071.871881134255</v>
      </c>
      <c r="B9734" s="49" t="s">
        <v>10561</v>
      </c>
    </row>
    <row r="9735" spans="1:2">
      <c r="A9735" s="66">
        <v>46071.871886157409</v>
      </c>
      <c r="B9735" s="49" t="s">
        <v>10562</v>
      </c>
    </row>
    <row r="9736" spans="1:2">
      <c r="A9736" s="66">
        <v>46071.871892326388</v>
      </c>
      <c r="B9736" s="49" t="s">
        <v>10563</v>
      </c>
    </row>
    <row r="9737" spans="1:2">
      <c r="A9737" s="66">
        <v>46071.871906701388</v>
      </c>
      <c r="B9737" s="49" t="s">
        <v>10564</v>
      </c>
    </row>
    <row r="9738" spans="1:2">
      <c r="A9738" s="66">
        <v>46071.871908379631</v>
      </c>
      <c r="B9738" s="49" t="s">
        <v>10542</v>
      </c>
    </row>
    <row r="9739" spans="1:2">
      <c r="A9739" s="66">
        <v>46071.87191001157</v>
      </c>
      <c r="B9739" s="49" t="s">
        <v>10543</v>
      </c>
    </row>
    <row r="9740" spans="1:2">
      <c r="A9740" s="66">
        <v>46071.871911736111</v>
      </c>
      <c r="B9740" s="49" t="s">
        <v>9394</v>
      </c>
    </row>
    <row r="9741" spans="1:2">
      <c r="A9741" s="66">
        <v>46071.87279642361</v>
      </c>
      <c r="B9741" s="49" t="s">
        <v>10556</v>
      </c>
    </row>
    <row r="9742" spans="1:2">
      <c r="A9742" s="66">
        <v>46071.872799803241</v>
      </c>
      <c r="B9742" s="49" t="s">
        <v>10557</v>
      </c>
    </row>
    <row r="9743" spans="1:2">
      <c r="A9743" s="66">
        <v>46071.872802951388</v>
      </c>
      <c r="B9743" s="49" t="s">
        <v>10546</v>
      </c>
    </row>
    <row r="9744" spans="1:2">
      <c r="A9744" s="66">
        <v>46071.872805833336</v>
      </c>
      <c r="B9744" s="49" t="s">
        <v>10466</v>
      </c>
    </row>
    <row r="9745" spans="1:2">
      <c r="A9745" s="66">
        <v>46071.872814710645</v>
      </c>
      <c r="B9745" s="49" t="s">
        <v>10561</v>
      </c>
    </row>
    <row r="9746" spans="1:2">
      <c r="A9746" s="66">
        <v>46071.872817569441</v>
      </c>
      <c r="B9746" s="49" t="s">
        <v>10562</v>
      </c>
    </row>
    <row r="9747" spans="1:2">
      <c r="A9747" s="66">
        <v>46071.872820613426</v>
      </c>
      <c r="B9747" s="49" t="s">
        <v>10563</v>
      </c>
    </row>
    <row r="9748" spans="1:2">
      <c r="A9748" s="66">
        <v>46071.872839930555</v>
      </c>
      <c r="B9748" s="49" t="s">
        <v>10564</v>
      </c>
    </row>
    <row r="9749" spans="1:2">
      <c r="A9749" s="66">
        <v>46071.872845902777</v>
      </c>
      <c r="B9749" s="49" t="s">
        <v>10542</v>
      </c>
    </row>
    <row r="9750" spans="1:2">
      <c r="A9750" s="66">
        <v>46071.872848842591</v>
      </c>
      <c r="B9750" s="49" t="s">
        <v>10543</v>
      </c>
    </row>
    <row r="9751" spans="1:2">
      <c r="A9751" s="66">
        <v>46071.872852152781</v>
      </c>
      <c r="B9751" s="49" t="s">
        <v>9394</v>
      </c>
    </row>
    <row r="9752" spans="1:2">
      <c r="A9752" s="66">
        <v>46071.874058912035</v>
      </c>
      <c r="B9752" s="49" t="s">
        <v>10556</v>
      </c>
    </row>
    <row r="9753" spans="1:2">
      <c r="A9753" s="66">
        <v>46071.874061122682</v>
      </c>
      <c r="B9753" s="49" t="s">
        <v>10557</v>
      </c>
    </row>
    <row r="9754" spans="1:2">
      <c r="A9754" s="66">
        <v>46071.874062986113</v>
      </c>
      <c r="B9754" s="49" t="s">
        <v>10546</v>
      </c>
    </row>
    <row r="9755" spans="1:2">
      <c r="A9755" s="66">
        <v>46071.874064976852</v>
      </c>
      <c r="B9755" s="49" t="s">
        <v>10466</v>
      </c>
    </row>
    <row r="9756" spans="1:2">
      <c r="A9756" s="66">
        <v>46071.874066886579</v>
      </c>
      <c r="B9756" s="49" t="s">
        <v>10561</v>
      </c>
    </row>
    <row r="9757" spans="1:2">
      <c r="A9757" s="66">
        <v>46071.874068819445</v>
      </c>
      <c r="B9757" s="49" t="s">
        <v>10562</v>
      </c>
    </row>
    <row r="9758" spans="1:2">
      <c r="A9758" s="66">
        <v>46071.874070763894</v>
      </c>
      <c r="B9758" s="49" t="s">
        <v>10563</v>
      </c>
    </row>
    <row r="9759" spans="1:2">
      <c r="A9759" s="66">
        <v>46071.874089895835</v>
      </c>
      <c r="B9759" s="49" t="s">
        <v>10564</v>
      </c>
    </row>
    <row r="9760" spans="1:2">
      <c r="A9760" s="66">
        <v>46071.874091724538</v>
      </c>
      <c r="B9760" s="49" t="s">
        <v>10542</v>
      </c>
    </row>
    <row r="9761" spans="1:2">
      <c r="A9761" s="66">
        <v>46071.874094502316</v>
      </c>
      <c r="B9761" s="49" t="s">
        <v>10543</v>
      </c>
    </row>
    <row r="9762" spans="1:2">
      <c r="A9762" s="66">
        <v>46071.874096666666</v>
      </c>
      <c r="B9762" s="49" t="s">
        <v>9394</v>
      </c>
    </row>
    <row r="9763" spans="1:2">
      <c r="A9763" s="66">
        <v>46071.875078113429</v>
      </c>
      <c r="B9763" s="49" t="s">
        <v>10556</v>
      </c>
    </row>
    <row r="9764" spans="1:2">
      <c r="A9764" s="66">
        <v>46071.875080034719</v>
      </c>
      <c r="B9764" s="49" t="s">
        <v>10557</v>
      </c>
    </row>
    <row r="9765" spans="1:2">
      <c r="A9765" s="66">
        <v>46071.875085243053</v>
      </c>
      <c r="B9765" s="49" t="s">
        <v>10546</v>
      </c>
    </row>
    <row r="9766" spans="1:2">
      <c r="A9766" s="66">
        <v>46071.875086886575</v>
      </c>
      <c r="B9766" s="49" t="s">
        <v>10466</v>
      </c>
    </row>
    <row r="9767" spans="1:2">
      <c r="A9767" s="66">
        <v>46071.875089976849</v>
      </c>
      <c r="B9767" s="49" t="s">
        <v>10561</v>
      </c>
    </row>
    <row r="9768" spans="1:2">
      <c r="A9768" s="66">
        <v>46071.875091747686</v>
      </c>
      <c r="B9768" s="49" t="s">
        <v>10562</v>
      </c>
    </row>
    <row r="9769" spans="1:2">
      <c r="A9769" s="66">
        <v>46071.875093391209</v>
      </c>
      <c r="B9769" s="49" t="s">
        <v>10563</v>
      </c>
    </row>
    <row r="9770" spans="1:2">
      <c r="A9770" s="66">
        <v>46071.875109293978</v>
      </c>
      <c r="B9770" s="49" t="s">
        <v>10564</v>
      </c>
    </row>
    <row r="9771" spans="1:2">
      <c r="A9771" s="66">
        <v>46071.875111377318</v>
      </c>
      <c r="B9771" s="49" t="s">
        <v>10542</v>
      </c>
    </row>
    <row r="9772" spans="1:2">
      <c r="A9772" s="66">
        <v>46071.875113171292</v>
      </c>
      <c r="B9772" s="49" t="s">
        <v>10543</v>
      </c>
    </row>
    <row r="9773" spans="1:2">
      <c r="A9773" s="66">
        <v>46071.875115717594</v>
      </c>
      <c r="B9773" s="49" t="s">
        <v>9394</v>
      </c>
    </row>
    <row r="9774" spans="1:2">
      <c r="A9774" s="66">
        <v>46071.876413703707</v>
      </c>
      <c r="B9774" s="49" t="s">
        <v>10556</v>
      </c>
    </row>
    <row r="9775" spans="1:2">
      <c r="A9775" s="66">
        <v>46071.876417523148</v>
      </c>
      <c r="B9775" s="49" t="s">
        <v>10557</v>
      </c>
    </row>
    <row r="9776" spans="1:2">
      <c r="A9776" s="66">
        <v>46071.876419629625</v>
      </c>
      <c r="B9776" s="49" t="s">
        <v>10546</v>
      </c>
    </row>
    <row r="9777" spans="1:2">
      <c r="A9777" s="66">
        <v>46071.876421307868</v>
      </c>
      <c r="B9777" s="49" t="s">
        <v>10466</v>
      </c>
    </row>
    <row r="9778" spans="1:2">
      <c r="A9778" s="66">
        <v>46071.87642310185</v>
      </c>
      <c r="B9778" s="49" t="s">
        <v>10561</v>
      </c>
    </row>
    <row r="9779" spans="1:2">
      <c r="A9779" s="66">
        <v>46071.876424826391</v>
      </c>
      <c r="B9779" s="49" t="s">
        <v>10562</v>
      </c>
    </row>
    <row r="9780" spans="1:2">
      <c r="A9780" s="66">
        <v>46071.876426481482</v>
      </c>
      <c r="B9780" s="49" t="s">
        <v>10563</v>
      </c>
    </row>
    <row r="9781" spans="1:2">
      <c r="A9781" s="66">
        <v>46071.87644284722</v>
      </c>
      <c r="B9781" s="49" t="s">
        <v>10564</v>
      </c>
    </row>
    <row r="9782" spans="1:2">
      <c r="A9782" s="66">
        <v>46071.876444629626</v>
      </c>
      <c r="B9782" s="49" t="s">
        <v>10542</v>
      </c>
    </row>
    <row r="9783" spans="1:2">
      <c r="A9783" s="66">
        <v>46071.876446412032</v>
      </c>
      <c r="B9783" s="49" t="s">
        <v>10543</v>
      </c>
    </row>
    <row r="9784" spans="1:2">
      <c r="A9784" s="66">
        <v>46071.876448113428</v>
      </c>
      <c r="B9784" s="49" t="s">
        <v>9394</v>
      </c>
    </row>
    <row r="9785" spans="1:2">
      <c r="A9785" s="66">
        <v>46071.877281527777</v>
      </c>
      <c r="B9785" s="49" t="s">
        <v>10556</v>
      </c>
    </row>
    <row r="9786" spans="1:2">
      <c r="A9786" s="66">
        <v>46071.877283622685</v>
      </c>
      <c r="B9786" s="49" t="s">
        <v>10557</v>
      </c>
    </row>
    <row r="9787" spans="1:2">
      <c r="A9787" s="66">
        <v>46071.877285763891</v>
      </c>
      <c r="B9787" s="49" t="s">
        <v>10546</v>
      </c>
    </row>
    <row r="9788" spans="1:2">
      <c r="A9788" s="66">
        <v>46071.877287488431</v>
      </c>
      <c r="B9788" s="49" t="s">
        <v>10466</v>
      </c>
    </row>
    <row r="9789" spans="1:2">
      <c r="A9789" s="66">
        <v>46071.877289351847</v>
      </c>
      <c r="B9789" s="49" t="s">
        <v>10561</v>
      </c>
    </row>
    <row r="9790" spans="1:2">
      <c r="A9790" s="66">
        <v>46071.87729113426</v>
      </c>
      <c r="B9790" s="49" t="s">
        <v>10562</v>
      </c>
    </row>
    <row r="9791" spans="1:2">
      <c r="A9791" s="66">
        <v>46071.877292939811</v>
      </c>
      <c r="B9791" s="49" t="s">
        <v>10563</v>
      </c>
    </row>
    <row r="9792" spans="1:2">
      <c r="A9792" s="66">
        <v>46071.877307372684</v>
      </c>
      <c r="B9792" s="49" t="s">
        <v>10564</v>
      </c>
    </row>
    <row r="9793" spans="1:2">
      <c r="A9793" s="66">
        <v>46071.877311296295</v>
      </c>
      <c r="B9793" s="49" t="s">
        <v>10542</v>
      </c>
    </row>
    <row r="9794" spans="1:2">
      <c r="A9794" s="66">
        <v>46071.877318472223</v>
      </c>
      <c r="B9794" s="49" t="s">
        <v>10543</v>
      </c>
    </row>
    <row r="9795" spans="1:2">
      <c r="A9795" s="66">
        <v>46071.877320312502</v>
      </c>
      <c r="B9795" s="49" t="s">
        <v>9394</v>
      </c>
    </row>
    <row r="9796" spans="1:2">
      <c r="A9796" s="66">
        <v>46071.87873621528</v>
      </c>
      <c r="B9796" s="49" t="s">
        <v>10556</v>
      </c>
    </row>
    <row r="9797" spans="1:2">
      <c r="A9797" s="66">
        <v>46071.878738275467</v>
      </c>
      <c r="B9797" s="49" t="s">
        <v>10557</v>
      </c>
    </row>
    <row r="9798" spans="1:2">
      <c r="A9798" s="66">
        <v>46071.878740694447</v>
      </c>
      <c r="B9798" s="49" t="s">
        <v>10546</v>
      </c>
    </row>
    <row r="9799" spans="1:2">
      <c r="A9799" s="66">
        <v>46071.878742523149</v>
      </c>
      <c r="B9799" s="49" t="s">
        <v>10466</v>
      </c>
    </row>
    <row r="9800" spans="1:2">
      <c r="A9800" s="66">
        <v>46071.878744548609</v>
      </c>
      <c r="B9800" s="49" t="s">
        <v>10561</v>
      </c>
    </row>
    <row r="9801" spans="1:2">
      <c r="A9801" s="66">
        <v>46071.878746516202</v>
      </c>
      <c r="B9801" s="49" t="s">
        <v>10562</v>
      </c>
    </row>
    <row r="9802" spans="1:2">
      <c r="A9802" s="66">
        <v>46071.878753819445</v>
      </c>
      <c r="B9802" s="49" t="s">
        <v>10563</v>
      </c>
    </row>
    <row r="9803" spans="1:2">
      <c r="A9803" s="66">
        <v>46071.878766539347</v>
      </c>
      <c r="B9803" s="49" t="s">
        <v>10564</v>
      </c>
    </row>
    <row r="9804" spans="1:2">
      <c r="A9804" s="66">
        <v>46071.878768993054</v>
      </c>
      <c r="B9804" s="49" t="s">
        <v>10542</v>
      </c>
    </row>
    <row r="9805" spans="1:2">
      <c r="A9805" s="66">
        <v>46071.878770636569</v>
      </c>
      <c r="B9805" s="49" t="s">
        <v>10543</v>
      </c>
    </row>
    <row r="9806" spans="1:2">
      <c r="A9806" s="66">
        <v>46071.8787725</v>
      </c>
      <c r="B9806" s="49" t="s">
        <v>9394</v>
      </c>
    </row>
    <row r="9807" spans="1:2">
      <c r="A9807" s="66">
        <v>46071.880118356479</v>
      </c>
      <c r="B9807" s="49" t="s">
        <v>10556</v>
      </c>
    </row>
    <row r="9808" spans="1:2">
      <c r="A9808" s="66">
        <v>46071.880120590278</v>
      </c>
      <c r="B9808" s="49" t="s">
        <v>10557</v>
      </c>
    </row>
    <row r="9809" spans="1:2">
      <c r="A9809" s="66">
        <v>46071.880122303242</v>
      </c>
      <c r="B9809" s="49" t="s">
        <v>10546</v>
      </c>
    </row>
    <row r="9810" spans="1:2">
      <c r="A9810" s="66">
        <v>46071.880123935189</v>
      </c>
      <c r="B9810" s="49" t="s">
        <v>10466</v>
      </c>
    </row>
    <row r="9811" spans="1:2">
      <c r="A9811" s="66">
        <v>46071.880125648153</v>
      </c>
      <c r="B9811" s="49" t="s">
        <v>10561</v>
      </c>
    </row>
    <row r="9812" spans="1:2">
      <c r="A9812" s="66">
        <v>46071.880127372686</v>
      </c>
      <c r="B9812" s="49" t="s">
        <v>10562</v>
      </c>
    </row>
    <row r="9813" spans="1:2">
      <c r="A9813" s="66">
        <v>46071.880129351848</v>
      </c>
      <c r="B9813" s="49" t="s">
        <v>10563</v>
      </c>
    </row>
    <row r="9814" spans="1:2">
      <c r="A9814" s="66">
        <v>46071.880147523145</v>
      </c>
      <c r="B9814" s="49" t="s">
        <v>10564</v>
      </c>
    </row>
    <row r="9815" spans="1:2">
      <c r="A9815" s="66">
        <v>46071.880149513891</v>
      </c>
      <c r="B9815" s="49" t="s">
        <v>10542</v>
      </c>
    </row>
    <row r="9816" spans="1:2">
      <c r="A9816" s="66">
        <v>46071.880151412042</v>
      </c>
      <c r="B9816" s="49" t="s">
        <v>10543</v>
      </c>
    </row>
    <row r="9817" spans="1:2">
      <c r="A9817" s="66">
        <v>46071.880153356484</v>
      </c>
      <c r="B9817" s="49" t="s">
        <v>9394</v>
      </c>
    </row>
    <row r="9818" spans="1:2">
      <c r="A9818" s="66">
        <v>46071.881368217597</v>
      </c>
      <c r="B9818" s="49" t="s">
        <v>10556</v>
      </c>
    </row>
    <row r="9819" spans="1:2">
      <c r="A9819" s="66">
        <v>46071.881370243056</v>
      </c>
      <c r="B9819" s="49" t="s">
        <v>10557</v>
      </c>
    </row>
    <row r="9820" spans="1:2">
      <c r="A9820" s="66">
        <v>46071.881372233795</v>
      </c>
      <c r="B9820" s="49" t="s">
        <v>10546</v>
      </c>
    </row>
    <row r="9821" spans="1:2">
      <c r="A9821" s="66">
        <v>46071.881374467594</v>
      </c>
      <c r="B9821" s="49" t="s">
        <v>10466</v>
      </c>
    </row>
    <row r="9822" spans="1:2">
      <c r="A9822" s="66">
        <v>46071.881381597224</v>
      </c>
      <c r="B9822" s="49" t="s">
        <v>10561</v>
      </c>
    </row>
    <row r="9823" spans="1:2">
      <c r="A9823" s="66">
        <v>46071.881383356478</v>
      </c>
      <c r="B9823" s="49" t="s">
        <v>10562</v>
      </c>
    </row>
    <row r="9824" spans="1:2">
      <c r="A9824" s="66">
        <v>46071.88138648148</v>
      </c>
      <c r="B9824" s="49" t="s">
        <v>10563</v>
      </c>
    </row>
    <row r="9825" spans="1:2">
      <c r="A9825" s="66">
        <v>46071.881403263891</v>
      </c>
      <c r="B9825" s="49" t="s">
        <v>10564</v>
      </c>
    </row>
    <row r="9826" spans="1:2">
      <c r="A9826" s="66">
        <v>46071.881405092594</v>
      </c>
      <c r="B9826" s="49" t="s">
        <v>10542</v>
      </c>
    </row>
    <row r="9827" spans="1:2">
      <c r="A9827" s="66">
        <v>46071.881406793982</v>
      </c>
      <c r="B9827" s="49" t="s">
        <v>10543</v>
      </c>
    </row>
    <row r="9828" spans="1:2">
      <c r="A9828" s="66">
        <v>46071.881411898154</v>
      </c>
      <c r="B9828" s="49" t="s">
        <v>9394</v>
      </c>
    </row>
    <row r="9829" spans="1:2">
      <c r="A9829" s="66">
        <v>46071.882843680556</v>
      </c>
      <c r="B9829" s="49" t="s">
        <v>10556</v>
      </c>
    </row>
    <row r="9830" spans="1:2">
      <c r="A9830" s="66">
        <v>46071.882848368055</v>
      </c>
      <c r="B9830" s="49" t="s">
        <v>10557</v>
      </c>
    </row>
    <row r="9831" spans="1:2">
      <c r="A9831" s="66">
        <v>46071.882863182866</v>
      </c>
      <c r="B9831" s="49" t="s">
        <v>10546</v>
      </c>
    </row>
    <row r="9832" spans="1:2">
      <c r="A9832" s="66">
        <v>46071.882867210647</v>
      </c>
      <c r="B9832" s="49" t="s">
        <v>10466</v>
      </c>
    </row>
    <row r="9833" spans="1:2">
      <c r="A9833" s="66">
        <v>46071.882876770833</v>
      </c>
      <c r="B9833" s="49" t="s">
        <v>10561</v>
      </c>
    </row>
    <row r="9834" spans="1:2">
      <c r="A9834" s="66">
        <v>46071.882879502315</v>
      </c>
      <c r="B9834" s="49" t="s">
        <v>10562</v>
      </c>
    </row>
    <row r="9835" spans="1:2">
      <c r="A9835" s="66">
        <v>46071.882882418984</v>
      </c>
      <c r="B9835" s="49" t="s">
        <v>10563</v>
      </c>
    </row>
    <row r="9836" spans="1:2">
      <c r="A9836" s="66">
        <v>46071.882906736108</v>
      </c>
      <c r="B9836" s="49" t="s">
        <v>10564</v>
      </c>
    </row>
    <row r="9837" spans="1:2">
      <c r="A9837" s="66">
        <v>46071.882909745371</v>
      </c>
      <c r="B9837" s="49" t="s">
        <v>10542</v>
      </c>
    </row>
    <row r="9838" spans="1:2">
      <c r="A9838" s="66">
        <v>46071.88291255787</v>
      </c>
      <c r="B9838" s="49" t="s">
        <v>10543</v>
      </c>
    </row>
    <row r="9839" spans="1:2">
      <c r="A9839" s="66">
        <v>46071.882915451388</v>
      </c>
      <c r="B9839" s="49" t="s">
        <v>9394</v>
      </c>
    </row>
    <row r="9840" spans="1:2">
      <c r="A9840" s="66">
        <v>46071.88434300926</v>
      </c>
      <c r="B9840" s="49" t="s">
        <v>10556</v>
      </c>
    </row>
    <row r="9841" spans="1:2">
      <c r="A9841" s="66">
        <v>46071.88434527778</v>
      </c>
      <c r="B9841" s="49" t="s">
        <v>10557</v>
      </c>
    </row>
    <row r="9842" spans="1:2">
      <c r="A9842" s="66">
        <v>46071.884347384257</v>
      </c>
      <c r="B9842" s="49" t="s">
        <v>10546</v>
      </c>
    </row>
    <row r="9843" spans="1:2">
      <c r="A9843" s="66">
        <v>46071.884349490741</v>
      </c>
      <c r="B9843" s="49" t="s">
        <v>10466</v>
      </c>
    </row>
    <row r="9844" spans="1:2">
      <c r="A9844" s="66">
        <v>46071.884351539353</v>
      </c>
      <c r="B9844" s="49" t="s">
        <v>10561</v>
      </c>
    </row>
    <row r="9845" spans="1:2">
      <c r="A9845" s="66">
        <v>46071.884353715279</v>
      </c>
      <c r="B9845" s="49" t="s">
        <v>10562</v>
      </c>
    </row>
    <row r="9846" spans="1:2">
      <c r="A9846" s="66">
        <v>46071.884355682865</v>
      </c>
      <c r="B9846" s="49" t="s">
        <v>10563</v>
      </c>
    </row>
    <row r="9847" spans="1:2">
      <c r="A9847" s="66">
        <v>46071.884373009263</v>
      </c>
      <c r="B9847" s="49" t="s">
        <v>10564</v>
      </c>
    </row>
    <row r="9848" spans="1:2">
      <c r="A9848" s="66">
        <v>46071.884375057867</v>
      </c>
      <c r="B9848" s="49" t="s">
        <v>10542</v>
      </c>
    </row>
    <row r="9849" spans="1:2">
      <c r="A9849" s="66">
        <v>46071.884379872688</v>
      </c>
      <c r="B9849" s="49" t="s">
        <v>10543</v>
      </c>
    </row>
    <row r="9850" spans="1:2">
      <c r="A9850" s="66">
        <v>46071.884381979165</v>
      </c>
      <c r="B9850" s="49" t="s">
        <v>9394</v>
      </c>
    </row>
    <row r="9851" spans="1:2">
      <c r="A9851" s="66">
        <v>46071.885749548615</v>
      </c>
      <c r="B9851" s="49" t="s">
        <v>10556</v>
      </c>
    </row>
    <row r="9852" spans="1:2">
      <c r="A9852" s="66">
        <v>46071.885751493057</v>
      </c>
      <c r="B9852" s="49" t="s">
        <v>10557</v>
      </c>
    </row>
    <row r="9853" spans="1:2">
      <c r="A9853" s="66">
        <v>46071.885753564813</v>
      </c>
      <c r="B9853" s="49" t="s">
        <v>10546</v>
      </c>
    </row>
    <row r="9854" spans="1:2">
      <c r="A9854" s="66">
        <v>46071.885756782409</v>
      </c>
      <c r="B9854" s="49" t="s">
        <v>10466</v>
      </c>
    </row>
    <row r="9855" spans="1:2">
      <c r="A9855" s="66">
        <v>46071.885758645833</v>
      </c>
      <c r="B9855" s="49" t="s">
        <v>10561</v>
      </c>
    </row>
    <row r="9856" spans="1:2">
      <c r="A9856" s="66">
        <v>46071.8857603125</v>
      </c>
      <c r="B9856" s="49" t="s">
        <v>10562</v>
      </c>
    </row>
    <row r="9857" spans="1:2">
      <c r="A9857" s="66">
        <v>46071.885762337959</v>
      </c>
      <c r="B9857" s="49" t="s">
        <v>10563</v>
      </c>
    </row>
    <row r="9858" spans="1:2">
      <c r="A9858" s="66">
        <v>46071.885791886569</v>
      </c>
      <c r="B9858" s="49" t="s">
        <v>10564</v>
      </c>
    </row>
    <row r="9859" spans="1:2">
      <c r="A9859" s="66">
        <v>46071.885796793984</v>
      </c>
      <c r="B9859" s="49" t="s">
        <v>10542</v>
      </c>
    </row>
    <row r="9860" spans="1:2">
      <c r="A9860" s="66">
        <v>46071.885798668984</v>
      </c>
      <c r="B9860" s="49" t="s">
        <v>10543</v>
      </c>
    </row>
    <row r="9861" spans="1:2">
      <c r="A9861" s="66">
        <v>46071.885800543983</v>
      </c>
      <c r="B9861" s="49" t="s">
        <v>9394</v>
      </c>
    </row>
    <row r="9862" spans="1:2">
      <c r="A9862" s="66">
        <v>46071.886712777778</v>
      </c>
      <c r="B9862" s="49" t="s">
        <v>10556</v>
      </c>
    </row>
    <row r="9863" spans="1:2">
      <c r="A9863" s="66">
        <v>46071.886714849534</v>
      </c>
      <c r="B9863" s="49" t="s">
        <v>10557</v>
      </c>
    </row>
    <row r="9864" spans="1:2">
      <c r="A9864" s="66">
        <v>46071.886716504625</v>
      </c>
      <c r="B9864" s="49" t="s">
        <v>10546</v>
      </c>
    </row>
    <row r="9865" spans="1:2">
      <c r="A9865" s="66">
        <v>46071.886718182868</v>
      </c>
      <c r="B9865" s="49" t="s">
        <v>10466</v>
      </c>
    </row>
    <row r="9866" spans="1:2">
      <c r="A9866" s="66">
        <v>46071.886719999995</v>
      </c>
      <c r="B9866" s="49" t="s">
        <v>10561</v>
      </c>
    </row>
    <row r="9867" spans="1:2">
      <c r="A9867" s="66">
        <v>46071.886721944444</v>
      </c>
      <c r="B9867" s="49" t="s">
        <v>10562</v>
      </c>
    </row>
    <row r="9868" spans="1:2">
      <c r="A9868" s="66">
        <v>46071.88672436343</v>
      </c>
      <c r="B9868" s="49" t="s">
        <v>10563</v>
      </c>
    </row>
    <row r="9869" spans="1:2">
      <c r="A9869" s="66">
        <v>46071.886739155088</v>
      </c>
      <c r="B9869" s="49" t="s">
        <v>10564</v>
      </c>
    </row>
    <row r="9870" spans="1:2">
      <c r="A9870" s="66">
        <v>46071.886746458331</v>
      </c>
      <c r="B9870" s="49" t="s">
        <v>10542</v>
      </c>
    </row>
    <row r="9871" spans="1:2">
      <c r="A9871" s="66">
        <v>46071.886748275458</v>
      </c>
      <c r="B9871" s="49" t="s">
        <v>10543</v>
      </c>
    </row>
    <row r="9872" spans="1:2">
      <c r="A9872" s="66">
        <v>46071.886750000005</v>
      </c>
      <c r="B9872" s="49" t="s">
        <v>9394</v>
      </c>
    </row>
    <row r="9873" spans="1:2">
      <c r="A9873" s="66">
        <v>46071.887651793979</v>
      </c>
      <c r="B9873" s="49" t="s">
        <v>10556</v>
      </c>
    </row>
    <row r="9874" spans="1:2">
      <c r="A9874" s="66">
        <v>46071.887663738424</v>
      </c>
      <c r="B9874" s="49" t="s">
        <v>10557</v>
      </c>
    </row>
    <row r="9875" spans="1:2">
      <c r="A9875" s="66">
        <v>46071.887665462964</v>
      </c>
      <c r="B9875" s="49" t="s">
        <v>10546</v>
      </c>
    </row>
    <row r="9876" spans="1:2">
      <c r="A9876" s="66">
        <v>46071.887667268515</v>
      </c>
      <c r="B9876" s="49" t="s">
        <v>10466</v>
      </c>
    </row>
    <row r="9877" spans="1:2">
      <c r="A9877" s="66">
        <v>46071.887668842595</v>
      </c>
      <c r="B9877" s="49" t="s">
        <v>10561</v>
      </c>
    </row>
    <row r="9878" spans="1:2">
      <c r="A9878" s="66">
        <v>46071.887670567128</v>
      </c>
      <c r="B9878" s="49" t="s">
        <v>10562</v>
      </c>
    </row>
    <row r="9879" spans="1:2">
      <c r="A9879" s="66">
        <v>46071.887672800927</v>
      </c>
      <c r="B9879" s="49" t="s">
        <v>10563</v>
      </c>
    </row>
    <row r="9880" spans="1:2">
      <c r="A9880" s="66">
        <v>46071.887692951394</v>
      </c>
      <c r="B9880" s="49" t="s">
        <v>10564</v>
      </c>
    </row>
    <row r="9881" spans="1:2">
      <c r="A9881" s="66">
        <v>46071.887694699079</v>
      </c>
      <c r="B9881" s="49" t="s">
        <v>10542</v>
      </c>
    </row>
    <row r="9882" spans="1:2">
      <c r="A9882" s="66">
        <v>46071.88769643518</v>
      </c>
      <c r="B9882" s="49" t="s">
        <v>10543</v>
      </c>
    </row>
    <row r="9883" spans="1:2">
      <c r="A9883" s="66">
        <v>46071.887704328707</v>
      </c>
      <c r="B9883" s="49" t="s">
        <v>9394</v>
      </c>
    </row>
    <row r="9884" spans="1:2">
      <c r="A9884" s="66">
        <v>46071.888761006943</v>
      </c>
      <c r="B9884" s="49" t="s">
        <v>10556</v>
      </c>
    </row>
    <row r="9885" spans="1:2">
      <c r="A9885" s="66">
        <v>46071.888763310184</v>
      </c>
      <c r="B9885" s="49" t="s">
        <v>10557</v>
      </c>
    </row>
    <row r="9886" spans="1:2">
      <c r="A9886" s="66">
        <v>46071.888765520838</v>
      </c>
      <c r="B9886" s="49" t="s">
        <v>10546</v>
      </c>
    </row>
    <row r="9887" spans="1:2">
      <c r="A9887" s="66">
        <v>46071.88876775463</v>
      </c>
      <c r="B9887" s="49" t="s">
        <v>10466</v>
      </c>
    </row>
    <row r="9888" spans="1:2">
      <c r="A9888" s="66">
        <v>46071.888769618061</v>
      </c>
      <c r="B9888" s="49" t="s">
        <v>10561</v>
      </c>
    </row>
    <row r="9889" spans="1:2">
      <c r="A9889" s="66">
        <v>46071.888777916669</v>
      </c>
      <c r="B9889" s="49" t="s">
        <v>10562</v>
      </c>
    </row>
    <row r="9890" spans="1:2">
      <c r="A9890" s="66">
        <v>46071.888781388887</v>
      </c>
      <c r="B9890" s="49" t="s">
        <v>10563</v>
      </c>
    </row>
    <row r="9891" spans="1:2">
      <c r="A9891" s="66">
        <v>46071.888810046294</v>
      </c>
      <c r="B9891" s="49" t="s">
        <v>10564</v>
      </c>
    </row>
    <row r="9892" spans="1:2">
      <c r="A9892" s="66">
        <v>46071.888812222227</v>
      </c>
      <c r="B9892" s="49" t="s">
        <v>10542</v>
      </c>
    </row>
    <row r="9893" spans="1:2">
      <c r="A9893" s="66">
        <v>46071.888820567125</v>
      </c>
      <c r="B9893" s="49" t="s">
        <v>10543</v>
      </c>
    </row>
    <row r="9894" spans="1:2">
      <c r="A9894" s="66">
        <v>46071.888823159723</v>
      </c>
      <c r="B9894" s="49" t="s">
        <v>9394</v>
      </c>
    </row>
    <row r="9895" spans="1:2">
      <c r="A9895" s="66">
        <v>46071.889696446757</v>
      </c>
      <c r="B9895" s="49" t="s">
        <v>10556</v>
      </c>
    </row>
    <row r="9896" spans="1:2">
      <c r="A9896" s="66">
        <v>46071.889699537038</v>
      </c>
      <c r="B9896" s="49" t="s">
        <v>10557</v>
      </c>
    </row>
    <row r="9897" spans="1:2">
      <c r="A9897" s="66">
        <v>46071.889702372689</v>
      </c>
      <c r="B9897" s="49" t="s">
        <v>10546</v>
      </c>
    </row>
    <row r="9898" spans="1:2">
      <c r="A9898" s="66">
        <v>46071.889705034722</v>
      </c>
      <c r="B9898" s="49" t="s">
        <v>10466</v>
      </c>
    </row>
    <row r="9899" spans="1:2">
      <c r="A9899" s="66">
        <v>46071.88970806713</v>
      </c>
      <c r="B9899" s="49" t="s">
        <v>10561</v>
      </c>
    </row>
    <row r="9900" spans="1:2">
      <c r="A9900" s="66">
        <v>46071.889711539348</v>
      </c>
      <c r="B9900" s="49" t="s">
        <v>10562</v>
      </c>
    </row>
    <row r="9901" spans="1:2">
      <c r="A9901" s="66">
        <v>46071.889714375</v>
      </c>
      <c r="B9901" s="49" t="s">
        <v>10563</v>
      </c>
    </row>
    <row r="9902" spans="1:2">
      <c r="A9902" s="66">
        <v>46071.889736921294</v>
      </c>
      <c r="B9902" s="49" t="s">
        <v>10564</v>
      </c>
    </row>
    <row r="9903" spans="1:2">
      <c r="A9903" s="66">
        <v>46071.88973988426</v>
      </c>
      <c r="B9903" s="49" t="s">
        <v>10542</v>
      </c>
    </row>
    <row r="9904" spans="1:2">
      <c r="A9904" s="66">
        <v>46071.88975037037</v>
      </c>
      <c r="B9904" s="49" t="s">
        <v>10543</v>
      </c>
    </row>
    <row r="9905" spans="1:2">
      <c r="A9905" s="66">
        <v>46071.889753414347</v>
      </c>
      <c r="B9905" s="49" t="s">
        <v>9394</v>
      </c>
    </row>
    <row r="9906" spans="1:2">
      <c r="A9906" s="66">
        <v>46071.890482962961</v>
      </c>
      <c r="B9906" s="49" t="s">
        <v>10556</v>
      </c>
    </row>
    <row r="9907" spans="1:2">
      <c r="A9907" s="66">
        <v>46071.890485891199</v>
      </c>
      <c r="B9907" s="49" t="s">
        <v>10557</v>
      </c>
    </row>
    <row r="9908" spans="1:2">
      <c r="A9908" s="66">
        <v>46071.890488611112</v>
      </c>
      <c r="B9908" s="49" t="s">
        <v>10546</v>
      </c>
    </row>
    <row r="9909" spans="1:2">
      <c r="A9909" s="66">
        <v>46071.890490983795</v>
      </c>
      <c r="B9909" s="49" t="s">
        <v>10466</v>
      </c>
    </row>
    <row r="9910" spans="1:2">
      <c r="A9910" s="66">
        <v>46071.890493206018</v>
      </c>
      <c r="B9910" s="49" t="s">
        <v>10561</v>
      </c>
    </row>
    <row r="9911" spans="1:2">
      <c r="A9911" s="66">
        <v>46071.890497141205</v>
      </c>
      <c r="B9911" s="49" t="s">
        <v>10562</v>
      </c>
    </row>
    <row r="9912" spans="1:2">
      <c r="A9912" s="66">
        <v>46071.890499837958</v>
      </c>
      <c r="B9912" s="49" t="s">
        <v>10563</v>
      </c>
    </row>
    <row r="9913" spans="1:2">
      <c r="A9913" s="66">
        <v>46071.890518784727</v>
      </c>
      <c r="B9913" s="49" t="s">
        <v>10564</v>
      </c>
    </row>
    <row r="9914" spans="1:2">
      <c r="A9914" s="66">
        <v>46071.890520787041</v>
      </c>
      <c r="B9914" s="49" t="s">
        <v>10542</v>
      </c>
    </row>
    <row r="9915" spans="1:2">
      <c r="A9915" s="66">
        <v>46071.890523703703</v>
      </c>
      <c r="B9915" s="49" t="s">
        <v>10543</v>
      </c>
    </row>
    <row r="9916" spans="1:2">
      <c r="A9916" s="66">
        <v>46071.890526342591</v>
      </c>
      <c r="B9916" s="49" t="s">
        <v>9394</v>
      </c>
    </row>
    <row r="9917" spans="1:2">
      <c r="A9917" s="66">
        <v>46071.891814594906</v>
      </c>
      <c r="B9917" s="49" t="s">
        <v>10556</v>
      </c>
    </row>
    <row r="9918" spans="1:2">
      <c r="A9918" s="66">
        <v>46071.891817175929</v>
      </c>
      <c r="B9918" s="49" t="s">
        <v>10557</v>
      </c>
    </row>
    <row r="9919" spans="1:2">
      <c r="A9919" s="66">
        <v>46071.891819525466</v>
      </c>
      <c r="B9919" s="49" t="s">
        <v>10546</v>
      </c>
    </row>
    <row r="9920" spans="1:2">
      <c r="A9920" s="66">
        <v>46071.891821655096</v>
      </c>
      <c r="B9920" s="49" t="s">
        <v>10466</v>
      </c>
    </row>
    <row r="9921" spans="1:2">
      <c r="A9921" s="66">
        <v>46071.89182380787</v>
      </c>
      <c r="B9921" s="49" t="s">
        <v>10561</v>
      </c>
    </row>
    <row r="9922" spans="1:2">
      <c r="A9922" s="66">
        <v>46071.891825925923</v>
      </c>
      <c r="B9922" s="49" t="s">
        <v>10562</v>
      </c>
    </row>
    <row r="9923" spans="1:2">
      <c r="A9923" s="66">
        <v>46071.891827766201</v>
      </c>
      <c r="B9923" s="49" t="s">
        <v>10563</v>
      </c>
    </row>
    <row r="9924" spans="1:2">
      <c r="A9924" s="66">
        <v>46071.891841921301</v>
      </c>
      <c r="B9924" s="49" t="s">
        <v>10564</v>
      </c>
    </row>
    <row r="9925" spans="1:2">
      <c r="A9925" s="66">
        <v>46071.891844270838</v>
      </c>
      <c r="B9925" s="49" t="s">
        <v>10542</v>
      </c>
    </row>
    <row r="9926" spans="1:2">
      <c r="A9926" s="66">
        <v>46071.891846435188</v>
      </c>
      <c r="B9926" s="49" t="s">
        <v>10543</v>
      </c>
    </row>
    <row r="9927" spans="1:2">
      <c r="A9927" s="66">
        <v>46071.891848553241</v>
      </c>
      <c r="B9927" s="49" t="s">
        <v>9394</v>
      </c>
    </row>
    <row r="9928" spans="1:2">
      <c r="A9928" s="66">
        <v>46071.892925405089</v>
      </c>
      <c r="B9928" s="49" t="s">
        <v>10556</v>
      </c>
    </row>
    <row r="9929" spans="1:2">
      <c r="A9929" s="66">
        <v>46071.892927638888</v>
      </c>
      <c r="B9929" s="49" t="s">
        <v>10557</v>
      </c>
    </row>
    <row r="9930" spans="1:2">
      <c r="A9930" s="66">
        <v>46071.892930717593</v>
      </c>
      <c r="B9930" s="49" t="s">
        <v>10546</v>
      </c>
    </row>
    <row r="9931" spans="1:2">
      <c r="A9931" s="66">
        <v>46071.892943078703</v>
      </c>
      <c r="B9931" s="49" t="s">
        <v>10466</v>
      </c>
    </row>
    <row r="9932" spans="1:2">
      <c r="A9932" s="66">
        <v>46071.892948402776</v>
      </c>
      <c r="B9932" s="49" t="s">
        <v>10561</v>
      </c>
    </row>
    <row r="9933" spans="1:2">
      <c r="A9933" s="66">
        <v>46071.892950416666</v>
      </c>
      <c r="B9933" s="49" t="s">
        <v>10562</v>
      </c>
    </row>
    <row r="9934" spans="1:2">
      <c r="A9934" s="66">
        <v>46071.892952337963</v>
      </c>
      <c r="B9934" s="49" t="s">
        <v>10563</v>
      </c>
    </row>
    <row r="9935" spans="1:2">
      <c r="A9935" s="66">
        <v>46071.89296957176</v>
      </c>
      <c r="B9935" s="49" t="s">
        <v>10564</v>
      </c>
    </row>
    <row r="9936" spans="1:2">
      <c r="A9936" s="66">
        <v>46071.89297148148</v>
      </c>
      <c r="B9936" s="49" t="s">
        <v>10542</v>
      </c>
    </row>
    <row r="9937" spans="1:2">
      <c r="A9937" s="66">
        <v>46071.89297346065</v>
      </c>
      <c r="B9937" s="49" t="s">
        <v>10543</v>
      </c>
    </row>
    <row r="9938" spans="1:2">
      <c r="A9938" s="66">
        <v>46071.892975416667</v>
      </c>
      <c r="B9938" s="49" t="s">
        <v>9394</v>
      </c>
    </row>
    <row r="9939" spans="1:2">
      <c r="A9939" s="66">
        <v>46071.89438445602</v>
      </c>
      <c r="B9939" s="49" t="s">
        <v>10556</v>
      </c>
    </row>
    <row r="9940" spans="1:2">
      <c r="A9940" s="66">
        <v>46071.89438672454</v>
      </c>
      <c r="B9940" s="49" t="s">
        <v>10557</v>
      </c>
    </row>
    <row r="9941" spans="1:2">
      <c r="A9941" s="66">
        <v>46071.894388541667</v>
      </c>
      <c r="B9941" s="49" t="s">
        <v>10546</v>
      </c>
    </row>
    <row r="9942" spans="1:2">
      <c r="A9942" s="66">
        <v>46071.894390127316</v>
      </c>
      <c r="B9942" s="49" t="s">
        <v>10466</v>
      </c>
    </row>
    <row r="9943" spans="1:2">
      <c r="A9943" s="66">
        <v>46071.894391828704</v>
      </c>
      <c r="B9943" s="49" t="s">
        <v>10561</v>
      </c>
    </row>
    <row r="9944" spans="1:2">
      <c r="A9944" s="66">
        <v>46071.89439346065</v>
      </c>
      <c r="B9944" s="49" t="s">
        <v>10562</v>
      </c>
    </row>
    <row r="9945" spans="1:2">
      <c r="A9945" s="66">
        <v>46071.894395347219</v>
      </c>
      <c r="B9945" s="49" t="s">
        <v>10563</v>
      </c>
    </row>
    <row r="9946" spans="1:2">
      <c r="A9946" s="66">
        <v>46071.894410740744</v>
      </c>
      <c r="B9946" s="49" t="s">
        <v>10564</v>
      </c>
    </row>
    <row r="9947" spans="1:2">
      <c r="A9947" s="66">
        <v>46071.89441256944</v>
      </c>
      <c r="B9947" s="49" t="s">
        <v>10542</v>
      </c>
    </row>
    <row r="9948" spans="1:2">
      <c r="A9948" s="66">
        <v>46071.894414432871</v>
      </c>
      <c r="B9948" s="49" t="s">
        <v>10543</v>
      </c>
    </row>
    <row r="9949" spans="1:2">
      <c r="A9949" s="66">
        <v>46071.894416157404</v>
      </c>
      <c r="B9949" s="49" t="s">
        <v>9394</v>
      </c>
    </row>
    <row r="9950" spans="1:2">
      <c r="A9950" s="66">
        <v>46071.895468946765</v>
      </c>
      <c r="B9950" s="49" t="s">
        <v>10556</v>
      </c>
    </row>
    <row r="9951" spans="1:2">
      <c r="A9951" s="66">
        <v>46071.89547152778</v>
      </c>
      <c r="B9951" s="49" t="s">
        <v>10557</v>
      </c>
    </row>
    <row r="9952" spans="1:2">
      <c r="A9952" s="66">
        <v>46071.895473796292</v>
      </c>
      <c r="B9952" s="49" t="s">
        <v>10546</v>
      </c>
    </row>
    <row r="9953" spans="1:2">
      <c r="A9953" s="66">
        <v>46071.895485150468</v>
      </c>
      <c r="B9953" s="49" t="s">
        <v>10466</v>
      </c>
    </row>
    <row r="9954" spans="1:2">
      <c r="A9954" s="66">
        <v>46071.895487546295</v>
      </c>
      <c r="B9954" s="49" t="s">
        <v>10561</v>
      </c>
    </row>
    <row r="9955" spans="1:2">
      <c r="A9955" s="66">
        <v>46071.895490104165</v>
      </c>
      <c r="B9955" s="49" t="s">
        <v>10562</v>
      </c>
    </row>
    <row r="9956" spans="1:2">
      <c r="A9956" s="66">
        <v>46071.895492395837</v>
      </c>
      <c r="B9956" s="49" t="s">
        <v>10563</v>
      </c>
    </row>
    <row r="9957" spans="1:2">
      <c r="A9957" s="66">
        <v>46071.895509247683</v>
      </c>
      <c r="B9957" s="49" t="s">
        <v>10564</v>
      </c>
    </row>
    <row r="9958" spans="1:2">
      <c r="A9958" s="66">
        <v>46071.895511481482</v>
      </c>
      <c r="B9958" s="49" t="s">
        <v>10542</v>
      </c>
    </row>
    <row r="9959" spans="1:2">
      <c r="A9959" s="66">
        <v>46071.895514340278</v>
      </c>
      <c r="B9959" s="49" t="s">
        <v>10543</v>
      </c>
    </row>
    <row r="9960" spans="1:2">
      <c r="A9960" s="66">
        <v>46071.895516666671</v>
      </c>
      <c r="B9960" s="49" t="s">
        <v>9394</v>
      </c>
    </row>
    <row r="9961" spans="1:2">
      <c r="A9961" s="66">
        <v>46071.896711412039</v>
      </c>
      <c r="B9961" s="49" t="s">
        <v>10556</v>
      </c>
    </row>
    <row r="9962" spans="1:2">
      <c r="A9962" s="66">
        <v>46071.89671346065</v>
      </c>
      <c r="B9962" s="49" t="s">
        <v>10557</v>
      </c>
    </row>
    <row r="9963" spans="1:2">
      <c r="A9963" s="66">
        <v>46071.89672157407</v>
      </c>
      <c r="B9963" s="49" t="s">
        <v>10546</v>
      </c>
    </row>
    <row r="9964" spans="1:2">
      <c r="A9964" s="66">
        <v>46071.896723240745</v>
      </c>
      <c r="B9964" s="49" t="s">
        <v>10466</v>
      </c>
    </row>
    <row r="9965" spans="1:2">
      <c r="A9965" s="66">
        <v>46071.896725185186</v>
      </c>
      <c r="B9965" s="49" t="s">
        <v>10561</v>
      </c>
    </row>
    <row r="9966" spans="1:2">
      <c r="A9966" s="66">
        <v>46071.89672694444</v>
      </c>
      <c r="B9966" s="49" t="s">
        <v>10562</v>
      </c>
    </row>
    <row r="9967" spans="1:2">
      <c r="A9967" s="66">
        <v>46071.896728495369</v>
      </c>
      <c r="B9967" s="49" t="s">
        <v>10563</v>
      </c>
    </row>
    <row r="9968" spans="1:2">
      <c r="A9968" s="66">
        <v>46071.896741840275</v>
      </c>
      <c r="B9968" s="49" t="s">
        <v>10564</v>
      </c>
    </row>
    <row r="9969" spans="1:2">
      <c r="A9969" s="66">
        <v>46071.896743703706</v>
      </c>
      <c r="B9969" s="49" t="s">
        <v>10542</v>
      </c>
    </row>
    <row r="9970" spans="1:2">
      <c r="A9970" s="66">
        <v>46071.896750844906</v>
      </c>
      <c r="B9970" s="49" t="s">
        <v>10543</v>
      </c>
    </row>
    <row r="9971" spans="1:2">
      <c r="A9971" s="66">
        <v>46071.896752592591</v>
      </c>
      <c r="B9971" s="49" t="s">
        <v>9394</v>
      </c>
    </row>
    <row r="9972" spans="1:2">
      <c r="A9972" s="66">
        <v>46071.897967604164</v>
      </c>
      <c r="B9972" s="49" t="s">
        <v>10556</v>
      </c>
    </row>
    <row r="9973" spans="1:2">
      <c r="A9973" s="66">
        <v>46071.89796923611</v>
      </c>
      <c r="B9973" s="49" t="s">
        <v>10557</v>
      </c>
    </row>
    <row r="9974" spans="1:2">
      <c r="A9974" s="66">
        <v>46071.897970729166</v>
      </c>
      <c r="B9974" s="49" t="s">
        <v>10546</v>
      </c>
    </row>
    <row r="9975" spans="1:2">
      <c r="A9975" s="66">
        <v>46071.897972141203</v>
      </c>
      <c r="B9975" s="49" t="s">
        <v>10466</v>
      </c>
    </row>
    <row r="9976" spans="1:2">
      <c r="A9976" s="66">
        <v>46071.89797362269</v>
      </c>
      <c r="B9976" s="49" t="s">
        <v>10561</v>
      </c>
    </row>
    <row r="9977" spans="1:2">
      <c r="A9977" s="66">
        <v>46071.89797539352</v>
      </c>
      <c r="B9977" s="49" t="s">
        <v>10562</v>
      </c>
    </row>
    <row r="9978" spans="1:2">
      <c r="A9978" s="66">
        <v>46071.897976979162</v>
      </c>
      <c r="B9978" s="49" t="s">
        <v>10563</v>
      </c>
    </row>
    <row r="9979" spans="1:2">
      <c r="A9979" s="66">
        <v>46071.897989606485</v>
      </c>
      <c r="B9979" s="49" t="s">
        <v>10564</v>
      </c>
    </row>
    <row r="9980" spans="1:2">
      <c r="A9980" s="66">
        <v>46071.897991342594</v>
      </c>
      <c r="B9980" s="49" t="s">
        <v>10542</v>
      </c>
    </row>
    <row r="9981" spans="1:2">
      <c r="A9981" s="66">
        <v>46071.897993148144</v>
      </c>
      <c r="B9981" s="49" t="s">
        <v>10543</v>
      </c>
    </row>
    <row r="9982" spans="1:2">
      <c r="A9982" s="66">
        <v>46071.897994791667</v>
      </c>
      <c r="B9982" s="49" t="s">
        <v>9394</v>
      </c>
    </row>
    <row r="9983" spans="1:2">
      <c r="A9983" s="66">
        <v>46071.899080185191</v>
      </c>
      <c r="B9983" s="49" t="s">
        <v>10556</v>
      </c>
    </row>
    <row r="9984" spans="1:2">
      <c r="A9984" s="66">
        <v>46071.899082384261</v>
      </c>
      <c r="B9984" s="49" t="s">
        <v>10557</v>
      </c>
    </row>
    <row r="9985" spans="1:2">
      <c r="A9985" s="66">
        <v>46071.899084363424</v>
      </c>
      <c r="B9985" s="49" t="s">
        <v>10546</v>
      </c>
    </row>
    <row r="9986" spans="1:2">
      <c r="A9986" s="66">
        <v>46071.899085960649</v>
      </c>
      <c r="B9986" s="49" t="s">
        <v>10466</v>
      </c>
    </row>
    <row r="9987" spans="1:2">
      <c r="A9987" s="66">
        <v>46071.899087557875</v>
      </c>
      <c r="B9987" s="49" t="s">
        <v>10561</v>
      </c>
    </row>
    <row r="9988" spans="1:2">
      <c r="A9988" s="66">
        <v>46071.899089409722</v>
      </c>
      <c r="B9988" s="49" t="s">
        <v>10562</v>
      </c>
    </row>
    <row r="9989" spans="1:2">
      <c r="A9989" s="66">
        <v>46071.899091145839</v>
      </c>
      <c r="B9989" s="49" t="s">
        <v>10563</v>
      </c>
    </row>
    <row r="9990" spans="1:2">
      <c r="A9990" s="66">
        <v>46071.899105752316</v>
      </c>
      <c r="B9990" s="49" t="s">
        <v>10564</v>
      </c>
    </row>
    <row r="9991" spans="1:2">
      <c r="A9991" s="66">
        <v>46071.899107534722</v>
      </c>
      <c r="B9991" s="49" t="s">
        <v>10542</v>
      </c>
    </row>
    <row r="9992" spans="1:2">
      <c r="A9992" s="66">
        <v>46071.899109074075</v>
      </c>
      <c r="B9992" s="49" t="s">
        <v>10543</v>
      </c>
    </row>
    <row r="9993" spans="1:2">
      <c r="A9993" s="66">
        <v>46071.899110694445</v>
      </c>
      <c r="B9993" s="49" t="s">
        <v>9394</v>
      </c>
    </row>
    <row r="9994" spans="1:2">
      <c r="A9994" s="66">
        <v>46071.900520081021</v>
      </c>
      <c r="B9994" s="49" t="s">
        <v>10556</v>
      </c>
    </row>
    <row r="9995" spans="1:2">
      <c r="A9995" s="66">
        <v>46071.900521874995</v>
      </c>
      <c r="B9995" s="49" t="s">
        <v>10557</v>
      </c>
    </row>
    <row r="9996" spans="1:2">
      <c r="A9996" s="66">
        <v>46071.900523888893</v>
      </c>
      <c r="B9996" s="49" t="s">
        <v>10546</v>
      </c>
    </row>
    <row r="9997" spans="1:2">
      <c r="A9997" s="66">
        <v>46071.900538831018</v>
      </c>
      <c r="B9997" s="49" t="s">
        <v>10466</v>
      </c>
    </row>
    <row r="9998" spans="1:2">
      <c r="A9998" s="66">
        <v>46071.900540439819</v>
      </c>
      <c r="B9998" s="49" t="s">
        <v>10561</v>
      </c>
    </row>
    <row r="9999" spans="1:2">
      <c r="A9999" s="66">
        <v>46071.90054206019</v>
      </c>
      <c r="B9999" s="49" t="s">
        <v>10562</v>
      </c>
    </row>
    <row r="10000" spans="1:2">
      <c r="A10000" s="66">
        <v>46071.900543599535</v>
      </c>
      <c r="B10000" s="49" t="s">
        <v>10563</v>
      </c>
    </row>
    <row r="10001" spans="1:2">
      <c r="A10001" s="66">
        <v>46071.900564918978</v>
      </c>
      <c r="B10001" s="49" t="s">
        <v>10564</v>
      </c>
    </row>
    <row r="10002" spans="1:2">
      <c r="A10002" s="66">
        <v>46071.900571307866</v>
      </c>
      <c r="B10002" s="49" t="s">
        <v>10542</v>
      </c>
    </row>
    <row r="10003" spans="1:2">
      <c r="A10003" s="66">
        <v>46071.900573032406</v>
      </c>
      <c r="B10003" s="49" t="s">
        <v>10543</v>
      </c>
    </row>
    <row r="10004" spans="1:2">
      <c r="A10004" s="66">
        <v>46071.900574618056</v>
      </c>
      <c r="B10004" s="49" t="s">
        <v>9394</v>
      </c>
    </row>
    <row r="10005" spans="1:2">
      <c r="A10005" s="66">
        <v>46071.901671967593</v>
      </c>
      <c r="B10005" s="49" t="s">
        <v>10556</v>
      </c>
    </row>
    <row r="10006" spans="1:2">
      <c r="A10006" s="66">
        <v>46071.901674004628</v>
      </c>
      <c r="B10006" s="49" t="s">
        <v>10557</v>
      </c>
    </row>
    <row r="10007" spans="1:2">
      <c r="A10007" s="66">
        <v>46071.901675694447</v>
      </c>
      <c r="B10007" s="49" t="s">
        <v>10546</v>
      </c>
    </row>
    <row r="10008" spans="1:2">
      <c r="A10008" s="66">
        <v>46071.901677476853</v>
      </c>
      <c r="B10008" s="49" t="s">
        <v>10466</v>
      </c>
    </row>
    <row r="10009" spans="1:2">
      <c r="A10009" s="66">
        <v>46071.901679155097</v>
      </c>
      <c r="B10009" s="49" t="s">
        <v>10561</v>
      </c>
    </row>
    <row r="10010" spans="1:2">
      <c r="A10010" s="66">
        <v>46071.901680810188</v>
      </c>
      <c r="B10010" s="49" t="s">
        <v>10562</v>
      </c>
    </row>
    <row r="10011" spans="1:2">
      <c r="A10011" s="66">
        <v>46071.901682627315</v>
      </c>
      <c r="B10011" s="49" t="s">
        <v>10563</v>
      </c>
    </row>
    <row r="10012" spans="1:2">
      <c r="A10012" s="66">
        <v>46071.901697986112</v>
      </c>
      <c r="B10012" s="49" t="s">
        <v>10564</v>
      </c>
    </row>
    <row r="10013" spans="1:2">
      <c r="A10013" s="66">
        <v>46071.901699849535</v>
      </c>
      <c r="B10013" s="49" t="s">
        <v>10542</v>
      </c>
    </row>
    <row r="10014" spans="1:2">
      <c r="A10014" s="66">
        <v>46071.901701458337</v>
      </c>
      <c r="B10014" s="49" t="s">
        <v>10543</v>
      </c>
    </row>
    <row r="10015" spans="1:2">
      <c r="A10015" s="66">
        <v>46071.901703101852</v>
      </c>
      <c r="B10015" s="49" t="s">
        <v>9394</v>
      </c>
    </row>
    <row r="10016" spans="1:2">
      <c r="A10016" s="66">
        <v>46071.902506539351</v>
      </c>
      <c r="B10016" s="49" t="s">
        <v>10556</v>
      </c>
    </row>
    <row r="10017" spans="1:2">
      <c r="A10017" s="66">
        <v>46071.902508703701</v>
      </c>
      <c r="B10017" s="49" t="s">
        <v>10557</v>
      </c>
    </row>
    <row r="10018" spans="1:2">
      <c r="A10018" s="66">
        <v>46071.902511076391</v>
      </c>
      <c r="B10018" s="49" t="s">
        <v>10546</v>
      </c>
    </row>
    <row r="10019" spans="1:2">
      <c r="A10019" s="66">
        <v>46071.902512974542</v>
      </c>
      <c r="B10019" s="49" t="s">
        <v>10466</v>
      </c>
    </row>
    <row r="10020" spans="1:2">
      <c r="A10020" s="66">
        <v>46071.902514895832</v>
      </c>
      <c r="B10020" s="49" t="s">
        <v>10561</v>
      </c>
    </row>
    <row r="10021" spans="1:2">
      <c r="A10021" s="66">
        <v>46071.902516504633</v>
      </c>
      <c r="B10021" s="49" t="s">
        <v>10562</v>
      </c>
    </row>
    <row r="10022" spans="1:2">
      <c r="A10022" s="66">
        <v>46071.902518437499</v>
      </c>
      <c r="B10022" s="49" t="s">
        <v>10563</v>
      </c>
    </row>
    <row r="10023" spans="1:2">
      <c r="A10023" s="66">
        <v>46071.902547812497</v>
      </c>
      <c r="B10023" s="49" t="s">
        <v>10564</v>
      </c>
    </row>
    <row r="10024" spans="1:2">
      <c r="A10024" s="66">
        <v>46071.902549999999</v>
      </c>
      <c r="B10024" s="49" t="s">
        <v>10542</v>
      </c>
    </row>
    <row r="10025" spans="1:2">
      <c r="A10025" s="66">
        <v>46071.902552557869</v>
      </c>
      <c r="B10025" s="49" t="s">
        <v>10543</v>
      </c>
    </row>
    <row r="10026" spans="1:2">
      <c r="A10026" s="66">
        <v>46071.902554930552</v>
      </c>
      <c r="B10026" s="49" t="s">
        <v>9394</v>
      </c>
    </row>
    <row r="10027" spans="1:2">
      <c r="A10027" s="66">
        <v>46071.903837835649</v>
      </c>
      <c r="B10027" s="49" t="s">
        <v>10556</v>
      </c>
    </row>
    <row r="10028" spans="1:2">
      <c r="A10028" s="66">
        <v>46071.903840011575</v>
      </c>
      <c r="B10028" s="49" t="s">
        <v>10557</v>
      </c>
    </row>
    <row r="10029" spans="1:2">
      <c r="A10029" s="66">
        <v>46071.903842384258</v>
      </c>
      <c r="B10029" s="49" t="s">
        <v>10546</v>
      </c>
    </row>
    <row r="10030" spans="1:2">
      <c r="A10030" s="66">
        <v>46071.903844375003</v>
      </c>
      <c r="B10030" s="49" t="s">
        <v>10466</v>
      </c>
    </row>
    <row r="10031" spans="1:2">
      <c r="A10031" s="66">
        <v>46071.903846400462</v>
      </c>
      <c r="B10031" s="49" t="s">
        <v>10561</v>
      </c>
    </row>
    <row r="10032" spans="1:2">
      <c r="A10032" s="66">
        <v>46071.90384831019</v>
      </c>
      <c r="B10032" s="49" t="s">
        <v>10562</v>
      </c>
    </row>
    <row r="10033" spans="1:2">
      <c r="A10033" s="66">
        <v>46071.903850416667</v>
      </c>
      <c r="B10033" s="49" t="s">
        <v>10563</v>
      </c>
    </row>
    <row r="10034" spans="1:2">
      <c r="A10034" s="66">
        <v>46071.903864340275</v>
      </c>
      <c r="B10034" s="49" t="s">
        <v>10564</v>
      </c>
    </row>
    <row r="10035" spans="1:2">
      <c r="A10035" s="66">
        <v>46071.903866249995</v>
      </c>
      <c r="B10035" s="49" t="s">
        <v>10542</v>
      </c>
    </row>
    <row r="10036" spans="1:2">
      <c r="A10036" s="66">
        <v>46071.903868275462</v>
      </c>
      <c r="B10036" s="49" t="s">
        <v>10543</v>
      </c>
    </row>
    <row r="10037" spans="1:2">
      <c r="A10037" s="66">
        <v>46071.903871006944</v>
      </c>
      <c r="B10037" s="49" t="s">
        <v>9394</v>
      </c>
    </row>
    <row r="10038" spans="1:2">
      <c r="A10038" s="66">
        <v>46071.904875034721</v>
      </c>
      <c r="B10038" s="49" t="s">
        <v>10556</v>
      </c>
    </row>
    <row r="10039" spans="1:2">
      <c r="A10039" s="66">
        <v>46071.904877083332</v>
      </c>
      <c r="B10039" s="49" t="s">
        <v>10557</v>
      </c>
    </row>
    <row r="10040" spans="1:2">
      <c r="A10040" s="66">
        <v>46071.904878773144</v>
      </c>
      <c r="B10040" s="49" t="s">
        <v>10546</v>
      </c>
    </row>
    <row r="10041" spans="1:2">
      <c r="A10041" s="66">
        <v>46071.904880532413</v>
      </c>
      <c r="B10041" s="49" t="s">
        <v>10466</v>
      </c>
    </row>
    <row r="10042" spans="1:2">
      <c r="A10042" s="66">
        <v>46071.904882314819</v>
      </c>
      <c r="B10042" s="49" t="s">
        <v>10561</v>
      </c>
    </row>
    <row r="10043" spans="1:2">
      <c r="A10043" s="66">
        <v>46071.904883946758</v>
      </c>
      <c r="B10043" s="49" t="s">
        <v>10562</v>
      </c>
    </row>
    <row r="10044" spans="1:2">
      <c r="A10044" s="66">
        <v>46071.904885532407</v>
      </c>
      <c r="B10044" s="49" t="s">
        <v>10563</v>
      </c>
    </row>
    <row r="10045" spans="1:2">
      <c r="A10045" s="66">
        <v>46071.90490105324</v>
      </c>
      <c r="B10045" s="49" t="s">
        <v>10564</v>
      </c>
    </row>
    <row r="10046" spans="1:2">
      <c r="A10046" s="66">
        <v>46071.904913032406</v>
      </c>
      <c r="B10046" s="49" t="s">
        <v>10542</v>
      </c>
    </row>
    <row r="10047" spans="1:2">
      <c r="A10047" s="66">
        <v>46071.904914814819</v>
      </c>
      <c r="B10047" s="49" t="s">
        <v>10543</v>
      </c>
    </row>
    <row r="10048" spans="1:2">
      <c r="A10048" s="66">
        <v>46071.904918298613</v>
      </c>
      <c r="B10048" s="49" t="s">
        <v>9394</v>
      </c>
    </row>
    <row r="10049" spans="1:2">
      <c r="A10049" s="66">
        <v>46071.905978263894</v>
      </c>
      <c r="B10049" s="49" t="s">
        <v>10556</v>
      </c>
    </row>
    <row r="10050" spans="1:2">
      <c r="A10050" s="66">
        <v>46071.905980428244</v>
      </c>
      <c r="B10050" s="49" t="s">
        <v>10557</v>
      </c>
    </row>
    <row r="10051" spans="1:2">
      <c r="A10051" s="66">
        <v>46071.905982569442</v>
      </c>
      <c r="B10051" s="49" t="s">
        <v>10546</v>
      </c>
    </row>
    <row r="10052" spans="1:2">
      <c r="A10052" s="66">
        <v>46071.905984467594</v>
      </c>
      <c r="B10052" s="49" t="s">
        <v>10466</v>
      </c>
    </row>
    <row r="10053" spans="1:2">
      <c r="A10053" s="66">
        <v>46071.90598649306</v>
      </c>
      <c r="B10053" s="49" t="s">
        <v>10561</v>
      </c>
    </row>
    <row r="10054" spans="1:2">
      <c r="A10054" s="66">
        <v>46071.905988506944</v>
      </c>
      <c r="B10054" s="49" t="s">
        <v>10562</v>
      </c>
    </row>
    <row r="10055" spans="1:2">
      <c r="A10055" s="66">
        <v>46071.905998321759</v>
      </c>
      <c r="B10055" s="49" t="s">
        <v>10563</v>
      </c>
    </row>
    <row r="10056" spans="1:2">
      <c r="A10056" s="66">
        <v>46071.906023657408</v>
      </c>
      <c r="B10056" s="49" t="s">
        <v>10564</v>
      </c>
    </row>
    <row r="10057" spans="1:2">
      <c r="A10057" s="66">
        <v>46071.906025717588</v>
      </c>
      <c r="B10057" s="49" t="s">
        <v>10542</v>
      </c>
    </row>
    <row r="10058" spans="1:2">
      <c r="A10058" s="66">
        <v>46071.906031701394</v>
      </c>
      <c r="B10058" s="49" t="s">
        <v>10543</v>
      </c>
    </row>
    <row r="10059" spans="1:2">
      <c r="A10059" s="66">
        <v>46071.906048113422</v>
      </c>
      <c r="B10059" s="49" t="s">
        <v>9394</v>
      </c>
    </row>
    <row r="10060" spans="1:2">
      <c r="A10060" s="66">
        <v>46071.907191412036</v>
      </c>
      <c r="B10060" s="49" t="s">
        <v>10556</v>
      </c>
    </row>
    <row r="10061" spans="1:2">
      <c r="A10061" s="66">
        <v>46071.907197511573</v>
      </c>
      <c r="B10061" s="49" t="s">
        <v>10557</v>
      </c>
    </row>
    <row r="10062" spans="1:2">
      <c r="A10062" s="66">
        <v>46071.907202280097</v>
      </c>
      <c r="B10062" s="49" t="s">
        <v>10546</v>
      </c>
    </row>
    <row r="10063" spans="1:2">
      <c r="A10063" s="66">
        <v>46071.907205069445</v>
      </c>
      <c r="B10063" s="49" t="s">
        <v>10466</v>
      </c>
    </row>
    <row r="10064" spans="1:2">
      <c r="A10064" s="66">
        <v>46071.907208090277</v>
      </c>
      <c r="B10064" s="49" t="s">
        <v>10561</v>
      </c>
    </row>
    <row r="10065" spans="1:2">
      <c r="A10065" s="66">
        <v>46071.907211840276</v>
      </c>
      <c r="B10065" s="49" t="s">
        <v>10562</v>
      </c>
    </row>
    <row r="10066" spans="1:2">
      <c r="A10066" s="66">
        <v>46071.907218587963</v>
      </c>
      <c r="B10066" s="49" t="s">
        <v>10563</v>
      </c>
    </row>
    <row r="10067" spans="1:2">
      <c r="A10067" s="66">
        <v>46071.907236539351</v>
      </c>
      <c r="B10067" s="49" t="s">
        <v>10564</v>
      </c>
    </row>
    <row r="10068" spans="1:2">
      <c r="A10068" s="66">
        <v>46071.907239398148</v>
      </c>
      <c r="B10068" s="49" t="s">
        <v>10542</v>
      </c>
    </row>
    <row r="10069" spans="1:2">
      <c r="A10069" s="66">
        <v>46071.907246909723</v>
      </c>
      <c r="B10069" s="49" t="s">
        <v>10543</v>
      </c>
    </row>
    <row r="10070" spans="1:2">
      <c r="A10070" s="66">
        <v>46071.907249872689</v>
      </c>
      <c r="B10070" s="49" t="s">
        <v>9394</v>
      </c>
    </row>
    <row r="10071" spans="1:2">
      <c r="A10071" s="66">
        <v>46071.908138425926</v>
      </c>
      <c r="B10071" s="49" t="s">
        <v>10556</v>
      </c>
    </row>
    <row r="10072" spans="1:2">
      <c r="A10072" s="66">
        <v>46071.908140983796</v>
      </c>
      <c r="B10072" s="49" t="s">
        <v>10557</v>
      </c>
    </row>
    <row r="10073" spans="1:2">
      <c r="A10073" s="66">
        <v>46071.908144108791</v>
      </c>
      <c r="B10073" s="49" t="s">
        <v>10546</v>
      </c>
    </row>
    <row r="10074" spans="1:2">
      <c r="A10074" s="66">
        <v>46071.908148344912</v>
      </c>
      <c r="B10074" s="49" t="s">
        <v>10466</v>
      </c>
    </row>
    <row r="10075" spans="1:2">
      <c r="A10075" s="66">
        <v>46071.908150844909</v>
      </c>
      <c r="B10075" s="49" t="s">
        <v>10561</v>
      </c>
    </row>
    <row r="10076" spans="1:2">
      <c r="A10076" s="66">
        <v>46071.908153356482</v>
      </c>
      <c r="B10076" s="49" t="s">
        <v>10562</v>
      </c>
    </row>
    <row r="10077" spans="1:2">
      <c r="A10077" s="66">
        <v>46071.908155902776</v>
      </c>
      <c r="B10077" s="49" t="s">
        <v>10563</v>
      </c>
    </row>
    <row r="10078" spans="1:2">
      <c r="A10078" s="66">
        <v>46071.908173483796</v>
      </c>
      <c r="B10078" s="49" t="s">
        <v>10564</v>
      </c>
    </row>
    <row r="10079" spans="1:2">
      <c r="A10079" s="66">
        <v>46071.908176076387</v>
      </c>
      <c r="B10079" s="49" t="s">
        <v>10542</v>
      </c>
    </row>
    <row r="10080" spans="1:2">
      <c r="A10080" s="66">
        <v>46071.908178437501</v>
      </c>
      <c r="B10080" s="49" t="s">
        <v>10543</v>
      </c>
    </row>
    <row r="10081" spans="1:2">
      <c r="A10081" s="66">
        <v>46071.908185208333</v>
      </c>
      <c r="B10081" s="49" t="s">
        <v>9394</v>
      </c>
    </row>
    <row r="10082" spans="1:2">
      <c r="A10082" s="66">
        <v>46071.909284328707</v>
      </c>
      <c r="B10082" s="49" t="s">
        <v>10556</v>
      </c>
    </row>
    <row r="10083" spans="1:2">
      <c r="A10083" s="66">
        <v>46071.909287523144</v>
      </c>
      <c r="B10083" s="49" t="s">
        <v>10557</v>
      </c>
    </row>
    <row r="10084" spans="1:2">
      <c r="A10084" s="66">
        <v>46071.90929033565</v>
      </c>
      <c r="B10084" s="49" t="s">
        <v>10546</v>
      </c>
    </row>
    <row r="10085" spans="1:2">
      <c r="A10085" s="66">
        <v>46071.909293344906</v>
      </c>
      <c r="B10085" s="49" t="s">
        <v>10466</v>
      </c>
    </row>
    <row r="10086" spans="1:2">
      <c r="A10086" s="66">
        <v>46071.909296087964</v>
      </c>
      <c r="B10086" s="49" t="s">
        <v>10561</v>
      </c>
    </row>
    <row r="10087" spans="1:2">
      <c r="A10087" s="66">
        <v>46071.909298900464</v>
      </c>
      <c r="B10087" s="49" t="s">
        <v>10562</v>
      </c>
    </row>
    <row r="10088" spans="1:2">
      <c r="A10088" s="66">
        <v>46071.90930190972</v>
      </c>
      <c r="B10088" s="49" t="s">
        <v>10563</v>
      </c>
    </row>
    <row r="10089" spans="1:2">
      <c r="A10089" s="66">
        <v>46071.909320046296</v>
      </c>
      <c r="B10089" s="49" t="s">
        <v>10564</v>
      </c>
    </row>
    <row r="10090" spans="1:2">
      <c r="A10090" s="66">
        <v>46071.909324247681</v>
      </c>
      <c r="B10090" s="49" t="s">
        <v>10542</v>
      </c>
    </row>
    <row r="10091" spans="1:2">
      <c r="A10091" s="66">
        <v>46071.909329965274</v>
      </c>
      <c r="B10091" s="49" t="s">
        <v>10543</v>
      </c>
    </row>
    <row r="10092" spans="1:2">
      <c r="A10092" s="66">
        <v>46071.909332800926</v>
      </c>
      <c r="B10092" s="49" t="s">
        <v>9394</v>
      </c>
    </row>
    <row r="10093" spans="1:2">
      <c r="A10093" s="66">
        <v>46071.910264143517</v>
      </c>
      <c r="B10093" s="49" t="s">
        <v>10556</v>
      </c>
    </row>
    <row r="10094" spans="1:2">
      <c r="A10094" s="66">
        <v>46071.910266203704</v>
      </c>
      <c r="B10094" s="49" t="s">
        <v>10557</v>
      </c>
    </row>
    <row r="10095" spans="1:2">
      <c r="A10095" s="66">
        <v>46071.91026827546</v>
      </c>
      <c r="B10095" s="49" t="s">
        <v>10546</v>
      </c>
    </row>
    <row r="10096" spans="1:2">
      <c r="A10096" s="66">
        <v>46071.910270277775</v>
      </c>
      <c r="B10096" s="49" t="s">
        <v>10466</v>
      </c>
    </row>
    <row r="10097" spans="1:2">
      <c r="A10097" s="66">
        <v>46071.910272013891</v>
      </c>
      <c r="B10097" s="49" t="s">
        <v>10561</v>
      </c>
    </row>
    <row r="10098" spans="1:2">
      <c r="A10098" s="66">
        <v>46071.910273842594</v>
      </c>
      <c r="B10098" s="49" t="s">
        <v>10562</v>
      </c>
    </row>
    <row r="10099" spans="1:2">
      <c r="A10099" s="66">
        <v>46071.910275833332</v>
      </c>
      <c r="B10099" s="49" t="s">
        <v>10563</v>
      </c>
    </row>
    <row r="10100" spans="1:2">
      <c r="A10100" s="66">
        <v>46071.910294050926</v>
      </c>
      <c r="B10100" s="49" t="s">
        <v>10564</v>
      </c>
    </row>
    <row r="10101" spans="1:2">
      <c r="A10101" s="66">
        <v>46071.910296006943</v>
      </c>
      <c r="B10101" s="49" t="s">
        <v>10542</v>
      </c>
    </row>
    <row r="10102" spans="1:2">
      <c r="A10102" s="66">
        <v>46071.9103025</v>
      </c>
      <c r="B10102" s="49" t="s">
        <v>10543</v>
      </c>
    </row>
    <row r="10103" spans="1:2">
      <c r="A10103" s="66">
        <v>46071.910304317134</v>
      </c>
      <c r="B10103" s="49" t="s">
        <v>9394</v>
      </c>
    </row>
    <row r="10104" spans="1:2">
      <c r="A10104" s="66">
        <v>46071.911691388887</v>
      </c>
      <c r="B10104" s="49" t="s">
        <v>10556</v>
      </c>
    </row>
    <row r="10105" spans="1:2">
      <c r="A10105" s="66">
        <v>46071.911693703703</v>
      </c>
      <c r="B10105" s="49" t="s">
        <v>10557</v>
      </c>
    </row>
    <row r="10106" spans="1:2">
      <c r="A10106" s="66">
        <v>46071.91169930555</v>
      </c>
      <c r="B10106" s="49" t="s">
        <v>10546</v>
      </c>
    </row>
    <row r="10107" spans="1:2">
      <c r="A10107" s="66">
        <v>46071.911701400459</v>
      </c>
      <c r="B10107" s="49" t="s">
        <v>10466</v>
      </c>
    </row>
    <row r="10108" spans="1:2">
      <c r="A10108" s="66">
        <v>46071.911703587961</v>
      </c>
      <c r="B10108" s="49" t="s">
        <v>10561</v>
      </c>
    </row>
    <row r="10109" spans="1:2">
      <c r="A10109" s="66">
        <v>46071.911705624996</v>
      </c>
      <c r="B10109" s="49" t="s">
        <v>10562</v>
      </c>
    </row>
    <row r="10110" spans="1:2">
      <c r="A10110" s="66">
        <v>46071.911707476851</v>
      </c>
      <c r="B10110" s="49" t="s">
        <v>10563</v>
      </c>
    </row>
    <row r="10111" spans="1:2">
      <c r="A10111" s="66">
        <v>46071.911726770835</v>
      </c>
      <c r="B10111" s="49" t="s">
        <v>10564</v>
      </c>
    </row>
    <row r="10112" spans="1:2">
      <c r="A10112" s="66">
        <v>46071.911728958337</v>
      </c>
      <c r="B10112" s="49" t="s">
        <v>10542</v>
      </c>
    </row>
    <row r="10113" spans="1:2">
      <c r="A10113" s="66">
        <v>46071.911731087966</v>
      </c>
      <c r="B10113" s="49" t="s">
        <v>10543</v>
      </c>
    </row>
    <row r="10114" spans="1:2">
      <c r="A10114" s="66">
        <v>46071.911733148147</v>
      </c>
      <c r="B10114" s="49" t="s">
        <v>9394</v>
      </c>
    </row>
    <row r="10115" spans="1:2">
      <c r="A10115" s="66">
        <v>46071.912966076387</v>
      </c>
      <c r="B10115" s="49" t="s">
        <v>10556</v>
      </c>
    </row>
    <row r="10116" spans="1:2">
      <c r="A10116" s="66">
        <v>46071.912969247685</v>
      </c>
      <c r="B10116" s="49" t="s">
        <v>10557</v>
      </c>
    </row>
    <row r="10117" spans="1:2">
      <c r="A10117" s="66">
        <v>46071.912971238431</v>
      </c>
      <c r="B10117" s="49" t="s">
        <v>10546</v>
      </c>
    </row>
    <row r="10118" spans="1:2">
      <c r="A10118" s="66">
        <v>46071.912973240745</v>
      </c>
      <c r="B10118" s="49" t="s">
        <v>10466</v>
      </c>
    </row>
    <row r="10119" spans="1:2">
      <c r="A10119" s="66">
        <v>46071.91298119213</v>
      </c>
      <c r="B10119" s="49" t="s">
        <v>10561</v>
      </c>
    </row>
    <row r="10120" spans="1:2">
      <c r="A10120" s="66">
        <v>46071.912983043978</v>
      </c>
      <c r="B10120" s="49" t="s">
        <v>10562</v>
      </c>
    </row>
    <row r="10121" spans="1:2">
      <c r="A10121" s="66">
        <v>46071.912987152777</v>
      </c>
      <c r="B10121" s="49" t="s">
        <v>10563</v>
      </c>
    </row>
    <row r="10122" spans="1:2">
      <c r="A10122" s="66">
        <v>46071.913015486112</v>
      </c>
      <c r="B10122" s="49" t="s">
        <v>10564</v>
      </c>
    </row>
    <row r="10123" spans="1:2">
      <c r="A10123" s="66">
        <v>46071.913017314815</v>
      </c>
      <c r="B10123" s="49" t="s">
        <v>10542</v>
      </c>
    </row>
    <row r="10124" spans="1:2">
      <c r="A10124" s="66">
        <v>46071.913019513886</v>
      </c>
      <c r="B10124" s="49" t="s">
        <v>10543</v>
      </c>
    </row>
    <row r="10125" spans="1:2">
      <c r="A10125" s="66">
        <v>46071.913022476852</v>
      </c>
      <c r="B10125" s="49" t="s">
        <v>9394</v>
      </c>
    </row>
    <row r="10126" spans="1:2">
      <c r="A10126" s="66">
        <v>46071.913915740741</v>
      </c>
      <c r="B10126" s="49" t="s">
        <v>10556</v>
      </c>
    </row>
    <row r="10127" spans="1:2">
      <c r="A10127" s="66">
        <v>46071.913918379629</v>
      </c>
      <c r="B10127" s="49" t="s">
        <v>10557</v>
      </c>
    </row>
    <row r="10128" spans="1:2">
      <c r="A10128" s="66">
        <v>46071.913921122687</v>
      </c>
      <c r="B10128" s="49" t="s">
        <v>10546</v>
      </c>
    </row>
    <row r="10129" spans="1:2">
      <c r="A10129" s="66">
        <v>46071.913923506945</v>
      </c>
      <c r="B10129" s="49" t="s">
        <v>10466</v>
      </c>
    </row>
    <row r="10130" spans="1:2">
      <c r="A10130" s="66">
        <v>46071.913926412039</v>
      </c>
      <c r="B10130" s="49" t="s">
        <v>10561</v>
      </c>
    </row>
    <row r="10131" spans="1:2">
      <c r="A10131" s="66">
        <v>46071.913928900467</v>
      </c>
      <c r="B10131" s="49" t="s">
        <v>10562</v>
      </c>
    </row>
    <row r="10132" spans="1:2">
      <c r="A10132" s="66">
        <v>46071.913931550924</v>
      </c>
      <c r="B10132" s="49" t="s">
        <v>10563</v>
      </c>
    </row>
    <row r="10133" spans="1:2">
      <c r="A10133" s="66">
        <v>46071.913950300921</v>
      </c>
      <c r="B10133" s="49" t="s">
        <v>10564</v>
      </c>
    </row>
    <row r="10134" spans="1:2">
      <c r="A10134" s="66">
        <v>46071.913952800925</v>
      </c>
      <c r="B10134" s="49" t="s">
        <v>10542</v>
      </c>
    </row>
    <row r="10135" spans="1:2">
      <c r="A10135" s="66">
        <v>46071.913955393524</v>
      </c>
      <c r="B10135" s="49" t="s">
        <v>10543</v>
      </c>
    </row>
    <row r="10136" spans="1:2">
      <c r="A10136" s="66">
        <v>46071.913958055557</v>
      </c>
      <c r="B10136" s="49" t="s">
        <v>9394</v>
      </c>
    </row>
    <row r="10137" spans="1:2">
      <c r="A10137" s="66">
        <v>46071.914725289353</v>
      </c>
      <c r="B10137" s="49" t="s">
        <v>10556</v>
      </c>
    </row>
    <row r="10138" spans="1:2">
      <c r="A10138" s="66">
        <v>46071.91472862268</v>
      </c>
      <c r="B10138" s="49" t="s">
        <v>10557</v>
      </c>
    </row>
    <row r="10139" spans="1:2">
      <c r="A10139" s="66">
        <v>46071.914731701385</v>
      </c>
      <c r="B10139" s="49" t="s">
        <v>10546</v>
      </c>
    </row>
    <row r="10140" spans="1:2">
      <c r="A10140" s="66">
        <v>46071.914734872684</v>
      </c>
      <c r="B10140" s="49" t="s">
        <v>10466</v>
      </c>
    </row>
    <row r="10141" spans="1:2">
      <c r="A10141" s="66">
        <v>46071.914737835643</v>
      </c>
      <c r="B10141" s="49" t="s">
        <v>10561</v>
      </c>
    </row>
    <row r="10142" spans="1:2">
      <c r="A10142" s="66">
        <v>46071.914744224538</v>
      </c>
      <c r="B10142" s="49" t="s">
        <v>10562</v>
      </c>
    </row>
    <row r="10143" spans="1:2">
      <c r="A10143" s="66">
        <v>46071.914747013885</v>
      </c>
      <c r="B10143" s="49" t="s">
        <v>10563</v>
      </c>
    </row>
    <row r="10144" spans="1:2">
      <c r="A10144" s="66">
        <v>46071.914769849536</v>
      </c>
      <c r="B10144" s="49" t="s">
        <v>10564</v>
      </c>
    </row>
    <row r="10145" spans="1:2">
      <c r="A10145" s="66">
        <v>46071.914773645833</v>
      </c>
      <c r="B10145" s="49" t="s">
        <v>10542</v>
      </c>
    </row>
    <row r="10146" spans="1:2">
      <c r="A10146" s="66">
        <v>46071.914776620368</v>
      </c>
      <c r="B10146" s="49" t="s">
        <v>10543</v>
      </c>
    </row>
    <row r="10147" spans="1:2">
      <c r="A10147" s="66">
        <v>46071.914779780098</v>
      </c>
      <c r="B10147" s="49" t="s">
        <v>9394</v>
      </c>
    </row>
    <row r="10148" spans="1:2">
      <c r="A10148" s="66">
        <v>46071.916760821754</v>
      </c>
      <c r="B10148" s="49" t="s">
        <v>10556</v>
      </c>
    </row>
    <row r="10149" spans="1:2">
      <c r="A10149" s="66">
        <v>46071.916762800931</v>
      </c>
      <c r="B10149" s="49" t="s">
        <v>10557</v>
      </c>
    </row>
    <row r="10150" spans="1:2">
      <c r="A10150" s="66">
        <v>46071.916765659727</v>
      </c>
      <c r="B10150" s="49" t="s">
        <v>10546</v>
      </c>
    </row>
    <row r="10151" spans="1:2">
      <c r="A10151" s="66">
        <v>46071.916767465278</v>
      </c>
      <c r="B10151" s="49" t="s">
        <v>10466</v>
      </c>
    </row>
    <row r="10152" spans="1:2">
      <c r="A10152" s="66">
        <v>46071.916769236108</v>
      </c>
      <c r="B10152" s="49" t="s">
        <v>10561</v>
      </c>
    </row>
    <row r="10153" spans="1:2">
      <c r="A10153" s="66">
        <v>46071.916771851851</v>
      </c>
      <c r="B10153" s="49" t="s">
        <v>10562</v>
      </c>
    </row>
    <row r="10154" spans="1:2">
      <c r="A10154" s="66">
        <v>46071.916773761579</v>
      </c>
      <c r="B10154" s="49" t="s">
        <v>10563</v>
      </c>
    </row>
    <row r="10155" spans="1:2">
      <c r="A10155" s="66">
        <v>46071.91679412037</v>
      </c>
      <c r="B10155" s="49" t="s">
        <v>10564</v>
      </c>
    </row>
    <row r="10156" spans="1:2">
      <c r="A10156" s="66">
        <v>46071.916801250001</v>
      </c>
      <c r="B10156" s="49" t="s">
        <v>10542</v>
      </c>
    </row>
    <row r="10157" spans="1:2">
      <c r="A10157" s="66">
        <v>46071.916803252316</v>
      </c>
      <c r="B10157" s="49" t="s">
        <v>10543</v>
      </c>
    </row>
    <row r="10158" spans="1:2">
      <c r="A10158" s="66">
        <v>46071.916805081019</v>
      </c>
      <c r="B10158" s="49" t="s">
        <v>9394</v>
      </c>
    </row>
    <row r="10159" spans="1:2">
      <c r="A10159" s="66">
        <v>46071.917766180559</v>
      </c>
      <c r="B10159" s="49" t="s">
        <v>10556</v>
      </c>
    </row>
    <row r="10160" spans="1:2">
      <c r="A10160" s="66">
        <v>46071.917768611107</v>
      </c>
      <c r="B10160" s="49" t="s">
        <v>10557</v>
      </c>
    </row>
    <row r="10161" spans="1:2">
      <c r="A10161" s="66">
        <v>46071.917770277782</v>
      </c>
      <c r="B10161" s="49" t="s">
        <v>10546</v>
      </c>
    </row>
    <row r="10162" spans="1:2">
      <c r="A10162" s="66">
        <v>46071.91777201389</v>
      </c>
      <c r="B10162" s="49" t="s">
        <v>10466</v>
      </c>
    </row>
    <row r="10163" spans="1:2">
      <c r="A10163" s="66">
        <v>46071.917773807872</v>
      </c>
      <c r="B10163" s="49" t="s">
        <v>10561</v>
      </c>
    </row>
    <row r="10164" spans="1:2">
      <c r="A10164" s="66">
        <v>46071.91777537037</v>
      </c>
      <c r="B10164" s="49" t="s">
        <v>10562</v>
      </c>
    </row>
    <row r="10165" spans="1:2">
      <c r="A10165" s="66">
        <v>46071.917777141207</v>
      </c>
      <c r="B10165" s="49" t="s">
        <v>10563</v>
      </c>
    </row>
    <row r="10166" spans="1:2">
      <c r="A10166" s="66">
        <v>46071.917797824077</v>
      </c>
      <c r="B10166" s="49" t="s">
        <v>10564</v>
      </c>
    </row>
    <row r="10167" spans="1:2">
      <c r="A10167" s="66">
        <v>46071.917799803239</v>
      </c>
      <c r="B10167" s="49" t="s">
        <v>10542</v>
      </c>
    </row>
    <row r="10168" spans="1:2">
      <c r="A10168" s="66">
        <v>46071.917801655094</v>
      </c>
      <c r="B10168" s="49" t="s">
        <v>10543</v>
      </c>
    </row>
    <row r="10169" spans="1:2">
      <c r="A10169" s="66">
        <v>46071.91780354167</v>
      </c>
      <c r="B10169" s="49" t="s">
        <v>9394</v>
      </c>
    </row>
    <row r="10170" spans="1:2">
      <c r="A10170" s="66">
        <v>46071.919017280088</v>
      </c>
      <c r="B10170" s="49" t="s">
        <v>10556</v>
      </c>
    </row>
    <row r="10171" spans="1:2">
      <c r="A10171" s="66">
        <v>46071.91902001157</v>
      </c>
      <c r="B10171" s="49" t="s">
        <v>10557</v>
      </c>
    </row>
    <row r="10172" spans="1:2">
      <c r="A10172" s="66">
        <v>46071.919023101851</v>
      </c>
      <c r="B10172" s="49" t="s">
        <v>10546</v>
      </c>
    </row>
    <row r="10173" spans="1:2">
      <c r="A10173" s="66">
        <v>46071.919025196759</v>
      </c>
      <c r="B10173" s="49" t="s">
        <v>10466</v>
      </c>
    </row>
    <row r="10174" spans="1:2">
      <c r="A10174" s="66">
        <v>46071.919027731477</v>
      </c>
      <c r="B10174" s="49" t="s">
        <v>10561</v>
      </c>
    </row>
    <row r="10175" spans="1:2">
      <c r="A10175" s="66">
        <v>46071.919030173609</v>
      </c>
      <c r="B10175" s="49" t="s">
        <v>10562</v>
      </c>
    </row>
    <row r="10176" spans="1:2">
      <c r="A10176" s="66">
        <v>46071.919034837963</v>
      </c>
      <c r="B10176" s="49" t="s">
        <v>10563</v>
      </c>
    </row>
    <row r="10177" spans="1:2">
      <c r="A10177" s="66">
        <v>46071.919055289356</v>
      </c>
      <c r="B10177" s="49" t="s">
        <v>10564</v>
      </c>
    </row>
    <row r="10178" spans="1:2">
      <c r="A10178" s="66">
        <v>46071.919058912041</v>
      </c>
      <c r="B10178" s="49" t="s">
        <v>10542</v>
      </c>
    </row>
    <row r="10179" spans="1:2">
      <c r="A10179" s="66">
        <v>46071.919061192129</v>
      </c>
      <c r="B10179" s="49" t="s">
        <v>10543</v>
      </c>
    </row>
    <row r="10180" spans="1:2">
      <c r="A10180" s="66">
        <v>46071.919063576388</v>
      </c>
      <c r="B10180" s="49" t="s">
        <v>9394</v>
      </c>
    </row>
    <row r="10181" spans="1:2">
      <c r="A10181" s="66">
        <v>46071.92031376157</v>
      </c>
      <c r="B10181" s="49" t="s">
        <v>10556</v>
      </c>
    </row>
    <row r="10182" spans="1:2">
      <c r="A10182" s="66">
        <v>46071.920315960648</v>
      </c>
      <c r="B10182" s="49" t="s">
        <v>10557</v>
      </c>
    </row>
    <row r="10183" spans="1:2">
      <c r="A10183" s="66">
        <v>46071.92031799769</v>
      </c>
      <c r="B10183" s="49" t="s">
        <v>10546</v>
      </c>
    </row>
    <row r="10184" spans="1:2">
      <c r="A10184" s="66">
        <v>46071.920320937497</v>
      </c>
      <c r="B10184" s="49" t="s">
        <v>10466</v>
      </c>
    </row>
    <row r="10185" spans="1:2">
      <c r="A10185" s="66">
        <v>46071.92032568287</v>
      </c>
      <c r="B10185" s="49" t="s">
        <v>10561</v>
      </c>
    </row>
    <row r="10186" spans="1:2">
      <c r="A10186" s="66">
        <v>46071.92032881944</v>
      </c>
      <c r="B10186" s="49" t="s">
        <v>10562</v>
      </c>
    </row>
    <row r="10187" spans="1:2">
      <c r="A10187" s="66">
        <v>46071.920332650465</v>
      </c>
      <c r="B10187" s="49" t="s">
        <v>10563</v>
      </c>
    </row>
    <row r="10188" spans="1:2">
      <c r="A10188" s="66">
        <v>46071.92035158565</v>
      </c>
      <c r="B10188" s="49" t="s">
        <v>10564</v>
      </c>
    </row>
    <row r="10189" spans="1:2">
      <c r="A10189" s="66">
        <v>46071.920355208335</v>
      </c>
      <c r="B10189" s="49" t="s">
        <v>10542</v>
      </c>
    </row>
    <row r="10190" spans="1:2">
      <c r="A10190" s="66">
        <v>46071.920357395837</v>
      </c>
      <c r="B10190" s="49" t="s">
        <v>10543</v>
      </c>
    </row>
    <row r="10191" spans="1:2">
      <c r="A10191" s="66">
        <v>46071.920359942131</v>
      </c>
      <c r="B10191" s="49" t="s">
        <v>9394</v>
      </c>
    </row>
    <row r="10192" spans="1:2">
      <c r="A10192" s="66">
        <v>46071.921226527775</v>
      </c>
      <c r="B10192" s="49" t="s">
        <v>10556</v>
      </c>
    </row>
    <row r="10193" spans="1:2">
      <c r="A10193" s="66">
        <v>46071.921229837964</v>
      </c>
      <c r="B10193" s="49" t="s">
        <v>10557</v>
      </c>
    </row>
    <row r="10194" spans="1:2">
      <c r="A10194" s="66">
        <v>46071.921233182875</v>
      </c>
      <c r="B10194" s="49" t="s">
        <v>10546</v>
      </c>
    </row>
    <row r="10195" spans="1:2">
      <c r="A10195" s="66">
        <v>46071.921236261573</v>
      </c>
      <c r="B10195" s="49" t="s">
        <v>10466</v>
      </c>
    </row>
    <row r="10196" spans="1:2">
      <c r="A10196" s="66">
        <v>46071.921239270829</v>
      </c>
      <c r="B10196" s="49" t="s">
        <v>10561</v>
      </c>
    </row>
    <row r="10197" spans="1:2">
      <c r="A10197" s="66">
        <v>46071.921242222219</v>
      </c>
      <c r="B10197" s="49" t="s">
        <v>10562</v>
      </c>
    </row>
    <row r="10198" spans="1:2">
      <c r="A10198" s="66">
        <v>46071.921245358797</v>
      </c>
      <c r="B10198" s="49" t="s">
        <v>10563</v>
      </c>
    </row>
    <row r="10199" spans="1:2">
      <c r="A10199" s="66">
        <v>46071.921265543977</v>
      </c>
      <c r="B10199" s="49" t="s">
        <v>10564</v>
      </c>
    </row>
    <row r="10200" spans="1:2">
      <c r="A10200" s="66">
        <v>46071.92127136574</v>
      </c>
      <c r="B10200" s="49" t="s">
        <v>10542</v>
      </c>
    </row>
    <row r="10201" spans="1:2">
      <c r="A10201" s="66">
        <v>46071.921274351851</v>
      </c>
      <c r="B10201" s="49" t="s">
        <v>10543</v>
      </c>
    </row>
    <row r="10202" spans="1:2">
      <c r="A10202" s="66">
        <v>46071.921283055555</v>
      </c>
      <c r="B10202" s="49" t="s">
        <v>9394</v>
      </c>
    </row>
    <row r="10203" spans="1:2">
      <c r="A10203" s="66">
        <v>46071.922404699071</v>
      </c>
      <c r="B10203" s="49" t="s">
        <v>10556</v>
      </c>
    </row>
    <row r="10204" spans="1:2">
      <c r="A10204" s="66">
        <v>46071.922407789352</v>
      </c>
      <c r="B10204" s="49" t="s">
        <v>10557</v>
      </c>
    </row>
    <row r="10205" spans="1:2">
      <c r="A10205" s="66">
        <v>46071.92241082176</v>
      </c>
      <c r="B10205" s="49" t="s">
        <v>10546</v>
      </c>
    </row>
    <row r="10206" spans="1:2">
      <c r="A10206" s="66">
        <v>46071.922413715278</v>
      </c>
      <c r="B10206" s="49" t="s">
        <v>10466</v>
      </c>
    </row>
    <row r="10207" spans="1:2">
      <c r="A10207" s="66">
        <v>46071.922423425931</v>
      </c>
      <c r="B10207" s="49" t="s">
        <v>10561</v>
      </c>
    </row>
    <row r="10208" spans="1:2">
      <c r="A10208" s="66">
        <v>46071.922430578707</v>
      </c>
      <c r="B10208" s="49" t="s">
        <v>10562</v>
      </c>
    </row>
    <row r="10209" spans="1:2">
      <c r="A10209" s="66">
        <v>46071.922433263884</v>
      </c>
      <c r="B10209" s="49" t="s">
        <v>10563</v>
      </c>
    </row>
    <row r="10210" spans="1:2">
      <c r="A10210" s="66">
        <v>46071.922452893516</v>
      </c>
      <c r="B10210" s="49" t="s">
        <v>10564</v>
      </c>
    </row>
    <row r="10211" spans="1:2">
      <c r="A10211" s="66">
        <v>46071.922455775464</v>
      </c>
      <c r="B10211" s="49" t="s">
        <v>10542</v>
      </c>
    </row>
    <row r="10212" spans="1:2">
      <c r="A10212" s="66">
        <v>46071.922458993053</v>
      </c>
      <c r="B10212" s="49" t="s">
        <v>10543</v>
      </c>
    </row>
    <row r="10213" spans="1:2">
      <c r="A10213" s="66">
        <v>46071.922462025468</v>
      </c>
      <c r="B10213" s="49" t="s">
        <v>9394</v>
      </c>
    </row>
    <row r="10214" spans="1:2">
      <c r="A10214" s="66">
        <v>46071.923878622685</v>
      </c>
      <c r="B10214" s="49" t="s">
        <v>10556</v>
      </c>
    </row>
    <row r="10215" spans="1:2">
      <c r="A10215" s="66">
        <v>46071.92388130787</v>
      </c>
      <c r="B10215" s="49" t="s">
        <v>10557</v>
      </c>
    </row>
    <row r="10216" spans="1:2">
      <c r="A10216" s="66">
        <v>46071.923884247684</v>
      </c>
      <c r="B10216" s="49" t="s">
        <v>10546</v>
      </c>
    </row>
    <row r="10217" spans="1:2">
      <c r="A10217" s="66">
        <v>46071.923886365737</v>
      </c>
      <c r="B10217" s="49" t="s">
        <v>10466</v>
      </c>
    </row>
    <row r="10218" spans="1:2">
      <c r="A10218" s="66">
        <v>46071.923889120371</v>
      </c>
      <c r="B10218" s="49" t="s">
        <v>10561</v>
      </c>
    </row>
    <row r="10219" spans="1:2">
      <c r="A10219" s="66">
        <v>46071.923891666665</v>
      </c>
      <c r="B10219" s="49" t="s">
        <v>10562</v>
      </c>
    </row>
    <row r="10220" spans="1:2">
      <c r="A10220" s="66">
        <v>46071.923894120366</v>
      </c>
      <c r="B10220" s="49" t="s">
        <v>10563</v>
      </c>
    </row>
    <row r="10221" spans="1:2">
      <c r="A10221" s="66">
        <v>46071.925867372687</v>
      </c>
      <c r="B10221" s="49" t="s">
        <v>10556</v>
      </c>
    </row>
    <row r="10222" spans="1:2">
      <c r="A10222" s="66">
        <v>46071.925869120372</v>
      </c>
      <c r="B10222" s="49" t="s">
        <v>10557</v>
      </c>
    </row>
    <row r="10223" spans="1:2">
      <c r="A10223" s="66">
        <v>46071.92588516204</v>
      </c>
      <c r="B10223" s="49" t="s">
        <v>10546</v>
      </c>
    </row>
    <row r="10224" spans="1:2">
      <c r="A10224" s="66">
        <v>46071.925886793979</v>
      </c>
      <c r="B10224" s="49" t="s">
        <v>10466</v>
      </c>
    </row>
    <row r="10225" spans="1:2">
      <c r="A10225" s="66">
        <v>46071.92588998843</v>
      </c>
      <c r="B10225" s="49" t="s">
        <v>10561</v>
      </c>
    </row>
    <row r="10226" spans="1:2">
      <c r="A10226" s="66">
        <v>46071.925891828709</v>
      </c>
      <c r="B10226" s="49" t="s">
        <v>10562</v>
      </c>
    </row>
    <row r="10227" spans="1:2">
      <c r="A10227" s="66">
        <v>46071.925893518521</v>
      </c>
      <c r="B10227" s="49" t="s">
        <v>10563</v>
      </c>
    </row>
    <row r="10228" spans="1:2">
      <c r="A10228" s="66">
        <v>46071.92680533565</v>
      </c>
      <c r="B10228" s="49" t="s">
        <v>10564</v>
      </c>
    </row>
    <row r="10229" spans="1:2">
      <c r="A10229" s="66">
        <v>46071.926808159726</v>
      </c>
      <c r="B10229" s="49" t="s">
        <v>10542</v>
      </c>
    </row>
    <row r="10230" spans="1:2">
      <c r="A10230" s="66">
        <v>46071.926809803241</v>
      </c>
      <c r="B10230" s="49" t="s">
        <v>10543</v>
      </c>
    </row>
    <row r="10231" spans="1:2">
      <c r="A10231" s="66">
        <v>46071.926811527781</v>
      </c>
      <c r="B10231" s="49" t="s">
        <v>9394</v>
      </c>
    </row>
    <row r="10232" spans="1:2">
      <c r="A10232" s="66">
        <v>46071.927032754626</v>
      </c>
      <c r="B10232" s="49" t="s">
        <v>10564</v>
      </c>
    </row>
    <row r="10233" spans="1:2">
      <c r="A10233" s="66">
        <v>46071.927036747686</v>
      </c>
      <c r="B10233" s="49" t="s">
        <v>10542</v>
      </c>
    </row>
    <row r="10234" spans="1:2">
      <c r="A10234" s="66">
        <v>46071.927039826391</v>
      </c>
      <c r="B10234" s="49" t="s">
        <v>10543</v>
      </c>
    </row>
    <row r="10235" spans="1:2">
      <c r="A10235" s="66">
        <v>46071.927043773147</v>
      </c>
      <c r="B10235" s="49" t="s">
        <v>9394</v>
      </c>
    </row>
    <row r="10236" spans="1:2">
      <c r="A10236" s="66">
        <v>46071.927279016207</v>
      </c>
      <c r="B10236" s="49" t="s">
        <v>10556</v>
      </c>
    </row>
    <row r="10237" spans="1:2">
      <c r="A10237" s="66">
        <v>46071.927280949079</v>
      </c>
      <c r="B10237" s="49" t="s">
        <v>10557</v>
      </c>
    </row>
    <row r="10238" spans="1:2">
      <c r="A10238" s="66">
        <v>46071.927286215279</v>
      </c>
      <c r="B10238" s="49" t="s">
        <v>10546</v>
      </c>
    </row>
    <row r="10239" spans="1:2">
      <c r="A10239" s="66">
        <v>46071.927287905091</v>
      </c>
      <c r="B10239" s="49" t="s">
        <v>10466</v>
      </c>
    </row>
    <row r="10240" spans="1:2">
      <c r="A10240" s="66">
        <v>46071.927289664352</v>
      </c>
      <c r="B10240" s="49" t="s">
        <v>10561</v>
      </c>
    </row>
    <row r="10241" spans="1:2">
      <c r="A10241" s="66">
        <v>46071.927291250002</v>
      </c>
      <c r="B10241" s="49" t="s">
        <v>10562</v>
      </c>
    </row>
    <row r="10242" spans="1:2">
      <c r="A10242" s="66">
        <v>46071.927292916662</v>
      </c>
      <c r="B10242" s="49" t="s">
        <v>10563</v>
      </c>
    </row>
    <row r="10243" spans="1:2">
      <c r="A10243" s="66">
        <v>46071.927308321756</v>
      </c>
      <c r="B10243" s="49" t="s">
        <v>10564</v>
      </c>
    </row>
    <row r="10244" spans="1:2">
      <c r="A10244" s="66">
        <v>46071.927310127314</v>
      </c>
      <c r="B10244" s="49" t="s">
        <v>10542</v>
      </c>
    </row>
    <row r="10245" spans="1:2">
      <c r="A10245" s="66">
        <v>46071.927314456014</v>
      </c>
      <c r="B10245" s="49" t="s">
        <v>10543</v>
      </c>
    </row>
    <row r="10246" spans="1:2">
      <c r="A10246" s="66">
        <v>46071.927316076384</v>
      </c>
      <c r="B10246" s="49" t="s">
        <v>9394</v>
      </c>
    </row>
    <row r="10247" spans="1:2">
      <c r="A10247" s="66">
        <v>46071.92815467593</v>
      </c>
      <c r="B10247" s="49" t="s">
        <v>10556</v>
      </c>
    </row>
    <row r="10248" spans="1:2">
      <c r="A10248" s="66">
        <v>46071.92815792824</v>
      </c>
      <c r="B10248" s="49" t="s">
        <v>10557</v>
      </c>
    </row>
    <row r="10249" spans="1:2">
      <c r="A10249" s="66">
        <v>46071.928160960648</v>
      </c>
      <c r="B10249" s="49" t="s">
        <v>10546</v>
      </c>
    </row>
    <row r="10250" spans="1:2">
      <c r="A10250" s="66">
        <v>46071.928163715274</v>
      </c>
      <c r="B10250" s="49" t="s">
        <v>10466</v>
      </c>
    </row>
    <row r="10251" spans="1:2">
      <c r="A10251" s="66">
        <v>46071.928170011575</v>
      </c>
      <c r="B10251" s="49" t="s">
        <v>10561</v>
      </c>
    </row>
    <row r="10252" spans="1:2">
      <c r="A10252" s="66">
        <v>46071.928172858796</v>
      </c>
      <c r="B10252" s="49" t="s">
        <v>10562</v>
      </c>
    </row>
    <row r="10253" spans="1:2">
      <c r="A10253" s="66">
        <v>46071.928175671295</v>
      </c>
      <c r="B10253" s="49" t="s">
        <v>10563</v>
      </c>
    </row>
    <row r="10254" spans="1:2">
      <c r="A10254" s="66">
        <v>46071.928205173608</v>
      </c>
      <c r="B10254" s="49" t="s">
        <v>10564</v>
      </c>
    </row>
    <row r="10255" spans="1:2">
      <c r="A10255" s="66">
        <v>46071.928208275465</v>
      </c>
      <c r="B10255" s="49" t="s">
        <v>10542</v>
      </c>
    </row>
    <row r="10256" spans="1:2">
      <c r="A10256" s="66">
        <v>46071.928211134262</v>
      </c>
      <c r="B10256" s="49" t="s">
        <v>10543</v>
      </c>
    </row>
    <row r="10257" spans="1:2">
      <c r="A10257" s="66">
        <v>46071.928221944443</v>
      </c>
      <c r="B10257" s="49" t="s">
        <v>9394</v>
      </c>
    </row>
    <row r="10258" spans="1:2">
      <c r="A10258" s="66">
        <v>46071.929271724541</v>
      </c>
      <c r="B10258" s="49" t="s">
        <v>10556</v>
      </c>
    </row>
    <row r="10259" spans="1:2">
      <c r="A10259" s="66">
        <v>46071.929275150462</v>
      </c>
      <c r="B10259" s="49" t="s">
        <v>10557</v>
      </c>
    </row>
    <row r="10260" spans="1:2">
      <c r="A10260" s="66">
        <v>46071.929277662042</v>
      </c>
      <c r="B10260" s="49" t="s">
        <v>10546</v>
      </c>
    </row>
    <row r="10261" spans="1:2">
      <c r="A10261" s="66">
        <v>46071.929279479169</v>
      </c>
      <c r="B10261" s="49" t="s">
        <v>10466</v>
      </c>
    </row>
    <row r="10262" spans="1:2">
      <c r="A10262" s="66">
        <v>46071.929283032412</v>
      </c>
      <c r="B10262" s="49" t="s">
        <v>10561</v>
      </c>
    </row>
    <row r="10263" spans="1:2">
      <c r="A10263" s="66">
        <v>46071.929285104168</v>
      </c>
      <c r="B10263" s="49" t="s">
        <v>10562</v>
      </c>
    </row>
    <row r="10264" spans="1:2">
      <c r="A10264" s="66">
        <v>46071.929287476851</v>
      </c>
      <c r="B10264" s="49" t="s">
        <v>10563</v>
      </c>
    </row>
    <row r="10265" spans="1:2">
      <c r="A10265" s="66">
        <v>46071.929309386571</v>
      </c>
      <c r="B10265" s="49" t="s">
        <v>10564</v>
      </c>
    </row>
    <row r="10266" spans="1:2">
      <c r="A10266" s="66">
        <v>46071.929311574073</v>
      </c>
      <c r="B10266" s="49" t="s">
        <v>10542</v>
      </c>
    </row>
    <row r="10267" spans="1:2">
      <c r="A10267" s="66">
        <v>46071.929313611108</v>
      </c>
      <c r="B10267" s="49" t="s">
        <v>10543</v>
      </c>
    </row>
    <row r="10268" spans="1:2">
      <c r="A10268" s="66">
        <v>46071.929316307869</v>
      </c>
      <c r="B10268" s="49" t="s">
        <v>9394</v>
      </c>
    </row>
    <row r="10269" spans="1:2">
      <c r="A10269" s="66">
        <v>46071.930709143518</v>
      </c>
      <c r="B10269" s="49" t="s">
        <v>10556</v>
      </c>
    </row>
    <row r="10270" spans="1:2">
      <c r="A10270" s="66">
        <v>46071.930710972221</v>
      </c>
      <c r="B10270" s="49" t="s">
        <v>10557</v>
      </c>
    </row>
    <row r="10271" spans="1:2">
      <c r="A10271" s="66">
        <v>46071.930721516204</v>
      </c>
      <c r="B10271" s="49" t="s">
        <v>10546</v>
      </c>
    </row>
    <row r="10272" spans="1:2">
      <c r="A10272" s="66">
        <v>46071.930723275465</v>
      </c>
      <c r="B10272" s="49" t="s">
        <v>10466</v>
      </c>
    </row>
    <row r="10273" spans="1:2">
      <c r="A10273" s="66">
        <v>46071.930724872684</v>
      </c>
      <c r="B10273" s="49" t="s">
        <v>10561</v>
      </c>
    </row>
    <row r="10274" spans="1:2">
      <c r="A10274" s="66">
        <v>46071.930726539351</v>
      </c>
      <c r="B10274" s="49" t="s">
        <v>10562</v>
      </c>
    </row>
    <row r="10275" spans="1:2">
      <c r="A10275" s="66">
        <v>46071.930728287036</v>
      </c>
      <c r="B10275" s="49" t="s">
        <v>10563</v>
      </c>
    </row>
    <row r="10276" spans="1:2">
      <c r="A10276" s="66">
        <v>46071.930746493061</v>
      </c>
      <c r="B10276" s="49" t="s">
        <v>10564</v>
      </c>
    </row>
    <row r="10277" spans="1:2">
      <c r="A10277" s="66">
        <v>46071.930748263891</v>
      </c>
      <c r="B10277" s="49" t="s">
        <v>10542</v>
      </c>
    </row>
    <row r="10278" spans="1:2">
      <c r="A10278" s="66">
        <v>46071.930749768522</v>
      </c>
      <c r="B10278" s="49" t="s">
        <v>10543</v>
      </c>
    </row>
    <row r="10279" spans="1:2">
      <c r="A10279" s="66">
        <v>46071.93075190972</v>
      </c>
      <c r="B10279" s="49" t="s">
        <v>9394</v>
      </c>
    </row>
    <row r="10280" spans="1:2">
      <c r="A10280" s="66">
        <v>46071.932116111115</v>
      </c>
      <c r="B10280" s="49" t="s">
        <v>10556</v>
      </c>
    </row>
    <row r="10281" spans="1:2">
      <c r="A10281" s="66">
        <v>46071.93211918982</v>
      </c>
      <c r="B10281" s="49" t="s">
        <v>10557</v>
      </c>
    </row>
    <row r="10282" spans="1:2">
      <c r="A10282" s="66">
        <v>46071.932123206017</v>
      </c>
      <c r="B10282" s="49" t="s">
        <v>10546</v>
      </c>
    </row>
    <row r="10283" spans="1:2">
      <c r="A10283" s="66">
        <v>46071.932127002314</v>
      </c>
      <c r="B10283" s="49" t="s">
        <v>10466</v>
      </c>
    </row>
    <row r="10284" spans="1:2">
      <c r="A10284" s="66">
        <v>46071.932141307872</v>
      </c>
      <c r="B10284" s="49" t="s">
        <v>10561</v>
      </c>
    </row>
    <row r="10285" spans="1:2">
      <c r="A10285" s="66">
        <v>46071.932144317128</v>
      </c>
      <c r="B10285" s="49" t="s">
        <v>10562</v>
      </c>
    </row>
    <row r="10286" spans="1:2">
      <c r="A10286" s="66">
        <v>46071.932147870371</v>
      </c>
      <c r="B10286" s="49" t="s">
        <v>10563</v>
      </c>
    </row>
    <row r="10287" spans="1:2">
      <c r="A10287" s="66">
        <v>46071.932171319444</v>
      </c>
      <c r="B10287" s="49" t="s">
        <v>10564</v>
      </c>
    </row>
    <row r="10288" spans="1:2">
      <c r="A10288" s="66">
        <v>46071.932174421294</v>
      </c>
      <c r="B10288" s="49" t="s">
        <v>10542</v>
      </c>
    </row>
    <row r="10289" spans="1:2">
      <c r="A10289" s="66">
        <v>46071.932177476847</v>
      </c>
      <c r="B10289" s="49" t="s">
        <v>10543</v>
      </c>
    </row>
    <row r="10290" spans="1:2">
      <c r="A10290" s="66">
        <v>46071.932180300922</v>
      </c>
      <c r="B10290" s="49" t="s">
        <v>9394</v>
      </c>
    </row>
    <row r="10291" spans="1:2">
      <c r="A10291" s="66">
        <v>46071.933040775461</v>
      </c>
      <c r="B10291" s="49" t="s">
        <v>10556</v>
      </c>
    </row>
    <row r="10292" spans="1:2">
      <c r="A10292" s="66">
        <v>46071.933043807869</v>
      </c>
      <c r="B10292" s="49" t="s">
        <v>10557</v>
      </c>
    </row>
    <row r="10293" spans="1:2">
      <c r="A10293" s="66">
        <v>46071.933050451393</v>
      </c>
      <c r="B10293" s="49" t="s">
        <v>10546</v>
      </c>
    </row>
    <row r="10294" spans="1:2">
      <c r="A10294" s="66">
        <v>46071.933052870372</v>
      </c>
      <c r="B10294" s="49" t="s">
        <v>10466</v>
      </c>
    </row>
    <row r="10295" spans="1:2">
      <c r="A10295" s="66">
        <v>46071.933055324072</v>
      </c>
      <c r="B10295" s="49" t="s">
        <v>10561</v>
      </c>
    </row>
    <row r="10296" spans="1:2">
      <c r="A10296" s="66">
        <v>46071.933057280097</v>
      </c>
      <c r="B10296" s="49" t="s">
        <v>10562</v>
      </c>
    </row>
    <row r="10297" spans="1:2">
      <c r="A10297" s="66">
        <v>46071.933059398143</v>
      </c>
      <c r="B10297" s="49" t="s">
        <v>10563</v>
      </c>
    </row>
    <row r="10298" spans="1:2">
      <c r="A10298" s="66">
        <v>46071.933077893518</v>
      </c>
      <c r="B10298" s="49" t="s">
        <v>10564</v>
      </c>
    </row>
    <row r="10299" spans="1:2">
      <c r="A10299" s="66">
        <v>46071.933081145835</v>
      </c>
      <c r="B10299" s="49" t="s">
        <v>10542</v>
      </c>
    </row>
    <row r="10300" spans="1:2">
      <c r="A10300" s="66">
        <v>46071.933083587966</v>
      </c>
      <c r="B10300" s="49" t="s">
        <v>10543</v>
      </c>
    </row>
    <row r="10301" spans="1:2">
      <c r="A10301" s="66">
        <v>46071.933086006946</v>
      </c>
      <c r="B10301" s="49" t="s">
        <v>9394</v>
      </c>
    </row>
    <row r="10302" spans="1:2">
      <c r="A10302" s="66">
        <v>46071.934183819445</v>
      </c>
      <c r="B10302" s="49" t="s">
        <v>10556</v>
      </c>
    </row>
    <row r="10303" spans="1:2">
      <c r="A10303" s="66">
        <v>46071.93418575231</v>
      </c>
      <c r="B10303" s="49" t="s">
        <v>10557</v>
      </c>
    </row>
    <row r="10304" spans="1:2">
      <c r="A10304" s="66">
        <v>46071.934187465275</v>
      </c>
      <c r="B10304" s="49" t="s">
        <v>10546</v>
      </c>
    </row>
    <row r="10305" spans="1:2">
      <c r="A10305" s="66">
        <v>46071.934188981482</v>
      </c>
      <c r="B10305" s="49" t="s">
        <v>10466</v>
      </c>
    </row>
    <row r="10306" spans="1:2">
      <c r="A10306" s="66">
        <v>46071.934190439817</v>
      </c>
      <c r="B10306" s="49" t="s">
        <v>10561</v>
      </c>
    </row>
    <row r="10307" spans="1:2">
      <c r="A10307" s="66">
        <v>46071.934196481481</v>
      </c>
      <c r="B10307" s="49" t="s">
        <v>10562</v>
      </c>
    </row>
    <row r="10308" spans="1:2">
      <c r="A10308" s="66">
        <v>46071.934199386575</v>
      </c>
      <c r="B10308" s="49" t="s">
        <v>10563</v>
      </c>
    </row>
    <row r="10309" spans="1:2">
      <c r="A10309" s="66">
        <v>46071.934212754626</v>
      </c>
      <c r="B10309" s="49" t="s">
        <v>10564</v>
      </c>
    </row>
    <row r="10310" spans="1:2">
      <c r="A10310" s="66">
        <v>46071.934216238427</v>
      </c>
      <c r="B10310" s="49" t="s">
        <v>10542</v>
      </c>
    </row>
    <row r="10311" spans="1:2">
      <c r="A10311" s="66">
        <v>46071.934217858798</v>
      </c>
      <c r="B10311" s="49" t="s">
        <v>10543</v>
      </c>
    </row>
    <row r="10312" spans="1:2">
      <c r="A10312" s="66">
        <v>46071.934219618051</v>
      </c>
      <c r="B10312" s="49" t="s">
        <v>9394</v>
      </c>
    </row>
    <row r="10313" spans="1:2">
      <c r="A10313" s="66">
        <v>46071.935214803241</v>
      </c>
      <c r="B10313" s="49" t="s">
        <v>10556</v>
      </c>
    </row>
    <row r="10314" spans="1:2">
      <c r="A10314" s="66">
        <v>46071.935218032406</v>
      </c>
      <c r="B10314" s="49" t="s">
        <v>10557</v>
      </c>
    </row>
    <row r="10315" spans="1:2">
      <c r="A10315" s="66">
        <v>46071.935221979162</v>
      </c>
      <c r="B10315" s="49" t="s">
        <v>10546</v>
      </c>
    </row>
    <row r="10316" spans="1:2">
      <c r="A10316" s="66">
        <v>46071.935225011577</v>
      </c>
      <c r="B10316" s="49" t="s">
        <v>10466</v>
      </c>
    </row>
    <row r="10317" spans="1:2">
      <c r="A10317" s="66">
        <v>46071.935227442125</v>
      </c>
      <c r="B10317" s="49" t="s">
        <v>10561</v>
      </c>
    </row>
    <row r="10318" spans="1:2">
      <c r="A10318" s="66">
        <v>46071.935229965282</v>
      </c>
      <c r="B10318" s="49" t="s">
        <v>10562</v>
      </c>
    </row>
    <row r="10319" spans="1:2">
      <c r="A10319" s="66">
        <v>46071.93523231482</v>
      </c>
      <c r="B10319" s="49" t="s">
        <v>10563</v>
      </c>
    </row>
    <row r="10320" spans="1:2">
      <c r="A10320" s="66">
        <v>46071.935249074071</v>
      </c>
      <c r="B10320" s="49" t="s">
        <v>10564</v>
      </c>
    </row>
    <row r="10321" spans="1:2">
      <c r="A10321" s="66">
        <v>46071.93525174768</v>
      </c>
      <c r="B10321" s="49" t="s">
        <v>10542</v>
      </c>
    </row>
    <row r="10322" spans="1:2">
      <c r="A10322" s="66">
        <v>46071.935254340278</v>
      </c>
      <c r="B10322" s="49" t="s">
        <v>10543</v>
      </c>
    </row>
    <row r="10323" spans="1:2">
      <c r="A10323" s="66">
        <v>46071.935257245372</v>
      </c>
      <c r="B10323" s="49" t="s">
        <v>9394</v>
      </c>
    </row>
    <row r="10324" spans="1:2">
      <c r="A10324" s="66">
        <v>46071.936644861111</v>
      </c>
      <c r="B10324" s="49" t="s">
        <v>10556</v>
      </c>
    </row>
    <row r="10325" spans="1:2">
      <c r="A10325" s="66">
        <v>46071.936647118055</v>
      </c>
      <c r="B10325" s="49" t="s">
        <v>10557</v>
      </c>
    </row>
    <row r="10326" spans="1:2">
      <c r="A10326" s="66">
        <v>46071.936649131945</v>
      </c>
      <c r="B10326" s="49" t="s">
        <v>10546</v>
      </c>
    </row>
    <row r="10327" spans="1:2">
      <c r="A10327" s="66">
        <v>46071.936650810181</v>
      </c>
      <c r="B10327" s="49" t="s">
        <v>10466</v>
      </c>
    </row>
    <row r="10328" spans="1:2">
      <c r="A10328" s="66">
        <v>46071.936652523145</v>
      </c>
      <c r="B10328" s="49" t="s">
        <v>10561</v>
      </c>
    </row>
    <row r="10329" spans="1:2">
      <c r="A10329" s="66">
        <v>46071.936654467594</v>
      </c>
      <c r="B10329" s="49" t="s">
        <v>10562</v>
      </c>
    </row>
    <row r="10330" spans="1:2">
      <c r="A10330" s="66">
        <v>46071.936656400459</v>
      </c>
      <c r="B10330" s="49" t="s">
        <v>10563</v>
      </c>
    </row>
    <row r="10331" spans="1:2">
      <c r="A10331" s="66">
        <v>46071.936669189818</v>
      </c>
      <c r="B10331" s="49" t="s">
        <v>10564</v>
      </c>
    </row>
    <row r="10332" spans="1:2">
      <c r="A10332" s="66">
        <v>46071.936671238422</v>
      </c>
      <c r="B10332" s="49" t="s">
        <v>10542</v>
      </c>
    </row>
    <row r="10333" spans="1:2">
      <c r="A10333" s="66">
        <v>46071.93667289352</v>
      </c>
      <c r="B10333" s="49" t="s">
        <v>10543</v>
      </c>
    </row>
    <row r="10334" spans="1:2">
      <c r="A10334" s="66">
        <v>46071.936674791665</v>
      </c>
      <c r="B10334" s="49" t="s">
        <v>9394</v>
      </c>
    </row>
    <row r="10335" spans="1:2">
      <c r="A10335" s="66">
        <v>46071.938015428241</v>
      </c>
      <c r="B10335" s="49" t="s">
        <v>10556</v>
      </c>
    </row>
    <row r="10336" spans="1:2">
      <c r="A10336" s="66">
        <v>46071.938017488428</v>
      </c>
      <c r="B10336" s="49" t="s">
        <v>10557</v>
      </c>
    </row>
    <row r="10337" spans="1:2">
      <c r="A10337" s="66">
        <v>46071.938019363428</v>
      </c>
      <c r="B10337" s="49" t="s">
        <v>10546</v>
      </c>
    </row>
    <row r="10338" spans="1:2">
      <c r="A10338" s="66">
        <v>46071.938021145834</v>
      </c>
      <c r="B10338" s="49" t="s">
        <v>10466</v>
      </c>
    </row>
    <row r="10339" spans="1:2">
      <c r="A10339" s="66">
        <v>46071.938024166666</v>
      </c>
      <c r="B10339" s="49" t="s">
        <v>10561</v>
      </c>
    </row>
    <row r="10340" spans="1:2">
      <c r="A10340" s="66">
        <v>46071.938025856478</v>
      </c>
      <c r="B10340" s="49" t="s">
        <v>10562</v>
      </c>
    </row>
    <row r="10341" spans="1:2">
      <c r="A10341" s="66">
        <v>46071.938027627315</v>
      </c>
      <c r="B10341" s="49" t="s">
        <v>10563</v>
      </c>
    </row>
    <row r="10342" spans="1:2">
      <c r="A10342" s="66">
        <v>46071.938043171293</v>
      </c>
      <c r="B10342" s="49" t="s">
        <v>10564</v>
      </c>
    </row>
    <row r="10343" spans="1:2">
      <c r="A10343" s="66">
        <v>46071.938045219911</v>
      </c>
      <c r="B10343" s="49" t="s">
        <v>10542</v>
      </c>
    </row>
    <row r="10344" spans="1:2">
      <c r="A10344" s="66">
        <v>46071.938047314819</v>
      </c>
      <c r="B10344" s="49" t="s">
        <v>10543</v>
      </c>
    </row>
    <row r="10345" spans="1:2">
      <c r="A10345" s="66">
        <v>46071.938049050921</v>
      </c>
      <c r="B10345" s="49" t="s">
        <v>9394</v>
      </c>
    </row>
    <row r="10346" spans="1:2">
      <c r="A10346" s="66">
        <v>46071.939274814817</v>
      </c>
      <c r="B10346" s="49" t="s">
        <v>10556</v>
      </c>
    </row>
    <row r="10347" spans="1:2">
      <c r="A10347" s="66">
        <v>46071.939276967591</v>
      </c>
      <c r="B10347" s="49" t="s">
        <v>10557</v>
      </c>
    </row>
    <row r="10348" spans="1:2">
      <c r="A10348" s="66">
        <v>46071.939278912032</v>
      </c>
      <c r="B10348" s="49" t="s">
        <v>10546</v>
      </c>
    </row>
    <row r="10349" spans="1:2">
      <c r="A10349" s="66">
        <v>46071.939280844905</v>
      </c>
      <c r="B10349" s="49" t="s">
        <v>10466</v>
      </c>
    </row>
    <row r="10350" spans="1:2">
      <c r="A10350" s="66">
        <v>46071.939282916668</v>
      </c>
      <c r="B10350" s="49" t="s">
        <v>10561</v>
      </c>
    </row>
    <row r="10351" spans="1:2">
      <c r="A10351" s="66">
        <v>46071.939284652777</v>
      </c>
      <c r="B10351" s="49" t="s">
        <v>10562</v>
      </c>
    </row>
    <row r="10352" spans="1:2">
      <c r="A10352" s="66">
        <v>46071.939286666668</v>
      </c>
      <c r="B10352" s="49" t="s">
        <v>10563</v>
      </c>
    </row>
    <row r="10353" spans="1:2">
      <c r="A10353" s="66">
        <v>46071.939308622685</v>
      </c>
      <c r="B10353" s="49" t="s">
        <v>10564</v>
      </c>
    </row>
    <row r="10354" spans="1:2">
      <c r="A10354" s="66">
        <v>46071.939310729169</v>
      </c>
      <c r="B10354" s="49" t="s">
        <v>10542</v>
      </c>
    </row>
    <row r="10355" spans="1:2">
      <c r="A10355" s="66">
        <v>46071.939313344905</v>
      </c>
      <c r="B10355" s="49" t="s">
        <v>10543</v>
      </c>
    </row>
    <row r="10356" spans="1:2">
      <c r="A10356" s="66">
        <v>46071.939315659722</v>
      </c>
      <c r="B10356" s="49" t="s">
        <v>9394</v>
      </c>
    </row>
    <row r="10357" spans="1:2">
      <c r="A10357" s="66">
        <v>46071.940518750002</v>
      </c>
      <c r="B10357" s="49" t="s">
        <v>10556</v>
      </c>
    </row>
    <row r="10358" spans="1:2">
      <c r="A10358" s="66">
        <v>46071.940520671298</v>
      </c>
      <c r="B10358" s="49" t="s">
        <v>10557</v>
      </c>
    </row>
    <row r="10359" spans="1:2">
      <c r="A10359" s="66">
        <v>46071.940522569443</v>
      </c>
      <c r="B10359" s="49" t="s">
        <v>10546</v>
      </c>
    </row>
    <row r="10360" spans="1:2">
      <c r="A10360" s="66">
        <v>46071.940524085643</v>
      </c>
      <c r="B10360" s="49" t="s">
        <v>10466</v>
      </c>
    </row>
    <row r="10361" spans="1:2">
      <c r="A10361" s="66">
        <v>46071.940525613427</v>
      </c>
      <c r="B10361" s="49" t="s">
        <v>10561</v>
      </c>
    </row>
    <row r="10362" spans="1:2">
      <c r="A10362" s="66">
        <v>46071.940527615741</v>
      </c>
      <c r="B10362" s="49" t="s">
        <v>10562</v>
      </c>
    </row>
    <row r="10363" spans="1:2">
      <c r="A10363" s="66">
        <v>46071.940529490741</v>
      </c>
      <c r="B10363" s="49" t="s">
        <v>10563</v>
      </c>
    </row>
    <row r="10364" spans="1:2">
      <c r="A10364" s="66">
        <v>46071.94054599537</v>
      </c>
      <c r="B10364" s="49" t="s">
        <v>10564</v>
      </c>
    </row>
    <row r="10365" spans="1:2">
      <c r="A10365" s="66">
        <v>46071.940547893522</v>
      </c>
      <c r="B10365" s="49" t="s">
        <v>10542</v>
      </c>
    </row>
    <row r="10366" spans="1:2">
      <c r="A10366" s="66">
        <v>46071.940550104162</v>
      </c>
      <c r="B10366" s="49" t="s">
        <v>10543</v>
      </c>
    </row>
    <row r="10367" spans="1:2">
      <c r="A10367" s="66">
        <v>46071.940551805557</v>
      </c>
      <c r="B10367" s="49" t="s">
        <v>9394</v>
      </c>
    </row>
    <row r="10368" spans="1:2">
      <c r="A10368" s="66">
        <v>46071.941963310186</v>
      </c>
      <c r="B10368" s="49" t="s">
        <v>10556</v>
      </c>
    </row>
    <row r="10369" spans="1:2">
      <c r="A10369" s="66">
        <v>46071.941965972219</v>
      </c>
      <c r="B10369" s="49" t="s">
        <v>10557</v>
      </c>
    </row>
    <row r="10370" spans="1:2">
      <c r="A10370" s="66">
        <v>46071.94196921296</v>
      </c>
      <c r="B10370" s="49" t="s">
        <v>10546</v>
      </c>
    </row>
    <row r="10371" spans="1:2">
      <c r="A10371" s="66">
        <v>46071.941971504624</v>
      </c>
      <c r="B10371" s="49" t="s">
        <v>10466</v>
      </c>
    </row>
    <row r="10372" spans="1:2">
      <c r="A10372" s="66">
        <v>46071.941974340283</v>
      </c>
      <c r="B10372" s="49" t="s">
        <v>10561</v>
      </c>
    </row>
    <row r="10373" spans="1:2">
      <c r="A10373" s="66">
        <v>46071.941977685186</v>
      </c>
      <c r="B10373" s="49" t="s">
        <v>10562</v>
      </c>
    </row>
    <row r="10374" spans="1:2">
      <c r="A10374" s="66">
        <v>46071.941980543983</v>
      </c>
      <c r="B10374" s="49" t="s">
        <v>10563</v>
      </c>
    </row>
    <row r="10375" spans="1:2">
      <c r="A10375" s="66">
        <v>46071.941999050927</v>
      </c>
      <c r="B10375" s="49" t="s">
        <v>10564</v>
      </c>
    </row>
    <row r="10376" spans="1:2">
      <c r="A10376" s="66">
        <v>46071.942010069441</v>
      </c>
      <c r="B10376" s="49" t="s">
        <v>10542</v>
      </c>
    </row>
    <row r="10377" spans="1:2">
      <c r="A10377" s="66">
        <v>46071.942017662033</v>
      </c>
      <c r="B10377" s="49" t="s">
        <v>10543</v>
      </c>
    </row>
    <row r="10378" spans="1:2">
      <c r="A10378" s="66">
        <v>46071.942019988426</v>
      </c>
      <c r="B10378" s="49" t="s">
        <v>9394</v>
      </c>
    </row>
    <row r="10379" spans="1:2">
      <c r="A10379" s="66">
        <v>46071.942957025458</v>
      </c>
      <c r="B10379" s="49" t="s">
        <v>10556</v>
      </c>
    </row>
    <row r="10380" spans="1:2">
      <c r="A10380" s="66">
        <v>46071.942959525462</v>
      </c>
      <c r="B10380" s="49" t="s">
        <v>10557</v>
      </c>
    </row>
    <row r="10381" spans="1:2">
      <c r="A10381" s="66">
        <v>46071.942961956018</v>
      </c>
      <c r="B10381" s="49" t="s">
        <v>10546</v>
      </c>
    </row>
    <row r="10382" spans="1:2">
      <c r="A10382" s="66">
        <v>46071.942964780093</v>
      </c>
      <c r="B10382" s="49" t="s">
        <v>10466</v>
      </c>
    </row>
    <row r="10383" spans="1:2">
      <c r="A10383" s="66">
        <v>46071.942975405094</v>
      </c>
      <c r="B10383" s="49" t="s">
        <v>10561</v>
      </c>
    </row>
    <row r="10384" spans="1:2">
      <c r="A10384" s="66">
        <v>46071.942977581013</v>
      </c>
      <c r="B10384" s="49" t="s">
        <v>10562</v>
      </c>
    </row>
    <row r="10385" spans="1:2">
      <c r="A10385" s="66">
        <v>46071.942980312495</v>
      </c>
      <c r="B10385" s="49" t="s">
        <v>10563</v>
      </c>
    </row>
    <row r="10386" spans="1:2">
      <c r="A10386" s="66">
        <v>46071.942997384263</v>
      </c>
      <c r="B10386" s="49" t="s">
        <v>10564</v>
      </c>
    </row>
    <row r="10387" spans="1:2">
      <c r="A10387" s="66">
        <v>46071.943005034722</v>
      </c>
      <c r="B10387" s="49" t="s">
        <v>10542</v>
      </c>
    </row>
    <row r="10388" spans="1:2">
      <c r="A10388" s="66">
        <v>46071.943007442125</v>
      </c>
      <c r="B10388" s="49" t="s">
        <v>10543</v>
      </c>
    </row>
    <row r="10389" spans="1:2">
      <c r="A10389" s="66">
        <v>46071.943010150462</v>
      </c>
      <c r="B10389" s="49" t="s">
        <v>9394</v>
      </c>
    </row>
    <row r="10390" spans="1:2">
      <c r="A10390" s="66">
        <v>46071.944163842592</v>
      </c>
      <c r="B10390" s="49" t="s">
        <v>10556</v>
      </c>
    </row>
    <row r="10391" spans="1:2">
      <c r="A10391" s="66">
        <v>46071.944166724541</v>
      </c>
      <c r="B10391" s="49" t="s">
        <v>10557</v>
      </c>
    </row>
    <row r="10392" spans="1:2">
      <c r="A10392" s="66">
        <v>46071.944169849536</v>
      </c>
      <c r="B10392" s="49" t="s">
        <v>10546</v>
      </c>
    </row>
    <row r="10393" spans="1:2">
      <c r="A10393" s="66">
        <v>46071.944172071759</v>
      </c>
      <c r="B10393" s="49" t="s">
        <v>10466</v>
      </c>
    </row>
    <row r="10394" spans="1:2">
      <c r="A10394" s="66">
        <v>46071.944174398144</v>
      </c>
      <c r="B10394" s="49" t="s">
        <v>10561</v>
      </c>
    </row>
    <row r="10395" spans="1:2">
      <c r="A10395" s="66">
        <v>46071.944176319448</v>
      </c>
      <c r="B10395" s="49" t="s">
        <v>10562</v>
      </c>
    </row>
    <row r="10396" spans="1:2">
      <c r="A10396" s="66">
        <v>46071.944180046296</v>
      </c>
      <c r="B10396" s="49" t="s">
        <v>10563</v>
      </c>
    </row>
    <row r="10397" spans="1:2">
      <c r="A10397" s="66">
        <v>46071.944230891204</v>
      </c>
      <c r="B10397" s="49" t="s">
        <v>10564</v>
      </c>
    </row>
    <row r="10398" spans="1:2">
      <c r="A10398" s="66">
        <v>46071.944232870374</v>
      </c>
      <c r="B10398" s="49" t="s">
        <v>10542</v>
      </c>
    </row>
    <row r="10399" spans="1:2">
      <c r="A10399" s="66">
        <v>46071.944235081013</v>
      </c>
      <c r="B10399" s="49" t="s">
        <v>10543</v>
      </c>
    </row>
    <row r="10400" spans="1:2">
      <c r="A10400" s="66">
        <v>46071.944242083337</v>
      </c>
      <c r="B10400" s="49" t="s">
        <v>9394</v>
      </c>
    </row>
    <row r="10401" spans="1:2">
      <c r="A10401" s="66">
        <v>46071.945092986112</v>
      </c>
      <c r="B10401" s="49" t="s">
        <v>10556</v>
      </c>
    </row>
    <row r="10402" spans="1:2">
      <c r="A10402" s="66">
        <v>46071.945101064819</v>
      </c>
      <c r="B10402" s="49" t="s">
        <v>10557</v>
      </c>
    </row>
    <row r="10403" spans="1:2">
      <c r="A10403" s="66">
        <v>46071.945104456019</v>
      </c>
      <c r="B10403" s="49" t="s">
        <v>10546</v>
      </c>
    </row>
    <row r="10404" spans="1:2">
      <c r="A10404" s="66">
        <v>46071.945106504631</v>
      </c>
      <c r="B10404" s="49" t="s">
        <v>10466</v>
      </c>
    </row>
    <row r="10405" spans="1:2">
      <c r="A10405" s="66">
        <v>46071.945109444445</v>
      </c>
      <c r="B10405" s="49" t="s">
        <v>10561</v>
      </c>
    </row>
    <row r="10406" spans="1:2">
      <c r="A10406" s="66">
        <v>46071.945111886569</v>
      </c>
      <c r="B10406" s="49" t="s">
        <v>10562</v>
      </c>
    </row>
    <row r="10407" spans="1:2">
      <c r="A10407" s="66">
        <v>46071.945113958333</v>
      </c>
      <c r="B10407" s="49" t="s">
        <v>10563</v>
      </c>
    </row>
    <row r="10408" spans="1:2">
      <c r="A10408" s="66">
        <v>46071.945130416665</v>
      </c>
      <c r="B10408" s="49" t="s">
        <v>10564</v>
      </c>
    </row>
    <row r="10409" spans="1:2">
      <c r="A10409" s="66">
        <v>46071.945132789348</v>
      </c>
      <c r="B10409" s="49" t="s">
        <v>10542</v>
      </c>
    </row>
    <row r="10410" spans="1:2">
      <c r="A10410" s="66">
        <v>46071.945135381946</v>
      </c>
      <c r="B10410" s="49" t="s">
        <v>10543</v>
      </c>
    </row>
    <row r="10411" spans="1:2">
      <c r="A10411" s="66">
        <v>46071.945137407412</v>
      </c>
      <c r="B10411" s="49" t="s">
        <v>9394</v>
      </c>
    </row>
    <row r="10412" spans="1:2">
      <c r="A10412" s="66">
        <v>46071.946225763888</v>
      </c>
      <c r="B10412" s="49" t="s">
        <v>10556</v>
      </c>
    </row>
    <row r="10413" spans="1:2">
      <c r="A10413" s="66">
        <v>46071.946228738423</v>
      </c>
      <c r="B10413" s="49" t="s">
        <v>10557</v>
      </c>
    </row>
    <row r="10414" spans="1:2">
      <c r="A10414" s="66">
        <v>46071.946231018519</v>
      </c>
      <c r="B10414" s="49" t="s">
        <v>10546</v>
      </c>
    </row>
    <row r="10415" spans="1:2">
      <c r="A10415" s="66">
        <v>46071.946233449074</v>
      </c>
      <c r="B10415" s="49" t="s">
        <v>10466</v>
      </c>
    </row>
    <row r="10416" spans="1:2">
      <c r="A10416" s="66">
        <v>46071.946236157411</v>
      </c>
      <c r="B10416" s="49" t="s">
        <v>10561</v>
      </c>
    </row>
    <row r="10417" spans="1:2">
      <c r="A10417" s="66">
        <v>46071.946238576391</v>
      </c>
      <c r="B10417" s="49" t="s">
        <v>10562</v>
      </c>
    </row>
    <row r="10418" spans="1:2">
      <c r="A10418" s="66">
        <v>46071.946241192127</v>
      </c>
      <c r="B10418" s="49" t="s">
        <v>10563</v>
      </c>
    </row>
    <row r="10419" spans="1:2">
      <c r="A10419" s="66">
        <v>46071.946262199075</v>
      </c>
      <c r="B10419" s="49" t="s">
        <v>10564</v>
      </c>
    </row>
    <row r="10420" spans="1:2">
      <c r="A10420" s="66">
        <v>46071.946268576387</v>
      </c>
      <c r="B10420" s="49" t="s">
        <v>10542</v>
      </c>
    </row>
    <row r="10421" spans="1:2">
      <c r="A10421" s="66">
        <v>46071.946271886569</v>
      </c>
      <c r="B10421" s="49" t="s">
        <v>10543</v>
      </c>
    </row>
    <row r="10422" spans="1:2">
      <c r="A10422" s="66">
        <v>46071.946274340276</v>
      </c>
      <c r="B10422" s="49" t="s">
        <v>9394</v>
      </c>
    </row>
    <row r="10423" spans="1:2">
      <c r="A10423" s="66">
        <v>46071.94757074074</v>
      </c>
      <c r="B10423" s="49" t="s">
        <v>10556</v>
      </c>
    </row>
    <row r="10424" spans="1:2">
      <c r="A10424" s="66">
        <v>46071.947573807869</v>
      </c>
      <c r="B10424" s="49" t="s">
        <v>10557</v>
      </c>
    </row>
    <row r="10425" spans="1:2">
      <c r="A10425" s="66">
        <v>46071.947576597224</v>
      </c>
      <c r="B10425" s="49" t="s">
        <v>10546</v>
      </c>
    </row>
    <row r="10426" spans="1:2">
      <c r="A10426" s="66">
        <v>46071.947579398147</v>
      </c>
      <c r="B10426" s="49" t="s">
        <v>10466</v>
      </c>
    </row>
    <row r="10427" spans="1:2">
      <c r="A10427" s="66">
        <v>46071.947586168986</v>
      </c>
      <c r="B10427" s="49" t="s">
        <v>10561</v>
      </c>
    </row>
    <row r="10428" spans="1:2">
      <c r="A10428" s="66">
        <v>46071.947589108793</v>
      </c>
      <c r="B10428" s="49" t="s">
        <v>10562</v>
      </c>
    </row>
    <row r="10429" spans="1:2">
      <c r="A10429" s="66">
        <v>46071.947592094904</v>
      </c>
      <c r="B10429" s="49" t="s">
        <v>10563</v>
      </c>
    </row>
    <row r="10430" spans="1:2">
      <c r="A10430" s="66">
        <v>46071.947617164347</v>
      </c>
      <c r="B10430" s="49" t="s">
        <v>10564</v>
      </c>
    </row>
    <row r="10431" spans="1:2">
      <c r="A10431" s="66">
        <v>46071.947620115738</v>
      </c>
      <c r="B10431" s="49" t="s">
        <v>10542</v>
      </c>
    </row>
    <row r="10432" spans="1:2">
      <c r="A10432" s="66">
        <v>46071.947622916668</v>
      </c>
      <c r="B10432" s="49" t="s">
        <v>10543</v>
      </c>
    </row>
    <row r="10433" spans="1:2">
      <c r="A10433" s="66">
        <v>46071.947625914356</v>
      </c>
      <c r="B10433" s="49" t="s">
        <v>9394</v>
      </c>
    </row>
    <row r="10434" spans="1:2">
      <c r="A10434" s="66">
        <v>46071.948795937496</v>
      </c>
      <c r="B10434" s="49" t="s">
        <v>10556</v>
      </c>
    </row>
    <row r="10435" spans="1:2">
      <c r="A10435" s="66">
        <v>46071.948798333338</v>
      </c>
      <c r="B10435" s="49" t="s">
        <v>10557</v>
      </c>
    </row>
    <row r="10436" spans="1:2">
      <c r="A10436" s="66">
        <v>46071.948804340282</v>
      </c>
      <c r="B10436" s="49" t="s">
        <v>10546</v>
      </c>
    </row>
    <row r="10437" spans="1:2">
      <c r="A10437" s="66">
        <v>46071.94880643519</v>
      </c>
      <c r="B10437" s="49" t="s">
        <v>10466</v>
      </c>
    </row>
    <row r="10438" spans="1:2">
      <c r="A10438" s="66">
        <v>46071.948808726855</v>
      </c>
      <c r="B10438" s="49" t="s">
        <v>10561</v>
      </c>
    </row>
    <row r="10439" spans="1:2">
      <c r="A10439" s="66">
        <v>46071.948810868053</v>
      </c>
      <c r="B10439" s="49" t="s">
        <v>10562</v>
      </c>
    </row>
    <row r="10440" spans="1:2">
      <c r="A10440" s="66">
        <v>46071.948813402778</v>
      </c>
      <c r="B10440" s="49" t="s">
        <v>10563</v>
      </c>
    </row>
    <row r="10441" spans="1:2">
      <c r="A10441" s="66">
        <v>46071.948830833338</v>
      </c>
      <c r="B10441" s="49" t="s">
        <v>10564</v>
      </c>
    </row>
    <row r="10442" spans="1:2">
      <c r="A10442" s="66">
        <v>46071.948833252318</v>
      </c>
      <c r="B10442" s="49" t="s">
        <v>10542</v>
      </c>
    </row>
    <row r="10443" spans="1:2">
      <c r="A10443" s="66">
        <v>46071.948839999997</v>
      </c>
      <c r="B10443" s="49" t="s">
        <v>10543</v>
      </c>
    </row>
    <row r="10444" spans="1:2">
      <c r="A10444" s="66">
        <v>46071.94884243056</v>
      </c>
      <c r="B10444" s="49" t="s">
        <v>9394</v>
      </c>
    </row>
    <row r="10445" spans="1:2">
      <c r="A10445" s="66">
        <v>46071.950048842591</v>
      </c>
      <c r="B10445" s="49" t="s">
        <v>10556</v>
      </c>
    </row>
    <row r="10446" spans="1:2">
      <c r="A10446" s="66">
        <v>46071.95005835648</v>
      </c>
      <c r="B10446" s="49" t="s">
        <v>10557</v>
      </c>
    </row>
    <row r="10447" spans="1:2">
      <c r="A10447" s="66">
        <v>46071.950060162038</v>
      </c>
      <c r="B10447" s="49" t="s">
        <v>10546</v>
      </c>
    </row>
    <row r="10448" spans="1:2">
      <c r="A10448" s="66">
        <v>46071.95006181713</v>
      </c>
      <c r="B10448" s="49" t="s">
        <v>10466</v>
      </c>
    </row>
    <row r="10449" spans="1:2">
      <c r="A10449" s="66">
        <v>46071.950063784723</v>
      </c>
      <c r="B10449" s="49" t="s">
        <v>10561</v>
      </c>
    </row>
    <row r="10450" spans="1:2">
      <c r="A10450" s="66">
        <v>46071.950082071759</v>
      </c>
      <c r="B10450" s="49" t="s">
        <v>10562</v>
      </c>
    </row>
    <row r="10451" spans="1:2">
      <c r="A10451" s="66">
        <v>46071.950083645832</v>
      </c>
      <c r="B10451" s="49" t="s">
        <v>10563</v>
      </c>
    </row>
    <row r="10452" spans="1:2">
      <c r="A10452" s="66">
        <v>46071.950098923611</v>
      </c>
      <c r="B10452" s="49" t="s">
        <v>10564</v>
      </c>
    </row>
    <row r="10453" spans="1:2">
      <c r="A10453" s="66">
        <v>46071.950101145834</v>
      </c>
      <c r="B10453" s="49" t="s">
        <v>10542</v>
      </c>
    </row>
    <row r="10454" spans="1:2">
      <c r="A10454" s="66">
        <v>46071.950104004631</v>
      </c>
      <c r="B10454" s="49" t="s">
        <v>10543</v>
      </c>
    </row>
    <row r="10455" spans="1:2">
      <c r="A10455" s="66">
        <v>46071.950105717595</v>
      </c>
      <c r="B10455" s="49" t="s">
        <v>9394</v>
      </c>
    </row>
    <row r="10456" spans="1:2">
      <c r="A10456" s="66">
        <v>46071.95153578704</v>
      </c>
      <c r="B10456" s="49" t="s">
        <v>10556</v>
      </c>
    </row>
    <row r="10457" spans="1:2">
      <c r="A10457" s="66">
        <v>46071.951539131944</v>
      </c>
      <c r="B10457" s="49" t="s">
        <v>10557</v>
      </c>
    </row>
    <row r="10458" spans="1:2">
      <c r="A10458" s="66">
        <v>46071.951543692128</v>
      </c>
      <c r="B10458" s="49" t="s">
        <v>10546</v>
      </c>
    </row>
    <row r="10459" spans="1:2">
      <c r="A10459" s="66">
        <v>46071.951546805554</v>
      </c>
      <c r="B10459" s="49" t="s">
        <v>10466</v>
      </c>
    </row>
    <row r="10460" spans="1:2">
      <c r="A10460" s="66">
        <v>46071.9515497338</v>
      </c>
      <c r="B10460" s="49" t="s">
        <v>10561</v>
      </c>
    </row>
    <row r="10461" spans="1:2">
      <c r="A10461" s="66">
        <v>46071.951562627313</v>
      </c>
      <c r="B10461" s="49" t="s">
        <v>10562</v>
      </c>
    </row>
    <row r="10462" spans="1:2">
      <c r="A10462" s="66">
        <v>46071.95156587963</v>
      </c>
      <c r="B10462" s="49" t="s">
        <v>10563</v>
      </c>
    </row>
    <row r="10463" spans="1:2">
      <c r="A10463" s="66">
        <v>46071.951585590279</v>
      </c>
      <c r="B10463" s="49" t="s">
        <v>10564</v>
      </c>
    </row>
    <row r="10464" spans="1:2">
      <c r="A10464" s="66">
        <v>46071.951599895838</v>
      </c>
      <c r="B10464" s="49" t="s">
        <v>10542</v>
      </c>
    </row>
    <row r="10465" spans="1:2">
      <c r="A10465" s="66">
        <v>46071.951602858797</v>
      </c>
      <c r="B10465" s="49" t="s">
        <v>10543</v>
      </c>
    </row>
    <row r="10466" spans="1:2">
      <c r="A10466" s="66">
        <v>46071.951606053241</v>
      </c>
      <c r="B10466" s="49" t="s">
        <v>9394</v>
      </c>
    </row>
    <row r="10467" spans="1:2">
      <c r="A10467" s="66">
        <v>46071.952706932869</v>
      </c>
      <c r="B10467" s="49" t="s">
        <v>10556</v>
      </c>
    </row>
    <row r="10468" spans="1:2">
      <c r="A10468" s="66">
        <v>46071.952710370373</v>
      </c>
      <c r="B10468" s="49" t="s">
        <v>10557</v>
      </c>
    </row>
    <row r="10469" spans="1:2">
      <c r="A10469" s="66">
        <v>46071.952723576389</v>
      </c>
      <c r="B10469" s="49" t="s">
        <v>10546</v>
      </c>
    </row>
    <row r="10470" spans="1:2">
      <c r="A10470" s="66">
        <v>46071.952726967589</v>
      </c>
      <c r="B10470" s="49" t="s">
        <v>10466</v>
      </c>
    </row>
    <row r="10471" spans="1:2">
      <c r="A10471" s="66">
        <v>46071.952730277779</v>
      </c>
      <c r="B10471" s="49" t="s">
        <v>10561</v>
      </c>
    </row>
    <row r="10472" spans="1:2">
      <c r="A10472" s="66">
        <v>46071.952733148151</v>
      </c>
      <c r="B10472" s="49" t="s">
        <v>10562</v>
      </c>
    </row>
    <row r="10473" spans="1:2">
      <c r="A10473" s="66">
        <v>46071.952737893516</v>
      </c>
      <c r="B10473" s="49" t="s">
        <v>10563</v>
      </c>
    </row>
    <row r="10474" spans="1:2">
      <c r="A10474" s="66">
        <v>46071.95276112268</v>
      </c>
      <c r="B10474" s="49" t="s">
        <v>10564</v>
      </c>
    </row>
    <row r="10475" spans="1:2">
      <c r="A10475" s="66">
        <v>46071.952764189817</v>
      </c>
      <c r="B10475" s="49" t="s">
        <v>10542</v>
      </c>
    </row>
    <row r="10476" spans="1:2">
      <c r="A10476" s="66">
        <v>46071.952767141207</v>
      </c>
      <c r="B10476" s="49" t="s">
        <v>10543</v>
      </c>
    </row>
    <row r="10477" spans="1:2">
      <c r="A10477" s="66">
        <v>46071.952770347227</v>
      </c>
      <c r="B10477" s="49" t="s">
        <v>9394</v>
      </c>
    </row>
    <row r="10478" spans="1:2">
      <c r="A10478" s="66">
        <v>46071.954119641203</v>
      </c>
      <c r="B10478" s="49" t="s">
        <v>10556</v>
      </c>
    </row>
    <row r="10479" spans="1:2">
      <c r="A10479" s="66">
        <v>46071.954122800926</v>
      </c>
      <c r="B10479" s="49" t="s">
        <v>10557</v>
      </c>
    </row>
    <row r="10480" spans="1:2">
      <c r="A10480" s="66">
        <v>46071.954125659722</v>
      </c>
      <c r="B10480" s="49" t="s">
        <v>10546</v>
      </c>
    </row>
    <row r="10481" spans="1:2">
      <c r="A10481" s="66">
        <v>46071.954129016201</v>
      </c>
      <c r="B10481" s="49" t="s">
        <v>10466</v>
      </c>
    </row>
    <row r="10482" spans="1:2">
      <c r="A10482" s="66">
        <v>46071.95413150463</v>
      </c>
      <c r="B10482" s="49" t="s">
        <v>10561</v>
      </c>
    </row>
    <row r="10483" spans="1:2">
      <c r="A10483" s="66">
        <v>46071.954134155094</v>
      </c>
      <c r="B10483" s="49" t="s">
        <v>10562</v>
      </c>
    </row>
    <row r="10484" spans="1:2">
      <c r="A10484" s="66">
        <v>46071.954136423607</v>
      </c>
      <c r="B10484" s="49" t="s">
        <v>10563</v>
      </c>
    </row>
    <row r="10485" spans="1:2">
      <c r="A10485" s="66">
        <v>46071.954158113425</v>
      </c>
      <c r="B10485" s="49" t="s">
        <v>10564</v>
      </c>
    </row>
    <row r="10486" spans="1:2">
      <c r="A10486" s="66">
        <v>46071.954160844907</v>
      </c>
      <c r="B10486" s="49" t="s">
        <v>10542</v>
      </c>
    </row>
    <row r="10487" spans="1:2">
      <c r="A10487" s="66">
        <v>46071.954163182869</v>
      </c>
      <c r="B10487" s="49" t="s">
        <v>10543</v>
      </c>
    </row>
    <row r="10488" spans="1:2">
      <c r="A10488" s="66">
        <v>46071.954166493058</v>
      </c>
      <c r="B10488" s="49" t="s">
        <v>9394</v>
      </c>
    </row>
    <row r="10489" spans="1:2">
      <c r="A10489" s="66">
        <v>46071.955100081017</v>
      </c>
      <c r="B10489" s="49" t="s">
        <v>10556</v>
      </c>
    </row>
    <row r="10490" spans="1:2">
      <c r="A10490" s="66">
        <v>46071.955102893524</v>
      </c>
      <c r="B10490" s="49" t="s">
        <v>10557</v>
      </c>
    </row>
    <row r="10491" spans="1:2">
      <c r="A10491" s="66">
        <v>46071.955105104164</v>
      </c>
      <c r="B10491" s="49" t="s">
        <v>10546</v>
      </c>
    </row>
    <row r="10492" spans="1:2">
      <c r="A10492" s="66">
        <v>46071.955107256945</v>
      </c>
      <c r="B10492" s="49" t="s">
        <v>10466</v>
      </c>
    </row>
    <row r="10493" spans="1:2">
      <c r="A10493" s="66">
        <v>46071.955111319447</v>
      </c>
      <c r="B10493" s="49" t="s">
        <v>10561</v>
      </c>
    </row>
    <row r="10494" spans="1:2">
      <c r="A10494" s="66">
        <v>46071.955117824073</v>
      </c>
      <c r="B10494" s="49" t="s">
        <v>10562</v>
      </c>
    </row>
    <row r="10495" spans="1:2">
      <c r="A10495" s="66">
        <v>46071.955120462968</v>
      </c>
      <c r="B10495" s="49" t="s">
        <v>10563</v>
      </c>
    </row>
    <row r="10496" spans="1:2">
      <c r="A10496" s="66">
        <v>46071.95514046296</v>
      </c>
      <c r="B10496" s="49" t="s">
        <v>10564</v>
      </c>
    </row>
    <row r="10497" spans="1:2">
      <c r="A10497" s="66">
        <v>46071.955143402782</v>
      </c>
      <c r="B10497" s="49" t="s">
        <v>10542</v>
      </c>
    </row>
    <row r="10498" spans="1:2">
      <c r="A10498" s="66">
        <v>46071.955145879634</v>
      </c>
      <c r="B10498" s="49" t="s">
        <v>10543</v>
      </c>
    </row>
    <row r="10499" spans="1:2">
      <c r="A10499" s="66">
        <v>46071.955148692126</v>
      </c>
      <c r="B10499" s="49" t="s">
        <v>9394</v>
      </c>
    </row>
    <row r="10500" spans="1:2">
      <c r="A10500" s="66">
        <v>46071.956248263887</v>
      </c>
      <c r="B10500" s="49" t="s">
        <v>10556</v>
      </c>
    </row>
    <row r="10501" spans="1:2">
      <c r="A10501" s="66">
        <v>46071.956250462958</v>
      </c>
      <c r="B10501" s="49" t="s">
        <v>10557</v>
      </c>
    </row>
    <row r="10502" spans="1:2">
      <c r="A10502" s="66">
        <v>46071.956256689809</v>
      </c>
      <c r="B10502" s="49" t="s">
        <v>10546</v>
      </c>
    </row>
    <row r="10503" spans="1:2">
      <c r="A10503" s="66">
        <v>46071.956258761573</v>
      </c>
      <c r="B10503" s="49" t="s">
        <v>10466</v>
      </c>
    </row>
    <row r="10504" spans="1:2">
      <c r="A10504" s="66">
        <v>46071.956260555555</v>
      </c>
      <c r="B10504" s="49" t="s">
        <v>10561</v>
      </c>
    </row>
    <row r="10505" spans="1:2">
      <c r="A10505" s="66">
        <v>46071.95626525463</v>
      </c>
      <c r="B10505" s="49" t="s">
        <v>10562</v>
      </c>
    </row>
    <row r="10506" spans="1:2">
      <c r="A10506" s="66">
        <v>46071.956267013884</v>
      </c>
      <c r="B10506" s="49" t="s">
        <v>10563</v>
      </c>
    </row>
    <row r="10507" spans="1:2">
      <c r="A10507" s="66">
        <v>46071.956286319444</v>
      </c>
      <c r="B10507" s="49" t="s">
        <v>10564</v>
      </c>
    </row>
    <row r="10508" spans="1:2">
      <c r="A10508" s="66">
        <v>46071.956289421301</v>
      </c>
      <c r="B10508" s="49" t="s">
        <v>10542</v>
      </c>
    </row>
    <row r="10509" spans="1:2">
      <c r="A10509" s="66">
        <v>46071.956291365743</v>
      </c>
      <c r="B10509" s="49" t="s">
        <v>10543</v>
      </c>
    </row>
    <row r="10510" spans="1:2">
      <c r="A10510" s="66">
        <v>46071.956293391202</v>
      </c>
      <c r="B10510" s="49" t="s">
        <v>9394</v>
      </c>
    </row>
    <row r="10511" spans="1:2">
      <c r="A10511" s="66">
        <v>46071.957311851853</v>
      </c>
      <c r="B10511" s="49" t="s">
        <v>10556</v>
      </c>
    </row>
    <row r="10512" spans="1:2">
      <c r="A10512" s="66">
        <v>46071.957314629632</v>
      </c>
      <c r="B10512" s="49" t="s">
        <v>10557</v>
      </c>
    </row>
    <row r="10513" spans="1:2">
      <c r="A10513" s="66">
        <v>46071.95731972222</v>
      </c>
      <c r="B10513" s="49" t="s">
        <v>10546</v>
      </c>
    </row>
    <row r="10514" spans="1:2">
      <c r="A10514" s="66">
        <v>46071.95732548611</v>
      </c>
      <c r="B10514" s="49" t="s">
        <v>10466</v>
      </c>
    </row>
    <row r="10515" spans="1:2">
      <c r="A10515" s="66">
        <v>46071.957327905096</v>
      </c>
      <c r="B10515" s="49" t="s">
        <v>10561</v>
      </c>
    </row>
    <row r="10516" spans="1:2">
      <c r="A10516" s="66">
        <v>46071.957330428238</v>
      </c>
      <c r="B10516" s="49" t="s">
        <v>10562</v>
      </c>
    </row>
    <row r="10517" spans="1:2">
      <c r="A10517" s="66">
        <v>46071.95733237268</v>
      </c>
      <c r="B10517" s="49" t="s">
        <v>10563</v>
      </c>
    </row>
    <row r="10518" spans="1:2">
      <c r="A10518" s="66">
        <v>46071.957352708334</v>
      </c>
      <c r="B10518" s="49" t="s">
        <v>10564</v>
      </c>
    </row>
    <row r="10519" spans="1:2">
      <c r="A10519" s="66">
        <v>46071.957355092592</v>
      </c>
      <c r="B10519" s="49" t="s">
        <v>10542</v>
      </c>
    </row>
    <row r="10520" spans="1:2">
      <c r="A10520" s="66">
        <v>46071.957357812498</v>
      </c>
      <c r="B10520" s="49" t="s">
        <v>10543</v>
      </c>
    </row>
    <row r="10521" spans="1:2">
      <c r="A10521" s="66">
        <v>46071.957359872686</v>
      </c>
      <c r="B10521" s="49" t="s">
        <v>9394</v>
      </c>
    </row>
    <row r="10522" spans="1:2">
      <c r="A10522" s="66">
        <v>46071.958545706017</v>
      </c>
      <c r="B10522" s="49" t="s">
        <v>10556</v>
      </c>
    </row>
    <row r="10523" spans="1:2">
      <c r="A10523" s="66">
        <v>46071.958547708331</v>
      </c>
      <c r="B10523" s="49" t="s">
        <v>10557</v>
      </c>
    </row>
    <row r="10524" spans="1:2">
      <c r="A10524" s="66">
        <v>46071.958549710645</v>
      </c>
      <c r="B10524" s="49" t="s">
        <v>10546</v>
      </c>
    </row>
    <row r="10525" spans="1:2">
      <c r="A10525" s="66">
        <v>46071.958551539356</v>
      </c>
      <c r="B10525" s="49" t="s">
        <v>10466</v>
      </c>
    </row>
    <row r="10526" spans="1:2">
      <c r="A10526" s="66">
        <v>46071.958554791665</v>
      </c>
      <c r="B10526" s="49" t="s">
        <v>10561</v>
      </c>
    </row>
    <row r="10527" spans="1:2">
      <c r="A10527" s="66">
        <v>46071.958556504629</v>
      </c>
      <c r="B10527" s="49" t="s">
        <v>10562</v>
      </c>
    </row>
    <row r="10528" spans="1:2">
      <c r="A10528" s="66">
        <v>46071.958558587961</v>
      </c>
      <c r="B10528" s="49" t="s">
        <v>10563</v>
      </c>
    </row>
    <row r="10529" spans="1:2">
      <c r="A10529" s="66">
        <v>46071.958577928242</v>
      </c>
      <c r="B10529" s="49" t="s">
        <v>10564</v>
      </c>
    </row>
    <row r="10530" spans="1:2">
      <c r="A10530" s="66">
        <v>46071.958580729166</v>
      </c>
      <c r="B10530" s="49" t="s">
        <v>10542</v>
      </c>
    </row>
    <row r="10531" spans="1:2">
      <c r="A10531" s="66">
        <v>46071.958582777777</v>
      </c>
      <c r="B10531" s="49" t="s">
        <v>10543</v>
      </c>
    </row>
    <row r="10532" spans="1:2">
      <c r="A10532" s="66">
        <v>46071.958584363427</v>
      </c>
      <c r="B10532" s="49" t="s">
        <v>9394</v>
      </c>
    </row>
    <row r="10533" spans="1:2">
      <c r="A10533" s="66">
        <v>46071.959411550924</v>
      </c>
      <c r="B10533" s="49" t="s">
        <v>10556</v>
      </c>
    </row>
    <row r="10534" spans="1:2">
      <c r="A10534" s="66">
        <v>46071.959414131939</v>
      </c>
      <c r="B10534" s="49" t="s">
        <v>10557</v>
      </c>
    </row>
    <row r="10535" spans="1:2">
      <c r="A10535" s="66">
        <v>46071.9594168287</v>
      </c>
      <c r="B10535" s="49" t="s">
        <v>10546</v>
      </c>
    </row>
    <row r="10536" spans="1:2">
      <c r="A10536" s="66">
        <v>46071.95941920139</v>
      </c>
      <c r="B10536" s="49" t="s">
        <v>10466</v>
      </c>
    </row>
    <row r="10537" spans="1:2">
      <c r="A10537" s="66">
        <v>46071.959421377316</v>
      </c>
      <c r="B10537" s="49" t="s">
        <v>10561</v>
      </c>
    </row>
    <row r="10538" spans="1:2">
      <c r="A10538" s="66">
        <v>46071.959426331014</v>
      </c>
      <c r="B10538" s="49" t="s">
        <v>10562</v>
      </c>
    </row>
    <row r="10539" spans="1:2">
      <c r="A10539" s="66">
        <v>46071.959428576389</v>
      </c>
      <c r="B10539" s="49" t="s">
        <v>10563</v>
      </c>
    </row>
    <row r="10540" spans="1:2">
      <c r="A10540" s="66">
        <v>46071.959449629634</v>
      </c>
      <c r="B10540" s="49" t="s">
        <v>10564</v>
      </c>
    </row>
    <row r="10541" spans="1:2">
      <c r="A10541" s="66">
        <v>46071.959451886578</v>
      </c>
      <c r="B10541" s="49" t="s">
        <v>10542</v>
      </c>
    </row>
    <row r="10542" spans="1:2">
      <c r="A10542" s="66">
        <v>46071.959454629628</v>
      </c>
      <c r="B10542" s="49" t="s">
        <v>10543</v>
      </c>
    </row>
    <row r="10543" spans="1:2">
      <c r="A10543" s="66">
        <v>46071.959460960643</v>
      </c>
      <c r="B10543" s="49" t="s">
        <v>9394</v>
      </c>
    </row>
    <row r="10544" spans="1:2">
      <c r="A10544" s="66">
        <v>46071.960647187501</v>
      </c>
      <c r="B10544" s="49" t="s">
        <v>10556</v>
      </c>
    </row>
    <row r="10545" spans="1:2">
      <c r="A10545" s="66">
        <v>46071.960649525463</v>
      </c>
      <c r="B10545" s="49" t="s">
        <v>10557</v>
      </c>
    </row>
    <row r="10546" spans="1:2">
      <c r="A10546" s="66">
        <v>46071.960651990739</v>
      </c>
      <c r="B10546" s="49" t="s">
        <v>10546</v>
      </c>
    </row>
    <row r="10547" spans="1:2">
      <c r="A10547" s="66">
        <v>46071.960653726856</v>
      </c>
      <c r="B10547" s="49" t="s">
        <v>10466</v>
      </c>
    </row>
    <row r="10548" spans="1:2">
      <c r="A10548" s="66">
        <v>46071.960655740739</v>
      </c>
      <c r="B10548" s="49" t="s">
        <v>10561</v>
      </c>
    </row>
    <row r="10549" spans="1:2">
      <c r="A10549" s="66">
        <v>46071.960658472221</v>
      </c>
      <c r="B10549" s="49" t="s">
        <v>10562</v>
      </c>
    </row>
    <row r="10550" spans="1:2">
      <c r="A10550" s="66">
        <v>46071.960660694444</v>
      </c>
      <c r="B10550" s="49" t="s">
        <v>10563</v>
      </c>
    </row>
    <row r="10551" spans="1:2">
      <c r="A10551" s="66">
        <v>46071.960682743054</v>
      </c>
      <c r="B10551" s="49" t="s">
        <v>10564</v>
      </c>
    </row>
    <row r="10552" spans="1:2">
      <c r="A10552" s="66">
        <v>46071.960685127313</v>
      </c>
      <c r="B10552" s="49" t="s">
        <v>10542</v>
      </c>
    </row>
    <row r="10553" spans="1:2">
      <c r="A10553" s="66">
        <v>46071.960705162041</v>
      </c>
      <c r="B10553" s="49" t="s">
        <v>10543</v>
      </c>
    </row>
    <row r="10554" spans="1:2">
      <c r="A10554" s="66">
        <v>46071.960707071761</v>
      </c>
      <c r="B10554" s="49" t="s">
        <v>9394</v>
      </c>
    </row>
    <row r="10555" spans="1:2">
      <c r="A10555" s="66">
        <v>46071.961738854166</v>
      </c>
      <c r="B10555" s="49" t="s">
        <v>10556</v>
      </c>
    </row>
    <row r="10556" spans="1:2">
      <c r="A10556" s="66">
        <v>46071.961741273146</v>
      </c>
      <c r="B10556" s="49" t="s">
        <v>10557</v>
      </c>
    </row>
    <row r="10557" spans="1:2">
      <c r="A10557" s="66">
        <v>46071.961743576394</v>
      </c>
      <c r="B10557" s="49" t="s">
        <v>10546</v>
      </c>
    </row>
    <row r="10558" spans="1:2">
      <c r="A10558" s="66">
        <v>46071.961746215282</v>
      </c>
      <c r="B10558" s="49" t="s">
        <v>10466</v>
      </c>
    </row>
    <row r="10559" spans="1:2">
      <c r="A10559" s="66">
        <v>46071.961748969909</v>
      </c>
      <c r="B10559" s="49" t="s">
        <v>10561</v>
      </c>
    </row>
    <row r="10560" spans="1:2">
      <c r="A10560" s="66">
        <v>46071.96175180556</v>
      </c>
      <c r="B10560" s="49" t="s">
        <v>10562</v>
      </c>
    </row>
    <row r="10561" spans="1:2">
      <c r="A10561" s="66">
        <v>46071.961754618053</v>
      </c>
      <c r="B10561" s="49" t="s">
        <v>10563</v>
      </c>
    </row>
    <row r="10562" spans="1:2">
      <c r="A10562" s="66">
        <v>46071.961773414354</v>
      </c>
      <c r="B10562" s="49" t="s">
        <v>10564</v>
      </c>
    </row>
    <row r="10563" spans="1:2">
      <c r="A10563" s="66">
        <v>46071.961776076394</v>
      </c>
      <c r="B10563" s="49" t="s">
        <v>10542</v>
      </c>
    </row>
    <row r="10564" spans="1:2">
      <c r="A10564" s="66">
        <v>46071.961778310186</v>
      </c>
      <c r="B10564" s="49" t="s">
        <v>10543</v>
      </c>
    </row>
    <row r="10565" spans="1:2">
      <c r="A10565" s="66">
        <v>46071.961780613427</v>
      </c>
      <c r="B10565" s="49" t="s">
        <v>9394</v>
      </c>
    </row>
    <row r="10566" spans="1:2">
      <c r="A10566" s="66">
        <v>46071.96298700232</v>
      </c>
      <c r="B10566" s="49" t="s">
        <v>10556</v>
      </c>
    </row>
    <row r="10567" spans="1:2">
      <c r="A10567" s="66">
        <v>46071.962996678238</v>
      </c>
      <c r="B10567" s="49" t="s">
        <v>10557</v>
      </c>
    </row>
    <row r="10568" spans="1:2">
      <c r="A10568" s="66">
        <v>46071.962998981486</v>
      </c>
      <c r="B10568" s="49" t="s">
        <v>10546</v>
      </c>
    </row>
    <row r="10569" spans="1:2">
      <c r="A10569" s="66">
        <v>46071.963000798612</v>
      </c>
      <c r="B10569" s="49" t="s">
        <v>10466</v>
      </c>
    </row>
    <row r="10570" spans="1:2">
      <c r="A10570" s="66">
        <v>46071.963002893521</v>
      </c>
      <c r="B10570" s="49" t="s">
        <v>10561</v>
      </c>
    </row>
    <row r="10571" spans="1:2">
      <c r="A10571" s="66">
        <v>46071.9630090625</v>
      </c>
      <c r="B10571" s="49" t="s">
        <v>10562</v>
      </c>
    </row>
    <row r="10572" spans="1:2">
      <c r="A10572" s="66">
        <v>46071.963010798616</v>
      </c>
      <c r="B10572" s="49" t="s">
        <v>10563</v>
      </c>
    </row>
    <row r="10573" spans="1:2">
      <c r="A10573" s="66">
        <v>46071.963030069441</v>
      </c>
      <c r="B10573" s="49" t="s">
        <v>10564</v>
      </c>
    </row>
    <row r="10574" spans="1:2">
      <c r="A10574" s="66">
        <v>46071.963031840278</v>
      </c>
      <c r="B10574" s="49" t="s">
        <v>10542</v>
      </c>
    </row>
    <row r="10575" spans="1:2">
      <c r="A10575" s="66">
        <v>46071.963034236112</v>
      </c>
      <c r="B10575" s="49" t="s">
        <v>10543</v>
      </c>
    </row>
    <row r="10576" spans="1:2">
      <c r="A10576" s="66">
        <v>46071.963036354166</v>
      </c>
      <c r="B10576" s="49" t="s">
        <v>9394</v>
      </c>
    </row>
    <row r="10577" spans="1:2">
      <c r="A10577" s="66">
        <v>46071.964023819441</v>
      </c>
      <c r="B10577" s="49" t="s">
        <v>10556</v>
      </c>
    </row>
    <row r="10578" spans="1:2">
      <c r="A10578" s="66">
        <v>46071.964026956019</v>
      </c>
      <c r="B10578" s="49" t="s">
        <v>10557</v>
      </c>
    </row>
    <row r="10579" spans="1:2">
      <c r="A10579" s="66">
        <v>46071.964030243056</v>
      </c>
      <c r="B10579" s="49" t="s">
        <v>10546</v>
      </c>
    </row>
    <row r="10580" spans="1:2">
      <c r="A10580" s="66">
        <v>46071.964033495373</v>
      </c>
      <c r="B10580" s="49" t="s">
        <v>10466</v>
      </c>
    </row>
    <row r="10581" spans="1:2">
      <c r="A10581" s="66">
        <v>46071.964036770834</v>
      </c>
      <c r="B10581" s="49" t="s">
        <v>10561</v>
      </c>
    </row>
    <row r="10582" spans="1:2">
      <c r="A10582" s="66">
        <v>46071.964040405088</v>
      </c>
      <c r="B10582" s="49" t="s">
        <v>10562</v>
      </c>
    </row>
    <row r="10583" spans="1:2">
      <c r="A10583" s="66">
        <v>46071.964043194443</v>
      </c>
      <c r="B10583" s="49" t="s">
        <v>10563</v>
      </c>
    </row>
    <row r="10584" spans="1:2">
      <c r="A10584" s="66">
        <v>46071.964065960652</v>
      </c>
      <c r="B10584" s="49" t="s">
        <v>10564</v>
      </c>
    </row>
    <row r="10585" spans="1:2">
      <c r="A10585" s="66">
        <v>46071.964068946763</v>
      </c>
      <c r="B10585" s="49" t="s">
        <v>10542</v>
      </c>
    </row>
    <row r="10586" spans="1:2">
      <c r="A10586" s="66">
        <v>46071.964071840281</v>
      </c>
      <c r="B10586" s="49" t="s">
        <v>10543</v>
      </c>
    </row>
    <row r="10587" spans="1:2">
      <c r="A10587" s="66">
        <v>46071.964082789353</v>
      </c>
      <c r="B10587" s="49" t="s">
        <v>9394</v>
      </c>
    </row>
    <row r="10588" spans="1:2">
      <c r="A10588" s="66">
        <v>46071.9654834838</v>
      </c>
      <c r="B10588" s="49" t="s">
        <v>10556</v>
      </c>
    </row>
    <row r="10589" spans="1:2">
      <c r="A10589" s="66">
        <v>46071.965486516201</v>
      </c>
      <c r="B10589" s="49" t="s">
        <v>10557</v>
      </c>
    </row>
    <row r="10590" spans="1:2">
      <c r="A10590" s="66">
        <v>46071.96549023148</v>
      </c>
      <c r="B10590" s="49" t="s">
        <v>10546</v>
      </c>
    </row>
    <row r="10591" spans="1:2">
      <c r="A10591" s="66">
        <v>46071.965492071758</v>
      </c>
      <c r="B10591" s="49" t="s">
        <v>10466</v>
      </c>
    </row>
    <row r="10592" spans="1:2">
      <c r="A10592" s="66">
        <v>46071.965494097225</v>
      </c>
      <c r="B10592" s="49" t="s">
        <v>10561</v>
      </c>
    </row>
    <row r="10593" spans="1:2">
      <c r="A10593" s="66">
        <v>46071.965496261575</v>
      </c>
      <c r="B10593" s="49" t="s">
        <v>10562</v>
      </c>
    </row>
    <row r="10594" spans="1:2">
      <c r="A10594" s="66">
        <v>46071.965498263889</v>
      </c>
      <c r="B10594" s="49" t="s">
        <v>10563</v>
      </c>
    </row>
    <row r="10595" spans="1:2">
      <c r="A10595" s="66">
        <v>46071.965513958334</v>
      </c>
      <c r="B10595" s="49" t="s">
        <v>10564</v>
      </c>
    </row>
    <row r="10596" spans="1:2">
      <c r="A10596" s="66">
        <v>46071.965515960648</v>
      </c>
      <c r="B10596" s="49" t="s">
        <v>10542</v>
      </c>
    </row>
    <row r="10597" spans="1:2">
      <c r="A10597" s="66">
        <v>46071.965518090277</v>
      </c>
      <c r="B10597" s="49" t="s">
        <v>10543</v>
      </c>
    </row>
    <row r="10598" spans="1:2">
      <c r="A10598" s="66">
        <v>46071.965519999998</v>
      </c>
      <c r="B10598" s="49" t="s">
        <v>9394</v>
      </c>
    </row>
    <row r="10599" spans="1:2">
      <c r="A10599" s="66">
        <v>46071.96650599537</v>
      </c>
      <c r="B10599" s="49" t="s">
        <v>10556</v>
      </c>
    </row>
    <row r="10600" spans="1:2">
      <c r="A10600" s="66">
        <v>46071.966510127313</v>
      </c>
      <c r="B10600" s="49" t="s">
        <v>10557</v>
      </c>
    </row>
    <row r="10601" spans="1:2">
      <c r="A10601" s="66">
        <v>46071.966513113424</v>
      </c>
      <c r="B10601" s="49" t="s">
        <v>10546</v>
      </c>
    </row>
    <row r="10602" spans="1:2">
      <c r="A10602" s="66">
        <v>46071.966520486108</v>
      </c>
      <c r="B10602" s="49" t="s">
        <v>10466</v>
      </c>
    </row>
    <row r="10603" spans="1:2">
      <c r="A10603" s="66">
        <v>46071.966523171301</v>
      </c>
      <c r="B10603" s="49" t="s">
        <v>10561</v>
      </c>
    </row>
    <row r="10604" spans="1:2">
      <c r="A10604" s="66">
        <v>46071.966525983793</v>
      </c>
      <c r="B10604" s="49" t="s">
        <v>10562</v>
      </c>
    </row>
    <row r="10605" spans="1:2">
      <c r="A10605" s="66">
        <v>46071.966529016208</v>
      </c>
      <c r="B10605" s="49" t="s">
        <v>10563</v>
      </c>
    </row>
    <row r="10606" spans="1:2">
      <c r="A10606" s="66">
        <v>46071.966549016201</v>
      </c>
      <c r="B10606" s="49" t="s">
        <v>10564</v>
      </c>
    </row>
    <row r="10607" spans="1:2">
      <c r="A10607" s="66">
        <v>46071.966552002312</v>
      </c>
      <c r="B10607" s="49" t="s">
        <v>10542</v>
      </c>
    </row>
    <row r="10608" spans="1:2">
      <c r="A10608" s="66">
        <v>46071.966554988423</v>
      </c>
      <c r="B10608" s="49" t="s">
        <v>10543</v>
      </c>
    </row>
    <row r="10609" spans="1:2">
      <c r="A10609" s="66">
        <v>46071.966558009255</v>
      </c>
      <c r="B10609" s="49" t="s">
        <v>9394</v>
      </c>
    </row>
    <row r="10610" spans="1:2">
      <c r="A10610" s="66">
        <v>46071.967552337963</v>
      </c>
      <c r="B10610" s="49" t="s">
        <v>10556</v>
      </c>
    </row>
    <row r="10611" spans="1:2">
      <c r="A10611" s="66">
        <v>46071.967555243056</v>
      </c>
      <c r="B10611" s="49" t="s">
        <v>10557</v>
      </c>
    </row>
    <row r="10612" spans="1:2">
      <c r="A10612" s="66">
        <v>46071.96756178241</v>
      </c>
      <c r="B10612" s="49" t="s">
        <v>10546</v>
      </c>
    </row>
    <row r="10613" spans="1:2">
      <c r="A10613" s="66">
        <v>46071.967566354171</v>
      </c>
      <c r="B10613" s="49" t="s">
        <v>10466</v>
      </c>
    </row>
    <row r="10614" spans="1:2">
      <c r="A10614" s="66">
        <v>46071.967568749998</v>
      </c>
      <c r="B10614" s="49" t="s">
        <v>10561</v>
      </c>
    </row>
    <row r="10615" spans="1:2">
      <c r="A10615" s="66">
        <v>46071.96757231481</v>
      </c>
      <c r="B10615" s="49" t="s">
        <v>10562</v>
      </c>
    </row>
    <row r="10616" spans="1:2">
      <c r="A10616" s="66">
        <v>46071.967574814815</v>
      </c>
      <c r="B10616" s="49" t="s">
        <v>10563</v>
      </c>
    </row>
    <row r="10617" spans="1:2">
      <c r="A10617" s="66">
        <v>46071.967600000004</v>
      </c>
      <c r="B10617" s="49" t="s">
        <v>10564</v>
      </c>
    </row>
    <row r="10618" spans="1:2">
      <c r="A10618" s="66">
        <v>46071.967602893521</v>
      </c>
      <c r="B10618" s="49" t="s">
        <v>10542</v>
      </c>
    </row>
    <row r="10619" spans="1:2">
      <c r="A10619" s="66">
        <v>46071.96760585648</v>
      </c>
      <c r="B10619" s="49" t="s">
        <v>10543</v>
      </c>
    </row>
    <row r="10620" spans="1:2">
      <c r="A10620" s="66">
        <v>46071.967608287036</v>
      </c>
      <c r="B10620" s="49" t="s">
        <v>9394</v>
      </c>
    </row>
    <row r="10621" spans="1:2">
      <c r="A10621" s="66">
        <v>46071.968994074079</v>
      </c>
      <c r="B10621" s="49" t="s">
        <v>10556</v>
      </c>
    </row>
    <row r="10622" spans="1:2">
      <c r="A10622" s="66">
        <v>46071.968996226853</v>
      </c>
      <c r="B10622" s="49" t="s">
        <v>10557</v>
      </c>
    </row>
    <row r="10623" spans="1:2">
      <c r="A10623" s="66">
        <v>46071.968998657409</v>
      </c>
      <c r="B10623" s="49" t="s">
        <v>10546</v>
      </c>
    </row>
    <row r="10624" spans="1:2">
      <c r="A10624" s="66">
        <v>46071.969001527774</v>
      </c>
      <c r="B10624" s="49" t="s">
        <v>10466</v>
      </c>
    </row>
    <row r="10625" spans="1:2">
      <c r="A10625" s="66">
        <v>46071.969003356484</v>
      </c>
      <c r="B10625" s="49" t="s">
        <v>10561</v>
      </c>
    </row>
    <row r="10626" spans="1:2">
      <c r="A10626" s="66">
        <v>46071.969005995372</v>
      </c>
      <c r="B10626" s="49" t="s">
        <v>10562</v>
      </c>
    </row>
    <row r="10627" spans="1:2">
      <c r="A10627" s="66">
        <v>46071.969008275468</v>
      </c>
      <c r="B10627" s="49" t="s">
        <v>10563</v>
      </c>
    </row>
    <row r="10628" spans="1:2">
      <c r="A10628" s="66">
        <v>46071.96902793982</v>
      </c>
      <c r="B10628" s="49" t="s">
        <v>10564</v>
      </c>
    </row>
    <row r="10629" spans="1:2">
      <c r="A10629" s="66">
        <v>46071.969029768516</v>
      </c>
      <c r="B10629" s="49" t="s">
        <v>10542</v>
      </c>
    </row>
    <row r="10630" spans="1:2">
      <c r="A10630" s="66">
        <v>46071.969031493056</v>
      </c>
      <c r="B10630" s="49" t="s">
        <v>10543</v>
      </c>
    </row>
    <row r="10631" spans="1:2">
      <c r="A10631" s="66">
        <v>46071.969034108799</v>
      </c>
      <c r="B10631" s="49" t="s">
        <v>9394</v>
      </c>
    </row>
    <row r="10632" spans="1:2">
      <c r="A10632" s="66">
        <v>46071.970230347222</v>
      </c>
      <c r="B10632" s="49" t="s">
        <v>10556</v>
      </c>
    </row>
    <row r="10633" spans="1:2">
      <c r="A10633" s="66">
        <v>46071.970232430554</v>
      </c>
      <c r="B10633" s="49" t="s">
        <v>10557</v>
      </c>
    </row>
    <row r="10634" spans="1:2">
      <c r="A10634" s="66">
        <v>46071.970234247681</v>
      </c>
      <c r="B10634" s="49" t="s">
        <v>10546</v>
      </c>
    </row>
    <row r="10635" spans="1:2">
      <c r="A10635" s="66">
        <v>46071.970236064815</v>
      </c>
      <c r="B10635" s="49" t="s">
        <v>10466</v>
      </c>
    </row>
    <row r="10636" spans="1:2">
      <c r="A10636" s="66">
        <v>46071.970239201386</v>
      </c>
      <c r="B10636" s="49" t="s">
        <v>10561</v>
      </c>
    </row>
    <row r="10637" spans="1:2">
      <c r="A10637" s="66">
        <v>46071.97024145833</v>
      </c>
      <c r="B10637" s="49" t="s">
        <v>10562</v>
      </c>
    </row>
    <row r="10638" spans="1:2">
      <c r="A10638" s="66">
        <v>46071.970243449075</v>
      </c>
      <c r="B10638" s="49" t="s">
        <v>10563</v>
      </c>
    </row>
    <row r="10639" spans="1:2">
      <c r="A10639" s="66">
        <v>46071.970259814814</v>
      </c>
      <c r="B10639" s="49" t="s">
        <v>10564</v>
      </c>
    </row>
    <row r="10640" spans="1:2">
      <c r="A10640" s="66">
        <v>46071.970261608796</v>
      </c>
      <c r="B10640" s="49" t="s">
        <v>10542</v>
      </c>
    </row>
    <row r="10641" spans="1:2">
      <c r="A10641" s="66">
        <v>46071.970263287032</v>
      </c>
      <c r="B10641" s="49" t="s">
        <v>10543</v>
      </c>
    </row>
    <row r="10642" spans="1:2">
      <c r="A10642" s="66">
        <v>46071.970265115742</v>
      </c>
      <c r="B10642" s="49" t="s">
        <v>9394</v>
      </c>
    </row>
    <row r="10643" spans="1:2">
      <c r="A10643" s="66">
        <v>46071.97153599537</v>
      </c>
      <c r="B10643" s="49" t="s">
        <v>10556</v>
      </c>
    </row>
    <row r="10644" spans="1:2">
      <c r="A10644" s="66">
        <v>46071.971538645834</v>
      </c>
      <c r="B10644" s="49" t="s">
        <v>10557</v>
      </c>
    </row>
    <row r="10645" spans="1:2">
      <c r="A10645" s="66">
        <v>46071.971541458333</v>
      </c>
      <c r="B10645" s="49" t="s">
        <v>10546</v>
      </c>
    </row>
    <row r="10646" spans="1:2">
      <c r="A10646" s="66">
        <v>46071.971544236112</v>
      </c>
      <c r="B10646" s="49" t="s">
        <v>10466</v>
      </c>
    </row>
    <row r="10647" spans="1:2">
      <c r="A10647" s="66">
        <v>46071.971546597226</v>
      </c>
      <c r="B10647" s="49" t="s">
        <v>10561</v>
      </c>
    </row>
    <row r="10648" spans="1:2">
      <c r="A10648" s="66">
        <v>46071.971549374997</v>
      </c>
      <c r="B10648" s="49" t="s">
        <v>10562</v>
      </c>
    </row>
    <row r="10649" spans="1:2">
      <c r="A10649" s="66">
        <v>46071.971552187504</v>
      </c>
      <c r="B10649" s="49" t="s">
        <v>10563</v>
      </c>
    </row>
    <row r="10650" spans="1:2">
      <c r="A10650" s="66">
        <v>46071.971570891204</v>
      </c>
      <c r="B10650" s="49" t="s">
        <v>10564</v>
      </c>
    </row>
    <row r="10651" spans="1:2">
      <c r="A10651" s="66">
        <v>46071.971573703704</v>
      </c>
      <c r="B10651" s="49" t="s">
        <v>10542</v>
      </c>
    </row>
    <row r="10652" spans="1:2">
      <c r="A10652" s="66">
        <v>46071.971577662036</v>
      </c>
      <c r="B10652" s="49" t="s">
        <v>10543</v>
      </c>
    </row>
    <row r="10653" spans="1:2">
      <c r="A10653" s="66">
        <v>46071.97158824074</v>
      </c>
      <c r="B10653" s="49" t="s">
        <v>9394</v>
      </c>
    </row>
    <row r="10654" spans="1:2">
      <c r="A10654" s="66">
        <v>46071.972696273151</v>
      </c>
      <c r="B10654" s="49" t="s">
        <v>10556</v>
      </c>
    </row>
    <row r="10655" spans="1:2">
      <c r="A10655" s="66">
        <v>46071.972698263889</v>
      </c>
      <c r="B10655" s="49" t="s">
        <v>10557</v>
      </c>
    </row>
    <row r="10656" spans="1:2">
      <c r="A10656" s="66">
        <v>46071.972699895836</v>
      </c>
      <c r="B10656" s="49" t="s">
        <v>10546</v>
      </c>
    </row>
    <row r="10657" spans="1:2">
      <c r="A10657" s="66">
        <v>46071.972701574079</v>
      </c>
      <c r="B10657" s="49" t="s">
        <v>10466</v>
      </c>
    </row>
    <row r="10658" spans="1:2">
      <c r="A10658" s="66">
        <v>46071.972703240739</v>
      </c>
      <c r="B10658" s="49" t="s">
        <v>10561</v>
      </c>
    </row>
    <row r="10659" spans="1:2">
      <c r="A10659" s="66">
        <v>46071.972710069444</v>
      </c>
      <c r="B10659" s="49" t="s">
        <v>10562</v>
      </c>
    </row>
    <row r="10660" spans="1:2">
      <c r="A10660" s="66">
        <v>46071.972711909722</v>
      </c>
      <c r="B10660" s="49" t="s">
        <v>10563</v>
      </c>
    </row>
    <row r="10661" spans="1:2">
      <c r="A10661" s="66">
        <v>46071.972739976853</v>
      </c>
      <c r="B10661" s="49" t="s">
        <v>10564</v>
      </c>
    </row>
    <row r="10662" spans="1:2">
      <c r="A10662" s="66">
        <v>46071.972742060185</v>
      </c>
      <c r="B10662" s="49" t="s">
        <v>10542</v>
      </c>
    </row>
    <row r="10663" spans="1:2">
      <c r="A10663" s="66">
        <v>46071.972743773149</v>
      </c>
      <c r="B10663" s="49" t="s">
        <v>10543</v>
      </c>
    </row>
    <row r="10664" spans="1:2">
      <c r="A10664" s="66">
        <v>46071.972745555555</v>
      </c>
      <c r="B10664" s="49" t="s">
        <v>9394</v>
      </c>
    </row>
    <row r="10665" spans="1:2">
      <c r="A10665" s="66">
        <v>46071.973722476847</v>
      </c>
      <c r="B10665" s="49" t="s">
        <v>10556</v>
      </c>
    </row>
    <row r="10666" spans="1:2">
      <c r="A10666" s="66">
        <v>46071.973724351847</v>
      </c>
      <c r="B10666" s="49" t="s">
        <v>10557</v>
      </c>
    </row>
    <row r="10667" spans="1:2">
      <c r="A10667" s="66">
        <v>46071.973726377313</v>
      </c>
      <c r="B10667" s="49" t="s">
        <v>10546</v>
      </c>
    </row>
    <row r="10668" spans="1:2">
      <c r="A10668" s="66">
        <v>46071.973728101853</v>
      </c>
      <c r="B10668" s="49" t="s">
        <v>10466</v>
      </c>
    </row>
    <row r="10669" spans="1:2">
      <c r="A10669" s="66">
        <v>46071.973729849538</v>
      </c>
      <c r="B10669" s="49" t="s">
        <v>10561</v>
      </c>
    </row>
    <row r="10670" spans="1:2">
      <c r="A10670" s="66">
        <v>46071.973731921295</v>
      </c>
      <c r="B10670" s="49" t="s">
        <v>10562</v>
      </c>
    </row>
    <row r="10671" spans="1:2">
      <c r="A10671" s="66">
        <v>46071.973733796302</v>
      </c>
      <c r="B10671" s="49" t="s">
        <v>10563</v>
      </c>
    </row>
    <row r="10672" spans="1:2">
      <c r="A10672" s="66">
        <v>46071.973759791668</v>
      </c>
      <c r="B10672" s="49" t="s">
        <v>10564</v>
      </c>
    </row>
    <row r="10673" spans="1:2">
      <c r="A10673" s="66">
        <v>46071.97376168982</v>
      </c>
      <c r="B10673" s="49" t="s">
        <v>10542</v>
      </c>
    </row>
    <row r="10674" spans="1:2">
      <c r="A10674" s="66">
        <v>46071.973766666662</v>
      </c>
      <c r="B10674" s="49" t="s">
        <v>10543</v>
      </c>
    </row>
    <row r="10675" spans="1:2">
      <c r="A10675" s="66">
        <v>46071.97376857639</v>
      </c>
      <c r="B10675" s="49" t="s">
        <v>9394</v>
      </c>
    </row>
    <row r="10676" spans="1:2">
      <c r="A10676" s="66">
        <v>46071.974630023149</v>
      </c>
      <c r="B10676" s="49" t="s">
        <v>10556</v>
      </c>
    </row>
    <row r="10677" spans="1:2">
      <c r="A10677" s="66">
        <v>46071.974632268517</v>
      </c>
      <c r="B10677" s="49" t="s">
        <v>10557</v>
      </c>
    </row>
    <row r="10678" spans="1:2">
      <c r="A10678" s="66">
        <v>46071.97463423611</v>
      </c>
      <c r="B10678" s="49" t="s">
        <v>10546</v>
      </c>
    </row>
    <row r="10679" spans="1:2">
      <c r="A10679" s="66">
        <v>46071.974636064813</v>
      </c>
      <c r="B10679" s="49" t="s">
        <v>10466</v>
      </c>
    </row>
    <row r="10680" spans="1:2">
      <c r="A10680" s="66">
        <v>46071.974638159722</v>
      </c>
      <c r="B10680" s="49" t="s">
        <v>10561</v>
      </c>
    </row>
    <row r="10681" spans="1:2">
      <c r="A10681" s="66">
        <v>46071.974640034721</v>
      </c>
      <c r="B10681" s="49" t="s">
        <v>10562</v>
      </c>
    </row>
    <row r="10682" spans="1:2">
      <c r="A10682" s="66">
        <v>46071.974644166665</v>
      </c>
      <c r="B10682" s="49" t="s">
        <v>10563</v>
      </c>
    </row>
    <row r="10683" spans="1:2">
      <c r="A10683" s="66">
        <v>46071.974664166672</v>
      </c>
      <c r="B10683" s="49" t="s">
        <v>10564</v>
      </c>
    </row>
    <row r="10684" spans="1:2">
      <c r="A10684" s="66">
        <v>46071.974666099537</v>
      </c>
      <c r="B10684" s="49" t="s">
        <v>10542</v>
      </c>
    </row>
    <row r="10685" spans="1:2">
      <c r="A10685" s="66">
        <v>46071.974667858798</v>
      </c>
      <c r="B10685" s="49" t="s">
        <v>10543</v>
      </c>
    </row>
    <row r="10686" spans="1:2">
      <c r="A10686" s="66">
        <v>46071.974669664356</v>
      </c>
      <c r="B10686" s="49" t="s">
        <v>9394</v>
      </c>
    </row>
    <row r="10687" spans="1:2">
      <c r="A10687" s="66">
        <v>46071.975482291666</v>
      </c>
      <c r="B10687" s="49" t="s">
        <v>10556</v>
      </c>
    </row>
    <row r="10688" spans="1:2">
      <c r="A10688" s="66">
        <v>46071.975485509261</v>
      </c>
      <c r="B10688" s="49" t="s">
        <v>10557</v>
      </c>
    </row>
    <row r="10689" spans="1:2">
      <c r="A10689" s="66">
        <v>46071.975487835647</v>
      </c>
      <c r="B10689" s="49" t="s">
        <v>10546</v>
      </c>
    </row>
    <row r="10690" spans="1:2">
      <c r="A10690" s="66">
        <v>46071.975492638885</v>
      </c>
      <c r="B10690" s="49" t="s">
        <v>10466</v>
      </c>
    </row>
    <row r="10691" spans="1:2">
      <c r="A10691" s="66">
        <v>46071.975496898143</v>
      </c>
      <c r="B10691" s="49" t="s">
        <v>10561</v>
      </c>
    </row>
    <row r="10692" spans="1:2">
      <c r="A10692" s="66">
        <v>46071.975499594904</v>
      </c>
      <c r="B10692" s="49" t="s">
        <v>10562</v>
      </c>
    </row>
    <row r="10693" spans="1:2">
      <c r="A10693" s="66">
        <v>46071.975503078706</v>
      </c>
      <c r="B10693" s="49" t="s">
        <v>10563</v>
      </c>
    </row>
    <row r="10694" spans="1:2">
      <c r="A10694" s="66">
        <v>46071.975523460649</v>
      </c>
      <c r="B10694" s="49" t="s">
        <v>10564</v>
      </c>
    </row>
    <row r="10695" spans="1:2">
      <c r="A10695" s="66">
        <v>46071.975526168986</v>
      </c>
      <c r="B10695" s="49" t="s">
        <v>10542</v>
      </c>
    </row>
    <row r="10696" spans="1:2">
      <c r="A10696" s="66">
        <v>46071.97552832176</v>
      </c>
      <c r="B10696" s="49" t="s">
        <v>10543</v>
      </c>
    </row>
    <row r="10697" spans="1:2">
      <c r="A10697" s="66">
        <v>46071.975530428244</v>
      </c>
      <c r="B10697" s="49" t="s">
        <v>9394</v>
      </c>
    </row>
    <row r="10698" spans="1:2">
      <c r="A10698" s="66">
        <v>46071.976248877312</v>
      </c>
      <c r="B10698" s="49" t="s">
        <v>10556</v>
      </c>
    </row>
    <row r="10699" spans="1:2">
      <c r="A10699" s="66">
        <v>46071.97625097222</v>
      </c>
      <c r="B10699" s="49" t="s">
        <v>10557</v>
      </c>
    </row>
    <row r="10700" spans="1:2">
      <c r="A10700" s="66">
        <v>46071.97625709491</v>
      </c>
      <c r="B10700" s="49" t="s">
        <v>10546</v>
      </c>
    </row>
    <row r="10701" spans="1:2">
      <c r="A10701" s="66">
        <v>46071.976259108793</v>
      </c>
      <c r="B10701" s="49" t="s">
        <v>10466</v>
      </c>
    </row>
    <row r="10702" spans="1:2">
      <c r="A10702" s="66">
        <v>46071.976261122691</v>
      </c>
      <c r="B10702" s="49" t="s">
        <v>10561</v>
      </c>
    </row>
    <row r="10703" spans="1:2">
      <c r="A10703" s="66">
        <v>46071.976263020828</v>
      </c>
      <c r="B10703" s="49" t="s">
        <v>10562</v>
      </c>
    </row>
    <row r="10704" spans="1:2">
      <c r="A10704" s="66">
        <v>46071.976264942132</v>
      </c>
      <c r="B10704" s="49" t="s">
        <v>10563</v>
      </c>
    </row>
    <row r="10705" spans="1:2">
      <c r="A10705" s="66">
        <v>46071.976279317125</v>
      </c>
      <c r="B10705" s="49" t="s">
        <v>10564</v>
      </c>
    </row>
    <row r="10706" spans="1:2">
      <c r="A10706" s="66">
        <v>46071.976281481482</v>
      </c>
      <c r="B10706" s="49" t="s">
        <v>10542</v>
      </c>
    </row>
    <row r="10707" spans="1:2">
      <c r="A10707" s="66">
        <v>46071.976283564814</v>
      </c>
      <c r="B10707" s="49" t="s">
        <v>10543</v>
      </c>
    </row>
    <row r="10708" spans="1:2">
      <c r="A10708" s="66">
        <v>46071.976285497687</v>
      </c>
      <c r="B10708" s="49" t="s">
        <v>9394</v>
      </c>
    </row>
    <row r="10709" spans="1:2">
      <c r="A10709" s="66">
        <v>46071.97727609954</v>
      </c>
      <c r="B10709" s="49" t="s">
        <v>10556</v>
      </c>
    </row>
    <row r="10710" spans="1:2">
      <c r="A10710" s="66">
        <v>46071.977281655098</v>
      </c>
      <c r="B10710" s="49" t="s">
        <v>10557</v>
      </c>
    </row>
    <row r="10711" spans="1:2">
      <c r="A10711" s="66">
        <v>46071.977284004628</v>
      </c>
      <c r="B10711" s="49" t="s">
        <v>10546</v>
      </c>
    </row>
    <row r="10712" spans="1:2">
      <c r="A10712" s="66">
        <v>46071.977285972222</v>
      </c>
      <c r="B10712" s="49" t="s">
        <v>10466</v>
      </c>
    </row>
    <row r="10713" spans="1:2">
      <c r="A10713" s="66">
        <v>46071.977292199073</v>
      </c>
      <c r="B10713" s="49" t="s">
        <v>10561</v>
      </c>
    </row>
    <row r="10714" spans="1:2">
      <c r="A10714" s="66">
        <v>46071.977294143522</v>
      </c>
      <c r="B10714" s="49" t="s">
        <v>10562</v>
      </c>
    </row>
    <row r="10715" spans="1:2">
      <c r="A10715" s="66">
        <v>46071.977296249999</v>
      </c>
      <c r="B10715" s="49" t="s">
        <v>10563</v>
      </c>
    </row>
    <row r="10716" spans="1:2">
      <c r="A10716" s="66">
        <v>46071.977317025463</v>
      </c>
      <c r="B10716" s="49" t="s">
        <v>10564</v>
      </c>
    </row>
    <row r="10717" spans="1:2">
      <c r="A10717" s="66">
        <v>46071.977318865742</v>
      </c>
      <c r="B10717" s="49" t="s">
        <v>10542</v>
      </c>
    </row>
    <row r="10718" spans="1:2">
      <c r="A10718" s="66">
        <v>46071.977320740742</v>
      </c>
      <c r="B10718" s="49" t="s">
        <v>10543</v>
      </c>
    </row>
    <row r="10719" spans="1:2">
      <c r="A10719" s="66">
        <v>46071.97732258102</v>
      </c>
      <c r="B10719" s="49" t="s">
        <v>9394</v>
      </c>
    </row>
    <row r="10720" spans="1:2">
      <c r="A10720" s="66">
        <v>46071.978087708332</v>
      </c>
      <c r="B10720" s="49" t="s">
        <v>10556</v>
      </c>
    </row>
    <row r="10721" spans="1:2">
      <c r="A10721" s="66">
        <v>46071.978090810182</v>
      </c>
      <c r="B10721" s="49" t="s">
        <v>10557</v>
      </c>
    </row>
    <row r="10722" spans="1:2">
      <c r="A10722" s="66">
        <v>46071.978093634258</v>
      </c>
      <c r="B10722" s="49" t="s">
        <v>10546</v>
      </c>
    </row>
    <row r="10723" spans="1:2">
      <c r="A10723" s="66">
        <v>46071.97809665509</v>
      </c>
      <c r="B10723" s="49" t="s">
        <v>10466</v>
      </c>
    </row>
    <row r="10724" spans="1:2">
      <c r="A10724" s="66">
        <v>46071.978099583328</v>
      </c>
      <c r="B10724" s="49" t="s">
        <v>10561</v>
      </c>
    </row>
    <row r="10725" spans="1:2">
      <c r="A10725" s="66">
        <v>46071.97810255787</v>
      </c>
      <c r="B10725" s="49" t="s">
        <v>10562</v>
      </c>
    </row>
    <row r="10726" spans="1:2">
      <c r="A10726" s="66">
        <v>46071.978109768519</v>
      </c>
      <c r="B10726" s="49" t="s">
        <v>10563</v>
      </c>
    </row>
    <row r="10727" spans="1:2">
      <c r="A10727" s="66">
        <v>46071.978131516204</v>
      </c>
      <c r="B10727" s="49" t="s">
        <v>10564</v>
      </c>
    </row>
    <row r="10728" spans="1:2">
      <c r="A10728" s="66">
        <v>46071.978134756944</v>
      </c>
      <c r="B10728" s="49" t="s">
        <v>10542</v>
      </c>
    </row>
    <row r="10729" spans="1:2">
      <c r="A10729" s="66">
        <v>46071.978141400468</v>
      </c>
      <c r="B10729" s="49" t="s">
        <v>10543</v>
      </c>
    </row>
    <row r="10730" spans="1:2">
      <c r="A10730" s="66">
        <v>46071.978144201392</v>
      </c>
      <c r="B10730" s="49" t="s">
        <v>9394</v>
      </c>
    </row>
    <row r="10731" spans="1:2">
      <c r="A10731" s="66">
        <v>46071.979003379631</v>
      </c>
      <c r="B10731" s="49" t="s">
        <v>10556</v>
      </c>
    </row>
    <row r="10732" spans="1:2">
      <c r="A10732" s="66">
        <v>46071.979005358793</v>
      </c>
      <c r="B10732" s="49" t="s">
        <v>10557</v>
      </c>
    </row>
    <row r="10733" spans="1:2">
      <c r="A10733" s="66">
        <v>46071.979007118054</v>
      </c>
      <c r="B10733" s="49" t="s">
        <v>10546</v>
      </c>
    </row>
    <row r="10734" spans="1:2">
      <c r="A10734" s="66">
        <v>46071.979008692128</v>
      </c>
      <c r="B10734" s="49" t="s">
        <v>10466</v>
      </c>
    </row>
    <row r="10735" spans="1:2">
      <c r="A10735" s="66">
        <v>46071.979011284726</v>
      </c>
      <c r="B10735" s="49" t="s">
        <v>10561</v>
      </c>
    </row>
    <row r="10736" spans="1:2">
      <c r="A10736" s="66">
        <v>46071.979012881944</v>
      </c>
      <c r="B10736" s="49" t="s">
        <v>10562</v>
      </c>
    </row>
    <row r="10737" spans="1:2">
      <c r="A10737" s="66">
        <v>46071.979014386576</v>
      </c>
      <c r="B10737" s="49" t="s">
        <v>10563</v>
      </c>
    </row>
    <row r="10738" spans="1:2">
      <c r="A10738" s="66">
        <v>46071.979030312505</v>
      </c>
      <c r="B10738" s="49" t="s">
        <v>10564</v>
      </c>
    </row>
    <row r="10739" spans="1:2">
      <c r="A10739" s="66">
        <v>46071.979031979165</v>
      </c>
      <c r="B10739" s="49" t="s">
        <v>10542</v>
      </c>
    </row>
    <row r="10740" spans="1:2">
      <c r="A10740" s="66">
        <v>46071.979038402773</v>
      </c>
      <c r="B10740" s="49" t="s">
        <v>10543</v>
      </c>
    </row>
    <row r="10741" spans="1:2">
      <c r="A10741" s="66">
        <v>46071.979043761574</v>
      </c>
      <c r="B10741" s="49" t="s">
        <v>9394</v>
      </c>
    </row>
    <row r="10742" spans="1:2">
      <c r="A10742" s="66">
        <v>46071.979921018516</v>
      </c>
      <c r="B10742" s="49" t="s">
        <v>10556</v>
      </c>
    </row>
    <row r="10743" spans="1:2">
      <c r="A10743" s="66">
        <v>46071.979923888888</v>
      </c>
      <c r="B10743" s="49" t="s">
        <v>10557</v>
      </c>
    </row>
    <row r="10744" spans="1:2">
      <c r="A10744" s="66">
        <v>46071.979926493055</v>
      </c>
      <c r="B10744" s="49" t="s">
        <v>10546</v>
      </c>
    </row>
    <row r="10745" spans="1:2">
      <c r="A10745" s="66">
        <v>46071.979929351852</v>
      </c>
      <c r="B10745" s="49" t="s">
        <v>10466</v>
      </c>
    </row>
    <row r="10746" spans="1:2">
      <c r="A10746" s="66">
        <v>46071.979931655093</v>
      </c>
      <c r="B10746" s="49" t="s">
        <v>10561</v>
      </c>
    </row>
    <row r="10747" spans="1:2">
      <c r="A10747" s="66">
        <v>46071.979934398143</v>
      </c>
      <c r="B10747" s="49" t="s">
        <v>10562</v>
      </c>
    </row>
    <row r="10748" spans="1:2">
      <c r="A10748" s="66">
        <v>46071.979936400458</v>
      </c>
      <c r="B10748" s="49" t="s">
        <v>10563</v>
      </c>
    </row>
    <row r="10749" spans="1:2">
      <c r="A10749" s="66">
        <v>46071.979956249997</v>
      </c>
      <c r="B10749" s="49" t="s">
        <v>10564</v>
      </c>
    </row>
    <row r="10750" spans="1:2">
      <c r="A10750" s="66">
        <v>46071.979958645832</v>
      </c>
      <c r="B10750" s="49" t="s">
        <v>10542</v>
      </c>
    </row>
    <row r="10751" spans="1:2">
      <c r="A10751" s="66">
        <v>46071.979960925921</v>
      </c>
      <c r="B10751" s="49" t="s">
        <v>10543</v>
      </c>
    </row>
    <row r="10752" spans="1:2">
      <c r="A10752" s="66">
        <v>46071.979963495367</v>
      </c>
      <c r="B10752" s="49" t="s">
        <v>9394</v>
      </c>
    </row>
    <row r="10753" spans="1:2">
      <c r="A10753" s="66">
        <v>46071.981420358796</v>
      </c>
      <c r="B10753" s="49" t="s">
        <v>10556</v>
      </c>
    </row>
    <row r="10754" spans="1:2">
      <c r="A10754" s="66">
        <v>46071.98142408565</v>
      </c>
      <c r="B10754" s="49" t="s">
        <v>10557</v>
      </c>
    </row>
    <row r="10755" spans="1:2">
      <c r="A10755" s="66">
        <v>46071.981427060186</v>
      </c>
      <c r="B10755" s="49" t="s">
        <v>10546</v>
      </c>
    </row>
    <row r="10756" spans="1:2">
      <c r="A10756" s="66">
        <v>46071.981429432868</v>
      </c>
      <c r="B10756" s="49" t="s">
        <v>10466</v>
      </c>
    </row>
    <row r="10757" spans="1:2">
      <c r="A10757" s="66">
        <v>46071.98143211806</v>
      </c>
      <c r="B10757" s="49" t="s">
        <v>10561</v>
      </c>
    </row>
    <row r="10758" spans="1:2">
      <c r="A10758" s="66">
        <v>46071.981435335649</v>
      </c>
      <c r="B10758" s="49" t="s">
        <v>10562</v>
      </c>
    </row>
    <row r="10759" spans="1:2">
      <c r="A10759" s="66">
        <v>46071.981441342592</v>
      </c>
      <c r="B10759" s="49" t="s">
        <v>10563</v>
      </c>
    </row>
    <row r="10760" spans="1:2">
      <c r="A10760" s="66">
        <v>46071.981485069446</v>
      </c>
      <c r="B10760" s="49" t="s">
        <v>10564</v>
      </c>
    </row>
    <row r="10761" spans="1:2">
      <c r="A10761" s="66">
        <v>46071.981488078702</v>
      </c>
      <c r="B10761" s="49" t="s">
        <v>10542</v>
      </c>
    </row>
    <row r="10762" spans="1:2">
      <c r="A10762" s="66">
        <v>46071.981490775463</v>
      </c>
      <c r="B10762" s="49" t="s">
        <v>10543</v>
      </c>
    </row>
    <row r="10763" spans="1:2">
      <c r="A10763" s="66">
        <v>46071.981493495376</v>
      </c>
      <c r="B10763" s="49" t="s">
        <v>9394</v>
      </c>
    </row>
    <row r="10764" spans="1:2">
      <c r="A10764" s="66">
        <v>46071.982895833338</v>
      </c>
      <c r="B10764" s="49" t="s">
        <v>10556</v>
      </c>
    </row>
    <row r="10765" spans="1:2">
      <c r="A10765" s="66">
        <v>46071.982898020833</v>
      </c>
      <c r="B10765" s="49" t="s">
        <v>10557</v>
      </c>
    </row>
    <row r="10766" spans="1:2">
      <c r="A10766" s="66">
        <v>46071.982899988427</v>
      </c>
      <c r="B10766" s="49" t="s">
        <v>10546</v>
      </c>
    </row>
    <row r="10767" spans="1:2">
      <c r="A10767" s="66">
        <v>46071.982901967596</v>
      </c>
      <c r="B10767" s="49" t="s">
        <v>10466</v>
      </c>
    </row>
    <row r="10768" spans="1:2">
      <c r="A10768" s="66">
        <v>46071.982903784723</v>
      </c>
      <c r="B10768" s="49" t="s">
        <v>10561</v>
      </c>
    </row>
    <row r="10769" spans="1:2">
      <c r="A10769" s="66">
        <v>46071.982905636571</v>
      </c>
      <c r="B10769" s="49" t="s">
        <v>10562</v>
      </c>
    </row>
    <row r="10770" spans="1:2">
      <c r="A10770" s="66">
        <v>46071.98290751157</v>
      </c>
      <c r="B10770" s="49" t="s">
        <v>10563</v>
      </c>
    </row>
    <row r="10771" spans="1:2">
      <c r="A10771" s="66">
        <v>46071.982923159725</v>
      </c>
      <c r="B10771" s="49" t="s">
        <v>10564</v>
      </c>
    </row>
    <row r="10772" spans="1:2">
      <c r="A10772" s="66">
        <v>46071.982925069446</v>
      </c>
      <c r="B10772" s="49" t="s">
        <v>10542</v>
      </c>
    </row>
    <row r="10773" spans="1:2">
      <c r="A10773" s="66">
        <v>46071.982927175923</v>
      </c>
      <c r="B10773" s="49" t="s">
        <v>10543</v>
      </c>
    </row>
    <row r="10774" spans="1:2">
      <c r="A10774" s="66">
        <v>46071.98292952546</v>
      </c>
      <c r="B10774" s="49" t="s">
        <v>9394</v>
      </c>
    </row>
    <row r="10775" spans="1:2">
      <c r="A10775" s="66">
        <v>46071.984219166668</v>
      </c>
      <c r="B10775" s="49" t="s">
        <v>10556</v>
      </c>
    </row>
    <row r="10776" spans="1:2">
      <c r="A10776" s="66">
        <v>46071.98422150463</v>
      </c>
      <c r="B10776" s="49" t="s">
        <v>10557</v>
      </c>
    </row>
    <row r="10777" spans="1:2">
      <c r="A10777" s="66">
        <v>46071.984223263891</v>
      </c>
      <c r="B10777" s="49" t="s">
        <v>10546</v>
      </c>
    </row>
    <row r="10778" spans="1:2">
      <c r="A10778" s="66">
        <v>46071.984225219909</v>
      </c>
      <c r="B10778" s="49" t="s">
        <v>10466</v>
      </c>
    </row>
    <row r="10779" spans="1:2">
      <c r="A10779" s="66">
        <v>46071.984226967594</v>
      </c>
      <c r="B10779" s="49" t="s">
        <v>10561</v>
      </c>
    </row>
    <row r="10780" spans="1:2">
      <c r="A10780" s="66">
        <v>46071.984228611109</v>
      </c>
      <c r="B10780" s="49" t="s">
        <v>10562</v>
      </c>
    </row>
    <row r="10781" spans="1:2">
      <c r="A10781" s="66">
        <v>46071.984230231479</v>
      </c>
      <c r="B10781" s="49" t="s">
        <v>10563</v>
      </c>
    </row>
    <row r="10782" spans="1:2">
      <c r="A10782" s="66">
        <v>46071.984249317131</v>
      </c>
      <c r="B10782" s="49" t="s">
        <v>10564</v>
      </c>
    </row>
    <row r="10783" spans="1:2">
      <c r="A10783" s="66">
        <v>46071.984251516202</v>
      </c>
      <c r="B10783" s="49" t="s">
        <v>10542</v>
      </c>
    </row>
    <row r="10784" spans="1:2">
      <c r="A10784" s="66">
        <v>46071.984253344912</v>
      </c>
      <c r="B10784" s="49" t="s">
        <v>10543</v>
      </c>
    </row>
    <row r="10785" spans="1:2">
      <c r="A10785" s="66">
        <v>46071.984255717594</v>
      </c>
      <c r="B10785" s="49" t="s">
        <v>9394</v>
      </c>
    </row>
    <row r="10786" spans="1:2">
      <c r="A10786" s="66">
        <v>46071.985557743057</v>
      </c>
      <c r="B10786" s="49" t="s">
        <v>10556</v>
      </c>
    </row>
    <row r="10787" spans="1:2">
      <c r="A10787" s="66">
        <v>46071.985564039351</v>
      </c>
      <c r="B10787" s="49" t="s">
        <v>10557</v>
      </c>
    </row>
    <row r="10788" spans="1:2">
      <c r="A10788" s="66">
        <v>46071.985566423609</v>
      </c>
      <c r="B10788" s="49" t="s">
        <v>10546</v>
      </c>
    </row>
    <row r="10789" spans="1:2">
      <c r="A10789" s="66">
        <v>46071.985568518518</v>
      </c>
      <c r="B10789" s="49" t="s">
        <v>10466</v>
      </c>
    </row>
    <row r="10790" spans="1:2">
      <c r="A10790" s="66">
        <v>46071.985570578705</v>
      </c>
      <c r="B10790" s="49" t="s">
        <v>10561</v>
      </c>
    </row>
    <row r="10791" spans="1:2">
      <c r="A10791" s="66">
        <v>46071.98557261574</v>
      </c>
      <c r="B10791" s="49" t="s">
        <v>10562</v>
      </c>
    </row>
    <row r="10792" spans="1:2">
      <c r="A10792" s="66">
        <v>46071.985574803242</v>
      </c>
      <c r="B10792" s="49" t="s">
        <v>10563</v>
      </c>
    </row>
    <row r="10793" spans="1:2">
      <c r="A10793" s="66">
        <v>46071.985594062498</v>
      </c>
      <c r="B10793" s="49" t="s">
        <v>10564</v>
      </c>
    </row>
    <row r="10794" spans="1:2">
      <c r="A10794" s="66">
        <v>46071.985596620369</v>
      </c>
      <c r="B10794" s="49" t="s">
        <v>10542</v>
      </c>
    </row>
    <row r="10795" spans="1:2">
      <c r="A10795" s="66">
        <v>46071.98559837963</v>
      </c>
      <c r="B10795" s="49" t="s">
        <v>10543</v>
      </c>
    </row>
    <row r="10796" spans="1:2">
      <c r="A10796" s="66">
        <v>46071.985600439817</v>
      </c>
      <c r="B10796" s="49" t="s">
        <v>9394</v>
      </c>
    </row>
    <row r="10797" spans="1:2">
      <c r="A10797" s="66">
        <v>46071.986943043987</v>
      </c>
      <c r="B10797" s="49" t="s">
        <v>10556</v>
      </c>
    </row>
    <row r="10798" spans="1:2">
      <c r="A10798" s="66">
        <v>46071.986959456015</v>
      </c>
      <c r="B10798" s="49" t="s">
        <v>10557</v>
      </c>
    </row>
    <row r="10799" spans="1:2">
      <c r="A10799" s="66">
        <v>46071.986966365745</v>
      </c>
      <c r="B10799" s="49" t="s">
        <v>10546</v>
      </c>
    </row>
    <row r="10800" spans="1:2">
      <c r="A10800" s="66">
        <v>46071.986973125</v>
      </c>
      <c r="B10800" s="49" t="s">
        <v>10466</v>
      </c>
    </row>
    <row r="10801" spans="1:2">
      <c r="A10801" s="66">
        <v>46071.986976990738</v>
      </c>
      <c r="B10801" s="49" t="s">
        <v>10561</v>
      </c>
    </row>
    <row r="10802" spans="1:2">
      <c r="A10802" s="66">
        <v>46071.9869783912</v>
      </c>
      <c r="B10802" s="49" t="s">
        <v>10562</v>
      </c>
    </row>
    <row r="10803" spans="1:2">
      <c r="A10803" s="66">
        <v>46071.986979814814</v>
      </c>
      <c r="B10803" s="49" t="s">
        <v>10563</v>
      </c>
    </row>
    <row r="10804" spans="1:2">
      <c r="A10804" s="66">
        <v>46071.987005000003</v>
      </c>
      <c r="B10804" s="49" t="s">
        <v>10564</v>
      </c>
    </row>
    <row r="10805" spans="1:2">
      <c r="A10805" s="66">
        <v>46071.987014745369</v>
      </c>
      <c r="B10805" s="49" t="s">
        <v>10542</v>
      </c>
    </row>
    <row r="10806" spans="1:2">
      <c r="A10806" s="66">
        <v>46071.987016400468</v>
      </c>
      <c r="B10806" s="49" t="s">
        <v>10543</v>
      </c>
    </row>
    <row r="10807" spans="1:2">
      <c r="A10807" s="66">
        <v>46071.98701788194</v>
      </c>
      <c r="B10807" s="49" t="s">
        <v>9394</v>
      </c>
    </row>
    <row r="10808" spans="1:2">
      <c r="A10808" s="66">
        <v>46071.988097141206</v>
      </c>
      <c r="B10808" s="49" t="s">
        <v>10556</v>
      </c>
    </row>
    <row r="10809" spans="1:2">
      <c r="A10809" s="66">
        <v>46071.988099895832</v>
      </c>
      <c r="B10809" s="49" t="s">
        <v>10557</v>
      </c>
    </row>
    <row r="10810" spans="1:2">
      <c r="A10810" s="66">
        <v>46071.988102442134</v>
      </c>
      <c r="B10810" s="49" t="s">
        <v>10546</v>
      </c>
    </row>
    <row r="10811" spans="1:2">
      <c r="A10811" s="66">
        <v>46071.988104849537</v>
      </c>
      <c r="B10811" s="49" t="s">
        <v>10466</v>
      </c>
    </row>
    <row r="10812" spans="1:2">
      <c r="A10812" s="66">
        <v>46071.988107372686</v>
      </c>
      <c r="B10812" s="49" t="s">
        <v>10561</v>
      </c>
    </row>
    <row r="10813" spans="1:2">
      <c r="A10813" s="66">
        <v>46071.988109722224</v>
      </c>
      <c r="B10813" s="49" t="s">
        <v>10562</v>
      </c>
    </row>
    <row r="10814" spans="1:2">
      <c r="A10814" s="66">
        <v>46071.988112395833</v>
      </c>
      <c r="B10814" s="49" t="s">
        <v>10563</v>
      </c>
    </row>
    <row r="10815" spans="1:2">
      <c r="A10815" s="66">
        <v>46071.988131666665</v>
      </c>
      <c r="B10815" s="49" t="s">
        <v>10564</v>
      </c>
    </row>
    <row r="10816" spans="1:2">
      <c r="A10816" s="66">
        <v>46071.988133900464</v>
      </c>
      <c r="B10816" s="49" t="s">
        <v>10542</v>
      </c>
    </row>
    <row r="10817" spans="1:2">
      <c r="A10817" s="66">
        <v>46071.988136550921</v>
      </c>
      <c r="B10817" s="49" t="s">
        <v>10543</v>
      </c>
    </row>
    <row r="10818" spans="1:2">
      <c r="A10818" s="66">
        <v>46071.988139236113</v>
      </c>
      <c r="B10818" s="49" t="s">
        <v>9394</v>
      </c>
    </row>
    <row r="10819" spans="1:2">
      <c r="A10819" s="66">
        <v>46071.989471574074</v>
      </c>
      <c r="B10819" s="49" t="s">
        <v>10556</v>
      </c>
    </row>
    <row r="10820" spans="1:2">
      <c r="A10820" s="66">
        <v>46071.989474108792</v>
      </c>
      <c r="B10820" s="49" t="s">
        <v>10557</v>
      </c>
    </row>
    <row r="10821" spans="1:2">
      <c r="A10821" s="66">
        <v>46071.989476631948</v>
      </c>
      <c r="B10821" s="49" t="s">
        <v>10546</v>
      </c>
    </row>
    <row r="10822" spans="1:2">
      <c r="A10822" s="66">
        <v>46071.989481840283</v>
      </c>
      <c r="B10822" s="49" t="s">
        <v>10466</v>
      </c>
    </row>
    <row r="10823" spans="1:2">
      <c r="A10823" s="66">
        <v>46071.989486331018</v>
      </c>
      <c r="B10823" s="49" t="s">
        <v>10561</v>
      </c>
    </row>
    <row r="10824" spans="1:2">
      <c r="A10824" s="66">
        <v>46071.989490231485</v>
      </c>
      <c r="B10824" s="49" t="s">
        <v>10562</v>
      </c>
    </row>
    <row r="10825" spans="1:2">
      <c r="A10825" s="66">
        <v>46071.989493275461</v>
      </c>
      <c r="B10825" s="49" t="s">
        <v>10563</v>
      </c>
    </row>
    <row r="10826" spans="1:2">
      <c r="A10826" s="66">
        <v>46071.989554178246</v>
      </c>
      <c r="B10826" s="49" t="s">
        <v>10564</v>
      </c>
    </row>
    <row r="10827" spans="1:2">
      <c r="A10827" s="66">
        <v>46071.989556053246</v>
      </c>
      <c r="B10827" s="49" t="s">
        <v>10542</v>
      </c>
    </row>
    <row r="10828" spans="1:2">
      <c r="A10828" s="66">
        <v>46071.989558981484</v>
      </c>
      <c r="B10828" s="49" t="s">
        <v>10543</v>
      </c>
    </row>
    <row r="10829" spans="1:2">
      <c r="A10829" s="66">
        <v>46071.989562893519</v>
      </c>
      <c r="B10829" s="49" t="s">
        <v>9394</v>
      </c>
    </row>
    <row r="10830" spans="1:2">
      <c r="A10830" s="66">
        <v>46071.990632083332</v>
      </c>
      <c r="B10830" s="49" t="s">
        <v>10556</v>
      </c>
    </row>
    <row r="10831" spans="1:2">
      <c r="A10831" s="66">
        <v>46071.990634768517</v>
      </c>
      <c r="B10831" s="49" t="s">
        <v>10557</v>
      </c>
    </row>
    <row r="10832" spans="1:2">
      <c r="A10832" s="66">
        <v>46071.990637395837</v>
      </c>
      <c r="B10832" s="49" t="s">
        <v>10546</v>
      </c>
    </row>
    <row r="10833" spans="1:2">
      <c r="A10833" s="66">
        <v>46071.990639490745</v>
      </c>
      <c r="B10833" s="49" t="s">
        <v>10466</v>
      </c>
    </row>
    <row r="10834" spans="1:2">
      <c r="A10834" s="66">
        <v>46071.990642708333</v>
      </c>
      <c r="B10834" s="49" t="s">
        <v>10561</v>
      </c>
    </row>
    <row r="10835" spans="1:2">
      <c r="A10835" s="66">
        <v>46071.990644861115</v>
      </c>
      <c r="B10835" s="49" t="s">
        <v>10562</v>
      </c>
    </row>
    <row r="10836" spans="1:2">
      <c r="A10836" s="66">
        <v>46071.99064758102</v>
      </c>
      <c r="B10836" s="49" t="s">
        <v>10563</v>
      </c>
    </row>
    <row r="10837" spans="1:2">
      <c r="A10837" s="66">
        <v>46071.990665231482</v>
      </c>
      <c r="B10837" s="49" t="s">
        <v>10564</v>
      </c>
    </row>
    <row r="10838" spans="1:2">
      <c r="A10838" s="66">
        <v>46071.990668148152</v>
      </c>
      <c r="B10838" s="49" t="s">
        <v>10542</v>
      </c>
    </row>
    <row r="10839" spans="1:2">
      <c r="A10839" s="66">
        <v>46071.990670150466</v>
      </c>
      <c r="B10839" s="49" t="s">
        <v>10543</v>
      </c>
    </row>
    <row r="10840" spans="1:2">
      <c r="A10840" s="66">
        <v>46071.990673645836</v>
      </c>
      <c r="B10840" s="49" t="s">
        <v>9394</v>
      </c>
    </row>
    <row r="10841" spans="1:2">
      <c r="A10841" s="66">
        <v>46071.992041226855</v>
      </c>
      <c r="B10841" s="49" t="s">
        <v>10556</v>
      </c>
    </row>
    <row r="10842" spans="1:2">
      <c r="A10842" s="66">
        <v>46071.992044085651</v>
      </c>
      <c r="B10842" s="49" t="s">
        <v>10557</v>
      </c>
    </row>
    <row r="10843" spans="1:2">
      <c r="A10843" s="66">
        <v>46071.992046793981</v>
      </c>
      <c r="B10843" s="49" t="s">
        <v>10546</v>
      </c>
    </row>
    <row r="10844" spans="1:2">
      <c r="A10844" s="66">
        <v>46071.992048912041</v>
      </c>
      <c r="B10844" s="49" t="s">
        <v>10466</v>
      </c>
    </row>
    <row r="10845" spans="1:2">
      <c r="A10845" s="66">
        <v>46071.992055011578</v>
      </c>
      <c r="B10845" s="49" t="s">
        <v>10561</v>
      </c>
    </row>
    <row r="10846" spans="1:2">
      <c r="A10846" s="66">
        <v>46071.992057974538</v>
      </c>
      <c r="B10846" s="49" t="s">
        <v>10562</v>
      </c>
    </row>
    <row r="10847" spans="1:2">
      <c r="A10847" s="66">
        <v>46071.992060300923</v>
      </c>
      <c r="B10847" s="49" t="s">
        <v>10563</v>
      </c>
    </row>
    <row r="10848" spans="1:2">
      <c r="A10848" s="66">
        <v>46071.992079976852</v>
      </c>
      <c r="B10848" s="49" t="s">
        <v>10564</v>
      </c>
    </row>
    <row r="10849" spans="1:2">
      <c r="A10849" s="66">
        <v>46071.992082812503</v>
      </c>
      <c r="B10849" s="49" t="s">
        <v>10542</v>
      </c>
    </row>
    <row r="10850" spans="1:2">
      <c r="A10850" s="66">
        <v>46071.992086099533</v>
      </c>
      <c r="B10850" s="49" t="s">
        <v>10543</v>
      </c>
    </row>
    <row r="10851" spans="1:2">
      <c r="A10851" s="66">
        <v>46071.992088703701</v>
      </c>
      <c r="B10851" s="49" t="s">
        <v>9394</v>
      </c>
    </row>
    <row r="10852" spans="1:2">
      <c r="A10852" s="66">
        <v>46071.993222893521</v>
      </c>
      <c r="B10852" s="49" t="s">
        <v>10556</v>
      </c>
    </row>
    <row r="10853" spans="1:2">
      <c r="A10853" s="66">
        <v>46071.99322498843</v>
      </c>
      <c r="B10853" s="49" t="s">
        <v>10557</v>
      </c>
    </row>
    <row r="10854" spans="1:2">
      <c r="A10854" s="66">
        <v>46071.993226805556</v>
      </c>
      <c r="B10854" s="49" t="s">
        <v>10546</v>
      </c>
    </row>
    <row r="10855" spans="1:2">
      <c r="A10855" s="66">
        <v>46071.993228738429</v>
      </c>
      <c r="B10855" s="49" t="s">
        <v>10466</v>
      </c>
    </row>
    <row r="10856" spans="1:2">
      <c r="A10856" s="66">
        <v>46071.993230624998</v>
      </c>
      <c r="B10856" s="49" t="s">
        <v>10561</v>
      </c>
    </row>
    <row r="10857" spans="1:2">
      <c r="A10857" s="66">
        <v>46071.993232523149</v>
      </c>
      <c r="B10857" s="49" t="s">
        <v>10562</v>
      </c>
    </row>
    <row r="10858" spans="1:2">
      <c r="A10858" s="66">
        <v>46071.993234525464</v>
      </c>
      <c r="B10858" s="49" t="s">
        <v>10563</v>
      </c>
    </row>
    <row r="10859" spans="1:2">
      <c r="A10859" s="66">
        <v>46071.993267743055</v>
      </c>
      <c r="B10859" s="49" t="s">
        <v>10564</v>
      </c>
    </row>
    <row r="10860" spans="1:2">
      <c r="A10860" s="66">
        <v>46071.993276527777</v>
      </c>
      <c r="B10860" s="49" t="s">
        <v>10542</v>
      </c>
    </row>
    <row r="10861" spans="1:2">
      <c r="A10861" s="66">
        <v>46071.993278483795</v>
      </c>
      <c r="B10861" s="49" t="s">
        <v>10543</v>
      </c>
    </row>
    <row r="10862" spans="1:2">
      <c r="A10862" s="66">
        <v>46071.993280347218</v>
      </c>
      <c r="B10862" s="49" t="s">
        <v>9394</v>
      </c>
    </row>
    <row r="10863" spans="1:2">
      <c r="A10863" s="66">
        <v>46071.994360277778</v>
      </c>
      <c r="B10863" s="49" t="s">
        <v>10556</v>
      </c>
    </row>
    <row r="10864" spans="1:2">
      <c r="A10864" s="66">
        <v>46071.99436251157</v>
      </c>
      <c r="B10864" s="49" t="s">
        <v>10557</v>
      </c>
    </row>
    <row r="10865" spans="1:2">
      <c r="A10865" s="66">
        <v>46071.994364861108</v>
      </c>
      <c r="B10865" s="49" t="s">
        <v>10546</v>
      </c>
    </row>
    <row r="10866" spans="1:2">
      <c r="A10866" s="66">
        <v>46071.994367164356</v>
      </c>
      <c r="B10866" s="49" t="s">
        <v>10466</v>
      </c>
    </row>
    <row r="10867" spans="1:2">
      <c r="A10867" s="66">
        <v>46071.994372962959</v>
      </c>
      <c r="B10867" s="49" t="s">
        <v>10561</v>
      </c>
    </row>
    <row r="10868" spans="1:2">
      <c r="A10868" s="66">
        <v>46071.994374976857</v>
      </c>
      <c r="B10868" s="49" t="s">
        <v>10562</v>
      </c>
    </row>
    <row r="10869" spans="1:2">
      <c r="A10869" s="66">
        <v>46071.994377916664</v>
      </c>
      <c r="B10869" s="49" t="s">
        <v>10563</v>
      </c>
    </row>
    <row r="10870" spans="1:2">
      <c r="A10870" s="66">
        <v>46071.994405000005</v>
      </c>
      <c r="B10870" s="49" t="s">
        <v>10564</v>
      </c>
    </row>
    <row r="10871" spans="1:2">
      <c r="A10871" s="66">
        <v>46071.994406967591</v>
      </c>
      <c r="B10871" s="49" t="s">
        <v>10542</v>
      </c>
    </row>
    <row r="10872" spans="1:2">
      <c r="A10872" s="66">
        <v>46071.994408726852</v>
      </c>
      <c r="B10872" s="49" t="s">
        <v>10543</v>
      </c>
    </row>
    <row r="10873" spans="1:2">
      <c r="A10873" s="66">
        <v>46071.994411168984</v>
      </c>
      <c r="B10873" s="49" t="s">
        <v>9394</v>
      </c>
    </row>
    <row r="10874" spans="1:2">
      <c r="A10874" s="66">
        <v>46071.995694467594</v>
      </c>
      <c r="B10874" s="49" t="s">
        <v>10556</v>
      </c>
    </row>
    <row r="10875" spans="1:2">
      <c r="A10875" s="66">
        <v>46071.99569664352</v>
      </c>
      <c r="B10875" s="49" t="s">
        <v>10557</v>
      </c>
    </row>
    <row r="10876" spans="1:2">
      <c r="A10876" s="66">
        <v>46071.995698645835</v>
      </c>
      <c r="B10876" s="49" t="s">
        <v>10546</v>
      </c>
    </row>
    <row r="10877" spans="1:2">
      <c r="A10877" s="66">
        <v>46071.995701053238</v>
      </c>
      <c r="B10877" s="49" t="s">
        <v>10466</v>
      </c>
    </row>
    <row r="10878" spans="1:2">
      <c r="A10878" s="66">
        <v>46071.99570402778</v>
      </c>
      <c r="B10878" s="49" t="s">
        <v>10561</v>
      </c>
    </row>
    <row r="10879" spans="1:2">
      <c r="A10879" s="66">
        <v>46071.995706539354</v>
      </c>
      <c r="B10879" s="49" t="s">
        <v>10562</v>
      </c>
    </row>
    <row r="10880" spans="1:2">
      <c r="A10880" s="66">
        <v>46071.995710092597</v>
      </c>
      <c r="B10880" s="49" t="s">
        <v>10563</v>
      </c>
    </row>
    <row r="10881" spans="1:2">
      <c r="A10881" s="66">
        <v>46071.995727118054</v>
      </c>
      <c r="B10881" s="49" t="s">
        <v>10564</v>
      </c>
    </row>
    <row r="10882" spans="1:2">
      <c r="A10882" s="66">
        <v>46071.995729363422</v>
      </c>
      <c r="B10882" s="49" t="s">
        <v>10542</v>
      </c>
    </row>
    <row r="10883" spans="1:2">
      <c r="A10883" s="66">
        <v>46071.995731828705</v>
      </c>
      <c r="B10883" s="49" t="s">
        <v>10543</v>
      </c>
    </row>
    <row r="10884" spans="1:2">
      <c r="A10884" s="66">
        <v>46071.995733773147</v>
      </c>
      <c r="B10884" s="49" t="s">
        <v>9394</v>
      </c>
    </row>
    <row r="10885" spans="1:2">
      <c r="A10885" s="66">
        <v>46071.996995694441</v>
      </c>
      <c r="B10885" s="49" t="s">
        <v>10556</v>
      </c>
    </row>
    <row r="10886" spans="1:2">
      <c r="A10886" s="66">
        <v>46071.996998159724</v>
      </c>
      <c r="B10886" s="49" t="s">
        <v>10557</v>
      </c>
    </row>
    <row r="10887" spans="1:2">
      <c r="A10887" s="66">
        <v>46071.997000046293</v>
      </c>
      <c r="B10887" s="49" t="s">
        <v>10546</v>
      </c>
    </row>
    <row r="10888" spans="1:2">
      <c r="A10888" s="66">
        <v>46071.997001689815</v>
      </c>
      <c r="B10888" s="49" t="s">
        <v>10466</v>
      </c>
    </row>
    <row r="10889" spans="1:2">
      <c r="A10889" s="66">
        <v>46071.997003622688</v>
      </c>
      <c r="B10889" s="49" t="s">
        <v>10561</v>
      </c>
    </row>
    <row r="10890" spans="1:2">
      <c r="A10890" s="66">
        <v>46071.99700585648</v>
      </c>
      <c r="B10890" s="49" t="s">
        <v>10562</v>
      </c>
    </row>
    <row r="10891" spans="1:2">
      <c r="A10891" s="66">
        <v>46071.9970077662</v>
      </c>
      <c r="B10891" s="49" t="s">
        <v>10563</v>
      </c>
    </row>
    <row r="10892" spans="1:2">
      <c r="A10892" s="66">
        <v>46071.997024444441</v>
      </c>
      <c r="B10892" s="49" t="s">
        <v>10564</v>
      </c>
    </row>
    <row r="10893" spans="1:2">
      <c r="A10893" s="66">
        <v>46071.997026747689</v>
      </c>
      <c r="B10893" s="49" t="s">
        <v>10542</v>
      </c>
    </row>
    <row r="10894" spans="1:2">
      <c r="A10894" s="66">
        <v>46071.997028495374</v>
      </c>
      <c r="B10894" s="49" t="s">
        <v>10543</v>
      </c>
    </row>
    <row r="10895" spans="1:2">
      <c r="A10895" s="66">
        <v>46071.997030254628</v>
      </c>
      <c r="B10895" s="49" t="s">
        <v>9394</v>
      </c>
    </row>
    <row r="10896" spans="1:2">
      <c r="A10896" s="66">
        <v>46071.99795837963</v>
      </c>
      <c r="B10896" s="49" t="s">
        <v>10556</v>
      </c>
    </row>
    <row r="10897" spans="1:2">
      <c r="A10897" s="66">
        <v>46071.997962037036</v>
      </c>
      <c r="B10897" s="49" t="s">
        <v>10557</v>
      </c>
    </row>
    <row r="10898" spans="1:2">
      <c r="A10898" s="66">
        <v>46071.997963703703</v>
      </c>
      <c r="B10898" s="49" t="s">
        <v>10546</v>
      </c>
    </row>
    <row r="10899" spans="1:2">
      <c r="A10899" s="66">
        <v>46071.997965138886</v>
      </c>
      <c r="B10899" s="49" t="s">
        <v>10466</v>
      </c>
    </row>
    <row r="10900" spans="1:2">
      <c r="A10900" s="66">
        <v>46071.997971585646</v>
      </c>
      <c r="B10900" s="49" t="s">
        <v>10561</v>
      </c>
    </row>
    <row r="10901" spans="1:2">
      <c r="A10901" s="66">
        <v>46071.997973657402</v>
      </c>
      <c r="B10901" s="49" t="s">
        <v>10562</v>
      </c>
    </row>
    <row r="10902" spans="1:2">
      <c r="A10902" s="66">
        <v>46071.997975289356</v>
      </c>
      <c r="B10902" s="49" t="s">
        <v>10563</v>
      </c>
    </row>
    <row r="10903" spans="1:2">
      <c r="A10903" s="66">
        <v>46071.997990995369</v>
      </c>
      <c r="B10903" s="49" t="s">
        <v>10564</v>
      </c>
    </row>
    <row r="10904" spans="1:2">
      <c r="A10904" s="66">
        <v>46071.997994375</v>
      </c>
      <c r="B10904" s="49" t="s">
        <v>10542</v>
      </c>
    </row>
    <row r="10905" spans="1:2">
      <c r="A10905" s="66">
        <v>46071.997996273145</v>
      </c>
      <c r="B10905" s="49" t="s">
        <v>10543</v>
      </c>
    </row>
    <row r="10906" spans="1:2">
      <c r="A10906" s="66">
        <v>46071.99799797454</v>
      </c>
      <c r="B10906" s="49" t="s">
        <v>9394</v>
      </c>
    </row>
    <row r="10907" spans="1:2">
      <c r="A10907" s="66">
        <v>46071.998898194448</v>
      </c>
      <c r="B10907" s="49" t="s">
        <v>10556</v>
      </c>
    </row>
    <row r="10908" spans="1:2">
      <c r="A10908" s="66">
        <v>46071.998900509258</v>
      </c>
      <c r="B10908" s="49" t="s">
        <v>10557</v>
      </c>
    </row>
    <row r="10909" spans="1:2">
      <c r="A10909" s="66">
        <v>46071.998902662039</v>
      </c>
      <c r="B10909" s="49" t="s">
        <v>10546</v>
      </c>
    </row>
    <row r="10910" spans="1:2">
      <c r="A10910" s="66">
        <v>46071.998904780092</v>
      </c>
      <c r="B10910" s="49" t="s">
        <v>10466</v>
      </c>
    </row>
    <row r="10911" spans="1:2">
      <c r="A10911" s="66">
        <v>46071.998907106477</v>
      </c>
      <c r="B10911" s="49" t="s">
        <v>10561</v>
      </c>
    </row>
    <row r="10912" spans="1:2">
      <c r="A10912" s="66">
        <v>46071.998909907408</v>
      </c>
      <c r="B10912" s="49" t="s">
        <v>10562</v>
      </c>
    </row>
    <row r="10913" spans="1:2">
      <c r="A10913" s="66">
        <v>46071.998919803242</v>
      </c>
      <c r="B10913" s="49" t="s">
        <v>10563</v>
      </c>
    </row>
    <row r="10914" spans="1:2">
      <c r="A10914" s="66">
        <v>46071.998936006945</v>
      </c>
      <c r="B10914" s="49" t="s">
        <v>10564</v>
      </c>
    </row>
    <row r="10915" spans="1:2">
      <c r="A10915" s="66">
        <v>46071.998937916665</v>
      </c>
      <c r="B10915" s="49" t="s">
        <v>10542</v>
      </c>
    </row>
    <row r="10916" spans="1:2">
      <c r="A10916" s="66">
        <v>46071.998939884259</v>
      </c>
      <c r="B10916" s="49" t="s">
        <v>10543</v>
      </c>
    </row>
    <row r="10917" spans="1:2">
      <c r="A10917" s="66">
        <v>46071.998941898149</v>
      </c>
      <c r="B10917" s="49" t="s">
        <v>9394</v>
      </c>
    </row>
    <row r="10918" spans="1:2">
      <c r="A10918" s="66">
        <v>46072.000086064814</v>
      </c>
      <c r="B10918" s="49" t="s">
        <v>10556</v>
      </c>
    </row>
    <row r="10919" spans="1:2">
      <c r="A10919" s="66">
        <v>46072.000087824075</v>
      </c>
      <c r="B10919" s="49" t="s">
        <v>10557</v>
      </c>
    </row>
    <row r="10920" spans="1:2">
      <c r="A10920" s="66">
        <v>46072.000089525463</v>
      </c>
      <c r="B10920" s="49" t="s">
        <v>10546</v>
      </c>
    </row>
    <row r="10921" spans="1:2">
      <c r="A10921" s="66">
        <v>46072.000091087961</v>
      </c>
      <c r="B10921" s="49" t="s">
        <v>10466</v>
      </c>
    </row>
    <row r="10922" spans="1:2">
      <c r="A10922" s="66">
        <v>46072.000093518523</v>
      </c>
      <c r="B10922" s="49" t="s">
        <v>10561</v>
      </c>
    </row>
    <row r="10923" spans="1:2">
      <c r="A10923" s="66">
        <v>46072.000099212964</v>
      </c>
      <c r="B10923" s="49" t="s">
        <v>10562</v>
      </c>
    </row>
    <row r="10924" spans="1:2">
      <c r="A10924" s="66">
        <v>46072.000100891208</v>
      </c>
      <c r="B10924" s="49" t="s">
        <v>10563</v>
      </c>
    </row>
    <row r="10925" spans="1:2">
      <c r="A10925" s="66">
        <v>46072.000114178241</v>
      </c>
      <c r="B10925" s="49" t="s">
        <v>10564</v>
      </c>
    </row>
    <row r="10926" spans="1:2">
      <c r="A10926" s="66">
        <v>46072.000115821764</v>
      </c>
      <c r="B10926" s="49" t="s">
        <v>10542</v>
      </c>
    </row>
    <row r="10927" spans="1:2">
      <c r="A10927" s="66">
        <v>46072.000119039352</v>
      </c>
      <c r="B10927" s="49" t="s">
        <v>10543</v>
      </c>
    </row>
    <row r="10928" spans="1:2">
      <c r="A10928" s="66">
        <v>46072.000120578705</v>
      </c>
      <c r="B10928" s="49" t="s">
        <v>9394</v>
      </c>
    </row>
    <row r="10929" spans="1:2">
      <c r="A10929" s="66">
        <v>46072.001208055561</v>
      </c>
      <c r="B10929" s="49" t="s">
        <v>10556</v>
      </c>
    </row>
    <row r="10930" spans="1:2">
      <c r="A10930" s="66">
        <v>46072.001210162038</v>
      </c>
      <c r="B10930" s="49" t="s">
        <v>10557</v>
      </c>
    </row>
    <row r="10931" spans="1:2">
      <c r="A10931" s="66">
        <v>46072.001211967596</v>
      </c>
      <c r="B10931" s="49" t="s">
        <v>10546</v>
      </c>
    </row>
    <row r="10932" spans="1:2">
      <c r="A10932" s="66">
        <v>46072.001213611111</v>
      </c>
      <c r="B10932" s="49" t="s">
        <v>10466</v>
      </c>
    </row>
    <row r="10933" spans="1:2">
      <c r="A10933" s="66">
        <v>46072.001215277778</v>
      </c>
      <c r="B10933" s="49" t="s">
        <v>10561</v>
      </c>
    </row>
    <row r="10934" spans="1:2">
      <c r="A10934" s="66">
        <v>46072.001217314813</v>
      </c>
      <c r="B10934" s="49" t="s">
        <v>10562</v>
      </c>
    </row>
    <row r="10935" spans="1:2">
      <c r="A10935" s="66">
        <v>46072.001219421298</v>
      </c>
      <c r="B10935" s="49" t="s">
        <v>10563</v>
      </c>
    </row>
    <row r="10936" spans="1:2">
      <c r="A10936" s="66">
        <v>46072.001236157404</v>
      </c>
      <c r="B10936" s="49" t="s">
        <v>10564</v>
      </c>
    </row>
    <row r="10937" spans="1:2">
      <c r="A10937" s="66">
        <v>46072.001242418977</v>
      </c>
      <c r="B10937" s="49" t="s">
        <v>10542</v>
      </c>
    </row>
    <row r="10938" spans="1:2">
      <c r="A10938" s="66">
        <v>46072.001244143517</v>
      </c>
      <c r="B10938" s="49" t="s">
        <v>10543</v>
      </c>
    </row>
    <row r="10939" spans="1:2">
      <c r="A10939" s="66">
        <v>46072.001246064814</v>
      </c>
      <c r="B10939" s="49" t="s">
        <v>9394</v>
      </c>
    </row>
    <row r="10940" spans="1:2">
      <c r="A10940" s="66">
        <v>46072.002225682867</v>
      </c>
      <c r="B10940" s="49" t="s">
        <v>10556</v>
      </c>
    </row>
    <row r="10941" spans="1:2">
      <c r="A10941" s="66">
        <v>46072.002228784724</v>
      </c>
      <c r="B10941" s="49" t="s">
        <v>10557</v>
      </c>
    </row>
    <row r="10942" spans="1:2">
      <c r="A10942" s="66">
        <v>46072.002231747683</v>
      </c>
      <c r="B10942" s="49" t="s">
        <v>10546</v>
      </c>
    </row>
    <row r="10943" spans="1:2">
      <c r="A10943" s="66">
        <v>46072.002236851855</v>
      </c>
      <c r="B10943" s="49" t="s">
        <v>10466</v>
      </c>
    </row>
    <row r="10944" spans="1:2">
      <c r="A10944" s="66">
        <v>46072.002239293986</v>
      </c>
      <c r="B10944" s="49" t="s">
        <v>10561</v>
      </c>
    </row>
    <row r="10945" spans="1:2">
      <c r="A10945" s="66">
        <v>46072.002241689814</v>
      </c>
      <c r="B10945" s="49" t="s">
        <v>10562</v>
      </c>
    </row>
    <row r="10946" spans="1:2">
      <c r="A10946" s="66">
        <v>46072.002244999996</v>
      </c>
      <c r="B10946" s="49" t="s">
        <v>10563</v>
      </c>
    </row>
    <row r="10947" spans="1:2">
      <c r="A10947" s="66">
        <v>46072.002283148147</v>
      </c>
      <c r="B10947" s="49" t="s">
        <v>10564</v>
      </c>
    </row>
    <row r="10948" spans="1:2">
      <c r="A10948" s="66">
        <v>46072.002285578703</v>
      </c>
      <c r="B10948" s="49" t="s">
        <v>10542</v>
      </c>
    </row>
    <row r="10949" spans="1:2">
      <c r="A10949" s="66">
        <v>46072.002287766205</v>
      </c>
      <c r="B10949" s="49" t="s">
        <v>10543</v>
      </c>
    </row>
    <row r="10950" spans="1:2">
      <c r="A10950" s="66">
        <v>46072.002291261575</v>
      </c>
      <c r="B10950" s="49" t="s">
        <v>9394</v>
      </c>
    </row>
    <row r="10951" spans="1:2">
      <c r="A10951" s="66">
        <v>46072.003114432868</v>
      </c>
      <c r="B10951" s="49" t="s">
        <v>10556</v>
      </c>
    </row>
    <row r="10952" spans="1:2">
      <c r="A10952" s="66">
        <v>46072.003116435182</v>
      </c>
      <c r="B10952" s="49" t="s">
        <v>10557</v>
      </c>
    </row>
    <row r="10953" spans="1:2">
      <c r="A10953" s="66">
        <v>46072.003118368055</v>
      </c>
      <c r="B10953" s="49" t="s">
        <v>10546</v>
      </c>
    </row>
    <row r="10954" spans="1:2">
      <c r="A10954" s="66">
        <v>46072.003120069443</v>
      </c>
      <c r="B10954" s="49" t="s">
        <v>10466</v>
      </c>
    </row>
    <row r="10955" spans="1:2">
      <c r="A10955" s="66">
        <v>46072.003121909722</v>
      </c>
      <c r="B10955" s="49" t="s">
        <v>10561</v>
      </c>
    </row>
    <row r="10956" spans="1:2">
      <c r="A10956" s="66">
        <v>46072.003123773145</v>
      </c>
      <c r="B10956" s="49" t="s">
        <v>10562</v>
      </c>
    </row>
    <row r="10957" spans="1:2">
      <c r="A10957" s="66">
        <v>46072.00312981481</v>
      </c>
      <c r="B10957" s="49" t="s">
        <v>10563</v>
      </c>
    </row>
    <row r="10958" spans="1:2">
      <c r="A10958" s="66">
        <v>46072.00314453704</v>
      </c>
      <c r="B10958" s="49" t="s">
        <v>10564</v>
      </c>
    </row>
    <row r="10959" spans="1:2">
      <c r="A10959" s="66">
        <v>46072.0031465625</v>
      </c>
      <c r="B10959" s="49" t="s">
        <v>10542</v>
      </c>
    </row>
    <row r="10960" spans="1:2">
      <c r="A10960" s="66">
        <v>46072.003149027776</v>
      </c>
      <c r="B10960" s="49" t="s">
        <v>10543</v>
      </c>
    </row>
    <row r="10961" spans="1:2">
      <c r="A10961" s="66">
        <v>46072.003150925928</v>
      </c>
      <c r="B10961" s="49" t="s">
        <v>9394</v>
      </c>
    </row>
    <row r="10962" spans="1:2">
      <c r="A10962" s="66">
        <v>46072.004137592594</v>
      </c>
      <c r="B10962" s="49" t="s">
        <v>10556</v>
      </c>
    </row>
    <row r="10963" spans="1:2">
      <c r="A10963" s="66">
        <v>46072.004139988421</v>
      </c>
      <c r="B10963" s="49" t="s">
        <v>10557</v>
      </c>
    </row>
    <row r="10964" spans="1:2">
      <c r="A10964" s="66">
        <v>46072.004148472217</v>
      </c>
      <c r="B10964" s="49" t="s">
        <v>10546</v>
      </c>
    </row>
    <row r="10965" spans="1:2">
      <c r="A10965" s="66">
        <v>46072.004150115739</v>
      </c>
      <c r="B10965" s="49" t="s">
        <v>10466</v>
      </c>
    </row>
    <row r="10966" spans="1:2">
      <c r="A10966" s="66">
        <v>46072.004151909721</v>
      </c>
      <c r="B10966" s="49" t="s">
        <v>10561</v>
      </c>
    </row>
    <row r="10967" spans="1:2">
      <c r="A10967" s="66">
        <v>46072.004158946758</v>
      </c>
      <c r="B10967" s="49" t="s">
        <v>10562</v>
      </c>
    </row>
    <row r="10968" spans="1:2">
      <c r="A10968" s="66">
        <v>46072.004161030098</v>
      </c>
      <c r="B10968" s="49" t="s">
        <v>10563</v>
      </c>
    </row>
    <row r="10969" spans="1:2">
      <c r="A10969" s="66">
        <v>46072.004175335649</v>
      </c>
      <c r="B10969" s="49" t="s">
        <v>10564</v>
      </c>
    </row>
    <row r="10970" spans="1:2">
      <c r="A10970" s="66">
        <v>46072.004179571755</v>
      </c>
      <c r="B10970" s="49" t="s">
        <v>10542</v>
      </c>
    </row>
    <row r="10971" spans="1:2">
      <c r="A10971" s="66">
        <v>46072.004181712968</v>
      </c>
      <c r="B10971" s="49" t="s">
        <v>10543</v>
      </c>
    </row>
    <row r="10972" spans="1:2">
      <c r="A10972" s="66">
        <v>46072.004183333338</v>
      </c>
      <c r="B10972" s="49" t="s">
        <v>9394</v>
      </c>
    </row>
    <row r="10973" spans="1:2">
      <c r="A10973" s="66">
        <v>46072.005119340276</v>
      </c>
      <c r="B10973" s="49" t="s">
        <v>10556</v>
      </c>
    </row>
    <row r="10974" spans="1:2">
      <c r="A10974" s="66">
        <v>46072.005125960648</v>
      </c>
      <c r="B10974" s="49" t="s">
        <v>10557</v>
      </c>
    </row>
    <row r="10975" spans="1:2">
      <c r="A10975" s="66">
        <v>46072.005128310186</v>
      </c>
      <c r="B10975" s="49" t="s">
        <v>10546</v>
      </c>
    </row>
    <row r="10976" spans="1:2">
      <c r="A10976" s="66">
        <v>46072.00513020833</v>
      </c>
      <c r="B10976" s="49" t="s">
        <v>10466</v>
      </c>
    </row>
    <row r="10977" spans="1:2">
      <c r="A10977" s="66">
        <v>46072.005132152779</v>
      </c>
      <c r="B10977" s="49" t="s">
        <v>10561</v>
      </c>
    </row>
    <row r="10978" spans="1:2">
      <c r="A10978" s="66">
        <v>46072.005134340274</v>
      </c>
      <c r="B10978" s="49" t="s">
        <v>10562</v>
      </c>
    </row>
    <row r="10979" spans="1:2">
      <c r="A10979" s="66">
        <v>46072.005137233791</v>
      </c>
      <c r="B10979" s="49" t="s">
        <v>10563</v>
      </c>
    </row>
    <row r="10980" spans="1:2">
      <c r="A10980" s="66">
        <v>46072.005156805557</v>
      </c>
      <c r="B10980" s="49" t="s">
        <v>10564</v>
      </c>
    </row>
    <row r="10981" spans="1:2">
      <c r="A10981" s="66">
        <v>46072.005161840279</v>
      </c>
      <c r="B10981" s="49" t="s">
        <v>10542</v>
      </c>
    </row>
    <row r="10982" spans="1:2">
      <c r="A10982" s="66">
        <v>46072.005163969909</v>
      </c>
      <c r="B10982" s="49" t="s">
        <v>10543</v>
      </c>
    </row>
    <row r="10983" spans="1:2">
      <c r="A10983" s="66">
        <v>46072.005166388888</v>
      </c>
      <c r="B10983" s="49" t="s">
        <v>9394</v>
      </c>
    </row>
    <row r="10984" spans="1:2">
      <c r="A10984" s="66">
        <v>46072.006402789353</v>
      </c>
      <c r="B10984" s="49" t="s">
        <v>10556</v>
      </c>
    </row>
    <row r="10985" spans="1:2">
      <c r="A10985" s="66">
        <v>46072.006406180561</v>
      </c>
      <c r="B10985" s="49" t="s">
        <v>10557</v>
      </c>
    </row>
    <row r="10986" spans="1:2">
      <c r="A10986" s="66">
        <v>46072.00640805556</v>
      </c>
      <c r="B10986" s="49" t="s">
        <v>10546</v>
      </c>
    </row>
    <row r="10987" spans="1:2">
      <c r="A10987" s="66">
        <v>46072.006409780093</v>
      </c>
      <c r="B10987" s="49" t="s">
        <v>10466</v>
      </c>
    </row>
    <row r="10988" spans="1:2">
      <c r="A10988" s="66">
        <v>46072.006411493057</v>
      </c>
      <c r="B10988" s="49" t="s">
        <v>10561</v>
      </c>
    </row>
    <row r="10989" spans="1:2">
      <c r="A10989" s="66">
        <v>46072.006413020834</v>
      </c>
      <c r="B10989" s="49" t="s">
        <v>10562</v>
      </c>
    </row>
    <row r="10990" spans="1:2">
      <c r="A10990" s="66">
        <v>46072.006414710646</v>
      </c>
      <c r="B10990" s="49" t="s">
        <v>10563</v>
      </c>
    </row>
    <row r="10991" spans="1:2">
      <c r="A10991" s="66">
        <v>46072.00642957176</v>
      </c>
      <c r="B10991" s="49" t="s">
        <v>10564</v>
      </c>
    </row>
    <row r="10992" spans="1:2">
      <c r="A10992" s="66">
        <v>46072.006431354166</v>
      </c>
      <c r="B10992" s="49" t="s">
        <v>10542</v>
      </c>
    </row>
    <row r="10993" spans="1:2">
      <c r="A10993" s="66">
        <v>46072.006433576389</v>
      </c>
      <c r="B10993" s="49" t="s">
        <v>10543</v>
      </c>
    </row>
    <row r="10994" spans="1:2">
      <c r="A10994" s="66">
        <v>46072.006435844909</v>
      </c>
      <c r="B10994" s="49" t="s">
        <v>9394</v>
      </c>
    </row>
    <row r="10995" spans="1:2">
      <c r="A10995" s="66">
        <v>46072.007312974536</v>
      </c>
      <c r="B10995" s="49" t="s">
        <v>10556</v>
      </c>
    </row>
    <row r="10996" spans="1:2">
      <c r="A10996" s="66">
        <v>46072.007314768518</v>
      </c>
      <c r="B10996" s="49" t="s">
        <v>10557</v>
      </c>
    </row>
    <row r="10997" spans="1:2">
      <c r="A10997" s="66">
        <v>46072.007316678239</v>
      </c>
      <c r="B10997" s="49" t="s">
        <v>10546</v>
      </c>
    </row>
    <row r="10998" spans="1:2">
      <c r="A10998" s="66">
        <v>46072.007318194446</v>
      </c>
      <c r="B10998" s="49" t="s">
        <v>10466</v>
      </c>
    </row>
    <row r="10999" spans="1:2">
      <c r="A10999" s="66">
        <v>46072.00731966435</v>
      </c>
      <c r="B10999" s="49" t="s">
        <v>10561</v>
      </c>
    </row>
    <row r="11000" spans="1:2">
      <c r="A11000" s="66">
        <v>46072.007325601851</v>
      </c>
      <c r="B11000" s="49" t="s">
        <v>10562</v>
      </c>
    </row>
    <row r="11001" spans="1:2">
      <c r="A11001" s="66">
        <v>46072.007327164349</v>
      </c>
      <c r="B11001" s="49" t="s">
        <v>10563</v>
      </c>
    </row>
    <row r="11002" spans="1:2">
      <c r="A11002" s="66">
        <v>46072.007348136569</v>
      </c>
      <c r="B11002" s="49" t="s">
        <v>10564</v>
      </c>
    </row>
    <row r="11003" spans="1:2">
      <c r="A11003" s="66">
        <v>46072.007350104162</v>
      </c>
      <c r="B11003" s="49" t="s">
        <v>10542</v>
      </c>
    </row>
    <row r="11004" spans="1:2">
      <c r="A11004" s="66">
        <v>46072.007351736116</v>
      </c>
      <c r="B11004" s="49" t="s">
        <v>10543</v>
      </c>
    </row>
    <row r="11005" spans="1:2">
      <c r="A11005" s="66">
        <v>46072.00735320602</v>
      </c>
      <c r="B11005" s="49" t="s">
        <v>9394</v>
      </c>
    </row>
    <row r="11006" spans="1:2">
      <c r="A11006" s="66">
        <v>46072.008305138894</v>
      </c>
      <c r="B11006" s="49" t="s">
        <v>10556</v>
      </c>
    </row>
    <row r="11007" spans="1:2">
      <c r="A11007" s="66">
        <v>46072.008307245371</v>
      </c>
      <c r="B11007" s="49" t="s">
        <v>10557</v>
      </c>
    </row>
    <row r="11008" spans="1:2">
      <c r="A11008" s="66">
        <v>46072.008311840276</v>
      </c>
      <c r="B11008" s="49" t="s">
        <v>10546</v>
      </c>
    </row>
    <row r="11009" spans="1:2">
      <c r="A11009" s="66">
        <v>46072.008313680555</v>
      </c>
      <c r="B11009" s="49" t="s">
        <v>10466</v>
      </c>
    </row>
    <row r="11010" spans="1:2">
      <c r="A11010" s="66">
        <v>46072.008315474537</v>
      </c>
      <c r="B11010" s="49" t="s">
        <v>10561</v>
      </c>
    </row>
    <row r="11011" spans="1:2">
      <c r="A11011" s="66">
        <v>46072.008317581014</v>
      </c>
      <c r="B11011" s="49" t="s">
        <v>10562</v>
      </c>
    </row>
    <row r="11012" spans="1:2">
      <c r="A11012" s="66">
        <v>46072.008319409724</v>
      </c>
      <c r="B11012" s="49" t="s">
        <v>10563</v>
      </c>
    </row>
    <row r="11013" spans="1:2">
      <c r="A11013" s="66">
        <v>46072.008344085647</v>
      </c>
      <c r="B11013" s="49" t="s">
        <v>10564</v>
      </c>
    </row>
    <row r="11014" spans="1:2">
      <c r="A11014" s="66">
        <v>46072.008345983792</v>
      </c>
      <c r="B11014" s="49" t="s">
        <v>10542</v>
      </c>
    </row>
    <row r="11015" spans="1:2">
      <c r="A11015" s="66">
        <v>46072.008347916664</v>
      </c>
      <c r="B11015" s="49" t="s">
        <v>10543</v>
      </c>
    </row>
    <row r="11016" spans="1:2">
      <c r="A11016" s="66">
        <v>46072.008349722222</v>
      </c>
      <c r="B11016" s="49" t="s">
        <v>9394</v>
      </c>
    </row>
    <row r="11017" spans="1:2">
      <c r="A11017" s="66">
        <v>46072.009659861113</v>
      </c>
      <c r="B11017" s="49" t="s">
        <v>10556</v>
      </c>
    </row>
    <row r="11018" spans="1:2">
      <c r="A11018" s="66">
        <v>46072.009662523153</v>
      </c>
      <c r="B11018" s="49" t="s">
        <v>10557</v>
      </c>
    </row>
    <row r="11019" spans="1:2">
      <c r="A11019" s="66">
        <v>46072.009664930556</v>
      </c>
      <c r="B11019" s="49" t="s">
        <v>10546</v>
      </c>
    </row>
    <row r="11020" spans="1:2">
      <c r="A11020" s="66">
        <v>46072.009666770835</v>
      </c>
      <c r="B11020" s="49" t="s">
        <v>10466</v>
      </c>
    </row>
    <row r="11021" spans="1:2">
      <c r="A11021" s="66">
        <v>46072.009668877319</v>
      </c>
      <c r="B11021" s="49" t="s">
        <v>10561</v>
      </c>
    </row>
    <row r="11022" spans="1:2">
      <c r="A11022" s="66">
        <v>46072.009671689812</v>
      </c>
      <c r="B11022" s="49" t="s">
        <v>10562</v>
      </c>
    </row>
    <row r="11023" spans="1:2">
      <c r="A11023" s="66">
        <v>46072.009674189816</v>
      </c>
      <c r="B11023" s="49" t="s">
        <v>10563</v>
      </c>
    </row>
    <row r="11024" spans="1:2">
      <c r="A11024" s="66">
        <v>46072.009692662032</v>
      </c>
      <c r="B11024" s="49" t="s">
        <v>10564</v>
      </c>
    </row>
    <row r="11025" spans="1:2">
      <c r="A11025" s="66">
        <v>46072.009701145835</v>
      </c>
      <c r="B11025" s="49" t="s">
        <v>10542</v>
      </c>
    </row>
    <row r="11026" spans="1:2">
      <c r="A11026" s="66">
        <v>46072.009703414355</v>
      </c>
      <c r="B11026" s="49" t="s">
        <v>10543</v>
      </c>
    </row>
    <row r="11027" spans="1:2">
      <c r="A11027" s="66">
        <v>46072.009705729171</v>
      </c>
      <c r="B11027" s="49" t="s">
        <v>9394</v>
      </c>
    </row>
    <row r="11028" spans="1:2">
      <c r="A11028" s="66">
        <v>46072.010894872685</v>
      </c>
      <c r="B11028" s="49" t="s">
        <v>10556</v>
      </c>
    </row>
    <row r="11029" spans="1:2">
      <c r="A11029" s="66">
        <v>46072.010896805557</v>
      </c>
      <c r="B11029" s="49" t="s">
        <v>10557</v>
      </c>
    </row>
    <row r="11030" spans="1:2">
      <c r="A11030" s="66">
        <v>46072.010904780094</v>
      </c>
      <c r="B11030" s="49" t="s">
        <v>10546</v>
      </c>
    </row>
    <row r="11031" spans="1:2">
      <c r="A11031" s="66">
        <v>46072.010906458338</v>
      </c>
      <c r="B11031" s="49" t="s">
        <v>10466</v>
      </c>
    </row>
    <row r="11032" spans="1:2">
      <c r="A11032" s="66">
        <v>46072.010909537035</v>
      </c>
      <c r="B11032" s="49" t="s">
        <v>10561</v>
      </c>
    </row>
    <row r="11033" spans="1:2">
      <c r="A11033" s="66">
        <v>46072.010911238423</v>
      </c>
      <c r="B11033" s="49" t="s">
        <v>10562</v>
      </c>
    </row>
    <row r="11034" spans="1:2">
      <c r="A11034" s="66">
        <v>46072.010913194448</v>
      </c>
      <c r="B11034" s="49" t="s">
        <v>10563</v>
      </c>
    </row>
    <row r="11035" spans="1:2">
      <c r="A11035" s="66">
        <v>46072.010926585644</v>
      </c>
      <c r="B11035" s="49" t="s">
        <v>10564</v>
      </c>
    </row>
    <row r="11036" spans="1:2">
      <c r="A11036" s="66">
        <v>46072.010928750002</v>
      </c>
      <c r="B11036" s="49" t="s">
        <v>10542</v>
      </c>
    </row>
    <row r="11037" spans="1:2">
      <c r="A11037" s="66">
        <v>46072.010930370372</v>
      </c>
      <c r="B11037" s="49" t="s">
        <v>10543</v>
      </c>
    </row>
    <row r="11038" spans="1:2">
      <c r="A11038" s="66">
        <v>46072.010931909725</v>
      </c>
      <c r="B11038" s="49" t="s">
        <v>9394</v>
      </c>
    </row>
    <row r="11039" spans="1:2">
      <c r="A11039" s="66">
        <v>46072.012319456015</v>
      </c>
      <c r="B11039" s="49" t="s">
        <v>10556</v>
      </c>
    </row>
    <row r="11040" spans="1:2">
      <c r="A11040" s="66">
        <v>46072.012321562499</v>
      </c>
      <c r="B11040" s="49" t="s">
        <v>10557</v>
      </c>
    </row>
    <row r="11041" spans="1:2">
      <c r="A11041" s="66">
        <v>46072.012324131945</v>
      </c>
      <c r="B11041" s="49" t="s">
        <v>10546</v>
      </c>
    </row>
    <row r="11042" spans="1:2">
      <c r="A11042" s="66">
        <v>46072.012326087963</v>
      </c>
      <c r="B11042" s="49" t="s">
        <v>10466</v>
      </c>
    </row>
    <row r="11043" spans="1:2">
      <c r="A11043" s="66">
        <v>46072.012328101853</v>
      </c>
      <c r="B11043" s="49" t="s">
        <v>10561</v>
      </c>
    </row>
    <row r="11044" spans="1:2">
      <c r="A11044" s="66">
        <v>46072.01233056713</v>
      </c>
      <c r="B11044" s="49" t="s">
        <v>10562</v>
      </c>
    </row>
    <row r="11045" spans="1:2">
      <c r="A11045" s="66">
        <v>46072.012332418977</v>
      </c>
      <c r="B11045" s="49" t="s">
        <v>10563</v>
      </c>
    </row>
    <row r="11046" spans="1:2">
      <c r="A11046" s="66">
        <v>46072.012350474542</v>
      </c>
      <c r="B11046" s="49" t="s">
        <v>10564</v>
      </c>
    </row>
    <row r="11047" spans="1:2">
      <c r="A11047" s="66">
        <v>46072.01235261574</v>
      </c>
      <c r="B11047" s="49" t="s">
        <v>10542</v>
      </c>
    </row>
    <row r="11048" spans="1:2">
      <c r="A11048" s="66">
        <v>46072.012354467588</v>
      </c>
      <c r="B11048" s="49" t="s">
        <v>10543</v>
      </c>
    </row>
    <row r="11049" spans="1:2">
      <c r="A11049" s="66">
        <v>46072.012356319443</v>
      </c>
      <c r="B11049" s="49" t="s">
        <v>9394</v>
      </c>
    </row>
    <row r="11050" spans="1:2">
      <c r="A11050" s="66">
        <v>46072.013098333337</v>
      </c>
      <c r="B11050" s="49" t="s">
        <v>10556</v>
      </c>
    </row>
    <row r="11051" spans="1:2">
      <c r="A11051" s="66">
        <v>46072.013107916668</v>
      </c>
      <c r="B11051" s="49" t="s">
        <v>10557</v>
      </c>
    </row>
    <row r="11052" spans="1:2">
      <c r="A11052" s="66">
        <v>46072.013110069442</v>
      </c>
      <c r="B11052" s="49" t="s">
        <v>10546</v>
      </c>
    </row>
    <row r="11053" spans="1:2">
      <c r="A11053" s="66">
        <v>46072.013118275463</v>
      </c>
      <c r="B11053" s="49" t="s">
        <v>10466</v>
      </c>
    </row>
    <row r="11054" spans="1:2">
      <c r="A11054" s="66">
        <v>46072.013120162039</v>
      </c>
      <c r="B11054" s="49" t="s">
        <v>10561</v>
      </c>
    </row>
    <row r="11055" spans="1:2">
      <c r="A11055" s="66">
        <v>46072.013121909724</v>
      </c>
      <c r="B11055" s="49" t="s">
        <v>10562</v>
      </c>
    </row>
    <row r="11056" spans="1:2">
      <c r="A11056" s="66">
        <v>46072.013123784724</v>
      </c>
      <c r="B11056" s="49" t="s">
        <v>10563</v>
      </c>
    </row>
    <row r="11057" spans="1:2">
      <c r="A11057" s="66">
        <v>46072.013138136579</v>
      </c>
      <c r="B11057" s="49" t="s">
        <v>10564</v>
      </c>
    </row>
    <row r="11058" spans="1:2">
      <c r="A11058" s="66">
        <v>46072.013140034724</v>
      </c>
      <c r="B11058" s="49" t="s">
        <v>10542</v>
      </c>
    </row>
    <row r="11059" spans="1:2">
      <c r="A11059" s="66">
        <v>46072.013142187498</v>
      </c>
      <c r="B11059" s="49" t="s">
        <v>10543</v>
      </c>
    </row>
    <row r="11060" spans="1:2">
      <c r="A11060" s="66">
        <v>46072.013144004624</v>
      </c>
      <c r="B11060" s="49" t="s">
        <v>9394</v>
      </c>
    </row>
    <row r="11061" spans="1:2">
      <c r="A11061" s="66">
        <v>46072.014143576387</v>
      </c>
      <c r="B11061" s="49" t="s">
        <v>10556</v>
      </c>
    </row>
    <row r="11062" spans="1:2">
      <c r="A11062" s="66">
        <v>46072.014145439811</v>
      </c>
      <c r="B11062" s="49" t="s">
        <v>10557</v>
      </c>
    </row>
    <row r="11063" spans="1:2">
      <c r="A11063" s="66">
        <v>46072.014147222224</v>
      </c>
      <c r="B11063" s="49" t="s">
        <v>10546</v>
      </c>
    </row>
    <row r="11064" spans="1:2">
      <c r="A11064" s="66">
        <v>46072.014149027775</v>
      </c>
      <c r="B11064" s="49" t="s">
        <v>10466</v>
      </c>
    </row>
    <row r="11065" spans="1:2">
      <c r="A11065" s="66">
        <v>46072.014150960647</v>
      </c>
      <c r="B11065" s="49" t="s">
        <v>10561</v>
      </c>
    </row>
    <row r="11066" spans="1:2">
      <c r="A11066" s="66">
        <v>46072.014152928241</v>
      </c>
      <c r="B11066" s="49" t="s">
        <v>10562</v>
      </c>
    </row>
    <row r="11067" spans="1:2">
      <c r="A11067" s="66">
        <v>46072.014154814809</v>
      </c>
      <c r="B11067" s="49" t="s">
        <v>10563</v>
      </c>
    </row>
    <row r="11068" spans="1:2">
      <c r="A11068" s="66">
        <v>46072.014175138887</v>
      </c>
      <c r="B11068" s="49" t="s">
        <v>10564</v>
      </c>
    </row>
    <row r="11069" spans="1:2">
      <c r="A11069" s="66">
        <v>46072.014177372686</v>
      </c>
      <c r="B11069" s="49" t="s">
        <v>10542</v>
      </c>
    </row>
    <row r="11070" spans="1:2">
      <c r="A11070" s="66">
        <v>46072.014179212958</v>
      </c>
      <c r="B11070" s="49" t="s">
        <v>10543</v>
      </c>
    </row>
    <row r="11071" spans="1:2">
      <c r="A11071" s="66">
        <v>46072.014180902777</v>
      </c>
      <c r="B11071" s="49" t="s">
        <v>9394</v>
      </c>
    </row>
    <row r="11072" spans="1:2">
      <c r="A11072" s="66">
        <v>46072.015475196764</v>
      </c>
      <c r="B11072" s="49" t="s">
        <v>10556</v>
      </c>
    </row>
    <row r="11073" spans="1:2">
      <c r="A11073" s="66">
        <v>46072.015477094908</v>
      </c>
      <c r="B11073" s="49" t="s">
        <v>10557</v>
      </c>
    </row>
    <row r="11074" spans="1:2">
      <c r="A11074" s="66">
        <v>46072.015478912042</v>
      </c>
      <c r="B11074" s="49" t="s">
        <v>10546</v>
      </c>
    </row>
    <row r="11075" spans="1:2">
      <c r="A11075" s="66">
        <v>46072.015481354167</v>
      </c>
      <c r="B11075" s="49" t="s">
        <v>10466</v>
      </c>
    </row>
    <row r="11076" spans="1:2">
      <c r="A11076" s="66">
        <v>46072.015482962961</v>
      </c>
      <c r="B11076" s="49" t="s">
        <v>10561</v>
      </c>
    </row>
    <row r="11077" spans="1:2">
      <c r="A11077" s="66">
        <v>46072.015484606483</v>
      </c>
      <c r="B11077" s="49" t="s">
        <v>10562</v>
      </c>
    </row>
    <row r="11078" spans="1:2">
      <c r="A11078" s="66">
        <v>46072.015486030097</v>
      </c>
      <c r="B11078" s="49" t="s">
        <v>10563</v>
      </c>
    </row>
    <row r="11079" spans="1:2">
      <c r="A11079" s="66">
        <v>46072.015501342597</v>
      </c>
      <c r="B11079" s="49" t="s">
        <v>10564</v>
      </c>
    </row>
    <row r="11080" spans="1:2">
      <c r="A11080" s="66">
        <v>46072.015503912036</v>
      </c>
      <c r="B11080" s="49" t="s">
        <v>10542</v>
      </c>
    </row>
    <row r="11081" spans="1:2">
      <c r="A11081" s="66">
        <v>46072.015505358795</v>
      </c>
      <c r="B11081" s="49" t="s">
        <v>10543</v>
      </c>
    </row>
    <row r="11082" spans="1:2">
      <c r="A11082" s="66">
        <v>46072.015507141201</v>
      </c>
      <c r="B11082" s="49" t="s">
        <v>9394</v>
      </c>
    </row>
    <row r="11083" spans="1:2">
      <c r="A11083" s="66">
        <v>46072.01658038194</v>
      </c>
      <c r="B11083" s="49" t="s">
        <v>10556</v>
      </c>
    </row>
    <row r="11084" spans="1:2">
      <c r="A11084" s="66">
        <v>46072.016583495366</v>
      </c>
      <c r="B11084" s="49" t="s">
        <v>10557</v>
      </c>
    </row>
    <row r="11085" spans="1:2">
      <c r="A11085" s="66">
        <v>46072.016588078703</v>
      </c>
      <c r="B11085" s="49" t="s">
        <v>10546</v>
      </c>
    </row>
    <row r="11086" spans="1:2">
      <c r="A11086" s="66">
        <v>46072.01658998843</v>
      </c>
      <c r="B11086" s="49" t="s">
        <v>10466</v>
      </c>
    </row>
    <row r="11087" spans="1:2">
      <c r="A11087" s="66">
        <v>46072.016593090273</v>
      </c>
      <c r="B11087" s="49" t="s">
        <v>10561</v>
      </c>
    </row>
    <row r="11088" spans="1:2">
      <c r="A11088" s="66">
        <v>46072.016595578709</v>
      </c>
      <c r="B11088" s="49" t="s">
        <v>10562</v>
      </c>
    </row>
    <row r="11089" spans="1:2">
      <c r="A11089" s="66">
        <v>46072.016597719907</v>
      </c>
      <c r="B11089" s="49" t="s">
        <v>10563</v>
      </c>
    </row>
    <row r="11090" spans="1:2">
      <c r="A11090" s="66">
        <v>46072.016620729162</v>
      </c>
      <c r="B11090" s="49" t="s">
        <v>10564</v>
      </c>
    </row>
    <row r="11091" spans="1:2">
      <c r="A11091" s="66">
        <v>46072.016624004631</v>
      </c>
      <c r="B11091" s="49" t="s">
        <v>10542</v>
      </c>
    </row>
    <row r="11092" spans="1:2">
      <c r="A11092" s="66">
        <v>46072.016626296296</v>
      </c>
      <c r="B11092" s="49" t="s">
        <v>10543</v>
      </c>
    </row>
    <row r="11093" spans="1:2">
      <c r="A11093" s="66">
        <v>46072.016628576384</v>
      </c>
      <c r="B11093" s="49" t="s">
        <v>9394</v>
      </c>
    </row>
    <row r="11094" spans="1:2">
      <c r="A11094" s="66">
        <v>46072.018013530091</v>
      </c>
      <c r="B11094" s="49" t="s">
        <v>10556</v>
      </c>
    </row>
    <row r="11095" spans="1:2">
      <c r="A11095" s="66">
        <v>46072.018015717593</v>
      </c>
      <c r="B11095" s="49" t="s">
        <v>10557</v>
      </c>
    </row>
    <row r="11096" spans="1:2">
      <c r="A11096" s="66">
        <v>46072.01801777778</v>
      </c>
      <c r="B11096" s="49" t="s">
        <v>10546</v>
      </c>
    </row>
    <row r="11097" spans="1:2">
      <c r="A11097" s="66">
        <v>46072.018023784723</v>
      </c>
      <c r="B11097" s="49" t="s">
        <v>10466</v>
      </c>
    </row>
    <row r="11098" spans="1:2">
      <c r="A11098" s="66">
        <v>46072.018025879632</v>
      </c>
      <c r="B11098" s="49" t="s">
        <v>10561</v>
      </c>
    </row>
    <row r="11099" spans="1:2">
      <c r="A11099" s="66">
        <v>46072.01802768519</v>
      </c>
      <c r="B11099" s="49" t="s">
        <v>10562</v>
      </c>
    </row>
    <row r="11100" spans="1:2">
      <c r="A11100" s="66">
        <v>46072.0180296412</v>
      </c>
      <c r="B11100" s="49" t="s">
        <v>10563</v>
      </c>
    </row>
    <row r="11101" spans="1:2">
      <c r="A11101" s="66">
        <v>46072.018046354162</v>
      </c>
      <c r="B11101" s="49" t="s">
        <v>10564</v>
      </c>
    </row>
    <row r="11102" spans="1:2">
      <c r="A11102" s="66">
        <v>46072.018048240745</v>
      </c>
      <c r="B11102" s="49" t="s">
        <v>10542</v>
      </c>
    </row>
    <row r="11103" spans="1:2">
      <c r="A11103" s="66">
        <v>46072.01805215278</v>
      </c>
      <c r="B11103" s="49" t="s">
        <v>10543</v>
      </c>
    </row>
    <row r="11104" spans="1:2">
      <c r="A11104" s="66">
        <v>46072.018054120374</v>
      </c>
      <c r="B11104" s="49" t="s">
        <v>9394</v>
      </c>
    </row>
    <row r="11105" spans="1:2">
      <c r="A11105" s="66">
        <v>46072.019425949075</v>
      </c>
      <c r="B11105" s="49" t="s">
        <v>10556</v>
      </c>
    </row>
    <row r="11106" spans="1:2">
      <c r="A11106" s="66">
        <v>46072.019429108797</v>
      </c>
      <c r="B11106" s="49" t="s">
        <v>10557</v>
      </c>
    </row>
    <row r="11107" spans="1:2">
      <c r="A11107" s="66">
        <v>46072.019432233792</v>
      </c>
      <c r="B11107" s="49" t="s">
        <v>10546</v>
      </c>
    </row>
    <row r="11108" spans="1:2">
      <c r="A11108" s="66">
        <v>46072.019434976857</v>
      </c>
      <c r="B11108" s="49" t="s">
        <v>10466</v>
      </c>
    </row>
    <row r="11109" spans="1:2">
      <c r="A11109" s="66">
        <v>46072.019441828699</v>
      </c>
      <c r="B11109" s="49" t="s">
        <v>10561</v>
      </c>
    </row>
    <row r="11110" spans="1:2">
      <c r="A11110" s="66">
        <v>46072.019444675927</v>
      </c>
      <c r="B11110" s="49" t="s">
        <v>10562</v>
      </c>
    </row>
    <row r="11111" spans="1:2">
      <c r="A11111" s="66">
        <v>46072.019447488427</v>
      </c>
      <c r="B11111" s="49" t="s">
        <v>10563</v>
      </c>
    </row>
    <row r="11112" spans="1:2">
      <c r="A11112" s="66">
        <v>46072.019466840276</v>
      </c>
      <c r="B11112" s="49" t="s">
        <v>10564</v>
      </c>
    </row>
    <row r="11113" spans="1:2">
      <c r="A11113" s="66">
        <v>46072.019474340283</v>
      </c>
      <c r="B11113" s="49" t="s">
        <v>10542</v>
      </c>
    </row>
    <row r="11114" spans="1:2">
      <c r="A11114" s="66">
        <v>46072.019477256945</v>
      </c>
      <c r="B11114" s="49" t="s">
        <v>10543</v>
      </c>
    </row>
    <row r="11115" spans="1:2">
      <c r="A11115" s="66">
        <v>46072.019482175921</v>
      </c>
      <c r="B11115" s="49" t="s">
        <v>9394</v>
      </c>
    </row>
    <row r="11116" spans="1:2">
      <c r="A11116" s="66">
        <v>46072.020434166669</v>
      </c>
      <c r="B11116" s="49" t="s">
        <v>10556</v>
      </c>
    </row>
    <row r="11117" spans="1:2">
      <c r="A11117" s="66">
        <v>46072.020436643521</v>
      </c>
      <c r="B11117" s="49" t="s">
        <v>10557</v>
      </c>
    </row>
    <row r="11118" spans="1:2">
      <c r="A11118" s="66">
        <v>46072.020438807871</v>
      </c>
      <c r="B11118" s="49" t="s">
        <v>10546</v>
      </c>
    </row>
    <row r="11119" spans="1:2">
      <c r="A11119" s="66">
        <v>46072.020440856482</v>
      </c>
      <c r="B11119" s="49" t="s">
        <v>10466</v>
      </c>
    </row>
    <row r="11120" spans="1:2">
      <c r="A11120" s="66">
        <v>46072.020443414352</v>
      </c>
      <c r="B11120" s="49" t="s">
        <v>10561</v>
      </c>
    </row>
    <row r="11121" spans="1:2">
      <c r="A11121" s="66">
        <v>46072.020445682865</v>
      </c>
      <c r="B11121" s="49" t="s">
        <v>10562</v>
      </c>
    </row>
    <row r="11122" spans="1:2">
      <c r="A11122" s="66">
        <v>46072.020450868054</v>
      </c>
      <c r="B11122" s="49" t="s">
        <v>10563</v>
      </c>
    </row>
    <row r="11123" spans="1:2">
      <c r="A11123" s="66">
        <v>46072.02047019676</v>
      </c>
      <c r="B11123" s="49" t="s">
        <v>10564</v>
      </c>
    </row>
    <row r="11124" spans="1:2">
      <c r="A11124" s="66">
        <v>46072.020477106482</v>
      </c>
      <c r="B11124" s="49" t="s">
        <v>10542</v>
      </c>
    </row>
    <row r="11125" spans="1:2">
      <c r="A11125" s="66">
        <v>46072.020479467596</v>
      </c>
      <c r="B11125" s="49" t="s">
        <v>10543</v>
      </c>
    </row>
    <row r="11126" spans="1:2">
      <c r="A11126" s="66">
        <v>46072.020483738423</v>
      </c>
      <c r="B11126" s="49" t="s">
        <v>9394</v>
      </c>
    </row>
    <row r="11127" spans="1:2">
      <c r="A11127" s="66">
        <v>46072.021530312501</v>
      </c>
      <c r="B11127" s="49" t="s">
        <v>10556</v>
      </c>
    </row>
    <row r="11128" spans="1:2">
      <c r="A11128" s="66">
        <v>46072.021533657404</v>
      </c>
      <c r="B11128" s="49" t="s">
        <v>10557</v>
      </c>
    </row>
    <row r="11129" spans="1:2">
      <c r="A11129" s="66">
        <v>46072.021537592591</v>
      </c>
      <c r="B11129" s="49" t="s">
        <v>10546</v>
      </c>
    </row>
    <row r="11130" spans="1:2">
      <c r="A11130" s="66">
        <v>46072.021543101851</v>
      </c>
      <c r="B11130" s="49" t="s">
        <v>10466</v>
      </c>
    </row>
    <row r="11131" spans="1:2">
      <c r="A11131" s="66">
        <v>46072.021550231482</v>
      </c>
      <c r="B11131" s="49" t="s">
        <v>10561</v>
      </c>
    </row>
    <row r="11132" spans="1:2">
      <c r="A11132" s="66">
        <v>46072.021553067127</v>
      </c>
      <c r="B11132" s="49" t="s">
        <v>10562</v>
      </c>
    </row>
    <row r="11133" spans="1:2">
      <c r="A11133" s="66">
        <v>46072.021556053238</v>
      </c>
      <c r="B11133" s="49" t="s">
        <v>10563</v>
      </c>
    </row>
    <row r="11134" spans="1:2">
      <c r="A11134" s="66">
        <v>46072.021577418986</v>
      </c>
      <c r="B11134" s="49" t="s">
        <v>10564</v>
      </c>
    </row>
    <row r="11135" spans="1:2">
      <c r="A11135" s="66">
        <v>46072.021580266199</v>
      </c>
      <c r="B11135" s="49" t="s">
        <v>10542</v>
      </c>
    </row>
    <row r="11136" spans="1:2">
      <c r="A11136" s="66">
        <v>46072.021583449074</v>
      </c>
      <c r="B11136" s="49" t="s">
        <v>10543</v>
      </c>
    </row>
    <row r="11137" spans="1:2">
      <c r="A11137" s="66">
        <v>46072.021586423609</v>
      </c>
      <c r="B11137" s="49" t="s">
        <v>9394</v>
      </c>
    </row>
    <row r="11138" spans="1:2">
      <c r="A11138" s="66">
        <v>46072.022771493052</v>
      </c>
      <c r="B11138" s="49" t="s">
        <v>10556</v>
      </c>
    </row>
    <row r="11139" spans="1:2">
      <c r="A11139" s="66">
        <v>46072.022773506949</v>
      </c>
      <c r="B11139" s="49" t="s">
        <v>10557</v>
      </c>
    </row>
    <row r="11140" spans="1:2">
      <c r="A11140" s="66">
        <v>46072.02277729167</v>
      </c>
      <c r="B11140" s="49" t="s">
        <v>10546</v>
      </c>
    </row>
    <row r="11141" spans="1:2">
      <c r="A11141" s="66">
        <v>46072.022779664352</v>
      </c>
      <c r="B11141" s="49" t="s">
        <v>10466</v>
      </c>
    </row>
    <row r="11142" spans="1:2">
      <c r="A11142" s="66">
        <v>46072.022781527776</v>
      </c>
      <c r="B11142" s="49" t="s">
        <v>10561</v>
      </c>
    </row>
    <row r="11143" spans="1:2">
      <c r="A11143" s="66">
        <v>46072.02278324074</v>
      </c>
      <c r="B11143" s="49" t="s">
        <v>10562</v>
      </c>
    </row>
    <row r="11144" spans="1:2">
      <c r="A11144" s="66">
        <v>46072.022785069443</v>
      </c>
      <c r="B11144" s="49" t="s">
        <v>10563</v>
      </c>
    </row>
    <row r="11145" spans="1:2">
      <c r="A11145" s="66">
        <v>46072.022800196763</v>
      </c>
      <c r="B11145" s="49" t="s">
        <v>10564</v>
      </c>
    </row>
    <row r="11146" spans="1:2">
      <c r="A11146" s="66">
        <v>46072.022802708336</v>
      </c>
      <c r="B11146" s="49" t="s">
        <v>10542</v>
      </c>
    </row>
    <row r="11147" spans="1:2">
      <c r="A11147" s="66">
        <v>46072.022808182868</v>
      </c>
      <c r="B11147" s="49" t="s">
        <v>10543</v>
      </c>
    </row>
    <row r="11148" spans="1:2">
      <c r="A11148" s="66">
        <v>46072.02281008102</v>
      </c>
      <c r="B11148" s="49" t="s">
        <v>9394</v>
      </c>
    </row>
    <row r="11149" spans="1:2">
      <c r="A11149" s="66">
        <v>46072.023831898143</v>
      </c>
      <c r="B11149" s="49" t="s">
        <v>10556</v>
      </c>
    </row>
    <row r="11150" spans="1:2">
      <c r="A11150" s="66">
        <v>46072.023833900465</v>
      </c>
      <c r="B11150" s="49" t="s">
        <v>10557</v>
      </c>
    </row>
    <row r="11151" spans="1:2">
      <c r="A11151" s="66">
        <v>46072.023835856482</v>
      </c>
      <c r="B11151" s="49" t="s">
        <v>10546</v>
      </c>
    </row>
    <row r="11152" spans="1:2">
      <c r="A11152" s="66">
        <v>46072.023837638888</v>
      </c>
      <c r="B11152" s="49" t="s">
        <v>10466</v>
      </c>
    </row>
    <row r="11153" spans="1:2">
      <c r="A11153" s="66">
        <v>46072.023841354167</v>
      </c>
      <c r="B11153" s="49" t="s">
        <v>10561</v>
      </c>
    </row>
    <row r="11154" spans="1:2">
      <c r="A11154" s="66">
        <v>46072.02384386574</v>
      </c>
      <c r="B11154" s="49" t="s">
        <v>10562</v>
      </c>
    </row>
    <row r="11155" spans="1:2">
      <c r="A11155" s="66">
        <v>46072.023848078708</v>
      </c>
      <c r="B11155" s="49" t="s">
        <v>10563</v>
      </c>
    </row>
    <row r="11156" spans="1:2">
      <c r="A11156" s="66">
        <v>46072.023861273148</v>
      </c>
      <c r="B11156" s="49" t="s">
        <v>10564</v>
      </c>
    </row>
    <row r="11157" spans="1:2">
      <c r="A11157" s="66">
        <v>46072.023863229166</v>
      </c>
      <c r="B11157" s="49" t="s">
        <v>10542</v>
      </c>
    </row>
    <row r="11158" spans="1:2">
      <c r="A11158" s="66">
        <v>46072.023864756949</v>
      </c>
      <c r="B11158" s="49" t="s">
        <v>10543</v>
      </c>
    </row>
    <row r="11159" spans="1:2">
      <c r="A11159" s="66">
        <v>46072.023869733792</v>
      </c>
      <c r="B11159" s="49" t="s">
        <v>9394</v>
      </c>
    </row>
    <row r="11160" spans="1:2">
      <c r="A11160" s="66">
        <v>46072.024879502314</v>
      </c>
      <c r="B11160" s="49" t="s">
        <v>10556</v>
      </c>
    </row>
    <row r="11161" spans="1:2">
      <c r="A11161" s="66">
        <v>46072.024882280093</v>
      </c>
      <c r="B11161" s="49" t="s">
        <v>10557</v>
      </c>
    </row>
    <row r="11162" spans="1:2">
      <c r="A11162" s="66">
        <v>46072.02488459491</v>
      </c>
      <c r="B11162" s="49" t="s">
        <v>10546</v>
      </c>
    </row>
    <row r="11163" spans="1:2">
      <c r="A11163" s="66">
        <v>46072.024890428242</v>
      </c>
      <c r="B11163" s="49" t="s">
        <v>10466</v>
      </c>
    </row>
    <row r="11164" spans="1:2">
      <c r="A11164" s="66">
        <v>46072.02490005787</v>
      </c>
      <c r="B11164" s="49" t="s">
        <v>10561</v>
      </c>
    </row>
    <row r="11165" spans="1:2">
      <c r="A11165" s="66">
        <v>46072.024902291669</v>
      </c>
      <c r="B11165" s="49" t="s">
        <v>10562</v>
      </c>
    </row>
    <row r="11166" spans="1:2">
      <c r="A11166" s="66">
        <v>46072.024904895836</v>
      </c>
      <c r="B11166" s="49" t="s">
        <v>10563</v>
      </c>
    </row>
    <row r="11167" spans="1:2">
      <c r="A11167" s="66">
        <v>46072.024922685188</v>
      </c>
      <c r="B11167" s="49" t="s">
        <v>10564</v>
      </c>
    </row>
    <row r="11168" spans="1:2">
      <c r="A11168" s="66">
        <v>46072.024924884259</v>
      </c>
      <c r="B11168" s="49" t="s">
        <v>10542</v>
      </c>
    </row>
    <row r="11169" spans="1:2">
      <c r="A11169" s="66">
        <v>46072.024927268518</v>
      </c>
      <c r="B11169" s="49" t="s">
        <v>10543</v>
      </c>
    </row>
    <row r="11170" spans="1:2">
      <c r="A11170" s="66">
        <v>46072.024929525462</v>
      </c>
      <c r="B11170" s="49" t="s">
        <v>9394</v>
      </c>
    </row>
    <row r="11171" spans="1:2">
      <c r="A11171" s="66">
        <v>46072.025657951388</v>
      </c>
      <c r="B11171" s="49" t="s">
        <v>10556</v>
      </c>
    </row>
    <row r="11172" spans="1:2">
      <c r="A11172" s="66">
        <v>46072.025660960644</v>
      </c>
      <c r="B11172" s="49" t="s">
        <v>10557</v>
      </c>
    </row>
    <row r="11173" spans="1:2">
      <c r="A11173" s="66">
        <v>46072.025663761575</v>
      </c>
      <c r="B11173" s="49" t="s">
        <v>10546</v>
      </c>
    </row>
    <row r="11174" spans="1:2">
      <c r="A11174" s="66">
        <v>46072.025666678237</v>
      </c>
      <c r="B11174" s="49" t="s">
        <v>10466</v>
      </c>
    </row>
    <row r="11175" spans="1:2">
      <c r="A11175" s="66">
        <v>46072.025669363429</v>
      </c>
      <c r="B11175" s="49" t="s">
        <v>10561</v>
      </c>
    </row>
    <row r="11176" spans="1:2">
      <c r="A11176" s="66">
        <v>46072.025672372685</v>
      </c>
      <c r="B11176" s="49" t="s">
        <v>10562</v>
      </c>
    </row>
    <row r="11177" spans="1:2">
      <c r="A11177" s="66">
        <v>46072.025676747682</v>
      </c>
      <c r="B11177" s="49" t="s">
        <v>10563</v>
      </c>
    </row>
    <row r="11178" spans="1:2">
      <c r="A11178" s="66">
        <v>46072.025696307872</v>
      </c>
      <c r="B11178" s="49" t="s">
        <v>10564</v>
      </c>
    </row>
    <row r="11179" spans="1:2">
      <c r="A11179" s="66">
        <v>46072.025705219909</v>
      </c>
      <c r="B11179" s="49" t="s">
        <v>10542</v>
      </c>
    </row>
    <row r="11180" spans="1:2">
      <c r="A11180" s="66">
        <v>46072.025707800931</v>
      </c>
      <c r="B11180" s="49" t="s">
        <v>10543</v>
      </c>
    </row>
    <row r="11181" spans="1:2">
      <c r="A11181" s="66">
        <v>46072.025714467592</v>
      </c>
      <c r="B11181" s="49" t="s">
        <v>9394</v>
      </c>
    </row>
    <row r="11182" spans="1:2">
      <c r="A11182" s="66">
        <v>46072.026746250005</v>
      </c>
      <c r="B11182" s="49" t="s">
        <v>10556</v>
      </c>
    </row>
    <row r="11183" spans="1:2">
      <c r="A11183" s="66">
        <v>46072.026749652781</v>
      </c>
      <c r="B11183" s="49" t="s">
        <v>10557</v>
      </c>
    </row>
    <row r="11184" spans="1:2">
      <c r="A11184" s="66">
        <v>46072.026753090278</v>
      </c>
      <c r="B11184" s="49" t="s">
        <v>10546</v>
      </c>
    </row>
    <row r="11185" spans="1:2">
      <c r="A11185" s="66">
        <v>46072.026756689811</v>
      </c>
      <c r="B11185" s="49" t="s">
        <v>10466</v>
      </c>
    </row>
    <row r="11186" spans="1:2">
      <c r="A11186" s="66">
        <v>46072.026759224536</v>
      </c>
      <c r="B11186" s="49" t="s">
        <v>10561</v>
      </c>
    </row>
    <row r="11187" spans="1:2">
      <c r="A11187" s="66">
        <v>46072.026762592592</v>
      </c>
      <c r="B11187" s="49" t="s">
        <v>10562</v>
      </c>
    </row>
    <row r="11188" spans="1:2">
      <c r="A11188" s="66">
        <v>46072.026765868053</v>
      </c>
      <c r="B11188" s="49" t="s">
        <v>10563</v>
      </c>
    </row>
    <row r="11189" spans="1:2">
      <c r="A11189" s="66">
        <v>46072.026804386573</v>
      </c>
      <c r="B11189" s="49" t="s">
        <v>10564</v>
      </c>
    </row>
    <row r="11190" spans="1:2">
      <c r="A11190" s="66">
        <v>46072.026808657407</v>
      </c>
      <c r="B11190" s="49" t="s">
        <v>10542</v>
      </c>
    </row>
    <row r="11191" spans="1:2">
      <c r="A11191" s="66">
        <v>46072.026812303244</v>
      </c>
      <c r="B11191" s="49" t="s">
        <v>10543</v>
      </c>
    </row>
    <row r="11192" spans="1:2">
      <c r="A11192" s="66">
        <v>46072.026815613426</v>
      </c>
      <c r="B11192" s="49" t="s">
        <v>9394</v>
      </c>
    </row>
    <row r="11193" spans="1:2">
      <c r="A11193" s="66">
        <v>46072.027813101857</v>
      </c>
      <c r="B11193" s="49" t="s">
        <v>10556</v>
      </c>
    </row>
    <row r="11194" spans="1:2">
      <c r="A11194" s="66">
        <v>46072.027815937501</v>
      </c>
      <c r="B11194" s="49" t="s">
        <v>10557</v>
      </c>
    </row>
    <row r="11195" spans="1:2">
      <c r="A11195" s="66">
        <v>46072.027820324074</v>
      </c>
      <c r="B11195" s="49" t="s">
        <v>10546</v>
      </c>
    </row>
    <row r="11196" spans="1:2">
      <c r="A11196" s="66">
        <v>46072.027823738426</v>
      </c>
      <c r="B11196" s="49" t="s">
        <v>10466</v>
      </c>
    </row>
    <row r="11197" spans="1:2">
      <c r="A11197" s="66">
        <v>46072.027826759258</v>
      </c>
      <c r="B11197" s="49" t="s">
        <v>10561</v>
      </c>
    </row>
    <row r="11198" spans="1:2">
      <c r="A11198" s="66">
        <v>46072.027834502311</v>
      </c>
      <c r="B11198" s="49" t="s">
        <v>10562</v>
      </c>
    </row>
    <row r="11199" spans="1:2">
      <c r="A11199" s="66">
        <v>46072.027837280097</v>
      </c>
      <c r="B11199" s="49" t="s">
        <v>10563</v>
      </c>
    </row>
    <row r="11200" spans="1:2">
      <c r="A11200" s="66">
        <v>46072.027856863424</v>
      </c>
      <c r="B11200" s="49" t="s">
        <v>10564</v>
      </c>
    </row>
    <row r="11201" spans="1:2">
      <c r="A11201" s="66">
        <v>46072.027859756941</v>
      </c>
      <c r="B11201" s="49" t="s">
        <v>10542</v>
      </c>
    </row>
    <row r="11202" spans="1:2">
      <c r="A11202" s="66">
        <v>46072.027862662042</v>
      </c>
      <c r="B11202" s="49" t="s">
        <v>10543</v>
      </c>
    </row>
    <row r="11203" spans="1:2">
      <c r="A11203" s="66">
        <v>46072.027865682874</v>
      </c>
      <c r="B11203" s="49" t="s">
        <v>9394</v>
      </c>
    </row>
    <row r="11204" spans="1:2">
      <c r="A11204" s="66">
        <v>46072.029202928243</v>
      </c>
      <c r="B11204" s="49" t="s">
        <v>10556</v>
      </c>
    </row>
    <row r="11205" spans="1:2">
      <c r="A11205" s="66">
        <v>46072.029205069441</v>
      </c>
      <c r="B11205" s="49" t="s">
        <v>10557</v>
      </c>
    </row>
    <row r="11206" spans="1:2">
      <c r="A11206" s="66">
        <v>46072.029207013889</v>
      </c>
      <c r="B11206" s="49" t="s">
        <v>10546</v>
      </c>
    </row>
    <row r="11207" spans="1:2">
      <c r="A11207" s="66">
        <v>46072.029209155095</v>
      </c>
      <c r="B11207" s="49" t="s">
        <v>10466</v>
      </c>
    </row>
    <row r="11208" spans="1:2">
      <c r="A11208" s="66">
        <v>46072.029210983797</v>
      </c>
      <c r="B11208" s="49" t="s">
        <v>10561</v>
      </c>
    </row>
    <row r="11209" spans="1:2">
      <c r="A11209" s="66">
        <v>46072.029212858797</v>
      </c>
      <c r="B11209" s="49" t="s">
        <v>10562</v>
      </c>
    </row>
    <row r="11210" spans="1:2">
      <c r="A11210" s="66">
        <v>46072.029214791663</v>
      </c>
      <c r="B11210" s="49" t="s">
        <v>10563</v>
      </c>
    </row>
    <row r="11211" spans="1:2">
      <c r="A11211" s="66">
        <v>46072.02923458333</v>
      </c>
      <c r="B11211" s="49" t="s">
        <v>10564</v>
      </c>
    </row>
    <row r="11212" spans="1:2">
      <c r="A11212" s="66">
        <v>46072.029246620368</v>
      </c>
      <c r="B11212" s="49" t="s">
        <v>10542</v>
      </c>
    </row>
    <row r="11213" spans="1:2">
      <c r="A11213" s="66">
        <v>46072.029249270832</v>
      </c>
      <c r="B11213" s="49" t="s">
        <v>10543</v>
      </c>
    </row>
    <row r="11214" spans="1:2">
      <c r="A11214" s="66">
        <v>46072.029251203705</v>
      </c>
      <c r="B11214" s="49" t="s">
        <v>9394</v>
      </c>
    </row>
    <row r="11215" spans="1:2">
      <c r="A11215" s="66">
        <v>46072.030213090278</v>
      </c>
      <c r="B11215" s="49" t="s">
        <v>10556</v>
      </c>
    </row>
    <row r="11216" spans="1:2">
      <c r="A11216" s="66">
        <v>46072.030215162042</v>
      </c>
      <c r="B11216" s="49" t="s">
        <v>10557</v>
      </c>
    </row>
    <row r="11217" spans="1:2">
      <c r="A11217" s="66">
        <v>46072.030216921296</v>
      </c>
      <c r="B11217" s="49" t="s">
        <v>10546</v>
      </c>
    </row>
    <row r="11218" spans="1:2">
      <c r="A11218" s="66">
        <v>46072.030218888889</v>
      </c>
      <c r="B11218" s="49" t="s">
        <v>10466</v>
      </c>
    </row>
    <row r="11219" spans="1:2">
      <c r="A11219" s="66">
        <v>46072.030220671295</v>
      </c>
      <c r="B11219" s="49" t="s">
        <v>10561</v>
      </c>
    </row>
    <row r="11220" spans="1:2">
      <c r="A11220" s="66">
        <v>46072.030222939815</v>
      </c>
      <c r="B11220" s="49" t="s">
        <v>10562</v>
      </c>
    </row>
    <row r="11221" spans="1:2">
      <c r="A11221" s="66">
        <v>46072.030224861111</v>
      </c>
      <c r="B11221" s="49" t="s">
        <v>10563</v>
      </c>
    </row>
    <row r="11222" spans="1:2">
      <c r="A11222" s="66">
        <v>46072.030238263891</v>
      </c>
      <c r="B11222" s="49" t="s">
        <v>10564</v>
      </c>
    </row>
    <row r="11223" spans="1:2">
      <c r="A11223" s="66">
        <v>46072.03024015046</v>
      </c>
      <c r="B11223" s="49" t="s">
        <v>10542</v>
      </c>
    </row>
    <row r="11224" spans="1:2">
      <c r="A11224" s="66">
        <v>46072.030249328702</v>
      </c>
      <c r="B11224" s="49" t="s">
        <v>10543</v>
      </c>
    </row>
    <row r="11225" spans="1:2">
      <c r="A11225" s="66">
        <v>46072.030251030097</v>
      </c>
      <c r="B11225" s="49" t="s">
        <v>9394</v>
      </c>
    </row>
    <row r="11226" spans="1:2">
      <c r="A11226" s="66">
        <v>46072.031632511571</v>
      </c>
      <c r="B11226" s="49" t="s">
        <v>10556</v>
      </c>
    </row>
    <row r="11227" spans="1:2">
      <c r="A11227" s="66">
        <v>46072.031635497682</v>
      </c>
      <c r="B11227" s="49" t="s">
        <v>10557</v>
      </c>
    </row>
    <row r="11228" spans="1:2">
      <c r="A11228" s="66">
        <v>46072.031637662032</v>
      </c>
      <c r="B11228" s="49" t="s">
        <v>10546</v>
      </c>
    </row>
    <row r="11229" spans="1:2">
      <c r="A11229" s="66">
        <v>46072.03163946759</v>
      </c>
      <c r="B11229" s="49" t="s">
        <v>10466</v>
      </c>
    </row>
    <row r="11230" spans="1:2">
      <c r="A11230" s="66">
        <v>46072.031641215275</v>
      </c>
      <c r="B11230" s="49" t="s">
        <v>10561</v>
      </c>
    </row>
    <row r="11231" spans="1:2">
      <c r="A11231" s="66">
        <v>46072.031643020833</v>
      </c>
      <c r="B11231" s="49" t="s">
        <v>10562</v>
      </c>
    </row>
    <row r="11232" spans="1:2">
      <c r="A11232" s="66">
        <v>46072.031644722221</v>
      </c>
      <c r="B11232" s="49" t="s">
        <v>10563</v>
      </c>
    </row>
    <row r="11233" spans="1:2">
      <c r="A11233" s="66">
        <v>46072.0316603588</v>
      </c>
      <c r="B11233" s="49" t="s">
        <v>10564</v>
      </c>
    </row>
    <row r="11234" spans="1:2">
      <c r="A11234" s="66">
        <v>46072.03166212963</v>
      </c>
      <c r="B11234" s="49" t="s">
        <v>10542</v>
      </c>
    </row>
    <row r="11235" spans="1:2">
      <c r="A11235" s="66">
        <v>46072.031664317125</v>
      </c>
      <c r="B11235" s="49" t="s">
        <v>10543</v>
      </c>
    </row>
    <row r="11236" spans="1:2">
      <c r="A11236" s="66">
        <v>46072.03166606481</v>
      </c>
      <c r="B11236" s="49" t="s">
        <v>9394</v>
      </c>
    </row>
    <row r="11237" spans="1:2">
      <c r="A11237" s="66">
        <v>46072.032684247686</v>
      </c>
      <c r="B11237" s="49" t="s">
        <v>10556</v>
      </c>
    </row>
    <row r="11238" spans="1:2">
      <c r="A11238" s="66">
        <v>46072.032687025465</v>
      </c>
      <c r="B11238" s="49" t="s">
        <v>10557</v>
      </c>
    </row>
    <row r="11239" spans="1:2">
      <c r="A11239" s="66">
        <v>46072.032689594911</v>
      </c>
      <c r="B11239" s="49" t="s">
        <v>10546</v>
      </c>
    </row>
    <row r="11240" spans="1:2">
      <c r="A11240" s="66">
        <v>46072.032691851855</v>
      </c>
      <c r="B11240" s="49" t="s">
        <v>10466</v>
      </c>
    </row>
    <row r="11241" spans="1:2">
      <c r="A11241" s="66">
        <v>46072.032694421301</v>
      </c>
      <c r="B11241" s="49" t="s">
        <v>10561</v>
      </c>
    </row>
    <row r="11242" spans="1:2">
      <c r="A11242" s="66">
        <v>46072.032697210649</v>
      </c>
      <c r="B11242" s="49" t="s">
        <v>10562</v>
      </c>
    </row>
    <row r="11243" spans="1:2">
      <c r="A11243" s="66">
        <v>46072.032699710646</v>
      </c>
      <c r="B11243" s="49" t="s">
        <v>10563</v>
      </c>
    </row>
    <row r="11244" spans="1:2">
      <c r="A11244" s="66">
        <v>46072.032727164347</v>
      </c>
      <c r="B11244" s="49" t="s">
        <v>10564</v>
      </c>
    </row>
    <row r="11245" spans="1:2">
      <c r="A11245" s="66">
        <v>46072.032729629631</v>
      </c>
      <c r="B11245" s="49" t="s">
        <v>10542</v>
      </c>
    </row>
    <row r="11246" spans="1:2">
      <c r="A11246" s="66">
        <v>46072.032731793981</v>
      </c>
      <c r="B11246" s="49" t="s">
        <v>10543</v>
      </c>
    </row>
    <row r="11247" spans="1:2">
      <c r="A11247" s="66">
        <v>46072.032734074077</v>
      </c>
      <c r="B11247" s="49" t="s">
        <v>9394</v>
      </c>
    </row>
    <row r="11248" spans="1:2">
      <c r="A11248" s="66">
        <v>46072.033628645833</v>
      </c>
      <c r="B11248" s="49" t="s">
        <v>10556</v>
      </c>
    </row>
    <row r="11249" spans="1:2">
      <c r="A11249" s="66">
        <v>46072.033638113426</v>
      </c>
      <c r="B11249" s="49" t="s">
        <v>10557</v>
      </c>
    </row>
    <row r="11250" spans="1:2">
      <c r="A11250" s="66">
        <v>46072.033639756948</v>
      </c>
      <c r="B11250" s="49" t="s">
        <v>10546</v>
      </c>
    </row>
    <row r="11251" spans="1:2">
      <c r="A11251" s="66">
        <v>46072.033641516202</v>
      </c>
      <c r="B11251" s="49" t="s">
        <v>10466</v>
      </c>
    </row>
    <row r="11252" spans="1:2">
      <c r="A11252" s="66">
        <v>46072.033650613426</v>
      </c>
      <c r="B11252" s="49" t="s">
        <v>10561</v>
      </c>
    </row>
    <row r="11253" spans="1:2">
      <c r="A11253" s="66">
        <v>46072.03365232639</v>
      </c>
      <c r="B11253" s="49" t="s">
        <v>10562</v>
      </c>
    </row>
    <row r="11254" spans="1:2">
      <c r="A11254" s="66">
        <v>46072.033654178245</v>
      </c>
      <c r="B11254" s="49" t="s">
        <v>10563</v>
      </c>
    </row>
    <row r="11255" spans="1:2">
      <c r="A11255" s="66">
        <v>46072.033670416669</v>
      </c>
      <c r="B11255" s="49" t="s">
        <v>10564</v>
      </c>
    </row>
    <row r="11256" spans="1:2">
      <c r="A11256" s="66">
        <v>46072.033672245372</v>
      </c>
      <c r="B11256" s="49" t="s">
        <v>10542</v>
      </c>
    </row>
    <row r="11257" spans="1:2">
      <c r="A11257" s="66">
        <v>46072.033674224542</v>
      </c>
      <c r="B11257" s="49" t="s">
        <v>10543</v>
      </c>
    </row>
    <row r="11258" spans="1:2">
      <c r="A11258" s="66">
        <v>46072.033675995372</v>
      </c>
      <c r="B11258" s="49" t="s">
        <v>9394</v>
      </c>
    </row>
    <row r="11259" spans="1:2">
      <c r="A11259" s="66">
        <v>46072.034996585644</v>
      </c>
      <c r="B11259" s="49" t="s">
        <v>10556</v>
      </c>
    </row>
    <row r="11260" spans="1:2">
      <c r="A11260" s="66">
        <v>46072.034999629628</v>
      </c>
      <c r="B11260" s="49" t="s">
        <v>10557</v>
      </c>
    </row>
    <row r="11261" spans="1:2">
      <c r="A11261" s="66">
        <v>46072.035010914347</v>
      </c>
      <c r="B11261" s="49" t="s">
        <v>10546</v>
      </c>
    </row>
    <row r="11262" spans="1:2">
      <c r="A11262" s="66">
        <v>46072.035013819448</v>
      </c>
      <c r="B11262" s="49" t="s">
        <v>10466</v>
      </c>
    </row>
    <row r="11263" spans="1:2">
      <c r="A11263" s="66">
        <v>46072.03501709491</v>
      </c>
      <c r="B11263" s="49" t="s">
        <v>10561</v>
      </c>
    </row>
    <row r="11264" spans="1:2">
      <c r="A11264" s="66">
        <v>46072.03502009259</v>
      </c>
      <c r="B11264" s="49" t="s">
        <v>10562</v>
      </c>
    </row>
    <row r="11265" spans="1:2">
      <c r="A11265" s="66">
        <v>46072.035022893513</v>
      </c>
      <c r="B11265" s="49" t="s">
        <v>10563</v>
      </c>
    </row>
    <row r="11266" spans="1:2">
      <c r="A11266" s="66">
        <v>46072.03504430555</v>
      </c>
      <c r="B11266" s="49" t="s">
        <v>10564</v>
      </c>
    </row>
    <row r="11267" spans="1:2">
      <c r="A11267" s="66">
        <v>46072.03504732639</v>
      </c>
      <c r="B11267" s="49" t="s">
        <v>10542</v>
      </c>
    </row>
    <row r="11268" spans="1:2">
      <c r="A11268" s="66">
        <v>46072.035050092592</v>
      </c>
      <c r="B11268" s="49" t="s">
        <v>10543</v>
      </c>
    </row>
    <row r="11269" spans="1:2">
      <c r="A11269" s="66">
        <v>46072.035055671295</v>
      </c>
      <c r="B11269" s="49" t="s">
        <v>9394</v>
      </c>
    </row>
    <row r="11270" spans="1:2">
      <c r="A11270" s="66">
        <v>46072.035913182874</v>
      </c>
      <c r="B11270" s="49" t="s">
        <v>10556</v>
      </c>
    </row>
    <row r="11271" spans="1:2">
      <c r="A11271" s="66">
        <v>46072.035915208333</v>
      </c>
      <c r="B11271" s="49" t="s">
        <v>10557</v>
      </c>
    </row>
    <row r="11272" spans="1:2">
      <c r="A11272" s="66">
        <v>46072.035918726848</v>
      </c>
      <c r="B11272" s="49" t="s">
        <v>10546</v>
      </c>
    </row>
    <row r="11273" spans="1:2">
      <c r="A11273" s="66">
        <v>46072.035920775466</v>
      </c>
      <c r="B11273" s="49" t="s">
        <v>10466</v>
      </c>
    </row>
    <row r="11274" spans="1:2">
      <c r="A11274" s="66">
        <v>46072.035925162039</v>
      </c>
      <c r="B11274" s="49" t="s">
        <v>10561</v>
      </c>
    </row>
    <row r="11275" spans="1:2">
      <c r="A11275" s="66">
        <v>46072.035931712962</v>
      </c>
      <c r="B11275" s="49" t="s">
        <v>10562</v>
      </c>
    </row>
    <row r="11276" spans="1:2">
      <c r="A11276" s="66">
        <v>46072.035933472223</v>
      </c>
      <c r="B11276" s="49" t="s">
        <v>10563</v>
      </c>
    </row>
    <row r="11277" spans="1:2">
      <c r="A11277" s="66">
        <v>46072.035952071761</v>
      </c>
      <c r="B11277" s="49" t="s">
        <v>10564</v>
      </c>
    </row>
    <row r="11278" spans="1:2">
      <c r="A11278" s="66">
        <v>46072.035954143517</v>
      </c>
      <c r="B11278" s="49" t="s">
        <v>10542</v>
      </c>
    </row>
    <row r="11279" spans="1:2">
      <c r="A11279" s="66">
        <v>46072.035956296299</v>
      </c>
      <c r="B11279" s="49" t="s">
        <v>10543</v>
      </c>
    </row>
    <row r="11280" spans="1:2">
      <c r="A11280" s="66">
        <v>46072.035959166664</v>
      </c>
      <c r="B11280" s="49" t="s">
        <v>9394</v>
      </c>
    </row>
    <row r="11281" spans="1:2">
      <c r="A11281" s="66">
        <v>46072.036759259259</v>
      </c>
      <c r="B11281" s="49" t="s">
        <v>10556</v>
      </c>
    </row>
    <row r="11282" spans="1:2">
      <c r="A11282" s="66">
        <v>46072.036761909723</v>
      </c>
      <c r="B11282" s="49" t="s">
        <v>10557</v>
      </c>
    </row>
    <row r="11283" spans="1:2">
      <c r="A11283" s="66">
        <v>46072.036764583332</v>
      </c>
      <c r="B11283" s="49" t="s">
        <v>10546</v>
      </c>
    </row>
    <row r="11284" spans="1:2">
      <c r="A11284" s="66">
        <v>46072.036766689816</v>
      </c>
      <c r="B11284" s="49" t="s">
        <v>10466</v>
      </c>
    </row>
    <row r="11285" spans="1:2">
      <c r="A11285" s="66">
        <v>46072.036768587961</v>
      </c>
      <c r="B11285" s="49" t="s">
        <v>10561</v>
      </c>
    </row>
    <row r="11286" spans="1:2">
      <c r="A11286" s="66">
        <v>46072.036771041661</v>
      </c>
      <c r="B11286" s="49" t="s">
        <v>10562</v>
      </c>
    </row>
    <row r="11287" spans="1:2">
      <c r="A11287" s="66">
        <v>46072.036774062501</v>
      </c>
      <c r="B11287" s="49" t="s">
        <v>10563</v>
      </c>
    </row>
    <row r="11288" spans="1:2">
      <c r="A11288" s="66">
        <v>46072.036796377317</v>
      </c>
      <c r="B11288" s="49" t="s">
        <v>10564</v>
      </c>
    </row>
    <row r="11289" spans="1:2">
      <c r="A11289" s="66">
        <v>46072.036798217596</v>
      </c>
      <c r="B11289" s="49" t="s">
        <v>10542</v>
      </c>
    </row>
    <row r="11290" spans="1:2">
      <c r="A11290" s="66">
        <v>46072.036800104164</v>
      </c>
      <c r="B11290" s="49" t="s">
        <v>10543</v>
      </c>
    </row>
    <row r="11291" spans="1:2">
      <c r="A11291" s="66">
        <v>46072.036802002316</v>
      </c>
      <c r="B11291" s="49" t="s">
        <v>9394</v>
      </c>
    </row>
    <row r="11292" spans="1:2">
      <c r="A11292" s="66">
        <v>46072.037970034726</v>
      </c>
      <c r="B11292" s="49" t="s">
        <v>10556</v>
      </c>
    </row>
    <row r="11293" spans="1:2">
      <c r="A11293" s="66">
        <v>46072.037976238425</v>
      </c>
      <c r="B11293" s="49" t="s">
        <v>10557</v>
      </c>
    </row>
    <row r="11294" spans="1:2">
      <c r="A11294" s="66">
        <v>46072.037978599532</v>
      </c>
      <c r="B11294" s="49" t="s">
        <v>10546</v>
      </c>
    </row>
    <row r="11295" spans="1:2">
      <c r="A11295" s="66">
        <v>46072.037981018519</v>
      </c>
      <c r="B11295" s="49" t="s">
        <v>10466</v>
      </c>
    </row>
    <row r="11296" spans="1:2">
      <c r="A11296" s="66">
        <v>46072.037983298607</v>
      </c>
      <c r="B11296" s="49" t="s">
        <v>10561</v>
      </c>
    </row>
    <row r="11297" spans="1:2">
      <c r="A11297" s="66">
        <v>46072.037985625</v>
      </c>
      <c r="B11297" s="49" t="s">
        <v>10562</v>
      </c>
    </row>
    <row r="11298" spans="1:2">
      <c r="A11298" s="66">
        <v>46072.037988124997</v>
      </c>
      <c r="B11298" s="49" t="s">
        <v>10563</v>
      </c>
    </row>
    <row r="11299" spans="1:2">
      <c r="A11299" s="66">
        <v>46072.038008796299</v>
      </c>
      <c r="B11299" s="49" t="s">
        <v>10564</v>
      </c>
    </row>
    <row r="11300" spans="1:2">
      <c r="A11300" s="66">
        <v>46072.038015046295</v>
      </c>
      <c r="B11300" s="49" t="s">
        <v>10542</v>
      </c>
    </row>
    <row r="11301" spans="1:2">
      <c r="A11301" s="66">
        <v>46072.038017557876</v>
      </c>
      <c r="B11301" s="49" t="s">
        <v>10543</v>
      </c>
    </row>
    <row r="11302" spans="1:2">
      <c r="A11302" s="66">
        <v>46072.038019641201</v>
      </c>
      <c r="B11302" s="49" t="s">
        <v>9394</v>
      </c>
    </row>
    <row r="11303" spans="1:2">
      <c r="A11303" s="66">
        <v>46072.039164074071</v>
      </c>
      <c r="B11303" s="49" t="s">
        <v>10556</v>
      </c>
    </row>
    <row r="11304" spans="1:2">
      <c r="A11304" s="66">
        <v>46072.039166481482</v>
      </c>
      <c r="B11304" s="49" t="s">
        <v>10557</v>
      </c>
    </row>
    <row r="11305" spans="1:2">
      <c r="A11305" s="66">
        <v>46072.03916857639</v>
      </c>
      <c r="B11305" s="49" t="s">
        <v>10546</v>
      </c>
    </row>
    <row r="11306" spans="1:2">
      <c r="A11306" s="66">
        <v>46072.039170914351</v>
      </c>
      <c r="B11306" s="49" t="s">
        <v>10466</v>
      </c>
    </row>
    <row r="11307" spans="1:2">
      <c r="A11307" s="66">
        <v>46072.039173634257</v>
      </c>
      <c r="B11307" s="49" t="s">
        <v>10561</v>
      </c>
    </row>
    <row r="11308" spans="1:2">
      <c r="A11308" s="66">
        <v>46072.039176122686</v>
      </c>
      <c r="B11308" s="49" t="s">
        <v>10562</v>
      </c>
    </row>
    <row r="11309" spans="1:2">
      <c r="A11309" s="66">
        <v>46072.039178113424</v>
      </c>
      <c r="B11309" s="49" t="s">
        <v>10563</v>
      </c>
    </row>
    <row r="11310" spans="1:2">
      <c r="A11310" s="66">
        <v>46072.039195474536</v>
      </c>
      <c r="B11310" s="49" t="s">
        <v>10564</v>
      </c>
    </row>
    <row r="11311" spans="1:2">
      <c r="A11311" s="66">
        <v>46072.039199548613</v>
      </c>
      <c r="B11311" s="49" t="s">
        <v>10542</v>
      </c>
    </row>
    <row r="11312" spans="1:2">
      <c r="A11312" s="66">
        <v>46072.039207361115</v>
      </c>
      <c r="B11312" s="49" t="s">
        <v>10543</v>
      </c>
    </row>
    <row r="11313" spans="1:2">
      <c r="A11313" s="66">
        <v>46072.039214155091</v>
      </c>
      <c r="B11313" s="49" t="s">
        <v>9394</v>
      </c>
    </row>
    <row r="11314" spans="1:2">
      <c r="A11314" s="66">
        <v>46072.040567812495</v>
      </c>
      <c r="B11314" s="49" t="s">
        <v>10556</v>
      </c>
    </row>
    <row r="11315" spans="1:2">
      <c r="A11315" s="66">
        <v>46072.040569849538</v>
      </c>
      <c r="B11315" s="49" t="s">
        <v>10557</v>
      </c>
    </row>
    <row r="11316" spans="1:2">
      <c r="A11316" s="66">
        <v>46072.040571678241</v>
      </c>
      <c r="B11316" s="49" t="s">
        <v>10546</v>
      </c>
    </row>
    <row r="11317" spans="1:2">
      <c r="A11317" s="66">
        <v>46072.04057326389</v>
      </c>
      <c r="B11317" s="49" t="s">
        <v>10466</v>
      </c>
    </row>
    <row r="11318" spans="1:2">
      <c r="A11318" s="66">
        <v>46072.040574803235</v>
      </c>
      <c r="B11318" s="49" t="s">
        <v>10561</v>
      </c>
    </row>
    <row r="11319" spans="1:2">
      <c r="A11319" s="66">
        <v>46072.040577905093</v>
      </c>
      <c r="B11319" s="49" t="s">
        <v>10562</v>
      </c>
    </row>
    <row r="11320" spans="1:2">
      <c r="A11320" s="66">
        <v>46072.040579745371</v>
      </c>
      <c r="B11320" s="49" t="s">
        <v>10563</v>
      </c>
    </row>
    <row r="11321" spans="1:2">
      <c r="A11321" s="66">
        <v>46072.04059650463</v>
      </c>
      <c r="B11321" s="49" t="s">
        <v>10564</v>
      </c>
    </row>
    <row r="11322" spans="1:2">
      <c r="A11322" s="66">
        <v>46072.04059819445</v>
      </c>
      <c r="B11322" s="49" t="s">
        <v>10542</v>
      </c>
    </row>
    <row r="11323" spans="1:2">
      <c r="A11323" s="66">
        <v>46072.040604212962</v>
      </c>
      <c r="B11323" s="49" t="s">
        <v>10543</v>
      </c>
    </row>
    <row r="11324" spans="1:2">
      <c r="A11324" s="66">
        <v>46072.040605706017</v>
      </c>
      <c r="B11324" s="49" t="s">
        <v>9394</v>
      </c>
    </row>
    <row r="11325" spans="1:2">
      <c r="A11325" s="66">
        <v>46072.041428171295</v>
      </c>
      <c r="B11325" s="49" t="s">
        <v>10556</v>
      </c>
    </row>
    <row r="11326" spans="1:2">
      <c r="A11326" s="66">
        <v>46072.04143002315</v>
      </c>
      <c r="B11326" s="49" t="s">
        <v>10557</v>
      </c>
    </row>
    <row r="11327" spans="1:2">
      <c r="A11327" s="66">
        <v>46072.04143164352</v>
      </c>
      <c r="B11327" s="49" t="s">
        <v>10546</v>
      </c>
    </row>
    <row r="11328" spans="1:2">
      <c r="A11328" s="66">
        <v>46072.041433587961</v>
      </c>
      <c r="B11328" s="49" t="s">
        <v>10466</v>
      </c>
    </row>
    <row r="11329" spans="1:2">
      <c r="A11329" s="66">
        <v>46072.041435196763</v>
      </c>
      <c r="B11329" s="49" t="s">
        <v>10561</v>
      </c>
    </row>
    <row r="11330" spans="1:2">
      <c r="A11330" s="66">
        <v>46072.041436608793</v>
      </c>
      <c r="B11330" s="49" t="s">
        <v>10562</v>
      </c>
    </row>
    <row r="11331" spans="1:2">
      <c r="A11331" s="66">
        <v>46072.041438113425</v>
      </c>
      <c r="B11331" s="49" t="s">
        <v>10563</v>
      </c>
    </row>
    <row r="11332" spans="1:2">
      <c r="A11332" s="66">
        <v>46072.041451018522</v>
      </c>
      <c r="B11332" s="49" t="s">
        <v>10564</v>
      </c>
    </row>
    <row r="11333" spans="1:2">
      <c r="A11333" s="66">
        <v>46072.041452812497</v>
      </c>
      <c r="B11333" s="49" t="s">
        <v>10542</v>
      </c>
    </row>
    <row r="11334" spans="1:2">
      <c r="A11334" s="66">
        <v>46072.04145665509</v>
      </c>
      <c r="B11334" s="49" t="s">
        <v>10543</v>
      </c>
    </row>
    <row r="11335" spans="1:2">
      <c r="A11335" s="66">
        <v>46072.041458159722</v>
      </c>
      <c r="B11335" s="49" t="s">
        <v>9394</v>
      </c>
    </row>
    <row r="11336" spans="1:2">
      <c r="A11336" s="66">
        <v>46072.042391666662</v>
      </c>
      <c r="B11336" s="49" t="s">
        <v>10556</v>
      </c>
    </row>
    <row r="11337" spans="1:2">
      <c r="A11337" s="66">
        <v>46072.042396273144</v>
      </c>
      <c r="B11337" s="49" t="s">
        <v>10557</v>
      </c>
    </row>
    <row r="11338" spans="1:2">
      <c r="A11338" s="66">
        <v>46072.04239884259</v>
      </c>
      <c r="B11338" s="49" t="s">
        <v>10546</v>
      </c>
    </row>
    <row r="11339" spans="1:2">
      <c r="A11339" s="66">
        <v>46072.04240082176</v>
      </c>
      <c r="B11339" s="49" t="s">
        <v>10466</v>
      </c>
    </row>
    <row r="11340" spans="1:2">
      <c r="A11340" s="66">
        <v>46072.042402557869</v>
      </c>
      <c r="B11340" s="49" t="s">
        <v>10561</v>
      </c>
    </row>
    <row r="11341" spans="1:2">
      <c r="A11341" s="66">
        <v>46072.042404120366</v>
      </c>
      <c r="B11341" s="49" t="s">
        <v>10562</v>
      </c>
    </row>
    <row r="11342" spans="1:2">
      <c r="A11342" s="66">
        <v>46072.042405740736</v>
      </c>
      <c r="B11342" s="49" t="s">
        <v>10563</v>
      </c>
    </row>
    <row r="11343" spans="1:2">
      <c r="A11343" s="66">
        <v>46072.042436261574</v>
      </c>
      <c r="B11343" s="49" t="s">
        <v>10564</v>
      </c>
    </row>
    <row r="11344" spans="1:2">
      <c r="A11344" s="66">
        <v>46072.042439629629</v>
      </c>
      <c r="B11344" s="49" t="s">
        <v>10542</v>
      </c>
    </row>
    <row r="11345" spans="1:2">
      <c r="A11345" s="66">
        <v>46072.042441504629</v>
      </c>
      <c r="B11345" s="49" t="s">
        <v>10543</v>
      </c>
    </row>
    <row r="11346" spans="1:2">
      <c r="A11346" s="66">
        <v>46072.042443946761</v>
      </c>
      <c r="B11346" s="49" t="s">
        <v>9394</v>
      </c>
    </row>
    <row r="11347" spans="1:2">
      <c r="A11347" s="66">
        <v>46072.043515370373</v>
      </c>
      <c r="B11347" s="49" t="s">
        <v>10556</v>
      </c>
    </row>
    <row r="11348" spans="1:2">
      <c r="A11348" s="66">
        <v>46072.043517847225</v>
      </c>
      <c r="B11348" s="49" t="s">
        <v>10557</v>
      </c>
    </row>
    <row r="11349" spans="1:2">
      <c r="A11349" s="66">
        <v>46072.043527604168</v>
      </c>
      <c r="B11349" s="49" t="s">
        <v>10546</v>
      </c>
    </row>
    <row r="11350" spans="1:2">
      <c r="A11350" s="66">
        <v>46072.043529953706</v>
      </c>
      <c r="B11350" s="49" t="s">
        <v>10466</v>
      </c>
    </row>
    <row r="11351" spans="1:2">
      <c r="A11351" s="66">
        <v>46072.043532199074</v>
      </c>
      <c r="B11351" s="49" t="s">
        <v>10561</v>
      </c>
    </row>
    <row r="11352" spans="1:2">
      <c r="A11352" s="66">
        <v>46072.043534687502</v>
      </c>
      <c r="B11352" s="49" t="s">
        <v>10562</v>
      </c>
    </row>
    <row r="11353" spans="1:2">
      <c r="A11353" s="66">
        <v>46072.043539895836</v>
      </c>
      <c r="B11353" s="49" t="s">
        <v>10563</v>
      </c>
    </row>
    <row r="11354" spans="1:2">
      <c r="A11354" s="66">
        <v>46072.043559583333</v>
      </c>
      <c r="B11354" s="49" t="s">
        <v>10564</v>
      </c>
    </row>
    <row r="11355" spans="1:2">
      <c r="A11355" s="66">
        <v>46072.043575497686</v>
      </c>
      <c r="B11355" s="49" t="s">
        <v>10542</v>
      </c>
    </row>
    <row r="11356" spans="1:2">
      <c r="A11356" s="66">
        <v>46072.043577881945</v>
      </c>
      <c r="B11356" s="49" t="s">
        <v>10543</v>
      </c>
    </row>
    <row r="11357" spans="1:2">
      <c r="A11357" s="66">
        <v>46072.043580081023</v>
      </c>
      <c r="B11357" s="49" t="s">
        <v>9394</v>
      </c>
    </row>
    <row r="11358" spans="1:2">
      <c r="A11358" s="66">
        <v>46072.044923506939</v>
      </c>
      <c r="B11358" s="49" t="s">
        <v>10556</v>
      </c>
    </row>
    <row r="11359" spans="1:2">
      <c r="A11359" s="66">
        <v>46072.044925555558</v>
      </c>
      <c r="B11359" s="49" t="s">
        <v>10557</v>
      </c>
    </row>
    <row r="11360" spans="1:2">
      <c r="A11360" s="66">
        <v>46072.044927685187</v>
      </c>
      <c r="B11360" s="49" t="s">
        <v>10546</v>
      </c>
    </row>
    <row r="11361" spans="1:2">
      <c r="A11361" s="66">
        <v>46072.044929502314</v>
      </c>
      <c r="B11361" s="49" t="s">
        <v>10466</v>
      </c>
    </row>
    <row r="11362" spans="1:2">
      <c r="A11362" s="66">
        <v>46072.04493123843</v>
      </c>
      <c r="B11362" s="49" t="s">
        <v>10561</v>
      </c>
    </row>
    <row r="11363" spans="1:2">
      <c r="A11363" s="66">
        <v>46072.044933425925</v>
      </c>
      <c r="B11363" s="49" t="s">
        <v>10562</v>
      </c>
    </row>
    <row r="11364" spans="1:2">
      <c r="A11364" s="66">
        <v>46072.0449353125</v>
      </c>
      <c r="B11364" s="49" t="s">
        <v>10563</v>
      </c>
    </row>
    <row r="11365" spans="1:2">
      <c r="A11365" s="66">
        <v>46072.044952685188</v>
      </c>
      <c r="B11365" s="49" t="s">
        <v>10564</v>
      </c>
    </row>
    <row r="11366" spans="1:2">
      <c r="A11366" s="66">
        <v>46072.044954907411</v>
      </c>
      <c r="B11366" s="49" t="s">
        <v>10542</v>
      </c>
    </row>
    <row r="11367" spans="1:2">
      <c r="A11367" s="66">
        <v>46072.044959942126</v>
      </c>
      <c r="B11367" s="49" t="s">
        <v>10543</v>
      </c>
    </row>
    <row r="11368" spans="1:2">
      <c r="A11368" s="66">
        <v>46072.044962685184</v>
      </c>
      <c r="B11368" s="49" t="s">
        <v>9394</v>
      </c>
    </row>
    <row r="11369" spans="1:2">
      <c r="A11369" s="66">
        <v>46072.045991342588</v>
      </c>
      <c r="B11369" s="49" t="s">
        <v>10556</v>
      </c>
    </row>
    <row r="11370" spans="1:2">
      <c r="A11370" s="66">
        <v>46072.045994409724</v>
      </c>
      <c r="B11370" s="49" t="s">
        <v>10557</v>
      </c>
    </row>
    <row r="11371" spans="1:2">
      <c r="A11371" s="66">
        <v>46072.045997291665</v>
      </c>
      <c r="B11371" s="49" t="s">
        <v>10546</v>
      </c>
    </row>
    <row r="11372" spans="1:2">
      <c r="A11372" s="66">
        <v>46072.046003912037</v>
      </c>
      <c r="B11372" s="49" t="s">
        <v>10466</v>
      </c>
    </row>
    <row r="11373" spans="1:2">
      <c r="A11373" s="66">
        <v>46072.046006828707</v>
      </c>
      <c r="B11373" s="49" t="s">
        <v>10561</v>
      </c>
    </row>
    <row r="11374" spans="1:2">
      <c r="A11374" s="66">
        <v>46072.046009780097</v>
      </c>
      <c r="B11374" s="49" t="s">
        <v>10562</v>
      </c>
    </row>
    <row r="11375" spans="1:2">
      <c r="A11375" s="66">
        <v>46072.046012569444</v>
      </c>
      <c r="B11375" s="49" t="s">
        <v>10563</v>
      </c>
    </row>
    <row r="11376" spans="1:2">
      <c r="A11376" s="66">
        <v>46072.046031805556</v>
      </c>
      <c r="B11376" s="49" t="s">
        <v>10564</v>
      </c>
    </row>
    <row r="11377" spans="1:2">
      <c r="A11377" s="66">
        <v>46072.046034861109</v>
      </c>
      <c r="B11377" s="49" t="s">
        <v>10542</v>
      </c>
    </row>
    <row r="11378" spans="1:2">
      <c r="A11378" s="66">
        <v>46072.046037777778</v>
      </c>
      <c r="B11378" s="49" t="s">
        <v>10543</v>
      </c>
    </row>
    <row r="11379" spans="1:2">
      <c r="A11379" s="66">
        <v>46072.046040729168</v>
      </c>
      <c r="B11379" s="49" t="s">
        <v>9394</v>
      </c>
    </row>
    <row r="11380" spans="1:2">
      <c r="A11380" s="66">
        <v>46072.046954305551</v>
      </c>
      <c r="B11380" s="49" t="s">
        <v>10556</v>
      </c>
    </row>
    <row r="11381" spans="1:2">
      <c r="A11381" s="66">
        <v>46072.046956736114</v>
      </c>
      <c r="B11381" s="49" t="s">
        <v>10557</v>
      </c>
    </row>
    <row r="11382" spans="1:2">
      <c r="A11382" s="66">
        <v>46072.046958854167</v>
      </c>
      <c r="B11382" s="49" t="s">
        <v>10546</v>
      </c>
    </row>
    <row r="11383" spans="1:2">
      <c r="A11383" s="66">
        <v>46072.046961284723</v>
      </c>
      <c r="B11383" s="49" t="s">
        <v>10466</v>
      </c>
    </row>
    <row r="11384" spans="1:2">
      <c r="A11384" s="66">
        <v>46072.046963275461</v>
      </c>
      <c r="B11384" s="49" t="s">
        <v>10561</v>
      </c>
    </row>
    <row r="11385" spans="1:2">
      <c r="A11385" s="66">
        <v>46072.04696954861</v>
      </c>
      <c r="B11385" s="49" t="s">
        <v>10562</v>
      </c>
    </row>
    <row r="11386" spans="1:2">
      <c r="A11386" s="66">
        <v>46072.046976203703</v>
      </c>
      <c r="B11386" s="49" t="s">
        <v>10563</v>
      </c>
    </row>
    <row r="11387" spans="1:2">
      <c r="A11387" s="66">
        <v>46072.046997476849</v>
      </c>
      <c r="B11387" s="49" t="s">
        <v>10564</v>
      </c>
    </row>
    <row r="11388" spans="1:2">
      <c r="A11388" s="66">
        <v>46072.047005104163</v>
      </c>
      <c r="B11388" s="49" t="s">
        <v>10542</v>
      </c>
    </row>
    <row r="11389" spans="1:2">
      <c r="A11389" s="66">
        <v>46072.047007048612</v>
      </c>
      <c r="B11389" s="49" t="s">
        <v>10543</v>
      </c>
    </row>
    <row r="11390" spans="1:2">
      <c r="A11390" s="66">
        <v>46072.047009016205</v>
      </c>
      <c r="B11390" s="49" t="s">
        <v>9394</v>
      </c>
    </row>
    <row r="11391" spans="1:2">
      <c r="A11391" s="66">
        <v>46072.04818824074</v>
      </c>
      <c r="B11391" s="49" t="s">
        <v>10556</v>
      </c>
    </row>
    <row r="11392" spans="1:2">
      <c r="A11392" s="66">
        <v>46072.048190393514</v>
      </c>
      <c r="B11392" s="49" t="s">
        <v>10557</v>
      </c>
    </row>
    <row r="11393" spans="1:2">
      <c r="A11393" s="66">
        <v>46072.048192407412</v>
      </c>
      <c r="B11393" s="49" t="s">
        <v>10546</v>
      </c>
    </row>
    <row r="11394" spans="1:2">
      <c r="A11394" s="66">
        <v>46072.048194479168</v>
      </c>
      <c r="B11394" s="49" t="s">
        <v>10466</v>
      </c>
    </row>
    <row r="11395" spans="1:2">
      <c r="A11395" s="66">
        <v>46072.048196203701</v>
      </c>
      <c r="B11395" s="49" t="s">
        <v>10561</v>
      </c>
    </row>
    <row r="11396" spans="1:2">
      <c r="A11396" s="66">
        <v>46072.048198032411</v>
      </c>
      <c r="B11396" s="49" t="s">
        <v>10562</v>
      </c>
    </row>
    <row r="11397" spans="1:2">
      <c r="A11397" s="66">
        <v>46072.048199733792</v>
      </c>
      <c r="B11397" s="49" t="s">
        <v>10563</v>
      </c>
    </row>
    <row r="11398" spans="1:2">
      <c r="A11398" s="66">
        <v>46072.048218321761</v>
      </c>
      <c r="B11398" s="49" t="s">
        <v>10564</v>
      </c>
    </row>
    <row r="11399" spans="1:2">
      <c r="A11399" s="66">
        <v>46072.048220405093</v>
      </c>
      <c r="B11399" s="49" t="s">
        <v>10542</v>
      </c>
    </row>
    <row r="11400" spans="1:2">
      <c r="A11400" s="66">
        <v>46072.048222638885</v>
      </c>
      <c r="B11400" s="49" t="s">
        <v>10543</v>
      </c>
    </row>
    <row r="11401" spans="1:2">
      <c r="A11401" s="66">
        <v>46072.048226469909</v>
      </c>
      <c r="B11401" s="49" t="s">
        <v>9394</v>
      </c>
    </row>
    <row r="11402" spans="1:2">
      <c r="A11402" s="66">
        <v>46072.049462453702</v>
      </c>
      <c r="B11402" s="49" t="s">
        <v>10556</v>
      </c>
    </row>
    <row r="11403" spans="1:2">
      <c r="A11403" s="66">
        <v>46072.049465115742</v>
      </c>
      <c r="B11403" s="49" t="s">
        <v>10557</v>
      </c>
    </row>
    <row r="11404" spans="1:2">
      <c r="A11404" s="66">
        <v>46072.049467997684</v>
      </c>
      <c r="B11404" s="49" t="s">
        <v>10546</v>
      </c>
    </row>
    <row r="11405" spans="1:2">
      <c r="A11405" s="66">
        <v>46072.049470659724</v>
      </c>
      <c r="B11405" s="49" t="s">
        <v>10466</v>
      </c>
    </row>
    <row r="11406" spans="1:2">
      <c r="A11406" s="66">
        <v>46072.049472824074</v>
      </c>
      <c r="B11406" s="49" t="s">
        <v>10561</v>
      </c>
    </row>
    <row r="11407" spans="1:2">
      <c r="A11407" s="66">
        <v>46072.049475740743</v>
      </c>
      <c r="B11407" s="49" t="s">
        <v>10562</v>
      </c>
    </row>
    <row r="11408" spans="1:2">
      <c r="A11408" s="66">
        <v>46072.0494783912</v>
      </c>
      <c r="B11408" s="49" t="s">
        <v>10563</v>
      </c>
    </row>
    <row r="11409" spans="1:2">
      <c r="A11409" s="66">
        <v>46072.04949636574</v>
      </c>
      <c r="B11409" s="49" t="s">
        <v>10564</v>
      </c>
    </row>
    <row r="11410" spans="1:2">
      <c r="A11410" s="66">
        <v>46072.049498495369</v>
      </c>
      <c r="B11410" s="49" t="s">
        <v>10542</v>
      </c>
    </row>
    <row r="11411" spans="1:2">
      <c r="A11411" s="66">
        <v>46072.04950069444</v>
      </c>
      <c r="B11411" s="49" t="s">
        <v>10543</v>
      </c>
    </row>
    <row r="11412" spans="1:2">
      <c r="A11412" s="66">
        <v>46072.049503159724</v>
      </c>
      <c r="B11412" s="49" t="s">
        <v>9394</v>
      </c>
    </row>
    <row r="11413" spans="1:2">
      <c r="A11413" s="66">
        <v>46072.050726423608</v>
      </c>
      <c r="B11413" s="49" t="s">
        <v>10556</v>
      </c>
    </row>
    <row r="11414" spans="1:2">
      <c r="A11414" s="66">
        <v>46072.050728773145</v>
      </c>
      <c r="B11414" s="49" t="s">
        <v>10557</v>
      </c>
    </row>
    <row r="11415" spans="1:2">
      <c r="A11415" s="66">
        <v>46072.050731585652</v>
      </c>
      <c r="B11415" s="49" t="s">
        <v>10546</v>
      </c>
    </row>
    <row r="11416" spans="1:2">
      <c r="A11416" s="66">
        <v>46072.050733564814</v>
      </c>
      <c r="B11416" s="49" t="s">
        <v>10466</v>
      </c>
    </row>
    <row r="11417" spans="1:2">
      <c r="A11417" s="66">
        <v>46072.050735358796</v>
      </c>
      <c r="B11417" s="49" t="s">
        <v>10561</v>
      </c>
    </row>
    <row r="11418" spans="1:2">
      <c r="A11418" s="66">
        <v>46072.050736944446</v>
      </c>
      <c r="B11418" s="49" t="s">
        <v>10562</v>
      </c>
    </row>
    <row r="11419" spans="1:2">
      <c r="A11419" s="66">
        <v>46072.050738969905</v>
      </c>
      <c r="B11419" s="49" t="s">
        <v>10563</v>
      </c>
    </row>
    <row r="11420" spans="1:2">
      <c r="A11420" s="66">
        <v>46072.050754062497</v>
      </c>
      <c r="B11420" s="49" t="s">
        <v>10564</v>
      </c>
    </row>
    <row r="11421" spans="1:2">
      <c r="A11421" s="66">
        <v>46072.050756157405</v>
      </c>
      <c r="B11421" s="49" t="s">
        <v>10542</v>
      </c>
    </row>
    <row r="11422" spans="1:2">
      <c r="A11422" s="66">
        <v>46072.050758460653</v>
      </c>
      <c r="B11422" s="49" t="s">
        <v>10543</v>
      </c>
    </row>
    <row r="11423" spans="1:2">
      <c r="A11423" s="66">
        <v>46072.050760358798</v>
      </c>
      <c r="B11423" s="49" t="s">
        <v>9394</v>
      </c>
    </row>
    <row r="11424" spans="1:2">
      <c r="A11424" s="66">
        <v>46072.052096921296</v>
      </c>
      <c r="B11424" s="49" t="s">
        <v>10556</v>
      </c>
    </row>
    <row r="11425" spans="1:2">
      <c r="A11425" s="66">
        <v>46072.052098668981</v>
      </c>
      <c r="B11425" s="49" t="s">
        <v>10557</v>
      </c>
    </row>
    <row r="11426" spans="1:2">
      <c r="A11426" s="66">
        <v>46072.052100428242</v>
      </c>
      <c r="B11426" s="49" t="s">
        <v>10546</v>
      </c>
    </row>
    <row r="11427" spans="1:2">
      <c r="A11427" s="66">
        <v>46072.052102083333</v>
      </c>
      <c r="B11427" s="49" t="s">
        <v>10466</v>
      </c>
    </row>
    <row r="11428" spans="1:2">
      <c r="A11428" s="66">
        <v>46072.052103645838</v>
      </c>
      <c r="B11428" s="49" t="s">
        <v>10561</v>
      </c>
    </row>
    <row r="11429" spans="1:2">
      <c r="A11429" s="66">
        <v>46072.052105208335</v>
      </c>
      <c r="B11429" s="49" t="s">
        <v>10562</v>
      </c>
    </row>
    <row r="11430" spans="1:2">
      <c r="A11430" s="66">
        <v>46072.052107094903</v>
      </c>
      <c r="B11430" s="49" t="s">
        <v>10563</v>
      </c>
    </row>
    <row r="11431" spans="1:2">
      <c r="A11431" s="66">
        <v>46072.052125219911</v>
      </c>
      <c r="B11431" s="49" t="s">
        <v>10564</v>
      </c>
    </row>
    <row r="11432" spans="1:2">
      <c r="A11432" s="66">
        <v>46072.052127187504</v>
      </c>
      <c r="B11432" s="49" t="s">
        <v>10542</v>
      </c>
    </row>
    <row r="11433" spans="1:2">
      <c r="A11433" s="66">
        <v>46072.052128750001</v>
      </c>
      <c r="B11433" s="49" t="s">
        <v>10543</v>
      </c>
    </row>
    <row r="11434" spans="1:2">
      <c r="A11434" s="66">
        <v>46072.052130625001</v>
      </c>
      <c r="B11434" s="49" t="s">
        <v>9394</v>
      </c>
    </row>
    <row r="11435" spans="1:2">
      <c r="A11435" s="66">
        <v>46072.053058379628</v>
      </c>
      <c r="B11435" s="49" t="s">
        <v>10556</v>
      </c>
    </row>
    <row r="11436" spans="1:2">
      <c r="A11436" s="66">
        <v>46072.053061307874</v>
      </c>
      <c r="B11436" s="49" t="s">
        <v>10557</v>
      </c>
    </row>
    <row r="11437" spans="1:2">
      <c r="A11437" s="66">
        <v>46072.053064120366</v>
      </c>
      <c r="B11437" s="49" t="s">
        <v>10546</v>
      </c>
    </row>
    <row r="11438" spans="1:2">
      <c r="A11438" s="66">
        <v>46072.053066909721</v>
      </c>
      <c r="B11438" s="49" t="s">
        <v>10466</v>
      </c>
    </row>
    <row r="11439" spans="1:2">
      <c r="A11439" s="66">
        <v>46072.053074189811</v>
      </c>
      <c r="B11439" s="49" t="s">
        <v>10561</v>
      </c>
    </row>
    <row r="11440" spans="1:2">
      <c r="A11440" s="66">
        <v>46072.053076967597</v>
      </c>
      <c r="B11440" s="49" t="s">
        <v>10562</v>
      </c>
    </row>
    <row r="11441" spans="1:2">
      <c r="A11441" s="66">
        <v>46072.053084409723</v>
      </c>
      <c r="B11441" s="49" t="s">
        <v>10563</v>
      </c>
    </row>
    <row r="11442" spans="1:2">
      <c r="A11442" s="66">
        <v>46072.053108067128</v>
      </c>
      <c r="B11442" s="49" t="s">
        <v>10564</v>
      </c>
    </row>
    <row r="11443" spans="1:2">
      <c r="A11443" s="66">
        <v>46072.053110995374</v>
      </c>
      <c r="B11443" s="49" t="s">
        <v>10542</v>
      </c>
    </row>
    <row r="11444" spans="1:2">
      <c r="A11444" s="66">
        <v>46072.05311364583</v>
      </c>
      <c r="B11444" s="49" t="s">
        <v>10543</v>
      </c>
    </row>
    <row r="11445" spans="1:2">
      <c r="A11445" s="66">
        <v>46072.053116423616</v>
      </c>
      <c r="B11445" s="49" t="s">
        <v>9394</v>
      </c>
    </row>
    <row r="11446" spans="1:2">
      <c r="A11446" s="66">
        <v>46072.054533275463</v>
      </c>
      <c r="B11446" s="49" t="s">
        <v>10556</v>
      </c>
    </row>
    <row r="11447" spans="1:2">
      <c r="A11447" s="66">
        <v>46072.054535787036</v>
      </c>
      <c r="B11447" s="49" t="s">
        <v>10557</v>
      </c>
    </row>
    <row r="11448" spans="1:2">
      <c r="A11448" s="66">
        <v>46072.054537870368</v>
      </c>
      <c r="B11448" s="49" t="s">
        <v>10546</v>
      </c>
    </row>
    <row r="11449" spans="1:2">
      <c r="A11449" s="66">
        <v>46072.054539837962</v>
      </c>
      <c r="B11449" s="49" t="s">
        <v>10466</v>
      </c>
    </row>
    <row r="11450" spans="1:2">
      <c r="A11450" s="66">
        <v>46072.054543217593</v>
      </c>
      <c r="B11450" s="49" t="s">
        <v>10561</v>
      </c>
    </row>
    <row r="11451" spans="1:2">
      <c r="A11451" s="66">
        <v>46072.054544837963</v>
      </c>
      <c r="B11451" s="49" t="s">
        <v>10562</v>
      </c>
    </row>
    <row r="11452" spans="1:2">
      <c r="A11452" s="66">
        <v>46072.054547604166</v>
      </c>
      <c r="B11452" s="49" t="s">
        <v>10563</v>
      </c>
    </row>
    <row r="11453" spans="1:2">
      <c r="A11453" s="66">
        <v>46072.054573946763</v>
      </c>
      <c r="B11453" s="49" t="s">
        <v>10564</v>
      </c>
    </row>
    <row r="11454" spans="1:2">
      <c r="A11454" s="66">
        <v>46072.054576493058</v>
      </c>
      <c r="B11454" s="49" t="s">
        <v>10542</v>
      </c>
    </row>
    <row r="11455" spans="1:2">
      <c r="A11455" s="66">
        <v>46072.054578391202</v>
      </c>
      <c r="B11455" s="49" t="s">
        <v>10543</v>
      </c>
    </row>
    <row r="11456" spans="1:2">
      <c r="A11456" s="66">
        <v>46072.054585497681</v>
      </c>
      <c r="B11456" s="49" t="s">
        <v>9394</v>
      </c>
    </row>
    <row r="11457" spans="1:2">
      <c r="A11457" s="66">
        <v>46072.055907037036</v>
      </c>
      <c r="B11457" s="49" t="s">
        <v>10556</v>
      </c>
    </row>
    <row r="11458" spans="1:2">
      <c r="A11458" s="66">
        <v>46072.055909201386</v>
      </c>
      <c r="B11458" s="49" t="s">
        <v>10557</v>
      </c>
    </row>
    <row r="11459" spans="1:2">
      <c r="A11459" s="66">
        <v>46072.055911284726</v>
      </c>
      <c r="B11459" s="49" t="s">
        <v>10546</v>
      </c>
    </row>
    <row r="11460" spans="1:2">
      <c r="A11460" s="66">
        <v>46072.055913460645</v>
      </c>
      <c r="B11460" s="49" t="s">
        <v>10466</v>
      </c>
    </row>
    <row r="11461" spans="1:2">
      <c r="A11461" s="66">
        <v>46072.055915682868</v>
      </c>
      <c r="B11461" s="49" t="s">
        <v>10561</v>
      </c>
    </row>
    <row r="11462" spans="1:2">
      <c r="A11462" s="66">
        <v>46072.055917754631</v>
      </c>
      <c r="B11462" s="49" t="s">
        <v>10562</v>
      </c>
    </row>
    <row r="11463" spans="1:2">
      <c r="A11463" s="66">
        <v>46072.055919606486</v>
      </c>
      <c r="B11463" s="49" t="s">
        <v>10563</v>
      </c>
    </row>
    <row r="11464" spans="1:2">
      <c r="A11464" s="66">
        <v>46072.055941805556</v>
      </c>
      <c r="B11464" s="49" t="s">
        <v>10564</v>
      </c>
    </row>
    <row r="11465" spans="1:2">
      <c r="A11465" s="66">
        <v>46072.055944270833</v>
      </c>
      <c r="B11465" s="49" t="s">
        <v>10542</v>
      </c>
    </row>
    <row r="11466" spans="1:2">
      <c r="A11466" s="66">
        <v>46072.055946388893</v>
      </c>
      <c r="B11466" s="49" t="s">
        <v>10543</v>
      </c>
    </row>
    <row r="11467" spans="1:2">
      <c r="A11467" s="66">
        <v>46072.055948506946</v>
      </c>
      <c r="B11467" s="49" t="s">
        <v>9394</v>
      </c>
    </row>
    <row r="11468" spans="1:2">
      <c r="A11468" s="66">
        <v>46072.057289027776</v>
      </c>
      <c r="B11468" s="49" t="s">
        <v>10556</v>
      </c>
    </row>
    <row r="11469" spans="1:2">
      <c r="A11469" s="66">
        <v>46072.057294826387</v>
      </c>
      <c r="B11469" s="49" t="s">
        <v>10557</v>
      </c>
    </row>
    <row r="11470" spans="1:2">
      <c r="A11470" s="66">
        <v>46072.057296863422</v>
      </c>
      <c r="B11470" s="49" t="s">
        <v>10546</v>
      </c>
    </row>
    <row r="11471" spans="1:2">
      <c r="A11471" s="66">
        <v>46072.057299259264</v>
      </c>
      <c r="B11471" s="49" t="s">
        <v>10466</v>
      </c>
    </row>
    <row r="11472" spans="1:2">
      <c r="A11472" s="66">
        <v>46072.057307847223</v>
      </c>
      <c r="B11472" s="49" t="s">
        <v>10561</v>
      </c>
    </row>
    <row r="11473" spans="1:2">
      <c r="A11473" s="66">
        <v>46072.057310104166</v>
      </c>
      <c r="B11473" s="49" t="s">
        <v>10562</v>
      </c>
    </row>
    <row r="11474" spans="1:2">
      <c r="A11474" s="66">
        <v>46072.057312534722</v>
      </c>
      <c r="B11474" s="49" t="s">
        <v>10563</v>
      </c>
    </row>
    <row r="11475" spans="1:2">
      <c r="A11475" s="66">
        <v>46072.057329895833</v>
      </c>
      <c r="B11475" s="49" t="s">
        <v>10564</v>
      </c>
    </row>
    <row r="11476" spans="1:2">
      <c r="A11476" s="66">
        <v>46072.057331979166</v>
      </c>
      <c r="B11476" s="49" t="s">
        <v>10542</v>
      </c>
    </row>
    <row r="11477" spans="1:2">
      <c r="A11477" s="66">
        <v>46072.05733408565</v>
      </c>
      <c r="B11477" s="49" t="s">
        <v>10543</v>
      </c>
    </row>
    <row r="11478" spans="1:2">
      <c r="A11478" s="66">
        <v>46072.057336412036</v>
      </c>
      <c r="B11478" s="49" t="s">
        <v>9394</v>
      </c>
    </row>
    <row r="11479" spans="1:2">
      <c r="A11479" s="66">
        <v>46072.058174814811</v>
      </c>
      <c r="B11479" s="49" t="s">
        <v>10556</v>
      </c>
    </row>
    <row r="11480" spans="1:2">
      <c r="A11480" s="66">
        <v>46072.05817802083</v>
      </c>
      <c r="B11480" s="49" t="s">
        <v>10557</v>
      </c>
    </row>
    <row r="11481" spans="1:2">
      <c r="A11481" s="66">
        <v>46072.058180844906</v>
      </c>
      <c r="B11481" s="49" t="s">
        <v>10546</v>
      </c>
    </row>
    <row r="11482" spans="1:2">
      <c r="A11482" s="66">
        <v>46072.058193020828</v>
      </c>
      <c r="B11482" s="49" t="s">
        <v>10466</v>
      </c>
    </row>
    <row r="11483" spans="1:2">
      <c r="A11483" s="66">
        <v>46072.058195925929</v>
      </c>
      <c r="B11483" s="49" t="s">
        <v>10561</v>
      </c>
    </row>
    <row r="11484" spans="1:2">
      <c r="A11484" s="66">
        <v>46072.058199641207</v>
      </c>
      <c r="B11484" s="49" t="s">
        <v>10562</v>
      </c>
    </row>
    <row r="11485" spans="1:2">
      <c r="A11485" s="66">
        <v>46072.058202476852</v>
      </c>
      <c r="B11485" s="49" t="s">
        <v>10563</v>
      </c>
    </row>
    <row r="11486" spans="1:2">
      <c r="A11486" s="66">
        <v>46072.058222835651</v>
      </c>
      <c r="B11486" s="49" t="s">
        <v>10564</v>
      </c>
    </row>
    <row r="11487" spans="1:2">
      <c r="A11487" s="66">
        <v>46072.058225844907</v>
      </c>
      <c r="B11487" s="49" t="s">
        <v>10542</v>
      </c>
    </row>
    <row r="11488" spans="1:2">
      <c r="A11488" s="66">
        <v>46072.05823336805</v>
      </c>
      <c r="B11488" s="49" t="s">
        <v>10543</v>
      </c>
    </row>
    <row r="11489" spans="1:2">
      <c r="A11489" s="66">
        <v>46072.058236261575</v>
      </c>
      <c r="B11489" s="49" t="s">
        <v>9394</v>
      </c>
    </row>
    <row r="11490" spans="1:2">
      <c r="A11490" s="66">
        <v>46072.059502962962</v>
      </c>
      <c r="B11490" s="49" t="s">
        <v>10556</v>
      </c>
    </row>
    <row r="11491" spans="1:2">
      <c r="A11491" s="66">
        <v>46072.059507557875</v>
      </c>
      <c r="B11491" s="49" t="s">
        <v>10557</v>
      </c>
    </row>
    <row r="11492" spans="1:2">
      <c r="A11492" s="66">
        <v>46072.059511192128</v>
      </c>
      <c r="B11492" s="49" t="s">
        <v>10546</v>
      </c>
    </row>
    <row r="11493" spans="1:2">
      <c r="A11493" s="66">
        <v>46072.059514027773</v>
      </c>
      <c r="B11493" s="49" t="s">
        <v>10466</v>
      </c>
    </row>
    <row r="11494" spans="1:2">
      <c r="A11494" s="66">
        <v>46072.059517453701</v>
      </c>
      <c r="B11494" s="49" t="s">
        <v>10561</v>
      </c>
    </row>
    <row r="11495" spans="1:2">
      <c r="A11495" s="66">
        <v>46072.059520243056</v>
      </c>
      <c r="B11495" s="49" t="s">
        <v>10562</v>
      </c>
    </row>
    <row r="11496" spans="1:2">
      <c r="A11496" s="66">
        <v>46072.059523148149</v>
      </c>
      <c r="B11496" s="49" t="s">
        <v>10563</v>
      </c>
    </row>
    <row r="11497" spans="1:2">
      <c r="A11497" s="66">
        <v>46072.059546689816</v>
      </c>
      <c r="B11497" s="49" t="s">
        <v>10564</v>
      </c>
    </row>
    <row r="11498" spans="1:2">
      <c r="A11498" s="66">
        <v>46072.059549699072</v>
      </c>
      <c r="B11498" s="49" t="s">
        <v>10542</v>
      </c>
    </row>
    <row r="11499" spans="1:2">
      <c r="A11499" s="66">
        <v>46072.059552534723</v>
      </c>
      <c r="B11499" s="49" t="s">
        <v>10543</v>
      </c>
    </row>
    <row r="11500" spans="1:2">
      <c r="A11500" s="66">
        <v>46072.059555370375</v>
      </c>
      <c r="B11500" s="49" t="s">
        <v>9394</v>
      </c>
    </row>
    <row r="11501" spans="1:2">
      <c r="A11501" s="66">
        <v>46072.060320185185</v>
      </c>
      <c r="B11501" s="49" t="s">
        <v>10556</v>
      </c>
    </row>
    <row r="11502" spans="1:2">
      <c r="A11502" s="66">
        <v>46072.060323379628</v>
      </c>
      <c r="B11502" s="49" t="s">
        <v>10557</v>
      </c>
    </row>
    <row r="11503" spans="1:2">
      <c r="A11503" s="66">
        <v>46072.060325439816</v>
      </c>
      <c r="B11503" s="49" t="s">
        <v>10546</v>
      </c>
    </row>
    <row r="11504" spans="1:2">
      <c r="A11504" s="66">
        <v>46072.060328043983</v>
      </c>
      <c r="B11504" s="49" t="s">
        <v>10466</v>
      </c>
    </row>
    <row r="11505" spans="1:2">
      <c r="A11505" s="66">
        <v>46072.060330497683</v>
      </c>
      <c r="B11505" s="49" t="s">
        <v>10561</v>
      </c>
    </row>
    <row r="11506" spans="1:2">
      <c r="A11506" s="66">
        <v>46072.060332766203</v>
      </c>
      <c r="B11506" s="49" t="s">
        <v>10562</v>
      </c>
    </row>
    <row r="11507" spans="1:2">
      <c r="A11507" s="66">
        <v>46072.060335173606</v>
      </c>
      <c r="B11507" s="49" t="s">
        <v>10563</v>
      </c>
    </row>
    <row r="11508" spans="1:2">
      <c r="A11508" s="66">
        <v>46072.060351249995</v>
      </c>
      <c r="B11508" s="49" t="s">
        <v>10564</v>
      </c>
    </row>
    <row r="11509" spans="1:2">
      <c r="A11509" s="66">
        <v>46072.060353923611</v>
      </c>
      <c r="B11509" s="49" t="s">
        <v>10542</v>
      </c>
    </row>
    <row r="11510" spans="1:2">
      <c r="A11510" s="66">
        <v>46072.060355891204</v>
      </c>
      <c r="B11510" s="49" t="s">
        <v>10543</v>
      </c>
    </row>
    <row r="11511" spans="1:2">
      <c r="A11511" s="66">
        <v>46072.060357986113</v>
      </c>
      <c r="B11511" s="49" t="s">
        <v>9394</v>
      </c>
    </row>
    <row r="11512" spans="1:2">
      <c r="A11512" s="66">
        <v>46072.061565034717</v>
      </c>
      <c r="B11512" s="49" t="s">
        <v>10556</v>
      </c>
    </row>
    <row r="11513" spans="1:2">
      <c r="A11513" s="66">
        <v>46072.061566886579</v>
      </c>
      <c r="B11513" s="49" t="s">
        <v>10557</v>
      </c>
    </row>
    <row r="11514" spans="1:2">
      <c r="A11514" s="66">
        <v>46072.061568495366</v>
      </c>
      <c r="B11514" s="49" t="s">
        <v>10546</v>
      </c>
    </row>
    <row r="11515" spans="1:2">
      <c r="A11515" s="66">
        <v>46072.061570069447</v>
      </c>
      <c r="B11515" s="49" t="s">
        <v>10466</v>
      </c>
    </row>
    <row r="11516" spans="1:2">
      <c r="A11516" s="66">
        <v>46072.061571736107</v>
      </c>
      <c r="B11516" s="49" t="s">
        <v>10561</v>
      </c>
    </row>
    <row r="11517" spans="1:2">
      <c r="A11517" s="66">
        <v>46072.061573657411</v>
      </c>
      <c r="B11517" s="49" t="s">
        <v>10562</v>
      </c>
    </row>
    <row r="11518" spans="1:2">
      <c r="A11518" s="66">
        <v>46072.061575613421</v>
      </c>
      <c r="B11518" s="49" t="s">
        <v>10563</v>
      </c>
    </row>
    <row r="11519" spans="1:2">
      <c r="A11519" s="66">
        <v>46072.061592407408</v>
      </c>
      <c r="B11519" s="49" t="s">
        <v>10564</v>
      </c>
    </row>
    <row r="11520" spans="1:2">
      <c r="A11520" s="66">
        <v>46072.061594664352</v>
      </c>
      <c r="B11520" s="49" t="s">
        <v>10542</v>
      </c>
    </row>
    <row r="11521" spans="1:2">
      <c r="A11521" s="66">
        <v>46072.061597731481</v>
      </c>
      <c r="B11521" s="49" t="s">
        <v>10543</v>
      </c>
    </row>
    <row r="11522" spans="1:2">
      <c r="A11522" s="66">
        <v>46072.061599409717</v>
      </c>
      <c r="B11522" s="49" t="s">
        <v>9394</v>
      </c>
    </row>
    <row r="11523" spans="1:2">
      <c r="A11523" s="66">
        <v>46072.06294802083</v>
      </c>
      <c r="B11523" s="49" t="s">
        <v>10556</v>
      </c>
    </row>
    <row r="11524" spans="1:2">
      <c r="A11524" s="66">
        <v>46072.06295097222</v>
      </c>
      <c r="B11524" s="49" t="s">
        <v>10557</v>
      </c>
    </row>
    <row r="11525" spans="1:2">
      <c r="A11525" s="66">
        <v>46072.062953460649</v>
      </c>
      <c r="B11525" s="49" t="s">
        <v>10546</v>
      </c>
    </row>
    <row r="11526" spans="1:2">
      <c r="A11526" s="66">
        <v>46072.062956006943</v>
      </c>
      <c r="B11526" s="49" t="s">
        <v>10466</v>
      </c>
    </row>
    <row r="11527" spans="1:2">
      <c r="A11527" s="66">
        <v>46072.062958750001</v>
      </c>
      <c r="B11527" s="49" t="s">
        <v>10561</v>
      </c>
    </row>
    <row r="11528" spans="1:2">
      <c r="A11528" s="66">
        <v>46072.062970208332</v>
      </c>
      <c r="B11528" s="49" t="s">
        <v>10562</v>
      </c>
    </row>
    <row r="11529" spans="1:2">
      <c r="A11529" s="66">
        <v>46072.062979513888</v>
      </c>
      <c r="B11529" s="49" t="s">
        <v>10563</v>
      </c>
    </row>
    <row r="11530" spans="1:2">
      <c r="A11530" s="66">
        <v>46072.062997465277</v>
      </c>
      <c r="B11530" s="49" t="s">
        <v>10564</v>
      </c>
    </row>
    <row r="11531" spans="1:2">
      <c r="A11531" s="66">
        <v>46072.062999861111</v>
      </c>
      <c r="B11531" s="49" t="s">
        <v>10542</v>
      </c>
    </row>
    <row r="11532" spans="1:2">
      <c r="A11532" s="66">
        <v>46072.063001712959</v>
      </c>
      <c r="B11532" s="49" t="s">
        <v>10543</v>
      </c>
    </row>
    <row r="11533" spans="1:2">
      <c r="A11533" s="66">
        <v>46072.063003854171</v>
      </c>
      <c r="B11533" s="49" t="s">
        <v>9394</v>
      </c>
    </row>
    <row r="11534" spans="1:2">
      <c r="A11534" s="66">
        <v>46072.06420630787</v>
      </c>
      <c r="B11534" s="49" t="s">
        <v>10556</v>
      </c>
    </row>
    <row r="11535" spans="1:2">
      <c r="A11535" s="66">
        <v>46072.064208263888</v>
      </c>
      <c r="B11535" s="49" t="s">
        <v>10557</v>
      </c>
    </row>
    <row r="11536" spans="1:2">
      <c r="A11536" s="66">
        <v>46072.064209999997</v>
      </c>
      <c r="B11536" s="49" t="s">
        <v>10546</v>
      </c>
    </row>
    <row r="11537" spans="1:2">
      <c r="A11537" s="66">
        <v>46072.064213576392</v>
      </c>
      <c r="B11537" s="49" t="s">
        <v>10466</v>
      </c>
    </row>
    <row r="11538" spans="1:2">
      <c r="A11538" s="66">
        <v>46072.064215520833</v>
      </c>
      <c r="B11538" s="49" t="s">
        <v>10561</v>
      </c>
    </row>
    <row r="11539" spans="1:2">
      <c r="A11539" s="66">
        <v>46072.064217314815</v>
      </c>
      <c r="B11539" s="49" t="s">
        <v>10562</v>
      </c>
    </row>
    <row r="11540" spans="1:2">
      <c r="A11540" s="66">
        <v>46072.064219074076</v>
      </c>
      <c r="B11540" s="49" t="s">
        <v>10563</v>
      </c>
    </row>
    <row r="11541" spans="1:2">
      <c r="A11541" s="66">
        <v>46072.064232222227</v>
      </c>
      <c r="B11541" s="49" t="s">
        <v>10564</v>
      </c>
    </row>
    <row r="11542" spans="1:2">
      <c r="A11542" s="66">
        <v>46072.064234178237</v>
      </c>
      <c r="B11542" s="49" t="s">
        <v>10542</v>
      </c>
    </row>
    <row r="11543" spans="1:2">
      <c r="A11543" s="66">
        <v>46072.064236377315</v>
      </c>
      <c r="B11543" s="49" t="s">
        <v>10543</v>
      </c>
    </row>
    <row r="11544" spans="1:2">
      <c r="A11544" s="66">
        <v>46072.064238425926</v>
      </c>
      <c r="B11544" s="49" t="s">
        <v>9394</v>
      </c>
    </row>
    <row r="11545" spans="1:2">
      <c r="A11545" s="66">
        <v>46072.065382870365</v>
      </c>
      <c r="B11545" s="49" t="s">
        <v>10556</v>
      </c>
    </row>
    <row r="11546" spans="1:2">
      <c r="A11546" s="66">
        <v>46072.065385069443</v>
      </c>
      <c r="B11546" s="49" t="s">
        <v>10557</v>
      </c>
    </row>
    <row r="11547" spans="1:2">
      <c r="A11547" s="66">
        <v>46072.065396493053</v>
      </c>
      <c r="B11547" s="49" t="s">
        <v>10546</v>
      </c>
    </row>
    <row r="11548" spans="1:2">
      <c r="A11548" s="66">
        <v>46072.065397986109</v>
      </c>
      <c r="B11548" s="49" t="s">
        <v>10466</v>
      </c>
    </row>
    <row r="11549" spans="1:2">
      <c r="A11549" s="66">
        <v>46072.065399479165</v>
      </c>
      <c r="B11549" s="49" t="s">
        <v>10561</v>
      </c>
    </row>
    <row r="11550" spans="1:2">
      <c r="A11550" s="66">
        <v>46072.065401250002</v>
      </c>
      <c r="B11550" s="49" t="s">
        <v>10562</v>
      </c>
    </row>
    <row r="11551" spans="1:2">
      <c r="A11551" s="66">
        <v>46072.065402962966</v>
      </c>
      <c r="B11551" s="49" t="s">
        <v>10563</v>
      </c>
    </row>
    <row r="11552" spans="1:2">
      <c r="A11552" s="66">
        <v>46072.065416921294</v>
      </c>
      <c r="B11552" s="49" t="s">
        <v>10564</v>
      </c>
    </row>
    <row r="11553" spans="1:2">
      <c r="A11553" s="66">
        <v>46072.065423020831</v>
      </c>
      <c r="B11553" s="49" t="s">
        <v>10542</v>
      </c>
    </row>
    <row r="11554" spans="1:2">
      <c r="A11554" s="66">
        <v>46072.065424537039</v>
      </c>
      <c r="B11554" s="49" t="s">
        <v>10543</v>
      </c>
    </row>
    <row r="11555" spans="1:2">
      <c r="A11555" s="66">
        <v>46072.065426064815</v>
      </c>
      <c r="B11555" s="49" t="s">
        <v>9394</v>
      </c>
    </row>
    <row r="11556" spans="1:2">
      <c r="A11556" s="66">
        <v>46072.066205497686</v>
      </c>
      <c r="B11556" s="49" t="s">
        <v>10556</v>
      </c>
    </row>
    <row r="11557" spans="1:2">
      <c r="A11557" s="66">
        <v>46072.066208460645</v>
      </c>
      <c r="B11557" s="49" t="s">
        <v>10557</v>
      </c>
    </row>
    <row r="11558" spans="1:2">
      <c r="A11558" s="66">
        <v>46072.066211192127</v>
      </c>
      <c r="B11558" s="49" t="s">
        <v>10546</v>
      </c>
    </row>
    <row r="11559" spans="1:2">
      <c r="A11559" s="66">
        <v>46072.066213969912</v>
      </c>
      <c r="B11559" s="49" t="s">
        <v>10466</v>
      </c>
    </row>
    <row r="11560" spans="1:2">
      <c r="A11560" s="66">
        <v>46072.066223414353</v>
      </c>
      <c r="B11560" s="49" t="s">
        <v>10561</v>
      </c>
    </row>
    <row r="11561" spans="1:2">
      <c r="A11561" s="66">
        <v>46072.066226192124</v>
      </c>
      <c r="B11561" s="49" t="s">
        <v>10562</v>
      </c>
    </row>
    <row r="11562" spans="1:2">
      <c r="A11562" s="66">
        <v>46072.066229999997</v>
      </c>
      <c r="B11562" s="49" t="s">
        <v>10563</v>
      </c>
    </row>
    <row r="11563" spans="1:2">
      <c r="A11563" s="66">
        <v>46072.066249976851</v>
      </c>
      <c r="B11563" s="49" t="s">
        <v>10564</v>
      </c>
    </row>
    <row r="11564" spans="1:2">
      <c r="A11564" s="66">
        <v>46072.06625275463</v>
      </c>
      <c r="B11564" s="49" t="s">
        <v>10542</v>
      </c>
    </row>
    <row r="11565" spans="1:2">
      <c r="A11565" s="66">
        <v>46072.066255775462</v>
      </c>
      <c r="B11565" s="49" t="s">
        <v>10543</v>
      </c>
    </row>
    <row r="11566" spans="1:2">
      <c r="A11566" s="66">
        <v>46072.066266111113</v>
      </c>
      <c r="B11566" s="49" t="s">
        <v>9394</v>
      </c>
    </row>
    <row r="11567" spans="1:2">
      <c r="A11567" s="66">
        <v>46072.067502002319</v>
      </c>
      <c r="B11567" s="49" t="s">
        <v>10556</v>
      </c>
    </row>
    <row r="11568" spans="1:2">
      <c r="A11568" s="66">
        <v>46072.067504143517</v>
      </c>
      <c r="B11568" s="49" t="s">
        <v>10557</v>
      </c>
    </row>
    <row r="11569" spans="1:2">
      <c r="A11569" s="66">
        <v>46072.067506782405</v>
      </c>
      <c r="B11569" s="49" t="s">
        <v>10546</v>
      </c>
    </row>
    <row r="11570" spans="1:2">
      <c r="A11570" s="66">
        <v>46072.067508703709</v>
      </c>
      <c r="B11570" s="49" t="s">
        <v>10466</v>
      </c>
    </row>
    <row r="11571" spans="1:2">
      <c r="A11571" s="66">
        <v>46072.067517407406</v>
      </c>
      <c r="B11571" s="49" t="s">
        <v>10561</v>
      </c>
    </row>
    <row r="11572" spans="1:2">
      <c r="A11572" s="66">
        <v>46072.067519652774</v>
      </c>
      <c r="B11572" s="49" t="s">
        <v>10562</v>
      </c>
    </row>
    <row r="11573" spans="1:2">
      <c r="A11573" s="66">
        <v>46072.067521655088</v>
      </c>
      <c r="B11573" s="49" t="s">
        <v>10563</v>
      </c>
    </row>
    <row r="11574" spans="1:2">
      <c r="A11574" s="66">
        <v>46072.067538518517</v>
      </c>
      <c r="B11574" s="49" t="s">
        <v>10564</v>
      </c>
    </row>
    <row r="11575" spans="1:2">
      <c r="A11575" s="66">
        <v>46072.067540949072</v>
      </c>
      <c r="B11575" s="49" t="s">
        <v>10542</v>
      </c>
    </row>
    <row r="11576" spans="1:2">
      <c r="A11576" s="66">
        <v>46072.067543240744</v>
      </c>
      <c r="B11576" s="49" t="s">
        <v>10543</v>
      </c>
    </row>
    <row r="11577" spans="1:2">
      <c r="A11577" s="66">
        <v>46072.067545231483</v>
      </c>
      <c r="B11577" s="49" t="s">
        <v>9394</v>
      </c>
    </row>
    <row r="11578" spans="1:2">
      <c r="A11578" s="66">
        <v>46072.068837858795</v>
      </c>
      <c r="B11578" s="49" t="s">
        <v>10556</v>
      </c>
    </row>
    <row r="11579" spans="1:2">
      <c r="A11579" s="66">
        <v>46072.068840092594</v>
      </c>
      <c r="B11579" s="49" t="s">
        <v>10557</v>
      </c>
    </row>
    <row r="11580" spans="1:2">
      <c r="A11580" s="66">
        <v>46072.068845069443</v>
      </c>
      <c r="B11580" s="49" t="s">
        <v>10546</v>
      </c>
    </row>
    <row r="11581" spans="1:2">
      <c r="A11581" s="66">
        <v>46072.068846851849</v>
      </c>
      <c r="B11581" s="49" t="s">
        <v>10466</v>
      </c>
    </row>
    <row r="11582" spans="1:2">
      <c r="A11582" s="66">
        <v>46072.068848634255</v>
      </c>
      <c r="B11582" s="49" t="s">
        <v>10561</v>
      </c>
    </row>
    <row r="11583" spans="1:2">
      <c r="A11583" s="66">
        <v>46072.068850266209</v>
      </c>
      <c r="B11583" s="49" t="s">
        <v>10562</v>
      </c>
    </row>
    <row r="11584" spans="1:2">
      <c r="A11584" s="66">
        <v>46072.068852013894</v>
      </c>
      <c r="B11584" s="49" t="s">
        <v>10563</v>
      </c>
    </row>
    <row r="11585" spans="1:2">
      <c r="A11585" s="66">
        <v>46072.068873865741</v>
      </c>
      <c r="B11585" s="49" t="s">
        <v>10564</v>
      </c>
    </row>
    <row r="11586" spans="1:2">
      <c r="A11586" s="66">
        <v>46072.068875844911</v>
      </c>
      <c r="B11586" s="49" t="s">
        <v>10542</v>
      </c>
    </row>
    <row r="11587" spans="1:2">
      <c r="A11587" s="66">
        <v>46072.068877754631</v>
      </c>
      <c r="B11587" s="49" t="s">
        <v>10543</v>
      </c>
    </row>
    <row r="11588" spans="1:2">
      <c r="A11588" s="66">
        <v>46072.068879583334</v>
      </c>
      <c r="B11588" s="49" t="s">
        <v>9394</v>
      </c>
    </row>
    <row r="11589" spans="1:2">
      <c r="A11589" s="66">
        <v>46072.070071620372</v>
      </c>
      <c r="B11589" s="49" t="s">
        <v>10556</v>
      </c>
    </row>
    <row r="11590" spans="1:2">
      <c r="A11590" s="66">
        <v>46072.070073101851</v>
      </c>
      <c r="B11590" s="49" t="s">
        <v>10557</v>
      </c>
    </row>
    <row r="11591" spans="1:2">
      <c r="A11591" s="66">
        <v>46072.070074664356</v>
      </c>
      <c r="B11591" s="49" t="s">
        <v>10546</v>
      </c>
    </row>
    <row r="11592" spans="1:2">
      <c r="A11592" s="66">
        <v>46072.070076157412</v>
      </c>
      <c r="B11592" s="49" t="s">
        <v>10466</v>
      </c>
    </row>
    <row r="11593" spans="1:2">
      <c r="A11593" s="66">
        <v>46072.070078090277</v>
      </c>
      <c r="B11593" s="49" t="s">
        <v>10561</v>
      </c>
    </row>
    <row r="11594" spans="1:2">
      <c r="A11594" s="66">
        <v>46072.070080659723</v>
      </c>
      <c r="B11594" s="49" t="s">
        <v>10562</v>
      </c>
    </row>
    <row r="11595" spans="1:2">
      <c r="A11595" s="66">
        <v>46072.070082453705</v>
      </c>
      <c r="B11595" s="49" t="s">
        <v>10563</v>
      </c>
    </row>
    <row r="11596" spans="1:2">
      <c r="A11596" s="66">
        <v>46072.070097476855</v>
      </c>
      <c r="B11596" s="49" t="s">
        <v>10564</v>
      </c>
    </row>
    <row r="11597" spans="1:2">
      <c r="A11597" s="66">
        <v>46072.070099178236</v>
      </c>
      <c r="B11597" s="49" t="s">
        <v>10542</v>
      </c>
    </row>
    <row r="11598" spans="1:2">
      <c r="A11598" s="66">
        <v>46072.070100763885</v>
      </c>
      <c r="B11598" s="49" t="s">
        <v>10543</v>
      </c>
    </row>
    <row r="11599" spans="1:2">
      <c r="A11599" s="66">
        <v>46072.070102407408</v>
      </c>
      <c r="B11599" s="49" t="s">
        <v>9394</v>
      </c>
    </row>
    <row r="11600" spans="1:2">
      <c r="A11600" s="66">
        <v>46072.071248101856</v>
      </c>
      <c r="B11600" s="49" t="s">
        <v>10556</v>
      </c>
    </row>
    <row r="11601" spans="1:2">
      <c r="A11601" s="66">
        <v>46072.071251064815</v>
      </c>
      <c r="B11601" s="49" t="s">
        <v>10557</v>
      </c>
    </row>
    <row r="11602" spans="1:2">
      <c r="A11602" s="66">
        <v>46072.071253460643</v>
      </c>
      <c r="B11602" s="49" t="s">
        <v>10546</v>
      </c>
    </row>
    <row r="11603" spans="1:2">
      <c r="A11603" s="66">
        <v>46072.07125606481</v>
      </c>
      <c r="B11603" s="49" t="s">
        <v>10466</v>
      </c>
    </row>
    <row r="11604" spans="1:2">
      <c r="A11604" s="66">
        <v>46072.071258657408</v>
      </c>
      <c r="B11604" s="49" t="s">
        <v>10561</v>
      </c>
    </row>
    <row r="11605" spans="1:2">
      <c r="A11605" s="66">
        <v>46072.071260833334</v>
      </c>
      <c r="B11605" s="49" t="s">
        <v>10562</v>
      </c>
    </row>
    <row r="11606" spans="1:2">
      <c r="A11606" s="66">
        <v>46072.071263148144</v>
      </c>
      <c r="B11606" s="49" t="s">
        <v>10563</v>
      </c>
    </row>
    <row r="11607" spans="1:2">
      <c r="A11607" s="66">
        <v>46072.071282951394</v>
      </c>
      <c r="B11607" s="49" t="s">
        <v>10564</v>
      </c>
    </row>
    <row r="11608" spans="1:2">
      <c r="A11608" s="66">
        <v>46072.071285104168</v>
      </c>
      <c r="B11608" s="49" t="s">
        <v>10542</v>
      </c>
    </row>
    <row r="11609" spans="1:2">
      <c r="A11609" s="66">
        <v>46072.071286979168</v>
      </c>
      <c r="B11609" s="49" t="s">
        <v>10543</v>
      </c>
    </row>
    <row r="11610" spans="1:2">
      <c r="A11610" s="66">
        <v>46072.071289629632</v>
      </c>
      <c r="B11610" s="49" t="s">
        <v>9394</v>
      </c>
    </row>
    <row r="11611" spans="1:2">
      <c r="A11611" s="66">
        <v>46072.072093703704</v>
      </c>
      <c r="B11611" s="49" t="s">
        <v>10556</v>
      </c>
    </row>
    <row r="11612" spans="1:2">
      <c r="A11612" s="66">
        <v>46072.072096087963</v>
      </c>
      <c r="B11612" s="49" t="s">
        <v>10557</v>
      </c>
    </row>
    <row r="11613" spans="1:2">
      <c r="A11613" s="66">
        <v>46072.072098078701</v>
      </c>
      <c r="B11613" s="49" t="s">
        <v>10546</v>
      </c>
    </row>
    <row r="11614" spans="1:2">
      <c r="A11614" s="66">
        <v>46072.072099861107</v>
      </c>
      <c r="B11614" s="49" t="s">
        <v>10466</v>
      </c>
    </row>
    <row r="11615" spans="1:2">
      <c r="A11615" s="66">
        <v>46072.072102418984</v>
      </c>
      <c r="B11615" s="49" t="s">
        <v>10561</v>
      </c>
    </row>
    <row r="11616" spans="1:2">
      <c r="A11616" s="66">
        <v>46072.072104340274</v>
      </c>
      <c r="B11616" s="49" t="s">
        <v>10562</v>
      </c>
    </row>
    <row r="11617" spans="1:2">
      <c r="A11617" s="66">
        <v>46072.072106446758</v>
      </c>
      <c r="B11617" s="49" t="s">
        <v>10563</v>
      </c>
    </row>
    <row r="11618" spans="1:2">
      <c r="A11618" s="66">
        <v>46072.072125868057</v>
      </c>
      <c r="B11618" s="49" t="s">
        <v>10564</v>
      </c>
    </row>
    <row r="11619" spans="1:2">
      <c r="A11619" s="66">
        <v>46072.07212769676</v>
      </c>
      <c r="B11619" s="49" t="s">
        <v>10542</v>
      </c>
    </row>
    <row r="11620" spans="1:2">
      <c r="A11620" s="66">
        <v>46072.072129537039</v>
      </c>
      <c r="B11620" s="49" t="s">
        <v>10543</v>
      </c>
    </row>
    <row r="11621" spans="1:2">
      <c r="A11621" s="66">
        <v>46072.072131319444</v>
      </c>
      <c r="B11621" s="49" t="s">
        <v>9394</v>
      </c>
    </row>
    <row r="11622" spans="1:2">
      <c r="A11622" s="66">
        <v>46072.073284004626</v>
      </c>
      <c r="B11622" s="49" t="s">
        <v>10556</v>
      </c>
    </row>
    <row r="11623" spans="1:2">
      <c r="A11623" s="66">
        <v>46072.073287418985</v>
      </c>
      <c r="B11623" s="49" t="s">
        <v>10557</v>
      </c>
    </row>
    <row r="11624" spans="1:2">
      <c r="A11624" s="66">
        <v>46072.073290393513</v>
      </c>
      <c r="B11624" s="49" t="s">
        <v>10546</v>
      </c>
    </row>
    <row r="11625" spans="1:2">
      <c r="A11625" s="66">
        <v>46072.073293287038</v>
      </c>
      <c r="B11625" s="49" t="s">
        <v>10466</v>
      </c>
    </row>
    <row r="11626" spans="1:2">
      <c r="A11626" s="66">
        <v>46072.073296250004</v>
      </c>
      <c r="B11626" s="49" t="s">
        <v>10561</v>
      </c>
    </row>
    <row r="11627" spans="1:2">
      <c r="A11627" s="66">
        <v>46072.073305057871</v>
      </c>
      <c r="B11627" s="49" t="s">
        <v>10562</v>
      </c>
    </row>
    <row r="11628" spans="1:2">
      <c r="A11628" s="66">
        <v>46072.073311782406</v>
      </c>
      <c r="B11628" s="49" t="s">
        <v>10563</v>
      </c>
    </row>
    <row r="11629" spans="1:2">
      <c r="A11629" s="66">
        <v>46072.073348831022</v>
      </c>
      <c r="B11629" s="49" t="s">
        <v>10564</v>
      </c>
    </row>
    <row r="11630" spans="1:2">
      <c r="A11630" s="66">
        <v>46072.073352199077</v>
      </c>
      <c r="B11630" s="49" t="s">
        <v>10542</v>
      </c>
    </row>
    <row r="11631" spans="1:2">
      <c r="A11631" s="66">
        <v>46072.073355023153</v>
      </c>
      <c r="B11631" s="49" t="s">
        <v>10543</v>
      </c>
    </row>
    <row r="11632" spans="1:2">
      <c r="A11632" s="66">
        <v>46072.073358124995</v>
      </c>
      <c r="B11632" s="49" t="s">
        <v>9394</v>
      </c>
    </row>
    <row r="11633" spans="1:2">
      <c r="A11633" s="66">
        <v>46072.074150694447</v>
      </c>
      <c r="B11633" s="49" t="s">
        <v>10556</v>
      </c>
    </row>
    <row r="11634" spans="1:2">
      <c r="A11634" s="66">
        <v>46072.074153148147</v>
      </c>
      <c r="B11634" s="49" t="s">
        <v>10557</v>
      </c>
    </row>
    <row r="11635" spans="1:2">
      <c r="A11635" s="66">
        <v>46072.074154999995</v>
      </c>
      <c r="B11635" s="49" t="s">
        <v>10546</v>
      </c>
    </row>
    <row r="11636" spans="1:2">
      <c r="A11636" s="66">
        <v>46072.074156932867</v>
      </c>
      <c r="B11636" s="49" t="s">
        <v>10466</v>
      </c>
    </row>
    <row r="11637" spans="1:2">
      <c r="A11637" s="66">
        <v>46072.074159479162</v>
      </c>
      <c r="B11637" s="49" t="s">
        <v>10561</v>
      </c>
    </row>
    <row r="11638" spans="1:2">
      <c r="A11638" s="66">
        <v>46072.074162384262</v>
      </c>
      <c r="B11638" s="49" t="s">
        <v>10562</v>
      </c>
    </row>
    <row r="11639" spans="1:2">
      <c r="A11639" s="66">
        <v>46072.074164201389</v>
      </c>
      <c r="B11639" s="49" t="s">
        <v>10563</v>
      </c>
    </row>
    <row r="11640" spans="1:2">
      <c r="A11640" s="66">
        <v>46072.074184930556</v>
      </c>
      <c r="B11640" s="49" t="s">
        <v>10564</v>
      </c>
    </row>
    <row r="11641" spans="1:2">
      <c r="A11641" s="66">
        <v>46072.074186990736</v>
      </c>
      <c r="B11641" s="49" t="s">
        <v>10542</v>
      </c>
    </row>
    <row r="11642" spans="1:2">
      <c r="A11642" s="66">
        <v>46072.074206562502</v>
      </c>
      <c r="B11642" s="49" t="s">
        <v>10543</v>
      </c>
    </row>
    <row r="11643" spans="1:2">
      <c r="A11643" s="66">
        <v>46072.074208692131</v>
      </c>
      <c r="B11643" s="49" t="s">
        <v>9394</v>
      </c>
    </row>
    <row r="11644" spans="1:2">
      <c r="A11644" s="66">
        <v>46072.075502372682</v>
      </c>
      <c r="B11644" s="49" t="s">
        <v>10556</v>
      </c>
    </row>
    <row r="11645" spans="1:2">
      <c r="A11645" s="66">
        <v>46072.075505671295</v>
      </c>
      <c r="B11645" s="49" t="s">
        <v>10557</v>
      </c>
    </row>
    <row r="11646" spans="1:2">
      <c r="A11646" s="66">
        <v>46072.075508113427</v>
      </c>
      <c r="B11646" s="49" t="s">
        <v>10546</v>
      </c>
    </row>
    <row r="11647" spans="1:2">
      <c r="A11647" s="66">
        <v>46072.07551033565</v>
      </c>
      <c r="B11647" s="49" t="s">
        <v>10466</v>
      </c>
    </row>
    <row r="11648" spans="1:2">
      <c r="A11648" s="66">
        <v>46072.075512523152</v>
      </c>
      <c r="B11648" s="49" t="s">
        <v>10561</v>
      </c>
    </row>
    <row r="11649" spans="1:2">
      <c r="A11649" s="66">
        <v>46072.075514826385</v>
      </c>
      <c r="B11649" s="49" t="s">
        <v>10562</v>
      </c>
    </row>
    <row r="11650" spans="1:2">
      <c r="A11650" s="66">
        <v>46072.075517268517</v>
      </c>
      <c r="B11650" s="49" t="s">
        <v>10563</v>
      </c>
    </row>
    <row r="11651" spans="1:2">
      <c r="A11651" s="66">
        <v>46072.075536469907</v>
      </c>
      <c r="B11651" s="49" t="s">
        <v>10564</v>
      </c>
    </row>
    <row r="11652" spans="1:2">
      <c r="A11652" s="66">
        <v>46072.075538715275</v>
      </c>
      <c r="B11652" s="49" t="s">
        <v>10542</v>
      </c>
    </row>
    <row r="11653" spans="1:2">
      <c r="A11653" s="66">
        <v>46072.075544282408</v>
      </c>
      <c r="B11653" s="49" t="s">
        <v>10543</v>
      </c>
    </row>
    <row r="11654" spans="1:2">
      <c r="A11654" s="66">
        <v>46072.075552407405</v>
      </c>
      <c r="B11654" s="49" t="s">
        <v>9394</v>
      </c>
    </row>
    <row r="11655" spans="1:2">
      <c r="A11655" s="66">
        <v>46072.076855648149</v>
      </c>
      <c r="B11655" s="49" t="s">
        <v>10556</v>
      </c>
    </row>
    <row r="11656" spans="1:2">
      <c r="A11656" s="66">
        <v>46072.07685824074</v>
      </c>
      <c r="B11656" s="49" t="s">
        <v>10557</v>
      </c>
    </row>
    <row r="11657" spans="1:2">
      <c r="A11657" s="66">
        <v>46072.076860833331</v>
      </c>
      <c r="B11657" s="49" t="s">
        <v>10546</v>
      </c>
    </row>
    <row r="11658" spans="1:2">
      <c r="A11658" s="66">
        <v>46072.07686346065</v>
      </c>
      <c r="B11658" s="49" t="s">
        <v>10466</v>
      </c>
    </row>
    <row r="11659" spans="1:2">
      <c r="A11659" s="66">
        <v>46072.076865833333</v>
      </c>
      <c r="B11659" s="49" t="s">
        <v>10561</v>
      </c>
    </row>
    <row r="11660" spans="1:2">
      <c r="A11660" s="66">
        <v>46072.076868900462</v>
      </c>
      <c r="B11660" s="49" t="s">
        <v>10562</v>
      </c>
    </row>
    <row r="11661" spans="1:2">
      <c r="A11661" s="66">
        <v>46072.07687203704</v>
      </c>
      <c r="B11661" s="49" t="s">
        <v>10563</v>
      </c>
    </row>
    <row r="11662" spans="1:2">
      <c r="A11662" s="66">
        <v>46072.076888958334</v>
      </c>
      <c r="B11662" s="49" t="s">
        <v>10564</v>
      </c>
    </row>
    <row r="11663" spans="1:2">
      <c r="A11663" s="66">
        <v>46072.076891817131</v>
      </c>
      <c r="B11663" s="49" t="s">
        <v>10542</v>
      </c>
    </row>
    <row r="11664" spans="1:2">
      <c r="A11664" s="66">
        <v>46072.076894606478</v>
      </c>
      <c r="B11664" s="49" t="s">
        <v>10543</v>
      </c>
    </row>
    <row r="11665" spans="1:2">
      <c r="A11665" s="66">
        <v>46072.076896782411</v>
      </c>
      <c r="B11665" s="49" t="s">
        <v>9394</v>
      </c>
    </row>
    <row r="11666" spans="1:2">
      <c r="A11666" s="66">
        <v>46072.077722222224</v>
      </c>
      <c r="B11666" s="49" t="s">
        <v>10556</v>
      </c>
    </row>
    <row r="11667" spans="1:2">
      <c r="A11667" s="66">
        <v>46072.077724409726</v>
      </c>
      <c r="B11667" s="49" t="s">
        <v>10557</v>
      </c>
    </row>
    <row r="11668" spans="1:2">
      <c r="A11668" s="66">
        <v>46072.077735335653</v>
      </c>
      <c r="B11668" s="49" t="s">
        <v>10546</v>
      </c>
    </row>
    <row r="11669" spans="1:2">
      <c r="A11669" s="66">
        <v>46072.07773730324</v>
      </c>
      <c r="B11669" s="49" t="s">
        <v>10466</v>
      </c>
    </row>
    <row r="11670" spans="1:2">
      <c r="A11670" s="66">
        <v>46072.077739120374</v>
      </c>
      <c r="B11670" s="49" t="s">
        <v>10561</v>
      </c>
    </row>
    <row r="11671" spans="1:2">
      <c r="A11671" s="66">
        <v>46072.077741261572</v>
      </c>
      <c r="B11671" s="49" t="s">
        <v>10562</v>
      </c>
    </row>
    <row r="11672" spans="1:2">
      <c r="A11672" s="66">
        <v>46072.077743171292</v>
      </c>
      <c r="B11672" s="49" t="s">
        <v>10563</v>
      </c>
    </row>
    <row r="11673" spans="1:2">
      <c r="A11673" s="66">
        <v>46072.077762893518</v>
      </c>
      <c r="B11673" s="49" t="s">
        <v>10564</v>
      </c>
    </row>
    <row r="11674" spans="1:2">
      <c r="A11674" s="66">
        <v>46072.077765046299</v>
      </c>
      <c r="B11674" s="49" t="s">
        <v>10542</v>
      </c>
    </row>
    <row r="11675" spans="1:2">
      <c r="A11675" s="66">
        <v>46072.077767013892</v>
      </c>
      <c r="B11675" s="49" t="s">
        <v>10543</v>
      </c>
    </row>
    <row r="11676" spans="1:2">
      <c r="A11676" s="66">
        <v>46072.077769097217</v>
      </c>
      <c r="B11676" s="49" t="s">
        <v>9394</v>
      </c>
    </row>
    <row r="11677" spans="1:2">
      <c r="A11677" s="66">
        <v>46072.078842314819</v>
      </c>
      <c r="B11677" s="49" t="s">
        <v>10556</v>
      </c>
    </row>
    <row r="11678" spans="1:2">
      <c r="A11678" s="66">
        <v>46072.078844548611</v>
      </c>
      <c r="B11678" s="49" t="s">
        <v>10557</v>
      </c>
    </row>
    <row r="11679" spans="1:2">
      <c r="A11679" s="66">
        <v>46072.078846365737</v>
      </c>
      <c r="B11679" s="49" t="s">
        <v>10546</v>
      </c>
    </row>
    <row r="11680" spans="1:2">
      <c r="A11680" s="66">
        <v>46072.078848171295</v>
      </c>
      <c r="B11680" s="49" t="s">
        <v>10466</v>
      </c>
    </row>
    <row r="11681" spans="1:2">
      <c r="A11681" s="66">
        <v>46072.078851400467</v>
      </c>
      <c r="B11681" s="49" t="s">
        <v>10561</v>
      </c>
    </row>
    <row r="11682" spans="1:2">
      <c r="A11682" s="66">
        <v>46072.078854270832</v>
      </c>
      <c r="B11682" s="49" t="s">
        <v>10562</v>
      </c>
    </row>
    <row r="11683" spans="1:2">
      <c r="A11683" s="66">
        <v>46072.078856354172</v>
      </c>
      <c r="B11683" s="49" t="s">
        <v>10563</v>
      </c>
    </row>
    <row r="11684" spans="1:2">
      <c r="A11684" s="66">
        <v>46072.078873333332</v>
      </c>
      <c r="B11684" s="49" t="s">
        <v>10564</v>
      </c>
    </row>
    <row r="11685" spans="1:2">
      <c r="A11685" s="66">
        <v>46072.078875405088</v>
      </c>
      <c r="B11685" s="49" t="s">
        <v>10542</v>
      </c>
    </row>
    <row r="11686" spans="1:2">
      <c r="A11686" s="66">
        <v>46072.078877199077</v>
      </c>
      <c r="B11686" s="49" t="s">
        <v>10543</v>
      </c>
    </row>
    <row r="11687" spans="1:2">
      <c r="A11687" s="66">
        <v>46072.078879108798</v>
      </c>
      <c r="B11687" s="49" t="s">
        <v>9394</v>
      </c>
    </row>
    <row r="11688" spans="1:2">
      <c r="A11688" s="66">
        <v>46072.080010532409</v>
      </c>
      <c r="B11688" s="49" t="s">
        <v>10556</v>
      </c>
    </row>
    <row r="11689" spans="1:2">
      <c r="A11689" s="66">
        <v>46072.080013043982</v>
      </c>
      <c r="B11689" s="49" t="s">
        <v>10557</v>
      </c>
    </row>
    <row r="11690" spans="1:2">
      <c r="A11690" s="66">
        <v>46072.080015474538</v>
      </c>
      <c r="B11690" s="49" t="s">
        <v>10546</v>
      </c>
    </row>
    <row r="11691" spans="1:2">
      <c r="A11691" s="66">
        <v>46072.080017708329</v>
      </c>
      <c r="B11691" s="49" t="s">
        <v>10466</v>
      </c>
    </row>
    <row r="11692" spans="1:2">
      <c r="A11692" s="66">
        <v>46072.080021550923</v>
      </c>
      <c r="B11692" s="49" t="s">
        <v>10561</v>
      </c>
    </row>
    <row r="11693" spans="1:2">
      <c r="A11693" s="66">
        <v>46072.080024085648</v>
      </c>
      <c r="B11693" s="49" t="s">
        <v>10562</v>
      </c>
    </row>
    <row r="11694" spans="1:2">
      <c r="A11694" s="66">
        <v>46072.080026759257</v>
      </c>
      <c r="B11694" s="49" t="s">
        <v>10563</v>
      </c>
    </row>
    <row r="11695" spans="1:2">
      <c r="A11695" s="66">
        <v>46072.080048356482</v>
      </c>
      <c r="B11695" s="49" t="s">
        <v>10564</v>
      </c>
    </row>
    <row r="11696" spans="1:2">
      <c r="A11696" s="66">
        <v>46072.080050694443</v>
      </c>
      <c r="B11696" s="49" t="s">
        <v>10542</v>
      </c>
    </row>
    <row r="11697" spans="1:2">
      <c r="A11697" s="66">
        <v>46072.080052847217</v>
      </c>
      <c r="B11697" s="49" t="s">
        <v>10543</v>
      </c>
    </row>
    <row r="11698" spans="1:2">
      <c r="A11698" s="66">
        <v>46072.080063333335</v>
      </c>
      <c r="B11698" s="49" t="s">
        <v>9394</v>
      </c>
    </row>
    <row r="11699" spans="1:2">
      <c r="A11699" s="66">
        <v>46072.081152002313</v>
      </c>
      <c r="B11699" s="49" t="s">
        <v>10556</v>
      </c>
    </row>
    <row r="11700" spans="1:2">
      <c r="A11700" s="66">
        <v>46072.081155370368</v>
      </c>
      <c r="B11700" s="49" t="s">
        <v>10557</v>
      </c>
    </row>
    <row r="11701" spans="1:2">
      <c r="A11701" s="66">
        <v>46072.081158425921</v>
      </c>
      <c r="B11701" s="49" t="s">
        <v>10546</v>
      </c>
    </row>
    <row r="11702" spans="1:2">
      <c r="A11702" s="66">
        <v>46072.081166180556</v>
      </c>
      <c r="B11702" s="49" t="s">
        <v>10466</v>
      </c>
    </row>
    <row r="11703" spans="1:2">
      <c r="A11703" s="66">
        <v>46072.081169097219</v>
      </c>
      <c r="B11703" s="49" t="s">
        <v>10561</v>
      </c>
    </row>
    <row r="11704" spans="1:2">
      <c r="A11704" s="66">
        <v>46072.081172141203</v>
      </c>
      <c r="B11704" s="49" t="s">
        <v>10562</v>
      </c>
    </row>
    <row r="11705" spans="1:2">
      <c r="A11705" s="66">
        <v>46072.081175127314</v>
      </c>
      <c r="B11705" s="49" t="s">
        <v>10563</v>
      </c>
    </row>
    <row r="11706" spans="1:2">
      <c r="A11706" s="66">
        <v>46072.081198206019</v>
      </c>
      <c r="B11706" s="49" t="s">
        <v>10564</v>
      </c>
    </row>
    <row r="11707" spans="1:2">
      <c r="A11707" s="66">
        <v>46072.081201053239</v>
      </c>
      <c r="B11707" s="49" t="s">
        <v>10542</v>
      </c>
    </row>
    <row r="11708" spans="1:2">
      <c r="A11708" s="66">
        <v>46072.081204027781</v>
      </c>
      <c r="B11708" s="49" t="s">
        <v>10543</v>
      </c>
    </row>
    <row r="11709" spans="1:2">
      <c r="A11709" s="66">
        <v>46072.081206793984</v>
      </c>
      <c r="B11709" s="49" t="s">
        <v>9394</v>
      </c>
    </row>
    <row r="11710" spans="1:2">
      <c r="A11710" s="66">
        <v>46072.08220149306</v>
      </c>
      <c r="B11710" s="49" t="s">
        <v>10556</v>
      </c>
    </row>
    <row r="11711" spans="1:2">
      <c r="A11711" s="66">
        <v>46072.082205995372</v>
      </c>
      <c r="B11711" s="49" t="s">
        <v>10557</v>
      </c>
    </row>
    <row r="11712" spans="1:2">
      <c r="A11712" s="66">
        <v>46072.082208611115</v>
      </c>
      <c r="B11712" s="49" t="s">
        <v>10546</v>
      </c>
    </row>
    <row r="11713" spans="1:2">
      <c r="A11713" s="66">
        <v>46072.082211539353</v>
      </c>
      <c r="B11713" s="49" t="s">
        <v>10466</v>
      </c>
    </row>
    <row r="11714" spans="1:2">
      <c r="A11714" s="66">
        <v>46072.082219710646</v>
      </c>
      <c r="B11714" s="49" t="s">
        <v>10561</v>
      </c>
    </row>
    <row r="11715" spans="1:2">
      <c r="A11715" s="66">
        <v>46072.082222083336</v>
      </c>
      <c r="B11715" s="49" t="s">
        <v>10562</v>
      </c>
    </row>
    <row r="11716" spans="1:2">
      <c r="A11716" s="66">
        <v>46072.082224537036</v>
      </c>
      <c r="B11716" s="49" t="s">
        <v>10563</v>
      </c>
    </row>
    <row r="11717" spans="1:2">
      <c r="A11717" s="66">
        <v>46072.082243599536</v>
      </c>
      <c r="B11717" s="49" t="s">
        <v>10564</v>
      </c>
    </row>
    <row r="11718" spans="1:2">
      <c r="A11718" s="66">
        <v>46072.082252071763</v>
      </c>
      <c r="B11718" s="49" t="s">
        <v>10542</v>
      </c>
    </row>
    <row r="11719" spans="1:2">
      <c r="A11719" s="66">
        <v>46072.082254618057</v>
      </c>
      <c r="B11719" s="49" t="s">
        <v>10543</v>
      </c>
    </row>
    <row r="11720" spans="1:2">
      <c r="A11720" s="66">
        <v>46072.082257534727</v>
      </c>
      <c r="B11720" s="49" t="s">
        <v>9394</v>
      </c>
    </row>
    <row r="11721" spans="1:2">
      <c r="A11721" s="66">
        <v>46072.083534606485</v>
      </c>
      <c r="B11721" s="49" t="s">
        <v>10556</v>
      </c>
    </row>
    <row r="11722" spans="1:2">
      <c r="A11722" s="66">
        <v>46072.083537453706</v>
      </c>
      <c r="B11722" s="49" t="s">
        <v>10557</v>
      </c>
    </row>
    <row r="11723" spans="1:2">
      <c r="A11723" s="66">
        <v>46072.083540023144</v>
      </c>
      <c r="B11723" s="49" t="s">
        <v>10546</v>
      </c>
    </row>
    <row r="11724" spans="1:2">
      <c r="A11724" s="66">
        <v>46072.083542523149</v>
      </c>
      <c r="B11724" s="49" t="s">
        <v>10466</v>
      </c>
    </row>
    <row r="11725" spans="1:2">
      <c r="A11725" s="66">
        <v>46072.083545416666</v>
      </c>
      <c r="B11725" s="49" t="s">
        <v>10561</v>
      </c>
    </row>
    <row r="11726" spans="1:2">
      <c r="A11726" s="66">
        <v>46072.083548032402</v>
      </c>
      <c r="B11726" s="49" t="s">
        <v>10562</v>
      </c>
    </row>
    <row r="11727" spans="1:2">
      <c r="A11727" s="66">
        <v>46072.083551296295</v>
      </c>
      <c r="B11727" s="49" t="s">
        <v>10563</v>
      </c>
    </row>
    <row r="11728" spans="1:2">
      <c r="A11728" s="66">
        <v>46072.083575856479</v>
      </c>
      <c r="B11728" s="49" t="s">
        <v>10564</v>
      </c>
    </row>
    <row r="11729" spans="1:2">
      <c r="A11729" s="66">
        <v>46072.083578622682</v>
      </c>
      <c r="B11729" s="49" t="s">
        <v>10542</v>
      </c>
    </row>
    <row r="11730" spans="1:2">
      <c r="A11730" s="66">
        <v>46072.083581898143</v>
      </c>
      <c r="B11730" s="49" t="s">
        <v>10543</v>
      </c>
    </row>
    <row r="11731" spans="1:2">
      <c r="A11731" s="66">
        <v>46072.083584328706</v>
      </c>
      <c r="B11731" s="49" t="s">
        <v>9394</v>
      </c>
    </row>
    <row r="11732" spans="1:2">
      <c r="A11732" s="66">
        <v>46072.084857037036</v>
      </c>
      <c r="B11732" s="49" t="s">
        <v>10556</v>
      </c>
    </row>
    <row r="11733" spans="1:2">
      <c r="A11733" s="66">
        <v>46072.08485885417</v>
      </c>
      <c r="B11733" s="49" t="s">
        <v>10557</v>
      </c>
    </row>
    <row r="11734" spans="1:2">
      <c r="A11734" s="66">
        <v>46072.084860636576</v>
      </c>
      <c r="B11734" s="49" t="s">
        <v>10546</v>
      </c>
    </row>
    <row r="11735" spans="1:2">
      <c r="A11735" s="66">
        <v>46072.084862083335</v>
      </c>
      <c r="B11735" s="49" t="s">
        <v>10466</v>
      </c>
    </row>
    <row r="11736" spans="1:2">
      <c r="A11736" s="66">
        <v>46072.084863645832</v>
      </c>
      <c r="B11736" s="49" t="s">
        <v>10561</v>
      </c>
    </row>
    <row r="11737" spans="1:2">
      <c r="A11737" s="66">
        <v>46072.084867534722</v>
      </c>
      <c r="B11737" s="49" t="s">
        <v>10562</v>
      </c>
    </row>
    <row r="11738" spans="1:2">
      <c r="A11738" s="66">
        <v>46072.084872534717</v>
      </c>
      <c r="B11738" s="49" t="s">
        <v>10563</v>
      </c>
    </row>
    <row r="11739" spans="1:2">
      <c r="A11739" s="66">
        <v>46072.084891423612</v>
      </c>
      <c r="B11739" s="49" t="s">
        <v>10564</v>
      </c>
    </row>
    <row r="11740" spans="1:2">
      <c r="A11740" s="66">
        <v>46072.084893287036</v>
      </c>
      <c r="B11740" s="49" t="s">
        <v>10542</v>
      </c>
    </row>
    <row r="11741" spans="1:2">
      <c r="A11741" s="66">
        <v>46072.084895370368</v>
      </c>
      <c r="B11741" s="49" t="s">
        <v>10543</v>
      </c>
    </row>
    <row r="11742" spans="1:2">
      <c r="A11742" s="66">
        <v>46072.084903182869</v>
      </c>
      <c r="B11742" s="49" t="s">
        <v>9394</v>
      </c>
    </row>
    <row r="11743" spans="1:2">
      <c r="A11743" s="66">
        <v>46072.086278935181</v>
      </c>
      <c r="B11743" s="49" t="s">
        <v>10556</v>
      </c>
    </row>
    <row r="11744" spans="1:2">
      <c r="A11744" s="66">
        <v>46072.086281122683</v>
      </c>
      <c r="B11744" s="49" t="s">
        <v>10557</v>
      </c>
    </row>
    <row r="11745" spans="1:2">
      <c r="A11745" s="66">
        <v>46072.086283518518</v>
      </c>
      <c r="B11745" s="49" t="s">
        <v>10546</v>
      </c>
    </row>
    <row r="11746" spans="1:2">
      <c r="A11746" s="66">
        <v>46072.086285509256</v>
      </c>
      <c r="B11746" s="49" t="s">
        <v>10466</v>
      </c>
    </row>
    <row r="11747" spans="1:2">
      <c r="A11747" s="66">
        <v>46072.086287534723</v>
      </c>
      <c r="B11747" s="49" t="s">
        <v>10561</v>
      </c>
    </row>
    <row r="11748" spans="1:2">
      <c r="A11748" s="66">
        <v>46072.08628945602</v>
      </c>
      <c r="B11748" s="49" t="s">
        <v>10562</v>
      </c>
    </row>
    <row r="11749" spans="1:2">
      <c r="A11749" s="66">
        <v>46072.086291400468</v>
      </c>
      <c r="B11749" s="49" t="s">
        <v>10563</v>
      </c>
    </row>
    <row r="11750" spans="1:2">
      <c r="A11750" s="66">
        <v>46072.086312800922</v>
      </c>
      <c r="B11750" s="49" t="s">
        <v>10564</v>
      </c>
    </row>
    <row r="11751" spans="1:2">
      <c r="A11751" s="66">
        <v>46072.086314768516</v>
      </c>
      <c r="B11751" s="49" t="s">
        <v>10542</v>
      </c>
    </row>
    <row r="11752" spans="1:2">
      <c r="A11752" s="66">
        <v>46072.08631648148</v>
      </c>
      <c r="B11752" s="49" t="s">
        <v>10543</v>
      </c>
    </row>
    <row r="11753" spans="1:2">
      <c r="A11753" s="66">
        <v>46072.086318379632</v>
      </c>
      <c r="B11753" s="49" t="s">
        <v>9394</v>
      </c>
    </row>
    <row r="11754" spans="1:2">
      <c r="A11754" s="66">
        <v>46072.087668078704</v>
      </c>
      <c r="B11754" s="49" t="s">
        <v>10556</v>
      </c>
    </row>
    <row r="11755" spans="1:2">
      <c r="A11755" s="66">
        <v>46072.087670428242</v>
      </c>
      <c r="B11755" s="49" t="s">
        <v>10557</v>
      </c>
    </row>
    <row r="11756" spans="1:2">
      <c r="A11756" s="66">
        <v>46072.087674768518</v>
      </c>
      <c r="B11756" s="49" t="s">
        <v>10546</v>
      </c>
    </row>
    <row r="11757" spans="1:2">
      <c r="A11757" s="66">
        <v>46072.087677071759</v>
      </c>
      <c r="B11757" s="49" t="s">
        <v>10466</v>
      </c>
    </row>
    <row r="11758" spans="1:2">
      <c r="A11758" s="66">
        <v>46072.087679340279</v>
      </c>
      <c r="B11758" s="49" t="s">
        <v>10561</v>
      </c>
    </row>
    <row r="11759" spans="1:2">
      <c r="A11759" s="66">
        <v>46072.087681550925</v>
      </c>
      <c r="B11759" s="49" t="s">
        <v>10562</v>
      </c>
    </row>
    <row r="11760" spans="1:2">
      <c r="A11760" s="66">
        <v>46072.087691921297</v>
      </c>
      <c r="B11760" s="49" t="s">
        <v>10563</v>
      </c>
    </row>
    <row r="11761" spans="1:2">
      <c r="A11761" s="66">
        <v>46072.08770989583</v>
      </c>
      <c r="B11761" s="49" t="s">
        <v>10564</v>
      </c>
    </row>
    <row r="11762" spans="1:2">
      <c r="A11762" s="66">
        <v>46072.087712048611</v>
      </c>
      <c r="B11762" s="49" t="s">
        <v>10542</v>
      </c>
    </row>
    <row r="11763" spans="1:2">
      <c r="A11763" s="66">
        <v>46072.087721689815</v>
      </c>
      <c r="B11763" s="49" t="s">
        <v>10543</v>
      </c>
    </row>
    <row r="11764" spans="1:2">
      <c r="A11764" s="66">
        <v>46072.087735601854</v>
      </c>
      <c r="B11764" s="49" t="s">
        <v>9394</v>
      </c>
    </row>
    <row r="11765" spans="1:2">
      <c r="A11765" s="66">
        <v>46072.089023923611</v>
      </c>
      <c r="B11765" s="49" t="s">
        <v>10556</v>
      </c>
    </row>
    <row r="11766" spans="1:2">
      <c r="A11766" s="66">
        <v>46072.089026018519</v>
      </c>
      <c r="B11766" s="49" t="s">
        <v>10557</v>
      </c>
    </row>
    <row r="11767" spans="1:2">
      <c r="A11767" s="66">
        <v>46072.089027754628</v>
      </c>
      <c r="B11767" s="49" t="s">
        <v>10546</v>
      </c>
    </row>
    <row r="11768" spans="1:2">
      <c r="A11768" s="66">
        <v>46072.089029560186</v>
      </c>
      <c r="B11768" s="49" t="s">
        <v>10466</v>
      </c>
    </row>
    <row r="11769" spans="1:2">
      <c r="A11769" s="66">
        <v>46072.089031435185</v>
      </c>
      <c r="B11769" s="49" t="s">
        <v>10561</v>
      </c>
    </row>
    <row r="11770" spans="1:2">
      <c r="A11770" s="66">
        <v>46072.08903693287</v>
      </c>
      <c r="B11770" s="49" t="s">
        <v>10562</v>
      </c>
    </row>
    <row r="11771" spans="1:2">
      <c r="A11771" s="66">
        <v>46072.089038796301</v>
      </c>
      <c r="B11771" s="49" t="s">
        <v>10563</v>
      </c>
    </row>
    <row r="11772" spans="1:2">
      <c r="A11772" s="66">
        <v>46072.089056111115</v>
      </c>
      <c r="B11772" s="49" t="s">
        <v>10564</v>
      </c>
    </row>
    <row r="11773" spans="1:2">
      <c r="A11773" s="66">
        <v>46072.089060810184</v>
      </c>
      <c r="B11773" s="49" t="s">
        <v>10542</v>
      </c>
    </row>
    <row r="11774" spans="1:2">
      <c r="A11774" s="66">
        <v>46072.089062696759</v>
      </c>
      <c r="B11774" s="49" t="s">
        <v>10543</v>
      </c>
    </row>
    <row r="11775" spans="1:2">
      <c r="A11775" s="66">
        <v>46072.089064571759</v>
      </c>
      <c r="B11775" s="49" t="s">
        <v>9394</v>
      </c>
    </row>
    <row r="11776" spans="1:2">
      <c r="A11776" s="66">
        <v>46072.090212430558</v>
      </c>
      <c r="B11776" s="49" t="s">
        <v>10556</v>
      </c>
    </row>
    <row r="11777" spans="1:2">
      <c r="A11777" s="66">
        <v>46072.090214675925</v>
      </c>
      <c r="B11777" s="49" t="s">
        <v>10557</v>
      </c>
    </row>
    <row r="11778" spans="1:2">
      <c r="A11778" s="66">
        <v>46072.090216412034</v>
      </c>
      <c r="B11778" s="49" t="s">
        <v>10546</v>
      </c>
    </row>
    <row r="11779" spans="1:2">
      <c r="A11779" s="66">
        <v>46072.090218078709</v>
      </c>
      <c r="B11779" s="49" t="s">
        <v>10466</v>
      </c>
    </row>
    <row r="11780" spans="1:2">
      <c r="A11780" s="66">
        <v>46072.090219803242</v>
      </c>
      <c r="B11780" s="49" t="s">
        <v>10561</v>
      </c>
    </row>
    <row r="11781" spans="1:2">
      <c r="A11781" s="66">
        <v>46072.090221412036</v>
      </c>
      <c r="B11781" s="49" t="s">
        <v>10562</v>
      </c>
    </row>
    <row r="11782" spans="1:2">
      <c r="A11782" s="66">
        <v>46072.090225520835</v>
      </c>
      <c r="B11782" s="49" t="s">
        <v>10563</v>
      </c>
    </row>
    <row r="11783" spans="1:2">
      <c r="A11783" s="66">
        <v>46072.090241585647</v>
      </c>
      <c r="B11783" s="49" t="s">
        <v>10564</v>
      </c>
    </row>
    <row r="11784" spans="1:2">
      <c r="A11784" s="66">
        <v>46072.090244988431</v>
      </c>
      <c r="B11784" s="49" t="s">
        <v>10542</v>
      </c>
    </row>
    <row r="11785" spans="1:2">
      <c r="A11785" s="66">
        <v>46072.090246851847</v>
      </c>
      <c r="B11785" s="49" t="s">
        <v>10543</v>
      </c>
    </row>
    <row r="11786" spans="1:2">
      <c r="A11786" s="66">
        <v>46072.090248657405</v>
      </c>
      <c r="B11786" s="49" t="s">
        <v>9394</v>
      </c>
    </row>
    <row r="11787" spans="1:2">
      <c r="A11787" s="66">
        <v>46072.091426238425</v>
      </c>
      <c r="B11787" s="49" t="s">
        <v>10556</v>
      </c>
    </row>
    <row r="11788" spans="1:2">
      <c r="A11788" s="66">
        <v>46072.091429224536</v>
      </c>
      <c r="B11788" s="49" t="s">
        <v>10557</v>
      </c>
    </row>
    <row r="11789" spans="1:2">
      <c r="A11789" s="66">
        <v>46072.091431018518</v>
      </c>
      <c r="B11789" s="49" t="s">
        <v>10546</v>
      </c>
    </row>
    <row r="11790" spans="1:2">
      <c r="A11790" s="66">
        <v>46072.091432604167</v>
      </c>
      <c r="B11790" s="49" t="s">
        <v>10466</v>
      </c>
    </row>
    <row r="11791" spans="1:2">
      <c r="A11791" s="66">
        <v>46072.091434027781</v>
      </c>
      <c r="B11791" s="49" t="s">
        <v>10561</v>
      </c>
    </row>
    <row r="11792" spans="1:2">
      <c r="A11792" s="66">
        <v>46072.09143565972</v>
      </c>
      <c r="B11792" s="49" t="s">
        <v>10562</v>
      </c>
    </row>
    <row r="11793" spans="1:2">
      <c r="A11793" s="66">
        <v>46072.091437199073</v>
      </c>
      <c r="B11793" s="49" t="s">
        <v>10563</v>
      </c>
    </row>
    <row r="11794" spans="1:2">
      <c r="A11794" s="66">
        <v>46072.091455821763</v>
      </c>
      <c r="B11794" s="49" t="s">
        <v>10564</v>
      </c>
    </row>
    <row r="11795" spans="1:2">
      <c r="A11795" s="66">
        <v>46072.091462962962</v>
      </c>
      <c r="B11795" s="49" t="s">
        <v>10542</v>
      </c>
    </row>
    <row r="11796" spans="1:2">
      <c r="A11796" s="66">
        <v>46072.091464525467</v>
      </c>
      <c r="B11796" s="49" t="s">
        <v>10543</v>
      </c>
    </row>
    <row r="11797" spans="1:2">
      <c r="A11797" s="66">
        <v>46072.091466087964</v>
      </c>
      <c r="B11797" s="49" t="s">
        <v>9394</v>
      </c>
    </row>
    <row r="11798" spans="1:2">
      <c r="A11798" s="66">
        <v>46072.092358831018</v>
      </c>
      <c r="B11798" s="49" t="s">
        <v>10556</v>
      </c>
    </row>
    <row r="11799" spans="1:2">
      <c r="A11799" s="66">
        <v>46072.09236086806</v>
      </c>
      <c r="B11799" s="49" t="s">
        <v>10557</v>
      </c>
    </row>
    <row r="11800" spans="1:2">
      <c r="A11800" s="66">
        <v>46072.09236253472</v>
      </c>
      <c r="B11800" s="49" t="s">
        <v>10546</v>
      </c>
    </row>
    <row r="11801" spans="1:2">
      <c r="A11801" s="66">
        <v>46072.092369456019</v>
      </c>
      <c r="B11801" s="49" t="s">
        <v>10466</v>
      </c>
    </row>
    <row r="11802" spans="1:2">
      <c r="A11802" s="66">
        <v>46072.092371053237</v>
      </c>
      <c r="B11802" s="49" t="s">
        <v>10561</v>
      </c>
    </row>
    <row r="11803" spans="1:2">
      <c r="A11803" s="66">
        <v>46072.092376018518</v>
      </c>
      <c r="B11803" s="49" t="s">
        <v>10562</v>
      </c>
    </row>
    <row r="11804" spans="1:2">
      <c r="A11804" s="66">
        <v>46072.092377962967</v>
      </c>
      <c r="B11804" s="49" t="s">
        <v>10563</v>
      </c>
    </row>
    <row r="11805" spans="1:2">
      <c r="A11805" s="66">
        <v>46072.092407511576</v>
      </c>
      <c r="B11805" s="49" t="s">
        <v>10564</v>
      </c>
    </row>
    <row r="11806" spans="1:2">
      <c r="A11806" s="66">
        <v>46072.092409710647</v>
      </c>
      <c r="B11806" s="49" t="s">
        <v>10542</v>
      </c>
    </row>
    <row r="11807" spans="1:2">
      <c r="A11807" s="66">
        <v>46072.092411631944</v>
      </c>
      <c r="B11807" s="49" t="s">
        <v>10543</v>
      </c>
    </row>
    <row r="11808" spans="1:2">
      <c r="A11808" s="66">
        <v>46072.092413900464</v>
      </c>
      <c r="B11808" s="49" t="s">
        <v>9394</v>
      </c>
    </row>
    <row r="11809" spans="1:2">
      <c r="A11809" s="66">
        <v>46072.093769016203</v>
      </c>
      <c r="B11809" s="49" t="s">
        <v>10556</v>
      </c>
    </row>
    <row r="11810" spans="1:2">
      <c r="A11810" s="66">
        <v>46072.093772986111</v>
      </c>
      <c r="B11810" s="49" t="s">
        <v>10557</v>
      </c>
    </row>
    <row r="11811" spans="1:2">
      <c r="A11811" s="66">
        <v>46072.093776215275</v>
      </c>
      <c r="B11811" s="49" t="s">
        <v>10546</v>
      </c>
    </row>
    <row r="11812" spans="1:2">
      <c r="A11812" s="66">
        <v>46072.093778946757</v>
      </c>
      <c r="B11812" s="49" t="s">
        <v>10466</v>
      </c>
    </row>
    <row r="11813" spans="1:2">
      <c r="A11813" s="66">
        <v>46072.093781539355</v>
      </c>
      <c r="B11813" s="49" t="s">
        <v>10561</v>
      </c>
    </row>
    <row r="11814" spans="1:2">
      <c r="A11814" s="66">
        <v>46072.093784328703</v>
      </c>
      <c r="B11814" s="49" t="s">
        <v>10562</v>
      </c>
    </row>
    <row r="11815" spans="1:2">
      <c r="A11815" s="66">
        <v>46072.093787129634</v>
      </c>
      <c r="B11815" s="49" t="s">
        <v>10563</v>
      </c>
    </row>
    <row r="11816" spans="1:2">
      <c r="A11816" s="66">
        <v>46072.09380480324</v>
      </c>
      <c r="B11816" s="49" t="s">
        <v>10564</v>
      </c>
    </row>
    <row r="11817" spans="1:2">
      <c r="A11817" s="66">
        <v>46072.093807546291</v>
      </c>
      <c r="B11817" s="49" t="s">
        <v>10542</v>
      </c>
    </row>
    <row r="11818" spans="1:2">
      <c r="A11818" s="66">
        <v>46072.093810208331</v>
      </c>
      <c r="B11818" s="49" t="s">
        <v>10543</v>
      </c>
    </row>
    <row r="11819" spans="1:2">
      <c r="A11819" s="66">
        <v>46072.093813194442</v>
      </c>
      <c r="B11819" s="49" t="s">
        <v>9394</v>
      </c>
    </row>
    <row r="11820" spans="1:2">
      <c r="A11820" s="66">
        <v>46072.095108287038</v>
      </c>
      <c r="B11820" s="49" t="s">
        <v>10556</v>
      </c>
    </row>
    <row r="11821" spans="1:2">
      <c r="A11821" s="66">
        <v>46072.09511174768</v>
      </c>
      <c r="B11821" s="49" t="s">
        <v>10557</v>
      </c>
    </row>
    <row r="11822" spans="1:2">
      <c r="A11822" s="66">
        <v>46072.095113449075</v>
      </c>
      <c r="B11822" s="49" t="s">
        <v>10546</v>
      </c>
    </row>
    <row r="11823" spans="1:2">
      <c r="A11823" s="66">
        <v>46072.095117326389</v>
      </c>
      <c r="B11823" s="49" t="s">
        <v>10466</v>
      </c>
    </row>
    <row r="11824" spans="1:2">
      <c r="A11824" s="66">
        <v>46072.095119166668</v>
      </c>
      <c r="B11824" s="49" t="s">
        <v>10561</v>
      </c>
    </row>
    <row r="11825" spans="1:2">
      <c r="A11825" s="66">
        <v>46072.095120810191</v>
      </c>
      <c r="B11825" s="49" t="s">
        <v>10562</v>
      </c>
    </row>
    <row r="11826" spans="1:2">
      <c r="A11826" s="66">
        <v>46072.09512810185</v>
      </c>
      <c r="B11826" s="49" t="s">
        <v>10563</v>
      </c>
    </row>
    <row r="11827" spans="1:2">
      <c r="A11827" s="66">
        <v>46072.09514203704</v>
      </c>
      <c r="B11827" s="49" t="s">
        <v>10564</v>
      </c>
    </row>
    <row r="11828" spans="1:2">
      <c r="A11828" s="66">
        <v>46072.095143877319</v>
      </c>
      <c r="B11828" s="49" t="s">
        <v>10542</v>
      </c>
    </row>
    <row r="11829" spans="1:2">
      <c r="A11829" s="66">
        <v>46072.095145729167</v>
      </c>
      <c r="B11829" s="49" t="s">
        <v>10543</v>
      </c>
    </row>
    <row r="11830" spans="1:2">
      <c r="A11830" s="66">
        <v>46072.095147604166</v>
      </c>
      <c r="B11830" s="49" t="s">
        <v>9394</v>
      </c>
    </row>
    <row r="11831" spans="1:2">
      <c r="A11831" s="66">
        <v>46072.096040752316</v>
      </c>
      <c r="B11831" s="49" t="s">
        <v>10556</v>
      </c>
    </row>
    <row r="11832" spans="1:2">
      <c r="A11832" s="66">
        <v>46072.096042881945</v>
      </c>
      <c r="B11832" s="49" t="s">
        <v>10557</v>
      </c>
    </row>
    <row r="11833" spans="1:2">
      <c r="A11833" s="66">
        <v>46072.096044930557</v>
      </c>
      <c r="B11833" s="49" t="s">
        <v>10546</v>
      </c>
    </row>
    <row r="11834" spans="1:2">
      <c r="A11834" s="66">
        <v>46072.096046736115</v>
      </c>
      <c r="B11834" s="49" t="s">
        <v>10466</v>
      </c>
    </row>
    <row r="11835" spans="1:2">
      <c r="A11835" s="66">
        <v>46072.096048692125</v>
      </c>
      <c r="B11835" s="49" t="s">
        <v>10561</v>
      </c>
    </row>
    <row r="11836" spans="1:2">
      <c r="A11836" s="66">
        <v>46072.096050300926</v>
      </c>
      <c r="B11836" s="49" t="s">
        <v>10562</v>
      </c>
    </row>
    <row r="11837" spans="1:2">
      <c r="A11837" s="66">
        <v>46072.096051956018</v>
      </c>
      <c r="B11837" s="49" t="s">
        <v>10563</v>
      </c>
    </row>
    <row r="11838" spans="1:2">
      <c r="A11838" s="66">
        <v>46072.096075775466</v>
      </c>
      <c r="B11838" s="49" t="s">
        <v>10564</v>
      </c>
    </row>
    <row r="11839" spans="1:2">
      <c r="A11839" s="66">
        <v>46072.096077523151</v>
      </c>
      <c r="B11839" s="49" t="s">
        <v>10542</v>
      </c>
    </row>
    <row r="11840" spans="1:2">
      <c r="A11840" s="66">
        <v>46072.096079224539</v>
      </c>
      <c r="B11840" s="49" t="s">
        <v>10543</v>
      </c>
    </row>
    <row r="11841" spans="1:2">
      <c r="A11841" s="66">
        <v>46072.096089976854</v>
      </c>
      <c r="B11841" s="49" t="s">
        <v>9394</v>
      </c>
    </row>
    <row r="11842" spans="1:2">
      <c r="A11842" s="66">
        <v>46072.097036145831</v>
      </c>
      <c r="B11842" s="49" t="s">
        <v>10556</v>
      </c>
    </row>
    <row r="11843" spans="1:2">
      <c r="A11843" s="66">
        <v>46072.097038518521</v>
      </c>
      <c r="B11843" s="49" t="s">
        <v>10557</v>
      </c>
    </row>
    <row r="11844" spans="1:2">
      <c r="A11844" s="66">
        <v>46072.097040671295</v>
      </c>
      <c r="B11844" s="49" t="s">
        <v>10546</v>
      </c>
    </row>
    <row r="11845" spans="1:2">
      <c r="A11845" s="66">
        <v>46072.097046643517</v>
      </c>
      <c r="B11845" s="49" t="s">
        <v>10466</v>
      </c>
    </row>
    <row r="11846" spans="1:2">
      <c r="A11846" s="66">
        <v>46072.097048738426</v>
      </c>
      <c r="B11846" s="49" t="s">
        <v>10561</v>
      </c>
    </row>
    <row r="11847" spans="1:2">
      <c r="A11847" s="66">
        <v>46072.09705196759</v>
      </c>
      <c r="B11847" s="49" t="s">
        <v>10562</v>
      </c>
    </row>
    <row r="11848" spans="1:2">
      <c r="A11848" s="66">
        <v>46072.097056782412</v>
      </c>
      <c r="B11848" s="49" t="s">
        <v>10563</v>
      </c>
    </row>
    <row r="11849" spans="1:2">
      <c r="A11849" s="66">
        <v>46072.097086597219</v>
      </c>
      <c r="B11849" s="49" t="s">
        <v>10564</v>
      </c>
    </row>
    <row r="11850" spans="1:2">
      <c r="A11850" s="66">
        <v>46072.097088576389</v>
      </c>
      <c r="B11850" s="49" t="s">
        <v>10542</v>
      </c>
    </row>
    <row r="11851" spans="1:2">
      <c r="A11851" s="66">
        <v>46072.097090625</v>
      </c>
      <c r="B11851" s="49" t="s">
        <v>10543</v>
      </c>
    </row>
    <row r="11852" spans="1:2">
      <c r="A11852" s="66">
        <v>46072.097092546297</v>
      </c>
      <c r="B11852" s="49" t="s">
        <v>9394</v>
      </c>
    </row>
    <row r="11853" spans="1:2">
      <c r="A11853" s="66">
        <v>46072.097888090277</v>
      </c>
      <c r="B11853" s="49" t="s">
        <v>10556</v>
      </c>
    </row>
    <row r="11854" spans="1:2">
      <c r="A11854" s="66">
        <v>46072.097890289355</v>
      </c>
      <c r="B11854" s="49" t="s">
        <v>10557</v>
      </c>
    </row>
    <row r="11855" spans="1:2">
      <c r="A11855" s="66">
        <v>46072.097892048609</v>
      </c>
      <c r="B11855" s="49" t="s">
        <v>10546</v>
      </c>
    </row>
    <row r="11856" spans="1:2">
      <c r="A11856" s="66">
        <v>46072.097893819446</v>
      </c>
      <c r="B11856" s="49" t="s">
        <v>10466</v>
      </c>
    </row>
    <row r="11857" spans="1:2">
      <c r="A11857" s="66">
        <v>46072.097895659725</v>
      </c>
      <c r="B11857" s="49" t="s">
        <v>10561</v>
      </c>
    </row>
    <row r="11858" spans="1:2">
      <c r="A11858" s="66">
        <v>46072.097897662039</v>
      </c>
      <c r="B11858" s="49" t="s">
        <v>10562</v>
      </c>
    </row>
    <row r="11859" spans="1:2">
      <c r="A11859" s="66">
        <v>46072.097899560184</v>
      </c>
      <c r="B11859" s="49" t="s">
        <v>10563</v>
      </c>
    </row>
    <row r="11860" spans="1:2">
      <c r="A11860" s="66">
        <v>46072.097917928244</v>
      </c>
      <c r="B11860" s="49" t="s">
        <v>10564</v>
      </c>
    </row>
    <row r="11861" spans="1:2">
      <c r="A11861" s="66">
        <v>46072.097919895838</v>
      </c>
      <c r="B11861" s="49" t="s">
        <v>10542</v>
      </c>
    </row>
    <row r="11862" spans="1:2">
      <c r="A11862" s="66">
        <v>46072.097922685185</v>
      </c>
      <c r="B11862" s="49" t="s">
        <v>10543</v>
      </c>
    </row>
    <row r="11863" spans="1:2">
      <c r="A11863" s="66">
        <v>46072.097924548609</v>
      </c>
      <c r="B11863" s="49" t="s">
        <v>9394</v>
      </c>
    </row>
    <row r="11864" spans="1:2">
      <c r="A11864" s="66">
        <v>46072.098696886576</v>
      </c>
      <c r="B11864" s="49" t="s">
        <v>10556</v>
      </c>
    </row>
    <row r="11865" spans="1:2">
      <c r="A11865" s="66">
        <v>46072.09869914352</v>
      </c>
      <c r="B11865" s="49" t="s">
        <v>10557</v>
      </c>
    </row>
    <row r="11866" spans="1:2">
      <c r="A11866" s="66">
        <v>46072.09870081018</v>
      </c>
      <c r="B11866" s="49" t="s">
        <v>10546</v>
      </c>
    </row>
    <row r="11867" spans="1:2">
      <c r="A11867" s="66">
        <v>46072.098702627314</v>
      </c>
      <c r="B11867" s="49" t="s">
        <v>10466</v>
      </c>
    </row>
    <row r="11868" spans="1:2">
      <c r="A11868" s="66">
        <v>46072.098704270829</v>
      </c>
      <c r="B11868" s="49" t="s">
        <v>10561</v>
      </c>
    </row>
    <row r="11869" spans="1:2">
      <c r="A11869" s="66">
        <v>46072.098706018514</v>
      </c>
      <c r="B11869" s="49" t="s">
        <v>10562</v>
      </c>
    </row>
    <row r="11870" spans="1:2">
      <c r="A11870" s="66">
        <v>46072.098707974539</v>
      </c>
      <c r="B11870" s="49" t="s">
        <v>10563</v>
      </c>
    </row>
    <row r="11871" spans="1:2">
      <c r="A11871" s="66">
        <v>46072.098721898146</v>
      </c>
      <c r="B11871" s="49" t="s">
        <v>10564</v>
      </c>
    </row>
    <row r="11872" spans="1:2">
      <c r="A11872" s="66">
        <v>46072.098724212963</v>
      </c>
      <c r="B11872" s="49" t="s">
        <v>10542</v>
      </c>
    </row>
    <row r="11873" spans="1:2">
      <c r="A11873" s="66">
        <v>46072.098726736112</v>
      </c>
      <c r="B11873" s="49" t="s">
        <v>10543</v>
      </c>
    </row>
    <row r="11874" spans="1:2">
      <c r="A11874" s="66">
        <v>46072.098729270831</v>
      </c>
      <c r="B11874" s="49" t="s">
        <v>9394</v>
      </c>
    </row>
    <row r="11875" spans="1:2">
      <c r="A11875" s="66">
        <v>46072.099949317126</v>
      </c>
      <c r="B11875" s="49" t="s">
        <v>10556</v>
      </c>
    </row>
    <row r="11876" spans="1:2">
      <c r="A11876" s="66">
        <v>46072.099951342592</v>
      </c>
      <c r="B11876" s="49" t="s">
        <v>10557</v>
      </c>
    </row>
    <row r="11877" spans="1:2">
      <c r="A11877" s="66">
        <v>46072.099953414348</v>
      </c>
      <c r="B11877" s="49" t="s">
        <v>10546</v>
      </c>
    </row>
    <row r="11878" spans="1:2">
      <c r="A11878" s="66">
        <v>46072.099954942125</v>
      </c>
      <c r="B11878" s="49" t="s">
        <v>10466</v>
      </c>
    </row>
    <row r="11879" spans="1:2">
      <c r="A11879" s="66">
        <v>46072.099956562495</v>
      </c>
      <c r="B11879" s="49" t="s">
        <v>10561</v>
      </c>
    </row>
    <row r="11880" spans="1:2">
      <c r="A11880" s="66">
        <v>46072.099959652776</v>
      </c>
      <c r="B11880" s="49" t="s">
        <v>10562</v>
      </c>
    </row>
    <row r="11881" spans="1:2">
      <c r="A11881" s="66">
        <v>46072.099964212961</v>
      </c>
      <c r="B11881" s="49" t="s">
        <v>10563</v>
      </c>
    </row>
    <row r="11882" spans="1:2">
      <c r="A11882" s="66">
        <v>46072.099980185187</v>
      </c>
      <c r="B11882" s="49" t="s">
        <v>10564</v>
      </c>
    </row>
    <row r="11883" spans="1:2">
      <c r="A11883" s="66">
        <v>46072.09998186343</v>
      </c>
      <c r="B11883" s="49" t="s">
        <v>10542</v>
      </c>
    </row>
    <row r="11884" spans="1:2">
      <c r="A11884" s="66">
        <v>46072.099985578709</v>
      </c>
      <c r="B11884" s="49" t="s">
        <v>10543</v>
      </c>
    </row>
    <row r="11885" spans="1:2">
      <c r="A11885" s="66">
        <v>46072.099988194444</v>
      </c>
      <c r="B11885" s="49" t="s">
        <v>9394</v>
      </c>
    </row>
    <row r="11886" spans="1:2">
      <c r="A11886" s="66">
        <v>46072.101173668983</v>
      </c>
      <c r="B11886" s="49" t="s">
        <v>10556</v>
      </c>
    </row>
    <row r="11887" spans="1:2">
      <c r="A11887" s="66">
        <v>46072.101175798613</v>
      </c>
      <c r="B11887" s="49" t="s">
        <v>10557</v>
      </c>
    </row>
    <row r="11888" spans="1:2">
      <c r="A11888" s="66">
        <v>46072.101177685181</v>
      </c>
      <c r="B11888" s="49" t="s">
        <v>10546</v>
      </c>
    </row>
    <row r="11889" spans="1:2">
      <c r="A11889" s="66">
        <v>46072.101179247686</v>
      </c>
      <c r="B11889" s="49" t="s">
        <v>10466</v>
      </c>
    </row>
    <row r="11890" spans="1:2">
      <c r="A11890" s="66">
        <v>46072.101180833335</v>
      </c>
      <c r="B11890" s="49" t="s">
        <v>10561</v>
      </c>
    </row>
    <row r="11891" spans="1:2">
      <c r="A11891" s="66">
        <v>46072.101182638886</v>
      </c>
      <c r="B11891" s="49" t="s">
        <v>10562</v>
      </c>
    </row>
    <row r="11892" spans="1:2">
      <c r="A11892" s="66">
        <v>46072.101184363426</v>
      </c>
      <c r="B11892" s="49" t="s">
        <v>10563</v>
      </c>
    </row>
    <row r="11893" spans="1:2">
      <c r="A11893" s="66">
        <v>46072.101197488431</v>
      </c>
      <c r="B11893" s="49" t="s">
        <v>10564</v>
      </c>
    </row>
    <row r="11894" spans="1:2">
      <c r="A11894" s="66">
        <v>46072.101199236116</v>
      </c>
      <c r="B11894" s="49" t="s">
        <v>10542</v>
      </c>
    </row>
    <row r="11895" spans="1:2">
      <c r="A11895" s="66">
        <v>46072.101201365746</v>
      </c>
      <c r="B11895" s="49" t="s">
        <v>10543</v>
      </c>
    </row>
    <row r="11896" spans="1:2">
      <c r="A11896" s="66">
        <v>46072.10120287037</v>
      </c>
      <c r="B11896" s="49" t="s">
        <v>9394</v>
      </c>
    </row>
    <row r="11897" spans="1:2">
      <c r="A11897" s="66">
        <v>46072.102194328705</v>
      </c>
      <c r="B11897" s="49" t="s">
        <v>10556</v>
      </c>
    </row>
    <row r="11898" spans="1:2">
      <c r="A11898" s="66">
        <v>46072.102196574073</v>
      </c>
      <c r="B11898" s="49" t="s">
        <v>10557</v>
      </c>
    </row>
    <row r="11899" spans="1:2">
      <c r="A11899" s="66">
        <v>46072.102200057867</v>
      </c>
      <c r="B11899" s="49" t="s">
        <v>10546</v>
      </c>
    </row>
    <row r="11900" spans="1:2">
      <c r="A11900" s="66">
        <v>46072.102201828704</v>
      </c>
      <c r="B11900" s="49" t="s">
        <v>10466</v>
      </c>
    </row>
    <row r="11901" spans="1:2">
      <c r="A11901" s="66">
        <v>46072.102203553237</v>
      </c>
      <c r="B11901" s="49" t="s">
        <v>10561</v>
      </c>
    </row>
    <row r="11902" spans="1:2">
      <c r="A11902" s="66">
        <v>46072.102205277777</v>
      </c>
      <c r="B11902" s="49" t="s">
        <v>10562</v>
      </c>
    </row>
    <row r="11903" spans="1:2">
      <c r="A11903" s="66">
        <v>46072.102207141201</v>
      </c>
      <c r="B11903" s="49" t="s">
        <v>10563</v>
      </c>
    </row>
    <row r="11904" spans="1:2">
      <c r="A11904" s="66">
        <v>46072.102222465277</v>
      </c>
      <c r="B11904" s="49" t="s">
        <v>10564</v>
      </c>
    </row>
    <row r="11905" spans="1:2">
      <c r="A11905" s="66">
        <v>46072.102224444447</v>
      </c>
      <c r="B11905" s="49" t="s">
        <v>10542</v>
      </c>
    </row>
    <row r="11906" spans="1:2">
      <c r="A11906" s="66">
        <v>46072.102230069446</v>
      </c>
      <c r="B11906" s="49" t="s">
        <v>10543</v>
      </c>
    </row>
    <row r="11907" spans="1:2">
      <c r="A11907" s="66">
        <v>46072.102231655095</v>
      </c>
      <c r="B11907" s="49" t="s">
        <v>9394</v>
      </c>
    </row>
    <row r="11908" spans="1:2">
      <c r="A11908" s="66">
        <v>46072.10326974537</v>
      </c>
      <c r="B11908" s="49" t="s">
        <v>10556</v>
      </c>
    </row>
    <row r="11909" spans="1:2">
      <c r="A11909" s="66">
        <v>46072.10327172454</v>
      </c>
      <c r="B11909" s="49" t="s">
        <v>10557</v>
      </c>
    </row>
    <row r="11910" spans="1:2">
      <c r="A11910" s="66">
        <v>46072.103283136574</v>
      </c>
      <c r="B11910" s="49" t="s">
        <v>10546</v>
      </c>
    </row>
    <row r="11911" spans="1:2">
      <c r="A11911" s="66">
        <v>46072.103284942132</v>
      </c>
      <c r="B11911" s="49" t="s">
        <v>10466</v>
      </c>
    </row>
    <row r="11912" spans="1:2">
      <c r="A11912" s="66">
        <v>46072.103286608792</v>
      </c>
      <c r="B11912" s="49" t="s">
        <v>10561</v>
      </c>
    </row>
    <row r="11913" spans="1:2">
      <c r="A11913" s="66">
        <v>46072.103288356477</v>
      </c>
      <c r="B11913" s="49" t="s">
        <v>10562</v>
      </c>
    </row>
    <row r="11914" spans="1:2">
      <c r="A11914" s="66">
        <v>46072.103290104162</v>
      </c>
      <c r="B11914" s="49" t="s">
        <v>10563</v>
      </c>
    </row>
    <row r="11915" spans="1:2">
      <c r="A11915" s="66">
        <v>46072.103306261575</v>
      </c>
      <c r="B11915" s="49" t="s">
        <v>10564</v>
      </c>
    </row>
    <row r="11916" spans="1:2">
      <c r="A11916" s="66">
        <v>46072.103308194448</v>
      </c>
      <c r="B11916" s="49" t="s">
        <v>10542</v>
      </c>
    </row>
    <row r="11917" spans="1:2">
      <c r="A11917" s="66">
        <v>46072.103310150458</v>
      </c>
      <c r="B11917" s="49" t="s">
        <v>10543</v>
      </c>
    </row>
    <row r="11918" spans="1:2">
      <c r="A11918" s="66">
        <v>46072.10331392361</v>
      </c>
      <c r="B11918" s="49" t="s">
        <v>9394</v>
      </c>
    </row>
    <row r="11919" spans="1:2">
      <c r="A11919" s="66">
        <v>46072.104074328701</v>
      </c>
      <c r="B11919" s="49" t="s">
        <v>10556</v>
      </c>
    </row>
    <row r="11920" spans="1:2">
      <c r="A11920" s="66">
        <v>46072.104077430558</v>
      </c>
      <c r="B11920" s="49" t="s">
        <v>10557</v>
      </c>
    </row>
    <row r="11921" spans="1:2">
      <c r="A11921" s="66">
        <v>46072.104080405094</v>
      </c>
      <c r="B11921" s="49" t="s">
        <v>10546</v>
      </c>
    </row>
    <row r="11922" spans="1:2">
      <c r="A11922" s="66">
        <v>46072.104083136575</v>
      </c>
      <c r="B11922" s="49" t="s">
        <v>10466</v>
      </c>
    </row>
    <row r="11923" spans="1:2">
      <c r="A11923" s="66">
        <v>46072.104086145831</v>
      </c>
      <c r="B11923" s="49" t="s">
        <v>10561</v>
      </c>
    </row>
    <row r="11924" spans="1:2">
      <c r="A11924" s="66">
        <v>46072.104088912034</v>
      </c>
      <c r="B11924" s="49" t="s">
        <v>10562</v>
      </c>
    </row>
    <row r="11925" spans="1:2">
      <c r="A11925" s="66">
        <v>46072.104091655092</v>
      </c>
      <c r="B11925" s="49" t="s">
        <v>10563</v>
      </c>
    </row>
    <row r="11926" spans="1:2">
      <c r="A11926" s="66">
        <v>46072.104110590277</v>
      </c>
      <c r="B11926" s="49" t="s">
        <v>10564</v>
      </c>
    </row>
    <row r="11927" spans="1:2">
      <c r="A11927" s="66">
        <v>46072.104113310183</v>
      </c>
      <c r="B11927" s="49" t="s">
        <v>10542</v>
      </c>
    </row>
    <row r="11928" spans="1:2">
      <c r="A11928" s="66">
        <v>46072.104116064816</v>
      </c>
      <c r="B11928" s="49" t="s">
        <v>10543</v>
      </c>
    </row>
    <row r="11929" spans="1:2">
      <c r="A11929" s="66">
        <v>46072.104118773146</v>
      </c>
      <c r="B11929" s="49" t="s">
        <v>9394</v>
      </c>
    </row>
    <row r="11930" spans="1:2">
      <c r="A11930" s="66">
        <v>46072.105149328709</v>
      </c>
      <c r="B11930" s="49" t="s">
        <v>10556</v>
      </c>
    </row>
    <row r="11931" spans="1:2">
      <c r="A11931" s="66">
        <v>46072.105151307871</v>
      </c>
      <c r="B11931" s="49" t="s">
        <v>10557</v>
      </c>
    </row>
    <row r="11932" spans="1:2">
      <c r="A11932" s="66">
        <v>46072.105155231482</v>
      </c>
      <c r="B11932" s="49" t="s">
        <v>10546</v>
      </c>
    </row>
    <row r="11933" spans="1:2">
      <c r="A11933" s="66">
        <v>46072.105157256941</v>
      </c>
      <c r="B11933" s="49" t="s">
        <v>10466</v>
      </c>
    </row>
    <row r="11934" spans="1:2">
      <c r="A11934" s="66">
        <v>46072.105159108796</v>
      </c>
      <c r="B11934" s="49" t="s">
        <v>10561</v>
      </c>
    </row>
    <row r="11935" spans="1:2">
      <c r="A11935" s="66">
        <v>46072.105160983796</v>
      </c>
      <c r="B11935" s="49" t="s">
        <v>10562</v>
      </c>
    </row>
    <row r="11936" spans="1:2">
      <c r="A11936" s="66">
        <v>46072.105162766209</v>
      </c>
      <c r="B11936" s="49" t="s">
        <v>10563</v>
      </c>
    </row>
    <row r="11937" spans="1:2">
      <c r="A11937" s="66">
        <v>46072.105180208338</v>
      </c>
      <c r="B11937" s="49" t="s">
        <v>10564</v>
      </c>
    </row>
    <row r="11938" spans="1:2">
      <c r="A11938" s="66">
        <v>46072.105182314815</v>
      </c>
      <c r="B11938" s="49" t="s">
        <v>10542</v>
      </c>
    </row>
    <row r="11939" spans="1:2">
      <c r="A11939" s="66">
        <v>46072.105187291665</v>
      </c>
      <c r="B11939" s="49" t="s">
        <v>10543</v>
      </c>
    </row>
    <row r="11940" spans="1:2">
      <c r="A11940" s="66">
        <v>46072.105190914357</v>
      </c>
      <c r="B11940" s="49" t="s">
        <v>9394</v>
      </c>
    </row>
    <row r="11941" spans="1:2">
      <c r="A11941" s="66">
        <v>46072.106372222217</v>
      </c>
      <c r="B11941" s="49" t="s">
        <v>10556</v>
      </c>
    </row>
    <row r="11942" spans="1:2">
      <c r="A11942" s="66">
        <v>46072.106379525459</v>
      </c>
      <c r="B11942" s="49" t="s">
        <v>10557</v>
      </c>
    </row>
    <row r="11943" spans="1:2">
      <c r="A11943" s="66">
        <v>46072.106389710651</v>
      </c>
      <c r="B11943" s="49" t="s">
        <v>10546</v>
      </c>
    </row>
    <row r="11944" spans="1:2">
      <c r="A11944" s="66">
        <v>46072.106398344906</v>
      </c>
      <c r="B11944" s="49" t="s">
        <v>10466</v>
      </c>
    </row>
    <row r="11945" spans="1:2">
      <c r="A11945" s="66">
        <v>46072.106400648147</v>
      </c>
      <c r="B11945" s="49" t="s">
        <v>10561</v>
      </c>
    </row>
    <row r="11946" spans="1:2">
      <c r="A11946" s="66">
        <v>46072.106410509259</v>
      </c>
      <c r="B11946" s="49" t="s">
        <v>10562</v>
      </c>
    </row>
    <row r="11947" spans="1:2">
      <c r="A11947" s="66">
        <v>46072.106412974535</v>
      </c>
      <c r="B11947" s="49" t="s">
        <v>10563</v>
      </c>
    </row>
    <row r="11948" spans="1:2">
      <c r="A11948" s="66">
        <v>46072.106436689814</v>
      </c>
      <c r="B11948" s="49" t="s">
        <v>10564</v>
      </c>
    </row>
    <row r="11949" spans="1:2">
      <c r="A11949" s="66">
        <v>46072.10643886574</v>
      </c>
      <c r="B11949" s="49" t="s">
        <v>10542</v>
      </c>
    </row>
    <row r="11950" spans="1:2">
      <c r="A11950" s="66">
        <v>46072.106441180556</v>
      </c>
      <c r="B11950" s="49" t="s">
        <v>10543</v>
      </c>
    </row>
    <row r="11951" spans="1:2">
      <c r="A11951" s="66">
        <v>46072.106447106482</v>
      </c>
      <c r="B11951" s="49" t="s">
        <v>9394</v>
      </c>
    </row>
    <row r="11952" spans="1:2">
      <c r="A11952" s="66">
        <v>46072.107221134254</v>
      </c>
      <c r="B11952" s="49" t="s">
        <v>10556</v>
      </c>
    </row>
    <row r="11953" spans="1:2">
      <c r="A11953" s="66">
        <v>46072.107224328705</v>
      </c>
      <c r="B11953" s="49" t="s">
        <v>10557</v>
      </c>
    </row>
    <row r="11954" spans="1:2">
      <c r="A11954" s="66">
        <v>46072.107227604167</v>
      </c>
      <c r="B11954" s="49" t="s">
        <v>10546</v>
      </c>
    </row>
    <row r="11955" spans="1:2">
      <c r="A11955" s="66">
        <v>46072.107230578702</v>
      </c>
      <c r="B11955" s="49" t="s">
        <v>10466</v>
      </c>
    </row>
    <row r="11956" spans="1:2">
      <c r="A11956" s="66">
        <v>46072.107234432871</v>
      </c>
      <c r="B11956" s="49" t="s">
        <v>10561</v>
      </c>
    </row>
    <row r="11957" spans="1:2">
      <c r="A11957" s="66">
        <v>46072.107237962962</v>
      </c>
      <c r="B11957" s="49" t="s">
        <v>10562</v>
      </c>
    </row>
    <row r="11958" spans="1:2">
      <c r="A11958" s="66">
        <v>46072.107241053236</v>
      </c>
      <c r="B11958" s="49" t="s">
        <v>10563</v>
      </c>
    </row>
    <row r="11959" spans="1:2">
      <c r="A11959" s="66">
        <v>46072.107258506949</v>
      </c>
      <c r="B11959" s="49" t="s">
        <v>10564</v>
      </c>
    </row>
    <row r="11960" spans="1:2">
      <c r="A11960" s="66">
        <v>46072.107265578699</v>
      </c>
      <c r="B11960" s="49" t="s">
        <v>10542</v>
      </c>
    </row>
    <row r="11961" spans="1:2">
      <c r="A11961" s="66">
        <v>46072.107270462962</v>
      </c>
      <c r="B11961" s="49" t="s">
        <v>10543</v>
      </c>
    </row>
    <row r="11962" spans="1:2">
      <c r="A11962" s="66">
        <v>46072.107273287038</v>
      </c>
      <c r="B11962" s="49" t="s">
        <v>9394</v>
      </c>
    </row>
    <row r="11963" spans="1:2">
      <c r="A11963" s="66">
        <v>46072.108452430555</v>
      </c>
      <c r="B11963" s="49" t="s">
        <v>10556</v>
      </c>
    </row>
    <row r="11964" spans="1:2">
      <c r="A11964" s="66">
        <v>46072.108454456014</v>
      </c>
      <c r="B11964" s="49" t="s">
        <v>10557</v>
      </c>
    </row>
    <row r="11965" spans="1:2">
      <c r="A11965" s="66">
        <v>46072.108456516202</v>
      </c>
      <c r="B11965" s="49" t="s">
        <v>10546</v>
      </c>
    </row>
    <row r="11966" spans="1:2">
      <c r="A11966" s="66">
        <v>46072.108458379633</v>
      </c>
      <c r="B11966" s="49" t="s">
        <v>10466</v>
      </c>
    </row>
    <row r="11967" spans="1:2">
      <c r="A11967" s="66">
        <v>46072.108460034724</v>
      </c>
      <c r="B11967" s="49" t="s">
        <v>10561</v>
      </c>
    </row>
    <row r="11968" spans="1:2">
      <c r="A11968" s="66">
        <v>46072.108461747688</v>
      </c>
      <c r="B11968" s="49" t="s">
        <v>10562</v>
      </c>
    </row>
    <row r="11969" spans="1:2">
      <c r="A11969" s="66">
        <v>46072.108463333338</v>
      </c>
      <c r="B11969" s="49" t="s">
        <v>10563</v>
      </c>
    </row>
    <row r="11970" spans="1:2">
      <c r="A11970" s="66">
        <v>46072.108476550929</v>
      </c>
      <c r="B11970" s="49" t="s">
        <v>10564</v>
      </c>
    </row>
    <row r="11971" spans="1:2">
      <c r="A11971" s="66">
        <v>46072.10847861111</v>
      </c>
      <c r="B11971" s="49" t="s">
        <v>10542</v>
      </c>
    </row>
    <row r="11972" spans="1:2">
      <c r="A11972" s="66">
        <v>46072.108481805553</v>
      </c>
      <c r="B11972" s="49" t="s">
        <v>10543</v>
      </c>
    </row>
    <row r="11973" spans="1:2">
      <c r="A11973" s="66">
        <v>46072.108488298611</v>
      </c>
      <c r="B11973" s="49" t="s">
        <v>9394</v>
      </c>
    </row>
    <row r="11974" spans="1:2">
      <c r="A11974" s="66">
        <v>46072.109537245371</v>
      </c>
      <c r="B11974" s="49" t="s">
        <v>10556</v>
      </c>
    </row>
    <row r="11975" spans="1:2">
      <c r="A11975" s="66">
        <v>46072.109540451391</v>
      </c>
      <c r="B11975" s="49" t="s">
        <v>10557</v>
      </c>
    </row>
    <row r="11976" spans="1:2">
      <c r="A11976" s="66">
        <v>46072.109543483792</v>
      </c>
      <c r="B11976" s="49" t="s">
        <v>10546</v>
      </c>
    </row>
    <row r="11977" spans="1:2">
      <c r="A11977" s="66">
        <v>46072.109546134263</v>
      </c>
      <c r="B11977" s="49" t="s">
        <v>10466</v>
      </c>
    </row>
    <row r="11978" spans="1:2">
      <c r="A11978" s="66">
        <v>46072.10954907407</v>
      </c>
      <c r="B11978" s="49" t="s">
        <v>10561</v>
      </c>
    </row>
    <row r="11979" spans="1:2">
      <c r="A11979" s="66">
        <v>46072.109551875001</v>
      </c>
      <c r="B11979" s="49" t="s">
        <v>10562</v>
      </c>
    </row>
    <row r="11980" spans="1:2">
      <c r="A11980" s="66">
        <v>46072.109554826384</v>
      </c>
      <c r="B11980" s="49" t="s">
        <v>10563</v>
      </c>
    </row>
    <row r="11981" spans="1:2">
      <c r="A11981" s="66">
        <v>46072.109582430552</v>
      </c>
      <c r="B11981" s="49" t="s">
        <v>10564</v>
      </c>
    </row>
    <row r="11982" spans="1:2">
      <c r="A11982" s="66">
        <v>46072.109585474536</v>
      </c>
      <c r="B11982" s="49" t="s">
        <v>10542</v>
      </c>
    </row>
    <row r="11983" spans="1:2">
      <c r="A11983" s="66">
        <v>46072.109588402775</v>
      </c>
      <c r="B11983" s="49" t="s">
        <v>10543</v>
      </c>
    </row>
    <row r="11984" spans="1:2">
      <c r="A11984" s="66">
        <v>46072.109591273147</v>
      </c>
      <c r="B11984" s="49" t="s">
        <v>9394</v>
      </c>
    </row>
    <row r="11985" spans="1:2">
      <c r="A11985" s="66">
        <v>46072.110366504625</v>
      </c>
      <c r="B11985" s="49" t="s">
        <v>10556</v>
      </c>
    </row>
    <row r="11986" spans="1:2">
      <c r="A11986" s="66">
        <v>46072.110380046295</v>
      </c>
      <c r="B11986" s="49" t="s">
        <v>10557</v>
      </c>
    </row>
    <row r="11987" spans="1:2">
      <c r="A11987" s="66">
        <v>46072.110382812505</v>
      </c>
      <c r="B11987" s="49" t="s">
        <v>10546</v>
      </c>
    </row>
    <row r="11988" spans="1:2">
      <c r="A11988" s="66">
        <v>46072.11038539352</v>
      </c>
      <c r="B11988" s="49" t="s">
        <v>10466</v>
      </c>
    </row>
    <row r="11989" spans="1:2">
      <c r="A11989" s="66">
        <v>46072.110387418987</v>
      </c>
      <c r="B11989" s="49" t="s">
        <v>10561</v>
      </c>
    </row>
    <row r="11990" spans="1:2">
      <c r="A11990" s="66">
        <v>46072.110393101852</v>
      </c>
      <c r="B11990" s="49" t="s">
        <v>10562</v>
      </c>
    </row>
    <row r="11991" spans="1:2">
      <c r="A11991" s="66">
        <v>46072.11039559028</v>
      </c>
      <c r="B11991" s="49" t="s">
        <v>10563</v>
      </c>
    </row>
    <row r="11992" spans="1:2">
      <c r="A11992" s="66">
        <v>46072.110424733793</v>
      </c>
      <c r="B11992" s="49" t="s">
        <v>10564</v>
      </c>
    </row>
    <row r="11993" spans="1:2">
      <c r="A11993" s="66">
        <v>46072.110427175925</v>
      </c>
      <c r="B11993" s="49" t="s">
        <v>10542</v>
      </c>
    </row>
    <row r="11994" spans="1:2">
      <c r="A11994" s="66">
        <v>46072.110429560184</v>
      </c>
      <c r="B11994" s="49" t="s">
        <v>10543</v>
      </c>
    </row>
    <row r="11995" spans="1:2">
      <c r="A11995" s="66">
        <v>46072.110431423615</v>
      </c>
      <c r="B11995" s="49" t="s">
        <v>9394</v>
      </c>
    </row>
    <row r="11996" spans="1:2">
      <c r="A11996" s="66">
        <v>46072.111276909724</v>
      </c>
      <c r="B11996" s="49" t="s">
        <v>10556</v>
      </c>
    </row>
    <row r="11997" spans="1:2">
      <c r="A11997" s="66">
        <v>46072.111280798606</v>
      </c>
      <c r="B11997" s="49" t="s">
        <v>10557</v>
      </c>
    </row>
    <row r="11998" spans="1:2">
      <c r="A11998" s="66">
        <v>46072.111282534723</v>
      </c>
      <c r="B11998" s="49" t="s">
        <v>10546</v>
      </c>
    </row>
    <row r="11999" spans="1:2">
      <c r="A11999" s="66">
        <v>46072.111290474539</v>
      </c>
      <c r="B11999" s="49" t="s">
        <v>10466</v>
      </c>
    </row>
    <row r="12000" spans="1:2">
      <c r="A12000" s="66">
        <v>46072.111292187503</v>
      </c>
      <c r="B12000" s="49" t="s">
        <v>10561</v>
      </c>
    </row>
    <row r="12001" spans="1:2">
      <c r="A12001" s="66">
        <v>46072.111293993061</v>
      </c>
      <c r="B12001" s="49" t="s">
        <v>10562</v>
      </c>
    </row>
    <row r="12002" spans="1:2">
      <c r="A12002" s="66">
        <v>46072.111295856477</v>
      </c>
      <c r="B12002" s="49" t="s">
        <v>10563</v>
      </c>
    </row>
    <row r="12003" spans="1:2">
      <c r="A12003" s="66">
        <v>46072.111311747685</v>
      </c>
      <c r="B12003" s="49" t="s">
        <v>10564</v>
      </c>
    </row>
    <row r="12004" spans="1:2">
      <c r="A12004" s="66">
        <v>46072.11131359954</v>
      </c>
      <c r="B12004" s="49" t="s">
        <v>10542</v>
      </c>
    </row>
    <row r="12005" spans="1:2">
      <c r="A12005" s="66">
        <v>46072.111320972224</v>
      </c>
      <c r="B12005" s="49" t="s">
        <v>10543</v>
      </c>
    </row>
    <row r="12006" spans="1:2">
      <c r="A12006" s="66">
        <v>46072.11132394676</v>
      </c>
      <c r="B12006" s="49" t="s">
        <v>9394</v>
      </c>
    </row>
    <row r="12007" spans="1:2">
      <c r="A12007" s="66">
        <v>46072.112592824073</v>
      </c>
      <c r="B12007" s="49" t="s">
        <v>10556</v>
      </c>
    </row>
    <row r="12008" spans="1:2">
      <c r="A12008" s="66">
        <v>46072.112594895836</v>
      </c>
      <c r="B12008" s="49" t="s">
        <v>10557</v>
      </c>
    </row>
    <row r="12009" spans="1:2">
      <c r="A12009" s="66">
        <v>46072.112596828709</v>
      </c>
      <c r="B12009" s="49" t="s">
        <v>10546</v>
      </c>
    </row>
    <row r="12010" spans="1:2">
      <c r="A12010" s="66">
        <v>46072.112598796295</v>
      </c>
      <c r="B12010" s="49" t="s">
        <v>10466</v>
      </c>
    </row>
    <row r="12011" spans="1:2">
      <c r="A12011" s="66">
        <v>46072.112600856482</v>
      </c>
      <c r="B12011" s="49" t="s">
        <v>10561</v>
      </c>
    </row>
    <row r="12012" spans="1:2">
      <c r="A12012" s="66">
        <v>46072.112602731482</v>
      </c>
      <c r="B12012" s="49" t="s">
        <v>10562</v>
      </c>
    </row>
    <row r="12013" spans="1:2">
      <c r="A12013" s="66">
        <v>46072.112604872687</v>
      </c>
      <c r="B12013" s="49" t="s">
        <v>10563</v>
      </c>
    </row>
    <row r="12014" spans="1:2">
      <c r="A12014" s="66">
        <v>46072.112622604167</v>
      </c>
      <c r="B12014" s="49" t="s">
        <v>10564</v>
      </c>
    </row>
    <row r="12015" spans="1:2">
      <c r="A12015" s="66">
        <v>46072.112626226852</v>
      </c>
      <c r="B12015" s="49" t="s">
        <v>10542</v>
      </c>
    </row>
    <row r="12016" spans="1:2">
      <c r="A12016" s="66">
        <v>46072.112628530092</v>
      </c>
      <c r="B12016" s="49" t="s">
        <v>10543</v>
      </c>
    </row>
    <row r="12017" spans="1:2">
      <c r="A12017" s="66">
        <v>46072.112637928236</v>
      </c>
      <c r="B12017" s="49" t="s">
        <v>9394</v>
      </c>
    </row>
    <row r="12018" spans="1:2">
      <c r="A12018" s="66">
        <v>46072.113790428237</v>
      </c>
      <c r="B12018" s="49" t="s">
        <v>10556</v>
      </c>
    </row>
    <row r="12019" spans="1:2">
      <c r="A12019" s="66">
        <v>46072.113792777775</v>
      </c>
      <c r="B12019" s="49" t="s">
        <v>10557</v>
      </c>
    </row>
    <row r="12020" spans="1:2">
      <c r="A12020" s="66">
        <v>46072.113794652774</v>
      </c>
      <c r="B12020" s="49" t="s">
        <v>10546</v>
      </c>
    </row>
    <row r="12021" spans="1:2">
      <c r="A12021" s="66">
        <v>46072.113796655089</v>
      </c>
      <c r="B12021" s="49" t="s">
        <v>10466</v>
      </c>
    </row>
    <row r="12022" spans="1:2">
      <c r="A12022" s="66">
        <v>46072.113798206017</v>
      </c>
      <c r="B12022" s="49" t="s">
        <v>10561</v>
      </c>
    </row>
    <row r="12023" spans="1:2">
      <c r="A12023" s="66">
        <v>46072.11379984954</v>
      </c>
      <c r="B12023" s="49" t="s">
        <v>10562</v>
      </c>
    </row>
    <row r="12024" spans="1:2">
      <c r="A12024" s="66">
        <v>46072.113801527783</v>
      </c>
      <c r="B12024" s="49" t="s">
        <v>10563</v>
      </c>
    </row>
    <row r="12025" spans="1:2">
      <c r="A12025" s="66">
        <v>46072.113819178237</v>
      </c>
      <c r="B12025" s="49" t="s">
        <v>10564</v>
      </c>
    </row>
    <row r="12026" spans="1:2">
      <c r="A12026" s="66">
        <v>46072.113829201393</v>
      </c>
      <c r="B12026" s="49" t="s">
        <v>10542</v>
      </c>
    </row>
    <row r="12027" spans="1:2">
      <c r="A12027" s="66">
        <v>46072.113830891205</v>
      </c>
      <c r="B12027" s="49" t="s">
        <v>10543</v>
      </c>
    </row>
    <row r="12028" spans="1:2">
      <c r="A12028" s="66">
        <v>46072.113832557865</v>
      </c>
      <c r="B12028" s="49" t="s">
        <v>9394</v>
      </c>
    </row>
    <row r="12029" spans="1:2">
      <c r="A12029" s="66">
        <v>46072.114839212962</v>
      </c>
      <c r="B12029" s="49" t="s">
        <v>10556</v>
      </c>
    </row>
    <row r="12030" spans="1:2">
      <c r="A12030" s="66">
        <v>46072.114842800926</v>
      </c>
      <c r="B12030" s="49" t="s">
        <v>10557</v>
      </c>
    </row>
    <row r="12031" spans="1:2">
      <c r="A12031" s="66">
        <v>46072.114851423612</v>
      </c>
      <c r="B12031" s="49" t="s">
        <v>10546</v>
      </c>
    </row>
    <row r="12032" spans="1:2">
      <c r="A12032" s="66">
        <v>46072.114855555556</v>
      </c>
      <c r="B12032" s="49" t="s">
        <v>10466</v>
      </c>
    </row>
    <row r="12033" spans="1:2">
      <c r="A12033" s="66">
        <v>46072.114858749999</v>
      </c>
      <c r="B12033" s="49" t="s">
        <v>10561</v>
      </c>
    </row>
    <row r="12034" spans="1:2">
      <c r="A12034" s="66">
        <v>46072.114862442133</v>
      </c>
      <c r="B12034" s="49" t="s">
        <v>10562</v>
      </c>
    </row>
    <row r="12035" spans="1:2">
      <c r="A12035" s="66">
        <v>46072.114865416668</v>
      </c>
      <c r="B12035" s="49" t="s">
        <v>10563</v>
      </c>
    </row>
    <row r="12036" spans="1:2">
      <c r="A12036" s="66">
        <v>46072.114901828703</v>
      </c>
      <c r="B12036" s="49" t="s">
        <v>10564</v>
      </c>
    </row>
    <row r="12037" spans="1:2">
      <c r="A12037" s="66">
        <v>46072.114905335649</v>
      </c>
      <c r="B12037" s="49" t="s">
        <v>10542</v>
      </c>
    </row>
    <row r="12038" spans="1:2">
      <c r="A12038" s="66">
        <v>46072.114909016207</v>
      </c>
      <c r="B12038" s="49" t="s">
        <v>10543</v>
      </c>
    </row>
    <row r="12039" spans="1:2">
      <c r="A12039" s="66">
        <v>46072.114913472222</v>
      </c>
      <c r="B12039" s="49" t="s">
        <v>9394</v>
      </c>
    </row>
    <row r="12040" spans="1:2">
      <c r="A12040" s="66">
        <v>46072.115988530088</v>
      </c>
      <c r="B12040" s="49" t="s">
        <v>10556</v>
      </c>
    </row>
    <row r="12041" spans="1:2">
      <c r="A12041" s="66">
        <v>46072.115990694445</v>
      </c>
      <c r="B12041" s="49" t="s">
        <v>10557</v>
      </c>
    </row>
    <row r="12042" spans="1:2">
      <c r="A12042" s="66">
        <v>46072.11599795139</v>
      </c>
      <c r="B12042" s="49" t="s">
        <v>10546</v>
      </c>
    </row>
    <row r="12043" spans="1:2">
      <c r="A12043" s="66">
        <v>46072.116000509261</v>
      </c>
      <c r="B12043" s="49" t="s">
        <v>10466</v>
      </c>
    </row>
    <row r="12044" spans="1:2">
      <c r="A12044" s="66">
        <v>46072.116002615745</v>
      </c>
      <c r="B12044" s="49" t="s">
        <v>10561</v>
      </c>
    </row>
    <row r="12045" spans="1:2">
      <c r="A12045" s="66">
        <v>46072.116004328709</v>
      </c>
      <c r="B12045" s="49" t="s">
        <v>10562</v>
      </c>
    </row>
    <row r="12046" spans="1:2">
      <c r="A12046" s="66">
        <v>46072.116006041666</v>
      </c>
      <c r="B12046" s="49" t="s">
        <v>10563</v>
      </c>
    </row>
    <row r="12047" spans="1:2">
      <c r="A12047" s="66">
        <v>46072.116020335648</v>
      </c>
      <c r="B12047" s="49" t="s">
        <v>10564</v>
      </c>
    </row>
    <row r="12048" spans="1:2">
      <c r="A12048" s="66">
        <v>46072.116022488422</v>
      </c>
      <c r="B12048" s="49" t="s">
        <v>10542</v>
      </c>
    </row>
    <row r="12049" spans="1:2">
      <c r="A12049" s="66">
        <v>46072.11602454861</v>
      </c>
      <c r="B12049" s="49" t="s">
        <v>10543</v>
      </c>
    </row>
    <row r="12050" spans="1:2">
      <c r="A12050" s="66">
        <v>46072.116026319447</v>
      </c>
      <c r="B12050" s="49" t="s">
        <v>9394</v>
      </c>
    </row>
    <row r="12051" spans="1:2">
      <c r="A12051" s="66">
        <v>46072.117064722217</v>
      </c>
      <c r="B12051" s="49" t="s">
        <v>10556</v>
      </c>
    </row>
    <row r="12052" spans="1:2">
      <c r="A12052" s="66">
        <v>46072.117066689811</v>
      </c>
      <c r="B12052" s="49" t="s">
        <v>10557</v>
      </c>
    </row>
    <row r="12053" spans="1:2">
      <c r="A12053" s="66">
        <v>46072.117068738429</v>
      </c>
      <c r="B12053" s="49" t="s">
        <v>10546</v>
      </c>
    </row>
    <row r="12054" spans="1:2">
      <c r="A12054" s="66">
        <v>46072.11707054398</v>
      </c>
      <c r="B12054" s="49" t="s">
        <v>10466</v>
      </c>
    </row>
    <row r="12055" spans="1:2">
      <c r="A12055" s="66">
        <v>46072.117072106485</v>
      </c>
      <c r="B12055" s="49" t="s">
        <v>10561</v>
      </c>
    </row>
    <row r="12056" spans="1:2">
      <c r="A12056" s="66">
        <v>46072.117074097223</v>
      </c>
      <c r="B12056" s="49" t="s">
        <v>10562</v>
      </c>
    </row>
    <row r="12057" spans="1:2">
      <c r="A12057" s="66">
        <v>46072.117086608792</v>
      </c>
      <c r="B12057" s="49" t="s">
        <v>10563</v>
      </c>
    </row>
    <row r="12058" spans="1:2">
      <c r="A12058" s="66">
        <v>46072.117100937496</v>
      </c>
      <c r="B12058" s="49" t="s">
        <v>10564</v>
      </c>
    </row>
    <row r="12059" spans="1:2">
      <c r="A12059" s="66">
        <v>46072.117102962962</v>
      </c>
      <c r="B12059" s="49" t="s">
        <v>10542</v>
      </c>
    </row>
    <row r="12060" spans="1:2">
      <c r="A12060" s="66">
        <v>46072.11710466435</v>
      </c>
      <c r="B12060" s="49" t="s">
        <v>10543</v>
      </c>
    </row>
    <row r="12061" spans="1:2">
      <c r="A12061" s="66">
        <v>46072.117106793987</v>
      </c>
      <c r="B12061" s="49" t="s">
        <v>9394</v>
      </c>
    </row>
    <row r="12062" spans="1:2">
      <c r="A12062" s="66">
        <v>46072.118097638886</v>
      </c>
      <c r="B12062" s="49" t="s">
        <v>10556</v>
      </c>
    </row>
    <row r="12063" spans="1:2">
      <c r="A12063" s="66">
        <v>46072.118099837964</v>
      </c>
      <c r="B12063" s="49" t="s">
        <v>10557</v>
      </c>
    </row>
    <row r="12064" spans="1:2">
      <c r="A12064" s="66">
        <v>46072.118101342596</v>
      </c>
      <c r="B12064" s="49" t="s">
        <v>10546</v>
      </c>
    </row>
    <row r="12065" spans="1:2">
      <c r="A12065" s="66">
        <v>46072.118103043977</v>
      </c>
      <c r="B12065" s="49" t="s">
        <v>10466</v>
      </c>
    </row>
    <row r="12066" spans="1:2">
      <c r="A12066" s="66">
        <v>46072.11810457176</v>
      </c>
      <c r="B12066" s="49" t="s">
        <v>10561</v>
      </c>
    </row>
    <row r="12067" spans="1:2">
      <c r="A12067" s="66">
        <v>46072.118105983798</v>
      </c>
      <c r="B12067" s="49" t="s">
        <v>10562</v>
      </c>
    </row>
    <row r="12068" spans="1:2">
      <c r="A12068" s="66">
        <v>46072.118107592592</v>
      </c>
      <c r="B12068" s="49" t="s">
        <v>10563</v>
      </c>
    </row>
    <row r="12069" spans="1:2">
      <c r="A12069" s="66">
        <v>46072.118119467588</v>
      </c>
      <c r="B12069" s="49" t="s">
        <v>10564</v>
      </c>
    </row>
    <row r="12070" spans="1:2">
      <c r="A12070" s="66">
        <v>46072.118121469903</v>
      </c>
      <c r="B12070" s="49" t="s">
        <v>10542</v>
      </c>
    </row>
    <row r="12071" spans="1:2">
      <c r="A12071" s="66">
        <v>46072.118123263892</v>
      </c>
      <c r="B12071" s="49" t="s">
        <v>10543</v>
      </c>
    </row>
    <row r="12072" spans="1:2">
      <c r="A12072" s="66">
        <v>46072.118125138892</v>
      </c>
      <c r="B12072" s="49" t="s">
        <v>9394</v>
      </c>
    </row>
    <row r="12073" spans="1:2">
      <c r="A12073" s="66">
        <v>46072.119500636574</v>
      </c>
      <c r="B12073" s="49" t="s">
        <v>10556</v>
      </c>
    </row>
    <row r="12074" spans="1:2">
      <c r="A12074" s="66">
        <v>46072.119503344904</v>
      </c>
      <c r="B12074" s="49" t="s">
        <v>10557</v>
      </c>
    </row>
    <row r="12075" spans="1:2">
      <c r="A12075" s="66">
        <v>46072.119505856477</v>
      </c>
      <c r="B12075" s="49" t="s">
        <v>10546</v>
      </c>
    </row>
    <row r="12076" spans="1:2">
      <c r="A12076" s="66">
        <v>46072.119508194446</v>
      </c>
      <c r="B12076" s="49" t="s">
        <v>10466</v>
      </c>
    </row>
    <row r="12077" spans="1:2">
      <c r="A12077" s="66">
        <v>46072.119510462959</v>
      </c>
      <c r="B12077" s="49" t="s">
        <v>10561</v>
      </c>
    </row>
    <row r="12078" spans="1:2">
      <c r="A12078" s="66">
        <v>46072.119516585648</v>
      </c>
      <c r="B12078" s="49" t="s">
        <v>10562</v>
      </c>
    </row>
    <row r="12079" spans="1:2">
      <c r="A12079" s="66">
        <v>46072.119519085652</v>
      </c>
      <c r="B12079" s="49" t="s">
        <v>10563</v>
      </c>
    </row>
    <row r="12080" spans="1:2">
      <c r="A12080" s="66">
        <v>46072.119535902777</v>
      </c>
      <c r="B12080" s="49" t="s">
        <v>10564</v>
      </c>
    </row>
    <row r="12081" spans="1:2">
      <c r="A12081" s="66">
        <v>46072.119538194442</v>
      </c>
      <c r="B12081" s="49" t="s">
        <v>10542</v>
      </c>
    </row>
    <row r="12082" spans="1:2">
      <c r="A12082" s="66">
        <v>46072.119541053238</v>
      </c>
      <c r="B12082" s="49" t="s">
        <v>10543</v>
      </c>
    </row>
    <row r="12083" spans="1:2">
      <c r="A12083" s="66">
        <v>46072.119543854162</v>
      </c>
      <c r="B12083" s="49" t="s">
        <v>9394</v>
      </c>
    </row>
    <row r="12084" spans="1:2">
      <c r="A12084" s="66">
        <v>46072.120737523146</v>
      </c>
      <c r="B12084" s="49" t="s">
        <v>10556</v>
      </c>
    </row>
    <row r="12085" spans="1:2">
      <c r="A12085" s="66">
        <v>46072.120740358798</v>
      </c>
      <c r="B12085" s="49" t="s">
        <v>10557</v>
      </c>
    </row>
    <row r="12086" spans="1:2">
      <c r="A12086" s="66">
        <v>46072.120742615742</v>
      </c>
      <c r="B12086" s="49" t="s">
        <v>10546</v>
      </c>
    </row>
    <row r="12087" spans="1:2">
      <c r="A12087" s="66">
        <v>46072.120744803236</v>
      </c>
      <c r="B12087" s="49" t="s">
        <v>10466</v>
      </c>
    </row>
    <row r="12088" spans="1:2">
      <c r="A12088" s="66">
        <v>46072.12074697917</v>
      </c>
      <c r="B12088" s="49" t="s">
        <v>10561</v>
      </c>
    </row>
    <row r="12089" spans="1:2">
      <c r="A12089" s="66">
        <v>46072.120749317131</v>
      </c>
      <c r="B12089" s="49" t="s">
        <v>10562</v>
      </c>
    </row>
    <row r="12090" spans="1:2">
      <c r="A12090" s="66">
        <v>46072.120751689814</v>
      </c>
      <c r="B12090" s="49" t="s">
        <v>10563</v>
      </c>
    </row>
    <row r="12091" spans="1:2">
      <c r="A12091" s="66">
        <v>46072.120767812499</v>
      </c>
      <c r="B12091" s="49" t="s">
        <v>10564</v>
      </c>
    </row>
    <row r="12092" spans="1:2">
      <c r="A12092" s="66">
        <v>46072.12077011574</v>
      </c>
      <c r="B12092" s="49" t="s">
        <v>10542</v>
      </c>
    </row>
    <row r="12093" spans="1:2">
      <c r="A12093" s="66">
        <v>46072.120772337963</v>
      </c>
      <c r="B12093" s="49" t="s">
        <v>10543</v>
      </c>
    </row>
    <row r="12094" spans="1:2">
      <c r="A12094" s="66">
        <v>46072.12077454861</v>
      </c>
      <c r="B12094" s="49" t="s">
        <v>9394</v>
      </c>
    </row>
    <row r="12095" spans="1:2">
      <c r="A12095" s="66">
        <v>46072.122036377317</v>
      </c>
      <c r="B12095" s="49" t="s">
        <v>10556</v>
      </c>
    </row>
    <row r="12096" spans="1:2">
      <c r="A12096" s="66">
        <v>46072.122038275462</v>
      </c>
      <c r="B12096" s="49" t="s">
        <v>10557</v>
      </c>
    </row>
    <row r="12097" spans="1:2">
      <c r="A12097" s="66">
        <v>46072.122040358794</v>
      </c>
      <c r="B12097" s="49" t="s">
        <v>10546</v>
      </c>
    </row>
    <row r="12098" spans="1:2">
      <c r="A12098" s="66">
        <v>46072.122042013885</v>
      </c>
      <c r="B12098" s="49" t="s">
        <v>10466</v>
      </c>
    </row>
    <row r="12099" spans="1:2">
      <c r="A12099" s="66">
        <v>46072.122046597222</v>
      </c>
      <c r="B12099" s="49" t="s">
        <v>10561</v>
      </c>
    </row>
    <row r="12100" spans="1:2">
      <c r="A12100" s="66">
        <v>46072.122048113422</v>
      </c>
      <c r="B12100" s="49" t="s">
        <v>10562</v>
      </c>
    </row>
    <row r="12101" spans="1:2">
      <c r="A12101" s="66">
        <v>46072.122049710648</v>
      </c>
      <c r="B12101" s="49" t="s">
        <v>10563</v>
      </c>
    </row>
    <row r="12102" spans="1:2">
      <c r="A12102" s="66">
        <v>46072.12206519676</v>
      </c>
      <c r="B12102" s="49" t="s">
        <v>10564</v>
      </c>
    </row>
    <row r="12103" spans="1:2">
      <c r="A12103" s="66">
        <v>46072.122067974538</v>
      </c>
      <c r="B12103" s="49" t="s">
        <v>10542</v>
      </c>
    </row>
    <row r="12104" spans="1:2">
      <c r="A12104" s="66">
        <v>46072.122069444449</v>
      </c>
      <c r="B12104" s="49" t="s">
        <v>10543</v>
      </c>
    </row>
    <row r="12105" spans="1:2">
      <c r="A12105" s="66">
        <v>46072.12207099537</v>
      </c>
      <c r="B12105" s="49" t="s">
        <v>9394</v>
      </c>
    </row>
    <row r="12106" spans="1:2">
      <c r="A12106" s="66">
        <v>46072.122884733792</v>
      </c>
      <c r="B12106" s="49" t="s">
        <v>10556</v>
      </c>
    </row>
    <row r="12107" spans="1:2">
      <c r="A12107" s="66">
        <v>46072.122886689816</v>
      </c>
      <c r="B12107" s="49" t="s">
        <v>10557</v>
      </c>
    </row>
    <row r="12108" spans="1:2">
      <c r="A12108" s="66">
        <v>46072.122888460653</v>
      </c>
      <c r="B12108" s="49" t="s">
        <v>10546</v>
      </c>
    </row>
    <row r="12109" spans="1:2">
      <c r="A12109" s="66">
        <v>46072.122890219907</v>
      </c>
      <c r="B12109" s="49" t="s">
        <v>10466</v>
      </c>
    </row>
    <row r="12110" spans="1:2">
      <c r="A12110" s="66">
        <v>46072.12289204861</v>
      </c>
      <c r="B12110" s="49" t="s">
        <v>10561</v>
      </c>
    </row>
    <row r="12111" spans="1:2">
      <c r="A12111" s="66">
        <v>46072.122893854168</v>
      </c>
      <c r="B12111" s="49" t="s">
        <v>10562</v>
      </c>
    </row>
    <row r="12112" spans="1:2">
      <c r="A12112" s="66">
        <v>46072.122895509259</v>
      </c>
      <c r="B12112" s="49" t="s">
        <v>10563</v>
      </c>
    </row>
    <row r="12113" spans="1:2">
      <c r="A12113" s="66">
        <v>46072.122910069447</v>
      </c>
      <c r="B12113" s="49" t="s">
        <v>10564</v>
      </c>
    </row>
    <row r="12114" spans="1:2">
      <c r="A12114" s="66">
        <v>46072.122919467598</v>
      </c>
      <c r="B12114" s="49" t="s">
        <v>10542</v>
      </c>
    </row>
    <row r="12115" spans="1:2">
      <c r="A12115" s="66">
        <v>46072.12292130787</v>
      </c>
      <c r="B12115" s="49" t="s">
        <v>10543</v>
      </c>
    </row>
    <row r="12116" spans="1:2">
      <c r="A12116" s="66">
        <v>46072.12292303241</v>
      </c>
      <c r="B12116" s="49" t="s">
        <v>9394</v>
      </c>
    </row>
    <row r="12117" spans="1:2">
      <c r="A12117" s="66">
        <v>46072.124323240743</v>
      </c>
      <c r="B12117" s="49" t="s">
        <v>10556</v>
      </c>
    </row>
    <row r="12118" spans="1:2">
      <c r="A12118" s="66">
        <v>46072.124325416662</v>
      </c>
      <c r="B12118" s="49" t="s">
        <v>10557</v>
      </c>
    </row>
    <row r="12119" spans="1:2">
      <c r="A12119" s="66">
        <v>46072.124327592595</v>
      </c>
      <c r="B12119" s="49" t="s">
        <v>10546</v>
      </c>
    </row>
    <row r="12120" spans="1:2">
      <c r="A12120" s="66">
        <v>46072.124329756945</v>
      </c>
      <c r="B12120" s="49" t="s">
        <v>10466</v>
      </c>
    </row>
    <row r="12121" spans="1:2">
      <c r="A12121" s="66">
        <v>46072.124331793981</v>
      </c>
      <c r="B12121" s="49" t="s">
        <v>10561</v>
      </c>
    </row>
    <row r="12122" spans="1:2">
      <c r="A12122" s="66">
        <v>46072.12433421296</v>
      </c>
      <c r="B12122" s="49" t="s">
        <v>10562</v>
      </c>
    </row>
    <row r="12123" spans="1:2">
      <c r="A12123" s="66">
        <v>46072.124336307868</v>
      </c>
      <c r="B12123" s="49" t="s">
        <v>10563</v>
      </c>
    </row>
    <row r="12124" spans="1:2">
      <c r="A12124" s="66">
        <v>46072.124370520833</v>
      </c>
      <c r="B12124" s="49" t="s">
        <v>10564</v>
      </c>
    </row>
    <row r="12125" spans="1:2">
      <c r="A12125" s="66">
        <v>46072.124372557868</v>
      </c>
      <c r="B12125" s="49" t="s">
        <v>10542</v>
      </c>
    </row>
    <row r="12126" spans="1:2">
      <c r="A12126" s="66">
        <v>46072.124374756946</v>
      </c>
      <c r="B12126" s="49" t="s">
        <v>10543</v>
      </c>
    </row>
    <row r="12127" spans="1:2">
      <c r="A12127" s="66">
        <v>46072.12437755787</v>
      </c>
      <c r="B12127" s="49" t="s">
        <v>9394</v>
      </c>
    </row>
    <row r="12128" spans="1:2">
      <c r="A12128" s="66">
        <v>46072.125744062505</v>
      </c>
      <c r="B12128" s="49" t="s">
        <v>10556</v>
      </c>
    </row>
    <row r="12129" spans="1:2">
      <c r="A12129" s="66">
        <v>46072.125746215279</v>
      </c>
      <c r="B12129" s="49" t="s">
        <v>10557</v>
      </c>
    </row>
    <row r="12130" spans="1:2">
      <c r="A12130" s="66">
        <v>46072.12574831018</v>
      </c>
      <c r="B12130" s="49" t="s">
        <v>10546</v>
      </c>
    </row>
    <row r="12131" spans="1:2">
      <c r="A12131" s="66">
        <v>46072.125750208332</v>
      </c>
      <c r="B12131" s="49" t="s">
        <v>10466</v>
      </c>
    </row>
    <row r="12132" spans="1:2">
      <c r="A12132" s="66">
        <v>46072.125751898144</v>
      </c>
      <c r="B12132" s="49" t="s">
        <v>10561</v>
      </c>
    </row>
    <row r="12133" spans="1:2">
      <c r="A12133" s="66">
        <v>46072.125754340275</v>
      </c>
      <c r="B12133" s="49" t="s">
        <v>10562</v>
      </c>
    </row>
    <row r="12134" spans="1:2">
      <c r="A12134" s="66">
        <v>46072.125756354166</v>
      </c>
      <c r="B12134" s="49" t="s">
        <v>10563</v>
      </c>
    </row>
    <row r="12135" spans="1:2">
      <c r="A12135" s="66">
        <v>46072.125774351851</v>
      </c>
      <c r="B12135" s="49" t="s">
        <v>10564</v>
      </c>
    </row>
    <row r="12136" spans="1:2">
      <c r="A12136" s="66">
        <v>46072.125781157403</v>
      </c>
      <c r="B12136" s="49" t="s">
        <v>10542</v>
      </c>
    </row>
    <row r="12137" spans="1:2">
      <c r="A12137" s="66">
        <v>46072.125782824078</v>
      </c>
      <c r="B12137" s="49" t="s">
        <v>10543</v>
      </c>
    </row>
    <row r="12138" spans="1:2">
      <c r="A12138" s="66">
        <v>46072.125784560187</v>
      </c>
      <c r="B12138" s="49" t="s">
        <v>9394</v>
      </c>
    </row>
    <row r="12139" spans="1:2">
      <c r="A12139" s="66">
        <v>46072.127068472226</v>
      </c>
      <c r="B12139" s="49" t="s">
        <v>10556</v>
      </c>
    </row>
    <row r="12140" spans="1:2">
      <c r="A12140" s="66">
        <v>46072.127070717594</v>
      </c>
      <c r="B12140" s="49" t="s">
        <v>10557</v>
      </c>
    </row>
    <row r="12141" spans="1:2">
      <c r="A12141" s="66">
        <v>46072.127072789357</v>
      </c>
      <c r="B12141" s="49" t="s">
        <v>10546</v>
      </c>
    </row>
    <row r="12142" spans="1:2">
      <c r="A12142" s="66">
        <v>46072.127079710648</v>
      </c>
      <c r="B12142" s="49" t="s">
        <v>10466</v>
      </c>
    </row>
    <row r="12143" spans="1:2">
      <c r="A12143" s="66">
        <v>46072.127081678242</v>
      </c>
      <c r="B12143" s="49" t="s">
        <v>10561</v>
      </c>
    </row>
    <row r="12144" spans="1:2">
      <c r="A12144" s="66">
        <v>46072.127083738422</v>
      </c>
      <c r="B12144" s="49" t="s">
        <v>10562</v>
      </c>
    </row>
    <row r="12145" spans="1:2">
      <c r="A12145" s="66">
        <v>46072.127086157408</v>
      </c>
      <c r="B12145" s="49" t="s">
        <v>10563</v>
      </c>
    </row>
    <row r="12146" spans="1:2">
      <c r="A12146" s="66">
        <v>46072.127102962964</v>
      </c>
      <c r="B12146" s="49" t="s">
        <v>10564</v>
      </c>
    </row>
    <row r="12147" spans="1:2">
      <c r="A12147" s="66">
        <v>46072.127104976855</v>
      </c>
      <c r="B12147" s="49" t="s">
        <v>10542</v>
      </c>
    </row>
    <row r="12148" spans="1:2">
      <c r="A12148" s="66">
        <v>46072.127107002314</v>
      </c>
      <c r="B12148" s="49" t="s">
        <v>10543</v>
      </c>
    </row>
    <row r="12149" spans="1:2">
      <c r="A12149" s="66">
        <v>46072.127108865738</v>
      </c>
      <c r="B12149" s="49" t="s">
        <v>9394</v>
      </c>
    </row>
    <row r="12150" spans="1:2">
      <c r="A12150" s="66">
        <v>46072.128311284723</v>
      </c>
      <c r="B12150" s="49" t="s">
        <v>10556</v>
      </c>
    </row>
    <row r="12151" spans="1:2">
      <c r="A12151" s="66">
        <v>46072.128313240741</v>
      </c>
      <c r="B12151" s="49" t="s">
        <v>10557</v>
      </c>
    </row>
    <row r="12152" spans="1:2">
      <c r="A12152" s="66">
        <v>46072.128315173613</v>
      </c>
      <c r="B12152" s="49" t="s">
        <v>10546</v>
      </c>
    </row>
    <row r="12153" spans="1:2">
      <c r="A12153" s="66">
        <v>46072.128317060182</v>
      </c>
      <c r="B12153" s="49" t="s">
        <v>10466</v>
      </c>
    </row>
    <row r="12154" spans="1:2">
      <c r="A12154" s="66">
        <v>46072.128318773146</v>
      </c>
      <c r="B12154" s="49" t="s">
        <v>10561</v>
      </c>
    </row>
    <row r="12155" spans="1:2">
      <c r="A12155" s="66">
        <v>46072.128320312499</v>
      </c>
      <c r="B12155" s="49" t="s">
        <v>10562</v>
      </c>
    </row>
    <row r="12156" spans="1:2">
      <c r="A12156" s="66">
        <v>46072.128322430552</v>
      </c>
      <c r="B12156" s="49" t="s">
        <v>10563</v>
      </c>
    </row>
    <row r="12157" spans="1:2">
      <c r="A12157" s="66">
        <v>46072.128339108793</v>
      </c>
      <c r="B12157" s="49" t="s">
        <v>10564</v>
      </c>
    </row>
    <row r="12158" spans="1:2">
      <c r="A12158" s="66">
        <v>46072.128341504635</v>
      </c>
      <c r="B12158" s="49" t="s">
        <v>10542</v>
      </c>
    </row>
    <row r="12159" spans="1:2">
      <c r="A12159" s="66">
        <v>46072.12834333333</v>
      </c>
      <c r="B12159" s="49" t="s">
        <v>10543</v>
      </c>
    </row>
    <row r="12160" spans="1:2">
      <c r="A12160" s="66">
        <v>46072.128345069446</v>
      </c>
      <c r="B12160" s="49" t="s">
        <v>9394</v>
      </c>
    </row>
    <row r="12161" spans="1:2">
      <c r="A12161" s="66">
        <v>46072.12923943287</v>
      </c>
      <c r="B12161" s="49" t="s">
        <v>10556</v>
      </c>
    </row>
    <row r="12162" spans="1:2">
      <c r="A12162" s="66">
        <v>46072.129241608796</v>
      </c>
      <c r="B12162" s="49" t="s">
        <v>10557</v>
      </c>
    </row>
    <row r="12163" spans="1:2">
      <c r="A12163" s="66">
        <v>46072.12924386574</v>
      </c>
      <c r="B12163" s="49" t="s">
        <v>10546</v>
      </c>
    </row>
    <row r="12164" spans="1:2">
      <c r="A12164" s="66">
        <v>46072.129245937496</v>
      </c>
      <c r="B12164" s="49" t="s">
        <v>10466</v>
      </c>
    </row>
    <row r="12165" spans="1:2">
      <c r="A12165" s="66">
        <v>46072.129247731486</v>
      </c>
      <c r="B12165" s="49" t="s">
        <v>10561</v>
      </c>
    </row>
    <row r="12166" spans="1:2">
      <c r="A12166" s="66">
        <v>46072.12924978009</v>
      </c>
      <c r="B12166" s="49" t="s">
        <v>10562</v>
      </c>
    </row>
    <row r="12167" spans="1:2">
      <c r="A12167" s="66">
        <v>46072.129251736114</v>
      </c>
      <c r="B12167" s="49" t="s">
        <v>10563</v>
      </c>
    </row>
    <row r="12168" spans="1:2">
      <c r="A12168" s="66">
        <v>46072.129269328703</v>
      </c>
      <c r="B12168" s="49" t="s">
        <v>10564</v>
      </c>
    </row>
    <row r="12169" spans="1:2">
      <c r="A12169" s="66">
        <v>46072.129271944446</v>
      </c>
      <c r="B12169" s="49" t="s">
        <v>10542</v>
      </c>
    </row>
    <row r="12170" spans="1:2">
      <c r="A12170" s="66">
        <v>46072.12927399305</v>
      </c>
      <c r="B12170" s="49" t="s">
        <v>10543</v>
      </c>
    </row>
    <row r="12171" spans="1:2">
      <c r="A12171" s="66">
        <v>46072.129275902778</v>
      </c>
      <c r="B12171" s="49" t="s">
        <v>9394</v>
      </c>
    </row>
    <row r="12172" spans="1:2">
      <c r="A12172" s="66">
        <v>46072.130048923616</v>
      </c>
      <c r="B12172" s="49" t="s">
        <v>10556</v>
      </c>
    </row>
    <row r="12173" spans="1:2">
      <c r="A12173" s="66">
        <v>46072.130050902779</v>
      </c>
      <c r="B12173" s="49" t="s">
        <v>10557</v>
      </c>
    </row>
    <row r="12174" spans="1:2">
      <c r="A12174" s="66">
        <v>46072.130052708337</v>
      </c>
      <c r="B12174" s="49" t="s">
        <v>10546</v>
      </c>
    </row>
    <row r="12175" spans="1:2">
      <c r="A12175" s="66">
        <v>46072.130054618057</v>
      </c>
      <c r="B12175" s="49" t="s">
        <v>10466</v>
      </c>
    </row>
    <row r="12176" spans="1:2">
      <c r="A12176" s="66">
        <v>46072.130056412032</v>
      </c>
      <c r="B12176" s="49" t="s">
        <v>10561</v>
      </c>
    </row>
    <row r="12177" spans="1:2">
      <c r="A12177" s="66">
        <v>46072.130058263894</v>
      </c>
      <c r="B12177" s="49" t="s">
        <v>10562</v>
      </c>
    </row>
    <row r="12178" spans="1:2">
      <c r="A12178" s="66">
        <v>46072.130060219904</v>
      </c>
      <c r="B12178" s="49" t="s">
        <v>10563</v>
      </c>
    </row>
    <row r="12179" spans="1:2">
      <c r="A12179" s="66">
        <v>46072.130074618057</v>
      </c>
      <c r="B12179" s="49" t="s">
        <v>10564</v>
      </c>
    </row>
    <row r="12180" spans="1:2">
      <c r="A12180" s="66">
        <v>46072.130078217597</v>
      </c>
      <c r="B12180" s="49" t="s">
        <v>10542</v>
      </c>
    </row>
    <row r="12181" spans="1:2">
      <c r="A12181" s="66">
        <v>46072.130079988427</v>
      </c>
      <c r="B12181" s="49" t="s">
        <v>10543</v>
      </c>
    </row>
    <row r="12182" spans="1:2">
      <c r="A12182" s="66">
        <v>46072.130081747688</v>
      </c>
      <c r="B12182" s="49" t="s">
        <v>9394</v>
      </c>
    </row>
    <row r="12183" spans="1:2">
      <c r="A12183" s="66">
        <v>46072.130860300924</v>
      </c>
      <c r="B12183" s="49" t="s">
        <v>10556</v>
      </c>
    </row>
    <row r="12184" spans="1:2">
      <c r="A12184" s="66">
        <v>46072.130862488426</v>
      </c>
      <c r="B12184" s="49" t="s">
        <v>10557</v>
      </c>
    </row>
    <row r="12185" spans="1:2">
      <c r="A12185" s="66">
        <v>46072.130864270832</v>
      </c>
      <c r="B12185" s="49" t="s">
        <v>10546</v>
      </c>
    </row>
    <row r="12186" spans="1:2">
      <c r="A12186" s="66">
        <v>46072.130865972227</v>
      </c>
      <c r="B12186" s="49" t="s">
        <v>10466</v>
      </c>
    </row>
    <row r="12187" spans="1:2">
      <c r="A12187" s="66">
        <v>46072.13086795139</v>
      </c>
      <c r="B12187" s="49" t="s">
        <v>10561</v>
      </c>
    </row>
    <row r="12188" spans="1:2">
      <c r="A12188" s="66">
        <v>46072.130869930552</v>
      </c>
      <c r="B12188" s="49" t="s">
        <v>10562</v>
      </c>
    </row>
    <row r="12189" spans="1:2">
      <c r="A12189" s="66">
        <v>46072.130871712958</v>
      </c>
      <c r="B12189" s="49" t="s">
        <v>10563</v>
      </c>
    </row>
    <row r="12190" spans="1:2">
      <c r="A12190" s="66">
        <v>46072.130885370367</v>
      </c>
      <c r="B12190" s="49" t="s">
        <v>10564</v>
      </c>
    </row>
    <row r="12191" spans="1:2">
      <c r="A12191" s="66">
        <v>46072.130887175925</v>
      </c>
      <c r="B12191" s="49" t="s">
        <v>10542</v>
      </c>
    </row>
    <row r="12192" spans="1:2">
      <c r="A12192" s="66">
        <v>46072.130889409724</v>
      </c>
      <c r="B12192" s="49" t="s">
        <v>10543</v>
      </c>
    </row>
    <row r="12193" spans="1:2">
      <c r="A12193" s="66">
        <v>46072.1308912963</v>
      </c>
      <c r="B12193" s="49" t="s">
        <v>9394</v>
      </c>
    </row>
    <row r="12194" spans="1:2">
      <c r="A12194" s="66">
        <v>46072.132194907404</v>
      </c>
      <c r="B12194" s="49" t="s">
        <v>10556</v>
      </c>
    </row>
    <row r="12195" spans="1:2">
      <c r="A12195" s="66">
        <v>46072.132198136576</v>
      </c>
      <c r="B12195" s="49" t="s">
        <v>10557</v>
      </c>
    </row>
    <row r="12196" spans="1:2">
      <c r="A12196" s="66">
        <v>46072.132201145832</v>
      </c>
      <c r="B12196" s="49" t="s">
        <v>10546</v>
      </c>
    </row>
    <row r="12197" spans="1:2">
      <c r="A12197" s="66">
        <v>46072.132204236113</v>
      </c>
      <c r="B12197" s="49" t="s">
        <v>10466</v>
      </c>
    </row>
    <row r="12198" spans="1:2">
      <c r="A12198" s="66">
        <v>46072.132207187504</v>
      </c>
      <c r="B12198" s="49" t="s">
        <v>10561</v>
      </c>
    </row>
    <row r="12199" spans="1:2">
      <c r="A12199" s="66">
        <v>46072.132210069445</v>
      </c>
      <c r="B12199" s="49" t="s">
        <v>10562</v>
      </c>
    </row>
    <row r="12200" spans="1:2">
      <c r="A12200" s="66">
        <v>46072.132212893513</v>
      </c>
      <c r="B12200" s="49" t="s">
        <v>10563</v>
      </c>
    </row>
    <row r="12201" spans="1:2">
      <c r="A12201" s="66">
        <v>46072.132236689809</v>
      </c>
      <c r="B12201" s="49" t="s">
        <v>10564</v>
      </c>
    </row>
    <row r="12202" spans="1:2">
      <c r="A12202" s="66">
        <v>46072.13223949074</v>
      </c>
      <c r="B12202" s="49" t="s">
        <v>10542</v>
      </c>
    </row>
    <row r="12203" spans="1:2">
      <c r="A12203" s="66">
        <v>46072.132242175925</v>
      </c>
      <c r="B12203" s="49" t="s">
        <v>10543</v>
      </c>
    </row>
    <row r="12204" spans="1:2">
      <c r="A12204" s="66">
        <v>46072.132245266199</v>
      </c>
      <c r="B12204" s="49" t="s">
        <v>9394</v>
      </c>
    </row>
    <row r="12205" spans="1:2">
      <c r="A12205" s="66">
        <v>46072.133116122684</v>
      </c>
      <c r="B12205" s="49" t="s">
        <v>10556</v>
      </c>
    </row>
    <row r="12206" spans="1:2">
      <c r="A12206" s="66">
        <v>46072.133119270831</v>
      </c>
      <c r="B12206" s="49" t="s">
        <v>10557</v>
      </c>
    </row>
    <row r="12207" spans="1:2">
      <c r="A12207" s="66">
        <v>46072.133122025465</v>
      </c>
      <c r="B12207" s="49" t="s">
        <v>10546</v>
      </c>
    </row>
    <row r="12208" spans="1:2">
      <c r="A12208" s="66">
        <v>46072.133125034721</v>
      </c>
      <c r="B12208" s="49" t="s">
        <v>10466</v>
      </c>
    </row>
    <row r="12209" spans="1:2">
      <c r="A12209" s="66">
        <v>46072.133127962967</v>
      </c>
      <c r="B12209" s="49" t="s">
        <v>10561</v>
      </c>
    </row>
    <row r="12210" spans="1:2">
      <c r="A12210" s="66">
        <v>46072.133131064817</v>
      </c>
      <c r="B12210" s="49" t="s">
        <v>10562</v>
      </c>
    </row>
    <row r="12211" spans="1:2">
      <c r="A12211" s="66">
        <v>46072.133134583331</v>
      </c>
      <c r="B12211" s="49" t="s">
        <v>10563</v>
      </c>
    </row>
    <row r="12212" spans="1:2">
      <c r="A12212" s="66">
        <v>46072.133154050927</v>
      </c>
      <c r="B12212" s="49" t="s">
        <v>10564</v>
      </c>
    </row>
    <row r="12213" spans="1:2">
      <c r="A12213" s="66">
        <v>46072.133167638887</v>
      </c>
      <c r="B12213" s="49" t="s">
        <v>10542</v>
      </c>
    </row>
    <row r="12214" spans="1:2">
      <c r="A12214" s="66">
        <v>46072.133171226851</v>
      </c>
      <c r="B12214" s="49" t="s">
        <v>10543</v>
      </c>
    </row>
    <row r="12215" spans="1:2">
      <c r="A12215" s="66">
        <v>46072.1331750463</v>
      </c>
      <c r="B12215" s="49" t="s">
        <v>9394</v>
      </c>
    </row>
    <row r="12216" spans="1:2">
      <c r="A12216" s="66">
        <v>46072.134089282408</v>
      </c>
      <c r="B12216" s="49" t="s">
        <v>10556</v>
      </c>
    </row>
    <row r="12217" spans="1:2">
      <c r="A12217" s="66">
        <v>46072.13409136574</v>
      </c>
      <c r="B12217" s="49" t="s">
        <v>10557</v>
      </c>
    </row>
    <row r="12218" spans="1:2">
      <c r="A12218" s="66">
        <v>46072.134099953706</v>
      </c>
      <c r="B12218" s="49" t="s">
        <v>10546</v>
      </c>
    </row>
    <row r="12219" spans="1:2">
      <c r="A12219" s="66">
        <v>46072.134101990741</v>
      </c>
      <c r="B12219" s="49" t="s">
        <v>10466</v>
      </c>
    </row>
    <row r="12220" spans="1:2">
      <c r="A12220" s="66">
        <v>46072.134103784723</v>
      </c>
      <c r="B12220" s="49" t="s">
        <v>10561</v>
      </c>
    </row>
    <row r="12221" spans="1:2">
      <c r="A12221" s="66">
        <v>46072.134105787038</v>
      </c>
      <c r="B12221" s="49" t="s">
        <v>10562</v>
      </c>
    </row>
    <row r="12222" spans="1:2">
      <c r="A12222" s="66">
        <v>46072.134107650461</v>
      </c>
      <c r="B12222" s="49" t="s">
        <v>10563</v>
      </c>
    </row>
    <row r="12223" spans="1:2">
      <c r="A12223" s="66">
        <v>46072.134127638885</v>
      </c>
      <c r="B12223" s="49" t="s">
        <v>10564</v>
      </c>
    </row>
    <row r="12224" spans="1:2">
      <c r="A12224" s="66">
        <v>46072.134129699072</v>
      </c>
      <c r="B12224" s="49" t="s">
        <v>10542</v>
      </c>
    </row>
    <row r="12225" spans="1:2">
      <c r="A12225" s="66">
        <v>46072.134131805557</v>
      </c>
      <c r="B12225" s="49" t="s">
        <v>10543</v>
      </c>
    </row>
    <row r="12226" spans="1:2">
      <c r="A12226" s="66">
        <v>46072.134136701388</v>
      </c>
      <c r="B12226" s="49" t="s">
        <v>9394</v>
      </c>
    </row>
    <row r="12227" spans="1:2">
      <c r="A12227" s="66">
        <v>46072.135361064815</v>
      </c>
      <c r="B12227" s="49" t="s">
        <v>10556</v>
      </c>
    </row>
    <row r="12228" spans="1:2">
      <c r="A12228" s="66">
        <v>46072.135364305555</v>
      </c>
      <c r="B12228" s="49" t="s">
        <v>10557</v>
      </c>
    </row>
    <row r="12229" spans="1:2">
      <c r="A12229" s="66">
        <v>46072.135367569441</v>
      </c>
      <c r="B12229" s="49" t="s">
        <v>10546</v>
      </c>
    </row>
    <row r="12230" spans="1:2">
      <c r="A12230" s="66">
        <v>46072.135370347227</v>
      </c>
      <c r="B12230" s="49" t="s">
        <v>10466</v>
      </c>
    </row>
    <row r="12231" spans="1:2">
      <c r="A12231" s="66">
        <v>46072.135373321755</v>
      </c>
      <c r="B12231" s="49" t="s">
        <v>10561</v>
      </c>
    </row>
    <row r="12232" spans="1:2">
      <c r="A12232" s="66">
        <v>46072.135376226855</v>
      </c>
      <c r="B12232" s="49" t="s">
        <v>10562</v>
      </c>
    </row>
    <row r="12233" spans="1:2">
      <c r="A12233" s="66">
        <v>46072.135379189815</v>
      </c>
      <c r="B12233" s="49" t="s">
        <v>10563</v>
      </c>
    </row>
    <row r="12234" spans="1:2">
      <c r="A12234" s="66">
        <v>46072.135417650468</v>
      </c>
      <c r="B12234" s="49" t="s">
        <v>10564</v>
      </c>
    </row>
    <row r="12235" spans="1:2">
      <c r="A12235" s="66">
        <v>46072.135420694445</v>
      </c>
      <c r="B12235" s="49" t="s">
        <v>10542</v>
      </c>
    </row>
    <row r="12236" spans="1:2">
      <c r="A12236" s="66">
        <v>46072.135425949076</v>
      </c>
      <c r="B12236" s="49" t="s">
        <v>10543</v>
      </c>
    </row>
    <row r="12237" spans="1:2">
      <c r="A12237" s="66">
        <v>46072.135434374999</v>
      </c>
      <c r="B12237" s="49" t="s">
        <v>9394</v>
      </c>
    </row>
    <row r="12238" spans="1:2">
      <c r="A12238" s="66">
        <v>46072.136221342589</v>
      </c>
      <c r="B12238" s="49" t="s">
        <v>10556</v>
      </c>
    </row>
    <row r="12239" spans="1:2">
      <c r="A12239" s="66">
        <v>46072.136223402777</v>
      </c>
      <c r="B12239" s="49" t="s">
        <v>10557</v>
      </c>
    </row>
    <row r="12240" spans="1:2">
      <c r="A12240" s="66">
        <v>46072.136225474533</v>
      </c>
      <c r="B12240" s="49" t="s">
        <v>10546</v>
      </c>
    </row>
    <row r="12241" spans="1:2">
      <c r="A12241" s="66">
        <v>46072.136227372685</v>
      </c>
      <c r="B12241" s="49" t="s">
        <v>10466</v>
      </c>
    </row>
    <row r="12242" spans="1:2">
      <c r="A12242" s="66">
        <v>46072.136235717597</v>
      </c>
      <c r="B12242" s="49" t="s">
        <v>10561</v>
      </c>
    </row>
    <row r="12243" spans="1:2">
      <c r="A12243" s="66">
        <v>46072.136237615741</v>
      </c>
      <c r="B12243" s="49" t="s">
        <v>10562</v>
      </c>
    </row>
    <row r="12244" spans="1:2">
      <c r="A12244" s="66">
        <v>46072.136239328705</v>
      </c>
      <c r="B12244" s="49" t="s">
        <v>10563</v>
      </c>
    </row>
    <row r="12245" spans="1:2">
      <c r="A12245" s="66">
        <v>46072.136267858798</v>
      </c>
      <c r="B12245" s="49" t="s">
        <v>10564</v>
      </c>
    </row>
    <row r="12246" spans="1:2">
      <c r="A12246" s="66">
        <v>46072.136269953699</v>
      </c>
      <c r="B12246" s="49" t="s">
        <v>10542</v>
      </c>
    </row>
    <row r="12247" spans="1:2">
      <c r="A12247" s="66">
        <v>46072.136271944444</v>
      </c>
      <c r="B12247" s="49" t="s">
        <v>10543</v>
      </c>
    </row>
    <row r="12248" spans="1:2">
      <c r="A12248" s="66">
        <v>46072.136273703705</v>
      </c>
      <c r="B12248" s="49" t="s">
        <v>9394</v>
      </c>
    </row>
    <row r="12249" spans="1:2">
      <c r="A12249" s="66">
        <v>46072.137242268524</v>
      </c>
      <c r="B12249" s="49" t="s">
        <v>10556</v>
      </c>
    </row>
    <row r="12250" spans="1:2">
      <c r="A12250" s="66">
        <v>46072.137246886574</v>
      </c>
      <c r="B12250" s="49" t="s">
        <v>10557</v>
      </c>
    </row>
    <row r="12251" spans="1:2">
      <c r="A12251" s="66">
        <v>46072.137249444444</v>
      </c>
      <c r="B12251" s="49" t="s">
        <v>10546</v>
      </c>
    </row>
    <row r="12252" spans="1:2">
      <c r="A12252" s="66">
        <v>46072.137251689812</v>
      </c>
      <c r="B12252" s="49" t="s">
        <v>10466</v>
      </c>
    </row>
    <row r="12253" spans="1:2">
      <c r="A12253" s="66">
        <v>46072.137254155095</v>
      </c>
      <c r="B12253" s="49" t="s">
        <v>10561</v>
      </c>
    </row>
    <row r="12254" spans="1:2">
      <c r="A12254" s="66">
        <v>46072.137258101851</v>
      </c>
      <c r="B12254" s="49" t="s">
        <v>10562</v>
      </c>
    </row>
    <row r="12255" spans="1:2">
      <c r="A12255" s="66">
        <v>46072.137260740739</v>
      </c>
      <c r="B12255" s="49" t="s">
        <v>10563</v>
      </c>
    </row>
    <row r="12256" spans="1:2">
      <c r="A12256" s="66">
        <v>46072.13727788195</v>
      </c>
      <c r="B12256" s="49" t="s">
        <v>10564</v>
      </c>
    </row>
    <row r="12257" spans="1:2">
      <c r="A12257" s="66">
        <v>46072.137279930554</v>
      </c>
      <c r="B12257" s="49" t="s">
        <v>10542</v>
      </c>
    </row>
    <row r="12258" spans="1:2">
      <c r="A12258" s="66">
        <v>46072.13728274306</v>
      </c>
      <c r="B12258" s="49" t="s">
        <v>10543</v>
      </c>
    </row>
    <row r="12259" spans="1:2">
      <c r="A12259" s="66">
        <v>46072.137285115736</v>
      </c>
      <c r="B12259" s="49" t="s">
        <v>9394</v>
      </c>
    </row>
    <row r="12260" spans="1:2">
      <c r="A12260" s="66">
        <v>46072.13831988426</v>
      </c>
      <c r="B12260" s="49" t="s">
        <v>10556</v>
      </c>
    </row>
    <row r="12261" spans="1:2">
      <c r="A12261" s="66">
        <v>46072.138322245373</v>
      </c>
      <c r="B12261" s="49" t="s">
        <v>10557</v>
      </c>
    </row>
    <row r="12262" spans="1:2">
      <c r="A12262" s="66">
        <v>46072.138324409723</v>
      </c>
      <c r="B12262" s="49" t="s">
        <v>10546</v>
      </c>
    </row>
    <row r="12263" spans="1:2">
      <c r="A12263" s="66">
        <v>46072.138326377317</v>
      </c>
      <c r="B12263" s="49" t="s">
        <v>10466</v>
      </c>
    </row>
    <row r="12264" spans="1:2">
      <c r="A12264" s="66">
        <v>46072.138328368055</v>
      </c>
      <c r="B12264" s="49" t="s">
        <v>10561</v>
      </c>
    </row>
    <row r="12265" spans="1:2">
      <c r="A12265" s="66">
        <v>46072.138340590274</v>
      </c>
      <c r="B12265" s="49" t="s">
        <v>10562</v>
      </c>
    </row>
    <row r="12266" spans="1:2">
      <c r="A12266" s="66">
        <v>46072.138342673614</v>
      </c>
      <c r="B12266" s="49" t="s">
        <v>10563</v>
      </c>
    </row>
    <row r="12267" spans="1:2">
      <c r="A12267" s="66">
        <v>46072.138359247685</v>
      </c>
      <c r="B12267" s="49" t="s">
        <v>10564</v>
      </c>
    </row>
    <row r="12268" spans="1:2">
      <c r="A12268" s="66">
        <v>46072.138361284728</v>
      </c>
      <c r="B12268" s="49" t="s">
        <v>10542</v>
      </c>
    </row>
    <row r="12269" spans="1:2">
      <c r="A12269" s="66">
        <v>46072.138363240738</v>
      </c>
      <c r="B12269" s="49" t="s">
        <v>10543</v>
      </c>
    </row>
    <row r="12270" spans="1:2">
      <c r="A12270" s="66">
        <v>46072.138366597224</v>
      </c>
      <c r="B12270" s="49" t="s">
        <v>9394</v>
      </c>
    </row>
    <row r="12271" spans="1:2">
      <c r="A12271" s="66">
        <v>46072.139766099535</v>
      </c>
      <c r="B12271" s="49" t="s">
        <v>10556</v>
      </c>
    </row>
    <row r="12272" spans="1:2">
      <c r="A12272" s="66">
        <v>46072.139768124995</v>
      </c>
      <c r="B12272" s="49" t="s">
        <v>10557</v>
      </c>
    </row>
    <row r="12273" spans="1:2">
      <c r="A12273" s="66">
        <v>46072.139770173613</v>
      </c>
      <c r="B12273" s="49" t="s">
        <v>10546</v>
      </c>
    </row>
    <row r="12274" spans="1:2">
      <c r="A12274" s="66">
        <v>46072.139771898146</v>
      </c>
      <c r="B12274" s="49" t="s">
        <v>10466</v>
      </c>
    </row>
    <row r="12275" spans="1:2">
      <c r="A12275" s="66">
        <v>46072.139773495372</v>
      </c>
      <c r="B12275" s="49" t="s">
        <v>10561</v>
      </c>
    </row>
    <row r="12276" spans="1:2">
      <c r="A12276" s="66">
        <v>46072.139775300922</v>
      </c>
      <c r="B12276" s="49" t="s">
        <v>10562</v>
      </c>
    </row>
    <row r="12277" spans="1:2">
      <c r="A12277" s="66">
        <v>46072.139777060183</v>
      </c>
      <c r="B12277" s="49" t="s">
        <v>10563</v>
      </c>
    </row>
    <row r="12278" spans="1:2">
      <c r="A12278" s="66">
        <v>46072.139792488422</v>
      </c>
      <c r="B12278" s="49" t="s">
        <v>10564</v>
      </c>
    </row>
    <row r="12279" spans="1:2">
      <c r="A12279" s="66">
        <v>46072.13979454861</v>
      </c>
      <c r="B12279" s="49" t="s">
        <v>10542</v>
      </c>
    </row>
    <row r="12280" spans="1:2">
      <c r="A12280" s="66">
        <v>46072.139796585645</v>
      </c>
      <c r="B12280" s="49" t="s">
        <v>10543</v>
      </c>
    </row>
    <row r="12281" spans="1:2">
      <c r="A12281" s="66">
        <v>46072.13979833333</v>
      </c>
      <c r="B12281" s="49" t="s">
        <v>9394</v>
      </c>
    </row>
    <row r="12282" spans="1:2">
      <c r="A12282" s="66">
        <v>46072.140903738429</v>
      </c>
      <c r="B12282" s="49" t="s">
        <v>10556</v>
      </c>
    </row>
    <row r="12283" spans="1:2">
      <c r="A12283" s="66">
        <v>46072.140906064815</v>
      </c>
      <c r="B12283" s="49" t="s">
        <v>10557</v>
      </c>
    </row>
    <row r="12284" spans="1:2">
      <c r="A12284" s="66">
        <v>46072.140908414352</v>
      </c>
      <c r="B12284" s="49" t="s">
        <v>10546</v>
      </c>
    </row>
    <row r="12285" spans="1:2">
      <c r="A12285" s="66">
        <v>46072.140914710646</v>
      </c>
      <c r="B12285" s="49" t="s">
        <v>10466</v>
      </c>
    </row>
    <row r="12286" spans="1:2">
      <c r="A12286" s="66">
        <v>46072.140916874996</v>
      </c>
      <c r="B12286" s="49" t="s">
        <v>10561</v>
      </c>
    </row>
    <row r="12287" spans="1:2">
      <c r="A12287" s="66">
        <v>46072.140919467594</v>
      </c>
      <c r="B12287" s="49" t="s">
        <v>10562</v>
      </c>
    </row>
    <row r="12288" spans="1:2">
      <c r="A12288" s="66">
        <v>46072.140925532411</v>
      </c>
      <c r="B12288" s="49" t="s">
        <v>10563</v>
      </c>
    </row>
    <row r="12289" spans="1:2">
      <c r="A12289" s="66">
        <v>46072.140942349535</v>
      </c>
      <c r="B12289" s="49" t="s">
        <v>10564</v>
      </c>
    </row>
    <row r="12290" spans="1:2">
      <c r="A12290" s="66">
        <v>46072.140944699073</v>
      </c>
      <c r="B12290" s="49" t="s">
        <v>10542</v>
      </c>
    </row>
    <row r="12291" spans="1:2">
      <c r="A12291" s="66">
        <v>46072.140947245367</v>
      </c>
      <c r="B12291" s="49" t="s">
        <v>10543</v>
      </c>
    </row>
    <row r="12292" spans="1:2">
      <c r="A12292" s="66">
        <v>46072.140949837965</v>
      </c>
      <c r="B12292" s="49" t="s">
        <v>9394</v>
      </c>
    </row>
    <row r="12293" spans="1:2">
      <c r="A12293" s="66">
        <v>46072.142200208335</v>
      </c>
      <c r="B12293" s="49" t="s">
        <v>10556</v>
      </c>
    </row>
    <row r="12294" spans="1:2">
      <c r="A12294" s="66">
        <v>46072.142202199073</v>
      </c>
      <c r="B12294" s="49" t="s">
        <v>10557</v>
      </c>
    </row>
    <row r="12295" spans="1:2">
      <c r="A12295" s="66">
        <v>46072.142204224539</v>
      </c>
      <c r="B12295" s="49" t="s">
        <v>10546</v>
      </c>
    </row>
    <row r="12296" spans="1:2">
      <c r="A12296" s="66">
        <v>46072.14220696759</v>
      </c>
      <c r="B12296" s="49" t="s">
        <v>10466</v>
      </c>
    </row>
    <row r="12297" spans="1:2">
      <c r="A12297" s="66">
        <v>46072.142208831021</v>
      </c>
      <c r="B12297" s="49" t="s">
        <v>10561</v>
      </c>
    </row>
    <row r="12298" spans="1:2">
      <c r="A12298" s="66">
        <v>46072.142211145838</v>
      </c>
      <c r="B12298" s="49" t="s">
        <v>10562</v>
      </c>
    </row>
    <row r="12299" spans="1:2">
      <c r="A12299" s="66">
        <v>46072.142212824074</v>
      </c>
      <c r="B12299" s="49" t="s">
        <v>10563</v>
      </c>
    </row>
    <row r="12300" spans="1:2">
      <c r="A12300" s="66">
        <v>46072.14222765046</v>
      </c>
      <c r="B12300" s="49" t="s">
        <v>10564</v>
      </c>
    </row>
    <row r="12301" spans="1:2">
      <c r="A12301" s="66">
        <v>46072.142229467594</v>
      </c>
      <c r="B12301" s="49" t="s">
        <v>10542</v>
      </c>
    </row>
    <row r="12302" spans="1:2">
      <c r="A12302" s="66">
        <v>46072.142231412035</v>
      </c>
      <c r="B12302" s="49" t="s">
        <v>10543</v>
      </c>
    </row>
    <row r="12303" spans="1:2">
      <c r="A12303" s="66">
        <v>46072.14223302083</v>
      </c>
      <c r="B12303" s="49" t="s">
        <v>9394</v>
      </c>
    </row>
    <row r="12304" spans="1:2">
      <c r="A12304" s="66">
        <v>46072.143537627315</v>
      </c>
      <c r="B12304" s="49" t="s">
        <v>10556</v>
      </c>
    </row>
    <row r="12305" spans="1:2">
      <c r="A12305" s="66">
        <v>46072.143540601857</v>
      </c>
      <c r="B12305" s="49" t="s">
        <v>10557</v>
      </c>
    </row>
    <row r="12306" spans="1:2">
      <c r="A12306" s="66">
        <v>46072.143543692131</v>
      </c>
      <c r="B12306" s="49" t="s">
        <v>10546</v>
      </c>
    </row>
    <row r="12307" spans="1:2">
      <c r="A12307" s="66">
        <v>46072.143546736115</v>
      </c>
      <c r="B12307" s="49" t="s">
        <v>10466</v>
      </c>
    </row>
    <row r="12308" spans="1:2">
      <c r="A12308" s="66">
        <v>46072.143549409724</v>
      </c>
      <c r="B12308" s="49" t="s">
        <v>10561</v>
      </c>
    </row>
    <row r="12309" spans="1:2">
      <c r="A12309" s="66">
        <v>46072.143560127312</v>
      </c>
      <c r="B12309" s="49" t="s">
        <v>10562</v>
      </c>
    </row>
    <row r="12310" spans="1:2">
      <c r="A12310" s="66">
        <v>46072.143563171296</v>
      </c>
      <c r="B12310" s="49" t="s">
        <v>10563</v>
      </c>
    </row>
    <row r="12311" spans="1:2">
      <c r="A12311" s="66">
        <v>46072.143592708337</v>
      </c>
      <c r="B12311" s="49" t="s">
        <v>10564</v>
      </c>
    </row>
    <row r="12312" spans="1:2">
      <c r="A12312" s="66">
        <v>46072.143595960646</v>
      </c>
      <c r="B12312" s="49" t="s">
        <v>10542</v>
      </c>
    </row>
    <row r="12313" spans="1:2">
      <c r="A12313" s="66">
        <v>46072.143598831019</v>
      </c>
      <c r="B12313" s="49" t="s">
        <v>10543</v>
      </c>
    </row>
    <row r="12314" spans="1:2">
      <c r="A12314" s="66">
        <v>46072.143601701391</v>
      </c>
      <c r="B12314" s="49" t="s">
        <v>9394</v>
      </c>
    </row>
    <row r="12315" spans="1:2">
      <c r="A12315" s="66">
        <v>46072.144830775462</v>
      </c>
      <c r="B12315" s="49" t="s">
        <v>10556</v>
      </c>
    </row>
    <row r="12316" spans="1:2">
      <c r="A12316" s="66">
        <v>46072.144833252314</v>
      </c>
      <c r="B12316" s="49" t="s">
        <v>10557</v>
      </c>
    </row>
    <row r="12317" spans="1:2">
      <c r="A12317" s="66">
        <v>46072.144834826388</v>
      </c>
      <c r="B12317" s="49" t="s">
        <v>10546</v>
      </c>
    </row>
    <row r="12318" spans="1:2">
      <c r="A12318" s="66">
        <v>46072.144836574073</v>
      </c>
      <c r="B12318" s="49" t="s">
        <v>10466</v>
      </c>
    </row>
    <row r="12319" spans="1:2">
      <c r="A12319" s="66">
        <v>46072.144838333334</v>
      </c>
      <c r="B12319" s="49" t="s">
        <v>10561</v>
      </c>
    </row>
    <row r="12320" spans="1:2">
      <c r="A12320" s="66">
        <v>46072.144839953704</v>
      </c>
      <c r="B12320" s="49" t="s">
        <v>10562</v>
      </c>
    </row>
    <row r="12321" spans="1:2">
      <c r="A12321" s="66">
        <v>46072.144845347226</v>
      </c>
      <c r="B12321" s="49" t="s">
        <v>10563</v>
      </c>
    </row>
    <row r="12322" spans="1:2">
      <c r="A12322" s="66">
        <v>46072.144863067129</v>
      </c>
      <c r="B12322" s="49" t="s">
        <v>10564</v>
      </c>
    </row>
    <row r="12323" spans="1:2">
      <c r="A12323" s="66">
        <v>46072.144864756949</v>
      </c>
      <c r="B12323" s="49" t="s">
        <v>10542</v>
      </c>
    </row>
    <row r="12324" spans="1:2">
      <c r="A12324" s="66">
        <v>46072.14486615741</v>
      </c>
      <c r="B12324" s="49" t="s">
        <v>10543</v>
      </c>
    </row>
    <row r="12325" spans="1:2">
      <c r="A12325" s="66">
        <v>46072.144867858791</v>
      </c>
      <c r="B12325" s="49" t="s">
        <v>9394</v>
      </c>
    </row>
    <row r="12326" spans="1:2">
      <c r="A12326" s="66">
        <v>46072.145583043981</v>
      </c>
      <c r="B12326" s="49" t="s">
        <v>10556</v>
      </c>
    </row>
    <row r="12327" spans="1:2">
      <c r="A12327" s="66">
        <v>46072.145585127313</v>
      </c>
      <c r="B12327" s="49" t="s">
        <v>10557</v>
      </c>
    </row>
    <row r="12328" spans="1:2">
      <c r="A12328" s="66">
        <v>46072.145587499996</v>
      </c>
      <c r="B12328" s="49" t="s">
        <v>10546</v>
      </c>
    </row>
    <row r="12329" spans="1:2">
      <c r="A12329" s="66">
        <v>46072.145589444444</v>
      </c>
      <c r="B12329" s="49" t="s">
        <v>10466</v>
      </c>
    </row>
    <row r="12330" spans="1:2">
      <c r="A12330" s="66">
        <v>46072.14559944444</v>
      </c>
      <c r="B12330" s="49" t="s">
        <v>10561</v>
      </c>
    </row>
    <row r="12331" spans="1:2">
      <c r="A12331" s="66">
        <v>46072.145601273151</v>
      </c>
      <c r="B12331" s="49" t="s">
        <v>10562</v>
      </c>
    </row>
    <row r="12332" spans="1:2">
      <c r="A12332" s="66">
        <v>46072.145602951394</v>
      </c>
      <c r="B12332" s="49" t="s">
        <v>10563</v>
      </c>
    </row>
    <row r="12333" spans="1:2">
      <c r="A12333" s="66">
        <v>46072.145617812501</v>
      </c>
      <c r="B12333" s="49" t="s">
        <v>10564</v>
      </c>
    </row>
    <row r="12334" spans="1:2">
      <c r="A12334" s="66">
        <v>46072.145619814815</v>
      </c>
      <c r="B12334" s="49" t="s">
        <v>10542</v>
      </c>
    </row>
    <row r="12335" spans="1:2">
      <c r="A12335" s="66">
        <v>46072.145622488424</v>
      </c>
      <c r="B12335" s="49" t="s">
        <v>10543</v>
      </c>
    </row>
    <row r="12336" spans="1:2">
      <c r="A12336" s="66">
        <v>46072.145624467594</v>
      </c>
      <c r="B12336" s="49" t="s">
        <v>9394</v>
      </c>
    </row>
    <row r="12337" spans="1:2">
      <c r="A12337" s="66">
        <v>46072.146594328704</v>
      </c>
      <c r="B12337" s="49" t="s">
        <v>10556</v>
      </c>
    </row>
    <row r="12338" spans="1:2">
      <c r="A12338" s="66">
        <v>46072.146596620369</v>
      </c>
      <c r="B12338" s="49" t="s">
        <v>10557</v>
      </c>
    </row>
    <row r="12339" spans="1:2">
      <c r="A12339" s="66">
        <v>46072.146598958338</v>
      </c>
      <c r="B12339" s="49" t="s">
        <v>10546</v>
      </c>
    </row>
    <row r="12340" spans="1:2">
      <c r="A12340" s="66">
        <v>46072.146604710651</v>
      </c>
      <c r="B12340" s="49" t="s">
        <v>10466</v>
      </c>
    </row>
    <row r="12341" spans="1:2">
      <c r="A12341" s="66">
        <v>46072.146606724535</v>
      </c>
      <c r="B12341" s="49" t="s">
        <v>10561</v>
      </c>
    </row>
    <row r="12342" spans="1:2">
      <c r="A12342" s="66">
        <v>46072.146614895828</v>
      </c>
      <c r="B12342" s="49" t="s">
        <v>10562</v>
      </c>
    </row>
    <row r="12343" spans="1:2">
      <c r="A12343" s="66">
        <v>46072.146617118051</v>
      </c>
      <c r="B12343" s="49" t="s">
        <v>10563</v>
      </c>
    </row>
    <row r="12344" spans="1:2">
      <c r="A12344" s="66">
        <v>46072.146633969911</v>
      </c>
      <c r="B12344" s="49" t="s">
        <v>10564</v>
      </c>
    </row>
    <row r="12345" spans="1:2">
      <c r="A12345" s="66">
        <v>46072.146636168982</v>
      </c>
      <c r="B12345" s="49" t="s">
        <v>10542</v>
      </c>
    </row>
    <row r="12346" spans="1:2">
      <c r="A12346" s="66">
        <v>46072.146640752311</v>
      </c>
      <c r="B12346" s="49" t="s">
        <v>10543</v>
      </c>
    </row>
    <row r="12347" spans="1:2">
      <c r="A12347" s="66">
        <v>46072.146642708336</v>
      </c>
      <c r="B12347" s="49" t="s">
        <v>9394</v>
      </c>
    </row>
    <row r="12348" spans="1:2">
      <c r="A12348" s="66">
        <v>46072.147438888889</v>
      </c>
      <c r="B12348" s="49" t="s">
        <v>10556</v>
      </c>
    </row>
    <row r="12349" spans="1:2">
      <c r="A12349" s="66">
        <v>46072.147442071757</v>
      </c>
      <c r="B12349" s="49" t="s">
        <v>10557</v>
      </c>
    </row>
    <row r="12350" spans="1:2">
      <c r="A12350" s="66">
        <v>46072.147444965274</v>
      </c>
      <c r="B12350" s="49" t="s">
        <v>10546</v>
      </c>
    </row>
    <row r="12351" spans="1:2">
      <c r="A12351" s="66">
        <v>46072.147447881944</v>
      </c>
      <c r="B12351" s="49" t="s">
        <v>10466</v>
      </c>
    </row>
    <row r="12352" spans="1:2">
      <c r="A12352" s="66">
        <v>46072.147451053243</v>
      </c>
      <c r="B12352" s="49" t="s">
        <v>10561</v>
      </c>
    </row>
    <row r="12353" spans="1:2">
      <c r="A12353" s="66">
        <v>46072.147454097227</v>
      </c>
      <c r="B12353" s="49" t="s">
        <v>10562</v>
      </c>
    </row>
    <row r="12354" spans="1:2">
      <c r="A12354" s="66">
        <v>46072.147457268518</v>
      </c>
      <c r="B12354" s="49" t="s">
        <v>10563</v>
      </c>
    </row>
    <row r="12355" spans="1:2">
      <c r="A12355" s="66">
        <v>46072.147485069443</v>
      </c>
      <c r="B12355" s="49" t="s">
        <v>10564</v>
      </c>
    </row>
    <row r="12356" spans="1:2">
      <c r="A12356" s="66">
        <v>46072.147488229166</v>
      </c>
      <c r="B12356" s="49" t="s">
        <v>10542</v>
      </c>
    </row>
    <row r="12357" spans="1:2">
      <c r="A12357" s="66">
        <v>46072.147492187505</v>
      </c>
      <c r="B12357" s="49" t="s">
        <v>10543</v>
      </c>
    </row>
    <row r="12358" spans="1:2">
      <c r="A12358" s="66">
        <v>46072.147494953708</v>
      </c>
      <c r="B12358" s="49" t="s">
        <v>9394</v>
      </c>
    </row>
    <row r="12359" spans="1:2">
      <c r="A12359" s="66">
        <v>46072.148816423607</v>
      </c>
      <c r="B12359" s="49" t="s">
        <v>10556</v>
      </c>
    </row>
    <row r="12360" spans="1:2">
      <c r="A12360" s="66">
        <v>46072.148818900459</v>
      </c>
      <c r="B12360" s="49" t="s">
        <v>10557</v>
      </c>
    </row>
    <row r="12361" spans="1:2">
      <c r="A12361" s="66">
        <v>46072.148821319446</v>
      </c>
      <c r="B12361" s="49" t="s">
        <v>10546</v>
      </c>
    </row>
    <row r="12362" spans="1:2">
      <c r="A12362" s="66">
        <v>46072.148823541662</v>
      </c>
      <c r="B12362" s="49" t="s">
        <v>10466</v>
      </c>
    </row>
    <row r="12363" spans="1:2">
      <c r="A12363" s="66">
        <v>46072.148826018514</v>
      </c>
      <c r="B12363" s="49" t="s">
        <v>10561</v>
      </c>
    </row>
    <row r="12364" spans="1:2">
      <c r="A12364" s="66">
        <v>46072.148828993057</v>
      </c>
      <c r="B12364" s="49" t="s">
        <v>10562</v>
      </c>
    </row>
    <row r="12365" spans="1:2">
      <c r="A12365" s="66">
        <v>46072.148831307873</v>
      </c>
      <c r="B12365" s="49" t="s">
        <v>10563</v>
      </c>
    </row>
    <row r="12366" spans="1:2">
      <c r="A12366" s="66">
        <v>46072.148848078708</v>
      </c>
      <c r="B12366" s="49" t="s">
        <v>10564</v>
      </c>
    </row>
    <row r="12367" spans="1:2">
      <c r="A12367" s="66">
        <v>46072.148856192129</v>
      </c>
      <c r="B12367" s="49" t="s">
        <v>10542</v>
      </c>
    </row>
    <row r="12368" spans="1:2">
      <c r="A12368" s="66">
        <v>46072.148864131945</v>
      </c>
      <c r="B12368" s="49" t="s">
        <v>10543</v>
      </c>
    </row>
    <row r="12369" spans="1:2">
      <c r="A12369" s="66">
        <v>46072.148867280092</v>
      </c>
      <c r="B12369" s="49" t="s">
        <v>9394</v>
      </c>
    </row>
    <row r="12370" spans="1:2">
      <c r="A12370" s="66">
        <v>46072.150165104162</v>
      </c>
      <c r="B12370" s="49" t="s">
        <v>10556</v>
      </c>
    </row>
    <row r="12371" spans="1:2">
      <c r="A12371" s="66">
        <v>46072.150167650463</v>
      </c>
      <c r="B12371" s="49" t="s">
        <v>10557</v>
      </c>
    </row>
    <row r="12372" spans="1:2">
      <c r="A12372" s="66">
        <v>46072.150171273148</v>
      </c>
      <c r="B12372" s="49" t="s">
        <v>10546</v>
      </c>
    </row>
    <row r="12373" spans="1:2">
      <c r="A12373" s="66">
        <v>46072.150173796297</v>
      </c>
      <c r="B12373" s="49" t="s">
        <v>10466</v>
      </c>
    </row>
    <row r="12374" spans="1:2">
      <c r="A12374" s="66">
        <v>46072.150177881944</v>
      </c>
      <c r="B12374" s="49" t="s">
        <v>10561</v>
      </c>
    </row>
    <row r="12375" spans="1:2">
      <c r="A12375" s="66">
        <v>46072.150187638894</v>
      </c>
      <c r="B12375" s="49" t="s">
        <v>10562</v>
      </c>
    </row>
    <row r="12376" spans="1:2">
      <c r="A12376" s="66">
        <v>46072.150190659726</v>
      </c>
      <c r="B12376" s="49" t="s">
        <v>10563</v>
      </c>
    </row>
    <row r="12377" spans="1:2">
      <c r="A12377" s="66">
        <v>46072.150206527775</v>
      </c>
      <c r="B12377" s="49" t="s">
        <v>10564</v>
      </c>
    </row>
    <row r="12378" spans="1:2">
      <c r="A12378" s="66">
        <v>46072.15020956019</v>
      </c>
      <c r="B12378" s="49" t="s">
        <v>10542</v>
      </c>
    </row>
    <row r="12379" spans="1:2">
      <c r="A12379" s="66">
        <v>46072.150212222223</v>
      </c>
      <c r="B12379" s="49" t="s">
        <v>10543</v>
      </c>
    </row>
    <row r="12380" spans="1:2">
      <c r="A12380" s="66">
        <v>46072.150214479167</v>
      </c>
      <c r="B12380" s="49" t="s">
        <v>9394</v>
      </c>
    </row>
    <row r="12381" spans="1:2">
      <c r="A12381" s="66">
        <v>46072.151287939814</v>
      </c>
      <c r="B12381" s="49" t="s">
        <v>10556</v>
      </c>
    </row>
    <row r="12382" spans="1:2">
      <c r="A12382" s="66">
        <v>46072.15128982639</v>
      </c>
      <c r="B12382" s="49" t="s">
        <v>10557</v>
      </c>
    </row>
    <row r="12383" spans="1:2">
      <c r="A12383" s="66">
        <v>46072.151291458329</v>
      </c>
      <c r="B12383" s="49" t="s">
        <v>10546</v>
      </c>
    </row>
    <row r="12384" spans="1:2">
      <c r="A12384" s="66">
        <v>46072.151293240742</v>
      </c>
      <c r="B12384" s="49" t="s">
        <v>10466</v>
      </c>
    </row>
    <row r="12385" spans="1:2">
      <c r="A12385" s="66">
        <v>46072.151294687501</v>
      </c>
      <c r="B12385" s="49" t="s">
        <v>10561</v>
      </c>
    </row>
    <row r="12386" spans="1:2">
      <c r="A12386" s="66">
        <v>46072.151299745368</v>
      </c>
      <c r="B12386" s="49" t="s">
        <v>10562</v>
      </c>
    </row>
    <row r="12387" spans="1:2">
      <c r="A12387" s="66">
        <v>46072.15130125</v>
      </c>
      <c r="B12387" s="49" t="s">
        <v>10563</v>
      </c>
    </row>
    <row r="12388" spans="1:2">
      <c r="A12388" s="66">
        <v>46072.151313680559</v>
      </c>
      <c r="B12388" s="49" t="s">
        <v>10564</v>
      </c>
    </row>
    <row r="12389" spans="1:2">
      <c r="A12389" s="66">
        <v>46072.151315405092</v>
      </c>
      <c r="B12389" s="49" t="s">
        <v>10542</v>
      </c>
    </row>
    <row r="12390" spans="1:2">
      <c r="A12390" s="66">
        <v>46072.151317384254</v>
      </c>
      <c r="B12390" s="49" t="s">
        <v>10543</v>
      </c>
    </row>
    <row r="12391" spans="1:2">
      <c r="A12391" s="66">
        <v>46072.151323356476</v>
      </c>
      <c r="B12391" s="49" t="s">
        <v>9394</v>
      </c>
    </row>
    <row r="12392" spans="1:2">
      <c r="A12392" s="66">
        <v>46072.152472986112</v>
      </c>
      <c r="B12392" s="49" t="s">
        <v>10556</v>
      </c>
    </row>
    <row r="12393" spans="1:2">
      <c r="A12393" s="66">
        <v>46072.152475601848</v>
      </c>
      <c r="B12393" s="49" t="s">
        <v>10557</v>
      </c>
    </row>
    <row r="12394" spans="1:2">
      <c r="A12394" s="66">
        <v>46072.152477905096</v>
      </c>
      <c r="B12394" s="49" t="s">
        <v>10546</v>
      </c>
    </row>
    <row r="12395" spans="1:2">
      <c r="A12395" s="66">
        <v>46072.15248005787</v>
      </c>
      <c r="B12395" s="49" t="s">
        <v>10466</v>
      </c>
    </row>
    <row r="12396" spans="1:2">
      <c r="A12396" s="66">
        <v>46072.152482569443</v>
      </c>
      <c r="B12396" s="49" t="s">
        <v>10561</v>
      </c>
    </row>
    <row r="12397" spans="1:2">
      <c r="A12397" s="66">
        <v>46072.152489641201</v>
      </c>
      <c r="B12397" s="49" t="s">
        <v>10562</v>
      </c>
    </row>
    <row r="12398" spans="1:2">
      <c r="A12398" s="66">
        <v>46072.152491990739</v>
      </c>
      <c r="B12398" s="49" t="s">
        <v>10563</v>
      </c>
    </row>
    <row r="12399" spans="1:2">
      <c r="A12399" s="66">
        <v>46072.152512673609</v>
      </c>
      <c r="B12399" s="49" t="s">
        <v>10564</v>
      </c>
    </row>
    <row r="12400" spans="1:2">
      <c r="A12400" s="66">
        <v>46072.152514942129</v>
      </c>
      <c r="B12400" s="49" t="s">
        <v>10542</v>
      </c>
    </row>
    <row r="12401" spans="1:2">
      <c r="A12401" s="66">
        <v>46072.15251699074</v>
      </c>
      <c r="B12401" s="49" t="s">
        <v>10543</v>
      </c>
    </row>
    <row r="12402" spans="1:2">
      <c r="A12402" s="66">
        <v>46072.152519247684</v>
      </c>
      <c r="B12402" s="49" t="s">
        <v>9394</v>
      </c>
    </row>
    <row r="12403" spans="1:2">
      <c r="A12403" s="66">
        <v>46072.153602928243</v>
      </c>
      <c r="B12403" s="49" t="s">
        <v>10556</v>
      </c>
    </row>
    <row r="12404" spans="1:2">
      <c r="A12404" s="66">
        <v>46072.153605416665</v>
      </c>
      <c r="B12404" s="49" t="s">
        <v>10557</v>
      </c>
    </row>
    <row r="12405" spans="1:2">
      <c r="A12405" s="66">
        <v>46072.153608055552</v>
      </c>
      <c r="B12405" s="49" t="s">
        <v>10546</v>
      </c>
    </row>
    <row r="12406" spans="1:2">
      <c r="A12406" s="66">
        <v>46072.153610624999</v>
      </c>
      <c r="B12406" s="49" t="s">
        <v>10466</v>
      </c>
    </row>
    <row r="12407" spans="1:2">
      <c r="A12407" s="66">
        <v>46072.153613020833</v>
      </c>
      <c r="B12407" s="49" t="s">
        <v>10561</v>
      </c>
    </row>
    <row r="12408" spans="1:2">
      <c r="A12408" s="66">
        <v>46072.153615740739</v>
      </c>
      <c r="B12408" s="49" t="s">
        <v>10562</v>
      </c>
    </row>
    <row r="12409" spans="1:2">
      <c r="A12409" s="66">
        <v>46072.153618275464</v>
      </c>
      <c r="B12409" s="49" t="s">
        <v>10563</v>
      </c>
    </row>
    <row r="12410" spans="1:2">
      <c r="A12410" s="66">
        <v>46072.153635659721</v>
      </c>
      <c r="B12410" s="49" t="s">
        <v>10564</v>
      </c>
    </row>
    <row r="12411" spans="1:2">
      <c r="A12411" s="66">
        <v>46072.153639675926</v>
      </c>
      <c r="B12411" s="49" t="s">
        <v>10542</v>
      </c>
    </row>
    <row r="12412" spans="1:2">
      <c r="A12412" s="66">
        <v>46072.153642210644</v>
      </c>
      <c r="B12412" s="49" t="s">
        <v>10543</v>
      </c>
    </row>
    <row r="12413" spans="1:2">
      <c r="A12413" s="66">
        <v>46072.153645347222</v>
      </c>
      <c r="B12413" s="49" t="s">
        <v>9394</v>
      </c>
    </row>
    <row r="12414" spans="1:2">
      <c r="A12414" s="66">
        <v>46072.154939837965</v>
      </c>
      <c r="B12414" s="49" t="s">
        <v>10556</v>
      </c>
    </row>
    <row r="12415" spans="1:2">
      <c r="A12415" s="66">
        <v>46072.154941701388</v>
      </c>
      <c r="B12415" s="49" t="s">
        <v>10557</v>
      </c>
    </row>
    <row r="12416" spans="1:2">
      <c r="A12416" s="66">
        <v>46072.154947233794</v>
      </c>
      <c r="B12416" s="49" t="s">
        <v>10546</v>
      </c>
    </row>
    <row r="12417" spans="1:2">
      <c r="A12417" s="66">
        <v>46072.154948819443</v>
      </c>
      <c r="B12417" s="49" t="s">
        <v>10466</v>
      </c>
    </row>
    <row r="12418" spans="1:2">
      <c r="A12418" s="66">
        <v>46072.154950752316</v>
      </c>
      <c r="B12418" s="49" t="s">
        <v>10561</v>
      </c>
    </row>
    <row r="12419" spans="1:2">
      <c r="A12419" s="66">
        <v>46072.154953113422</v>
      </c>
      <c r="B12419" s="49" t="s">
        <v>10562</v>
      </c>
    </row>
    <row r="12420" spans="1:2">
      <c r="A12420" s="66">
        <v>46072.154954780097</v>
      </c>
      <c r="B12420" s="49" t="s">
        <v>10563</v>
      </c>
    </row>
    <row r="12421" spans="1:2">
      <c r="A12421" s="66">
        <v>46072.154972488424</v>
      </c>
      <c r="B12421" s="49" t="s">
        <v>10564</v>
      </c>
    </row>
    <row r="12422" spans="1:2">
      <c r="A12422" s="66">
        <v>46072.154974756944</v>
      </c>
      <c r="B12422" s="49" t="s">
        <v>10542</v>
      </c>
    </row>
    <row r="12423" spans="1:2">
      <c r="A12423" s="66">
        <v>46072.154976423612</v>
      </c>
      <c r="B12423" s="49" t="s">
        <v>10543</v>
      </c>
    </row>
    <row r="12424" spans="1:2">
      <c r="A12424" s="66">
        <v>46072.154978032406</v>
      </c>
      <c r="B12424" s="49" t="s">
        <v>9394</v>
      </c>
    </row>
    <row r="12425" spans="1:2">
      <c r="A12425" s="66">
        <v>46072.156131643518</v>
      </c>
      <c r="B12425" s="49" t="s">
        <v>10556</v>
      </c>
    </row>
    <row r="12426" spans="1:2">
      <c r="A12426" s="66">
        <v>46072.156134421297</v>
      </c>
      <c r="B12426" s="49" t="s">
        <v>10557</v>
      </c>
    </row>
    <row r="12427" spans="1:2">
      <c r="A12427" s="66">
        <v>46072.156137256941</v>
      </c>
      <c r="B12427" s="49" t="s">
        <v>10546</v>
      </c>
    </row>
    <row r="12428" spans="1:2">
      <c r="A12428" s="66">
        <v>46072.156140011575</v>
      </c>
      <c r="B12428" s="49" t="s">
        <v>10466</v>
      </c>
    </row>
    <row r="12429" spans="1:2">
      <c r="A12429" s="66">
        <v>46072.156142557869</v>
      </c>
      <c r="B12429" s="49" t="s">
        <v>10561</v>
      </c>
    </row>
    <row r="12430" spans="1:2">
      <c r="A12430" s="66">
        <v>46072.156145115739</v>
      </c>
      <c r="B12430" s="49" t="s">
        <v>10562</v>
      </c>
    </row>
    <row r="12431" spans="1:2">
      <c r="A12431" s="66">
        <v>46072.156147939815</v>
      </c>
      <c r="B12431" s="49" t="s">
        <v>10563</v>
      </c>
    </row>
    <row r="12432" spans="1:2">
      <c r="A12432" s="66">
        <v>46072.156171145834</v>
      </c>
      <c r="B12432" s="49" t="s">
        <v>10564</v>
      </c>
    </row>
    <row r="12433" spans="1:2">
      <c r="A12433" s="66">
        <v>46072.156176539356</v>
      </c>
      <c r="B12433" s="49" t="s">
        <v>10542</v>
      </c>
    </row>
    <row r="12434" spans="1:2">
      <c r="A12434" s="66">
        <v>46072.156183819447</v>
      </c>
      <c r="B12434" s="49" t="s">
        <v>10543</v>
      </c>
    </row>
    <row r="12435" spans="1:2">
      <c r="A12435" s="66">
        <v>46072.156186030094</v>
      </c>
      <c r="B12435" s="49" t="s">
        <v>9394</v>
      </c>
    </row>
    <row r="12436" spans="1:2">
      <c r="A12436" s="66">
        <v>46072.157571006945</v>
      </c>
      <c r="B12436" s="49" t="s">
        <v>10556</v>
      </c>
    </row>
    <row r="12437" spans="1:2">
      <c r="A12437" s="66">
        <v>46072.157590011571</v>
      </c>
      <c r="B12437" s="49" t="s">
        <v>10557</v>
      </c>
    </row>
    <row r="12438" spans="1:2">
      <c r="A12438" s="66">
        <v>46072.157591898147</v>
      </c>
      <c r="B12438" s="49" t="s">
        <v>10546</v>
      </c>
    </row>
    <row r="12439" spans="1:2">
      <c r="A12439" s="66">
        <v>46072.157609965274</v>
      </c>
      <c r="B12439" s="49" t="s">
        <v>10466</v>
      </c>
    </row>
    <row r="12440" spans="1:2">
      <c r="A12440" s="66">
        <v>46072.157611805553</v>
      </c>
      <c r="B12440" s="49" t="s">
        <v>10561</v>
      </c>
    </row>
    <row r="12441" spans="1:2">
      <c r="A12441" s="66">
        <v>46072.157613645832</v>
      </c>
      <c r="B12441" s="49" t="s">
        <v>10562</v>
      </c>
    </row>
    <row r="12442" spans="1:2">
      <c r="A12442" s="66">
        <v>46072.157621828708</v>
      </c>
      <c r="B12442" s="49" t="s">
        <v>10563</v>
      </c>
    </row>
    <row r="12443" spans="1:2">
      <c r="A12443" s="66">
        <v>46072.157640636578</v>
      </c>
      <c r="B12443" s="49" t="s">
        <v>10564</v>
      </c>
    </row>
    <row r="12444" spans="1:2">
      <c r="A12444" s="66">
        <v>46072.157643078703</v>
      </c>
      <c r="B12444" s="49" t="s">
        <v>10542</v>
      </c>
    </row>
    <row r="12445" spans="1:2">
      <c r="A12445" s="66">
        <v>46072.157644803243</v>
      </c>
      <c r="B12445" s="49" t="s">
        <v>10543</v>
      </c>
    </row>
    <row r="12446" spans="1:2">
      <c r="A12446" s="66">
        <v>46072.157646597218</v>
      </c>
      <c r="B12446" s="49" t="s">
        <v>9394</v>
      </c>
    </row>
    <row r="12447" spans="1:2">
      <c r="A12447" s="66">
        <v>46072.158517268515</v>
      </c>
      <c r="B12447" s="49" t="s">
        <v>10556</v>
      </c>
    </row>
    <row r="12448" spans="1:2">
      <c r="A12448" s="66">
        <v>46072.158533472219</v>
      </c>
      <c r="B12448" s="49" t="s">
        <v>10557</v>
      </c>
    </row>
    <row r="12449" spans="1:2">
      <c r="A12449" s="66">
        <v>46072.158535821756</v>
      </c>
      <c r="B12449" s="49" t="s">
        <v>10546</v>
      </c>
    </row>
    <row r="12450" spans="1:2">
      <c r="A12450" s="66">
        <v>46072.158537800926</v>
      </c>
      <c r="B12450" s="49" t="s">
        <v>10466</v>
      </c>
    </row>
    <row r="12451" spans="1:2">
      <c r="A12451" s="66">
        <v>46072.15853990741</v>
      </c>
      <c r="B12451" s="49" t="s">
        <v>10561</v>
      </c>
    </row>
    <row r="12452" spans="1:2">
      <c r="A12452" s="66">
        <v>46072.158542025463</v>
      </c>
      <c r="B12452" s="49" t="s">
        <v>10562</v>
      </c>
    </row>
    <row r="12453" spans="1:2">
      <c r="A12453" s="66">
        <v>46072.158544120372</v>
      </c>
      <c r="B12453" s="49" t="s">
        <v>10563</v>
      </c>
    </row>
    <row r="12454" spans="1:2">
      <c r="A12454" s="66">
        <v>46072.158561446762</v>
      </c>
      <c r="B12454" s="49" t="s">
        <v>10564</v>
      </c>
    </row>
    <row r="12455" spans="1:2">
      <c r="A12455" s="66">
        <v>46072.15856354167</v>
      </c>
      <c r="B12455" s="49" t="s">
        <v>10542</v>
      </c>
    </row>
    <row r="12456" spans="1:2">
      <c r="A12456" s="66">
        <v>46072.158565578706</v>
      </c>
      <c r="B12456" s="49" t="s">
        <v>10543</v>
      </c>
    </row>
    <row r="12457" spans="1:2">
      <c r="A12457" s="66">
        <v>46072.158567662038</v>
      </c>
      <c r="B12457" s="49" t="s">
        <v>9394</v>
      </c>
    </row>
    <row r="12458" spans="1:2">
      <c r="A12458" s="66">
        <v>46072.159640520833</v>
      </c>
      <c r="B12458" s="49" t="s">
        <v>10556</v>
      </c>
    </row>
    <row r="12459" spans="1:2">
      <c r="A12459" s="66">
        <v>46072.159642465282</v>
      </c>
      <c r="B12459" s="49" t="s">
        <v>10557</v>
      </c>
    </row>
    <row r="12460" spans="1:2">
      <c r="A12460" s="66">
        <v>46072.159644513886</v>
      </c>
      <c r="B12460" s="49" t="s">
        <v>10546</v>
      </c>
    </row>
    <row r="12461" spans="1:2">
      <c r="A12461" s="66">
        <v>46072.159646527776</v>
      </c>
      <c r="B12461" s="49" t="s">
        <v>10466</v>
      </c>
    </row>
    <row r="12462" spans="1:2">
      <c r="A12462" s="66">
        <v>46072.159648148147</v>
      </c>
      <c r="B12462" s="49" t="s">
        <v>10561</v>
      </c>
    </row>
    <row r="12463" spans="1:2">
      <c r="A12463" s="66">
        <v>46072.159649884255</v>
      </c>
      <c r="B12463" s="49" t="s">
        <v>10562</v>
      </c>
    </row>
    <row r="12464" spans="1:2">
      <c r="A12464" s="66">
        <v>46072.159652986113</v>
      </c>
      <c r="B12464" s="49" t="s">
        <v>10563</v>
      </c>
    </row>
    <row r="12465" spans="1:2">
      <c r="A12465" s="66">
        <v>46072.159675902774</v>
      </c>
      <c r="B12465" s="49" t="s">
        <v>10564</v>
      </c>
    </row>
    <row r="12466" spans="1:2">
      <c r="A12466" s="66">
        <v>46072.159678090276</v>
      </c>
      <c r="B12466" s="49" t="s">
        <v>10542</v>
      </c>
    </row>
    <row r="12467" spans="1:2">
      <c r="A12467" s="66">
        <v>46072.159680659723</v>
      </c>
      <c r="B12467" s="49" t="s">
        <v>10543</v>
      </c>
    </row>
    <row r="12468" spans="1:2">
      <c r="A12468" s="66">
        <v>46072.159682523146</v>
      </c>
      <c r="B12468" s="49" t="s">
        <v>9394</v>
      </c>
    </row>
    <row r="12469" spans="1:2">
      <c r="A12469" s="66">
        <v>46072.160418981483</v>
      </c>
      <c r="B12469" s="49" t="s">
        <v>10556</v>
      </c>
    </row>
    <row r="12470" spans="1:2">
      <c r="A12470" s="66">
        <v>46072.160421249995</v>
      </c>
      <c r="B12470" s="49" t="s">
        <v>10557</v>
      </c>
    </row>
    <row r="12471" spans="1:2">
      <c r="A12471" s="66">
        <v>46072.160423437497</v>
      </c>
      <c r="B12471" s="49" t="s">
        <v>10546</v>
      </c>
    </row>
    <row r="12472" spans="1:2">
      <c r="A12472" s="66">
        <v>46072.160425902781</v>
      </c>
      <c r="B12472" s="49" t="s">
        <v>10466</v>
      </c>
    </row>
    <row r="12473" spans="1:2">
      <c r="A12473" s="66">
        <v>46072.160428009258</v>
      </c>
      <c r="B12473" s="49" t="s">
        <v>10561</v>
      </c>
    </row>
    <row r="12474" spans="1:2">
      <c r="A12474" s="66">
        <v>46072.160430243057</v>
      </c>
      <c r="B12474" s="49" t="s">
        <v>10562</v>
      </c>
    </row>
    <row r="12475" spans="1:2">
      <c r="A12475" s="66">
        <v>46072.160432743054</v>
      </c>
      <c r="B12475" s="49" t="s">
        <v>10563</v>
      </c>
    </row>
    <row r="12476" spans="1:2">
      <c r="A12476" s="66">
        <v>46072.160456458332</v>
      </c>
      <c r="B12476" s="49" t="s">
        <v>10564</v>
      </c>
    </row>
    <row r="12477" spans="1:2">
      <c r="A12477" s="66">
        <v>46072.160458726852</v>
      </c>
      <c r="B12477" s="49" t="s">
        <v>10542</v>
      </c>
    </row>
    <row r="12478" spans="1:2">
      <c r="A12478" s="66">
        <v>46072.160460891202</v>
      </c>
      <c r="B12478" s="49" t="s">
        <v>10543</v>
      </c>
    </row>
    <row r="12479" spans="1:2">
      <c r="A12479" s="66">
        <v>46072.160463067128</v>
      </c>
      <c r="B12479" s="49" t="s">
        <v>9394</v>
      </c>
    </row>
    <row r="12480" spans="1:2">
      <c r="A12480" s="66">
        <v>46072.161723229168</v>
      </c>
      <c r="B12480" s="49" t="s">
        <v>10556</v>
      </c>
    </row>
    <row r="12481" spans="1:2">
      <c r="A12481" s="66">
        <v>46072.161725370373</v>
      </c>
      <c r="B12481" s="49" t="s">
        <v>10557</v>
      </c>
    </row>
    <row r="12482" spans="1:2">
      <c r="A12482" s="66">
        <v>46072.161727303246</v>
      </c>
      <c r="B12482" s="49" t="s">
        <v>10546</v>
      </c>
    </row>
    <row r="12483" spans="1:2">
      <c r="A12483" s="66">
        <v>46072.161729224536</v>
      </c>
      <c r="B12483" s="49" t="s">
        <v>10466</v>
      </c>
    </row>
    <row r="12484" spans="1:2">
      <c r="A12484" s="66">
        <v>46072.161731261571</v>
      </c>
      <c r="B12484" s="49" t="s">
        <v>10561</v>
      </c>
    </row>
    <row r="12485" spans="1:2">
      <c r="A12485" s="66">
        <v>46072.16173320602</v>
      </c>
      <c r="B12485" s="49" t="s">
        <v>10562</v>
      </c>
    </row>
    <row r="12486" spans="1:2">
      <c r="A12486" s="66">
        <v>46072.161735405098</v>
      </c>
      <c r="B12486" s="49" t="s">
        <v>10563</v>
      </c>
    </row>
    <row r="12487" spans="1:2">
      <c r="A12487" s="66">
        <v>46072.161754236113</v>
      </c>
      <c r="B12487" s="49" t="s">
        <v>10564</v>
      </c>
    </row>
    <row r="12488" spans="1:2">
      <c r="A12488" s="66">
        <v>46072.161756655092</v>
      </c>
      <c r="B12488" s="49" t="s">
        <v>10542</v>
      </c>
    </row>
    <row r="12489" spans="1:2">
      <c r="A12489" s="66">
        <v>46072.161762314819</v>
      </c>
      <c r="B12489" s="49" t="s">
        <v>10543</v>
      </c>
    </row>
    <row r="12490" spans="1:2">
      <c r="A12490" s="66">
        <v>46072.161764305551</v>
      </c>
      <c r="B12490" s="49" t="s">
        <v>9394</v>
      </c>
    </row>
    <row r="12491" spans="1:2">
      <c r="A12491" s="66">
        <v>46072.162726539347</v>
      </c>
      <c r="B12491" s="49" t="s">
        <v>10556</v>
      </c>
    </row>
    <row r="12492" spans="1:2">
      <c r="A12492" s="66">
        <v>46072.162729097225</v>
      </c>
      <c r="B12492" s="49" t="s">
        <v>10557</v>
      </c>
    </row>
    <row r="12493" spans="1:2">
      <c r="A12493" s="66">
        <v>46072.162731111108</v>
      </c>
      <c r="B12493" s="49" t="s">
        <v>10546</v>
      </c>
    </row>
    <row r="12494" spans="1:2">
      <c r="A12494" s="66">
        <v>46072.162733043981</v>
      </c>
      <c r="B12494" s="49" t="s">
        <v>10466</v>
      </c>
    </row>
    <row r="12495" spans="1:2">
      <c r="A12495" s="66">
        <v>46072.162735520833</v>
      </c>
      <c r="B12495" s="49" t="s">
        <v>10561</v>
      </c>
    </row>
    <row r="12496" spans="1:2">
      <c r="A12496" s="66">
        <v>46072.162737743056</v>
      </c>
      <c r="B12496" s="49" t="s">
        <v>10562</v>
      </c>
    </row>
    <row r="12497" spans="1:2">
      <c r="A12497" s="66">
        <v>46072.162739756939</v>
      </c>
      <c r="B12497" s="49" t="s">
        <v>10563</v>
      </c>
    </row>
    <row r="12498" spans="1:2">
      <c r="A12498" s="66">
        <v>46072.162759027779</v>
      </c>
      <c r="B12498" s="49" t="s">
        <v>10564</v>
      </c>
    </row>
    <row r="12499" spans="1:2">
      <c r="A12499" s="66">
        <v>46072.162761192129</v>
      </c>
      <c r="B12499" s="49" t="s">
        <v>10542</v>
      </c>
    </row>
    <row r="12500" spans="1:2">
      <c r="A12500" s="66">
        <v>46072.162764016204</v>
      </c>
      <c r="B12500" s="49" t="s">
        <v>10543</v>
      </c>
    </row>
    <row r="12501" spans="1:2">
      <c r="A12501" s="66">
        <v>46072.16276619213</v>
      </c>
      <c r="B12501" s="49" t="s">
        <v>9394</v>
      </c>
    </row>
    <row r="12502" spans="1:2">
      <c r="A12502" s="66">
        <v>46072.163912407406</v>
      </c>
      <c r="B12502" s="49" t="s">
        <v>10556</v>
      </c>
    </row>
    <row r="12503" spans="1:2">
      <c r="A12503" s="66">
        <v>46072.163916909718</v>
      </c>
      <c r="B12503" s="49" t="s">
        <v>10557</v>
      </c>
    </row>
    <row r="12504" spans="1:2">
      <c r="A12504" s="66">
        <v>46072.163932974538</v>
      </c>
      <c r="B12504" s="49" t="s">
        <v>10546</v>
      </c>
    </row>
    <row r="12505" spans="1:2">
      <c r="A12505" s="66">
        <v>46072.16393599537</v>
      </c>
      <c r="B12505" s="49" t="s">
        <v>10466</v>
      </c>
    </row>
    <row r="12506" spans="1:2">
      <c r="A12506" s="66">
        <v>46072.163938703699</v>
      </c>
      <c r="B12506" s="49" t="s">
        <v>10561</v>
      </c>
    </row>
    <row r="12507" spans="1:2">
      <c r="A12507" s="66">
        <v>46072.16394131945</v>
      </c>
      <c r="B12507" s="49" t="s">
        <v>10562</v>
      </c>
    </row>
    <row r="12508" spans="1:2">
      <c r="A12508" s="66">
        <v>46072.163943981483</v>
      </c>
      <c r="B12508" s="49" t="s">
        <v>10563</v>
      </c>
    </row>
    <row r="12509" spans="1:2">
      <c r="A12509" s="66">
        <v>46072.163967812499</v>
      </c>
      <c r="B12509" s="49" t="s">
        <v>10564</v>
      </c>
    </row>
    <row r="12510" spans="1:2">
      <c r="A12510" s="66">
        <v>46072.163982905091</v>
      </c>
      <c r="B12510" s="49" t="s">
        <v>10542</v>
      </c>
    </row>
    <row r="12511" spans="1:2">
      <c r="A12511" s="66">
        <v>46072.163985740743</v>
      </c>
      <c r="B12511" s="49" t="s">
        <v>10543</v>
      </c>
    </row>
    <row r="12512" spans="1:2">
      <c r="A12512" s="66">
        <v>46072.163988020839</v>
      </c>
      <c r="B12512" s="49" t="s">
        <v>9394</v>
      </c>
    </row>
    <row r="12513" spans="1:2">
      <c r="A12513" s="66">
        <v>46072.164894930553</v>
      </c>
      <c r="B12513" s="49" t="s">
        <v>10556</v>
      </c>
    </row>
    <row r="12514" spans="1:2">
      <c r="A12514" s="66">
        <v>46072.164898125004</v>
      </c>
      <c r="B12514" s="49" t="s">
        <v>10557</v>
      </c>
    </row>
    <row r="12515" spans="1:2">
      <c r="A12515" s="66">
        <v>46072.164901111115</v>
      </c>
      <c r="B12515" s="49" t="s">
        <v>10546</v>
      </c>
    </row>
    <row r="12516" spans="1:2">
      <c r="A12516" s="66">
        <v>46072.164903645833</v>
      </c>
      <c r="B12516" s="49" t="s">
        <v>10466</v>
      </c>
    </row>
    <row r="12517" spans="1:2">
      <c r="A12517" s="66">
        <v>46072.164906365739</v>
      </c>
      <c r="B12517" s="49" t="s">
        <v>10561</v>
      </c>
    </row>
    <row r="12518" spans="1:2">
      <c r="A12518" s="66">
        <v>46072.1649090625</v>
      </c>
      <c r="B12518" s="49" t="s">
        <v>10562</v>
      </c>
    </row>
    <row r="12519" spans="1:2">
      <c r="A12519" s="66">
        <v>46072.164917800925</v>
      </c>
      <c r="B12519" s="49" t="s">
        <v>10563</v>
      </c>
    </row>
    <row r="12520" spans="1:2">
      <c r="A12520" s="66">
        <v>46072.164937430556</v>
      </c>
      <c r="B12520" s="49" t="s">
        <v>10564</v>
      </c>
    </row>
    <row r="12521" spans="1:2">
      <c r="A12521" s="66">
        <v>46072.164940995368</v>
      </c>
      <c r="B12521" s="49" t="s">
        <v>10542</v>
      </c>
    </row>
    <row r="12522" spans="1:2">
      <c r="A12522" s="66">
        <v>46072.16494368056</v>
      </c>
      <c r="B12522" s="49" t="s">
        <v>10543</v>
      </c>
    </row>
    <row r="12523" spans="1:2">
      <c r="A12523" s="66">
        <v>46072.164946041667</v>
      </c>
      <c r="B12523" s="49" t="s">
        <v>9394</v>
      </c>
    </row>
    <row r="12524" spans="1:2">
      <c r="A12524" s="66">
        <v>46072.165694432872</v>
      </c>
      <c r="B12524" s="49" t="s">
        <v>10556</v>
      </c>
    </row>
    <row r="12525" spans="1:2">
      <c r="A12525" s="66">
        <v>46072.165696863427</v>
      </c>
      <c r="B12525" s="49" t="s">
        <v>10557</v>
      </c>
    </row>
    <row r="12526" spans="1:2">
      <c r="A12526" s="66">
        <v>46072.165699131947</v>
      </c>
      <c r="B12526" s="49" t="s">
        <v>10546</v>
      </c>
    </row>
    <row r="12527" spans="1:2">
      <c r="A12527" s="66">
        <v>46072.165700995371</v>
      </c>
      <c r="B12527" s="49" t="s">
        <v>10466</v>
      </c>
    </row>
    <row r="12528" spans="1:2">
      <c r="A12528" s="66">
        <v>46072.165703252314</v>
      </c>
      <c r="B12528" s="49" t="s">
        <v>10561</v>
      </c>
    </row>
    <row r="12529" spans="1:2">
      <c r="A12529" s="66">
        <v>46072.165705231484</v>
      </c>
      <c r="B12529" s="49" t="s">
        <v>10562</v>
      </c>
    </row>
    <row r="12530" spans="1:2">
      <c r="A12530" s="66">
        <v>46072.165707118053</v>
      </c>
      <c r="B12530" s="49" t="s">
        <v>10563</v>
      </c>
    </row>
    <row r="12531" spans="1:2">
      <c r="A12531" s="66">
        <v>46072.165723877319</v>
      </c>
      <c r="B12531" s="49" t="s">
        <v>10564</v>
      </c>
    </row>
    <row r="12532" spans="1:2">
      <c r="A12532" s="66">
        <v>46072.165725902778</v>
      </c>
      <c r="B12532" s="49" t="s">
        <v>10542</v>
      </c>
    </row>
    <row r="12533" spans="1:2">
      <c r="A12533" s="66">
        <v>46072.165728125001</v>
      </c>
      <c r="B12533" s="49" t="s">
        <v>10543</v>
      </c>
    </row>
    <row r="12534" spans="1:2">
      <c r="A12534" s="66">
        <v>46072.165731157409</v>
      </c>
      <c r="B12534" s="49" t="s">
        <v>9394</v>
      </c>
    </row>
    <row r="12535" spans="1:2">
      <c r="A12535" s="66">
        <v>46072.166555254633</v>
      </c>
      <c r="B12535" s="49" t="s">
        <v>10556</v>
      </c>
    </row>
    <row r="12536" spans="1:2">
      <c r="A12536" s="66">
        <v>46072.166558854165</v>
      </c>
      <c r="B12536" s="49" t="s">
        <v>10557</v>
      </c>
    </row>
    <row r="12537" spans="1:2">
      <c r="A12537" s="66">
        <v>46072.166561817125</v>
      </c>
      <c r="B12537" s="49" t="s">
        <v>10546</v>
      </c>
    </row>
    <row r="12538" spans="1:2">
      <c r="A12538" s="66">
        <v>46072.166564884261</v>
      </c>
      <c r="B12538" s="49" t="s">
        <v>10466</v>
      </c>
    </row>
    <row r="12539" spans="1:2">
      <c r="A12539" s="66">
        <v>46072.166568032408</v>
      </c>
      <c r="B12539" s="49" t="s">
        <v>10561</v>
      </c>
    </row>
    <row r="12540" spans="1:2">
      <c r="A12540" s="66">
        <v>46072.166571168986</v>
      </c>
      <c r="B12540" s="49" t="s">
        <v>10562</v>
      </c>
    </row>
    <row r="12541" spans="1:2">
      <c r="A12541" s="66">
        <v>46072.166574212963</v>
      </c>
      <c r="B12541" s="49" t="s">
        <v>10563</v>
      </c>
    </row>
    <row r="12542" spans="1:2">
      <c r="A12542" s="66">
        <v>46072.166597708332</v>
      </c>
      <c r="B12542" s="49" t="s">
        <v>10564</v>
      </c>
    </row>
    <row r="12543" spans="1:2">
      <c r="A12543" s="66">
        <v>46072.16660074074</v>
      </c>
      <c r="B12543" s="49" t="s">
        <v>10542</v>
      </c>
    </row>
    <row r="12544" spans="1:2">
      <c r="A12544" s="66">
        <v>46072.166603726851</v>
      </c>
      <c r="B12544" s="49" t="s">
        <v>10543</v>
      </c>
    </row>
    <row r="12545" spans="1:2">
      <c r="A12545" s="66">
        <v>46072.166606550927</v>
      </c>
      <c r="B12545" s="49" t="s">
        <v>9394</v>
      </c>
    </row>
    <row r="12546" spans="1:2">
      <c r="A12546" s="66">
        <v>46072.167916122686</v>
      </c>
      <c r="B12546" s="49" t="s">
        <v>10556</v>
      </c>
    </row>
    <row r="12547" spans="1:2">
      <c r="A12547" s="66">
        <v>46072.167918252315</v>
      </c>
      <c r="B12547" s="49" t="s">
        <v>10557</v>
      </c>
    </row>
    <row r="12548" spans="1:2">
      <c r="A12548" s="66">
        <v>46072.167920162035</v>
      </c>
      <c r="B12548" s="49" t="s">
        <v>10546</v>
      </c>
    </row>
    <row r="12549" spans="1:2">
      <c r="A12549" s="66">
        <v>46072.167921990738</v>
      </c>
      <c r="B12549" s="49" t="s">
        <v>10466</v>
      </c>
    </row>
    <row r="12550" spans="1:2">
      <c r="A12550" s="66">
        <v>46072.167923981484</v>
      </c>
      <c r="B12550" s="49" t="s">
        <v>10561</v>
      </c>
    </row>
    <row r="12551" spans="1:2">
      <c r="A12551" s="66">
        <v>46072.167925717593</v>
      </c>
      <c r="B12551" s="49" t="s">
        <v>10562</v>
      </c>
    </row>
    <row r="12552" spans="1:2">
      <c r="A12552" s="66">
        <v>46072.167927615737</v>
      </c>
      <c r="B12552" s="49" t="s">
        <v>10563</v>
      </c>
    </row>
    <row r="12553" spans="1:2">
      <c r="A12553" s="66">
        <v>46072.167946805552</v>
      </c>
      <c r="B12553" s="49" t="s">
        <v>10564</v>
      </c>
    </row>
    <row r="12554" spans="1:2">
      <c r="A12554" s="66">
        <v>46072.167952731485</v>
      </c>
      <c r="B12554" s="49" t="s">
        <v>10542</v>
      </c>
    </row>
    <row r="12555" spans="1:2">
      <c r="A12555" s="66">
        <v>46072.167954444449</v>
      </c>
      <c r="B12555" s="49" t="s">
        <v>10543</v>
      </c>
    </row>
    <row r="12556" spans="1:2">
      <c r="A12556" s="66">
        <v>46072.167956331017</v>
      </c>
      <c r="B12556" s="49" t="s">
        <v>9394</v>
      </c>
    </row>
    <row r="12557" spans="1:2">
      <c r="A12557" s="66">
        <v>46072.16885913194</v>
      </c>
      <c r="B12557" s="49" t="s">
        <v>10556</v>
      </c>
    </row>
    <row r="12558" spans="1:2">
      <c r="A12558" s="66">
        <v>46072.16886237268</v>
      </c>
      <c r="B12558" s="49" t="s">
        <v>10557</v>
      </c>
    </row>
    <row r="12559" spans="1:2">
      <c r="A12559" s="66">
        <v>46072.168865115746</v>
      </c>
      <c r="B12559" s="49" t="s">
        <v>10546</v>
      </c>
    </row>
    <row r="12560" spans="1:2">
      <c r="A12560" s="66">
        <v>46072.168868645836</v>
      </c>
      <c r="B12560" s="49" t="s">
        <v>10466</v>
      </c>
    </row>
    <row r="12561" spans="1:2">
      <c r="A12561" s="66">
        <v>46072.168871550923</v>
      </c>
      <c r="B12561" s="49" t="s">
        <v>10561</v>
      </c>
    </row>
    <row r="12562" spans="1:2">
      <c r="A12562" s="66">
        <v>46072.168874710653</v>
      </c>
      <c r="B12562" s="49" t="s">
        <v>10562</v>
      </c>
    </row>
    <row r="12563" spans="1:2">
      <c r="A12563" s="66">
        <v>46072.168877465279</v>
      </c>
      <c r="B12563" s="49" t="s">
        <v>10563</v>
      </c>
    </row>
    <row r="12564" spans="1:2">
      <c r="A12564" s="66">
        <v>46072.168896886578</v>
      </c>
      <c r="B12564" s="49" t="s">
        <v>10564</v>
      </c>
    </row>
    <row r="12565" spans="1:2">
      <c r="A12565" s="66">
        <v>46072.168899733791</v>
      </c>
      <c r="B12565" s="49" t="s">
        <v>10542</v>
      </c>
    </row>
    <row r="12566" spans="1:2">
      <c r="A12566" s="66">
        <v>46072.168902638892</v>
      </c>
      <c r="B12566" s="49" t="s">
        <v>10543</v>
      </c>
    </row>
    <row r="12567" spans="1:2">
      <c r="A12567" s="66">
        <v>46072.168905462968</v>
      </c>
      <c r="B12567" s="49" t="s">
        <v>9394</v>
      </c>
    </row>
    <row r="12568" spans="1:2">
      <c r="A12568" s="66">
        <v>46072.169812777778</v>
      </c>
      <c r="B12568" s="49" t="s">
        <v>10556</v>
      </c>
    </row>
    <row r="12569" spans="1:2">
      <c r="A12569" s="66">
        <v>46072.16981496528</v>
      </c>
      <c r="B12569" s="49" t="s">
        <v>10557</v>
      </c>
    </row>
    <row r="12570" spans="1:2">
      <c r="A12570" s="66">
        <v>46072.16981684028</v>
      </c>
      <c r="B12570" s="49" t="s">
        <v>10546</v>
      </c>
    </row>
    <row r="12571" spans="1:2">
      <c r="A12571" s="66">
        <v>46072.169818900467</v>
      </c>
      <c r="B12571" s="49" t="s">
        <v>10466</v>
      </c>
    </row>
    <row r="12572" spans="1:2">
      <c r="A12572" s="66">
        <v>46072.169821099538</v>
      </c>
      <c r="B12572" s="49" t="s">
        <v>10561</v>
      </c>
    </row>
    <row r="12573" spans="1:2">
      <c r="A12573" s="66">
        <v>46072.169822986107</v>
      </c>
      <c r="B12573" s="49" t="s">
        <v>10562</v>
      </c>
    </row>
    <row r="12574" spans="1:2">
      <c r="A12574" s="66">
        <v>46072.169830844912</v>
      </c>
      <c r="B12574" s="49" t="s">
        <v>10563</v>
      </c>
    </row>
    <row r="12575" spans="1:2">
      <c r="A12575" s="66">
        <v>46072.169854178239</v>
      </c>
      <c r="B12575" s="49" t="s">
        <v>10564</v>
      </c>
    </row>
    <row r="12576" spans="1:2">
      <c r="A12576" s="66">
        <v>46072.169857094908</v>
      </c>
      <c r="B12576" s="49" t="s">
        <v>10542</v>
      </c>
    </row>
    <row r="12577" spans="1:2">
      <c r="A12577" s="66">
        <v>46072.16985914352</v>
      </c>
      <c r="B12577" s="49" t="s">
        <v>10543</v>
      </c>
    </row>
    <row r="12578" spans="1:2">
      <c r="A12578" s="66">
        <v>46072.169861342598</v>
      </c>
      <c r="B12578" s="49" t="s">
        <v>9394</v>
      </c>
    </row>
    <row r="12579" spans="1:2">
      <c r="A12579" s="66">
        <v>46072.171037349537</v>
      </c>
      <c r="B12579" s="49" t="s">
        <v>10556</v>
      </c>
    </row>
    <row r="12580" spans="1:2">
      <c r="A12580" s="66">
        <v>46072.171039699075</v>
      </c>
      <c r="B12580" s="49" t="s">
        <v>10557</v>
      </c>
    </row>
    <row r="12581" spans="1:2">
      <c r="A12581" s="66">
        <v>46072.171041956019</v>
      </c>
      <c r="B12581" s="49" t="s">
        <v>10546</v>
      </c>
    </row>
    <row r="12582" spans="1:2">
      <c r="A12582" s="66">
        <v>46072.171043958333</v>
      </c>
      <c r="B12582" s="49" t="s">
        <v>10466</v>
      </c>
    </row>
    <row r="12583" spans="1:2">
      <c r="A12583" s="66">
        <v>46072.171047696756</v>
      </c>
      <c r="B12583" s="49" t="s">
        <v>10561</v>
      </c>
    </row>
    <row r="12584" spans="1:2">
      <c r="A12584" s="66">
        <v>46072.17104961806</v>
      </c>
      <c r="B12584" s="49" t="s">
        <v>10562</v>
      </c>
    </row>
    <row r="12585" spans="1:2">
      <c r="A12585" s="66">
        <v>46072.171060810186</v>
      </c>
      <c r="B12585" s="49" t="s">
        <v>10563</v>
      </c>
    </row>
    <row r="12586" spans="1:2">
      <c r="A12586" s="66">
        <v>46072.171076956016</v>
      </c>
      <c r="B12586" s="49" t="s">
        <v>10564</v>
      </c>
    </row>
    <row r="12587" spans="1:2">
      <c r="A12587" s="66">
        <v>46072.171082210647</v>
      </c>
      <c r="B12587" s="49" t="s">
        <v>10542</v>
      </c>
    </row>
    <row r="12588" spans="1:2">
      <c r="A12588" s="66">
        <v>46072.171084409725</v>
      </c>
      <c r="B12588" s="49" t="s">
        <v>10543</v>
      </c>
    </row>
    <row r="12589" spans="1:2">
      <c r="A12589" s="66">
        <v>46072.171086562499</v>
      </c>
      <c r="B12589" s="49" t="s">
        <v>9394</v>
      </c>
    </row>
    <row r="12590" spans="1:2">
      <c r="A12590" s="66">
        <v>46072.171932418976</v>
      </c>
      <c r="B12590" s="49" t="s">
        <v>10556</v>
      </c>
    </row>
    <row r="12591" spans="1:2">
      <c r="A12591" s="66">
        <v>46072.171935289356</v>
      </c>
      <c r="B12591" s="49" t="s">
        <v>10557</v>
      </c>
    </row>
    <row r="12592" spans="1:2">
      <c r="A12592" s="66">
        <v>46072.171937754625</v>
      </c>
      <c r="B12592" s="49" t="s">
        <v>10546</v>
      </c>
    </row>
    <row r="12593" spans="1:2">
      <c r="A12593" s="66">
        <v>46072.171940185188</v>
      </c>
      <c r="B12593" s="49" t="s">
        <v>10466</v>
      </c>
    </row>
    <row r="12594" spans="1:2">
      <c r="A12594" s="66">
        <v>46072.17194320602</v>
      </c>
      <c r="B12594" s="49" t="s">
        <v>10561</v>
      </c>
    </row>
    <row r="12595" spans="1:2">
      <c r="A12595" s="66">
        <v>46072.17194586806</v>
      </c>
      <c r="B12595" s="49" t="s">
        <v>10562</v>
      </c>
    </row>
    <row r="12596" spans="1:2">
      <c r="A12596" s="66">
        <v>46072.171949062496</v>
      </c>
      <c r="B12596" s="49" t="s">
        <v>10563</v>
      </c>
    </row>
    <row r="12597" spans="1:2">
      <c r="A12597" s="66">
        <v>46072.171971111107</v>
      </c>
      <c r="B12597" s="49" t="s">
        <v>10564</v>
      </c>
    </row>
    <row r="12598" spans="1:2">
      <c r="A12598" s="66">
        <v>46072.171973865741</v>
      </c>
      <c r="B12598" s="49" t="s">
        <v>10542</v>
      </c>
    </row>
    <row r="12599" spans="1:2">
      <c r="A12599" s="66">
        <v>46072.171976018522</v>
      </c>
      <c r="B12599" s="49" t="s">
        <v>10543</v>
      </c>
    </row>
    <row r="12600" spans="1:2">
      <c r="A12600" s="66">
        <v>46072.171978090279</v>
      </c>
      <c r="B12600" s="49" t="s">
        <v>9394</v>
      </c>
    </row>
    <row r="12601" spans="1:2">
      <c r="A12601" s="66">
        <v>46072.17298260417</v>
      </c>
      <c r="B12601" s="49" t="s">
        <v>10556</v>
      </c>
    </row>
    <row r="12602" spans="1:2">
      <c r="A12602" s="66">
        <v>46072.172984849538</v>
      </c>
      <c r="B12602" s="49" t="s">
        <v>10557</v>
      </c>
    </row>
    <row r="12603" spans="1:2">
      <c r="A12603" s="66">
        <v>46072.1729871875</v>
      </c>
      <c r="B12603" s="49" t="s">
        <v>10546</v>
      </c>
    </row>
    <row r="12604" spans="1:2">
      <c r="A12604" s="66">
        <v>46072.172989039347</v>
      </c>
      <c r="B12604" s="49" t="s">
        <v>10466</v>
      </c>
    </row>
    <row r="12605" spans="1:2">
      <c r="A12605" s="66">
        <v>46072.172991006941</v>
      </c>
      <c r="B12605" s="49" t="s">
        <v>10561</v>
      </c>
    </row>
    <row r="12606" spans="1:2">
      <c r="A12606" s="66">
        <v>46072.17299284722</v>
      </c>
      <c r="B12606" s="49" t="s">
        <v>10562</v>
      </c>
    </row>
    <row r="12607" spans="1:2">
      <c r="A12607" s="66">
        <v>46072.172995497684</v>
      </c>
      <c r="B12607" s="49" t="s">
        <v>10563</v>
      </c>
    </row>
    <row r="12608" spans="1:2">
      <c r="A12608" s="66">
        <v>46072.173009363425</v>
      </c>
      <c r="B12608" s="49" t="s">
        <v>10564</v>
      </c>
    </row>
    <row r="12609" spans="1:2">
      <c r="A12609" s="66">
        <v>46072.173011412036</v>
      </c>
      <c r="B12609" s="49" t="s">
        <v>10542</v>
      </c>
    </row>
    <row r="12610" spans="1:2">
      <c r="A12610" s="66">
        <v>46072.173013796295</v>
      </c>
      <c r="B12610" s="49" t="s">
        <v>10543</v>
      </c>
    </row>
    <row r="12611" spans="1:2">
      <c r="A12611" s="66">
        <v>46072.173015624998</v>
      </c>
      <c r="B12611" s="49" t="s">
        <v>9394</v>
      </c>
    </row>
    <row r="12612" spans="1:2">
      <c r="A12612" s="66">
        <v>46072.174148020829</v>
      </c>
      <c r="B12612" s="49" t="s">
        <v>10556</v>
      </c>
    </row>
    <row r="12613" spans="1:2">
      <c r="A12613" s="66">
        <v>46072.174150150458</v>
      </c>
      <c r="B12613" s="49" t="s">
        <v>10557</v>
      </c>
    </row>
    <row r="12614" spans="1:2">
      <c r="A12614" s="66">
        <v>46072.174152291671</v>
      </c>
      <c r="B12614" s="49" t="s">
        <v>10546</v>
      </c>
    </row>
    <row r="12615" spans="1:2">
      <c r="A12615" s="66">
        <v>46072.174154120366</v>
      </c>
      <c r="B12615" s="49" t="s">
        <v>10466</v>
      </c>
    </row>
    <row r="12616" spans="1:2">
      <c r="A12616" s="66">
        <v>46072.174156145833</v>
      </c>
      <c r="B12616" s="49" t="s">
        <v>10561</v>
      </c>
    </row>
    <row r="12617" spans="1:2">
      <c r="A12617" s="66">
        <v>46072.174162037038</v>
      </c>
      <c r="B12617" s="49" t="s">
        <v>10562</v>
      </c>
    </row>
    <row r="12618" spans="1:2">
      <c r="A12618" s="66">
        <v>46072.174164259261</v>
      </c>
      <c r="B12618" s="49" t="s">
        <v>10563</v>
      </c>
    </row>
    <row r="12619" spans="1:2">
      <c r="A12619" s="66">
        <v>46072.174180833332</v>
      </c>
      <c r="B12619" s="49" t="s">
        <v>10564</v>
      </c>
    </row>
    <row r="12620" spans="1:2">
      <c r="A12620" s="66">
        <v>46072.174183159717</v>
      </c>
      <c r="B12620" s="49" t="s">
        <v>10542</v>
      </c>
    </row>
    <row r="12621" spans="1:2">
      <c r="A12621" s="66">
        <v>46072.174185277778</v>
      </c>
      <c r="B12621" s="49" t="s">
        <v>10543</v>
      </c>
    </row>
    <row r="12622" spans="1:2">
      <c r="A12622" s="66">
        <v>46072.17418725694</v>
      </c>
      <c r="B12622" s="49" t="s">
        <v>9394</v>
      </c>
    </row>
    <row r="12623" spans="1:2">
      <c r="A12623" s="66">
        <v>46072.175389537035</v>
      </c>
      <c r="B12623" s="49" t="s">
        <v>10556</v>
      </c>
    </row>
    <row r="12624" spans="1:2">
      <c r="A12624" s="66">
        <v>46072.175391724537</v>
      </c>
      <c r="B12624" s="49" t="s">
        <v>10557</v>
      </c>
    </row>
    <row r="12625" spans="1:2">
      <c r="A12625" s="66">
        <v>46072.175393703699</v>
      </c>
      <c r="B12625" s="49" t="s">
        <v>10546</v>
      </c>
    </row>
    <row r="12626" spans="1:2">
      <c r="A12626" s="66">
        <v>46072.175395717597</v>
      </c>
      <c r="B12626" s="49" t="s">
        <v>10466</v>
      </c>
    </row>
    <row r="12627" spans="1:2">
      <c r="A12627" s="66">
        <v>46072.175397592597</v>
      </c>
      <c r="B12627" s="49" t="s">
        <v>10561</v>
      </c>
    </row>
    <row r="12628" spans="1:2">
      <c r="A12628" s="66">
        <v>46072.17539960648</v>
      </c>
      <c r="B12628" s="49" t="s">
        <v>10562</v>
      </c>
    </row>
    <row r="12629" spans="1:2">
      <c r="A12629" s="66">
        <v>46072.175401446759</v>
      </c>
      <c r="B12629" s="49" t="s">
        <v>10563</v>
      </c>
    </row>
    <row r="12630" spans="1:2">
      <c r="A12630" s="66">
        <v>46072.175419548614</v>
      </c>
      <c r="B12630" s="49" t="s">
        <v>10564</v>
      </c>
    </row>
    <row r="12631" spans="1:2">
      <c r="A12631" s="66">
        <v>46072.175422129629</v>
      </c>
      <c r="B12631" s="49" t="s">
        <v>10542</v>
      </c>
    </row>
    <row r="12632" spans="1:2">
      <c r="A12632" s="66">
        <v>46072.175424247689</v>
      </c>
      <c r="B12632" s="49" t="s">
        <v>10543</v>
      </c>
    </row>
    <row r="12633" spans="1:2">
      <c r="A12633" s="66">
        <v>46072.175426261572</v>
      </c>
      <c r="B12633" s="49" t="s">
        <v>9394</v>
      </c>
    </row>
    <row r="12634" spans="1:2">
      <c r="A12634" s="66">
        <v>46072.17676386574</v>
      </c>
      <c r="B12634" s="49" t="s">
        <v>10556</v>
      </c>
    </row>
    <row r="12635" spans="1:2">
      <c r="A12635" s="66">
        <v>46072.176765983793</v>
      </c>
      <c r="B12635" s="49" t="s">
        <v>10557</v>
      </c>
    </row>
    <row r="12636" spans="1:2">
      <c r="A12636" s="66">
        <v>46072.176767951387</v>
      </c>
      <c r="B12636" s="49" t="s">
        <v>10546</v>
      </c>
    </row>
    <row r="12637" spans="1:2">
      <c r="A12637" s="66">
        <v>46072.176770428239</v>
      </c>
      <c r="B12637" s="49" t="s">
        <v>10466</v>
      </c>
    </row>
    <row r="12638" spans="1:2">
      <c r="A12638" s="66">
        <v>46072.176772534724</v>
      </c>
      <c r="B12638" s="49" t="s">
        <v>10561</v>
      </c>
    </row>
    <row r="12639" spans="1:2">
      <c r="A12639" s="66">
        <v>46072.176774270833</v>
      </c>
      <c r="B12639" s="49" t="s">
        <v>10562</v>
      </c>
    </row>
    <row r="12640" spans="1:2">
      <c r="A12640" s="66">
        <v>46072.176776342589</v>
      </c>
      <c r="B12640" s="49" t="s">
        <v>10563</v>
      </c>
    </row>
    <row r="12641" spans="1:2">
      <c r="A12641" s="66">
        <v>46072.176791863429</v>
      </c>
      <c r="B12641" s="49" t="s">
        <v>10564</v>
      </c>
    </row>
    <row r="12642" spans="1:2">
      <c r="A12642" s="66">
        <v>46072.176798958331</v>
      </c>
      <c r="B12642" s="49" t="s">
        <v>10542</v>
      </c>
    </row>
    <row r="12643" spans="1:2">
      <c r="A12643" s="66">
        <v>46072.176800706016</v>
      </c>
      <c r="B12643" s="49" t="s">
        <v>10543</v>
      </c>
    </row>
    <row r="12644" spans="1:2">
      <c r="A12644" s="66">
        <v>46072.176810185185</v>
      </c>
      <c r="B12644" s="49" t="s">
        <v>9394</v>
      </c>
    </row>
    <row r="12645" spans="1:2">
      <c r="A12645" s="66">
        <v>46072.178005636575</v>
      </c>
      <c r="B12645" s="49" t="s">
        <v>10556</v>
      </c>
    </row>
    <row r="12646" spans="1:2">
      <c r="A12646" s="66">
        <v>46072.178008125004</v>
      </c>
      <c r="B12646" s="49" t="s">
        <v>10557</v>
      </c>
    </row>
    <row r="12647" spans="1:2">
      <c r="A12647" s="66">
        <v>46072.178009872689</v>
      </c>
      <c r="B12647" s="49" t="s">
        <v>10546</v>
      </c>
    </row>
    <row r="12648" spans="1:2">
      <c r="A12648" s="66">
        <v>46072.178011597221</v>
      </c>
      <c r="B12648" s="49" t="s">
        <v>10466</v>
      </c>
    </row>
    <row r="12649" spans="1:2">
      <c r="A12649" s="66">
        <v>46072.178013310186</v>
      </c>
      <c r="B12649" s="49" t="s">
        <v>10561</v>
      </c>
    </row>
    <row r="12650" spans="1:2">
      <c r="A12650" s="66">
        <v>46072.178014976853</v>
      </c>
      <c r="B12650" s="49" t="s">
        <v>10562</v>
      </c>
    </row>
    <row r="12651" spans="1:2">
      <c r="A12651" s="66">
        <v>46072.178016747683</v>
      </c>
      <c r="B12651" s="49" t="s">
        <v>10563</v>
      </c>
    </row>
    <row r="12652" spans="1:2">
      <c r="A12652" s="66">
        <v>46072.178030358795</v>
      </c>
      <c r="B12652" s="49" t="s">
        <v>10564</v>
      </c>
    </row>
    <row r="12653" spans="1:2">
      <c r="A12653" s="66">
        <v>46072.178032222218</v>
      </c>
      <c r="B12653" s="49" t="s">
        <v>10542</v>
      </c>
    </row>
    <row r="12654" spans="1:2">
      <c r="A12654" s="66">
        <v>46072.178033854172</v>
      </c>
      <c r="B12654" s="49" t="s">
        <v>10543</v>
      </c>
    </row>
    <row r="12655" spans="1:2">
      <c r="A12655" s="66">
        <v>46072.178038958329</v>
      </c>
      <c r="B12655" s="49" t="s">
        <v>9394</v>
      </c>
    </row>
    <row r="12656" spans="1:2">
      <c r="A12656" s="66">
        <v>46072.179031886575</v>
      </c>
      <c r="B12656" s="49" t="s">
        <v>10556</v>
      </c>
    </row>
    <row r="12657" spans="1:2">
      <c r="A12657" s="66">
        <v>46072.17903417824</v>
      </c>
      <c r="B12657" s="49" t="s">
        <v>10557</v>
      </c>
    </row>
    <row r="12658" spans="1:2">
      <c r="A12658" s="66">
        <v>46072.179040937495</v>
      </c>
      <c r="B12658" s="49" t="s">
        <v>10546</v>
      </c>
    </row>
    <row r="12659" spans="1:2">
      <c r="A12659" s="66">
        <v>46072.179043287033</v>
      </c>
      <c r="B12659" s="49" t="s">
        <v>10466</v>
      </c>
    </row>
    <row r="12660" spans="1:2">
      <c r="A12660" s="66">
        <v>46072.179045277779</v>
      </c>
      <c r="B12660" s="49" t="s">
        <v>10561</v>
      </c>
    </row>
    <row r="12661" spans="1:2">
      <c r="A12661" s="66">
        <v>46072.179056793982</v>
      </c>
      <c r="B12661" s="49" t="s">
        <v>10562</v>
      </c>
    </row>
    <row r="12662" spans="1:2">
      <c r="A12662" s="66">
        <v>46072.179058935188</v>
      </c>
      <c r="B12662" s="49" t="s">
        <v>10563</v>
      </c>
    </row>
    <row r="12663" spans="1:2">
      <c r="A12663" s="66">
        <v>46072.179080624999</v>
      </c>
      <c r="B12663" s="49" t="s">
        <v>10564</v>
      </c>
    </row>
    <row r="12664" spans="1:2">
      <c r="A12664" s="66">
        <v>46072.179082696763</v>
      </c>
      <c r="B12664" s="49" t="s">
        <v>10542</v>
      </c>
    </row>
    <row r="12665" spans="1:2">
      <c r="A12665" s="66">
        <v>46072.179084814816</v>
      </c>
      <c r="B12665" s="49" t="s">
        <v>10543</v>
      </c>
    </row>
    <row r="12666" spans="1:2">
      <c r="A12666" s="66">
        <v>46072.179089988422</v>
      </c>
      <c r="B12666" s="49" t="s">
        <v>9394</v>
      </c>
    </row>
    <row r="12667" spans="1:2">
      <c r="A12667" s="66">
        <v>46072.180197037036</v>
      </c>
      <c r="B12667" s="49" t="s">
        <v>10556</v>
      </c>
    </row>
    <row r="12668" spans="1:2">
      <c r="A12668" s="66">
        <v>46072.180199062495</v>
      </c>
      <c r="B12668" s="49" t="s">
        <v>10557</v>
      </c>
    </row>
    <row r="12669" spans="1:2">
      <c r="A12669" s="66">
        <v>46072.180200833332</v>
      </c>
      <c r="B12669" s="49" t="s">
        <v>10546</v>
      </c>
    </row>
    <row r="12670" spans="1:2">
      <c r="A12670" s="66">
        <v>46072.18020268518</v>
      </c>
      <c r="B12670" s="49" t="s">
        <v>10466</v>
      </c>
    </row>
    <row r="12671" spans="1:2">
      <c r="A12671" s="66">
        <v>46072.180204456017</v>
      </c>
      <c r="B12671" s="49" t="s">
        <v>10561</v>
      </c>
    </row>
    <row r="12672" spans="1:2">
      <c r="A12672" s="66">
        <v>46072.180206284727</v>
      </c>
      <c r="B12672" s="49" t="s">
        <v>10562</v>
      </c>
    </row>
    <row r="12673" spans="1:2">
      <c r="A12673" s="66">
        <v>46072.180208159727</v>
      </c>
      <c r="B12673" s="49" t="s">
        <v>10563</v>
      </c>
    </row>
    <row r="12674" spans="1:2">
      <c r="A12674" s="66">
        <v>46072.180222615745</v>
      </c>
      <c r="B12674" s="49" t="s">
        <v>10564</v>
      </c>
    </row>
    <row r="12675" spans="1:2">
      <c r="A12675" s="66">
        <v>46072.180224733791</v>
      </c>
      <c r="B12675" s="49" t="s">
        <v>10542</v>
      </c>
    </row>
    <row r="12676" spans="1:2">
      <c r="A12676" s="66">
        <v>46072.180227372686</v>
      </c>
      <c r="B12676" s="49" t="s">
        <v>10543</v>
      </c>
    </row>
    <row r="12677" spans="1:2">
      <c r="A12677" s="66">
        <v>46072.180229548612</v>
      </c>
      <c r="B12677" s="49" t="s">
        <v>9394</v>
      </c>
    </row>
    <row r="12678" spans="1:2">
      <c r="A12678" s="66">
        <v>46072.181348333332</v>
      </c>
      <c r="B12678" s="49" t="s">
        <v>10556</v>
      </c>
    </row>
    <row r="12679" spans="1:2">
      <c r="A12679" s="66">
        <v>46072.181351898151</v>
      </c>
      <c r="B12679" s="49" t="s">
        <v>10557</v>
      </c>
    </row>
    <row r="12680" spans="1:2">
      <c r="A12680" s="66">
        <v>46072.181353912034</v>
      </c>
      <c r="B12680" s="49" t="s">
        <v>10546</v>
      </c>
    </row>
    <row r="12681" spans="1:2">
      <c r="A12681" s="66">
        <v>46072.18135564815</v>
      </c>
      <c r="B12681" s="49" t="s">
        <v>10466</v>
      </c>
    </row>
    <row r="12682" spans="1:2">
      <c r="A12682" s="66">
        <v>46072.181357754627</v>
      </c>
      <c r="B12682" s="49" t="s">
        <v>10561</v>
      </c>
    </row>
    <row r="12683" spans="1:2">
      <c r="A12683" s="66">
        <v>46072.181366990742</v>
      </c>
      <c r="B12683" s="49" t="s">
        <v>10562</v>
      </c>
    </row>
    <row r="12684" spans="1:2">
      <c r="A12684" s="66">
        <v>46072.181368900463</v>
      </c>
      <c r="B12684" s="49" t="s">
        <v>10563</v>
      </c>
    </row>
    <row r="12685" spans="1:2">
      <c r="A12685" s="66">
        <v>46072.181385335643</v>
      </c>
      <c r="B12685" s="49" t="s">
        <v>10564</v>
      </c>
    </row>
    <row r="12686" spans="1:2">
      <c r="A12686" s="66">
        <v>46072.181387592587</v>
      </c>
      <c r="B12686" s="49" t="s">
        <v>10542</v>
      </c>
    </row>
    <row r="12687" spans="1:2">
      <c r="A12687" s="66">
        <v>46072.181390127313</v>
      </c>
      <c r="B12687" s="49" t="s">
        <v>10543</v>
      </c>
    </row>
    <row r="12688" spans="1:2">
      <c r="A12688" s="66">
        <v>46072.181392303246</v>
      </c>
      <c r="B12688" s="49" t="s">
        <v>9394</v>
      </c>
    </row>
    <row r="12689" spans="1:2">
      <c r="A12689" s="66">
        <v>46072.182563379625</v>
      </c>
      <c r="B12689" s="49" t="s">
        <v>10556</v>
      </c>
    </row>
    <row r="12690" spans="1:2">
      <c r="A12690" s="66">
        <v>46072.182566076386</v>
      </c>
      <c r="B12690" s="49" t="s">
        <v>10557</v>
      </c>
    </row>
    <row r="12691" spans="1:2">
      <c r="A12691" s="66">
        <v>46072.182568171294</v>
      </c>
      <c r="B12691" s="49" t="s">
        <v>10546</v>
      </c>
    </row>
    <row r="12692" spans="1:2">
      <c r="A12692" s="66">
        <v>46072.182570335644</v>
      </c>
      <c r="B12692" s="49" t="s">
        <v>10466</v>
      </c>
    </row>
    <row r="12693" spans="1:2">
      <c r="A12693" s="66">
        <v>46072.182572453705</v>
      </c>
      <c r="B12693" s="49" t="s">
        <v>10561</v>
      </c>
    </row>
    <row r="12694" spans="1:2">
      <c r="A12694" s="66">
        <v>46072.182574571758</v>
      </c>
      <c r="B12694" s="49" t="s">
        <v>10562</v>
      </c>
    </row>
    <row r="12695" spans="1:2">
      <c r="A12695" s="66">
        <v>46072.182576701394</v>
      </c>
      <c r="B12695" s="49" t="s">
        <v>10563</v>
      </c>
    </row>
    <row r="12696" spans="1:2">
      <c r="A12696" s="66">
        <v>46072.182592905097</v>
      </c>
      <c r="B12696" s="49" t="s">
        <v>10564</v>
      </c>
    </row>
    <row r="12697" spans="1:2">
      <c r="A12697" s="66">
        <v>46072.182595092592</v>
      </c>
      <c r="B12697" s="49" t="s">
        <v>10542</v>
      </c>
    </row>
    <row r="12698" spans="1:2">
      <c r="A12698" s="66">
        <v>46072.18259725695</v>
      </c>
      <c r="B12698" s="49" t="s">
        <v>10543</v>
      </c>
    </row>
    <row r="12699" spans="1:2">
      <c r="A12699" s="66">
        <v>46072.1825994213</v>
      </c>
      <c r="B12699" s="49" t="s">
        <v>9394</v>
      </c>
    </row>
    <row r="12700" spans="1:2">
      <c r="A12700" s="66">
        <v>46072.183681736111</v>
      </c>
      <c r="B12700" s="49" t="s">
        <v>10556</v>
      </c>
    </row>
    <row r="12701" spans="1:2">
      <c r="A12701" s="66">
        <v>46072.183685173615</v>
      </c>
      <c r="B12701" s="49" t="s">
        <v>10557</v>
      </c>
    </row>
    <row r="12702" spans="1:2">
      <c r="A12702" s="66">
        <v>46072.183688379635</v>
      </c>
      <c r="B12702" s="49" t="s">
        <v>10546</v>
      </c>
    </row>
    <row r="12703" spans="1:2">
      <c r="A12703" s="66">
        <v>46072.183691458333</v>
      </c>
      <c r="B12703" s="49" t="s">
        <v>10466</v>
      </c>
    </row>
    <row r="12704" spans="1:2">
      <c r="A12704" s="66">
        <v>46072.183694560183</v>
      </c>
      <c r="B12704" s="49" t="s">
        <v>10561</v>
      </c>
    </row>
    <row r="12705" spans="1:2">
      <c r="A12705" s="66">
        <v>46072.183697546294</v>
      </c>
      <c r="B12705" s="49" t="s">
        <v>10562</v>
      </c>
    </row>
    <row r="12706" spans="1:2">
      <c r="A12706" s="66">
        <v>46072.183700983791</v>
      </c>
      <c r="B12706" s="49" t="s">
        <v>10563</v>
      </c>
    </row>
    <row r="12707" spans="1:2">
      <c r="A12707" s="66">
        <v>46072.183719791668</v>
      </c>
      <c r="B12707" s="49" t="s">
        <v>10564</v>
      </c>
    </row>
    <row r="12708" spans="1:2">
      <c r="A12708" s="66">
        <v>46072.183723101851</v>
      </c>
      <c r="B12708" s="49" t="s">
        <v>10542</v>
      </c>
    </row>
    <row r="12709" spans="1:2">
      <c r="A12709" s="66">
        <v>46072.183726226853</v>
      </c>
      <c r="B12709" s="49" t="s">
        <v>10543</v>
      </c>
    </row>
    <row r="12710" spans="1:2">
      <c r="A12710" s="66">
        <v>46072.183729375</v>
      </c>
      <c r="B12710" s="49" t="s">
        <v>9394</v>
      </c>
    </row>
    <row r="12711" spans="1:2">
      <c r="A12711" s="66">
        <v>46072.184446678242</v>
      </c>
      <c r="B12711" s="49" t="s">
        <v>10556</v>
      </c>
    </row>
    <row r="12712" spans="1:2">
      <c r="A12712" s="66">
        <v>46072.184449328706</v>
      </c>
      <c r="B12712" s="49" t="s">
        <v>10557</v>
      </c>
    </row>
    <row r="12713" spans="1:2">
      <c r="A12713" s="66">
        <v>46072.18445163194</v>
      </c>
      <c r="B12713" s="49" t="s">
        <v>10546</v>
      </c>
    </row>
    <row r="12714" spans="1:2">
      <c r="A12714" s="66">
        <v>46072.184454525464</v>
      </c>
      <c r="B12714" s="49" t="s">
        <v>10466</v>
      </c>
    </row>
    <row r="12715" spans="1:2">
      <c r="A12715" s="66">
        <v>46072.184456921299</v>
      </c>
      <c r="B12715" s="49" t="s">
        <v>10561</v>
      </c>
    </row>
    <row r="12716" spans="1:2">
      <c r="A12716" s="66">
        <v>46072.184459479162</v>
      </c>
      <c r="B12716" s="49" t="s">
        <v>10562</v>
      </c>
    </row>
    <row r="12717" spans="1:2">
      <c r="A12717" s="66">
        <v>46072.184461770834</v>
      </c>
      <c r="B12717" s="49" t="s">
        <v>10563</v>
      </c>
    </row>
    <row r="12718" spans="1:2">
      <c r="A12718" s="66">
        <v>46072.184485150465</v>
      </c>
      <c r="B12718" s="49" t="s">
        <v>10564</v>
      </c>
    </row>
    <row r="12719" spans="1:2">
      <c r="A12719" s="66">
        <v>46072.184488067127</v>
      </c>
      <c r="B12719" s="49" t="s">
        <v>10542</v>
      </c>
    </row>
    <row r="12720" spans="1:2">
      <c r="A12720" s="66">
        <v>46072.184490752319</v>
      </c>
      <c r="B12720" s="49" t="s">
        <v>10543</v>
      </c>
    </row>
    <row r="12721" spans="1:2">
      <c r="A12721" s="66">
        <v>46072.184493506946</v>
      </c>
      <c r="B12721" s="49" t="s">
        <v>9394</v>
      </c>
    </row>
    <row r="12722" spans="1:2">
      <c r="A12722" s="66">
        <v>46072.185638229166</v>
      </c>
      <c r="B12722" s="49" t="s">
        <v>10556</v>
      </c>
    </row>
    <row r="12723" spans="1:2">
      <c r="A12723" s="66">
        <v>46072.18564048611</v>
      </c>
      <c r="B12723" s="49" t="s">
        <v>10557</v>
      </c>
    </row>
    <row r="12724" spans="1:2">
      <c r="A12724" s="66">
        <v>46072.185647337959</v>
      </c>
      <c r="B12724" s="49" t="s">
        <v>10546</v>
      </c>
    </row>
    <row r="12725" spans="1:2">
      <c r="A12725" s="66">
        <v>46072.185649502309</v>
      </c>
      <c r="B12725" s="49" t="s">
        <v>10466</v>
      </c>
    </row>
    <row r="12726" spans="1:2">
      <c r="A12726" s="66">
        <v>46072.185656087968</v>
      </c>
      <c r="B12726" s="49" t="s">
        <v>10561</v>
      </c>
    </row>
    <row r="12727" spans="1:2">
      <c r="A12727" s="66">
        <v>46072.185657928239</v>
      </c>
      <c r="B12727" s="49" t="s">
        <v>10562</v>
      </c>
    </row>
    <row r="12728" spans="1:2">
      <c r="A12728" s="66">
        <v>46072.185660150462</v>
      </c>
      <c r="B12728" s="49" t="s">
        <v>10563</v>
      </c>
    </row>
    <row r="12729" spans="1:2">
      <c r="A12729" s="66">
        <v>46072.185685787037</v>
      </c>
      <c r="B12729" s="49" t="s">
        <v>10564</v>
      </c>
    </row>
    <row r="12730" spans="1:2">
      <c r="A12730" s="66">
        <v>46072.185687951387</v>
      </c>
      <c r="B12730" s="49" t="s">
        <v>10542</v>
      </c>
    </row>
    <row r="12731" spans="1:2">
      <c r="A12731" s="66">
        <v>46072.185690115744</v>
      </c>
      <c r="B12731" s="49" t="s">
        <v>10543</v>
      </c>
    </row>
    <row r="12732" spans="1:2">
      <c r="A12732" s="66">
        <v>46072.185692129628</v>
      </c>
      <c r="B12732" s="49" t="s">
        <v>9394</v>
      </c>
    </row>
    <row r="12733" spans="1:2">
      <c r="A12733" s="66">
        <v>46072.187014189811</v>
      </c>
      <c r="B12733" s="49" t="s">
        <v>10556</v>
      </c>
    </row>
    <row r="12734" spans="1:2">
      <c r="A12734" s="66">
        <v>46072.18701627315</v>
      </c>
      <c r="B12734" s="49" t="s">
        <v>10557</v>
      </c>
    </row>
    <row r="12735" spans="1:2">
      <c r="A12735" s="66">
        <v>46072.187018495373</v>
      </c>
      <c r="B12735" s="49" t="s">
        <v>10546</v>
      </c>
    </row>
    <row r="12736" spans="1:2">
      <c r="A12736" s="66">
        <v>46072.187027627311</v>
      </c>
      <c r="B12736" s="49" t="s">
        <v>10466</v>
      </c>
    </row>
    <row r="12737" spans="1:2">
      <c r="A12737" s="66">
        <v>46072.187029687499</v>
      </c>
      <c r="B12737" s="49" t="s">
        <v>10561</v>
      </c>
    </row>
    <row r="12738" spans="1:2">
      <c r="A12738" s="66">
        <v>46072.18703155093</v>
      </c>
      <c r="B12738" s="49" t="s">
        <v>10562</v>
      </c>
    </row>
    <row r="12739" spans="1:2">
      <c r="A12739" s="66">
        <v>46072.187038460645</v>
      </c>
      <c r="B12739" s="49" t="s">
        <v>10563</v>
      </c>
    </row>
    <row r="12740" spans="1:2">
      <c r="A12740" s="66">
        <v>46072.18705508102</v>
      </c>
      <c r="B12740" s="49" t="s">
        <v>10564</v>
      </c>
    </row>
    <row r="12741" spans="1:2">
      <c r="A12741" s="66">
        <v>46072.187056932875</v>
      </c>
      <c r="B12741" s="49" t="s">
        <v>10542</v>
      </c>
    </row>
    <row r="12742" spans="1:2">
      <c r="A12742" s="66">
        <v>46072.187064016209</v>
      </c>
      <c r="B12742" s="49" t="s">
        <v>10543</v>
      </c>
    </row>
    <row r="12743" spans="1:2">
      <c r="A12743" s="66">
        <v>46072.187065983795</v>
      </c>
      <c r="B12743" s="49" t="s">
        <v>9394</v>
      </c>
    </row>
    <row r="12744" spans="1:2">
      <c r="A12744" s="66">
        <v>46072.188209618056</v>
      </c>
      <c r="B12744" s="49" t="s">
        <v>10556</v>
      </c>
    </row>
    <row r="12745" spans="1:2">
      <c r="A12745" s="66">
        <v>46072.18821226852</v>
      </c>
      <c r="B12745" s="49" t="s">
        <v>10557</v>
      </c>
    </row>
    <row r="12746" spans="1:2">
      <c r="A12746" s="66">
        <v>46072.188214421301</v>
      </c>
      <c r="B12746" s="49" t="s">
        <v>10546</v>
      </c>
    </row>
    <row r="12747" spans="1:2">
      <c r="A12747" s="66">
        <v>46072.188217523144</v>
      </c>
      <c r="B12747" s="49" t="s">
        <v>10466</v>
      </c>
    </row>
    <row r="12748" spans="1:2">
      <c r="A12748" s="66">
        <v>46072.188219756943</v>
      </c>
      <c r="B12748" s="49" t="s">
        <v>10561</v>
      </c>
    </row>
    <row r="12749" spans="1:2">
      <c r="A12749" s="66">
        <v>46072.18822236111</v>
      </c>
      <c r="B12749" s="49" t="s">
        <v>10562</v>
      </c>
    </row>
    <row r="12750" spans="1:2">
      <c r="A12750" s="66">
        <v>46072.188224594909</v>
      </c>
      <c r="B12750" s="49" t="s">
        <v>10563</v>
      </c>
    </row>
    <row r="12751" spans="1:2">
      <c r="A12751" s="66">
        <v>46072.188241666663</v>
      </c>
      <c r="B12751" s="49" t="s">
        <v>10564</v>
      </c>
    </row>
    <row r="12752" spans="1:2">
      <c r="A12752" s="66">
        <v>46072.188243854165</v>
      </c>
      <c r="B12752" s="49" t="s">
        <v>10542</v>
      </c>
    </row>
    <row r="12753" spans="1:2">
      <c r="A12753" s="66">
        <v>46072.188245949073</v>
      </c>
      <c r="B12753" s="49" t="s">
        <v>10543</v>
      </c>
    </row>
    <row r="12754" spans="1:2">
      <c r="A12754" s="66">
        <v>46072.188248009261</v>
      </c>
      <c r="B12754" s="49" t="s">
        <v>9394</v>
      </c>
    </row>
    <row r="12755" spans="1:2">
      <c r="A12755" s="66">
        <v>46072.189052893518</v>
      </c>
      <c r="B12755" s="49" t="s">
        <v>10556</v>
      </c>
    </row>
    <row r="12756" spans="1:2">
      <c r="A12756" s="66">
        <v>46072.189055636569</v>
      </c>
      <c r="B12756" s="49" t="s">
        <v>10557</v>
      </c>
    </row>
    <row r="12757" spans="1:2">
      <c r="A12757" s="66">
        <v>46072.189058611111</v>
      </c>
      <c r="B12757" s="49" t="s">
        <v>10546</v>
      </c>
    </row>
    <row r="12758" spans="1:2">
      <c r="A12758" s="66">
        <v>46072.189061111116</v>
      </c>
      <c r="B12758" s="49" t="s">
        <v>10466</v>
      </c>
    </row>
    <row r="12759" spans="1:2">
      <c r="A12759" s="66">
        <v>46072.18906365741</v>
      </c>
      <c r="B12759" s="49" t="s">
        <v>10561</v>
      </c>
    </row>
    <row r="12760" spans="1:2">
      <c r="A12760" s="66">
        <v>46072.189067627318</v>
      </c>
      <c r="B12760" s="49" t="s">
        <v>10562</v>
      </c>
    </row>
    <row r="12761" spans="1:2">
      <c r="A12761" s="66">
        <v>46072.189070300927</v>
      </c>
      <c r="B12761" s="49" t="s">
        <v>10563</v>
      </c>
    </row>
    <row r="12762" spans="1:2">
      <c r="A12762" s="66">
        <v>46072.18908974537</v>
      </c>
      <c r="B12762" s="49" t="s">
        <v>10564</v>
      </c>
    </row>
    <row r="12763" spans="1:2">
      <c r="A12763" s="66">
        <v>46072.189095462963</v>
      </c>
      <c r="B12763" s="49" t="s">
        <v>10542</v>
      </c>
    </row>
    <row r="12764" spans="1:2">
      <c r="A12764" s="66">
        <v>46072.189099537034</v>
      </c>
      <c r="B12764" s="49" t="s">
        <v>10543</v>
      </c>
    </row>
    <row r="12765" spans="1:2">
      <c r="A12765" s="66">
        <v>46072.189102187505</v>
      </c>
      <c r="B12765" s="49" t="s">
        <v>9394</v>
      </c>
    </row>
    <row r="12766" spans="1:2">
      <c r="A12766" s="66">
        <v>46072.190002268515</v>
      </c>
      <c r="B12766" s="49" t="s">
        <v>10556</v>
      </c>
    </row>
    <row r="12767" spans="1:2">
      <c r="A12767" s="66">
        <v>46072.190004988428</v>
      </c>
      <c r="B12767" s="49" t="s">
        <v>10557</v>
      </c>
    </row>
    <row r="12768" spans="1:2">
      <c r="A12768" s="66">
        <v>46072.19000855324</v>
      </c>
      <c r="B12768" s="49" t="s">
        <v>10546</v>
      </c>
    </row>
    <row r="12769" spans="1:2">
      <c r="A12769" s="66">
        <v>46072.190010775463</v>
      </c>
      <c r="B12769" s="49" t="s">
        <v>10466</v>
      </c>
    </row>
    <row r="12770" spans="1:2">
      <c r="A12770" s="66">
        <v>46072.190012777777</v>
      </c>
      <c r="B12770" s="49" t="s">
        <v>10561</v>
      </c>
    </row>
    <row r="12771" spans="1:2">
      <c r="A12771" s="66">
        <v>46072.190014733795</v>
      </c>
      <c r="B12771" s="49" t="s">
        <v>10562</v>
      </c>
    </row>
    <row r="12772" spans="1:2">
      <c r="A12772" s="66">
        <v>46072.190016805558</v>
      </c>
      <c r="B12772" s="49" t="s">
        <v>10563</v>
      </c>
    </row>
    <row r="12773" spans="1:2">
      <c r="A12773" s="66">
        <v>46072.190124456014</v>
      </c>
      <c r="B12773" s="49" t="s">
        <v>10564</v>
      </c>
    </row>
    <row r="12774" spans="1:2">
      <c r="A12774" s="66">
        <v>46072.190126979171</v>
      </c>
      <c r="B12774" s="49" t="s">
        <v>10542</v>
      </c>
    </row>
    <row r="12775" spans="1:2">
      <c r="A12775" s="66">
        <v>46072.190133761571</v>
      </c>
      <c r="B12775" s="49" t="s">
        <v>10543</v>
      </c>
    </row>
    <row r="12776" spans="1:2">
      <c r="A12776" s="66">
        <v>46072.190136354169</v>
      </c>
      <c r="B12776" s="49" t="s">
        <v>9394</v>
      </c>
    </row>
    <row r="12777" spans="1:2">
      <c r="A12777" s="66">
        <v>46072.191377013893</v>
      </c>
      <c r="B12777" s="49" t="s">
        <v>10556</v>
      </c>
    </row>
    <row r="12778" spans="1:2">
      <c r="A12778" s="66">
        <v>46072.191379155091</v>
      </c>
      <c r="B12778" s="49" t="s">
        <v>10557</v>
      </c>
    </row>
    <row r="12779" spans="1:2">
      <c r="A12779" s="66">
        <v>46072.191381157405</v>
      </c>
      <c r="B12779" s="49" t="s">
        <v>10546</v>
      </c>
    </row>
    <row r="12780" spans="1:2">
      <c r="A12780" s="66">
        <v>46072.191383368059</v>
      </c>
      <c r="B12780" s="49" t="s">
        <v>10466</v>
      </c>
    </row>
    <row r="12781" spans="1:2">
      <c r="A12781" s="66">
        <v>46072.191385381942</v>
      </c>
      <c r="B12781" s="49" t="s">
        <v>10561</v>
      </c>
    </row>
    <row r="12782" spans="1:2">
      <c r="A12782" s="66">
        <v>46072.19138744213</v>
      </c>
      <c r="B12782" s="49" t="s">
        <v>10562</v>
      </c>
    </row>
    <row r="12783" spans="1:2">
      <c r="A12783" s="66">
        <v>46072.191389467596</v>
      </c>
      <c r="B12783" s="49" t="s">
        <v>10563</v>
      </c>
    </row>
    <row r="12784" spans="1:2">
      <c r="A12784" s="66">
        <v>46072.191404976853</v>
      </c>
      <c r="B12784" s="49" t="s">
        <v>10564</v>
      </c>
    </row>
    <row r="12785" spans="1:2">
      <c r="A12785" s="66">
        <v>46072.19140708333</v>
      </c>
      <c r="B12785" s="49" t="s">
        <v>10542</v>
      </c>
    </row>
    <row r="12786" spans="1:2">
      <c r="A12786" s="66">
        <v>46072.191408981482</v>
      </c>
      <c r="B12786" s="49" t="s">
        <v>10543</v>
      </c>
    </row>
    <row r="12787" spans="1:2">
      <c r="A12787" s="66">
        <v>46072.191410694446</v>
      </c>
      <c r="B12787" s="49" t="s">
        <v>9394</v>
      </c>
    </row>
    <row r="12788" spans="1:2">
      <c r="A12788" s="66">
        <v>46072.192312743056</v>
      </c>
      <c r="B12788" s="49" t="s">
        <v>10556</v>
      </c>
    </row>
    <row r="12789" spans="1:2">
      <c r="A12789" s="66">
        <v>46072.192315196764</v>
      </c>
      <c r="B12789" s="49" t="s">
        <v>10557</v>
      </c>
    </row>
    <row r="12790" spans="1:2">
      <c r="A12790" s="66">
        <v>46072.192317453708</v>
      </c>
      <c r="B12790" s="49" t="s">
        <v>10546</v>
      </c>
    </row>
    <row r="12791" spans="1:2">
      <c r="A12791" s="66">
        <v>46072.192319814814</v>
      </c>
      <c r="B12791" s="49" t="s">
        <v>10466</v>
      </c>
    </row>
    <row r="12792" spans="1:2">
      <c r="A12792" s="66">
        <v>46072.19232209491</v>
      </c>
      <c r="B12792" s="49" t="s">
        <v>10561</v>
      </c>
    </row>
    <row r="12793" spans="1:2">
      <c r="A12793" s="66">
        <v>46072.192325069445</v>
      </c>
      <c r="B12793" s="49" t="s">
        <v>10562</v>
      </c>
    </row>
    <row r="12794" spans="1:2">
      <c r="A12794" s="66">
        <v>46072.19232736111</v>
      </c>
      <c r="B12794" s="49" t="s">
        <v>10563</v>
      </c>
    </row>
    <row r="12795" spans="1:2">
      <c r="A12795" s="66">
        <v>46072.192343703704</v>
      </c>
      <c r="B12795" s="49" t="s">
        <v>10564</v>
      </c>
    </row>
    <row r="12796" spans="1:2">
      <c r="A12796" s="66">
        <v>46072.192355949075</v>
      </c>
      <c r="B12796" s="49" t="s">
        <v>10542</v>
      </c>
    </row>
    <row r="12797" spans="1:2">
      <c r="A12797" s="66">
        <v>46072.192361944442</v>
      </c>
      <c r="B12797" s="49" t="s">
        <v>10543</v>
      </c>
    </row>
    <row r="12798" spans="1:2">
      <c r="A12798" s="66">
        <v>46072.192364999995</v>
      </c>
      <c r="B12798" s="49" t="s">
        <v>9394</v>
      </c>
    </row>
    <row r="12799" spans="1:2">
      <c r="A12799" s="66">
        <v>46072.193147893515</v>
      </c>
      <c r="B12799" s="49" t="s">
        <v>10556</v>
      </c>
    </row>
    <row r="12800" spans="1:2">
      <c r="A12800" s="66">
        <v>46072.193150173611</v>
      </c>
      <c r="B12800" s="49" t="s">
        <v>10557</v>
      </c>
    </row>
    <row r="12801" spans="1:2">
      <c r="A12801" s="66">
        <v>46072.193151956017</v>
      </c>
      <c r="B12801" s="49" t="s">
        <v>10546</v>
      </c>
    </row>
    <row r="12802" spans="1:2">
      <c r="A12802" s="66">
        <v>46072.193154143519</v>
      </c>
      <c r="B12802" s="49" t="s">
        <v>10466</v>
      </c>
    </row>
    <row r="12803" spans="1:2">
      <c r="A12803" s="66">
        <v>46072.1931562963</v>
      </c>
      <c r="B12803" s="49" t="s">
        <v>10561</v>
      </c>
    </row>
    <row r="12804" spans="1:2">
      <c r="A12804" s="66">
        <v>46072.193158773152</v>
      </c>
      <c r="B12804" s="49" t="s">
        <v>10562</v>
      </c>
    </row>
    <row r="12805" spans="1:2">
      <c r="A12805" s="66">
        <v>46072.193161134259</v>
      </c>
      <c r="B12805" s="49" t="s">
        <v>10563</v>
      </c>
    </row>
    <row r="12806" spans="1:2">
      <c r="A12806" s="66">
        <v>46072.193183483796</v>
      </c>
      <c r="B12806" s="49" t="s">
        <v>10564</v>
      </c>
    </row>
    <row r="12807" spans="1:2">
      <c r="A12807" s="66">
        <v>46072.19318642361</v>
      </c>
      <c r="B12807" s="49" t="s">
        <v>10542</v>
      </c>
    </row>
    <row r="12808" spans="1:2">
      <c r="A12808" s="66">
        <v>46072.193188645833</v>
      </c>
      <c r="B12808" s="49" t="s">
        <v>10543</v>
      </c>
    </row>
    <row r="12809" spans="1:2">
      <c r="A12809" s="66">
        <v>46072.193190532409</v>
      </c>
      <c r="B12809" s="49" t="s">
        <v>9394</v>
      </c>
    </row>
    <row r="12810" spans="1:2">
      <c r="A12810" s="66">
        <v>46072.194554259258</v>
      </c>
      <c r="B12810" s="49" t="s">
        <v>10556</v>
      </c>
    </row>
    <row r="12811" spans="1:2">
      <c r="A12811" s="66">
        <v>46072.194557129631</v>
      </c>
      <c r="B12811" s="49" t="s">
        <v>10557</v>
      </c>
    </row>
    <row r="12812" spans="1:2">
      <c r="A12812" s="66">
        <v>46072.194560104166</v>
      </c>
      <c r="B12812" s="49" t="s">
        <v>10546</v>
      </c>
    </row>
    <row r="12813" spans="1:2">
      <c r="A12813" s="66">
        <v>46072.194562766206</v>
      </c>
      <c r="B12813" s="49" t="s">
        <v>10466</v>
      </c>
    </row>
    <row r="12814" spans="1:2">
      <c r="A12814" s="66">
        <v>46072.194567083337</v>
      </c>
      <c r="B12814" s="49" t="s">
        <v>10561</v>
      </c>
    </row>
    <row r="12815" spans="1:2">
      <c r="A12815" s="66">
        <v>46072.194569791667</v>
      </c>
      <c r="B12815" s="49" t="s">
        <v>10562</v>
      </c>
    </row>
    <row r="12816" spans="1:2">
      <c r="A12816" s="66">
        <v>46072.194572986111</v>
      </c>
      <c r="B12816" s="49" t="s">
        <v>10563</v>
      </c>
    </row>
    <row r="12817" spans="1:2">
      <c r="A12817" s="66">
        <v>46072.194592384258</v>
      </c>
      <c r="B12817" s="49" t="s">
        <v>10564</v>
      </c>
    </row>
    <row r="12818" spans="1:2">
      <c r="A12818" s="66">
        <v>46072.194594953704</v>
      </c>
      <c r="B12818" s="49" t="s">
        <v>10542</v>
      </c>
    </row>
    <row r="12819" spans="1:2">
      <c r="A12819" s="66">
        <v>46072.194598888891</v>
      </c>
      <c r="B12819" s="49" t="s">
        <v>10543</v>
      </c>
    </row>
    <row r="12820" spans="1:2">
      <c r="A12820" s="66">
        <v>46072.194601620373</v>
      </c>
      <c r="B12820" s="49" t="s">
        <v>9394</v>
      </c>
    </row>
    <row r="12821" spans="1:2">
      <c r="A12821" s="66">
        <v>46072.195431759261</v>
      </c>
      <c r="B12821" s="49" t="s">
        <v>10556</v>
      </c>
    </row>
    <row r="12822" spans="1:2">
      <c r="A12822" s="66">
        <v>46072.195433969908</v>
      </c>
      <c r="B12822" s="49" t="s">
        <v>10557</v>
      </c>
    </row>
    <row r="12823" spans="1:2">
      <c r="A12823" s="66">
        <v>46072.195435659727</v>
      </c>
      <c r="B12823" s="49" t="s">
        <v>10546</v>
      </c>
    </row>
    <row r="12824" spans="1:2">
      <c r="A12824" s="66">
        <v>46072.195437708331</v>
      </c>
      <c r="B12824" s="49" t="s">
        <v>10466</v>
      </c>
    </row>
    <row r="12825" spans="1:2">
      <c r="A12825" s="66">
        <v>46072.195439918985</v>
      </c>
      <c r="B12825" s="49" t="s">
        <v>10561</v>
      </c>
    </row>
    <row r="12826" spans="1:2">
      <c r="A12826" s="66">
        <v>46072.195441620366</v>
      </c>
      <c r="B12826" s="49" t="s">
        <v>10562</v>
      </c>
    </row>
    <row r="12827" spans="1:2">
      <c r="A12827" s="66">
        <v>46072.195443275465</v>
      </c>
      <c r="B12827" s="49" t="s">
        <v>10563</v>
      </c>
    </row>
    <row r="12828" spans="1:2">
      <c r="A12828" s="66">
        <v>46072.195459918978</v>
      </c>
      <c r="B12828" s="49" t="s">
        <v>10564</v>
      </c>
    </row>
    <row r="12829" spans="1:2">
      <c r="A12829" s="66">
        <v>46072.195462326388</v>
      </c>
      <c r="B12829" s="49" t="s">
        <v>10542</v>
      </c>
    </row>
    <row r="12830" spans="1:2">
      <c r="A12830" s="66">
        <v>46072.195464212964</v>
      </c>
      <c r="B12830" s="49" t="s">
        <v>10543</v>
      </c>
    </row>
    <row r="12831" spans="1:2">
      <c r="A12831" s="66">
        <v>46072.195466145829</v>
      </c>
      <c r="B12831" s="49" t="s">
        <v>9394</v>
      </c>
    </row>
    <row r="12832" spans="1:2">
      <c r="A12832" s="66">
        <v>46072.196543541664</v>
      </c>
      <c r="B12832" s="49" t="s">
        <v>10556</v>
      </c>
    </row>
    <row r="12833" spans="1:2">
      <c r="A12833" s="66">
        <v>46072.196546562496</v>
      </c>
      <c r="B12833" s="49" t="s">
        <v>10557</v>
      </c>
    </row>
    <row r="12834" spans="1:2">
      <c r="A12834" s="66">
        <v>46072.196548784719</v>
      </c>
      <c r="B12834" s="49" t="s">
        <v>10546</v>
      </c>
    </row>
    <row r="12835" spans="1:2">
      <c r="A12835" s="66">
        <v>46072.196551145833</v>
      </c>
      <c r="B12835" s="49" t="s">
        <v>10466</v>
      </c>
    </row>
    <row r="12836" spans="1:2">
      <c r="A12836" s="66">
        <v>46072.196554270835</v>
      </c>
      <c r="B12836" s="49" t="s">
        <v>10561</v>
      </c>
    </row>
    <row r="12837" spans="1:2">
      <c r="A12837" s="66">
        <v>46072.196557187504</v>
      </c>
      <c r="B12837" s="49" t="s">
        <v>10562</v>
      </c>
    </row>
    <row r="12838" spans="1:2">
      <c r="A12838" s="66">
        <v>46072.196559675926</v>
      </c>
      <c r="B12838" s="49" t="s">
        <v>10563</v>
      </c>
    </row>
    <row r="12839" spans="1:2">
      <c r="A12839" s="66">
        <v>46072.196578842588</v>
      </c>
      <c r="B12839" s="49" t="s">
        <v>10564</v>
      </c>
    </row>
    <row r="12840" spans="1:2">
      <c r="A12840" s="66">
        <v>46072.19658256945</v>
      </c>
      <c r="B12840" s="49" t="s">
        <v>10542</v>
      </c>
    </row>
    <row r="12841" spans="1:2">
      <c r="A12841" s="66">
        <v>46072.196585196754</v>
      </c>
      <c r="B12841" s="49" t="s">
        <v>10543</v>
      </c>
    </row>
    <row r="12842" spans="1:2">
      <c r="A12842" s="66">
        <v>46072.196593101849</v>
      </c>
      <c r="B12842" s="49" t="s">
        <v>9394</v>
      </c>
    </row>
    <row r="12843" spans="1:2">
      <c r="A12843" s="66">
        <v>46072.197734062502</v>
      </c>
      <c r="B12843" s="49" t="s">
        <v>10556</v>
      </c>
    </row>
    <row r="12844" spans="1:2">
      <c r="A12844" s="66">
        <v>46072.19773670139</v>
      </c>
      <c r="B12844" s="49" t="s">
        <v>10557</v>
      </c>
    </row>
    <row r="12845" spans="1:2">
      <c r="A12845" s="66">
        <v>46072.19773980324</v>
      </c>
      <c r="B12845" s="49" t="s">
        <v>10546</v>
      </c>
    </row>
    <row r="12846" spans="1:2">
      <c r="A12846" s="66">
        <v>46072.197749907413</v>
      </c>
      <c r="B12846" s="49" t="s">
        <v>10466</v>
      </c>
    </row>
    <row r="12847" spans="1:2">
      <c r="A12847" s="66">
        <v>46072.19775280093</v>
      </c>
      <c r="B12847" s="49" t="s">
        <v>10561</v>
      </c>
    </row>
    <row r="12848" spans="1:2">
      <c r="A12848" s="66">
        <v>46072.19775521991</v>
      </c>
      <c r="B12848" s="49" t="s">
        <v>10562</v>
      </c>
    </row>
    <row r="12849" spans="1:2">
      <c r="A12849" s="66">
        <v>46072.197763321761</v>
      </c>
      <c r="B12849" s="49" t="s">
        <v>10563</v>
      </c>
    </row>
    <row r="12850" spans="1:2">
      <c r="A12850" s="66">
        <v>46072.197783449075</v>
      </c>
      <c r="B12850" s="49" t="s">
        <v>10564</v>
      </c>
    </row>
    <row r="12851" spans="1:2">
      <c r="A12851" s="66">
        <v>46072.197786145829</v>
      </c>
      <c r="B12851" s="49" t="s">
        <v>10542</v>
      </c>
    </row>
    <row r="12852" spans="1:2">
      <c r="A12852" s="66">
        <v>46072.197788472222</v>
      </c>
      <c r="B12852" s="49" t="s">
        <v>10543</v>
      </c>
    </row>
    <row r="12853" spans="1:2">
      <c r="A12853" s="66">
        <v>46072.19779229167</v>
      </c>
      <c r="B12853" s="49" t="s">
        <v>9394</v>
      </c>
    </row>
    <row r="12854" spans="1:2">
      <c r="A12854" s="66">
        <v>46072.198576944444</v>
      </c>
      <c r="B12854" s="49" t="s">
        <v>10556</v>
      </c>
    </row>
    <row r="12855" spans="1:2">
      <c r="A12855" s="66">
        <v>46072.198579374999</v>
      </c>
      <c r="B12855" s="49" t="s">
        <v>10557</v>
      </c>
    </row>
    <row r="12856" spans="1:2">
      <c r="A12856" s="66">
        <v>46072.198581226854</v>
      </c>
      <c r="B12856" s="49" t="s">
        <v>10546</v>
      </c>
    </row>
    <row r="12857" spans="1:2">
      <c r="A12857" s="66">
        <v>46072.19858329861</v>
      </c>
      <c r="B12857" s="49" t="s">
        <v>10466</v>
      </c>
    </row>
    <row r="12858" spans="1:2">
      <c r="A12858" s="66">
        <v>46072.19858538195</v>
      </c>
      <c r="B12858" s="49" t="s">
        <v>10561</v>
      </c>
    </row>
    <row r="12859" spans="1:2">
      <c r="A12859" s="66">
        <v>46072.198587499995</v>
      </c>
      <c r="B12859" s="49" t="s">
        <v>10562</v>
      </c>
    </row>
    <row r="12860" spans="1:2">
      <c r="A12860" s="66">
        <v>46072.198589363426</v>
      </c>
      <c r="B12860" s="49" t="s">
        <v>10563</v>
      </c>
    </row>
    <row r="12861" spans="1:2">
      <c r="A12861" s="66">
        <v>46072.198603854165</v>
      </c>
      <c r="B12861" s="49" t="s">
        <v>10564</v>
      </c>
    </row>
    <row r="12862" spans="1:2">
      <c r="A12862" s="66">
        <v>46072.198605972226</v>
      </c>
      <c r="B12862" s="49" t="s">
        <v>10542</v>
      </c>
    </row>
    <row r="12863" spans="1:2">
      <c r="A12863" s="66">
        <v>46072.198608055551</v>
      </c>
      <c r="B12863" s="49" t="s">
        <v>10543</v>
      </c>
    </row>
    <row r="12864" spans="1:2">
      <c r="A12864" s="66">
        <v>46072.198610081017</v>
      </c>
      <c r="B12864" s="49" t="s">
        <v>9394</v>
      </c>
    </row>
    <row r="12865" spans="1:2">
      <c r="A12865" s="66">
        <v>46072.199462615739</v>
      </c>
      <c r="B12865" s="49" t="s">
        <v>10556</v>
      </c>
    </row>
    <row r="12866" spans="1:2">
      <c r="A12866" s="66">
        <v>46072.199474606481</v>
      </c>
      <c r="B12866" s="49" t="s">
        <v>10557</v>
      </c>
    </row>
    <row r="12867" spans="1:2">
      <c r="A12867" s="66">
        <v>46072.199476469905</v>
      </c>
      <c r="B12867" s="49" t="s">
        <v>10546</v>
      </c>
    </row>
    <row r="12868" spans="1:2">
      <c r="A12868" s="66">
        <v>46072.199478402777</v>
      </c>
      <c r="B12868" s="49" t="s">
        <v>10466</v>
      </c>
    </row>
    <row r="12869" spans="1:2">
      <c r="A12869" s="66">
        <v>46072.199480254625</v>
      </c>
      <c r="B12869" s="49" t="s">
        <v>10561</v>
      </c>
    </row>
    <row r="12870" spans="1:2">
      <c r="A12870" s="66">
        <v>46072.199482222219</v>
      </c>
      <c r="B12870" s="49" t="s">
        <v>10562</v>
      </c>
    </row>
    <row r="12871" spans="1:2">
      <c r="A12871" s="66">
        <v>46072.199484375</v>
      </c>
      <c r="B12871" s="49" t="s">
        <v>10563</v>
      </c>
    </row>
    <row r="12872" spans="1:2">
      <c r="A12872" s="66">
        <v>46072.19950127315</v>
      </c>
      <c r="B12872" s="49" t="s">
        <v>10564</v>
      </c>
    </row>
    <row r="12873" spans="1:2">
      <c r="A12873" s="66">
        <v>46072.199512754625</v>
      </c>
      <c r="B12873" s="49" t="s">
        <v>10542</v>
      </c>
    </row>
    <row r="12874" spans="1:2">
      <c r="A12874" s="66">
        <v>46072.19951471065</v>
      </c>
      <c r="B12874" s="49" t="s">
        <v>10543</v>
      </c>
    </row>
    <row r="12875" spans="1:2">
      <c r="A12875" s="66">
        <v>46072.199516678244</v>
      </c>
      <c r="B12875" s="49" t="s">
        <v>9394</v>
      </c>
    </row>
    <row r="12876" spans="1:2">
      <c r="A12876" s="66">
        <v>46072.200731412042</v>
      </c>
      <c r="B12876" s="49" t="s">
        <v>10556</v>
      </c>
    </row>
    <row r="12877" spans="1:2">
      <c r="A12877" s="66">
        <v>46072.200734710648</v>
      </c>
      <c r="B12877" s="49" t="s">
        <v>10557</v>
      </c>
    </row>
    <row r="12878" spans="1:2">
      <c r="A12878" s="66">
        <v>46072.200738020838</v>
      </c>
      <c r="B12878" s="49" t="s">
        <v>10546</v>
      </c>
    </row>
    <row r="12879" spans="1:2">
      <c r="A12879" s="66">
        <v>46072.200740925924</v>
      </c>
      <c r="B12879" s="49" t="s">
        <v>10466</v>
      </c>
    </row>
    <row r="12880" spans="1:2">
      <c r="A12880" s="66">
        <v>46072.200743900466</v>
      </c>
      <c r="B12880" s="49" t="s">
        <v>10561</v>
      </c>
    </row>
    <row r="12881" spans="1:2">
      <c r="A12881" s="66">
        <v>46072.200746840273</v>
      </c>
      <c r="B12881" s="49" t="s">
        <v>10562</v>
      </c>
    </row>
    <row r="12882" spans="1:2">
      <c r="A12882" s="66">
        <v>46072.200749988428</v>
      </c>
      <c r="B12882" s="49" t="s">
        <v>10563</v>
      </c>
    </row>
    <row r="12883" spans="1:2">
      <c r="A12883" s="66">
        <v>46072.200769201387</v>
      </c>
      <c r="B12883" s="49" t="s">
        <v>10564</v>
      </c>
    </row>
    <row r="12884" spans="1:2">
      <c r="A12884" s="66">
        <v>46072.200772337965</v>
      </c>
      <c r="B12884" s="49" t="s">
        <v>10542</v>
      </c>
    </row>
    <row r="12885" spans="1:2">
      <c r="A12885" s="66">
        <v>46072.200775405094</v>
      </c>
      <c r="B12885" s="49" t="s">
        <v>10543</v>
      </c>
    </row>
    <row r="12886" spans="1:2">
      <c r="A12886" s="66">
        <v>46072.200778460647</v>
      </c>
      <c r="B12886" s="49" t="s">
        <v>9394</v>
      </c>
    </row>
    <row r="12887" spans="1:2">
      <c r="A12887" s="66">
        <v>46072.202168275464</v>
      </c>
      <c r="B12887" s="49" t="s">
        <v>10556</v>
      </c>
    </row>
    <row r="12888" spans="1:2">
      <c r="A12888" s="66">
        <v>46072.202172685182</v>
      </c>
      <c r="B12888" s="49" t="s">
        <v>10557</v>
      </c>
    </row>
    <row r="12889" spans="1:2">
      <c r="A12889" s="66">
        <v>46072.20217478009</v>
      </c>
      <c r="B12889" s="49" t="s">
        <v>10546</v>
      </c>
    </row>
    <row r="12890" spans="1:2">
      <c r="A12890" s="66">
        <v>46072.202176724539</v>
      </c>
      <c r="B12890" s="49" t="s">
        <v>10466</v>
      </c>
    </row>
    <row r="12891" spans="1:2">
      <c r="A12891" s="66">
        <v>46072.202178576394</v>
      </c>
      <c r="B12891" s="49" t="s">
        <v>10561</v>
      </c>
    </row>
    <row r="12892" spans="1:2">
      <c r="A12892" s="66">
        <v>46072.202180312495</v>
      </c>
      <c r="B12892" s="49" t="s">
        <v>10562</v>
      </c>
    </row>
    <row r="12893" spans="1:2">
      <c r="A12893" s="66">
        <v>46072.202182256944</v>
      </c>
      <c r="B12893" s="49" t="s">
        <v>10563</v>
      </c>
    </row>
    <row r="12894" spans="1:2">
      <c r="A12894" s="66">
        <v>46072.202197534723</v>
      </c>
      <c r="B12894" s="49" t="s">
        <v>10564</v>
      </c>
    </row>
    <row r="12895" spans="1:2">
      <c r="A12895" s="66">
        <v>46072.202199780091</v>
      </c>
      <c r="B12895" s="49" t="s">
        <v>10542</v>
      </c>
    </row>
    <row r="12896" spans="1:2">
      <c r="A12896" s="66">
        <v>46072.202201365741</v>
      </c>
      <c r="B12896" s="49" t="s">
        <v>10543</v>
      </c>
    </row>
    <row r="12897" spans="1:2">
      <c r="A12897" s="66">
        <v>46072.202203321758</v>
      </c>
      <c r="B12897" s="49" t="s">
        <v>9394</v>
      </c>
    </row>
    <row r="12898" spans="1:2">
      <c r="A12898" s="66">
        <v>46072.203021238427</v>
      </c>
      <c r="B12898" s="49" t="s">
        <v>10556</v>
      </c>
    </row>
    <row r="12899" spans="1:2">
      <c r="A12899" s="66">
        <v>46072.203023796297</v>
      </c>
      <c r="B12899" s="49" t="s">
        <v>10557</v>
      </c>
    </row>
    <row r="12900" spans="1:2">
      <c r="A12900" s="66">
        <v>46072.203025949071</v>
      </c>
      <c r="B12900" s="49" t="s">
        <v>10546</v>
      </c>
    </row>
    <row r="12901" spans="1:2">
      <c r="A12901" s="66">
        <v>46072.203028344906</v>
      </c>
      <c r="B12901" s="49" t="s">
        <v>10466</v>
      </c>
    </row>
    <row r="12902" spans="1:2">
      <c r="A12902" s="66">
        <v>46072.203030879631</v>
      </c>
      <c r="B12902" s="49" t="s">
        <v>10561</v>
      </c>
    </row>
    <row r="12903" spans="1:2">
      <c r="A12903" s="66">
        <v>46072.203033055557</v>
      </c>
      <c r="B12903" s="49" t="s">
        <v>10562</v>
      </c>
    </row>
    <row r="12904" spans="1:2">
      <c r="A12904" s="66">
        <v>46072.203035555554</v>
      </c>
      <c r="B12904" s="49" t="s">
        <v>10563</v>
      </c>
    </row>
    <row r="12905" spans="1:2">
      <c r="A12905" s="66">
        <v>46072.203054062498</v>
      </c>
      <c r="B12905" s="49" t="s">
        <v>10564</v>
      </c>
    </row>
    <row r="12906" spans="1:2">
      <c r="A12906" s="66">
        <v>46072.203056539351</v>
      </c>
      <c r="B12906" s="49" t="s">
        <v>10542</v>
      </c>
    </row>
    <row r="12907" spans="1:2">
      <c r="A12907" s="66">
        <v>46072.203062465276</v>
      </c>
      <c r="B12907" s="49" t="s">
        <v>10543</v>
      </c>
    </row>
    <row r="12908" spans="1:2">
      <c r="A12908" s="66">
        <v>46072.203064652778</v>
      </c>
      <c r="B12908" s="49" t="s">
        <v>9394</v>
      </c>
    </row>
    <row r="12909" spans="1:2">
      <c r="A12909" s="66">
        <v>46072.203803796292</v>
      </c>
      <c r="B12909" s="49" t="s">
        <v>10556</v>
      </c>
    </row>
    <row r="12910" spans="1:2">
      <c r="A12910" s="66">
        <v>46072.203807118058</v>
      </c>
      <c r="B12910" s="49" t="s">
        <v>10557</v>
      </c>
    </row>
    <row r="12911" spans="1:2">
      <c r="A12911" s="66">
        <v>46072.203810046296</v>
      </c>
      <c r="B12911" s="49" t="s">
        <v>10546</v>
      </c>
    </row>
    <row r="12912" spans="1:2">
      <c r="A12912" s="66">
        <v>46072.203812835651</v>
      </c>
      <c r="B12912" s="49" t="s">
        <v>10466</v>
      </c>
    </row>
    <row r="12913" spans="1:2">
      <c r="A12913" s="66">
        <v>46072.20381579861</v>
      </c>
      <c r="B12913" s="49" t="s">
        <v>10561</v>
      </c>
    </row>
    <row r="12914" spans="1:2">
      <c r="A12914" s="66">
        <v>46072.203818923612</v>
      </c>
      <c r="B12914" s="49" t="s">
        <v>10562</v>
      </c>
    </row>
    <row r="12915" spans="1:2">
      <c r="A12915" s="66">
        <v>46072.20382200231</v>
      </c>
      <c r="B12915" s="49" t="s">
        <v>10563</v>
      </c>
    </row>
    <row r="12916" spans="1:2">
      <c r="A12916" s="66">
        <v>46072.203843460651</v>
      </c>
      <c r="B12916" s="49" t="s">
        <v>10564</v>
      </c>
    </row>
    <row r="12917" spans="1:2">
      <c r="A12917" s="66">
        <v>46072.203846539356</v>
      </c>
      <c r="B12917" s="49" t="s">
        <v>10542</v>
      </c>
    </row>
    <row r="12918" spans="1:2">
      <c r="A12918" s="66">
        <v>46072.203850949074</v>
      </c>
      <c r="B12918" s="49" t="s">
        <v>10543</v>
      </c>
    </row>
    <row r="12919" spans="1:2">
      <c r="A12919" s="66">
        <v>46072.203853842591</v>
      </c>
      <c r="B12919" s="49" t="s">
        <v>9394</v>
      </c>
    </row>
    <row r="12920" spans="1:2">
      <c r="A12920" s="66">
        <v>46072.204681261574</v>
      </c>
      <c r="B12920" s="49" t="s">
        <v>10556</v>
      </c>
    </row>
    <row r="12921" spans="1:2">
      <c r="A12921" s="66">
        <v>46072.204684594908</v>
      </c>
      <c r="B12921" s="49" t="s">
        <v>10557</v>
      </c>
    </row>
    <row r="12922" spans="1:2">
      <c r="A12922" s="66">
        <v>46072.204687812497</v>
      </c>
      <c r="B12922" s="49" t="s">
        <v>10546</v>
      </c>
    </row>
    <row r="12923" spans="1:2">
      <c r="A12923" s="66">
        <v>46072.204690868057</v>
      </c>
      <c r="B12923" s="49" t="s">
        <v>10466</v>
      </c>
    </row>
    <row r="12924" spans="1:2">
      <c r="A12924" s="66">
        <v>46072.204694016204</v>
      </c>
      <c r="B12924" s="49" t="s">
        <v>10561</v>
      </c>
    </row>
    <row r="12925" spans="1:2">
      <c r="A12925" s="66">
        <v>46072.204697083333</v>
      </c>
      <c r="B12925" s="49" t="s">
        <v>10562</v>
      </c>
    </row>
    <row r="12926" spans="1:2">
      <c r="A12926" s="66">
        <v>46072.204700219911</v>
      </c>
      <c r="B12926" s="49" t="s">
        <v>10563</v>
      </c>
    </row>
    <row r="12927" spans="1:2">
      <c r="A12927" s="66">
        <v>46072.204726145836</v>
      </c>
      <c r="B12927" s="49" t="s">
        <v>10564</v>
      </c>
    </row>
    <row r="12928" spans="1:2">
      <c r="A12928" s="66">
        <v>46072.204729201389</v>
      </c>
      <c r="B12928" s="49" t="s">
        <v>10542</v>
      </c>
    </row>
    <row r="12929" spans="1:2">
      <c r="A12929" s="66">
        <v>46072.204732465281</v>
      </c>
      <c r="B12929" s="49" t="s">
        <v>10543</v>
      </c>
    </row>
    <row r="12930" spans="1:2">
      <c r="A12930" s="66">
        <v>46072.204738703702</v>
      </c>
      <c r="B12930" s="49" t="s">
        <v>9394</v>
      </c>
    </row>
    <row r="12931" spans="1:2">
      <c r="A12931" s="66">
        <v>46072.205678113431</v>
      </c>
      <c r="B12931" s="49" t="s">
        <v>10556</v>
      </c>
    </row>
    <row r="12932" spans="1:2">
      <c r="A12932" s="66">
        <v>46072.2056834838</v>
      </c>
      <c r="B12932" s="49" t="s">
        <v>10557</v>
      </c>
    </row>
    <row r="12933" spans="1:2">
      <c r="A12933" s="66">
        <v>46072.205686990739</v>
      </c>
      <c r="B12933" s="49" t="s">
        <v>10546</v>
      </c>
    </row>
    <row r="12934" spans="1:2">
      <c r="A12934" s="66">
        <v>46072.205690300922</v>
      </c>
      <c r="B12934" s="49" t="s">
        <v>10466</v>
      </c>
    </row>
    <row r="12935" spans="1:2">
      <c r="A12935" s="66">
        <v>46072.205694687502</v>
      </c>
      <c r="B12935" s="49" t="s">
        <v>10561</v>
      </c>
    </row>
    <row r="12936" spans="1:2">
      <c r="A12936" s="66">
        <v>46072.205702280087</v>
      </c>
      <c r="B12936" s="49" t="s">
        <v>10562</v>
      </c>
    </row>
    <row r="12937" spans="1:2">
      <c r="A12937" s="66">
        <v>46072.205705381944</v>
      </c>
      <c r="B12937" s="49" t="s">
        <v>10563</v>
      </c>
    </row>
    <row r="12938" spans="1:2">
      <c r="A12938" s="66">
        <v>46072.205724479165</v>
      </c>
      <c r="B12938" s="49" t="s">
        <v>10564</v>
      </c>
    </row>
    <row r="12939" spans="1:2">
      <c r="A12939" s="66">
        <v>46072.205727592591</v>
      </c>
      <c r="B12939" s="49" t="s">
        <v>10542</v>
      </c>
    </row>
    <row r="12940" spans="1:2">
      <c r="A12940" s="66">
        <v>46072.205730682872</v>
      </c>
      <c r="B12940" s="49" t="s">
        <v>10543</v>
      </c>
    </row>
    <row r="12941" spans="1:2">
      <c r="A12941" s="66">
        <v>46072.205737858792</v>
      </c>
      <c r="B12941" s="49" t="s">
        <v>9394</v>
      </c>
    </row>
    <row r="12942" spans="1:2">
      <c r="A12942" s="66">
        <v>46072.206801793982</v>
      </c>
      <c r="B12942" s="49" t="s">
        <v>10556</v>
      </c>
    </row>
    <row r="12943" spans="1:2">
      <c r="A12943" s="66">
        <v>46072.206803749999</v>
      </c>
      <c r="B12943" s="49" t="s">
        <v>10557</v>
      </c>
    </row>
    <row r="12944" spans="1:2">
      <c r="A12944" s="66">
        <v>46072.206805752314</v>
      </c>
      <c r="B12944" s="49" t="s">
        <v>10546</v>
      </c>
    </row>
    <row r="12945" spans="1:2">
      <c r="A12945" s="66">
        <v>46072.206807708339</v>
      </c>
      <c r="B12945" s="49" t="s">
        <v>10466</v>
      </c>
    </row>
    <row r="12946" spans="1:2">
      <c r="A12946" s="66">
        <v>46072.206809606483</v>
      </c>
      <c r="B12946" s="49" t="s">
        <v>10561</v>
      </c>
    </row>
    <row r="12947" spans="1:2">
      <c r="A12947" s="66">
        <v>46072.206812893521</v>
      </c>
      <c r="B12947" s="49" t="s">
        <v>10562</v>
      </c>
    </row>
    <row r="12948" spans="1:2">
      <c r="A12948" s="66">
        <v>46072.206814583333</v>
      </c>
      <c r="B12948" s="49" t="s">
        <v>10563</v>
      </c>
    </row>
    <row r="12949" spans="1:2">
      <c r="A12949" s="66">
        <v>46072.206830682873</v>
      </c>
      <c r="B12949" s="49" t="s">
        <v>10564</v>
      </c>
    </row>
    <row r="12950" spans="1:2">
      <c r="A12950" s="66">
        <v>46072.206832951386</v>
      </c>
      <c r="B12950" s="49" t="s">
        <v>10542</v>
      </c>
    </row>
    <row r="12951" spans="1:2">
      <c r="A12951" s="66">
        <v>46072.206838645834</v>
      </c>
      <c r="B12951" s="49" t="s">
        <v>10543</v>
      </c>
    </row>
    <row r="12952" spans="1:2">
      <c r="A12952" s="66">
        <v>46072.206840555555</v>
      </c>
      <c r="B12952" s="49" t="s">
        <v>9394</v>
      </c>
    </row>
    <row r="12953" spans="1:2">
      <c r="A12953" s="66">
        <v>46072.207877662033</v>
      </c>
      <c r="B12953" s="49" t="s">
        <v>10556</v>
      </c>
    </row>
    <row r="12954" spans="1:2">
      <c r="A12954" s="66">
        <v>46072.207879895832</v>
      </c>
      <c r="B12954" s="49" t="s">
        <v>10557</v>
      </c>
    </row>
    <row r="12955" spans="1:2">
      <c r="A12955" s="66">
        <v>46072.207882164352</v>
      </c>
      <c r="B12955" s="49" t="s">
        <v>10546</v>
      </c>
    </row>
    <row r="12956" spans="1:2">
      <c r="A12956" s="66">
        <v>46072.207889907411</v>
      </c>
      <c r="B12956" s="49" t="s">
        <v>10466</v>
      </c>
    </row>
    <row r="12957" spans="1:2">
      <c r="A12957" s="66">
        <v>46072.207891689817</v>
      </c>
      <c r="B12957" s="49" t="s">
        <v>10561</v>
      </c>
    </row>
    <row r="12958" spans="1:2">
      <c r="A12958" s="66">
        <v>46072.207893773149</v>
      </c>
      <c r="B12958" s="49" t="s">
        <v>10562</v>
      </c>
    </row>
    <row r="12959" spans="1:2">
      <c r="A12959" s="66">
        <v>46072.207896192129</v>
      </c>
      <c r="B12959" s="49" t="s">
        <v>10563</v>
      </c>
    </row>
    <row r="12960" spans="1:2">
      <c r="A12960" s="66">
        <v>46072.20791305555</v>
      </c>
      <c r="B12960" s="49" t="s">
        <v>10564</v>
      </c>
    </row>
    <row r="12961" spans="1:2">
      <c r="A12961" s="66">
        <v>46072.207919108798</v>
      </c>
      <c r="B12961" s="49" t="s">
        <v>10542</v>
      </c>
    </row>
    <row r="12962" spans="1:2">
      <c r="A12962" s="66">
        <v>46072.207921145833</v>
      </c>
      <c r="B12962" s="49" t="s">
        <v>10543</v>
      </c>
    </row>
    <row r="12963" spans="1:2">
      <c r="A12963" s="66">
        <v>46072.207923344904</v>
      </c>
      <c r="B12963" s="49" t="s">
        <v>9394</v>
      </c>
    </row>
    <row r="12964" spans="1:2">
      <c r="A12964" s="66">
        <v>46072.209113518518</v>
      </c>
      <c r="B12964" s="49" t="s">
        <v>10556</v>
      </c>
    </row>
    <row r="12965" spans="1:2">
      <c r="A12965" s="66">
        <v>46072.209115798614</v>
      </c>
      <c r="B12965" s="49" t="s">
        <v>10557</v>
      </c>
    </row>
    <row r="12966" spans="1:2">
      <c r="A12966" s="66">
        <v>46072.209118773149</v>
      </c>
      <c r="B12966" s="49" t="s">
        <v>10546</v>
      </c>
    </row>
    <row r="12967" spans="1:2">
      <c r="A12967" s="66">
        <v>46072.209120717591</v>
      </c>
      <c r="B12967" s="49" t="s">
        <v>10466</v>
      </c>
    </row>
    <row r="12968" spans="1:2">
      <c r="A12968" s="66">
        <v>46072.209122928238</v>
      </c>
      <c r="B12968" s="49" t="s">
        <v>10561</v>
      </c>
    </row>
    <row r="12969" spans="1:2">
      <c r="A12969" s="66">
        <v>46072.209124918983</v>
      </c>
      <c r="B12969" s="49" t="s">
        <v>10562</v>
      </c>
    </row>
    <row r="12970" spans="1:2">
      <c r="A12970" s="66">
        <v>46072.209127037037</v>
      </c>
      <c r="B12970" s="49" t="s">
        <v>10563</v>
      </c>
    </row>
    <row r="12971" spans="1:2">
      <c r="A12971" s="66">
        <v>46072.209141250001</v>
      </c>
      <c r="B12971" s="49" t="s">
        <v>10564</v>
      </c>
    </row>
    <row r="12972" spans="1:2">
      <c r="A12972" s="66">
        <v>46072.209143078704</v>
      </c>
      <c r="B12972" s="49" t="s">
        <v>10542</v>
      </c>
    </row>
    <row r="12973" spans="1:2">
      <c r="A12973" s="66">
        <v>46072.209156192126</v>
      </c>
      <c r="B12973" s="49" t="s">
        <v>10543</v>
      </c>
    </row>
    <row r="12974" spans="1:2">
      <c r="A12974" s="66">
        <v>46072.209160868057</v>
      </c>
      <c r="B12974" s="49" t="s">
        <v>9394</v>
      </c>
    </row>
    <row r="12975" spans="1:2">
      <c r="A12975" s="66">
        <v>46072.210246284725</v>
      </c>
      <c r="B12975" s="49" t="s">
        <v>10556</v>
      </c>
    </row>
    <row r="12976" spans="1:2">
      <c r="A12976" s="66">
        <v>46072.210248923613</v>
      </c>
      <c r="B12976" s="49" t="s">
        <v>10557</v>
      </c>
    </row>
    <row r="12977" spans="1:2">
      <c r="A12977" s="66">
        <v>46072.210255868056</v>
      </c>
      <c r="B12977" s="49" t="s">
        <v>10546</v>
      </c>
    </row>
    <row r="12978" spans="1:2">
      <c r="A12978" s="66">
        <v>46072.210258043982</v>
      </c>
      <c r="B12978" s="49" t="s">
        <v>10466</v>
      </c>
    </row>
    <row r="12979" spans="1:2">
      <c r="A12979" s="66">
        <v>46072.210260543987</v>
      </c>
      <c r="B12979" s="49" t="s">
        <v>10561</v>
      </c>
    </row>
    <row r="12980" spans="1:2">
      <c r="A12980" s="66">
        <v>46072.210263159723</v>
      </c>
      <c r="B12980" s="49" t="s">
        <v>10562</v>
      </c>
    </row>
    <row r="12981" spans="1:2">
      <c r="A12981" s="66">
        <v>46072.210265347225</v>
      </c>
      <c r="B12981" s="49" t="s">
        <v>10563</v>
      </c>
    </row>
    <row r="12982" spans="1:2">
      <c r="A12982" s="66">
        <v>46072.210281828702</v>
      </c>
      <c r="B12982" s="49" t="s">
        <v>10564</v>
      </c>
    </row>
    <row r="12983" spans="1:2">
      <c r="A12983" s="66">
        <v>46072.210284502318</v>
      </c>
      <c r="B12983" s="49" t="s">
        <v>10542</v>
      </c>
    </row>
    <row r="12984" spans="1:2">
      <c r="A12984" s="66">
        <v>46072.210286921298</v>
      </c>
      <c r="B12984" s="49" t="s">
        <v>10543</v>
      </c>
    </row>
    <row r="12985" spans="1:2">
      <c r="A12985" s="66">
        <v>46072.210289027775</v>
      </c>
      <c r="B12985" s="49" t="s">
        <v>9394</v>
      </c>
    </row>
    <row r="12986" spans="1:2">
      <c r="A12986" s="66">
        <v>46072.211108402778</v>
      </c>
      <c r="B12986" s="49" t="s">
        <v>10556</v>
      </c>
    </row>
    <row r="12987" spans="1:2">
      <c r="A12987" s="66">
        <v>46072.211110567128</v>
      </c>
      <c r="B12987" s="49" t="s">
        <v>10557</v>
      </c>
    </row>
    <row r="12988" spans="1:2">
      <c r="A12988" s="66">
        <v>46072.211115810183</v>
      </c>
      <c r="B12988" s="49" t="s">
        <v>10546</v>
      </c>
    </row>
    <row r="12989" spans="1:2">
      <c r="A12989" s="66">
        <v>46072.211117453699</v>
      </c>
      <c r="B12989" s="49" t="s">
        <v>10466</v>
      </c>
    </row>
    <row r="12990" spans="1:2">
      <c r="A12990" s="66">
        <v>46072.211119282409</v>
      </c>
      <c r="B12990" s="49" t="s">
        <v>10561</v>
      </c>
    </row>
    <row r="12991" spans="1:2">
      <c r="A12991" s="66">
        <v>46072.211121076391</v>
      </c>
      <c r="B12991" s="49" t="s">
        <v>10562</v>
      </c>
    </row>
    <row r="12992" spans="1:2">
      <c r="A12992" s="66">
        <v>46072.21112295139</v>
      </c>
      <c r="B12992" s="49" t="s">
        <v>10563</v>
      </c>
    </row>
    <row r="12993" spans="1:2">
      <c r="A12993" s="66">
        <v>46072.211146539354</v>
      </c>
      <c r="B12993" s="49" t="s">
        <v>10564</v>
      </c>
    </row>
    <row r="12994" spans="1:2">
      <c r="A12994" s="66">
        <v>46072.211148784721</v>
      </c>
      <c r="B12994" s="49" t="s">
        <v>10542</v>
      </c>
    </row>
    <row r="12995" spans="1:2">
      <c r="A12995" s="66">
        <v>46072.211150497686</v>
      </c>
      <c r="B12995" s="49" t="s">
        <v>10543</v>
      </c>
    </row>
    <row r="12996" spans="1:2">
      <c r="A12996" s="66">
        <v>46072.211152546297</v>
      </c>
      <c r="B12996" s="49" t="s">
        <v>9394</v>
      </c>
    </row>
    <row r="12997" spans="1:2">
      <c r="A12997" s="66">
        <v>46072.212087777778</v>
      </c>
      <c r="B12997" s="49" t="s">
        <v>10556</v>
      </c>
    </row>
    <row r="12998" spans="1:2">
      <c r="A12998" s="66">
        <v>46072.212089652778</v>
      </c>
      <c r="B12998" s="49" t="s">
        <v>10557</v>
      </c>
    </row>
    <row r="12999" spans="1:2">
      <c r="A12999" s="66">
        <v>46072.212091435184</v>
      </c>
      <c r="B12999" s="49" t="s">
        <v>10546</v>
      </c>
    </row>
    <row r="13000" spans="1:2">
      <c r="A13000" s="66">
        <v>46072.212093437498</v>
      </c>
      <c r="B13000" s="49" t="s">
        <v>10466</v>
      </c>
    </row>
    <row r="13001" spans="1:2">
      <c r="A13001" s="66">
        <v>46072.212095312498</v>
      </c>
      <c r="B13001" s="49" t="s">
        <v>10561</v>
      </c>
    </row>
    <row r="13002" spans="1:2">
      <c r="A13002" s="66">
        <v>46072.212097013893</v>
      </c>
      <c r="B13002" s="49" t="s">
        <v>10562</v>
      </c>
    </row>
    <row r="13003" spans="1:2">
      <c r="A13003" s="66">
        <v>46072.212098634263</v>
      </c>
      <c r="B13003" s="49" t="s">
        <v>10563</v>
      </c>
    </row>
    <row r="13004" spans="1:2">
      <c r="A13004" s="66">
        <v>46072.212127916668</v>
      </c>
      <c r="B13004" s="49" t="s">
        <v>10564</v>
      </c>
    </row>
    <row r="13005" spans="1:2">
      <c r="A13005" s="66">
        <v>46072.212129884254</v>
      </c>
      <c r="B13005" s="49" t="s">
        <v>10542</v>
      </c>
    </row>
    <row r="13006" spans="1:2">
      <c r="A13006" s="66">
        <v>46072.212131562497</v>
      </c>
      <c r="B13006" s="49" t="s">
        <v>10543</v>
      </c>
    </row>
    <row r="13007" spans="1:2">
      <c r="A13007" s="66">
        <v>46072.212134224537</v>
      </c>
      <c r="B13007" s="49" t="s">
        <v>9394</v>
      </c>
    </row>
    <row r="13008" spans="1:2">
      <c r="A13008" s="66">
        <v>46072.213163495369</v>
      </c>
      <c r="B13008" s="49" t="s">
        <v>10556</v>
      </c>
    </row>
    <row r="13009" spans="1:2">
      <c r="A13009" s="66">
        <v>46072.213165578709</v>
      </c>
      <c r="B13009" s="49" t="s">
        <v>10557</v>
      </c>
    </row>
    <row r="13010" spans="1:2">
      <c r="A13010" s="66">
        <v>46072.213167592592</v>
      </c>
      <c r="B13010" s="49" t="s">
        <v>10546</v>
      </c>
    </row>
    <row r="13011" spans="1:2">
      <c r="A13011" s="66">
        <v>46072.213169490744</v>
      </c>
      <c r="B13011" s="49" t="s">
        <v>10466</v>
      </c>
    </row>
    <row r="13012" spans="1:2">
      <c r="A13012" s="66">
        <v>46072.213171423609</v>
      </c>
      <c r="B13012" s="49" t="s">
        <v>10561</v>
      </c>
    </row>
    <row r="13013" spans="1:2">
      <c r="A13013" s="66">
        <v>46072.213173483797</v>
      </c>
      <c r="B13013" s="49" t="s">
        <v>10562</v>
      </c>
    </row>
    <row r="13014" spans="1:2">
      <c r="A13014" s="66">
        <v>46072.213175416662</v>
      </c>
      <c r="B13014" s="49" t="s">
        <v>10563</v>
      </c>
    </row>
    <row r="13015" spans="1:2">
      <c r="A13015" s="66">
        <v>46072.213203622683</v>
      </c>
      <c r="B13015" s="49" t="s">
        <v>10564</v>
      </c>
    </row>
    <row r="13016" spans="1:2">
      <c r="A13016" s="66">
        <v>46072.213205706023</v>
      </c>
      <c r="B13016" s="49" t="s">
        <v>10542</v>
      </c>
    </row>
    <row r="13017" spans="1:2">
      <c r="A13017" s="66">
        <v>46072.213213043986</v>
      </c>
      <c r="B13017" s="49" t="s">
        <v>10543</v>
      </c>
    </row>
    <row r="13018" spans="1:2">
      <c r="A13018" s="66">
        <v>46072.2132150463</v>
      </c>
      <c r="B13018" s="49" t="s">
        <v>9394</v>
      </c>
    </row>
    <row r="13019" spans="1:2">
      <c r="A13019" s="66">
        <v>46072.214575509264</v>
      </c>
      <c r="B13019" s="49" t="s">
        <v>10556</v>
      </c>
    </row>
    <row r="13020" spans="1:2">
      <c r="A13020" s="66">
        <v>46072.214577650462</v>
      </c>
      <c r="B13020" s="49" t="s">
        <v>10557</v>
      </c>
    </row>
    <row r="13021" spans="1:2">
      <c r="A13021" s="66">
        <v>46072.214579756939</v>
      </c>
      <c r="B13021" s="49" t="s">
        <v>10546</v>
      </c>
    </row>
    <row r="13022" spans="1:2">
      <c r="A13022" s="66">
        <v>46072.214584259258</v>
      </c>
      <c r="B13022" s="49" t="s">
        <v>10466</v>
      </c>
    </row>
    <row r="13023" spans="1:2">
      <c r="A13023" s="66">
        <v>46072.214586736111</v>
      </c>
      <c r="B13023" s="49" t="s">
        <v>10561</v>
      </c>
    </row>
    <row r="13024" spans="1:2">
      <c r="A13024" s="66">
        <v>46072.214588634262</v>
      </c>
      <c r="B13024" s="49" t="s">
        <v>10562</v>
      </c>
    </row>
    <row r="13025" spans="1:2">
      <c r="A13025" s="66">
        <v>46072.214604606481</v>
      </c>
      <c r="B13025" s="49" t="s">
        <v>10563</v>
      </c>
    </row>
    <row r="13026" spans="1:2">
      <c r="A13026" s="66">
        <v>46072.214622002313</v>
      </c>
      <c r="B13026" s="49" t="s">
        <v>10564</v>
      </c>
    </row>
    <row r="13027" spans="1:2">
      <c r="A13027" s="66">
        <v>46072.214624120374</v>
      </c>
      <c r="B13027" s="49" t="s">
        <v>10542</v>
      </c>
    </row>
    <row r="13028" spans="1:2">
      <c r="A13028" s="66">
        <v>46072.214625949069</v>
      </c>
      <c r="B13028" s="49" t="s">
        <v>10543</v>
      </c>
    </row>
    <row r="13029" spans="1:2">
      <c r="A13029" s="66">
        <v>46072.214627766203</v>
      </c>
      <c r="B13029" s="49" t="s">
        <v>9394</v>
      </c>
    </row>
    <row r="13030" spans="1:2">
      <c r="A13030" s="66">
        <v>46072.215797025463</v>
      </c>
      <c r="B13030" s="49" t="s">
        <v>10556</v>
      </c>
    </row>
    <row r="13031" spans="1:2">
      <c r="A13031" s="66">
        <v>46072.215800219907</v>
      </c>
      <c r="B13031" s="49" t="s">
        <v>10557</v>
      </c>
    </row>
    <row r="13032" spans="1:2">
      <c r="A13032" s="66">
        <v>46072.215803240746</v>
      </c>
      <c r="B13032" s="49" t="s">
        <v>10546</v>
      </c>
    </row>
    <row r="13033" spans="1:2">
      <c r="A13033" s="66">
        <v>46072.215807488421</v>
      </c>
      <c r="B13033" s="49" t="s">
        <v>10466</v>
      </c>
    </row>
    <row r="13034" spans="1:2">
      <c r="A13034" s="66">
        <v>46072.215810289352</v>
      </c>
      <c r="B13034" s="49" t="s">
        <v>10561</v>
      </c>
    </row>
    <row r="13035" spans="1:2">
      <c r="A13035" s="66">
        <v>46072.215813275463</v>
      </c>
      <c r="B13035" s="49" t="s">
        <v>10562</v>
      </c>
    </row>
    <row r="13036" spans="1:2">
      <c r="A13036" s="66">
        <v>46072.215816157404</v>
      </c>
      <c r="B13036" s="49" t="s">
        <v>10563</v>
      </c>
    </row>
    <row r="13037" spans="1:2">
      <c r="A13037" s="66">
        <v>46072.215835428244</v>
      </c>
      <c r="B13037" s="49" t="s">
        <v>10564</v>
      </c>
    </row>
    <row r="13038" spans="1:2">
      <c r="A13038" s="66">
        <v>46072.215838368051</v>
      </c>
      <c r="B13038" s="49" t="s">
        <v>10542</v>
      </c>
    </row>
    <row r="13039" spans="1:2">
      <c r="A13039" s="66">
        <v>46072.215841157406</v>
      </c>
      <c r="B13039" s="49" t="s">
        <v>10543</v>
      </c>
    </row>
    <row r="13040" spans="1:2">
      <c r="A13040" s="66">
        <v>46072.215844143517</v>
      </c>
      <c r="B13040" s="49" t="s">
        <v>9394</v>
      </c>
    </row>
    <row r="13041" spans="1:2">
      <c r="A13041" s="66">
        <v>46072.216591481483</v>
      </c>
      <c r="B13041" s="49" t="s">
        <v>10556</v>
      </c>
    </row>
    <row r="13042" spans="1:2">
      <c r="A13042" s="66">
        <v>46072.21659895833</v>
      </c>
      <c r="B13042" s="49" t="s">
        <v>10557</v>
      </c>
    </row>
    <row r="13043" spans="1:2">
      <c r="A13043" s="66">
        <v>46072.216605057867</v>
      </c>
      <c r="B13043" s="49" t="s">
        <v>10546</v>
      </c>
    </row>
    <row r="13044" spans="1:2">
      <c r="A13044" s="66">
        <v>46072.216606875001</v>
      </c>
      <c r="B13044" s="49" t="s">
        <v>10466</v>
      </c>
    </row>
    <row r="13045" spans="1:2">
      <c r="A13045" s="66">
        <v>46072.216608923613</v>
      </c>
      <c r="B13045" s="49" t="s">
        <v>10561</v>
      </c>
    </row>
    <row r="13046" spans="1:2">
      <c r="A13046" s="66">
        <v>46072.216610937496</v>
      </c>
      <c r="B13046" s="49" t="s">
        <v>10562</v>
      </c>
    </row>
    <row r="13047" spans="1:2">
      <c r="A13047" s="66">
        <v>46072.216612893521</v>
      </c>
      <c r="B13047" s="49" t="s">
        <v>10563</v>
      </c>
    </row>
    <row r="13048" spans="1:2">
      <c r="A13048" s="66">
        <v>46072.216632951386</v>
      </c>
      <c r="B13048" s="49" t="s">
        <v>10564</v>
      </c>
    </row>
    <row r="13049" spans="1:2">
      <c r="A13049" s="66">
        <v>46072.216637361111</v>
      </c>
      <c r="B13049" s="49" t="s">
        <v>10542</v>
      </c>
    </row>
    <row r="13050" spans="1:2">
      <c r="A13050" s="66">
        <v>46072.216639131948</v>
      </c>
      <c r="B13050" s="49" t="s">
        <v>10543</v>
      </c>
    </row>
    <row r="13051" spans="1:2">
      <c r="A13051" s="66">
        <v>46072.216640833329</v>
      </c>
      <c r="B13051" s="49" t="s">
        <v>9394</v>
      </c>
    </row>
    <row r="13052" spans="1:2">
      <c r="A13052" s="66">
        <v>46072.217911122687</v>
      </c>
      <c r="B13052" s="49" t="s">
        <v>10556</v>
      </c>
    </row>
    <row r="13053" spans="1:2">
      <c r="A13053" s="66">
        <v>46072.217913275468</v>
      </c>
      <c r="B13053" s="49" t="s">
        <v>10557</v>
      </c>
    </row>
    <row r="13054" spans="1:2">
      <c r="A13054" s="66">
        <v>46072.217915567133</v>
      </c>
      <c r="B13054" s="49" t="s">
        <v>10546</v>
      </c>
    </row>
    <row r="13055" spans="1:2">
      <c r="A13055" s="66">
        <v>46072.217917326387</v>
      </c>
      <c r="B13055" s="49" t="s">
        <v>10466</v>
      </c>
    </row>
    <row r="13056" spans="1:2">
      <c r="A13056" s="66">
        <v>46072.217919363422</v>
      </c>
      <c r="B13056" s="49" t="s">
        <v>10561</v>
      </c>
    </row>
    <row r="13057" spans="1:2">
      <c r="A13057" s="66">
        <v>46072.217921423609</v>
      </c>
      <c r="B13057" s="49" t="s">
        <v>10562</v>
      </c>
    </row>
    <row r="13058" spans="1:2">
      <c r="A13058" s="66">
        <v>46072.21792354167</v>
      </c>
      <c r="B13058" s="49" t="s">
        <v>10563</v>
      </c>
    </row>
    <row r="13059" spans="1:2">
      <c r="A13059" s="66">
        <v>46072.217940011571</v>
      </c>
      <c r="B13059" s="49" t="s">
        <v>10564</v>
      </c>
    </row>
    <row r="13060" spans="1:2">
      <c r="A13060" s="66">
        <v>46072.217941944444</v>
      </c>
      <c r="B13060" s="49" t="s">
        <v>10542</v>
      </c>
    </row>
    <row r="13061" spans="1:2">
      <c r="A13061" s="66">
        <v>46072.217943715281</v>
      </c>
      <c r="B13061" s="49" t="s">
        <v>10543</v>
      </c>
    </row>
    <row r="13062" spans="1:2">
      <c r="A13062" s="66">
        <v>46072.217945659722</v>
      </c>
      <c r="B13062" s="49" t="s">
        <v>9394</v>
      </c>
    </row>
    <row r="13063" spans="1:2">
      <c r="A13063" s="66">
        <v>46072.218800393515</v>
      </c>
      <c r="B13063" s="49" t="s">
        <v>10556</v>
      </c>
    </row>
    <row r="13064" spans="1:2">
      <c r="A13064" s="66">
        <v>46072.218803495372</v>
      </c>
      <c r="B13064" s="49" t="s">
        <v>10557</v>
      </c>
    </row>
    <row r="13065" spans="1:2">
      <c r="A13065" s="66">
        <v>46072.218806354169</v>
      </c>
      <c r="B13065" s="49" t="s">
        <v>10546</v>
      </c>
    </row>
    <row r="13066" spans="1:2">
      <c r="A13066" s="66">
        <v>46072.218809432874</v>
      </c>
      <c r="B13066" s="49" t="s">
        <v>10466</v>
      </c>
    </row>
    <row r="13067" spans="1:2">
      <c r="A13067" s="66">
        <v>46072.218812372681</v>
      </c>
      <c r="B13067" s="49" t="s">
        <v>10561</v>
      </c>
    </row>
    <row r="13068" spans="1:2">
      <c r="A13068" s="66">
        <v>46072.218815300927</v>
      </c>
      <c r="B13068" s="49" t="s">
        <v>10562</v>
      </c>
    </row>
    <row r="13069" spans="1:2">
      <c r="A13069" s="66">
        <v>46072.218827245371</v>
      </c>
      <c r="B13069" s="49" t="s">
        <v>10563</v>
      </c>
    </row>
    <row r="13070" spans="1:2">
      <c r="A13070" s="66">
        <v>46072.218847719909</v>
      </c>
      <c r="B13070" s="49" t="s">
        <v>10564</v>
      </c>
    </row>
    <row r="13071" spans="1:2">
      <c r="A13071" s="66">
        <v>46072.218860243054</v>
      </c>
      <c r="B13071" s="49" t="s">
        <v>10542</v>
      </c>
    </row>
    <row r="13072" spans="1:2">
      <c r="A13072" s="66">
        <v>46072.218863125003</v>
      </c>
      <c r="B13072" s="49" t="s">
        <v>10543</v>
      </c>
    </row>
    <row r="13073" spans="1:2">
      <c r="A13073" s="66">
        <v>46072.218866157404</v>
      </c>
      <c r="B13073" s="49" t="s">
        <v>9394</v>
      </c>
    </row>
    <row r="13074" spans="1:2">
      <c r="A13074" s="66">
        <v>46072.220153009257</v>
      </c>
      <c r="B13074" s="49" t="s">
        <v>10556</v>
      </c>
    </row>
    <row r="13075" spans="1:2">
      <c r="A13075" s="66">
        <v>46072.220155219911</v>
      </c>
      <c r="B13075" s="49" t="s">
        <v>10557</v>
      </c>
    </row>
    <row r="13076" spans="1:2">
      <c r="A13076" s="66">
        <v>46072.220157453703</v>
      </c>
      <c r="B13076" s="49" t="s">
        <v>10546</v>
      </c>
    </row>
    <row r="13077" spans="1:2">
      <c r="A13077" s="66">
        <v>46072.220159444449</v>
      </c>
      <c r="B13077" s="49" t="s">
        <v>10466</v>
      </c>
    </row>
    <row r="13078" spans="1:2">
      <c r="A13078" s="66">
        <v>46072.220161134261</v>
      </c>
      <c r="B13078" s="49" t="s">
        <v>10561</v>
      </c>
    </row>
    <row r="13079" spans="1:2">
      <c r="A13079" s="66">
        <v>46072.220167685184</v>
      </c>
      <c r="B13079" s="49" t="s">
        <v>10562</v>
      </c>
    </row>
    <row r="13080" spans="1:2">
      <c r="A13080" s="66">
        <v>46072.220169189815</v>
      </c>
      <c r="B13080" s="49" t="s">
        <v>10563</v>
      </c>
    </row>
    <row r="13081" spans="1:2">
      <c r="A13081" s="66">
        <v>46072.220211504631</v>
      </c>
      <c r="B13081" s="49" t="s">
        <v>10564</v>
      </c>
    </row>
    <row r="13082" spans="1:2">
      <c r="A13082" s="66">
        <v>46072.220218182869</v>
      </c>
      <c r="B13082" s="49" t="s">
        <v>10542</v>
      </c>
    </row>
    <row r="13083" spans="1:2">
      <c r="A13083" s="66">
        <v>46072.220219699069</v>
      </c>
      <c r="B13083" s="49" t="s">
        <v>10543</v>
      </c>
    </row>
    <row r="13084" spans="1:2">
      <c r="A13084" s="66">
        <v>46072.220223252312</v>
      </c>
      <c r="B13084" s="49" t="s">
        <v>9394</v>
      </c>
    </row>
    <row r="13085" spans="1:2">
      <c r="A13085" s="66">
        <v>46072.221356608796</v>
      </c>
      <c r="B13085" s="49" t="s">
        <v>10556</v>
      </c>
    </row>
    <row r="13086" spans="1:2">
      <c r="A13086" s="66">
        <v>46072.221359895833</v>
      </c>
      <c r="B13086" s="49" t="s">
        <v>10557</v>
      </c>
    </row>
    <row r="13087" spans="1:2">
      <c r="A13087" s="66">
        <v>46072.221362835648</v>
      </c>
      <c r="B13087" s="49" t="s">
        <v>10546</v>
      </c>
    </row>
    <row r="13088" spans="1:2">
      <c r="A13088" s="66">
        <v>46072.221365624995</v>
      </c>
      <c r="B13088" s="49" t="s">
        <v>10466</v>
      </c>
    </row>
    <row r="13089" spans="1:2">
      <c r="A13089" s="66">
        <v>46072.22137381944</v>
      </c>
      <c r="B13089" s="49" t="s">
        <v>10561</v>
      </c>
    </row>
    <row r="13090" spans="1:2">
      <c r="A13090" s="66">
        <v>46072.221376759262</v>
      </c>
      <c r="B13090" s="49" t="s">
        <v>10562</v>
      </c>
    </row>
    <row r="13091" spans="1:2">
      <c r="A13091" s="66">
        <v>46072.221379803239</v>
      </c>
      <c r="B13091" s="49" t="s">
        <v>10563</v>
      </c>
    </row>
    <row r="13092" spans="1:2">
      <c r="A13092" s="66">
        <v>46072.221397268513</v>
      </c>
      <c r="B13092" s="49" t="s">
        <v>10564</v>
      </c>
    </row>
    <row r="13093" spans="1:2">
      <c r="A13093" s="66">
        <v>46072.22140174768</v>
      </c>
      <c r="B13093" s="49" t="s">
        <v>10542</v>
      </c>
    </row>
    <row r="13094" spans="1:2">
      <c r="A13094" s="66">
        <v>46072.221404606476</v>
      </c>
      <c r="B13094" s="49" t="s">
        <v>10543</v>
      </c>
    </row>
    <row r="13095" spans="1:2">
      <c r="A13095" s="66">
        <v>46072.221407962963</v>
      </c>
      <c r="B13095" s="49" t="s">
        <v>9394</v>
      </c>
    </row>
    <row r="13096" spans="1:2">
      <c r="A13096" s="66">
        <v>46072.222564756943</v>
      </c>
      <c r="B13096" s="49" t="s">
        <v>10556</v>
      </c>
    </row>
    <row r="13097" spans="1:2">
      <c r="A13097" s="66">
        <v>46072.222567407407</v>
      </c>
      <c r="B13097" s="49" t="s">
        <v>10557</v>
      </c>
    </row>
    <row r="13098" spans="1:2">
      <c r="A13098" s="66">
        <v>46072.222570937505</v>
      </c>
      <c r="B13098" s="49" t="s">
        <v>10546</v>
      </c>
    </row>
    <row r="13099" spans="1:2">
      <c r="A13099" s="66">
        <v>46072.222573287036</v>
      </c>
      <c r="B13099" s="49" t="s">
        <v>10466</v>
      </c>
    </row>
    <row r="13100" spans="1:2">
      <c r="A13100" s="66">
        <v>46072.22257543981</v>
      </c>
      <c r="B13100" s="49" t="s">
        <v>10561</v>
      </c>
    </row>
    <row r="13101" spans="1:2">
      <c r="A13101" s="66">
        <v>46072.222578125002</v>
      </c>
      <c r="B13101" s="49" t="s">
        <v>10562</v>
      </c>
    </row>
    <row r="13102" spans="1:2">
      <c r="A13102" s="66">
        <v>46072.222581145834</v>
      </c>
      <c r="B13102" s="49" t="s">
        <v>10563</v>
      </c>
    </row>
    <row r="13103" spans="1:2">
      <c r="A13103" s="66">
        <v>46072.222606990741</v>
      </c>
      <c r="B13103" s="49" t="s">
        <v>10564</v>
      </c>
    </row>
    <row r="13104" spans="1:2">
      <c r="A13104" s="66">
        <v>46072.222609467593</v>
      </c>
      <c r="B13104" s="49" t="s">
        <v>10542</v>
      </c>
    </row>
    <row r="13105" spans="1:2">
      <c r="A13105" s="66">
        <v>46072.222611574078</v>
      </c>
      <c r="B13105" s="49" t="s">
        <v>10543</v>
      </c>
    </row>
    <row r="13106" spans="1:2">
      <c r="A13106" s="66">
        <v>46072.222613877311</v>
      </c>
      <c r="B13106" s="49" t="s">
        <v>9394</v>
      </c>
    </row>
    <row r="13107" spans="1:2">
      <c r="A13107" s="66">
        <v>46072.223435891203</v>
      </c>
      <c r="B13107" s="49" t="s">
        <v>10556</v>
      </c>
    </row>
    <row r="13108" spans="1:2">
      <c r="A13108" s="66">
        <v>46072.223438032408</v>
      </c>
      <c r="B13108" s="49" t="s">
        <v>10557</v>
      </c>
    </row>
    <row r="13109" spans="1:2">
      <c r="A13109" s="66">
        <v>46072.223439895832</v>
      </c>
      <c r="B13109" s="49" t="s">
        <v>10546</v>
      </c>
    </row>
    <row r="13110" spans="1:2">
      <c r="A13110" s="66">
        <v>46072.22344180556</v>
      </c>
      <c r="B13110" s="49" t="s">
        <v>10466</v>
      </c>
    </row>
    <row r="13111" spans="1:2">
      <c r="A13111" s="66">
        <v>46072.223443854164</v>
      </c>
      <c r="B13111" s="49" t="s">
        <v>10561</v>
      </c>
    </row>
    <row r="13112" spans="1:2">
      <c r="A13112" s="66">
        <v>46072.223445625001</v>
      </c>
      <c r="B13112" s="49" t="s">
        <v>10562</v>
      </c>
    </row>
    <row r="13113" spans="1:2">
      <c r="A13113" s="66">
        <v>46072.223447662036</v>
      </c>
      <c r="B13113" s="49" t="s">
        <v>10563</v>
      </c>
    </row>
    <row r="13114" spans="1:2">
      <c r="A13114" s="66">
        <v>46072.223463923612</v>
      </c>
      <c r="B13114" s="49" t="s">
        <v>10564</v>
      </c>
    </row>
    <row r="13115" spans="1:2">
      <c r="A13115" s="66">
        <v>46072.223466006944</v>
      </c>
      <c r="B13115" s="49" t="s">
        <v>10542</v>
      </c>
    </row>
    <row r="13116" spans="1:2">
      <c r="A13116" s="66">
        <v>46072.223468356482</v>
      </c>
      <c r="B13116" s="49" t="s">
        <v>10543</v>
      </c>
    </row>
    <row r="13117" spans="1:2">
      <c r="A13117" s="66">
        <v>46072.223470694444</v>
      </c>
      <c r="B13117" s="49" t="s">
        <v>9394</v>
      </c>
    </row>
    <row r="13118" spans="1:2">
      <c r="A13118" s="66">
        <v>46072.224519027775</v>
      </c>
      <c r="B13118" s="49" t="s">
        <v>10556</v>
      </c>
    </row>
    <row r="13119" spans="1:2">
      <c r="A13119" s="66">
        <v>46072.224521840282</v>
      </c>
      <c r="B13119" s="49" t="s">
        <v>10557</v>
      </c>
    </row>
    <row r="13120" spans="1:2">
      <c r="A13120" s="66">
        <v>46072.224524097226</v>
      </c>
      <c r="B13120" s="49" t="s">
        <v>10546</v>
      </c>
    </row>
    <row r="13121" spans="1:2">
      <c r="A13121" s="66">
        <v>46072.224526481485</v>
      </c>
      <c r="B13121" s="49" t="s">
        <v>10466</v>
      </c>
    </row>
    <row r="13122" spans="1:2">
      <c r="A13122" s="66">
        <v>46072.224529212966</v>
      </c>
      <c r="B13122" s="49" t="s">
        <v>10561</v>
      </c>
    </row>
    <row r="13123" spans="1:2">
      <c r="A13123" s="66">
        <v>46072.224531493055</v>
      </c>
      <c r="B13123" s="49" t="s">
        <v>10562</v>
      </c>
    </row>
    <row r="13124" spans="1:2">
      <c r="A13124" s="66">
        <v>46072.224533981484</v>
      </c>
      <c r="B13124" s="49" t="s">
        <v>10563</v>
      </c>
    </row>
    <row r="13125" spans="1:2">
      <c r="A13125" s="66">
        <v>46072.224550717598</v>
      </c>
      <c r="B13125" s="49" t="s">
        <v>10564</v>
      </c>
    </row>
    <row r="13126" spans="1:2">
      <c r="A13126" s="66">
        <v>46072.224553101856</v>
      </c>
      <c r="B13126" s="49" t="s">
        <v>10542</v>
      </c>
    </row>
    <row r="13127" spans="1:2">
      <c r="A13127" s="66">
        <v>46072.224555960653</v>
      </c>
      <c r="B13127" s="49" t="s">
        <v>10543</v>
      </c>
    </row>
    <row r="13128" spans="1:2">
      <c r="A13128" s="66">
        <v>46072.224558032409</v>
      </c>
      <c r="B13128" s="49" t="s">
        <v>9394</v>
      </c>
    </row>
    <row r="13129" spans="1:2">
      <c r="A13129" s="66">
        <v>46072.22580075232</v>
      </c>
      <c r="B13129" s="49" t="s">
        <v>10556</v>
      </c>
    </row>
    <row r="13130" spans="1:2">
      <c r="A13130" s="66">
        <v>46072.22580782407</v>
      </c>
      <c r="B13130" s="49" t="s">
        <v>10557</v>
      </c>
    </row>
    <row r="13131" spans="1:2">
      <c r="A13131" s="66">
        <v>46072.225810474542</v>
      </c>
      <c r="B13131" s="49" t="s">
        <v>10546</v>
      </c>
    </row>
    <row r="13132" spans="1:2">
      <c r="A13132" s="66">
        <v>46072.2258128588</v>
      </c>
      <c r="B13132" s="49" t="s">
        <v>10466</v>
      </c>
    </row>
    <row r="13133" spans="1:2">
      <c r="A13133" s="66">
        <v>46072.225815625003</v>
      </c>
      <c r="B13133" s="49" t="s">
        <v>10561</v>
      </c>
    </row>
    <row r="13134" spans="1:2">
      <c r="A13134" s="66">
        <v>46072.225820023144</v>
      </c>
      <c r="B13134" s="49" t="s">
        <v>10562</v>
      </c>
    </row>
    <row r="13135" spans="1:2">
      <c r="A13135" s="66">
        <v>46072.225824444446</v>
      </c>
      <c r="B13135" s="49" t="s">
        <v>10563</v>
      </c>
    </row>
    <row r="13136" spans="1:2">
      <c r="A13136" s="66">
        <v>46072.225844745371</v>
      </c>
      <c r="B13136" s="49" t="s">
        <v>10564</v>
      </c>
    </row>
    <row r="13137" spans="1:2">
      <c r="A13137" s="66">
        <v>46072.225849699069</v>
      </c>
      <c r="B13137" s="49" t="s">
        <v>10542</v>
      </c>
    </row>
    <row r="13138" spans="1:2">
      <c r="A13138" s="66">
        <v>46072.225852418982</v>
      </c>
      <c r="B13138" s="49" t="s">
        <v>10543</v>
      </c>
    </row>
    <row r="13139" spans="1:2">
      <c r="A13139" s="66">
        <v>46072.22585545139</v>
      </c>
      <c r="B13139" s="49" t="s">
        <v>9394</v>
      </c>
    </row>
    <row r="13140" spans="1:2">
      <c r="A13140" s="66">
        <v>46072.226682893517</v>
      </c>
      <c r="B13140" s="49" t="s">
        <v>10556</v>
      </c>
    </row>
    <row r="13141" spans="1:2">
      <c r="A13141" s="66">
        <v>46072.22668699074</v>
      </c>
      <c r="B13141" s="49" t="s">
        <v>10557</v>
      </c>
    </row>
    <row r="13142" spans="1:2">
      <c r="A13142" s="66">
        <v>46072.226704722227</v>
      </c>
      <c r="B13142" s="49" t="s">
        <v>10546</v>
      </c>
    </row>
    <row r="13143" spans="1:2">
      <c r="A13143" s="66">
        <v>46072.226706435184</v>
      </c>
      <c r="B13143" s="49" t="s">
        <v>10466</v>
      </c>
    </row>
    <row r="13144" spans="1:2">
      <c r="A13144" s="66">
        <v>46072.226708252318</v>
      </c>
      <c r="B13144" s="49" t="s">
        <v>10561</v>
      </c>
    </row>
    <row r="13145" spans="1:2">
      <c r="A13145" s="66">
        <v>46072.226710416668</v>
      </c>
      <c r="B13145" s="49" t="s">
        <v>10562</v>
      </c>
    </row>
    <row r="13146" spans="1:2">
      <c r="A13146" s="66">
        <v>46072.226712442134</v>
      </c>
      <c r="B13146" s="49" t="s">
        <v>10563</v>
      </c>
    </row>
    <row r="13147" spans="1:2">
      <c r="A13147" s="66">
        <v>46072.226729571761</v>
      </c>
      <c r="B13147" s="49" t="s">
        <v>10564</v>
      </c>
    </row>
    <row r="13148" spans="1:2">
      <c r="A13148" s="66">
        <v>46072.226734074073</v>
      </c>
      <c r="B13148" s="49" t="s">
        <v>10542</v>
      </c>
    </row>
    <row r="13149" spans="1:2">
      <c r="A13149" s="66">
        <v>46072.226735706019</v>
      </c>
      <c r="B13149" s="49" t="s">
        <v>10543</v>
      </c>
    </row>
    <row r="13150" spans="1:2">
      <c r="A13150" s="66">
        <v>46072.226737638892</v>
      </c>
      <c r="B13150" s="49" t="s">
        <v>9394</v>
      </c>
    </row>
    <row r="13151" spans="1:2">
      <c r="A13151" s="66">
        <v>46072.227624340274</v>
      </c>
      <c r="B13151" s="49" t="s">
        <v>10556</v>
      </c>
    </row>
    <row r="13152" spans="1:2">
      <c r="A13152" s="66">
        <v>46072.227626678243</v>
      </c>
      <c r="B13152" s="49" t="s">
        <v>10557</v>
      </c>
    </row>
    <row r="13153" spans="1:2">
      <c r="A13153" s="66">
        <v>46072.22762982639</v>
      </c>
      <c r="B13153" s="49" t="s">
        <v>10546</v>
      </c>
    </row>
    <row r="13154" spans="1:2">
      <c r="A13154" s="66">
        <v>46072.227631875001</v>
      </c>
      <c r="B13154" s="49" t="s">
        <v>10466</v>
      </c>
    </row>
    <row r="13155" spans="1:2">
      <c r="A13155" s="66">
        <v>46072.227633564813</v>
      </c>
      <c r="B13155" s="49" t="s">
        <v>10561</v>
      </c>
    </row>
    <row r="13156" spans="1:2">
      <c r="A13156" s="66">
        <v>46072.22763559028</v>
      </c>
      <c r="B13156" s="49" t="s">
        <v>10562</v>
      </c>
    </row>
    <row r="13157" spans="1:2">
      <c r="A13157" s="66">
        <v>46072.227637534721</v>
      </c>
      <c r="B13157" s="49" t="s">
        <v>10563</v>
      </c>
    </row>
    <row r="13158" spans="1:2">
      <c r="A13158" s="66">
        <v>46072.227651423615</v>
      </c>
      <c r="B13158" s="49" t="s">
        <v>10564</v>
      </c>
    </row>
    <row r="13159" spans="1:2">
      <c r="A13159" s="66">
        <v>46072.227653425929</v>
      </c>
      <c r="B13159" s="49" t="s">
        <v>10542</v>
      </c>
    </row>
    <row r="13160" spans="1:2">
      <c r="A13160" s="66">
        <v>46072.227655381939</v>
      </c>
      <c r="B13160" s="49" t="s">
        <v>10543</v>
      </c>
    </row>
    <row r="13161" spans="1:2">
      <c r="A13161" s="66">
        <v>46072.227660752316</v>
      </c>
      <c r="B13161" s="49" t="s">
        <v>9394</v>
      </c>
    </row>
    <row r="13162" spans="1:2">
      <c r="A13162" s="66">
        <v>46072.229013483797</v>
      </c>
      <c r="B13162" s="49" t="s">
        <v>10556</v>
      </c>
    </row>
    <row r="13163" spans="1:2">
      <c r="A13163" s="66">
        <v>46072.229015798614</v>
      </c>
      <c r="B13163" s="49" t="s">
        <v>10557</v>
      </c>
    </row>
    <row r="13164" spans="1:2">
      <c r="A13164" s="66">
        <v>46072.229018217593</v>
      </c>
      <c r="B13164" s="49" t="s">
        <v>10546</v>
      </c>
    </row>
    <row r="13165" spans="1:2">
      <c r="A13165" s="66">
        <v>46072.229023449079</v>
      </c>
      <c r="B13165" s="49" t="s">
        <v>10466</v>
      </c>
    </row>
    <row r="13166" spans="1:2">
      <c r="A13166" s="66">
        <v>46072.229025914348</v>
      </c>
      <c r="B13166" s="49" t="s">
        <v>10561</v>
      </c>
    </row>
    <row r="13167" spans="1:2">
      <c r="A13167" s="66">
        <v>46072.229027615744</v>
      </c>
      <c r="B13167" s="49" t="s">
        <v>10562</v>
      </c>
    </row>
    <row r="13168" spans="1:2">
      <c r="A13168" s="66">
        <v>46072.229029502312</v>
      </c>
      <c r="B13168" s="49" t="s">
        <v>10563</v>
      </c>
    </row>
    <row r="13169" spans="1:2">
      <c r="A13169" s="66">
        <v>46072.229046817127</v>
      </c>
      <c r="B13169" s="49" t="s">
        <v>10564</v>
      </c>
    </row>
    <row r="13170" spans="1:2">
      <c r="A13170" s="66">
        <v>46072.229057696764</v>
      </c>
      <c r="B13170" s="49" t="s">
        <v>10542</v>
      </c>
    </row>
    <row r="13171" spans="1:2">
      <c r="A13171" s="66">
        <v>46072.229059398145</v>
      </c>
      <c r="B13171" s="49" t="s">
        <v>10543</v>
      </c>
    </row>
    <row r="13172" spans="1:2">
      <c r="A13172" s="66">
        <v>46072.229061967591</v>
      </c>
      <c r="B13172" s="49" t="s">
        <v>9394</v>
      </c>
    </row>
    <row r="13173" spans="1:2">
      <c r="A13173" s="66">
        <v>46072.230384467592</v>
      </c>
      <c r="B13173" s="49" t="s">
        <v>10556</v>
      </c>
    </row>
    <row r="13174" spans="1:2">
      <c r="A13174" s="66">
        <v>46072.23038778935</v>
      </c>
      <c r="B13174" s="49" t="s">
        <v>10557</v>
      </c>
    </row>
    <row r="13175" spans="1:2">
      <c r="A13175" s="66">
        <v>46072.230392638885</v>
      </c>
      <c r="B13175" s="49" t="s">
        <v>10546</v>
      </c>
    </row>
    <row r="13176" spans="1:2">
      <c r="A13176" s="66">
        <v>46072.230395868057</v>
      </c>
      <c r="B13176" s="49" t="s">
        <v>10466</v>
      </c>
    </row>
    <row r="13177" spans="1:2">
      <c r="A13177" s="66">
        <v>46072.230399479165</v>
      </c>
      <c r="B13177" s="49" t="s">
        <v>10561</v>
      </c>
    </row>
    <row r="13178" spans="1:2">
      <c r="A13178" s="66">
        <v>46072.23040266204</v>
      </c>
      <c r="B13178" s="49" t="s">
        <v>10562</v>
      </c>
    </row>
    <row r="13179" spans="1:2">
      <c r="A13179" s="66">
        <v>46072.230410972217</v>
      </c>
      <c r="B13179" s="49" t="s">
        <v>10563</v>
      </c>
    </row>
    <row r="13180" spans="1:2">
      <c r="A13180" s="66">
        <v>46072.230431770833</v>
      </c>
      <c r="B13180" s="49" t="s">
        <v>10564</v>
      </c>
    </row>
    <row r="13181" spans="1:2">
      <c r="A13181" s="66">
        <v>46072.23043466435</v>
      </c>
      <c r="B13181" s="49" t="s">
        <v>10542</v>
      </c>
    </row>
    <row r="13182" spans="1:2">
      <c r="A13182" s="66">
        <v>46072.230437777776</v>
      </c>
      <c r="B13182" s="49" t="s">
        <v>10543</v>
      </c>
    </row>
    <row r="13183" spans="1:2">
      <c r="A13183" s="66">
        <v>46072.230445844907</v>
      </c>
      <c r="B13183" s="49" t="s">
        <v>9394</v>
      </c>
    </row>
    <row r="13184" spans="1:2">
      <c r="A13184" s="66">
        <v>46072.231393657406</v>
      </c>
      <c r="B13184" s="49" t="s">
        <v>10556</v>
      </c>
    </row>
    <row r="13185" spans="1:2">
      <c r="A13185" s="66">
        <v>46072.231396006944</v>
      </c>
      <c r="B13185" s="49" t="s">
        <v>10557</v>
      </c>
    </row>
    <row r="13186" spans="1:2">
      <c r="A13186" s="66">
        <v>46072.231397731477</v>
      </c>
      <c r="B13186" s="49" t="s">
        <v>10546</v>
      </c>
    </row>
    <row r="13187" spans="1:2">
      <c r="A13187" s="66">
        <v>46072.231406238425</v>
      </c>
      <c r="B13187" s="49" t="s">
        <v>10466</v>
      </c>
    </row>
    <row r="13188" spans="1:2">
      <c r="A13188" s="66">
        <v>46072.231408020831</v>
      </c>
      <c r="B13188" s="49" t="s">
        <v>10561</v>
      </c>
    </row>
    <row r="13189" spans="1:2">
      <c r="A13189" s="66">
        <v>46072.231422893514</v>
      </c>
      <c r="B13189" s="49" t="s">
        <v>10562</v>
      </c>
    </row>
    <row r="13190" spans="1:2">
      <c r="A13190" s="66">
        <v>46072.231427696759</v>
      </c>
      <c r="B13190" s="49" t="s">
        <v>10563</v>
      </c>
    </row>
    <row r="13191" spans="1:2">
      <c r="A13191" s="66">
        <v>46072.231444305551</v>
      </c>
      <c r="B13191" s="49" t="s">
        <v>10564</v>
      </c>
    </row>
    <row r="13192" spans="1:2">
      <c r="A13192" s="66">
        <v>46072.231446226855</v>
      </c>
      <c r="B13192" s="49" t="s">
        <v>10542</v>
      </c>
    </row>
    <row r="13193" spans="1:2">
      <c r="A13193" s="66">
        <v>46072.23144909722</v>
      </c>
      <c r="B13193" s="49" t="s">
        <v>10543</v>
      </c>
    </row>
    <row r="13194" spans="1:2">
      <c r="A13194" s="66">
        <v>46072.231450891202</v>
      </c>
      <c r="B13194" s="49" t="s">
        <v>9394</v>
      </c>
    </row>
    <row r="13195" spans="1:2">
      <c r="A13195" s="66">
        <v>46072.232448981478</v>
      </c>
      <c r="B13195" s="49" t="s">
        <v>10556</v>
      </c>
    </row>
    <row r="13196" spans="1:2">
      <c r="A13196" s="66">
        <v>46072.232451030097</v>
      </c>
      <c r="B13196" s="49" t="s">
        <v>10557</v>
      </c>
    </row>
    <row r="13197" spans="1:2">
      <c r="A13197" s="66">
        <v>46072.232456712962</v>
      </c>
      <c r="B13197" s="49" t="s">
        <v>10546</v>
      </c>
    </row>
    <row r="13198" spans="1:2">
      <c r="A13198" s="66">
        <v>46072.232458391205</v>
      </c>
      <c r="B13198" s="49" t="s">
        <v>10466</v>
      </c>
    </row>
    <row r="13199" spans="1:2">
      <c r="A13199" s="66">
        <v>46072.232460266205</v>
      </c>
      <c r="B13199" s="49" t="s">
        <v>10561</v>
      </c>
    </row>
    <row r="13200" spans="1:2">
      <c r="A13200" s="66">
        <v>46072.232462129628</v>
      </c>
      <c r="B13200" s="49" t="s">
        <v>10562</v>
      </c>
    </row>
    <row r="13201" spans="1:2">
      <c r="A13201" s="66">
        <v>46072.232465891204</v>
      </c>
      <c r="B13201" s="49" t="s">
        <v>10563</v>
      </c>
    </row>
    <row r="13202" spans="1:2">
      <c r="A13202" s="66">
        <v>46072.232482662039</v>
      </c>
      <c r="B13202" s="49" t="s">
        <v>10564</v>
      </c>
    </row>
    <row r="13203" spans="1:2">
      <c r="A13203" s="66">
        <v>46072.232485266199</v>
      </c>
      <c r="B13203" s="49" t="s">
        <v>10542</v>
      </c>
    </row>
    <row r="13204" spans="1:2">
      <c r="A13204" s="66">
        <v>46072.232487511574</v>
      </c>
      <c r="B13204" s="49" t="s">
        <v>10543</v>
      </c>
    </row>
    <row r="13205" spans="1:2">
      <c r="A13205" s="66">
        <v>46072.232489849535</v>
      </c>
      <c r="B13205" s="49" t="s">
        <v>9394</v>
      </c>
    </row>
    <row r="13206" spans="1:2">
      <c r="A13206" s="66">
        <v>46072.233235833337</v>
      </c>
      <c r="B13206" s="49" t="s">
        <v>10556</v>
      </c>
    </row>
    <row r="13207" spans="1:2">
      <c r="A13207" s="66">
        <v>46072.233239097222</v>
      </c>
      <c r="B13207" s="49" t="s">
        <v>10557</v>
      </c>
    </row>
    <row r="13208" spans="1:2">
      <c r="A13208" s="66">
        <v>46072.233242245369</v>
      </c>
      <c r="B13208" s="49" t="s">
        <v>10546</v>
      </c>
    </row>
    <row r="13209" spans="1:2">
      <c r="A13209" s="66">
        <v>46072.233248460645</v>
      </c>
      <c r="B13209" s="49" t="s">
        <v>10466</v>
      </c>
    </row>
    <row r="13210" spans="1:2">
      <c r="A13210" s="66">
        <v>46072.233251458332</v>
      </c>
      <c r="B13210" s="49" t="s">
        <v>10561</v>
      </c>
    </row>
    <row r="13211" spans="1:2">
      <c r="A13211" s="66">
        <v>46072.233254525461</v>
      </c>
      <c r="B13211" s="49" t="s">
        <v>10562</v>
      </c>
    </row>
    <row r="13212" spans="1:2">
      <c r="A13212" s="66">
        <v>46072.233257569445</v>
      </c>
      <c r="B13212" s="49" t="s">
        <v>10563</v>
      </c>
    </row>
    <row r="13213" spans="1:2">
      <c r="A13213" s="66">
        <v>46072.233286967588</v>
      </c>
      <c r="B13213" s="49" t="s">
        <v>10564</v>
      </c>
    </row>
    <row r="13214" spans="1:2">
      <c r="A13214" s="66">
        <v>46072.233290162039</v>
      </c>
      <c r="B13214" s="49" t="s">
        <v>10542</v>
      </c>
    </row>
    <row r="13215" spans="1:2">
      <c r="A13215" s="66">
        <v>46072.233293217592</v>
      </c>
      <c r="B13215" s="49" t="s">
        <v>10543</v>
      </c>
    </row>
    <row r="13216" spans="1:2">
      <c r="A13216" s="66">
        <v>46072.233296319449</v>
      </c>
      <c r="B13216" s="49" t="s">
        <v>9394</v>
      </c>
    </row>
    <row r="13217" spans="1:2">
      <c r="A13217" s="66">
        <v>46072.234451863427</v>
      </c>
      <c r="B13217" s="49" t="s">
        <v>10556</v>
      </c>
    </row>
    <row r="13218" spans="1:2">
      <c r="A13218" s="66">
        <v>46072.234458854167</v>
      </c>
      <c r="B13218" s="49" t="s">
        <v>10557</v>
      </c>
    </row>
    <row r="13219" spans="1:2">
      <c r="A13219" s="66">
        <v>46072.23446206018</v>
      </c>
      <c r="B13219" s="49" t="s">
        <v>10546</v>
      </c>
    </row>
    <row r="13220" spans="1:2">
      <c r="A13220" s="66">
        <v>46072.234467337963</v>
      </c>
      <c r="B13220" s="49" t="s">
        <v>10466</v>
      </c>
    </row>
    <row r="13221" spans="1:2">
      <c r="A13221" s="66">
        <v>46072.234470243056</v>
      </c>
      <c r="B13221" s="49" t="s">
        <v>10561</v>
      </c>
    </row>
    <row r="13222" spans="1:2">
      <c r="A13222" s="66">
        <v>46072.234473344906</v>
      </c>
      <c r="B13222" s="49" t="s">
        <v>10562</v>
      </c>
    </row>
    <row r="13223" spans="1:2">
      <c r="A13223" s="66">
        <v>46072.234476423611</v>
      </c>
      <c r="B13223" s="49" t="s">
        <v>10563</v>
      </c>
    </row>
    <row r="13224" spans="1:2">
      <c r="A13224" s="66">
        <v>46072.234500972219</v>
      </c>
      <c r="B13224" s="49" t="s">
        <v>10564</v>
      </c>
    </row>
    <row r="13225" spans="1:2">
      <c r="A13225" s="66">
        <v>46072.2345040625</v>
      </c>
      <c r="B13225" s="49" t="s">
        <v>10542</v>
      </c>
    </row>
    <row r="13226" spans="1:2">
      <c r="A13226" s="66">
        <v>46072.234506956018</v>
      </c>
      <c r="B13226" s="49" t="s">
        <v>10543</v>
      </c>
    </row>
    <row r="13227" spans="1:2">
      <c r="A13227" s="66">
        <v>46072.234510069444</v>
      </c>
      <c r="B13227" s="49" t="s">
        <v>9394</v>
      </c>
    </row>
    <row r="13228" spans="1:2">
      <c r="A13228" s="66">
        <v>46072.235809513892</v>
      </c>
      <c r="B13228" s="49" t="s">
        <v>10556</v>
      </c>
    </row>
    <row r="13229" spans="1:2">
      <c r="A13229" s="66">
        <v>46072.235811840277</v>
      </c>
      <c r="B13229" s="49" t="s">
        <v>10557</v>
      </c>
    </row>
    <row r="13230" spans="1:2">
      <c r="A13230" s="66">
        <v>46072.235814189815</v>
      </c>
      <c r="B13230" s="49" t="s">
        <v>10546</v>
      </c>
    </row>
    <row r="13231" spans="1:2">
      <c r="A13231" s="66">
        <v>46072.235816192129</v>
      </c>
      <c r="B13231" s="49" t="s">
        <v>10466</v>
      </c>
    </row>
    <row r="13232" spans="1:2">
      <c r="A13232" s="66">
        <v>46072.235818263885</v>
      </c>
      <c r="B13232" s="49" t="s">
        <v>10561</v>
      </c>
    </row>
    <row r="13233" spans="1:2">
      <c r="A13233" s="66">
        <v>46072.23582037037</v>
      </c>
      <c r="B13233" s="49" t="s">
        <v>10562</v>
      </c>
    </row>
    <row r="13234" spans="1:2">
      <c r="A13234" s="66">
        <v>46072.235822476854</v>
      </c>
      <c r="B13234" s="49" t="s">
        <v>10563</v>
      </c>
    </row>
    <row r="13235" spans="1:2">
      <c r="A13235" s="66">
        <v>46072.23583740741</v>
      </c>
      <c r="B13235" s="49" t="s">
        <v>10564</v>
      </c>
    </row>
    <row r="13236" spans="1:2">
      <c r="A13236" s="66">
        <v>46072.235839479166</v>
      </c>
      <c r="B13236" s="49" t="s">
        <v>10542</v>
      </c>
    </row>
    <row r="13237" spans="1:2">
      <c r="A13237" s="66">
        <v>46072.235841747686</v>
      </c>
      <c r="B13237" s="49" t="s">
        <v>10543</v>
      </c>
    </row>
    <row r="13238" spans="1:2">
      <c r="A13238" s="66">
        <v>46072.235843668983</v>
      </c>
      <c r="B13238" s="49" t="s">
        <v>9394</v>
      </c>
    </row>
    <row r="13239" spans="1:2">
      <c r="A13239" s="66">
        <v>46072.236998379631</v>
      </c>
      <c r="B13239" s="49" t="s">
        <v>10556</v>
      </c>
    </row>
    <row r="13240" spans="1:2">
      <c r="A13240" s="66">
        <v>46072.23700079861</v>
      </c>
      <c r="B13240" s="49" t="s">
        <v>10557</v>
      </c>
    </row>
    <row r="13241" spans="1:2">
      <c r="A13241" s="66">
        <v>46072.237011712961</v>
      </c>
      <c r="B13241" s="49" t="s">
        <v>10546</v>
      </c>
    </row>
    <row r="13242" spans="1:2">
      <c r="A13242" s="66">
        <v>46072.237017858795</v>
      </c>
      <c r="B13242" s="49" t="s">
        <v>10466</v>
      </c>
    </row>
    <row r="13243" spans="1:2">
      <c r="A13243" s="66">
        <v>46072.23701950231</v>
      </c>
      <c r="B13243" s="49" t="s">
        <v>10561</v>
      </c>
    </row>
    <row r="13244" spans="1:2">
      <c r="A13244" s="66">
        <v>46072.237021689813</v>
      </c>
      <c r="B13244" s="49" t="s">
        <v>10562</v>
      </c>
    </row>
    <row r="13245" spans="1:2">
      <c r="A13245" s="66">
        <v>46072.237023518523</v>
      </c>
      <c r="B13245" s="49" t="s">
        <v>10563</v>
      </c>
    </row>
    <row r="13246" spans="1:2">
      <c r="A13246" s="66">
        <v>46072.237038356485</v>
      </c>
      <c r="B13246" s="49" t="s">
        <v>10564</v>
      </c>
    </row>
    <row r="13247" spans="1:2">
      <c r="A13247" s="66">
        <v>46072.237040624997</v>
      </c>
      <c r="B13247" s="49" t="s">
        <v>10542</v>
      </c>
    </row>
    <row r="13248" spans="1:2">
      <c r="A13248" s="66">
        <v>46072.237042939814</v>
      </c>
      <c r="B13248" s="49" t="s">
        <v>10543</v>
      </c>
    </row>
    <row r="13249" spans="1:2">
      <c r="A13249" s="66">
        <v>46072.237048449075</v>
      </c>
      <c r="B13249" s="49" t="s">
        <v>9394</v>
      </c>
    </row>
    <row r="13250" spans="1:2">
      <c r="A13250" s="66">
        <v>46072.238049363426</v>
      </c>
      <c r="B13250" s="49" t="s">
        <v>10556</v>
      </c>
    </row>
    <row r="13251" spans="1:2">
      <c r="A13251" s="66">
        <v>46072.238051562497</v>
      </c>
      <c r="B13251" s="49" t="s">
        <v>10557</v>
      </c>
    </row>
    <row r="13252" spans="1:2">
      <c r="A13252" s="66">
        <v>46072.238058819443</v>
      </c>
      <c r="B13252" s="49" t="s">
        <v>10546</v>
      </c>
    </row>
    <row r="13253" spans="1:2">
      <c r="A13253" s="66">
        <v>46072.238061215277</v>
      </c>
      <c r="B13253" s="49" t="s">
        <v>10466</v>
      </c>
    </row>
    <row r="13254" spans="1:2">
      <c r="A13254" s="66">
        <v>46072.238067673607</v>
      </c>
      <c r="B13254" s="49" t="s">
        <v>10561</v>
      </c>
    </row>
    <row r="13255" spans="1:2">
      <c r="A13255" s="66">
        <v>46072.238076527778</v>
      </c>
      <c r="B13255" s="49" t="s">
        <v>10562</v>
      </c>
    </row>
    <row r="13256" spans="1:2">
      <c r="A13256" s="66">
        <v>46072.238078402777</v>
      </c>
      <c r="B13256" s="49" t="s">
        <v>10563</v>
      </c>
    </row>
    <row r="13257" spans="1:2">
      <c r="A13257" s="66">
        <v>46072.238099722221</v>
      </c>
      <c r="B13257" s="49" t="s">
        <v>10564</v>
      </c>
    </row>
    <row r="13258" spans="1:2">
      <c r="A13258" s="66">
        <v>46072.23810170139</v>
      </c>
      <c r="B13258" s="49" t="s">
        <v>10542</v>
      </c>
    </row>
    <row r="13259" spans="1:2">
      <c r="A13259" s="66">
        <v>46072.238103356482</v>
      </c>
      <c r="B13259" s="49" t="s">
        <v>10543</v>
      </c>
    </row>
    <row r="13260" spans="1:2">
      <c r="A13260" s="66">
        <v>46072.238105439814</v>
      </c>
      <c r="B13260" s="49" t="s">
        <v>9394</v>
      </c>
    </row>
    <row r="13261" spans="1:2">
      <c r="A13261" s="66">
        <v>46072.238876724536</v>
      </c>
      <c r="B13261" s="49" t="s">
        <v>10556</v>
      </c>
    </row>
    <row r="13262" spans="1:2">
      <c r="A13262" s="66">
        <v>46072.238885937499</v>
      </c>
      <c r="B13262" s="49" t="s">
        <v>10557</v>
      </c>
    </row>
    <row r="13263" spans="1:2">
      <c r="A13263" s="66">
        <v>46072.238891377317</v>
      </c>
      <c r="B13263" s="49" t="s">
        <v>10546</v>
      </c>
    </row>
    <row r="13264" spans="1:2">
      <c r="A13264" s="66">
        <v>46072.238892893518</v>
      </c>
      <c r="B13264" s="49" t="s">
        <v>10466</v>
      </c>
    </row>
    <row r="13265" spans="1:2">
      <c r="A13265" s="66">
        <v>46072.238894409718</v>
      </c>
      <c r="B13265" s="49" t="s">
        <v>10561</v>
      </c>
    </row>
    <row r="13266" spans="1:2">
      <c r="A13266" s="66">
        <v>46072.238895891205</v>
      </c>
      <c r="B13266" s="49" t="s">
        <v>10562</v>
      </c>
    </row>
    <row r="13267" spans="1:2">
      <c r="A13267" s="66">
        <v>46072.23889912037</v>
      </c>
      <c r="B13267" s="49" t="s">
        <v>10563</v>
      </c>
    </row>
    <row r="13268" spans="1:2">
      <c r="A13268" s="66">
        <v>46072.238917685187</v>
      </c>
      <c r="B13268" s="49" t="s">
        <v>10564</v>
      </c>
    </row>
    <row r="13269" spans="1:2">
      <c r="A13269" s="66">
        <v>46072.238919513889</v>
      </c>
      <c r="B13269" s="49" t="s">
        <v>10542</v>
      </c>
    </row>
    <row r="13270" spans="1:2">
      <c r="A13270" s="66">
        <v>46072.238921180557</v>
      </c>
      <c r="B13270" s="49" t="s">
        <v>10543</v>
      </c>
    </row>
    <row r="13271" spans="1:2">
      <c r="A13271" s="66">
        <v>46072.238922534721</v>
      </c>
      <c r="B13271" s="49" t="s">
        <v>9394</v>
      </c>
    </row>
    <row r="13272" spans="1:2">
      <c r="A13272" s="66">
        <v>46072.240222418986</v>
      </c>
      <c r="B13272" s="49" t="s">
        <v>10556</v>
      </c>
    </row>
    <row r="13273" spans="1:2">
      <c r="A13273" s="66">
        <v>46072.240224456022</v>
      </c>
      <c r="B13273" s="49" t="s">
        <v>10557</v>
      </c>
    </row>
    <row r="13274" spans="1:2">
      <c r="A13274" s="66">
        <v>46072.240226527778</v>
      </c>
      <c r="B13274" s="49" t="s">
        <v>10546</v>
      </c>
    </row>
    <row r="13275" spans="1:2">
      <c r="A13275" s="66">
        <v>46072.240237488426</v>
      </c>
      <c r="B13275" s="49" t="s">
        <v>10466</v>
      </c>
    </row>
    <row r="13276" spans="1:2">
      <c r="A13276" s="66">
        <v>46072.240239270832</v>
      </c>
      <c r="B13276" s="49" t="s">
        <v>10561</v>
      </c>
    </row>
    <row r="13277" spans="1:2">
      <c r="A13277" s="66">
        <v>46072.240240914354</v>
      </c>
      <c r="B13277" s="49" t="s">
        <v>10562</v>
      </c>
    </row>
    <row r="13278" spans="1:2">
      <c r="A13278" s="66">
        <v>46072.24024269676</v>
      </c>
      <c r="B13278" s="49" t="s">
        <v>10563</v>
      </c>
    </row>
    <row r="13279" spans="1:2">
      <c r="A13279" s="66">
        <v>46072.240254953707</v>
      </c>
      <c r="B13279" s="49" t="s">
        <v>10564</v>
      </c>
    </row>
    <row r="13280" spans="1:2">
      <c r="A13280" s="66">
        <v>46072.240256956022</v>
      </c>
      <c r="B13280" s="49" t="s">
        <v>10542</v>
      </c>
    </row>
    <row r="13281" spans="1:2">
      <c r="A13281" s="66">
        <v>46072.24025855324</v>
      </c>
      <c r="B13281" s="49" t="s">
        <v>10543</v>
      </c>
    </row>
    <row r="13282" spans="1:2">
      <c r="A13282" s="66">
        <v>46072.240260601851</v>
      </c>
      <c r="B13282" s="49" t="s">
        <v>9394</v>
      </c>
    </row>
    <row r="13283" spans="1:2">
      <c r="A13283" s="66">
        <v>46072.241628877317</v>
      </c>
      <c r="B13283" s="49" t="s">
        <v>10556</v>
      </c>
    </row>
    <row r="13284" spans="1:2">
      <c r="A13284" s="66">
        <v>46072.241631203702</v>
      </c>
      <c r="B13284" s="49" t="s">
        <v>10557</v>
      </c>
    </row>
    <row r="13285" spans="1:2">
      <c r="A13285" s="66">
        <v>46072.241633391204</v>
      </c>
      <c r="B13285" s="49" t="s">
        <v>10546</v>
      </c>
    </row>
    <row r="13286" spans="1:2">
      <c r="A13286" s="66">
        <v>46072.24163527778</v>
      </c>
      <c r="B13286" s="49" t="s">
        <v>10466</v>
      </c>
    </row>
    <row r="13287" spans="1:2">
      <c r="A13287" s="66">
        <v>46072.241637175925</v>
      </c>
      <c r="B13287" s="49" t="s">
        <v>10561</v>
      </c>
    </row>
    <row r="13288" spans="1:2">
      <c r="A13288" s="66">
        <v>46072.241639791668</v>
      </c>
      <c r="B13288" s="49" t="s">
        <v>10562</v>
      </c>
    </row>
    <row r="13289" spans="1:2">
      <c r="A13289" s="66">
        <v>46072.241641666667</v>
      </c>
      <c r="B13289" s="49" t="s">
        <v>10563</v>
      </c>
    </row>
    <row r="13290" spans="1:2">
      <c r="A13290" s="66">
        <v>46072.241663460649</v>
      </c>
      <c r="B13290" s="49" t="s">
        <v>10564</v>
      </c>
    </row>
    <row r="13291" spans="1:2">
      <c r="A13291" s="66">
        <v>46072.241665451387</v>
      </c>
      <c r="B13291" s="49" t="s">
        <v>10542</v>
      </c>
    </row>
    <row r="13292" spans="1:2">
      <c r="A13292" s="66">
        <v>46072.241667453709</v>
      </c>
      <c r="B13292" s="49" t="s">
        <v>10543</v>
      </c>
    </row>
    <row r="13293" spans="1:2">
      <c r="A13293" s="66">
        <v>46072.241669317125</v>
      </c>
      <c r="B13293" s="49" t="s">
        <v>9394</v>
      </c>
    </row>
    <row r="13294" spans="1:2">
      <c r="A13294" s="66">
        <v>46072.242447233795</v>
      </c>
      <c r="B13294" s="49" t="s">
        <v>10556</v>
      </c>
    </row>
    <row r="13295" spans="1:2">
      <c r="A13295" s="66">
        <v>46072.242449363424</v>
      </c>
      <c r="B13295" s="49" t="s">
        <v>10557</v>
      </c>
    </row>
    <row r="13296" spans="1:2">
      <c r="A13296" s="66">
        <v>46072.242451840277</v>
      </c>
      <c r="B13296" s="49" t="s">
        <v>10546</v>
      </c>
    </row>
    <row r="13297" spans="1:2">
      <c r="A13297" s="66">
        <v>46072.242453761573</v>
      </c>
      <c r="B13297" s="49" t="s">
        <v>10466</v>
      </c>
    </row>
    <row r="13298" spans="1:2">
      <c r="A13298" s="66">
        <v>46072.242455810185</v>
      </c>
      <c r="B13298" s="49" t="s">
        <v>10561</v>
      </c>
    </row>
    <row r="13299" spans="1:2">
      <c r="A13299" s="66">
        <v>46072.242457627319</v>
      </c>
      <c r="B13299" s="49" t="s">
        <v>10562</v>
      </c>
    </row>
    <row r="13300" spans="1:2">
      <c r="A13300" s="66">
        <v>46072.242464131945</v>
      </c>
      <c r="B13300" s="49" t="s">
        <v>10563</v>
      </c>
    </row>
    <row r="13301" spans="1:2">
      <c r="A13301" s="66">
        <v>46072.242481990739</v>
      </c>
      <c r="B13301" s="49" t="s">
        <v>10564</v>
      </c>
    </row>
    <row r="13302" spans="1:2">
      <c r="A13302" s="66">
        <v>46072.242484027782</v>
      </c>
      <c r="B13302" s="49" t="s">
        <v>10542</v>
      </c>
    </row>
    <row r="13303" spans="1:2">
      <c r="A13303" s="66">
        <v>46072.242485868061</v>
      </c>
      <c r="B13303" s="49" t="s">
        <v>10543</v>
      </c>
    </row>
    <row r="13304" spans="1:2">
      <c r="A13304" s="66">
        <v>46072.242487858792</v>
      </c>
      <c r="B13304" s="49" t="s">
        <v>9394</v>
      </c>
    </row>
    <row r="13305" spans="1:2">
      <c r="A13305" s="66">
        <v>46072.242516377315</v>
      </c>
      <c r="B13305" s="49" t="s">
        <v>10556</v>
      </c>
    </row>
    <row r="13306" spans="1:2">
      <c r="A13306" s="66">
        <v>46072.242518171297</v>
      </c>
      <c r="B13306" s="49" t="s">
        <v>10565</v>
      </c>
    </row>
    <row r="13307" spans="1:2">
      <c r="A13307" s="66">
        <v>46072.242520150467</v>
      </c>
      <c r="B13307" s="49" t="s">
        <v>10566</v>
      </c>
    </row>
    <row r="13308" spans="1:2">
      <c r="A13308" s="66">
        <v>46072.242521956017</v>
      </c>
      <c r="B13308" s="49" t="s">
        <v>10466</v>
      </c>
    </row>
    <row r="13309" spans="1:2">
      <c r="A13309" s="66">
        <v>46072.242527152775</v>
      </c>
      <c r="B13309" s="49" t="s">
        <v>10567</v>
      </c>
    </row>
    <row r="13310" spans="1:2">
      <c r="A13310" s="66">
        <v>46072.242528958333</v>
      </c>
      <c r="B13310" s="49" t="s">
        <v>10568</v>
      </c>
    </row>
    <row r="13311" spans="1:2">
      <c r="A13311" s="66">
        <v>46072.242537048616</v>
      </c>
      <c r="B13311" s="49" t="s">
        <v>10569</v>
      </c>
    </row>
    <row r="13312" spans="1:2">
      <c r="A13312" s="66">
        <v>46072.242578495367</v>
      </c>
      <c r="B13312" s="49" t="s">
        <v>10556</v>
      </c>
    </row>
    <row r="13313" spans="1:2">
      <c r="A13313" s="66">
        <v>46072.242579942133</v>
      </c>
      <c r="B13313" s="49" t="s">
        <v>10565</v>
      </c>
    </row>
    <row r="13314" spans="1:2">
      <c r="A13314" s="66">
        <v>46072.242581655097</v>
      </c>
      <c r="B13314" s="49" t="s">
        <v>10566</v>
      </c>
    </row>
    <row r="13315" spans="1:2">
      <c r="A13315" s="66">
        <v>46072.242583113424</v>
      </c>
      <c r="B13315" s="49" t="s">
        <v>10466</v>
      </c>
    </row>
    <row r="13316" spans="1:2">
      <c r="A13316" s="66">
        <v>46072.242584756939</v>
      </c>
      <c r="B13316" s="49" t="s">
        <v>10567</v>
      </c>
    </row>
    <row r="13317" spans="1:2">
      <c r="A13317" s="66">
        <v>46072.242586516208</v>
      </c>
      <c r="B13317" s="49" t="s">
        <v>10568</v>
      </c>
    </row>
    <row r="13318" spans="1:2">
      <c r="A13318" s="66">
        <v>46072.242595034724</v>
      </c>
      <c r="B13318" s="49" t="s">
        <v>10570</v>
      </c>
    </row>
    <row r="13319" spans="1:2">
      <c r="A13319" s="66">
        <v>46072.242635439819</v>
      </c>
      <c r="B13319" s="49" t="s">
        <v>10556</v>
      </c>
    </row>
    <row r="13320" spans="1:2">
      <c r="A13320" s="66">
        <v>46072.242637662042</v>
      </c>
      <c r="B13320" s="49" t="s">
        <v>10565</v>
      </c>
    </row>
    <row r="13321" spans="1:2">
      <c r="A13321" s="66">
        <v>46072.242640104167</v>
      </c>
      <c r="B13321" s="49" t="s">
        <v>10566</v>
      </c>
    </row>
    <row r="13322" spans="1:2">
      <c r="A13322" s="66">
        <v>46072.242646030092</v>
      </c>
      <c r="B13322" s="49" t="s">
        <v>10466</v>
      </c>
    </row>
    <row r="13323" spans="1:2">
      <c r="A13323" s="66">
        <v>46072.242648796295</v>
      </c>
      <c r="B13323" s="49" t="s">
        <v>10567</v>
      </c>
    </row>
    <row r="13324" spans="1:2">
      <c r="A13324" s="66">
        <v>46072.242662488425</v>
      </c>
      <c r="B13324" s="49" t="s">
        <v>10568</v>
      </c>
    </row>
    <row r="13325" spans="1:2">
      <c r="A13325" s="66">
        <v>46072.242676712965</v>
      </c>
      <c r="B13325" s="49" t="s">
        <v>10571</v>
      </c>
    </row>
    <row r="13326" spans="1:2">
      <c r="A13326" s="66">
        <v>46072.242741192131</v>
      </c>
      <c r="B13326" s="49" t="s">
        <v>10556</v>
      </c>
    </row>
    <row r="13327" spans="1:2">
      <c r="A13327" s="66">
        <v>46072.242743287032</v>
      </c>
      <c r="B13327" s="49" t="s">
        <v>10565</v>
      </c>
    </row>
    <row r="13328" spans="1:2">
      <c r="A13328" s="66">
        <v>46072.242745972224</v>
      </c>
      <c r="B13328" s="49" t="s">
        <v>10566</v>
      </c>
    </row>
    <row r="13329" spans="1:2">
      <c r="A13329" s="66">
        <v>46072.242748784724</v>
      </c>
      <c r="B13329" s="49" t="s">
        <v>10466</v>
      </c>
    </row>
    <row r="13330" spans="1:2">
      <c r="A13330" s="66">
        <v>46072.242751365746</v>
      </c>
      <c r="B13330" s="49" t="s">
        <v>10567</v>
      </c>
    </row>
    <row r="13331" spans="1:2">
      <c r="A13331" s="66">
        <v>46072.242753773149</v>
      </c>
      <c r="B13331" s="49" t="s">
        <v>10568</v>
      </c>
    </row>
    <row r="13332" spans="1:2">
      <c r="A13332" s="66">
        <v>46072.242762870374</v>
      </c>
      <c r="B13332" s="49" t="s">
        <v>10572</v>
      </c>
    </row>
    <row r="13333" spans="1:2">
      <c r="A13333" s="66">
        <v>46072.242904571758</v>
      </c>
      <c r="B13333" s="49" t="s">
        <v>10556</v>
      </c>
    </row>
    <row r="13334" spans="1:2">
      <c r="A13334" s="66">
        <v>46072.242907106483</v>
      </c>
      <c r="B13334" s="49" t="s">
        <v>10565</v>
      </c>
    </row>
    <row r="13335" spans="1:2">
      <c r="A13335" s="66">
        <v>46072.242909490742</v>
      </c>
      <c r="B13335" s="49" t="s">
        <v>10566</v>
      </c>
    </row>
    <row r="13336" spans="1:2">
      <c r="A13336" s="66">
        <v>46072.242912233793</v>
      </c>
      <c r="B13336" s="49" t="s">
        <v>10466</v>
      </c>
    </row>
    <row r="13337" spans="1:2">
      <c r="A13337" s="66">
        <v>46072.242915578703</v>
      </c>
      <c r="B13337" s="49" t="s">
        <v>10567</v>
      </c>
    </row>
    <row r="13338" spans="1:2">
      <c r="A13338" s="66">
        <v>46072.242923784725</v>
      </c>
      <c r="B13338" s="49" t="s">
        <v>10568</v>
      </c>
    </row>
    <row r="13339" spans="1:2">
      <c r="A13339" s="66">
        <v>46072.242934155089</v>
      </c>
      <c r="B13339" s="49" t="s">
        <v>10573</v>
      </c>
    </row>
    <row r="13340" spans="1:2">
      <c r="A13340" s="66">
        <v>46072.243161886574</v>
      </c>
      <c r="B13340" s="49" t="s">
        <v>10556</v>
      </c>
    </row>
    <row r="13341" spans="1:2">
      <c r="A13341" s="66">
        <v>46072.243164004627</v>
      </c>
      <c r="B13341" s="49" t="s">
        <v>10565</v>
      </c>
    </row>
    <row r="13342" spans="1:2">
      <c r="A13342" s="66">
        <v>46072.243166087967</v>
      </c>
      <c r="B13342" s="49" t="s">
        <v>10566</v>
      </c>
    </row>
    <row r="13343" spans="1:2">
      <c r="A13343" s="66">
        <v>46072.243168090281</v>
      </c>
      <c r="B13343" s="49" t="s">
        <v>10466</v>
      </c>
    </row>
    <row r="13344" spans="1:2">
      <c r="A13344" s="66">
        <v>46072.243170196758</v>
      </c>
      <c r="B13344" s="49" t="s">
        <v>10567</v>
      </c>
    </row>
    <row r="13345" spans="1:2">
      <c r="A13345" s="66">
        <v>46072.243172141199</v>
      </c>
      <c r="B13345" s="49" t="s">
        <v>10568</v>
      </c>
    </row>
    <row r="13346" spans="1:2">
      <c r="A13346" s="66">
        <v>46072.243186446758</v>
      </c>
      <c r="B13346" s="49" t="s">
        <v>10574</v>
      </c>
    </row>
    <row r="13347" spans="1:2">
      <c r="A13347" s="66">
        <v>46072.243578321759</v>
      </c>
      <c r="B13347" s="49" t="s">
        <v>10556</v>
      </c>
    </row>
    <row r="13348" spans="1:2">
      <c r="A13348" s="66">
        <v>46072.24358199074</v>
      </c>
      <c r="B13348" s="49" t="s">
        <v>10565</v>
      </c>
    </row>
    <row r="13349" spans="1:2">
      <c r="A13349" s="66">
        <v>46072.24358412037</v>
      </c>
      <c r="B13349" s="49" t="s">
        <v>10566</v>
      </c>
    </row>
    <row r="13350" spans="1:2">
      <c r="A13350" s="66">
        <v>46072.243586111115</v>
      </c>
      <c r="B13350" s="49" t="s">
        <v>10466</v>
      </c>
    </row>
    <row r="13351" spans="1:2">
      <c r="A13351" s="66">
        <v>46072.24358829861</v>
      </c>
      <c r="B13351" s="49" t="s">
        <v>10567</v>
      </c>
    </row>
    <row r="13352" spans="1:2">
      <c r="A13352" s="66">
        <v>46072.243590833328</v>
      </c>
      <c r="B13352" s="49" t="s">
        <v>10568</v>
      </c>
    </row>
    <row r="13353" spans="1:2">
      <c r="A13353" s="66">
        <v>46072.243602314818</v>
      </c>
      <c r="B13353" s="49" t="s">
        <v>10575</v>
      </c>
    </row>
    <row r="13354" spans="1:2">
      <c r="A13354" s="66">
        <v>46072.244387372688</v>
      </c>
      <c r="B13354" s="49" t="s">
        <v>10556</v>
      </c>
    </row>
    <row r="13355" spans="1:2">
      <c r="A13355" s="66">
        <v>46072.244390717591</v>
      </c>
      <c r="B13355" s="49" t="s">
        <v>10565</v>
      </c>
    </row>
    <row r="13356" spans="1:2">
      <c r="A13356" s="66">
        <v>46072.244396851849</v>
      </c>
      <c r="B13356" s="49" t="s">
        <v>10566</v>
      </c>
    </row>
    <row r="13357" spans="1:2">
      <c r="A13357" s="66">
        <v>46072.24439861111</v>
      </c>
      <c r="B13357" s="49" t="s">
        <v>10466</v>
      </c>
    </row>
    <row r="13358" spans="1:2">
      <c r="A13358" s="66">
        <v>46072.244400613425</v>
      </c>
      <c r="B13358" s="49" t="s">
        <v>10567</v>
      </c>
    </row>
    <row r="13359" spans="1:2">
      <c r="A13359" s="66">
        <v>46072.24440225694</v>
      </c>
      <c r="B13359" s="49" t="s">
        <v>10568</v>
      </c>
    </row>
    <row r="13360" spans="1:2">
      <c r="A13360" s="66">
        <v>46072.244410543979</v>
      </c>
      <c r="B13360" s="49" t="s">
        <v>10576</v>
      </c>
    </row>
    <row r="13361" spans="1:2">
      <c r="A13361" s="66">
        <v>46072.24541581019</v>
      </c>
      <c r="B13361" s="49" t="s">
        <v>10556</v>
      </c>
    </row>
    <row r="13362" spans="1:2">
      <c r="A13362" s="66">
        <v>46072.245418379629</v>
      </c>
      <c r="B13362" s="49" t="s">
        <v>10565</v>
      </c>
    </row>
    <row r="13363" spans="1:2">
      <c r="A13363" s="66">
        <v>46072.245421006941</v>
      </c>
      <c r="B13363" s="49" t="s">
        <v>10566</v>
      </c>
    </row>
    <row r="13364" spans="1:2">
      <c r="A13364" s="66">
        <v>46072.245423495369</v>
      </c>
      <c r="B13364" s="49" t="s">
        <v>10466</v>
      </c>
    </row>
    <row r="13365" spans="1:2">
      <c r="A13365" s="66">
        <v>46072.245425810186</v>
      </c>
      <c r="B13365" s="49" t="s">
        <v>10567</v>
      </c>
    </row>
    <row r="13366" spans="1:2">
      <c r="A13366" s="66">
        <v>46072.24542846065</v>
      </c>
      <c r="B13366" s="49" t="s">
        <v>10568</v>
      </c>
    </row>
    <row r="13367" spans="1:2">
      <c r="A13367" s="66">
        <v>46072.245439143517</v>
      </c>
      <c r="B13367" s="49" t="s">
        <v>10577</v>
      </c>
    </row>
    <row r="13368" spans="1:2">
      <c r="A13368" s="66">
        <v>46072.246353032402</v>
      </c>
      <c r="B13368" s="49" t="s">
        <v>10556</v>
      </c>
    </row>
    <row r="13369" spans="1:2">
      <c r="A13369" s="66">
        <v>46072.246361759258</v>
      </c>
      <c r="B13369" s="49" t="s">
        <v>10565</v>
      </c>
    </row>
    <row r="13370" spans="1:2">
      <c r="A13370" s="66">
        <v>46072.246364803243</v>
      </c>
      <c r="B13370" s="49" t="s">
        <v>10566</v>
      </c>
    </row>
    <row r="13371" spans="1:2">
      <c r="A13371" s="66">
        <v>46072.246367164349</v>
      </c>
      <c r="B13371" s="49" t="s">
        <v>10466</v>
      </c>
    </row>
    <row r="13372" spans="1:2">
      <c r="A13372" s="66">
        <v>46072.246369212968</v>
      </c>
      <c r="B13372" s="49" t="s">
        <v>10567</v>
      </c>
    </row>
    <row r="13373" spans="1:2">
      <c r="A13373" s="66">
        <v>46072.246371909721</v>
      </c>
      <c r="B13373" s="49" t="s">
        <v>10568</v>
      </c>
    </row>
    <row r="13374" spans="1:2">
      <c r="A13374" s="66">
        <v>46072.246390821761</v>
      </c>
      <c r="B13374" s="49" t="s">
        <v>10578</v>
      </c>
    </row>
    <row r="13375" spans="1:2">
      <c r="A13375" s="66">
        <v>46072.246426990736</v>
      </c>
      <c r="B13375" s="49" t="s">
        <v>10556</v>
      </c>
    </row>
    <row r="13376" spans="1:2">
      <c r="A13376" s="66">
        <v>46072.246429571758</v>
      </c>
      <c r="B13376" s="49" t="s">
        <v>10579</v>
      </c>
    </row>
    <row r="13377" spans="1:2">
      <c r="A13377" s="66">
        <v>46072.246434363427</v>
      </c>
      <c r="B13377" s="49" t="s">
        <v>10580</v>
      </c>
    </row>
    <row r="13378" spans="1:2">
      <c r="A13378" s="66">
        <v>46072.246436064815</v>
      </c>
      <c r="B13378" s="49" t="s">
        <v>10466</v>
      </c>
    </row>
    <row r="13379" spans="1:2">
      <c r="A13379" s="66">
        <v>46072.246437743059</v>
      </c>
      <c r="B13379" s="49" t="s">
        <v>10581</v>
      </c>
    </row>
    <row r="13380" spans="1:2">
      <c r="A13380" s="66">
        <v>46072.246442361109</v>
      </c>
      <c r="B13380" s="49" t="s">
        <v>10562</v>
      </c>
    </row>
    <row r="13381" spans="1:2">
      <c r="A13381" s="66">
        <v>46072.24644412037</v>
      </c>
      <c r="B13381" s="49" t="s">
        <v>10582</v>
      </c>
    </row>
    <row r="13382" spans="1:2">
      <c r="A13382" s="66">
        <v>46072.246467997684</v>
      </c>
      <c r="B13382" s="49" t="s">
        <v>10564</v>
      </c>
    </row>
    <row r="13383" spans="1:2">
      <c r="A13383" s="66">
        <v>46072.246470266204</v>
      </c>
      <c r="B13383" s="49" t="s">
        <v>10542</v>
      </c>
    </row>
    <row r="13384" spans="1:2">
      <c r="A13384" s="66">
        <v>46072.246473078703</v>
      </c>
      <c r="B13384" s="49" t="s">
        <v>10543</v>
      </c>
    </row>
    <row r="13385" spans="1:2">
      <c r="A13385" s="66">
        <v>46072.246474745371</v>
      </c>
      <c r="B13385" s="49" t="s">
        <v>9394</v>
      </c>
    </row>
    <row r="13386" spans="1:2">
      <c r="A13386" s="66">
        <v>46072.246492858802</v>
      </c>
      <c r="B13386" s="49" t="s">
        <v>10556</v>
      </c>
    </row>
    <row r="13387" spans="1:2">
      <c r="A13387" s="66">
        <v>46072.246498368055</v>
      </c>
      <c r="B13387" s="49" t="s">
        <v>10579</v>
      </c>
    </row>
    <row r="13388" spans="1:2">
      <c r="A13388" s="66">
        <v>46072.246500000001</v>
      </c>
      <c r="B13388" s="49" t="s">
        <v>10580</v>
      </c>
    </row>
    <row r="13389" spans="1:2">
      <c r="A13389" s="66">
        <v>46072.246501875001</v>
      </c>
      <c r="B13389" s="49" t="s">
        <v>10466</v>
      </c>
    </row>
    <row r="13390" spans="1:2">
      <c r="A13390" s="66">
        <v>46072.246503969909</v>
      </c>
      <c r="B13390" s="49" t="s">
        <v>10581</v>
      </c>
    </row>
    <row r="13391" spans="1:2">
      <c r="A13391" s="66">
        <v>46072.246505810181</v>
      </c>
      <c r="B13391" s="49" t="s">
        <v>10562</v>
      </c>
    </row>
    <row r="13392" spans="1:2">
      <c r="A13392" s="66">
        <v>46072.246507766205</v>
      </c>
      <c r="B13392" s="49" t="s">
        <v>10582</v>
      </c>
    </row>
    <row r="13393" spans="1:2">
      <c r="A13393" s="66">
        <v>46072.246522303241</v>
      </c>
      <c r="B13393" s="49" t="s">
        <v>10564</v>
      </c>
    </row>
    <row r="13394" spans="1:2">
      <c r="A13394" s="66">
        <v>46072.24652458333</v>
      </c>
      <c r="B13394" s="49" t="s">
        <v>10542</v>
      </c>
    </row>
    <row r="13395" spans="1:2">
      <c r="A13395" s="66">
        <v>46072.246526400464</v>
      </c>
      <c r="B13395" s="49" t="s">
        <v>10543</v>
      </c>
    </row>
    <row r="13396" spans="1:2">
      <c r="A13396" s="66">
        <v>46072.246528923613</v>
      </c>
      <c r="B13396" s="49" t="s">
        <v>9394</v>
      </c>
    </row>
    <row r="13397" spans="1:2">
      <c r="A13397" s="66">
        <v>46072.246570474541</v>
      </c>
      <c r="B13397" s="49" t="s">
        <v>10556</v>
      </c>
    </row>
    <row r="13398" spans="1:2">
      <c r="A13398" s="66">
        <v>46072.246572731485</v>
      </c>
      <c r="B13398" s="49" t="s">
        <v>10579</v>
      </c>
    </row>
    <row r="13399" spans="1:2">
      <c r="A13399" s="66">
        <v>46072.246575520832</v>
      </c>
      <c r="B13399" s="49" t="s">
        <v>10580</v>
      </c>
    </row>
    <row r="13400" spans="1:2">
      <c r="A13400" s="66">
        <v>46072.24657771991</v>
      </c>
      <c r="B13400" s="49" t="s">
        <v>10466</v>
      </c>
    </row>
    <row r="13401" spans="1:2">
      <c r="A13401" s="66">
        <v>46072.24658013889</v>
      </c>
      <c r="B13401" s="49" t="s">
        <v>10581</v>
      </c>
    </row>
    <row r="13402" spans="1:2">
      <c r="A13402" s="66">
        <v>46072.246582708336</v>
      </c>
      <c r="B13402" s="49" t="s">
        <v>10562</v>
      </c>
    </row>
    <row r="13403" spans="1:2">
      <c r="A13403" s="66">
        <v>46072.246585451387</v>
      </c>
      <c r="B13403" s="49" t="s">
        <v>10582</v>
      </c>
    </row>
    <row r="13404" spans="1:2">
      <c r="A13404" s="66">
        <v>46072.246603842592</v>
      </c>
      <c r="B13404" s="49" t="s">
        <v>10564</v>
      </c>
    </row>
    <row r="13405" spans="1:2">
      <c r="A13405" s="66">
        <v>46072.24660622685</v>
      </c>
      <c r="B13405" s="49" t="s">
        <v>10542</v>
      </c>
    </row>
    <row r="13406" spans="1:2">
      <c r="A13406" s="66">
        <v>46072.246608368056</v>
      </c>
      <c r="B13406" s="49" t="s">
        <v>10543</v>
      </c>
    </row>
    <row r="13407" spans="1:2">
      <c r="A13407" s="66">
        <v>46072.246611030088</v>
      </c>
      <c r="B13407" s="49" t="s">
        <v>9394</v>
      </c>
    </row>
    <row r="13408" spans="1:2">
      <c r="A13408" s="66">
        <v>46072.246678587966</v>
      </c>
      <c r="B13408" s="49" t="s">
        <v>10556</v>
      </c>
    </row>
    <row r="13409" spans="1:2">
      <c r="A13409" s="66">
        <v>46072.24668045139</v>
      </c>
      <c r="B13409" s="49" t="s">
        <v>10579</v>
      </c>
    </row>
    <row r="13410" spans="1:2">
      <c r="A13410" s="66">
        <v>46072.246682245372</v>
      </c>
      <c r="B13410" s="49" t="s">
        <v>10580</v>
      </c>
    </row>
    <row r="13411" spans="1:2">
      <c r="A13411" s="66">
        <v>46072.246683854166</v>
      </c>
      <c r="B13411" s="49" t="s">
        <v>10466</v>
      </c>
    </row>
    <row r="13412" spans="1:2">
      <c r="A13412" s="66">
        <v>46072.246685706021</v>
      </c>
      <c r="B13412" s="49" t="s">
        <v>10581</v>
      </c>
    </row>
    <row r="13413" spans="1:2">
      <c r="A13413" s="66">
        <v>46072.246687604165</v>
      </c>
      <c r="B13413" s="49" t="s">
        <v>10562</v>
      </c>
    </row>
    <row r="13414" spans="1:2">
      <c r="A13414" s="66">
        <v>46072.246689733794</v>
      </c>
      <c r="B13414" s="49" t="s">
        <v>10582</v>
      </c>
    </row>
    <row r="13415" spans="1:2">
      <c r="A13415" s="66">
        <v>46072.24670747685</v>
      </c>
      <c r="B13415" s="49" t="s">
        <v>10564</v>
      </c>
    </row>
    <row r="13416" spans="1:2">
      <c r="A13416" s="66">
        <v>46072.246709664352</v>
      </c>
      <c r="B13416" s="49" t="s">
        <v>10542</v>
      </c>
    </row>
    <row r="13417" spans="1:2">
      <c r="A13417" s="66">
        <v>46072.246711736108</v>
      </c>
      <c r="B13417" s="49" t="s">
        <v>10543</v>
      </c>
    </row>
    <row r="13418" spans="1:2">
      <c r="A13418" s="66">
        <v>46072.246715833331</v>
      </c>
      <c r="B13418" s="49" t="s">
        <v>9394</v>
      </c>
    </row>
    <row r="13419" spans="1:2">
      <c r="A13419" s="66">
        <v>46072.246826898147</v>
      </c>
      <c r="B13419" s="49" t="s">
        <v>10556</v>
      </c>
    </row>
    <row r="13420" spans="1:2">
      <c r="A13420" s="66">
        <v>46072.246828807867</v>
      </c>
      <c r="B13420" s="49" t="s">
        <v>10579</v>
      </c>
    </row>
    <row r="13421" spans="1:2">
      <c r="A13421" s="66">
        <v>46072.246831006945</v>
      </c>
      <c r="B13421" s="49" t="s">
        <v>10580</v>
      </c>
    </row>
    <row r="13422" spans="1:2">
      <c r="A13422" s="66">
        <v>46072.246832789351</v>
      </c>
      <c r="B13422" s="49" t="s">
        <v>10466</v>
      </c>
    </row>
    <row r="13423" spans="1:2">
      <c r="A13423" s="66">
        <v>46072.246834745369</v>
      </c>
      <c r="B13423" s="49" t="s">
        <v>10581</v>
      </c>
    </row>
    <row r="13424" spans="1:2">
      <c r="A13424" s="66">
        <v>46072.246836979168</v>
      </c>
      <c r="B13424" s="49" t="s">
        <v>10562</v>
      </c>
    </row>
    <row r="13425" spans="1:2">
      <c r="A13425" s="66">
        <v>46072.246839016203</v>
      </c>
      <c r="B13425" s="49" t="s">
        <v>10582</v>
      </c>
    </row>
    <row r="13426" spans="1:2">
      <c r="A13426" s="66">
        <v>46072.246854907411</v>
      </c>
      <c r="B13426" s="49" t="s">
        <v>10564</v>
      </c>
    </row>
    <row r="13427" spans="1:2">
      <c r="A13427" s="66">
        <v>46072.246857013888</v>
      </c>
      <c r="B13427" s="49" t="s">
        <v>10542</v>
      </c>
    </row>
    <row r="13428" spans="1:2">
      <c r="A13428" s="66">
        <v>46072.246859224542</v>
      </c>
      <c r="B13428" s="49" t="s">
        <v>10543</v>
      </c>
    </row>
    <row r="13429" spans="1:2">
      <c r="A13429" s="66">
        <v>46072.246861192129</v>
      </c>
      <c r="B13429" s="49" t="s">
        <v>9394</v>
      </c>
    </row>
    <row r="13430" spans="1:2">
      <c r="A13430" s="66">
        <v>46072.247088668984</v>
      </c>
      <c r="B13430" s="49" t="s">
        <v>10556</v>
      </c>
    </row>
    <row r="13431" spans="1:2">
      <c r="A13431" s="66">
        <v>46072.247090486111</v>
      </c>
      <c r="B13431" s="49" t="s">
        <v>10579</v>
      </c>
    </row>
    <row r="13432" spans="1:2">
      <c r="A13432" s="66">
        <v>46072.247097094907</v>
      </c>
      <c r="B13432" s="49" t="s">
        <v>10580</v>
      </c>
    </row>
    <row r="13433" spans="1:2">
      <c r="A13433" s="66">
        <v>46072.247098692125</v>
      </c>
      <c r="B13433" s="49" t="s">
        <v>10466</v>
      </c>
    </row>
    <row r="13434" spans="1:2">
      <c r="A13434" s="66">
        <v>46072.247100462962</v>
      </c>
      <c r="B13434" s="49" t="s">
        <v>10581</v>
      </c>
    </row>
    <row r="13435" spans="1:2">
      <c r="A13435" s="66">
        <v>46072.247109618052</v>
      </c>
      <c r="B13435" s="49" t="s">
        <v>10562</v>
      </c>
    </row>
    <row r="13436" spans="1:2">
      <c r="A13436" s="66">
        <v>46072.247111342593</v>
      </c>
      <c r="B13436" s="49" t="s">
        <v>10582</v>
      </c>
    </row>
    <row r="13437" spans="1:2">
      <c r="A13437" s="66">
        <v>46072.247127650466</v>
      </c>
      <c r="B13437" s="49" t="s">
        <v>10564</v>
      </c>
    </row>
    <row r="13438" spans="1:2">
      <c r="A13438" s="66">
        <v>46072.247129733798</v>
      </c>
      <c r="B13438" s="49" t="s">
        <v>10542</v>
      </c>
    </row>
    <row r="13439" spans="1:2">
      <c r="A13439" s="66">
        <v>46072.24713152778</v>
      </c>
      <c r="B13439" s="49" t="s">
        <v>10543</v>
      </c>
    </row>
    <row r="13440" spans="1:2">
      <c r="A13440" s="66">
        <v>46072.247133263889</v>
      </c>
      <c r="B13440" s="49" t="s">
        <v>9394</v>
      </c>
    </row>
    <row r="13441" spans="1:2">
      <c r="A13441" s="66">
        <v>46072.24752149306</v>
      </c>
      <c r="B13441" s="49" t="s">
        <v>10556</v>
      </c>
    </row>
    <row r="13442" spans="1:2">
      <c r="A13442" s="66">
        <v>46072.247523912039</v>
      </c>
      <c r="B13442" s="49" t="s">
        <v>10579</v>
      </c>
    </row>
    <row r="13443" spans="1:2">
      <c r="A13443" s="66">
        <v>46072.247525960644</v>
      </c>
      <c r="B13443" s="49" t="s">
        <v>10580</v>
      </c>
    </row>
    <row r="13444" spans="1:2">
      <c r="A13444" s="66">
        <v>46072.247528113425</v>
      </c>
      <c r="B13444" s="49" t="s">
        <v>10466</v>
      </c>
    </row>
    <row r="13445" spans="1:2">
      <c r="A13445" s="66">
        <v>46072.247530231485</v>
      </c>
      <c r="B13445" s="49" t="s">
        <v>10581</v>
      </c>
    </row>
    <row r="13446" spans="1:2">
      <c r="A13446" s="66">
        <v>46072.247532175927</v>
      </c>
      <c r="B13446" s="49" t="s">
        <v>10562</v>
      </c>
    </row>
    <row r="13447" spans="1:2">
      <c r="A13447" s="66">
        <v>46072.247534363429</v>
      </c>
      <c r="B13447" s="49" t="s">
        <v>10582</v>
      </c>
    </row>
    <row r="13448" spans="1:2">
      <c r="A13448" s="66">
        <v>46072.24754931713</v>
      </c>
      <c r="B13448" s="49" t="s">
        <v>10564</v>
      </c>
    </row>
    <row r="13449" spans="1:2">
      <c r="A13449" s="66">
        <v>46072.247551319444</v>
      </c>
      <c r="B13449" s="49" t="s">
        <v>10542</v>
      </c>
    </row>
    <row r="13450" spans="1:2">
      <c r="A13450" s="66">
        <v>46072.247553761576</v>
      </c>
      <c r="B13450" s="49" t="s">
        <v>10543</v>
      </c>
    </row>
    <row r="13451" spans="1:2">
      <c r="A13451" s="66">
        <v>46072.247555972222</v>
      </c>
      <c r="B13451" s="49" t="s">
        <v>9394</v>
      </c>
    </row>
    <row r="13452" spans="1:2">
      <c r="A13452" s="66">
        <v>46072.24829210648</v>
      </c>
      <c r="B13452" s="49" t="s">
        <v>10556</v>
      </c>
    </row>
    <row r="13453" spans="1:2">
      <c r="A13453" s="66">
        <v>46072.248294386576</v>
      </c>
      <c r="B13453" s="49" t="s">
        <v>10579</v>
      </c>
    </row>
    <row r="13454" spans="1:2">
      <c r="A13454" s="66">
        <v>46072.248296215279</v>
      </c>
      <c r="B13454" s="49" t="s">
        <v>10580</v>
      </c>
    </row>
    <row r="13455" spans="1:2">
      <c r="A13455" s="66">
        <v>46072.248298171296</v>
      </c>
      <c r="B13455" s="49" t="s">
        <v>10466</v>
      </c>
    </row>
    <row r="13456" spans="1:2">
      <c r="A13456" s="66">
        <v>46072.248299907413</v>
      </c>
      <c r="B13456" s="49" t="s">
        <v>10581</v>
      </c>
    </row>
    <row r="13457" spans="1:2">
      <c r="A13457" s="66">
        <v>46072.24830175926</v>
      </c>
      <c r="B13457" s="49" t="s">
        <v>10562</v>
      </c>
    </row>
    <row r="13458" spans="1:2">
      <c r="A13458" s="66">
        <v>46072.248303657412</v>
      </c>
      <c r="B13458" s="49" t="s">
        <v>10582</v>
      </c>
    </row>
    <row r="13459" spans="1:2">
      <c r="A13459" s="66">
        <v>46072.248325</v>
      </c>
      <c r="B13459" s="49" t="s">
        <v>10564</v>
      </c>
    </row>
    <row r="13460" spans="1:2">
      <c r="A13460" s="66">
        <v>46072.248327083333</v>
      </c>
      <c r="B13460" s="49" t="s">
        <v>10542</v>
      </c>
    </row>
    <row r="13461" spans="1:2">
      <c r="A13461" s="66">
        <v>46072.248328796297</v>
      </c>
      <c r="B13461" s="49" t="s">
        <v>10543</v>
      </c>
    </row>
    <row r="13462" spans="1:2">
      <c r="A13462" s="66">
        <v>46072.248330439819</v>
      </c>
      <c r="B13462" s="49" t="s">
        <v>9394</v>
      </c>
    </row>
    <row r="13463" spans="1:2">
      <c r="A13463" s="66">
        <v>46072.249139942127</v>
      </c>
      <c r="B13463" s="49" t="s">
        <v>10556</v>
      </c>
    </row>
    <row r="13464" spans="1:2">
      <c r="A13464" s="66">
        <v>46072.249143055553</v>
      </c>
      <c r="B13464" s="49" t="s">
        <v>10579</v>
      </c>
    </row>
    <row r="13465" spans="1:2">
      <c r="A13465" s="66">
        <v>46072.249145821756</v>
      </c>
      <c r="B13465" s="49" t="s">
        <v>10580</v>
      </c>
    </row>
    <row r="13466" spans="1:2">
      <c r="A13466" s="66">
        <v>46072.24915689815</v>
      </c>
      <c r="B13466" s="49" t="s">
        <v>10466</v>
      </c>
    </row>
    <row r="13467" spans="1:2">
      <c r="A13467" s="66">
        <v>46072.249163726854</v>
      </c>
      <c r="B13467" s="49" t="s">
        <v>10581</v>
      </c>
    </row>
    <row r="13468" spans="1:2">
      <c r="A13468" s="66">
        <v>46072.249173888893</v>
      </c>
      <c r="B13468" s="49" t="s">
        <v>10562</v>
      </c>
    </row>
    <row r="13469" spans="1:2">
      <c r="A13469" s="66">
        <v>46072.249176967598</v>
      </c>
      <c r="B13469" s="49" t="s">
        <v>10582</v>
      </c>
    </row>
    <row r="13470" spans="1:2">
      <c r="A13470" s="66">
        <v>46072.249196435187</v>
      </c>
      <c r="B13470" s="49" t="s">
        <v>10564</v>
      </c>
    </row>
    <row r="13471" spans="1:2">
      <c r="A13471" s="66">
        <v>46072.249200046295</v>
      </c>
      <c r="B13471" s="49" t="s">
        <v>10542</v>
      </c>
    </row>
    <row r="13472" spans="1:2">
      <c r="A13472" s="66">
        <v>46072.249208935187</v>
      </c>
      <c r="B13472" s="49" t="s">
        <v>10543</v>
      </c>
    </row>
    <row r="13473" spans="1:2">
      <c r="A13473" s="66">
        <v>46072.249211863425</v>
      </c>
      <c r="B13473" s="49" t="s">
        <v>9394</v>
      </c>
    </row>
    <row r="13474" spans="1:2">
      <c r="A13474" s="66">
        <v>46072.2500797338</v>
      </c>
      <c r="B13474" s="49" t="s">
        <v>10556</v>
      </c>
    </row>
    <row r="13475" spans="1:2">
      <c r="A13475" s="66">
        <v>46072.250082025465</v>
      </c>
      <c r="B13475" s="49" t="s">
        <v>10579</v>
      </c>
    </row>
    <row r="13476" spans="1:2">
      <c r="A13476" s="66">
        <v>46072.250084212967</v>
      </c>
      <c r="B13476" s="49" t="s">
        <v>10580</v>
      </c>
    </row>
    <row r="13477" spans="1:2">
      <c r="A13477" s="66">
        <v>46072.250086145832</v>
      </c>
      <c r="B13477" s="49" t="s">
        <v>10466</v>
      </c>
    </row>
    <row r="13478" spans="1:2">
      <c r="A13478" s="66">
        <v>46072.250088159723</v>
      </c>
      <c r="B13478" s="49" t="s">
        <v>10581</v>
      </c>
    </row>
    <row r="13479" spans="1:2">
      <c r="A13479" s="66">
        <v>46072.2500902662</v>
      </c>
      <c r="B13479" s="49" t="s">
        <v>10562</v>
      </c>
    </row>
    <row r="13480" spans="1:2">
      <c r="A13480" s="66">
        <v>46072.250092037037</v>
      </c>
      <c r="B13480" s="49" t="s">
        <v>10582</v>
      </c>
    </row>
    <row r="13481" spans="1:2">
      <c r="A13481" s="66">
        <v>46072.250109594912</v>
      </c>
      <c r="B13481" s="49" t="s">
        <v>10564</v>
      </c>
    </row>
    <row r="13482" spans="1:2">
      <c r="A13482" s="66">
        <v>46072.250111550922</v>
      </c>
      <c r="B13482" s="49" t="s">
        <v>10542</v>
      </c>
    </row>
    <row r="13483" spans="1:2">
      <c r="A13483" s="66">
        <v>46072.250113587965</v>
      </c>
      <c r="B13483" s="49" t="s">
        <v>10543</v>
      </c>
    </row>
    <row r="13484" spans="1:2">
      <c r="A13484" s="66">
        <v>46072.250118842596</v>
      </c>
      <c r="B13484" s="49" t="s">
        <v>9394</v>
      </c>
    </row>
    <row r="13485" spans="1:2">
      <c r="A13485" s="66">
        <v>46072.251353946762</v>
      </c>
      <c r="B13485" s="49" t="s">
        <v>10556</v>
      </c>
    </row>
    <row r="13486" spans="1:2">
      <c r="A13486" s="66">
        <v>46072.251356064815</v>
      </c>
      <c r="B13486" s="49" t="s">
        <v>10579</v>
      </c>
    </row>
    <row r="13487" spans="1:2">
      <c r="A13487" s="66">
        <v>46072.251357488421</v>
      </c>
      <c r="B13487" s="49" t="s">
        <v>10580</v>
      </c>
    </row>
    <row r="13488" spans="1:2">
      <c r="A13488" s="66">
        <v>46072.251365798613</v>
      </c>
      <c r="B13488" s="49" t="s">
        <v>10466</v>
      </c>
    </row>
    <row r="13489" spans="1:2">
      <c r="A13489" s="66">
        <v>46072.251367245372</v>
      </c>
      <c r="B13489" s="49" t="s">
        <v>10581</v>
      </c>
    </row>
    <row r="13490" spans="1:2">
      <c r="A13490" s="66">
        <v>46072.2513716088</v>
      </c>
      <c r="B13490" s="49" t="s">
        <v>10562</v>
      </c>
    </row>
    <row r="13491" spans="1:2">
      <c r="A13491" s="66">
        <v>46072.251373472223</v>
      </c>
      <c r="B13491" s="49" t="s">
        <v>10582</v>
      </c>
    </row>
    <row r="13492" spans="1:2">
      <c r="A13492" s="66">
        <v>46072.251390949074</v>
      </c>
      <c r="B13492" s="49" t="s">
        <v>10564</v>
      </c>
    </row>
    <row r="13493" spans="1:2">
      <c r="A13493" s="66">
        <v>46072.251392812497</v>
      </c>
      <c r="B13493" s="49" t="s">
        <v>10542</v>
      </c>
    </row>
    <row r="13494" spans="1:2">
      <c r="A13494" s="66">
        <v>46072.251399328699</v>
      </c>
      <c r="B13494" s="49" t="s">
        <v>10543</v>
      </c>
    </row>
    <row r="13495" spans="1:2">
      <c r="A13495" s="66">
        <v>46072.25140306713</v>
      </c>
      <c r="B13495" s="49" t="s">
        <v>9394</v>
      </c>
    </row>
    <row r="13496" spans="1:2">
      <c r="A13496" s="66">
        <v>46072.251442199078</v>
      </c>
      <c r="B13496" s="49" t="s">
        <v>10556</v>
      </c>
    </row>
    <row r="13497" spans="1:2">
      <c r="A13497" s="66">
        <v>46072.251445694448</v>
      </c>
      <c r="B13497" s="49" t="s">
        <v>10583</v>
      </c>
    </row>
    <row r="13498" spans="1:2">
      <c r="A13498" s="66">
        <v>46072.251447951392</v>
      </c>
      <c r="B13498" s="49" t="s">
        <v>10584</v>
      </c>
    </row>
    <row r="13499" spans="1:2">
      <c r="A13499" s="66">
        <v>46072.251449756943</v>
      </c>
      <c r="B13499" s="49" t="s">
        <v>10466</v>
      </c>
    </row>
    <row r="13500" spans="1:2">
      <c r="A13500" s="66">
        <v>46072.251451504635</v>
      </c>
      <c r="B13500" s="49" t="s">
        <v>10585</v>
      </c>
    </row>
    <row r="13501" spans="1:2">
      <c r="A13501" s="66">
        <v>46072.2514534375</v>
      </c>
      <c r="B13501" s="49" t="s">
        <v>10562</v>
      </c>
    </row>
    <row r="13502" spans="1:2">
      <c r="A13502" s="66">
        <v>46072.25146777778</v>
      </c>
      <c r="B13502" s="49" t="s">
        <v>10586</v>
      </c>
    </row>
    <row r="13503" spans="1:2">
      <c r="A13503" s="66">
        <v>46072.251489745366</v>
      </c>
      <c r="B13503" s="49" t="s">
        <v>10564</v>
      </c>
    </row>
    <row r="13504" spans="1:2">
      <c r="A13504" s="66">
        <v>46072.251504548607</v>
      </c>
      <c r="B13504" s="49" t="s">
        <v>10542</v>
      </c>
    </row>
    <row r="13505" spans="1:2">
      <c r="A13505" s="66">
        <v>46072.251507106484</v>
      </c>
      <c r="B13505" s="49" t="s">
        <v>10543</v>
      </c>
    </row>
    <row r="13506" spans="1:2">
      <c r="A13506" s="66">
        <v>46072.251509270835</v>
      </c>
      <c r="B13506" s="49" t="s">
        <v>9394</v>
      </c>
    </row>
    <row r="13507" spans="1:2">
      <c r="A13507" s="66">
        <v>46072.251528067129</v>
      </c>
      <c r="B13507" s="49" t="s">
        <v>10556</v>
      </c>
    </row>
    <row r="13508" spans="1:2">
      <c r="A13508" s="66">
        <v>46072.251530312496</v>
      </c>
      <c r="B13508" s="49" t="s">
        <v>10583</v>
      </c>
    </row>
    <row r="13509" spans="1:2">
      <c r="A13509" s="66">
        <v>46072.251532453709</v>
      </c>
      <c r="B13509" s="49" t="s">
        <v>10584</v>
      </c>
    </row>
    <row r="13510" spans="1:2">
      <c r="A13510" s="66">
        <v>46072.251534618059</v>
      </c>
      <c r="B13510" s="49" t="s">
        <v>10466</v>
      </c>
    </row>
    <row r="13511" spans="1:2">
      <c r="A13511" s="66">
        <v>46072.251537847224</v>
      </c>
      <c r="B13511" s="49" t="s">
        <v>10585</v>
      </c>
    </row>
    <row r="13512" spans="1:2">
      <c r="A13512" s="66">
        <v>46072.251539988429</v>
      </c>
      <c r="B13512" s="49" t="s">
        <v>10562</v>
      </c>
    </row>
    <row r="13513" spans="1:2">
      <c r="A13513" s="66">
        <v>46072.251542083337</v>
      </c>
      <c r="B13513" s="49" t="s">
        <v>10586</v>
      </c>
    </row>
    <row r="13514" spans="1:2">
      <c r="A13514" s="66">
        <v>46072.251556979165</v>
      </c>
      <c r="B13514" s="49" t="s">
        <v>10564</v>
      </c>
    </row>
    <row r="13515" spans="1:2">
      <c r="A13515" s="66">
        <v>46072.251559016207</v>
      </c>
      <c r="B13515" s="49" t="s">
        <v>10542</v>
      </c>
    </row>
    <row r="13516" spans="1:2">
      <c r="A13516" s="66">
        <v>46072.251561168981</v>
      </c>
      <c r="B13516" s="49" t="s">
        <v>10543</v>
      </c>
    </row>
    <row r="13517" spans="1:2">
      <c r="A13517" s="66">
        <v>46072.251563344907</v>
      </c>
      <c r="B13517" s="49" t="s">
        <v>9394</v>
      </c>
    </row>
    <row r="13518" spans="1:2">
      <c r="A13518" s="66">
        <v>46072.251606053236</v>
      </c>
      <c r="B13518" s="49" t="s">
        <v>10556</v>
      </c>
    </row>
    <row r="13519" spans="1:2">
      <c r="A13519" s="66">
        <v>46072.251608715276</v>
      </c>
      <c r="B13519" s="49" t="s">
        <v>10583</v>
      </c>
    </row>
    <row r="13520" spans="1:2">
      <c r="A13520" s="66">
        <v>46072.251610914347</v>
      </c>
      <c r="B13520" s="49" t="s">
        <v>10584</v>
      </c>
    </row>
    <row r="13521" spans="1:2">
      <c r="A13521" s="66">
        <v>46072.251613032407</v>
      </c>
      <c r="B13521" s="49" t="s">
        <v>10466</v>
      </c>
    </row>
    <row r="13522" spans="1:2">
      <c r="A13522" s="66">
        <v>46072.251616041671</v>
      </c>
      <c r="B13522" s="49" t="s">
        <v>10585</v>
      </c>
    </row>
    <row r="13523" spans="1:2">
      <c r="A13523" s="66">
        <v>46072.251618263894</v>
      </c>
      <c r="B13523" s="49" t="s">
        <v>10562</v>
      </c>
    </row>
    <row r="13524" spans="1:2">
      <c r="A13524" s="66">
        <v>46072.251620740746</v>
      </c>
      <c r="B13524" s="49" t="s">
        <v>10586</v>
      </c>
    </row>
    <row r="13525" spans="1:2">
      <c r="A13525" s="66">
        <v>46072.25163648148</v>
      </c>
      <c r="B13525" s="49" t="s">
        <v>10564</v>
      </c>
    </row>
    <row r="13526" spans="1:2">
      <c r="A13526" s="66">
        <v>46072.251639826391</v>
      </c>
      <c r="B13526" s="49" t="s">
        <v>10542</v>
      </c>
    </row>
    <row r="13527" spans="1:2">
      <c r="A13527" s="66">
        <v>46072.251642291667</v>
      </c>
      <c r="B13527" s="49" t="s">
        <v>10543</v>
      </c>
    </row>
    <row r="13528" spans="1:2">
      <c r="A13528" s="66">
        <v>46072.251644710646</v>
      </c>
      <c r="B13528" s="49" t="s">
        <v>9394</v>
      </c>
    </row>
    <row r="13529" spans="1:2">
      <c r="A13529" s="66">
        <v>46072.251714710648</v>
      </c>
      <c r="B13529" s="49" t="s">
        <v>10556</v>
      </c>
    </row>
    <row r="13530" spans="1:2">
      <c r="A13530" s="66">
        <v>46072.251716736107</v>
      </c>
      <c r="B13530" s="49" t="s">
        <v>10583</v>
      </c>
    </row>
    <row r="13531" spans="1:2">
      <c r="A13531" s="66">
        <v>46072.251719363427</v>
      </c>
      <c r="B13531" s="49" t="s">
        <v>10584</v>
      </c>
    </row>
    <row r="13532" spans="1:2">
      <c r="A13532" s="66">
        <v>46072.251726331015</v>
      </c>
      <c r="B13532" s="49" t="s">
        <v>10466</v>
      </c>
    </row>
    <row r="13533" spans="1:2">
      <c r="A13533" s="66">
        <v>46072.251729039352</v>
      </c>
      <c r="B13533" s="49" t="s">
        <v>10585</v>
      </c>
    </row>
    <row r="13534" spans="1:2">
      <c r="A13534" s="66">
        <v>46072.251730914351</v>
      </c>
      <c r="B13534" s="49" t="s">
        <v>10562</v>
      </c>
    </row>
    <row r="13535" spans="1:2">
      <c r="A13535" s="66">
        <v>46072.251737951388</v>
      </c>
      <c r="B13535" s="49" t="s">
        <v>10586</v>
      </c>
    </row>
    <row r="13536" spans="1:2">
      <c r="A13536" s="66">
        <v>46072.251753287041</v>
      </c>
      <c r="B13536" s="49" t="s">
        <v>10564</v>
      </c>
    </row>
    <row r="13537" spans="1:2">
      <c r="A13537" s="66">
        <v>46072.251755891208</v>
      </c>
      <c r="B13537" s="49" t="s">
        <v>10542</v>
      </c>
    </row>
    <row r="13538" spans="1:2">
      <c r="A13538" s="66">
        <v>46072.251758321756</v>
      </c>
      <c r="B13538" s="49" t="s">
        <v>10543</v>
      </c>
    </row>
    <row r="13539" spans="1:2">
      <c r="A13539" s="66">
        <v>46072.251761099542</v>
      </c>
      <c r="B13539" s="49" t="s">
        <v>9394</v>
      </c>
    </row>
    <row r="13540" spans="1:2">
      <c r="A13540" s="66">
        <v>46072.251890960644</v>
      </c>
      <c r="B13540" s="49" t="s">
        <v>10556</v>
      </c>
    </row>
    <row r="13541" spans="1:2">
      <c r="A13541" s="66">
        <v>46072.251893391207</v>
      </c>
      <c r="B13541" s="49" t="s">
        <v>10583</v>
      </c>
    </row>
    <row r="13542" spans="1:2">
      <c r="A13542" s="66">
        <v>46072.251895833338</v>
      </c>
      <c r="B13542" s="49" t="s">
        <v>10584</v>
      </c>
    </row>
    <row r="13543" spans="1:2">
      <c r="A13543" s="66">
        <v>46072.251898171293</v>
      </c>
      <c r="B13543" s="49" t="s">
        <v>10466</v>
      </c>
    </row>
    <row r="13544" spans="1:2">
      <c r="A13544" s="66">
        <v>46072.251900277777</v>
      </c>
      <c r="B13544" s="49" t="s">
        <v>10585</v>
      </c>
    </row>
    <row r="13545" spans="1:2">
      <c r="A13545" s="66">
        <v>46072.251902592594</v>
      </c>
      <c r="B13545" s="49" t="s">
        <v>10562</v>
      </c>
    </row>
    <row r="13546" spans="1:2">
      <c r="A13546" s="66">
        <v>46072.251904988429</v>
      </c>
      <c r="B13546" s="49" t="s">
        <v>10586</v>
      </c>
    </row>
    <row r="13547" spans="1:2">
      <c r="A13547" s="66">
        <v>46072.251921238421</v>
      </c>
      <c r="B13547" s="49" t="s">
        <v>10564</v>
      </c>
    </row>
    <row r="13548" spans="1:2">
      <c r="A13548" s="66">
        <v>46072.251923298609</v>
      </c>
      <c r="B13548" s="49" t="s">
        <v>10542</v>
      </c>
    </row>
    <row r="13549" spans="1:2">
      <c r="A13549" s="66">
        <v>46072.25192840278</v>
      </c>
      <c r="B13549" s="49" t="s">
        <v>10543</v>
      </c>
    </row>
    <row r="13550" spans="1:2">
      <c r="A13550" s="66">
        <v>46072.251930405095</v>
      </c>
      <c r="B13550" s="49" t="s">
        <v>9394</v>
      </c>
    </row>
    <row r="13551" spans="1:2">
      <c r="A13551" s="66">
        <v>46072.252159988428</v>
      </c>
      <c r="B13551" s="49" t="s">
        <v>10556</v>
      </c>
    </row>
    <row r="13552" spans="1:2">
      <c r="A13552" s="66">
        <v>46072.25216181713</v>
      </c>
      <c r="B13552" s="49" t="s">
        <v>10583</v>
      </c>
    </row>
    <row r="13553" spans="1:2">
      <c r="A13553" s="66">
        <v>46072.252163703699</v>
      </c>
      <c r="B13553" s="49" t="s">
        <v>10584</v>
      </c>
    </row>
    <row r="13554" spans="1:2">
      <c r="A13554" s="66">
        <v>46072.252165543978</v>
      </c>
      <c r="B13554" s="49" t="s">
        <v>10466</v>
      </c>
    </row>
    <row r="13555" spans="1:2">
      <c r="A13555" s="66">
        <v>46072.252167638886</v>
      </c>
      <c r="B13555" s="49" t="s">
        <v>10585</v>
      </c>
    </row>
    <row r="13556" spans="1:2">
      <c r="A13556" s="66">
        <v>46072.252169583335</v>
      </c>
      <c r="B13556" s="49" t="s">
        <v>10562</v>
      </c>
    </row>
    <row r="13557" spans="1:2">
      <c r="A13557" s="66">
        <v>46072.252171458334</v>
      </c>
      <c r="B13557" s="49" t="s">
        <v>10586</v>
      </c>
    </row>
    <row r="13558" spans="1:2">
      <c r="A13558" s="66">
        <v>46072.252196851856</v>
      </c>
      <c r="B13558" s="49" t="s">
        <v>10564</v>
      </c>
    </row>
    <row r="13559" spans="1:2">
      <c r="A13559" s="66">
        <v>46072.25219890046</v>
      </c>
      <c r="B13559" s="49" t="s">
        <v>10542</v>
      </c>
    </row>
    <row r="13560" spans="1:2">
      <c r="A13560" s="66">
        <v>46072.252201041665</v>
      </c>
      <c r="B13560" s="49" t="s">
        <v>10543</v>
      </c>
    </row>
    <row r="13561" spans="1:2">
      <c r="A13561" s="66">
        <v>46072.252203171302</v>
      </c>
      <c r="B13561" s="49" t="s">
        <v>9394</v>
      </c>
    </row>
    <row r="13562" spans="1:2">
      <c r="A13562" s="66">
        <v>46072.252595358797</v>
      </c>
      <c r="B13562" s="49" t="s">
        <v>10556</v>
      </c>
    </row>
    <row r="13563" spans="1:2">
      <c r="A13563" s="66">
        <v>46072.252597372688</v>
      </c>
      <c r="B13563" s="49" t="s">
        <v>10583</v>
      </c>
    </row>
    <row r="13564" spans="1:2">
      <c r="A13564" s="66">
        <v>46072.252599398147</v>
      </c>
      <c r="B13564" s="49" t="s">
        <v>10584</v>
      </c>
    </row>
    <row r="13565" spans="1:2">
      <c r="A13565" s="66">
        <v>46072.25260133102</v>
      </c>
      <c r="B13565" s="49" t="s">
        <v>10466</v>
      </c>
    </row>
    <row r="13566" spans="1:2">
      <c r="A13566" s="66">
        <v>46072.252603125002</v>
      </c>
      <c r="B13566" s="49" t="s">
        <v>10585</v>
      </c>
    </row>
    <row r="13567" spans="1:2">
      <c r="A13567" s="66">
        <v>46072.25260511574</v>
      </c>
      <c r="B13567" s="49" t="s">
        <v>10562</v>
      </c>
    </row>
    <row r="13568" spans="1:2">
      <c r="A13568" s="66">
        <v>46072.252606863425</v>
      </c>
      <c r="B13568" s="49" t="s">
        <v>10586</v>
      </c>
    </row>
    <row r="13569" spans="1:2">
      <c r="A13569" s="66">
        <v>46072.252624548608</v>
      </c>
      <c r="B13569" s="49" t="s">
        <v>10564</v>
      </c>
    </row>
    <row r="13570" spans="1:2">
      <c r="A13570" s="66">
        <v>46072.252626562498</v>
      </c>
      <c r="B13570" s="49" t="s">
        <v>10542</v>
      </c>
    </row>
    <row r="13571" spans="1:2">
      <c r="A13571" s="66">
        <v>46072.252628344911</v>
      </c>
      <c r="B13571" s="49" t="s">
        <v>10543</v>
      </c>
    </row>
    <row r="13572" spans="1:2">
      <c r="A13572" s="66">
        <v>46072.252630636576</v>
      </c>
      <c r="B13572" s="49" t="s">
        <v>9394</v>
      </c>
    </row>
    <row r="13573" spans="1:2">
      <c r="A13573" s="66">
        <v>46072.253396469911</v>
      </c>
      <c r="B13573" s="49" t="s">
        <v>10556</v>
      </c>
    </row>
    <row r="13574" spans="1:2">
      <c r="A13574" s="66">
        <v>46072.253401423615</v>
      </c>
      <c r="B13574" s="49" t="s">
        <v>10583</v>
      </c>
    </row>
    <row r="13575" spans="1:2">
      <c r="A13575" s="66">
        <v>46072.253403587965</v>
      </c>
      <c r="B13575" s="49" t="s">
        <v>10584</v>
      </c>
    </row>
    <row r="13576" spans="1:2">
      <c r="A13576" s="66">
        <v>46072.253405520838</v>
      </c>
      <c r="B13576" s="49" t="s">
        <v>10466</v>
      </c>
    </row>
    <row r="13577" spans="1:2">
      <c r="A13577" s="66">
        <v>46072.253407442127</v>
      </c>
      <c r="B13577" s="49" t="s">
        <v>10585</v>
      </c>
    </row>
    <row r="13578" spans="1:2">
      <c r="A13578" s="66">
        <v>46072.253410277779</v>
      </c>
      <c r="B13578" s="49" t="s">
        <v>10562</v>
      </c>
    </row>
    <row r="13579" spans="1:2">
      <c r="A13579" s="66">
        <v>46072.253412164355</v>
      </c>
      <c r="B13579" s="49" t="s">
        <v>10586</v>
      </c>
    </row>
    <row r="13580" spans="1:2">
      <c r="A13580" s="66">
        <v>46072.253429479169</v>
      </c>
      <c r="B13580" s="49" t="s">
        <v>10564</v>
      </c>
    </row>
    <row r="13581" spans="1:2">
      <c r="A13581" s="66">
        <v>46072.253431423611</v>
      </c>
      <c r="B13581" s="49" t="s">
        <v>10542</v>
      </c>
    </row>
    <row r="13582" spans="1:2">
      <c r="A13582" s="66">
        <v>46072.25343621528</v>
      </c>
      <c r="B13582" s="49" t="s">
        <v>10543</v>
      </c>
    </row>
    <row r="13583" spans="1:2">
      <c r="A13583" s="66">
        <v>46072.253438078704</v>
      </c>
      <c r="B13583" s="49" t="s">
        <v>9394</v>
      </c>
    </row>
    <row r="13584" spans="1:2">
      <c r="A13584" s="66">
        <v>46072.254746932871</v>
      </c>
      <c r="B13584" s="49" t="s">
        <v>10556</v>
      </c>
    </row>
    <row r="13585" spans="1:2">
      <c r="A13585" s="66">
        <v>46072.254748993058</v>
      </c>
      <c r="B13585" s="49" t="s">
        <v>10583</v>
      </c>
    </row>
    <row r="13586" spans="1:2">
      <c r="A13586" s="66">
        <v>46072.254756770832</v>
      </c>
      <c r="B13586" s="49" t="s">
        <v>10584</v>
      </c>
    </row>
    <row r="13587" spans="1:2">
      <c r="A13587" s="66">
        <v>46072.254758854164</v>
      </c>
      <c r="B13587" s="49" t="s">
        <v>10466</v>
      </c>
    </row>
    <row r="13588" spans="1:2">
      <c r="A13588" s="66">
        <v>46072.254760659722</v>
      </c>
      <c r="B13588" s="49" t="s">
        <v>10585</v>
      </c>
    </row>
    <row r="13589" spans="1:2">
      <c r="A13589" s="66">
        <v>46072.254762523153</v>
      </c>
      <c r="B13589" s="49" t="s">
        <v>10562</v>
      </c>
    </row>
    <row r="13590" spans="1:2">
      <c r="A13590" s="66">
        <v>46072.254764050929</v>
      </c>
      <c r="B13590" s="49" t="s">
        <v>10586</v>
      </c>
    </row>
    <row r="13591" spans="1:2">
      <c r="A13591" s="66">
        <v>46072.254777465278</v>
      </c>
      <c r="B13591" s="49" t="s">
        <v>10564</v>
      </c>
    </row>
    <row r="13592" spans="1:2">
      <c r="A13592" s="66">
        <v>46072.254786238424</v>
      </c>
      <c r="B13592" s="49" t="s">
        <v>10542</v>
      </c>
    </row>
    <row r="13593" spans="1:2">
      <c r="A13593" s="66">
        <v>46072.254789618055</v>
      </c>
      <c r="B13593" s="49" t="s">
        <v>10543</v>
      </c>
    </row>
    <row r="13594" spans="1:2">
      <c r="A13594" s="66">
        <v>46072.254791597225</v>
      </c>
      <c r="B13594" s="49" t="s">
        <v>9394</v>
      </c>
    </row>
    <row r="13595" spans="1:2">
      <c r="A13595" s="66">
        <v>46072.256008518518</v>
      </c>
      <c r="B13595" s="49" t="s">
        <v>10556</v>
      </c>
    </row>
    <row r="13596" spans="1:2">
      <c r="A13596" s="66">
        <v>46072.25601114583</v>
      </c>
      <c r="B13596" s="49" t="s">
        <v>10583</v>
      </c>
    </row>
    <row r="13597" spans="1:2">
      <c r="A13597" s="66">
        <v>46072.256020601853</v>
      </c>
      <c r="B13597" s="49" t="s">
        <v>10584</v>
      </c>
    </row>
    <row r="13598" spans="1:2">
      <c r="A13598" s="66">
        <v>46072.256022743051</v>
      </c>
      <c r="B13598" s="49" t="s">
        <v>10466</v>
      </c>
    </row>
    <row r="13599" spans="1:2">
      <c r="A13599" s="66">
        <v>46072.256024849536</v>
      </c>
      <c r="B13599" s="49" t="s">
        <v>10585</v>
      </c>
    </row>
    <row r="13600" spans="1:2">
      <c r="A13600" s="66">
        <v>46072.256027349533</v>
      </c>
      <c r="B13600" s="49" t="s">
        <v>10562</v>
      </c>
    </row>
    <row r="13601" spans="1:2">
      <c r="A13601" s="66">
        <v>46072.256029502314</v>
      </c>
      <c r="B13601" s="49" t="s">
        <v>10586</v>
      </c>
    </row>
    <row r="13602" spans="1:2">
      <c r="A13602" s="66">
        <v>46072.25604601852</v>
      </c>
      <c r="B13602" s="49" t="s">
        <v>10564</v>
      </c>
    </row>
    <row r="13603" spans="1:2">
      <c r="A13603" s="66">
        <v>46072.256049062504</v>
      </c>
      <c r="B13603" s="49" t="s">
        <v>10542</v>
      </c>
    </row>
    <row r="13604" spans="1:2">
      <c r="A13604" s="66">
        <v>46072.256051481483</v>
      </c>
      <c r="B13604" s="49" t="s">
        <v>10543</v>
      </c>
    </row>
    <row r="13605" spans="1:2">
      <c r="A13605" s="66">
        <v>46072.256054421297</v>
      </c>
      <c r="B13605" s="49" t="s">
        <v>9394</v>
      </c>
    </row>
    <row r="13606" spans="1:2">
      <c r="A13606" s="66">
        <v>46072.25688400463</v>
      </c>
      <c r="B13606" s="49" t="s">
        <v>10556</v>
      </c>
    </row>
    <row r="13607" spans="1:2">
      <c r="A13607" s="66">
        <v>46072.256886817129</v>
      </c>
      <c r="B13607" s="49" t="s">
        <v>10583</v>
      </c>
    </row>
    <row r="13608" spans="1:2">
      <c r="A13608" s="66">
        <v>46072.256889212964</v>
      </c>
      <c r="B13608" s="49" t="s">
        <v>10584</v>
      </c>
    </row>
    <row r="13609" spans="1:2">
      <c r="A13609" s="66">
        <v>46072.256891122684</v>
      </c>
      <c r="B13609" s="49" t="s">
        <v>10466</v>
      </c>
    </row>
    <row r="13610" spans="1:2">
      <c r="A13610" s="66">
        <v>46072.256897129628</v>
      </c>
      <c r="B13610" s="49" t="s">
        <v>10585</v>
      </c>
    </row>
    <row r="13611" spans="1:2">
      <c r="A13611" s="66">
        <v>46072.256899525462</v>
      </c>
      <c r="B13611" s="49" t="s">
        <v>10562</v>
      </c>
    </row>
    <row r="13612" spans="1:2">
      <c r="A13612" s="66">
        <v>46072.256904293987</v>
      </c>
      <c r="B13612" s="49" t="s">
        <v>10586</v>
      </c>
    </row>
    <row r="13613" spans="1:2">
      <c r="A13613" s="66">
        <v>46072.256919884254</v>
      </c>
      <c r="B13613" s="49" t="s">
        <v>10564</v>
      </c>
    </row>
    <row r="13614" spans="1:2">
      <c r="A13614" s="66">
        <v>46072.256922083332</v>
      </c>
      <c r="B13614" s="49" t="s">
        <v>10542</v>
      </c>
    </row>
    <row r="13615" spans="1:2">
      <c r="A13615" s="66">
        <v>46072.256924108791</v>
      </c>
      <c r="B13615" s="49" t="s">
        <v>10543</v>
      </c>
    </row>
    <row r="13616" spans="1:2">
      <c r="A13616" s="66">
        <v>46072.256926712958</v>
      </c>
      <c r="B13616" s="49" t="s">
        <v>9394</v>
      </c>
    </row>
    <row r="13617" spans="1:2">
      <c r="A13617" s="66">
        <v>46072.256953159726</v>
      </c>
      <c r="B13617" s="49" t="s">
        <v>10556</v>
      </c>
    </row>
    <row r="13618" spans="1:2">
      <c r="A13618" s="66">
        <v>46072.256955000004</v>
      </c>
      <c r="B13618" s="49" t="s">
        <v>10587</v>
      </c>
    </row>
    <row r="13619" spans="1:2">
      <c r="A13619" s="66">
        <v>46072.256956956015</v>
      </c>
      <c r="B13619" s="49" t="s">
        <v>10588</v>
      </c>
    </row>
    <row r="13620" spans="1:2">
      <c r="A13620" s="66">
        <v>46072.256959016202</v>
      </c>
      <c r="B13620" s="49" t="s">
        <v>10466</v>
      </c>
    </row>
    <row r="13621" spans="1:2">
      <c r="A13621" s="66">
        <v>46072.256961122686</v>
      </c>
      <c r="B13621" s="49" t="s">
        <v>10589</v>
      </c>
    </row>
    <row r="13622" spans="1:2">
      <c r="A13622" s="66">
        <v>46072.256963425927</v>
      </c>
      <c r="B13622" s="49" t="s">
        <v>10562</v>
      </c>
    </row>
    <row r="13623" spans="1:2">
      <c r="A13623" s="66">
        <v>46072.256965243054</v>
      </c>
      <c r="B13623" s="49" t="s">
        <v>10590</v>
      </c>
    </row>
    <row r="13624" spans="1:2">
      <c r="A13624" s="66">
        <v>46072.256981087965</v>
      </c>
      <c r="B13624" s="49" t="s">
        <v>10564</v>
      </c>
    </row>
    <row r="13625" spans="1:2">
      <c r="A13625" s="66">
        <v>46072.256989120375</v>
      </c>
      <c r="B13625" s="49" t="s">
        <v>10591</v>
      </c>
    </row>
    <row r="13626" spans="1:2">
      <c r="A13626" s="66">
        <v>46072.257007766202</v>
      </c>
      <c r="B13626" s="49" t="s">
        <v>10556</v>
      </c>
    </row>
    <row r="13627" spans="1:2">
      <c r="A13627" s="66">
        <v>46072.257010069443</v>
      </c>
      <c r="B13627" s="49" t="s">
        <v>10587</v>
      </c>
    </row>
    <row r="13628" spans="1:2">
      <c r="A13628" s="66">
        <v>46072.257012071757</v>
      </c>
      <c r="B13628" s="49" t="s">
        <v>10588</v>
      </c>
    </row>
    <row r="13629" spans="1:2">
      <c r="A13629" s="66">
        <v>46072.25701450232</v>
      </c>
      <c r="B13629" s="49" t="s">
        <v>10466</v>
      </c>
    </row>
    <row r="13630" spans="1:2">
      <c r="A13630" s="66">
        <v>46072.257016898147</v>
      </c>
      <c r="B13630" s="49" t="s">
        <v>10589</v>
      </c>
    </row>
    <row r="13631" spans="1:2">
      <c r="A13631" s="66">
        <v>46072.257023564816</v>
      </c>
      <c r="B13631" s="49" t="s">
        <v>10562</v>
      </c>
    </row>
    <row r="13632" spans="1:2">
      <c r="A13632" s="66">
        <v>46072.257025509258</v>
      </c>
      <c r="B13632" s="49" t="s">
        <v>10590</v>
      </c>
    </row>
    <row r="13633" spans="1:2">
      <c r="A13633" s="66">
        <v>46072.257037002317</v>
      </c>
      <c r="B13633" s="49" t="s">
        <v>10592</v>
      </c>
    </row>
    <row r="13634" spans="1:2">
      <c r="A13634" s="66">
        <v>46072.257078472219</v>
      </c>
      <c r="B13634" s="49" t="s">
        <v>10556</v>
      </c>
    </row>
    <row r="13635" spans="1:2">
      <c r="A13635" s="66">
        <v>46072.2570800463</v>
      </c>
      <c r="B13635" s="49" t="s">
        <v>10587</v>
      </c>
    </row>
    <row r="13636" spans="1:2">
      <c r="A13636" s="66">
        <v>46072.257081956021</v>
      </c>
      <c r="B13636" s="49" t="s">
        <v>10588</v>
      </c>
    </row>
    <row r="13637" spans="1:2">
      <c r="A13637" s="66">
        <v>46072.257083842589</v>
      </c>
      <c r="B13637" s="49" t="s">
        <v>10466</v>
      </c>
    </row>
    <row r="13638" spans="1:2">
      <c r="A13638" s="66">
        <v>46072.257085844903</v>
      </c>
      <c r="B13638" s="49" t="s">
        <v>10589</v>
      </c>
    </row>
    <row r="13639" spans="1:2">
      <c r="A13639" s="66">
        <v>46072.257087951388</v>
      </c>
      <c r="B13639" s="49" t="s">
        <v>10562</v>
      </c>
    </row>
    <row r="13640" spans="1:2">
      <c r="A13640" s="66">
        <v>46072.257090717598</v>
      </c>
      <c r="B13640" s="49" t="s">
        <v>10590</v>
      </c>
    </row>
    <row r="13641" spans="1:2">
      <c r="A13641" s="66">
        <v>46072.257105543977</v>
      </c>
      <c r="B13641" s="49" t="s">
        <v>10592</v>
      </c>
    </row>
    <row r="13642" spans="1:2">
      <c r="A13642" s="66">
        <v>46072.257172291662</v>
      </c>
      <c r="B13642" s="49" t="s">
        <v>10556</v>
      </c>
    </row>
    <row r="13643" spans="1:2">
      <c r="A13643" s="66">
        <v>46072.257178171298</v>
      </c>
      <c r="B13643" s="49" t="s">
        <v>10587</v>
      </c>
    </row>
    <row r="13644" spans="1:2">
      <c r="A13644" s="66">
        <v>46072.257180590277</v>
      </c>
      <c r="B13644" s="49" t="s">
        <v>10588</v>
      </c>
    </row>
    <row r="13645" spans="1:2">
      <c r="A13645" s="66">
        <v>46072.257182534726</v>
      </c>
      <c r="B13645" s="49" t="s">
        <v>10466</v>
      </c>
    </row>
    <row r="13646" spans="1:2">
      <c r="A13646" s="66">
        <v>46072.257187430558</v>
      </c>
      <c r="B13646" s="49" t="s">
        <v>10589</v>
      </c>
    </row>
    <row r="13647" spans="1:2">
      <c r="A13647" s="66">
        <v>46072.257189490745</v>
      </c>
      <c r="B13647" s="49" t="s">
        <v>10562</v>
      </c>
    </row>
    <row r="13648" spans="1:2">
      <c r="A13648" s="66">
        <v>46072.257195717597</v>
      </c>
      <c r="B13648" s="49" t="s">
        <v>10590</v>
      </c>
    </row>
    <row r="13649" spans="1:2">
      <c r="A13649" s="66">
        <v>46072.257213136574</v>
      </c>
      <c r="B13649" s="49" t="s">
        <v>10592</v>
      </c>
    </row>
    <row r="13650" spans="1:2">
      <c r="A13650" s="66">
        <v>46072.257323275466</v>
      </c>
      <c r="B13650" s="49" t="s">
        <v>10556</v>
      </c>
    </row>
    <row r="13651" spans="1:2">
      <c r="A13651" s="66">
        <v>46072.25732488426</v>
      </c>
      <c r="B13651" s="49" t="s">
        <v>10587</v>
      </c>
    </row>
    <row r="13652" spans="1:2">
      <c r="A13652" s="66">
        <v>46072.257326678242</v>
      </c>
      <c r="B13652" s="49" t="s">
        <v>10588</v>
      </c>
    </row>
    <row r="13653" spans="1:2">
      <c r="A13653" s="66">
        <v>46072.25732853009</v>
      </c>
      <c r="B13653" s="49" t="s">
        <v>10466</v>
      </c>
    </row>
    <row r="13654" spans="1:2">
      <c r="A13654" s="66">
        <v>46072.257330486114</v>
      </c>
      <c r="B13654" s="49" t="s">
        <v>10589</v>
      </c>
    </row>
    <row r="13655" spans="1:2">
      <c r="A13655" s="66">
        <v>46072.257332453708</v>
      </c>
      <c r="B13655" s="49" t="s">
        <v>10562</v>
      </c>
    </row>
    <row r="13656" spans="1:2">
      <c r="A13656" s="66">
        <v>46072.257334305556</v>
      </c>
      <c r="B13656" s="49" t="s">
        <v>10590</v>
      </c>
    </row>
    <row r="13657" spans="1:2">
      <c r="A13657" s="66">
        <v>46072.257345138889</v>
      </c>
      <c r="B13657" s="49" t="s">
        <v>10592</v>
      </c>
    </row>
    <row r="13658" spans="1:2">
      <c r="A13658" s="66">
        <v>46072.257552060182</v>
      </c>
      <c r="B13658" s="49" t="s">
        <v>10556</v>
      </c>
    </row>
    <row r="13659" spans="1:2">
      <c r="A13659" s="66">
        <v>46072.257553831019</v>
      </c>
      <c r="B13659" s="49" t="s">
        <v>10587</v>
      </c>
    </row>
    <row r="13660" spans="1:2">
      <c r="A13660" s="66">
        <v>46072.257559803242</v>
      </c>
      <c r="B13660" s="49" t="s">
        <v>10588</v>
      </c>
    </row>
    <row r="13661" spans="1:2">
      <c r="A13661" s="66">
        <v>46072.257561388891</v>
      </c>
      <c r="B13661" s="49" t="s">
        <v>10466</v>
      </c>
    </row>
    <row r="13662" spans="1:2">
      <c r="A13662" s="66">
        <v>46072.257563692125</v>
      </c>
      <c r="B13662" s="49" t="s">
        <v>10589</v>
      </c>
    </row>
    <row r="13663" spans="1:2">
      <c r="A13663" s="66">
        <v>46072.25756539352</v>
      </c>
      <c r="B13663" s="49" t="s">
        <v>10562</v>
      </c>
    </row>
    <row r="13664" spans="1:2">
      <c r="A13664" s="66">
        <v>46072.257567210647</v>
      </c>
      <c r="B13664" s="49" t="s">
        <v>10590</v>
      </c>
    </row>
    <row r="13665" spans="1:2">
      <c r="A13665" s="66">
        <v>46072.257577939818</v>
      </c>
      <c r="B13665" s="49" t="s">
        <v>10592</v>
      </c>
    </row>
    <row r="13666" spans="1:2">
      <c r="A13666" s="66">
        <v>46072.257967256941</v>
      </c>
      <c r="B13666" s="49" t="s">
        <v>10556</v>
      </c>
    </row>
    <row r="13667" spans="1:2">
      <c r="A13667" s="66">
        <v>46072.257969525468</v>
      </c>
      <c r="B13667" s="49" t="s">
        <v>10587</v>
      </c>
    </row>
    <row r="13668" spans="1:2">
      <c r="A13668" s="66">
        <v>46072.257971921295</v>
      </c>
      <c r="B13668" s="49" t="s">
        <v>10588</v>
      </c>
    </row>
    <row r="13669" spans="1:2">
      <c r="A13669" s="66">
        <v>46072.257974513894</v>
      </c>
      <c r="B13669" s="49" t="s">
        <v>10466</v>
      </c>
    </row>
    <row r="13670" spans="1:2">
      <c r="A13670" s="66">
        <v>46072.257976388893</v>
      </c>
      <c r="B13670" s="49" t="s">
        <v>10589</v>
      </c>
    </row>
    <row r="13671" spans="1:2">
      <c r="A13671" s="66">
        <v>46072.257978657406</v>
      </c>
      <c r="B13671" s="49" t="s">
        <v>10562</v>
      </c>
    </row>
    <row r="13672" spans="1:2">
      <c r="A13672" s="66">
        <v>46072.257981053241</v>
      </c>
      <c r="B13672" s="49" t="s">
        <v>10590</v>
      </c>
    </row>
    <row r="13673" spans="1:2">
      <c r="A13673" s="66">
        <v>46072.257994050931</v>
      </c>
      <c r="B13673" s="49" t="s">
        <v>10592</v>
      </c>
    </row>
    <row r="13674" spans="1:2">
      <c r="A13674" s="66">
        <v>46072.25875523148</v>
      </c>
      <c r="B13674" s="49" t="s">
        <v>10556</v>
      </c>
    </row>
    <row r="13675" spans="1:2">
      <c r="A13675" s="66">
        <v>46072.258763437501</v>
      </c>
      <c r="B13675" s="49" t="s">
        <v>10587</v>
      </c>
    </row>
    <row r="13676" spans="1:2">
      <c r="A13676" s="66">
        <v>46072.258769236112</v>
      </c>
      <c r="B13676" s="49" t="s">
        <v>10588</v>
      </c>
    </row>
    <row r="13677" spans="1:2">
      <c r="A13677" s="66">
        <v>46072.258774594906</v>
      </c>
      <c r="B13677" s="49" t="s">
        <v>10466</v>
      </c>
    </row>
    <row r="13678" spans="1:2">
      <c r="A13678" s="66">
        <v>46072.258776215276</v>
      </c>
      <c r="B13678" s="49" t="s">
        <v>10589</v>
      </c>
    </row>
    <row r="13679" spans="1:2">
      <c r="A13679" s="66">
        <v>46072.258777835646</v>
      </c>
      <c r="B13679" s="49" t="s">
        <v>10562</v>
      </c>
    </row>
    <row r="13680" spans="1:2">
      <c r="A13680" s="66">
        <v>46072.258779733791</v>
      </c>
      <c r="B13680" s="49" t="s">
        <v>10590</v>
      </c>
    </row>
    <row r="13681" spans="1:2">
      <c r="A13681" s="66">
        <v>46072.25879172454</v>
      </c>
      <c r="B13681" s="49" t="s">
        <v>10592</v>
      </c>
    </row>
    <row r="13682" spans="1:2">
      <c r="A13682" s="66">
        <v>46072.260182152779</v>
      </c>
      <c r="B13682" s="49" t="s">
        <v>10556</v>
      </c>
    </row>
    <row r="13683" spans="1:2">
      <c r="A13683" s="66">
        <v>46072.26018438657</v>
      </c>
      <c r="B13683" s="49" t="s">
        <v>10587</v>
      </c>
    </row>
    <row r="13684" spans="1:2">
      <c r="A13684" s="66">
        <v>46072.26018701389</v>
      </c>
      <c r="B13684" s="49" t="s">
        <v>10588</v>
      </c>
    </row>
    <row r="13685" spans="1:2">
      <c r="A13685" s="66">
        <v>46072.260191365742</v>
      </c>
      <c r="B13685" s="49" t="s">
        <v>10466</v>
      </c>
    </row>
    <row r="13686" spans="1:2">
      <c r="A13686" s="66">
        <v>46072.260195046299</v>
      </c>
      <c r="B13686" s="49" t="s">
        <v>10589</v>
      </c>
    </row>
    <row r="13687" spans="1:2">
      <c r="A13687" s="66">
        <v>46072.260197337964</v>
      </c>
      <c r="B13687" s="49" t="s">
        <v>10562</v>
      </c>
    </row>
    <row r="13688" spans="1:2">
      <c r="A13688" s="66">
        <v>46072.260199490745</v>
      </c>
      <c r="B13688" s="49" t="s">
        <v>10590</v>
      </c>
    </row>
    <row r="13689" spans="1:2">
      <c r="A13689" s="66">
        <v>46072.260217986113</v>
      </c>
      <c r="B13689" s="49" t="s">
        <v>10592</v>
      </c>
    </row>
    <row r="13690" spans="1:2">
      <c r="A13690" s="66">
        <v>46072.261232893521</v>
      </c>
      <c r="B13690" s="49" t="s">
        <v>10556</v>
      </c>
    </row>
    <row r="13691" spans="1:2">
      <c r="A13691" s="66">
        <v>46072.261238321764</v>
      </c>
      <c r="B13691" s="49" t="s">
        <v>10587</v>
      </c>
    </row>
    <row r="13692" spans="1:2">
      <c r="A13692" s="66">
        <v>46072.261240173611</v>
      </c>
      <c r="B13692" s="49" t="s">
        <v>10588</v>
      </c>
    </row>
    <row r="13693" spans="1:2">
      <c r="A13693" s="66">
        <v>46072.261241932865</v>
      </c>
      <c r="B13693" s="49" t="s">
        <v>10466</v>
      </c>
    </row>
    <row r="13694" spans="1:2">
      <c r="A13694" s="66">
        <v>46072.261243935187</v>
      </c>
      <c r="B13694" s="49" t="s">
        <v>10589</v>
      </c>
    </row>
    <row r="13695" spans="1:2">
      <c r="A13695" s="66">
        <v>46072.261245787042</v>
      </c>
      <c r="B13695" s="49" t="s">
        <v>10562</v>
      </c>
    </row>
    <row r="13696" spans="1:2">
      <c r="A13696" s="66">
        <v>46072.261251689815</v>
      </c>
      <c r="B13696" s="49" t="s">
        <v>10590</v>
      </c>
    </row>
    <row r="13697" spans="1:2">
      <c r="A13697" s="66">
        <v>46072.261264097222</v>
      </c>
      <c r="B13697" s="49" t="s">
        <v>10592</v>
      </c>
    </row>
    <row r="13698" spans="1:2">
      <c r="A13698" s="66">
        <v>46072.262061504633</v>
      </c>
      <c r="B13698" s="49" t="s">
        <v>10556</v>
      </c>
    </row>
    <row r="13699" spans="1:2">
      <c r="A13699" s="66">
        <v>46072.262063888891</v>
      </c>
      <c r="B13699" s="49" t="s">
        <v>10587</v>
      </c>
    </row>
    <row r="13700" spans="1:2">
      <c r="A13700" s="66">
        <v>46072.26207438657</v>
      </c>
      <c r="B13700" s="49" t="s">
        <v>10588</v>
      </c>
    </row>
    <row r="13701" spans="1:2">
      <c r="A13701" s="66">
        <v>46072.262076273153</v>
      </c>
      <c r="B13701" s="49" t="s">
        <v>10466</v>
      </c>
    </row>
    <row r="13702" spans="1:2">
      <c r="A13702" s="66">
        <v>46072.262078078704</v>
      </c>
      <c r="B13702" s="49" t="s">
        <v>10589</v>
      </c>
    </row>
    <row r="13703" spans="1:2">
      <c r="A13703" s="66">
        <v>46072.262079988424</v>
      </c>
      <c r="B13703" s="49" t="s">
        <v>10562</v>
      </c>
    </row>
    <row r="13704" spans="1:2">
      <c r="A13704" s="66">
        <v>46072.262081863431</v>
      </c>
      <c r="B13704" s="49" t="s">
        <v>10590</v>
      </c>
    </row>
    <row r="13705" spans="1:2">
      <c r="A13705" s="66">
        <v>46072.262093541663</v>
      </c>
      <c r="B13705" s="49" t="s">
        <v>10592</v>
      </c>
    </row>
    <row r="13706" spans="1:2">
      <c r="A13706" s="66">
        <v>46072.263348298613</v>
      </c>
      <c r="B13706" s="49" t="s">
        <v>10556</v>
      </c>
    </row>
    <row r="13707" spans="1:2">
      <c r="A13707" s="66">
        <v>46072.263350393521</v>
      </c>
      <c r="B13707" s="49" t="s">
        <v>10587</v>
      </c>
    </row>
    <row r="13708" spans="1:2">
      <c r="A13708" s="66">
        <v>46072.263352337963</v>
      </c>
      <c r="B13708" s="49" t="s">
        <v>10588</v>
      </c>
    </row>
    <row r="13709" spans="1:2">
      <c r="A13709" s="66">
        <v>46072.263353935181</v>
      </c>
      <c r="B13709" s="49" t="s">
        <v>10466</v>
      </c>
    </row>
    <row r="13710" spans="1:2">
      <c r="A13710" s="66">
        <v>46072.263356342592</v>
      </c>
      <c r="B13710" s="49" t="s">
        <v>10589</v>
      </c>
    </row>
    <row r="13711" spans="1:2">
      <c r="A13711" s="66">
        <v>46072.26335818287</v>
      </c>
      <c r="B13711" s="49" t="s">
        <v>10562</v>
      </c>
    </row>
    <row r="13712" spans="1:2">
      <c r="A13712" s="66">
        <v>46072.263359675926</v>
      </c>
      <c r="B13712" s="49" t="s">
        <v>10590</v>
      </c>
    </row>
    <row r="13713" spans="1:2">
      <c r="A13713" s="66">
        <v>46072.263370081018</v>
      </c>
      <c r="B13713" s="49" t="s">
        <v>10592</v>
      </c>
    </row>
    <row r="13714" spans="1:2">
      <c r="A13714" s="66">
        <v>46072.263403668985</v>
      </c>
      <c r="B13714" s="49" t="s">
        <v>10556</v>
      </c>
    </row>
    <row r="13715" spans="1:2">
      <c r="A13715" s="66">
        <v>46072.263406041668</v>
      </c>
      <c r="B13715" s="49" t="s">
        <v>10593</v>
      </c>
    </row>
    <row r="13716" spans="1:2">
      <c r="A13716" s="66">
        <v>46072.26341211806</v>
      </c>
      <c r="B13716" s="49" t="s">
        <v>10588</v>
      </c>
    </row>
    <row r="13717" spans="1:2">
      <c r="A13717" s="66">
        <v>46072.263414664354</v>
      </c>
      <c r="B13717" s="49" t="s">
        <v>10466</v>
      </c>
    </row>
    <row r="13718" spans="1:2">
      <c r="A13718" s="66">
        <v>46072.263416724541</v>
      </c>
      <c r="B13718" s="49" t="s">
        <v>10589</v>
      </c>
    </row>
    <row r="13719" spans="1:2">
      <c r="A13719" s="66">
        <v>46072.263419456023</v>
      </c>
      <c r="B13719" s="49" t="s">
        <v>10562</v>
      </c>
    </row>
    <row r="13720" spans="1:2">
      <c r="A13720" s="66">
        <v>46072.263421550924</v>
      </c>
      <c r="B13720" s="49" t="s">
        <v>10590</v>
      </c>
    </row>
    <row r="13721" spans="1:2">
      <c r="A13721" s="66">
        <v>46072.263434016204</v>
      </c>
      <c r="B13721" s="49" t="s">
        <v>10592</v>
      </c>
    </row>
    <row r="13722" spans="1:2">
      <c r="A13722" s="66">
        <v>46072.263461273149</v>
      </c>
      <c r="B13722" s="49" t="s">
        <v>10556</v>
      </c>
    </row>
    <row r="13723" spans="1:2">
      <c r="A13723" s="66">
        <v>46072.263462893519</v>
      </c>
      <c r="B13723" s="49" t="s">
        <v>10593</v>
      </c>
    </row>
    <row r="13724" spans="1:2">
      <c r="A13724" s="66">
        <v>46072.263464537042</v>
      </c>
      <c r="B13724" s="49" t="s">
        <v>10588</v>
      </c>
    </row>
    <row r="13725" spans="1:2">
      <c r="A13725" s="66">
        <v>46072.26346613426</v>
      </c>
      <c r="B13725" s="49" t="s">
        <v>10466</v>
      </c>
    </row>
    <row r="13726" spans="1:2">
      <c r="A13726" s="66">
        <v>46072.263471875005</v>
      </c>
      <c r="B13726" s="49" t="s">
        <v>10589</v>
      </c>
    </row>
    <row r="13727" spans="1:2">
      <c r="A13727" s="66">
        <v>46072.26347366898</v>
      </c>
      <c r="B13727" s="49" t="s">
        <v>10562</v>
      </c>
    </row>
    <row r="13728" spans="1:2">
      <c r="A13728" s="66">
        <v>46072.263475127314</v>
      </c>
      <c r="B13728" s="49" t="s">
        <v>10590</v>
      </c>
    </row>
    <row r="13729" spans="1:2">
      <c r="A13729" s="66">
        <v>46072.263486365744</v>
      </c>
      <c r="B13729" s="49" t="s">
        <v>10592</v>
      </c>
    </row>
    <row r="13730" spans="1:2">
      <c r="A13730" s="66">
        <v>46072.263525949078</v>
      </c>
      <c r="B13730" s="49" t="s">
        <v>10556</v>
      </c>
    </row>
    <row r="13731" spans="1:2">
      <c r="A13731" s="66">
        <v>46072.263532604164</v>
      </c>
      <c r="B13731" s="49" t="s">
        <v>10593</v>
      </c>
    </row>
    <row r="13732" spans="1:2">
      <c r="A13732" s="66">
        <v>46072.263534490739</v>
      </c>
      <c r="B13732" s="49" t="s">
        <v>10588</v>
      </c>
    </row>
    <row r="13733" spans="1:2">
      <c r="A13733" s="66">
        <v>46072.263536388884</v>
      </c>
      <c r="B13733" s="49" t="s">
        <v>10466</v>
      </c>
    </row>
    <row r="13734" spans="1:2">
      <c r="A13734" s="66">
        <v>46072.263538217594</v>
      </c>
      <c r="B13734" s="49" t="s">
        <v>10589</v>
      </c>
    </row>
    <row r="13735" spans="1:2">
      <c r="A13735" s="66">
        <v>46072.263540196756</v>
      </c>
      <c r="B13735" s="49" t="s">
        <v>10562</v>
      </c>
    </row>
    <row r="13736" spans="1:2">
      <c r="A13736" s="66">
        <v>46072.263542025466</v>
      </c>
      <c r="B13736" s="49" t="s">
        <v>10590</v>
      </c>
    </row>
    <row r="13737" spans="1:2">
      <c r="A13737" s="66">
        <v>46072.263556284721</v>
      </c>
      <c r="B13737" s="49" t="s">
        <v>10592</v>
      </c>
    </row>
    <row r="13738" spans="1:2">
      <c r="A13738" s="66">
        <v>46072.263619016201</v>
      </c>
      <c r="B13738" s="49" t="s">
        <v>10556</v>
      </c>
    </row>
    <row r="13739" spans="1:2">
      <c r="A13739" s="66">
        <v>46072.263621006947</v>
      </c>
      <c r="B13739" s="49" t="s">
        <v>10593</v>
      </c>
    </row>
    <row r="13740" spans="1:2">
      <c r="A13740" s="66">
        <v>46072.263623587962</v>
      </c>
      <c r="B13740" s="49" t="s">
        <v>10588</v>
      </c>
    </row>
    <row r="13741" spans="1:2">
      <c r="A13741" s="66">
        <v>46072.263625844906</v>
      </c>
      <c r="B13741" s="49" t="s">
        <v>10466</v>
      </c>
    </row>
    <row r="13742" spans="1:2">
      <c r="A13742" s="66">
        <v>46072.263627881941</v>
      </c>
      <c r="B13742" s="49" t="s">
        <v>10589</v>
      </c>
    </row>
    <row r="13743" spans="1:2">
      <c r="A13743" s="66">
        <v>46072.263629837966</v>
      </c>
      <c r="B13743" s="49" t="s">
        <v>10562</v>
      </c>
    </row>
    <row r="13744" spans="1:2">
      <c r="A13744" s="66">
        <v>46072.263632222224</v>
      </c>
      <c r="B13744" s="49" t="s">
        <v>10590</v>
      </c>
    </row>
    <row r="13745" spans="1:2">
      <c r="A13745" s="66">
        <v>46072.263643611106</v>
      </c>
      <c r="B13745" s="49" t="s">
        <v>10592</v>
      </c>
    </row>
    <row r="13746" spans="1:2">
      <c r="A13746" s="66">
        <v>46072.26375662037</v>
      </c>
      <c r="B13746" s="49" t="s">
        <v>10556</v>
      </c>
    </row>
    <row r="13747" spans="1:2">
      <c r="A13747" s="66">
        <v>46072.263759479167</v>
      </c>
      <c r="B13747" s="49" t="s">
        <v>10593</v>
      </c>
    </row>
    <row r="13748" spans="1:2">
      <c r="A13748" s="66">
        <v>46072.263762442133</v>
      </c>
      <c r="B13748" s="49" t="s">
        <v>10588</v>
      </c>
    </row>
    <row r="13749" spans="1:2">
      <c r="A13749" s="66">
        <v>46072.263765335651</v>
      </c>
      <c r="B13749" s="49" t="s">
        <v>10466</v>
      </c>
    </row>
    <row r="13750" spans="1:2">
      <c r="A13750" s="66">
        <v>46072.263768229168</v>
      </c>
      <c r="B13750" s="49" t="s">
        <v>10589</v>
      </c>
    </row>
    <row r="13751" spans="1:2">
      <c r="A13751" s="66">
        <v>46072.263771145837</v>
      </c>
      <c r="B13751" s="49" t="s">
        <v>10562</v>
      </c>
    </row>
    <row r="13752" spans="1:2">
      <c r="A13752" s="66">
        <v>46072.263774421299</v>
      </c>
      <c r="B13752" s="49" t="s">
        <v>10590</v>
      </c>
    </row>
    <row r="13753" spans="1:2">
      <c r="A13753" s="66">
        <v>46072.26379114583</v>
      </c>
      <c r="B13753" s="49" t="s">
        <v>10592</v>
      </c>
    </row>
    <row r="13754" spans="1:2">
      <c r="A13754" s="66">
        <v>46072.2639981713</v>
      </c>
      <c r="B13754" s="49" t="s">
        <v>10556</v>
      </c>
    </row>
    <row r="13755" spans="1:2">
      <c r="A13755" s="66">
        <v>46072.264000185183</v>
      </c>
      <c r="B13755" s="49" t="s">
        <v>10593</v>
      </c>
    </row>
    <row r="13756" spans="1:2">
      <c r="A13756" s="66">
        <v>46072.264007337959</v>
      </c>
      <c r="B13756" s="49" t="s">
        <v>10588</v>
      </c>
    </row>
    <row r="13757" spans="1:2">
      <c r="A13757" s="66">
        <v>46072.264009918981</v>
      </c>
      <c r="B13757" s="49" t="s">
        <v>10466</v>
      </c>
    </row>
    <row r="13758" spans="1:2">
      <c r="A13758" s="66">
        <v>46072.264012002313</v>
      </c>
      <c r="B13758" s="49" t="s">
        <v>10589</v>
      </c>
    </row>
    <row r="13759" spans="1:2">
      <c r="A13759" s="66">
        <v>46072.264014328699</v>
      </c>
      <c r="B13759" s="49" t="s">
        <v>10562</v>
      </c>
    </row>
    <row r="13760" spans="1:2">
      <c r="A13760" s="66">
        <v>46072.264016365742</v>
      </c>
      <c r="B13760" s="49" t="s">
        <v>10590</v>
      </c>
    </row>
    <row r="13761" spans="1:2">
      <c r="A13761" s="66">
        <v>46072.264030810184</v>
      </c>
      <c r="B13761" s="49" t="s">
        <v>10592</v>
      </c>
    </row>
    <row r="13762" spans="1:2">
      <c r="A13762" s="66">
        <v>46072.264441643521</v>
      </c>
      <c r="B13762" s="49" t="s">
        <v>10556</v>
      </c>
    </row>
    <row r="13763" spans="1:2">
      <c r="A13763" s="66">
        <v>46072.26444506945</v>
      </c>
      <c r="B13763" s="49" t="s">
        <v>10593</v>
      </c>
    </row>
    <row r="13764" spans="1:2">
      <c r="A13764" s="66">
        <v>46072.264448171292</v>
      </c>
      <c r="B13764" s="49" t="s">
        <v>10588</v>
      </c>
    </row>
    <row r="13765" spans="1:2">
      <c r="A13765" s="66">
        <v>46072.264451423616</v>
      </c>
      <c r="B13765" s="49" t="s">
        <v>10466</v>
      </c>
    </row>
    <row r="13766" spans="1:2">
      <c r="A13766" s="66">
        <v>46072.264454537042</v>
      </c>
      <c r="B13766" s="49" t="s">
        <v>10589</v>
      </c>
    </row>
    <row r="13767" spans="1:2">
      <c r="A13767" s="66">
        <v>46072.264457754631</v>
      </c>
      <c r="B13767" s="49" t="s">
        <v>10562</v>
      </c>
    </row>
    <row r="13768" spans="1:2">
      <c r="A13768" s="66">
        <v>46072.264460972219</v>
      </c>
      <c r="B13768" s="49" t="s">
        <v>10590</v>
      </c>
    </row>
    <row r="13769" spans="1:2">
      <c r="A13769" s="66">
        <v>46072.264495104166</v>
      </c>
      <c r="B13769" s="49" t="s">
        <v>10592</v>
      </c>
    </row>
    <row r="13770" spans="1:2">
      <c r="A13770" s="66">
        <v>46072.265266620372</v>
      </c>
      <c r="B13770" s="49" t="s">
        <v>10556</v>
      </c>
    </row>
    <row r="13771" spans="1:2">
      <c r="A13771" s="66">
        <v>46072.265269733798</v>
      </c>
      <c r="B13771" s="49" t="s">
        <v>10593</v>
      </c>
    </row>
    <row r="13772" spans="1:2">
      <c r="A13772" s="66">
        <v>46072.265272546298</v>
      </c>
      <c r="B13772" s="49" t="s">
        <v>10588</v>
      </c>
    </row>
    <row r="13773" spans="1:2">
      <c r="A13773" s="66">
        <v>46072.265277627317</v>
      </c>
      <c r="B13773" s="49" t="s">
        <v>10466</v>
      </c>
    </row>
    <row r="13774" spans="1:2">
      <c r="A13774" s="66">
        <v>46072.265280543987</v>
      </c>
      <c r="B13774" s="49" t="s">
        <v>10589</v>
      </c>
    </row>
    <row r="13775" spans="1:2">
      <c r="A13775" s="66">
        <v>46072.265284155088</v>
      </c>
      <c r="B13775" s="49" t="s">
        <v>10562</v>
      </c>
    </row>
    <row r="13776" spans="1:2">
      <c r="A13776" s="66">
        <v>46072.265287106478</v>
      </c>
      <c r="B13776" s="49" t="s">
        <v>10590</v>
      </c>
    </row>
    <row r="13777" spans="1:2">
      <c r="A13777" s="66">
        <v>46072.26530240741</v>
      </c>
      <c r="B13777" s="49" t="s">
        <v>10592</v>
      </c>
    </row>
    <row r="13778" spans="1:2">
      <c r="A13778" s="66">
        <v>46072.266399745371</v>
      </c>
      <c r="B13778" s="49" t="s">
        <v>10556</v>
      </c>
    </row>
    <row r="13779" spans="1:2">
      <c r="A13779" s="66">
        <v>46072.266401840279</v>
      </c>
      <c r="B13779" s="49" t="s">
        <v>10593</v>
      </c>
    </row>
    <row r="13780" spans="1:2">
      <c r="A13780" s="66">
        <v>46072.266403842594</v>
      </c>
      <c r="B13780" s="49" t="s">
        <v>10588</v>
      </c>
    </row>
    <row r="13781" spans="1:2">
      <c r="A13781" s="66">
        <v>46072.266405578703</v>
      </c>
      <c r="B13781" s="49" t="s">
        <v>10466</v>
      </c>
    </row>
    <row r="13782" spans="1:2">
      <c r="A13782" s="66">
        <v>46072.266407442134</v>
      </c>
      <c r="B13782" s="49" t="s">
        <v>10589</v>
      </c>
    </row>
    <row r="13783" spans="1:2">
      <c r="A13783" s="66">
        <v>46072.266409374999</v>
      </c>
      <c r="B13783" s="49" t="s">
        <v>10562</v>
      </c>
    </row>
    <row r="13784" spans="1:2">
      <c r="A13784" s="66">
        <v>46072.266411099539</v>
      </c>
      <c r="B13784" s="49" t="s">
        <v>10590</v>
      </c>
    </row>
    <row r="13785" spans="1:2">
      <c r="A13785" s="66">
        <v>46072.266424490736</v>
      </c>
      <c r="B13785" s="49" t="s">
        <v>10592</v>
      </c>
    </row>
    <row r="13786" spans="1:2">
      <c r="A13786" s="66">
        <v>46072.267625740744</v>
      </c>
      <c r="B13786" s="49" t="s">
        <v>10556</v>
      </c>
    </row>
    <row r="13787" spans="1:2">
      <c r="A13787" s="66">
        <v>46072.267628159723</v>
      </c>
      <c r="B13787" s="49" t="s">
        <v>10593</v>
      </c>
    </row>
    <row r="13788" spans="1:2">
      <c r="A13788" s="66">
        <v>46072.267629768518</v>
      </c>
      <c r="B13788" s="49" t="s">
        <v>10588</v>
      </c>
    </row>
    <row r="13789" spans="1:2">
      <c r="A13789" s="66">
        <v>46072.267631747687</v>
      </c>
      <c r="B13789" s="49" t="s">
        <v>10466</v>
      </c>
    </row>
    <row r="13790" spans="1:2">
      <c r="A13790" s="66">
        <v>46072.267636759258</v>
      </c>
      <c r="B13790" s="49" t="s">
        <v>10589</v>
      </c>
    </row>
    <row r="13791" spans="1:2">
      <c r="A13791" s="66">
        <v>46072.267645451386</v>
      </c>
      <c r="B13791" s="49" t="s">
        <v>10562</v>
      </c>
    </row>
    <row r="13792" spans="1:2">
      <c r="A13792" s="66">
        <v>46072.267647210647</v>
      </c>
      <c r="B13792" s="49" t="s">
        <v>10590</v>
      </c>
    </row>
    <row r="13793" spans="1:2">
      <c r="A13793" s="66">
        <v>46072.267660347221</v>
      </c>
      <c r="B13793" s="49" t="s">
        <v>10592</v>
      </c>
    </row>
    <row r="13794" spans="1:2">
      <c r="A13794" s="66">
        <v>46072.269077708333</v>
      </c>
      <c r="B13794" s="49" t="s">
        <v>10556</v>
      </c>
    </row>
    <row r="13795" spans="1:2">
      <c r="A13795" s="66">
        <v>46072.269080104168</v>
      </c>
      <c r="B13795" s="49" t="s">
        <v>10593</v>
      </c>
    </row>
    <row r="13796" spans="1:2">
      <c r="A13796" s="66">
        <v>46072.269082638886</v>
      </c>
      <c r="B13796" s="49" t="s">
        <v>10588</v>
      </c>
    </row>
    <row r="13797" spans="1:2">
      <c r="A13797" s="66">
        <v>46072.269084756947</v>
      </c>
      <c r="B13797" s="49" t="s">
        <v>10466</v>
      </c>
    </row>
    <row r="13798" spans="1:2">
      <c r="A13798" s="66">
        <v>46072.269086689819</v>
      </c>
      <c r="B13798" s="49" t="s">
        <v>10589</v>
      </c>
    </row>
    <row r="13799" spans="1:2">
      <c r="A13799" s="66">
        <v>46072.26908893518</v>
      </c>
      <c r="B13799" s="49" t="s">
        <v>10562</v>
      </c>
    </row>
    <row r="13800" spans="1:2">
      <c r="A13800" s="66">
        <v>46072.269090983798</v>
      </c>
      <c r="B13800" s="49" t="s">
        <v>10590</v>
      </c>
    </row>
    <row r="13801" spans="1:2">
      <c r="A13801" s="66">
        <v>46072.269103969906</v>
      </c>
      <c r="B13801" s="49" t="s">
        <v>10592</v>
      </c>
    </row>
    <row r="13802" spans="1:2">
      <c r="A13802" s="66">
        <v>46072.270337824069</v>
      </c>
      <c r="B13802" s="49" t="s">
        <v>10556</v>
      </c>
    </row>
    <row r="13803" spans="1:2">
      <c r="A13803" s="66">
        <v>46072.270346701393</v>
      </c>
      <c r="B13803" s="49" t="s">
        <v>10593</v>
      </c>
    </row>
    <row r="13804" spans="1:2">
      <c r="A13804" s="66">
        <v>46072.270348796301</v>
      </c>
      <c r="B13804" s="49" t="s">
        <v>10588</v>
      </c>
    </row>
    <row r="13805" spans="1:2">
      <c r="A13805" s="66">
        <v>46072.270350752311</v>
      </c>
      <c r="B13805" s="49" t="s">
        <v>10466</v>
      </c>
    </row>
    <row r="13806" spans="1:2">
      <c r="A13806" s="66">
        <v>46072.270352777778</v>
      </c>
      <c r="B13806" s="49" t="s">
        <v>10589</v>
      </c>
    </row>
    <row r="13807" spans="1:2">
      <c r="A13807" s="66">
        <v>46072.270354930559</v>
      </c>
      <c r="B13807" s="49" t="s">
        <v>10562</v>
      </c>
    </row>
    <row r="13808" spans="1:2">
      <c r="A13808" s="66">
        <v>46072.270357025467</v>
      </c>
      <c r="B13808" s="49" t="s">
        <v>10590</v>
      </c>
    </row>
    <row r="13809" spans="1:2">
      <c r="A13809" s="66">
        <v>46072.270369155092</v>
      </c>
      <c r="B13809" s="49" t="s">
        <v>10592</v>
      </c>
    </row>
    <row r="13810" spans="1:2">
      <c r="A13810" s="66">
        <v>46072.271464317135</v>
      </c>
      <c r="B13810" s="49" t="s">
        <v>10556</v>
      </c>
    </row>
    <row r="13811" spans="1:2">
      <c r="A13811" s="66">
        <v>46072.271470879627</v>
      </c>
      <c r="B13811" s="49" t="s">
        <v>10593</v>
      </c>
    </row>
    <row r="13812" spans="1:2">
      <c r="A13812" s="66">
        <v>46072.271476111113</v>
      </c>
      <c r="B13812" s="49" t="s">
        <v>10588</v>
      </c>
    </row>
    <row r="13813" spans="1:2">
      <c r="A13813" s="66">
        <v>46072.27147821759</v>
      </c>
      <c r="B13813" s="49" t="s">
        <v>10466</v>
      </c>
    </row>
    <row r="13814" spans="1:2">
      <c r="A13814" s="66">
        <v>46072.271480775467</v>
      </c>
      <c r="B13814" s="49" t="s">
        <v>10589</v>
      </c>
    </row>
    <row r="13815" spans="1:2">
      <c r="A13815" s="66">
        <v>46072.271483217592</v>
      </c>
      <c r="B13815" s="49" t="s">
        <v>10562</v>
      </c>
    </row>
    <row r="13816" spans="1:2">
      <c r="A13816" s="66">
        <v>46072.271485439815</v>
      </c>
      <c r="B13816" s="49" t="s">
        <v>10590</v>
      </c>
    </row>
    <row r="13817" spans="1:2">
      <c r="A13817" s="66">
        <v>46072.271497870373</v>
      </c>
      <c r="B13817" s="49" t="s">
        <v>10592</v>
      </c>
    </row>
    <row r="13818" spans="1:2">
      <c r="A13818" s="66">
        <v>46072.272350763888</v>
      </c>
      <c r="B13818" s="49" t="s">
        <v>10556</v>
      </c>
    </row>
    <row r="13819" spans="1:2">
      <c r="A13819" s="66">
        <v>46072.272353333334</v>
      </c>
      <c r="B13819" s="49" t="s">
        <v>10593</v>
      </c>
    </row>
    <row r="13820" spans="1:2">
      <c r="A13820" s="66">
        <v>46072.272355532405</v>
      </c>
      <c r="B13820" s="49" t="s">
        <v>10588</v>
      </c>
    </row>
    <row r="13821" spans="1:2">
      <c r="A13821" s="66">
        <v>46072.27235756944</v>
      </c>
      <c r="B13821" s="49" t="s">
        <v>10466</v>
      </c>
    </row>
    <row r="13822" spans="1:2">
      <c r="A13822" s="66">
        <v>46072.272364178236</v>
      </c>
      <c r="B13822" s="49" t="s">
        <v>10589</v>
      </c>
    </row>
    <row r="13823" spans="1:2">
      <c r="A13823" s="66">
        <v>46072.272366493053</v>
      </c>
      <c r="B13823" s="49" t="s">
        <v>10562</v>
      </c>
    </row>
    <row r="13824" spans="1:2">
      <c r="A13824" s="66">
        <v>46072.272368541671</v>
      </c>
      <c r="B13824" s="49" t="s">
        <v>10590</v>
      </c>
    </row>
    <row r="13825" spans="1:2">
      <c r="A13825" s="66">
        <v>46072.272384236116</v>
      </c>
      <c r="B13825" s="49" t="s">
        <v>10592</v>
      </c>
    </row>
    <row r="13826" spans="1:2">
      <c r="A13826" s="66">
        <v>46072.272402326387</v>
      </c>
      <c r="B13826" s="49" t="s">
        <v>10556</v>
      </c>
    </row>
    <row r="13827" spans="1:2">
      <c r="A13827" s="66">
        <v>46072.272404583331</v>
      </c>
      <c r="B13827" s="49" t="s">
        <v>10594</v>
      </c>
    </row>
    <row r="13828" spans="1:2">
      <c r="A13828" s="66">
        <v>46072.272406805554</v>
      </c>
      <c r="B13828" s="49" t="s">
        <v>10588</v>
      </c>
    </row>
    <row r="13829" spans="1:2">
      <c r="A13829" s="66">
        <v>46072.27241824074</v>
      </c>
      <c r="B13829" s="49" t="s">
        <v>10466</v>
      </c>
    </row>
    <row r="13830" spans="1:2">
      <c r="A13830" s="66">
        <v>46072.272427858799</v>
      </c>
      <c r="B13830" s="49" t="s">
        <v>10589</v>
      </c>
    </row>
    <row r="13831" spans="1:2">
      <c r="A13831" s="66">
        <v>46072.272443321759</v>
      </c>
      <c r="B13831" s="49" t="s">
        <v>10562</v>
      </c>
    </row>
    <row r="13832" spans="1:2">
      <c r="A13832" s="66">
        <v>46072.272445520837</v>
      </c>
      <c r="B13832" s="49" t="s">
        <v>10590</v>
      </c>
    </row>
    <row r="13833" spans="1:2">
      <c r="A13833" s="66">
        <v>46072.272460636574</v>
      </c>
      <c r="B13833" s="49" t="s">
        <v>10592</v>
      </c>
    </row>
    <row r="13834" spans="1:2">
      <c r="A13834" s="66">
        <v>46072.272482847227</v>
      </c>
      <c r="B13834" s="49" t="s">
        <v>10556</v>
      </c>
    </row>
    <row r="13835" spans="1:2">
      <c r="A13835" s="66">
        <v>46072.272490474541</v>
      </c>
      <c r="B13835" s="49" t="s">
        <v>10594</v>
      </c>
    </row>
    <row r="13836" spans="1:2">
      <c r="A13836" s="66">
        <v>46072.272492615739</v>
      </c>
      <c r="B13836" s="49" t="s">
        <v>10588</v>
      </c>
    </row>
    <row r="13837" spans="1:2">
      <c r="A13837" s="66">
        <v>46072.272494733799</v>
      </c>
      <c r="B13837" s="49" t="s">
        <v>10466</v>
      </c>
    </row>
    <row r="13838" spans="1:2">
      <c r="A13838" s="66">
        <v>46072.272496689809</v>
      </c>
      <c r="B13838" s="49" t="s">
        <v>10589</v>
      </c>
    </row>
    <row r="13839" spans="1:2">
      <c r="A13839" s="66">
        <v>46072.272498831022</v>
      </c>
      <c r="B13839" s="49" t="s">
        <v>10562</v>
      </c>
    </row>
    <row r="13840" spans="1:2">
      <c r="A13840" s="66">
        <v>46072.272500740743</v>
      </c>
      <c r="B13840" s="49" t="s">
        <v>10590</v>
      </c>
    </row>
    <row r="13841" spans="1:2">
      <c r="A13841" s="66">
        <v>46072.27253412037</v>
      </c>
      <c r="B13841" s="49" t="s">
        <v>10592</v>
      </c>
    </row>
    <row r="13842" spans="1:2">
      <c r="A13842" s="66">
        <v>46072.272573958333</v>
      </c>
      <c r="B13842" s="49" t="s">
        <v>10556</v>
      </c>
    </row>
    <row r="13843" spans="1:2">
      <c r="A13843" s="66">
        <v>46072.27257587963</v>
      </c>
      <c r="B13843" s="49" t="s">
        <v>10594</v>
      </c>
    </row>
    <row r="13844" spans="1:2">
      <c r="A13844" s="66">
        <v>46072.272577662035</v>
      </c>
      <c r="B13844" s="49" t="s">
        <v>10588</v>
      </c>
    </row>
    <row r="13845" spans="1:2">
      <c r="A13845" s="66">
        <v>46072.272579641205</v>
      </c>
      <c r="B13845" s="49" t="s">
        <v>10466</v>
      </c>
    </row>
    <row r="13846" spans="1:2">
      <c r="A13846" s="66">
        <v>46072.27258153935</v>
      </c>
      <c r="B13846" s="49" t="s">
        <v>10589</v>
      </c>
    </row>
    <row r="13847" spans="1:2">
      <c r="A13847" s="66">
        <v>46072.272583437501</v>
      </c>
      <c r="B13847" s="49" t="s">
        <v>10562</v>
      </c>
    </row>
    <row r="13848" spans="1:2">
      <c r="A13848" s="66">
        <v>46072.272585254628</v>
      </c>
      <c r="B13848" s="49" t="s">
        <v>10590</v>
      </c>
    </row>
    <row r="13849" spans="1:2">
      <c r="A13849" s="66">
        <v>46072.27259706019</v>
      </c>
      <c r="B13849" s="49" t="s">
        <v>10592</v>
      </c>
    </row>
    <row r="13850" spans="1:2">
      <c r="A13850" s="66">
        <v>46072.272672974534</v>
      </c>
      <c r="B13850" s="49" t="s">
        <v>10556</v>
      </c>
    </row>
    <row r="13851" spans="1:2">
      <c r="A13851" s="66">
        <v>46072.272675659726</v>
      </c>
      <c r="B13851" s="49" t="s">
        <v>10594</v>
      </c>
    </row>
    <row r="13852" spans="1:2">
      <c r="A13852" s="66">
        <v>46072.272677847221</v>
      </c>
      <c r="B13852" s="49" t="s">
        <v>10588</v>
      </c>
    </row>
    <row r="13853" spans="1:2">
      <c r="A13853" s="66">
        <v>46072.272680127317</v>
      </c>
      <c r="B13853" s="49" t="s">
        <v>10466</v>
      </c>
    </row>
    <row r="13854" spans="1:2">
      <c r="A13854" s="66">
        <v>46072.272681967588</v>
      </c>
      <c r="B13854" s="49" t="s">
        <v>10589</v>
      </c>
    </row>
    <row r="13855" spans="1:2">
      <c r="A13855" s="66">
        <v>46072.272684027776</v>
      </c>
      <c r="B13855" s="49" t="s">
        <v>10562</v>
      </c>
    </row>
    <row r="13856" spans="1:2">
      <c r="A13856" s="66">
        <v>46072.272686099532</v>
      </c>
      <c r="B13856" s="49" t="s">
        <v>10590</v>
      </c>
    </row>
    <row r="13857" spans="1:2">
      <c r="A13857" s="66">
        <v>46072.272697407403</v>
      </c>
      <c r="B13857" s="49" t="s">
        <v>10592</v>
      </c>
    </row>
    <row r="13858" spans="1:2">
      <c r="A13858" s="66">
        <v>46072.272815219912</v>
      </c>
      <c r="B13858" s="49" t="s">
        <v>10556</v>
      </c>
    </row>
    <row r="13859" spans="1:2">
      <c r="A13859" s="66">
        <v>46072.27281844907</v>
      </c>
      <c r="B13859" s="49" t="s">
        <v>10594</v>
      </c>
    </row>
    <row r="13860" spans="1:2">
      <c r="A13860" s="66">
        <v>46072.272821412036</v>
      </c>
      <c r="B13860" s="49" t="s">
        <v>10588</v>
      </c>
    </row>
    <row r="13861" spans="1:2">
      <c r="A13861" s="66">
        <v>46072.272825</v>
      </c>
      <c r="B13861" s="49" t="s">
        <v>10466</v>
      </c>
    </row>
    <row r="13862" spans="1:2">
      <c r="A13862" s="66">
        <v>46072.27282784722</v>
      </c>
      <c r="B13862" s="49" t="s">
        <v>10589</v>
      </c>
    </row>
    <row r="13863" spans="1:2">
      <c r="A13863" s="66">
        <v>46072.272830972222</v>
      </c>
      <c r="B13863" s="49" t="s">
        <v>10562</v>
      </c>
    </row>
    <row r="13864" spans="1:2">
      <c r="A13864" s="66">
        <v>46072.272834490737</v>
      </c>
      <c r="B13864" s="49" t="s">
        <v>10590</v>
      </c>
    </row>
    <row r="13865" spans="1:2">
      <c r="A13865" s="66">
        <v>46072.272855254632</v>
      </c>
      <c r="B13865" s="49" t="s">
        <v>10592</v>
      </c>
    </row>
    <row r="13866" spans="1:2">
      <c r="A13866" s="66">
        <v>46072.273060312495</v>
      </c>
      <c r="B13866" s="49" t="s">
        <v>10556</v>
      </c>
    </row>
    <row r="13867" spans="1:2">
      <c r="A13867" s="66">
        <v>46072.273062511573</v>
      </c>
      <c r="B13867" s="49" t="s">
        <v>10594</v>
      </c>
    </row>
    <row r="13868" spans="1:2">
      <c r="A13868" s="66">
        <v>46072.273064849534</v>
      </c>
      <c r="B13868" s="49" t="s">
        <v>10588</v>
      </c>
    </row>
    <row r="13869" spans="1:2">
      <c r="A13869" s="66">
        <v>46072.273067222224</v>
      </c>
      <c r="B13869" s="49" t="s">
        <v>10466</v>
      </c>
    </row>
    <row r="13870" spans="1:2">
      <c r="A13870" s="66">
        <v>46072.27306979167</v>
      </c>
      <c r="B13870" s="49" t="s">
        <v>10589</v>
      </c>
    </row>
    <row r="13871" spans="1:2">
      <c r="A13871" s="66">
        <v>46072.273071805554</v>
      </c>
      <c r="B13871" s="49" t="s">
        <v>10562</v>
      </c>
    </row>
    <row r="13872" spans="1:2">
      <c r="A13872" s="66">
        <v>46072.273074398152</v>
      </c>
      <c r="B13872" s="49" t="s">
        <v>10590</v>
      </c>
    </row>
    <row r="13873" spans="1:2">
      <c r="A13873" s="66">
        <v>46072.273086203699</v>
      </c>
      <c r="B13873" s="49" t="s">
        <v>10592</v>
      </c>
    </row>
    <row r="13874" spans="1:2">
      <c r="A13874" s="66">
        <v>46072.273483067125</v>
      </c>
      <c r="B13874" s="49" t="s">
        <v>10556</v>
      </c>
    </row>
    <row r="13875" spans="1:2">
      <c r="A13875" s="66">
        <v>46072.273486087965</v>
      </c>
      <c r="B13875" s="49" t="s">
        <v>10594</v>
      </c>
    </row>
    <row r="13876" spans="1:2">
      <c r="A13876" s="66">
        <v>46072.27350988426</v>
      </c>
      <c r="B13876" s="49" t="s">
        <v>10588</v>
      </c>
    </row>
    <row r="13877" spans="1:2">
      <c r="A13877" s="66">
        <v>46072.273520138886</v>
      </c>
      <c r="B13877" s="49" t="s">
        <v>10466</v>
      </c>
    </row>
    <row r="13878" spans="1:2">
      <c r="A13878" s="66">
        <v>46072.273522766205</v>
      </c>
      <c r="B13878" s="49" t="s">
        <v>10589</v>
      </c>
    </row>
    <row r="13879" spans="1:2">
      <c r="A13879" s="66">
        <v>46072.273525416662</v>
      </c>
      <c r="B13879" s="49" t="s">
        <v>10562</v>
      </c>
    </row>
    <row r="13880" spans="1:2">
      <c r="A13880" s="66">
        <v>46072.273527662037</v>
      </c>
      <c r="B13880" s="49" t="s">
        <v>10590</v>
      </c>
    </row>
    <row r="13881" spans="1:2">
      <c r="A13881" s="66">
        <v>46072.273543703704</v>
      </c>
      <c r="B13881" s="49" t="s">
        <v>10592</v>
      </c>
    </row>
    <row r="13882" spans="1:2">
      <c r="A13882" s="66">
        <v>46072.273561458336</v>
      </c>
      <c r="B13882" s="49" t="s">
        <v>10556</v>
      </c>
    </row>
    <row r="13883" spans="1:2">
      <c r="A13883" s="66">
        <v>46072.273565370371</v>
      </c>
      <c r="B13883" s="49" t="s">
        <v>10595</v>
      </c>
    </row>
    <row r="13884" spans="1:2">
      <c r="A13884" s="66">
        <v>46072.273567511569</v>
      </c>
      <c r="B13884" s="49" t="s">
        <v>10588</v>
      </c>
    </row>
    <row r="13885" spans="1:2">
      <c r="A13885" s="66">
        <v>46072.273569594909</v>
      </c>
      <c r="B13885" s="49" t="s">
        <v>10466</v>
      </c>
    </row>
    <row r="13886" spans="1:2">
      <c r="A13886" s="66">
        <v>46072.273571527781</v>
      </c>
      <c r="B13886" s="49" t="s">
        <v>10589</v>
      </c>
    </row>
    <row r="13887" spans="1:2">
      <c r="A13887" s="66">
        <v>46072.273576331019</v>
      </c>
      <c r="B13887" s="49" t="s">
        <v>10562</v>
      </c>
    </row>
    <row r="13888" spans="1:2">
      <c r="A13888" s="66">
        <v>46072.273580081019</v>
      </c>
      <c r="B13888" s="49" t="s">
        <v>10590</v>
      </c>
    </row>
    <row r="13889" spans="1:2">
      <c r="A13889" s="66">
        <v>46072.273592800921</v>
      </c>
      <c r="B13889" s="49" t="s">
        <v>10592</v>
      </c>
    </row>
    <row r="13890" spans="1:2">
      <c r="A13890" s="66">
        <v>46072.273611585653</v>
      </c>
      <c r="B13890" s="49" t="s">
        <v>10556</v>
      </c>
    </row>
    <row r="13891" spans="1:2">
      <c r="A13891" s="66">
        <v>46072.273613657409</v>
      </c>
      <c r="B13891" s="49" t="s">
        <v>10595</v>
      </c>
    </row>
    <row r="13892" spans="1:2">
      <c r="A13892" s="66">
        <v>46072.273615694445</v>
      </c>
      <c r="B13892" s="49" t="s">
        <v>10588</v>
      </c>
    </row>
    <row r="13893" spans="1:2">
      <c r="A13893" s="66">
        <v>46072.273617893516</v>
      </c>
      <c r="B13893" s="49" t="s">
        <v>10466</v>
      </c>
    </row>
    <row r="13894" spans="1:2">
      <c r="A13894" s="66">
        <v>46072.273620173612</v>
      </c>
      <c r="B13894" s="49" t="s">
        <v>10589</v>
      </c>
    </row>
    <row r="13895" spans="1:2">
      <c r="A13895" s="66">
        <v>46072.273622581022</v>
      </c>
      <c r="B13895" s="49" t="s">
        <v>10562</v>
      </c>
    </row>
    <row r="13896" spans="1:2">
      <c r="A13896" s="66">
        <v>46072.273624710651</v>
      </c>
      <c r="B13896" s="49" t="s">
        <v>10590</v>
      </c>
    </row>
    <row r="13897" spans="1:2">
      <c r="A13897" s="66">
        <v>46072.273639108796</v>
      </c>
      <c r="B13897" s="49" t="s">
        <v>10592</v>
      </c>
    </row>
    <row r="13898" spans="1:2">
      <c r="A13898" s="66">
        <v>46072.273681921295</v>
      </c>
      <c r="B13898" s="49" t="s">
        <v>10556</v>
      </c>
    </row>
    <row r="13899" spans="1:2">
      <c r="A13899" s="66">
        <v>46072.273683796295</v>
      </c>
      <c r="B13899" s="49" t="s">
        <v>10595</v>
      </c>
    </row>
    <row r="13900" spans="1:2">
      <c r="A13900" s="66">
        <v>46072.273685601853</v>
      </c>
      <c r="B13900" s="49" t="s">
        <v>10588</v>
      </c>
    </row>
    <row r="13901" spans="1:2">
      <c r="A13901" s="66">
        <v>46072.273687673616</v>
      </c>
      <c r="B13901" s="49" t="s">
        <v>10466</v>
      </c>
    </row>
    <row r="13902" spans="1:2">
      <c r="A13902" s="66">
        <v>46072.273689548616</v>
      </c>
      <c r="B13902" s="49" t="s">
        <v>10589</v>
      </c>
    </row>
    <row r="13903" spans="1:2">
      <c r="A13903" s="66">
        <v>46072.273691527778</v>
      </c>
      <c r="B13903" s="49" t="s">
        <v>10562</v>
      </c>
    </row>
    <row r="13904" spans="1:2">
      <c r="A13904" s="66">
        <v>46072.273693553245</v>
      </c>
      <c r="B13904" s="49" t="s">
        <v>10590</v>
      </c>
    </row>
    <row r="13905" spans="1:2">
      <c r="A13905" s="66">
        <v>46072.273708622684</v>
      </c>
      <c r="B13905" s="49" t="s">
        <v>10592</v>
      </c>
    </row>
    <row r="13906" spans="1:2">
      <c r="A13906" s="66">
        <v>46072.273776539354</v>
      </c>
      <c r="B13906" s="49" t="s">
        <v>10556</v>
      </c>
    </row>
    <row r="13907" spans="1:2">
      <c r="A13907" s="66">
        <v>46072.273779027775</v>
      </c>
      <c r="B13907" s="49" t="s">
        <v>10595</v>
      </c>
    </row>
    <row r="13908" spans="1:2">
      <c r="A13908" s="66">
        <v>46072.273781157404</v>
      </c>
      <c r="B13908" s="49" t="s">
        <v>10588</v>
      </c>
    </row>
    <row r="13909" spans="1:2">
      <c r="A13909" s="66">
        <v>46072.273783356482</v>
      </c>
      <c r="B13909" s="49" t="s">
        <v>10466</v>
      </c>
    </row>
    <row r="13910" spans="1:2">
      <c r="A13910" s="66">
        <v>46072.27378560185</v>
      </c>
      <c r="B13910" s="49" t="s">
        <v>10589</v>
      </c>
    </row>
    <row r="13911" spans="1:2">
      <c r="A13911" s="66">
        <v>46072.27378797454</v>
      </c>
      <c r="B13911" s="49" t="s">
        <v>10562</v>
      </c>
    </row>
    <row r="13912" spans="1:2">
      <c r="A13912" s="66">
        <v>46072.273790057865</v>
      </c>
      <c r="B13912" s="49" t="s">
        <v>10590</v>
      </c>
    </row>
    <row r="13913" spans="1:2">
      <c r="A13913" s="66">
        <v>46072.273802974538</v>
      </c>
      <c r="B13913" s="49" t="s">
        <v>10592</v>
      </c>
    </row>
    <row r="13914" spans="1:2">
      <c r="A13914" s="66">
        <v>46072.273913067125</v>
      </c>
      <c r="B13914" s="49" t="s">
        <v>10556</v>
      </c>
    </row>
    <row r="13915" spans="1:2">
      <c r="A13915" s="66">
        <v>46072.27392284722</v>
      </c>
      <c r="B13915" s="49" t="s">
        <v>10595</v>
      </c>
    </row>
    <row r="13916" spans="1:2">
      <c r="A13916" s="66">
        <v>46072.273924583336</v>
      </c>
      <c r="B13916" s="49" t="s">
        <v>10588</v>
      </c>
    </row>
    <row r="13917" spans="1:2">
      <c r="A13917" s="66">
        <v>46072.273926782407</v>
      </c>
      <c r="B13917" s="49" t="s">
        <v>10466</v>
      </c>
    </row>
    <row r="13918" spans="1:2">
      <c r="A13918" s="66">
        <v>46072.273928356481</v>
      </c>
      <c r="B13918" s="49" t="s">
        <v>10589</v>
      </c>
    </row>
    <row r="13919" spans="1:2">
      <c r="A13919" s="66">
        <v>46072.273929930554</v>
      </c>
      <c r="B13919" s="49" t="s">
        <v>10562</v>
      </c>
    </row>
    <row r="13920" spans="1:2">
      <c r="A13920" s="66">
        <v>46072.273935659723</v>
      </c>
      <c r="B13920" s="49" t="s">
        <v>10590</v>
      </c>
    </row>
    <row r="13921" spans="1:2">
      <c r="A13921" s="66">
        <v>46072.273948923612</v>
      </c>
      <c r="B13921" s="49" t="s">
        <v>10592</v>
      </c>
    </row>
    <row r="13922" spans="1:2">
      <c r="A13922" s="66">
        <v>46072.274150879632</v>
      </c>
      <c r="B13922" s="49" t="s">
        <v>10556</v>
      </c>
    </row>
    <row r="13923" spans="1:2">
      <c r="A13923" s="66">
        <v>46072.274152731479</v>
      </c>
      <c r="B13923" s="49" t="s">
        <v>10595</v>
      </c>
    </row>
    <row r="13924" spans="1:2">
      <c r="A13924" s="66">
        <v>46072.274154606479</v>
      </c>
      <c r="B13924" s="49" t="s">
        <v>10588</v>
      </c>
    </row>
    <row r="13925" spans="1:2">
      <c r="A13925" s="66">
        <v>46072.274156712963</v>
      </c>
      <c r="B13925" s="49" t="s">
        <v>10466</v>
      </c>
    </row>
    <row r="13926" spans="1:2">
      <c r="A13926" s="66">
        <v>46072.274158611108</v>
      </c>
      <c r="B13926" s="49" t="s">
        <v>10589</v>
      </c>
    </row>
    <row r="13927" spans="1:2">
      <c r="A13927" s="66">
        <v>46072.274160694447</v>
      </c>
      <c r="B13927" s="49" t="s">
        <v>10562</v>
      </c>
    </row>
    <row r="13928" spans="1:2">
      <c r="A13928" s="66">
        <v>46072.274162407411</v>
      </c>
      <c r="B13928" s="49" t="s">
        <v>10590</v>
      </c>
    </row>
    <row r="13929" spans="1:2">
      <c r="A13929" s="66">
        <v>46072.274173078702</v>
      </c>
      <c r="B13929" s="49" t="s">
        <v>10592</v>
      </c>
    </row>
    <row r="13930" spans="1:2">
      <c r="A13930" s="66">
        <v>46072.274568368055</v>
      </c>
      <c r="B13930" s="49" t="s">
        <v>10556</v>
      </c>
    </row>
    <row r="13931" spans="1:2">
      <c r="A13931" s="66">
        <v>46072.27457523148</v>
      </c>
      <c r="B13931" s="49" t="s">
        <v>10595</v>
      </c>
    </row>
    <row r="13932" spans="1:2">
      <c r="A13932" s="66">
        <v>46072.274579675926</v>
      </c>
      <c r="B13932" s="49" t="s">
        <v>10588</v>
      </c>
    </row>
    <row r="13933" spans="1:2">
      <c r="A13933" s="66">
        <v>46072.274581585647</v>
      </c>
      <c r="B13933" s="49" t="s">
        <v>10466</v>
      </c>
    </row>
    <row r="13934" spans="1:2">
      <c r="A13934" s="66">
        <v>46072.274583206017</v>
      </c>
      <c r="B13934" s="49" t="s">
        <v>10589</v>
      </c>
    </row>
    <row r="13935" spans="1:2">
      <c r="A13935" s="66">
        <v>46072.274585196763</v>
      </c>
      <c r="B13935" s="49" t="s">
        <v>10562</v>
      </c>
    </row>
    <row r="13936" spans="1:2">
      <c r="A13936" s="66">
        <v>46072.274587152773</v>
      </c>
      <c r="B13936" s="49" t="s">
        <v>10590</v>
      </c>
    </row>
    <row r="13937" spans="1:2">
      <c r="A13937" s="66">
        <v>46072.27459961806</v>
      </c>
      <c r="B13937" s="49" t="s">
        <v>10592</v>
      </c>
    </row>
    <row r="13938" spans="1:2">
      <c r="A13938" s="66">
        <v>46072.275357233797</v>
      </c>
      <c r="B13938" s="49" t="s">
        <v>10556</v>
      </c>
    </row>
    <row r="13939" spans="1:2">
      <c r="A13939" s="66">
        <v>46072.275360266205</v>
      </c>
      <c r="B13939" s="49" t="s">
        <v>10595</v>
      </c>
    </row>
    <row r="13940" spans="1:2">
      <c r="A13940" s="66">
        <v>46072.275363148146</v>
      </c>
      <c r="B13940" s="49" t="s">
        <v>10588</v>
      </c>
    </row>
    <row r="13941" spans="1:2">
      <c r="A13941" s="66">
        <v>46072.275366099537</v>
      </c>
      <c r="B13941" s="49" t="s">
        <v>10466</v>
      </c>
    </row>
    <row r="13942" spans="1:2">
      <c r="A13942" s="66">
        <v>46072.27536900463</v>
      </c>
      <c r="B13942" s="49" t="s">
        <v>10589</v>
      </c>
    </row>
    <row r="13943" spans="1:2">
      <c r="A13943" s="66">
        <v>46072.275371863427</v>
      </c>
      <c r="B13943" s="49" t="s">
        <v>10562</v>
      </c>
    </row>
    <row r="13944" spans="1:2">
      <c r="A13944" s="66">
        <v>46072.275374837962</v>
      </c>
      <c r="B13944" s="49" t="s">
        <v>10590</v>
      </c>
    </row>
    <row r="13945" spans="1:2">
      <c r="A13945" s="66">
        <v>46072.275390821756</v>
      </c>
      <c r="B13945" s="49" t="s">
        <v>10592</v>
      </c>
    </row>
    <row r="13946" spans="1:2">
      <c r="A13946" s="66">
        <v>46072.27633789352</v>
      </c>
      <c r="B13946" s="49" t="s">
        <v>10556</v>
      </c>
    </row>
    <row r="13947" spans="1:2">
      <c r="A13947" s="66">
        <v>46072.276340266202</v>
      </c>
      <c r="B13947" s="49" t="s">
        <v>10595</v>
      </c>
    </row>
    <row r="13948" spans="1:2">
      <c r="A13948" s="66">
        <v>46072.276342430559</v>
      </c>
      <c r="B13948" s="49" t="s">
        <v>10588</v>
      </c>
    </row>
    <row r="13949" spans="1:2">
      <c r="A13949" s="66">
        <v>46072.276344444443</v>
      </c>
      <c r="B13949" s="49" t="s">
        <v>10466</v>
      </c>
    </row>
    <row r="13950" spans="1:2">
      <c r="A13950" s="66">
        <v>46072.276346631945</v>
      </c>
      <c r="B13950" s="49" t="s">
        <v>10589</v>
      </c>
    </row>
    <row r="13951" spans="1:2">
      <c r="A13951" s="66">
        <v>46072.27634877315</v>
      </c>
      <c r="B13951" s="49" t="s">
        <v>10562</v>
      </c>
    </row>
    <row r="13952" spans="1:2">
      <c r="A13952" s="66">
        <v>46072.276350972221</v>
      </c>
      <c r="B13952" s="49" t="s">
        <v>10590</v>
      </c>
    </row>
    <row r="13953" spans="1:2">
      <c r="A13953" s="66">
        <v>46072.276363483797</v>
      </c>
      <c r="B13953" s="49" t="s">
        <v>10592</v>
      </c>
    </row>
    <row r="13954" spans="1:2">
      <c r="A13954" s="66">
        <v>46072.276378773153</v>
      </c>
      <c r="B13954" s="49" t="s">
        <v>10556</v>
      </c>
    </row>
    <row r="13955" spans="1:2">
      <c r="A13955" s="66">
        <v>46072.276380787036</v>
      </c>
      <c r="B13955" s="49" t="s">
        <v>10596</v>
      </c>
    </row>
    <row r="13956" spans="1:2">
      <c r="A13956" s="66">
        <v>46072.276382731477</v>
      </c>
      <c r="B13956" s="49" t="s">
        <v>10588</v>
      </c>
    </row>
    <row r="13957" spans="1:2">
      <c r="A13957" s="66">
        <v>46072.276385266203</v>
      </c>
      <c r="B13957" s="49" t="s">
        <v>10466</v>
      </c>
    </row>
    <row r="13958" spans="1:2">
      <c r="A13958" s="66">
        <v>46072.276387337959</v>
      </c>
      <c r="B13958" s="49" t="s">
        <v>10589</v>
      </c>
    </row>
    <row r="13959" spans="1:2">
      <c r="A13959" s="66">
        <v>46072.276389513892</v>
      </c>
      <c r="B13959" s="49" t="s">
        <v>10562</v>
      </c>
    </row>
    <row r="13960" spans="1:2">
      <c r="A13960" s="66">
        <v>46072.27639175926</v>
      </c>
      <c r="B13960" s="49" t="s">
        <v>10590</v>
      </c>
    </row>
    <row r="13961" spans="1:2">
      <c r="A13961" s="66">
        <v>46072.276404618053</v>
      </c>
      <c r="B13961" s="49" t="s">
        <v>10592</v>
      </c>
    </row>
    <row r="13962" spans="1:2">
      <c r="A13962" s="66">
        <v>46072.276422430557</v>
      </c>
      <c r="B13962" s="49" t="s">
        <v>10556</v>
      </c>
    </row>
    <row r="13963" spans="1:2">
      <c r="A13963" s="66">
        <v>46072.27642461806</v>
      </c>
      <c r="B13963" s="49" t="s">
        <v>10596</v>
      </c>
    </row>
    <row r="13964" spans="1:2">
      <c r="A13964" s="66">
        <v>46072.276426585653</v>
      </c>
      <c r="B13964" s="49" t="s">
        <v>10588</v>
      </c>
    </row>
    <row r="13965" spans="1:2">
      <c r="A13965" s="66">
        <v>46072.27642898148</v>
      </c>
      <c r="B13965" s="49" t="s">
        <v>10466</v>
      </c>
    </row>
    <row r="13966" spans="1:2">
      <c r="A13966" s="66">
        <v>46072.276431122686</v>
      </c>
      <c r="B13966" s="49" t="s">
        <v>10589</v>
      </c>
    </row>
    <row r="13967" spans="1:2">
      <c r="A13967" s="66">
        <v>46072.276433032406</v>
      </c>
      <c r="B13967" s="49" t="s">
        <v>10562</v>
      </c>
    </row>
    <row r="13968" spans="1:2">
      <c r="A13968" s="66">
        <v>46072.27643543981</v>
      </c>
      <c r="B13968" s="49" t="s">
        <v>10590</v>
      </c>
    </row>
    <row r="13969" spans="1:2">
      <c r="A13969" s="66">
        <v>46072.276454039355</v>
      </c>
      <c r="B13969" s="49" t="s">
        <v>10592</v>
      </c>
    </row>
    <row r="13970" spans="1:2">
      <c r="A13970" s="66">
        <v>46072.276495393518</v>
      </c>
      <c r="B13970" s="49" t="s">
        <v>10556</v>
      </c>
    </row>
    <row r="13971" spans="1:2">
      <c r="A13971" s="66">
        <v>46072.27649856481</v>
      </c>
      <c r="B13971" s="49" t="s">
        <v>10596</v>
      </c>
    </row>
    <row r="13972" spans="1:2">
      <c r="A13972" s="66">
        <v>46072.276501446759</v>
      </c>
      <c r="B13972" s="49" t="s">
        <v>10588</v>
      </c>
    </row>
    <row r="13973" spans="1:2">
      <c r="A13973" s="66">
        <v>46072.276504513888</v>
      </c>
      <c r="B13973" s="49" t="s">
        <v>10466</v>
      </c>
    </row>
    <row r="13974" spans="1:2">
      <c r="A13974" s="66">
        <v>46072.27650896991</v>
      </c>
      <c r="B13974" s="49" t="s">
        <v>10589</v>
      </c>
    </row>
    <row r="13975" spans="1:2">
      <c r="A13975" s="66">
        <v>46072.276512071759</v>
      </c>
      <c r="B13975" s="49" t="s">
        <v>10562</v>
      </c>
    </row>
    <row r="13976" spans="1:2">
      <c r="A13976" s="66">
        <v>46072.276515057871</v>
      </c>
      <c r="B13976" s="49" t="s">
        <v>10590</v>
      </c>
    </row>
    <row r="13977" spans="1:2">
      <c r="A13977" s="66">
        <v>46072.276529166666</v>
      </c>
      <c r="B13977" s="49" t="s">
        <v>10592</v>
      </c>
    </row>
    <row r="13978" spans="1:2">
      <c r="A13978" s="66">
        <v>46072.276597222226</v>
      </c>
      <c r="B13978" s="49" t="s">
        <v>10556</v>
      </c>
    </row>
    <row r="13979" spans="1:2">
      <c r="A13979" s="66">
        <v>46072.276598958335</v>
      </c>
      <c r="B13979" s="49" t="s">
        <v>10596</v>
      </c>
    </row>
    <row r="13980" spans="1:2">
      <c r="A13980" s="66">
        <v>46072.276600740741</v>
      </c>
      <c r="B13980" s="49" t="s">
        <v>10588</v>
      </c>
    </row>
    <row r="13981" spans="1:2">
      <c r="A13981" s="66">
        <v>46072.276602395832</v>
      </c>
      <c r="B13981" s="49" t="s">
        <v>10466</v>
      </c>
    </row>
    <row r="13982" spans="1:2">
      <c r="A13982" s="66">
        <v>46072.27660409722</v>
      </c>
      <c r="B13982" s="49" t="s">
        <v>10589</v>
      </c>
    </row>
    <row r="13983" spans="1:2">
      <c r="A13983" s="66">
        <v>46072.276606192128</v>
      </c>
      <c r="B13983" s="49" t="s">
        <v>10562</v>
      </c>
    </row>
    <row r="13984" spans="1:2">
      <c r="A13984" s="66">
        <v>46072.27660798611</v>
      </c>
      <c r="B13984" s="49" t="s">
        <v>10590</v>
      </c>
    </row>
    <row r="13985" spans="1:2">
      <c r="A13985" s="66">
        <v>46072.276621076388</v>
      </c>
      <c r="B13985" s="49" t="s">
        <v>10592</v>
      </c>
    </row>
    <row r="13986" spans="1:2">
      <c r="A13986" s="66">
        <v>46072.276734178246</v>
      </c>
      <c r="B13986" s="49" t="s">
        <v>10556</v>
      </c>
    </row>
    <row r="13987" spans="1:2">
      <c r="A13987" s="66">
        <v>46072.276736354164</v>
      </c>
      <c r="B13987" s="49" t="s">
        <v>10596</v>
      </c>
    </row>
    <row r="13988" spans="1:2">
      <c r="A13988" s="66">
        <v>46072.276738333334</v>
      </c>
      <c r="B13988" s="49" t="s">
        <v>10588</v>
      </c>
    </row>
    <row r="13989" spans="1:2">
      <c r="A13989" s="66">
        <v>46072.276740474539</v>
      </c>
      <c r="B13989" s="49" t="s">
        <v>10466</v>
      </c>
    </row>
    <row r="13990" spans="1:2">
      <c r="A13990" s="66">
        <v>46072.276742395828</v>
      </c>
      <c r="B13990" s="49" t="s">
        <v>10589</v>
      </c>
    </row>
    <row r="13991" spans="1:2">
      <c r="A13991" s="66">
        <v>46072.276744340277</v>
      </c>
      <c r="B13991" s="49" t="s">
        <v>10562</v>
      </c>
    </row>
    <row r="13992" spans="1:2">
      <c r="A13992" s="66">
        <v>46072.27674637732</v>
      </c>
      <c r="B13992" s="49" t="s">
        <v>10590</v>
      </c>
    </row>
    <row r="13993" spans="1:2">
      <c r="A13993" s="66">
        <v>46072.276757129628</v>
      </c>
      <c r="B13993" s="49" t="s">
        <v>10592</v>
      </c>
    </row>
    <row r="13994" spans="1:2">
      <c r="A13994" s="66">
        <v>46072.276958796298</v>
      </c>
      <c r="B13994" s="49" t="s">
        <v>10556</v>
      </c>
    </row>
    <row r="13995" spans="1:2">
      <c r="A13995" s="66">
        <v>46072.276961539348</v>
      </c>
      <c r="B13995" s="49" t="s">
        <v>10596</v>
      </c>
    </row>
    <row r="13996" spans="1:2">
      <c r="A13996" s="66">
        <v>46072.276964317134</v>
      </c>
      <c r="B13996" s="49" t="s">
        <v>10588</v>
      </c>
    </row>
    <row r="13997" spans="1:2">
      <c r="A13997" s="66">
        <v>46072.276968321763</v>
      </c>
      <c r="B13997" s="49" t="s">
        <v>10466</v>
      </c>
    </row>
    <row r="13998" spans="1:2">
      <c r="A13998" s="66">
        <v>46072.276974884255</v>
      </c>
      <c r="B13998" s="49" t="s">
        <v>10589</v>
      </c>
    </row>
    <row r="13999" spans="1:2">
      <c r="A13999" s="66">
        <v>46072.276977905094</v>
      </c>
      <c r="B13999" s="49" t="s">
        <v>10562</v>
      </c>
    </row>
    <row r="14000" spans="1:2">
      <c r="A14000" s="66">
        <v>46072.276981053241</v>
      </c>
      <c r="B14000" s="49" t="s">
        <v>10590</v>
      </c>
    </row>
    <row r="14001" spans="1:2">
      <c r="A14001" s="66">
        <v>46072.277000173606</v>
      </c>
      <c r="B14001" s="49" t="s">
        <v>10592</v>
      </c>
    </row>
    <row r="14002" spans="1:2">
      <c r="A14002" s="66">
        <v>46072.277388773146</v>
      </c>
      <c r="B14002" s="49" t="s">
        <v>10556</v>
      </c>
    </row>
    <row r="14003" spans="1:2">
      <c r="A14003" s="66">
        <v>46072.277391018521</v>
      </c>
      <c r="B14003" s="49" t="s">
        <v>10596</v>
      </c>
    </row>
    <row r="14004" spans="1:2">
      <c r="A14004" s="66">
        <v>46072.277392685181</v>
      </c>
      <c r="B14004" s="49" t="s">
        <v>10588</v>
      </c>
    </row>
    <row r="14005" spans="1:2">
      <c r="A14005" s="66">
        <v>46072.277394641205</v>
      </c>
      <c r="B14005" s="49" t="s">
        <v>10466</v>
      </c>
    </row>
    <row r="14006" spans="1:2">
      <c r="A14006" s="66">
        <v>46072.27739614583</v>
      </c>
      <c r="B14006" s="49" t="s">
        <v>10589</v>
      </c>
    </row>
    <row r="14007" spans="1:2">
      <c r="A14007" s="66">
        <v>46072.277398252314</v>
      </c>
      <c r="B14007" s="49" t="s">
        <v>10562</v>
      </c>
    </row>
    <row r="14008" spans="1:2">
      <c r="A14008" s="66">
        <v>46072.277400324077</v>
      </c>
      <c r="B14008" s="49" t="s">
        <v>10590</v>
      </c>
    </row>
    <row r="14009" spans="1:2">
      <c r="A14009" s="66">
        <v>46072.277412094903</v>
      </c>
      <c r="B14009" s="49" t="s">
        <v>10592</v>
      </c>
    </row>
    <row r="14010" spans="1:2">
      <c r="A14010" s="66">
        <v>46072.27816962963</v>
      </c>
      <c r="B14010" s="49" t="s">
        <v>10556</v>
      </c>
    </row>
    <row r="14011" spans="1:2">
      <c r="A14011" s="66">
        <v>46072.278171689817</v>
      </c>
      <c r="B14011" s="49" t="s">
        <v>10596</v>
      </c>
    </row>
    <row r="14012" spans="1:2">
      <c r="A14012" s="66">
        <v>46072.278173611106</v>
      </c>
      <c r="B14012" s="49" t="s">
        <v>10588</v>
      </c>
    </row>
    <row r="14013" spans="1:2">
      <c r="A14013" s="66">
        <v>46072.278175752319</v>
      </c>
      <c r="B14013" s="49" t="s">
        <v>10466</v>
      </c>
    </row>
    <row r="14014" spans="1:2">
      <c r="A14014" s="66">
        <v>46072.278177418979</v>
      </c>
      <c r="B14014" s="49" t="s">
        <v>10589</v>
      </c>
    </row>
    <row r="14015" spans="1:2">
      <c r="A14015" s="66">
        <v>46072.278179039349</v>
      </c>
      <c r="B14015" s="49" t="s">
        <v>10562</v>
      </c>
    </row>
    <row r="14016" spans="1:2">
      <c r="A14016" s="66">
        <v>46072.27818119213</v>
      </c>
      <c r="B14016" s="49" t="s">
        <v>10590</v>
      </c>
    </row>
    <row r="14017" spans="1:2">
      <c r="A14017" s="66">
        <v>46072.27819326389</v>
      </c>
      <c r="B14017" s="49" t="s">
        <v>10592</v>
      </c>
    </row>
    <row r="14018" spans="1:2">
      <c r="A14018" s="66">
        <v>46072.279033854167</v>
      </c>
      <c r="B14018" s="49" t="s">
        <v>10556</v>
      </c>
    </row>
    <row r="14019" spans="1:2">
      <c r="A14019" s="66">
        <v>46072.279035821761</v>
      </c>
      <c r="B14019" s="49" t="s">
        <v>10596</v>
      </c>
    </row>
    <row r="14020" spans="1:2">
      <c r="A14020" s="66">
        <v>46072.279037986111</v>
      </c>
      <c r="B14020" s="49" t="s">
        <v>10588</v>
      </c>
    </row>
    <row r="14021" spans="1:2">
      <c r="A14021" s="66">
        <v>46072.279039976856</v>
      </c>
      <c r="B14021" s="49" t="s">
        <v>10466</v>
      </c>
    </row>
    <row r="14022" spans="1:2">
      <c r="A14022" s="66">
        <v>46072.279043657407</v>
      </c>
      <c r="B14022" s="49" t="s">
        <v>10589</v>
      </c>
    </row>
    <row r="14023" spans="1:2">
      <c r="A14023" s="66">
        <v>46072.279045613424</v>
      </c>
      <c r="B14023" s="49" t="s">
        <v>10562</v>
      </c>
    </row>
    <row r="14024" spans="1:2">
      <c r="A14024" s="66">
        <v>46072.279051898149</v>
      </c>
      <c r="B14024" s="49" t="s">
        <v>10590</v>
      </c>
    </row>
    <row r="14025" spans="1:2">
      <c r="A14025" s="66">
        <v>46072.27906400463</v>
      </c>
      <c r="B14025" s="49" t="s">
        <v>10592</v>
      </c>
    </row>
    <row r="14026" spans="1:2">
      <c r="A14026" s="66">
        <v>46072.279855115739</v>
      </c>
      <c r="B14026" s="49" t="s">
        <v>10556</v>
      </c>
    </row>
    <row r="14027" spans="1:2">
      <c r="A14027" s="66">
        <v>46072.279857395828</v>
      </c>
      <c r="B14027" s="49" t="s">
        <v>10596</v>
      </c>
    </row>
    <row r="14028" spans="1:2">
      <c r="A14028" s="66">
        <v>46072.279859363422</v>
      </c>
      <c r="B14028" s="49" t="s">
        <v>10588</v>
      </c>
    </row>
    <row r="14029" spans="1:2">
      <c r="A14029" s="66">
        <v>46072.279861342591</v>
      </c>
      <c r="B14029" s="49" t="s">
        <v>10466</v>
      </c>
    </row>
    <row r="14030" spans="1:2">
      <c r="A14030" s="66">
        <v>46072.279863460644</v>
      </c>
      <c r="B14030" s="49" t="s">
        <v>10589</v>
      </c>
    </row>
    <row r="14031" spans="1:2">
      <c r="A14031" s="66">
        <v>46072.27987293982</v>
      </c>
      <c r="B14031" s="49" t="s">
        <v>10562</v>
      </c>
    </row>
    <row r="14032" spans="1:2">
      <c r="A14032" s="66">
        <v>46072.279874722226</v>
      </c>
      <c r="B14032" s="49" t="s">
        <v>10590</v>
      </c>
    </row>
    <row r="14033" spans="1:2">
      <c r="A14033" s="66">
        <v>46072.27988908565</v>
      </c>
      <c r="B14033" s="49" t="s">
        <v>10592</v>
      </c>
    </row>
    <row r="14034" spans="1:2">
      <c r="A14034" s="66">
        <v>46072.280844155088</v>
      </c>
      <c r="B14034" s="49" t="s">
        <v>10556</v>
      </c>
    </row>
    <row r="14035" spans="1:2">
      <c r="A14035" s="66">
        <v>46072.280846400463</v>
      </c>
      <c r="B14035" s="49" t="s">
        <v>10596</v>
      </c>
    </row>
    <row r="14036" spans="1:2">
      <c r="A14036" s="66">
        <v>46072.280848043985</v>
      </c>
      <c r="B14036" s="49" t="s">
        <v>10588</v>
      </c>
    </row>
    <row r="14037" spans="1:2">
      <c r="A14037" s="66">
        <v>46072.280849699076</v>
      </c>
      <c r="B14037" s="49" t="s">
        <v>10466</v>
      </c>
    </row>
    <row r="14038" spans="1:2">
      <c r="A14038" s="66">
        <v>46072.280862476851</v>
      </c>
      <c r="B14038" s="49" t="s">
        <v>10589</v>
      </c>
    </row>
    <row r="14039" spans="1:2">
      <c r="A14039" s="66">
        <v>46072.280864039349</v>
      </c>
      <c r="B14039" s="49" t="s">
        <v>10562</v>
      </c>
    </row>
    <row r="14040" spans="1:2">
      <c r="A14040" s="66">
        <v>46072.280865706023</v>
      </c>
      <c r="B14040" s="49" t="s">
        <v>10590</v>
      </c>
    </row>
    <row r="14041" spans="1:2">
      <c r="A14041" s="66">
        <v>46072.280878831021</v>
      </c>
      <c r="B14041" s="49" t="s">
        <v>10592</v>
      </c>
    </row>
    <row r="14042" spans="1:2">
      <c r="A14042" s="66">
        <v>46072.281787893517</v>
      </c>
      <c r="B14042" s="49" t="s">
        <v>10556</v>
      </c>
    </row>
    <row r="14043" spans="1:2">
      <c r="A14043" s="66">
        <v>46072.281791296293</v>
      </c>
      <c r="B14043" s="49" t="s">
        <v>10596</v>
      </c>
    </row>
    <row r="14044" spans="1:2">
      <c r="A14044" s="66">
        <v>46072.281793935181</v>
      </c>
      <c r="B14044" s="49" t="s">
        <v>10588</v>
      </c>
    </row>
    <row r="14045" spans="1:2">
      <c r="A14045" s="66">
        <v>46072.281796574069</v>
      </c>
      <c r="B14045" s="49" t="s">
        <v>10466</v>
      </c>
    </row>
    <row r="14046" spans="1:2">
      <c r="A14046" s="66">
        <v>46072.281801249999</v>
      </c>
      <c r="B14046" s="49" t="s">
        <v>10589</v>
      </c>
    </row>
    <row r="14047" spans="1:2">
      <c r="A14047" s="66">
        <v>46072.28181108796</v>
      </c>
      <c r="B14047" s="49" t="s">
        <v>10562</v>
      </c>
    </row>
    <row r="14048" spans="1:2">
      <c r="A14048" s="66">
        <v>46072.281813611116</v>
      </c>
      <c r="B14048" s="49" t="s">
        <v>10590</v>
      </c>
    </row>
    <row r="14049" spans="1:2">
      <c r="A14049" s="66">
        <v>46072.281834861111</v>
      </c>
      <c r="B14049" s="49" t="s">
        <v>10592</v>
      </c>
    </row>
    <row r="14050" spans="1:2">
      <c r="A14050" s="66">
        <v>46072.282946342588</v>
      </c>
      <c r="B14050" s="49" t="s">
        <v>10556</v>
      </c>
    </row>
    <row r="14051" spans="1:2">
      <c r="A14051" s="66">
        <v>46072.282948865744</v>
      </c>
      <c r="B14051" s="49" t="s">
        <v>10596</v>
      </c>
    </row>
    <row r="14052" spans="1:2">
      <c r="A14052" s="66">
        <v>46072.282951099536</v>
      </c>
      <c r="B14052" s="49" t="s">
        <v>10588</v>
      </c>
    </row>
    <row r="14053" spans="1:2">
      <c r="A14053" s="66">
        <v>46072.282953275462</v>
      </c>
      <c r="B14053" s="49" t="s">
        <v>10466</v>
      </c>
    </row>
    <row r="14054" spans="1:2">
      <c r="A14054" s="66">
        <v>46072.28295552083</v>
      </c>
      <c r="B14054" s="49" t="s">
        <v>10589</v>
      </c>
    </row>
    <row r="14055" spans="1:2">
      <c r="A14055" s="66">
        <v>46072.282957800926</v>
      </c>
      <c r="B14055" s="49" t="s">
        <v>10562</v>
      </c>
    </row>
    <row r="14056" spans="1:2">
      <c r="A14056" s="66">
        <v>46072.282966157407</v>
      </c>
      <c r="B14056" s="49" t="s">
        <v>10590</v>
      </c>
    </row>
    <row r="14057" spans="1:2">
      <c r="A14057" s="66">
        <v>46072.282979953699</v>
      </c>
      <c r="B14057" s="49" t="s">
        <v>10592</v>
      </c>
    </row>
    <row r="14058" spans="1:2">
      <c r="A14058" s="66">
        <v>46072.284340266204</v>
      </c>
      <c r="B14058" s="49" t="s">
        <v>10556</v>
      </c>
    </row>
    <row r="14059" spans="1:2">
      <c r="A14059" s="66">
        <v>46072.284342847226</v>
      </c>
      <c r="B14059" s="49" t="s">
        <v>10596</v>
      </c>
    </row>
    <row r="14060" spans="1:2">
      <c r="A14060" s="66">
        <v>46072.284345925931</v>
      </c>
      <c r="B14060" s="49" t="s">
        <v>10588</v>
      </c>
    </row>
    <row r="14061" spans="1:2">
      <c r="A14061" s="66">
        <v>46072.284348194444</v>
      </c>
      <c r="B14061" s="49" t="s">
        <v>10466</v>
      </c>
    </row>
    <row r="14062" spans="1:2">
      <c r="A14062" s="66">
        <v>46072.284350810187</v>
      </c>
      <c r="B14062" s="49" t="s">
        <v>10589</v>
      </c>
    </row>
    <row r="14063" spans="1:2">
      <c r="A14063" s="66">
        <v>46072.284353229166</v>
      </c>
      <c r="B14063" s="49" t="s">
        <v>10562</v>
      </c>
    </row>
    <row r="14064" spans="1:2">
      <c r="A14064" s="66">
        <v>46072.284355578704</v>
      </c>
      <c r="B14064" s="49" t="s">
        <v>10590</v>
      </c>
    </row>
    <row r="14065" spans="1:2">
      <c r="A14065" s="66">
        <v>46072.284369606481</v>
      </c>
      <c r="B14065" s="49" t="s">
        <v>10592</v>
      </c>
    </row>
    <row r="14066" spans="1:2">
      <c r="A14066" s="66">
        <v>46072.285719467589</v>
      </c>
      <c r="B14066" s="49" t="s">
        <v>10556</v>
      </c>
    </row>
    <row r="14067" spans="1:2">
      <c r="A14067" s="66">
        <v>46072.285722685185</v>
      </c>
      <c r="B14067" s="49" t="s">
        <v>10596</v>
      </c>
    </row>
    <row r="14068" spans="1:2">
      <c r="A14068" s="66">
        <v>46072.285725393522</v>
      </c>
      <c r="B14068" s="49" t="s">
        <v>10588</v>
      </c>
    </row>
    <row r="14069" spans="1:2">
      <c r="A14069" s="66">
        <v>46072.285728298608</v>
      </c>
      <c r="B14069" s="49" t="s">
        <v>10466</v>
      </c>
    </row>
    <row r="14070" spans="1:2">
      <c r="A14070" s="66">
        <v>46072.285734259262</v>
      </c>
      <c r="B14070" s="49" t="s">
        <v>10589</v>
      </c>
    </row>
    <row r="14071" spans="1:2">
      <c r="A14071" s="66">
        <v>46072.285737233797</v>
      </c>
      <c r="B14071" s="49" t="s">
        <v>10562</v>
      </c>
    </row>
    <row r="14072" spans="1:2">
      <c r="A14072" s="66">
        <v>46072.285740277774</v>
      </c>
      <c r="B14072" s="49" t="s">
        <v>10590</v>
      </c>
    </row>
    <row r="14073" spans="1:2">
      <c r="A14073" s="66">
        <v>46072.28576053241</v>
      </c>
      <c r="B14073" s="49" t="s">
        <v>10592</v>
      </c>
    </row>
    <row r="14074" spans="1:2">
      <c r="A14074" s="66">
        <v>46072.286498587964</v>
      </c>
      <c r="B14074" s="49" t="s">
        <v>10556</v>
      </c>
    </row>
    <row r="14075" spans="1:2">
      <c r="A14075" s="66">
        <v>46072.286504999996</v>
      </c>
      <c r="B14075" s="49" t="s">
        <v>10596</v>
      </c>
    </row>
    <row r="14076" spans="1:2">
      <c r="A14076" s="66">
        <v>46072.286507199075</v>
      </c>
      <c r="B14076" s="49" t="s">
        <v>10588</v>
      </c>
    </row>
    <row r="14077" spans="1:2">
      <c r="A14077" s="66">
        <v>46072.286509618054</v>
      </c>
      <c r="B14077" s="49" t="s">
        <v>10466</v>
      </c>
    </row>
    <row r="14078" spans="1:2">
      <c r="A14078" s="66">
        <v>46072.286511851853</v>
      </c>
      <c r="B14078" s="49" t="s">
        <v>10589</v>
      </c>
    </row>
    <row r="14079" spans="1:2">
      <c r="A14079" s="66">
        <v>46072.286514756939</v>
      </c>
      <c r="B14079" s="49" t="s">
        <v>10562</v>
      </c>
    </row>
    <row r="14080" spans="1:2">
      <c r="A14080" s="66">
        <v>46072.2865174537</v>
      </c>
      <c r="B14080" s="49" t="s">
        <v>10590</v>
      </c>
    </row>
    <row r="14081" spans="1:2">
      <c r="A14081" s="66">
        <v>46072.286530659723</v>
      </c>
      <c r="B14081" s="49" t="s">
        <v>10592</v>
      </c>
    </row>
    <row r="14082" spans="1:2">
      <c r="A14082" s="66">
        <v>46072.28752849537</v>
      </c>
      <c r="B14082" s="49" t="s">
        <v>10556</v>
      </c>
    </row>
    <row r="14083" spans="1:2">
      <c r="A14083" s="66">
        <v>46072.287532141199</v>
      </c>
      <c r="B14083" s="49" t="s">
        <v>10596</v>
      </c>
    </row>
    <row r="14084" spans="1:2">
      <c r="A14084" s="66">
        <v>46072.287534363422</v>
      </c>
      <c r="B14084" s="49" t="s">
        <v>10588</v>
      </c>
    </row>
    <row r="14085" spans="1:2">
      <c r="A14085" s="66">
        <v>46072.287536273143</v>
      </c>
      <c r="B14085" s="49" t="s">
        <v>10466</v>
      </c>
    </row>
    <row r="14086" spans="1:2">
      <c r="A14086" s="66">
        <v>46072.287538067132</v>
      </c>
      <c r="B14086" s="49" t="s">
        <v>10589</v>
      </c>
    </row>
    <row r="14087" spans="1:2">
      <c r="A14087" s="66">
        <v>46072.287539907411</v>
      </c>
      <c r="B14087" s="49" t="s">
        <v>10562</v>
      </c>
    </row>
    <row r="14088" spans="1:2">
      <c r="A14088" s="66">
        <v>46072.287541863421</v>
      </c>
      <c r="B14088" s="49" t="s">
        <v>10590</v>
      </c>
    </row>
    <row r="14089" spans="1:2">
      <c r="A14089" s="66">
        <v>46072.287554097224</v>
      </c>
      <c r="B14089" s="49" t="s">
        <v>10592</v>
      </c>
    </row>
    <row r="14090" spans="1:2">
      <c r="A14090" s="66">
        <v>46072.288554675921</v>
      </c>
      <c r="B14090" s="49" t="s">
        <v>10556</v>
      </c>
    </row>
    <row r="14091" spans="1:2">
      <c r="A14091" s="66">
        <v>46072.288557256943</v>
      </c>
      <c r="B14091" s="49" t="s">
        <v>10596</v>
      </c>
    </row>
    <row r="14092" spans="1:2">
      <c r="A14092" s="66">
        <v>46072.288560208333</v>
      </c>
      <c r="B14092" s="49" t="s">
        <v>10588</v>
      </c>
    </row>
    <row r="14093" spans="1:2">
      <c r="A14093" s="66">
        <v>46072.28857123843</v>
      </c>
      <c r="B14093" s="49" t="s">
        <v>10466</v>
      </c>
    </row>
    <row r="14094" spans="1:2">
      <c r="A14094" s="66">
        <v>46072.288573819445</v>
      </c>
      <c r="B14094" s="49" t="s">
        <v>10589</v>
      </c>
    </row>
    <row r="14095" spans="1:2">
      <c r="A14095" s="66">
        <v>46072.288579340282</v>
      </c>
      <c r="B14095" s="49" t="s">
        <v>10562</v>
      </c>
    </row>
    <row r="14096" spans="1:2">
      <c r="A14096" s="66">
        <v>46072.288590763885</v>
      </c>
      <c r="B14096" s="49" t="s">
        <v>10590</v>
      </c>
    </row>
    <row r="14097" spans="1:2">
      <c r="A14097" s="66">
        <v>46072.288608668983</v>
      </c>
      <c r="B14097" s="49" t="s">
        <v>10592</v>
      </c>
    </row>
    <row r="14098" spans="1:2">
      <c r="A14098" s="66">
        <v>46072.289761458334</v>
      </c>
      <c r="B14098" s="49" t="s">
        <v>10556</v>
      </c>
    </row>
    <row r="14099" spans="1:2">
      <c r="A14099" s="66">
        <v>46072.289763449073</v>
      </c>
      <c r="B14099" s="49" t="s">
        <v>10596</v>
      </c>
    </row>
    <row r="14100" spans="1:2">
      <c r="A14100" s="66">
        <v>46072.289765162037</v>
      </c>
      <c r="B14100" s="49" t="s">
        <v>10588</v>
      </c>
    </row>
    <row r="14101" spans="1:2">
      <c r="A14101" s="66">
        <v>46072.289769930554</v>
      </c>
      <c r="B14101" s="49" t="s">
        <v>10466</v>
      </c>
    </row>
    <row r="14102" spans="1:2">
      <c r="A14102" s="66">
        <v>46072.289775243058</v>
      </c>
      <c r="B14102" s="49" t="s">
        <v>10589</v>
      </c>
    </row>
    <row r="14103" spans="1:2">
      <c r="A14103" s="66">
        <v>46072.289776967591</v>
      </c>
      <c r="B14103" s="49" t="s">
        <v>10562</v>
      </c>
    </row>
    <row r="14104" spans="1:2">
      <c r="A14104" s="66">
        <v>46072.289778657403</v>
      </c>
      <c r="B14104" s="49" t="s">
        <v>10590</v>
      </c>
    </row>
    <row r="14105" spans="1:2">
      <c r="A14105" s="66">
        <v>46072.28979101852</v>
      </c>
      <c r="B14105" s="49" t="s">
        <v>10592</v>
      </c>
    </row>
    <row r="14106" spans="1:2">
      <c r="A14106" s="66">
        <v>46072.291106249999</v>
      </c>
      <c r="B14106" s="49" t="s">
        <v>10556</v>
      </c>
    </row>
    <row r="14107" spans="1:2">
      <c r="A14107" s="66">
        <v>46072.291109513884</v>
      </c>
      <c r="B14107" s="49" t="s">
        <v>10596</v>
      </c>
    </row>
    <row r="14108" spans="1:2">
      <c r="A14108" s="66">
        <v>46072.29111283565</v>
      </c>
      <c r="B14108" s="49" t="s">
        <v>10588</v>
      </c>
    </row>
    <row r="14109" spans="1:2">
      <c r="A14109" s="66">
        <v>46072.291116018518</v>
      </c>
      <c r="B14109" s="49" t="s">
        <v>10466</v>
      </c>
    </row>
    <row r="14110" spans="1:2">
      <c r="A14110" s="66">
        <v>46072.291119074071</v>
      </c>
      <c r="B14110" s="49" t="s">
        <v>10589</v>
      </c>
    </row>
    <row r="14111" spans="1:2">
      <c r="A14111" s="66">
        <v>46072.291122314811</v>
      </c>
      <c r="B14111" s="49" t="s">
        <v>10562</v>
      </c>
    </row>
    <row r="14112" spans="1:2">
      <c r="A14112" s="66">
        <v>46072.291125312498</v>
      </c>
      <c r="B14112" s="49" t="s">
        <v>10590</v>
      </c>
    </row>
    <row r="14113" spans="1:2">
      <c r="A14113" s="66">
        <v>46072.291145034724</v>
      </c>
      <c r="B14113" s="49" t="s">
        <v>10592</v>
      </c>
    </row>
    <row r="14114" spans="1:2">
      <c r="A14114" s="66">
        <v>46072.29246271991</v>
      </c>
      <c r="B14114" s="49" t="s">
        <v>10556</v>
      </c>
    </row>
    <row r="14115" spans="1:2">
      <c r="A14115" s="66">
        <v>46072.292466145838</v>
      </c>
      <c r="B14115" s="49" t="s">
        <v>10596</v>
      </c>
    </row>
    <row r="14116" spans="1:2">
      <c r="A14116" s="66">
        <v>46072.29246887732</v>
      </c>
      <c r="B14116" s="49" t="s">
        <v>10588</v>
      </c>
    </row>
    <row r="14117" spans="1:2">
      <c r="A14117" s="66">
        <v>46072.292490451393</v>
      </c>
      <c r="B14117" s="49" t="s">
        <v>10466</v>
      </c>
    </row>
    <row r="14118" spans="1:2">
      <c r="A14118" s="66">
        <v>46072.292492696761</v>
      </c>
      <c r="B14118" s="49" t="s">
        <v>10589</v>
      </c>
    </row>
    <row r="14119" spans="1:2">
      <c r="A14119" s="66">
        <v>46072.292508032406</v>
      </c>
      <c r="B14119" s="49" t="s">
        <v>10562</v>
      </c>
    </row>
    <row r="14120" spans="1:2">
      <c r="A14120" s="66">
        <v>46072.292510775464</v>
      </c>
      <c r="B14120" s="49" t="s">
        <v>10590</v>
      </c>
    </row>
    <row r="14121" spans="1:2">
      <c r="A14121" s="66">
        <v>46072.292533171298</v>
      </c>
      <c r="B14121" s="49" t="s">
        <v>10592</v>
      </c>
    </row>
    <row r="14122" spans="1:2">
      <c r="A14122" s="66">
        <v>46072.29389533565</v>
      </c>
      <c r="B14122" s="49" t="s">
        <v>10556</v>
      </c>
    </row>
    <row r="14123" spans="1:2">
      <c r="A14123" s="66">
        <v>46072.29389940972</v>
      </c>
      <c r="B14123" s="49" t="s">
        <v>10596</v>
      </c>
    </row>
    <row r="14124" spans="1:2">
      <c r="A14124" s="66">
        <v>46072.293901550926</v>
      </c>
      <c r="B14124" s="49" t="s">
        <v>10588</v>
      </c>
    </row>
    <row r="14125" spans="1:2">
      <c r="A14125" s="66">
        <v>46072.293903750004</v>
      </c>
      <c r="B14125" s="49" t="s">
        <v>10466</v>
      </c>
    </row>
    <row r="14126" spans="1:2">
      <c r="A14126" s="66">
        <v>46072.293905636572</v>
      </c>
      <c r="B14126" s="49" t="s">
        <v>10589</v>
      </c>
    </row>
    <row r="14127" spans="1:2">
      <c r="A14127" s="66">
        <v>46072.293907500003</v>
      </c>
      <c r="B14127" s="49" t="s">
        <v>10562</v>
      </c>
    </row>
    <row r="14128" spans="1:2">
      <c r="A14128" s="66">
        <v>46072.293909641201</v>
      </c>
      <c r="B14128" s="49" t="s">
        <v>10590</v>
      </c>
    </row>
    <row r="14129" spans="1:2">
      <c r="A14129" s="66">
        <v>46072.293923807869</v>
      </c>
      <c r="B14129" s="49" t="s">
        <v>10592</v>
      </c>
    </row>
    <row r="14130" spans="1:2">
      <c r="A14130" s="66">
        <v>46072.294998865742</v>
      </c>
      <c r="B14130" s="49" t="s">
        <v>10556</v>
      </c>
    </row>
    <row r="14131" spans="1:2">
      <c r="A14131" s="66">
        <v>46072.295007141205</v>
      </c>
      <c r="B14131" s="49" t="s">
        <v>10596</v>
      </c>
    </row>
    <row r="14132" spans="1:2">
      <c r="A14132" s="66">
        <v>46072.295021192127</v>
      </c>
      <c r="B14132" s="49" t="s">
        <v>10588</v>
      </c>
    </row>
    <row r="14133" spans="1:2">
      <c r="A14133" s="66">
        <v>46072.295023831015</v>
      </c>
      <c r="B14133" s="49" t="s">
        <v>10466</v>
      </c>
    </row>
    <row r="14134" spans="1:2">
      <c r="A14134" s="66">
        <v>46072.295026215274</v>
      </c>
      <c r="B14134" s="49" t="s">
        <v>10589</v>
      </c>
    </row>
    <row r="14135" spans="1:2">
      <c r="A14135" s="66">
        <v>46072.295028726847</v>
      </c>
      <c r="B14135" s="49" t="s">
        <v>10562</v>
      </c>
    </row>
    <row r="14136" spans="1:2">
      <c r="A14136" s="66">
        <v>46072.295031030095</v>
      </c>
      <c r="B14136" s="49" t="s">
        <v>10590</v>
      </c>
    </row>
    <row r="14137" spans="1:2">
      <c r="A14137" s="66">
        <v>46072.295043958336</v>
      </c>
      <c r="B14137" s="49" t="s">
        <v>10592</v>
      </c>
    </row>
    <row r="14138" spans="1:2">
      <c r="A14138" s="66">
        <v>46072.296061203699</v>
      </c>
      <c r="B14138" s="49" t="s">
        <v>10556</v>
      </c>
    </row>
    <row r="14139" spans="1:2">
      <c r="A14139" s="66">
        <v>46072.296064247683</v>
      </c>
      <c r="B14139" s="49" t="s">
        <v>10596</v>
      </c>
    </row>
    <row r="14140" spans="1:2">
      <c r="A14140" s="66">
        <v>46072.296067465279</v>
      </c>
      <c r="B14140" s="49" t="s">
        <v>10588</v>
      </c>
    </row>
    <row r="14141" spans="1:2">
      <c r="A14141" s="66">
        <v>46072.296070509256</v>
      </c>
      <c r="B14141" s="49" t="s">
        <v>10466</v>
      </c>
    </row>
    <row r="14142" spans="1:2">
      <c r="A14142" s="66">
        <v>46072.296074907412</v>
      </c>
      <c r="B14142" s="49" t="s">
        <v>10589</v>
      </c>
    </row>
    <row r="14143" spans="1:2">
      <c r="A14143" s="66">
        <v>46072.296077962965</v>
      </c>
      <c r="B14143" s="49" t="s">
        <v>10562</v>
      </c>
    </row>
    <row r="14144" spans="1:2">
      <c r="A14144" s="66">
        <v>46072.296081087959</v>
      </c>
      <c r="B14144" s="49" t="s">
        <v>10590</v>
      </c>
    </row>
    <row r="14145" spans="1:2">
      <c r="A14145" s="66">
        <v>46072.296097465281</v>
      </c>
      <c r="B14145" s="49" t="s">
        <v>10592</v>
      </c>
    </row>
    <row r="14146" spans="1:2">
      <c r="A14146" s="66">
        <v>46072.297089074069</v>
      </c>
      <c r="B14146" s="49" t="s">
        <v>10556</v>
      </c>
    </row>
    <row r="14147" spans="1:2">
      <c r="A14147" s="66">
        <v>46072.297091250002</v>
      </c>
      <c r="B14147" s="49" t="s">
        <v>10596</v>
      </c>
    </row>
    <row r="14148" spans="1:2">
      <c r="A14148" s="66">
        <v>46072.297093483794</v>
      </c>
      <c r="B14148" s="49" t="s">
        <v>10588</v>
      </c>
    </row>
    <row r="14149" spans="1:2">
      <c r="A14149" s="66">
        <v>46072.297095358794</v>
      </c>
      <c r="B14149" s="49" t="s">
        <v>10466</v>
      </c>
    </row>
    <row r="14150" spans="1:2">
      <c r="A14150" s="66">
        <v>46072.297097696763</v>
      </c>
      <c r="B14150" s="49" t="s">
        <v>10589</v>
      </c>
    </row>
    <row r="14151" spans="1:2">
      <c r="A14151" s="66">
        <v>46072.297110266205</v>
      </c>
      <c r="B14151" s="49" t="s">
        <v>10562</v>
      </c>
    </row>
    <row r="14152" spans="1:2">
      <c r="A14152" s="66">
        <v>46072.297112187502</v>
      </c>
      <c r="B14152" s="49" t="s">
        <v>10590</v>
      </c>
    </row>
    <row r="14153" spans="1:2">
      <c r="A14153" s="66">
        <v>46072.297125219906</v>
      </c>
      <c r="B14153" s="49" t="s">
        <v>10592</v>
      </c>
    </row>
    <row r="14154" spans="1:2">
      <c r="A14154" s="66">
        <v>46072.298373101847</v>
      </c>
      <c r="B14154" s="49" t="s">
        <v>10556</v>
      </c>
    </row>
    <row r="14155" spans="1:2">
      <c r="A14155" s="66">
        <v>46072.298375763887</v>
      </c>
      <c r="B14155" s="49" t="s">
        <v>10596</v>
      </c>
    </row>
    <row r="14156" spans="1:2">
      <c r="A14156" s="66">
        <v>46072.298378657404</v>
      </c>
      <c r="B14156" s="49" t="s">
        <v>10588</v>
      </c>
    </row>
    <row r="14157" spans="1:2">
      <c r="A14157" s="66">
        <v>46072.298380879627</v>
      </c>
      <c r="B14157" s="49" t="s">
        <v>10466</v>
      </c>
    </row>
    <row r="14158" spans="1:2">
      <c r="A14158" s="66">
        <v>46072.298383182875</v>
      </c>
      <c r="B14158" s="49" t="s">
        <v>10589</v>
      </c>
    </row>
    <row r="14159" spans="1:2">
      <c r="A14159" s="66">
        <v>46072.298385717593</v>
      </c>
      <c r="B14159" s="49" t="s">
        <v>10562</v>
      </c>
    </row>
    <row r="14160" spans="1:2">
      <c r="A14160" s="66">
        <v>46072.298388148149</v>
      </c>
      <c r="B14160" s="49" t="s">
        <v>10590</v>
      </c>
    </row>
    <row r="14161" spans="1:2">
      <c r="A14161" s="66">
        <v>46072.298401886575</v>
      </c>
      <c r="B14161" s="49" t="s">
        <v>10592</v>
      </c>
    </row>
    <row r="14162" spans="1:2">
      <c r="A14162" s="66">
        <v>46072.299793229162</v>
      </c>
      <c r="B14162" s="49" t="s">
        <v>10556</v>
      </c>
    </row>
    <row r="14163" spans="1:2">
      <c r="A14163" s="66">
        <v>46072.299795208339</v>
      </c>
      <c r="B14163" s="49" t="s">
        <v>10596</v>
      </c>
    </row>
    <row r="14164" spans="1:2">
      <c r="A14164" s="66">
        <v>46072.299797164349</v>
      </c>
      <c r="B14164" s="49" t="s">
        <v>10588</v>
      </c>
    </row>
    <row r="14165" spans="1:2">
      <c r="A14165" s="66">
        <v>46072.299799016204</v>
      </c>
      <c r="B14165" s="49" t="s">
        <v>10466</v>
      </c>
    </row>
    <row r="14166" spans="1:2">
      <c r="A14166" s="66">
        <v>46072.299800740744</v>
      </c>
      <c r="B14166" s="49" t="s">
        <v>10589</v>
      </c>
    </row>
    <row r="14167" spans="1:2">
      <c r="A14167" s="66">
        <v>46072.299802824069</v>
      </c>
      <c r="B14167" s="49" t="s">
        <v>10562</v>
      </c>
    </row>
    <row r="14168" spans="1:2">
      <c r="A14168" s="66">
        <v>46072.299804618058</v>
      </c>
      <c r="B14168" s="49" t="s">
        <v>10590</v>
      </c>
    </row>
    <row r="14169" spans="1:2">
      <c r="A14169" s="66">
        <v>46072.299816377315</v>
      </c>
      <c r="B14169" s="49" t="s">
        <v>10592</v>
      </c>
    </row>
    <row r="14170" spans="1:2">
      <c r="A14170" s="66">
        <v>46072.300805023144</v>
      </c>
      <c r="B14170" s="49" t="s">
        <v>10556</v>
      </c>
    </row>
    <row r="14171" spans="1:2">
      <c r="A14171" s="66">
        <v>46072.300806956016</v>
      </c>
      <c r="B14171" s="49" t="s">
        <v>10596</v>
      </c>
    </row>
    <row r="14172" spans="1:2">
      <c r="A14172" s="66">
        <v>46072.300808657412</v>
      </c>
      <c r="B14172" s="49" t="s">
        <v>10588</v>
      </c>
    </row>
    <row r="14173" spans="1:2">
      <c r="A14173" s="66">
        <v>46072.300810428242</v>
      </c>
      <c r="B14173" s="49" t="s">
        <v>10466</v>
      </c>
    </row>
    <row r="14174" spans="1:2">
      <c r="A14174" s="66">
        <v>46072.300815787035</v>
      </c>
      <c r="B14174" s="49" t="s">
        <v>10589</v>
      </c>
    </row>
    <row r="14175" spans="1:2">
      <c r="A14175" s="66">
        <v>46072.300817581017</v>
      </c>
      <c r="B14175" s="49" t="s">
        <v>10562</v>
      </c>
    </row>
    <row r="14176" spans="1:2">
      <c r="A14176" s="66">
        <v>46072.30081936343</v>
      </c>
      <c r="B14176" s="49" t="s">
        <v>10590</v>
      </c>
    </row>
    <row r="14177" spans="1:2">
      <c r="A14177" s="66">
        <v>46072.300832511573</v>
      </c>
      <c r="B14177" s="49" t="s">
        <v>10592</v>
      </c>
    </row>
    <row r="14178" spans="1:2">
      <c r="A14178" s="66">
        <v>46072.301949791668</v>
      </c>
      <c r="B14178" s="49" t="s">
        <v>10556</v>
      </c>
    </row>
    <row r="14179" spans="1:2">
      <c r="A14179" s="66">
        <v>46072.301951863425</v>
      </c>
      <c r="B14179" s="49" t="s">
        <v>10596</v>
      </c>
    </row>
    <row r="14180" spans="1:2">
      <c r="A14180" s="66">
        <v>46072.301953969909</v>
      </c>
      <c r="B14180" s="49" t="s">
        <v>10588</v>
      </c>
    </row>
    <row r="14181" spans="1:2">
      <c r="A14181" s="66">
        <v>46072.301956238429</v>
      </c>
      <c r="B14181" s="49" t="s">
        <v>10466</v>
      </c>
    </row>
    <row r="14182" spans="1:2">
      <c r="A14182" s="66">
        <v>46072.301957835647</v>
      </c>
      <c r="B14182" s="49" t="s">
        <v>10589</v>
      </c>
    </row>
    <row r="14183" spans="1:2">
      <c r="A14183" s="66">
        <v>46072.301959675926</v>
      </c>
      <c r="B14183" s="49" t="s">
        <v>10562</v>
      </c>
    </row>
    <row r="14184" spans="1:2">
      <c r="A14184" s="66">
        <v>46072.301964768514</v>
      </c>
      <c r="B14184" s="49" t="s">
        <v>10590</v>
      </c>
    </row>
    <row r="14185" spans="1:2">
      <c r="A14185" s="66">
        <v>46072.301979201387</v>
      </c>
      <c r="B14185" s="49" t="s">
        <v>10592</v>
      </c>
    </row>
    <row r="14186" spans="1:2">
      <c r="A14186" s="66">
        <v>46072.303248229167</v>
      </c>
      <c r="B14186" s="49" t="s">
        <v>10556</v>
      </c>
    </row>
    <row r="14187" spans="1:2">
      <c r="A14187" s="66">
        <v>46072.303251562495</v>
      </c>
      <c r="B14187" s="49" t="s">
        <v>10596</v>
      </c>
    </row>
    <row r="14188" spans="1:2">
      <c r="A14188" s="66">
        <v>46072.303254699073</v>
      </c>
      <c r="B14188" s="49" t="s">
        <v>10588</v>
      </c>
    </row>
    <row r="14189" spans="1:2">
      <c r="A14189" s="66">
        <v>46072.303259918983</v>
      </c>
      <c r="B14189" s="49" t="s">
        <v>10466</v>
      </c>
    </row>
    <row r="14190" spans="1:2">
      <c r="A14190" s="66">
        <v>46072.303265208335</v>
      </c>
      <c r="B14190" s="49" t="s">
        <v>10589</v>
      </c>
    </row>
    <row r="14191" spans="1:2">
      <c r="A14191" s="66">
        <v>46072.303268275464</v>
      </c>
      <c r="B14191" s="49" t="s">
        <v>10562</v>
      </c>
    </row>
    <row r="14192" spans="1:2">
      <c r="A14192" s="66">
        <v>46072.303271504628</v>
      </c>
      <c r="B14192" s="49" t="s">
        <v>10590</v>
      </c>
    </row>
    <row r="14193" spans="1:2">
      <c r="A14193" s="66">
        <v>46072.303287939816</v>
      </c>
      <c r="B14193" s="49" t="s">
        <v>10592</v>
      </c>
    </row>
    <row r="14194" spans="1:2">
      <c r="A14194" s="66">
        <v>46072.304244999999</v>
      </c>
      <c r="B14194" s="49" t="s">
        <v>10556</v>
      </c>
    </row>
    <row r="14195" spans="1:2">
      <c r="A14195" s="66">
        <v>46072.304247314816</v>
      </c>
      <c r="B14195" s="49" t="s">
        <v>10596</v>
      </c>
    </row>
    <row r="14196" spans="1:2">
      <c r="A14196" s="66">
        <v>46072.304254432871</v>
      </c>
      <c r="B14196" s="49" t="s">
        <v>10588</v>
      </c>
    </row>
    <row r="14197" spans="1:2">
      <c r="A14197" s="66">
        <v>46072.304257372685</v>
      </c>
      <c r="B14197" s="49" t="s">
        <v>10466</v>
      </c>
    </row>
    <row r="14198" spans="1:2">
      <c r="A14198" s="66">
        <v>46072.304259444441</v>
      </c>
      <c r="B14198" s="49" t="s">
        <v>10589</v>
      </c>
    </row>
    <row r="14199" spans="1:2">
      <c r="A14199" s="66">
        <v>46072.304268761574</v>
      </c>
      <c r="B14199" s="49" t="s">
        <v>10562</v>
      </c>
    </row>
    <row r="14200" spans="1:2">
      <c r="A14200" s="66">
        <v>46072.304270891203</v>
      </c>
      <c r="B14200" s="49" t="s">
        <v>10590</v>
      </c>
    </row>
    <row r="14201" spans="1:2">
      <c r="A14201" s="66">
        <v>46072.304284259255</v>
      </c>
      <c r="B14201" s="49" t="s">
        <v>10592</v>
      </c>
    </row>
    <row r="14202" spans="1:2">
      <c r="A14202" s="66">
        <v>46072.305543090275</v>
      </c>
      <c r="B14202" s="49" t="s">
        <v>10556</v>
      </c>
    </row>
    <row r="14203" spans="1:2">
      <c r="A14203" s="66">
        <v>46072.305545300929</v>
      </c>
      <c r="B14203" s="49" t="s">
        <v>10596</v>
      </c>
    </row>
    <row r="14204" spans="1:2">
      <c r="A14204" s="66">
        <v>46072.305547337965</v>
      </c>
      <c r="B14204" s="49" t="s">
        <v>10588</v>
      </c>
    </row>
    <row r="14205" spans="1:2">
      <c r="A14205" s="66">
        <v>46072.305549212964</v>
      </c>
      <c r="B14205" s="49" t="s">
        <v>10466</v>
      </c>
    </row>
    <row r="14206" spans="1:2">
      <c r="A14206" s="66">
        <v>46072.305551111116</v>
      </c>
      <c r="B14206" s="49" t="s">
        <v>10589</v>
      </c>
    </row>
    <row r="14207" spans="1:2">
      <c r="A14207" s="66">
        <v>46072.305553391205</v>
      </c>
      <c r="B14207" s="49" t="s">
        <v>10562</v>
      </c>
    </row>
    <row r="14208" spans="1:2">
      <c r="A14208" s="66">
        <v>46072.30556064815</v>
      </c>
      <c r="B14208" s="49" t="s">
        <v>10590</v>
      </c>
    </row>
    <row r="14209" spans="1:2">
      <c r="A14209" s="66">
        <v>46072.305572488425</v>
      </c>
      <c r="B14209" s="49" t="s">
        <v>10592</v>
      </c>
    </row>
    <row r="14210" spans="1:2">
      <c r="A14210" s="66">
        <v>46072.306532685187</v>
      </c>
      <c r="B14210" s="49" t="s">
        <v>10556</v>
      </c>
    </row>
    <row r="14211" spans="1:2">
      <c r="A14211" s="66">
        <v>46072.306534317133</v>
      </c>
      <c r="B14211" s="49" t="s">
        <v>10596</v>
      </c>
    </row>
    <row r="14212" spans="1:2">
      <c r="A14212" s="66">
        <v>46072.306536435186</v>
      </c>
      <c r="B14212" s="49" t="s">
        <v>10588</v>
      </c>
    </row>
    <row r="14213" spans="1:2">
      <c r="A14213" s="66">
        <v>46072.306538078701</v>
      </c>
      <c r="B14213" s="49" t="s">
        <v>10466</v>
      </c>
    </row>
    <row r="14214" spans="1:2">
      <c r="A14214" s="66">
        <v>46072.306540000005</v>
      </c>
      <c r="B14214" s="49" t="s">
        <v>10589</v>
      </c>
    </row>
    <row r="14215" spans="1:2">
      <c r="A14215" s="66">
        <v>46072.306541701386</v>
      </c>
      <c r="B14215" s="49" t="s">
        <v>10562</v>
      </c>
    </row>
    <row r="14216" spans="1:2">
      <c r="A14216" s="66">
        <v>46072.306543564817</v>
      </c>
      <c r="B14216" s="49" t="s">
        <v>10590</v>
      </c>
    </row>
    <row r="14217" spans="1:2">
      <c r="A14217" s="66">
        <v>46072.306555787036</v>
      </c>
      <c r="B14217" s="49" t="s">
        <v>10592</v>
      </c>
    </row>
    <row r="14218" spans="1:2">
      <c r="A14218" s="66">
        <v>46072.307539305555</v>
      </c>
      <c r="B14218" s="49" t="s">
        <v>10556</v>
      </c>
    </row>
    <row r="14219" spans="1:2">
      <c r="A14219" s="66">
        <v>46072.307548078708</v>
      </c>
      <c r="B14219" s="49" t="s">
        <v>10596</v>
      </c>
    </row>
    <row r="14220" spans="1:2">
      <c r="A14220" s="66">
        <v>46072.307549942125</v>
      </c>
      <c r="B14220" s="49" t="s">
        <v>10588</v>
      </c>
    </row>
    <row r="14221" spans="1:2">
      <c r="A14221" s="66">
        <v>46072.307551724538</v>
      </c>
      <c r="B14221" s="49" t="s">
        <v>10466</v>
      </c>
    </row>
    <row r="14222" spans="1:2">
      <c r="A14222" s="66">
        <v>46072.307553391205</v>
      </c>
      <c r="B14222" s="49" t="s">
        <v>10589</v>
      </c>
    </row>
    <row r="14223" spans="1:2">
      <c r="A14223" s="66">
        <v>46072.307555300926</v>
      </c>
      <c r="B14223" s="49" t="s">
        <v>10562</v>
      </c>
    </row>
    <row r="14224" spans="1:2">
      <c r="A14224" s="66">
        <v>46072.307557268519</v>
      </c>
      <c r="B14224" s="49" t="s">
        <v>10590</v>
      </c>
    </row>
    <row r="14225" spans="1:2">
      <c r="A14225" s="66">
        <v>46072.307567916665</v>
      </c>
      <c r="B14225" s="49" t="s">
        <v>10592</v>
      </c>
    </row>
    <row r="14226" spans="1:2">
      <c r="A14226" s="66">
        <v>46072.308780590276</v>
      </c>
      <c r="B14226" s="49" t="s">
        <v>10556</v>
      </c>
    </row>
    <row r="14227" spans="1:2">
      <c r="A14227" s="66">
        <v>46072.308792766205</v>
      </c>
      <c r="B14227" s="49" t="s">
        <v>10596</v>
      </c>
    </row>
    <row r="14228" spans="1:2">
      <c r="A14228" s="66">
        <v>46072.308799699073</v>
      </c>
      <c r="B14228" s="49" t="s">
        <v>10588</v>
      </c>
    </row>
    <row r="14229" spans="1:2">
      <c r="A14229" s="66">
        <v>46072.308811145835</v>
      </c>
      <c r="B14229" s="49" t="s">
        <v>10466</v>
      </c>
    </row>
    <row r="14230" spans="1:2">
      <c r="A14230" s="66">
        <v>46072.308817743055</v>
      </c>
      <c r="B14230" s="49" t="s">
        <v>10589</v>
      </c>
    </row>
    <row r="14231" spans="1:2">
      <c r="A14231" s="66">
        <v>46072.308820810184</v>
      </c>
      <c r="B14231" s="49" t="s">
        <v>10562</v>
      </c>
    </row>
    <row r="14232" spans="1:2">
      <c r="A14232" s="66">
        <v>46072.308823634259</v>
      </c>
      <c r="B14232" s="49" t="s">
        <v>10590</v>
      </c>
    </row>
    <row r="14233" spans="1:2">
      <c r="A14233" s="66">
        <v>46072.308838055556</v>
      </c>
      <c r="B14233" s="49" t="s">
        <v>10592</v>
      </c>
    </row>
    <row r="14234" spans="1:2">
      <c r="A14234" s="66">
        <v>46072.309994675925</v>
      </c>
      <c r="B14234" s="49" t="s">
        <v>10556</v>
      </c>
    </row>
    <row r="14235" spans="1:2">
      <c r="A14235" s="66">
        <v>46072.309996851851</v>
      </c>
      <c r="B14235" s="49" t="s">
        <v>10596</v>
      </c>
    </row>
    <row r="14236" spans="1:2">
      <c r="A14236" s="66">
        <v>46072.30999898148</v>
      </c>
      <c r="B14236" s="49" t="s">
        <v>10588</v>
      </c>
    </row>
    <row r="14237" spans="1:2">
      <c r="A14237" s="66">
        <v>46072.31000106482</v>
      </c>
      <c r="B14237" s="49" t="s">
        <v>10466</v>
      </c>
    </row>
    <row r="14238" spans="1:2">
      <c r="A14238" s="66">
        <v>46072.310003333332</v>
      </c>
      <c r="B14238" s="49" t="s">
        <v>10589</v>
      </c>
    </row>
    <row r="14239" spans="1:2">
      <c r="A14239" s="66">
        <v>46072.310005856481</v>
      </c>
      <c r="B14239" s="49" t="s">
        <v>10562</v>
      </c>
    </row>
    <row r="14240" spans="1:2">
      <c r="A14240" s="66">
        <v>46072.310007662032</v>
      </c>
      <c r="B14240" s="49" t="s">
        <v>10590</v>
      </c>
    </row>
    <row r="14241" spans="1:2">
      <c r="A14241" s="66">
        <v>46072.310020775461</v>
      </c>
      <c r="B14241" s="49" t="s">
        <v>10592</v>
      </c>
    </row>
    <row r="14242" spans="1:2">
      <c r="A14242" s="66">
        <v>46072.311234479166</v>
      </c>
      <c r="B14242" s="49" t="s">
        <v>10556</v>
      </c>
    </row>
    <row r="14243" spans="1:2">
      <c r="A14243" s="66">
        <v>46072.311237337963</v>
      </c>
      <c r="B14243" s="49" t="s">
        <v>10596</v>
      </c>
    </row>
    <row r="14244" spans="1:2">
      <c r="A14244" s="66">
        <v>46072.311240266208</v>
      </c>
      <c r="B14244" s="49" t="s">
        <v>10588</v>
      </c>
    </row>
    <row r="14245" spans="1:2">
      <c r="A14245" s="66">
        <v>46072.311242766205</v>
      </c>
      <c r="B14245" s="49" t="s">
        <v>10466</v>
      </c>
    </row>
    <row r="14246" spans="1:2">
      <c r="A14246" s="66">
        <v>46072.311245185185</v>
      </c>
      <c r="B14246" s="49" t="s">
        <v>10589</v>
      </c>
    </row>
    <row r="14247" spans="1:2">
      <c r="A14247" s="66">
        <v>46072.311247511578</v>
      </c>
      <c r="B14247" s="49" t="s">
        <v>10562</v>
      </c>
    </row>
    <row r="14248" spans="1:2">
      <c r="A14248" s="66">
        <v>46072.311250185187</v>
      </c>
      <c r="B14248" s="49" t="s">
        <v>10590</v>
      </c>
    </row>
    <row r="14249" spans="1:2">
      <c r="A14249" s="66">
        <v>46072.31126372685</v>
      </c>
      <c r="B14249" s="49" t="s">
        <v>10592</v>
      </c>
    </row>
    <row r="14250" spans="1:2">
      <c r="A14250" s="66">
        <v>46072.31198337963</v>
      </c>
      <c r="B14250" s="49" t="s">
        <v>10556</v>
      </c>
    </row>
    <row r="14251" spans="1:2">
      <c r="A14251" s="66">
        <v>46072.311985486114</v>
      </c>
      <c r="B14251" s="49" t="s">
        <v>10596</v>
      </c>
    </row>
    <row r="14252" spans="1:2">
      <c r="A14252" s="66">
        <v>46072.311988020832</v>
      </c>
      <c r="B14252" s="49" t="s">
        <v>10588</v>
      </c>
    </row>
    <row r="14253" spans="1:2">
      <c r="A14253" s="66">
        <v>46072.311991261573</v>
      </c>
      <c r="B14253" s="49" t="s">
        <v>10466</v>
      </c>
    </row>
    <row r="14254" spans="1:2">
      <c r="A14254" s="66">
        <v>46072.311993344905</v>
      </c>
      <c r="B14254" s="49" t="s">
        <v>10589</v>
      </c>
    </row>
    <row r="14255" spans="1:2">
      <c r="A14255" s="66">
        <v>46072.311995046301</v>
      </c>
      <c r="B14255" s="49" t="s">
        <v>10562</v>
      </c>
    </row>
    <row r="14256" spans="1:2">
      <c r="A14256" s="66">
        <v>46072.311996990742</v>
      </c>
      <c r="B14256" s="49" t="s">
        <v>10590</v>
      </c>
    </row>
    <row r="14257" spans="1:2">
      <c r="A14257" s="66">
        <v>46072.312014050927</v>
      </c>
      <c r="B14257" s="49" t="s">
        <v>10592</v>
      </c>
    </row>
    <row r="14258" spans="1:2">
      <c r="A14258" s="66">
        <v>46072.312913726855</v>
      </c>
      <c r="B14258" s="49" t="s">
        <v>10556</v>
      </c>
    </row>
    <row r="14259" spans="1:2">
      <c r="A14259" s="66">
        <v>46072.312920011573</v>
      </c>
      <c r="B14259" s="49" t="s">
        <v>10596</v>
      </c>
    </row>
    <row r="14260" spans="1:2">
      <c r="A14260" s="66">
        <v>46072.312923506943</v>
      </c>
      <c r="B14260" s="49" t="s">
        <v>10588</v>
      </c>
    </row>
    <row r="14261" spans="1:2">
      <c r="A14261" s="66">
        <v>46072.312927025458</v>
      </c>
      <c r="B14261" s="49" t="s">
        <v>10466</v>
      </c>
    </row>
    <row r="14262" spans="1:2">
      <c r="A14262" s="66">
        <v>46072.312930069442</v>
      </c>
      <c r="B14262" s="49" t="s">
        <v>10589</v>
      </c>
    </row>
    <row r="14263" spans="1:2">
      <c r="A14263" s="66">
        <v>46072.312933541667</v>
      </c>
      <c r="B14263" s="49" t="s">
        <v>10562</v>
      </c>
    </row>
    <row r="14264" spans="1:2">
      <c r="A14264" s="66">
        <v>46072.312941979166</v>
      </c>
      <c r="B14264" s="49" t="s">
        <v>10590</v>
      </c>
    </row>
    <row r="14265" spans="1:2">
      <c r="A14265" s="66">
        <v>46072.312959976851</v>
      </c>
      <c r="B14265" s="49" t="s">
        <v>10592</v>
      </c>
    </row>
    <row r="14266" spans="1:2">
      <c r="A14266" s="66">
        <v>46072.313201087964</v>
      </c>
      <c r="B14266" s="49"/>
    </row>
    <row r="14267" spans="1:2">
      <c r="A14267" s="66">
        <v>46072.313986099536</v>
      </c>
      <c r="B14267" s="49" t="s">
        <v>10556</v>
      </c>
    </row>
    <row r="14268" spans="1:2">
      <c r="A14268" s="66">
        <v>46072.313987893518</v>
      </c>
      <c r="B14268" s="49" t="s">
        <v>10596</v>
      </c>
    </row>
    <row r="14269" spans="1:2">
      <c r="A14269" s="66">
        <v>46072.313989756949</v>
      </c>
      <c r="B14269" s="49" t="s">
        <v>10588</v>
      </c>
    </row>
    <row r="14270" spans="1:2">
      <c r="A14270" s="66">
        <v>46072.313991435185</v>
      </c>
      <c r="B14270" s="49" t="s">
        <v>10466</v>
      </c>
    </row>
    <row r="14271" spans="1:2">
      <c r="A14271" s="66">
        <v>46072.313993703705</v>
      </c>
      <c r="B14271" s="49" t="s">
        <v>10589</v>
      </c>
    </row>
    <row r="14272" spans="1:2">
      <c r="A14272" s="66">
        <v>46072.313999479171</v>
      </c>
      <c r="B14272" s="49" t="s">
        <v>10562</v>
      </c>
    </row>
    <row r="14273" spans="1:2">
      <c r="A14273" s="66">
        <v>46072.314010358794</v>
      </c>
      <c r="B14273" s="49" t="s">
        <v>10590</v>
      </c>
    </row>
    <row r="14274" spans="1:2">
      <c r="A14274" s="66">
        <v>46072.314021574071</v>
      </c>
      <c r="B14274" s="49" t="s">
        <v>10592</v>
      </c>
    </row>
    <row r="14275" spans="1:2">
      <c r="A14275" s="66">
        <v>46072.314790636578</v>
      </c>
      <c r="B14275" s="49" t="s">
        <v>10556</v>
      </c>
    </row>
    <row r="14276" spans="1:2">
      <c r="A14276" s="66">
        <v>46072.31479236111</v>
      </c>
      <c r="B14276" s="49" t="s">
        <v>10596</v>
      </c>
    </row>
    <row r="14277" spans="1:2">
      <c r="A14277" s="66">
        <v>46072.314793877318</v>
      </c>
      <c r="B14277" s="49" t="s">
        <v>10588</v>
      </c>
    </row>
    <row r="14278" spans="1:2">
      <c r="A14278" s="66">
        <v>46072.314796458333</v>
      </c>
      <c r="B14278" s="49" t="s">
        <v>10466</v>
      </c>
    </row>
    <row r="14279" spans="1:2">
      <c r="A14279" s="66">
        <v>46072.314798055551</v>
      </c>
      <c r="B14279" s="49" t="s">
        <v>10589</v>
      </c>
    </row>
    <row r="14280" spans="1:2">
      <c r="A14280" s="66">
        <v>46072.314799953703</v>
      </c>
      <c r="B14280" s="49" t="s">
        <v>10562</v>
      </c>
    </row>
    <row r="14281" spans="1:2">
      <c r="A14281" s="66">
        <v>46072.314802361114</v>
      </c>
      <c r="B14281" s="49" t="s">
        <v>10590</v>
      </c>
    </row>
    <row r="14282" spans="1:2">
      <c r="A14282" s="66">
        <v>46072.314811793985</v>
      </c>
      <c r="B14282" s="49" t="s">
        <v>10592</v>
      </c>
    </row>
    <row r="14283" spans="1:2">
      <c r="A14283" s="66">
        <v>46072.315976886573</v>
      </c>
      <c r="B14283" s="49" t="s">
        <v>10556</v>
      </c>
    </row>
    <row r="14284" spans="1:2">
      <c r="A14284" s="66">
        <v>46072.31597891204</v>
      </c>
      <c r="B14284" s="49" t="s">
        <v>10596</v>
      </c>
    </row>
    <row r="14285" spans="1:2">
      <c r="A14285" s="66">
        <v>46072.315980648149</v>
      </c>
      <c r="B14285" s="49" t="s">
        <v>10588</v>
      </c>
    </row>
    <row r="14286" spans="1:2">
      <c r="A14286" s="66">
        <v>46072.315982546294</v>
      </c>
      <c r="B14286" s="49" t="s">
        <v>10466</v>
      </c>
    </row>
    <row r="14287" spans="1:2">
      <c r="A14287" s="66">
        <v>46072.315984768517</v>
      </c>
      <c r="B14287" s="49" t="s">
        <v>10589</v>
      </c>
    </row>
    <row r="14288" spans="1:2">
      <c r="A14288" s="66">
        <v>46072.315986562498</v>
      </c>
      <c r="B14288" s="49" t="s">
        <v>10562</v>
      </c>
    </row>
    <row r="14289" spans="1:2">
      <c r="A14289" s="66">
        <v>46072.315988807866</v>
      </c>
      <c r="B14289" s="49" t="s">
        <v>10590</v>
      </c>
    </row>
    <row r="14290" spans="1:2">
      <c r="A14290" s="66">
        <v>46072.31600737269</v>
      </c>
      <c r="B14290" s="49" t="s">
        <v>10592</v>
      </c>
    </row>
    <row r="14291" spans="1:2">
      <c r="A14291" s="66">
        <v>46072.316979895833</v>
      </c>
      <c r="B14291" s="49" t="s">
        <v>10556</v>
      </c>
    </row>
    <row r="14292" spans="1:2">
      <c r="A14292" s="66">
        <v>46072.316982164353</v>
      </c>
      <c r="B14292" s="49" t="s">
        <v>10596</v>
      </c>
    </row>
    <row r="14293" spans="1:2">
      <c r="A14293" s="66">
        <v>46072.316984942125</v>
      </c>
      <c r="B14293" s="49" t="s">
        <v>10588</v>
      </c>
    </row>
    <row r="14294" spans="1:2">
      <c r="A14294" s="66">
        <v>46072.316987523147</v>
      </c>
      <c r="B14294" s="49" t="s">
        <v>10466</v>
      </c>
    </row>
    <row r="14295" spans="1:2">
      <c r="A14295" s="66">
        <v>46072.316989814819</v>
      </c>
      <c r="B14295" s="49" t="s">
        <v>10589</v>
      </c>
    </row>
    <row r="14296" spans="1:2">
      <c r="A14296" s="66">
        <v>46072.316992002314</v>
      </c>
      <c r="B14296" s="49" t="s">
        <v>10562</v>
      </c>
    </row>
    <row r="14297" spans="1:2">
      <c r="A14297" s="66">
        <v>46072.316994340275</v>
      </c>
      <c r="B14297" s="49" t="s">
        <v>10590</v>
      </c>
    </row>
    <row r="14298" spans="1:2">
      <c r="A14298" s="66">
        <v>46072.317012384257</v>
      </c>
      <c r="B14298" s="49" t="s">
        <v>10592</v>
      </c>
    </row>
    <row r="14299" spans="1:2">
      <c r="A14299" s="66">
        <v>46072.317031886574</v>
      </c>
      <c r="B14299" s="49" t="s">
        <v>10556</v>
      </c>
    </row>
    <row r="14300" spans="1:2">
      <c r="A14300" s="66">
        <v>46072.317033900465</v>
      </c>
      <c r="B14300" s="49" t="s">
        <v>10597</v>
      </c>
    </row>
    <row r="14301" spans="1:2">
      <c r="A14301" s="66">
        <v>46072.317036909721</v>
      </c>
      <c r="B14301" s="49" t="s">
        <v>10588</v>
      </c>
    </row>
    <row r="14302" spans="1:2">
      <c r="A14302" s="66">
        <v>46072.317038703703</v>
      </c>
      <c r="B14302" s="49" t="s">
        <v>10466</v>
      </c>
    </row>
    <row r="14303" spans="1:2">
      <c r="A14303" s="66">
        <v>46072.317041122689</v>
      </c>
      <c r="B14303" s="49" t="s">
        <v>10589</v>
      </c>
    </row>
    <row r="14304" spans="1:2">
      <c r="A14304" s="66">
        <v>46072.317042916664</v>
      </c>
      <c r="B14304" s="49" t="s">
        <v>10562</v>
      </c>
    </row>
    <row r="14305" spans="1:2">
      <c r="A14305" s="66">
        <v>46072.317045914351</v>
      </c>
      <c r="B14305" s="49" t="s">
        <v>10590</v>
      </c>
    </row>
    <row r="14306" spans="1:2">
      <c r="A14306" s="66">
        <v>46072.317064317132</v>
      </c>
      <c r="B14306" s="49" t="s">
        <v>10592</v>
      </c>
    </row>
    <row r="14307" spans="1:2">
      <c r="A14307" s="66">
        <v>46072.317106712959</v>
      </c>
      <c r="B14307" s="49" t="s">
        <v>10556</v>
      </c>
    </row>
    <row r="14308" spans="1:2">
      <c r="A14308" s="66">
        <v>46072.317108229166</v>
      </c>
      <c r="B14308" s="49" t="s">
        <v>10597</v>
      </c>
    </row>
    <row r="14309" spans="1:2">
      <c r="A14309" s="66">
        <v>46072.317111759257</v>
      </c>
      <c r="B14309" s="49" t="s">
        <v>10588</v>
      </c>
    </row>
    <row r="14310" spans="1:2">
      <c r="A14310" s="66">
        <v>46072.317115914353</v>
      </c>
      <c r="B14310" s="49" t="s">
        <v>10466</v>
      </c>
    </row>
    <row r="14311" spans="1:2">
      <c r="A14311" s="66">
        <v>46072.317117893515</v>
      </c>
      <c r="B14311" s="49" t="s">
        <v>10589</v>
      </c>
    </row>
    <row r="14312" spans="1:2">
      <c r="A14312" s="66">
        <v>46072.31711960648</v>
      </c>
      <c r="B14312" s="49" t="s">
        <v>10562</v>
      </c>
    </row>
    <row r="14313" spans="1:2">
      <c r="A14313" s="66">
        <v>46072.317122094908</v>
      </c>
      <c r="B14313" s="49" t="s">
        <v>10590</v>
      </c>
    </row>
    <row r="14314" spans="1:2">
      <c r="A14314" s="66">
        <v>46072.317134398152</v>
      </c>
      <c r="B14314" s="49" t="s">
        <v>10592</v>
      </c>
    </row>
    <row r="14315" spans="1:2">
      <c r="A14315" s="66">
        <v>46072.317200995371</v>
      </c>
      <c r="B14315" s="49" t="s">
        <v>10556</v>
      </c>
    </row>
    <row r="14316" spans="1:2">
      <c r="A14316" s="66">
        <v>46072.317204178238</v>
      </c>
      <c r="B14316" s="49" t="s">
        <v>10597</v>
      </c>
    </row>
    <row r="14317" spans="1:2">
      <c r="A14317" s="66">
        <v>46072.317206932872</v>
      </c>
      <c r="B14317" s="49" t="s">
        <v>10588</v>
      </c>
    </row>
    <row r="14318" spans="1:2">
      <c r="A14318" s="66">
        <v>46072.317209537039</v>
      </c>
      <c r="B14318" s="49" t="s">
        <v>10466</v>
      </c>
    </row>
    <row r="14319" spans="1:2">
      <c r="A14319" s="66">
        <v>46072.317212615744</v>
      </c>
      <c r="B14319" s="49" t="s">
        <v>10589</v>
      </c>
    </row>
    <row r="14320" spans="1:2">
      <c r="A14320" s="66">
        <v>46072.317215000003</v>
      </c>
      <c r="B14320" s="49" t="s">
        <v>10562</v>
      </c>
    </row>
    <row r="14321" spans="1:2">
      <c r="A14321" s="66">
        <v>46072.31721768518</v>
      </c>
      <c r="B14321" s="49" t="s">
        <v>10590</v>
      </c>
    </row>
    <row r="14322" spans="1:2">
      <c r="A14322" s="66">
        <v>46072.317240983801</v>
      </c>
      <c r="B14322" s="49" t="s">
        <v>10592</v>
      </c>
    </row>
    <row r="14323" spans="1:2">
      <c r="A14323" s="66">
        <v>46072.317308784724</v>
      </c>
      <c r="B14323" s="49" t="s">
        <v>10556</v>
      </c>
    </row>
    <row r="14324" spans="1:2">
      <c r="A14324" s="66">
        <v>46072.317310520833</v>
      </c>
      <c r="B14324" s="49" t="s">
        <v>10597</v>
      </c>
    </row>
    <row r="14325" spans="1:2">
      <c r="A14325" s="66">
        <v>46072.317312094907</v>
      </c>
      <c r="B14325" s="49" t="s">
        <v>10588</v>
      </c>
    </row>
    <row r="14326" spans="1:2">
      <c r="A14326" s="66">
        <v>46072.317315243054</v>
      </c>
      <c r="B14326" s="49" t="s">
        <v>10466</v>
      </c>
    </row>
    <row r="14327" spans="1:2">
      <c r="A14327" s="66">
        <v>46072.317317025459</v>
      </c>
      <c r="B14327" s="49" t="s">
        <v>10589</v>
      </c>
    </row>
    <row r="14328" spans="1:2">
      <c r="A14328" s="66">
        <v>46072.317319085647</v>
      </c>
      <c r="B14328" s="49" t="s">
        <v>10562</v>
      </c>
    </row>
    <row r="14329" spans="1:2">
      <c r="A14329" s="66">
        <v>46072.317321134258</v>
      </c>
      <c r="B14329" s="49" t="s">
        <v>10590</v>
      </c>
    </row>
    <row r="14330" spans="1:2">
      <c r="A14330" s="66">
        <v>46072.317334039355</v>
      </c>
      <c r="B14330" s="49" t="s">
        <v>10592</v>
      </c>
    </row>
    <row r="14331" spans="1:2">
      <c r="A14331" s="66">
        <v>46072.317472557872</v>
      </c>
      <c r="B14331" s="49" t="s">
        <v>10556</v>
      </c>
    </row>
    <row r="14332" spans="1:2">
      <c r="A14332" s="66">
        <v>46072.317474942131</v>
      </c>
      <c r="B14332" s="49" t="s">
        <v>10597</v>
      </c>
    </row>
    <row r="14333" spans="1:2">
      <c r="A14333" s="66">
        <v>46072.317478020836</v>
      </c>
      <c r="B14333" s="49" t="s">
        <v>10588</v>
      </c>
    </row>
    <row r="14334" spans="1:2">
      <c r="A14334" s="66">
        <v>46072.317480601851</v>
      </c>
      <c r="B14334" s="49" t="s">
        <v>10466</v>
      </c>
    </row>
    <row r="14335" spans="1:2">
      <c r="A14335" s="66">
        <v>46072.317483726853</v>
      </c>
      <c r="B14335" s="49" t="s">
        <v>10589</v>
      </c>
    </row>
    <row r="14336" spans="1:2">
      <c r="A14336" s="66">
        <v>46072.31748622685</v>
      </c>
      <c r="B14336" s="49" t="s">
        <v>10562</v>
      </c>
    </row>
    <row r="14337" spans="1:2">
      <c r="A14337" s="66">
        <v>46072.317489039357</v>
      </c>
      <c r="B14337" s="49" t="s">
        <v>10590</v>
      </c>
    </row>
    <row r="14338" spans="1:2">
      <c r="A14338" s="66">
        <v>46072.317504386578</v>
      </c>
      <c r="B14338" s="49" t="s">
        <v>10592</v>
      </c>
    </row>
    <row r="14339" spans="1:2">
      <c r="A14339" s="66">
        <v>46072.317734456017</v>
      </c>
      <c r="B14339" s="49" t="s">
        <v>10556</v>
      </c>
    </row>
    <row r="14340" spans="1:2">
      <c r="A14340" s="66">
        <v>46072.317736527781</v>
      </c>
      <c r="B14340" s="49" t="s">
        <v>10597</v>
      </c>
    </row>
    <row r="14341" spans="1:2">
      <c r="A14341" s="66">
        <v>46072.31773840278</v>
      </c>
      <c r="B14341" s="49" t="s">
        <v>10588</v>
      </c>
    </row>
    <row r="14342" spans="1:2">
      <c r="A14342" s="66">
        <v>46072.317740439816</v>
      </c>
      <c r="B14342" s="49" t="s">
        <v>10466</v>
      </c>
    </row>
    <row r="14343" spans="1:2">
      <c r="A14343" s="66">
        <v>46072.31774298611</v>
      </c>
      <c r="B14343" s="49" t="s">
        <v>10589</v>
      </c>
    </row>
    <row r="14344" spans="1:2">
      <c r="A14344" s="66">
        <v>46072.317744756947</v>
      </c>
      <c r="B14344" s="49" t="s">
        <v>10562</v>
      </c>
    </row>
    <row r="14345" spans="1:2">
      <c r="A14345" s="66">
        <v>46072.317747129629</v>
      </c>
      <c r="B14345" s="49" t="s">
        <v>10590</v>
      </c>
    </row>
    <row r="14346" spans="1:2">
      <c r="A14346" s="66">
        <v>46072.317761273152</v>
      </c>
      <c r="B14346" s="49" t="s">
        <v>10592</v>
      </c>
    </row>
    <row r="14347" spans="1:2">
      <c r="A14347" s="66">
        <v>46072.318154456021</v>
      </c>
      <c r="B14347" s="49" t="s">
        <v>10556</v>
      </c>
    </row>
    <row r="14348" spans="1:2">
      <c r="A14348" s="66">
        <v>46072.318157615737</v>
      </c>
      <c r="B14348" s="49" t="s">
        <v>10597</v>
      </c>
    </row>
    <row r="14349" spans="1:2">
      <c r="A14349" s="66">
        <v>46072.318160509254</v>
      </c>
      <c r="B14349" s="49" t="s">
        <v>10588</v>
      </c>
    </row>
    <row r="14350" spans="1:2">
      <c r="A14350" s="66">
        <v>46072.318163506949</v>
      </c>
      <c r="B14350" s="49" t="s">
        <v>10466</v>
      </c>
    </row>
    <row r="14351" spans="1:2">
      <c r="A14351" s="66">
        <v>46072.318166516205</v>
      </c>
      <c r="B14351" s="49" t="s">
        <v>10589</v>
      </c>
    </row>
    <row r="14352" spans="1:2">
      <c r="A14352" s="66">
        <v>46072.318169398146</v>
      </c>
      <c r="B14352" s="49" t="s">
        <v>10562</v>
      </c>
    </row>
    <row r="14353" spans="1:2">
      <c r="A14353" s="66">
        <v>46072.318173518521</v>
      </c>
      <c r="B14353" s="49" t="s">
        <v>10590</v>
      </c>
    </row>
    <row r="14354" spans="1:2">
      <c r="A14354" s="66">
        <v>46072.318185995369</v>
      </c>
      <c r="B14354" s="49" t="s">
        <v>10592</v>
      </c>
    </row>
    <row r="14355" spans="1:2">
      <c r="A14355" s="66">
        <v>46072.318232384263</v>
      </c>
      <c r="B14355" s="49" t="s">
        <v>10556</v>
      </c>
    </row>
    <row r="14356" spans="1:2">
      <c r="A14356" s="66">
        <v>46072.318234166669</v>
      </c>
      <c r="B14356" s="49" t="s">
        <v>10598</v>
      </c>
    </row>
    <row r="14357" spans="1:2">
      <c r="A14357" s="66">
        <v>46072.318235914354</v>
      </c>
      <c r="B14357" s="49" t="s">
        <v>10588</v>
      </c>
    </row>
    <row r="14358" spans="1:2">
      <c r="A14358" s="66">
        <v>46072.318238101856</v>
      </c>
      <c r="B14358" s="49" t="s">
        <v>10466</v>
      </c>
    </row>
    <row r="14359" spans="1:2">
      <c r="A14359" s="66">
        <v>46072.318239837958</v>
      </c>
      <c r="B14359" s="49" t="s">
        <v>10589</v>
      </c>
    </row>
    <row r="14360" spans="1:2">
      <c r="A14360" s="66">
        <v>46072.318241527777</v>
      </c>
      <c r="B14360" s="49" t="s">
        <v>10562</v>
      </c>
    </row>
    <row r="14361" spans="1:2">
      <c r="A14361" s="66">
        <v>46072.318244537033</v>
      </c>
      <c r="B14361" s="49" t="s">
        <v>10590</v>
      </c>
    </row>
    <row r="14362" spans="1:2">
      <c r="A14362" s="66">
        <v>46072.318257083331</v>
      </c>
      <c r="B14362" s="49" t="s">
        <v>10592</v>
      </c>
    </row>
    <row r="14363" spans="1:2">
      <c r="A14363" s="66">
        <v>46072.318286261579</v>
      </c>
      <c r="B14363" s="49" t="s">
        <v>10556</v>
      </c>
    </row>
    <row r="14364" spans="1:2">
      <c r="A14364" s="66">
        <v>46072.318288113427</v>
      </c>
      <c r="B14364" s="49" t="s">
        <v>10598</v>
      </c>
    </row>
    <row r="14365" spans="1:2">
      <c r="A14365" s="66">
        <v>46072.318295081015</v>
      </c>
      <c r="B14365" s="49" t="s">
        <v>10588</v>
      </c>
    </row>
    <row r="14366" spans="1:2">
      <c r="A14366" s="66">
        <v>46072.318296608792</v>
      </c>
      <c r="B14366" s="49" t="s">
        <v>10466</v>
      </c>
    </row>
    <row r="14367" spans="1:2">
      <c r="A14367" s="66">
        <v>46072.318299016202</v>
      </c>
      <c r="B14367" s="49" t="s">
        <v>10589</v>
      </c>
    </row>
    <row r="14368" spans="1:2">
      <c r="A14368" s="66">
        <v>46072.318300613428</v>
      </c>
      <c r="B14368" s="49" t="s">
        <v>10562</v>
      </c>
    </row>
    <row r="14369" spans="1:2">
      <c r="A14369" s="66">
        <v>46072.318304293978</v>
      </c>
      <c r="B14369" s="49" t="s">
        <v>10590</v>
      </c>
    </row>
    <row r="14370" spans="1:2">
      <c r="A14370" s="66">
        <v>46072.318318692131</v>
      </c>
      <c r="B14370" s="49" t="s">
        <v>10592</v>
      </c>
    </row>
    <row r="14371" spans="1:2">
      <c r="A14371" s="66">
        <v>46072.318383877311</v>
      </c>
      <c r="B14371" s="49" t="s">
        <v>10556</v>
      </c>
    </row>
    <row r="14372" spans="1:2">
      <c r="A14372" s="66">
        <v>46072.318386620369</v>
      </c>
      <c r="B14372" s="49" t="s">
        <v>10598</v>
      </c>
    </row>
    <row r="14373" spans="1:2">
      <c r="A14373" s="66">
        <v>46072.318389733795</v>
      </c>
      <c r="B14373" s="49" t="s">
        <v>10588</v>
      </c>
    </row>
    <row r="14374" spans="1:2">
      <c r="A14374" s="66">
        <v>46072.318397546296</v>
      </c>
      <c r="B14374" s="49" t="s">
        <v>10466</v>
      </c>
    </row>
    <row r="14375" spans="1:2">
      <c r="A14375" s="66">
        <v>46072.318400277778</v>
      </c>
      <c r="B14375" s="49" t="s">
        <v>10589</v>
      </c>
    </row>
    <row r="14376" spans="1:2">
      <c r="A14376" s="66">
        <v>46072.318403819445</v>
      </c>
      <c r="B14376" s="49" t="s">
        <v>10562</v>
      </c>
    </row>
    <row r="14377" spans="1:2">
      <c r="A14377" s="66">
        <v>46072.318406261576</v>
      </c>
      <c r="B14377" s="49" t="s">
        <v>10590</v>
      </c>
    </row>
    <row r="14378" spans="1:2">
      <c r="A14378" s="66">
        <v>46072.318425173609</v>
      </c>
      <c r="B14378" s="49" t="s">
        <v>10592</v>
      </c>
    </row>
    <row r="14379" spans="1:2">
      <c r="A14379" s="66">
        <v>46072.318890335649</v>
      </c>
      <c r="B14379" s="49" t="s">
        <v>10556</v>
      </c>
    </row>
    <row r="14380" spans="1:2">
      <c r="A14380" s="66">
        <v>46072.318892453703</v>
      </c>
      <c r="B14380" s="49" t="s">
        <v>10598</v>
      </c>
    </row>
    <row r="14381" spans="1:2">
      <c r="A14381" s="66">
        <v>46072.3188949537</v>
      </c>
      <c r="B14381" s="49" t="s">
        <v>10588</v>
      </c>
    </row>
    <row r="14382" spans="1:2">
      <c r="A14382" s="66">
        <v>46072.318897650461</v>
      </c>
      <c r="B14382" s="49" t="s">
        <v>10466</v>
      </c>
    </row>
    <row r="14383" spans="1:2">
      <c r="A14383" s="66">
        <v>46072.31890518518</v>
      </c>
      <c r="B14383" s="49" t="s">
        <v>10589</v>
      </c>
    </row>
    <row r="14384" spans="1:2">
      <c r="A14384" s="66">
        <v>46072.318907418987</v>
      </c>
      <c r="B14384" s="49" t="s">
        <v>10562</v>
      </c>
    </row>
    <row r="14385" spans="1:2">
      <c r="A14385" s="66">
        <v>46072.318910000002</v>
      </c>
      <c r="B14385" s="49" t="s">
        <v>10590</v>
      </c>
    </row>
    <row r="14386" spans="1:2">
      <c r="A14386" s="66">
        <v>46072.318923750005</v>
      </c>
      <c r="B14386" s="49" t="s">
        <v>10592</v>
      </c>
    </row>
    <row r="14387" spans="1:2">
      <c r="A14387" s="66">
        <v>46072.31903731481</v>
      </c>
      <c r="B14387" s="49" t="s">
        <v>10556</v>
      </c>
    </row>
    <row r="14388" spans="1:2">
      <c r="A14388" s="66">
        <v>46072.319061608796</v>
      </c>
      <c r="B14388" s="49" t="s">
        <v>10598</v>
      </c>
    </row>
    <row r="14389" spans="1:2">
      <c r="A14389" s="66">
        <v>46072.319063993054</v>
      </c>
      <c r="B14389" s="49" t="s">
        <v>10588</v>
      </c>
    </row>
    <row r="14390" spans="1:2">
      <c r="A14390" s="66">
        <v>46072.31906736111</v>
      </c>
      <c r="B14390" s="49" t="s">
        <v>10466</v>
      </c>
    </row>
    <row r="14391" spans="1:2">
      <c r="A14391" s="66">
        <v>46072.319070231482</v>
      </c>
      <c r="B14391" s="49" t="s">
        <v>10589</v>
      </c>
    </row>
    <row r="14392" spans="1:2">
      <c r="A14392" s="66">
        <v>46072.319073275459</v>
      </c>
      <c r="B14392" s="49" t="s">
        <v>10562</v>
      </c>
    </row>
    <row r="14393" spans="1:2">
      <c r="A14393" s="66">
        <v>46072.319075879626</v>
      </c>
      <c r="B14393" s="49" t="s">
        <v>10590</v>
      </c>
    </row>
    <row r="14394" spans="1:2">
      <c r="A14394" s="66">
        <v>46072.319089988421</v>
      </c>
      <c r="B14394" s="49" t="s">
        <v>10592</v>
      </c>
    </row>
    <row r="14395" spans="1:2">
      <c r="A14395" s="66">
        <v>46072.319305763885</v>
      </c>
      <c r="B14395" s="49" t="s">
        <v>10556</v>
      </c>
    </row>
    <row r="14396" spans="1:2">
      <c r="A14396" s="66">
        <v>46072.319308333332</v>
      </c>
      <c r="B14396" s="49" t="s">
        <v>10598</v>
      </c>
    </row>
    <row r="14397" spans="1:2">
      <c r="A14397" s="66">
        <v>46072.319310868057</v>
      </c>
      <c r="B14397" s="49" t="s">
        <v>10588</v>
      </c>
    </row>
    <row r="14398" spans="1:2">
      <c r="A14398" s="66">
        <v>46072.319313159722</v>
      </c>
      <c r="B14398" s="49" t="s">
        <v>10466</v>
      </c>
    </row>
    <row r="14399" spans="1:2">
      <c r="A14399" s="66">
        <v>46072.319316342589</v>
      </c>
      <c r="B14399" s="49" t="s">
        <v>10589</v>
      </c>
    </row>
    <row r="14400" spans="1:2">
      <c r="A14400" s="66">
        <v>46072.319318877315</v>
      </c>
      <c r="B14400" s="49" t="s">
        <v>10562</v>
      </c>
    </row>
    <row r="14401" spans="1:2">
      <c r="A14401" s="66">
        <v>46072.319321446761</v>
      </c>
      <c r="B14401" s="49" t="s">
        <v>10590</v>
      </c>
    </row>
    <row r="14402" spans="1:2">
      <c r="A14402" s="66">
        <v>46072.319334768516</v>
      </c>
      <c r="B14402" s="49" t="s">
        <v>10592</v>
      </c>
    </row>
    <row r="14403" spans="1:2">
      <c r="A14403" s="66">
        <v>46072.319735567129</v>
      </c>
      <c r="B14403" s="49" t="s">
        <v>10556</v>
      </c>
    </row>
    <row r="14404" spans="1:2">
      <c r="A14404" s="66">
        <v>46072.319738506943</v>
      </c>
      <c r="B14404" s="49" t="s">
        <v>10598</v>
      </c>
    </row>
    <row r="14405" spans="1:2">
      <c r="A14405" s="66">
        <v>46072.319741446758</v>
      </c>
      <c r="B14405" s="49" t="s">
        <v>10588</v>
      </c>
    </row>
    <row r="14406" spans="1:2">
      <c r="A14406" s="66">
        <v>46072.319744374996</v>
      </c>
      <c r="B14406" s="49" t="s">
        <v>10466</v>
      </c>
    </row>
    <row r="14407" spans="1:2">
      <c r="A14407" s="66">
        <v>46072.319747199072</v>
      </c>
      <c r="B14407" s="49" t="s">
        <v>10589</v>
      </c>
    </row>
    <row r="14408" spans="1:2">
      <c r="A14408" s="66">
        <v>46072.319749942129</v>
      </c>
      <c r="B14408" s="49" t="s">
        <v>10562</v>
      </c>
    </row>
    <row r="14409" spans="1:2">
      <c r="A14409" s="66">
        <v>46072.319753495365</v>
      </c>
      <c r="B14409" s="49" t="s">
        <v>10590</v>
      </c>
    </row>
    <row r="14410" spans="1:2">
      <c r="A14410" s="66">
        <v>46072.319779421297</v>
      </c>
      <c r="B14410" s="49" t="s">
        <v>10592</v>
      </c>
    </row>
    <row r="14411" spans="1:2">
      <c r="A14411" s="66">
        <v>46072.320561643515</v>
      </c>
      <c r="B14411" s="49" t="s">
        <v>10556</v>
      </c>
    </row>
    <row r="14412" spans="1:2">
      <c r="A14412" s="66">
        <v>46072.320564016205</v>
      </c>
      <c r="B14412" s="49" t="s">
        <v>10598</v>
      </c>
    </row>
    <row r="14413" spans="1:2">
      <c r="A14413" s="66">
        <v>46072.320566238428</v>
      </c>
      <c r="B14413" s="49" t="s">
        <v>10588</v>
      </c>
    </row>
    <row r="14414" spans="1:2">
      <c r="A14414" s="66">
        <v>46072.32056925926</v>
      </c>
      <c r="B14414" s="49" t="s">
        <v>10466</v>
      </c>
    </row>
    <row r="14415" spans="1:2">
      <c r="A14415" s="66">
        <v>46072.320571840275</v>
      </c>
      <c r="B14415" s="49" t="s">
        <v>10589</v>
      </c>
    </row>
    <row r="14416" spans="1:2">
      <c r="A14416" s="66">
        <v>46072.320574513884</v>
      </c>
      <c r="B14416" s="49" t="s">
        <v>10562</v>
      </c>
    </row>
    <row r="14417" spans="1:2">
      <c r="A14417" s="66">
        <v>46072.320576689817</v>
      </c>
      <c r="B14417" s="49" t="s">
        <v>10590</v>
      </c>
    </row>
    <row r="14418" spans="1:2">
      <c r="A14418" s="66">
        <v>46072.32059278935</v>
      </c>
      <c r="B14418" s="49" t="s">
        <v>10592</v>
      </c>
    </row>
    <row r="14419" spans="1:2">
      <c r="A14419" s="66">
        <v>46072.320638101854</v>
      </c>
      <c r="B14419" s="49" t="s">
        <v>10556</v>
      </c>
    </row>
    <row r="14420" spans="1:2">
      <c r="A14420" s="66">
        <v>46072.320640057871</v>
      </c>
      <c r="B14420" s="49" t="s">
        <v>10599</v>
      </c>
    </row>
    <row r="14421" spans="1:2">
      <c r="A14421" s="66">
        <v>46072.320641724538</v>
      </c>
      <c r="B14421" s="49" t="s">
        <v>10588</v>
      </c>
    </row>
    <row r="14422" spans="1:2">
      <c r="A14422" s="66">
        <v>46072.320652222217</v>
      </c>
      <c r="B14422" s="49" t="s">
        <v>10466</v>
      </c>
    </row>
    <row r="14423" spans="1:2">
      <c r="A14423" s="66">
        <v>46072.320654571755</v>
      </c>
      <c r="B14423" s="49" t="s">
        <v>10589</v>
      </c>
    </row>
    <row r="14424" spans="1:2">
      <c r="A14424" s="66">
        <v>46072.320656458338</v>
      </c>
      <c r="B14424" s="49" t="s">
        <v>10562</v>
      </c>
    </row>
    <row r="14425" spans="1:2">
      <c r="A14425" s="66">
        <v>46072.320658379627</v>
      </c>
      <c r="B14425" s="49" t="s">
        <v>10590</v>
      </c>
    </row>
    <row r="14426" spans="1:2">
      <c r="A14426" s="66">
        <v>46072.320671458336</v>
      </c>
      <c r="B14426" s="49" t="s">
        <v>10592</v>
      </c>
    </row>
    <row r="14427" spans="1:2">
      <c r="A14427" s="66">
        <v>46072.320712037035</v>
      </c>
      <c r="B14427" s="49" t="s">
        <v>10556</v>
      </c>
    </row>
    <row r="14428" spans="1:2">
      <c r="A14428" s="66">
        <v>46072.320714097223</v>
      </c>
      <c r="B14428" s="49" t="s">
        <v>10599</v>
      </c>
    </row>
    <row r="14429" spans="1:2">
      <c r="A14429" s="66">
        <v>46072.32071670139</v>
      </c>
      <c r="B14429" s="49" t="s">
        <v>10588</v>
      </c>
    </row>
    <row r="14430" spans="1:2">
      <c r="A14430" s="66">
        <v>46072.320718900461</v>
      </c>
      <c r="B14430" s="49" t="s">
        <v>10466</v>
      </c>
    </row>
    <row r="14431" spans="1:2">
      <c r="A14431" s="66">
        <v>46072.320720995369</v>
      </c>
      <c r="B14431" s="49" t="s">
        <v>10589</v>
      </c>
    </row>
    <row r="14432" spans="1:2">
      <c r="A14432" s="66">
        <v>46072.320723564815</v>
      </c>
      <c r="B14432" s="49" t="s">
        <v>10562</v>
      </c>
    </row>
    <row r="14433" spans="1:2">
      <c r="A14433" s="66">
        <v>46072.320726481485</v>
      </c>
      <c r="B14433" s="49" t="s">
        <v>10590</v>
      </c>
    </row>
    <row r="14434" spans="1:2">
      <c r="A14434" s="66">
        <v>46072.320739861112</v>
      </c>
      <c r="B14434" s="49" t="s">
        <v>10592</v>
      </c>
    </row>
    <row r="14435" spans="1:2">
      <c r="A14435" s="66">
        <v>46072.32078065972</v>
      </c>
      <c r="B14435" s="49" t="s">
        <v>10556</v>
      </c>
    </row>
    <row r="14436" spans="1:2">
      <c r="A14436" s="66">
        <v>46072.320782615745</v>
      </c>
      <c r="B14436" s="49" t="s">
        <v>10599</v>
      </c>
    </row>
    <row r="14437" spans="1:2">
      <c r="A14437" s="66">
        <v>46072.320785312499</v>
      </c>
      <c r="B14437" s="49" t="s">
        <v>10588</v>
      </c>
    </row>
    <row r="14438" spans="1:2">
      <c r="A14438" s="66">
        <v>46072.320787314813</v>
      </c>
      <c r="B14438" s="49" t="s">
        <v>10466</v>
      </c>
    </row>
    <row r="14439" spans="1:2">
      <c r="A14439" s="66">
        <v>46072.320793888888</v>
      </c>
      <c r="B14439" s="49" t="s">
        <v>10589</v>
      </c>
    </row>
    <row r="14440" spans="1:2">
      <c r="A14440" s="66">
        <v>46072.320795648149</v>
      </c>
      <c r="B14440" s="49" t="s">
        <v>10562</v>
      </c>
    </row>
    <row r="14441" spans="1:2">
      <c r="A14441" s="66">
        <v>46072.320797962966</v>
      </c>
      <c r="B14441" s="49" t="s">
        <v>10590</v>
      </c>
    </row>
    <row r="14442" spans="1:2">
      <c r="A14442" s="66">
        <v>46072.320812256949</v>
      </c>
      <c r="B14442" s="49" t="s">
        <v>10592</v>
      </c>
    </row>
    <row r="14443" spans="1:2">
      <c r="A14443" s="66">
        <v>46072.320902245367</v>
      </c>
      <c r="B14443" s="49" t="s">
        <v>10556</v>
      </c>
    </row>
    <row r="14444" spans="1:2">
      <c r="A14444" s="66">
        <v>46072.320905324072</v>
      </c>
      <c r="B14444" s="49" t="s">
        <v>10599</v>
      </c>
    </row>
    <row r="14445" spans="1:2">
      <c r="A14445" s="66">
        <v>46072.32090846065</v>
      </c>
      <c r="B14445" s="49" t="s">
        <v>10588</v>
      </c>
    </row>
    <row r="14446" spans="1:2">
      <c r="A14446" s="66">
        <v>46072.320917442128</v>
      </c>
      <c r="B14446" s="49" t="s">
        <v>10466</v>
      </c>
    </row>
    <row r="14447" spans="1:2">
      <c r="A14447" s="66">
        <v>46072.320920532409</v>
      </c>
      <c r="B14447" s="49" t="s">
        <v>10589</v>
      </c>
    </row>
    <row r="14448" spans="1:2">
      <c r="A14448" s="66">
        <v>46072.320924594911</v>
      </c>
      <c r="B14448" s="49" t="s">
        <v>10562</v>
      </c>
    </row>
    <row r="14449" spans="1:2">
      <c r="A14449" s="66">
        <v>46072.320927743058</v>
      </c>
      <c r="B14449" s="49" t="s">
        <v>10590</v>
      </c>
    </row>
    <row r="14450" spans="1:2">
      <c r="A14450" s="66">
        <v>46072.320946782405</v>
      </c>
      <c r="B14450" s="49" t="s">
        <v>10592</v>
      </c>
    </row>
    <row r="14451" spans="1:2">
      <c r="A14451" s="66">
        <v>46072.321062592593</v>
      </c>
      <c r="B14451" s="49" t="s">
        <v>10556</v>
      </c>
    </row>
    <row r="14452" spans="1:2">
      <c r="A14452" s="66">
        <v>46072.32106574074</v>
      </c>
      <c r="B14452" s="49" t="s">
        <v>10599</v>
      </c>
    </row>
    <row r="14453" spans="1:2">
      <c r="A14453" s="66">
        <v>46072.321092789352</v>
      </c>
      <c r="B14453" s="49" t="s">
        <v>10588</v>
      </c>
    </row>
    <row r="14454" spans="1:2">
      <c r="A14454" s="66">
        <v>46072.321095833337</v>
      </c>
      <c r="B14454" s="49" t="s">
        <v>10466</v>
      </c>
    </row>
    <row r="14455" spans="1:2">
      <c r="A14455" s="66">
        <v>46072.321098831017</v>
      </c>
      <c r="B14455" s="49" t="s">
        <v>10589</v>
      </c>
    </row>
    <row r="14456" spans="1:2">
      <c r="A14456" s="66">
        <v>46072.321102604168</v>
      </c>
      <c r="B14456" s="49" t="s">
        <v>10562</v>
      </c>
    </row>
    <row r="14457" spans="1:2">
      <c r="A14457" s="66">
        <v>46072.321105798612</v>
      </c>
      <c r="B14457" s="49" t="s">
        <v>10590</v>
      </c>
    </row>
    <row r="14458" spans="1:2">
      <c r="A14458" s="66">
        <v>46072.321125023147</v>
      </c>
      <c r="B14458" s="49" t="s">
        <v>10592</v>
      </c>
    </row>
    <row r="14459" spans="1:2">
      <c r="A14459" s="66">
        <v>46072.321331828702</v>
      </c>
      <c r="B14459" s="49" t="s">
        <v>10556</v>
      </c>
    </row>
    <row r="14460" spans="1:2">
      <c r="A14460" s="66">
        <v>46072.32133392361</v>
      </c>
      <c r="B14460" s="49" t="s">
        <v>10599</v>
      </c>
    </row>
    <row r="14461" spans="1:2">
      <c r="A14461" s="66">
        <v>46072.321337592592</v>
      </c>
      <c r="B14461" s="49" t="s">
        <v>10588</v>
      </c>
    </row>
    <row r="14462" spans="1:2">
      <c r="A14462" s="66">
        <v>46072.321340173614</v>
      </c>
      <c r="B14462" s="49" t="s">
        <v>10466</v>
      </c>
    </row>
    <row r="14463" spans="1:2">
      <c r="A14463" s="66">
        <v>46072.321343773147</v>
      </c>
      <c r="B14463" s="49" t="s">
        <v>10589</v>
      </c>
    </row>
    <row r="14464" spans="1:2">
      <c r="A14464" s="66">
        <v>46072.321345717588</v>
      </c>
      <c r="B14464" s="49" t="s">
        <v>10562</v>
      </c>
    </row>
    <row r="14465" spans="1:2">
      <c r="A14465" s="66">
        <v>46072.321347870369</v>
      </c>
      <c r="B14465" s="49" t="s">
        <v>10590</v>
      </c>
    </row>
    <row r="14466" spans="1:2">
      <c r="A14466" s="66">
        <v>46072.321360173606</v>
      </c>
      <c r="B14466" s="49" t="s">
        <v>10592</v>
      </c>
    </row>
    <row r="14467" spans="1:2">
      <c r="A14467" s="66">
        <v>46072.321751550931</v>
      </c>
      <c r="B14467" s="49" t="s">
        <v>10556</v>
      </c>
    </row>
    <row r="14468" spans="1:2">
      <c r="A14468" s="66">
        <v>46072.321753912038</v>
      </c>
      <c r="B14468" s="49" t="s">
        <v>10599</v>
      </c>
    </row>
    <row r="14469" spans="1:2">
      <c r="A14469" s="66">
        <v>46072.32175609954</v>
      </c>
      <c r="B14469" s="49" t="s">
        <v>10588</v>
      </c>
    </row>
    <row r="14470" spans="1:2">
      <c r="A14470" s="66">
        <v>46072.321758599537</v>
      </c>
      <c r="B14470" s="49" t="s">
        <v>10466</v>
      </c>
    </row>
    <row r="14471" spans="1:2">
      <c r="A14471" s="66">
        <v>46072.321760763887</v>
      </c>
      <c r="B14471" s="49" t="s">
        <v>10589</v>
      </c>
    </row>
    <row r="14472" spans="1:2">
      <c r="A14472" s="66">
        <v>46072.321764282402</v>
      </c>
      <c r="B14472" s="49" t="s">
        <v>10562</v>
      </c>
    </row>
    <row r="14473" spans="1:2">
      <c r="A14473" s="66">
        <v>46072.321767175927</v>
      </c>
      <c r="B14473" s="49" t="s">
        <v>10590</v>
      </c>
    </row>
    <row r="14474" spans="1:2">
      <c r="A14474" s="66">
        <v>46072.321780868057</v>
      </c>
      <c r="B14474" s="49" t="s">
        <v>10592</v>
      </c>
    </row>
    <row r="14475" spans="1:2">
      <c r="A14475" s="66">
        <v>46072.321801273152</v>
      </c>
      <c r="B14475" s="49" t="s">
        <v>10556</v>
      </c>
    </row>
    <row r="14476" spans="1:2">
      <c r="A14476" s="66">
        <v>46072.321803240746</v>
      </c>
      <c r="B14476" s="49" t="s">
        <v>10600</v>
      </c>
    </row>
    <row r="14477" spans="1:2">
      <c r="A14477" s="66">
        <v>46072.321811041664</v>
      </c>
      <c r="B14477" s="49" t="s">
        <v>10588</v>
      </c>
    </row>
    <row r="14478" spans="1:2">
      <c r="A14478" s="66">
        <v>46072.321813912036</v>
      </c>
      <c r="B14478" s="49" t="s">
        <v>10466</v>
      </c>
    </row>
    <row r="14479" spans="1:2">
      <c r="A14479" s="66">
        <v>46072.321816620373</v>
      </c>
      <c r="B14479" s="49" t="s">
        <v>10589</v>
      </c>
    </row>
    <row r="14480" spans="1:2">
      <c r="A14480" s="66">
        <v>46072.321819652774</v>
      </c>
      <c r="B14480" s="49" t="s">
        <v>10562</v>
      </c>
    </row>
    <row r="14481" spans="1:2">
      <c r="A14481" s="66">
        <v>46072.321828171298</v>
      </c>
      <c r="B14481" s="49" t="s">
        <v>10590</v>
      </c>
    </row>
    <row r="14482" spans="1:2">
      <c r="A14482" s="66">
        <v>46072.321843900463</v>
      </c>
      <c r="B14482" s="49" t="s">
        <v>10592</v>
      </c>
    </row>
    <row r="14483" spans="1:2">
      <c r="A14483" s="66">
        <v>46072.321860509255</v>
      </c>
      <c r="B14483" s="49" t="s">
        <v>10556</v>
      </c>
    </row>
    <row r="14484" spans="1:2">
      <c r="A14484" s="66">
        <v>46072.321862268524</v>
      </c>
      <c r="B14484" s="49" t="s">
        <v>10600</v>
      </c>
    </row>
    <row r="14485" spans="1:2">
      <c r="A14485" s="66">
        <v>46072.321864074074</v>
      </c>
      <c r="B14485" s="49" t="s">
        <v>10588</v>
      </c>
    </row>
    <row r="14486" spans="1:2">
      <c r="A14486" s="66">
        <v>46072.321866215279</v>
      </c>
      <c r="B14486" s="49" t="s">
        <v>10466</v>
      </c>
    </row>
    <row r="14487" spans="1:2">
      <c r="A14487" s="66">
        <v>46072.321868113431</v>
      </c>
      <c r="B14487" s="49" t="s">
        <v>10589</v>
      </c>
    </row>
    <row r="14488" spans="1:2">
      <c r="A14488" s="66">
        <v>46072.321870104162</v>
      </c>
      <c r="B14488" s="49" t="s">
        <v>10562</v>
      </c>
    </row>
    <row r="14489" spans="1:2">
      <c r="A14489" s="66">
        <v>46072.321872870365</v>
      </c>
      <c r="B14489" s="49" t="s">
        <v>10590</v>
      </c>
    </row>
    <row r="14490" spans="1:2">
      <c r="A14490" s="66">
        <v>46072.321885173616</v>
      </c>
      <c r="B14490" s="49" t="s">
        <v>10592</v>
      </c>
    </row>
    <row r="14491" spans="1:2">
      <c r="A14491" s="66">
        <v>46072.321956134256</v>
      </c>
      <c r="B14491" s="49" t="s">
        <v>10556</v>
      </c>
    </row>
    <row r="14492" spans="1:2">
      <c r="A14492" s="66">
        <v>46072.321957870372</v>
      </c>
      <c r="B14492" s="49" t="s">
        <v>10600</v>
      </c>
    </row>
    <row r="14493" spans="1:2">
      <c r="A14493" s="66">
        <v>46072.321959710651</v>
      </c>
      <c r="B14493" s="49" t="s">
        <v>10588</v>
      </c>
    </row>
    <row r="14494" spans="1:2">
      <c r="A14494" s="66">
        <v>46072.321961643524</v>
      </c>
      <c r="B14494" s="49" t="s">
        <v>10466</v>
      </c>
    </row>
    <row r="14495" spans="1:2">
      <c r="A14495" s="66">
        <v>46072.321964212962</v>
      </c>
      <c r="B14495" s="49" t="s">
        <v>10589</v>
      </c>
    </row>
    <row r="14496" spans="1:2">
      <c r="A14496" s="66">
        <v>46072.321965983792</v>
      </c>
      <c r="B14496" s="49" t="s">
        <v>10562</v>
      </c>
    </row>
    <row r="14497" spans="1:2">
      <c r="A14497" s="66">
        <v>46072.321968032411</v>
      </c>
      <c r="B14497" s="49" t="s">
        <v>10590</v>
      </c>
    </row>
    <row r="14498" spans="1:2">
      <c r="A14498" s="66">
        <v>46072.321991261575</v>
      </c>
      <c r="B14498" s="49" t="s">
        <v>10592</v>
      </c>
    </row>
    <row r="14499" spans="1:2">
      <c r="A14499" s="66">
        <v>46072.322054814817</v>
      </c>
      <c r="B14499" s="49" t="s">
        <v>10556</v>
      </c>
    </row>
    <row r="14500" spans="1:2">
      <c r="A14500" s="66">
        <v>46072.322057141202</v>
      </c>
      <c r="B14500" s="49" t="s">
        <v>10600</v>
      </c>
    </row>
    <row r="14501" spans="1:2">
      <c r="A14501" s="66">
        <v>46072.322059456019</v>
      </c>
      <c r="B14501" s="49" t="s">
        <v>10588</v>
      </c>
    </row>
    <row r="14502" spans="1:2">
      <c r="A14502" s="66">
        <v>46072.32206233796</v>
      </c>
      <c r="B14502" s="49" t="s">
        <v>10466</v>
      </c>
    </row>
    <row r="14503" spans="1:2">
      <c r="A14503" s="66">
        <v>46072.322065995366</v>
      </c>
      <c r="B14503" s="49" t="s">
        <v>10589</v>
      </c>
    </row>
    <row r="14504" spans="1:2">
      <c r="A14504" s="66">
        <v>46072.322069386573</v>
      </c>
      <c r="B14504" s="49" t="s">
        <v>10562</v>
      </c>
    </row>
    <row r="14505" spans="1:2">
      <c r="A14505" s="66">
        <v>46072.322071666669</v>
      </c>
      <c r="B14505" s="49" t="s">
        <v>10590</v>
      </c>
    </row>
    <row r="14506" spans="1:2">
      <c r="A14506" s="66">
        <v>46072.322086273147</v>
      </c>
      <c r="B14506" s="49" t="s">
        <v>10592</v>
      </c>
    </row>
    <row r="14507" spans="1:2">
      <c r="A14507" s="66">
        <v>46072.322199317132</v>
      </c>
      <c r="B14507" s="49" t="s">
        <v>10556</v>
      </c>
    </row>
    <row r="14508" spans="1:2">
      <c r="A14508" s="66">
        <v>46072.322201678238</v>
      </c>
      <c r="B14508" s="49" t="s">
        <v>10600</v>
      </c>
    </row>
    <row r="14509" spans="1:2">
      <c r="A14509" s="66">
        <v>46072.322203981486</v>
      </c>
      <c r="B14509" s="49" t="s">
        <v>10588</v>
      </c>
    </row>
    <row r="14510" spans="1:2">
      <c r="A14510" s="66">
        <v>46072.322206793979</v>
      </c>
      <c r="B14510" s="49" t="s">
        <v>10466</v>
      </c>
    </row>
    <row r="14511" spans="1:2">
      <c r="A14511" s="66">
        <v>46072.322209756945</v>
      </c>
      <c r="B14511" s="49" t="s">
        <v>10589</v>
      </c>
    </row>
    <row r="14512" spans="1:2">
      <c r="A14512" s="66">
        <v>46072.322212569445</v>
      </c>
      <c r="B14512" s="49" t="s">
        <v>10562</v>
      </c>
    </row>
    <row r="14513" spans="1:2">
      <c r="A14513" s="66">
        <v>46072.322214884261</v>
      </c>
      <c r="B14513" s="49" t="s">
        <v>10590</v>
      </c>
    </row>
    <row r="14514" spans="1:2">
      <c r="A14514" s="66">
        <v>46072.322227662036</v>
      </c>
      <c r="B14514" s="49" t="s">
        <v>10592</v>
      </c>
    </row>
    <row r="14515" spans="1:2">
      <c r="A14515" s="66">
        <v>46072.322457847222</v>
      </c>
      <c r="B14515" s="49" t="s">
        <v>10556</v>
      </c>
    </row>
    <row r="14516" spans="1:2">
      <c r="A14516" s="66">
        <v>46072.322460775467</v>
      </c>
      <c r="B14516" s="49" t="s">
        <v>10600</v>
      </c>
    </row>
    <row r="14517" spans="1:2">
      <c r="A14517" s="66">
        <v>46072.322463599536</v>
      </c>
      <c r="B14517" s="49" t="s">
        <v>10588</v>
      </c>
    </row>
    <row r="14518" spans="1:2">
      <c r="A14518" s="66">
        <v>46072.322469062499</v>
      </c>
      <c r="B14518" s="49" t="s">
        <v>10466</v>
      </c>
    </row>
    <row r="14519" spans="1:2">
      <c r="A14519" s="66">
        <v>46072.322471678242</v>
      </c>
      <c r="B14519" s="49" t="s">
        <v>10589</v>
      </c>
    </row>
    <row r="14520" spans="1:2">
      <c r="A14520" s="66">
        <v>46072.322473969907</v>
      </c>
      <c r="B14520" s="49" t="s">
        <v>10562</v>
      </c>
    </row>
    <row r="14521" spans="1:2">
      <c r="A14521" s="66">
        <v>46072.322476909721</v>
      </c>
      <c r="B14521" s="49" t="s">
        <v>10590</v>
      </c>
    </row>
    <row r="14522" spans="1:2">
      <c r="A14522" s="66">
        <v>46072.322498541667</v>
      </c>
      <c r="B14522" s="49" t="s">
        <v>10592</v>
      </c>
    </row>
    <row r="14523" spans="1:2">
      <c r="A14523" s="66">
        <v>46072.322923726853</v>
      </c>
      <c r="B14523" s="49" t="s">
        <v>10556</v>
      </c>
    </row>
    <row r="14524" spans="1:2">
      <c r="A14524" s="66">
        <v>46072.322936111115</v>
      </c>
      <c r="B14524" s="49" t="s">
        <v>10600</v>
      </c>
    </row>
    <row r="14525" spans="1:2">
      <c r="A14525" s="66">
        <v>46072.322938472222</v>
      </c>
      <c r="B14525" s="49" t="s">
        <v>10588</v>
      </c>
    </row>
    <row r="14526" spans="1:2">
      <c r="A14526" s="66">
        <v>46072.322940659724</v>
      </c>
      <c r="B14526" s="49" t="s">
        <v>10466</v>
      </c>
    </row>
    <row r="14527" spans="1:2">
      <c r="A14527" s="66">
        <v>46072.322943101855</v>
      </c>
      <c r="B14527" s="49" t="s">
        <v>10589</v>
      </c>
    </row>
    <row r="14528" spans="1:2">
      <c r="A14528" s="66">
        <v>46072.322945995373</v>
      </c>
      <c r="B14528" s="49" t="s">
        <v>10562</v>
      </c>
    </row>
    <row r="14529" spans="1:2">
      <c r="A14529" s="66">
        <v>46072.322948900459</v>
      </c>
      <c r="B14529" s="49" t="s">
        <v>10590</v>
      </c>
    </row>
    <row r="14530" spans="1:2">
      <c r="A14530" s="66">
        <v>46072.322959733792</v>
      </c>
      <c r="B14530" s="49" t="s">
        <v>10592</v>
      </c>
    </row>
    <row r="14531" spans="1:2">
      <c r="A14531" s="66">
        <v>46072.323749479168</v>
      </c>
      <c r="B14531" s="49" t="s">
        <v>10556</v>
      </c>
    </row>
    <row r="14532" spans="1:2">
      <c r="A14532" s="66">
        <v>46072.323762245374</v>
      </c>
      <c r="B14532" s="49" t="s">
        <v>10600</v>
      </c>
    </row>
    <row r="14533" spans="1:2">
      <c r="A14533" s="66">
        <v>46072.323764039349</v>
      </c>
      <c r="B14533" s="49" t="s">
        <v>10588</v>
      </c>
    </row>
    <row r="14534" spans="1:2">
      <c r="A14534" s="66">
        <v>46072.323766261572</v>
      </c>
      <c r="B14534" s="49" t="s">
        <v>10466</v>
      </c>
    </row>
    <row r="14535" spans="1:2">
      <c r="A14535" s="66">
        <v>46072.32376806713</v>
      </c>
      <c r="B14535" s="49" t="s">
        <v>10589</v>
      </c>
    </row>
    <row r="14536" spans="1:2">
      <c r="A14536" s="66">
        <v>46072.323770960647</v>
      </c>
      <c r="B14536" s="49" t="s">
        <v>10562</v>
      </c>
    </row>
    <row r="14537" spans="1:2">
      <c r="A14537" s="66">
        <v>46072.323773888886</v>
      </c>
      <c r="B14537" s="49" t="s">
        <v>10590</v>
      </c>
    </row>
    <row r="14538" spans="1:2">
      <c r="A14538" s="66">
        <v>46072.323788506939</v>
      </c>
      <c r="B14538" s="49" t="s">
        <v>10592</v>
      </c>
    </row>
    <row r="14539" spans="1:2">
      <c r="A14539" s="66">
        <v>46072.324551053243</v>
      </c>
      <c r="B14539" s="67">
        <v>46071</v>
      </c>
    </row>
    <row r="14540" spans="1:2">
      <c r="A14540" s="66">
        <v>46072.324593356483</v>
      </c>
      <c r="B14540" s="49" t="s">
        <v>10556</v>
      </c>
    </row>
    <row r="14541" spans="1:2">
      <c r="A14541" s="66">
        <v>46072.324595520833</v>
      </c>
      <c r="B14541" s="49" t="s">
        <v>10600</v>
      </c>
    </row>
    <row r="14542" spans="1:2">
      <c r="A14542" s="66">
        <v>46072.324598159721</v>
      </c>
      <c r="B14542" s="49" t="s">
        <v>10588</v>
      </c>
    </row>
    <row r="14543" spans="1:2">
      <c r="A14543" s="66">
        <v>46072.32460068287</v>
      </c>
      <c r="B14543" s="49" t="s">
        <v>10466</v>
      </c>
    </row>
    <row r="14544" spans="1:2">
      <c r="A14544" s="66">
        <v>46072.324602534718</v>
      </c>
      <c r="B14544" s="49" t="s">
        <v>10589</v>
      </c>
    </row>
    <row r="14545" spans="1:2">
      <c r="A14545" s="66">
        <v>46072.324605648144</v>
      </c>
      <c r="B14545" s="49" t="s">
        <v>10562</v>
      </c>
    </row>
    <row r="14546" spans="1:2">
      <c r="A14546" s="66">
        <v>46072.324608229166</v>
      </c>
      <c r="B14546" s="49" t="s">
        <v>10590</v>
      </c>
    </row>
    <row r="14547" spans="1:2">
      <c r="A14547" s="66">
        <v>46072.324621782405</v>
      </c>
      <c r="B14547" s="49" t="s">
        <v>10592</v>
      </c>
    </row>
    <row r="14548" spans="1:2">
      <c r="A14548" s="66">
        <v>46072.324663321764</v>
      </c>
      <c r="B14548" s="49" t="s">
        <v>10556</v>
      </c>
    </row>
    <row r="14549" spans="1:2">
      <c r="A14549" s="66">
        <v>46072.32466518518</v>
      </c>
      <c r="B14549" s="49" t="s">
        <v>10601</v>
      </c>
    </row>
    <row r="14550" spans="1:2">
      <c r="A14550" s="66">
        <v>46072.324667129629</v>
      </c>
      <c r="B14550" s="49" t="s">
        <v>10588</v>
      </c>
    </row>
    <row r="14551" spans="1:2">
      <c r="A14551" s="66">
        <v>46072.324669108799</v>
      </c>
      <c r="B14551" s="49" t="s">
        <v>10466</v>
      </c>
    </row>
    <row r="14552" spans="1:2">
      <c r="A14552" s="66">
        <v>46072.324670775459</v>
      </c>
      <c r="B14552" s="49" t="s">
        <v>10589</v>
      </c>
    </row>
    <row r="14553" spans="1:2">
      <c r="A14553" s="66">
        <v>46072.324673136573</v>
      </c>
      <c r="B14553" s="49" t="s">
        <v>10562</v>
      </c>
    </row>
    <row r="14554" spans="1:2">
      <c r="A14554" s="66">
        <v>46072.324677106481</v>
      </c>
      <c r="B14554" s="49" t="s">
        <v>10590</v>
      </c>
    </row>
    <row r="14555" spans="1:2">
      <c r="A14555" s="66">
        <v>46072.324690601847</v>
      </c>
      <c r="B14555" s="49" t="s">
        <v>10592</v>
      </c>
    </row>
    <row r="14556" spans="1:2">
      <c r="A14556" s="66">
        <v>46072.324732905094</v>
      </c>
      <c r="B14556" s="49" t="s">
        <v>10556</v>
      </c>
    </row>
    <row r="14557" spans="1:2">
      <c r="A14557" s="66">
        <v>46072.324734594906</v>
      </c>
      <c r="B14557" s="49" t="s">
        <v>10601</v>
      </c>
    </row>
    <row r="14558" spans="1:2">
      <c r="A14558" s="66">
        <v>46072.324736493058</v>
      </c>
      <c r="B14558" s="49" t="s">
        <v>10588</v>
      </c>
    </row>
    <row r="14559" spans="1:2">
      <c r="A14559" s="66">
        <v>46072.324738958334</v>
      </c>
      <c r="B14559" s="49" t="s">
        <v>10466</v>
      </c>
    </row>
    <row r="14560" spans="1:2">
      <c r="A14560" s="66">
        <v>46072.32474063657</v>
      </c>
      <c r="B14560" s="49" t="s">
        <v>10589</v>
      </c>
    </row>
    <row r="14561" spans="1:2">
      <c r="A14561" s="66">
        <v>46072.324742638884</v>
      </c>
      <c r="B14561" s="49" t="s">
        <v>10562</v>
      </c>
    </row>
    <row r="14562" spans="1:2">
      <c r="A14562" s="66">
        <v>46072.324745231483</v>
      </c>
      <c r="B14562" s="49" t="s">
        <v>10590</v>
      </c>
    </row>
    <row r="14563" spans="1:2">
      <c r="A14563" s="66">
        <v>46072.324759189811</v>
      </c>
      <c r="B14563" s="49" t="s">
        <v>10592</v>
      </c>
    </row>
    <row r="14564" spans="1:2">
      <c r="A14564" s="66">
        <v>46072.3248002662</v>
      </c>
      <c r="B14564" s="49" t="s">
        <v>10556</v>
      </c>
    </row>
    <row r="14565" spans="1:2">
      <c r="A14565" s="66">
        <v>46072.324803136573</v>
      </c>
      <c r="B14565" s="49" t="s">
        <v>10601</v>
      </c>
    </row>
    <row r="14566" spans="1:2">
      <c r="A14566" s="66">
        <v>46072.324806064818</v>
      </c>
      <c r="B14566" s="49" t="s">
        <v>10588</v>
      </c>
    </row>
    <row r="14567" spans="1:2">
      <c r="A14567" s="66">
        <v>46072.324808912032</v>
      </c>
      <c r="B14567" s="49" t="s">
        <v>10466</v>
      </c>
    </row>
    <row r="14568" spans="1:2">
      <c r="A14568" s="66">
        <v>46072.324811620369</v>
      </c>
      <c r="B14568" s="49" t="s">
        <v>10589</v>
      </c>
    </row>
    <row r="14569" spans="1:2">
      <c r="A14569" s="66">
        <v>46072.324814444444</v>
      </c>
      <c r="B14569" s="49" t="s">
        <v>10562</v>
      </c>
    </row>
    <row r="14570" spans="1:2">
      <c r="A14570" s="66">
        <v>46072.324817141205</v>
      </c>
      <c r="B14570" s="49" t="s">
        <v>10590</v>
      </c>
    </row>
    <row r="14571" spans="1:2">
      <c r="A14571" s="66">
        <v>46072.324831446764</v>
      </c>
      <c r="B14571" s="49" t="s">
        <v>10592</v>
      </c>
    </row>
    <row r="14572" spans="1:2">
      <c r="A14572" s="66">
        <v>46072.32489768519</v>
      </c>
      <c r="B14572" s="49" t="s">
        <v>10556</v>
      </c>
    </row>
    <row r="14573" spans="1:2">
      <c r="A14573" s="66">
        <v>46072.324900011576</v>
      </c>
      <c r="B14573" s="49" t="s">
        <v>10601</v>
      </c>
    </row>
    <row r="14574" spans="1:2">
      <c r="A14574" s="66">
        <v>46072.324901874999</v>
      </c>
      <c r="B14574" s="49" t="s">
        <v>10588</v>
      </c>
    </row>
    <row r="14575" spans="1:2">
      <c r="A14575" s="66">
        <v>46072.324904456022</v>
      </c>
      <c r="B14575" s="49" t="s">
        <v>10466</v>
      </c>
    </row>
    <row r="14576" spans="1:2">
      <c r="A14576" s="66">
        <v>46072.324906284717</v>
      </c>
      <c r="B14576" s="49" t="s">
        <v>10589</v>
      </c>
    </row>
    <row r="14577" spans="1:2">
      <c r="A14577" s="66">
        <v>46072.324908252311</v>
      </c>
      <c r="B14577" s="49" t="s">
        <v>10562</v>
      </c>
    </row>
    <row r="14578" spans="1:2">
      <c r="A14578" s="66">
        <v>46072.324910868054</v>
      </c>
      <c r="B14578" s="49" t="s">
        <v>10590</v>
      </c>
    </row>
    <row r="14579" spans="1:2">
      <c r="A14579" s="66">
        <v>46072.324927638889</v>
      </c>
      <c r="B14579" s="49" t="s">
        <v>10592</v>
      </c>
    </row>
    <row r="14580" spans="1:2">
      <c r="A14580" s="66">
        <v>46072.325039363423</v>
      </c>
      <c r="B14580" s="49" t="s">
        <v>10556</v>
      </c>
    </row>
    <row r="14581" spans="1:2">
      <c r="A14581" s="66">
        <v>46072.32504210648</v>
      </c>
      <c r="B14581" s="49" t="s">
        <v>10601</v>
      </c>
    </row>
    <row r="14582" spans="1:2">
      <c r="A14582" s="66">
        <v>46072.325044664351</v>
      </c>
      <c r="B14582" s="49" t="s">
        <v>10588</v>
      </c>
    </row>
    <row r="14583" spans="1:2">
      <c r="A14583" s="66">
        <v>46072.325047453705</v>
      </c>
      <c r="B14583" s="49" t="s">
        <v>10466</v>
      </c>
    </row>
    <row r="14584" spans="1:2">
      <c r="A14584" s="66">
        <v>46072.325049733801</v>
      </c>
      <c r="B14584" s="49" t="s">
        <v>10589</v>
      </c>
    </row>
    <row r="14585" spans="1:2">
      <c r="A14585" s="66">
        <v>46072.325052442131</v>
      </c>
      <c r="B14585" s="49" t="s">
        <v>10562</v>
      </c>
    </row>
    <row r="14586" spans="1:2">
      <c r="A14586" s="66">
        <v>46072.325054745372</v>
      </c>
      <c r="B14586" s="49" t="s">
        <v>10590</v>
      </c>
    </row>
    <row r="14587" spans="1:2">
      <c r="A14587" s="66">
        <v>46072.325066840276</v>
      </c>
      <c r="B14587" s="49" t="s">
        <v>10592</v>
      </c>
    </row>
    <row r="14588" spans="1:2">
      <c r="A14588" s="66">
        <v>46072.325295358794</v>
      </c>
      <c r="B14588" s="49" t="s">
        <v>10556</v>
      </c>
    </row>
    <row r="14589" spans="1:2">
      <c r="A14589" s="66">
        <v>46072.325296875002</v>
      </c>
      <c r="B14589" s="49" t="s">
        <v>10601</v>
      </c>
    </row>
    <row r="14590" spans="1:2">
      <c r="A14590" s="66">
        <v>46072.325305949074</v>
      </c>
      <c r="B14590" s="49" t="s">
        <v>10588</v>
      </c>
    </row>
    <row r="14591" spans="1:2">
      <c r="A14591" s="66">
        <v>46072.325309479165</v>
      </c>
      <c r="B14591" s="49" t="s">
        <v>10466</v>
      </c>
    </row>
    <row r="14592" spans="1:2">
      <c r="A14592" s="66">
        <v>46072.325310960645</v>
      </c>
      <c r="B14592" s="49" t="s">
        <v>10589</v>
      </c>
    </row>
    <row r="14593" spans="1:2">
      <c r="A14593" s="66">
        <v>46072.325313159723</v>
      </c>
      <c r="B14593" s="49" t="s">
        <v>10562</v>
      </c>
    </row>
    <row r="14594" spans="1:2">
      <c r="A14594" s="66">
        <v>46072.325315937502</v>
      </c>
      <c r="B14594" s="49" t="s">
        <v>10590</v>
      </c>
    </row>
    <row r="14595" spans="1:2">
      <c r="A14595" s="66">
        <v>46072.325325162034</v>
      </c>
      <c r="B14595" s="49" t="s">
        <v>10592</v>
      </c>
    </row>
    <row r="14596" spans="1:2">
      <c r="A14596" s="66">
        <v>46072.32574</v>
      </c>
      <c r="B14596" s="49" t="s">
        <v>10556</v>
      </c>
    </row>
    <row r="14597" spans="1:2">
      <c r="A14597" s="66">
        <v>46072.325741932873</v>
      </c>
      <c r="B14597" s="49" t="s">
        <v>10601</v>
      </c>
    </row>
    <row r="14598" spans="1:2">
      <c r="A14598" s="66">
        <v>46072.325747916664</v>
      </c>
      <c r="B14598" s="49" t="s">
        <v>10588</v>
      </c>
    </row>
    <row r="14599" spans="1:2">
      <c r="A14599" s="66">
        <v>46072.325752152778</v>
      </c>
      <c r="B14599" s="49" t="s">
        <v>10466</v>
      </c>
    </row>
    <row r="14600" spans="1:2">
      <c r="A14600" s="66">
        <v>46072.325753900463</v>
      </c>
      <c r="B14600" s="49" t="s">
        <v>10589</v>
      </c>
    </row>
    <row r="14601" spans="1:2">
      <c r="A14601" s="66">
        <v>46072.325755763886</v>
      </c>
      <c r="B14601" s="49" t="s">
        <v>10562</v>
      </c>
    </row>
    <row r="14602" spans="1:2">
      <c r="A14602" s="66">
        <v>46072.32575802083</v>
      </c>
      <c r="B14602" s="49" t="s">
        <v>10590</v>
      </c>
    </row>
    <row r="14603" spans="1:2">
      <c r="A14603" s="66">
        <v>46072.325796053236</v>
      </c>
      <c r="B14603" s="49" t="s">
        <v>10592</v>
      </c>
    </row>
    <row r="14604" spans="1:2">
      <c r="A14604" s="66">
        <v>46072.326556944448</v>
      </c>
      <c r="B14604" s="49" t="s">
        <v>10556</v>
      </c>
    </row>
    <row r="14605" spans="1:2">
      <c r="A14605" s="66">
        <v>46072.326559004629</v>
      </c>
      <c r="B14605" s="49" t="s">
        <v>10601</v>
      </c>
    </row>
    <row r="14606" spans="1:2">
      <c r="A14606" s="66">
        <v>46072.326566018513</v>
      </c>
      <c r="B14606" s="49" t="s">
        <v>10588</v>
      </c>
    </row>
    <row r="14607" spans="1:2">
      <c r="A14607" s="66">
        <v>46072.32656804398</v>
      </c>
      <c r="B14607" s="49" t="s">
        <v>10466</v>
      </c>
    </row>
    <row r="14608" spans="1:2">
      <c r="A14608" s="66">
        <v>46072.326570578705</v>
      </c>
      <c r="B14608" s="49" t="s">
        <v>10589</v>
      </c>
    </row>
    <row r="14609" spans="1:2">
      <c r="A14609" s="66">
        <v>46072.326572719903</v>
      </c>
      <c r="B14609" s="49" t="s">
        <v>10562</v>
      </c>
    </row>
    <row r="14610" spans="1:2">
      <c r="A14610" s="66">
        <v>46072.326574699073</v>
      </c>
      <c r="B14610" s="49" t="s">
        <v>10590</v>
      </c>
    </row>
    <row r="14611" spans="1:2">
      <c r="A14611" s="66">
        <v>46072.32658951389</v>
      </c>
      <c r="B14611" s="49" t="s">
        <v>10592</v>
      </c>
    </row>
    <row r="14612" spans="1:2">
      <c r="A14612" s="66">
        <v>46072.327515717596</v>
      </c>
      <c r="B14612" s="49" t="s">
        <v>10556</v>
      </c>
    </row>
    <row r="14613" spans="1:2">
      <c r="A14613" s="66">
        <v>46072.327518657403</v>
      </c>
      <c r="B14613" s="49" t="s">
        <v>10601</v>
      </c>
    </row>
    <row r="14614" spans="1:2">
      <c r="A14614" s="66">
        <v>46072.327521840278</v>
      </c>
      <c r="B14614" s="49" t="s">
        <v>10588</v>
      </c>
    </row>
    <row r="14615" spans="1:2">
      <c r="A14615" s="66">
        <v>46072.327524733795</v>
      </c>
      <c r="B14615" s="49" t="s">
        <v>10466</v>
      </c>
    </row>
    <row r="14616" spans="1:2">
      <c r="A14616" s="66">
        <v>46072.327527187503</v>
      </c>
      <c r="B14616" s="49" t="s">
        <v>10589</v>
      </c>
    </row>
    <row r="14617" spans="1:2">
      <c r="A14617" s="66">
        <v>46072.327536736106</v>
      </c>
      <c r="B14617" s="49" t="s">
        <v>10562</v>
      </c>
    </row>
    <row r="14618" spans="1:2">
      <c r="A14618" s="66">
        <v>46072.327539710648</v>
      </c>
      <c r="B14618" s="49" t="s">
        <v>10590</v>
      </c>
    </row>
    <row r="14619" spans="1:2">
      <c r="A14619" s="66">
        <v>46072.327552893519</v>
      </c>
      <c r="B14619" s="49" t="s">
        <v>10592</v>
      </c>
    </row>
    <row r="14620" spans="1:2">
      <c r="A14620" s="66">
        <v>46072.328336122686</v>
      </c>
      <c r="B14620" s="49" t="s">
        <v>10556</v>
      </c>
    </row>
    <row r="14621" spans="1:2">
      <c r="A14621" s="66">
        <v>46072.328343761576</v>
      </c>
      <c r="B14621" s="49" t="s">
        <v>10601</v>
      </c>
    </row>
    <row r="14622" spans="1:2">
      <c r="A14622" s="66">
        <v>46072.328354259254</v>
      </c>
      <c r="B14622" s="49" t="s">
        <v>10588</v>
      </c>
    </row>
    <row r="14623" spans="1:2">
      <c r="A14623" s="66">
        <v>46072.328357152779</v>
      </c>
      <c r="B14623" s="49" t="s">
        <v>10466</v>
      </c>
    </row>
    <row r="14624" spans="1:2">
      <c r="A14624" s="66">
        <v>46072.328359664352</v>
      </c>
      <c r="B14624" s="49" t="s">
        <v>10589</v>
      </c>
    </row>
    <row r="14625" spans="1:2">
      <c r="A14625" s="66">
        <v>46072.328362025466</v>
      </c>
      <c r="B14625" s="49" t="s">
        <v>10562</v>
      </c>
    </row>
    <row r="14626" spans="1:2">
      <c r="A14626" s="66">
        <v>46072.328364050925</v>
      </c>
      <c r="B14626" s="49" t="s">
        <v>10590</v>
      </c>
    </row>
    <row r="14627" spans="1:2">
      <c r="A14627" s="66">
        <v>46072.32837722222</v>
      </c>
      <c r="B14627" s="49" t="s">
        <v>10592</v>
      </c>
    </row>
    <row r="14628" spans="1:2">
      <c r="A14628" s="66">
        <v>46072.328401284722</v>
      </c>
      <c r="B14628" s="49" t="s">
        <v>10556</v>
      </c>
    </row>
    <row r="14629" spans="1:2">
      <c r="A14629" s="66">
        <v>46072.328404108797</v>
      </c>
      <c r="B14629" s="49" t="s">
        <v>10602</v>
      </c>
    </row>
    <row r="14630" spans="1:2">
      <c r="A14630" s="66">
        <v>46072.328406898145</v>
      </c>
      <c r="B14630" s="49" t="s">
        <v>10588</v>
      </c>
    </row>
    <row r="14631" spans="1:2">
      <c r="A14631" s="66">
        <v>46072.328413055555</v>
      </c>
      <c r="B14631" s="49" t="s">
        <v>10466</v>
      </c>
    </row>
    <row r="14632" spans="1:2">
      <c r="A14632" s="66">
        <v>46072.328415821758</v>
      </c>
      <c r="B14632" s="49" t="s">
        <v>10589</v>
      </c>
    </row>
    <row r="14633" spans="1:2">
      <c r="A14633" s="66">
        <v>46072.328418900463</v>
      </c>
      <c r="B14633" s="49" t="s">
        <v>10562</v>
      </c>
    </row>
    <row r="14634" spans="1:2">
      <c r="A14634" s="66">
        <v>46072.328421724538</v>
      </c>
      <c r="B14634" s="49" t="s">
        <v>10590</v>
      </c>
    </row>
    <row r="14635" spans="1:2">
      <c r="A14635" s="66">
        <v>46072.328435937496</v>
      </c>
      <c r="B14635" s="49" t="s">
        <v>10592</v>
      </c>
    </row>
    <row r="14636" spans="1:2">
      <c r="A14636" s="66">
        <v>46072.328454050927</v>
      </c>
      <c r="B14636" s="49" t="s">
        <v>10556</v>
      </c>
    </row>
    <row r="14637" spans="1:2">
      <c r="A14637" s="66">
        <v>46072.328455752315</v>
      </c>
      <c r="B14637" s="49" t="s">
        <v>10602</v>
      </c>
    </row>
    <row r="14638" spans="1:2">
      <c r="A14638" s="66">
        <v>46072.328457395837</v>
      </c>
      <c r="B14638" s="49" t="s">
        <v>10588</v>
      </c>
    </row>
    <row r="14639" spans="1:2">
      <c r="A14639" s="66">
        <v>46072.328460937497</v>
      </c>
      <c r="B14639" s="49" t="s">
        <v>10466</v>
      </c>
    </row>
    <row r="14640" spans="1:2">
      <c r="A14640" s="66">
        <v>46072.328462650461</v>
      </c>
      <c r="B14640" s="49" t="s">
        <v>10589</v>
      </c>
    </row>
    <row r="14641" spans="1:2">
      <c r="A14641" s="66">
        <v>46072.328464270831</v>
      </c>
      <c r="B14641" s="49" t="s">
        <v>10562</v>
      </c>
    </row>
    <row r="14642" spans="1:2">
      <c r="A14642" s="66">
        <v>46072.328466493054</v>
      </c>
      <c r="B14642" s="49" t="s">
        <v>10590</v>
      </c>
    </row>
    <row r="14643" spans="1:2">
      <c r="A14643" s="66">
        <v>46072.32847886574</v>
      </c>
      <c r="B14643" s="49" t="s">
        <v>10592</v>
      </c>
    </row>
    <row r="14644" spans="1:2">
      <c r="A14644" s="66">
        <v>46072.32854530093</v>
      </c>
      <c r="B14644" s="49" t="s">
        <v>10556</v>
      </c>
    </row>
    <row r="14645" spans="1:2">
      <c r="A14645" s="66">
        <v>46072.328556365741</v>
      </c>
      <c r="B14645" s="49" t="s">
        <v>10602</v>
      </c>
    </row>
    <row r="14646" spans="1:2">
      <c r="A14646" s="66">
        <v>46072.328559317131</v>
      </c>
      <c r="B14646" s="49" t="s">
        <v>10588</v>
      </c>
    </row>
    <row r="14647" spans="1:2">
      <c r="A14647" s="66">
        <v>46072.328562291666</v>
      </c>
      <c r="B14647" s="49" t="s">
        <v>10466</v>
      </c>
    </row>
    <row r="14648" spans="1:2">
      <c r="A14648" s="66">
        <v>46072.328570532409</v>
      </c>
      <c r="B14648" s="49" t="s">
        <v>10589</v>
      </c>
    </row>
    <row r="14649" spans="1:2">
      <c r="A14649" s="66">
        <v>46072.328573634259</v>
      </c>
      <c r="B14649" s="49" t="s">
        <v>10562</v>
      </c>
    </row>
    <row r="14650" spans="1:2">
      <c r="A14650" s="66">
        <v>46072.328576423606</v>
      </c>
      <c r="B14650" s="49" t="s">
        <v>10590</v>
      </c>
    </row>
    <row r="14651" spans="1:2">
      <c r="A14651" s="66">
        <v>46072.328590983801</v>
      </c>
      <c r="B14651" s="49" t="s">
        <v>10592</v>
      </c>
    </row>
    <row r="14652" spans="1:2">
      <c r="A14652" s="66">
        <v>46072.32868082176</v>
      </c>
      <c r="B14652" s="49" t="s">
        <v>10556</v>
      </c>
    </row>
    <row r="14653" spans="1:2">
      <c r="A14653" s="66">
        <v>46072.328682893523</v>
      </c>
      <c r="B14653" s="49" t="s">
        <v>10602</v>
      </c>
    </row>
    <row r="14654" spans="1:2">
      <c r="A14654" s="66">
        <v>46072.328685300927</v>
      </c>
      <c r="B14654" s="49" t="s">
        <v>10588</v>
      </c>
    </row>
    <row r="14655" spans="1:2">
      <c r="A14655" s="66">
        <v>46072.32868712963</v>
      </c>
      <c r="B14655" s="49" t="s">
        <v>10466</v>
      </c>
    </row>
    <row r="14656" spans="1:2">
      <c r="A14656" s="66">
        <v>46072.328688958332</v>
      </c>
      <c r="B14656" s="49" t="s">
        <v>10589</v>
      </c>
    </row>
    <row r="14657" spans="1:2">
      <c r="A14657" s="66">
        <v>46072.328691400464</v>
      </c>
      <c r="B14657" s="49" t="s">
        <v>10562</v>
      </c>
    </row>
    <row r="14658" spans="1:2">
      <c r="A14658" s="66">
        <v>46072.328694039352</v>
      </c>
      <c r="B14658" s="49" t="s">
        <v>10590</v>
      </c>
    </row>
    <row r="14659" spans="1:2">
      <c r="A14659" s="66">
        <v>46072.328704780091</v>
      </c>
      <c r="B14659" s="49" t="s">
        <v>10592</v>
      </c>
    </row>
    <row r="14660" spans="1:2">
      <c r="A14660" s="66">
        <v>46072.32884018519</v>
      </c>
      <c r="B14660" s="49" t="s">
        <v>10556</v>
      </c>
    </row>
    <row r="14661" spans="1:2">
      <c r="A14661" s="66">
        <v>46072.328842233794</v>
      </c>
      <c r="B14661" s="49" t="s">
        <v>10602</v>
      </c>
    </row>
    <row r="14662" spans="1:2">
      <c r="A14662" s="66">
        <v>46072.328844479169</v>
      </c>
      <c r="B14662" s="49" t="s">
        <v>10588</v>
      </c>
    </row>
    <row r="14663" spans="1:2">
      <c r="A14663" s="66">
        <v>46072.328846192133</v>
      </c>
      <c r="B14663" s="49" t="s">
        <v>10466</v>
      </c>
    </row>
    <row r="14664" spans="1:2">
      <c r="A14664" s="66">
        <v>46072.328847777782</v>
      </c>
      <c r="B14664" s="49" t="s">
        <v>10589</v>
      </c>
    </row>
    <row r="14665" spans="1:2">
      <c r="A14665" s="66">
        <v>46072.328849861107</v>
      </c>
      <c r="B14665" s="49" t="s">
        <v>10562</v>
      </c>
    </row>
    <row r="14666" spans="1:2">
      <c r="A14666" s="66">
        <v>46072.32885174769</v>
      </c>
      <c r="B14666" s="49" t="s">
        <v>10590</v>
      </c>
    </row>
    <row r="14667" spans="1:2">
      <c r="A14667" s="66">
        <v>46072.32886603009</v>
      </c>
      <c r="B14667" s="49" t="s">
        <v>10592</v>
      </c>
    </row>
    <row r="14668" spans="1:2">
      <c r="A14668" s="66">
        <v>46072.329102754629</v>
      </c>
      <c r="B14668" s="49" t="s">
        <v>10556</v>
      </c>
    </row>
    <row r="14669" spans="1:2">
      <c r="A14669" s="66">
        <v>46072.329104965276</v>
      </c>
      <c r="B14669" s="49" t="s">
        <v>10602</v>
      </c>
    </row>
    <row r="14670" spans="1:2">
      <c r="A14670" s="66">
        <v>46072.329107407408</v>
      </c>
      <c r="B14670" s="49" t="s">
        <v>10588</v>
      </c>
    </row>
    <row r="14671" spans="1:2">
      <c r="A14671" s="66">
        <v>46072.329109178245</v>
      </c>
      <c r="B14671" s="49" t="s">
        <v>10466</v>
      </c>
    </row>
    <row r="14672" spans="1:2">
      <c r="A14672" s="66">
        <v>46072.329119999995</v>
      </c>
      <c r="B14672" s="49" t="s">
        <v>10589</v>
      </c>
    </row>
    <row r="14673" spans="1:2">
      <c r="A14673" s="66">
        <v>46072.329122858791</v>
      </c>
      <c r="B14673" s="49" t="s">
        <v>10562</v>
      </c>
    </row>
    <row r="14674" spans="1:2">
      <c r="A14674" s="66">
        <v>46072.32912844907</v>
      </c>
      <c r="B14674" s="49" t="s">
        <v>10590</v>
      </c>
    </row>
    <row r="14675" spans="1:2">
      <c r="A14675" s="66">
        <v>46072.329139849535</v>
      </c>
      <c r="B14675" s="49" t="s">
        <v>10592</v>
      </c>
    </row>
    <row r="14676" spans="1:2">
      <c r="A14676" s="66">
        <v>46072.32952835648</v>
      </c>
      <c r="B14676" s="49" t="s">
        <v>10556</v>
      </c>
    </row>
    <row r="14677" spans="1:2">
      <c r="A14677" s="66">
        <v>46072.329530428236</v>
      </c>
      <c r="B14677" s="49" t="s">
        <v>10602</v>
      </c>
    </row>
    <row r="14678" spans="1:2">
      <c r="A14678" s="66">
        <v>46072.329532326388</v>
      </c>
      <c r="B14678" s="49" t="s">
        <v>10588</v>
      </c>
    </row>
    <row r="14679" spans="1:2">
      <c r="A14679" s="66">
        <v>46072.329534039352</v>
      </c>
      <c r="B14679" s="49" t="s">
        <v>10466</v>
      </c>
    </row>
    <row r="14680" spans="1:2">
      <c r="A14680" s="66">
        <v>46072.329535752317</v>
      </c>
      <c r="B14680" s="49" t="s">
        <v>10589</v>
      </c>
    </row>
    <row r="14681" spans="1:2">
      <c r="A14681" s="66">
        <v>46072.329541782412</v>
      </c>
      <c r="B14681" s="49" t="s">
        <v>10562</v>
      </c>
    </row>
    <row r="14682" spans="1:2">
      <c r="A14682" s="66">
        <v>46072.329543796295</v>
      </c>
      <c r="B14682" s="49" t="s">
        <v>10590</v>
      </c>
    </row>
    <row r="14683" spans="1:2">
      <c r="A14683" s="66">
        <v>46072.329555393517</v>
      </c>
      <c r="B14683" s="49" t="s">
        <v>10592</v>
      </c>
    </row>
    <row r="14684" spans="1:2">
      <c r="A14684" s="66">
        <v>46072.330341111112</v>
      </c>
      <c r="B14684" s="49" t="s">
        <v>10556</v>
      </c>
    </row>
    <row r="14685" spans="1:2">
      <c r="A14685" s="66">
        <v>46072.330343738431</v>
      </c>
      <c r="B14685" s="49" t="s">
        <v>10602</v>
      </c>
    </row>
    <row r="14686" spans="1:2">
      <c r="A14686" s="66">
        <v>46072.330345983792</v>
      </c>
      <c r="B14686" s="49" t="s">
        <v>10588</v>
      </c>
    </row>
    <row r="14687" spans="1:2">
      <c r="A14687" s="66">
        <v>46072.33034789352</v>
      </c>
      <c r="B14687" s="49" t="s">
        <v>10466</v>
      </c>
    </row>
    <row r="14688" spans="1:2">
      <c r="A14688" s="66">
        <v>46072.330350706019</v>
      </c>
      <c r="B14688" s="49" t="s">
        <v>10589</v>
      </c>
    </row>
    <row r="14689" spans="1:2">
      <c r="A14689" s="66">
        <v>46072.330353078709</v>
      </c>
      <c r="B14689" s="49" t="s">
        <v>10562</v>
      </c>
    </row>
    <row r="14690" spans="1:2">
      <c r="A14690" s="66">
        <v>46072.330355601851</v>
      </c>
      <c r="B14690" s="49" t="s">
        <v>10590</v>
      </c>
    </row>
    <row r="14691" spans="1:2">
      <c r="A14691" s="66">
        <v>46072.330368298615</v>
      </c>
      <c r="B14691" s="49" t="s">
        <v>10592</v>
      </c>
    </row>
    <row r="14692" spans="1:2">
      <c r="A14692" s="66">
        <v>46072.330387175927</v>
      </c>
      <c r="B14692" s="49" t="s">
        <v>10556</v>
      </c>
    </row>
    <row r="14693" spans="1:2">
      <c r="A14693" s="66">
        <v>46072.330389837967</v>
      </c>
      <c r="B14693" s="49" t="s">
        <v>10603</v>
      </c>
    </row>
    <row r="14694" spans="1:2">
      <c r="A14694" s="66">
        <v>46072.330392129632</v>
      </c>
      <c r="B14694" s="49" t="s">
        <v>10604</v>
      </c>
    </row>
    <row r="14695" spans="1:2">
      <c r="A14695" s="66">
        <v>46072.330394131946</v>
      </c>
      <c r="B14695" s="49" t="s">
        <v>10466</v>
      </c>
    </row>
    <row r="14696" spans="1:2">
      <c r="A14696" s="66">
        <v>46072.330396018515</v>
      </c>
      <c r="B14696" s="49" t="s">
        <v>10605</v>
      </c>
    </row>
    <row r="14697" spans="1:2">
      <c r="A14697" s="66">
        <v>46072.330397951388</v>
      </c>
      <c r="B14697" s="49" t="s">
        <v>10562</v>
      </c>
    </row>
    <row r="14698" spans="1:2">
      <c r="A14698" s="66">
        <v>46072.330400057872</v>
      </c>
      <c r="B14698" s="49" t="s">
        <v>10606</v>
      </c>
    </row>
    <row r="14699" spans="1:2">
      <c r="A14699" s="66">
        <v>46072.330447604167</v>
      </c>
      <c r="B14699" s="49" t="s">
        <v>10556</v>
      </c>
    </row>
    <row r="14700" spans="1:2">
      <c r="A14700" s="66">
        <v>46072.330460393518</v>
      </c>
      <c r="B14700" s="49" t="s">
        <v>10603</v>
      </c>
    </row>
    <row r="14701" spans="1:2">
      <c r="A14701" s="66">
        <v>46072.330462453705</v>
      </c>
      <c r="B14701" s="49" t="s">
        <v>10604</v>
      </c>
    </row>
    <row r="14702" spans="1:2">
      <c r="A14702" s="66">
        <v>46072.330464652783</v>
      </c>
      <c r="B14702" s="49" t="s">
        <v>10466</v>
      </c>
    </row>
    <row r="14703" spans="1:2">
      <c r="A14703" s="66">
        <v>46072.330466828702</v>
      </c>
      <c r="B14703" s="49" t="s">
        <v>10605</v>
      </c>
    </row>
    <row r="14704" spans="1:2">
      <c r="A14704" s="66">
        <v>46072.330468831016</v>
      </c>
      <c r="B14704" s="49" t="s">
        <v>10562</v>
      </c>
    </row>
    <row r="14705" spans="1:2">
      <c r="A14705" s="66">
        <v>46072.330470995366</v>
      </c>
      <c r="B14705" s="49" t="s">
        <v>10606</v>
      </c>
    </row>
    <row r="14706" spans="1:2">
      <c r="A14706" s="66">
        <v>46072.330514895832</v>
      </c>
      <c r="B14706" s="49" t="s">
        <v>10556</v>
      </c>
    </row>
    <row r="14707" spans="1:2">
      <c r="A14707" s="66">
        <v>46072.330519768519</v>
      </c>
      <c r="B14707" s="49" t="s">
        <v>10603</v>
      </c>
    </row>
    <row r="14708" spans="1:2">
      <c r="A14708" s="66">
        <v>46072.33052131944</v>
      </c>
      <c r="B14708" s="49" t="s">
        <v>10604</v>
      </c>
    </row>
    <row r="14709" spans="1:2">
      <c r="A14709" s="66">
        <v>46072.330524351855</v>
      </c>
      <c r="B14709" s="49" t="s">
        <v>10466</v>
      </c>
    </row>
    <row r="14710" spans="1:2">
      <c r="A14710" s="66">
        <v>46072.330526041667</v>
      </c>
      <c r="B14710" s="49" t="s">
        <v>10605</v>
      </c>
    </row>
    <row r="14711" spans="1:2">
      <c r="A14711" s="66">
        <v>46072.330527789352</v>
      </c>
      <c r="B14711" s="49" t="s">
        <v>10562</v>
      </c>
    </row>
    <row r="14712" spans="1:2">
      <c r="A14712" s="66">
        <v>46072.33052930556</v>
      </c>
      <c r="B14712" s="49" t="s">
        <v>10606</v>
      </c>
    </row>
    <row r="14713" spans="1:2">
      <c r="A14713" s="66">
        <v>46072.330602916671</v>
      </c>
      <c r="B14713" s="49" t="s">
        <v>10556</v>
      </c>
    </row>
    <row r="14714" spans="1:2">
      <c r="A14714" s="66">
        <v>46072.330604872681</v>
      </c>
      <c r="B14714" s="49" t="s">
        <v>10603</v>
      </c>
    </row>
    <row r="14715" spans="1:2">
      <c r="A14715" s="66">
        <v>46072.330606747681</v>
      </c>
      <c r="B14715" s="49" t="s">
        <v>10604</v>
      </c>
    </row>
    <row r="14716" spans="1:2">
      <c r="A14716" s="66">
        <v>46072.330609513891</v>
      </c>
      <c r="B14716" s="49" t="s">
        <v>10466</v>
      </c>
    </row>
    <row r="14717" spans="1:2">
      <c r="A14717" s="66">
        <v>46072.330617071755</v>
      </c>
      <c r="B14717" s="49" t="s">
        <v>10605</v>
      </c>
    </row>
    <row r="14718" spans="1:2">
      <c r="A14718" s="66">
        <v>46072.330618877313</v>
      </c>
      <c r="B14718" s="49" t="s">
        <v>10562</v>
      </c>
    </row>
    <row r="14719" spans="1:2">
      <c r="A14719" s="66">
        <v>46072.330620752313</v>
      </c>
      <c r="B14719" s="49" t="s">
        <v>10606</v>
      </c>
    </row>
    <row r="14720" spans="1:2">
      <c r="A14720" s="66">
        <v>46072.330775856477</v>
      </c>
      <c r="B14720" s="49" t="s">
        <v>10556</v>
      </c>
    </row>
    <row r="14721" spans="1:2">
      <c r="A14721" s="66">
        <v>46072.330782696758</v>
      </c>
      <c r="B14721" s="49" t="s">
        <v>10603</v>
      </c>
    </row>
    <row r="14722" spans="1:2">
      <c r="A14722" s="66">
        <v>46072.330784386577</v>
      </c>
      <c r="B14722" s="49" t="s">
        <v>10604</v>
      </c>
    </row>
    <row r="14723" spans="1:2">
      <c r="A14723" s="66">
        <v>46072.330786099541</v>
      </c>
      <c r="B14723" s="49" t="s">
        <v>10466</v>
      </c>
    </row>
    <row r="14724" spans="1:2">
      <c r="A14724" s="66">
        <v>46072.330787662038</v>
      </c>
      <c r="B14724" s="49" t="s">
        <v>10605</v>
      </c>
    </row>
    <row r="14725" spans="1:2">
      <c r="A14725" s="66">
        <v>46072.330789594911</v>
      </c>
      <c r="B14725" s="49" t="s">
        <v>10562</v>
      </c>
    </row>
    <row r="14726" spans="1:2">
      <c r="A14726" s="66">
        <v>46072.330791631946</v>
      </c>
      <c r="B14726" s="49" t="s">
        <v>10606</v>
      </c>
    </row>
    <row r="14727" spans="1:2">
      <c r="A14727" s="66">
        <v>46072.330998900463</v>
      </c>
      <c r="B14727" s="49" t="s">
        <v>10556</v>
      </c>
    </row>
    <row r="14728" spans="1:2">
      <c r="A14728" s="66">
        <v>46072.331011134258</v>
      </c>
      <c r="B14728" s="49" t="s">
        <v>10603</v>
      </c>
    </row>
    <row r="14729" spans="1:2">
      <c r="A14729" s="66">
        <v>46072.331012905095</v>
      </c>
      <c r="B14729" s="49" t="s">
        <v>10604</v>
      </c>
    </row>
    <row r="14730" spans="1:2">
      <c r="A14730" s="66">
        <v>46072.331014687501</v>
      </c>
      <c r="B14730" s="49" t="s">
        <v>10466</v>
      </c>
    </row>
    <row r="14731" spans="1:2">
      <c r="A14731" s="66">
        <v>46072.331022430561</v>
      </c>
      <c r="B14731" s="49" t="s">
        <v>10605</v>
      </c>
    </row>
    <row r="14732" spans="1:2">
      <c r="A14732" s="66">
        <v>46072.331025509258</v>
      </c>
      <c r="B14732" s="49" t="s">
        <v>10562</v>
      </c>
    </row>
    <row r="14733" spans="1:2">
      <c r="A14733" s="66">
        <v>46072.331027233799</v>
      </c>
      <c r="B14733" s="49" t="s">
        <v>10606</v>
      </c>
    </row>
    <row r="14734" spans="1:2">
      <c r="A14734" s="66">
        <v>46072.331419328708</v>
      </c>
      <c r="B14734" s="49" t="s">
        <v>10556</v>
      </c>
    </row>
    <row r="14735" spans="1:2">
      <c r="A14735" s="66">
        <v>46072.331422465279</v>
      </c>
      <c r="B14735" s="49" t="s">
        <v>10603</v>
      </c>
    </row>
    <row r="14736" spans="1:2">
      <c r="A14736" s="66">
        <v>46072.331425254626</v>
      </c>
      <c r="B14736" s="49" t="s">
        <v>10604</v>
      </c>
    </row>
    <row r="14737" spans="1:2">
      <c r="A14737" s="66">
        <v>46072.331428182872</v>
      </c>
      <c r="B14737" s="49" t="s">
        <v>10466</v>
      </c>
    </row>
    <row r="14738" spans="1:2">
      <c r="A14738" s="66">
        <v>46072.331435092594</v>
      </c>
      <c r="B14738" s="49" t="s">
        <v>10605</v>
      </c>
    </row>
    <row r="14739" spans="1:2">
      <c r="A14739" s="66">
        <v>46072.331437962959</v>
      </c>
      <c r="B14739" s="49" t="s">
        <v>10562</v>
      </c>
    </row>
    <row r="14740" spans="1:2">
      <c r="A14740" s="66">
        <v>46072.331440844908</v>
      </c>
      <c r="B14740" s="49" t="s">
        <v>10606</v>
      </c>
    </row>
    <row r="14741" spans="1:2">
      <c r="A14741" s="66">
        <v>46072.332234247689</v>
      </c>
      <c r="B14741" s="49" t="s">
        <v>10556</v>
      </c>
    </row>
    <row r="14742" spans="1:2">
      <c r="A14742" s="66">
        <v>46072.332245439815</v>
      </c>
      <c r="B14742" s="49" t="s">
        <v>10603</v>
      </c>
    </row>
    <row r="14743" spans="1:2">
      <c r="A14743" s="66">
        <v>46072.332248217594</v>
      </c>
      <c r="B14743" s="49" t="s">
        <v>10604</v>
      </c>
    </row>
    <row r="14744" spans="1:2">
      <c r="A14744" s="66">
        <v>46072.332250706022</v>
      </c>
      <c r="B14744" s="49" t="s">
        <v>10466</v>
      </c>
    </row>
    <row r="14745" spans="1:2">
      <c r="A14745" s="66">
        <v>46072.332262291668</v>
      </c>
      <c r="B14745" s="49" t="s">
        <v>10605</v>
      </c>
    </row>
    <row r="14746" spans="1:2">
      <c r="A14746" s="66">
        <v>46072.332264687502</v>
      </c>
      <c r="B14746" s="49" t="s">
        <v>10562</v>
      </c>
    </row>
    <row r="14747" spans="1:2">
      <c r="A14747" s="66">
        <v>46072.332268067126</v>
      </c>
      <c r="B14747" s="49" t="s">
        <v>10606</v>
      </c>
    </row>
    <row r="14748" spans="1:2">
      <c r="A14748" s="66">
        <v>46072.33356204861</v>
      </c>
      <c r="B14748" s="49" t="s">
        <v>10556</v>
      </c>
    </row>
    <row r="14749" spans="1:2">
      <c r="A14749" s="66">
        <v>46072.333565729168</v>
      </c>
      <c r="B14749" s="49" t="s">
        <v>10603</v>
      </c>
    </row>
    <row r="14750" spans="1:2">
      <c r="A14750" s="66">
        <v>46072.333568923612</v>
      </c>
      <c r="B14750" s="49" t="s">
        <v>10604</v>
      </c>
    </row>
    <row r="14751" spans="1:2">
      <c r="A14751" s="66">
        <v>46072.333571898147</v>
      </c>
      <c r="B14751" s="49" t="s">
        <v>10466</v>
      </c>
    </row>
    <row r="14752" spans="1:2">
      <c r="A14752" s="66">
        <v>46072.333574918986</v>
      </c>
      <c r="B14752" s="49" t="s">
        <v>10605</v>
      </c>
    </row>
    <row r="14753" spans="1:2">
      <c r="A14753" s="66">
        <v>46072.333577951387</v>
      </c>
      <c r="B14753" s="49" t="s">
        <v>10562</v>
      </c>
    </row>
    <row r="14754" spans="1:2">
      <c r="A14754" s="66">
        <v>46072.333581018524</v>
      </c>
      <c r="B14754" s="49" t="s">
        <v>10606</v>
      </c>
    </row>
    <row r="14755" spans="1:2">
      <c r="A14755" s="66">
        <v>46072.334372870369</v>
      </c>
      <c r="B14755" s="49" t="s">
        <v>10556</v>
      </c>
    </row>
    <row r="14756" spans="1:2">
      <c r="A14756" s="66">
        <v>46072.334375335646</v>
      </c>
      <c r="B14756" s="49" t="s">
        <v>10603</v>
      </c>
    </row>
    <row r="14757" spans="1:2">
      <c r="A14757" s="66">
        <v>46072.334381863431</v>
      </c>
      <c r="B14757" s="49" t="s">
        <v>10604</v>
      </c>
    </row>
    <row r="14758" spans="1:2">
      <c r="A14758" s="66">
        <v>46072.33438414352</v>
      </c>
      <c r="B14758" s="49" t="s">
        <v>10466</v>
      </c>
    </row>
    <row r="14759" spans="1:2">
      <c r="A14759" s="66">
        <v>46072.334386250004</v>
      </c>
      <c r="B14759" s="49" t="s">
        <v>10605</v>
      </c>
    </row>
    <row r="14760" spans="1:2">
      <c r="A14760" s="66">
        <v>46072.33438857639</v>
      </c>
      <c r="B14760" s="49" t="s">
        <v>10562</v>
      </c>
    </row>
    <row r="14761" spans="1:2">
      <c r="A14761" s="66">
        <v>46072.334390590273</v>
      </c>
      <c r="B14761" s="49" t="s">
        <v>10606</v>
      </c>
    </row>
    <row r="14762" spans="1:2">
      <c r="A14762" s="66">
        <v>46072.335554375</v>
      </c>
      <c r="B14762" s="49" t="s">
        <v>10556</v>
      </c>
    </row>
    <row r="14763" spans="1:2">
      <c r="A14763" s="66">
        <v>46072.335556805556</v>
      </c>
      <c r="B14763" s="49" t="s">
        <v>10603</v>
      </c>
    </row>
    <row r="14764" spans="1:2">
      <c r="A14764" s="66">
        <v>46072.3355590625</v>
      </c>
      <c r="B14764" s="49" t="s">
        <v>10604</v>
      </c>
    </row>
    <row r="14765" spans="1:2">
      <c r="A14765" s="66">
        <v>46072.335561284723</v>
      </c>
      <c r="B14765" s="49" t="s">
        <v>10466</v>
      </c>
    </row>
    <row r="14766" spans="1:2">
      <c r="A14766" s="66">
        <v>46072.335563368055</v>
      </c>
      <c r="B14766" s="49" t="s">
        <v>10605</v>
      </c>
    </row>
    <row r="14767" spans="1:2">
      <c r="A14767" s="66">
        <v>46072.335565833331</v>
      </c>
      <c r="B14767" s="49" t="s">
        <v>10562</v>
      </c>
    </row>
    <row r="14768" spans="1:2">
      <c r="A14768" s="66">
        <v>46072.335568206021</v>
      </c>
      <c r="B14768" s="49" t="s">
        <v>10606</v>
      </c>
    </row>
    <row r="14769" spans="1:2">
      <c r="A14769" s="66">
        <v>46072.336752314819</v>
      </c>
      <c r="B14769" s="49" t="s">
        <v>10556</v>
      </c>
    </row>
    <row r="14770" spans="1:2">
      <c r="A14770" s="66">
        <v>46072.33675545139</v>
      </c>
      <c r="B14770" s="49" t="s">
        <v>10603</v>
      </c>
    </row>
    <row r="14771" spans="1:2">
      <c r="A14771" s="66">
        <v>46072.3367587963</v>
      </c>
      <c r="B14771" s="49" t="s">
        <v>10604</v>
      </c>
    </row>
    <row r="14772" spans="1:2">
      <c r="A14772" s="66">
        <v>46072.336778379628</v>
      </c>
      <c r="B14772" s="49" t="s">
        <v>10466</v>
      </c>
    </row>
    <row r="14773" spans="1:2">
      <c r="A14773" s="66">
        <v>46072.336795740739</v>
      </c>
      <c r="B14773" s="49" t="s">
        <v>10605</v>
      </c>
    </row>
    <row r="14774" spans="1:2">
      <c r="A14774" s="66">
        <v>46072.33681695602</v>
      </c>
      <c r="B14774" s="49" t="s">
        <v>10562</v>
      </c>
    </row>
    <row r="14775" spans="1:2">
      <c r="A14775" s="66">
        <v>46072.336820324075</v>
      </c>
      <c r="B14775" s="49" t="s">
        <v>10606</v>
      </c>
    </row>
    <row r="14776" spans="1:2">
      <c r="A14776" s="66">
        <v>46072.337692835645</v>
      </c>
      <c r="B14776" s="49" t="s">
        <v>10556</v>
      </c>
    </row>
    <row r="14777" spans="1:2">
      <c r="A14777" s="66">
        <v>46072.337695810187</v>
      </c>
      <c r="B14777" s="49" t="s">
        <v>10603</v>
      </c>
    </row>
    <row r="14778" spans="1:2">
      <c r="A14778" s="66">
        <v>46072.337698356481</v>
      </c>
      <c r="B14778" s="49" t="s">
        <v>10604</v>
      </c>
    </row>
    <row r="14779" spans="1:2">
      <c r="A14779" s="66">
        <v>46072.337701122684</v>
      </c>
      <c r="B14779" s="49" t="s">
        <v>10466</v>
      </c>
    </row>
    <row r="14780" spans="1:2">
      <c r="A14780" s="66">
        <v>46072.337703634257</v>
      </c>
      <c r="B14780" s="49" t="s">
        <v>10605</v>
      </c>
    </row>
    <row r="14781" spans="1:2">
      <c r="A14781" s="66">
        <v>46072.337706307866</v>
      </c>
      <c r="B14781" s="49" t="s">
        <v>10562</v>
      </c>
    </row>
    <row r="14782" spans="1:2">
      <c r="A14782" s="66">
        <v>46072.337708761574</v>
      </c>
      <c r="B14782" s="49" t="s">
        <v>10606</v>
      </c>
    </row>
    <row r="14783" spans="1:2">
      <c r="A14783" s="66">
        <v>46072.338929745369</v>
      </c>
      <c r="B14783" s="49" t="s">
        <v>10556</v>
      </c>
    </row>
    <row r="14784" spans="1:2">
      <c r="A14784" s="66">
        <v>46072.338943101851</v>
      </c>
      <c r="B14784" s="49" t="s">
        <v>10603</v>
      </c>
    </row>
    <row r="14785" spans="1:2">
      <c r="A14785" s="66">
        <v>46072.338945115742</v>
      </c>
      <c r="B14785" s="49" t="s">
        <v>10604</v>
      </c>
    </row>
    <row r="14786" spans="1:2">
      <c r="A14786" s="66">
        <v>46072.338947141208</v>
      </c>
      <c r="B14786" s="49" t="s">
        <v>10466</v>
      </c>
    </row>
    <row r="14787" spans="1:2">
      <c r="A14787" s="66">
        <v>46072.338948854165</v>
      </c>
      <c r="B14787" s="49" t="s">
        <v>10605</v>
      </c>
    </row>
    <row r="14788" spans="1:2">
      <c r="A14788" s="66">
        <v>46072.338950671299</v>
      </c>
      <c r="B14788" s="49" t="s">
        <v>10562</v>
      </c>
    </row>
    <row r="14789" spans="1:2">
      <c r="A14789" s="66">
        <v>46072.338952465274</v>
      </c>
      <c r="B14789" s="49" t="s">
        <v>10606</v>
      </c>
    </row>
    <row r="14790" spans="1:2">
      <c r="A14790" s="66">
        <v>46072.34008736111</v>
      </c>
      <c r="B14790" s="49" t="s">
        <v>10556</v>
      </c>
    </row>
    <row r="14791" spans="1:2">
      <c r="A14791" s="66">
        <v>46072.340090520833</v>
      </c>
      <c r="B14791" s="49" t="s">
        <v>10603</v>
      </c>
    </row>
    <row r="14792" spans="1:2">
      <c r="A14792" s="66">
        <v>46072.340093495368</v>
      </c>
      <c r="B14792" s="49" t="s">
        <v>10604</v>
      </c>
    </row>
    <row r="14793" spans="1:2">
      <c r="A14793" s="66">
        <v>46072.340096423606</v>
      </c>
      <c r="B14793" s="49" t="s">
        <v>10466</v>
      </c>
    </row>
    <row r="14794" spans="1:2">
      <c r="A14794" s="66">
        <v>46072.340099537032</v>
      </c>
      <c r="B14794" s="49" t="s">
        <v>10605</v>
      </c>
    </row>
    <row r="14795" spans="1:2">
      <c r="A14795" s="66">
        <v>46072.340102557871</v>
      </c>
      <c r="B14795" s="49" t="s">
        <v>10562</v>
      </c>
    </row>
    <row r="14796" spans="1:2">
      <c r="A14796" s="66">
        <v>46072.340105509254</v>
      </c>
      <c r="B14796" s="49" t="s">
        <v>10606</v>
      </c>
    </row>
    <row r="14797" spans="1:2">
      <c r="A14797" s="66">
        <v>46072.341277812498</v>
      </c>
      <c r="B14797" s="49" t="s">
        <v>10556</v>
      </c>
    </row>
    <row r="14798" spans="1:2">
      <c r="A14798" s="66">
        <v>46072.341289155098</v>
      </c>
      <c r="B14798" s="49" t="s">
        <v>10603</v>
      </c>
    </row>
    <row r="14799" spans="1:2">
      <c r="A14799" s="66">
        <v>46072.341291851852</v>
      </c>
      <c r="B14799" s="49" t="s">
        <v>10604</v>
      </c>
    </row>
    <row r="14800" spans="1:2">
      <c r="A14800" s="66">
        <v>46072.341294317128</v>
      </c>
      <c r="B14800" s="49" t="s">
        <v>10466</v>
      </c>
    </row>
    <row r="14801" spans="1:2">
      <c r="A14801" s="66">
        <v>46072.341296736107</v>
      </c>
      <c r="B14801" s="49" t="s">
        <v>10605</v>
      </c>
    </row>
    <row r="14802" spans="1:2">
      <c r="A14802" s="66">
        <v>46072.341298900465</v>
      </c>
      <c r="B14802" s="49" t="s">
        <v>10562</v>
      </c>
    </row>
    <row r="14803" spans="1:2">
      <c r="A14803" s="66">
        <v>46072.341311585653</v>
      </c>
      <c r="B14803" s="49" t="s">
        <v>10606</v>
      </c>
    </row>
    <row r="14804" spans="1:2">
      <c r="A14804" s="66">
        <v>46072.342318692128</v>
      </c>
      <c r="B14804" s="49" t="s">
        <v>10556</v>
      </c>
    </row>
    <row r="14805" spans="1:2">
      <c r="A14805" s="66">
        <v>46072.342321481483</v>
      </c>
      <c r="B14805" s="49" t="s">
        <v>10603</v>
      </c>
    </row>
    <row r="14806" spans="1:2">
      <c r="A14806" s="66">
        <v>46072.342324027777</v>
      </c>
      <c r="B14806" s="49" t="s">
        <v>10604</v>
      </c>
    </row>
    <row r="14807" spans="1:2">
      <c r="A14807" s="66">
        <v>46072.342326701386</v>
      </c>
      <c r="B14807" s="49" t="s">
        <v>10466</v>
      </c>
    </row>
    <row r="14808" spans="1:2">
      <c r="A14808" s="66">
        <v>46072.342329143517</v>
      </c>
      <c r="B14808" s="49" t="s">
        <v>10605</v>
      </c>
    </row>
    <row r="14809" spans="1:2">
      <c r="A14809" s="66">
        <v>46072.342337037036</v>
      </c>
      <c r="B14809" s="49" t="s">
        <v>10562</v>
      </c>
    </row>
    <row r="14810" spans="1:2">
      <c r="A14810" s="66">
        <v>46072.34233915509</v>
      </c>
      <c r="B14810" s="49" t="s">
        <v>10606</v>
      </c>
    </row>
    <row r="14811" spans="1:2">
      <c r="A14811" s="66">
        <v>46072.343138518518</v>
      </c>
      <c r="B14811" s="49"/>
    </row>
    <row r="14812" spans="1:2">
      <c r="A14812" s="66">
        <v>46072.343475937501</v>
      </c>
      <c r="B14812" s="49" t="s">
        <v>10556</v>
      </c>
    </row>
    <row r="14813" spans="1:2">
      <c r="A14813" s="66">
        <v>46072.343478194445</v>
      </c>
      <c r="B14813" s="49" t="s">
        <v>10603</v>
      </c>
    </row>
    <row r="14814" spans="1:2">
      <c r="A14814" s="66">
        <v>46072.343479884265</v>
      </c>
      <c r="B14814" s="49" t="s">
        <v>10604</v>
      </c>
    </row>
    <row r="14815" spans="1:2">
      <c r="A14815" s="66">
        <v>46072.343489618055</v>
      </c>
      <c r="B14815" s="49" t="s">
        <v>10466</v>
      </c>
    </row>
    <row r="14816" spans="1:2">
      <c r="A14816" s="66">
        <v>46072.343491747684</v>
      </c>
      <c r="B14816" s="49" t="s">
        <v>10605</v>
      </c>
    </row>
    <row r="14817" spans="1:2">
      <c r="A14817" s="66">
        <v>46072.343494189816</v>
      </c>
      <c r="B14817" s="49" t="s">
        <v>10562</v>
      </c>
    </row>
    <row r="14818" spans="1:2">
      <c r="A14818" s="66">
        <v>46072.343496226851</v>
      </c>
      <c r="B14818" s="49" t="s">
        <v>10606</v>
      </c>
    </row>
    <row r="14819" spans="1:2">
      <c r="A14819" s="66">
        <v>46072.344475451391</v>
      </c>
      <c r="B14819" s="49" t="s">
        <v>10556</v>
      </c>
    </row>
    <row r="14820" spans="1:2">
      <c r="A14820" s="66">
        <v>46072.344477916668</v>
      </c>
      <c r="B14820" s="49" t="s">
        <v>10603</v>
      </c>
    </row>
    <row r="14821" spans="1:2">
      <c r="A14821" s="66">
        <v>46072.34448068287</v>
      </c>
      <c r="B14821" s="49" t="s">
        <v>10604</v>
      </c>
    </row>
    <row r="14822" spans="1:2">
      <c r="A14822" s="66">
        <v>46072.344483310182</v>
      </c>
      <c r="B14822" s="49" t="s">
        <v>10466</v>
      </c>
    </row>
    <row r="14823" spans="1:2">
      <c r="A14823" s="66">
        <v>46072.344485740745</v>
      </c>
      <c r="B14823" s="49" t="s">
        <v>10605</v>
      </c>
    </row>
    <row r="14824" spans="1:2">
      <c r="A14824" s="66">
        <v>46072.344488449075</v>
      </c>
      <c r="B14824" s="49" t="s">
        <v>10562</v>
      </c>
    </row>
    <row r="14825" spans="1:2">
      <c r="A14825" s="66">
        <v>46072.344491620373</v>
      </c>
      <c r="B14825" s="49" t="s">
        <v>10606</v>
      </c>
    </row>
    <row r="14826" spans="1:2">
      <c r="A14826" s="66">
        <v>46072.345512708329</v>
      </c>
      <c r="B14826" s="49" t="s">
        <v>10556</v>
      </c>
    </row>
    <row r="14827" spans="1:2">
      <c r="A14827" s="66">
        <v>46072.345515208333</v>
      </c>
      <c r="B14827" s="49" t="s">
        <v>10603</v>
      </c>
    </row>
    <row r="14828" spans="1:2">
      <c r="A14828" s="66">
        <v>46072.345517662034</v>
      </c>
      <c r="B14828" s="49" t="s">
        <v>10604</v>
      </c>
    </row>
    <row r="14829" spans="1:2">
      <c r="A14829" s="66">
        <v>46072.345520405092</v>
      </c>
      <c r="B14829" s="49" t="s">
        <v>10466</v>
      </c>
    </row>
    <row r="14830" spans="1:2">
      <c r="A14830" s="66">
        <v>46072.345523229167</v>
      </c>
      <c r="B14830" s="49" t="s">
        <v>10605</v>
      </c>
    </row>
    <row r="14831" spans="1:2">
      <c r="A14831" s="66">
        <v>46072.345525775461</v>
      </c>
      <c r="B14831" s="49" t="s">
        <v>10562</v>
      </c>
    </row>
    <row r="14832" spans="1:2">
      <c r="A14832" s="66">
        <v>46072.345529733793</v>
      </c>
      <c r="B14832" s="49" t="s">
        <v>10606</v>
      </c>
    </row>
    <row r="14833" spans="1:2">
      <c r="A14833" s="66">
        <v>46072.346436643522</v>
      </c>
      <c r="B14833" s="49" t="s">
        <v>10556</v>
      </c>
    </row>
    <row r="14834" spans="1:2">
      <c r="A14834" s="66">
        <v>46072.34644079861</v>
      </c>
      <c r="B14834" s="49" t="s">
        <v>10603</v>
      </c>
    </row>
    <row r="14835" spans="1:2">
      <c r="A14835" s="66">
        <v>46072.346442847222</v>
      </c>
      <c r="B14835" s="49" t="s">
        <v>10604</v>
      </c>
    </row>
    <row r="14836" spans="1:2">
      <c r="A14836" s="66">
        <v>46072.346445787036</v>
      </c>
      <c r="B14836" s="49" t="s">
        <v>10466</v>
      </c>
    </row>
    <row r="14837" spans="1:2">
      <c r="A14837" s="66">
        <v>46072.346448634256</v>
      </c>
      <c r="B14837" s="49" t="s">
        <v>10605</v>
      </c>
    </row>
    <row r="14838" spans="1:2">
      <c r="A14838" s="66">
        <v>46072.346451157406</v>
      </c>
      <c r="B14838" s="49" t="s">
        <v>10562</v>
      </c>
    </row>
    <row r="14839" spans="1:2">
      <c r="A14839" s="66">
        <v>46072.346453645834</v>
      </c>
      <c r="B14839" s="49" t="s">
        <v>10606</v>
      </c>
    </row>
    <row r="14840" spans="1:2">
      <c r="A14840" s="66">
        <v>46072.347610497687</v>
      </c>
      <c r="B14840" s="49" t="s">
        <v>10556</v>
      </c>
    </row>
    <row r="14841" spans="1:2">
      <c r="A14841" s="66">
        <v>46072.347613113423</v>
      </c>
      <c r="B14841" s="49" t="s">
        <v>10603</v>
      </c>
    </row>
    <row r="14842" spans="1:2">
      <c r="A14842" s="66">
        <v>46072.347615613427</v>
      </c>
      <c r="B14842" s="49" t="s">
        <v>10604</v>
      </c>
    </row>
    <row r="14843" spans="1:2">
      <c r="A14843" s="66">
        <v>46072.34761837963</v>
      </c>
      <c r="B14843" s="49" t="s">
        <v>10466</v>
      </c>
    </row>
    <row r="14844" spans="1:2">
      <c r="A14844" s="66">
        <v>46072.347621122681</v>
      </c>
      <c r="B14844" s="49" t="s">
        <v>10605</v>
      </c>
    </row>
    <row r="14845" spans="1:2">
      <c r="A14845" s="66">
        <v>46072.347624629634</v>
      </c>
      <c r="B14845" s="49" t="s">
        <v>10562</v>
      </c>
    </row>
    <row r="14846" spans="1:2">
      <c r="A14846" s="66">
        <v>46072.347627766205</v>
      </c>
      <c r="B14846" s="49" t="s">
        <v>10606</v>
      </c>
    </row>
    <row r="14847" spans="1:2">
      <c r="A14847" s="66">
        <v>46072.348823518521</v>
      </c>
      <c r="B14847" s="49" t="s">
        <v>10556</v>
      </c>
    </row>
    <row r="14848" spans="1:2">
      <c r="A14848" s="66">
        <v>46072.348826145833</v>
      </c>
      <c r="B14848" s="49" t="s">
        <v>10603</v>
      </c>
    </row>
    <row r="14849" spans="1:2">
      <c r="A14849" s="66">
        <v>46072.348828298607</v>
      </c>
      <c r="B14849" s="49" t="s">
        <v>10604</v>
      </c>
    </row>
    <row r="14850" spans="1:2">
      <c r="A14850" s="66">
        <v>46072.348830706018</v>
      </c>
      <c r="B14850" s="49" t="s">
        <v>10466</v>
      </c>
    </row>
    <row r="14851" spans="1:2">
      <c r="A14851" s="66">
        <v>46072.348833090276</v>
      </c>
      <c r="B14851" s="49" t="s">
        <v>10605</v>
      </c>
    </row>
    <row r="14852" spans="1:2">
      <c r="A14852" s="66">
        <v>46072.348835856479</v>
      </c>
      <c r="B14852" s="49" t="s">
        <v>10562</v>
      </c>
    </row>
    <row r="14853" spans="1:2">
      <c r="A14853" s="66">
        <v>46072.34883938657</v>
      </c>
      <c r="B14853" s="49" t="s">
        <v>10606</v>
      </c>
    </row>
    <row r="14854" spans="1:2">
      <c r="A14854" s="66">
        <v>46072.349983148146</v>
      </c>
      <c r="B14854" s="49" t="s">
        <v>10556</v>
      </c>
    </row>
    <row r="14855" spans="1:2">
      <c r="A14855" s="66">
        <v>46072.349985532404</v>
      </c>
      <c r="B14855" s="49" t="s">
        <v>10603</v>
      </c>
    </row>
    <row r="14856" spans="1:2">
      <c r="A14856" s="66">
        <v>46072.34998767361</v>
      </c>
      <c r="B14856" s="49" t="s">
        <v>10604</v>
      </c>
    </row>
    <row r="14857" spans="1:2">
      <c r="A14857" s="66">
        <v>46072.349989965282</v>
      </c>
      <c r="B14857" s="49" t="s">
        <v>10466</v>
      </c>
    </row>
    <row r="14858" spans="1:2">
      <c r="A14858" s="66">
        <v>46072.349991724535</v>
      </c>
      <c r="B14858" s="49" t="s">
        <v>10605</v>
      </c>
    </row>
    <row r="14859" spans="1:2">
      <c r="A14859" s="66">
        <v>46072.349993518517</v>
      </c>
      <c r="B14859" s="49" t="s">
        <v>10562</v>
      </c>
    </row>
    <row r="14860" spans="1:2">
      <c r="A14860" s="66">
        <v>46072.349995358796</v>
      </c>
      <c r="B14860" s="49" t="s">
        <v>10606</v>
      </c>
    </row>
    <row r="14861" spans="1:2">
      <c r="A14861" s="66">
        <v>46072.351257129631</v>
      </c>
      <c r="B14861" s="49" t="s">
        <v>10556</v>
      </c>
    </row>
    <row r="14862" spans="1:2">
      <c r="A14862" s="66">
        <v>46072.351259456016</v>
      </c>
      <c r="B14862" s="49" t="s">
        <v>10603</v>
      </c>
    </row>
    <row r="14863" spans="1:2">
      <c r="A14863" s="66">
        <v>46072.351261550924</v>
      </c>
      <c r="B14863" s="49" t="s">
        <v>10604</v>
      </c>
    </row>
    <row r="14864" spans="1:2">
      <c r="A14864" s="66">
        <v>46072.351263715274</v>
      </c>
      <c r="B14864" s="49" t="s">
        <v>10466</v>
      </c>
    </row>
    <row r="14865" spans="1:2">
      <c r="A14865" s="66">
        <v>46072.351265763893</v>
      </c>
      <c r="B14865" s="49" t="s">
        <v>10605</v>
      </c>
    </row>
    <row r="14866" spans="1:2">
      <c r="A14866" s="66">
        <v>46072.351267951388</v>
      </c>
      <c r="B14866" s="49" t="s">
        <v>10562</v>
      </c>
    </row>
    <row r="14867" spans="1:2">
      <c r="A14867" s="66">
        <v>46072.35127407407</v>
      </c>
      <c r="B14867" s="49" t="s">
        <v>10606</v>
      </c>
    </row>
    <row r="14868" spans="1:2">
      <c r="A14868" s="66">
        <v>46072.35236232639</v>
      </c>
      <c r="B14868" s="49" t="s">
        <v>10556</v>
      </c>
    </row>
    <row r="14869" spans="1:2">
      <c r="A14869" s="66">
        <v>46072.352364328704</v>
      </c>
      <c r="B14869" s="49" t="s">
        <v>10603</v>
      </c>
    </row>
    <row r="14870" spans="1:2">
      <c r="A14870" s="66">
        <v>46072.35236636574</v>
      </c>
      <c r="B14870" s="49" t="s">
        <v>10604</v>
      </c>
    </row>
    <row r="14871" spans="1:2">
      <c r="A14871" s="66">
        <v>46072.352368009262</v>
      </c>
      <c r="B14871" s="49" t="s">
        <v>10466</v>
      </c>
    </row>
    <row r="14872" spans="1:2">
      <c r="A14872" s="66">
        <v>46072.352369652777</v>
      </c>
      <c r="B14872" s="49" t="s">
        <v>10605</v>
      </c>
    </row>
    <row r="14873" spans="1:2">
      <c r="A14873" s="66">
        <v>46072.352371493056</v>
      </c>
      <c r="B14873" s="49" t="s">
        <v>10562</v>
      </c>
    </row>
    <row r="14874" spans="1:2">
      <c r="A14874" s="66">
        <v>46072.35237335648</v>
      </c>
      <c r="B14874" s="49" t="s">
        <v>10606</v>
      </c>
    </row>
    <row r="14875" spans="1:2">
      <c r="A14875" s="66">
        <v>46072.35344146991</v>
      </c>
      <c r="B14875" s="49" t="s">
        <v>10556</v>
      </c>
    </row>
    <row r="14876" spans="1:2">
      <c r="A14876" s="66">
        <v>46072.353443935186</v>
      </c>
      <c r="B14876" s="49" t="s">
        <v>10603</v>
      </c>
    </row>
    <row r="14877" spans="1:2">
      <c r="A14877" s="66">
        <v>46072.353446157409</v>
      </c>
      <c r="B14877" s="49" t="s">
        <v>10604</v>
      </c>
    </row>
    <row r="14878" spans="1:2">
      <c r="A14878" s="66">
        <v>46072.353448101851</v>
      </c>
      <c r="B14878" s="49" t="s">
        <v>10466</v>
      </c>
    </row>
    <row r="14879" spans="1:2">
      <c r="A14879" s="66">
        <v>46072.353450254624</v>
      </c>
      <c r="B14879" s="49" t="s">
        <v>10605</v>
      </c>
    </row>
    <row r="14880" spans="1:2">
      <c r="A14880" s="66">
        <v>46072.353452337964</v>
      </c>
      <c r="B14880" s="49" t="s">
        <v>10562</v>
      </c>
    </row>
    <row r="14881" spans="1:2">
      <c r="A14881" s="66">
        <v>46072.353459999998</v>
      </c>
      <c r="B14881" s="49" t="s">
        <v>10606</v>
      </c>
    </row>
    <row r="14882" spans="1:2">
      <c r="A14882" s="66">
        <v>46072.354361608799</v>
      </c>
      <c r="B14882" s="49" t="s">
        <v>10556</v>
      </c>
    </row>
    <row r="14883" spans="1:2">
      <c r="A14883" s="66">
        <v>46072.354363715276</v>
      </c>
      <c r="B14883" s="49" t="s">
        <v>10603</v>
      </c>
    </row>
    <row r="14884" spans="1:2">
      <c r="A14884" s="66">
        <v>46072.354365729167</v>
      </c>
      <c r="B14884" s="49" t="s">
        <v>10604</v>
      </c>
    </row>
    <row r="14885" spans="1:2">
      <c r="A14885" s="66">
        <v>46072.354367557869</v>
      </c>
      <c r="B14885" s="49" t="s">
        <v>10466</v>
      </c>
    </row>
    <row r="14886" spans="1:2">
      <c r="A14886" s="66">
        <v>46072.354372025467</v>
      </c>
      <c r="B14886" s="49" t="s">
        <v>10605</v>
      </c>
    </row>
    <row r="14887" spans="1:2">
      <c r="A14887" s="66">
        <v>46072.354373831018</v>
      </c>
      <c r="B14887" s="49" t="s">
        <v>10562</v>
      </c>
    </row>
    <row r="14888" spans="1:2">
      <c r="A14888" s="66">
        <v>46072.354375891198</v>
      </c>
      <c r="B14888" s="49" t="s">
        <v>10606</v>
      </c>
    </row>
    <row r="14889" spans="1:2">
      <c r="A14889" s="66">
        <v>46072.35525659722</v>
      </c>
      <c r="B14889" s="49" t="s">
        <v>10556</v>
      </c>
    </row>
    <row r="14890" spans="1:2">
      <c r="A14890" s="66">
        <v>46072.355259189819</v>
      </c>
      <c r="B14890" s="49" t="s">
        <v>10603</v>
      </c>
    </row>
    <row r="14891" spans="1:2">
      <c r="A14891" s="66">
        <v>46072.355261666671</v>
      </c>
      <c r="B14891" s="49" t="s">
        <v>10604</v>
      </c>
    </row>
    <row r="14892" spans="1:2">
      <c r="A14892" s="66">
        <v>46072.355264548612</v>
      </c>
      <c r="B14892" s="49" t="s">
        <v>10466</v>
      </c>
    </row>
    <row r="14893" spans="1:2">
      <c r="A14893" s="66">
        <v>46072.355266666666</v>
      </c>
      <c r="B14893" s="49" t="s">
        <v>10605</v>
      </c>
    </row>
    <row r="14894" spans="1:2">
      <c r="A14894" s="66">
        <v>46072.35526862269</v>
      </c>
      <c r="B14894" s="49" t="s">
        <v>10562</v>
      </c>
    </row>
    <row r="14895" spans="1:2">
      <c r="A14895" s="66">
        <v>46072.355270636574</v>
      </c>
      <c r="B14895" s="49" t="s">
        <v>10606</v>
      </c>
    </row>
    <row r="14896" spans="1:2">
      <c r="A14896" s="66">
        <v>46072.356068379631</v>
      </c>
      <c r="B14896" s="49" t="s">
        <v>10556</v>
      </c>
    </row>
    <row r="14897" spans="1:2">
      <c r="A14897" s="66">
        <v>46072.356071678238</v>
      </c>
      <c r="B14897" s="49" t="s">
        <v>10603</v>
      </c>
    </row>
    <row r="14898" spans="1:2">
      <c r="A14898" s="66">
        <v>46072.35607425926</v>
      </c>
      <c r="B14898" s="49" t="s">
        <v>10604</v>
      </c>
    </row>
    <row r="14899" spans="1:2">
      <c r="A14899" s="66">
        <v>46072.356079641206</v>
      </c>
      <c r="B14899" s="49" t="s">
        <v>10466</v>
      </c>
    </row>
    <row r="14900" spans="1:2">
      <c r="A14900" s="66">
        <v>46072.35608258102</v>
      </c>
      <c r="B14900" s="49" t="s">
        <v>10605</v>
      </c>
    </row>
    <row r="14901" spans="1:2">
      <c r="A14901" s="66">
        <v>46072.356084884261</v>
      </c>
      <c r="B14901" s="49" t="s">
        <v>10562</v>
      </c>
    </row>
    <row r="14902" spans="1:2">
      <c r="A14902" s="66">
        <v>46072.356087361113</v>
      </c>
      <c r="B14902" s="49" t="s">
        <v>10606</v>
      </c>
    </row>
    <row r="14903" spans="1:2">
      <c r="A14903" s="66">
        <v>46072.356091527778</v>
      </c>
      <c r="B14903" s="49" t="s">
        <v>10607</v>
      </c>
    </row>
    <row r="14904" spans="1:2">
      <c r="A14904" s="66">
        <v>46072.357297604161</v>
      </c>
      <c r="B14904" s="49" t="s">
        <v>10556</v>
      </c>
    </row>
    <row r="14905" spans="1:2">
      <c r="A14905" s="66">
        <v>46072.357302719909</v>
      </c>
      <c r="B14905" s="49" t="s">
        <v>10603</v>
      </c>
    </row>
    <row r="14906" spans="1:2">
      <c r="A14906" s="66">
        <v>46072.357307002312</v>
      </c>
      <c r="B14906" s="49" t="s">
        <v>10604</v>
      </c>
    </row>
    <row r="14907" spans="1:2">
      <c r="A14907" s="66">
        <v>46072.357310416672</v>
      </c>
      <c r="B14907" s="49" t="s">
        <v>10466</v>
      </c>
    </row>
    <row r="14908" spans="1:2">
      <c r="A14908" s="66">
        <v>46072.357312407403</v>
      </c>
      <c r="B14908" s="49" t="s">
        <v>10605</v>
      </c>
    </row>
    <row r="14909" spans="1:2">
      <c r="A14909" s="66">
        <v>46072.357314930559</v>
      </c>
      <c r="B14909" s="49" t="s">
        <v>10562</v>
      </c>
    </row>
    <row r="14910" spans="1:2">
      <c r="A14910" s="66">
        <v>46072.357317361108</v>
      </c>
      <c r="B14910" s="49" t="s">
        <v>10606</v>
      </c>
    </row>
    <row r="14911" spans="1:2">
      <c r="A14911" s="66">
        <v>46072.358612766198</v>
      </c>
      <c r="B14911" s="49" t="s">
        <v>10556</v>
      </c>
    </row>
    <row r="14912" spans="1:2">
      <c r="A14912" s="66">
        <v>46072.358615335645</v>
      </c>
      <c r="B14912" s="49" t="s">
        <v>10603</v>
      </c>
    </row>
    <row r="14913" spans="1:2">
      <c r="A14913" s="66">
        <v>46072.358617835649</v>
      </c>
      <c r="B14913" s="49" t="s">
        <v>10604</v>
      </c>
    </row>
    <row r="14914" spans="1:2">
      <c r="A14914" s="66">
        <v>46072.358620185187</v>
      </c>
      <c r="B14914" s="49" t="s">
        <v>10466</v>
      </c>
    </row>
    <row r="14915" spans="1:2">
      <c r="A14915" s="66">
        <v>46072.358628738424</v>
      </c>
      <c r="B14915" s="49" t="s">
        <v>10605</v>
      </c>
    </row>
    <row r="14916" spans="1:2">
      <c r="A14916" s="66">
        <v>46072.358631053241</v>
      </c>
      <c r="B14916" s="49" t="s">
        <v>10562</v>
      </c>
    </row>
    <row r="14917" spans="1:2">
      <c r="A14917" s="66">
        <v>46072.358634814816</v>
      </c>
      <c r="B14917" s="49" t="s">
        <v>10606</v>
      </c>
    </row>
    <row r="14918" spans="1:2">
      <c r="A14918" s="66">
        <v>46072.359540636578</v>
      </c>
      <c r="B14918" s="49" t="s">
        <v>10556</v>
      </c>
    </row>
    <row r="14919" spans="1:2">
      <c r="A14919" s="66">
        <v>46072.359543599538</v>
      </c>
      <c r="B14919" s="49" t="s">
        <v>10603</v>
      </c>
    </row>
    <row r="14920" spans="1:2">
      <c r="A14920" s="66">
        <v>46072.359545879634</v>
      </c>
      <c r="B14920" s="49" t="s">
        <v>10604</v>
      </c>
    </row>
    <row r="14921" spans="1:2">
      <c r="A14921" s="66">
        <v>46072.35954795139</v>
      </c>
      <c r="B14921" s="49" t="s">
        <v>10466</v>
      </c>
    </row>
    <row r="14922" spans="1:2">
      <c r="A14922" s="66">
        <v>46072.359550034722</v>
      </c>
      <c r="B14922" s="49" t="s">
        <v>10605</v>
      </c>
    </row>
    <row r="14923" spans="1:2">
      <c r="A14923" s="66">
        <v>46072.359552060181</v>
      </c>
      <c r="B14923" s="49" t="s">
        <v>10562</v>
      </c>
    </row>
    <row r="14924" spans="1:2">
      <c r="A14924" s="66">
        <v>46072.359554328708</v>
      </c>
      <c r="B14924" s="49" t="s">
        <v>10606</v>
      </c>
    </row>
    <row r="14925" spans="1:2">
      <c r="A14925" s="66">
        <v>46072.36056450232</v>
      </c>
      <c r="B14925" s="49" t="s">
        <v>10556</v>
      </c>
    </row>
    <row r="14926" spans="1:2">
      <c r="A14926" s="66">
        <v>46072.36056674768</v>
      </c>
      <c r="B14926" s="49" t="s">
        <v>10603</v>
      </c>
    </row>
    <row r="14927" spans="1:2">
      <c r="A14927" s="66">
        <v>46072.360568923614</v>
      </c>
      <c r="B14927" s="49" t="s">
        <v>10604</v>
      </c>
    </row>
    <row r="14928" spans="1:2">
      <c r="A14928" s="66">
        <v>46072.360571076388</v>
      </c>
      <c r="B14928" s="49" t="s">
        <v>10466</v>
      </c>
    </row>
    <row r="14929" spans="1:2">
      <c r="A14929" s="66">
        <v>46072.360573229162</v>
      </c>
      <c r="B14929" s="49" t="s">
        <v>10605</v>
      </c>
    </row>
    <row r="14930" spans="1:2">
      <c r="A14930" s="66">
        <v>46072.360575393519</v>
      </c>
      <c r="B14930" s="49" t="s">
        <v>10562</v>
      </c>
    </row>
    <row r="14931" spans="1:2">
      <c r="A14931" s="66">
        <v>46072.360577604166</v>
      </c>
      <c r="B14931" s="49" t="s">
        <v>10606</v>
      </c>
    </row>
    <row r="14932" spans="1:2">
      <c r="A14932" s="66">
        <v>46072.361849548615</v>
      </c>
      <c r="B14932" s="49" t="s">
        <v>10556</v>
      </c>
    </row>
    <row r="14933" spans="1:2">
      <c r="A14933" s="66">
        <v>46072.361852222224</v>
      </c>
      <c r="B14933" s="49" t="s">
        <v>10603</v>
      </c>
    </row>
    <row r="14934" spans="1:2">
      <c r="A14934" s="66">
        <v>46072.361855752315</v>
      </c>
      <c r="B14934" s="49" t="s">
        <v>10604</v>
      </c>
    </row>
    <row r="14935" spans="1:2">
      <c r="A14935" s="66">
        <v>46072.361858356482</v>
      </c>
      <c r="B14935" s="49" t="s">
        <v>10466</v>
      </c>
    </row>
    <row r="14936" spans="1:2">
      <c r="A14936" s="66">
        <v>46072.361860613426</v>
      </c>
      <c r="B14936" s="49" t="s">
        <v>10605</v>
      </c>
    </row>
    <row r="14937" spans="1:2">
      <c r="A14937" s="66">
        <v>46072.361862650461</v>
      </c>
      <c r="B14937" s="49" t="s">
        <v>10562</v>
      </c>
    </row>
    <row r="14938" spans="1:2">
      <c r="A14938" s="66">
        <v>46072.361864942126</v>
      </c>
      <c r="B14938" s="49" t="s">
        <v>10606</v>
      </c>
    </row>
    <row r="14939" spans="1:2">
      <c r="A14939" s="66">
        <v>46072.362595486113</v>
      </c>
      <c r="B14939" s="49" t="s">
        <v>10556</v>
      </c>
    </row>
    <row r="14940" spans="1:2">
      <c r="A14940" s="66">
        <v>46072.362597812498</v>
      </c>
      <c r="B14940" s="49" t="s">
        <v>10603</v>
      </c>
    </row>
    <row r="14941" spans="1:2">
      <c r="A14941" s="66">
        <v>46072.36260670139</v>
      </c>
      <c r="B14941" s="49" t="s">
        <v>10604</v>
      </c>
    </row>
    <row r="14942" spans="1:2">
      <c r="A14942" s="66">
        <v>46072.362608587966</v>
      </c>
      <c r="B14942" s="49" t="s">
        <v>10466</v>
      </c>
    </row>
    <row r="14943" spans="1:2">
      <c r="A14943" s="66">
        <v>46072.362610810189</v>
      </c>
      <c r="B14943" s="49" t="s">
        <v>10605</v>
      </c>
    </row>
    <row r="14944" spans="1:2">
      <c r="A14944" s="66">
        <v>46072.362616701386</v>
      </c>
      <c r="B14944" s="49" t="s">
        <v>10562</v>
      </c>
    </row>
    <row r="14945" spans="1:2">
      <c r="A14945" s="66">
        <v>46072.36261891204</v>
      </c>
      <c r="B14945" s="49" t="s">
        <v>10606</v>
      </c>
    </row>
    <row r="14946" spans="1:2">
      <c r="A14946" s="66">
        <v>46072.363800601852</v>
      </c>
      <c r="B14946" s="49" t="s">
        <v>10556</v>
      </c>
    </row>
    <row r="14947" spans="1:2">
      <c r="A14947" s="66">
        <v>46072.363803032407</v>
      </c>
      <c r="B14947" s="49" t="s">
        <v>10603</v>
      </c>
    </row>
    <row r="14948" spans="1:2">
      <c r="A14948" s="66">
        <v>46072.363809155097</v>
      </c>
      <c r="B14948" s="49" t="s">
        <v>10604</v>
      </c>
    </row>
    <row r="14949" spans="1:2">
      <c r="A14949" s="66">
        <v>46072.363811574076</v>
      </c>
      <c r="B14949" s="49" t="s">
        <v>10466</v>
      </c>
    </row>
    <row r="14950" spans="1:2">
      <c r="A14950" s="66">
        <v>46072.363813703705</v>
      </c>
      <c r="B14950" s="49" t="s">
        <v>10605</v>
      </c>
    </row>
    <row r="14951" spans="1:2">
      <c r="A14951" s="66">
        <v>46072.363816041667</v>
      </c>
      <c r="B14951" s="49" t="s">
        <v>10562</v>
      </c>
    </row>
    <row r="14952" spans="1:2">
      <c r="A14952" s="66">
        <v>46072.363826655092</v>
      </c>
      <c r="B14952" s="49" t="s">
        <v>10606</v>
      </c>
    </row>
    <row r="14953" spans="1:2">
      <c r="A14953" s="66">
        <v>46072.364541076386</v>
      </c>
      <c r="B14953" s="49" t="s">
        <v>10556</v>
      </c>
    </row>
    <row r="14954" spans="1:2">
      <c r="A14954" s="66">
        <v>46072.364543344913</v>
      </c>
      <c r="B14954" s="49" t="s">
        <v>10603</v>
      </c>
    </row>
    <row r="14955" spans="1:2">
      <c r="A14955" s="66">
        <v>46072.364545439814</v>
      </c>
      <c r="B14955" s="49" t="s">
        <v>10604</v>
      </c>
    </row>
    <row r="14956" spans="1:2">
      <c r="A14956" s="66">
        <v>46072.364547395831</v>
      </c>
      <c r="B14956" s="49" t="s">
        <v>10466</v>
      </c>
    </row>
    <row r="14957" spans="1:2">
      <c r="A14957" s="66">
        <v>46072.364550787039</v>
      </c>
      <c r="B14957" s="49" t="s">
        <v>10605</v>
      </c>
    </row>
    <row r="14958" spans="1:2">
      <c r="A14958" s="66">
        <v>46072.364552835643</v>
      </c>
      <c r="B14958" s="49" t="s">
        <v>10562</v>
      </c>
    </row>
    <row r="14959" spans="1:2">
      <c r="A14959" s="66">
        <v>46072.36455489583</v>
      </c>
      <c r="B14959" s="49" t="s">
        <v>10606</v>
      </c>
    </row>
    <row r="14960" spans="1:2">
      <c r="A14960" s="66">
        <v>46072.365316747688</v>
      </c>
      <c r="B14960" s="49" t="s">
        <v>10556</v>
      </c>
    </row>
    <row r="14961" spans="1:2">
      <c r="A14961" s="66">
        <v>46072.365319710647</v>
      </c>
      <c r="B14961" s="49" t="s">
        <v>10603</v>
      </c>
    </row>
    <row r="14962" spans="1:2">
      <c r="A14962" s="66">
        <v>46072.36532247685</v>
      </c>
      <c r="B14962" s="49" t="s">
        <v>10604</v>
      </c>
    </row>
    <row r="14963" spans="1:2">
      <c r="A14963" s="66">
        <v>46072.365325752311</v>
      </c>
      <c r="B14963" s="49" t="s">
        <v>10466</v>
      </c>
    </row>
    <row r="14964" spans="1:2">
      <c r="A14964" s="66">
        <v>46072.365328506945</v>
      </c>
      <c r="B14964" s="49" t="s">
        <v>10605</v>
      </c>
    </row>
    <row r="14965" spans="1:2">
      <c r="A14965" s="66">
        <v>46072.365331446759</v>
      </c>
      <c r="B14965" s="49" t="s">
        <v>10562</v>
      </c>
    </row>
    <row r="14966" spans="1:2">
      <c r="A14966" s="66">
        <v>46072.365337442126</v>
      </c>
      <c r="B14966" s="49" t="s">
        <v>10606</v>
      </c>
    </row>
    <row r="14967" spans="1:2">
      <c r="A14967" s="66">
        <v>46072.366086724534</v>
      </c>
      <c r="B14967" s="49" t="s">
        <v>10556</v>
      </c>
    </row>
    <row r="14968" spans="1:2">
      <c r="A14968" s="66">
        <v>46072.366089444447</v>
      </c>
      <c r="B14968" s="49" t="s">
        <v>10603</v>
      </c>
    </row>
    <row r="14969" spans="1:2">
      <c r="A14969" s="66">
        <v>46072.366092337965</v>
      </c>
      <c r="B14969" s="49" t="s">
        <v>10604</v>
      </c>
    </row>
    <row r="14970" spans="1:2">
      <c r="A14970" s="66">
        <v>46072.366095775462</v>
      </c>
      <c r="B14970" s="49" t="s">
        <v>10466</v>
      </c>
    </row>
    <row r="14971" spans="1:2">
      <c r="A14971" s="66">
        <v>46072.366098206017</v>
      </c>
      <c r="B14971" s="49" t="s">
        <v>10605</v>
      </c>
    </row>
    <row r="14972" spans="1:2">
      <c r="A14972" s="66">
        <v>46072.366100798608</v>
      </c>
      <c r="B14972" s="49" t="s">
        <v>10562</v>
      </c>
    </row>
    <row r="14973" spans="1:2">
      <c r="A14973" s="66">
        <v>46072.366103518521</v>
      </c>
      <c r="B14973" s="49" t="s">
        <v>10606</v>
      </c>
    </row>
    <row r="14974" spans="1:2">
      <c r="A14974" s="66">
        <v>46072.367231203709</v>
      </c>
      <c r="B14974" s="49" t="s">
        <v>10556</v>
      </c>
    </row>
    <row r="14975" spans="1:2">
      <c r="A14975" s="66">
        <v>46072.367233483797</v>
      </c>
      <c r="B14975" s="49" t="s">
        <v>10603</v>
      </c>
    </row>
    <row r="14976" spans="1:2">
      <c r="A14976" s="66">
        <v>46072.367235335652</v>
      </c>
      <c r="B14976" s="49" t="s">
        <v>10604</v>
      </c>
    </row>
    <row r="14977" spans="1:2">
      <c r="A14977" s="66">
        <v>46072.367237118058</v>
      </c>
      <c r="B14977" s="49" t="s">
        <v>10466</v>
      </c>
    </row>
    <row r="14978" spans="1:2">
      <c r="A14978" s="66">
        <v>46072.367239097221</v>
      </c>
      <c r="B14978" s="49" t="s">
        <v>10605</v>
      </c>
    </row>
    <row r="14979" spans="1:2">
      <c r="A14979" s="66">
        <v>46072.367241041662</v>
      </c>
      <c r="B14979" s="49" t="s">
        <v>10562</v>
      </c>
    </row>
    <row r="14980" spans="1:2">
      <c r="A14980" s="66">
        <v>46072.367242928245</v>
      </c>
      <c r="B14980" s="49" t="s">
        <v>10606</v>
      </c>
    </row>
    <row r="14981" spans="1:2">
      <c r="A14981" s="66">
        <v>46072.368653981481</v>
      </c>
      <c r="B14981" s="49" t="s">
        <v>10556</v>
      </c>
    </row>
    <row r="14982" spans="1:2">
      <c r="A14982" s="66">
        <v>46072.368656354171</v>
      </c>
      <c r="B14982" s="49" t="s">
        <v>10603</v>
      </c>
    </row>
    <row r="14983" spans="1:2">
      <c r="A14983" s="66">
        <v>46072.368658761574</v>
      </c>
      <c r="B14983" s="49" t="s">
        <v>10604</v>
      </c>
    </row>
    <row r="14984" spans="1:2">
      <c r="A14984" s="66">
        <v>46072.368660821754</v>
      </c>
      <c r="B14984" s="49" t="s">
        <v>10466</v>
      </c>
    </row>
    <row r="14985" spans="1:2">
      <c r="A14985" s="66">
        <v>46072.368662719906</v>
      </c>
      <c r="B14985" s="49" t="s">
        <v>10605</v>
      </c>
    </row>
    <row r="14986" spans="1:2">
      <c r="A14986" s="66">
        <v>46072.368664733796</v>
      </c>
      <c r="B14986" s="49" t="s">
        <v>10562</v>
      </c>
    </row>
    <row r="14987" spans="1:2">
      <c r="A14987" s="66">
        <v>46072.368666678245</v>
      </c>
      <c r="B14987" s="49" t="s">
        <v>10606</v>
      </c>
    </row>
    <row r="14988" spans="1:2">
      <c r="A14988" s="66">
        <v>46072.369710300925</v>
      </c>
      <c r="B14988" s="49" t="s">
        <v>10556</v>
      </c>
    </row>
    <row r="14989" spans="1:2">
      <c r="A14989" s="66">
        <v>46072.369712754633</v>
      </c>
      <c r="B14989" s="49" t="s">
        <v>10603</v>
      </c>
    </row>
    <row r="14990" spans="1:2">
      <c r="A14990" s="66">
        <v>46072.369714733795</v>
      </c>
      <c r="B14990" s="49" t="s">
        <v>10604</v>
      </c>
    </row>
    <row r="14991" spans="1:2">
      <c r="A14991" s="66">
        <v>46072.369716655092</v>
      </c>
      <c r="B14991" s="49" t="s">
        <v>10466</v>
      </c>
    </row>
    <row r="14992" spans="1:2">
      <c r="A14992" s="66">
        <v>46072.369718449074</v>
      </c>
      <c r="B14992" s="49" t="s">
        <v>10605</v>
      </c>
    </row>
    <row r="14993" spans="1:2">
      <c r="A14993" s="66">
        <v>46072.369720821764</v>
      </c>
      <c r="B14993" s="49" t="s">
        <v>10562</v>
      </c>
    </row>
    <row r="14994" spans="1:2">
      <c r="A14994" s="66">
        <v>46072.369722662042</v>
      </c>
      <c r="B14994" s="49" t="s">
        <v>10606</v>
      </c>
    </row>
    <row r="14995" spans="1:2">
      <c r="A14995" s="66">
        <v>46072.370730902781</v>
      </c>
      <c r="B14995" s="49" t="s">
        <v>10556</v>
      </c>
    </row>
    <row r="14996" spans="1:2">
      <c r="A14996" s="66">
        <v>46072.370733263888</v>
      </c>
      <c r="B14996" s="49" t="s">
        <v>10603</v>
      </c>
    </row>
    <row r="14997" spans="1:2">
      <c r="A14997" s="66">
        <v>46072.370735381948</v>
      </c>
      <c r="B14997" s="49" t="s">
        <v>10604</v>
      </c>
    </row>
    <row r="14998" spans="1:2">
      <c r="A14998" s="66">
        <v>46072.370737951387</v>
      </c>
      <c r="B14998" s="49" t="s">
        <v>10466</v>
      </c>
    </row>
    <row r="14999" spans="1:2">
      <c r="A14999" s="66">
        <v>46072.370739768521</v>
      </c>
      <c r="B14999" s="49" t="s">
        <v>10605</v>
      </c>
    </row>
    <row r="15000" spans="1:2">
      <c r="A15000" s="66">
        <v>46072.370742291663</v>
      </c>
      <c r="B15000" s="49" t="s">
        <v>10562</v>
      </c>
    </row>
    <row r="15001" spans="1:2">
      <c r="A15001" s="66">
        <v>46072.370744340282</v>
      </c>
      <c r="B15001" s="49" t="s">
        <v>10606</v>
      </c>
    </row>
    <row r="15002" spans="1:2">
      <c r="A15002" s="66">
        <v>46072.371568761577</v>
      </c>
      <c r="B15002" s="49" t="s">
        <v>10556</v>
      </c>
    </row>
    <row r="15003" spans="1:2">
      <c r="A15003" s="66">
        <v>46072.371570995369</v>
      </c>
      <c r="B15003" s="49" t="s">
        <v>10603</v>
      </c>
    </row>
    <row r="15004" spans="1:2">
      <c r="A15004" s="66">
        <v>46072.371573078708</v>
      </c>
      <c r="B15004" s="49" t="s">
        <v>10604</v>
      </c>
    </row>
    <row r="15005" spans="1:2">
      <c r="A15005" s="66">
        <v>46072.371574953708</v>
      </c>
      <c r="B15005" s="49" t="s">
        <v>10466</v>
      </c>
    </row>
    <row r="15006" spans="1:2">
      <c r="A15006" s="66">
        <v>46072.3715777662</v>
      </c>
      <c r="B15006" s="49" t="s">
        <v>10605</v>
      </c>
    </row>
    <row r="15007" spans="1:2">
      <c r="A15007" s="66">
        <v>46072.371579861108</v>
      </c>
      <c r="B15007" s="49" t="s">
        <v>10562</v>
      </c>
    </row>
    <row r="15008" spans="1:2">
      <c r="A15008" s="66">
        <v>46072.371585335648</v>
      </c>
      <c r="B15008" s="49" t="s">
        <v>10606</v>
      </c>
    </row>
    <row r="15009" spans="1:2">
      <c r="A15009" s="66">
        <v>46072.372666400464</v>
      </c>
      <c r="B15009" s="49" t="s">
        <v>10556</v>
      </c>
    </row>
    <row r="15010" spans="1:2">
      <c r="A15010" s="66">
        <v>46072.372668750002</v>
      </c>
      <c r="B15010" s="49" t="s">
        <v>10603</v>
      </c>
    </row>
    <row r="15011" spans="1:2">
      <c r="A15011" s="66">
        <v>46072.372670682875</v>
      </c>
      <c r="B15011" s="49" t="s">
        <v>10604</v>
      </c>
    </row>
    <row r="15012" spans="1:2">
      <c r="A15012" s="66">
        <v>46072.372672581019</v>
      </c>
      <c r="B15012" s="49" t="s">
        <v>10466</v>
      </c>
    </row>
    <row r="15013" spans="1:2">
      <c r="A15013" s="66">
        <v>46072.372674270839</v>
      </c>
      <c r="B15013" s="49" t="s">
        <v>10605</v>
      </c>
    </row>
    <row r="15014" spans="1:2">
      <c r="A15014" s="66">
        <v>46072.372680347224</v>
      </c>
      <c r="B15014" s="49" t="s">
        <v>10562</v>
      </c>
    </row>
    <row r="15015" spans="1:2">
      <c r="A15015" s="66">
        <v>46072.372687106486</v>
      </c>
      <c r="B15015" s="49" t="s">
        <v>10606</v>
      </c>
    </row>
    <row r="15016" spans="1:2">
      <c r="A15016" s="66">
        <v>46072.373508078701</v>
      </c>
      <c r="B15016" s="49" t="s">
        <v>10556</v>
      </c>
    </row>
    <row r="15017" spans="1:2">
      <c r="A15017" s="66">
        <v>46072.373510057871</v>
      </c>
      <c r="B15017" s="49" t="s">
        <v>10603</v>
      </c>
    </row>
    <row r="15018" spans="1:2">
      <c r="A15018" s="66">
        <v>46072.373516412037</v>
      </c>
      <c r="B15018" s="49" t="s">
        <v>10604</v>
      </c>
    </row>
    <row r="15019" spans="1:2">
      <c r="A15019" s="66">
        <v>46072.373518518521</v>
      </c>
      <c r="B15019" s="49" t="s">
        <v>10466</v>
      </c>
    </row>
    <row r="15020" spans="1:2">
      <c r="A15020" s="66">
        <v>46072.37352025463</v>
      </c>
      <c r="B15020" s="49" t="s">
        <v>10605</v>
      </c>
    </row>
    <row r="15021" spans="1:2">
      <c r="A15021" s="66">
        <v>46072.373526608797</v>
      </c>
      <c r="B15021" s="49" t="s">
        <v>10562</v>
      </c>
    </row>
    <row r="15022" spans="1:2">
      <c r="A15022" s="66">
        <v>46072.373528981479</v>
      </c>
      <c r="B15022" s="49" t="s">
        <v>10606</v>
      </c>
    </row>
    <row r="15023" spans="1:2">
      <c r="A15023" s="66">
        <v>46072.374920208335</v>
      </c>
      <c r="B15023" s="49" t="s">
        <v>10556</v>
      </c>
    </row>
    <row r="15024" spans="1:2">
      <c r="A15024" s="66">
        <v>46072.374929618054</v>
      </c>
      <c r="B15024" s="49" t="s">
        <v>10603</v>
      </c>
    </row>
    <row r="15025" spans="1:2">
      <c r="A15025" s="66">
        <v>46072.374933275467</v>
      </c>
      <c r="B15025" s="49" t="s">
        <v>10604</v>
      </c>
    </row>
    <row r="15026" spans="1:2">
      <c r="A15026" s="66">
        <v>46072.374936516208</v>
      </c>
      <c r="B15026" s="49" t="s">
        <v>10466</v>
      </c>
    </row>
    <row r="15027" spans="1:2">
      <c r="A15027" s="66">
        <v>46072.374939699075</v>
      </c>
      <c r="B15027" s="49" t="s">
        <v>10605</v>
      </c>
    </row>
    <row r="15028" spans="1:2">
      <c r="A15028" s="66">
        <v>46072.374942835653</v>
      </c>
      <c r="B15028" s="49" t="s">
        <v>10562</v>
      </c>
    </row>
    <row r="15029" spans="1:2">
      <c r="A15029" s="66">
        <v>46072.374945833333</v>
      </c>
      <c r="B15029" s="49" t="s">
        <v>10606</v>
      </c>
    </row>
    <row r="15030" spans="1:2">
      <c r="A15030" s="66">
        <v>46072.375738043978</v>
      </c>
      <c r="B15030" s="49" t="s">
        <v>10556</v>
      </c>
    </row>
    <row r="15031" spans="1:2">
      <c r="A15031" s="66">
        <v>46072.375740312498</v>
      </c>
      <c r="B15031" s="49" t="s">
        <v>10603</v>
      </c>
    </row>
    <row r="15032" spans="1:2">
      <c r="A15032" s="66">
        <v>46072.375742418983</v>
      </c>
      <c r="B15032" s="49" t="s">
        <v>10604</v>
      </c>
    </row>
    <row r="15033" spans="1:2">
      <c r="A15033" s="66">
        <v>46072.375744224541</v>
      </c>
      <c r="B15033" s="49" t="s">
        <v>10466</v>
      </c>
    </row>
    <row r="15034" spans="1:2">
      <c r="A15034" s="66">
        <v>46072.375746273145</v>
      </c>
      <c r="B15034" s="49" t="s">
        <v>10605</v>
      </c>
    </row>
    <row r="15035" spans="1:2">
      <c r="A15035" s="66">
        <v>46072.375748229169</v>
      </c>
      <c r="B15035" s="49" t="s">
        <v>10562</v>
      </c>
    </row>
    <row r="15036" spans="1:2">
      <c r="A15036" s="66">
        <v>46072.375750254629</v>
      </c>
      <c r="B15036" s="49" t="s">
        <v>10606</v>
      </c>
    </row>
    <row r="15037" spans="1:2">
      <c r="A15037" s="66">
        <v>46072.377052592594</v>
      </c>
      <c r="B15037" s="49" t="s">
        <v>10556</v>
      </c>
    </row>
    <row r="15038" spans="1:2">
      <c r="A15038" s="66">
        <v>46072.377055381949</v>
      </c>
      <c r="B15038" s="49" t="s">
        <v>10603</v>
      </c>
    </row>
    <row r="15039" spans="1:2">
      <c r="A15039" s="66">
        <v>46072.37705836806</v>
      </c>
      <c r="B15039" s="49" t="s">
        <v>10604</v>
      </c>
    </row>
    <row r="15040" spans="1:2">
      <c r="A15040" s="66">
        <v>46072.377062060186</v>
      </c>
      <c r="B15040" s="49" t="s">
        <v>10466</v>
      </c>
    </row>
    <row r="15041" spans="1:2">
      <c r="A15041" s="66">
        <v>46072.377064618056</v>
      </c>
      <c r="B15041" s="49" t="s">
        <v>10605</v>
      </c>
    </row>
    <row r="15042" spans="1:2">
      <c r="A15042" s="66">
        <v>46072.377067094909</v>
      </c>
      <c r="B15042" s="49" t="s">
        <v>10562</v>
      </c>
    </row>
    <row r="15043" spans="1:2">
      <c r="A15043" s="66">
        <v>46072.377073854164</v>
      </c>
      <c r="B15043" s="49" t="s">
        <v>10606</v>
      </c>
    </row>
    <row r="15044" spans="1:2">
      <c r="A15044" s="66">
        <v>46072.378501655097</v>
      </c>
      <c r="B15044" s="49" t="s">
        <v>10556</v>
      </c>
    </row>
    <row r="15045" spans="1:2">
      <c r="A15045" s="66">
        <v>46072.378503831016</v>
      </c>
      <c r="B15045" s="49" t="s">
        <v>10603</v>
      </c>
    </row>
    <row r="15046" spans="1:2">
      <c r="A15046" s="66">
        <v>46072.378505856483</v>
      </c>
      <c r="B15046" s="49" t="s">
        <v>10604</v>
      </c>
    </row>
    <row r="15047" spans="1:2">
      <c r="A15047" s="66">
        <v>46072.378507557871</v>
      </c>
      <c r="B15047" s="49" t="s">
        <v>10466</v>
      </c>
    </row>
    <row r="15048" spans="1:2">
      <c r="A15048" s="66">
        <v>46072.378509386574</v>
      </c>
      <c r="B15048" s="49" t="s">
        <v>10605</v>
      </c>
    </row>
    <row r="15049" spans="1:2">
      <c r="A15049" s="66">
        <v>46072.378511250005</v>
      </c>
      <c r="B15049" s="49" t="s">
        <v>10562</v>
      </c>
    </row>
    <row r="15050" spans="1:2">
      <c r="A15050" s="66">
        <v>46072.37851299769</v>
      </c>
      <c r="B15050" s="49" t="s">
        <v>10606</v>
      </c>
    </row>
    <row r="15051" spans="1:2">
      <c r="A15051" s="66">
        <v>46072.379799016198</v>
      </c>
      <c r="B15051" s="49" t="s">
        <v>10556</v>
      </c>
    </row>
    <row r="15052" spans="1:2">
      <c r="A15052" s="66">
        <v>46072.379801261573</v>
      </c>
      <c r="B15052" s="49" t="s">
        <v>10603</v>
      </c>
    </row>
    <row r="15053" spans="1:2">
      <c r="A15053" s="66">
        <v>46072.379803854172</v>
      </c>
      <c r="B15053" s="49" t="s">
        <v>10604</v>
      </c>
    </row>
    <row r="15054" spans="1:2">
      <c r="A15054" s="66">
        <v>46072.379808506943</v>
      </c>
      <c r="B15054" s="49" t="s">
        <v>10466</v>
      </c>
    </row>
    <row r="15055" spans="1:2">
      <c r="A15055" s="66">
        <v>46072.379810370374</v>
      </c>
      <c r="B15055" s="49" t="s">
        <v>10605</v>
      </c>
    </row>
    <row r="15056" spans="1:2">
      <c r="A15056" s="66">
        <v>46072.379813043983</v>
      </c>
      <c r="B15056" s="49" t="s">
        <v>10562</v>
      </c>
    </row>
    <row r="15057" spans="1:2">
      <c r="A15057" s="66">
        <v>46072.379815856482</v>
      </c>
      <c r="B15057" s="49" t="s">
        <v>10606</v>
      </c>
    </row>
    <row r="15058" spans="1:2">
      <c r="A15058" s="66">
        <v>46072.380678194444</v>
      </c>
      <c r="B15058" s="49" t="s">
        <v>10556</v>
      </c>
    </row>
    <row r="15059" spans="1:2">
      <c r="A15059" s="66">
        <v>46072.38068047454</v>
      </c>
      <c r="B15059" s="49" t="s">
        <v>10603</v>
      </c>
    </row>
    <row r="15060" spans="1:2">
      <c r="A15060" s="66">
        <v>46072.380683784722</v>
      </c>
      <c r="B15060" s="49" t="s">
        <v>10604</v>
      </c>
    </row>
    <row r="15061" spans="1:2">
      <c r="A15061" s="66">
        <v>46072.380686377313</v>
      </c>
      <c r="B15061" s="49" t="s">
        <v>10466</v>
      </c>
    </row>
    <row r="15062" spans="1:2">
      <c r="A15062" s="66">
        <v>46072.380688252313</v>
      </c>
      <c r="B15062" s="49" t="s">
        <v>10605</v>
      </c>
    </row>
    <row r="15063" spans="1:2">
      <c r="A15063" s="66">
        <v>46072.380690451391</v>
      </c>
      <c r="B15063" s="49" t="s">
        <v>10562</v>
      </c>
    </row>
    <row r="15064" spans="1:2">
      <c r="A15064" s="66">
        <v>46072.380693090279</v>
      </c>
      <c r="B15064" s="49" t="s">
        <v>10606</v>
      </c>
    </row>
    <row r="15065" spans="1:2">
      <c r="A15065" s="66">
        <v>46072.381593541664</v>
      </c>
      <c r="B15065" s="49" t="s">
        <v>10556</v>
      </c>
    </row>
    <row r="15066" spans="1:2">
      <c r="A15066" s="66">
        <v>46072.381595995372</v>
      </c>
      <c r="B15066" s="49" t="s">
        <v>10603</v>
      </c>
    </row>
    <row r="15067" spans="1:2">
      <c r="A15067" s="66">
        <v>46072.381599768516</v>
      </c>
      <c r="B15067" s="49" t="s">
        <v>10604</v>
      </c>
    </row>
    <row r="15068" spans="1:2">
      <c r="A15068" s="66">
        <v>46072.381602152775</v>
      </c>
      <c r="B15068" s="49" t="s">
        <v>10466</v>
      </c>
    </row>
    <row r="15069" spans="1:2">
      <c r="A15069" s="66">
        <v>46072.381605381946</v>
      </c>
      <c r="B15069" s="49" t="s">
        <v>10605</v>
      </c>
    </row>
    <row r="15070" spans="1:2">
      <c r="A15070" s="66">
        <v>46072.38160789352</v>
      </c>
      <c r="B15070" s="49" t="s">
        <v>10562</v>
      </c>
    </row>
    <row r="15071" spans="1:2">
      <c r="A15071" s="66">
        <v>46072.381609618053</v>
      </c>
      <c r="B15071" s="49" t="s">
        <v>10606</v>
      </c>
    </row>
    <row r="15072" spans="1:2">
      <c r="A15072" s="66">
        <v>46072.382338009258</v>
      </c>
      <c r="B15072" s="49" t="s">
        <v>10556</v>
      </c>
    </row>
    <row r="15073" spans="1:2">
      <c r="A15073" s="66">
        <v>46072.382340532407</v>
      </c>
      <c r="B15073" s="49" t="s">
        <v>10603</v>
      </c>
    </row>
    <row r="15074" spans="1:2">
      <c r="A15074" s="66">
        <v>46072.382343090278</v>
      </c>
      <c r="B15074" s="49" t="s">
        <v>10604</v>
      </c>
    </row>
    <row r="15075" spans="1:2">
      <c r="A15075" s="66">
        <v>46072.382346377315</v>
      </c>
      <c r="B15075" s="49" t="s">
        <v>10466</v>
      </c>
    </row>
    <row r="15076" spans="1:2">
      <c r="A15076" s="66">
        <v>46072.382348356477</v>
      </c>
      <c r="B15076" s="49" t="s">
        <v>10605</v>
      </c>
    </row>
    <row r="15077" spans="1:2">
      <c r="A15077" s="66">
        <v>46072.382350960645</v>
      </c>
      <c r="B15077" s="49" t="s">
        <v>10562</v>
      </c>
    </row>
    <row r="15078" spans="1:2">
      <c r="A15078" s="66">
        <v>46072.382353541667</v>
      </c>
      <c r="B15078" s="49" t="s">
        <v>10606</v>
      </c>
    </row>
    <row r="15079" spans="1:2">
      <c r="A15079" s="66">
        <v>46072.383569305559</v>
      </c>
      <c r="B15079" s="49" t="s">
        <v>10556</v>
      </c>
    </row>
    <row r="15080" spans="1:2">
      <c r="A15080" s="66">
        <v>46072.383572303239</v>
      </c>
      <c r="B15080" s="49" t="s">
        <v>10603</v>
      </c>
    </row>
    <row r="15081" spans="1:2">
      <c r="A15081" s="66">
        <v>46072.383574965279</v>
      </c>
      <c r="B15081" s="49" t="s">
        <v>10604</v>
      </c>
    </row>
    <row r="15082" spans="1:2">
      <c r="A15082" s="66">
        <v>46072.383576967593</v>
      </c>
      <c r="B15082" s="49" t="s">
        <v>10466</v>
      </c>
    </row>
    <row r="15083" spans="1:2">
      <c r="A15083" s="66">
        <v>46072.383579583329</v>
      </c>
      <c r="B15083" s="49" t="s">
        <v>10605</v>
      </c>
    </row>
    <row r="15084" spans="1:2">
      <c r="A15084" s="66">
        <v>46072.383582152775</v>
      </c>
      <c r="B15084" s="49" t="s">
        <v>10562</v>
      </c>
    </row>
    <row r="15085" spans="1:2">
      <c r="A15085" s="66">
        <v>46072.383589803241</v>
      </c>
      <c r="B15085" s="49" t="s">
        <v>10606</v>
      </c>
    </row>
    <row r="15086" spans="1:2">
      <c r="A15086" s="66">
        <v>46072.384500601853</v>
      </c>
      <c r="B15086" s="49" t="s">
        <v>10556</v>
      </c>
    </row>
    <row r="15087" spans="1:2">
      <c r="A15087" s="66">
        <v>46072.384503738431</v>
      </c>
      <c r="B15087" s="49" t="s">
        <v>10603</v>
      </c>
    </row>
    <row r="15088" spans="1:2">
      <c r="A15088" s="66">
        <v>46072.384510046293</v>
      </c>
      <c r="B15088" s="49" t="s">
        <v>10604</v>
      </c>
    </row>
    <row r="15089" spans="1:2">
      <c r="A15089" s="66">
        <v>46072.384513032404</v>
      </c>
      <c r="B15089" s="49" t="s">
        <v>10466</v>
      </c>
    </row>
    <row r="15090" spans="1:2">
      <c r="A15090" s="66">
        <v>46072.384515636571</v>
      </c>
      <c r="B15090" s="49" t="s">
        <v>10605</v>
      </c>
    </row>
    <row r="15091" spans="1:2">
      <c r="A15091" s="66">
        <v>46072.384518194449</v>
      </c>
      <c r="B15091" s="49" t="s">
        <v>10562</v>
      </c>
    </row>
    <row r="15092" spans="1:2">
      <c r="A15092" s="66">
        <v>46072.384521643515</v>
      </c>
      <c r="B15092" s="49" t="s">
        <v>10606</v>
      </c>
    </row>
    <row r="15093" spans="1:2">
      <c r="A15093" s="66">
        <v>46072.385922858797</v>
      </c>
      <c r="B15093" s="49" t="s">
        <v>10556</v>
      </c>
    </row>
    <row r="15094" spans="1:2">
      <c r="A15094" s="66">
        <v>46072.385925497685</v>
      </c>
      <c r="B15094" s="49" t="s">
        <v>10603</v>
      </c>
    </row>
    <row r="15095" spans="1:2">
      <c r="A15095" s="66">
        <v>46072.385928981486</v>
      </c>
      <c r="B15095" s="49" t="s">
        <v>10604</v>
      </c>
    </row>
    <row r="15096" spans="1:2">
      <c r="A15096" s="66">
        <v>46072.385931122684</v>
      </c>
      <c r="B15096" s="49" t="s">
        <v>10466</v>
      </c>
    </row>
    <row r="15097" spans="1:2">
      <c r="A15097" s="66">
        <v>46072.385934074075</v>
      </c>
      <c r="B15097" s="49" t="s">
        <v>10605</v>
      </c>
    </row>
    <row r="15098" spans="1:2">
      <c r="A15098" s="66">
        <v>46072.38593650463</v>
      </c>
      <c r="B15098" s="49" t="s">
        <v>10562</v>
      </c>
    </row>
    <row r="15099" spans="1:2">
      <c r="A15099" s="66">
        <v>46072.385939328698</v>
      </c>
      <c r="B15099" s="49" t="s">
        <v>10606</v>
      </c>
    </row>
    <row r="15100" spans="1:2">
      <c r="A15100" s="66">
        <v>46072.387155763892</v>
      </c>
      <c r="B15100" s="49" t="s">
        <v>10556</v>
      </c>
    </row>
    <row r="15101" spans="1:2">
      <c r="A15101" s="66">
        <v>46072.387158171296</v>
      </c>
      <c r="B15101" s="49" t="s">
        <v>10603</v>
      </c>
    </row>
    <row r="15102" spans="1:2">
      <c r="A15102" s="66">
        <v>46072.387161481485</v>
      </c>
      <c r="B15102" s="49" t="s">
        <v>10604</v>
      </c>
    </row>
    <row r="15103" spans="1:2">
      <c r="A15103" s="66">
        <v>46072.387170347225</v>
      </c>
      <c r="B15103" s="49" t="s">
        <v>10466</v>
      </c>
    </row>
    <row r="15104" spans="1:2">
      <c r="A15104" s="66">
        <v>46072.387173622687</v>
      </c>
      <c r="B15104" s="49" t="s">
        <v>10605</v>
      </c>
    </row>
    <row r="15105" spans="1:2">
      <c r="A15105" s="66">
        <v>46072.387175810189</v>
      </c>
      <c r="B15105" s="49" t="s">
        <v>10562</v>
      </c>
    </row>
    <row r="15106" spans="1:2">
      <c r="A15106" s="66">
        <v>46072.387186712964</v>
      </c>
      <c r="B15106" s="49" t="s">
        <v>10606</v>
      </c>
    </row>
    <row r="15107" spans="1:2">
      <c r="A15107" s="66">
        <v>46072.388503391208</v>
      </c>
      <c r="B15107" s="49" t="s">
        <v>10556</v>
      </c>
    </row>
    <row r="15108" spans="1:2">
      <c r="A15108" s="66">
        <v>46072.388509756944</v>
      </c>
      <c r="B15108" s="49" t="s">
        <v>10603</v>
      </c>
    </row>
    <row r="15109" spans="1:2">
      <c r="A15109" s="66">
        <v>46072.388511805555</v>
      </c>
      <c r="B15109" s="49" t="s">
        <v>10604</v>
      </c>
    </row>
    <row r="15110" spans="1:2">
      <c r="A15110" s="66">
        <v>46072.388513993057</v>
      </c>
      <c r="B15110" s="49" t="s">
        <v>10466</v>
      </c>
    </row>
    <row r="15111" spans="1:2">
      <c r="A15111" s="66">
        <v>46072.388517118059</v>
      </c>
      <c r="B15111" s="49" t="s">
        <v>10605</v>
      </c>
    </row>
    <row r="15112" spans="1:2">
      <c r="A15112" s="66">
        <v>46072.38852659722</v>
      </c>
      <c r="B15112" s="49" t="s">
        <v>10562</v>
      </c>
    </row>
    <row r="15113" spans="1:2">
      <c r="A15113" s="66">
        <v>46072.38852857639</v>
      </c>
      <c r="B15113" s="49" t="s">
        <v>10606</v>
      </c>
    </row>
    <row r="15114" spans="1:2">
      <c r="A15114" s="66">
        <v>46072.389649525459</v>
      </c>
      <c r="B15114" s="49" t="s">
        <v>10556</v>
      </c>
    </row>
    <row r="15115" spans="1:2">
      <c r="A15115" s="66">
        <v>46072.389651620368</v>
      </c>
      <c r="B15115" s="49" t="s">
        <v>10603</v>
      </c>
    </row>
    <row r="15116" spans="1:2">
      <c r="A15116" s="66">
        <v>46072.389653715276</v>
      </c>
      <c r="B15116" s="49" t="s">
        <v>10604</v>
      </c>
    </row>
    <row r="15117" spans="1:2">
      <c r="A15117" s="66">
        <v>46072.389655393519</v>
      </c>
      <c r="B15117" s="49" t="s">
        <v>10466</v>
      </c>
    </row>
    <row r="15118" spans="1:2">
      <c r="A15118" s="66">
        <v>46072.389657349537</v>
      </c>
      <c r="B15118" s="49" t="s">
        <v>10605</v>
      </c>
    </row>
    <row r="15119" spans="1:2">
      <c r="A15119" s="66">
        <v>46072.389660300927</v>
      </c>
      <c r="B15119" s="49" t="s">
        <v>10562</v>
      </c>
    </row>
    <row r="15120" spans="1:2">
      <c r="A15120" s="66">
        <v>46072.389662743051</v>
      </c>
      <c r="B15120" s="49" t="s">
        <v>10606</v>
      </c>
    </row>
    <row r="15121" spans="1:2">
      <c r="A15121" s="66">
        <v>46072.390910439819</v>
      </c>
      <c r="B15121" s="49" t="s">
        <v>10556</v>
      </c>
    </row>
    <row r="15122" spans="1:2">
      <c r="A15122" s="66">
        <v>46072.390912604169</v>
      </c>
      <c r="B15122" s="49" t="s">
        <v>10603</v>
      </c>
    </row>
    <row r="15123" spans="1:2">
      <c r="A15123" s="66">
        <v>46072.39091519676</v>
      </c>
      <c r="B15123" s="49" t="s">
        <v>10604</v>
      </c>
    </row>
    <row r="15124" spans="1:2">
      <c r="A15124" s="66">
        <v>46072.390919733793</v>
      </c>
      <c r="B15124" s="49" t="s">
        <v>10466</v>
      </c>
    </row>
    <row r="15125" spans="1:2">
      <c r="A15125" s="66">
        <v>46072.390922048609</v>
      </c>
      <c r="B15125" s="49" t="s">
        <v>10605</v>
      </c>
    </row>
    <row r="15126" spans="1:2">
      <c r="A15126" s="66">
        <v>46072.390923865736</v>
      </c>
      <c r="B15126" s="49" t="s">
        <v>10562</v>
      </c>
    </row>
    <row r="15127" spans="1:2">
      <c r="A15127" s="66">
        <v>46072.390930879628</v>
      </c>
      <c r="B15127" s="49" t="s">
        <v>10606</v>
      </c>
    </row>
    <row r="15128" spans="1:2">
      <c r="A15128" s="66">
        <v>46072.391858761577</v>
      </c>
      <c r="B15128" s="49" t="s">
        <v>10556</v>
      </c>
    </row>
    <row r="15129" spans="1:2">
      <c r="A15129" s="66">
        <v>46072.391862615739</v>
      </c>
      <c r="B15129" s="49" t="s">
        <v>10603</v>
      </c>
    </row>
    <row r="15130" spans="1:2">
      <c r="A15130" s="66">
        <v>46072.391865138889</v>
      </c>
      <c r="B15130" s="49" t="s">
        <v>10604</v>
      </c>
    </row>
    <row r="15131" spans="1:2">
      <c r="A15131" s="66">
        <v>46072.391867349535</v>
      </c>
      <c r="B15131" s="49" t="s">
        <v>10466</v>
      </c>
    </row>
    <row r="15132" spans="1:2">
      <c r="A15132" s="66">
        <v>46072.391869826388</v>
      </c>
      <c r="B15132" s="49" t="s">
        <v>10605</v>
      </c>
    </row>
    <row r="15133" spans="1:2">
      <c r="A15133" s="66">
        <v>46072.39187255787</v>
      </c>
      <c r="B15133" s="49" t="s">
        <v>10562</v>
      </c>
    </row>
    <row r="15134" spans="1:2">
      <c r="A15134" s="66">
        <v>46072.39187472222</v>
      </c>
      <c r="B15134" s="49" t="s">
        <v>10606</v>
      </c>
    </row>
    <row r="15135" spans="1:2">
      <c r="A15135" s="66">
        <v>46072.393102638889</v>
      </c>
      <c r="B15135" s="49" t="s">
        <v>10556</v>
      </c>
    </row>
    <row r="15136" spans="1:2">
      <c r="A15136" s="66">
        <v>46072.39310627315</v>
      </c>
      <c r="B15136" s="49" t="s">
        <v>10603</v>
      </c>
    </row>
    <row r="15137" spans="1:2">
      <c r="A15137" s="66">
        <v>46072.393109108802</v>
      </c>
      <c r="B15137" s="49" t="s">
        <v>10604</v>
      </c>
    </row>
    <row r="15138" spans="1:2">
      <c r="A15138" s="66">
        <v>46072.3931118287</v>
      </c>
      <c r="B15138" s="49" t="s">
        <v>10466</v>
      </c>
    </row>
    <row r="15139" spans="1:2">
      <c r="A15139" s="66">
        <v>46072.393114895836</v>
      </c>
      <c r="B15139" s="49" t="s">
        <v>10605</v>
      </c>
    </row>
    <row r="15140" spans="1:2">
      <c r="A15140" s="66">
        <v>46072.393117476851</v>
      </c>
      <c r="B15140" s="49" t="s">
        <v>10562</v>
      </c>
    </row>
    <row r="15141" spans="1:2">
      <c r="A15141" s="66">
        <v>46072.393120428242</v>
      </c>
      <c r="B15141" s="49" t="s">
        <v>10606</v>
      </c>
    </row>
    <row r="15142" spans="1:2">
      <c r="A15142" s="66">
        <v>46072.393885682875</v>
      </c>
      <c r="B15142" s="49" t="s">
        <v>10556</v>
      </c>
    </row>
    <row r="15143" spans="1:2">
      <c r="A15143" s="66">
        <v>46072.393889189814</v>
      </c>
      <c r="B15143" s="49" t="s">
        <v>10603</v>
      </c>
    </row>
    <row r="15144" spans="1:2">
      <c r="A15144" s="66">
        <v>46072.393892187501</v>
      </c>
      <c r="B15144" s="49" t="s">
        <v>10604</v>
      </c>
    </row>
    <row r="15145" spans="1:2">
      <c r="A15145" s="66">
        <v>46072.393895243054</v>
      </c>
      <c r="B15145" s="49" t="s">
        <v>10466</v>
      </c>
    </row>
    <row r="15146" spans="1:2">
      <c r="A15146" s="66">
        <v>46072.393902951386</v>
      </c>
      <c r="B15146" s="49" t="s">
        <v>10605</v>
      </c>
    </row>
    <row r="15147" spans="1:2">
      <c r="A15147" s="66">
        <v>46072.3939068287</v>
      </c>
      <c r="B15147" s="49" t="s">
        <v>10562</v>
      </c>
    </row>
    <row r="15148" spans="1:2">
      <c r="A15148" s="66">
        <v>46072.393909895836</v>
      </c>
      <c r="B15148" s="49" t="s">
        <v>10606</v>
      </c>
    </row>
    <row r="15149" spans="1:2">
      <c r="A15149" s="66">
        <v>46072.395026759259</v>
      </c>
      <c r="B15149" s="49" t="s">
        <v>10556</v>
      </c>
    </row>
    <row r="15150" spans="1:2">
      <c r="A15150" s="66">
        <v>46072.395029629624</v>
      </c>
      <c r="B15150" s="49" t="s">
        <v>10603</v>
      </c>
    </row>
    <row r="15151" spans="1:2">
      <c r="A15151" s="66">
        <v>46072.39503274305</v>
      </c>
      <c r="B15151" s="49" t="s">
        <v>10604</v>
      </c>
    </row>
    <row r="15152" spans="1:2">
      <c r="A15152" s="66">
        <v>46072.395035937501</v>
      </c>
      <c r="B15152" s="49" t="s">
        <v>10466</v>
      </c>
    </row>
    <row r="15153" spans="1:2">
      <c r="A15153" s="66">
        <v>46072.395039120369</v>
      </c>
      <c r="B15153" s="49" t="s">
        <v>10605</v>
      </c>
    </row>
    <row r="15154" spans="1:2">
      <c r="A15154" s="66">
        <v>46072.395041655094</v>
      </c>
      <c r="B15154" s="49" t="s">
        <v>10562</v>
      </c>
    </row>
    <row r="15155" spans="1:2">
      <c r="A15155" s="66">
        <v>46072.395045081023</v>
      </c>
      <c r="B15155" s="49" t="s">
        <v>10606</v>
      </c>
    </row>
    <row r="15156" spans="1:2">
      <c r="A15156" s="66">
        <v>46072.396458101852</v>
      </c>
      <c r="B15156" s="49" t="s">
        <v>10556</v>
      </c>
    </row>
    <row r="15157" spans="1:2">
      <c r="A15157" s="66">
        <v>46072.396465034719</v>
      </c>
      <c r="B15157" s="49" t="s">
        <v>10603</v>
      </c>
    </row>
    <row r="15158" spans="1:2">
      <c r="A15158" s="66">
        <v>46072.396467453698</v>
      </c>
      <c r="B15158" s="49" t="s">
        <v>10604</v>
      </c>
    </row>
    <row r="15159" spans="1:2">
      <c r="A15159" s="66">
        <v>46072.396469837964</v>
      </c>
      <c r="B15159" s="49" t="s">
        <v>10466</v>
      </c>
    </row>
    <row r="15160" spans="1:2">
      <c r="A15160" s="66">
        <v>46072.39647226852</v>
      </c>
      <c r="B15160" s="49" t="s">
        <v>10605</v>
      </c>
    </row>
    <row r="15161" spans="1:2">
      <c r="A15161" s="66">
        <v>46072.396475381945</v>
      </c>
      <c r="B15161" s="49" t="s">
        <v>10562</v>
      </c>
    </row>
    <row r="15162" spans="1:2">
      <c r="A15162" s="66">
        <v>46072.396478831019</v>
      </c>
      <c r="B15162" s="49" t="s">
        <v>10606</v>
      </c>
    </row>
    <row r="15163" spans="1:2">
      <c r="A15163" s="66">
        <v>46072.397396817134</v>
      </c>
      <c r="B15163" s="49" t="s">
        <v>10556</v>
      </c>
    </row>
    <row r="15164" spans="1:2">
      <c r="A15164" s="66">
        <v>46072.397399467591</v>
      </c>
      <c r="B15164" s="49" t="s">
        <v>10603</v>
      </c>
    </row>
    <row r="15165" spans="1:2">
      <c r="A15165" s="66">
        <v>46072.397402106479</v>
      </c>
      <c r="B15165" s="49" t="s">
        <v>10604</v>
      </c>
    </row>
    <row r="15166" spans="1:2">
      <c r="A15166" s="66">
        <v>46072.397404421296</v>
      </c>
      <c r="B15166" s="49" t="s">
        <v>10466</v>
      </c>
    </row>
    <row r="15167" spans="1:2">
      <c r="A15167" s="66">
        <v>46072.397407824072</v>
      </c>
      <c r="B15167" s="49" t="s">
        <v>10605</v>
      </c>
    </row>
    <row r="15168" spans="1:2">
      <c r="A15168" s="66">
        <v>46072.397412048609</v>
      </c>
      <c r="B15168" s="49" t="s">
        <v>10562</v>
      </c>
    </row>
    <row r="15169" spans="1:2">
      <c r="A15169" s="66">
        <v>46072.397414999999</v>
      </c>
      <c r="B15169" s="49" t="s">
        <v>10606</v>
      </c>
    </row>
    <row r="15170" spans="1:2">
      <c r="A15170" s="66">
        <v>46072.398414456024</v>
      </c>
      <c r="B15170" s="49" t="s">
        <v>10556</v>
      </c>
    </row>
    <row r="15171" spans="1:2">
      <c r="A15171" s="66">
        <v>46072.398417199074</v>
      </c>
      <c r="B15171" s="49" t="s">
        <v>10603</v>
      </c>
    </row>
    <row r="15172" spans="1:2">
      <c r="A15172" s="66">
        <v>46072.398419872683</v>
      </c>
      <c r="B15172" s="49" t="s">
        <v>10604</v>
      </c>
    </row>
    <row r="15173" spans="1:2">
      <c r="A15173" s="66">
        <v>46072.39842268519</v>
      </c>
      <c r="B15173" s="49" t="s">
        <v>10466</v>
      </c>
    </row>
    <row r="15174" spans="1:2">
      <c r="A15174" s="66">
        <v>46072.39842568287</v>
      </c>
      <c r="B15174" s="49" t="s">
        <v>10605</v>
      </c>
    </row>
    <row r="15175" spans="1:2">
      <c r="A15175" s="66">
        <v>46072.398435717594</v>
      </c>
      <c r="B15175" s="49" t="s">
        <v>10562</v>
      </c>
    </row>
    <row r="15176" spans="1:2">
      <c r="A15176" s="66">
        <v>46072.398438645832</v>
      </c>
      <c r="B15176" s="49" t="s">
        <v>10606</v>
      </c>
    </row>
    <row r="15177" spans="1:2">
      <c r="A15177" s="66">
        <v>46072.399410740742</v>
      </c>
      <c r="B15177" s="49" t="s">
        <v>10556</v>
      </c>
    </row>
    <row r="15178" spans="1:2">
      <c r="A15178" s="66">
        <v>46072.399413217594</v>
      </c>
      <c r="B15178" s="49" t="s">
        <v>10603</v>
      </c>
    </row>
    <row r="15179" spans="1:2">
      <c r="A15179" s="66">
        <v>46072.399415763888</v>
      </c>
      <c r="B15179" s="49" t="s">
        <v>10604</v>
      </c>
    </row>
    <row r="15180" spans="1:2">
      <c r="A15180" s="66">
        <v>46072.399418078705</v>
      </c>
      <c r="B15180" s="49" t="s">
        <v>10466</v>
      </c>
    </row>
    <row r="15181" spans="1:2">
      <c r="A15181" s="66">
        <v>46072.39942037037</v>
      </c>
      <c r="B15181" s="49" t="s">
        <v>10605</v>
      </c>
    </row>
    <row r="15182" spans="1:2">
      <c r="A15182" s="66">
        <v>46072.399423113427</v>
      </c>
      <c r="B15182" s="49" t="s">
        <v>10562</v>
      </c>
    </row>
    <row r="15183" spans="1:2">
      <c r="A15183" s="66">
        <v>46072.399425717595</v>
      </c>
      <c r="B15183" s="49" t="s">
        <v>10606</v>
      </c>
    </row>
    <row r="15184" spans="1:2">
      <c r="A15184" s="66">
        <v>46072.400177986114</v>
      </c>
      <c r="B15184" s="49" t="s">
        <v>10556</v>
      </c>
    </row>
    <row r="15185" spans="1:2">
      <c r="A15185" s="66">
        <v>46072.40018138889</v>
      </c>
      <c r="B15185" s="49" t="s">
        <v>10603</v>
      </c>
    </row>
    <row r="15186" spans="1:2">
      <c r="A15186" s="66">
        <v>46072.400184606478</v>
      </c>
      <c r="B15186" s="49" t="s">
        <v>10604</v>
      </c>
    </row>
    <row r="15187" spans="1:2">
      <c r="A15187" s="66">
        <v>46072.400187511579</v>
      </c>
      <c r="B15187" s="49" t="s">
        <v>10466</v>
      </c>
    </row>
    <row r="15188" spans="1:2">
      <c r="A15188" s="66">
        <v>46072.400194421294</v>
      </c>
      <c r="B15188" s="49" t="s">
        <v>10605</v>
      </c>
    </row>
    <row r="15189" spans="1:2">
      <c r="A15189" s="66">
        <v>46072.400197592593</v>
      </c>
      <c r="B15189" s="49" t="s">
        <v>10562</v>
      </c>
    </row>
    <row r="15190" spans="1:2">
      <c r="A15190" s="66">
        <v>46072.400200694443</v>
      </c>
      <c r="B15190" s="49" t="s">
        <v>10606</v>
      </c>
    </row>
    <row r="15191" spans="1:2">
      <c r="A15191" s="66">
        <v>46072.400990810187</v>
      </c>
      <c r="B15191" s="49" t="s">
        <v>10556</v>
      </c>
    </row>
    <row r="15192" spans="1:2">
      <c r="A15192" s="66">
        <v>46072.400994351847</v>
      </c>
      <c r="B15192" s="49" t="s">
        <v>10603</v>
      </c>
    </row>
    <row r="15193" spans="1:2">
      <c r="A15193" s="66">
        <v>46072.400996481483</v>
      </c>
      <c r="B15193" s="49" t="s">
        <v>10604</v>
      </c>
    </row>
    <row r="15194" spans="1:2">
      <c r="A15194" s="66">
        <v>46072.400998599536</v>
      </c>
      <c r="B15194" s="49" t="s">
        <v>10466</v>
      </c>
    </row>
    <row r="15195" spans="1:2">
      <c r="A15195" s="66">
        <v>46072.40100125</v>
      </c>
      <c r="B15195" s="49" t="s">
        <v>10605</v>
      </c>
    </row>
    <row r="15196" spans="1:2">
      <c r="A15196" s="66">
        <v>46072.401003634259</v>
      </c>
      <c r="B15196" s="49" t="s">
        <v>10562</v>
      </c>
    </row>
    <row r="15197" spans="1:2">
      <c r="A15197" s="66">
        <v>46072.401006030093</v>
      </c>
      <c r="B15197" s="49" t="s">
        <v>10606</v>
      </c>
    </row>
    <row r="15198" spans="1:2">
      <c r="A15198" s="66">
        <v>46072.401888692126</v>
      </c>
      <c r="B15198" s="49" t="s">
        <v>10556</v>
      </c>
    </row>
    <row r="15199" spans="1:2">
      <c r="A15199" s="66">
        <v>46072.401893657407</v>
      </c>
      <c r="B15199" s="49" t="s">
        <v>10603</v>
      </c>
    </row>
    <row r="15200" spans="1:2">
      <c r="A15200" s="66">
        <v>46072.401896724536</v>
      </c>
      <c r="B15200" s="49" t="s">
        <v>10604</v>
      </c>
    </row>
    <row r="15201" spans="1:2">
      <c r="A15201" s="66">
        <v>46072.401900937504</v>
      </c>
      <c r="B15201" s="49" t="s">
        <v>10466</v>
      </c>
    </row>
    <row r="15202" spans="1:2">
      <c r="A15202" s="66">
        <v>46072.401904247687</v>
      </c>
      <c r="B15202" s="49" t="s">
        <v>10605</v>
      </c>
    </row>
    <row r="15203" spans="1:2">
      <c r="A15203" s="66">
        <v>46072.401908645828</v>
      </c>
      <c r="B15203" s="49" t="s">
        <v>10562</v>
      </c>
    </row>
    <row r="15204" spans="1:2">
      <c r="A15204" s="66">
        <v>46072.401912083333</v>
      </c>
      <c r="B15204" s="49" t="s">
        <v>10606</v>
      </c>
    </row>
    <row r="15205" spans="1:2">
      <c r="A15205" s="66">
        <v>46072.403013125004</v>
      </c>
      <c r="B15205" s="49" t="s">
        <v>10556</v>
      </c>
    </row>
    <row r="15206" spans="1:2">
      <c r="A15206" s="66">
        <v>46072.403015347227</v>
      </c>
      <c r="B15206" s="49" t="s">
        <v>10603</v>
      </c>
    </row>
    <row r="15207" spans="1:2">
      <c r="A15207" s="66">
        <v>46072.403018483797</v>
      </c>
      <c r="B15207" s="49" t="s">
        <v>10604</v>
      </c>
    </row>
    <row r="15208" spans="1:2">
      <c r="A15208" s="66">
        <v>46072.403021412036</v>
      </c>
      <c r="B15208" s="49" t="s">
        <v>10466</v>
      </c>
    </row>
    <row r="15209" spans="1:2">
      <c r="A15209" s="66">
        <v>46072.40302643519</v>
      </c>
      <c r="B15209" s="49" t="s">
        <v>10605</v>
      </c>
    </row>
    <row r="15210" spans="1:2">
      <c r="A15210" s="66">
        <v>46072.403028379631</v>
      </c>
      <c r="B15210" s="49" t="s">
        <v>10562</v>
      </c>
    </row>
    <row r="15211" spans="1:2">
      <c r="A15211" s="66">
        <v>46072.403030543981</v>
      </c>
      <c r="B15211" s="49" t="s">
        <v>10606</v>
      </c>
    </row>
    <row r="15212" spans="1:2">
      <c r="A15212" s="66">
        <v>46072.403951388886</v>
      </c>
      <c r="B15212" s="49" t="s">
        <v>10556</v>
      </c>
    </row>
    <row r="15213" spans="1:2">
      <c r="A15213" s="66">
        <v>46072.403953483794</v>
      </c>
      <c r="B15213" s="49" t="s">
        <v>10603</v>
      </c>
    </row>
    <row r="15214" spans="1:2">
      <c r="A15214" s="66">
        <v>46072.403955555557</v>
      </c>
      <c r="B15214" s="49" t="s">
        <v>10604</v>
      </c>
    </row>
    <row r="15215" spans="1:2">
      <c r="A15215" s="66">
        <v>46072.40395738426</v>
      </c>
      <c r="B15215" s="49" t="s">
        <v>10466</v>
      </c>
    </row>
    <row r="15216" spans="1:2">
      <c r="A15216" s="66">
        <v>46072.403959328702</v>
      </c>
      <c r="B15216" s="49" t="s">
        <v>10605</v>
      </c>
    </row>
    <row r="15217" spans="1:2">
      <c r="A15217" s="66">
        <v>46072.4039619213</v>
      </c>
      <c r="B15217" s="49" t="s">
        <v>10562</v>
      </c>
    </row>
    <row r="15218" spans="1:2">
      <c r="A15218" s="66">
        <v>46072.403963738427</v>
      </c>
      <c r="B15218" s="49" t="s">
        <v>10606</v>
      </c>
    </row>
    <row r="15219" spans="1:2">
      <c r="A15219" s="66">
        <v>46072.40482945602</v>
      </c>
      <c r="B15219" s="49" t="s">
        <v>10556</v>
      </c>
    </row>
    <row r="15220" spans="1:2">
      <c r="A15220" s="66">
        <v>46072.404832719913</v>
      </c>
      <c r="B15220" s="49" t="s">
        <v>10603</v>
      </c>
    </row>
    <row r="15221" spans="1:2">
      <c r="A15221" s="66">
        <v>46072.404835810186</v>
      </c>
      <c r="B15221" s="49" t="s">
        <v>10604</v>
      </c>
    </row>
    <row r="15222" spans="1:2">
      <c r="A15222" s="66">
        <v>46072.404838842587</v>
      </c>
      <c r="B15222" s="49" t="s">
        <v>10466</v>
      </c>
    </row>
    <row r="15223" spans="1:2">
      <c r="A15223" s="66">
        <v>46072.404842199074</v>
      </c>
      <c r="B15223" s="49" t="s">
        <v>10605</v>
      </c>
    </row>
    <row r="15224" spans="1:2">
      <c r="A15224" s="66">
        <v>46072.404845370373</v>
      </c>
      <c r="B15224" s="49" t="s">
        <v>10562</v>
      </c>
    </row>
    <row r="15225" spans="1:2">
      <c r="A15225" s="66">
        <v>46072.404852418986</v>
      </c>
      <c r="B15225" s="49" t="s">
        <v>10606</v>
      </c>
    </row>
    <row r="15226" spans="1:2">
      <c r="A15226" s="66">
        <v>46072.406055636573</v>
      </c>
      <c r="B15226" s="49" t="s">
        <v>10556</v>
      </c>
    </row>
    <row r="15227" spans="1:2">
      <c r="A15227" s="66">
        <v>46072.406058055552</v>
      </c>
      <c r="B15227" s="49" t="s">
        <v>10603</v>
      </c>
    </row>
    <row r="15228" spans="1:2">
      <c r="A15228" s="66">
        <v>46072.406060844907</v>
      </c>
      <c r="B15228" s="49" t="s">
        <v>10604</v>
      </c>
    </row>
    <row r="15229" spans="1:2">
      <c r="A15229" s="66">
        <v>46072.406063796298</v>
      </c>
      <c r="B15229" s="49" t="s">
        <v>10466</v>
      </c>
    </row>
    <row r="15230" spans="1:2">
      <c r="A15230" s="66">
        <v>46072.406066435185</v>
      </c>
      <c r="B15230" s="49" t="s">
        <v>10605</v>
      </c>
    </row>
    <row r="15231" spans="1:2">
      <c r="A15231" s="66">
        <v>46072.406069328703</v>
      </c>
      <c r="B15231" s="49" t="s">
        <v>10562</v>
      </c>
    </row>
    <row r="15232" spans="1:2">
      <c r="A15232" s="66">
        <v>46072.406071828707</v>
      </c>
      <c r="B15232" s="49" t="s">
        <v>10606</v>
      </c>
    </row>
    <row r="15233" spans="1:2">
      <c r="A15233" s="66">
        <v>46072.407213935185</v>
      </c>
      <c r="B15233" s="49" t="s">
        <v>10556</v>
      </c>
    </row>
    <row r="15234" spans="1:2">
      <c r="A15234" s="66">
        <v>46072.407216238425</v>
      </c>
      <c r="B15234" s="49" t="s">
        <v>10603</v>
      </c>
    </row>
    <row r="15235" spans="1:2">
      <c r="A15235" s="66">
        <v>46072.407218877313</v>
      </c>
      <c r="B15235" s="49" t="s">
        <v>10604</v>
      </c>
    </row>
    <row r="15236" spans="1:2">
      <c r="A15236" s="66">
        <v>46072.407221099536</v>
      </c>
      <c r="B15236" s="49" t="s">
        <v>10466</v>
      </c>
    </row>
    <row r="15237" spans="1:2">
      <c r="A15237" s="66">
        <v>46072.407222893518</v>
      </c>
      <c r="B15237" s="49" t="s">
        <v>10605</v>
      </c>
    </row>
    <row r="15238" spans="1:2">
      <c r="A15238" s="66">
        <v>46072.40722724537</v>
      </c>
      <c r="B15238" s="49" t="s">
        <v>10562</v>
      </c>
    </row>
    <row r="15239" spans="1:2">
      <c r="A15239" s="66">
        <v>46072.407230208337</v>
      </c>
      <c r="B15239" s="49" t="s">
        <v>10606</v>
      </c>
    </row>
    <row r="15240" spans="1:2">
      <c r="A15240" s="66">
        <v>46072.407945497689</v>
      </c>
      <c r="B15240" s="49" t="s">
        <v>10556</v>
      </c>
    </row>
    <row r="15241" spans="1:2">
      <c r="A15241" s="66">
        <v>46072.407947557869</v>
      </c>
      <c r="B15241" s="49" t="s">
        <v>10603</v>
      </c>
    </row>
    <row r="15242" spans="1:2">
      <c r="A15242" s="66">
        <v>46072.407952013891</v>
      </c>
      <c r="B15242" s="49" t="s">
        <v>10604</v>
      </c>
    </row>
    <row r="15243" spans="1:2">
      <c r="A15243" s="66">
        <v>46072.40795400463</v>
      </c>
      <c r="B15243" s="49" t="s">
        <v>10466</v>
      </c>
    </row>
    <row r="15244" spans="1:2">
      <c r="A15244" s="66">
        <v>46072.407956643518</v>
      </c>
      <c r="B15244" s="49" t="s">
        <v>10605</v>
      </c>
    </row>
    <row r="15245" spans="1:2">
      <c r="A15245" s="66">
        <v>46072.407958842596</v>
      </c>
      <c r="B15245" s="49" t="s">
        <v>10562</v>
      </c>
    </row>
    <row r="15246" spans="1:2">
      <c r="A15246" s="66">
        <v>46072.4079608912</v>
      </c>
      <c r="B15246" s="49" t="s">
        <v>10606</v>
      </c>
    </row>
    <row r="15247" spans="1:2">
      <c r="A15247" s="66">
        <v>46072.409033634263</v>
      </c>
      <c r="B15247" s="49" t="s">
        <v>10556</v>
      </c>
    </row>
    <row r="15248" spans="1:2">
      <c r="A15248" s="66">
        <v>46072.409041076389</v>
      </c>
      <c r="B15248" s="49" t="s">
        <v>10603</v>
      </c>
    </row>
    <row r="15249" spans="1:2">
      <c r="A15249" s="66">
        <v>46072.409043460648</v>
      </c>
      <c r="B15249" s="49" t="s">
        <v>10604</v>
      </c>
    </row>
    <row r="15250" spans="1:2">
      <c r="A15250" s="66">
        <v>46072.409046122688</v>
      </c>
      <c r="B15250" s="49" t="s">
        <v>10466</v>
      </c>
    </row>
    <row r="15251" spans="1:2">
      <c r="A15251" s="66">
        <v>46072.409048773145</v>
      </c>
      <c r="B15251" s="49" t="s">
        <v>10605</v>
      </c>
    </row>
    <row r="15252" spans="1:2">
      <c r="A15252" s="66">
        <v>46072.409051249997</v>
      </c>
      <c r="B15252" s="49" t="s">
        <v>10562</v>
      </c>
    </row>
    <row r="15253" spans="1:2">
      <c r="A15253" s="66">
        <v>46072.40905480324</v>
      </c>
      <c r="B15253" s="49" t="s">
        <v>10606</v>
      </c>
    </row>
    <row r="15254" spans="1:2">
      <c r="A15254" s="66">
        <v>46072.409863692126</v>
      </c>
      <c r="B15254" s="49" t="s">
        <v>10556</v>
      </c>
    </row>
    <row r="15255" spans="1:2">
      <c r="A15255" s="66">
        <v>46072.409865879628</v>
      </c>
      <c r="B15255" s="49" t="s">
        <v>10603</v>
      </c>
    </row>
    <row r="15256" spans="1:2">
      <c r="A15256" s="66">
        <v>46072.40986803241</v>
      </c>
      <c r="B15256" s="49" t="s">
        <v>10604</v>
      </c>
    </row>
    <row r="15257" spans="1:2">
      <c r="A15257" s="66">
        <v>46072.40987087963</v>
      </c>
      <c r="B15257" s="49" t="s">
        <v>10466</v>
      </c>
    </row>
    <row r="15258" spans="1:2">
      <c r="A15258" s="66">
        <v>46072.409873321754</v>
      </c>
      <c r="B15258" s="49" t="s">
        <v>10605</v>
      </c>
    </row>
    <row r="15259" spans="1:2">
      <c r="A15259" s="66">
        <v>46072.409875520832</v>
      </c>
      <c r="B15259" s="49" t="s">
        <v>10562</v>
      </c>
    </row>
    <row r="15260" spans="1:2">
      <c r="A15260" s="66">
        <v>46072.409885138884</v>
      </c>
      <c r="B15260" s="49" t="s">
        <v>10606</v>
      </c>
    </row>
    <row r="15261" spans="1:2">
      <c r="A15261" s="66">
        <v>46072.410672928236</v>
      </c>
      <c r="B15261" s="49" t="s">
        <v>10556</v>
      </c>
    </row>
    <row r="15262" spans="1:2">
      <c r="A15262" s="66">
        <v>46072.410675474537</v>
      </c>
      <c r="B15262" s="49" t="s">
        <v>10603</v>
      </c>
    </row>
    <row r="15263" spans="1:2">
      <c r="A15263" s="66">
        <v>46072.410683402777</v>
      </c>
      <c r="B15263" s="49" t="s">
        <v>10604</v>
      </c>
    </row>
    <row r="15264" spans="1:2">
      <c r="A15264" s="66">
        <v>46072.410695127313</v>
      </c>
      <c r="B15264" s="49" t="s">
        <v>10466</v>
      </c>
    </row>
    <row r="15265" spans="1:2">
      <c r="A15265" s="66">
        <v>46072.410697002313</v>
      </c>
      <c r="B15265" s="49" t="s">
        <v>10605</v>
      </c>
    </row>
    <row r="15266" spans="1:2">
      <c r="A15266" s="66">
        <v>46072.410699594911</v>
      </c>
      <c r="B15266" s="49" t="s">
        <v>10562</v>
      </c>
    </row>
    <row r="15267" spans="1:2">
      <c r="A15267" s="66">
        <v>46072.410702407404</v>
      </c>
      <c r="B15267" s="49" t="s">
        <v>10606</v>
      </c>
    </row>
    <row r="15268" spans="1:2">
      <c r="A15268" s="66">
        <v>46072.411450555555</v>
      </c>
      <c r="B15268" s="49" t="s">
        <v>10556</v>
      </c>
    </row>
    <row r="15269" spans="1:2">
      <c r="A15269" s="66">
        <v>46072.411452488421</v>
      </c>
      <c r="B15269" s="49" t="s">
        <v>10603</v>
      </c>
    </row>
    <row r="15270" spans="1:2">
      <c r="A15270" s="66">
        <v>46072.41145443287</v>
      </c>
      <c r="B15270" s="49" t="s">
        <v>10604</v>
      </c>
    </row>
    <row r="15271" spans="1:2">
      <c r="A15271" s="66">
        <v>46072.411456354166</v>
      </c>
      <c r="B15271" s="49" t="s">
        <v>10466</v>
      </c>
    </row>
    <row r="15272" spans="1:2">
      <c r="A15272" s="66">
        <v>46072.411458101851</v>
      </c>
      <c r="B15272" s="49" t="s">
        <v>10605</v>
      </c>
    </row>
    <row r="15273" spans="1:2">
      <c r="A15273" s="66">
        <v>46072.411460694449</v>
      </c>
      <c r="B15273" s="49" t="s">
        <v>10562</v>
      </c>
    </row>
    <row r="15274" spans="1:2">
      <c r="A15274" s="66">
        <v>46072.411462233795</v>
      </c>
      <c r="B15274" s="49" t="s">
        <v>10606</v>
      </c>
    </row>
    <row r="15275" spans="1:2">
      <c r="A15275" s="66">
        <v>46072.412234583331</v>
      </c>
      <c r="B15275" s="49" t="s">
        <v>10556</v>
      </c>
    </row>
    <row r="15276" spans="1:2">
      <c r="A15276" s="66">
        <v>46072.412237048615</v>
      </c>
      <c r="B15276" s="49" t="s">
        <v>10603</v>
      </c>
    </row>
    <row r="15277" spans="1:2">
      <c r="A15277" s="66">
        <v>46072.412239502315</v>
      </c>
      <c r="B15277" s="49" t="s">
        <v>10604</v>
      </c>
    </row>
    <row r="15278" spans="1:2">
      <c r="A15278" s="66">
        <v>46072.412243125</v>
      </c>
      <c r="B15278" s="49" t="s">
        <v>10466</v>
      </c>
    </row>
    <row r="15279" spans="1:2">
      <c r="A15279" s="66">
        <v>46072.412245162035</v>
      </c>
      <c r="B15279" s="49" t="s">
        <v>10605</v>
      </c>
    </row>
    <row r="15280" spans="1:2">
      <c r="A15280" s="66">
        <v>46072.412248113425</v>
      </c>
      <c r="B15280" s="49" t="s">
        <v>10562</v>
      </c>
    </row>
    <row r="15281" spans="1:2">
      <c r="A15281" s="66">
        <v>46072.412250439811</v>
      </c>
      <c r="B15281" s="49" t="s">
        <v>10606</v>
      </c>
    </row>
    <row r="15282" spans="1:2">
      <c r="A15282" s="66">
        <v>46072.413082916668</v>
      </c>
      <c r="B15282" s="49" t="s">
        <v>10556</v>
      </c>
    </row>
    <row r="15283" spans="1:2">
      <c r="A15283" s="66">
        <v>46072.413086562505</v>
      </c>
      <c r="B15283" s="49" t="s">
        <v>10603</v>
      </c>
    </row>
    <row r="15284" spans="1:2">
      <c r="A15284" s="66">
        <v>46072.413089467591</v>
      </c>
      <c r="B15284" s="49" t="s">
        <v>10604</v>
      </c>
    </row>
    <row r="15285" spans="1:2">
      <c r="A15285" s="66">
        <v>46072.413092465278</v>
      </c>
      <c r="B15285" s="49" t="s">
        <v>10466</v>
      </c>
    </row>
    <row r="15286" spans="1:2">
      <c r="A15286" s="66">
        <v>46072.413095509255</v>
      </c>
      <c r="B15286" s="49" t="s">
        <v>10605</v>
      </c>
    </row>
    <row r="15287" spans="1:2">
      <c r="A15287" s="66">
        <v>46072.413098287041</v>
      </c>
      <c r="B15287" s="49" t="s">
        <v>10562</v>
      </c>
    </row>
    <row r="15288" spans="1:2">
      <c r="A15288" s="66">
        <v>46072.413101354163</v>
      </c>
      <c r="B15288" s="49" t="s">
        <v>10606</v>
      </c>
    </row>
    <row r="15289" spans="1:2">
      <c r="A15289" s="66">
        <v>46072.413911018521</v>
      </c>
      <c r="B15289" s="49" t="s">
        <v>10556</v>
      </c>
    </row>
    <row r="15290" spans="1:2">
      <c r="A15290" s="66">
        <v>46072.413913668977</v>
      </c>
      <c r="B15290" s="49" t="s">
        <v>10603</v>
      </c>
    </row>
    <row r="15291" spans="1:2">
      <c r="A15291" s="66">
        <v>46072.413916539357</v>
      </c>
      <c r="B15291" s="49" t="s">
        <v>10604</v>
      </c>
    </row>
    <row r="15292" spans="1:2">
      <c r="A15292" s="66">
        <v>46072.413919456019</v>
      </c>
      <c r="B15292" s="49" t="s">
        <v>10466</v>
      </c>
    </row>
    <row r="15293" spans="1:2">
      <c r="A15293" s="66">
        <v>46072.413921747684</v>
      </c>
      <c r="B15293" s="49" t="s">
        <v>10605</v>
      </c>
    </row>
    <row r="15294" spans="1:2">
      <c r="A15294" s="66">
        <v>46072.413924490742</v>
      </c>
      <c r="B15294" s="49" t="s">
        <v>10562</v>
      </c>
    </row>
    <row r="15295" spans="1:2">
      <c r="A15295" s="66">
        <v>46072.413927465277</v>
      </c>
      <c r="B15295" s="49" t="s">
        <v>10606</v>
      </c>
    </row>
    <row r="15296" spans="1:2">
      <c r="A15296" s="66">
        <v>46072.414678263885</v>
      </c>
      <c r="B15296" s="49" t="s">
        <v>10556</v>
      </c>
    </row>
    <row r="15297" spans="1:2">
      <c r="A15297" s="66">
        <v>46072.414681817128</v>
      </c>
      <c r="B15297" s="49" t="s">
        <v>10603</v>
      </c>
    </row>
    <row r="15298" spans="1:2">
      <c r="A15298" s="66">
        <v>46072.414691192127</v>
      </c>
      <c r="B15298" s="49" t="s">
        <v>10604</v>
      </c>
    </row>
    <row r="15299" spans="1:2">
      <c r="A15299" s="66">
        <v>46072.414694699073</v>
      </c>
      <c r="B15299" s="49" t="s">
        <v>10466</v>
      </c>
    </row>
    <row r="15300" spans="1:2">
      <c r="A15300" s="66">
        <v>46072.414698043984</v>
      </c>
      <c r="B15300" s="49" t="s">
        <v>10605</v>
      </c>
    </row>
    <row r="15301" spans="1:2">
      <c r="A15301" s="66">
        <v>46072.414700891204</v>
      </c>
      <c r="B15301" s="49" t="s">
        <v>10562</v>
      </c>
    </row>
    <row r="15302" spans="1:2">
      <c r="A15302" s="66">
        <v>46072.41470415509</v>
      </c>
      <c r="B15302" s="49" t="s">
        <v>10606</v>
      </c>
    </row>
    <row r="15303" spans="1:2">
      <c r="A15303" s="66">
        <v>46072.415847604163</v>
      </c>
      <c r="B15303" s="49" t="s">
        <v>10556</v>
      </c>
    </row>
    <row r="15304" spans="1:2">
      <c r="A15304" s="66">
        <v>46072.415849976853</v>
      </c>
      <c r="B15304" s="49" t="s">
        <v>10603</v>
      </c>
    </row>
    <row r="15305" spans="1:2">
      <c r="A15305" s="66">
        <v>46072.415852465274</v>
      </c>
      <c r="B15305" s="49" t="s">
        <v>10604</v>
      </c>
    </row>
    <row r="15306" spans="1:2">
      <c r="A15306" s="66">
        <v>46072.415854837964</v>
      </c>
      <c r="B15306" s="49" t="s">
        <v>10466</v>
      </c>
    </row>
    <row r="15307" spans="1:2">
      <c r="A15307" s="66">
        <v>46072.415857349537</v>
      </c>
      <c r="B15307" s="49" t="s">
        <v>10605</v>
      </c>
    </row>
    <row r="15308" spans="1:2">
      <c r="A15308" s="66">
        <v>46072.415859710643</v>
      </c>
      <c r="B15308" s="49" t="s">
        <v>10562</v>
      </c>
    </row>
    <row r="15309" spans="1:2">
      <c r="A15309" s="66">
        <v>46072.415862141206</v>
      </c>
      <c r="B15309" s="49" t="s">
        <v>10606</v>
      </c>
    </row>
    <row r="15310" spans="1:2">
      <c r="A15310" s="66">
        <v>46072.416813541669</v>
      </c>
      <c r="B15310" s="49" t="s">
        <v>10556</v>
      </c>
    </row>
    <row r="15311" spans="1:2">
      <c r="A15311" s="66">
        <v>46072.416815694443</v>
      </c>
      <c r="B15311" s="49" t="s">
        <v>10603</v>
      </c>
    </row>
    <row r="15312" spans="1:2">
      <c r="A15312" s="66">
        <v>46072.416824224536</v>
      </c>
      <c r="B15312" s="49" t="s">
        <v>10604</v>
      </c>
    </row>
    <row r="15313" spans="1:2">
      <c r="A15313" s="66">
        <v>46072.416826446759</v>
      </c>
      <c r="B15313" s="49" t="s">
        <v>10466</v>
      </c>
    </row>
    <row r="15314" spans="1:2">
      <c r="A15314" s="66">
        <v>46072.41682859954</v>
      </c>
      <c r="B15314" s="49" t="s">
        <v>10605</v>
      </c>
    </row>
    <row r="15315" spans="1:2">
      <c r="A15315" s="66">
        <v>46072.416830798611</v>
      </c>
      <c r="B15315" s="49" t="s">
        <v>10562</v>
      </c>
    </row>
    <row r="15316" spans="1:2">
      <c r="A15316" s="66">
        <v>46072.416833206022</v>
      </c>
      <c r="B15316" s="49" t="s">
        <v>10606</v>
      </c>
    </row>
    <row r="15317" spans="1:2">
      <c r="A15317" s="66">
        <v>46072.417736469906</v>
      </c>
      <c r="B15317" s="49" t="s">
        <v>10556</v>
      </c>
    </row>
    <row r="15318" spans="1:2">
      <c r="A15318" s="66">
        <v>46072.417739942131</v>
      </c>
      <c r="B15318" s="49" t="s">
        <v>10603</v>
      </c>
    </row>
    <row r="15319" spans="1:2">
      <c r="A15319" s="66">
        <v>46072.417742835649</v>
      </c>
      <c r="B15319" s="49" t="s">
        <v>10604</v>
      </c>
    </row>
    <row r="15320" spans="1:2">
      <c r="A15320" s="66">
        <v>46072.417747337968</v>
      </c>
      <c r="B15320" s="49" t="s">
        <v>10466</v>
      </c>
    </row>
    <row r="15321" spans="1:2">
      <c r="A15321" s="66">
        <v>46072.4177503588</v>
      </c>
      <c r="B15321" s="49" t="s">
        <v>10605</v>
      </c>
    </row>
    <row r="15322" spans="1:2">
      <c r="A15322" s="66">
        <v>46072.417754004629</v>
      </c>
      <c r="B15322" s="49" t="s">
        <v>10562</v>
      </c>
    </row>
    <row r="15323" spans="1:2">
      <c r="A15323" s="66">
        <v>46072.417767777777</v>
      </c>
      <c r="B15323" s="49" t="s">
        <v>10606</v>
      </c>
    </row>
    <row r="15324" spans="1:2">
      <c r="A15324" s="66">
        <v>46072.418817916667</v>
      </c>
      <c r="B15324" s="49" t="s">
        <v>10556</v>
      </c>
    </row>
    <row r="15325" spans="1:2">
      <c r="A15325" s="66">
        <v>46072.418821493055</v>
      </c>
      <c r="B15325" s="49" t="s">
        <v>10603</v>
      </c>
    </row>
    <row r="15326" spans="1:2">
      <c r="A15326" s="66">
        <v>46072.418823599539</v>
      </c>
      <c r="B15326" s="49" t="s">
        <v>10604</v>
      </c>
    </row>
    <row r="15327" spans="1:2">
      <c r="A15327" s="66">
        <v>46072.418826273148</v>
      </c>
      <c r="B15327" s="49" t="s">
        <v>10466</v>
      </c>
    </row>
    <row r="15328" spans="1:2">
      <c r="A15328" s="66">
        <v>46072.418828344904</v>
      </c>
      <c r="B15328" s="49" t="s">
        <v>10605</v>
      </c>
    </row>
    <row r="15329" spans="1:2">
      <c r="A15329" s="66">
        <v>46072.418830416667</v>
      </c>
      <c r="B15329" s="49" t="s">
        <v>10562</v>
      </c>
    </row>
    <row r="15330" spans="1:2">
      <c r="A15330" s="66">
        <v>46072.4188325</v>
      </c>
      <c r="B15330" s="49" t="s">
        <v>10606</v>
      </c>
    </row>
    <row r="15331" spans="1:2">
      <c r="A15331" s="66">
        <v>46072.41981486111</v>
      </c>
      <c r="B15331" s="49" t="s">
        <v>10556</v>
      </c>
    </row>
    <row r="15332" spans="1:2">
      <c r="A15332" s="66">
        <v>46072.419818159724</v>
      </c>
      <c r="B15332" s="49" t="s">
        <v>10603</v>
      </c>
    </row>
    <row r="15333" spans="1:2">
      <c r="A15333" s="66">
        <v>46072.419821365736</v>
      </c>
      <c r="B15333" s="49" t="s">
        <v>10604</v>
      </c>
    </row>
    <row r="15334" spans="1:2">
      <c r="A15334" s="66">
        <v>46072.419824375</v>
      </c>
      <c r="B15334" s="49" t="s">
        <v>10466</v>
      </c>
    </row>
    <row r="15335" spans="1:2">
      <c r="A15335" s="66">
        <v>46072.419827060185</v>
      </c>
      <c r="B15335" s="49" t="s">
        <v>10605</v>
      </c>
    </row>
    <row r="15336" spans="1:2">
      <c r="A15336" s="66">
        <v>46072.419830219907</v>
      </c>
      <c r="B15336" s="49" t="s">
        <v>10562</v>
      </c>
    </row>
    <row r="15337" spans="1:2">
      <c r="A15337" s="66">
        <v>46072.419834004628</v>
      </c>
      <c r="B15337" s="49" t="s">
        <v>10606</v>
      </c>
    </row>
    <row r="15338" spans="1:2">
      <c r="A15338" s="66">
        <v>46072.421187939814</v>
      </c>
      <c r="B15338" s="49" t="s">
        <v>10556</v>
      </c>
    </row>
    <row r="15339" spans="1:2">
      <c r="A15339" s="66">
        <v>46072.421191122688</v>
      </c>
      <c r="B15339" s="49" t="s">
        <v>10603</v>
      </c>
    </row>
    <row r="15340" spans="1:2">
      <c r="A15340" s="66">
        <v>46072.421194456023</v>
      </c>
      <c r="B15340" s="49" t="s">
        <v>10604</v>
      </c>
    </row>
    <row r="15341" spans="1:2">
      <c r="A15341" s="66">
        <v>46072.421197465279</v>
      </c>
      <c r="B15341" s="49" t="s">
        <v>10466</v>
      </c>
    </row>
    <row r="15342" spans="1:2">
      <c r="A15342" s="66">
        <v>46072.421200625002</v>
      </c>
      <c r="B15342" s="49" t="s">
        <v>10605</v>
      </c>
    </row>
    <row r="15343" spans="1:2">
      <c r="A15343" s="66">
        <v>46072.421204004626</v>
      </c>
      <c r="B15343" s="49" t="s">
        <v>10562</v>
      </c>
    </row>
    <row r="15344" spans="1:2">
      <c r="A15344" s="66">
        <v>46072.421207002313</v>
      </c>
      <c r="B15344" s="49" t="s">
        <v>10606</v>
      </c>
    </row>
    <row r="15345" spans="1:2">
      <c r="A15345" s="66">
        <v>46072.422333807874</v>
      </c>
      <c r="B15345" s="49" t="s">
        <v>10556</v>
      </c>
    </row>
    <row r="15346" spans="1:2">
      <c r="A15346" s="66">
        <v>46072.422336331016</v>
      </c>
      <c r="B15346" s="49" t="s">
        <v>10603</v>
      </c>
    </row>
    <row r="15347" spans="1:2">
      <c r="A15347" s="66">
        <v>46072.422338912038</v>
      </c>
      <c r="B15347" s="49" t="s">
        <v>10604</v>
      </c>
    </row>
    <row r="15348" spans="1:2">
      <c r="A15348" s="66">
        <v>46072.422341076388</v>
      </c>
      <c r="B15348" s="49" t="s">
        <v>10466</v>
      </c>
    </row>
    <row r="15349" spans="1:2">
      <c r="A15349" s="66">
        <v>46072.422343715283</v>
      </c>
      <c r="B15349" s="49" t="s">
        <v>10605</v>
      </c>
    </row>
    <row r="15350" spans="1:2">
      <c r="A15350" s="66">
        <v>46072.422346446758</v>
      </c>
      <c r="B15350" s="49" t="s">
        <v>10562</v>
      </c>
    </row>
    <row r="15351" spans="1:2">
      <c r="A15351" s="66">
        <v>46072.422349004628</v>
      </c>
      <c r="B15351" s="49" t="s">
        <v>10606</v>
      </c>
    </row>
    <row r="15352" spans="1:2">
      <c r="A15352" s="66">
        <v>46072.423237662035</v>
      </c>
      <c r="B15352" s="49" t="s">
        <v>10556</v>
      </c>
    </row>
    <row r="15353" spans="1:2">
      <c r="A15353" s="66">
        <v>46072.42324744213</v>
      </c>
      <c r="B15353" s="49" t="s">
        <v>10603</v>
      </c>
    </row>
    <row r="15354" spans="1:2">
      <c r="A15354" s="66">
        <v>46072.423250150459</v>
      </c>
      <c r="B15354" s="49" t="s">
        <v>10604</v>
      </c>
    </row>
    <row r="15355" spans="1:2">
      <c r="A15355" s="66">
        <v>46072.42325255787</v>
      </c>
      <c r="B15355" s="49" t="s">
        <v>10466</v>
      </c>
    </row>
    <row r="15356" spans="1:2">
      <c r="A15356" s="66">
        <v>46072.423255150468</v>
      </c>
      <c r="B15356" s="49" t="s">
        <v>10605</v>
      </c>
    </row>
    <row r="15357" spans="1:2">
      <c r="A15357" s="66">
        <v>46072.423257812501</v>
      </c>
      <c r="B15357" s="49" t="s">
        <v>10562</v>
      </c>
    </row>
    <row r="15358" spans="1:2">
      <c r="A15358" s="66">
        <v>46072.423260509255</v>
      </c>
      <c r="B15358" s="49" t="s">
        <v>10606</v>
      </c>
    </row>
    <row r="15359" spans="1:2">
      <c r="A15359" s="66">
        <v>46072.424611851849</v>
      </c>
      <c r="B15359" s="49" t="s">
        <v>10556</v>
      </c>
    </row>
    <row r="15360" spans="1:2">
      <c r="A15360" s="66">
        <v>46072.424615011572</v>
      </c>
      <c r="B15360" s="49" t="s">
        <v>10603</v>
      </c>
    </row>
    <row r="15361" spans="1:2">
      <c r="A15361" s="66">
        <v>46072.424616759265</v>
      </c>
      <c r="B15361" s="49" t="s">
        <v>10604</v>
      </c>
    </row>
    <row r="15362" spans="1:2">
      <c r="A15362" s="66">
        <v>46072.424619270838</v>
      </c>
      <c r="B15362" s="49" t="s">
        <v>10466</v>
      </c>
    </row>
    <row r="15363" spans="1:2">
      <c r="A15363" s="66">
        <v>46072.424621446757</v>
      </c>
      <c r="B15363" s="49" t="s">
        <v>10605</v>
      </c>
    </row>
    <row r="15364" spans="1:2">
      <c r="A15364" s="66">
        <v>46072.424624236111</v>
      </c>
      <c r="B15364" s="49" t="s">
        <v>10562</v>
      </c>
    </row>
    <row r="15365" spans="1:2">
      <c r="A15365" s="66">
        <v>46072.424626157408</v>
      </c>
      <c r="B15365" s="49" t="s">
        <v>10606</v>
      </c>
    </row>
    <row r="15366" spans="1:2">
      <c r="A15366" s="66">
        <v>46072.425564224541</v>
      </c>
      <c r="B15366" s="49" t="s">
        <v>10556</v>
      </c>
    </row>
    <row r="15367" spans="1:2">
      <c r="A15367" s="66">
        <v>46072.425566134261</v>
      </c>
      <c r="B15367" s="49" t="s">
        <v>10603</v>
      </c>
    </row>
    <row r="15368" spans="1:2">
      <c r="A15368" s="66">
        <v>46072.425568171297</v>
      </c>
      <c r="B15368" s="49" t="s">
        <v>10604</v>
      </c>
    </row>
    <row r="15369" spans="1:2">
      <c r="A15369" s="66">
        <v>46072.425570347223</v>
      </c>
      <c r="B15369" s="49" t="s">
        <v>10466</v>
      </c>
    </row>
    <row r="15370" spans="1:2">
      <c r="A15370" s="66">
        <v>46072.425573194443</v>
      </c>
      <c r="B15370" s="49" t="s">
        <v>10605</v>
      </c>
    </row>
    <row r="15371" spans="1:2">
      <c r="A15371" s="66">
        <v>46072.425575277783</v>
      </c>
      <c r="B15371" s="49" t="s">
        <v>10562</v>
      </c>
    </row>
    <row r="15372" spans="1:2">
      <c r="A15372" s="66">
        <v>46072.425577719907</v>
      </c>
      <c r="B15372" s="49" t="s">
        <v>10606</v>
      </c>
    </row>
    <row r="15373" spans="1:2">
      <c r="A15373" s="66">
        <v>46072.42644033565</v>
      </c>
      <c r="B15373" s="49" t="s">
        <v>10556</v>
      </c>
    </row>
    <row r="15374" spans="1:2">
      <c r="A15374" s="66">
        <v>46072.426442581018</v>
      </c>
      <c r="B15374" s="49" t="s">
        <v>10603</v>
      </c>
    </row>
    <row r="15375" spans="1:2">
      <c r="A15375" s="66">
        <v>46072.426445034725</v>
      </c>
      <c r="B15375" s="49" t="s">
        <v>10604</v>
      </c>
    </row>
    <row r="15376" spans="1:2">
      <c r="A15376" s="66">
        <v>46072.426448622689</v>
      </c>
      <c r="B15376" s="49" t="s">
        <v>10466</v>
      </c>
    </row>
    <row r="15377" spans="1:2">
      <c r="A15377" s="66">
        <v>46072.426451134263</v>
      </c>
      <c r="B15377" s="49" t="s">
        <v>10605</v>
      </c>
    </row>
    <row r="15378" spans="1:2">
      <c r="A15378" s="66">
        <v>46072.426453761575</v>
      </c>
      <c r="B15378" s="49" t="s">
        <v>10562</v>
      </c>
    </row>
    <row r="15379" spans="1:2">
      <c r="A15379" s="66">
        <v>46072.426455671295</v>
      </c>
      <c r="B15379" s="49" t="s">
        <v>10606</v>
      </c>
    </row>
    <row r="15380" spans="1:2">
      <c r="A15380" s="66">
        <v>46072.427295995367</v>
      </c>
      <c r="B15380" s="49" t="s">
        <v>10556</v>
      </c>
    </row>
    <row r="15381" spans="1:2">
      <c r="A15381" s="66">
        <v>46072.427298587965</v>
      </c>
      <c r="B15381" s="49" t="s">
        <v>10603</v>
      </c>
    </row>
    <row r="15382" spans="1:2">
      <c r="A15382" s="66">
        <v>46072.427301215277</v>
      </c>
      <c r="B15382" s="49" t="s">
        <v>10604</v>
      </c>
    </row>
    <row r="15383" spans="1:2">
      <c r="A15383" s="66">
        <v>46072.427303715274</v>
      </c>
      <c r="B15383" s="49" t="s">
        <v>10466</v>
      </c>
    </row>
    <row r="15384" spans="1:2">
      <c r="A15384" s="66">
        <v>46072.427306423611</v>
      </c>
      <c r="B15384" s="49" t="s">
        <v>10605</v>
      </c>
    </row>
    <row r="15385" spans="1:2">
      <c r="A15385" s="66">
        <v>46072.427308645834</v>
      </c>
      <c r="B15385" s="49" t="s">
        <v>10562</v>
      </c>
    </row>
    <row r="15386" spans="1:2">
      <c r="A15386" s="66">
        <v>46072.427311087959</v>
      </c>
      <c r="B15386" s="49" t="s">
        <v>10606</v>
      </c>
    </row>
    <row r="15387" spans="1:2">
      <c r="A15387" s="66">
        <v>46072.428667129629</v>
      </c>
      <c r="B15387" s="49" t="s">
        <v>10556</v>
      </c>
    </row>
    <row r="15388" spans="1:2">
      <c r="A15388" s="66">
        <v>46072.42867956018</v>
      </c>
      <c r="B15388" s="49" t="s">
        <v>10603</v>
      </c>
    </row>
    <row r="15389" spans="1:2">
      <c r="A15389" s="66">
        <v>46072.428682013888</v>
      </c>
      <c r="B15389" s="49" t="s">
        <v>10604</v>
      </c>
    </row>
    <row r="15390" spans="1:2">
      <c r="A15390" s="66">
        <v>46072.428684733793</v>
      </c>
      <c r="B15390" s="49" t="s">
        <v>10466</v>
      </c>
    </row>
    <row r="15391" spans="1:2">
      <c r="A15391" s="66">
        <v>46072.428686597224</v>
      </c>
      <c r="B15391" s="49" t="s">
        <v>10605</v>
      </c>
    </row>
    <row r="15392" spans="1:2">
      <c r="A15392" s="66">
        <v>46072.428688449072</v>
      </c>
      <c r="B15392" s="49" t="s">
        <v>10562</v>
      </c>
    </row>
    <row r="15393" spans="1:2">
      <c r="A15393" s="66">
        <v>46072.428690787041</v>
      </c>
      <c r="B15393" s="49" t="s">
        <v>10606</v>
      </c>
    </row>
    <row r="15394" spans="1:2">
      <c r="A15394" s="66">
        <v>46072.429908148144</v>
      </c>
      <c r="B15394" s="49" t="s">
        <v>10556</v>
      </c>
    </row>
    <row r="15395" spans="1:2">
      <c r="A15395" s="66">
        <v>46072.429911192128</v>
      </c>
      <c r="B15395" s="49" t="s">
        <v>10603</v>
      </c>
    </row>
    <row r="15396" spans="1:2">
      <c r="A15396" s="66">
        <v>46072.429913564818</v>
      </c>
      <c r="B15396" s="49" t="s">
        <v>10604</v>
      </c>
    </row>
    <row r="15397" spans="1:2">
      <c r="A15397" s="66">
        <v>46072.429922129624</v>
      </c>
      <c r="B15397" s="49" t="s">
        <v>10466</v>
      </c>
    </row>
    <row r="15398" spans="1:2">
      <c r="A15398" s="66">
        <v>46072.429924895834</v>
      </c>
      <c r="B15398" s="49" t="s">
        <v>10605</v>
      </c>
    </row>
    <row r="15399" spans="1:2">
      <c r="A15399" s="66">
        <v>46072.429927488425</v>
      </c>
      <c r="B15399" s="49" t="s">
        <v>10562</v>
      </c>
    </row>
    <row r="15400" spans="1:2">
      <c r="A15400" s="66">
        <v>46072.429930555554</v>
      </c>
      <c r="B15400" s="49" t="s">
        <v>10606</v>
      </c>
    </row>
    <row r="15401" spans="1:2">
      <c r="A15401" s="66">
        <v>46072.431196076388</v>
      </c>
      <c r="B15401" s="49" t="s">
        <v>10556</v>
      </c>
    </row>
    <row r="15402" spans="1:2">
      <c r="A15402" s="66">
        <v>46072.431199143517</v>
      </c>
      <c r="B15402" s="49" t="s">
        <v>10603</v>
      </c>
    </row>
    <row r="15403" spans="1:2">
      <c r="A15403" s="66">
        <v>46072.431201956017</v>
      </c>
      <c r="B15403" s="49" t="s">
        <v>10604</v>
      </c>
    </row>
    <row r="15404" spans="1:2">
      <c r="A15404" s="66">
        <v>46072.431204988425</v>
      </c>
      <c r="B15404" s="49" t="s">
        <v>10466</v>
      </c>
    </row>
    <row r="15405" spans="1:2">
      <c r="A15405" s="66">
        <v>46072.431207592592</v>
      </c>
      <c r="B15405" s="49" t="s">
        <v>10605</v>
      </c>
    </row>
    <row r="15406" spans="1:2">
      <c r="A15406" s="66">
        <v>46072.431210138893</v>
      </c>
      <c r="B15406" s="49" t="s">
        <v>10562</v>
      </c>
    </row>
    <row r="15407" spans="1:2">
      <c r="A15407" s="66">
        <v>46072.431212835647</v>
      </c>
      <c r="B15407" s="49" t="s">
        <v>10606</v>
      </c>
    </row>
    <row r="15408" spans="1:2">
      <c r="A15408" s="66">
        <v>46072.432406562497</v>
      </c>
      <c r="B15408" s="49" t="s">
        <v>10556</v>
      </c>
    </row>
    <row r="15409" spans="1:2">
      <c r="A15409" s="66">
        <v>46072.432409131943</v>
      </c>
      <c r="B15409" s="49" t="s">
        <v>10603</v>
      </c>
    </row>
    <row r="15410" spans="1:2">
      <c r="A15410" s="66">
        <v>46072.432411666668</v>
      </c>
      <c r="B15410" s="49" t="s">
        <v>10604</v>
      </c>
    </row>
    <row r="15411" spans="1:2">
      <c r="A15411" s="66">
        <v>46072.432414560186</v>
      </c>
      <c r="B15411" s="49" t="s">
        <v>10466</v>
      </c>
    </row>
    <row r="15412" spans="1:2">
      <c r="A15412" s="66">
        <v>46072.432421979167</v>
      </c>
      <c r="B15412" s="49" t="s">
        <v>10605</v>
      </c>
    </row>
    <row r="15413" spans="1:2">
      <c r="A15413" s="66">
        <v>46072.432424537037</v>
      </c>
      <c r="B15413" s="49" t="s">
        <v>10562</v>
      </c>
    </row>
    <row r="15414" spans="1:2">
      <c r="A15414" s="66">
        <v>46072.432427152773</v>
      </c>
      <c r="B15414" s="49" t="s">
        <v>10606</v>
      </c>
    </row>
    <row r="15415" spans="1:2">
      <c r="A15415" s="66">
        <v>46072.433523344909</v>
      </c>
      <c r="B15415" s="49" t="s">
        <v>10556</v>
      </c>
    </row>
    <row r="15416" spans="1:2">
      <c r="A15416" s="66">
        <v>46072.4335330787</v>
      </c>
      <c r="B15416" s="49" t="s">
        <v>10603</v>
      </c>
    </row>
    <row r="15417" spans="1:2">
      <c r="A15417" s="66">
        <v>46072.433535578704</v>
      </c>
      <c r="B15417" s="49" t="s">
        <v>10604</v>
      </c>
    </row>
    <row r="15418" spans="1:2">
      <c r="A15418" s="66">
        <v>46072.433538043981</v>
      </c>
      <c r="B15418" s="49" t="s">
        <v>10466</v>
      </c>
    </row>
    <row r="15419" spans="1:2">
      <c r="A15419" s="66">
        <v>46072.433541099541</v>
      </c>
      <c r="B15419" s="49" t="s">
        <v>10605</v>
      </c>
    </row>
    <row r="15420" spans="1:2">
      <c r="A15420" s="66">
        <v>46072.433543321764</v>
      </c>
      <c r="B15420" s="49" t="s">
        <v>10562</v>
      </c>
    </row>
    <row r="15421" spans="1:2">
      <c r="A15421" s="66">
        <v>46072.433546053246</v>
      </c>
      <c r="B15421" s="49" t="s">
        <v>10606</v>
      </c>
    </row>
    <row r="15422" spans="1:2">
      <c r="A15422" s="66">
        <v>46072.434417002311</v>
      </c>
      <c r="B15422" s="49" t="s">
        <v>10556</v>
      </c>
    </row>
    <row r="15423" spans="1:2">
      <c r="A15423" s="66">
        <v>46072.434419479163</v>
      </c>
      <c r="B15423" s="49" t="s">
        <v>10603</v>
      </c>
    </row>
    <row r="15424" spans="1:2">
      <c r="A15424" s="66">
        <v>46072.43442208333</v>
      </c>
      <c r="B15424" s="49" t="s">
        <v>10604</v>
      </c>
    </row>
    <row r="15425" spans="1:2">
      <c r="A15425" s="66">
        <v>46072.434424976847</v>
      </c>
      <c r="B15425" s="49" t="s">
        <v>10466</v>
      </c>
    </row>
    <row r="15426" spans="1:2">
      <c r="A15426" s="66">
        <v>46072.43442824074</v>
      </c>
      <c r="B15426" s="49" t="s">
        <v>10605</v>
      </c>
    </row>
    <row r="15427" spans="1:2">
      <c r="A15427" s="66">
        <v>46072.434431215283</v>
      </c>
      <c r="B15427" s="49" t="s">
        <v>10562</v>
      </c>
    </row>
    <row r="15428" spans="1:2">
      <c r="A15428" s="66">
        <v>46072.434434560186</v>
      </c>
      <c r="B15428" s="49" t="s">
        <v>10606</v>
      </c>
    </row>
    <row r="15429" spans="1:2">
      <c r="A15429" s="66">
        <v>46072.435349826388</v>
      </c>
      <c r="B15429" s="49" t="s">
        <v>10556</v>
      </c>
    </row>
    <row r="15430" spans="1:2">
      <c r="A15430" s="66">
        <v>46072.435352893517</v>
      </c>
      <c r="B15430" s="49" t="s">
        <v>10603</v>
      </c>
    </row>
    <row r="15431" spans="1:2">
      <c r="A15431" s="66">
        <v>46072.435355914349</v>
      </c>
      <c r="B15431" s="49" t="s">
        <v>10604</v>
      </c>
    </row>
    <row r="15432" spans="1:2">
      <c r="A15432" s="66">
        <v>46072.435359016206</v>
      </c>
      <c r="B15432" s="49" t="s">
        <v>10466</v>
      </c>
    </row>
    <row r="15433" spans="1:2">
      <c r="A15433" s="66">
        <v>46072.435361990742</v>
      </c>
      <c r="B15433" s="49" t="s">
        <v>10605</v>
      </c>
    </row>
    <row r="15434" spans="1:2">
      <c r="A15434" s="66">
        <v>46072.435365104167</v>
      </c>
      <c r="B15434" s="49" t="s">
        <v>10562</v>
      </c>
    </row>
    <row r="15435" spans="1:2">
      <c r="A15435" s="66">
        <v>46072.435368483799</v>
      </c>
      <c r="B15435" s="49" t="s">
        <v>10606</v>
      </c>
    </row>
    <row r="15436" spans="1:2">
      <c r="A15436" s="66">
        <v>46072.436744097227</v>
      </c>
      <c r="B15436" s="49" t="s">
        <v>10556</v>
      </c>
    </row>
    <row r="15437" spans="1:2">
      <c r="A15437" s="66">
        <v>46072.436746087958</v>
      </c>
      <c r="B15437" s="49" t="s">
        <v>10603</v>
      </c>
    </row>
    <row r="15438" spans="1:2">
      <c r="A15438" s="66">
        <v>46072.436747893516</v>
      </c>
      <c r="B15438" s="49" t="s">
        <v>10604</v>
      </c>
    </row>
    <row r="15439" spans="1:2">
      <c r="A15439" s="66">
        <v>46072.43674957176</v>
      </c>
      <c r="B15439" s="49" t="s">
        <v>10466</v>
      </c>
    </row>
    <row r="15440" spans="1:2">
      <c r="A15440" s="66">
        <v>46072.436751180554</v>
      </c>
      <c r="B15440" s="49" t="s">
        <v>10605</v>
      </c>
    </row>
    <row r="15441" spans="1:2">
      <c r="A15441" s="66">
        <v>46072.436753171292</v>
      </c>
      <c r="B15441" s="49" t="s">
        <v>10562</v>
      </c>
    </row>
    <row r="15442" spans="1:2">
      <c r="A15442" s="66">
        <v>46072.436754872688</v>
      </c>
      <c r="B15442" s="49" t="s">
        <v>10606</v>
      </c>
    </row>
    <row r="15443" spans="1:2">
      <c r="A15443" s="66">
        <v>46072.438171666668</v>
      </c>
      <c r="B15443" s="49" t="s">
        <v>10556</v>
      </c>
    </row>
    <row r="15444" spans="1:2">
      <c r="A15444" s="66">
        <v>46072.438173877315</v>
      </c>
      <c r="B15444" s="49" t="s">
        <v>10603</v>
      </c>
    </row>
    <row r="15445" spans="1:2">
      <c r="A15445" s="66">
        <v>46072.438176400465</v>
      </c>
      <c r="B15445" s="49" t="s">
        <v>10604</v>
      </c>
    </row>
    <row r="15446" spans="1:2">
      <c r="A15446" s="66">
        <v>46072.438179155091</v>
      </c>
      <c r="B15446" s="49" t="s">
        <v>10466</v>
      </c>
    </row>
    <row r="15447" spans="1:2">
      <c r="A15447" s="66">
        <v>46072.438181655089</v>
      </c>
      <c r="B15447" s="49" t="s">
        <v>10605</v>
      </c>
    </row>
    <row r="15448" spans="1:2">
      <c r="A15448" s="66">
        <v>46072.438184328705</v>
      </c>
      <c r="B15448" s="49" t="s">
        <v>10562</v>
      </c>
    </row>
    <row r="15449" spans="1:2">
      <c r="A15449" s="66">
        <v>46072.438186539352</v>
      </c>
      <c r="B15449" s="49" t="s">
        <v>10606</v>
      </c>
    </row>
    <row r="15450" spans="1:2">
      <c r="A15450" s="66">
        <v>46072.439181400463</v>
      </c>
      <c r="B15450" s="49" t="s">
        <v>10556</v>
      </c>
    </row>
    <row r="15451" spans="1:2">
      <c r="A15451" s="66">
        <v>46072.439185706018</v>
      </c>
      <c r="B15451" s="49" t="s">
        <v>10603</v>
      </c>
    </row>
    <row r="15452" spans="1:2">
      <c r="A15452" s="66">
        <v>46072.439187650467</v>
      </c>
      <c r="B15452" s="49" t="s">
        <v>10604</v>
      </c>
    </row>
    <row r="15453" spans="1:2">
      <c r="A15453" s="66">
        <v>46072.439190879624</v>
      </c>
      <c r="B15453" s="49" t="s">
        <v>10466</v>
      </c>
    </row>
    <row r="15454" spans="1:2">
      <c r="A15454" s="66">
        <v>46072.439192824073</v>
      </c>
      <c r="B15454" s="49" t="s">
        <v>10605</v>
      </c>
    </row>
    <row r="15455" spans="1:2">
      <c r="A15455" s="66">
        <v>46072.43919582176</v>
      </c>
      <c r="B15455" s="49" t="s">
        <v>10562</v>
      </c>
    </row>
    <row r="15456" spans="1:2">
      <c r="A15456" s="66">
        <v>46072.439198703709</v>
      </c>
      <c r="B15456" s="49" t="s">
        <v>10606</v>
      </c>
    </row>
    <row r="15457" spans="1:2">
      <c r="A15457" s="66">
        <v>46072.440498819444</v>
      </c>
      <c r="B15457" s="49" t="s">
        <v>10556</v>
      </c>
    </row>
    <row r="15458" spans="1:2">
      <c r="A15458" s="66">
        <v>46072.440502291662</v>
      </c>
      <c r="B15458" s="49" t="s">
        <v>10603</v>
      </c>
    </row>
    <row r="15459" spans="1:2">
      <c r="A15459" s="66">
        <v>46072.440505324077</v>
      </c>
      <c r="B15459" s="49" t="s">
        <v>10604</v>
      </c>
    </row>
    <row r="15460" spans="1:2">
      <c r="A15460" s="66">
        <v>46072.440508032407</v>
      </c>
      <c r="B15460" s="49" t="s">
        <v>10466</v>
      </c>
    </row>
    <row r="15461" spans="1:2">
      <c r="A15461" s="66">
        <v>46072.440516979172</v>
      </c>
      <c r="B15461" s="49" t="s">
        <v>10605</v>
      </c>
    </row>
    <row r="15462" spans="1:2">
      <c r="A15462" s="66">
        <v>46072.440519525466</v>
      </c>
      <c r="B15462" s="49" t="s">
        <v>10562</v>
      </c>
    </row>
    <row r="15463" spans="1:2">
      <c r="A15463" s="66">
        <v>46072.440522627316</v>
      </c>
      <c r="B15463" s="49" t="s">
        <v>10606</v>
      </c>
    </row>
    <row r="15464" spans="1:2">
      <c r="A15464" s="66">
        <v>46072.441940231482</v>
      </c>
      <c r="B15464" s="49" t="s">
        <v>10556</v>
      </c>
    </row>
    <row r="15465" spans="1:2">
      <c r="A15465" s="66">
        <v>46072.441945081024</v>
      </c>
      <c r="B15465" s="49" t="s">
        <v>10603</v>
      </c>
    </row>
    <row r="15466" spans="1:2">
      <c r="A15466" s="66">
        <v>46072.441947314815</v>
      </c>
      <c r="B15466" s="49" t="s">
        <v>10604</v>
      </c>
    </row>
    <row r="15467" spans="1:2">
      <c r="A15467" s="66">
        <v>46072.441952824069</v>
      </c>
      <c r="B15467" s="49" t="s">
        <v>10466</v>
      </c>
    </row>
    <row r="15468" spans="1:2">
      <c r="A15468" s="66">
        <v>46072.4419546875</v>
      </c>
      <c r="B15468" s="49" t="s">
        <v>10605</v>
      </c>
    </row>
    <row r="15469" spans="1:2">
      <c r="A15469" s="66">
        <v>46072.441956666662</v>
      </c>
      <c r="B15469" s="49" t="s">
        <v>10562</v>
      </c>
    </row>
    <row r="15470" spans="1:2">
      <c r="A15470" s="66">
        <v>46072.44195896991</v>
      </c>
      <c r="B15470" s="49" t="s">
        <v>10606</v>
      </c>
    </row>
    <row r="15471" spans="1:2">
      <c r="A15471" s="66">
        <v>46072.443016516205</v>
      </c>
      <c r="B15471" s="49" t="s">
        <v>10556</v>
      </c>
    </row>
    <row r="15472" spans="1:2">
      <c r="A15472" s="66">
        <v>46072.443019212966</v>
      </c>
      <c r="B15472" s="49" t="s">
        <v>10603</v>
      </c>
    </row>
    <row r="15473" spans="1:2">
      <c r="A15473" s="66">
        <v>46072.443021712963</v>
      </c>
      <c r="B15473" s="49" t="s">
        <v>10604</v>
      </c>
    </row>
    <row r="15474" spans="1:2">
      <c r="A15474" s="66">
        <v>46072.443024618056</v>
      </c>
      <c r="B15474" s="49" t="s">
        <v>10466</v>
      </c>
    </row>
    <row r="15475" spans="1:2">
      <c r="A15475" s="66">
        <v>46072.44303790509</v>
      </c>
      <c r="B15475" s="49" t="s">
        <v>10605</v>
      </c>
    </row>
    <row r="15476" spans="1:2">
      <c r="A15476" s="66">
        <v>46072.443040648148</v>
      </c>
      <c r="B15476" s="49" t="s">
        <v>10562</v>
      </c>
    </row>
    <row r="15477" spans="1:2">
      <c r="A15477" s="66">
        <v>46072.443043356485</v>
      </c>
      <c r="B15477" s="49" t="s">
        <v>10606</v>
      </c>
    </row>
    <row r="15478" spans="1:2">
      <c r="A15478" s="66">
        <v>46072.443934988427</v>
      </c>
      <c r="B15478" s="49" t="s">
        <v>10556</v>
      </c>
    </row>
    <row r="15479" spans="1:2">
      <c r="A15479" s="66">
        <v>46072.443937465279</v>
      </c>
      <c r="B15479" s="49" t="s">
        <v>10603</v>
      </c>
    </row>
    <row r="15480" spans="1:2">
      <c r="A15480" s="66">
        <v>46072.443939710647</v>
      </c>
      <c r="B15480" s="49" t="s">
        <v>10604</v>
      </c>
    </row>
    <row r="15481" spans="1:2">
      <c r="A15481" s="66">
        <v>46072.443942164347</v>
      </c>
      <c r="B15481" s="49" t="s">
        <v>10466</v>
      </c>
    </row>
    <row r="15482" spans="1:2">
      <c r="A15482" s="66">
        <v>46072.443945775463</v>
      </c>
      <c r="B15482" s="49" t="s">
        <v>10605</v>
      </c>
    </row>
    <row r="15483" spans="1:2">
      <c r="A15483" s="66">
        <v>46072.443947627311</v>
      </c>
      <c r="B15483" s="49" t="s">
        <v>10562</v>
      </c>
    </row>
    <row r="15484" spans="1:2">
      <c r="A15484" s="66">
        <v>46072.44394986111</v>
      </c>
      <c r="B15484" s="49" t="s">
        <v>10606</v>
      </c>
    </row>
    <row r="15485" spans="1:2">
      <c r="A15485" s="66">
        <v>46072.444945138894</v>
      </c>
      <c r="B15485" s="49" t="s">
        <v>10556</v>
      </c>
    </row>
    <row r="15486" spans="1:2">
      <c r="A15486" s="66">
        <v>46072.444948530094</v>
      </c>
      <c r="B15486" s="49" t="s">
        <v>10603</v>
      </c>
    </row>
    <row r="15487" spans="1:2">
      <c r="A15487" s="66">
        <v>46072.444951967591</v>
      </c>
      <c r="B15487" s="49" t="s">
        <v>10604</v>
      </c>
    </row>
    <row r="15488" spans="1:2">
      <c r="A15488" s="66">
        <v>46072.444955092593</v>
      </c>
      <c r="B15488" s="49" t="s">
        <v>10466</v>
      </c>
    </row>
    <row r="15489" spans="1:2">
      <c r="A15489" s="66">
        <v>46072.444958356486</v>
      </c>
      <c r="B15489" s="49" t="s">
        <v>10605</v>
      </c>
    </row>
    <row r="15490" spans="1:2">
      <c r="A15490" s="66">
        <v>46072.444963206013</v>
      </c>
      <c r="B15490" s="49" t="s">
        <v>10562</v>
      </c>
    </row>
    <row r="15491" spans="1:2">
      <c r="A15491" s="66">
        <v>46072.444966423616</v>
      </c>
      <c r="B15491" s="49" t="s">
        <v>10606</v>
      </c>
    </row>
    <row r="15492" spans="1:2">
      <c r="A15492" s="66">
        <v>46072.446184259257</v>
      </c>
      <c r="B15492" s="49" t="s">
        <v>10556</v>
      </c>
    </row>
    <row r="15493" spans="1:2">
      <c r="A15493" s="66">
        <v>46072.446186631947</v>
      </c>
      <c r="B15493" s="49" t="s">
        <v>10603</v>
      </c>
    </row>
    <row r="15494" spans="1:2">
      <c r="A15494" s="66">
        <v>46072.446189027774</v>
      </c>
      <c r="B15494" s="49" t="s">
        <v>10604</v>
      </c>
    </row>
    <row r="15495" spans="1:2">
      <c r="A15495" s="66">
        <v>46072.446191377312</v>
      </c>
      <c r="B15495" s="49" t="s">
        <v>10466</v>
      </c>
    </row>
    <row r="15496" spans="1:2">
      <c r="A15496" s="66">
        <v>46072.446193993055</v>
      </c>
      <c r="B15496" s="49" t="s">
        <v>10605</v>
      </c>
    </row>
    <row r="15497" spans="1:2">
      <c r="A15497" s="66">
        <v>46072.446196736113</v>
      </c>
      <c r="B15497" s="49" t="s">
        <v>10562</v>
      </c>
    </row>
    <row r="15498" spans="1:2">
      <c r="A15498" s="66">
        <v>46072.446198993057</v>
      </c>
      <c r="B15498" s="49" t="s">
        <v>10606</v>
      </c>
    </row>
    <row r="15499" spans="1:2">
      <c r="A15499" s="66">
        <v>46072.44724739583</v>
      </c>
      <c r="B15499" s="49" t="s">
        <v>10556</v>
      </c>
    </row>
    <row r="15500" spans="1:2">
      <c r="A15500" s="66">
        <v>46072.447261469904</v>
      </c>
      <c r="B15500" s="49" t="s">
        <v>10603</v>
      </c>
    </row>
    <row r="15501" spans="1:2">
      <c r="A15501" s="66">
        <v>46072.447264884264</v>
      </c>
      <c r="B15501" s="49" t="s">
        <v>10604</v>
      </c>
    </row>
    <row r="15502" spans="1:2">
      <c r="A15502" s="66">
        <v>46072.447267696756</v>
      </c>
      <c r="B15502" s="49" t="s">
        <v>10466</v>
      </c>
    </row>
    <row r="15503" spans="1:2">
      <c r="A15503" s="66">
        <v>46072.447270879631</v>
      </c>
      <c r="B15503" s="49" t="s">
        <v>10605</v>
      </c>
    </row>
    <row r="15504" spans="1:2">
      <c r="A15504" s="66">
        <v>46072.447273391204</v>
      </c>
      <c r="B15504" s="49" t="s">
        <v>10562</v>
      </c>
    </row>
    <row r="15505" spans="1:2">
      <c r="A15505" s="66">
        <v>46072.447275787039</v>
      </c>
      <c r="B15505" s="49" t="s">
        <v>10606</v>
      </c>
    </row>
    <row r="15506" spans="1:2">
      <c r="A15506" s="66">
        <v>46072.448617314818</v>
      </c>
      <c r="B15506" s="49" t="s">
        <v>10556</v>
      </c>
    </row>
    <row r="15507" spans="1:2">
      <c r="A15507" s="66">
        <v>46072.448620937503</v>
      </c>
      <c r="B15507" s="49" t="s">
        <v>10603</v>
      </c>
    </row>
    <row r="15508" spans="1:2">
      <c r="A15508" s="66">
        <v>46072.448624571756</v>
      </c>
      <c r="B15508" s="49" t="s">
        <v>10604</v>
      </c>
    </row>
    <row r="15509" spans="1:2">
      <c r="A15509" s="66">
        <v>46072.448627453705</v>
      </c>
      <c r="B15509" s="49" t="s">
        <v>10466</v>
      </c>
    </row>
    <row r="15510" spans="1:2">
      <c r="A15510" s="66">
        <v>46072.448630625004</v>
      </c>
      <c r="B15510" s="49" t="s">
        <v>10605</v>
      </c>
    </row>
    <row r="15511" spans="1:2">
      <c r="A15511" s="66">
        <v>46072.448633715278</v>
      </c>
      <c r="B15511" s="49" t="s">
        <v>10562</v>
      </c>
    </row>
    <row r="15512" spans="1:2">
      <c r="A15512" s="66">
        <v>46072.448647696758</v>
      </c>
      <c r="B15512" s="49" t="s">
        <v>10606</v>
      </c>
    </row>
    <row r="15513" spans="1:2">
      <c r="A15513" s="66">
        <v>46072.45002715278</v>
      </c>
      <c r="B15513" s="49" t="s">
        <v>10556</v>
      </c>
    </row>
    <row r="15514" spans="1:2">
      <c r="A15514" s="66">
        <v>46072.450029120373</v>
      </c>
      <c r="B15514" s="49" t="s">
        <v>10603</v>
      </c>
    </row>
    <row r="15515" spans="1:2">
      <c r="A15515" s="66">
        <v>46072.450031956017</v>
      </c>
      <c r="B15515" s="49" t="s">
        <v>10604</v>
      </c>
    </row>
    <row r="15516" spans="1:2">
      <c r="A15516" s="66">
        <v>46072.450039525458</v>
      </c>
      <c r="B15516" s="49" t="s">
        <v>10466</v>
      </c>
    </row>
    <row r="15517" spans="1:2">
      <c r="A15517" s="66">
        <v>46072.450041539356</v>
      </c>
      <c r="B15517" s="49" t="s">
        <v>10605</v>
      </c>
    </row>
    <row r="15518" spans="1:2">
      <c r="A15518" s="66">
        <v>46072.450043935183</v>
      </c>
      <c r="B15518" s="49" t="s">
        <v>10562</v>
      </c>
    </row>
    <row r="15519" spans="1:2">
      <c r="A15519" s="66">
        <v>46072.450046261569</v>
      </c>
      <c r="B15519" s="49" t="s">
        <v>10606</v>
      </c>
    </row>
    <row r="15520" spans="1:2">
      <c r="A15520" s="66">
        <v>46072.451134629635</v>
      </c>
      <c r="B15520" s="49" t="s">
        <v>10556</v>
      </c>
    </row>
    <row r="15521" spans="1:2">
      <c r="A15521" s="66">
        <v>46072.451137071759</v>
      </c>
      <c r="B15521" s="49" t="s">
        <v>10603</v>
      </c>
    </row>
    <row r="15522" spans="1:2">
      <c r="A15522" s="66">
        <v>46072.451139236116</v>
      </c>
      <c r="B15522" s="49" t="s">
        <v>10604</v>
      </c>
    </row>
    <row r="15523" spans="1:2">
      <c r="A15523" s="66">
        <v>46072.451142094906</v>
      </c>
      <c r="B15523" s="49" t="s">
        <v>10466</v>
      </c>
    </row>
    <row r="15524" spans="1:2">
      <c r="A15524" s="66">
        <v>46072.451144780091</v>
      </c>
      <c r="B15524" s="49" t="s">
        <v>10605</v>
      </c>
    </row>
    <row r="15525" spans="1:2">
      <c r="A15525" s="66">
        <v>46072.451147233798</v>
      </c>
      <c r="B15525" s="49" t="s">
        <v>10562</v>
      </c>
    </row>
    <row r="15526" spans="1:2">
      <c r="A15526" s="66">
        <v>46072.451149826389</v>
      </c>
      <c r="B15526" s="49" t="s">
        <v>10606</v>
      </c>
    </row>
    <row r="15527" spans="1:2">
      <c r="A15527" s="66">
        <v>46072.45235255787</v>
      </c>
      <c r="B15527" s="49" t="s">
        <v>10556</v>
      </c>
    </row>
    <row r="15528" spans="1:2">
      <c r="A15528" s="66">
        <v>46072.452355046291</v>
      </c>
      <c r="B15528" s="49" t="s">
        <v>10603</v>
      </c>
    </row>
    <row r="15529" spans="1:2">
      <c r="A15529" s="66">
        <v>46072.452357708331</v>
      </c>
      <c r="B15529" s="49" t="s">
        <v>10604</v>
      </c>
    </row>
    <row r="15530" spans="1:2">
      <c r="A15530" s="66">
        <v>46072.452361157411</v>
      </c>
      <c r="B15530" s="49" t="s">
        <v>10466</v>
      </c>
    </row>
    <row r="15531" spans="1:2">
      <c r="A15531" s="66">
        <v>46072.452363344906</v>
      </c>
      <c r="B15531" s="49" t="s">
        <v>10605</v>
      </c>
    </row>
    <row r="15532" spans="1:2">
      <c r="A15532" s="66">
        <v>46072.452366111116</v>
      </c>
      <c r="B15532" s="49" t="s">
        <v>10562</v>
      </c>
    </row>
    <row r="15533" spans="1:2">
      <c r="A15533" s="66">
        <v>46072.452369930557</v>
      </c>
      <c r="B15533" s="49" t="s">
        <v>10606</v>
      </c>
    </row>
    <row r="15534" spans="1:2">
      <c r="A15534" s="66">
        <v>46072.453329282405</v>
      </c>
      <c r="B15534" s="49" t="s">
        <v>10556</v>
      </c>
    </row>
    <row r="15535" spans="1:2">
      <c r="A15535" s="66">
        <v>46072.45333935185</v>
      </c>
      <c r="B15535" s="49" t="s">
        <v>10603</v>
      </c>
    </row>
    <row r="15536" spans="1:2">
      <c r="A15536" s="66">
        <v>46072.453341412038</v>
      </c>
      <c r="B15536" s="49" t="s">
        <v>10604</v>
      </c>
    </row>
    <row r="15537" spans="1:2">
      <c r="A15537" s="66">
        <v>46072.45334331019</v>
      </c>
      <c r="B15537" s="49" t="s">
        <v>10466</v>
      </c>
    </row>
    <row r="15538" spans="1:2">
      <c r="A15538" s="66">
        <v>46072.453352083336</v>
      </c>
      <c r="B15538" s="49" t="s">
        <v>10605</v>
      </c>
    </row>
    <row r="15539" spans="1:2">
      <c r="A15539" s="66">
        <v>46072.453353842589</v>
      </c>
      <c r="B15539" s="49" t="s">
        <v>10562</v>
      </c>
    </row>
    <row r="15540" spans="1:2">
      <c r="A15540" s="66">
        <v>46072.453356122685</v>
      </c>
      <c r="B15540" s="49" t="s">
        <v>10606</v>
      </c>
    </row>
    <row r="15541" spans="1:2">
      <c r="A15541" s="66">
        <v>46072.454690439816</v>
      </c>
      <c r="B15541" s="49" t="s">
        <v>10556</v>
      </c>
    </row>
    <row r="15542" spans="1:2">
      <c r="A15542" s="66">
        <v>46072.454692847226</v>
      </c>
      <c r="B15542" s="49" t="s">
        <v>10603</v>
      </c>
    </row>
    <row r="15543" spans="1:2">
      <c r="A15543" s="66">
        <v>46072.454698738424</v>
      </c>
      <c r="B15543" s="49" t="s">
        <v>10604</v>
      </c>
    </row>
    <row r="15544" spans="1:2">
      <c r="A15544" s="66">
        <v>46072.454700821763</v>
      </c>
      <c r="B15544" s="49" t="s">
        <v>10466</v>
      </c>
    </row>
    <row r="15545" spans="1:2">
      <c r="A15545" s="66">
        <v>46072.454702708332</v>
      </c>
      <c r="B15545" s="49" t="s">
        <v>10605</v>
      </c>
    </row>
    <row r="15546" spans="1:2">
      <c r="A15546" s="66">
        <v>46072.454704664357</v>
      </c>
      <c r="B15546" s="49" t="s">
        <v>10562</v>
      </c>
    </row>
    <row r="15547" spans="1:2">
      <c r="A15547" s="66">
        <v>46072.454707337965</v>
      </c>
      <c r="B15547" s="49" t="s">
        <v>10606</v>
      </c>
    </row>
    <row r="15548" spans="1:2">
      <c r="A15548" s="66">
        <v>46072.455657893515</v>
      </c>
      <c r="B15548" s="49" t="s">
        <v>10556</v>
      </c>
    </row>
    <row r="15549" spans="1:2">
      <c r="A15549" s="66">
        <v>46072.45566018518</v>
      </c>
      <c r="B15549" s="49" t="s">
        <v>10603</v>
      </c>
    </row>
    <row r="15550" spans="1:2">
      <c r="A15550" s="66">
        <v>46072.455662187502</v>
      </c>
      <c r="B15550" s="49" t="s">
        <v>10604</v>
      </c>
    </row>
    <row r="15551" spans="1:2">
      <c r="A15551" s="66">
        <v>46072.455664097222</v>
      </c>
      <c r="B15551" s="49" t="s">
        <v>10466</v>
      </c>
    </row>
    <row r="15552" spans="1:2">
      <c r="A15552" s="66">
        <v>46072.455666064816</v>
      </c>
      <c r="B15552" s="49" t="s">
        <v>10605</v>
      </c>
    </row>
    <row r="15553" spans="1:2">
      <c r="A15553" s="66">
        <v>46072.455668032402</v>
      </c>
      <c r="B15553" s="49" t="s">
        <v>10562</v>
      </c>
    </row>
    <row r="15554" spans="1:2">
      <c r="A15554" s="66">
        <v>46072.455670555559</v>
      </c>
      <c r="B15554" s="49" t="s">
        <v>10606</v>
      </c>
    </row>
    <row r="15555" spans="1:2">
      <c r="A15555" s="66">
        <v>46072.456862199077</v>
      </c>
      <c r="B15555" s="49" t="s">
        <v>10556</v>
      </c>
    </row>
    <row r="15556" spans="1:2">
      <c r="A15556" s="66">
        <v>46072.45686528935</v>
      </c>
      <c r="B15556" s="49" t="s">
        <v>10603</v>
      </c>
    </row>
    <row r="15557" spans="1:2">
      <c r="A15557" s="66">
        <v>46072.456867638888</v>
      </c>
      <c r="B15557" s="49" t="s">
        <v>10604</v>
      </c>
    </row>
    <row r="15558" spans="1:2">
      <c r="A15558" s="66">
        <v>46072.456873796298</v>
      </c>
      <c r="B15558" s="49" t="s">
        <v>10466</v>
      </c>
    </row>
    <row r="15559" spans="1:2">
      <c r="A15559" s="66">
        <v>46072.456876458338</v>
      </c>
      <c r="B15559" s="49" t="s">
        <v>10605</v>
      </c>
    </row>
    <row r="15560" spans="1:2">
      <c r="A15560" s="66">
        <v>46072.456878854166</v>
      </c>
      <c r="B15560" s="49" t="s">
        <v>10562</v>
      </c>
    </row>
    <row r="15561" spans="1:2">
      <c r="A15561" s="66">
        <v>46072.456881979168</v>
      </c>
      <c r="B15561" s="49" t="s">
        <v>10606</v>
      </c>
    </row>
    <row r="15562" spans="1:2">
      <c r="A15562" s="66">
        <v>46072.457911828707</v>
      </c>
      <c r="B15562" s="49" t="s">
        <v>10556</v>
      </c>
    </row>
    <row r="15563" spans="1:2">
      <c r="A15563" s="66">
        <v>46072.457915150459</v>
      </c>
      <c r="B15563" s="49" t="s">
        <v>10603</v>
      </c>
    </row>
    <row r="15564" spans="1:2">
      <c r="A15564" s="66">
        <v>46072.457918217595</v>
      </c>
      <c r="B15564" s="49" t="s">
        <v>10604</v>
      </c>
    </row>
    <row r="15565" spans="1:2">
      <c r="A15565" s="66">
        <v>46072.45792148148</v>
      </c>
      <c r="B15565" s="49" t="s">
        <v>10466</v>
      </c>
    </row>
    <row r="15566" spans="1:2">
      <c r="A15566" s="66">
        <v>46072.457924178241</v>
      </c>
      <c r="B15566" s="49" t="s">
        <v>10605</v>
      </c>
    </row>
    <row r="15567" spans="1:2">
      <c r="A15567" s="66">
        <v>46072.457933182872</v>
      </c>
      <c r="B15567" s="49" t="s">
        <v>10562</v>
      </c>
    </row>
    <row r="15568" spans="1:2">
      <c r="A15568" s="66">
        <v>46072.457936041668</v>
      </c>
      <c r="B15568" s="49" t="s">
        <v>10606</v>
      </c>
    </row>
    <row r="15569" spans="1:2">
      <c r="A15569" s="66">
        <v>46072.458806898147</v>
      </c>
      <c r="B15569" s="49" t="s">
        <v>10556</v>
      </c>
    </row>
    <row r="15570" spans="1:2">
      <c r="A15570" s="66">
        <v>46072.458809363423</v>
      </c>
      <c r="B15570" s="49" t="s">
        <v>10603</v>
      </c>
    </row>
    <row r="15571" spans="1:2">
      <c r="A15571" s="66">
        <v>46072.458812199075</v>
      </c>
      <c r="B15571" s="49" t="s">
        <v>10604</v>
      </c>
    </row>
    <row r="15572" spans="1:2">
      <c r="A15572" s="66">
        <v>46072.458814537036</v>
      </c>
      <c r="B15572" s="49" t="s">
        <v>10466</v>
      </c>
    </row>
    <row r="15573" spans="1:2">
      <c r="A15573" s="66">
        <v>46072.458816840277</v>
      </c>
      <c r="B15573" s="49" t="s">
        <v>10605</v>
      </c>
    </row>
    <row r="15574" spans="1:2">
      <c r="A15574" s="66">
        <v>46072.45881877315</v>
      </c>
      <c r="B15574" s="49" t="s">
        <v>10562</v>
      </c>
    </row>
    <row r="15575" spans="1:2">
      <c r="A15575" s="66">
        <v>46072.458820868051</v>
      </c>
      <c r="B15575" s="49" t="s">
        <v>10606</v>
      </c>
    </row>
    <row r="15576" spans="1:2">
      <c r="A15576" s="66">
        <v>46072.459875983797</v>
      </c>
      <c r="B15576" s="49" t="s">
        <v>10556</v>
      </c>
    </row>
    <row r="15577" spans="1:2">
      <c r="A15577" s="66">
        <v>46072.459879479167</v>
      </c>
      <c r="B15577" s="49" t="s">
        <v>10603</v>
      </c>
    </row>
    <row r="15578" spans="1:2">
      <c r="A15578" s="66">
        <v>46072.459882118055</v>
      </c>
      <c r="B15578" s="49" t="s">
        <v>10604</v>
      </c>
    </row>
    <row r="15579" spans="1:2">
      <c r="A15579" s="66">
        <v>46072.459884224532</v>
      </c>
      <c r="B15579" s="49" t="s">
        <v>10466</v>
      </c>
    </row>
    <row r="15580" spans="1:2">
      <c r="A15580" s="66">
        <v>46072.459886932869</v>
      </c>
      <c r="B15580" s="49" t="s">
        <v>10605</v>
      </c>
    </row>
    <row r="15581" spans="1:2">
      <c r="A15581" s="66">
        <v>46072.459888877318</v>
      </c>
      <c r="B15581" s="49" t="s">
        <v>10562</v>
      </c>
    </row>
    <row r="15582" spans="1:2">
      <c r="A15582" s="66">
        <v>46072.45989189815</v>
      </c>
      <c r="B15582" s="49" t="s">
        <v>10606</v>
      </c>
    </row>
    <row r="15583" spans="1:2">
      <c r="A15583" s="66">
        <v>46072.461202256949</v>
      </c>
      <c r="B15583" s="49" t="s">
        <v>10556</v>
      </c>
    </row>
    <row r="15584" spans="1:2">
      <c r="A15584" s="66">
        <v>46072.461204652776</v>
      </c>
      <c r="B15584" s="49" t="s">
        <v>10603</v>
      </c>
    </row>
    <row r="15585" spans="1:2">
      <c r="A15585" s="66">
        <v>46072.461207615735</v>
      </c>
      <c r="B15585" s="49" t="s">
        <v>10604</v>
      </c>
    </row>
    <row r="15586" spans="1:2">
      <c r="A15586" s="66">
        <v>46072.461209629633</v>
      </c>
      <c r="B15586" s="49" t="s">
        <v>10466</v>
      </c>
    </row>
    <row r="15587" spans="1:2">
      <c r="A15587" s="66">
        <v>46072.46121238426</v>
      </c>
      <c r="B15587" s="49" t="s">
        <v>10605</v>
      </c>
    </row>
    <row r="15588" spans="1:2">
      <c r="A15588" s="66">
        <v>46072.461214409719</v>
      </c>
      <c r="B15588" s="49" t="s">
        <v>10562</v>
      </c>
    </row>
    <row r="15589" spans="1:2">
      <c r="A15589" s="66">
        <v>46072.461216944444</v>
      </c>
      <c r="B15589" s="49" t="s">
        <v>10606</v>
      </c>
    </row>
    <row r="15590" spans="1:2">
      <c r="A15590" s="66">
        <v>46072.462083564817</v>
      </c>
      <c r="B15590" s="49" t="s">
        <v>10556</v>
      </c>
    </row>
    <row r="15591" spans="1:2">
      <c r="A15591" s="66">
        <v>46072.462086724539</v>
      </c>
      <c r="B15591" s="49" t="s">
        <v>10603</v>
      </c>
    </row>
    <row r="15592" spans="1:2">
      <c r="A15592" s="66">
        <v>46072.462091608795</v>
      </c>
      <c r="B15592" s="49" t="s">
        <v>10604</v>
      </c>
    </row>
    <row r="15593" spans="1:2">
      <c r="A15593" s="66">
        <v>46072.462094050927</v>
      </c>
      <c r="B15593" s="49" t="s">
        <v>10466</v>
      </c>
    </row>
    <row r="15594" spans="1:2">
      <c r="A15594" s="66">
        <v>46072.46209818287</v>
      </c>
      <c r="B15594" s="49" t="s">
        <v>10605</v>
      </c>
    </row>
    <row r="15595" spans="1:2">
      <c r="A15595" s="66">
        <v>46072.462100868055</v>
      </c>
      <c r="B15595" s="49" t="s">
        <v>10562</v>
      </c>
    </row>
    <row r="15596" spans="1:2">
      <c r="A15596" s="66">
        <v>46072.462104108796</v>
      </c>
      <c r="B15596" s="49" t="s">
        <v>10606</v>
      </c>
    </row>
    <row r="15597" spans="1:2">
      <c r="A15597" s="66">
        <v>46072.463504907406</v>
      </c>
      <c r="B15597" s="49" t="s">
        <v>10556</v>
      </c>
    </row>
    <row r="15598" spans="1:2">
      <c r="A15598" s="66">
        <v>46072.463507094908</v>
      </c>
      <c r="B15598" s="49" t="s">
        <v>10603</v>
      </c>
    </row>
    <row r="15599" spans="1:2">
      <c r="A15599" s="66">
        <v>46072.463509803245</v>
      </c>
      <c r="B15599" s="49" t="s">
        <v>10604</v>
      </c>
    </row>
    <row r="15600" spans="1:2">
      <c r="A15600" s="66">
        <v>46072.463511724534</v>
      </c>
      <c r="B15600" s="49" t="s">
        <v>10466</v>
      </c>
    </row>
    <row r="15601" spans="1:2">
      <c r="A15601" s="66">
        <v>46072.463515648153</v>
      </c>
      <c r="B15601" s="49" t="s">
        <v>10605</v>
      </c>
    </row>
    <row r="15602" spans="1:2">
      <c r="A15602" s="66">
        <v>46072.463522071761</v>
      </c>
      <c r="B15602" s="49" t="s">
        <v>10562</v>
      </c>
    </row>
    <row r="15603" spans="1:2">
      <c r="A15603" s="66">
        <v>46072.463523842591</v>
      </c>
      <c r="B15603" s="49" t="s">
        <v>10606</v>
      </c>
    </row>
    <row r="15604" spans="1:2">
      <c r="A15604" s="66">
        <v>46072.464305590278</v>
      </c>
      <c r="B15604" s="49" t="s">
        <v>10556</v>
      </c>
    </row>
    <row r="15605" spans="1:2">
      <c r="A15605" s="66">
        <v>46072.464309895833</v>
      </c>
      <c r="B15605" s="49" t="s">
        <v>10603</v>
      </c>
    </row>
    <row r="15606" spans="1:2">
      <c r="A15606" s="66">
        <v>46072.464311770833</v>
      </c>
      <c r="B15606" s="49" t="s">
        <v>10604</v>
      </c>
    </row>
    <row r="15607" spans="1:2">
      <c r="A15607" s="66">
        <v>46072.464313958335</v>
      </c>
      <c r="B15607" s="49" t="s">
        <v>10466</v>
      </c>
    </row>
    <row r="15608" spans="1:2">
      <c r="A15608" s="66">
        <v>46072.464316446756</v>
      </c>
      <c r="B15608" s="49" t="s">
        <v>10605</v>
      </c>
    </row>
    <row r="15609" spans="1:2">
      <c r="A15609" s="66">
        <v>46072.464319143517</v>
      </c>
      <c r="B15609" s="49" t="s">
        <v>10562</v>
      </c>
    </row>
    <row r="15610" spans="1:2">
      <c r="A15610" s="66">
        <v>46072.464322187501</v>
      </c>
      <c r="B15610" s="49" t="s">
        <v>10606</v>
      </c>
    </row>
    <row r="15611" spans="1:2">
      <c r="A15611" s="66">
        <v>46072.465537453703</v>
      </c>
      <c r="B15611" s="49" t="s">
        <v>10556</v>
      </c>
    </row>
    <row r="15612" spans="1:2">
      <c r="A15612" s="66">
        <v>46072.465545474537</v>
      </c>
      <c r="B15612" s="49" t="s">
        <v>10603</v>
      </c>
    </row>
    <row r="15613" spans="1:2">
      <c r="A15613" s="66">
        <v>46072.465551284724</v>
      </c>
      <c r="B15613" s="49" t="s">
        <v>10604</v>
      </c>
    </row>
    <row r="15614" spans="1:2">
      <c r="A15614" s="66">
        <v>46072.465553148148</v>
      </c>
      <c r="B15614" s="49" t="s">
        <v>10466</v>
      </c>
    </row>
    <row r="15615" spans="1:2">
      <c r="A15615" s="66">
        <v>46072.465555196759</v>
      </c>
      <c r="B15615" s="49" t="s">
        <v>10605</v>
      </c>
    </row>
    <row r="15616" spans="1:2">
      <c r="A15616" s="66">
        <v>46072.465557569449</v>
      </c>
      <c r="B15616" s="49" t="s">
        <v>10562</v>
      </c>
    </row>
    <row r="15617" spans="1:2">
      <c r="A15617" s="66">
        <v>46072.465560277778</v>
      </c>
      <c r="B15617" s="49" t="s">
        <v>10606</v>
      </c>
    </row>
    <row r="15618" spans="1:2">
      <c r="A15618" s="66">
        <v>46072.466339166669</v>
      </c>
      <c r="B15618" s="49" t="s">
        <v>10556</v>
      </c>
    </row>
    <row r="15619" spans="1:2">
      <c r="A15619" s="66">
        <v>46072.466342511572</v>
      </c>
      <c r="B15619" s="49" t="s">
        <v>10603</v>
      </c>
    </row>
    <row r="15620" spans="1:2">
      <c r="A15620" s="66">
        <v>46072.466345810186</v>
      </c>
      <c r="B15620" s="49" t="s">
        <v>10604</v>
      </c>
    </row>
    <row r="15621" spans="1:2">
      <c r="A15621" s="66">
        <v>46072.466348449074</v>
      </c>
      <c r="B15621" s="49" t="s">
        <v>10466</v>
      </c>
    </row>
    <row r="15622" spans="1:2">
      <c r="A15622" s="66">
        <v>46072.466351689814</v>
      </c>
      <c r="B15622" s="49" t="s">
        <v>10605</v>
      </c>
    </row>
    <row r="15623" spans="1:2">
      <c r="A15623" s="66">
        <v>46072.466356412042</v>
      </c>
      <c r="B15623" s="49" t="s">
        <v>10562</v>
      </c>
    </row>
    <row r="15624" spans="1:2">
      <c r="A15624" s="66">
        <v>46072.466359502316</v>
      </c>
      <c r="B15624" s="49" t="s">
        <v>10606</v>
      </c>
    </row>
    <row r="15625" spans="1:2">
      <c r="A15625" s="66">
        <v>46072.467630092593</v>
      </c>
      <c r="B15625" s="49" t="s">
        <v>10556</v>
      </c>
    </row>
    <row r="15626" spans="1:2">
      <c r="A15626" s="66">
        <v>46072.467632094907</v>
      </c>
      <c r="B15626" s="49" t="s">
        <v>10603</v>
      </c>
    </row>
    <row r="15627" spans="1:2">
      <c r="A15627" s="66">
        <v>46072.467633831024</v>
      </c>
      <c r="B15627" s="49" t="s">
        <v>10604</v>
      </c>
    </row>
    <row r="15628" spans="1:2">
      <c r="A15628" s="66">
        <v>46072.467636817135</v>
      </c>
      <c r="B15628" s="49" t="s">
        <v>10466</v>
      </c>
    </row>
    <row r="15629" spans="1:2">
      <c r="A15629" s="66">
        <v>46072.467640381947</v>
      </c>
      <c r="B15629" s="49" t="s">
        <v>10605</v>
      </c>
    </row>
    <row r="15630" spans="1:2">
      <c r="A15630" s="66">
        <v>46072.467641990741</v>
      </c>
      <c r="B15630" s="49" t="s">
        <v>10562</v>
      </c>
    </row>
    <row r="15631" spans="1:2">
      <c r="A15631" s="66">
        <v>46072.467644502314</v>
      </c>
      <c r="B15631" s="49" t="s">
        <v>10606</v>
      </c>
    </row>
    <row r="15632" spans="1:2">
      <c r="A15632" s="66">
        <v>46072.468968194444</v>
      </c>
      <c r="B15632" s="49" t="s">
        <v>10556</v>
      </c>
    </row>
    <row r="15633" spans="1:2">
      <c r="A15633" s="66">
        <v>46072.468971793976</v>
      </c>
      <c r="B15633" s="49" t="s">
        <v>10603</v>
      </c>
    </row>
    <row r="15634" spans="1:2">
      <c r="A15634" s="66">
        <v>46072.46897538194</v>
      </c>
      <c r="B15634" s="49" t="s">
        <v>10604</v>
      </c>
    </row>
    <row r="15635" spans="1:2">
      <c r="A15635" s="66">
        <v>46072.468978611112</v>
      </c>
      <c r="B15635" s="49" t="s">
        <v>10466</v>
      </c>
    </row>
    <row r="15636" spans="1:2">
      <c r="A15636" s="66">
        <v>46072.468981608792</v>
      </c>
      <c r="B15636" s="49" t="s">
        <v>10605</v>
      </c>
    </row>
    <row r="15637" spans="1:2">
      <c r="A15637" s="66">
        <v>46072.468984756946</v>
      </c>
      <c r="B15637" s="49" t="s">
        <v>10562</v>
      </c>
    </row>
    <row r="15638" spans="1:2">
      <c r="A15638" s="66">
        <v>46072.46898878472</v>
      </c>
      <c r="B15638" s="49" t="s">
        <v>10606</v>
      </c>
    </row>
    <row r="15639" spans="1:2">
      <c r="A15639" s="66">
        <v>46072.46977048611</v>
      </c>
      <c r="B15639" s="49" t="s">
        <v>10556</v>
      </c>
    </row>
    <row r="15640" spans="1:2">
      <c r="A15640" s="66">
        <v>46072.469776215279</v>
      </c>
      <c r="B15640" s="49" t="s">
        <v>10603</v>
      </c>
    </row>
    <row r="15641" spans="1:2">
      <c r="A15641" s="66">
        <v>46072.469778472223</v>
      </c>
      <c r="B15641" s="49" t="s">
        <v>10604</v>
      </c>
    </row>
    <row r="15642" spans="1:2">
      <c r="A15642" s="66">
        <v>46072.469780706015</v>
      </c>
      <c r="B15642" s="49" t="s">
        <v>10466</v>
      </c>
    </row>
    <row r="15643" spans="1:2">
      <c r="A15643" s="66">
        <v>46072.469785312496</v>
      </c>
      <c r="B15643" s="49" t="s">
        <v>10605</v>
      </c>
    </row>
    <row r="15644" spans="1:2">
      <c r="A15644" s="66">
        <v>46072.469787662034</v>
      </c>
      <c r="B15644" s="49" t="s">
        <v>10562</v>
      </c>
    </row>
    <row r="15645" spans="1:2">
      <c r="A15645" s="66">
        <v>46072.469791192125</v>
      </c>
      <c r="B15645" s="49" t="s">
        <v>10606</v>
      </c>
    </row>
    <row r="15646" spans="1:2">
      <c r="A15646" s="66">
        <v>46072.470998449076</v>
      </c>
      <c r="B15646" s="49" t="s">
        <v>10556</v>
      </c>
    </row>
    <row r="15647" spans="1:2">
      <c r="A15647" s="66">
        <v>46072.471000682868</v>
      </c>
      <c r="B15647" s="49" t="s">
        <v>10603</v>
      </c>
    </row>
    <row r="15648" spans="1:2">
      <c r="A15648" s="66">
        <v>46072.47100341435</v>
      </c>
      <c r="B15648" s="49" t="s">
        <v>10604</v>
      </c>
    </row>
    <row r="15649" spans="1:2">
      <c r="A15649" s="66">
        <v>46072.47101194445</v>
      </c>
      <c r="B15649" s="49" t="s">
        <v>10466</v>
      </c>
    </row>
    <row r="15650" spans="1:2">
      <c r="A15650" s="66">
        <v>46072.471013912036</v>
      </c>
      <c r="B15650" s="49" t="s">
        <v>10605</v>
      </c>
    </row>
    <row r="15651" spans="1:2">
      <c r="A15651" s="66">
        <v>46072.471019722223</v>
      </c>
      <c r="B15651" s="49" t="s">
        <v>10562</v>
      </c>
    </row>
    <row r="15652" spans="1:2">
      <c r="A15652" s="66">
        <v>46072.471021377314</v>
      </c>
      <c r="B15652" s="49" t="s">
        <v>10606</v>
      </c>
    </row>
    <row r="15653" spans="1:2">
      <c r="A15653" s="66">
        <v>46072.472315983796</v>
      </c>
      <c r="B15653" s="49" t="s">
        <v>10556</v>
      </c>
    </row>
    <row r="15654" spans="1:2">
      <c r="A15654" s="66">
        <v>46072.472318252316</v>
      </c>
      <c r="B15654" s="49" t="s">
        <v>10603</v>
      </c>
    </row>
    <row r="15655" spans="1:2">
      <c r="A15655" s="66">
        <v>46072.472320763889</v>
      </c>
      <c r="B15655" s="49" t="s">
        <v>10604</v>
      </c>
    </row>
    <row r="15656" spans="1:2">
      <c r="A15656" s="66">
        <v>46072.472322604168</v>
      </c>
      <c r="B15656" s="49" t="s">
        <v>10466</v>
      </c>
    </row>
    <row r="15657" spans="1:2">
      <c r="A15657" s="66">
        <v>46072.472324768518</v>
      </c>
      <c r="B15657" s="49" t="s">
        <v>10605</v>
      </c>
    </row>
    <row r="15658" spans="1:2">
      <c r="A15658" s="66">
        <v>46072.472327291667</v>
      </c>
      <c r="B15658" s="49" t="s">
        <v>10562</v>
      </c>
    </row>
    <row r="15659" spans="1:2">
      <c r="A15659" s="66">
        <v>46072.472335717597</v>
      </c>
      <c r="B15659" s="49" t="s">
        <v>10606</v>
      </c>
    </row>
    <row r="15660" spans="1:2">
      <c r="A15660" s="66">
        <v>46072.473051168985</v>
      </c>
      <c r="B15660" s="49" t="s">
        <v>10556</v>
      </c>
    </row>
    <row r="15661" spans="1:2">
      <c r="A15661" s="66">
        <v>46072.473053333335</v>
      </c>
      <c r="B15661" s="49" t="s">
        <v>10603</v>
      </c>
    </row>
    <row r="15662" spans="1:2">
      <c r="A15662" s="66">
        <v>46072.473059247684</v>
      </c>
      <c r="B15662" s="49" t="s">
        <v>10604</v>
      </c>
    </row>
    <row r="15663" spans="1:2">
      <c r="A15663" s="66">
        <v>46072.473061076387</v>
      </c>
      <c r="B15663" s="49" t="s">
        <v>10466</v>
      </c>
    </row>
    <row r="15664" spans="1:2">
      <c r="A15664" s="66">
        <v>46072.473064895836</v>
      </c>
      <c r="B15664" s="49" t="s">
        <v>10605</v>
      </c>
    </row>
    <row r="15665" spans="1:2">
      <c r="A15665" s="66">
        <v>46072.473072407403</v>
      </c>
      <c r="B15665" s="49" t="s">
        <v>10562</v>
      </c>
    </row>
    <row r="15666" spans="1:2">
      <c r="A15666" s="66">
        <v>46072.473074270834</v>
      </c>
      <c r="B15666" s="49" t="s">
        <v>10606</v>
      </c>
    </row>
    <row r="15667" spans="1:2">
      <c r="A15667" s="66">
        <v>46072.474513692126</v>
      </c>
      <c r="B15667" s="49" t="s">
        <v>10556</v>
      </c>
    </row>
    <row r="15668" spans="1:2">
      <c r="A15668" s="66">
        <v>46072.474515729162</v>
      </c>
      <c r="B15668" s="49" t="s">
        <v>10603</v>
      </c>
    </row>
    <row r="15669" spans="1:2">
      <c r="A15669" s="66">
        <v>46072.474518831019</v>
      </c>
      <c r="B15669" s="49" t="s">
        <v>10604</v>
      </c>
    </row>
    <row r="15670" spans="1:2">
      <c r="A15670" s="66">
        <v>46072.474520532407</v>
      </c>
      <c r="B15670" s="49" t="s">
        <v>10466</v>
      </c>
    </row>
    <row r="15671" spans="1:2">
      <c r="A15671" s="66">
        <v>46072.47452319444</v>
      </c>
      <c r="B15671" s="49" t="s">
        <v>10605</v>
      </c>
    </row>
    <row r="15672" spans="1:2">
      <c r="A15672" s="66">
        <v>46072.474525324069</v>
      </c>
      <c r="B15672" s="49" t="s">
        <v>10562</v>
      </c>
    </row>
    <row r="15673" spans="1:2">
      <c r="A15673" s="66">
        <v>46072.474527615741</v>
      </c>
      <c r="B15673" s="49" t="s">
        <v>10606</v>
      </c>
    </row>
    <row r="15674" spans="1:2">
      <c r="A15674" s="66">
        <v>46072.475352650465</v>
      </c>
      <c r="B15674" s="49" t="s">
        <v>10556</v>
      </c>
    </row>
    <row r="15675" spans="1:2">
      <c r="A15675" s="66">
        <v>46072.475355428236</v>
      </c>
      <c r="B15675" s="49" t="s">
        <v>10603</v>
      </c>
    </row>
    <row r="15676" spans="1:2">
      <c r="A15676" s="66">
        <v>46072.475358553245</v>
      </c>
      <c r="B15676" s="49" t="s">
        <v>10604</v>
      </c>
    </row>
    <row r="15677" spans="1:2">
      <c r="A15677" s="66">
        <v>46072.475361550925</v>
      </c>
      <c r="B15677" s="49" t="s">
        <v>10466</v>
      </c>
    </row>
    <row r="15678" spans="1:2">
      <c r="A15678" s="66">
        <v>46072.475364687503</v>
      </c>
      <c r="B15678" s="49" t="s">
        <v>10605</v>
      </c>
    </row>
    <row r="15679" spans="1:2">
      <c r="A15679" s="66">
        <v>46072.475370104163</v>
      </c>
      <c r="B15679" s="49" t="s">
        <v>10562</v>
      </c>
    </row>
    <row r="15680" spans="1:2">
      <c r="A15680" s="66">
        <v>46072.475373692127</v>
      </c>
      <c r="B15680" s="49" t="s">
        <v>10606</v>
      </c>
    </row>
    <row r="15681" spans="1:2">
      <c r="A15681" s="66">
        <v>46072.476487407403</v>
      </c>
      <c r="B15681" s="49" t="s">
        <v>10556</v>
      </c>
    </row>
    <row r="15682" spans="1:2">
      <c r="A15682" s="66">
        <v>46072.47648957176</v>
      </c>
      <c r="B15682" s="49" t="s">
        <v>10603</v>
      </c>
    </row>
    <row r="15683" spans="1:2">
      <c r="A15683" s="66">
        <v>46072.476491550929</v>
      </c>
      <c r="B15683" s="49" t="s">
        <v>10604</v>
      </c>
    </row>
    <row r="15684" spans="1:2">
      <c r="A15684" s="66">
        <v>46072.476494178241</v>
      </c>
      <c r="B15684" s="49" t="s">
        <v>10466</v>
      </c>
    </row>
    <row r="15685" spans="1:2">
      <c r="A15685" s="66">
        <v>46072.476496493051</v>
      </c>
      <c r="B15685" s="49" t="s">
        <v>10605</v>
      </c>
    </row>
    <row r="15686" spans="1:2">
      <c r="A15686" s="66">
        <v>46072.476498958335</v>
      </c>
      <c r="B15686" s="49" t="s">
        <v>10562</v>
      </c>
    </row>
    <row r="15687" spans="1:2">
      <c r="A15687" s="66">
        <v>46072.476501550926</v>
      </c>
      <c r="B15687" s="49" t="s">
        <v>10606</v>
      </c>
    </row>
    <row r="15688" spans="1:2">
      <c r="A15688" s="66">
        <v>46072.477313043986</v>
      </c>
      <c r="B15688" s="49" t="s">
        <v>10556</v>
      </c>
    </row>
    <row r="15689" spans="1:2">
      <c r="A15689" s="66">
        <v>46072.477315497687</v>
      </c>
      <c r="B15689" s="49" t="s">
        <v>10603</v>
      </c>
    </row>
    <row r="15690" spans="1:2">
      <c r="A15690" s="66">
        <v>46072.477317986108</v>
      </c>
      <c r="B15690" s="49" t="s">
        <v>10604</v>
      </c>
    </row>
    <row r="15691" spans="1:2">
      <c r="A15691" s="66">
        <v>46072.477319942132</v>
      </c>
      <c r="B15691" s="49" t="s">
        <v>10466</v>
      </c>
    </row>
    <row r="15692" spans="1:2">
      <c r="A15692" s="66">
        <v>46072.477322812498</v>
      </c>
      <c r="B15692" s="49" t="s">
        <v>10605</v>
      </c>
    </row>
    <row r="15693" spans="1:2">
      <c r="A15693" s="66">
        <v>46072.477324791667</v>
      </c>
      <c r="B15693" s="49" t="s">
        <v>10562</v>
      </c>
    </row>
    <row r="15694" spans="1:2">
      <c r="A15694" s="66">
        <v>46072.477326944441</v>
      </c>
      <c r="B15694" s="49" t="s">
        <v>10606</v>
      </c>
    </row>
    <row r="15695" spans="1:2">
      <c r="A15695" s="66">
        <v>46072.478328854166</v>
      </c>
      <c r="B15695" s="49" t="s">
        <v>10556</v>
      </c>
    </row>
    <row r="15696" spans="1:2">
      <c r="A15696" s="66">
        <v>46072.478332141203</v>
      </c>
      <c r="B15696" s="49" t="s">
        <v>10603</v>
      </c>
    </row>
    <row r="15697" spans="1:2">
      <c r="A15697" s="66">
        <v>46072.478335231484</v>
      </c>
      <c r="B15697" s="49" t="s">
        <v>10604</v>
      </c>
    </row>
    <row r="15698" spans="1:2">
      <c r="A15698" s="66">
        <v>46072.478337974535</v>
      </c>
      <c r="B15698" s="49" t="s">
        <v>10466</v>
      </c>
    </row>
    <row r="15699" spans="1:2">
      <c r="A15699" s="66">
        <v>46072.478340729169</v>
      </c>
      <c r="B15699" s="49" t="s">
        <v>10605</v>
      </c>
    </row>
    <row r="15700" spans="1:2">
      <c r="A15700" s="66">
        <v>46072.478343553244</v>
      </c>
      <c r="B15700" s="49" t="s">
        <v>10562</v>
      </c>
    </row>
    <row r="15701" spans="1:2">
      <c r="A15701" s="66">
        <v>46072.478346215277</v>
      </c>
      <c r="B15701" s="49" t="s">
        <v>10606</v>
      </c>
    </row>
    <row r="15702" spans="1:2">
      <c r="A15702" s="66">
        <v>46072.479063773149</v>
      </c>
      <c r="B15702" s="49" t="s">
        <v>10556</v>
      </c>
    </row>
    <row r="15703" spans="1:2">
      <c r="A15703" s="66">
        <v>46072.47906996528</v>
      </c>
      <c r="B15703" s="49" t="s">
        <v>10603</v>
      </c>
    </row>
    <row r="15704" spans="1:2">
      <c r="A15704" s="66">
        <v>46072.479072569447</v>
      </c>
      <c r="B15704" s="49" t="s">
        <v>10604</v>
      </c>
    </row>
    <row r="15705" spans="1:2">
      <c r="A15705" s="66">
        <v>46072.479075312498</v>
      </c>
      <c r="B15705" s="49" t="s">
        <v>10466</v>
      </c>
    </row>
    <row r="15706" spans="1:2">
      <c r="A15706" s="66">
        <v>46072.479080081015</v>
      </c>
      <c r="B15706" s="49" t="s">
        <v>10605</v>
      </c>
    </row>
    <row r="15707" spans="1:2">
      <c r="A15707" s="66">
        <v>46072.47908341435</v>
      </c>
      <c r="B15707" s="49" t="s">
        <v>10562</v>
      </c>
    </row>
    <row r="15708" spans="1:2">
      <c r="A15708" s="66">
        <v>46072.479085810184</v>
      </c>
      <c r="B15708" s="49" t="s">
        <v>10606</v>
      </c>
    </row>
    <row r="15709" spans="1:2">
      <c r="A15709" s="66">
        <v>46072.480407847223</v>
      </c>
      <c r="B15709" s="49" t="s">
        <v>10556</v>
      </c>
    </row>
    <row r="15710" spans="1:2">
      <c r="A15710" s="66">
        <v>46072.480410509263</v>
      </c>
      <c r="B15710" s="49" t="s">
        <v>10603</v>
      </c>
    </row>
    <row r="15711" spans="1:2">
      <c r="A15711" s="66">
        <v>46072.480413912039</v>
      </c>
      <c r="B15711" s="49" t="s">
        <v>10604</v>
      </c>
    </row>
    <row r="15712" spans="1:2">
      <c r="A15712" s="66">
        <v>46072.480433773148</v>
      </c>
      <c r="B15712" s="49" t="s">
        <v>10466</v>
      </c>
    </row>
    <row r="15713" spans="1:2">
      <c r="A15713" s="66">
        <v>46072.480435671299</v>
      </c>
      <c r="B15713" s="49" t="s">
        <v>10605</v>
      </c>
    </row>
    <row r="15714" spans="1:2">
      <c r="A15714" s="66">
        <v>46072.480438078703</v>
      </c>
      <c r="B15714" s="49" t="s">
        <v>10562</v>
      </c>
    </row>
    <row r="15715" spans="1:2">
      <c r="A15715" s="66">
        <v>46072.48044068287</v>
      </c>
      <c r="B15715" s="49" t="s">
        <v>10606</v>
      </c>
    </row>
    <row r="15716" spans="1:2">
      <c r="A15716" s="66">
        <v>46072.481292326389</v>
      </c>
      <c r="B15716" s="49" t="s">
        <v>10556</v>
      </c>
    </row>
    <row r="15717" spans="1:2">
      <c r="A15717" s="66">
        <v>46072.481294675927</v>
      </c>
      <c r="B15717" s="49" t="s">
        <v>10603</v>
      </c>
    </row>
    <row r="15718" spans="1:2">
      <c r="A15718" s="66">
        <v>46072.481297465274</v>
      </c>
      <c r="B15718" s="49" t="s">
        <v>10604</v>
      </c>
    </row>
    <row r="15719" spans="1:2">
      <c r="A15719" s="66">
        <v>46072.481299733801</v>
      </c>
      <c r="B15719" s="49" t="s">
        <v>10466</v>
      </c>
    </row>
    <row r="15720" spans="1:2">
      <c r="A15720" s="66">
        <v>46072.481302175926</v>
      </c>
      <c r="B15720" s="49" t="s">
        <v>10605</v>
      </c>
    </row>
    <row r="15721" spans="1:2">
      <c r="A15721" s="66">
        <v>46072.481304421293</v>
      </c>
      <c r="B15721" s="49" t="s">
        <v>10562</v>
      </c>
    </row>
    <row r="15722" spans="1:2">
      <c r="A15722" s="66">
        <v>46072.481306967587</v>
      </c>
      <c r="B15722" s="49" t="s">
        <v>10606</v>
      </c>
    </row>
    <row r="15723" spans="1:2">
      <c r="A15723" s="66">
        <v>46072.482492361116</v>
      </c>
      <c r="B15723" s="49" t="s">
        <v>10556</v>
      </c>
    </row>
    <row r="15724" spans="1:2">
      <c r="A15724" s="66">
        <v>46072.48249469907</v>
      </c>
      <c r="B15724" s="49" t="s">
        <v>10603</v>
      </c>
    </row>
    <row r="15725" spans="1:2">
      <c r="A15725" s="66">
        <v>46072.482497037039</v>
      </c>
      <c r="B15725" s="49" t="s">
        <v>10604</v>
      </c>
    </row>
    <row r="15726" spans="1:2">
      <c r="A15726" s="66">
        <v>46072.48249944445</v>
      </c>
      <c r="B15726" s="49" t="s">
        <v>10466</v>
      </c>
    </row>
    <row r="15727" spans="1:2">
      <c r="A15727" s="66">
        <v>46072.482501493054</v>
      </c>
      <c r="B15727" s="49" t="s">
        <v>10605</v>
      </c>
    </row>
    <row r="15728" spans="1:2">
      <c r="A15728" s="66">
        <v>46072.482503472223</v>
      </c>
      <c r="B15728" s="49" t="s">
        <v>10562</v>
      </c>
    </row>
    <row r="15729" spans="1:2">
      <c r="A15729" s="66">
        <v>46072.482505902779</v>
      </c>
      <c r="B15729" s="49" t="s">
        <v>10606</v>
      </c>
    </row>
    <row r="15730" spans="1:2">
      <c r="A15730" s="66">
        <v>46072.483365763888</v>
      </c>
      <c r="B15730" s="49" t="s">
        <v>10556</v>
      </c>
    </row>
    <row r="15731" spans="1:2">
      <c r="A15731" s="66">
        <v>46072.483368090281</v>
      </c>
      <c r="B15731" s="49" t="s">
        <v>10603</v>
      </c>
    </row>
    <row r="15732" spans="1:2">
      <c r="A15732" s="66">
        <v>46072.483370312504</v>
      </c>
      <c r="B15732" s="49" t="s">
        <v>10604</v>
      </c>
    </row>
    <row r="15733" spans="1:2">
      <c r="A15733" s="66">
        <v>46072.483372905088</v>
      </c>
      <c r="B15733" s="49" t="s">
        <v>10466</v>
      </c>
    </row>
    <row r="15734" spans="1:2">
      <c r="A15734" s="66">
        <v>46072.483375914351</v>
      </c>
      <c r="B15734" s="49" t="s">
        <v>10605</v>
      </c>
    </row>
    <row r="15735" spans="1:2">
      <c r="A15735" s="66">
        <v>46072.483378715275</v>
      </c>
      <c r="B15735" s="49" t="s">
        <v>10562</v>
      </c>
    </row>
    <row r="15736" spans="1:2">
      <c r="A15736" s="66">
        <v>46072.483382326391</v>
      </c>
      <c r="B15736" s="49" t="s">
        <v>10606</v>
      </c>
    </row>
    <row r="15737" spans="1:2">
      <c r="A15737" s="66">
        <v>46072.484341944444</v>
      </c>
      <c r="B15737" s="49" t="s">
        <v>10556</v>
      </c>
    </row>
    <row r="15738" spans="1:2">
      <c r="A15738" s="66">
        <v>46072.484345405093</v>
      </c>
      <c r="B15738" s="49" t="s">
        <v>10603</v>
      </c>
    </row>
    <row r="15739" spans="1:2">
      <c r="A15739" s="66">
        <v>46072.484348506943</v>
      </c>
      <c r="B15739" s="49" t="s">
        <v>10604</v>
      </c>
    </row>
    <row r="15740" spans="1:2">
      <c r="A15740" s="66">
        <v>46072.484351157407</v>
      </c>
      <c r="B15740" s="49" t="s">
        <v>10466</v>
      </c>
    </row>
    <row r="15741" spans="1:2">
      <c r="A15741" s="66">
        <v>46072.484354930551</v>
      </c>
      <c r="B15741" s="49" t="s">
        <v>10605</v>
      </c>
    </row>
    <row r="15742" spans="1:2">
      <c r="A15742" s="66">
        <v>46072.484372812498</v>
      </c>
      <c r="B15742" s="49" t="s">
        <v>10562</v>
      </c>
    </row>
    <row r="15743" spans="1:2">
      <c r="A15743" s="66">
        <v>46072.48439081019</v>
      </c>
      <c r="B15743" s="49" t="s">
        <v>10606</v>
      </c>
    </row>
    <row r="15744" spans="1:2">
      <c r="A15744" s="66">
        <v>46072.485688148146</v>
      </c>
      <c r="B15744" s="49" t="s">
        <v>10556</v>
      </c>
    </row>
    <row r="15745" spans="1:2">
      <c r="A15745" s="66">
        <v>46072.485690543981</v>
      </c>
      <c r="B15745" s="49" t="s">
        <v>10603</v>
      </c>
    </row>
    <row r="15746" spans="1:2">
      <c r="A15746" s="66">
        <v>46072.485693530092</v>
      </c>
      <c r="B15746" s="49" t="s">
        <v>10604</v>
      </c>
    </row>
    <row r="15747" spans="1:2">
      <c r="A15747" s="66">
        <v>46072.48570420139</v>
      </c>
      <c r="B15747" s="49" t="s">
        <v>10466</v>
      </c>
    </row>
    <row r="15748" spans="1:2">
      <c r="A15748" s="66">
        <v>46072.485706342588</v>
      </c>
      <c r="B15748" s="49" t="s">
        <v>10605</v>
      </c>
    </row>
    <row r="15749" spans="1:2">
      <c r="A15749" s="66">
        <v>46072.485718483797</v>
      </c>
      <c r="B15749" s="49" t="s">
        <v>10562</v>
      </c>
    </row>
    <row r="15750" spans="1:2">
      <c r="A15750" s="66">
        <v>46072.485720335651</v>
      </c>
      <c r="B15750" s="49" t="s">
        <v>10606</v>
      </c>
    </row>
    <row r="15751" spans="1:2">
      <c r="A15751" s="66">
        <v>46072.486977488428</v>
      </c>
      <c r="B15751" s="49" t="s">
        <v>10556</v>
      </c>
    </row>
    <row r="15752" spans="1:2">
      <c r="A15752" s="66">
        <v>46072.486979513887</v>
      </c>
      <c r="B15752" s="49" t="s">
        <v>10603</v>
      </c>
    </row>
    <row r="15753" spans="1:2">
      <c r="A15753" s="66">
        <v>46072.486982083334</v>
      </c>
      <c r="B15753" s="49" t="s">
        <v>10604</v>
      </c>
    </row>
    <row r="15754" spans="1:2">
      <c r="A15754" s="66">
        <v>46072.486986388889</v>
      </c>
      <c r="B15754" s="49" t="s">
        <v>10466</v>
      </c>
    </row>
    <row r="15755" spans="1:2">
      <c r="A15755" s="66">
        <v>46072.4869884375</v>
      </c>
      <c r="B15755" s="49" t="s">
        <v>10605</v>
      </c>
    </row>
    <row r="15756" spans="1:2">
      <c r="A15756" s="66">
        <v>46072.486990358797</v>
      </c>
      <c r="B15756" s="49" t="s">
        <v>10562</v>
      </c>
    </row>
    <row r="15757" spans="1:2">
      <c r="A15757" s="66">
        <v>46072.486993460647</v>
      </c>
      <c r="B15757" s="49" t="s">
        <v>10606</v>
      </c>
    </row>
    <row r="15758" spans="1:2">
      <c r="A15758" s="66">
        <v>46072.487952210649</v>
      </c>
      <c r="B15758" s="49" t="s">
        <v>10556</v>
      </c>
    </row>
    <row r="15759" spans="1:2">
      <c r="A15759" s="66">
        <v>46072.487954479162</v>
      </c>
      <c r="B15759" s="49" t="s">
        <v>10603</v>
      </c>
    </row>
    <row r="15760" spans="1:2">
      <c r="A15760" s="66">
        <v>46072.487957430552</v>
      </c>
      <c r="B15760" s="49" t="s">
        <v>10604</v>
      </c>
    </row>
    <row r="15761" spans="1:2">
      <c r="A15761" s="66">
        <v>46072.487959965278</v>
      </c>
      <c r="B15761" s="49" t="s">
        <v>10466</v>
      </c>
    </row>
    <row r="15762" spans="1:2">
      <c r="A15762" s="66">
        <v>46072.48796215278</v>
      </c>
      <c r="B15762" s="49" t="s">
        <v>10605</v>
      </c>
    </row>
    <row r="15763" spans="1:2">
      <c r="A15763" s="66">
        <v>46072.487964525462</v>
      </c>
      <c r="B15763" s="49" t="s">
        <v>10562</v>
      </c>
    </row>
    <row r="15764" spans="1:2">
      <c r="A15764" s="66">
        <v>46072.487967604167</v>
      </c>
      <c r="B15764" s="49" t="s">
        <v>10606</v>
      </c>
    </row>
    <row r="15765" spans="1:2">
      <c r="A15765" s="66">
        <v>46072.488961192124</v>
      </c>
      <c r="B15765" s="49" t="s">
        <v>10556</v>
      </c>
    </row>
    <row r="15766" spans="1:2">
      <c r="A15766" s="66">
        <v>46072.488963784723</v>
      </c>
      <c r="B15766" s="49" t="s">
        <v>10603</v>
      </c>
    </row>
    <row r="15767" spans="1:2">
      <c r="A15767" s="66">
        <v>46072.488966759258</v>
      </c>
      <c r="B15767" s="49" t="s">
        <v>10604</v>
      </c>
    </row>
    <row r="15768" spans="1:2">
      <c r="A15768" s="66">
        <v>46072.488969560189</v>
      </c>
      <c r="B15768" s="49" t="s">
        <v>10466</v>
      </c>
    </row>
    <row r="15769" spans="1:2">
      <c r="A15769" s="66">
        <v>46072.488972025458</v>
      </c>
      <c r="B15769" s="49" t="s">
        <v>10605</v>
      </c>
    </row>
    <row r="15770" spans="1:2">
      <c r="A15770" s="66">
        <v>46072.488975069442</v>
      </c>
      <c r="B15770" s="49" t="s">
        <v>10562</v>
      </c>
    </row>
    <row r="15771" spans="1:2">
      <c r="A15771" s="66">
        <v>46072.48897755787</v>
      </c>
      <c r="B15771" s="49" t="s">
        <v>10606</v>
      </c>
    </row>
    <row r="15772" spans="1:2">
      <c r="A15772" s="66">
        <v>46072.489810358791</v>
      </c>
      <c r="B15772" s="49" t="s">
        <v>10556</v>
      </c>
    </row>
    <row r="15773" spans="1:2">
      <c r="A15773" s="66">
        <v>46072.489813321758</v>
      </c>
      <c r="B15773" s="49" t="s">
        <v>10603</v>
      </c>
    </row>
    <row r="15774" spans="1:2">
      <c r="A15774" s="66">
        <v>46072.489816516201</v>
      </c>
      <c r="B15774" s="49" t="s">
        <v>10604</v>
      </c>
    </row>
    <row r="15775" spans="1:2">
      <c r="A15775" s="66">
        <v>46072.489819270835</v>
      </c>
      <c r="B15775" s="49" t="s">
        <v>10466</v>
      </c>
    </row>
    <row r="15776" spans="1:2">
      <c r="A15776" s="66">
        <v>46072.489822118056</v>
      </c>
      <c r="B15776" s="49" t="s">
        <v>10605</v>
      </c>
    </row>
    <row r="15777" spans="1:2">
      <c r="A15777" s="66">
        <v>46072.489826562502</v>
      </c>
      <c r="B15777" s="49" t="s">
        <v>10562</v>
      </c>
    </row>
    <row r="15778" spans="1:2">
      <c r="A15778" s="66">
        <v>46072.489830254628</v>
      </c>
      <c r="B15778" s="49" t="s">
        <v>10606</v>
      </c>
    </row>
    <row r="15779" spans="1:2">
      <c r="A15779" s="66">
        <v>46072.490917881943</v>
      </c>
      <c r="B15779" s="49" t="s">
        <v>10556</v>
      </c>
    </row>
    <row r="15780" spans="1:2">
      <c r="A15780" s="66">
        <v>46072.490921053242</v>
      </c>
      <c r="B15780" s="49" t="s">
        <v>10603</v>
      </c>
    </row>
    <row r="15781" spans="1:2">
      <c r="A15781" s="66">
        <v>46072.490924259255</v>
      </c>
      <c r="B15781" s="49" t="s">
        <v>10604</v>
      </c>
    </row>
    <row r="15782" spans="1:2">
      <c r="A15782" s="66">
        <v>46072.49092708333</v>
      </c>
      <c r="B15782" s="49" t="s">
        <v>10466</v>
      </c>
    </row>
    <row r="15783" spans="1:2">
      <c r="A15783" s="66">
        <v>46072.490929641208</v>
      </c>
      <c r="B15783" s="49" t="s">
        <v>10605</v>
      </c>
    </row>
    <row r="15784" spans="1:2">
      <c r="A15784" s="66">
        <v>46072.490932789355</v>
      </c>
      <c r="B15784" s="49" t="s">
        <v>10562</v>
      </c>
    </row>
    <row r="15785" spans="1:2">
      <c r="A15785" s="66">
        <v>46072.490939224532</v>
      </c>
      <c r="B15785" s="49" t="s">
        <v>10606</v>
      </c>
    </row>
    <row r="15786" spans="1:2">
      <c r="A15786" s="66">
        <v>46072.492177719905</v>
      </c>
      <c r="B15786" s="49" t="s">
        <v>10556</v>
      </c>
    </row>
    <row r="15787" spans="1:2">
      <c r="A15787" s="66">
        <v>46072.492180046298</v>
      </c>
      <c r="B15787" s="49" t="s">
        <v>10603</v>
      </c>
    </row>
    <row r="15788" spans="1:2">
      <c r="A15788" s="66">
        <v>46072.492182939815</v>
      </c>
      <c r="B15788" s="49" t="s">
        <v>10604</v>
      </c>
    </row>
    <row r="15789" spans="1:2">
      <c r="A15789" s="66">
        <v>46072.492185868061</v>
      </c>
      <c r="B15789" s="49" t="s">
        <v>10466</v>
      </c>
    </row>
    <row r="15790" spans="1:2">
      <c r="A15790" s="66">
        <v>46072.49218862268</v>
      </c>
      <c r="B15790" s="49" t="s">
        <v>10605</v>
      </c>
    </row>
    <row r="15791" spans="1:2">
      <c r="A15791" s="66">
        <v>46072.49219174769</v>
      </c>
      <c r="B15791" s="49" t="s">
        <v>10562</v>
      </c>
    </row>
    <row r="15792" spans="1:2">
      <c r="A15792" s="66">
        <v>46072.492193622689</v>
      </c>
      <c r="B15792" s="49" t="s">
        <v>10606</v>
      </c>
    </row>
    <row r="15793" spans="1:2">
      <c r="A15793" s="66">
        <v>46072.493566828707</v>
      </c>
      <c r="B15793" s="49" t="s">
        <v>10556</v>
      </c>
    </row>
    <row r="15794" spans="1:2">
      <c r="A15794" s="66">
        <v>46072.493569861108</v>
      </c>
      <c r="B15794" s="49" t="s">
        <v>10603</v>
      </c>
    </row>
    <row r="15795" spans="1:2">
      <c r="A15795" s="66">
        <v>46072.493573113425</v>
      </c>
      <c r="B15795" s="49" t="s">
        <v>10604</v>
      </c>
    </row>
    <row r="15796" spans="1:2">
      <c r="A15796" s="66">
        <v>46072.493576064815</v>
      </c>
      <c r="B15796" s="49" t="s">
        <v>10466</v>
      </c>
    </row>
    <row r="15797" spans="1:2">
      <c r="A15797" s="66">
        <v>46072.493578946756</v>
      </c>
      <c r="B15797" s="49" t="s">
        <v>10605</v>
      </c>
    </row>
    <row r="15798" spans="1:2">
      <c r="A15798" s="66">
        <v>46072.493582905096</v>
      </c>
      <c r="B15798" s="49" t="s">
        <v>10562</v>
      </c>
    </row>
    <row r="15799" spans="1:2">
      <c r="A15799" s="66">
        <v>46072.493586076387</v>
      </c>
      <c r="B15799" s="49" t="s">
        <v>10606</v>
      </c>
    </row>
    <row r="15800" spans="1:2">
      <c r="A15800" s="66">
        <v>46072.494650775465</v>
      </c>
      <c r="B15800" s="49" t="s">
        <v>10556</v>
      </c>
    </row>
    <row r="15801" spans="1:2">
      <c r="A15801" s="66">
        <v>46072.494653333335</v>
      </c>
      <c r="B15801" s="49" t="s">
        <v>10603</v>
      </c>
    </row>
    <row r="15802" spans="1:2">
      <c r="A15802" s="66">
        <v>46072.494656180555</v>
      </c>
      <c r="B15802" s="49" t="s">
        <v>10604</v>
      </c>
    </row>
    <row r="15803" spans="1:2">
      <c r="A15803" s="66">
        <v>46072.494658738426</v>
      </c>
      <c r="B15803" s="49" t="s">
        <v>10466</v>
      </c>
    </row>
    <row r="15804" spans="1:2">
      <c r="A15804" s="66">
        <v>46072.494661180557</v>
      </c>
      <c r="B15804" s="49" t="s">
        <v>10605</v>
      </c>
    </row>
    <row r="15805" spans="1:2">
      <c r="A15805" s="66">
        <v>46072.494666064813</v>
      </c>
      <c r="B15805" s="49" t="s">
        <v>10562</v>
      </c>
    </row>
    <row r="15806" spans="1:2">
      <c r="A15806" s="66">
        <v>46072.494668680556</v>
      </c>
      <c r="B15806" s="49" t="s">
        <v>10606</v>
      </c>
    </row>
    <row r="15807" spans="1:2">
      <c r="A15807" s="66">
        <v>46072.495501377314</v>
      </c>
      <c r="B15807" s="49" t="s">
        <v>10556</v>
      </c>
    </row>
    <row r="15808" spans="1:2">
      <c r="A15808" s="66">
        <v>46072.495505960644</v>
      </c>
      <c r="B15808" s="49" t="s">
        <v>10603</v>
      </c>
    </row>
    <row r="15809" spans="1:2">
      <c r="A15809" s="66">
        <v>46072.495508900465</v>
      </c>
      <c r="B15809" s="49" t="s">
        <v>10604</v>
      </c>
    </row>
    <row r="15810" spans="1:2">
      <c r="A15810" s="66">
        <v>46072.49551177083</v>
      </c>
      <c r="B15810" s="49" t="s">
        <v>10466</v>
      </c>
    </row>
    <row r="15811" spans="1:2">
      <c r="A15811" s="66">
        <v>46072.495517013886</v>
      </c>
      <c r="B15811" s="49" t="s">
        <v>10605</v>
      </c>
    </row>
    <row r="15812" spans="1:2">
      <c r="A15812" s="66">
        <v>46072.495526342595</v>
      </c>
      <c r="B15812" s="49" t="s">
        <v>10562</v>
      </c>
    </row>
    <row r="15813" spans="1:2">
      <c r="A15813" s="66">
        <v>46072.495529120366</v>
      </c>
      <c r="B15813" s="49" t="s">
        <v>10606</v>
      </c>
    </row>
    <row r="15814" spans="1:2">
      <c r="A15814" s="66">
        <v>46072.496559282408</v>
      </c>
      <c r="B15814" s="49" t="s">
        <v>10556</v>
      </c>
    </row>
    <row r="15815" spans="1:2">
      <c r="A15815" s="66">
        <v>46072.496565196758</v>
      </c>
      <c r="B15815" s="49" t="s">
        <v>10603</v>
      </c>
    </row>
    <row r="15816" spans="1:2">
      <c r="A15816" s="66">
        <v>46072.496570937496</v>
      </c>
      <c r="B15816" s="49" t="s">
        <v>10604</v>
      </c>
    </row>
    <row r="15817" spans="1:2">
      <c r="A15817" s="66">
        <v>46072.496577627317</v>
      </c>
      <c r="B15817" s="49" t="s">
        <v>10466</v>
      </c>
    </row>
    <row r="15818" spans="1:2">
      <c r="A15818" s="66">
        <v>46072.496579537037</v>
      </c>
      <c r="B15818" s="49" t="s">
        <v>10605</v>
      </c>
    </row>
    <row r="15819" spans="1:2">
      <c r="A15819" s="66">
        <v>46072.496581967593</v>
      </c>
      <c r="B15819" s="49" t="s">
        <v>10562</v>
      </c>
    </row>
    <row r="15820" spans="1:2">
      <c r="A15820" s="66">
        <v>46072.496584629625</v>
      </c>
      <c r="B15820" s="49" t="s">
        <v>10606</v>
      </c>
    </row>
    <row r="15821" spans="1:2">
      <c r="A15821" s="66">
        <v>46072.49741674769</v>
      </c>
      <c r="B15821" s="49" t="s">
        <v>10556</v>
      </c>
    </row>
    <row r="15822" spans="1:2">
      <c r="A15822" s="66">
        <v>46072.497427951384</v>
      </c>
      <c r="B15822" s="49" t="s">
        <v>10603</v>
      </c>
    </row>
    <row r="15823" spans="1:2">
      <c r="A15823" s="66">
        <v>46072.497430682866</v>
      </c>
      <c r="B15823" s="49" t="s">
        <v>10604</v>
      </c>
    </row>
    <row r="15824" spans="1:2">
      <c r="A15824" s="66">
        <v>46072.497433819444</v>
      </c>
      <c r="B15824" s="49" t="s">
        <v>10466</v>
      </c>
    </row>
    <row r="15825" spans="1:2">
      <c r="A15825" s="66">
        <v>46072.497435763886</v>
      </c>
      <c r="B15825" s="49" t="s">
        <v>10605</v>
      </c>
    </row>
    <row r="15826" spans="1:2">
      <c r="A15826" s="66">
        <v>46072.497437777776</v>
      </c>
      <c r="B15826" s="49" t="s">
        <v>10562</v>
      </c>
    </row>
    <row r="15827" spans="1:2">
      <c r="A15827" s="66">
        <v>46072.497441018517</v>
      </c>
      <c r="B15827" s="49" t="s">
        <v>10606</v>
      </c>
    </row>
    <row r="15828" spans="1:2">
      <c r="A15828" s="66">
        <v>46072.498259652777</v>
      </c>
      <c r="B15828" s="49" t="s">
        <v>10556</v>
      </c>
    </row>
    <row r="15829" spans="1:2">
      <c r="A15829" s="66">
        <v>46072.498262962967</v>
      </c>
      <c r="B15829" s="49" t="s">
        <v>10603</v>
      </c>
    </row>
    <row r="15830" spans="1:2">
      <c r="A15830" s="66">
        <v>46072.498265497685</v>
      </c>
      <c r="B15830" s="49" t="s">
        <v>10604</v>
      </c>
    </row>
    <row r="15831" spans="1:2">
      <c r="A15831" s="66">
        <v>46072.498268136573</v>
      </c>
      <c r="B15831" s="49" t="s">
        <v>10466</v>
      </c>
    </row>
    <row r="15832" spans="1:2">
      <c r="A15832" s="66">
        <v>46072.498270555559</v>
      </c>
      <c r="B15832" s="49" t="s">
        <v>10605</v>
      </c>
    </row>
    <row r="15833" spans="1:2">
      <c r="A15833" s="66">
        <v>46072.498273263889</v>
      </c>
      <c r="B15833" s="49" t="s">
        <v>10562</v>
      </c>
    </row>
    <row r="15834" spans="1:2">
      <c r="A15834" s="66">
        <v>46072.49827585648</v>
      </c>
      <c r="B15834" s="49" t="s">
        <v>10606</v>
      </c>
    </row>
    <row r="15835" spans="1:2">
      <c r="A15835" s="66">
        <v>46072.499302581018</v>
      </c>
      <c r="B15835" s="49" t="s">
        <v>10556</v>
      </c>
    </row>
    <row r="15836" spans="1:2">
      <c r="A15836" s="66">
        <v>46072.499305763893</v>
      </c>
      <c r="B15836" s="49" t="s">
        <v>10603</v>
      </c>
    </row>
    <row r="15837" spans="1:2">
      <c r="A15837" s="66">
        <v>46072.499311435182</v>
      </c>
      <c r="B15837" s="49" t="s">
        <v>10604</v>
      </c>
    </row>
    <row r="15838" spans="1:2">
      <c r="A15838" s="66">
        <v>46072.499313715278</v>
      </c>
      <c r="B15838" s="49" t="s">
        <v>10466</v>
      </c>
    </row>
    <row r="15839" spans="1:2">
      <c r="A15839" s="66">
        <v>46072.499316099536</v>
      </c>
      <c r="B15839" s="49" t="s">
        <v>10605</v>
      </c>
    </row>
    <row r="15840" spans="1:2">
      <c r="A15840" s="66">
        <v>46072.499318807866</v>
      </c>
      <c r="B15840" s="49" t="s">
        <v>10562</v>
      </c>
    </row>
    <row r="15841" spans="1:2">
      <c r="A15841" s="66">
        <v>46072.499321782409</v>
      </c>
      <c r="B15841" s="49" t="s">
        <v>10606</v>
      </c>
    </row>
    <row r="15842" spans="1:2">
      <c r="A15842" s="66">
        <v>46072.500663009254</v>
      </c>
      <c r="B15842" s="49" t="s">
        <v>10556</v>
      </c>
    </row>
    <row r="15843" spans="1:2">
      <c r="A15843" s="66">
        <v>46072.500666134263</v>
      </c>
      <c r="B15843" s="49" t="s">
        <v>10603</v>
      </c>
    </row>
    <row r="15844" spans="1:2">
      <c r="A15844" s="66">
        <v>46072.500674085648</v>
      </c>
      <c r="B15844" s="49" t="s">
        <v>10604</v>
      </c>
    </row>
    <row r="15845" spans="1:2">
      <c r="A15845" s="66">
        <v>46072.500677418982</v>
      </c>
      <c r="B15845" s="49" t="s">
        <v>10466</v>
      </c>
    </row>
    <row r="15846" spans="1:2">
      <c r="A15846" s="66">
        <v>46072.500680543977</v>
      </c>
      <c r="B15846" s="49" t="s">
        <v>10605</v>
      </c>
    </row>
    <row r="15847" spans="1:2">
      <c r="A15847" s="66">
        <v>46072.500684178245</v>
      </c>
      <c r="B15847" s="49" t="s">
        <v>10562</v>
      </c>
    </row>
    <row r="15848" spans="1:2">
      <c r="A15848" s="66">
        <v>46072.500687430555</v>
      </c>
      <c r="B15848" s="49" t="s">
        <v>10606</v>
      </c>
    </row>
    <row r="15849" spans="1:2">
      <c r="A15849" s="66">
        <v>46072.501952905091</v>
      </c>
      <c r="B15849" s="49" t="s">
        <v>10556</v>
      </c>
    </row>
    <row r="15850" spans="1:2">
      <c r="A15850" s="66">
        <v>46072.501956469903</v>
      </c>
      <c r="B15850" s="49" t="s">
        <v>10603</v>
      </c>
    </row>
    <row r="15851" spans="1:2">
      <c r="A15851" s="66">
        <v>46072.501959930552</v>
      </c>
      <c r="B15851" s="49" t="s">
        <v>10604</v>
      </c>
    </row>
    <row r="15852" spans="1:2">
      <c r="A15852" s="66">
        <v>46072.501963668983</v>
      </c>
      <c r="B15852" s="49" t="s">
        <v>10466</v>
      </c>
    </row>
    <row r="15853" spans="1:2">
      <c r="A15853" s="66">
        <v>46072.501967175922</v>
      </c>
      <c r="B15853" s="49" t="s">
        <v>10605</v>
      </c>
    </row>
    <row r="15854" spans="1:2">
      <c r="A15854" s="66">
        <v>46072.501970648147</v>
      </c>
      <c r="B15854" s="49" t="s">
        <v>10562</v>
      </c>
    </row>
    <row r="15855" spans="1:2">
      <c r="A15855" s="66">
        <v>46072.501974340281</v>
      </c>
      <c r="B15855" s="49" t="s">
        <v>10606</v>
      </c>
    </row>
    <row r="15856" spans="1:2">
      <c r="A15856" s="66">
        <v>46072.502894247686</v>
      </c>
      <c r="B15856" s="49" t="s">
        <v>10556</v>
      </c>
    </row>
    <row r="15857" spans="1:2">
      <c r="A15857" s="66">
        <v>46072.502897372688</v>
      </c>
      <c r="B15857" s="49" t="s">
        <v>10603</v>
      </c>
    </row>
    <row r="15858" spans="1:2">
      <c r="A15858" s="66">
        <v>46072.50290550926</v>
      </c>
      <c r="B15858" s="49" t="s">
        <v>10604</v>
      </c>
    </row>
    <row r="15859" spans="1:2">
      <c r="A15859" s="66">
        <v>46072.502908159724</v>
      </c>
      <c r="B15859" s="49" t="s">
        <v>10466</v>
      </c>
    </row>
    <row r="15860" spans="1:2">
      <c r="A15860" s="66">
        <v>46072.502911041665</v>
      </c>
      <c r="B15860" s="49" t="s">
        <v>10605</v>
      </c>
    </row>
    <row r="15861" spans="1:2">
      <c r="A15861" s="66">
        <v>46072.502914131939</v>
      </c>
      <c r="B15861" s="49" t="s">
        <v>10562</v>
      </c>
    </row>
    <row r="15862" spans="1:2">
      <c r="A15862" s="66">
        <v>46072.502917141202</v>
      </c>
      <c r="B15862" s="49" t="s">
        <v>10606</v>
      </c>
    </row>
    <row r="15863" spans="1:2">
      <c r="A15863" s="66">
        <v>46072.504297418986</v>
      </c>
      <c r="B15863" s="49" t="s">
        <v>10556</v>
      </c>
    </row>
    <row r="15864" spans="1:2">
      <c r="A15864" s="66">
        <v>46072.50429950231</v>
      </c>
      <c r="B15864" s="49" t="s">
        <v>10603</v>
      </c>
    </row>
    <row r="15865" spans="1:2">
      <c r="A15865" s="66">
        <v>46072.504301932873</v>
      </c>
      <c r="B15865" s="49" t="s">
        <v>10604</v>
      </c>
    </row>
    <row r="15866" spans="1:2">
      <c r="A15866" s="66">
        <v>46072.504304340277</v>
      </c>
      <c r="B15866" s="49" t="s">
        <v>10466</v>
      </c>
    </row>
    <row r="15867" spans="1:2">
      <c r="A15867" s="66">
        <v>46072.504306180555</v>
      </c>
      <c r="B15867" s="49" t="s">
        <v>10605</v>
      </c>
    </row>
    <row r="15868" spans="1:2">
      <c r="A15868" s="66">
        <v>46072.504308321761</v>
      </c>
      <c r="B15868" s="49" t="s">
        <v>10562</v>
      </c>
    </row>
    <row r="15869" spans="1:2">
      <c r="A15869" s="66">
        <v>46072.504312210644</v>
      </c>
      <c r="B15869" s="49" t="s">
        <v>10606</v>
      </c>
    </row>
    <row r="15870" spans="1:2">
      <c r="A15870" s="66">
        <v>46072.50566440972</v>
      </c>
      <c r="B15870" s="49" t="s">
        <v>10556</v>
      </c>
    </row>
    <row r="15871" spans="1:2">
      <c r="A15871" s="66">
        <v>46072.505667384263</v>
      </c>
      <c r="B15871" s="49" t="s">
        <v>10603</v>
      </c>
    </row>
    <row r="15872" spans="1:2">
      <c r="A15872" s="66">
        <v>46072.505670115745</v>
      </c>
      <c r="B15872" s="49" t="s">
        <v>10604</v>
      </c>
    </row>
    <row r="15873" spans="1:2">
      <c r="A15873" s="66">
        <v>46072.505672870371</v>
      </c>
      <c r="B15873" s="49" t="s">
        <v>10466</v>
      </c>
    </row>
    <row r="15874" spans="1:2">
      <c r="A15874" s="66">
        <v>46072.505675416665</v>
      </c>
      <c r="B15874" s="49" t="s">
        <v>10605</v>
      </c>
    </row>
    <row r="15875" spans="1:2">
      <c r="A15875" s="66">
        <v>46072.505677754627</v>
      </c>
      <c r="B15875" s="49" t="s">
        <v>10562</v>
      </c>
    </row>
    <row r="15876" spans="1:2">
      <c r="A15876" s="66">
        <v>46072.505680451388</v>
      </c>
      <c r="B15876" s="49" t="s">
        <v>10606</v>
      </c>
    </row>
    <row r="15877" spans="1:2">
      <c r="A15877" s="66">
        <v>46072.506803854165</v>
      </c>
      <c r="B15877" s="49" t="s">
        <v>10556</v>
      </c>
    </row>
    <row r="15878" spans="1:2">
      <c r="A15878" s="66">
        <v>46072.50680643518</v>
      </c>
      <c r="B15878" s="49" t="s">
        <v>10603</v>
      </c>
    </row>
    <row r="15879" spans="1:2">
      <c r="A15879" s="66">
        <v>46072.506809965278</v>
      </c>
      <c r="B15879" s="49" t="s">
        <v>10604</v>
      </c>
    </row>
    <row r="15880" spans="1:2">
      <c r="A15880" s="66">
        <v>46072.506813402782</v>
      </c>
      <c r="B15880" s="49" t="s">
        <v>10466</v>
      </c>
    </row>
    <row r="15881" spans="1:2">
      <c r="A15881" s="66">
        <v>46072.506816053239</v>
      </c>
      <c r="B15881" s="49" t="s">
        <v>10605</v>
      </c>
    </row>
    <row r="15882" spans="1:2">
      <c r="A15882" s="66">
        <v>46072.506818645837</v>
      </c>
      <c r="B15882" s="49" t="s">
        <v>10562</v>
      </c>
    </row>
    <row r="15883" spans="1:2">
      <c r="A15883" s="66">
        <v>46072.506823854172</v>
      </c>
      <c r="B15883" s="49" t="s">
        <v>10606</v>
      </c>
    </row>
    <row r="15884" spans="1:2">
      <c r="A15884" s="66">
        <v>46072.508223368059</v>
      </c>
      <c r="B15884" s="49" t="s">
        <v>10556</v>
      </c>
    </row>
    <row r="15885" spans="1:2">
      <c r="A15885" s="66">
        <v>46072.508226157406</v>
      </c>
      <c r="B15885" s="49" t="s">
        <v>10603</v>
      </c>
    </row>
    <row r="15886" spans="1:2">
      <c r="A15886" s="66">
        <v>46072.508229409723</v>
      </c>
      <c r="B15886" s="49" t="s">
        <v>10604</v>
      </c>
    </row>
    <row r="15887" spans="1:2">
      <c r="A15887" s="66">
        <v>46072.508232465276</v>
      </c>
      <c r="B15887" s="49" t="s">
        <v>10466</v>
      </c>
    </row>
    <row r="15888" spans="1:2">
      <c r="A15888" s="66">
        <v>46072.508235300927</v>
      </c>
      <c r="B15888" s="49" t="s">
        <v>10605</v>
      </c>
    </row>
    <row r="15889" spans="1:2">
      <c r="A15889" s="66">
        <v>46072.508238113427</v>
      </c>
      <c r="B15889" s="49" t="s">
        <v>10562</v>
      </c>
    </row>
    <row r="15890" spans="1:2">
      <c r="A15890" s="66">
        <v>46072.508241134259</v>
      </c>
      <c r="B15890" s="49" t="s">
        <v>10606</v>
      </c>
    </row>
    <row r="15891" spans="1:2">
      <c r="A15891" s="66">
        <v>46072.509253124997</v>
      </c>
      <c r="B15891" s="49" t="s">
        <v>10556</v>
      </c>
    </row>
    <row r="15892" spans="1:2">
      <c r="A15892" s="66">
        <v>46072.509257025464</v>
      </c>
      <c r="B15892" s="49" t="s">
        <v>10603</v>
      </c>
    </row>
    <row r="15893" spans="1:2">
      <c r="A15893" s="66">
        <v>46072.509259259255</v>
      </c>
      <c r="B15893" s="49" t="s">
        <v>10604</v>
      </c>
    </row>
    <row r="15894" spans="1:2">
      <c r="A15894" s="66">
        <v>46072.509261770829</v>
      </c>
      <c r="B15894" s="49" t="s">
        <v>10466</v>
      </c>
    </row>
    <row r="15895" spans="1:2">
      <c r="A15895" s="66">
        <v>46072.509264247681</v>
      </c>
      <c r="B15895" s="49" t="s">
        <v>10605</v>
      </c>
    </row>
    <row r="15896" spans="1:2">
      <c r="A15896" s="66">
        <v>46072.509268923612</v>
      </c>
      <c r="B15896" s="49" t="s">
        <v>10562</v>
      </c>
    </row>
    <row r="15897" spans="1:2">
      <c r="A15897" s="66">
        <v>46072.509271435185</v>
      </c>
      <c r="B15897" s="49" t="s">
        <v>10606</v>
      </c>
    </row>
    <row r="15898" spans="1:2">
      <c r="A15898" s="66">
        <v>46072.510118206017</v>
      </c>
      <c r="B15898" s="49" t="s">
        <v>10556</v>
      </c>
    </row>
    <row r="15899" spans="1:2">
      <c r="A15899" s="66">
        <v>46072.510120694446</v>
      </c>
      <c r="B15899" s="49" t="s">
        <v>10603</v>
      </c>
    </row>
    <row r="15900" spans="1:2">
      <c r="A15900" s="66">
        <v>46072.510125173612</v>
      </c>
      <c r="B15900" s="49" t="s">
        <v>10604</v>
      </c>
    </row>
    <row r="15901" spans="1:2">
      <c r="A15901" s="66">
        <v>46072.510127858797</v>
      </c>
      <c r="B15901" s="49" t="s">
        <v>10466</v>
      </c>
    </row>
    <row r="15902" spans="1:2">
      <c r="A15902" s="66">
        <v>46072.510129722221</v>
      </c>
      <c r="B15902" s="49" t="s">
        <v>10605</v>
      </c>
    </row>
    <row r="15903" spans="1:2">
      <c r="A15903" s="66">
        <v>46072.510131620365</v>
      </c>
      <c r="B15903" s="49" t="s">
        <v>10562</v>
      </c>
    </row>
    <row r="15904" spans="1:2">
      <c r="A15904" s="66">
        <v>46072.510133877317</v>
      </c>
      <c r="B15904" s="49" t="s">
        <v>10606</v>
      </c>
    </row>
    <row r="15905" spans="1:2">
      <c r="A15905" s="66">
        <v>46072.511453761574</v>
      </c>
      <c r="B15905" s="49" t="s">
        <v>10556</v>
      </c>
    </row>
    <row r="15906" spans="1:2">
      <c r="A15906" s="66">
        <v>46072.511457939814</v>
      </c>
      <c r="B15906" s="49" t="s">
        <v>10603</v>
      </c>
    </row>
    <row r="15907" spans="1:2">
      <c r="A15907" s="66">
        <v>46072.511460937501</v>
      </c>
      <c r="B15907" s="49" t="s">
        <v>10604</v>
      </c>
    </row>
    <row r="15908" spans="1:2">
      <c r="A15908" s="66">
        <v>46072.511463541668</v>
      </c>
      <c r="B15908" s="49" t="s">
        <v>10466</v>
      </c>
    </row>
    <row r="15909" spans="1:2">
      <c r="A15909" s="66">
        <v>46072.511466053242</v>
      </c>
      <c r="B15909" s="49" t="s">
        <v>10605</v>
      </c>
    </row>
    <row r="15910" spans="1:2">
      <c r="A15910" s="66">
        <v>46072.511468506942</v>
      </c>
      <c r="B15910" s="49" t="s">
        <v>10562</v>
      </c>
    </row>
    <row r="15911" spans="1:2">
      <c r="A15911" s="66">
        <v>46072.511480555557</v>
      </c>
      <c r="B15911" s="49" t="s">
        <v>10606</v>
      </c>
    </row>
    <row r="15912" spans="1:2">
      <c r="A15912" s="66">
        <v>46072.512426354166</v>
      </c>
      <c r="B15912" s="49" t="s">
        <v>10556</v>
      </c>
    </row>
    <row r="15913" spans="1:2">
      <c r="A15913" s="66">
        <v>46072.512429340277</v>
      </c>
      <c r="B15913" s="49" t="s">
        <v>10603</v>
      </c>
    </row>
    <row r="15914" spans="1:2">
      <c r="A15914" s="66">
        <v>46072.512432546297</v>
      </c>
      <c r="B15914" s="49" t="s">
        <v>10604</v>
      </c>
    </row>
    <row r="15915" spans="1:2">
      <c r="A15915" s="66">
        <v>46072.512437696758</v>
      </c>
      <c r="B15915" s="49" t="s">
        <v>10466</v>
      </c>
    </row>
    <row r="15916" spans="1:2">
      <c r="A15916" s="66">
        <v>46072.512440509265</v>
      </c>
      <c r="B15916" s="49" t="s">
        <v>10605</v>
      </c>
    </row>
    <row r="15917" spans="1:2">
      <c r="A15917" s="66">
        <v>46072.512443541666</v>
      </c>
      <c r="B15917" s="49" t="s">
        <v>10562</v>
      </c>
    </row>
    <row r="15918" spans="1:2">
      <c r="A15918" s="66">
        <v>46072.512446342589</v>
      </c>
      <c r="B15918" s="49" t="s">
        <v>10606</v>
      </c>
    </row>
    <row r="15919" spans="1:2">
      <c r="A15919" s="66">
        <v>46072.513578796294</v>
      </c>
      <c r="B15919" s="49" t="s">
        <v>10556</v>
      </c>
    </row>
    <row r="15920" spans="1:2">
      <c r="A15920" s="66">
        <v>46072.513583333333</v>
      </c>
      <c r="B15920" s="49" t="s">
        <v>10603</v>
      </c>
    </row>
    <row r="15921" spans="1:2">
      <c r="A15921" s="66">
        <v>46072.5135859375</v>
      </c>
      <c r="B15921" s="49" t="s">
        <v>10604</v>
      </c>
    </row>
    <row r="15922" spans="1:2">
      <c r="A15922" s="66">
        <v>46072.513588553236</v>
      </c>
      <c r="B15922" s="49" t="s">
        <v>10466</v>
      </c>
    </row>
    <row r="15923" spans="1:2">
      <c r="A15923" s="66">
        <v>46072.513591412033</v>
      </c>
      <c r="B15923" s="49" t="s">
        <v>10605</v>
      </c>
    </row>
    <row r="15924" spans="1:2">
      <c r="A15924" s="66">
        <v>46072.513593958334</v>
      </c>
      <c r="B15924" s="49" t="s">
        <v>10562</v>
      </c>
    </row>
    <row r="15925" spans="1:2">
      <c r="A15925" s="66">
        <v>46072.513596527773</v>
      </c>
      <c r="B15925" s="49" t="s">
        <v>10606</v>
      </c>
    </row>
    <row r="15926" spans="1:2">
      <c r="A15926" s="66">
        <v>46072.514957303239</v>
      </c>
      <c r="B15926" s="49" t="s">
        <v>10556</v>
      </c>
    </row>
    <row r="15927" spans="1:2">
      <c r="A15927" s="66">
        <v>46072.514959872686</v>
      </c>
      <c r="B15927" s="49" t="s">
        <v>10603</v>
      </c>
    </row>
    <row r="15928" spans="1:2">
      <c r="A15928" s="66">
        <v>46072.514961817127</v>
      </c>
      <c r="B15928" s="49" t="s">
        <v>10604</v>
      </c>
    </row>
    <row r="15929" spans="1:2">
      <c r="A15929" s="66">
        <v>46072.514963379625</v>
      </c>
      <c r="B15929" s="49" t="s">
        <v>10466</v>
      </c>
    </row>
    <row r="15930" spans="1:2">
      <c r="A15930" s="66">
        <v>46072.514968229167</v>
      </c>
      <c r="B15930" s="49" t="s">
        <v>10605</v>
      </c>
    </row>
    <row r="15931" spans="1:2">
      <c r="A15931" s="66">
        <v>46072.514970023149</v>
      </c>
      <c r="B15931" s="49" t="s">
        <v>10562</v>
      </c>
    </row>
    <row r="15932" spans="1:2">
      <c r="A15932" s="66">
        <v>46072.514972002318</v>
      </c>
      <c r="B15932" s="49" t="s">
        <v>10606</v>
      </c>
    </row>
    <row r="15933" spans="1:2">
      <c r="A15933" s="66">
        <v>46072.515975011571</v>
      </c>
      <c r="B15933" s="49" t="s">
        <v>10556</v>
      </c>
    </row>
    <row r="15934" spans="1:2">
      <c r="A15934" s="66">
        <v>46072.515978437499</v>
      </c>
      <c r="B15934" s="49" t="s">
        <v>10603</v>
      </c>
    </row>
    <row r="15935" spans="1:2">
      <c r="A15935" s="66">
        <v>46072.515981469907</v>
      </c>
      <c r="B15935" s="49" t="s">
        <v>10604</v>
      </c>
    </row>
    <row r="15936" spans="1:2">
      <c r="A15936" s="66">
        <v>46072.515984664351</v>
      </c>
      <c r="B15936" s="49" t="s">
        <v>10466</v>
      </c>
    </row>
    <row r="15937" spans="1:2">
      <c r="A15937" s="66">
        <v>46072.515990486107</v>
      </c>
      <c r="B15937" s="49" t="s">
        <v>10605</v>
      </c>
    </row>
    <row r="15938" spans="1:2">
      <c r="A15938" s="66">
        <v>46072.515994236106</v>
      </c>
      <c r="B15938" s="49" t="s">
        <v>10562</v>
      </c>
    </row>
    <row r="15939" spans="1:2">
      <c r="A15939" s="66">
        <v>46072.51599748843</v>
      </c>
      <c r="B15939" s="49" t="s">
        <v>10606</v>
      </c>
    </row>
    <row r="15940" spans="1:2">
      <c r="A15940" s="66">
        <v>46072.517382407408</v>
      </c>
      <c r="B15940" s="49" t="s">
        <v>10556</v>
      </c>
    </row>
    <row r="15941" spans="1:2">
      <c r="A15941" s="66">
        <v>46072.517385208332</v>
      </c>
      <c r="B15941" s="49" t="s">
        <v>10603</v>
      </c>
    </row>
    <row r="15942" spans="1:2">
      <c r="A15942" s="66">
        <v>46072.517387881948</v>
      </c>
      <c r="B15942" s="49" t="s">
        <v>10604</v>
      </c>
    </row>
    <row r="15943" spans="1:2">
      <c r="A15943" s="66">
        <v>46072.517390543981</v>
      </c>
      <c r="B15943" s="49" t="s">
        <v>10466</v>
      </c>
    </row>
    <row r="15944" spans="1:2">
      <c r="A15944" s="66">
        <v>46072.517399756944</v>
      </c>
      <c r="B15944" s="49" t="s">
        <v>10605</v>
      </c>
    </row>
    <row r="15945" spans="1:2">
      <c r="A15945" s="66">
        <v>46072.517402094905</v>
      </c>
      <c r="B15945" s="49" t="s">
        <v>10562</v>
      </c>
    </row>
    <row r="15946" spans="1:2">
      <c r="A15946" s="66">
        <v>46072.51740434028</v>
      </c>
      <c r="B15946" s="49" t="s">
        <v>10606</v>
      </c>
    </row>
    <row r="15947" spans="1:2">
      <c r="A15947" s="66">
        <v>46072.518847534724</v>
      </c>
      <c r="B15947" s="49" t="s">
        <v>10556</v>
      </c>
    </row>
    <row r="15948" spans="1:2">
      <c r="A15948" s="66">
        <v>46072.518849456013</v>
      </c>
      <c r="B15948" s="49" t="s">
        <v>10603</v>
      </c>
    </row>
    <row r="15949" spans="1:2">
      <c r="A15949" s="66">
        <v>46072.518851493056</v>
      </c>
      <c r="B15949" s="49" t="s">
        <v>10604</v>
      </c>
    </row>
    <row r="15950" spans="1:2">
      <c r="A15950" s="66">
        <v>46072.518853506946</v>
      </c>
      <c r="B15950" s="49" t="s">
        <v>10466</v>
      </c>
    </row>
    <row r="15951" spans="1:2">
      <c r="A15951" s="66">
        <v>46072.518856134258</v>
      </c>
      <c r="B15951" s="49" t="s">
        <v>10605</v>
      </c>
    </row>
    <row r="15952" spans="1:2">
      <c r="A15952" s="66">
        <v>46072.518857708332</v>
      </c>
      <c r="B15952" s="49" t="s">
        <v>10562</v>
      </c>
    </row>
    <row r="15953" spans="1:2">
      <c r="A15953" s="66">
        <v>46072.518860289347</v>
      </c>
      <c r="B15953" s="49" t="s">
        <v>10606</v>
      </c>
    </row>
    <row r="15954" spans="1:2">
      <c r="A15954" s="66">
        <v>46072.520213483796</v>
      </c>
      <c r="B15954" s="49" t="s">
        <v>10556</v>
      </c>
    </row>
    <row r="15955" spans="1:2">
      <c r="A15955" s="66">
        <v>46072.520216157413</v>
      </c>
      <c r="B15955" s="49" t="s">
        <v>10603</v>
      </c>
    </row>
    <row r="15956" spans="1:2">
      <c r="A15956" s="66">
        <v>46072.520218159727</v>
      </c>
      <c r="B15956" s="49" t="s">
        <v>10604</v>
      </c>
    </row>
    <row r="15957" spans="1:2">
      <c r="A15957" s="66">
        <v>46072.520220706021</v>
      </c>
      <c r="B15957" s="49" t="s">
        <v>10466</v>
      </c>
    </row>
    <row r="15958" spans="1:2">
      <c r="A15958" s="66">
        <v>46072.520222824074</v>
      </c>
      <c r="B15958" s="49" t="s">
        <v>10605</v>
      </c>
    </row>
    <row r="15959" spans="1:2">
      <c r="A15959" s="66">
        <v>46072.520225324071</v>
      </c>
      <c r="B15959" s="49" t="s">
        <v>10562</v>
      </c>
    </row>
    <row r="15960" spans="1:2">
      <c r="A15960" s="66">
        <v>46072.520227685185</v>
      </c>
      <c r="B15960" s="49" t="s">
        <v>10606</v>
      </c>
    </row>
    <row r="15961" spans="1:2">
      <c r="A15961" s="66">
        <v>46072.521188206018</v>
      </c>
      <c r="B15961" s="49" t="s">
        <v>10556</v>
      </c>
    </row>
    <row r="15962" spans="1:2">
      <c r="A15962" s="66">
        <v>46072.521190567131</v>
      </c>
      <c r="B15962" s="49" t="s">
        <v>10603</v>
      </c>
    </row>
    <row r="15963" spans="1:2">
      <c r="A15963" s="66">
        <v>46072.52119353009</v>
      </c>
      <c r="B15963" s="49" t="s">
        <v>10604</v>
      </c>
    </row>
    <row r="15964" spans="1:2">
      <c r="A15964" s="66">
        <v>46072.521195381945</v>
      </c>
      <c r="B15964" s="49" t="s">
        <v>10466</v>
      </c>
    </row>
    <row r="15965" spans="1:2">
      <c r="A15965" s="66">
        <v>46072.521197442125</v>
      </c>
      <c r="B15965" s="49" t="s">
        <v>10605</v>
      </c>
    </row>
    <row r="15966" spans="1:2">
      <c r="A15966" s="66">
        <v>46072.521200069445</v>
      </c>
      <c r="B15966" s="49" t="s">
        <v>10562</v>
      </c>
    </row>
    <row r="15967" spans="1:2">
      <c r="A15967" s="66">
        <v>46072.521201921292</v>
      </c>
      <c r="B15967" s="49" t="s">
        <v>10606</v>
      </c>
    </row>
    <row r="15968" spans="1:2">
      <c r="A15968" s="66">
        <v>46072.522335439819</v>
      </c>
      <c r="B15968" s="49" t="s">
        <v>10556</v>
      </c>
    </row>
    <row r="15969" spans="1:2">
      <c r="A15969" s="66">
        <v>46072.52233954861</v>
      </c>
      <c r="B15969" s="49" t="s">
        <v>10603</v>
      </c>
    </row>
    <row r="15970" spans="1:2">
      <c r="A15970" s="66">
        <v>46072.522342476848</v>
      </c>
      <c r="B15970" s="49" t="s">
        <v>10604</v>
      </c>
    </row>
    <row r="15971" spans="1:2">
      <c r="A15971" s="66">
        <v>46072.522357962967</v>
      </c>
      <c r="B15971" s="49" t="s">
        <v>10466</v>
      </c>
    </row>
    <row r="15972" spans="1:2">
      <c r="A15972" s="66">
        <v>46072.522360983799</v>
      </c>
      <c r="B15972" s="49" t="s">
        <v>10605</v>
      </c>
    </row>
    <row r="15973" spans="1:2">
      <c r="A15973" s="66">
        <v>46072.522363958335</v>
      </c>
      <c r="B15973" s="49" t="s">
        <v>10562</v>
      </c>
    </row>
    <row r="15974" spans="1:2">
      <c r="A15974" s="66">
        <v>46072.522373900458</v>
      </c>
      <c r="B15974" s="49" t="s">
        <v>10606</v>
      </c>
    </row>
    <row r="15975" spans="1:2">
      <c r="A15975" s="66">
        <v>46072.523201215277</v>
      </c>
      <c r="B15975" s="49" t="s">
        <v>10556</v>
      </c>
    </row>
    <row r="15976" spans="1:2">
      <c r="A15976" s="66">
        <v>46072.523204155092</v>
      </c>
      <c r="B15976" s="49" t="s">
        <v>10603</v>
      </c>
    </row>
    <row r="15977" spans="1:2">
      <c r="A15977" s="66">
        <v>46072.52320679398</v>
      </c>
      <c r="B15977" s="49" t="s">
        <v>10604</v>
      </c>
    </row>
    <row r="15978" spans="1:2">
      <c r="A15978" s="66">
        <v>46072.523209837964</v>
      </c>
      <c r="B15978" s="49" t="s">
        <v>10466</v>
      </c>
    </row>
    <row r="15979" spans="1:2">
      <c r="A15979" s="66">
        <v>46072.523212754633</v>
      </c>
      <c r="B15979" s="49" t="s">
        <v>10605</v>
      </c>
    </row>
    <row r="15980" spans="1:2">
      <c r="A15980" s="66">
        <v>46072.52321550926</v>
      </c>
      <c r="B15980" s="49" t="s">
        <v>10562</v>
      </c>
    </row>
    <row r="15981" spans="1:2">
      <c r="A15981" s="66">
        <v>46072.523219016206</v>
      </c>
      <c r="B15981" s="49" t="s">
        <v>10606</v>
      </c>
    </row>
    <row r="15982" spans="1:2">
      <c r="A15982" s="66">
        <v>46072.52462405093</v>
      </c>
      <c r="B15982" s="49" t="s">
        <v>10556</v>
      </c>
    </row>
    <row r="15983" spans="1:2">
      <c r="A15983" s="66">
        <v>46072.52463299768</v>
      </c>
      <c r="B15983" s="49" t="s">
        <v>10603</v>
      </c>
    </row>
    <row r="15984" spans="1:2">
      <c r="A15984" s="66">
        <v>46072.524636030095</v>
      </c>
      <c r="B15984" s="49" t="s">
        <v>10604</v>
      </c>
    </row>
    <row r="15985" spans="1:2">
      <c r="A15985" s="66">
        <v>46072.524638391202</v>
      </c>
      <c r="B15985" s="49" t="s">
        <v>10466</v>
      </c>
    </row>
    <row r="15986" spans="1:2">
      <c r="A15986" s="66">
        <v>46072.524640856485</v>
      </c>
      <c r="B15986" s="49" t="s">
        <v>10605</v>
      </c>
    </row>
    <row r="15987" spans="1:2">
      <c r="A15987" s="66">
        <v>46072.524644027777</v>
      </c>
      <c r="B15987" s="49" t="s">
        <v>10562</v>
      </c>
    </row>
    <row r="15988" spans="1:2">
      <c r="A15988" s="66">
        <v>46072.524646574078</v>
      </c>
      <c r="B15988" s="49" t="s">
        <v>10606</v>
      </c>
    </row>
    <row r="15989" spans="1:2">
      <c r="A15989" s="66">
        <v>46072.525472719906</v>
      </c>
      <c r="B15989" s="49" t="s">
        <v>10556</v>
      </c>
    </row>
    <row r="15990" spans="1:2">
      <c r="A15990" s="66">
        <v>46072.525475983799</v>
      </c>
      <c r="B15990" s="49" t="s">
        <v>10603</v>
      </c>
    </row>
    <row r="15991" spans="1:2">
      <c r="A15991" s="66">
        <v>46072.525478553245</v>
      </c>
      <c r="B15991" s="49" t="s">
        <v>10604</v>
      </c>
    </row>
    <row r="15992" spans="1:2">
      <c r="A15992" s="66">
        <v>46072.525484814818</v>
      </c>
      <c r="B15992" s="49" t="s">
        <v>10466</v>
      </c>
    </row>
    <row r="15993" spans="1:2">
      <c r="A15993" s="66">
        <v>46072.525487534724</v>
      </c>
      <c r="B15993" s="49" t="s">
        <v>10605</v>
      </c>
    </row>
    <row r="15994" spans="1:2">
      <c r="A15994" s="66">
        <v>46072.52549039352</v>
      </c>
      <c r="B15994" s="49" t="s">
        <v>10562</v>
      </c>
    </row>
    <row r="15995" spans="1:2">
      <c r="A15995" s="66">
        <v>46072.525493124995</v>
      </c>
      <c r="B15995" s="49" t="s">
        <v>10606</v>
      </c>
    </row>
    <row r="15996" spans="1:2">
      <c r="A15996" s="66">
        <v>46072.526800925931</v>
      </c>
      <c r="B15996" s="49" t="s">
        <v>10556</v>
      </c>
    </row>
    <row r="15997" spans="1:2">
      <c r="A15997" s="66">
        <v>46072.526803113426</v>
      </c>
      <c r="B15997" s="49" t="s">
        <v>10603</v>
      </c>
    </row>
    <row r="15998" spans="1:2">
      <c r="A15998" s="66">
        <v>46072.52680634259</v>
      </c>
      <c r="B15998" s="49" t="s">
        <v>10604</v>
      </c>
    </row>
    <row r="15999" spans="1:2">
      <c r="A15999" s="66">
        <v>46072.526811064818</v>
      </c>
      <c r="B15999" s="49" t="s">
        <v>10466</v>
      </c>
    </row>
    <row r="16000" spans="1:2">
      <c r="A16000" s="66">
        <v>46072.526813009259</v>
      </c>
      <c r="B16000" s="49" t="s">
        <v>10605</v>
      </c>
    </row>
    <row r="16001" spans="1:2">
      <c r="A16001" s="66">
        <v>46072.526815219906</v>
      </c>
      <c r="B16001" s="49" t="s">
        <v>10562</v>
      </c>
    </row>
    <row r="16002" spans="1:2">
      <c r="A16002" s="66">
        <v>46072.526817106482</v>
      </c>
      <c r="B16002" s="49" t="s">
        <v>10606</v>
      </c>
    </row>
    <row r="16003" spans="1:2">
      <c r="A16003" s="66">
        <v>46072.528244236106</v>
      </c>
      <c r="B16003" s="49" t="s">
        <v>10556</v>
      </c>
    </row>
    <row r="16004" spans="1:2">
      <c r="A16004" s="66">
        <v>46072.528246064816</v>
      </c>
      <c r="B16004" s="49" t="s">
        <v>10603</v>
      </c>
    </row>
    <row r="16005" spans="1:2">
      <c r="A16005" s="66">
        <v>46072.528248726856</v>
      </c>
      <c r="B16005" s="49" t="s">
        <v>10604</v>
      </c>
    </row>
    <row r="16006" spans="1:2">
      <c r="A16006" s="66">
        <v>46072.528250451389</v>
      </c>
      <c r="B16006" s="49" t="s">
        <v>10466</v>
      </c>
    </row>
    <row r="16007" spans="1:2">
      <c r="A16007" s="66">
        <v>46072.528254884259</v>
      </c>
      <c r="B16007" s="49" t="s">
        <v>10605</v>
      </c>
    </row>
    <row r="16008" spans="1:2">
      <c r="A16008" s="66">
        <v>46072.528256481484</v>
      </c>
      <c r="B16008" s="49" t="s">
        <v>10562</v>
      </c>
    </row>
    <row r="16009" spans="1:2">
      <c r="A16009" s="66">
        <v>46072.528259236111</v>
      </c>
      <c r="B16009" s="49" t="s">
        <v>10606</v>
      </c>
    </row>
    <row r="16010" spans="1:2">
      <c r="A16010" s="66">
        <v>46072.52936108796</v>
      </c>
      <c r="B16010" s="49" t="s">
        <v>10556</v>
      </c>
    </row>
    <row r="16011" spans="1:2">
      <c r="A16011" s="66">
        <v>46072.529364085647</v>
      </c>
      <c r="B16011" s="49" t="s">
        <v>10603</v>
      </c>
    </row>
    <row r="16012" spans="1:2">
      <c r="A16012" s="66">
        <v>46072.529373807869</v>
      </c>
      <c r="B16012" s="49" t="s">
        <v>10604</v>
      </c>
    </row>
    <row r="16013" spans="1:2">
      <c r="A16013" s="66">
        <v>46072.5293766088</v>
      </c>
      <c r="B16013" s="49" t="s">
        <v>10466</v>
      </c>
    </row>
    <row r="16014" spans="1:2">
      <c r="A16014" s="66">
        <v>46072.529386006943</v>
      </c>
      <c r="B16014" s="49" t="s">
        <v>10605</v>
      </c>
    </row>
    <row r="16015" spans="1:2">
      <c r="A16015" s="66">
        <v>46072.529392881945</v>
      </c>
      <c r="B16015" s="49" t="s">
        <v>10562</v>
      </c>
    </row>
    <row r="16016" spans="1:2">
      <c r="A16016" s="66">
        <v>46072.529395486112</v>
      </c>
      <c r="B16016" s="49" t="s">
        <v>10606</v>
      </c>
    </row>
    <row r="16017" spans="1:2">
      <c r="A16017" s="66">
        <v>46072.530170300925</v>
      </c>
      <c r="B16017" s="49" t="s">
        <v>10556</v>
      </c>
    </row>
    <row r="16018" spans="1:2">
      <c r="A16018" s="66">
        <v>46072.530173125</v>
      </c>
      <c r="B16018" s="49" t="s">
        <v>10603</v>
      </c>
    </row>
    <row r="16019" spans="1:2">
      <c r="A16019" s="66">
        <v>46072.530176215281</v>
      </c>
      <c r="B16019" s="49" t="s">
        <v>10604</v>
      </c>
    </row>
    <row r="16020" spans="1:2">
      <c r="A16020" s="66">
        <v>46072.530179351852</v>
      </c>
      <c r="B16020" s="49" t="s">
        <v>10466</v>
      </c>
    </row>
    <row r="16021" spans="1:2">
      <c r="A16021" s="66">
        <v>46072.530182256945</v>
      </c>
      <c r="B16021" s="49" t="s">
        <v>10605</v>
      </c>
    </row>
    <row r="16022" spans="1:2">
      <c r="A16022" s="66">
        <v>46072.530184976851</v>
      </c>
      <c r="B16022" s="49" t="s">
        <v>10562</v>
      </c>
    </row>
    <row r="16023" spans="1:2">
      <c r="A16023" s="66">
        <v>46072.530187719909</v>
      </c>
      <c r="B16023" s="49" t="s">
        <v>10606</v>
      </c>
    </row>
    <row r="16024" spans="1:2">
      <c r="A16024" s="66">
        <v>46072.531511319445</v>
      </c>
      <c r="B16024" s="49" t="s">
        <v>10556</v>
      </c>
    </row>
    <row r="16025" spans="1:2">
      <c r="A16025" s="66">
        <v>46072.531513923612</v>
      </c>
      <c r="B16025" s="49" t="s">
        <v>10603</v>
      </c>
    </row>
    <row r="16026" spans="1:2">
      <c r="A16026" s="66">
        <v>46072.531517349533</v>
      </c>
      <c r="B16026" s="49" t="s">
        <v>10604</v>
      </c>
    </row>
    <row r="16027" spans="1:2">
      <c r="A16027" s="66">
        <v>46072.531521620374</v>
      </c>
      <c r="B16027" s="49" t="s">
        <v>10466</v>
      </c>
    </row>
    <row r="16028" spans="1:2">
      <c r="A16028" s="66">
        <v>46072.531524166669</v>
      </c>
      <c r="B16028" s="49" t="s">
        <v>10605</v>
      </c>
    </row>
    <row r="16029" spans="1:2">
      <c r="A16029" s="66">
        <v>46072.531527280094</v>
      </c>
      <c r="B16029" s="49" t="s">
        <v>10562</v>
      </c>
    </row>
    <row r="16030" spans="1:2">
      <c r="A16030" s="66">
        <v>46072.531530370368</v>
      </c>
      <c r="B16030" s="49" t="s">
        <v>10606</v>
      </c>
    </row>
    <row r="16031" spans="1:2">
      <c r="A16031" s="66">
        <v>46072.532557847226</v>
      </c>
      <c r="B16031" s="49" t="s">
        <v>10556</v>
      </c>
    </row>
    <row r="16032" spans="1:2">
      <c r="A16032" s="66">
        <v>46072.532563125002</v>
      </c>
      <c r="B16032" s="49" t="s">
        <v>10603</v>
      </c>
    </row>
    <row r="16033" spans="1:2">
      <c r="A16033" s="66">
        <v>46072.532565034722</v>
      </c>
      <c r="B16033" s="49" t="s">
        <v>10604</v>
      </c>
    </row>
    <row r="16034" spans="1:2">
      <c r="A16034" s="66">
        <v>46072.532567708331</v>
      </c>
      <c r="B16034" s="49" t="s">
        <v>10466</v>
      </c>
    </row>
    <row r="16035" spans="1:2">
      <c r="A16035" s="66">
        <v>46072.532570162039</v>
      </c>
      <c r="B16035" s="49" t="s">
        <v>10605</v>
      </c>
    </row>
    <row r="16036" spans="1:2">
      <c r="A16036" s="66">
        <v>46072.532572291668</v>
      </c>
      <c r="B16036" s="49" t="s">
        <v>10562</v>
      </c>
    </row>
    <row r="16037" spans="1:2">
      <c r="A16037" s="66">
        <v>46072.532574432873</v>
      </c>
      <c r="B16037" s="49" t="s">
        <v>10606</v>
      </c>
    </row>
    <row r="16038" spans="1:2">
      <c r="A16038" s="66">
        <v>46072.533383726855</v>
      </c>
      <c r="B16038" s="49" t="s">
        <v>10556</v>
      </c>
    </row>
    <row r="16039" spans="1:2">
      <c r="A16039" s="66">
        <v>46072.53338581018</v>
      </c>
      <c r="B16039" s="49" t="s">
        <v>10603</v>
      </c>
    </row>
    <row r="16040" spans="1:2">
      <c r="A16040" s="66">
        <v>46072.533389479169</v>
      </c>
      <c r="B16040" s="49" t="s">
        <v>10604</v>
      </c>
    </row>
    <row r="16041" spans="1:2">
      <c r="A16041" s="66">
        <v>46072.533391238423</v>
      </c>
      <c r="B16041" s="49" t="s">
        <v>10466</v>
      </c>
    </row>
    <row r="16042" spans="1:2">
      <c r="A16042" s="66">
        <v>46072.533393784717</v>
      </c>
      <c r="B16042" s="49" t="s">
        <v>10605</v>
      </c>
    </row>
    <row r="16043" spans="1:2">
      <c r="A16043" s="66">
        <v>46072.5333956713</v>
      </c>
      <c r="B16043" s="49" t="s">
        <v>10562</v>
      </c>
    </row>
    <row r="16044" spans="1:2">
      <c r="A16044" s="66">
        <v>46072.533397812498</v>
      </c>
      <c r="B16044" s="49" t="s">
        <v>10606</v>
      </c>
    </row>
    <row r="16045" spans="1:2">
      <c r="A16045" s="66">
        <v>46072.534597534723</v>
      </c>
      <c r="B16045" s="49" t="s">
        <v>10556</v>
      </c>
    </row>
    <row r="16046" spans="1:2">
      <c r="A16046" s="66">
        <v>46072.534600219908</v>
      </c>
      <c r="B16046" s="49" t="s">
        <v>10603</v>
      </c>
    </row>
    <row r="16047" spans="1:2">
      <c r="A16047" s="66">
        <v>46072.534603275461</v>
      </c>
      <c r="B16047" s="49" t="s">
        <v>10604</v>
      </c>
    </row>
    <row r="16048" spans="1:2">
      <c r="A16048" s="66">
        <v>46072.534606331013</v>
      </c>
      <c r="B16048" s="49" t="s">
        <v>10466</v>
      </c>
    </row>
    <row r="16049" spans="1:2">
      <c r="A16049" s="66">
        <v>46072.534609259259</v>
      </c>
      <c r="B16049" s="49" t="s">
        <v>10605</v>
      </c>
    </row>
    <row r="16050" spans="1:2">
      <c r="A16050" s="66">
        <v>46072.534611990741</v>
      </c>
      <c r="B16050" s="49" t="s">
        <v>10562</v>
      </c>
    </row>
    <row r="16051" spans="1:2">
      <c r="A16051" s="66">
        <v>46072.534615266202</v>
      </c>
      <c r="B16051" s="49" t="s">
        <v>10606</v>
      </c>
    </row>
    <row r="16052" spans="1:2">
      <c r="A16052" s="66">
        <v>46072.535704004629</v>
      </c>
      <c r="B16052" s="49" t="s">
        <v>10556</v>
      </c>
    </row>
    <row r="16053" spans="1:2">
      <c r="A16053" s="66">
        <v>46072.535707476854</v>
      </c>
      <c r="B16053" s="49" t="s">
        <v>10603</v>
      </c>
    </row>
    <row r="16054" spans="1:2">
      <c r="A16054" s="66">
        <v>46072.53571063657</v>
      </c>
      <c r="B16054" s="49" t="s">
        <v>10604</v>
      </c>
    </row>
    <row r="16055" spans="1:2">
      <c r="A16055" s="66">
        <v>46072.535713935184</v>
      </c>
      <c r="B16055" s="49" t="s">
        <v>10466</v>
      </c>
    </row>
    <row r="16056" spans="1:2">
      <c r="A16056" s="66">
        <v>46072.535717164355</v>
      </c>
      <c r="B16056" s="49" t="s">
        <v>10605</v>
      </c>
    </row>
    <row r="16057" spans="1:2">
      <c r="A16057" s="66">
        <v>46072.535720416665</v>
      </c>
      <c r="B16057" s="49" t="s">
        <v>10562</v>
      </c>
    </row>
    <row r="16058" spans="1:2">
      <c r="A16058" s="66">
        <v>46072.535723634261</v>
      </c>
      <c r="B16058" s="49" t="s">
        <v>10606</v>
      </c>
    </row>
    <row r="16059" spans="1:2">
      <c r="A16059" s="66">
        <v>46072.536836724539</v>
      </c>
      <c r="B16059" s="49" t="s">
        <v>10556</v>
      </c>
    </row>
    <row r="16060" spans="1:2">
      <c r="A16060" s="66">
        <v>46072.536839502311</v>
      </c>
      <c r="B16060" s="49" t="s">
        <v>10603</v>
      </c>
    </row>
    <row r="16061" spans="1:2">
      <c r="A16061" s="66">
        <v>46072.536845254624</v>
      </c>
      <c r="B16061" s="49" t="s">
        <v>10604</v>
      </c>
    </row>
    <row r="16062" spans="1:2">
      <c r="A16062" s="66">
        <v>46072.536848391203</v>
      </c>
      <c r="B16062" s="49" t="s">
        <v>10466</v>
      </c>
    </row>
    <row r="16063" spans="1:2">
      <c r="A16063" s="66">
        <v>46072.536854861115</v>
      </c>
      <c r="B16063" s="49" t="s">
        <v>10605</v>
      </c>
    </row>
    <row r="16064" spans="1:2">
      <c r="A16064" s="66">
        <v>46072.536858078704</v>
      </c>
      <c r="B16064" s="49" t="s">
        <v>10562</v>
      </c>
    </row>
    <row r="16065" spans="1:2">
      <c r="A16065" s="66">
        <v>46072.536860914348</v>
      </c>
      <c r="B16065" s="49" t="s">
        <v>10606</v>
      </c>
    </row>
    <row r="16066" spans="1:2">
      <c r="A16066" s="66">
        <v>46072.53764790509</v>
      </c>
      <c r="B16066" s="49" t="s">
        <v>10556</v>
      </c>
    </row>
    <row r="16067" spans="1:2">
      <c r="A16067" s="66">
        <v>46072.537650833328</v>
      </c>
      <c r="B16067" s="49" t="s">
        <v>10603</v>
      </c>
    </row>
    <row r="16068" spans="1:2">
      <c r="A16068" s="66">
        <v>46072.537653437495</v>
      </c>
      <c r="B16068" s="49" t="s">
        <v>10604</v>
      </c>
    </row>
    <row r="16069" spans="1:2">
      <c r="A16069" s="66">
        <v>46072.537656168977</v>
      </c>
      <c r="B16069" s="49" t="s">
        <v>10466</v>
      </c>
    </row>
    <row r="16070" spans="1:2">
      <c r="A16070" s="66">
        <v>46072.537658773144</v>
      </c>
      <c r="B16070" s="49" t="s">
        <v>10605</v>
      </c>
    </row>
    <row r="16071" spans="1:2">
      <c r="A16071" s="66">
        <v>46072.537661539347</v>
      </c>
      <c r="B16071" s="49" t="s">
        <v>10562</v>
      </c>
    </row>
    <row r="16072" spans="1:2">
      <c r="A16072" s="66">
        <v>46072.537664328702</v>
      </c>
      <c r="B16072" s="49" t="s">
        <v>10606</v>
      </c>
    </row>
    <row r="16073" spans="1:2">
      <c r="A16073" s="66">
        <v>46072.53845472222</v>
      </c>
      <c r="B16073" s="49" t="s">
        <v>10556</v>
      </c>
    </row>
    <row r="16074" spans="1:2">
      <c r="A16074" s="66">
        <v>46072.538458368057</v>
      </c>
      <c r="B16074" s="49" t="s">
        <v>10603</v>
      </c>
    </row>
    <row r="16075" spans="1:2">
      <c r="A16075" s="66">
        <v>46072.538462905097</v>
      </c>
      <c r="B16075" s="49" t="s">
        <v>10604</v>
      </c>
    </row>
    <row r="16076" spans="1:2">
      <c r="A16076" s="66">
        <v>46072.538466342594</v>
      </c>
      <c r="B16076" s="49" t="s">
        <v>10466</v>
      </c>
    </row>
    <row r="16077" spans="1:2">
      <c r="A16077" s="66">
        <v>46072.538469629631</v>
      </c>
      <c r="B16077" s="49" t="s">
        <v>10605</v>
      </c>
    </row>
    <row r="16078" spans="1:2">
      <c r="A16078" s="66">
        <v>46072.538474004628</v>
      </c>
      <c r="B16078" s="49" t="s">
        <v>10562</v>
      </c>
    </row>
    <row r="16079" spans="1:2">
      <c r="A16079" s="66">
        <v>46072.53847748843</v>
      </c>
      <c r="B16079" s="49" t="s">
        <v>10606</v>
      </c>
    </row>
    <row r="16080" spans="1:2">
      <c r="A16080" s="66">
        <v>46072.539520520833</v>
      </c>
      <c r="B16080" s="49" t="s">
        <v>10556</v>
      </c>
    </row>
    <row r="16081" spans="1:2">
      <c r="A16081" s="66">
        <v>46072.539523518513</v>
      </c>
      <c r="B16081" s="49" t="s">
        <v>10603</v>
      </c>
    </row>
    <row r="16082" spans="1:2">
      <c r="A16082" s="66">
        <v>46072.53952648148</v>
      </c>
      <c r="B16082" s="49" t="s">
        <v>10604</v>
      </c>
    </row>
    <row r="16083" spans="1:2">
      <c r="A16083" s="66">
        <v>46072.539529652779</v>
      </c>
      <c r="B16083" s="49" t="s">
        <v>10466</v>
      </c>
    </row>
    <row r="16084" spans="1:2">
      <c r="A16084" s="66">
        <v>46072.539532094903</v>
      </c>
      <c r="B16084" s="49" t="s">
        <v>10605</v>
      </c>
    </row>
    <row r="16085" spans="1:2">
      <c r="A16085" s="66">
        <v>46072.539534965283</v>
      </c>
      <c r="B16085" s="49" t="s">
        <v>10562</v>
      </c>
    </row>
    <row r="16086" spans="1:2">
      <c r="A16086" s="66">
        <v>46072.539538159719</v>
      </c>
      <c r="B16086" s="49" t="s">
        <v>10606</v>
      </c>
    </row>
    <row r="16087" spans="1:2">
      <c r="A16087" s="66">
        <v>46072.540450694447</v>
      </c>
      <c r="B16087" s="49" t="s">
        <v>10556</v>
      </c>
    </row>
    <row r="16088" spans="1:2">
      <c r="A16088" s="66">
        <v>46072.540453576388</v>
      </c>
      <c r="B16088" s="49" t="s">
        <v>10603</v>
      </c>
    </row>
    <row r="16089" spans="1:2">
      <c r="A16089" s="66">
        <v>46072.540456782408</v>
      </c>
      <c r="B16089" s="49" t="s">
        <v>10604</v>
      </c>
    </row>
    <row r="16090" spans="1:2">
      <c r="A16090" s="66">
        <v>46072.540459525466</v>
      </c>
      <c r="B16090" s="49" t="s">
        <v>10466</v>
      </c>
    </row>
    <row r="16091" spans="1:2">
      <c r="A16091" s="66">
        <v>46072.540462777775</v>
      </c>
      <c r="B16091" s="49" t="s">
        <v>10605</v>
      </c>
    </row>
    <row r="16092" spans="1:2">
      <c r="A16092" s="66">
        <v>46072.540465810183</v>
      </c>
      <c r="B16092" s="49" t="s">
        <v>10562</v>
      </c>
    </row>
    <row r="16093" spans="1:2">
      <c r="A16093" s="66">
        <v>46072.540468912033</v>
      </c>
      <c r="B16093" s="49" t="s">
        <v>10606</v>
      </c>
    </row>
    <row r="16094" spans="1:2">
      <c r="A16094" s="66">
        <v>46072.541720046298</v>
      </c>
      <c r="B16094" s="49" t="s">
        <v>10556</v>
      </c>
    </row>
    <row r="16095" spans="1:2">
      <c r="A16095" s="66">
        <v>46072.541722627313</v>
      </c>
      <c r="B16095" s="49" t="s">
        <v>10603</v>
      </c>
    </row>
    <row r="16096" spans="1:2">
      <c r="A16096" s="66">
        <v>46072.541728090277</v>
      </c>
      <c r="B16096" s="49" t="s">
        <v>10604</v>
      </c>
    </row>
    <row r="16097" spans="1:2">
      <c r="A16097" s="66">
        <v>46072.541730925921</v>
      </c>
      <c r="B16097" s="49" t="s">
        <v>10466</v>
      </c>
    </row>
    <row r="16098" spans="1:2">
      <c r="A16098" s="66">
        <v>46072.541733993057</v>
      </c>
      <c r="B16098" s="49" t="s">
        <v>10605</v>
      </c>
    </row>
    <row r="16099" spans="1:2">
      <c r="A16099" s="66">
        <v>46072.541737083331</v>
      </c>
      <c r="B16099" s="49" t="s">
        <v>10562</v>
      </c>
    </row>
    <row r="16100" spans="1:2">
      <c r="A16100" s="66">
        <v>46072.54174054398</v>
      </c>
      <c r="B16100" s="49" t="s">
        <v>10606</v>
      </c>
    </row>
    <row r="16101" spans="1:2">
      <c r="A16101" s="66">
        <v>46072.542994467593</v>
      </c>
      <c r="B16101" s="49" t="s">
        <v>10556</v>
      </c>
    </row>
    <row r="16102" spans="1:2">
      <c r="A16102" s="66">
        <v>46072.542997037039</v>
      </c>
      <c r="B16102" s="49" t="s">
        <v>10603</v>
      </c>
    </row>
    <row r="16103" spans="1:2">
      <c r="A16103" s="66">
        <v>46072.542999699072</v>
      </c>
      <c r="B16103" s="49" t="s">
        <v>10604</v>
      </c>
    </row>
    <row r="16104" spans="1:2">
      <c r="A16104" s="66">
        <v>46072.543002256949</v>
      </c>
      <c r="B16104" s="49" t="s">
        <v>10466</v>
      </c>
    </row>
    <row r="16105" spans="1:2">
      <c r="A16105" s="66">
        <v>46072.543005023152</v>
      </c>
      <c r="B16105" s="49" t="s">
        <v>10605</v>
      </c>
    </row>
    <row r="16106" spans="1:2">
      <c r="A16106" s="66">
        <v>46072.543007546294</v>
      </c>
      <c r="B16106" s="49" t="s">
        <v>10562</v>
      </c>
    </row>
    <row r="16107" spans="1:2">
      <c r="A16107" s="66">
        <v>46072.543010185182</v>
      </c>
      <c r="B16107" s="49" t="s">
        <v>10606</v>
      </c>
    </row>
    <row r="16108" spans="1:2">
      <c r="A16108" s="66">
        <v>46072.543989837963</v>
      </c>
      <c r="B16108" s="49" t="s">
        <v>10556</v>
      </c>
    </row>
    <row r="16109" spans="1:2">
      <c r="A16109" s="66">
        <v>46072.543992083331</v>
      </c>
      <c r="B16109" s="49" t="s">
        <v>10603</v>
      </c>
    </row>
    <row r="16110" spans="1:2">
      <c r="A16110" s="66">
        <v>46072.543994560183</v>
      </c>
      <c r="B16110" s="49" t="s">
        <v>10604</v>
      </c>
    </row>
    <row r="16111" spans="1:2">
      <c r="A16111" s="66">
        <v>46072.543997141205</v>
      </c>
      <c r="B16111" s="49" t="s">
        <v>10466</v>
      </c>
    </row>
    <row r="16112" spans="1:2">
      <c r="A16112" s="66">
        <v>46072.544006157405</v>
      </c>
      <c r="B16112" s="49" t="s">
        <v>10605</v>
      </c>
    </row>
    <row r="16113" spans="1:2">
      <c r="A16113" s="66">
        <v>46072.544008425924</v>
      </c>
      <c r="B16113" s="49" t="s">
        <v>10562</v>
      </c>
    </row>
    <row r="16114" spans="1:2">
      <c r="A16114" s="66">
        <v>46072.544012546292</v>
      </c>
      <c r="B16114" s="49" t="s">
        <v>10606</v>
      </c>
    </row>
    <row r="16115" spans="1:2">
      <c r="A16115" s="66">
        <v>46072.54490706019</v>
      </c>
      <c r="B16115" s="49" t="s">
        <v>10556</v>
      </c>
    </row>
    <row r="16116" spans="1:2">
      <c r="A16116" s="66">
        <v>46072.544909606484</v>
      </c>
      <c r="B16116" s="49" t="s">
        <v>10603</v>
      </c>
    </row>
    <row r="16117" spans="1:2">
      <c r="A16117" s="66">
        <v>46072.544912233796</v>
      </c>
      <c r="B16117" s="49" t="s">
        <v>10604</v>
      </c>
    </row>
    <row r="16118" spans="1:2">
      <c r="A16118" s="66">
        <v>46072.544915057872</v>
      </c>
      <c r="B16118" s="49" t="s">
        <v>10466</v>
      </c>
    </row>
    <row r="16119" spans="1:2">
      <c r="A16119" s="66">
        <v>46072.54491773148</v>
      </c>
      <c r="B16119" s="49" t="s">
        <v>10605</v>
      </c>
    </row>
    <row r="16120" spans="1:2">
      <c r="A16120" s="66">
        <v>46072.544920393513</v>
      </c>
      <c r="B16120" s="49" t="s">
        <v>10562</v>
      </c>
    </row>
    <row r="16121" spans="1:2">
      <c r="A16121" s="66">
        <v>46072.54492349537</v>
      </c>
      <c r="B16121" s="49" t="s">
        <v>10606</v>
      </c>
    </row>
    <row r="16122" spans="1:2">
      <c r="A16122" s="66">
        <v>46072.545968252314</v>
      </c>
      <c r="B16122" s="49" t="s">
        <v>10556</v>
      </c>
    </row>
    <row r="16123" spans="1:2">
      <c r="A16123" s="66">
        <v>46072.545971192128</v>
      </c>
      <c r="B16123" s="49" t="s">
        <v>10603</v>
      </c>
    </row>
    <row r="16124" spans="1:2">
      <c r="A16124" s="66">
        <v>46072.545974305554</v>
      </c>
      <c r="B16124" s="49" t="s">
        <v>10604</v>
      </c>
    </row>
    <row r="16125" spans="1:2">
      <c r="A16125" s="66">
        <v>46072.545977106478</v>
      </c>
      <c r="B16125" s="49" t="s">
        <v>10466</v>
      </c>
    </row>
    <row r="16126" spans="1:2">
      <c r="A16126" s="66">
        <v>46072.545980787036</v>
      </c>
      <c r="B16126" s="49" t="s">
        <v>10605</v>
      </c>
    </row>
    <row r="16127" spans="1:2">
      <c r="A16127" s="66">
        <v>46072.54598653935</v>
      </c>
      <c r="B16127" s="49" t="s">
        <v>10562</v>
      </c>
    </row>
    <row r="16128" spans="1:2">
      <c r="A16128" s="66">
        <v>46072.545994143518</v>
      </c>
      <c r="B16128" s="49" t="s">
        <v>10606</v>
      </c>
    </row>
    <row r="16129" spans="1:2">
      <c r="A16129" s="66">
        <v>46072.547269872681</v>
      </c>
      <c r="B16129" s="49" t="s">
        <v>10556</v>
      </c>
    </row>
    <row r="16130" spans="1:2">
      <c r="A16130" s="66">
        <v>46072.547272511569</v>
      </c>
      <c r="B16130" s="49" t="s">
        <v>10603</v>
      </c>
    </row>
    <row r="16131" spans="1:2">
      <c r="A16131" s="66">
        <v>46072.547275821758</v>
      </c>
      <c r="B16131" s="49" t="s">
        <v>10604</v>
      </c>
    </row>
    <row r="16132" spans="1:2">
      <c r="A16132" s="66">
        <v>46072.547278564816</v>
      </c>
      <c r="B16132" s="49" t="s">
        <v>10466</v>
      </c>
    </row>
    <row r="16133" spans="1:2">
      <c r="A16133" s="66">
        <v>46072.54728165509</v>
      </c>
      <c r="B16133" s="49" t="s">
        <v>10605</v>
      </c>
    </row>
    <row r="16134" spans="1:2">
      <c r="A16134" s="66">
        <v>46072.547284097222</v>
      </c>
      <c r="B16134" s="49" t="s">
        <v>10562</v>
      </c>
    </row>
    <row r="16135" spans="1:2">
      <c r="A16135" s="66">
        <v>46072.547286516201</v>
      </c>
      <c r="B16135" s="49" t="s">
        <v>10606</v>
      </c>
    </row>
    <row r="16136" spans="1:2">
      <c r="A16136" s="66">
        <v>46072.548342442125</v>
      </c>
      <c r="B16136" s="49" t="s">
        <v>10556</v>
      </c>
    </row>
    <row r="16137" spans="1:2">
      <c r="A16137" s="66">
        <v>46072.548344791663</v>
      </c>
      <c r="B16137" s="49" t="s">
        <v>10603</v>
      </c>
    </row>
    <row r="16138" spans="1:2">
      <c r="A16138" s="66">
        <v>46072.548350868055</v>
      </c>
      <c r="B16138" s="49" t="s">
        <v>10604</v>
      </c>
    </row>
    <row r="16139" spans="1:2">
      <c r="A16139" s="66">
        <v>46072.548353113423</v>
      </c>
      <c r="B16139" s="49" t="s">
        <v>10466</v>
      </c>
    </row>
    <row r="16140" spans="1:2">
      <c r="A16140" s="66">
        <v>46072.548355590276</v>
      </c>
      <c r="B16140" s="49" t="s">
        <v>10605</v>
      </c>
    </row>
    <row r="16141" spans="1:2">
      <c r="A16141" s="66">
        <v>46072.548358888889</v>
      </c>
      <c r="B16141" s="49" t="s">
        <v>10562</v>
      </c>
    </row>
    <row r="16142" spans="1:2">
      <c r="A16142" s="66">
        <v>46072.548361655092</v>
      </c>
      <c r="B16142" s="49" t="s">
        <v>10606</v>
      </c>
    </row>
    <row r="16143" spans="1:2">
      <c r="A16143" s="66">
        <v>46072.549139849536</v>
      </c>
      <c r="B16143" s="49" t="s">
        <v>10556</v>
      </c>
    </row>
    <row r="16144" spans="1:2">
      <c r="A16144" s="66">
        <v>46072.549142523145</v>
      </c>
      <c r="B16144" s="49" t="s">
        <v>10603</v>
      </c>
    </row>
    <row r="16145" spans="1:2">
      <c r="A16145" s="66">
        <v>46072.549144942124</v>
      </c>
      <c r="B16145" s="49" t="s">
        <v>10604</v>
      </c>
    </row>
    <row r="16146" spans="1:2">
      <c r="A16146" s="66">
        <v>46072.549146782403</v>
      </c>
      <c r="B16146" s="49" t="s">
        <v>10466</v>
      </c>
    </row>
    <row r="16147" spans="1:2">
      <c r="A16147" s="66">
        <v>46072.549149027778</v>
      </c>
      <c r="B16147" s="49" t="s">
        <v>10605</v>
      </c>
    </row>
    <row r="16148" spans="1:2">
      <c r="A16148" s="66">
        <v>46072.54915107639</v>
      </c>
      <c r="B16148" s="49" t="s">
        <v>10562</v>
      </c>
    </row>
    <row r="16149" spans="1:2">
      <c r="A16149" s="66">
        <v>46072.549153587963</v>
      </c>
      <c r="B16149" s="49" t="s">
        <v>10606</v>
      </c>
    </row>
    <row r="16150" spans="1:2">
      <c r="A16150" s="66">
        <v>46072.550358993059</v>
      </c>
      <c r="B16150" s="49" t="s">
        <v>10556</v>
      </c>
    </row>
    <row r="16151" spans="1:2">
      <c r="A16151" s="66">
        <v>46072.550361550922</v>
      </c>
      <c r="B16151" s="49" t="s">
        <v>10603</v>
      </c>
    </row>
    <row r="16152" spans="1:2">
      <c r="A16152" s="66">
        <v>46072.550364768518</v>
      </c>
      <c r="B16152" s="49" t="s">
        <v>10604</v>
      </c>
    </row>
    <row r="16153" spans="1:2">
      <c r="A16153" s="66">
        <v>46072.550367025462</v>
      </c>
      <c r="B16153" s="49" t="s">
        <v>10466</v>
      </c>
    </row>
    <row r="16154" spans="1:2">
      <c r="A16154" s="66">
        <v>46072.550371261575</v>
      </c>
      <c r="B16154" s="49" t="s">
        <v>10605</v>
      </c>
    </row>
    <row r="16155" spans="1:2">
      <c r="A16155" s="66">
        <v>46072.550374571758</v>
      </c>
      <c r="B16155" s="49" t="s">
        <v>10562</v>
      </c>
    </row>
    <row r="16156" spans="1:2">
      <c r="A16156" s="66">
        <v>46072.550377905092</v>
      </c>
      <c r="B16156" s="49" t="s">
        <v>10606</v>
      </c>
    </row>
    <row r="16157" spans="1:2">
      <c r="A16157" s="66">
        <v>46072.551657708333</v>
      </c>
      <c r="B16157" s="49" t="s">
        <v>10556</v>
      </c>
    </row>
    <row r="16158" spans="1:2">
      <c r="A16158" s="66">
        <v>46072.551659826393</v>
      </c>
      <c r="B16158" s="49" t="s">
        <v>10603</v>
      </c>
    </row>
    <row r="16159" spans="1:2">
      <c r="A16159" s="66">
        <v>46072.551662106482</v>
      </c>
      <c r="B16159" s="49" t="s">
        <v>10604</v>
      </c>
    </row>
    <row r="16160" spans="1:2">
      <c r="A16160" s="66">
        <v>46072.551664293977</v>
      </c>
      <c r="B16160" s="49" t="s">
        <v>10466</v>
      </c>
    </row>
    <row r="16161" spans="1:2">
      <c r="A16161" s="66">
        <v>46072.551665879626</v>
      </c>
      <c r="B16161" s="49" t="s">
        <v>10605</v>
      </c>
    </row>
    <row r="16162" spans="1:2">
      <c r="A16162" s="66">
        <v>46072.551670358793</v>
      </c>
      <c r="B16162" s="49" t="s">
        <v>10562</v>
      </c>
    </row>
    <row r="16163" spans="1:2">
      <c r="A16163" s="66">
        <v>46072.551675023147</v>
      </c>
      <c r="B16163" s="49" t="s">
        <v>10606</v>
      </c>
    </row>
    <row r="16164" spans="1:2">
      <c r="A16164" s="66">
        <v>46072.552864108795</v>
      </c>
      <c r="B16164" s="49" t="s">
        <v>10556</v>
      </c>
    </row>
    <row r="16165" spans="1:2">
      <c r="A16165" s="66">
        <v>46072.552866145837</v>
      </c>
      <c r="B16165" s="49" t="s">
        <v>10603</v>
      </c>
    </row>
    <row r="16166" spans="1:2">
      <c r="A16166" s="66">
        <v>46072.552867951388</v>
      </c>
      <c r="B16166" s="49" t="s">
        <v>10604</v>
      </c>
    </row>
    <row r="16167" spans="1:2">
      <c r="A16167" s="66">
        <v>46072.552872731481</v>
      </c>
      <c r="B16167" s="49" t="s">
        <v>10466</v>
      </c>
    </row>
    <row r="16168" spans="1:2">
      <c r="A16168" s="66">
        <v>46072.552874363428</v>
      </c>
      <c r="B16168" s="49" t="s">
        <v>10605</v>
      </c>
    </row>
    <row r="16169" spans="1:2">
      <c r="A16169" s="66">
        <v>46072.55287712963</v>
      </c>
      <c r="B16169" s="49" t="s">
        <v>10562</v>
      </c>
    </row>
    <row r="16170" spans="1:2">
      <c r="A16170" s="66">
        <v>46072.552878912036</v>
      </c>
      <c r="B16170" s="49" t="s">
        <v>10606</v>
      </c>
    </row>
    <row r="16171" spans="1:2">
      <c r="A16171" s="66">
        <v>46072.553983472222</v>
      </c>
      <c r="B16171" s="49" t="s">
        <v>10556</v>
      </c>
    </row>
    <row r="16172" spans="1:2">
      <c r="A16172" s="66">
        <v>46072.553986724539</v>
      </c>
      <c r="B16172" s="49" t="s">
        <v>10603</v>
      </c>
    </row>
    <row r="16173" spans="1:2">
      <c r="A16173" s="66">
        <v>46072.554000613425</v>
      </c>
      <c r="B16173" s="49" t="s">
        <v>10604</v>
      </c>
    </row>
    <row r="16174" spans="1:2">
      <c r="A16174" s="66">
        <v>46072.554003750003</v>
      </c>
      <c r="B16174" s="49" t="s">
        <v>10466</v>
      </c>
    </row>
    <row r="16175" spans="1:2">
      <c r="A16175" s="66">
        <v>46072.554006469909</v>
      </c>
      <c r="B16175" s="49" t="s">
        <v>10605</v>
      </c>
    </row>
    <row r="16176" spans="1:2">
      <c r="A16176" s="66">
        <v>46072.554009583335</v>
      </c>
      <c r="B16176" s="49" t="s">
        <v>10562</v>
      </c>
    </row>
    <row r="16177" spans="1:2">
      <c r="A16177" s="66">
        <v>46072.554016030088</v>
      </c>
      <c r="B16177" s="49" t="s">
        <v>10606</v>
      </c>
    </row>
    <row r="16178" spans="1:2">
      <c r="A16178" s="66">
        <v>46072.555334722223</v>
      </c>
      <c r="B16178" s="49" t="s">
        <v>10556</v>
      </c>
    </row>
    <row r="16179" spans="1:2">
      <c r="A16179" s="66">
        <v>46072.555336909718</v>
      </c>
      <c r="B16179" s="49" t="s">
        <v>10603</v>
      </c>
    </row>
    <row r="16180" spans="1:2">
      <c r="A16180" s="66">
        <v>46072.555338749997</v>
      </c>
      <c r="B16180" s="49" t="s">
        <v>10604</v>
      </c>
    </row>
    <row r="16181" spans="1:2">
      <c r="A16181" s="66">
        <v>46072.555342118052</v>
      </c>
      <c r="B16181" s="49" t="s">
        <v>10466</v>
      </c>
    </row>
    <row r="16182" spans="1:2">
      <c r="A16182" s="66">
        <v>46072.555343935186</v>
      </c>
      <c r="B16182" s="49" t="s">
        <v>10605</v>
      </c>
    </row>
    <row r="16183" spans="1:2">
      <c r="A16183" s="66">
        <v>46072.555346157409</v>
      </c>
      <c r="B16183" s="49" t="s">
        <v>10562</v>
      </c>
    </row>
    <row r="16184" spans="1:2">
      <c r="A16184" s="66">
        <v>46072.555348888884</v>
      </c>
      <c r="B16184" s="49" t="s">
        <v>10606</v>
      </c>
    </row>
    <row r="16185" spans="1:2">
      <c r="A16185" s="66">
        <v>46072.556399456022</v>
      </c>
      <c r="B16185" s="49" t="s">
        <v>10556</v>
      </c>
    </row>
    <row r="16186" spans="1:2">
      <c r="A16186" s="66">
        <v>46072.556401493057</v>
      </c>
      <c r="B16186" s="49" t="s">
        <v>10603</v>
      </c>
    </row>
    <row r="16187" spans="1:2">
      <c r="A16187" s="66">
        <v>46072.556404270828</v>
      </c>
      <c r="B16187" s="49" t="s">
        <v>10604</v>
      </c>
    </row>
    <row r="16188" spans="1:2">
      <c r="A16188" s="66">
        <v>46072.556406122691</v>
      </c>
      <c r="B16188" s="49" t="s">
        <v>10466</v>
      </c>
    </row>
    <row r="16189" spans="1:2">
      <c r="A16189" s="66">
        <v>46072.556411909725</v>
      </c>
      <c r="B16189" s="49" t="s">
        <v>10605</v>
      </c>
    </row>
    <row r="16190" spans="1:2">
      <c r="A16190" s="66">
        <v>46072.556414212959</v>
      </c>
      <c r="B16190" s="49" t="s">
        <v>10562</v>
      </c>
    </row>
    <row r="16191" spans="1:2">
      <c r="A16191" s="66">
        <v>46072.556416099542</v>
      </c>
      <c r="B16191" s="49" t="s">
        <v>10606</v>
      </c>
    </row>
    <row r="16192" spans="1:2">
      <c r="A16192" s="66">
        <v>46072.557833796294</v>
      </c>
      <c r="B16192" s="49" t="s">
        <v>10556</v>
      </c>
    </row>
    <row r="16193" spans="1:2">
      <c r="A16193" s="66">
        <v>46072.557846550924</v>
      </c>
      <c r="B16193" s="49" t="s">
        <v>10603</v>
      </c>
    </row>
    <row r="16194" spans="1:2">
      <c r="A16194" s="66">
        <v>46072.557849074074</v>
      </c>
      <c r="B16194" s="49" t="s">
        <v>10604</v>
      </c>
    </row>
    <row r="16195" spans="1:2">
      <c r="A16195" s="66">
        <v>46072.557851874997</v>
      </c>
      <c r="B16195" s="49" t="s">
        <v>10466</v>
      </c>
    </row>
    <row r="16196" spans="1:2">
      <c r="A16196" s="66">
        <v>46072.557854236111</v>
      </c>
      <c r="B16196" s="49" t="s">
        <v>10605</v>
      </c>
    </row>
    <row r="16197" spans="1:2">
      <c r="A16197" s="66">
        <v>46072.557857708336</v>
      </c>
      <c r="B16197" s="49" t="s">
        <v>10562</v>
      </c>
    </row>
    <row r="16198" spans="1:2">
      <c r="A16198" s="66">
        <v>46072.557860439818</v>
      </c>
      <c r="B16198" s="49" t="s">
        <v>10606</v>
      </c>
    </row>
    <row r="16199" spans="1:2">
      <c r="A16199" s="66">
        <v>46072.559229756946</v>
      </c>
      <c r="B16199" s="49" t="s">
        <v>10556</v>
      </c>
    </row>
    <row r="16200" spans="1:2">
      <c r="A16200" s="66">
        <v>46072.559236967594</v>
      </c>
      <c r="B16200" s="49" t="s">
        <v>10603</v>
      </c>
    </row>
    <row r="16201" spans="1:2">
      <c r="A16201" s="66">
        <v>46072.559240416667</v>
      </c>
      <c r="B16201" s="49" t="s">
        <v>10604</v>
      </c>
    </row>
    <row r="16202" spans="1:2">
      <c r="A16202" s="66">
        <v>46072.559243854164</v>
      </c>
      <c r="B16202" s="49" t="s">
        <v>10466</v>
      </c>
    </row>
    <row r="16203" spans="1:2">
      <c r="A16203" s="66">
        <v>46072.559247245372</v>
      </c>
      <c r="B16203" s="49" t="s">
        <v>10605</v>
      </c>
    </row>
    <row r="16204" spans="1:2">
      <c r="A16204" s="66">
        <v>46072.559251446757</v>
      </c>
      <c r="B16204" s="49" t="s">
        <v>10562</v>
      </c>
    </row>
    <row r="16205" spans="1:2">
      <c r="A16205" s="66">
        <v>46072.559254733795</v>
      </c>
      <c r="B16205" s="49" t="s">
        <v>10606</v>
      </c>
    </row>
    <row r="16206" spans="1:2">
      <c r="A16206" s="66">
        <v>46072.560434699073</v>
      </c>
      <c r="B16206" s="49" t="s">
        <v>10556</v>
      </c>
    </row>
    <row r="16207" spans="1:2">
      <c r="A16207" s="66">
        <v>46072.56043813657</v>
      </c>
      <c r="B16207" s="49" t="s">
        <v>10603</v>
      </c>
    </row>
    <row r="16208" spans="1:2">
      <c r="A16208" s="66">
        <v>46072.560441412032</v>
      </c>
      <c r="B16208" s="49" t="s">
        <v>10604</v>
      </c>
    </row>
    <row r="16209" spans="1:2">
      <c r="A16209" s="66">
        <v>46072.560445451389</v>
      </c>
      <c r="B16209" s="49" t="s">
        <v>10466</v>
      </c>
    </row>
    <row r="16210" spans="1:2">
      <c r="A16210" s="66">
        <v>46072.56044854167</v>
      </c>
      <c r="B16210" s="49" t="s">
        <v>10605</v>
      </c>
    </row>
    <row r="16211" spans="1:2">
      <c r="A16211" s="66">
        <v>46072.560452569443</v>
      </c>
      <c r="B16211" s="49" t="s">
        <v>10562</v>
      </c>
    </row>
    <row r="16212" spans="1:2">
      <c r="A16212" s="66">
        <v>46072.560462546295</v>
      </c>
      <c r="B16212" s="49" t="s">
        <v>10606</v>
      </c>
    </row>
    <row r="16213" spans="1:2">
      <c r="A16213" s="66">
        <v>46072.561714930554</v>
      </c>
      <c r="B16213" s="49" t="s">
        <v>10556</v>
      </c>
    </row>
    <row r="16214" spans="1:2">
      <c r="A16214" s="66">
        <v>46072.561717337958</v>
      </c>
      <c r="B16214" s="49" t="s">
        <v>10603</v>
      </c>
    </row>
    <row r="16215" spans="1:2">
      <c r="A16215" s="66">
        <v>46072.561720162033</v>
      </c>
      <c r="B16215" s="49" t="s">
        <v>10604</v>
      </c>
    </row>
    <row r="16216" spans="1:2">
      <c r="A16216" s="66">
        <v>46072.561722222221</v>
      </c>
      <c r="B16216" s="49" t="s">
        <v>10466</v>
      </c>
    </row>
    <row r="16217" spans="1:2">
      <c r="A16217" s="66">
        <v>46072.561724247687</v>
      </c>
      <c r="B16217" s="49" t="s">
        <v>10605</v>
      </c>
    </row>
    <row r="16218" spans="1:2">
      <c r="A16218" s="66">
        <v>46072.561727164357</v>
      </c>
      <c r="B16218" s="49" t="s">
        <v>10562</v>
      </c>
    </row>
    <row r="16219" spans="1:2">
      <c r="A16219" s="66">
        <v>46072.561734432871</v>
      </c>
      <c r="B16219" s="49" t="s">
        <v>10606</v>
      </c>
    </row>
    <row r="16220" spans="1:2">
      <c r="A16220" s="66">
        <v>46072.56290611111</v>
      </c>
      <c r="B16220" s="49" t="s">
        <v>10556</v>
      </c>
    </row>
    <row r="16221" spans="1:2">
      <c r="A16221" s="66">
        <v>46072.562908599539</v>
      </c>
      <c r="B16221" s="49" t="s">
        <v>10603</v>
      </c>
    </row>
    <row r="16222" spans="1:2">
      <c r="A16222" s="66">
        <v>46072.56291212963</v>
      </c>
      <c r="B16222" s="49" t="s">
        <v>10604</v>
      </c>
    </row>
    <row r="16223" spans="1:2">
      <c r="A16223" s="66">
        <v>46072.56291403935</v>
      </c>
      <c r="B16223" s="49" t="s">
        <v>10466</v>
      </c>
    </row>
    <row r="16224" spans="1:2">
      <c r="A16224" s="66">
        <v>46072.562915960647</v>
      </c>
      <c r="B16224" s="49" t="s">
        <v>10605</v>
      </c>
    </row>
    <row r="16225" spans="1:2">
      <c r="A16225" s="66">
        <v>46072.562918993055</v>
      </c>
      <c r="B16225" s="49" t="s">
        <v>10562</v>
      </c>
    </row>
    <row r="16226" spans="1:2">
      <c r="A16226" s="66">
        <v>46072.562921793986</v>
      </c>
      <c r="B16226" s="49" t="s">
        <v>10606</v>
      </c>
    </row>
    <row r="16227" spans="1:2">
      <c r="A16227" s="66">
        <v>46072.564218576386</v>
      </c>
      <c r="B16227" s="49" t="s">
        <v>10556</v>
      </c>
    </row>
    <row r="16228" spans="1:2">
      <c r="A16228" s="66">
        <v>46072.564221747685</v>
      </c>
      <c r="B16228" s="49" t="s">
        <v>10603</v>
      </c>
    </row>
    <row r="16229" spans="1:2">
      <c r="A16229" s="66">
        <v>46072.564224490736</v>
      </c>
      <c r="B16229" s="49" t="s">
        <v>10604</v>
      </c>
    </row>
    <row r="16230" spans="1:2">
      <c r="A16230" s="66">
        <v>46072.564227013892</v>
      </c>
      <c r="B16230" s="49" t="s">
        <v>10466</v>
      </c>
    </row>
    <row r="16231" spans="1:2">
      <c r="A16231" s="66">
        <v>46072.564229849537</v>
      </c>
      <c r="B16231" s="49" t="s">
        <v>10605</v>
      </c>
    </row>
    <row r="16232" spans="1:2">
      <c r="A16232" s="66">
        <v>46072.564232986115</v>
      </c>
      <c r="B16232" s="49" t="s">
        <v>10562</v>
      </c>
    </row>
    <row r="16233" spans="1:2">
      <c r="A16233" s="66">
        <v>46072.564237384257</v>
      </c>
      <c r="B16233" s="49" t="s">
        <v>10606</v>
      </c>
    </row>
    <row r="16234" spans="1:2">
      <c r="A16234" s="66">
        <v>46072.565396516206</v>
      </c>
      <c r="B16234" s="49" t="s">
        <v>10556</v>
      </c>
    </row>
    <row r="16235" spans="1:2">
      <c r="A16235" s="66">
        <v>46072.565399085652</v>
      </c>
      <c r="B16235" s="49" t="s">
        <v>10603</v>
      </c>
    </row>
    <row r="16236" spans="1:2">
      <c r="A16236" s="66">
        <v>46072.565401423606</v>
      </c>
      <c r="B16236" s="49" t="s">
        <v>10604</v>
      </c>
    </row>
    <row r="16237" spans="1:2">
      <c r="A16237" s="66">
        <v>46072.565403611108</v>
      </c>
      <c r="B16237" s="49" t="s">
        <v>10466</v>
      </c>
    </row>
    <row r="16238" spans="1:2">
      <c r="A16238" s="66">
        <v>46072.56540634259</v>
      </c>
      <c r="B16238" s="49" t="s">
        <v>10605</v>
      </c>
    </row>
    <row r="16239" spans="1:2">
      <c r="A16239" s="66">
        <v>46072.565413391203</v>
      </c>
      <c r="B16239" s="49" t="s">
        <v>10562</v>
      </c>
    </row>
    <row r="16240" spans="1:2">
      <c r="A16240" s="66">
        <v>46072.565416516205</v>
      </c>
      <c r="B16240" s="49" t="s">
        <v>10606</v>
      </c>
    </row>
    <row r="16241" spans="1:2">
      <c r="A16241" s="66">
        <v>46072.566203530092</v>
      </c>
      <c r="B16241" s="49" t="s">
        <v>10556</v>
      </c>
    </row>
    <row r="16242" spans="1:2">
      <c r="A16242" s="66">
        <v>46072.566205763884</v>
      </c>
      <c r="B16242" s="49" t="s">
        <v>10603</v>
      </c>
    </row>
    <row r="16243" spans="1:2">
      <c r="A16243" s="66">
        <v>46072.566207743061</v>
      </c>
      <c r="B16243" s="49" t="s">
        <v>10604</v>
      </c>
    </row>
    <row r="16244" spans="1:2">
      <c r="A16244" s="66">
        <v>46072.566209861106</v>
      </c>
      <c r="B16244" s="49" t="s">
        <v>10466</v>
      </c>
    </row>
    <row r="16245" spans="1:2">
      <c r="A16245" s="66">
        <v>46072.566220370369</v>
      </c>
      <c r="B16245" s="49" t="s">
        <v>10605</v>
      </c>
    </row>
    <row r="16246" spans="1:2">
      <c r="A16246" s="66">
        <v>46072.5662222338</v>
      </c>
      <c r="B16246" s="49" t="s">
        <v>10562</v>
      </c>
    </row>
    <row r="16247" spans="1:2">
      <c r="A16247" s="66">
        <v>46072.566224583337</v>
      </c>
      <c r="B16247" s="49" t="s">
        <v>10606</v>
      </c>
    </row>
    <row r="16248" spans="1:2">
      <c r="A16248" s="66">
        <v>46072.567518229167</v>
      </c>
      <c r="B16248" s="49" t="s">
        <v>10556</v>
      </c>
    </row>
    <row r="16249" spans="1:2">
      <c r="A16249" s="66">
        <v>46072.567520856479</v>
      </c>
      <c r="B16249" s="49" t="s">
        <v>10603</v>
      </c>
    </row>
    <row r="16250" spans="1:2">
      <c r="A16250" s="66">
        <v>46072.567523703707</v>
      </c>
      <c r="B16250" s="49" t="s">
        <v>10604</v>
      </c>
    </row>
    <row r="16251" spans="1:2">
      <c r="A16251" s="66">
        <v>46072.567526122686</v>
      </c>
      <c r="B16251" s="49" t="s">
        <v>10466</v>
      </c>
    </row>
    <row r="16252" spans="1:2">
      <c r="A16252" s="66">
        <v>46072.56752892361</v>
      </c>
      <c r="B16252" s="49" t="s">
        <v>10605</v>
      </c>
    </row>
    <row r="16253" spans="1:2">
      <c r="A16253" s="66">
        <v>46072.56753216435</v>
      </c>
      <c r="B16253" s="49" t="s">
        <v>10562</v>
      </c>
    </row>
    <row r="16254" spans="1:2">
      <c r="A16254" s="66">
        <v>46072.567534884263</v>
      </c>
      <c r="B16254" s="49" t="s">
        <v>10606</v>
      </c>
    </row>
    <row r="16255" spans="1:2">
      <c r="A16255" s="66">
        <v>46072.568774756946</v>
      </c>
      <c r="B16255" s="49" t="s">
        <v>10556</v>
      </c>
    </row>
    <row r="16256" spans="1:2">
      <c r="A16256" s="66">
        <v>46072.568778333334</v>
      </c>
      <c r="B16256" s="49" t="s">
        <v>10603</v>
      </c>
    </row>
    <row r="16257" spans="1:2">
      <c r="A16257" s="66">
        <v>46072.568781469905</v>
      </c>
      <c r="B16257" s="49" t="s">
        <v>10604</v>
      </c>
    </row>
    <row r="16258" spans="1:2">
      <c r="A16258" s="66">
        <v>46072.56878538194</v>
      </c>
      <c r="B16258" s="49" t="s">
        <v>10466</v>
      </c>
    </row>
    <row r="16259" spans="1:2">
      <c r="A16259" s="66">
        <v>46072.568788761579</v>
      </c>
      <c r="B16259" s="49" t="s">
        <v>10605</v>
      </c>
    </row>
    <row r="16260" spans="1:2">
      <c r="A16260" s="66">
        <v>46072.568791944446</v>
      </c>
      <c r="B16260" s="49" t="s">
        <v>10562</v>
      </c>
    </row>
    <row r="16261" spans="1:2">
      <c r="A16261" s="66">
        <v>46072.568795775464</v>
      </c>
      <c r="B16261" s="49" t="s">
        <v>10606</v>
      </c>
    </row>
    <row r="16262" spans="1:2">
      <c r="A16262" s="66">
        <v>46072.570003460649</v>
      </c>
      <c r="B16262" s="49" t="s">
        <v>10556</v>
      </c>
    </row>
    <row r="16263" spans="1:2">
      <c r="A16263" s="66">
        <v>46072.570006030088</v>
      </c>
      <c r="B16263" s="49" t="s">
        <v>10603</v>
      </c>
    </row>
    <row r="16264" spans="1:2">
      <c r="A16264" s="66">
        <v>46072.570009247684</v>
      </c>
      <c r="B16264" s="49" t="s">
        <v>10604</v>
      </c>
    </row>
    <row r="16265" spans="1:2">
      <c r="A16265" s="66">
        <v>46072.570011446762</v>
      </c>
      <c r="B16265" s="49" t="s">
        <v>10466</v>
      </c>
    </row>
    <row r="16266" spans="1:2">
      <c r="A16266" s="66">
        <v>46072.570014027777</v>
      </c>
      <c r="B16266" s="49" t="s">
        <v>10605</v>
      </c>
    </row>
    <row r="16267" spans="1:2">
      <c r="A16267" s="66">
        <v>46072.570015856487</v>
      </c>
      <c r="B16267" s="49" t="s">
        <v>10562</v>
      </c>
    </row>
    <row r="16268" spans="1:2">
      <c r="A16268" s="66">
        <v>46072.570018124999</v>
      </c>
      <c r="B16268" s="49" t="s">
        <v>10606</v>
      </c>
    </row>
    <row r="16269" spans="1:2">
      <c r="A16269" s="66">
        <v>46072.57126592593</v>
      </c>
      <c r="B16269" s="49" t="s">
        <v>10556</v>
      </c>
    </row>
    <row r="16270" spans="1:2">
      <c r="A16270" s="66">
        <v>46072.571268298612</v>
      </c>
      <c r="B16270" s="49" t="s">
        <v>10603</v>
      </c>
    </row>
    <row r="16271" spans="1:2">
      <c r="A16271" s="66">
        <v>46072.571271111112</v>
      </c>
      <c r="B16271" s="49" t="s">
        <v>10604</v>
      </c>
    </row>
    <row r="16272" spans="1:2">
      <c r="A16272" s="66">
        <v>46072.571273611116</v>
      </c>
      <c r="B16272" s="49" t="s">
        <v>10466</v>
      </c>
    </row>
    <row r="16273" spans="1:2">
      <c r="A16273" s="66">
        <v>46072.571276238421</v>
      </c>
      <c r="B16273" s="49" t="s">
        <v>10605</v>
      </c>
    </row>
    <row r="16274" spans="1:2">
      <c r="A16274" s="66">
        <v>46072.571278541669</v>
      </c>
      <c r="B16274" s="49" t="s">
        <v>10562</v>
      </c>
    </row>
    <row r="16275" spans="1:2">
      <c r="A16275" s="66">
        <v>46072.571280902775</v>
      </c>
      <c r="B16275" s="49" t="s">
        <v>10606</v>
      </c>
    </row>
    <row r="16276" spans="1:2">
      <c r="A16276" s="66">
        <v>46072.572389618057</v>
      </c>
      <c r="B16276" s="49" t="s">
        <v>10556</v>
      </c>
    </row>
    <row r="16277" spans="1:2">
      <c r="A16277" s="66">
        <v>46072.572393055554</v>
      </c>
      <c r="B16277" s="49" t="s">
        <v>10603</v>
      </c>
    </row>
    <row r="16278" spans="1:2">
      <c r="A16278" s="66">
        <v>46072.572399375</v>
      </c>
      <c r="B16278" s="49" t="s">
        <v>10604</v>
      </c>
    </row>
    <row r="16279" spans="1:2">
      <c r="A16279" s="66">
        <v>46072.572407361113</v>
      </c>
      <c r="B16279" s="49" t="s">
        <v>10466</v>
      </c>
    </row>
    <row r="16280" spans="1:2">
      <c r="A16280" s="66">
        <v>46072.572410682871</v>
      </c>
      <c r="B16280" s="49" t="s">
        <v>10605</v>
      </c>
    </row>
    <row r="16281" spans="1:2">
      <c r="A16281" s="66">
        <v>46072.572414421295</v>
      </c>
      <c r="B16281" s="49" t="s">
        <v>10562</v>
      </c>
    </row>
    <row r="16282" spans="1:2">
      <c r="A16282" s="66">
        <v>46072.572417673611</v>
      </c>
      <c r="B16282" s="49" t="s">
        <v>10606</v>
      </c>
    </row>
    <row r="16283" spans="1:2">
      <c r="A16283" s="66">
        <v>46072.57370497685</v>
      </c>
      <c r="B16283" s="49" t="s">
        <v>10556</v>
      </c>
    </row>
    <row r="16284" spans="1:2">
      <c r="A16284" s="66">
        <v>46072.573707534721</v>
      </c>
      <c r="B16284" s="49" t="s">
        <v>10603</v>
      </c>
    </row>
    <row r="16285" spans="1:2">
      <c r="A16285" s="66">
        <v>46072.573717060186</v>
      </c>
      <c r="B16285" s="49" t="s">
        <v>10604</v>
      </c>
    </row>
    <row r="16286" spans="1:2">
      <c r="A16286" s="66">
        <v>46072.573719444445</v>
      </c>
      <c r="B16286" s="49" t="s">
        <v>10466</v>
      </c>
    </row>
    <row r="16287" spans="1:2">
      <c r="A16287" s="66">
        <v>46072.573722754634</v>
      </c>
      <c r="B16287" s="49" t="s">
        <v>10605</v>
      </c>
    </row>
    <row r="16288" spans="1:2">
      <c r="A16288" s="66">
        <v>46072.57372537037</v>
      </c>
      <c r="B16288" s="49" t="s">
        <v>10562</v>
      </c>
    </row>
    <row r="16289" spans="1:2">
      <c r="A16289" s="66">
        <v>46072.573728229167</v>
      </c>
      <c r="B16289" s="49" t="s">
        <v>10606</v>
      </c>
    </row>
    <row r="16290" spans="1:2">
      <c r="A16290" s="66">
        <v>46072.574739780088</v>
      </c>
      <c r="B16290" s="49" t="s">
        <v>10556</v>
      </c>
    </row>
    <row r="16291" spans="1:2">
      <c r="A16291" s="66">
        <v>46072.574742106481</v>
      </c>
      <c r="B16291" s="49" t="s">
        <v>10603</v>
      </c>
    </row>
    <row r="16292" spans="1:2">
      <c r="A16292" s="66">
        <v>46072.574745231483</v>
      </c>
      <c r="B16292" s="49" t="s">
        <v>10604</v>
      </c>
    </row>
    <row r="16293" spans="1:2">
      <c r="A16293" s="66">
        <v>46072.574748229163</v>
      </c>
      <c r="B16293" s="49" t="s">
        <v>10466</v>
      </c>
    </row>
    <row r="16294" spans="1:2">
      <c r="A16294" s="66">
        <v>46072.574750011576</v>
      </c>
      <c r="B16294" s="49" t="s">
        <v>10605</v>
      </c>
    </row>
    <row r="16295" spans="1:2">
      <c r="A16295" s="66">
        <v>46072.574752245375</v>
      </c>
      <c r="B16295" s="49" t="s">
        <v>10562</v>
      </c>
    </row>
    <row r="16296" spans="1:2">
      <c r="A16296" s="66">
        <v>46072.57475550926</v>
      </c>
      <c r="B16296" s="49" t="s">
        <v>10606</v>
      </c>
    </row>
    <row r="16297" spans="1:2">
      <c r="A16297" s="66">
        <v>46072.575852071765</v>
      </c>
      <c r="B16297" s="49" t="s">
        <v>10556</v>
      </c>
    </row>
    <row r="16298" spans="1:2">
      <c r="A16298" s="66">
        <v>46072.575854374998</v>
      </c>
      <c r="B16298" s="49" t="s">
        <v>10603</v>
      </c>
    </row>
    <row r="16299" spans="1:2">
      <c r="A16299" s="66">
        <v>46072.575856365744</v>
      </c>
      <c r="B16299" s="49" t="s">
        <v>10604</v>
      </c>
    </row>
    <row r="16300" spans="1:2">
      <c r="A16300" s="66">
        <v>46072.575870057874</v>
      </c>
      <c r="B16300" s="49" t="s">
        <v>10466</v>
      </c>
    </row>
    <row r="16301" spans="1:2">
      <c r="A16301" s="66">
        <v>46072.575872754634</v>
      </c>
      <c r="B16301" s="49" t="s">
        <v>10605</v>
      </c>
    </row>
    <row r="16302" spans="1:2">
      <c r="A16302" s="66">
        <v>46072.575875706018</v>
      </c>
      <c r="B16302" s="49" t="s">
        <v>10562</v>
      </c>
    </row>
    <row r="16303" spans="1:2">
      <c r="A16303" s="66">
        <v>46072.575878854172</v>
      </c>
      <c r="B16303" s="49" t="s">
        <v>10606</v>
      </c>
    </row>
    <row r="16304" spans="1:2">
      <c r="A16304" s="66">
        <v>46072.576780798612</v>
      </c>
      <c r="B16304" s="49" t="s">
        <v>10556</v>
      </c>
    </row>
    <row r="16305" spans="1:2">
      <c r="A16305" s="66">
        <v>46072.576788530088</v>
      </c>
      <c r="B16305" s="49" t="s">
        <v>10603</v>
      </c>
    </row>
    <row r="16306" spans="1:2">
      <c r="A16306" s="66">
        <v>46072.576791307874</v>
      </c>
      <c r="B16306" s="49" t="s">
        <v>10604</v>
      </c>
    </row>
    <row r="16307" spans="1:2">
      <c r="A16307" s="66">
        <v>46072.576794525463</v>
      </c>
      <c r="B16307" s="49" t="s">
        <v>10466</v>
      </c>
    </row>
    <row r="16308" spans="1:2">
      <c r="A16308" s="66">
        <v>46072.576797604168</v>
      </c>
      <c r="B16308" s="49" t="s">
        <v>10605</v>
      </c>
    </row>
    <row r="16309" spans="1:2">
      <c r="A16309" s="66">
        <v>46072.576800682873</v>
      </c>
      <c r="B16309" s="49" t="s">
        <v>10562</v>
      </c>
    </row>
    <row r="16310" spans="1:2">
      <c r="A16310" s="66">
        <v>46072.576803993055</v>
      </c>
      <c r="B16310" s="49" t="s">
        <v>10606</v>
      </c>
    </row>
    <row r="16311" spans="1:2">
      <c r="A16311" s="66">
        <v>46072.577664918979</v>
      </c>
      <c r="B16311" s="49" t="s">
        <v>10556</v>
      </c>
    </row>
    <row r="16312" spans="1:2">
      <c r="A16312" s="66">
        <v>46072.57767486111</v>
      </c>
      <c r="B16312" s="49" t="s">
        <v>10603</v>
      </c>
    </row>
    <row r="16313" spans="1:2">
      <c r="A16313" s="66">
        <v>46072.577685370372</v>
      </c>
      <c r="B16313" s="49" t="s">
        <v>10604</v>
      </c>
    </row>
    <row r="16314" spans="1:2">
      <c r="A16314" s="66">
        <v>46072.577690057871</v>
      </c>
      <c r="B16314" s="49" t="s">
        <v>10466</v>
      </c>
    </row>
    <row r="16315" spans="1:2">
      <c r="A16315" s="66">
        <v>46072.577692164356</v>
      </c>
      <c r="B16315" s="49" t="s">
        <v>10605</v>
      </c>
    </row>
    <row r="16316" spans="1:2">
      <c r="A16316" s="66">
        <v>46072.577694027779</v>
      </c>
      <c r="B16316" s="49" t="s">
        <v>10562</v>
      </c>
    </row>
    <row r="16317" spans="1:2">
      <c r="A16317" s="66">
        <v>46072.577696134264</v>
      </c>
      <c r="B16317" s="49" t="s">
        <v>10606</v>
      </c>
    </row>
    <row r="16318" spans="1:2">
      <c r="A16318" s="66">
        <v>46072.578716863427</v>
      </c>
      <c r="B16318" s="49" t="s">
        <v>10556</v>
      </c>
    </row>
    <row r="16319" spans="1:2">
      <c r="A16319" s="66">
        <v>46072.578720289355</v>
      </c>
      <c r="B16319" s="49" t="s">
        <v>10603</v>
      </c>
    </row>
    <row r="16320" spans="1:2">
      <c r="A16320" s="66">
        <v>46072.578723379629</v>
      </c>
      <c r="B16320" s="49" t="s">
        <v>10604</v>
      </c>
    </row>
    <row r="16321" spans="1:2">
      <c r="A16321" s="66">
        <v>46072.578726504631</v>
      </c>
      <c r="B16321" s="49" t="s">
        <v>10466</v>
      </c>
    </row>
    <row r="16322" spans="1:2">
      <c r="A16322" s="66">
        <v>46072.578729490742</v>
      </c>
      <c r="B16322" s="49" t="s">
        <v>10605</v>
      </c>
    </row>
    <row r="16323" spans="1:2">
      <c r="A16323" s="66">
        <v>46072.578736875003</v>
      </c>
      <c r="B16323" s="49" t="s">
        <v>10562</v>
      </c>
    </row>
    <row r="16324" spans="1:2">
      <c r="A16324" s="66">
        <v>46072.578740173616</v>
      </c>
      <c r="B16324" s="49" t="s">
        <v>10606</v>
      </c>
    </row>
    <row r="16325" spans="1:2">
      <c r="A16325" s="66">
        <v>46072.579752418984</v>
      </c>
      <c r="B16325" s="49" t="s">
        <v>10556</v>
      </c>
    </row>
    <row r="16326" spans="1:2">
      <c r="A16326" s="66">
        <v>46072.579755671293</v>
      </c>
      <c r="B16326" s="49" t="s">
        <v>10603</v>
      </c>
    </row>
    <row r="16327" spans="1:2">
      <c r="A16327" s="66">
        <v>46072.579760509259</v>
      </c>
      <c r="B16327" s="49" t="s">
        <v>10604</v>
      </c>
    </row>
    <row r="16328" spans="1:2">
      <c r="A16328" s="66">
        <v>46072.579763483795</v>
      </c>
      <c r="B16328" s="49" t="s">
        <v>10466</v>
      </c>
    </row>
    <row r="16329" spans="1:2">
      <c r="A16329" s="66">
        <v>46072.579766203708</v>
      </c>
      <c r="B16329" s="49" t="s">
        <v>10605</v>
      </c>
    </row>
    <row r="16330" spans="1:2">
      <c r="A16330" s="66">
        <v>46072.579768703705</v>
      </c>
      <c r="B16330" s="49" t="s">
        <v>10562</v>
      </c>
    </row>
    <row r="16331" spans="1:2">
      <c r="A16331" s="66">
        <v>46072.579772164347</v>
      </c>
      <c r="B16331" s="49" t="s">
        <v>10606</v>
      </c>
    </row>
    <row r="16332" spans="1:2">
      <c r="A16332" s="66">
        <v>46072.580607337964</v>
      </c>
      <c r="B16332" s="49" t="s">
        <v>10556</v>
      </c>
    </row>
    <row r="16333" spans="1:2">
      <c r="A16333" s="66">
        <v>46072.580610682868</v>
      </c>
      <c r="B16333" s="49" t="s">
        <v>10603</v>
      </c>
    </row>
    <row r="16334" spans="1:2">
      <c r="A16334" s="66">
        <v>46072.580613229162</v>
      </c>
      <c r="B16334" s="49" t="s">
        <v>10604</v>
      </c>
    </row>
    <row r="16335" spans="1:2">
      <c r="A16335" s="66">
        <v>46072.580616064814</v>
      </c>
      <c r="B16335" s="49" t="s">
        <v>10466</v>
      </c>
    </row>
    <row r="16336" spans="1:2">
      <c r="A16336" s="66">
        <v>46072.580618368054</v>
      </c>
      <c r="B16336" s="49" t="s">
        <v>10605</v>
      </c>
    </row>
    <row r="16337" spans="1:2">
      <c r="A16337" s="66">
        <v>46072.580621331013</v>
      </c>
      <c r="B16337" s="49" t="s">
        <v>10562</v>
      </c>
    </row>
    <row r="16338" spans="1:2">
      <c r="A16338" s="66">
        <v>46072.580624131944</v>
      </c>
      <c r="B16338" s="49" t="s">
        <v>10606</v>
      </c>
    </row>
    <row r="16339" spans="1:2">
      <c r="A16339" s="66">
        <v>46072.581491111108</v>
      </c>
      <c r="B16339" s="49" t="s">
        <v>10556</v>
      </c>
    </row>
    <row r="16340" spans="1:2">
      <c r="A16340" s="66">
        <v>46072.581506319446</v>
      </c>
      <c r="B16340" s="49" t="s">
        <v>10603</v>
      </c>
    </row>
    <row r="16341" spans="1:2">
      <c r="A16341" s="66">
        <v>46072.581513043981</v>
      </c>
      <c r="B16341" s="49" t="s">
        <v>10604</v>
      </c>
    </row>
    <row r="16342" spans="1:2">
      <c r="A16342" s="66">
        <v>46072.581514756945</v>
      </c>
      <c r="B16342" s="49" t="s">
        <v>10466</v>
      </c>
    </row>
    <row r="16343" spans="1:2">
      <c r="A16343" s="66">
        <v>46072.58151747685</v>
      </c>
      <c r="B16343" s="49" t="s">
        <v>10605</v>
      </c>
    </row>
    <row r="16344" spans="1:2">
      <c r="A16344" s="66">
        <v>46072.581519247688</v>
      </c>
      <c r="B16344" s="49" t="s">
        <v>10562</v>
      </c>
    </row>
    <row r="16345" spans="1:2">
      <c r="A16345" s="66">
        <v>46072.581529074072</v>
      </c>
      <c r="B16345" s="49" t="s">
        <v>10606</v>
      </c>
    </row>
    <row r="16346" spans="1:2">
      <c r="A16346" s="66">
        <v>46072.582720474536</v>
      </c>
      <c r="B16346" s="49" t="s">
        <v>10556</v>
      </c>
    </row>
    <row r="16347" spans="1:2">
      <c r="A16347" s="66">
        <v>46072.582723263884</v>
      </c>
      <c r="B16347" s="49" t="s">
        <v>10603</v>
      </c>
    </row>
    <row r="16348" spans="1:2">
      <c r="A16348" s="66">
        <v>46072.582726006949</v>
      </c>
      <c r="B16348" s="49" t="s">
        <v>10604</v>
      </c>
    </row>
    <row r="16349" spans="1:2">
      <c r="A16349" s="66">
        <v>46072.582729467591</v>
      </c>
      <c r="B16349" s="49" t="s">
        <v>10466</v>
      </c>
    </row>
    <row r="16350" spans="1:2">
      <c r="A16350" s="66">
        <v>46072.582732615745</v>
      </c>
      <c r="B16350" s="49" t="s">
        <v>10605</v>
      </c>
    </row>
    <row r="16351" spans="1:2">
      <c r="A16351" s="66">
        <v>46072.582735208329</v>
      </c>
      <c r="B16351" s="49" t="s">
        <v>10562</v>
      </c>
    </row>
    <row r="16352" spans="1:2">
      <c r="A16352" s="66">
        <v>46072.582737604171</v>
      </c>
      <c r="B16352" s="49" t="s">
        <v>10606</v>
      </c>
    </row>
    <row r="16353" spans="1:2">
      <c r="A16353" s="66">
        <v>46072.583623865736</v>
      </c>
      <c r="B16353" s="49" t="s">
        <v>10556</v>
      </c>
    </row>
    <row r="16354" spans="1:2">
      <c r="A16354" s="66">
        <v>46072.583626064814</v>
      </c>
      <c r="B16354" s="49" t="s">
        <v>10603</v>
      </c>
    </row>
    <row r="16355" spans="1:2">
      <c r="A16355" s="66">
        <v>46072.583628668981</v>
      </c>
      <c r="B16355" s="49" t="s">
        <v>10604</v>
      </c>
    </row>
    <row r="16356" spans="1:2">
      <c r="A16356" s="66">
        <v>46072.583631041663</v>
      </c>
      <c r="B16356" s="49" t="s">
        <v>10466</v>
      </c>
    </row>
    <row r="16357" spans="1:2">
      <c r="A16357" s="66">
        <v>46072.583634016206</v>
      </c>
      <c r="B16357" s="49" t="s">
        <v>10605</v>
      </c>
    </row>
    <row r="16358" spans="1:2">
      <c r="A16358" s="66">
        <v>46072.58363601852</v>
      </c>
      <c r="B16358" s="49" t="s">
        <v>10562</v>
      </c>
    </row>
    <row r="16359" spans="1:2">
      <c r="A16359" s="66">
        <v>46072.583639745368</v>
      </c>
      <c r="B16359" s="49" t="s">
        <v>10606</v>
      </c>
    </row>
    <row r="16360" spans="1:2">
      <c r="A16360" s="66">
        <v>46072.584386562499</v>
      </c>
      <c r="B16360" s="49" t="s">
        <v>10556</v>
      </c>
    </row>
    <row r="16361" spans="1:2">
      <c r="A16361" s="66">
        <v>46072.584390833334</v>
      </c>
      <c r="B16361" s="49" t="s">
        <v>10603</v>
      </c>
    </row>
    <row r="16362" spans="1:2">
      <c r="A16362" s="66">
        <v>46072.584393171295</v>
      </c>
      <c r="B16362" s="49" t="s">
        <v>10604</v>
      </c>
    </row>
    <row r="16363" spans="1:2">
      <c r="A16363" s="66">
        <v>46072.584395763886</v>
      </c>
      <c r="B16363" s="49" t="s">
        <v>10466</v>
      </c>
    </row>
    <row r="16364" spans="1:2">
      <c r="A16364" s="66">
        <v>46072.584398449078</v>
      </c>
      <c r="B16364" s="49" t="s">
        <v>10605</v>
      </c>
    </row>
    <row r="16365" spans="1:2">
      <c r="A16365" s="66">
        <v>46072.584401030093</v>
      </c>
      <c r="B16365" s="49" t="s">
        <v>10562</v>
      </c>
    </row>
    <row r="16366" spans="1:2">
      <c r="A16366" s="66">
        <v>46072.584404108798</v>
      </c>
      <c r="B16366" s="49" t="s">
        <v>10606</v>
      </c>
    </row>
    <row r="16367" spans="1:2">
      <c r="A16367" s="66">
        <v>46072.58540758102</v>
      </c>
      <c r="B16367" s="49" t="s">
        <v>10556</v>
      </c>
    </row>
    <row r="16368" spans="1:2">
      <c r="A16368" s="66">
        <v>46072.585410381944</v>
      </c>
      <c r="B16368" s="49" t="s">
        <v>10603</v>
      </c>
    </row>
    <row r="16369" spans="1:2">
      <c r="A16369" s="66">
        <v>46072.585412928238</v>
      </c>
      <c r="B16369" s="49" t="s">
        <v>10604</v>
      </c>
    </row>
    <row r="16370" spans="1:2">
      <c r="A16370" s="66">
        <v>46072.585415995374</v>
      </c>
      <c r="B16370" s="49" t="s">
        <v>10466</v>
      </c>
    </row>
    <row r="16371" spans="1:2">
      <c r="A16371" s="66">
        <v>46072.585419085648</v>
      </c>
      <c r="B16371" s="49" t="s">
        <v>10605</v>
      </c>
    </row>
    <row r="16372" spans="1:2">
      <c r="A16372" s="66">
        <v>46072.585424606485</v>
      </c>
      <c r="B16372" s="49" t="s">
        <v>10562</v>
      </c>
    </row>
    <row r="16373" spans="1:2">
      <c r="A16373" s="66">
        <v>46072.585427800921</v>
      </c>
      <c r="B16373" s="49" t="s">
        <v>10606</v>
      </c>
    </row>
    <row r="16374" spans="1:2">
      <c r="A16374" s="66">
        <v>46072.58649681713</v>
      </c>
      <c r="B16374" s="49" t="s">
        <v>10556</v>
      </c>
    </row>
    <row r="16375" spans="1:2">
      <c r="A16375" s="66">
        <v>46072.586498807868</v>
      </c>
      <c r="B16375" s="49" t="s">
        <v>10603</v>
      </c>
    </row>
    <row r="16376" spans="1:2">
      <c r="A16376" s="66">
        <v>46072.586501863421</v>
      </c>
      <c r="B16376" s="49" t="s">
        <v>10604</v>
      </c>
    </row>
    <row r="16377" spans="1:2">
      <c r="A16377" s="66">
        <v>46072.586503900464</v>
      </c>
      <c r="B16377" s="49" t="s">
        <v>10466</v>
      </c>
    </row>
    <row r="16378" spans="1:2">
      <c r="A16378" s="66">
        <v>46072.586506296298</v>
      </c>
      <c r="B16378" s="49" t="s">
        <v>10605</v>
      </c>
    </row>
    <row r="16379" spans="1:2">
      <c r="A16379" s="66">
        <v>46072.586508773151</v>
      </c>
      <c r="B16379" s="49" t="s">
        <v>10562</v>
      </c>
    </row>
    <row r="16380" spans="1:2">
      <c r="A16380" s="66">
        <v>46072.586510844907</v>
      </c>
      <c r="B16380" s="49" t="s">
        <v>10606</v>
      </c>
    </row>
    <row r="16381" spans="1:2">
      <c r="A16381" s="66">
        <v>46072.58785084491</v>
      </c>
      <c r="B16381" s="49" t="s">
        <v>10556</v>
      </c>
    </row>
    <row r="16382" spans="1:2">
      <c r="A16382" s="66">
        <v>46072.587853148143</v>
      </c>
      <c r="B16382" s="49" t="s">
        <v>10603</v>
      </c>
    </row>
    <row r="16383" spans="1:2">
      <c r="A16383" s="66">
        <v>46072.587856238424</v>
      </c>
      <c r="B16383" s="49" t="s">
        <v>10604</v>
      </c>
    </row>
    <row r="16384" spans="1:2">
      <c r="A16384" s="66">
        <v>46072.58785866898</v>
      </c>
      <c r="B16384" s="49" t="s">
        <v>10466</v>
      </c>
    </row>
    <row r="16385" spans="1:2">
      <c r="A16385" s="66">
        <v>46072.587861817126</v>
      </c>
      <c r="B16385" s="49" t="s">
        <v>10605</v>
      </c>
    </row>
    <row r="16386" spans="1:2">
      <c r="A16386" s="66">
        <v>46072.587863912035</v>
      </c>
      <c r="B16386" s="49" t="s">
        <v>10562</v>
      </c>
    </row>
    <row r="16387" spans="1:2">
      <c r="A16387" s="66">
        <v>46072.587871111115</v>
      </c>
      <c r="B16387" s="49" t="s">
        <v>10606</v>
      </c>
    </row>
    <row r="16388" spans="1:2">
      <c r="A16388" s="66">
        <v>46072.588787442131</v>
      </c>
      <c r="B16388" s="49" t="s">
        <v>10556</v>
      </c>
    </row>
    <row r="16389" spans="1:2">
      <c r="A16389" s="66">
        <v>46072.588789976857</v>
      </c>
      <c r="B16389" s="49" t="s">
        <v>10603</v>
      </c>
    </row>
    <row r="16390" spans="1:2">
      <c r="A16390" s="66">
        <v>46072.588796342592</v>
      </c>
      <c r="B16390" s="49" t="s">
        <v>10604</v>
      </c>
    </row>
    <row r="16391" spans="1:2">
      <c r="A16391" s="66">
        <v>46072.588801168982</v>
      </c>
      <c r="B16391" s="49" t="s">
        <v>10466</v>
      </c>
    </row>
    <row r="16392" spans="1:2">
      <c r="A16392" s="66">
        <v>46072.588805405088</v>
      </c>
      <c r="B16392" s="49" t="s">
        <v>10605</v>
      </c>
    </row>
    <row r="16393" spans="1:2">
      <c r="A16393" s="66">
        <v>46072.588807546301</v>
      </c>
      <c r="B16393" s="49" t="s">
        <v>10562</v>
      </c>
    </row>
    <row r="16394" spans="1:2">
      <c r="A16394" s="66">
        <v>46072.588810578702</v>
      </c>
      <c r="B16394" s="49" t="s">
        <v>10606</v>
      </c>
    </row>
    <row r="16395" spans="1:2">
      <c r="A16395" s="66">
        <v>46072.589725717597</v>
      </c>
      <c r="B16395" s="49" t="s">
        <v>10556</v>
      </c>
    </row>
    <row r="16396" spans="1:2">
      <c r="A16396" s="66">
        <v>46072.58972783565</v>
      </c>
      <c r="B16396" s="49" t="s">
        <v>10603</v>
      </c>
    </row>
    <row r="16397" spans="1:2">
      <c r="A16397" s="66">
        <v>46072.589729571759</v>
      </c>
      <c r="B16397" s="49" t="s">
        <v>10604</v>
      </c>
    </row>
    <row r="16398" spans="1:2">
      <c r="A16398" s="66">
        <v>46072.589735925925</v>
      </c>
      <c r="B16398" s="49" t="s">
        <v>10466</v>
      </c>
    </row>
    <row r="16399" spans="1:2">
      <c r="A16399" s="66">
        <v>46072.589738252311</v>
      </c>
      <c r="B16399" s="49" t="s">
        <v>10605</v>
      </c>
    </row>
    <row r="16400" spans="1:2">
      <c r="A16400" s="66">
        <v>46072.589740416668</v>
      </c>
      <c r="B16400" s="49" t="s">
        <v>10562</v>
      </c>
    </row>
    <row r="16401" spans="1:2">
      <c r="A16401" s="66">
        <v>46072.589742222219</v>
      </c>
      <c r="B16401" s="49" t="s">
        <v>10606</v>
      </c>
    </row>
    <row r="16402" spans="1:2">
      <c r="A16402" s="66">
        <v>46072.591026747687</v>
      </c>
      <c r="B16402" s="49" t="s">
        <v>10556</v>
      </c>
    </row>
    <row r="16403" spans="1:2">
      <c r="A16403" s="66">
        <v>46072.591029120369</v>
      </c>
      <c r="B16403" s="49" t="s">
        <v>10603</v>
      </c>
    </row>
    <row r="16404" spans="1:2">
      <c r="A16404" s="66">
        <v>46072.591032013894</v>
      </c>
      <c r="B16404" s="49" t="s">
        <v>10604</v>
      </c>
    </row>
    <row r="16405" spans="1:2">
      <c r="A16405" s="66">
        <v>46072.591034930556</v>
      </c>
      <c r="B16405" s="49" t="s">
        <v>10466</v>
      </c>
    </row>
    <row r="16406" spans="1:2">
      <c r="A16406" s="66">
        <v>46072.591037511578</v>
      </c>
      <c r="B16406" s="49" t="s">
        <v>10605</v>
      </c>
    </row>
    <row r="16407" spans="1:2">
      <c r="A16407" s="66">
        <v>46072.591044537039</v>
      </c>
      <c r="B16407" s="49" t="s">
        <v>10562</v>
      </c>
    </row>
    <row r="16408" spans="1:2">
      <c r="A16408" s="66">
        <v>46072.591046782407</v>
      </c>
      <c r="B16408" s="49" t="s">
        <v>10606</v>
      </c>
    </row>
    <row r="16409" spans="1:2">
      <c r="A16409" s="66">
        <v>46072.592215092591</v>
      </c>
      <c r="B16409" s="49" t="s">
        <v>10556</v>
      </c>
    </row>
    <row r="16410" spans="1:2">
      <c r="A16410" s="66">
        <v>46072.592217928242</v>
      </c>
      <c r="B16410" s="49" t="s">
        <v>10603</v>
      </c>
    </row>
    <row r="16411" spans="1:2">
      <c r="A16411" s="66">
        <v>46072.592221099534</v>
      </c>
      <c r="B16411" s="49" t="s">
        <v>10604</v>
      </c>
    </row>
    <row r="16412" spans="1:2">
      <c r="A16412" s="66">
        <v>46072.592230057868</v>
      </c>
      <c r="B16412" s="49" t="s">
        <v>10466</v>
      </c>
    </row>
    <row r="16413" spans="1:2">
      <c r="A16413" s="66">
        <v>46072.592232986106</v>
      </c>
      <c r="B16413" s="49" t="s">
        <v>10605</v>
      </c>
    </row>
    <row r="16414" spans="1:2">
      <c r="A16414" s="66">
        <v>46072.592243483799</v>
      </c>
      <c r="B16414" s="49" t="s">
        <v>10562</v>
      </c>
    </row>
    <row r="16415" spans="1:2">
      <c r="A16415" s="66">
        <v>46072.592247615743</v>
      </c>
      <c r="B16415" s="49" t="s">
        <v>10606</v>
      </c>
    </row>
    <row r="16416" spans="1:2">
      <c r="A16416" s="66">
        <v>46072.593094479162</v>
      </c>
      <c r="B16416" s="49" t="s">
        <v>10556</v>
      </c>
    </row>
    <row r="16417" spans="1:2">
      <c r="A16417" s="66">
        <v>46072.593097164354</v>
      </c>
      <c r="B16417" s="49" t="s">
        <v>10603</v>
      </c>
    </row>
    <row r="16418" spans="1:2">
      <c r="A16418" s="66">
        <v>46072.593099953709</v>
      </c>
      <c r="B16418" s="49" t="s">
        <v>10604</v>
      </c>
    </row>
    <row r="16419" spans="1:2">
      <c r="A16419" s="66">
        <v>46072.593102881947</v>
      </c>
      <c r="B16419" s="49" t="s">
        <v>10466</v>
      </c>
    </row>
    <row r="16420" spans="1:2">
      <c r="A16420" s="66">
        <v>46072.593105312495</v>
      </c>
      <c r="B16420" s="49" t="s">
        <v>10605</v>
      </c>
    </row>
    <row r="16421" spans="1:2">
      <c r="A16421" s="66">
        <v>46072.5931078125</v>
      </c>
      <c r="B16421" s="49" t="s">
        <v>10562</v>
      </c>
    </row>
    <row r="16422" spans="1:2">
      <c r="A16422" s="66">
        <v>46072.593110034722</v>
      </c>
      <c r="B16422" s="49" t="s">
        <v>10606</v>
      </c>
    </row>
    <row r="16423" spans="1:2">
      <c r="A16423" s="66">
        <v>46072.594011979163</v>
      </c>
      <c r="B16423" s="49" t="s">
        <v>10556</v>
      </c>
    </row>
    <row r="16424" spans="1:2">
      <c r="A16424" s="66">
        <v>46072.594014560185</v>
      </c>
      <c r="B16424" s="49" t="s">
        <v>10603</v>
      </c>
    </row>
    <row r="16425" spans="1:2">
      <c r="A16425" s="66">
        <v>46072.594017511576</v>
      </c>
      <c r="B16425" s="49" t="s">
        <v>10604</v>
      </c>
    </row>
    <row r="16426" spans="1:2">
      <c r="A16426" s="66">
        <v>46072.594020439814</v>
      </c>
      <c r="B16426" s="49" t="s">
        <v>10466</v>
      </c>
    </row>
    <row r="16427" spans="1:2">
      <c r="A16427" s="66">
        <v>46072.594023182872</v>
      </c>
      <c r="B16427" s="49" t="s">
        <v>10605</v>
      </c>
    </row>
    <row r="16428" spans="1:2">
      <c r="A16428" s="66">
        <v>46072.594026006947</v>
      </c>
      <c r="B16428" s="49" t="s">
        <v>10562</v>
      </c>
    </row>
    <row r="16429" spans="1:2">
      <c r="A16429" s="66">
        <v>46072.594028414351</v>
      </c>
      <c r="B16429" s="49" t="s">
        <v>10606</v>
      </c>
    </row>
    <row r="16430" spans="1:2">
      <c r="A16430" s="66">
        <v>46072.594989317135</v>
      </c>
      <c r="B16430" s="49" t="s">
        <v>10556</v>
      </c>
    </row>
    <row r="16431" spans="1:2">
      <c r="A16431" s="66">
        <v>46072.594992256942</v>
      </c>
      <c r="B16431" s="49" t="s">
        <v>10603</v>
      </c>
    </row>
    <row r="16432" spans="1:2">
      <c r="A16432" s="66">
        <v>46072.59499513889</v>
      </c>
      <c r="B16432" s="49" t="s">
        <v>10604</v>
      </c>
    </row>
    <row r="16433" spans="1:2">
      <c r="A16433" s="66">
        <v>46072.594997835651</v>
      </c>
      <c r="B16433" s="49" t="s">
        <v>10466</v>
      </c>
    </row>
    <row r="16434" spans="1:2">
      <c r="A16434" s="66">
        <v>46072.594999872686</v>
      </c>
      <c r="B16434" s="49" t="s">
        <v>10605</v>
      </c>
    </row>
    <row r="16435" spans="1:2">
      <c r="A16435" s="66">
        <v>46072.595002210648</v>
      </c>
      <c r="B16435" s="49" t="s">
        <v>10562</v>
      </c>
    </row>
    <row r="16436" spans="1:2">
      <c r="A16436" s="66">
        <v>46072.595004872681</v>
      </c>
      <c r="B16436" s="49" t="s">
        <v>10606</v>
      </c>
    </row>
    <row r="16437" spans="1:2">
      <c r="A16437" s="66">
        <v>46072.595964768523</v>
      </c>
      <c r="B16437" s="49" t="s">
        <v>10556</v>
      </c>
    </row>
    <row r="16438" spans="1:2">
      <c r="A16438" s="66">
        <v>46072.595966875</v>
      </c>
      <c r="B16438" s="49" t="s">
        <v>10603</v>
      </c>
    </row>
    <row r="16439" spans="1:2">
      <c r="A16439" s="66">
        <v>46072.595969120375</v>
      </c>
      <c r="B16439" s="49" t="s">
        <v>10604</v>
      </c>
    </row>
    <row r="16440" spans="1:2">
      <c r="A16440" s="66">
        <v>46072.595972314812</v>
      </c>
      <c r="B16440" s="49" t="s">
        <v>10466</v>
      </c>
    </row>
    <row r="16441" spans="1:2">
      <c r="A16441" s="66">
        <v>46072.595975023149</v>
      </c>
      <c r="B16441" s="49" t="s">
        <v>10605</v>
      </c>
    </row>
    <row r="16442" spans="1:2">
      <c r="A16442" s="66">
        <v>46072.595976944445</v>
      </c>
      <c r="B16442" s="49" t="s">
        <v>10562</v>
      </c>
    </row>
    <row r="16443" spans="1:2">
      <c r="A16443" s="66">
        <v>46072.595979999998</v>
      </c>
      <c r="B16443" s="49" t="s">
        <v>10606</v>
      </c>
    </row>
    <row r="16444" spans="1:2">
      <c r="A16444" s="66">
        <v>46072.597312638885</v>
      </c>
      <c r="B16444" s="49" t="s">
        <v>10556</v>
      </c>
    </row>
    <row r="16445" spans="1:2">
      <c r="A16445" s="66">
        <v>46072.597315219908</v>
      </c>
      <c r="B16445" s="49" t="s">
        <v>10603</v>
      </c>
    </row>
    <row r="16446" spans="1:2">
      <c r="A16446" s="66">
        <v>46072.597319120367</v>
      </c>
      <c r="B16446" s="49" t="s">
        <v>10604</v>
      </c>
    </row>
    <row r="16447" spans="1:2">
      <c r="A16447" s="66">
        <v>46072.597328391203</v>
      </c>
      <c r="B16447" s="49" t="s">
        <v>10466</v>
      </c>
    </row>
    <row r="16448" spans="1:2">
      <c r="A16448" s="66">
        <v>46072.597330833334</v>
      </c>
      <c r="B16448" s="49" t="s">
        <v>10605</v>
      </c>
    </row>
    <row r="16449" spans="1:2">
      <c r="A16449" s="66">
        <v>46072.597333055557</v>
      </c>
      <c r="B16449" s="49" t="s">
        <v>10562</v>
      </c>
    </row>
    <row r="16450" spans="1:2">
      <c r="A16450" s="66">
        <v>46072.597336620369</v>
      </c>
      <c r="B16450" s="49" t="s">
        <v>10606</v>
      </c>
    </row>
    <row r="16451" spans="1:2">
      <c r="A16451" s="66">
        <v>46072.598650127315</v>
      </c>
      <c r="B16451" s="49" t="s">
        <v>10556</v>
      </c>
    </row>
    <row r="16452" spans="1:2">
      <c r="A16452" s="66">
        <v>46072.598656400463</v>
      </c>
      <c r="B16452" s="49" t="s">
        <v>10603</v>
      </c>
    </row>
    <row r="16453" spans="1:2">
      <c r="A16453" s="66">
        <v>46072.598658923613</v>
      </c>
      <c r="B16453" s="49" t="s">
        <v>10604</v>
      </c>
    </row>
    <row r="16454" spans="1:2">
      <c r="A16454" s="66">
        <v>46072.598661446755</v>
      </c>
      <c r="B16454" s="49" t="s">
        <v>10466</v>
      </c>
    </row>
    <row r="16455" spans="1:2">
      <c r="A16455" s="66">
        <v>46072.598664097226</v>
      </c>
      <c r="B16455" s="49" t="s">
        <v>10605</v>
      </c>
    </row>
    <row r="16456" spans="1:2">
      <c r="A16456" s="66">
        <v>46072.598666655089</v>
      </c>
      <c r="B16456" s="49" t="s">
        <v>10562</v>
      </c>
    </row>
    <row r="16457" spans="1:2">
      <c r="A16457" s="66">
        <v>46072.598669421292</v>
      </c>
      <c r="B16457" s="49" t="s">
        <v>10606</v>
      </c>
    </row>
    <row r="16458" spans="1:2">
      <c r="A16458" s="66">
        <v>46072.599445486107</v>
      </c>
      <c r="B16458" s="49" t="s">
        <v>10556</v>
      </c>
    </row>
    <row r="16459" spans="1:2">
      <c r="A16459" s="66">
        <v>46072.599448645837</v>
      </c>
      <c r="B16459" s="49" t="s">
        <v>10603</v>
      </c>
    </row>
    <row r="16460" spans="1:2">
      <c r="A16460" s="66">
        <v>46072.599455115742</v>
      </c>
      <c r="B16460" s="49" t="s">
        <v>10604</v>
      </c>
    </row>
    <row r="16461" spans="1:2">
      <c r="A16461" s="66">
        <v>46072.599462164348</v>
      </c>
      <c r="B16461" s="49" t="s">
        <v>10466</v>
      </c>
    </row>
    <row r="16462" spans="1:2">
      <c r="A16462" s="66">
        <v>46072.599464525461</v>
      </c>
      <c r="B16462" s="49" t="s">
        <v>10605</v>
      </c>
    </row>
    <row r="16463" spans="1:2">
      <c r="A16463" s="66">
        <v>46072.599467083332</v>
      </c>
      <c r="B16463" s="49" t="s">
        <v>10562</v>
      </c>
    </row>
    <row r="16464" spans="1:2">
      <c r="A16464" s="66">
        <v>46072.599470069443</v>
      </c>
      <c r="B16464" s="49" t="s">
        <v>10606</v>
      </c>
    </row>
    <row r="16465" spans="1:2">
      <c r="A16465" s="66">
        <v>46072.600305706015</v>
      </c>
      <c r="B16465" s="49" t="s">
        <v>10556</v>
      </c>
    </row>
    <row r="16466" spans="1:2">
      <c r="A16466" s="66">
        <v>46072.600308009263</v>
      </c>
      <c r="B16466" s="49" t="s">
        <v>10603</v>
      </c>
    </row>
    <row r="16467" spans="1:2">
      <c r="A16467" s="66">
        <v>46072.600310277776</v>
      </c>
      <c r="B16467" s="49" t="s">
        <v>10604</v>
      </c>
    </row>
    <row r="16468" spans="1:2">
      <c r="A16468" s="66">
        <v>46072.600312685187</v>
      </c>
      <c r="B16468" s="49" t="s">
        <v>10466</v>
      </c>
    </row>
    <row r="16469" spans="1:2">
      <c r="A16469" s="66">
        <v>46072.600315115742</v>
      </c>
      <c r="B16469" s="49" t="s">
        <v>10605</v>
      </c>
    </row>
    <row r="16470" spans="1:2">
      <c r="A16470" s="66">
        <v>46072.600317372686</v>
      </c>
      <c r="B16470" s="49" t="s">
        <v>10562</v>
      </c>
    </row>
    <row r="16471" spans="1:2">
      <c r="A16471" s="66">
        <v>46072.600321608799</v>
      </c>
      <c r="B16471" s="49" t="s">
        <v>10606</v>
      </c>
    </row>
    <row r="16472" spans="1:2">
      <c r="A16472" s="66">
        <v>46072.601128981478</v>
      </c>
      <c r="B16472" s="49" t="s">
        <v>10556</v>
      </c>
    </row>
    <row r="16473" spans="1:2">
      <c r="A16473" s="66">
        <v>46072.601134328703</v>
      </c>
      <c r="B16473" s="49" t="s">
        <v>10603</v>
      </c>
    </row>
    <row r="16474" spans="1:2">
      <c r="A16474" s="66">
        <v>46072.601142569445</v>
      </c>
      <c r="B16474" s="49" t="s">
        <v>10604</v>
      </c>
    </row>
    <row r="16475" spans="1:2">
      <c r="A16475" s="66">
        <v>46072.601145671295</v>
      </c>
      <c r="B16475" s="49" t="s">
        <v>10466</v>
      </c>
    </row>
    <row r="16476" spans="1:2">
      <c r="A16476" s="66">
        <v>46072.601147326393</v>
      </c>
      <c r="B16476" s="49" t="s">
        <v>10605</v>
      </c>
    </row>
    <row r="16477" spans="1:2">
      <c r="A16477" s="66">
        <v>46072.601149085647</v>
      </c>
      <c r="B16477" s="49" t="s">
        <v>10562</v>
      </c>
    </row>
    <row r="16478" spans="1:2">
      <c r="A16478" s="66">
        <v>46072.601151076393</v>
      </c>
      <c r="B16478" s="49" t="s">
        <v>10606</v>
      </c>
    </row>
    <row r="16479" spans="1:2">
      <c r="A16479" s="66">
        <v>46072.60216012731</v>
      </c>
      <c r="B16479" s="49" t="s">
        <v>10556</v>
      </c>
    </row>
    <row r="16480" spans="1:2">
      <c r="A16480" s="66">
        <v>46072.602162268522</v>
      </c>
      <c r="B16480" s="49" t="s">
        <v>10603</v>
      </c>
    </row>
    <row r="16481" spans="1:2">
      <c r="A16481" s="66">
        <v>46072.602163993055</v>
      </c>
      <c r="B16481" s="49" t="s">
        <v>10604</v>
      </c>
    </row>
    <row r="16482" spans="1:2">
      <c r="A16482" s="66">
        <v>46072.602173263891</v>
      </c>
      <c r="B16482" s="49" t="s">
        <v>10466</v>
      </c>
    </row>
    <row r="16483" spans="1:2">
      <c r="A16483" s="66">
        <v>46072.602176782406</v>
      </c>
      <c r="B16483" s="49" t="s">
        <v>10605</v>
      </c>
    </row>
    <row r="16484" spans="1:2">
      <c r="A16484" s="66">
        <v>46072.602179155088</v>
      </c>
      <c r="B16484" s="49" t="s">
        <v>10562</v>
      </c>
    </row>
    <row r="16485" spans="1:2">
      <c r="A16485" s="66">
        <v>46072.602180972222</v>
      </c>
      <c r="B16485" s="49" t="s">
        <v>10606</v>
      </c>
    </row>
    <row r="16486" spans="1:2">
      <c r="A16486" s="66">
        <v>46072.603075451392</v>
      </c>
      <c r="B16486" s="49" t="s">
        <v>10556</v>
      </c>
    </row>
    <row r="16487" spans="1:2">
      <c r="A16487" s="66">
        <v>46072.603078101849</v>
      </c>
      <c r="B16487" s="49" t="s">
        <v>10603</v>
      </c>
    </row>
    <row r="16488" spans="1:2">
      <c r="A16488" s="66">
        <v>46072.603080925925</v>
      </c>
      <c r="B16488" s="49" t="s">
        <v>10604</v>
      </c>
    </row>
    <row r="16489" spans="1:2">
      <c r="A16489" s="66">
        <v>46072.603083611109</v>
      </c>
      <c r="B16489" s="49" t="s">
        <v>10466</v>
      </c>
    </row>
    <row r="16490" spans="1:2">
      <c r="A16490" s="66">
        <v>46072.603085949071</v>
      </c>
      <c r="B16490" s="49" t="s">
        <v>10605</v>
      </c>
    </row>
    <row r="16491" spans="1:2">
      <c r="A16491" s="66">
        <v>46072.603088611111</v>
      </c>
      <c r="B16491" s="49" t="s">
        <v>10562</v>
      </c>
    </row>
    <row r="16492" spans="1:2">
      <c r="A16492" s="66">
        <v>46072.603091331017</v>
      </c>
      <c r="B16492" s="49" t="s">
        <v>10606</v>
      </c>
    </row>
    <row r="16493" spans="1:2">
      <c r="A16493" s="66">
        <v>46072.604481516202</v>
      </c>
      <c r="B16493" s="49" t="s">
        <v>10556</v>
      </c>
    </row>
    <row r="16494" spans="1:2">
      <c r="A16494" s="66">
        <v>46072.604483854171</v>
      </c>
      <c r="B16494" s="49" t="s">
        <v>10603</v>
      </c>
    </row>
    <row r="16495" spans="1:2">
      <c r="A16495" s="66">
        <v>46072.60448657407</v>
      </c>
      <c r="B16495" s="49" t="s">
        <v>10604</v>
      </c>
    </row>
    <row r="16496" spans="1:2">
      <c r="A16496" s="66">
        <v>46072.604488923607</v>
      </c>
      <c r="B16496" s="49" t="s">
        <v>10466</v>
      </c>
    </row>
    <row r="16497" spans="1:2">
      <c r="A16497" s="66">
        <v>46072.604491446764</v>
      </c>
      <c r="B16497" s="49" t="s">
        <v>10605</v>
      </c>
    </row>
    <row r="16498" spans="1:2">
      <c r="A16498" s="66">
        <v>46072.604494189814</v>
      </c>
      <c r="B16498" s="49" t="s">
        <v>10562</v>
      </c>
    </row>
    <row r="16499" spans="1:2">
      <c r="A16499" s="66">
        <v>46072.604501481481</v>
      </c>
      <c r="B16499" s="49" t="s">
        <v>10606</v>
      </c>
    </row>
    <row r="16500" spans="1:2">
      <c r="A16500" s="66">
        <v>46072.605837858791</v>
      </c>
      <c r="B16500" s="49" t="s">
        <v>10556</v>
      </c>
    </row>
    <row r="16501" spans="1:2">
      <c r="A16501" s="66">
        <v>46072.60584611111</v>
      </c>
      <c r="B16501" s="49" t="s">
        <v>10603</v>
      </c>
    </row>
    <row r="16502" spans="1:2">
      <c r="A16502" s="66">
        <v>46072.605849293977</v>
      </c>
      <c r="B16502" s="49" t="s">
        <v>10604</v>
      </c>
    </row>
    <row r="16503" spans="1:2">
      <c r="A16503" s="66">
        <v>46072.605852326393</v>
      </c>
      <c r="B16503" s="49" t="s">
        <v>10466</v>
      </c>
    </row>
    <row r="16504" spans="1:2">
      <c r="A16504" s="66">
        <v>46072.605857222225</v>
      </c>
      <c r="B16504" s="49" t="s">
        <v>10605</v>
      </c>
    </row>
    <row r="16505" spans="1:2">
      <c r="A16505" s="66">
        <v>46072.605863460645</v>
      </c>
      <c r="B16505" s="49" t="s">
        <v>10562</v>
      </c>
    </row>
    <row r="16506" spans="1:2">
      <c r="A16506" s="66">
        <v>46072.60586703704</v>
      </c>
      <c r="B16506" s="49" t="s">
        <v>10606</v>
      </c>
    </row>
    <row r="16507" spans="1:2">
      <c r="A16507" s="66">
        <v>46072.607226261578</v>
      </c>
      <c r="B16507" s="49" t="s">
        <v>10556</v>
      </c>
    </row>
    <row r="16508" spans="1:2">
      <c r="A16508" s="66">
        <v>46072.607237372686</v>
      </c>
      <c r="B16508" s="49" t="s">
        <v>10603</v>
      </c>
    </row>
    <row r="16509" spans="1:2">
      <c r="A16509" s="66">
        <v>46072.607241006946</v>
      </c>
      <c r="B16509" s="49" t="s">
        <v>10604</v>
      </c>
    </row>
    <row r="16510" spans="1:2">
      <c r="A16510" s="66">
        <v>46072.607244236111</v>
      </c>
      <c r="B16510" s="49" t="s">
        <v>10466</v>
      </c>
    </row>
    <row r="16511" spans="1:2">
      <c r="A16511" s="66">
        <v>46072.607247164357</v>
      </c>
      <c r="B16511" s="49" t="s">
        <v>10605</v>
      </c>
    </row>
    <row r="16512" spans="1:2">
      <c r="A16512" s="66">
        <v>46072.607255810188</v>
      </c>
      <c r="B16512" s="49" t="s">
        <v>10562</v>
      </c>
    </row>
    <row r="16513" spans="1:2">
      <c r="A16513" s="66">
        <v>46072.607264097227</v>
      </c>
      <c r="B16513" s="49" t="s">
        <v>10606</v>
      </c>
    </row>
    <row r="16514" spans="1:2">
      <c r="A16514" s="66">
        <v>46072.608320509258</v>
      </c>
      <c r="B16514" s="49" t="s">
        <v>10556</v>
      </c>
    </row>
    <row r="16515" spans="1:2">
      <c r="A16515" s="66">
        <v>46072.608323761575</v>
      </c>
      <c r="B16515" s="49" t="s">
        <v>10603</v>
      </c>
    </row>
    <row r="16516" spans="1:2">
      <c r="A16516" s="66">
        <v>46072.608326909722</v>
      </c>
      <c r="B16516" s="49" t="s">
        <v>10604</v>
      </c>
    </row>
    <row r="16517" spans="1:2">
      <c r="A16517" s="66">
        <v>46072.60832994213</v>
      </c>
      <c r="B16517" s="49" t="s">
        <v>10466</v>
      </c>
    </row>
    <row r="16518" spans="1:2">
      <c r="A16518" s="66">
        <v>46072.608333055556</v>
      </c>
      <c r="B16518" s="49" t="s">
        <v>10605</v>
      </c>
    </row>
    <row r="16519" spans="1:2">
      <c r="A16519" s="66">
        <v>46072.608335972225</v>
      </c>
      <c r="B16519" s="49" t="s">
        <v>10562</v>
      </c>
    </row>
    <row r="16520" spans="1:2">
      <c r="A16520" s="66">
        <v>46072.608340497682</v>
      </c>
      <c r="B16520" s="49" t="s">
        <v>10606</v>
      </c>
    </row>
    <row r="16521" spans="1:2">
      <c r="A16521" s="66">
        <v>46072.60972054398</v>
      </c>
      <c r="B16521" s="49" t="s">
        <v>10556</v>
      </c>
    </row>
    <row r="16522" spans="1:2">
      <c r="A16522" s="66">
        <v>46072.609722685185</v>
      </c>
      <c r="B16522" s="49" t="s">
        <v>10603</v>
      </c>
    </row>
    <row r="16523" spans="1:2">
      <c r="A16523" s="66">
        <v>46072.609725509261</v>
      </c>
      <c r="B16523" s="49" t="s">
        <v>10604</v>
      </c>
    </row>
    <row r="16524" spans="1:2">
      <c r="A16524" s="66">
        <v>46072.609727569448</v>
      </c>
      <c r="B16524" s="49" t="s">
        <v>10466</v>
      </c>
    </row>
    <row r="16525" spans="1:2">
      <c r="A16525" s="66">
        <v>46072.609730208336</v>
      </c>
      <c r="B16525" s="49" t="s">
        <v>10605</v>
      </c>
    </row>
    <row r="16526" spans="1:2">
      <c r="A16526" s="66">
        <v>46072.609732546298</v>
      </c>
      <c r="B16526" s="49" t="s">
        <v>10562</v>
      </c>
    </row>
    <row r="16527" spans="1:2">
      <c r="A16527" s="66">
        <v>46072.609734953701</v>
      </c>
      <c r="B16527" s="49" t="s">
        <v>10606</v>
      </c>
    </row>
    <row r="16528" spans="1:2">
      <c r="A16528" s="66">
        <v>46072.610981203703</v>
      </c>
      <c r="B16528" s="49" t="s">
        <v>10556</v>
      </c>
    </row>
    <row r="16529" spans="1:2">
      <c r="A16529" s="66">
        <v>46072.610983819446</v>
      </c>
      <c r="B16529" s="49" t="s">
        <v>10603</v>
      </c>
    </row>
    <row r="16530" spans="1:2">
      <c r="A16530" s="66">
        <v>46072.610986666667</v>
      </c>
      <c r="B16530" s="49" t="s">
        <v>10604</v>
      </c>
    </row>
    <row r="16531" spans="1:2">
      <c r="A16531" s="66">
        <v>46072.61098957176</v>
      </c>
      <c r="B16531" s="49" t="s">
        <v>10466</v>
      </c>
    </row>
    <row r="16532" spans="1:2">
      <c r="A16532" s="66">
        <v>46072.610992337963</v>
      </c>
      <c r="B16532" s="49" t="s">
        <v>10605</v>
      </c>
    </row>
    <row r="16533" spans="1:2">
      <c r="A16533" s="66">
        <v>46072.610996296295</v>
      </c>
      <c r="B16533" s="49" t="s">
        <v>10562</v>
      </c>
    </row>
    <row r="16534" spans="1:2">
      <c r="A16534" s="66">
        <v>46072.61099912037</v>
      </c>
      <c r="B16534" s="49" t="s">
        <v>10606</v>
      </c>
    </row>
    <row r="16535" spans="1:2">
      <c r="A16535" s="66">
        <v>46072.611995266205</v>
      </c>
      <c r="B16535" s="49" t="s">
        <v>10556</v>
      </c>
    </row>
    <row r="16536" spans="1:2">
      <c r="A16536" s="66">
        <v>46072.612001250003</v>
      </c>
      <c r="B16536" s="49" t="s">
        <v>10603</v>
      </c>
    </row>
    <row r="16537" spans="1:2">
      <c r="A16537" s="66">
        <v>46072.61200361111</v>
      </c>
      <c r="B16537" s="49" t="s">
        <v>10604</v>
      </c>
    </row>
    <row r="16538" spans="1:2">
      <c r="A16538" s="66">
        <v>46072.612005972223</v>
      </c>
      <c r="B16538" s="49" t="s">
        <v>10466</v>
      </c>
    </row>
    <row r="16539" spans="1:2">
      <c r="A16539" s="66">
        <v>46072.612007881944</v>
      </c>
      <c r="B16539" s="49" t="s">
        <v>10605</v>
      </c>
    </row>
    <row r="16540" spans="1:2">
      <c r="A16540" s="66">
        <v>46072.612010879631</v>
      </c>
      <c r="B16540" s="49" t="s">
        <v>10562</v>
      </c>
    </row>
    <row r="16541" spans="1:2">
      <c r="A16541" s="66">
        <v>46072.612013622682</v>
      </c>
      <c r="B16541" s="49" t="s">
        <v>10606</v>
      </c>
    </row>
    <row r="16542" spans="1:2">
      <c r="A16542" s="66">
        <v>46072.613415891203</v>
      </c>
      <c r="B16542" s="49" t="s">
        <v>10556</v>
      </c>
    </row>
    <row r="16543" spans="1:2">
      <c r="A16543" s="66">
        <v>46072.613418148147</v>
      </c>
      <c r="B16543" s="49" t="s">
        <v>10603</v>
      </c>
    </row>
    <row r="16544" spans="1:2">
      <c r="A16544" s="66">
        <v>46072.613420671296</v>
      </c>
      <c r="B16544" s="49" t="s">
        <v>10604</v>
      </c>
    </row>
    <row r="16545" spans="1:2">
      <c r="A16545" s="66">
        <v>46072.613422685186</v>
      </c>
      <c r="B16545" s="49" t="s">
        <v>10466</v>
      </c>
    </row>
    <row r="16546" spans="1:2">
      <c r="A16546" s="66">
        <v>46072.61342465278</v>
      </c>
      <c r="B16546" s="49" t="s">
        <v>10605</v>
      </c>
    </row>
    <row r="16547" spans="1:2">
      <c r="A16547" s="66">
        <v>46072.613427349541</v>
      </c>
      <c r="B16547" s="49" t="s">
        <v>10562</v>
      </c>
    </row>
    <row r="16548" spans="1:2">
      <c r="A16548" s="66">
        <v>46072.61343070602</v>
      </c>
      <c r="B16548" s="49" t="s">
        <v>10606</v>
      </c>
    </row>
    <row r="16549" spans="1:2">
      <c r="A16549" s="66">
        <v>46072.614507326391</v>
      </c>
      <c r="B16549" s="49" t="s">
        <v>10556</v>
      </c>
    </row>
    <row r="16550" spans="1:2">
      <c r="A16550" s="66">
        <v>46072.614510509258</v>
      </c>
      <c r="B16550" s="49" t="s">
        <v>10603</v>
      </c>
    </row>
    <row r="16551" spans="1:2">
      <c r="A16551" s="66">
        <v>46072.614513263892</v>
      </c>
      <c r="B16551" s="49" t="s">
        <v>10604</v>
      </c>
    </row>
    <row r="16552" spans="1:2">
      <c r="A16552" s="66">
        <v>46072.614515590278</v>
      </c>
      <c r="B16552" s="49" t="s">
        <v>10466</v>
      </c>
    </row>
    <row r="16553" spans="1:2">
      <c r="A16553" s="66">
        <v>46072.614518171293</v>
      </c>
      <c r="B16553" s="49" t="s">
        <v>10605</v>
      </c>
    </row>
    <row r="16554" spans="1:2">
      <c r="A16554" s="66">
        <v>46072.614520787036</v>
      </c>
      <c r="B16554" s="49" t="s">
        <v>10562</v>
      </c>
    </row>
    <row r="16555" spans="1:2">
      <c r="A16555" s="66">
        <v>46072.614523368058</v>
      </c>
      <c r="B16555" s="49" t="s">
        <v>10606</v>
      </c>
    </row>
    <row r="16556" spans="1:2">
      <c r="A16556" s="66">
        <v>46072.615638726857</v>
      </c>
      <c r="B16556" s="49" t="s">
        <v>10556</v>
      </c>
    </row>
    <row r="16557" spans="1:2">
      <c r="A16557" s="66">
        <v>46072.615642210643</v>
      </c>
      <c r="B16557" s="49" t="s">
        <v>10603</v>
      </c>
    </row>
    <row r="16558" spans="1:2">
      <c r="A16558" s="66">
        <v>46072.615645648148</v>
      </c>
      <c r="B16558" s="49" t="s">
        <v>10604</v>
      </c>
    </row>
    <row r="16559" spans="1:2">
      <c r="A16559" s="66">
        <v>46072.615652418986</v>
      </c>
      <c r="B16559" s="49" t="s">
        <v>10466</v>
      </c>
    </row>
    <row r="16560" spans="1:2">
      <c r="A16560" s="66">
        <v>46072.615655520829</v>
      </c>
      <c r="B16560" s="49" t="s">
        <v>10605</v>
      </c>
    </row>
    <row r="16561" spans="1:2">
      <c r="A16561" s="66">
        <v>46072.615659421295</v>
      </c>
      <c r="B16561" s="49" t="s">
        <v>10562</v>
      </c>
    </row>
    <row r="16562" spans="1:2">
      <c r="A16562" s="66">
        <v>46072.615662962962</v>
      </c>
      <c r="B16562" s="49" t="s">
        <v>10606</v>
      </c>
    </row>
    <row r="16563" spans="1:2">
      <c r="A16563" s="66">
        <v>46072.616899467597</v>
      </c>
      <c r="B16563" s="49" t="s">
        <v>10556</v>
      </c>
    </row>
    <row r="16564" spans="1:2">
      <c r="A16564" s="66">
        <v>46072.61690241898</v>
      </c>
      <c r="B16564" s="49" t="s">
        <v>10603</v>
      </c>
    </row>
    <row r="16565" spans="1:2">
      <c r="A16565" s="66">
        <v>46072.616905648145</v>
      </c>
      <c r="B16565" s="49" t="s">
        <v>10604</v>
      </c>
    </row>
    <row r="16566" spans="1:2">
      <c r="A16566" s="66">
        <v>46072.616908738426</v>
      </c>
      <c r="B16566" s="49" t="s">
        <v>10466</v>
      </c>
    </row>
    <row r="16567" spans="1:2">
      <c r="A16567" s="66">
        <v>46072.616911620367</v>
      </c>
      <c r="B16567" s="49" t="s">
        <v>10605</v>
      </c>
    </row>
    <row r="16568" spans="1:2">
      <c r="A16568" s="66">
        <v>46072.616914305559</v>
      </c>
      <c r="B16568" s="49" t="s">
        <v>10562</v>
      </c>
    </row>
    <row r="16569" spans="1:2">
      <c r="A16569" s="66">
        <v>46072.616917245366</v>
      </c>
      <c r="B16569" s="49" t="s">
        <v>10606</v>
      </c>
    </row>
    <row r="16570" spans="1:2">
      <c r="A16570" s="66">
        <v>46072.617731886574</v>
      </c>
      <c r="B16570" s="49" t="s">
        <v>10556</v>
      </c>
    </row>
    <row r="16571" spans="1:2">
      <c r="A16571" s="66">
        <v>46072.617735138891</v>
      </c>
      <c r="B16571" s="49" t="s">
        <v>10603</v>
      </c>
    </row>
    <row r="16572" spans="1:2">
      <c r="A16572" s="66">
        <v>46072.61773834491</v>
      </c>
      <c r="B16572" s="49" t="s">
        <v>10604</v>
      </c>
    </row>
    <row r="16573" spans="1:2">
      <c r="A16573" s="66">
        <v>46072.617741273149</v>
      </c>
      <c r="B16573" s="49" t="s">
        <v>10466</v>
      </c>
    </row>
    <row r="16574" spans="1:2">
      <c r="A16574" s="66">
        <v>46072.617744340278</v>
      </c>
      <c r="B16574" s="49" t="s">
        <v>10605</v>
      </c>
    </row>
    <row r="16575" spans="1:2">
      <c r="A16575" s="66">
        <v>46072.61774736111</v>
      </c>
      <c r="B16575" s="49" t="s">
        <v>10562</v>
      </c>
    </row>
    <row r="16576" spans="1:2">
      <c r="A16576" s="66">
        <v>46072.617750868056</v>
      </c>
      <c r="B16576" s="49" t="s">
        <v>10606</v>
      </c>
    </row>
    <row r="16577" spans="1:2">
      <c r="A16577" s="66">
        <v>46072.618648206015</v>
      </c>
      <c r="B16577" s="49" t="s">
        <v>10556</v>
      </c>
    </row>
    <row r="16578" spans="1:2">
      <c r="A16578" s="66">
        <v>46072.618650891207</v>
      </c>
      <c r="B16578" s="49" t="s">
        <v>10603</v>
      </c>
    </row>
    <row r="16579" spans="1:2">
      <c r="A16579" s="66">
        <v>46072.61865856481</v>
      </c>
      <c r="B16579" s="49" t="s">
        <v>10604</v>
      </c>
    </row>
    <row r="16580" spans="1:2">
      <c r="A16580" s="66">
        <v>46072.618661041663</v>
      </c>
      <c r="B16580" s="49" t="s">
        <v>10466</v>
      </c>
    </row>
    <row r="16581" spans="1:2">
      <c r="A16581" s="66">
        <v>46072.618663993053</v>
      </c>
      <c r="B16581" s="49" t="s">
        <v>10605</v>
      </c>
    </row>
    <row r="16582" spans="1:2">
      <c r="A16582" s="66">
        <v>46072.618667372684</v>
      </c>
      <c r="B16582" s="49" t="s">
        <v>10562</v>
      </c>
    </row>
    <row r="16583" spans="1:2">
      <c r="A16583" s="66">
        <v>46072.618670069445</v>
      </c>
      <c r="B16583" s="49" t="s">
        <v>10606</v>
      </c>
    </row>
    <row r="16584" spans="1:2">
      <c r="A16584" s="66">
        <v>46072.619442037038</v>
      </c>
      <c r="B16584" s="49" t="s">
        <v>10556</v>
      </c>
    </row>
    <row r="16585" spans="1:2">
      <c r="A16585" s="66">
        <v>46072.61944519676</v>
      </c>
      <c r="B16585" s="49" t="s">
        <v>10603</v>
      </c>
    </row>
    <row r="16586" spans="1:2">
      <c r="A16586" s="66">
        <v>46072.619447800927</v>
      </c>
      <c r="B16586" s="49" t="s">
        <v>10604</v>
      </c>
    </row>
    <row r="16587" spans="1:2">
      <c r="A16587" s="66">
        <v>46072.619450601851</v>
      </c>
      <c r="B16587" s="49" t="s">
        <v>10466</v>
      </c>
    </row>
    <row r="16588" spans="1:2">
      <c r="A16588" s="66">
        <v>46072.619453078703</v>
      </c>
      <c r="B16588" s="49" t="s">
        <v>10605</v>
      </c>
    </row>
    <row r="16589" spans="1:2">
      <c r="A16589" s="66">
        <v>46072.619455590277</v>
      </c>
      <c r="B16589" s="49" t="s">
        <v>10562</v>
      </c>
    </row>
    <row r="16590" spans="1:2">
      <c r="A16590" s="66">
        <v>46072.619461678245</v>
      </c>
      <c r="B16590" s="49" t="s">
        <v>10606</v>
      </c>
    </row>
    <row r="16591" spans="1:2">
      <c r="A16591" s="66">
        <v>46072.620371655095</v>
      </c>
      <c r="B16591" s="49" t="s">
        <v>10556</v>
      </c>
    </row>
    <row r="16592" spans="1:2">
      <c r="A16592" s="66">
        <v>46072.620373888887</v>
      </c>
      <c r="B16592" s="49" t="s">
        <v>10603</v>
      </c>
    </row>
    <row r="16593" spans="1:2">
      <c r="A16593" s="66">
        <v>46072.620383090281</v>
      </c>
      <c r="B16593" s="49" t="s">
        <v>10604</v>
      </c>
    </row>
    <row r="16594" spans="1:2">
      <c r="A16594" s="66">
        <v>46072.620385497685</v>
      </c>
      <c r="B16594" s="49" t="s">
        <v>10466</v>
      </c>
    </row>
    <row r="16595" spans="1:2">
      <c r="A16595" s="66">
        <v>46072.620388194446</v>
      </c>
      <c r="B16595" s="49" t="s">
        <v>10605</v>
      </c>
    </row>
    <row r="16596" spans="1:2">
      <c r="A16596" s="66">
        <v>46072.620391018514</v>
      </c>
      <c r="B16596" s="49" t="s">
        <v>10562</v>
      </c>
    </row>
    <row r="16597" spans="1:2">
      <c r="A16597" s="66">
        <v>46072.620393124998</v>
      </c>
      <c r="B16597" s="49" t="s">
        <v>10606</v>
      </c>
    </row>
    <row r="16598" spans="1:2">
      <c r="A16598" s="66">
        <v>46072.621630416666</v>
      </c>
      <c r="B16598" s="49" t="s">
        <v>10556</v>
      </c>
    </row>
    <row r="16599" spans="1:2">
      <c r="A16599" s="66">
        <v>46072.621632638889</v>
      </c>
      <c r="B16599" s="49" t="s">
        <v>10603</v>
      </c>
    </row>
    <row r="16600" spans="1:2">
      <c r="A16600" s="66">
        <v>46072.621635497686</v>
      </c>
      <c r="B16600" s="49" t="s">
        <v>10604</v>
      </c>
    </row>
    <row r="16601" spans="1:2">
      <c r="A16601" s="66">
        <v>46072.621638032404</v>
      </c>
      <c r="B16601" s="49" t="s">
        <v>10466</v>
      </c>
    </row>
    <row r="16602" spans="1:2">
      <c r="A16602" s="66">
        <v>46072.621640300931</v>
      </c>
      <c r="B16602" s="49" t="s">
        <v>10605</v>
      </c>
    </row>
    <row r="16603" spans="1:2">
      <c r="A16603" s="66">
        <v>46072.62164247685</v>
      </c>
      <c r="B16603" s="49" t="s">
        <v>10562</v>
      </c>
    </row>
    <row r="16604" spans="1:2">
      <c r="A16604" s="66">
        <v>46072.621644803236</v>
      </c>
      <c r="B16604" s="49" t="s">
        <v>10606</v>
      </c>
    </row>
    <row r="16605" spans="1:2">
      <c r="A16605" s="66">
        <v>46072.622631076389</v>
      </c>
      <c r="B16605" s="49" t="s">
        <v>10556</v>
      </c>
    </row>
    <row r="16606" spans="1:2">
      <c r="A16606" s="66">
        <v>46072.622633761574</v>
      </c>
      <c r="B16606" s="49" t="s">
        <v>10603</v>
      </c>
    </row>
    <row r="16607" spans="1:2">
      <c r="A16607" s="66">
        <v>46072.622636712964</v>
      </c>
      <c r="B16607" s="49" t="s">
        <v>10604</v>
      </c>
    </row>
    <row r="16608" spans="1:2">
      <c r="A16608" s="66">
        <v>46072.622639374997</v>
      </c>
      <c r="B16608" s="49" t="s">
        <v>10466</v>
      </c>
    </row>
    <row r="16609" spans="1:2">
      <c r="A16609" s="66">
        <v>46072.622651446756</v>
      </c>
      <c r="B16609" s="49" t="s">
        <v>10605</v>
      </c>
    </row>
    <row r="16610" spans="1:2">
      <c r="A16610" s="66">
        <v>46072.622654189814</v>
      </c>
      <c r="B16610" s="49" t="s">
        <v>10562</v>
      </c>
    </row>
    <row r="16611" spans="1:2">
      <c r="A16611" s="66">
        <v>46072.622656979162</v>
      </c>
      <c r="B16611" s="49" t="s">
        <v>10606</v>
      </c>
    </row>
    <row r="16612" spans="1:2">
      <c r="A16612" s="66">
        <v>46072.623809074074</v>
      </c>
      <c r="B16612" s="49" t="s">
        <v>10556</v>
      </c>
    </row>
    <row r="16613" spans="1:2">
      <c r="A16613" s="66">
        <v>46072.623811273152</v>
      </c>
      <c r="B16613" s="49" t="s">
        <v>10603</v>
      </c>
    </row>
    <row r="16614" spans="1:2">
      <c r="A16614" s="66">
        <v>46072.623818206019</v>
      </c>
      <c r="B16614" s="49" t="s">
        <v>10604</v>
      </c>
    </row>
    <row r="16615" spans="1:2">
      <c r="A16615" s="66">
        <v>46072.62382050926</v>
      </c>
      <c r="B16615" s="49" t="s">
        <v>10466</v>
      </c>
    </row>
    <row r="16616" spans="1:2">
      <c r="A16616" s="66">
        <v>46072.623823599541</v>
      </c>
      <c r="B16616" s="49" t="s">
        <v>10605</v>
      </c>
    </row>
    <row r="16617" spans="1:2">
      <c r="A16617" s="66">
        <v>46072.62382695602</v>
      </c>
      <c r="B16617" s="49" t="s">
        <v>10562</v>
      </c>
    </row>
    <row r="16618" spans="1:2">
      <c r="A16618" s="66">
        <v>46072.623829849537</v>
      </c>
      <c r="B16618" s="49" t="s">
        <v>10606</v>
      </c>
    </row>
    <row r="16619" spans="1:2">
      <c r="A16619" s="66">
        <v>46072.624816053241</v>
      </c>
      <c r="B16619" s="49" t="s">
        <v>10556</v>
      </c>
    </row>
    <row r="16620" spans="1:2">
      <c r="A16620" s="66">
        <v>46072.624818402779</v>
      </c>
      <c r="B16620" s="49" t="s">
        <v>10603</v>
      </c>
    </row>
    <row r="16621" spans="1:2">
      <c r="A16621" s="66">
        <v>46072.624827499996</v>
      </c>
      <c r="B16621" s="49" t="s">
        <v>10604</v>
      </c>
    </row>
    <row r="16622" spans="1:2">
      <c r="A16622" s="66">
        <v>46072.624829629625</v>
      </c>
      <c r="B16622" s="49" t="s">
        <v>10466</v>
      </c>
    </row>
    <row r="16623" spans="1:2">
      <c r="A16623" s="66">
        <v>46072.624832928239</v>
      </c>
      <c r="B16623" s="49" t="s">
        <v>10605</v>
      </c>
    </row>
    <row r="16624" spans="1:2">
      <c r="A16624" s="66">
        <v>46072.62483508102</v>
      </c>
      <c r="B16624" s="49" t="s">
        <v>10562</v>
      </c>
    </row>
    <row r="16625" spans="1:2">
      <c r="A16625" s="66">
        <v>46072.624845578699</v>
      </c>
      <c r="B16625" s="49" t="s">
        <v>10606</v>
      </c>
    </row>
    <row r="16626" spans="1:2">
      <c r="A16626" s="66">
        <v>46072.625647280089</v>
      </c>
      <c r="B16626" s="49" t="s">
        <v>10556</v>
      </c>
    </row>
    <row r="16627" spans="1:2">
      <c r="A16627" s="66">
        <v>46072.625649768517</v>
      </c>
      <c r="B16627" s="49" t="s">
        <v>10603</v>
      </c>
    </row>
    <row r="16628" spans="1:2">
      <c r="A16628" s="66">
        <v>46072.625655023148</v>
      </c>
      <c r="B16628" s="49" t="s">
        <v>10604</v>
      </c>
    </row>
    <row r="16629" spans="1:2">
      <c r="A16629" s="66">
        <v>46072.625656944445</v>
      </c>
      <c r="B16629" s="49" t="s">
        <v>10466</v>
      </c>
    </row>
    <row r="16630" spans="1:2">
      <c r="A16630" s="66">
        <v>46072.625659849538</v>
      </c>
      <c r="B16630" s="49" t="s">
        <v>10605</v>
      </c>
    </row>
    <row r="16631" spans="1:2">
      <c r="A16631" s="66">
        <v>46072.625662129634</v>
      </c>
      <c r="B16631" s="49" t="s">
        <v>10562</v>
      </c>
    </row>
    <row r="16632" spans="1:2">
      <c r="A16632" s="66">
        <v>46072.625664074076</v>
      </c>
      <c r="B16632" s="49" t="s">
        <v>10606</v>
      </c>
    </row>
    <row r="16633" spans="1:2">
      <c r="A16633" s="66">
        <v>46072.62708431713</v>
      </c>
      <c r="B16633" s="49" t="s">
        <v>10556</v>
      </c>
    </row>
    <row r="16634" spans="1:2">
      <c r="A16634" s="66">
        <v>46072.627086689812</v>
      </c>
      <c r="B16634" s="49" t="s">
        <v>10603</v>
      </c>
    </row>
    <row r="16635" spans="1:2">
      <c r="A16635" s="66">
        <v>46072.627089131944</v>
      </c>
      <c r="B16635" s="49" t="s">
        <v>10604</v>
      </c>
    </row>
    <row r="16636" spans="1:2">
      <c r="A16636" s="66">
        <v>46072.627091134258</v>
      </c>
      <c r="B16636" s="49" t="s">
        <v>10466</v>
      </c>
    </row>
    <row r="16637" spans="1:2">
      <c r="A16637" s="66">
        <v>46072.627093182869</v>
      </c>
      <c r="B16637" s="49" t="s">
        <v>10605</v>
      </c>
    </row>
    <row r="16638" spans="1:2">
      <c r="A16638" s="66">
        <v>46072.627095567128</v>
      </c>
      <c r="B16638" s="49" t="s">
        <v>10562</v>
      </c>
    </row>
    <row r="16639" spans="1:2">
      <c r="A16639" s="66">
        <v>46072.627097962963</v>
      </c>
      <c r="B16639" s="49" t="s">
        <v>10606</v>
      </c>
    </row>
    <row r="16640" spans="1:2">
      <c r="A16640" s="66">
        <v>46072.628186458329</v>
      </c>
      <c r="B16640" s="49" t="s">
        <v>10556</v>
      </c>
    </row>
    <row r="16641" spans="1:2">
      <c r="A16641" s="66">
        <v>46072.628188969902</v>
      </c>
      <c r="B16641" s="49" t="s">
        <v>10603</v>
      </c>
    </row>
    <row r="16642" spans="1:2">
      <c r="A16642" s="66">
        <v>46072.628191435186</v>
      </c>
      <c r="B16642" s="49" t="s">
        <v>10604</v>
      </c>
    </row>
    <row r="16643" spans="1:2">
      <c r="A16643" s="66">
        <v>46072.628193287033</v>
      </c>
      <c r="B16643" s="49" t="s">
        <v>10466</v>
      </c>
    </row>
    <row r="16644" spans="1:2">
      <c r="A16644" s="66">
        <v>46072.628195208337</v>
      </c>
      <c r="B16644" s="49" t="s">
        <v>10605</v>
      </c>
    </row>
    <row r="16645" spans="1:2">
      <c r="A16645" s="66">
        <v>46072.628197754631</v>
      </c>
      <c r="B16645" s="49" t="s">
        <v>10562</v>
      </c>
    </row>
    <row r="16646" spans="1:2">
      <c r="A16646" s="66">
        <v>46072.628199629631</v>
      </c>
      <c r="B16646" s="49" t="s">
        <v>10606</v>
      </c>
    </row>
    <row r="16647" spans="1:2">
      <c r="A16647" s="66">
        <v>46072.629579583328</v>
      </c>
      <c r="B16647" s="49" t="s">
        <v>10556</v>
      </c>
    </row>
    <row r="16648" spans="1:2">
      <c r="A16648" s="66">
        <v>46072.629581956018</v>
      </c>
      <c r="B16648" s="49" t="s">
        <v>10603</v>
      </c>
    </row>
    <row r="16649" spans="1:2">
      <c r="A16649" s="66">
        <v>46072.629584571754</v>
      </c>
      <c r="B16649" s="49" t="s">
        <v>10604</v>
      </c>
    </row>
    <row r="16650" spans="1:2">
      <c r="A16650" s="66">
        <v>46072.629586747687</v>
      </c>
      <c r="B16650" s="49" t="s">
        <v>10466</v>
      </c>
    </row>
    <row r="16651" spans="1:2">
      <c r="A16651" s="66">
        <v>46072.629588842596</v>
      </c>
      <c r="B16651" s="49" t="s">
        <v>10605</v>
      </c>
    </row>
    <row r="16652" spans="1:2">
      <c r="A16652" s="66">
        <v>46072.629590972225</v>
      </c>
      <c r="B16652" s="49" t="s">
        <v>10562</v>
      </c>
    </row>
    <row r="16653" spans="1:2">
      <c r="A16653" s="66">
        <v>46072.629595104168</v>
      </c>
      <c r="B16653" s="49" t="s">
        <v>10606</v>
      </c>
    </row>
    <row r="16654" spans="1:2">
      <c r="A16654" s="66">
        <v>46072.63062650463</v>
      </c>
      <c r="B16654" s="49" t="s">
        <v>10556</v>
      </c>
    </row>
    <row r="16655" spans="1:2">
      <c r="A16655" s="66">
        <v>46072.630628761573</v>
      </c>
      <c r="B16655" s="49" t="s">
        <v>10603</v>
      </c>
    </row>
    <row r="16656" spans="1:2">
      <c r="A16656" s="66">
        <v>46072.630630671294</v>
      </c>
      <c r="B16656" s="49" t="s">
        <v>10604</v>
      </c>
    </row>
    <row r="16657" spans="1:2">
      <c r="A16657" s="66">
        <v>46072.630632569446</v>
      </c>
      <c r="B16657" s="49" t="s">
        <v>10466</v>
      </c>
    </row>
    <row r="16658" spans="1:2">
      <c r="A16658" s="66">
        <v>46072.630634733796</v>
      </c>
      <c r="B16658" s="49" t="s">
        <v>10605</v>
      </c>
    </row>
    <row r="16659" spans="1:2">
      <c r="A16659" s="66">
        <v>46072.630638009257</v>
      </c>
      <c r="B16659" s="49" t="s">
        <v>10562</v>
      </c>
    </row>
    <row r="16660" spans="1:2">
      <c r="A16660" s="66">
        <v>46072.630644467594</v>
      </c>
      <c r="B16660" s="49" t="s">
        <v>10606</v>
      </c>
    </row>
    <row r="16661" spans="1:2">
      <c r="A16661" s="66">
        <v>46072.631566932869</v>
      </c>
      <c r="B16661" s="49" t="s">
        <v>10556</v>
      </c>
    </row>
    <row r="16662" spans="1:2">
      <c r="A16662" s="66">
        <v>46072.631570439815</v>
      </c>
      <c r="B16662" s="49" t="s">
        <v>10603</v>
      </c>
    </row>
    <row r="16663" spans="1:2">
      <c r="A16663" s="66">
        <v>46072.631573657403</v>
      </c>
      <c r="B16663" s="49" t="s">
        <v>10604</v>
      </c>
    </row>
    <row r="16664" spans="1:2">
      <c r="A16664" s="66">
        <v>46072.63157672454</v>
      </c>
      <c r="B16664" s="49" t="s">
        <v>10466</v>
      </c>
    </row>
    <row r="16665" spans="1:2">
      <c r="A16665" s="66">
        <v>46072.631579814813</v>
      </c>
      <c r="B16665" s="49" t="s">
        <v>10605</v>
      </c>
    </row>
    <row r="16666" spans="1:2">
      <c r="A16666" s="66">
        <v>46072.631582766204</v>
      </c>
      <c r="B16666" s="49" t="s">
        <v>10562</v>
      </c>
    </row>
    <row r="16667" spans="1:2">
      <c r="A16667" s="66">
        <v>46072.631585937503</v>
      </c>
      <c r="B16667" s="49" t="s">
        <v>10606</v>
      </c>
    </row>
    <row r="16668" spans="1:2">
      <c r="A16668" s="66">
        <v>46072.632960636576</v>
      </c>
      <c r="B16668" s="49" t="s">
        <v>10556</v>
      </c>
    </row>
    <row r="16669" spans="1:2">
      <c r="A16669" s="66">
        <v>46072.632964085649</v>
      </c>
      <c r="B16669" s="49" t="s">
        <v>10603</v>
      </c>
    </row>
    <row r="16670" spans="1:2">
      <c r="A16670" s="66">
        <v>46072.63296732639</v>
      </c>
      <c r="B16670" s="49" t="s">
        <v>10604</v>
      </c>
    </row>
    <row r="16671" spans="1:2">
      <c r="A16671" s="66">
        <v>46072.632970555554</v>
      </c>
      <c r="B16671" s="49" t="s">
        <v>10466</v>
      </c>
    </row>
    <row r="16672" spans="1:2">
      <c r="A16672" s="66">
        <v>46072.632973576387</v>
      </c>
      <c r="B16672" s="49" t="s">
        <v>10605</v>
      </c>
    </row>
    <row r="16673" spans="1:2">
      <c r="A16673" s="66">
        <v>46072.632976875</v>
      </c>
      <c r="B16673" s="49" t="s">
        <v>10562</v>
      </c>
    </row>
    <row r="16674" spans="1:2">
      <c r="A16674" s="66">
        <v>46072.632979953705</v>
      </c>
      <c r="B16674" s="49" t="s">
        <v>10606</v>
      </c>
    </row>
    <row r="16675" spans="1:2">
      <c r="A16675" s="66">
        <v>46072.634011759263</v>
      </c>
      <c r="B16675" s="49" t="s">
        <v>10556</v>
      </c>
    </row>
    <row r="16676" spans="1:2">
      <c r="A16676" s="66">
        <v>46072.634014965282</v>
      </c>
      <c r="B16676" s="49" t="s">
        <v>10603</v>
      </c>
    </row>
    <row r="16677" spans="1:2">
      <c r="A16677" s="66">
        <v>46072.634017638891</v>
      </c>
      <c r="B16677" s="49" t="s">
        <v>10604</v>
      </c>
    </row>
    <row r="16678" spans="1:2">
      <c r="A16678" s="66">
        <v>46072.634028252316</v>
      </c>
      <c r="B16678" s="49" t="s">
        <v>10466</v>
      </c>
    </row>
    <row r="16679" spans="1:2">
      <c r="A16679" s="66">
        <v>46072.63403144676</v>
      </c>
      <c r="B16679" s="49" t="s">
        <v>10605</v>
      </c>
    </row>
    <row r="16680" spans="1:2">
      <c r="A16680" s="66">
        <v>46072.634034085648</v>
      </c>
      <c r="B16680" s="49" t="s">
        <v>10562</v>
      </c>
    </row>
    <row r="16681" spans="1:2">
      <c r="A16681" s="66">
        <v>46072.634036516203</v>
      </c>
      <c r="B16681" s="49" t="s">
        <v>10606</v>
      </c>
    </row>
    <row r="16682" spans="1:2">
      <c r="A16682" s="66">
        <v>46072.63531125</v>
      </c>
      <c r="B16682" s="49" t="s">
        <v>10556</v>
      </c>
    </row>
    <row r="16683" spans="1:2">
      <c r="A16683" s="66">
        <v>46072.635316782413</v>
      </c>
      <c r="B16683" s="49" t="s">
        <v>10603</v>
      </c>
    </row>
    <row r="16684" spans="1:2">
      <c r="A16684" s="66">
        <v>46072.63531972222</v>
      </c>
      <c r="B16684" s="49" t="s">
        <v>10604</v>
      </c>
    </row>
    <row r="16685" spans="1:2">
      <c r="A16685" s="66">
        <v>46072.635325173615</v>
      </c>
      <c r="B16685" s="49" t="s">
        <v>10466</v>
      </c>
    </row>
    <row r="16686" spans="1:2">
      <c r="A16686" s="66">
        <v>46072.635327534721</v>
      </c>
      <c r="B16686" s="49" t="s">
        <v>10605</v>
      </c>
    </row>
    <row r="16687" spans="1:2">
      <c r="A16687" s="66">
        <v>46072.6353299537</v>
      </c>
      <c r="B16687" s="49" t="s">
        <v>10562</v>
      </c>
    </row>
    <row r="16688" spans="1:2">
      <c r="A16688" s="66">
        <v>46072.635332442129</v>
      </c>
      <c r="B16688" s="49" t="s">
        <v>10606</v>
      </c>
    </row>
    <row r="16689" spans="1:2">
      <c r="A16689" s="66">
        <v>46072.636472962964</v>
      </c>
      <c r="B16689" s="49" t="s">
        <v>10556</v>
      </c>
    </row>
    <row r="16690" spans="1:2">
      <c r="A16690" s="66">
        <v>46072.636475983796</v>
      </c>
      <c r="B16690" s="49" t="s">
        <v>10603</v>
      </c>
    </row>
    <row r="16691" spans="1:2">
      <c r="A16691" s="66">
        <v>46072.636481284717</v>
      </c>
      <c r="B16691" s="49" t="s">
        <v>10604</v>
      </c>
    </row>
    <row r="16692" spans="1:2">
      <c r="A16692" s="66">
        <v>46072.636483657407</v>
      </c>
      <c r="B16692" s="49" t="s">
        <v>10466</v>
      </c>
    </row>
    <row r="16693" spans="1:2">
      <c r="A16693" s="66">
        <v>46072.636486631949</v>
      </c>
      <c r="B16693" s="49" t="s">
        <v>10605</v>
      </c>
    </row>
    <row r="16694" spans="1:2">
      <c r="A16694" s="66">
        <v>46072.636489131939</v>
      </c>
      <c r="B16694" s="49" t="s">
        <v>10562</v>
      </c>
    </row>
    <row r="16695" spans="1:2">
      <c r="A16695" s="66">
        <v>46072.636495069441</v>
      </c>
      <c r="B16695" s="49" t="s">
        <v>10606</v>
      </c>
    </row>
    <row r="16696" spans="1:2">
      <c r="A16696" s="66">
        <v>46072.637871921295</v>
      </c>
      <c r="B16696" s="49" t="s">
        <v>10556</v>
      </c>
    </row>
    <row r="16697" spans="1:2">
      <c r="A16697" s="66">
        <v>46072.63787486111</v>
      </c>
      <c r="B16697" s="49" t="s">
        <v>10603</v>
      </c>
    </row>
    <row r="16698" spans="1:2">
      <c r="A16698" s="66">
        <v>46072.637877928239</v>
      </c>
      <c r="B16698" s="49" t="s">
        <v>10604</v>
      </c>
    </row>
    <row r="16699" spans="1:2">
      <c r="A16699" s="66">
        <v>46072.637880567127</v>
      </c>
      <c r="B16699" s="49" t="s">
        <v>10466</v>
      </c>
    </row>
    <row r="16700" spans="1:2">
      <c r="A16700" s="66">
        <v>46072.637889432866</v>
      </c>
      <c r="B16700" s="49" t="s">
        <v>10605</v>
      </c>
    </row>
    <row r="16701" spans="1:2">
      <c r="A16701" s="66">
        <v>46072.637891886574</v>
      </c>
      <c r="B16701" s="49" t="s">
        <v>10562</v>
      </c>
    </row>
    <row r="16702" spans="1:2">
      <c r="A16702" s="66">
        <v>46072.637894409723</v>
      </c>
      <c r="B16702" s="49" t="s">
        <v>10606</v>
      </c>
    </row>
    <row r="16703" spans="1:2">
      <c r="A16703" s="66">
        <v>46072.63921631944</v>
      </c>
      <c r="B16703" s="49" t="s">
        <v>10556</v>
      </c>
    </row>
    <row r="16704" spans="1:2">
      <c r="A16704" s="66">
        <v>46072.639220844911</v>
      </c>
      <c r="B16704" s="49" t="s">
        <v>10603</v>
      </c>
    </row>
    <row r="16705" spans="1:2">
      <c r="A16705" s="66">
        <v>46072.639223090278</v>
      </c>
      <c r="B16705" s="49" t="s">
        <v>10604</v>
      </c>
    </row>
    <row r="16706" spans="1:2">
      <c r="A16706" s="66">
        <v>46072.639225578707</v>
      </c>
      <c r="B16706" s="49" t="s">
        <v>10466</v>
      </c>
    </row>
    <row r="16707" spans="1:2">
      <c r="A16707" s="66">
        <v>46072.639228472224</v>
      </c>
      <c r="B16707" s="49" t="s">
        <v>10605</v>
      </c>
    </row>
    <row r="16708" spans="1:2">
      <c r="A16708" s="66">
        <v>46072.639230856483</v>
      </c>
      <c r="B16708" s="49" t="s">
        <v>10562</v>
      </c>
    </row>
    <row r="16709" spans="1:2">
      <c r="A16709" s="66">
        <v>46072.639233240741</v>
      </c>
      <c r="B16709" s="49" t="s">
        <v>10606</v>
      </c>
    </row>
    <row r="16710" spans="1:2">
      <c r="A16710" s="66">
        <v>46072.640430254629</v>
      </c>
      <c r="B16710" s="49" t="s">
        <v>10556</v>
      </c>
    </row>
    <row r="16711" spans="1:2">
      <c r="A16711" s="66">
        <v>46072.640432731481</v>
      </c>
      <c r="B16711" s="49" t="s">
        <v>10603</v>
      </c>
    </row>
    <row r="16712" spans="1:2">
      <c r="A16712" s="66">
        <v>46072.640444791672</v>
      </c>
      <c r="B16712" s="49" t="s">
        <v>10604</v>
      </c>
    </row>
    <row r="16713" spans="1:2">
      <c r="A16713" s="66">
        <v>46072.640446689817</v>
      </c>
      <c r="B16713" s="49" t="s">
        <v>10466</v>
      </c>
    </row>
    <row r="16714" spans="1:2">
      <c r="A16714" s="66">
        <v>46072.640448842591</v>
      </c>
      <c r="B16714" s="49" t="s">
        <v>10605</v>
      </c>
    </row>
    <row r="16715" spans="1:2">
      <c r="A16715" s="66">
        <v>46072.640450937499</v>
      </c>
      <c r="B16715" s="49" t="s">
        <v>10562</v>
      </c>
    </row>
    <row r="16716" spans="1:2">
      <c r="A16716" s="66">
        <v>46072.640463703705</v>
      </c>
      <c r="B16716" s="49" t="s">
        <v>10606</v>
      </c>
    </row>
    <row r="16717" spans="1:2">
      <c r="A16717" s="66">
        <v>46072.641544016209</v>
      </c>
      <c r="B16717" s="49" t="s">
        <v>10556</v>
      </c>
    </row>
    <row r="16718" spans="1:2">
      <c r="A16718" s="66">
        <v>46072.641545879625</v>
      </c>
      <c r="B16718" s="49" t="s">
        <v>10603</v>
      </c>
    </row>
    <row r="16719" spans="1:2">
      <c r="A16719" s="66">
        <v>46072.641547673615</v>
      </c>
      <c r="B16719" s="49" t="s">
        <v>10604</v>
      </c>
    </row>
    <row r="16720" spans="1:2">
      <c r="A16720" s="66">
        <v>46072.641549432868</v>
      </c>
      <c r="B16720" s="49" t="s">
        <v>10466</v>
      </c>
    </row>
    <row r="16721" spans="1:2">
      <c r="A16721" s="66">
        <v>46072.641551122681</v>
      </c>
      <c r="B16721" s="49" t="s">
        <v>10605</v>
      </c>
    </row>
    <row r="16722" spans="1:2">
      <c r="A16722" s="66">
        <v>46072.641553229165</v>
      </c>
      <c r="B16722" s="49" t="s">
        <v>10562</v>
      </c>
    </row>
    <row r="16723" spans="1:2">
      <c r="A16723" s="66">
        <v>46072.64156178241</v>
      </c>
      <c r="B16723" s="49" t="s">
        <v>10606</v>
      </c>
    </row>
    <row r="16724" spans="1:2">
      <c r="A16724" s="66">
        <v>46072.642985219907</v>
      </c>
      <c r="B16724" s="49" t="s">
        <v>10556</v>
      </c>
    </row>
    <row r="16725" spans="1:2">
      <c r="A16725" s="66">
        <v>46072.642987569445</v>
      </c>
      <c r="B16725" s="49" t="s">
        <v>10603</v>
      </c>
    </row>
    <row r="16726" spans="1:2">
      <c r="A16726" s="66">
        <v>46072.642994537033</v>
      </c>
      <c r="B16726" s="49" t="s">
        <v>10604</v>
      </c>
    </row>
    <row r="16727" spans="1:2">
      <c r="A16727" s="66">
        <v>46072.642996759256</v>
      </c>
      <c r="B16727" s="49" t="s">
        <v>10466</v>
      </c>
    </row>
    <row r="16728" spans="1:2">
      <c r="A16728" s="66">
        <v>46072.642998831019</v>
      </c>
      <c r="B16728" s="49" t="s">
        <v>10605</v>
      </c>
    </row>
    <row r="16729" spans="1:2">
      <c r="A16729" s="66">
        <v>46072.643007800929</v>
      </c>
      <c r="B16729" s="49" t="s">
        <v>10562</v>
      </c>
    </row>
    <row r="16730" spans="1:2">
      <c r="A16730" s="66">
        <v>46072.643009976848</v>
      </c>
      <c r="B16730" s="49" t="s">
        <v>10606</v>
      </c>
    </row>
    <row r="16731" spans="1:2">
      <c r="A16731" s="66">
        <v>46072.643903530094</v>
      </c>
      <c r="B16731" s="49" t="s">
        <v>10556</v>
      </c>
    </row>
    <row r="16732" spans="1:2">
      <c r="A16732" s="66">
        <v>46072.643906006946</v>
      </c>
      <c r="B16732" s="49" t="s">
        <v>10603</v>
      </c>
    </row>
    <row r="16733" spans="1:2">
      <c r="A16733" s="66">
        <v>46072.64390855324</v>
      </c>
      <c r="B16733" s="49" t="s">
        <v>10604</v>
      </c>
    </row>
    <row r="16734" spans="1:2">
      <c r="A16734" s="66">
        <v>46072.643910972227</v>
      </c>
      <c r="B16734" s="49" t="s">
        <v>10466</v>
      </c>
    </row>
    <row r="16735" spans="1:2">
      <c r="A16735" s="66">
        <v>46072.643913217587</v>
      </c>
      <c r="B16735" s="49" t="s">
        <v>10605</v>
      </c>
    </row>
    <row r="16736" spans="1:2">
      <c r="A16736" s="66">
        <v>46072.643915601853</v>
      </c>
      <c r="B16736" s="49" t="s">
        <v>10562</v>
      </c>
    </row>
    <row r="16737" spans="1:2">
      <c r="A16737" s="66">
        <v>46072.643917731482</v>
      </c>
      <c r="B16737" s="49" t="s">
        <v>10606</v>
      </c>
    </row>
    <row r="16738" spans="1:2">
      <c r="A16738" s="66">
        <v>46072.645194131939</v>
      </c>
      <c r="B16738" s="49" t="s">
        <v>10556</v>
      </c>
    </row>
    <row r="16739" spans="1:2">
      <c r="A16739" s="66">
        <v>46072.645203645836</v>
      </c>
      <c r="B16739" s="49" t="s">
        <v>10603</v>
      </c>
    </row>
    <row r="16740" spans="1:2">
      <c r="A16740" s="66">
        <v>46072.64521456018</v>
      </c>
      <c r="B16740" s="49" t="s">
        <v>10604</v>
      </c>
    </row>
    <row r="16741" spans="1:2">
      <c r="A16741" s="66">
        <v>46072.645216527773</v>
      </c>
      <c r="B16741" s="49" t="s">
        <v>10466</v>
      </c>
    </row>
    <row r="16742" spans="1:2">
      <c r="A16742" s="66">
        <v>46072.645218564816</v>
      </c>
      <c r="B16742" s="49" t="s">
        <v>10605</v>
      </c>
    </row>
    <row r="16743" spans="1:2">
      <c r="A16743" s="66">
        <v>46072.645221539351</v>
      </c>
      <c r="B16743" s="49" t="s">
        <v>10562</v>
      </c>
    </row>
    <row r="16744" spans="1:2">
      <c r="A16744" s="66">
        <v>46072.645226134264</v>
      </c>
      <c r="B16744" s="49" t="s">
        <v>10606</v>
      </c>
    </row>
    <row r="16745" spans="1:2">
      <c r="A16745" s="66">
        <v>46072.645955856482</v>
      </c>
      <c r="B16745" s="49" t="s">
        <v>10556</v>
      </c>
    </row>
    <row r="16746" spans="1:2">
      <c r="A16746" s="66">
        <v>46072.645958287038</v>
      </c>
      <c r="B16746" s="49" t="s">
        <v>10603</v>
      </c>
    </row>
    <row r="16747" spans="1:2">
      <c r="A16747" s="66">
        <v>46072.645960474532</v>
      </c>
      <c r="B16747" s="49" t="s">
        <v>10604</v>
      </c>
    </row>
    <row r="16748" spans="1:2">
      <c r="A16748" s="66">
        <v>46072.645962604161</v>
      </c>
      <c r="B16748" s="49" t="s">
        <v>10466</v>
      </c>
    </row>
    <row r="16749" spans="1:2">
      <c r="A16749" s="66">
        <v>46072.645965821765</v>
      </c>
      <c r="B16749" s="49" t="s">
        <v>10605</v>
      </c>
    </row>
    <row r="16750" spans="1:2">
      <c r="A16750" s="66">
        <v>46072.645971562495</v>
      </c>
      <c r="B16750" s="49" t="s">
        <v>10562</v>
      </c>
    </row>
    <row r="16751" spans="1:2">
      <c r="A16751" s="66">
        <v>46072.645973611114</v>
      </c>
      <c r="B16751" s="49" t="s">
        <v>10606</v>
      </c>
    </row>
    <row r="16752" spans="1:2">
      <c r="A16752" s="66">
        <v>46072.646798634261</v>
      </c>
      <c r="B16752" s="49" t="s">
        <v>10556</v>
      </c>
    </row>
    <row r="16753" spans="1:2">
      <c r="A16753" s="66">
        <v>46072.646802048606</v>
      </c>
      <c r="B16753" s="49" t="s">
        <v>10603</v>
      </c>
    </row>
    <row r="16754" spans="1:2">
      <c r="A16754" s="66">
        <v>46072.646805138887</v>
      </c>
      <c r="B16754" s="49" t="s">
        <v>10604</v>
      </c>
    </row>
    <row r="16755" spans="1:2">
      <c r="A16755" s="66">
        <v>46072.646808124999</v>
      </c>
      <c r="B16755" s="49" t="s">
        <v>10466</v>
      </c>
    </row>
    <row r="16756" spans="1:2">
      <c r="A16756" s="66">
        <v>46072.646811053244</v>
      </c>
      <c r="B16756" s="49" t="s">
        <v>10605</v>
      </c>
    </row>
    <row r="16757" spans="1:2">
      <c r="A16757" s="66">
        <v>46072.646814259264</v>
      </c>
      <c r="B16757" s="49" t="s">
        <v>10562</v>
      </c>
    </row>
    <row r="16758" spans="1:2">
      <c r="A16758" s="66">
        <v>46072.646817592591</v>
      </c>
      <c r="B16758" s="49" t="s">
        <v>10606</v>
      </c>
    </row>
    <row r="16759" spans="1:2">
      <c r="A16759" s="66">
        <v>46072.648213726847</v>
      </c>
      <c r="B16759" s="49" t="s">
        <v>10556</v>
      </c>
    </row>
    <row r="16760" spans="1:2">
      <c r="A16760" s="66">
        <v>46072.648216122689</v>
      </c>
      <c r="B16760" s="49" t="s">
        <v>10603</v>
      </c>
    </row>
    <row r="16761" spans="1:2">
      <c r="A16761" s="66">
        <v>46072.648218344912</v>
      </c>
      <c r="B16761" s="49" t="s">
        <v>10604</v>
      </c>
    </row>
    <row r="16762" spans="1:2">
      <c r="A16762" s="66">
        <v>46072.648220543982</v>
      </c>
      <c r="B16762" s="49" t="s">
        <v>10466</v>
      </c>
    </row>
    <row r="16763" spans="1:2">
      <c r="A16763" s="66">
        <v>46072.648222905089</v>
      </c>
      <c r="B16763" s="49" t="s">
        <v>10605</v>
      </c>
    </row>
    <row r="16764" spans="1:2">
      <c r="A16764" s="66">
        <v>46072.648224988428</v>
      </c>
      <c r="B16764" s="49" t="s">
        <v>10562</v>
      </c>
    </row>
    <row r="16765" spans="1:2">
      <c r="A16765" s="66">
        <v>46072.648227094905</v>
      </c>
      <c r="B16765" s="49" t="s">
        <v>10606</v>
      </c>
    </row>
    <row r="16766" spans="1:2">
      <c r="A16766" s="66">
        <v>46072.649070520834</v>
      </c>
      <c r="B16766" s="49" t="s">
        <v>10556</v>
      </c>
    </row>
    <row r="16767" spans="1:2">
      <c r="A16767" s="66">
        <v>46072.649072986111</v>
      </c>
      <c r="B16767" s="49" t="s">
        <v>10603</v>
      </c>
    </row>
    <row r="16768" spans="1:2">
      <c r="A16768" s="66">
        <v>46072.649077175927</v>
      </c>
      <c r="B16768" s="49" t="s">
        <v>10604</v>
      </c>
    </row>
    <row r="16769" spans="1:2">
      <c r="A16769" s="66">
        <v>46072.649079016206</v>
      </c>
      <c r="B16769" s="49" t="s">
        <v>10466</v>
      </c>
    </row>
    <row r="16770" spans="1:2">
      <c r="A16770" s="66">
        <v>46072.64908077546</v>
      </c>
      <c r="B16770" s="49" t="s">
        <v>10605</v>
      </c>
    </row>
    <row r="16771" spans="1:2">
      <c r="A16771" s="66">
        <v>46072.649083020835</v>
      </c>
      <c r="B16771" s="49" t="s">
        <v>10562</v>
      </c>
    </row>
    <row r="16772" spans="1:2">
      <c r="A16772" s="66">
        <v>46072.649085127312</v>
      </c>
      <c r="B16772" s="49" t="s">
        <v>10606</v>
      </c>
    </row>
    <row r="16773" spans="1:2">
      <c r="A16773" s="66">
        <v>46072.650185381943</v>
      </c>
      <c r="B16773" s="49" t="s">
        <v>10556</v>
      </c>
    </row>
    <row r="16774" spans="1:2">
      <c r="A16774" s="66">
        <v>46072.650188252315</v>
      </c>
      <c r="B16774" s="49" t="s">
        <v>10603</v>
      </c>
    </row>
    <row r="16775" spans="1:2">
      <c r="A16775" s="66">
        <v>46072.65019025463</v>
      </c>
      <c r="B16775" s="49" t="s">
        <v>10604</v>
      </c>
    </row>
    <row r="16776" spans="1:2">
      <c r="A16776" s="66">
        <v>46072.650192245375</v>
      </c>
      <c r="B16776" s="49" t="s">
        <v>10466</v>
      </c>
    </row>
    <row r="16777" spans="1:2">
      <c r="A16777" s="66">
        <v>46072.650196516202</v>
      </c>
      <c r="B16777" s="49" t="s">
        <v>10605</v>
      </c>
    </row>
    <row r="16778" spans="1:2">
      <c r="A16778" s="66">
        <v>46072.650199421296</v>
      </c>
      <c r="B16778" s="49" t="s">
        <v>10562</v>
      </c>
    </row>
    <row r="16779" spans="1:2">
      <c r="A16779" s="66">
        <v>46072.650201412034</v>
      </c>
      <c r="B16779" s="49" t="s">
        <v>10606</v>
      </c>
    </row>
    <row r="16780" spans="1:2">
      <c r="A16780" s="66">
        <v>46072.651545868051</v>
      </c>
      <c r="B16780" s="49" t="s">
        <v>10556</v>
      </c>
    </row>
    <row r="16781" spans="1:2">
      <c r="A16781" s="66">
        <v>46072.65154806713</v>
      </c>
      <c r="B16781" s="49" t="s">
        <v>10603</v>
      </c>
    </row>
    <row r="16782" spans="1:2">
      <c r="A16782" s="66">
        <v>46072.651550277777</v>
      </c>
      <c r="B16782" s="49" t="s">
        <v>10604</v>
      </c>
    </row>
    <row r="16783" spans="1:2">
      <c r="A16783" s="66">
        <v>46072.651552546296</v>
      </c>
      <c r="B16783" s="49" t="s">
        <v>10466</v>
      </c>
    </row>
    <row r="16784" spans="1:2">
      <c r="A16784" s="66">
        <v>46072.65155469907</v>
      </c>
      <c r="B16784" s="49" t="s">
        <v>10605</v>
      </c>
    </row>
    <row r="16785" spans="1:2">
      <c r="A16785" s="66">
        <v>46072.651557037039</v>
      </c>
      <c r="B16785" s="49" t="s">
        <v>10562</v>
      </c>
    </row>
    <row r="16786" spans="1:2">
      <c r="A16786" s="66">
        <v>46072.651559016202</v>
      </c>
      <c r="B16786" s="49" t="s">
        <v>10606</v>
      </c>
    </row>
    <row r="16787" spans="1:2">
      <c r="A16787" s="66">
        <v>46072.652728981484</v>
      </c>
      <c r="B16787" s="49" t="s">
        <v>10556</v>
      </c>
    </row>
    <row r="16788" spans="1:2">
      <c r="A16788" s="66">
        <v>46072.652741238431</v>
      </c>
      <c r="B16788" s="49" t="s">
        <v>10603</v>
      </c>
    </row>
    <row r="16789" spans="1:2">
      <c r="A16789" s="66">
        <v>46072.652743564817</v>
      </c>
      <c r="B16789" s="49" t="s">
        <v>10604</v>
      </c>
    </row>
    <row r="16790" spans="1:2">
      <c r="A16790" s="66">
        <v>46072.652745810185</v>
      </c>
      <c r="B16790" s="49" t="s">
        <v>10466</v>
      </c>
    </row>
    <row r="16791" spans="1:2">
      <c r="A16791" s="66">
        <v>46072.65274795139</v>
      </c>
      <c r="B16791" s="49" t="s">
        <v>10605</v>
      </c>
    </row>
    <row r="16792" spans="1:2">
      <c r="A16792" s="66">
        <v>46072.652750162037</v>
      </c>
      <c r="B16792" s="49" t="s">
        <v>10562</v>
      </c>
    </row>
    <row r="16793" spans="1:2">
      <c r="A16793" s="66">
        <v>46072.652752141206</v>
      </c>
      <c r="B16793" s="49" t="s">
        <v>10606</v>
      </c>
    </row>
    <row r="16794" spans="1:2">
      <c r="A16794" s="66">
        <v>46072.653814317135</v>
      </c>
      <c r="B16794" s="49" t="s">
        <v>10556</v>
      </c>
    </row>
    <row r="16795" spans="1:2">
      <c r="A16795" s="66">
        <v>46072.65382018518</v>
      </c>
      <c r="B16795" s="49" t="s">
        <v>10603</v>
      </c>
    </row>
    <row r="16796" spans="1:2">
      <c r="A16796" s="66">
        <v>46072.653823067129</v>
      </c>
      <c r="B16796" s="49" t="s">
        <v>10604</v>
      </c>
    </row>
    <row r="16797" spans="1:2">
      <c r="A16797" s="66">
        <v>46072.653825694448</v>
      </c>
      <c r="B16797" s="49" t="s">
        <v>10466</v>
      </c>
    </row>
    <row r="16798" spans="1:2">
      <c r="A16798" s="66">
        <v>46072.653830555559</v>
      </c>
      <c r="B16798" s="49" t="s">
        <v>10605</v>
      </c>
    </row>
    <row r="16799" spans="1:2">
      <c r="A16799" s="66">
        <v>46072.653839050923</v>
      </c>
      <c r="B16799" s="49" t="s">
        <v>10562</v>
      </c>
    </row>
    <row r="16800" spans="1:2">
      <c r="A16800" s="66">
        <v>46072.653841296298</v>
      </c>
      <c r="B16800" s="49" t="s">
        <v>10606</v>
      </c>
    </row>
    <row r="16801" spans="1:2">
      <c r="A16801" s="66">
        <v>46072.654688969909</v>
      </c>
      <c r="B16801" s="49" t="s">
        <v>10556</v>
      </c>
    </row>
    <row r="16802" spans="1:2">
      <c r="A16802" s="66">
        <v>46072.654691643518</v>
      </c>
      <c r="B16802" s="49" t="s">
        <v>10603</v>
      </c>
    </row>
    <row r="16803" spans="1:2">
      <c r="A16803" s="66">
        <v>46072.654693773147</v>
      </c>
      <c r="B16803" s="49" t="s">
        <v>10604</v>
      </c>
    </row>
    <row r="16804" spans="1:2">
      <c r="A16804" s="66">
        <v>46072.654696620375</v>
      </c>
      <c r="B16804" s="49" t="s">
        <v>10466</v>
      </c>
    </row>
    <row r="16805" spans="1:2">
      <c r="A16805" s="66">
        <v>46072.654699710649</v>
      </c>
      <c r="B16805" s="49" t="s">
        <v>10605</v>
      </c>
    </row>
    <row r="16806" spans="1:2">
      <c r="A16806" s="66">
        <v>46072.654702245374</v>
      </c>
      <c r="B16806" s="49" t="s">
        <v>10562</v>
      </c>
    </row>
    <row r="16807" spans="1:2">
      <c r="A16807" s="66">
        <v>46072.654709525465</v>
      </c>
      <c r="B16807" s="49" t="s">
        <v>10606</v>
      </c>
    </row>
    <row r="16808" spans="1:2">
      <c r="A16808" s="66">
        <v>46072.656070162033</v>
      </c>
      <c r="B16808" s="49" t="s">
        <v>10556</v>
      </c>
    </row>
    <row r="16809" spans="1:2">
      <c r="A16809" s="66">
        <v>46072.65607931713</v>
      </c>
      <c r="B16809" s="49" t="s">
        <v>10603</v>
      </c>
    </row>
    <row r="16810" spans="1:2">
      <c r="A16810" s="66">
        <v>46072.656082245376</v>
      </c>
      <c r="B16810" s="49" t="s">
        <v>10604</v>
      </c>
    </row>
    <row r="16811" spans="1:2">
      <c r="A16811" s="66">
        <v>46072.656085543982</v>
      </c>
      <c r="B16811" s="49" t="s">
        <v>10466</v>
      </c>
    </row>
    <row r="16812" spans="1:2">
      <c r="A16812" s="66">
        <v>46072.656097280094</v>
      </c>
      <c r="B16812" s="49" t="s">
        <v>10605</v>
      </c>
    </row>
    <row r="16813" spans="1:2">
      <c r="A16813" s="66">
        <v>46072.656099675922</v>
      </c>
      <c r="B16813" s="49" t="s">
        <v>10562</v>
      </c>
    </row>
    <row r="16814" spans="1:2">
      <c r="A16814" s="66">
        <v>46072.656102442124</v>
      </c>
      <c r="B16814" s="49" t="s">
        <v>10606</v>
      </c>
    </row>
    <row r="16815" spans="1:2">
      <c r="A16815" s="66">
        <v>46072.657164571763</v>
      </c>
      <c r="B16815" s="49" t="s">
        <v>10556</v>
      </c>
    </row>
    <row r="16816" spans="1:2">
      <c r="A16816" s="66">
        <v>46072.657168622682</v>
      </c>
      <c r="B16816" s="49" t="s">
        <v>10603</v>
      </c>
    </row>
    <row r="16817" spans="1:2">
      <c r="A16817" s="66">
        <v>46072.657170393519</v>
      </c>
      <c r="B16817" s="49" t="s">
        <v>10604</v>
      </c>
    </row>
    <row r="16818" spans="1:2">
      <c r="A16818" s="66">
        <v>46072.657172395833</v>
      </c>
      <c r="B16818" s="49" t="s">
        <v>10466</v>
      </c>
    </row>
    <row r="16819" spans="1:2">
      <c r="A16819" s="66">
        <v>46072.65717716435</v>
      </c>
      <c r="B16819" s="49" t="s">
        <v>10605</v>
      </c>
    </row>
    <row r="16820" spans="1:2">
      <c r="A16820" s="66">
        <v>46072.657179166665</v>
      </c>
      <c r="B16820" s="49" t="s">
        <v>10562</v>
      </c>
    </row>
    <row r="16821" spans="1:2">
      <c r="A16821" s="66">
        <v>46072.657188680554</v>
      </c>
      <c r="B16821" s="49" t="s">
        <v>10606</v>
      </c>
    </row>
    <row r="16822" spans="1:2">
      <c r="A16822" s="66">
        <v>46072.658218715282</v>
      </c>
      <c r="B16822" s="49" t="s">
        <v>10556</v>
      </c>
    </row>
    <row r="16823" spans="1:2">
      <c r="A16823" s="66">
        <v>46072.658221874997</v>
      </c>
      <c r="B16823" s="49" t="s">
        <v>10603</v>
      </c>
    </row>
    <row r="16824" spans="1:2">
      <c r="A16824" s="66">
        <v>46072.658225069448</v>
      </c>
      <c r="B16824" s="49" t="s">
        <v>10604</v>
      </c>
    </row>
    <row r="16825" spans="1:2">
      <c r="A16825" s="66">
        <v>46072.658228495369</v>
      </c>
      <c r="B16825" s="49" t="s">
        <v>10466</v>
      </c>
    </row>
    <row r="16826" spans="1:2">
      <c r="A16826" s="66">
        <v>46072.658231145833</v>
      </c>
      <c r="B16826" s="49" t="s">
        <v>10605</v>
      </c>
    </row>
    <row r="16827" spans="1:2">
      <c r="A16827" s="66">
        <v>46072.658236423609</v>
      </c>
      <c r="B16827" s="49" t="s">
        <v>10562</v>
      </c>
    </row>
    <row r="16828" spans="1:2">
      <c r="A16828" s="66">
        <v>46072.658239351847</v>
      </c>
      <c r="B16828" s="49" t="s">
        <v>10606</v>
      </c>
    </row>
    <row r="16829" spans="1:2">
      <c r="A16829" s="66">
        <v>46072.659516550921</v>
      </c>
      <c r="B16829" s="49" t="s">
        <v>10556</v>
      </c>
    </row>
    <row r="16830" spans="1:2">
      <c r="A16830" s="66">
        <v>46072.659518912042</v>
      </c>
      <c r="B16830" s="49" t="s">
        <v>10603</v>
      </c>
    </row>
    <row r="16831" spans="1:2">
      <c r="A16831" s="66">
        <v>46072.659521168986</v>
      </c>
      <c r="B16831" s="49" t="s">
        <v>10604</v>
      </c>
    </row>
    <row r="16832" spans="1:2">
      <c r="A16832" s="66">
        <v>46072.659523113427</v>
      </c>
      <c r="B16832" s="49" t="s">
        <v>10466</v>
      </c>
    </row>
    <row r="16833" spans="1:2">
      <c r="A16833" s="66">
        <v>46072.65952512731</v>
      </c>
      <c r="B16833" s="49" t="s">
        <v>10605</v>
      </c>
    </row>
    <row r="16834" spans="1:2">
      <c r="A16834" s="66">
        <v>46072.659527199074</v>
      </c>
      <c r="B16834" s="49" t="s">
        <v>10562</v>
      </c>
    </row>
    <row r="16835" spans="1:2">
      <c r="A16835" s="66">
        <v>46072.659529293982</v>
      </c>
      <c r="B16835" s="49" t="s">
        <v>10606</v>
      </c>
    </row>
    <row r="16836" spans="1:2">
      <c r="A16836" s="66">
        <v>46072.66029349537</v>
      </c>
      <c r="B16836" s="49" t="s">
        <v>10556</v>
      </c>
    </row>
    <row r="16837" spans="1:2">
      <c r="A16837" s="66">
        <v>46072.660296458329</v>
      </c>
      <c r="B16837" s="49" t="s">
        <v>10603</v>
      </c>
    </row>
    <row r="16838" spans="1:2">
      <c r="A16838" s="66">
        <v>46072.660298657407</v>
      </c>
      <c r="B16838" s="49" t="s">
        <v>10604</v>
      </c>
    </row>
    <row r="16839" spans="1:2">
      <c r="A16839" s="66">
        <v>46072.66030142361</v>
      </c>
      <c r="B16839" s="49" t="s">
        <v>10466</v>
      </c>
    </row>
    <row r="16840" spans="1:2">
      <c r="A16840" s="66">
        <v>46072.660304074074</v>
      </c>
      <c r="B16840" s="49" t="s">
        <v>10605</v>
      </c>
    </row>
    <row r="16841" spans="1:2">
      <c r="A16841" s="66">
        <v>46072.660307314814</v>
      </c>
      <c r="B16841" s="49" t="s">
        <v>10562</v>
      </c>
    </row>
    <row r="16842" spans="1:2">
      <c r="A16842" s="66">
        <v>46072.660309756946</v>
      </c>
      <c r="B16842" s="49" t="s">
        <v>10606</v>
      </c>
    </row>
    <row r="16843" spans="1:2">
      <c r="A16843" s="66">
        <v>46072.66158104167</v>
      </c>
      <c r="B16843" s="49" t="s">
        <v>10556</v>
      </c>
    </row>
    <row r="16844" spans="1:2">
      <c r="A16844" s="66">
        <v>46072.661584004629</v>
      </c>
      <c r="B16844" s="49" t="s">
        <v>10603</v>
      </c>
    </row>
    <row r="16845" spans="1:2">
      <c r="A16845" s="66">
        <v>46072.661585856476</v>
      </c>
      <c r="B16845" s="49" t="s">
        <v>10604</v>
      </c>
    </row>
    <row r="16846" spans="1:2">
      <c r="A16846" s="66">
        <v>46072.661602789347</v>
      </c>
      <c r="B16846" s="49" t="s">
        <v>10466</v>
      </c>
    </row>
    <row r="16847" spans="1:2">
      <c r="A16847" s="66">
        <v>46072.661619363425</v>
      </c>
      <c r="B16847" s="49" t="s">
        <v>10605</v>
      </c>
    </row>
    <row r="16848" spans="1:2">
      <c r="A16848" s="66">
        <v>46072.661634768519</v>
      </c>
      <c r="B16848" s="49" t="s">
        <v>10562</v>
      </c>
    </row>
    <row r="16849" spans="1:2">
      <c r="A16849" s="66">
        <v>46072.661636770834</v>
      </c>
      <c r="B16849" s="49" t="s">
        <v>10606</v>
      </c>
    </row>
    <row r="16850" spans="1:2">
      <c r="A16850" s="66">
        <v>46072.66243650463</v>
      </c>
      <c r="B16850" s="49" t="s">
        <v>10556</v>
      </c>
    </row>
    <row r="16851" spans="1:2">
      <c r="A16851" s="66">
        <v>46072.662438807871</v>
      </c>
      <c r="B16851" s="49" t="s">
        <v>10603</v>
      </c>
    </row>
    <row r="16852" spans="1:2">
      <c r="A16852" s="66">
        <v>46072.662440914355</v>
      </c>
      <c r="B16852" s="49" t="s">
        <v>10604</v>
      </c>
    </row>
    <row r="16853" spans="1:2">
      <c r="A16853" s="66">
        <v>46072.662442881949</v>
      </c>
      <c r="B16853" s="49" t="s">
        <v>10466</v>
      </c>
    </row>
    <row r="16854" spans="1:2">
      <c r="A16854" s="66">
        <v>46072.662444803238</v>
      </c>
      <c r="B16854" s="49" t="s">
        <v>10605</v>
      </c>
    </row>
    <row r="16855" spans="1:2">
      <c r="A16855" s="66">
        <v>46072.662446840273</v>
      </c>
      <c r="B16855" s="49" t="s">
        <v>10562</v>
      </c>
    </row>
    <row r="16856" spans="1:2">
      <c r="A16856" s="66">
        <v>46072.662448692128</v>
      </c>
      <c r="B16856" s="49" t="s">
        <v>10606</v>
      </c>
    </row>
    <row r="16857" spans="1:2">
      <c r="A16857" s="66">
        <v>46072.663550729165</v>
      </c>
      <c r="B16857" s="49" t="s">
        <v>10556</v>
      </c>
    </row>
    <row r="16858" spans="1:2">
      <c r="A16858" s="66">
        <v>46072.66355305555</v>
      </c>
      <c r="B16858" s="49" t="s">
        <v>10603</v>
      </c>
    </row>
    <row r="16859" spans="1:2">
      <c r="A16859" s="66">
        <v>46072.66355582176</v>
      </c>
      <c r="B16859" s="49" t="s">
        <v>10604</v>
      </c>
    </row>
    <row r="16860" spans="1:2">
      <c r="A16860" s="66">
        <v>46072.663558553242</v>
      </c>
      <c r="B16860" s="49" t="s">
        <v>10466</v>
      </c>
    </row>
    <row r="16861" spans="1:2">
      <c r="A16861" s="66">
        <v>46072.663560601854</v>
      </c>
      <c r="B16861" s="49" t="s">
        <v>10605</v>
      </c>
    </row>
    <row r="16862" spans="1:2">
      <c r="A16862" s="66">
        <v>46072.663564548609</v>
      </c>
      <c r="B16862" s="49" t="s">
        <v>10562</v>
      </c>
    </row>
    <row r="16863" spans="1:2">
      <c r="A16863" s="66">
        <v>46072.663566898147</v>
      </c>
      <c r="B16863" s="49" t="s">
        <v>10606</v>
      </c>
    </row>
    <row r="16864" spans="1:2">
      <c r="A16864" s="66">
        <v>46072.66482421296</v>
      </c>
      <c r="B16864" s="49" t="s">
        <v>10556</v>
      </c>
    </row>
    <row r="16865" spans="1:2">
      <c r="A16865" s="66">
        <v>46072.664826226857</v>
      </c>
      <c r="B16865" s="49" t="s">
        <v>10603</v>
      </c>
    </row>
    <row r="16866" spans="1:2">
      <c r="A16866" s="66">
        <v>46072.664828391207</v>
      </c>
      <c r="B16866" s="49" t="s">
        <v>10604</v>
      </c>
    </row>
    <row r="16867" spans="1:2">
      <c r="A16867" s="66">
        <v>46072.664830289352</v>
      </c>
      <c r="B16867" s="49" t="s">
        <v>10466</v>
      </c>
    </row>
    <row r="16868" spans="1:2">
      <c r="A16868" s="66">
        <v>46072.664833217597</v>
      </c>
      <c r="B16868" s="49" t="s">
        <v>10605</v>
      </c>
    </row>
    <row r="16869" spans="1:2">
      <c r="A16869" s="66">
        <v>46072.664840219906</v>
      </c>
      <c r="B16869" s="49" t="s">
        <v>10562</v>
      </c>
    </row>
    <row r="16870" spans="1:2">
      <c r="A16870" s="66">
        <v>46072.664842071754</v>
      </c>
      <c r="B16870" s="49" t="s">
        <v>10606</v>
      </c>
    </row>
    <row r="16871" spans="1:2">
      <c r="A16871" s="66">
        <v>46072.665815520828</v>
      </c>
      <c r="B16871" s="49" t="s">
        <v>10556</v>
      </c>
    </row>
    <row r="16872" spans="1:2">
      <c r="A16872" s="66">
        <v>46072.665819988426</v>
      </c>
      <c r="B16872" s="49" t="s">
        <v>10603</v>
      </c>
    </row>
    <row r="16873" spans="1:2">
      <c r="A16873" s="66">
        <v>46072.66582328704</v>
      </c>
      <c r="B16873" s="49" t="s">
        <v>10604</v>
      </c>
    </row>
    <row r="16874" spans="1:2">
      <c r="A16874" s="66">
        <v>46072.665826956014</v>
      </c>
      <c r="B16874" s="49" t="s">
        <v>10466</v>
      </c>
    </row>
    <row r="16875" spans="1:2">
      <c r="A16875" s="66">
        <v>46072.665847824072</v>
      </c>
      <c r="B16875" s="49" t="s">
        <v>10605</v>
      </c>
    </row>
    <row r="16876" spans="1:2">
      <c r="A16876" s="66">
        <v>46072.665866597221</v>
      </c>
      <c r="B16876" s="49" t="s">
        <v>10562</v>
      </c>
    </row>
    <row r="16877" spans="1:2">
      <c r="A16877" s="66">
        <v>46072.665874074075</v>
      </c>
      <c r="B16877" s="49" t="s">
        <v>10606</v>
      </c>
    </row>
    <row r="16878" spans="1:2">
      <c r="A16878" s="66">
        <v>46072.666615115741</v>
      </c>
      <c r="B16878" s="49" t="s">
        <v>10556</v>
      </c>
    </row>
    <row r="16879" spans="1:2">
      <c r="A16879" s="66">
        <v>46072.666617557872</v>
      </c>
      <c r="B16879" s="49" t="s">
        <v>10603</v>
      </c>
    </row>
    <row r="16880" spans="1:2">
      <c r="A16880" s="66">
        <v>46072.666619479161</v>
      </c>
      <c r="B16880" s="49" t="s">
        <v>10604</v>
      </c>
    </row>
    <row r="16881" spans="1:2">
      <c r="A16881" s="66">
        <v>46072.666621655095</v>
      </c>
      <c r="B16881" s="49" t="s">
        <v>10466</v>
      </c>
    </row>
    <row r="16882" spans="1:2">
      <c r="A16882" s="66">
        <v>46072.666623437501</v>
      </c>
      <c r="B16882" s="49" t="s">
        <v>10605</v>
      </c>
    </row>
    <row r="16883" spans="1:2">
      <c r="A16883" s="66">
        <v>46072.666625601851</v>
      </c>
      <c r="B16883" s="49" t="s">
        <v>10562</v>
      </c>
    </row>
    <row r="16884" spans="1:2">
      <c r="A16884" s="66">
        <v>46072.666627800922</v>
      </c>
      <c r="B16884" s="49" t="s">
        <v>10606</v>
      </c>
    </row>
    <row r="16885" spans="1:2">
      <c r="A16885" s="66">
        <v>46072.66790104167</v>
      </c>
      <c r="B16885" s="49" t="s">
        <v>10556</v>
      </c>
    </row>
    <row r="16886" spans="1:2">
      <c r="A16886" s="66">
        <v>46072.66790299768</v>
      </c>
      <c r="B16886" s="49" t="s">
        <v>10603</v>
      </c>
    </row>
    <row r="16887" spans="1:2">
      <c r="A16887" s="66">
        <v>46072.667904837959</v>
      </c>
      <c r="B16887" s="49" t="s">
        <v>10604</v>
      </c>
    </row>
    <row r="16888" spans="1:2">
      <c r="A16888" s="66">
        <v>46072.667911018521</v>
      </c>
      <c r="B16888" s="49" t="s">
        <v>10466</v>
      </c>
    </row>
    <row r="16889" spans="1:2">
      <c r="A16889" s="66">
        <v>46072.667913159719</v>
      </c>
      <c r="B16889" s="49" t="s">
        <v>10605</v>
      </c>
    </row>
    <row r="16890" spans="1:2">
      <c r="A16890" s="66">
        <v>46072.667914826394</v>
      </c>
      <c r="B16890" s="49" t="s">
        <v>10562</v>
      </c>
    </row>
    <row r="16891" spans="1:2">
      <c r="A16891" s="66">
        <v>46072.667916585648</v>
      </c>
      <c r="B16891" s="49" t="s">
        <v>10606</v>
      </c>
    </row>
    <row r="16892" spans="1:2">
      <c r="A16892" s="66">
        <v>46072.669106493056</v>
      </c>
      <c r="B16892" s="49" t="s">
        <v>10556</v>
      </c>
    </row>
    <row r="16893" spans="1:2">
      <c r="A16893" s="66">
        <v>46072.669108391201</v>
      </c>
      <c r="B16893" s="49" t="s">
        <v>10603</v>
      </c>
    </row>
    <row r="16894" spans="1:2">
      <c r="A16894" s="66">
        <v>46072.669110034723</v>
      </c>
      <c r="B16894" s="49" t="s">
        <v>10604</v>
      </c>
    </row>
    <row r="16895" spans="1:2">
      <c r="A16895" s="66">
        <v>46072.669111666663</v>
      </c>
      <c r="B16895" s="49" t="s">
        <v>10466</v>
      </c>
    </row>
    <row r="16896" spans="1:2">
      <c r="A16896" s="66">
        <v>46072.669116145829</v>
      </c>
      <c r="B16896" s="49" t="s">
        <v>10605</v>
      </c>
    </row>
    <row r="16897" spans="1:2">
      <c r="A16897" s="66">
        <v>46072.669119421298</v>
      </c>
      <c r="B16897" s="49" t="s">
        <v>10562</v>
      </c>
    </row>
    <row r="16898" spans="1:2">
      <c r="A16898" s="66">
        <v>46072.669120972219</v>
      </c>
      <c r="B16898" s="49" t="s">
        <v>10606</v>
      </c>
    </row>
    <row r="16899" spans="1:2">
      <c r="A16899" s="66">
        <v>46072.670103333337</v>
      </c>
      <c r="B16899" s="49" t="s">
        <v>10556</v>
      </c>
    </row>
    <row r="16900" spans="1:2">
      <c r="A16900" s="66">
        <v>46072.670111446758</v>
      </c>
      <c r="B16900" s="49" t="s">
        <v>10603</v>
      </c>
    </row>
    <row r="16901" spans="1:2">
      <c r="A16901" s="66">
        <v>46072.670113900458</v>
      </c>
      <c r="B16901" s="49" t="s">
        <v>10604</v>
      </c>
    </row>
    <row r="16902" spans="1:2">
      <c r="A16902" s="66">
        <v>46072.670116099536</v>
      </c>
      <c r="B16902" s="49" t="s">
        <v>10466</v>
      </c>
    </row>
    <row r="16903" spans="1:2">
      <c r="A16903" s="66">
        <v>46072.670118333335</v>
      </c>
      <c r="B16903" s="49" t="s">
        <v>10605</v>
      </c>
    </row>
    <row r="16904" spans="1:2">
      <c r="A16904" s="66">
        <v>46072.670120462964</v>
      </c>
      <c r="B16904" s="49" t="s">
        <v>10562</v>
      </c>
    </row>
    <row r="16905" spans="1:2">
      <c r="A16905" s="66">
        <v>46072.670127962963</v>
      </c>
      <c r="B16905" s="49" t="s">
        <v>10606</v>
      </c>
    </row>
    <row r="16906" spans="1:2">
      <c r="A16906" s="66">
        <v>46072.671284675926</v>
      </c>
      <c r="B16906" s="49" t="s">
        <v>10556</v>
      </c>
    </row>
    <row r="16907" spans="1:2">
      <c r="A16907" s="66">
        <v>46072.671287013887</v>
      </c>
      <c r="B16907" s="49" t="s">
        <v>10603</v>
      </c>
    </row>
    <row r="16908" spans="1:2">
      <c r="A16908" s="66">
        <v>46072.671289247686</v>
      </c>
      <c r="B16908" s="49" t="s">
        <v>10604</v>
      </c>
    </row>
    <row r="16909" spans="1:2">
      <c r="A16909" s="66">
        <v>46072.671291284722</v>
      </c>
      <c r="B16909" s="49" t="s">
        <v>10466</v>
      </c>
    </row>
    <row r="16910" spans="1:2">
      <c r="A16910" s="66">
        <v>46072.671293518521</v>
      </c>
      <c r="B16910" s="49" t="s">
        <v>10605</v>
      </c>
    </row>
    <row r="16911" spans="1:2">
      <c r="A16911" s="66">
        <v>46072.671295717591</v>
      </c>
      <c r="B16911" s="49" t="s">
        <v>10562</v>
      </c>
    </row>
    <row r="16912" spans="1:2">
      <c r="A16912" s="66">
        <v>46072.67130396991</v>
      </c>
      <c r="B16912" s="49" t="s">
        <v>10606</v>
      </c>
    </row>
    <row r="16913" spans="1:2">
      <c r="A16913" s="66">
        <v>46072.672554398145</v>
      </c>
      <c r="B16913" s="49" t="s">
        <v>10556</v>
      </c>
    </row>
    <row r="16914" spans="1:2">
      <c r="A16914" s="66">
        <v>46072.672563715278</v>
      </c>
      <c r="B16914" s="49" t="s">
        <v>10603</v>
      </c>
    </row>
    <row r="16915" spans="1:2">
      <c r="A16915" s="66">
        <v>46072.67256634259</v>
      </c>
      <c r="B16915" s="49" t="s">
        <v>10604</v>
      </c>
    </row>
    <row r="16916" spans="1:2">
      <c r="A16916" s="66">
        <v>46072.672568321759</v>
      </c>
      <c r="B16916" s="49" t="s">
        <v>10466</v>
      </c>
    </row>
    <row r="16917" spans="1:2">
      <c r="A16917" s="66">
        <v>46072.672570381939</v>
      </c>
      <c r="B16917" s="49" t="s">
        <v>10605</v>
      </c>
    </row>
    <row r="16918" spans="1:2">
      <c r="A16918" s="66">
        <v>46072.672572465279</v>
      </c>
      <c r="B16918" s="49" t="s">
        <v>10562</v>
      </c>
    </row>
    <row r="16919" spans="1:2">
      <c r="A16919" s="66">
        <v>46072.672574733791</v>
      </c>
      <c r="B16919" s="49" t="s">
        <v>10606</v>
      </c>
    </row>
    <row r="16920" spans="1:2">
      <c r="A16920" s="66">
        <v>46072.6737315625</v>
      </c>
      <c r="B16920" s="49" t="s">
        <v>10556</v>
      </c>
    </row>
    <row r="16921" spans="1:2">
      <c r="A16921" s="66">
        <v>46072.673734050928</v>
      </c>
      <c r="B16921" s="49" t="s">
        <v>10603</v>
      </c>
    </row>
    <row r="16922" spans="1:2">
      <c r="A16922" s="66">
        <v>46072.673736435187</v>
      </c>
      <c r="B16922" s="49" t="s">
        <v>10604</v>
      </c>
    </row>
    <row r="16923" spans="1:2">
      <c r="A16923" s="66">
        <v>46072.673738784724</v>
      </c>
      <c r="B16923" s="49" t="s">
        <v>10466</v>
      </c>
    </row>
    <row r="16924" spans="1:2">
      <c r="A16924" s="66">
        <v>46072.673741180552</v>
      </c>
      <c r="B16924" s="49" t="s">
        <v>10605</v>
      </c>
    </row>
    <row r="16925" spans="1:2">
      <c r="A16925" s="66">
        <v>46072.67374366898</v>
      </c>
      <c r="B16925" s="49" t="s">
        <v>10562</v>
      </c>
    </row>
    <row r="16926" spans="1:2">
      <c r="A16926" s="66">
        <v>46072.673745995373</v>
      </c>
      <c r="B16926" s="49" t="s">
        <v>10606</v>
      </c>
    </row>
    <row r="16927" spans="1:2">
      <c r="A16927" s="66">
        <v>46072.674869525465</v>
      </c>
      <c r="B16927" s="49" t="s">
        <v>10556</v>
      </c>
    </row>
    <row r="16928" spans="1:2">
      <c r="A16928" s="66">
        <v>46072.674872430551</v>
      </c>
      <c r="B16928" s="49" t="s">
        <v>10603</v>
      </c>
    </row>
    <row r="16929" spans="1:2">
      <c r="A16929" s="66">
        <v>46072.67487570602</v>
      </c>
      <c r="B16929" s="49" t="s">
        <v>10604</v>
      </c>
    </row>
    <row r="16930" spans="1:2">
      <c r="A16930" s="66">
        <v>46072.674878240738</v>
      </c>
      <c r="B16930" s="49" t="s">
        <v>10466</v>
      </c>
    </row>
    <row r="16931" spans="1:2">
      <c r="A16931" s="66">
        <v>46072.674881284722</v>
      </c>
      <c r="B16931" s="49" t="s">
        <v>10605</v>
      </c>
    </row>
    <row r="16932" spans="1:2">
      <c r="A16932" s="66">
        <v>46072.674884351851</v>
      </c>
      <c r="B16932" s="49" t="s">
        <v>10562</v>
      </c>
    </row>
    <row r="16933" spans="1:2">
      <c r="A16933" s="66">
        <v>46072.674890127309</v>
      </c>
      <c r="B16933" s="49" t="s">
        <v>10606</v>
      </c>
    </row>
    <row r="16934" spans="1:2">
      <c r="A16934" s="66">
        <v>46072.676083333332</v>
      </c>
      <c r="B16934" s="49" t="s">
        <v>10556</v>
      </c>
    </row>
    <row r="16935" spans="1:2">
      <c r="A16935" s="66">
        <v>46072.676086770836</v>
      </c>
      <c r="B16935" s="49" t="s">
        <v>10603</v>
      </c>
    </row>
    <row r="16936" spans="1:2">
      <c r="A16936" s="66">
        <v>46072.676089965273</v>
      </c>
      <c r="B16936" s="49" t="s">
        <v>10604</v>
      </c>
    </row>
    <row r="16937" spans="1:2">
      <c r="A16937" s="66">
        <v>46072.676093159724</v>
      </c>
      <c r="B16937" s="49" t="s">
        <v>10466</v>
      </c>
    </row>
    <row r="16938" spans="1:2">
      <c r="A16938" s="66">
        <v>46072.676096192125</v>
      </c>
      <c r="B16938" s="49" t="s">
        <v>10605</v>
      </c>
    </row>
    <row r="16939" spans="1:2">
      <c r="A16939" s="66">
        <v>46072.676099166667</v>
      </c>
      <c r="B16939" s="49" t="s">
        <v>10562</v>
      </c>
    </row>
    <row r="16940" spans="1:2">
      <c r="A16940" s="66">
        <v>46072.676102314814</v>
      </c>
      <c r="B16940" s="49" t="s">
        <v>10606</v>
      </c>
    </row>
    <row r="16941" spans="1:2">
      <c r="A16941" s="66">
        <v>46072.677367152777</v>
      </c>
      <c r="B16941" s="49" t="s">
        <v>10556</v>
      </c>
    </row>
    <row r="16942" spans="1:2">
      <c r="A16942" s="66">
        <v>46072.67737002315</v>
      </c>
      <c r="B16942" s="49" t="s">
        <v>10603</v>
      </c>
    </row>
    <row r="16943" spans="1:2">
      <c r="A16943" s="66">
        <v>46072.677372569444</v>
      </c>
      <c r="B16943" s="49" t="s">
        <v>10604</v>
      </c>
    </row>
    <row r="16944" spans="1:2">
      <c r="A16944" s="66">
        <v>46072.677375486106</v>
      </c>
      <c r="B16944" s="49" t="s">
        <v>10466</v>
      </c>
    </row>
    <row r="16945" spans="1:2">
      <c r="A16945" s="66">
        <v>46072.677378067128</v>
      </c>
      <c r="B16945" s="49" t="s">
        <v>10605</v>
      </c>
    </row>
    <row r="16946" spans="1:2">
      <c r="A16946" s="66">
        <v>46072.677381203699</v>
      </c>
      <c r="B16946" s="49" t="s">
        <v>10562</v>
      </c>
    </row>
    <row r="16947" spans="1:2">
      <c r="A16947" s="66">
        <v>46072.677383946764</v>
      </c>
      <c r="B16947" s="49" t="s">
        <v>10606</v>
      </c>
    </row>
    <row r="16948" spans="1:2">
      <c r="A16948" s="66">
        <v>46072.678143518518</v>
      </c>
      <c r="B16948" s="49" t="s">
        <v>10556</v>
      </c>
    </row>
    <row r="16949" spans="1:2">
      <c r="A16949" s="66">
        <v>46072.678146516206</v>
      </c>
      <c r="B16949" s="49" t="s">
        <v>10603</v>
      </c>
    </row>
    <row r="16950" spans="1:2">
      <c r="A16950" s="66">
        <v>46072.678149409723</v>
      </c>
      <c r="B16950" s="49" t="s">
        <v>10604</v>
      </c>
    </row>
    <row r="16951" spans="1:2">
      <c r="A16951" s="66">
        <v>46072.678152164357</v>
      </c>
      <c r="B16951" s="49" t="s">
        <v>10466</v>
      </c>
    </row>
    <row r="16952" spans="1:2">
      <c r="A16952" s="66">
        <v>46072.678157546296</v>
      </c>
      <c r="B16952" s="49" t="s">
        <v>10605</v>
      </c>
    </row>
    <row r="16953" spans="1:2">
      <c r="A16953" s="66">
        <v>46072.678160277777</v>
      </c>
      <c r="B16953" s="49" t="s">
        <v>10562</v>
      </c>
    </row>
    <row r="16954" spans="1:2">
      <c r="A16954" s="66">
        <v>46072.678166481477</v>
      </c>
      <c r="B16954" s="49" t="s">
        <v>10606</v>
      </c>
    </row>
    <row r="16955" spans="1:2">
      <c r="A16955" s="66">
        <v>46072.678967280095</v>
      </c>
      <c r="B16955" s="49" t="s">
        <v>10556</v>
      </c>
    </row>
    <row r="16956" spans="1:2">
      <c r="A16956" s="66">
        <v>46072.678969398148</v>
      </c>
      <c r="B16956" s="49" t="s">
        <v>10603</v>
      </c>
    </row>
    <row r="16957" spans="1:2">
      <c r="A16957" s="66">
        <v>46072.678971527777</v>
      </c>
      <c r="B16957" s="49" t="s">
        <v>10604</v>
      </c>
    </row>
    <row r="16958" spans="1:2">
      <c r="A16958" s="66">
        <v>46072.678973379632</v>
      </c>
      <c r="B16958" s="49" t="s">
        <v>10466</v>
      </c>
    </row>
    <row r="16959" spans="1:2">
      <c r="A16959" s="66">
        <v>46072.678975381947</v>
      </c>
      <c r="B16959" s="49" t="s">
        <v>10605</v>
      </c>
    </row>
    <row r="16960" spans="1:2">
      <c r="A16960" s="66">
        <v>46072.678977002317</v>
      </c>
      <c r="B16960" s="49" t="s">
        <v>10562</v>
      </c>
    </row>
    <row r="16961" spans="1:2">
      <c r="A16961" s="66">
        <v>46072.678978715281</v>
      </c>
      <c r="B16961" s="49" t="s">
        <v>10606</v>
      </c>
    </row>
    <row r="16962" spans="1:2">
      <c r="A16962" s="66">
        <v>46072.68011105324</v>
      </c>
      <c r="B16962" s="49" t="s">
        <v>10556</v>
      </c>
    </row>
    <row r="16963" spans="1:2">
      <c r="A16963" s="66">
        <v>46072.68011361111</v>
      </c>
      <c r="B16963" s="49" t="s">
        <v>10603</v>
      </c>
    </row>
    <row r="16964" spans="1:2">
      <c r="A16964" s="66">
        <v>46072.680116412041</v>
      </c>
      <c r="B16964" s="49" t="s">
        <v>10604</v>
      </c>
    </row>
    <row r="16965" spans="1:2">
      <c r="A16965" s="66">
        <v>46072.680119363431</v>
      </c>
      <c r="B16965" s="49" t="s">
        <v>10466</v>
      </c>
    </row>
    <row r="16966" spans="1:2">
      <c r="A16966" s="66">
        <v>46072.680121990736</v>
      </c>
      <c r="B16966" s="49" t="s">
        <v>10605</v>
      </c>
    </row>
    <row r="16967" spans="1:2">
      <c r="A16967" s="66">
        <v>46072.680124629631</v>
      </c>
      <c r="B16967" s="49" t="s">
        <v>10562</v>
      </c>
    </row>
    <row r="16968" spans="1:2">
      <c r="A16968" s="66">
        <v>46072.680127349537</v>
      </c>
      <c r="B16968" s="49" t="s">
        <v>10606</v>
      </c>
    </row>
    <row r="16969" spans="1:2">
      <c r="A16969" s="66">
        <v>46072.6812522338</v>
      </c>
      <c r="B16969" s="49" t="s">
        <v>10556</v>
      </c>
    </row>
    <row r="16970" spans="1:2">
      <c r="A16970" s="66">
        <v>46072.681255555552</v>
      </c>
      <c r="B16970" s="49" t="s">
        <v>10603</v>
      </c>
    </row>
    <row r="16971" spans="1:2">
      <c r="A16971" s="66">
        <v>46072.681258877317</v>
      </c>
      <c r="B16971" s="49" t="s">
        <v>10604</v>
      </c>
    </row>
    <row r="16972" spans="1:2">
      <c r="A16972" s="66">
        <v>46072.681261481484</v>
      </c>
      <c r="B16972" s="49" t="s">
        <v>10466</v>
      </c>
    </row>
    <row r="16973" spans="1:2">
      <c r="A16973" s="66">
        <v>46072.681264189814</v>
      </c>
      <c r="B16973" s="49" t="s">
        <v>10605</v>
      </c>
    </row>
    <row r="16974" spans="1:2">
      <c r="A16974" s="66">
        <v>46072.681267025459</v>
      </c>
      <c r="B16974" s="49" t="s">
        <v>10562</v>
      </c>
    </row>
    <row r="16975" spans="1:2">
      <c r="A16975" s="66">
        <v>46072.681269791668</v>
      </c>
      <c r="B16975" s="49" t="s">
        <v>10606</v>
      </c>
    </row>
    <row r="16976" spans="1:2">
      <c r="A16976" s="66">
        <v>46072.682139166667</v>
      </c>
      <c r="B16976" s="49" t="s">
        <v>10556</v>
      </c>
    </row>
    <row r="16977" spans="1:2">
      <c r="A16977" s="66">
        <v>46072.682142002319</v>
      </c>
      <c r="B16977" s="49" t="s">
        <v>10603</v>
      </c>
    </row>
    <row r="16978" spans="1:2">
      <c r="A16978" s="66">
        <v>46072.682148703709</v>
      </c>
      <c r="B16978" s="49" t="s">
        <v>10604</v>
      </c>
    </row>
    <row r="16979" spans="1:2">
      <c r="A16979" s="66">
        <v>46072.682151111112</v>
      </c>
      <c r="B16979" s="49" t="s">
        <v>10466</v>
      </c>
    </row>
    <row r="16980" spans="1:2">
      <c r="A16980" s="66">
        <v>46072.68215385417</v>
      </c>
      <c r="B16980" s="49" t="s">
        <v>10605</v>
      </c>
    </row>
    <row r="16981" spans="1:2">
      <c r="A16981" s="66">
        <v>46072.682156342591</v>
      </c>
      <c r="B16981" s="49" t="s">
        <v>10562</v>
      </c>
    </row>
    <row r="16982" spans="1:2">
      <c r="A16982" s="66">
        <v>46072.682159456017</v>
      </c>
      <c r="B16982" s="49" t="s">
        <v>10606</v>
      </c>
    </row>
    <row r="16983" spans="1:2">
      <c r="A16983" s="66">
        <v>46072.683098773152</v>
      </c>
      <c r="B16983" s="49" t="s">
        <v>10556</v>
      </c>
    </row>
    <row r="16984" spans="1:2">
      <c r="A16984" s="66">
        <v>46072.683102557872</v>
      </c>
      <c r="B16984" s="49" t="s">
        <v>10603</v>
      </c>
    </row>
    <row r="16985" spans="1:2">
      <c r="A16985" s="66">
        <v>46072.683105763892</v>
      </c>
      <c r="B16985" s="49" t="s">
        <v>10604</v>
      </c>
    </row>
    <row r="16986" spans="1:2">
      <c r="A16986" s="66">
        <v>46072.68310918982</v>
      </c>
      <c r="B16986" s="49" t="s">
        <v>10466</v>
      </c>
    </row>
    <row r="16987" spans="1:2">
      <c r="A16987" s="66">
        <v>46072.683112534723</v>
      </c>
      <c r="B16987" s="49" t="s">
        <v>10605</v>
      </c>
    </row>
    <row r="16988" spans="1:2">
      <c r="A16988" s="66">
        <v>46072.683115775464</v>
      </c>
      <c r="B16988" s="49" t="s">
        <v>10562</v>
      </c>
    </row>
    <row r="16989" spans="1:2">
      <c r="A16989" s="66">
        <v>46072.683118958332</v>
      </c>
      <c r="B16989" s="49" t="s">
        <v>10606</v>
      </c>
    </row>
    <row r="16990" spans="1:2">
      <c r="A16990" s="66">
        <v>46072.683885023143</v>
      </c>
      <c r="B16990" s="49" t="s">
        <v>10556</v>
      </c>
    </row>
    <row r="16991" spans="1:2">
      <c r="A16991" s="66">
        <v>46072.683888101848</v>
      </c>
      <c r="B16991" s="49" t="s">
        <v>10603</v>
      </c>
    </row>
    <row r="16992" spans="1:2">
      <c r="A16992" s="66">
        <v>46072.683890844906</v>
      </c>
      <c r="B16992" s="49" t="s">
        <v>10604</v>
      </c>
    </row>
    <row r="16993" spans="1:2">
      <c r="A16993" s="66">
        <v>46072.683893240741</v>
      </c>
      <c r="B16993" s="49" t="s">
        <v>10466</v>
      </c>
    </row>
    <row r="16994" spans="1:2">
      <c r="A16994" s="66">
        <v>46072.683895844908</v>
      </c>
      <c r="B16994" s="49" t="s">
        <v>10605</v>
      </c>
    </row>
    <row r="16995" spans="1:2">
      <c r="A16995" s="66">
        <v>46072.683898020834</v>
      </c>
      <c r="B16995" s="49" t="s">
        <v>10562</v>
      </c>
    </row>
    <row r="16996" spans="1:2">
      <c r="A16996" s="66">
        <v>46072.683900115742</v>
      </c>
      <c r="B16996" s="49" t="s">
        <v>10606</v>
      </c>
    </row>
    <row r="16997" spans="1:2">
      <c r="A16997" s="66">
        <v>46072.685011655092</v>
      </c>
      <c r="B16997" s="49" t="s">
        <v>10556</v>
      </c>
    </row>
    <row r="16998" spans="1:2">
      <c r="A16998" s="66">
        <v>46072.685015208335</v>
      </c>
      <c r="B16998" s="49" t="s">
        <v>10603</v>
      </c>
    </row>
    <row r="16999" spans="1:2">
      <c r="A16999" s="66">
        <v>46072.685017754629</v>
      </c>
      <c r="B16999" s="49" t="s">
        <v>10604</v>
      </c>
    </row>
    <row r="17000" spans="1:2">
      <c r="A17000" s="66">
        <v>46072.685020185185</v>
      </c>
      <c r="B17000" s="49" t="s">
        <v>10466</v>
      </c>
    </row>
    <row r="17001" spans="1:2">
      <c r="A17001" s="66">
        <v>46072.685022662037</v>
      </c>
      <c r="B17001" s="49" t="s">
        <v>10605</v>
      </c>
    </row>
    <row r="17002" spans="1:2">
      <c r="A17002" s="66">
        <v>46072.685024699073</v>
      </c>
      <c r="B17002" s="49" t="s">
        <v>10562</v>
      </c>
    </row>
    <row r="17003" spans="1:2">
      <c r="A17003" s="66">
        <v>46072.685026701394</v>
      </c>
      <c r="B17003" s="49" t="s">
        <v>10606</v>
      </c>
    </row>
    <row r="17004" spans="1:2">
      <c r="A17004" s="66">
        <v>46072.685908703701</v>
      </c>
      <c r="B17004" s="49" t="s">
        <v>10556</v>
      </c>
    </row>
    <row r="17005" spans="1:2">
      <c r="A17005" s="66">
        <v>46072.685911064815</v>
      </c>
      <c r="B17005" s="49" t="s">
        <v>10603</v>
      </c>
    </row>
    <row r="17006" spans="1:2">
      <c r="A17006" s="66">
        <v>46072.685913020832</v>
      </c>
      <c r="B17006" s="49" t="s">
        <v>10604</v>
      </c>
    </row>
    <row r="17007" spans="1:2">
      <c r="A17007" s="66">
        <v>46072.685915011578</v>
      </c>
      <c r="B17007" s="49" t="s">
        <v>10466</v>
      </c>
    </row>
    <row r="17008" spans="1:2">
      <c r="A17008" s="66">
        <v>46072.685916967588</v>
      </c>
      <c r="B17008" s="49" t="s">
        <v>10605</v>
      </c>
    </row>
    <row r="17009" spans="1:2">
      <c r="A17009" s="66">
        <v>46072.685918981486</v>
      </c>
      <c r="B17009" s="49" t="s">
        <v>10562</v>
      </c>
    </row>
    <row r="17010" spans="1:2">
      <c r="A17010" s="66">
        <v>46072.685920937496</v>
      </c>
      <c r="B17010" s="49" t="s">
        <v>10606</v>
      </c>
    </row>
    <row r="17011" spans="1:2">
      <c r="A17011" s="66">
        <v>46072.687298333331</v>
      </c>
      <c r="B17011" s="49" t="s">
        <v>10556</v>
      </c>
    </row>
    <row r="17012" spans="1:2">
      <c r="A17012" s="66">
        <v>46072.687307256943</v>
      </c>
      <c r="B17012" s="49" t="s">
        <v>10603</v>
      </c>
    </row>
    <row r="17013" spans="1:2">
      <c r="A17013" s="66">
        <v>46072.687309837958</v>
      </c>
      <c r="B17013" s="49" t="s">
        <v>10604</v>
      </c>
    </row>
    <row r="17014" spans="1:2">
      <c r="A17014" s="66">
        <v>46072.687311979171</v>
      </c>
      <c r="B17014" s="49" t="s">
        <v>10466</v>
      </c>
    </row>
    <row r="17015" spans="1:2">
      <c r="A17015" s="66">
        <v>46072.68731429398</v>
      </c>
      <c r="B17015" s="49" t="s">
        <v>10605</v>
      </c>
    </row>
    <row r="17016" spans="1:2">
      <c r="A17016" s="66">
        <v>46072.687316689815</v>
      </c>
      <c r="B17016" s="49" t="s">
        <v>10562</v>
      </c>
    </row>
    <row r="17017" spans="1:2">
      <c r="A17017" s="66">
        <v>46072.687319039353</v>
      </c>
      <c r="B17017" s="49" t="s">
        <v>10606</v>
      </c>
    </row>
    <row r="17018" spans="1:2">
      <c r="A17018" s="66">
        <v>46072.688356770828</v>
      </c>
      <c r="B17018" s="49" t="s">
        <v>10556</v>
      </c>
    </row>
    <row r="17019" spans="1:2">
      <c r="A17019" s="66">
        <v>46072.688358969906</v>
      </c>
      <c r="B17019" s="49" t="s">
        <v>10603</v>
      </c>
    </row>
    <row r="17020" spans="1:2">
      <c r="A17020" s="66">
        <v>46072.688360902779</v>
      </c>
      <c r="B17020" s="49" t="s">
        <v>10604</v>
      </c>
    </row>
    <row r="17021" spans="1:2">
      <c r="A17021" s="66">
        <v>46072.688370520831</v>
      </c>
      <c r="B17021" s="49" t="s">
        <v>10466</v>
      </c>
    </row>
    <row r="17022" spans="1:2">
      <c r="A17022" s="66">
        <v>46072.688372708333</v>
      </c>
      <c r="B17022" s="49" t="s">
        <v>10605</v>
      </c>
    </row>
    <row r="17023" spans="1:2">
      <c r="A17023" s="66">
        <v>46072.688374710648</v>
      </c>
      <c r="B17023" s="49" t="s">
        <v>10562</v>
      </c>
    </row>
    <row r="17024" spans="1:2">
      <c r="A17024" s="66">
        <v>46072.688376967591</v>
      </c>
      <c r="B17024" s="49" t="s">
        <v>10606</v>
      </c>
    </row>
    <row r="17025" spans="1:2">
      <c r="A17025" s="66">
        <v>46072.689268159724</v>
      </c>
      <c r="B17025" s="49" t="s">
        <v>10556</v>
      </c>
    </row>
    <row r="17026" spans="1:2">
      <c r="A17026" s="66">
        <v>46072.689271249998</v>
      </c>
      <c r="B17026" s="49" t="s">
        <v>10603</v>
      </c>
    </row>
    <row r="17027" spans="1:2">
      <c r="A17027" s="66">
        <v>46072.689276064819</v>
      </c>
      <c r="B17027" s="49" t="s">
        <v>10604</v>
      </c>
    </row>
    <row r="17028" spans="1:2">
      <c r="A17028" s="66">
        <v>46072.689278506943</v>
      </c>
      <c r="B17028" s="49" t="s">
        <v>10466</v>
      </c>
    </row>
    <row r="17029" spans="1:2">
      <c r="A17029" s="66">
        <v>46072.68928126157</v>
      </c>
      <c r="B17029" s="49" t="s">
        <v>10605</v>
      </c>
    </row>
    <row r="17030" spans="1:2">
      <c r="A17030" s="66">
        <v>46072.689285405097</v>
      </c>
      <c r="B17030" s="49" t="s">
        <v>10562</v>
      </c>
    </row>
    <row r="17031" spans="1:2">
      <c r="A17031" s="66">
        <v>46072.689287847221</v>
      </c>
      <c r="B17031" s="49" t="s">
        <v>10606</v>
      </c>
    </row>
    <row r="17032" spans="1:2">
      <c r="A17032" s="66">
        <v>46072.690667592593</v>
      </c>
      <c r="B17032" s="49" t="s">
        <v>10556</v>
      </c>
    </row>
    <row r="17033" spans="1:2">
      <c r="A17033" s="66">
        <v>46072.690670798613</v>
      </c>
      <c r="B17033" s="49" t="s">
        <v>10603</v>
      </c>
    </row>
    <row r="17034" spans="1:2">
      <c r="A17034" s="66">
        <v>46072.690673182871</v>
      </c>
      <c r="B17034" s="49" t="s">
        <v>10604</v>
      </c>
    </row>
    <row r="17035" spans="1:2">
      <c r="A17035" s="66">
        <v>46072.690675821759</v>
      </c>
      <c r="B17035" s="49" t="s">
        <v>10466</v>
      </c>
    </row>
    <row r="17036" spans="1:2">
      <c r="A17036" s="66">
        <v>46072.690678194442</v>
      </c>
      <c r="B17036" s="49" t="s">
        <v>10605</v>
      </c>
    </row>
    <row r="17037" spans="1:2">
      <c r="A17037" s="66">
        <v>46072.690686354166</v>
      </c>
      <c r="B17037" s="49" t="s">
        <v>10562</v>
      </c>
    </row>
    <row r="17038" spans="1:2">
      <c r="A17038" s="66">
        <v>46072.690689085648</v>
      </c>
      <c r="B17038" s="49" t="s">
        <v>10606</v>
      </c>
    </row>
    <row r="17039" spans="1:2">
      <c r="A17039" s="66">
        <v>46072.691922002312</v>
      </c>
      <c r="B17039" s="49" t="s">
        <v>10556</v>
      </c>
    </row>
    <row r="17040" spans="1:2">
      <c r="A17040" s="66">
        <v>46072.691930787041</v>
      </c>
      <c r="B17040" s="49" t="s">
        <v>10603</v>
      </c>
    </row>
    <row r="17041" spans="1:2">
      <c r="A17041" s="66">
        <v>46072.69193277778</v>
      </c>
      <c r="B17041" s="49" t="s">
        <v>10604</v>
      </c>
    </row>
    <row r="17042" spans="1:2">
      <c r="A17042" s="66">
        <v>46072.691935092589</v>
      </c>
      <c r="B17042" s="49" t="s">
        <v>10466</v>
      </c>
    </row>
    <row r="17043" spans="1:2">
      <c r="A17043" s="66">
        <v>46072.691937280091</v>
      </c>
      <c r="B17043" s="49" t="s">
        <v>10605</v>
      </c>
    </row>
    <row r="17044" spans="1:2">
      <c r="A17044" s="66">
        <v>46072.691939444441</v>
      </c>
      <c r="B17044" s="49" t="s">
        <v>10562</v>
      </c>
    </row>
    <row r="17045" spans="1:2">
      <c r="A17045" s="66">
        <v>46072.691941562502</v>
      </c>
      <c r="B17045" s="49" t="s">
        <v>10606</v>
      </c>
    </row>
    <row r="17046" spans="1:2">
      <c r="A17046" s="66">
        <v>46072.693224560186</v>
      </c>
      <c r="B17046" s="49" t="s">
        <v>10556</v>
      </c>
    </row>
    <row r="17047" spans="1:2">
      <c r="A17047" s="66">
        <v>46072.693226701391</v>
      </c>
      <c r="B17047" s="49" t="s">
        <v>10603</v>
      </c>
    </row>
    <row r="17048" spans="1:2">
      <c r="A17048" s="66">
        <v>46072.693228969903</v>
      </c>
      <c r="B17048" s="49" t="s">
        <v>10604</v>
      </c>
    </row>
    <row r="17049" spans="1:2">
      <c r="A17049" s="66">
        <v>46072.693230856486</v>
      </c>
      <c r="B17049" s="49" t="s">
        <v>10466</v>
      </c>
    </row>
    <row r="17050" spans="1:2">
      <c r="A17050" s="66">
        <v>46072.693232754631</v>
      </c>
      <c r="B17050" s="49" t="s">
        <v>10605</v>
      </c>
    </row>
    <row r="17051" spans="1:2">
      <c r="A17051" s="66">
        <v>46072.693234710649</v>
      </c>
      <c r="B17051" s="49" t="s">
        <v>10562</v>
      </c>
    </row>
    <row r="17052" spans="1:2">
      <c r="A17052" s="66">
        <v>46072.693236990744</v>
      </c>
      <c r="B17052" s="49" t="s">
        <v>10606</v>
      </c>
    </row>
    <row r="17053" spans="1:2">
      <c r="A17053" s="66">
        <v>46072.694178807869</v>
      </c>
      <c r="B17053" s="49" t="s">
        <v>10556</v>
      </c>
    </row>
    <row r="17054" spans="1:2">
      <c r="A17054" s="66">
        <v>46072.694182523148</v>
      </c>
      <c r="B17054" s="49" t="s">
        <v>10603</v>
      </c>
    </row>
    <row r="17055" spans="1:2">
      <c r="A17055" s="66">
        <v>46072.694185729168</v>
      </c>
      <c r="B17055" s="49" t="s">
        <v>10604</v>
      </c>
    </row>
    <row r="17056" spans="1:2">
      <c r="A17056" s="66">
        <v>46072.694188969908</v>
      </c>
      <c r="B17056" s="49" t="s">
        <v>10466</v>
      </c>
    </row>
    <row r="17057" spans="1:2">
      <c r="A17057" s="66">
        <v>46072.694192222218</v>
      </c>
      <c r="B17057" s="49" t="s">
        <v>10605</v>
      </c>
    </row>
    <row r="17058" spans="1:2">
      <c r="A17058" s="66">
        <v>46072.694195162039</v>
      </c>
      <c r="B17058" s="49" t="s">
        <v>10562</v>
      </c>
    </row>
    <row r="17059" spans="1:2">
      <c r="A17059" s="66">
        <v>46072.694198206023</v>
      </c>
      <c r="B17059" s="49" t="s">
        <v>10606</v>
      </c>
    </row>
    <row r="17060" spans="1:2">
      <c r="A17060" s="66">
        <v>46072.695143240737</v>
      </c>
      <c r="B17060" s="49" t="s">
        <v>10556</v>
      </c>
    </row>
    <row r="17061" spans="1:2">
      <c r="A17061" s="66">
        <v>46072.695146134254</v>
      </c>
      <c r="B17061" s="49" t="s">
        <v>10603</v>
      </c>
    </row>
    <row r="17062" spans="1:2">
      <c r="A17062" s="66">
        <v>46072.695148796294</v>
      </c>
      <c r="B17062" s="49" t="s">
        <v>10604</v>
      </c>
    </row>
    <row r="17063" spans="1:2">
      <c r="A17063" s="66">
        <v>46072.695151944441</v>
      </c>
      <c r="B17063" s="49" t="s">
        <v>10466</v>
      </c>
    </row>
    <row r="17064" spans="1:2">
      <c r="A17064" s="66">
        <v>46072.695154733796</v>
      </c>
      <c r="B17064" s="49" t="s">
        <v>10605</v>
      </c>
    </row>
    <row r="17065" spans="1:2">
      <c r="A17065" s="66">
        <v>46072.695157534719</v>
      </c>
      <c r="B17065" s="49" t="s">
        <v>10562</v>
      </c>
    </row>
    <row r="17066" spans="1:2">
      <c r="A17066" s="66">
        <v>46072.695159907409</v>
      </c>
      <c r="B17066" s="49" t="s">
        <v>10606</v>
      </c>
    </row>
    <row r="17067" spans="1:2">
      <c r="A17067" s="66">
        <v>46072.696368460645</v>
      </c>
      <c r="B17067" s="49" t="s">
        <v>10556</v>
      </c>
    </row>
    <row r="17068" spans="1:2">
      <c r="A17068" s="66">
        <v>46072.6963721875</v>
      </c>
      <c r="B17068" s="49" t="s">
        <v>10603</v>
      </c>
    </row>
    <row r="17069" spans="1:2">
      <c r="A17069" s="66">
        <v>46072.696374560182</v>
      </c>
      <c r="B17069" s="49" t="s">
        <v>10604</v>
      </c>
    </row>
    <row r="17070" spans="1:2">
      <c r="A17070" s="66">
        <v>46072.696380208334</v>
      </c>
      <c r="B17070" s="49" t="s">
        <v>10466</v>
      </c>
    </row>
    <row r="17071" spans="1:2">
      <c r="A17071" s="66">
        <v>46072.696382071765</v>
      </c>
      <c r="B17071" s="49" t="s">
        <v>10605</v>
      </c>
    </row>
    <row r="17072" spans="1:2">
      <c r="A17072" s="66">
        <v>46072.696389722223</v>
      </c>
      <c r="B17072" s="49" t="s">
        <v>10562</v>
      </c>
    </row>
    <row r="17073" spans="1:2">
      <c r="A17073" s="66">
        <v>46072.696391597223</v>
      </c>
      <c r="B17073" s="49" t="s">
        <v>10606</v>
      </c>
    </row>
    <row r="17074" spans="1:2">
      <c r="A17074" s="66">
        <v>46072.697486400459</v>
      </c>
      <c r="B17074" s="49" t="s">
        <v>10556</v>
      </c>
    </row>
    <row r="17075" spans="1:2">
      <c r="A17075" s="66">
        <v>46072.697489305559</v>
      </c>
      <c r="B17075" s="49" t="s">
        <v>10603</v>
      </c>
    </row>
    <row r="17076" spans="1:2">
      <c r="A17076" s="66">
        <v>46072.697491701387</v>
      </c>
      <c r="B17076" s="49" t="s">
        <v>10604</v>
      </c>
    </row>
    <row r="17077" spans="1:2">
      <c r="A17077" s="66">
        <v>46072.697502303243</v>
      </c>
      <c r="B17077" s="49" t="s">
        <v>10466</v>
      </c>
    </row>
    <row r="17078" spans="1:2">
      <c r="A17078" s="66">
        <v>46072.697504733791</v>
      </c>
      <c r="B17078" s="49" t="s">
        <v>10605</v>
      </c>
    </row>
    <row r="17079" spans="1:2">
      <c r="A17079" s="66">
        <v>46072.697511041668</v>
      </c>
      <c r="B17079" s="49" t="s">
        <v>10562</v>
      </c>
    </row>
    <row r="17080" spans="1:2">
      <c r="A17080" s="66">
        <v>46072.69751356481</v>
      </c>
      <c r="B17080" s="49" t="s">
        <v>10606</v>
      </c>
    </row>
    <row r="17081" spans="1:2">
      <c r="A17081" s="66">
        <v>46072.698361180555</v>
      </c>
      <c r="B17081" s="49" t="s">
        <v>10556</v>
      </c>
    </row>
    <row r="17082" spans="1:2">
      <c r="A17082" s="66">
        <v>46072.698364074073</v>
      </c>
      <c r="B17082" s="49" t="s">
        <v>10603</v>
      </c>
    </row>
    <row r="17083" spans="1:2">
      <c r="A17083" s="66">
        <v>46072.698367129633</v>
      </c>
      <c r="B17083" s="49" t="s">
        <v>10604</v>
      </c>
    </row>
    <row r="17084" spans="1:2">
      <c r="A17084" s="66">
        <v>46072.69836978009</v>
      </c>
      <c r="B17084" s="49" t="s">
        <v>10466</v>
      </c>
    </row>
    <row r="17085" spans="1:2">
      <c r="A17085" s="66">
        <v>46072.698372824074</v>
      </c>
      <c r="B17085" s="49" t="s">
        <v>10605</v>
      </c>
    </row>
    <row r="17086" spans="1:2">
      <c r="A17086" s="66">
        <v>46072.698375555556</v>
      </c>
      <c r="B17086" s="49" t="s">
        <v>10562</v>
      </c>
    </row>
    <row r="17087" spans="1:2">
      <c r="A17087" s="66">
        <v>46072.698378148147</v>
      </c>
      <c r="B17087" s="49" t="s">
        <v>10606</v>
      </c>
    </row>
    <row r="17088" spans="1:2">
      <c r="A17088" s="66">
        <v>46072.699735787042</v>
      </c>
      <c r="B17088" s="49" t="s">
        <v>10556</v>
      </c>
    </row>
    <row r="17089" spans="1:2">
      <c r="A17089" s="66">
        <v>46072.699739502314</v>
      </c>
      <c r="B17089" s="49" t="s">
        <v>10603</v>
      </c>
    </row>
    <row r="17090" spans="1:2">
      <c r="A17090" s="66">
        <v>46072.699742974539</v>
      </c>
      <c r="B17090" s="49" t="s">
        <v>10604</v>
      </c>
    </row>
    <row r="17091" spans="1:2">
      <c r="A17091" s="66">
        <v>46072.699746192127</v>
      </c>
      <c r="B17091" s="49" t="s">
        <v>10466</v>
      </c>
    </row>
    <row r="17092" spans="1:2">
      <c r="A17092" s="66">
        <v>46072.699749340274</v>
      </c>
      <c r="B17092" s="49" t="s">
        <v>10605</v>
      </c>
    </row>
    <row r="17093" spans="1:2">
      <c r="A17093" s="66">
        <v>46072.69975255787</v>
      </c>
      <c r="B17093" s="49" t="s">
        <v>10562</v>
      </c>
    </row>
    <row r="17094" spans="1:2">
      <c r="A17094" s="66">
        <v>46072.699755798611</v>
      </c>
      <c r="B17094" s="49" t="s">
        <v>10606</v>
      </c>
    </row>
    <row r="17095" spans="1:2">
      <c r="A17095" s="66">
        <v>46072.70105797454</v>
      </c>
      <c r="B17095" s="49" t="s">
        <v>10556</v>
      </c>
    </row>
    <row r="17096" spans="1:2">
      <c r="A17096" s="66">
        <v>46072.701060196763</v>
      </c>
      <c r="B17096" s="49" t="s">
        <v>10603</v>
      </c>
    </row>
    <row r="17097" spans="1:2">
      <c r="A17097" s="66">
        <v>46072.701062141205</v>
      </c>
      <c r="B17097" s="49" t="s">
        <v>10604</v>
      </c>
    </row>
    <row r="17098" spans="1:2">
      <c r="A17098" s="66">
        <v>46072.701064062501</v>
      </c>
      <c r="B17098" s="49" t="s">
        <v>10466</v>
      </c>
    </row>
    <row r="17099" spans="1:2">
      <c r="A17099" s="66">
        <v>46072.701065914356</v>
      </c>
      <c r="B17099" s="49" t="s">
        <v>10605</v>
      </c>
    </row>
    <row r="17100" spans="1:2">
      <c r="A17100" s="66">
        <v>46072.701067812501</v>
      </c>
      <c r="B17100" s="49" t="s">
        <v>10562</v>
      </c>
    </row>
    <row r="17101" spans="1:2">
      <c r="A17101" s="66">
        <v>46072.701071331016</v>
      </c>
      <c r="B17101" s="49" t="s">
        <v>10606</v>
      </c>
    </row>
    <row r="17102" spans="1:2">
      <c r="A17102" s="66">
        <v>46072.702004965278</v>
      </c>
      <c r="B17102" s="49" t="s">
        <v>10556</v>
      </c>
    </row>
    <row r="17103" spans="1:2">
      <c r="A17103" s="66">
        <v>46072.702007557869</v>
      </c>
      <c r="B17103" s="49" t="s">
        <v>10603</v>
      </c>
    </row>
    <row r="17104" spans="1:2">
      <c r="A17104" s="66">
        <v>46072.702010787034</v>
      </c>
      <c r="B17104" s="49" t="s">
        <v>10604</v>
      </c>
    </row>
    <row r="17105" spans="1:2">
      <c r="A17105" s="66">
        <v>46072.702013391201</v>
      </c>
      <c r="B17105" s="49" t="s">
        <v>10466</v>
      </c>
    </row>
    <row r="17106" spans="1:2">
      <c r="A17106" s="66">
        <v>46072.702016099538</v>
      </c>
      <c r="B17106" s="49" t="s">
        <v>10605</v>
      </c>
    </row>
    <row r="17107" spans="1:2">
      <c r="A17107" s="66">
        <v>46072.702019733799</v>
      </c>
      <c r="B17107" s="49" t="s">
        <v>10562</v>
      </c>
    </row>
    <row r="17108" spans="1:2">
      <c r="A17108" s="66">
        <v>46072.702022777783</v>
      </c>
      <c r="B17108" s="49" t="s">
        <v>10606</v>
      </c>
    </row>
    <row r="17109" spans="1:2">
      <c r="A17109" s="66">
        <v>46072.703304120369</v>
      </c>
      <c r="B17109" s="49" t="s">
        <v>10556</v>
      </c>
    </row>
    <row r="17110" spans="1:2">
      <c r="A17110" s="66">
        <v>46072.703307465279</v>
      </c>
      <c r="B17110" s="49" t="s">
        <v>10603</v>
      </c>
    </row>
    <row r="17111" spans="1:2">
      <c r="A17111" s="66">
        <v>46072.703310868055</v>
      </c>
      <c r="B17111" s="49" t="s">
        <v>10604</v>
      </c>
    </row>
    <row r="17112" spans="1:2">
      <c r="A17112" s="66">
        <v>46072.703322442132</v>
      </c>
      <c r="B17112" s="49" t="s">
        <v>10466</v>
      </c>
    </row>
    <row r="17113" spans="1:2">
      <c r="A17113" s="66">
        <v>46072.703325659721</v>
      </c>
      <c r="B17113" s="49" t="s">
        <v>10605</v>
      </c>
    </row>
    <row r="17114" spans="1:2">
      <c r="A17114" s="66">
        <v>46072.70332886574</v>
      </c>
      <c r="B17114" s="49" t="s">
        <v>10562</v>
      </c>
    </row>
    <row r="17115" spans="1:2">
      <c r="A17115" s="66">
        <v>46072.703332129633</v>
      </c>
      <c r="B17115" s="49" t="s">
        <v>10606</v>
      </c>
    </row>
    <row r="17116" spans="1:2">
      <c r="A17116" s="66">
        <v>46072.704750462959</v>
      </c>
      <c r="B17116" s="49" t="s">
        <v>10556</v>
      </c>
    </row>
    <row r="17117" spans="1:2">
      <c r="A17117" s="66">
        <v>46072.704752743055</v>
      </c>
      <c r="B17117" s="49" t="s">
        <v>10603</v>
      </c>
    </row>
    <row r="17118" spans="1:2">
      <c r="A17118" s="66">
        <v>46072.704755185187</v>
      </c>
      <c r="B17118" s="49" t="s">
        <v>10604</v>
      </c>
    </row>
    <row r="17119" spans="1:2">
      <c r="A17119" s="66">
        <v>46072.704757094907</v>
      </c>
      <c r="B17119" s="49" t="s">
        <v>10466</v>
      </c>
    </row>
    <row r="17120" spans="1:2">
      <c r="A17120" s="66">
        <v>46072.704759409724</v>
      </c>
      <c r="B17120" s="49" t="s">
        <v>10605</v>
      </c>
    </row>
    <row r="17121" spans="1:2">
      <c r="A17121" s="66">
        <v>46072.704761678237</v>
      </c>
      <c r="B17121" s="49" t="s">
        <v>10562</v>
      </c>
    </row>
    <row r="17122" spans="1:2">
      <c r="A17122" s="66">
        <v>46072.704763634261</v>
      </c>
      <c r="B17122" s="49" t="s">
        <v>10606</v>
      </c>
    </row>
    <row r="17123" spans="1:2">
      <c r="A17123" s="66">
        <v>46072.705895300925</v>
      </c>
      <c r="B17123" s="49" t="s">
        <v>10556</v>
      </c>
    </row>
    <row r="17124" spans="1:2">
      <c r="A17124" s="66">
        <v>46072.705898877313</v>
      </c>
      <c r="B17124" s="49" t="s">
        <v>10603</v>
      </c>
    </row>
    <row r="17125" spans="1:2">
      <c r="A17125" s="66">
        <v>46072.705902118054</v>
      </c>
      <c r="B17125" s="49" t="s">
        <v>10604</v>
      </c>
    </row>
    <row r="17126" spans="1:2">
      <c r="A17126" s="66">
        <v>46072.705905300929</v>
      </c>
      <c r="B17126" s="49" t="s">
        <v>10466</v>
      </c>
    </row>
    <row r="17127" spans="1:2">
      <c r="A17127" s="66">
        <v>46072.705908275464</v>
      </c>
      <c r="B17127" s="49" t="s">
        <v>10605</v>
      </c>
    </row>
    <row r="17128" spans="1:2">
      <c r="A17128" s="66">
        <v>46072.705911516205</v>
      </c>
      <c r="B17128" s="49" t="s">
        <v>10562</v>
      </c>
    </row>
    <row r="17129" spans="1:2">
      <c r="A17129" s="66">
        <v>46072.705914594902</v>
      </c>
      <c r="B17129" s="49" t="s">
        <v>10606</v>
      </c>
    </row>
    <row r="17130" spans="1:2">
      <c r="A17130" s="66">
        <v>46072.706753090279</v>
      </c>
      <c r="B17130" s="49" t="s">
        <v>10556</v>
      </c>
    </row>
    <row r="17131" spans="1:2">
      <c r="A17131" s="66">
        <v>46072.706755578707</v>
      </c>
      <c r="B17131" s="49" t="s">
        <v>10603</v>
      </c>
    </row>
    <row r="17132" spans="1:2">
      <c r="A17132" s="66">
        <v>46072.706757777778</v>
      </c>
      <c r="B17132" s="49" t="s">
        <v>10604</v>
      </c>
    </row>
    <row r="17133" spans="1:2">
      <c r="A17133" s="66">
        <v>46072.706768599535</v>
      </c>
      <c r="B17133" s="49" t="s">
        <v>10466</v>
      </c>
    </row>
    <row r="17134" spans="1:2">
      <c r="A17134" s="66">
        <v>46072.706770752317</v>
      </c>
      <c r="B17134" s="49" t="s">
        <v>10605</v>
      </c>
    </row>
    <row r="17135" spans="1:2">
      <c r="A17135" s="66">
        <v>46072.706772835649</v>
      </c>
      <c r="B17135" s="49" t="s">
        <v>10562</v>
      </c>
    </row>
    <row r="17136" spans="1:2">
      <c r="A17136" s="66">
        <v>46072.706775810184</v>
      </c>
      <c r="B17136" s="49" t="s">
        <v>10606</v>
      </c>
    </row>
    <row r="17137" spans="1:2">
      <c r="A17137" s="66">
        <v>46072.707688865739</v>
      </c>
      <c r="B17137" s="49" t="s">
        <v>10556</v>
      </c>
    </row>
    <row r="17138" spans="1:2">
      <c r="A17138" s="66">
        <v>46072.707691250005</v>
      </c>
      <c r="B17138" s="49" t="s">
        <v>10603</v>
      </c>
    </row>
    <row r="17139" spans="1:2">
      <c r="A17139" s="66">
        <v>46072.707693472221</v>
      </c>
      <c r="B17139" s="49" t="s">
        <v>10604</v>
      </c>
    </row>
    <row r="17140" spans="1:2">
      <c r="A17140" s="66">
        <v>46072.707695243051</v>
      </c>
      <c r="B17140" s="49" t="s">
        <v>10466</v>
      </c>
    </row>
    <row r="17141" spans="1:2">
      <c r="A17141" s="66">
        <v>46072.707697395832</v>
      </c>
      <c r="B17141" s="49" t="s">
        <v>10605</v>
      </c>
    </row>
    <row r="17142" spans="1:2">
      <c r="A17142" s="66">
        <v>46072.707699293984</v>
      </c>
      <c r="B17142" s="49" t="s">
        <v>10562</v>
      </c>
    </row>
    <row r="17143" spans="1:2">
      <c r="A17143" s="66">
        <v>46072.707701157407</v>
      </c>
      <c r="B17143" s="49" t="s">
        <v>10606</v>
      </c>
    </row>
    <row r="17144" spans="1:2">
      <c r="A17144" s="66">
        <v>46072.70869590278</v>
      </c>
      <c r="B17144" s="49" t="s">
        <v>10556</v>
      </c>
    </row>
    <row r="17145" spans="1:2">
      <c r="A17145" s="66">
        <v>46072.708698576389</v>
      </c>
      <c r="B17145" s="49" t="s">
        <v>10603</v>
      </c>
    </row>
    <row r="17146" spans="1:2">
      <c r="A17146" s="66">
        <v>46072.708700856485</v>
      </c>
      <c r="B17146" s="49" t="s">
        <v>10604</v>
      </c>
    </row>
    <row r="17147" spans="1:2">
      <c r="A17147" s="66">
        <v>46072.708703240743</v>
      </c>
      <c r="B17147" s="49" t="s">
        <v>10466</v>
      </c>
    </row>
    <row r="17148" spans="1:2">
      <c r="A17148" s="66">
        <v>46072.708705532408</v>
      </c>
      <c r="B17148" s="49" t="s">
        <v>10605</v>
      </c>
    </row>
    <row r="17149" spans="1:2">
      <c r="A17149" s="66">
        <v>46072.708707962964</v>
      </c>
      <c r="B17149" s="49" t="s">
        <v>10562</v>
      </c>
    </row>
    <row r="17150" spans="1:2">
      <c r="A17150" s="66">
        <v>46072.708710358798</v>
      </c>
      <c r="B17150" s="49" t="s">
        <v>10606</v>
      </c>
    </row>
    <row r="17151" spans="1:2">
      <c r="A17151" s="66">
        <v>46072.710020891202</v>
      </c>
      <c r="B17151" s="49" t="s">
        <v>10556</v>
      </c>
    </row>
    <row r="17152" spans="1:2">
      <c r="A17152" s="66">
        <v>46072.710024328699</v>
      </c>
      <c r="B17152" s="49" t="s">
        <v>10603</v>
      </c>
    </row>
    <row r="17153" spans="1:2">
      <c r="A17153" s="66">
        <v>46072.710027766203</v>
      </c>
      <c r="B17153" s="49" t="s">
        <v>10604</v>
      </c>
    </row>
    <row r="17154" spans="1:2">
      <c r="A17154" s="66">
        <v>46072.710040138889</v>
      </c>
      <c r="B17154" s="49" t="s">
        <v>10466</v>
      </c>
    </row>
    <row r="17155" spans="1:2">
      <c r="A17155" s="66">
        <v>46072.710043171297</v>
      </c>
      <c r="B17155" s="49" t="s">
        <v>10605</v>
      </c>
    </row>
    <row r="17156" spans="1:2">
      <c r="A17156" s="66">
        <v>46072.710046284723</v>
      </c>
      <c r="B17156" s="49" t="s">
        <v>10562</v>
      </c>
    </row>
    <row r="17157" spans="1:2">
      <c r="A17157" s="66">
        <v>46072.710049305555</v>
      </c>
      <c r="B17157" s="49" t="s">
        <v>10606</v>
      </c>
    </row>
    <row r="17158" spans="1:2">
      <c r="A17158" s="66">
        <v>46072.71130894676</v>
      </c>
      <c r="B17158" s="49" t="s">
        <v>10556</v>
      </c>
    </row>
    <row r="17159" spans="1:2">
      <c r="A17159" s="66">
        <v>46072.71131150463</v>
      </c>
      <c r="B17159" s="49" t="s">
        <v>10603</v>
      </c>
    </row>
    <row r="17160" spans="1:2">
      <c r="A17160" s="66">
        <v>46072.711313807871</v>
      </c>
      <c r="B17160" s="49" t="s">
        <v>10604</v>
      </c>
    </row>
    <row r="17161" spans="1:2">
      <c r="A17161" s="66">
        <v>46072.711316215282</v>
      </c>
      <c r="B17161" s="49" t="s">
        <v>10466</v>
      </c>
    </row>
    <row r="17162" spans="1:2">
      <c r="A17162" s="66">
        <v>46072.711318368056</v>
      </c>
      <c r="B17162" s="49" t="s">
        <v>10605</v>
      </c>
    </row>
    <row r="17163" spans="1:2">
      <c r="A17163" s="66">
        <v>46072.71132081018</v>
      </c>
      <c r="B17163" s="49" t="s">
        <v>10562</v>
      </c>
    </row>
    <row r="17164" spans="1:2">
      <c r="A17164" s="66">
        <v>46072.711323171301</v>
      </c>
      <c r="B17164" s="49" t="s">
        <v>10606</v>
      </c>
    </row>
    <row r="17165" spans="1:2">
      <c r="A17165" s="66">
        <v>46072.712356851851</v>
      </c>
      <c r="B17165" s="49" t="s">
        <v>10556</v>
      </c>
    </row>
    <row r="17166" spans="1:2">
      <c r="A17166" s="66">
        <v>46072.712359351848</v>
      </c>
      <c r="B17166" s="49" t="s">
        <v>10603</v>
      </c>
    </row>
    <row r="17167" spans="1:2">
      <c r="A17167" s="66">
        <v>46072.712361840277</v>
      </c>
      <c r="B17167" s="49" t="s">
        <v>10604</v>
      </c>
    </row>
    <row r="17168" spans="1:2">
      <c r="A17168" s="66">
        <v>46072.712364166669</v>
      </c>
      <c r="B17168" s="49" t="s">
        <v>10466</v>
      </c>
    </row>
    <row r="17169" spans="1:2">
      <c r="A17169" s="66">
        <v>46072.712366319443</v>
      </c>
      <c r="B17169" s="49" t="s">
        <v>10605</v>
      </c>
    </row>
    <row r="17170" spans="1:2">
      <c r="A17170" s="66">
        <v>46072.712368680557</v>
      </c>
      <c r="B17170" s="49" t="s">
        <v>10562</v>
      </c>
    </row>
    <row r="17171" spans="1:2">
      <c r="A17171" s="66">
        <v>46072.712370925925</v>
      </c>
      <c r="B17171" s="49" t="s">
        <v>10606</v>
      </c>
    </row>
    <row r="17172" spans="1:2">
      <c r="A17172" s="66">
        <v>46072.71364574074</v>
      </c>
      <c r="B17172" s="49" t="s">
        <v>10556</v>
      </c>
    </row>
    <row r="17173" spans="1:2">
      <c r="A17173" s="66">
        <v>46072.713648495366</v>
      </c>
      <c r="B17173" s="49" t="s">
        <v>10603</v>
      </c>
    </row>
    <row r="17174" spans="1:2">
      <c r="A17174" s="66">
        <v>46072.713658402776</v>
      </c>
      <c r="B17174" s="49" t="s">
        <v>10604</v>
      </c>
    </row>
    <row r="17175" spans="1:2">
      <c r="A17175" s="66">
        <v>46072.713660740745</v>
      </c>
      <c r="B17175" s="49" t="s">
        <v>10466</v>
      </c>
    </row>
    <row r="17176" spans="1:2">
      <c r="A17176" s="66">
        <v>46072.713665046293</v>
      </c>
      <c r="B17176" s="49" t="s">
        <v>10605</v>
      </c>
    </row>
    <row r="17177" spans="1:2">
      <c r="A17177" s="66">
        <v>46072.71366793981</v>
      </c>
      <c r="B17177" s="49" t="s">
        <v>10562</v>
      </c>
    </row>
    <row r="17178" spans="1:2">
      <c r="A17178" s="66">
        <v>46072.713670393518</v>
      </c>
      <c r="B17178" s="49" t="s">
        <v>10606</v>
      </c>
    </row>
    <row r="17179" spans="1:2">
      <c r="A17179" s="66">
        <v>46072.715073715277</v>
      </c>
      <c r="B17179" s="49" t="s">
        <v>10556</v>
      </c>
    </row>
    <row r="17180" spans="1:2">
      <c r="A17180" s="66">
        <v>46072.715076388893</v>
      </c>
      <c r="B17180" s="49" t="s">
        <v>10603</v>
      </c>
    </row>
    <row r="17181" spans="1:2">
      <c r="A17181" s="66">
        <v>46072.715079027781</v>
      </c>
      <c r="B17181" s="49" t="s">
        <v>10604</v>
      </c>
    </row>
    <row r="17182" spans="1:2">
      <c r="A17182" s="66">
        <v>46072.715081504633</v>
      </c>
      <c r="B17182" s="49" t="s">
        <v>10466</v>
      </c>
    </row>
    <row r="17183" spans="1:2">
      <c r="A17183" s="66">
        <v>46072.715087824079</v>
      </c>
      <c r="B17183" s="49" t="s">
        <v>10605</v>
      </c>
    </row>
    <row r="17184" spans="1:2">
      <c r="A17184" s="66">
        <v>46072.715092847226</v>
      </c>
      <c r="B17184" s="49" t="s">
        <v>10562</v>
      </c>
    </row>
    <row r="17185" spans="1:2">
      <c r="A17185" s="66">
        <v>46072.715095104169</v>
      </c>
      <c r="B17185" s="49" t="s">
        <v>10606</v>
      </c>
    </row>
    <row r="17186" spans="1:2">
      <c r="A17186" s="66">
        <v>46072.716089629626</v>
      </c>
      <c r="B17186" s="49" t="s">
        <v>10556</v>
      </c>
    </row>
    <row r="17187" spans="1:2">
      <c r="A17187" s="66">
        <v>46072.716092083334</v>
      </c>
      <c r="B17187" s="49" t="s">
        <v>10603</v>
      </c>
    </row>
    <row r="17188" spans="1:2">
      <c r="A17188" s="66">
        <v>46072.716094560186</v>
      </c>
      <c r="B17188" s="49" t="s">
        <v>10604</v>
      </c>
    </row>
    <row r="17189" spans="1:2">
      <c r="A17189" s="66">
        <v>46072.716096666671</v>
      </c>
      <c r="B17189" s="49" t="s">
        <v>10466</v>
      </c>
    </row>
    <row r="17190" spans="1:2">
      <c r="A17190" s="66">
        <v>46072.71609887731</v>
      </c>
      <c r="B17190" s="49" t="s">
        <v>10605</v>
      </c>
    </row>
    <row r="17191" spans="1:2">
      <c r="A17191" s="66">
        <v>46072.716101180558</v>
      </c>
      <c r="B17191" s="49" t="s">
        <v>10562</v>
      </c>
    </row>
    <row r="17192" spans="1:2">
      <c r="A17192" s="66">
        <v>46072.716121909718</v>
      </c>
      <c r="B17192" s="49" t="s">
        <v>10606</v>
      </c>
    </row>
    <row r="17193" spans="1:2">
      <c r="A17193" s="66">
        <v>46072.717127349533</v>
      </c>
      <c r="B17193" s="49" t="s">
        <v>10556</v>
      </c>
    </row>
    <row r="17194" spans="1:2">
      <c r="A17194" s="66">
        <v>46072.717130810182</v>
      </c>
      <c r="B17194" s="49" t="s">
        <v>10603</v>
      </c>
    </row>
    <row r="17195" spans="1:2">
      <c r="A17195" s="66">
        <v>46072.717133993057</v>
      </c>
      <c r="B17195" s="49" t="s">
        <v>10604</v>
      </c>
    </row>
    <row r="17196" spans="1:2">
      <c r="A17196" s="66">
        <v>46072.717137071755</v>
      </c>
      <c r="B17196" s="49" t="s">
        <v>10466</v>
      </c>
    </row>
    <row r="17197" spans="1:2">
      <c r="A17197" s="66">
        <v>46072.71714015046</v>
      </c>
      <c r="B17197" s="49" t="s">
        <v>10605</v>
      </c>
    </row>
    <row r="17198" spans="1:2">
      <c r="A17198" s="66">
        <v>46072.717143171292</v>
      </c>
      <c r="B17198" s="49" t="s">
        <v>10562</v>
      </c>
    </row>
    <row r="17199" spans="1:2">
      <c r="A17199" s="66">
        <v>46072.717146643517</v>
      </c>
      <c r="B17199" s="49" t="s">
        <v>10606</v>
      </c>
    </row>
    <row r="17200" spans="1:2">
      <c r="A17200" s="66">
        <v>46072.718478657407</v>
      </c>
      <c r="B17200" s="49" t="s">
        <v>10556</v>
      </c>
    </row>
    <row r="17201" spans="1:2">
      <c r="A17201" s="66">
        <v>46072.718481226853</v>
      </c>
      <c r="B17201" s="49" t="s">
        <v>10603</v>
      </c>
    </row>
    <row r="17202" spans="1:2">
      <c r="A17202" s="66">
        <v>46072.718483819444</v>
      </c>
      <c r="B17202" s="49" t="s">
        <v>10604</v>
      </c>
    </row>
    <row r="17203" spans="1:2">
      <c r="A17203" s="66">
        <v>46072.718486064812</v>
      </c>
      <c r="B17203" s="49" t="s">
        <v>10466</v>
      </c>
    </row>
    <row r="17204" spans="1:2">
      <c r="A17204" s="66">
        <v>46072.718488506944</v>
      </c>
      <c r="B17204" s="49" t="s">
        <v>10605</v>
      </c>
    </row>
    <row r="17205" spans="1:2">
      <c r="A17205" s="66">
        <v>46072.718491400461</v>
      </c>
      <c r="B17205" s="49" t="s">
        <v>10562</v>
      </c>
    </row>
    <row r="17206" spans="1:2">
      <c r="A17206" s="66">
        <v>46072.718493611115</v>
      </c>
      <c r="B17206" s="49" t="s">
        <v>10606</v>
      </c>
    </row>
    <row r="17207" spans="1:2">
      <c r="A17207" s="66">
        <v>46072.719802175925</v>
      </c>
      <c r="B17207" s="49" t="s">
        <v>10556</v>
      </c>
    </row>
    <row r="17208" spans="1:2">
      <c r="A17208" s="66">
        <v>46072.719805393514</v>
      </c>
      <c r="B17208" s="49" t="s">
        <v>10603</v>
      </c>
    </row>
    <row r="17209" spans="1:2">
      <c r="A17209" s="66">
        <v>46072.719811145835</v>
      </c>
      <c r="B17209" s="49" t="s">
        <v>10604</v>
      </c>
    </row>
    <row r="17210" spans="1:2">
      <c r="A17210" s="66">
        <v>46072.71981440972</v>
      </c>
      <c r="B17210" s="49" t="s">
        <v>10466</v>
      </c>
    </row>
    <row r="17211" spans="1:2">
      <c r="A17211" s="66">
        <v>46072.719817083329</v>
      </c>
      <c r="B17211" s="49" t="s">
        <v>10605</v>
      </c>
    </row>
    <row r="17212" spans="1:2">
      <c r="A17212" s="66">
        <v>46072.719826527777</v>
      </c>
      <c r="B17212" s="49" t="s">
        <v>10562</v>
      </c>
    </row>
    <row r="17213" spans="1:2">
      <c r="A17213" s="66">
        <v>46072.719829166672</v>
      </c>
      <c r="B17213" s="49" t="s">
        <v>10606</v>
      </c>
    </row>
    <row r="17214" spans="1:2">
      <c r="A17214" s="66">
        <v>46072.720867430558</v>
      </c>
      <c r="B17214" s="49" t="s">
        <v>10556</v>
      </c>
    </row>
    <row r="17215" spans="1:2">
      <c r="A17215" s="66">
        <v>46072.720870046294</v>
      </c>
      <c r="B17215" s="49" t="s">
        <v>10603</v>
      </c>
    </row>
    <row r="17216" spans="1:2">
      <c r="A17216" s="66">
        <v>46072.720877627318</v>
      </c>
      <c r="B17216" s="49" t="s">
        <v>10604</v>
      </c>
    </row>
    <row r="17217" spans="1:2">
      <c r="A17217" s="66">
        <v>46072.720881006942</v>
      </c>
      <c r="B17217" s="49" t="s">
        <v>10466</v>
      </c>
    </row>
    <row r="17218" spans="1:2">
      <c r="A17218" s="66">
        <v>46072.72088400463</v>
      </c>
      <c r="B17218" s="49" t="s">
        <v>10605</v>
      </c>
    </row>
    <row r="17219" spans="1:2">
      <c r="A17219" s="66">
        <v>46072.720886712967</v>
      </c>
      <c r="B17219" s="49" t="s">
        <v>10562</v>
      </c>
    </row>
    <row r="17220" spans="1:2">
      <c r="A17220" s="66">
        <v>46072.720894155093</v>
      </c>
      <c r="B17220" s="49" t="s">
        <v>10606</v>
      </c>
    </row>
    <row r="17221" spans="1:2">
      <c r="A17221" s="66">
        <v>46072.722261469906</v>
      </c>
      <c r="B17221" s="49" t="s">
        <v>10556</v>
      </c>
    </row>
    <row r="17222" spans="1:2">
      <c r="A17222" s="66">
        <v>46072.722269421298</v>
      </c>
      <c r="B17222" s="49" t="s">
        <v>10603</v>
      </c>
    </row>
    <row r="17223" spans="1:2">
      <c r="A17223" s="66">
        <v>46072.722272604165</v>
      </c>
      <c r="B17223" s="49" t="s">
        <v>10604</v>
      </c>
    </row>
    <row r="17224" spans="1:2">
      <c r="A17224" s="66">
        <v>46072.722275590277</v>
      </c>
      <c r="B17224" s="49" t="s">
        <v>10466</v>
      </c>
    </row>
    <row r="17225" spans="1:2">
      <c r="A17225" s="66">
        <v>46072.722278541667</v>
      </c>
      <c r="B17225" s="49" t="s">
        <v>10605</v>
      </c>
    </row>
    <row r="17226" spans="1:2">
      <c r="A17226" s="66">
        <v>46072.722281759256</v>
      </c>
      <c r="B17226" s="49" t="s">
        <v>10562</v>
      </c>
    </row>
    <row r="17227" spans="1:2">
      <c r="A17227" s="66">
        <v>46072.722284861113</v>
      </c>
      <c r="B17227" s="49" t="s">
        <v>10606</v>
      </c>
    </row>
    <row r="17228" spans="1:2">
      <c r="A17228" s="66">
        <v>46072.723330381945</v>
      </c>
      <c r="B17228" s="49" t="s">
        <v>10556</v>
      </c>
    </row>
    <row r="17229" spans="1:2">
      <c r="A17229" s="66">
        <v>46072.723334247683</v>
      </c>
      <c r="B17229" s="49" t="s">
        <v>10603</v>
      </c>
    </row>
    <row r="17230" spans="1:2">
      <c r="A17230" s="66">
        <v>46072.72334459491</v>
      </c>
      <c r="B17230" s="49" t="s">
        <v>10604</v>
      </c>
    </row>
    <row r="17231" spans="1:2">
      <c r="A17231" s="66">
        <v>46072.723347314815</v>
      </c>
      <c r="B17231" s="49" t="s">
        <v>10466</v>
      </c>
    </row>
    <row r="17232" spans="1:2">
      <c r="A17232" s="66">
        <v>46072.723350046297</v>
      </c>
      <c r="B17232" s="49" t="s">
        <v>10605</v>
      </c>
    </row>
    <row r="17233" spans="1:2">
      <c r="A17233" s="66">
        <v>46072.723352465277</v>
      </c>
      <c r="B17233" s="49" t="s">
        <v>10562</v>
      </c>
    </row>
    <row r="17234" spans="1:2">
      <c r="A17234" s="66">
        <v>46072.723354965274</v>
      </c>
      <c r="B17234" s="49" t="s">
        <v>10606</v>
      </c>
    </row>
    <row r="17235" spans="1:2">
      <c r="A17235" s="66">
        <v>46072.724734293981</v>
      </c>
      <c r="B17235" s="49" t="s">
        <v>10556</v>
      </c>
    </row>
    <row r="17236" spans="1:2">
      <c r="A17236" s="66">
        <v>46072.72473696759</v>
      </c>
      <c r="B17236" s="49" t="s">
        <v>10603</v>
      </c>
    </row>
    <row r="17237" spans="1:2">
      <c r="A17237" s="66">
        <v>46072.724739664351</v>
      </c>
      <c r="B17237" s="49" t="s">
        <v>10604</v>
      </c>
    </row>
    <row r="17238" spans="1:2">
      <c r="A17238" s="66">
        <v>46072.72474203704</v>
      </c>
      <c r="B17238" s="49" t="s">
        <v>10466</v>
      </c>
    </row>
    <row r="17239" spans="1:2">
      <c r="A17239" s="66">
        <v>46072.724744444444</v>
      </c>
      <c r="B17239" s="49" t="s">
        <v>10605</v>
      </c>
    </row>
    <row r="17240" spans="1:2">
      <c r="A17240" s="66">
        <v>46072.724746817126</v>
      </c>
      <c r="B17240" s="49" t="s">
        <v>10562</v>
      </c>
    </row>
    <row r="17241" spans="1:2">
      <c r="A17241" s="66">
        <v>46072.724749120374</v>
      </c>
      <c r="B17241" s="49" t="s">
        <v>10606</v>
      </c>
    </row>
    <row r="17242" spans="1:2">
      <c r="A17242" s="66">
        <v>46072.726084884256</v>
      </c>
      <c r="B17242" s="49" t="s">
        <v>10556</v>
      </c>
    </row>
    <row r="17243" spans="1:2">
      <c r="A17243" s="66">
        <v>46072.726087106479</v>
      </c>
      <c r="B17243" s="49" t="s">
        <v>10603</v>
      </c>
    </row>
    <row r="17244" spans="1:2">
      <c r="A17244" s="66">
        <v>46072.726089710646</v>
      </c>
      <c r="B17244" s="49" t="s">
        <v>10604</v>
      </c>
    </row>
    <row r="17245" spans="1:2">
      <c r="A17245" s="66">
        <v>46072.726091342593</v>
      </c>
      <c r="B17245" s="49" t="s">
        <v>10466</v>
      </c>
    </row>
    <row r="17246" spans="1:2">
      <c r="A17246" s="66">
        <v>46072.72610255787</v>
      </c>
      <c r="B17246" s="49" t="s">
        <v>10605</v>
      </c>
    </row>
    <row r="17247" spans="1:2">
      <c r="A17247" s="66">
        <v>46072.726112800927</v>
      </c>
      <c r="B17247" s="49" t="s">
        <v>10562</v>
      </c>
    </row>
    <row r="17248" spans="1:2">
      <c r="A17248" s="66">
        <v>46072.72611452546</v>
      </c>
      <c r="B17248" s="49" t="s">
        <v>10606</v>
      </c>
    </row>
    <row r="17249" spans="1:2">
      <c r="A17249" s="66">
        <v>46072.727179548616</v>
      </c>
      <c r="B17249" s="49" t="s">
        <v>10556</v>
      </c>
    </row>
    <row r="17250" spans="1:2">
      <c r="A17250" s="66">
        <v>46072.727181979164</v>
      </c>
      <c r="B17250" s="49" t="s">
        <v>10603</v>
      </c>
    </row>
    <row r="17251" spans="1:2">
      <c r="A17251" s="66">
        <v>46072.727184201387</v>
      </c>
      <c r="B17251" s="49" t="s">
        <v>10604</v>
      </c>
    </row>
    <row r="17252" spans="1:2">
      <c r="A17252" s="66">
        <v>46072.727186365737</v>
      </c>
      <c r="B17252" s="49" t="s">
        <v>10466</v>
      </c>
    </row>
    <row r="17253" spans="1:2">
      <c r="A17253" s="66">
        <v>46072.727193391205</v>
      </c>
      <c r="B17253" s="49" t="s">
        <v>10605</v>
      </c>
    </row>
    <row r="17254" spans="1:2">
      <c r="A17254" s="66">
        <v>46072.727195648149</v>
      </c>
      <c r="B17254" s="49" t="s">
        <v>10562</v>
      </c>
    </row>
    <row r="17255" spans="1:2">
      <c r="A17255" s="66">
        <v>46072.727202870374</v>
      </c>
      <c r="B17255" s="49" t="s">
        <v>10606</v>
      </c>
    </row>
    <row r="17256" spans="1:2">
      <c r="A17256" s="66">
        <v>46072.728537037037</v>
      </c>
      <c r="B17256" s="49" t="s">
        <v>10556</v>
      </c>
    </row>
    <row r="17257" spans="1:2">
      <c r="A17257" s="66">
        <v>46072.728540185184</v>
      </c>
      <c r="B17257" s="49" t="s">
        <v>10603</v>
      </c>
    </row>
    <row r="17258" spans="1:2">
      <c r="A17258" s="66">
        <v>46072.728543368052</v>
      </c>
      <c r="B17258" s="49" t="s">
        <v>10604</v>
      </c>
    </row>
    <row r="17259" spans="1:2">
      <c r="A17259" s="66">
        <v>46072.728545891208</v>
      </c>
      <c r="B17259" s="49" t="s">
        <v>10466</v>
      </c>
    </row>
    <row r="17260" spans="1:2">
      <c r="A17260" s="66">
        <v>46072.728548726853</v>
      </c>
      <c r="B17260" s="49" t="s">
        <v>10605</v>
      </c>
    </row>
    <row r="17261" spans="1:2">
      <c r="A17261" s="66">
        <v>46072.728553298613</v>
      </c>
      <c r="B17261" s="49" t="s">
        <v>10562</v>
      </c>
    </row>
    <row r="17262" spans="1:2">
      <c r="A17262" s="66">
        <v>46072.728558356481</v>
      </c>
      <c r="B17262" s="49" t="s">
        <v>10606</v>
      </c>
    </row>
    <row r="17263" spans="1:2">
      <c r="A17263" s="66">
        <v>46072.72932356481</v>
      </c>
      <c r="B17263" s="49" t="s">
        <v>10556</v>
      </c>
    </row>
    <row r="17264" spans="1:2">
      <c r="A17264" s="66">
        <v>46072.729327094909</v>
      </c>
      <c r="B17264" s="49" t="s">
        <v>10603</v>
      </c>
    </row>
    <row r="17265" spans="1:2">
      <c r="A17265" s="66">
        <v>46072.729330636575</v>
      </c>
      <c r="B17265" s="49" t="s">
        <v>10604</v>
      </c>
    </row>
    <row r="17266" spans="1:2">
      <c r="A17266" s="66">
        <v>46072.729333877316</v>
      </c>
      <c r="B17266" s="49" t="s">
        <v>10466</v>
      </c>
    </row>
    <row r="17267" spans="1:2">
      <c r="A17267" s="66">
        <v>46072.729337280092</v>
      </c>
      <c r="B17267" s="49" t="s">
        <v>10605</v>
      </c>
    </row>
    <row r="17268" spans="1:2">
      <c r="A17268" s="66">
        <v>46072.72934046296</v>
      </c>
      <c r="B17268" s="49" t="s">
        <v>10562</v>
      </c>
    </row>
    <row r="17269" spans="1:2">
      <c r="A17269" s="66">
        <v>46072.729343587962</v>
      </c>
      <c r="B17269" s="49" t="s">
        <v>10606</v>
      </c>
    </row>
    <row r="17270" spans="1:2">
      <c r="A17270" s="66">
        <v>46072.730278113428</v>
      </c>
      <c r="B17270" s="49" t="s">
        <v>10556</v>
      </c>
    </row>
    <row r="17271" spans="1:2">
      <c r="A17271" s="66">
        <v>46072.730280694443</v>
      </c>
      <c r="B17271" s="49" t="s">
        <v>10603</v>
      </c>
    </row>
    <row r="17272" spans="1:2">
      <c r="A17272" s="66">
        <v>46072.730282928242</v>
      </c>
      <c r="B17272" s="49" t="s">
        <v>10604</v>
      </c>
    </row>
    <row r="17273" spans="1:2">
      <c r="A17273" s="66">
        <v>46072.730286412036</v>
      </c>
      <c r="B17273" s="49" t="s">
        <v>10466</v>
      </c>
    </row>
    <row r="17274" spans="1:2">
      <c r="A17274" s="66">
        <v>46072.730288668987</v>
      </c>
      <c r="B17274" s="49" t="s">
        <v>10605</v>
      </c>
    </row>
    <row r="17275" spans="1:2">
      <c r="A17275" s="66">
        <v>46072.730290821761</v>
      </c>
      <c r="B17275" s="49" t="s">
        <v>10562</v>
      </c>
    </row>
    <row r="17276" spans="1:2">
      <c r="A17276" s="66">
        <v>46072.730292962966</v>
      </c>
      <c r="B17276" s="49" t="s">
        <v>10606</v>
      </c>
    </row>
    <row r="17277" spans="1:2">
      <c r="A17277" s="66">
        <v>46072.731508344907</v>
      </c>
      <c r="B17277" s="49" t="s">
        <v>10556</v>
      </c>
    </row>
    <row r="17278" spans="1:2">
      <c r="A17278" s="66">
        <v>46072.731510914353</v>
      </c>
      <c r="B17278" s="49" t="s">
        <v>10603</v>
      </c>
    </row>
    <row r="17279" spans="1:2">
      <c r="A17279" s="66">
        <v>46072.731513460647</v>
      </c>
      <c r="B17279" s="49" t="s">
        <v>10604</v>
      </c>
    </row>
    <row r="17280" spans="1:2">
      <c r="A17280" s="66">
        <v>46072.731515671301</v>
      </c>
      <c r="B17280" s="49" t="s">
        <v>10466</v>
      </c>
    </row>
    <row r="17281" spans="1:2">
      <c r="A17281" s="66">
        <v>46072.731517939814</v>
      </c>
      <c r="B17281" s="49" t="s">
        <v>10605</v>
      </c>
    </row>
    <row r="17282" spans="1:2">
      <c r="A17282" s="66">
        <v>46072.731520150468</v>
      </c>
      <c r="B17282" s="49" t="s">
        <v>10562</v>
      </c>
    </row>
    <row r="17283" spans="1:2">
      <c r="A17283" s="66">
        <v>46072.731522175927</v>
      </c>
      <c r="B17283" s="49" t="s">
        <v>10606</v>
      </c>
    </row>
    <row r="17284" spans="1:2">
      <c r="A17284" s="66">
        <v>46072.732335370369</v>
      </c>
      <c r="B17284" s="49" t="s">
        <v>10556</v>
      </c>
    </row>
    <row r="17285" spans="1:2">
      <c r="A17285" s="66">
        <v>46072.7323378125</v>
      </c>
      <c r="B17285" s="49" t="s">
        <v>10603</v>
      </c>
    </row>
    <row r="17286" spans="1:2">
      <c r="A17286" s="66">
        <v>46072.732339942129</v>
      </c>
      <c r="B17286" s="49" t="s">
        <v>10604</v>
      </c>
    </row>
    <row r="17287" spans="1:2">
      <c r="A17287" s="66">
        <v>46072.732342037038</v>
      </c>
      <c r="B17287" s="49" t="s">
        <v>10466</v>
      </c>
    </row>
    <row r="17288" spans="1:2">
      <c r="A17288" s="66">
        <v>46072.732344085649</v>
      </c>
      <c r="B17288" s="49" t="s">
        <v>10605</v>
      </c>
    </row>
    <row r="17289" spans="1:2">
      <c r="A17289" s="66">
        <v>46072.732346724537</v>
      </c>
      <c r="B17289" s="49" t="s">
        <v>10562</v>
      </c>
    </row>
    <row r="17290" spans="1:2">
      <c r="A17290" s="66">
        <v>46072.7323487963</v>
      </c>
      <c r="B17290" s="49" t="s">
        <v>10606</v>
      </c>
    </row>
    <row r="17291" spans="1:2">
      <c r="A17291" s="66">
        <v>46072.73349431713</v>
      </c>
      <c r="B17291" s="49" t="s">
        <v>10556</v>
      </c>
    </row>
    <row r="17292" spans="1:2">
      <c r="A17292" s="66">
        <v>46072.733497303241</v>
      </c>
      <c r="B17292" s="49" t="s">
        <v>10603</v>
      </c>
    </row>
    <row r="17293" spans="1:2">
      <c r="A17293" s="66">
        <v>46072.733499965281</v>
      </c>
      <c r="B17293" s="49" t="s">
        <v>10604</v>
      </c>
    </row>
    <row r="17294" spans="1:2">
      <c r="A17294" s="66">
        <v>46072.733502708332</v>
      </c>
      <c r="B17294" s="49" t="s">
        <v>10466</v>
      </c>
    </row>
    <row r="17295" spans="1:2">
      <c r="A17295" s="66">
        <v>46072.733505081022</v>
      </c>
      <c r="B17295" s="49" t="s">
        <v>10605</v>
      </c>
    </row>
    <row r="17296" spans="1:2">
      <c r="A17296" s="66">
        <v>46072.733508055557</v>
      </c>
      <c r="B17296" s="49" t="s">
        <v>10562</v>
      </c>
    </row>
    <row r="17297" spans="1:2">
      <c r="A17297" s="66">
        <v>46072.733510914353</v>
      </c>
      <c r="B17297" s="49" t="s">
        <v>10606</v>
      </c>
    </row>
    <row r="17298" spans="1:2">
      <c r="A17298" s="66">
        <v>46072.734954050931</v>
      </c>
      <c r="B17298" s="49" t="s">
        <v>10556</v>
      </c>
    </row>
    <row r="17299" spans="1:2">
      <c r="A17299" s="66">
        <v>46072.734956932865</v>
      </c>
      <c r="B17299" s="49" t="s">
        <v>10603</v>
      </c>
    </row>
    <row r="17300" spans="1:2">
      <c r="A17300" s="66">
        <v>46072.734959942129</v>
      </c>
      <c r="B17300" s="49" t="s">
        <v>10604</v>
      </c>
    </row>
    <row r="17301" spans="1:2">
      <c r="A17301" s="66">
        <v>46072.734962858798</v>
      </c>
      <c r="B17301" s="49" t="s">
        <v>10466</v>
      </c>
    </row>
    <row r="17302" spans="1:2">
      <c r="A17302" s="66">
        <v>46072.734965798612</v>
      </c>
      <c r="B17302" s="49" t="s">
        <v>10605</v>
      </c>
    </row>
    <row r="17303" spans="1:2">
      <c r="A17303" s="66">
        <v>46072.734968449076</v>
      </c>
      <c r="B17303" s="49" t="s">
        <v>10562</v>
      </c>
    </row>
    <row r="17304" spans="1:2">
      <c r="A17304" s="66">
        <v>46072.734971319442</v>
      </c>
      <c r="B17304" s="49" t="s">
        <v>10606</v>
      </c>
    </row>
    <row r="17305" spans="1:2">
      <c r="A17305" s="66">
        <v>46072.735877870371</v>
      </c>
      <c r="B17305" s="49" t="s">
        <v>10556</v>
      </c>
    </row>
    <row r="17306" spans="1:2">
      <c r="A17306" s="66">
        <v>46072.735879884262</v>
      </c>
      <c r="B17306" s="49" t="s">
        <v>10603</v>
      </c>
    </row>
    <row r="17307" spans="1:2">
      <c r="A17307" s="66">
        <v>46072.735881712964</v>
      </c>
      <c r="B17307" s="49" t="s">
        <v>10604</v>
      </c>
    </row>
    <row r="17308" spans="1:2">
      <c r="A17308" s="66">
        <v>46072.735883796297</v>
      </c>
      <c r="B17308" s="49" t="s">
        <v>10466</v>
      </c>
    </row>
    <row r="17309" spans="1:2">
      <c r="A17309" s="66">
        <v>46072.73588576389</v>
      </c>
      <c r="B17309" s="49" t="s">
        <v>10605</v>
      </c>
    </row>
    <row r="17310" spans="1:2">
      <c r="A17310" s="66">
        <v>46072.735887442133</v>
      </c>
      <c r="B17310" s="49" t="s">
        <v>10562</v>
      </c>
    </row>
    <row r="17311" spans="1:2">
      <c r="A17311" s="66">
        <v>46072.735893715275</v>
      </c>
      <c r="B17311" s="49" t="s">
        <v>10606</v>
      </c>
    </row>
    <row r="17312" spans="1:2">
      <c r="A17312" s="66">
        <v>46072.736862071761</v>
      </c>
      <c r="B17312" s="49" t="s">
        <v>10556</v>
      </c>
    </row>
    <row r="17313" spans="1:2">
      <c r="A17313" s="66">
        <v>46072.736864537037</v>
      </c>
      <c r="B17313" s="49" t="s">
        <v>10603</v>
      </c>
    </row>
    <row r="17314" spans="1:2">
      <c r="A17314" s="66">
        <v>46072.736867928237</v>
      </c>
      <c r="B17314" s="49" t="s">
        <v>10604</v>
      </c>
    </row>
    <row r="17315" spans="1:2">
      <c r="A17315" s="66">
        <v>46072.736870462963</v>
      </c>
      <c r="B17315" s="49" t="s">
        <v>10466</v>
      </c>
    </row>
    <row r="17316" spans="1:2">
      <c r="A17316" s="66">
        <v>46072.736872754627</v>
      </c>
      <c r="B17316" s="49" t="s">
        <v>10605</v>
      </c>
    </row>
    <row r="17317" spans="1:2">
      <c r="A17317" s="66">
        <v>46072.73687572917</v>
      </c>
      <c r="B17317" s="49" t="s">
        <v>10562</v>
      </c>
    </row>
    <row r="17318" spans="1:2">
      <c r="A17318" s="66">
        <v>46072.736882534722</v>
      </c>
      <c r="B17318" s="49" t="s">
        <v>10606</v>
      </c>
    </row>
    <row r="17319" spans="1:2">
      <c r="A17319" s="66">
        <v>46072.738125914351</v>
      </c>
      <c r="B17319" s="49" t="s">
        <v>10556</v>
      </c>
    </row>
    <row r="17320" spans="1:2">
      <c r="A17320" s="66">
        <v>46072.738128935191</v>
      </c>
      <c r="B17320" s="49" t="s">
        <v>10603</v>
      </c>
    </row>
    <row r="17321" spans="1:2">
      <c r="A17321" s="66">
        <v>46072.738132094906</v>
      </c>
      <c r="B17321" s="49" t="s">
        <v>10604</v>
      </c>
    </row>
    <row r="17322" spans="1:2">
      <c r="A17322" s="66">
        <v>46072.738134293977</v>
      </c>
      <c r="B17322" s="49" t="s">
        <v>10466</v>
      </c>
    </row>
    <row r="17323" spans="1:2">
      <c r="A17323" s="66">
        <v>46072.738137627312</v>
      </c>
      <c r="B17323" s="49" t="s">
        <v>10605</v>
      </c>
    </row>
    <row r="17324" spans="1:2">
      <c r="A17324" s="66">
        <v>46072.738140081019</v>
      </c>
      <c r="B17324" s="49" t="s">
        <v>10562</v>
      </c>
    </row>
    <row r="17325" spans="1:2">
      <c r="A17325" s="66">
        <v>46072.738142442133</v>
      </c>
      <c r="B17325" s="49" t="s">
        <v>10606</v>
      </c>
    </row>
    <row r="17326" spans="1:2">
      <c r="A17326" s="66">
        <v>46072.739138680554</v>
      </c>
      <c r="B17326" s="49" t="s">
        <v>10556</v>
      </c>
    </row>
    <row r="17327" spans="1:2">
      <c r="A17327" s="66">
        <v>46072.739146990745</v>
      </c>
      <c r="B17327" s="49" t="s">
        <v>10603</v>
      </c>
    </row>
    <row r="17328" spans="1:2">
      <c r="A17328" s="66">
        <v>46072.739149212968</v>
      </c>
      <c r="B17328" s="49" t="s">
        <v>10604</v>
      </c>
    </row>
    <row r="17329" spans="1:2">
      <c r="A17329" s="66">
        <v>46072.739151030095</v>
      </c>
      <c r="B17329" s="49" t="s">
        <v>10466</v>
      </c>
    </row>
    <row r="17330" spans="1:2">
      <c r="A17330" s="66">
        <v>46072.739153125003</v>
      </c>
      <c r="B17330" s="49" t="s">
        <v>10605</v>
      </c>
    </row>
    <row r="17331" spans="1:2">
      <c r="A17331" s="66">
        <v>46072.739155104166</v>
      </c>
      <c r="B17331" s="49" t="s">
        <v>10562</v>
      </c>
    </row>
    <row r="17332" spans="1:2">
      <c r="A17332" s="66">
        <v>46072.739157129632</v>
      </c>
      <c r="B17332" s="49" t="s">
        <v>10606</v>
      </c>
    </row>
    <row r="17333" spans="1:2">
      <c r="A17333" s="66">
        <v>46072.740478715277</v>
      </c>
      <c r="B17333" s="49" t="s">
        <v>10556</v>
      </c>
    </row>
    <row r="17334" spans="1:2">
      <c r="A17334" s="66">
        <v>46072.740484131944</v>
      </c>
      <c r="B17334" s="49" t="s">
        <v>10603</v>
      </c>
    </row>
    <row r="17335" spans="1:2">
      <c r="A17335" s="66">
        <v>46072.740487083334</v>
      </c>
      <c r="B17335" s="49" t="s">
        <v>10604</v>
      </c>
    </row>
    <row r="17336" spans="1:2">
      <c r="A17336" s="66">
        <v>46072.740489444448</v>
      </c>
      <c r="B17336" s="49" t="s">
        <v>10466</v>
      </c>
    </row>
    <row r="17337" spans="1:2">
      <c r="A17337" s="66">
        <v>46072.740491655088</v>
      </c>
      <c r="B17337" s="49" t="s">
        <v>10605</v>
      </c>
    </row>
    <row r="17338" spans="1:2">
      <c r="A17338" s="66">
        <v>46072.740493969904</v>
      </c>
      <c r="B17338" s="49" t="s">
        <v>10562</v>
      </c>
    </row>
    <row r="17339" spans="1:2">
      <c r="A17339" s="66">
        <v>46072.740496516199</v>
      </c>
      <c r="B17339" s="49" t="s">
        <v>10606</v>
      </c>
    </row>
    <row r="17340" spans="1:2">
      <c r="A17340" s="66">
        <v>46072.741401712963</v>
      </c>
      <c r="B17340" s="49" t="s">
        <v>10556</v>
      </c>
    </row>
    <row r="17341" spans="1:2">
      <c r="A17341" s="66">
        <v>46072.741404733795</v>
      </c>
      <c r="B17341" s="49" t="s">
        <v>10603</v>
      </c>
    </row>
    <row r="17342" spans="1:2">
      <c r="A17342" s="66">
        <v>46072.741407141206</v>
      </c>
      <c r="B17342" s="49" t="s">
        <v>10604</v>
      </c>
    </row>
    <row r="17343" spans="1:2">
      <c r="A17343" s="66">
        <v>46072.741409270835</v>
      </c>
      <c r="B17343" s="49" t="s">
        <v>10466</v>
      </c>
    </row>
    <row r="17344" spans="1:2">
      <c r="A17344" s="66">
        <v>46072.741411643517</v>
      </c>
      <c r="B17344" s="49" t="s">
        <v>10605</v>
      </c>
    </row>
    <row r="17345" spans="1:2">
      <c r="A17345" s="66">
        <v>46072.741414432865</v>
      </c>
      <c r="B17345" s="49" t="s">
        <v>10562</v>
      </c>
    </row>
    <row r="17346" spans="1:2">
      <c r="A17346" s="66">
        <v>46072.741416423611</v>
      </c>
      <c r="B17346" s="49" t="s">
        <v>10606</v>
      </c>
    </row>
    <row r="17347" spans="1:2">
      <c r="A17347" s="66">
        <v>46072.742145879631</v>
      </c>
      <c r="B17347" s="49" t="s">
        <v>10556</v>
      </c>
    </row>
    <row r="17348" spans="1:2">
      <c r="A17348" s="66">
        <v>46072.742148113422</v>
      </c>
      <c r="B17348" s="49" t="s">
        <v>10603</v>
      </c>
    </row>
    <row r="17349" spans="1:2">
      <c r="A17349" s="66">
        <v>46072.742150057871</v>
      </c>
      <c r="B17349" s="49" t="s">
        <v>10604</v>
      </c>
    </row>
    <row r="17350" spans="1:2">
      <c r="A17350" s="66">
        <v>46072.742152245366</v>
      </c>
      <c r="B17350" s="49" t="s">
        <v>10466</v>
      </c>
    </row>
    <row r="17351" spans="1:2">
      <c r="A17351" s="66">
        <v>46072.742154282409</v>
      </c>
      <c r="B17351" s="49" t="s">
        <v>10605</v>
      </c>
    </row>
    <row r="17352" spans="1:2">
      <c r="A17352" s="66">
        <v>46072.742156099535</v>
      </c>
      <c r="B17352" s="49" t="s">
        <v>10562</v>
      </c>
    </row>
    <row r="17353" spans="1:2">
      <c r="A17353" s="66">
        <v>46072.742158321758</v>
      </c>
      <c r="B17353" s="49" t="s">
        <v>10606</v>
      </c>
    </row>
    <row r="17354" spans="1:2">
      <c r="A17354" s="66">
        <v>46072.743062685186</v>
      </c>
      <c r="B17354" s="49" t="s">
        <v>10556</v>
      </c>
    </row>
    <row r="17355" spans="1:2">
      <c r="A17355" s="66">
        <v>46072.743065104165</v>
      </c>
      <c r="B17355" s="49" t="s">
        <v>10603</v>
      </c>
    </row>
    <row r="17356" spans="1:2">
      <c r="A17356" s="66">
        <v>46072.743067812495</v>
      </c>
      <c r="B17356" s="49" t="s">
        <v>10604</v>
      </c>
    </row>
    <row r="17357" spans="1:2">
      <c r="A17357" s="66">
        <v>46072.743071782403</v>
      </c>
      <c r="B17357" s="49" t="s">
        <v>10466</v>
      </c>
    </row>
    <row r="17358" spans="1:2">
      <c r="A17358" s="66">
        <v>46072.743074421298</v>
      </c>
      <c r="B17358" s="49" t="s">
        <v>10605</v>
      </c>
    </row>
    <row r="17359" spans="1:2">
      <c r="A17359" s="66">
        <v>46072.743076979168</v>
      </c>
      <c r="B17359" s="49" t="s">
        <v>10562</v>
      </c>
    </row>
    <row r="17360" spans="1:2">
      <c r="A17360" s="66">
        <v>46072.743080057873</v>
      </c>
      <c r="B17360" s="49" t="s">
        <v>10606</v>
      </c>
    </row>
    <row r="17361" spans="1:2">
      <c r="A17361" s="66">
        <v>46072.744287199079</v>
      </c>
      <c r="B17361" s="49" t="s">
        <v>10556</v>
      </c>
    </row>
    <row r="17362" spans="1:2">
      <c r="A17362" s="66">
        <v>46072.744289444439</v>
      </c>
      <c r="B17362" s="49" t="s">
        <v>10603</v>
      </c>
    </row>
    <row r="17363" spans="1:2">
      <c r="A17363" s="66">
        <v>46072.744292476855</v>
      </c>
      <c r="B17363" s="49" t="s">
        <v>10604</v>
      </c>
    </row>
    <row r="17364" spans="1:2">
      <c r="A17364" s="66">
        <v>46072.744294872682</v>
      </c>
      <c r="B17364" s="49" t="s">
        <v>10466</v>
      </c>
    </row>
    <row r="17365" spans="1:2">
      <c r="A17365" s="66">
        <v>46072.744297164347</v>
      </c>
      <c r="B17365" s="49" t="s">
        <v>10605</v>
      </c>
    </row>
    <row r="17366" spans="1:2">
      <c r="A17366" s="66">
        <v>46072.744299097219</v>
      </c>
      <c r="B17366" s="49" t="s">
        <v>10562</v>
      </c>
    </row>
    <row r="17367" spans="1:2">
      <c r="A17367" s="66">
        <v>46072.744301076389</v>
      </c>
      <c r="B17367" s="49" t="s">
        <v>10606</v>
      </c>
    </row>
    <row r="17368" spans="1:2">
      <c r="A17368" s="66">
        <v>46072.745381504632</v>
      </c>
      <c r="B17368" s="49" t="s">
        <v>10604</v>
      </c>
    </row>
    <row r="17369" spans="1:2">
      <c r="A17369" s="66">
        <v>46072.74538508102</v>
      </c>
      <c r="B17369" s="49" t="s">
        <v>10466</v>
      </c>
    </row>
    <row r="17370" spans="1:2">
      <c r="A17370" s="66">
        <v>46072.745409583338</v>
      </c>
      <c r="B17370" s="49" t="s">
        <v>10604</v>
      </c>
    </row>
    <row r="17371" spans="1:2">
      <c r="A17371" s="66">
        <v>46072.745411793978</v>
      </c>
      <c r="B17371" s="49" t="s">
        <v>10466</v>
      </c>
    </row>
    <row r="17372" spans="1:2">
      <c r="A17372" s="66">
        <v>46072.745459062498</v>
      </c>
      <c r="B17372" s="49" t="s">
        <v>10604</v>
      </c>
    </row>
    <row r="17373" spans="1:2">
      <c r="A17373" s="66">
        <v>46072.745461331018</v>
      </c>
      <c r="B17373" s="49" t="s">
        <v>10466</v>
      </c>
    </row>
    <row r="17374" spans="1:2">
      <c r="A17374" s="66">
        <v>46072.745528240739</v>
      </c>
      <c r="B17374" s="49" t="s">
        <v>10604</v>
      </c>
    </row>
    <row r="17375" spans="1:2">
      <c r="A17375" s="66">
        <v>46072.74553</v>
      </c>
      <c r="B17375" s="49" t="s">
        <v>10466</v>
      </c>
    </row>
    <row r="17376" spans="1:2">
      <c r="A17376" s="66">
        <v>46072.745645555551</v>
      </c>
      <c r="B17376" s="49" t="s">
        <v>10604</v>
      </c>
    </row>
    <row r="17377" spans="1:2">
      <c r="A17377" s="66">
        <v>46072.745649143515</v>
      </c>
      <c r="B17377" s="49" t="s">
        <v>10466</v>
      </c>
    </row>
    <row r="17378" spans="1:2">
      <c r="A17378" s="66">
        <v>46072.745861574076</v>
      </c>
      <c r="B17378" s="49" t="s">
        <v>10604</v>
      </c>
    </row>
    <row r="17379" spans="1:2">
      <c r="A17379" s="66">
        <v>46072.745864421297</v>
      </c>
      <c r="B17379" s="49" t="s">
        <v>10466</v>
      </c>
    </row>
    <row r="17380" spans="1:2">
      <c r="A17380" s="66">
        <v>46072.746258761574</v>
      </c>
      <c r="B17380" s="49" t="s">
        <v>10604</v>
      </c>
    </row>
    <row r="17381" spans="1:2">
      <c r="A17381" s="66">
        <v>46072.746261724533</v>
      </c>
      <c r="B17381" s="49" t="s">
        <v>10466</v>
      </c>
    </row>
    <row r="17382" spans="1:2">
      <c r="A17382" s="66">
        <v>46072.747029826394</v>
      </c>
      <c r="B17382" s="49" t="s">
        <v>10604</v>
      </c>
    </row>
    <row r="17383" spans="1:2">
      <c r="A17383" s="66">
        <v>46072.747031979168</v>
      </c>
      <c r="B17383" s="49" t="s">
        <v>10466</v>
      </c>
    </row>
    <row r="17384" spans="1:2">
      <c r="A17384" s="66">
        <v>46072.747901782408</v>
      </c>
      <c r="B17384" s="49" t="s">
        <v>10604</v>
      </c>
    </row>
    <row r="17385" spans="1:2">
      <c r="A17385" s="66">
        <v>46072.747907731478</v>
      </c>
      <c r="B17385" s="49" t="s">
        <v>10466</v>
      </c>
    </row>
    <row r="17386" spans="1:2">
      <c r="A17386" s="66">
        <v>46072.748684375001</v>
      </c>
      <c r="B17386" s="49" t="s">
        <v>10604</v>
      </c>
    </row>
    <row r="17387" spans="1:2">
      <c r="A17387" s="66">
        <v>46072.748686840278</v>
      </c>
      <c r="B17387" s="49" t="s">
        <v>10466</v>
      </c>
    </row>
    <row r="17388" spans="1:2">
      <c r="A17388" s="66">
        <v>46072.749500254635</v>
      </c>
      <c r="B17388" s="49" t="s">
        <v>10604</v>
      </c>
    </row>
    <row r="17389" spans="1:2">
      <c r="A17389" s="66">
        <v>46072.749513402778</v>
      </c>
      <c r="B17389" s="49" t="s">
        <v>10466</v>
      </c>
    </row>
    <row r="17390" spans="1:2">
      <c r="A17390" s="66">
        <v>46072.750877164348</v>
      </c>
      <c r="B17390" s="49" t="s">
        <v>10604</v>
      </c>
    </row>
    <row r="17391" spans="1:2">
      <c r="A17391" s="66">
        <v>46072.750880648149</v>
      </c>
      <c r="B17391" s="49" t="s">
        <v>10466</v>
      </c>
    </row>
    <row r="17392" spans="1:2">
      <c r="A17392" s="66">
        <v>46072.898098101854</v>
      </c>
      <c r="B17392" s="49" t="s">
        <v>10588</v>
      </c>
    </row>
    <row r="17393" spans="1:2">
      <c r="A17393" s="66">
        <v>46072.898101365739</v>
      </c>
      <c r="B17393" s="49" t="s">
        <v>10466</v>
      </c>
    </row>
    <row r="17394" spans="1:2">
      <c r="A17394" s="66">
        <v>46072.898115289354</v>
      </c>
      <c r="B17394" s="49" t="s">
        <v>10592</v>
      </c>
    </row>
    <row r="17395" spans="1:2">
      <c r="A17395" s="66">
        <v>46072.89815148148</v>
      </c>
      <c r="B17395" s="49" t="s">
        <v>10608</v>
      </c>
    </row>
    <row r="17396" spans="1:2">
      <c r="A17396" s="66">
        <v>46072.898195601854</v>
      </c>
      <c r="B17396" s="49" t="s">
        <v>10608</v>
      </c>
    </row>
    <row r="17397" spans="1:2">
      <c r="A17397" s="66">
        <v>46072.898263310184</v>
      </c>
      <c r="B17397" s="49" t="s">
        <v>10608</v>
      </c>
    </row>
    <row r="17398" spans="1:2">
      <c r="A17398" s="66">
        <v>46072.898374837961</v>
      </c>
      <c r="B17398" s="49" t="s">
        <v>10608</v>
      </c>
    </row>
    <row r="17399" spans="1:2">
      <c r="A17399" s="66">
        <v>46072.898585648145</v>
      </c>
      <c r="B17399" s="49" t="s">
        <v>10608</v>
      </c>
    </row>
    <row r="17400" spans="1:2">
      <c r="A17400" s="66">
        <v>46072.899007071755</v>
      </c>
      <c r="B17400" s="49" t="s">
        <v>10608</v>
      </c>
    </row>
    <row r="17401" spans="1:2">
      <c r="A17401" s="66">
        <v>46072.899796701386</v>
      </c>
      <c r="B17401" s="49" t="s">
        <v>10608</v>
      </c>
    </row>
    <row r="17402" spans="1:2">
      <c r="A17402" s="66">
        <v>46072.900758958334</v>
      </c>
      <c r="B17402" s="49" t="s">
        <v>10608</v>
      </c>
    </row>
    <row r="17403" spans="1:2">
      <c r="A17403" s="66">
        <v>46072.901995069449</v>
      </c>
      <c r="B17403" s="49" t="s">
        <v>10608</v>
      </c>
    </row>
    <row r="17404" spans="1:2">
      <c r="A17404" s="66">
        <v>46072.903070486107</v>
      </c>
      <c r="B17404" s="49" t="s">
        <v>10608</v>
      </c>
    </row>
    <row r="17405" spans="1:2">
      <c r="A17405" s="66">
        <v>46072.904201655096</v>
      </c>
      <c r="B17405" s="49" t="s">
        <v>10608</v>
      </c>
    </row>
    <row r="17406" spans="1:2">
      <c r="A17406" s="66">
        <v>46072.905234016202</v>
      </c>
      <c r="B17406" s="49" t="s">
        <v>10588</v>
      </c>
    </row>
    <row r="17407" spans="1:2">
      <c r="A17407" s="66">
        <v>46072.905236539351</v>
      </c>
      <c r="B17407" s="49" t="s">
        <v>10466</v>
      </c>
    </row>
    <row r="17408" spans="1:2">
      <c r="A17408" s="66">
        <v>46072.905252511569</v>
      </c>
      <c r="B17408" s="49" t="s">
        <v>10592</v>
      </c>
    </row>
    <row r="17409" spans="1:2">
      <c r="A17409" s="66">
        <v>46072.906268622683</v>
      </c>
      <c r="B17409" s="49" t="s">
        <v>10608</v>
      </c>
    </row>
    <row r="17410" spans="1:2">
      <c r="A17410" s="66">
        <v>46072.907334837961</v>
      </c>
      <c r="B17410" s="49" t="s">
        <v>10608</v>
      </c>
    </row>
    <row r="17411" spans="1:2">
      <c r="A17411" s="66">
        <v>46072.90817638889</v>
      </c>
      <c r="B17411" s="49" t="s">
        <v>10608</v>
      </c>
    </row>
    <row r="17412" spans="1:2">
      <c r="A17412" s="66">
        <v>46072.909485208336</v>
      </c>
      <c r="B17412" s="49" t="s">
        <v>10608</v>
      </c>
    </row>
    <row r="17413" spans="1:2">
      <c r="A17413" s="66">
        <v>46072.910247685184</v>
      </c>
      <c r="B17413" s="49" t="s">
        <v>10608</v>
      </c>
    </row>
    <row r="17414" spans="1:2">
      <c r="A17414" s="66">
        <v>46072.911579120366</v>
      </c>
      <c r="B17414" s="49" t="s">
        <v>10608</v>
      </c>
    </row>
    <row r="17415" spans="1:2">
      <c r="A17415" s="66">
        <v>46072.912854606482</v>
      </c>
      <c r="B17415" s="49" t="s">
        <v>10588</v>
      </c>
    </row>
    <row r="17416" spans="1:2">
      <c r="A17416" s="66">
        <v>46072.912857268515</v>
      </c>
      <c r="B17416" s="49" t="s">
        <v>10466</v>
      </c>
    </row>
    <row r="17417" spans="1:2">
      <c r="A17417" s="66">
        <v>46072.912887233797</v>
      </c>
      <c r="B17417" s="49" t="s">
        <v>10592</v>
      </c>
    </row>
    <row r="17418" spans="1:2">
      <c r="A17418" s="66">
        <v>46072.913860509259</v>
      </c>
      <c r="B17418" s="49" t="s">
        <v>10608</v>
      </c>
    </row>
    <row r="17419" spans="1:2">
      <c r="A17419" s="66">
        <v>46072.914950335646</v>
      </c>
      <c r="B17419" s="49" t="s">
        <v>10608</v>
      </c>
    </row>
    <row r="17420" spans="1:2">
      <c r="A17420" s="66">
        <v>46072.915875034727</v>
      </c>
      <c r="B17420" s="49" t="s">
        <v>10608</v>
      </c>
    </row>
    <row r="17421" spans="1:2">
      <c r="A17421" s="66">
        <v>46072.916858229168</v>
      </c>
      <c r="B17421" s="49" t="s">
        <v>10608</v>
      </c>
    </row>
    <row r="17422" spans="1:2">
      <c r="A17422" s="66">
        <v>46072.917705150467</v>
      </c>
      <c r="B17422" s="49" t="s">
        <v>10608</v>
      </c>
    </row>
    <row r="17423" spans="1:2">
      <c r="A17423" s="66">
        <v>46072.918817569443</v>
      </c>
      <c r="B17423" s="49" t="s">
        <v>10608</v>
      </c>
    </row>
    <row r="17424" spans="1:2">
      <c r="A17424" s="66">
        <v>46072.919583541661</v>
      </c>
      <c r="B17424" s="49" t="s">
        <v>10608</v>
      </c>
    </row>
    <row r="17425" spans="1:2">
      <c r="A17425" s="66">
        <v>46072.920459965273</v>
      </c>
      <c r="B17425" s="49" t="s">
        <v>10588</v>
      </c>
    </row>
    <row r="17426" spans="1:2">
      <c r="A17426" s="66">
        <v>46072.92046444444</v>
      </c>
      <c r="B17426" s="49" t="s">
        <v>10466</v>
      </c>
    </row>
    <row r="17427" spans="1:2">
      <c r="A17427" s="66">
        <v>46072.920536574078</v>
      </c>
      <c r="B17427" s="49" t="s">
        <v>10592</v>
      </c>
    </row>
    <row r="17428" spans="1:2">
      <c r="A17428" s="66">
        <v>46072.921631493053</v>
      </c>
      <c r="B17428" s="49" t="s">
        <v>10608</v>
      </c>
    </row>
    <row r="17429" spans="1:2">
      <c r="A17429" s="66">
        <v>46072.922870578703</v>
      </c>
      <c r="B17429" s="49" t="s">
        <v>10608</v>
      </c>
    </row>
    <row r="17430" spans="1:2">
      <c r="A17430" s="66">
        <v>46072.923816331022</v>
      </c>
      <c r="B17430" s="49" t="s">
        <v>10608</v>
      </c>
    </row>
    <row r="17431" spans="1:2">
      <c r="A17431" s="66">
        <v>46072.924904861109</v>
      </c>
      <c r="B17431" s="49" t="s">
        <v>10608</v>
      </c>
    </row>
    <row r="17432" spans="1:2">
      <c r="A17432" s="66">
        <v>46072.926196597225</v>
      </c>
      <c r="B17432" s="49" t="s">
        <v>10608</v>
      </c>
    </row>
    <row r="17433" spans="1:2">
      <c r="A17433" s="66">
        <v>46072.927360706017</v>
      </c>
      <c r="B17433" s="49" t="s">
        <v>10608</v>
      </c>
    </row>
    <row r="17434" spans="1:2">
      <c r="A17434" s="66">
        <v>46072.928475775465</v>
      </c>
      <c r="B17434" s="49" t="s">
        <v>10588</v>
      </c>
    </row>
    <row r="17435" spans="1:2">
      <c r="A17435" s="66">
        <v>46072.928479178241</v>
      </c>
      <c r="B17435" s="49" t="s">
        <v>10466</v>
      </c>
    </row>
    <row r="17436" spans="1:2">
      <c r="A17436" s="66">
        <v>46072.928499212961</v>
      </c>
      <c r="B17436" s="49" t="s">
        <v>10592</v>
      </c>
    </row>
    <row r="17437" spans="1:2">
      <c r="A17437" s="66">
        <v>46072.929405636576</v>
      </c>
      <c r="B17437" s="49" t="s">
        <v>10608</v>
      </c>
    </row>
    <row r="17438" spans="1:2">
      <c r="A17438" s="66">
        <v>46072.930768692131</v>
      </c>
      <c r="B17438" s="49" t="s">
        <v>10608</v>
      </c>
    </row>
    <row r="17439" spans="1:2">
      <c r="A17439" s="66">
        <v>46072.932155335649</v>
      </c>
      <c r="B17439" s="49" t="s">
        <v>10608</v>
      </c>
    </row>
    <row r="17440" spans="1:2">
      <c r="A17440" s="66">
        <v>46072.933267245375</v>
      </c>
      <c r="B17440" s="49" t="s">
        <v>10608</v>
      </c>
    </row>
    <row r="17441" spans="1:2">
      <c r="A17441" s="66">
        <v>46072.934458715274</v>
      </c>
      <c r="B17441" s="49" t="s">
        <v>10608</v>
      </c>
    </row>
    <row r="17442" spans="1:2">
      <c r="A17442" s="66">
        <v>46072.935280173609</v>
      </c>
      <c r="B17442" s="49" t="s">
        <v>10608</v>
      </c>
    </row>
    <row r="17443" spans="1:2">
      <c r="A17443" s="66">
        <v>46072.936672881944</v>
      </c>
      <c r="B17443" s="49" t="s">
        <v>10588</v>
      </c>
    </row>
    <row r="17444" spans="1:2">
      <c r="A17444" s="66">
        <v>46072.936676412035</v>
      </c>
      <c r="B17444" s="49" t="s">
        <v>10466</v>
      </c>
    </row>
    <row r="17445" spans="1:2">
      <c r="A17445" s="66">
        <v>46072.936688182876</v>
      </c>
      <c r="B17445" s="49" t="s">
        <v>10592</v>
      </c>
    </row>
    <row r="17446" spans="1:2">
      <c r="A17446" s="66">
        <v>46072.937578958328</v>
      </c>
      <c r="B17446" s="49" t="s">
        <v>10608</v>
      </c>
    </row>
    <row r="17447" spans="1:2">
      <c r="A17447" s="66">
        <v>46072.938383449073</v>
      </c>
      <c r="B17447" s="49" t="s">
        <v>10608</v>
      </c>
    </row>
    <row r="17448" spans="1:2">
      <c r="A17448" s="66">
        <v>46072.939220347223</v>
      </c>
      <c r="B17448" s="49" t="s">
        <v>10608</v>
      </c>
    </row>
    <row r="17449" spans="1:2">
      <c r="A17449" s="66">
        <v>46072.940294085653</v>
      </c>
      <c r="B17449" s="49" t="s">
        <v>10608</v>
      </c>
    </row>
    <row r="17450" spans="1:2">
      <c r="A17450" s="66">
        <v>46072.941673842593</v>
      </c>
      <c r="B17450" s="49" t="s">
        <v>10608</v>
      </c>
    </row>
    <row r="17451" spans="1:2">
      <c r="A17451" s="66">
        <v>46072.94263096065</v>
      </c>
      <c r="B17451" s="49" t="s">
        <v>10608</v>
      </c>
    </row>
    <row r="17452" spans="1:2">
      <c r="A17452" s="66">
        <v>46072.943361631944</v>
      </c>
      <c r="B17452" s="49" t="s">
        <v>10608</v>
      </c>
    </row>
    <row r="17453" spans="1:2">
      <c r="A17453" s="66">
        <v>46072.94419461806</v>
      </c>
      <c r="B17453" s="49" t="s">
        <v>10588</v>
      </c>
    </row>
    <row r="17454" spans="1:2">
      <c r="A17454" s="66">
        <v>46072.944198171295</v>
      </c>
      <c r="B17454" s="49" t="s">
        <v>10466</v>
      </c>
    </row>
    <row r="17455" spans="1:2">
      <c r="A17455" s="66">
        <v>46072.944213356481</v>
      </c>
      <c r="B17455" s="49" t="s">
        <v>10592</v>
      </c>
    </row>
    <row r="17456" spans="1:2">
      <c r="A17456" s="66">
        <v>46072.945127650462</v>
      </c>
      <c r="B17456" s="49" t="s">
        <v>10608</v>
      </c>
    </row>
    <row r="17457" spans="1:2">
      <c r="A17457" s="66">
        <v>46072.946492986113</v>
      </c>
      <c r="B17457" s="49" t="s">
        <v>10608</v>
      </c>
    </row>
    <row r="17458" spans="1:2">
      <c r="A17458" s="66">
        <v>46072.947522708331</v>
      </c>
      <c r="B17458" s="49" t="s">
        <v>10608</v>
      </c>
    </row>
    <row r="17459" spans="1:2">
      <c r="A17459" s="66">
        <v>46072.948746203707</v>
      </c>
      <c r="B17459" s="49" t="s">
        <v>10608</v>
      </c>
    </row>
    <row r="17460" spans="1:2">
      <c r="A17460" s="66">
        <v>46072.949667685185</v>
      </c>
      <c r="B17460" s="49" t="s">
        <v>10608</v>
      </c>
    </row>
    <row r="17461" spans="1:2">
      <c r="A17461" s="66">
        <v>46072.950802581021</v>
      </c>
      <c r="B17461" s="49" t="s">
        <v>10608</v>
      </c>
    </row>
    <row r="17462" spans="1:2">
      <c r="A17462" s="66">
        <v>46072.951946307869</v>
      </c>
      <c r="B17462" s="49" t="s">
        <v>10588</v>
      </c>
    </row>
    <row r="17463" spans="1:2">
      <c r="A17463" s="66">
        <v>46072.95194929398</v>
      </c>
      <c r="B17463" s="49" t="s">
        <v>10466</v>
      </c>
    </row>
    <row r="17464" spans="1:2">
      <c r="A17464" s="66">
        <v>46072.951966469904</v>
      </c>
      <c r="B17464" s="49" t="s">
        <v>10592</v>
      </c>
    </row>
    <row r="17465" spans="1:2">
      <c r="A17465" s="66">
        <v>46072.952773032404</v>
      </c>
      <c r="B17465" s="49" t="s">
        <v>10608</v>
      </c>
    </row>
    <row r="17466" spans="1:2">
      <c r="A17466" s="66">
        <v>46072.953601435183</v>
      </c>
      <c r="B17466" s="49" t="s">
        <v>10608</v>
      </c>
    </row>
    <row r="17467" spans="1:2">
      <c r="A17467" s="66">
        <v>46072.954752141202</v>
      </c>
      <c r="B17467" s="49" t="s">
        <v>10608</v>
      </c>
    </row>
    <row r="17468" spans="1:2">
      <c r="A17468" s="66">
        <v>46072.955643425928</v>
      </c>
      <c r="B17468" s="49" t="s">
        <v>10608</v>
      </c>
    </row>
    <row r="17469" spans="1:2">
      <c r="A17469" s="66">
        <v>46072.956836701385</v>
      </c>
      <c r="B17469" s="49" t="s">
        <v>10608</v>
      </c>
    </row>
    <row r="17470" spans="1:2">
      <c r="A17470" s="66">
        <v>46072.957725578701</v>
      </c>
      <c r="B17470" s="49" t="s">
        <v>10608</v>
      </c>
    </row>
    <row r="17471" spans="1:2">
      <c r="A17471" s="66">
        <v>46072.958521932873</v>
      </c>
      <c r="B17471" s="49" t="s">
        <v>10608</v>
      </c>
    </row>
    <row r="17472" spans="1:2">
      <c r="A17472" s="66">
        <v>46072.959488611115</v>
      </c>
      <c r="B17472" s="49" t="s">
        <v>10588</v>
      </c>
    </row>
    <row r="17473" spans="1:2">
      <c r="A17473" s="66">
        <v>46072.959492453709</v>
      </c>
      <c r="B17473" s="49" t="s">
        <v>10466</v>
      </c>
    </row>
    <row r="17474" spans="1:2">
      <c r="A17474" s="66">
        <v>46072.959514224538</v>
      </c>
      <c r="B17474" s="49" t="s">
        <v>10592</v>
      </c>
    </row>
    <row r="17475" spans="1:2">
      <c r="A17475" s="66">
        <v>46072.960831076387</v>
      </c>
      <c r="B17475" s="49" t="s">
        <v>10608</v>
      </c>
    </row>
    <row r="17476" spans="1:2">
      <c r="A17476" s="66">
        <v>46072.961755763885</v>
      </c>
      <c r="B17476" s="49" t="s">
        <v>10608</v>
      </c>
    </row>
    <row r="17477" spans="1:2">
      <c r="A17477" s="66">
        <v>46072.962623530097</v>
      </c>
      <c r="B17477" s="49" t="s">
        <v>10608</v>
      </c>
    </row>
    <row r="17478" spans="1:2">
      <c r="A17478" s="66">
        <v>46072.963526979162</v>
      </c>
      <c r="B17478" s="49" t="s">
        <v>10608</v>
      </c>
    </row>
    <row r="17479" spans="1:2">
      <c r="A17479" s="66">
        <v>46072.96472880787</v>
      </c>
      <c r="B17479" s="49" t="s">
        <v>10608</v>
      </c>
    </row>
    <row r="17480" spans="1:2">
      <c r="A17480" s="66">
        <v>46072.965687569449</v>
      </c>
      <c r="B17480" s="49" t="s">
        <v>10608</v>
      </c>
    </row>
    <row r="17481" spans="1:2">
      <c r="A17481" s="66">
        <v>46072.966640682869</v>
      </c>
      <c r="B17481" s="49" t="s">
        <v>10588</v>
      </c>
    </row>
    <row r="17482" spans="1:2">
      <c r="A17482" s="66">
        <v>46072.96664366898</v>
      </c>
      <c r="B17482" s="49" t="s">
        <v>10466</v>
      </c>
    </row>
    <row r="17483" spans="1:2">
      <c r="A17483" s="66">
        <v>46072.966669409725</v>
      </c>
      <c r="B17483" s="49" t="s">
        <v>10592</v>
      </c>
    </row>
    <row r="17484" spans="1:2">
      <c r="A17484" s="66">
        <v>46072.967990671299</v>
      </c>
      <c r="B17484" s="49" t="s">
        <v>10608</v>
      </c>
    </row>
    <row r="17485" spans="1:2">
      <c r="A17485" s="66">
        <v>46072.968942569445</v>
      </c>
      <c r="B17485" s="49" t="s">
        <v>10608</v>
      </c>
    </row>
    <row r="17486" spans="1:2">
      <c r="A17486" s="66">
        <v>46072.969836192133</v>
      </c>
      <c r="B17486" s="49" t="s">
        <v>10608</v>
      </c>
    </row>
    <row r="17487" spans="1:2">
      <c r="A17487" s="66">
        <v>46072.971256342593</v>
      </c>
      <c r="B17487" s="49" t="s">
        <v>10608</v>
      </c>
    </row>
    <row r="17488" spans="1:2">
      <c r="A17488" s="66">
        <v>46072.972264178243</v>
      </c>
      <c r="B17488" s="49" t="s">
        <v>10608</v>
      </c>
    </row>
    <row r="17489" spans="1:2">
      <c r="A17489" s="66">
        <v>46072.973381041666</v>
      </c>
      <c r="B17489" s="49" t="s">
        <v>10608</v>
      </c>
    </row>
    <row r="17490" spans="1:2">
      <c r="A17490" s="66">
        <v>46072.974824293982</v>
      </c>
      <c r="B17490" s="49" t="s">
        <v>10588</v>
      </c>
    </row>
    <row r="17491" spans="1:2">
      <c r="A17491" s="66">
        <v>46072.974829965278</v>
      </c>
      <c r="B17491" s="49" t="s">
        <v>10466</v>
      </c>
    </row>
    <row r="17492" spans="1:2">
      <c r="A17492" s="66">
        <v>46072.974850590283</v>
      </c>
      <c r="B17492" s="49" t="s">
        <v>10592</v>
      </c>
    </row>
    <row r="17493" spans="1:2">
      <c r="A17493" s="66">
        <v>46072.976218321761</v>
      </c>
      <c r="B17493" s="49" t="s">
        <v>10608</v>
      </c>
    </row>
    <row r="17494" spans="1:2">
      <c r="A17494" s="66">
        <v>46072.977353148148</v>
      </c>
      <c r="B17494" s="49" t="s">
        <v>10608</v>
      </c>
    </row>
    <row r="17495" spans="1:2">
      <c r="A17495" s="66">
        <v>46072.978127812501</v>
      </c>
      <c r="B17495" s="49" t="s">
        <v>10608</v>
      </c>
    </row>
    <row r="17496" spans="1:2">
      <c r="A17496" s="66">
        <v>46072.979122557867</v>
      </c>
      <c r="B17496" s="49" t="s">
        <v>10608</v>
      </c>
    </row>
    <row r="17497" spans="1:2">
      <c r="A17497" s="66">
        <v>46072.98001738426</v>
      </c>
      <c r="B17497" s="49" t="s">
        <v>10608</v>
      </c>
    </row>
    <row r="17498" spans="1:2">
      <c r="A17498" s="66">
        <v>46072.98093233796</v>
      </c>
      <c r="B17498" s="49" t="s">
        <v>10608</v>
      </c>
    </row>
    <row r="17499" spans="1:2">
      <c r="A17499" s="66">
        <v>46072.9818925</v>
      </c>
      <c r="B17499" s="49" t="s">
        <v>10588</v>
      </c>
    </row>
    <row r="17500" spans="1:2">
      <c r="A17500" s="66">
        <v>46072.98189653935</v>
      </c>
      <c r="B17500" s="49" t="s">
        <v>10466</v>
      </c>
    </row>
    <row r="17501" spans="1:2">
      <c r="A17501" s="66">
        <v>46072.981914942131</v>
      </c>
      <c r="B17501" s="49" t="s">
        <v>10592</v>
      </c>
    </row>
    <row r="17502" spans="1:2">
      <c r="A17502" s="66">
        <v>46072.983168240738</v>
      </c>
      <c r="B17502" s="49" t="s">
        <v>10608</v>
      </c>
    </row>
    <row r="17503" spans="1:2">
      <c r="A17503" s="66">
        <v>46072.984064641205</v>
      </c>
      <c r="B17503" s="49" t="s">
        <v>10608</v>
      </c>
    </row>
    <row r="17504" spans="1:2">
      <c r="A17504" s="66">
        <v>46072.985419189819</v>
      </c>
      <c r="B17504" s="49" t="s">
        <v>10608</v>
      </c>
    </row>
    <row r="17505" spans="1:2">
      <c r="A17505" s="66">
        <v>46072.986374826389</v>
      </c>
      <c r="B17505" s="49" t="s">
        <v>10608</v>
      </c>
    </row>
    <row r="17506" spans="1:2">
      <c r="A17506" s="66">
        <v>46072.987529999999</v>
      </c>
      <c r="B17506" s="49" t="s">
        <v>10608</v>
      </c>
    </row>
    <row r="17507" spans="1:2">
      <c r="A17507" s="66">
        <v>46072.988805312503</v>
      </c>
      <c r="B17507" s="49" t="s">
        <v>10608</v>
      </c>
    </row>
    <row r="17508" spans="1:2">
      <c r="A17508" s="66">
        <v>46072.989688472226</v>
      </c>
      <c r="B17508" s="49" t="s">
        <v>10588</v>
      </c>
    </row>
    <row r="17509" spans="1:2">
      <c r="A17509" s="66">
        <v>46072.989700729166</v>
      </c>
      <c r="B17509" s="49" t="s">
        <v>10466</v>
      </c>
    </row>
    <row r="17510" spans="1:2">
      <c r="A17510" s="66">
        <v>46072.989720717596</v>
      </c>
      <c r="B17510" s="49" t="s">
        <v>10592</v>
      </c>
    </row>
    <row r="17511" spans="1:2">
      <c r="A17511" s="66">
        <v>46072.99063122685</v>
      </c>
      <c r="B17511" s="49" t="s">
        <v>10608</v>
      </c>
    </row>
    <row r="17512" spans="1:2">
      <c r="A17512" s="66">
        <v>46072.991420034727</v>
      </c>
      <c r="B17512" s="49" t="s">
        <v>10608</v>
      </c>
    </row>
    <row r="17513" spans="1:2">
      <c r="A17513" s="66">
        <v>46072.992555023149</v>
      </c>
      <c r="B17513" s="49" t="s">
        <v>10608</v>
      </c>
    </row>
    <row r="17514" spans="1:2">
      <c r="A17514" s="66">
        <v>46072.993971886579</v>
      </c>
      <c r="B17514" s="49" t="s">
        <v>10608</v>
      </c>
    </row>
    <row r="17515" spans="1:2">
      <c r="A17515" s="66">
        <v>46072.994752592596</v>
      </c>
      <c r="B17515" s="49" t="s">
        <v>10608</v>
      </c>
    </row>
    <row r="17516" spans="1:2">
      <c r="A17516" s="66">
        <v>46072.995923530092</v>
      </c>
      <c r="B17516" s="49" t="s">
        <v>10608</v>
      </c>
    </row>
    <row r="17517" spans="1:2">
      <c r="A17517" s="66">
        <v>46072.996682060184</v>
      </c>
      <c r="B17517" s="49" t="s">
        <v>10588</v>
      </c>
    </row>
    <row r="17518" spans="1:2">
      <c r="A17518" s="66">
        <v>46072.996685057871</v>
      </c>
      <c r="B17518" s="49" t="s">
        <v>10466</v>
      </c>
    </row>
    <row r="17519" spans="1:2">
      <c r="A17519" s="66">
        <v>46072.996701574069</v>
      </c>
      <c r="B17519" s="49" t="s">
        <v>10592</v>
      </c>
    </row>
    <row r="17520" spans="1:2">
      <c r="A17520" s="66">
        <v>46072.99790530093</v>
      </c>
      <c r="B17520" s="49" t="s">
        <v>10608</v>
      </c>
    </row>
    <row r="17521" spans="1:2">
      <c r="A17521" s="66">
        <v>46072.999628576392</v>
      </c>
      <c r="B17521" s="49" t="s">
        <v>10608</v>
      </c>
    </row>
    <row r="17522" spans="1:2">
      <c r="A17522" s="66">
        <v>46073.001057268513</v>
      </c>
      <c r="B17522" s="49" t="s">
        <v>10608</v>
      </c>
    </row>
    <row r="17523" spans="1:2">
      <c r="A17523" s="66">
        <v>46073.002149768523</v>
      </c>
      <c r="B17523" s="49" t="s">
        <v>10608</v>
      </c>
    </row>
    <row r="17524" spans="1:2">
      <c r="A17524" s="66">
        <v>46073.003242986109</v>
      </c>
      <c r="B17524" s="49" t="s">
        <v>10608</v>
      </c>
    </row>
    <row r="17525" spans="1:2">
      <c r="A17525" s="66">
        <v>46073.004010648147</v>
      </c>
      <c r="B17525" s="49" t="s">
        <v>10588</v>
      </c>
    </row>
    <row r="17526" spans="1:2">
      <c r="A17526" s="66">
        <v>46073.004016076389</v>
      </c>
      <c r="B17526" s="49" t="s">
        <v>10466</v>
      </c>
    </row>
    <row r="17527" spans="1:2">
      <c r="A17527" s="66">
        <v>46073.004031122684</v>
      </c>
      <c r="B17527" s="49" t="s">
        <v>10592</v>
      </c>
    </row>
    <row r="17528" spans="1:2">
      <c r="A17528" s="66">
        <v>46073.004959027778</v>
      </c>
      <c r="B17528" s="49" t="s">
        <v>10608</v>
      </c>
    </row>
    <row r="17529" spans="1:2">
      <c r="A17529" s="66">
        <v>46073.006188333333</v>
      </c>
      <c r="B17529" s="49" t="s">
        <v>10608</v>
      </c>
    </row>
    <row r="17530" spans="1:2">
      <c r="A17530" s="66">
        <v>46073.007178946762</v>
      </c>
      <c r="B17530" s="49" t="s">
        <v>10608</v>
      </c>
    </row>
    <row r="17531" spans="1:2">
      <c r="A17531" s="66">
        <v>46073.008093391203</v>
      </c>
      <c r="B17531" s="49" t="s">
        <v>10608</v>
      </c>
    </row>
    <row r="17532" spans="1:2">
      <c r="A17532" s="66">
        <v>46073.008860821763</v>
      </c>
      <c r="B17532" s="49" t="s">
        <v>10608</v>
      </c>
    </row>
    <row r="17533" spans="1:2">
      <c r="A17533" s="66">
        <v>46073.009666041668</v>
      </c>
      <c r="B17533" s="49" t="s">
        <v>10608</v>
      </c>
    </row>
    <row r="17534" spans="1:2">
      <c r="A17534" s="66">
        <v>46073.010763854167</v>
      </c>
      <c r="B17534" s="49" t="s">
        <v>10608</v>
      </c>
    </row>
    <row r="17535" spans="1:2">
      <c r="A17535" s="66">
        <v>46073.011553449076</v>
      </c>
      <c r="B17535" s="49" t="s">
        <v>10588</v>
      </c>
    </row>
    <row r="17536" spans="1:2">
      <c r="A17536" s="66">
        <v>46073.011557604172</v>
      </c>
      <c r="B17536" s="49" t="s">
        <v>10466</v>
      </c>
    </row>
    <row r="17537" spans="1:2">
      <c r="A17537" s="66">
        <v>46073.011574282413</v>
      </c>
      <c r="B17537" s="49" t="s">
        <v>10592</v>
      </c>
    </row>
    <row r="17538" spans="1:2">
      <c r="A17538" s="66">
        <v>46073.012348946759</v>
      </c>
      <c r="B17538" s="49" t="s">
        <v>10608</v>
      </c>
    </row>
    <row r="17539" spans="1:2">
      <c r="A17539" s="66">
        <v>46073.013410104162</v>
      </c>
      <c r="B17539" s="49" t="s">
        <v>10608</v>
      </c>
    </row>
    <row r="17540" spans="1:2">
      <c r="A17540" s="66">
        <v>46073.014473460644</v>
      </c>
      <c r="B17540" s="49" t="s">
        <v>10608</v>
      </c>
    </row>
    <row r="17541" spans="1:2">
      <c r="A17541" s="66">
        <v>46073.015776284723</v>
      </c>
      <c r="B17541" s="49" t="s">
        <v>10608</v>
      </c>
    </row>
    <row r="17542" spans="1:2">
      <c r="A17542" s="66">
        <v>46073.01693140046</v>
      </c>
      <c r="B17542" s="49" t="s">
        <v>10608</v>
      </c>
    </row>
    <row r="17543" spans="1:2">
      <c r="A17543" s="66">
        <v>46073.017774479165</v>
      </c>
      <c r="B17543" s="49" t="s">
        <v>10608</v>
      </c>
    </row>
    <row r="17544" spans="1:2">
      <c r="A17544" s="66">
        <v>46073.018490590279</v>
      </c>
      <c r="B17544" s="49" t="s">
        <v>10608</v>
      </c>
    </row>
    <row r="17545" spans="1:2">
      <c r="A17545" s="66">
        <v>46073.019769618055</v>
      </c>
      <c r="B17545" s="49" t="s">
        <v>10588</v>
      </c>
    </row>
    <row r="17546" spans="1:2">
      <c r="A17546" s="66">
        <v>46073.019773726854</v>
      </c>
      <c r="B17546" s="49" t="s">
        <v>10466</v>
      </c>
    </row>
    <row r="17547" spans="1:2">
      <c r="A17547" s="66">
        <v>46073.019793530097</v>
      </c>
      <c r="B17547" s="49" t="s">
        <v>10592</v>
      </c>
    </row>
    <row r="17548" spans="1:2">
      <c r="A17548" s="66">
        <v>46073.020835324074</v>
      </c>
      <c r="B17548" s="49" t="s">
        <v>10608</v>
      </c>
    </row>
    <row r="17549" spans="1:2">
      <c r="A17549" s="66">
        <v>46073.022019432872</v>
      </c>
      <c r="B17549" s="49" t="s">
        <v>10608</v>
      </c>
    </row>
    <row r="17550" spans="1:2">
      <c r="A17550" s="66">
        <v>46073.023233159722</v>
      </c>
      <c r="B17550" s="49" t="s">
        <v>10608</v>
      </c>
    </row>
    <row r="17551" spans="1:2">
      <c r="A17551" s="66">
        <v>46073.024194479163</v>
      </c>
      <c r="B17551" s="49" t="s">
        <v>10608</v>
      </c>
    </row>
    <row r="17552" spans="1:2">
      <c r="A17552" s="66">
        <v>46073.025171921297</v>
      </c>
      <c r="B17552" s="49" t="s">
        <v>10608</v>
      </c>
    </row>
    <row r="17553" spans="1:2">
      <c r="A17553" s="66">
        <v>46073.026278981481</v>
      </c>
      <c r="B17553" s="49" t="s">
        <v>10608</v>
      </c>
    </row>
    <row r="17554" spans="1:2">
      <c r="A17554" s="66">
        <v>46073.027413668984</v>
      </c>
      <c r="B17554" s="49" t="s">
        <v>10588</v>
      </c>
    </row>
    <row r="17555" spans="1:2">
      <c r="A17555" s="66">
        <v>46073.027417858801</v>
      </c>
      <c r="B17555" s="49" t="s">
        <v>10466</v>
      </c>
    </row>
    <row r="17556" spans="1:2">
      <c r="A17556" s="66">
        <v>46073.027434189818</v>
      </c>
      <c r="B17556" s="49" t="s">
        <v>10592</v>
      </c>
    </row>
    <row r="17557" spans="1:2">
      <c r="A17557" s="66">
        <v>46073.028429780097</v>
      </c>
      <c r="B17557" s="49" t="s">
        <v>10608</v>
      </c>
    </row>
    <row r="17558" spans="1:2">
      <c r="A17558" s="66">
        <v>46073.02981537037</v>
      </c>
      <c r="B17558" s="49" t="s">
        <v>10608</v>
      </c>
    </row>
    <row r="17559" spans="1:2">
      <c r="A17559" s="66">
        <v>46073.030951689812</v>
      </c>
      <c r="B17559" s="49" t="s">
        <v>10608</v>
      </c>
    </row>
    <row r="17560" spans="1:2">
      <c r="A17560" s="66">
        <v>46073.032234999999</v>
      </c>
      <c r="B17560" s="49" t="s">
        <v>10608</v>
      </c>
    </row>
    <row r="17561" spans="1:2">
      <c r="A17561" s="66">
        <v>46073.033360173613</v>
      </c>
      <c r="B17561" s="49" t="s">
        <v>10608</v>
      </c>
    </row>
    <row r="17562" spans="1:2">
      <c r="A17562" s="66">
        <v>46073.034704976853</v>
      </c>
      <c r="B17562" s="49" t="s">
        <v>10588</v>
      </c>
    </row>
    <row r="17563" spans="1:2">
      <c r="A17563" s="66">
        <v>46073.034708749998</v>
      </c>
      <c r="B17563" s="49" t="s">
        <v>10466</v>
      </c>
    </row>
    <row r="17564" spans="1:2">
      <c r="A17564" s="66">
        <v>46073.034724432873</v>
      </c>
      <c r="B17564" s="49" t="s">
        <v>10592</v>
      </c>
    </row>
    <row r="17565" spans="1:2">
      <c r="A17565" s="66">
        <v>46073.036059594902</v>
      </c>
      <c r="B17565" s="49" t="s">
        <v>10608</v>
      </c>
    </row>
    <row r="17566" spans="1:2">
      <c r="A17566" s="66">
        <v>46073.036896446763</v>
      </c>
      <c r="B17566" s="49" t="s">
        <v>10608</v>
      </c>
    </row>
    <row r="17567" spans="1:2">
      <c r="A17567" s="66">
        <v>46073.037640011578</v>
      </c>
      <c r="B17567" s="49" t="s">
        <v>10608</v>
      </c>
    </row>
    <row r="17568" spans="1:2">
      <c r="A17568" s="66">
        <v>46073.038610659722</v>
      </c>
      <c r="B17568" s="49" t="s">
        <v>10608</v>
      </c>
    </row>
    <row r="17569" spans="1:2">
      <c r="A17569" s="66">
        <v>46073.039474895835</v>
      </c>
      <c r="B17569" s="49" t="s">
        <v>10608</v>
      </c>
    </row>
    <row r="17570" spans="1:2">
      <c r="A17570" s="66">
        <v>46073.040280555557</v>
      </c>
      <c r="B17570" s="49" t="s">
        <v>10608</v>
      </c>
    </row>
    <row r="17571" spans="1:2">
      <c r="A17571" s="66">
        <v>46073.041191921293</v>
      </c>
      <c r="B17571" s="49" t="s">
        <v>10608</v>
      </c>
    </row>
    <row r="17572" spans="1:2">
      <c r="A17572" s="66">
        <v>46073.042137777782</v>
      </c>
      <c r="B17572" s="49" t="s">
        <v>10588</v>
      </c>
    </row>
    <row r="17573" spans="1:2">
      <c r="A17573" s="66">
        <v>46073.042140324076</v>
      </c>
      <c r="B17573" s="49" t="s">
        <v>10466</v>
      </c>
    </row>
    <row r="17574" spans="1:2">
      <c r="A17574" s="66">
        <v>46073.042156111114</v>
      </c>
      <c r="B17574" s="49" t="s">
        <v>10592</v>
      </c>
    </row>
    <row r="17575" spans="1:2">
      <c r="A17575" s="66">
        <v>46073.043152511571</v>
      </c>
      <c r="B17575" s="49" t="s">
        <v>10608</v>
      </c>
    </row>
    <row r="17576" spans="1:2">
      <c r="A17576" s="66">
        <v>46073.044560902781</v>
      </c>
      <c r="B17576" s="49" t="s">
        <v>10608</v>
      </c>
    </row>
    <row r="17577" spans="1:2">
      <c r="A17577" s="66">
        <v>46073.045849155096</v>
      </c>
      <c r="B17577" s="49" t="s">
        <v>10608</v>
      </c>
    </row>
    <row r="17578" spans="1:2">
      <c r="A17578" s="66">
        <v>46073.04707695602</v>
      </c>
      <c r="B17578" s="49" t="s">
        <v>10608</v>
      </c>
    </row>
    <row r="17579" spans="1:2">
      <c r="A17579" s="66">
        <v>46073.04847775463</v>
      </c>
      <c r="B17579" s="49" t="s">
        <v>10608</v>
      </c>
    </row>
    <row r="17580" spans="1:2">
      <c r="A17580" s="66">
        <v>46073.049778518514</v>
      </c>
      <c r="B17580" s="49" t="s">
        <v>10588</v>
      </c>
    </row>
    <row r="17581" spans="1:2">
      <c r="A17581" s="66">
        <v>46073.049782048613</v>
      </c>
      <c r="B17581" s="49" t="s">
        <v>10466</v>
      </c>
    </row>
    <row r="17582" spans="1:2">
      <c r="A17582" s="66">
        <v>46073.049801909721</v>
      </c>
      <c r="B17582" s="49" t="s">
        <v>10592</v>
      </c>
    </row>
    <row r="17583" spans="1:2">
      <c r="A17583" s="66">
        <v>46073.050550613421</v>
      </c>
      <c r="B17583" s="49" t="s">
        <v>10608</v>
      </c>
    </row>
    <row r="17584" spans="1:2">
      <c r="A17584" s="66">
        <v>46073.05190648148</v>
      </c>
      <c r="B17584" s="49" t="s">
        <v>10608</v>
      </c>
    </row>
    <row r="17585" spans="1:2">
      <c r="A17585" s="66">
        <v>46073.053062372681</v>
      </c>
      <c r="B17585" s="49" t="s">
        <v>10608</v>
      </c>
    </row>
    <row r="17586" spans="1:2">
      <c r="A17586" s="66">
        <v>46073.053909699069</v>
      </c>
      <c r="B17586" s="49" t="s">
        <v>10608</v>
      </c>
    </row>
    <row r="17587" spans="1:2">
      <c r="A17587" s="66">
        <v>46073.055223645832</v>
      </c>
      <c r="B17587" s="49" t="s">
        <v>10608</v>
      </c>
    </row>
    <row r="17588" spans="1:2">
      <c r="A17588" s="66">
        <v>46073.05662732639</v>
      </c>
      <c r="B17588" s="49" t="s">
        <v>10608</v>
      </c>
    </row>
    <row r="17589" spans="1:2">
      <c r="A17589" s="66">
        <v>46073.057984976855</v>
      </c>
      <c r="B17589" s="49" t="s">
        <v>10588</v>
      </c>
    </row>
    <row r="17590" spans="1:2">
      <c r="A17590" s="66">
        <v>46073.057989293986</v>
      </c>
      <c r="B17590" s="49" t="s">
        <v>10466</v>
      </c>
    </row>
    <row r="17591" spans="1:2">
      <c r="A17591" s="66">
        <v>46073.058007812499</v>
      </c>
      <c r="B17591" s="49" t="s">
        <v>10592</v>
      </c>
    </row>
    <row r="17592" spans="1:2">
      <c r="A17592" s="66">
        <v>46073.05892023148</v>
      </c>
      <c r="B17592" s="49" t="s">
        <v>10608</v>
      </c>
    </row>
    <row r="17593" spans="1:2">
      <c r="A17593" s="66">
        <v>46073.060307384258</v>
      </c>
      <c r="B17593" s="49" t="s">
        <v>10608</v>
      </c>
    </row>
    <row r="17594" spans="1:2">
      <c r="A17594" s="66">
        <v>46073.061703263884</v>
      </c>
      <c r="B17594" s="49" t="s">
        <v>10608</v>
      </c>
    </row>
    <row r="17595" spans="1:2">
      <c r="A17595" s="66">
        <v>46073.062847743058</v>
      </c>
      <c r="B17595" s="49" t="s">
        <v>10608</v>
      </c>
    </row>
    <row r="17596" spans="1:2">
      <c r="A17596" s="66">
        <v>46073.064014143514</v>
      </c>
      <c r="B17596" s="49" t="s">
        <v>10608</v>
      </c>
    </row>
    <row r="17597" spans="1:2">
      <c r="A17597" s="66">
        <v>46073.065057615742</v>
      </c>
      <c r="B17597" s="49" t="s">
        <v>10588</v>
      </c>
    </row>
    <row r="17598" spans="1:2">
      <c r="A17598" s="66">
        <v>46073.065060925925</v>
      </c>
      <c r="B17598" s="49" t="s">
        <v>10466</v>
      </c>
    </row>
    <row r="17599" spans="1:2">
      <c r="A17599" s="66">
        <v>46073.065080625005</v>
      </c>
      <c r="B17599" s="49" t="s">
        <v>10592</v>
      </c>
    </row>
    <row r="17600" spans="1:2">
      <c r="A17600" s="66">
        <v>46073.06632445602</v>
      </c>
      <c r="B17600" s="49" t="s">
        <v>10608</v>
      </c>
    </row>
    <row r="17601" spans="1:2">
      <c r="A17601" s="66">
        <v>46073.067114687496</v>
      </c>
      <c r="B17601" s="49" t="s">
        <v>10608</v>
      </c>
    </row>
    <row r="17602" spans="1:2">
      <c r="A17602" s="66">
        <v>46073.068424803241</v>
      </c>
      <c r="B17602" s="49" t="s">
        <v>10608</v>
      </c>
    </row>
    <row r="17603" spans="1:2">
      <c r="A17603" s="66">
        <v>46073.069573275461</v>
      </c>
      <c r="B17603" s="49" t="s">
        <v>10608</v>
      </c>
    </row>
    <row r="17604" spans="1:2">
      <c r="A17604" s="66">
        <v>46073.070469641199</v>
      </c>
      <c r="B17604" s="49" t="s">
        <v>10608</v>
      </c>
    </row>
    <row r="17605" spans="1:2">
      <c r="A17605" s="66">
        <v>46073.071430729164</v>
      </c>
      <c r="B17605" s="49" t="s">
        <v>10608</v>
      </c>
    </row>
    <row r="17606" spans="1:2">
      <c r="A17606" s="66">
        <v>46073.072507743054</v>
      </c>
      <c r="B17606" s="49" t="s">
        <v>10588</v>
      </c>
    </row>
    <row r="17607" spans="1:2">
      <c r="A17607" s="66">
        <v>46073.072514016203</v>
      </c>
      <c r="B17607" s="49" t="s">
        <v>10466</v>
      </c>
    </row>
    <row r="17608" spans="1:2">
      <c r="A17608" s="66">
        <v>46073.072535046296</v>
      </c>
      <c r="B17608" s="49" t="s">
        <v>10592</v>
      </c>
    </row>
    <row r="17609" spans="1:2">
      <c r="A17609" s="66">
        <v>46073.073550439818</v>
      </c>
      <c r="B17609" s="49" t="s">
        <v>10608</v>
      </c>
    </row>
    <row r="17610" spans="1:2">
      <c r="A17610" s="66">
        <v>46073.074589548611</v>
      </c>
      <c r="B17610" s="49" t="s">
        <v>10608</v>
      </c>
    </row>
    <row r="17611" spans="1:2">
      <c r="A17611" s="66">
        <v>46073.075651446758</v>
      </c>
      <c r="B17611" s="49" t="s">
        <v>10608</v>
      </c>
    </row>
    <row r="17612" spans="1:2">
      <c r="A17612" s="66">
        <v>46073.076715243056</v>
      </c>
      <c r="B17612" s="49" t="s">
        <v>10608</v>
      </c>
    </row>
    <row r="17613" spans="1:2">
      <c r="A17613" s="66">
        <v>46073.077681828705</v>
      </c>
      <c r="B17613" s="49" t="s">
        <v>10608</v>
      </c>
    </row>
    <row r="17614" spans="1:2">
      <c r="A17614" s="66">
        <v>46073.079115462962</v>
      </c>
      <c r="B17614" s="49" t="s">
        <v>10608</v>
      </c>
    </row>
    <row r="17615" spans="1:2">
      <c r="A17615" s="66">
        <v>46073.080037129628</v>
      </c>
      <c r="B17615" s="49" t="s">
        <v>10588</v>
      </c>
    </row>
    <row r="17616" spans="1:2">
      <c r="A17616" s="66">
        <v>46073.08004079861</v>
      </c>
      <c r="B17616" s="49" t="s">
        <v>10466</v>
      </c>
    </row>
    <row r="17617" spans="1:2">
      <c r="A17617" s="66">
        <v>46073.080061307875</v>
      </c>
      <c r="B17617" s="49" t="s">
        <v>10592</v>
      </c>
    </row>
    <row r="17618" spans="1:2">
      <c r="A17618" s="66">
        <v>46073.080965289351</v>
      </c>
      <c r="B17618" s="49" t="s">
        <v>10608</v>
      </c>
    </row>
    <row r="17619" spans="1:2">
      <c r="A17619" s="66">
        <v>46073.081856122684</v>
      </c>
      <c r="B17619" s="49" t="s">
        <v>10608</v>
      </c>
    </row>
    <row r="17620" spans="1:2">
      <c r="A17620" s="66">
        <v>46073.082996354162</v>
      </c>
      <c r="B17620" s="49" t="s">
        <v>10608</v>
      </c>
    </row>
    <row r="17621" spans="1:2">
      <c r="A17621" s="66">
        <v>46073.083846909722</v>
      </c>
      <c r="B17621" s="49" t="s">
        <v>10608</v>
      </c>
    </row>
    <row r="17622" spans="1:2">
      <c r="A17622" s="66">
        <v>46073.085089004628</v>
      </c>
      <c r="B17622" s="49" t="s">
        <v>10608</v>
      </c>
    </row>
    <row r="17623" spans="1:2">
      <c r="A17623" s="66">
        <v>46073.086062662042</v>
      </c>
      <c r="B17623" s="49" t="s">
        <v>10608</v>
      </c>
    </row>
    <row r="17624" spans="1:2">
      <c r="A17624" s="66">
        <v>46073.087323125001</v>
      </c>
      <c r="B17624" s="49" t="s">
        <v>10588</v>
      </c>
    </row>
    <row r="17625" spans="1:2">
      <c r="A17625" s="66">
        <v>46073.087325856482</v>
      </c>
      <c r="B17625" s="49" t="s">
        <v>10466</v>
      </c>
    </row>
    <row r="17626" spans="1:2">
      <c r="A17626" s="66">
        <v>46073.087343958337</v>
      </c>
      <c r="B17626" s="49" t="s">
        <v>10592</v>
      </c>
    </row>
    <row r="17627" spans="1:2">
      <c r="A17627" s="66">
        <v>46073.088493310184</v>
      </c>
      <c r="B17627" s="49" t="s">
        <v>10608</v>
      </c>
    </row>
    <row r="17628" spans="1:2">
      <c r="A17628" s="66">
        <v>46073.089330879629</v>
      </c>
      <c r="B17628" s="49" t="s">
        <v>10608</v>
      </c>
    </row>
    <row r="17629" spans="1:2">
      <c r="A17629" s="66">
        <v>46073.09007017361</v>
      </c>
      <c r="B17629" s="49" t="s">
        <v>10608</v>
      </c>
    </row>
    <row r="17630" spans="1:2">
      <c r="A17630" s="66">
        <v>46073.091116828698</v>
      </c>
      <c r="B17630" s="49" t="s">
        <v>10608</v>
      </c>
    </row>
    <row r="17631" spans="1:2">
      <c r="A17631" s="66">
        <v>46073.092005011575</v>
      </c>
      <c r="B17631" s="49" t="s">
        <v>10608</v>
      </c>
    </row>
    <row r="17632" spans="1:2">
      <c r="A17632" s="66">
        <v>46073.092989791665</v>
      </c>
      <c r="B17632" s="49" t="s">
        <v>10608</v>
      </c>
    </row>
    <row r="17633" spans="1:2">
      <c r="A17633" s="66">
        <v>46073.094073564818</v>
      </c>
      <c r="B17633" s="49" t="s">
        <v>10608</v>
      </c>
    </row>
    <row r="17634" spans="1:2">
      <c r="A17634" s="66">
        <v>46073.095095833334</v>
      </c>
      <c r="B17634" s="49" t="s">
        <v>10588</v>
      </c>
    </row>
    <row r="17635" spans="1:2">
      <c r="A17635" s="66">
        <v>46073.095098611113</v>
      </c>
      <c r="B17635" s="49" t="s">
        <v>10466</v>
      </c>
    </row>
    <row r="17636" spans="1:2">
      <c r="A17636" s="66">
        <v>46073.095113159725</v>
      </c>
      <c r="B17636" s="49" t="s">
        <v>10592</v>
      </c>
    </row>
    <row r="17637" spans="1:2">
      <c r="A17637" s="66">
        <v>46073.096365243051</v>
      </c>
      <c r="B17637" s="49" t="s">
        <v>10608</v>
      </c>
    </row>
    <row r="17638" spans="1:2">
      <c r="A17638" s="66">
        <v>46073.097703807871</v>
      </c>
      <c r="B17638" s="49" t="s">
        <v>10608</v>
      </c>
    </row>
    <row r="17639" spans="1:2">
      <c r="A17639" s="66">
        <v>46073.098768414347</v>
      </c>
      <c r="B17639" s="49" t="s">
        <v>10608</v>
      </c>
    </row>
    <row r="17640" spans="1:2">
      <c r="A17640" s="66">
        <v>46073.099885057869</v>
      </c>
      <c r="B17640" s="49" t="s">
        <v>10608</v>
      </c>
    </row>
    <row r="17641" spans="1:2">
      <c r="A17641" s="66">
        <v>46073.101260439813</v>
      </c>
      <c r="B17641" s="49" t="s">
        <v>10608</v>
      </c>
    </row>
    <row r="17642" spans="1:2">
      <c r="A17642" s="66">
        <v>46073.102472523147</v>
      </c>
      <c r="B17642" s="49" t="s">
        <v>10588</v>
      </c>
    </row>
    <row r="17643" spans="1:2">
      <c r="A17643" s="66">
        <v>46073.102475740743</v>
      </c>
      <c r="B17643" s="49" t="s">
        <v>10466</v>
      </c>
    </row>
    <row r="17644" spans="1:2">
      <c r="A17644" s="66">
        <v>46073.102492951388</v>
      </c>
      <c r="B17644" s="49" t="s">
        <v>10592</v>
      </c>
    </row>
    <row r="17645" spans="1:2">
      <c r="A17645" s="66">
        <v>46073.103718761573</v>
      </c>
      <c r="B17645" s="49" t="s">
        <v>10608</v>
      </c>
    </row>
    <row r="17646" spans="1:2">
      <c r="A17646" s="66">
        <v>46073.104532789352</v>
      </c>
      <c r="B17646" s="49" t="s">
        <v>10608</v>
      </c>
    </row>
    <row r="17647" spans="1:2">
      <c r="A17647" s="66">
        <v>46073.105655324078</v>
      </c>
      <c r="B17647" s="49" t="s">
        <v>10608</v>
      </c>
    </row>
    <row r="17648" spans="1:2">
      <c r="A17648" s="66">
        <v>46073.10691480324</v>
      </c>
      <c r="B17648" s="49" t="s">
        <v>10608</v>
      </c>
    </row>
    <row r="17649" spans="1:2">
      <c r="A17649" s="66">
        <v>46073.107697615742</v>
      </c>
      <c r="B17649" s="49" t="s">
        <v>10608</v>
      </c>
    </row>
    <row r="17650" spans="1:2">
      <c r="A17650" s="66">
        <v>46073.109092604165</v>
      </c>
      <c r="B17650" s="49" t="s">
        <v>10608</v>
      </c>
    </row>
    <row r="17651" spans="1:2">
      <c r="A17651" s="66">
        <v>46073.110343796296</v>
      </c>
      <c r="B17651" s="49" t="s">
        <v>10588</v>
      </c>
    </row>
    <row r="17652" spans="1:2">
      <c r="A17652" s="66">
        <v>46073.110346620371</v>
      </c>
      <c r="B17652" s="49" t="s">
        <v>10466</v>
      </c>
    </row>
    <row r="17653" spans="1:2">
      <c r="A17653" s="66">
        <v>46073.110364583335</v>
      </c>
      <c r="B17653" s="49" t="s">
        <v>10592</v>
      </c>
    </row>
    <row r="17654" spans="1:2">
      <c r="A17654" s="66">
        <v>46073.111577962962</v>
      </c>
      <c r="B17654" s="49" t="s">
        <v>10608</v>
      </c>
    </row>
    <row r="17655" spans="1:2">
      <c r="A17655" s="66">
        <v>46073.112360208332</v>
      </c>
      <c r="B17655" s="49" t="s">
        <v>10608</v>
      </c>
    </row>
    <row r="17656" spans="1:2">
      <c r="A17656" s="66">
        <v>46073.113616261573</v>
      </c>
      <c r="B17656" s="49" t="s">
        <v>10608</v>
      </c>
    </row>
    <row r="17657" spans="1:2">
      <c r="A17657" s="66">
        <v>46073.114509895837</v>
      </c>
      <c r="B17657" s="49" t="s">
        <v>10608</v>
      </c>
    </row>
    <row r="17658" spans="1:2">
      <c r="A17658" s="66">
        <v>46073.115385844911</v>
      </c>
      <c r="B17658" s="49" t="s">
        <v>10608</v>
      </c>
    </row>
    <row r="17659" spans="1:2">
      <c r="A17659" s="66">
        <v>46073.116410902774</v>
      </c>
      <c r="B17659" s="49" t="s">
        <v>10608</v>
      </c>
    </row>
    <row r="17660" spans="1:2">
      <c r="A17660" s="66">
        <v>46073.117219224536</v>
      </c>
      <c r="B17660" s="49" t="s">
        <v>10608</v>
      </c>
    </row>
    <row r="17661" spans="1:2">
      <c r="A17661" s="66">
        <v>46073.118063217597</v>
      </c>
      <c r="B17661" s="49" t="s">
        <v>10588</v>
      </c>
    </row>
    <row r="17662" spans="1:2">
      <c r="A17662" s="66">
        <v>46073.118065451388</v>
      </c>
      <c r="B17662" s="49" t="s">
        <v>10466</v>
      </c>
    </row>
    <row r="17663" spans="1:2">
      <c r="A17663" s="66">
        <v>46073.118094571764</v>
      </c>
      <c r="B17663" s="49" t="s">
        <v>10592</v>
      </c>
    </row>
    <row r="17664" spans="1:2">
      <c r="A17664" s="66">
        <v>46073.119342951388</v>
      </c>
      <c r="B17664" s="49" t="s">
        <v>10608</v>
      </c>
    </row>
    <row r="17665" spans="1:2">
      <c r="A17665" s="66">
        <v>46073.120558530092</v>
      </c>
      <c r="B17665" s="49" t="s">
        <v>10608</v>
      </c>
    </row>
    <row r="17666" spans="1:2">
      <c r="A17666" s="66">
        <v>46073.121878240738</v>
      </c>
      <c r="B17666" s="49" t="s">
        <v>10608</v>
      </c>
    </row>
    <row r="17667" spans="1:2">
      <c r="A17667" s="66">
        <v>46073.123319050923</v>
      </c>
      <c r="B17667" s="49" t="s">
        <v>10608</v>
      </c>
    </row>
    <row r="17668" spans="1:2">
      <c r="A17668" s="66">
        <v>46073.124533761569</v>
      </c>
      <c r="B17668" s="49" t="s">
        <v>10608</v>
      </c>
    </row>
    <row r="17669" spans="1:2">
      <c r="A17669" s="66">
        <v>46073.125577951389</v>
      </c>
      <c r="B17669" s="49" t="s">
        <v>10588</v>
      </c>
    </row>
    <row r="17670" spans="1:2">
      <c r="A17670" s="66">
        <v>46073.125581493056</v>
      </c>
      <c r="B17670" s="49" t="s">
        <v>10466</v>
      </c>
    </row>
    <row r="17671" spans="1:2">
      <c r="A17671" s="66">
        <v>46073.125601481486</v>
      </c>
      <c r="B17671" s="49" t="s">
        <v>10592</v>
      </c>
    </row>
    <row r="17672" spans="1:2">
      <c r="A17672" s="66">
        <v>46073.126942986113</v>
      </c>
      <c r="B17672" s="49" t="s">
        <v>10608</v>
      </c>
    </row>
    <row r="17673" spans="1:2">
      <c r="A17673" s="66">
        <v>46073.127812812498</v>
      </c>
      <c r="B17673" s="49" t="s">
        <v>10608</v>
      </c>
    </row>
    <row r="17674" spans="1:2">
      <c r="A17674" s="66">
        <v>46073.128826944449</v>
      </c>
      <c r="B17674" s="49" t="s">
        <v>10608</v>
      </c>
    </row>
    <row r="17675" spans="1:2">
      <c r="A17675" s="66">
        <v>46073.130259421298</v>
      </c>
      <c r="B17675" s="49" t="s">
        <v>10608</v>
      </c>
    </row>
    <row r="17676" spans="1:2">
      <c r="A17676" s="66">
        <v>46073.131294050923</v>
      </c>
      <c r="B17676" s="49" t="s">
        <v>10608</v>
      </c>
    </row>
    <row r="17677" spans="1:2">
      <c r="A17677" s="66">
        <v>46073.132697673616</v>
      </c>
      <c r="B17677" s="49" t="s">
        <v>10588</v>
      </c>
    </row>
    <row r="17678" spans="1:2">
      <c r="A17678" s="66">
        <v>46073.132701481481</v>
      </c>
      <c r="B17678" s="49" t="s">
        <v>10466</v>
      </c>
    </row>
    <row r="17679" spans="1:2">
      <c r="A17679" s="66">
        <v>46073.132718159723</v>
      </c>
      <c r="B17679" s="49" t="s">
        <v>10592</v>
      </c>
    </row>
    <row r="17680" spans="1:2">
      <c r="A17680" s="66">
        <v>46073.133803969904</v>
      </c>
      <c r="B17680" s="49" t="s">
        <v>10608</v>
      </c>
    </row>
    <row r="17681" spans="1:2">
      <c r="A17681" s="66">
        <v>46073.134553622687</v>
      </c>
      <c r="B17681" s="49" t="s">
        <v>10608</v>
      </c>
    </row>
    <row r="17682" spans="1:2">
      <c r="A17682" s="66">
        <v>46073.135881365743</v>
      </c>
      <c r="B17682" s="49" t="s">
        <v>10608</v>
      </c>
    </row>
    <row r="17683" spans="1:2">
      <c r="A17683" s="66">
        <v>46073.137161817125</v>
      </c>
      <c r="B17683" s="49" t="s">
        <v>10608</v>
      </c>
    </row>
    <row r="17684" spans="1:2">
      <c r="A17684" s="66">
        <v>46073.138127442129</v>
      </c>
      <c r="B17684" s="49" t="s">
        <v>10608</v>
      </c>
    </row>
    <row r="17685" spans="1:2">
      <c r="A17685" s="66">
        <v>46073.13907237268</v>
      </c>
      <c r="B17685" s="49" t="s">
        <v>10608</v>
      </c>
    </row>
    <row r="17686" spans="1:2">
      <c r="A17686" s="66">
        <v>46073.140172673608</v>
      </c>
      <c r="B17686" s="49" t="s">
        <v>10588</v>
      </c>
    </row>
    <row r="17687" spans="1:2">
      <c r="A17687" s="66">
        <v>46073.14017619213</v>
      </c>
      <c r="B17687" s="49" t="s">
        <v>10466</v>
      </c>
    </row>
    <row r="17688" spans="1:2">
      <c r="A17688" s="66">
        <v>46073.140191435188</v>
      </c>
      <c r="B17688" s="49" t="s">
        <v>10592</v>
      </c>
    </row>
    <row r="17689" spans="1:2">
      <c r="A17689" s="66">
        <v>46073.141125601847</v>
      </c>
      <c r="B17689" s="49" t="s">
        <v>10608</v>
      </c>
    </row>
    <row r="17690" spans="1:2">
      <c r="A17690" s="66">
        <v>46073.142140960648</v>
      </c>
      <c r="B17690" s="49" t="s">
        <v>10608</v>
      </c>
    </row>
    <row r="17691" spans="1:2">
      <c r="A17691" s="66">
        <v>46073.143049560182</v>
      </c>
      <c r="B17691" s="49" t="s">
        <v>10608</v>
      </c>
    </row>
    <row r="17692" spans="1:2">
      <c r="A17692" s="66">
        <v>46073.144250196754</v>
      </c>
      <c r="B17692" s="49" t="s">
        <v>10608</v>
      </c>
    </row>
    <row r="17693" spans="1:2">
      <c r="A17693" s="66">
        <v>46073.145005034719</v>
      </c>
      <c r="B17693" s="49" t="s">
        <v>10608</v>
      </c>
    </row>
    <row r="17694" spans="1:2">
      <c r="A17694" s="66">
        <v>46073.14623456019</v>
      </c>
      <c r="B17694" s="49" t="s">
        <v>10608</v>
      </c>
    </row>
    <row r="17695" spans="1:2">
      <c r="A17695" s="66">
        <v>46073.147011574074</v>
      </c>
      <c r="B17695" s="49" t="s">
        <v>10608</v>
      </c>
    </row>
    <row r="17696" spans="1:2">
      <c r="A17696" s="66">
        <v>46073.14788128472</v>
      </c>
      <c r="B17696" s="49" t="s">
        <v>10588</v>
      </c>
    </row>
    <row r="17697" spans="1:2">
      <c r="A17697" s="66">
        <v>46073.147884652775</v>
      </c>
      <c r="B17697" s="49" t="s">
        <v>10466</v>
      </c>
    </row>
    <row r="17698" spans="1:2">
      <c r="A17698" s="66">
        <v>46073.147901064818</v>
      </c>
      <c r="B17698" s="49" t="s">
        <v>10592</v>
      </c>
    </row>
    <row r="17699" spans="1:2">
      <c r="A17699" s="66">
        <v>46073.148769537038</v>
      </c>
      <c r="B17699" s="49" t="s">
        <v>10608</v>
      </c>
    </row>
    <row r="17700" spans="1:2">
      <c r="A17700" s="66">
        <v>46073.149905347222</v>
      </c>
      <c r="B17700" s="49" t="s">
        <v>10608</v>
      </c>
    </row>
    <row r="17701" spans="1:2">
      <c r="A17701" s="66">
        <v>46073.151175740742</v>
      </c>
      <c r="B17701" s="49" t="s">
        <v>10608</v>
      </c>
    </row>
    <row r="17702" spans="1:2">
      <c r="A17702" s="66">
        <v>46073.152106377311</v>
      </c>
      <c r="B17702" s="49" t="s">
        <v>10608</v>
      </c>
    </row>
    <row r="17703" spans="1:2">
      <c r="A17703" s="66">
        <v>46073.153328645829</v>
      </c>
      <c r="B17703" s="49" t="s">
        <v>10608</v>
      </c>
    </row>
    <row r="17704" spans="1:2">
      <c r="A17704" s="66">
        <v>46073.154575208333</v>
      </c>
      <c r="B17704" s="49" t="s">
        <v>10608</v>
      </c>
    </row>
    <row r="17705" spans="1:2">
      <c r="A17705" s="66">
        <v>46073.155426053243</v>
      </c>
      <c r="B17705" s="49" t="s">
        <v>10588</v>
      </c>
    </row>
    <row r="17706" spans="1:2">
      <c r="A17706" s="66">
        <v>46073.155448078702</v>
      </c>
      <c r="B17706" s="49" t="s">
        <v>10466</v>
      </c>
    </row>
    <row r="17707" spans="1:2">
      <c r="A17707" s="66">
        <v>46073.155464791664</v>
      </c>
      <c r="B17707" s="49" t="s">
        <v>10592</v>
      </c>
    </row>
    <row r="17708" spans="1:2">
      <c r="A17708" s="66">
        <v>46073.156506932872</v>
      </c>
      <c r="B17708" s="49" t="s">
        <v>10608</v>
      </c>
    </row>
    <row r="17709" spans="1:2">
      <c r="A17709" s="66">
        <v>46073.157683263889</v>
      </c>
      <c r="B17709" s="49" t="s">
        <v>10608</v>
      </c>
    </row>
    <row r="17710" spans="1:2">
      <c r="A17710" s="66">
        <v>46073.158509583329</v>
      </c>
      <c r="B17710" s="49" t="s">
        <v>10608</v>
      </c>
    </row>
    <row r="17711" spans="1:2">
      <c r="A17711" s="66">
        <v>46073.159763356482</v>
      </c>
      <c r="B17711" s="49" t="s">
        <v>10608</v>
      </c>
    </row>
    <row r="17712" spans="1:2">
      <c r="A17712" s="66">
        <v>46073.160698078704</v>
      </c>
      <c r="B17712" s="49" t="s">
        <v>10608</v>
      </c>
    </row>
    <row r="17713" spans="1:2">
      <c r="A17713" s="66">
        <v>46073.161980636578</v>
      </c>
      <c r="B17713" s="49" t="s">
        <v>10608</v>
      </c>
    </row>
    <row r="17714" spans="1:2">
      <c r="A17714" s="66">
        <v>46073.163178101851</v>
      </c>
      <c r="B17714" s="49" t="s">
        <v>10588</v>
      </c>
    </row>
    <row r="17715" spans="1:2">
      <c r="A17715" s="66">
        <v>46073.163183622688</v>
      </c>
      <c r="B17715" s="49" t="s">
        <v>10466</v>
      </c>
    </row>
    <row r="17716" spans="1:2">
      <c r="A17716" s="66">
        <v>46073.163196018519</v>
      </c>
      <c r="B17716" s="49" t="s">
        <v>10592</v>
      </c>
    </row>
    <row r="17717" spans="1:2">
      <c r="A17717" s="66">
        <v>46073.164293136579</v>
      </c>
      <c r="B17717" s="49" t="s">
        <v>10608</v>
      </c>
    </row>
    <row r="17718" spans="1:2">
      <c r="A17718" s="66">
        <v>46073.165054768513</v>
      </c>
      <c r="B17718" s="49" t="s">
        <v>10608</v>
      </c>
    </row>
    <row r="17719" spans="1:2">
      <c r="A17719" s="66">
        <v>46073.16599050926</v>
      </c>
      <c r="B17719" s="49" t="s">
        <v>10608</v>
      </c>
    </row>
    <row r="17720" spans="1:2">
      <c r="A17720" s="66">
        <v>46073.166991967591</v>
      </c>
      <c r="B17720" s="49" t="s">
        <v>10608</v>
      </c>
    </row>
    <row r="17721" spans="1:2">
      <c r="A17721" s="66">
        <v>46073.16773976852</v>
      </c>
      <c r="B17721" s="49" t="s">
        <v>10608</v>
      </c>
    </row>
    <row r="17722" spans="1:2">
      <c r="A17722" s="66">
        <v>46073.168708773148</v>
      </c>
      <c r="B17722" s="49" t="s">
        <v>10608</v>
      </c>
    </row>
    <row r="17723" spans="1:2">
      <c r="A17723" s="66">
        <v>46073.16993506944</v>
      </c>
      <c r="B17723" s="49" t="s">
        <v>10608</v>
      </c>
    </row>
    <row r="17724" spans="1:2">
      <c r="A17724" s="66">
        <v>46073.170827083333</v>
      </c>
      <c r="B17724" s="49" t="s">
        <v>10588</v>
      </c>
    </row>
    <row r="17725" spans="1:2">
      <c r="A17725" s="66">
        <v>46073.1708334375</v>
      </c>
      <c r="B17725" s="49" t="s">
        <v>10466</v>
      </c>
    </row>
    <row r="17726" spans="1:2">
      <c r="A17726" s="66">
        <v>46073.170957314811</v>
      </c>
      <c r="B17726" s="49" t="s">
        <v>10592</v>
      </c>
    </row>
    <row r="17727" spans="1:2">
      <c r="A17727" s="66">
        <v>46073.172267951391</v>
      </c>
      <c r="B17727" s="49" t="s">
        <v>10608</v>
      </c>
    </row>
    <row r="17728" spans="1:2">
      <c r="A17728" s="66">
        <v>46073.173492164351</v>
      </c>
      <c r="B17728" s="49" t="s">
        <v>10608</v>
      </c>
    </row>
    <row r="17729" spans="1:2">
      <c r="A17729" s="66">
        <v>46073.174590428243</v>
      </c>
      <c r="B17729" s="49" t="s">
        <v>10608</v>
      </c>
    </row>
    <row r="17730" spans="1:2">
      <c r="A17730" s="66">
        <v>46073.175756550925</v>
      </c>
      <c r="B17730" s="49" t="s">
        <v>10608</v>
      </c>
    </row>
    <row r="17731" spans="1:2">
      <c r="A17731" s="66">
        <v>46073.176752546293</v>
      </c>
      <c r="B17731" s="49" t="s">
        <v>10608</v>
      </c>
    </row>
    <row r="17732" spans="1:2">
      <c r="A17732" s="66">
        <v>46073.178091817128</v>
      </c>
      <c r="B17732" s="49" t="s">
        <v>10588</v>
      </c>
    </row>
    <row r="17733" spans="1:2">
      <c r="A17733" s="66">
        <v>46073.178094513889</v>
      </c>
      <c r="B17733" s="49" t="s">
        <v>10466</v>
      </c>
    </row>
    <row r="17734" spans="1:2">
      <c r="A17734" s="66">
        <v>46073.178109733795</v>
      </c>
      <c r="B17734" s="49" t="s">
        <v>10592</v>
      </c>
    </row>
    <row r="17735" spans="1:2">
      <c r="A17735" s="66">
        <v>46073.178964004634</v>
      </c>
      <c r="B17735" s="49" t="s">
        <v>10608</v>
      </c>
    </row>
    <row r="17736" spans="1:2">
      <c r="A17736" s="66">
        <v>46073.179980034722</v>
      </c>
      <c r="B17736" s="49" t="s">
        <v>10608</v>
      </c>
    </row>
    <row r="17737" spans="1:2">
      <c r="A17737" s="66">
        <v>46073.181067442129</v>
      </c>
      <c r="B17737" s="49" t="s">
        <v>10608</v>
      </c>
    </row>
    <row r="17738" spans="1:2">
      <c r="A17738" s="66">
        <v>46073.182300428241</v>
      </c>
      <c r="B17738" s="49" t="s">
        <v>10608</v>
      </c>
    </row>
    <row r="17739" spans="1:2">
      <c r="A17739" s="66">
        <v>46073.183188807874</v>
      </c>
      <c r="B17739" s="49" t="s">
        <v>10608</v>
      </c>
    </row>
    <row r="17740" spans="1:2">
      <c r="A17740" s="66">
        <v>46073.184316493054</v>
      </c>
      <c r="B17740" s="49" t="s">
        <v>10608</v>
      </c>
    </row>
    <row r="17741" spans="1:2">
      <c r="A17741" s="66">
        <v>46073.185465983799</v>
      </c>
      <c r="B17741" s="49" t="s">
        <v>10588</v>
      </c>
    </row>
    <row r="17742" spans="1:2">
      <c r="A17742" s="66">
        <v>46073.185468518517</v>
      </c>
      <c r="B17742" s="49" t="s">
        <v>10466</v>
      </c>
    </row>
    <row r="17743" spans="1:2">
      <c r="A17743" s="66">
        <v>46073.185488090283</v>
      </c>
      <c r="B17743" s="49" t="s">
        <v>10592</v>
      </c>
    </row>
    <row r="17744" spans="1:2">
      <c r="A17744" s="66">
        <v>46073.186302337963</v>
      </c>
      <c r="B17744" s="49" t="s">
        <v>10608</v>
      </c>
    </row>
    <row r="17745" spans="1:2">
      <c r="A17745" s="66">
        <v>46073.187402615746</v>
      </c>
      <c r="B17745" s="49" t="s">
        <v>10608</v>
      </c>
    </row>
    <row r="17746" spans="1:2">
      <c r="A17746" s="66">
        <v>46073.188405057866</v>
      </c>
      <c r="B17746" s="49" t="s">
        <v>10608</v>
      </c>
    </row>
    <row r="17747" spans="1:2">
      <c r="A17747" s="66">
        <v>46073.189359062497</v>
      </c>
      <c r="B17747" s="49" t="s">
        <v>10608</v>
      </c>
    </row>
    <row r="17748" spans="1:2">
      <c r="A17748" s="66">
        <v>46073.190227280094</v>
      </c>
      <c r="B17748" s="49" t="s">
        <v>10608</v>
      </c>
    </row>
    <row r="17749" spans="1:2">
      <c r="A17749" s="66">
        <v>46073.191420219911</v>
      </c>
      <c r="B17749" s="49" t="s">
        <v>10608</v>
      </c>
    </row>
    <row r="17750" spans="1:2">
      <c r="A17750" s="66">
        <v>46073.192532071756</v>
      </c>
      <c r="B17750" s="49" t="s">
        <v>10588</v>
      </c>
    </row>
    <row r="17751" spans="1:2">
      <c r="A17751" s="66">
        <v>46073.192540543983</v>
      </c>
      <c r="B17751" s="49" t="s">
        <v>10466</v>
      </c>
    </row>
    <row r="17752" spans="1:2">
      <c r="A17752" s="66">
        <v>46073.192556469905</v>
      </c>
      <c r="B17752" s="49" t="s">
        <v>10592</v>
      </c>
    </row>
    <row r="17753" spans="1:2">
      <c r="A17753" s="66">
        <v>46073.193842199078</v>
      </c>
      <c r="B17753" s="49" t="s">
        <v>10608</v>
      </c>
    </row>
    <row r="17754" spans="1:2">
      <c r="A17754" s="66">
        <v>46073.195084791667</v>
      </c>
      <c r="B17754" s="49" t="s">
        <v>10608</v>
      </c>
    </row>
    <row r="17755" spans="1:2">
      <c r="A17755" s="66">
        <v>46073.19614644676</v>
      </c>
      <c r="B17755" s="49" t="s">
        <v>10608</v>
      </c>
    </row>
    <row r="17756" spans="1:2">
      <c r="A17756" s="66">
        <v>46073.196925219905</v>
      </c>
      <c r="B17756" s="49" t="s">
        <v>10608</v>
      </c>
    </row>
    <row r="17757" spans="1:2">
      <c r="A17757" s="66">
        <v>46073.197974641203</v>
      </c>
      <c r="B17757" s="49" t="s">
        <v>10608</v>
      </c>
    </row>
    <row r="17758" spans="1:2">
      <c r="A17758" s="66">
        <v>46073.199253842591</v>
      </c>
      <c r="B17758" s="49" t="s">
        <v>10608</v>
      </c>
    </row>
    <row r="17759" spans="1:2">
      <c r="A17759" s="66">
        <v>46073.200549942128</v>
      </c>
      <c r="B17759" s="49" t="s">
        <v>10588</v>
      </c>
    </row>
    <row r="17760" spans="1:2">
      <c r="A17760" s="66">
        <v>46073.200552650465</v>
      </c>
      <c r="B17760" s="49" t="s">
        <v>10466</v>
      </c>
    </row>
    <row r="17761" spans="1:2">
      <c r="A17761" s="66">
        <v>46073.200569270834</v>
      </c>
      <c r="B17761" s="49" t="s">
        <v>10592</v>
      </c>
    </row>
    <row r="17762" spans="1:2">
      <c r="A17762" s="66">
        <v>46073.201760509255</v>
      </c>
      <c r="B17762" s="49" t="s">
        <v>10608</v>
      </c>
    </row>
    <row r="17763" spans="1:2">
      <c r="A17763" s="66">
        <v>46073.202932835644</v>
      </c>
      <c r="B17763" s="49" t="s">
        <v>10608</v>
      </c>
    </row>
    <row r="17764" spans="1:2">
      <c r="A17764" s="66">
        <v>46073.204239189814</v>
      </c>
      <c r="B17764" s="49" t="s">
        <v>10608</v>
      </c>
    </row>
    <row r="17765" spans="1:2">
      <c r="A17765" s="66">
        <v>46073.205454976851</v>
      </c>
      <c r="B17765" s="49" t="s">
        <v>10608</v>
      </c>
    </row>
    <row r="17766" spans="1:2">
      <c r="A17766" s="66">
        <v>46073.206297766199</v>
      </c>
      <c r="B17766" s="49" t="s">
        <v>10608</v>
      </c>
    </row>
    <row r="17767" spans="1:2">
      <c r="A17767" s="66">
        <v>46073.20760793981</v>
      </c>
      <c r="B17767" s="49" t="s">
        <v>10588</v>
      </c>
    </row>
    <row r="17768" spans="1:2">
      <c r="A17768" s="66">
        <v>46073.207611342594</v>
      </c>
      <c r="B17768" s="49" t="s">
        <v>10466</v>
      </c>
    </row>
    <row r="17769" spans="1:2">
      <c r="A17769" s="66">
        <v>46073.207629814817</v>
      </c>
      <c r="B17769" s="49" t="s">
        <v>10592</v>
      </c>
    </row>
    <row r="17770" spans="1:2">
      <c r="A17770" s="66">
        <v>46073.20849704861</v>
      </c>
      <c r="B17770" s="49" t="s">
        <v>10608</v>
      </c>
    </row>
    <row r="17771" spans="1:2">
      <c r="A17771" s="66">
        <v>46073.209340092595</v>
      </c>
      <c r="B17771" s="49" t="s">
        <v>10608</v>
      </c>
    </row>
    <row r="17772" spans="1:2">
      <c r="A17772" s="66">
        <v>46073.210578148151</v>
      </c>
      <c r="B17772" s="49" t="s">
        <v>10608</v>
      </c>
    </row>
    <row r="17773" spans="1:2">
      <c r="A17773" s="66">
        <v>46073.211649317134</v>
      </c>
      <c r="B17773" s="49" t="s">
        <v>10608</v>
      </c>
    </row>
    <row r="17774" spans="1:2">
      <c r="A17774" s="66">
        <v>46073.212875717596</v>
      </c>
      <c r="B17774" s="49" t="s">
        <v>10608</v>
      </c>
    </row>
    <row r="17775" spans="1:2">
      <c r="A17775" s="66">
        <v>46073.2140100463</v>
      </c>
      <c r="B17775" s="49" t="s">
        <v>10608</v>
      </c>
    </row>
    <row r="17776" spans="1:2">
      <c r="A17776" s="66">
        <v>46073.214993125002</v>
      </c>
      <c r="B17776" s="49" t="s">
        <v>10588</v>
      </c>
    </row>
    <row r="17777" spans="1:2">
      <c r="A17777" s="66">
        <v>46073.214995416667</v>
      </c>
      <c r="B17777" s="49" t="s">
        <v>10466</v>
      </c>
    </row>
    <row r="17778" spans="1:2">
      <c r="A17778" s="66">
        <v>46073.215009293985</v>
      </c>
      <c r="B17778" s="49" t="s">
        <v>10592</v>
      </c>
    </row>
    <row r="17779" spans="1:2">
      <c r="A17779" s="66">
        <v>46073.216048298607</v>
      </c>
      <c r="B17779" s="49" t="s">
        <v>10608</v>
      </c>
    </row>
    <row r="17780" spans="1:2">
      <c r="A17780" s="66">
        <v>46073.216882326393</v>
      </c>
      <c r="B17780" s="49" t="s">
        <v>10608</v>
      </c>
    </row>
    <row r="17781" spans="1:2">
      <c r="A17781" s="66">
        <v>46073.217701851856</v>
      </c>
      <c r="B17781" s="49" t="s">
        <v>10608</v>
      </c>
    </row>
    <row r="17782" spans="1:2">
      <c r="A17782" s="66">
        <v>46073.218551284721</v>
      </c>
      <c r="B17782" s="49" t="s">
        <v>10608</v>
      </c>
    </row>
    <row r="17783" spans="1:2">
      <c r="A17783" s="66">
        <v>46073.219330324078</v>
      </c>
      <c r="B17783" s="49" t="s">
        <v>10608</v>
      </c>
    </row>
    <row r="17784" spans="1:2">
      <c r="A17784" s="66">
        <v>46073.220256168977</v>
      </c>
      <c r="B17784" s="49" t="s">
        <v>10608</v>
      </c>
    </row>
    <row r="17785" spans="1:2">
      <c r="A17785" s="66">
        <v>46073.221031215275</v>
      </c>
      <c r="B17785" s="49" t="s">
        <v>10608</v>
      </c>
    </row>
    <row r="17786" spans="1:2">
      <c r="A17786" s="66">
        <v>46073.222066712959</v>
      </c>
      <c r="B17786" s="49" t="s">
        <v>10588</v>
      </c>
    </row>
    <row r="17787" spans="1:2">
      <c r="A17787" s="66">
        <v>46073.222070509262</v>
      </c>
      <c r="B17787" s="49" t="s">
        <v>10466</v>
      </c>
    </row>
    <row r="17788" spans="1:2">
      <c r="A17788" s="66">
        <v>46073.222093425924</v>
      </c>
      <c r="B17788" s="49" t="s">
        <v>10592</v>
      </c>
    </row>
    <row r="17789" spans="1:2">
      <c r="A17789" s="66">
        <v>46073.222985</v>
      </c>
      <c r="B17789" s="49" t="s">
        <v>10608</v>
      </c>
    </row>
    <row r="17790" spans="1:2">
      <c r="A17790" s="66">
        <v>46073.224010497681</v>
      </c>
      <c r="B17790" s="49" t="s">
        <v>10608</v>
      </c>
    </row>
    <row r="17791" spans="1:2">
      <c r="A17791" s="66">
        <v>46073.225369872685</v>
      </c>
      <c r="B17791" s="49" t="s">
        <v>10608</v>
      </c>
    </row>
    <row r="17792" spans="1:2">
      <c r="A17792" s="66">
        <v>46073.226586145829</v>
      </c>
      <c r="B17792" s="49" t="s">
        <v>10608</v>
      </c>
    </row>
    <row r="17793" spans="1:2">
      <c r="A17793" s="66">
        <v>46073.227817384264</v>
      </c>
      <c r="B17793" s="49" t="s">
        <v>10608</v>
      </c>
    </row>
    <row r="17794" spans="1:2">
      <c r="A17794" s="66">
        <v>46073.228632916667</v>
      </c>
      <c r="B17794" s="49" t="s">
        <v>10608</v>
      </c>
    </row>
    <row r="17795" spans="1:2">
      <c r="A17795" s="66">
        <v>46073.229489421297</v>
      </c>
      <c r="B17795" s="49" t="s">
        <v>10588</v>
      </c>
    </row>
    <row r="17796" spans="1:2">
      <c r="A17796" s="66">
        <v>46073.229491828708</v>
      </c>
      <c r="B17796" s="49" t="s">
        <v>10466</v>
      </c>
    </row>
    <row r="17797" spans="1:2">
      <c r="A17797" s="66">
        <v>46073.229507951386</v>
      </c>
      <c r="B17797" s="49" t="s">
        <v>10592</v>
      </c>
    </row>
    <row r="17798" spans="1:2">
      <c r="A17798" s="66">
        <v>46073.230873078704</v>
      </c>
      <c r="B17798" s="49" t="s">
        <v>10608</v>
      </c>
    </row>
    <row r="17799" spans="1:2">
      <c r="A17799" s="66">
        <v>46073.232035787034</v>
      </c>
      <c r="B17799" s="49" t="s">
        <v>10608</v>
      </c>
    </row>
    <row r="17800" spans="1:2">
      <c r="A17800" s="66">
        <v>46073.232773900461</v>
      </c>
      <c r="B17800" s="49" t="s">
        <v>10608</v>
      </c>
    </row>
    <row r="17801" spans="1:2">
      <c r="A17801" s="66">
        <v>46073.234112731487</v>
      </c>
      <c r="B17801" s="49" t="s">
        <v>10608</v>
      </c>
    </row>
    <row r="17802" spans="1:2">
      <c r="A17802" s="66">
        <v>46073.235429039356</v>
      </c>
      <c r="B17802" s="49" t="s">
        <v>10608</v>
      </c>
    </row>
    <row r="17803" spans="1:2">
      <c r="A17803" s="66">
        <v>46073.236615601854</v>
      </c>
      <c r="B17803" s="49" t="s">
        <v>10588</v>
      </c>
    </row>
    <row r="17804" spans="1:2">
      <c r="A17804" s="66">
        <v>46073.236630081017</v>
      </c>
      <c r="B17804" s="49" t="s">
        <v>10466</v>
      </c>
    </row>
    <row r="17805" spans="1:2">
      <c r="A17805" s="66">
        <v>46073.236660532406</v>
      </c>
      <c r="B17805" s="49" t="s">
        <v>10592</v>
      </c>
    </row>
    <row r="17806" spans="1:2">
      <c r="A17806" s="66">
        <v>46073.237542060189</v>
      </c>
      <c r="B17806" s="49" t="s">
        <v>10608</v>
      </c>
    </row>
    <row r="17807" spans="1:2">
      <c r="A17807" s="66">
        <v>46073.238788831019</v>
      </c>
      <c r="B17807" s="49" t="s">
        <v>10608</v>
      </c>
    </row>
    <row r="17808" spans="1:2">
      <c r="A17808" s="66">
        <v>46073.240162256945</v>
      </c>
      <c r="B17808" s="49" t="s">
        <v>10608</v>
      </c>
    </row>
    <row r="17809" spans="1:2">
      <c r="A17809" s="66">
        <v>46073.241013159721</v>
      </c>
      <c r="B17809" s="49" t="s">
        <v>10608</v>
      </c>
    </row>
    <row r="17810" spans="1:2">
      <c r="A17810" s="66">
        <v>46073.242339293982</v>
      </c>
      <c r="B17810" s="49" t="s">
        <v>10608</v>
      </c>
    </row>
    <row r="17811" spans="1:2">
      <c r="A17811" s="66">
        <v>46073.243763356484</v>
      </c>
      <c r="B17811" s="49" t="s">
        <v>10588</v>
      </c>
    </row>
    <row r="17812" spans="1:2">
      <c r="A17812" s="66">
        <v>46073.243766782412</v>
      </c>
      <c r="B17812" s="49" t="s">
        <v>10466</v>
      </c>
    </row>
    <row r="17813" spans="1:2">
      <c r="A17813" s="66">
        <v>46073.243789884262</v>
      </c>
      <c r="B17813" s="49" t="s">
        <v>10592</v>
      </c>
    </row>
    <row r="17814" spans="1:2">
      <c r="A17814" s="66">
        <v>46073.24496236111</v>
      </c>
      <c r="B17814" s="49" t="s">
        <v>10608</v>
      </c>
    </row>
    <row r="17815" spans="1:2">
      <c r="A17815" s="66">
        <v>46073.246065937499</v>
      </c>
      <c r="B17815" s="49" t="s">
        <v>10608</v>
      </c>
    </row>
    <row r="17816" spans="1:2">
      <c r="A17816" s="66">
        <v>46073.247322592593</v>
      </c>
      <c r="B17816" s="49" t="s">
        <v>10608</v>
      </c>
    </row>
    <row r="17817" spans="1:2">
      <c r="A17817" s="66">
        <v>46073.24819622685</v>
      </c>
      <c r="B17817" s="49" t="s">
        <v>10608</v>
      </c>
    </row>
    <row r="17818" spans="1:2">
      <c r="A17818" s="66">
        <v>46073.249397094907</v>
      </c>
      <c r="B17818" s="49" t="s">
        <v>10608</v>
      </c>
    </row>
    <row r="17819" spans="1:2">
      <c r="A17819" s="66">
        <v>46073.250541331014</v>
      </c>
      <c r="B17819" s="49" t="s">
        <v>10608</v>
      </c>
    </row>
    <row r="17820" spans="1:2">
      <c r="A17820" s="66">
        <v>46073.251511909722</v>
      </c>
      <c r="B17820" s="49" t="s">
        <v>10588</v>
      </c>
    </row>
    <row r="17821" spans="1:2">
      <c r="A17821" s="66">
        <v>46073.251514050928</v>
      </c>
      <c r="B17821" s="49" t="s">
        <v>10466</v>
      </c>
    </row>
    <row r="17822" spans="1:2">
      <c r="A17822" s="66">
        <v>46073.25153105324</v>
      </c>
      <c r="B17822" s="49" t="s">
        <v>10592</v>
      </c>
    </row>
    <row r="17823" spans="1:2">
      <c r="A17823" s="66">
        <v>46073.252592673613</v>
      </c>
      <c r="B17823" s="49" t="s">
        <v>10608</v>
      </c>
    </row>
    <row r="17824" spans="1:2">
      <c r="A17824" s="66">
        <v>46073.253548657405</v>
      </c>
      <c r="B17824" s="49" t="s">
        <v>10608</v>
      </c>
    </row>
    <row r="17825" spans="1:2">
      <c r="A17825" s="66">
        <v>46073.254619837964</v>
      </c>
      <c r="B17825" s="49" t="s">
        <v>10608</v>
      </c>
    </row>
    <row r="17826" spans="1:2">
      <c r="A17826" s="66">
        <v>46073.25562650463</v>
      </c>
      <c r="B17826" s="49" t="s">
        <v>10608</v>
      </c>
    </row>
    <row r="17827" spans="1:2">
      <c r="A17827" s="66">
        <v>46073.256542708332</v>
      </c>
      <c r="B17827" s="49" t="s">
        <v>10608</v>
      </c>
    </row>
    <row r="17828" spans="1:2">
      <c r="A17828" s="66">
        <v>46073.257595208328</v>
      </c>
      <c r="B17828" s="49" t="s">
        <v>10608</v>
      </c>
    </row>
    <row r="17829" spans="1:2">
      <c r="A17829" s="66">
        <v>46073.2584078125</v>
      </c>
      <c r="B17829" s="49" t="s">
        <v>10608</v>
      </c>
    </row>
    <row r="17830" spans="1:2">
      <c r="A17830" s="66">
        <v>46073.259199942127</v>
      </c>
      <c r="B17830" s="49" t="s">
        <v>10588</v>
      </c>
    </row>
    <row r="17831" spans="1:2">
      <c r="A17831" s="66">
        <v>46073.259203275462</v>
      </c>
      <c r="B17831" s="49" t="s">
        <v>10466</v>
      </c>
    </row>
    <row r="17832" spans="1:2">
      <c r="A17832" s="66">
        <v>46073.259219664353</v>
      </c>
      <c r="B17832" s="49" t="s">
        <v>10592</v>
      </c>
    </row>
    <row r="17833" spans="1:2">
      <c r="A17833" s="66">
        <v>46073.260259722221</v>
      </c>
      <c r="B17833" s="49" t="s">
        <v>10608</v>
      </c>
    </row>
    <row r="17834" spans="1:2">
      <c r="A17834" s="66">
        <v>46073.261056226853</v>
      </c>
      <c r="B17834" s="49" t="s">
        <v>10608</v>
      </c>
    </row>
    <row r="17835" spans="1:2">
      <c r="A17835" s="66">
        <v>46073.262120590276</v>
      </c>
      <c r="B17835" s="49" t="s">
        <v>10608</v>
      </c>
    </row>
    <row r="17836" spans="1:2">
      <c r="A17836" s="66">
        <v>46073.263556423612</v>
      </c>
      <c r="B17836" s="49" t="s">
        <v>10608</v>
      </c>
    </row>
    <row r="17837" spans="1:2">
      <c r="A17837" s="66">
        <v>46073.264360902773</v>
      </c>
      <c r="B17837" s="49" t="s">
        <v>10608</v>
      </c>
    </row>
    <row r="17838" spans="1:2">
      <c r="A17838" s="66">
        <v>46073.265502060181</v>
      </c>
      <c r="B17838" s="49" t="s">
        <v>10608</v>
      </c>
    </row>
    <row r="17839" spans="1:2">
      <c r="A17839" s="66">
        <v>46073.266278391202</v>
      </c>
      <c r="B17839" s="49" t="s">
        <v>10588</v>
      </c>
    </row>
    <row r="17840" spans="1:2">
      <c r="A17840" s="66">
        <v>46073.26628225694</v>
      </c>
      <c r="B17840" s="49" t="s">
        <v>10466</v>
      </c>
    </row>
    <row r="17841" spans="1:2">
      <c r="A17841" s="66">
        <v>46073.266298032409</v>
      </c>
      <c r="B17841" s="49" t="s">
        <v>10592</v>
      </c>
    </row>
    <row r="17842" spans="1:2">
      <c r="A17842" s="66">
        <v>46073.267618460653</v>
      </c>
      <c r="B17842" s="49" t="s">
        <v>10608</v>
      </c>
    </row>
    <row r="17843" spans="1:2">
      <c r="A17843" s="66">
        <v>46073.268512546296</v>
      </c>
      <c r="B17843" s="49" t="s">
        <v>10608</v>
      </c>
    </row>
    <row r="17844" spans="1:2">
      <c r="A17844" s="66">
        <v>46073.269726782411</v>
      </c>
      <c r="B17844" s="49" t="s">
        <v>10608</v>
      </c>
    </row>
    <row r="17845" spans="1:2">
      <c r="A17845" s="66">
        <v>46073.271159918979</v>
      </c>
      <c r="B17845" s="49" t="s">
        <v>10608</v>
      </c>
    </row>
    <row r="17846" spans="1:2">
      <c r="A17846" s="66">
        <v>46073.272004085651</v>
      </c>
      <c r="B17846" s="49" t="s">
        <v>10608</v>
      </c>
    </row>
    <row r="17847" spans="1:2">
      <c r="A17847" s="66">
        <v>46073.27334039352</v>
      </c>
      <c r="B17847" s="49" t="s">
        <v>10588</v>
      </c>
    </row>
    <row r="17848" spans="1:2">
      <c r="A17848" s="66">
        <v>46073.27334295139</v>
      </c>
      <c r="B17848" s="49" t="s">
        <v>10466</v>
      </c>
    </row>
    <row r="17849" spans="1:2">
      <c r="A17849" s="66">
        <v>46073.273356527774</v>
      </c>
      <c r="B17849" s="49" t="s">
        <v>10592</v>
      </c>
    </row>
    <row r="17850" spans="1:2">
      <c r="A17850" s="66">
        <v>46073.274580127312</v>
      </c>
      <c r="B17850" s="49" t="s">
        <v>10608</v>
      </c>
    </row>
    <row r="17851" spans="1:2">
      <c r="A17851" s="66">
        <v>46073.275712118055</v>
      </c>
      <c r="B17851" s="49" t="s">
        <v>10608</v>
      </c>
    </row>
    <row r="17852" spans="1:2">
      <c r="A17852" s="66">
        <v>46073.276784166665</v>
      </c>
      <c r="B17852" s="49" t="s">
        <v>10608</v>
      </c>
    </row>
    <row r="17853" spans="1:2">
      <c r="A17853" s="66">
        <v>46073.277533310189</v>
      </c>
      <c r="B17853" s="49" t="s">
        <v>10608</v>
      </c>
    </row>
    <row r="17854" spans="1:2">
      <c r="A17854" s="66">
        <v>46073.2787665625</v>
      </c>
      <c r="B17854" s="49" t="s">
        <v>10608</v>
      </c>
    </row>
    <row r="17855" spans="1:2">
      <c r="A17855" s="66">
        <v>46073.279788495369</v>
      </c>
      <c r="B17855" s="49" t="s">
        <v>10608</v>
      </c>
    </row>
    <row r="17856" spans="1:2">
      <c r="A17856" s="66">
        <v>46073.280653368056</v>
      </c>
      <c r="B17856" s="49" t="s">
        <v>10588</v>
      </c>
    </row>
    <row r="17857" spans="1:2">
      <c r="A17857" s="66">
        <v>46073.280656898147</v>
      </c>
      <c r="B17857" s="49" t="s">
        <v>10466</v>
      </c>
    </row>
    <row r="17858" spans="1:2">
      <c r="A17858" s="66">
        <v>46073.28067699074</v>
      </c>
      <c r="B17858" s="49" t="s">
        <v>10592</v>
      </c>
    </row>
    <row r="17859" spans="1:2">
      <c r="A17859" s="66">
        <v>46073.281923298608</v>
      </c>
      <c r="B17859" s="49" t="s">
        <v>10608</v>
      </c>
    </row>
    <row r="17860" spans="1:2">
      <c r="A17860" s="66">
        <v>46073.283016967587</v>
      </c>
      <c r="B17860" s="49" t="s">
        <v>10608</v>
      </c>
    </row>
    <row r="17861" spans="1:2">
      <c r="A17861" s="66">
        <v>46073.284197569446</v>
      </c>
      <c r="B17861" s="49" t="s">
        <v>10608</v>
      </c>
    </row>
    <row r="17862" spans="1:2">
      <c r="A17862" s="66">
        <v>46073.285227500004</v>
      </c>
      <c r="B17862" s="49" t="s">
        <v>10608</v>
      </c>
    </row>
    <row r="17863" spans="1:2">
      <c r="A17863" s="66">
        <v>46073.286640312501</v>
      </c>
      <c r="B17863" s="49" t="s">
        <v>10608</v>
      </c>
    </row>
    <row r="17864" spans="1:2">
      <c r="A17864" s="66">
        <v>46073.287679155095</v>
      </c>
      <c r="B17864" s="49" t="s">
        <v>10588</v>
      </c>
    </row>
    <row r="17865" spans="1:2">
      <c r="A17865" s="66">
        <v>46073.287681643516</v>
      </c>
      <c r="B17865" s="49" t="s">
        <v>10466</v>
      </c>
    </row>
    <row r="17866" spans="1:2">
      <c r="A17866" s="66">
        <v>46073.287698032407</v>
      </c>
      <c r="B17866" s="49" t="s">
        <v>10592</v>
      </c>
    </row>
    <row r="17867" spans="1:2">
      <c r="A17867" s="66">
        <v>46073.288667465276</v>
      </c>
      <c r="B17867" s="49" t="s">
        <v>10608</v>
      </c>
    </row>
    <row r="17868" spans="1:2">
      <c r="A17868" s="66">
        <v>46073.289439097221</v>
      </c>
      <c r="B17868" s="49" t="s">
        <v>10608</v>
      </c>
    </row>
    <row r="17869" spans="1:2">
      <c r="A17869" s="66">
        <v>46073.290419016208</v>
      </c>
      <c r="B17869" s="49" t="s">
        <v>10608</v>
      </c>
    </row>
    <row r="17870" spans="1:2">
      <c r="A17870" s="66">
        <v>46073.2915493287</v>
      </c>
      <c r="B17870" s="49" t="s">
        <v>10608</v>
      </c>
    </row>
    <row r="17871" spans="1:2">
      <c r="A17871" s="66">
        <v>46073.292748622684</v>
      </c>
      <c r="B17871" s="49" t="s">
        <v>10608</v>
      </c>
    </row>
    <row r="17872" spans="1:2">
      <c r="A17872" s="66">
        <v>46073.293831516203</v>
      </c>
      <c r="B17872" s="49" t="s">
        <v>10608</v>
      </c>
    </row>
    <row r="17873" spans="1:2">
      <c r="A17873" s="66">
        <v>46073.295152118051</v>
      </c>
      <c r="B17873" s="49" t="s">
        <v>10588</v>
      </c>
    </row>
    <row r="17874" spans="1:2">
      <c r="A17874" s="66">
        <v>46073.295155358792</v>
      </c>
      <c r="B17874" s="49" t="s">
        <v>10466</v>
      </c>
    </row>
    <row r="17875" spans="1:2">
      <c r="A17875" s="66">
        <v>46073.295184918985</v>
      </c>
      <c r="B17875" s="49" t="s">
        <v>10592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6829"/>
  <sheetViews>
    <sheetView workbookViewId="0">
      <pane ySplit="1" topLeftCell="A2" activePane="bottomLeft" state="frozen"/>
      <selection pane="bottomLeft" activeCell="B3" sqref="B3"/>
    </sheetView>
  </sheetViews>
  <sheetFormatPr defaultColWidth="12.5703125" defaultRowHeight="15.75" customHeight="1"/>
  <cols>
    <col min="1" max="1" width="17.5703125" customWidth="1"/>
    <col min="2" max="2" width="13.7109375" customWidth="1"/>
    <col min="3" max="3" width="19.140625" customWidth="1"/>
    <col min="4" max="4" width="31.85546875" customWidth="1"/>
    <col min="5" max="5" width="16.28515625" customWidth="1"/>
    <col min="6" max="6" width="14.5703125" customWidth="1"/>
    <col min="7" max="7" width="13.42578125" customWidth="1"/>
    <col min="8" max="9" width="14.42578125" customWidth="1"/>
    <col min="10" max="10" width="13.42578125" customWidth="1"/>
    <col min="11" max="11" width="13.5703125" customWidth="1"/>
    <col min="12" max="12" width="13.42578125" customWidth="1"/>
    <col min="13" max="13" width="12.7109375" customWidth="1"/>
    <col min="14" max="14" width="37.5703125" customWidth="1"/>
    <col min="15" max="15" width="15.85546875" customWidth="1"/>
  </cols>
  <sheetData>
    <row r="1" spans="1:15" ht="22.5" customHeight="1">
      <c r="A1" s="69" t="s">
        <v>10609</v>
      </c>
      <c r="B1" s="69" t="s">
        <v>10610</v>
      </c>
      <c r="C1" s="69" t="s">
        <v>27</v>
      </c>
      <c r="D1" s="69" t="s">
        <v>6</v>
      </c>
      <c r="E1" s="69" t="s">
        <v>10611</v>
      </c>
      <c r="F1" s="70" t="s">
        <v>3</v>
      </c>
      <c r="G1" s="70" t="s">
        <v>10612</v>
      </c>
      <c r="H1" s="71" t="s">
        <v>10613</v>
      </c>
      <c r="I1" s="72" t="s">
        <v>10614</v>
      </c>
      <c r="J1" s="73" t="s">
        <v>10615</v>
      </c>
      <c r="K1" s="69" t="s">
        <v>10616</v>
      </c>
      <c r="L1" s="69" t="s">
        <v>10617</v>
      </c>
      <c r="M1" s="69" t="s">
        <v>10618</v>
      </c>
      <c r="N1" s="74" t="s">
        <v>10619</v>
      </c>
      <c r="O1" s="75" t="s">
        <v>10620</v>
      </c>
    </row>
    <row r="2" spans="1:15" ht="22.5" customHeight="1">
      <c r="A2" s="76">
        <v>759724529202804</v>
      </c>
      <c r="B2" s="77" t="s">
        <v>10621</v>
      </c>
      <c r="C2" s="77" t="s">
        <v>10622</v>
      </c>
      <c r="D2" s="77" t="s">
        <v>183</v>
      </c>
      <c r="E2" s="77">
        <v>6285255435848</v>
      </c>
      <c r="F2" s="78">
        <v>45809</v>
      </c>
      <c r="G2" s="79">
        <v>111</v>
      </c>
      <c r="H2" s="80">
        <v>6973.2142857142853</v>
      </c>
      <c r="I2" s="79">
        <v>0</v>
      </c>
      <c r="J2" s="81">
        <v>781</v>
      </c>
      <c r="K2" s="76">
        <v>0</v>
      </c>
      <c r="L2" s="76">
        <v>41</v>
      </c>
      <c r="M2" s="76">
        <v>0</v>
      </c>
      <c r="N2" s="82" t="s">
        <v>10623</v>
      </c>
      <c r="O2" s="83"/>
    </row>
    <row r="3" spans="1:15" ht="22.5" customHeight="1">
      <c r="A3" s="76">
        <v>759724529202804</v>
      </c>
      <c r="B3" s="77" t="s">
        <v>10621</v>
      </c>
      <c r="C3" s="77" t="s">
        <v>10624</v>
      </c>
      <c r="D3" s="77" t="s">
        <v>190</v>
      </c>
      <c r="E3" s="77">
        <v>6281331854948</v>
      </c>
      <c r="F3" s="78">
        <v>45809</v>
      </c>
      <c r="G3" s="79">
        <v>114</v>
      </c>
      <c r="H3" s="80">
        <v>11786.324786324787</v>
      </c>
      <c r="I3" s="79">
        <v>0</v>
      </c>
      <c r="J3" s="81">
        <v>1379</v>
      </c>
      <c r="K3" s="76">
        <v>0</v>
      </c>
      <c r="L3" s="76">
        <v>37</v>
      </c>
      <c r="M3" s="76">
        <v>0</v>
      </c>
      <c r="N3" s="82" t="s">
        <v>10625</v>
      </c>
      <c r="O3" s="83"/>
    </row>
    <row r="4" spans="1:15" ht="22.5" customHeight="1">
      <c r="A4" s="76">
        <v>759724529202804</v>
      </c>
      <c r="B4" s="77" t="s">
        <v>10621</v>
      </c>
      <c r="C4" s="77" t="s">
        <v>10626</v>
      </c>
      <c r="D4" s="77" t="s">
        <v>177</v>
      </c>
      <c r="E4" s="77">
        <v>6282348365032</v>
      </c>
      <c r="F4" s="78">
        <v>45809</v>
      </c>
      <c r="G4" s="79">
        <v>105</v>
      </c>
      <c r="H4" s="80">
        <v>11055.045871559632</v>
      </c>
      <c r="I4" s="79">
        <v>4</v>
      </c>
      <c r="J4" s="81">
        <v>1205</v>
      </c>
      <c r="K4" s="76">
        <v>0</v>
      </c>
      <c r="L4" s="76">
        <v>29</v>
      </c>
      <c r="M4" s="76">
        <v>0</v>
      </c>
      <c r="N4" s="82" t="s">
        <v>10627</v>
      </c>
      <c r="O4" s="83"/>
    </row>
    <row r="5" spans="1:15" ht="22.5" customHeight="1">
      <c r="A5" s="76">
        <v>759724529202804</v>
      </c>
      <c r="B5" s="77" t="s">
        <v>10621</v>
      </c>
      <c r="C5" s="77" t="s">
        <v>206</v>
      </c>
      <c r="D5" s="77" t="s">
        <v>199</v>
      </c>
      <c r="E5" s="77">
        <v>6285220903499</v>
      </c>
      <c r="F5" s="78">
        <v>45809</v>
      </c>
      <c r="G5" s="79">
        <v>569</v>
      </c>
      <c r="H5" s="80">
        <v>17272.594752186589</v>
      </c>
      <c r="I5" s="79">
        <v>23</v>
      </c>
      <c r="J5" s="81">
        <v>11849</v>
      </c>
      <c r="K5" s="76">
        <v>6</v>
      </c>
      <c r="L5" s="76">
        <v>278</v>
      </c>
      <c r="M5" s="76">
        <v>0</v>
      </c>
      <c r="N5" s="82" t="s">
        <v>10628</v>
      </c>
      <c r="O5" s="83"/>
    </row>
    <row r="6" spans="1:15" ht="22.5" customHeight="1">
      <c r="A6" s="76">
        <v>759724529202804</v>
      </c>
      <c r="B6" s="77" t="s">
        <v>10621</v>
      </c>
      <c r="C6" s="77" t="s">
        <v>10629</v>
      </c>
      <c r="D6" s="77" t="s">
        <v>10630</v>
      </c>
      <c r="E6" s="77"/>
      <c r="F6" s="78">
        <v>45809</v>
      </c>
      <c r="G6" s="79">
        <v>11726</v>
      </c>
      <c r="H6" s="80">
        <v>1260.1054481546571</v>
      </c>
      <c r="I6" s="79">
        <v>19</v>
      </c>
      <c r="J6" s="81">
        <v>15057</v>
      </c>
      <c r="K6" s="76">
        <v>0</v>
      </c>
      <c r="L6" s="76">
        <v>1423</v>
      </c>
      <c r="M6" s="76">
        <v>0</v>
      </c>
      <c r="N6" s="82" t="s">
        <v>10631</v>
      </c>
      <c r="O6" s="83"/>
    </row>
    <row r="7" spans="1:15" ht="22.5" customHeight="1">
      <c r="A7" s="76">
        <v>759724529202804</v>
      </c>
      <c r="B7" s="77" t="s">
        <v>10621</v>
      </c>
      <c r="C7" s="77" t="s">
        <v>10632</v>
      </c>
      <c r="D7" s="77" t="s">
        <v>161</v>
      </c>
      <c r="E7" s="77">
        <v>6285240684331</v>
      </c>
      <c r="F7" s="78">
        <v>45809</v>
      </c>
      <c r="G7" s="79">
        <v>1006</v>
      </c>
      <c r="H7" s="80">
        <v>12147.126436781609</v>
      </c>
      <c r="I7" s="79">
        <v>22</v>
      </c>
      <c r="J7" s="81">
        <v>15852</v>
      </c>
      <c r="K7" s="76">
        <v>3</v>
      </c>
      <c r="L7" s="76">
        <v>228</v>
      </c>
      <c r="M7" s="76">
        <v>0</v>
      </c>
      <c r="N7" s="82" t="s">
        <v>10633</v>
      </c>
      <c r="O7" s="83"/>
    </row>
    <row r="8" spans="1:15" ht="22.5" customHeight="1">
      <c r="A8" s="76">
        <v>759724529202804</v>
      </c>
      <c r="B8" s="77" t="s">
        <v>10621</v>
      </c>
      <c r="C8" s="77" t="s">
        <v>10634</v>
      </c>
      <c r="D8" s="77" t="s">
        <v>155</v>
      </c>
      <c r="E8" s="77">
        <v>6282154483973</v>
      </c>
      <c r="F8" s="78">
        <v>45809</v>
      </c>
      <c r="G8" s="79">
        <v>1510</v>
      </c>
      <c r="H8" s="80">
        <v>7866.3813599619598</v>
      </c>
      <c r="I8" s="79">
        <v>30</v>
      </c>
      <c r="J8" s="81">
        <v>16543</v>
      </c>
      <c r="K8" s="76">
        <v>4</v>
      </c>
      <c r="L8" s="76">
        <v>418</v>
      </c>
      <c r="M8" s="76">
        <v>0</v>
      </c>
      <c r="N8" s="82" t="s">
        <v>10635</v>
      </c>
      <c r="O8" s="83"/>
    </row>
    <row r="9" spans="1:15" ht="22.5" customHeight="1">
      <c r="A9" s="76">
        <v>759724529202804</v>
      </c>
      <c r="B9" s="77" t="s">
        <v>10621</v>
      </c>
      <c r="C9" s="77" t="s">
        <v>665</v>
      </c>
      <c r="D9" s="77" t="s">
        <v>659</v>
      </c>
      <c r="E9" s="77">
        <v>6285757057088</v>
      </c>
      <c r="F9" s="78">
        <v>45809</v>
      </c>
      <c r="G9" s="79">
        <v>1031</v>
      </c>
      <c r="H9" s="80">
        <v>10509.920634920634</v>
      </c>
      <c r="I9" s="79">
        <v>46</v>
      </c>
      <c r="J9" s="81">
        <v>15891</v>
      </c>
      <c r="K9" s="76">
        <v>2</v>
      </c>
      <c r="L9" s="76">
        <v>1</v>
      </c>
      <c r="M9" s="76">
        <v>1</v>
      </c>
      <c r="N9" s="82" t="s">
        <v>10636</v>
      </c>
      <c r="O9" s="83"/>
    </row>
    <row r="10" spans="1:15" ht="22.5" customHeight="1">
      <c r="A10" s="76">
        <v>759724529202804</v>
      </c>
      <c r="B10" s="77" t="s">
        <v>10621</v>
      </c>
      <c r="C10" s="77" t="s">
        <v>10637</v>
      </c>
      <c r="D10" s="77" t="s">
        <v>10638</v>
      </c>
      <c r="E10" s="77">
        <v>6282136666049</v>
      </c>
      <c r="F10" s="78">
        <v>45809</v>
      </c>
      <c r="G10" s="79">
        <v>955</v>
      </c>
      <c r="H10" s="80">
        <v>14038.324420677363</v>
      </c>
      <c r="I10" s="79">
        <v>23</v>
      </c>
      <c r="J10" s="81">
        <v>15751</v>
      </c>
      <c r="K10" s="76">
        <v>4</v>
      </c>
      <c r="L10" s="76">
        <v>275</v>
      </c>
      <c r="M10" s="76">
        <v>0</v>
      </c>
      <c r="N10" s="82" t="s">
        <v>10639</v>
      </c>
      <c r="O10" s="83"/>
    </row>
    <row r="11" spans="1:15" ht="22.5" customHeight="1">
      <c r="A11" s="76">
        <v>759724529202804</v>
      </c>
      <c r="B11" s="77" t="s">
        <v>10621</v>
      </c>
      <c r="C11" s="77" t="s">
        <v>10640</v>
      </c>
      <c r="D11" s="77" t="s">
        <v>10641</v>
      </c>
      <c r="E11" s="77">
        <v>6282159148587</v>
      </c>
      <c r="F11" s="78">
        <v>45809</v>
      </c>
      <c r="G11" s="79">
        <v>713</v>
      </c>
      <c r="H11" s="80">
        <v>16799.533799533801</v>
      </c>
      <c r="I11" s="79">
        <v>12</v>
      </c>
      <c r="J11" s="81">
        <v>14414</v>
      </c>
      <c r="K11" s="76">
        <v>1</v>
      </c>
      <c r="L11" s="76">
        <v>280</v>
      </c>
      <c r="M11" s="76">
        <v>0</v>
      </c>
      <c r="N11" s="82" t="s">
        <v>10642</v>
      </c>
      <c r="O11" s="83"/>
    </row>
    <row r="12" spans="1:15" ht="22.5" customHeight="1">
      <c r="A12" s="76">
        <v>759724529202804</v>
      </c>
      <c r="B12" s="77" t="s">
        <v>10621</v>
      </c>
      <c r="C12" s="77" t="s">
        <v>10643</v>
      </c>
      <c r="D12" s="77" t="s">
        <v>10644</v>
      </c>
      <c r="E12" s="77"/>
      <c r="F12" s="78">
        <v>45809</v>
      </c>
      <c r="G12" s="79">
        <v>2</v>
      </c>
      <c r="H12" s="80">
        <v>12500</v>
      </c>
      <c r="I12" s="79">
        <v>0</v>
      </c>
      <c r="J12" s="81">
        <v>25</v>
      </c>
      <c r="K12" s="76">
        <v>0</v>
      </c>
      <c r="L12" s="76">
        <v>1</v>
      </c>
      <c r="M12" s="76">
        <v>0</v>
      </c>
      <c r="N12" s="82" t="s">
        <v>10645</v>
      </c>
      <c r="O12" s="83"/>
    </row>
    <row r="13" spans="1:15" ht="22.5" customHeight="1">
      <c r="A13" s="76">
        <v>759724529202804</v>
      </c>
      <c r="B13" s="77" t="s">
        <v>10621</v>
      </c>
      <c r="C13" s="77" t="s">
        <v>10646</v>
      </c>
      <c r="D13" s="77" t="s">
        <v>10647</v>
      </c>
      <c r="E13" s="77">
        <v>6283129638348</v>
      </c>
      <c r="F13" s="78">
        <v>45809</v>
      </c>
      <c r="G13" s="79">
        <v>31</v>
      </c>
      <c r="H13" s="80">
        <v>11903.225806451612</v>
      </c>
      <c r="I13" s="79">
        <v>0</v>
      </c>
      <c r="J13" s="81">
        <v>369</v>
      </c>
      <c r="K13" s="76">
        <v>0</v>
      </c>
      <c r="L13" s="76">
        <v>11</v>
      </c>
      <c r="M13" s="76">
        <v>0</v>
      </c>
      <c r="N13" s="82" t="s">
        <v>10648</v>
      </c>
      <c r="O13" s="83"/>
    </row>
    <row r="14" spans="1:15" ht="22.5" customHeight="1">
      <c r="A14" s="76">
        <v>759724529202804</v>
      </c>
      <c r="B14" s="77" t="s">
        <v>10621</v>
      </c>
      <c r="C14" s="77" t="s">
        <v>10649</v>
      </c>
      <c r="D14" s="77" t="s">
        <v>109</v>
      </c>
      <c r="E14" s="77">
        <v>6281549409606</v>
      </c>
      <c r="F14" s="78">
        <v>45809</v>
      </c>
      <c r="G14" s="79">
        <v>201</v>
      </c>
      <c r="H14" s="80">
        <v>22356.164383561645</v>
      </c>
      <c r="I14" s="79">
        <v>3</v>
      </c>
      <c r="J14" s="81">
        <v>4896</v>
      </c>
      <c r="K14" s="76">
        <v>0</v>
      </c>
      <c r="L14" s="76">
        <v>62</v>
      </c>
      <c r="M14" s="76">
        <v>0</v>
      </c>
      <c r="N14" s="82" t="s">
        <v>10650</v>
      </c>
      <c r="O14" s="83"/>
    </row>
    <row r="15" spans="1:15" ht="22.5" customHeight="1">
      <c r="A15" s="76">
        <v>174904221976312</v>
      </c>
      <c r="B15" s="77" t="s">
        <v>10651</v>
      </c>
      <c r="C15" s="77" t="s">
        <v>10652</v>
      </c>
      <c r="D15" s="77" t="s">
        <v>10653</v>
      </c>
      <c r="E15" s="77">
        <v>6281348555887</v>
      </c>
      <c r="F15" s="78">
        <v>45809</v>
      </c>
      <c r="G15" s="79">
        <v>1273</v>
      </c>
      <c r="H15" s="80">
        <v>8368.0104031209357</v>
      </c>
      <c r="I15" s="79">
        <v>51</v>
      </c>
      <c r="J15" s="81">
        <v>12870</v>
      </c>
      <c r="K15" s="76">
        <v>5</v>
      </c>
      <c r="L15" s="76">
        <v>498</v>
      </c>
      <c r="M15" s="76">
        <v>1</v>
      </c>
      <c r="N15" s="82" t="s">
        <v>10654</v>
      </c>
      <c r="O15" s="83"/>
    </row>
    <row r="16" spans="1:15" ht="22.5" customHeight="1">
      <c r="A16" s="76">
        <v>174904221976312</v>
      </c>
      <c r="B16" s="77" t="s">
        <v>10651</v>
      </c>
      <c r="C16" s="77" t="s">
        <v>10655</v>
      </c>
      <c r="D16" s="77" t="s">
        <v>3908</v>
      </c>
      <c r="E16" s="77">
        <v>6285376667233</v>
      </c>
      <c r="F16" s="78">
        <v>45809</v>
      </c>
      <c r="G16" s="79">
        <v>1133</v>
      </c>
      <c r="H16" s="80">
        <v>9910.7142857142862</v>
      </c>
      <c r="I16" s="79">
        <v>27</v>
      </c>
      <c r="J16" s="81">
        <v>13320</v>
      </c>
      <c r="K16" s="76">
        <v>5</v>
      </c>
      <c r="L16" s="76">
        <v>402</v>
      </c>
      <c r="M16" s="76">
        <v>2</v>
      </c>
      <c r="N16" s="82" t="s">
        <v>10656</v>
      </c>
      <c r="O16" s="83"/>
    </row>
    <row r="17" spans="1:15" ht="22.5" customHeight="1">
      <c r="A17" s="76">
        <v>174904221976312</v>
      </c>
      <c r="B17" s="77" t="s">
        <v>10651</v>
      </c>
      <c r="C17" s="77" t="s">
        <v>10657</v>
      </c>
      <c r="D17" s="77" t="s">
        <v>1239</v>
      </c>
      <c r="E17" s="77">
        <v>6282172291579</v>
      </c>
      <c r="F17" s="78">
        <v>45809</v>
      </c>
      <c r="G17" s="79">
        <v>897</v>
      </c>
      <c r="H17" s="80">
        <v>12435.454545454546</v>
      </c>
      <c r="I17" s="79">
        <v>44</v>
      </c>
      <c r="J17" s="81">
        <v>13679</v>
      </c>
      <c r="K17" s="76">
        <v>6</v>
      </c>
      <c r="L17" s="76">
        <v>538</v>
      </c>
      <c r="M17" s="76">
        <v>0</v>
      </c>
      <c r="N17" s="82" t="s">
        <v>10658</v>
      </c>
      <c r="O17" s="83"/>
    </row>
    <row r="18" spans="1:15" ht="22.5" customHeight="1">
      <c r="A18" s="76">
        <v>174904221976312</v>
      </c>
      <c r="B18" s="77" t="s">
        <v>10651</v>
      </c>
      <c r="C18" s="77" t="s">
        <v>10659</v>
      </c>
      <c r="D18" s="77" t="s">
        <v>1044</v>
      </c>
      <c r="E18" s="77">
        <v>6281263113266</v>
      </c>
      <c r="F18" s="78">
        <v>45809</v>
      </c>
      <c r="G18" s="79">
        <v>1507</v>
      </c>
      <c r="H18" s="80">
        <v>8065.6213704994198</v>
      </c>
      <c r="I18" s="79">
        <v>60</v>
      </c>
      <c r="J18" s="81">
        <v>13889</v>
      </c>
      <c r="K18" s="76">
        <v>5</v>
      </c>
      <c r="L18" s="76">
        <v>746</v>
      </c>
      <c r="M18" s="76">
        <v>0</v>
      </c>
      <c r="N18" s="82" t="s">
        <v>10660</v>
      </c>
      <c r="O18" s="83"/>
    </row>
    <row r="19" spans="1:15" ht="22.5" customHeight="1">
      <c r="A19" s="76">
        <v>174904221976312</v>
      </c>
      <c r="B19" s="77" t="s">
        <v>10651</v>
      </c>
      <c r="C19" s="77" t="s">
        <v>63</v>
      </c>
      <c r="D19" s="77" t="s">
        <v>55</v>
      </c>
      <c r="E19" s="77">
        <v>6282226594414</v>
      </c>
      <c r="F19" s="78">
        <v>45809</v>
      </c>
      <c r="G19" s="79">
        <v>3350</v>
      </c>
      <c r="H19" s="80">
        <v>3210.4867034621175</v>
      </c>
      <c r="I19" s="79">
        <v>146</v>
      </c>
      <c r="J19" s="81">
        <v>12797</v>
      </c>
      <c r="K19" s="76">
        <v>21</v>
      </c>
      <c r="L19" s="76">
        <v>1001</v>
      </c>
      <c r="M19" s="76">
        <v>4</v>
      </c>
      <c r="N19" s="82" t="s">
        <v>10661</v>
      </c>
      <c r="O19" s="83"/>
    </row>
    <row r="20" spans="1:15" ht="22.5" customHeight="1">
      <c r="A20" s="76">
        <v>174904221976312</v>
      </c>
      <c r="B20" s="77" t="s">
        <v>10651</v>
      </c>
      <c r="C20" s="77" t="s">
        <v>10662</v>
      </c>
      <c r="D20" s="77" t="s">
        <v>10663</v>
      </c>
      <c r="E20" s="77">
        <v>62882001677470</v>
      </c>
      <c r="F20" s="78">
        <v>45809</v>
      </c>
      <c r="G20" s="79">
        <v>538</v>
      </c>
      <c r="H20" s="80">
        <v>20453.507340946166</v>
      </c>
      <c r="I20" s="79">
        <v>17</v>
      </c>
      <c r="J20" s="81">
        <v>12538</v>
      </c>
      <c r="K20" s="76">
        <v>3</v>
      </c>
      <c r="L20" s="76">
        <v>226</v>
      </c>
      <c r="M20" s="76">
        <v>1</v>
      </c>
      <c r="N20" s="82" t="s">
        <v>10664</v>
      </c>
      <c r="O20" s="83"/>
    </row>
    <row r="21" spans="1:15" ht="22.5" customHeight="1">
      <c r="A21" s="76">
        <v>174904221976312</v>
      </c>
      <c r="B21" s="77" t="s">
        <v>10651</v>
      </c>
      <c r="C21" s="77" t="s">
        <v>10665</v>
      </c>
      <c r="D21" s="77" t="s">
        <v>42</v>
      </c>
      <c r="E21" s="77">
        <v>6282341426767</v>
      </c>
      <c r="F21" s="78">
        <v>45809</v>
      </c>
      <c r="G21" s="79">
        <v>354</v>
      </c>
      <c r="H21" s="80">
        <v>22997.674418604649</v>
      </c>
      <c r="I21" s="79">
        <v>18</v>
      </c>
      <c r="J21" s="81">
        <v>9889</v>
      </c>
      <c r="K21" s="76">
        <v>5</v>
      </c>
      <c r="L21" s="76">
        <v>89</v>
      </c>
      <c r="M21" s="76">
        <v>0</v>
      </c>
      <c r="N21" s="82" t="s">
        <v>10666</v>
      </c>
      <c r="O21" s="83"/>
    </row>
    <row r="22" spans="1:15" ht="22.5" customHeight="1">
      <c r="A22" s="76">
        <v>759724529202804</v>
      </c>
      <c r="B22" s="77" t="s">
        <v>10621</v>
      </c>
      <c r="C22" s="77" t="s">
        <v>10667</v>
      </c>
      <c r="D22" s="77" t="s">
        <v>10668</v>
      </c>
      <c r="E22" s="77">
        <v>628872305953</v>
      </c>
      <c r="F22" s="78">
        <v>45810</v>
      </c>
      <c r="G22" s="79">
        <v>273</v>
      </c>
      <c r="H22" s="80">
        <v>39841.93548387097</v>
      </c>
      <c r="I22" s="79">
        <v>3</v>
      </c>
      <c r="J22" s="81">
        <v>12351</v>
      </c>
      <c r="K22" s="76">
        <v>0</v>
      </c>
      <c r="L22" s="76">
        <v>77</v>
      </c>
      <c r="M22" s="76">
        <v>0</v>
      </c>
      <c r="N22" s="82" t="s">
        <v>10669</v>
      </c>
      <c r="O22" s="83"/>
    </row>
    <row r="23" spans="1:15" ht="22.5" customHeight="1">
      <c r="A23" s="76">
        <v>759724529202804</v>
      </c>
      <c r="B23" s="77" t="s">
        <v>10621</v>
      </c>
      <c r="C23" s="77" t="s">
        <v>10622</v>
      </c>
      <c r="D23" s="77" t="s">
        <v>183</v>
      </c>
      <c r="E23" s="77">
        <v>6285255435848</v>
      </c>
      <c r="F23" s="78">
        <v>45810</v>
      </c>
      <c r="G23" s="79">
        <v>1046</v>
      </c>
      <c r="H23" s="80">
        <v>10273.894436519258</v>
      </c>
      <c r="I23" s="79">
        <v>12</v>
      </c>
      <c r="J23" s="81">
        <v>14404</v>
      </c>
      <c r="K23" s="76">
        <v>3</v>
      </c>
      <c r="L23" s="76">
        <v>528</v>
      </c>
      <c r="M23" s="76">
        <v>0</v>
      </c>
      <c r="N23" s="82" t="s">
        <v>10623</v>
      </c>
      <c r="O23" s="83"/>
    </row>
    <row r="24" spans="1:15" ht="22.5" customHeight="1">
      <c r="A24" s="76">
        <v>759724529202804</v>
      </c>
      <c r="B24" s="77" t="s">
        <v>10621</v>
      </c>
      <c r="C24" s="77" t="s">
        <v>10624</v>
      </c>
      <c r="D24" s="77" t="s">
        <v>190</v>
      </c>
      <c r="E24" s="77">
        <v>6281331854948</v>
      </c>
      <c r="F24" s="78">
        <v>45810</v>
      </c>
      <c r="G24" s="79">
        <v>696</v>
      </c>
      <c r="H24" s="80">
        <v>14277.189605389798</v>
      </c>
      <c r="I24" s="79">
        <v>25</v>
      </c>
      <c r="J24" s="81">
        <v>14834</v>
      </c>
      <c r="K24" s="76">
        <v>3</v>
      </c>
      <c r="L24" s="76">
        <v>370</v>
      </c>
      <c r="M24" s="76">
        <v>0</v>
      </c>
      <c r="N24" s="82" t="s">
        <v>10625</v>
      </c>
      <c r="O24" s="83"/>
    </row>
    <row r="25" spans="1:15" ht="22.5" customHeight="1">
      <c r="A25" s="76">
        <v>759724529202804</v>
      </c>
      <c r="B25" s="77" t="s">
        <v>10621</v>
      </c>
      <c r="C25" s="77" t="s">
        <v>10626</v>
      </c>
      <c r="D25" s="77" t="s">
        <v>177</v>
      </c>
      <c r="E25" s="77">
        <v>6282348365032</v>
      </c>
      <c r="F25" s="78">
        <v>45810</v>
      </c>
      <c r="G25" s="79">
        <v>734</v>
      </c>
      <c r="H25" s="80">
        <v>16121.304791029563</v>
      </c>
      <c r="I25" s="79">
        <v>27</v>
      </c>
      <c r="J25" s="81">
        <v>15815</v>
      </c>
      <c r="K25" s="76">
        <v>2</v>
      </c>
      <c r="L25" s="76">
        <v>210</v>
      </c>
      <c r="M25" s="76">
        <v>0</v>
      </c>
      <c r="N25" s="82" t="s">
        <v>10627</v>
      </c>
      <c r="O25" s="83"/>
    </row>
    <row r="26" spans="1:15" ht="22.5" customHeight="1">
      <c r="A26" s="76">
        <v>759724529202804</v>
      </c>
      <c r="B26" s="77" t="s">
        <v>10621</v>
      </c>
      <c r="C26" s="77" t="s">
        <v>206</v>
      </c>
      <c r="D26" s="77" t="s">
        <v>199</v>
      </c>
      <c r="E26" s="77">
        <v>6285220903499</v>
      </c>
      <c r="F26" s="78">
        <v>45810</v>
      </c>
      <c r="G26" s="79">
        <v>754</v>
      </c>
      <c r="H26" s="80">
        <v>14830.439223697651</v>
      </c>
      <c r="I26" s="79">
        <v>24</v>
      </c>
      <c r="J26" s="81">
        <v>14519</v>
      </c>
      <c r="K26" s="76">
        <v>1</v>
      </c>
      <c r="L26" s="76">
        <v>329</v>
      </c>
      <c r="M26" s="76">
        <v>0</v>
      </c>
      <c r="N26" s="82" t="s">
        <v>10628</v>
      </c>
      <c r="O26" s="83"/>
    </row>
    <row r="27" spans="1:15" ht="22.5" customHeight="1">
      <c r="A27" s="76">
        <v>759724529202804</v>
      </c>
      <c r="B27" s="77" t="s">
        <v>10621</v>
      </c>
      <c r="C27" s="77" t="s">
        <v>10629</v>
      </c>
      <c r="D27" s="77" t="s">
        <v>10630</v>
      </c>
      <c r="E27" s="77"/>
      <c r="F27" s="78">
        <v>45810</v>
      </c>
      <c r="G27" s="79">
        <v>11368</v>
      </c>
      <c r="H27" s="80">
        <v>1225.9819758544465</v>
      </c>
      <c r="I27" s="79">
        <v>16</v>
      </c>
      <c r="J27" s="81">
        <v>14420</v>
      </c>
      <c r="K27" s="76">
        <v>0</v>
      </c>
      <c r="L27" s="76">
        <v>1175</v>
      </c>
      <c r="M27" s="76">
        <v>0</v>
      </c>
      <c r="N27" s="82" t="s">
        <v>10631</v>
      </c>
      <c r="O27" s="83"/>
    </row>
    <row r="28" spans="1:15" ht="22.5" customHeight="1">
      <c r="A28" s="76">
        <v>759724529202804</v>
      </c>
      <c r="B28" s="77" t="s">
        <v>10621</v>
      </c>
      <c r="C28" s="77" t="s">
        <v>10632</v>
      </c>
      <c r="D28" s="77" t="s">
        <v>161</v>
      </c>
      <c r="E28" s="77">
        <v>6285240684331</v>
      </c>
      <c r="F28" s="78">
        <v>45810</v>
      </c>
      <c r="G28" s="79">
        <v>944</v>
      </c>
      <c r="H28" s="80">
        <v>13401.60284951024</v>
      </c>
      <c r="I28" s="79">
        <v>31</v>
      </c>
      <c r="J28" s="81">
        <v>15050</v>
      </c>
      <c r="K28" s="76">
        <v>6</v>
      </c>
      <c r="L28" s="76">
        <v>201</v>
      </c>
      <c r="M28" s="76">
        <v>3</v>
      </c>
      <c r="N28" s="82" t="s">
        <v>10633</v>
      </c>
      <c r="O28" s="83"/>
    </row>
    <row r="29" spans="1:15" ht="22.5" customHeight="1">
      <c r="A29" s="76">
        <v>759724529202804</v>
      </c>
      <c r="B29" s="77" t="s">
        <v>10621</v>
      </c>
      <c r="C29" s="77" t="s">
        <v>10634</v>
      </c>
      <c r="D29" s="77" t="s">
        <v>155</v>
      </c>
      <c r="E29" s="77">
        <v>6282154483973</v>
      </c>
      <c r="F29" s="78">
        <v>45810</v>
      </c>
      <c r="G29" s="79">
        <v>1610</v>
      </c>
      <c r="H29" s="80">
        <v>7142.3407139629462</v>
      </c>
      <c r="I29" s="79">
        <v>33</v>
      </c>
      <c r="J29" s="81">
        <v>15806</v>
      </c>
      <c r="K29" s="76">
        <v>3</v>
      </c>
      <c r="L29" s="76">
        <v>421</v>
      </c>
      <c r="M29" s="76">
        <v>1</v>
      </c>
      <c r="N29" s="82" t="s">
        <v>10635</v>
      </c>
      <c r="O29" s="83"/>
    </row>
    <row r="30" spans="1:15" ht="22.5" customHeight="1">
      <c r="A30" s="76">
        <v>759724529202804</v>
      </c>
      <c r="B30" s="77" t="s">
        <v>10621</v>
      </c>
      <c r="C30" s="77" t="s">
        <v>665</v>
      </c>
      <c r="D30" s="77" t="s">
        <v>659</v>
      </c>
      <c r="E30" s="77">
        <v>6285757057088</v>
      </c>
      <c r="F30" s="78">
        <v>45810</v>
      </c>
      <c r="G30" s="79">
        <v>1295</v>
      </c>
      <c r="H30" s="80">
        <v>8111.6584564860423</v>
      </c>
      <c r="I30" s="79">
        <v>48</v>
      </c>
      <c r="J30" s="81">
        <v>14820</v>
      </c>
      <c r="K30" s="76">
        <v>6</v>
      </c>
      <c r="L30" s="76">
        <v>0</v>
      </c>
      <c r="M30" s="76">
        <v>0</v>
      </c>
      <c r="N30" s="82" t="s">
        <v>10636</v>
      </c>
      <c r="O30" s="83"/>
    </row>
    <row r="31" spans="1:15" ht="22.5" customHeight="1">
      <c r="A31" s="76">
        <v>759724529202804</v>
      </c>
      <c r="B31" s="77" t="s">
        <v>10621</v>
      </c>
      <c r="C31" s="77" t="s">
        <v>10637</v>
      </c>
      <c r="D31" s="77" t="s">
        <v>10638</v>
      </c>
      <c r="E31" s="77">
        <v>6282136666049</v>
      </c>
      <c r="F31" s="78">
        <v>45810</v>
      </c>
      <c r="G31" s="79">
        <v>726</v>
      </c>
      <c r="H31" s="80">
        <v>18214.452214452216</v>
      </c>
      <c r="I31" s="79">
        <v>18</v>
      </c>
      <c r="J31" s="81">
        <v>15628</v>
      </c>
      <c r="K31" s="76">
        <v>2</v>
      </c>
      <c r="L31" s="76">
        <v>239</v>
      </c>
      <c r="M31" s="76">
        <v>0</v>
      </c>
      <c r="N31" s="82" t="s">
        <v>10639</v>
      </c>
      <c r="O31" s="83"/>
    </row>
    <row r="32" spans="1:15" ht="22.5" customHeight="1">
      <c r="A32" s="76">
        <v>759724529202804</v>
      </c>
      <c r="B32" s="77" t="s">
        <v>10621</v>
      </c>
      <c r="C32" s="77" t="s">
        <v>10640</v>
      </c>
      <c r="D32" s="77" t="s">
        <v>10641</v>
      </c>
      <c r="E32" s="77">
        <v>6282159148587</v>
      </c>
      <c r="F32" s="78">
        <v>45810</v>
      </c>
      <c r="G32" s="79">
        <v>1311</v>
      </c>
      <c r="H32" s="80">
        <v>8927.4092615769714</v>
      </c>
      <c r="I32" s="79">
        <v>13</v>
      </c>
      <c r="J32" s="81">
        <v>14266</v>
      </c>
      <c r="K32" s="76">
        <v>0</v>
      </c>
      <c r="L32" s="76">
        <v>428</v>
      </c>
      <c r="M32" s="76">
        <v>0</v>
      </c>
      <c r="N32" s="82" t="s">
        <v>10642</v>
      </c>
      <c r="O32" s="83"/>
    </row>
    <row r="33" spans="1:15" ht="22.5" customHeight="1">
      <c r="A33" s="76">
        <v>759724529202804</v>
      </c>
      <c r="B33" s="77" t="s">
        <v>10621</v>
      </c>
      <c r="C33" s="77" t="s">
        <v>10643</v>
      </c>
      <c r="D33" s="77" t="s">
        <v>10644</v>
      </c>
      <c r="E33" s="77"/>
      <c r="F33" s="78">
        <v>45810</v>
      </c>
      <c r="G33" s="79">
        <v>716</v>
      </c>
      <c r="H33" s="80">
        <v>17576.650943396227</v>
      </c>
      <c r="I33" s="79">
        <v>20</v>
      </c>
      <c r="J33" s="81">
        <v>14905</v>
      </c>
      <c r="K33" s="76">
        <v>2</v>
      </c>
      <c r="L33" s="76">
        <v>190</v>
      </c>
      <c r="M33" s="76">
        <v>0</v>
      </c>
      <c r="N33" s="82" t="s">
        <v>10645</v>
      </c>
      <c r="O33" s="83"/>
    </row>
    <row r="34" spans="1:15" ht="22.5" customHeight="1">
      <c r="A34" s="76">
        <v>174904221976312</v>
      </c>
      <c r="B34" s="77" t="s">
        <v>10651</v>
      </c>
      <c r="C34" s="77" t="s">
        <v>10670</v>
      </c>
      <c r="D34" s="77" t="s">
        <v>10671</v>
      </c>
      <c r="E34" s="77">
        <v>6281399998259</v>
      </c>
      <c r="F34" s="78">
        <v>45810</v>
      </c>
      <c r="G34" s="79">
        <v>220</v>
      </c>
      <c r="H34" s="80">
        <v>10638.392857142857</v>
      </c>
      <c r="I34" s="79">
        <v>6</v>
      </c>
      <c r="J34" s="81">
        <v>2383</v>
      </c>
      <c r="K34" s="76">
        <v>0</v>
      </c>
      <c r="L34" s="76">
        <v>92</v>
      </c>
      <c r="M34" s="76">
        <v>0</v>
      </c>
      <c r="N34" s="82" t="s">
        <v>10672</v>
      </c>
      <c r="O34" s="83"/>
    </row>
    <row r="35" spans="1:15" ht="22.5" customHeight="1">
      <c r="A35" s="76">
        <v>174904221976312</v>
      </c>
      <c r="B35" s="77" t="s">
        <v>10651</v>
      </c>
      <c r="C35" s="77" t="s">
        <v>10673</v>
      </c>
      <c r="D35" s="77" t="s">
        <v>10674</v>
      </c>
      <c r="E35" s="77">
        <v>6282183184641</v>
      </c>
      <c r="F35" s="78">
        <v>45810</v>
      </c>
      <c r="G35" s="79">
        <v>1309</v>
      </c>
      <c r="H35" s="80">
        <v>8815.07731958763</v>
      </c>
      <c r="I35" s="79">
        <v>36</v>
      </c>
      <c r="J35" s="81">
        <v>13681</v>
      </c>
      <c r="K35" s="76">
        <v>3</v>
      </c>
      <c r="L35" s="76">
        <v>387</v>
      </c>
      <c r="M35" s="76">
        <v>0</v>
      </c>
      <c r="N35" s="82" t="s">
        <v>10675</v>
      </c>
      <c r="O35" s="83"/>
    </row>
    <row r="36" spans="1:15" ht="22.5" customHeight="1">
      <c r="A36" s="76">
        <v>174904221976312</v>
      </c>
      <c r="B36" s="77" t="s">
        <v>10651</v>
      </c>
      <c r="C36" s="77" t="s">
        <v>10652</v>
      </c>
      <c r="D36" s="77" t="s">
        <v>10653</v>
      </c>
      <c r="E36" s="77">
        <v>6281348555887</v>
      </c>
      <c r="F36" s="78">
        <v>45810</v>
      </c>
      <c r="G36" s="79">
        <v>1360</v>
      </c>
      <c r="H36" s="80">
        <v>7290.4509283819634</v>
      </c>
      <c r="I36" s="79">
        <v>31</v>
      </c>
      <c r="J36" s="81">
        <v>10994</v>
      </c>
      <c r="K36" s="76">
        <v>1</v>
      </c>
      <c r="L36" s="76">
        <v>457</v>
      </c>
      <c r="M36" s="76">
        <v>1</v>
      </c>
      <c r="N36" s="82" t="s">
        <v>10654</v>
      </c>
      <c r="O36" s="83"/>
    </row>
    <row r="37" spans="1:15" ht="22.5" customHeight="1">
      <c r="A37" s="76">
        <v>174904221976312</v>
      </c>
      <c r="B37" s="77" t="s">
        <v>10651</v>
      </c>
      <c r="C37" s="77" t="s">
        <v>10655</v>
      </c>
      <c r="D37" s="77" t="s">
        <v>3908</v>
      </c>
      <c r="E37" s="77">
        <v>6285376667233</v>
      </c>
      <c r="F37" s="78">
        <v>45810</v>
      </c>
      <c r="G37" s="79">
        <v>1284</v>
      </c>
      <c r="H37" s="80">
        <v>9392.2651933701654</v>
      </c>
      <c r="I37" s="79">
        <v>20</v>
      </c>
      <c r="J37" s="81">
        <v>13600</v>
      </c>
      <c r="K37" s="76">
        <v>3</v>
      </c>
      <c r="L37" s="76">
        <v>386</v>
      </c>
      <c r="M37" s="76">
        <v>0</v>
      </c>
      <c r="N37" s="82" t="s">
        <v>10656</v>
      </c>
      <c r="O37" s="83"/>
    </row>
    <row r="38" spans="1:15" ht="22.5" customHeight="1">
      <c r="A38" s="76">
        <v>174904221976312</v>
      </c>
      <c r="B38" s="77" t="s">
        <v>10651</v>
      </c>
      <c r="C38" s="77" t="s">
        <v>10657</v>
      </c>
      <c r="D38" s="77" t="s">
        <v>1239</v>
      </c>
      <c r="E38" s="77">
        <v>6282172291579</v>
      </c>
      <c r="F38" s="78">
        <v>45810</v>
      </c>
      <c r="G38" s="79">
        <v>1066</v>
      </c>
      <c r="H38" s="80">
        <v>10798.037612428456</v>
      </c>
      <c r="I38" s="79">
        <v>40</v>
      </c>
      <c r="J38" s="81">
        <v>13206</v>
      </c>
      <c r="K38" s="76">
        <v>6</v>
      </c>
      <c r="L38" s="76">
        <v>611</v>
      </c>
      <c r="M38" s="76">
        <v>0</v>
      </c>
      <c r="N38" s="82" t="s">
        <v>10658</v>
      </c>
      <c r="O38" s="83"/>
    </row>
    <row r="39" spans="1:15" ht="22.5" customHeight="1">
      <c r="A39" s="76">
        <v>174904221976312</v>
      </c>
      <c r="B39" s="77" t="s">
        <v>10651</v>
      </c>
      <c r="C39" s="77" t="s">
        <v>10659</v>
      </c>
      <c r="D39" s="77" t="s">
        <v>1044</v>
      </c>
      <c r="E39" s="77">
        <v>6281263113266</v>
      </c>
      <c r="F39" s="78">
        <v>45810</v>
      </c>
      <c r="G39" s="79">
        <v>1205</v>
      </c>
      <c r="H39" s="80">
        <v>8665.6738644825018</v>
      </c>
      <c r="I39" s="79">
        <v>45</v>
      </c>
      <c r="J39" s="81">
        <v>11638</v>
      </c>
      <c r="K39" s="76">
        <v>4</v>
      </c>
      <c r="L39" s="76">
        <v>553</v>
      </c>
      <c r="M39" s="76">
        <v>0</v>
      </c>
      <c r="N39" s="82" t="s">
        <v>10660</v>
      </c>
      <c r="O39" s="83"/>
    </row>
    <row r="40" spans="1:15" ht="22.5" customHeight="1">
      <c r="A40" s="76">
        <v>174904221976312</v>
      </c>
      <c r="B40" s="77" t="s">
        <v>10651</v>
      </c>
      <c r="C40" s="77" t="s">
        <v>10676</v>
      </c>
      <c r="D40" s="77" t="s">
        <v>10677</v>
      </c>
      <c r="E40" s="77">
        <v>6282226594414</v>
      </c>
      <c r="F40" s="78">
        <v>45810</v>
      </c>
      <c r="G40" s="79">
        <v>1044</v>
      </c>
      <c r="H40" s="80">
        <v>12229.623137598597</v>
      </c>
      <c r="I40" s="79">
        <v>29</v>
      </c>
      <c r="J40" s="81">
        <v>13954</v>
      </c>
      <c r="K40" s="76">
        <v>1</v>
      </c>
      <c r="L40" s="76">
        <v>262</v>
      </c>
      <c r="M40" s="76">
        <v>0</v>
      </c>
      <c r="N40" s="82" t="s">
        <v>10678</v>
      </c>
      <c r="O40" s="83"/>
    </row>
    <row r="41" spans="1:15" ht="22.5" customHeight="1">
      <c r="A41" s="76">
        <v>174904221976312</v>
      </c>
      <c r="B41" s="77" t="s">
        <v>10651</v>
      </c>
      <c r="C41" s="77" t="s">
        <v>63</v>
      </c>
      <c r="D41" s="77" t="s">
        <v>55</v>
      </c>
      <c r="E41" s="77">
        <v>6282226594414</v>
      </c>
      <c r="F41" s="78">
        <v>45810</v>
      </c>
      <c r="G41" s="79">
        <v>716</v>
      </c>
      <c r="H41" s="80">
        <v>2914.8648648648646</v>
      </c>
      <c r="I41" s="79">
        <v>35</v>
      </c>
      <c r="J41" s="81">
        <v>2157</v>
      </c>
      <c r="K41" s="76">
        <v>6</v>
      </c>
      <c r="L41" s="76">
        <v>165</v>
      </c>
      <c r="M41" s="76">
        <v>0</v>
      </c>
      <c r="N41" s="82" t="s">
        <v>10661</v>
      </c>
      <c r="O41" s="83"/>
    </row>
    <row r="42" spans="1:15" ht="22.5" customHeight="1">
      <c r="A42" s="76">
        <v>174904221976312</v>
      </c>
      <c r="B42" s="77" t="s">
        <v>10651</v>
      </c>
      <c r="C42" s="77" t="s">
        <v>10662</v>
      </c>
      <c r="D42" s="77" t="s">
        <v>10663</v>
      </c>
      <c r="E42" s="77">
        <v>62882001677470</v>
      </c>
      <c r="F42" s="78">
        <v>45810</v>
      </c>
      <c r="G42" s="79">
        <v>601</v>
      </c>
      <c r="H42" s="80">
        <v>19614.264919941776</v>
      </c>
      <c r="I42" s="79">
        <v>15</v>
      </c>
      <c r="J42" s="81">
        <v>13475</v>
      </c>
      <c r="K42" s="76">
        <v>0</v>
      </c>
      <c r="L42" s="76">
        <v>247</v>
      </c>
      <c r="M42" s="76">
        <v>0</v>
      </c>
      <c r="N42" s="82" t="s">
        <v>10664</v>
      </c>
      <c r="O42" s="83"/>
    </row>
    <row r="43" spans="1:15" ht="22.5" customHeight="1">
      <c r="A43" s="76">
        <v>174904221976312</v>
      </c>
      <c r="B43" s="77" t="s">
        <v>10651</v>
      </c>
      <c r="C43" s="77" t="s">
        <v>10665</v>
      </c>
      <c r="D43" s="77" t="s">
        <v>42</v>
      </c>
      <c r="E43" s="77">
        <v>6282341426767</v>
      </c>
      <c r="F43" s="78">
        <v>45810</v>
      </c>
      <c r="G43" s="79">
        <v>389</v>
      </c>
      <c r="H43" s="80">
        <v>25661.702127659573</v>
      </c>
      <c r="I43" s="79">
        <v>11</v>
      </c>
      <c r="J43" s="81">
        <v>12061</v>
      </c>
      <c r="K43" s="76">
        <v>1</v>
      </c>
      <c r="L43" s="76">
        <v>112</v>
      </c>
      <c r="M43" s="76">
        <v>0</v>
      </c>
      <c r="N43" s="82" t="s">
        <v>10666</v>
      </c>
      <c r="O43" s="83"/>
    </row>
    <row r="44" spans="1:15" ht="22.5" customHeight="1">
      <c r="A44" s="76">
        <v>174904221976312</v>
      </c>
      <c r="B44" s="77" t="s">
        <v>10651</v>
      </c>
      <c r="C44" s="77" t="s">
        <v>10679</v>
      </c>
      <c r="D44" s="77" t="s">
        <v>10680</v>
      </c>
      <c r="E44" s="77">
        <v>6282347206488</v>
      </c>
      <c r="F44" s="78">
        <v>45810</v>
      </c>
      <c r="G44" s="79">
        <v>1301</v>
      </c>
      <c r="H44" s="80">
        <v>8177.83343769568</v>
      </c>
      <c r="I44" s="79">
        <v>48</v>
      </c>
      <c r="J44" s="81">
        <v>13060</v>
      </c>
      <c r="K44" s="76">
        <v>9</v>
      </c>
      <c r="L44" s="76">
        <v>643</v>
      </c>
      <c r="M44" s="76">
        <v>0</v>
      </c>
      <c r="N44" s="82" t="s">
        <v>10681</v>
      </c>
      <c r="O44" s="83"/>
    </row>
    <row r="45" spans="1:15" ht="22.5" customHeight="1">
      <c r="A45" s="76">
        <v>759724529202804</v>
      </c>
      <c r="B45" s="77" t="s">
        <v>10621</v>
      </c>
      <c r="C45" s="77" t="s">
        <v>10682</v>
      </c>
      <c r="D45" s="77" t="s">
        <v>10683</v>
      </c>
      <c r="E45" s="77">
        <v>6285737244570</v>
      </c>
      <c r="F45" s="78">
        <v>45811</v>
      </c>
      <c r="G45" s="79">
        <v>668</v>
      </c>
      <c r="H45" s="80">
        <v>15269.387755102041</v>
      </c>
      <c r="I45" s="79">
        <v>15</v>
      </c>
      <c r="J45" s="81">
        <v>11223</v>
      </c>
      <c r="K45" s="76">
        <v>1</v>
      </c>
      <c r="L45" s="76">
        <v>203</v>
      </c>
      <c r="M45" s="76">
        <v>0</v>
      </c>
      <c r="N45" s="82" t="s">
        <v>10684</v>
      </c>
      <c r="O45" s="83"/>
    </row>
    <row r="46" spans="1:15" ht="22.5" customHeight="1">
      <c r="A46" s="76">
        <v>759724529202804</v>
      </c>
      <c r="B46" s="77" t="s">
        <v>10621</v>
      </c>
      <c r="C46" s="77" t="s">
        <v>10667</v>
      </c>
      <c r="D46" s="77" t="s">
        <v>10668</v>
      </c>
      <c r="E46" s="77">
        <v>628872305953</v>
      </c>
      <c r="F46" s="78">
        <v>45811</v>
      </c>
      <c r="G46" s="79">
        <v>326</v>
      </c>
      <c r="H46" s="80">
        <v>37158.974358974359</v>
      </c>
      <c r="I46" s="79">
        <v>10</v>
      </c>
      <c r="J46" s="81">
        <v>14492</v>
      </c>
      <c r="K46" s="76">
        <v>2</v>
      </c>
      <c r="L46" s="76">
        <v>40</v>
      </c>
      <c r="M46" s="76">
        <v>0</v>
      </c>
      <c r="N46" s="82" t="s">
        <v>10669</v>
      </c>
      <c r="O46" s="83"/>
    </row>
    <row r="47" spans="1:15" ht="22.5" customHeight="1">
      <c r="A47" s="76">
        <v>759724529202804</v>
      </c>
      <c r="B47" s="77" t="s">
        <v>10621</v>
      </c>
      <c r="C47" s="77" t="s">
        <v>10622</v>
      </c>
      <c r="D47" s="77" t="s">
        <v>183</v>
      </c>
      <c r="E47" s="77">
        <v>6285255435848</v>
      </c>
      <c r="F47" s="78">
        <v>45811</v>
      </c>
      <c r="G47" s="79">
        <v>1676</v>
      </c>
      <c r="H47" s="80">
        <v>7592.5196850393704</v>
      </c>
      <c r="I47" s="79">
        <v>30</v>
      </c>
      <c r="J47" s="81">
        <v>15428</v>
      </c>
      <c r="K47" s="76">
        <v>4</v>
      </c>
      <c r="L47" s="76">
        <v>742</v>
      </c>
      <c r="M47" s="76">
        <v>0</v>
      </c>
      <c r="N47" s="82" t="s">
        <v>10623</v>
      </c>
      <c r="O47" s="83"/>
    </row>
    <row r="48" spans="1:15" ht="22.5" customHeight="1">
      <c r="A48" s="76">
        <v>759724529202804</v>
      </c>
      <c r="B48" s="77" t="s">
        <v>10621</v>
      </c>
      <c r="C48" s="77" t="s">
        <v>10624</v>
      </c>
      <c r="D48" s="77" t="s">
        <v>190</v>
      </c>
      <c r="E48" s="77">
        <v>6281331854948</v>
      </c>
      <c r="F48" s="78">
        <v>45811</v>
      </c>
      <c r="G48" s="79">
        <v>774</v>
      </c>
      <c r="H48" s="80">
        <v>14288.306451612903</v>
      </c>
      <c r="I48" s="79">
        <v>21</v>
      </c>
      <c r="J48" s="81">
        <v>14174</v>
      </c>
      <c r="K48" s="76">
        <v>3</v>
      </c>
      <c r="L48" s="76">
        <v>295</v>
      </c>
      <c r="M48" s="76">
        <v>0</v>
      </c>
      <c r="N48" s="82" t="s">
        <v>10625</v>
      </c>
      <c r="O48" s="83"/>
    </row>
    <row r="49" spans="1:15" ht="22.5" customHeight="1">
      <c r="A49" s="76">
        <v>759724529202804</v>
      </c>
      <c r="B49" s="77" t="s">
        <v>10621</v>
      </c>
      <c r="C49" s="77" t="s">
        <v>10626</v>
      </c>
      <c r="D49" s="77" t="s">
        <v>177</v>
      </c>
      <c r="E49" s="77">
        <v>6282348365032</v>
      </c>
      <c r="F49" s="78">
        <v>45811</v>
      </c>
      <c r="G49" s="79">
        <v>843</v>
      </c>
      <c r="H49" s="80">
        <v>14222.530009233611</v>
      </c>
      <c r="I49" s="79">
        <v>21</v>
      </c>
      <c r="J49" s="81">
        <v>15403</v>
      </c>
      <c r="K49" s="76">
        <v>1</v>
      </c>
      <c r="L49" s="76">
        <v>214</v>
      </c>
      <c r="M49" s="76">
        <v>0</v>
      </c>
      <c r="N49" s="82" t="s">
        <v>10627</v>
      </c>
      <c r="O49" s="83"/>
    </row>
    <row r="50" spans="1:15" ht="22.5" customHeight="1">
      <c r="A50" s="76">
        <v>759724529202804</v>
      </c>
      <c r="B50" s="77" t="s">
        <v>10621</v>
      </c>
      <c r="C50" s="77" t="s">
        <v>206</v>
      </c>
      <c r="D50" s="77" t="s">
        <v>199</v>
      </c>
      <c r="E50" s="77">
        <v>6285220903499</v>
      </c>
      <c r="F50" s="78">
        <v>45811</v>
      </c>
      <c r="G50" s="79">
        <v>1167</v>
      </c>
      <c r="H50" s="80">
        <v>11761.730205278593</v>
      </c>
      <c r="I50" s="79">
        <v>31</v>
      </c>
      <c r="J50" s="81">
        <v>16043</v>
      </c>
      <c r="K50" s="76">
        <v>3</v>
      </c>
      <c r="L50" s="76">
        <v>473</v>
      </c>
      <c r="M50" s="76">
        <v>2</v>
      </c>
      <c r="N50" s="82" t="s">
        <v>10628</v>
      </c>
      <c r="O50" s="83"/>
    </row>
    <row r="51" spans="1:15" ht="22.5" customHeight="1">
      <c r="A51" s="76">
        <v>759724529202804</v>
      </c>
      <c r="B51" s="77" t="s">
        <v>10621</v>
      </c>
      <c r="C51" s="77" t="s">
        <v>10629</v>
      </c>
      <c r="D51" s="77" t="s">
        <v>10630</v>
      </c>
      <c r="E51" s="77"/>
      <c r="F51" s="78">
        <v>45811</v>
      </c>
      <c r="G51" s="79">
        <v>11138</v>
      </c>
      <c r="H51" s="80">
        <v>1265.558360170598</v>
      </c>
      <c r="I51" s="79">
        <v>3</v>
      </c>
      <c r="J51" s="81">
        <v>14540</v>
      </c>
      <c r="K51" s="76">
        <v>0</v>
      </c>
      <c r="L51" s="76">
        <v>1114</v>
      </c>
      <c r="M51" s="76">
        <v>0</v>
      </c>
      <c r="N51" s="82" t="s">
        <v>10631</v>
      </c>
      <c r="O51" s="83"/>
    </row>
    <row r="52" spans="1:15" ht="22.5" customHeight="1">
      <c r="A52" s="76">
        <v>759724529202804</v>
      </c>
      <c r="B52" s="77" t="s">
        <v>10621</v>
      </c>
      <c r="C52" s="77" t="s">
        <v>10632</v>
      </c>
      <c r="D52" s="77" t="s">
        <v>161</v>
      </c>
      <c r="E52" s="77">
        <v>6285240684331</v>
      </c>
      <c r="F52" s="78">
        <v>45811</v>
      </c>
      <c r="G52" s="79">
        <v>1140</v>
      </c>
      <c r="H52" s="80">
        <v>11844.268204758471</v>
      </c>
      <c r="I52" s="79">
        <v>18</v>
      </c>
      <c r="J52" s="81">
        <v>16428</v>
      </c>
      <c r="K52" s="76">
        <v>3</v>
      </c>
      <c r="L52" s="76">
        <v>237</v>
      </c>
      <c r="M52" s="76">
        <v>1</v>
      </c>
      <c r="N52" s="82" t="s">
        <v>10633</v>
      </c>
      <c r="O52" s="83"/>
    </row>
    <row r="53" spans="1:15" ht="22.5" customHeight="1">
      <c r="A53" s="76">
        <v>759724529202804</v>
      </c>
      <c r="B53" s="77" t="s">
        <v>10621</v>
      </c>
      <c r="C53" s="77" t="s">
        <v>10634</v>
      </c>
      <c r="D53" s="77" t="s">
        <v>155</v>
      </c>
      <c r="E53" s="77">
        <v>6282154483973</v>
      </c>
      <c r="F53" s="78">
        <v>45811</v>
      </c>
      <c r="G53" s="79">
        <v>1487</v>
      </c>
      <c r="H53" s="80">
        <v>8233.2409972299174</v>
      </c>
      <c r="I53" s="79">
        <v>40</v>
      </c>
      <c r="J53" s="81">
        <v>14861</v>
      </c>
      <c r="K53" s="76">
        <v>3</v>
      </c>
      <c r="L53" s="76">
        <v>321</v>
      </c>
      <c r="M53" s="76">
        <v>1</v>
      </c>
      <c r="N53" s="82" t="s">
        <v>10635</v>
      </c>
      <c r="O53" s="83"/>
    </row>
    <row r="54" spans="1:15" ht="22.5" customHeight="1">
      <c r="A54" s="76">
        <v>759724529202804</v>
      </c>
      <c r="B54" s="77" t="s">
        <v>10621</v>
      </c>
      <c r="C54" s="77" t="s">
        <v>665</v>
      </c>
      <c r="D54" s="77" t="s">
        <v>659</v>
      </c>
      <c r="E54" s="77">
        <v>6285757057088</v>
      </c>
      <c r="F54" s="78">
        <v>45811</v>
      </c>
      <c r="G54" s="79">
        <v>624</v>
      </c>
      <c r="H54" s="80">
        <v>14878.270762229808</v>
      </c>
      <c r="I54" s="79">
        <v>31</v>
      </c>
      <c r="J54" s="81">
        <v>13078</v>
      </c>
      <c r="K54" s="76">
        <v>2</v>
      </c>
      <c r="L54" s="76">
        <v>0</v>
      </c>
      <c r="M54" s="76">
        <v>0</v>
      </c>
      <c r="N54" s="82" t="s">
        <v>10636</v>
      </c>
      <c r="O54" s="83"/>
    </row>
    <row r="55" spans="1:15" ht="22.5" customHeight="1">
      <c r="A55" s="76">
        <v>759724529202804</v>
      </c>
      <c r="B55" s="77" t="s">
        <v>10621</v>
      </c>
      <c r="C55" s="77" t="s">
        <v>10637</v>
      </c>
      <c r="D55" s="77" t="s">
        <v>10638</v>
      </c>
      <c r="E55" s="77">
        <v>6282136666049</v>
      </c>
      <c r="F55" s="78">
        <v>45811</v>
      </c>
      <c r="G55" s="79">
        <v>740</v>
      </c>
      <c r="H55" s="80">
        <v>17201.834862385324</v>
      </c>
      <c r="I55" s="79">
        <v>14</v>
      </c>
      <c r="J55" s="81">
        <v>15000</v>
      </c>
      <c r="K55" s="76">
        <v>1</v>
      </c>
      <c r="L55" s="76">
        <v>239</v>
      </c>
      <c r="M55" s="76">
        <v>0</v>
      </c>
      <c r="N55" s="82" t="s">
        <v>10639</v>
      </c>
      <c r="O55" s="83"/>
    </row>
    <row r="56" spans="1:15" ht="22.5" customHeight="1">
      <c r="A56" s="76">
        <v>759724529202804</v>
      </c>
      <c r="B56" s="77" t="s">
        <v>10621</v>
      </c>
      <c r="C56" s="77" t="s">
        <v>10643</v>
      </c>
      <c r="D56" s="77" t="s">
        <v>10644</v>
      </c>
      <c r="E56" s="77"/>
      <c r="F56" s="78">
        <v>45811</v>
      </c>
      <c r="G56" s="79">
        <v>762</v>
      </c>
      <c r="H56" s="80">
        <v>19793.378995433792</v>
      </c>
      <c r="I56" s="79">
        <v>19</v>
      </c>
      <c r="J56" s="81">
        <v>17339</v>
      </c>
      <c r="K56" s="76">
        <v>1</v>
      </c>
      <c r="L56" s="76">
        <v>296</v>
      </c>
      <c r="M56" s="76">
        <v>0</v>
      </c>
      <c r="N56" s="82" t="s">
        <v>10645</v>
      </c>
      <c r="O56" s="83"/>
    </row>
    <row r="57" spans="1:15" ht="22.5" customHeight="1">
      <c r="A57" s="76">
        <v>174904221976312</v>
      </c>
      <c r="B57" s="77" t="s">
        <v>10651</v>
      </c>
      <c r="C57" s="77" t="s">
        <v>10685</v>
      </c>
      <c r="D57" s="77" t="s">
        <v>10686</v>
      </c>
      <c r="E57" s="77">
        <v>6285211510282</v>
      </c>
      <c r="F57" s="78">
        <v>45811</v>
      </c>
      <c r="G57" s="79">
        <v>387</v>
      </c>
      <c r="H57" s="80">
        <v>26826.405867970661</v>
      </c>
      <c r="I57" s="79">
        <v>2</v>
      </c>
      <c r="J57" s="81">
        <v>10972</v>
      </c>
      <c r="K57" s="76">
        <v>0</v>
      </c>
      <c r="L57" s="76">
        <v>98</v>
      </c>
      <c r="M57" s="76">
        <v>0</v>
      </c>
      <c r="N57" s="82" t="s">
        <v>10687</v>
      </c>
      <c r="O57" s="83"/>
    </row>
    <row r="58" spans="1:15" ht="22.5" customHeight="1">
      <c r="A58" s="76">
        <v>174904221976312</v>
      </c>
      <c r="B58" s="77" t="s">
        <v>10651</v>
      </c>
      <c r="C58" s="77" t="s">
        <v>10670</v>
      </c>
      <c r="D58" s="77" t="s">
        <v>10671</v>
      </c>
      <c r="E58" s="77">
        <v>6281399998259</v>
      </c>
      <c r="F58" s="78">
        <v>45811</v>
      </c>
      <c r="G58" s="79">
        <v>953</v>
      </c>
      <c r="H58" s="80">
        <v>10091.863517060368</v>
      </c>
      <c r="I58" s="79">
        <v>28</v>
      </c>
      <c r="J58" s="81">
        <v>11535</v>
      </c>
      <c r="K58" s="76">
        <v>3</v>
      </c>
      <c r="L58" s="76">
        <v>300</v>
      </c>
      <c r="M58" s="76">
        <v>0</v>
      </c>
      <c r="N58" s="82" t="s">
        <v>10672</v>
      </c>
      <c r="O58" s="83"/>
    </row>
    <row r="59" spans="1:15" ht="22.5" customHeight="1">
      <c r="A59" s="76">
        <v>174904221976312</v>
      </c>
      <c r="B59" s="77" t="s">
        <v>10651</v>
      </c>
      <c r="C59" s="77" t="s">
        <v>10673</v>
      </c>
      <c r="D59" s="77" t="s">
        <v>10674</v>
      </c>
      <c r="E59" s="77">
        <v>6282183184641</v>
      </c>
      <c r="F59" s="78">
        <v>45811</v>
      </c>
      <c r="G59" s="79">
        <v>1054</v>
      </c>
      <c r="H59" s="80">
        <v>10368.088467614534</v>
      </c>
      <c r="I59" s="79">
        <v>17</v>
      </c>
      <c r="J59" s="81">
        <v>13126</v>
      </c>
      <c r="K59" s="76">
        <v>4</v>
      </c>
      <c r="L59" s="76">
        <v>295</v>
      </c>
      <c r="M59" s="76">
        <v>0</v>
      </c>
      <c r="N59" s="82" t="s">
        <v>10675</v>
      </c>
      <c r="O59" s="83"/>
    </row>
    <row r="60" spans="1:15" ht="22.5" customHeight="1">
      <c r="A60" s="76">
        <v>174904221976312</v>
      </c>
      <c r="B60" s="77" t="s">
        <v>10651</v>
      </c>
      <c r="C60" s="77" t="s">
        <v>10652</v>
      </c>
      <c r="D60" s="77" t="s">
        <v>10653</v>
      </c>
      <c r="E60" s="77">
        <v>6281348555887</v>
      </c>
      <c r="F60" s="78">
        <v>45811</v>
      </c>
      <c r="G60" s="79">
        <v>1353</v>
      </c>
      <c r="H60" s="80">
        <v>7490.8722109533464</v>
      </c>
      <c r="I60" s="79">
        <v>30</v>
      </c>
      <c r="J60" s="81">
        <v>11079</v>
      </c>
      <c r="K60" s="76">
        <v>2</v>
      </c>
      <c r="L60" s="76">
        <v>435</v>
      </c>
      <c r="M60" s="76">
        <v>2</v>
      </c>
      <c r="N60" s="82" t="s">
        <v>10654</v>
      </c>
      <c r="O60" s="83"/>
    </row>
    <row r="61" spans="1:15" ht="22.5" customHeight="1">
      <c r="A61" s="76">
        <v>174904221976312</v>
      </c>
      <c r="B61" s="77" t="s">
        <v>10651</v>
      </c>
      <c r="C61" s="77" t="s">
        <v>10655</v>
      </c>
      <c r="D61" s="77" t="s">
        <v>3908</v>
      </c>
      <c r="E61" s="77">
        <v>6285376667233</v>
      </c>
      <c r="F61" s="78">
        <v>45811</v>
      </c>
      <c r="G61" s="79">
        <v>1184</v>
      </c>
      <c r="H61" s="80">
        <v>10580.572289156626</v>
      </c>
      <c r="I61" s="79">
        <v>31</v>
      </c>
      <c r="J61" s="81">
        <v>14051</v>
      </c>
      <c r="K61" s="76">
        <v>7</v>
      </c>
      <c r="L61" s="76">
        <v>353</v>
      </c>
      <c r="M61" s="76">
        <v>0</v>
      </c>
      <c r="N61" s="82" t="s">
        <v>10656</v>
      </c>
      <c r="O61" s="83"/>
    </row>
    <row r="62" spans="1:15" ht="22.5" customHeight="1">
      <c r="A62" s="76">
        <v>174904221976312</v>
      </c>
      <c r="B62" s="77" t="s">
        <v>10651</v>
      </c>
      <c r="C62" s="77" t="s">
        <v>10657</v>
      </c>
      <c r="D62" s="77" t="s">
        <v>1239</v>
      </c>
      <c r="E62" s="77">
        <v>6282172291579</v>
      </c>
      <c r="F62" s="78">
        <v>45811</v>
      </c>
      <c r="G62" s="79">
        <v>939</v>
      </c>
      <c r="H62" s="80">
        <v>12786.496350364963</v>
      </c>
      <c r="I62" s="79">
        <v>40</v>
      </c>
      <c r="J62" s="81">
        <v>14014</v>
      </c>
      <c r="K62" s="76">
        <v>3</v>
      </c>
      <c r="L62" s="76">
        <v>519</v>
      </c>
      <c r="M62" s="76">
        <v>2</v>
      </c>
      <c r="N62" s="82" t="s">
        <v>10658</v>
      </c>
      <c r="O62" s="83"/>
    </row>
    <row r="63" spans="1:15" ht="22.5" customHeight="1">
      <c r="A63" s="76">
        <v>174904221976312</v>
      </c>
      <c r="B63" s="77" t="s">
        <v>10651</v>
      </c>
      <c r="C63" s="77" t="s">
        <v>10659</v>
      </c>
      <c r="D63" s="77" t="s">
        <v>1044</v>
      </c>
      <c r="E63" s="77">
        <v>6281263113266</v>
      </c>
      <c r="F63" s="78">
        <v>45811</v>
      </c>
      <c r="G63" s="79">
        <v>3726</v>
      </c>
      <c r="H63" s="80">
        <v>8496.5686274509808</v>
      </c>
      <c r="I63" s="79">
        <v>137</v>
      </c>
      <c r="J63" s="81">
        <v>34666</v>
      </c>
      <c r="K63" s="76">
        <v>11</v>
      </c>
      <c r="L63" s="76">
        <v>1821</v>
      </c>
      <c r="M63" s="76">
        <v>3</v>
      </c>
      <c r="N63" s="82" t="s">
        <v>10660</v>
      </c>
      <c r="O63" s="83"/>
    </row>
    <row r="64" spans="1:15" ht="22.5" customHeight="1">
      <c r="A64" s="76">
        <v>174904221976312</v>
      </c>
      <c r="B64" s="77" t="s">
        <v>10651</v>
      </c>
      <c r="C64" s="77" t="s">
        <v>10665</v>
      </c>
      <c r="D64" s="77" t="s">
        <v>42</v>
      </c>
      <c r="E64" s="77">
        <v>6282341426767</v>
      </c>
      <c r="F64" s="78">
        <v>45811</v>
      </c>
      <c r="G64" s="79">
        <v>500</v>
      </c>
      <c r="H64" s="80">
        <v>24640</v>
      </c>
      <c r="I64" s="79">
        <v>31</v>
      </c>
      <c r="J64" s="81">
        <v>14784</v>
      </c>
      <c r="K64" s="76">
        <v>5</v>
      </c>
      <c r="L64" s="76">
        <v>164</v>
      </c>
      <c r="M64" s="76">
        <v>0</v>
      </c>
      <c r="N64" s="82" t="s">
        <v>10666</v>
      </c>
      <c r="O64" s="83"/>
    </row>
    <row r="65" spans="1:15" ht="22.5" customHeight="1">
      <c r="A65" s="76">
        <v>174904221976312</v>
      </c>
      <c r="B65" s="77" t="s">
        <v>10651</v>
      </c>
      <c r="C65" s="77" t="s">
        <v>10679</v>
      </c>
      <c r="D65" s="77" t="s">
        <v>10680</v>
      </c>
      <c r="E65" s="77">
        <v>6282347206488</v>
      </c>
      <c r="F65" s="78">
        <v>45811</v>
      </c>
      <c r="G65" s="79">
        <v>1398</v>
      </c>
      <c r="H65" s="80">
        <v>7626.5060240963858</v>
      </c>
      <c r="I65" s="79">
        <v>45</v>
      </c>
      <c r="J65" s="81">
        <v>13293</v>
      </c>
      <c r="K65" s="76">
        <v>4</v>
      </c>
      <c r="L65" s="76">
        <v>672</v>
      </c>
      <c r="M65" s="76">
        <v>0</v>
      </c>
      <c r="N65" s="82" t="s">
        <v>10681</v>
      </c>
      <c r="O65" s="83"/>
    </row>
    <row r="66" spans="1:15" ht="22.5" customHeight="1">
      <c r="A66" s="76">
        <v>766589657993298</v>
      </c>
      <c r="B66" s="77" t="s">
        <v>10688</v>
      </c>
      <c r="C66" s="77" t="s">
        <v>10689</v>
      </c>
      <c r="D66" s="77" t="s">
        <v>2488</v>
      </c>
      <c r="E66" s="77">
        <v>6281347321820</v>
      </c>
      <c r="F66" s="78">
        <v>45811</v>
      </c>
      <c r="G66" s="79">
        <v>1207</v>
      </c>
      <c r="H66" s="80">
        <v>12157.825802226587</v>
      </c>
      <c r="I66" s="79">
        <v>41</v>
      </c>
      <c r="J66" s="81">
        <v>18565</v>
      </c>
      <c r="K66" s="76">
        <v>9</v>
      </c>
      <c r="L66" s="76">
        <v>545</v>
      </c>
      <c r="M66" s="76">
        <v>0</v>
      </c>
      <c r="N66" s="82" t="s">
        <v>10690</v>
      </c>
      <c r="O66" s="83"/>
    </row>
    <row r="67" spans="1:15" ht="22.5" customHeight="1">
      <c r="A67" s="76">
        <v>766589657993298</v>
      </c>
      <c r="B67" s="77" t="s">
        <v>10688</v>
      </c>
      <c r="C67" s="77" t="s">
        <v>10691</v>
      </c>
      <c r="D67" s="77" t="s">
        <v>209</v>
      </c>
      <c r="E67" s="77"/>
      <c r="F67" s="78">
        <v>45811</v>
      </c>
      <c r="G67" s="79">
        <v>678</v>
      </c>
      <c r="H67" s="80">
        <v>16864.029666254635</v>
      </c>
      <c r="I67" s="79">
        <v>16</v>
      </c>
      <c r="J67" s="81">
        <v>13643</v>
      </c>
      <c r="K67" s="76">
        <v>3</v>
      </c>
      <c r="L67" s="76">
        <v>246</v>
      </c>
      <c r="M67" s="76">
        <v>0</v>
      </c>
      <c r="N67" s="82" t="s">
        <v>10692</v>
      </c>
      <c r="O67" s="83"/>
    </row>
    <row r="68" spans="1:15" ht="22.5" customHeight="1">
      <c r="A68" s="76">
        <v>759724529202804</v>
      </c>
      <c r="B68" s="77" t="s">
        <v>10621</v>
      </c>
      <c r="C68" s="77" t="s">
        <v>10682</v>
      </c>
      <c r="D68" s="77" t="s">
        <v>10683</v>
      </c>
      <c r="E68" s="77">
        <v>6285737244570</v>
      </c>
      <c r="F68" s="78">
        <v>45812</v>
      </c>
      <c r="G68" s="79">
        <v>754</v>
      </c>
      <c r="H68" s="80">
        <v>17955.899880810488</v>
      </c>
      <c r="I68" s="79">
        <v>16</v>
      </c>
      <c r="J68" s="81">
        <v>15065</v>
      </c>
      <c r="K68" s="76">
        <v>4</v>
      </c>
      <c r="L68" s="76">
        <v>230</v>
      </c>
      <c r="M68" s="76">
        <v>0</v>
      </c>
      <c r="N68" s="82" t="s">
        <v>10684</v>
      </c>
      <c r="O68" s="83"/>
    </row>
    <row r="69" spans="1:15" ht="22.5" customHeight="1">
      <c r="A69" s="76">
        <v>759724529202804</v>
      </c>
      <c r="B69" s="77" t="s">
        <v>10621</v>
      </c>
      <c r="C69" s="77" t="s">
        <v>10667</v>
      </c>
      <c r="D69" s="77" t="s">
        <v>10668</v>
      </c>
      <c r="E69" s="77">
        <v>628872305953</v>
      </c>
      <c r="F69" s="78">
        <v>45812</v>
      </c>
      <c r="G69" s="79">
        <v>299</v>
      </c>
      <c r="H69" s="80">
        <v>43674.486803519059</v>
      </c>
      <c r="I69" s="79">
        <v>8</v>
      </c>
      <c r="J69" s="81">
        <v>14893</v>
      </c>
      <c r="K69" s="76">
        <v>2</v>
      </c>
      <c r="L69" s="76">
        <v>0</v>
      </c>
      <c r="M69" s="76">
        <v>0</v>
      </c>
      <c r="N69" s="82" t="s">
        <v>10669</v>
      </c>
      <c r="O69" s="83"/>
    </row>
    <row r="70" spans="1:15" ht="22.5" customHeight="1">
      <c r="A70" s="76">
        <v>759724529202804</v>
      </c>
      <c r="B70" s="77" t="s">
        <v>10621</v>
      </c>
      <c r="C70" s="77" t="s">
        <v>10622</v>
      </c>
      <c r="D70" s="77" t="s">
        <v>183</v>
      </c>
      <c r="E70" s="77">
        <v>6285255435848</v>
      </c>
      <c r="F70" s="78">
        <v>45812</v>
      </c>
      <c r="G70" s="79">
        <v>1900</v>
      </c>
      <c r="H70" s="80">
        <v>6973.4722880151585</v>
      </c>
      <c r="I70" s="79">
        <v>23</v>
      </c>
      <c r="J70" s="81">
        <v>14721</v>
      </c>
      <c r="K70" s="76">
        <v>0</v>
      </c>
      <c r="L70" s="76">
        <v>743</v>
      </c>
      <c r="M70" s="76">
        <v>0</v>
      </c>
      <c r="N70" s="82" t="s">
        <v>10623</v>
      </c>
      <c r="O70" s="83"/>
    </row>
    <row r="71" spans="1:15" ht="22.5" customHeight="1">
      <c r="A71" s="76">
        <v>759724529202804</v>
      </c>
      <c r="B71" s="77" t="s">
        <v>10621</v>
      </c>
      <c r="C71" s="77" t="s">
        <v>10624</v>
      </c>
      <c r="D71" s="77" t="s">
        <v>190</v>
      </c>
      <c r="E71" s="77">
        <v>6281331854948</v>
      </c>
      <c r="F71" s="78">
        <v>45812</v>
      </c>
      <c r="G71" s="79">
        <v>896</v>
      </c>
      <c r="H71" s="80">
        <v>13827.681026581118</v>
      </c>
      <c r="I71" s="79">
        <v>24</v>
      </c>
      <c r="J71" s="81">
        <v>15086</v>
      </c>
      <c r="K71" s="76">
        <v>2</v>
      </c>
      <c r="L71" s="76">
        <v>368</v>
      </c>
      <c r="M71" s="76">
        <v>0</v>
      </c>
      <c r="N71" s="82" t="s">
        <v>10625</v>
      </c>
      <c r="O71" s="83"/>
    </row>
    <row r="72" spans="1:15" ht="22.5" customHeight="1">
      <c r="A72" s="76">
        <v>759724529202804</v>
      </c>
      <c r="B72" s="77" t="s">
        <v>10621</v>
      </c>
      <c r="C72" s="77" t="s">
        <v>10626</v>
      </c>
      <c r="D72" s="77" t="s">
        <v>177</v>
      </c>
      <c r="E72" s="77">
        <v>6282348365032</v>
      </c>
      <c r="F72" s="78">
        <v>45812</v>
      </c>
      <c r="G72" s="79">
        <v>792</v>
      </c>
      <c r="H72" s="80">
        <v>15105.004906771344</v>
      </c>
      <c r="I72" s="79">
        <v>21</v>
      </c>
      <c r="J72" s="81">
        <v>15392</v>
      </c>
      <c r="K72" s="76">
        <v>3</v>
      </c>
      <c r="L72" s="76">
        <v>194</v>
      </c>
      <c r="M72" s="76">
        <v>0</v>
      </c>
      <c r="N72" s="82" t="s">
        <v>10627</v>
      </c>
      <c r="O72" s="83"/>
    </row>
    <row r="73" spans="1:15" ht="22.5" customHeight="1">
      <c r="A73" s="76">
        <v>759724529202804</v>
      </c>
      <c r="B73" s="77" t="s">
        <v>10621</v>
      </c>
      <c r="C73" s="77" t="s">
        <v>206</v>
      </c>
      <c r="D73" s="77" t="s">
        <v>199</v>
      </c>
      <c r="E73" s="77">
        <v>6285220903499</v>
      </c>
      <c r="F73" s="78">
        <v>45812</v>
      </c>
      <c r="G73" s="79">
        <v>931</v>
      </c>
      <c r="H73" s="80">
        <v>15183.59375</v>
      </c>
      <c r="I73" s="79">
        <v>17</v>
      </c>
      <c r="J73" s="81">
        <v>15548</v>
      </c>
      <c r="K73" s="76">
        <v>5</v>
      </c>
      <c r="L73" s="76">
        <v>334</v>
      </c>
      <c r="M73" s="76">
        <v>1</v>
      </c>
      <c r="N73" s="82" t="s">
        <v>10628</v>
      </c>
      <c r="O73" s="83"/>
    </row>
    <row r="74" spans="1:15" ht="22.5" customHeight="1">
      <c r="A74" s="76">
        <v>759724529202804</v>
      </c>
      <c r="B74" s="77" t="s">
        <v>10621</v>
      </c>
      <c r="C74" s="77" t="s">
        <v>10629</v>
      </c>
      <c r="D74" s="77" t="s">
        <v>10630</v>
      </c>
      <c r="E74" s="77"/>
      <c r="F74" s="78">
        <v>45812</v>
      </c>
      <c r="G74" s="79">
        <v>11590</v>
      </c>
      <c r="H74" s="80">
        <v>1264.4014025713807</v>
      </c>
      <c r="I74" s="79">
        <v>15</v>
      </c>
      <c r="J74" s="81">
        <v>15145</v>
      </c>
      <c r="K74" s="76">
        <v>0</v>
      </c>
      <c r="L74" s="76">
        <v>1059</v>
      </c>
      <c r="M74" s="76">
        <v>0</v>
      </c>
      <c r="N74" s="82" t="s">
        <v>10631</v>
      </c>
      <c r="O74" s="83"/>
    </row>
    <row r="75" spans="1:15" ht="22.5" customHeight="1">
      <c r="A75" s="76">
        <v>759724529202804</v>
      </c>
      <c r="B75" s="77" t="s">
        <v>10621</v>
      </c>
      <c r="C75" s="77" t="s">
        <v>10632</v>
      </c>
      <c r="D75" s="77" t="s">
        <v>161</v>
      </c>
      <c r="E75" s="77">
        <v>6285240684331</v>
      </c>
      <c r="F75" s="78">
        <v>45812</v>
      </c>
      <c r="G75" s="79">
        <v>1157</v>
      </c>
      <c r="H75" s="80">
        <v>10795.420974889217</v>
      </c>
      <c r="I75" s="79">
        <v>8</v>
      </c>
      <c r="J75" s="81">
        <v>14617</v>
      </c>
      <c r="K75" s="76">
        <v>0</v>
      </c>
      <c r="L75" s="76">
        <v>194</v>
      </c>
      <c r="M75" s="76">
        <v>0</v>
      </c>
      <c r="N75" s="82" t="s">
        <v>10633</v>
      </c>
      <c r="O75" s="83"/>
    </row>
    <row r="76" spans="1:15" ht="22.5" customHeight="1">
      <c r="A76" s="76">
        <v>759724529202804</v>
      </c>
      <c r="B76" s="77" t="s">
        <v>10621</v>
      </c>
      <c r="C76" s="77" t="s">
        <v>10634</v>
      </c>
      <c r="D76" s="77" t="s">
        <v>155</v>
      </c>
      <c r="E76" s="77">
        <v>6282154483973</v>
      </c>
      <c r="F76" s="78">
        <v>45812</v>
      </c>
      <c r="G76" s="79">
        <v>1597</v>
      </c>
      <c r="H76" s="80">
        <v>7220.7920792079203</v>
      </c>
      <c r="I76" s="79">
        <v>31</v>
      </c>
      <c r="J76" s="81">
        <v>14586</v>
      </c>
      <c r="K76" s="76">
        <v>2</v>
      </c>
      <c r="L76" s="76">
        <v>339</v>
      </c>
      <c r="M76" s="76">
        <v>0</v>
      </c>
      <c r="N76" s="82" t="s">
        <v>10635</v>
      </c>
      <c r="O76" s="83"/>
    </row>
    <row r="77" spans="1:15" ht="22.5" customHeight="1">
      <c r="A77" s="76">
        <v>759724529202804</v>
      </c>
      <c r="B77" s="77" t="s">
        <v>10621</v>
      </c>
      <c r="C77" s="77" t="s">
        <v>665</v>
      </c>
      <c r="D77" s="77" t="s">
        <v>659</v>
      </c>
      <c r="E77" s="77">
        <v>6285757057088</v>
      </c>
      <c r="F77" s="78">
        <v>45812</v>
      </c>
      <c r="G77" s="79">
        <v>960</v>
      </c>
      <c r="H77" s="80">
        <v>11119.969040247679</v>
      </c>
      <c r="I77" s="79">
        <v>26</v>
      </c>
      <c r="J77" s="81">
        <v>14367</v>
      </c>
      <c r="K77" s="76">
        <v>0</v>
      </c>
      <c r="L77" s="76">
        <v>0</v>
      </c>
      <c r="M77" s="76">
        <v>0</v>
      </c>
      <c r="N77" s="82" t="s">
        <v>10636</v>
      </c>
      <c r="O77" s="83"/>
    </row>
    <row r="78" spans="1:15" ht="22.5" customHeight="1">
      <c r="A78" s="76">
        <v>759724529202804</v>
      </c>
      <c r="B78" s="77" t="s">
        <v>10621</v>
      </c>
      <c r="C78" s="77" t="s">
        <v>10637</v>
      </c>
      <c r="D78" s="77" t="s">
        <v>10638</v>
      </c>
      <c r="E78" s="77">
        <v>6282136666049</v>
      </c>
      <c r="F78" s="78">
        <v>45812</v>
      </c>
      <c r="G78" s="79">
        <v>995</v>
      </c>
      <c r="H78" s="80">
        <v>15386.976744186048</v>
      </c>
      <c r="I78" s="79">
        <v>23</v>
      </c>
      <c r="J78" s="81">
        <v>16541</v>
      </c>
      <c r="K78" s="76">
        <v>5</v>
      </c>
      <c r="L78" s="76">
        <v>274</v>
      </c>
      <c r="M78" s="76">
        <v>0</v>
      </c>
      <c r="N78" s="82" t="s">
        <v>10639</v>
      </c>
      <c r="O78" s="83"/>
    </row>
    <row r="79" spans="1:15" ht="22.5" customHeight="1">
      <c r="A79" s="76">
        <v>759724529202804</v>
      </c>
      <c r="B79" s="77" t="s">
        <v>10621</v>
      </c>
      <c r="C79" s="77" t="s">
        <v>10643</v>
      </c>
      <c r="D79" s="77" t="s">
        <v>10644</v>
      </c>
      <c r="E79" s="77"/>
      <c r="F79" s="78">
        <v>45812</v>
      </c>
      <c r="G79" s="79">
        <v>654</v>
      </c>
      <c r="H79" s="80">
        <v>22297.150610583449</v>
      </c>
      <c r="I79" s="79">
        <v>13</v>
      </c>
      <c r="J79" s="81">
        <v>16433</v>
      </c>
      <c r="K79" s="76">
        <v>0</v>
      </c>
      <c r="L79" s="76">
        <v>96</v>
      </c>
      <c r="M79" s="76">
        <v>1</v>
      </c>
      <c r="N79" s="82" t="s">
        <v>10645</v>
      </c>
      <c r="O79" s="83"/>
    </row>
    <row r="80" spans="1:15" ht="22.5" customHeight="1">
      <c r="A80" s="76">
        <v>174904221976312</v>
      </c>
      <c r="B80" s="77" t="s">
        <v>10651</v>
      </c>
      <c r="C80" s="77" t="s">
        <v>10693</v>
      </c>
      <c r="D80" s="77" t="s">
        <v>10694</v>
      </c>
      <c r="E80" s="77"/>
      <c r="F80" s="78">
        <v>45812</v>
      </c>
      <c r="G80" s="79">
        <v>359</v>
      </c>
      <c r="H80" s="80">
        <v>12613.513513513513</v>
      </c>
      <c r="I80" s="79">
        <v>3</v>
      </c>
      <c r="J80" s="81">
        <v>4667</v>
      </c>
      <c r="K80" s="76">
        <v>0</v>
      </c>
      <c r="L80" s="76">
        <v>92</v>
      </c>
      <c r="M80" s="76">
        <v>0</v>
      </c>
      <c r="N80" s="82" t="s">
        <v>10695</v>
      </c>
      <c r="O80" s="83"/>
    </row>
    <row r="81" spans="1:15" ht="22.5" customHeight="1">
      <c r="A81" s="76">
        <v>174904221976312</v>
      </c>
      <c r="B81" s="77" t="s">
        <v>10651</v>
      </c>
      <c r="C81" s="77" t="s">
        <v>10696</v>
      </c>
      <c r="D81" s="77" t="s">
        <v>236</v>
      </c>
      <c r="E81" s="77"/>
      <c r="F81" s="78">
        <v>45812</v>
      </c>
      <c r="G81" s="79">
        <v>1110</v>
      </c>
      <c r="H81" s="80">
        <v>8438.4364820846895</v>
      </c>
      <c r="I81" s="79">
        <v>66</v>
      </c>
      <c r="J81" s="81">
        <v>12953</v>
      </c>
      <c r="K81" s="76">
        <v>11</v>
      </c>
      <c r="L81" s="76">
        <v>459</v>
      </c>
      <c r="M81" s="76">
        <v>3</v>
      </c>
      <c r="N81" s="82" t="s">
        <v>10697</v>
      </c>
      <c r="O81" s="83"/>
    </row>
    <row r="82" spans="1:15" ht="22.5" customHeight="1">
      <c r="A82" s="76">
        <v>174904221976312</v>
      </c>
      <c r="B82" s="77" t="s">
        <v>10651</v>
      </c>
      <c r="C82" s="77" t="s">
        <v>10685</v>
      </c>
      <c r="D82" s="77" t="s">
        <v>10686</v>
      </c>
      <c r="E82" s="77">
        <v>6285211510282</v>
      </c>
      <c r="F82" s="78">
        <v>45812</v>
      </c>
      <c r="G82" s="79">
        <v>201</v>
      </c>
      <c r="H82" s="80">
        <v>57389.908256880735</v>
      </c>
      <c r="I82" s="79">
        <v>3</v>
      </c>
      <c r="J82" s="81">
        <v>12511</v>
      </c>
      <c r="K82" s="76">
        <v>0</v>
      </c>
      <c r="L82" s="76">
        <v>48</v>
      </c>
      <c r="M82" s="76">
        <v>0</v>
      </c>
      <c r="N82" s="82" t="s">
        <v>10687</v>
      </c>
      <c r="O82" s="83"/>
    </row>
    <row r="83" spans="1:15" ht="22.5" customHeight="1">
      <c r="A83" s="76">
        <v>174904221976312</v>
      </c>
      <c r="B83" s="77" t="s">
        <v>10651</v>
      </c>
      <c r="C83" s="77" t="s">
        <v>10670</v>
      </c>
      <c r="D83" s="77" t="s">
        <v>10671</v>
      </c>
      <c r="E83" s="77">
        <v>6281399998259</v>
      </c>
      <c r="F83" s="78">
        <v>45812</v>
      </c>
      <c r="G83" s="79">
        <v>1578</v>
      </c>
      <c r="H83" s="80">
        <v>7252.8026905829593</v>
      </c>
      <c r="I83" s="79">
        <v>23</v>
      </c>
      <c r="J83" s="81">
        <v>12939</v>
      </c>
      <c r="K83" s="76">
        <v>0</v>
      </c>
      <c r="L83" s="76">
        <v>481</v>
      </c>
      <c r="M83" s="76">
        <v>0</v>
      </c>
      <c r="N83" s="82" t="s">
        <v>10672</v>
      </c>
      <c r="O83" s="83"/>
    </row>
    <row r="84" spans="1:15" ht="22.5" customHeight="1">
      <c r="A84" s="76">
        <v>174904221976312</v>
      </c>
      <c r="B84" s="77" t="s">
        <v>10651</v>
      </c>
      <c r="C84" s="77" t="s">
        <v>10673</v>
      </c>
      <c r="D84" s="77" t="s">
        <v>10674</v>
      </c>
      <c r="E84" s="77">
        <v>6282183184641</v>
      </c>
      <c r="F84" s="78">
        <v>45812</v>
      </c>
      <c r="G84" s="79">
        <v>1100</v>
      </c>
      <c r="H84" s="80">
        <v>11523.505976095617</v>
      </c>
      <c r="I84" s="79">
        <v>34</v>
      </c>
      <c r="J84" s="81">
        <v>14462</v>
      </c>
      <c r="K84" s="76">
        <v>4</v>
      </c>
      <c r="L84" s="76">
        <v>332</v>
      </c>
      <c r="M84" s="76">
        <v>3</v>
      </c>
      <c r="N84" s="82" t="s">
        <v>10675</v>
      </c>
      <c r="O84" s="83"/>
    </row>
    <row r="85" spans="1:15" ht="22.5" customHeight="1">
      <c r="A85" s="76">
        <v>174904221976312</v>
      </c>
      <c r="B85" s="77" t="s">
        <v>10651</v>
      </c>
      <c r="C85" s="77" t="s">
        <v>10652</v>
      </c>
      <c r="D85" s="77" t="s">
        <v>10653</v>
      </c>
      <c r="E85" s="77">
        <v>6281348555887</v>
      </c>
      <c r="F85" s="78">
        <v>45812</v>
      </c>
      <c r="G85" s="79">
        <v>1426</v>
      </c>
      <c r="H85" s="80">
        <v>7192.8934010152288</v>
      </c>
      <c r="I85" s="79">
        <v>37</v>
      </c>
      <c r="J85" s="81">
        <v>11336</v>
      </c>
      <c r="K85" s="76">
        <v>2</v>
      </c>
      <c r="L85" s="76">
        <v>464</v>
      </c>
      <c r="M85" s="76">
        <v>0</v>
      </c>
      <c r="N85" s="82" t="s">
        <v>10654</v>
      </c>
      <c r="O85" s="83"/>
    </row>
    <row r="86" spans="1:15" ht="22.5" customHeight="1">
      <c r="A86" s="76">
        <v>174904221976312</v>
      </c>
      <c r="B86" s="77" t="s">
        <v>10651</v>
      </c>
      <c r="C86" s="77" t="s">
        <v>10655</v>
      </c>
      <c r="D86" s="77" t="s">
        <v>3908</v>
      </c>
      <c r="E86" s="77">
        <v>6285376667233</v>
      </c>
      <c r="F86" s="78">
        <v>45812</v>
      </c>
      <c r="G86" s="79">
        <v>352</v>
      </c>
      <c r="H86" s="80">
        <v>11611.979166666666</v>
      </c>
      <c r="I86" s="79">
        <v>7</v>
      </c>
      <c r="J86" s="81">
        <v>4459</v>
      </c>
      <c r="K86" s="76">
        <v>3</v>
      </c>
      <c r="L86" s="76">
        <v>121</v>
      </c>
      <c r="M86" s="76">
        <v>0</v>
      </c>
      <c r="N86" s="82" t="s">
        <v>10656</v>
      </c>
      <c r="O86" s="83"/>
    </row>
    <row r="87" spans="1:15" ht="22.5" customHeight="1">
      <c r="A87" s="76">
        <v>174904221976312</v>
      </c>
      <c r="B87" s="77" t="s">
        <v>10651</v>
      </c>
      <c r="C87" s="77" t="s">
        <v>10657</v>
      </c>
      <c r="D87" s="77" t="s">
        <v>1239</v>
      </c>
      <c r="E87" s="77">
        <v>6282172291579</v>
      </c>
      <c r="F87" s="78">
        <v>45812</v>
      </c>
      <c r="G87" s="79">
        <v>764</v>
      </c>
      <c r="H87" s="80">
        <v>13616.252821670429</v>
      </c>
      <c r="I87" s="79">
        <v>30</v>
      </c>
      <c r="J87" s="81">
        <v>12064</v>
      </c>
      <c r="K87" s="76">
        <v>1</v>
      </c>
      <c r="L87" s="76">
        <v>390</v>
      </c>
      <c r="M87" s="76">
        <v>4</v>
      </c>
      <c r="N87" s="82" t="s">
        <v>10658</v>
      </c>
      <c r="O87" s="83"/>
    </row>
    <row r="88" spans="1:15" ht="22.5" customHeight="1">
      <c r="A88" s="76">
        <v>174904221976312</v>
      </c>
      <c r="B88" s="77" t="s">
        <v>10651</v>
      </c>
      <c r="C88" s="77" t="s">
        <v>10659</v>
      </c>
      <c r="D88" s="77" t="s">
        <v>1044</v>
      </c>
      <c r="E88" s="77">
        <v>6281263113266</v>
      </c>
      <c r="F88" s="78">
        <v>45812</v>
      </c>
      <c r="G88" s="79">
        <v>3152</v>
      </c>
      <c r="H88" s="80">
        <v>7935.492879084054</v>
      </c>
      <c r="I88" s="79">
        <v>126</v>
      </c>
      <c r="J88" s="81">
        <v>28417</v>
      </c>
      <c r="K88" s="76">
        <v>11</v>
      </c>
      <c r="L88" s="76">
        <v>1481</v>
      </c>
      <c r="M88" s="76">
        <v>5</v>
      </c>
      <c r="N88" s="82" t="s">
        <v>10660</v>
      </c>
      <c r="O88" s="83"/>
    </row>
    <row r="89" spans="1:15" ht="22.5" customHeight="1">
      <c r="A89" s="76">
        <v>174904221976312</v>
      </c>
      <c r="B89" s="77" t="s">
        <v>10651</v>
      </c>
      <c r="C89" s="77" t="s">
        <v>10679</v>
      </c>
      <c r="D89" s="77" t="s">
        <v>10680</v>
      </c>
      <c r="E89" s="77">
        <v>6282347206488</v>
      </c>
      <c r="F89" s="78">
        <v>45812</v>
      </c>
      <c r="G89" s="79">
        <v>2244</v>
      </c>
      <c r="H89" s="80">
        <v>5493.5521688159433</v>
      </c>
      <c r="I89" s="79">
        <v>61</v>
      </c>
      <c r="J89" s="81">
        <v>14058</v>
      </c>
      <c r="K89" s="76">
        <v>7</v>
      </c>
      <c r="L89" s="76">
        <v>989</v>
      </c>
      <c r="M89" s="76">
        <v>0</v>
      </c>
      <c r="N89" s="82" t="s">
        <v>10681</v>
      </c>
      <c r="O89" s="83"/>
    </row>
    <row r="90" spans="1:15" ht="22.5" customHeight="1">
      <c r="A90" s="76">
        <v>766589657993298</v>
      </c>
      <c r="B90" s="77" t="s">
        <v>10688</v>
      </c>
      <c r="C90" s="77" t="s">
        <v>10698</v>
      </c>
      <c r="D90" s="77" t="s">
        <v>10699</v>
      </c>
      <c r="E90" s="77">
        <v>62812</v>
      </c>
      <c r="F90" s="78">
        <v>45812</v>
      </c>
      <c r="G90" s="79">
        <v>132</v>
      </c>
      <c r="H90" s="80">
        <v>45834.532374100716</v>
      </c>
      <c r="I90" s="79">
        <v>0</v>
      </c>
      <c r="J90" s="81">
        <v>6371</v>
      </c>
      <c r="K90" s="76">
        <v>0</v>
      </c>
      <c r="L90" s="76">
        <v>25</v>
      </c>
      <c r="M90" s="76">
        <v>0</v>
      </c>
      <c r="N90" s="82" t="s">
        <v>10700</v>
      </c>
      <c r="O90" s="83"/>
    </row>
    <row r="91" spans="1:15" ht="22.5" customHeight="1">
      <c r="A91" s="76">
        <v>766589657993298</v>
      </c>
      <c r="B91" s="77" t="s">
        <v>10688</v>
      </c>
      <c r="C91" s="77" t="s">
        <v>10701</v>
      </c>
      <c r="D91" s="77" t="s">
        <v>5669</v>
      </c>
      <c r="E91" s="77">
        <v>6282288123215</v>
      </c>
      <c r="F91" s="78">
        <v>45812</v>
      </c>
      <c r="G91" s="79">
        <v>706</v>
      </c>
      <c r="H91" s="80">
        <v>9121.7277486911007</v>
      </c>
      <c r="I91" s="79">
        <v>9</v>
      </c>
      <c r="J91" s="81">
        <v>6969</v>
      </c>
      <c r="K91" s="76">
        <v>1</v>
      </c>
      <c r="L91" s="76">
        <v>190</v>
      </c>
      <c r="M91" s="76">
        <v>0</v>
      </c>
      <c r="N91" s="82" t="s">
        <v>10702</v>
      </c>
      <c r="O91" s="83"/>
    </row>
    <row r="92" spans="1:15" ht="22.5" customHeight="1">
      <c r="A92" s="76">
        <v>766589657993298</v>
      </c>
      <c r="B92" s="77" t="s">
        <v>10688</v>
      </c>
      <c r="C92" s="77" t="s">
        <v>10703</v>
      </c>
      <c r="D92" s="77" t="s">
        <v>253</v>
      </c>
      <c r="E92" s="77">
        <v>6282154795446</v>
      </c>
      <c r="F92" s="78">
        <v>45812</v>
      </c>
      <c r="G92" s="79">
        <v>639</v>
      </c>
      <c r="H92" s="80">
        <v>15788.713910761155</v>
      </c>
      <c r="I92" s="79">
        <v>2</v>
      </c>
      <c r="J92" s="81">
        <v>12031</v>
      </c>
      <c r="K92" s="76">
        <v>0</v>
      </c>
      <c r="L92" s="76">
        <v>129</v>
      </c>
      <c r="M92" s="76">
        <v>0</v>
      </c>
      <c r="N92" s="82" t="s">
        <v>10704</v>
      </c>
      <c r="O92" s="83"/>
    </row>
    <row r="93" spans="1:15" ht="22.5" customHeight="1">
      <c r="A93" s="76">
        <v>766589657993298</v>
      </c>
      <c r="B93" s="77" t="s">
        <v>10688</v>
      </c>
      <c r="C93" s="77" t="s">
        <v>10689</v>
      </c>
      <c r="D93" s="77" t="s">
        <v>2488</v>
      </c>
      <c r="E93" s="77">
        <v>6281347321820</v>
      </c>
      <c r="F93" s="78">
        <v>45812</v>
      </c>
      <c r="G93" s="79">
        <v>1056</v>
      </c>
      <c r="H93" s="80">
        <v>9966.9917479369833</v>
      </c>
      <c r="I93" s="79">
        <v>25</v>
      </c>
      <c r="J93" s="81">
        <v>13286</v>
      </c>
      <c r="K93" s="76">
        <v>1</v>
      </c>
      <c r="L93" s="76">
        <v>422</v>
      </c>
      <c r="M93" s="76">
        <v>0</v>
      </c>
      <c r="N93" s="82" t="s">
        <v>10690</v>
      </c>
      <c r="O93" s="83"/>
    </row>
    <row r="94" spans="1:15" ht="22.5" customHeight="1">
      <c r="A94" s="76">
        <v>766589657993298</v>
      </c>
      <c r="B94" s="77" t="s">
        <v>10688</v>
      </c>
      <c r="C94" s="77" t="s">
        <v>10691</v>
      </c>
      <c r="D94" s="77" t="s">
        <v>209</v>
      </c>
      <c r="E94" s="77"/>
      <c r="F94" s="78">
        <v>45812</v>
      </c>
      <c r="G94" s="79">
        <v>500</v>
      </c>
      <c r="H94" s="80">
        <v>23904.159132007233</v>
      </c>
      <c r="I94" s="79">
        <v>6</v>
      </c>
      <c r="J94" s="81">
        <v>13219</v>
      </c>
      <c r="K94" s="76">
        <v>0</v>
      </c>
      <c r="L94" s="76">
        <v>138</v>
      </c>
      <c r="M94" s="76">
        <v>0</v>
      </c>
      <c r="N94" s="82" t="s">
        <v>10692</v>
      </c>
      <c r="O94" s="83"/>
    </row>
    <row r="95" spans="1:15" ht="22.5" customHeight="1">
      <c r="A95" s="76">
        <v>759724529202804</v>
      </c>
      <c r="B95" s="77" t="s">
        <v>10621</v>
      </c>
      <c r="C95" s="77" t="s">
        <v>10682</v>
      </c>
      <c r="D95" s="77" t="s">
        <v>10683</v>
      </c>
      <c r="E95" s="77">
        <v>6285737244570</v>
      </c>
      <c r="F95" s="78">
        <v>45813</v>
      </c>
      <c r="G95" s="79">
        <v>773</v>
      </c>
      <c r="H95" s="80">
        <v>17711.561382598331</v>
      </c>
      <c r="I95" s="79">
        <v>13</v>
      </c>
      <c r="J95" s="81">
        <v>14860</v>
      </c>
      <c r="K95" s="76">
        <v>1</v>
      </c>
      <c r="L95" s="76">
        <v>228</v>
      </c>
      <c r="M95" s="76">
        <v>0</v>
      </c>
      <c r="N95" s="82" t="s">
        <v>10684</v>
      </c>
      <c r="O95" s="83"/>
    </row>
    <row r="96" spans="1:15" ht="22.5" customHeight="1">
      <c r="A96" s="76">
        <v>759724529202804</v>
      </c>
      <c r="B96" s="77" t="s">
        <v>10621</v>
      </c>
      <c r="C96" s="77" t="s">
        <v>10622</v>
      </c>
      <c r="D96" s="77" t="s">
        <v>183</v>
      </c>
      <c r="E96" s="77">
        <v>6285255435848</v>
      </c>
      <c r="F96" s="78">
        <v>45813</v>
      </c>
      <c r="G96" s="79">
        <v>1541</v>
      </c>
      <c r="H96" s="80">
        <v>8842.8334255672398</v>
      </c>
      <c r="I96" s="79">
        <v>21</v>
      </c>
      <c r="J96" s="81">
        <v>15979</v>
      </c>
      <c r="K96" s="76">
        <v>1</v>
      </c>
      <c r="L96" s="76">
        <v>614</v>
      </c>
      <c r="M96" s="76">
        <v>0</v>
      </c>
      <c r="N96" s="82" t="s">
        <v>10623</v>
      </c>
      <c r="O96" s="83"/>
    </row>
    <row r="97" spans="1:15" ht="22.5" customHeight="1">
      <c r="A97" s="76">
        <v>759724529202804</v>
      </c>
      <c r="B97" s="77" t="s">
        <v>10621</v>
      </c>
      <c r="C97" s="77" t="s">
        <v>10624</v>
      </c>
      <c r="D97" s="77" t="s">
        <v>190</v>
      </c>
      <c r="E97" s="77">
        <v>6281331854948</v>
      </c>
      <c r="F97" s="78">
        <v>45813</v>
      </c>
      <c r="G97" s="79">
        <v>1108</v>
      </c>
      <c r="H97" s="80">
        <v>12431.21480289622</v>
      </c>
      <c r="I97" s="79">
        <v>25</v>
      </c>
      <c r="J97" s="81">
        <v>15452</v>
      </c>
      <c r="K97" s="76">
        <v>4</v>
      </c>
      <c r="L97" s="76">
        <v>456</v>
      </c>
      <c r="M97" s="76">
        <v>0</v>
      </c>
      <c r="N97" s="82" t="s">
        <v>10625</v>
      </c>
      <c r="O97" s="83"/>
    </row>
    <row r="98" spans="1:15" ht="22.5" customHeight="1">
      <c r="A98" s="76">
        <v>759724529202804</v>
      </c>
      <c r="B98" s="77" t="s">
        <v>10621</v>
      </c>
      <c r="C98" s="77" t="s">
        <v>10626</v>
      </c>
      <c r="D98" s="77" t="s">
        <v>177</v>
      </c>
      <c r="E98" s="77">
        <v>6282348365032</v>
      </c>
      <c r="F98" s="78">
        <v>45813</v>
      </c>
      <c r="G98" s="79">
        <v>737</v>
      </c>
      <c r="H98" s="80">
        <v>18231.194690265485</v>
      </c>
      <c r="I98" s="79">
        <v>15</v>
      </c>
      <c r="J98" s="81">
        <v>16481</v>
      </c>
      <c r="K98" s="76">
        <v>2</v>
      </c>
      <c r="L98" s="76">
        <v>169</v>
      </c>
      <c r="M98" s="76">
        <v>1</v>
      </c>
      <c r="N98" s="82" t="s">
        <v>10627</v>
      </c>
      <c r="O98" s="83"/>
    </row>
    <row r="99" spans="1:15" ht="22.5" customHeight="1">
      <c r="A99" s="76">
        <v>759724529202804</v>
      </c>
      <c r="B99" s="77" t="s">
        <v>10621</v>
      </c>
      <c r="C99" s="77" t="s">
        <v>206</v>
      </c>
      <c r="D99" s="77" t="s">
        <v>199</v>
      </c>
      <c r="E99" s="77">
        <v>6285220903499</v>
      </c>
      <c r="F99" s="78">
        <v>45813</v>
      </c>
      <c r="G99" s="79">
        <v>1066</v>
      </c>
      <c r="H99" s="80">
        <v>14812.283737024221</v>
      </c>
      <c r="I99" s="79">
        <v>26</v>
      </c>
      <c r="J99" s="81">
        <v>17123</v>
      </c>
      <c r="K99" s="76">
        <v>6</v>
      </c>
      <c r="L99" s="76">
        <v>382</v>
      </c>
      <c r="M99" s="76">
        <v>0</v>
      </c>
      <c r="N99" s="82" t="s">
        <v>10628</v>
      </c>
      <c r="O99" s="83"/>
    </row>
    <row r="100" spans="1:15" ht="22.5" customHeight="1">
      <c r="A100" s="76">
        <v>759724529202804</v>
      </c>
      <c r="B100" s="77" t="s">
        <v>10621</v>
      </c>
      <c r="C100" s="77" t="s">
        <v>10629</v>
      </c>
      <c r="D100" s="77" t="s">
        <v>10630</v>
      </c>
      <c r="E100" s="77"/>
      <c r="F100" s="78">
        <v>45813</v>
      </c>
      <c r="G100" s="79">
        <v>11928</v>
      </c>
      <c r="H100" s="80">
        <v>1346.2441314553989</v>
      </c>
      <c r="I100" s="79">
        <v>18</v>
      </c>
      <c r="J100" s="81">
        <v>16058</v>
      </c>
      <c r="K100" s="76">
        <v>0</v>
      </c>
      <c r="L100" s="76">
        <v>1151</v>
      </c>
      <c r="M100" s="76">
        <v>0</v>
      </c>
      <c r="N100" s="82" t="s">
        <v>10631</v>
      </c>
      <c r="O100" s="83"/>
    </row>
    <row r="101" spans="1:15" ht="22.5" customHeight="1">
      <c r="A101" s="76">
        <v>759724529202804</v>
      </c>
      <c r="B101" s="77" t="s">
        <v>10621</v>
      </c>
      <c r="C101" s="77" t="s">
        <v>10632</v>
      </c>
      <c r="D101" s="77" t="s">
        <v>161</v>
      </c>
      <c r="E101" s="77">
        <v>6285240684331</v>
      </c>
      <c r="F101" s="78">
        <v>45813</v>
      </c>
      <c r="G101" s="79">
        <v>1575</v>
      </c>
      <c r="H101" s="80">
        <v>9165.8456486042705</v>
      </c>
      <c r="I101" s="79">
        <v>29</v>
      </c>
      <c r="J101" s="81">
        <v>16746</v>
      </c>
      <c r="K101" s="76">
        <v>2</v>
      </c>
      <c r="L101" s="76">
        <v>272</v>
      </c>
      <c r="M101" s="76">
        <v>0</v>
      </c>
      <c r="N101" s="82" t="s">
        <v>10633</v>
      </c>
      <c r="O101" s="83"/>
    </row>
    <row r="102" spans="1:15" ht="22.5" customHeight="1">
      <c r="A102" s="76">
        <v>759724529202804</v>
      </c>
      <c r="B102" s="77" t="s">
        <v>10621</v>
      </c>
      <c r="C102" s="77" t="s">
        <v>10634</v>
      </c>
      <c r="D102" s="77" t="s">
        <v>155</v>
      </c>
      <c r="E102" s="77">
        <v>6282154483973</v>
      </c>
      <c r="F102" s="78">
        <v>45813</v>
      </c>
      <c r="G102" s="79">
        <v>1698</v>
      </c>
      <c r="H102" s="80">
        <v>7381.7829457364342</v>
      </c>
      <c r="I102" s="79">
        <v>33</v>
      </c>
      <c r="J102" s="81">
        <v>15236</v>
      </c>
      <c r="K102" s="76">
        <v>3</v>
      </c>
      <c r="L102" s="76">
        <v>309</v>
      </c>
      <c r="M102" s="76">
        <v>0</v>
      </c>
      <c r="N102" s="82" t="s">
        <v>10635</v>
      </c>
      <c r="O102" s="83"/>
    </row>
    <row r="103" spans="1:15" ht="22.5" customHeight="1">
      <c r="A103" s="76">
        <v>759724529202804</v>
      </c>
      <c r="B103" s="77" t="s">
        <v>10621</v>
      </c>
      <c r="C103" s="77" t="s">
        <v>665</v>
      </c>
      <c r="D103" s="77" t="s">
        <v>659</v>
      </c>
      <c r="E103" s="77">
        <v>6285757057088</v>
      </c>
      <c r="F103" s="78">
        <v>45813</v>
      </c>
      <c r="G103" s="79">
        <v>915</v>
      </c>
      <c r="H103" s="80">
        <v>12689.451476793249</v>
      </c>
      <c r="I103" s="79">
        <v>26</v>
      </c>
      <c r="J103" s="81">
        <v>15037</v>
      </c>
      <c r="K103" s="76">
        <v>0</v>
      </c>
      <c r="L103" s="76">
        <v>0</v>
      </c>
      <c r="M103" s="76">
        <v>0</v>
      </c>
      <c r="N103" s="82" t="s">
        <v>10636</v>
      </c>
      <c r="O103" s="83"/>
    </row>
    <row r="104" spans="1:15" ht="22.5" customHeight="1">
      <c r="A104" s="76">
        <v>174904221976312</v>
      </c>
      <c r="B104" s="77" t="s">
        <v>10651</v>
      </c>
      <c r="C104" s="77" t="s">
        <v>10693</v>
      </c>
      <c r="D104" s="77" t="s">
        <v>10694</v>
      </c>
      <c r="E104" s="77"/>
      <c r="F104" s="78">
        <v>45813</v>
      </c>
      <c r="G104" s="79">
        <v>216</v>
      </c>
      <c r="H104" s="80">
        <v>46639.484978540771</v>
      </c>
      <c r="I104" s="79">
        <v>5</v>
      </c>
      <c r="J104" s="81">
        <v>10867</v>
      </c>
      <c r="K104" s="76">
        <v>1</v>
      </c>
      <c r="L104" s="76">
        <v>69</v>
      </c>
      <c r="M104" s="76">
        <v>0</v>
      </c>
      <c r="N104" s="82" t="s">
        <v>10695</v>
      </c>
      <c r="O104" s="83"/>
    </row>
    <row r="105" spans="1:15" ht="22.5" customHeight="1">
      <c r="A105" s="76">
        <v>174904221976312</v>
      </c>
      <c r="B105" s="77" t="s">
        <v>10651</v>
      </c>
      <c r="C105" s="77" t="s">
        <v>10696</v>
      </c>
      <c r="D105" s="77" t="s">
        <v>236</v>
      </c>
      <c r="E105" s="77"/>
      <c r="F105" s="78">
        <v>45813</v>
      </c>
      <c r="G105" s="79">
        <v>1460</v>
      </c>
      <c r="H105" s="80">
        <v>6687.53287743293</v>
      </c>
      <c r="I105" s="79">
        <v>67</v>
      </c>
      <c r="J105" s="81">
        <v>12713</v>
      </c>
      <c r="K105" s="76">
        <v>7</v>
      </c>
      <c r="L105" s="76">
        <v>578</v>
      </c>
      <c r="M105" s="76">
        <v>3</v>
      </c>
      <c r="N105" s="82" t="s">
        <v>10697</v>
      </c>
      <c r="O105" s="83"/>
    </row>
    <row r="106" spans="1:15" ht="22.5" customHeight="1">
      <c r="A106" s="76">
        <v>174904221976312</v>
      </c>
      <c r="B106" s="77" t="s">
        <v>10651</v>
      </c>
      <c r="C106" s="77" t="s">
        <v>10685</v>
      </c>
      <c r="D106" s="77" t="s">
        <v>10686</v>
      </c>
      <c r="E106" s="77">
        <v>6285211510282</v>
      </c>
      <c r="F106" s="78">
        <v>45813</v>
      </c>
      <c r="G106" s="79">
        <v>212</v>
      </c>
      <c r="H106" s="80">
        <v>60354.978354978361</v>
      </c>
      <c r="I106" s="79">
        <v>5</v>
      </c>
      <c r="J106" s="81">
        <v>13942</v>
      </c>
      <c r="K106" s="76">
        <v>0</v>
      </c>
      <c r="L106" s="76">
        <v>70</v>
      </c>
      <c r="M106" s="76">
        <v>0</v>
      </c>
      <c r="N106" s="82" t="s">
        <v>10687</v>
      </c>
      <c r="O106" s="83"/>
    </row>
    <row r="107" spans="1:15" ht="22.5" customHeight="1">
      <c r="A107" s="76">
        <v>174904221976312</v>
      </c>
      <c r="B107" s="77" t="s">
        <v>10651</v>
      </c>
      <c r="C107" s="77" t="s">
        <v>10670</v>
      </c>
      <c r="D107" s="77" t="s">
        <v>10671</v>
      </c>
      <c r="E107" s="77">
        <v>6281399998259</v>
      </c>
      <c r="F107" s="78">
        <v>45813</v>
      </c>
      <c r="G107" s="79">
        <v>1236</v>
      </c>
      <c r="H107" s="80">
        <v>9639.1242937853112</v>
      </c>
      <c r="I107" s="79">
        <v>15</v>
      </c>
      <c r="J107" s="81">
        <v>13649</v>
      </c>
      <c r="K107" s="76">
        <v>0</v>
      </c>
      <c r="L107" s="76">
        <v>325</v>
      </c>
      <c r="M107" s="76">
        <v>0</v>
      </c>
      <c r="N107" s="82" t="s">
        <v>10672</v>
      </c>
      <c r="O107" s="83"/>
    </row>
    <row r="108" spans="1:15" ht="22.5" customHeight="1">
      <c r="A108" s="76">
        <v>174904221976312</v>
      </c>
      <c r="B108" s="77" t="s">
        <v>10651</v>
      </c>
      <c r="C108" s="77" t="s">
        <v>10673</v>
      </c>
      <c r="D108" s="77" t="s">
        <v>10674</v>
      </c>
      <c r="E108" s="77">
        <v>6282183184641</v>
      </c>
      <c r="F108" s="78">
        <v>45813</v>
      </c>
      <c r="G108" s="79">
        <v>1277</v>
      </c>
      <c r="H108" s="80">
        <v>9623.1086657496562</v>
      </c>
      <c r="I108" s="79">
        <v>26</v>
      </c>
      <c r="J108" s="81">
        <v>13992</v>
      </c>
      <c r="K108" s="76">
        <v>4</v>
      </c>
      <c r="L108" s="76">
        <v>355</v>
      </c>
      <c r="M108" s="76">
        <v>1</v>
      </c>
      <c r="N108" s="82" t="s">
        <v>10675</v>
      </c>
      <c r="O108" s="83"/>
    </row>
    <row r="109" spans="1:15" ht="22.5" customHeight="1">
      <c r="A109" s="76">
        <v>174904221976312</v>
      </c>
      <c r="B109" s="77" t="s">
        <v>10651</v>
      </c>
      <c r="C109" s="77" t="s">
        <v>10652</v>
      </c>
      <c r="D109" s="77" t="s">
        <v>10653</v>
      </c>
      <c r="E109" s="77">
        <v>6281348555887</v>
      </c>
      <c r="F109" s="78">
        <v>45813</v>
      </c>
      <c r="G109" s="79">
        <v>1410</v>
      </c>
      <c r="H109" s="80">
        <v>7489.3190921228306</v>
      </c>
      <c r="I109" s="79">
        <v>34</v>
      </c>
      <c r="J109" s="81">
        <v>11219</v>
      </c>
      <c r="K109" s="76">
        <v>1</v>
      </c>
      <c r="L109" s="76">
        <v>461</v>
      </c>
      <c r="M109" s="76">
        <v>0</v>
      </c>
      <c r="N109" s="82" t="s">
        <v>10654</v>
      </c>
      <c r="O109" s="83"/>
    </row>
    <row r="110" spans="1:15" ht="22.5" customHeight="1">
      <c r="A110" s="76">
        <v>174904221976312</v>
      </c>
      <c r="B110" s="77" t="s">
        <v>10651</v>
      </c>
      <c r="C110" s="77" t="s">
        <v>10657</v>
      </c>
      <c r="D110" s="77" t="s">
        <v>1239</v>
      </c>
      <c r="E110" s="77">
        <v>6282172291579</v>
      </c>
      <c r="F110" s="78">
        <v>45813</v>
      </c>
      <c r="G110" s="79">
        <v>992</v>
      </c>
      <c r="H110" s="80">
        <v>12287.162162162162</v>
      </c>
      <c r="I110" s="79">
        <v>40</v>
      </c>
      <c r="J110" s="81">
        <v>14548</v>
      </c>
      <c r="K110" s="76">
        <v>6</v>
      </c>
      <c r="L110" s="76">
        <v>519</v>
      </c>
      <c r="M110" s="76">
        <v>1</v>
      </c>
      <c r="N110" s="82" t="s">
        <v>10658</v>
      </c>
      <c r="O110" s="83"/>
    </row>
    <row r="111" spans="1:15" ht="22.5" customHeight="1">
      <c r="A111" s="76">
        <v>174904221976312</v>
      </c>
      <c r="B111" s="77" t="s">
        <v>10651</v>
      </c>
      <c r="C111" s="77" t="s">
        <v>10659</v>
      </c>
      <c r="D111" s="77" t="s">
        <v>1044</v>
      </c>
      <c r="E111" s="77">
        <v>6281263113266</v>
      </c>
      <c r="F111" s="78">
        <v>45813</v>
      </c>
      <c r="G111" s="79">
        <v>2944</v>
      </c>
      <c r="H111" s="80">
        <v>7917.4086582744858</v>
      </c>
      <c r="I111" s="79">
        <v>102</v>
      </c>
      <c r="J111" s="81">
        <v>25787</v>
      </c>
      <c r="K111" s="76">
        <v>5</v>
      </c>
      <c r="L111" s="76">
        <v>1343</v>
      </c>
      <c r="M111" s="76">
        <v>2</v>
      </c>
      <c r="N111" s="82" t="s">
        <v>10660</v>
      </c>
      <c r="O111" s="83"/>
    </row>
    <row r="112" spans="1:15" ht="22.5" customHeight="1">
      <c r="A112" s="76">
        <v>174904221976312</v>
      </c>
      <c r="B112" s="77" t="s">
        <v>10651</v>
      </c>
      <c r="C112" s="77" t="s">
        <v>10679</v>
      </c>
      <c r="D112" s="77" t="s">
        <v>10680</v>
      </c>
      <c r="E112" s="77">
        <v>6282347206488</v>
      </c>
      <c r="F112" s="78">
        <v>45813</v>
      </c>
      <c r="G112" s="79">
        <v>1737</v>
      </c>
      <c r="H112" s="80">
        <v>7188.3614088820823</v>
      </c>
      <c r="I112" s="79">
        <v>42</v>
      </c>
      <c r="J112" s="81">
        <v>14082</v>
      </c>
      <c r="K112" s="76">
        <v>5</v>
      </c>
      <c r="L112" s="76">
        <v>820</v>
      </c>
      <c r="M112" s="76">
        <v>0</v>
      </c>
      <c r="N112" s="82" t="s">
        <v>10681</v>
      </c>
      <c r="O112" s="83"/>
    </row>
    <row r="113" spans="1:15" ht="22.5" customHeight="1">
      <c r="A113" s="76">
        <v>766589657993298</v>
      </c>
      <c r="B113" s="77" t="s">
        <v>10688</v>
      </c>
      <c r="C113" s="77" t="s">
        <v>10698</v>
      </c>
      <c r="D113" s="77" t="s">
        <v>10699</v>
      </c>
      <c r="E113" s="77">
        <v>62812</v>
      </c>
      <c r="F113" s="78">
        <v>45813</v>
      </c>
      <c r="G113" s="79">
        <v>69</v>
      </c>
      <c r="H113" s="80">
        <v>66540.540540540547</v>
      </c>
      <c r="I113" s="79">
        <v>3</v>
      </c>
      <c r="J113" s="81">
        <v>4924</v>
      </c>
      <c r="K113" s="76">
        <v>1</v>
      </c>
      <c r="L113" s="76">
        <v>24</v>
      </c>
      <c r="M113" s="76">
        <v>0</v>
      </c>
      <c r="N113" s="82" t="s">
        <v>10700</v>
      </c>
      <c r="O113" s="83"/>
    </row>
    <row r="114" spans="1:15" ht="22.5" customHeight="1">
      <c r="A114" s="76">
        <v>766589657993298</v>
      </c>
      <c r="B114" s="77" t="s">
        <v>10688</v>
      </c>
      <c r="C114" s="77" t="s">
        <v>10701</v>
      </c>
      <c r="D114" s="77" t="s">
        <v>5669</v>
      </c>
      <c r="E114" s="77">
        <v>6282288123215</v>
      </c>
      <c r="F114" s="78">
        <v>45813</v>
      </c>
      <c r="G114" s="79">
        <v>1238</v>
      </c>
      <c r="H114" s="80">
        <v>9522.5609756097565</v>
      </c>
      <c r="I114" s="79">
        <v>28</v>
      </c>
      <c r="J114" s="81">
        <v>15617</v>
      </c>
      <c r="K114" s="76">
        <v>6</v>
      </c>
      <c r="L114" s="76">
        <v>421</v>
      </c>
      <c r="M114" s="76">
        <v>0</v>
      </c>
      <c r="N114" s="82" t="s">
        <v>10702</v>
      </c>
      <c r="O114" s="83"/>
    </row>
    <row r="115" spans="1:15" ht="22.5" customHeight="1">
      <c r="A115" s="76">
        <v>766589657993298</v>
      </c>
      <c r="B115" s="77" t="s">
        <v>10688</v>
      </c>
      <c r="C115" s="77" t="s">
        <v>10703</v>
      </c>
      <c r="D115" s="77" t="s">
        <v>253</v>
      </c>
      <c r="E115" s="77">
        <v>6282154795446</v>
      </c>
      <c r="F115" s="78">
        <v>45813</v>
      </c>
      <c r="G115" s="79">
        <v>451</v>
      </c>
      <c r="H115" s="80">
        <v>20534.150612959722</v>
      </c>
      <c r="I115" s="79">
        <v>7</v>
      </c>
      <c r="J115" s="81">
        <v>11725</v>
      </c>
      <c r="K115" s="76">
        <v>0</v>
      </c>
      <c r="L115" s="76">
        <v>100</v>
      </c>
      <c r="M115" s="76">
        <v>0</v>
      </c>
      <c r="N115" s="82" t="s">
        <v>10704</v>
      </c>
      <c r="O115" s="83"/>
    </row>
    <row r="116" spans="1:15" ht="22.5" customHeight="1">
      <c r="A116" s="76">
        <v>766589657993298</v>
      </c>
      <c r="B116" s="77" t="s">
        <v>10688</v>
      </c>
      <c r="C116" s="77" t="s">
        <v>10689</v>
      </c>
      <c r="D116" s="77" t="s">
        <v>2488</v>
      </c>
      <c r="E116" s="77">
        <v>6281347321820</v>
      </c>
      <c r="F116" s="78">
        <v>45813</v>
      </c>
      <c r="G116" s="79">
        <v>1024</v>
      </c>
      <c r="H116" s="80">
        <v>11252.208835341366</v>
      </c>
      <c r="I116" s="79">
        <v>23</v>
      </c>
      <c r="J116" s="81">
        <v>14009</v>
      </c>
      <c r="K116" s="76">
        <v>5</v>
      </c>
      <c r="L116" s="76">
        <v>415</v>
      </c>
      <c r="M116" s="76">
        <v>0</v>
      </c>
      <c r="N116" s="82" t="s">
        <v>10690</v>
      </c>
      <c r="O116" s="83"/>
    </row>
    <row r="117" spans="1:15" ht="22.5" customHeight="1">
      <c r="A117" s="76">
        <v>766589657993298</v>
      </c>
      <c r="B117" s="77" t="s">
        <v>10688</v>
      </c>
      <c r="C117" s="77" t="s">
        <v>10691</v>
      </c>
      <c r="D117" s="77" t="s">
        <v>209</v>
      </c>
      <c r="E117" s="77"/>
      <c r="F117" s="78">
        <v>45813</v>
      </c>
      <c r="G117" s="79">
        <v>193</v>
      </c>
      <c r="H117" s="80">
        <v>21927.184466019418</v>
      </c>
      <c r="I117" s="79">
        <v>2</v>
      </c>
      <c r="J117" s="81">
        <v>4517</v>
      </c>
      <c r="K117" s="76">
        <v>0</v>
      </c>
      <c r="L117" s="76">
        <v>52</v>
      </c>
      <c r="M117" s="76">
        <v>0</v>
      </c>
      <c r="N117" s="82" t="s">
        <v>10692</v>
      </c>
      <c r="O117" s="83"/>
    </row>
    <row r="118" spans="1:15" ht="22.5" customHeight="1">
      <c r="A118" s="76">
        <v>759724529202804</v>
      </c>
      <c r="B118" s="77" t="s">
        <v>10621</v>
      </c>
      <c r="C118" s="77" t="s">
        <v>10682</v>
      </c>
      <c r="D118" s="77" t="s">
        <v>10683</v>
      </c>
      <c r="E118" s="77">
        <v>6285737244570</v>
      </c>
      <c r="F118" s="78">
        <v>45814</v>
      </c>
      <c r="G118" s="79">
        <v>37</v>
      </c>
      <c r="H118" s="80">
        <v>28684.21052631579</v>
      </c>
      <c r="I118" s="79">
        <v>0</v>
      </c>
      <c r="J118" s="81">
        <v>1090</v>
      </c>
      <c r="K118" s="76">
        <v>0</v>
      </c>
      <c r="L118" s="76">
        <v>9</v>
      </c>
      <c r="M118" s="76">
        <v>0</v>
      </c>
      <c r="N118" s="82" t="s">
        <v>10684</v>
      </c>
      <c r="O118" s="83"/>
    </row>
    <row r="119" spans="1:15" ht="22.5" customHeight="1">
      <c r="A119" s="76">
        <v>759724529202804</v>
      </c>
      <c r="B119" s="77" t="s">
        <v>10621</v>
      </c>
      <c r="C119" s="77" t="s">
        <v>10622</v>
      </c>
      <c r="D119" s="77" t="s">
        <v>183</v>
      </c>
      <c r="E119" s="77">
        <v>6285255435848</v>
      </c>
      <c r="F119" s="78">
        <v>45814</v>
      </c>
      <c r="G119" s="79">
        <v>27</v>
      </c>
      <c r="H119" s="80">
        <v>22000</v>
      </c>
      <c r="I119" s="79">
        <v>1</v>
      </c>
      <c r="J119" s="81">
        <v>616</v>
      </c>
      <c r="K119" s="76">
        <v>0</v>
      </c>
      <c r="L119" s="76">
        <v>13</v>
      </c>
      <c r="M119" s="76">
        <v>0</v>
      </c>
      <c r="N119" s="82" t="s">
        <v>10623</v>
      </c>
      <c r="O119" s="83"/>
    </row>
    <row r="120" spans="1:15" ht="22.5" customHeight="1">
      <c r="A120" s="76">
        <v>759724529202804</v>
      </c>
      <c r="B120" s="77" t="s">
        <v>10621</v>
      </c>
      <c r="C120" s="77" t="s">
        <v>10624</v>
      </c>
      <c r="D120" s="77" t="s">
        <v>190</v>
      </c>
      <c r="E120" s="77">
        <v>6281331854948</v>
      </c>
      <c r="F120" s="78">
        <v>45814</v>
      </c>
      <c r="G120" s="79">
        <v>13</v>
      </c>
      <c r="H120" s="80">
        <v>8000</v>
      </c>
      <c r="I120" s="79">
        <v>1</v>
      </c>
      <c r="J120" s="81">
        <v>104</v>
      </c>
      <c r="K120" s="76">
        <v>0</v>
      </c>
      <c r="L120" s="76">
        <v>4</v>
      </c>
      <c r="M120" s="76">
        <v>0</v>
      </c>
      <c r="N120" s="82" t="s">
        <v>10625</v>
      </c>
      <c r="O120" s="83"/>
    </row>
    <row r="121" spans="1:15" ht="22.5" customHeight="1">
      <c r="A121" s="76">
        <v>759724529202804</v>
      </c>
      <c r="B121" s="77" t="s">
        <v>10621</v>
      </c>
      <c r="C121" s="77" t="s">
        <v>10626</v>
      </c>
      <c r="D121" s="77" t="s">
        <v>177</v>
      </c>
      <c r="E121" s="77">
        <v>6282348365032</v>
      </c>
      <c r="F121" s="78">
        <v>45814</v>
      </c>
      <c r="G121" s="79">
        <v>36</v>
      </c>
      <c r="H121" s="80">
        <v>14648.648648648648</v>
      </c>
      <c r="I121" s="79">
        <v>0</v>
      </c>
      <c r="J121" s="81">
        <v>542</v>
      </c>
      <c r="K121" s="76">
        <v>0</v>
      </c>
      <c r="L121" s="76">
        <v>8</v>
      </c>
      <c r="M121" s="76">
        <v>0</v>
      </c>
      <c r="N121" s="82" t="s">
        <v>10627</v>
      </c>
      <c r="O121" s="83"/>
    </row>
    <row r="122" spans="1:15" ht="22.5" customHeight="1">
      <c r="A122" s="76">
        <v>759724529202804</v>
      </c>
      <c r="B122" s="77" t="s">
        <v>10621</v>
      </c>
      <c r="C122" s="77" t="s">
        <v>10634</v>
      </c>
      <c r="D122" s="77" t="s">
        <v>155</v>
      </c>
      <c r="E122" s="77">
        <v>6282154483973</v>
      </c>
      <c r="F122" s="78">
        <v>45814</v>
      </c>
      <c r="G122" s="79">
        <v>52</v>
      </c>
      <c r="H122" s="80">
        <v>9115.3846153846152</v>
      </c>
      <c r="I122" s="79">
        <v>1</v>
      </c>
      <c r="J122" s="81">
        <v>474</v>
      </c>
      <c r="K122" s="76">
        <v>0</v>
      </c>
      <c r="L122" s="76">
        <v>11</v>
      </c>
      <c r="M122" s="76">
        <v>0</v>
      </c>
      <c r="N122" s="82" t="s">
        <v>10635</v>
      </c>
      <c r="O122" s="83"/>
    </row>
    <row r="123" spans="1:15" ht="22.5" customHeight="1">
      <c r="A123" s="76">
        <v>759724529202804</v>
      </c>
      <c r="B123" s="77" t="s">
        <v>10621</v>
      </c>
      <c r="C123" s="77" t="s">
        <v>665</v>
      </c>
      <c r="D123" s="77" t="s">
        <v>659</v>
      </c>
      <c r="E123" s="77">
        <v>6285757057088</v>
      </c>
      <c r="F123" s="78">
        <v>45814</v>
      </c>
      <c r="G123" s="79">
        <v>19</v>
      </c>
      <c r="H123" s="80">
        <v>17400</v>
      </c>
      <c r="I123" s="79">
        <v>0</v>
      </c>
      <c r="J123" s="81">
        <v>348</v>
      </c>
      <c r="K123" s="76">
        <v>0</v>
      </c>
      <c r="L123" s="76">
        <v>0</v>
      </c>
      <c r="M123" s="76">
        <v>0</v>
      </c>
      <c r="N123" s="82" t="s">
        <v>10636</v>
      </c>
      <c r="O123" s="83"/>
    </row>
    <row r="124" spans="1:15" ht="22.5" customHeight="1">
      <c r="A124" s="76">
        <v>174904221976312</v>
      </c>
      <c r="B124" s="77" t="s">
        <v>10651</v>
      </c>
      <c r="C124" s="77" t="s">
        <v>10696</v>
      </c>
      <c r="D124" s="77" t="s">
        <v>236</v>
      </c>
      <c r="E124" s="77"/>
      <c r="F124" s="78">
        <v>45814</v>
      </c>
      <c r="G124" s="79">
        <v>1778</v>
      </c>
      <c r="H124" s="80">
        <v>6684.823091247672</v>
      </c>
      <c r="I124" s="79">
        <v>105</v>
      </c>
      <c r="J124" s="81">
        <v>14359</v>
      </c>
      <c r="K124" s="76">
        <v>15</v>
      </c>
      <c r="L124" s="76">
        <v>684</v>
      </c>
      <c r="M124" s="76">
        <v>5</v>
      </c>
      <c r="N124" s="82" t="s">
        <v>10697</v>
      </c>
      <c r="O124" s="83"/>
    </row>
    <row r="125" spans="1:15" ht="22.5" customHeight="1">
      <c r="A125" s="76">
        <v>174904221976312</v>
      </c>
      <c r="B125" s="77" t="s">
        <v>10651</v>
      </c>
      <c r="C125" s="77" t="s">
        <v>10685</v>
      </c>
      <c r="D125" s="77" t="s">
        <v>10686</v>
      </c>
      <c r="E125" s="77">
        <v>6285211510282</v>
      </c>
      <c r="F125" s="78">
        <v>45814</v>
      </c>
      <c r="G125" s="79">
        <v>2</v>
      </c>
      <c r="H125" s="80">
        <v>21000</v>
      </c>
      <c r="I125" s="79">
        <v>0</v>
      </c>
      <c r="J125" s="81">
        <v>42</v>
      </c>
      <c r="K125" s="76">
        <v>0</v>
      </c>
      <c r="L125" s="76">
        <v>1</v>
      </c>
      <c r="M125" s="76">
        <v>0</v>
      </c>
      <c r="N125" s="82" t="s">
        <v>10687</v>
      </c>
      <c r="O125" s="83"/>
    </row>
    <row r="126" spans="1:15" ht="22.5" customHeight="1">
      <c r="A126" s="76">
        <v>174904221976312</v>
      </c>
      <c r="B126" s="77" t="s">
        <v>10651</v>
      </c>
      <c r="C126" s="77" t="s">
        <v>10673</v>
      </c>
      <c r="D126" s="77" t="s">
        <v>10674</v>
      </c>
      <c r="E126" s="77">
        <v>6282183184641</v>
      </c>
      <c r="F126" s="78">
        <v>45814</v>
      </c>
      <c r="G126" s="79">
        <v>17</v>
      </c>
      <c r="H126" s="80">
        <v>9944.4444444444453</v>
      </c>
      <c r="I126" s="79">
        <v>0</v>
      </c>
      <c r="J126" s="81">
        <v>179</v>
      </c>
      <c r="K126" s="76">
        <v>0</v>
      </c>
      <c r="L126" s="76">
        <v>6</v>
      </c>
      <c r="M126" s="76">
        <v>0</v>
      </c>
      <c r="N126" s="82" t="s">
        <v>10675</v>
      </c>
      <c r="O126" s="83"/>
    </row>
    <row r="127" spans="1:15" ht="22.5" customHeight="1">
      <c r="A127" s="76">
        <v>174904221976312</v>
      </c>
      <c r="B127" s="77" t="s">
        <v>10651</v>
      </c>
      <c r="C127" s="77" t="s">
        <v>10652</v>
      </c>
      <c r="D127" s="77" t="s">
        <v>10653</v>
      </c>
      <c r="E127" s="77">
        <v>6281348555887</v>
      </c>
      <c r="F127" s="78">
        <v>45814</v>
      </c>
      <c r="G127" s="79">
        <v>9</v>
      </c>
      <c r="H127" s="80">
        <v>7777.7777777777774</v>
      </c>
      <c r="I127" s="79">
        <v>0</v>
      </c>
      <c r="J127" s="81">
        <v>70</v>
      </c>
      <c r="K127" s="76">
        <v>0</v>
      </c>
      <c r="L127" s="76">
        <v>1</v>
      </c>
      <c r="M127" s="76">
        <v>0</v>
      </c>
      <c r="N127" s="82" t="s">
        <v>10654</v>
      </c>
      <c r="O127" s="83"/>
    </row>
    <row r="128" spans="1:15" ht="22.5" customHeight="1">
      <c r="A128" s="76">
        <v>174904221976312</v>
      </c>
      <c r="B128" s="77" t="s">
        <v>10651</v>
      </c>
      <c r="C128" s="77" t="s">
        <v>10657</v>
      </c>
      <c r="D128" s="77" t="s">
        <v>1239</v>
      </c>
      <c r="E128" s="77">
        <v>6282172291579</v>
      </c>
      <c r="F128" s="78">
        <v>45814</v>
      </c>
      <c r="G128" s="79">
        <v>7</v>
      </c>
      <c r="H128" s="80">
        <v>14857.142857142857</v>
      </c>
      <c r="I128" s="79">
        <v>0</v>
      </c>
      <c r="J128" s="81">
        <v>104</v>
      </c>
      <c r="K128" s="76">
        <v>0</v>
      </c>
      <c r="L128" s="76">
        <v>3</v>
      </c>
      <c r="M128" s="76">
        <v>0</v>
      </c>
      <c r="N128" s="82" t="s">
        <v>10658</v>
      </c>
      <c r="O128" s="83"/>
    </row>
    <row r="129" spans="1:15" ht="22.5" customHeight="1">
      <c r="A129" s="76">
        <v>174904221976312</v>
      </c>
      <c r="B129" s="77" t="s">
        <v>10651</v>
      </c>
      <c r="C129" s="77" t="s">
        <v>63</v>
      </c>
      <c r="D129" s="77" t="s">
        <v>55</v>
      </c>
      <c r="E129" s="77">
        <v>6282226594414</v>
      </c>
      <c r="F129" s="78">
        <v>45814</v>
      </c>
      <c r="G129" s="79">
        <v>5311</v>
      </c>
      <c r="H129" s="80">
        <v>2457.1232170476028</v>
      </c>
      <c r="I129" s="79">
        <v>266</v>
      </c>
      <c r="J129" s="81">
        <v>14298</v>
      </c>
      <c r="K129" s="76">
        <v>24</v>
      </c>
      <c r="L129" s="76">
        <v>1168</v>
      </c>
      <c r="M129" s="76">
        <v>6</v>
      </c>
      <c r="N129" s="82" t="s">
        <v>10661</v>
      </c>
      <c r="O129" s="83"/>
    </row>
    <row r="130" spans="1:15" ht="22.5" customHeight="1">
      <c r="A130" s="76">
        <v>174904221976312</v>
      </c>
      <c r="B130" s="77" t="s">
        <v>10651</v>
      </c>
      <c r="C130" s="77" t="s">
        <v>10679</v>
      </c>
      <c r="D130" s="77" t="s">
        <v>10680</v>
      </c>
      <c r="E130" s="77">
        <v>6282347206488</v>
      </c>
      <c r="F130" s="78">
        <v>45814</v>
      </c>
      <c r="G130" s="79">
        <v>42</v>
      </c>
      <c r="H130" s="80">
        <v>12166.666666666666</v>
      </c>
      <c r="I130" s="79">
        <v>1</v>
      </c>
      <c r="J130" s="81">
        <v>511</v>
      </c>
      <c r="K130" s="76">
        <v>0</v>
      </c>
      <c r="L130" s="76">
        <v>19</v>
      </c>
      <c r="M130" s="76">
        <v>0</v>
      </c>
      <c r="N130" s="82" t="s">
        <v>10681</v>
      </c>
      <c r="O130" s="83"/>
    </row>
    <row r="131" spans="1:15" ht="22.5" customHeight="1">
      <c r="A131" s="76">
        <v>766589657993298</v>
      </c>
      <c r="B131" s="77" t="s">
        <v>10688</v>
      </c>
      <c r="C131" s="77" t="s">
        <v>10705</v>
      </c>
      <c r="D131" s="77" t="s">
        <v>10706</v>
      </c>
      <c r="E131" s="77">
        <v>6281904501876</v>
      </c>
      <c r="F131" s="78">
        <v>45814</v>
      </c>
      <c r="G131" s="79">
        <v>699</v>
      </c>
      <c r="H131" s="80">
        <v>16261.904761904763</v>
      </c>
      <c r="I131" s="79">
        <v>60</v>
      </c>
      <c r="J131" s="81">
        <v>13660</v>
      </c>
      <c r="K131" s="76">
        <v>14</v>
      </c>
      <c r="L131" s="76">
        <v>435</v>
      </c>
      <c r="M131" s="76">
        <v>0</v>
      </c>
      <c r="N131" s="82" t="s">
        <v>10707</v>
      </c>
      <c r="O131" s="83"/>
    </row>
    <row r="132" spans="1:15" ht="22.5" customHeight="1">
      <c r="A132" s="76">
        <v>759724529202804</v>
      </c>
      <c r="B132" s="77" t="s">
        <v>10621</v>
      </c>
      <c r="C132" s="77" t="s">
        <v>332</v>
      </c>
      <c r="D132" s="77" t="s">
        <v>10708</v>
      </c>
      <c r="E132" s="77">
        <v>6282350524788</v>
      </c>
      <c r="F132" s="78">
        <v>45815</v>
      </c>
      <c r="G132" s="79">
        <v>615</v>
      </c>
      <c r="H132" s="80">
        <v>16426.277372262775</v>
      </c>
      <c r="I132" s="79">
        <v>10</v>
      </c>
      <c r="J132" s="81">
        <v>11252</v>
      </c>
      <c r="K132" s="76">
        <v>0</v>
      </c>
      <c r="L132" s="76">
        <v>143</v>
      </c>
      <c r="M132" s="76">
        <v>0</v>
      </c>
      <c r="N132" s="82" t="s">
        <v>10709</v>
      </c>
      <c r="O132" s="83"/>
    </row>
    <row r="133" spans="1:15" ht="22.5" customHeight="1">
      <c r="A133" s="76">
        <v>759724529202804</v>
      </c>
      <c r="B133" s="77" t="s">
        <v>10621</v>
      </c>
      <c r="C133" s="77" t="s">
        <v>10682</v>
      </c>
      <c r="D133" s="77" t="s">
        <v>10683</v>
      </c>
      <c r="E133" s="77">
        <v>6285737244570</v>
      </c>
      <c r="F133" s="78">
        <v>45815</v>
      </c>
      <c r="G133" s="79">
        <v>418</v>
      </c>
      <c r="H133" s="80">
        <v>29682.222222222223</v>
      </c>
      <c r="I133" s="79">
        <v>3</v>
      </c>
      <c r="J133" s="81">
        <v>13357</v>
      </c>
      <c r="K133" s="76">
        <v>0</v>
      </c>
      <c r="L133" s="76">
        <v>125</v>
      </c>
      <c r="M133" s="76">
        <v>0</v>
      </c>
      <c r="N133" s="82" t="s">
        <v>10684</v>
      </c>
      <c r="O133" s="83"/>
    </row>
    <row r="134" spans="1:15" ht="22.5" customHeight="1">
      <c r="A134" s="76">
        <v>759724529202804</v>
      </c>
      <c r="B134" s="77" t="s">
        <v>10621</v>
      </c>
      <c r="C134" s="77" t="s">
        <v>10622</v>
      </c>
      <c r="D134" s="77" t="s">
        <v>183</v>
      </c>
      <c r="E134" s="77">
        <v>6285255435848</v>
      </c>
      <c r="F134" s="78">
        <v>45815</v>
      </c>
      <c r="G134" s="79">
        <v>1514</v>
      </c>
      <c r="H134" s="80">
        <v>9575.1479289940835</v>
      </c>
      <c r="I134" s="79">
        <v>22</v>
      </c>
      <c r="J134" s="81">
        <v>16182</v>
      </c>
      <c r="K134" s="76">
        <v>1</v>
      </c>
      <c r="L134" s="76">
        <v>557</v>
      </c>
      <c r="M134" s="76">
        <v>0</v>
      </c>
      <c r="N134" s="82" t="s">
        <v>10623</v>
      </c>
      <c r="O134" s="83"/>
    </row>
    <row r="135" spans="1:15" ht="22.5" customHeight="1">
      <c r="A135" s="76">
        <v>759724529202804</v>
      </c>
      <c r="B135" s="77" t="s">
        <v>10621</v>
      </c>
      <c r="C135" s="77" t="s">
        <v>10624</v>
      </c>
      <c r="D135" s="77" t="s">
        <v>190</v>
      </c>
      <c r="E135" s="77">
        <v>6281331854948</v>
      </c>
      <c r="F135" s="78">
        <v>45815</v>
      </c>
      <c r="G135" s="79">
        <v>647</v>
      </c>
      <c r="H135" s="80">
        <v>22419.540229885057</v>
      </c>
      <c r="I135" s="79">
        <v>12</v>
      </c>
      <c r="J135" s="81">
        <v>15604</v>
      </c>
      <c r="K135" s="76">
        <v>3</v>
      </c>
      <c r="L135" s="76">
        <v>261</v>
      </c>
      <c r="M135" s="76">
        <v>0</v>
      </c>
      <c r="N135" s="82" t="s">
        <v>10625</v>
      </c>
      <c r="O135" s="83"/>
    </row>
    <row r="136" spans="1:15" ht="22.5" customHeight="1">
      <c r="A136" s="76">
        <v>759724529202804</v>
      </c>
      <c r="B136" s="77" t="s">
        <v>10621</v>
      </c>
      <c r="C136" s="77" t="s">
        <v>10634</v>
      </c>
      <c r="D136" s="77" t="s">
        <v>155</v>
      </c>
      <c r="E136" s="77">
        <v>6282154483973</v>
      </c>
      <c r="F136" s="78">
        <v>45815</v>
      </c>
      <c r="G136" s="79">
        <v>1469</v>
      </c>
      <c r="H136" s="80">
        <v>9315.2848279751834</v>
      </c>
      <c r="I136" s="79">
        <v>15</v>
      </c>
      <c r="J136" s="81">
        <v>16516</v>
      </c>
      <c r="K136" s="76">
        <v>1</v>
      </c>
      <c r="L136" s="76">
        <v>257</v>
      </c>
      <c r="M136" s="76">
        <v>0</v>
      </c>
      <c r="N136" s="82" t="s">
        <v>10635</v>
      </c>
      <c r="O136" s="83"/>
    </row>
    <row r="137" spans="1:15" ht="22.5" customHeight="1">
      <c r="A137" s="76">
        <v>759724529202804</v>
      </c>
      <c r="B137" s="77" t="s">
        <v>10621</v>
      </c>
      <c r="C137" s="77" t="s">
        <v>665</v>
      </c>
      <c r="D137" s="77" t="s">
        <v>659</v>
      </c>
      <c r="E137" s="77">
        <v>6285757057088</v>
      </c>
      <c r="F137" s="78">
        <v>45815</v>
      </c>
      <c r="G137" s="79">
        <v>1112</v>
      </c>
      <c r="H137" s="80">
        <v>12655.442443226311</v>
      </c>
      <c r="I137" s="79">
        <v>18</v>
      </c>
      <c r="J137" s="81">
        <v>16161</v>
      </c>
      <c r="K137" s="76">
        <v>0</v>
      </c>
      <c r="L137" s="76">
        <v>1</v>
      </c>
      <c r="M137" s="76">
        <v>0</v>
      </c>
      <c r="N137" s="82" t="s">
        <v>10636</v>
      </c>
      <c r="O137" s="83"/>
    </row>
    <row r="138" spans="1:15" ht="22.5" customHeight="1">
      <c r="A138" s="76">
        <v>174904221976312</v>
      </c>
      <c r="B138" s="77" t="s">
        <v>10651</v>
      </c>
      <c r="C138" s="77" t="s">
        <v>10710</v>
      </c>
      <c r="D138" s="77" t="s">
        <v>10711</v>
      </c>
      <c r="E138" s="77"/>
      <c r="F138" s="78">
        <v>45815</v>
      </c>
      <c r="G138" s="79">
        <v>469</v>
      </c>
      <c r="H138" s="80">
        <v>22399.598393574299</v>
      </c>
      <c r="I138" s="79">
        <v>3</v>
      </c>
      <c r="J138" s="81">
        <v>11155</v>
      </c>
      <c r="K138" s="76">
        <v>0</v>
      </c>
      <c r="L138" s="76">
        <v>185</v>
      </c>
      <c r="M138" s="76">
        <v>0</v>
      </c>
      <c r="N138" s="82" t="s">
        <v>10712</v>
      </c>
      <c r="O138" s="83"/>
    </row>
    <row r="139" spans="1:15" ht="22.5" customHeight="1">
      <c r="A139" s="76">
        <v>174904221976312</v>
      </c>
      <c r="B139" s="77" t="s">
        <v>10651</v>
      </c>
      <c r="C139" s="77" t="s">
        <v>10693</v>
      </c>
      <c r="D139" s="77" t="s">
        <v>10694</v>
      </c>
      <c r="E139" s="77"/>
      <c r="F139" s="78">
        <v>45815</v>
      </c>
      <c r="G139" s="79">
        <v>183</v>
      </c>
      <c r="H139" s="80">
        <v>72385.869565217392</v>
      </c>
      <c r="I139" s="79">
        <v>0</v>
      </c>
      <c r="J139" s="81">
        <v>13319</v>
      </c>
      <c r="K139" s="76">
        <v>0</v>
      </c>
      <c r="L139" s="76">
        <v>54</v>
      </c>
      <c r="M139" s="76">
        <v>0</v>
      </c>
      <c r="N139" s="82" t="s">
        <v>10695</v>
      </c>
      <c r="O139" s="83"/>
    </row>
    <row r="140" spans="1:15" ht="22.5" customHeight="1">
      <c r="A140" s="76">
        <v>174904221976312</v>
      </c>
      <c r="B140" s="77" t="s">
        <v>10651</v>
      </c>
      <c r="C140" s="77" t="s">
        <v>10696</v>
      </c>
      <c r="D140" s="77" t="s">
        <v>236</v>
      </c>
      <c r="E140" s="77"/>
      <c r="F140" s="78">
        <v>45815</v>
      </c>
      <c r="G140" s="79">
        <v>1664</v>
      </c>
      <c r="H140" s="80">
        <v>7100.3460207612461</v>
      </c>
      <c r="I140" s="79">
        <v>89</v>
      </c>
      <c r="J140" s="81">
        <v>14364</v>
      </c>
      <c r="K140" s="76">
        <v>9</v>
      </c>
      <c r="L140" s="76">
        <v>654</v>
      </c>
      <c r="M140" s="76">
        <v>2</v>
      </c>
      <c r="N140" s="82" t="s">
        <v>10697</v>
      </c>
      <c r="O140" s="83"/>
    </row>
    <row r="141" spans="1:15" ht="22.5" customHeight="1">
      <c r="A141" s="76">
        <v>174904221976312</v>
      </c>
      <c r="B141" s="77" t="s">
        <v>10651</v>
      </c>
      <c r="C141" s="77" t="s">
        <v>10685</v>
      </c>
      <c r="D141" s="77" t="s">
        <v>10686</v>
      </c>
      <c r="E141" s="77">
        <v>6285211510282</v>
      </c>
      <c r="F141" s="78">
        <v>45815</v>
      </c>
      <c r="G141" s="79">
        <v>162</v>
      </c>
      <c r="H141" s="80">
        <v>72098.837209302335</v>
      </c>
      <c r="I141" s="79">
        <v>2</v>
      </c>
      <c r="J141" s="81">
        <v>12401</v>
      </c>
      <c r="K141" s="76">
        <v>0</v>
      </c>
      <c r="L141" s="76">
        <v>44</v>
      </c>
      <c r="M141" s="76">
        <v>0</v>
      </c>
      <c r="N141" s="82" t="s">
        <v>10687</v>
      </c>
      <c r="O141" s="83"/>
    </row>
    <row r="142" spans="1:15" ht="22.5" customHeight="1">
      <c r="A142" s="76">
        <v>174904221976312</v>
      </c>
      <c r="B142" s="77" t="s">
        <v>10651</v>
      </c>
      <c r="C142" s="77" t="s">
        <v>10670</v>
      </c>
      <c r="D142" s="77" t="s">
        <v>10671</v>
      </c>
      <c r="E142" s="77">
        <v>6281399998259</v>
      </c>
      <c r="F142" s="78">
        <v>45815</v>
      </c>
      <c r="G142" s="79">
        <v>676</v>
      </c>
      <c r="H142" s="80">
        <v>10578.378378378378</v>
      </c>
      <c r="I142" s="79">
        <v>6</v>
      </c>
      <c r="J142" s="81">
        <v>7828</v>
      </c>
      <c r="K142" s="76">
        <v>0</v>
      </c>
      <c r="L142" s="76">
        <v>194</v>
      </c>
      <c r="M142" s="76">
        <v>0</v>
      </c>
      <c r="N142" s="82" t="s">
        <v>10672</v>
      </c>
      <c r="O142" s="83"/>
    </row>
    <row r="143" spans="1:15" ht="22.5" customHeight="1">
      <c r="A143" s="76">
        <v>174904221976312</v>
      </c>
      <c r="B143" s="77" t="s">
        <v>10651</v>
      </c>
      <c r="C143" s="77" t="s">
        <v>10673</v>
      </c>
      <c r="D143" s="77" t="s">
        <v>10674</v>
      </c>
      <c r="E143" s="77">
        <v>6282183184641</v>
      </c>
      <c r="F143" s="78">
        <v>45815</v>
      </c>
      <c r="G143" s="79">
        <v>550</v>
      </c>
      <c r="H143" s="80">
        <v>25293.624161073825</v>
      </c>
      <c r="I143" s="79">
        <v>9</v>
      </c>
      <c r="J143" s="81">
        <v>15075</v>
      </c>
      <c r="K143" s="76">
        <v>1</v>
      </c>
      <c r="L143" s="76">
        <v>140</v>
      </c>
      <c r="M143" s="76">
        <v>0</v>
      </c>
      <c r="N143" s="82" t="s">
        <v>10675</v>
      </c>
      <c r="O143" s="83"/>
    </row>
    <row r="144" spans="1:15" ht="22.5" customHeight="1">
      <c r="A144" s="76">
        <v>174904221976312</v>
      </c>
      <c r="B144" s="77" t="s">
        <v>10651</v>
      </c>
      <c r="C144" s="77" t="s">
        <v>10652</v>
      </c>
      <c r="D144" s="77" t="s">
        <v>10653</v>
      </c>
      <c r="E144" s="77">
        <v>6281348555887</v>
      </c>
      <c r="F144" s="78">
        <v>45815</v>
      </c>
      <c r="G144" s="79">
        <v>1095</v>
      </c>
      <c r="H144" s="80">
        <v>9834.9016253207883</v>
      </c>
      <c r="I144" s="79">
        <v>28</v>
      </c>
      <c r="J144" s="81">
        <v>11497</v>
      </c>
      <c r="K144" s="76">
        <v>1</v>
      </c>
      <c r="L144" s="76">
        <v>350</v>
      </c>
      <c r="M144" s="76">
        <v>0</v>
      </c>
      <c r="N144" s="82" t="s">
        <v>10654</v>
      </c>
      <c r="O144" s="83"/>
    </row>
    <row r="145" spans="1:15" ht="22.5" customHeight="1">
      <c r="A145" s="76">
        <v>174904221976312</v>
      </c>
      <c r="B145" s="77" t="s">
        <v>10651</v>
      </c>
      <c r="C145" s="77" t="s">
        <v>10657</v>
      </c>
      <c r="D145" s="77" t="s">
        <v>1239</v>
      </c>
      <c r="E145" s="77">
        <v>6282172291579</v>
      </c>
      <c r="F145" s="78">
        <v>45815</v>
      </c>
      <c r="G145" s="79">
        <v>1138</v>
      </c>
      <c r="H145" s="80">
        <v>12493.907392363932</v>
      </c>
      <c r="I145" s="79">
        <v>44</v>
      </c>
      <c r="J145" s="81">
        <v>15380</v>
      </c>
      <c r="K145" s="76">
        <v>5</v>
      </c>
      <c r="L145" s="76">
        <v>619</v>
      </c>
      <c r="M145" s="76">
        <v>0</v>
      </c>
      <c r="N145" s="82" t="s">
        <v>10658</v>
      </c>
      <c r="O145" s="83"/>
    </row>
    <row r="146" spans="1:15" ht="22.5" customHeight="1">
      <c r="A146" s="76">
        <v>174904221976312</v>
      </c>
      <c r="B146" s="77" t="s">
        <v>10651</v>
      </c>
      <c r="C146" s="77" t="s">
        <v>10659</v>
      </c>
      <c r="D146" s="77" t="s">
        <v>1044</v>
      </c>
      <c r="E146" s="77">
        <v>6281263113266</v>
      </c>
      <c r="F146" s="78">
        <v>45815</v>
      </c>
      <c r="G146" s="79">
        <v>2726</v>
      </c>
      <c r="H146" s="80">
        <v>18538.005578800559</v>
      </c>
      <c r="I146" s="79">
        <v>94</v>
      </c>
      <c r="J146" s="81">
        <v>53167</v>
      </c>
      <c r="K146" s="76">
        <v>2</v>
      </c>
      <c r="L146" s="76">
        <v>1251</v>
      </c>
      <c r="M146" s="76">
        <v>1</v>
      </c>
      <c r="N146" s="82" t="s">
        <v>10660</v>
      </c>
      <c r="O146" s="83"/>
    </row>
    <row r="147" spans="1:15" ht="22.5" customHeight="1">
      <c r="A147" s="76">
        <v>766589657993298</v>
      </c>
      <c r="B147" s="77" t="s">
        <v>10688</v>
      </c>
      <c r="C147" s="77" t="s">
        <v>10713</v>
      </c>
      <c r="D147" s="77" t="s">
        <v>10714</v>
      </c>
      <c r="E147" s="77">
        <v>6281219751312</v>
      </c>
      <c r="F147" s="78">
        <v>45815</v>
      </c>
      <c r="G147" s="79">
        <v>247</v>
      </c>
      <c r="H147" s="80">
        <v>22386.454183266931</v>
      </c>
      <c r="I147" s="79">
        <v>2</v>
      </c>
      <c r="J147" s="81">
        <v>5619</v>
      </c>
      <c r="K147" s="76">
        <v>0</v>
      </c>
      <c r="L147" s="76">
        <v>85</v>
      </c>
      <c r="M147" s="76">
        <v>0</v>
      </c>
      <c r="N147" s="82" t="s">
        <v>10715</v>
      </c>
      <c r="O147" s="83"/>
    </row>
    <row r="148" spans="1:15" ht="22.5" customHeight="1">
      <c r="A148" s="76">
        <v>766589657993298</v>
      </c>
      <c r="B148" s="77" t="s">
        <v>10688</v>
      </c>
      <c r="C148" s="77" t="s">
        <v>10716</v>
      </c>
      <c r="D148" s="77" t="s">
        <v>10717</v>
      </c>
      <c r="E148" s="77">
        <v>6287845701116</v>
      </c>
      <c r="F148" s="78">
        <v>45815</v>
      </c>
      <c r="G148" s="79">
        <v>469</v>
      </c>
      <c r="H148" s="80">
        <v>14209.737827715357</v>
      </c>
      <c r="I148" s="79">
        <v>11</v>
      </c>
      <c r="J148" s="81">
        <v>7588</v>
      </c>
      <c r="K148" s="76">
        <v>1</v>
      </c>
      <c r="L148" s="76">
        <v>99</v>
      </c>
      <c r="M148" s="76">
        <v>1</v>
      </c>
      <c r="N148" s="82" t="s">
        <v>10718</v>
      </c>
      <c r="O148" s="83"/>
    </row>
    <row r="149" spans="1:15" ht="22.5" customHeight="1">
      <c r="A149" s="76">
        <v>766589657993298</v>
      </c>
      <c r="B149" s="77" t="s">
        <v>10688</v>
      </c>
      <c r="C149" s="77" t="s">
        <v>10719</v>
      </c>
      <c r="D149" s="77" t="s">
        <v>10720</v>
      </c>
      <c r="E149" s="77"/>
      <c r="F149" s="78">
        <v>45815</v>
      </c>
      <c r="G149" s="79">
        <v>117</v>
      </c>
      <c r="H149" s="80">
        <v>20683.333333333332</v>
      </c>
      <c r="I149" s="79">
        <v>1</v>
      </c>
      <c r="J149" s="81">
        <v>2482</v>
      </c>
      <c r="K149" s="76">
        <v>0</v>
      </c>
      <c r="L149" s="76">
        <v>26</v>
      </c>
      <c r="M149" s="76">
        <v>0</v>
      </c>
      <c r="N149" s="82" t="s">
        <v>10721</v>
      </c>
      <c r="O149" s="83"/>
    </row>
    <row r="150" spans="1:15" ht="22.5" customHeight="1">
      <c r="A150" s="76">
        <v>766589657993298</v>
      </c>
      <c r="B150" s="77" t="s">
        <v>10688</v>
      </c>
      <c r="C150" s="77" t="s">
        <v>10705</v>
      </c>
      <c r="D150" s="77" t="s">
        <v>10706</v>
      </c>
      <c r="E150" s="77">
        <v>6281904501876</v>
      </c>
      <c r="F150" s="78">
        <v>45815</v>
      </c>
      <c r="G150" s="79">
        <v>980</v>
      </c>
      <c r="H150" s="80">
        <v>15674.576271186441</v>
      </c>
      <c r="I150" s="79">
        <v>73</v>
      </c>
      <c r="J150" s="81">
        <v>18496</v>
      </c>
      <c r="K150" s="76">
        <v>11</v>
      </c>
      <c r="L150" s="76">
        <v>544</v>
      </c>
      <c r="M150" s="76">
        <v>1</v>
      </c>
      <c r="N150" s="82" t="s">
        <v>10707</v>
      </c>
      <c r="O150" s="83"/>
    </row>
    <row r="151" spans="1:15" ht="22.5" customHeight="1">
      <c r="A151" s="76">
        <v>766589657993298</v>
      </c>
      <c r="B151" s="77" t="s">
        <v>10688</v>
      </c>
      <c r="C151" s="77" t="s">
        <v>10722</v>
      </c>
      <c r="D151" s="77" t="s">
        <v>10723</v>
      </c>
      <c r="E151" s="77">
        <v>6281515877050</v>
      </c>
      <c r="F151" s="78">
        <v>45815</v>
      </c>
      <c r="G151" s="79">
        <v>175</v>
      </c>
      <c r="H151" s="80">
        <v>19661.290322580644</v>
      </c>
      <c r="I151" s="79">
        <v>1</v>
      </c>
      <c r="J151" s="81">
        <v>3657</v>
      </c>
      <c r="K151" s="76">
        <v>0</v>
      </c>
      <c r="L151" s="76">
        <v>63</v>
      </c>
      <c r="M151" s="76">
        <v>0</v>
      </c>
      <c r="N151" s="82" t="s">
        <v>10724</v>
      </c>
      <c r="O151" s="83"/>
    </row>
    <row r="152" spans="1:15" ht="22.5" customHeight="1">
      <c r="A152" s="76">
        <v>766589657993298</v>
      </c>
      <c r="B152" s="77" t="s">
        <v>10688</v>
      </c>
      <c r="C152" s="77" t="s">
        <v>10725</v>
      </c>
      <c r="D152" s="77" t="s">
        <v>297</v>
      </c>
      <c r="E152" s="77">
        <v>6281384925770</v>
      </c>
      <c r="F152" s="78">
        <v>45815</v>
      </c>
      <c r="G152" s="79">
        <v>140</v>
      </c>
      <c r="H152" s="80">
        <v>36326.388888888883</v>
      </c>
      <c r="I152" s="79">
        <v>1</v>
      </c>
      <c r="J152" s="81">
        <v>5231</v>
      </c>
      <c r="K152" s="76">
        <v>0</v>
      </c>
      <c r="L152" s="76">
        <v>40</v>
      </c>
      <c r="M152" s="76">
        <v>0</v>
      </c>
      <c r="N152" s="82" t="s">
        <v>10726</v>
      </c>
      <c r="O152" s="83"/>
    </row>
    <row r="153" spans="1:15" ht="22.5" customHeight="1">
      <c r="A153" s="76">
        <v>766589657993298</v>
      </c>
      <c r="B153" s="77" t="s">
        <v>10688</v>
      </c>
      <c r="C153" s="77" t="s">
        <v>10698</v>
      </c>
      <c r="D153" s="77" t="s">
        <v>10699</v>
      </c>
      <c r="E153" s="77">
        <v>62812</v>
      </c>
      <c r="F153" s="78">
        <v>45815</v>
      </c>
      <c r="G153" s="79">
        <v>167</v>
      </c>
      <c r="H153" s="80">
        <v>43369.047619047618</v>
      </c>
      <c r="I153" s="79">
        <v>1</v>
      </c>
      <c r="J153" s="81">
        <v>7286</v>
      </c>
      <c r="K153" s="76">
        <v>0</v>
      </c>
      <c r="L153" s="76">
        <v>43</v>
      </c>
      <c r="M153" s="76">
        <v>0</v>
      </c>
      <c r="N153" s="82" t="s">
        <v>10700</v>
      </c>
      <c r="O153" s="83"/>
    </row>
    <row r="154" spans="1:15" ht="22.5" customHeight="1">
      <c r="A154" s="76">
        <v>766589657993298</v>
      </c>
      <c r="B154" s="77" t="s">
        <v>10688</v>
      </c>
      <c r="C154" s="77" t="s">
        <v>10701</v>
      </c>
      <c r="D154" s="77" t="s">
        <v>5669</v>
      </c>
      <c r="E154" s="77">
        <v>6282288123215</v>
      </c>
      <c r="F154" s="78">
        <v>45815</v>
      </c>
      <c r="G154" s="79">
        <v>1230</v>
      </c>
      <c r="H154" s="80">
        <v>10941.67962674961</v>
      </c>
      <c r="I154" s="79">
        <v>9</v>
      </c>
      <c r="J154" s="81">
        <v>14071</v>
      </c>
      <c r="K154" s="76">
        <v>0</v>
      </c>
      <c r="L154" s="76">
        <v>312</v>
      </c>
      <c r="M154" s="76">
        <v>0</v>
      </c>
      <c r="N154" s="82" t="s">
        <v>10702</v>
      </c>
      <c r="O154" s="83"/>
    </row>
    <row r="155" spans="1:15" ht="22.5" customHeight="1">
      <c r="A155" s="76">
        <v>766589657993298</v>
      </c>
      <c r="B155" s="77" t="s">
        <v>10688</v>
      </c>
      <c r="C155" s="77" t="s">
        <v>10703</v>
      </c>
      <c r="D155" s="77" t="s">
        <v>253</v>
      </c>
      <c r="E155" s="77">
        <v>6282154795446</v>
      </c>
      <c r="F155" s="78">
        <v>45815</v>
      </c>
      <c r="G155" s="79">
        <v>89</v>
      </c>
      <c r="H155" s="80">
        <v>31926.315789473683</v>
      </c>
      <c r="I155" s="79">
        <v>2</v>
      </c>
      <c r="J155" s="81">
        <v>3033</v>
      </c>
      <c r="K155" s="76">
        <v>0</v>
      </c>
      <c r="L155" s="76">
        <v>16</v>
      </c>
      <c r="M155" s="76">
        <v>0</v>
      </c>
      <c r="N155" s="82" t="s">
        <v>10704</v>
      </c>
      <c r="O155" s="83"/>
    </row>
    <row r="156" spans="1:15" ht="22.5" customHeight="1">
      <c r="A156" s="76">
        <v>766589657993298</v>
      </c>
      <c r="B156" s="77" t="s">
        <v>10688</v>
      </c>
      <c r="C156" s="77" t="s">
        <v>10689</v>
      </c>
      <c r="D156" s="77" t="s">
        <v>2488</v>
      </c>
      <c r="E156" s="77">
        <v>6281347321820</v>
      </c>
      <c r="F156" s="78">
        <v>45815</v>
      </c>
      <c r="G156" s="79">
        <v>404</v>
      </c>
      <c r="H156" s="80">
        <v>23561.643835616436</v>
      </c>
      <c r="I156" s="79">
        <v>5</v>
      </c>
      <c r="J156" s="81">
        <v>10320</v>
      </c>
      <c r="K156" s="76">
        <v>0</v>
      </c>
      <c r="L156" s="76">
        <v>153</v>
      </c>
      <c r="M156" s="76">
        <v>0</v>
      </c>
      <c r="N156" s="82" t="s">
        <v>10690</v>
      </c>
      <c r="O156" s="83"/>
    </row>
    <row r="157" spans="1:15" ht="22.5" customHeight="1">
      <c r="A157" s="76">
        <v>766589657993298</v>
      </c>
      <c r="B157" s="77" t="s">
        <v>10688</v>
      </c>
      <c r="C157" s="77" t="s">
        <v>10691</v>
      </c>
      <c r="D157" s="77" t="s">
        <v>209</v>
      </c>
      <c r="E157" s="77"/>
      <c r="F157" s="78">
        <v>45815</v>
      </c>
      <c r="G157" s="79">
        <v>360</v>
      </c>
      <c r="H157" s="80">
        <v>36815.217391304352</v>
      </c>
      <c r="I157" s="79">
        <v>3</v>
      </c>
      <c r="J157" s="81">
        <v>13548</v>
      </c>
      <c r="K157" s="76">
        <v>0</v>
      </c>
      <c r="L157" s="76">
        <v>97</v>
      </c>
      <c r="M157" s="76">
        <v>0</v>
      </c>
      <c r="N157" s="82" t="s">
        <v>10692</v>
      </c>
      <c r="O157" s="83"/>
    </row>
    <row r="158" spans="1:15" ht="22.5" customHeight="1">
      <c r="A158" s="76">
        <v>759724529202804</v>
      </c>
      <c r="B158" s="77" t="s">
        <v>10621</v>
      </c>
      <c r="C158" s="77" t="s">
        <v>332</v>
      </c>
      <c r="D158" s="77" t="s">
        <v>10708</v>
      </c>
      <c r="E158" s="77">
        <v>6282350524788</v>
      </c>
      <c r="F158" s="78">
        <v>45816</v>
      </c>
      <c r="G158" s="79">
        <v>1093</v>
      </c>
      <c r="H158" s="80">
        <v>7157.0723684210525</v>
      </c>
      <c r="I158" s="79">
        <v>21</v>
      </c>
      <c r="J158" s="81">
        <v>8703</v>
      </c>
      <c r="K158" s="76">
        <v>1</v>
      </c>
      <c r="L158" s="76">
        <v>352</v>
      </c>
      <c r="M158" s="76">
        <v>0</v>
      </c>
      <c r="N158" s="82" t="s">
        <v>10709</v>
      </c>
      <c r="O158" s="83"/>
    </row>
    <row r="159" spans="1:15" ht="22.5" customHeight="1">
      <c r="A159" s="76">
        <v>759724529202804</v>
      </c>
      <c r="B159" s="77" t="s">
        <v>10621</v>
      </c>
      <c r="C159" s="77" t="s">
        <v>10682</v>
      </c>
      <c r="D159" s="77" t="s">
        <v>10683</v>
      </c>
      <c r="E159" s="77">
        <v>6285737244570</v>
      </c>
      <c r="F159" s="78">
        <v>45816</v>
      </c>
      <c r="G159" s="79">
        <v>484</v>
      </c>
      <c r="H159" s="80">
        <v>19871.743486973948</v>
      </c>
      <c r="I159" s="79">
        <v>10</v>
      </c>
      <c r="J159" s="81">
        <v>9916</v>
      </c>
      <c r="K159" s="76">
        <v>1</v>
      </c>
      <c r="L159" s="76">
        <v>101</v>
      </c>
      <c r="M159" s="76">
        <v>0</v>
      </c>
      <c r="N159" s="82" t="s">
        <v>10684</v>
      </c>
      <c r="O159" s="83"/>
    </row>
    <row r="160" spans="1:15" ht="22.5" customHeight="1">
      <c r="A160" s="76">
        <v>759724529202804</v>
      </c>
      <c r="B160" s="77" t="s">
        <v>10621</v>
      </c>
      <c r="C160" s="77" t="s">
        <v>10622</v>
      </c>
      <c r="D160" s="77" t="s">
        <v>183</v>
      </c>
      <c r="E160" s="77">
        <v>6285255435848</v>
      </c>
      <c r="F160" s="78">
        <v>45816</v>
      </c>
      <c r="G160" s="79">
        <v>1048</v>
      </c>
      <c r="H160" s="80">
        <v>8690.434782608696</v>
      </c>
      <c r="I160" s="79">
        <v>14</v>
      </c>
      <c r="J160" s="81">
        <v>9994</v>
      </c>
      <c r="K160" s="76">
        <v>1</v>
      </c>
      <c r="L160" s="76">
        <v>382</v>
      </c>
      <c r="M160" s="76">
        <v>0</v>
      </c>
      <c r="N160" s="82" t="s">
        <v>10623</v>
      </c>
      <c r="O160" s="83"/>
    </row>
    <row r="161" spans="1:15" ht="22.5" customHeight="1">
      <c r="A161" s="76">
        <v>759724529202804</v>
      </c>
      <c r="B161" s="77" t="s">
        <v>10621</v>
      </c>
      <c r="C161" s="77" t="s">
        <v>10624</v>
      </c>
      <c r="D161" s="77" t="s">
        <v>190</v>
      </c>
      <c r="E161" s="77">
        <v>6281331854948</v>
      </c>
      <c r="F161" s="78">
        <v>45816</v>
      </c>
      <c r="G161" s="79">
        <v>807</v>
      </c>
      <c r="H161" s="80">
        <v>17201.533406352686</v>
      </c>
      <c r="I161" s="79">
        <v>18</v>
      </c>
      <c r="J161" s="81">
        <v>15705</v>
      </c>
      <c r="K161" s="76">
        <v>2</v>
      </c>
      <c r="L161" s="76">
        <v>347</v>
      </c>
      <c r="M161" s="76">
        <v>0</v>
      </c>
      <c r="N161" s="82" t="s">
        <v>10625</v>
      </c>
      <c r="O161" s="83"/>
    </row>
    <row r="162" spans="1:15" ht="22.5" customHeight="1">
      <c r="A162" s="76">
        <v>759724529202804</v>
      </c>
      <c r="B162" s="77" t="s">
        <v>10621</v>
      </c>
      <c r="C162" s="77" t="s">
        <v>206</v>
      </c>
      <c r="D162" s="77" t="s">
        <v>199</v>
      </c>
      <c r="E162" s="77">
        <v>6285220903499</v>
      </c>
      <c r="F162" s="78">
        <v>45816</v>
      </c>
      <c r="G162" s="79">
        <v>634</v>
      </c>
      <c r="H162" s="80">
        <v>19422.279792746114</v>
      </c>
      <c r="I162" s="79">
        <v>31</v>
      </c>
      <c r="J162" s="81">
        <v>14994</v>
      </c>
      <c r="K162" s="76">
        <v>7</v>
      </c>
      <c r="L162" s="76">
        <v>194</v>
      </c>
      <c r="M162" s="76">
        <v>3</v>
      </c>
      <c r="N162" s="82" t="s">
        <v>10628</v>
      </c>
      <c r="O162" s="83"/>
    </row>
    <row r="163" spans="1:15" ht="22.5" customHeight="1">
      <c r="A163" s="76">
        <v>759724529202804</v>
      </c>
      <c r="B163" s="77" t="s">
        <v>10621</v>
      </c>
      <c r="C163" s="77" t="s">
        <v>10634</v>
      </c>
      <c r="D163" s="77" t="s">
        <v>155</v>
      </c>
      <c r="E163" s="77">
        <v>6282154483973</v>
      </c>
      <c r="F163" s="78">
        <v>45816</v>
      </c>
      <c r="G163" s="79">
        <v>1214</v>
      </c>
      <c r="H163" s="80">
        <v>8983.5390946502066</v>
      </c>
      <c r="I163" s="79">
        <v>24</v>
      </c>
      <c r="J163" s="81">
        <v>15281</v>
      </c>
      <c r="K163" s="76">
        <v>4</v>
      </c>
      <c r="L163" s="76">
        <v>310</v>
      </c>
      <c r="M163" s="76">
        <v>0</v>
      </c>
      <c r="N163" s="82" t="s">
        <v>10635</v>
      </c>
      <c r="O163" s="83"/>
    </row>
    <row r="164" spans="1:15" ht="22.5" customHeight="1">
      <c r="A164" s="76">
        <v>759724529202804</v>
      </c>
      <c r="B164" s="77" t="s">
        <v>10621</v>
      </c>
      <c r="C164" s="77" t="s">
        <v>665</v>
      </c>
      <c r="D164" s="77" t="s">
        <v>659</v>
      </c>
      <c r="E164" s="77">
        <v>6285757057088</v>
      </c>
      <c r="F164" s="78">
        <v>45816</v>
      </c>
      <c r="G164" s="79">
        <v>684</v>
      </c>
      <c r="H164" s="80">
        <v>16434.87621097955</v>
      </c>
      <c r="I164" s="79">
        <v>25</v>
      </c>
      <c r="J164" s="81">
        <v>15268</v>
      </c>
      <c r="K164" s="76">
        <v>0</v>
      </c>
      <c r="L164" s="76">
        <v>0</v>
      </c>
      <c r="M164" s="76">
        <v>0</v>
      </c>
      <c r="N164" s="82" t="s">
        <v>10636</v>
      </c>
      <c r="O164" s="83"/>
    </row>
    <row r="165" spans="1:15" ht="22.5" customHeight="1">
      <c r="A165" s="76">
        <v>174904221976312</v>
      </c>
      <c r="B165" s="77" t="s">
        <v>10651</v>
      </c>
      <c r="C165" s="77" t="s">
        <v>10710</v>
      </c>
      <c r="D165" s="77" t="s">
        <v>10711</v>
      </c>
      <c r="E165" s="77"/>
      <c r="F165" s="78">
        <v>45816</v>
      </c>
      <c r="G165" s="79">
        <v>539</v>
      </c>
      <c r="H165" s="80">
        <v>20127.692307692309</v>
      </c>
      <c r="I165" s="79">
        <v>1</v>
      </c>
      <c r="J165" s="81">
        <v>13083</v>
      </c>
      <c r="K165" s="76">
        <v>0</v>
      </c>
      <c r="L165" s="76">
        <v>194</v>
      </c>
      <c r="M165" s="76">
        <v>0</v>
      </c>
      <c r="N165" s="82" t="s">
        <v>10712</v>
      </c>
      <c r="O165" s="83"/>
    </row>
    <row r="166" spans="1:15" ht="22.5" customHeight="1">
      <c r="A166" s="76">
        <v>174904221976312</v>
      </c>
      <c r="B166" s="77" t="s">
        <v>10651</v>
      </c>
      <c r="C166" s="77" t="s">
        <v>10693</v>
      </c>
      <c r="D166" s="77" t="s">
        <v>10694</v>
      </c>
      <c r="E166" s="77"/>
      <c r="F166" s="78">
        <v>45816</v>
      </c>
      <c r="G166" s="79">
        <v>248</v>
      </c>
      <c r="H166" s="80">
        <v>51723.735408560307</v>
      </c>
      <c r="I166" s="79">
        <v>6</v>
      </c>
      <c r="J166" s="81">
        <v>13293</v>
      </c>
      <c r="K166" s="76">
        <v>2</v>
      </c>
      <c r="L166" s="76">
        <v>73</v>
      </c>
      <c r="M166" s="76">
        <v>0</v>
      </c>
      <c r="N166" s="82" t="s">
        <v>10695</v>
      </c>
      <c r="O166" s="83"/>
    </row>
    <row r="167" spans="1:15" ht="22.5" customHeight="1">
      <c r="A167" s="76">
        <v>174904221976312</v>
      </c>
      <c r="B167" s="77" t="s">
        <v>10651</v>
      </c>
      <c r="C167" s="77" t="s">
        <v>10696</v>
      </c>
      <c r="D167" s="77" t="s">
        <v>236</v>
      </c>
      <c r="E167" s="77"/>
      <c r="F167" s="78">
        <v>45816</v>
      </c>
      <c r="G167" s="79">
        <v>1242</v>
      </c>
      <c r="H167" s="80">
        <v>7089.5522388059699</v>
      </c>
      <c r="I167" s="79">
        <v>69</v>
      </c>
      <c r="J167" s="81">
        <v>9975</v>
      </c>
      <c r="K167" s="76">
        <v>4</v>
      </c>
      <c r="L167" s="76">
        <v>531</v>
      </c>
      <c r="M167" s="76">
        <v>0</v>
      </c>
      <c r="N167" s="82" t="s">
        <v>10697</v>
      </c>
      <c r="O167" s="83"/>
    </row>
    <row r="168" spans="1:15" ht="22.5" customHeight="1">
      <c r="A168" s="76">
        <v>174904221976312</v>
      </c>
      <c r="B168" s="77" t="s">
        <v>10651</v>
      </c>
      <c r="C168" s="77" t="s">
        <v>10670</v>
      </c>
      <c r="D168" s="77" t="s">
        <v>10671</v>
      </c>
      <c r="E168" s="77">
        <v>6281399998259</v>
      </c>
      <c r="F168" s="78">
        <v>45816</v>
      </c>
      <c r="G168" s="79">
        <v>867</v>
      </c>
      <c r="H168" s="80">
        <v>13045.035823950871</v>
      </c>
      <c r="I168" s="79">
        <v>19</v>
      </c>
      <c r="J168" s="81">
        <v>12745</v>
      </c>
      <c r="K168" s="76">
        <v>0</v>
      </c>
      <c r="L168" s="76">
        <v>277</v>
      </c>
      <c r="M168" s="76">
        <v>0</v>
      </c>
      <c r="N168" s="82" t="s">
        <v>10672</v>
      </c>
      <c r="O168" s="83"/>
    </row>
    <row r="169" spans="1:15" ht="22.5" customHeight="1">
      <c r="A169" s="76">
        <v>174904221976312</v>
      </c>
      <c r="B169" s="77" t="s">
        <v>10651</v>
      </c>
      <c r="C169" s="77" t="s">
        <v>10673</v>
      </c>
      <c r="D169" s="77" t="s">
        <v>10674</v>
      </c>
      <c r="E169" s="77">
        <v>6282183184641</v>
      </c>
      <c r="F169" s="78">
        <v>45816</v>
      </c>
      <c r="G169" s="79">
        <v>605</v>
      </c>
      <c r="H169" s="80">
        <v>15284.820031298905</v>
      </c>
      <c r="I169" s="79">
        <v>12</v>
      </c>
      <c r="J169" s="81">
        <v>9767</v>
      </c>
      <c r="K169" s="76">
        <v>0</v>
      </c>
      <c r="L169" s="76">
        <v>145</v>
      </c>
      <c r="M169" s="76">
        <v>0</v>
      </c>
      <c r="N169" s="82" t="s">
        <v>10675</v>
      </c>
      <c r="O169" s="83"/>
    </row>
    <row r="170" spans="1:15" ht="22.5" customHeight="1">
      <c r="A170" s="76">
        <v>174904221976312</v>
      </c>
      <c r="B170" s="77" t="s">
        <v>10651</v>
      </c>
      <c r="C170" s="77" t="s">
        <v>10652</v>
      </c>
      <c r="D170" s="77" t="s">
        <v>10653</v>
      </c>
      <c r="E170" s="77">
        <v>6281348555887</v>
      </c>
      <c r="F170" s="78">
        <v>45816</v>
      </c>
      <c r="G170" s="79">
        <v>770</v>
      </c>
      <c r="H170" s="80">
        <v>13051.044083526682</v>
      </c>
      <c r="I170" s="79">
        <v>32</v>
      </c>
      <c r="J170" s="81">
        <v>11250</v>
      </c>
      <c r="K170" s="76">
        <v>1</v>
      </c>
      <c r="L170" s="76">
        <v>267</v>
      </c>
      <c r="M170" s="76">
        <v>1</v>
      </c>
      <c r="N170" s="82" t="s">
        <v>10654</v>
      </c>
      <c r="O170" s="83"/>
    </row>
    <row r="171" spans="1:15" ht="22.5" customHeight="1">
      <c r="A171" s="76">
        <v>174904221976312</v>
      </c>
      <c r="B171" s="77" t="s">
        <v>10651</v>
      </c>
      <c r="C171" s="77" t="s">
        <v>10657</v>
      </c>
      <c r="D171" s="77" t="s">
        <v>1239</v>
      </c>
      <c r="E171" s="77">
        <v>6282172291579</v>
      </c>
      <c r="F171" s="78">
        <v>45816</v>
      </c>
      <c r="G171" s="79">
        <v>757</v>
      </c>
      <c r="H171" s="80">
        <v>16161.016949152543</v>
      </c>
      <c r="I171" s="79">
        <v>47</v>
      </c>
      <c r="J171" s="81">
        <v>17163</v>
      </c>
      <c r="K171" s="76">
        <v>8</v>
      </c>
      <c r="L171" s="76">
        <v>326</v>
      </c>
      <c r="M171" s="76">
        <v>1</v>
      </c>
      <c r="N171" s="82" t="s">
        <v>10658</v>
      </c>
      <c r="O171" s="83"/>
    </row>
    <row r="172" spans="1:15" ht="22.5" customHeight="1">
      <c r="A172" s="76">
        <v>174904221976312</v>
      </c>
      <c r="B172" s="77" t="s">
        <v>10651</v>
      </c>
      <c r="C172" s="77" t="s">
        <v>10659</v>
      </c>
      <c r="D172" s="77" t="s">
        <v>1044</v>
      </c>
      <c r="E172" s="77">
        <v>6281263113266</v>
      </c>
      <c r="F172" s="78">
        <v>45816</v>
      </c>
      <c r="G172" s="79">
        <v>4083</v>
      </c>
      <c r="H172" s="80">
        <v>10987.991523428302</v>
      </c>
      <c r="I172" s="79">
        <v>64</v>
      </c>
      <c r="J172" s="81">
        <v>46666</v>
      </c>
      <c r="K172" s="76">
        <v>5</v>
      </c>
      <c r="L172" s="76">
        <v>8</v>
      </c>
      <c r="M172" s="76">
        <v>0</v>
      </c>
      <c r="N172" s="82" t="s">
        <v>10660</v>
      </c>
      <c r="O172" s="83"/>
    </row>
    <row r="173" spans="1:15" ht="22.5" customHeight="1">
      <c r="A173" s="76">
        <v>766589657993298</v>
      </c>
      <c r="B173" s="77" t="s">
        <v>10688</v>
      </c>
      <c r="C173" s="77" t="s">
        <v>10713</v>
      </c>
      <c r="D173" s="77" t="s">
        <v>10714</v>
      </c>
      <c r="E173" s="77">
        <v>6281219751312</v>
      </c>
      <c r="F173" s="78">
        <v>45816</v>
      </c>
      <c r="G173" s="79">
        <v>384</v>
      </c>
      <c r="H173" s="80">
        <v>26961.711711711712</v>
      </c>
      <c r="I173" s="79">
        <v>9</v>
      </c>
      <c r="J173" s="81">
        <v>11971</v>
      </c>
      <c r="K173" s="76">
        <v>2</v>
      </c>
      <c r="L173" s="76">
        <v>82</v>
      </c>
      <c r="M173" s="76">
        <v>0</v>
      </c>
      <c r="N173" s="82" t="s">
        <v>10715</v>
      </c>
      <c r="O173" s="83"/>
    </row>
    <row r="174" spans="1:15" ht="22.5" customHeight="1">
      <c r="A174" s="76">
        <v>766589657993298</v>
      </c>
      <c r="B174" s="77" t="s">
        <v>10688</v>
      </c>
      <c r="C174" s="77" t="s">
        <v>10716</v>
      </c>
      <c r="D174" s="77" t="s">
        <v>10717</v>
      </c>
      <c r="E174" s="77">
        <v>6287845701116</v>
      </c>
      <c r="F174" s="78">
        <v>45816</v>
      </c>
      <c r="G174" s="79">
        <v>154</v>
      </c>
      <c r="H174" s="80">
        <v>18988.571428571428</v>
      </c>
      <c r="I174" s="79">
        <v>1</v>
      </c>
      <c r="J174" s="81">
        <v>3323</v>
      </c>
      <c r="K174" s="76">
        <v>0</v>
      </c>
      <c r="L174" s="76">
        <v>57</v>
      </c>
      <c r="M174" s="76">
        <v>0</v>
      </c>
      <c r="N174" s="82" t="s">
        <v>10718</v>
      </c>
      <c r="O174" s="83"/>
    </row>
    <row r="175" spans="1:15" ht="22.5" customHeight="1">
      <c r="A175" s="76">
        <v>766589657993298</v>
      </c>
      <c r="B175" s="77" t="s">
        <v>10688</v>
      </c>
      <c r="C175" s="77" t="s">
        <v>10719</v>
      </c>
      <c r="D175" s="77" t="s">
        <v>10720</v>
      </c>
      <c r="E175" s="77"/>
      <c r="F175" s="78">
        <v>45816</v>
      </c>
      <c r="G175" s="79">
        <v>344</v>
      </c>
      <c r="H175" s="80">
        <v>28097.686375321337</v>
      </c>
      <c r="I175" s="79">
        <v>6</v>
      </c>
      <c r="J175" s="81">
        <v>10930</v>
      </c>
      <c r="K175" s="76">
        <v>0</v>
      </c>
      <c r="L175" s="76">
        <v>91</v>
      </c>
      <c r="M175" s="76">
        <v>0</v>
      </c>
      <c r="N175" s="82" t="s">
        <v>10721</v>
      </c>
      <c r="O175" s="83"/>
    </row>
    <row r="176" spans="1:15" ht="22.5" customHeight="1">
      <c r="A176" s="76">
        <v>766589657993298</v>
      </c>
      <c r="B176" s="77" t="s">
        <v>10688</v>
      </c>
      <c r="C176" s="77" t="s">
        <v>10705</v>
      </c>
      <c r="D176" s="77" t="s">
        <v>10706</v>
      </c>
      <c r="E176" s="77">
        <v>6281904501876</v>
      </c>
      <c r="F176" s="78">
        <v>45816</v>
      </c>
      <c r="G176" s="79">
        <v>599</v>
      </c>
      <c r="H176" s="80">
        <v>15460.150375939851</v>
      </c>
      <c r="I176" s="79">
        <v>44</v>
      </c>
      <c r="J176" s="81">
        <v>10281</v>
      </c>
      <c r="K176" s="76">
        <v>11</v>
      </c>
      <c r="L176" s="76">
        <v>320</v>
      </c>
      <c r="M176" s="76">
        <v>1</v>
      </c>
      <c r="N176" s="82" t="s">
        <v>10707</v>
      </c>
      <c r="O176" s="83"/>
    </row>
    <row r="177" spans="1:15" ht="22.5" customHeight="1">
      <c r="A177" s="76">
        <v>766589657993298</v>
      </c>
      <c r="B177" s="77" t="s">
        <v>10688</v>
      </c>
      <c r="C177" s="77" t="s">
        <v>10722</v>
      </c>
      <c r="D177" s="77" t="s">
        <v>10723</v>
      </c>
      <c r="E177" s="77">
        <v>6281515877050</v>
      </c>
      <c r="F177" s="78">
        <v>45816</v>
      </c>
      <c r="G177" s="79">
        <v>646</v>
      </c>
      <c r="H177" s="80">
        <v>18279.369627507163</v>
      </c>
      <c r="I177" s="79">
        <v>2</v>
      </c>
      <c r="J177" s="81">
        <v>12759</v>
      </c>
      <c r="K177" s="76">
        <v>1</v>
      </c>
      <c r="L177" s="76">
        <v>238</v>
      </c>
      <c r="M177" s="76">
        <v>0</v>
      </c>
      <c r="N177" s="82" t="s">
        <v>10724</v>
      </c>
      <c r="O177" s="83"/>
    </row>
    <row r="178" spans="1:15" ht="22.5" customHeight="1">
      <c r="A178" s="76">
        <v>766589657993298</v>
      </c>
      <c r="B178" s="77" t="s">
        <v>10688</v>
      </c>
      <c r="C178" s="77" t="s">
        <v>10725</v>
      </c>
      <c r="D178" s="77" t="s">
        <v>297</v>
      </c>
      <c r="E178" s="77">
        <v>6281384925770</v>
      </c>
      <c r="F178" s="78">
        <v>45816</v>
      </c>
      <c r="G178" s="79">
        <v>135</v>
      </c>
      <c r="H178" s="80">
        <v>22292.517006802722</v>
      </c>
      <c r="I178" s="79">
        <v>2</v>
      </c>
      <c r="J178" s="81">
        <v>3277</v>
      </c>
      <c r="K178" s="76">
        <v>1</v>
      </c>
      <c r="L178" s="76">
        <v>0</v>
      </c>
      <c r="M178" s="76">
        <v>0</v>
      </c>
      <c r="N178" s="82" t="s">
        <v>10726</v>
      </c>
      <c r="O178" s="83"/>
    </row>
    <row r="179" spans="1:15" ht="22.5" customHeight="1">
      <c r="A179" s="76">
        <v>766589657993298</v>
      </c>
      <c r="B179" s="77" t="s">
        <v>10688</v>
      </c>
      <c r="C179" s="77" t="s">
        <v>10698</v>
      </c>
      <c r="D179" s="77" t="s">
        <v>10699</v>
      </c>
      <c r="E179" s="77">
        <v>62812</v>
      </c>
      <c r="F179" s="78">
        <v>45816</v>
      </c>
      <c r="G179" s="79">
        <v>209</v>
      </c>
      <c r="H179" s="80">
        <v>59427.272727272728</v>
      </c>
      <c r="I179" s="79">
        <v>1</v>
      </c>
      <c r="J179" s="81">
        <v>13074</v>
      </c>
      <c r="K179" s="76">
        <v>0</v>
      </c>
      <c r="L179" s="76">
        <v>50</v>
      </c>
      <c r="M179" s="76">
        <v>0</v>
      </c>
      <c r="N179" s="82" t="s">
        <v>10700</v>
      </c>
      <c r="O179" s="83"/>
    </row>
    <row r="180" spans="1:15" ht="22.5" customHeight="1">
      <c r="A180" s="76">
        <v>766589657993298</v>
      </c>
      <c r="B180" s="77" t="s">
        <v>10688</v>
      </c>
      <c r="C180" s="77" t="s">
        <v>10701</v>
      </c>
      <c r="D180" s="77" t="s">
        <v>5669</v>
      </c>
      <c r="E180" s="77">
        <v>6282288123215</v>
      </c>
      <c r="F180" s="78">
        <v>45816</v>
      </c>
      <c r="G180" s="79">
        <v>692</v>
      </c>
      <c r="H180" s="80">
        <v>14250.585480093676</v>
      </c>
      <c r="I180" s="79">
        <v>24</v>
      </c>
      <c r="J180" s="81">
        <v>12170</v>
      </c>
      <c r="K180" s="76">
        <v>2</v>
      </c>
      <c r="L180" s="76">
        <v>231</v>
      </c>
      <c r="M180" s="76">
        <v>0</v>
      </c>
      <c r="N180" s="82" t="s">
        <v>10702</v>
      </c>
      <c r="O180" s="83"/>
    </row>
    <row r="181" spans="1:15" ht="22.5" customHeight="1">
      <c r="A181" s="76">
        <v>759724529202804</v>
      </c>
      <c r="B181" s="77" t="s">
        <v>10621</v>
      </c>
      <c r="C181" s="77" t="s">
        <v>332</v>
      </c>
      <c r="D181" s="77" t="s">
        <v>10708</v>
      </c>
      <c r="E181" s="77">
        <v>6282350524788</v>
      </c>
      <c r="F181" s="78">
        <v>45817</v>
      </c>
      <c r="G181" s="79">
        <v>1402</v>
      </c>
      <c r="H181" s="80">
        <v>10204.436450839328</v>
      </c>
      <c r="I181" s="79">
        <v>46</v>
      </c>
      <c r="J181" s="81">
        <v>17021</v>
      </c>
      <c r="K181" s="76">
        <v>7</v>
      </c>
      <c r="L181" s="76">
        <v>1</v>
      </c>
      <c r="M181" s="76">
        <v>0</v>
      </c>
      <c r="N181" s="82" t="s">
        <v>10709</v>
      </c>
      <c r="O181" s="83"/>
    </row>
    <row r="182" spans="1:15" ht="22.5" customHeight="1">
      <c r="A182" s="76">
        <v>759724529202804</v>
      </c>
      <c r="B182" s="77" t="s">
        <v>10621</v>
      </c>
      <c r="C182" s="77" t="s">
        <v>10624</v>
      </c>
      <c r="D182" s="77" t="s">
        <v>190</v>
      </c>
      <c r="E182" s="77">
        <v>6281331854948</v>
      </c>
      <c r="F182" s="78">
        <v>45817</v>
      </c>
      <c r="G182" s="79">
        <v>904</v>
      </c>
      <c r="H182" s="80">
        <v>15193.672099712368</v>
      </c>
      <c r="I182" s="79">
        <v>23</v>
      </c>
      <c r="J182" s="81">
        <v>15847</v>
      </c>
      <c r="K182" s="76">
        <v>2</v>
      </c>
      <c r="L182" s="76">
        <v>395</v>
      </c>
      <c r="M182" s="76">
        <v>0</v>
      </c>
      <c r="N182" s="82" t="s">
        <v>10625</v>
      </c>
      <c r="O182" s="83"/>
    </row>
    <row r="183" spans="1:15" ht="22.5" customHeight="1">
      <c r="A183" s="76">
        <v>759724529202804</v>
      </c>
      <c r="B183" s="77" t="s">
        <v>10621</v>
      </c>
      <c r="C183" s="77" t="s">
        <v>206</v>
      </c>
      <c r="D183" s="77" t="s">
        <v>199</v>
      </c>
      <c r="E183" s="77">
        <v>6285220903499</v>
      </c>
      <c r="F183" s="78">
        <v>45817</v>
      </c>
      <c r="G183" s="79">
        <v>707</v>
      </c>
      <c r="H183" s="80">
        <v>18691.788526434193</v>
      </c>
      <c r="I183" s="79">
        <v>18</v>
      </c>
      <c r="J183" s="81">
        <v>16617</v>
      </c>
      <c r="K183" s="76">
        <v>4</v>
      </c>
      <c r="L183" s="76">
        <v>173</v>
      </c>
      <c r="M183" s="76">
        <v>0</v>
      </c>
      <c r="N183" s="82" t="s">
        <v>10628</v>
      </c>
      <c r="O183" s="83"/>
    </row>
    <row r="184" spans="1:15" ht="22.5" customHeight="1">
      <c r="A184" s="76">
        <v>759724529202804</v>
      </c>
      <c r="B184" s="77" t="s">
        <v>10621</v>
      </c>
      <c r="C184" s="77" t="s">
        <v>10634</v>
      </c>
      <c r="D184" s="77" t="s">
        <v>155</v>
      </c>
      <c r="E184" s="77">
        <v>6282154483973</v>
      </c>
      <c r="F184" s="78">
        <v>45817</v>
      </c>
      <c r="G184" s="79">
        <v>1464</v>
      </c>
      <c r="H184" s="80">
        <v>7976.7088607594933</v>
      </c>
      <c r="I184" s="79">
        <v>31</v>
      </c>
      <c r="J184" s="81">
        <v>15754</v>
      </c>
      <c r="K184" s="76">
        <v>3</v>
      </c>
      <c r="L184" s="76">
        <v>315</v>
      </c>
      <c r="M184" s="76">
        <v>0</v>
      </c>
      <c r="N184" s="82" t="s">
        <v>10635</v>
      </c>
      <c r="O184" s="83"/>
    </row>
    <row r="185" spans="1:15" ht="22.5" customHeight="1">
      <c r="A185" s="76">
        <v>759724529202804</v>
      </c>
      <c r="B185" s="77" t="s">
        <v>10621</v>
      </c>
      <c r="C185" s="77" t="s">
        <v>665</v>
      </c>
      <c r="D185" s="77" t="s">
        <v>659</v>
      </c>
      <c r="E185" s="77">
        <v>6285757057088</v>
      </c>
      <c r="F185" s="78">
        <v>45817</v>
      </c>
      <c r="G185" s="79">
        <v>657</v>
      </c>
      <c r="H185" s="80">
        <v>16679.064824654622</v>
      </c>
      <c r="I185" s="79">
        <v>29</v>
      </c>
      <c r="J185" s="81">
        <v>15695</v>
      </c>
      <c r="K185" s="76">
        <v>3</v>
      </c>
      <c r="L185" s="76">
        <v>1</v>
      </c>
      <c r="M185" s="76">
        <v>1</v>
      </c>
      <c r="N185" s="82" t="s">
        <v>10636</v>
      </c>
      <c r="O185" s="83"/>
    </row>
    <row r="186" spans="1:15" ht="22.5" customHeight="1">
      <c r="A186" s="76">
        <v>759724529202804</v>
      </c>
      <c r="B186" s="77" t="s">
        <v>10621</v>
      </c>
      <c r="C186" s="77" t="s">
        <v>10646</v>
      </c>
      <c r="D186" s="77" t="s">
        <v>10647</v>
      </c>
      <c r="E186" s="77">
        <v>6283129638348</v>
      </c>
      <c r="F186" s="78">
        <v>45817</v>
      </c>
      <c r="G186" s="79">
        <v>1704</v>
      </c>
      <c r="H186" s="80">
        <v>8680.9549647314161</v>
      </c>
      <c r="I186" s="79">
        <v>26</v>
      </c>
      <c r="J186" s="81">
        <v>15999</v>
      </c>
      <c r="K186" s="76">
        <v>2</v>
      </c>
      <c r="L186" s="76">
        <v>776</v>
      </c>
      <c r="M186" s="76">
        <v>0</v>
      </c>
      <c r="N186" s="82" t="s">
        <v>10648</v>
      </c>
      <c r="O186" s="83"/>
    </row>
    <row r="187" spans="1:15" ht="22.5" customHeight="1">
      <c r="A187" s="76">
        <v>759724529202804</v>
      </c>
      <c r="B187" s="77" t="s">
        <v>10621</v>
      </c>
      <c r="C187" s="77" t="s">
        <v>10649</v>
      </c>
      <c r="D187" s="77" t="s">
        <v>109</v>
      </c>
      <c r="E187" s="77">
        <v>6281549409606</v>
      </c>
      <c r="F187" s="78">
        <v>45817</v>
      </c>
      <c r="G187" s="79">
        <v>640</v>
      </c>
      <c r="H187" s="80">
        <v>24663.622526636223</v>
      </c>
      <c r="I187" s="79">
        <v>16</v>
      </c>
      <c r="J187" s="81">
        <v>16204</v>
      </c>
      <c r="K187" s="76">
        <v>1</v>
      </c>
      <c r="L187" s="76">
        <v>147</v>
      </c>
      <c r="M187" s="76">
        <v>0</v>
      </c>
      <c r="N187" s="82" t="s">
        <v>10650</v>
      </c>
      <c r="O187" s="83"/>
    </row>
    <row r="188" spans="1:15" ht="22.5" customHeight="1">
      <c r="A188" s="76">
        <v>174904221976312</v>
      </c>
      <c r="B188" s="77" t="s">
        <v>10651</v>
      </c>
      <c r="C188" s="77" t="s">
        <v>10727</v>
      </c>
      <c r="D188" s="77" t="s">
        <v>1044</v>
      </c>
      <c r="E188" s="77">
        <v>6281263113266</v>
      </c>
      <c r="F188" s="78">
        <v>45817</v>
      </c>
      <c r="G188" s="79">
        <v>4157</v>
      </c>
      <c r="H188" s="80">
        <v>9573.170731707316</v>
      </c>
      <c r="I188" s="79">
        <v>166</v>
      </c>
      <c r="J188" s="81">
        <v>44745</v>
      </c>
      <c r="K188" s="76">
        <v>19</v>
      </c>
      <c r="L188" s="76">
        <v>2146</v>
      </c>
      <c r="M188" s="76">
        <v>0</v>
      </c>
      <c r="N188" s="82" t="s">
        <v>10728</v>
      </c>
      <c r="O188" s="83"/>
    </row>
    <row r="189" spans="1:15" ht="22.5" customHeight="1">
      <c r="A189" s="76">
        <v>174904221976312</v>
      </c>
      <c r="B189" s="77" t="s">
        <v>10651</v>
      </c>
      <c r="C189" s="77" t="s">
        <v>10710</v>
      </c>
      <c r="D189" s="77" t="s">
        <v>10711</v>
      </c>
      <c r="E189" s="77"/>
      <c r="F189" s="78">
        <v>45817</v>
      </c>
      <c r="G189" s="79">
        <v>513</v>
      </c>
      <c r="H189" s="80">
        <v>24096.446700507615</v>
      </c>
      <c r="I189" s="79">
        <v>6</v>
      </c>
      <c r="J189" s="81">
        <v>14241</v>
      </c>
      <c r="K189" s="76">
        <v>0</v>
      </c>
      <c r="L189" s="76">
        <v>191</v>
      </c>
      <c r="M189" s="76">
        <v>0</v>
      </c>
      <c r="N189" s="82" t="s">
        <v>10712</v>
      </c>
      <c r="O189" s="83"/>
    </row>
    <row r="190" spans="1:15" ht="22.5" customHeight="1">
      <c r="A190" s="76">
        <v>174904221976312</v>
      </c>
      <c r="B190" s="77" t="s">
        <v>10651</v>
      </c>
      <c r="C190" s="77" t="s">
        <v>10693</v>
      </c>
      <c r="D190" s="77" t="s">
        <v>10694</v>
      </c>
      <c r="E190" s="77"/>
      <c r="F190" s="78">
        <v>45817</v>
      </c>
      <c r="G190" s="79">
        <v>253</v>
      </c>
      <c r="H190" s="80">
        <v>38524.137931034478</v>
      </c>
      <c r="I190" s="79">
        <v>9</v>
      </c>
      <c r="J190" s="81">
        <v>11172</v>
      </c>
      <c r="K190" s="76">
        <v>2</v>
      </c>
      <c r="L190" s="76">
        <v>13</v>
      </c>
      <c r="M190" s="76">
        <v>0</v>
      </c>
      <c r="N190" s="82" t="s">
        <v>10695</v>
      </c>
      <c r="O190" s="83"/>
    </row>
    <row r="191" spans="1:15" ht="22.5" customHeight="1">
      <c r="A191" s="76">
        <v>174904221976312</v>
      </c>
      <c r="B191" s="77" t="s">
        <v>10651</v>
      </c>
      <c r="C191" s="77" t="s">
        <v>10670</v>
      </c>
      <c r="D191" s="77" t="s">
        <v>10671</v>
      </c>
      <c r="E191" s="77">
        <v>6281399998259</v>
      </c>
      <c r="F191" s="78">
        <v>45817</v>
      </c>
      <c r="G191" s="79">
        <v>669</v>
      </c>
      <c r="H191" s="80">
        <v>15516.216216216217</v>
      </c>
      <c r="I191" s="79">
        <v>9</v>
      </c>
      <c r="J191" s="81">
        <v>11482</v>
      </c>
      <c r="K191" s="76">
        <v>1</v>
      </c>
      <c r="L191" s="76">
        <v>211</v>
      </c>
      <c r="M191" s="76">
        <v>0</v>
      </c>
      <c r="N191" s="82" t="s">
        <v>10672</v>
      </c>
      <c r="O191" s="83"/>
    </row>
    <row r="192" spans="1:15" ht="22.5" customHeight="1">
      <c r="A192" s="76">
        <v>174904221976312</v>
      </c>
      <c r="B192" s="77" t="s">
        <v>10651</v>
      </c>
      <c r="C192" s="77" t="s">
        <v>10652</v>
      </c>
      <c r="D192" s="77" t="s">
        <v>10653</v>
      </c>
      <c r="E192" s="77">
        <v>6281348555887</v>
      </c>
      <c r="F192" s="78">
        <v>45817</v>
      </c>
      <c r="G192" s="79">
        <v>858</v>
      </c>
      <c r="H192" s="80">
        <v>11158.746208291204</v>
      </c>
      <c r="I192" s="79">
        <v>25</v>
      </c>
      <c r="J192" s="81">
        <v>11036</v>
      </c>
      <c r="K192" s="76">
        <v>1</v>
      </c>
      <c r="L192" s="76">
        <v>275</v>
      </c>
      <c r="M192" s="76">
        <v>0</v>
      </c>
      <c r="N192" s="82" t="s">
        <v>10654</v>
      </c>
      <c r="O192" s="83"/>
    </row>
    <row r="193" spans="1:15" ht="22.5" customHeight="1">
      <c r="A193" s="76">
        <v>174904221976312</v>
      </c>
      <c r="B193" s="77" t="s">
        <v>10651</v>
      </c>
      <c r="C193" s="77" t="s">
        <v>10657</v>
      </c>
      <c r="D193" s="77" t="s">
        <v>1239</v>
      </c>
      <c r="E193" s="77">
        <v>6282172291579</v>
      </c>
      <c r="F193" s="78">
        <v>45817</v>
      </c>
      <c r="G193" s="79">
        <v>813</v>
      </c>
      <c r="H193" s="80">
        <v>13920.565832426551</v>
      </c>
      <c r="I193" s="79">
        <v>35</v>
      </c>
      <c r="J193" s="81">
        <v>12793</v>
      </c>
      <c r="K193" s="76">
        <v>4</v>
      </c>
      <c r="L193" s="76">
        <v>362</v>
      </c>
      <c r="M193" s="76">
        <v>1</v>
      </c>
      <c r="N193" s="82" t="s">
        <v>10658</v>
      </c>
      <c r="O193" s="83"/>
    </row>
    <row r="194" spans="1:15" ht="22.5" customHeight="1">
      <c r="A194" s="76">
        <v>174904221976312</v>
      </c>
      <c r="B194" s="77" t="s">
        <v>10651</v>
      </c>
      <c r="C194" s="77" t="s">
        <v>10659</v>
      </c>
      <c r="D194" s="77" t="s">
        <v>1044</v>
      </c>
      <c r="E194" s="77">
        <v>6281263113266</v>
      </c>
      <c r="F194" s="78">
        <v>45817</v>
      </c>
      <c r="G194" s="79">
        <v>10</v>
      </c>
      <c r="H194" s="80">
        <v>5272.7272727272721</v>
      </c>
      <c r="I194" s="79">
        <v>0</v>
      </c>
      <c r="J194" s="81">
        <v>58</v>
      </c>
      <c r="K194" s="76">
        <v>0</v>
      </c>
      <c r="L194" s="76">
        <v>2</v>
      </c>
      <c r="M194" s="76">
        <v>0</v>
      </c>
      <c r="N194" s="82" t="s">
        <v>10660</v>
      </c>
      <c r="O194" s="83"/>
    </row>
    <row r="195" spans="1:15" ht="22.5" customHeight="1">
      <c r="A195" s="76">
        <v>766589657993298</v>
      </c>
      <c r="B195" s="77" t="s">
        <v>10688</v>
      </c>
      <c r="C195" s="77" t="s">
        <v>10713</v>
      </c>
      <c r="D195" s="77" t="s">
        <v>10714</v>
      </c>
      <c r="E195" s="77">
        <v>6281219751312</v>
      </c>
      <c r="F195" s="78">
        <v>45817</v>
      </c>
      <c r="G195" s="79">
        <v>1154</v>
      </c>
      <c r="H195" s="80">
        <v>11672.573189522343</v>
      </c>
      <c r="I195" s="79">
        <v>22</v>
      </c>
      <c r="J195" s="81">
        <v>15151</v>
      </c>
      <c r="K195" s="76">
        <v>7</v>
      </c>
      <c r="L195" s="76">
        <v>145</v>
      </c>
      <c r="M195" s="76">
        <v>0</v>
      </c>
      <c r="N195" s="82" t="s">
        <v>10715</v>
      </c>
      <c r="O195" s="83"/>
    </row>
    <row r="196" spans="1:15" ht="22.5" customHeight="1">
      <c r="A196" s="76">
        <v>766589657993298</v>
      </c>
      <c r="B196" s="77" t="s">
        <v>10688</v>
      </c>
      <c r="C196" s="77" t="s">
        <v>10716</v>
      </c>
      <c r="D196" s="77" t="s">
        <v>10717</v>
      </c>
      <c r="E196" s="77">
        <v>6287845701116</v>
      </c>
      <c r="F196" s="78">
        <v>45817</v>
      </c>
      <c r="G196" s="79">
        <v>317</v>
      </c>
      <c r="H196" s="80">
        <v>21234.042553191488</v>
      </c>
      <c r="I196" s="79">
        <v>15</v>
      </c>
      <c r="J196" s="81">
        <v>7984</v>
      </c>
      <c r="K196" s="76">
        <v>1</v>
      </c>
      <c r="L196" s="76">
        <v>58</v>
      </c>
      <c r="M196" s="76">
        <v>0</v>
      </c>
      <c r="N196" s="82" t="s">
        <v>10718</v>
      </c>
      <c r="O196" s="83"/>
    </row>
    <row r="197" spans="1:15" ht="22.5" customHeight="1">
      <c r="A197" s="76">
        <v>766589657993298</v>
      </c>
      <c r="B197" s="77" t="s">
        <v>10688</v>
      </c>
      <c r="C197" s="77" t="s">
        <v>10719</v>
      </c>
      <c r="D197" s="77" t="s">
        <v>10720</v>
      </c>
      <c r="E197" s="77"/>
      <c r="F197" s="78">
        <v>45817</v>
      </c>
      <c r="G197" s="79">
        <v>160</v>
      </c>
      <c r="H197" s="80">
        <v>29971.264367816093</v>
      </c>
      <c r="I197" s="79">
        <v>4</v>
      </c>
      <c r="J197" s="81">
        <v>5215</v>
      </c>
      <c r="K197" s="76">
        <v>1</v>
      </c>
      <c r="L197" s="76">
        <v>44</v>
      </c>
      <c r="M197" s="76">
        <v>0</v>
      </c>
      <c r="N197" s="82" t="s">
        <v>10721</v>
      </c>
      <c r="O197" s="83"/>
    </row>
    <row r="198" spans="1:15" ht="22.5" customHeight="1">
      <c r="A198" s="76">
        <v>766589657993298</v>
      </c>
      <c r="B198" s="77" t="s">
        <v>10688</v>
      </c>
      <c r="C198" s="77" t="s">
        <v>10705</v>
      </c>
      <c r="D198" s="77" t="s">
        <v>10706</v>
      </c>
      <c r="E198" s="77">
        <v>6281904501876</v>
      </c>
      <c r="F198" s="78">
        <v>45817</v>
      </c>
      <c r="G198" s="79">
        <v>754</v>
      </c>
      <c r="H198" s="80">
        <v>17494.82163406214</v>
      </c>
      <c r="I198" s="79">
        <v>57</v>
      </c>
      <c r="J198" s="81">
        <v>15203</v>
      </c>
      <c r="K198" s="76">
        <v>17</v>
      </c>
      <c r="L198" s="76">
        <v>413</v>
      </c>
      <c r="M198" s="76">
        <v>0</v>
      </c>
      <c r="N198" s="82" t="s">
        <v>10707</v>
      </c>
      <c r="O198" s="83"/>
    </row>
    <row r="199" spans="1:15" ht="22.5" customHeight="1">
      <c r="A199" s="76">
        <v>766589657993298</v>
      </c>
      <c r="B199" s="77" t="s">
        <v>10688</v>
      </c>
      <c r="C199" s="77" t="s">
        <v>10722</v>
      </c>
      <c r="D199" s="77" t="s">
        <v>10723</v>
      </c>
      <c r="E199" s="77">
        <v>6281515877050</v>
      </c>
      <c r="F199" s="78">
        <v>45817</v>
      </c>
      <c r="G199" s="79">
        <v>169</v>
      </c>
      <c r="H199" s="80">
        <v>19219.780219780219</v>
      </c>
      <c r="I199" s="79">
        <v>1</v>
      </c>
      <c r="J199" s="81">
        <v>3498</v>
      </c>
      <c r="K199" s="76">
        <v>0</v>
      </c>
      <c r="L199" s="76">
        <v>66</v>
      </c>
      <c r="M199" s="76">
        <v>0</v>
      </c>
      <c r="N199" s="82" t="s">
        <v>10724</v>
      </c>
      <c r="O199" s="83"/>
    </row>
    <row r="200" spans="1:15" ht="22.5" customHeight="1">
      <c r="A200" s="76">
        <v>766589657993298</v>
      </c>
      <c r="B200" s="77" t="s">
        <v>10688</v>
      </c>
      <c r="C200" s="77" t="s">
        <v>10725</v>
      </c>
      <c r="D200" s="77" t="s">
        <v>297</v>
      </c>
      <c r="E200" s="77">
        <v>6281384925770</v>
      </c>
      <c r="F200" s="78">
        <v>45817</v>
      </c>
      <c r="G200" s="79">
        <v>182</v>
      </c>
      <c r="H200" s="80">
        <v>33625.615763546797</v>
      </c>
      <c r="I200" s="79">
        <v>2</v>
      </c>
      <c r="J200" s="81">
        <v>6826</v>
      </c>
      <c r="K200" s="76">
        <v>1</v>
      </c>
      <c r="L200" s="76">
        <v>60</v>
      </c>
      <c r="M200" s="76">
        <v>0</v>
      </c>
      <c r="N200" s="82" t="s">
        <v>10726</v>
      </c>
      <c r="O200" s="83"/>
    </row>
    <row r="201" spans="1:15" ht="22.5" customHeight="1">
      <c r="A201" s="76">
        <v>766589657993298</v>
      </c>
      <c r="B201" s="77" t="s">
        <v>10688</v>
      </c>
      <c r="C201" s="77" t="s">
        <v>10698</v>
      </c>
      <c r="D201" s="77" t="s">
        <v>10699</v>
      </c>
      <c r="E201" s="77">
        <v>62812</v>
      </c>
      <c r="F201" s="78">
        <v>45817</v>
      </c>
      <c r="G201" s="79">
        <v>148</v>
      </c>
      <c r="H201" s="80">
        <v>63867.088607594938</v>
      </c>
      <c r="I201" s="79">
        <v>1</v>
      </c>
      <c r="J201" s="81">
        <v>10091</v>
      </c>
      <c r="K201" s="76">
        <v>0</v>
      </c>
      <c r="L201" s="76">
        <v>45</v>
      </c>
      <c r="M201" s="76">
        <v>0</v>
      </c>
      <c r="N201" s="82" t="s">
        <v>10700</v>
      </c>
      <c r="O201" s="83"/>
    </row>
    <row r="202" spans="1:15" ht="22.5" customHeight="1">
      <c r="A202" s="76">
        <v>766589657993298</v>
      </c>
      <c r="B202" s="77" t="s">
        <v>10688</v>
      </c>
      <c r="C202" s="77" t="s">
        <v>10701</v>
      </c>
      <c r="D202" s="77" t="s">
        <v>5669</v>
      </c>
      <c r="E202" s="77">
        <v>6282288123215</v>
      </c>
      <c r="F202" s="78">
        <v>45817</v>
      </c>
      <c r="G202" s="79">
        <v>1221</v>
      </c>
      <c r="H202" s="80">
        <v>9655.0245098039213</v>
      </c>
      <c r="I202" s="79">
        <v>32</v>
      </c>
      <c r="J202" s="81">
        <v>15757</v>
      </c>
      <c r="K202" s="76">
        <v>4</v>
      </c>
      <c r="L202" s="76">
        <v>353</v>
      </c>
      <c r="M202" s="76">
        <v>0</v>
      </c>
      <c r="N202" s="82" t="s">
        <v>10702</v>
      </c>
      <c r="O202" s="83"/>
    </row>
    <row r="203" spans="1:15" ht="22.5" customHeight="1">
      <c r="A203" s="76">
        <v>759724529202804</v>
      </c>
      <c r="B203" s="77" t="s">
        <v>10621</v>
      </c>
      <c r="C203" s="77" t="s">
        <v>250</v>
      </c>
      <c r="D203" s="77" t="s">
        <v>10729</v>
      </c>
      <c r="E203" s="77">
        <v>6282274447649</v>
      </c>
      <c r="F203" s="78">
        <v>45818</v>
      </c>
      <c r="G203" s="79">
        <v>73</v>
      </c>
      <c r="H203" s="80">
        <v>15148.648648648648</v>
      </c>
      <c r="I203" s="79">
        <v>2</v>
      </c>
      <c r="J203" s="81">
        <v>1121</v>
      </c>
      <c r="K203" s="76">
        <v>1</v>
      </c>
      <c r="L203" s="76">
        <v>11</v>
      </c>
      <c r="M203" s="76">
        <v>0</v>
      </c>
      <c r="N203" s="82" t="s">
        <v>10730</v>
      </c>
      <c r="O203" s="83"/>
    </row>
    <row r="204" spans="1:15" ht="22.5" customHeight="1">
      <c r="A204" s="76">
        <v>759724529202804</v>
      </c>
      <c r="B204" s="77" t="s">
        <v>10621</v>
      </c>
      <c r="C204" s="77" t="s">
        <v>332</v>
      </c>
      <c r="D204" s="77" t="s">
        <v>10708</v>
      </c>
      <c r="E204" s="77">
        <v>6282350524788</v>
      </c>
      <c r="F204" s="78">
        <v>45818</v>
      </c>
      <c r="G204" s="79">
        <v>1209</v>
      </c>
      <c r="H204" s="80">
        <v>10669.7247706422</v>
      </c>
      <c r="I204" s="79">
        <v>35</v>
      </c>
      <c r="J204" s="81">
        <v>15119</v>
      </c>
      <c r="K204" s="76">
        <v>4</v>
      </c>
      <c r="L204" s="76">
        <v>0</v>
      </c>
      <c r="M204" s="76">
        <v>0</v>
      </c>
      <c r="N204" s="82" t="s">
        <v>10709</v>
      </c>
      <c r="O204" s="83"/>
    </row>
    <row r="205" spans="1:15" ht="22.5" customHeight="1">
      <c r="A205" s="76">
        <v>759724529202804</v>
      </c>
      <c r="B205" s="77" t="s">
        <v>10621</v>
      </c>
      <c r="C205" s="77" t="s">
        <v>10624</v>
      </c>
      <c r="D205" s="77" t="s">
        <v>190</v>
      </c>
      <c r="E205" s="77">
        <v>6281331854948</v>
      </c>
      <c r="F205" s="78">
        <v>45818</v>
      </c>
      <c r="G205" s="79">
        <v>850</v>
      </c>
      <c r="H205" s="80">
        <v>16184.237461617195</v>
      </c>
      <c r="I205" s="79">
        <v>18</v>
      </c>
      <c r="J205" s="81">
        <v>15812</v>
      </c>
      <c r="K205" s="76">
        <v>0</v>
      </c>
      <c r="L205" s="76">
        <v>336</v>
      </c>
      <c r="M205" s="76">
        <v>0</v>
      </c>
      <c r="N205" s="82" t="s">
        <v>10625</v>
      </c>
      <c r="O205" s="83"/>
    </row>
    <row r="206" spans="1:15" ht="22.5" customHeight="1">
      <c r="A206" s="76">
        <v>759724529202804</v>
      </c>
      <c r="B206" s="77" t="s">
        <v>10621</v>
      </c>
      <c r="C206" s="77" t="s">
        <v>206</v>
      </c>
      <c r="D206" s="77" t="s">
        <v>199</v>
      </c>
      <c r="E206" s="77">
        <v>6285220903499</v>
      </c>
      <c r="F206" s="78">
        <v>45818</v>
      </c>
      <c r="G206" s="79">
        <v>582</v>
      </c>
      <c r="H206" s="80">
        <v>20608.040201005024</v>
      </c>
      <c r="I206" s="79">
        <v>29</v>
      </c>
      <c r="J206" s="81">
        <v>16404</v>
      </c>
      <c r="K206" s="76">
        <v>3</v>
      </c>
      <c r="L206" s="76">
        <v>155</v>
      </c>
      <c r="M206" s="76">
        <v>1</v>
      </c>
      <c r="N206" s="82" t="s">
        <v>10628</v>
      </c>
      <c r="O206" s="83"/>
    </row>
    <row r="207" spans="1:15" ht="22.5" customHeight="1">
      <c r="A207" s="76">
        <v>759724529202804</v>
      </c>
      <c r="B207" s="77" t="s">
        <v>10621</v>
      </c>
      <c r="C207" s="77" t="s">
        <v>10634</v>
      </c>
      <c r="D207" s="77" t="s">
        <v>155</v>
      </c>
      <c r="E207" s="77">
        <v>6282154483973</v>
      </c>
      <c r="F207" s="78">
        <v>45818</v>
      </c>
      <c r="G207" s="79">
        <v>1915</v>
      </c>
      <c r="H207" s="80">
        <v>7383.8862559241707</v>
      </c>
      <c r="I207" s="79">
        <v>25</v>
      </c>
      <c r="J207" s="81">
        <v>17138</v>
      </c>
      <c r="K207" s="76">
        <v>0</v>
      </c>
      <c r="L207" s="76">
        <v>353</v>
      </c>
      <c r="M207" s="76">
        <v>1</v>
      </c>
      <c r="N207" s="82" t="s">
        <v>10635</v>
      </c>
      <c r="O207" s="83"/>
    </row>
    <row r="208" spans="1:15" ht="22.5" customHeight="1">
      <c r="A208" s="76">
        <v>759724529202804</v>
      </c>
      <c r="B208" s="77" t="s">
        <v>10621</v>
      </c>
      <c r="C208" s="77" t="s">
        <v>665</v>
      </c>
      <c r="D208" s="77" t="s">
        <v>659</v>
      </c>
      <c r="E208" s="77">
        <v>6285757057088</v>
      </c>
      <c r="F208" s="78">
        <v>45818</v>
      </c>
      <c r="G208" s="79">
        <v>874</v>
      </c>
      <c r="H208" s="80">
        <v>14662.835249042146</v>
      </c>
      <c r="I208" s="79">
        <v>19</v>
      </c>
      <c r="J208" s="81">
        <v>15308</v>
      </c>
      <c r="K208" s="76">
        <v>1</v>
      </c>
      <c r="L208" s="76">
        <v>0</v>
      </c>
      <c r="M208" s="76">
        <v>0</v>
      </c>
      <c r="N208" s="82" t="s">
        <v>10636</v>
      </c>
      <c r="O208" s="83"/>
    </row>
    <row r="209" spans="1:15" ht="22.5" customHeight="1">
      <c r="A209" s="76">
        <v>759724529202804</v>
      </c>
      <c r="B209" s="77" t="s">
        <v>10621</v>
      </c>
      <c r="C209" s="77" t="s">
        <v>10646</v>
      </c>
      <c r="D209" s="77" t="s">
        <v>10647</v>
      </c>
      <c r="E209" s="77">
        <v>6283129638348</v>
      </c>
      <c r="F209" s="78">
        <v>45818</v>
      </c>
      <c r="G209" s="79">
        <v>1232</v>
      </c>
      <c r="H209" s="80">
        <v>10919.804741980475</v>
      </c>
      <c r="I209" s="79">
        <v>18</v>
      </c>
      <c r="J209" s="81">
        <v>15659</v>
      </c>
      <c r="K209" s="76">
        <v>1</v>
      </c>
      <c r="L209" s="76">
        <v>192</v>
      </c>
      <c r="M209" s="76">
        <v>0</v>
      </c>
      <c r="N209" s="82" t="s">
        <v>10648</v>
      </c>
      <c r="O209" s="83"/>
    </row>
    <row r="210" spans="1:15" ht="22.5" customHeight="1">
      <c r="A210" s="76">
        <v>759724529202804</v>
      </c>
      <c r="B210" s="77" t="s">
        <v>10621</v>
      </c>
      <c r="C210" s="77" t="s">
        <v>10649</v>
      </c>
      <c r="D210" s="77" t="s">
        <v>109</v>
      </c>
      <c r="E210" s="77">
        <v>6281549409606</v>
      </c>
      <c r="F210" s="78">
        <v>45818</v>
      </c>
      <c r="G210" s="79">
        <v>876</v>
      </c>
      <c r="H210" s="80">
        <v>15357.824427480915</v>
      </c>
      <c r="I210" s="79">
        <v>26</v>
      </c>
      <c r="J210" s="81">
        <v>16095</v>
      </c>
      <c r="K210" s="76">
        <v>4</v>
      </c>
      <c r="L210" s="76">
        <v>37</v>
      </c>
      <c r="M210" s="76">
        <v>0</v>
      </c>
      <c r="N210" s="82" t="s">
        <v>10650</v>
      </c>
      <c r="O210" s="83"/>
    </row>
    <row r="211" spans="1:15" ht="22.5" customHeight="1">
      <c r="A211" s="76">
        <v>174904221976312</v>
      </c>
      <c r="B211" s="77" t="s">
        <v>10651</v>
      </c>
      <c r="C211" s="77" t="s">
        <v>10727</v>
      </c>
      <c r="D211" s="77" t="s">
        <v>1044</v>
      </c>
      <c r="E211" s="77">
        <v>6281263113266</v>
      </c>
      <c r="F211" s="78">
        <v>45818</v>
      </c>
      <c r="G211" s="79">
        <v>898</v>
      </c>
      <c r="H211" s="80">
        <v>11003.921568627451</v>
      </c>
      <c r="I211" s="79">
        <v>40</v>
      </c>
      <c r="J211" s="81">
        <v>11224</v>
      </c>
      <c r="K211" s="76">
        <v>1</v>
      </c>
      <c r="L211" s="76">
        <v>216</v>
      </c>
      <c r="M211" s="76">
        <v>0</v>
      </c>
      <c r="N211" s="82" t="s">
        <v>10728</v>
      </c>
      <c r="O211" s="83"/>
    </row>
    <row r="212" spans="1:15" ht="22.5" customHeight="1">
      <c r="A212" s="76">
        <v>174904221976312</v>
      </c>
      <c r="B212" s="77" t="s">
        <v>10651</v>
      </c>
      <c r="C212" s="77" t="s">
        <v>10670</v>
      </c>
      <c r="D212" s="77" t="s">
        <v>10671</v>
      </c>
      <c r="E212" s="77">
        <v>6281399998259</v>
      </c>
      <c r="F212" s="78">
        <v>45818</v>
      </c>
      <c r="G212" s="79">
        <v>696</v>
      </c>
      <c r="H212" s="80">
        <v>12159.841479524439</v>
      </c>
      <c r="I212" s="79">
        <v>11</v>
      </c>
      <c r="J212" s="81">
        <v>9205</v>
      </c>
      <c r="K212" s="76">
        <v>0</v>
      </c>
      <c r="L212" s="76">
        <v>205</v>
      </c>
      <c r="M212" s="76">
        <v>0</v>
      </c>
      <c r="N212" s="82" t="s">
        <v>10672</v>
      </c>
      <c r="O212" s="83"/>
    </row>
    <row r="213" spans="1:15" ht="22.5" customHeight="1">
      <c r="A213" s="76">
        <v>174904221976312</v>
      </c>
      <c r="B213" s="77" t="s">
        <v>10651</v>
      </c>
      <c r="C213" s="77" t="s">
        <v>10652</v>
      </c>
      <c r="D213" s="77" t="s">
        <v>10653</v>
      </c>
      <c r="E213" s="77">
        <v>6281348555887</v>
      </c>
      <c r="F213" s="78">
        <v>45818</v>
      </c>
      <c r="G213" s="79">
        <v>959</v>
      </c>
      <c r="H213" s="80">
        <v>13229.464285714286</v>
      </c>
      <c r="I213" s="79">
        <v>29</v>
      </c>
      <c r="J213" s="81">
        <v>14817</v>
      </c>
      <c r="K213" s="76">
        <v>0</v>
      </c>
      <c r="L213" s="76">
        <v>321</v>
      </c>
      <c r="M213" s="76">
        <v>0</v>
      </c>
      <c r="N213" s="82" t="s">
        <v>10654</v>
      </c>
      <c r="O213" s="83"/>
    </row>
    <row r="214" spans="1:15" ht="22.5" customHeight="1">
      <c r="A214" s="76">
        <v>174904221976312</v>
      </c>
      <c r="B214" s="77" t="s">
        <v>10651</v>
      </c>
      <c r="C214" s="77" t="s">
        <v>10731</v>
      </c>
      <c r="D214" s="77" t="s">
        <v>10732</v>
      </c>
      <c r="E214" s="77">
        <v>6281241440688</v>
      </c>
      <c r="F214" s="78">
        <v>45818</v>
      </c>
      <c r="G214" s="79">
        <v>1634</v>
      </c>
      <c r="H214" s="80">
        <v>7228.5418821096173</v>
      </c>
      <c r="I214" s="79">
        <v>32</v>
      </c>
      <c r="J214" s="81">
        <v>13980</v>
      </c>
      <c r="K214" s="76">
        <v>0</v>
      </c>
      <c r="L214" s="76">
        <v>642</v>
      </c>
      <c r="M214" s="76">
        <v>0</v>
      </c>
      <c r="N214" s="82" t="s">
        <v>10733</v>
      </c>
      <c r="O214" s="83"/>
    </row>
    <row r="215" spans="1:15" ht="22.5" customHeight="1">
      <c r="A215" s="76">
        <v>766589657993298</v>
      </c>
      <c r="B215" s="77" t="s">
        <v>10688</v>
      </c>
      <c r="C215" s="77" t="s">
        <v>10734</v>
      </c>
      <c r="D215" s="77" t="s">
        <v>10735</v>
      </c>
      <c r="E215" s="77">
        <v>6283134740502</v>
      </c>
      <c r="F215" s="78">
        <v>45818</v>
      </c>
      <c r="G215" s="79">
        <v>168</v>
      </c>
      <c r="H215" s="80">
        <v>57279.069767441862</v>
      </c>
      <c r="I215" s="79">
        <v>1</v>
      </c>
      <c r="J215" s="81">
        <v>9852</v>
      </c>
      <c r="K215" s="76">
        <v>0</v>
      </c>
      <c r="L215" s="76">
        <v>44</v>
      </c>
      <c r="M215" s="76">
        <v>0</v>
      </c>
      <c r="N215" s="82" t="s">
        <v>10736</v>
      </c>
      <c r="O215" s="83"/>
    </row>
    <row r="216" spans="1:15" ht="22.5" customHeight="1">
      <c r="A216" s="76">
        <v>766589657993298</v>
      </c>
      <c r="B216" s="77" t="s">
        <v>10688</v>
      </c>
      <c r="C216" s="77" t="s">
        <v>10713</v>
      </c>
      <c r="D216" s="77" t="s">
        <v>10714</v>
      </c>
      <c r="E216" s="77">
        <v>6281219751312</v>
      </c>
      <c r="F216" s="78">
        <v>45818</v>
      </c>
      <c r="G216" s="79">
        <v>113</v>
      </c>
      <c r="H216" s="80">
        <v>23663.793103448279</v>
      </c>
      <c r="I216" s="79">
        <v>1</v>
      </c>
      <c r="J216" s="81">
        <v>2745</v>
      </c>
      <c r="K216" s="76">
        <v>0</v>
      </c>
      <c r="L216" s="76">
        <v>0</v>
      </c>
      <c r="M216" s="76">
        <v>0</v>
      </c>
      <c r="N216" s="82" t="s">
        <v>10715</v>
      </c>
      <c r="O216" s="83"/>
    </row>
    <row r="217" spans="1:15" ht="22.5" customHeight="1">
      <c r="A217" s="76">
        <v>766589657993298</v>
      </c>
      <c r="B217" s="77" t="s">
        <v>10688</v>
      </c>
      <c r="C217" s="77" t="s">
        <v>10716</v>
      </c>
      <c r="D217" s="77" t="s">
        <v>10717</v>
      </c>
      <c r="E217" s="77">
        <v>6287845701116</v>
      </c>
      <c r="F217" s="78">
        <v>45818</v>
      </c>
      <c r="G217" s="79">
        <v>334</v>
      </c>
      <c r="H217" s="80">
        <v>24440.54054054054</v>
      </c>
      <c r="I217" s="79">
        <v>4</v>
      </c>
      <c r="J217" s="81">
        <v>9043</v>
      </c>
      <c r="K217" s="76">
        <v>1</v>
      </c>
      <c r="L217" s="76">
        <v>30</v>
      </c>
      <c r="M217" s="76">
        <v>0</v>
      </c>
      <c r="N217" s="82" t="s">
        <v>10718</v>
      </c>
      <c r="O217" s="83"/>
    </row>
    <row r="218" spans="1:15" ht="22.5" customHeight="1">
      <c r="A218" s="76">
        <v>766589657993298</v>
      </c>
      <c r="B218" s="77" t="s">
        <v>10688</v>
      </c>
      <c r="C218" s="77" t="s">
        <v>10705</v>
      </c>
      <c r="D218" s="77" t="s">
        <v>10706</v>
      </c>
      <c r="E218" s="77">
        <v>6281904501876</v>
      </c>
      <c r="F218" s="78">
        <v>45818</v>
      </c>
      <c r="G218" s="79">
        <v>921</v>
      </c>
      <c r="H218" s="80">
        <v>15773.143438453713</v>
      </c>
      <c r="I218" s="79">
        <v>46</v>
      </c>
      <c r="J218" s="81">
        <v>15505</v>
      </c>
      <c r="K218" s="76">
        <v>13</v>
      </c>
      <c r="L218" s="76">
        <v>521</v>
      </c>
      <c r="M218" s="76">
        <v>0</v>
      </c>
      <c r="N218" s="82" t="s">
        <v>10707</v>
      </c>
      <c r="O218" s="83"/>
    </row>
    <row r="219" spans="1:15" ht="22.5" customHeight="1">
      <c r="A219" s="76">
        <v>766589657993298</v>
      </c>
      <c r="B219" s="77" t="s">
        <v>10688</v>
      </c>
      <c r="C219" s="77" t="s">
        <v>10725</v>
      </c>
      <c r="D219" s="77" t="s">
        <v>297</v>
      </c>
      <c r="E219" s="77">
        <v>6281384925770</v>
      </c>
      <c r="F219" s="78">
        <v>45818</v>
      </c>
      <c r="G219" s="79">
        <v>104</v>
      </c>
      <c r="H219" s="80">
        <v>25652.173913043476</v>
      </c>
      <c r="I219" s="79">
        <v>1</v>
      </c>
      <c r="J219" s="81">
        <v>2950</v>
      </c>
      <c r="K219" s="76">
        <v>0</v>
      </c>
      <c r="L219" s="76">
        <v>38</v>
      </c>
      <c r="M219" s="76">
        <v>0</v>
      </c>
      <c r="N219" s="82" t="s">
        <v>10726</v>
      </c>
      <c r="O219" s="83"/>
    </row>
    <row r="220" spans="1:15" ht="22.5" customHeight="1">
      <c r="A220" s="76">
        <v>766589657993298</v>
      </c>
      <c r="B220" s="77" t="s">
        <v>10688</v>
      </c>
      <c r="C220" s="77" t="s">
        <v>10701</v>
      </c>
      <c r="D220" s="77" t="s">
        <v>5669</v>
      </c>
      <c r="E220" s="77">
        <v>6282288123215</v>
      </c>
      <c r="F220" s="78">
        <v>45818</v>
      </c>
      <c r="G220" s="79">
        <v>1069</v>
      </c>
      <c r="H220" s="80">
        <v>9671.232876712329</v>
      </c>
      <c r="I220" s="79">
        <v>26</v>
      </c>
      <c r="J220" s="81">
        <v>12708</v>
      </c>
      <c r="K220" s="76">
        <v>0</v>
      </c>
      <c r="L220" s="76">
        <v>286</v>
      </c>
      <c r="M220" s="76">
        <v>0</v>
      </c>
      <c r="N220" s="82" t="s">
        <v>10702</v>
      </c>
      <c r="O220" s="83"/>
    </row>
    <row r="221" spans="1:15" ht="22.5" customHeight="1">
      <c r="A221" s="76">
        <v>759724529202804</v>
      </c>
      <c r="B221" s="77" t="s">
        <v>10621</v>
      </c>
      <c r="C221" s="77" t="s">
        <v>250</v>
      </c>
      <c r="D221" s="77" t="s">
        <v>10729</v>
      </c>
      <c r="E221" s="77">
        <v>6282274447649</v>
      </c>
      <c r="F221" s="78">
        <v>45819</v>
      </c>
      <c r="G221" s="79">
        <v>463</v>
      </c>
      <c r="H221" s="80">
        <v>31116.357504215852</v>
      </c>
      <c r="I221" s="79">
        <v>22</v>
      </c>
      <c r="J221" s="81">
        <v>18452</v>
      </c>
      <c r="K221" s="76">
        <v>5</v>
      </c>
      <c r="L221" s="76">
        <v>0</v>
      </c>
      <c r="M221" s="76">
        <v>0</v>
      </c>
      <c r="N221" s="82" t="s">
        <v>10730</v>
      </c>
      <c r="O221" s="83"/>
    </row>
    <row r="222" spans="1:15" ht="22.5" customHeight="1">
      <c r="A222" s="76">
        <v>759724529202804</v>
      </c>
      <c r="B222" s="77" t="s">
        <v>10621</v>
      </c>
      <c r="C222" s="77" t="s">
        <v>332</v>
      </c>
      <c r="D222" s="77" t="s">
        <v>10708</v>
      </c>
      <c r="E222" s="77">
        <v>6282350524788</v>
      </c>
      <c r="F222" s="78">
        <v>45819</v>
      </c>
      <c r="G222" s="79">
        <v>1331</v>
      </c>
      <c r="H222" s="80">
        <v>12269.281914893616</v>
      </c>
      <c r="I222" s="79">
        <v>33</v>
      </c>
      <c r="J222" s="81">
        <v>18453</v>
      </c>
      <c r="K222" s="76">
        <v>2</v>
      </c>
      <c r="L222" s="76">
        <v>106</v>
      </c>
      <c r="M222" s="76">
        <v>0</v>
      </c>
      <c r="N222" s="82" t="s">
        <v>10709</v>
      </c>
      <c r="O222" s="83"/>
    </row>
    <row r="223" spans="1:15" ht="22.5" customHeight="1">
      <c r="A223" s="76">
        <v>759724529202804</v>
      </c>
      <c r="B223" s="77" t="s">
        <v>10621</v>
      </c>
      <c r="C223" s="77" t="s">
        <v>10624</v>
      </c>
      <c r="D223" s="77" t="s">
        <v>190</v>
      </c>
      <c r="E223" s="77">
        <v>6281331854948</v>
      </c>
      <c r="F223" s="78">
        <v>45819</v>
      </c>
      <c r="G223" s="79">
        <v>741</v>
      </c>
      <c r="H223" s="80">
        <v>15970</v>
      </c>
      <c r="I223" s="79">
        <v>9</v>
      </c>
      <c r="J223" s="81">
        <v>12776</v>
      </c>
      <c r="K223" s="76">
        <v>0</v>
      </c>
      <c r="L223" s="76">
        <v>294</v>
      </c>
      <c r="M223" s="76">
        <v>0</v>
      </c>
      <c r="N223" s="82" t="s">
        <v>10625</v>
      </c>
      <c r="O223" s="83"/>
    </row>
    <row r="224" spans="1:15" ht="22.5" customHeight="1">
      <c r="A224" s="76">
        <v>759724529202804</v>
      </c>
      <c r="B224" s="77" t="s">
        <v>10621</v>
      </c>
      <c r="C224" s="77" t="s">
        <v>206</v>
      </c>
      <c r="D224" s="77" t="s">
        <v>199</v>
      </c>
      <c r="E224" s="77">
        <v>6285220903499</v>
      </c>
      <c r="F224" s="78">
        <v>45819</v>
      </c>
      <c r="G224" s="79">
        <v>616</v>
      </c>
      <c r="H224" s="80">
        <v>18754.320987654322</v>
      </c>
      <c r="I224" s="79">
        <v>26</v>
      </c>
      <c r="J224" s="81">
        <v>15191</v>
      </c>
      <c r="K224" s="76">
        <v>4</v>
      </c>
      <c r="L224" s="76">
        <v>200</v>
      </c>
      <c r="M224" s="76">
        <v>0</v>
      </c>
      <c r="N224" s="82" t="s">
        <v>10628</v>
      </c>
      <c r="O224" s="83"/>
    </row>
    <row r="225" spans="1:15" ht="22.5" customHeight="1">
      <c r="A225" s="76">
        <v>759724529202804</v>
      </c>
      <c r="B225" s="77" t="s">
        <v>10621</v>
      </c>
      <c r="C225" s="77" t="s">
        <v>665</v>
      </c>
      <c r="D225" s="77" t="s">
        <v>659</v>
      </c>
      <c r="E225" s="77">
        <v>6285757057088</v>
      </c>
      <c r="F225" s="78">
        <v>45819</v>
      </c>
      <c r="G225" s="79">
        <v>734</v>
      </c>
      <c r="H225" s="80">
        <v>16432.160804020099</v>
      </c>
      <c r="I225" s="79">
        <v>29</v>
      </c>
      <c r="J225" s="81">
        <v>16350</v>
      </c>
      <c r="K225" s="76">
        <v>2</v>
      </c>
      <c r="L225" s="76">
        <v>0</v>
      </c>
      <c r="M225" s="76">
        <v>0</v>
      </c>
      <c r="N225" s="82" t="s">
        <v>10636</v>
      </c>
      <c r="O225" s="83"/>
    </row>
    <row r="226" spans="1:15" ht="22.5" customHeight="1">
      <c r="A226" s="76">
        <v>759724529202804</v>
      </c>
      <c r="B226" s="77" t="s">
        <v>10621</v>
      </c>
      <c r="C226" s="77" t="s">
        <v>10646</v>
      </c>
      <c r="D226" s="77" t="s">
        <v>10647</v>
      </c>
      <c r="E226" s="77">
        <v>6283129638348</v>
      </c>
      <c r="F226" s="78">
        <v>45819</v>
      </c>
      <c r="G226" s="79">
        <v>929</v>
      </c>
      <c r="H226" s="80">
        <v>10053.698074974671</v>
      </c>
      <c r="I226" s="79">
        <v>14</v>
      </c>
      <c r="J226" s="81">
        <v>9923</v>
      </c>
      <c r="K226" s="76">
        <v>0</v>
      </c>
      <c r="L226" s="76">
        <v>516</v>
      </c>
      <c r="M226" s="76">
        <v>1</v>
      </c>
      <c r="N226" s="82" t="s">
        <v>10648</v>
      </c>
      <c r="O226" s="83"/>
    </row>
    <row r="227" spans="1:15" ht="22.5" customHeight="1">
      <c r="A227" s="76">
        <v>759724529202804</v>
      </c>
      <c r="B227" s="77" t="s">
        <v>10621</v>
      </c>
      <c r="C227" s="77" t="s">
        <v>10649</v>
      </c>
      <c r="D227" s="77" t="s">
        <v>109</v>
      </c>
      <c r="E227" s="77">
        <v>6281549409606</v>
      </c>
      <c r="F227" s="78">
        <v>45819</v>
      </c>
      <c r="G227" s="79">
        <v>932</v>
      </c>
      <c r="H227" s="80">
        <v>17069.97084548105</v>
      </c>
      <c r="I227" s="79">
        <v>23</v>
      </c>
      <c r="J227" s="81">
        <v>17565</v>
      </c>
      <c r="K227" s="76">
        <v>1</v>
      </c>
      <c r="L227" s="76">
        <v>261</v>
      </c>
      <c r="M227" s="76">
        <v>0</v>
      </c>
      <c r="N227" s="82" t="s">
        <v>10650</v>
      </c>
      <c r="O227" s="83"/>
    </row>
    <row r="228" spans="1:15" ht="22.5" customHeight="1">
      <c r="A228" s="76">
        <v>174904221976312</v>
      </c>
      <c r="B228" s="77" t="s">
        <v>10651</v>
      </c>
      <c r="C228" s="77" t="s">
        <v>311</v>
      </c>
      <c r="D228" s="77" t="s">
        <v>10737</v>
      </c>
      <c r="E228" s="77">
        <v>628988759290</v>
      </c>
      <c r="F228" s="78">
        <v>45819</v>
      </c>
      <c r="G228" s="79">
        <v>921</v>
      </c>
      <c r="H228" s="80">
        <v>11437.221727515584</v>
      </c>
      <c r="I228" s="79">
        <v>32</v>
      </c>
      <c r="J228" s="81">
        <v>12844</v>
      </c>
      <c r="K228" s="76">
        <v>8</v>
      </c>
      <c r="L228" s="76">
        <v>280</v>
      </c>
      <c r="M228" s="76">
        <v>0</v>
      </c>
      <c r="N228" s="82" t="s">
        <v>10738</v>
      </c>
      <c r="O228" s="83"/>
    </row>
    <row r="229" spans="1:15" ht="22.5" customHeight="1">
      <c r="A229" s="76">
        <v>174904221976312</v>
      </c>
      <c r="B229" s="77" t="s">
        <v>10651</v>
      </c>
      <c r="C229" s="77" t="s">
        <v>10727</v>
      </c>
      <c r="D229" s="77" t="s">
        <v>1044</v>
      </c>
      <c r="E229" s="77">
        <v>6281263113266</v>
      </c>
      <c r="F229" s="78">
        <v>45819</v>
      </c>
      <c r="G229" s="79">
        <v>1394</v>
      </c>
      <c r="H229" s="80">
        <v>9307.0917371502928</v>
      </c>
      <c r="I229" s="79">
        <v>74</v>
      </c>
      <c r="J229" s="81">
        <v>14305</v>
      </c>
      <c r="K229" s="76">
        <v>3</v>
      </c>
      <c r="L229" s="76">
        <v>654</v>
      </c>
      <c r="M229" s="76">
        <v>0</v>
      </c>
      <c r="N229" s="82" t="s">
        <v>10728</v>
      </c>
      <c r="O229" s="83"/>
    </row>
    <row r="230" spans="1:15" ht="22.5" customHeight="1">
      <c r="A230" s="76">
        <v>174904221976312</v>
      </c>
      <c r="B230" s="77" t="s">
        <v>10651</v>
      </c>
      <c r="C230" s="77" t="s">
        <v>10670</v>
      </c>
      <c r="D230" s="77" t="s">
        <v>10671</v>
      </c>
      <c r="E230" s="77">
        <v>6281399998259</v>
      </c>
      <c r="F230" s="78">
        <v>45819</v>
      </c>
      <c r="G230" s="79">
        <v>73</v>
      </c>
      <c r="H230" s="80">
        <v>18373.333333333336</v>
      </c>
      <c r="I230" s="79">
        <v>1</v>
      </c>
      <c r="J230" s="81">
        <v>1378</v>
      </c>
      <c r="K230" s="76">
        <v>0</v>
      </c>
      <c r="L230" s="76">
        <v>15</v>
      </c>
      <c r="M230" s="76">
        <v>0</v>
      </c>
      <c r="N230" s="82" t="s">
        <v>10672</v>
      </c>
      <c r="O230" s="83"/>
    </row>
    <row r="231" spans="1:15" ht="22.5" customHeight="1">
      <c r="A231" s="76">
        <v>174904221976312</v>
      </c>
      <c r="B231" s="77" t="s">
        <v>10651</v>
      </c>
      <c r="C231" s="77" t="s">
        <v>10652</v>
      </c>
      <c r="D231" s="77" t="s">
        <v>10653</v>
      </c>
      <c r="E231" s="77">
        <v>6281348555887</v>
      </c>
      <c r="F231" s="78">
        <v>45819</v>
      </c>
      <c r="G231" s="79">
        <v>1136</v>
      </c>
      <c r="H231" s="80">
        <v>9181.4641744548298</v>
      </c>
      <c r="I231" s="79">
        <v>27</v>
      </c>
      <c r="J231" s="81">
        <v>11789</v>
      </c>
      <c r="K231" s="76">
        <v>1</v>
      </c>
      <c r="L231" s="76">
        <v>378</v>
      </c>
      <c r="M231" s="76">
        <v>1</v>
      </c>
      <c r="N231" s="82" t="s">
        <v>10654</v>
      </c>
      <c r="O231" s="83"/>
    </row>
    <row r="232" spans="1:15" ht="22.5" customHeight="1">
      <c r="A232" s="76">
        <v>174904221976312</v>
      </c>
      <c r="B232" s="77" t="s">
        <v>10651</v>
      </c>
      <c r="C232" s="77" t="s">
        <v>10655</v>
      </c>
      <c r="D232" s="77" t="s">
        <v>3908</v>
      </c>
      <c r="E232" s="77">
        <v>6285376667233</v>
      </c>
      <c r="F232" s="78">
        <v>45819</v>
      </c>
      <c r="G232" s="79">
        <v>959</v>
      </c>
      <c r="H232" s="80">
        <v>12930.805687203792</v>
      </c>
      <c r="I232" s="79">
        <v>22</v>
      </c>
      <c r="J232" s="81">
        <v>13642</v>
      </c>
      <c r="K232" s="76">
        <v>6</v>
      </c>
      <c r="L232" s="76">
        <v>319</v>
      </c>
      <c r="M232" s="76">
        <v>0</v>
      </c>
      <c r="N232" s="82" t="s">
        <v>10656</v>
      </c>
      <c r="O232" s="83"/>
    </row>
    <row r="233" spans="1:15" ht="22.5" customHeight="1">
      <c r="A233" s="76">
        <v>174904221976312</v>
      </c>
      <c r="B233" s="77" t="s">
        <v>10651</v>
      </c>
      <c r="C233" s="77" t="s">
        <v>10657</v>
      </c>
      <c r="D233" s="77" t="s">
        <v>1239</v>
      </c>
      <c r="E233" s="77">
        <v>6282172291579</v>
      </c>
      <c r="F233" s="78">
        <v>45819</v>
      </c>
      <c r="G233" s="79">
        <v>665</v>
      </c>
      <c r="H233" s="80">
        <v>16793.450881612091</v>
      </c>
      <c r="I233" s="79">
        <v>37</v>
      </c>
      <c r="J233" s="81">
        <v>13334</v>
      </c>
      <c r="K233" s="76">
        <v>6</v>
      </c>
      <c r="L233" s="76">
        <v>307</v>
      </c>
      <c r="M233" s="76">
        <v>1</v>
      </c>
      <c r="N233" s="82" t="s">
        <v>10658</v>
      </c>
      <c r="O233" s="83"/>
    </row>
    <row r="234" spans="1:15" ht="22.5" customHeight="1">
      <c r="A234" s="76">
        <v>174904221976312</v>
      </c>
      <c r="B234" s="77" t="s">
        <v>10651</v>
      </c>
      <c r="C234" s="77" t="s">
        <v>10731</v>
      </c>
      <c r="D234" s="77" t="s">
        <v>10732</v>
      </c>
      <c r="E234" s="77">
        <v>6281241440688</v>
      </c>
      <c r="F234" s="78">
        <v>45819</v>
      </c>
      <c r="G234" s="79">
        <v>2082</v>
      </c>
      <c r="H234" s="80">
        <v>5990.0207900207906</v>
      </c>
      <c r="I234" s="79">
        <v>23</v>
      </c>
      <c r="J234" s="81">
        <v>14406</v>
      </c>
      <c r="K234" s="76">
        <v>2</v>
      </c>
      <c r="L234" s="76">
        <v>705</v>
      </c>
      <c r="M234" s="76">
        <v>0</v>
      </c>
      <c r="N234" s="82" t="s">
        <v>10733</v>
      </c>
      <c r="O234" s="83"/>
    </row>
    <row r="235" spans="1:15" ht="22.5" customHeight="1">
      <c r="A235" s="76">
        <v>766589657993298</v>
      </c>
      <c r="B235" s="77" t="s">
        <v>10688</v>
      </c>
      <c r="C235" s="77" t="s">
        <v>10739</v>
      </c>
      <c r="D235" s="77" t="s">
        <v>429</v>
      </c>
      <c r="E235" s="77">
        <v>6282399006447</v>
      </c>
      <c r="F235" s="78">
        <v>45819</v>
      </c>
      <c r="G235" s="79">
        <v>262</v>
      </c>
      <c r="H235" s="80">
        <v>18785.185185185186</v>
      </c>
      <c r="I235" s="79">
        <v>11</v>
      </c>
      <c r="J235" s="81">
        <v>5072</v>
      </c>
      <c r="K235" s="76">
        <v>1</v>
      </c>
      <c r="L235" s="76">
        <v>141</v>
      </c>
      <c r="M235" s="76">
        <v>0</v>
      </c>
      <c r="N235" s="82" t="s">
        <v>10740</v>
      </c>
      <c r="O235" s="83"/>
    </row>
    <row r="236" spans="1:15" ht="22.5" customHeight="1">
      <c r="A236" s="76">
        <v>766589657993298</v>
      </c>
      <c r="B236" s="77" t="s">
        <v>10688</v>
      </c>
      <c r="C236" s="77" t="s">
        <v>10734</v>
      </c>
      <c r="D236" s="77" t="s">
        <v>10735</v>
      </c>
      <c r="E236" s="77">
        <v>6283134740502</v>
      </c>
      <c r="F236" s="78">
        <v>45819</v>
      </c>
      <c r="G236" s="79">
        <v>471</v>
      </c>
      <c r="H236" s="80">
        <v>26833.652007648183</v>
      </c>
      <c r="I236" s="79">
        <v>19</v>
      </c>
      <c r="J236" s="81">
        <v>14034</v>
      </c>
      <c r="K236" s="76">
        <v>6</v>
      </c>
      <c r="L236" s="76">
        <v>128</v>
      </c>
      <c r="M236" s="76">
        <v>0</v>
      </c>
      <c r="N236" s="82" t="s">
        <v>10736</v>
      </c>
      <c r="O236" s="83"/>
    </row>
    <row r="237" spans="1:15" ht="22.5" customHeight="1">
      <c r="A237" s="76">
        <v>766589657993298</v>
      </c>
      <c r="B237" s="77" t="s">
        <v>10688</v>
      </c>
      <c r="C237" s="77" t="s">
        <v>10713</v>
      </c>
      <c r="D237" s="77" t="s">
        <v>10714</v>
      </c>
      <c r="E237" s="77">
        <v>6281219751312</v>
      </c>
      <c r="F237" s="78">
        <v>45819</v>
      </c>
      <c r="G237" s="79">
        <v>198</v>
      </c>
      <c r="H237" s="80">
        <v>25282.296650717704</v>
      </c>
      <c r="I237" s="79">
        <v>2</v>
      </c>
      <c r="J237" s="81">
        <v>5284</v>
      </c>
      <c r="K237" s="76">
        <v>0</v>
      </c>
      <c r="L237" s="76">
        <v>5</v>
      </c>
      <c r="M237" s="76">
        <v>0</v>
      </c>
      <c r="N237" s="82" t="s">
        <v>10715</v>
      </c>
      <c r="O237" s="83"/>
    </row>
    <row r="238" spans="1:15" ht="22.5" customHeight="1">
      <c r="A238" s="76">
        <v>766589657993298</v>
      </c>
      <c r="B238" s="77" t="s">
        <v>10688</v>
      </c>
      <c r="C238" s="77" t="s">
        <v>10716</v>
      </c>
      <c r="D238" s="77" t="s">
        <v>10717</v>
      </c>
      <c r="E238" s="77">
        <v>6287845701116</v>
      </c>
      <c r="F238" s="78">
        <v>45819</v>
      </c>
      <c r="G238" s="79">
        <v>772</v>
      </c>
      <c r="H238" s="80">
        <v>17945.392491467577</v>
      </c>
      <c r="I238" s="79">
        <v>22</v>
      </c>
      <c r="J238" s="81">
        <v>15774</v>
      </c>
      <c r="K238" s="76">
        <v>1</v>
      </c>
      <c r="L238" s="76">
        <v>59</v>
      </c>
      <c r="M238" s="76">
        <v>1</v>
      </c>
      <c r="N238" s="82" t="s">
        <v>10718</v>
      </c>
      <c r="O238" s="83"/>
    </row>
    <row r="239" spans="1:15" ht="22.5" customHeight="1">
      <c r="A239" s="76">
        <v>766589657993298</v>
      </c>
      <c r="B239" s="77" t="s">
        <v>10688</v>
      </c>
      <c r="C239" s="77" t="s">
        <v>10705</v>
      </c>
      <c r="D239" s="77" t="s">
        <v>10706</v>
      </c>
      <c r="E239" s="77">
        <v>6281904501876</v>
      </c>
      <c r="F239" s="78">
        <v>45819</v>
      </c>
      <c r="G239" s="79">
        <v>1154</v>
      </c>
      <c r="H239" s="80">
        <v>11923.869944488502</v>
      </c>
      <c r="I239" s="79">
        <v>49</v>
      </c>
      <c r="J239" s="81">
        <v>15036</v>
      </c>
      <c r="K239" s="76">
        <v>11</v>
      </c>
      <c r="L239" s="76">
        <v>585</v>
      </c>
      <c r="M239" s="76">
        <v>1</v>
      </c>
      <c r="N239" s="82" t="s">
        <v>10707</v>
      </c>
      <c r="O239" s="83"/>
    </row>
    <row r="240" spans="1:15" ht="22.5" customHeight="1">
      <c r="A240" s="76">
        <v>766589657993298</v>
      </c>
      <c r="B240" s="77" t="s">
        <v>10688</v>
      </c>
      <c r="C240" s="77" t="s">
        <v>10722</v>
      </c>
      <c r="D240" s="77" t="s">
        <v>10723</v>
      </c>
      <c r="E240" s="77">
        <v>6281515877050</v>
      </c>
      <c r="F240" s="78">
        <v>45819</v>
      </c>
      <c r="G240" s="79">
        <v>560</v>
      </c>
      <c r="H240" s="80">
        <v>24227.347611202636</v>
      </c>
      <c r="I240" s="79">
        <v>7</v>
      </c>
      <c r="J240" s="81">
        <v>14706</v>
      </c>
      <c r="K240" s="76">
        <v>1</v>
      </c>
      <c r="L240" s="76">
        <v>177</v>
      </c>
      <c r="M240" s="76">
        <v>0</v>
      </c>
      <c r="N240" s="82" t="s">
        <v>10724</v>
      </c>
      <c r="O240" s="83"/>
    </row>
    <row r="241" spans="1:15" ht="22.5" customHeight="1">
      <c r="A241" s="76">
        <v>766589657993298</v>
      </c>
      <c r="B241" s="77" t="s">
        <v>10688</v>
      </c>
      <c r="C241" s="77" t="s">
        <v>10725</v>
      </c>
      <c r="D241" s="77" t="s">
        <v>297</v>
      </c>
      <c r="E241" s="77">
        <v>6281384925770</v>
      </c>
      <c r="F241" s="78">
        <v>45819</v>
      </c>
      <c r="G241" s="79">
        <v>77</v>
      </c>
      <c r="H241" s="80">
        <v>37632.183908045976</v>
      </c>
      <c r="I241" s="79">
        <v>2</v>
      </c>
      <c r="J241" s="81">
        <v>3274</v>
      </c>
      <c r="K241" s="76">
        <v>0</v>
      </c>
      <c r="L241" s="76">
        <v>32</v>
      </c>
      <c r="M241" s="76">
        <v>0</v>
      </c>
      <c r="N241" s="82" t="s">
        <v>10726</v>
      </c>
      <c r="O241" s="83"/>
    </row>
    <row r="242" spans="1:15" ht="22.5" customHeight="1">
      <c r="A242" s="76">
        <v>766589657993298</v>
      </c>
      <c r="B242" s="77" t="s">
        <v>10688</v>
      </c>
      <c r="C242" s="77" t="s">
        <v>10701</v>
      </c>
      <c r="D242" s="77" t="s">
        <v>5669</v>
      </c>
      <c r="E242" s="77">
        <v>6282288123215</v>
      </c>
      <c r="F242" s="78">
        <v>45819</v>
      </c>
      <c r="G242" s="79">
        <v>1506</v>
      </c>
      <c r="H242" s="80">
        <v>8755.8076715289026</v>
      </c>
      <c r="I242" s="79">
        <v>31</v>
      </c>
      <c r="J242" s="81">
        <v>16207</v>
      </c>
      <c r="K242" s="76">
        <v>2</v>
      </c>
      <c r="L242" s="76">
        <v>384</v>
      </c>
      <c r="M242" s="76">
        <v>0</v>
      </c>
      <c r="N242" s="82" t="s">
        <v>10702</v>
      </c>
      <c r="O242" s="83"/>
    </row>
    <row r="243" spans="1:15" ht="22.5" customHeight="1">
      <c r="A243" s="76">
        <v>759724529202804</v>
      </c>
      <c r="B243" s="77" t="s">
        <v>10621</v>
      </c>
      <c r="C243" s="77" t="s">
        <v>250</v>
      </c>
      <c r="D243" s="77" t="s">
        <v>10729</v>
      </c>
      <c r="E243" s="77">
        <v>6282274447649</v>
      </c>
      <c r="F243" s="78">
        <v>45820</v>
      </c>
      <c r="G243" s="79">
        <v>756</v>
      </c>
      <c r="H243" s="80">
        <v>17286.033519553072</v>
      </c>
      <c r="I243" s="79">
        <v>25</v>
      </c>
      <c r="J243" s="81">
        <v>15471</v>
      </c>
      <c r="K243" s="76">
        <v>5</v>
      </c>
      <c r="L243" s="76">
        <v>0</v>
      </c>
      <c r="M243" s="76">
        <v>0</v>
      </c>
      <c r="N243" s="82" t="s">
        <v>10730</v>
      </c>
      <c r="O243" s="83"/>
    </row>
    <row r="244" spans="1:15" ht="22.5" customHeight="1">
      <c r="A244" s="76">
        <v>759724529202804</v>
      </c>
      <c r="B244" s="77" t="s">
        <v>10621</v>
      </c>
      <c r="C244" s="77" t="s">
        <v>332</v>
      </c>
      <c r="D244" s="77" t="s">
        <v>10708</v>
      </c>
      <c r="E244" s="77">
        <v>6282350524788</v>
      </c>
      <c r="F244" s="78">
        <v>45820</v>
      </c>
      <c r="G244" s="79">
        <v>942</v>
      </c>
      <c r="H244" s="80">
        <v>15845.098039215687</v>
      </c>
      <c r="I244" s="79">
        <v>27</v>
      </c>
      <c r="J244" s="81">
        <v>16162</v>
      </c>
      <c r="K244" s="76">
        <v>5</v>
      </c>
      <c r="L244" s="76">
        <v>1</v>
      </c>
      <c r="M244" s="76">
        <v>0</v>
      </c>
      <c r="N244" s="82" t="s">
        <v>10709</v>
      </c>
      <c r="O244" s="83"/>
    </row>
    <row r="245" spans="1:15" ht="22.5" customHeight="1">
      <c r="A245" s="76">
        <v>759724529202804</v>
      </c>
      <c r="B245" s="77" t="s">
        <v>10621</v>
      </c>
      <c r="C245" s="77" t="s">
        <v>206</v>
      </c>
      <c r="D245" s="77" t="s">
        <v>199</v>
      </c>
      <c r="E245" s="77">
        <v>6285220903499</v>
      </c>
      <c r="F245" s="78">
        <v>45820</v>
      </c>
      <c r="G245" s="79">
        <v>806</v>
      </c>
      <c r="H245" s="80">
        <v>16550.204918032785</v>
      </c>
      <c r="I245" s="79">
        <v>27</v>
      </c>
      <c r="J245" s="81">
        <v>16153</v>
      </c>
      <c r="K245" s="76">
        <v>2</v>
      </c>
      <c r="L245" s="76">
        <v>236</v>
      </c>
      <c r="M245" s="76">
        <v>0</v>
      </c>
      <c r="N245" s="82" t="s">
        <v>10628</v>
      </c>
      <c r="O245" s="83"/>
    </row>
    <row r="246" spans="1:15" ht="22.5" customHeight="1">
      <c r="A246" s="76">
        <v>759724529202804</v>
      </c>
      <c r="B246" s="77" t="s">
        <v>10621</v>
      </c>
      <c r="C246" s="77" t="s">
        <v>665</v>
      </c>
      <c r="D246" s="77" t="s">
        <v>659</v>
      </c>
      <c r="E246" s="77">
        <v>6285757057088</v>
      </c>
      <c r="F246" s="78">
        <v>45820</v>
      </c>
      <c r="G246" s="79">
        <v>717</v>
      </c>
      <c r="H246" s="80">
        <v>16373.557187827913</v>
      </c>
      <c r="I246" s="79">
        <v>33</v>
      </c>
      <c r="J246" s="81">
        <v>15604</v>
      </c>
      <c r="K246" s="76">
        <v>0</v>
      </c>
      <c r="L246" s="76">
        <v>0</v>
      </c>
      <c r="M246" s="76">
        <v>0</v>
      </c>
      <c r="N246" s="82" t="s">
        <v>10636</v>
      </c>
      <c r="O246" s="83"/>
    </row>
    <row r="247" spans="1:15" ht="22.5" customHeight="1">
      <c r="A247" s="76">
        <v>174904221976312</v>
      </c>
      <c r="B247" s="77" t="s">
        <v>10651</v>
      </c>
      <c r="C247" s="77" t="s">
        <v>311</v>
      </c>
      <c r="D247" s="77" t="s">
        <v>10737</v>
      </c>
      <c r="E247" s="77">
        <v>628988759290</v>
      </c>
      <c r="F247" s="78">
        <v>45820</v>
      </c>
      <c r="G247" s="79">
        <v>559</v>
      </c>
      <c r="H247" s="80">
        <v>14721.220527045769</v>
      </c>
      <c r="I247" s="79">
        <v>16</v>
      </c>
      <c r="J247" s="81">
        <v>10614</v>
      </c>
      <c r="K247" s="76">
        <v>0</v>
      </c>
      <c r="L247" s="76">
        <v>2</v>
      </c>
      <c r="M247" s="76">
        <v>0</v>
      </c>
      <c r="N247" s="82" t="s">
        <v>10738</v>
      </c>
      <c r="O247" s="83"/>
    </row>
    <row r="248" spans="1:15" ht="22.5" customHeight="1">
      <c r="A248" s="76">
        <v>174904221976312</v>
      </c>
      <c r="B248" s="77" t="s">
        <v>10651</v>
      </c>
      <c r="C248" s="77" t="s">
        <v>10727</v>
      </c>
      <c r="D248" s="77" t="s">
        <v>1044</v>
      </c>
      <c r="E248" s="77">
        <v>6281263113266</v>
      </c>
      <c r="F248" s="78">
        <v>45820</v>
      </c>
      <c r="G248" s="79">
        <v>1069</v>
      </c>
      <c r="H248" s="80">
        <v>10427.620632279535</v>
      </c>
      <c r="I248" s="79">
        <v>40</v>
      </c>
      <c r="J248" s="81">
        <v>12534</v>
      </c>
      <c r="K248" s="76">
        <v>2</v>
      </c>
      <c r="L248" s="76">
        <v>521</v>
      </c>
      <c r="M248" s="76">
        <v>1</v>
      </c>
      <c r="N248" s="82" t="s">
        <v>10728</v>
      </c>
      <c r="O248" s="83"/>
    </row>
    <row r="249" spans="1:15" ht="22.5" customHeight="1">
      <c r="A249" s="76">
        <v>174904221976312</v>
      </c>
      <c r="B249" s="77" t="s">
        <v>10651</v>
      </c>
      <c r="C249" s="77" t="s">
        <v>10670</v>
      </c>
      <c r="D249" s="77" t="s">
        <v>10671</v>
      </c>
      <c r="E249" s="77">
        <v>6281399998259</v>
      </c>
      <c r="F249" s="78">
        <v>45820</v>
      </c>
      <c r="G249" s="79">
        <v>764</v>
      </c>
      <c r="H249" s="80">
        <v>14263.092269326684</v>
      </c>
      <c r="I249" s="79">
        <v>5</v>
      </c>
      <c r="J249" s="81">
        <v>11439</v>
      </c>
      <c r="K249" s="76">
        <v>0</v>
      </c>
      <c r="L249" s="76">
        <v>194</v>
      </c>
      <c r="M249" s="76">
        <v>0</v>
      </c>
      <c r="N249" s="82" t="s">
        <v>10672</v>
      </c>
      <c r="O249" s="83"/>
    </row>
    <row r="250" spans="1:15" ht="22.5" customHeight="1">
      <c r="A250" s="76">
        <v>174904221976312</v>
      </c>
      <c r="B250" s="77" t="s">
        <v>10651</v>
      </c>
      <c r="C250" s="77" t="s">
        <v>10673</v>
      </c>
      <c r="D250" s="77" t="s">
        <v>10674</v>
      </c>
      <c r="E250" s="77">
        <v>6282183184641</v>
      </c>
      <c r="F250" s="78">
        <v>45820</v>
      </c>
      <c r="G250" s="79">
        <v>1066</v>
      </c>
      <c r="H250" s="80">
        <v>13005.947323704333</v>
      </c>
      <c r="I250" s="79">
        <v>27</v>
      </c>
      <c r="J250" s="81">
        <v>15308</v>
      </c>
      <c r="K250" s="76">
        <v>6</v>
      </c>
      <c r="L250" s="76">
        <v>267</v>
      </c>
      <c r="M250" s="76">
        <v>0</v>
      </c>
      <c r="N250" s="82" t="s">
        <v>10675</v>
      </c>
      <c r="O250" s="83"/>
    </row>
    <row r="251" spans="1:15" ht="22.5" customHeight="1">
      <c r="A251" s="76">
        <v>174904221976312</v>
      </c>
      <c r="B251" s="77" t="s">
        <v>10651</v>
      </c>
      <c r="C251" s="77" t="s">
        <v>10652</v>
      </c>
      <c r="D251" s="77" t="s">
        <v>10653</v>
      </c>
      <c r="E251" s="77">
        <v>6281348555887</v>
      </c>
      <c r="F251" s="78">
        <v>45820</v>
      </c>
      <c r="G251" s="79">
        <v>1212</v>
      </c>
      <c r="H251" s="80">
        <v>9861.943024105185</v>
      </c>
      <c r="I251" s="79">
        <v>38</v>
      </c>
      <c r="J251" s="81">
        <v>13501</v>
      </c>
      <c r="K251" s="76">
        <v>0</v>
      </c>
      <c r="L251" s="76">
        <v>390</v>
      </c>
      <c r="M251" s="76">
        <v>0</v>
      </c>
      <c r="N251" s="82" t="s">
        <v>10654</v>
      </c>
      <c r="O251" s="83"/>
    </row>
    <row r="252" spans="1:15" ht="22.5" customHeight="1">
      <c r="A252" s="76">
        <v>174904221976312</v>
      </c>
      <c r="B252" s="77" t="s">
        <v>10651</v>
      </c>
      <c r="C252" s="77" t="s">
        <v>10655</v>
      </c>
      <c r="D252" s="77" t="s">
        <v>3908</v>
      </c>
      <c r="E252" s="77">
        <v>6285376667233</v>
      </c>
      <c r="F252" s="78">
        <v>45820</v>
      </c>
      <c r="G252" s="79">
        <v>1039</v>
      </c>
      <c r="H252" s="80">
        <v>12325.153374233128</v>
      </c>
      <c r="I252" s="79">
        <v>24</v>
      </c>
      <c r="J252" s="81">
        <v>14063</v>
      </c>
      <c r="K252" s="76">
        <v>3</v>
      </c>
      <c r="L252" s="76">
        <v>351</v>
      </c>
      <c r="M252" s="76">
        <v>0</v>
      </c>
      <c r="N252" s="82" t="s">
        <v>10656</v>
      </c>
      <c r="O252" s="83"/>
    </row>
    <row r="253" spans="1:15" ht="22.5" customHeight="1">
      <c r="A253" s="76">
        <v>174904221976312</v>
      </c>
      <c r="B253" s="77" t="s">
        <v>10651</v>
      </c>
      <c r="C253" s="77" t="s">
        <v>10657</v>
      </c>
      <c r="D253" s="77" t="s">
        <v>1239</v>
      </c>
      <c r="E253" s="77">
        <v>6282172291579</v>
      </c>
      <c r="F253" s="78">
        <v>45820</v>
      </c>
      <c r="G253" s="79">
        <v>1297</v>
      </c>
      <c r="H253" s="80">
        <v>11208.121827411167</v>
      </c>
      <c r="I253" s="79">
        <v>46</v>
      </c>
      <c r="J253" s="81">
        <v>15456</v>
      </c>
      <c r="K253" s="76">
        <v>3</v>
      </c>
      <c r="L253" s="76">
        <v>562</v>
      </c>
      <c r="M253" s="76">
        <v>2</v>
      </c>
      <c r="N253" s="82" t="s">
        <v>10658</v>
      </c>
      <c r="O253" s="83"/>
    </row>
    <row r="254" spans="1:15" ht="22.5" customHeight="1">
      <c r="A254" s="76">
        <v>174904221976312</v>
      </c>
      <c r="B254" s="77" t="s">
        <v>10651</v>
      </c>
      <c r="C254" s="77" t="s">
        <v>10679</v>
      </c>
      <c r="D254" s="77" t="s">
        <v>10680</v>
      </c>
      <c r="E254" s="77">
        <v>6282347206488</v>
      </c>
      <c r="F254" s="78">
        <v>45820</v>
      </c>
      <c r="G254" s="79">
        <v>955</v>
      </c>
      <c r="H254" s="80">
        <v>12812.384473197781</v>
      </c>
      <c r="I254" s="79">
        <v>26</v>
      </c>
      <c r="J254" s="81">
        <v>13863</v>
      </c>
      <c r="K254" s="76">
        <v>0</v>
      </c>
      <c r="L254" s="76">
        <v>499</v>
      </c>
      <c r="M254" s="76">
        <v>0</v>
      </c>
      <c r="N254" s="82" t="s">
        <v>10681</v>
      </c>
      <c r="O254" s="83"/>
    </row>
    <row r="255" spans="1:15" ht="22.5" customHeight="1">
      <c r="A255" s="76">
        <v>174904221976312</v>
      </c>
      <c r="B255" s="77" t="s">
        <v>10651</v>
      </c>
      <c r="C255" s="77" t="s">
        <v>10731</v>
      </c>
      <c r="D255" s="77" t="s">
        <v>10732</v>
      </c>
      <c r="E255" s="77">
        <v>6281241440688</v>
      </c>
      <c r="F255" s="78">
        <v>45820</v>
      </c>
      <c r="G255" s="79">
        <v>1578</v>
      </c>
      <c r="H255" s="80">
        <v>6794.759825327511</v>
      </c>
      <c r="I255" s="79">
        <v>22</v>
      </c>
      <c r="J255" s="81">
        <v>12448</v>
      </c>
      <c r="K255" s="76">
        <v>1</v>
      </c>
      <c r="L255" s="76">
        <v>500</v>
      </c>
      <c r="M255" s="76">
        <v>0</v>
      </c>
      <c r="N255" s="82" t="s">
        <v>10733</v>
      </c>
      <c r="O255" s="83"/>
    </row>
    <row r="256" spans="1:15" ht="22.5" customHeight="1">
      <c r="A256" s="76">
        <v>766589657993298</v>
      </c>
      <c r="B256" s="77" t="s">
        <v>10688</v>
      </c>
      <c r="C256" s="77" t="s">
        <v>10741</v>
      </c>
      <c r="D256" s="77" t="s">
        <v>559</v>
      </c>
      <c r="E256" s="77">
        <v>6281952482523</v>
      </c>
      <c r="F256" s="78">
        <v>45820</v>
      </c>
      <c r="G256" s="79">
        <v>58</v>
      </c>
      <c r="H256" s="80">
        <v>16086.206896551723</v>
      </c>
      <c r="I256" s="79">
        <v>0</v>
      </c>
      <c r="J256" s="81">
        <v>933</v>
      </c>
      <c r="K256" s="76">
        <v>0</v>
      </c>
      <c r="L256" s="76">
        <v>35</v>
      </c>
      <c r="M256" s="76">
        <v>0</v>
      </c>
      <c r="N256" s="82" t="s">
        <v>10742</v>
      </c>
      <c r="O256" s="83"/>
    </row>
    <row r="257" spans="1:15" ht="22.5" customHeight="1">
      <c r="A257" s="76">
        <v>766589657993298</v>
      </c>
      <c r="B257" s="77" t="s">
        <v>10688</v>
      </c>
      <c r="C257" s="77" t="s">
        <v>10743</v>
      </c>
      <c r="D257" s="77" t="s">
        <v>10744</v>
      </c>
      <c r="E257" s="77">
        <v>6282211675028</v>
      </c>
      <c r="F257" s="78">
        <v>45820</v>
      </c>
      <c r="G257" s="79">
        <v>1008</v>
      </c>
      <c r="H257" s="80">
        <v>13067.125645438899</v>
      </c>
      <c r="I257" s="79">
        <v>19</v>
      </c>
      <c r="J257" s="81">
        <v>15184</v>
      </c>
      <c r="K257" s="76">
        <v>1</v>
      </c>
      <c r="L257" s="76">
        <v>538</v>
      </c>
      <c r="M257" s="76">
        <v>0</v>
      </c>
      <c r="N257" s="82" t="s">
        <v>10745</v>
      </c>
      <c r="O257" s="83"/>
    </row>
    <row r="258" spans="1:15" ht="22.5" customHeight="1">
      <c r="A258" s="76">
        <v>766589657993298</v>
      </c>
      <c r="B258" s="77" t="s">
        <v>10688</v>
      </c>
      <c r="C258" s="77" t="s">
        <v>10746</v>
      </c>
      <c r="D258" s="77" t="s">
        <v>10747</v>
      </c>
      <c r="E258" s="77">
        <v>6281222110766</v>
      </c>
      <c r="F258" s="78">
        <v>45820</v>
      </c>
      <c r="G258" s="79">
        <v>134</v>
      </c>
      <c r="H258" s="80">
        <v>42378.571428571428</v>
      </c>
      <c r="I258" s="79">
        <v>0</v>
      </c>
      <c r="J258" s="81">
        <v>5933</v>
      </c>
      <c r="K258" s="76">
        <v>0</v>
      </c>
      <c r="L258" s="76">
        <v>67</v>
      </c>
      <c r="M258" s="76">
        <v>0</v>
      </c>
      <c r="N258" s="82" t="s">
        <v>10748</v>
      </c>
      <c r="O258" s="83"/>
    </row>
    <row r="259" spans="1:15" ht="22.5" customHeight="1">
      <c r="A259" s="76">
        <v>766589657993298</v>
      </c>
      <c r="B259" s="77" t="s">
        <v>10688</v>
      </c>
      <c r="C259" s="77" t="s">
        <v>10739</v>
      </c>
      <c r="D259" s="77" t="s">
        <v>429</v>
      </c>
      <c r="E259" s="77">
        <v>6282399006447</v>
      </c>
      <c r="F259" s="78">
        <v>45820</v>
      </c>
      <c r="G259" s="79">
        <v>841</v>
      </c>
      <c r="H259" s="80">
        <v>16464.912280701752</v>
      </c>
      <c r="I259" s="79">
        <v>19</v>
      </c>
      <c r="J259" s="81">
        <v>15016</v>
      </c>
      <c r="K259" s="76">
        <v>3</v>
      </c>
      <c r="L259" s="76">
        <v>488</v>
      </c>
      <c r="M259" s="76">
        <v>0</v>
      </c>
      <c r="N259" s="82" t="s">
        <v>10740</v>
      </c>
      <c r="O259" s="83"/>
    </row>
    <row r="260" spans="1:15" ht="22.5" customHeight="1">
      <c r="A260" s="76">
        <v>766589657993298</v>
      </c>
      <c r="B260" s="77" t="s">
        <v>10688</v>
      </c>
      <c r="C260" s="77" t="s">
        <v>10734</v>
      </c>
      <c r="D260" s="77" t="s">
        <v>10735</v>
      </c>
      <c r="E260" s="77">
        <v>6283134740502</v>
      </c>
      <c r="F260" s="78">
        <v>45820</v>
      </c>
      <c r="G260" s="79">
        <v>716</v>
      </c>
      <c r="H260" s="80">
        <v>14196.79633867277</v>
      </c>
      <c r="I260" s="79">
        <v>33</v>
      </c>
      <c r="J260" s="81">
        <v>12408</v>
      </c>
      <c r="K260" s="76">
        <v>1</v>
      </c>
      <c r="L260" s="76">
        <v>67</v>
      </c>
      <c r="M260" s="76">
        <v>1</v>
      </c>
      <c r="N260" s="82" t="s">
        <v>10736</v>
      </c>
      <c r="O260" s="83"/>
    </row>
    <row r="261" spans="1:15" ht="22.5" customHeight="1">
      <c r="A261" s="76">
        <v>766589657993298</v>
      </c>
      <c r="B261" s="77" t="s">
        <v>10688</v>
      </c>
      <c r="C261" s="77" t="s">
        <v>10713</v>
      </c>
      <c r="D261" s="77" t="s">
        <v>10714</v>
      </c>
      <c r="E261" s="77">
        <v>6281219751312</v>
      </c>
      <c r="F261" s="78">
        <v>45820</v>
      </c>
      <c r="G261" s="79">
        <v>193</v>
      </c>
      <c r="H261" s="80">
        <v>33648.514851485146</v>
      </c>
      <c r="I261" s="79">
        <v>2</v>
      </c>
      <c r="J261" s="81">
        <v>6797</v>
      </c>
      <c r="K261" s="76">
        <v>0</v>
      </c>
      <c r="L261" s="76">
        <v>9</v>
      </c>
      <c r="M261" s="76">
        <v>0</v>
      </c>
      <c r="N261" s="82" t="s">
        <v>10715</v>
      </c>
      <c r="O261" s="83"/>
    </row>
    <row r="262" spans="1:15" ht="22.5" customHeight="1">
      <c r="A262" s="76">
        <v>766589657993298</v>
      </c>
      <c r="B262" s="77" t="s">
        <v>10688</v>
      </c>
      <c r="C262" s="77" t="s">
        <v>10716</v>
      </c>
      <c r="D262" s="77" t="s">
        <v>10717</v>
      </c>
      <c r="E262" s="77">
        <v>6287845701116</v>
      </c>
      <c r="F262" s="78">
        <v>45820</v>
      </c>
      <c r="G262" s="79">
        <v>668</v>
      </c>
      <c r="H262" s="80">
        <v>19109.90502035278</v>
      </c>
      <c r="I262" s="79">
        <v>10</v>
      </c>
      <c r="J262" s="81">
        <v>14084</v>
      </c>
      <c r="K262" s="76">
        <v>0</v>
      </c>
      <c r="L262" s="76">
        <v>110</v>
      </c>
      <c r="M262" s="76">
        <v>0</v>
      </c>
      <c r="N262" s="82" t="s">
        <v>10718</v>
      </c>
      <c r="O262" s="83"/>
    </row>
    <row r="263" spans="1:15" ht="22.5" customHeight="1">
      <c r="A263" s="76">
        <v>766589657993298</v>
      </c>
      <c r="B263" s="77" t="s">
        <v>10688</v>
      </c>
      <c r="C263" s="77" t="s">
        <v>10705</v>
      </c>
      <c r="D263" s="77" t="s">
        <v>10706</v>
      </c>
      <c r="E263" s="77">
        <v>6281904501876</v>
      </c>
      <c r="F263" s="78">
        <v>45820</v>
      </c>
      <c r="G263" s="79">
        <v>1063</v>
      </c>
      <c r="H263" s="80">
        <v>12770.650263620386</v>
      </c>
      <c r="I263" s="79">
        <v>70</v>
      </c>
      <c r="J263" s="81">
        <v>14533</v>
      </c>
      <c r="K263" s="76">
        <v>9</v>
      </c>
      <c r="L263" s="76">
        <v>504</v>
      </c>
      <c r="M263" s="76">
        <v>5</v>
      </c>
      <c r="N263" s="82" t="s">
        <v>10707</v>
      </c>
      <c r="O263" s="83"/>
    </row>
    <row r="264" spans="1:15" ht="22.5" customHeight="1">
      <c r="A264" s="76">
        <v>766589657993298</v>
      </c>
      <c r="B264" s="77" t="s">
        <v>10688</v>
      </c>
      <c r="C264" s="77" t="s">
        <v>10722</v>
      </c>
      <c r="D264" s="77" t="s">
        <v>10723</v>
      </c>
      <c r="E264" s="77">
        <v>6281515877050</v>
      </c>
      <c r="F264" s="78">
        <v>45820</v>
      </c>
      <c r="G264" s="79">
        <v>616</v>
      </c>
      <c r="H264" s="80">
        <v>17848.90965732087</v>
      </c>
      <c r="I264" s="79">
        <v>1</v>
      </c>
      <c r="J264" s="81">
        <v>11459</v>
      </c>
      <c r="K264" s="76">
        <v>0</v>
      </c>
      <c r="L264" s="76">
        <v>214</v>
      </c>
      <c r="M264" s="76">
        <v>0</v>
      </c>
      <c r="N264" s="82" t="s">
        <v>10724</v>
      </c>
      <c r="O264" s="83"/>
    </row>
    <row r="265" spans="1:15" ht="22.5" customHeight="1">
      <c r="A265" s="76">
        <v>766589657993298</v>
      </c>
      <c r="B265" s="77" t="s">
        <v>10688</v>
      </c>
      <c r="C265" s="77" t="s">
        <v>10701</v>
      </c>
      <c r="D265" s="77" t="s">
        <v>5669</v>
      </c>
      <c r="E265" s="77">
        <v>6282288123215</v>
      </c>
      <c r="F265" s="78">
        <v>45820</v>
      </c>
      <c r="G265" s="79">
        <v>1438</v>
      </c>
      <c r="H265" s="80">
        <v>9736.6914710933033</v>
      </c>
      <c r="I265" s="79">
        <v>40</v>
      </c>
      <c r="J265" s="81">
        <v>17010</v>
      </c>
      <c r="K265" s="76">
        <v>3</v>
      </c>
      <c r="L265" s="76">
        <v>363</v>
      </c>
      <c r="M265" s="76">
        <v>0</v>
      </c>
      <c r="N265" s="82" t="s">
        <v>10702</v>
      </c>
      <c r="O265" s="83"/>
    </row>
    <row r="266" spans="1:15" ht="22.5" customHeight="1">
      <c r="A266" s="76">
        <v>759724529202804</v>
      </c>
      <c r="B266" s="77" t="s">
        <v>10621</v>
      </c>
      <c r="C266" s="77" t="s">
        <v>250</v>
      </c>
      <c r="D266" s="77" t="s">
        <v>10729</v>
      </c>
      <c r="E266" s="77">
        <v>6282274447649</v>
      </c>
      <c r="F266" s="78">
        <v>45821</v>
      </c>
      <c r="G266" s="79">
        <v>639</v>
      </c>
      <c r="H266" s="80">
        <v>21232.839838492597</v>
      </c>
      <c r="I266" s="79">
        <v>28</v>
      </c>
      <c r="J266" s="81">
        <v>15776</v>
      </c>
      <c r="K266" s="76">
        <v>5</v>
      </c>
      <c r="L266" s="76">
        <v>0</v>
      </c>
      <c r="M266" s="76">
        <v>1</v>
      </c>
      <c r="N266" s="82" t="s">
        <v>10730</v>
      </c>
      <c r="O266" s="83"/>
    </row>
    <row r="267" spans="1:15" ht="22.5" customHeight="1">
      <c r="A267" s="76">
        <v>759724529202804</v>
      </c>
      <c r="B267" s="77" t="s">
        <v>10621</v>
      </c>
      <c r="C267" s="77" t="s">
        <v>332</v>
      </c>
      <c r="D267" s="77" t="s">
        <v>10708</v>
      </c>
      <c r="E267" s="77">
        <v>6282350524788</v>
      </c>
      <c r="F267" s="78">
        <v>45821</v>
      </c>
      <c r="G267" s="79">
        <v>811</v>
      </c>
      <c r="H267" s="80">
        <v>16587.398373983739</v>
      </c>
      <c r="I267" s="79">
        <v>16</v>
      </c>
      <c r="J267" s="81">
        <v>16322</v>
      </c>
      <c r="K267" s="76">
        <v>1</v>
      </c>
      <c r="L267" s="76">
        <v>101</v>
      </c>
      <c r="M267" s="76">
        <v>0</v>
      </c>
      <c r="N267" s="82" t="s">
        <v>10709</v>
      </c>
      <c r="O267" s="83"/>
    </row>
    <row r="268" spans="1:15" ht="22.5" customHeight="1">
      <c r="A268" s="76">
        <v>759724529202804</v>
      </c>
      <c r="B268" s="77" t="s">
        <v>10621</v>
      </c>
      <c r="C268" s="77" t="s">
        <v>206</v>
      </c>
      <c r="D268" s="77" t="s">
        <v>199</v>
      </c>
      <c r="E268" s="77">
        <v>6285220903499</v>
      </c>
      <c r="F268" s="78">
        <v>45821</v>
      </c>
      <c r="G268" s="79">
        <v>738</v>
      </c>
      <c r="H268" s="80">
        <v>17515.317286652076</v>
      </c>
      <c r="I268" s="79">
        <v>31</v>
      </c>
      <c r="J268" s="81">
        <v>16009</v>
      </c>
      <c r="K268" s="76">
        <v>4</v>
      </c>
      <c r="L268" s="76">
        <v>156</v>
      </c>
      <c r="M268" s="76">
        <v>0</v>
      </c>
      <c r="N268" s="82" t="s">
        <v>10628</v>
      </c>
      <c r="O268" s="83"/>
    </row>
    <row r="269" spans="1:15" ht="22.5" customHeight="1">
      <c r="A269" s="76">
        <v>759724529202804</v>
      </c>
      <c r="B269" s="77" t="s">
        <v>10621</v>
      </c>
      <c r="C269" s="77" t="s">
        <v>665</v>
      </c>
      <c r="D269" s="77" t="s">
        <v>659</v>
      </c>
      <c r="E269" s="77">
        <v>6285757057088</v>
      </c>
      <c r="F269" s="78">
        <v>45821</v>
      </c>
      <c r="G269" s="79">
        <v>507</v>
      </c>
      <c r="H269" s="80">
        <v>22822.900763358779</v>
      </c>
      <c r="I269" s="79">
        <v>22</v>
      </c>
      <c r="J269" s="81">
        <v>14949</v>
      </c>
      <c r="K269" s="76">
        <v>1</v>
      </c>
      <c r="L269" s="76">
        <v>0</v>
      </c>
      <c r="M269" s="76">
        <v>0</v>
      </c>
      <c r="N269" s="82" t="s">
        <v>10636</v>
      </c>
      <c r="O269" s="83"/>
    </row>
    <row r="270" spans="1:15" ht="22.5" customHeight="1">
      <c r="A270" s="76">
        <v>174904221976312</v>
      </c>
      <c r="B270" s="77" t="s">
        <v>10651</v>
      </c>
      <c r="C270" s="77" t="s">
        <v>399</v>
      </c>
      <c r="D270" s="77" t="s">
        <v>394</v>
      </c>
      <c r="E270" s="77"/>
      <c r="F270" s="78">
        <v>45821</v>
      </c>
      <c r="G270" s="79">
        <v>2202</v>
      </c>
      <c r="H270" s="80">
        <v>4009.3930635838151</v>
      </c>
      <c r="I270" s="79">
        <v>79</v>
      </c>
      <c r="J270" s="81">
        <v>11098</v>
      </c>
      <c r="K270" s="76">
        <v>1</v>
      </c>
      <c r="L270" s="76">
        <v>888</v>
      </c>
      <c r="M270" s="76">
        <v>0</v>
      </c>
      <c r="N270" s="82" t="s">
        <v>10749</v>
      </c>
      <c r="O270" s="83"/>
    </row>
    <row r="271" spans="1:15" ht="22.5" customHeight="1">
      <c r="A271" s="76">
        <v>174904221976312</v>
      </c>
      <c r="B271" s="77" t="s">
        <v>10651</v>
      </c>
      <c r="C271" s="77" t="s">
        <v>311</v>
      </c>
      <c r="D271" s="77" t="s">
        <v>10737</v>
      </c>
      <c r="E271" s="77">
        <v>628988759290</v>
      </c>
      <c r="F271" s="78">
        <v>45821</v>
      </c>
      <c r="G271" s="79">
        <v>915</v>
      </c>
      <c r="H271" s="80">
        <v>11074.232081911263</v>
      </c>
      <c r="I271" s="79">
        <v>30</v>
      </c>
      <c r="J271" s="81">
        <v>12979</v>
      </c>
      <c r="K271" s="76">
        <v>3</v>
      </c>
      <c r="L271" s="76">
        <v>1</v>
      </c>
      <c r="M271" s="76">
        <v>0</v>
      </c>
      <c r="N271" s="82" t="s">
        <v>10738</v>
      </c>
      <c r="O271" s="83"/>
    </row>
    <row r="272" spans="1:15" ht="22.5" customHeight="1">
      <c r="A272" s="76">
        <v>174904221976312</v>
      </c>
      <c r="B272" s="77" t="s">
        <v>10651</v>
      </c>
      <c r="C272" s="77" t="s">
        <v>10727</v>
      </c>
      <c r="D272" s="77" t="s">
        <v>1044</v>
      </c>
      <c r="E272" s="77">
        <v>6281263113266</v>
      </c>
      <c r="F272" s="78">
        <v>45821</v>
      </c>
      <c r="G272" s="79">
        <v>1657</v>
      </c>
      <c r="H272" s="80">
        <v>8545.9641255605384</v>
      </c>
      <c r="I272" s="79">
        <v>54</v>
      </c>
      <c r="J272" s="81">
        <v>15246</v>
      </c>
      <c r="K272" s="76">
        <v>4</v>
      </c>
      <c r="L272" s="76">
        <v>716</v>
      </c>
      <c r="M272" s="76">
        <v>0</v>
      </c>
      <c r="N272" s="82" t="s">
        <v>10728</v>
      </c>
      <c r="O272" s="83"/>
    </row>
    <row r="273" spans="1:15" ht="22.5" customHeight="1">
      <c r="A273" s="76">
        <v>174904221976312</v>
      </c>
      <c r="B273" s="77" t="s">
        <v>10651</v>
      </c>
      <c r="C273" s="77" t="s">
        <v>10652</v>
      </c>
      <c r="D273" s="77" t="s">
        <v>10653</v>
      </c>
      <c r="E273" s="77">
        <v>6281348555887</v>
      </c>
      <c r="F273" s="78">
        <v>45821</v>
      </c>
      <c r="G273" s="79">
        <v>1400</v>
      </c>
      <c r="H273" s="80">
        <v>9289.2347600518806</v>
      </c>
      <c r="I273" s="79">
        <v>35</v>
      </c>
      <c r="J273" s="81">
        <v>14324</v>
      </c>
      <c r="K273" s="76">
        <v>0</v>
      </c>
      <c r="L273" s="76">
        <v>460</v>
      </c>
      <c r="M273" s="76">
        <v>0</v>
      </c>
      <c r="N273" s="82" t="s">
        <v>10654</v>
      </c>
      <c r="O273" s="83"/>
    </row>
    <row r="274" spans="1:15" ht="22.5" customHeight="1">
      <c r="A274" s="76">
        <v>174904221976312</v>
      </c>
      <c r="B274" s="77" t="s">
        <v>10651</v>
      </c>
      <c r="C274" s="77" t="s">
        <v>10655</v>
      </c>
      <c r="D274" s="77" t="s">
        <v>3908</v>
      </c>
      <c r="E274" s="77">
        <v>6285376667233</v>
      </c>
      <c r="F274" s="78">
        <v>45821</v>
      </c>
      <c r="G274" s="79">
        <v>861</v>
      </c>
      <c r="H274" s="80">
        <v>13888.768898488121</v>
      </c>
      <c r="I274" s="79">
        <v>10</v>
      </c>
      <c r="J274" s="81">
        <v>12861</v>
      </c>
      <c r="K274" s="76">
        <v>2</v>
      </c>
      <c r="L274" s="76">
        <v>265</v>
      </c>
      <c r="M274" s="76">
        <v>0</v>
      </c>
      <c r="N274" s="82" t="s">
        <v>10656</v>
      </c>
      <c r="O274" s="83"/>
    </row>
    <row r="275" spans="1:15" ht="22.5" customHeight="1">
      <c r="A275" s="76">
        <v>174904221976312</v>
      </c>
      <c r="B275" s="77" t="s">
        <v>10651</v>
      </c>
      <c r="C275" s="77" t="s">
        <v>63</v>
      </c>
      <c r="D275" s="77" t="s">
        <v>55</v>
      </c>
      <c r="E275" s="77">
        <v>6282226594414</v>
      </c>
      <c r="F275" s="78">
        <v>45821</v>
      </c>
      <c r="G275" s="79">
        <v>5522</v>
      </c>
      <c r="H275" s="80">
        <v>2202.1464039724492</v>
      </c>
      <c r="I275" s="79">
        <v>259</v>
      </c>
      <c r="J275" s="81">
        <v>13748</v>
      </c>
      <c r="K275" s="76">
        <v>27</v>
      </c>
      <c r="L275" s="76">
        <v>1150</v>
      </c>
      <c r="M275" s="76">
        <v>3</v>
      </c>
      <c r="N275" s="82" t="s">
        <v>10661</v>
      </c>
      <c r="O275" s="83"/>
    </row>
    <row r="276" spans="1:15" ht="22.5" customHeight="1">
      <c r="A276" s="76">
        <v>174904221976312</v>
      </c>
      <c r="B276" s="77" t="s">
        <v>10651</v>
      </c>
      <c r="C276" s="77" t="s">
        <v>10679</v>
      </c>
      <c r="D276" s="77" t="s">
        <v>10680</v>
      </c>
      <c r="E276" s="77">
        <v>6282347206488</v>
      </c>
      <c r="F276" s="78">
        <v>45821</v>
      </c>
      <c r="G276" s="79">
        <v>743</v>
      </c>
      <c r="H276" s="80">
        <v>13627.192982456141</v>
      </c>
      <c r="I276" s="79">
        <v>26</v>
      </c>
      <c r="J276" s="81">
        <v>12428</v>
      </c>
      <c r="K276" s="76">
        <v>1</v>
      </c>
      <c r="L276" s="76">
        <v>372</v>
      </c>
      <c r="M276" s="76">
        <v>0</v>
      </c>
      <c r="N276" s="82" t="s">
        <v>10681</v>
      </c>
      <c r="O276" s="83"/>
    </row>
    <row r="277" spans="1:15" ht="22.5" customHeight="1">
      <c r="A277" s="76">
        <v>766589657993298</v>
      </c>
      <c r="B277" s="77" t="s">
        <v>10688</v>
      </c>
      <c r="C277" s="77" t="s">
        <v>10750</v>
      </c>
      <c r="D277" s="77" t="s">
        <v>456</v>
      </c>
      <c r="E277" s="77">
        <v>6281278788088</v>
      </c>
      <c r="F277" s="78">
        <v>45821</v>
      </c>
      <c r="G277" s="79">
        <v>810</v>
      </c>
      <c r="H277" s="80">
        <v>13155.056179775282</v>
      </c>
      <c r="I277" s="79">
        <v>11</v>
      </c>
      <c r="J277" s="81">
        <v>11708</v>
      </c>
      <c r="K277" s="76">
        <v>0</v>
      </c>
      <c r="L277" s="76">
        <v>250</v>
      </c>
      <c r="M277" s="76">
        <v>0</v>
      </c>
      <c r="N277" s="82" t="s">
        <v>10751</v>
      </c>
      <c r="O277" s="83"/>
    </row>
    <row r="278" spans="1:15" ht="22.5" customHeight="1">
      <c r="A278" s="76">
        <v>766589657993298</v>
      </c>
      <c r="B278" s="77" t="s">
        <v>10688</v>
      </c>
      <c r="C278" s="77" t="s">
        <v>10752</v>
      </c>
      <c r="D278" s="77" t="s">
        <v>10753</v>
      </c>
      <c r="E278" s="77">
        <v>6281340892328</v>
      </c>
      <c r="F278" s="78">
        <v>45821</v>
      </c>
      <c r="G278" s="79">
        <v>1171</v>
      </c>
      <c r="H278" s="80">
        <v>11483.870967741936</v>
      </c>
      <c r="I278" s="79">
        <v>31</v>
      </c>
      <c r="J278" s="81">
        <v>16376</v>
      </c>
      <c r="K278" s="76">
        <v>3</v>
      </c>
      <c r="L278" s="76">
        <v>499</v>
      </c>
      <c r="M278" s="76">
        <v>0</v>
      </c>
      <c r="N278" s="82" t="s">
        <v>10754</v>
      </c>
      <c r="O278" s="83"/>
    </row>
    <row r="279" spans="1:15" ht="22.5" customHeight="1">
      <c r="A279" s="76">
        <v>766589657993298</v>
      </c>
      <c r="B279" s="77" t="s">
        <v>10688</v>
      </c>
      <c r="C279" s="77" t="s">
        <v>10743</v>
      </c>
      <c r="D279" s="77" t="s">
        <v>10744</v>
      </c>
      <c r="E279" s="77">
        <v>6282211675028</v>
      </c>
      <c r="F279" s="78">
        <v>45821</v>
      </c>
      <c r="G279" s="79">
        <v>928</v>
      </c>
      <c r="H279" s="80">
        <v>13459.45945945946</v>
      </c>
      <c r="I279" s="79">
        <v>28</v>
      </c>
      <c r="J279" s="81">
        <v>14940</v>
      </c>
      <c r="K279" s="76">
        <v>4</v>
      </c>
      <c r="L279" s="76">
        <v>525</v>
      </c>
      <c r="M279" s="76">
        <v>1</v>
      </c>
      <c r="N279" s="82" t="s">
        <v>10745</v>
      </c>
      <c r="O279" s="83"/>
    </row>
    <row r="280" spans="1:15" ht="22.5" customHeight="1">
      <c r="A280" s="76">
        <v>766589657993298</v>
      </c>
      <c r="B280" s="77" t="s">
        <v>10688</v>
      </c>
      <c r="C280" s="77" t="s">
        <v>10746</v>
      </c>
      <c r="D280" s="77" t="s">
        <v>10747</v>
      </c>
      <c r="E280" s="77">
        <v>6281222110766</v>
      </c>
      <c r="F280" s="78">
        <v>45821</v>
      </c>
      <c r="G280" s="79">
        <v>656</v>
      </c>
      <c r="H280" s="80">
        <v>23066.10407876231</v>
      </c>
      <c r="I280" s="79">
        <v>6</v>
      </c>
      <c r="J280" s="81">
        <v>16400</v>
      </c>
      <c r="K280" s="76">
        <v>1</v>
      </c>
      <c r="L280" s="76">
        <v>250</v>
      </c>
      <c r="M280" s="76">
        <v>0</v>
      </c>
      <c r="N280" s="82" t="s">
        <v>10748</v>
      </c>
      <c r="O280" s="83"/>
    </row>
    <row r="281" spans="1:15" ht="22.5" customHeight="1">
      <c r="A281" s="76">
        <v>766589657993298</v>
      </c>
      <c r="B281" s="77" t="s">
        <v>10688</v>
      </c>
      <c r="C281" s="77" t="s">
        <v>10739</v>
      </c>
      <c r="D281" s="77" t="s">
        <v>429</v>
      </c>
      <c r="E281" s="77">
        <v>6282399006447</v>
      </c>
      <c r="F281" s="78">
        <v>45821</v>
      </c>
      <c r="G281" s="79">
        <v>1205</v>
      </c>
      <c r="H281" s="80">
        <v>12563.099041533545</v>
      </c>
      <c r="I281" s="79">
        <v>35</v>
      </c>
      <c r="J281" s="81">
        <v>15729</v>
      </c>
      <c r="K281" s="76">
        <v>4</v>
      </c>
      <c r="L281" s="76">
        <v>631</v>
      </c>
      <c r="M281" s="76">
        <v>0</v>
      </c>
      <c r="N281" s="82" t="s">
        <v>10740</v>
      </c>
      <c r="O281" s="83"/>
    </row>
    <row r="282" spans="1:15" ht="22.5" customHeight="1">
      <c r="A282" s="76">
        <v>766589657993298</v>
      </c>
      <c r="B282" s="77" t="s">
        <v>10688</v>
      </c>
      <c r="C282" s="77" t="s">
        <v>10734</v>
      </c>
      <c r="D282" s="77" t="s">
        <v>10735</v>
      </c>
      <c r="E282" s="77">
        <v>6283134740502</v>
      </c>
      <c r="F282" s="78">
        <v>45821</v>
      </c>
      <c r="G282" s="79">
        <v>917</v>
      </c>
      <c r="H282" s="80">
        <v>14360</v>
      </c>
      <c r="I282" s="79">
        <v>41</v>
      </c>
      <c r="J282" s="81">
        <v>15796</v>
      </c>
      <c r="K282" s="76">
        <v>3</v>
      </c>
      <c r="L282" s="76">
        <v>14</v>
      </c>
      <c r="M282" s="76">
        <v>0</v>
      </c>
      <c r="N282" s="82" t="s">
        <v>10736</v>
      </c>
      <c r="O282" s="83"/>
    </row>
    <row r="283" spans="1:15" ht="22.5" customHeight="1">
      <c r="A283" s="76">
        <v>766589657993298</v>
      </c>
      <c r="B283" s="77" t="s">
        <v>10688</v>
      </c>
      <c r="C283" s="77" t="s">
        <v>10705</v>
      </c>
      <c r="D283" s="77" t="s">
        <v>10706</v>
      </c>
      <c r="E283" s="77">
        <v>6281904501876</v>
      </c>
      <c r="F283" s="78">
        <v>45821</v>
      </c>
      <c r="G283" s="79">
        <v>568</v>
      </c>
      <c r="H283" s="80">
        <v>23604.90045941807</v>
      </c>
      <c r="I283" s="79">
        <v>41</v>
      </c>
      <c r="J283" s="81">
        <v>15414</v>
      </c>
      <c r="K283" s="76">
        <v>4</v>
      </c>
      <c r="L283" s="76">
        <v>322</v>
      </c>
      <c r="M283" s="76">
        <v>0</v>
      </c>
      <c r="N283" s="82" t="s">
        <v>10707</v>
      </c>
      <c r="O283" s="83"/>
    </row>
    <row r="284" spans="1:15" ht="22.5" customHeight="1">
      <c r="A284" s="76">
        <v>766589657993298</v>
      </c>
      <c r="B284" s="77" t="s">
        <v>10688</v>
      </c>
      <c r="C284" s="77" t="s">
        <v>10722</v>
      </c>
      <c r="D284" s="77" t="s">
        <v>10723</v>
      </c>
      <c r="E284" s="77">
        <v>6281515877050</v>
      </c>
      <c r="F284" s="78">
        <v>45821</v>
      </c>
      <c r="G284" s="79">
        <v>480</v>
      </c>
      <c r="H284" s="80">
        <v>22013.671875</v>
      </c>
      <c r="I284" s="79">
        <v>5</v>
      </c>
      <c r="J284" s="81">
        <v>11271</v>
      </c>
      <c r="K284" s="76">
        <v>1</v>
      </c>
      <c r="L284" s="76">
        <v>181</v>
      </c>
      <c r="M284" s="76">
        <v>0</v>
      </c>
      <c r="N284" s="82" t="s">
        <v>10724</v>
      </c>
      <c r="O284" s="83"/>
    </row>
    <row r="285" spans="1:15" ht="22.5" customHeight="1">
      <c r="A285" s="76">
        <v>766589657993298</v>
      </c>
      <c r="B285" s="77" t="s">
        <v>10688</v>
      </c>
      <c r="C285" s="77" t="s">
        <v>10701</v>
      </c>
      <c r="D285" s="77" t="s">
        <v>5669</v>
      </c>
      <c r="E285" s="77">
        <v>6282288123215</v>
      </c>
      <c r="F285" s="78">
        <v>45821</v>
      </c>
      <c r="G285" s="79">
        <v>1582</v>
      </c>
      <c r="H285" s="80">
        <v>8720.2914798206275</v>
      </c>
      <c r="I285" s="79">
        <v>22</v>
      </c>
      <c r="J285" s="81">
        <v>15557</v>
      </c>
      <c r="K285" s="76">
        <v>1</v>
      </c>
      <c r="L285" s="76">
        <v>391</v>
      </c>
      <c r="M285" s="76">
        <v>0</v>
      </c>
      <c r="N285" s="82" t="s">
        <v>10702</v>
      </c>
      <c r="O285" s="83"/>
    </row>
    <row r="286" spans="1:15" ht="22.5" customHeight="1">
      <c r="A286" s="76">
        <v>759724529202804</v>
      </c>
      <c r="B286" s="77" t="s">
        <v>10621</v>
      </c>
      <c r="C286" s="77" t="s">
        <v>540</v>
      </c>
      <c r="D286" s="77" t="s">
        <v>10755</v>
      </c>
      <c r="E286" s="77">
        <v>6281335728695</v>
      </c>
      <c r="F286" s="78">
        <v>45822</v>
      </c>
      <c r="G286" s="79">
        <v>579</v>
      </c>
      <c r="H286" s="80">
        <v>11772.131147540984</v>
      </c>
      <c r="I286" s="79">
        <v>4</v>
      </c>
      <c r="J286" s="81">
        <v>7181</v>
      </c>
      <c r="K286" s="76">
        <v>0</v>
      </c>
      <c r="L286" s="76">
        <v>365</v>
      </c>
      <c r="M286" s="76">
        <v>0</v>
      </c>
      <c r="N286" s="82" t="s">
        <v>10756</v>
      </c>
      <c r="O286" s="83"/>
    </row>
    <row r="287" spans="1:15" ht="22.5" customHeight="1">
      <c r="A287" s="76">
        <v>759724529202804</v>
      </c>
      <c r="B287" s="77" t="s">
        <v>10621</v>
      </c>
      <c r="C287" s="77" t="s">
        <v>531</v>
      </c>
      <c r="D287" s="77" t="s">
        <v>10757</v>
      </c>
      <c r="E287" s="77">
        <v>6281216962242</v>
      </c>
      <c r="F287" s="78">
        <v>45822</v>
      </c>
      <c r="G287" s="79">
        <v>466</v>
      </c>
      <c r="H287" s="80">
        <v>16763.809523809523</v>
      </c>
      <c r="I287" s="79">
        <v>10</v>
      </c>
      <c r="J287" s="81">
        <v>8801</v>
      </c>
      <c r="K287" s="76">
        <v>0</v>
      </c>
      <c r="L287" s="76">
        <v>129</v>
      </c>
      <c r="M287" s="76">
        <v>0</v>
      </c>
      <c r="N287" s="82" t="s">
        <v>10758</v>
      </c>
      <c r="O287" s="83"/>
    </row>
    <row r="288" spans="1:15" ht="22.5" customHeight="1">
      <c r="A288" s="76">
        <v>759724529202804</v>
      </c>
      <c r="B288" s="77" t="s">
        <v>10621</v>
      </c>
      <c r="C288" s="77" t="s">
        <v>250</v>
      </c>
      <c r="D288" s="77" t="s">
        <v>10729</v>
      </c>
      <c r="E288" s="77">
        <v>6282274447649</v>
      </c>
      <c r="F288" s="78">
        <v>45822</v>
      </c>
      <c r="G288" s="79">
        <v>612</v>
      </c>
      <c r="H288" s="80">
        <v>23179.945054945056</v>
      </c>
      <c r="I288" s="79">
        <v>28</v>
      </c>
      <c r="J288" s="81">
        <v>16875</v>
      </c>
      <c r="K288" s="76">
        <v>3</v>
      </c>
      <c r="L288" s="76">
        <v>0</v>
      </c>
      <c r="M288" s="76">
        <v>0</v>
      </c>
      <c r="N288" s="82" t="s">
        <v>10730</v>
      </c>
      <c r="O288" s="83"/>
    </row>
    <row r="289" spans="1:15" ht="22.5" customHeight="1">
      <c r="A289" s="76">
        <v>759724529202804</v>
      </c>
      <c r="B289" s="77" t="s">
        <v>10621</v>
      </c>
      <c r="C289" s="77" t="s">
        <v>332</v>
      </c>
      <c r="D289" s="77" t="s">
        <v>10708</v>
      </c>
      <c r="E289" s="77">
        <v>6282350524788</v>
      </c>
      <c r="F289" s="78">
        <v>45822</v>
      </c>
      <c r="G289" s="79">
        <v>925</v>
      </c>
      <c r="H289" s="80">
        <v>15324.08236347359</v>
      </c>
      <c r="I289" s="79">
        <v>26</v>
      </c>
      <c r="J289" s="81">
        <v>17117</v>
      </c>
      <c r="K289" s="76">
        <v>4</v>
      </c>
      <c r="L289" s="76">
        <v>194</v>
      </c>
      <c r="M289" s="76">
        <v>0</v>
      </c>
      <c r="N289" s="82" t="s">
        <v>10709</v>
      </c>
      <c r="O289" s="83"/>
    </row>
    <row r="290" spans="1:15" ht="22.5" customHeight="1">
      <c r="A290" s="76">
        <v>759724529202804</v>
      </c>
      <c r="B290" s="77" t="s">
        <v>10621</v>
      </c>
      <c r="C290" s="77" t="s">
        <v>206</v>
      </c>
      <c r="D290" s="77" t="s">
        <v>199</v>
      </c>
      <c r="E290" s="77">
        <v>6285220903499</v>
      </c>
      <c r="F290" s="78">
        <v>45822</v>
      </c>
      <c r="G290" s="79">
        <v>819</v>
      </c>
      <c r="H290" s="80">
        <v>17833.498513379585</v>
      </c>
      <c r="I290" s="79">
        <v>37</v>
      </c>
      <c r="J290" s="81">
        <v>17994</v>
      </c>
      <c r="K290" s="76">
        <v>4</v>
      </c>
      <c r="L290" s="76">
        <v>135</v>
      </c>
      <c r="M290" s="76">
        <v>1</v>
      </c>
      <c r="N290" s="82" t="s">
        <v>10628</v>
      </c>
      <c r="O290" s="83"/>
    </row>
    <row r="291" spans="1:15" ht="22.5" customHeight="1">
      <c r="A291" s="76">
        <v>759724529202804</v>
      </c>
      <c r="B291" s="77" t="s">
        <v>10621</v>
      </c>
      <c r="C291" s="77" t="s">
        <v>665</v>
      </c>
      <c r="D291" s="77" t="s">
        <v>659</v>
      </c>
      <c r="E291" s="77">
        <v>6285757057088</v>
      </c>
      <c r="F291" s="78">
        <v>45822</v>
      </c>
      <c r="G291" s="79">
        <v>1001</v>
      </c>
      <c r="H291" s="80">
        <v>13796.747967479674</v>
      </c>
      <c r="I291" s="79">
        <v>23</v>
      </c>
      <c r="J291" s="81">
        <v>16970</v>
      </c>
      <c r="K291" s="76">
        <v>2</v>
      </c>
      <c r="L291" s="76">
        <v>0</v>
      </c>
      <c r="M291" s="76">
        <v>0</v>
      </c>
      <c r="N291" s="82" t="s">
        <v>10636</v>
      </c>
      <c r="O291" s="83"/>
    </row>
    <row r="292" spans="1:15" ht="22.5" customHeight="1">
      <c r="A292" s="76">
        <v>174904221976312</v>
      </c>
      <c r="B292" s="77" t="s">
        <v>10651</v>
      </c>
      <c r="C292" s="77" t="s">
        <v>8099</v>
      </c>
      <c r="D292" s="77" t="s">
        <v>2357</v>
      </c>
      <c r="E292" s="77">
        <v>6281221788919</v>
      </c>
      <c r="F292" s="78">
        <v>45822</v>
      </c>
      <c r="G292" s="79">
        <v>217</v>
      </c>
      <c r="H292" s="80">
        <v>9469.8275862068967</v>
      </c>
      <c r="I292" s="79">
        <v>4</v>
      </c>
      <c r="J292" s="81">
        <v>2197</v>
      </c>
      <c r="K292" s="76">
        <v>0</v>
      </c>
      <c r="L292" s="76">
        <v>68</v>
      </c>
      <c r="M292" s="76">
        <v>0</v>
      </c>
      <c r="N292" s="82" t="s">
        <v>10759</v>
      </c>
      <c r="O292" s="83"/>
    </row>
    <row r="293" spans="1:15" ht="22.5" customHeight="1">
      <c r="A293" s="76">
        <v>174904221976312</v>
      </c>
      <c r="B293" s="77" t="s">
        <v>10651</v>
      </c>
      <c r="C293" s="77" t="s">
        <v>441</v>
      </c>
      <c r="D293" s="77" t="s">
        <v>10760</v>
      </c>
      <c r="E293" s="77">
        <v>6285864008882</v>
      </c>
      <c r="F293" s="78">
        <v>45822</v>
      </c>
      <c r="G293" s="79">
        <v>471</v>
      </c>
      <c r="H293" s="80">
        <v>10359.259259259259</v>
      </c>
      <c r="I293" s="79">
        <v>8</v>
      </c>
      <c r="J293" s="81">
        <v>5594</v>
      </c>
      <c r="K293" s="76">
        <v>0</v>
      </c>
      <c r="L293" s="76">
        <v>146</v>
      </c>
      <c r="M293" s="76">
        <v>0</v>
      </c>
      <c r="N293" s="82" t="s">
        <v>10761</v>
      </c>
      <c r="O293" s="83"/>
    </row>
    <row r="294" spans="1:15" ht="22.5" customHeight="1">
      <c r="A294" s="76">
        <v>174904221976312</v>
      </c>
      <c r="B294" s="77" t="s">
        <v>10651</v>
      </c>
      <c r="C294" s="77" t="s">
        <v>399</v>
      </c>
      <c r="D294" s="77" t="s">
        <v>394</v>
      </c>
      <c r="E294" s="77"/>
      <c r="F294" s="78">
        <v>45822</v>
      </c>
      <c r="G294" s="79">
        <v>4417</v>
      </c>
      <c r="H294" s="80">
        <v>2348.7031700288185</v>
      </c>
      <c r="I294" s="79">
        <v>100</v>
      </c>
      <c r="J294" s="81">
        <v>12225</v>
      </c>
      <c r="K294" s="76">
        <v>19</v>
      </c>
      <c r="L294" s="76">
        <v>0</v>
      </c>
      <c r="M294" s="76">
        <v>0</v>
      </c>
      <c r="N294" s="82" t="s">
        <v>10749</v>
      </c>
      <c r="O294" s="83"/>
    </row>
    <row r="295" spans="1:15" ht="22.5" customHeight="1">
      <c r="A295" s="76">
        <v>174904221976312</v>
      </c>
      <c r="B295" s="77" t="s">
        <v>10651</v>
      </c>
      <c r="C295" s="77" t="s">
        <v>311</v>
      </c>
      <c r="D295" s="77" t="s">
        <v>10737</v>
      </c>
      <c r="E295" s="77">
        <v>628988759290</v>
      </c>
      <c r="F295" s="78">
        <v>45822</v>
      </c>
      <c r="G295" s="79">
        <v>879</v>
      </c>
      <c r="H295" s="80">
        <v>9802.7210884353753</v>
      </c>
      <c r="I295" s="79">
        <v>17</v>
      </c>
      <c r="J295" s="81">
        <v>10087</v>
      </c>
      <c r="K295" s="76">
        <v>1</v>
      </c>
      <c r="L295" s="76">
        <v>1</v>
      </c>
      <c r="M295" s="76">
        <v>0</v>
      </c>
      <c r="N295" s="82" t="s">
        <v>10738</v>
      </c>
      <c r="O295" s="83"/>
    </row>
    <row r="296" spans="1:15" ht="22.5" customHeight="1">
      <c r="A296" s="76">
        <v>174904221976312</v>
      </c>
      <c r="B296" s="77" t="s">
        <v>10651</v>
      </c>
      <c r="C296" s="77" t="s">
        <v>10652</v>
      </c>
      <c r="D296" s="77" t="s">
        <v>10653</v>
      </c>
      <c r="E296" s="77">
        <v>6281348555887</v>
      </c>
      <c r="F296" s="78">
        <v>45822</v>
      </c>
      <c r="G296" s="79">
        <v>1251</v>
      </c>
      <c r="H296" s="80">
        <v>8706.4989517819704</v>
      </c>
      <c r="I296" s="79">
        <v>40</v>
      </c>
      <c r="J296" s="81">
        <v>12459</v>
      </c>
      <c r="K296" s="76">
        <v>2</v>
      </c>
      <c r="L296" s="76">
        <v>415</v>
      </c>
      <c r="M296" s="76">
        <v>0</v>
      </c>
      <c r="N296" s="82" t="s">
        <v>10654</v>
      </c>
      <c r="O296" s="83"/>
    </row>
    <row r="297" spans="1:15" ht="22.5" customHeight="1">
      <c r="A297" s="76">
        <v>174904221976312</v>
      </c>
      <c r="B297" s="77" t="s">
        <v>10651</v>
      </c>
      <c r="C297" s="77" t="s">
        <v>10655</v>
      </c>
      <c r="D297" s="77" t="s">
        <v>3908</v>
      </c>
      <c r="E297" s="77">
        <v>6285376667233</v>
      </c>
      <c r="F297" s="78">
        <v>45822</v>
      </c>
      <c r="G297" s="79">
        <v>909</v>
      </c>
      <c r="H297" s="80">
        <v>12653.040877367896</v>
      </c>
      <c r="I297" s="79">
        <v>24</v>
      </c>
      <c r="J297" s="81">
        <v>12691</v>
      </c>
      <c r="K297" s="76">
        <v>4</v>
      </c>
      <c r="L297" s="76">
        <v>299</v>
      </c>
      <c r="M297" s="76">
        <v>0</v>
      </c>
      <c r="N297" s="82" t="s">
        <v>10656</v>
      </c>
      <c r="O297" s="83"/>
    </row>
    <row r="298" spans="1:15" ht="22.5" customHeight="1">
      <c r="A298" s="76">
        <v>174904221976312</v>
      </c>
      <c r="B298" s="77" t="s">
        <v>10651</v>
      </c>
      <c r="C298" s="77" t="s">
        <v>10659</v>
      </c>
      <c r="D298" s="77" t="s">
        <v>1044</v>
      </c>
      <c r="E298" s="77">
        <v>6281263113266</v>
      </c>
      <c r="F298" s="78">
        <v>45822</v>
      </c>
      <c r="G298" s="79">
        <v>1468</v>
      </c>
      <c r="H298" s="80">
        <v>5933.0808080808083</v>
      </c>
      <c r="I298" s="79">
        <v>57</v>
      </c>
      <c r="J298" s="81">
        <v>9398</v>
      </c>
      <c r="K298" s="76">
        <v>2</v>
      </c>
      <c r="L298" s="76">
        <v>497</v>
      </c>
      <c r="M298" s="76">
        <v>2</v>
      </c>
      <c r="N298" s="82" t="s">
        <v>10660</v>
      </c>
      <c r="O298" s="83"/>
    </row>
    <row r="299" spans="1:15" ht="22.5" customHeight="1">
      <c r="A299" s="76">
        <v>174904221976312</v>
      </c>
      <c r="B299" s="77" t="s">
        <v>10651</v>
      </c>
      <c r="C299" s="77" t="s">
        <v>63</v>
      </c>
      <c r="D299" s="77" t="s">
        <v>55</v>
      </c>
      <c r="E299" s="77">
        <v>6282226594414</v>
      </c>
      <c r="F299" s="78">
        <v>45822</v>
      </c>
      <c r="G299" s="79">
        <v>3201</v>
      </c>
      <c r="H299" s="80">
        <v>3736.5415986949429</v>
      </c>
      <c r="I299" s="79">
        <v>85</v>
      </c>
      <c r="J299" s="81">
        <v>13743</v>
      </c>
      <c r="K299" s="76">
        <v>9</v>
      </c>
      <c r="L299" s="76">
        <v>1254</v>
      </c>
      <c r="M299" s="76">
        <v>0</v>
      </c>
      <c r="N299" s="82" t="s">
        <v>10661</v>
      </c>
      <c r="O299" s="83"/>
    </row>
    <row r="300" spans="1:15" ht="22.5" customHeight="1">
      <c r="A300" s="76">
        <v>174904221976312</v>
      </c>
      <c r="B300" s="77" t="s">
        <v>10651</v>
      </c>
      <c r="C300" s="77" t="s">
        <v>10679</v>
      </c>
      <c r="D300" s="77" t="s">
        <v>10680</v>
      </c>
      <c r="E300" s="77">
        <v>6282347206488</v>
      </c>
      <c r="F300" s="78">
        <v>45822</v>
      </c>
      <c r="G300" s="79">
        <v>1085</v>
      </c>
      <c r="H300" s="80">
        <v>9212.0060790273565</v>
      </c>
      <c r="I300" s="79">
        <v>26</v>
      </c>
      <c r="J300" s="81">
        <v>12123</v>
      </c>
      <c r="K300" s="76">
        <v>2</v>
      </c>
      <c r="L300" s="76">
        <v>486</v>
      </c>
      <c r="M300" s="76">
        <v>1</v>
      </c>
      <c r="N300" s="82" t="s">
        <v>10681</v>
      </c>
      <c r="O300" s="83"/>
    </row>
    <row r="301" spans="1:15" ht="22.5" customHeight="1">
      <c r="A301" s="76">
        <v>174904221976312</v>
      </c>
      <c r="B301" s="77" t="s">
        <v>10651</v>
      </c>
      <c r="C301" s="77" t="s">
        <v>10731</v>
      </c>
      <c r="D301" s="77" t="s">
        <v>10732</v>
      </c>
      <c r="E301" s="77">
        <v>6281241440688</v>
      </c>
      <c r="F301" s="78">
        <v>45822</v>
      </c>
      <c r="G301" s="79">
        <v>1550</v>
      </c>
      <c r="H301" s="80">
        <v>6484.659090909091</v>
      </c>
      <c r="I301" s="79">
        <v>20</v>
      </c>
      <c r="J301" s="81">
        <v>11413</v>
      </c>
      <c r="K301" s="76">
        <v>1</v>
      </c>
      <c r="L301" s="76">
        <v>494</v>
      </c>
      <c r="M301" s="76">
        <v>0</v>
      </c>
      <c r="N301" s="82" t="s">
        <v>10733</v>
      </c>
      <c r="O301" s="83"/>
    </row>
    <row r="302" spans="1:15" ht="22.5" customHeight="1">
      <c r="A302" s="76">
        <v>766589657993298</v>
      </c>
      <c r="B302" s="77" t="s">
        <v>10688</v>
      </c>
      <c r="C302" s="77" t="s">
        <v>10762</v>
      </c>
      <c r="D302" s="77" t="s">
        <v>10763</v>
      </c>
      <c r="E302" s="77">
        <v>6285210107607</v>
      </c>
      <c r="F302" s="78">
        <v>45822</v>
      </c>
      <c r="G302" s="79">
        <v>8</v>
      </c>
      <c r="H302" s="80">
        <v>42000</v>
      </c>
      <c r="I302" s="79">
        <v>0</v>
      </c>
      <c r="J302" s="81">
        <v>336</v>
      </c>
      <c r="K302" s="76">
        <v>0</v>
      </c>
      <c r="L302" s="76">
        <v>3</v>
      </c>
      <c r="M302" s="76">
        <v>0</v>
      </c>
      <c r="N302" s="82" t="s">
        <v>10764</v>
      </c>
      <c r="O302" s="83"/>
    </row>
    <row r="303" spans="1:15" ht="22.5" customHeight="1">
      <c r="A303" s="76">
        <v>766589657993298</v>
      </c>
      <c r="B303" s="77" t="s">
        <v>10688</v>
      </c>
      <c r="C303" s="77" t="s">
        <v>10765</v>
      </c>
      <c r="D303" s="77" t="s">
        <v>350</v>
      </c>
      <c r="E303" s="77">
        <v>6282393168368</v>
      </c>
      <c r="F303" s="78">
        <v>45822</v>
      </c>
      <c r="G303" s="79">
        <v>125</v>
      </c>
      <c r="H303" s="80">
        <v>35687.5</v>
      </c>
      <c r="I303" s="79">
        <v>1</v>
      </c>
      <c r="J303" s="81">
        <v>5139</v>
      </c>
      <c r="K303" s="76">
        <v>0</v>
      </c>
      <c r="L303" s="76">
        <v>40</v>
      </c>
      <c r="M303" s="76">
        <v>0</v>
      </c>
      <c r="N303" s="82" t="s">
        <v>10766</v>
      </c>
      <c r="O303" s="83"/>
    </row>
    <row r="304" spans="1:15" ht="22.5" customHeight="1">
      <c r="A304" s="76">
        <v>766589657993298</v>
      </c>
      <c r="B304" s="77" t="s">
        <v>10688</v>
      </c>
      <c r="C304" s="77" t="s">
        <v>10767</v>
      </c>
      <c r="D304" s="77" t="s">
        <v>10768</v>
      </c>
      <c r="E304" s="77">
        <v>6281519225886</v>
      </c>
      <c r="F304" s="78">
        <v>45822</v>
      </c>
      <c r="G304" s="79">
        <v>321</v>
      </c>
      <c r="H304" s="80">
        <v>36153.392330383482</v>
      </c>
      <c r="I304" s="79">
        <v>4</v>
      </c>
      <c r="J304" s="81">
        <v>12256</v>
      </c>
      <c r="K304" s="76">
        <v>0</v>
      </c>
      <c r="L304" s="76">
        <v>48</v>
      </c>
      <c r="M304" s="76">
        <v>0</v>
      </c>
      <c r="N304" s="82" t="s">
        <v>10769</v>
      </c>
      <c r="O304" s="83"/>
    </row>
    <row r="305" spans="1:15" ht="22.5" customHeight="1">
      <c r="A305" s="76">
        <v>766589657993298</v>
      </c>
      <c r="B305" s="77" t="s">
        <v>10688</v>
      </c>
      <c r="C305" s="77" t="s">
        <v>10750</v>
      </c>
      <c r="D305" s="77" t="s">
        <v>456</v>
      </c>
      <c r="E305" s="77">
        <v>6281278788088</v>
      </c>
      <c r="F305" s="78">
        <v>45822</v>
      </c>
      <c r="G305" s="79">
        <v>591</v>
      </c>
      <c r="H305" s="80">
        <v>19206.451612903227</v>
      </c>
      <c r="I305" s="79">
        <v>7</v>
      </c>
      <c r="J305" s="81">
        <v>11908</v>
      </c>
      <c r="K305" s="76">
        <v>1</v>
      </c>
      <c r="L305" s="76">
        <v>148</v>
      </c>
      <c r="M305" s="76">
        <v>0</v>
      </c>
      <c r="N305" s="82" t="s">
        <v>10751</v>
      </c>
      <c r="O305" s="83"/>
    </row>
    <row r="306" spans="1:15" ht="22.5" customHeight="1">
      <c r="A306" s="76">
        <v>766589657993298</v>
      </c>
      <c r="B306" s="77" t="s">
        <v>10688</v>
      </c>
      <c r="C306" s="77" t="s">
        <v>10741</v>
      </c>
      <c r="D306" s="77" t="s">
        <v>559</v>
      </c>
      <c r="E306" s="77">
        <v>6281952482523</v>
      </c>
      <c r="F306" s="78">
        <v>45822</v>
      </c>
      <c r="G306" s="79">
        <v>446</v>
      </c>
      <c r="H306" s="80">
        <v>20485.232067510547</v>
      </c>
      <c r="I306" s="79">
        <v>10</v>
      </c>
      <c r="J306" s="81">
        <v>9710</v>
      </c>
      <c r="K306" s="76">
        <v>0</v>
      </c>
      <c r="L306" s="76">
        <v>228</v>
      </c>
      <c r="M306" s="76">
        <v>0</v>
      </c>
      <c r="N306" s="82" t="s">
        <v>10742</v>
      </c>
      <c r="O306" s="83"/>
    </row>
    <row r="307" spans="1:15" ht="22.5" customHeight="1">
      <c r="A307" s="76">
        <v>766589657993298</v>
      </c>
      <c r="B307" s="77" t="s">
        <v>10688</v>
      </c>
      <c r="C307" s="77" t="s">
        <v>10752</v>
      </c>
      <c r="D307" s="77" t="s">
        <v>10753</v>
      </c>
      <c r="E307" s="77">
        <v>6281340892328</v>
      </c>
      <c r="F307" s="78">
        <v>45822</v>
      </c>
      <c r="G307" s="79">
        <v>1333</v>
      </c>
      <c r="H307" s="80">
        <v>8622.5120109814688</v>
      </c>
      <c r="I307" s="79">
        <v>26</v>
      </c>
      <c r="J307" s="81">
        <v>12563</v>
      </c>
      <c r="K307" s="76">
        <v>1</v>
      </c>
      <c r="L307" s="76">
        <v>419</v>
      </c>
      <c r="M307" s="76">
        <v>0</v>
      </c>
      <c r="N307" s="82" t="s">
        <v>10754</v>
      </c>
      <c r="O307" s="83"/>
    </row>
    <row r="308" spans="1:15" ht="22.5" customHeight="1">
      <c r="A308" s="76">
        <v>766589657993298</v>
      </c>
      <c r="B308" s="77" t="s">
        <v>10688</v>
      </c>
      <c r="C308" s="77" t="s">
        <v>10743</v>
      </c>
      <c r="D308" s="77" t="s">
        <v>10744</v>
      </c>
      <c r="E308" s="77">
        <v>6282211675028</v>
      </c>
      <c r="F308" s="78">
        <v>45822</v>
      </c>
      <c r="G308" s="79">
        <v>1117</v>
      </c>
      <c r="H308" s="80">
        <v>8433.1761006289307</v>
      </c>
      <c r="I308" s="79">
        <v>17</v>
      </c>
      <c r="J308" s="81">
        <v>10727</v>
      </c>
      <c r="K308" s="76">
        <v>1</v>
      </c>
      <c r="L308" s="76">
        <v>622</v>
      </c>
      <c r="M308" s="76">
        <v>0</v>
      </c>
      <c r="N308" s="82" t="s">
        <v>10745</v>
      </c>
      <c r="O308" s="83"/>
    </row>
    <row r="309" spans="1:15" ht="22.5" customHeight="1">
      <c r="A309" s="76">
        <v>766589657993298</v>
      </c>
      <c r="B309" s="77" t="s">
        <v>10688</v>
      </c>
      <c r="C309" s="77" t="s">
        <v>10746</v>
      </c>
      <c r="D309" s="77" t="s">
        <v>10747</v>
      </c>
      <c r="E309" s="77">
        <v>6281222110766</v>
      </c>
      <c r="F309" s="78">
        <v>45822</v>
      </c>
      <c r="G309" s="79">
        <v>112</v>
      </c>
      <c r="H309" s="80">
        <v>36115.044247787606</v>
      </c>
      <c r="I309" s="79">
        <v>3</v>
      </c>
      <c r="J309" s="81">
        <v>4081</v>
      </c>
      <c r="K309" s="76">
        <v>0</v>
      </c>
      <c r="L309" s="76">
        <v>70</v>
      </c>
      <c r="M309" s="76">
        <v>0</v>
      </c>
      <c r="N309" s="82" t="s">
        <v>10748</v>
      </c>
      <c r="O309" s="83"/>
    </row>
    <row r="310" spans="1:15" ht="22.5" customHeight="1">
      <c r="A310" s="76">
        <v>766589657993298</v>
      </c>
      <c r="B310" s="77" t="s">
        <v>10688</v>
      </c>
      <c r="C310" s="77" t="s">
        <v>10739</v>
      </c>
      <c r="D310" s="77" t="s">
        <v>429</v>
      </c>
      <c r="E310" s="77">
        <v>6282399006447</v>
      </c>
      <c r="F310" s="78">
        <v>45822</v>
      </c>
      <c r="G310" s="79">
        <v>1114</v>
      </c>
      <c r="H310" s="80">
        <v>10321.039396479464</v>
      </c>
      <c r="I310" s="79">
        <v>35</v>
      </c>
      <c r="J310" s="81">
        <v>12313</v>
      </c>
      <c r="K310" s="76">
        <v>1</v>
      </c>
      <c r="L310" s="76">
        <v>584</v>
      </c>
      <c r="M310" s="76">
        <v>0</v>
      </c>
      <c r="N310" s="82" t="s">
        <v>10740</v>
      </c>
      <c r="O310" s="83"/>
    </row>
    <row r="311" spans="1:15" ht="22.5" customHeight="1">
      <c r="A311" s="76">
        <v>766589657993298</v>
      </c>
      <c r="B311" s="77" t="s">
        <v>10688</v>
      </c>
      <c r="C311" s="77" t="s">
        <v>10734</v>
      </c>
      <c r="D311" s="77" t="s">
        <v>10735</v>
      </c>
      <c r="E311" s="77">
        <v>6283134740502</v>
      </c>
      <c r="F311" s="78">
        <v>45822</v>
      </c>
      <c r="G311" s="79">
        <v>1071</v>
      </c>
      <c r="H311" s="80">
        <v>13895.442359249329</v>
      </c>
      <c r="I311" s="79">
        <v>26</v>
      </c>
      <c r="J311" s="81">
        <v>15549</v>
      </c>
      <c r="K311" s="76">
        <v>1</v>
      </c>
      <c r="L311" s="76">
        <v>70</v>
      </c>
      <c r="M311" s="76">
        <v>0</v>
      </c>
      <c r="N311" s="82" t="s">
        <v>10736</v>
      </c>
      <c r="O311" s="83"/>
    </row>
    <row r="312" spans="1:15" ht="22.5" customHeight="1">
      <c r="A312" s="76">
        <v>766589657993298</v>
      </c>
      <c r="B312" s="77" t="s">
        <v>10688</v>
      </c>
      <c r="C312" s="77" t="s">
        <v>10722</v>
      </c>
      <c r="D312" s="77" t="s">
        <v>10723</v>
      </c>
      <c r="E312" s="77">
        <v>6281515877050</v>
      </c>
      <c r="F312" s="78">
        <v>45822</v>
      </c>
      <c r="G312" s="79">
        <v>377</v>
      </c>
      <c r="H312" s="80">
        <v>25982.278481012661</v>
      </c>
      <c r="I312" s="79">
        <v>3</v>
      </c>
      <c r="J312" s="81">
        <v>10263</v>
      </c>
      <c r="K312" s="76">
        <v>0</v>
      </c>
      <c r="L312" s="76">
        <v>86</v>
      </c>
      <c r="M312" s="76">
        <v>0</v>
      </c>
      <c r="N312" s="82" t="s">
        <v>10724</v>
      </c>
      <c r="O312" s="83"/>
    </row>
    <row r="313" spans="1:15" ht="22.5" customHeight="1">
      <c r="A313" s="76">
        <v>759724529202804</v>
      </c>
      <c r="B313" s="77" t="s">
        <v>10621</v>
      </c>
      <c r="C313" s="77" t="s">
        <v>540</v>
      </c>
      <c r="D313" s="77" t="s">
        <v>10755</v>
      </c>
      <c r="E313" s="77">
        <v>6281335728695</v>
      </c>
      <c r="F313" s="78">
        <v>45823</v>
      </c>
      <c r="G313" s="79">
        <v>855</v>
      </c>
      <c r="H313" s="80">
        <v>15512.5</v>
      </c>
      <c r="I313" s="79">
        <v>12</v>
      </c>
      <c r="J313" s="81">
        <v>14892</v>
      </c>
      <c r="K313" s="76">
        <v>0</v>
      </c>
      <c r="L313" s="76">
        <v>520</v>
      </c>
      <c r="M313" s="76">
        <v>0</v>
      </c>
      <c r="N313" s="82" t="s">
        <v>10756</v>
      </c>
      <c r="O313" s="83"/>
    </row>
    <row r="314" spans="1:15" ht="22.5" customHeight="1">
      <c r="A314" s="76">
        <v>759724529202804</v>
      </c>
      <c r="B314" s="77" t="s">
        <v>10621</v>
      </c>
      <c r="C314" s="77" t="s">
        <v>531</v>
      </c>
      <c r="D314" s="77" t="s">
        <v>10757</v>
      </c>
      <c r="E314" s="77">
        <v>6281216962242</v>
      </c>
      <c r="F314" s="78">
        <v>45823</v>
      </c>
      <c r="G314" s="79">
        <v>751</v>
      </c>
      <c r="H314" s="80">
        <v>16804.250559284119</v>
      </c>
      <c r="I314" s="79">
        <v>17</v>
      </c>
      <c r="J314" s="81">
        <v>15023</v>
      </c>
      <c r="K314" s="76">
        <v>1</v>
      </c>
      <c r="L314" s="76">
        <v>241</v>
      </c>
      <c r="M314" s="76">
        <v>0</v>
      </c>
      <c r="N314" s="82" t="s">
        <v>10758</v>
      </c>
      <c r="O314" s="83"/>
    </row>
    <row r="315" spans="1:15" ht="22.5" customHeight="1">
      <c r="A315" s="76">
        <v>759724529202804</v>
      </c>
      <c r="B315" s="77" t="s">
        <v>10621</v>
      </c>
      <c r="C315" s="77" t="s">
        <v>250</v>
      </c>
      <c r="D315" s="77" t="s">
        <v>10729</v>
      </c>
      <c r="E315" s="77">
        <v>6282274447649</v>
      </c>
      <c r="F315" s="78">
        <v>45823</v>
      </c>
      <c r="G315" s="79">
        <v>564</v>
      </c>
      <c r="H315" s="80">
        <v>16238.172920065253</v>
      </c>
      <c r="I315" s="79">
        <v>32</v>
      </c>
      <c r="J315" s="81">
        <v>9954</v>
      </c>
      <c r="K315" s="76">
        <v>4</v>
      </c>
      <c r="L315" s="76">
        <v>2</v>
      </c>
      <c r="M315" s="76">
        <v>0</v>
      </c>
      <c r="N315" s="82" t="s">
        <v>10730</v>
      </c>
      <c r="O315" s="83"/>
    </row>
    <row r="316" spans="1:15" ht="22.5" customHeight="1">
      <c r="A316" s="76">
        <v>759724529202804</v>
      </c>
      <c r="B316" s="77" t="s">
        <v>10621</v>
      </c>
      <c r="C316" s="77" t="s">
        <v>332</v>
      </c>
      <c r="D316" s="77" t="s">
        <v>10708</v>
      </c>
      <c r="E316" s="77">
        <v>6282350524788</v>
      </c>
      <c r="F316" s="78">
        <v>45823</v>
      </c>
      <c r="G316" s="79">
        <v>918</v>
      </c>
      <c r="H316" s="80">
        <v>13516.100178890876</v>
      </c>
      <c r="I316" s="79">
        <v>26</v>
      </c>
      <c r="J316" s="81">
        <v>15111</v>
      </c>
      <c r="K316" s="76">
        <v>6</v>
      </c>
      <c r="L316" s="76">
        <v>276</v>
      </c>
      <c r="M316" s="76">
        <v>0</v>
      </c>
      <c r="N316" s="82" t="s">
        <v>10709</v>
      </c>
      <c r="O316" s="83"/>
    </row>
    <row r="317" spans="1:15" ht="22.5" customHeight="1">
      <c r="A317" s="76">
        <v>759724529202804</v>
      </c>
      <c r="B317" s="77" t="s">
        <v>10621</v>
      </c>
      <c r="C317" s="77" t="s">
        <v>206</v>
      </c>
      <c r="D317" s="77" t="s">
        <v>199</v>
      </c>
      <c r="E317" s="77">
        <v>6285220903499</v>
      </c>
      <c r="F317" s="78">
        <v>45823</v>
      </c>
      <c r="G317" s="79">
        <v>716</v>
      </c>
      <c r="H317" s="80">
        <v>17066.595059076262</v>
      </c>
      <c r="I317" s="79">
        <v>22</v>
      </c>
      <c r="J317" s="81">
        <v>15889</v>
      </c>
      <c r="K317" s="76">
        <v>2</v>
      </c>
      <c r="L317" s="76">
        <v>129</v>
      </c>
      <c r="M317" s="76">
        <v>0</v>
      </c>
      <c r="N317" s="82" t="s">
        <v>10628</v>
      </c>
      <c r="O317" s="83"/>
    </row>
    <row r="318" spans="1:15" ht="22.5" customHeight="1">
      <c r="A318" s="76">
        <v>759724529202804</v>
      </c>
      <c r="B318" s="77" t="s">
        <v>10621</v>
      </c>
      <c r="C318" s="77" t="s">
        <v>665</v>
      </c>
      <c r="D318" s="77" t="s">
        <v>659</v>
      </c>
      <c r="E318" s="77">
        <v>6285757057088</v>
      </c>
      <c r="F318" s="78">
        <v>45823</v>
      </c>
      <c r="G318" s="79">
        <v>734</v>
      </c>
      <c r="H318" s="80">
        <v>16076.158940397352</v>
      </c>
      <c r="I318" s="79">
        <v>26</v>
      </c>
      <c r="J318" s="81">
        <v>14565</v>
      </c>
      <c r="K318" s="76">
        <v>2</v>
      </c>
      <c r="L318" s="76">
        <v>0</v>
      </c>
      <c r="M318" s="76">
        <v>1</v>
      </c>
      <c r="N318" s="82" t="s">
        <v>10636</v>
      </c>
      <c r="O318" s="83"/>
    </row>
    <row r="319" spans="1:15" ht="22.5" customHeight="1">
      <c r="A319" s="76">
        <v>759724529202804</v>
      </c>
      <c r="B319" s="77" t="s">
        <v>10621</v>
      </c>
      <c r="C319" s="77" t="s">
        <v>10643</v>
      </c>
      <c r="D319" s="77" t="s">
        <v>10644</v>
      </c>
      <c r="E319" s="77"/>
      <c r="F319" s="78">
        <v>45823</v>
      </c>
      <c r="G319" s="79">
        <v>561</v>
      </c>
      <c r="H319" s="80">
        <v>16343.959731543624</v>
      </c>
      <c r="I319" s="79">
        <v>9</v>
      </c>
      <c r="J319" s="81">
        <v>9741</v>
      </c>
      <c r="K319" s="76">
        <v>0</v>
      </c>
      <c r="L319" s="76">
        <v>215</v>
      </c>
      <c r="M319" s="76">
        <v>0</v>
      </c>
      <c r="N319" s="82" t="s">
        <v>10645</v>
      </c>
      <c r="O319" s="83"/>
    </row>
    <row r="320" spans="1:15" ht="22.5" customHeight="1">
      <c r="A320" s="76">
        <v>174904221976312</v>
      </c>
      <c r="B320" s="77" t="s">
        <v>10651</v>
      </c>
      <c r="C320" s="77" t="s">
        <v>8099</v>
      </c>
      <c r="D320" s="77" t="s">
        <v>2357</v>
      </c>
      <c r="E320" s="77">
        <v>6281221788919</v>
      </c>
      <c r="F320" s="78">
        <v>45823</v>
      </c>
      <c r="G320" s="79">
        <v>649</v>
      </c>
      <c r="H320" s="80">
        <v>16320.710059171599</v>
      </c>
      <c r="I320" s="79">
        <v>20</v>
      </c>
      <c r="J320" s="81">
        <v>13791</v>
      </c>
      <c r="K320" s="76">
        <v>2</v>
      </c>
      <c r="L320" s="76">
        <v>200</v>
      </c>
      <c r="M320" s="76">
        <v>0</v>
      </c>
      <c r="N320" s="82" t="s">
        <v>10759</v>
      </c>
      <c r="O320" s="83"/>
    </row>
    <row r="321" spans="1:15" ht="22.5" customHeight="1">
      <c r="A321" s="76">
        <v>174904221976312</v>
      </c>
      <c r="B321" s="77" t="s">
        <v>10651</v>
      </c>
      <c r="C321" s="77" t="s">
        <v>10770</v>
      </c>
      <c r="D321" s="77" t="s">
        <v>444</v>
      </c>
      <c r="E321" s="77"/>
      <c r="F321" s="78">
        <v>45823</v>
      </c>
      <c r="G321" s="79">
        <v>10059</v>
      </c>
      <c r="H321" s="80">
        <v>1056.5404887398179</v>
      </c>
      <c r="I321" s="79">
        <v>9</v>
      </c>
      <c r="J321" s="81">
        <v>11025</v>
      </c>
      <c r="K321" s="76">
        <v>0</v>
      </c>
      <c r="L321" s="76">
        <v>283</v>
      </c>
      <c r="M321" s="76">
        <v>0</v>
      </c>
      <c r="N321" s="82" t="s">
        <v>10771</v>
      </c>
      <c r="O321" s="83"/>
    </row>
    <row r="322" spans="1:15" ht="22.5" customHeight="1">
      <c r="A322" s="76">
        <v>174904221976312</v>
      </c>
      <c r="B322" s="77" t="s">
        <v>10651</v>
      </c>
      <c r="C322" s="77" t="s">
        <v>441</v>
      </c>
      <c r="D322" s="77" t="s">
        <v>10760</v>
      </c>
      <c r="E322" s="77">
        <v>6285864008882</v>
      </c>
      <c r="F322" s="78">
        <v>45823</v>
      </c>
      <c r="G322" s="79">
        <v>926</v>
      </c>
      <c r="H322" s="80">
        <v>11636.837532580366</v>
      </c>
      <c r="I322" s="79">
        <v>9</v>
      </c>
      <c r="J322" s="81">
        <v>13394</v>
      </c>
      <c r="K322" s="76">
        <v>0</v>
      </c>
      <c r="L322" s="76">
        <v>382</v>
      </c>
      <c r="M322" s="76">
        <v>0</v>
      </c>
      <c r="N322" s="82" t="s">
        <v>10761</v>
      </c>
      <c r="O322" s="83"/>
    </row>
    <row r="323" spans="1:15" ht="22.5" customHeight="1">
      <c r="A323" s="76">
        <v>174904221976312</v>
      </c>
      <c r="B323" s="77" t="s">
        <v>10651</v>
      </c>
      <c r="C323" s="77" t="s">
        <v>399</v>
      </c>
      <c r="D323" s="77" t="s">
        <v>394</v>
      </c>
      <c r="E323" s="77"/>
      <c r="F323" s="78">
        <v>45823</v>
      </c>
      <c r="G323" s="79">
        <v>5176</v>
      </c>
      <c r="H323" s="80">
        <v>2185.9154929577467</v>
      </c>
      <c r="I323" s="79">
        <v>109</v>
      </c>
      <c r="J323" s="81">
        <v>13192</v>
      </c>
      <c r="K323" s="76">
        <v>15</v>
      </c>
      <c r="L323" s="76">
        <v>0</v>
      </c>
      <c r="M323" s="76">
        <v>0</v>
      </c>
      <c r="N323" s="82" t="s">
        <v>10749</v>
      </c>
      <c r="O323" s="83"/>
    </row>
    <row r="324" spans="1:15" ht="22.5" customHeight="1">
      <c r="A324" s="76">
        <v>174904221976312</v>
      </c>
      <c r="B324" s="77" t="s">
        <v>10651</v>
      </c>
      <c r="C324" s="77" t="s">
        <v>311</v>
      </c>
      <c r="D324" s="77" t="s">
        <v>10737</v>
      </c>
      <c r="E324" s="77">
        <v>628988759290</v>
      </c>
      <c r="F324" s="78">
        <v>45823</v>
      </c>
      <c r="G324" s="79">
        <v>873</v>
      </c>
      <c r="H324" s="80">
        <v>10818.256578947368</v>
      </c>
      <c r="I324" s="79">
        <v>27</v>
      </c>
      <c r="J324" s="81">
        <v>13155</v>
      </c>
      <c r="K324" s="76">
        <v>2</v>
      </c>
      <c r="L324" s="76">
        <v>0</v>
      </c>
      <c r="M324" s="76">
        <v>0</v>
      </c>
      <c r="N324" s="82" t="s">
        <v>10738</v>
      </c>
      <c r="O324" s="83"/>
    </row>
    <row r="325" spans="1:15" ht="22.5" customHeight="1">
      <c r="A325" s="76">
        <v>174904221976312</v>
      </c>
      <c r="B325" s="77" t="s">
        <v>10651</v>
      </c>
      <c r="C325" s="77" t="s">
        <v>10652</v>
      </c>
      <c r="D325" s="77" t="s">
        <v>10653</v>
      </c>
      <c r="E325" s="77">
        <v>6281348555887</v>
      </c>
      <c r="F325" s="78">
        <v>45823</v>
      </c>
      <c r="G325" s="79">
        <v>1039</v>
      </c>
      <c r="H325" s="80">
        <v>10674.476987447699</v>
      </c>
      <c r="I325" s="79">
        <v>39</v>
      </c>
      <c r="J325" s="81">
        <v>12756</v>
      </c>
      <c r="K325" s="76">
        <v>0</v>
      </c>
      <c r="L325" s="76">
        <v>366</v>
      </c>
      <c r="M325" s="76">
        <v>0</v>
      </c>
      <c r="N325" s="82" t="s">
        <v>10654</v>
      </c>
      <c r="O325" s="83"/>
    </row>
    <row r="326" spans="1:15" ht="22.5" customHeight="1">
      <c r="A326" s="76">
        <v>174904221976312</v>
      </c>
      <c r="B326" s="77" t="s">
        <v>10651</v>
      </c>
      <c r="C326" s="77" t="s">
        <v>10655</v>
      </c>
      <c r="D326" s="77" t="s">
        <v>3908</v>
      </c>
      <c r="E326" s="77">
        <v>6285376667233</v>
      </c>
      <c r="F326" s="78">
        <v>45823</v>
      </c>
      <c r="G326" s="79">
        <v>867</v>
      </c>
      <c r="H326" s="80">
        <v>14130.841121495328</v>
      </c>
      <c r="I326" s="79">
        <v>27</v>
      </c>
      <c r="J326" s="81">
        <v>13608</v>
      </c>
      <c r="K326" s="76">
        <v>8</v>
      </c>
      <c r="L326" s="76">
        <v>338</v>
      </c>
      <c r="M326" s="76">
        <v>1</v>
      </c>
      <c r="N326" s="82" t="s">
        <v>10656</v>
      </c>
      <c r="O326" s="83"/>
    </row>
    <row r="327" spans="1:15" ht="22.5" customHeight="1">
      <c r="A327" s="76">
        <v>174904221976312</v>
      </c>
      <c r="B327" s="77" t="s">
        <v>10651</v>
      </c>
      <c r="C327" s="77" t="s">
        <v>10659</v>
      </c>
      <c r="D327" s="77" t="s">
        <v>1044</v>
      </c>
      <c r="E327" s="77">
        <v>6281263113266</v>
      </c>
      <c r="F327" s="78">
        <v>45823</v>
      </c>
      <c r="G327" s="79">
        <v>1758</v>
      </c>
      <c r="H327" s="80">
        <v>7842.8571428571422</v>
      </c>
      <c r="I327" s="79">
        <v>68</v>
      </c>
      <c r="J327" s="81">
        <v>15372</v>
      </c>
      <c r="K327" s="76">
        <v>6</v>
      </c>
      <c r="L327" s="76">
        <v>703</v>
      </c>
      <c r="M327" s="76">
        <v>0</v>
      </c>
      <c r="N327" s="82" t="s">
        <v>10660</v>
      </c>
      <c r="O327" s="83"/>
    </row>
    <row r="328" spans="1:15" ht="22.5" customHeight="1">
      <c r="A328" s="76">
        <v>174904221976312</v>
      </c>
      <c r="B328" s="77" t="s">
        <v>10651</v>
      </c>
      <c r="C328" s="77" t="s">
        <v>63</v>
      </c>
      <c r="D328" s="77" t="s">
        <v>55</v>
      </c>
      <c r="E328" s="77">
        <v>6282226594414</v>
      </c>
      <c r="F328" s="78">
        <v>45823</v>
      </c>
      <c r="G328" s="79">
        <v>3745</v>
      </c>
      <c r="H328" s="80">
        <v>3180.8436261943602</v>
      </c>
      <c r="I328" s="79">
        <v>121</v>
      </c>
      <c r="J328" s="81">
        <v>13649</v>
      </c>
      <c r="K328" s="76">
        <v>10</v>
      </c>
      <c r="L328" s="76">
        <v>1287</v>
      </c>
      <c r="M328" s="76">
        <v>1</v>
      </c>
      <c r="N328" s="82" t="s">
        <v>10661</v>
      </c>
      <c r="O328" s="83"/>
    </row>
    <row r="329" spans="1:15" ht="22.5" customHeight="1">
      <c r="A329" s="76">
        <v>174904221976312</v>
      </c>
      <c r="B329" s="77" t="s">
        <v>10651</v>
      </c>
      <c r="C329" s="77" t="s">
        <v>10679</v>
      </c>
      <c r="D329" s="77" t="s">
        <v>10680</v>
      </c>
      <c r="E329" s="77">
        <v>6282347206488</v>
      </c>
      <c r="F329" s="78">
        <v>45823</v>
      </c>
      <c r="G329" s="79">
        <v>1170</v>
      </c>
      <c r="H329" s="80">
        <v>9372.3183391003458</v>
      </c>
      <c r="I329" s="79">
        <v>42</v>
      </c>
      <c r="J329" s="81">
        <v>13543</v>
      </c>
      <c r="K329" s="76">
        <v>9</v>
      </c>
      <c r="L329" s="76">
        <v>545</v>
      </c>
      <c r="M329" s="76">
        <v>1</v>
      </c>
      <c r="N329" s="82" t="s">
        <v>10681</v>
      </c>
      <c r="O329" s="83"/>
    </row>
    <row r="330" spans="1:15" ht="22.5" customHeight="1">
      <c r="A330" s="76">
        <v>174904221976312</v>
      </c>
      <c r="B330" s="77" t="s">
        <v>10651</v>
      </c>
      <c r="C330" s="77" t="s">
        <v>10731</v>
      </c>
      <c r="D330" s="77" t="s">
        <v>10732</v>
      </c>
      <c r="E330" s="77">
        <v>6281241440688</v>
      </c>
      <c r="F330" s="78">
        <v>45823</v>
      </c>
      <c r="G330" s="79">
        <v>1442</v>
      </c>
      <c r="H330" s="80">
        <v>6223.0529595015578</v>
      </c>
      <c r="I330" s="79">
        <v>11</v>
      </c>
      <c r="J330" s="81">
        <v>9988</v>
      </c>
      <c r="K330" s="76">
        <v>1</v>
      </c>
      <c r="L330" s="76">
        <v>532</v>
      </c>
      <c r="M330" s="76">
        <v>0</v>
      </c>
      <c r="N330" s="82" t="s">
        <v>10733</v>
      </c>
      <c r="O330" s="83"/>
    </row>
    <row r="331" spans="1:15" ht="22.5" customHeight="1">
      <c r="A331" s="76">
        <v>766589657993298</v>
      </c>
      <c r="B331" s="77" t="s">
        <v>10688</v>
      </c>
      <c r="C331" s="77" t="s">
        <v>10772</v>
      </c>
      <c r="D331" s="77" t="s">
        <v>10773</v>
      </c>
      <c r="E331" s="77">
        <v>6285261023204</v>
      </c>
      <c r="F331" s="78">
        <v>45823</v>
      </c>
      <c r="G331" s="79">
        <v>340</v>
      </c>
      <c r="H331" s="80">
        <v>37619.302949061661</v>
      </c>
      <c r="I331" s="79">
        <v>10</v>
      </c>
      <c r="J331" s="81">
        <v>14032</v>
      </c>
      <c r="K331" s="76">
        <v>2</v>
      </c>
      <c r="L331" s="76">
        <v>55</v>
      </c>
      <c r="M331" s="76">
        <v>0</v>
      </c>
      <c r="N331" s="82" t="s">
        <v>10774</v>
      </c>
      <c r="O331" s="83"/>
    </row>
    <row r="332" spans="1:15" ht="22.5" customHeight="1">
      <c r="A332" s="76">
        <v>766589657993298</v>
      </c>
      <c r="B332" s="77" t="s">
        <v>10688</v>
      </c>
      <c r="C332" s="77" t="s">
        <v>10762</v>
      </c>
      <c r="D332" s="77" t="s">
        <v>10763</v>
      </c>
      <c r="E332" s="77">
        <v>6285210107607</v>
      </c>
      <c r="F332" s="78">
        <v>45823</v>
      </c>
      <c r="G332" s="79">
        <v>1023</v>
      </c>
      <c r="H332" s="80">
        <v>13664.510913500404</v>
      </c>
      <c r="I332" s="79">
        <v>17</v>
      </c>
      <c r="J332" s="81">
        <v>16903</v>
      </c>
      <c r="K332" s="76">
        <v>1</v>
      </c>
      <c r="L332" s="76">
        <v>247</v>
      </c>
      <c r="M332" s="76">
        <v>0</v>
      </c>
      <c r="N332" s="82" t="s">
        <v>10764</v>
      </c>
      <c r="O332" s="83"/>
    </row>
    <row r="333" spans="1:15" ht="22.5" customHeight="1">
      <c r="A333" s="76">
        <v>766589657993298</v>
      </c>
      <c r="B333" s="77" t="s">
        <v>10688</v>
      </c>
      <c r="C333" s="77" t="s">
        <v>10765</v>
      </c>
      <c r="D333" s="77" t="s">
        <v>350</v>
      </c>
      <c r="E333" s="77">
        <v>6282393168368</v>
      </c>
      <c r="F333" s="78">
        <v>45823</v>
      </c>
      <c r="G333" s="79">
        <v>757</v>
      </c>
      <c r="H333" s="80">
        <v>24524.421593830331</v>
      </c>
      <c r="I333" s="79">
        <v>15</v>
      </c>
      <c r="J333" s="81">
        <v>19080</v>
      </c>
      <c r="K333" s="76">
        <v>3</v>
      </c>
      <c r="L333" s="76">
        <v>296</v>
      </c>
      <c r="M333" s="76">
        <v>0</v>
      </c>
      <c r="N333" s="82" t="s">
        <v>10766</v>
      </c>
      <c r="O333" s="83"/>
    </row>
    <row r="334" spans="1:15" ht="22.5" customHeight="1">
      <c r="A334" s="76">
        <v>766589657993298</v>
      </c>
      <c r="B334" s="77" t="s">
        <v>10688</v>
      </c>
      <c r="C334" s="77" t="s">
        <v>10767</v>
      </c>
      <c r="D334" s="77" t="s">
        <v>10768</v>
      </c>
      <c r="E334" s="77">
        <v>6281519225886</v>
      </c>
      <c r="F334" s="78">
        <v>45823</v>
      </c>
      <c r="G334" s="79">
        <v>624</v>
      </c>
      <c r="H334" s="80">
        <v>22955.223880597016</v>
      </c>
      <c r="I334" s="79">
        <v>12</v>
      </c>
      <c r="J334" s="81">
        <v>15380</v>
      </c>
      <c r="K334" s="76">
        <v>3</v>
      </c>
      <c r="L334" s="76">
        <v>145</v>
      </c>
      <c r="M334" s="76">
        <v>0</v>
      </c>
      <c r="N334" s="82" t="s">
        <v>10769</v>
      </c>
      <c r="O334" s="83"/>
    </row>
    <row r="335" spans="1:15" ht="22.5" customHeight="1">
      <c r="A335" s="76">
        <v>766589657993298</v>
      </c>
      <c r="B335" s="77" t="s">
        <v>10688</v>
      </c>
      <c r="C335" s="77" t="s">
        <v>10750</v>
      </c>
      <c r="D335" s="77" t="s">
        <v>456</v>
      </c>
      <c r="E335" s="77">
        <v>6281278788088</v>
      </c>
      <c r="F335" s="78">
        <v>45823</v>
      </c>
      <c r="G335" s="79">
        <v>717</v>
      </c>
      <c r="H335" s="80">
        <v>14794.630872483222</v>
      </c>
      <c r="I335" s="79">
        <v>3</v>
      </c>
      <c r="J335" s="81">
        <v>11022</v>
      </c>
      <c r="K335" s="76">
        <v>0</v>
      </c>
      <c r="L335" s="76">
        <v>196</v>
      </c>
      <c r="M335" s="76">
        <v>0</v>
      </c>
      <c r="N335" s="82" t="s">
        <v>10751</v>
      </c>
      <c r="O335" s="83"/>
    </row>
    <row r="336" spans="1:15" ht="22.5" customHeight="1">
      <c r="A336" s="76">
        <v>766589657993298</v>
      </c>
      <c r="B336" s="77" t="s">
        <v>10688</v>
      </c>
      <c r="C336" s="77" t="s">
        <v>10741</v>
      </c>
      <c r="D336" s="77" t="s">
        <v>559</v>
      </c>
      <c r="E336" s="77">
        <v>6281952482523</v>
      </c>
      <c r="F336" s="78">
        <v>45823</v>
      </c>
      <c r="G336" s="79">
        <v>509</v>
      </c>
      <c r="H336" s="80">
        <v>28215.78947368421</v>
      </c>
      <c r="I336" s="79">
        <v>6</v>
      </c>
      <c r="J336" s="81">
        <v>16083</v>
      </c>
      <c r="K336" s="76">
        <v>1</v>
      </c>
      <c r="L336" s="76">
        <v>217</v>
      </c>
      <c r="M336" s="76">
        <v>0</v>
      </c>
      <c r="N336" s="82" t="s">
        <v>10742</v>
      </c>
      <c r="O336" s="83"/>
    </row>
    <row r="337" spans="1:15" ht="22.5" customHeight="1">
      <c r="A337" s="76">
        <v>766589657993298</v>
      </c>
      <c r="B337" s="77" t="s">
        <v>10688</v>
      </c>
      <c r="C337" s="77" t="s">
        <v>10752</v>
      </c>
      <c r="D337" s="77" t="s">
        <v>10753</v>
      </c>
      <c r="E337" s="77">
        <v>6281340892328</v>
      </c>
      <c r="F337" s="78">
        <v>45823</v>
      </c>
      <c r="G337" s="79">
        <v>1264</v>
      </c>
      <c r="H337" s="80">
        <v>10471.821756225425</v>
      </c>
      <c r="I337" s="79">
        <v>48</v>
      </c>
      <c r="J337" s="81">
        <v>15980</v>
      </c>
      <c r="K337" s="76">
        <v>2</v>
      </c>
      <c r="L337" s="76">
        <v>498</v>
      </c>
      <c r="M337" s="76">
        <v>1</v>
      </c>
      <c r="N337" s="82" t="s">
        <v>10754</v>
      </c>
      <c r="O337" s="83"/>
    </row>
    <row r="338" spans="1:15" ht="22.5" customHeight="1">
      <c r="A338" s="76">
        <v>766589657993298</v>
      </c>
      <c r="B338" s="77" t="s">
        <v>10688</v>
      </c>
      <c r="C338" s="77" t="s">
        <v>10743</v>
      </c>
      <c r="D338" s="77" t="s">
        <v>10744</v>
      </c>
      <c r="E338" s="77">
        <v>6282211675028</v>
      </c>
      <c r="F338" s="78">
        <v>45823</v>
      </c>
      <c r="G338" s="79">
        <v>1043</v>
      </c>
      <c r="H338" s="80">
        <v>11717.269076305221</v>
      </c>
      <c r="I338" s="79">
        <v>20</v>
      </c>
      <c r="J338" s="81">
        <v>14588</v>
      </c>
      <c r="K338" s="76">
        <v>2</v>
      </c>
      <c r="L338" s="76">
        <v>675</v>
      </c>
      <c r="M338" s="76">
        <v>0</v>
      </c>
      <c r="N338" s="82" t="s">
        <v>10745</v>
      </c>
      <c r="O338" s="83"/>
    </row>
    <row r="339" spans="1:15" ht="22.5" customHeight="1">
      <c r="A339" s="76">
        <v>766589657993298</v>
      </c>
      <c r="B339" s="77" t="s">
        <v>10688</v>
      </c>
      <c r="C339" s="77" t="s">
        <v>10746</v>
      </c>
      <c r="D339" s="77" t="s">
        <v>10747</v>
      </c>
      <c r="E339" s="77">
        <v>6281222110766</v>
      </c>
      <c r="F339" s="78">
        <v>45823</v>
      </c>
      <c r="G339" s="79">
        <v>195</v>
      </c>
      <c r="H339" s="80">
        <v>73275.229357798162</v>
      </c>
      <c r="I339" s="79">
        <v>9</v>
      </c>
      <c r="J339" s="81">
        <v>15974</v>
      </c>
      <c r="K339" s="76">
        <v>1</v>
      </c>
      <c r="L339" s="76">
        <v>127</v>
      </c>
      <c r="M339" s="76">
        <v>0</v>
      </c>
      <c r="N339" s="82" t="s">
        <v>10748</v>
      </c>
      <c r="O339" s="83"/>
    </row>
    <row r="340" spans="1:15" ht="22.5" customHeight="1">
      <c r="A340" s="76">
        <v>766589657993298</v>
      </c>
      <c r="B340" s="77" t="s">
        <v>10688</v>
      </c>
      <c r="C340" s="77" t="s">
        <v>10739</v>
      </c>
      <c r="D340" s="77" t="s">
        <v>429</v>
      </c>
      <c r="E340" s="77">
        <v>6282399006447</v>
      </c>
      <c r="F340" s="78">
        <v>45823</v>
      </c>
      <c r="G340" s="79">
        <v>929</v>
      </c>
      <c r="H340" s="80">
        <v>14492.725509214355</v>
      </c>
      <c r="I340" s="79">
        <v>21</v>
      </c>
      <c r="J340" s="81">
        <v>14942</v>
      </c>
      <c r="K340" s="76">
        <v>6</v>
      </c>
      <c r="L340" s="76">
        <v>425</v>
      </c>
      <c r="M340" s="76">
        <v>0</v>
      </c>
      <c r="N340" s="82" t="s">
        <v>10740</v>
      </c>
      <c r="O340" s="83"/>
    </row>
    <row r="341" spans="1:15" ht="22.5" customHeight="1">
      <c r="A341" s="76">
        <v>759724529202804</v>
      </c>
      <c r="B341" s="77" t="s">
        <v>10621</v>
      </c>
      <c r="C341" s="77" t="s">
        <v>540</v>
      </c>
      <c r="D341" s="77" t="s">
        <v>10755</v>
      </c>
      <c r="E341" s="77">
        <v>6281335728695</v>
      </c>
      <c r="F341" s="84">
        <v>45824</v>
      </c>
      <c r="G341" s="79">
        <v>809</v>
      </c>
      <c r="H341" s="80">
        <v>17793.22033898305</v>
      </c>
      <c r="I341" s="72">
        <v>12</v>
      </c>
      <c r="J341" s="81">
        <v>15747</v>
      </c>
      <c r="K341" s="76">
        <v>0</v>
      </c>
      <c r="L341" s="76">
        <v>465</v>
      </c>
      <c r="M341" s="76">
        <v>0</v>
      </c>
      <c r="N341" s="82" t="s">
        <v>10756</v>
      </c>
      <c r="O341" s="83"/>
    </row>
    <row r="342" spans="1:15" ht="22.5" customHeight="1">
      <c r="A342" s="76">
        <v>759724529202804</v>
      </c>
      <c r="B342" s="77" t="s">
        <v>10621</v>
      </c>
      <c r="C342" s="77" t="s">
        <v>531</v>
      </c>
      <c r="D342" s="77" t="s">
        <v>10757</v>
      </c>
      <c r="E342" s="77">
        <v>6281216962242</v>
      </c>
      <c r="F342" s="84">
        <v>45824</v>
      </c>
      <c r="G342" s="79">
        <v>1005</v>
      </c>
      <c r="H342" s="80">
        <v>14664.898320070733</v>
      </c>
      <c r="I342" s="72">
        <v>17</v>
      </c>
      <c r="J342" s="81">
        <v>16586</v>
      </c>
      <c r="K342" s="76">
        <v>4</v>
      </c>
      <c r="L342" s="76">
        <v>256</v>
      </c>
      <c r="M342" s="76">
        <v>0</v>
      </c>
      <c r="N342" s="82" t="s">
        <v>10758</v>
      </c>
      <c r="O342" s="83"/>
    </row>
    <row r="343" spans="1:15" ht="22.5" customHeight="1">
      <c r="A343" s="76">
        <v>759724529202804</v>
      </c>
      <c r="B343" s="77" t="s">
        <v>10621</v>
      </c>
      <c r="C343" s="77" t="s">
        <v>206</v>
      </c>
      <c r="D343" s="77" t="s">
        <v>199</v>
      </c>
      <c r="E343" s="77">
        <v>6285220903499</v>
      </c>
      <c r="F343" s="84">
        <v>45824</v>
      </c>
      <c r="G343" s="79">
        <v>846</v>
      </c>
      <c r="H343" s="80">
        <v>16203.75865479723</v>
      </c>
      <c r="I343" s="72">
        <v>26</v>
      </c>
      <c r="J343" s="81">
        <v>16382</v>
      </c>
      <c r="K343" s="76">
        <v>3</v>
      </c>
      <c r="L343" s="76">
        <v>117</v>
      </c>
      <c r="M343" s="76">
        <v>0</v>
      </c>
      <c r="N343" s="82" t="s">
        <v>10628</v>
      </c>
      <c r="O343" s="83"/>
    </row>
    <row r="344" spans="1:15" ht="22.5" customHeight="1">
      <c r="A344" s="76">
        <v>759724529202804</v>
      </c>
      <c r="B344" s="77" t="s">
        <v>10621</v>
      </c>
      <c r="C344" s="77" t="s">
        <v>665</v>
      </c>
      <c r="D344" s="77" t="s">
        <v>659</v>
      </c>
      <c r="E344" s="77">
        <v>6285757057088</v>
      </c>
      <c r="F344" s="84">
        <v>45824</v>
      </c>
      <c r="G344" s="79">
        <v>734</v>
      </c>
      <c r="H344" s="80">
        <v>18653.979238754324</v>
      </c>
      <c r="I344" s="72">
        <v>15</v>
      </c>
      <c r="J344" s="81">
        <v>16173</v>
      </c>
      <c r="K344" s="76">
        <v>0</v>
      </c>
      <c r="L344" s="76">
        <v>0</v>
      </c>
      <c r="M344" s="76">
        <v>0</v>
      </c>
      <c r="N344" s="82" t="s">
        <v>10636</v>
      </c>
      <c r="O344" s="83"/>
    </row>
    <row r="345" spans="1:15" ht="22.5" customHeight="1">
      <c r="A345" s="76">
        <v>174904221976312</v>
      </c>
      <c r="B345" s="77" t="s">
        <v>10651</v>
      </c>
      <c r="C345" s="77" t="s">
        <v>10775</v>
      </c>
      <c r="D345" s="77" t="s">
        <v>10776</v>
      </c>
      <c r="E345" s="77">
        <v>6282129040031</v>
      </c>
      <c r="F345" s="84">
        <v>45824</v>
      </c>
      <c r="G345" s="79">
        <v>1384</v>
      </c>
      <c r="H345" s="80">
        <v>10002.617801047121</v>
      </c>
      <c r="I345" s="72">
        <v>25</v>
      </c>
      <c r="J345" s="81">
        <v>15284</v>
      </c>
      <c r="K345" s="76">
        <v>0</v>
      </c>
      <c r="L345" s="76">
        <v>117</v>
      </c>
      <c r="M345" s="76">
        <v>0</v>
      </c>
      <c r="N345" s="82" t="s">
        <v>10777</v>
      </c>
      <c r="O345" s="83"/>
    </row>
    <row r="346" spans="1:15" ht="22.5" customHeight="1">
      <c r="A346" s="76">
        <v>174904221976312</v>
      </c>
      <c r="B346" s="77" t="s">
        <v>10651</v>
      </c>
      <c r="C346" s="77" t="s">
        <v>8099</v>
      </c>
      <c r="D346" s="77" t="s">
        <v>2357</v>
      </c>
      <c r="E346" s="77">
        <v>6281221788919</v>
      </c>
      <c r="F346" s="84">
        <v>45824</v>
      </c>
      <c r="G346" s="79">
        <v>709</v>
      </c>
      <c r="H346" s="80">
        <v>14513.62683438155</v>
      </c>
      <c r="I346" s="72">
        <v>28</v>
      </c>
      <c r="J346" s="81">
        <v>13846</v>
      </c>
      <c r="K346" s="76">
        <v>3</v>
      </c>
      <c r="L346" s="76">
        <v>274</v>
      </c>
      <c r="M346" s="76">
        <v>0</v>
      </c>
      <c r="N346" s="82" t="s">
        <v>10759</v>
      </c>
      <c r="O346" s="83"/>
    </row>
    <row r="347" spans="1:15" ht="22.5" customHeight="1">
      <c r="A347" s="76">
        <v>174904221976312</v>
      </c>
      <c r="B347" s="77" t="s">
        <v>10651</v>
      </c>
      <c r="C347" s="77" t="s">
        <v>10770</v>
      </c>
      <c r="D347" s="77" t="s">
        <v>444</v>
      </c>
      <c r="F347" s="84">
        <v>45824</v>
      </c>
      <c r="G347" s="79">
        <v>12966</v>
      </c>
      <c r="H347" s="80">
        <v>970.07558229214874</v>
      </c>
      <c r="I347" s="72">
        <v>9</v>
      </c>
      <c r="J347" s="81">
        <v>12578</v>
      </c>
      <c r="K347" s="76">
        <v>0</v>
      </c>
      <c r="L347" s="76">
        <v>611</v>
      </c>
      <c r="M347" s="76">
        <v>0</v>
      </c>
      <c r="N347" s="82" t="s">
        <v>10771</v>
      </c>
      <c r="O347" s="83"/>
    </row>
    <row r="348" spans="1:15" ht="22.5" customHeight="1">
      <c r="A348" s="76">
        <v>174904221976312</v>
      </c>
      <c r="B348" s="77" t="s">
        <v>10651</v>
      </c>
      <c r="C348" s="77" t="s">
        <v>441</v>
      </c>
      <c r="D348" s="77" t="s">
        <v>10760</v>
      </c>
      <c r="E348" s="77">
        <v>6285864008882</v>
      </c>
      <c r="F348" s="84">
        <v>45824</v>
      </c>
      <c r="G348" s="79">
        <v>918</v>
      </c>
      <c r="H348" s="80">
        <v>12246.153846153846</v>
      </c>
      <c r="I348" s="72">
        <v>20</v>
      </c>
      <c r="J348" s="81">
        <v>13532</v>
      </c>
      <c r="K348" s="76">
        <v>0</v>
      </c>
      <c r="L348" s="76">
        <v>404</v>
      </c>
      <c r="M348" s="76">
        <v>0</v>
      </c>
      <c r="N348" s="82" t="s">
        <v>10761</v>
      </c>
      <c r="O348" s="83"/>
    </row>
    <row r="349" spans="1:15" ht="22.5" customHeight="1">
      <c r="A349" s="76">
        <v>174904221976312</v>
      </c>
      <c r="B349" s="77" t="s">
        <v>10651</v>
      </c>
      <c r="C349" s="77" t="s">
        <v>399</v>
      </c>
      <c r="D349" s="77" t="s">
        <v>394</v>
      </c>
      <c r="F349" s="84">
        <v>45824</v>
      </c>
      <c r="G349" s="79">
        <v>3549</v>
      </c>
      <c r="H349" s="80">
        <v>2999.3249324932494</v>
      </c>
      <c r="I349" s="72">
        <v>90</v>
      </c>
      <c r="J349" s="81">
        <v>13329</v>
      </c>
      <c r="K349" s="76">
        <v>14</v>
      </c>
      <c r="L349" s="76">
        <v>0</v>
      </c>
      <c r="M349" s="76">
        <v>0</v>
      </c>
      <c r="N349" s="82" t="s">
        <v>10749</v>
      </c>
      <c r="O349" s="83"/>
    </row>
    <row r="350" spans="1:15" ht="22.5" customHeight="1">
      <c r="A350" s="76">
        <v>174904221976312</v>
      </c>
      <c r="B350" s="77" t="s">
        <v>10651</v>
      </c>
      <c r="C350" s="77" t="s">
        <v>311</v>
      </c>
      <c r="D350" s="77" t="s">
        <v>10737</v>
      </c>
      <c r="E350" s="77">
        <v>628988759290</v>
      </c>
      <c r="F350" s="84">
        <v>45824</v>
      </c>
      <c r="G350" s="79">
        <v>834</v>
      </c>
      <c r="H350" s="80">
        <v>11712.014134275618</v>
      </c>
      <c r="I350" s="72">
        <v>23</v>
      </c>
      <c r="J350" s="81">
        <v>13258</v>
      </c>
      <c r="K350" s="76">
        <v>0</v>
      </c>
      <c r="L350" s="76">
        <v>0</v>
      </c>
      <c r="M350" s="76">
        <v>0</v>
      </c>
      <c r="N350" s="82" t="s">
        <v>10738</v>
      </c>
      <c r="O350" s="83"/>
    </row>
    <row r="351" spans="1:15" ht="22.5" customHeight="1">
      <c r="A351" s="76">
        <v>174904221976312</v>
      </c>
      <c r="B351" s="77" t="s">
        <v>10651</v>
      </c>
      <c r="C351" s="77" t="s">
        <v>10778</v>
      </c>
      <c r="D351" s="77" t="s">
        <v>3140</v>
      </c>
      <c r="F351" s="84">
        <v>45824</v>
      </c>
      <c r="G351" s="79">
        <v>5038</v>
      </c>
      <c r="H351" s="80">
        <v>2584.993717465446</v>
      </c>
      <c r="I351" s="72">
        <v>87</v>
      </c>
      <c r="J351" s="81">
        <v>14401</v>
      </c>
      <c r="K351" s="76">
        <v>6</v>
      </c>
      <c r="L351" s="76">
        <v>805</v>
      </c>
      <c r="M351" s="76">
        <v>1</v>
      </c>
      <c r="N351" s="82" t="s">
        <v>10779</v>
      </c>
      <c r="O351" s="83"/>
    </row>
    <row r="352" spans="1:15" ht="22.5" customHeight="1">
      <c r="A352" s="76">
        <v>174904221976312</v>
      </c>
      <c r="B352" s="77" t="s">
        <v>10651</v>
      </c>
      <c r="C352" s="77" t="s">
        <v>10673</v>
      </c>
      <c r="D352" s="77" t="s">
        <v>10674</v>
      </c>
      <c r="E352" s="77">
        <v>6282183184641</v>
      </c>
      <c r="F352" s="84">
        <v>45824</v>
      </c>
      <c r="G352" s="79">
        <v>896</v>
      </c>
      <c r="H352" s="80">
        <v>14323.170731707316</v>
      </c>
      <c r="I352" s="72">
        <v>20</v>
      </c>
      <c r="J352" s="81">
        <v>14094</v>
      </c>
      <c r="K352" s="76">
        <v>4</v>
      </c>
      <c r="L352" s="76">
        <v>214</v>
      </c>
      <c r="M352" s="76">
        <v>0</v>
      </c>
      <c r="N352" s="82" t="s">
        <v>10675</v>
      </c>
      <c r="O352" s="83"/>
    </row>
    <row r="353" spans="1:15" ht="22.5" customHeight="1">
      <c r="A353" s="76">
        <v>174904221976312</v>
      </c>
      <c r="B353" s="77" t="s">
        <v>10651</v>
      </c>
      <c r="C353" s="77" t="s">
        <v>10652</v>
      </c>
      <c r="D353" s="77" t="s">
        <v>10653</v>
      </c>
      <c r="E353" s="77">
        <v>6281348555887</v>
      </c>
      <c r="F353" s="84">
        <v>45824</v>
      </c>
      <c r="G353" s="79">
        <v>1202</v>
      </c>
      <c r="H353" s="80">
        <v>10105.776444111028</v>
      </c>
      <c r="I353" s="72">
        <v>37</v>
      </c>
      <c r="J353" s="81">
        <v>13471</v>
      </c>
      <c r="K353" s="76">
        <v>3</v>
      </c>
      <c r="L353" s="76">
        <v>405</v>
      </c>
      <c r="M353" s="76">
        <v>0</v>
      </c>
      <c r="N353" s="82" t="s">
        <v>10654</v>
      </c>
      <c r="O353" s="83"/>
    </row>
    <row r="354" spans="1:15" ht="22.5" customHeight="1">
      <c r="A354" s="76">
        <v>174904221976312</v>
      </c>
      <c r="B354" s="77" t="s">
        <v>10651</v>
      </c>
      <c r="C354" s="77" t="s">
        <v>10655</v>
      </c>
      <c r="D354" s="77" t="s">
        <v>3908</v>
      </c>
      <c r="E354" s="77">
        <v>6285376667233</v>
      </c>
      <c r="F354" s="84">
        <v>45824</v>
      </c>
      <c r="G354" s="79">
        <v>934</v>
      </c>
      <c r="H354" s="80">
        <v>12456.603773584906</v>
      </c>
      <c r="I354" s="72">
        <v>32</v>
      </c>
      <c r="J354" s="81">
        <v>13204</v>
      </c>
      <c r="K354" s="76">
        <v>10</v>
      </c>
      <c r="L354" s="76">
        <v>384</v>
      </c>
      <c r="M354" s="76">
        <v>1</v>
      </c>
      <c r="N354" s="82" t="s">
        <v>10656</v>
      </c>
      <c r="O354" s="83"/>
    </row>
    <row r="355" spans="1:15" ht="22.5" customHeight="1">
      <c r="A355" s="76">
        <v>174904221976312</v>
      </c>
      <c r="B355" s="77" t="s">
        <v>10651</v>
      </c>
      <c r="C355" s="77" t="s">
        <v>10659</v>
      </c>
      <c r="D355" s="77" t="s">
        <v>1044</v>
      </c>
      <c r="E355" s="77">
        <v>6281263113266</v>
      </c>
      <c r="F355" s="84">
        <v>45824</v>
      </c>
      <c r="G355" s="79">
        <v>1547</v>
      </c>
      <c r="H355" s="80">
        <v>9175.8241758241747</v>
      </c>
      <c r="I355" s="72">
        <v>62</v>
      </c>
      <c r="J355" s="81">
        <v>15865</v>
      </c>
      <c r="K355" s="76">
        <v>4</v>
      </c>
      <c r="L355" s="76">
        <v>617</v>
      </c>
      <c r="M355" s="76">
        <v>0</v>
      </c>
      <c r="N355" s="82" t="s">
        <v>10660</v>
      </c>
      <c r="O355" s="83"/>
    </row>
    <row r="356" spans="1:15" ht="22.5" customHeight="1">
      <c r="A356" s="76">
        <v>174904221976312</v>
      </c>
      <c r="B356" s="77" t="s">
        <v>10651</v>
      </c>
      <c r="C356" s="77" t="s">
        <v>63</v>
      </c>
      <c r="D356" s="77" t="s">
        <v>55</v>
      </c>
      <c r="E356" s="77">
        <v>6282226594414</v>
      </c>
      <c r="F356" s="84">
        <v>45824</v>
      </c>
      <c r="G356" s="79">
        <v>3434</v>
      </c>
      <c r="H356" s="80">
        <v>3271.3100326879558</v>
      </c>
      <c r="I356" s="72">
        <v>122</v>
      </c>
      <c r="J356" s="81">
        <v>13010</v>
      </c>
      <c r="K356" s="76">
        <v>8</v>
      </c>
      <c r="L356" s="76">
        <v>1094</v>
      </c>
      <c r="M356" s="76">
        <v>1</v>
      </c>
      <c r="N356" s="82" t="s">
        <v>10661</v>
      </c>
      <c r="O356" s="83"/>
    </row>
    <row r="357" spans="1:15" ht="22.5" customHeight="1">
      <c r="A357" s="76">
        <v>174904221976312</v>
      </c>
      <c r="B357" s="77" t="s">
        <v>10651</v>
      </c>
      <c r="C357" s="77" t="s">
        <v>10679</v>
      </c>
      <c r="D357" s="77" t="s">
        <v>10680</v>
      </c>
      <c r="E357" s="77">
        <v>6282347206488</v>
      </c>
      <c r="F357" s="84">
        <v>45824</v>
      </c>
      <c r="G357" s="79">
        <v>1273</v>
      </c>
      <c r="H357" s="80">
        <v>8852.9993408042192</v>
      </c>
      <c r="I357" s="72">
        <v>29</v>
      </c>
      <c r="J357" s="81">
        <v>13430</v>
      </c>
      <c r="K357" s="76">
        <v>3</v>
      </c>
      <c r="L357" s="76">
        <v>607</v>
      </c>
      <c r="M357" s="76">
        <v>1</v>
      </c>
      <c r="N357" s="82" t="s">
        <v>10681</v>
      </c>
      <c r="O357" s="83"/>
    </row>
    <row r="358" spans="1:15" ht="22.5" customHeight="1">
      <c r="A358" s="76">
        <v>766589657993298</v>
      </c>
      <c r="B358" s="77" t="s">
        <v>10688</v>
      </c>
      <c r="C358" s="77" t="s">
        <v>10780</v>
      </c>
      <c r="D358" s="77" t="s">
        <v>10781</v>
      </c>
      <c r="E358" s="77">
        <v>6281338789995</v>
      </c>
      <c r="F358" s="84">
        <v>45824</v>
      </c>
      <c r="G358" s="79">
        <v>699</v>
      </c>
      <c r="H358" s="80">
        <v>13506.561679790026</v>
      </c>
      <c r="I358" s="72">
        <v>6</v>
      </c>
      <c r="J358" s="81">
        <v>10292</v>
      </c>
      <c r="K358" s="76">
        <v>0</v>
      </c>
      <c r="L358" s="76">
        <v>205</v>
      </c>
      <c r="M358" s="76">
        <v>0</v>
      </c>
      <c r="N358" s="82" t="s">
        <v>10782</v>
      </c>
      <c r="O358" s="83"/>
    </row>
    <row r="359" spans="1:15" ht="22.5" customHeight="1">
      <c r="A359" s="76">
        <v>766589657993298</v>
      </c>
      <c r="B359" s="77" t="s">
        <v>10688</v>
      </c>
      <c r="C359" s="77" t="s">
        <v>10783</v>
      </c>
      <c r="D359" s="77" t="s">
        <v>10784</v>
      </c>
      <c r="E359" s="77">
        <v>6282162580404</v>
      </c>
      <c r="F359" s="84">
        <v>45824</v>
      </c>
      <c r="G359" s="79">
        <v>317</v>
      </c>
      <c r="H359" s="80">
        <v>39178.571428571428</v>
      </c>
      <c r="I359" s="72">
        <v>9</v>
      </c>
      <c r="J359" s="81">
        <v>14261</v>
      </c>
      <c r="K359" s="76">
        <v>0</v>
      </c>
      <c r="L359" s="76">
        <v>124</v>
      </c>
      <c r="M359" s="76">
        <v>0</v>
      </c>
      <c r="N359" s="82" t="s">
        <v>10785</v>
      </c>
      <c r="O359" s="83"/>
    </row>
    <row r="360" spans="1:15" ht="22.5" customHeight="1">
      <c r="A360" s="76">
        <v>766589657993298</v>
      </c>
      <c r="B360" s="77" t="s">
        <v>10688</v>
      </c>
      <c r="C360" s="77" t="s">
        <v>10786</v>
      </c>
      <c r="D360" s="77" t="s">
        <v>739</v>
      </c>
      <c r="E360" s="77">
        <v>628122102657</v>
      </c>
      <c r="F360" s="84">
        <v>45824</v>
      </c>
      <c r="G360" s="79">
        <v>408</v>
      </c>
      <c r="H360" s="80">
        <v>31316.872427983541</v>
      </c>
      <c r="I360" s="72">
        <v>15</v>
      </c>
      <c r="J360" s="81">
        <v>15220</v>
      </c>
      <c r="K360" s="76">
        <v>6</v>
      </c>
      <c r="L360" s="76">
        <v>117</v>
      </c>
      <c r="M360" s="76">
        <v>0</v>
      </c>
      <c r="N360" s="82" t="s">
        <v>10787</v>
      </c>
      <c r="O360" s="83"/>
    </row>
    <row r="361" spans="1:15" ht="22.5" customHeight="1">
      <c r="A361" s="76">
        <v>766589657993298</v>
      </c>
      <c r="B361" s="77" t="s">
        <v>10688</v>
      </c>
      <c r="C361" s="77" t="s">
        <v>10788</v>
      </c>
      <c r="D361" s="77" t="s">
        <v>421</v>
      </c>
      <c r="F361" s="84">
        <v>45824</v>
      </c>
      <c r="G361" s="79">
        <v>154</v>
      </c>
      <c r="H361" s="80">
        <v>31110.429447852759</v>
      </c>
      <c r="I361" s="72">
        <v>2</v>
      </c>
      <c r="J361" s="81">
        <v>5071</v>
      </c>
      <c r="K361" s="76">
        <v>0</v>
      </c>
      <c r="L361" s="76">
        <v>39</v>
      </c>
      <c r="M361" s="76">
        <v>0</v>
      </c>
      <c r="N361" s="82" t="s">
        <v>10789</v>
      </c>
      <c r="O361" s="83"/>
    </row>
    <row r="362" spans="1:15" ht="22.5" customHeight="1">
      <c r="A362" s="76">
        <v>766589657993298</v>
      </c>
      <c r="B362" s="77" t="s">
        <v>10688</v>
      </c>
      <c r="C362" s="77" t="s">
        <v>10772</v>
      </c>
      <c r="D362" s="77" t="s">
        <v>10773</v>
      </c>
      <c r="E362" s="77">
        <v>6285261023204</v>
      </c>
      <c r="F362" s="84">
        <v>45824</v>
      </c>
      <c r="G362" s="79">
        <v>294</v>
      </c>
      <c r="H362" s="80">
        <v>42636.363636363632</v>
      </c>
      <c r="I362" s="72">
        <v>13</v>
      </c>
      <c r="J362" s="81">
        <v>14539</v>
      </c>
      <c r="K362" s="76">
        <v>9</v>
      </c>
      <c r="L362" s="76">
        <v>6</v>
      </c>
      <c r="M362" s="76">
        <v>0</v>
      </c>
      <c r="N362" s="82" t="s">
        <v>10774</v>
      </c>
      <c r="O362" s="83"/>
    </row>
    <row r="363" spans="1:15" ht="22.5" customHeight="1">
      <c r="A363" s="76">
        <v>766589657993298</v>
      </c>
      <c r="B363" s="77" t="s">
        <v>10688</v>
      </c>
      <c r="C363" s="77" t="s">
        <v>10790</v>
      </c>
      <c r="D363" s="77" t="s">
        <v>494</v>
      </c>
      <c r="E363" s="77">
        <v>6285714611166</v>
      </c>
      <c r="F363" s="84">
        <v>45824</v>
      </c>
      <c r="G363" s="79">
        <v>278</v>
      </c>
      <c r="H363" s="80">
        <v>58532.258064516129</v>
      </c>
      <c r="I363" s="72">
        <v>8</v>
      </c>
      <c r="J363" s="81">
        <v>18145</v>
      </c>
      <c r="K363" s="76">
        <v>2</v>
      </c>
      <c r="L363" s="76">
        <v>170</v>
      </c>
      <c r="M363" s="76">
        <v>0</v>
      </c>
      <c r="N363" s="82" t="s">
        <v>10791</v>
      </c>
      <c r="O363" s="83"/>
    </row>
    <row r="364" spans="1:15" ht="22.5" customHeight="1">
      <c r="A364" s="76">
        <v>766589657993298</v>
      </c>
      <c r="B364" s="77" t="s">
        <v>10688</v>
      </c>
      <c r="C364" s="77" t="s">
        <v>10762</v>
      </c>
      <c r="D364" s="77" t="s">
        <v>10763</v>
      </c>
      <c r="E364" s="77">
        <v>6285210107607</v>
      </c>
      <c r="F364" s="84">
        <v>45824</v>
      </c>
      <c r="G364" s="79">
        <v>1547</v>
      </c>
      <c r="H364" s="80">
        <v>10471.739130434782</v>
      </c>
      <c r="I364" s="72">
        <v>21</v>
      </c>
      <c r="J364" s="81">
        <v>19268</v>
      </c>
      <c r="K364" s="76">
        <v>1</v>
      </c>
      <c r="L364" s="76">
        <v>370</v>
      </c>
      <c r="M364" s="76">
        <v>0</v>
      </c>
      <c r="N364" s="82" t="s">
        <v>10764</v>
      </c>
      <c r="O364" s="83"/>
    </row>
    <row r="365" spans="1:15" ht="22.5" customHeight="1">
      <c r="A365" s="76">
        <v>766589657993298</v>
      </c>
      <c r="B365" s="77" t="s">
        <v>10688</v>
      </c>
      <c r="C365" s="77" t="s">
        <v>10792</v>
      </c>
      <c r="D365" s="77" t="s">
        <v>10793</v>
      </c>
      <c r="E365" s="77">
        <v>6285353864755</v>
      </c>
      <c r="F365" s="84">
        <v>45824</v>
      </c>
      <c r="G365" s="79">
        <v>128</v>
      </c>
      <c r="H365" s="80">
        <v>25992.957746478871</v>
      </c>
      <c r="I365" s="72">
        <v>4</v>
      </c>
      <c r="J365" s="81">
        <v>3691</v>
      </c>
      <c r="K365" s="76">
        <v>0</v>
      </c>
      <c r="L365" s="76">
        <v>17</v>
      </c>
      <c r="M365" s="76">
        <v>0</v>
      </c>
      <c r="N365" s="82" t="s">
        <v>10794</v>
      </c>
      <c r="O365" s="83"/>
    </row>
    <row r="366" spans="1:15" ht="22.5" customHeight="1">
      <c r="A366" s="76">
        <v>766589657993298</v>
      </c>
      <c r="B366" s="77" t="s">
        <v>10688</v>
      </c>
      <c r="C366" s="77" t="s">
        <v>10765</v>
      </c>
      <c r="D366" s="77" t="s">
        <v>350</v>
      </c>
      <c r="E366" s="77">
        <v>6282393168368</v>
      </c>
      <c r="F366" s="84">
        <v>45824</v>
      </c>
      <c r="G366" s="79">
        <v>770</v>
      </c>
      <c r="H366" s="80">
        <v>19032.805429864253</v>
      </c>
      <c r="I366" s="72">
        <v>23</v>
      </c>
      <c r="J366" s="81">
        <v>16825</v>
      </c>
      <c r="K366" s="76">
        <v>2</v>
      </c>
      <c r="L366" s="76">
        <v>314</v>
      </c>
      <c r="M366" s="76">
        <v>0</v>
      </c>
      <c r="N366" s="82" t="s">
        <v>10766</v>
      </c>
      <c r="O366" s="83"/>
    </row>
    <row r="367" spans="1:15" ht="22.5" customHeight="1">
      <c r="A367" s="76">
        <v>766589657993298</v>
      </c>
      <c r="B367" s="77" t="s">
        <v>10688</v>
      </c>
      <c r="C367" s="77" t="s">
        <v>10795</v>
      </c>
      <c r="D367" s="77" t="s">
        <v>551</v>
      </c>
      <c r="E367" s="77">
        <v>6285747906282</v>
      </c>
      <c r="F367" s="84">
        <v>45824</v>
      </c>
      <c r="G367" s="79">
        <v>313</v>
      </c>
      <c r="H367" s="80">
        <v>25789.94082840237</v>
      </c>
      <c r="I367" s="72">
        <v>6</v>
      </c>
      <c r="J367" s="81">
        <v>8717</v>
      </c>
      <c r="K367" s="76">
        <v>0</v>
      </c>
      <c r="L367" s="76">
        <v>183</v>
      </c>
      <c r="M367" s="76">
        <v>0</v>
      </c>
      <c r="N367" s="82" t="s">
        <v>10796</v>
      </c>
      <c r="O367" s="83"/>
    </row>
    <row r="368" spans="1:15" ht="22.5" customHeight="1">
      <c r="A368" s="76">
        <v>766589657993298</v>
      </c>
      <c r="B368" s="77" t="s">
        <v>10688</v>
      </c>
      <c r="C368" s="77" t="s">
        <v>10767</v>
      </c>
      <c r="D368" s="77" t="s">
        <v>10768</v>
      </c>
      <c r="E368" s="77">
        <v>6281519225886</v>
      </c>
      <c r="F368" s="84">
        <v>45824</v>
      </c>
      <c r="G368" s="79">
        <v>264</v>
      </c>
      <c r="H368" s="80">
        <v>51953.416149068325</v>
      </c>
      <c r="I368" s="72">
        <v>13</v>
      </c>
      <c r="J368" s="81">
        <v>16729</v>
      </c>
      <c r="K368" s="76">
        <v>6</v>
      </c>
      <c r="L368" s="76">
        <v>31</v>
      </c>
      <c r="M368" s="76">
        <v>0</v>
      </c>
      <c r="N368" s="82" t="s">
        <v>10769</v>
      </c>
      <c r="O368" s="83"/>
    </row>
    <row r="369" spans="1:15" ht="22.5" customHeight="1">
      <c r="A369" s="76">
        <v>766589657993298</v>
      </c>
      <c r="B369" s="77" t="s">
        <v>10688</v>
      </c>
      <c r="C369" s="77" t="s">
        <v>10797</v>
      </c>
      <c r="D369" s="77" t="s">
        <v>10798</v>
      </c>
      <c r="E369" s="77">
        <v>6285853370682</v>
      </c>
      <c r="F369" s="84">
        <v>45824</v>
      </c>
      <c r="G369" s="79">
        <v>166</v>
      </c>
      <c r="H369" s="80">
        <v>19148.571428571431</v>
      </c>
      <c r="I369" s="72">
        <v>1</v>
      </c>
      <c r="J369" s="81">
        <v>3351</v>
      </c>
      <c r="K369" s="76">
        <v>0</v>
      </c>
      <c r="L369" s="76">
        <v>53</v>
      </c>
      <c r="M369" s="76">
        <v>0</v>
      </c>
      <c r="N369" s="82" t="s">
        <v>10799</v>
      </c>
      <c r="O369" s="83"/>
    </row>
    <row r="370" spans="1:15" ht="22.5" customHeight="1">
      <c r="A370" s="76">
        <v>766589657993298</v>
      </c>
      <c r="B370" s="77" t="s">
        <v>10688</v>
      </c>
      <c r="C370" s="77" t="s">
        <v>10800</v>
      </c>
      <c r="D370" s="77" t="s">
        <v>472</v>
      </c>
      <c r="E370" s="77">
        <v>628114170888</v>
      </c>
      <c r="F370" s="84">
        <v>45824</v>
      </c>
      <c r="G370" s="79">
        <v>912</v>
      </c>
      <c r="H370" s="80">
        <v>18442.460317460318</v>
      </c>
      <c r="I370" s="72">
        <v>18</v>
      </c>
      <c r="J370" s="81">
        <v>18590</v>
      </c>
      <c r="K370" s="76">
        <v>1</v>
      </c>
      <c r="L370" s="76">
        <v>0</v>
      </c>
      <c r="M370" s="76">
        <v>0</v>
      </c>
      <c r="N370" s="82" t="s">
        <v>10801</v>
      </c>
      <c r="O370" s="83"/>
    </row>
    <row r="371" spans="1:15" ht="22.5" customHeight="1">
      <c r="A371" s="76">
        <v>766589657993298</v>
      </c>
      <c r="B371" s="77" t="s">
        <v>10688</v>
      </c>
      <c r="C371" s="77" t="s">
        <v>10750</v>
      </c>
      <c r="D371" s="77" t="s">
        <v>456</v>
      </c>
      <c r="E371" s="77">
        <v>6281278788088</v>
      </c>
      <c r="F371" s="84">
        <v>45824</v>
      </c>
      <c r="G371" s="79">
        <v>769</v>
      </c>
      <c r="H371" s="80">
        <v>16014.553014553016</v>
      </c>
      <c r="I371" s="72">
        <v>24</v>
      </c>
      <c r="J371" s="81">
        <v>15406</v>
      </c>
      <c r="K371" s="76">
        <v>2</v>
      </c>
      <c r="L371" s="76">
        <v>244</v>
      </c>
      <c r="M371" s="76">
        <v>0</v>
      </c>
      <c r="N371" s="82" t="s">
        <v>10751</v>
      </c>
      <c r="O371" s="83"/>
    </row>
    <row r="372" spans="1:15" ht="22.5" customHeight="1">
      <c r="A372" s="76">
        <v>766589657993298</v>
      </c>
      <c r="B372" s="77" t="s">
        <v>10688</v>
      </c>
      <c r="C372" s="77" t="s">
        <v>10741</v>
      </c>
      <c r="D372" s="77" t="s">
        <v>559</v>
      </c>
      <c r="E372" s="77">
        <v>6281952482523</v>
      </c>
      <c r="F372" s="84">
        <v>45824</v>
      </c>
      <c r="G372" s="79">
        <v>435</v>
      </c>
      <c r="H372" s="80">
        <v>31291.280148423008</v>
      </c>
      <c r="I372" s="72">
        <v>6</v>
      </c>
      <c r="J372" s="81">
        <v>16866</v>
      </c>
      <c r="K372" s="76">
        <v>0</v>
      </c>
      <c r="L372" s="76">
        <v>253</v>
      </c>
      <c r="M372" s="76">
        <v>0</v>
      </c>
      <c r="N372" s="82" t="s">
        <v>10742</v>
      </c>
      <c r="O372" s="83"/>
    </row>
    <row r="373" spans="1:15" ht="22.5" customHeight="1">
      <c r="A373" s="76">
        <v>766589657993298</v>
      </c>
      <c r="B373" s="77" t="s">
        <v>10688</v>
      </c>
      <c r="C373" s="77" t="s">
        <v>10802</v>
      </c>
      <c r="D373" s="77" t="s">
        <v>567</v>
      </c>
      <c r="E373" s="77">
        <v>6285220216325</v>
      </c>
      <c r="F373" s="84">
        <v>45824</v>
      </c>
      <c r="G373" s="79">
        <v>69</v>
      </c>
      <c r="H373" s="80">
        <v>37746.666666666672</v>
      </c>
      <c r="I373" s="72">
        <v>1</v>
      </c>
      <c r="J373" s="81">
        <v>2831</v>
      </c>
      <c r="K373" s="76">
        <v>0</v>
      </c>
      <c r="L373" s="76">
        <v>17</v>
      </c>
      <c r="M373" s="76">
        <v>0</v>
      </c>
      <c r="N373" s="82" t="s">
        <v>10803</v>
      </c>
      <c r="O373" s="83"/>
    </row>
    <row r="374" spans="1:15" ht="22.5" customHeight="1">
      <c r="A374" s="76">
        <v>766589657993298</v>
      </c>
      <c r="B374" s="77" t="s">
        <v>10688</v>
      </c>
      <c r="C374" s="77" t="s">
        <v>10752</v>
      </c>
      <c r="D374" s="77" t="s">
        <v>10753</v>
      </c>
      <c r="E374" s="77">
        <v>6281340892328</v>
      </c>
      <c r="F374" s="84">
        <v>45824</v>
      </c>
      <c r="G374" s="79">
        <v>1292</v>
      </c>
      <c r="H374" s="80">
        <v>10524.081115335868</v>
      </c>
      <c r="I374" s="72">
        <v>40</v>
      </c>
      <c r="J374" s="81">
        <v>16607</v>
      </c>
      <c r="K374" s="76">
        <v>1</v>
      </c>
      <c r="L374" s="76">
        <v>485</v>
      </c>
      <c r="M374" s="76">
        <v>0</v>
      </c>
      <c r="N374" s="82" t="s">
        <v>10754</v>
      </c>
      <c r="O374" s="83"/>
    </row>
    <row r="375" spans="1:15" ht="22.5" customHeight="1">
      <c r="A375" s="76">
        <v>766589657993298</v>
      </c>
      <c r="B375" s="77" t="s">
        <v>10688</v>
      </c>
      <c r="C375" s="77" t="s">
        <v>10743</v>
      </c>
      <c r="D375" s="77" t="s">
        <v>10744</v>
      </c>
      <c r="E375" s="77">
        <v>6282211675028</v>
      </c>
      <c r="F375" s="84">
        <v>45824</v>
      </c>
      <c r="G375" s="79">
        <v>1297</v>
      </c>
      <c r="H375" s="80">
        <v>10420.22008253095</v>
      </c>
      <c r="I375" s="72">
        <v>23</v>
      </c>
      <c r="J375" s="81">
        <v>15151</v>
      </c>
      <c r="K375" s="76">
        <v>5</v>
      </c>
      <c r="L375" s="76">
        <v>741</v>
      </c>
      <c r="M375" s="76">
        <v>0</v>
      </c>
      <c r="N375" s="82" t="s">
        <v>10745</v>
      </c>
      <c r="O375" s="83"/>
    </row>
    <row r="376" spans="1:15" ht="22.5" customHeight="1">
      <c r="A376" s="76">
        <v>766589657993298</v>
      </c>
      <c r="B376" s="77" t="s">
        <v>10688</v>
      </c>
      <c r="C376" s="77" t="s">
        <v>10746</v>
      </c>
      <c r="D376" s="77" t="s">
        <v>10747</v>
      </c>
      <c r="E376" s="77">
        <v>6281222110766</v>
      </c>
      <c r="F376" s="84">
        <v>45824</v>
      </c>
      <c r="G376" s="79">
        <v>448</v>
      </c>
      <c r="H376" s="80">
        <v>30783.838383838382</v>
      </c>
      <c r="I376" s="72">
        <v>6</v>
      </c>
      <c r="J376" s="81">
        <v>15238</v>
      </c>
      <c r="K376" s="76">
        <v>0</v>
      </c>
      <c r="L376" s="76">
        <v>336</v>
      </c>
      <c r="M376" s="76">
        <v>1</v>
      </c>
      <c r="N376" s="82" t="s">
        <v>10748</v>
      </c>
      <c r="O376" s="83"/>
    </row>
    <row r="377" spans="1:15" ht="22.5" customHeight="1">
      <c r="A377" s="76">
        <v>766589657993298</v>
      </c>
      <c r="B377" s="77" t="s">
        <v>10688</v>
      </c>
      <c r="C377" s="77" t="s">
        <v>10739</v>
      </c>
      <c r="D377" s="77" t="s">
        <v>429</v>
      </c>
      <c r="E377" s="77">
        <v>6282399006447</v>
      </c>
      <c r="F377" s="84">
        <v>45824</v>
      </c>
      <c r="G377" s="79">
        <v>727</v>
      </c>
      <c r="H377" s="80">
        <v>18458.033573141489</v>
      </c>
      <c r="I377" s="72">
        <v>20</v>
      </c>
      <c r="J377" s="81">
        <v>15394</v>
      </c>
      <c r="K377" s="76">
        <v>3</v>
      </c>
      <c r="L377" s="76">
        <v>2</v>
      </c>
      <c r="M377" s="76">
        <v>0</v>
      </c>
      <c r="N377" s="82" t="s">
        <v>10740</v>
      </c>
      <c r="O377" s="83"/>
    </row>
    <row r="378" spans="1:15" ht="22.5" customHeight="1">
      <c r="A378" s="76">
        <v>759724529202804</v>
      </c>
      <c r="B378" s="77" t="s">
        <v>10621</v>
      </c>
      <c r="C378" s="77" t="s">
        <v>540</v>
      </c>
      <c r="D378" s="77" t="s">
        <v>10755</v>
      </c>
      <c r="E378" s="77">
        <v>6281335728695</v>
      </c>
      <c r="F378" s="84">
        <v>45825</v>
      </c>
      <c r="G378" s="79">
        <v>630</v>
      </c>
      <c r="H378" s="80">
        <v>20604.781997187059</v>
      </c>
      <c r="I378" s="72">
        <v>16</v>
      </c>
      <c r="J378" s="81">
        <v>14650</v>
      </c>
      <c r="K378" s="76">
        <v>1</v>
      </c>
      <c r="L378" s="76">
        <v>374</v>
      </c>
      <c r="M378" s="76">
        <v>0</v>
      </c>
      <c r="N378" s="82" t="s">
        <v>10756</v>
      </c>
      <c r="O378" s="83"/>
    </row>
    <row r="379" spans="1:15" ht="22.5" customHeight="1">
      <c r="A379" s="76">
        <v>759724529202804</v>
      </c>
      <c r="B379" s="77" t="s">
        <v>10621</v>
      </c>
      <c r="C379" s="77" t="s">
        <v>531</v>
      </c>
      <c r="D379" s="77" t="s">
        <v>10757</v>
      </c>
      <c r="E379" s="77">
        <v>6281216962242</v>
      </c>
      <c r="F379" s="84">
        <v>45825</v>
      </c>
      <c r="G379" s="79">
        <v>675</v>
      </c>
      <c r="H379" s="80">
        <v>20510.996119016818</v>
      </c>
      <c r="I379" s="72">
        <v>18</v>
      </c>
      <c r="J379" s="81">
        <v>15855</v>
      </c>
      <c r="K379" s="76">
        <v>1</v>
      </c>
      <c r="L379" s="76">
        <v>184</v>
      </c>
      <c r="M379" s="76">
        <v>0</v>
      </c>
      <c r="N379" s="82" t="s">
        <v>10758</v>
      </c>
      <c r="O379" s="83"/>
    </row>
    <row r="380" spans="1:15" ht="22.5" customHeight="1">
      <c r="A380" s="76">
        <v>759724529202804</v>
      </c>
      <c r="B380" s="77" t="s">
        <v>10621</v>
      </c>
      <c r="C380" s="77" t="s">
        <v>10804</v>
      </c>
      <c r="D380" s="77" t="s">
        <v>607</v>
      </c>
      <c r="E380" s="77">
        <v>6288215545661</v>
      </c>
      <c r="F380" s="84">
        <v>45825</v>
      </c>
      <c r="G380" s="79">
        <v>703</v>
      </c>
      <c r="H380" s="80">
        <v>18601.715686274511</v>
      </c>
      <c r="I380" s="72">
        <v>26</v>
      </c>
      <c r="J380" s="81">
        <v>15179</v>
      </c>
      <c r="K380" s="76">
        <v>0</v>
      </c>
      <c r="L380" s="76">
        <v>466</v>
      </c>
      <c r="M380" s="76">
        <v>0</v>
      </c>
      <c r="N380" s="82" t="s">
        <v>10805</v>
      </c>
      <c r="O380" s="83"/>
    </row>
    <row r="381" spans="1:15" ht="22.5" customHeight="1">
      <c r="A381" s="76">
        <v>759724529202804</v>
      </c>
      <c r="B381" s="77" t="s">
        <v>10621</v>
      </c>
      <c r="C381" s="77" t="s">
        <v>332</v>
      </c>
      <c r="D381" s="77" t="s">
        <v>10708</v>
      </c>
      <c r="E381" s="77">
        <v>6282350524788</v>
      </c>
      <c r="F381" s="84">
        <v>45825</v>
      </c>
      <c r="G381" s="79">
        <v>922</v>
      </c>
      <c r="H381" s="80">
        <v>13842.908438061042</v>
      </c>
      <c r="I381" s="72">
        <v>27</v>
      </c>
      <c r="J381" s="81">
        <v>15421</v>
      </c>
      <c r="K381" s="76">
        <v>3</v>
      </c>
      <c r="L381" s="76">
        <v>344</v>
      </c>
      <c r="M381" s="76">
        <v>0</v>
      </c>
      <c r="N381" s="82" t="s">
        <v>10709</v>
      </c>
      <c r="O381" s="83"/>
    </row>
    <row r="382" spans="1:15" ht="22.5" customHeight="1">
      <c r="A382" s="76">
        <v>759724529202804</v>
      </c>
      <c r="B382" s="77" t="s">
        <v>10621</v>
      </c>
      <c r="C382" s="77" t="s">
        <v>206</v>
      </c>
      <c r="D382" s="77" t="s">
        <v>199</v>
      </c>
      <c r="E382" s="77">
        <v>6285220903499</v>
      </c>
      <c r="F382" s="84">
        <v>45825</v>
      </c>
      <c r="G382" s="79">
        <v>1211</v>
      </c>
      <c r="H382" s="80">
        <v>12435.344827586207</v>
      </c>
      <c r="I382" s="72">
        <v>29</v>
      </c>
      <c r="J382" s="81">
        <v>17310</v>
      </c>
      <c r="K382" s="76">
        <v>5</v>
      </c>
      <c r="L382" s="76">
        <v>170</v>
      </c>
      <c r="M382" s="76">
        <v>0</v>
      </c>
      <c r="N382" s="82" t="s">
        <v>10628</v>
      </c>
      <c r="O382" s="83"/>
    </row>
    <row r="383" spans="1:15" ht="22.5" customHeight="1">
      <c r="A383" s="76">
        <v>759724529202804</v>
      </c>
      <c r="B383" s="77" t="s">
        <v>10621</v>
      </c>
      <c r="C383" s="77" t="s">
        <v>665</v>
      </c>
      <c r="D383" s="77" t="s">
        <v>659</v>
      </c>
      <c r="E383" s="77">
        <v>6285757057088</v>
      </c>
      <c r="F383" s="84">
        <v>45825</v>
      </c>
      <c r="G383" s="79">
        <v>1051</v>
      </c>
      <c r="H383" s="80">
        <v>13864.957264957266</v>
      </c>
      <c r="I383" s="72">
        <v>33</v>
      </c>
      <c r="J383" s="81">
        <v>16222</v>
      </c>
      <c r="K383" s="76">
        <v>1</v>
      </c>
      <c r="L383" s="76">
        <v>0</v>
      </c>
      <c r="M383" s="76">
        <v>1</v>
      </c>
      <c r="N383" s="82" t="s">
        <v>10636</v>
      </c>
      <c r="O383" s="83"/>
    </row>
    <row r="384" spans="1:15" ht="22.5" customHeight="1">
      <c r="A384" s="76">
        <v>174904221976312</v>
      </c>
      <c r="B384" s="77" t="s">
        <v>10651</v>
      </c>
      <c r="C384" s="77" t="s">
        <v>10806</v>
      </c>
      <c r="D384" s="77" t="s">
        <v>10807</v>
      </c>
      <c r="E384" s="77">
        <v>628127962347</v>
      </c>
      <c r="F384" s="84">
        <v>45825</v>
      </c>
      <c r="G384" s="79">
        <v>213</v>
      </c>
      <c r="H384" s="80">
        <v>33890.909090909088</v>
      </c>
      <c r="I384" s="72">
        <v>11</v>
      </c>
      <c r="J384" s="81">
        <v>7456</v>
      </c>
      <c r="K384" s="76">
        <v>4</v>
      </c>
      <c r="L384" s="76">
        <v>7</v>
      </c>
      <c r="M384" s="76">
        <v>1</v>
      </c>
      <c r="N384" s="82" t="s">
        <v>10808</v>
      </c>
      <c r="O384" s="83"/>
    </row>
    <row r="385" spans="1:15" ht="22.5" customHeight="1">
      <c r="A385" s="76">
        <v>174904221976312</v>
      </c>
      <c r="B385" s="77" t="s">
        <v>10651</v>
      </c>
      <c r="C385" s="77" t="s">
        <v>10809</v>
      </c>
      <c r="D385" s="77" t="s">
        <v>634</v>
      </c>
      <c r="E385" s="77">
        <v>6282258886603</v>
      </c>
      <c r="F385" s="84">
        <v>45825</v>
      </c>
      <c r="G385" s="79">
        <v>544</v>
      </c>
      <c r="H385" s="80">
        <v>21902.973395931142</v>
      </c>
      <c r="I385" s="72">
        <v>30</v>
      </c>
      <c r="J385" s="81">
        <v>13996</v>
      </c>
      <c r="K385" s="76">
        <v>5</v>
      </c>
      <c r="L385" s="76">
        <v>218</v>
      </c>
      <c r="M385" s="76">
        <v>0</v>
      </c>
      <c r="N385" s="82" t="s">
        <v>10810</v>
      </c>
      <c r="O385" s="83"/>
    </row>
    <row r="386" spans="1:15" ht="22.5" customHeight="1">
      <c r="A386" s="76">
        <v>174904221976312</v>
      </c>
      <c r="B386" s="77" t="s">
        <v>10651</v>
      </c>
      <c r="C386" s="77" t="s">
        <v>10811</v>
      </c>
      <c r="D386" s="77" t="s">
        <v>10812</v>
      </c>
      <c r="E386" s="77">
        <v>6281904501876</v>
      </c>
      <c r="F386" s="84">
        <v>45825</v>
      </c>
      <c r="G386" s="79">
        <v>1095</v>
      </c>
      <c r="H386" s="80">
        <v>10212.683681361175</v>
      </c>
      <c r="I386" s="72">
        <v>74</v>
      </c>
      <c r="J386" s="81">
        <v>13205</v>
      </c>
      <c r="K386" s="76">
        <v>9</v>
      </c>
      <c r="L386" s="76">
        <v>451</v>
      </c>
      <c r="M386" s="76">
        <v>0</v>
      </c>
      <c r="N386" s="82" t="s">
        <v>10813</v>
      </c>
      <c r="O386" s="83"/>
    </row>
    <row r="387" spans="1:15" ht="22.5" customHeight="1">
      <c r="A387" s="76">
        <v>174904221976312</v>
      </c>
      <c r="B387" s="77" t="s">
        <v>10651</v>
      </c>
      <c r="C387" s="77" t="s">
        <v>10775</v>
      </c>
      <c r="D387" s="77" t="s">
        <v>10776</v>
      </c>
      <c r="E387" s="77">
        <v>6282129040031</v>
      </c>
      <c r="F387" s="84">
        <v>45825</v>
      </c>
      <c r="G387" s="79">
        <v>909</v>
      </c>
      <c r="H387" s="80">
        <v>11883.185840707965</v>
      </c>
      <c r="I387" s="72">
        <v>37</v>
      </c>
      <c r="J387" s="81">
        <v>13428</v>
      </c>
      <c r="K387" s="76">
        <v>1</v>
      </c>
      <c r="L387" s="76">
        <v>53</v>
      </c>
      <c r="M387" s="76">
        <v>0</v>
      </c>
      <c r="N387" s="82" t="s">
        <v>10777</v>
      </c>
      <c r="O387" s="83"/>
    </row>
    <row r="388" spans="1:15" ht="22.5" customHeight="1">
      <c r="A388" s="76">
        <v>174904221976312</v>
      </c>
      <c r="B388" s="77" t="s">
        <v>10651</v>
      </c>
      <c r="C388" s="77" t="s">
        <v>8099</v>
      </c>
      <c r="D388" s="77" t="s">
        <v>2357</v>
      </c>
      <c r="E388" s="77">
        <v>6281221788919</v>
      </c>
      <c r="F388" s="84">
        <v>45825</v>
      </c>
      <c r="G388" s="79">
        <v>783</v>
      </c>
      <c r="H388" s="80">
        <v>14127.530364372471</v>
      </c>
      <c r="I388" s="72">
        <v>19</v>
      </c>
      <c r="J388" s="81">
        <v>13958</v>
      </c>
      <c r="K388" s="76">
        <v>3</v>
      </c>
      <c r="L388" s="76">
        <v>296</v>
      </c>
      <c r="M388" s="76">
        <v>0</v>
      </c>
      <c r="N388" s="82" t="s">
        <v>10759</v>
      </c>
      <c r="O388" s="83"/>
    </row>
    <row r="389" spans="1:15" ht="22.5" customHeight="1">
      <c r="A389" s="76">
        <v>174904221976312</v>
      </c>
      <c r="B389" s="77" t="s">
        <v>10651</v>
      </c>
      <c r="C389" s="77" t="s">
        <v>10770</v>
      </c>
      <c r="D389" s="77" t="s">
        <v>444</v>
      </c>
      <c r="F389" s="84">
        <v>45825</v>
      </c>
      <c r="G389" s="79">
        <v>10800</v>
      </c>
      <c r="H389" s="80">
        <v>1134.1210426625778</v>
      </c>
      <c r="I389" s="72">
        <v>7</v>
      </c>
      <c r="J389" s="81">
        <v>12574</v>
      </c>
      <c r="K389" s="76">
        <v>0</v>
      </c>
      <c r="L389" s="76">
        <v>341</v>
      </c>
      <c r="M389" s="76">
        <v>0</v>
      </c>
      <c r="N389" s="82" t="s">
        <v>10771</v>
      </c>
      <c r="O389" s="83"/>
    </row>
    <row r="390" spans="1:15" ht="22.5" customHeight="1">
      <c r="A390" s="76">
        <v>174904221976312</v>
      </c>
      <c r="B390" s="77" t="s">
        <v>10651</v>
      </c>
      <c r="C390" s="77" t="s">
        <v>441</v>
      </c>
      <c r="D390" s="77" t="s">
        <v>10760</v>
      </c>
      <c r="E390" s="77">
        <v>6285864008882</v>
      </c>
      <c r="F390" s="84">
        <v>45825</v>
      </c>
      <c r="G390" s="79">
        <v>1303</v>
      </c>
      <c r="H390" s="80">
        <v>8253.0446549391072</v>
      </c>
      <c r="I390" s="72">
        <v>24</v>
      </c>
      <c r="J390" s="81">
        <v>12198</v>
      </c>
      <c r="K390" s="76">
        <v>1</v>
      </c>
      <c r="L390" s="76">
        <v>425</v>
      </c>
      <c r="M390" s="76">
        <v>0</v>
      </c>
      <c r="N390" s="82" t="s">
        <v>10761</v>
      </c>
      <c r="O390" s="83"/>
    </row>
    <row r="391" spans="1:15" ht="22.5" customHeight="1">
      <c r="A391" s="76">
        <v>174904221976312</v>
      </c>
      <c r="B391" s="77" t="s">
        <v>10651</v>
      </c>
      <c r="C391" s="77" t="s">
        <v>399</v>
      </c>
      <c r="D391" s="77" t="s">
        <v>394</v>
      </c>
      <c r="F391" s="84">
        <v>45825</v>
      </c>
      <c r="G391" s="79">
        <v>3504</v>
      </c>
      <c r="H391" s="80">
        <v>3151.9167061050639</v>
      </c>
      <c r="I391" s="72">
        <v>71</v>
      </c>
      <c r="J391" s="81">
        <v>13320</v>
      </c>
      <c r="K391" s="76">
        <v>10</v>
      </c>
      <c r="L391" s="76">
        <v>0</v>
      </c>
      <c r="M391" s="76">
        <v>0</v>
      </c>
      <c r="N391" s="82" t="s">
        <v>10749</v>
      </c>
      <c r="O391" s="83"/>
    </row>
    <row r="392" spans="1:15" ht="22.5" customHeight="1">
      <c r="A392" s="76">
        <v>174904221976312</v>
      </c>
      <c r="B392" s="77" t="s">
        <v>10651</v>
      </c>
      <c r="C392" s="77" t="s">
        <v>311</v>
      </c>
      <c r="D392" s="77" t="s">
        <v>10737</v>
      </c>
      <c r="E392" s="77">
        <v>628988759290</v>
      </c>
      <c r="F392" s="84">
        <v>45825</v>
      </c>
      <c r="G392" s="79">
        <v>810</v>
      </c>
      <c r="H392" s="80">
        <v>11207.968901846452</v>
      </c>
      <c r="I392" s="72">
        <v>17</v>
      </c>
      <c r="J392" s="81">
        <v>11533</v>
      </c>
      <c r="K392" s="76">
        <v>1</v>
      </c>
      <c r="L392" s="76">
        <v>4</v>
      </c>
      <c r="M392" s="76">
        <v>0</v>
      </c>
      <c r="N392" s="82" t="s">
        <v>10738</v>
      </c>
      <c r="O392" s="83"/>
    </row>
    <row r="393" spans="1:15" ht="22.5" customHeight="1">
      <c r="A393" s="76">
        <v>174904221976312</v>
      </c>
      <c r="B393" s="77" t="s">
        <v>10651</v>
      </c>
      <c r="C393" s="77" t="s">
        <v>10778</v>
      </c>
      <c r="D393" s="77" t="s">
        <v>3140</v>
      </c>
      <c r="F393" s="84">
        <v>45825</v>
      </c>
      <c r="G393" s="79">
        <v>4243</v>
      </c>
      <c r="H393" s="80">
        <v>2393.3265925176947</v>
      </c>
      <c r="I393" s="72">
        <v>82</v>
      </c>
      <c r="J393" s="81">
        <v>11835</v>
      </c>
      <c r="K393" s="76">
        <v>2</v>
      </c>
      <c r="L393" s="76">
        <v>585</v>
      </c>
      <c r="M393" s="76">
        <v>1</v>
      </c>
      <c r="N393" s="82" t="s">
        <v>10779</v>
      </c>
      <c r="O393" s="83"/>
    </row>
    <row r="394" spans="1:15" ht="22.5" customHeight="1">
      <c r="A394" s="76">
        <v>174904221976312</v>
      </c>
      <c r="B394" s="77" t="s">
        <v>10651</v>
      </c>
      <c r="C394" s="77" t="s">
        <v>10673</v>
      </c>
      <c r="D394" s="77" t="s">
        <v>10674</v>
      </c>
      <c r="E394" s="77">
        <v>6282183184641</v>
      </c>
      <c r="F394" s="84">
        <v>45825</v>
      </c>
      <c r="G394" s="79">
        <v>1390</v>
      </c>
      <c r="H394" s="80">
        <v>10410.996563573883</v>
      </c>
      <c r="I394" s="72">
        <v>27</v>
      </c>
      <c r="J394" s="81">
        <v>15148</v>
      </c>
      <c r="K394" s="76">
        <v>2</v>
      </c>
      <c r="L394" s="76">
        <v>330</v>
      </c>
      <c r="M394" s="76">
        <v>0</v>
      </c>
      <c r="N394" s="82" t="s">
        <v>10675</v>
      </c>
      <c r="O394" s="83"/>
    </row>
    <row r="395" spans="1:15" ht="22.5" customHeight="1">
      <c r="A395" s="76">
        <v>174904221976312</v>
      </c>
      <c r="B395" s="77" t="s">
        <v>10651</v>
      </c>
      <c r="C395" s="77" t="s">
        <v>10652</v>
      </c>
      <c r="D395" s="77" t="s">
        <v>10653</v>
      </c>
      <c r="E395" s="77">
        <v>6281348555887</v>
      </c>
      <c r="F395" s="84">
        <v>45825</v>
      </c>
      <c r="G395" s="79">
        <v>1134</v>
      </c>
      <c r="H395" s="80">
        <v>10067.206477732794</v>
      </c>
      <c r="I395" s="72">
        <v>34</v>
      </c>
      <c r="J395" s="81">
        <v>12433</v>
      </c>
      <c r="K395" s="76">
        <v>1</v>
      </c>
      <c r="L395" s="76">
        <v>367</v>
      </c>
      <c r="M395" s="76">
        <v>0</v>
      </c>
      <c r="N395" s="82" t="s">
        <v>10654</v>
      </c>
      <c r="O395" s="83"/>
    </row>
    <row r="396" spans="1:15" ht="22.5" customHeight="1">
      <c r="A396" s="76">
        <v>174904221976312</v>
      </c>
      <c r="B396" s="77" t="s">
        <v>10651</v>
      </c>
      <c r="C396" s="77" t="s">
        <v>10655</v>
      </c>
      <c r="D396" s="77" t="s">
        <v>3908</v>
      </c>
      <c r="E396" s="77">
        <v>6285376667233</v>
      </c>
      <c r="F396" s="84">
        <v>45825</v>
      </c>
      <c r="G396" s="79">
        <v>1182</v>
      </c>
      <c r="H396" s="80">
        <v>10942.028985507246</v>
      </c>
      <c r="I396" s="72">
        <v>21</v>
      </c>
      <c r="J396" s="81">
        <v>14345</v>
      </c>
      <c r="K396" s="76">
        <v>4</v>
      </c>
      <c r="L396" s="76">
        <v>453</v>
      </c>
      <c r="M396" s="76">
        <v>0</v>
      </c>
      <c r="N396" s="82" t="s">
        <v>10656</v>
      </c>
      <c r="O396" s="83"/>
    </row>
    <row r="397" spans="1:15" ht="22.5" customHeight="1">
      <c r="A397" s="76">
        <v>174904221976312</v>
      </c>
      <c r="B397" s="77" t="s">
        <v>10651</v>
      </c>
      <c r="C397" s="77" t="s">
        <v>10659</v>
      </c>
      <c r="D397" s="77" t="s">
        <v>1044</v>
      </c>
      <c r="E397" s="77">
        <v>6281263113266</v>
      </c>
      <c r="F397" s="84">
        <v>45825</v>
      </c>
      <c r="G397" s="79">
        <v>1718</v>
      </c>
      <c r="H397" s="80">
        <v>8427.6206322795351</v>
      </c>
      <c r="I397" s="72">
        <v>60</v>
      </c>
      <c r="J397" s="81">
        <v>15195</v>
      </c>
      <c r="K397" s="76">
        <v>2</v>
      </c>
      <c r="L397" s="76">
        <v>607</v>
      </c>
      <c r="M397" s="76">
        <v>0</v>
      </c>
      <c r="N397" s="82" t="s">
        <v>10660</v>
      </c>
      <c r="O397" s="83"/>
    </row>
    <row r="398" spans="1:15" ht="22.5" customHeight="1">
      <c r="A398" s="76">
        <v>174904221976312</v>
      </c>
      <c r="B398" s="77" t="s">
        <v>10651</v>
      </c>
      <c r="C398" s="77" t="s">
        <v>63</v>
      </c>
      <c r="D398" s="77" t="s">
        <v>55</v>
      </c>
      <c r="E398" s="77">
        <v>6282226594414</v>
      </c>
      <c r="F398" s="84">
        <v>45825</v>
      </c>
      <c r="G398" s="79">
        <v>3745</v>
      </c>
      <c r="H398" s="80">
        <v>3264.412551690586</v>
      </c>
      <c r="I398" s="72">
        <v>127</v>
      </c>
      <c r="J398" s="81">
        <v>13420</v>
      </c>
      <c r="K398" s="76">
        <v>13</v>
      </c>
      <c r="L398" s="76">
        <v>1038</v>
      </c>
      <c r="M398" s="76">
        <v>4</v>
      </c>
      <c r="N398" s="82" t="s">
        <v>10661</v>
      </c>
      <c r="O398" s="83"/>
    </row>
    <row r="399" spans="1:15" ht="22.5" customHeight="1">
      <c r="A399" s="76">
        <v>174904221976312</v>
      </c>
      <c r="B399" s="77" t="s">
        <v>10651</v>
      </c>
      <c r="C399" s="77" t="s">
        <v>10679</v>
      </c>
      <c r="D399" s="77" t="s">
        <v>10680</v>
      </c>
      <c r="E399" s="77">
        <v>6282347206488</v>
      </c>
      <c r="F399" s="84">
        <v>45825</v>
      </c>
      <c r="G399" s="79">
        <v>1928</v>
      </c>
      <c r="H399" s="80">
        <v>7202.9250457038397</v>
      </c>
      <c r="I399" s="72">
        <v>55</v>
      </c>
      <c r="J399" s="81">
        <v>15760</v>
      </c>
      <c r="K399" s="76">
        <v>4</v>
      </c>
      <c r="L399" s="76">
        <v>851</v>
      </c>
      <c r="M399" s="76">
        <v>1</v>
      </c>
      <c r="N399" s="82" t="s">
        <v>10681</v>
      </c>
      <c r="O399" s="83"/>
    </row>
    <row r="400" spans="1:15" ht="22.5" customHeight="1">
      <c r="A400" s="76">
        <v>766589657993298</v>
      </c>
      <c r="B400" s="77" t="s">
        <v>10688</v>
      </c>
      <c r="C400" s="77" t="s">
        <v>10780</v>
      </c>
      <c r="D400" s="77" t="s">
        <v>10781</v>
      </c>
      <c r="E400" s="77">
        <v>6281338789995</v>
      </c>
      <c r="F400" s="84">
        <v>45825</v>
      </c>
      <c r="G400" s="79">
        <v>1083</v>
      </c>
      <c r="H400" s="80">
        <v>13174.050632911392</v>
      </c>
      <c r="I400" s="72">
        <v>26</v>
      </c>
      <c r="J400" s="81">
        <v>16652</v>
      </c>
      <c r="K400" s="76">
        <v>3</v>
      </c>
      <c r="L400" s="76">
        <v>385</v>
      </c>
      <c r="M400" s="76">
        <v>0</v>
      </c>
      <c r="N400" s="82" t="s">
        <v>10782</v>
      </c>
      <c r="O400" s="83"/>
    </row>
    <row r="401" spans="1:15" ht="22.5" customHeight="1">
      <c r="A401" s="76">
        <v>766589657993298</v>
      </c>
      <c r="B401" s="77" t="s">
        <v>10688</v>
      </c>
      <c r="C401" s="77" t="s">
        <v>10783</v>
      </c>
      <c r="D401" s="77" t="s">
        <v>10784</v>
      </c>
      <c r="E401" s="77">
        <v>6282162580404</v>
      </c>
      <c r="F401" s="84">
        <v>45825</v>
      </c>
      <c r="G401" s="79">
        <v>354</v>
      </c>
      <c r="H401" s="80">
        <v>32798.122065727694</v>
      </c>
      <c r="I401" s="72">
        <v>10</v>
      </c>
      <c r="J401" s="81">
        <v>13972</v>
      </c>
      <c r="K401" s="76">
        <v>2</v>
      </c>
      <c r="L401" s="76">
        <v>67</v>
      </c>
      <c r="M401" s="76">
        <v>0</v>
      </c>
      <c r="N401" s="82" t="s">
        <v>10785</v>
      </c>
      <c r="O401" s="83"/>
    </row>
    <row r="402" spans="1:15" ht="22.5" customHeight="1">
      <c r="A402" s="76">
        <v>766589657993298</v>
      </c>
      <c r="B402" s="77" t="s">
        <v>10688</v>
      </c>
      <c r="C402" s="77" t="s">
        <v>10786</v>
      </c>
      <c r="D402" s="77" t="s">
        <v>739</v>
      </c>
      <c r="E402" s="77">
        <v>628122102657</v>
      </c>
      <c r="F402" s="84">
        <v>45825</v>
      </c>
      <c r="G402" s="79">
        <v>551</v>
      </c>
      <c r="H402" s="80">
        <v>20911.811023622045</v>
      </c>
      <c r="I402" s="72">
        <v>16</v>
      </c>
      <c r="J402" s="81">
        <v>13279</v>
      </c>
      <c r="K402" s="76">
        <v>0</v>
      </c>
      <c r="L402" s="76">
        <v>169</v>
      </c>
      <c r="M402" s="76">
        <v>0</v>
      </c>
      <c r="N402" s="82" t="s">
        <v>10787</v>
      </c>
      <c r="O402" s="83"/>
    </row>
    <row r="403" spans="1:15" ht="22.5" customHeight="1">
      <c r="A403" s="76">
        <v>766589657993298</v>
      </c>
      <c r="B403" s="77" t="s">
        <v>10688</v>
      </c>
      <c r="C403" s="77" t="s">
        <v>10788</v>
      </c>
      <c r="D403" s="77" t="s">
        <v>421</v>
      </c>
      <c r="F403" s="84">
        <v>45825</v>
      </c>
      <c r="G403" s="79">
        <v>533</v>
      </c>
      <c r="H403" s="80">
        <v>23448.640483383686</v>
      </c>
      <c r="I403" s="72">
        <v>11</v>
      </c>
      <c r="J403" s="81">
        <v>15523</v>
      </c>
      <c r="K403" s="76">
        <v>0</v>
      </c>
      <c r="L403" s="76">
        <v>99</v>
      </c>
      <c r="M403" s="76">
        <v>0</v>
      </c>
      <c r="N403" s="82" t="s">
        <v>10789</v>
      </c>
      <c r="O403" s="83"/>
    </row>
    <row r="404" spans="1:15" ht="22.5" customHeight="1">
      <c r="A404" s="76">
        <v>766589657993298</v>
      </c>
      <c r="B404" s="77" t="s">
        <v>10688</v>
      </c>
      <c r="C404" s="77" t="s">
        <v>10772</v>
      </c>
      <c r="D404" s="77" t="s">
        <v>10773</v>
      </c>
      <c r="E404" s="77">
        <v>6285261023204</v>
      </c>
      <c r="F404" s="84">
        <v>45825</v>
      </c>
      <c r="G404" s="79">
        <v>384</v>
      </c>
      <c r="H404" s="80">
        <v>34973.033707865172</v>
      </c>
      <c r="I404" s="72">
        <v>14</v>
      </c>
      <c r="J404" s="81">
        <v>15563</v>
      </c>
      <c r="K404" s="76">
        <v>3</v>
      </c>
      <c r="L404" s="76">
        <v>28</v>
      </c>
      <c r="M404" s="76">
        <v>0</v>
      </c>
      <c r="N404" s="82" t="s">
        <v>10774</v>
      </c>
      <c r="O404" s="83"/>
    </row>
    <row r="405" spans="1:15" ht="22.5" customHeight="1">
      <c r="A405" s="76">
        <v>766589657993298</v>
      </c>
      <c r="B405" s="77" t="s">
        <v>10688</v>
      </c>
      <c r="C405" s="77" t="s">
        <v>10790</v>
      </c>
      <c r="D405" s="77" t="s">
        <v>494</v>
      </c>
      <c r="E405" s="77">
        <v>6285714611166</v>
      </c>
      <c r="F405" s="84">
        <v>45825</v>
      </c>
      <c r="G405" s="79">
        <v>362</v>
      </c>
      <c r="H405" s="80">
        <v>37778.32512315271</v>
      </c>
      <c r="I405" s="72">
        <v>12</v>
      </c>
      <c r="J405" s="81">
        <v>15338</v>
      </c>
      <c r="K405" s="76">
        <v>2</v>
      </c>
      <c r="L405" s="76">
        <v>225</v>
      </c>
      <c r="M405" s="76">
        <v>0</v>
      </c>
      <c r="N405" s="82" t="s">
        <v>10791</v>
      </c>
      <c r="O405" s="83"/>
    </row>
    <row r="406" spans="1:15" ht="22.5" customHeight="1">
      <c r="A406" s="76">
        <v>766589657993298</v>
      </c>
      <c r="B406" s="77" t="s">
        <v>10688</v>
      </c>
      <c r="C406" s="77" t="s">
        <v>10762</v>
      </c>
      <c r="D406" s="77" t="s">
        <v>10763</v>
      </c>
      <c r="E406" s="77">
        <v>6285210107607</v>
      </c>
      <c r="F406" s="84">
        <v>45825</v>
      </c>
      <c r="G406" s="79">
        <v>1001</v>
      </c>
      <c r="H406" s="80">
        <v>14611.724723874257</v>
      </c>
      <c r="I406" s="72">
        <v>11</v>
      </c>
      <c r="J406" s="81">
        <v>17198</v>
      </c>
      <c r="K406" s="76">
        <v>1</v>
      </c>
      <c r="L406" s="76">
        <v>284</v>
      </c>
      <c r="M406" s="76">
        <v>0</v>
      </c>
      <c r="N406" s="82" t="s">
        <v>10764</v>
      </c>
      <c r="O406" s="83"/>
    </row>
    <row r="407" spans="1:15" ht="22.5" customHeight="1">
      <c r="A407" s="76">
        <v>766589657993298</v>
      </c>
      <c r="B407" s="77" t="s">
        <v>10688</v>
      </c>
      <c r="C407" s="77" t="s">
        <v>10792</v>
      </c>
      <c r="D407" s="77" t="s">
        <v>10793</v>
      </c>
      <c r="E407" s="77">
        <v>6285353864755</v>
      </c>
      <c r="F407" s="84">
        <v>45825</v>
      </c>
      <c r="G407" s="79">
        <v>322</v>
      </c>
      <c r="H407" s="80">
        <v>39956.834532374101</v>
      </c>
      <c r="I407" s="72">
        <v>11</v>
      </c>
      <c r="J407" s="81">
        <v>16662</v>
      </c>
      <c r="K407" s="76">
        <v>2</v>
      </c>
      <c r="L407" s="76">
        <v>41</v>
      </c>
      <c r="M407" s="76">
        <v>0</v>
      </c>
      <c r="N407" s="82" t="s">
        <v>10794</v>
      </c>
      <c r="O407" s="83"/>
    </row>
    <row r="408" spans="1:15" ht="22.5" customHeight="1">
      <c r="A408" s="76">
        <v>766589657993298</v>
      </c>
      <c r="B408" s="77" t="s">
        <v>10688</v>
      </c>
      <c r="C408" s="77" t="s">
        <v>10765</v>
      </c>
      <c r="D408" s="77" t="s">
        <v>350</v>
      </c>
      <c r="E408" s="77">
        <v>6282393168368</v>
      </c>
      <c r="F408" s="84">
        <v>45825</v>
      </c>
      <c r="G408" s="79">
        <v>937</v>
      </c>
      <c r="H408" s="80">
        <v>14221.51321786691</v>
      </c>
      <c r="I408" s="72">
        <v>16</v>
      </c>
      <c r="J408" s="81">
        <v>15601</v>
      </c>
      <c r="K408" s="76">
        <v>4</v>
      </c>
      <c r="L408" s="76">
        <v>365</v>
      </c>
      <c r="M408" s="76">
        <v>0</v>
      </c>
      <c r="N408" s="82" t="s">
        <v>10766</v>
      </c>
      <c r="O408" s="83"/>
    </row>
    <row r="409" spans="1:15" ht="22.5" customHeight="1">
      <c r="A409" s="76">
        <v>766589657993298</v>
      </c>
      <c r="B409" s="77" t="s">
        <v>10688</v>
      </c>
      <c r="C409" s="77" t="s">
        <v>10795</v>
      </c>
      <c r="D409" s="77" t="s">
        <v>551</v>
      </c>
      <c r="E409" s="77">
        <v>6285747906282</v>
      </c>
      <c r="F409" s="84">
        <v>45825</v>
      </c>
      <c r="G409" s="79">
        <v>383</v>
      </c>
      <c r="H409" s="80">
        <v>20737.179487179485</v>
      </c>
      <c r="I409" s="72">
        <v>12</v>
      </c>
      <c r="J409" s="81">
        <v>9705</v>
      </c>
      <c r="K409" s="76">
        <v>0</v>
      </c>
      <c r="L409" s="76">
        <v>240</v>
      </c>
      <c r="M409" s="76">
        <v>0</v>
      </c>
      <c r="N409" s="82" t="s">
        <v>10796</v>
      </c>
      <c r="O409" s="83"/>
    </row>
    <row r="410" spans="1:15" ht="22.5" customHeight="1">
      <c r="A410" s="76">
        <v>766589657993298</v>
      </c>
      <c r="B410" s="77" t="s">
        <v>10688</v>
      </c>
      <c r="C410" s="77" t="s">
        <v>10767</v>
      </c>
      <c r="D410" s="77" t="s">
        <v>10768</v>
      </c>
      <c r="E410" s="77">
        <v>6281519225886</v>
      </c>
      <c r="F410" s="84">
        <v>45825</v>
      </c>
      <c r="G410" s="79">
        <v>287</v>
      </c>
      <c r="H410" s="80">
        <v>44068.870523415979</v>
      </c>
      <c r="I410" s="72">
        <v>23</v>
      </c>
      <c r="J410" s="81">
        <v>15997</v>
      </c>
      <c r="K410" s="76">
        <v>5</v>
      </c>
      <c r="L410" s="76">
        <v>18</v>
      </c>
      <c r="M410" s="76">
        <v>0</v>
      </c>
      <c r="N410" s="82" t="s">
        <v>10769</v>
      </c>
      <c r="O410" s="83"/>
    </row>
    <row r="411" spans="1:15" ht="22.5" customHeight="1">
      <c r="A411" s="76">
        <v>766589657993298</v>
      </c>
      <c r="B411" s="77" t="s">
        <v>10688</v>
      </c>
      <c r="C411" s="77" t="s">
        <v>10797</v>
      </c>
      <c r="D411" s="77" t="s">
        <v>10798</v>
      </c>
      <c r="E411" s="77">
        <v>6285853370682</v>
      </c>
      <c r="F411" s="84">
        <v>45825</v>
      </c>
      <c r="G411" s="79">
        <v>599</v>
      </c>
      <c r="H411" s="80">
        <v>21790.393013100438</v>
      </c>
      <c r="I411" s="72">
        <v>10</v>
      </c>
      <c r="J411" s="81">
        <v>14970</v>
      </c>
      <c r="K411" s="76">
        <v>1</v>
      </c>
      <c r="L411" s="76">
        <v>176</v>
      </c>
      <c r="M411" s="76">
        <v>0</v>
      </c>
      <c r="N411" s="82" t="s">
        <v>10799</v>
      </c>
      <c r="O411" s="83"/>
    </row>
    <row r="412" spans="1:15" ht="22.5" customHeight="1">
      <c r="A412" s="76">
        <v>766589657993298</v>
      </c>
      <c r="B412" s="77" t="s">
        <v>10688</v>
      </c>
      <c r="C412" s="77" t="s">
        <v>10800</v>
      </c>
      <c r="D412" s="77" t="s">
        <v>472</v>
      </c>
      <c r="E412" s="77">
        <v>628114170888</v>
      </c>
      <c r="F412" s="84">
        <v>45825</v>
      </c>
      <c r="G412" s="79">
        <v>398</v>
      </c>
      <c r="H412" s="80">
        <v>31392.504930966472</v>
      </c>
      <c r="I412" s="72">
        <v>11</v>
      </c>
      <c r="J412" s="81">
        <v>15916</v>
      </c>
      <c r="K412" s="76">
        <v>1</v>
      </c>
      <c r="L412" s="76">
        <v>0</v>
      </c>
      <c r="M412" s="76">
        <v>0</v>
      </c>
      <c r="N412" s="82" t="s">
        <v>10801</v>
      </c>
      <c r="O412" s="83"/>
    </row>
    <row r="413" spans="1:15" ht="22.5" customHeight="1">
      <c r="A413" s="76">
        <v>766589657993298</v>
      </c>
      <c r="B413" s="77" t="s">
        <v>10688</v>
      </c>
      <c r="C413" s="77" t="s">
        <v>10750</v>
      </c>
      <c r="D413" s="77" t="s">
        <v>456</v>
      </c>
      <c r="E413" s="77">
        <v>6281278788088</v>
      </c>
      <c r="F413" s="84">
        <v>45825</v>
      </c>
      <c r="G413" s="79">
        <v>1098</v>
      </c>
      <c r="H413" s="80">
        <v>13451.025056947608</v>
      </c>
      <c r="I413" s="72">
        <v>27</v>
      </c>
      <c r="J413" s="81">
        <v>17715</v>
      </c>
      <c r="K413" s="76">
        <v>4</v>
      </c>
      <c r="L413" s="76">
        <v>313</v>
      </c>
      <c r="M413" s="76">
        <v>0</v>
      </c>
      <c r="N413" s="82" t="s">
        <v>10751</v>
      </c>
      <c r="O413" s="83"/>
    </row>
    <row r="414" spans="1:15" ht="22.5" customHeight="1">
      <c r="A414" s="76">
        <v>766589657993298</v>
      </c>
      <c r="B414" s="77" t="s">
        <v>10688</v>
      </c>
      <c r="C414" s="77" t="s">
        <v>10741</v>
      </c>
      <c r="D414" s="77" t="s">
        <v>559</v>
      </c>
      <c r="E414" s="77">
        <v>6281952482523</v>
      </c>
      <c r="F414" s="84">
        <v>45825</v>
      </c>
      <c r="G414" s="79">
        <v>460</v>
      </c>
      <c r="H414" s="80">
        <v>28393.772893772893</v>
      </c>
      <c r="I414" s="72">
        <v>12</v>
      </c>
      <c r="J414" s="81">
        <v>15503</v>
      </c>
      <c r="K414" s="76">
        <v>3</v>
      </c>
      <c r="L414" s="76">
        <v>277</v>
      </c>
      <c r="M414" s="76">
        <v>0</v>
      </c>
      <c r="N414" s="82" t="s">
        <v>10742</v>
      </c>
      <c r="O414" s="83"/>
    </row>
    <row r="415" spans="1:15" ht="22.5" customHeight="1">
      <c r="A415" s="76">
        <v>766589657993298</v>
      </c>
      <c r="B415" s="77" t="s">
        <v>10688</v>
      </c>
      <c r="C415" s="77" t="s">
        <v>10802</v>
      </c>
      <c r="D415" s="77" t="s">
        <v>567</v>
      </c>
      <c r="E415" s="77">
        <v>6285220216325</v>
      </c>
      <c r="F415" s="84">
        <v>45825</v>
      </c>
      <c r="G415" s="79">
        <v>269</v>
      </c>
      <c r="H415" s="80">
        <v>50694.07894736842</v>
      </c>
      <c r="I415" s="72">
        <v>6</v>
      </c>
      <c r="J415" s="81">
        <v>15411</v>
      </c>
      <c r="K415" s="76">
        <v>1</v>
      </c>
      <c r="L415" s="76">
        <v>29</v>
      </c>
      <c r="M415" s="76">
        <v>0</v>
      </c>
      <c r="N415" s="82" t="s">
        <v>10803</v>
      </c>
      <c r="O415" s="83"/>
    </row>
    <row r="416" spans="1:15" ht="22.5" customHeight="1">
      <c r="A416" s="76">
        <v>766589657993298</v>
      </c>
      <c r="B416" s="77" t="s">
        <v>10688</v>
      </c>
      <c r="C416" s="77" t="s">
        <v>10752</v>
      </c>
      <c r="D416" s="77" t="s">
        <v>10753</v>
      </c>
      <c r="E416" s="77">
        <v>6281340892328</v>
      </c>
      <c r="F416" s="84">
        <v>45825</v>
      </c>
      <c r="G416" s="79">
        <v>1426</v>
      </c>
      <c r="H416" s="80">
        <v>9401.5606242497015</v>
      </c>
      <c r="I416" s="72">
        <v>31</v>
      </c>
      <c r="J416" s="81">
        <v>15663</v>
      </c>
      <c r="K416" s="76">
        <v>1</v>
      </c>
      <c r="L416" s="76">
        <v>463</v>
      </c>
      <c r="M416" s="76">
        <v>0</v>
      </c>
      <c r="N416" s="82" t="s">
        <v>10754</v>
      </c>
      <c r="O416" s="83"/>
    </row>
    <row r="417" spans="1:15" ht="22.5" customHeight="1">
      <c r="A417" s="76">
        <v>766589657993298</v>
      </c>
      <c r="B417" s="77" t="s">
        <v>10688</v>
      </c>
      <c r="C417" s="77" t="s">
        <v>10746</v>
      </c>
      <c r="D417" s="77" t="s">
        <v>10747</v>
      </c>
      <c r="E417" s="77">
        <v>6281222110766</v>
      </c>
      <c r="F417" s="84">
        <v>45825</v>
      </c>
      <c r="G417" s="79">
        <v>429</v>
      </c>
      <c r="H417" s="80">
        <v>31609.442060085836</v>
      </c>
      <c r="I417" s="72">
        <v>9</v>
      </c>
      <c r="J417" s="81">
        <v>14730</v>
      </c>
      <c r="K417" s="76">
        <v>0</v>
      </c>
      <c r="L417" s="76">
        <v>306</v>
      </c>
      <c r="M417" s="76">
        <v>0</v>
      </c>
      <c r="N417" s="82" t="s">
        <v>10748</v>
      </c>
      <c r="O417" s="83"/>
    </row>
    <row r="418" spans="1:15" ht="22.5" customHeight="1">
      <c r="A418" s="76">
        <v>766589657993298</v>
      </c>
      <c r="B418" s="77" t="s">
        <v>10688</v>
      </c>
      <c r="C418" s="77" t="s">
        <v>10739</v>
      </c>
      <c r="D418" s="77" t="s">
        <v>429</v>
      </c>
      <c r="E418" s="77">
        <v>6282399006447</v>
      </c>
      <c r="F418" s="84">
        <v>45825</v>
      </c>
      <c r="G418" s="79">
        <v>1039</v>
      </c>
      <c r="H418" s="80">
        <v>13487.910189982729</v>
      </c>
      <c r="I418" s="72">
        <v>25</v>
      </c>
      <c r="J418" s="81">
        <v>15619</v>
      </c>
      <c r="K418" s="76">
        <v>4</v>
      </c>
      <c r="L418" s="76">
        <v>2</v>
      </c>
      <c r="M418" s="76">
        <v>0</v>
      </c>
      <c r="N418" s="82" t="s">
        <v>10740</v>
      </c>
      <c r="O418" s="83"/>
    </row>
    <row r="419" spans="1:15" ht="22.5" customHeight="1">
      <c r="A419" s="76">
        <v>766589657993298</v>
      </c>
      <c r="B419" s="77" t="s">
        <v>10688</v>
      </c>
      <c r="C419" s="77" t="s">
        <v>10750</v>
      </c>
      <c r="D419" s="77" t="s">
        <v>456</v>
      </c>
      <c r="E419" s="77">
        <v>6281278788088</v>
      </c>
      <c r="F419" s="84">
        <v>45826</v>
      </c>
      <c r="G419" s="79">
        <v>754</v>
      </c>
      <c r="H419" s="80">
        <v>16466.750313676286</v>
      </c>
      <c r="I419" s="72">
        <v>10</v>
      </c>
      <c r="J419" s="81">
        <v>13124</v>
      </c>
      <c r="K419" s="76">
        <v>1</v>
      </c>
      <c r="L419" s="76">
        <v>189</v>
      </c>
      <c r="M419" s="76">
        <v>0</v>
      </c>
      <c r="N419" s="82" t="s">
        <v>10751</v>
      </c>
      <c r="O419" s="83"/>
    </row>
    <row r="420" spans="1:15" ht="22.5" customHeight="1">
      <c r="A420" s="76">
        <v>759724529202804</v>
      </c>
      <c r="B420" s="77" t="s">
        <v>10621</v>
      </c>
      <c r="C420" s="77" t="s">
        <v>540</v>
      </c>
      <c r="D420" s="77" t="s">
        <v>10755</v>
      </c>
      <c r="E420" s="77">
        <v>6281335728695</v>
      </c>
      <c r="F420" s="84">
        <v>45826</v>
      </c>
      <c r="G420" s="79">
        <v>678</v>
      </c>
      <c r="H420" s="80">
        <v>21235.910878112711</v>
      </c>
      <c r="I420" s="72">
        <v>8</v>
      </c>
      <c r="J420" s="81">
        <v>16203</v>
      </c>
      <c r="K420" s="76">
        <v>1</v>
      </c>
      <c r="L420" s="76">
        <v>400</v>
      </c>
      <c r="M420" s="76">
        <v>0</v>
      </c>
      <c r="N420" s="82" t="s">
        <v>10756</v>
      </c>
      <c r="O420" s="83"/>
    </row>
    <row r="421" spans="1:15" ht="22.5" customHeight="1">
      <c r="A421" s="76">
        <v>759724529202804</v>
      </c>
      <c r="B421" s="77" t="s">
        <v>10621</v>
      </c>
      <c r="C421" s="77" t="s">
        <v>531</v>
      </c>
      <c r="D421" s="77" t="s">
        <v>10757</v>
      </c>
      <c r="E421" s="77">
        <v>6281216962242</v>
      </c>
      <c r="F421" s="84">
        <v>45826</v>
      </c>
      <c r="G421" s="79">
        <v>770</v>
      </c>
      <c r="H421" s="80">
        <v>18135.788262370541</v>
      </c>
      <c r="I421" s="72">
        <v>24</v>
      </c>
      <c r="J421" s="81">
        <v>15760</v>
      </c>
      <c r="K421" s="76">
        <v>2</v>
      </c>
      <c r="L421" s="76">
        <v>197</v>
      </c>
      <c r="M421" s="76">
        <v>0</v>
      </c>
      <c r="N421" s="82" t="s">
        <v>10758</v>
      </c>
      <c r="O421" s="83"/>
    </row>
    <row r="422" spans="1:15" ht="22.5" customHeight="1">
      <c r="A422" s="76">
        <v>759724529202804</v>
      </c>
      <c r="B422" s="77" t="s">
        <v>10621</v>
      </c>
      <c r="C422" s="77" t="s">
        <v>10804</v>
      </c>
      <c r="D422" s="77" t="s">
        <v>607</v>
      </c>
      <c r="E422" s="77">
        <v>6288215545661</v>
      </c>
      <c r="F422" s="84">
        <v>45826</v>
      </c>
      <c r="G422" s="79">
        <v>540</v>
      </c>
      <c r="H422" s="80">
        <v>23424.107142857141</v>
      </c>
      <c r="I422" s="72">
        <v>18</v>
      </c>
      <c r="J422" s="81">
        <v>15741</v>
      </c>
      <c r="K422" s="76">
        <v>2</v>
      </c>
      <c r="L422" s="76">
        <v>0</v>
      </c>
      <c r="M422" s="76">
        <v>0</v>
      </c>
      <c r="N422" s="82" t="s">
        <v>10805</v>
      </c>
      <c r="O422" s="83"/>
    </row>
    <row r="423" spans="1:15" ht="22.5" customHeight="1">
      <c r="A423" s="76">
        <v>759724529202804</v>
      </c>
      <c r="B423" s="77" t="s">
        <v>10621</v>
      </c>
      <c r="C423" s="77" t="s">
        <v>332</v>
      </c>
      <c r="D423" s="77" t="s">
        <v>10708</v>
      </c>
      <c r="E423" s="77">
        <v>6282350524788</v>
      </c>
      <c r="F423" s="84">
        <v>45826</v>
      </c>
      <c r="G423" s="79">
        <v>793</v>
      </c>
      <c r="H423" s="80">
        <v>17277.404921700225</v>
      </c>
      <c r="I423" s="72">
        <v>21</v>
      </c>
      <c r="J423" s="81">
        <v>15446</v>
      </c>
      <c r="K423" s="76">
        <v>3</v>
      </c>
      <c r="L423" s="76">
        <v>305</v>
      </c>
      <c r="M423" s="76">
        <v>0</v>
      </c>
      <c r="N423" s="82" t="s">
        <v>10709</v>
      </c>
      <c r="O423" s="83"/>
    </row>
    <row r="424" spans="1:15" ht="22.5" customHeight="1">
      <c r="A424" s="76">
        <v>759724529202804</v>
      </c>
      <c r="B424" s="77" t="s">
        <v>10621</v>
      </c>
      <c r="C424" s="77" t="s">
        <v>665</v>
      </c>
      <c r="D424" s="77" t="s">
        <v>659</v>
      </c>
      <c r="E424" s="77">
        <v>6285757057088</v>
      </c>
      <c r="F424" s="84">
        <v>45826</v>
      </c>
      <c r="G424" s="79">
        <v>901</v>
      </c>
      <c r="H424" s="80">
        <v>14485.10242085661</v>
      </c>
      <c r="I424" s="72">
        <v>17</v>
      </c>
      <c r="J424" s="81">
        <v>15557</v>
      </c>
      <c r="K424" s="76">
        <v>1</v>
      </c>
      <c r="L424" s="76">
        <v>0</v>
      </c>
      <c r="M424" s="76">
        <v>0</v>
      </c>
      <c r="N424" s="82" t="s">
        <v>10636</v>
      </c>
      <c r="O424" s="83"/>
    </row>
    <row r="425" spans="1:15" ht="22.5" customHeight="1">
      <c r="A425" s="76">
        <v>174904221976312</v>
      </c>
      <c r="B425" s="77" t="s">
        <v>10651</v>
      </c>
      <c r="C425" s="77" t="s">
        <v>818</v>
      </c>
      <c r="D425" s="77" t="s">
        <v>812</v>
      </c>
      <c r="E425" s="77">
        <v>62818585822</v>
      </c>
      <c r="F425" s="84">
        <v>45826</v>
      </c>
      <c r="G425" s="79">
        <v>127</v>
      </c>
      <c r="H425" s="80">
        <v>12557.251908396946</v>
      </c>
      <c r="I425" s="72">
        <v>2</v>
      </c>
      <c r="J425" s="81">
        <v>1645</v>
      </c>
      <c r="K425" s="76">
        <v>0</v>
      </c>
      <c r="L425" s="76">
        <v>27</v>
      </c>
      <c r="M425" s="76">
        <v>0</v>
      </c>
      <c r="N425" s="82" t="s">
        <v>10814</v>
      </c>
      <c r="O425" s="83"/>
    </row>
    <row r="426" spans="1:15" ht="22.5" customHeight="1">
      <c r="A426" s="76">
        <v>174904221976312</v>
      </c>
      <c r="B426" s="77" t="s">
        <v>10651</v>
      </c>
      <c r="C426" s="77" t="s">
        <v>10806</v>
      </c>
      <c r="D426" s="77" t="s">
        <v>10807</v>
      </c>
      <c r="E426" s="77">
        <v>628127962347</v>
      </c>
      <c r="F426" s="84">
        <v>45826</v>
      </c>
      <c r="G426" s="79">
        <v>116</v>
      </c>
      <c r="H426" s="80">
        <v>104134.92063492064</v>
      </c>
      <c r="I426" s="72">
        <v>23</v>
      </c>
      <c r="J426" s="81">
        <v>13121</v>
      </c>
      <c r="K426" s="76">
        <v>8</v>
      </c>
      <c r="L426" s="76">
        <v>13</v>
      </c>
      <c r="M426" s="76">
        <v>0</v>
      </c>
      <c r="N426" s="82" t="s">
        <v>10808</v>
      </c>
      <c r="O426" s="83"/>
    </row>
    <row r="427" spans="1:15" ht="22.5" customHeight="1">
      <c r="A427" s="76">
        <v>174904221976312</v>
      </c>
      <c r="B427" s="77" t="s">
        <v>10651</v>
      </c>
      <c r="C427" s="77" t="s">
        <v>10809</v>
      </c>
      <c r="D427" s="77" t="s">
        <v>634</v>
      </c>
      <c r="E427" s="77">
        <v>6282258886603</v>
      </c>
      <c r="F427" s="84">
        <v>45826</v>
      </c>
      <c r="G427" s="79">
        <v>574</v>
      </c>
      <c r="H427" s="80">
        <v>19772.247360482655</v>
      </c>
      <c r="I427" s="72">
        <v>34</v>
      </c>
      <c r="J427" s="81">
        <v>13109</v>
      </c>
      <c r="K427" s="76">
        <v>5</v>
      </c>
      <c r="L427" s="76">
        <v>289</v>
      </c>
      <c r="M427" s="76">
        <v>1</v>
      </c>
      <c r="N427" s="82" t="s">
        <v>10810</v>
      </c>
      <c r="O427" s="83"/>
    </row>
    <row r="428" spans="1:15" ht="22.5" customHeight="1">
      <c r="A428" s="76">
        <v>174904221976312</v>
      </c>
      <c r="B428" s="77" t="s">
        <v>10651</v>
      </c>
      <c r="C428" s="77" t="s">
        <v>10815</v>
      </c>
      <c r="D428" s="77" t="s">
        <v>651</v>
      </c>
      <c r="E428" s="77">
        <v>6281905836259</v>
      </c>
      <c r="F428" s="84">
        <v>45826</v>
      </c>
      <c r="G428" s="79">
        <v>440</v>
      </c>
      <c r="H428" s="80">
        <v>33089.285714285717</v>
      </c>
      <c r="I428" s="72">
        <v>3</v>
      </c>
      <c r="J428" s="81">
        <v>14824</v>
      </c>
      <c r="K428" s="76">
        <v>0</v>
      </c>
      <c r="L428" s="76">
        <v>131</v>
      </c>
      <c r="M428" s="76">
        <v>0</v>
      </c>
      <c r="N428" s="82" t="s">
        <v>10816</v>
      </c>
      <c r="O428" s="83"/>
    </row>
    <row r="429" spans="1:15" ht="22.5" customHeight="1">
      <c r="A429" s="76">
        <v>174904221976312</v>
      </c>
      <c r="B429" s="77" t="s">
        <v>10651</v>
      </c>
      <c r="C429" s="77" t="s">
        <v>10811</v>
      </c>
      <c r="D429" s="77" t="s">
        <v>10812</v>
      </c>
      <c r="E429" s="77">
        <v>6281904501876</v>
      </c>
      <c r="F429" s="84">
        <v>45826</v>
      </c>
      <c r="G429" s="79">
        <v>1263</v>
      </c>
      <c r="H429" s="80">
        <v>9555.9276624246486</v>
      </c>
      <c r="I429" s="72">
        <v>77</v>
      </c>
      <c r="J429" s="81">
        <v>14267</v>
      </c>
      <c r="K429" s="76">
        <v>4</v>
      </c>
      <c r="L429" s="76">
        <v>519</v>
      </c>
      <c r="M429" s="76">
        <v>4</v>
      </c>
      <c r="N429" s="82" t="s">
        <v>10813</v>
      </c>
      <c r="O429" s="83"/>
    </row>
    <row r="430" spans="1:15" ht="22.5" customHeight="1">
      <c r="A430" s="76">
        <v>174904221976312</v>
      </c>
      <c r="B430" s="77" t="s">
        <v>10651</v>
      </c>
      <c r="C430" s="77" t="s">
        <v>10775</v>
      </c>
      <c r="D430" s="77" t="s">
        <v>10776</v>
      </c>
      <c r="E430" s="77">
        <v>6282129040031</v>
      </c>
      <c r="F430" s="84">
        <v>45826</v>
      </c>
      <c r="G430" s="79">
        <v>1060</v>
      </c>
      <c r="H430" s="80">
        <v>9471.4052287581708</v>
      </c>
      <c r="I430" s="72">
        <v>22</v>
      </c>
      <c r="J430" s="81">
        <v>11593</v>
      </c>
      <c r="K430" s="76">
        <v>1</v>
      </c>
      <c r="L430" s="76">
        <v>7</v>
      </c>
      <c r="M430" s="76">
        <v>0</v>
      </c>
      <c r="N430" s="82" t="s">
        <v>10777</v>
      </c>
      <c r="O430" s="83"/>
    </row>
    <row r="431" spans="1:15" ht="22.5" customHeight="1">
      <c r="A431" s="76">
        <v>174904221976312</v>
      </c>
      <c r="B431" s="77" t="s">
        <v>10651</v>
      </c>
      <c r="C431" s="77" t="s">
        <v>8099</v>
      </c>
      <c r="D431" s="77" t="s">
        <v>2357</v>
      </c>
      <c r="E431" s="77">
        <v>6281221788919</v>
      </c>
      <c r="F431" s="84">
        <v>45826</v>
      </c>
      <c r="G431" s="79">
        <v>1045</v>
      </c>
      <c r="H431" s="80">
        <v>10614.657210401891</v>
      </c>
      <c r="I431" s="72">
        <v>22</v>
      </c>
      <c r="J431" s="81">
        <v>13470</v>
      </c>
      <c r="K431" s="76">
        <v>2</v>
      </c>
      <c r="L431" s="76">
        <v>344</v>
      </c>
      <c r="M431" s="76">
        <v>0</v>
      </c>
      <c r="N431" s="82" t="s">
        <v>10759</v>
      </c>
      <c r="O431" s="83"/>
    </row>
    <row r="432" spans="1:15" ht="22.5" customHeight="1">
      <c r="A432" s="76">
        <v>174904221976312</v>
      </c>
      <c r="B432" s="77" t="s">
        <v>10651</v>
      </c>
      <c r="C432" s="77" t="s">
        <v>10770</v>
      </c>
      <c r="D432" s="77" t="s">
        <v>444</v>
      </c>
      <c r="F432" s="84">
        <v>45826</v>
      </c>
      <c r="G432" s="79">
        <v>10111</v>
      </c>
      <c r="H432" s="80">
        <v>1210.3366524419157</v>
      </c>
      <c r="I432" s="72">
        <v>4</v>
      </c>
      <c r="J432" s="81">
        <v>12763</v>
      </c>
      <c r="K432" s="76">
        <v>0</v>
      </c>
      <c r="L432" s="76">
        <v>480</v>
      </c>
      <c r="M432" s="76">
        <v>0</v>
      </c>
      <c r="N432" s="82" t="s">
        <v>10771</v>
      </c>
      <c r="O432" s="83"/>
    </row>
    <row r="433" spans="1:15" ht="22.5" customHeight="1">
      <c r="A433" s="76">
        <v>174904221976312</v>
      </c>
      <c r="B433" s="77" t="s">
        <v>10651</v>
      </c>
      <c r="C433" s="77" t="s">
        <v>441</v>
      </c>
      <c r="D433" s="77" t="s">
        <v>10760</v>
      </c>
      <c r="E433" s="77">
        <v>6285864008882</v>
      </c>
      <c r="F433" s="84">
        <v>45826</v>
      </c>
      <c r="G433" s="79">
        <v>1243</v>
      </c>
      <c r="H433" s="80">
        <v>9732.2175732217565</v>
      </c>
      <c r="I433" s="72">
        <v>20</v>
      </c>
      <c r="J433" s="81">
        <v>13956</v>
      </c>
      <c r="K433" s="76">
        <v>2</v>
      </c>
      <c r="L433" s="76">
        <v>436</v>
      </c>
      <c r="M433" s="76">
        <v>0</v>
      </c>
      <c r="N433" s="82" t="s">
        <v>10761</v>
      </c>
      <c r="O433" s="83"/>
    </row>
    <row r="434" spans="1:15" ht="22.5" customHeight="1">
      <c r="A434" s="76">
        <v>174904221976312</v>
      </c>
      <c r="B434" s="77" t="s">
        <v>10651</v>
      </c>
      <c r="C434" s="77" t="s">
        <v>399</v>
      </c>
      <c r="D434" s="77" t="s">
        <v>394</v>
      </c>
      <c r="F434" s="84">
        <v>45826</v>
      </c>
      <c r="G434" s="79">
        <v>3424</v>
      </c>
      <c r="H434" s="80">
        <v>3290.586311609437</v>
      </c>
      <c r="I434" s="72">
        <v>73</v>
      </c>
      <c r="J434" s="81">
        <v>14087</v>
      </c>
      <c r="K434" s="76">
        <v>6</v>
      </c>
      <c r="L434" s="76">
        <v>6</v>
      </c>
      <c r="M434" s="76">
        <v>0</v>
      </c>
      <c r="N434" s="82" t="s">
        <v>10749</v>
      </c>
      <c r="O434" s="83"/>
    </row>
    <row r="435" spans="1:15" ht="22.5" customHeight="1">
      <c r="A435" s="76">
        <v>174904221976312</v>
      </c>
      <c r="B435" s="77" t="s">
        <v>10651</v>
      </c>
      <c r="C435" s="77" t="s">
        <v>311</v>
      </c>
      <c r="D435" s="77" t="s">
        <v>10737</v>
      </c>
      <c r="E435" s="77">
        <v>628988759290</v>
      </c>
      <c r="F435" s="84">
        <v>45826</v>
      </c>
      <c r="G435" s="79">
        <v>476</v>
      </c>
      <c r="H435" s="80">
        <v>10242.582897033159</v>
      </c>
      <c r="I435" s="72">
        <v>4</v>
      </c>
      <c r="J435" s="81">
        <v>5869</v>
      </c>
      <c r="K435" s="76">
        <v>0</v>
      </c>
      <c r="L435" s="76">
        <v>0</v>
      </c>
      <c r="M435" s="76">
        <v>0</v>
      </c>
      <c r="N435" s="82" t="s">
        <v>10817</v>
      </c>
      <c r="O435" s="83"/>
    </row>
    <row r="436" spans="1:15" ht="22.5" customHeight="1">
      <c r="A436" s="76">
        <v>174904221976312</v>
      </c>
      <c r="B436" s="77" t="s">
        <v>10651</v>
      </c>
      <c r="C436" s="77" t="s">
        <v>10778</v>
      </c>
      <c r="D436" s="77" t="s">
        <v>3140</v>
      </c>
      <c r="F436" s="84">
        <v>45826</v>
      </c>
      <c r="G436" s="79">
        <v>6481</v>
      </c>
      <c r="H436" s="80">
        <v>3068.8705234159779</v>
      </c>
      <c r="I436" s="72">
        <v>110</v>
      </c>
      <c r="J436" s="81">
        <v>23394</v>
      </c>
      <c r="K436" s="76">
        <v>6</v>
      </c>
      <c r="L436" s="76">
        <v>1542</v>
      </c>
      <c r="M436" s="76">
        <v>1</v>
      </c>
      <c r="N436" s="82" t="s">
        <v>10779</v>
      </c>
      <c r="O436" s="83"/>
    </row>
    <row r="437" spans="1:15" ht="22.5" customHeight="1">
      <c r="A437" s="76">
        <v>174904221976312</v>
      </c>
      <c r="B437" s="77" t="s">
        <v>10651</v>
      </c>
      <c r="C437" s="77" t="s">
        <v>10652</v>
      </c>
      <c r="D437" s="77" t="s">
        <v>10653</v>
      </c>
      <c r="E437" s="77">
        <v>6281348555887</v>
      </c>
      <c r="F437" s="84">
        <v>45826</v>
      </c>
      <c r="G437" s="79">
        <v>1047</v>
      </c>
      <c r="H437" s="80">
        <v>9654.9180327868853</v>
      </c>
      <c r="I437" s="72">
        <v>44</v>
      </c>
      <c r="J437" s="81">
        <v>11779</v>
      </c>
      <c r="K437" s="76">
        <v>1</v>
      </c>
      <c r="L437" s="76">
        <v>384</v>
      </c>
      <c r="M437" s="76">
        <v>1</v>
      </c>
      <c r="N437" s="82" t="s">
        <v>10654</v>
      </c>
      <c r="O437" s="83"/>
    </row>
    <row r="438" spans="1:15" ht="22.5" customHeight="1">
      <c r="A438" s="76">
        <v>174904221976312</v>
      </c>
      <c r="B438" s="77" t="s">
        <v>10651</v>
      </c>
      <c r="C438" s="77" t="s">
        <v>10655</v>
      </c>
      <c r="D438" s="77" t="s">
        <v>3908</v>
      </c>
      <c r="E438" s="77">
        <v>6285376667233</v>
      </c>
      <c r="F438" s="84">
        <v>45826</v>
      </c>
      <c r="G438" s="79">
        <v>1351</v>
      </c>
      <c r="H438" s="80">
        <v>9039.4912985274423</v>
      </c>
      <c r="I438" s="72">
        <v>35</v>
      </c>
      <c r="J438" s="81">
        <v>13505</v>
      </c>
      <c r="K438" s="76">
        <v>11</v>
      </c>
      <c r="L438" s="76">
        <v>487</v>
      </c>
      <c r="M438" s="76">
        <v>0</v>
      </c>
      <c r="N438" s="82" t="s">
        <v>10656</v>
      </c>
      <c r="O438" s="83"/>
    </row>
    <row r="439" spans="1:15" ht="22.5" customHeight="1">
      <c r="A439" s="76">
        <v>174904221976312</v>
      </c>
      <c r="B439" s="77" t="s">
        <v>10651</v>
      </c>
      <c r="C439" s="77" t="s">
        <v>10659</v>
      </c>
      <c r="D439" s="77" t="s">
        <v>1044</v>
      </c>
      <c r="E439" s="77">
        <v>6281263113266</v>
      </c>
      <c r="F439" s="84">
        <v>45826</v>
      </c>
      <c r="G439" s="79">
        <v>1353</v>
      </c>
      <c r="H439" s="80">
        <v>10270.27027027027</v>
      </c>
      <c r="I439" s="72">
        <v>39</v>
      </c>
      <c r="J439" s="81">
        <v>15200</v>
      </c>
      <c r="K439" s="76">
        <v>2</v>
      </c>
      <c r="L439" s="76">
        <v>579</v>
      </c>
      <c r="M439" s="76">
        <v>3</v>
      </c>
      <c r="N439" s="82" t="s">
        <v>10660</v>
      </c>
      <c r="O439" s="83"/>
    </row>
    <row r="440" spans="1:15" ht="22.5" customHeight="1">
      <c r="A440" s="76">
        <v>766589657993298</v>
      </c>
      <c r="B440" s="77" t="s">
        <v>10688</v>
      </c>
      <c r="C440" s="77" t="s">
        <v>10818</v>
      </c>
      <c r="D440" s="77" t="s">
        <v>700</v>
      </c>
      <c r="E440" s="77">
        <v>6281632236409</v>
      </c>
      <c r="F440" s="84">
        <v>45826</v>
      </c>
      <c r="G440" s="79">
        <v>713</v>
      </c>
      <c r="H440" s="80">
        <v>16415.469613259665</v>
      </c>
      <c r="I440" s="72">
        <v>17</v>
      </c>
      <c r="J440" s="81">
        <v>14856</v>
      </c>
      <c r="K440" s="76">
        <v>2</v>
      </c>
      <c r="L440" s="76">
        <v>374</v>
      </c>
      <c r="M440" s="76">
        <v>0</v>
      </c>
      <c r="N440" s="82" t="s">
        <v>10819</v>
      </c>
      <c r="O440" s="83"/>
    </row>
    <row r="441" spans="1:15" ht="22.5" customHeight="1">
      <c r="A441" s="76">
        <v>766589657993298</v>
      </c>
      <c r="B441" s="77" t="s">
        <v>10688</v>
      </c>
      <c r="C441" s="77" t="s">
        <v>469</v>
      </c>
      <c r="D441" s="77" t="s">
        <v>10820</v>
      </c>
      <c r="E441" s="77">
        <v>6282255726295</v>
      </c>
      <c r="F441" s="84">
        <v>45826</v>
      </c>
      <c r="G441" s="79">
        <v>933</v>
      </c>
      <c r="H441" s="80">
        <v>12338.072669826224</v>
      </c>
      <c r="I441" s="72">
        <v>41</v>
      </c>
      <c r="J441" s="81">
        <v>15620</v>
      </c>
      <c r="K441" s="76">
        <v>4</v>
      </c>
      <c r="L441" s="76">
        <v>371</v>
      </c>
      <c r="M441" s="76">
        <v>0</v>
      </c>
      <c r="N441" s="82" t="s">
        <v>10821</v>
      </c>
      <c r="O441" s="83"/>
    </row>
    <row r="442" spans="1:15" ht="22.5" customHeight="1">
      <c r="A442" s="76">
        <v>766589657993298</v>
      </c>
      <c r="B442" s="77" t="s">
        <v>10688</v>
      </c>
      <c r="C442" s="77" t="s">
        <v>10822</v>
      </c>
      <c r="D442" s="77" t="s">
        <v>676</v>
      </c>
      <c r="E442" s="77">
        <v>6281316155059</v>
      </c>
      <c r="F442" s="84">
        <v>45826</v>
      </c>
      <c r="G442" s="79">
        <v>331</v>
      </c>
      <c r="H442" s="80">
        <v>41216.9014084507</v>
      </c>
      <c r="I442" s="72">
        <v>11</v>
      </c>
      <c r="J442" s="81">
        <v>14632</v>
      </c>
      <c r="K442" s="76">
        <v>2</v>
      </c>
      <c r="L442" s="76">
        <v>41</v>
      </c>
      <c r="M442" s="76">
        <v>0</v>
      </c>
      <c r="N442" s="82" t="s">
        <v>10823</v>
      </c>
      <c r="O442" s="83"/>
    </row>
    <row r="443" spans="1:15" ht="22.5" customHeight="1">
      <c r="A443" s="76">
        <v>766589657993298</v>
      </c>
      <c r="B443" s="77" t="s">
        <v>10688</v>
      </c>
      <c r="C443" s="77" t="s">
        <v>769</v>
      </c>
      <c r="D443" s="77" t="s">
        <v>764</v>
      </c>
      <c r="E443" s="77">
        <v>6287778562681</v>
      </c>
      <c r="F443" s="84">
        <v>45826</v>
      </c>
      <c r="G443" s="79">
        <v>250</v>
      </c>
      <c r="H443" s="80">
        <v>31847.32824427481</v>
      </c>
      <c r="I443" s="72">
        <v>6</v>
      </c>
      <c r="J443" s="81">
        <v>8344</v>
      </c>
      <c r="K443" s="76">
        <v>0</v>
      </c>
      <c r="L443" s="76">
        <v>0</v>
      </c>
      <c r="M443" s="76">
        <v>0</v>
      </c>
      <c r="N443" s="82" t="s">
        <v>10824</v>
      </c>
      <c r="O443" s="83"/>
    </row>
    <row r="444" spans="1:15" ht="22.5" customHeight="1">
      <c r="A444" s="76">
        <v>766589657993298</v>
      </c>
      <c r="B444" s="77" t="s">
        <v>10688</v>
      </c>
      <c r="C444" s="77" t="s">
        <v>10825</v>
      </c>
      <c r="D444" s="77" t="s">
        <v>10826</v>
      </c>
      <c r="E444" s="77">
        <v>6289523308892</v>
      </c>
      <c r="F444" s="84">
        <v>45826</v>
      </c>
      <c r="G444" s="79">
        <v>822</v>
      </c>
      <c r="H444" s="80">
        <v>15672.358591248665</v>
      </c>
      <c r="I444" s="72">
        <v>20</v>
      </c>
      <c r="J444" s="81">
        <v>14685</v>
      </c>
      <c r="K444" s="76">
        <v>1</v>
      </c>
      <c r="L444" s="76">
        <v>588</v>
      </c>
      <c r="M444" s="76">
        <v>1</v>
      </c>
      <c r="N444" s="82" t="s">
        <v>10827</v>
      </c>
      <c r="O444" s="83"/>
    </row>
    <row r="445" spans="1:15" ht="22.5" customHeight="1">
      <c r="A445" s="76">
        <v>766589657993298</v>
      </c>
      <c r="B445" s="77" t="s">
        <v>10688</v>
      </c>
      <c r="C445" s="77" t="s">
        <v>10780</v>
      </c>
      <c r="D445" s="77" t="s">
        <v>10781</v>
      </c>
      <c r="E445" s="77">
        <v>6281338789995</v>
      </c>
      <c r="F445" s="84">
        <v>45826</v>
      </c>
      <c r="G445" s="79">
        <v>951</v>
      </c>
      <c r="H445" s="80">
        <v>14329.577464788732</v>
      </c>
      <c r="I445" s="72">
        <v>19</v>
      </c>
      <c r="J445" s="81">
        <v>15261</v>
      </c>
      <c r="K445" s="76">
        <v>1</v>
      </c>
      <c r="L445" s="76">
        <v>269</v>
      </c>
      <c r="M445" s="76">
        <v>0</v>
      </c>
      <c r="N445" s="82" t="s">
        <v>10782</v>
      </c>
      <c r="O445" s="83"/>
    </row>
    <row r="446" spans="1:15" ht="22.5" customHeight="1">
      <c r="A446" s="76">
        <v>766589657993298</v>
      </c>
      <c r="B446" s="77" t="s">
        <v>10688</v>
      </c>
      <c r="C446" s="77" t="s">
        <v>10783</v>
      </c>
      <c r="D446" s="77" t="s">
        <v>10784</v>
      </c>
      <c r="E446" s="77">
        <v>6282162580404</v>
      </c>
      <c r="F446" s="84">
        <v>45826</v>
      </c>
      <c r="G446" s="79">
        <v>315</v>
      </c>
      <c r="H446" s="80">
        <v>40015.915119363395</v>
      </c>
      <c r="I446" s="72">
        <v>11</v>
      </c>
      <c r="J446" s="81">
        <v>15086</v>
      </c>
      <c r="K446" s="76">
        <v>0</v>
      </c>
      <c r="L446" s="76">
        <v>50</v>
      </c>
      <c r="M446" s="76">
        <v>0</v>
      </c>
      <c r="N446" s="82" t="s">
        <v>10785</v>
      </c>
      <c r="O446" s="83"/>
    </row>
    <row r="447" spans="1:15" ht="22.5" customHeight="1">
      <c r="A447" s="76">
        <v>766589657993298</v>
      </c>
      <c r="B447" s="77" t="s">
        <v>10688</v>
      </c>
      <c r="C447" s="77" t="s">
        <v>10786</v>
      </c>
      <c r="D447" s="77" t="s">
        <v>739</v>
      </c>
      <c r="E447" s="77">
        <v>628122102657</v>
      </c>
      <c r="F447" s="84">
        <v>45826</v>
      </c>
      <c r="G447" s="79">
        <v>620</v>
      </c>
      <c r="H447" s="80">
        <v>19964.480874316941</v>
      </c>
      <c r="I447" s="72">
        <v>28</v>
      </c>
      <c r="J447" s="81">
        <v>14614</v>
      </c>
      <c r="K447" s="76">
        <v>5</v>
      </c>
      <c r="L447" s="76">
        <v>151</v>
      </c>
      <c r="M447" s="76">
        <v>0</v>
      </c>
      <c r="N447" s="82" t="s">
        <v>10787</v>
      </c>
      <c r="O447" s="83"/>
    </row>
    <row r="448" spans="1:15" ht="22.5" customHeight="1">
      <c r="A448" s="76">
        <v>766589657993298</v>
      </c>
      <c r="B448" s="77" t="s">
        <v>10688</v>
      </c>
      <c r="C448" s="77" t="s">
        <v>10788</v>
      </c>
      <c r="D448" s="77" t="s">
        <v>421</v>
      </c>
      <c r="F448" s="84">
        <v>45826</v>
      </c>
      <c r="G448" s="79">
        <v>632</v>
      </c>
      <c r="H448" s="80">
        <v>18674.157303370786</v>
      </c>
      <c r="I448" s="72">
        <v>14</v>
      </c>
      <c r="J448" s="81">
        <v>14958</v>
      </c>
      <c r="K448" s="76">
        <v>2</v>
      </c>
      <c r="L448" s="76">
        <v>176</v>
      </c>
      <c r="M448" s="76">
        <v>0</v>
      </c>
      <c r="N448" s="82" t="s">
        <v>10789</v>
      </c>
      <c r="O448" s="83"/>
    </row>
    <row r="449" spans="1:15" ht="22.5" customHeight="1">
      <c r="A449" s="76">
        <v>766589657993298</v>
      </c>
      <c r="B449" s="77" t="s">
        <v>10688</v>
      </c>
      <c r="C449" s="77" t="s">
        <v>10772</v>
      </c>
      <c r="D449" s="77" t="s">
        <v>10773</v>
      </c>
      <c r="E449" s="77">
        <v>6285261023204</v>
      </c>
      <c r="F449" s="84">
        <v>45826</v>
      </c>
      <c r="G449" s="79">
        <v>461</v>
      </c>
      <c r="H449" s="80">
        <v>28571.955719557194</v>
      </c>
      <c r="I449" s="72">
        <v>24</v>
      </c>
      <c r="J449" s="81">
        <v>15486</v>
      </c>
      <c r="K449" s="76">
        <v>2</v>
      </c>
      <c r="L449" s="76">
        <v>131</v>
      </c>
      <c r="M449" s="76">
        <v>0</v>
      </c>
      <c r="N449" s="82" t="s">
        <v>10774</v>
      </c>
      <c r="O449" s="83"/>
    </row>
    <row r="450" spans="1:15" ht="22.5" customHeight="1">
      <c r="A450" s="76">
        <v>766589657993298</v>
      </c>
      <c r="B450" s="77" t="s">
        <v>10688</v>
      </c>
      <c r="C450" s="77" t="s">
        <v>10790</v>
      </c>
      <c r="D450" s="77" t="s">
        <v>494</v>
      </c>
      <c r="E450" s="77">
        <v>6285714611166</v>
      </c>
      <c r="F450" s="84">
        <v>45826</v>
      </c>
      <c r="G450" s="79">
        <v>372</v>
      </c>
      <c r="H450" s="80">
        <v>40497.572815533975</v>
      </c>
      <c r="I450" s="72">
        <v>16</v>
      </c>
      <c r="J450" s="81">
        <v>16685</v>
      </c>
      <c r="K450" s="76">
        <v>2</v>
      </c>
      <c r="L450" s="76">
        <v>206</v>
      </c>
      <c r="M450" s="76">
        <v>0</v>
      </c>
      <c r="N450" s="82" t="s">
        <v>10791</v>
      </c>
      <c r="O450" s="83"/>
    </row>
    <row r="451" spans="1:15" ht="22.5" customHeight="1">
      <c r="A451" s="76">
        <v>766589657993298</v>
      </c>
      <c r="B451" s="77" t="s">
        <v>10688</v>
      </c>
      <c r="C451" s="77" t="s">
        <v>10762</v>
      </c>
      <c r="D451" s="77" t="s">
        <v>10763</v>
      </c>
      <c r="E451" s="77">
        <v>6285210107607</v>
      </c>
      <c r="F451" s="84">
        <v>45826</v>
      </c>
      <c r="G451" s="79">
        <v>1039</v>
      </c>
      <c r="H451" s="80">
        <v>13865.733113673805</v>
      </c>
      <c r="I451" s="72">
        <v>16</v>
      </c>
      <c r="J451" s="81">
        <v>16833</v>
      </c>
      <c r="K451" s="76">
        <v>2</v>
      </c>
      <c r="L451" s="76">
        <v>293</v>
      </c>
      <c r="M451" s="76">
        <v>0</v>
      </c>
      <c r="N451" s="82" t="s">
        <v>10764</v>
      </c>
      <c r="O451" s="83"/>
    </row>
    <row r="452" spans="1:15" ht="22.5" customHeight="1">
      <c r="A452" s="76">
        <v>766589657993298</v>
      </c>
      <c r="B452" s="77" t="s">
        <v>10688</v>
      </c>
      <c r="C452" s="77" t="s">
        <v>10792</v>
      </c>
      <c r="D452" s="77" t="s">
        <v>10793</v>
      </c>
      <c r="E452" s="77">
        <v>6285353864755</v>
      </c>
      <c r="F452" s="84">
        <v>45826</v>
      </c>
      <c r="G452" s="79">
        <v>356</v>
      </c>
      <c r="H452" s="80">
        <v>37681.395348837206</v>
      </c>
      <c r="I452" s="72">
        <v>9</v>
      </c>
      <c r="J452" s="81">
        <v>16203</v>
      </c>
      <c r="K452" s="76">
        <v>1</v>
      </c>
      <c r="L452" s="76">
        <v>90</v>
      </c>
      <c r="M452" s="76">
        <v>0</v>
      </c>
      <c r="N452" s="82" t="s">
        <v>10794</v>
      </c>
      <c r="O452" s="83"/>
    </row>
    <row r="453" spans="1:15" ht="22.5" customHeight="1">
      <c r="A453" s="76">
        <v>766589657993298</v>
      </c>
      <c r="B453" s="77" t="s">
        <v>10688</v>
      </c>
      <c r="C453" s="77" t="s">
        <v>10765</v>
      </c>
      <c r="D453" s="77" t="s">
        <v>350</v>
      </c>
      <c r="E453" s="77">
        <v>6282393168368</v>
      </c>
      <c r="F453" s="84">
        <v>45826</v>
      </c>
      <c r="G453" s="79">
        <v>981</v>
      </c>
      <c r="H453" s="80">
        <v>14696.857670979667</v>
      </c>
      <c r="I453" s="72">
        <v>15</v>
      </c>
      <c r="J453" s="81">
        <v>15902</v>
      </c>
      <c r="K453" s="76">
        <v>3</v>
      </c>
      <c r="L453" s="76">
        <v>367</v>
      </c>
      <c r="M453" s="76">
        <v>0</v>
      </c>
      <c r="N453" s="82" t="s">
        <v>10766</v>
      </c>
      <c r="O453" s="83"/>
    </row>
    <row r="454" spans="1:15" ht="22.5" customHeight="1">
      <c r="A454" s="76">
        <v>766589657993298</v>
      </c>
      <c r="B454" s="77" t="s">
        <v>10688</v>
      </c>
      <c r="C454" s="77" t="s">
        <v>10795</v>
      </c>
      <c r="D454" s="77" t="s">
        <v>551</v>
      </c>
      <c r="E454" s="77">
        <v>6285747906282</v>
      </c>
      <c r="F454" s="84">
        <v>45826</v>
      </c>
      <c r="G454" s="79">
        <v>615</v>
      </c>
      <c r="H454" s="80">
        <v>20897.759103641456</v>
      </c>
      <c r="I454" s="72">
        <v>18</v>
      </c>
      <c r="J454" s="81">
        <v>14921</v>
      </c>
      <c r="K454" s="76">
        <v>4</v>
      </c>
      <c r="L454" s="76">
        <v>342</v>
      </c>
      <c r="M454" s="76">
        <v>0</v>
      </c>
      <c r="N454" s="82" t="s">
        <v>10796</v>
      </c>
      <c r="O454" s="83"/>
    </row>
    <row r="455" spans="1:15" ht="22.5" customHeight="1">
      <c r="A455" s="76">
        <v>766589657993298</v>
      </c>
      <c r="B455" s="77" t="s">
        <v>10688</v>
      </c>
      <c r="C455" s="77" t="s">
        <v>10767</v>
      </c>
      <c r="D455" s="77" t="s">
        <v>10768</v>
      </c>
      <c r="E455" s="77">
        <v>6281519225886</v>
      </c>
      <c r="F455" s="84">
        <v>45826</v>
      </c>
      <c r="G455" s="79">
        <v>413</v>
      </c>
      <c r="H455" s="80">
        <v>30508.130081300813</v>
      </c>
      <c r="I455" s="72">
        <v>16</v>
      </c>
      <c r="J455" s="81">
        <v>15010</v>
      </c>
      <c r="K455" s="76">
        <v>4</v>
      </c>
      <c r="L455" s="76">
        <v>23</v>
      </c>
      <c r="M455" s="76">
        <v>1</v>
      </c>
      <c r="N455" s="82" t="s">
        <v>10769</v>
      </c>
      <c r="O455" s="83"/>
    </row>
    <row r="456" spans="1:15" ht="22.5" customHeight="1">
      <c r="A456" s="76">
        <v>766589657993298</v>
      </c>
      <c r="B456" s="77" t="s">
        <v>10688</v>
      </c>
      <c r="C456" s="77" t="s">
        <v>10797</v>
      </c>
      <c r="D456" s="77" t="s">
        <v>10798</v>
      </c>
      <c r="E456" s="77">
        <v>6285853370682</v>
      </c>
      <c r="F456" s="84">
        <v>45826</v>
      </c>
      <c r="G456" s="79">
        <v>707</v>
      </c>
      <c r="H456" s="80">
        <v>19010.075566750631</v>
      </c>
      <c r="I456" s="72">
        <v>14</v>
      </c>
      <c r="J456" s="81">
        <v>15094</v>
      </c>
      <c r="K456" s="76">
        <v>1</v>
      </c>
      <c r="L456" s="76">
        <v>198</v>
      </c>
      <c r="M456" s="76">
        <v>0</v>
      </c>
      <c r="N456" s="82" t="s">
        <v>10799</v>
      </c>
      <c r="O456" s="83"/>
    </row>
    <row r="457" spans="1:15" ht="22.5" customHeight="1">
      <c r="A457" s="76">
        <v>766589657993298</v>
      </c>
      <c r="B457" s="77" t="s">
        <v>10688</v>
      </c>
      <c r="C457" s="77" t="s">
        <v>10800</v>
      </c>
      <c r="D457" s="77" t="s">
        <v>472</v>
      </c>
      <c r="E457" s="77">
        <v>628114170888</v>
      </c>
      <c r="F457" s="84">
        <v>45826</v>
      </c>
      <c r="G457" s="79">
        <v>637</v>
      </c>
      <c r="H457" s="80">
        <v>25204.4776119403</v>
      </c>
      <c r="I457" s="72">
        <v>8</v>
      </c>
      <c r="J457" s="81">
        <v>16887</v>
      </c>
      <c r="K457" s="76">
        <v>0</v>
      </c>
      <c r="L457" s="76">
        <v>0</v>
      </c>
      <c r="M457" s="76">
        <v>0</v>
      </c>
      <c r="N457" s="82" t="s">
        <v>10801</v>
      </c>
      <c r="O457" s="83"/>
    </row>
    <row r="458" spans="1:15" ht="22.5" customHeight="1">
      <c r="A458" s="76">
        <v>766589657993298</v>
      </c>
      <c r="B458" s="77" t="s">
        <v>10688</v>
      </c>
      <c r="C458" s="77" t="s">
        <v>10750</v>
      </c>
      <c r="D458" s="77" t="s">
        <v>456</v>
      </c>
      <c r="E458" s="77">
        <v>6281278788088</v>
      </c>
      <c r="F458" s="84">
        <v>45826</v>
      </c>
      <c r="G458" s="79">
        <v>754</v>
      </c>
      <c r="H458" s="80">
        <v>16466.750313676286</v>
      </c>
      <c r="I458" s="72">
        <v>10</v>
      </c>
      <c r="J458" s="81">
        <v>13124</v>
      </c>
      <c r="K458" s="76">
        <v>1</v>
      </c>
      <c r="L458" s="76">
        <v>189</v>
      </c>
      <c r="M458" s="76">
        <v>0</v>
      </c>
      <c r="N458" s="82" t="s">
        <v>10751</v>
      </c>
      <c r="O458" s="83"/>
    </row>
    <row r="459" spans="1:15" ht="22.5" customHeight="1">
      <c r="A459" s="76">
        <v>766589657993298</v>
      </c>
      <c r="B459" s="77" t="s">
        <v>10688</v>
      </c>
      <c r="C459" s="77" t="s">
        <v>10741</v>
      </c>
      <c r="D459" s="77" t="s">
        <v>559</v>
      </c>
      <c r="E459" s="77">
        <v>6281952482523</v>
      </c>
      <c r="F459" s="84">
        <v>45826</v>
      </c>
      <c r="G459" s="79">
        <v>377</v>
      </c>
      <c r="H459" s="80">
        <v>33447.247706422022</v>
      </c>
      <c r="I459" s="72">
        <v>7</v>
      </c>
      <c r="J459" s="81">
        <v>14583</v>
      </c>
      <c r="K459" s="76">
        <v>2</v>
      </c>
      <c r="L459" s="76">
        <v>226</v>
      </c>
      <c r="M459" s="76">
        <v>0</v>
      </c>
      <c r="N459" s="82" t="s">
        <v>10742</v>
      </c>
      <c r="O459" s="83"/>
    </row>
    <row r="460" spans="1:15" ht="22.5" customHeight="1">
      <c r="A460" s="76">
        <v>766589657993298</v>
      </c>
      <c r="B460" s="77" t="s">
        <v>10688</v>
      </c>
      <c r="C460" s="77" t="s">
        <v>10802</v>
      </c>
      <c r="D460" s="77" t="s">
        <v>567</v>
      </c>
      <c r="E460" s="77">
        <v>6285220216325</v>
      </c>
      <c r="F460" s="84">
        <v>45826</v>
      </c>
      <c r="G460" s="79">
        <v>270</v>
      </c>
      <c r="H460" s="80">
        <v>54482.200647249192</v>
      </c>
      <c r="I460" s="72">
        <v>6</v>
      </c>
      <c r="J460" s="81">
        <v>16835</v>
      </c>
      <c r="K460" s="76">
        <v>1</v>
      </c>
      <c r="L460" s="76">
        <v>36</v>
      </c>
      <c r="M460" s="76">
        <v>0</v>
      </c>
      <c r="N460" s="82" t="s">
        <v>10803</v>
      </c>
      <c r="O460" s="83"/>
    </row>
    <row r="461" spans="1:15" ht="22.5" customHeight="1">
      <c r="A461" s="76">
        <v>766589657993298</v>
      </c>
      <c r="B461" s="77" t="s">
        <v>10688</v>
      </c>
      <c r="C461" s="77" t="s">
        <v>10752</v>
      </c>
      <c r="D461" s="77" t="s">
        <v>10753</v>
      </c>
      <c r="E461" s="77">
        <v>6281340892328</v>
      </c>
      <c r="F461" s="84">
        <v>45826</v>
      </c>
      <c r="G461" s="79">
        <v>1241</v>
      </c>
      <c r="H461" s="80">
        <v>9993.9959973315545</v>
      </c>
      <c r="I461" s="72">
        <v>40</v>
      </c>
      <c r="J461" s="81">
        <v>14981</v>
      </c>
      <c r="K461" s="76">
        <v>2</v>
      </c>
      <c r="L461" s="76">
        <v>421</v>
      </c>
      <c r="M461" s="76">
        <v>0</v>
      </c>
      <c r="N461" s="82" t="s">
        <v>10754</v>
      </c>
      <c r="O461" s="83"/>
    </row>
    <row r="462" spans="1:15" ht="22.5" customHeight="1">
      <c r="A462" s="76">
        <v>766589657993298</v>
      </c>
      <c r="B462" s="77" t="s">
        <v>10688</v>
      </c>
      <c r="C462" s="77" t="s">
        <v>10746</v>
      </c>
      <c r="D462" s="77" t="s">
        <v>10747</v>
      </c>
      <c r="E462" s="77">
        <v>6281222110766</v>
      </c>
      <c r="F462" s="84">
        <v>45826</v>
      </c>
      <c r="G462" s="79">
        <v>369</v>
      </c>
      <c r="H462" s="80">
        <v>39884.337349397589</v>
      </c>
      <c r="I462" s="72">
        <v>8</v>
      </c>
      <c r="J462" s="81">
        <v>16552</v>
      </c>
      <c r="K462" s="76">
        <v>0</v>
      </c>
      <c r="L462" s="76">
        <v>259</v>
      </c>
      <c r="M462" s="76">
        <v>0</v>
      </c>
      <c r="N462" s="82" t="s">
        <v>10748</v>
      </c>
      <c r="O462" s="83"/>
    </row>
    <row r="463" spans="1:15" ht="22.5" customHeight="1">
      <c r="A463" s="76">
        <v>766589657993298</v>
      </c>
      <c r="B463" s="77" t="s">
        <v>10688</v>
      </c>
      <c r="C463" s="77" t="s">
        <v>10739</v>
      </c>
      <c r="D463" s="77" t="s">
        <v>429</v>
      </c>
      <c r="E463" s="77">
        <v>6282399006447</v>
      </c>
      <c r="F463" s="84">
        <v>45826</v>
      </c>
      <c r="G463" s="79">
        <v>1130</v>
      </c>
      <c r="H463" s="80">
        <v>13084.484159220146</v>
      </c>
      <c r="I463" s="72">
        <v>23</v>
      </c>
      <c r="J463" s="81">
        <v>16107</v>
      </c>
      <c r="K463" s="76">
        <v>3</v>
      </c>
      <c r="L463" s="76">
        <v>6</v>
      </c>
      <c r="M463" s="76">
        <v>0</v>
      </c>
      <c r="N463" s="82" t="s">
        <v>10740</v>
      </c>
      <c r="O463" s="83"/>
    </row>
    <row r="464" spans="1:15" ht="22.5" customHeight="1">
      <c r="A464" s="76">
        <v>759724529202804</v>
      </c>
      <c r="B464" s="77" t="s">
        <v>10621</v>
      </c>
      <c r="C464" s="77" t="s">
        <v>10828</v>
      </c>
      <c r="D464" s="77" t="s">
        <v>10829</v>
      </c>
      <c r="E464" s="77">
        <v>6285642607938</v>
      </c>
      <c r="F464" s="84">
        <v>45827</v>
      </c>
      <c r="G464" s="79">
        <v>851</v>
      </c>
      <c r="H464" s="80">
        <v>12583.826429980276</v>
      </c>
      <c r="I464" s="72">
        <v>17</v>
      </c>
      <c r="J464" s="81">
        <v>12760</v>
      </c>
      <c r="K464" s="76">
        <v>1</v>
      </c>
      <c r="L464" s="76">
        <v>292</v>
      </c>
      <c r="M464" s="76">
        <v>0</v>
      </c>
      <c r="N464" s="82" t="s">
        <v>10830</v>
      </c>
      <c r="O464" s="83"/>
    </row>
    <row r="465" spans="1:15" ht="22.5" customHeight="1">
      <c r="A465" s="76">
        <v>759724529202804</v>
      </c>
      <c r="B465" s="77" t="s">
        <v>10621</v>
      </c>
      <c r="C465" s="77" t="s">
        <v>540</v>
      </c>
      <c r="D465" s="77" t="s">
        <v>10755</v>
      </c>
      <c r="E465" s="77">
        <v>6281335728695</v>
      </c>
      <c r="F465" s="84">
        <v>45827</v>
      </c>
      <c r="G465" s="79">
        <v>731</v>
      </c>
      <c r="H465" s="80">
        <v>21281.134401972875</v>
      </c>
      <c r="I465" s="72">
        <v>5</v>
      </c>
      <c r="J465" s="81">
        <v>17259</v>
      </c>
      <c r="K465" s="76">
        <v>0</v>
      </c>
      <c r="L465" s="76">
        <v>370</v>
      </c>
      <c r="M465" s="76">
        <v>0</v>
      </c>
      <c r="N465" s="82" t="s">
        <v>10756</v>
      </c>
      <c r="O465" s="83"/>
    </row>
    <row r="466" spans="1:15" ht="22.5" customHeight="1">
      <c r="A466" s="76">
        <v>759724529202804</v>
      </c>
      <c r="B466" s="77" t="s">
        <v>10621</v>
      </c>
      <c r="C466" s="77" t="s">
        <v>531</v>
      </c>
      <c r="D466" s="77" t="s">
        <v>10757</v>
      </c>
      <c r="E466" s="77">
        <v>6281216962242</v>
      </c>
      <c r="F466" s="84">
        <v>45827</v>
      </c>
      <c r="G466" s="79">
        <v>772</v>
      </c>
      <c r="H466" s="80">
        <v>21504.807692307695</v>
      </c>
      <c r="I466" s="72">
        <v>15</v>
      </c>
      <c r="J466" s="81">
        <v>17892</v>
      </c>
      <c r="K466" s="76">
        <v>0</v>
      </c>
      <c r="L466" s="76">
        <v>203</v>
      </c>
      <c r="M466" s="76">
        <v>0</v>
      </c>
      <c r="N466" s="82" t="s">
        <v>10758</v>
      </c>
      <c r="O466" s="83"/>
    </row>
    <row r="467" spans="1:15" ht="22.5" customHeight="1">
      <c r="A467" s="76">
        <v>759724529202804</v>
      </c>
      <c r="B467" s="77" t="s">
        <v>10621</v>
      </c>
      <c r="C467" s="77" t="s">
        <v>10804</v>
      </c>
      <c r="D467" s="77" t="s">
        <v>607</v>
      </c>
      <c r="E467" s="77">
        <v>6288215545661</v>
      </c>
      <c r="F467" s="84">
        <v>45827</v>
      </c>
      <c r="G467" s="79">
        <v>424</v>
      </c>
      <c r="H467" s="80">
        <v>28203.703703703701</v>
      </c>
      <c r="I467" s="72">
        <v>8</v>
      </c>
      <c r="J467" s="81">
        <v>15230</v>
      </c>
      <c r="K467" s="76">
        <v>2</v>
      </c>
      <c r="L467" s="76">
        <v>0</v>
      </c>
      <c r="M467" s="76">
        <v>0</v>
      </c>
      <c r="N467" s="82" t="s">
        <v>10805</v>
      </c>
      <c r="O467" s="83"/>
    </row>
    <row r="468" spans="1:15" ht="22.5" customHeight="1">
      <c r="A468" s="76">
        <v>759724529202804</v>
      </c>
      <c r="B468" s="77" t="s">
        <v>10621</v>
      </c>
      <c r="C468" s="77" t="s">
        <v>332</v>
      </c>
      <c r="D468" s="77" t="s">
        <v>10708</v>
      </c>
      <c r="E468" s="77">
        <v>6282350524788</v>
      </c>
      <c r="F468" s="84">
        <v>45827</v>
      </c>
      <c r="G468" s="79">
        <v>648</v>
      </c>
      <c r="H468" s="80">
        <v>19626.649076517151</v>
      </c>
      <c r="I468" s="72">
        <v>21</v>
      </c>
      <c r="J468" s="81">
        <v>14877</v>
      </c>
      <c r="K468" s="76">
        <v>1</v>
      </c>
      <c r="L468" s="76">
        <v>21</v>
      </c>
      <c r="M468" s="76">
        <v>0</v>
      </c>
      <c r="N468" s="82" t="s">
        <v>10709</v>
      </c>
      <c r="O468" s="83"/>
    </row>
    <row r="469" spans="1:15" ht="22.5" customHeight="1">
      <c r="A469" s="76">
        <v>759724529202804</v>
      </c>
      <c r="B469" s="77" t="s">
        <v>10621</v>
      </c>
      <c r="C469" s="77" t="s">
        <v>665</v>
      </c>
      <c r="D469" s="77" t="s">
        <v>659</v>
      </c>
      <c r="E469" s="77">
        <v>6285757057088</v>
      </c>
      <c r="F469" s="84">
        <v>45827</v>
      </c>
      <c r="G469" s="79">
        <v>676</v>
      </c>
      <c r="H469" s="80">
        <v>18882.147024504087</v>
      </c>
      <c r="I469" s="72">
        <v>8</v>
      </c>
      <c r="J469" s="81">
        <v>16182</v>
      </c>
      <c r="K469" s="76">
        <v>0</v>
      </c>
      <c r="L469" s="76">
        <v>0</v>
      </c>
      <c r="M469" s="76">
        <v>0</v>
      </c>
      <c r="N469" s="82" t="s">
        <v>10636</v>
      </c>
      <c r="O469" s="83"/>
    </row>
    <row r="470" spans="1:15" ht="22.5" customHeight="1">
      <c r="A470" s="76">
        <v>174904221976312</v>
      </c>
      <c r="B470" s="77" t="s">
        <v>10651</v>
      </c>
      <c r="C470" s="77" t="s">
        <v>818</v>
      </c>
      <c r="D470" s="77" t="s">
        <v>812</v>
      </c>
      <c r="E470" s="77">
        <v>6287858585808</v>
      </c>
      <c r="F470" s="84">
        <v>45827</v>
      </c>
      <c r="G470" s="79">
        <v>904</v>
      </c>
      <c r="H470" s="80">
        <v>12198.104265402844</v>
      </c>
      <c r="I470" s="72">
        <v>40</v>
      </c>
      <c r="J470" s="81">
        <v>12869</v>
      </c>
      <c r="K470" s="76">
        <v>1</v>
      </c>
      <c r="L470" s="76">
        <v>269</v>
      </c>
      <c r="M470" s="76">
        <v>0</v>
      </c>
      <c r="N470" s="82" t="s">
        <v>10831</v>
      </c>
      <c r="O470" s="83"/>
    </row>
    <row r="471" spans="1:15" ht="22.5" customHeight="1">
      <c r="A471" s="76">
        <v>174904221976312</v>
      </c>
      <c r="B471" s="77" t="s">
        <v>10651</v>
      </c>
      <c r="C471" s="77" t="s">
        <v>10806</v>
      </c>
      <c r="D471" s="77" t="s">
        <v>10807</v>
      </c>
      <c r="E471" s="77">
        <v>628127962347</v>
      </c>
      <c r="F471" s="84">
        <v>45827</v>
      </c>
      <c r="G471" s="79">
        <v>191</v>
      </c>
      <c r="H471" s="80">
        <v>60478.048780487807</v>
      </c>
      <c r="I471" s="72">
        <v>12</v>
      </c>
      <c r="J471" s="81">
        <v>12398</v>
      </c>
      <c r="K471" s="76">
        <v>5</v>
      </c>
      <c r="L471" s="76">
        <v>10</v>
      </c>
      <c r="M471" s="76">
        <v>0</v>
      </c>
      <c r="N471" s="82" t="s">
        <v>10808</v>
      </c>
      <c r="O471" s="83"/>
    </row>
    <row r="472" spans="1:15" ht="22.5" customHeight="1">
      <c r="A472" s="76">
        <v>174904221976312</v>
      </c>
      <c r="B472" s="77" t="s">
        <v>10651</v>
      </c>
      <c r="C472" s="77" t="s">
        <v>10809</v>
      </c>
      <c r="D472" s="77" t="s">
        <v>634</v>
      </c>
      <c r="E472" s="77">
        <v>6282258886603</v>
      </c>
      <c r="F472" s="84">
        <v>45827</v>
      </c>
      <c r="G472" s="79">
        <v>522</v>
      </c>
      <c r="H472" s="80">
        <v>20851.132686084144</v>
      </c>
      <c r="I472" s="72">
        <v>33</v>
      </c>
      <c r="J472" s="81">
        <v>12886</v>
      </c>
      <c r="K472" s="76">
        <v>2</v>
      </c>
      <c r="L472" s="76">
        <v>256</v>
      </c>
      <c r="M472" s="76">
        <v>1</v>
      </c>
      <c r="N472" s="82" t="s">
        <v>10810</v>
      </c>
      <c r="O472" s="83"/>
    </row>
    <row r="473" spans="1:15" ht="22.5" customHeight="1">
      <c r="A473" s="76">
        <v>174904221976312</v>
      </c>
      <c r="B473" s="77" t="s">
        <v>10651</v>
      </c>
      <c r="C473" s="77" t="s">
        <v>10815</v>
      </c>
      <c r="D473" s="77" t="s">
        <v>651</v>
      </c>
      <c r="E473" s="77">
        <v>6281905836259</v>
      </c>
      <c r="F473" s="84">
        <v>45827</v>
      </c>
      <c r="G473" s="79">
        <v>474</v>
      </c>
      <c r="H473" s="80">
        <v>19822.857142857141</v>
      </c>
      <c r="I473" s="72">
        <v>5</v>
      </c>
      <c r="J473" s="81">
        <v>10407</v>
      </c>
      <c r="K473" s="76">
        <v>1</v>
      </c>
      <c r="L473" s="76">
        <v>0</v>
      </c>
      <c r="M473" s="76">
        <v>0</v>
      </c>
      <c r="N473" s="82" t="s">
        <v>10816</v>
      </c>
      <c r="O473" s="83"/>
    </row>
    <row r="474" spans="1:15" ht="22.5" customHeight="1">
      <c r="A474" s="76">
        <v>174904221976312</v>
      </c>
      <c r="B474" s="77" t="s">
        <v>10651</v>
      </c>
      <c r="C474" s="77" t="s">
        <v>10811</v>
      </c>
      <c r="D474" s="77" t="s">
        <v>10812</v>
      </c>
      <c r="E474" s="77">
        <v>6281904501876</v>
      </c>
      <c r="F474" s="84">
        <v>45827</v>
      </c>
      <c r="G474" s="79">
        <v>1490</v>
      </c>
      <c r="H474" s="80">
        <v>9490.3306300686218</v>
      </c>
      <c r="I474" s="72">
        <v>53</v>
      </c>
      <c r="J474" s="81">
        <v>15213</v>
      </c>
      <c r="K474" s="76">
        <v>1</v>
      </c>
      <c r="L474" s="76">
        <v>514</v>
      </c>
      <c r="M474" s="76">
        <v>0</v>
      </c>
      <c r="N474" s="82" t="s">
        <v>10813</v>
      </c>
      <c r="O474" s="83"/>
    </row>
    <row r="475" spans="1:15" ht="22.5" customHeight="1">
      <c r="A475" s="76">
        <v>174904221976312</v>
      </c>
      <c r="B475" s="77" t="s">
        <v>10651</v>
      </c>
      <c r="C475" s="77" t="s">
        <v>10775</v>
      </c>
      <c r="D475" s="77" t="s">
        <v>10776</v>
      </c>
      <c r="E475" s="77">
        <v>6282129040031</v>
      </c>
      <c r="F475" s="84">
        <v>45827</v>
      </c>
      <c r="G475" s="79">
        <v>1278</v>
      </c>
      <c r="H475" s="80">
        <v>9966.1246612466111</v>
      </c>
      <c r="I475" s="72">
        <v>50</v>
      </c>
      <c r="J475" s="81">
        <v>14710</v>
      </c>
      <c r="K475" s="76">
        <v>4</v>
      </c>
      <c r="L475" s="76">
        <v>10</v>
      </c>
      <c r="M475" s="76">
        <v>0</v>
      </c>
      <c r="N475" s="82" t="s">
        <v>10777</v>
      </c>
      <c r="O475" s="83"/>
    </row>
    <row r="476" spans="1:15" ht="22.5" customHeight="1">
      <c r="A476" s="76">
        <v>174904221976312</v>
      </c>
      <c r="B476" s="77" t="s">
        <v>10651</v>
      </c>
      <c r="C476" s="77" t="s">
        <v>10770</v>
      </c>
      <c r="D476" s="77" t="s">
        <v>444</v>
      </c>
      <c r="F476" s="84">
        <v>45827</v>
      </c>
      <c r="G476" s="79">
        <v>9828</v>
      </c>
      <c r="H476" s="80">
        <v>1214.6903692127369</v>
      </c>
      <c r="I476" s="72">
        <v>5</v>
      </c>
      <c r="J476" s="81">
        <v>12436</v>
      </c>
      <c r="K476" s="76">
        <v>0</v>
      </c>
      <c r="L476" s="76">
        <v>489</v>
      </c>
      <c r="M476" s="76">
        <v>0</v>
      </c>
      <c r="N476" s="82" t="s">
        <v>10771</v>
      </c>
      <c r="O476" s="83"/>
    </row>
    <row r="477" spans="1:15" ht="22.5" customHeight="1">
      <c r="A477" s="76">
        <v>174904221976312</v>
      </c>
      <c r="B477" s="77" t="s">
        <v>10651</v>
      </c>
      <c r="C477" s="77" t="s">
        <v>399</v>
      </c>
      <c r="D477" s="77" t="s">
        <v>394</v>
      </c>
      <c r="F477" s="84">
        <v>45827</v>
      </c>
      <c r="G477" s="79">
        <v>3635</v>
      </c>
      <c r="H477" s="80">
        <v>3119.4840461642907</v>
      </c>
      <c r="I477" s="72">
        <v>82</v>
      </c>
      <c r="J477" s="81">
        <v>13785</v>
      </c>
      <c r="K477" s="76">
        <v>11</v>
      </c>
      <c r="L477" s="76">
        <v>0</v>
      </c>
      <c r="M477" s="76">
        <v>0</v>
      </c>
      <c r="N477" s="82" t="s">
        <v>10749</v>
      </c>
      <c r="O477" s="83"/>
    </row>
    <row r="478" spans="1:15" ht="22.5" customHeight="1">
      <c r="A478" s="76">
        <v>174904221976312</v>
      </c>
      <c r="B478" s="77" t="s">
        <v>10651</v>
      </c>
      <c r="C478" s="77" t="s">
        <v>10778</v>
      </c>
      <c r="D478" s="77" t="s">
        <v>3140</v>
      </c>
      <c r="F478" s="84">
        <v>45827</v>
      </c>
      <c r="G478" s="79">
        <v>3990</v>
      </c>
      <c r="H478" s="80">
        <v>3051.607062019013</v>
      </c>
      <c r="I478" s="72">
        <v>88</v>
      </c>
      <c r="J478" s="81">
        <v>13482</v>
      </c>
      <c r="K478" s="76">
        <v>4</v>
      </c>
      <c r="L478" s="76">
        <v>795</v>
      </c>
      <c r="M478" s="76">
        <v>1</v>
      </c>
      <c r="N478" s="82" t="s">
        <v>10779</v>
      </c>
      <c r="O478" s="83"/>
    </row>
    <row r="479" spans="1:15" ht="22.5" customHeight="1">
      <c r="A479" s="76">
        <v>174904221976312</v>
      </c>
      <c r="B479" s="77" t="s">
        <v>10651</v>
      </c>
      <c r="C479" s="77" t="s">
        <v>10652</v>
      </c>
      <c r="D479" s="77" t="s">
        <v>10653</v>
      </c>
      <c r="E479" s="77">
        <v>6281348555887</v>
      </c>
      <c r="F479" s="84">
        <v>45827</v>
      </c>
      <c r="G479" s="79">
        <v>1155</v>
      </c>
      <c r="H479" s="80">
        <v>9275.0783699059557</v>
      </c>
      <c r="I479" s="72">
        <v>29</v>
      </c>
      <c r="J479" s="81">
        <v>11835</v>
      </c>
      <c r="K479" s="76">
        <v>1</v>
      </c>
      <c r="L479" s="76">
        <v>346</v>
      </c>
      <c r="M479" s="76">
        <v>0</v>
      </c>
      <c r="N479" s="82" t="s">
        <v>10654</v>
      </c>
      <c r="O479" s="83"/>
    </row>
    <row r="480" spans="1:15" ht="22.5" customHeight="1">
      <c r="A480" s="76">
        <v>174904221976312</v>
      </c>
      <c r="B480" s="77" t="s">
        <v>10651</v>
      </c>
      <c r="C480" s="77" t="s">
        <v>10655</v>
      </c>
      <c r="D480" s="77" t="s">
        <v>3908</v>
      </c>
      <c r="E480" s="77">
        <v>6285376667233</v>
      </c>
      <c r="F480" s="84">
        <v>45827</v>
      </c>
      <c r="G480" s="79">
        <v>293</v>
      </c>
      <c r="H480" s="80">
        <v>10721.21212121212</v>
      </c>
      <c r="I480" s="72">
        <v>6</v>
      </c>
      <c r="J480" s="81">
        <v>3538</v>
      </c>
      <c r="K480" s="76">
        <v>3</v>
      </c>
      <c r="L480" s="76">
        <v>107</v>
      </c>
      <c r="M480" s="76">
        <v>0</v>
      </c>
      <c r="N480" s="82" t="s">
        <v>10832</v>
      </c>
      <c r="O480" s="83"/>
    </row>
    <row r="481" spans="1:15" ht="22.5" customHeight="1">
      <c r="A481" s="76">
        <v>174904221976312</v>
      </c>
      <c r="B481" s="77" t="s">
        <v>10651</v>
      </c>
      <c r="C481" s="77" t="s">
        <v>10659</v>
      </c>
      <c r="D481" s="77" t="s">
        <v>1044</v>
      </c>
      <c r="E481" s="77">
        <v>6281263113266</v>
      </c>
      <c r="F481" s="84">
        <v>45827</v>
      </c>
      <c r="G481" s="79">
        <v>1592</v>
      </c>
      <c r="H481" s="80">
        <v>9585.1318944844115</v>
      </c>
      <c r="I481" s="72">
        <v>54</v>
      </c>
      <c r="J481" s="81">
        <v>15988</v>
      </c>
      <c r="K481" s="76">
        <v>2</v>
      </c>
      <c r="L481" s="76">
        <v>602</v>
      </c>
      <c r="M481" s="76">
        <v>1</v>
      </c>
      <c r="N481" s="82" t="s">
        <v>10660</v>
      </c>
      <c r="O481" s="83"/>
    </row>
    <row r="482" spans="1:15" ht="22.5" customHeight="1">
      <c r="A482" s="76">
        <v>174904221976312</v>
      </c>
      <c r="B482" s="77" t="s">
        <v>10651</v>
      </c>
      <c r="C482" s="77" t="s">
        <v>10833</v>
      </c>
      <c r="D482" s="77" t="s">
        <v>10834</v>
      </c>
      <c r="E482" s="77">
        <v>6282242925264</v>
      </c>
      <c r="F482" s="84">
        <v>45827</v>
      </c>
      <c r="G482" s="79">
        <v>1606</v>
      </c>
      <c r="H482" s="80">
        <v>9150.8474576271183</v>
      </c>
      <c r="I482" s="72">
        <v>64</v>
      </c>
      <c r="J482" s="81">
        <v>16197</v>
      </c>
      <c r="K482" s="76">
        <v>0</v>
      </c>
      <c r="L482" s="76">
        <v>570</v>
      </c>
      <c r="M482" s="76">
        <v>1</v>
      </c>
      <c r="N482" s="82" t="s">
        <v>10835</v>
      </c>
      <c r="O482" s="83"/>
    </row>
    <row r="483" spans="1:15" ht="22.5" customHeight="1">
      <c r="A483" s="76">
        <v>766589657993298</v>
      </c>
      <c r="B483" s="77" t="s">
        <v>10688</v>
      </c>
      <c r="C483" s="77" t="s">
        <v>10836</v>
      </c>
      <c r="D483" s="77" t="s">
        <v>780</v>
      </c>
      <c r="E483" s="77">
        <v>6283866009989</v>
      </c>
      <c r="F483" s="84">
        <v>45827</v>
      </c>
      <c r="G483" s="79">
        <v>234</v>
      </c>
      <c r="H483" s="80">
        <v>40665.551839464883</v>
      </c>
      <c r="I483" s="72">
        <v>1</v>
      </c>
      <c r="J483" s="81">
        <v>12159</v>
      </c>
      <c r="K483" s="76">
        <v>0</v>
      </c>
      <c r="L483" s="76">
        <v>0</v>
      </c>
      <c r="M483" s="76">
        <v>0</v>
      </c>
      <c r="N483" s="82" t="s">
        <v>10837</v>
      </c>
      <c r="O483" s="83"/>
    </row>
    <row r="484" spans="1:15" ht="22.5" customHeight="1">
      <c r="A484" s="76">
        <v>766589657993298</v>
      </c>
      <c r="B484" s="77" t="s">
        <v>10688</v>
      </c>
      <c r="C484" s="77" t="s">
        <v>727</v>
      </c>
      <c r="D484" s="77" t="s">
        <v>10838</v>
      </c>
      <c r="E484" s="77">
        <v>6282324392716</v>
      </c>
      <c r="F484" s="84">
        <v>45827</v>
      </c>
      <c r="G484" s="79">
        <v>150</v>
      </c>
      <c r="H484" s="80">
        <v>87782.608695652176</v>
      </c>
      <c r="I484" s="72">
        <v>3</v>
      </c>
      <c r="J484" s="81">
        <v>14133</v>
      </c>
      <c r="K484" s="76">
        <v>0</v>
      </c>
      <c r="L484" s="76">
        <v>0</v>
      </c>
      <c r="M484" s="76">
        <v>0</v>
      </c>
      <c r="N484" s="82" t="s">
        <v>10839</v>
      </c>
      <c r="O484" s="83"/>
    </row>
    <row r="485" spans="1:15" ht="22.5" customHeight="1">
      <c r="A485" s="76">
        <v>766589657993298</v>
      </c>
      <c r="B485" s="77" t="s">
        <v>10688</v>
      </c>
      <c r="C485" s="77" t="s">
        <v>720</v>
      </c>
      <c r="D485" s="77" t="s">
        <v>10840</v>
      </c>
      <c r="E485" s="77">
        <v>6282141603091</v>
      </c>
      <c r="F485" s="84">
        <v>45827</v>
      </c>
      <c r="G485" s="79">
        <v>324</v>
      </c>
      <c r="H485" s="80">
        <v>41967.213114754093</v>
      </c>
      <c r="I485" s="72">
        <v>7</v>
      </c>
      <c r="J485" s="81">
        <v>15360</v>
      </c>
      <c r="K485" s="76">
        <v>1</v>
      </c>
      <c r="L485" s="76">
        <v>0</v>
      </c>
      <c r="M485" s="76">
        <v>0</v>
      </c>
      <c r="N485" s="82" t="s">
        <v>10841</v>
      </c>
      <c r="O485" s="83"/>
    </row>
    <row r="486" spans="1:15" ht="22.5" customHeight="1">
      <c r="A486" s="76">
        <v>766589657993298</v>
      </c>
      <c r="B486" s="77" t="s">
        <v>10688</v>
      </c>
      <c r="C486" s="77" t="s">
        <v>10818</v>
      </c>
      <c r="D486" s="77" t="s">
        <v>700</v>
      </c>
      <c r="E486" s="77">
        <v>6281632236409</v>
      </c>
      <c r="F486" s="84">
        <v>45827</v>
      </c>
      <c r="G486" s="79">
        <v>542</v>
      </c>
      <c r="H486" s="80">
        <v>21590.504451038578</v>
      </c>
      <c r="I486" s="72">
        <v>14</v>
      </c>
      <c r="J486" s="81">
        <v>14552</v>
      </c>
      <c r="K486" s="76">
        <v>3</v>
      </c>
      <c r="L486" s="76">
        <v>158</v>
      </c>
      <c r="M486" s="76">
        <v>0</v>
      </c>
      <c r="N486" s="82" t="s">
        <v>10819</v>
      </c>
      <c r="O486" s="83"/>
    </row>
    <row r="487" spans="1:15" ht="22.5" customHeight="1">
      <c r="A487" s="76">
        <v>766589657993298</v>
      </c>
      <c r="B487" s="77" t="s">
        <v>10688</v>
      </c>
      <c r="C487" s="77" t="s">
        <v>469</v>
      </c>
      <c r="D487" s="77" t="s">
        <v>10820</v>
      </c>
      <c r="E487" s="77">
        <v>6282255726295</v>
      </c>
      <c r="F487" s="84">
        <v>45827</v>
      </c>
      <c r="G487" s="79">
        <v>1356</v>
      </c>
      <c r="H487" s="80">
        <v>9053.356282271945</v>
      </c>
      <c r="I487" s="72">
        <v>58</v>
      </c>
      <c r="J487" s="81">
        <v>15780</v>
      </c>
      <c r="K487" s="76">
        <v>3</v>
      </c>
      <c r="L487" s="76">
        <v>644</v>
      </c>
      <c r="M487" s="76">
        <v>0</v>
      </c>
      <c r="N487" s="82" t="s">
        <v>10821</v>
      </c>
      <c r="O487" s="83"/>
    </row>
    <row r="488" spans="1:15" ht="22.5" customHeight="1">
      <c r="A488" s="76">
        <v>766589657993298</v>
      </c>
      <c r="B488" s="77" t="s">
        <v>10688</v>
      </c>
      <c r="C488" s="77" t="s">
        <v>10822</v>
      </c>
      <c r="D488" s="77" t="s">
        <v>676</v>
      </c>
      <c r="E488" s="77">
        <v>6281316155059</v>
      </c>
      <c r="F488" s="84">
        <v>45827</v>
      </c>
      <c r="G488" s="79">
        <v>348</v>
      </c>
      <c r="H488" s="80">
        <v>41015.706806282724</v>
      </c>
      <c r="I488" s="72">
        <v>12</v>
      </c>
      <c r="J488" s="81">
        <v>15668</v>
      </c>
      <c r="K488" s="76">
        <v>2</v>
      </c>
      <c r="L488" s="76">
        <v>22</v>
      </c>
      <c r="M488" s="76">
        <v>0</v>
      </c>
      <c r="N488" s="82" t="s">
        <v>10823</v>
      </c>
      <c r="O488" s="83"/>
    </row>
    <row r="489" spans="1:15" ht="22.5" customHeight="1">
      <c r="A489" s="76">
        <v>766589657993298</v>
      </c>
      <c r="B489" s="77" t="s">
        <v>10688</v>
      </c>
      <c r="C489" s="77" t="s">
        <v>10825</v>
      </c>
      <c r="D489" s="77" t="s">
        <v>10826</v>
      </c>
      <c r="E489" s="77">
        <v>6289523308892</v>
      </c>
      <c r="F489" s="84">
        <v>45827</v>
      </c>
      <c r="G489" s="79">
        <v>1248</v>
      </c>
      <c r="H489" s="80">
        <v>10802.935010482181</v>
      </c>
      <c r="I489" s="72">
        <v>15</v>
      </c>
      <c r="J489" s="81">
        <v>15459</v>
      </c>
      <c r="K489" s="76">
        <v>0</v>
      </c>
      <c r="L489" s="76">
        <v>850</v>
      </c>
      <c r="M489" s="76">
        <v>0</v>
      </c>
      <c r="N489" s="82" t="s">
        <v>10827</v>
      </c>
      <c r="O489" s="83"/>
    </row>
    <row r="490" spans="1:15" ht="22.5" customHeight="1">
      <c r="A490" s="76">
        <v>766589657993298</v>
      </c>
      <c r="B490" s="77" t="s">
        <v>10688</v>
      </c>
      <c r="C490" s="77" t="s">
        <v>10780</v>
      </c>
      <c r="D490" s="77" t="s">
        <v>10781</v>
      </c>
      <c r="E490" s="77">
        <v>6281338789995</v>
      </c>
      <c r="F490" s="84">
        <v>45827</v>
      </c>
      <c r="G490" s="79">
        <v>974</v>
      </c>
      <c r="H490" s="80">
        <v>14660.611854684514</v>
      </c>
      <c r="I490" s="72">
        <v>19</v>
      </c>
      <c r="J490" s="81">
        <v>15335</v>
      </c>
      <c r="K490" s="76">
        <v>2</v>
      </c>
      <c r="L490" s="76">
        <v>306</v>
      </c>
      <c r="M490" s="76">
        <v>0</v>
      </c>
      <c r="N490" s="82" t="s">
        <v>10782</v>
      </c>
      <c r="O490" s="83"/>
    </row>
    <row r="491" spans="1:15" ht="22.5" customHeight="1">
      <c r="A491" s="76">
        <v>766589657993298</v>
      </c>
      <c r="B491" s="77" t="s">
        <v>10688</v>
      </c>
      <c r="C491" s="77" t="s">
        <v>10783</v>
      </c>
      <c r="D491" s="77" t="s">
        <v>10784</v>
      </c>
      <c r="E491" s="77">
        <v>6282162580404</v>
      </c>
      <c r="F491" s="84">
        <v>45827</v>
      </c>
      <c r="G491" s="79">
        <v>314</v>
      </c>
      <c r="H491" s="80">
        <v>43897.435897435898</v>
      </c>
      <c r="I491" s="72">
        <v>7</v>
      </c>
      <c r="J491" s="81">
        <v>15408</v>
      </c>
      <c r="K491" s="76">
        <v>0</v>
      </c>
      <c r="L491" s="76">
        <v>71</v>
      </c>
      <c r="M491" s="76">
        <v>0</v>
      </c>
      <c r="N491" s="82" t="s">
        <v>10785</v>
      </c>
      <c r="O491" s="83"/>
    </row>
    <row r="492" spans="1:15" ht="22.5" customHeight="1">
      <c r="A492" s="76">
        <v>766589657993298</v>
      </c>
      <c r="B492" s="77" t="s">
        <v>10688</v>
      </c>
      <c r="C492" s="77" t="s">
        <v>10786</v>
      </c>
      <c r="D492" s="77" t="s">
        <v>739</v>
      </c>
      <c r="E492" s="77">
        <v>628122102657</v>
      </c>
      <c r="F492" s="84">
        <v>45827</v>
      </c>
      <c r="G492" s="79">
        <v>676</v>
      </c>
      <c r="H492" s="80">
        <v>18314.214463840399</v>
      </c>
      <c r="I492" s="72">
        <v>21</v>
      </c>
      <c r="J492" s="81">
        <v>14688</v>
      </c>
      <c r="K492" s="76">
        <v>3</v>
      </c>
      <c r="L492" s="76">
        <v>174</v>
      </c>
      <c r="M492" s="76">
        <v>0</v>
      </c>
      <c r="N492" s="82" t="s">
        <v>10787</v>
      </c>
      <c r="O492" s="83"/>
    </row>
    <row r="493" spans="1:15" ht="22.5" customHeight="1">
      <c r="A493" s="76">
        <v>766589657993298</v>
      </c>
      <c r="B493" s="77" t="s">
        <v>10688</v>
      </c>
      <c r="C493" s="77" t="s">
        <v>10788</v>
      </c>
      <c r="D493" s="77" t="s">
        <v>421</v>
      </c>
      <c r="F493" s="84">
        <v>45827</v>
      </c>
      <c r="G493" s="79">
        <v>473</v>
      </c>
      <c r="H493" s="80">
        <v>28024.163568773234</v>
      </c>
      <c r="I493" s="72">
        <v>8</v>
      </c>
      <c r="J493" s="81">
        <v>15077</v>
      </c>
      <c r="K493" s="76">
        <v>1</v>
      </c>
      <c r="L493" s="76">
        <v>66</v>
      </c>
      <c r="M493" s="76">
        <v>0</v>
      </c>
      <c r="N493" s="82" t="s">
        <v>10789</v>
      </c>
      <c r="O493" s="83"/>
    </row>
    <row r="494" spans="1:15" ht="22.5" customHeight="1">
      <c r="A494" s="76">
        <v>766589657993298</v>
      </c>
      <c r="B494" s="77" t="s">
        <v>10688</v>
      </c>
      <c r="C494" s="77" t="s">
        <v>10772</v>
      </c>
      <c r="D494" s="77" t="s">
        <v>10773</v>
      </c>
      <c r="E494" s="77">
        <v>6285261023204</v>
      </c>
      <c r="F494" s="84">
        <v>45827</v>
      </c>
      <c r="G494" s="79">
        <v>485</v>
      </c>
      <c r="H494" s="80">
        <v>26588.550983899822</v>
      </c>
      <c r="I494" s="72">
        <v>17</v>
      </c>
      <c r="J494" s="81">
        <v>14863</v>
      </c>
      <c r="K494" s="76">
        <v>5</v>
      </c>
      <c r="L494" s="76">
        <v>145</v>
      </c>
      <c r="M494" s="76">
        <v>0</v>
      </c>
      <c r="N494" s="82" t="s">
        <v>10774</v>
      </c>
      <c r="O494" s="83"/>
    </row>
    <row r="495" spans="1:15" ht="22.5" customHeight="1">
      <c r="A495" s="76">
        <v>766589657993298</v>
      </c>
      <c r="B495" s="77" t="s">
        <v>10688</v>
      </c>
      <c r="C495" s="77" t="s">
        <v>10790</v>
      </c>
      <c r="D495" s="77" t="s">
        <v>494</v>
      </c>
      <c r="E495" s="77">
        <v>6285714611166</v>
      </c>
      <c r="F495" s="84">
        <v>45827</v>
      </c>
      <c r="G495" s="79">
        <v>129</v>
      </c>
      <c r="H495" s="80">
        <v>39678.571428571428</v>
      </c>
      <c r="I495" s="72">
        <v>7</v>
      </c>
      <c r="J495" s="81">
        <v>5555</v>
      </c>
      <c r="K495" s="76">
        <v>0</v>
      </c>
      <c r="L495" s="76">
        <v>46</v>
      </c>
      <c r="M495" s="76">
        <v>0</v>
      </c>
      <c r="N495" s="82" t="s">
        <v>10791</v>
      </c>
      <c r="O495" s="83"/>
    </row>
    <row r="496" spans="1:15" ht="22.5" customHeight="1">
      <c r="A496" s="76">
        <v>766589657993298</v>
      </c>
      <c r="B496" s="77" t="s">
        <v>10688</v>
      </c>
      <c r="C496" s="77" t="s">
        <v>10762</v>
      </c>
      <c r="D496" s="77" t="s">
        <v>10763</v>
      </c>
      <c r="E496" s="77">
        <v>6285210107607</v>
      </c>
      <c r="F496" s="84">
        <v>45827</v>
      </c>
      <c r="G496" s="79">
        <v>931</v>
      </c>
      <c r="H496" s="80">
        <v>17647.859922178988</v>
      </c>
      <c r="I496" s="72">
        <v>16</v>
      </c>
      <c r="J496" s="81">
        <v>18142</v>
      </c>
      <c r="K496" s="76">
        <v>2</v>
      </c>
      <c r="L496" s="76">
        <v>242</v>
      </c>
      <c r="M496" s="76">
        <v>0</v>
      </c>
      <c r="N496" s="82" t="s">
        <v>10764</v>
      </c>
      <c r="O496" s="83"/>
    </row>
    <row r="497" spans="1:15" ht="22.5" customHeight="1">
      <c r="A497" s="76">
        <v>766589657993298</v>
      </c>
      <c r="B497" s="77" t="s">
        <v>10688</v>
      </c>
      <c r="C497" s="77" t="s">
        <v>10842</v>
      </c>
      <c r="D497" s="77" t="s">
        <v>594</v>
      </c>
      <c r="E497" s="77">
        <v>6283185169816</v>
      </c>
      <c r="F497" s="84">
        <v>45827</v>
      </c>
      <c r="G497" s="79">
        <v>541</v>
      </c>
      <c r="H497" s="80">
        <v>26374.781085814364</v>
      </c>
      <c r="I497" s="72">
        <v>7</v>
      </c>
      <c r="J497" s="81">
        <v>15060</v>
      </c>
      <c r="K497" s="76">
        <v>0</v>
      </c>
      <c r="L497" s="76">
        <v>59</v>
      </c>
      <c r="M497" s="76">
        <v>0</v>
      </c>
      <c r="N497" s="82" t="s">
        <v>10843</v>
      </c>
      <c r="O497" s="83"/>
    </row>
    <row r="498" spans="1:15" ht="22.5" customHeight="1">
      <c r="A498" s="76">
        <v>766589657993298</v>
      </c>
      <c r="B498" s="77" t="s">
        <v>10688</v>
      </c>
      <c r="C498" s="77" t="s">
        <v>10795</v>
      </c>
      <c r="D498" s="77" t="s">
        <v>551</v>
      </c>
      <c r="E498" s="77">
        <v>6285747906282</v>
      </c>
      <c r="F498" s="84">
        <v>45827</v>
      </c>
      <c r="G498" s="79">
        <v>502</v>
      </c>
      <c r="H498" s="80">
        <v>26571.428571428572</v>
      </c>
      <c r="I498" s="72">
        <v>10</v>
      </c>
      <c r="J498" s="81">
        <v>14880</v>
      </c>
      <c r="K498" s="76">
        <v>0</v>
      </c>
      <c r="L498" s="76">
        <v>249</v>
      </c>
      <c r="M498" s="76">
        <v>0</v>
      </c>
      <c r="N498" s="82" t="s">
        <v>10796</v>
      </c>
      <c r="O498" s="83"/>
    </row>
    <row r="499" spans="1:15" ht="22.5" customHeight="1">
      <c r="A499" s="76">
        <v>766589657993298</v>
      </c>
      <c r="B499" s="77" t="s">
        <v>10688</v>
      </c>
      <c r="C499" s="77" t="s">
        <v>10767</v>
      </c>
      <c r="D499" s="77" t="s">
        <v>10768</v>
      </c>
      <c r="E499" s="77">
        <v>6281519225886</v>
      </c>
      <c r="F499" s="84">
        <v>45827</v>
      </c>
      <c r="G499" s="79">
        <v>365</v>
      </c>
      <c r="H499" s="80">
        <v>33246.085011185685</v>
      </c>
      <c r="I499" s="72">
        <v>14</v>
      </c>
      <c r="J499" s="81">
        <v>14861</v>
      </c>
      <c r="K499" s="76">
        <v>0</v>
      </c>
      <c r="L499" s="76">
        <v>18</v>
      </c>
      <c r="M499" s="76">
        <v>0</v>
      </c>
      <c r="N499" s="82" t="s">
        <v>10769</v>
      </c>
      <c r="O499" s="83"/>
    </row>
    <row r="500" spans="1:15" ht="22.5" customHeight="1">
      <c r="A500" s="76">
        <v>766589657993298</v>
      </c>
      <c r="B500" s="77" t="s">
        <v>10688</v>
      </c>
      <c r="C500" s="77" t="s">
        <v>10797</v>
      </c>
      <c r="D500" s="77" t="s">
        <v>10798</v>
      </c>
      <c r="E500" s="77">
        <v>6285853370682</v>
      </c>
      <c r="F500" s="84">
        <v>45827</v>
      </c>
      <c r="G500" s="79">
        <v>523</v>
      </c>
      <c r="H500" s="80">
        <v>26541.390728476821</v>
      </c>
      <c r="I500" s="72">
        <v>11</v>
      </c>
      <c r="J500" s="81">
        <v>16031</v>
      </c>
      <c r="K500" s="76">
        <v>1</v>
      </c>
      <c r="L500" s="76">
        <v>169</v>
      </c>
      <c r="M500" s="76">
        <v>0</v>
      </c>
      <c r="N500" s="82" t="s">
        <v>10799</v>
      </c>
      <c r="O500" s="83"/>
    </row>
    <row r="501" spans="1:15" ht="22.5" customHeight="1">
      <c r="A501" s="76">
        <v>766589657993298</v>
      </c>
      <c r="B501" s="77" t="s">
        <v>10688</v>
      </c>
      <c r="C501" s="77" t="s">
        <v>10741</v>
      </c>
      <c r="D501" s="77" t="s">
        <v>559</v>
      </c>
      <c r="E501" s="77">
        <v>6281952482523</v>
      </c>
      <c r="F501" s="84">
        <v>45827</v>
      </c>
      <c r="G501" s="79">
        <v>413</v>
      </c>
      <c r="H501" s="80">
        <v>35525</v>
      </c>
      <c r="I501" s="72">
        <v>11</v>
      </c>
      <c r="J501" s="81">
        <v>15631</v>
      </c>
      <c r="K501" s="76">
        <v>1</v>
      </c>
      <c r="L501" s="76">
        <v>238</v>
      </c>
      <c r="M501" s="76">
        <v>0</v>
      </c>
      <c r="N501" s="82" t="s">
        <v>10742</v>
      </c>
      <c r="O501" s="83"/>
    </row>
    <row r="502" spans="1:15" ht="22.5" customHeight="1">
      <c r="A502" s="76">
        <v>766589657993298</v>
      </c>
      <c r="B502" s="77" t="s">
        <v>10688</v>
      </c>
      <c r="C502" s="77" t="s">
        <v>10802</v>
      </c>
      <c r="D502" s="77" t="s">
        <v>567</v>
      </c>
      <c r="E502" s="77">
        <v>6285220216325</v>
      </c>
      <c r="F502" s="84">
        <v>45827</v>
      </c>
      <c r="G502" s="79">
        <v>260</v>
      </c>
      <c r="H502" s="80">
        <v>54309.859154929574</v>
      </c>
      <c r="I502" s="72">
        <v>11</v>
      </c>
      <c r="J502" s="81">
        <v>15424</v>
      </c>
      <c r="K502" s="76">
        <v>1</v>
      </c>
      <c r="L502" s="76">
        <v>41</v>
      </c>
      <c r="M502" s="76">
        <v>0</v>
      </c>
      <c r="N502" s="82" t="s">
        <v>10803</v>
      </c>
      <c r="O502" s="83"/>
    </row>
    <row r="503" spans="1:15" ht="22.5" customHeight="1">
      <c r="A503" s="76">
        <v>766589657993298</v>
      </c>
      <c r="B503" s="77" t="s">
        <v>10688</v>
      </c>
      <c r="C503" s="77" t="s">
        <v>10752</v>
      </c>
      <c r="D503" s="77" t="s">
        <v>10753</v>
      </c>
      <c r="E503" s="77">
        <v>6281340892328</v>
      </c>
      <c r="F503" s="84">
        <v>45827</v>
      </c>
      <c r="G503" s="79">
        <v>1182</v>
      </c>
      <c r="H503" s="80">
        <v>11001.440922190202</v>
      </c>
      <c r="I503" s="72">
        <v>38</v>
      </c>
      <c r="J503" s="81">
        <v>15270</v>
      </c>
      <c r="K503" s="76">
        <v>1</v>
      </c>
      <c r="L503" s="76">
        <v>424</v>
      </c>
      <c r="M503" s="76">
        <v>1</v>
      </c>
      <c r="N503" s="82" t="s">
        <v>10754</v>
      </c>
      <c r="O503" s="83"/>
    </row>
    <row r="504" spans="1:15" ht="22.5" customHeight="1">
      <c r="A504" s="76">
        <v>766589657993298</v>
      </c>
      <c r="B504" s="77" t="s">
        <v>10688</v>
      </c>
      <c r="C504" s="77" t="s">
        <v>10746</v>
      </c>
      <c r="D504" s="77" t="s">
        <v>10747</v>
      </c>
      <c r="E504" s="77">
        <v>6281222110766</v>
      </c>
      <c r="F504" s="84">
        <v>45827</v>
      </c>
      <c r="G504" s="79">
        <v>260</v>
      </c>
      <c r="H504" s="80">
        <v>56731.343283582093</v>
      </c>
      <c r="I504" s="72">
        <v>10</v>
      </c>
      <c r="J504" s="81">
        <v>15204</v>
      </c>
      <c r="K504" s="76">
        <v>0</v>
      </c>
      <c r="L504" s="76">
        <v>160</v>
      </c>
      <c r="M504" s="76">
        <v>0</v>
      </c>
      <c r="N504" s="82" t="s">
        <v>10748</v>
      </c>
      <c r="O504" s="83"/>
    </row>
    <row r="505" spans="1:15" ht="22.5" customHeight="1">
      <c r="A505" s="76">
        <v>766589657993298</v>
      </c>
      <c r="B505" s="77" t="s">
        <v>10688</v>
      </c>
      <c r="C505" s="77" t="s">
        <v>10739</v>
      </c>
      <c r="D505" s="77" t="s">
        <v>429</v>
      </c>
      <c r="E505" s="77">
        <v>6282399006447</v>
      </c>
      <c r="F505" s="84">
        <v>45827</v>
      </c>
      <c r="G505" s="79">
        <v>1109</v>
      </c>
      <c r="H505" s="80">
        <v>13835.732430143946</v>
      </c>
      <c r="I505" s="72">
        <v>30</v>
      </c>
      <c r="J505" s="81">
        <v>16340</v>
      </c>
      <c r="K505" s="76">
        <v>2</v>
      </c>
      <c r="L505" s="76">
        <v>19</v>
      </c>
      <c r="M505" s="76">
        <v>0</v>
      </c>
      <c r="N505" s="82" t="s">
        <v>10740</v>
      </c>
      <c r="O505" s="83"/>
    </row>
    <row r="506" spans="1:15" ht="22.5" customHeight="1">
      <c r="A506" s="76">
        <v>768362231010540</v>
      </c>
      <c r="B506" s="77" t="s">
        <v>10844</v>
      </c>
      <c r="C506" s="77" t="s">
        <v>10845</v>
      </c>
      <c r="D506" s="77" t="s">
        <v>10846</v>
      </c>
      <c r="E506" s="77">
        <v>6281575323811</v>
      </c>
      <c r="F506" s="84">
        <v>45827</v>
      </c>
      <c r="G506" s="79">
        <v>626</v>
      </c>
      <c r="H506" s="80">
        <v>22466.931216931218</v>
      </c>
      <c r="I506" s="72">
        <v>17</v>
      </c>
      <c r="J506" s="81">
        <v>16985</v>
      </c>
      <c r="K506" s="76">
        <v>0</v>
      </c>
      <c r="L506" s="76">
        <v>78</v>
      </c>
      <c r="M506" s="76">
        <v>0</v>
      </c>
      <c r="N506" s="82" t="s">
        <v>10847</v>
      </c>
      <c r="O506" s="83"/>
    </row>
    <row r="507" spans="1:15" ht="22.5" customHeight="1">
      <c r="A507" s="76">
        <v>768362231010540</v>
      </c>
      <c r="B507" s="77" t="s">
        <v>10844</v>
      </c>
      <c r="C507" s="77" t="s">
        <v>10848</v>
      </c>
      <c r="D507" s="77" t="s">
        <v>7231</v>
      </c>
      <c r="E507" s="77">
        <v>6282224315700</v>
      </c>
      <c r="F507" s="84">
        <v>45827</v>
      </c>
      <c r="G507" s="79">
        <v>217</v>
      </c>
      <c r="H507" s="80">
        <v>79168.032786885247</v>
      </c>
      <c r="I507" s="72">
        <v>12</v>
      </c>
      <c r="J507" s="81">
        <v>19317</v>
      </c>
      <c r="K507" s="76">
        <v>1</v>
      </c>
      <c r="L507" s="76">
        <v>10</v>
      </c>
      <c r="M507" s="76">
        <v>0</v>
      </c>
      <c r="N507" s="82" t="s">
        <v>10849</v>
      </c>
      <c r="O507" s="83"/>
    </row>
    <row r="508" spans="1:15" ht="22.5" customHeight="1">
      <c r="A508" s="76">
        <v>759724529202804</v>
      </c>
      <c r="B508" s="77" t="s">
        <v>10621</v>
      </c>
      <c r="C508" s="77" t="s">
        <v>10850</v>
      </c>
      <c r="D508" s="77" t="s">
        <v>10851</v>
      </c>
      <c r="E508" s="77">
        <v>6282125465047</v>
      </c>
      <c r="F508" s="84">
        <v>45828</v>
      </c>
      <c r="G508" s="79">
        <v>503</v>
      </c>
      <c r="H508" s="80">
        <v>26232.804232804236</v>
      </c>
      <c r="I508" s="72">
        <v>15</v>
      </c>
      <c r="J508" s="81">
        <v>14874</v>
      </c>
      <c r="K508" s="76">
        <v>2</v>
      </c>
      <c r="L508" s="76">
        <v>15</v>
      </c>
      <c r="M508" s="76">
        <v>0</v>
      </c>
      <c r="N508" s="82" t="s">
        <v>10852</v>
      </c>
      <c r="O508" s="83"/>
    </row>
    <row r="509" spans="1:15" ht="22.5" customHeight="1">
      <c r="A509" s="76">
        <v>759724529202804</v>
      </c>
      <c r="B509" s="77" t="s">
        <v>10621</v>
      </c>
      <c r="C509" s="77" t="s">
        <v>10828</v>
      </c>
      <c r="D509" s="77" t="s">
        <v>10829</v>
      </c>
      <c r="E509" s="77">
        <v>6285642607938</v>
      </c>
      <c r="F509" s="84">
        <v>45828</v>
      </c>
      <c r="G509" s="79">
        <v>1054</v>
      </c>
      <c r="H509" s="80">
        <v>12354.531001589825</v>
      </c>
      <c r="I509" s="72">
        <v>21</v>
      </c>
      <c r="J509" s="81">
        <v>15542</v>
      </c>
      <c r="K509" s="76">
        <v>6</v>
      </c>
      <c r="L509" s="76">
        <v>29</v>
      </c>
      <c r="M509" s="76">
        <v>0</v>
      </c>
      <c r="N509" s="82" t="s">
        <v>10830</v>
      </c>
      <c r="O509" s="83"/>
    </row>
    <row r="510" spans="1:15" ht="22.5" customHeight="1">
      <c r="A510" s="76">
        <v>759724529202804</v>
      </c>
      <c r="B510" s="77" t="s">
        <v>10621</v>
      </c>
      <c r="C510" s="77" t="s">
        <v>10804</v>
      </c>
      <c r="D510" s="77" t="s">
        <v>607</v>
      </c>
      <c r="E510" s="77">
        <v>6288215545661</v>
      </c>
      <c r="F510" s="84">
        <v>45828</v>
      </c>
      <c r="G510" s="79">
        <v>456</v>
      </c>
      <c r="H510" s="80">
        <v>30311.827956989247</v>
      </c>
      <c r="I510" s="72">
        <v>14</v>
      </c>
      <c r="J510" s="81">
        <v>16914</v>
      </c>
      <c r="K510" s="76">
        <v>4</v>
      </c>
      <c r="L510" s="76">
        <v>0</v>
      </c>
      <c r="M510" s="76">
        <v>0</v>
      </c>
      <c r="N510" s="82" t="s">
        <v>10805</v>
      </c>
      <c r="O510" s="83"/>
    </row>
    <row r="511" spans="1:15" ht="22.5" customHeight="1">
      <c r="A511" s="76">
        <v>759724529202804</v>
      </c>
      <c r="B511" s="77" t="s">
        <v>10621</v>
      </c>
      <c r="C511" s="77" t="s">
        <v>332</v>
      </c>
      <c r="D511" s="77" t="s">
        <v>10708</v>
      </c>
      <c r="E511" s="77">
        <v>6282350524788</v>
      </c>
      <c r="F511" s="84">
        <v>45828</v>
      </c>
      <c r="G511" s="79">
        <v>799</v>
      </c>
      <c r="H511" s="80">
        <v>17707.36842105263</v>
      </c>
      <c r="I511" s="72">
        <v>16</v>
      </c>
      <c r="J511" s="81">
        <v>16822</v>
      </c>
      <c r="K511" s="76">
        <v>2</v>
      </c>
      <c r="L511" s="76">
        <v>25</v>
      </c>
      <c r="M511" s="76">
        <v>0</v>
      </c>
      <c r="N511" s="82" t="s">
        <v>10709</v>
      </c>
      <c r="O511" s="83"/>
    </row>
    <row r="512" spans="1:15" ht="22.5" customHeight="1">
      <c r="A512" s="76">
        <v>759724529202804</v>
      </c>
      <c r="B512" s="77" t="s">
        <v>10621</v>
      </c>
      <c r="C512" s="77" t="s">
        <v>665</v>
      </c>
      <c r="D512" s="77" t="s">
        <v>659</v>
      </c>
      <c r="E512" s="77">
        <v>6285757057088</v>
      </c>
      <c r="F512" s="84">
        <v>45828</v>
      </c>
      <c r="G512" s="79">
        <v>985</v>
      </c>
      <c r="H512" s="80">
        <v>15043.91891891892</v>
      </c>
      <c r="I512" s="72">
        <v>27</v>
      </c>
      <c r="J512" s="81">
        <v>17812</v>
      </c>
      <c r="K512" s="76">
        <v>1</v>
      </c>
      <c r="L512" s="76">
        <v>0</v>
      </c>
      <c r="M512" s="76">
        <v>0</v>
      </c>
      <c r="N512" s="82" t="s">
        <v>10636</v>
      </c>
      <c r="O512" s="83"/>
    </row>
    <row r="513" spans="1:15" ht="22.5" customHeight="1">
      <c r="A513" s="76">
        <v>174904221976312</v>
      </c>
      <c r="B513" s="77" t="s">
        <v>10651</v>
      </c>
      <c r="C513" s="77" t="s">
        <v>10853</v>
      </c>
      <c r="D513" s="77" t="s">
        <v>10854</v>
      </c>
      <c r="E513" s="77">
        <v>6281393958199</v>
      </c>
      <c r="F513" s="84">
        <v>45828</v>
      </c>
      <c r="G513" s="79">
        <v>294</v>
      </c>
      <c r="H513" s="80">
        <v>31981.366459627327</v>
      </c>
      <c r="I513" s="72">
        <v>7</v>
      </c>
      <c r="J513" s="81">
        <v>10298</v>
      </c>
      <c r="K513" s="76">
        <v>1</v>
      </c>
      <c r="L513" s="76">
        <v>0</v>
      </c>
      <c r="M513" s="76">
        <v>0</v>
      </c>
      <c r="N513" s="82" t="s">
        <v>10855</v>
      </c>
      <c r="O513" s="83"/>
    </row>
    <row r="514" spans="1:15" ht="22.5" customHeight="1">
      <c r="A514" s="76">
        <v>174904221976312</v>
      </c>
      <c r="B514" s="77" t="s">
        <v>10651</v>
      </c>
      <c r="C514" s="77" t="s">
        <v>10856</v>
      </c>
      <c r="D514" s="77" t="s">
        <v>829</v>
      </c>
      <c r="E514" s="77">
        <v>6285725492572</v>
      </c>
      <c r="F514" s="84">
        <v>45828</v>
      </c>
      <c r="G514" s="79">
        <v>246</v>
      </c>
      <c r="H514" s="80">
        <v>39347.985347985348</v>
      </c>
      <c r="I514" s="72">
        <v>9</v>
      </c>
      <c r="J514" s="81">
        <v>10742</v>
      </c>
      <c r="K514" s="76">
        <v>1</v>
      </c>
      <c r="L514" s="76">
        <v>82</v>
      </c>
      <c r="M514" s="76">
        <v>0</v>
      </c>
      <c r="N514" s="82" t="s">
        <v>10857</v>
      </c>
      <c r="O514" s="83"/>
    </row>
    <row r="515" spans="1:15" ht="22.5" customHeight="1">
      <c r="A515" s="76">
        <v>174904221976312</v>
      </c>
      <c r="B515" s="77" t="s">
        <v>10651</v>
      </c>
      <c r="C515" s="77" t="s">
        <v>10858</v>
      </c>
      <c r="D515" s="77" t="s">
        <v>10859</v>
      </c>
      <c r="E515" s="77">
        <v>6285227384634</v>
      </c>
      <c r="F515" s="84">
        <v>45828</v>
      </c>
      <c r="G515" s="79">
        <v>515</v>
      </c>
      <c r="H515" s="80">
        <v>20216.887417218542</v>
      </c>
      <c r="I515" s="72">
        <v>14</v>
      </c>
      <c r="J515" s="81">
        <v>12211</v>
      </c>
      <c r="K515" s="76">
        <v>3</v>
      </c>
      <c r="L515" s="76">
        <v>0</v>
      </c>
      <c r="M515" s="76">
        <v>0</v>
      </c>
      <c r="N515" s="82" t="s">
        <v>10860</v>
      </c>
      <c r="O515" s="83"/>
    </row>
    <row r="516" spans="1:15" ht="22.5" customHeight="1">
      <c r="A516" s="76">
        <v>174904221976312</v>
      </c>
      <c r="B516" s="77" t="s">
        <v>10651</v>
      </c>
      <c r="C516" s="77" t="s">
        <v>818</v>
      </c>
      <c r="D516" s="77" t="s">
        <v>812</v>
      </c>
      <c r="E516" s="77">
        <v>6287858585808</v>
      </c>
      <c r="F516" s="84">
        <v>45828</v>
      </c>
      <c r="G516" s="79">
        <v>771</v>
      </c>
      <c r="H516" s="80">
        <v>15393.728222996515</v>
      </c>
      <c r="I516" s="72">
        <v>16</v>
      </c>
      <c r="J516" s="81">
        <v>13254</v>
      </c>
      <c r="K516" s="76">
        <v>4</v>
      </c>
      <c r="L516" s="76">
        <v>209</v>
      </c>
      <c r="M516" s="76">
        <v>0</v>
      </c>
      <c r="N516" s="82" t="s">
        <v>10831</v>
      </c>
      <c r="O516" s="83"/>
    </row>
    <row r="517" spans="1:15" ht="22.5" customHeight="1">
      <c r="A517" s="76">
        <v>174904221976312</v>
      </c>
      <c r="B517" s="77" t="s">
        <v>10651</v>
      </c>
      <c r="C517" s="77" t="s">
        <v>10806</v>
      </c>
      <c r="D517" s="77" t="s">
        <v>10807</v>
      </c>
      <c r="E517" s="77">
        <v>628127962347</v>
      </c>
      <c r="F517" s="84">
        <v>45828</v>
      </c>
      <c r="G517" s="79">
        <v>137</v>
      </c>
      <c r="H517" s="80">
        <v>93295.774647887331</v>
      </c>
      <c r="I517" s="72">
        <v>7</v>
      </c>
      <c r="J517" s="81">
        <v>13248</v>
      </c>
      <c r="K517" s="76">
        <v>4</v>
      </c>
      <c r="L517" s="76">
        <v>7</v>
      </c>
      <c r="M517" s="76">
        <v>0</v>
      </c>
      <c r="N517" s="82" t="s">
        <v>10808</v>
      </c>
      <c r="O517" s="83"/>
    </row>
    <row r="518" spans="1:15" ht="22.5" customHeight="1">
      <c r="A518" s="76">
        <v>174904221976312</v>
      </c>
      <c r="B518" s="77" t="s">
        <v>10651</v>
      </c>
      <c r="C518" s="77" t="s">
        <v>10809</v>
      </c>
      <c r="D518" s="77" t="s">
        <v>634</v>
      </c>
      <c r="E518" s="77">
        <v>6282258886603</v>
      </c>
      <c r="F518" s="84">
        <v>45828</v>
      </c>
      <c r="G518" s="79">
        <v>329</v>
      </c>
      <c r="H518" s="80">
        <v>27157.760814249363</v>
      </c>
      <c r="I518" s="72">
        <v>9</v>
      </c>
      <c r="J518" s="81">
        <v>10673</v>
      </c>
      <c r="K518" s="76">
        <v>1</v>
      </c>
      <c r="L518" s="76">
        <v>0</v>
      </c>
      <c r="M518" s="76">
        <v>0</v>
      </c>
      <c r="N518" s="82" t="s">
        <v>10810</v>
      </c>
      <c r="O518" s="83"/>
    </row>
    <row r="519" spans="1:15" ht="22.5" customHeight="1">
      <c r="A519" s="76">
        <v>174904221976312</v>
      </c>
      <c r="B519" s="77" t="s">
        <v>10651</v>
      </c>
      <c r="C519" s="77" t="s">
        <v>10815</v>
      </c>
      <c r="D519" s="77" t="s">
        <v>651</v>
      </c>
      <c r="E519" s="77">
        <v>6281905836259</v>
      </c>
      <c r="F519" s="84">
        <v>45828</v>
      </c>
      <c r="G519" s="79">
        <v>328</v>
      </c>
      <c r="H519" s="80">
        <v>34878.048780487799</v>
      </c>
      <c r="I519" s="72">
        <v>8</v>
      </c>
      <c r="J519" s="81">
        <v>12870</v>
      </c>
      <c r="K519" s="76">
        <v>0</v>
      </c>
      <c r="L519" s="76">
        <v>0</v>
      </c>
      <c r="M519" s="76">
        <v>1</v>
      </c>
      <c r="N519" s="82" t="s">
        <v>10816</v>
      </c>
      <c r="O519" s="83"/>
    </row>
    <row r="520" spans="1:15" ht="22.5" customHeight="1">
      <c r="A520" s="76">
        <v>174904221976312</v>
      </c>
      <c r="B520" s="77" t="s">
        <v>10651</v>
      </c>
      <c r="C520" s="77" t="s">
        <v>10770</v>
      </c>
      <c r="D520" s="77" t="s">
        <v>444</v>
      </c>
      <c r="F520" s="84">
        <v>45828</v>
      </c>
      <c r="G520" s="79">
        <v>10048</v>
      </c>
      <c r="H520" s="80">
        <v>1312.2890609489775</v>
      </c>
      <c r="I520" s="72">
        <v>8</v>
      </c>
      <c r="J520" s="81">
        <v>13220</v>
      </c>
      <c r="K520" s="76">
        <v>0</v>
      </c>
      <c r="L520" s="76">
        <v>369</v>
      </c>
      <c r="M520" s="76">
        <v>0</v>
      </c>
      <c r="N520" s="82" t="s">
        <v>10771</v>
      </c>
      <c r="O520" s="83"/>
    </row>
    <row r="521" spans="1:15" ht="22.5" customHeight="1">
      <c r="A521" s="76">
        <v>174904221976312</v>
      </c>
      <c r="B521" s="77" t="s">
        <v>10651</v>
      </c>
      <c r="C521" s="77" t="s">
        <v>399</v>
      </c>
      <c r="D521" s="77" t="s">
        <v>394</v>
      </c>
      <c r="F521" s="84">
        <v>45828</v>
      </c>
      <c r="G521" s="79">
        <v>3456</v>
      </c>
      <c r="H521" s="80">
        <v>3776.7659365001227</v>
      </c>
      <c r="I521" s="72">
        <v>74</v>
      </c>
      <c r="J521" s="81">
        <v>15345</v>
      </c>
      <c r="K521" s="76">
        <v>5</v>
      </c>
      <c r="L521" s="76">
        <v>927</v>
      </c>
      <c r="M521" s="76">
        <v>0</v>
      </c>
      <c r="N521" s="82" t="s">
        <v>10749</v>
      </c>
      <c r="O521" s="83"/>
    </row>
    <row r="522" spans="1:15" ht="22.5" customHeight="1">
      <c r="A522" s="76">
        <v>174904221976312</v>
      </c>
      <c r="B522" s="77" t="s">
        <v>10651</v>
      </c>
      <c r="C522" s="77" t="s">
        <v>10778</v>
      </c>
      <c r="D522" s="77" t="s">
        <v>3140</v>
      </c>
      <c r="F522" s="84">
        <v>45828</v>
      </c>
      <c r="G522" s="79">
        <v>5128</v>
      </c>
      <c r="H522" s="80">
        <v>4139.4829830760655</v>
      </c>
      <c r="I522" s="72">
        <v>75</v>
      </c>
      <c r="J522" s="81">
        <v>22258</v>
      </c>
      <c r="K522" s="76">
        <v>0</v>
      </c>
      <c r="L522" s="76">
        <v>944</v>
      </c>
      <c r="M522" s="76">
        <v>0</v>
      </c>
      <c r="N522" s="82" t="s">
        <v>10779</v>
      </c>
      <c r="O522" s="83"/>
    </row>
    <row r="523" spans="1:15" ht="22.5" customHeight="1">
      <c r="A523" s="76">
        <v>174904221976312</v>
      </c>
      <c r="B523" s="77" t="s">
        <v>10651</v>
      </c>
      <c r="C523" s="77" t="s">
        <v>10652</v>
      </c>
      <c r="D523" s="77" t="s">
        <v>10653</v>
      </c>
      <c r="E523" s="77">
        <v>6281348555887</v>
      </c>
      <c r="F523" s="84">
        <v>45828</v>
      </c>
      <c r="G523" s="79">
        <v>1194</v>
      </c>
      <c r="H523" s="80">
        <v>10411.583011583012</v>
      </c>
      <c r="I523" s="72">
        <v>28</v>
      </c>
      <c r="J523" s="81">
        <v>13483</v>
      </c>
      <c r="K523" s="76">
        <v>0</v>
      </c>
      <c r="L523" s="76">
        <v>345</v>
      </c>
      <c r="M523" s="76">
        <v>0</v>
      </c>
      <c r="N523" s="82" t="s">
        <v>10654</v>
      </c>
      <c r="O523" s="83"/>
    </row>
    <row r="524" spans="1:15" ht="22.5" customHeight="1">
      <c r="A524" s="76">
        <v>174904221976312</v>
      </c>
      <c r="B524" s="77" t="s">
        <v>10651</v>
      </c>
      <c r="C524" s="77" t="s">
        <v>10833</v>
      </c>
      <c r="D524" s="77" t="s">
        <v>10834</v>
      </c>
      <c r="E524" s="77">
        <v>6282242925264</v>
      </c>
      <c r="F524" s="84">
        <v>45828</v>
      </c>
      <c r="G524" s="79">
        <v>2280</v>
      </c>
      <c r="H524" s="80">
        <v>6700.3297609233305</v>
      </c>
      <c r="I524" s="72">
        <v>83</v>
      </c>
      <c r="J524" s="81">
        <v>16255</v>
      </c>
      <c r="K524" s="76">
        <v>4</v>
      </c>
      <c r="L524" s="76">
        <v>722</v>
      </c>
      <c r="M524" s="76">
        <v>0</v>
      </c>
      <c r="N524" s="82" t="s">
        <v>10835</v>
      </c>
      <c r="O524" s="83"/>
    </row>
    <row r="525" spans="1:15" ht="22.5" customHeight="1">
      <c r="A525" s="76">
        <v>766589657993298</v>
      </c>
      <c r="B525" s="77" t="s">
        <v>10688</v>
      </c>
      <c r="C525" s="77" t="s">
        <v>10861</v>
      </c>
      <c r="D525" s="77" t="s">
        <v>795</v>
      </c>
      <c r="E525" s="77">
        <v>6287877805175</v>
      </c>
      <c r="F525" s="84">
        <v>45828</v>
      </c>
      <c r="G525" s="79">
        <v>284</v>
      </c>
      <c r="H525" s="80">
        <v>41397.435897435898</v>
      </c>
      <c r="I525" s="72">
        <v>3</v>
      </c>
      <c r="J525" s="81">
        <v>12916</v>
      </c>
      <c r="K525" s="76">
        <v>0</v>
      </c>
      <c r="L525" s="76">
        <v>0</v>
      </c>
      <c r="M525" s="76">
        <v>0</v>
      </c>
      <c r="N525" s="82" t="s">
        <v>10862</v>
      </c>
      <c r="O525" s="83"/>
    </row>
    <row r="526" spans="1:15" ht="22.5" customHeight="1">
      <c r="A526" s="76">
        <v>766589657993298</v>
      </c>
      <c r="B526" s="77" t="s">
        <v>10688</v>
      </c>
      <c r="C526" s="77" t="s">
        <v>10836</v>
      </c>
      <c r="D526" s="77" t="s">
        <v>780</v>
      </c>
      <c r="E526" s="77">
        <v>6283866009989</v>
      </c>
      <c r="F526" s="84">
        <v>45828</v>
      </c>
      <c r="G526" s="79">
        <v>589</v>
      </c>
      <c r="H526" s="80">
        <v>22007.072135785005</v>
      </c>
      <c r="I526" s="72">
        <v>9</v>
      </c>
      <c r="J526" s="81">
        <v>15559</v>
      </c>
      <c r="K526" s="76">
        <v>2</v>
      </c>
      <c r="L526" s="76">
        <v>436</v>
      </c>
      <c r="M526" s="76">
        <v>0</v>
      </c>
      <c r="N526" s="82" t="s">
        <v>10837</v>
      </c>
      <c r="O526" s="83"/>
    </row>
    <row r="527" spans="1:15" ht="22.5" customHeight="1">
      <c r="A527" s="76">
        <v>766589657993298</v>
      </c>
      <c r="B527" s="77" t="s">
        <v>10688</v>
      </c>
      <c r="C527" s="77" t="s">
        <v>727</v>
      </c>
      <c r="D527" s="77" t="s">
        <v>10838</v>
      </c>
      <c r="E527" s="77">
        <v>6282324392716</v>
      </c>
      <c r="F527" s="84">
        <v>45828</v>
      </c>
      <c r="G527" s="79">
        <v>288</v>
      </c>
      <c r="H527" s="80">
        <v>50525.477707006365</v>
      </c>
      <c r="I527" s="72">
        <v>5</v>
      </c>
      <c r="J527" s="81">
        <v>15865</v>
      </c>
      <c r="K527" s="76">
        <v>2</v>
      </c>
      <c r="L527" s="76">
        <v>0</v>
      </c>
      <c r="M527" s="76">
        <v>0</v>
      </c>
      <c r="N527" s="82" t="s">
        <v>10839</v>
      </c>
      <c r="O527" s="83"/>
    </row>
    <row r="528" spans="1:15" ht="22.5" customHeight="1">
      <c r="A528" s="76">
        <v>766589657993298</v>
      </c>
      <c r="B528" s="77" t="s">
        <v>10688</v>
      </c>
      <c r="C528" s="77" t="s">
        <v>720</v>
      </c>
      <c r="D528" s="77" t="s">
        <v>10840</v>
      </c>
      <c r="E528" s="77">
        <v>6282141603091</v>
      </c>
      <c r="F528" s="84">
        <v>45828</v>
      </c>
      <c r="G528" s="79">
        <v>316</v>
      </c>
      <c r="H528" s="80">
        <v>44494.252873563222</v>
      </c>
      <c r="I528" s="72">
        <v>10</v>
      </c>
      <c r="J528" s="81">
        <v>15484</v>
      </c>
      <c r="K528" s="76">
        <v>2</v>
      </c>
      <c r="L528" s="76">
        <v>0</v>
      </c>
      <c r="M528" s="76">
        <v>1</v>
      </c>
      <c r="N528" s="82" t="s">
        <v>10841</v>
      </c>
      <c r="O528" s="83"/>
    </row>
    <row r="529" spans="1:15" ht="22.5" customHeight="1">
      <c r="A529" s="76">
        <v>766589657993298</v>
      </c>
      <c r="B529" s="77" t="s">
        <v>10688</v>
      </c>
      <c r="C529" s="77" t="s">
        <v>10818</v>
      </c>
      <c r="D529" s="77" t="s">
        <v>700</v>
      </c>
      <c r="E529" s="77">
        <v>6281632236409</v>
      </c>
      <c r="F529" s="84">
        <v>45828</v>
      </c>
      <c r="G529" s="79">
        <v>530</v>
      </c>
      <c r="H529" s="80">
        <v>23639.517345399701</v>
      </c>
      <c r="I529" s="72">
        <v>8</v>
      </c>
      <c r="J529" s="81">
        <v>15673</v>
      </c>
      <c r="K529" s="76">
        <v>0</v>
      </c>
      <c r="L529" s="76">
        <v>1</v>
      </c>
      <c r="M529" s="76">
        <v>0</v>
      </c>
      <c r="N529" s="82" t="s">
        <v>10819</v>
      </c>
      <c r="O529" s="83"/>
    </row>
    <row r="530" spans="1:15" ht="22.5" customHeight="1">
      <c r="A530" s="76">
        <v>766589657993298</v>
      </c>
      <c r="B530" s="77" t="s">
        <v>10688</v>
      </c>
      <c r="C530" s="77" t="s">
        <v>469</v>
      </c>
      <c r="D530" s="77" t="s">
        <v>10820</v>
      </c>
      <c r="E530" s="77">
        <v>6282255726295</v>
      </c>
      <c r="F530" s="84">
        <v>45828</v>
      </c>
      <c r="G530" s="79">
        <v>1716</v>
      </c>
      <c r="H530" s="80">
        <v>8385.2065321805949</v>
      </c>
      <c r="I530" s="72">
        <v>83</v>
      </c>
      <c r="J530" s="81">
        <v>17458</v>
      </c>
      <c r="K530" s="76">
        <v>2</v>
      </c>
      <c r="L530" s="76">
        <v>725</v>
      </c>
      <c r="M530" s="76">
        <v>1</v>
      </c>
      <c r="N530" s="82" t="s">
        <v>10821</v>
      </c>
      <c r="O530" s="83"/>
    </row>
    <row r="531" spans="1:15" ht="22.5" customHeight="1">
      <c r="A531" s="76">
        <v>766589657993298</v>
      </c>
      <c r="B531" s="77" t="s">
        <v>10688</v>
      </c>
      <c r="C531" s="77" t="s">
        <v>10822</v>
      </c>
      <c r="D531" s="77" t="s">
        <v>676</v>
      </c>
      <c r="E531" s="77">
        <v>6281316155059</v>
      </c>
      <c r="F531" s="84">
        <v>45828</v>
      </c>
      <c r="G531" s="79">
        <v>254</v>
      </c>
      <c r="H531" s="80">
        <v>59007.32600732601</v>
      </c>
      <c r="I531" s="72">
        <v>4</v>
      </c>
      <c r="J531" s="81">
        <v>16109</v>
      </c>
      <c r="K531" s="76">
        <v>0</v>
      </c>
      <c r="L531" s="76">
        <v>2</v>
      </c>
      <c r="M531" s="76">
        <v>0</v>
      </c>
      <c r="N531" s="82" t="s">
        <v>10823</v>
      </c>
      <c r="O531" s="83"/>
    </row>
    <row r="532" spans="1:15" ht="22.5" customHeight="1">
      <c r="A532" s="76">
        <v>766589657993298</v>
      </c>
      <c r="B532" s="77" t="s">
        <v>10688</v>
      </c>
      <c r="C532" s="77" t="s">
        <v>10825</v>
      </c>
      <c r="D532" s="77" t="s">
        <v>10826</v>
      </c>
      <c r="E532" s="77">
        <v>6289523308892</v>
      </c>
      <c r="F532" s="84">
        <v>45828</v>
      </c>
      <c r="G532" s="79">
        <v>783</v>
      </c>
      <c r="H532" s="80">
        <v>18316.26848691695</v>
      </c>
      <c r="I532" s="72">
        <v>12</v>
      </c>
      <c r="J532" s="81">
        <v>16100</v>
      </c>
      <c r="K532" s="76">
        <v>2</v>
      </c>
      <c r="L532" s="76">
        <v>0</v>
      </c>
      <c r="M532" s="76">
        <v>0</v>
      </c>
      <c r="N532" s="82" t="s">
        <v>10827</v>
      </c>
      <c r="O532" s="83"/>
    </row>
    <row r="533" spans="1:15" ht="22.5" customHeight="1">
      <c r="A533" s="76">
        <v>766589657993298</v>
      </c>
      <c r="B533" s="77" t="s">
        <v>10688</v>
      </c>
      <c r="C533" s="77" t="s">
        <v>10780</v>
      </c>
      <c r="D533" s="77" t="s">
        <v>10781</v>
      </c>
      <c r="E533" s="77">
        <v>6281338789995</v>
      </c>
      <c r="F533" s="84">
        <v>45828</v>
      </c>
      <c r="G533" s="79">
        <v>833</v>
      </c>
      <c r="H533" s="80">
        <v>18006.849315068492</v>
      </c>
      <c r="I533" s="72">
        <v>21</v>
      </c>
      <c r="J533" s="81">
        <v>15774</v>
      </c>
      <c r="K533" s="76">
        <v>2</v>
      </c>
      <c r="L533" s="76">
        <v>238</v>
      </c>
      <c r="M533" s="76">
        <v>0</v>
      </c>
      <c r="N533" s="82" t="s">
        <v>10782</v>
      </c>
      <c r="O533" s="83"/>
    </row>
    <row r="534" spans="1:15" ht="22.5" customHeight="1">
      <c r="A534" s="76">
        <v>766589657993298</v>
      </c>
      <c r="B534" s="77" t="s">
        <v>10688</v>
      </c>
      <c r="C534" s="77" t="s">
        <v>10783</v>
      </c>
      <c r="D534" s="77" t="s">
        <v>10784</v>
      </c>
      <c r="E534" s="77">
        <v>6282162580404</v>
      </c>
      <c r="F534" s="84">
        <v>45828</v>
      </c>
      <c r="G534" s="79">
        <v>233</v>
      </c>
      <c r="H534" s="80">
        <v>65792.828685258966</v>
      </c>
      <c r="I534" s="72">
        <v>6</v>
      </c>
      <c r="J534" s="81">
        <v>16514</v>
      </c>
      <c r="K534" s="76">
        <v>1</v>
      </c>
      <c r="L534" s="76">
        <v>8</v>
      </c>
      <c r="M534" s="76">
        <v>0</v>
      </c>
      <c r="N534" s="82" t="s">
        <v>10785</v>
      </c>
      <c r="O534" s="83"/>
    </row>
    <row r="535" spans="1:15" ht="22.5" customHeight="1">
      <c r="A535" s="76">
        <v>766589657993298</v>
      </c>
      <c r="B535" s="77" t="s">
        <v>10688</v>
      </c>
      <c r="C535" s="77" t="s">
        <v>10786</v>
      </c>
      <c r="D535" s="77" t="s">
        <v>739</v>
      </c>
      <c r="E535" s="77">
        <v>628122102657</v>
      </c>
      <c r="F535" s="84">
        <v>45828</v>
      </c>
      <c r="G535" s="79">
        <v>627</v>
      </c>
      <c r="H535" s="80">
        <v>22573.049645390071</v>
      </c>
      <c r="I535" s="72">
        <v>15</v>
      </c>
      <c r="J535" s="81">
        <v>15914</v>
      </c>
      <c r="K535" s="76">
        <v>1</v>
      </c>
      <c r="L535" s="76">
        <v>161</v>
      </c>
      <c r="M535" s="76">
        <v>0</v>
      </c>
      <c r="N535" s="82" t="s">
        <v>10787</v>
      </c>
      <c r="O535" s="83"/>
    </row>
    <row r="536" spans="1:15" ht="22.5" customHeight="1">
      <c r="A536" s="76">
        <v>766589657993298</v>
      </c>
      <c r="B536" s="77" t="s">
        <v>10688</v>
      </c>
      <c r="C536" s="77" t="s">
        <v>10788</v>
      </c>
      <c r="D536" s="77" t="s">
        <v>421</v>
      </c>
      <c r="F536" s="84">
        <v>45828</v>
      </c>
      <c r="G536" s="79">
        <v>492</v>
      </c>
      <c r="H536" s="80">
        <v>30588.461538461539</v>
      </c>
      <c r="I536" s="72">
        <v>8</v>
      </c>
      <c r="J536" s="81">
        <v>15906</v>
      </c>
      <c r="K536" s="76">
        <v>0</v>
      </c>
      <c r="L536" s="76">
        <v>57</v>
      </c>
      <c r="M536" s="76">
        <v>0</v>
      </c>
      <c r="N536" s="82" t="s">
        <v>10789</v>
      </c>
      <c r="O536" s="83"/>
    </row>
    <row r="537" spans="1:15" ht="22.5" customHeight="1">
      <c r="A537" s="76">
        <v>766589657993298</v>
      </c>
      <c r="B537" s="77" t="s">
        <v>10688</v>
      </c>
      <c r="C537" s="77" t="s">
        <v>10772</v>
      </c>
      <c r="D537" s="77" t="s">
        <v>10773</v>
      </c>
      <c r="E537" s="77">
        <v>6285261023204</v>
      </c>
      <c r="F537" s="84">
        <v>45828</v>
      </c>
      <c r="G537" s="79">
        <v>273</v>
      </c>
      <c r="H537" s="80">
        <v>50621.993127147769</v>
      </c>
      <c r="I537" s="72">
        <v>4</v>
      </c>
      <c r="J537" s="81">
        <v>14731</v>
      </c>
      <c r="K537" s="76">
        <v>2</v>
      </c>
      <c r="L537" s="76">
        <v>46</v>
      </c>
      <c r="M537" s="76">
        <v>0</v>
      </c>
      <c r="N537" s="82" t="s">
        <v>10774</v>
      </c>
      <c r="O537" s="83"/>
    </row>
    <row r="538" spans="1:15" ht="22.5" customHeight="1">
      <c r="A538" s="76">
        <v>766589657993298</v>
      </c>
      <c r="B538" s="77" t="s">
        <v>10688</v>
      </c>
      <c r="C538" s="77" t="s">
        <v>10762</v>
      </c>
      <c r="D538" s="77" t="s">
        <v>10763</v>
      </c>
      <c r="E538" s="77">
        <v>6285210107607</v>
      </c>
      <c r="F538" s="84">
        <v>45828</v>
      </c>
      <c r="G538" s="79">
        <v>1078</v>
      </c>
      <c r="H538" s="80">
        <v>16305.882352941175</v>
      </c>
      <c r="I538" s="72">
        <v>13</v>
      </c>
      <c r="J538" s="81">
        <v>19404</v>
      </c>
      <c r="K538" s="76">
        <v>2</v>
      </c>
      <c r="L538" s="76">
        <v>290</v>
      </c>
      <c r="M538" s="76">
        <v>0</v>
      </c>
      <c r="N538" s="82" t="s">
        <v>10764</v>
      </c>
      <c r="O538" s="83"/>
    </row>
    <row r="539" spans="1:15" ht="22.5" customHeight="1">
      <c r="A539" s="76">
        <v>766589657993298</v>
      </c>
      <c r="B539" s="77" t="s">
        <v>10688</v>
      </c>
      <c r="C539" s="77" t="s">
        <v>10842</v>
      </c>
      <c r="D539" s="77" t="s">
        <v>594</v>
      </c>
      <c r="E539" s="77">
        <v>6283185169816</v>
      </c>
      <c r="F539" s="84">
        <v>45828</v>
      </c>
      <c r="G539" s="79">
        <v>425</v>
      </c>
      <c r="H539" s="80">
        <v>31121.900826446283</v>
      </c>
      <c r="I539" s="72">
        <v>14</v>
      </c>
      <c r="J539" s="81">
        <v>15063</v>
      </c>
      <c r="K539" s="76">
        <v>3</v>
      </c>
      <c r="L539" s="76">
        <v>57</v>
      </c>
      <c r="M539" s="76">
        <v>0</v>
      </c>
      <c r="N539" s="82" t="s">
        <v>10843</v>
      </c>
      <c r="O539" s="83"/>
    </row>
    <row r="540" spans="1:15" ht="22.5" customHeight="1">
      <c r="A540" s="76">
        <v>766589657993298</v>
      </c>
      <c r="B540" s="77" t="s">
        <v>10688</v>
      </c>
      <c r="C540" s="77" t="s">
        <v>10795</v>
      </c>
      <c r="D540" s="77" t="s">
        <v>551</v>
      </c>
      <c r="E540" s="77">
        <v>6285747906282</v>
      </c>
      <c r="F540" s="84">
        <v>45828</v>
      </c>
      <c r="G540" s="79">
        <v>533</v>
      </c>
      <c r="H540" s="80">
        <v>25191.387559808612</v>
      </c>
      <c r="I540" s="72">
        <v>14</v>
      </c>
      <c r="J540" s="81">
        <v>15795</v>
      </c>
      <c r="K540" s="76">
        <v>3</v>
      </c>
      <c r="L540" s="76">
        <v>0</v>
      </c>
      <c r="M540" s="76">
        <v>0</v>
      </c>
      <c r="N540" s="82" t="s">
        <v>10796</v>
      </c>
      <c r="O540" s="83"/>
    </row>
    <row r="541" spans="1:15" ht="22.5" customHeight="1">
      <c r="A541" s="76">
        <v>766589657993298</v>
      </c>
      <c r="B541" s="77" t="s">
        <v>10688</v>
      </c>
      <c r="C541" s="77" t="s">
        <v>10767</v>
      </c>
      <c r="D541" s="77" t="s">
        <v>10768</v>
      </c>
      <c r="E541" s="77">
        <v>6281519225886</v>
      </c>
      <c r="F541" s="84">
        <v>45828</v>
      </c>
      <c r="G541" s="79">
        <v>373</v>
      </c>
      <c r="H541" s="80">
        <v>35696.230598669623</v>
      </c>
      <c r="I541" s="72">
        <v>13</v>
      </c>
      <c r="J541" s="81">
        <v>16099</v>
      </c>
      <c r="K541" s="76">
        <v>5</v>
      </c>
      <c r="L541" s="76">
        <v>23</v>
      </c>
      <c r="M541" s="76">
        <v>0</v>
      </c>
      <c r="N541" s="82" t="s">
        <v>10769</v>
      </c>
      <c r="O541" s="83"/>
    </row>
    <row r="542" spans="1:15" ht="22.5" customHeight="1">
      <c r="A542" s="76">
        <v>766589657993298</v>
      </c>
      <c r="B542" s="77" t="s">
        <v>10688</v>
      </c>
      <c r="C542" s="77" t="s">
        <v>10797</v>
      </c>
      <c r="D542" s="77" t="s">
        <v>10798</v>
      </c>
      <c r="E542" s="77">
        <v>6285853370682</v>
      </c>
      <c r="F542" s="84">
        <v>45828</v>
      </c>
      <c r="G542" s="79">
        <v>611</v>
      </c>
      <c r="H542" s="80">
        <v>23324.675324675325</v>
      </c>
      <c r="I542" s="72">
        <v>11</v>
      </c>
      <c r="J542" s="81">
        <v>16164</v>
      </c>
      <c r="K542" s="76">
        <v>0</v>
      </c>
      <c r="L542" s="76">
        <v>180</v>
      </c>
      <c r="M542" s="76">
        <v>0</v>
      </c>
      <c r="N542" s="82" t="s">
        <v>10799</v>
      </c>
      <c r="O542" s="83"/>
    </row>
    <row r="543" spans="1:15" ht="22.5" customHeight="1">
      <c r="A543" s="76">
        <v>766589657993298</v>
      </c>
      <c r="B543" s="77" t="s">
        <v>10688</v>
      </c>
      <c r="C543" s="77" t="s">
        <v>10741</v>
      </c>
      <c r="D543" s="77" t="s">
        <v>559</v>
      </c>
      <c r="E543" s="77">
        <v>6281952482523</v>
      </c>
      <c r="F543" s="84">
        <v>45828</v>
      </c>
      <c r="G543" s="79">
        <v>391</v>
      </c>
      <c r="H543" s="80">
        <v>38604.705882352937</v>
      </c>
      <c r="I543" s="72">
        <v>16</v>
      </c>
      <c r="J543" s="81">
        <v>16407</v>
      </c>
      <c r="K543" s="76">
        <v>1</v>
      </c>
      <c r="L543" s="76">
        <v>222</v>
      </c>
      <c r="M543" s="76">
        <v>0</v>
      </c>
      <c r="N543" s="82" t="s">
        <v>10742</v>
      </c>
      <c r="O543" s="83"/>
    </row>
    <row r="544" spans="1:15" ht="22.5" customHeight="1">
      <c r="A544" s="76">
        <v>766589657993298</v>
      </c>
      <c r="B544" s="77" t="s">
        <v>10688</v>
      </c>
      <c r="C544" s="77" t="s">
        <v>10802</v>
      </c>
      <c r="D544" s="77" t="s">
        <v>567</v>
      </c>
      <c r="E544" s="77">
        <v>6285220216325</v>
      </c>
      <c r="F544" s="84">
        <v>45828</v>
      </c>
      <c r="G544" s="79">
        <v>253</v>
      </c>
      <c r="H544" s="80">
        <v>54213.28671328671</v>
      </c>
      <c r="I544" s="72">
        <v>8</v>
      </c>
      <c r="J544" s="81">
        <v>15505</v>
      </c>
      <c r="K544" s="76">
        <v>1</v>
      </c>
      <c r="L544" s="76">
        <v>55</v>
      </c>
      <c r="M544" s="76">
        <v>0</v>
      </c>
      <c r="N544" s="82" t="s">
        <v>10803</v>
      </c>
      <c r="O544" s="83"/>
    </row>
    <row r="545" spans="1:15" ht="22.5" customHeight="1">
      <c r="A545" s="76">
        <v>766589657993298</v>
      </c>
      <c r="B545" s="77" t="s">
        <v>10688</v>
      </c>
      <c r="C545" s="77" t="s">
        <v>10752</v>
      </c>
      <c r="D545" s="77" t="s">
        <v>10753</v>
      </c>
      <c r="E545" s="77">
        <v>6281340892328</v>
      </c>
      <c r="F545" s="84">
        <v>45828</v>
      </c>
      <c r="G545" s="79">
        <v>1702</v>
      </c>
      <c r="H545" s="80">
        <v>9024.4432373709933</v>
      </c>
      <c r="I545" s="72">
        <v>34</v>
      </c>
      <c r="J545" s="81">
        <v>16614</v>
      </c>
      <c r="K545" s="76">
        <v>1</v>
      </c>
      <c r="L545" s="76">
        <v>532</v>
      </c>
      <c r="M545" s="76">
        <v>1</v>
      </c>
      <c r="N545" s="82" t="s">
        <v>10754</v>
      </c>
      <c r="O545" s="83"/>
    </row>
    <row r="546" spans="1:15" ht="22.5" customHeight="1">
      <c r="A546" s="76">
        <v>766589657993298</v>
      </c>
      <c r="B546" s="77" t="s">
        <v>10688</v>
      </c>
      <c r="C546" s="77" t="s">
        <v>10739</v>
      </c>
      <c r="D546" s="77" t="s">
        <v>429</v>
      </c>
      <c r="E546" s="77">
        <v>6282399006447</v>
      </c>
      <c r="F546" s="84">
        <v>45828</v>
      </c>
      <c r="G546" s="79">
        <v>866</v>
      </c>
      <c r="H546" s="80">
        <v>17685.005393743257</v>
      </c>
      <c r="I546" s="72">
        <v>17</v>
      </c>
      <c r="J546" s="81">
        <v>16394</v>
      </c>
      <c r="K546" s="76">
        <v>2</v>
      </c>
      <c r="L546" s="76">
        <v>435</v>
      </c>
      <c r="M546" s="76">
        <v>0</v>
      </c>
      <c r="N546" s="82" t="s">
        <v>10740</v>
      </c>
      <c r="O546" s="83"/>
    </row>
    <row r="547" spans="1:15" ht="22.5" customHeight="1">
      <c r="A547" s="76">
        <v>768362231010540</v>
      </c>
      <c r="B547" s="77" t="s">
        <v>10844</v>
      </c>
      <c r="C547" s="77" t="s">
        <v>10845</v>
      </c>
      <c r="D547" s="77" t="s">
        <v>10846</v>
      </c>
      <c r="E547" s="77">
        <v>6281575323811</v>
      </c>
      <c r="F547" s="84">
        <v>45828</v>
      </c>
      <c r="G547" s="79">
        <v>906</v>
      </c>
      <c r="H547" s="80">
        <v>22959.447004608293</v>
      </c>
      <c r="I547" s="72">
        <v>34</v>
      </c>
      <c r="J547" s="81">
        <v>24911</v>
      </c>
      <c r="K547" s="76">
        <v>5</v>
      </c>
      <c r="L547" s="76">
        <v>0</v>
      </c>
      <c r="M547" s="76">
        <v>0</v>
      </c>
      <c r="N547" s="82" t="s">
        <v>10847</v>
      </c>
      <c r="O547" s="83"/>
    </row>
    <row r="548" spans="1:15" ht="22.5" customHeight="1">
      <c r="A548" s="76">
        <v>768362231010540</v>
      </c>
      <c r="B548" s="77" t="s">
        <v>10844</v>
      </c>
      <c r="C548" s="77" t="s">
        <v>10848</v>
      </c>
      <c r="D548" s="77" t="s">
        <v>7231</v>
      </c>
      <c r="E548" s="77">
        <v>6282224315700</v>
      </c>
      <c r="F548" s="84">
        <v>45828</v>
      </c>
      <c r="G548" s="79">
        <v>276</v>
      </c>
      <c r="H548" s="80">
        <v>63460.176991150438</v>
      </c>
      <c r="I548" s="72">
        <v>11</v>
      </c>
      <c r="J548" s="81">
        <v>21513</v>
      </c>
      <c r="K548" s="76">
        <v>1</v>
      </c>
      <c r="L548" s="76">
        <v>10</v>
      </c>
      <c r="M548" s="76">
        <v>0</v>
      </c>
      <c r="N548" s="82" t="s">
        <v>10849</v>
      </c>
      <c r="O548" s="83"/>
    </row>
    <row r="549" spans="1:15" ht="22.5" customHeight="1">
      <c r="A549" s="76">
        <v>759724529202804</v>
      </c>
      <c r="B549" s="77" t="s">
        <v>10621</v>
      </c>
      <c r="C549" s="77" t="s">
        <v>10863</v>
      </c>
      <c r="D549" s="77" t="s">
        <v>10864</v>
      </c>
      <c r="E549" s="77">
        <v>6285180805171</v>
      </c>
      <c r="F549" s="84">
        <v>45829</v>
      </c>
      <c r="G549" s="79">
        <v>660</v>
      </c>
      <c r="H549" s="80">
        <v>18037.926675094815</v>
      </c>
      <c r="I549" s="72">
        <v>26</v>
      </c>
      <c r="J549" s="81">
        <v>14268</v>
      </c>
      <c r="K549" s="76">
        <v>5</v>
      </c>
      <c r="L549" s="76">
        <v>200</v>
      </c>
      <c r="M549" s="76">
        <v>0</v>
      </c>
      <c r="N549" s="82" t="s">
        <v>10865</v>
      </c>
      <c r="O549" s="83"/>
    </row>
    <row r="550" spans="1:15" ht="22.5" customHeight="1">
      <c r="A550" s="76">
        <v>759724529202804</v>
      </c>
      <c r="B550" s="77" t="s">
        <v>10621</v>
      </c>
      <c r="C550" s="77" t="s">
        <v>10850</v>
      </c>
      <c r="D550" s="77" t="s">
        <v>10851</v>
      </c>
      <c r="E550" s="77">
        <v>6282125465047</v>
      </c>
      <c r="F550" s="84">
        <v>45829</v>
      </c>
      <c r="G550" s="79">
        <v>348</v>
      </c>
      <c r="H550" s="80">
        <v>36855</v>
      </c>
      <c r="I550" s="72">
        <v>11</v>
      </c>
      <c r="J550" s="81">
        <v>14742</v>
      </c>
      <c r="K550" s="76">
        <v>4</v>
      </c>
      <c r="L550" s="76">
        <v>0</v>
      </c>
      <c r="M550" s="76">
        <v>1</v>
      </c>
      <c r="N550" s="82" t="s">
        <v>10852</v>
      </c>
      <c r="O550" s="83"/>
    </row>
    <row r="551" spans="1:15" ht="22.5" customHeight="1">
      <c r="A551" s="76">
        <v>759724529202804</v>
      </c>
      <c r="B551" s="77" t="s">
        <v>10621</v>
      </c>
      <c r="C551" s="77" t="s">
        <v>10828</v>
      </c>
      <c r="D551" s="77" t="s">
        <v>10829</v>
      </c>
      <c r="E551" s="77">
        <v>6285642607938</v>
      </c>
      <c r="F551" s="84">
        <v>45829</v>
      </c>
      <c r="G551" s="79">
        <v>1314</v>
      </c>
      <c r="H551" s="80">
        <v>9451.6728624535317</v>
      </c>
      <c r="I551" s="72">
        <v>19</v>
      </c>
      <c r="J551" s="81">
        <v>15255</v>
      </c>
      <c r="K551" s="76">
        <v>1</v>
      </c>
      <c r="L551" s="76">
        <v>0</v>
      </c>
      <c r="M551" s="76">
        <v>0</v>
      </c>
      <c r="N551" s="82" t="s">
        <v>10830</v>
      </c>
      <c r="O551" s="83"/>
    </row>
    <row r="552" spans="1:15" ht="22.5" customHeight="1">
      <c r="A552" s="76">
        <v>759724529202804</v>
      </c>
      <c r="B552" s="77" t="s">
        <v>10621</v>
      </c>
      <c r="C552" s="77" t="s">
        <v>10804</v>
      </c>
      <c r="D552" s="77" t="s">
        <v>607</v>
      </c>
      <c r="E552" s="77">
        <v>6288215545661</v>
      </c>
      <c r="F552" s="84">
        <v>45829</v>
      </c>
      <c r="G552" s="79">
        <v>565</v>
      </c>
      <c r="H552" s="80">
        <v>27907.467532467534</v>
      </c>
      <c r="I552" s="72">
        <v>15</v>
      </c>
      <c r="J552" s="81">
        <v>17191</v>
      </c>
      <c r="K552" s="76">
        <v>1</v>
      </c>
      <c r="L552" s="76">
        <v>0</v>
      </c>
      <c r="M552" s="76">
        <v>1</v>
      </c>
      <c r="N552" s="82" t="s">
        <v>10805</v>
      </c>
      <c r="O552" s="83"/>
    </row>
    <row r="553" spans="1:15" ht="22.5" customHeight="1">
      <c r="A553" s="76">
        <v>759724529202804</v>
      </c>
      <c r="B553" s="77" t="s">
        <v>10621</v>
      </c>
      <c r="C553" s="77" t="s">
        <v>332</v>
      </c>
      <c r="D553" s="77" t="s">
        <v>10708</v>
      </c>
      <c r="E553" s="77">
        <v>6282350524788</v>
      </c>
      <c r="F553" s="84">
        <v>45829</v>
      </c>
      <c r="G553" s="79">
        <v>707</v>
      </c>
      <c r="H553" s="80">
        <v>19468.864468864467</v>
      </c>
      <c r="I553" s="72">
        <v>14</v>
      </c>
      <c r="J553" s="81">
        <v>15945</v>
      </c>
      <c r="K553" s="76">
        <v>2</v>
      </c>
      <c r="L553" s="76">
        <v>145</v>
      </c>
      <c r="M553" s="76">
        <v>0</v>
      </c>
      <c r="N553" s="82" t="s">
        <v>10709</v>
      </c>
      <c r="O553" s="83"/>
    </row>
    <row r="554" spans="1:15" ht="22.5" customHeight="1">
      <c r="A554" s="76">
        <v>759724529202804</v>
      </c>
      <c r="B554" s="77" t="s">
        <v>10621</v>
      </c>
      <c r="C554" s="77" t="s">
        <v>665</v>
      </c>
      <c r="D554" s="77" t="s">
        <v>659</v>
      </c>
      <c r="E554" s="77">
        <v>6285757057088</v>
      </c>
      <c r="F554" s="84">
        <v>45829</v>
      </c>
      <c r="G554" s="79">
        <v>676</v>
      </c>
      <c r="H554" s="80">
        <v>17885.549132947974</v>
      </c>
      <c r="I554" s="72">
        <v>23</v>
      </c>
      <c r="J554" s="81">
        <v>15471</v>
      </c>
      <c r="K554" s="76">
        <v>1</v>
      </c>
      <c r="L554" s="76">
        <v>0</v>
      </c>
      <c r="M554" s="76">
        <v>0</v>
      </c>
      <c r="N554" s="82" t="s">
        <v>10636</v>
      </c>
      <c r="O554" s="83"/>
    </row>
    <row r="555" spans="1:15" ht="22.5" customHeight="1">
      <c r="A555" s="76">
        <v>174904221976312</v>
      </c>
      <c r="B555" s="77" t="s">
        <v>10651</v>
      </c>
      <c r="C555" s="77" t="s">
        <v>10866</v>
      </c>
      <c r="D555" s="77" t="s">
        <v>878</v>
      </c>
      <c r="E555" s="77">
        <v>6285733774700</v>
      </c>
      <c r="F555" s="84">
        <v>45829</v>
      </c>
      <c r="G555" s="79">
        <v>356</v>
      </c>
      <c r="H555" s="80">
        <v>30815.98062953995</v>
      </c>
      <c r="I555" s="72">
        <v>5</v>
      </c>
      <c r="J555" s="81">
        <v>12727</v>
      </c>
      <c r="K555" s="76">
        <v>0</v>
      </c>
      <c r="L555" s="76">
        <v>0</v>
      </c>
      <c r="M555" s="76">
        <v>0</v>
      </c>
      <c r="N555" s="82" t="s">
        <v>10867</v>
      </c>
      <c r="O555" s="83"/>
    </row>
    <row r="556" spans="1:15" ht="22.5" customHeight="1">
      <c r="A556" s="76">
        <v>174904221976312</v>
      </c>
      <c r="B556" s="77" t="s">
        <v>10651</v>
      </c>
      <c r="C556" s="77" t="s">
        <v>10853</v>
      </c>
      <c r="D556" s="77" t="s">
        <v>10854</v>
      </c>
      <c r="E556" s="77">
        <v>6281393958199</v>
      </c>
      <c r="F556" s="84">
        <v>45829</v>
      </c>
      <c r="G556" s="79">
        <v>490</v>
      </c>
      <c r="H556" s="80">
        <v>30392.857142857141</v>
      </c>
      <c r="I556" s="72">
        <v>5</v>
      </c>
      <c r="J556" s="81">
        <v>15318</v>
      </c>
      <c r="K556" s="76">
        <v>0</v>
      </c>
      <c r="L556" s="76">
        <v>89</v>
      </c>
      <c r="M556" s="76">
        <v>0</v>
      </c>
      <c r="N556" s="82" t="s">
        <v>10855</v>
      </c>
      <c r="O556" s="83"/>
    </row>
    <row r="557" spans="1:15" ht="22.5" customHeight="1">
      <c r="A557" s="76">
        <v>174904221976312</v>
      </c>
      <c r="B557" s="77" t="s">
        <v>10651</v>
      </c>
      <c r="C557" s="77" t="s">
        <v>10856</v>
      </c>
      <c r="D557" s="77" t="s">
        <v>829</v>
      </c>
      <c r="E557" s="77">
        <v>6285725492572</v>
      </c>
      <c r="F557" s="84">
        <v>45829</v>
      </c>
      <c r="G557" s="79">
        <v>436</v>
      </c>
      <c r="H557" s="80">
        <v>21731.404958677685</v>
      </c>
      <c r="I557" s="72">
        <v>9</v>
      </c>
      <c r="J557" s="81">
        <v>10518</v>
      </c>
      <c r="K557" s="76">
        <v>1</v>
      </c>
      <c r="L557" s="76">
        <v>161</v>
      </c>
      <c r="M557" s="76">
        <v>0</v>
      </c>
      <c r="N557" s="82" t="s">
        <v>10857</v>
      </c>
      <c r="O557" s="83"/>
    </row>
    <row r="558" spans="1:15" ht="22.5" customHeight="1">
      <c r="A558" s="76">
        <v>174904221976312</v>
      </c>
      <c r="B558" s="77" t="s">
        <v>10651</v>
      </c>
      <c r="C558" s="77" t="s">
        <v>10858</v>
      </c>
      <c r="D558" s="77" t="s">
        <v>10859</v>
      </c>
      <c r="E558" s="77">
        <v>6285227384634</v>
      </c>
      <c r="F558" s="84">
        <v>45829</v>
      </c>
      <c r="G558" s="79">
        <v>522</v>
      </c>
      <c r="H558" s="80">
        <v>20256.198347107438</v>
      </c>
      <c r="I558" s="72">
        <v>7</v>
      </c>
      <c r="J558" s="81">
        <v>12255</v>
      </c>
      <c r="K558" s="76">
        <v>1</v>
      </c>
      <c r="L558" s="76">
        <v>0</v>
      </c>
      <c r="M558" s="76">
        <v>0</v>
      </c>
      <c r="N558" s="82" t="s">
        <v>10860</v>
      </c>
      <c r="O558" s="83"/>
    </row>
    <row r="559" spans="1:15" ht="22.5" customHeight="1">
      <c r="A559" s="76">
        <v>174904221976312</v>
      </c>
      <c r="B559" s="77" t="s">
        <v>10651</v>
      </c>
      <c r="C559" s="77" t="s">
        <v>818</v>
      </c>
      <c r="D559" s="77" t="s">
        <v>812</v>
      </c>
      <c r="E559" s="77">
        <v>6287858585808</v>
      </c>
      <c r="F559" s="84">
        <v>45829</v>
      </c>
      <c r="G559" s="79">
        <v>683</v>
      </c>
      <c r="H559" s="80">
        <v>15252.590673575129</v>
      </c>
      <c r="I559" s="72">
        <v>18</v>
      </c>
      <c r="J559" s="81">
        <v>11775</v>
      </c>
      <c r="K559" s="76">
        <v>1</v>
      </c>
      <c r="L559" s="76">
        <v>250</v>
      </c>
      <c r="M559" s="76">
        <v>0</v>
      </c>
      <c r="N559" s="82" t="s">
        <v>10831</v>
      </c>
      <c r="O559" s="83"/>
    </row>
    <row r="560" spans="1:15" ht="22.5" customHeight="1">
      <c r="A560" s="76">
        <v>174904221976312</v>
      </c>
      <c r="B560" s="77" t="s">
        <v>10651</v>
      </c>
      <c r="C560" s="77" t="s">
        <v>10806</v>
      </c>
      <c r="D560" s="77" t="s">
        <v>10807</v>
      </c>
      <c r="E560" s="77">
        <v>628127962347</v>
      </c>
      <c r="F560" s="84">
        <v>45829</v>
      </c>
      <c r="G560" s="79">
        <v>122</v>
      </c>
      <c r="H560" s="80">
        <v>96969.230769230766</v>
      </c>
      <c r="I560" s="72">
        <v>16</v>
      </c>
      <c r="J560" s="81">
        <v>12606</v>
      </c>
      <c r="K560" s="76">
        <v>6</v>
      </c>
      <c r="L560" s="76">
        <v>11</v>
      </c>
      <c r="M560" s="76">
        <v>0</v>
      </c>
      <c r="N560" s="82" t="s">
        <v>10808</v>
      </c>
      <c r="O560" s="83"/>
    </row>
    <row r="561" spans="1:15" ht="22.5" customHeight="1">
      <c r="A561" s="76">
        <v>174904221976312</v>
      </c>
      <c r="B561" s="77" t="s">
        <v>10651</v>
      </c>
      <c r="C561" s="77" t="s">
        <v>10809</v>
      </c>
      <c r="D561" s="77" t="s">
        <v>634</v>
      </c>
      <c r="E561" s="77">
        <v>6282258886603</v>
      </c>
      <c r="F561" s="84">
        <v>45829</v>
      </c>
      <c r="G561" s="79">
        <v>302</v>
      </c>
      <c r="H561" s="80">
        <v>35778.443113772453</v>
      </c>
      <c r="I561" s="72">
        <v>10</v>
      </c>
      <c r="J561" s="81">
        <v>11950</v>
      </c>
      <c r="K561" s="76">
        <v>1</v>
      </c>
      <c r="L561" s="76">
        <v>146</v>
      </c>
      <c r="M561" s="76">
        <v>0</v>
      </c>
      <c r="N561" s="82" t="s">
        <v>10810</v>
      </c>
      <c r="O561" s="83"/>
    </row>
    <row r="562" spans="1:15" ht="22.5" customHeight="1">
      <c r="A562" s="76">
        <v>174904221976312</v>
      </c>
      <c r="B562" s="77" t="s">
        <v>10651</v>
      </c>
      <c r="C562" s="77" t="s">
        <v>10815</v>
      </c>
      <c r="D562" s="77" t="s">
        <v>651</v>
      </c>
      <c r="E562" s="77">
        <v>6281905836259</v>
      </c>
      <c r="F562" s="84">
        <v>45829</v>
      </c>
      <c r="G562" s="79">
        <v>495</v>
      </c>
      <c r="H562" s="80">
        <v>21141.025641025641</v>
      </c>
      <c r="I562" s="72">
        <v>12</v>
      </c>
      <c r="J562" s="81">
        <v>11543</v>
      </c>
      <c r="K562" s="76">
        <v>1</v>
      </c>
      <c r="L562" s="76">
        <v>67</v>
      </c>
      <c r="M562" s="76">
        <v>0</v>
      </c>
      <c r="N562" s="82" t="s">
        <v>10816</v>
      </c>
      <c r="O562" s="83"/>
    </row>
    <row r="563" spans="1:15" ht="22.5" customHeight="1">
      <c r="A563" s="76">
        <v>174904221976312</v>
      </c>
      <c r="B563" s="77" t="s">
        <v>10651</v>
      </c>
      <c r="C563" s="77" t="s">
        <v>8099</v>
      </c>
      <c r="D563" s="77" t="s">
        <v>2357</v>
      </c>
      <c r="E563" s="77">
        <v>6281221788919</v>
      </c>
      <c r="F563" s="84">
        <v>45829</v>
      </c>
      <c r="G563" s="79">
        <v>643</v>
      </c>
      <c r="H563" s="80">
        <v>16501.901140684411</v>
      </c>
      <c r="I563" s="72">
        <v>13</v>
      </c>
      <c r="J563" s="81">
        <v>13020</v>
      </c>
      <c r="K563" s="76">
        <v>1</v>
      </c>
      <c r="L563" s="76">
        <v>220</v>
      </c>
      <c r="M563" s="76">
        <v>0</v>
      </c>
      <c r="N563" s="82" t="s">
        <v>10759</v>
      </c>
      <c r="O563" s="83"/>
    </row>
    <row r="564" spans="1:15" ht="22.5" customHeight="1">
      <c r="A564" s="76">
        <v>174904221976312</v>
      </c>
      <c r="B564" s="77" t="s">
        <v>10651</v>
      </c>
      <c r="C564" s="77" t="s">
        <v>10770</v>
      </c>
      <c r="D564" s="77" t="s">
        <v>444</v>
      </c>
      <c r="F564" s="84">
        <v>45829</v>
      </c>
      <c r="G564" s="79">
        <v>9365</v>
      </c>
      <c r="H564" s="80">
        <v>1348.9439853076217</v>
      </c>
      <c r="I564" s="72">
        <v>10</v>
      </c>
      <c r="J564" s="81">
        <v>13221</v>
      </c>
      <c r="K564" s="76">
        <v>0</v>
      </c>
      <c r="L564" s="76">
        <v>298</v>
      </c>
      <c r="M564" s="76">
        <v>0</v>
      </c>
      <c r="N564" s="82" t="s">
        <v>10868</v>
      </c>
      <c r="O564" s="83"/>
    </row>
    <row r="565" spans="1:15" ht="22.5" customHeight="1">
      <c r="A565" s="76">
        <v>174904221976312</v>
      </c>
      <c r="B565" s="77" t="s">
        <v>10651</v>
      </c>
      <c r="C565" s="77" t="s">
        <v>399</v>
      </c>
      <c r="D565" s="77" t="s">
        <v>394</v>
      </c>
      <c r="F565" s="84">
        <v>45829</v>
      </c>
      <c r="G565" s="79">
        <v>3202</v>
      </c>
      <c r="H565" s="80">
        <v>3608.4099868593953</v>
      </c>
      <c r="I565" s="72">
        <v>70</v>
      </c>
      <c r="J565" s="81">
        <v>13730</v>
      </c>
      <c r="K565" s="76">
        <v>7</v>
      </c>
      <c r="L565" s="76">
        <v>1003</v>
      </c>
      <c r="M565" s="76">
        <v>1</v>
      </c>
      <c r="N565" s="82" t="s">
        <v>10749</v>
      </c>
      <c r="O565" s="83"/>
    </row>
    <row r="566" spans="1:15" ht="22.5" customHeight="1">
      <c r="A566" s="76">
        <v>174904221976312</v>
      </c>
      <c r="B566" s="77" t="s">
        <v>10651</v>
      </c>
      <c r="C566" s="77" t="s">
        <v>10778</v>
      </c>
      <c r="D566" s="77" t="s">
        <v>3140</v>
      </c>
      <c r="F566" s="84">
        <v>45829</v>
      </c>
      <c r="G566" s="79">
        <v>7713</v>
      </c>
      <c r="H566" s="80">
        <v>2980.9332664325138</v>
      </c>
      <c r="I566" s="72">
        <v>98</v>
      </c>
      <c r="J566" s="81">
        <v>23764</v>
      </c>
      <c r="K566" s="76">
        <v>3</v>
      </c>
      <c r="L566" s="76">
        <v>877</v>
      </c>
      <c r="M566" s="76">
        <v>0</v>
      </c>
      <c r="N566" s="82" t="s">
        <v>10779</v>
      </c>
      <c r="O566" s="83"/>
    </row>
    <row r="567" spans="1:15" ht="22.5" customHeight="1">
      <c r="A567" s="76">
        <v>174904221976312</v>
      </c>
      <c r="B567" s="77" t="s">
        <v>10651</v>
      </c>
      <c r="C567" s="77" t="s">
        <v>10673</v>
      </c>
      <c r="D567" s="77" t="s">
        <v>10674</v>
      </c>
      <c r="E567" s="77">
        <v>6282183184641</v>
      </c>
      <c r="F567" s="84">
        <v>45829</v>
      </c>
      <c r="G567" s="79">
        <v>565</v>
      </c>
      <c r="H567" s="80">
        <v>18502.967359050446</v>
      </c>
      <c r="I567" s="72">
        <v>21</v>
      </c>
      <c r="J567" s="81">
        <v>12471</v>
      </c>
      <c r="K567" s="76">
        <v>1</v>
      </c>
      <c r="L567" s="76">
        <v>169</v>
      </c>
      <c r="M567" s="76">
        <v>0</v>
      </c>
      <c r="N567" s="82" t="s">
        <v>10675</v>
      </c>
      <c r="O567" s="83"/>
    </row>
    <row r="568" spans="1:15" ht="22.5" customHeight="1">
      <c r="A568" s="76">
        <v>174904221976312</v>
      </c>
      <c r="B568" s="77" t="s">
        <v>10651</v>
      </c>
      <c r="C568" s="77" t="s">
        <v>10652</v>
      </c>
      <c r="D568" s="77" t="s">
        <v>10653</v>
      </c>
      <c r="E568" s="77">
        <v>6281348555887</v>
      </c>
      <c r="F568" s="84">
        <v>45829</v>
      </c>
      <c r="G568" s="79">
        <v>896</v>
      </c>
      <c r="H568" s="80">
        <v>13895</v>
      </c>
      <c r="I568" s="72">
        <v>34</v>
      </c>
      <c r="J568" s="81">
        <v>13895</v>
      </c>
      <c r="K568" s="76">
        <v>1</v>
      </c>
      <c r="L568" s="76">
        <v>313</v>
      </c>
      <c r="M568" s="76">
        <v>0</v>
      </c>
      <c r="N568" s="82" t="s">
        <v>10654</v>
      </c>
      <c r="O568" s="83"/>
    </row>
    <row r="569" spans="1:15" ht="22.5" customHeight="1">
      <c r="A569" s="76">
        <v>174904221976312</v>
      </c>
      <c r="B569" s="77" t="s">
        <v>10651</v>
      </c>
      <c r="C569" s="77" t="s">
        <v>10833</v>
      </c>
      <c r="D569" s="77" t="s">
        <v>10834</v>
      </c>
      <c r="E569" s="77">
        <v>6282242925264</v>
      </c>
      <c r="F569" s="84">
        <v>45829</v>
      </c>
      <c r="G569" s="79">
        <v>1910</v>
      </c>
      <c r="H569" s="80">
        <v>6206.7669172932337</v>
      </c>
      <c r="I569" s="72">
        <v>85</v>
      </c>
      <c r="J569" s="81">
        <v>13208</v>
      </c>
      <c r="K569" s="76">
        <v>5</v>
      </c>
      <c r="L569" s="76">
        <v>687</v>
      </c>
      <c r="M569" s="76">
        <v>1</v>
      </c>
      <c r="N569" s="82" t="s">
        <v>10835</v>
      </c>
      <c r="O569" s="83"/>
    </row>
    <row r="570" spans="1:15" ht="22.5" customHeight="1">
      <c r="A570" s="76">
        <v>766589657993298</v>
      </c>
      <c r="B570" s="77" t="s">
        <v>10688</v>
      </c>
      <c r="C570" s="77" t="s">
        <v>10869</v>
      </c>
      <c r="D570" s="77" t="s">
        <v>10870</v>
      </c>
      <c r="E570" s="77">
        <v>6281230995752</v>
      </c>
      <c r="F570" s="84">
        <v>45829</v>
      </c>
      <c r="G570" s="79">
        <v>300</v>
      </c>
      <c r="H570" s="80">
        <v>34210.9375</v>
      </c>
      <c r="I570" s="72">
        <v>12</v>
      </c>
      <c r="J570" s="81">
        <v>13137</v>
      </c>
      <c r="K570" s="76">
        <v>2</v>
      </c>
      <c r="L570" s="76">
        <v>0</v>
      </c>
      <c r="M570" s="76">
        <v>0</v>
      </c>
      <c r="N570" s="82" t="s">
        <v>10871</v>
      </c>
      <c r="O570" s="83"/>
    </row>
    <row r="571" spans="1:15" ht="22.5" customHeight="1">
      <c r="A571" s="76">
        <v>766589657993298</v>
      </c>
      <c r="B571" s="77" t="s">
        <v>10688</v>
      </c>
      <c r="C571" s="77" t="s">
        <v>10872</v>
      </c>
      <c r="D571" s="77" t="s">
        <v>846</v>
      </c>
      <c r="E571" s="77">
        <v>6281233044823</v>
      </c>
      <c r="F571" s="84">
        <v>45829</v>
      </c>
      <c r="G571" s="79">
        <v>368</v>
      </c>
      <c r="H571" s="80">
        <v>32725.685785536156</v>
      </c>
      <c r="I571" s="72">
        <v>5</v>
      </c>
      <c r="J571" s="81">
        <v>13123</v>
      </c>
      <c r="K571" s="76">
        <v>0</v>
      </c>
      <c r="L571" s="76">
        <v>0</v>
      </c>
      <c r="M571" s="76">
        <v>0</v>
      </c>
      <c r="N571" s="82" t="s">
        <v>10873</v>
      </c>
      <c r="O571" s="83"/>
    </row>
    <row r="572" spans="1:15" ht="22.5" customHeight="1">
      <c r="A572" s="76">
        <v>766589657993298</v>
      </c>
      <c r="B572" s="77" t="s">
        <v>10688</v>
      </c>
      <c r="C572" s="77" t="s">
        <v>10874</v>
      </c>
      <c r="D572" s="77" t="s">
        <v>10875</v>
      </c>
      <c r="E572" s="77">
        <v>6281283325291</v>
      </c>
      <c r="F572" s="84">
        <v>45829</v>
      </c>
      <c r="G572" s="79">
        <v>209</v>
      </c>
      <c r="H572" s="80">
        <v>56584.821428571428</v>
      </c>
      <c r="I572" s="72">
        <v>4</v>
      </c>
      <c r="J572" s="81">
        <v>12675</v>
      </c>
      <c r="K572" s="76">
        <v>0</v>
      </c>
      <c r="L572" s="76">
        <v>0</v>
      </c>
      <c r="M572" s="76">
        <v>0</v>
      </c>
      <c r="N572" s="82" t="s">
        <v>10876</v>
      </c>
      <c r="O572" s="83"/>
    </row>
    <row r="573" spans="1:15" ht="22.5" customHeight="1">
      <c r="A573" s="76">
        <v>766589657993298</v>
      </c>
      <c r="B573" s="77" t="s">
        <v>10688</v>
      </c>
      <c r="C573" s="77" t="s">
        <v>10877</v>
      </c>
      <c r="D573" s="77" t="s">
        <v>861</v>
      </c>
      <c r="E573" s="77">
        <v>6289617461806</v>
      </c>
      <c r="F573" s="84">
        <v>45829</v>
      </c>
      <c r="G573" s="79">
        <v>468</v>
      </c>
      <c r="H573" s="80">
        <v>20894.366197183099</v>
      </c>
      <c r="I573" s="72">
        <v>12</v>
      </c>
      <c r="J573" s="81">
        <v>11868</v>
      </c>
      <c r="K573" s="76">
        <v>2</v>
      </c>
      <c r="L573" s="76">
        <v>0</v>
      </c>
      <c r="M573" s="76">
        <v>0</v>
      </c>
      <c r="N573" s="82" t="s">
        <v>10878</v>
      </c>
      <c r="O573" s="83"/>
    </row>
    <row r="574" spans="1:15" ht="22.5" customHeight="1">
      <c r="A574" s="76">
        <v>766589657993298</v>
      </c>
      <c r="B574" s="77" t="s">
        <v>10688</v>
      </c>
      <c r="C574" s="77" t="s">
        <v>10879</v>
      </c>
      <c r="D574" s="77" t="s">
        <v>10880</v>
      </c>
      <c r="E574" s="77">
        <v>6281215851833</v>
      </c>
      <c r="F574" s="84">
        <v>45829</v>
      </c>
      <c r="G574" s="79">
        <v>171</v>
      </c>
      <c r="H574" s="80">
        <v>70549.222797927461</v>
      </c>
      <c r="I574" s="72">
        <v>5</v>
      </c>
      <c r="J574" s="81">
        <v>13616</v>
      </c>
      <c r="K574" s="76">
        <v>1</v>
      </c>
      <c r="L574" s="76">
        <v>0</v>
      </c>
      <c r="M574" s="76">
        <v>0</v>
      </c>
      <c r="N574" s="82" t="s">
        <v>10881</v>
      </c>
      <c r="O574" s="83"/>
    </row>
    <row r="575" spans="1:15" ht="22.5" customHeight="1">
      <c r="A575" s="76">
        <v>766589657993298</v>
      </c>
      <c r="B575" s="77" t="s">
        <v>10688</v>
      </c>
      <c r="C575" s="77" t="s">
        <v>10861</v>
      </c>
      <c r="D575" s="77" t="s">
        <v>795</v>
      </c>
      <c r="E575" s="77">
        <v>6287877805175</v>
      </c>
      <c r="F575" s="84">
        <v>45829</v>
      </c>
      <c r="G575" s="79">
        <v>400</v>
      </c>
      <c r="H575" s="80">
        <v>34497.706422018346</v>
      </c>
      <c r="I575" s="72">
        <v>11</v>
      </c>
      <c r="J575" s="81">
        <v>15041</v>
      </c>
      <c r="K575" s="76">
        <v>3</v>
      </c>
      <c r="L575" s="76">
        <v>0</v>
      </c>
      <c r="M575" s="76">
        <v>0</v>
      </c>
      <c r="N575" s="82" t="s">
        <v>10862</v>
      </c>
      <c r="O575" s="83"/>
    </row>
    <row r="576" spans="1:15" ht="22.5" customHeight="1">
      <c r="A576" s="76">
        <v>766589657993298</v>
      </c>
      <c r="B576" s="77" t="s">
        <v>10688</v>
      </c>
      <c r="C576" s="77" t="s">
        <v>10836</v>
      </c>
      <c r="D576" s="77" t="s">
        <v>780</v>
      </c>
      <c r="E576" s="77">
        <v>6283866009989</v>
      </c>
      <c r="F576" s="84">
        <v>45829</v>
      </c>
      <c r="G576" s="79">
        <v>641</v>
      </c>
      <c r="H576" s="80">
        <v>20289.473684210527</v>
      </c>
      <c r="I576" s="72">
        <v>8</v>
      </c>
      <c r="J576" s="81">
        <v>15420</v>
      </c>
      <c r="K576" s="76">
        <v>0</v>
      </c>
      <c r="L576" s="76">
        <v>422</v>
      </c>
      <c r="M576" s="76">
        <v>0</v>
      </c>
      <c r="N576" s="82" t="s">
        <v>10837</v>
      </c>
      <c r="O576" s="83"/>
    </row>
    <row r="577" spans="1:15" ht="22.5" customHeight="1">
      <c r="A577" s="76">
        <v>766589657993298</v>
      </c>
      <c r="B577" s="77" t="s">
        <v>10688</v>
      </c>
      <c r="C577" s="77" t="s">
        <v>727</v>
      </c>
      <c r="D577" s="77" t="s">
        <v>10838</v>
      </c>
      <c r="E577" s="77">
        <v>6282324392716</v>
      </c>
      <c r="F577" s="84">
        <v>45829</v>
      </c>
      <c r="G577" s="79">
        <v>643</v>
      </c>
      <c r="H577" s="80">
        <v>22431.654676258993</v>
      </c>
      <c r="I577" s="72">
        <v>10</v>
      </c>
      <c r="J577" s="81">
        <v>15590</v>
      </c>
      <c r="K577" s="76">
        <v>1</v>
      </c>
      <c r="L577" s="76">
        <v>504</v>
      </c>
      <c r="M577" s="76">
        <v>0</v>
      </c>
      <c r="N577" s="82" t="s">
        <v>10839</v>
      </c>
      <c r="O577" s="83"/>
    </row>
    <row r="578" spans="1:15" ht="22.5" customHeight="1">
      <c r="A578" s="76">
        <v>766589657993298</v>
      </c>
      <c r="B578" s="77" t="s">
        <v>10688</v>
      </c>
      <c r="C578" s="77" t="s">
        <v>720</v>
      </c>
      <c r="D578" s="77" t="s">
        <v>10840</v>
      </c>
      <c r="E578" s="77">
        <v>6282141603091</v>
      </c>
      <c r="F578" s="84">
        <v>45829</v>
      </c>
      <c r="G578" s="79">
        <v>287</v>
      </c>
      <c r="H578" s="80">
        <v>49406.143344709897</v>
      </c>
      <c r="I578" s="72">
        <v>6</v>
      </c>
      <c r="J578" s="81">
        <v>14476</v>
      </c>
      <c r="K578" s="76">
        <v>1</v>
      </c>
      <c r="L578" s="76">
        <v>0</v>
      </c>
      <c r="M578" s="76">
        <v>1</v>
      </c>
      <c r="N578" s="82" t="s">
        <v>10841</v>
      </c>
      <c r="O578" s="83"/>
    </row>
    <row r="579" spans="1:15" ht="22.5" customHeight="1">
      <c r="A579" s="76">
        <v>766589657993298</v>
      </c>
      <c r="B579" s="77" t="s">
        <v>10688</v>
      </c>
      <c r="C579" s="77" t="s">
        <v>10818</v>
      </c>
      <c r="D579" s="77" t="s">
        <v>700</v>
      </c>
      <c r="E579" s="77">
        <v>6281632236409</v>
      </c>
      <c r="F579" s="84">
        <v>45829</v>
      </c>
      <c r="G579" s="79">
        <v>764</v>
      </c>
      <c r="H579" s="80">
        <v>18467.633928571428</v>
      </c>
      <c r="I579" s="72">
        <v>15</v>
      </c>
      <c r="J579" s="81">
        <v>16547</v>
      </c>
      <c r="K579" s="76">
        <v>0</v>
      </c>
      <c r="L579" s="76">
        <v>325</v>
      </c>
      <c r="M579" s="76">
        <v>0</v>
      </c>
      <c r="N579" s="82" t="s">
        <v>10819</v>
      </c>
      <c r="O579" s="83"/>
    </row>
    <row r="580" spans="1:15" ht="22.5" customHeight="1">
      <c r="A580" s="76">
        <v>766589657993298</v>
      </c>
      <c r="B580" s="77" t="s">
        <v>10688</v>
      </c>
      <c r="C580" s="77" t="s">
        <v>469</v>
      </c>
      <c r="D580" s="77" t="s">
        <v>10820</v>
      </c>
      <c r="E580" s="77">
        <v>6282255726295</v>
      </c>
      <c r="F580" s="84">
        <v>45829</v>
      </c>
      <c r="G580" s="79">
        <v>1722</v>
      </c>
      <c r="H580" s="80">
        <v>7930.8617234468938</v>
      </c>
      <c r="I580" s="72">
        <v>90</v>
      </c>
      <c r="J580" s="81">
        <v>15830</v>
      </c>
      <c r="K580" s="76">
        <v>3</v>
      </c>
      <c r="L580" s="76">
        <v>739</v>
      </c>
      <c r="M580" s="76">
        <v>3</v>
      </c>
      <c r="N580" s="82" t="s">
        <v>10821</v>
      </c>
      <c r="O580" s="83"/>
    </row>
    <row r="581" spans="1:15" ht="22.5" customHeight="1">
      <c r="A581" s="76">
        <v>766589657993298</v>
      </c>
      <c r="B581" s="77" t="s">
        <v>10688</v>
      </c>
      <c r="C581" s="77" t="s">
        <v>10822</v>
      </c>
      <c r="D581" s="77" t="s">
        <v>676</v>
      </c>
      <c r="E581" s="77">
        <v>6281316155059</v>
      </c>
      <c r="F581" s="84">
        <v>45829</v>
      </c>
      <c r="G581" s="79">
        <v>367</v>
      </c>
      <c r="H581" s="80">
        <v>46569.30693069307</v>
      </c>
      <c r="I581" s="72">
        <v>11</v>
      </c>
      <c r="J581" s="81">
        <v>18814</v>
      </c>
      <c r="K581" s="76">
        <v>4</v>
      </c>
      <c r="L581" s="76">
        <v>19</v>
      </c>
      <c r="M581" s="76">
        <v>0</v>
      </c>
      <c r="N581" s="82" t="s">
        <v>10823</v>
      </c>
      <c r="O581" s="83"/>
    </row>
    <row r="582" spans="1:15" ht="22.5" customHeight="1">
      <c r="A582" s="76">
        <v>766589657993298</v>
      </c>
      <c r="B582" s="77" t="s">
        <v>10688</v>
      </c>
      <c r="C582" s="77" t="s">
        <v>769</v>
      </c>
      <c r="D582" s="77" t="s">
        <v>764</v>
      </c>
      <c r="E582" s="77">
        <v>6287778562681</v>
      </c>
      <c r="F582" s="84">
        <v>45829</v>
      </c>
      <c r="G582" s="79">
        <v>508</v>
      </c>
      <c r="H582" s="80">
        <v>29652.482269503547</v>
      </c>
      <c r="I582" s="72">
        <v>14</v>
      </c>
      <c r="J582" s="81">
        <v>16724</v>
      </c>
      <c r="K582" s="76">
        <v>3</v>
      </c>
      <c r="L582" s="76">
        <v>276</v>
      </c>
      <c r="M582" s="76">
        <v>0</v>
      </c>
      <c r="N582" s="82" t="s">
        <v>10882</v>
      </c>
      <c r="O582" s="83"/>
    </row>
    <row r="583" spans="1:15" ht="22.5" customHeight="1">
      <c r="A583" s="76">
        <v>766589657993298</v>
      </c>
      <c r="B583" s="77" t="s">
        <v>10688</v>
      </c>
      <c r="C583" s="77" t="s">
        <v>10825</v>
      </c>
      <c r="D583" s="77" t="s">
        <v>10826</v>
      </c>
      <c r="E583" s="77">
        <v>6289523308892</v>
      </c>
      <c r="F583" s="84">
        <v>45829</v>
      </c>
      <c r="G583" s="79">
        <v>439</v>
      </c>
      <c r="H583" s="80">
        <v>15744.329896907215</v>
      </c>
      <c r="I583" s="72">
        <v>6</v>
      </c>
      <c r="J583" s="81">
        <v>7636</v>
      </c>
      <c r="K583" s="76">
        <v>0</v>
      </c>
      <c r="L583" s="76">
        <v>174</v>
      </c>
      <c r="M583" s="76">
        <v>1</v>
      </c>
      <c r="N583" s="82" t="s">
        <v>10827</v>
      </c>
      <c r="O583" s="83"/>
    </row>
    <row r="584" spans="1:15" ht="22.5" customHeight="1">
      <c r="A584" s="76">
        <v>766589657993298</v>
      </c>
      <c r="B584" s="77" t="s">
        <v>10688</v>
      </c>
      <c r="C584" s="77" t="s">
        <v>10780</v>
      </c>
      <c r="D584" s="77" t="s">
        <v>10781</v>
      </c>
      <c r="E584" s="77">
        <v>6281338789995</v>
      </c>
      <c r="F584" s="84">
        <v>45829</v>
      </c>
      <c r="G584" s="79">
        <v>533</v>
      </c>
      <c r="H584" s="80">
        <v>14052.816901408451</v>
      </c>
      <c r="I584" s="72">
        <v>14</v>
      </c>
      <c r="J584" s="81">
        <v>7982</v>
      </c>
      <c r="K584" s="76">
        <v>0</v>
      </c>
      <c r="L584" s="76">
        <v>184</v>
      </c>
      <c r="M584" s="76">
        <v>0</v>
      </c>
      <c r="N584" s="82" t="s">
        <v>10782</v>
      </c>
      <c r="O584" s="83"/>
    </row>
    <row r="585" spans="1:15" ht="22.5" customHeight="1">
      <c r="A585" s="76">
        <v>766589657993298</v>
      </c>
      <c r="B585" s="77" t="s">
        <v>10688</v>
      </c>
      <c r="C585" s="77" t="s">
        <v>10783</v>
      </c>
      <c r="D585" s="77" t="s">
        <v>10784</v>
      </c>
      <c r="E585" s="77">
        <v>6282162580404</v>
      </c>
      <c r="F585" s="84">
        <v>45829</v>
      </c>
      <c r="G585" s="79">
        <v>148</v>
      </c>
      <c r="H585" s="80">
        <v>66169.934640522886</v>
      </c>
      <c r="I585" s="72">
        <v>3</v>
      </c>
      <c r="J585" s="81">
        <v>10124</v>
      </c>
      <c r="K585" s="76">
        <v>1</v>
      </c>
      <c r="L585" s="76">
        <v>15</v>
      </c>
      <c r="M585" s="76">
        <v>0</v>
      </c>
      <c r="N585" s="82" t="s">
        <v>10785</v>
      </c>
      <c r="O585" s="83"/>
    </row>
    <row r="586" spans="1:15" ht="22.5" customHeight="1">
      <c r="A586" s="76">
        <v>766589657993298</v>
      </c>
      <c r="B586" s="77" t="s">
        <v>10688</v>
      </c>
      <c r="C586" s="77" t="s">
        <v>10786</v>
      </c>
      <c r="D586" s="77" t="s">
        <v>739</v>
      </c>
      <c r="E586" s="77">
        <v>628122102657</v>
      </c>
      <c r="F586" s="84">
        <v>45829</v>
      </c>
      <c r="G586" s="79">
        <v>417</v>
      </c>
      <c r="H586" s="80">
        <v>35627.368421052626</v>
      </c>
      <c r="I586" s="72">
        <v>10</v>
      </c>
      <c r="J586" s="81">
        <v>16923</v>
      </c>
      <c r="K586" s="76">
        <v>1</v>
      </c>
      <c r="L586" s="76">
        <v>147</v>
      </c>
      <c r="M586" s="76">
        <v>0</v>
      </c>
      <c r="N586" s="82" t="s">
        <v>10787</v>
      </c>
      <c r="O586" s="83"/>
    </row>
    <row r="587" spans="1:15" ht="22.5" customHeight="1">
      <c r="A587" s="76">
        <v>766589657993298</v>
      </c>
      <c r="B587" s="77" t="s">
        <v>10688</v>
      </c>
      <c r="C587" s="77" t="s">
        <v>10762</v>
      </c>
      <c r="D587" s="77" t="s">
        <v>10763</v>
      </c>
      <c r="E587" s="77">
        <v>6285210107607</v>
      </c>
      <c r="F587" s="84">
        <v>45829</v>
      </c>
      <c r="G587" s="79">
        <v>830</v>
      </c>
      <c r="H587" s="80">
        <v>17796.555435952636</v>
      </c>
      <c r="I587" s="72">
        <v>8</v>
      </c>
      <c r="J587" s="81">
        <v>16533</v>
      </c>
      <c r="K587" s="76">
        <v>0</v>
      </c>
      <c r="L587" s="76">
        <v>243</v>
      </c>
      <c r="M587" s="76">
        <v>0</v>
      </c>
      <c r="N587" s="82" t="s">
        <v>10764</v>
      </c>
      <c r="O587" s="83"/>
    </row>
    <row r="588" spans="1:15" ht="22.5" customHeight="1">
      <c r="A588" s="76">
        <v>766589657993298</v>
      </c>
      <c r="B588" s="77" t="s">
        <v>10688</v>
      </c>
      <c r="C588" s="77" t="s">
        <v>10842</v>
      </c>
      <c r="D588" s="77" t="s">
        <v>594</v>
      </c>
      <c r="E588" s="77">
        <v>6283185169816</v>
      </c>
      <c r="F588" s="84">
        <v>45829</v>
      </c>
      <c r="G588" s="79">
        <v>512</v>
      </c>
      <c r="H588" s="80">
        <v>27346.405228758169</v>
      </c>
      <c r="I588" s="72">
        <v>9</v>
      </c>
      <c r="J588" s="81">
        <v>16736</v>
      </c>
      <c r="K588" s="76">
        <v>0</v>
      </c>
      <c r="L588" s="76">
        <v>119</v>
      </c>
      <c r="M588" s="76">
        <v>0</v>
      </c>
      <c r="N588" s="82" t="s">
        <v>10843</v>
      </c>
      <c r="O588" s="83"/>
    </row>
    <row r="589" spans="1:15" ht="22.5" customHeight="1">
      <c r="A589" s="76">
        <v>766589657993298</v>
      </c>
      <c r="B589" s="77" t="s">
        <v>10688</v>
      </c>
      <c r="C589" s="77" t="s">
        <v>10765</v>
      </c>
      <c r="D589" s="77" t="s">
        <v>350</v>
      </c>
      <c r="E589" s="77">
        <v>6282393168368</v>
      </c>
      <c r="F589" s="84">
        <v>45829</v>
      </c>
      <c r="G589" s="79">
        <v>609</v>
      </c>
      <c r="H589" s="80">
        <v>20823.759791122713</v>
      </c>
      <c r="I589" s="72">
        <v>18</v>
      </c>
      <c r="J589" s="81">
        <v>15951</v>
      </c>
      <c r="K589" s="76">
        <v>1</v>
      </c>
      <c r="L589" s="76">
        <v>117</v>
      </c>
      <c r="M589" s="76">
        <v>1</v>
      </c>
      <c r="N589" s="82" t="s">
        <v>10766</v>
      </c>
      <c r="O589" s="83"/>
    </row>
    <row r="590" spans="1:15" ht="22.5" customHeight="1">
      <c r="A590" s="76">
        <v>766589657993298</v>
      </c>
      <c r="B590" s="77" t="s">
        <v>10688</v>
      </c>
      <c r="C590" s="77" t="s">
        <v>10795</v>
      </c>
      <c r="D590" s="77" t="s">
        <v>551</v>
      </c>
      <c r="E590" s="77">
        <v>6285747906282</v>
      </c>
      <c r="F590" s="84">
        <v>45829</v>
      </c>
      <c r="G590" s="79">
        <v>645</v>
      </c>
      <c r="H590" s="80">
        <v>20125</v>
      </c>
      <c r="I590" s="72">
        <v>19</v>
      </c>
      <c r="J590" s="81">
        <v>14651</v>
      </c>
      <c r="K590" s="76">
        <v>3</v>
      </c>
      <c r="L590" s="76">
        <v>303</v>
      </c>
      <c r="M590" s="76">
        <v>0</v>
      </c>
      <c r="N590" s="82" t="s">
        <v>10796</v>
      </c>
      <c r="O590" s="83"/>
    </row>
    <row r="591" spans="1:15" ht="22.5" customHeight="1">
      <c r="A591" s="76">
        <v>766589657993298</v>
      </c>
      <c r="B591" s="77" t="s">
        <v>10688</v>
      </c>
      <c r="C591" s="77" t="s">
        <v>10767</v>
      </c>
      <c r="D591" s="77" t="s">
        <v>10768</v>
      </c>
      <c r="E591" s="77">
        <v>6281519225886</v>
      </c>
      <c r="F591" s="84">
        <v>45829</v>
      </c>
      <c r="G591" s="79">
        <v>362</v>
      </c>
      <c r="H591" s="80">
        <v>42323.600973236011</v>
      </c>
      <c r="I591" s="72">
        <v>16</v>
      </c>
      <c r="J591" s="81">
        <v>17395</v>
      </c>
      <c r="K591" s="76">
        <v>5</v>
      </c>
      <c r="L591" s="76">
        <v>12</v>
      </c>
      <c r="M591" s="76">
        <v>1</v>
      </c>
      <c r="N591" s="82" t="s">
        <v>10769</v>
      </c>
      <c r="O591" s="83"/>
    </row>
    <row r="592" spans="1:15" ht="22.5" customHeight="1">
      <c r="A592" s="76">
        <v>766589657993298</v>
      </c>
      <c r="B592" s="77" t="s">
        <v>10688</v>
      </c>
      <c r="C592" s="77" t="s">
        <v>10797</v>
      </c>
      <c r="D592" s="77" t="s">
        <v>10798</v>
      </c>
      <c r="E592" s="77">
        <v>6285853370682</v>
      </c>
      <c r="F592" s="84">
        <v>45829</v>
      </c>
      <c r="G592" s="79">
        <v>407</v>
      </c>
      <c r="H592" s="80">
        <v>34303.687635574839</v>
      </c>
      <c r="I592" s="72">
        <v>9</v>
      </c>
      <c r="J592" s="81">
        <v>15814</v>
      </c>
      <c r="K592" s="76">
        <v>1</v>
      </c>
      <c r="L592" s="76">
        <v>127</v>
      </c>
      <c r="M592" s="76">
        <v>0</v>
      </c>
      <c r="N592" s="82" t="s">
        <v>10799</v>
      </c>
      <c r="O592" s="83"/>
    </row>
    <row r="593" spans="1:15" ht="22.5" customHeight="1">
      <c r="A593" s="76">
        <v>766589657993298</v>
      </c>
      <c r="B593" s="77" t="s">
        <v>10688</v>
      </c>
      <c r="C593" s="77" t="s">
        <v>10741</v>
      </c>
      <c r="D593" s="77" t="s">
        <v>559</v>
      </c>
      <c r="E593" s="77">
        <v>6281952482523</v>
      </c>
      <c r="F593" s="84">
        <v>45829</v>
      </c>
      <c r="G593" s="79">
        <v>405</v>
      </c>
      <c r="H593" s="80">
        <v>34517.162471395881</v>
      </c>
      <c r="I593" s="72">
        <v>11</v>
      </c>
      <c r="J593" s="81">
        <v>15084</v>
      </c>
      <c r="K593" s="76">
        <v>0</v>
      </c>
      <c r="L593" s="76">
        <v>194</v>
      </c>
      <c r="M593" s="76">
        <v>0</v>
      </c>
      <c r="N593" s="82" t="s">
        <v>10742</v>
      </c>
      <c r="O593" s="83"/>
    </row>
    <row r="594" spans="1:15" ht="22.5" customHeight="1">
      <c r="A594" s="76">
        <v>766589657993298</v>
      </c>
      <c r="B594" s="77" t="s">
        <v>10688</v>
      </c>
      <c r="C594" s="77" t="s">
        <v>10802</v>
      </c>
      <c r="D594" s="77" t="s">
        <v>567</v>
      </c>
      <c r="E594" s="77">
        <v>6285220216325</v>
      </c>
      <c r="F594" s="84">
        <v>45829</v>
      </c>
      <c r="G594" s="79">
        <v>141</v>
      </c>
      <c r="H594" s="80">
        <v>52032.467532467534</v>
      </c>
      <c r="I594" s="72">
        <v>4</v>
      </c>
      <c r="J594" s="81">
        <v>8013</v>
      </c>
      <c r="K594" s="76">
        <v>1</v>
      </c>
      <c r="L594" s="76">
        <v>22</v>
      </c>
      <c r="M594" s="76">
        <v>0</v>
      </c>
      <c r="N594" s="82" t="s">
        <v>10803</v>
      </c>
      <c r="O594" s="83"/>
    </row>
    <row r="595" spans="1:15" ht="22.5" customHeight="1">
      <c r="A595" s="76">
        <v>766589657993298</v>
      </c>
      <c r="B595" s="77" t="s">
        <v>10688</v>
      </c>
      <c r="C595" s="77" t="s">
        <v>10752</v>
      </c>
      <c r="D595" s="77" t="s">
        <v>10753</v>
      </c>
      <c r="E595" s="77">
        <v>6281340892328</v>
      </c>
      <c r="F595" s="84">
        <v>45829</v>
      </c>
      <c r="G595" s="79">
        <v>1482</v>
      </c>
      <c r="H595" s="80">
        <v>9415.348564733451</v>
      </c>
      <c r="I595" s="72">
        <v>42</v>
      </c>
      <c r="J595" s="81">
        <v>16072</v>
      </c>
      <c r="K595" s="76">
        <v>6</v>
      </c>
      <c r="L595" s="76">
        <v>523</v>
      </c>
      <c r="M595" s="76">
        <v>0</v>
      </c>
      <c r="N595" s="82" t="s">
        <v>10754</v>
      </c>
      <c r="O595" s="83"/>
    </row>
    <row r="596" spans="1:15" ht="22.5" customHeight="1">
      <c r="A596" s="76">
        <v>766589657993298</v>
      </c>
      <c r="B596" s="77" t="s">
        <v>10688</v>
      </c>
      <c r="C596" s="77" t="s">
        <v>10739</v>
      </c>
      <c r="D596" s="77" t="s">
        <v>429</v>
      </c>
      <c r="E596" s="77">
        <v>6282399006447</v>
      </c>
      <c r="F596" s="84">
        <v>45829</v>
      </c>
      <c r="G596" s="79">
        <v>368</v>
      </c>
      <c r="H596" s="80">
        <v>20754.430379746835</v>
      </c>
      <c r="I596" s="72">
        <v>6</v>
      </c>
      <c r="J596" s="81">
        <v>8198</v>
      </c>
      <c r="K596" s="76">
        <v>0</v>
      </c>
      <c r="L596" s="76">
        <v>52</v>
      </c>
      <c r="M596" s="76">
        <v>0</v>
      </c>
      <c r="N596" s="82" t="s">
        <v>10740</v>
      </c>
      <c r="O596" s="83"/>
    </row>
    <row r="597" spans="1:15" ht="22.5" customHeight="1">
      <c r="A597" s="76">
        <v>768362231010540</v>
      </c>
      <c r="B597" s="77" t="s">
        <v>10844</v>
      </c>
      <c r="C597" s="77" t="s">
        <v>10845</v>
      </c>
      <c r="D597" s="77" t="s">
        <v>10846</v>
      </c>
      <c r="E597" s="77">
        <v>6281575323811</v>
      </c>
      <c r="F597" s="84">
        <v>45829</v>
      </c>
      <c r="G597" s="79">
        <v>1137</v>
      </c>
      <c r="H597" s="80">
        <v>23562.753036437247</v>
      </c>
      <c r="I597" s="72">
        <v>42</v>
      </c>
      <c r="J597" s="81">
        <v>34920</v>
      </c>
      <c r="K597" s="76">
        <v>4</v>
      </c>
      <c r="L597" s="76">
        <v>66</v>
      </c>
      <c r="M597" s="76">
        <v>1</v>
      </c>
      <c r="N597" s="82" t="s">
        <v>10847</v>
      </c>
      <c r="O597" s="83"/>
    </row>
    <row r="598" spans="1:15" ht="22.5" customHeight="1">
      <c r="A598" s="76">
        <v>759724529202804</v>
      </c>
      <c r="B598" s="77" t="s">
        <v>10621</v>
      </c>
      <c r="C598" s="77" t="s">
        <v>10863</v>
      </c>
      <c r="D598" s="77" t="s">
        <v>10864</v>
      </c>
      <c r="E598" s="77">
        <v>6285180805171</v>
      </c>
      <c r="F598" s="84">
        <v>45830</v>
      </c>
      <c r="G598" s="79">
        <v>641</v>
      </c>
      <c r="H598" s="80">
        <v>19810.526315789473</v>
      </c>
      <c r="I598" s="72">
        <v>23</v>
      </c>
      <c r="J598" s="81">
        <v>15056</v>
      </c>
      <c r="K598" s="76">
        <v>8</v>
      </c>
      <c r="L598" s="76">
        <v>214</v>
      </c>
      <c r="M598" s="76">
        <v>0</v>
      </c>
      <c r="N598" s="82" t="s">
        <v>10865</v>
      </c>
      <c r="O598" s="83"/>
    </row>
    <row r="599" spans="1:15" ht="22.5" customHeight="1">
      <c r="A599" s="76">
        <v>759724529202804</v>
      </c>
      <c r="B599" s="77" t="s">
        <v>10621</v>
      </c>
      <c r="C599" s="77" t="s">
        <v>10850</v>
      </c>
      <c r="D599" s="77" t="s">
        <v>10851</v>
      </c>
      <c r="E599" s="77">
        <v>6282125465047</v>
      </c>
      <c r="F599" s="84">
        <v>45830</v>
      </c>
      <c r="G599" s="79">
        <v>487</v>
      </c>
      <c r="H599" s="80">
        <v>25826.164874551971</v>
      </c>
      <c r="I599" s="72">
        <v>16</v>
      </c>
      <c r="J599" s="81">
        <v>14411</v>
      </c>
      <c r="K599" s="76">
        <v>3</v>
      </c>
      <c r="L599" s="76">
        <v>0</v>
      </c>
      <c r="M599" s="76">
        <v>1</v>
      </c>
      <c r="N599" s="82" t="s">
        <v>10852</v>
      </c>
      <c r="O599" s="83"/>
    </row>
    <row r="600" spans="1:15" ht="22.5" customHeight="1">
      <c r="A600" s="76">
        <v>759724529202804</v>
      </c>
      <c r="B600" s="77" t="s">
        <v>10621</v>
      </c>
      <c r="C600" s="77" t="s">
        <v>10828</v>
      </c>
      <c r="D600" s="77" t="s">
        <v>10829</v>
      </c>
      <c r="E600" s="77">
        <v>6285642607938</v>
      </c>
      <c r="F600" s="84">
        <v>45830</v>
      </c>
      <c r="G600" s="79">
        <v>1499</v>
      </c>
      <c r="H600" s="80">
        <v>8529.4453973699256</v>
      </c>
      <c r="I600" s="72">
        <v>23</v>
      </c>
      <c r="J600" s="81">
        <v>14918</v>
      </c>
      <c r="K600" s="76">
        <v>0</v>
      </c>
      <c r="L600" s="76">
        <v>0</v>
      </c>
      <c r="M600" s="76">
        <v>0</v>
      </c>
      <c r="N600" s="82" t="s">
        <v>10830</v>
      </c>
      <c r="O600" s="83"/>
    </row>
    <row r="601" spans="1:15" ht="22.5" customHeight="1">
      <c r="A601" s="76">
        <v>759724529202804</v>
      </c>
      <c r="B601" s="77" t="s">
        <v>10621</v>
      </c>
      <c r="C601" s="77" t="s">
        <v>332</v>
      </c>
      <c r="D601" s="77" t="s">
        <v>10708</v>
      </c>
      <c r="E601" s="77">
        <v>6282350524788</v>
      </c>
      <c r="F601" s="84">
        <v>45830</v>
      </c>
      <c r="G601" s="79">
        <v>683</v>
      </c>
      <c r="H601" s="80">
        <v>17580.687830687828</v>
      </c>
      <c r="I601" s="72">
        <v>16</v>
      </c>
      <c r="J601" s="81">
        <v>13291</v>
      </c>
      <c r="K601" s="76">
        <v>2</v>
      </c>
      <c r="L601" s="76">
        <v>200</v>
      </c>
      <c r="M601" s="76">
        <v>1</v>
      </c>
      <c r="N601" s="82" t="s">
        <v>10709</v>
      </c>
      <c r="O601" s="83"/>
    </row>
    <row r="602" spans="1:15" ht="22.5" customHeight="1">
      <c r="A602" s="76">
        <v>759724529202804</v>
      </c>
      <c r="B602" s="77" t="s">
        <v>10621</v>
      </c>
      <c r="C602" s="77" t="s">
        <v>665</v>
      </c>
      <c r="D602" s="77" t="s">
        <v>659</v>
      </c>
      <c r="E602" s="77">
        <v>6285757057088</v>
      </c>
      <c r="F602" s="84">
        <v>45830</v>
      </c>
      <c r="G602" s="79">
        <v>639</v>
      </c>
      <c r="H602" s="80">
        <v>20133.669609079443</v>
      </c>
      <c r="I602" s="72">
        <v>22</v>
      </c>
      <c r="J602" s="81">
        <v>15966</v>
      </c>
      <c r="K602" s="76">
        <v>1</v>
      </c>
      <c r="L602" s="76">
        <v>0</v>
      </c>
      <c r="M602" s="76">
        <v>0</v>
      </c>
      <c r="N602" s="82" t="s">
        <v>10636</v>
      </c>
      <c r="O602" s="83"/>
    </row>
    <row r="603" spans="1:15" ht="22.5" customHeight="1">
      <c r="A603" s="76">
        <v>174904221976312</v>
      </c>
      <c r="B603" s="77" t="s">
        <v>10651</v>
      </c>
      <c r="C603" s="77" t="s">
        <v>10866</v>
      </c>
      <c r="D603" s="77" t="s">
        <v>878</v>
      </c>
      <c r="E603" s="77">
        <v>6285733774700</v>
      </c>
      <c r="F603" s="84">
        <v>45830</v>
      </c>
      <c r="G603" s="79">
        <v>261</v>
      </c>
      <c r="H603" s="80">
        <v>38357.400722021659</v>
      </c>
      <c r="I603" s="72">
        <v>4</v>
      </c>
      <c r="J603" s="81">
        <v>10625</v>
      </c>
      <c r="K603" s="76">
        <v>1</v>
      </c>
      <c r="L603" s="76">
        <v>0</v>
      </c>
      <c r="M603" s="76">
        <v>0</v>
      </c>
      <c r="N603" s="82" t="s">
        <v>10867</v>
      </c>
      <c r="O603" s="83"/>
    </row>
    <row r="604" spans="1:15" ht="22.5" customHeight="1">
      <c r="A604" s="76">
        <v>174904221976312</v>
      </c>
      <c r="B604" s="77" t="s">
        <v>10651</v>
      </c>
      <c r="C604" s="77" t="s">
        <v>10853</v>
      </c>
      <c r="D604" s="77" t="s">
        <v>10854</v>
      </c>
      <c r="E604" s="77">
        <v>6281393958199</v>
      </c>
      <c r="F604" s="84">
        <v>45830</v>
      </c>
      <c r="G604" s="79">
        <v>512</v>
      </c>
      <c r="H604" s="80">
        <v>22122.486288848264</v>
      </c>
      <c r="I604" s="72">
        <v>15</v>
      </c>
      <c r="J604" s="81">
        <v>12101</v>
      </c>
      <c r="K604" s="76">
        <v>1</v>
      </c>
      <c r="L604" s="76">
        <v>149</v>
      </c>
      <c r="M604" s="76">
        <v>0</v>
      </c>
      <c r="N604" s="82" t="s">
        <v>10855</v>
      </c>
      <c r="O604" s="83"/>
    </row>
    <row r="605" spans="1:15" ht="22.5" customHeight="1">
      <c r="A605" s="76">
        <v>174904221976312</v>
      </c>
      <c r="B605" s="77" t="s">
        <v>10651</v>
      </c>
      <c r="C605" s="77" t="s">
        <v>10856</v>
      </c>
      <c r="D605" s="77" t="s">
        <v>829</v>
      </c>
      <c r="E605" s="77">
        <v>6285725492572</v>
      </c>
      <c r="F605" s="84">
        <v>45830</v>
      </c>
      <c r="G605" s="79">
        <v>468</v>
      </c>
      <c r="H605" s="80">
        <v>23682.509505703423</v>
      </c>
      <c r="I605" s="72">
        <v>11</v>
      </c>
      <c r="J605" s="81">
        <v>12457</v>
      </c>
      <c r="K605" s="76">
        <v>2</v>
      </c>
      <c r="L605" s="76">
        <v>189</v>
      </c>
      <c r="M605" s="76">
        <v>0</v>
      </c>
      <c r="N605" s="82" t="s">
        <v>10857</v>
      </c>
      <c r="O605" s="83"/>
    </row>
    <row r="606" spans="1:15" ht="22.5" customHeight="1">
      <c r="A606" s="76">
        <v>174904221976312</v>
      </c>
      <c r="B606" s="77" t="s">
        <v>10651</v>
      </c>
      <c r="C606" s="77" t="s">
        <v>10858</v>
      </c>
      <c r="D606" s="77" t="s">
        <v>10859</v>
      </c>
      <c r="E606" s="77">
        <v>6285227384634</v>
      </c>
      <c r="F606" s="84">
        <v>45830</v>
      </c>
      <c r="G606" s="79">
        <v>731</v>
      </c>
      <c r="H606" s="80">
        <v>15072.639225181598</v>
      </c>
      <c r="I606" s="72">
        <v>15</v>
      </c>
      <c r="J606" s="81">
        <v>12450</v>
      </c>
      <c r="K606" s="76">
        <v>2</v>
      </c>
      <c r="L606" s="76">
        <v>0</v>
      </c>
      <c r="M606" s="76">
        <v>0</v>
      </c>
      <c r="N606" s="82" t="s">
        <v>10860</v>
      </c>
      <c r="O606" s="83"/>
    </row>
    <row r="607" spans="1:15" ht="22.5" customHeight="1">
      <c r="A607" s="76">
        <v>174904221976312</v>
      </c>
      <c r="B607" s="77" t="s">
        <v>10651</v>
      </c>
      <c r="C607" s="77" t="s">
        <v>818</v>
      </c>
      <c r="D607" s="77" t="s">
        <v>812</v>
      </c>
      <c r="E607" s="77">
        <v>6287858585808</v>
      </c>
      <c r="F607" s="84">
        <v>45830</v>
      </c>
      <c r="G607" s="79">
        <v>641</v>
      </c>
      <c r="H607" s="80">
        <v>14422.131147540984</v>
      </c>
      <c r="I607" s="72">
        <v>20</v>
      </c>
      <c r="J607" s="81">
        <v>10557</v>
      </c>
      <c r="K607" s="76">
        <v>1</v>
      </c>
      <c r="L607" s="76">
        <v>215</v>
      </c>
      <c r="M607" s="76">
        <v>1</v>
      </c>
      <c r="N607" s="82" t="s">
        <v>10831</v>
      </c>
      <c r="O607" s="83"/>
    </row>
    <row r="608" spans="1:15" ht="22.5" customHeight="1">
      <c r="A608" s="76">
        <v>174904221976312</v>
      </c>
      <c r="B608" s="77" t="s">
        <v>10651</v>
      </c>
      <c r="C608" s="77" t="s">
        <v>10806</v>
      </c>
      <c r="D608" s="77" t="s">
        <v>10807</v>
      </c>
      <c r="E608" s="77">
        <v>628127962347</v>
      </c>
      <c r="F608" s="84">
        <v>45830</v>
      </c>
      <c r="G608" s="79">
        <v>149</v>
      </c>
      <c r="H608" s="80">
        <v>76664.634146341472</v>
      </c>
      <c r="I608" s="72">
        <v>26</v>
      </c>
      <c r="J608" s="81">
        <v>12573</v>
      </c>
      <c r="K608" s="76">
        <v>5</v>
      </c>
      <c r="L608" s="76">
        <v>17</v>
      </c>
      <c r="M608" s="76">
        <v>0</v>
      </c>
      <c r="N608" s="82" t="s">
        <v>10808</v>
      </c>
      <c r="O608" s="83"/>
    </row>
    <row r="609" spans="1:15" ht="22.5" customHeight="1">
      <c r="A609" s="76">
        <v>174904221976312</v>
      </c>
      <c r="B609" s="77" t="s">
        <v>10651</v>
      </c>
      <c r="C609" s="77" t="s">
        <v>10809</v>
      </c>
      <c r="D609" s="77" t="s">
        <v>634</v>
      </c>
      <c r="E609" s="77">
        <v>6282258886603</v>
      </c>
      <c r="F609" s="84">
        <v>45830</v>
      </c>
      <c r="G609" s="79">
        <v>291</v>
      </c>
      <c r="H609" s="80">
        <v>30943.925233644859</v>
      </c>
      <c r="I609" s="72">
        <v>21</v>
      </c>
      <c r="J609" s="81">
        <v>9933</v>
      </c>
      <c r="K609" s="76">
        <v>5</v>
      </c>
      <c r="L609" s="76">
        <v>163</v>
      </c>
      <c r="M609" s="76">
        <v>0</v>
      </c>
      <c r="N609" s="82" t="s">
        <v>10810</v>
      </c>
      <c r="O609" s="83"/>
    </row>
    <row r="610" spans="1:15" ht="22.5" customHeight="1">
      <c r="A610" s="76">
        <v>174904221976312</v>
      </c>
      <c r="B610" s="77" t="s">
        <v>10651</v>
      </c>
      <c r="C610" s="77" t="s">
        <v>10815</v>
      </c>
      <c r="D610" s="77" t="s">
        <v>651</v>
      </c>
      <c r="E610" s="77">
        <v>6281905836259</v>
      </c>
      <c r="F610" s="84">
        <v>45830</v>
      </c>
      <c r="G610" s="79">
        <v>232</v>
      </c>
      <c r="H610" s="80">
        <v>39299.242424242424</v>
      </c>
      <c r="I610" s="72">
        <v>7</v>
      </c>
      <c r="J610" s="81">
        <v>10375</v>
      </c>
      <c r="K610" s="76">
        <v>1</v>
      </c>
      <c r="L610" s="76">
        <v>5</v>
      </c>
      <c r="M610" s="76">
        <v>0</v>
      </c>
      <c r="N610" s="82" t="s">
        <v>10816</v>
      </c>
      <c r="O610" s="83"/>
    </row>
    <row r="611" spans="1:15" ht="22.5" customHeight="1">
      <c r="A611" s="76">
        <v>174904221976312</v>
      </c>
      <c r="B611" s="77" t="s">
        <v>10651</v>
      </c>
      <c r="C611" s="77" t="s">
        <v>8099</v>
      </c>
      <c r="D611" s="77" t="s">
        <v>2357</v>
      </c>
      <c r="E611" s="77">
        <v>6281221788919</v>
      </c>
      <c r="F611" s="84">
        <v>45830</v>
      </c>
      <c r="G611" s="79">
        <v>836</v>
      </c>
      <c r="H611" s="80">
        <v>12028.890959925442</v>
      </c>
      <c r="I611" s="72">
        <v>33</v>
      </c>
      <c r="J611" s="81">
        <v>12907</v>
      </c>
      <c r="K611" s="76">
        <v>4</v>
      </c>
      <c r="L611" s="76">
        <v>361</v>
      </c>
      <c r="M611" s="76">
        <v>1</v>
      </c>
      <c r="N611" s="82" t="s">
        <v>10759</v>
      </c>
      <c r="O611" s="83"/>
    </row>
    <row r="612" spans="1:15" ht="22.5" customHeight="1">
      <c r="A612" s="76">
        <v>174904221976312</v>
      </c>
      <c r="B612" s="77" t="s">
        <v>10651</v>
      </c>
      <c r="C612" s="77" t="s">
        <v>399</v>
      </c>
      <c r="D612" s="77" t="s">
        <v>394</v>
      </c>
      <c r="F612" s="84">
        <v>45830</v>
      </c>
      <c r="G612" s="79">
        <v>3132</v>
      </c>
      <c r="H612" s="80">
        <v>2710.7617240444565</v>
      </c>
      <c r="I612" s="72">
        <v>72</v>
      </c>
      <c r="J612" s="81">
        <v>10000</v>
      </c>
      <c r="K612" s="76">
        <v>6</v>
      </c>
      <c r="L612" s="76">
        <v>922</v>
      </c>
      <c r="M612" s="76">
        <v>1</v>
      </c>
      <c r="N612" s="82" t="s">
        <v>10749</v>
      </c>
      <c r="O612" s="83"/>
    </row>
    <row r="613" spans="1:15" ht="22.5" customHeight="1">
      <c r="A613" s="76">
        <v>174904221976312</v>
      </c>
      <c r="B613" s="77" t="s">
        <v>10651</v>
      </c>
      <c r="C613" s="77" t="s">
        <v>311</v>
      </c>
      <c r="D613" s="77" t="s">
        <v>10737</v>
      </c>
      <c r="E613" s="77">
        <v>628988759290</v>
      </c>
      <c r="F613" s="84">
        <v>45830</v>
      </c>
      <c r="G613" s="79">
        <v>676</v>
      </c>
      <c r="H613" s="80">
        <v>13390.342052313883</v>
      </c>
      <c r="I613" s="72">
        <v>27</v>
      </c>
      <c r="J613" s="81">
        <v>13310</v>
      </c>
      <c r="K613" s="76">
        <v>2</v>
      </c>
      <c r="L613" s="76">
        <v>1</v>
      </c>
      <c r="M613" s="76">
        <v>0</v>
      </c>
      <c r="N613" s="82" t="s">
        <v>10738</v>
      </c>
      <c r="O613" s="83"/>
    </row>
    <row r="614" spans="1:15" ht="22.5" customHeight="1">
      <c r="A614" s="76">
        <v>174904221976312</v>
      </c>
      <c r="B614" s="77" t="s">
        <v>10651</v>
      </c>
      <c r="C614" s="77" t="s">
        <v>10778</v>
      </c>
      <c r="D614" s="77" t="s">
        <v>3140</v>
      </c>
      <c r="F614" s="84">
        <v>45830</v>
      </c>
      <c r="G614" s="79">
        <v>4726</v>
      </c>
      <c r="H614" s="80">
        <v>2291.643297812675</v>
      </c>
      <c r="I614" s="72">
        <v>70</v>
      </c>
      <c r="J614" s="81">
        <v>12258</v>
      </c>
      <c r="K614" s="76">
        <v>1</v>
      </c>
      <c r="L614" s="76">
        <v>730</v>
      </c>
      <c r="M614" s="76">
        <v>0</v>
      </c>
      <c r="N614" s="82" t="s">
        <v>10779</v>
      </c>
      <c r="O614" s="83"/>
    </row>
    <row r="615" spans="1:15" ht="22.5" customHeight="1">
      <c r="A615" s="76">
        <v>174904221976312</v>
      </c>
      <c r="B615" s="77" t="s">
        <v>10651</v>
      </c>
      <c r="C615" s="77" t="s">
        <v>10673</v>
      </c>
      <c r="D615" s="77" t="s">
        <v>10674</v>
      </c>
      <c r="E615" s="77">
        <v>6282183184641</v>
      </c>
      <c r="F615" s="84">
        <v>45830</v>
      </c>
      <c r="G615" s="79">
        <v>658</v>
      </c>
      <c r="H615" s="80">
        <v>14078.843626806833</v>
      </c>
      <c r="I615" s="72">
        <v>14</v>
      </c>
      <c r="J615" s="81">
        <v>10714</v>
      </c>
      <c r="K615" s="76">
        <v>1</v>
      </c>
      <c r="L615" s="76">
        <v>211</v>
      </c>
      <c r="M615" s="76">
        <v>0</v>
      </c>
      <c r="N615" s="82" t="s">
        <v>10675</v>
      </c>
      <c r="O615" s="83"/>
    </row>
    <row r="616" spans="1:15" ht="22.5" customHeight="1">
      <c r="A616" s="76">
        <v>174904221976312</v>
      </c>
      <c r="B616" s="77" t="s">
        <v>10651</v>
      </c>
      <c r="C616" s="77" t="s">
        <v>10652</v>
      </c>
      <c r="D616" s="77" t="s">
        <v>10653</v>
      </c>
      <c r="E616" s="77">
        <v>6281348555887</v>
      </c>
      <c r="F616" s="84">
        <v>45830</v>
      </c>
      <c r="G616" s="79">
        <v>881</v>
      </c>
      <c r="H616" s="80">
        <v>12922.542204568024</v>
      </c>
      <c r="I616" s="72">
        <v>26</v>
      </c>
      <c r="J616" s="81">
        <v>13013</v>
      </c>
      <c r="K616" s="76">
        <v>0</v>
      </c>
      <c r="L616" s="76">
        <v>302</v>
      </c>
      <c r="M616" s="76">
        <v>1</v>
      </c>
      <c r="N616" s="82" t="s">
        <v>10654</v>
      </c>
      <c r="O616" s="83"/>
    </row>
    <row r="617" spans="1:15" ht="22.5" customHeight="1">
      <c r="A617" s="76">
        <v>174904221976312</v>
      </c>
      <c r="B617" s="77" t="s">
        <v>10651</v>
      </c>
      <c r="C617" s="77" t="s">
        <v>10833</v>
      </c>
      <c r="D617" s="77" t="s">
        <v>10834</v>
      </c>
      <c r="E617" s="77">
        <v>6282242925264</v>
      </c>
      <c r="F617" s="84">
        <v>45830</v>
      </c>
      <c r="G617" s="79">
        <v>2122</v>
      </c>
      <c r="H617" s="80">
        <v>5294.5098039215691</v>
      </c>
      <c r="I617" s="72">
        <v>104</v>
      </c>
      <c r="J617" s="81">
        <v>13501</v>
      </c>
      <c r="K617" s="76">
        <v>11</v>
      </c>
      <c r="L617" s="76">
        <v>742</v>
      </c>
      <c r="M617" s="76">
        <v>0</v>
      </c>
      <c r="N617" s="82" t="s">
        <v>10835</v>
      </c>
      <c r="O617" s="83"/>
    </row>
    <row r="618" spans="1:15" ht="22.5" customHeight="1">
      <c r="A618" s="76">
        <v>766589657993298</v>
      </c>
      <c r="B618" s="77" t="s">
        <v>10688</v>
      </c>
      <c r="C618" s="77" t="s">
        <v>10883</v>
      </c>
      <c r="D618" s="77" t="s">
        <v>920</v>
      </c>
      <c r="E618" s="77">
        <v>6281514999073</v>
      </c>
      <c r="F618" s="84">
        <v>45830</v>
      </c>
      <c r="G618" s="79">
        <v>241</v>
      </c>
      <c r="H618" s="80">
        <v>57061.068702290082</v>
      </c>
      <c r="I618" s="72">
        <v>10</v>
      </c>
      <c r="J618" s="81">
        <v>14950</v>
      </c>
      <c r="K618" s="76">
        <v>1</v>
      </c>
      <c r="L618" s="76">
        <v>0</v>
      </c>
      <c r="M618" s="76">
        <v>0</v>
      </c>
      <c r="N618" s="82" t="s">
        <v>10884</v>
      </c>
      <c r="O618" s="83"/>
    </row>
    <row r="619" spans="1:15" ht="22.5" customHeight="1">
      <c r="A619" s="76">
        <v>766589657993298</v>
      </c>
      <c r="B619" s="77" t="s">
        <v>10688</v>
      </c>
      <c r="C619" s="77" t="s">
        <v>10885</v>
      </c>
      <c r="D619" s="77" t="s">
        <v>906</v>
      </c>
      <c r="E619" s="77">
        <v>6282183115806</v>
      </c>
      <c r="F619" s="84">
        <v>45830</v>
      </c>
      <c r="G619" s="79">
        <v>458</v>
      </c>
      <c r="H619" s="80">
        <v>26408.679927667268</v>
      </c>
      <c r="I619" s="72">
        <v>15</v>
      </c>
      <c r="J619" s="81">
        <v>14604</v>
      </c>
      <c r="K619" s="76">
        <v>4</v>
      </c>
      <c r="L619" s="76">
        <v>1</v>
      </c>
      <c r="M619" s="76">
        <v>0</v>
      </c>
      <c r="N619" s="82" t="s">
        <v>10886</v>
      </c>
      <c r="O619" s="83"/>
    </row>
    <row r="620" spans="1:15" ht="22.5" customHeight="1">
      <c r="A620" s="76">
        <v>766589657993298</v>
      </c>
      <c r="B620" s="77" t="s">
        <v>10688</v>
      </c>
      <c r="C620" s="77" t="s">
        <v>10887</v>
      </c>
      <c r="D620" s="77" t="s">
        <v>10888</v>
      </c>
      <c r="E620" s="77">
        <v>6283151330372</v>
      </c>
      <c r="F620" s="84">
        <v>45830</v>
      </c>
      <c r="G620" s="79">
        <v>334</v>
      </c>
      <c r="H620" s="80">
        <v>40698.453608247422</v>
      </c>
      <c r="I620" s="72">
        <v>10</v>
      </c>
      <c r="J620" s="81">
        <v>15791</v>
      </c>
      <c r="K620" s="76">
        <v>2</v>
      </c>
      <c r="L620" s="76">
        <v>1</v>
      </c>
      <c r="M620" s="76">
        <v>1</v>
      </c>
      <c r="N620" s="82" t="s">
        <v>10889</v>
      </c>
      <c r="O620" s="83"/>
    </row>
    <row r="621" spans="1:15" ht="22.5" customHeight="1">
      <c r="A621" s="76">
        <v>766589657993298</v>
      </c>
      <c r="B621" s="77" t="s">
        <v>10688</v>
      </c>
      <c r="C621" s="77" t="s">
        <v>10869</v>
      </c>
      <c r="D621" s="77" t="s">
        <v>10870</v>
      </c>
      <c r="E621" s="77">
        <v>6281230995752</v>
      </c>
      <c r="F621" s="84">
        <v>45830</v>
      </c>
      <c r="G621" s="79">
        <v>512</v>
      </c>
      <c r="H621" s="80">
        <v>24583.591331269348</v>
      </c>
      <c r="I621" s="72">
        <v>16</v>
      </c>
      <c r="J621" s="81">
        <v>15881</v>
      </c>
      <c r="K621" s="76">
        <v>4</v>
      </c>
      <c r="L621" s="76">
        <v>0</v>
      </c>
      <c r="M621" s="76">
        <v>0</v>
      </c>
      <c r="N621" s="82" t="s">
        <v>10871</v>
      </c>
      <c r="O621" s="83"/>
    </row>
    <row r="622" spans="1:15" ht="22.5" customHeight="1">
      <c r="A622" s="76">
        <v>766589657993298</v>
      </c>
      <c r="B622" s="77" t="s">
        <v>10688</v>
      </c>
      <c r="C622" s="77" t="s">
        <v>10872</v>
      </c>
      <c r="D622" s="77" t="s">
        <v>846</v>
      </c>
      <c r="E622" s="77">
        <v>6281233044823</v>
      </c>
      <c r="F622" s="84">
        <v>45830</v>
      </c>
      <c r="G622" s="79">
        <v>338</v>
      </c>
      <c r="H622" s="80">
        <v>39892.105263157893</v>
      </c>
      <c r="I622" s="72">
        <v>0</v>
      </c>
      <c r="J622" s="81">
        <v>15159</v>
      </c>
      <c r="K622" s="76">
        <v>0</v>
      </c>
      <c r="L622" s="76">
        <v>0</v>
      </c>
      <c r="M622" s="76">
        <v>0</v>
      </c>
      <c r="N622" s="82" t="s">
        <v>10873</v>
      </c>
      <c r="O622" s="83"/>
    </row>
    <row r="623" spans="1:15" ht="22.5" customHeight="1">
      <c r="A623" s="76">
        <v>766589657993298</v>
      </c>
      <c r="B623" s="77" t="s">
        <v>10688</v>
      </c>
      <c r="C623" s="77" t="s">
        <v>10874</v>
      </c>
      <c r="D623" s="77" t="s">
        <v>10875</v>
      </c>
      <c r="E623" s="77">
        <v>6281283325291</v>
      </c>
      <c r="F623" s="84">
        <v>45830</v>
      </c>
      <c r="G623" s="79">
        <v>137</v>
      </c>
      <c r="H623" s="80">
        <v>107182.43243243244</v>
      </c>
      <c r="I623" s="72">
        <v>2</v>
      </c>
      <c r="J623" s="81">
        <v>15863</v>
      </c>
      <c r="K623" s="76">
        <v>0</v>
      </c>
      <c r="L623" s="76">
        <v>0</v>
      </c>
      <c r="M623" s="76">
        <v>0</v>
      </c>
      <c r="N623" s="82" t="s">
        <v>10876</v>
      </c>
      <c r="O623" s="83"/>
    </row>
    <row r="624" spans="1:15" ht="22.5" customHeight="1">
      <c r="A624" s="76">
        <v>766589657993298</v>
      </c>
      <c r="B624" s="77" t="s">
        <v>10688</v>
      </c>
      <c r="C624" s="77" t="s">
        <v>10877</v>
      </c>
      <c r="D624" s="77" t="s">
        <v>861</v>
      </c>
      <c r="E624" s="77">
        <v>6289617461806</v>
      </c>
      <c r="F624" s="84">
        <v>45830</v>
      </c>
      <c r="G624" s="79">
        <v>837</v>
      </c>
      <c r="H624" s="80">
        <v>13755.747126436783</v>
      </c>
      <c r="I624" s="72">
        <v>20</v>
      </c>
      <c r="J624" s="81">
        <v>14361</v>
      </c>
      <c r="K624" s="76">
        <v>3</v>
      </c>
      <c r="L624" s="76">
        <v>0</v>
      </c>
      <c r="M624" s="76">
        <v>2</v>
      </c>
      <c r="N624" s="82" t="s">
        <v>10878</v>
      </c>
      <c r="O624" s="83"/>
    </row>
    <row r="625" spans="1:15" ht="22.5" customHeight="1">
      <c r="A625" s="76">
        <v>766589657993298</v>
      </c>
      <c r="B625" s="77" t="s">
        <v>10688</v>
      </c>
      <c r="C625" s="77" t="s">
        <v>10879</v>
      </c>
      <c r="D625" s="77" t="s">
        <v>10880</v>
      </c>
      <c r="E625" s="77">
        <v>6281215851833</v>
      </c>
      <c r="F625" s="84">
        <v>45830</v>
      </c>
      <c r="G625" s="79">
        <v>264</v>
      </c>
      <c r="H625" s="80">
        <v>48032.573289902284</v>
      </c>
      <c r="I625" s="72">
        <v>10</v>
      </c>
      <c r="J625" s="81">
        <v>14746</v>
      </c>
      <c r="K625" s="76">
        <v>1</v>
      </c>
      <c r="L625" s="76">
        <v>0</v>
      </c>
      <c r="M625" s="76">
        <v>0</v>
      </c>
      <c r="N625" s="82" t="s">
        <v>10881</v>
      </c>
      <c r="O625" s="83"/>
    </row>
    <row r="626" spans="1:15" ht="22.5" customHeight="1">
      <c r="A626" s="76">
        <v>766589657993298</v>
      </c>
      <c r="B626" s="77" t="s">
        <v>10688</v>
      </c>
      <c r="C626" s="77" t="s">
        <v>10861</v>
      </c>
      <c r="D626" s="77" t="s">
        <v>795</v>
      </c>
      <c r="E626" s="77">
        <v>6287877805175</v>
      </c>
      <c r="F626" s="84">
        <v>45830</v>
      </c>
      <c r="G626" s="79">
        <v>287</v>
      </c>
      <c r="H626" s="80">
        <v>49044.025157232703</v>
      </c>
      <c r="I626" s="72">
        <v>12</v>
      </c>
      <c r="J626" s="81">
        <v>15596</v>
      </c>
      <c r="K626" s="76">
        <v>5</v>
      </c>
      <c r="L626" s="76">
        <v>0</v>
      </c>
      <c r="M626" s="76">
        <v>1</v>
      </c>
      <c r="N626" s="82" t="s">
        <v>10862</v>
      </c>
      <c r="O626" s="83"/>
    </row>
    <row r="627" spans="1:15" ht="22.5" customHeight="1">
      <c r="A627" s="76">
        <v>766589657993298</v>
      </c>
      <c r="B627" s="77" t="s">
        <v>10688</v>
      </c>
      <c r="C627" s="77" t="s">
        <v>10836</v>
      </c>
      <c r="D627" s="77" t="s">
        <v>780</v>
      </c>
      <c r="E627" s="77">
        <v>6283866009989</v>
      </c>
      <c r="F627" s="84">
        <v>45830</v>
      </c>
      <c r="G627" s="79">
        <v>492</v>
      </c>
      <c r="H627" s="80">
        <v>24867.537313432837</v>
      </c>
      <c r="I627" s="72">
        <v>10</v>
      </c>
      <c r="J627" s="81">
        <v>13329</v>
      </c>
      <c r="K627" s="76">
        <v>0</v>
      </c>
      <c r="L627" s="76">
        <v>301</v>
      </c>
      <c r="M627" s="76">
        <v>0</v>
      </c>
      <c r="N627" s="82" t="s">
        <v>10837</v>
      </c>
      <c r="O627" s="83"/>
    </row>
    <row r="628" spans="1:15" ht="22.5" customHeight="1">
      <c r="A628" s="76">
        <v>766589657993298</v>
      </c>
      <c r="B628" s="77" t="s">
        <v>10688</v>
      </c>
      <c r="C628" s="77" t="s">
        <v>727</v>
      </c>
      <c r="D628" s="77" t="s">
        <v>10838</v>
      </c>
      <c r="E628" s="77">
        <v>6282324392716</v>
      </c>
      <c r="F628" s="84">
        <v>45830</v>
      </c>
      <c r="G628" s="79">
        <v>628</v>
      </c>
      <c r="H628" s="80">
        <v>21160.116448326055</v>
      </c>
      <c r="I628" s="72">
        <v>6</v>
      </c>
      <c r="J628" s="81">
        <v>14537</v>
      </c>
      <c r="K628" s="76">
        <v>0</v>
      </c>
      <c r="L628" s="76">
        <v>455</v>
      </c>
      <c r="M628" s="76">
        <v>0</v>
      </c>
      <c r="N628" s="82" t="s">
        <v>10839</v>
      </c>
      <c r="O628" s="83"/>
    </row>
    <row r="629" spans="1:15" ht="22.5" customHeight="1">
      <c r="A629" s="76">
        <v>766589657993298</v>
      </c>
      <c r="B629" s="77" t="s">
        <v>10688</v>
      </c>
      <c r="C629" s="77" t="s">
        <v>720</v>
      </c>
      <c r="D629" s="77" t="s">
        <v>10840</v>
      </c>
      <c r="E629" s="77">
        <v>6282141603091</v>
      </c>
      <c r="F629" s="84">
        <v>45830</v>
      </c>
      <c r="G629" s="79">
        <v>334</v>
      </c>
      <c r="H629" s="80">
        <v>40069.444444444445</v>
      </c>
      <c r="I629" s="72">
        <v>3</v>
      </c>
      <c r="J629" s="81">
        <v>14425</v>
      </c>
      <c r="K629" s="76">
        <v>0</v>
      </c>
      <c r="L629" s="76">
        <v>0</v>
      </c>
      <c r="M629" s="76">
        <v>1</v>
      </c>
      <c r="N629" s="82" t="s">
        <v>10841</v>
      </c>
      <c r="O629" s="83"/>
    </row>
    <row r="630" spans="1:15" ht="22.5" customHeight="1">
      <c r="A630" s="76">
        <v>766589657993298</v>
      </c>
      <c r="B630" s="77" t="s">
        <v>10688</v>
      </c>
      <c r="C630" s="77" t="s">
        <v>10818</v>
      </c>
      <c r="D630" s="77" t="s">
        <v>700</v>
      </c>
      <c r="E630" s="77">
        <v>6281632236409</v>
      </c>
      <c r="F630" s="84">
        <v>45830</v>
      </c>
      <c r="G630" s="79">
        <v>636</v>
      </c>
      <c r="H630" s="80">
        <v>18428.571428571428</v>
      </c>
      <c r="I630" s="72">
        <v>16</v>
      </c>
      <c r="J630" s="81">
        <v>14190</v>
      </c>
      <c r="K630" s="76">
        <v>1</v>
      </c>
      <c r="L630" s="76">
        <v>192</v>
      </c>
      <c r="M630" s="76">
        <v>0</v>
      </c>
      <c r="N630" s="82" t="s">
        <v>10819</v>
      </c>
      <c r="O630" s="83"/>
    </row>
    <row r="631" spans="1:15" ht="22.5" customHeight="1">
      <c r="A631" s="76">
        <v>766589657993298</v>
      </c>
      <c r="B631" s="77" t="s">
        <v>10688</v>
      </c>
      <c r="C631" s="77" t="s">
        <v>469</v>
      </c>
      <c r="D631" s="77" t="s">
        <v>10820</v>
      </c>
      <c r="E631" s="77">
        <v>6282255726295</v>
      </c>
      <c r="F631" s="84">
        <v>45830</v>
      </c>
      <c r="G631" s="79">
        <v>1280</v>
      </c>
      <c r="H631" s="80">
        <v>7341.3057530704582</v>
      </c>
      <c r="I631" s="72">
        <v>63</v>
      </c>
      <c r="J631" s="81">
        <v>11357</v>
      </c>
      <c r="K631" s="76">
        <v>4</v>
      </c>
      <c r="L631" s="76">
        <v>558</v>
      </c>
      <c r="M631" s="76">
        <v>2</v>
      </c>
      <c r="N631" s="82" t="s">
        <v>10821</v>
      </c>
      <c r="O631" s="83"/>
    </row>
    <row r="632" spans="1:15" ht="22.5" customHeight="1">
      <c r="A632" s="76">
        <v>766589657993298</v>
      </c>
      <c r="B632" s="77" t="s">
        <v>10688</v>
      </c>
      <c r="C632" s="77" t="s">
        <v>10822</v>
      </c>
      <c r="D632" s="77" t="s">
        <v>676</v>
      </c>
      <c r="E632" s="77">
        <v>6281316155059</v>
      </c>
      <c r="F632" s="84">
        <v>45830</v>
      </c>
      <c r="G632" s="79">
        <v>202</v>
      </c>
      <c r="H632" s="80">
        <v>39760.368663594469</v>
      </c>
      <c r="I632" s="72">
        <v>3</v>
      </c>
      <c r="J632" s="81">
        <v>8628</v>
      </c>
      <c r="K632" s="76">
        <v>0</v>
      </c>
      <c r="L632" s="76">
        <v>20</v>
      </c>
      <c r="M632" s="76">
        <v>0</v>
      </c>
      <c r="N632" s="82" t="s">
        <v>10823</v>
      </c>
      <c r="O632" s="83"/>
    </row>
    <row r="633" spans="1:15" ht="22.5" customHeight="1">
      <c r="A633" s="76">
        <v>766589657993298</v>
      </c>
      <c r="B633" s="77" t="s">
        <v>10688</v>
      </c>
      <c r="C633" s="77" t="s">
        <v>769</v>
      </c>
      <c r="D633" s="77" t="s">
        <v>764</v>
      </c>
      <c r="E633" s="77">
        <v>6287778562681</v>
      </c>
      <c r="F633" s="84">
        <v>45830</v>
      </c>
      <c r="G633" s="79">
        <v>374</v>
      </c>
      <c r="H633" s="80">
        <v>36281.862745098042</v>
      </c>
      <c r="I633" s="72">
        <v>9</v>
      </c>
      <c r="J633" s="81">
        <v>14803</v>
      </c>
      <c r="K633" s="76">
        <v>2</v>
      </c>
      <c r="L633" s="76">
        <v>184</v>
      </c>
      <c r="M633" s="76">
        <v>0</v>
      </c>
      <c r="N633" s="82" t="s">
        <v>10882</v>
      </c>
      <c r="O633" s="83"/>
    </row>
    <row r="634" spans="1:15" ht="22.5" customHeight="1">
      <c r="A634" s="76">
        <v>766589657993298</v>
      </c>
      <c r="B634" s="77" t="s">
        <v>10688</v>
      </c>
      <c r="C634" s="77" t="s">
        <v>10786</v>
      </c>
      <c r="D634" s="77" t="s">
        <v>739</v>
      </c>
      <c r="E634" s="77">
        <v>628122102657</v>
      </c>
      <c r="F634" s="84">
        <v>45830</v>
      </c>
      <c r="G634" s="79">
        <v>434</v>
      </c>
      <c r="H634" s="80">
        <v>27013.157894736843</v>
      </c>
      <c r="I634" s="72">
        <v>16</v>
      </c>
      <c r="J634" s="81">
        <v>14371</v>
      </c>
      <c r="K634" s="76">
        <v>1</v>
      </c>
      <c r="L634" s="76">
        <v>165</v>
      </c>
      <c r="M634" s="76">
        <v>0</v>
      </c>
      <c r="N634" s="82" t="s">
        <v>10787</v>
      </c>
      <c r="O634" s="83"/>
    </row>
    <row r="635" spans="1:15" ht="22.5" customHeight="1">
      <c r="A635" s="76">
        <v>766589657993298</v>
      </c>
      <c r="B635" s="77" t="s">
        <v>10688</v>
      </c>
      <c r="C635" s="77" t="s">
        <v>10762</v>
      </c>
      <c r="D635" s="77" t="s">
        <v>10763</v>
      </c>
      <c r="E635" s="77">
        <v>6285210107607</v>
      </c>
      <c r="F635" s="84">
        <v>45830</v>
      </c>
      <c r="G635" s="79">
        <v>697</v>
      </c>
      <c r="H635" s="80">
        <v>19411.764705882353</v>
      </c>
      <c r="I635" s="72">
        <v>14</v>
      </c>
      <c r="J635" s="81">
        <v>15180</v>
      </c>
      <c r="K635" s="76">
        <v>1</v>
      </c>
      <c r="L635" s="76">
        <v>215</v>
      </c>
      <c r="M635" s="76">
        <v>0</v>
      </c>
      <c r="N635" s="82" t="s">
        <v>10764</v>
      </c>
      <c r="O635" s="83"/>
    </row>
    <row r="636" spans="1:15" ht="22.5" customHeight="1">
      <c r="A636" s="76">
        <v>766589657993298</v>
      </c>
      <c r="B636" s="77" t="s">
        <v>10688</v>
      </c>
      <c r="C636" s="77" t="s">
        <v>10842</v>
      </c>
      <c r="D636" s="77" t="s">
        <v>594</v>
      </c>
      <c r="E636" s="77">
        <v>6283185169816</v>
      </c>
      <c r="F636" s="84">
        <v>45830</v>
      </c>
      <c r="G636" s="79">
        <v>387</v>
      </c>
      <c r="H636" s="80">
        <v>34391.684901531728</v>
      </c>
      <c r="I636" s="72">
        <v>6</v>
      </c>
      <c r="J636" s="81">
        <v>15717</v>
      </c>
      <c r="K636" s="76">
        <v>0</v>
      </c>
      <c r="L636" s="76">
        <v>92</v>
      </c>
      <c r="M636" s="76">
        <v>0</v>
      </c>
      <c r="N636" s="82" t="s">
        <v>10843</v>
      </c>
      <c r="O636" s="83"/>
    </row>
    <row r="637" spans="1:15" ht="22.5" customHeight="1">
      <c r="A637" s="76">
        <v>766589657993298</v>
      </c>
      <c r="B637" s="77" t="s">
        <v>10688</v>
      </c>
      <c r="C637" s="77" t="s">
        <v>10765</v>
      </c>
      <c r="D637" s="77" t="s">
        <v>350</v>
      </c>
      <c r="E637" s="77">
        <v>6282393168368</v>
      </c>
      <c r="F637" s="84">
        <v>45830</v>
      </c>
      <c r="G637" s="79">
        <v>556</v>
      </c>
      <c r="H637" s="80">
        <v>21559.322033898305</v>
      </c>
      <c r="I637" s="72">
        <v>30</v>
      </c>
      <c r="J637" s="81">
        <v>15264</v>
      </c>
      <c r="K637" s="76">
        <v>9</v>
      </c>
      <c r="L637" s="76">
        <v>44</v>
      </c>
      <c r="M637" s="76">
        <v>1</v>
      </c>
      <c r="N637" s="82" t="s">
        <v>10766</v>
      </c>
      <c r="O637" s="83"/>
    </row>
    <row r="638" spans="1:15" ht="22.5" customHeight="1">
      <c r="A638" s="76">
        <v>766589657993298</v>
      </c>
      <c r="B638" s="77" t="s">
        <v>10688</v>
      </c>
      <c r="C638" s="77" t="s">
        <v>10795</v>
      </c>
      <c r="D638" s="77" t="s">
        <v>551</v>
      </c>
      <c r="E638" s="77">
        <v>6285747906282</v>
      </c>
      <c r="F638" s="84">
        <v>45830</v>
      </c>
      <c r="G638" s="79">
        <v>571</v>
      </c>
      <c r="H638" s="80">
        <v>23434.169278996866</v>
      </c>
      <c r="I638" s="72">
        <v>14</v>
      </c>
      <c r="J638" s="81">
        <v>14951</v>
      </c>
      <c r="K638" s="76">
        <v>2</v>
      </c>
      <c r="L638" s="76">
        <v>305</v>
      </c>
      <c r="M638" s="76">
        <v>0</v>
      </c>
      <c r="N638" s="82" t="s">
        <v>10796</v>
      </c>
      <c r="O638" s="83"/>
    </row>
    <row r="639" spans="1:15" ht="22.5" customHeight="1">
      <c r="A639" s="76">
        <v>766589657993298</v>
      </c>
      <c r="B639" s="77" t="s">
        <v>10688</v>
      </c>
      <c r="C639" s="77" t="s">
        <v>10767</v>
      </c>
      <c r="D639" s="77" t="s">
        <v>10768</v>
      </c>
      <c r="E639" s="77">
        <v>6281519225886</v>
      </c>
      <c r="F639" s="84">
        <v>45830</v>
      </c>
      <c r="G639" s="79">
        <v>392</v>
      </c>
      <c r="H639" s="80">
        <v>27551.059730250483</v>
      </c>
      <c r="I639" s="72">
        <v>15</v>
      </c>
      <c r="J639" s="81">
        <v>14299</v>
      </c>
      <c r="K639" s="76">
        <v>3</v>
      </c>
      <c r="L639" s="76">
        <v>10</v>
      </c>
      <c r="M639" s="76">
        <v>1</v>
      </c>
      <c r="N639" s="82" t="s">
        <v>10769</v>
      </c>
      <c r="O639" s="83"/>
    </row>
    <row r="640" spans="1:15" ht="22.5" customHeight="1">
      <c r="A640" s="76">
        <v>766589657993298</v>
      </c>
      <c r="B640" s="77" t="s">
        <v>10688</v>
      </c>
      <c r="C640" s="77" t="s">
        <v>10797</v>
      </c>
      <c r="D640" s="77" t="s">
        <v>10798</v>
      </c>
      <c r="E640" s="77">
        <v>6285853370682</v>
      </c>
      <c r="F640" s="84">
        <v>45830</v>
      </c>
      <c r="G640" s="79">
        <v>323</v>
      </c>
      <c r="H640" s="80">
        <v>38120.418848167537</v>
      </c>
      <c r="I640" s="72">
        <v>5</v>
      </c>
      <c r="J640" s="81">
        <v>14562</v>
      </c>
      <c r="K640" s="76">
        <v>1</v>
      </c>
      <c r="L640" s="76">
        <v>120</v>
      </c>
      <c r="M640" s="76">
        <v>0</v>
      </c>
      <c r="N640" s="82" t="s">
        <v>10799</v>
      </c>
      <c r="O640" s="83"/>
    </row>
    <row r="641" spans="1:15" ht="22.5" customHeight="1">
      <c r="A641" s="76">
        <v>766589657993298</v>
      </c>
      <c r="B641" s="77" t="s">
        <v>10688</v>
      </c>
      <c r="C641" s="77" t="s">
        <v>10800</v>
      </c>
      <c r="D641" s="77" t="s">
        <v>472</v>
      </c>
      <c r="E641" s="77">
        <v>628114170888</v>
      </c>
      <c r="F641" s="84">
        <v>45830</v>
      </c>
      <c r="G641" s="79">
        <v>406</v>
      </c>
      <c r="H641" s="80">
        <v>30397.565922920894</v>
      </c>
      <c r="I641" s="72">
        <v>4</v>
      </c>
      <c r="J641" s="81">
        <v>14986</v>
      </c>
      <c r="K641" s="76">
        <v>1</v>
      </c>
      <c r="L641" s="76">
        <v>1</v>
      </c>
      <c r="M641" s="76">
        <v>0</v>
      </c>
      <c r="N641" s="82" t="s">
        <v>10801</v>
      </c>
      <c r="O641" s="83"/>
    </row>
    <row r="642" spans="1:15" ht="22.5" customHeight="1">
      <c r="A642" s="76">
        <v>766589657993298</v>
      </c>
      <c r="B642" s="77" t="s">
        <v>10688</v>
      </c>
      <c r="C642" s="77" t="s">
        <v>10741</v>
      </c>
      <c r="D642" s="77" t="s">
        <v>559</v>
      </c>
      <c r="E642" s="77">
        <v>6281952482523</v>
      </c>
      <c r="F642" s="84">
        <v>45830</v>
      </c>
      <c r="G642" s="79">
        <v>315</v>
      </c>
      <c r="H642" s="80">
        <v>30048.338368580062</v>
      </c>
      <c r="I642" s="72">
        <v>3</v>
      </c>
      <c r="J642" s="81">
        <v>9946</v>
      </c>
      <c r="K642" s="76">
        <v>0</v>
      </c>
      <c r="L642" s="76">
        <v>201</v>
      </c>
      <c r="M642" s="76">
        <v>0</v>
      </c>
      <c r="N642" s="82" t="s">
        <v>10742</v>
      </c>
      <c r="O642" s="83"/>
    </row>
    <row r="643" spans="1:15" ht="22.5" customHeight="1">
      <c r="A643" s="76">
        <v>766589657993298</v>
      </c>
      <c r="B643" s="77" t="s">
        <v>10688</v>
      </c>
      <c r="C643" s="77" t="s">
        <v>10802</v>
      </c>
      <c r="D643" s="77" t="s">
        <v>567</v>
      </c>
      <c r="E643" s="77">
        <v>6285220216325</v>
      </c>
      <c r="F643" s="84">
        <v>45830</v>
      </c>
      <c r="G643" s="79">
        <v>259</v>
      </c>
      <c r="H643" s="80">
        <v>53837.455830388688</v>
      </c>
      <c r="I643" s="72">
        <v>7</v>
      </c>
      <c r="J643" s="81">
        <v>15236</v>
      </c>
      <c r="K643" s="76">
        <v>2</v>
      </c>
      <c r="L643" s="76">
        <v>29</v>
      </c>
      <c r="M643" s="76">
        <v>0</v>
      </c>
      <c r="N643" s="82" t="s">
        <v>10803</v>
      </c>
      <c r="O643" s="83"/>
    </row>
    <row r="644" spans="1:15" ht="22.5" customHeight="1">
      <c r="A644" s="76">
        <v>766589657993298</v>
      </c>
      <c r="B644" s="77" t="s">
        <v>10688</v>
      </c>
      <c r="C644" s="77" t="s">
        <v>10752</v>
      </c>
      <c r="D644" s="77" t="s">
        <v>10753</v>
      </c>
      <c r="E644" s="77">
        <v>6281340892328</v>
      </c>
      <c r="F644" s="84">
        <v>45830</v>
      </c>
      <c r="G644" s="79">
        <v>1248</v>
      </c>
      <c r="H644" s="80">
        <v>9887.2950819672133</v>
      </c>
      <c r="I644" s="72">
        <v>34</v>
      </c>
      <c r="J644" s="81">
        <v>14475</v>
      </c>
      <c r="K644" s="76">
        <v>0</v>
      </c>
      <c r="L644" s="76">
        <v>470</v>
      </c>
      <c r="M644" s="76">
        <v>0</v>
      </c>
      <c r="N644" s="82" t="s">
        <v>10754</v>
      </c>
      <c r="O644" s="83"/>
    </row>
    <row r="645" spans="1:15" ht="22.5" customHeight="1">
      <c r="A645" s="76">
        <v>768362231010540</v>
      </c>
      <c r="B645" s="77" t="s">
        <v>10844</v>
      </c>
      <c r="C645" s="77" t="s">
        <v>10845</v>
      </c>
      <c r="D645" s="77" t="s">
        <v>10846</v>
      </c>
      <c r="E645" s="77">
        <v>6281575323811</v>
      </c>
      <c r="F645" s="84">
        <v>45830</v>
      </c>
      <c r="G645" s="79">
        <v>931</v>
      </c>
      <c r="H645" s="80">
        <v>19099.485420240137</v>
      </c>
      <c r="I645" s="72">
        <v>23</v>
      </c>
      <c r="J645" s="81">
        <v>22270</v>
      </c>
      <c r="K645" s="76">
        <v>1</v>
      </c>
      <c r="L645" s="76">
        <v>51</v>
      </c>
      <c r="M645" s="76">
        <v>0</v>
      </c>
      <c r="N645" s="82" t="s">
        <v>10847</v>
      </c>
      <c r="O645" s="83"/>
    </row>
    <row r="646" spans="1:15" ht="22.5" customHeight="1">
      <c r="A646" s="76">
        <v>768362231010540</v>
      </c>
      <c r="B646" s="77" t="s">
        <v>10844</v>
      </c>
      <c r="C646" s="77" t="s">
        <v>10848</v>
      </c>
      <c r="D646" s="77" t="s">
        <v>7231</v>
      </c>
      <c r="E646" s="77">
        <v>6282224315700</v>
      </c>
      <c r="F646" s="84">
        <v>45830</v>
      </c>
      <c r="G646" s="79">
        <v>484</v>
      </c>
      <c r="H646" s="80">
        <v>36194.158075601372</v>
      </c>
      <c r="I646" s="72">
        <v>17</v>
      </c>
      <c r="J646" s="81">
        <v>21065</v>
      </c>
      <c r="K646" s="76">
        <v>1</v>
      </c>
      <c r="L646" s="76">
        <v>57</v>
      </c>
      <c r="M646" s="76">
        <v>0</v>
      </c>
      <c r="N646" s="82" t="s">
        <v>10849</v>
      </c>
      <c r="O646" s="83"/>
    </row>
    <row r="647" spans="1:15" ht="22.5" customHeight="1">
      <c r="A647" s="76">
        <v>759724529202804</v>
      </c>
      <c r="B647" s="77" t="s">
        <v>10621</v>
      </c>
      <c r="C647" s="77" t="s">
        <v>10863</v>
      </c>
      <c r="D647" s="77" t="s">
        <v>10864</v>
      </c>
      <c r="E647" s="77">
        <v>6285180805171</v>
      </c>
      <c r="F647" s="84">
        <v>45831</v>
      </c>
      <c r="G647" s="79">
        <v>907</v>
      </c>
      <c r="H647" s="80">
        <v>14750.236518448439</v>
      </c>
      <c r="I647" s="72">
        <v>32</v>
      </c>
      <c r="J647" s="81">
        <v>15591</v>
      </c>
      <c r="K647" s="76">
        <v>5</v>
      </c>
      <c r="L647" s="76">
        <v>336</v>
      </c>
      <c r="M647" s="76">
        <v>0</v>
      </c>
      <c r="N647" s="82" t="s">
        <v>10865</v>
      </c>
      <c r="O647" s="83"/>
    </row>
    <row r="648" spans="1:15" ht="22.5" customHeight="1">
      <c r="A648" s="76">
        <v>759724529202804</v>
      </c>
      <c r="B648" s="77" t="s">
        <v>10621</v>
      </c>
      <c r="C648" s="77" t="s">
        <v>10850</v>
      </c>
      <c r="D648" s="77" t="s">
        <v>10851</v>
      </c>
      <c r="E648" s="77">
        <v>6282125465047</v>
      </c>
      <c r="F648" s="84">
        <v>45831</v>
      </c>
      <c r="G648" s="79">
        <v>627</v>
      </c>
      <c r="H648" s="80">
        <v>20934.156378600823</v>
      </c>
      <c r="I648" s="72">
        <v>18</v>
      </c>
      <c r="J648" s="81">
        <v>15261</v>
      </c>
      <c r="K648" s="76">
        <v>3</v>
      </c>
      <c r="L648" s="76">
        <v>66</v>
      </c>
      <c r="M648" s="76">
        <v>0</v>
      </c>
      <c r="N648" s="82" t="s">
        <v>10852</v>
      </c>
      <c r="O648" s="83"/>
    </row>
    <row r="649" spans="1:15" ht="22.5" customHeight="1">
      <c r="A649" s="76">
        <v>759724529202804</v>
      </c>
      <c r="B649" s="77" t="s">
        <v>10621</v>
      </c>
      <c r="C649" s="77" t="s">
        <v>10828</v>
      </c>
      <c r="D649" s="77" t="s">
        <v>10829</v>
      </c>
      <c r="E649" s="77">
        <v>6285642607938</v>
      </c>
      <c r="F649" s="84">
        <v>45831</v>
      </c>
      <c r="G649" s="79">
        <v>1735</v>
      </c>
      <c r="H649" s="80">
        <v>7332.8267477203644</v>
      </c>
      <c r="I649" s="72">
        <v>46</v>
      </c>
      <c r="J649" s="81">
        <v>14475</v>
      </c>
      <c r="K649" s="76">
        <v>0</v>
      </c>
      <c r="L649" s="76">
        <v>104</v>
      </c>
      <c r="M649" s="76">
        <v>0</v>
      </c>
      <c r="N649" s="82" t="s">
        <v>10830</v>
      </c>
      <c r="O649" s="83"/>
    </row>
    <row r="650" spans="1:15" ht="22.5" customHeight="1">
      <c r="A650" s="76">
        <v>759724529202804</v>
      </c>
      <c r="B650" s="77" t="s">
        <v>10621</v>
      </c>
      <c r="C650" s="77" t="s">
        <v>10890</v>
      </c>
      <c r="D650" s="77" t="s">
        <v>450</v>
      </c>
      <c r="E650" s="77">
        <v>62895401448273</v>
      </c>
      <c r="F650" s="84">
        <v>45831</v>
      </c>
      <c r="G650" s="79">
        <v>420</v>
      </c>
      <c r="H650" s="80">
        <v>25596.868884540119</v>
      </c>
      <c r="I650" s="72">
        <v>9</v>
      </c>
      <c r="J650" s="81">
        <v>13080</v>
      </c>
      <c r="K650" s="76">
        <v>1</v>
      </c>
      <c r="L650" s="76">
        <v>0</v>
      </c>
      <c r="M650" s="76">
        <v>0</v>
      </c>
      <c r="N650" s="82" t="s">
        <v>10891</v>
      </c>
      <c r="O650" s="83"/>
    </row>
    <row r="651" spans="1:15" ht="22.5" customHeight="1">
      <c r="A651" s="76">
        <v>759724529202804</v>
      </c>
      <c r="B651" s="77" t="s">
        <v>10621</v>
      </c>
      <c r="C651" s="77" t="s">
        <v>332</v>
      </c>
      <c r="D651" s="77" t="s">
        <v>10708</v>
      </c>
      <c r="E651" s="77">
        <v>6282350524788</v>
      </c>
      <c r="F651" s="84">
        <v>45831</v>
      </c>
      <c r="G651" s="79">
        <v>627</v>
      </c>
      <c r="H651" s="80">
        <v>16828.685258964142</v>
      </c>
      <c r="I651" s="72">
        <v>22</v>
      </c>
      <c r="J651" s="81">
        <v>12672</v>
      </c>
      <c r="K651" s="76">
        <v>5</v>
      </c>
      <c r="L651" s="76">
        <v>29</v>
      </c>
      <c r="M651" s="76">
        <v>1</v>
      </c>
      <c r="N651" s="82" t="s">
        <v>10709</v>
      </c>
      <c r="O651" s="83"/>
    </row>
    <row r="652" spans="1:15" ht="22.5" customHeight="1">
      <c r="A652" s="76">
        <v>759724529202804</v>
      </c>
      <c r="B652" s="77" t="s">
        <v>10621</v>
      </c>
      <c r="C652" s="77" t="s">
        <v>665</v>
      </c>
      <c r="D652" s="77" t="s">
        <v>659</v>
      </c>
      <c r="E652" s="77">
        <v>6285757057088</v>
      </c>
      <c r="F652" s="84">
        <v>45831</v>
      </c>
      <c r="G652" s="79">
        <v>633</v>
      </c>
      <c r="H652" s="80">
        <v>15216.916780354706</v>
      </c>
      <c r="I652" s="72">
        <v>14</v>
      </c>
      <c r="J652" s="81">
        <v>11154</v>
      </c>
      <c r="K652" s="76">
        <v>0</v>
      </c>
      <c r="L652" s="76">
        <v>0</v>
      </c>
      <c r="M652" s="76">
        <v>0</v>
      </c>
      <c r="N652" s="82" t="s">
        <v>10636</v>
      </c>
      <c r="O652" s="83"/>
    </row>
    <row r="653" spans="1:15" ht="22.5" customHeight="1">
      <c r="A653" s="76">
        <v>174904221976312</v>
      </c>
      <c r="B653" s="77" t="s">
        <v>10651</v>
      </c>
      <c r="C653" s="77" t="s">
        <v>10892</v>
      </c>
      <c r="D653" s="77" t="s">
        <v>10893</v>
      </c>
      <c r="E653" s="77">
        <v>6282399721881</v>
      </c>
      <c r="F653" s="84">
        <v>45831</v>
      </c>
      <c r="G653" s="79">
        <v>471</v>
      </c>
      <c r="H653" s="80">
        <v>13368.029739776952</v>
      </c>
      <c r="I653" s="72">
        <v>8</v>
      </c>
      <c r="J653" s="81">
        <v>7192</v>
      </c>
      <c r="K653" s="76">
        <v>0</v>
      </c>
      <c r="L653" s="76">
        <v>221</v>
      </c>
      <c r="M653" s="76">
        <v>0</v>
      </c>
      <c r="N653" s="82" t="s">
        <v>10894</v>
      </c>
      <c r="O653" s="83"/>
    </row>
    <row r="654" spans="1:15" ht="22.5" customHeight="1">
      <c r="A654" s="76">
        <v>174904221976312</v>
      </c>
      <c r="B654" s="77" t="s">
        <v>10651</v>
      </c>
      <c r="C654" s="77" t="s">
        <v>10895</v>
      </c>
      <c r="D654" s="77" t="s">
        <v>10896</v>
      </c>
      <c r="E654" s="77">
        <v>6281299907533</v>
      </c>
      <c r="F654" s="84">
        <v>45831</v>
      </c>
      <c r="G654" s="79">
        <v>376</v>
      </c>
      <c r="H654" s="80">
        <v>26294.117647058822</v>
      </c>
      <c r="I654" s="72">
        <v>10</v>
      </c>
      <c r="J654" s="81">
        <v>11175</v>
      </c>
      <c r="K654" s="76">
        <v>2</v>
      </c>
      <c r="L654" s="76">
        <v>133</v>
      </c>
      <c r="M654" s="76">
        <v>0</v>
      </c>
      <c r="N654" s="82" t="s">
        <v>10897</v>
      </c>
      <c r="O654" s="83"/>
    </row>
    <row r="655" spans="1:15" ht="22.5" customHeight="1">
      <c r="A655" s="76">
        <v>174904221976312</v>
      </c>
      <c r="B655" s="77" t="s">
        <v>10651</v>
      </c>
      <c r="C655" s="77" t="s">
        <v>10866</v>
      </c>
      <c r="D655" s="77" t="s">
        <v>878</v>
      </c>
      <c r="E655" s="77">
        <v>6285733774700</v>
      </c>
      <c r="F655" s="84">
        <v>45831</v>
      </c>
      <c r="G655" s="79">
        <v>587</v>
      </c>
      <c r="H655" s="80">
        <v>18192.47467438495</v>
      </c>
      <c r="I655" s="72">
        <v>14</v>
      </c>
      <c r="J655" s="81">
        <v>12571</v>
      </c>
      <c r="K655" s="76">
        <v>2</v>
      </c>
      <c r="L655" s="76">
        <v>135</v>
      </c>
      <c r="M655" s="76">
        <v>2</v>
      </c>
      <c r="N655" s="82" t="s">
        <v>10867</v>
      </c>
      <c r="O655" s="83"/>
    </row>
    <row r="656" spans="1:15" ht="22.5" customHeight="1">
      <c r="A656" s="76">
        <v>174904221976312</v>
      </c>
      <c r="B656" s="77" t="s">
        <v>10651</v>
      </c>
      <c r="C656" s="77" t="s">
        <v>10853</v>
      </c>
      <c r="D656" s="77" t="s">
        <v>10854</v>
      </c>
      <c r="E656" s="77">
        <v>6281393958199</v>
      </c>
      <c r="F656" s="84">
        <v>45831</v>
      </c>
      <c r="G656" s="79">
        <v>651</v>
      </c>
      <c r="H656" s="80">
        <v>17514.83870967742</v>
      </c>
      <c r="I656" s="72">
        <v>25</v>
      </c>
      <c r="J656" s="81">
        <v>13574</v>
      </c>
      <c r="K656" s="76">
        <v>4</v>
      </c>
      <c r="L656" s="76">
        <v>251</v>
      </c>
      <c r="M656" s="76">
        <v>0</v>
      </c>
      <c r="N656" s="82" t="s">
        <v>10855</v>
      </c>
      <c r="O656" s="83"/>
    </row>
    <row r="657" spans="1:15" ht="22.5" customHeight="1">
      <c r="A657" s="76">
        <v>174904221976312</v>
      </c>
      <c r="B657" s="77" t="s">
        <v>10651</v>
      </c>
      <c r="C657" s="77" t="s">
        <v>10856</v>
      </c>
      <c r="D657" s="77" t="s">
        <v>829</v>
      </c>
      <c r="E657" s="77">
        <v>6285725492572</v>
      </c>
      <c r="F657" s="84">
        <v>45831</v>
      </c>
      <c r="G657" s="79">
        <v>438</v>
      </c>
      <c r="H657" s="80">
        <v>27787.148594377508</v>
      </c>
      <c r="I657" s="72">
        <v>24</v>
      </c>
      <c r="J657" s="81">
        <v>13838</v>
      </c>
      <c r="K657" s="76">
        <v>4</v>
      </c>
      <c r="L657" s="76">
        <v>208</v>
      </c>
      <c r="M657" s="76">
        <v>0</v>
      </c>
      <c r="N657" s="82" t="s">
        <v>10857</v>
      </c>
      <c r="O657" s="83"/>
    </row>
    <row r="658" spans="1:15" ht="22.5" customHeight="1">
      <c r="A658" s="76">
        <v>174904221976312</v>
      </c>
      <c r="B658" s="77" t="s">
        <v>10651</v>
      </c>
      <c r="C658" s="77" t="s">
        <v>10858</v>
      </c>
      <c r="D658" s="77" t="s">
        <v>10859</v>
      </c>
      <c r="E658" s="77">
        <v>6285227384634</v>
      </c>
      <c r="F658" s="84">
        <v>45831</v>
      </c>
      <c r="G658" s="79">
        <v>406</v>
      </c>
      <c r="H658" s="80">
        <v>24408.388520971304</v>
      </c>
      <c r="I658" s="72">
        <v>5</v>
      </c>
      <c r="J658" s="81">
        <v>11057</v>
      </c>
      <c r="K658" s="76">
        <v>1</v>
      </c>
      <c r="L658" s="76">
        <v>54</v>
      </c>
      <c r="M658" s="76">
        <v>0</v>
      </c>
      <c r="N658" s="82" t="s">
        <v>10860</v>
      </c>
      <c r="O658" s="83"/>
    </row>
    <row r="659" spans="1:15" ht="22.5" customHeight="1">
      <c r="A659" s="76">
        <v>174904221976312</v>
      </c>
      <c r="B659" s="77" t="s">
        <v>10651</v>
      </c>
      <c r="C659" s="77" t="s">
        <v>818</v>
      </c>
      <c r="D659" s="77" t="s">
        <v>812</v>
      </c>
      <c r="E659" s="77">
        <v>6287858585808</v>
      </c>
      <c r="F659" s="84">
        <v>45831</v>
      </c>
      <c r="G659" s="79">
        <v>918</v>
      </c>
      <c r="H659" s="80">
        <v>17773.786407766991</v>
      </c>
      <c r="I659" s="72">
        <v>20</v>
      </c>
      <c r="J659" s="81">
        <v>18307</v>
      </c>
      <c r="K659" s="76">
        <v>0</v>
      </c>
      <c r="L659" s="76">
        <v>270</v>
      </c>
      <c r="M659" s="76">
        <v>0</v>
      </c>
      <c r="N659" s="82" t="s">
        <v>10831</v>
      </c>
      <c r="O659" s="83"/>
    </row>
    <row r="660" spans="1:15" ht="22.5" customHeight="1">
      <c r="A660" s="76">
        <v>174904221976312</v>
      </c>
      <c r="B660" s="77" t="s">
        <v>10651</v>
      </c>
      <c r="C660" s="77" t="s">
        <v>10806</v>
      </c>
      <c r="D660" s="77" t="s">
        <v>10807</v>
      </c>
      <c r="E660" s="77">
        <v>628127962347</v>
      </c>
      <c r="F660" s="84">
        <v>45831</v>
      </c>
      <c r="G660" s="79">
        <v>140</v>
      </c>
      <c r="H660" s="80">
        <v>92355.263157894733</v>
      </c>
      <c r="I660" s="72">
        <v>20</v>
      </c>
      <c r="J660" s="81">
        <v>14038</v>
      </c>
      <c r="K660" s="76">
        <v>7</v>
      </c>
      <c r="L660" s="76">
        <v>22</v>
      </c>
      <c r="M660" s="76">
        <v>0</v>
      </c>
      <c r="N660" s="82" t="s">
        <v>10808</v>
      </c>
      <c r="O660" s="83"/>
    </row>
    <row r="661" spans="1:15" ht="22.5" customHeight="1">
      <c r="A661" s="76">
        <v>174904221976312</v>
      </c>
      <c r="B661" s="77" t="s">
        <v>10651</v>
      </c>
      <c r="C661" s="77" t="s">
        <v>10815</v>
      </c>
      <c r="D661" s="77" t="s">
        <v>651</v>
      </c>
      <c r="E661" s="77">
        <v>6281905836259</v>
      </c>
      <c r="F661" s="84">
        <v>45831</v>
      </c>
      <c r="G661" s="79">
        <v>619</v>
      </c>
      <c r="H661" s="80">
        <v>19087.537091988132</v>
      </c>
      <c r="I661" s="72">
        <v>7</v>
      </c>
      <c r="J661" s="81">
        <v>12865</v>
      </c>
      <c r="K661" s="76">
        <v>0</v>
      </c>
      <c r="L661" s="76">
        <v>208</v>
      </c>
      <c r="M661" s="76">
        <v>0</v>
      </c>
      <c r="N661" s="82" t="s">
        <v>10816</v>
      </c>
      <c r="O661" s="83"/>
    </row>
    <row r="662" spans="1:15" ht="22.5" customHeight="1">
      <c r="A662" s="76">
        <v>174904221976312</v>
      </c>
      <c r="B662" s="77" t="s">
        <v>10651</v>
      </c>
      <c r="C662" s="77" t="s">
        <v>8099</v>
      </c>
      <c r="D662" s="77" t="s">
        <v>2357</v>
      </c>
      <c r="E662" s="77">
        <v>6281221788919</v>
      </c>
      <c r="F662" s="84">
        <v>45831</v>
      </c>
      <c r="G662" s="79">
        <v>1059</v>
      </c>
      <c r="H662" s="80">
        <v>9365.871294287781</v>
      </c>
      <c r="I662" s="72">
        <v>18</v>
      </c>
      <c r="J662" s="81">
        <v>12953</v>
      </c>
      <c r="K662" s="76">
        <v>0</v>
      </c>
      <c r="L662" s="76">
        <v>353</v>
      </c>
      <c r="M662" s="76">
        <v>1</v>
      </c>
      <c r="N662" s="82" t="s">
        <v>10759</v>
      </c>
      <c r="O662" s="83"/>
    </row>
    <row r="663" spans="1:15" ht="22.5" customHeight="1">
      <c r="A663" s="76">
        <v>174904221976312</v>
      </c>
      <c r="B663" s="77" t="s">
        <v>10651</v>
      </c>
      <c r="C663" s="77" t="s">
        <v>311</v>
      </c>
      <c r="D663" s="77" t="s">
        <v>10737</v>
      </c>
      <c r="E663" s="77">
        <v>628988759290</v>
      </c>
      <c r="F663" s="84">
        <v>45831</v>
      </c>
      <c r="G663" s="79">
        <v>724</v>
      </c>
      <c r="H663" s="80">
        <v>14402.251791197543</v>
      </c>
      <c r="I663" s="72">
        <v>34</v>
      </c>
      <c r="J663" s="81">
        <v>14071</v>
      </c>
      <c r="K663" s="76">
        <v>2</v>
      </c>
      <c r="L663" s="76">
        <v>2</v>
      </c>
      <c r="M663" s="76">
        <v>0</v>
      </c>
      <c r="N663" s="82" t="s">
        <v>10738</v>
      </c>
      <c r="O663" s="83"/>
    </row>
    <row r="664" spans="1:15" ht="22.5" customHeight="1">
      <c r="A664" s="76">
        <v>174904221976312</v>
      </c>
      <c r="B664" s="77" t="s">
        <v>10651</v>
      </c>
      <c r="C664" s="77" t="s">
        <v>10778</v>
      </c>
      <c r="D664" s="77" t="s">
        <v>3140</v>
      </c>
      <c r="F664" s="84">
        <v>45831</v>
      </c>
      <c r="G664" s="79">
        <v>4480</v>
      </c>
      <c r="H664" s="80">
        <v>2414.068441064639</v>
      </c>
      <c r="I664" s="72">
        <v>76</v>
      </c>
      <c r="J664" s="81">
        <v>12698</v>
      </c>
      <c r="K664" s="76">
        <v>2</v>
      </c>
      <c r="L664" s="76">
        <v>683</v>
      </c>
      <c r="M664" s="76">
        <v>1</v>
      </c>
      <c r="N664" s="82" t="s">
        <v>10779</v>
      </c>
      <c r="O664" s="83"/>
    </row>
    <row r="665" spans="1:15" ht="22.5" customHeight="1">
      <c r="A665" s="76">
        <v>174904221976312</v>
      </c>
      <c r="B665" s="77" t="s">
        <v>10651</v>
      </c>
      <c r="C665" s="77" t="s">
        <v>10673</v>
      </c>
      <c r="D665" s="77" t="s">
        <v>10674</v>
      </c>
      <c r="E665" s="77">
        <v>6282183184641</v>
      </c>
      <c r="F665" s="84">
        <v>45831</v>
      </c>
      <c r="G665" s="79">
        <v>430</v>
      </c>
      <c r="H665" s="80">
        <v>21113.207547169812</v>
      </c>
      <c r="I665" s="72">
        <v>8</v>
      </c>
      <c r="J665" s="81">
        <v>11190</v>
      </c>
      <c r="K665" s="76">
        <v>1</v>
      </c>
      <c r="L665" s="76">
        <v>2</v>
      </c>
      <c r="M665" s="76">
        <v>0</v>
      </c>
      <c r="N665" s="82" t="s">
        <v>10675</v>
      </c>
      <c r="O665" s="83"/>
    </row>
    <row r="666" spans="1:15" ht="22.5" customHeight="1">
      <c r="A666" s="76">
        <v>174904221976312</v>
      </c>
      <c r="B666" s="77" t="s">
        <v>10651</v>
      </c>
      <c r="C666" s="77" t="s">
        <v>10652</v>
      </c>
      <c r="D666" s="77" t="s">
        <v>10653</v>
      </c>
      <c r="E666" s="77">
        <v>6281348555887</v>
      </c>
      <c r="F666" s="84">
        <v>45831</v>
      </c>
      <c r="G666" s="79">
        <v>951</v>
      </c>
      <c r="H666" s="80">
        <v>12293.680297397768</v>
      </c>
      <c r="I666" s="72">
        <v>34</v>
      </c>
      <c r="J666" s="81">
        <v>13228</v>
      </c>
      <c r="K666" s="76">
        <v>0</v>
      </c>
      <c r="L666" s="76">
        <v>280</v>
      </c>
      <c r="M666" s="76">
        <v>1</v>
      </c>
      <c r="N666" s="82" t="s">
        <v>10654</v>
      </c>
      <c r="O666" s="83"/>
    </row>
    <row r="667" spans="1:15" ht="22.5" customHeight="1">
      <c r="A667" s="76">
        <v>174904221976312</v>
      </c>
      <c r="B667" s="77" t="s">
        <v>10651</v>
      </c>
      <c r="C667" s="77" t="s">
        <v>10659</v>
      </c>
      <c r="D667" s="77" t="s">
        <v>1044</v>
      </c>
      <c r="E667" s="77">
        <v>6281263113266</v>
      </c>
      <c r="F667" s="84">
        <v>45831</v>
      </c>
      <c r="G667" s="79">
        <v>963</v>
      </c>
      <c r="H667" s="80">
        <v>11775.735294117647</v>
      </c>
      <c r="I667" s="72">
        <v>59</v>
      </c>
      <c r="J667" s="81">
        <v>12812</v>
      </c>
      <c r="K667" s="76">
        <v>13</v>
      </c>
      <c r="L667" s="76">
        <v>416</v>
      </c>
      <c r="M667" s="76">
        <v>0</v>
      </c>
      <c r="N667" s="82" t="s">
        <v>10660</v>
      </c>
      <c r="O667" s="83"/>
    </row>
    <row r="668" spans="1:15" ht="22.5" customHeight="1">
      <c r="A668" s="76">
        <v>174904221976312</v>
      </c>
      <c r="B668" s="77" t="s">
        <v>10651</v>
      </c>
      <c r="C668" s="77" t="s">
        <v>10833</v>
      </c>
      <c r="D668" s="77" t="s">
        <v>10834</v>
      </c>
      <c r="E668" s="77">
        <v>6282242925264</v>
      </c>
      <c r="F668" s="84">
        <v>45831</v>
      </c>
      <c r="G668" s="79">
        <v>2511</v>
      </c>
      <c r="H668" s="80">
        <v>4769.606134541652</v>
      </c>
      <c r="I668" s="72">
        <v>95</v>
      </c>
      <c r="J668" s="81">
        <v>13684</v>
      </c>
      <c r="K668" s="76">
        <v>4</v>
      </c>
      <c r="L668" s="76">
        <v>756</v>
      </c>
      <c r="M668" s="76">
        <v>0</v>
      </c>
      <c r="N668" s="82" t="s">
        <v>10835</v>
      </c>
      <c r="O668" s="83"/>
    </row>
    <row r="669" spans="1:15" ht="22.5" customHeight="1">
      <c r="A669" s="76">
        <v>766589657993298</v>
      </c>
      <c r="B669" s="77" t="s">
        <v>10688</v>
      </c>
      <c r="C669" s="77" t="s">
        <v>10898</v>
      </c>
      <c r="D669" s="77" t="s">
        <v>978</v>
      </c>
      <c r="E669" s="77">
        <v>6283135590465</v>
      </c>
      <c r="F669" s="84">
        <v>45831</v>
      </c>
      <c r="G669" s="79">
        <v>253</v>
      </c>
      <c r="H669" s="80">
        <v>45981.424148606813</v>
      </c>
      <c r="I669" s="72">
        <v>9</v>
      </c>
      <c r="J669" s="81">
        <v>14852</v>
      </c>
      <c r="K669" s="76">
        <v>1</v>
      </c>
      <c r="L669" s="76">
        <v>0</v>
      </c>
      <c r="M669" s="76">
        <v>0</v>
      </c>
      <c r="N669" s="82" t="s">
        <v>10899</v>
      </c>
      <c r="O669" s="83"/>
    </row>
    <row r="670" spans="1:15" ht="22.5" customHeight="1">
      <c r="A670" s="76">
        <v>766589657993298</v>
      </c>
      <c r="B670" s="77" t="s">
        <v>10688</v>
      </c>
      <c r="C670" s="77" t="s">
        <v>10883</v>
      </c>
      <c r="D670" s="77" t="s">
        <v>920</v>
      </c>
      <c r="E670" s="77">
        <v>6281514999073</v>
      </c>
      <c r="F670" s="84">
        <v>45831</v>
      </c>
      <c r="G670" s="79">
        <v>357</v>
      </c>
      <c r="H670" s="80">
        <v>36816.831683168319</v>
      </c>
      <c r="I670" s="72">
        <v>20</v>
      </c>
      <c r="J670" s="81">
        <v>14874</v>
      </c>
      <c r="K670" s="76">
        <v>3</v>
      </c>
      <c r="L670" s="76">
        <v>0</v>
      </c>
      <c r="M670" s="76">
        <v>0</v>
      </c>
      <c r="N670" s="82" t="s">
        <v>10884</v>
      </c>
      <c r="O670" s="83"/>
    </row>
    <row r="671" spans="1:15" ht="22.5" customHeight="1">
      <c r="A671" s="76">
        <v>766589657993298</v>
      </c>
      <c r="B671" s="77" t="s">
        <v>10688</v>
      </c>
      <c r="C671" s="77" t="s">
        <v>10885</v>
      </c>
      <c r="D671" s="77" t="s">
        <v>906</v>
      </c>
      <c r="E671" s="77">
        <v>6282183115806</v>
      </c>
      <c r="F671" s="84">
        <v>45831</v>
      </c>
      <c r="G671" s="79">
        <v>624</v>
      </c>
      <c r="H671" s="80">
        <v>20875.816993464054</v>
      </c>
      <c r="I671" s="72">
        <v>19</v>
      </c>
      <c r="J671" s="81">
        <v>15970</v>
      </c>
      <c r="K671" s="76">
        <v>3</v>
      </c>
      <c r="L671" s="76">
        <v>0</v>
      </c>
      <c r="M671" s="76">
        <v>0</v>
      </c>
      <c r="N671" s="82" t="s">
        <v>10886</v>
      </c>
      <c r="O671" s="83"/>
    </row>
    <row r="672" spans="1:15" ht="22.5" customHeight="1">
      <c r="A672" s="76">
        <v>766589657993298</v>
      </c>
      <c r="B672" s="77" t="s">
        <v>10688</v>
      </c>
      <c r="C672" s="77" t="s">
        <v>10887</v>
      </c>
      <c r="D672" s="77" t="s">
        <v>10888</v>
      </c>
      <c r="E672" s="77">
        <v>6283151330372</v>
      </c>
      <c r="F672" s="84">
        <v>45831</v>
      </c>
      <c r="G672" s="79">
        <v>391</v>
      </c>
      <c r="H672" s="80">
        <v>34107.287449392716</v>
      </c>
      <c r="I672" s="72">
        <v>12</v>
      </c>
      <c r="J672" s="81">
        <v>16849</v>
      </c>
      <c r="K672" s="76">
        <v>4</v>
      </c>
      <c r="L672" s="76">
        <v>0</v>
      </c>
      <c r="M672" s="76">
        <v>0</v>
      </c>
      <c r="N672" s="82" t="s">
        <v>10889</v>
      </c>
      <c r="O672" s="83"/>
    </row>
    <row r="673" spans="1:15" ht="22.5" customHeight="1">
      <c r="A673" s="76">
        <v>766589657993298</v>
      </c>
      <c r="B673" s="77" t="s">
        <v>10688</v>
      </c>
      <c r="C673" s="77" t="s">
        <v>10869</v>
      </c>
      <c r="D673" s="77" t="s">
        <v>10870</v>
      </c>
      <c r="E673" s="77">
        <v>6281230995752</v>
      </c>
      <c r="F673" s="84">
        <v>45831</v>
      </c>
      <c r="G673" s="79">
        <v>654</v>
      </c>
      <c r="H673" s="80">
        <v>17992.753623188408</v>
      </c>
      <c r="I673" s="72">
        <v>30</v>
      </c>
      <c r="J673" s="81">
        <v>14898</v>
      </c>
      <c r="K673" s="76">
        <v>7</v>
      </c>
      <c r="L673" s="76">
        <v>406</v>
      </c>
      <c r="M673" s="76">
        <v>0</v>
      </c>
      <c r="N673" s="82" t="s">
        <v>10871</v>
      </c>
      <c r="O673" s="83"/>
    </row>
    <row r="674" spans="1:15" ht="22.5" customHeight="1">
      <c r="A674" s="76">
        <v>766589657993298</v>
      </c>
      <c r="B674" s="77" t="s">
        <v>10688</v>
      </c>
      <c r="C674" s="77" t="s">
        <v>10872</v>
      </c>
      <c r="D674" s="77" t="s">
        <v>846</v>
      </c>
      <c r="E674" s="77">
        <v>6281233044823</v>
      </c>
      <c r="F674" s="84">
        <v>45831</v>
      </c>
      <c r="G674" s="79">
        <v>530</v>
      </c>
      <c r="H674" s="80">
        <v>24803.305785123968</v>
      </c>
      <c r="I674" s="72">
        <v>15</v>
      </c>
      <c r="J674" s="81">
        <v>15006</v>
      </c>
      <c r="K674" s="76">
        <v>4</v>
      </c>
      <c r="L674" s="76">
        <v>309</v>
      </c>
      <c r="M674" s="76">
        <v>0</v>
      </c>
      <c r="N674" s="82" t="s">
        <v>10873</v>
      </c>
      <c r="O674" s="83"/>
    </row>
    <row r="675" spans="1:15" ht="22.5" customHeight="1">
      <c r="A675" s="76">
        <v>766589657993298</v>
      </c>
      <c r="B675" s="77" t="s">
        <v>10688</v>
      </c>
      <c r="C675" s="77" t="s">
        <v>10874</v>
      </c>
      <c r="D675" s="77" t="s">
        <v>10875</v>
      </c>
      <c r="E675" s="77">
        <v>6281283325291</v>
      </c>
      <c r="F675" s="84">
        <v>45831</v>
      </c>
      <c r="G675" s="79">
        <v>229</v>
      </c>
      <c r="H675" s="80">
        <v>65305.555555555555</v>
      </c>
      <c r="I675" s="72">
        <v>5</v>
      </c>
      <c r="J675" s="81">
        <v>16457</v>
      </c>
      <c r="K675" s="76">
        <v>1</v>
      </c>
      <c r="L675" s="76">
        <v>61</v>
      </c>
      <c r="M675" s="76">
        <v>0</v>
      </c>
      <c r="N675" s="82" t="s">
        <v>10876</v>
      </c>
      <c r="O675" s="83"/>
    </row>
    <row r="676" spans="1:15" ht="22.5" customHeight="1">
      <c r="A676" s="76">
        <v>766589657993298</v>
      </c>
      <c r="B676" s="77" t="s">
        <v>10688</v>
      </c>
      <c r="C676" s="77" t="s">
        <v>10877</v>
      </c>
      <c r="D676" s="77" t="s">
        <v>861</v>
      </c>
      <c r="E676" s="77">
        <v>6289617461806</v>
      </c>
      <c r="F676" s="84">
        <v>45831</v>
      </c>
      <c r="G676" s="79">
        <v>635</v>
      </c>
      <c r="H676" s="80">
        <v>20054.26356589147</v>
      </c>
      <c r="I676" s="72">
        <v>16</v>
      </c>
      <c r="J676" s="81">
        <v>15522</v>
      </c>
      <c r="K676" s="76">
        <v>2</v>
      </c>
      <c r="L676" s="76">
        <v>206</v>
      </c>
      <c r="M676" s="76">
        <v>0</v>
      </c>
      <c r="N676" s="82" t="s">
        <v>10878</v>
      </c>
      <c r="O676" s="83"/>
    </row>
    <row r="677" spans="1:15" ht="22.5" customHeight="1">
      <c r="A677" s="76">
        <v>766589657993298</v>
      </c>
      <c r="B677" s="77" t="s">
        <v>10688</v>
      </c>
      <c r="C677" s="77" t="s">
        <v>10879</v>
      </c>
      <c r="D677" s="77" t="s">
        <v>10880</v>
      </c>
      <c r="E677" s="77">
        <v>6281215851833</v>
      </c>
      <c r="F677" s="84">
        <v>45831</v>
      </c>
      <c r="G677" s="79">
        <v>356</v>
      </c>
      <c r="H677" s="80">
        <v>45267.352185089978</v>
      </c>
      <c r="I677" s="72">
        <v>11</v>
      </c>
      <c r="J677" s="81">
        <v>17609</v>
      </c>
      <c r="K677" s="76">
        <v>1</v>
      </c>
      <c r="L677" s="76">
        <v>0</v>
      </c>
      <c r="M677" s="76">
        <v>0</v>
      </c>
      <c r="N677" s="82" t="s">
        <v>10881</v>
      </c>
      <c r="O677" s="83"/>
    </row>
    <row r="678" spans="1:15" ht="22.5" customHeight="1">
      <c r="A678" s="76">
        <v>766589657993298</v>
      </c>
      <c r="B678" s="77" t="s">
        <v>10688</v>
      </c>
      <c r="C678" s="77" t="s">
        <v>10861</v>
      </c>
      <c r="D678" s="77" t="s">
        <v>795</v>
      </c>
      <c r="E678" s="77">
        <v>6287877805175</v>
      </c>
      <c r="F678" s="84">
        <v>45831</v>
      </c>
      <c r="G678" s="79">
        <v>378</v>
      </c>
      <c r="H678" s="80">
        <v>38935.483870967742</v>
      </c>
      <c r="I678" s="72">
        <v>11</v>
      </c>
      <c r="J678" s="81">
        <v>16898</v>
      </c>
      <c r="K678" s="76">
        <v>3</v>
      </c>
      <c r="L678" s="76">
        <v>36</v>
      </c>
      <c r="M678" s="76">
        <v>1</v>
      </c>
      <c r="N678" s="82" t="s">
        <v>10862</v>
      </c>
      <c r="O678" s="83"/>
    </row>
    <row r="679" spans="1:15" ht="22.5" customHeight="1">
      <c r="A679" s="76">
        <v>766589657993298</v>
      </c>
      <c r="B679" s="77" t="s">
        <v>10688</v>
      </c>
      <c r="C679" s="77" t="s">
        <v>10836</v>
      </c>
      <c r="D679" s="77" t="s">
        <v>780</v>
      </c>
      <c r="E679" s="77">
        <v>6283866009989</v>
      </c>
      <c r="F679" s="84">
        <v>45831</v>
      </c>
      <c r="G679" s="79">
        <v>644</v>
      </c>
      <c r="H679" s="80">
        <v>24552.112676056338</v>
      </c>
      <c r="I679" s="72">
        <v>16</v>
      </c>
      <c r="J679" s="81">
        <v>17432</v>
      </c>
      <c r="K679" s="76">
        <v>2</v>
      </c>
      <c r="L679" s="76">
        <v>365</v>
      </c>
      <c r="M679" s="76">
        <v>0</v>
      </c>
      <c r="N679" s="82" t="s">
        <v>10837</v>
      </c>
      <c r="O679" s="83"/>
    </row>
    <row r="680" spans="1:15" ht="22.5" customHeight="1">
      <c r="A680" s="76">
        <v>766589657993298</v>
      </c>
      <c r="B680" s="77" t="s">
        <v>10688</v>
      </c>
      <c r="C680" s="77" t="s">
        <v>727</v>
      </c>
      <c r="D680" s="77" t="s">
        <v>10838</v>
      </c>
      <c r="E680" s="77">
        <v>6282324392716</v>
      </c>
      <c r="F680" s="84">
        <v>45831</v>
      </c>
      <c r="G680" s="79">
        <v>461</v>
      </c>
      <c r="H680" s="80">
        <v>31272.189349112428</v>
      </c>
      <c r="I680" s="72">
        <v>6</v>
      </c>
      <c r="J680" s="81">
        <v>15855</v>
      </c>
      <c r="K680" s="76">
        <v>0</v>
      </c>
      <c r="L680" s="76">
        <v>310</v>
      </c>
      <c r="M680" s="76">
        <v>0</v>
      </c>
      <c r="N680" s="82" t="s">
        <v>10839</v>
      </c>
      <c r="O680" s="83"/>
    </row>
    <row r="681" spans="1:15" ht="22.5" customHeight="1">
      <c r="A681" s="76">
        <v>766589657993298</v>
      </c>
      <c r="B681" s="77" t="s">
        <v>10688</v>
      </c>
      <c r="C681" s="77" t="s">
        <v>720</v>
      </c>
      <c r="D681" s="77" t="s">
        <v>10840</v>
      </c>
      <c r="E681" s="77">
        <v>6282141603091</v>
      </c>
      <c r="F681" s="84">
        <v>45831</v>
      </c>
      <c r="G681" s="79">
        <v>896</v>
      </c>
      <c r="H681" s="80">
        <v>16780.18575851393</v>
      </c>
      <c r="I681" s="72">
        <v>32</v>
      </c>
      <c r="J681" s="81">
        <v>16260</v>
      </c>
      <c r="K681" s="76">
        <v>9</v>
      </c>
      <c r="L681" s="76">
        <v>0</v>
      </c>
      <c r="M681" s="76">
        <v>0</v>
      </c>
      <c r="N681" s="82" t="s">
        <v>10841</v>
      </c>
      <c r="O681" s="83"/>
    </row>
    <row r="682" spans="1:15" ht="22.5" customHeight="1">
      <c r="A682" s="76">
        <v>766589657993298</v>
      </c>
      <c r="B682" s="77" t="s">
        <v>10688</v>
      </c>
      <c r="C682" s="77" t="s">
        <v>769</v>
      </c>
      <c r="D682" s="77" t="s">
        <v>764</v>
      </c>
      <c r="E682" s="77">
        <v>6287778562681</v>
      </c>
      <c r="F682" s="84">
        <v>45831</v>
      </c>
      <c r="G682" s="79">
        <v>306</v>
      </c>
      <c r="H682" s="80">
        <v>45870.370370370372</v>
      </c>
      <c r="I682" s="72">
        <v>6</v>
      </c>
      <c r="J682" s="81">
        <v>14862</v>
      </c>
      <c r="K682" s="76">
        <v>1</v>
      </c>
      <c r="L682" s="76">
        <v>126</v>
      </c>
      <c r="M682" s="76">
        <v>1</v>
      </c>
      <c r="N682" s="82" t="s">
        <v>10882</v>
      </c>
      <c r="O682" s="83"/>
    </row>
    <row r="683" spans="1:15" ht="22.5" customHeight="1">
      <c r="A683" s="76">
        <v>766589657993298</v>
      </c>
      <c r="B683" s="77" t="s">
        <v>10688</v>
      </c>
      <c r="C683" s="77" t="s">
        <v>10786</v>
      </c>
      <c r="D683" s="77" t="s">
        <v>739</v>
      </c>
      <c r="E683" s="77">
        <v>628122102657</v>
      </c>
      <c r="F683" s="84">
        <v>45831</v>
      </c>
      <c r="G683" s="79">
        <v>422</v>
      </c>
      <c r="H683" s="80">
        <v>30669.387755102041</v>
      </c>
      <c r="I683" s="72">
        <v>12</v>
      </c>
      <c r="J683" s="81">
        <v>15028</v>
      </c>
      <c r="K683" s="76">
        <v>3</v>
      </c>
      <c r="L683" s="76">
        <v>148</v>
      </c>
      <c r="M683" s="76">
        <v>0</v>
      </c>
      <c r="N683" s="82" t="s">
        <v>10787</v>
      </c>
      <c r="O683" s="83"/>
    </row>
    <row r="684" spans="1:15" ht="22.5" customHeight="1">
      <c r="A684" s="76">
        <v>766589657993298</v>
      </c>
      <c r="B684" s="77" t="s">
        <v>10688</v>
      </c>
      <c r="C684" s="77" t="s">
        <v>10762</v>
      </c>
      <c r="D684" s="77" t="s">
        <v>10763</v>
      </c>
      <c r="E684" s="77">
        <v>6285210107607</v>
      </c>
      <c r="F684" s="84">
        <v>45831</v>
      </c>
      <c r="G684" s="79">
        <v>626</v>
      </c>
      <c r="H684" s="80">
        <v>22299.867899603698</v>
      </c>
      <c r="I684" s="72">
        <v>8</v>
      </c>
      <c r="J684" s="81">
        <v>16881</v>
      </c>
      <c r="K684" s="76">
        <v>0</v>
      </c>
      <c r="L684" s="76">
        <v>198</v>
      </c>
      <c r="M684" s="76">
        <v>0</v>
      </c>
      <c r="N684" s="82" t="s">
        <v>10764</v>
      </c>
      <c r="O684" s="83"/>
    </row>
    <row r="685" spans="1:15" ht="22.5" customHeight="1">
      <c r="A685" s="76">
        <v>766589657993298</v>
      </c>
      <c r="B685" s="77" t="s">
        <v>10688</v>
      </c>
      <c r="C685" s="77" t="s">
        <v>10842</v>
      </c>
      <c r="D685" s="77" t="s">
        <v>594</v>
      </c>
      <c r="E685" s="77">
        <v>6283185169816</v>
      </c>
      <c r="F685" s="84">
        <v>45831</v>
      </c>
      <c r="G685" s="79">
        <v>435</v>
      </c>
      <c r="H685" s="80">
        <v>27729.124236252545</v>
      </c>
      <c r="I685" s="72">
        <v>12</v>
      </c>
      <c r="J685" s="81">
        <v>13615</v>
      </c>
      <c r="K685" s="76">
        <v>0</v>
      </c>
      <c r="L685" s="76">
        <v>82</v>
      </c>
      <c r="M685" s="76">
        <v>0</v>
      </c>
      <c r="N685" s="82" t="s">
        <v>10843</v>
      </c>
      <c r="O685" s="83"/>
    </row>
    <row r="686" spans="1:15" ht="22.5" customHeight="1">
      <c r="A686" s="76">
        <v>766589657993298</v>
      </c>
      <c r="B686" s="77" t="s">
        <v>10688</v>
      </c>
      <c r="C686" s="77" t="s">
        <v>10765</v>
      </c>
      <c r="D686" s="77" t="s">
        <v>350</v>
      </c>
      <c r="E686" s="77">
        <v>6282393168368</v>
      </c>
      <c r="F686" s="84">
        <v>45831</v>
      </c>
      <c r="G686" s="79">
        <v>759</v>
      </c>
      <c r="H686" s="80">
        <v>16713.340683572216</v>
      </c>
      <c r="I686" s="72">
        <v>21</v>
      </c>
      <c r="J686" s="81">
        <v>15159</v>
      </c>
      <c r="K686" s="76">
        <v>5</v>
      </c>
      <c r="L686" s="76">
        <v>22</v>
      </c>
      <c r="M686" s="76">
        <v>0</v>
      </c>
      <c r="N686" s="82" t="s">
        <v>10766</v>
      </c>
      <c r="O686" s="83"/>
    </row>
    <row r="687" spans="1:15" ht="22.5" customHeight="1">
      <c r="A687" s="76">
        <v>766589657993298</v>
      </c>
      <c r="B687" s="77" t="s">
        <v>10688</v>
      </c>
      <c r="C687" s="77" t="s">
        <v>10795</v>
      </c>
      <c r="D687" s="77" t="s">
        <v>551</v>
      </c>
      <c r="E687" s="77">
        <v>6285747906282</v>
      </c>
      <c r="F687" s="84">
        <v>45831</v>
      </c>
      <c r="G687" s="79">
        <v>320</v>
      </c>
      <c r="H687" s="80">
        <v>42724.517906336092</v>
      </c>
      <c r="I687" s="72">
        <v>4</v>
      </c>
      <c r="J687" s="81">
        <v>15509</v>
      </c>
      <c r="K687" s="76">
        <v>1</v>
      </c>
      <c r="L687" s="76">
        <v>4</v>
      </c>
      <c r="M687" s="76">
        <v>0</v>
      </c>
      <c r="N687" s="82" t="s">
        <v>10796</v>
      </c>
      <c r="O687" s="83"/>
    </row>
    <row r="688" spans="1:15" ht="22.5" customHeight="1">
      <c r="A688" s="76">
        <v>766589657993298</v>
      </c>
      <c r="B688" s="77" t="s">
        <v>10688</v>
      </c>
      <c r="C688" s="77" t="s">
        <v>10767</v>
      </c>
      <c r="D688" s="77" t="s">
        <v>10768</v>
      </c>
      <c r="E688" s="77">
        <v>6281519225886</v>
      </c>
      <c r="F688" s="84">
        <v>45831</v>
      </c>
      <c r="G688" s="79">
        <v>479</v>
      </c>
      <c r="H688" s="80">
        <v>27749.549549549549</v>
      </c>
      <c r="I688" s="72">
        <v>16</v>
      </c>
      <c r="J688" s="81">
        <v>15401</v>
      </c>
      <c r="K688" s="76">
        <v>6</v>
      </c>
      <c r="L688" s="76">
        <v>10</v>
      </c>
      <c r="M688" s="76">
        <v>1</v>
      </c>
      <c r="N688" s="82" t="s">
        <v>10769</v>
      </c>
      <c r="O688" s="83"/>
    </row>
    <row r="689" spans="1:15" ht="22.5" customHeight="1">
      <c r="A689" s="76">
        <v>766589657993298</v>
      </c>
      <c r="B689" s="77" t="s">
        <v>10688</v>
      </c>
      <c r="C689" s="77" t="s">
        <v>10797</v>
      </c>
      <c r="D689" s="77" t="s">
        <v>10798</v>
      </c>
      <c r="E689" s="77">
        <v>6285853370682</v>
      </c>
      <c r="F689" s="84">
        <v>45831</v>
      </c>
      <c r="G689" s="79">
        <v>265</v>
      </c>
      <c r="H689" s="80">
        <v>46287.066246056784</v>
      </c>
      <c r="I689" s="72">
        <v>4</v>
      </c>
      <c r="J689" s="81">
        <v>14673</v>
      </c>
      <c r="K689" s="76">
        <v>0</v>
      </c>
      <c r="L689" s="76">
        <v>80</v>
      </c>
      <c r="M689" s="76">
        <v>0</v>
      </c>
      <c r="N689" s="82" t="s">
        <v>10799</v>
      </c>
      <c r="O689" s="83"/>
    </row>
    <row r="690" spans="1:15" ht="22.5" customHeight="1">
      <c r="A690" s="76">
        <v>766589657993298</v>
      </c>
      <c r="B690" s="77" t="s">
        <v>10688</v>
      </c>
      <c r="C690" s="77" t="s">
        <v>10800</v>
      </c>
      <c r="D690" s="77" t="s">
        <v>472</v>
      </c>
      <c r="E690" s="77">
        <v>628114170888</v>
      </c>
      <c r="F690" s="84">
        <v>45831</v>
      </c>
      <c r="G690" s="79">
        <v>300</v>
      </c>
      <c r="H690" s="80">
        <v>39000</v>
      </c>
      <c r="I690" s="72">
        <v>20</v>
      </c>
      <c r="J690" s="81">
        <v>15522</v>
      </c>
      <c r="K690" s="76">
        <v>5</v>
      </c>
      <c r="L690" s="76">
        <v>0</v>
      </c>
      <c r="M690" s="76">
        <v>0</v>
      </c>
      <c r="N690" s="82" t="s">
        <v>10801</v>
      </c>
      <c r="O690" s="83"/>
    </row>
    <row r="691" spans="1:15" ht="22.5" customHeight="1">
      <c r="A691" s="76">
        <v>766589657993298</v>
      </c>
      <c r="B691" s="77" t="s">
        <v>10688</v>
      </c>
      <c r="C691" s="77" t="s">
        <v>10802</v>
      </c>
      <c r="D691" s="77" t="s">
        <v>567</v>
      </c>
      <c r="E691" s="77">
        <v>6285220216325</v>
      </c>
      <c r="F691" s="84">
        <v>45831</v>
      </c>
      <c r="G691" s="79">
        <v>206</v>
      </c>
      <c r="H691" s="80">
        <v>62147.82608695652</v>
      </c>
      <c r="I691" s="72">
        <v>3</v>
      </c>
      <c r="J691" s="81">
        <v>14294</v>
      </c>
      <c r="K691" s="76">
        <v>0</v>
      </c>
      <c r="L691" s="76">
        <v>20</v>
      </c>
      <c r="M691" s="76">
        <v>0</v>
      </c>
      <c r="N691" s="82" t="s">
        <v>10803</v>
      </c>
      <c r="O691" s="83"/>
    </row>
    <row r="692" spans="1:15" ht="22.5" customHeight="1">
      <c r="A692" s="76">
        <v>766589657993298</v>
      </c>
      <c r="B692" s="77" t="s">
        <v>10688</v>
      </c>
      <c r="C692" s="77" t="s">
        <v>10752</v>
      </c>
      <c r="D692" s="77" t="s">
        <v>10753</v>
      </c>
      <c r="E692" s="77">
        <v>6281340892328</v>
      </c>
      <c r="F692" s="84">
        <v>45831</v>
      </c>
      <c r="G692" s="79">
        <v>979</v>
      </c>
      <c r="H692" s="80">
        <v>11431.818181818182</v>
      </c>
      <c r="I692" s="72">
        <v>26</v>
      </c>
      <c r="J692" s="81">
        <v>13581</v>
      </c>
      <c r="K692" s="76">
        <v>1</v>
      </c>
      <c r="L692" s="76">
        <v>335</v>
      </c>
      <c r="M692" s="76">
        <v>0</v>
      </c>
      <c r="N692" s="82" t="s">
        <v>10754</v>
      </c>
      <c r="O692" s="83"/>
    </row>
    <row r="693" spans="1:15" ht="22.5" customHeight="1">
      <c r="A693" s="76">
        <v>768362231010540</v>
      </c>
      <c r="B693" s="77" t="s">
        <v>10844</v>
      </c>
      <c r="C693" s="77" t="s">
        <v>10845</v>
      </c>
      <c r="D693" s="77" t="s">
        <v>10846</v>
      </c>
      <c r="E693" s="77">
        <v>6281575323811</v>
      </c>
      <c r="F693" s="84">
        <v>45831</v>
      </c>
      <c r="G693" s="79">
        <v>1303</v>
      </c>
      <c r="H693" s="80">
        <v>12034.677990092003</v>
      </c>
      <c r="I693" s="72">
        <v>26</v>
      </c>
      <c r="J693" s="81">
        <v>17005</v>
      </c>
      <c r="K693" s="76">
        <v>1</v>
      </c>
      <c r="L693" s="76">
        <v>34</v>
      </c>
      <c r="M693" s="76">
        <v>1</v>
      </c>
      <c r="N693" s="82" t="s">
        <v>10847</v>
      </c>
      <c r="O693" s="83"/>
    </row>
    <row r="694" spans="1:15" ht="22.5" customHeight="1">
      <c r="A694" s="76">
        <v>768362231010540</v>
      </c>
      <c r="B694" s="77" t="s">
        <v>10844</v>
      </c>
      <c r="C694" s="77" t="s">
        <v>10848</v>
      </c>
      <c r="D694" s="77" t="s">
        <v>7231</v>
      </c>
      <c r="E694" s="77">
        <v>6282224315700</v>
      </c>
      <c r="F694" s="84">
        <v>45831</v>
      </c>
      <c r="G694" s="79">
        <v>424</v>
      </c>
      <c r="H694" s="80">
        <v>31870.535714285714</v>
      </c>
      <c r="I694" s="72">
        <v>24</v>
      </c>
      <c r="J694" s="81">
        <v>14278</v>
      </c>
      <c r="K694" s="76">
        <v>1</v>
      </c>
      <c r="L694" s="76">
        <v>81</v>
      </c>
      <c r="M694" s="76">
        <v>0</v>
      </c>
      <c r="N694" s="82" t="s">
        <v>10849</v>
      </c>
      <c r="O694" s="83"/>
    </row>
    <row r="695" spans="1:15" ht="22.5" customHeight="1">
      <c r="A695" s="76">
        <v>206726568613432</v>
      </c>
      <c r="B695" s="77" t="s">
        <v>10900</v>
      </c>
      <c r="C695" s="77" t="s">
        <v>10901</v>
      </c>
      <c r="D695" s="77" t="s">
        <v>10902</v>
      </c>
      <c r="E695" s="77">
        <v>6282194694492</v>
      </c>
      <c r="F695" s="84">
        <v>45831</v>
      </c>
      <c r="G695" s="79">
        <v>579</v>
      </c>
      <c r="H695" s="80">
        <v>20060.9756097561</v>
      </c>
      <c r="I695" s="72">
        <v>35</v>
      </c>
      <c r="J695" s="81">
        <v>13160</v>
      </c>
      <c r="K695" s="76">
        <v>7</v>
      </c>
      <c r="L695" s="76">
        <v>190</v>
      </c>
      <c r="M695" s="76">
        <v>0</v>
      </c>
      <c r="N695" s="82" t="s">
        <v>10903</v>
      </c>
      <c r="O695" s="83"/>
    </row>
    <row r="696" spans="1:15" ht="22.5" customHeight="1">
      <c r="A696" s="76">
        <v>759724529202804</v>
      </c>
      <c r="B696" s="77" t="s">
        <v>10621</v>
      </c>
      <c r="C696" s="77" t="s">
        <v>10904</v>
      </c>
      <c r="D696" s="77" t="s">
        <v>10905</v>
      </c>
      <c r="E696" s="77">
        <v>6285711667433</v>
      </c>
      <c r="F696" s="84">
        <v>45832</v>
      </c>
      <c r="G696" s="79">
        <v>1211</v>
      </c>
      <c r="H696" s="80">
        <v>10463.397299218195</v>
      </c>
      <c r="I696" s="72">
        <v>19</v>
      </c>
      <c r="J696" s="81">
        <v>14722</v>
      </c>
      <c r="K696" s="76">
        <v>2</v>
      </c>
      <c r="L696" s="76">
        <v>0</v>
      </c>
      <c r="M696" s="76">
        <v>0</v>
      </c>
      <c r="N696" s="82" t="s">
        <v>10906</v>
      </c>
      <c r="O696" s="83"/>
    </row>
    <row r="697" spans="1:15" ht="22.5" customHeight="1">
      <c r="A697" s="76">
        <v>759724529202804</v>
      </c>
      <c r="B697" s="77" t="s">
        <v>10621</v>
      </c>
      <c r="C697" s="77" t="s">
        <v>10907</v>
      </c>
      <c r="D697" s="77" t="s">
        <v>943</v>
      </c>
      <c r="E697" s="77">
        <v>6285775986977</v>
      </c>
      <c r="F697" s="84">
        <v>45832</v>
      </c>
      <c r="G697" s="79">
        <v>261</v>
      </c>
      <c r="H697" s="80">
        <v>48378.839590443684</v>
      </c>
      <c r="I697" s="72">
        <v>3</v>
      </c>
      <c r="J697" s="81">
        <v>14175</v>
      </c>
      <c r="K697" s="76">
        <v>0</v>
      </c>
      <c r="L697" s="76">
        <v>0</v>
      </c>
      <c r="M697" s="76">
        <v>0</v>
      </c>
      <c r="N697" s="82" t="s">
        <v>10908</v>
      </c>
      <c r="O697" s="83"/>
    </row>
    <row r="698" spans="1:15" ht="22.5" customHeight="1">
      <c r="A698" s="76">
        <v>759724529202804</v>
      </c>
      <c r="B698" s="77" t="s">
        <v>10621</v>
      </c>
      <c r="C698" s="77" t="s">
        <v>10909</v>
      </c>
      <c r="D698" s="77" t="s">
        <v>10910</v>
      </c>
      <c r="E698" s="77">
        <v>6281904501876</v>
      </c>
      <c r="F698" s="84">
        <v>45832</v>
      </c>
      <c r="G698" s="79">
        <v>1134</v>
      </c>
      <c r="H698" s="80">
        <v>9583.660130718954</v>
      </c>
      <c r="I698" s="72">
        <v>12</v>
      </c>
      <c r="J698" s="81">
        <v>14663</v>
      </c>
      <c r="K698" s="76">
        <v>0</v>
      </c>
      <c r="L698" s="76">
        <v>1</v>
      </c>
      <c r="M698" s="76">
        <v>0</v>
      </c>
      <c r="N698" s="82" t="s">
        <v>10911</v>
      </c>
      <c r="O698" s="83"/>
    </row>
    <row r="699" spans="1:15" ht="22.5" customHeight="1">
      <c r="A699" s="76">
        <v>759724529202804</v>
      </c>
      <c r="B699" s="77" t="s">
        <v>10621</v>
      </c>
      <c r="C699" s="77" t="s">
        <v>10912</v>
      </c>
      <c r="D699" s="77" t="s">
        <v>1029</v>
      </c>
      <c r="E699" s="77">
        <v>6281253792753</v>
      </c>
      <c r="F699" s="84">
        <v>45832</v>
      </c>
      <c r="G699" s="79">
        <v>826</v>
      </c>
      <c r="H699" s="80">
        <v>12889.380530973451</v>
      </c>
      <c r="I699" s="72">
        <v>18</v>
      </c>
      <c r="J699" s="81">
        <v>14565</v>
      </c>
      <c r="K699" s="76">
        <v>1</v>
      </c>
      <c r="L699" s="76">
        <v>0</v>
      </c>
      <c r="M699" s="76">
        <v>0</v>
      </c>
      <c r="N699" s="82" t="s">
        <v>10913</v>
      </c>
      <c r="O699" s="83"/>
    </row>
    <row r="700" spans="1:15" ht="22.5" customHeight="1">
      <c r="A700" s="76">
        <v>759724529202804</v>
      </c>
      <c r="B700" s="77" t="s">
        <v>10621</v>
      </c>
      <c r="C700" s="77" t="s">
        <v>332</v>
      </c>
      <c r="D700" s="77" t="s">
        <v>10708</v>
      </c>
      <c r="E700" s="77">
        <v>6282350524788</v>
      </c>
      <c r="F700" s="84">
        <v>45824</v>
      </c>
      <c r="G700" s="76">
        <v>1013</v>
      </c>
      <c r="H700" s="80">
        <v>13434.232715008431</v>
      </c>
      <c r="I700" s="76">
        <v>16</v>
      </c>
      <c r="J700" s="76">
        <v>15933</v>
      </c>
      <c r="K700" s="76">
        <v>3</v>
      </c>
      <c r="L700" s="76">
        <v>287</v>
      </c>
      <c r="M700" s="76">
        <v>0</v>
      </c>
      <c r="N700" s="82" t="s">
        <v>10914</v>
      </c>
      <c r="O700" s="83"/>
    </row>
    <row r="701" spans="1:15" ht="22.5" customHeight="1">
      <c r="A701" s="76">
        <v>759724529202804</v>
      </c>
      <c r="B701" s="77" t="s">
        <v>10621</v>
      </c>
      <c r="C701" s="77" t="s">
        <v>10863</v>
      </c>
      <c r="D701" s="77" t="s">
        <v>10864</v>
      </c>
      <c r="E701" s="77">
        <v>6285180805171</v>
      </c>
      <c r="F701" s="84">
        <v>45832</v>
      </c>
      <c r="G701" s="79">
        <v>1254</v>
      </c>
      <c r="H701" s="80">
        <v>10818.11942347289</v>
      </c>
      <c r="I701" s="72">
        <v>27</v>
      </c>
      <c r="J701" s="81">
        <v>15762</v>
      </c>
      <c r="K701" s="76">
        <v>1</v>
      </c>
      <c r="L701" s="76">
        <v>425</v>
      </c>
      <c r="M701" s="76">
        <v>0</v>
      </c>
      <c r="N701" s="82" t="s">
        <v>10865</v>
      </c>
      <c r="O701" s="83"/>
    </row>
    <row r="702" spans="1:15" ht="22.5" customHeight="1">
      <c r="A702" s="76">
        <v>759724529202804</v>
      </c>
      <c r="B702" s="77" t="s">
        <v>10621</v>
      </c>
      <c r="C702" s="77" t="s">
        <v>10850</v>
      </c>
      <c r="D702" s="77" t="s">
        <v>10851</v>
      </c>
      <c r="E702" s="77">
        <v>6282125465047</v>
      </c>
      <c r="F702" s="84">
        <v>45832</v>
      </c>
      <c r="G702" s="79">
        <v>802</v>
      </c>
      <c r="H702" s="80">
        <v>18034.368070953438</v>
      </c>
      <c r="I702" s="72">
        <v>46</v>
      </c>
      <c r="J702" s="81">
        <v>16267</v>
      </c>
      <c r="K702" s="76">
        <v>9</v>
      </c>
      <c r="L702" s="76">
        <v>296</v>
      </c>
      <c r="M702" s="76">
        <v>2</v>
      </c>
      <c r="N702" s="82" t="s">
        <v>10852</v>
      </c>
      <c r="O702" s="83"/>
    </row>
    <row r="703" spans="1:15" ht="22.5" customHeight="1">
      <c r="A703" s="76">
        <v>759724529202804</v>
      </c>
      <c r="B703" s="77" t="s">
        <v>10621</v>
      </c>
      <c r="C703" s="77" t="s">
        <v>10890</v>
      </c>
      <c r="D703" s="77" t="s">
        <v>450</v>
      </c>
      <c r="E703" s="77">
        <v>62895401448273</v>
      </c>
      <c r="F703" s="84">
        <v>45832</v>
      </c>
      <c r="G703" s="79">
        <v>564</v>
      </c>
      <c r="H703" s="80">
        <v>22271.164021164022</v>
      </c>
      <c r="I703" s="72">
        <v>24</v>
      </c>
      <c r="J703" s="81">
        <v>16837</v>
      </c>
      <c r="K703" s="76">
        <v>1</v>
      </c>
      <c r="L703" s="76">
        <v>0</v>
      </c>
      <c r="M703" s="76">
        <v>0</v>
      </c>
      <c r="N703" s="82" t="s">
        <v>10891</v>
      </c>
      <c r="O703" s="83"/>
    </row>
    <row r="704" spans="1:15" ht="22.5" customHeight="1">
      <c r="A704" s="76">
        <v>759724529202804</v>
      </c>
      <c r="B704" s="77" t="s">
        <v>10621</v>
      </c>
      <c r="C704" s="77" t="s">
        <v>332</v>
      </c>
      <c r="D704" s="77" t="s">
        <v>10708</v>
      </c>
      <c r="E704" s="77">
        <v>6282350524788</v>
      </c>
      <c r="F704" s="84">
        <v>45832</v>
      </c>
      <c r="G704" s="79">
        <v>782</v>
      </c>
      <c r="H704" s="80">
        <v>15505.652620760535</v>
      </c>
      <c r="I704" s="72">
        <v>40</v>
      </c>
      <c r="J704" s="81">
        <v>15087</v>
      </c>
      <c r="K704" s="76">
        <v>4</v>
      </c>
      <c r="L704" s="76">
        <v>5</v>
      </c>
      <c r="M704" s="76">
        <v>0</v>
      </c>
      <c r="N704" s="82" t="s">
        <v>10709</v>
      </c>
      <c r="O704" s="83"/>
    </row>
    <row r="705" spans="1:15" ht="22.5" customHeight="1">
      <c r="A705" s="76">
        <v>759724529202804</v>
      </c>
      <c r="B705" s="77" t="s">
        <v>10621</v>
      </c>
      <c r="C705" s="77" t="s">
        <v>665</v>
      </c>
      <c r="D705" s="77" t="s">
        <v>659</v>
      </c>
      <c r="E705" s="77">
        <v>6285757057088</v>
      </c>
      <c r="F705" s="84">
        <v>45832</v>
      </c>
      <c r="G705" s="79">
        <v>668</v>
      </c>
      <c r="H705" s="80">
        <v>18317.857142857141</v>
      </c>
      <c r="I705" s="72">
        <v>25</v>
      </c>
      <c r="J705" s="81">
        <v>15387</v>
      </c>
      <c r="K705" s="76">
        <v>1</v>
      </c>
      <c r="L705" s="76">
        <v>0</v>
      </c>
      <c r="M705" s="76">
        <v>1</v>
      </c>
      <c r="N705" s="82" t="s">
        <v>10636</v>
      </c>
      <c r="O705" s="83"/>
    </row>
    <row r="706" spans="1:15" ht="22.5" customHeight="1">
      <c r="A706" s="76">
        <v>174904221976312</v>
      </c>
      <c r="B706" s="77" t="s">
        <v>10651</v>
      </c>
      <c r="C706" s="77" t="s">
        <v>10915</v>
      </c>
      <c r="D706" s="77" t="s">
        <v>10674</v>
      </c>
      <c r="E706" s="77">
        <v>6282183184641</v>
      </c>
      <c r="F706" s="84">
        <v>45832</v>
      </c>
      <c r="G706" s="79">
        <v>428</v>
      </c>
      <c r="H706" s="80">
        <v>17164.14686825054</v>
      </c>
      <c r="I706" s="72">
        <v>9</v>
      </c>
      <c r="J706" s="81">
        <v>7947</v>
      </c>
      <c r="K706" s="76">
        <v>2</v>
      </c>
      <c r="L706" s="76">
        <v>63</v>
      </c>
      <c r="M706" s="76">
        <v>0</v>
      </c>
      <c r="N706" s="82" t="s">
        <v>10675</v>
      </c>
      <c r="O706" s="83"/>
    </row>
    <row r="707" spans="1:15" ht="22.5" customHeight="1">
      <c r="A707" s="76">
        <v>174904221976312</v>
      </c>
      <c r="B707" s="77" t="s">
        <v>10651</v>
      </c>
      <c r="C707" s="77" t="s">
        <v>10892</v>
      </c>
      <c r="D707" s="77" t="s">
        <v>10893</v>
      </c>
      <c r="E707" s="77">
        <v>6282399721881</v>
      </c>
      <c r="F707" s="84">
        <v>45832</v>
      </c>
      <c r="G707" s="79">
        <v>979</v>
      </c>
      <c r="H707" s="80">
        <v>10408.619313647247</v>
      </c>
      <c r="I707" s="72">
        <v>18</v>
      </c>
      <c r="J707" s="81">
        <v>13042</v>
      </c>
      <c r="K707" s="76">
        <v>0</v>
      </c>
      <c r="L707" s="76">
        <v>468</v>
      </c>
      <c r="M707" s="76">
        <v>0</v>
      </c>
      <c r="N707" s="82" t="s">
        <v>10894</v>
      </c>
      <c r="O707" s="83"/>
    </row>
    <row r="708" spans="1:15" ht="22.5" customHeight="1">
      <c r="A708" s="76">
        <v>174904221976312</v>
      </c>
      <c r="B708" s="77" t="s">
        <v>10651</v>
      </c>
      <c r="C708" s="77" t="s">
        <v>10895</v>
      </c>
      <c r="D708" s="77" t="s">
        <v>10896</v>
      </c>
      <c r="E708" s="77">
        <v>6281299907533</v>
      </c>
      <c r="F708" s="84">
        <v>45832</v>
      </c>
      <c r="G708" s="79">
        <v>398</v>
      </c>
      <c r="H708" s="80">
        <v>27697.82608695652</v>
      </c>
      <c r="I708" s="72">
        <v>18</v>
      </c>
      <c r="J708" s="81">
        <v>12741</v>
      </c>
      <c r="K708" s="76">
        <v>1</v>
      </c>
      <c r="L708" s="76">
        <v>188</v>
      </c>
      <c r="M708" s="76">
        <v>0</v>
      </c>
      <c r="N708" s="82" t="s">
        <v>10897</v>
      </c>
      <c r="O708" s="83"/>
    </row>
    <row r="709" spans="1:15" ht="22.5" customHeight="1">
      <c r="A709" s="76">
        <v>174904221976312</v>
      </c>
      <c r="B709" s="77" t="s">
        <v>10651</v>
      </c>
      <c r="C709" s="77" t="s">
        <v>10866</v>
      </c>
      <c r="D709" s="77" t="s">
        <v>878</v>
      </c>
      <c r="E709" s="77">
        <v>6285733774700</v>
      </c>
      <c r="F709" s="84">
        <v>45832</v>
      </c>
      <c r="G709" s="79">
        <v>653</v>
      </c>
      <c r="H709" s="80">
        <v>17758.312020460358</v>
      </c>
      <c r="I709" s="72">
        <v>25</v>
      </c>
      <c r="J709" s="81">
        <v>13887</v>
      </c>
      <c r="K709" s="76">
        <v>5</v>
      </c>
      <c r="L709" s="76">
        <v>173</v>
      </c>
      <c r="M709" s="76">
        <v>1</v>
      </c>
      <c r="N709" s="82" t="s">
        <v>10867</v>
      </c>
      <c r="O709" s="83"/>
    </row>
    <row r="710" spans="1:15" ht="22.5" customHeight="1">
      <c r="A710" s="76">
        <v>174904221976312</v>
      </c>
      <c r="B710" s="77" t="s">
        <v>10651</v>
      </c>
      <c r="C710" s="77" t="s">
        <v>10853</v>
      </c>
      <c r="D710" s="77" t="s">
        <v>10854</v>
      </c>
      <c r="E710" s="77">
        <v>6281393958199</v>
      </c>
      <c r="F710" s="84">
        <v>45832</v>
      </c>
      <c r="G710" s="79">
        <v>647</v>
      </c>
      <c r="H710" s="80">
        <v>16854.356306892067</v>
      </c>
      <c r="I710" s="72">
        <v>28</v>
      </c>
      <c r="J710" s="81">
        <v>12961</v>
      </c>
      <c r="K710" s="76">
        <v>7</v>
      </c>
      <c r="L710" s="76">
        <v>214</v>
      </c>
      <c r="M710" s="76">
        <v>0</v>
      </c>
      <c r="N710" s="82" t="s">
        <v>10855</v>
      </c>
      <c r="O710" s="83"/>
    </row>
    <row r="711" spans="1:15" ht="22.5" customHeight="1">
      <c r="A711" s="76">
        <v>174904221976312</v>
      </c>
      <c r="B711" s="77" t="s">
        <v>10651</v>
      </c>
      <c r="C711" s="77" t="s">
        <v>10856</v>
      </c>
      <c r="D711" s="77" t="s">
        <v>829</v>
      </c>
      <c r="E711" s="77">
        <v>6285725492572</v>
      </c>
      <c r="F711" s="84">
        <v>45832</v>
      </c>
      <c r="G711" s="79">
        <v>497</v>
      </c>
      <c r="H711" s="80">
        <v>26288.966725043781</v>
      </c>
      <c r="I711" s="72">
        <v>23</v>
      </c>
      <c r="J711" s="81">
        <v>15011</v>
      </c>
      <c r="K711" s="76">
        <v>4</v>
      </c>
      <c r="L711" s="76">
        <v>201</v>
      </c>
      <c r="M711" s="76">
        <v>2</v>
      </c>
      <c r="N711" s="82" t="s">
        <v>10857</v>
      </c>
      <c r="O711" s="83"/>
    </row>
    <row r="712" spans="1:15" ht="22.5" customHeight="1">
      <c r="A712" s="76">
        <v>174904221976312</v>
      </c>
      <c r="B712" s="77" t="s">
        <v>10651</v>
      </c>
      <c r="C712" s="77" t="s">
        <v>10858</v>
      </c>
      <c r="D712" s="77" t="s">
        <v>10859</v>
      </c>
      <c r="E712" s="77">
        <v>6285227384634</v>
      </c>
      <c r="F712" s="84">
        <v>45832</v>
      </c>
      <c r="G712" s="79">
        <v>449</v>
      </c>
      <c r="H712" s="80">
        <v>22690.647482014389</v>
      </c>
      <c r="I712" s="72">
        <v>19</v>
      </c>
      <c r="J712" s="81">
        <v>12616</v>
      </c>
      <c r="K712" s="76">
        <v>5</v>
      </c>
      <c r="L712" s="76">
        <v>0</v>
      </c>
      <c r="M712" s="76">
        <v>0</v>
      </c>
      <c r="N712" s="82" t="s">
        <v>10860</v>
      </c>
      <c r="O712" s="83"/>
    </row>
    <row r="713" spans="1:15" ht="22.5" customHeight="1">
      <c r="A713" s="76">
        <v>174904221976312</v>
      </c>
      <c r="B713" s="77" t="s">
        <v>10651</v>
      </c>
      <c r="C713" s="77" t="s">
        <v>818</v>
      </c>
      <c r="D713" s="77" t="s">
        <v>812</v>
      </c>
      <c r="E713" s="77">
        <v>6287858585808</v>
      </c>
      <c r="F713" s="84">
        <v>45832</v>
      </c>
      <c r="G713" s="79">
        <v>979</v>
      </c>
      <c r="H713" s="80">
        <v>11166.529266281947</v>
      </c>
      <c r="I713" s="72">
        <v>35</v>
      </c>
      <c r="J713" s="81">
        <v>13545</v>
      </c>
      <c r="K713" s="76">
        <v>2</v>
      </c>
      <c r="L713" s="76">
        <v>353</v>
      </c>
      <c r="M713" s="76">
        <v>2</v>
      </c>
      <c r="N713" s="82" t="s">
        <v>10831</v>
      </c>
      <c r="O713" s="83"/>
    </row>
    <row r="714" spans="1:15" ht="22.5" customHeight="1">
      <c r="A714" s="76">
        <v>174904221976312</v>
      </c>
      <c r="B714" s="77" t="s">
        <v>10651</v>
      </c>
      <c r="C714" s="77" t="s">
        <v>10806</v>
      </c>
      <c r="D714" s="77" t="s">
        <v>10807</v>
      </c>
      <c r="E714" s="77">
        <v>628127962347</v>
      </c>
      <c r="F714" s="84">
        <v>45832</v>
      </c>
      <c r="G714" s="79">
        <v>154</v>
      </c>
      <c r="H714" s="80">
        <v>80443.113772455094</v>
      </c>
      <c r="I714" s="72">
        <v>16</v>
      </c>
      <c r="J714" s="81">
        <v>13434</v>
      </c>
      <c r="K714" s="76">
        <v>6</v>
      </c>
      <c r="L714" s="76">
        <v>29</v>
      </c>
      <c r="M714" s="76">
        <v>0</v>
      </c>
      <c r="N714" s="82" t="s">
        <v>10808</v>
      </c>
      <c r="O714" s="83"/>
    </row>
    <row r="715" spans="1:15" ht="22.5" customHeight="1">
      <c r="A715" s="76">
        <v>174904221976312</v>
      </c>
      <c r="B715" s="77" t="s">
        <v>10651</v>
      </c>
      <c r="C715" s="77" t="s">
        <v>10815</v>
      </c>
      <c r="D715" s="77" t="s">
        <v>651</v>
      </c>
      <c r="E715" s="77">
        <v>6281905836259</v>
      </c>
      <c r="F715" s="84">
        <v>45832</v>
      </c>
      <c r="G715" s="79">
        <v>407</v>
      </c>
      <c r="H715" s="80">
        <v>30859.728506787331</v>
      </c>
      <c r="I715" s="72">
        <v>10</v>
      </c>
      <c r="J715" s="81">
        <v>13640</v>
      </c>
      <c r="K715" s="76">
        <v>0</v>
      </c>
      <c r="L715" s="76">
        <v>0</v>
      </c>
      <c r="M715" s="76">
        <v>0</v>
      </c>
      <c r="N715" s="82" t="s">
        <v>10816</v>
      </c>
      <c r="O715" s="83"/>
    </row>
    <row r="716" spans="1:15" ht="22.5" customHeight="1">
      <c r="A716" s="76">
        <v>174904221976312</v>
      </c>
      <c r="B716" s="77" t="s">
        <v>10651</v>
      </c>
      <c r="C716" s="77" t="s">
        <v>8099</v>
      </c>
      <c r="D716" s="77" t="s">
        <v>2357</v>
      </c>
      <c r="E716" s="77">
        <v>6281221788919</v>
      </c>
      <c r="F716" s="84">
        <v>45832</v>
      </c>
      <c r="G716" s="79">
        <v>1107</v>
      </c>
      <c r="H716" s="80">
        <v>8622.3776223776222</v>
      </c>
      <c r="I716" s="72">
        <v>25</v>
      </c>
      <c r="J716" s="81">
        <v>12330</v>
      </c>
      <c r="K716" s="76">
        <v>0</v>
      </c>
      <c r="L716" s="76">
        <v>402</v>
      </c>
      <c r="M716" s="76">
        <v>0</v>
      </c>
      <c r="N716" s="82" t="s">
        <v>10759</v>
      </c>
      <c r="O716" s="83"/>
    </row>
    <row r="717" spans="1:15" ht="22.5" customHeight="1">
      <c r="A717" s="76">
        <v>174904221976312</v>
      </c>
      <c r="B717" s="77" t="s">
        <v>10651</v>
      </c>
      <c r="C717" s="77" t="s">
        <v>311</v>
      </c>
      <c r="D717" s="77" t="s">
        <v>10737</v>
      </c>
      <c r="E717" s="77">
        <v>628988759290</v>
      </c>
      <c r="F717" s="84">
        <v>45832</v>
      </c>
      <c r="G717" s="79">
        <v>806</v>
      </c>
      <c r="H717" s="80">
        <v>12443.526170798899</v>
      </c>
      <c r="I717" s="72">
        <v>42</v>
      </c>
      <c r="J717" s="81">
        <v>13551</v>
      </c>
      <c r="K717" s="76">
        <v>2</v>
      </c>
      <c r="L717" s="76">
        <v>62</v>
      </c>
      <c r="M717" s="76">
        <v>0</v>
      </c>
      <c r="N717" s="82" t="s">
        <v>10738</v>
      </c>
      <c r="O717" s="83"/>
    </row>
    <row r="718" spans="1:15" ht="22.5" customHeight="1">
      <c r="A718" s="76">
        <v>174904221976312</v>
      </c>
      <c r="B718" s="77" t="s">
        <v>10651</v>
      </c>
      <c r="C718" s="77" t="s">
        <v>10778</v>
      </c>
      <c r="D718" s="77" t="s">
        <v>3140</v>
      </c>
      <c r="F718" s="84">
        <v>45832</v>
      </c>
      <c r="G718" s="79">
        <v>5138</v>
      </c>
      <c r="H718" s="80">
        <v>2065.6140350877195</v>
      </c>
      <c r="I718" s="72">
        <v>85</v>
      </c>
      <c r="J718" s="81">
        <v>11774</v>
      </c>
      <c r="K718" s="76">
        <v>0</v>
      </c>
      <c r="L718" s="76">
        <v>525</v>
      </c>
      <c r="M718" s="76">
        <v>0</v>
      </c>
      <c r="N718" s="82" t="s">
        <v>10779</v>
      </c>
      <c r="O718" s="83"/>
    </row>
    <row r="719" spans="1:15" ht="22.5" customHeight="1">
      <c r="A719" s="76">
        <v>174904221976312</v>
      </c>
      <c r="B719" s="77" t="s">
        <v>10651</v>
      </c>
      <c r="C719" s="77" t="s">
        <v>10673</v>
      </c>
      <c r="D719" s="77" t="s">
        <v>10674</v>
      </c>
      <c r="E719" s="77">
        <v>6282183184641</v>
      </c>
      <c r="F719" s="84">
        <v>45832</v>
      </c>
      <c r="G719" s="79">
        <v>369</v>
      </c>
      <c r="H719" s="80">
        <v>25556.435643564357</v>
      </c>
      <c r="I719" s="72">
        <v>15</v>
      </c>
      <c r="J719" s="81">
        <v>12906</v>
      </c>
      <c r="K719" s="76">
        <v>0</v>
      </c>
      <c r="L719" s="76">
        <v>2</v>
      </c>
      <c r="M719" s="76">
        <v>0</v>
      </c>
      <c r="N719" s="82" t="s">
        <v>10916</v>
      </c>
      <c r="O719" s="83"/>
    </row>
    <row r="720" spans="1:15" ht="22.5" customHeight="1">
      <c r="A720" s="76">
        <v>174904221976312</v>
      </c>
      <c r="B720" s="77" t="s">
        <v>10651</v>
      </c>
      <c r="C720" s="77" t="s">
        <v>10652</v>
      </c>
      <c r="D720" s="77" t="s">
        <v>10653</v>
      </c>
      <c r="E720" s="77">
        <v>6281348555887</v>
      </c>
      <c r="F720" s="84">
        <v>45832</v>
      </c>
      <c r="G720" s="79">
        <v>803</v>
      </c>
      <c r="H720" s="80">
        <v>14199.157007376185</v>
      </c>
      <c r="I720" s="72">
        <v>32</v>
      </c>
      <c r="J720" s="81">
        <v>13475</v>
      </c>
      <c r="K720" s="76">
        <v>0</v>
      </c>
      <c r="L720" s="76">
        <v>261</v>
      </c>
      <c r="M720" s="76">
        <v>0</v>
      </c>
      <c r="N720" s="82" t="s">
        <v>10654</v>
      </c>
      <c r="O720" s="83"/>
    </row>
    <row r="721" spans="1:15" ht="22.5" customHeight="1">
      <c r="A721" s="76">
        <v>174904221976312</v>
      </c>
      <c r="B721" s="77" t="s">
        <v>10651</v>
      </c>
      <c r="C721" s="77" t="s">
        <v>10659</v>
      </c>
      <c r="D721" s="77" t="s">
        <v>1044</v>
      </c>
      <c r="E721" s="77">
        <v>6281263113266</v>
      </c>
      <c r="F721" s="84">
        <v>45832</v>
      </c>
      <c r="G721" s="79">
        <v>1286</v>
      </c>
      <c r="H721" s="80">
        <v>9450.7501630789302</v>
      </c>
      <c r="I721" s="72">
        <v>66</v>
      </c>
      <c r="J721" s="81">
        <v>14488</v>
      </c>
      <c r="K721" s="76">
        <v>5</v>
      </c>
      <c r="L721" s="76">
        <v>0</v>
      </c>
      <c r="M721" s="76">
        <v>1</v>
      </c>
      <c r="N721" s="82" t="s">
        <v>10660</v>
      </c>
      <c r="O721" s="83"/>
    </row>
    <row r="722" spans="1:15" ht="22.5" customHeight="1">
      <c r="A722" s="76">
        <v>174904221976312</v>
      </c>
      <c r="B722" s="77" t="s">
        <v>10651</v>
      </c>
      <c r="C722" s="77" t="s">
        <v>10833</v>
      </c>
      <c r="D722" s="77" t="s">
        <v>10834</v>
      </c>
      <c r="E722" s="77">
        <v>6282242925264</v>
      </c>
      <c r="F722" s="84">
        <v>45832</v>
      </c>
      <c r="G722" s="79">
        <v>2382</v>
      </c>
      <c r="H722" s="80">
        <v>4746.3844797178126</v>
      </c>
      <c r="I722" s="72">
        <v>89</v>
      </c>
      <c r="J722" s="81">
        <v>13456</v>
      </c>
      <c r="K722" s="76">
        <v>8</v>
      </c>
      <c r="L722" s="76">
        <v>734</v>
      </c>
      <c r="M722" s="76">
        <v>1</v>
      </c>
      <c r="N722" s="82" t="s">
        <v>10835</v>
      </c>
      <c r="O722" s="83"/>
    </row>
    <row r="723" spans="1:15" ht="22.5" customHeight="1">
      <c r="A723" s="76">
        <v>766589657993298</v>
      </c>
      <c r="B723" s="77" t="s">
        <v>10688</v>
      </c>
      <c r="C723" s="77" t="s">
        <v>10917</v>
      </c>
      <c r="D723" s="77" t="s">
        <v>1037</v>
      </c>
      <c r="E723" s="77">
        <v>6281383434602</v>
      </c>
      <c r="F723" s="84">
        <v>45832</v>
      </c>
      <c r="G723" s="79">
        <v>435</v>
      </c>
      <c r="H723" s="80">
        <v>30029.288702928869</v>
      </c>
      <c r="I723" s="72">
        <v>6</v>
      </c>
      <c r="J723" s="81">
        <v>14354</v>
      </c>
      <c r="K723" s="76">
        <v>1</v>
      </c>
      <c r="L723" s="76">
        <v>154</v>
      </c>
      <c r="M723" s="76">
        <v>1</v>
      </c>
      <c r="N723" s="82" t="s">
        <v>10918</v>
      </c>
      <c r="O723" s="83"/>
    </row>
    <row r="724" spans="1:15" ht="22.5" customHeight="1">
      <c r="A724" s="76">
        <v>766589657993298</v>
      </c>
      <c r="B724" s="77" t="s">
        <v>10688</v>
      </c>
      <c r="C724" s="77" t="s">
        <v>10919</v>
      </c>
      <c r="D724" s="77" t="s">
        <v>951</v>
      </c>
      <c r="E724" s="77">
        <v>6281383899119</v>
      </c>
      <c r="F724" s="84">
        <v>45832</v>
      </c>
      <c r="G724" s="79">
        <v>718</v>
      </c>
      <c r="H724" s="80">
        <v>19179.874213836476</v>
      </c>
      <c r="I724" s="72">
        <v>17</v>
      </c>
      <c r="J724" s="81">
        <v>15248</v>
      </c>
      <c r="K724" s="76">
        <v>1</v>
      </c>
      <c r="L724" s="76">
        <v>0</v>
      </c>
      <c r="M724" s="76">
        <v>0</v>
      </c>
      <c r="N724" s="82" t="s">
        <v>10920</v>
      </c>
      <c r="O724" s="83"/>
    </row>
    <row r="725" spans="1:15" ht="22.5" customHeight="1">
      <c r="A725" s="76">
        <v>766589657993298</v>
      </c>
      <c r="B725" s="77" t="s">
        <v>10688</v>
      </c>
      <c r="C725" s="77" t="s">
        <v>10898</v>
      </c>
      <c r="D725" s="77" t="s">
        <v>978</v>
      </c>
      <c r="E725" s="77">
        <v>6283135590465</v>
      </c>
      <c r="F725" s="84">
        <v>45832</v>
      </c>
      <c r="G725" s="79">
        <v>398</v>
      </c>
      <c r="H725" s="80">
        <v>27241.573033707864</v>
      </c>
      <c r="I725" s="72">
        <v>9</v>
      </c>
      <c r="J725" s="81">
        <v>14547</v>
      </c>
      <c r="K725" s="76">
        <v>1</v>
      </c>
      <c r="L725" s="76">
        <v>113</v>
      </c>
      <c r="M725" s="76">
        <v>0</v>
      </c>
      <c r="N725" s="82" t="s">
        <v>10899</v>
      </c>
      <c r="O725" s="83"/>
    </row>
    <row r="726" spans="1:15" ht="22.5" customHeight="1">
      <c r="A726" s="76">
        <v>766589657993298</v>
      </c>
      <c r="B726" s="77" t="s">
        <v>10688</v>
      </c>
      <c r="C726" s="77" t="s">
        <v>10883</v>
      </c>
      <c r="D726" s="77" t="s">
        <v>920</v>
      </c>
      <c r="E726" s="77">
        <v>6281514999073</v>
      </c>
      <c r="F726" s="84">
        <v>45832</v>
      </c>
      <c r="G726" s="79">
        <v>383</v>
      </c>
      <c r="H726" s="80">
        <v>34240.654205607476</v>
      </c>
      <c r="I726" s="72">
        <v>18</v>
      </c>
      <c r="J726" s="81">
        <v>14655</v>
      </c>
      <c r="K726" s="76">
        <v>5</v>
      </c>
      <c r="L726" s="76">
        <v>211</v>
      </c>
      <c r="M726" s="76">
        <v>0</v>
      </c>
      <c r="N726" s="82" t="s">
        <v>10884</v>
      </c>
      <c r="O726" s="83"/>
    </row>
    <row r="727" spans="1:15" ht="22.5" customHeight="1">
      <c r="A727" s="76">
        <v>766589657993298</v>
      </c>
      <c r="B727" s="77" t="s">
        <v>10688</v>
      </c>
      <c r="C727" s="77" t="s">
        <v>10885</v>
      </c>
      <c r="D727" s="77" t="s">
        <v>906</v>
      </c>
      <c r="E727" s="77">
        <v>6282183115806</v>
      </c>
      <c r="F727" s="84">
        <v>45832</v>
      </c>
      <c r="G727" s="79">
        <v>1119</v>
      </c>
      <c r="H727" s="80">
        <v>12020.015396458815</v>
      </c>
      <c r="I727" s="72">
        <v>33</v>
      </c>
      <c r="J727" s="81">
        <v>15614</v>
      </c>
      <c r="K727" s="76">
        <v>4</v>
      </c>
      <c r="L727" s="76">
        <v>569</v>
      </c>
      <c r="M727" s="76">
        <v>0</v>
      </c>
      <c r="N727" s="82" t="s">
        <v>10886</v>
      </c>
      <c r="O727" s="83"/>
    </row>
    <row r="728" spans="1:15" ht="22.5" customHeight="1">
      <c r="A728" s="76">
        <v>766589657993298</v>
      </c>
      <c r="B728" s="77" t="s">
        <v>10688</v>
      </c>
      <c r="C728" s="77" t="s">
        <v>10887</v>
      </c>
      <c r="D728" s="77" t="s">
        <v>10888</v>
      </c>
      <c r="E728" s="77">
        <v>6283151330372</v>
      </c>
      <c r="F728" s="84">
        <v>45832</v>
      </c>
      <c r="G728" s="79">
        <v>560</v>
      </c>
      <c r="H728" s="80">
        <v>21314.24375917768</v>
      </c>
      <c r="I728" s="72">
        <v>11</v>
      </c>
      <c r="J728" s="81">
        <v>14515</v>
      </c>
      <c r="K728" s="76">
        <v>2</v>
      </c>
      <c r="L728" s="76">
        <v>349</v>
      </c>
      <c r="M728" s="76">
        <v>0</v>
      </c>
      <c r="N728" s="82" t="s">
        <v>10889</v>
      </c>
      <c r="O728" s="83"/>
    </row>
    <row r="729" spans="1:15" ht="22.5" customHeight="1">
      <c r="A729" s="76">
        <v>766589657993298</v>
      </c>
      <c r="B729" s="77" t="s">
        <v>10688</v>
      </c>
      <c r="C729" s="77" t="s">
        <v>10869</v>
      </c>
      <c r="D729" s="77" t="s">
        <v>10870</v>
      </c>
      <c r="E729" s="77">
        <v>6281230995752</v>
      </c>
      <c r="F729" s="84">
        <v>45832</v>
      </c>
      <c r="G729" s="79">
        <v>772</v>
      </c>
      <c r="H729" s="80">
        <v>15491.422805247224</v>
      </c>
      <c r="I729" s="72">
        <v>25</v>
      </c>
      <c r="J729" s="81">
        <v>15352</v>
      </c>
      <c r="K729" s="76">
        <v>3</v>
      </c>
      <c r="L729" s="76">
        <v>3</v>
      </c>
      <c r="M729" s="76">
        <v>0</v>
      </c>
      <c r="N729" s="82" t="s">
        <v>10871</v>
      </c>
      <c r="O729" s="83"/>
    </row>
    <row r="730" spans="1:15" ht="22.5" customHeight="1">
      <c r="A730" s="76">
        <v>766589657993298</v>
      </c>
      <c r="B730" s="77" t="s">
        <v>10688</v>
      </c>
      <c r="C730" s="77" t="s">
        <v>10872</v>
      </c>
      <c r="D730" s="77" t="s">
        <v>846</v>
      </c>
      <c r="E730" s="77">
        <v>6281233044823</v>
      </c>
      <c r="F730" s="84">
        <v>45832</v>
      </c>
      <c r="G730" s="79">
        <v>420</v>
      </c>
      <c r="H730" s="80">
        <v>25163.265306122448</v>
      </c>
      <c r="I730" s="72">
        <v>10</v>
      </c>
      <c r="J730" s="81">
        <v>12330</v>
      </c>
      <c r="K730" s="76">
        <v>0</v>
      </c>
      <c r="L730" s="76">
        <v>30</v>
      </c>
      <c r="M730" s="76">
        <v>0</v>
      </c>
      <c r="N730" s="82" t="s">
        <v>10873</v>
      </c>
      <c r="O730" s="83"/>
    </row>
    <row r="731" spans="1:15" ht="22.5" customHeight="1">
      <c r="A731" s="76">
        <v>766589657993298</v>
      </c>
      <c r="B731" s="77" t="s">
        <v>10688</v>
      </c>
      <c r="C731" s="77" t="s">
        <v>10874</v>
      </c>
      <c r="D731" s="77" t="s">
        <v>10875</v>
      </c>
      <c r="E731" s="77">
        <v>6281283325291</v>
      </c>
      <c r="F731" s="84">
        <v>45832</v>
      </c>
      <c r="G731" s="79">
        <v>263</v>
      </c>
      <c r="H731" s="80">
        <v>53043.189368770763</v>
      </c>
      <c r="I731" s="72">
        <v>6</v>
      </c>
      <c r="J731" s="81">
        <v>15966</v>
      </c>
      <c r="K731" s="76">
        <v>1</v>
      </c>
      <c r="L731" s="76">
        <v>55</v>
      </c>
      <c r="M731" s="76">
        <v>0</v>
      </c>
      <c r="N731" s="82" t="s">
        <v>10876</v>
      </c>
      <c r="O731" s="83"/>
    </row>
    <row r="732" spans="1:15" ht="22.5" customHeight="1">
      <c r="A732" s="76">
        <v>766589657993298</v>
      </c>
      <c r="B732" s="77" t="s">
        <v>10688</v>
      </c>
      <c r="C732" s="77" t="s">
        <v>10877</v>
      </c>
      <c r="D732" s="77" t="s">
        <v>861</v>
      </c>
      <c r="E732" s="77">
        <v>6289617461806</v>
      </c>
      <c r="F732" s="84">
        <v>45832</v>
      </c>
      <c r="G732" s="79">
        <v>689</v>
      </c>
      <c r="H732" s="80">
        <v>19430</v>
      </c>
      <c r="I732" s="72">
        <v>18</v>
      </c>
      <c r="J732" s="81">
        <v>15544</v>
      </c>
      <c r="K732" s="76">
        <v>6</v>
      </c>
      <c r="L732" s="76">
        <v>234</v>
      </c>
      <c r="M732" s="76">
        <v>0</v>
      </c>
      <c r="N732" s="82" t="s">
        <v>10878</v>
      </c>
      <c r="O732" s="83"/>
    </row>
    <row r="733" spans="1:15" ht="22.5" customHeight="1">
      <c r="A733" s="76">
        <v>766589657993298</v>
      </c>
      <c r="B733" s="77" t="s">
        <v>10688</v>
      </c>
      <c r="C733" s="77" t="s">
        <v>10879</v>
      </c>
      <c r="D733" s="77" t="s">
        <v>10880</v>
      </c>
      <c r="E733" s="77">
        <v>6281215851833</v>
      </c>
      <c r="F733" s="84">
        <v>45832</v>
      </c>
      <c r="G733" s="79">
        <v>512</v>
      </c>
      <c r="H733" s="80">
        <v>25429.07180385289</v>
      </c>
      <c r="I733" s="72">
        <v>20</v>
      </c>
      <c r="J733" s="81">
        <v>14520</v>
      </c>
      <c r="K733" s="76">
        <v>4</v>
      </c>
      <c r="L733" s="76">
        <v>1</v>
      </c>
      <c r="M733" s="76">
        <v>0</v>
      </c>
      <c r="N733" s="82" t="s">
        <v>10881</v>
      </c>
      <c r="O733" s="83"/>
    </row>
    <row r="734" spans="1:15" ht="22.5" customHeight="1">
      <c r="A734" s="76">
        <v>766589657993298</v>
      </c>
      <c r="B734" s="77" t="s">
        <v>10688</v>
      </c>
      <c r="C734" s="77" t="s">
        <v>10861</v>
      </c>
      <c r="D734" s="77" t="s">
        <v>795</v>
      </c>
      <c r="E734" s="77">
        <v>6287877805175</v>
      </c>
      <c r="F734" s="84">
        <v>45832</v>
      </c>
      <c r="G734" s="79">
        <v>483</v>
      </c>
      <c r="H734" s="80">
        <v>32538.461538461539</v>
      </c>
      <c r="I734" s="72">
        <v>3</v>
      </c>
      <c r="J734" s="81">
        <v>16497</v>
      </c>
      <c r="K734" s="76">
        <v>1</v>
      </c>
      <c r="L734" s="76">
        <v>289</v>
      </c>
      <c r="M734" s="76">
        <v>0</v>
      </c>
      <c r="N734" s="82" t="s">
        <v>10862</v>
      </c>
      <c r="O734" s="83"/>
    </row>
    <row r="735" spans="1:15" ht="22.5" customHeight="1">
      <c r="A735" s="76">
        <v>766589657993298</v>
      </c>
      <c r="B735" s="77" t="s">
        <v>10688</v>
      </c>
      <c r="C735" s="77" t="s">
        <v>10836</v>
      </c>
      <c r="D735" s="77" t="s">
        <v>780</v>
      </c>
      <c r="E735" s="77">
        <v>6283866009989</v>
      </c>
      <c r="F735" s="84">
        <v>45832</v>
      </c>
      <c r="G735" s="79">
        <v>699</v>
      </c>
      <c r="H735" s="80">
        <v>18380.434782608696</v>
      </c>
      <c r="I735" s="72">
        <v>14</v>
      </c>
      <c r="J735" s="81">
        <v>13528</v>
      </c>
      <c r="K735" s="76">
        <v>0</v>
      </c>
      <c r="L735" s="76">
        <v>412</v>
      </c>
      <c r="M735" s="76">
        <v>0</v>
      </c>
      <c r="N735" s="82" t="s">
        <v>10837</v>
      </c>
      <c r="O735" s="83"/>
    </row>
    <row r="736" spans="1:15" ht="22.5" customHeight="1">
      <c r="A736" s="76">
        <v>174904221976312</v>
      </c>
      <c r="B736" s="77" t="s">
        <v>10651</v>
      </c>
      <c r="C736" s="77" t="s">
        <v>10731</v>
      </c>
      <c r="D736" s="77" t="s">
        <v>10732</v>
      </c>
      <c r="E736" s="77">
        <v>6281241440688</v>
      </c>
      <c r="F736" s="78">
        <v>45821</v>
      </c>
      <c r="G736" s="79">
        <v>1830</v>
      </c>
      <c r="H736" s="80">
        <v>6594.0054495912809</v>
      </c>
      <c r="I736" s="79">
        <v>29</v>
      </c>
      <c r="J736" s="81">
        <v>14520</v>
      </c>
      <c r="K736" s="76">
        <v>2</v>
      </c>
      <c r="L736" s="76">
        <v>616</v>
      </c>
      <c r="M736" s="76">
        <v>0</v>
      </c>
      <c r="N736" s="82" t="s">
        <v>10921</v>
      </c>
      <c r="O736" s="83"/>
    </row>
    <row r="737" spans="1:15" ht="22.5" customHeight="1">
      <c r="A737" s="76">
        <v>766589657993298</v>
      </c>
      <c r="B737" s="77" t="s">
        <v>10688</v>
      </c>
      <c r="C737" s="77" t="s">
        <v>10822</v>
      </c>
      <c r="D737" s="77" t="s">
        <v>676</v>
      </c>
      <c r="E737" s="77">
        <v>6281316155059</v>
      </c>
      <c r="F737" s="84">
        <v>45832</v>
      </c>
      <c r="G737" s="79">
        <v>773</v>
      </c>
      <c r="H737" s="80">
        <v>22492.574257425746</v>
      </c>
      <c r="I737" s="72">
        <v>13</v>
      </c>
      <c r="J737" s="81">
        <v>18174</v>
      </c>
      <c r="K737" s="76">
        <v>0</v>
      </c>
      <c r="L737" s="76">
        <v>394</v>
      </c>
      <c r="M737" s="76">
        <v>0</v>
      </c>
      <c r="N737" s="82" t="s">
        <v>10823</v>
      </c>
      <c r="O737" s="83"/>
    </row>
    <row r="738" spans="1:15" ht="22.5" customHeight="1">
      <c r="A738" s="76">
        <v>759724529202804</v>
      </c>
      <c r="B738" s="77" t="s">
        <v>10621</v>
      </c>
      <c r="C738" s="77" t="s">
        <v>10904</v>
      </c>
      <c r="D738" s="77" t="s">
        <v>10905</v>
      </c>
      <c r="E738" s="77">
        <v>6285711667433</v>
      </c>
      <c r="F738" s="84">
        <v>45832</v>
      </c>
      <c r="G738" s="79">
        <v>1214</v>
      </c>
      <c r="H738" s="80">
        <v>10467.707594038326</v>
      </c>
      <c r="I738" s="72">
        <v>19</v>
      </c>
      <c r="J738" s="81">
        <v>14749</v>
      </c>
      <c r="K738" s="76">
        <v>2</v>
      </c>
      <c r="L738" s="76">
        <v>0</v>
      </c>
      <c r="M738" s="76">
        <v>0</v>
      </c>
      <c r="N738" s="82" t="s">
        <v>10906</v>
      </c>
      <c r="O738" s="83"/>
    </row>
    <row r="739" spans="1:15" ht="22.5" customHeight="1">
      <c r="A739" s="76">
        <v>759724529202804</v>
      </c>
      <c r="B739" s="77" t="s">
        <v>10621</v>
      </c>
      <c r="C739" s="77" t="s">
        <v>10907</v>
      </c>
      <c r="D739" s="77" t="s">
        <v>943</v>
      </c>
      <c r="E739" s="77">
        <v>6285775986977</v>
      </c>
      <c r="F739" s="84">
        <v>45832</v>
      </c>
      <c r="G739" s="79">
        <v>262</v>
      </c>
      <c r="H739" s="80">
        <v>48258.50340136054</v>
      </c>
      <c r="I739" s="72">
        <v>3</v>
      </c>
      <c r="J739" s="81">
        <v>14188</v>
      </c>
      <c r="K739" s="76">
        <v>0</v>
      </c>
      <c r="L739" s="76">
        <v>0</v>
      </c>
      <c r="M739" s="76">
        <v>0</v>
      </c>
      <c r="N739" s="82" t="s">
        <v>10908</v>
      </c>
      <c r="O739" s="83"/>
    </row>
    <row r="740" spans="1:15" ht="22.5" customHeight="1">
      <c r="A740" s="76">
        <v>759724529202804</v>
      </c>
      <c r="B740" s="77" t="s">
        <v>10621</v>
      </c>
      <c r="C740" s="77" t="s">
        <v>10909</v>
      </c>
      <c r="D740" s="77" t="s">
        <v>10910</v>
      </c>
      <c r="E740" s="77">
        <v>6281904501876</v>
      </c>
      <c r="F740" s="84">
        <v>45832</v>
      </c>
      <c r="G740" s="79">
        <v>1134</v>
      </c>
      <c r="H740" s="80">
        <v>9583.660130718954</v>
      </c>
      <c r="I740" s="72">
        <v>12</v>
      </c>
      <c r="J740" s="81">
        <v>14663</v>
      </c>
      <c r="K740" s="76">
        <v>0</v>
      </c>
      <c r="L740" s="76">
        <v>1</v>
      </c>
      <c r="M740" s="76">
        <v>0</v>
      </c>
      <c r="N740" s="82" t="s">
        <v>10911</v>
      </c>
      <c r="O740" s="83"/>
    </row>
    <row r="741" spans="1:15" ht="22.5" customHeight="1">
      <c r="A741" s="76">
        <v>759724529202804</v>
      </c>
      <c r="B741" s="77" t="s">
        <v>10621</v>
      </c>
      <c r="C741" s="77" t="s">
        <v>10912</v>
      </c>
      <c r="D741" s="77" t="s">
        <v>1029</v>
      </c>
      <c r="E741" s="77">
        <v>6281253792753</v>
      </c>
      <c r="F741" s="84">
        <v>45832</v>
      </c>
      <c r="G741" s="79">
        <v>828</v>
      </c>
      <c r="H741" s="80">
        <v>12887.709991158268</v>
      </c>
      <c r="I741" s="72">
        <v>18</v>
      </c>
      <c r="J741" s="81">
        <v>14576</v>
      </c>
      <c r="K741" s="76">
        <v>1</v>
      </c>
      <c r="L741" s="76">
        <v>0</v>
      </c>
      <c r="M741" s="76">
        <v>0</v>
      </c>
      <c r="N741" s="82" t="s">
        <v>10913</v>
      </c>
      <c r="O741" s="83"/>
    </row>
    <row r="742" spans="1:15" ht="22.5" customHeight="1">
      <c r="A742" s="76">
        <v>759724529202804</v>
      </c>
      <c r="B742" s="77" t="s">
        <v>10621</v>
      </c>
      <c r="C742" s="77" t="s">
        <v>10922</v>
      </c>
      <c r="D742" s="77" t="s">
        <v>1021</v>
      </c>
      <c r="E742" s="77">
        <v>6282122880328</v>
      </c>
      <c r="F742" s="84">
        <v>45832</v>
      </c>
      <c r="G742" s="79">
        <v>207</v>
      </c>
      <c r="H742" s="80">
        <v>65560.538116591924</v>
      </c>
      <c r="I742" s="72">
        <v>12</v>
      </c>
      <c r="J742" s="81">
        <v>14620</v>
      </c>
      <c r="K742" s="76">
        <v>1</v>
      </c>
      <c r="L742" s="76">
        <v>0</v>
      </c>
      <c r="M742" s="76">
        <v>0</v>
      </c>
      <c r="N742" s="82" t="s">
        <v>10914</v>
      </c>
      <c r="O742" s="83"/>
    </row>
    <row r="743" spans="1:15" ht="22.5" customHeight="1">
      <c r="A743" s="76">
        <v>759724529202804</v>
      </c>
      <c r="B743" s="77" t="s">
        <v>10621</v>
      </c>
      <c r="C743" s="77" t="s">
        <v>10863</v>
      </c>
      <c r="D743" s="77" t="s">
        <v>10864</v>
      </c>
      <c r="E743" s="77">
        <v>6285180805171</v>
      </c>
      <c r="F743" s="84">
        <v>45832</v>
      </c>
      <c r="G743" s="79">
        <v>1254</v>
      </c>
      <c r="H743" s="80">
        <v>10811.385459533607</v>
      </c>
      <c r="I743" s="72">
        <v>27</v>
      </c>
      <c r="J743" s="81">
        <v>15763</v>
      </c>
      <c r="K743" s="76">
        <v>1</v>
      </c>
      <c r="L743" s="76">
        <v>426</v>
      </c>
      <c r="M743" s="76">
        <v>0</v>
      </c>
      <c r="N743" s="82" t="s">
        <v>10865</v>
      </c>
      <c r="O743" s="83"/>
    </row>
    <row r="744" spans="1:15" ht="22.5" customHeight="1">
      <c r="A744" s="76">
        <v>759724529202804</v>
      </c>
      <c r="B744" s="77" t="s">
        <v>10621</v>
      </c>
      <c r="C744" s="77" t="s">
        <v>10850</v>
      </c>
      <c r="D744" s="77" t="s">
        <v>10851</v>
      </c>
      <c r="E744" s="77">
        <v>6282125465047</v>
      </c>
      <c r="F744" s="84">
        <v>45832</v>
      </c>
      <c r="G744" s="79">
        <v>802</v>
      </c>
      <c r="H744" s="80">
        <v>18069.767441860462</v>
      </c>
      <c r="I744" s="72">
        <v>46</v>
      </c>
      <c r="J744" s="81">
        <v>16317</v>
      </c>
      <c r="K744" s="76">
        <v>9</v>
      </c>
      <c r="L744" s="76">
        <v>296</v>
      </c>
      <c r="M744" s="76">
        <v>2</v>
      </c>
      <c r="N744" s="82" t="s">
        <v>10852</v>
      </c>
      <c r="O744" s="83"/>
    </row>
    <row r="745" spans="1:15" ht="22.5" customHeight="1">
      <c r="A745" s="76">
        <v>759724529202804</v>
      </c>
      <c r="B745" s="77" t="s">
        <v>10621</v>
      </c>
      <c r="C745" s="77" t="s">
        <v>10890</v>
      </c>
      <c r="D745" s="77" t="s">
        <v>450</v>
      </c>
      <c r="E745" s="77">
        <v>62895401448273</v>
      </c>
      <c r="F745" s="84">
        <v>45832</v>
      </c>
      <c r="G745" s="79">
        <v>564</v>
      </c>
      <c r="H745" s="80">
        <v>22248.348745046238</v>
      </c>
      <c r="I745" s="72">
        <v>24</v>
      </c>
      <c r="J745" s="81">
        <v>16842</v>
      </c>
      <c r="K745" s="76">
        <v>1</v>
      </c>
      <c r="L745" s="76">
        <v>0</v>
      </c>
      <c r="M745" s="76">
        <v>0</v>
      </c>
      <c r="N745" s="82" t="s">
        <v>10891</v>
      </c>
      <c r="O745" s="83"/>
    </row>
    <row r="746" spans="1:15" ht="22.5" customHeight="1">
      <c r="A746" s="76">
        <v>759724529202804</v>
      </c>
      <c r="B746" s="77" t="s">
        <v>10621</v>
      </c>
      <c r="C746" s="77" t="s">
        <v>332</v>
      </c>
      <c r="D746" s="77" t="s">
        <v>10708</v>
      </c>
      <c r="E746" s="77">
        <v>6282350524788</v>
      </c>
      <c r="F746" s="84">
        <v>45832</v>
      </c>
      <c r="G746" s="79">
        <v>785</v>
      </c>
      <c r="H746" s="80">
        <v>15503.589743589744</v>
      </c>
      <c r="I746" s="72">
        <v>40</v>
      </c>
      <c r="J746" s="81">
        <v>15116</v>
      </c>
      <c r="K746" s="76">
        <v>4</v>
      </c>
      <c r="L746" s="76">
        <v>5</v>
      </c>
      <c r="M746" s="76">
        <v>0</v>
      </c>
      <c r="N746" s="82" t="s">
        <v>10709</v>
      </c>
      <c r="O746" s="83"/>
    </row>
    <row r="747" spans="1:15" ht="22.5" customHeight="1">
      <c r="A747" s="76">
        <v>759724529202804</v>
      </c>
      <c r="B747" s="77" t="s">
        <v>10621</v>
      </c>
      <c r="C747" s="77" t="s">
        <v>665</v>
      </c>
      <c r="D747" s="77" t="s">
        <v>659</v>
      </c>
      <c r="E747" s="77">
        <v>6285757057088</v>
      </c>
      <c r="F747" s="84">
        <v>45832</v>
      </c>
      <c r="G747" s="79">
        <v>668</v>
      </c>
      <c r="H747" s="80">
        <v>18317.857142857141</v>
      </c>
      <c r="I747" s="72">
        <v>25</v>
      </c>
      <c r="J747" s="81">
        <v>15387</v>
      </c>
      <c r="K747" s="76">
        <v>1</v>
      </c>
      <c r="L747" s="76">
        <v>0</v>
      </c>
      <c r="M747" s="76">
        <v>1</v>
      </c>
      <c r="N747" s="82" t="s">
        <v>10636</v>
      </c>
      <c r="O747" s="83"/>
    </row>
    <row r="748" spans="1:15" ht="22.5" customHeight="1">
      <c r="A748" s="76">
        <v>174904221976312</v>
      </c>
      <c r="B748" s="77" t="s">
        <v>10651</v>
      </c>
      <c r="C748" s="77" t="s">
        <v>10915</v>
      </c>
      <c r="D748" s="77" t="s">
        <v>10674</v>
      </c>
      <c r="E748" s="77">
        <v>6282183184641</v>
      </c>
      <c r="F748" s="84">
        <v>45832</v>
      </c>
      <c r="G748" s="79">
        <v>428</v>
      </c>
      <c r="H748" s="80">
        <v>17164.14686825054</v>
      </c>
      <c r="I748" s="72">
        <v>9</v>
      </c>
      <c r="J748" s="81">
        <v>7947</v>
      </c>
      <c r="K748" s="76">
        <v>2</v>
      </c>
      <c r="L748" s="76">
        <v>63</v>
      </c>
      <c r="M748" s="76">
        <v>0</v>
      </c>
      <c r="N748" s="82" t="s">
        <v>10675</v>
      </c>
      <c r="O748" s="83"/>
    </row>
    <row r="749" spans="1:15" ht="22.5" customHeight="1">
      <c r="A749" s="76">
        <v>174904221976312</v>
      </c>
      <c r="B749" s="77" t="s">
        <v>10651</v>
      </c>
      <c r="C749" s="77" t="s">
        <v>10892</v>
      </c>
      <c r="D749" s="77" t="s">
        <v>10893</v>
      </c>
      <c r="E749" s="77">
        <v>6282399721881</v>
      </c>
      <c r="F749" s="84">
        <v>45832</v>
      </c>
      <c r="G749" s="79">
        <v>983</v>
      </c>
      <c r="H749" s="80">
        <v>10413.683373110582</v>
      </c>
      <c r="I749" s="72">
        <v>18</v>
      </c>
      <c r="J749" s="81">
        <v>13090</v>
      </c>
      <c r="K749" s="76">
        <v>0</v>
      </c>
      <c r="L749" s="76">
        <v>469</v>
      </c>
      <c r="M749" s="76">
        <v>0</v>
      </c>
      <c r="N749" s="82" t="s">
        <v>10894</v>
      </c>
      <c r="O749" s="83"/>
    </row>
    <row r="750" spans="1:15" ht="22.5" customHeight="1">
      <c r="A750" s="76">
        <v>174904221976312</v>
      </c>
      <c r="B750" s="77" t="s">
        <v>10651</v>
      </c>
      <c r="C750" s="77" t="s">
        <v>10895</v>
      </c>
      <c r="D750" s="77" t="s">
        <v>10896</v>
      </c>
      <c r="E750" s="77">
        <v>6281299907533</v>
      </c>
      <c r="F750" s="84">
        <v>45832</v>
      </c>
      <c r="G750" s="79">
        <v>398</v>
      </c>
      <c r="H750" s="80">
        <v>27637.744034707157</v>
      </c>
      <c r="I750" s="72">
        <v>18</v>
      </c>
      <c r="J750" s="81">
        <v>12741</v>
      </c>
      <c r="K750" s="76">
        <v>1</v>
      </c>
      <c r="L750" s="76">
        <v>188</v>
      </c>
      <c r="M750" s="76">
        <v>0</v>
      </c>
      <c r="N750" s="82" t="s">
        <v>10897</v>
      </c>
      <c r="O750" s="83"/>
    </row>
    <row r="751" spans="1:15" ht="22.5" customHeight="1">
      <c r="A751" s="76">
        <v>174904221976312</v>
      </c>
      <c r="B751" s="77" t="s">
        <v>10651</v>
      </c>
      <c r="C751" s="77" t="s">
        <v>10853</v>
      </c>
      <c r="D751" s="77" t="s">
        <v>10854</v>
      </c>
      <c r="E751" s="77">
        <v>6281393958199</v>
      </c>
      <c r="F751" s="84">
        <v>45832</v>
      </c>
      <c r="G751" s="79">
        <v>647</v>
      </c>
      <c r="H751" s="80">
        <v>16854.356306892067</v>
      </c>
      <c r="I751" s="72">
        <v>28</v>
      </c>
      <c r="J751" s="81">
        <v>12961</v>
      </c>
      <c r="K751" s="76">
        <v>7</v>
      </c>
      <c r="L751" s="76">
        <v>214</v>
      </c>
      <c r="M751" s="76">
        <v>0</v>
      </c>
      <c r="N751" s="82" t="s">
        <v>10855</v>
      </c>
      <c r="O751" s="83"/>
    </row>
    <row r="752" spans="1:15" ht="22.5" customHeight="1">
      <c r="A752" s="76">
        <v>174904221976312</v>
      </c>
      <c r="B752" s="77" t="s">
        <v>10651</v>
      </c>
      <c r="C752" s="77" t="s">
        <v>10856</v>
      </c>
      <c r="D752" s="77" t="s">
        <v>829</v>
      </c>
      <c r="E752" s="77">
        <v>6285725492572</v>
      </c>
      <c r="F752" s="84">
        <v>45832</v>
      </c>
      <c r="G752" s="79">
        <v>497</v>
      </c>
      <c r="H752" s="80">
        <v>26288.966725043781</v>
      </c>
      <c r="I752" s="72">
        <v>23</v>
      </c>
      <c r="J752" s="81">
        <v>15011</v>
      </c>
      <c r="K752" s="76">
        <v>4</v>
      </c>
      <c r="L752" s="76">
        <v>201</v>
      </c>
      <c r="M752" s="76">
        <v>2</v>
      </c>
      <c r="N752" s="82" t="s">
        <v>10857</v>
      </c>
      <c r="O752" s="83"/>
    </row>
    <row r="753" spans="1:15" ht="22.5" customHeight="1">
      <c r="A753" s="76">
        <v>174904221976312</v>
      </c>
      <c r="B753" s="77" t="s">
        <v>10651</v>
      </c>
      <c r="C753" s="77" t="s">
        <v>10858</v>
      </c>
      <c r="D753" s="77" t="s">
        <v>10859</v>
      </c>
      <c r="E753" s="77">
        <v>6285227384634</v>
      </c>
      <c r="F753" s="84">
        <v>45832</v>
      </c>
      <c r="G753" s="79">
        <v>450</v>
      </c>
      <c r="H753" s="80">
        <v>22666.068222621183</v>
      </c>
      <c r="I753" s="72">
        <v>19</v>
      </c>
      <c r="J753" s="81">
        <v>12625</v>
      </c>
      <c r="K753" s="76">
        <v>5</v>
      </c>
      <c r="L753" s="76">
        <v>0</v>
      </c>
      <c r="M753" s="76">
        <v>0</v>
      </c>
      <c r="N753" s="82" t="s">
        <v>10860</v>
      </c>
      <c r="O753" s="83"/>
    </row>
    <row r="754" spans="1:15" ht="22.5" customHeight="1">
      <c r="A754" s="76">
        <v>174904221976312</v>
      </c>
      <c r="B754" s="77" t="s">
        <v>10651</v>
      </c>
      <c r="C754" s="77" t="s">
        <v>818</v>
      </c>
      <c r="D754" s="77" t="s">
        <v>812</v>
      </c>
      <c r="E754" s="77">
        <v>6287858585808</v>
      </c>
      <c r="F754" s="84">
        <v>45832</v>
      </c>
      <c r="G754" s="79">
        <v>983</v>
      </c>
      <c r="H754" s="80">
        <v>11135.356849876949</v>
      </c>
      <c r="I754" s="72">
        <v>35</v>
      </c>
      <c r="J754" s="81">
        <v>13574</v>
      </c>
      <c r="K754" s="76">
        <v>2</v>
      </c>
      <c r="L754" s="76">
        <v>353</v>
      </c>
      <c r="M754" s="76">
        <v>2</v>
      </c>
      <c r="N754" s="82" t="s">
        <v>10831</v>
      </c>
      <c r="O754" s="83"/>
    </row>
    <row r="755" spans="1:15" ht="22.5" customHeight="1">
      <c r="A755" s="76">
        <v>174904221976312</v>
      </c>
      <c r="B755" s="77" t="s">
        <v>10651</v>
      </c>
      <c r="C755" s="77" t="s">
        <v>10806</v>
      </c>
      <c r="D755" s="77" t="s">
        <v>10807</v>
      </c>
      <c r="E755" s="77">
        <v>628127962347</v>
      </c>
      <c r="F755" s="84">
        <v>45832</v>
      </c>
      <c r="G755" s="79">
        <v>154</v>
      </c>
      <c r="H755" s="80">
        <v>80443.113772455094</v>
      </c>
      <c r="I755" s="72">
        <v>16</v>
      </c>
      <c r="J755" s="81">
        <v>13434</v>
      </c>
      <c r="K755" s="76">
        <v>6</v>
      </c>
      <c r="L755" s="76">
        <v>29</v>
      </c>
      <c r="M755" s="76">
        <v>0</v>
      </c>
      <c r="N755" s="82" t="s">
        <v>10808</v>
      </c>
      <c r="O755" s="83"/>
    </row>
    <row r="756" spans="1:15" ht="22.5" customHeight="1">
      <c r="A756" s="76">
        <v>174904221976312</v>
      </c>
      <c r="B756" s="77" t="s">
        <v>10651</v>
      </c>
      <c r="C756" s="77" t="s">
        <v>10815</v>
      </c>
      <c r="D756" s="77" t="s">
        <v>651</v>
      </c>
      <c r="E756" s="77">
        <v>6281905836259</v>
      </c>
      <c r="F756" s="84">
        <v>45832</v>
      </c>
      <c r="G756" s="79">
        <v>407</v>
      </c>
      <c r="H756" s="80">
        <v>30859.728506787331</v>
      </c>
      <c r="I756" s="72">
        <v>10</v>
      </c>
      <c r="J756" s="81">
        <v>13640</v>
      </c>
      <c r="K756" s="76">
        <v>0</v>
      </c>
      <c r="L756" s="76">
        <v>0</v>
      </c>
      <c r="M756" s="76">
        <v>0</v>
      </c>
      <c r="N756" s="82" t="s">
        <v>10816</v>
      </c>
      <c r="O756" s="83"/>
    </row>
    <row r="757" spans="1:15" ht="22.5" customHeight="1">
      <c r="A757" s="76">
        <v>174904221976312</v>
      </c>
      <c r="B757" s="77" t="s">
        <v>10651</v>
      </c>
      <c r="C757" s="77" t="s">
        <v>8099</v>
      </c>
      <c r="D757" s="77" t="s">
        <v>2357</v>
      </c>
      <c r="E757" s="77">
        <v>6281221788919</v>
      </c>
      <c r="F757" s="84">
        <v>45832</v>
      </c>
      <c r="G757" s="79">
        <v>1108</v>
      </c>
      <c r="H757" s="80">
        <v>8653.6585365853662</v>
      </c>
      <c r="I757" s="72">
        <v>25</v>
      </c>
      <c r="J757" s="81">
        <v>12418</v>
      </c>
      <c r="K757" s="76">
        <v>0</v>
      </c>
      <c r="L757" s="76">
        <v>403</v>
      </c>
      <c r="M757" s="76">
        <v>0</v>
      </c>
      <c r="N757" s="82" t="s">
        <v>10759</v>
      </c>
      <c r="O757" s="83"/>
    </row>
    <row r="758" spans="1:15" ht="22.5" customHeight="1">
      <c r="A758" s="76">
        <v>174904221976312</v>
      </c>
      <c r="B758" s="77" t="s">
        <v>10651</v>
      </c>
      <c r="C758" s="77" t="s">
        <v>311</v>
      </c>
      <c r="D758" s="77" t="s">
        <v>10737</v>
      </c>
      <c r="E758" s="77">
        <v>628988759290</v>
      </c>
      <c r="F758" s="84">
        <v>45832</v>
      </c>
      <c r="G758" s="79">
        <v>806</v>
      </c>
      <c r="H758" s="80">
        <v>12443.526170798899</v>
      </c>
      <c r="I758" s="72">
        <v>42</v>
      </c>
      <c r="J758" s="81">
        <v>13551</v>
      </c>
      <c r="K758" s="76">
        <v>2</v>
      </c>
      <c r="L758" s="76">
        <v>62</v>
      </c>
      <c r="M758" s="76">
        <v>0</v>
      </c>
      <c r="N758" s="82" t="s">
        <v>10738</v>
      </c>
      <c r="O758" s="83"/>
    </row>
    <row r="759" spans="1:15" ht="22.5" customHeight="1">
      <c r="A759" s="76">
        <v>174904221976312</v>
      </c>
      <c r="B759" s="77" t="s">
        <v>10651</v>
      </c>
      <c r="C759" s="77" t="s">
        <v>10778</v>
      </c>
      <c r="D759" s="77" t="s">
        <v>3140</v>
      </c>
      <c r="F759" s="84">
        <v>45832</v>
      </c>
      <c r="G759" s="79">
        <v>5138</v>
      </c>
      <c r="H759" s="80">
        <v>2065.6140350877195</v>
      </c>
      <c r="I759" s="72">
        <v>85</v>
      </c>
      <c r="J759" s="81">
        <v>11774</v>
      </c>
      <c r="K759" s="76">
        <v>0</v>
      </c>
      <c r="L759" s="76">
        <v>525</v>
      </c>
      <c r="M759" s="76">
        <v>0</v>
      </c>
      <c r="N759" s="82" t="s">
        <v>10779</v>
      </c>
      <c r="O759" s="83"/>
    </row>
    <row r="760" spans="1:15" ht="22.5" customHeight="1">
      <c r="A760" s="76">
        <v>174904221976312</v>
      </c>
      <c r="B760" s="77" t="s">
        <v>10651</v>
      </c>
      <c r="C760" s="77" t="s">
        <v>10673</v>
      </c>
      <c r="D760" s="77" t="s">
        <v>10674</v>
      </c>
      <c r="E760" s="77">
        <v>6282183184641</v>
      </c>
      <c r="F760" s="84">
        <v>45832</v>
      </c>
      <c r="G760" s="79">
        <v>369</v>
      </c>
      <c r="H760" s="80">
        <v>25556.435643564357</v>
      </c>
      <c r="I760" s="72">
        <v>15</v>
      </c>
      <c r="J760" s="81">
        <v>12906</v>
      </c>
      <c r="K760" s="76">
        <v>0</v>
      </c>
      <c r="L760" s="76">
        <v>2</v>
      </c>
      <c r="M760" s="76">
        <v>0</v>
      </c>
      <c r="N760" s="82" t="s">
        <v>10916</v>
      </c>
      <c r="O760" s="83"/>
    </row>
    <row r="761" spans="1:15" ht="22.5" customHeight="1">
      <c r="A761" s="76">
        <v>174904221976312</v>
      </c>
      <c r="B761" s="77" t="s">
        <v>10651</v>
      </c>
      <c r="C761" s="77" t="s">
        <v>10652</v>
      </c>
      <c r="D761" s="77" t="s">
        <v>10653</v>
      </c>
      <c r="E761" s="77">
        <v>6281348555887</v>
      </c>
      <c r="F761" s="84">
        <v>45832</v>
      </c>
      <c r="G761" s="79">
        <v>803</v>
      </c>
      <c r="H761" s="80">
        <v>14189.274447949527</v>
      </c>
      <c r="I761" s="72">
        <v>32</v>
      </c>
      <c r="J761" s="81">
        <v>13494</v>
      </c>
      <c r="K761" s="76">
        <v>0</v>
      </c>
      <c r="L761" s="76">
        <v>261</v>
      </c>
      <c r="M761" s="76">
        <v>0</v>
      </c>
      <c r="N761" s="82" t="s">
        <v>10654</v>
      </c>
      <c r="O761" s="83"/>
    </row>
    <row r="762" spans="1:15" ht="22.5" customHeight="1">
      <c r="A762" s="76">
        <v>174904221976312</v>
      </c>
      <c r="B762" s="77" t="s">
        <v>10651</v>
      </c>
      <c r="C762" s="77" t="s">
        <v>10659</v>
      </c>
      <c r="D762" s="77" t="s">
        <v>1044</v>
      </c>
      <c r="E762" s="77">
        <v>6281263113266</v>
      </c>
      <c r="F762" s="84">
        <v>45832</v>
      </c>
      <c r="G762" s="79">
        <v>1286</v>
      </c>
      <c r="H762" s="80">
        <v>9449.1525423728799</v>
      </c>
      <c r="I762" s="72">
        <v>66</v>
      </c>
      <c r="J762" s="81">
        <v>14495</v>
      </c>
      <c r="K762" s="76">
        <v>5</v>
      </c>
      <c r="L762" s="76">
        <v>0</v>
      </c>
      <c r="M762" s="76">
        <v>1</v>
      </c>
      <c r="N762" s="82" t="s">
        <v>10660</v>
      </c>
      <c r="O762" s="83"/>
    </row>
    <row r="763" spans="1:15" ht="22.5" customHeight="1">
      <c r="A763" s="76">
        <v>174904221976312</v>
      </c>
      <c r="B763" s="77" t="s">
        <v>10651</v>
      </c>
      <c r="C763" s="77" t="s">
        <v>10833</v>
      </c>
      <c r="D763" s="77" t="s">
        <v>10834</v>
      </c>
      <c r="E763" s="77">
        <v>6282242925264</v>
      </c>
      <c r="F763" s="84">
        <v>45832</v>
      </c>
      <c r="G763" s="79">
        <v>2382</v>
      </c>
      <c r="H763" s="80">
        <v>4746.4739069111429</v>
      </c>
      <c r="I763" s="72">
        <v>89</v>
      </c>
      <c r="J763" s="81">
        <v>13461</v>
      </c>
      <c r="K763" s="76">
        <v>8</v>
      </c>
      <c r="L763" s="76">
        <v>734</v>
      </c>
      <c r="M763" s="76">
        <v>1</v>
      </c>
      <c r="N763" s="82" t="s">
        <v>10835</v>
      </c>
      <c r="O763" s="83"/>
    </row>
    <row r="764" spans="1:15" ht="22.5" customHeight="1">
      <c r="A764" s="76">
        <v>766589657993298</v>
      </c>
      <c r="B764" s="77" t="s">
        <v>10688</v>
      </c>
      <c r="C764" s="77" t="s">
        <v>10917</v>
      </c>
      <c r="D764" s="77" t="s">
        <v>1037</v>
      </c>
      <c r="E764" s="77">
        <v>6281383434602</v>
      </c>
      <c r="F764" s="84">
        <v>45832</v>
      </c>
      <c r="G764" s="79">
        <v>435</v>
      </c>
      <c r="H764" s="80">
        <v>30029.288702928869</v>
      </c>
      <c r="I764" s="72">
        <v>6</v>
      </c>
      <c r="J764" s="81">
        <v>14354</v>
      </c>
      <c r="K764" s="76">
        <v>1</v>
      </c>
      <c r="L764" s="76">
        <v>154</v>
      </c>
      <c r="M764" s="76">
        <v>1</v>
      </c>
      <c r="N764" s="82" t="s">
        <v>10918</v>
      </c>
      <c r="O764" s="83"/>
    </row>
    <row r="765" spans="1:15" ht="22.5" customHeight="1">
      <c r="A765" s="76">
        <v>766589657993298</v>
      </c>
      <c r="B765" s="77" t="s">
        <v>10688</v>
      </c>
      <c r="C765" s="77" t="s">
        <v>10919</v>
      </c>
      <c r="D765" s="77" t="s">
        <v>951</v>
      </c>
      <c r="E765" s="77">
        <v>6281383899119</v>
      </c>
      <c r="F765" s="84">
        <v>45832</v>
      </c>
      <c r="G765" s="79">
        <v>719</v>
      </c>
      <c r="H765" s="80">
        <v>19179.874213836476</v>
      </c>
      <c r="I765" s="72">
        <v>17</v>
      </c>
      <c r="J765" s="81">
        <v>15248</v>
      </c>
      <c r="K765" s="76">
        <v>1</v>
      </c>
      <c r="L765" s="76">
        <v>0</v>
      </c>
      <c r="M765" s="76">
        <v>0</v>
      </c>
      <c r="N765" s="82" t="s">
        <v>10920</v>
      </c>
      <c r="O765" s="83"/>
    </row>
    <row r="766" spans="1:15" ht="22.5" customHeight="1">
      <c r="A766" s="76">
        <v>766589657993298</v>
      </c>
      <c r="B766" s="77" t="s">
        <v>10688</v>
      </c>
      <c r="C766" s="77" t="s">
        <v>10898</v>
      </c>
      <c r="D766" s="77" t="s">
        <v>978</v>
      </c>
      <c r="E766" s="77">
        <v>6283135590465</v>
      </c>
      <c r="F766" s="84">
        <v>45832</v>
      </c>
      <c r="G766" s="79">
        <v>398</v>
      </c>
      <c r="H766" s="80">
        <v>27241.573033707864</v>
      </c>
      <c r="I766" s="72">
        <v>9</v>
      </c>
      <c r="J766" s="81">
        <v>14547</v>
      </c>
      <c r="K766" s="76">
        <v>1</v>
      </c>
      <c r="L766" s="76">
        <v>113</v>
      </c>
      <c r="M766" s="76">
        <v>0</v>
      </c>
      <c r="N766" s="82" t="s">
        <v>10899</v>
      </c>
      <c r="O766" s="83"/>
    </row>
    <row r="767" spans="1:15" ht="22.5" customHeight="1">
      <c r="A767" s="76">
        <v>766589657993298</v>
      </c>
      <c r="B767" s="77" t="s">
        <v>10688</v>
      </c>
      <c r="C767" s="77" t="s">
        <v>10883</v>
      </c>
      <c r="D767" s="77" t="s">
        <v>920</v>
      </c>
      <c r="E767" s="77">
        <v>6281514999073</v>
      </c>
      <c r="F767" s="84">
        <v>45832</v>
      </c>
      <c r="G767" s="79">
        <v>383</v>
      </c>
      <c r="H767" s="80">
        <v>34240.654205607476</v>
      </c>
      <c r="I767" s="72">
        <v>18</v>
      </c>
      <c r="J767" s="81">
        <v>14655</v>
      </c>
      <c r="K767" s="76">
        <v>5</v>
      </c>
      <c r="L767" s="76">
        <v>211</v>
      </c>
      <c r="M767" s="76">
        <v>0</v>
      </c>
      <c r="N767" s="82" t="s">
        <v>10884</v>
      </c>
      <c r="O767" s="83"/>
    </row>
    <row r="768" spans="1:15" ht="22.5" customHeight="1">
      <c r="A768" s="76">
        <v>766589657993298</v>
      </c>
      <c r="B768" s="77" t="s">
        <v>10688</v>
      </c>
      <c r="C768" s="77" t="s">
        <v>10885</v>
      </c>
      <c r="D768" s="77" t="s">
        <v>906</v>
      </c>
      <c r="E768" s="77">
        <v>6282183115806</v>
      </c>
      <c r="F768" s="84">
        <v>45832</v>
      </c>
      <c r="G768" s="79">
        <v>1119</v>
      </c>
      <c r="H768" s="80">
        <v>12020.015396458815</v>
      </c>
      <c r="I768" s="72">
        <v>33</v>
      </c>
      <c r="J768" s="81">
        <v>15614</v>
      </c>
      <c r="K768" s="76">
        <v>4</v>
      </c>
      <c r="L768" s="76">
        <v>569</v>
      </c>
      <c r="M768" s="76">
        <v>0</v>
      </c>
      <c r="N768" s="82" t="s">
        <v>10886</v>
      </c>
      <c r="O768" s="83"/>
    </row>
    <row r="769" spans="1:15" ht="22.5" customHeight="1">
      <c r="A769" s="76">
        <v>766589657993298</v>
      </c>
      <c r="B769" s="77" t="s">
        <v>10688</v>
      </c>
      <c r="C769" s="77" t="s">
        <v>10887</v>
      </c>
      <c r="D769" s="77" t="s">
        <v>10888</v>
      </c>
      <c r="E769" s="77">
        <v>6283151330372</v>
      </c>
      <c r="F769" s="84">
        <v>45832</v>
      </c>
      <c r="G769" s="79">
        <v>560</v>
      </c>
      <c r="H769" s="80">
        <v>21297.65395894428</v>
      </c>
      <c r="I769" s="72">
        <v>11</v>
      </c>
      <c r="J769" s="81">
        <v>14525</v>
      </c>
      <c r="K769" s="76">
        <v>2</v>
      </c>
      <c r="L769" s="76">
        <v>350</v>
      </c>
      <c r="M769" s="76">
        <v>0</v>
      </c>
      <c r="N769" s="82" t="s">
        <v>10889</v>
      </c>
      <c r="O769" s="83"/>
    </row>
    <row r="770" spans="1:15" ht="22.5" customHeight="1">
      <c r="A770" s="76">
        <v>766589657993298</v>
      </c>
      <c r="B770" s="77" t="s">
        <v>10688</v>
      </c>
      <c r="C770" s="77" t="s">
        <v>10869</v>
      </c>
      <c r="D770" s="77" t="s">
        <v>10870</v>
      </c>
      <c r="E770" s="77">
        <v>6281230995752</v>
      </c>
      <c r="F770" s="84">
        <v>45832</v>
      </c>
      <c r="G770" s="79">
        <v>772</v>
      </c>
      <c r="H770" s="80">
        <v>15502.016129032258</v>
      </c>
      <c r="I770" s="72">
        <v>25</v>
      </c>
      <c r="J770" s="81">
        <v>15378</v>
      </c>
      <c r="K770" s="76">
        <v>3</v>
      </c>
      <c r="L770" s="76">
        <v>3</v>
      </c>
      <c r="M770" s="76">
        <v>0</v>
      </c>
      <c r="N770" s="82" t="s">
        <v>10871</v>
      </c>
      <c r="O770" s="83"/>
    </row>
    <row r="771" spans="1:15" ht="22.5" customHeight="1">
      <c r="A771" s="76">
        <v>766589657993298</v>
      </c>
      <c r="B771" s="77" t="s">
        <v>10688</v>
      </c>
      <c r="C771" s="77" t="s">
        <v>10872</v>
      </c>
      <c r="D771" s="77" t="s">
        <v>846</v>
      </c>
      <c r="E771" s="77">
        <v>6281233044823</v>
      </c>
      <c r="F771" s="84">
        <v>45832</v>
      </c>
      <c r="G771" s="79">
        <v>420</v>
      </c>
      <c r="H771" s="80">
        <v>25163.265306122448</v>
      </c>
      <c r="I771" s="72">
        <v>10</v>
      </c>
      <c r="J771" s="81">
        <v>12330</v>
      </c>
      <c r="K771" s="76">
        <v>0</v>
      </c>
      <c r="L771" s="76">
        <v>30</v>
      </c>
      <c r="M771" s="76">
        <v>0</v>
      </c>
      <c r="N771" s="82" t="s">
        <v>10873</v>
      </c>
      <c r="O771" s="83"/>
    </row>
    <row r="772" spans="1:15" ht="22.5" customHeight="1">
      <c r="A772" s="76">
        <v>766589657993298</v>
      </c>
      <c r="B772" s="77" t="s">
        <v>10688</v>
      </c>
      <c r="C772" s="77" t="s">
        <v>10874</v>
      </c>
      <c r="D772" s="77" t="s">
        <v>10875</v>
      </c>
      <c r="E772" s="77">
        <v>6281283325291</v>
      </c>
      <c r="F772" s="84">
        <v>45832</v>
      </c>
      <c r="G772" s="79">
        <v>263</v>
      </c>
      <c r="H772" s="80">
        <v>53043.189368770763</v>
      </c>
      <c r="I772" s="72">
        <v>6</v>
      </c>
      <c r="J772" s="81">
        <v>15966</v>
      </c>
      <c r="K772" s="76">
        <v>1</v>
      </c>
      <c r="L772" s="76">
        <v>55</v>
      </c>
      <c r="M772" s="76">
        <v>0</v>
      </c>
      <c r="N772" s="82" t="s">
        <v>10876</v>
      </c>
      <c r="O772" s="83"/>
    </row>
    <row r="773" spans="1:15" ht="22.5" customHeight="1">
      <c r="A773" s="76">
        <v>766589657993298</v>
      </c>
      <c r="B773" s="77" t="s">
        <v>10688</v>
      </c>
      <c r="C773" s="77" t="s">
        <v>10877</v>
      </c>
      <c r="D773" s="77" t="s">
        <v>861</v>
      </c>
      <c r="E773" s="77">
        <v>6289617461806</v>
      </c>
      <c r="F773" s="84">
        <v>45832</v>
      </c>
      <c r="G773" s="79">
        <v>690</v>
      </c>
      <c r="H773" s="80">
        <v>19421.972534332086</v>
      </c>
      <c r="I773" s="72">
        <v>18</v>
      </c>
      <c r="J773" s="81">
        <v>15557</v>
      </c>
      <c r="K773" s="76">
        <v>6</v>
      </c>
      <c r="L773" s="76">
        <v>234</v>
      </c>
      <c r="M773" s="76">
        <v>0</v>
      </c>
      <c r="N773" s="82" t="s">
        <v>10878</v>
      </c>
      <c r="O773" s="83"/>
    </row>
    <row r="774" spans="1:15" ht="22.5" customHeight="1">
      <c r="A774" s="76">
        <v>766589657993298</v>
      </c>
      <c r="B774" s="77" t="s">
        <v>10688</v>
      </c>
      <c r="C774" s="77" t="s">
        <v>10879</v>
      </c>
      <c r="D774" s="77" t="s">
        <v>10880</v>
      </c>
      <c r="E774" s="77">
        <v>6281215851833</v>
      </c>
      <c r="F774" s="84">
        <v>45832</v>
      </c>
      <c r="G774" s="79">
        <v>512</v>
      </c>
      <c r="H774" s="80">
        <v>25429.07180385289</v>
      </c>
      <c r="I774" s="72">
        <v>20</v>
      </c>
      <c r="J774" s="81">
        <v>14520</v>
      </c>
      <c r="K774" s="76">
        <v>4</v>
      </c>
      <c r="L774" s="76">
        <v>1</v>
      </c>
      <c r="M774" s="76">
        <v>0</v>
      </c>
      <c r="N774" s="82" t="s">
        <v>10881</v>
      </c>
      <c r="O774" s="83"/>
    </row>
    <row r="775" spans="1:15" ht="22.5" customHeight="1">
      <c r="A775" s="76">
        <v>766589657993298</v>
      </c>
      <c r="B775" s="77" t="s">
        <v>10688</v>
      </c>
      <c r="C775" s="77" t="s">
        <v>10861</v>
      </c>
      <c r="D775" s="77" t="s">
        <v>795</v>
      </c>
      <c r="E775" s="77">
        <v>6287877805175</v>
      </c>
      <c r="F775" s="84">
        <v>45832</v>
      </c>
      <c r="G775" s="79">
        <v>483</v>
      </c>
      <c r="H775" s="80">
        <v>32538.461538461539</v>
      </c>
      <c r="I775" s="72">
        <v>3</v>
      </c>
      <c r="J775" s="81">
        <v>16497</v>
      </c>
      <c r="K775" s="76">
        <v>1</v>
      </c>
      <c r="L775" s="76">
        <v>289</v>
      </c>
      <c r="M775" s="76">
        <v>0</v>
      </c>
      <c r="N775" s="82" t="s">
        <v>10862</v>
      </c>
      <c r="O775" s="83"/>
    </row>
    <row r="776" spans="1:15" ht="22.5" customHeight="1">
      <c r="A776" s="76">
        <v>766589657993298</v>
      </c>
      <c r="B776" s="77" t="s">
        <v>10688</v>
      </c>
      <c r="C776" s="77" t="s">
        <v>10836</v>
      </c>
      <c r="D776" s="77" t="s">
        <v>780</v>
      </c>
      <c r="E776" s="77">
        <v>6283866009989</v>
      </c>
      <c r="F776" s="84">
        <v>45832</v>
      </c>
      <c r="G776" s="79">
        <v>699</v>
      </c>
      <c r="H776" s="80">
        <v>18380.434782608696</v>
      </c>
      <c r="I776" s="72">
        <v>14</v>
      </c>
      <c r="J776" s="81">
        <v>13528</v>
      </c>
      <c r="K776" s="76">
        <v>0</v>
      </c>
      <c r="L776" s="76">
        <v>412</v>
      </c>
      <c r="M776" s="76">
        <v>0</v>
      </c>
      <c r="N776" s="82" t="s">
        <v>10837</v>
      </c>
      <c r="O776" s="83"/>
    </row>
    <row r="777" spans="1:15" ht="22.5" customHeight="1">
      <c r="A777" s="76">
        <v>766589657993298</v>
      </c>
      <c r="B777" s="77" t="s">
        <v>10688</v>
      </c>
      <c r="C777" s="77" t="s">
        <v>689</v>
      </c>
      <c r="D777" s="77" t="s">
        <v>10923</v>
      </c>
      <c r="E777" s="77">
        <v>6282176695820</v>
      </c>
      <c r="F777" s="84">
        <v>45832</v>
      </c>
      <c r="G777" s="79">
        <v>276</v>
      </c>
      <c r="H777" s="80">
        <v>38540.123456790127</v>
      </c>
      <c r="I777" s="72">
        <v>4</v>
      </c>
      <c r="J777" s="81">
        <v>12487</v>
      </c>
      <c r="K777" s="76">
        <v>0</v>
      </c>
      <c r="L777" s="76">
        <v>0</v>
      </c>
      <c r="M777" s="76">
        <v>0</v>
      </c>
      <c r="N777" s="82" t="s">
        <v>10921</v>
      </c>
      <c r="O777" s="83"/>
    </row>
    <row r="778" spans="1:15" ht="22.5" customHeight="1">
      <c r="A778" s="76">
        <v>766589657993298</v>
      </c>
      <c r="B778" s="77" t="s">
        <v>10688</v>
      </c>
      <c r="C778" s="77" t="s">
        <v>10822</v>
      </c>
      <c r="D778" s="77" t="s">
        <v>676</v>
      </c>
      <c r="E778" s="77">
        <v>6281316155059</v>
      </c>
      <c r="F778" s="84">
        <v>45832</v>
      </c>
      <c r="G778" s="79">
        <v>775</v>
      </c>
      <c r="H778" s="80">
        <v>22472.187886279356</v>
      </c>
      <c r="I778" s="72">
        <v>13</v>
      </c>
      <c r="J778" s="81">
        <v>18180</v>
      </c>
      <c r="K778" s="76">
        <v>0</v>
      </c>
      <c r="L778" s="76">
        <v>395</v>
      </c>
      <c r="M778" s="76">
        <v>0</v>
      </c>
      <c r="N778" s="82" t="s">
        <v>10823</v>
      </c>
      <c r="O778" s="83"/>
    </row>
    <row r="779" spans="1:15" ht="22.5" customHeight="1">
      <c r="A779" s="76">
        <v>766589657993298</v>
      </c>
      <c r="B779" s="77" t="s">
        <v>10688</v>
      </c>
      <c r="C779" s="77" t="s">
        <v>10786</v>
      </c>
      <c r="D779" s="77" t="s">
        <v>739</v>
      </c>
      <c r="E779" s="77">
        <v>628122102657</v>
      </c>
      <c r="F779" s="84">
        <v>45832</v>
      </c>
      <c r="G779" s="79">
        <v>331</v>
      </c>
      <c r="H779" s="80">
        <v>32932.642487046636</v>
      </c>
      <c r="I779" s="72">
        <v>13</v>
      </c>
      <c r="J779" s="81">
        <v>12712</v>
      </c>
      <c r="K779" s="76">
        <v>0</v>
      </c>
      <c r="L779" s="76">
        <v>108</v>
      </c>
      <c r="M779" s="76">
        <v>0</v>
      </c>
      <c r="N779" s="82" t="s">
        <v>10787</v>
      </c>
      <c r="O779" s="83"/>
    </row>
    <row r="780" spans="1:15" ht="22.5" customHeight="1">
      <c r="A780" s="76">
        <v>766589657993298</v>
      </c>
      <c r="B780" s="77" t="s">
        <v>10688</v>
      </c>
      <c r="C780" s="77" t="s">
        <v>10762</v>
      </c>
      <c r="D780" s="77" t="s">
        <v>10763</v>
      </c>
      <c r="E780" s="77">
        <v>6285210107607</v>
      </c>
      <c r="F780" s="84">
        <v>45832</v>
      </c>
      <c r="G780" s="79">
        <v>681</v>
      </c>
      <c r="H780" s="80">
        <v>19301.470588235294</v>
      </c>
      <c r="I780" s="72">
        <v>20</v>
      </c>
      <c r="J780" s="81">
        <v>15750</v>
      </c>
      <c r="K780" s="76">
        <v>1</v>
      </c>
      <c r="L780" s="76">
        <v>226</v>
      </c>
      <c r="M780" s="76">
        <v>0</v>
      </c>
      <c r="N780" s="82" t="s">
        <v>10764</v>
      </c>
      <c r="O780" s="83"/>
    </row>
    <row r="781" spans="1:15" ht="22.5" customHeight="1">
      <c r="A781" s="76">
        <v>766589657993298</v>
      </c>
      <c r="B781" s="77" t="s">
        <v>10688</v>
      </c>
      <c r="C781" s="77" t="s">
        <v>10765</v>
      </c>
      <c r="D781" s="77" t="s">
        <v>350</v>
      </c>
      <c r="E781" s="77">
        <v>6282393168368</v>
      </c>
      <c r="F781" s="84">
        <v>45832</v>
      </c>
      <c r="G781" s="79">
        <v>983</v>
      </c>
      <c r="H781" s="80">
        <v>13163.555555555557</v>
      </c>
      <c r="I781" s="72">
        <v>30</v>
      </c>
      <c r="J781" s="81">
        <v>14809</v>
      </c>
      <c r="K781" s="76">
        <v>6</v>
      </c>
      <c r="L781" s="76">
        <v>44</v>
      </c>
      <c r="M781" s="76">
        <v>0</v>
      </c>
      <c r="N781" s="82" t="s">
        <v>10766</v>
      </c>
      <c r="O781" s="83"/>
    </row>
    <row r="782" spans="1:15" ht="22.5" customHeight="1">
      <c r="A782" s="76">
        <v>766589657993298</v>
      </c>
      <c r="B782" s="77" t="s">
        <v>10688</v>
      </c>
      <c r="C782" s="77" t="s">
        <v>10795</v>
      </c>
      <c r="D782" s="77" t="s">
        <v>551</v>
      </c>
      <c r="E782" s="77">
        <v>6285747906282</v>
      </c>
      <c r="F782" s="84">
        <v>45832</v>
      </c>
      <c r="G782" s="79">
        <v>508</v>
      </c>
      <c r="H782" s="80">
        <v>26574.652777777777</v>
      </c>
      <c r="I782" s="72">
        <v>17</v>
      </c>
      <c r="J782" s="81">
        <v>15307</v>
      </c>
      <c r="K782" s="76">
        <v>1</v>
      </c>
      <c r="L782" s="76">
        <v>265</v>
      </c>
      <c r="M782" s="76">
        <v>0</v>
      </c>
      <c r="N782" s="82" t="s">
        <v>10796</v>
      </c>
      <c r="O782" s="83"/>
    </row>
    <row r="783" spans="1:15" ht="22.5" customHeight="1">
      <c r="A783" s="76">
        <v>766589657993298</v>
      </c>
      <c r="B783" s="77" t="s">
        <v>10688</v>
      </c>
      <c r="C783" s="77" t="s">
        <v>10767</v>
      </c>
      <c r="D783" s="77" t="s">
        <v>10768</v>
      </c>
      <c r="E783" s="77">
        <v>6281519225886</v>
      </c>
      <c r="F783" s="84">
        <v>45832</v>
      </c>
      <c r="G783" s="79">
        <v>788</v>
      </c>
      <c r="H783" s="80">
        <v>15780.617678381257</v>
      </c>
      <c r="I783" s="72">
        <v>24</v>
      </c>
      <c r="J783" s="81">
        <v>14818</v>
      </c>
      <c r="K783" s="76">
        <v>4</v>
      </c>
      <c r="L783" s="76">
        <v>7</v>
      </c>
      <c r="M783" s="76">
        <v>0</v>
      </c>
      <c r="N783" s="82" t="s">
        <v>10769</v>
      </c>
      <c r="O783" s="83"/>
    </row>
    <row r="784" spans="1:15" ht="22.5" customHeight="1">
      <c r="A784" s="76">
        <v>766589657993298</v>
      </c>
      <c r="B784" s="77" t="s">
        <v>10688</v>
      </c>
      <c r="C784" s="77" t="s">
        <v>10797</v>
      </c>
      <c r="D784" s="77" t="s">
        <v>10798</v>
      </c>
      <c r="E784" s="77">
        <v>6285853370682</v>
      </c>
      <c r="F784" s="84">
        <v>45832</v>
      </c>
      <c r="G784" s="79">
        <v>360</v>
      </c>
      <c r="H784" s="80">
        <v>32730.853391684905</v>
      </c>
      <c r="I784" s="72">
        <v>10</v>
      </c>
      <c r="J784" s="81">
        <v>14958</v>
      </c>
      <c r="K784" s="76">
        <v>1</v>
      </c>
      <c r="L784" s="76">
        <v>107</v>
      </c>
      <c r="M784" s="76">
        <v>0</v>
      </c>
      <c r="N784" s="82" t="s">
        <v>10799</v>
      </c>
      <c r="O784" s="83"/>
    </row>
    <row r="785" spans="1:15" ht="22.5" customHeight="1">
      <c r="A785" s="76">
        <v>766589657993298</v>
      </c>
      <c r="B785" s="77" t="s">
        <v>10688</v>
      </c>
      <c r="C785" s="77" t="s">
        <v>10800</v>
      </c>
      <c r="D785" s="77" t="s">
        <v>472</v>
      </c>
      <c r="E785" s="77">
        <v>628114170888</v>
      </c>
      <c r="F785" s="84">
        <v>45832</v>
      </c>
      <c r="G785" s="79">
        <v>484</v>
      </c>
      <c r="H785" s="80">
        <v>24555.555555555558</v>
      </c>
      <c r="I785" s="72">
        <v>16</v>
      </c>
      <c r="J785" s="81">
        <v>15028</v>
      </c>
      <c r="K785" s="76">
        <v>1</v>
      </c>
      <c r="L785" s="76">
        <v>0</v>
      </c>
      <c r="M785" s="76">
        <v>0</v>
      </c>
      <c r="N785" s="82" t="s">
        <v>10801</v>
      </c>
      <c r="O785" s="83"/>
    </row>
    <row r="786" spans="1:15" ht="22.5" customHeight="1">
      <c r="A786" s="76">
        <v>766589657993298</v>
      </c>
      <c r="B786" s="77" t="s">
        <v>10688</v>
      </c>
      <c r="C786" s="77" t="s">
        <v>10802</v>
      </c>
      <c r="D786" s="77" t="s">
        <v>567</v>
      </c>
      <c r="E786" s="77">
        <v>6285220216325</v>
      </c>
      <c r="F786" s="84">
        <v>45832</v>
      </c>
      <c r="G786" s="79">
        <v>52</v>
      </c>
      <c r="H786" s="80">
        <v>60250</v>
      </c>
      <c r="I786" s="72">
        <v>1</v>
      </c>
      <c r="J786" s="81">
        <v>3133</v>
      </c>
      <c r="K786" s="76">
        <v>0</v>
      </c>
      <c r="L786" s="76">
        <v>9</v>
      </c>
      <c r="M786" s="76">
        <v>0</v>
      </c>
      <c r="N786" s="82" t="s">
        <v>10924</v>
      </c>
      <c r="O786" s="83"/>
    </row>
    <row r="787" spans="1:15" ht="22.5" customHeight="1">
      <c r="A787" s="76">
        <v>766589657993298</v>
      </c>
      <c r="B787" s="77" t="s">
        <v>10688</v>
      </c>
      <c r="C787" s="77" t="s">
        <v>10752</v>
      </c>
      <c r="D787" s="77" t="s">
        <v>10753</v>
      </c>
      <c r="E787" s="77">
        <v>6281340892328</v>
      </c>
      <c r="F787" s="84">
        <v>45832</v>
      </c>
      <c r="G787" s="79">
        <v>1038</v>
      </c>
      <c r="H787" s="80">
        <v>12465.362673186633</v>
      </c>
      <c r="I787" s="72">
        <v>40</v>
      </c>
      <c r="J787" s="81">
        <v>15295</v>
      </c>
      <c r="K787" s="76">
        <v>1</v>
      </c>
      <c r="L787" s="76">
        <v>365</v>
      </c>
      <c r="M787" s="76">
        <v>0</v>
      </c>
      <c r="N787" s="82" t="s">
        <v>10754</v>
      </c>
      <c r="O787" s="83"/>
    </row>
    <row r="788" spans="1:15" ht="22.5" customHeight="1">
      <c r="A788" s="76">
        <v>206726568613432</v>
      </c>
      <c r="B788" s="77" t="s">
        <v>10900</v>
      </c>
      <c r="C788" s="77" t="s">
        <v>10901</v>
      </c>
      <c r="D788" s="77" t="s">
        <v>10902</v>
      </c>
      <c r="E788" s="77">
        <v>6282194694492</v>
      </c>
      <c r="F788" s="84">
        <v>45832</v>
      </c>
      <c r="G788" s="79">
        <v>543</v>
      </c>
      <c r="H788" s="80">
        <v>20152.337858220209</v>
      </c>
      <c r="I788" s="72">
        <v>40</v>
      </c>
      <c r="J788" s="81">
        <v>13361</v>
      </c>
      <c r="K788" s="76">
        <v>12</v>
      </c>
      <c r="L788" s="76">
        <v>185</v>
      </c>
      <c r="M788" s="76">
        <v>0</v>
      </c>
      <c r="N788" s="82" t="s">
        <v>10903</v>
      </c>
      <c r="O788" s="83"/>
    </row>
    <row r="789" spans="1:15" ht="22.5" customHeight="1">
      <c r="A789" s="76">
        <v>759724529202804</v>
      </c>
      <c r="B789" s="77" t="s">
        <v>10621</v>
      </c>
      <c r="C789" s="77" t="s">
        <v>10925</v>
      </c>
      <c r="D789" s="77" t="s">
        <v>10926</v>
      </c>
      <c r="E789" s="77">
        <v>6281233038880</v>
      </c>
      <c r="F789" s="84">
        <v>45833</v>
      </c>
      <c r="G789" s="79">
        <v>240</v>
      </c>
      <c r="H789" s="80">
        <v>56319.587628865978</v>
      </c>
      <c r="I789" s="72">
        <v>6</v>
      </c>
      <c r="J789" s="81">
        <v>16389</v>
      </c>
      <c r="K789" s="76">
        <v>3</v>
      </c>
      <c r="L789" s="76">
        <v>0</v>
      </c>
      <c r="M789" s="76">
        <v>0</v>
      </c>
      <c r="N789" s="82" t="s">
        <v>10927</v>
      </c>
      <c r="O789" s="83"/>
    </row>
    <row r="790" spans="1:15" ht="22.5" customHeight="1">
      <c r="A790" s="76">
        <v>759724529202804</v>
      </c>
      <c r="B790" s="77" t="s">
        <v>10621</v>
      </c>
      <c r="C790" s="77" t="s">
        <v>10928</v>
      </c>
      <c r="D790" s="77" t="s">
        <v>1112</v>
      </c>
      <c r="E790" s="77">
        <v>6285777110340</v>
      </c>
      <c r="F790" s="84">
        <v>45833</v>
      </c>
      <c r="G790" s="79">
        <v>269</v>
      </c>
      <c r="H790" s="80">
        <v>46444.07894736842</v>
      </c>
      <c r="I790" s="72">
        <v>12</v>
      </c>
      <c r="J790" s="81">
        <v>14119</v>
      </c>
      <c r="K790" s="76">
        <v>2</v>
      </c>
      <c r="L790" s="76">
        <v>0</v>
      </c>
      <c r="M790" s="76">
        <v>0</v>
      </c>
      <c r="N790" s="82" t="s">
        <v>10929</v>
      </c>
      <c r="O790" s="83"/>
    </row>
    <row r="791" spans="1:15" ht="22.5" customHeight="1">
      <c r="A791" s="76">
        <v>759724529202804</v>
      </c>
      <c r="B791" s="77" t="s">
        <v>10621</v>
      </c>
      <c r="C791" s="77" t="s">
        <v>10904</v>
      </c>
      <c r="D791" s="77" t="s">
        <v>10905</v>
      </c>
      <c r="E791" s="77">
        <v>6285711667433</v>
      </c>
      <c r="F791" s="84">
        <v>45833</v>
      </c>
      <c r="G791" s="79">
        <v>1464</v>
      </c>
      <c r="H791" s="80">
        <v>9740.3076923076915</v>
      </c>
      <c r="I791" s="72">
        <v>29</v>
      </c>
      <c r="J791" s="81">
        <v>15828</v>
      </c>
      <c r="K791" s="76">
        <v>7</v>
      </c>
      <c r="L791" s="76">
        <v>480</v>
      </c>
      <c r="M791" s="76">
        <v>0</v>
      </c>
      <c r="N791" s="82" t="s">
        <v>10906</v>
      </c>
      <c r="O791" s="83"/>
    </row>
    <row r="792" spans="1:15" ht="22.5" customHeight="1">
      <c r="A792" s="76">
        <v>759724529202804</v>
      </c>
      <c r="B792" s="77" t="s">
        <v>10621</v>
      </c>
      <c r="C792" s="77" t="s">
        <v>10907</v>
      </c>
      <c r="D792" s="77" t="s">
        <v>943</v>
      </c>
      <c r="E792" s="77">
        <v>6285775986977</v>
      </c>
      <c r="F792" s="84">
        <v>45833</v>
      </c>
      <c r="G792" s="79">
        <v>538</v>
      </c>
      <c r="H792" s="80">
        <v>23717.041800643088</v>
      </c>
      <c r="I792" s="72">
        <v>9</v>
      </c>
      <c r="J792" s="81">
        <v>14752</v>
      </c>
      <c r="K792" s="76">
        <v>0</v>
      </c>
      <c r="L792" s="76">
        <v>157</v>
      </c>
      <c r="M792" s="76">
        <v>0</v>
      </c>
      <c r="N792" s="82" t="s">
        <v>10908</v>
      </c>
      <c r="O792" s="83"/>
    </row>
    <row r="793" spans="1:15" ht="22.5" customHeight="1">
      <c r="A793" s="76">
        <v>759724529202804</v>
      </c>
      <c r="B793" s="77" t="s">
        <v>10621</v>
      </c>
      <c r="C793" s="77" t="s">
        <v>10909</v>
      </c>
      <c r="D793" s="77" t="s">
        <v>10910</v>
      </c>
      <c r="E793" s="77">
        <v>6281904501876</v>
      </c>
      <c r="F793" s="84">
        <v>45833</v>
      </c>
      <c r="G793" s="79">
        <v>1203</v>
      </c>
      <c r="H793" s="80">
        <v>9632.8377504848086</v>
      </c>
      <c r="I793" s="72">
        <v>53</v>
      </c>
      <c r="J793" s="81">
        <v>14902</v>
      </c>
      <c r="K793" s="76">
        <v>1</v>
      </c>
      <c r="L793" s="76">
        <v>390</v>
      </c>
      <c r="M793" s="76">
        <v>0</v>
      </c>
      <c r="N793" s="82" t="s">
        <v>10911</v>
      </c>
      <c r="O793" s="83"/>
    </row>
    <row r="794" spans="1:15" ht="22.5" customHeight="1">
      <c r="A794" s="76">
        <v>759724529202804</v>
      </c>
      <c r="B794" s="77" t="s">
        <v>10621</v>
      </c>
      <c r="C794" s="77" t="s">
        <v>10912</v>
      </c>
      <c r="D794" s="77" t="s">
        <v>1029</v>
      </c>
      <c r="E794" s="77">
        <v>6281253792753</v>
      </c>
      <c r="F794" s="84">
        <v>45833</v>
      </c>
      <c r="G794" s="79">
        <v>1424</v>
      </c>
      <c r="H794" s="80">
        <v>9163.444639718804</v>
      </c>
      <c r="I794" s="72">
        <v>28</v>
      </c>
      <c r="J794" s="81">
        <v>15642</v>
      </c>
      <c r="K794" s="76">
        <v>0</v>
      </c>
      <c r="L794" s="76">
        <v>488</v>
      </c>
      <c r="M794" s="76">
        <v>0</v>
      </c>
      <c r="N794" s="82" t="s">
        <v>10913</v>
      </c>
      <c r="O794" s="83"/>
    </row>
    <row r="795" spans="1:15" ht="22.5" customHeight="1">
      <c r="A795" s="76">
        <v>759724529202804</v>
      </c>
      <c r="B795" s="77" t="s">
        <v>10621</v>
      </c>
      <c r="C795" s="77" t="s">
        <v>10922</v>
      </c>
      <c r="D795" s="77" t="s">
        <v>1021</v>
      </c>
      <c r="E795" s="77">
        <v>6282122880328</v>
      </c>
      <c r="F795" s="84">
        <v>45833</v>
      </c>
      <c r="G795" s="79">
        <v>342</v>
      </c>
      <c r="H795" s="80">
        <v>36135.13513513514</v>
      </c>
      <c r="I795" s="72">
        <v>12</v>
      </c>
      <c r="J795" s="81">
        <v>14707</v>
      </c>
      <c r="K795" s="76">
        <v>4</v>
      </c>
      <c r="L795" s="76">
        <v>181</v>
      </c>
      <c r="M795" s="76">
        <v>0</v>
      </c>
      <c r="N795" s="82" t="s">
        <v>10914</v>
      </c>
      <c r="O795" s="83"/>
    </row>
    <row r="796" spans="1:15" ht="22.5" customHeight="1">
      <c r="A796" s="76">
        <v>759724529202804</v>
      </c>
      <c r="B796" s="77" t="s">
        <v>10621</v>
      </c>
      <c r="C796" s="77" t="s">
        <v>10863</v>
      </c>
      <c r="D796" s="77" t="s">
        <v>10864</v>
      </c>
      <c r="E796" s="77">
        <v>6285180805171</v>
      </c>
      <c r="F796" s="84">
        <v>45833</v>
      </c>
      <c r="G796" s="79">
        <v>988</v>
      </c>
      <c r="H796" s="80">
        <v>13359.34819897084</v>
      </c>
      <c r="I796" s="72">
        <v>22</v>
      </c>
      <c r="J796" s="81">
        <v>15577</v>
      </c>
      <c r="K796" s="76">
        <v>1</v>
      </c>
      <c r="L796" s="76">
        <v>291</v>
      </c>
      <c r="M796" s="76">
        <v>0</v>
      </c>
      <c r="N796" s="82" t="s">
        <v>10865</v>
      </c>
      <c r="O796" s="83"/>
    </row>
    <row r="797" spans="1:15" ht="22.5" customHeight="1">
      <c r="A797" s="76">
        <v>759724529202804</v>
      </c>
      <c r="B797" s="77" t="s">
        <v>10621</v>
      </c>
      <c r="C797" s="77" t="s">
        <v>10804</v>
      </c>
      <c r="D797" s="77" t="s">
        <v>607</v>
      </c>
      <c r="E797" s="77">
        <v>6288215545661</v>
      </c>
      <c r="F797" s="84">
        <v>45833</v>
      </c>
      <c r="G797" s="79">
        <v>1091</v>
      </c>
      <c r="H797" s="80">
        <v>12861.28526645768</v>
      </c>
      <c r="I797" s="72">
        <v>27</v>
      </c>
      <c r="J797" s="81">
        <v>16411</v>
      </c>
      <c r="K797" s="76">
        <v>2</v>
      </c>
      <c r="L797" s="76">
        <v>375</v>
      </c>
      <c r="M797" s="76">
        <v>0</v>
      </c>
      <c r="N797" s="82" t="s">
        <v>10805</v>
      </c>
      <c r="O797" s="83"/>
    </row>
    <row r="798" spans="1:15" ht="22.5" customHeight="1">
      <c r="A798" s="76">
        <v>759724529202804</v>
      </c>
      <c r="B798" s="77" t="s">
        <v>10621</v>
      </c>
      <c r="C798" s="77" t="s">
        <v>10890</v>
      </c>
      <c r="D798" s="77" t="s">
        <v>450</v>
      </c>
      <c r="E798" s="77">
        <v>62895401448273</v>
      </c>
      <c r="F798" s="84">
        <v>45833</v>
      </c>
      <c r="G798" s="79">
        <v>485</v>
      </c>
      <c r="H798" s="80">
        <v>26285.714285714286</v>
      </c>
      <c r="I798" s="72">
        <v>13</v>
      </c>
      <c r="J798" s="81">
        <v>16008</v>
      </c>
      <c r="K798" s="76">
        <v>1</v>
      </c>
      <c r="L798" s="76">
        <v>0</v>
      </c>
      <c r="M798" s="76">
        <v>0</v>
      </c>
      <c r="N798" s="82" t="s">
        <v>10891</v>
      </c>
      <c r="O798" s="83"/>
    </row>
    <row r="799" spans="1:15" ht="22.5" customHeight="1">
      <c r="A799" s="76">
        <v>759724529202804</v>
      </c>
      <c r="B799" s="77" t="s">
        <v>10621</v>
      </c>
      <c r="C799" s="77" t="s">
        <v>332</v>
      </c>
      <c r="D799" s="77" t="s">
        <v>10708</v>
      </c>
      <c r="E799" s="77">
        <v>6282350524788</v>
      </c>
      <c r="F799" s="84">
        <v>45833</v>
      </c>
      <c r="G799" s="79">
        <v>660</v>
      </c>
      <c r="H799" s="80">
        <v>18079.268292682926</v>
      </c>
      <c r="I799" s="72">
        <v>14</v>
      </c>
      <c r="J799" s="81">
        <v>14825</v>
      </c>
      <c r="K799" s="76">
        <v>2</v>
      </c>
      <c r="L799" s="76">
        <v>16</v>
      </c>
      <c r="M799" s="76">
        <v>0</v>
      </c>
      <c r="N799" s="82" t="s">
        <v>10709</v>
      </c>
      <c r="O799" s="83"/>
    </row>
    <row r="800" spans="1:15" ht="22.5" customHeight="1">
      <c r="A800" s="76">
        <v>759724529202804</v>
      </c>
      <c r="B800" s="77" t="s">
        <v>10621</v>
      </c>
      <c r="C800" s="77" t="s">
        <v>665</v>
      </c>
      <c r="D800" s="77" t="s">
        <v>659</v>
      </c>
      <c r="E800" s="77">
        <v>6285757057088</v>
      </c>
      <c r="F800" s="84">
        <v>45833</v>
      </c>
      <c r="G800" s="79">
        <v>737</v>
      </c>
      <c r="H800" s="80">
        <v>16013.157894736842</v>
      </c>
      <c r="I800" s="72">
        <v>30</v>
      </c>
      <c r="J800" s="81">
        <v>15821</v>
      </c>
      <c r="K800" s="76">
        <v>0</v>
      </c>
      <c r="L800" s="76">
        <v>0</v>
      </c>
      <c r="M800" s="76">
        <v>0</v>
      </c>
      <c r="N800" s="82" t="s">
        <v>10636</v>
      </c>
      <c r="O800" s="83"/>
    </row>
    <row r="801" spans="1:15" ht="22.5" customHeight="1">
      <c r="A801" s="76">
        <v>174904221976312</v>
      </c>
      <c r="B801" s="77" t="s">
        <v>10651</v>
      </c>
      <c r="C801" s="77" t="s">
        <v>10930</v>
      </c>
      <c r="D801" s="77" t="s">
        <v>10931</v>
      </c>
      <c r="E801" s="77">
        <v>6282325874670</v>
      </c>
      <c r="F801" s="84">
        <v>45833</v>
      </c>
      <c r="G801" s="79">
        <v>803</v>
      </c>
      <c r="H801" s="80">
        <v>12983.168316831683</v>
      </c>
      <c r="I801" s="72">
        <v>29</v>
      </c>
      <c r="J801" s="81">
        <v>13113</v>
      </c>
      <c r="K801" s="76">
        <v>3</v>
      </c>
      <c r="L801" s="76">
        <v>211</v>
      </c>
      <c r="M801" s="76">
        <v>0</v>
      </c>
      <c r="N801" s="82" t="s">
        <v>10932</v>
      </c>
      <c r="O801" s="83"/>
    </row>
    <row r="802" spans="1:15" ht="22.5" customHeight="1">
      <c r="A802" s="76">
        <v>174904221976312</v>
      </c>
      <c r="B802" s="77" t="s">
        <v>10651</v>
      </c>
      <c r="C802" s="77" t="s">
        <v>10915</v>
      </c>
      <c r="D802" s="77" t="s">
        <v>10674</v>
      </c>
      <c r="E802" s="77">
        <v>6282183184641</v>
      </c>
      <c r="F802" s="84">
        <v>45833</v>
      </c>
      <c r="G802" s="79">
        <v>328</v>
      </c>
      <c r="H802" s="80">
        <v>20215.777262180975</v>
      </c>
      <c r="I802" s="72">
        <v>10</v>
      </c>
      <c r="J802" s="81">
        <v>8713</v>
      </c>
      <c r="K802" s="76">
        <v>0</v>
      </c>
      <c r="L802" s="76">
        <v>4</v>
      </c>
      <c r="M802" s="76">
        <v>0</v>
      </c>
      <c r="N802" s="82" t="s">
        <v>10675</v>
      </c>
      <c r="O802" s="83"/>
    </row>
    <row r="803" spans="1:15" ht="22.5" customHeight="1">
      <c r="A803" s="76">
        <v>174904221976312</v>
      </c>
      <c r="B803" s="77" t="s">
        <v>10651</v>
      </c>
      <c r="C803" s="77" t="s">
        <v>10892</v>
      </c>
      <c r="D803" s="77" t="s">
        <v>10893</v>
      </c>
      <c r="E803" s="77">
        <v>6282399721881</v>
      </c>
      <c r="F803" s="84">
        <v>45833</v>
      </c>
      <c r="G803" s="79">
        <v>1191</v>
      </c>
      <c r="H803" s="80">
        <v>10133.56890459364</v>
      </c>
      <c r="I803" s="72">
        <v>26</v>
      </c>
      <c r="J803" s="81">
        <v>14339</v>
      </c>
      <c r="K803" s="76">
        <v>0</v>
      </c>
      <c r="L803" s="76">
        <v>497</v>
      </c>
      <c r="M803" s="76">
        <v>0</v>
      </c>
      <c r="N803" s="82" t="s">
        <v>10894</v>
      </c>
      <c r="O803" s="83"/>
    </row>
    <row r="804" spans="1:15" ht="22.5" customHeight="1">
      <c r="A804" s="76">
        <v>174904221976312</v>
      </c>
      <c r="B804" s="77" t="s">
        <v>10651</v>
      </c>
      <c r="C804" s="77" t="s">
        <v>10895</v>
      </c>
      <c r="D804" s="77" t="s">
        <v>10896</v>
      </c>
      <c r="E804" s="77">
        <v>6281299907533</v>
      </c>
      <c r="F804" s="84">
        <v>45833</v>
      </c>
      <c r="G804" s="79">
        <v>503</v>
      </c>
      <c r="H804" s="80">
        <v>21911.458333333332</v>
      </c>
      <c r="I804" s="72">
        <v>22</v>
      </c>
      <c r="J804" s="81">
        <v>12621</v>
      </c>
      <c r="K804" s="76">
        <v>0</v>
      </c>
      <c r="L804" s="76">
        <v>247</v>
      </c>
      <c r="M804" s="76">
        <v>0</v>
      </c>
      <c r="N804" s="82" t="s">
        <v>10897</v>
      </c>
      <c r="O804" s="83"/>
    </row>
    <row r="805" spans="1:15" ht="22.5" customHeight="1">
      <c r="A805" s="76">
        <v>174904221976312</v>
      </c>
      <c r="B805" s="77" t="s">
        <v>10651</v>
      </c>
      <c r="C805" s="77" t="s">
        <v>10866</v>
      </c>
      <c r="D805" s="77" t="s">
        <v>878</v>
      </c>
      <c r="E805" s="77">
        <v>6285733774700</v>
      </c>
      <c r="F805" s="84">
        <v>45833</v>
      </c>
      <c r="G805" s="79">
        <v>343</v>
      </c>
      <c r="H805" s="80">
        <v>28162.094763092271</v>
      </c>
      <c r="I805" s="72">
        <v>15</v>
      </c>
      <c r="J805" s="81">
        <v>11293</v>
      </c>
      <c r="K805" s="76">
        <v>1</v>
      </c>
      <c r="L805" s="76">
        <v>2</v>
      </c>
      <c r="M805" s="76">
        <v>1</v>
      </c>
      <c r="N805" s="82" t="s">
        <v>10867</v>
      </c>
      <c r="O805" s="83"/>
    </row>
    <row r="806" spans="1:15" ht="22.5" customHeight="1">
      <c r="A806" s="76">
        <v>174904221976312</v>
      </c>
      <c r="B806" s="77" t="s">
        <v>10651</v>
      </c>
      <c r="C806" s="77" t="s">
        <v>10853</v>
      </c>
      <c r="D806" s="77" t="s">
        <v>10854</v>
      </c>
      <c r="E806" s="77">
        <v>6281393958199</v>
      </c>
      <c r="F806" s="84">
        <v>45833</v>
      </c>
      <c r="G806" s="79">
        <v>617</v>
      </c>
      <c r="H806" s="80">
        <v>18997.31543624161</v>
      </c>
      <c r="I806" s="72">
        <v>19</v>
      </c>
      <c r="J806" s="81">
        <v>14153</v>
      </c>
      <c r="K806" s="76">
        <v>3</v>
      </c>
      <c r="L806" s="76">
        <v>0</v>
      </c>
      <c r="M806" s="76">
        <v>0</v>
      </c>
      <c r="N806" s="82" t="s">
        <v>10855</v>
      </c>
      <c r="O806" s="83"/>
    </row>
    <row r="807" spans="1:15" ht="22.5" customHeight="1">
      <c r="A807" s="76">
        <v>174904221976312</v>
      </c>
      <c r="B807" s="77" t="s">
        <v>10651</v>
      </c>
      <c r="C807" s="77" t="s">
        <v>10858</v>
      </c>
      <c r="D807" s="77" t="s">
        <v>10859</v>
      </c>
      <c r="E807" s="77">
        <v>6285227384634</v>
      </c>
      <c r="F807" s="84">
        <v>45833</v>
      </c>
      <c r="G807" s="79">
        <v>362</v>
      </c>
      <c r="H807" s="80">
        <v>25534.090909090912</v>
      </c>
      <c r="I807" s="72">
        <v>16</v>
      </c>
      <c r="J807" s="81">
        <v>11235</v>
      </c>
      <c r="K807" s="76">
        <v>2</v>
      </c>
      <c r="L807" s="76">
        <v>0</v>
      </c>
      <c r="M807" s="76">
        <v>1</v>
      </c>
      <c r="N807" s="82" t="s">
        <v>10860</v>
      </c>
      <c r="O807" s="83"/>
    </row>
    <row r="808" spans="1:15" ht="22.5" customHeight="1">
      <c r="A808" s="76">
        <v>174904221976312</v>
      </c>
      <c r="B808" s="77" t="s">
        <v>10651</v>
      </c>
      <c r="C808" s="77" t="s">
        <v>818</v>
      </c>
      <c r="D808" s="77" t="s">
        <v>812</v>
      </c>
      <c r="E808" s="77">
        <v>6287858585808</v>
      </c>
      <c r="F808" s="84">
        <v>45833</v>
      </c>
      <c r="G808" s="79">
        <v>791</v>
      </c>
      <c r="H808" s="80">
        <v>13228.509249183895</v>
      </c>
      <c r="I808" s="72">
        <v>17</v>
      </c>
      <c r="J808" s="81">
        <v>12157</v>
      </c>
      <c r="K808" s="76">
        <v>1</v>
      </c>
      <c r="L808" s="76">
        <v>244</v>
      </c>
      <c r="M808" s="76">
        <v>0</v>
      </c>
      <c r="N808" s="82" t="s">
        <v>10831</v>
      </c>
      <c r="O808" s="83"/>
    </row>
    <row r="809" spans="1:15" ht="22.5" customHeight="1">
      <c r="A809" s="76">
        <v>174904221976312</v>
      </c>
      <c r="B809" s="77" t="s">
        <v>10651</v>
      </c>
      <c r="C809" s="77" t="s">
        <v>10806</v>
      </c>
      <c r="D809" s="77" t="s">
        <v>10807</v>
      </c>
      <c r="E809" s="77">
        <v>628127962347</v>
      </c>
      <c r="F809" s="84">
        <v>45833</v>
      </c>
      <c r="G809" s="79">
        <v>155</v>
      </c>
      <c r="H809" s="80">
        <v>82819.277108433744</v>
      </c>
      <c r="I809" s="72">
        <v>12</v>
      </c>
      <c r="J809" s="81">
        <v>13748</v>
      </c>
      <c r="K809" s="76">
        <v>4</v>
      </c>
      <c r="L809" s="76">
        <v>25</v>
      </c>
      <c r="M809" s="76">
        <v>0</v>
      </c>
      <c r="N809" s="82" t="s">
        <v>10808</v>
      </c>
      <c r="O809" s="83"/>
    </row>
    <row r="810" spans="1:15" ht="22.5" customHeight="1">
      <c r="A810" s="76">
        <v>174904221976312</v>
      </c>
      <c r="B810" s="77" t="s">
        <v>10651</v>
      </c>
      <c r="C810" s="77" t="s">
        <v>8099</v>
      </c>
      <c r="D810" s="77" t="s">
        <v>2357</v>
      </c>
      <c r="E810" s="77">
        <v>6281221788919</v>
      </c>
      <c r="F810" s="84">
        <v>45833</v>
      </c>
      <c r="G810" s="79">
        <v>1320</v>
      </c>
      <c r="H810" s="80">
        <v>8374.6736292428195</v>
      </c>
      <c r="I810" s="72">
        <v>16</v>
      </c>
      <c r="J810" s="81">
        <v>12830</v>
      </c>
      <c r="K810" s="76">
        <v>2</v>
      </c>
      <c r="L810" s="76">
        <v>390</v>
      </c>
      <c r="M810" s="76">
        <v>0</v>
      </c>
      <c r="N810" s="82" t="s">
        <v>10759</v>
      </c>
      <c r="O810" s="83"/>
    </row>
    <row r="811" spans="1:15" ht="22.5" customHeight="1">
      <c r="A811" s="76">
        <v>174904221976312</v>
      </c>
      <c r="B811" s="77" t="s">
        <v>10651</v>
      </c>
      <c r="C811" s="77" t="s">
        <v>311</v>
      </c>
      <c r="D811" s="77" t="s">
        <v>10737</v>
      </c>
      <c r="E811" s="77">
        <v>628988759290</v>
      </c>
      <c r="F811" s="84">
        <v>45833</v>
      </c>
      <c r="G811" s="79">
        <v>863</v>
      </c>
      <c r="H811" s="80">
        <v>12405.303030303032</v>
      </c>
      <c r="I811" s="72">
        <v>39</v>
      </c>
      <c r="J811" s="81">
        <v>13100</v>
      </c>
      <c r="K811" s="76">
        <v>2</v>
      </c>
      <c r="L811" s="76">
        <v>208</v>
      </c>
      <c r="M811" s="76">
        <v>0</v>
      </c>
      <c r="N811" s="82" t="s">
        <v>10738</v>
      </c>
      <c r="O811" s="83"/>
    </row>
    <row r="812" spans="1:15" ht="22.5" customHeight="1">
      <c r="A812" s="76">
        <v>174904221976312</v>
      </c>
      <c r="B812" s="77" t="s">
        <v>10651</v>
      </c>
      <c r="C812" s="77" t="s">
        <v>10778</v>
      </c>
      <c r="D812" s="77" t="s">
        <v>3140</v>
      </c>
      <c r="F812" s="84">
        <v>45833</v>
      </c>
      <c r="G812" s="79">
        <v>5965</v>
      </c>
      <c r="H812" s="80">
        <v>2126.2886597938145</v>
      </c>
      <c r="I812" s="72">
        <v>73</v>
      </c>
      <c r="J812" s="81">
        <v>14025</v>
      </c>
      <c r="K812" s="76">
        <v>2</v>
      </c>
      <c r="L812" s="76">
        <v>962</v>
      </c>
      <c r="M812" s="76">
        <v>0</v>
      </c>
      <c r="N812" s="82" t="s">
        <v>10779</v>
      </c>
      <c r="O812" s="83"/>
    </row>
    <row r="813" spans="1:15" ht="22.5" customHeight="1">
      <c r="A813" s="76">
        <v>174904221976312</v>
      </c>
      <c r="B813" s="77" t="s">
        <v>10651</v>
      </c>
      <c r="C813" s="77" t="s">
        <v>10652</v>
      </c>
      <c r="D813" s="77" t="s">
        <v>10653</v>
      </c>
      <c r="E813" s="77">
        <v>6281348555887</v>
      </c>
      <c r="F813" s="84">
        <v>45833</v>
      </c>
      <c r="G813" s="79">
        <v>639</v>
      </c>
      <c r="H813" s="80">
        <v>14700</v>
      </c>
      <c r="I813" s="72">
        <v>25</v>
      </c>
      <c r="J813" s="81">
        <v>10878</v>
      </c>
      <c r="K813" s="76">
        <v>1</v>
      </c>
      <c r="L813" s="76">
        <v>208</v>
      </c>
      <c r="M813" s="76">
        <v>0</v>
      </c>
      <c r="N813" s="82" t="s">
        <v>10654</v>
      </c>
      <c r="O813" s="83"/>
    </row>
    <row r="814" spans="1:15" ht="22.5" customHeight="1">
      <c r="A814" s="76">
        <v>174904221976312</v>
      </c>
      <c r="B814" s="77" t="s">
        <v>10651</v>
      </c>
      <c r="C814" s="77" t="s">
        <v>10659</v>
      </c>
      <c r="D814" s="77" t="s">
        <v>1044</v>
      </c>
      <c r="E814" s="77">
        <v>6281263113266</v>
      </c>
      <c r="F814" s="84">
        <v>45833</v>
      </c>
      <c r="G814" s="79">
        <v>466</v>
      </c>
      <c r="H814" s="80">
        <v>13811.428571428571</v>
      </c>
      <c r="I814" s="72">
        <v>18</v>
      </c>
      <c r="J814" s="81">
        <v>7251</v>
      </c>
      <c r="K814" s="76">
        <v>1</v>
      </c>
      <c r="L814" s="76">
        <v>247</v>
      </c>
      <c r="M814" s="76">
        <v>1</v>
      </c>
      <c r="N814" s="82" t="s">
        <v>10660</v>
      </c>
      <c r="O814" s="83"/>
    </row>
    <row r="815" spans="1:15" ht="22.5" customHeight="1">
      <c r="A815" s="76">
        <v>174904221976312</v>
      </c>
      <c r="B815" s="77" t="s">
        <v>10651</v>
      </c>
      <c r="C815" s="77" t="s">
        <v>10833</v>
      </c>
      <c r="D815" s="77" t="s">
        <v>10834</v>
      </c>
      <c r="E815" s="77">
        <v>6282242925264</v>
      </c>
      <c r="F815" s="84">
        <v>45833</v>
      </c>
      <c r="G815" s="79">
        <v>2768</v>
      </c>
      <c r="H815" s="80">
        <v>4494.1437163659384</v>
      </c>
      <c r="I815" s="72">
        <v>107</v>
      </c>
      <c r="J815" s="81">
        <v>14197</v>
      </c>
      <c r="K815" s="76">
        <v>8</v>
      </c>
      <c r="L815" s="76">
        <v>774</v>
      </c>
      <c r="M815" s="76">
        <v>0</v>
      </c>
      <c r="N815" s="82" t="s">
        <v>10835</v>
      </c>
      <c r="O815" s="83"/>
    </row>
    <row r="816" spans="1:15" ht="22.5" customHeight="1">
      <c r="A816" s="76">
        <v>766589657993298</v>
      </c>
      <c r="B816" s="77" t="s">
        <v>10688</v>
      </c>
      <c r="C816" s="77" t="s">
        <v>10933</v>
      </c>
      <c r="D816" s="77" t="s">
        <v>10934</v>
      </c>
      <c r="E816" s="77">
        <v>6281293309300</v>
      </c>
      <c r="F816" s="84">
        <v>45833</v>
      </c>
      <c r="G816" s="79">
        <v>191</v>
      </c>
      <c r="H816" s="80">
        <v>72242.152466367712</v>
      </c>
      <c r="I816" s="72">
        <v>5</v>
      </c>
      <c r="J816" s="81">
        <v>16110</v>
      </c>
      <c r="K816" s="76">
        <v>0</v>
      </c>
      <c r="L816" s="76">
        <v>0</v>
      </c>
      <c r="M816" s="76">
        <v>0</v>
      </c>
      <c r="N816" s="82" t="s">
        <v>10935</v>
      </c>
      <c r="O816" s="83"/>
    </row>
    <row r="817" spans="1:15" ht="22.5" customHeight="1">
      <c r="A817" s="76">
        <v>766589657993298</v>
      </c>
      <c r="B817" s="77" t="s">
        <v>10688</v>
      </c>
      <c r="C817" s="77" t="s">
        <v>10917</v>
      </c>
      <c r="D817" s="77" t="s">
        <v>1037</v>
      </c>
      <c r="E817" s="77">
        <v>6281383434602</v>
      </c>
      <c r="F817" s="84">
        <v>45833</v>
      </c>
      <c r="G817" s="79">
        <v>292</v>
      </c>
      <c r="H817" s="80">
        <v>54670.846394984321</v>
      </c>
      <c r="I817" s="72">
        <v>15</v>
      </c>
      <c r="J817" s="81">
        <v>17440</v>
      </c>
      <c r="K817" s="76">
        <v>3</v>
      </c>
      <c r="L817" s="76">
        <v>0</v>
      </c>
      <c r="M817" s="76">
        <v>0</v>
      </c>
      <c r="N817" s="82" t="s">
        <v>10918</v>
      </c>
      <c r="O817" s="83"/>
    </row>
    <row r="818" spans="1:15" ht="22.5" customHeight="1">
      <c r="A818" s="76">
        <v>766589657993298</v>
      </c>
      <c r="B818" s="77" t="s">
        <v>10688</v>
      </c>
      <c r="C818" s="77" t="s">
        <v>10919</v>
      </c>
      <c r="D818" s="77" t="s">
        <v>951</v>
      </c>
      <c r="E818" s="77">
        <v>6281383899119</v>
      </c>
      <c r="F818" s="84">
        <v>45833</v>
      </c>
      <c r="G818" s="79">
        <v>632</v>
      </c>
      <c r="H818" s="80">
        <v>20441.217150760716</v>
      </c>
      <c r="I818" s="72">
        <v>12</v>
      </c>
      <c r="J818" s="81">
        <v>14779</v>
      </c>
      <c r="K818" s="76">
        <v>1</v>
      </c>
      <c r="L818" s="76">
        <v>226</v>
      </c>
      <c r="M818" s="76">
        <v>0</v>
      </c>
      <c r="N818" s="82" t="s">
        <v>10920</v>
      </c>
      <c r="O818" s="83"/>
    </row>
    <row r="819" spans="1:15" ht="22.5" customHeight="1">
      <c r="A819" s="76">
        <v>766589657993298</v>
      </c>
      <c r="B819" s="77" t="s">
        <v>10688</v>
      </c>
      <c r="C819" s="77" t="s">
        <v>10898</v>
      </c>
      <c r="D819" s="77" t="s">
        <v>978</v>
      </c>
      <c r="E819" s="77">
        <v>6283135590465</v>
      </c>
      <c r="F819" s="84">
        <v>45833</v>
      </c>
      <c r="G819" s="79">
        <v>396</v>
      </c>
      <c r="H819" s="80">
        <v>32168.377823408628</v>
      </c>
      <c r="I819" s="72">
        <v>10</v>
      </c>
      <c r="J819" s="81">
        <v>15666</v>
      </c>
      <c r="K819" s="76">
        <v>0</v>
      </c>
      <c r="L819" s="76">
        <v>95</v>
      </c>
      <c r="M819" s="76">
        <v>1</v>
      </c>
      <c r="N819" s="82" t="s">
        <v>10899</v>
      </c>
      <c r="O819" s="83"/>
    </row>
    <row r="820" spans="1:15" ht="22.5" customHeight="1">
      <c r="A820" s="76">
        <v>766589657993298</v>
      </c>
      <c r="B820" s="77" t="s">
        <v>10688</v>
      </c>
      <c r="C820" s="77" t="s">
        <v>10883</v>
      </c>
      <c r="D820" s="77" t="s">
        <v>920</v>
      </c>
      <c r="E820" s="77">
        <v>6281514999073</v>
      </c>
      <c r="F820" s="84">
        <v>45833</v>
      </c>
      <c r="G820" s="79">
        <v>470</v>
      </c>
      <c r="H820" s="80">
        <v>30500</v>
      </c>
      <c r="I820" s="72">
        <v>17</v>
      </c>
      <c r="J820" s="81">
        <v>15738</v>
      </c>
      <c r="K820" s="76">
        <v>4</v>
      </c>
      <c r="L820" s="76">
        <v>273</v>
      </c>
      <c r="M820" s="76">
        <v>0</v>
      </c>
      <c r="N820" s="82" t="s">
        <v>10884</v>
      </c>
      <c r="O820" s="83"/>
    </row>
    <row r="821" spans="1:15" ht="22.5" customHeight="1">
      <c r="A821" s="76">
        <v>766589657993298</v>
      </c>
      <c r="B821" s="77" t="s">
        <v>10688</v>
      </c>
      <c r="C821" s="77" t="s">
        <v>10885</v>
      </c>
      <c r="D821" s="77" t="s">
        <v>906</v>
      </c>
      <c r="E821" s="77">
        <v>6282183115806</v>
      </c>
      <c r="F821" s="84">
        <v>45833</v>
      </c>
      <c r="G821" s="79">
        <v>1008</v>
      </c>
      <c r="H821" s="80">
        <v>12898.756660746005</v>
      </c>
      <c r="I821" s="72">
        <v>25</v>
      </c>
      <c r="J821" s="81">
        <v>14524</v>
      </c>
      <c r="K821" s="76">
        <v>4</v>
      </c>
      <c r="L821" s="76">
        <v>644</v>
      </c>
      <c r="M821" s="76">
        <v>0</v>
      </c>
      <c r="N821" s="82" t="s">
        <v>10886</v>
      </c>
      <c r="O821" s="83"/>
    </row>
    <row r="822" spans="1:15" ht="22.5" customHeight="1">
      <c r="A822" s="76">
        <v>766589657993298</v>
      </c>
      <c r="B822" s="77" t="s">
        <v>10688</v>
      </c>
      <c r="C822" s="77" t="s">
        <v>10887</v>
      </c>
      <c r="D822" s="77" t="s">
        <v>10888</v>
      </c>
      <c r="E822" s="77">
        <v>6283151330372</v>
      </c>
      <c r="F822" s="84">
        <v>45833</v>
      </c>
      <c r="G822" s="79">
        <v>445</v>
      </c>
      <c r="H822" s="80">
        <v>25367.972742759797</v>
      </c>
      <c r="I822" s="72">
        <v>11</v>
      </c>
      <c r="J822" s="81">
        <v>14891</v>
      </c>
      <c r="K822" s="76">
        <v>2</v>
      </c>
      <c r="L822" s="76">
        <v>5</v>
      </c>
      <c r="M822" s="76">
        <v>0</v>
      </c>
      <c r="N822" s="82" t="s">
        <v>10889</v>
      </c>
      <c r="O822" s="83"/>
    </row>
    <row r="823" spans="1:15" ht="22.5" customHeight="1">
      <c r="A823" s="76">
        <v>766589657993298</v>
      </c>
      <c r="B823" s="77" t="s">
        <v>10688</v>
      </c>
      <c r="C823" s="77" t="s">
        <v>10869</v>
      </c>
      <c r="D823" s="77" t="s">
        <v>10870</v>
      </c>
      <c r="E823" s="77">
        <v>6281230995752</v>
      </c>
      <c r="F823" s="84">
        <v>45833</v>
      </c>
      <c r="G823" s="79">
        <v>1036</v>
      </c>
      <c r="H823" s="80">
        <v>12292.430278884462</v>
      </c>
      <c r="I823" s="72">
        <v>22</v>
      </c>
      <c r="J823" s="81">
        <v>15427</v>
      </c>
      <c r="K823" s="76">
        <v>4</v>
      </c>
      <c r="L823" s="76">
        <v>0</v>
      </c>
      <c r="M823" s="76">
        <v>0</v>
      </c>
      <c r="N823" s="82" t="s">
        <v>10871</v>
      </c>
      <c r="O823" s="83"/>
    </row>
    <row r="824" spans="1:15" ht="22.5" customHeight="1">
      <c r="A824" s="76">
        <v>766589657993298</v>
      </c>
      <c r="B824" s="77" t="s">
        <v>10688</v>
      </c>
      <c r="C824" s="77" t="s">
        <v>10872</v>
      </c>
      <c r="D824" s="77" t="s">
        <v>846</v>
      </c>
      <c r="E824" s="77">
        <v>6281233044823</v>
      </c>
      <c r="F824" s="84">
        <v>45833</v>
      </c>
      <c r="G824" s="79">
        <v>571</v>
      </c>
      <c r="H824" s="80">
        <v>23900.914634146342</v>
      </c>
      <c r="I824" s="72">
        <v>10</v>
      </c>
      <c r="J824" s="81">
        <v>15679</v>
      </c>
      <c r="K824" s="76">
        <v>1</v>
      </c>
      <c r="L824" s="76">
        <v>80</v>
      </c>
      <c r="M824" s="76">
        <v>0</v>
      </c>
      <c r="N824" s="82" t="s">
        <v>10873</v>
      </c>
      <c r="O824" s="83"/>
    </row>
    <row r="825" spans="1:15" ht="22.5" customHeight="1">
      <c r="A825" s="76">
        <v>766589657993298</v>
      </c>
      <c r="B825" s="77" t="s">
        <v>10688</v>
      </c>
      <c r="C825" s="77" t="s">
        <v>10874</v>
      </c>
      <c r="D825" s="77" t="s">
        <v>10875</v>
      </c>
      <c r="E825" s="77">
        <v>6281283325291</v>
      </c>
      <c r="F825" s="84">
        <v>45833</v>
      </c>
      <c r="G825" s="79">
        <v>255</v>
      </c>
      <c r="H825" s="80">
        <v>55445.614035087725</v>
      </c>
      <c r="I825" s="72">
        <v>9</v>
      </c>
      <c r="J825" s="81">
        <v>15802</v>
      </c>
      <c r="K825" s="76">
        <v>1</v>
      </c>
      <c r="L825" s="76">
        <v>21</v>
      </c>
      <c r="M825" s="76">
        <v>0</v>
      </c>
      <c r="N825" s="82" t="s">
        <v>10876</v>
      </c>
      <c r="O825" s="83"/>
    </row>
    <row r="826" spans="1:15" ht="22.5" customHeight="1">
      <c r="A826" s="76">
        <v>766589657993298</v>
      </c>
      <c r="B826" s="77" t="s">
        <v>10688</v>
      </c>
      <c r="C826" s="77" t="s">
        <v>10877</v>
      </c>
      <c r="D826" s="77" t="s">
        <v>861</v>
      </c>
      <c r="E826" s="77">
        <v>6289617461806</v>
      </c>
      <c r="F826" s="84">
        <v>45833</v>
      </c>
      <c r="G826" s="79">
        <v>844</v>
      </c>
      <c r="H826" s="80">
        <v>13920.909090909092</v>
      </c>
      <c r="I826" s="72">
        <v>9</v>
      </c>
      <c r="J826" s="81">
        <v>15313</v>
      </c>
      <c r="K826" s="76">
        <v>1</v>
      </c>
      <c r="L826" s="76">
        <v>1</v>
      </c>
      <c r="M826" s="76">
        <v>0</v>
      </c>
      <c r="N826" s="82" t="s">
        <v>10878</v>
      </c>
      <c r="O826" s="83"/>
    </row>
    <row r="827" spans="1:15" ht="22.5" customHeight="1">
      <c r="A827" s="76">
        <v>766589657993298</v>
      </c>
      <c r="B827" s="77" t="s">
        <v>10688</v>
      </c>
      <c r="C827" s="77" t="s">
        <v>10879</v>
      </c>
      <c r="D827" s="77" t="s">
        <v>10880</v>
      </c>
      <c r="E827" s="77">
        <v>6281215851833</v>
      </c>
      <c r="F827" s="84">
        <v>45833</v>
      </c>
      <c r="G827" s="79">
        <v>776</v>
      </c>
      <c r="H827" s="80">
        <v>18283.936651583714</v>
      </c>
      <c r="I827" s="72">
        <v>32</v>
      </c>
      <c r="J827" s="81">
        <v>16163</v>
      </c>
      <c r="K827" s="76">
        <v>5</v>
      </c>
      <c r="L827" s="76">
        <v>0</v>
      </c>
      <c r="M827" s="76">
        <v>0</v>
      </c>
      <c r="N827" s="82" t="s">
        <v>10881</v>
      </c>
      <c r="O827" s="83"/>
    </row>
    <row r="828" spans="1:15" ht="22.5" customHeight="1">
      <c r="A828" s="76">
        <v>766589657993298</v>
      </c>
      <c r="B828" s="77" t="s">
        <v>10688</v>
      </c>
      <c r="C828" s="77" t="s">
        <v>10836</v>
      </c>
      <c r="D828" s="77" t="s">
        <v>780</v>
      </c>
      <c r="E828" s="77">
        <v>6283866009989</v>
      </c>
      <c r="F828" s="84">
        <v>45833</v>
      </c>
      <c r="G828" s="79">
        <v>674</v>
      </c>
      <c r="H828" s="80">
        <v>22026.917900403765</v>
      </c>
      <c r="I828" s="72">
        <v>18</v>
      </c>
      <c r="J828" s="81">
        <v>16366</v>
      </c>
      <c r="K828" s="76">
        <v>0</v>
      </c>
      <c r="L828" s="76">
        <v>422</v>
      </c>
      <c r="M828" s="76">
        <v>0</v>
      </c>
      <c r="N828" s="82" t="s">
        <v>10837</v>
      </c>
      <c r="O828" s="83"/>
    </row>
    <row r="829" spans="1:15" ht="22.5" customHeight="1">
      <c r="A829" s="76">
        <v>766589657993298</v>
      </c>
      <c r="B829" s="77" t="s">
        <v>10688</v>
      </c>
      <c r="C829" s="77" t="s">
        <v>10741</v>
      </c>
      <c r="D829" s="77" t="s">
        <v>559</v>
      </c>
      <c r="E829" s="77">
        <v>6281952482523</v>
      </c>
      <c r="F829" s="78">
        <v>45821</v>
      </c>
      <c r="G829" s="79">
        <v>806</v>
      </c>
      <c r="H829" s="80">
        <v>17079.868708971553</v>
      </c>
      <c r="I829" s="79">
        <v>14</v>
      </c>
      <c r="J829" s="81">
        <v>15611</v>
      </c>
      <c r="K829" s="76">
        <v>2</v>
      </c>
      <c r="L829" s="76">
        <v>400</v>
      </c>
      <c r="M829" s="76">
        <v>0</v>
      </c>
      <c r="N829" s="82" t="s">
        <v>10921</v>
      </c>
      <c r="O829" s="83"/>
    </row>
    <row r="830" spans="1:15" ht="22.5" customHeight="1">
      <c r="A830" s="76">
        <v>766589657993298</v>
      </c>
      <c r="B830" s="77" t="s">
        <v>10688</v>
      </c>
      <c r="C830" s="77" t="s">
        <v>10822</v>
      </c>
      <c r="D830" s="77" t="s">
        <v>676</v>
      </c>
      <c r="E830" s="77">
        <v>6281316155059</v>
      </c>
      <c r="F830" s="84">
        <v>45833</v>
      </c>
      <c r="G830" s="79">
        <v>560</v>
      </c>
      <c r="H830" s="80">
        <v>30829.225352112677</v>
      </c>
      <c r="I830" s="72">
        <v>10</v>
      </c>
      <c r="J830" s="81">
        <v>17511</v>
      </c>
      <c r="K830" s="76">
        <v>2</v>
      </c>
      <c r="L830" s="76">
        <v>283</v>
      </c>
      <c r="M830" s="76">
        <v>0</v>
      </c>
      <c r="N830" s="82" t="s">
        <v>10823</v>
      </c>
      <c r="O830" s="83"/>
    </row>
    <row r="831" spans="1:15" ht="22.5" customHeight="1">
      <c r="A831" s="76">
        <v>766589657993298</v>
      </c>
      <c r="B831" s="77" t="s">
        <v>10688</v>
      </c>
      <c r="C831" s="77" t="s">
        <v>769</v>
      </c>
      <c r="D831" s="77" t="s">
        <v>764</v>
      </c>
      <c r="E831" s="77">
        <v>6287778562681</v>
      </c>
      <c r="F831" s="84">
        <v>45833</v>
      </c>
      <c r="G831" s="79">
        <v>385</v>
      </c>
      <c r="H831" s="80">
        <v>43497.584541062803</v>
      </c>
      <c r="I831" s="72">
        <v>12</v>
      </c>
      <c r="J831" s="81">
        <v>18008</v>
      </c>
      <c r="K831" s="76">
        <v>1</v>
      </c>
      <c r="L831" s="76">
        <v>153</v>
      </c>
      <c r="M831" s="76">
        <v>0</v>
      </c>
      <c r="N831" s="82" t="s">
        <v>10882</v>
      </c>
      <c r="O831" s="83"/>
    </row>
    <row r="832" spans="1:15" ht="22.5" customHeight="1">
      <c r="A832" s="76">
        <v>766589657993298</v>
      </c>
      <c r="B832" s="77" t="s">
        <v>10688</v>
      </c>
      <c r="C832" s="77" t="s">
        <v>10786</v>
      </c>
      <c r="D832" s="77" t="s">
        <v>739</v>
      </c>
      <c r="E832" s="77">
        <v>628122102657</v>
      </c>
      <c r="F832" s="84">
        <v>45833</v>
      </c>
      <c r="G832" s="79">
        <v>350</v>
      </c>
      <c r="H832" s="80">
        <v>29507.317073170732</v>
      </c>
      <c r="I832" s="72">
        <v>9</v>
      </c>
      <c r="J832" s="81">
        <v>12098</v>
      </c>
      <c r="K832" s="76">
        <v>0</v>
      </c>
      <c r="L832" s="76">
        <v>101</v>
      </c>
      <c r="M832" s="76">
        <v>0</v>
      </c>
      <c r="N832" s="82" t="s">
        <v>10787</v>
      </c>
      <c r="O832" s="83"/>
    </row>
    <row r="833" spans="1:15" ht="22.5" customHeight="1">
      <c r="A833" s="76">
        <v>766589657993298</v>
      </c>
      <c r="B833" s="77" t="s">
        <v>10688</v>
      </c>
      <c r="C833" s="77" t="s">
        <v>10762</v>
      </c>
      <c r="D833" s="77" t="s">
        <v>10763</v>
      </c>
      <c r="E833" s="77">
        <v>6285210107607</v>
      </c>
      <c r="F833" s="84">
        <v>45833</v>
      </c>
      <c r="G833" s="79">
        <v>905</v>
      </c>
      <c r="H833" s="80">
        <v>15291.866028708133</v>
      </c>
      <c r="I833" s="72">
        <v>21</v>
      </c>
      <c r="J833" s="81">
        <v>15980</v>
      </c>
      <c r="K833" s="76">
        <v>1</v>
      </c>
      <c r="L833" s="76">
        <v>265</v>
      </c>
      <c r="M833" s="76">
        <v>0</v>
      </c>
      <c r="N833" s="82" t="s">
        <v>10764</v>
      </c>
      <c r="O833" s="83"/>
    </row>
    <row r="834" spans="1:15" ht="22.5" customHeight="1">
      <c r="A834" s="76">
        <v>766589657993298</v>
      </c>
      <c r="B834" s="77" t="s">
        <v>10688</v>
      </c>
      <c r="C834" s="77" t="s">
        <v>10765</v>
      </c>
      <c r="D834" s="77" t="s">
        <v>350</v>
      </c>
      <c r="E834" s="77">
        <v>6282393168368</v>
      </c>
      <c r="F834" s="84">
        <v>45833</v>
      </c>
      <c r="G834" s="79">
        <v>1177</v>
      </c>
      <c r="H834" s="80">
        <v>12667.927382753405</v>
      </c>
      <c r="I834" s="72">
        <v>29</v>
      </c>
      <c r="J834" s="81">
        <v>16747</v>
      </c>
      <c r="K834" s="76">
        <v>6</v>
      </c>
      <c r="L834" s="76">
        <v>20</v>
      </c>
      <c r="M834" s="76">
        <v>0</v>
      </c>
      <c r="N834" s="82" t="s">
        <v>10766</v>
      </c>
      <c r="O834" s="83"/>
    </row>
    <row r="835" spans="1:15" ht="22.5" customHeight="1">
      <c r="A835" s="76">
        <v>766589657993298</v>
      </c>
      <c r="B835" s="77" t="s">
        <v>10688</v>
      </c>
      <c r="C835" s="77" t="s">
        <v>10795</v>
      </c>
      <c r="D835" s="77" t="s">
        <v>551</v>
      </c>
      <c r="E835" s="77">
        <v>6285747906282</v>
      </c>
      <c r="F835" s="84">
        <v>45833</v>
      </c>
      <c r="G835" s="79">
        <v>502</v>
      </c>
      <c r="H835" s="80">
        <v>28615.384615384617</v>
      </c>
      <c r="I835" s="72">
        <v>17</v>
      </c>
      <c r="J835" s="81">
        <v>15624</v>
      </c>
      <c r="K835" s="76">
        <v>2</v>
      </c>
      <c r="L835" s="76">
        <v>265</v>
      </c>
      <c r="M835" s="76">
        <v>0</v>
      </c>
      <c r="N835" s="82" t="s">
        <v>10796</v>
      </c>
      <c r="O835" s="83"/>
    </row>
    <row r="836" spans="1:15" ht="22.5" customHeight="1">
      <c r="A836" s="76">
        <v>766589657993298</v>
      </c>
      <c r="B836" s="77" t="s">
        <v>10688</v>
      </c>
      <c r="C836" s="77" t="s">
        <v>10767</v>
      </c>
      <c r="D836" s="77" t="s">
        <v>10768</v>
      </c>
      <c r="E836" s="77">
        <v>6281519225886</v>
      </c>
      <c r="F836" s="84">
        <v>45833</v>
      </c>
      <c r="G836" s="79">
        <v>588</v>
      </c>
      <c r="H836" s="80">
        <v>22519.593613933237</v>
      </c>
      <c r="I836" s="72">
        <v>21</v>
      </c>
      <c r="J836" s="81">
        <v>15516</v>
      </c>
      <c r="K836" s="76">
        <v>2</v>
      </c>
      <c r="L836" s="76">
        <v>6</v>
      </c>
      <c r="M836" s="76">
        <v>0</v>
      </c>
      <c r="N836" s="82" t="s">
        <v>10769</v>
      </c>
      <c r="O836" s="83"/>
    </row>
    <row r="837" spans="1:15" ht="22.5" customHeight="1">
      <c r="A837" s="76">
        <v>766589657993298</v>
      </c>
      <c r="B837" s="77" t="s">
        <v>10688</v>
      </c>
      <c r="C837" s="77" t="s">
        <v>10797</v>
      </c>
      <c r="D837" s="77" t="s">
        <v>10798</v>
      </c>
      <c r="E837" s="77">
        <v>6285853370682</v>
      </c>
      <c r="F837" s="84">
        <v>45833</v>
      </c>
      <c r="G837" s="79">
        <v>456</v>
      </c>
      <c r="H837" s="80">
        <v>28850.187265917604</v>
      </c>
      <c r="I837" s="72">
        <v>6</v>
      </c>
      <c r="J837" s="81">
        <v>15406</v>
      </c>
      <c r="K837" s="76">
        <v>0</v>
      </c>
      <c r="L837" s="76">
        <v>134</v>
      </c>
      <c r="M837" s="76">
        <v>0</v>
      </c>
      <c r="N837" s="82" t="s">
        <v>10799</v>
      </c>
      <c r="O837" s="83"/>
    </row>
    <row r="838" spans="1:15" ht="22.5" customHeight="1">
      <c r="A838" s="76">
        <v>766589657993298</v>
      </c>
      <c r="B838" s="77" t="s">
        <v>10688</v>
      </c>
      <c r="C838" s="77" t="s">
        <v>10800</v>
      </c>
      <c r="D838" s="77" t="s">
        <v>472</v>
      </c>
      <c r="E838" s="77">
        <v>628114170888</v>
      </c>
      <c r="F838" s="84">
        <v>45833</v>
      </c>
      <c r="G838" s="79">
        <v>616</v>
      </c>
      <c r="H838" s="80">
        <v>20610.079575596817</v>
      </c>
      <c r="I838" s="72">
        <v>17</v>
      </c>
      <c r="J838" s="81">
        <v>15540</v>
      </c>
      <c r="K838" s="76">
        <v>1</v>
      </c>
      <c r="L838" s="76">
        <v>0</v>
      </c>
      <c r="M838" s="76">
        <v>0</v>
      </c>
      <c r="N838" s="82" t="s">
        <v>10801</v>
      </c>
      <c r="O838" s="83"/>
    </row>
    <row r="839" spans="1:15" ht="22.5" customHeight="1">
      <c r="A839" s="76">
        <v>766589657993298</v>
      </c>
      <c r="B839" s="77" t="s">
        <v>10688</v>
      </c>
      <c r="C839" s="77" t="s">
        <v>10752</v>
      </c>
      <c r="D839" s="77" t="s">
        <v>10753</v>
      </c>
      <c r="E839" s="77">
        <v>6281340892328</v>
      </c>
      <c r="F839" s="84">
        <v>45833</v>
      </c>
      <c r="G839" s="79">
        <v>1232</v>
      </c>
      <c r="H839" s="80">
        <v>10748.945147679326</v>
      </c>
      <c r="I839" s="72">
        <v>40</v>
      </c>
      <c r="J839" s="81">
        <v>15285</v>
      </c>
      <c r="K839" s="76">
        <v>2</v>
      </c>
      <c r="L839" s="76">
        <v>394</v>
      </c>
      <c r="M839" s="76">
        <v>0</v>
      </c>
      <c r="N839" s="82" t="s">
        <v>10754</v>
      </c>
      <c r="O839" s="83"/>
    </row>
    <row r="840" spans="1:15" ht="22.5" customHeight="1">
      <c r="A840" s="76">
        <v>206726568613432</v>
      </c>
      <c r="B840" s="77" t="s">
        <v>10900</v>
      </c>
      <c r="C840" s="77" t="s">
        <v>10901</v>
      </c>
      <c r="D840" s="77" t="s">
        <v>10902</v>
      </c>
      <c r="E840" s="77">
        <v>6282194694492</v>
      </c>
      <c r="F840" s="84">
        <v>45833</v>
      </c>
      <c r="G840" s="79">
        <v>760</v>
      </c>
      <c r="H840" s="80">
        <v>16407.496977025392</v>
      </c>
      <c r="I840" s="72">
        <v>27</v>
      </c>
      <c r="J840" s="81">
        <v>13569</v>
      </c>
      <c r="K840" s="76">
        <v>5</v>
      </c>
      <c r="L840" s="76">
        <v>213</v>
      </c>
      <c r="M840" s="76">
        <v>0</v>
      </c>
      <c r="N840" s="82" t="s">
        <v>10903</v>
      </c>
      <c r="O840" s="83"/>
    </row>
    <row r="841" spans="1:15" ht="22.5" customHeight="1">
      <c r="A841" s="85">
        <v>759724529202804</v>
      </c>
      <c r="B841" s="82" t="s">
        <v>10621</v>
      </c>
      <c r="C841" s="82" t="s">
        <v>10925</v>
      </c>
      <c r="D841" s="82" t="s">
        <v>10926</v>
      </c>
      <c r="E841" s="82">
        <v>6281233038880</v>
      </c>
      <c r="F841" s="86">
        <v>45833</v>
      </c>
      <c r="G841" s="87">
        <v>240</v>
      </c>
      <c r="H841" s="88">
        <v>56319.587628865978</v>
      </c>
      <c r="I841" s="89">
        <v>6</v>
      </c>
      <c r="J841" s="90">
        <v>16389</v>
      </c>
      <c r="K841" s="85">
        <v>3</v>
      </c>
      <c r="L841" s="85">
        <v>0</v>
      </c>
      <c r="M841" s="85">
        <v>0</v>
      </c>
      <c r="N841" s="82" t="s">
        <v>10927</v>
      </c>
      <c r="O841" s="83"/>
    </row>
    <row r="842" spans="1:15" ht="22.5" customHeight="1">
      <c r="A842" s="85">
        <v>759724529202804</v>
      </c>
      <c r="B842" s="82" t="s">
        <v>10621</v>
      </c>
      <c r="C842" s="82" t="s">
        <v>10928</v>
      </c>
      <c r="D842" s="82" t="s">
        <v>1112</v>
      </c>
      <c r="E842" s="82">
        <v>6285777110340</v>
      </c>
      <c r="F842" s="86">
        <v>45833</v>
      </c>
      <c r="G842" s="87">
        <v>269</v>
      </c>
      <c r="H842" s="88">
        <v>46444.07894736842</v>
      </c>
      <c r="I842" s="89">
        <v>12</v>
      </c>
      <c r="J842" s="90">
        <v>14119</v>
      </c>
      <c r="K842" s="85">
        <v>2</v>
      </c>
      <c r="L842" s="85">
        <v>0</v>
      </c>
      <c r="M842" s="85">
        <v>0</v>
      </c>
      <c r="N842" s="82" t="s">
        <v>10929</v>
      </c>
      <c r="O842" s="83"/>
    </row>
    <row r="843" spans="1:15" ht="22.5" customHeight="1">
      <c r="A843" s="85">
        <v>759724529202804</v>
      </c>
      <c r="B843" s="82" t="s">
        <v>10621</v>
      </c>
      <c r="C843" s="82" t="s">
        <v>10904</v>
      </c>
      <c r="D843" s="82" t="s">
        <v>10905</v>
      </c>
      <c r="E843" s="82">
        <v>6285711667433</v>
      </c>
      <c r="F843" s="86">
        <v>45833</v>
      </c>
      <c r="G843" s="87">
        <v>1464</v>
      </c>
      <c r="H843" s="88">
        <v>9737.553779963122</v>
      </c>
      <c r="I843" s="89">
        <v>29</v>
      </c>
      <c r="J843" s="90">
        <v>15843</v>
      </c>
      <c r="K843" s="85">
        <v>7</v>
      </c>
      <c r="L843" s="85">
        <v>480</v>
      </c>
      <c r="M843" s="85">
        <v>0</v>
      </c>
      <c r="N843" s="82" t="s">
        <v>10906</v>
      </c>
      <c r="O843" s="83"/>
    </row>
    <row r="844" spans="1:15" ht="22.5" customHeight="1">
      <c r="A844" s="85">
        <v>759724529202804</v>
      </c>
      <c r="B844" s="82" t="s">
        <v>10621</v>
      </c>
      <c r="C844" s="82" t="s">
        <v>10907</v>
      </c>
      <c r="D844" s="82" t="s">
        <v>943</v>
      </c>
      <c r="E844" s="82">
        <v>6285775986977</v>
      </c>
      <c r="F844" s="86">
        <v>45833</v>
      </c>
      <c r="G844" s="87">
        <v>538</v>
      </c>
      <c r="H844" s="88">
        <v>23717.041800643088</v>
      </c>
      <c r="I844" s="89">
        <v>9</v>
      </c>
      <c r="J844" s="90">
        <v>14752</v>
      </c>
      <c r="K844" s="85">
        <v>0</v>
      </c>
      <c r="L844" s="85">
        <v>157</v>
      </c>
      <c r="M844" s="85">
        <v>0</v>
      </c>
      <c r="N844" s="82" t="s">
        <v>10908</v>
      </c>
      <c r="O844" s="83"/>
    </row>
    <row r="845" spans="1:15" ht="22.5" customHeight="1">
      <c r="A845" s="85">
        <v>759724529202804</v>
      </c>
      <c r="B845" s="82" t="s">
        <v>10621</v>
      </c>
      <c r="C845" s="82" t="s">
        <v>10909</v>
      </c>
      <c r="D845" s="82" t="s">
        <v>10910</v>
      </c>
      <c r="E845" s="82">
        <v>6281904501876</v>
      </c>
      <c r="F845" s="86">
        <v>45833</v>
      </c>
      <c r="G845" s="87">
        <v>1203</v>
      </c>
      <c r="H845" s="88">
        <v>9626.856036152356</v>
      </c>
      <c r="I845" s="89">
        <v>53</v>
      </c>
      <c r="J845" s="90">
        <v>14912</v>
      </c>
      <c r="K845" s="85">
        <v>1</v>
      </c>
      <c r="L845" s="85">
        <v>390</v>
      </c>
      <c r="M845" s="85">
        <v>0</v>
      </c>
      <c r="N845" s="82" t="s">
        <v>10911</v>
      </c>
      <c r="O845" s="83"/>
    </row>
    <row r="846" spans="1:15" ht="22.5" customHeight="1">
      <c r="A846" s="85">
        <v>759724529202804</v>
      </c>
      <c r="B846" s="82" t="s">
        <v>10621</v>
      </c>
      <c r="C846" s="82" t="s">
        <v>10912</v>
      </c>
      <c r="D846" s="82" t="s">
        <v>1029</v>
      </c>
      <c r="E846" s="82">
        <v>6281253792753</v>
      </c>
      <c r="F846" s="86">
        <v>45833</v>
      </c>
      <c r="G846" s="87">
        <v>1426</v>
      </c>
      <c r="H846" s="88">
        <v>9159.1574019894688</v>
      </c>
      <c r="I846" s="89">
        <v>28</v>
      </c>
      <c r="J846" s="90">
        <v>15653</v>
      </c>
      <c r="K846" s="85">
        <v>0</v>
      </c>
      <c r="L846" s="85">
        <v>488</v>
      </c>
      <c r="M846" s="85">
        <v>0</v>
      </c>
      <c r="N846" s="82" t="s">
        <v>10913</v>
      </c>
      <c r="O846" s="83"/>
    </row>
    <row r="847" spans="1:15" ht="22.5" customHeight="1">
      <c r="A847" s="76">
        <v>174904221976312</v>
      </c>
      <c r="B847" s="77" t="s">
        <v>10651</v>
      </c>
      <c r="C847" s="77" t="s">
        <v>10811</v>
      </c>
      <c r="D847" s="77" t="s">
        <v>10812</v>
      </c>
      <c r="E847" s="77">
        <v>6281904501876</v>
      </c>
      <c r="F847" s="84">
        <v>45824</v>
      </c>
      <c r="G847" s="79">
        <v>1114</v>
      </c>
      <c r="H847" s="80">
        <v>10024.700598802396</v>
      </c>
      <c r="I847" s="72">
        <v>68</v>
      </c>
      <c r="J847" s="81">
        <v>13393</v>
      </c>
      <c r="K847" s="76">
        <v>6</v>
      </c>
      <c r="L847" s="76">
        <v>478</v>
      </c>
      <c r="M847" s="76">
        <v>2</v>
      </c>
      <c r="N847" s="82" t="s">
        <v>10914</v>
      </c>
      <c r="O847" s="83"/>
    </row>
    <row r="848" spans="1:15" ht="22.5" customHeight="1">
      <c r="A848" s="85">
        <v>759724529202804</v>
      </c>
      <c r="B848" s="82" t="s">
        <v>10621</v>
      </c>
      <c r="C848" s="82" t="s">
        <v>10863</v>
      </c>
      <c r="D848" s="82" t="s">
        <v>10864</v>
      </c>
      <c r="E848" s="82">
        <v>6285180805171</v>
      </c>
      <c r="F848" s="86">
        <v>45833</v>
      </c>
      <c r="G848" s="87">
        <v>988</v>
      </c>
      <c r="H848" s="88">
        <v>13359.34819897084</v>
      </c>
      <c r="I848" s="89">
        <v>22</v>
      </c>
      <c r="J848" s="90">
        <v>15577</v>
      </c>
      <c r="K848" s="85">
        <v>1</v>
      </c>
      <c r="L848" s="85">
        <v>291</v>
      </c>
      <c r="M848" s="85">
        <v>0</v>
      </c>
      <c r="N848" s="82" t="s">
        <v>10865</v>
      </c>
      <c r="O848" s="83"/>
    </row>
    <row r="849" spans="1:15" ht="22.5" customHeight="1">
      <c r="A849" s="85">
        <v>759724529202804</v>
      </c>
      <c r="B849" s="82" t="s">
        <v>10621</v>
      </c>
      <c r="C849" s="82" t="s">
        <v>10804</v>
      </c>
      <c r="D849" s="82" t="s">
        <v>607</v>
      </c>
      <c r="E849" s="82">
        <v>6288215545661</v>
      </c>
      <c r="F849" s="86">
        <v>45833</v>
      </c>
      <c r="G849" s="87">
        <v>1095</v>
      </c>
      <c r="H849" s="88">
        <v>12851.678376268539</v>
      </c>
      <c r="I849" s="89">
        <v>27</v>
      </c>
      <c r="J849" s="90">
        <v>16463</v>
      </c>
      <c r="K849" s="85">
        <v>2</v>
      </c>
      <c r="L849" s="85">
        <v>377</v>
      </c>
      <c r="M849" s="85">
        <v>0</v>
      </c>
      <c r="N849" s="82" t="s">
        <v>10805</v>
      </c>
      <c r="O849" s="83"/>
    </row>
    <row r="850" spans="1:15" ht="22.5" customHeight="1">
      <c r="A850" s="85">
        <v>759724529202804</v>
      </c>
      <c r="B850" s="82" t="s">
        <v>10621</v>
      </c>
      <c r="C850" s="82" t="s">
        <v>10890</v>
      </c>
      <c r="D850" s="82" t="s">
        <v>450</v>
      </c>
      <c r="E850" s="82">
        <v>62895401448273</v>
      </c>
      <c r="F850" s="86">
        <v>45833</v>
      </c>
      <c r="G850" s="87">
        <v>485</v>
      </c>
      <c r="H850" s="88">
        <v>26286.885245901642</v>
      </c>
      <c r="I850" s="89">
        <v>13</v>
      </c>
      <c r="J850" s="90">
        <v>16035</v>
      </c>
      <c r="K850" s="85">
        <v>1</v>
      </c>
      <c r="L850" s="85">
        <v>0</v>
      </c>
      <c r="M850" s="85">
        <v>0</v>
      </c>
      <c r="N850" s="82" t="s">
        <v>10891</v>
      </c>
      <c r="O850" s="83"/>
    </row>
    <row r="851" spans="1:15" ht="22.5" customHeight="1">
      <c r="A851" s="85">
        <v>759724529202804</v>
      </c>
      <c r="B851" s="82" t="s">
        <v>10621</v>
      </c>
      <c r="C851" s="82" t="s">
        <v>332</v>
      </c>
      <c r="D851" s="82" t="s">
        <v>10708</v>
      </c>
      <c r="E851" s="82">
        <v>6282350524788</v>
      </c>
      <c r="F851" s="86">
        <v>45833</v>
      </c>
      <c r="G851" s="87">
        <v>662</v>
      </c>
      <c r="H851" s="88">
        <v>18080.291970802919</v>
      </c>
      <c r="I851" s="89">
        <v>14</v>
      </c>
      <c r="J851" s="90">
        <v>14862</v>
      </c>
      <c r="K851" s="85">
        <v>2</v>
      </c>
      <c r="L851" s="85">
        <v>16</v>
      </c>
      <c r="M851" s="85">
        <v>0</v>
      </c>
      <c r="N851" s="82" t="s">
        <v>10709</v>
      </c>
      <c r="O851" s="83"/>
    </row>
    <row r="852" spans="1:15" ht="22.5" customHeight="1">
      <c r="A852" s="85">
        <v>759724529202804</v>
      </c>
      <c r="B852" s="82" t="s">
        <v>10621</v>
      </c>
      <c r="C852" s="82" t="s">
        <v>665</v>
      </c>
      <c r="D852" s="82" t="s">
        <v>659</v>
      </c>
      <c r="E852" s="82">
        <v>6285757057088</v>
      </c>
      <c r="F852" s="86">
        <v>45833</v>
      </c>
      <c r="G852" s="87">
        <v>737</v>
      </c>
      <c r="H852" s="88">
        <v>16005.05561172902</v>
      </c>
      <c r="I852" s="89">
        <v>30</v>
      </c>
      <c r="J852" s="90">
        <v>15829</v>
      </c>
      <c r="K852" s="85">
        <v>0</v>
      </c>
      <c r="L852" s="85">
        <v>0</v>
      </c>
      <c r="M852" s="85">
        <v>0</v>
      </c>
      <c r="N852" s="82" t="s">
        <v>10636</v>
      </c>
      <c r="O852" s="83"/>
    </row>
    <row r="853" spans="1:15" ht="22.5" customHeight="1">
      <c r="A853" s="85">
        <v>174904221976312</v>
      </c>
      <c r="B853" s="82" t="s">
        <v>10651</v>
      </c>
      <c r="C853" s="82" t="s">
        <v>10930</v>
      </c>
      <c r="D853" s="82" t="s">
        <v>10931</v>
      </c>
      <c r="E853" s="82">
        <v>6282325874670</v>
      </c>
      <c r="F853" s="86">
        <v>45833</v>
      </c>
      <c r="G853" s="87">
        <v>806</v>
      </c>
      <c r="H853" s="88">
        <v>12982.248520710058</v>
      </c>
      <c r="I853" s="89">
        <v>30</v>
      </c>
      <c r="J853" s="90">
        <v>13164</v>
      </c>
      <c r="K853" s="85">
        <v>3</v>
      </c>
      <c r="L853" s="85">
        <v>213</v>
      </c>
      <c r="M853" s="85">
        <v>0</v>
      </c>
      <c r="N853" s="82" t="s">
        <v>10932</v>
      </c>
      <c r="O853" s="83"/>
    </row>
    <row r="854" spans="1:15" ht="22.5" customHeight="1">
      <c r="A854" s="85">
        <v>174904221976312</v>
      </c>
      <c r="B854" s="82" t="s">
        <v>10651</v>
      </c>
      <c r="C854" s="82" t="s">
        <v>10915</v>
      </c>
      <c r="D854" s="82" t="s">
        <v>10674</v>
      </c>
      <c r="E854" s="82">
        <v>6282183184641</v>
      </c>
      <c r="F854" s="86">
        <v>45833</v>
      </c>
      <c r="G854" s="87">
        <v>329</v>
      </c>
      <c r="H854" s="88">
        <v>20214.780600461894</v>
      </c>
      <c r="I854" s="89">
        <v>10</v>
      </c>
      <c r="J854" s="90">
        <v>8753</v>
      </c>
      <c r="K854" s="85">
        <v>0</v>
      </c>
      <c r="L854" s="85">
        <v>4</v>
      </c>
      <c r="M854" s="85">
        <v>0</v>
      </c>
      <c r="N854" s="82" t="s">
        <v>10675</v>
      </c>
      <c r="O854" s="83"/>
    </row>
    <row r="855" spans="1:15" ht="22.5" customHeight="1">
      <c r="A855" s="85">
        <v>174904221976312</v>
      </c>
      <c r="B855" s="82" t="s">
        <v>10651</v>
      </c>
      <c r="C855" s="82" t="s">
        <v>10892</v>
      </c>
      <c r="D855" s="82" t="s">
        <v>10893</v>
      </c>
      <c r="E855" s="82">
        <v>6282399721881</v>
      </c>
      <c r="F855" s="86">
        <v>45833</v>
      </c>
      <c r="G855" s="87">
        <v>1193</v>
      </c>
      <c r="H855" s="88">
        <v>10122.979620520027</v>
      </c>
      <c r="I855" s="89">
        <v>26</v>
      </c>
      <c r="J855" s="90">
        <v>14405</v>
      </c>
      <c r="K855" s="85">
        <v>0</v>
      </c>
      <c r="L855" s="85">
        <v>501</v>
      </c>
      <c r="M855" s="85">
        <v>0</v>
      </c>
      <c r="N855" s="82" t="s">
        <v>10894</v>
      </c>
      <c r="O855" s="83"/>
    </row>
    <row r="856" spans="1:15" ht="22.5" customHeight="1">
      <c r="A856" s="85">
        <v>174904221976312</v>
      </c>
      <c r="B856" s="82" t="s">
        <v>10651</v>
      </c>
      <c r="C856" s="82" t="s">
        <v>10895</v>
      </c>
      <c r="D856" s="82" t="s">
        <v>10896</v>
      </c>
      <c r="E856" s="82">
        <v>6281299907533</v>
      </c>
      <c r="F856" s="86">
        <v>45833</v>
      </c>
      <c r="G856" s="87">
        <v>503</v>
      </c>
      <c r="H856" s="88">
        <v>21911.458333333332</v>
      </c>
      <c r="I856" s="89">
        <v>22</v>
      </c>
      <c r="J856" s="90">
        <v>12621</v>
      </c>
      <c r="K856" s="85">
        <v>0</v>
      </c>
      <c r="L856" s="85">
        <v>247</v>
      </c>
      <c r="M856" s="85">
        <v>0</v>
      </c>
      <c r="N856" s="82" t="s">
        <v>10897</v>
      </c>
      <c r="O856" s="83"/>
    </row>
    <row r="857" spans="1:15" ht="22.5" customHeight="1">
      <c r="A857" s="85">
        <v>174904221976312</v>
      </c>
      <c r="B857" s="82" t="s">
        <v>10651</v>
      </c>
      <c r="C857" s="82" t="s">
        <v>10866</v>
      </c>
      <c r="D857" s="82" t="s">
        <v>878</v>
      </c>
      <c r="E857" s="82">
        <v>6285733774700</v>
      </c>
      <c r="F857" s="86">
        <v>45833</v>
      </c>
      <c r="G857" s="87">
        <v>344</v>
      </c>
      <c r="H857" s="88">
        <v>28154.228855721391</v>
      </c>
      <c r="I857" s="89">
        <v>15</v>
      </c>
      <c r="J857" s="90">
        <v>11318</v>
      </c>
      <c r="K857" s="85">
        <v>1</v>
      </c>
      <c r="L857" s="85">
        <v>2</v>
      </c>
      <c r="M857" s="85">
        <v>1</v>
      </c>
      <c r="N857" s="82" t="s">
        <v>10867</v>
      </c>
      <c r="O857" s="83"/>
    </row>
    <row r="858" spans="1:15" ht="22.5" customHeight="1">
      <c r="A858" s="85">
        <v>174904221976312</v>
      </c>
      <c r="B858" s="82" t="s">
        <v>10651</v>
      </c>
      <c r="C858" s="82" t="s">
        <v>10853</v>
      </c>
      <c r="D858" s="82" t="s">
        <v>10854</v>
      </c>
      <c r="E858" s="82">
        <v>6281393958199</v>
      </c>
      <c r="F858" s="86">
        <v>45833</v>
      </c>
      <c r="G858" s="87">
        <v>617</v>
      </c>
      <c r="H858" s="88">
        <v>18997.31543624161</v>
      </c>
      <c r="I858" s="89">
        <v>19</v>
      </c>
      <c r="J858" s="90">
        <v>14153</v>
      </c>
      <c r="K858" s="85">
        <v>3</v>
      </c>
      <c r="L858" s="85">
        <v>0</v>
      </c>
      <c r="M858" s="85">
        <v>0</v>
      </c>
      <c r="N858" s="82" t="s">
        <v>10855</v>
      </c>
      <c r="O858" s="83"/>
    </row>
    <row r="859" spans="1:15" ht="22.5" customHeight="1">
      <c r="A859" s="85">
        <v>174904221976312</v>
      </c>
      <c r="B859" s="82" t="s">
        <v>10651</v>
      </c>
      <c r="C859" s="82" t="s">
        <v>10858</v>
      </c>
      <c r="D859" s="82" t="s">
        <v>10859</v>
      </c>
      <c r="E859" s="82">
        <v>6285227384634</v>
      </c>
      <c r="F859" s="86">
        <v>45833</v>
      </c>
      <c r="G859" s="87">
        <v>363</v>
      </c>
      <c r="H859" s="88">
        <v>25709.750566893421</v>
      </c>
      <c r="I859" s="89">
        <v>16</v>
      </c>
      <c r="J859" s="90">
        <v>11338</v>
      </c>
      <c r="K859" s="85">
        <v>2</v>
      </c>
      <c r="L859" s="85">
        <v>0</v>
      </c>
      <c r="M859" s="85">
        <v>1</v>
      </c>
      <c r="N859" s="82" t="s">
        <v>10860</v>
      </c>
      <c r="O859" s="83"/>
    </row>
    <row r="860" spans="1:15" ht="22.5" customHeight="1">
      <c r="A860" s="85">
        <v>174904221976312</v>
      </c>
      <c r="B860" s="82" t="s">
        <v>10651</v>
      </c>
      <c r="C860" s="82" t="s">
        <v>818</v>
      </c>
      <c r="D860" s="82" t="s">
        <v>812</v>
      </c>
      <c r="E860" s="82">
        <v>6287858585808</v>
      </c>
      <c r="F860" s="86">
        <v>45833</v>
      </c>
      <c r="G860" s="87">
        <v>791</v>
      </c>
      <c r="H860" s="88">
        <v>13228.509249183895</v>
      </c>
      <c r="I860" s="89">
        <v>17</v>
      </c>
      <c r="J860" s="90">
        <v>12157</v>
      </c>
      <c r="K860" s="85">
        <v>1</v>
      </c>
      <c r="L860" s="85">
        <v>244</v>
      </c>
      <c r="M860" s="85">
        <v>0</v>
      </c>
      <c r="N860" s="82" t="s">
        <v>10831</v>
      </c>
      <c r="O860" s="83"/>
    </row>
    <row r="861" spans="1:15" ht="22.5" customHeight="1">
      <c r="A861" s="85">
        <v>174904221976312</v>
      </c>
      <c r="B861" s="82" t="s">
        <v>10651</v>
      </c>
      <c r="C861" s="82" t="s">
        <v>10806</v>
      </c>
      <c r="D861" s="82" t="s">
        <v>10807</v>
      </c>
      <c r="E861" s="82">
        <v>628127962347</v>
      </c>
      <c r="F861" s="86">
        <v>45833</v>
      </c>
      <c r="G861" s="87">
        <v>155</v>
      </c>
      <c r="H861" s="88">
        <v>82819.277108433744</v>
      </c>
      <c r="I861" s="89">
        <v>12</v>
      </c>
      <c r="J861" s="90">
        <v>13748</v>
      </c>
      <c r="K861" s="85">
        <v>4</v>
      </c>
      <c r="L861" s="85">
        <v>25</v>
      </c>
      <c r="M861" s="85">
        <v>0</v>
      </c>
      <c r="N861" s="82" t="s">
        <v>10808</v>
      </c>
      <c r="O861" s="83"/>
    </row>
    <row r="862" spans="1:15" ht="22.5" customHeight="1">
      <c r="A862" s="85">
        <v>174904221976312</v>
      </c>
      <c r="B862" s="82" t="s">
        <v>10651</v>
      </c>
      <c r="C862" s="82" t="s">
        <v>8099</v>
      </c>
      <c r="D862" s="82" t="s">
        <v>2357</v>
      </c>
      <c r="E862" s="82">
        <v>6281221788919</v>
      </c>
      <c r="F862" s="86">
        <v>45833</v>
      </c>
      <c r="G862" s="87">
        <v>1320</v>
      </c>
      <c r="H862" s="88">
        <v>8369.8630136986303</v>
      </c>
      <c r="I862" s="89">
        <v>16</v>
      </c>
      <c r="J862" s="90">
        <v>12831</v>
      </c>
      <c r="K862" s="85">
        <v>2</v>
      </c>
      <c r="L862" s="85">
        <v>390</v>
      </c>
      <c r="M862" s="85">
        <v>0</v>
      </c>
      <c r="N862" s="82" t="s">
        <v>10759</v>
      </c>
      <c r="O862" s="83"/>
    </row>
    <row r="863" spans="1:15" ht="22.5" customHeight="1">
      <c r="A863" s="85">
        <v>174904221976312</v>
      </c>
      <c r="B863" s="82" t="s">
        <v>10651</v>
      </c>
      <c r="C863" s="82" t="s">
        <v>311</v>
      </c>
      <c r="D863" s="82" t="s">
        <v>10737</v>
      </c>
      <c r="E863" s="82">
        <v>628988759290</v>
      </c>
      <c r="F863" s="86">
        <v>45833</v>
      </c>
      <c r="G863" s="87">
        <v>863</v>
      </c>
      <c r="H863" s="88">
        <v>12405.303030303032</v>
      </c>
      <c r="I863" s="89">
        <v>39</v>
      </c>
      <c r="J863" s="90">
        <v>13100</v>
      </c>
      <c r="K863" s="85">
        <v>2</v>
      </c>
      <c r="L863" s="85">
        <v>209</v>
      </c>
      <c r="M863" s="85">
        <v>0</v>
      </c>
      <c r="N863" s="82" t="s">
        <v>10738</v>
      </c>
      <c r="O863" s="83"/>
    </row>
    <row r="864" spans="1:15" ht="22.5" customHeight="1">
      <c r="A864" s="85">
        <v>174904221976312</v>
      </c>
      <c r="B864" s="82" t="s">
        <v>10651</v>
      </c>
      <c r="C864" s="82" t="s">
        <v>10778</v>
      </c>
      <c r="D864" s="82" t="s">
        <v>3140</v>
      </c>
      <c r="E864" s="82"/>
      <c r="F864" s="86">
        <v>45833</v>
      </c>
      <c r="G864" s="87">
        <v>5968</v>
      </c>
      <c r="H864" s="88">
        <v>2126.3636363636365</v>
      </c>
      <c r="I864" s="89">
        <v>73</v>
      </c>
      <c r="J864" s="90">
        <v>14034</v>
      </c>
      <c r="K864" s="85">
        <v>2</v>
      </c>
      <c r="L864" s="85">
        <v>963</v>
      </c>
      <c r="M864" s="85">
        <v>0</v>
      </c>
      <c r="N864" s="82" t="s">
        <v>10779</v>
      </c>
      <c r="O864" s="83"/>
    </row>
    <row r="865" spans="1:15" ht="22.5" customHeight="1">
      <c r="A865" s="85">
        <v>174904221976312</v>
      </c>
      <c r="B865" s="82" t="s">
        <v>10651</v>
      </c>
      <c r="C865" s="82" t="s">
        <v>10652</v>
      </c>
      <c r="D865" s="82" t="s">
        <v>10653</v>
      </c>
      <c r="E865" s="82">
        <v>6281348555887</v>
      </c>
      <c r="F865" s="86">
        <v>45833</v>
      </c>
      <c r="G865" s="87">
        <v>639</v>
      </c>
      <c r="H865" s="88">
        <v>14699.055330634279</v>
      </c>
      <c r="I865" s="89">
        <v>25</v>
      </c>
      <c r="J865" s="90">
        <v>10892</v>
      </c>
      <c r="K865" s="85">
        <v>1</v>
      </c>
      <c r="L865" s="85">
        <v>208</v>
      </c>
      <c r="M865" s="85">
        <v>0</v>
      </c>
      <c r="N865" s="82" t="s">
        <v>10654</v>
      </c>
      <c r="O865" s="83"/>
    </row>
    <row r="866" spans="1:15" ht="22.5" customHeight="1">
      <c r="A866" s="85">
        <v>174904221976312</v>
      </c>
      <c r="B866" s="82" t="s">
        <v>10651</v>
      </c>
      <c r="C866" s="82" t="s">
        <v>10659</v>
      </c>
      <c r="D866" s="82" t="s">
        <v>1044</v>
      </c>
      <c r="E866" s="82">
        <v>6281263113266</v>
      </c>
      <c r="F866" s="86">
        <v>45833</v>
      </c>
      <c r="G866" s="87">
        <v>466</v>
      </c>
      <c r="H866" s="88">
        <v>13811.428571428571</v>
      </c>
      <c r="I866" s="89">
        <v>18</v>
      </c>
      <c r="J866" s="90">
        <v>7251</v>
      </c>
      <c r="K866" s="85">
        <v>1</v>
      </c>
      <c r="L866" s="85">
        <v>247</v>
      </c>
      <c r="M866" s="85">
        <v>1</v>
      </c>
      <c r="N866" s="82" t="s">
        <v>10660</v>
      </c>
      <c r="O866" s="83"/>
    </row>
    <row r="867" spans="1:15" ht="22.5" customHeight="1">
      <c r="A867" s="85">
        <v>174904221976312</v>
      </c>
      <c r="B867" s="82" t="s">
        <v>10651</v>
      </c>
      <c r="C867" s="82" t="s">
        <v>10833</v>
      </c>
      <c r="D867" s="82" t="s">
        <v>10834</v>
      </c>
      <c r="E867" s="82">
        <v>6282242925264</v>
      </c>
      <c r="F867" s="86">
        <v>45833</v>
      </c>
      <c r="G867" s="87">
        <v>2768</v>
      </c>
      <c r="H867" s="88">
        <v>4491.9329326162606</v>
      </c>
      <c r="I867" s="89">
        <v>107</v>
      </c>
      <c r="J867" s="90">
        <v>14199</v>
      </c>
      <c r="K867" s="85">
        <v>8</v>
      </c>
      <c r="L867" s="85">
        <v>775</v>
      </c>
      <c r="M867" s="85">
        <v>0</v>
      </c>
      <c r="N867" s="82" t="s">
        <v>10835</v>
      </c>
      <c r="O867" s="83"/>
    </row>
    <row r="868" spans="1:15" ht="22.5" customHeight="1">
      <c r="A868" s="85">
        <v>766589657993298</v>
      </c>
      <c r="B868" s="82" t="s">
        <v>10688</v>
      </c>
      <c r="C868" s="82" t="s">
        <v>10933</v>
      </c>
      <c r="D868" s="82" t="s">
        <v>10934</v>
      </c>
      <c r="E868" s="82">
        <v>6281293309300</v>
      </c>
      <c r="F868" s="86">
        <v>45833</v>
      </c>
      <c r="G868" s="87">
        <v>191</v>
      </c>
      <c r="H868" s="88">
        <v>72242.152466367712</v>
      </c>
      <c r="I868" s="89">
        <v>5</v>
      </c>
      <c r="J868" s="90">
        <v>16110</v>
      </c>
      <c r="K868" s="85">
        <v>0</v>
      </c>
      <c r="L868" s="85">
        <v>0</v>
      </c>
      <c r="M868" s="85">
        <v>0</v>
      </c>
      <c r="N868" s="82" t="s">
        <v>10935</v>
      </c>
      <c r="O868" s="83"/>
    </row>
    <row r="869" spans="1:15" ht="22.5" customHeight="1">
      <c r="A869" s="85">
        <v>766589657993298</v>
      </c>
      <c r="B869" s="82" t="s">
        <v>10688</v>
      </c>
      <c r="C869" s="82" t="s">
        <v>10917</v>
      </c>
      <c r="D869" s="82" t="s">
        <v>1037</v>
      </c>
      <c r="E869" s="82">
        <v>6281383434602</v>
      </c>
      <c r="F869" s="86">
        <v>45833</v>
      </c>
      <c r="G869" s="87">
        <v>292</v>
      </c>
      <c r="H869" s="88">
        <v>54670.846394984321</v>
      </c>
      <c r="I869" s="89">
        <v>15</v>
      </c>
      <c r="J869" s="90">
        <v>17440</v>
      </c>
      <c r="K869" s="85">
        <v>3</v>
      </c>
      <c r="L869" s="85">
        <v>0</v>
      </c>
      <c r="M869" s="85">
        <v>0</v>
      </c>
      <c r="N869" s="82" t="s">
        <v>10918</v>
      </c>
      <c r="O869" s="83"/>
    </row>
    <row r="870" spans="1:15" ht="22.5" customHeight="1">
      <c r="A870" s="85">
        <v>766589657993298</v>
      </c>
      <c r="B870" s="82" t="s">
        <v>10688</v>
      </c>
      <c r="C870" s="82" t="s">
        <v>10919</v>
      </c>
      <c r="D870" s="82" t="s">
        <v>951</v>
      </c>
      <c r="E870" s="82">
        <v>6281383899119</v>
      </c>
      <c r="F870" s="86">
        <v>45833</v>
      </c>
      <c r="G870" s="87">
        <v>632</v>
      </c>
      <c r="H870" s="88">
        <v>20441.217150760716</v>
      </c>
      <c r="I870" s="89">
        <v>12</v>
      </c>
      <c r="J870" s="90">
        <v>14779</v>
      </c>
      <c r="K870" s="85">
        <v>1</v>
      </c>
      <c r="L870" s="85">
        <v>226</v>
      </c>
      <c r="M870" s="85">
        <v>0</v>
      </c>
      <c r="N870" s="82" t="s">
        <v>10920</v>
      </c>
      <c r="O870" s="83"/>
    </row>
    <row r="871" spans="1:15" ht="22.5" customHeight="1">
      <c r="A871" s="85">
        <v>766589657993298</v>
      </c>
      <c r="B871" s="82" t="s">
        <v>10688</v>
      </c>
      <c r="C871" s="82" t="s">
        <v>10898</v>
      </c>
      <c r="D871" s="82" t="s">
        <v>978</v>
      </c>
      <c r="E871" s="82">
        <v>6283135590465</v>
      </c>
      <c r="F871" s="86">
        <v>45833</v>
      </c>
      <c r="G871" s="87">
        <v>398</v>
      </c>
      <c r="H871" s="88">
        <v>32085.71428571429</v>
      </c>
      <c r="I871" s="89">
        <v>10</v>
      </c>
      <c r="J871" s="90">
        <v>15722</v>
      </c>
      <c r="K871" s="85">
        <v>0</v>
      </c>
      <c r="L871" s="85">
        <v>95</v>
      </c>
      <c r="M871" s="85">
        <v>1</v>
      </c>
      <c r="N871" s="82" t="s">
        <v>10899</v>
      </c>
      <c r="O871" s="83"/>
    </row>
    <row r="872" spans="1:15" ht="22.5" customHeight="1">
      <c r="A872" s="85">
        <v>766589657993298</v>
      </c>
      <c r="B872" s="82" t="s">
        <v>10688</v>
      </c>
      <c r="C872" s="82" t="s">
        <v>10883</v>
      </c>
      <c r="D872" s="82" t="s">
        <v>920</v>
      </c>
      <c r="E872" s="82">
        <v>6281514999073</v>
      </c>
      <c r="F872" s="86">
        <v>45833</v>
      </c>
      <c r="G872" s="87">
        <v>473</v>
      </c>
      <c r="H872" s="88">
        <v>30897.683397683399</v>
      </c>
      <c r="I872" s="89">
        <v>19</v>
      </c>
      <c r="J872" s="90">
        <v>16005</v>
      </c>
      <c r="K872" s="85">
        <v>4</v>
      </c>
      <c r="L872" s="85">
        <v>276</v>
      </c>
      <c r="M872" s="85">
        <v>1</v>
      </c>
      <c r="N872" s="82" t="s">
        <v>10884</v>
      </c>
      <c r="O872" s="83"/>
    </row>
    <row r="873" spans="1:15" ht="22.5" customHeight="1">
      <c r="A873" s="85">
        <v>766589657993298</v>
      </c>
      <c r="B873" s="82" t="s">
        <v>10688</v>
      </c>
      <c r="C873" s="82" t="s">
        <v>10885</v>
      </c>
      <c r="D873" s="82" t="s">
        <v>906</v>
      </c>
      <c r="E873" s="82">
        <v>6282183115806</v>
      </c>
      <c r="F873" s="86">
        <v>45833</v>
      </c>
      <c r="G873" s="87">
        <v>1010</v>
      </c>
      <c r="H873" s="88">
        <v>12889.973380656609</v>
      </c>
      <c r="I873" s="89">
        <v>25</v>
      </c>
      <c r="J873" s="90">
        <v>14527</v>
      </c>
      <c r="K873" s="85">
        <v>4</v>
      </c>
      <c r="L873" s="85">
        <v>645</v>
      </c>
      <c r="M873" s="85">
        <v>0</v>
      </c>
      <c r="N873" s="82" t="s">
        <v>10886</v>
      </c>
      <c r="O873" s="83"/>
    </row>
    <row r="874" spans="1:15" ht="22.5" customHeight="1">
      <c r="A874" s="85">
        <v>766589657993298</v>
      </c>
      <c r="B874" s="82" t="s">
        <v>10688</v>
      </c>
      <c r="C874" s="82" t="s">
        <v>10887</v>
      </c>
      <c r="D874" s="82" t="s">
        <v>10888</v>
      </c>
      <c r="E874" s="82">
        <v>6283151330372</v>
      </c>
      <c r="F874" s="86">
        <v>45833</v>
      </c>
      <c r="G874" s="87">
        <v>446</v>
      </c>
      <c r="H874" s="88">
        <v>25312.393887945669</v>
      </c>
      <c r="I874" s="89">
        <v>11</v>
      </c>
      <c r="J874" s="90">
        <v>14909</v>
      </c>
      <c r="K874" s="85">
        <v>2</v>
      </c>
      <c r="L874" s="85">
        <v>5</v>
      </c>
      <c r="M874" s="85">
        <v>0</v>
      </c>
      <c r="N874" s="82" t="s">
        <v>10889</v>
      </c>
      <c r="O874" s="83"/>
    </row>
    <row r="875" spans="1:15" ht="22.5" customHeight="1">
      <c r="A875" s="85">
        <v>766589657993298</v>
      </c>
      <c r="B875" s="82" t="s">
        <v>10688</v>
      </c>
      <c r="C875" s="82" t="s">
        <v>10869</v>
      </c>
      <c r="D875" s="82" t="s">
        <v>10870</v>
      </c>
      <c r="E875" s="82">
        <v>6281230995752</v>
      </c>
      <c r="F875" s="86">
        <v>45833</v>
      </c>
      <c r="G875" s="87">
        <v>1036</v>
      </c>
      <c r="H875" s="88">
        <v>12282.418456642799</v>
      </c>
      <c r="I875" s="89">
        <v>22</v>
      </c>
      <c r="J875" s="90">
        <v>15439</v>
      </c>
      <c r="K875" s="85">
        <v>4</v>
      </c>
      <c r="L875" s="85">
        <v>0</v>
      </c>
      <c r="M875" s="85">
        <v>0</v>
      </c>
      <c r="N875" s="82" t="s">
        <v>10871</v>
      </c>
      <c r="O875" s="83"/>
    </row>
    <row r="876" spans="1:15" ht="22.5" customHeight="1">
      <c r="A876" s="85">
        <v>766589657993298</v>
      </c>
      <c r="B876" s="82" t="s">
        <v>10688</v>
      </c>
      <c r="C876" s="82" t="s">
        <v>10872</v>
      </c>
      <c r="D876" s="82" t="s">
        <v>846</v>
      </c>
      <c r="E876" s="82">
        <v>6281233044823</v>
      </c>
      <c r="F876" s="86">
        <v>45833</v>
      </c>
      <c r="G876" s="87">
        <v>571</v>
      </c>
      <c r="H876" s="88">
        <v>23884.322678843226</v>
      </c>
      <c r="I876" s="89">
        <v>10</v>
      </c>
      <c r="J876" s="90">
        <v>15692</v>
      </c>
      <c r="K876" s="85">
        <v>1</v>
      </c>
      <c r="L876" s="85">
        <v>80</v>
      </c>
      <c r="M876" s="85">
        <v>0</v>
      </c>
      <c r="N876" s="82" t="s">
        <v>10873</v>
      </c>
      <c r="O876" s="83"/>
    </row>
    <row r="877" spans="1:15" ht="22.5" customHeight="1">
      <c r="A877" s="85">
        <v>766589657993298</v>
      </c>
      <c r="B877" s="82" t="s">
        <v>10688</v>
      </c>
      <c r="C877" s="82" t="s">
        <v>10874</v>
      </c>
      <c r="D877" s="82" t="s">
        <v>10875</v>
      </c>
      <c r="E877" s="82">
        <v>6281283325291</v>
      </c>
      <c r="F877" s="86">
        <v>45833</v>
      </c>
      <c r="G877" s="87">
        <v>255</v>
      </c>
      <c r="H877" s="88">
        <v>55445.614035087725</v>
      </c>
      <c r="I877" s="89">
        <v>9</v>
      </c>
      <c r="J877" s="90">
        <v>15802</v>
      </c>
      <c r="K877" s="85">
        <v>1</v>
      </c>
      <c r="L877" s="85">
        <v>21</v>
      </c>
      <c r="M877" s="85">
        <v>0</v>
      </c>
      <c r="N877" s="82" t="s">
        <v>10876</v>
      </c>
      <c r="O877" s="83"/>
    </row>
    <row r="878" spans="1:15" ht="22.5" customHeight="1">
      <c r="A878" s="85">
        <v>766589657993298</v>
      </c>
      <c r="B878" s="82" t="s">
        <v>10688</v>
      </c>
      <c r="C878" s="82" t="s">
        <v>10877</v>
      </c>
      <c r="D878" s="82" t="s">
        <v>861</v>
      </c>
      <c r="E878" s="82">
        <v>6289617461806</v>
      </c>
      <c r="F878" s="86">
        <v>45833</v>
      </c>
      <c r="G878" s="87">
        <v>847</v>
      </c>
      <c r="H878" s="88">
        <v>14001.814882032668</v>
      </c>
      <c r="I878" s="89">
        <v>9</v>
      </c>
      <c r="J878" s="90">
        <v>15430</v>
      </c>
      <c r="K878" s="85">
        <v>1</v>
      </c>
      <c r="L878" s="85">
        <v>1</v>
      </c>
      <c r="M878" s="85">
        <v>0</v>
      </c>
      <c r="N878" s="82" t="s">
        <v>10878</v>
      </c>
      <c r="O878" s="83"/>
    </row>
    <row r="879" spans="1:15" ht="22.5" customHeight="1">
      <c r="A879" s="85">
        <v>766589657993298</v>
      </c>
      <c r="B879" s="82" t="s">
        <v>10688</v>
      </c>
      <c r="C879" s="82" t="s">
        <v>10879</v>
      </c>
      <c r="D879" s="82" t="s">
        <v>10880</v>
      </c>
      <c r="E879" s="82">
        <v>6281215851833</v>
      </c>
      <c r="F879" s="86">
        <v>45833</v>
      </c>
      <c r="G879" s="87">
        <v>776</v>
      </c>
      <c r="H879" s="88">
        <v>18283.936651583714</v>
      </c>
      <c r="I879" s="89">
        <v>32</v>
      </c>
      <c r="J879" s="90">
        <v>16163</v>
      </c>
      <c r="K879" s="85">
        <v>5</v>
      </c>
      <c r="L879" s="85">
        <v>0</v>
      </c>
      <c r="M879" s="85">
        <v>0</v>
      </c>
      <c r="N879" s="82" t="s">
        <v>10881</v>
      </c>
      <c r="O879" s="83"/>
    </row>
    <row r="880" spans="1:15" ht="22.5" customHeight="1">
      <c r="A880" s="85">
        <v>766589657993298</v>
      </c>
      <c r="B880" s="82" t="s">
        <v>10688</v>
      </c>
      <c r="C880" s="82" t="s">
        <v>10836</v>
      </c>
      <c r="D880" s="82" t="s">
        <v>780</v>
      </c>
      <c r="E880" s="82">
        <v>6283866009989</v>
      </c>
      <c r="F880" s="86">
        <v>45833</v>
      </c>
      <c r="G880" s="87">
        <v>675</v>
      </c>
      <c r="H880" s="88">
        <v>21983.892617449666</v>
      </c>
      <c r="I880" s="89">
        <v>18</v>
      </c>
      <c r="J880" s="90">
        <v>16378</v>
      </c>
      <c r="K880" s="85">
        <v>0</v>
      </c>
      <c r="L880" s="85">
        <v>424</v>
      </c>
      <c r="M880" s="85">
        <v>0</v>
      </c>
      <c r="N880" s="82" t="s">
        <v>10837</v>
      </c>
      <c r="O880" s="83"/>
    </row>
    <row r="881" spans="1:15" ht="22.5" customHeight="1">
      <c r="A881" s="85">
        <v>766589657993298</v>
      </c>
      <c r="B881" s="82" t="s">
        <v>10688</v>
      </c>
      <c r="C881" s="82" t="s">
        <v>689</v>
      </c>
      <c r="D881" s="82" t="s">
        <v>10923</v>
      </c>
      <c r="E881" s="82">
        <v>6282176695820</v>
      </c>
      <c r="F881" s="86">
        <v>45833</v>
      </c>
      <c r="G881" s="87">
        <v>631</v>
      </c>
      <c r="H881" s="88">
        <v>20416.555407209613</v>
      </c>
      <c r="I881" s="89">
        <v>20</v>
      </c>
      <c r="J881" s="90">
        <v>15292</v>
      </c>
      <c r="K881" s="85">
        <v>3</v>
      </c>
      <c r="L881" s="85">
        <v>201</v>
      </c>
      <c r="M881" s="85">
        <v>0</v>
      </c>
      <c r="N881" s="82" t="s">
        <v>10921</v>
      </c>
      <c r="O881" s="83"/>
    </row>
    <row r="882" spans="1:15" ht="22.5" customHeight="1">
      <c r="A882" s="85">
        <v>766589657993298</v>
      </c>
      <c r="B882" s="82" t="s">
        <v>10688</v>
      </c>
      <c r="C882" s="82" t="s">
        <v>10822</v>
      </c>
      <c r="D882" s="82" t="s">
        <v>676</v>
      </c>
      <c r="E882" s="82">
        <v>6281316155059</v>
      </c>
      <c r="F882" s="86">
        <v>45833</v>
      </c>
      <c r="G882" s="87">
        <v>560</v>
      </c>
      <c r="H882" s="88">
        <v>30829.225352112677</v>
      </c>
      <c r="I882" s="89">
        <v>10</v>
      </c>
      <c r="J882" s="90">
        <v>17511</v>
      </c>
      <c r="K882" s="85">
        <v>2</v>
      </c>
      <c r="L882" s="85">
        <v>283</v>
      </c>
      <c r="M882" s="85">
        <v>0</v>
      </c>
      <c r="N882" s="82" t="s">
        <v>10823</v>
      </c>
      <c r="O882" s="83"/>
    </row>
    <row r="883" spans="1:15" ht="22.5" customHeight="1">
      <c r="A883" s="85">
        <v>766589657993298</v>
      </c>
      <c r="B883" s="82" t="s">
        <v>10688</v>
      </c>
      <c r="C883" s="82" t="s">
        <v>769</v>
      </c>
      <c r="D883" s="82" t="s">
        <v>764</v>
      </c>
      <c r="E883" s="82">
        <v>6287778562681</v>
      </c>
      <c r="F883" s="86">
        <v>45833</v>
      </c>
      <c r="G883" s="87">
        <v>385</v>
      </c>
      <c r="H883" s="88">
        <v>43497.584541062803</v>
      </c>
      <c r="I883" s="89">
        <v>12</v>
      </c>
      <c r="J883" s="90">
        <v>18008</v>
      </c>
      <c r="K883" s="85">
        <v>1</v>
      </c>
      <c r="L883" s="85">
        <v>153</v>
      </c>
      <c r="M883" s="85">
        <v>0</v>
      </c>
      <c r="N883" s="82" t="s">
        <v>10882</v>
      </c>
      <c r="O883" s="83"/>
    </row>
    <row r="884" spans="1:15" ht="22.5" customHeight="1">
      <c r="A884" s="85">
        <v>766589657993298</v>
      </c>
      <c r="B884" s="82" t="s">
        <v>10688</v>
      </c>
      <c r="C884" s="82" t="s">
        <v>10786</v>
      </c>
      <c r="D884" s="82" t="s">
        <v>739</v>
      </c>
      <c r="E884" s="82">
        <v>628122102657</v>
      </c>
      <c r="F884" s="86">
        <v>45833</v>
      </c>
      <c r="G884" s="87">
        <v>352</v>
      </c>
      <c r="H884" s="88">
        <v>29992.700729927008</v>
      </c>
      <c r="I884" s="89">
        <v>9</v>
      </c>
      <c r="J884" s="90">
        <v>12327</v>
      </c>
      <c r="K884" s="85">
        <v>0</v>
      </c>
      <c r="L884" s="85">
        <v>101</v>
      </c>
      <c r="M884" s="85">
        <v>0</v>
      </c>
      <c r="N884" s="82" t="s">
        <v>10787</v>
      </c>
      <c r="O884" s="83"/>
    </row>
    <row r="885" spans="1:15" ht="22.5" customHeight="1">
      <c r="A885" s="85">
        <v>766589657993298</v>
      </c>
      <c r="B885" s="82" t="s">
        <v>10688</v>
      </c>
      <c r="C885" s="82" t="s">
        <v>10762</v>
      </c>
      <c r="D885" s="82" t="s">
        <v>10763</v>
      </c>
      <c r="E885" s="82">
        <v>6285210107607</v>
      </c>
      <c r="F885" s="86">
        <v>45833</v>
      </c>
      <c r="G885" s="87">
        <v>907</v>
      </c>
      <c r="H885" s="88">
        <v>15287.488061127031</v>
      </c>
      <c r="I885" s="89">
        <v>21</v>
      </c>
      <c r="J885" s="90">
        <v>16006</v>
      </c>
      <c r="K885" s="85">
        <v>1</v>
      </c>
      <c r="L885" s="85">
        <v>266</v>
      </c>
      <c r="M885" s="85">
        <v>0</v>
      </c>
      <c r="N885" s="82" t="s">
        <v>10764</v>
      </c>
      <c r="O885" s="83"/>
    </row>
    <row r="886" spans="1:15" ht="22.5" customHeight="1">
      <c r="A886" s="85">
        <v>766589657993298</v>
      </c>
      <c r="B886" s="82" t="s">
        <v>10688</v>
      </c>
      <c r="C886" s="82" t="s">
        <v>10765</v>
      </c>
      <c r="D886" s="82" t="s">
        <v>350</v>
      </c>
      <c r="E886" s="82">
        <v>6282393168368</v>
      </c>
      <c r="F886" s="86">
        <v>45833</v>
      </c>
      <c r="G886" s="87">
        <v>1177</v>
      </c>
      <c r="H886" s="88">
        <v>12667.927382753405</v>
      </c>
      <c r="I886" s="89">
        <v>29</v>
      </c>
      <c r="J886" s="90">
        <v>16747</v>
      </c>
      <c r="K886" s="85">
        <v>6</v>
      </c>
      <c r="L886" s="85">
        <v>20</v>
      </c>
      <c r="M886" s="85">
        <v>0</v>
      </c>
      <c r="N886" s="82" t="s">
        <v>10766</v>
      </c>
      <c r="O886" s="83"/>
    </row>
    <row r="887" spans="1:15" ht="22.5" customHeight="1">
      <c r="A887" s="85">
        <v>766589657993298</v>
      </c>
      <c r="B887" s="82" t="s">
        <v>10688</v>
      </c>
      <c r="C887" s="82" t="s">
        <v>10795</v>
      </c>
      <c r="D887" s="82" t="s">
        <v>551</v>
      </c>
      <c r="E887" s="82">
        <v>6285747906282</v>
      </c>
      <c r="F887" s="86">
        <v>45833</v>
      </c>
      <c r="G887" s="87">
        <v>502</v>
      </c>
      <c r="H887" s="88">
        <v>28615.384615384617</v>
      </c>
      <c r="I887" s="89">
        <v>17</v>
      </c>
      <c r="J887" s="90">
        <v>15624</v>
      </c>
      <c r="K887" s="85">
        <v>2</v>
      </c>
      <c r="L887" s="85">
        <v>265</v>
      </c>
      <c r="M887" s="85">
        <v>0</v>
      </c>
      <c r="N887" s="82" t="s">
        <v>10796</v>
      </c>
      <c r="O887" s="83"/>
    </row>
    <row r="888" spans="1:15" ht="22.5" customHeight="1">
      <c r="A888" s="85">
        <v>766589657993298</v>
      </c>
      <c r="B888" s="82" t="s">
        <v>10688</v>
      </c>
      <c r="C888" s="82" t="s">
        <v>10767</v>
      </c>
      <c r="D888" s="82" t="s">
        <v>10768</v>
      </c>
      <c r="E888" s="82">
        <v>6281519225886</v>
      </c>
      <c r="F888" s="86">
        <v>45833</v>
      </c>
      <c r="G888" s="87">
        <v>589</v>
      </c>
      <c r="H888" s="88">
        <v>22534.782608695652</v>
      </c>
      <c r="I888" s="89">
        <v>21</v>
      </c>
      <c r="J888" s="90">
        <v>15549</v>
      </c>
      <c r="K888" s="85">
        <v>2</v>
      </c>
      <c r="L888" s="85">
        <v>6</v>
      </c>
      <c r="M888" s="85">
        <v>0</v>
      </c>
      <c r="N888" s="82" t="s">
        <v>10769</v>
      </c>
      <c r="O888" s="83"/>
    </row>
    <row r="889" spans="1:15" ht="22.5" customHeight="1">
      <c r="A889" s="85">
        <v>766589657993298</v>
      </c>
      <c r="B889" s="82" t="s">
        <v>10688</v>
      </c>
      <c r="C889" s="82" t="s">
        <v>10797</v>
      </c>
      <c r="D889" s="82" t="s">
        <v>10798</v>
      </c>
      <c r="E889" s="82">
        <v>6285853370682</v>
      </c>
      <c r="F889" s="86">
        <v>45833</v>
      </c>
      <c r="G889" s="87">
        <v>457</v>
      </c>
      <c r="H889" s="88">
        <v>28757.462686567163</v>
      </c>
      <c r="I889" s="89">
        <v>6</v>
      </c>
      <c r="J889" s="90">
        <v>15414</v>
      </c>
      <c r="K889" s="85">
        <v>0</v>
      </c>
      <c r="L889" s="85">
        <v>134</v>
      </c>
      <c r="M889" s="85">
        <v>0</v>
      </c>
      <c r="N889" s="82" t="s">
        <v>10799</v>
      </c>
      <c r="O889" s="83"/>
    </row>
    <row r="890" spans="1:15" ht="22.5" customHeight="1">
      <c r="A890" s="85">
        <v>766589657993298</v>
      </c>
      <c r="B890" s="82" t="s">
        <v>10688</v>
      </c>
      <c r="C890" s="82" t="s">
        <v>10800</v>
      </c>
      <c r="D890" s="82" t="s">
        <v>472</v>
      </c>
      <c r="E890" s="82">
        <v>628114170888</v>
      </c>
      <c r="F890" s="86">
        <v>45833</v>
      </c>
      <c r="G890" s="87">
        <v>616</v>
      </c>
      <c r="H890" s="88">
        <v>20610.079575596817</v>
      </c>
      <c r="I890" s="89">
        <v>17</v>
      </c>
      <c r="J890" s="90">
        <v>15540</v>
      </c>
      <c r="K890" s="85">
        <v>1</v>
      </c>
      <c r="L890" s="85">
        <v>0</v>
      </c>
      <c r="M890" s="85">
        <v>0</v>
      </c>
      <c r="N890" s="82" t="s">
        <v>10801</v>
      </c>
      <c r="O890" s="83"/>
    </row>
    <row r="891" spans="1:15" ht="22.5" customHeight="1">
      <c r="A891" s="85">
        <v>766589657993298</v>
      </c>
      <c r="B891" s="82" t="s">
        <v>10688</v>
      </c>
      <c r="C891" s="82" t="s">
        <v>10752</v>
      </c>
      <c r="D891" s="82" t="s">
        <v>10753</v>
      </c>
      <c r="E891" s="82">
        <v>6281340892328</v>
      </c>
      <c r="F891" s="86">
        <v>45833</v>
      </c>
      <c r="G891" s="87">
        <v>1232</v>
      </c>
      <c r="H891" s="88">
        <v>10748.945147679326</v>
      </c>
      <c r="I891" s="89">
        <v>40</v>
      </c>
      <c r="J891" s="90">
        <v>15285</v>
      </c>
      <c r="K891" s="85">
        <v>2</v>
      </c>
      <c r="L891" s="85">
        <v>395</v>
      </c>
      <c r="M891" s="85">
        <v>0</v>
      </c>
      <c r="N891" s="82" t="s">
        <v>10754</v>
      </c>
      <c r="O891" s="83"/>
    </row>
    <row r="892" spans="1:15" ht="22.5" customHeight="1">
      <c r="A892" s="85">
        <v>206726568613432</v>
      </c>
      <c r="B892" s="82" t="s">
        <v>10900</v>
      </c>
      <c r="C892" s="82" t="s">
        <v>10901</v>
      </c>
      <c r="D892" s="82" t="s">
        <v>10902</v>
      </c>
      <c r="E892" s="82">
        <v>6282194694492</v>
      </c>
      <c r="F892" s="86">
        <v>45833</v>
      </c>
      <c r="G892" s="87">
        <v>760</v>
      </c>
      <c r="H892" s="88">
        <v>16407.496977025392</v>
      </c>
      <c r="I892" s="89">
        <v>27</v>
      </c>
      <c r="J892" s="90">
        <v>13569</v>
      </c>
      <c r="K892" s="85">
        <v>5</v>
      </c>
      <c r="L892" s="85">
        <v>213</v>
      </c>
      <c r="M892" s="85">
        <v>0</v>
      </c>
      <c r="N892" s="82" t="s">
        <v>10903</v>
      </c>
      <c r="O892" s="83"/>
    </row>
    <row r="893" spans="1:15" ht="22.5" customHeight="1">
      <c r="A893" s="85">
        <v>759724529202804</v>
      </c>
      <c r="B893" s="82" t="s">
        <v>10621</v>
      </c>
      <c r="C893" s="82" t="s">
        <v>1169</v>
      </c>
      <c r="D893" s="82" t="s">
        <v>1165</v>
      </c>
      <c r="E893" s="82">
        <v>6281399731413</v>
      </c>
      <c r="F893" s="86">
        <v>45834</v>
      </c>
      <c r="G893" s="87">
        <v>569</v>
      </c>
      <c r="H893" s="88">
        <v>19647.865853658535</v>
      </c>
      <c r="I893" s="89">
        <v>10</v>
      </c>
      <c r="J893" s="90">
        <v>12889</v>
      </c>
      <c r="K893" s="85">
        <v>0</v>
      </c>
      <c r="L893" s="85">
        <v>206</v>
      </c>
      <c r="M893" s="85">
        <v>0</v>
      </c>
      <c r="N893" s="82" t="s">
        <v>10936</v>
      </c>
      <c r="O893" s="83"/>
    </row>
    <row r="894" spans="1:15" ht="22.5" customHeight="1">
      <c r="A894" s="85">
        <v>759724529202804</v>
      </c>
      <c r="B894" s="82" t="s">
        <v>10621</v>
      </c>
      <c r="C894" s="82" t="s">
        <v>10925</v>
      </c>
      <c r="D894" s="82" t="s">
        <v>10926</v>
      </c>
      <c r="E894" s="82">
        <v>6281233038880</v>
      </c>
      <c r="F894" s="86">
        <v>45834</v>
      </c>
      <c r="G894" s="87">
        <v>444</v>
      </c>
      <c r="H894" s="88">
        <v>29951.020408163266</v>
      </c>
      <c r="I894" s="89">
        <v>15</v>
      </c>
      <c r="J894" s="90">
        <v>14676</v>
      </c>
      <c r="K894" s="85">
        <v>1</v>
      </c>
      <c r="L894" s="85">
        <v>136</v>
      </c>
      <c r="M894" s="85">
        <v>0</v>
      </c>
      <c r="N894" s="82" t="s">
        <v>10927</v>
      </c>
      <c r="O894" s="83"/>
    </row>
    <row r="895" spans="1:15" ht="22.5" customHeight="1">
      <c r="A895" s="85">
        <v>759724529202804</v>
      </c>
      <c r="B895" s="82" t="s">
        <v>10621</v>
      </c>
      <c r="C895" s="82" t="s">
        <v>10928</v>
      </c>
      <c r="D895" s="82" t="s">
        <v>1112</v>
      </c>
      <c r="E895" s="82">
        <v>6285777110340</v>
      </c>
      <c r="F895" s="86">
        <v>45834</v>
      </c>
      <c r="G895" s="87">
        <v>250</v>
      </c>
      <c r="H895" s="88">
        <v>51343.537414965984</v>
      </c>
      <c r="I895" s="89">
        <v>4</v>
      </c>
      <c r="J895" s="90">
        <v>15095</v>
      </c>
      <c r="K895" s="85">
        <v>1</v>
      </c>
      <c r="L895" s="85">
        <v>68</v>
      </c>
      <c r="M895" s="85">
        <v>0</v>
      </c>
      <c r="N895" s="82" t="s">
        <v>10929</v>
      </c>
      <c r="O895" s="83"/>
    </row>
    <row r="896" spans="1:15" ht="22.5" customHeight="1">
      <c r="A896" s="85">
        <v>759724529202804</v>
      </c>
      <c r="B896" s="82" t="s">
        <v>10621</v>
      </c>
      <c r="C896" s="82" t="s">
        <v>10904</v>
      </c>
      <c r="D896" s="82" t="s">
        <v>10905</v>
      </c>
      <c r="E896" s="82">
        <v>6285711667433</v>
      </c>
      <c r="F896" s="86">
        <v>45834</v>
      </c>
      <c r="G896" s="87">
        <v>1400</v>
      </c>
      <c r="H896" s="88">
        <v>10515.289525048796</v>
      </c>
      <c r="I896" s="89">
        <v>31</v>
      </c>
      <c r="J896" s="90">
        <v>16162</v>
      </c>
      <c r="K896" s="85">
        <v>5</v>
      </c>
      <c r="L896" s="85">
        <v>449</v>
      </c>
      <c r="M896" s="85">
        <v>0</v>
      </c>
      <c r="N896" s="82" t="s">
        <v>10906</v>
      </c>
      <c r="O896" s="83"/>
    </row>
    <row r="897" spans="1:15" ht="22.5" customHeight="1">
      <c r="A897" s="85">
        <v>759724529202804</v>
      </c>
      <c r="B897" s="82" t="s">
        <v>10621</v>
      </c>
      <c r="C897" s="82" t="s">
        <v>10907</v>
      </c>
      <c r="D897" s="82" t="s">
        <v>943</v>
      </c>
      <c r="E897" s="82">
        <v>6285775986977</v>
      </c>
      <c r="F897" s="86">
        <v>45834</v>
      </c>
      <c r="G897" s="87">
        <v>615</v>
      </c>
      <c r="H897" s="88">
        <v>21594.059405940596</v>
      </c>
      <c r="I897" s="89">
        <v>17</v>
      </c>
      <c r="J897" s="90">
        <v>15267</v>
      </c>
      <c r="K897" s="85">
        <v>1</v>
      </c>
      <c r="L897" s="85">
        <v>200</v>
      </c>
      <c r="M897" s="85">
        <v>0</v>
      </c>
      <c r="N897" s="82" t="s">
        <v>10908</v>
      </c>
      <c r="O897" s="83"/>
    </row>
    <row r="898" spans="1:15" ht="22.5" customHeight="1">
      <c r="A898" s="85">
        <v>759724529202804</v>
      </c>
      <c r="B898" s="82" t="s">
        <v>10621</v>
      </c>
      <c r="C898" s="82" t="s">
        <v>10909</v>
      </c>
      <c r="D898" s="82" t="s">
        <v>10910</v>
      </c>
      <c r="E898" s="82">
        <v>6281904501876</v>
      </c>
      <c r="F898" s="86">
        <v>45834</v>
      </c>
      <c r="G898" s="87">
        <v>162</v>
      </c>
      <c r="H898" s="88">
        <v>6364.7058823529405</v>
      </c>
      <c r="I898" s="89">
        <v>6</v>
      </c>
      <c r="J898" s="90">
        <v>1082</v>
      </c>
      <c r="K898" s="85">
        <v>0</v>
      </c>
      <c r="L898" s="85">
        <v>51</v>
      </c>
      <c r="M898" s="85">
        <v>0</v>
      </c>
      <c r="N898" s="82" t="s">
        <v>10911</v>
      </c>
      <c r="O898" s="83"/>
    </row>
    <row r="899" spans="1:15" ht="22.5" customHeight="1">
      <c r="A899" s="85">
        <v>759724529202804</v>
      </c>
      <c r="B899" s="82" t="s">
        <v>10621</v>
      </c>
      <c r="C899" s="82" t="s">
        <v>10912</v>
      </c>
      <c r="D899" s="82" t="s">
        <v>1029</v>
      </c>
      <c r="E899" s="82">
        <v>6281253792753</v>
      </c>
      <c r="F899" s="86">
        <v>45834</v>
      </c>
      <c r="G899" s="87">
        <v>1430</v>
      </c>
      <c r="H899" s="88">
        <v>9413.6125654450261</v>
      </c>
      <c r="I899" s="89">
        <v>25</v>
      </c>
      <c r="J899" s="90">
        <v>16182</v>
      </c>
      <c r="K899" s="85">
        <v>0</v>
      </c>
      <c r="L899" s="85">
        <v>456</v>
      </c>
      <c r="M899" s="85">
        <v>0</v>
      </c>
      <c r="N899" s="82" t="s">
        <v>10913</v>
      </c>
      <c r="O899" s="83"/>
    </row>
    <row r="900" spans="1:15" ht="22.5" customHeight="1">
      <c r="A900" s="85">
        <v>759724529202804</v>
      </c>
      <c r="B900" s="82" t="s">
        <v>10621</v>
      </c>
      <c r="C900" s="82" t="s">
        <v>10922</v>
      </c>
      <c r="D900" s="82" t="s">
        <v>1021</v>
      </c>
      <c r="E900" s="82">
        <v>6282122880328</v>
      </c>
      <c r="F900" s="86">
        <v>45834</v>
      </c>
      <c r="G900" s="87">
        <v>458</v>
      </c>
      <c r="H900" s="88">
        <v>28717.017208413003</v>
      </c>
      <c r="I900" s="89">
        <v>23</v>
      </c>
      <c r="J900" s="90">
        <v>15019</v>
      </c>
      <c r="K900" s="85">
        <v>5</v>
      </c>
      <c r="L900" s="85">
        <v>208</v>
      </c>
      <c r="M900" s="85">
        <v>0</v>
      </c>
      <c r="N900" s="82" t="s">
        <v>10914</v>
      </c>
      <c r="O900" s="83"/>
    </row>
    <row r="901" spans="1:15" ht="22.5" customHeight="1">
      <c r="A901" s="85">
        <v>759724529202804</v>
      </c>
      <c r="B901" s="82" t="s">
        <v>10621</v>
      </c>
      <c r="C901" s="82" t="s">
        <v>10804</v>
      </c>
      <c r="D901" s="82" t="s">
        <v>607</v>
      </c>
      <c r="E901" s="82">
        <v>6288215545661</v>
      </c>
      <c r="F901" s="86">
        <v>45834</v>
      </c>
      <c r="G901" s="87">
        <v>738</v>
      </c>
      <c r="H901" s="88">
        <v>17629.671574178934</v>
      </c>
      <c r="I901" s="89">
        <v>16</v>
      </c>
      <c r="J901" s="90">
        <v>15567</v>
      </c>
      <c r="K901" s="85">
        <v>0</v>
      </c>
      <c r="L901" s="85">
        <v>299</v>
      </c>
      <c r="M901" s="85">
        <v>1</v>
      </c>
      <c r="N901" s="82" t="s">
        <v>10805</v>
      </c>
      <c r="O901" s="83"/>
    </row>
    <row r="902" spans="1:15" ht="22.5" customHeight="1">
      <c r="A902" s="85">
        <v>759724529202804</v>
      </c>
      <c r="B902" s="82" t="s">
        <v>10621</v>
      </c>
      <c r="C902" s="82" t="s">
        <v>10890</v>
      </c>
      <c r="D902" s="82" t="s">
        <v>450</v>
      </c>
      <c r="E902" s="82">
        <v>62895401448273</v>
      </c>
      <c r="F902" s="86">
        <v>45834</v>
      </c>
      <c r="G902" s="87">
        <v>545</v>
      </c>
      <c r="H902" s="88">
        <v>27244.372990353695</v>
      </c>
      <c r="I902" s="89">
        <v>5</v>
      </c>
      <c r="J902" s="90">
        <v>16946</v>
      </c>
      <c r="K902" s="85">
        <v>1</v>
      </c>
      <c r="L902" s="85">
        <v>0</v>
      </c>
      <c r="M902" s="85">
        <v>0</v>
      </c>
      <c r="N902" s="82" t="s">
        <v>10891</v>
      </c>
      <c r="O902" s="83"/>
    </row>
    <row r="903" spans="1:15" ht="22.5" customHeight="1">
      <c r="A903" s="85">
        <v>759724529202804</v>
      </c>
      <c r="B903" s="82" t="s">
        <v>10621</v>
      </c>
      <c r="C903" s="82" t="s">
        <v>332</v>
      </c>
      <c r="D903" s="82" t="s">
        <v>10708</v>
      </c>
      <c r="E903" s="82">
        <v>6282350524788</v>
      </c>
      <c r="F903" s="86">
        <v>45834</v>
      </c>
      <c r="G903" s="87">
        <v>697</v>
      </c>
      <c r="H903" s="88">
        <v>18458.75</v>
      </c>
      <c r="I903" s="89">
        <v>24</v>
      </c>
      <c r="J903" s="90">
        <v>14767</v>
      </c>
      <c r="K903" s="85">
        <v>1</v>
      </c>
      <c r="L903" s="85">
        <v>65</v>
      </c>
      <c r="M903" s="85">
        <v>0</v>
      </c>
      <c r="N903" s="82" t="s">
        <v>10709</v>
      </c>
      <c r="O903" s="83"/>
    </row>
    <row r="904" spans="1:15" ht="22.5" customHeight="1">
      <c r="A904" s="85">
        <v>759724529202804</v>
      </c>
      <c r="B904" s="82" t="s">
        <v>10621</v>
      </c>
      <c r="C904" s="82" t="s">
        <v>665</v>
      </c>
      <c r="D904" s="82" t="s">
        <v>659</v>
      </c>
      <c r="E904" s="82">
        <v>6285757057088</v>
      </c>
      <c r="F904" s="86">
        <v>45834</v>
      </c>
      <c r="G904" s="87">
        <v>638</v>
      </c>
      <c r="H904" s="88">
        <v>19292.383292383292</v>
      </c>
      <c r="I904" s="89">
        <v>20</v>
      </c>
      <c r="J904" s="90">
        <v>15704</v>
      </c>
      <c r="K904" s="85">
        <v>1</v>
      </c>
      <c r="L904" s="85">
        <v>0</v>
      </c>
      <c r="M904" s="85">
        <v>0</v>
      </c>
      <c r="N904" s="82" t="s">
        <v>10636</v>
      </c>
      <c r="O904" s="83"/>
    </row>
    <row r="905" spans="1:15" ht="22.5" customHeight="1">
      <c r="A905" s="85">
        <v>174904221976312</v>
      </c>
      <c r="B905" s="82" t="s">
        <v>10651</v>
      </c>
      <c r="C905" s="82" t="s">
        <v>10937</v>
      </c>
      <c r="D905" s="82" t="s">
        <v>10938</v>
      </c>
      <c r="E905" s="82">
        <v>6281938563373</v>
      </c>
      <c r="F905" s="86">
        <v>45834</v>
      </c>
      <c r="G905" s="87">
        <v>212</v>
      </c>
      <c r="H905" s="88">
        <v>42724.696356275301</v>
      </c>
      <c r="I905" s="89">
        <v>3</v>
      </c>
      <c r="J905" s="90">
        <v>10553</v>
      </c>
      <c r="K905" s="85">
        <v>1</v>
      </c>
      <c r="L905" s="85">
        <v>99</v>
      </c>
      <c r="M905" s="85">
        <v>0</v>
      </c>
      <c r="N905" s="82" t="s">
        <v>10939</v>
      </c>
      <c r="O905" s="83"/>
    </row>
    <row r="906" spans="1:15" ht="22.5" customHeight="1">
      <c r="A906" s="85">
        <v>174904221976312</v>
      </c>
      <c r="B906" s="82" t="s">
        <v>10651</v>
      </c>
      <c r="C906" s="82" t="s">
        <v>10940</v>
      </c>
      <c r="D906" s="82" t="s">
        <v>10941</v>
      </c>
      <c r="E906" s="82">
        <v>6285266218699</v>
      </c>
      <c r="F906" s="86">
        <v>45834</v>
      </c>
      <c r="G906" s="87">
        <v>505</v>
      </c>
      <c r="H906" s="88">
        <v>16885.135135135137</v>
      </c>
      <c r="I906" s="89">
        <v>15</v>
      </c>
      <c r="J906" s="90">
        <v>12495</v>
      </c>
      <c r="K906" s="85">
        <v>0</v>
      </c>
      <c r="L906" s="85">
        <v>0</v>
      </c>
      <c r="M906" s="85">
        <v>0</v>
      </c>
      <c r="N906" s="82" t="s">
        <v>10942</v>
      </c>
      <c r="O906" s="83"/>
    </row>
    <row r="907" spans="1:15" ht="22.5" customHeight="1">
      <c r="A907" s="85">
        <v>174904221976312</v>
      </c>
      <c r="B907" s="82" t="s">
        <v>10651</v>
      </c>
      <c r="C907" s="82" t="s">
        <v>10943</v>
      </c>
      <c r="D907" s="82" t="s">
        <v>10944</v>
      </c>
      <c r="E907" s="82">
        <v>6285240694097</v>
      </c>
      <c r="F907" s="86">
        <v>45834</v>
      </c>
      <c r="G907" s="87">
        <v>770</v>
      </c>
      <c r="H907" s="88">
        <v>12259.057971014492</v>
      </c>
      <c r="I907" s="89">
        <v>30</v>
      </c>
      <c r="J907" s="90">
        <v>13534</v>
      </c>
      <c r="K907" s="85">
        <v>5</v>
      </c>
      <c r="L907" s="85">
        <v>204</v>
      </c>
      <c r="M907" s="85">
        <v>0</v>
      </c>
      <c r="N907" s="82" t="s">
        <v>10945</v>
      </c>
      <c r="O907" s="83"/>
    </row>
    <row r="908" spans="1:15" ht="22.5" customHeight="1">
      <c r="A908" s="85">
        <v>174904221976312</v>
      </c>
      <c r="B908" s="82" t="s">
        <v>10651</v>
      </c>
      <c r="C908" s="82" t="s">
        <v>10930</v>
      </c>
      <c r="D908" s="82" t="s">
        <v>10931</v>
      </c>
      <c r="E908" s="82">
        <v>6282325874670</v>
      </c>
      <c r="F908" s="86">
        <v>45834</v>
      </c>
      <c r="G908" s="87">
        <v>499</v>
      </c>
      <c r="H908" s="88">
        <v>21301.242236024846</v>
      </c>
      <c r="I908" s="89">
        <v>12</v>
      </c>
      <c r="J908" s="90">
        <v>13718</v>
      </c>
      <c r="K908" s="85">
        <v>1</v>
      </c>
      <c r="L908" s="85">
        <v>0</v>
      </c>
      <c r="M908" s="85">
        <v>0</v>
      </c>
      <c r="N908" s="82" t="s">
        <v>10932</v>
      </c>
      <c r="O908" s="83"/>
    </row>
    <row r="909" spans="1:15" ht="22.5" customHeight="1">
      <c r="A909" s="85">
        <v>174904221976312</v>
      </c>
      <c r="B909" s="82" t="s">
        <v>10651</v>
      </c>
      <c r="C909" s="82" t="s">
        <v>10915</v>
      </c>
      <c r="D909" s="82" t="s">
        <v>10674</v>
      </c>
      <c r="E909" s="82">
        <v>6282183184641</v>
      </c>
      <c r="F909" s="86">
        <v>45834</v>
      </c>
      <c r="G909" s="87">
        <v>768</v>
      </c>
      <c r="H909" s="88">
        <v>14180</v>
      </c>
      <c r="I909" s="89">
        <v>24</v>
      </c>
      <c r="J909" s="90">
        <v>13471</v>
      </c>
      <c r="K909" s="85">
        <v>4</v>
      </c>
      <c r="L909" s="85">
        <v>263</v>
      </c>
      <c r="M909" s="85">
        <v>0</v>
      </c>
      <c r="N909" s="82" t="s">
        <v>10675</v>
      </c>
      <c r="O909" s="83"/>
    </row>
    <row r="910" spans="1:15" ht="22.5" customHeight="1">
      <c r="A910" s="85">
        <v>174904221976312</v>
      </c>
      <c r="B910" s="82" t="s">
        <v>10651</v>
      </c>
      <c r="C910" s="82" t="s">
        <v>10892</v>
      </c>
      <c r="D910" s="82" t="s">
        <v>10893</v>
      </c>
      <c r="E910" s="82">
        <v>6282399721881</v>
      </c>
      <c r="F910" s="86">
        <v>45834</v>
      </c>
      <c r="G910" s="87">
        <v>1164</v>
      </c>
      <c r="H910" s="88">
        <v>9850.1552795031057</v>
      </c>
      <c r="I910" s="89">
        <v>19</v>
      </c>
      <c r="J910" s="90">
        <v>12687</v>
      </c>
      <c r="K910" s="85">
        <v>2</v>
      </c>
      <c r="L910" s="85">
        <v>34</v>
      </c>
      <c r="M910" s="85">
        <v>0</v>
      </c>
      <c r="N910" s="82" t="s">
        <v>10894</v>
      </c>
      <c r="O910" s="83"/>
    </row>
    <row r="911" spans="1:15" ht="22.5" customHeight="1">
      <c r="A911" s="85">
        <v>174904221976312</v>
      </c>
      <c r="B911" s="82" t="s">
        <v>10651</v>
      </c>
      <c r="C911" s="82" t="s">
        <v>10895</v>
      </c>
      <c r="D911" s="82" t="s">
        <v>10896</v>
      </c>
      <c r="E911" s="82">
        <v>6281299907533</v>
      </c>
      <c r="F911" s="86">
        <v>45834</v>
      </c>
      <c r="G911" s="87">
        <v>272</v>
      </c>
      <c r="H911" s="88">
        <v>27825.072886297377</v>
      </c>
      <c r="I911" s="89">
        <v>5</v>
      </c>
      <c r="J911" s="90">
        <v>9544</v>
      </c>
      <c r="K911" s="85">
        <v>0</v>
      </c>
      <c r="L911" s="85">
        <v>38</v>
      </c>
      <c r="M911" s="85">
        <v>0</v>
      </c>
      <c r="N911" s="82" t="s">
        <v>10897</v>
      </c>
      <c r="O911" s="83"/>
    </row>
    <row r="912" spans="1:15" ht="22.5" customHeight="1">
      <c r="A912" s="85">
        <v>174904221976312</v>
      </c>
      <c r="B912" s="82" t="s">
        <v>10651</v>
      </c>
      <c r="C912" s="82" t="s">
        <v>10853</v>
      </c>
      <c r="D912" s="82" t="s">
        <v>10854</v>
      </c>
      <c r="E912" s="82">
        <v>6281393958199</v>
      </c>
      <c r="F912" s="86">
        <v>45834</v>
      </c>
      <c r="G912" s="87">
        <v>807</v>
      </c>
      <c r="H912" s="88">
        <v>14777.426160337553</v>
      </c>
      <c r="I912" s="89">
        <v>19</v>
      </c>
      <c r="J912" s="90">
        <v>14009</v>
      </c>
      <c r="K912" s="85">
        <v>3</v>
      </c>
      <c r="L912" s="85">
        <v>138</v>
      </c>
      <c r="M912" s="85">
        <v>0</v>
      </c>
      <c r="N912" s="82" t="s">
        <v>10855</v>
      </c>
      <c r="O912" s="83"/>
    </row>
    <row r="913" spans="1:15" ht="22.5" customHeight="1">
      <c r="A913" s="85">
        <v>174904221976312</v>
      </c>
      <c r="B913" s="82" t="s">
        <v>10651</v>
      </c>
      <c r="C913" s="82" t="s">
        <v>10858</v>
      </c>
      <c r="D913" s="82" t="s">
        <v>10859</v>
      </c>
      <c r="E913" s="82">
        <v>6285227384634</v>
      </c>
      <c r="F913" s="86">
        <v>45834</v>
      </c>
      <c r="G913" s="87">
        <v>406</v>
      </c>
      <c r="H913" s="88">
        <v>25971.553610503281</v>
      </c>
      <c r="I913" s="89">
        <v>15</v>
      </c>
      <c r="J913" s="90">
        <v>11869</v>
      </c>
      <c r="K913" s="85">
        <v>2</v>
      </c>
      <c r="L913" s="85">
        <v>19</v>
      </c>
      <c r="M913" s="85">
        <v>0</v>
      </c>
      <c r="N913" s="82" t="s">
        <v>10860</v>
      </c>
      <c r="O913" s="83"/>
    </row>
    <row r="914" spans="1:15" ht="22.5" customHeight="1">
      <c r="A914" s="85">
        <v>174904221976312</v>
      </c>
      <c r="B914" s="82" t="s">
        <v>10651</v>
      </c>
      <c r="C914" s="82" t="s">
        <v>818</v>
      </c>
      <c r="D914" s="82" t="s">
        <v>812</v>
      </c>
      <c r="E914" s="82">
        <v>6287858585808</v>
      </c>
      <c r="F914" s="86">
        <v>45834</v>
      </c>
      <c r="G914" s="87">
        <v>779</v>
      </c>
      <c r="H914" s="88">
        <v>15370.37037037037</v>
      </c>
      <c r="I914" s="89">
        <v>15</v>
      </c>
      <c r="J914" s="90">
        <v>13695</v>
      </c>
      <c r="K914" s="85">
        <v>2</v>
      </c>
      <c r="L914" s="85">
        <v>241</v>
      </c>
      <c r="M914" s="85">
        <v>0</v>
      </c>
      <c r="N914" s="82" t="s">
        <v>10831</v>
      </c>
      <c r="O914" s="83"/>
    </row>
    <row r="915" spans="1:15" ht="22.5" customHeight="1">
      <c r="A915" s="85">
        <v>174904221976312</v>
      </c>
      <c r="B915" s="82" t="s">
        <v>10651</v>
      </c>
      <c r="C915" s="82" t="s">
        <v>10806</v>
      </c>
      <c r="D915" s="82" t="s">
        <v>10807</v>
      </c>
      <c r="E915" s="82">
        <v>628127962347</v>
      </c>
      <c r="F915" s="86">
        <v>45834</v>
      </c>
      <c r="G915" s="87">
        <v>261</v>
      </c>
      <c r="H915" s="88">
        <v>51229.927007299266</v>
      </c>
      <c r="I915" s="89">
        <v>14</v>
      </c>
      <c r="J915" s="90">
        <v>14037</v>
      </c>
      <c r="K915" s="85">
        <v>1</v>
      </c>
      <c r="L915" s="85">
        <v>19</v>
      </c>
      <c r="M915" s="85">
        <v>0</v>
      </c>
      <c r="N915" s="82" t="s">
        <v>10808</v>
      </c>
      <c r="O915" s="83"/>
    </row>
    <row r="916" spans="1:15" ht="22.5" customHeight="1">
      <c r="A916" s="85">
        <v>174904221976312</v>
      </c>
      <c r="B916" s="82" t="s">
        <v>10651</v>
      </c>
      <c r="C916" s="82" t="s">
        <v>10809</v>
      </c>
      <c r="D916" s="82" t="s">
        <v>634</v>
      </c>
      <c r="E916" s="82">
        <v>6282258886603</v>
      </c>
      <c r="F916" s="86">
        <v>45834</v>
      </c>
      <c r="G916" s="87">
        <v>425</v>
      </c>
      <c r="H916" s="88">
        <v>31444.444444444442</v>
      </c>
      <c r="I916" s="89">
        <v>12</v>
      </c>
      <c r="J916" s="90">
        <v>14433</v>
      </c>
      <c r="K916" s="85">
        <v>0</v>
      </c>
      <c r="L916" s="85">
        <v>211</v>
      </c>
      <c r="M916" s="85">
        <v>0</v>
      </c>
      <c r="N916" s="82" t="s">
        <v>10810</v>
      </c>
      <c r="O916" s="83"/>
    </row>
    <row r="917" spans="1:15" ht="22.5" customHeight="1">
      <c r="A917" s="85">
        <v>174904221976312</v>
      </c>
      <c r="B917" s="82" t="s">
        <v>10651</v>
      </c>
      <c r="C917" s="82" t="s">
        <v>311</v>
      </c>
      <c r="D917" s="82" t="s">
        <v>10737</v>
      </c>
      <c r="E917" s="82">
        <v>628988759290</v>
      </c>
      <c r="F917" s="86">
        <v>45834</v>
      </c>
      <c r="G917" s="87">
        <v>797</v>
      </c>
      <c r="H917" s="88">
        <v>13236.897274633124</v>
      </c>
      <c r="I917" s="89">
        <v>31</v>
      </c>
      <c r="J917" s="90">
        <v>12628</v>
      </c>
      <c r="K917" s="85">
        <v>2</v>
      </c>
      <c r="L917" s="85">
        <v>184</v>
      </c>
      <c r="M917" s="85">
        <v>0</v>
      </c>
      <c r="N917" s="82" t="s">
        <v>10738</v>
      </c>
      <c r="O917" s="83"/>
    </row>
    <row r="918" spans="1:15" ht="22.5" customHeight="1">
      <c r="A918" s="85">
        <v>174904221976312</v>
      </c>
      <c r="B918" s="82" t="s">
        <v>10651</v>
      </c>
      <c r="C918" s="82" t="s">
        <v>10778</v>
      </c>
      <c r="D918" s="82" t="s">
        <v>3140</v>
      </c>
      <c r="E918" s="82"/>
      <c r="F918" s="86">
        <v>45834</v>
      </c>
      <c r="G918" s="87">
        <v>5392</v>
      </c>
      <c r="H918" s="88">
        <v>2642.1294774893199</v>
      </c>
      <c r="I918" s="89">
        <v>98</v>
      </c>
      <c r="J918" s="90">
        <v>16080</v>
      </c>
      <c r="K918" s="85">
        <v>4</v>
      </c>
      <c r="L918" s="85">
        <v>558</v>
      </c>
      <c r="M918" s="85">
        <v>0</v>
      </c>
      <c r="N918" s="82" t="s">
        <v>10779</v>
      </c>
      <c r="O918" s="83"/>
    </row>
    <row r="919" spans="1:15" ht="22.5" customHeight="1">
      <c r="A919" s="85">
        <v>174904221976312</v>
      </c>
      <c r="B919" s="82" t="s">
        <v>10651</v>
      </c>
      <c r="C919" s="82" t="s">
        <v>10652</v>
      </c>
      <c r="D919" s="82" t="s">
        <v>10653</v>
      </c>
      <c r="E919" s="82">
        <v>6281348555887</v>
      </c>
      <c r="F919" s="86">
        <v>45834</v>
      </c>
      <c r="G919" s="87">
        <v>1152</v>
      </c>
      <c r="H919" s="88">
        <v>12216.679657053779</v>
      </c>
      <c r="I919" s="89">
        <v>47</v>
      </c>
      <c r="J919" s="90">
        <v>15674</v>
      </c>
      <c r="K919" s="85">
        <v>0</v>
      </c>
      <c r="L919" s="85">
        <v>361</v>
      </c>
      <c r="M919" s="85">
        <v>1</v>
      </c>
      <c r="N919" s="82" t="s">
        <v>10654</v>
      </c>
      <c r="O919" s="83"/>
    </row>
    <row r="920" spans="1:15" ht="22.5" customHeight="1">
      <c r="A920" s="85">
        <v>174904221976312</v>
      </c>
      <c r="B920" s="82" t="s">
        <v>10651</v>
      </c>
      <c r="C920" s="82" t="s">
        <v>10657</v>
      </c>
      <c r="D920" s="82" t="s">
        <v>1239</v>
      </c>
      <c r="E920" s="82">
        <v>6282172291579</v>
      </c>
      <c r="F920" s="86">
        <v>45834</v>
      </c>
      <c r="G920" s="87">
        <v>488</v>
      </c>
      <c r="H920" s="88">
        <v>19174.216027874565</v>
      </c>
      <c r="I920" s="89">
        <v>52</v>
      </c>
      <c r="J920" s="90">
        <v>11006</v>
      </c>
      <c r="K920" s="85">
        <v>7</v>
      </c>
      <c r="L920" s="85">
        <v>257</v>
      </c>
      <c r="M920" s="85">
        <v>1</v>
      </c>
      <c r="N920" s="82" t="s">
        <v>10658</v>
      </c>
      <c r="O920" s="83"/>
    </row>
    <row r="921" spans="1:15" ht="22.5" customHeight="1">
      <c r="A921" s="85">
        <v>174904221976312</v>
      </c>
      <c r="B921" s="82" t="s">
        <v>10651</v>
      </c>
      <c r="C921" s="82" t="s">
        <v>10659</v>
      </c>
      <c r="D921" s="82" t="s">
        <v>1044</v>
      </c>
      <c r="E921" s="82">
        <v>6281263113266</v>
      </c>
      <c r="F921" s="86">
        <v>45834</v>
      </c>
      <c r="G921" s="87">
        <v>1011</v>
      </c>
      <c r="H921" s="88">
        <v>12478.538812785388</v>
      </c>
      <c r="I921" s="89">
        <v>63</v>
      </c>
      <c r="J921" s="90">
        <v>13664</v>
      </c>
      <c r="K921" s="85">
        <v>6</v>
      </c>
      <c r="L921" s="85">
        <v>437</v>
      </c>
      <c r="M921" s="85">
        <v>1</v>
      </c>
      <c r="N921" s="82" t="s">
        <v>10660</v>
      </c>
      <c r="O921" s="83"/>
    </row>
    <row r="922" spans="1:15" ht="22.5" customHeight="1">
      <c r="A922" s="85">
        <v>174904221976312</v>
      </c>
      <c r="B922" s="82" t="s">
        <v>10651</v>
      </c>
      <c r="C922" s="82" t="s">
        <v>10833</v>
      </c>
      <c r="D922" s="82" t="s">
        <v>10834</v>
      </c>
      <c r="E922" s="82">
        <v>6282242925264</v>
      </c>
      <c r="F922" s="86">
        <v>45834</v>
      </c>
      <c r="G922" s="87">
        <v>2588</v>
      </c>
      <c r="H922" s="88">
        <v>5112.8152692569865</v>
      </c>
      <c r="I922" s="89">
        <v>105</v>
      </c>
      <c r="J922" s="90">
        <v>15001</v>
      </c>
      <c r="K922" s="85">
        <v>9</v>
      </c>
      <c r="L922" s="85">
        <v>792</v>
      </c>
      <c r="M922" s="85">
        <v>1</v>
      </c>
      <c r="N922" s="82" t="s">
        <v>10835</v>
      </c>
      <c r="O922" s="83"/>
    </row>
    <row r="923" spans="1:15" ht="22.5" customHeight="1">
      <c r="A923" s="85">
        <v>766589657993298</v>
      </c>
      <c r="B923" s="82" t="s">
        <v>10688</v>
      </c>
      <c r="C923" s="82" t="s">
        <v>10946</v>
      </c>
      <c r="D923" s="82" t="s">
        <v>10947</v>
      </c>
      <c r="E923" s="82">
        <v>6281374115054</v>
      </c>
      <c r="F923" s="86">
        <v>45834</v>
      </c>
      <c r="G923" s="87">
        <v>627</v>
      </c>
      <c r="H923" s="88">
        <v>18324.594257178527</v>
      </c>
      <c r="I923" s="89">
        <v>7</v>
      </c>
      <c r="J923" s="90">
        <v>14678</v>
      </c>
      <c r="K923" s="85">
        <v>2</v>
      </c>
      <c r="L923" s="85">
        <v>138</v>
      </c>
      <c r="M923" s="85">
        <v>0</v>
      </c>
      <c r="N923" s="82" t="s">
        <v>10948</v>
      </c>
      <c r="O923" s="83"/>
    </row>
    <row r="924" spans="1:15" ht="22.5" customHeight="1">
      <c r="A924" s="85">
        <v>766589657993298</v>
      </c>
      <c r="B924" s="82" t="s">
        <v>10688</v>
      </c>
      <c r="C924" s="82" t="s">
        <v>10933</v>
      </c>
      <c r="D924" s="82" t="s">
        <v>10934</v>
      </c>
      <c r="E924" s="82">
        <v>6281293309300</v>
      </c>
      <c r="F924" s="86">
        <v>45834</v>
      </c>
      <c r="G924" s="87">
        <v>262</v>
      </c>
      <c r="H924" s="88">
        <v>46015.384615384617</v>
      </c>
      <c r="I924" s="89">
        <v>9</v>
      </c>
      <c r="J924" s="90">
        <v>14955</v>
      </c>
      <c r="K924" s="85">
        <v>2</v>
      </c>
      <c r="L924" s="85">
        <v>78</v>
      </c>
      <c r="M924" s="85">
        <v>1</v>
      </c>
      <c r="N924" s="82" t="s">
        <v>10935</v>
      </c>
      <c r="O924" s="83"/>
    </row>
    <row r="925" spans="1:15" ht="22.5" customHeight="1">
      <c r="A925" s="85">
        <v>766589657993298</v>
      </c>
      <c r="B925" s="82" t="s">
        <v>10688</v>
      </c>
      <c r="C925" s="82" t="s">
        <v>10917</v>
      </c>
      <c r="D925" s="82" t="s">
        <v>1037</v>
      </c>
      <c r="E925" s="82">
        <v>6281383434602</v>
      </c>
      <c r="F925" s="86">
        <v>45834</v>
      </c>
      <c r="G925" s="87">
        <v>776</v>
      </c>
      <c r="H925" s="88">
        <v>17151.547491995731</v>
      </c>
      <c r="I925" s="89">
        <v>22</v>
      </c>
      <c r="J925" s="90">
        <v>16071</v>
      </c>
      <c r="K925" s="85">
        <v>0</v>
      </c>
      <c r="L925" s="85">
        <v>275</v>
      </c>
      <c r="M925" s="85">
        <v>0</v>
      </c>
      <c r="N925" s="82" t="s">
        <v>10918</v>
      </c>
      <c r="O925" s="83"/>
    </row>
    <row r="926" spans="1:15" ht="22.5" customHeight="1">
      <c r="A926" s="85">
        <v>766589657993298</v>
      </c>
      <c r="B926" s="82" t="s">
        <v>10688</v>
      </c>
      <c r="C926" s="82" t="s">
        <v>10919</v>
      </c>
      <c r="D926" s="82" t="s">
        <v>951</v>
      </c>
      <c r="E926" s="82">
        <v>6281383899119</v>
      </c>
      <c r="F926" s="86">
        <v>45834</v>
      </c>
      <c r="G926" s="87">
        <v>534</v>
      </c>
      <c r="H926" s="88">
        <v>25507.462686567163</v>
      </c>
      <c r="I926" s="89">
        <v>16</v>
      </c>
      <c r="J926" s="90">
        <v>15381</v>
      </c>
      <c r="K926" s="85">
        <v>1</v>
      </c>
      <c r="L926" s="85">
        <v>190</v>
      </c>
      <c r="M926" s="85">
        <v>1</v>
      </c>
      <c r="N926" s="82" t="s">
        <v>10920</v>
      </c>
      <c r="O926" s="83"/>
    </row>
    <row r="927" spans="1:15" ht="22.5" customHeight="1">
      <c r="A927" s="85">
        <v>766589657993298</v>
      </c>
      <c r="B927" s="82" t="s">
        <v>10688</v>
      </c>
      <c r="C927" s="82" t="s">
        <v>10898</v>
      </c>
      <c r="D927" s="82" t="s">
        <v>978</v>
      </c>
      <c r="E927" s="82">
        <v>6283135590465</v>
      </c>
      <c r="F927" s="86">
        <v>45834</v>
      </c>
      <c r="G927" s="87">
        <v>414</v>
      </c>
      <c r="H927" s="88">
        <v>30885.880077369438</v>
      </c>
      <c r="I927" s="89">
        <v>15</v>
      </c>
      <c r="J927" s="90">
        <v>15968</v>
      </c>
      <c r="K927" s="85">
        <v>1</v>
      </c>
      <c r="L927" s="85">
        <v>0</v>
      </c>
      <c r="M927" s="85">
        <v>0</v>
      </c>
      <c r="N927" s="82" t="s">
        <v>10899</v>
      </c>
      <c r="O927" s="83"/>
    </row>
    <row r="928" spans="1:15" ht="22.5" customHeight="1">
      <c r="A928" s="85">
        <v>766589657993298</v>
      </c>
      <c r="B928" s="82" t="s">
        <v>10688</v>
      </c>
      <c r="C928" s="82" t="s">
        <v>10883</v>
      </c>
      <c r="D928" s="82" t="s">
        <v>920</v>
      </c>
      <c r="E928" s="82">
        <v>6281514999073</v>
      </c>
      <c r="F928" s="86">
        <v>45834</v>
      </c>
      <c r="G928" s="87">
        <v>440</v>
      </c>
      <c r="H928" s="88">
        <v>34212.678936605313</v>
      </c>
      <c r="I928" s="89">
        <v>13</v>
      </c>
      <c r="J928" s="90">
        <v>16730</v>
      </c>
      <c r="K928" s="85">
        <v>2</v>
      </c>
      <c r="L928" s="85">
        <v>227</v>
      </c>
      <c r="M928" s="85">
        <v>0</v>
      </c>
      <c r="N928" s="82" t="s">
        <v>10884</v>
      </c>
      <c r="O928" s="83"/>
    </row>
    <row r="929" spans="1:15" ht="22.5" customHeight="1">
      <c r="A929" s="85">
        <v>766589657993298</v>
      </c>
      <c r="B929" s="82" t="s">
        <v>10688</v>
      </c>
      <c r="C929" s="82" t="s">
        <v>10885</v>
      </c>
      <c r="D929" s="82" t="s">
        <v>906</v>
      </c>
      <c r="E929" s="82">
        <v>6282183115806</v>
      </c>
      <c r="F929" s="86">
        <v>45834</v>
      </c>
      <c r="G929" s="87">
        <v>1168</v>
      </c>
      <c r="H929" s="88">
        <v>11750.575594781274</v>
      </c>
      <c r="I929" s="89">
        <v>27</v>
      </c>
      <c r="J929" s="90">
        <v>15311</v>
      </c>
      <c r="K929" s="85">
        <v>2</v>
      </c>
      <c r="L929" s="85">
        <v>759</v>
      </c>
      <c r="M929" s="85">
        <v>0</v>
      </c>
      <c r="N929" s="82" t="s">
        <v>10886</v>
      </c>
      <c r="O929" s="83"/>
    </row>
    <row r="930" spans="1:15" ht="22.5" customHeight="1">
      <c r="A930" s="85">
        <v>766589657993298</v>
      </c>
      <c r="B930" s="82" t="s">
        <v>10688</v>
      </c>
      <c r="C930" s="82" t="s">
        <v>10887</v>
      </c>
      <c r="D930" s="82" t="s">
        <v>10888</v>
      </c>
      <c r="E930" s="82">
        <v>6283151330372</v>
      </c>
      <c r="F930" s="86">
        <v>45834</v>
      </c>
      <c r="G930" s="87">
        <v>382</v>
      </c>
      <c r="H930" s="88">
        <v>34841.437632135305</v>
      </c>
      <c r="I930" s="89">
        <v>11</v>
      </c>
      <c r="J930" s="90">
        <v>16480</v>
      </c>
      <c r="K930" s="85">
        <v>4</v>
      </c>
      <c r="L930" s="85">
        <v>7</v>
      </c>
      <c r="M930" s="85">
        <v>0</v>
      </c>
      <c r="N930" s="82" t="s">
        <v>10889</v>
      </c>
      <c r="O930" s="83"/>
    </row>
    <row r="931" spans="1:15" ht="22.5" customHeight="1">
      <c r="A931" s="85">
        <v>766589657993298</v>
      </c>
      <c r="B931" s="82" t="s">
        <v>10688</v>
      </c>
      <c r="C931" s="82" t="s">
        <v>10869</v>
      </c>
      <c r="D931" s="82" t="s">
        <v>10870</v>
      </c>
      <c r="E931" s="82">
        <v>6281230995752</v>
      </c>
      <c r="F931" s="86">
        <v>45834</v>
      </c>
      <c r="G931" s="87">
        <v>814</v>
      </c>
      <c r="H931" s="88">
        <v>16858.606557377047</v>
      </c>
      <c r="I931" s="89">
        <v>33</v>
      </c>
      <c r="J931" s="90">
        <v>16454</v>
      </c>
      <c r="K931" s="85">
        <v>10</v>
      </c>
      <c r="L931" s="85">
        <v>583</v>
      </c>
      <c r="M931" s="85">
        <v>0</v>
      </c>
      <c r="N931" s="82" t="s">
        <v>10871</v>
      </c>
      <c r="O931" s="83"/>
    </row>
    <row r="932" spans="1:15" ht="22.5" customHeight="1">
      <c r="A932" s="85">
        <v>766589657993298</v>
      </c>
      <c r="B932" s="82" t="s">
        <v>10688</v>
      </c>
      <c r="C932" s="82" t="s">
        <v>10877</v>
      </c>
      <c r="D932" s="82" t="s">
        <v>861</v>
      </c>
      <c r="E932" s="82">
        <v>6289617461806</v>
      </c>
      <c r="F932" s="86">
        <v>45834</v>
      </c>
      <c r="G932" s="87">
        <v>904</v>
      </c>
      <c r="H932" s="88">
        <v>15617.757009345794</v>
      </c>
      <c r="I932" s="89">
        <v>15</v>
      </c>
      <c r="J932" s="90">
        <v>16711</v>
      </c>
      <c r="K932" s="85">
        <v>1</v>
      </c>
      <c r="L932" s="85">
        <v>1</v>
      </c>
      <c r="M932" s="85">
        <v>0</v>
      </c>
      <c r="N932" s="82" t="s">
        <v>10878</v>
      </c>
      <c r="O932" s="83"/>
    </row>
    <row r="933" spans="1:15" ht="22.5" customHeight="1">
      <c r="A933" s="85">
        <v>766589657993298</v>
      </c>
      <c r="B933" s="82" t="s">
        <v>10688</v>
      </c>
      <c r="C933" s="82" t="s">
        <v>10879</v>
      </c>
      <c r="D933" s="82" t="s">
        <v>10880</v>
      </c>
      <c r="E933" s="82">
        <v>6281215851833</v>
      </c>
      <c r="F933" s="86">
        <v>45834</v>
      </c>
      <c r="G933" s="87">
        <v>240</v>
      </c>
      <c r="H933" s="88">
        <v>57003.546099290783</v>
      </c>
      <c r="I933" s="89">
        <v>13</v>
      </c>
      <c r="J933" s="90">
        <v>16075</v>
      </c>
      <c r="K933" s="85">
        <v>1</v>
      </c>
      <c r="L933" s="85">
        <v>0</v>
      </c>
      <c r="M933" s="85">
        <v>0</v>
      </c>
      <c r="N933" s="82" t="s">
        <v>10881</v>
      </c>
      <c r="O933" s="83"/>
    </row>
    <row r="934" spans="1:15" ht="22.5" customHeight="1">
      <c r="A934" s="85">
        <v>766589657993298</v>
      </c>
      <c r="B934" s="82" t="s">
        <v>10688</v>
      </c>
      <c r="C934" s="82" t="s">
        <v>10836</v>
      </c>
      <c r="D934" s="82" t="s">
        <v>780</v>
      </c>
      <c r="E934" s="82">
        <v>6283866009989</v>
      </c>
      <c r="F934" s="86">
        <v>45834</v>
      </c>
      <c r="G934" s="87">
        <v>544</v>
      </c>
      <c r="H934" s="88">
        <v>26727.272727272728</v>
      </c>
      <c r="I934" s="89">
        <v>16</v>
      </c>
      <c r="J934" s="90">
        <v>15876</v>
      </c>
      <c r="K934" s="85">
        <v>0</v>
      </c>
      <c r="L934" s="85">
        <v>290</v>
      </c>
      <c r="M934" s="85">
        <v>0</v>
      </c>
      <c r="N934" s="82" t="s">
        <v>10837</v>
      </c>
      <c r="O934" s="83"/>
    </row>
    <row r="935" spans="1:15" ht="22.5" customHeight="1">
      <c r="A935" s="85">
        <v>766589657993298</v>
      </c>
      <c r="B935" s="82" t="s">
        <v>10688</v>
      </c>
      <c r="C935" s="82" t="s">
        <v>689</v>
      </c>
      <c r="D935" s="82" t="s">
        <v>10923</v>
      </c>
      <c r="E935" s="82">
        <v>6282176695820</v>
      </c>
      <c r="F935" s="86">
        <v>45834</v>
      </c>
      <c r="G935" s="87">
        <v>755</v>
      </c>
      <c r="H935" s="88">
        <v>18643.610785463072</v>
      </c>
      <c r="I935" s="89">
        <v>11</v>
      </c>
      <c r="J935" s="90">
        <v>15903</v>
      </c>
      <c r="K935" s="85">
        <v>1</v>
      </c>
      <c r="L935" s="85">
        <v>244</v>
      </c>
      <c r="M935" s="85">
        <v>1</v>
      </c>
      <c r="N935" s="82" t="s">
        <v>10921</v>
      </c>
      <c r="O935" s="83"/>
    </row>
    <row r="936" spans="1:15" ht="22.5" customHeight="1">
      <c r="A936" s="85">
        <v>766589657993298</v>
      </c>
      <c r="B936" s="82" t="s">
        <v>10688</v>
      </c>
      <c r="C936" s="82" t="s">
        <v>10822</v>
      </c>
      <c r="D936" s="82" t="s">
        <v>676</v>
      </c>
      <c r="E936" s="82">
        <v>6281316155059</v>
      </c>
      <c r="F936" s="86">
        <v>45834</v>
      </c>
      <c r="G936" s="87">
        <v>259</v>
      </c>
      <c r="H936" s="88">
        <v>59850.533807829182</v>
      </c>
      <c r="I936" s="89">
        <v>13</v>
      </c>
      <c r="J936" s="90">
        <v>16818</v>
      </c>
      <c r="K936" s="85">
        <v>3</v>
      </c>
      <c r="L936" s="85">
        <v>24</v>
      </c>
      <c r="M936" s="85">
        <v>1</v>
      </c>
      <c r="N936" s="82" t="s">
        <v>10823</v>
      </c>
      <c r="O936" s="83"/>
    </row>
    <row r="937" spans="1:15" ht="22.5" customHeight="1">
      <c r="A937" s="85">
        <v>766589657993298</v>
      </c>
      <c r="B937" s="82" t="s">
        <v>10688</v>
      </c>
      <c r="C937" s="82" t="s">
        <v>769</v>
      </c>
      <c r="D937" s="82" t="s">
        <v>764</v>
      </c>
      <c r="E937" s="82">
        <v>6287778562681</v>
      </c>
      <c r="F937" s="86">
        <v>45834</v>
      </c>
      <c r="G937" s="87">
        <v>318</v>
      </c>
      <c r="H937" s="88">
        <v>43905.044510385756</v>
      </c>
      <c r="I937" s="89">
        <v>11</v>
      </c>
      <c r="J937" s="90">
        <v>14796</v>
      </c>
      <c r="K937" s="85">
        <v>1</v>
      </c>
      <c r="L937" s="85">
        <v>125</v>
      </c>
      <c r="M937" s="85">
        <v>0</v>
      </c>
      <c r="N937" s="82" t="s">
        <v>10882</v>
      </c>
      <c r="O937" s="83"/>
    </row>
    <row r="938" spans="1:15" ht="22.5" customHeight="1">
      <c r="A938" s="85">
        <v>766589657993298</v>
      </c>
      <c r="B938" s="82" t="s">
        <v>10688</v>
      </c>
      <c r="C938" s="82" t="s">
        <v>10786</v>
      </c>
      <c r="D938" s="82" t="s">
        <v>739</v>
      </c>
      <c r="E938" s="82">
        <v>628122102657</v>
      </c>
      <c r="F938" s="86">
        <v>45834</v>
      </c>
      <c r="G938" s="87">
        <v>434</v>
      </c>
      <c r="H938" s="88">
        <v>31808.333333333332</v>
      </c>
      <c r="I938" s="89">
        <v>14</v>
      </c>
      <c r="J938" s="90">
        <v>15268</v>
      </c>
      <c r="K938" s="85">
        <v>3</v>
      </c>
      <c r="L938" s="85">
        <v>120</v>
      </c>
      <c r="M938" s="85">
        <v>0</v>
      </c>
      <c r="N938" s="82" t="s">
        <v>10787</v>
      </c>
      <c r="O938" s="83"/>
    </row>
    <row r="939" spans="1:15" ht="22.5" customHeight="1">
      <c r="A939" s="85">
        <v>766589657993298</v>
      </c>
      <c r="B939" s="82" t="s">
        <v>10688</v>
      </c>
      <c r="C939" s="82" t="s">
        <v>10762</v>
      </c>
      <c r="D939" s="82" t="s">
        <v>10763</v>
      </c>
      <c r="E939" s="82">
        <v>6285210107607</v>
      </c>
      <c r="F939" s="86">
        <v>45834</v>
      </c>
      <c r="G939" s="87">
        <v>997</v>
      </c>
      <c r="H939" s="88">
        <v>16688.334817453248</v>
      </c>
      <c r="I939" s="89">
        <v>9</v>
      </c>
      <c r="J939" s="90">
        <v>18741</v>
      </c>
      <c r="K939" s="85">
        <v>0</v>
      </c>
      <c r="L939" s="85">
        <v>284</v>
      </c>
      <c r="M939" s="85">
        <v>0</v>
      </c>
      <c r="N939" s="82" t="s">
        <v>10764</v>
      </c>
      <c r="O939" s="83"/>
    </row>
    <row r="940" spans="1:15" ht="22.5" customHeight="1">
      <c r="A940" s="85">
        <v>766589657993298</v>
      </c>
      <c r="B940" s="82" t="s">
        <v>10688</v>
      </c>
      <c r="C940" s="82" t="s">
        <v>10767</v>
      </c>
      <c r="D940" s="82" t="s">
        <v>10768</v>
      </c>
      <c r="E940" s="82">
        <v>6281519225886</v>
      </c>
      <c r="F940" s="86">
        <v>45834</v>
      </c>
      <c r="G940" s="87">
        <v>667</v>
      </c>
      <c r="H940" s="88">
        <v>20688.741721854305</v>
      </c>
      <c r="I940" s="89">
        <v>12</v>
      </c>
      <c r="J940" s="90">
        <v>15620</v>
      </c>
      <c r="K940" s="85">
        <v>4</v>
      </c>
      <c r="L940" s="85">
        <v>3</v>
      </c>
      <c r="M940" s="85">
        <v>0</v>
      </c>
      <c r="N940" s="82" t="s">
        <v>10769</v>
      </c>
      <c r="O940" s="83"/>
    </row>
    <row r="941" spans="1:15" ht="22.5" customHeight="1">
      <c r="A941" s="85">
        <v>766589657993298</v>
      </c>
      <c r="B941" s="82" t="s">
        <v>10688</v>
      </c>
      <c r="C941" s="82" t="s">
        <v>10797</v>
      </c>
      <c r="D941" s="82" t="s">
        <v>10798</v>
      </c>
      <c r="E941" s="82">
        <v>6285853370682</v>
      </c>
      <c r="F941" s="86">
        <v>45834</v>
      </c>
      <c r="G941" s="87">
        <v>406</v>
      </c>
      <c r="H941" s="88">
        <v>35117.256637168139</v>
      </c>
      <c r="I941" s="89">
        <v>6</v>
      </c>
      <c r="J941" s="90">
        <v>15873</v>
      </c>
      <c r="K941" s="85">
        <v>1</v>
      </c>
      <c r="L941" s="85">
        <v>124</v>
      </c>
      <c r="M941" s="85">
        <v>0</v>
      </c>
      <c r="N941" s="82" t="s">
        <v>10799</v>
      </c>
      <c r="O941" s="83"/>
    </row>
    <row r="942" spans="1:15" ht="22.5" customHeight="1">
      <c r="A942" s="85">
        <v>766589657993298</v>
      </c>
      <c r="B942" s="82" t="s">
        <v>10688</v>
      </c>
      <c r="C942" s="82" t="s">
        <v>10800</v>
      </c>
      <c r="D942" s="82" t="s">
        <v>472</v>
      </c>
      <c r="E942" s="82">
        <v>628114170888</v>
      </c>
      <c r="F942" s="86">
        <v>45834</v>
      </c>
      <c r="G942" s="87">
        <v>577</v>
      </c>
      <c r="H942" s="88">
        <v>20415.300546448088</v>
      </c>
      <c r="I942" s="89">
        <v>15</v>
      </c>
      <c r="J942" s="90">
        <v>14944</v>
      </c>
      <c r="K942" s="85">
        <v>1</v>
      </c>
      <c r="L942" s="85">
        <v>0</v>
      </c>
      <c r="M942" s="85">
        <v>0</v>
      </c>
      <c r="N942" s="82" t="s">
        <v>10801</v>
      </c>
      <c r="O942" s="83"/>
    </row>
    <row r="943" spans="1:15" ht="22.5" customHeight="1">
      <c r="A943" s="85">
        <v>766589657993298</v>
      </c>
      <c r="B943" s="82" t="s">
        <v>10688</v>
      </c>
      <c r="C943" s="82" t="s">
        <v>10752</v>
      </c>
      <c r="D943" s="82" t="s">
        <v>10753</v>
      </c>
      <c r="E943" s="82">
        <v>6281340892328</v>
      </c>
      <c r="F943" s="86">
        <v>45834</v>
      </c>
      <c r="G943" s="87">
        <v>1027</v>
      </c>
      <c r="H943" s="88">
        <v>12052.715654952077</v>
      </c>
      <c r="I943" s="89">
        <v>34</v>
      </c>
      <c r="J943" s="90">
        <v>15090</v>
      </c>
      <c r="K943" s="85">
        <v>0</v>
      </c>
      <c r="L943" s="85">
        <v>387</v>
      </c>
      <c r="M943" s="85">
        <v>0</v>
      </c>
      <c r="N943" s="82" t="s">
        <v>10754</v>
      </c>
      <c r="O943" s="83"/>
    </row>
    <row r="944" spans="1:15" ht="22.5" customHeight="1">
      <c r="A944" s="85">
        <v>768362231010540</v>
      </c>
      <c r="B944" s="82" t="s">
        <v>10844</v>
      </c>
      <c r="C944" s="82" t="s">
        <v>10949</v>
      </c>
      <c r="D944" s="82" t="s">
        <v>10950</v>
      </c>
      <c r="E944" s="82"/>
      <c r="F944" s="86">
        <v>45834</v>
      </c>
      <c r="G944" s="87">
        <v>242</v>
      </c>
      <c r="H944" s="88">
        <v>61384.353741496598</v>
      </c>
      <c r="I944" s="89">
        <v>12</v>
      </c>
      <c r="J944" s="90">
        <v>18047</v>
      </c>
      <c r="K944" s="85">
        <v>2</v>
      </c>
      <c r="L944" s="85">
        <v>83</v>
      </c>
      <c r="M944" s="85">
        <v>0</v>
      </c>
      <c r="N944" s="82" t="s">
        <v>10951</v>
      </c>
      <c r="O944" s="83"/>
    </row>
    <row r="945" spans="1:15" ht="22.5" customHeight="1">
      <c r="A945" s="85">
        <v>206726568613432</v>
      </c>
      <c r="B945" s="82" t="s">
        <v>10900</v>
      </c>
      <c r="C945" s="82" t="s">
        <v>10901</v>
      </c>
      <c r="D945" s="82" t="s">
        <v>10902</v>
      </c>
      <c r="E945" s="82">
        <v>6282194694492</v>
      </c>
      <c r="F945" s="86">
        <v>45834</v>
      </c>
      <c r="G945" s="87">
        <v>581</v>
      </c>
      <c r="H945" s="88">
        <v>20345.146379044687</v>
      </c>
      <c r="I945" s="89">
        <v>19</v>
      </c>
      <c r="J945" s="90">
        <v>13204</v>
      </c>
      <c r="K945" s="85">
        <v>4</v>
      </c>
      <c r="L945" s="85">
        <v>157</v>
      </c>
      <c r="M945" s="85">
        <v>0</v>
      </c>
      <c r="N945" s="82" t="s">
        <v>10903</v>
      </c>
      <c r="O945" s="83"/>
    </row>
    <row r="946" spans="1:15" ht="22.5" customHeight="1">
      <c r="A946" s="85">
        <v>759724529202804</v>
      </c>
      <c r="B946" s="82" t="s">
        <v>10621</v>
      </c>
      <c r="C946" s="82" t="s">
        <v>10952</v>
      </c>
      <c r="D946" s="82" t="s">
        <v>1214</v>
      </c>
      <c r="E946" s="82">
        <v>628174741283</v>
      </c>
      <c r="F946" s="86">
        <v>45835</v>
      </c>
      <c r="G946" s="87">
        <v>54</v>
      </c>
      <c r="H946" s="88">
        <v>9481.4814814814818</v>
      </c>
      <c r="I946" s="89">
        <v>0</v>
      </c>
      <c r="J946" s="90">
        <v>512</v>
      </c>
      <c r="K946" s="85">
        <v>0</v>
      </c>
      <c r="L946" s="85">
        <v>0</v>
      </c>
      <c r="M946" s="85">
        <v>0</v>
      </c>
      <c r="N946" s="82" t="s">
        <v>10953</v>
      </c>
      <c r="O946" s="83"/>
    </row>
    <row r="947" spans="1:15" ht="22.5" customHeight="1">
      <c r="A947" s="85">
        <v>759724529202804</v>
      </c>
      <c r="B947" s="82" t="s">
        <v>10621</v>
      </c>
      <c r="C947" s="82" t="s">
        <v>10954</v>
      </c>
      <c r="D947" s="82" t="s">
        <v>1214</v>
      </c>
      <c r="E947" s="82">
        <v>628174741283</v>
      </c>
      <c r="F947" s="86">
        <v>45835</v>
      </c>
      <c r="G947" s="87">
        <v>1146</v>
      </c>
      <c r="H947" s="88">
        <v>9891.98144466534</v>
      </c>
      <c r="I947" s="89">
        <v>41</v>
      </c>
      <c r="J947" s="90">
        <v>14927</v>
      </c>
      <c r="K947" s="85">
        <v>3</v>
      </c>
      <c r="L947" s="85">
        <v>2</v>
      </c>
      <c r="M947" s="85">
        <v>0</v>
      </c>
      <c r="N947" s="82" t="s">
        <v>10955</v>
      </c>
      <c r="O947" s="83"/>
    </row>
    <row r="948" spans="1:15" ht="22.5" customHeight="1">
      <c r="A948" s="85">
        <v>759724529202804</v>
      </c>
      <c r="B948" s="82" t="s">
        <v>10621</v>
      </c>
      <c r="C948" s="82" t="s">
        <v>10956</v>
      </c>
      <c r="D948" s="82" t="s">
        <v>10957</v>
      </c>
      <c r="E948" s="82">
        <v>6281649155643</v>
      </c>
      <c r="F948" s="86">
        <v>45835</v>
      </c>
      <c r="G948" s="87">
        <v>526</v>
      </c>
      <c r="H948" s="88">
        <v>23533.333333333336</v>
      </c>
      <c r="I948" s="89">
        <v>11</v>
      </c>
      <c r="J948" s="90">
        <v>14826</v>
      </c>
      <c r="K948" s="85">
        <v>0</v>
      </c>
      <c r="L948" s="85">
        <v>138</v>
      </c>
      <c r="M948" s="85">
        <v>0</v>
      </c>
      <c r="N948" s="82" t="s">
        <v>10958</v>
      </c>
      <c r="O948" s="83"/>
    </row>
    <row r="949" spans="1:15" ht="22.5" customHeight="1">
      <c r="A949" s="85">
        <v>759724529202804</v>
      </c>
      <c r="B949" s="82" t="s">
        <v>10621</v>
      </c>
      <c r="C949" s="82" t="s">
        <v>10959</v>
      </c>
      <c r="D949" s="82" t="s">
        <v>1198</v>
      </c>
      <c r="E949" s="82">
        <v>6281248936324</v>
      </c>
      <c r="F949" s="86">
        <v>45835</v>
      </c>
      <c r="G949" s="87">
        <v>944</v>
      </c>
      <c r="H949" s="88">
        <v>11723.655121591748</v>
      </c>
      <c r="I949" s="89">
        <v>50</v>
      </c>
      <c r="J949" s="90">
        <v>15909</v>
      </c>
      <c r="K949" s="85">
        <v>7</v>
      </c>
      <c r="L949" s="85">
        <v>185</v>
      </c>
      <c r="M949" s="85">
        <v>0</v>
      </c>
      <c r="N949" s="82" t="s">
        <v>10960</v>
      </c>
      <c r="O949" s="83"/>
    </row>
    <row r="950" spans="1:15" ht="22.5" customHeight="1">
      <c r="A950" s="85">
        <v>759724529202804</v>
      </c>
      <c r="B950" s="82" t="s">
        <v>10621</v>
      </c>
      <c r="C950" s="82" t="s">
        <v>10961</v>
      </c>
      <c r="D950" s="82" t="s">
        <v>10962</v>
      </c>
      <c r="E950" s="82">
        <v>628158830325</v>
      </c>
      <c r="F950" s="86">
        <v>45835</v>
      </c>
      <c r="G950" s="87">
        <v>213</v>
      </c>
      <c r="H950" s="88">
        <v>61743.697478991598</v>
      </c>
      <c r="I950" s="89">
        <v>7</v>
      </c>
      <c r="J950" s="90">
        <v>14695</v>
      </c>
      <c r="K950" s="85">
        <v>2</v>
      </c>
      <c r="L950" s="85">
        <v>7</v>
      </c>
      <c r="M950" s="85">
        <v>0</v>
      </c>
      <c r="N950" s="82" t="s">
        <v>10963</v>
      </c>
      <c r="O950" s="83"/>
    </row>
    <row r="951" spans="1:15" ht="22.5" customHeight="1">
      <c r="A951" s="85">
        <v>759724529202804</v>
      </c>
      <c r="B951" s="82" t="s">
        <v>10621</v>
      </c>
      <c r="C951" s="82" t="s">
        <v>1169</v>
      </c>
      <c r="D951" s="82" t="s">
        <v>1165</v>
      </c>
      <c r="E951" s="82">
        <v>6281399731413</v>
      </c>
      <c r="F951" s="86">
        <v>45835</v>
      </c>
      <c r="G951" s="87">
        <v>496</v>
      </c>
      <c r="H951" s="88">
        <v>22941.362916006339</v>
      </c>
      <c r="I951" s="89">
        <v>14</v>
      </c>
      <c r="J951" s="90">
        <v>14476</v>
      </c>
      <c r="K951" s="85">
        <v>1</v>
      </c>
      <c r="L951" s="85">
        <v>82</v>
      </c>
      <c r="M951" s="85">
        <v>0</v>
      </c>
      <c r="N951" s="82" t="s">
        <v>10936</v>
      </c>
      <c r="O951" s="83"/>
    </row>
    <row r="952" spans="1:15" ht="22.5" customHeight="1">
      <c r="A952" s="85">
        <v>759724529202804</v>
      </c>
      <c r="B952" s="82" t="s">
        <v>10621</v>
      </c>
      <c r="C952" s="82" t="s">
        <v>10925</v>
      </c>
      <c r="D952" s="82" t="s">
        <v>10926</v>
      </c>
      <c r="E952" s="82">
        <v>6281233038880</v>
      </c>
      <c r="F952" s="86">
        <v>45835</v>
      </c>
      <c r="G952" s="87">
        <v>320</v>
      </c>
      <c r="H952" s="88">
        <v>41504</v>
      </c>
      <c r="I952" s="89">
        <v>17</v>
      </c>
      <c r="J952" s="90">
        <v>15564</v>
      </c>
      <c r="K952" s="85">
        <v>3</v>
      </c>
      <c r="L952" s="85">
        <v>26</v>
      </c>
      <c r="M952" s="85">
        <v>0</v>
      </c>
      <c r="N952" s="82" t="s">
        <v>10927</v>
      </c>
      <c r="O952" s="83"/>
    </row>
    <row r="953" spans="1:15" ht="22.5" customHeight="1">
      <c r="A953" s="85">
        <v>759724529202804</v>
      </c>
      <c r="B953" s="82" t="s">
        <v>10621</v>
      </c>
      <c r="C953" s="82" t="s">
        <v>10928</v>
      </c>
      <c r="D953" s="82" t="s">
        <v>1112</v>
      </c>
      <c r="E953" s="82">
        <v>6285777110340</v>
      </c>
      <c r="F953" s="86">
        <v>45835</v>
      </c>
      <c r="G953" s="87">
        <v>296</v>
      </c>
      <c r="H953" s="88">
        <v>46022.284122562676</v>
      </c>
      <c r="I953" s="89">
        <v>7</v>
      </c>
      <c r="J953" s="90">
        <v>16522</v>
      </c>
      <c r="K953" s="85">
        <v>2</v>
      </c>
      <c r="L953" s="85">
        <v>53</v>
      </c>
      <c r="M953" s="85">
        <v>0</v>
      </c>
      <c r="N953" s="82" t="s">
        <v>10929</v>
      </c>
      <c r="O953" s="83"/>
    </row>
    <row r="954" spans="1:15" ht="22.5" customHeight="1">
      <c r="A954" s="85">
        <v>759724529202804</v>
      </c>
      <c r="B954" s="82" t="s">
        <v>10621</v>
      </c>
      <c r="C954" s="82" t="s">
        <v>10904</v>
      </c>
      <c r="D954" s="82" t="s">
        <v>10905</v>
      </c>
      <c r="E954" s="82">
        <v>6285711667433</v>
      </c>
      <c r="F954" s="86">
        <v>45835</v>
      </c>
      <c r="G954" s="87">
        <v>1016</v>
      </c>
      <c r="H954" s="88">
        <v>14663.311985361392</v>
      </c>
      <c r="I954" s="89">
        <v>22</v>
      </c>
      <c r="J954" s="90">
        <v>16027</v>
      </c>
      <c r="K954" s="85">
        <v>3</v>
      </c>
      <c r="L954" s="85">
        <v>274</v>
      </c>
      <c r="M954" s="85">
        <v>1</v>
      </c>
      <c r="N954" s="82" t="s">
        <v>10906</v>
      </c>
      <c r="O954" s="83"/>
    </row>
    <row r="955" spans="1:15" ht="22.5" customHeight="1">
      <c r="A955" s="85">
        <v>759724529202804</v>
      </c>
      <c r="B955" s="82" t="s">
        <v>10621</v>
      </c>
      <c r="C955" s="82" t="s">
        <v>10907</v>
      </c>
      <c r="D955" s="82" t="s">
        <v>943</v>
      </c>
      <c r="E955" s="82">
        <v>6285775986977</v>
      </c>
      <c r="F955" s="86">
        <v>45835</v>
      </c>
      <c r="G955" s="87">
        <v>387</v>
      </c>
      <c r="H955" s="88">
        <v>34512.3595505618</v>
      </c>
      <c r="I955" s="89">
        <v>8</v>
      </c>
      <c r="J955" s="90">
        <v>15358</v>
      </c>
      <c r="K955" s="85">
        <v>0</v>
      </c>
      <c r="L955" s="85">
        <v>93</v>
      </c>
      <c r="M955" s="85">
        <v>0</v>
      </c>
      <c r="N955" s="82" t="s">
        <v>10908</v>
      </c>
      <c r="O955" s="83"/>
    </row>
    <row r="956" spans="1:15" ht="22.5" customHeight="1">
      <c r="A956" s="85">
        <v>759724529202804</v>
      </c>
      <c r="B956" s="82" t="s">
        <v>10621</v>
      </c>
      <c r="C956" s="82" t="s">
        <v>10912</v>
      </c>
      <c r="D956" s="82" t="s">
        <v>1029</v>
      </c>
      <c r="E956" s="82">
        <v>6281253792753</v>
      </c>
      <c r="F956" s="86">
        <v>45835</v>
      </c>
      <c r="G956" s="87">
        <v>1269</v>
      </c>
      <c r="H956" s="88">
        <v>10727.035830618892</v>
      </c>
      <c r="I956" s="89">
        <v>25</v>
      </c>
      <c r="J956" s="90">
        <v>16466</v>
      </c>
      <c r="K956" s="85">
        <v>0</v>
      </c>
      <c r="L956" s="85">
        <v>384</v>
      </c>
      <c r="M956" s="85">
        <v>0</v>
      </c>
      <c r="N956" s="82" t="s">
        <v>10913</v>
      </c>
      <c r="O956" s="83"/>
    </row>
    <row r="957" spans="1:15" ht="22.5" customHeight="1">
      <c r="A957" s="85">
        <v>759724529202804</v>
      </c>
      <c r="B957" s="82" t="s">
        <v>10621</v>
      </c>
      <c r="C957" s="82" t="s">
        <v>10922</v>
      </c>
      <c r="D957" s="82" t="s">
        <v>1021</v>
      </c>
      <c r="E957" s="82">
        <v>6282122880328</v>
      </c>
      <c r="F957" s="86">
        <v>45835</v>
      </c>
      <c r="G957" s="87">
        <v>236</v>
      </c>
      <c r="H957" s="88">
        <v>60885.608856088562</v>
      </c>
      <c r="I957" s="89">
        <v>12</v>
      </c>
      <c r="J957" s="90">
        <v>16500</v>
      </c>
      <c r="K957" s="85">
        <v>1</v>
      </c>
      <c r="L957" s="85">
        <v>50</v>
      </c>
      <c r="M957" s="85">
        <v>0</v>
      </c>
      <c r="N957" s="82" t="s">
        <v>10914</v>
      </c>
      <c r="O957" s="83"/>
    </row>
    <row r="958" spans="1:15" ht="22.5" customHeight="1">
      <c r="A958" s="85">
        <v>759724529202804</v>
      </c>
      <c r="B958" s="82" t="s">
        <v>10621</v>
      </c>
      <c r="C958" s="82" t="s">
        <v>10804</v>
      </c>
      <c r="D958" s="82" t="s">
        <v>607</v>
      </c>
      <c r="E958" s="82">
        <v>6288215545661</v>
      </c>
      <c r="F958" s="86">
        <v>45835</v>
      </c>
      <c r="G958" s="87">
        <v>805</v>
      </c>
      <c r="H958" s="88">
        <v>15416.419386745796</v>
      </c>
      <c r="I958" s="89">
        <v>30</v>
      </c>
      <c r="J958" s="90">
        <v>15586</v>
      </c>
      <c r="K958" s="85">
        <v>2</v>
      </c>
      <c r="L958" s="85">
        <v>345</v>
      </c>
      <c r="M958" s="85">
        <v>0</v>
      </c>
      <c r="N958" s="82" t="s">
        <v>10805</v>
      </c>
      <c r="O958" s="83"/>
    </row>
    <row r="959" spans="1:15" ht="22.5" customHeight="1">
      <c r="A959" s="85">
        <v>759724529202804</v>
      </c>
      <c r="B959" s="82" t="s">
        <v>10621</v>
      </c>
      <c r="C959" s="82" t="s">
        <v>332</v>
      </c>
      <c r="D959" s="82" t="s">
        <v>10708</v>
      </c>
      <c r="E959" s="82">
        <v>6282350524788</v>
      </c>
      <c r="F959" s="86">
        <v>45835</v>
      </c>
      <c r="G959" s="87">
        <v>772</v>
      </c>
      <c r="H959" s="88">
        <v>16646.121147715196</v>
      </c>
      <c r="I959" s="89">
        <v>22</v>
      </c>
      <c r="J959" s="90">
        <v>15664</v>
      </c>
      <c r="K959" s="85">
        <v>4</v>
      </c>
      <c r="L959" s="85">
        <v>2</v>
      </c>
      <c r="M959" s="85">
        <v>0</v>
      </c>
      <c r="N959" s="82" t="s">
        <v>10709</v>
      </c>
      <c r="O959" s="83"/>
    </row>
    <row r="960" spans="1:15" ht="22.5" customHeight="1">
      <c r="A960" s="85">
        <v>759724529202804</v>
      </c>
      <c r="B960" s="82" t="s">
        <v>10621</v>
      </c>
      <c r="C960" s="82" t="s">
        <v>665</v>
      </c>
      <c r="D960" s="82" t="s">
        <v>659</v>
      </c>
      <c r="E960" s="82">
        <v>6285757057088</v>
      </c>
      <c r="F960" s="86">
        <v>45835</v>
      </c>
      <c r="G960" s="87">
        <v>738</v>
      </c>
      <c r="H960" s="88">
        <v>17268.608414239479</v>
      </c>
      <c r="I960" s="89">
        <v>22</v>
      </c>
      <c r="J960" s="90">
        <v>16008</v>
      </c>
      <c r="K960" s="85">
        <v>2</v>
      </c>
      <c r="L960" s="85">
        <v>0</v>
      </c>
      <c r="M960" s="85">
        <v>0</v>
      </c>
      <c r="N960" s="82" t="s">
        <v>10636</v>
      </c>
      <c r="O960" s="83"/>
    </row>
    <row r="961" spans="1:15" ht="22.5" customHeight="1">
      <c r="A961" s="85">
        <v>174904221976312</v>
      </c>
      <c r="B961" s="82" t="s">
        <v>10651</v>
      </c>
      <c r="C961" s="82" t="s">
        <v>10937</v>
      </c>
      <c r="D961" s="82" t="s">
        <v>10938</v>
      </c>
      <c r="E961" s="82">
        <v>6281938563373</v>
      </c>
      <c r="F961" s="86">
        <v>45835</v>
      </c>
      <c r="G961" s="87">
        <v>229</v>
      </c>
      <c r="H961" s="88">
        <v>49141.791044776117</v>
      </c>
      <c r="I961" s="89">
        <v>6</v>
      </c>
      <c r="J961" s="90">
        <v>13170</v>
      </c>
      <c r="K961" s="85">
        <v>1</v>
      </c>
      <c r="L961" s="85">
        <v>95</v>
      </c>
      <c r="M961" s="85">
        <v>0</v>
      </c>
      <c r="N961" s="82" t="s">
        <v>10939</v>
      </c>
      <c r="O961" s="83"/>
    </row>
    <row r="962" spans="1:15" ht="22.5" customHeight="1">
      <c r="A962" s="85">
        <v>174904221976312</v>
      </c>
      <c r="B962" s="82" t="s">
        <v>10651</v>
      </c>
      <c r="C962" s="82" t="s">
        <v>10940</v>
      </c>
      <c r="D962" s="82" t="s">
        <v>10941</v>
      </c>
      <c r="E962" s="82">
        <v>6285266218699</v>
      </c>
      <c r="F962" s="86">
        <v>45835</v>
      </c>
      <c r="G962" s="87">
        <v>695</v>
      </c>
      <c r="H962" s="88">
        <v>15195.3125</v>
      </c>
      <c r="I962" s="89">
        <v>28</v>
      </c>
      <c r="J962" s="90">
        <v>13615</v>
      </c>
      <c r="K962" s="85">
        <v>7</v>
      </c>
      <c r="L962" s="85">
        <v>380</v>
      </c>
      <c r="M962" s="85">
        <v>0</v>
      </c>
      <c r="N962" s="82" t="s">
        <v>10942</v>
      </c>
      <c r="O962" s="83"/>
    </row>
    <row r="963" spans="1:15" ht="22.5" customHeight="1">
      <c r="A963" s="85">
        <v>174904221976312</v>
      </c>
      <c r="B963" s="82" t="s">
        <v>10651</v>
      </c>
      <c r="C963" s="82" t="s">
        <v>10943</v>
      </c>
      <c r="D963" s="82" t="s">
        <v>10944</v>
      </c>
      <c r="E963" s="82">
        <v>6285240694097</v>
      </c>
      <c r="F963" s="86">
        <v>45835</v>
      </c>
      <c r="G963" s="87">
        <v>1066</v>
      </c>
      <c r="H963" s="88">
        <v>9433.0935251798564</v>
      </c>
      <c r="I963" s="89">
        <v>46</v>
      </c>
      <c r="J963" s="90">
        <v>13112</v>
      </c>
      <c r="K963" s="85">
        <v>5</v>
      </c>
      <c r="L963" s="85">
        <v>133</v>
      </c>
      <c r="M963" s="85">
        <v>1</v>
      </c>
      <c r="N963" s="82" t="s">
        <v>10945</v>
      </c>
      <c r="O963" s="83"/>
    </row>
    <row r="964" spans="1:15" ht="22.5" customHeight="1">
      <c r="A964" s="85">
        <v>174904221976312</v>
      </c>
      <c r="B964" s="82" t="s">
        <v>10651</v>
      </c>
      <c r="C964" s="82" t="s">
        <v>10930</v>
      </c>
      <c r="D964" s="82" t="s">
        <v>10931</v>
      </c>
      <c r="E964" s="82">
        <v>6282325874670</v>
      </c>
      <c r="F964" s="86">
        <v>45835</v>
      </c>
      <c r="G964" s="87">
        <v>1058</v>
      </c>
      <c r="H964" s="88">
        <v>10638.297872340425</v>
      </c>
      <c r="I964" s="89">
        <v>20</v>
      </c>
      <c r="J964" s="90">
        <v>13000</v>
      </c>
      <c r="K964" s="85">
        <v>4</v>
      </c>
      <c r="L964" s="85">
        <v>257</v>
      </c>
      <c r="M964" s="85">
        <v>0</v>
      </c>
      <c r="N964" s="82" t="s">
        <v>10932</v>
      </c>
      <c r="O964" s="83"/>
    </row>
    <row r="965" spans="1:15" ht="22.5" customHeight="1">
      <c r="A965" s="85">
        <v>174904221976312</v>
      </c>
      <c r="B965" s="82" t="s">
        <v>10651</v>
      </c>
      <c r="C965" s="82" t="s">
        <v>10915</v>
      </c>
      <c r="D965" s="82" t="s">
        <v>10674</v>
      </c>
      <c r="E965" s="82">
        <v>6282183184641</v>
      </c>
      <c r="F965" s="86">
        <v>45835</v>
      </c>
      <c r="G965" s="87">
        <v>626</v>
      </c>
      <c r="H965" s="88">
        <v>19107.231920199501</v>
      </c>
      <c r="I965" s="89">
        <v>38</v>
      </c>
      <c r="J965" s="90">
        <v>15324</v>
      </c>
      <c r="K965" s="85">
        <v>0</v>
      </c>
      <c r="L965" s="85">
        <v>15</v>
      </c>
      <c r="M965" s="85">
        <v>0</v>
      </c>
      <c r="N965" s="82" t="s">
        <v>10675</v>
      </c>
      <c r="O965" s="83"/>
    </row>
    <row r="966" spans="1:15" ht="22.5" customHeight="1">
      <c r="A966" s="85">
        <v>174904221976312</v>
      </c>
      <c r="B966" s="82" t="s">
        <v>10651</v>
      </c>
      <c r="C966" s="82" t="s">
        <v>10892</v>
      </c>
      <c r="D966" s="82" t="s">
        <v>10893</v>
      </c>
      <c r="E966" s="82">
        <v>6282399721881</v>
      </c>
      <c r="F966" s="86">
        <v>45835</v>
      </c>
      <c r="G966" s="87">
        <v>1168</v>
      </c>
      <c r="H966" s="88">
        <v>9872.2653493295711</v>
      </c>
      <c r="I966" s="89">
        <v>32</v>
      </c>
      <c r="J966" s="90">
        <v>13989</v>
      </c>
      <c r="K966" s="85">
        <v>0</v>
      </c>
      <c r="L966" s="85">
        <v>0</v>
      </c>
      <c r="M966" s="85">
        <v>0</v>
      </c>
      <c r="N966" s="82" t="s">
        <v>10894</v>
      </c>
      <c r="O966" s="83"/>
    </row>
    <row r="967" spans="1:15" ht="22.5" customHeight="1">
      <c r="A967" s="85">
        <v>174904221976312</v>
      </c>
      <c r="B967" s="82" t="s">
        <v>10651</v>
      </c>
      <c r="C967" s="82" t="s">
        <v>10895</v>
      </c>
      <c r="D967" s="82" t="s">
        <v>10896</v>
      </c>
      <c r="E967" s="82">
        <v>6281299907533</v>
      </c>
      <c r="F967" s="86">
        <v>45835</v>
      </c>
      <c r="G967" s="87">
        <v>204</v>
      </c>
      <c r="H967" s="88">
        <v>49615.044247787606</v>
      </c>
      <c r="I967" s="89">
        <v>4</v>
      </c>
      <c r="J967" s="90">
        <v>11213</v>
      </c>
      <c r="K967" s="85">
        <v>1</v>
      </c>
      <c r="L967" s="85">
        <v>2</v>
      </c>
      <c r="M967" s="85">
        <v>0</v>
      </c>
      <c r="N967" s="82" t="s">
        <v>10897</v>
      </c>
      <c r="O967" s="83"/>
    </row>
    <row r="968" spans="1:15" ht="22.5" customHeight="1">
      <c r="A968" s="85">
        <v>174904221976312</v>
      </c>
      <c r="B968" s="82" t="s">
        <v>10651</v>
      </c>
      <c r="C968" s="82" t="s">
        <v>10853</v>
      </c>
      <c r="D968" s="82" t="s">
        <v>10854</v>
      </c>
      <c r="E968" s="82">
        <v>6281393958199</v>
      </c>
      <c r="F968" s="86">
        <v>45835</v>
      </c>
      <c r="G968" s="87">
        <v>590</v>
      </c>
      <c r="H968" s="88">
        <v>20350.609756097561</v>
      </c>
      <c r="I968" s="89">
        <v>12</v>
      </c>
      <c r="J968" s="90">
        <v>13350</v>
      </c>
      <c r="K968" s="85">
        <v>5</v>
      </c>
      <c r="L968" s="85">
        <v>143</v>
      </c>
      <c r="M968" s="85">
        <v>0</v>
      </c>
      <c r="N968" s="82" t="s">
        <v>10855</v>
      </c>
      <c r="O968" s="83"/>
    </row>
    <row r="969" spans="1:15" ht="22.5" customHeight="1">
      <c r="A969" s="85">
        <v>174904221976312</v>
      </c>
      <c r="B969" s="82" t="s">
        <v>10651</v>
      </c>
      <c r="C969" s="82" t="s">
        <v>818</v>
      </c>
      <c r="D969" s="82" t="s">
        <v>812</v>
      </c>
      <c r="E969" s="82">
        <v>6287858585808</v>
      </c>
      <c r="F969" s="86">
        <v>45835</v>
      </c>
      <c r="G969" s="87">
        <v>668</v>
      </c>
      <c r="H969" s="88">
        <v>17970.588235294115</v>
      </c>
      <c r="I969" s="89">
        <v>27</v>
      </c>
      <c r="J969" s="90">
        <v>14053</v>
      </c>
      <c r="K969" s="85">
        <v>3</v>
      </c>
      <c r="L969" s="85">
        <v>211</v>
      </c>
      <c r="M969" s="85">
        <v>0</v>
      </c>
      <c r="N969" s="82" t="s">
        <v>10831</v>
      </c>
      <c r="O969" s="83"/>
    </row>
    <row r="970" spans="1:15" ht="22.5" customHeight="1">
      <c r="A970" s="85">
        <v>174904221976312</v>
      </c>
      <c r="B970" s="82" t="s">
        <v>10651</v>
      </c>
      <c r="C970" s="82" t="s">
        <v>10809</v>
      </c>
      <c r="D970" s="82" t="s">
        <v>634</v>
      </c>
      <c r="E970" s="82">
        <v>6282258886603</v>
      </c>
      <c r="F970" s="86">
        <v>45835</v>
      </c>
      <c r="G970" s="87">
        <v>277</v>
      </c>
      <c r="H970" s="88">
        <v>47402.597402597399</v>
      </c>
      <c r="I970" s="89">
        <v>10</v>
      </c>
      <c r="J970" s="90">
        <v>14600</v>
      </c>
      <c r="K970" s="85">
        <v>1</v>
      </c>
      <c r="L970" s="85">
        <v>92</v>
      </c>
      <c r="M970" s="85">
        <v>0</v>
      </c>
      <c r="N970" s="82" t="s">
        <v>10810</v>
      </c>
      <c r="O970" s="83"/>
    </row>
    <row r="971" spans="1:15" ht="22.5" customHeight="1">
      <c r="A971" s="85">
        <v>174904221976312</v>
      </c>
      <c r="B971" s="82" t="s">
        <v>10651</v>
      </c>
      <c r="C971" s="82" t="s">
        <v>311</v>
      </c>
      <c r="D971" s="82" t="s">
        <v>10737</v>
      </c>
      <c r="E971" s="82">
        <v>628988759290</v>
      </c>
      <c r="F971" s="86">
        <v>45835</v>
      </c>
      <c r="G971" s="87">
        <v>779</v>
      </c>
      <c r="H971" s="88">
        <v>13073.115860517435</v>
      </c>
      <c r="I971" s="89">
        <v>26</v>
      </c>
      <c r="J971" s="90">
        <v>11622</v>
      </c>
      <c r="K971" s="85">
        <v>2</v>
      </c>
      <c r="L971" s="85">
        <v>200</v>
      </c>
      <c r="M971" s="85">
        <v>0</v>
      </c>
      <c r="N971" s="82" t="s">
        <v>10738</v>
      </c>
      <c r="O971" s="83"/>
    </row>
    <row r="972" spans="1:15" ht="22.5" customHeight="1">
      <c r="A972" s="85">
        <v>174904221976312</v>
      </c>
      <c r="B972" s="82" t="s">
        <v>10651</v>
      </c>
      <c r="C972" s="82" t="s">
        <v>10778</v>
      </c>
      <c r="D972" s="82" t="s">
        <v>3140</v>
      </c>
      <c r="E972" s="82"/>
      <c r="F972" s="86">
        <v>45835</v>
      </c>
      <c r="G972" s="87">
        <v>4212</v>
      </c>
      <c r="H972" s="88">
        <v>2915.8263017081704</v>
      </c>
      <c r="I972" s="89">
        <v>65</v>
      </c>
      <c r="J972" s="90">
        <v>14168</v>
      </c>
      <c r="K972" s="85">
        <v>2</v>
      </c>
      <c r="L972" s="85">
        <v>862</v>
      </c>
      <c r="M972" s="85">
        <v>0</v>
      </c>
      <c r="N972" s="82" t="s">
        <v>10779</v>
      </c>
      <c r="O972" s="83"/>
    </row>
    <row r="973" spans="1:15" ht="22.5" customHeight="1">
      <c r="A973" s="85">
        <v>174904221976312</v>
      </c>
      <c r="B973" s="82" t="s">
        <v>10651</v>
      </c>
      <c r="C973" s="82" t="s">
        <v>10652</v>
      </c>
      <c r="D973" s="82" t="s">
        <v>10653</v>
      </c>
      <c r="E973" s="82">
        <v>6281348555887</v>
      </c>
      <c r="F973" s="86">
        <v>45835</v>
      </c>
      <c r="G973" s="87">
        <v>1060</v>
      </c>
      <c r="H973" s="88">
        <v>11300.687285223368</v>
      </c>
      <c r="I973" s="89">
        <v>33</v>
      </c>
      <c r="J973" s="90">
        <v>13154</v>
      </c>
      <c r="K973" s="85">
        <v>1</v>
      </c>
      <c r="L973" s="85">
        <v>354</v>
      </c>
      <c r="M973" s="85">
        <v>0</v>
      </c>
      <c r="N973" s="82" t="s">
        <v>10654</v>
      </c>
      <c r="O973" s="83"/>
    </row>
    <row r="974" spans="1:15" ht="22.5" customHeight="1">
      <c r="A974" s="85">
        <v>174904221976312</v>
      </c>
      <c r="B974" s="82" t="s">
        <v>10651</v>
      </c>
      <c r="C974" s="82" t="s">
        <v>10657</v>
      </c>
      <c r="D974" s="82" t="s">
        <v>1239</v>
      </c>
      <c r="E974" s="82">
        <v>6282172291579</v>
      </c>
      <c r="F974" s="86">
        <v>45835</v>
      </c>
      <c r="G974" s="87">
        <v>572</v>
      </c>
      <c r="H974" s="88">
        <v>18465.02057613169</v>
      </c>
      <c r="I974" s="89">
        <v>38</v>
      </c>
      <c r="J974" s="90">
        <v>13461</v>
      </c>
      <c r="K974" s="85">
        <v>6</v>
      </c>
      <c r="L974" s="85">
        <v>344</v>
      </c>
      <c r="M974" s="85">
        <v>0</v>
      </c>
      <c r="N974" s="82" t="s">
        <v>10658</v>
      </c>
      <c r="O974" s="83"/>
    </row>
    <row r="975" spans="1:15" ht="22.5" customHeight="1">
      <c r="A975" s="85">
        <v>174904221976312</v>
      </c>
      <c r="B975" s="82" t="s">
        <v>10651</v>
      </c>
      <c r="C975" s="82" t="s">
        <v>10659</v>
      </c>
      <c r="D975" s="82" t="s">
        <v>1044</v>
      </c>
      <c r="E975" s="82">
        <v>6281263113266</v>
      </c>
      <c r="F975" s="86">
        <v>45835</v>
      </c>
      <c r="G975" s="87">
        <v>1072</v>
      </c>
      <c r="H975" s="88">
        <v>12368.923611111111</v>
      </c>
      <c r="I975" s="89">
        <v>48</v>
      </c>
      <c r="J975" s="90">
        <v>14249</v>
      </c>
      <c r="K975" s="85">
        <v>5</v>
      </c>
      <c r="L975" s="85">
        <v>461</v>
      </c>
      <c r="M975" s="85">
        <v>0</v>
      </c>
      <c r="N975" s="82" t="s">
        <v>10660</v>
      </c>
      <c r="O975" s="83"/>
    </row>
    <row r="976" spans="1:15" ht="22.5" customHeight="1">
      <c r="A976" s="85">
        <v>174904221976312</v>
      </c>
      <c r="B976" s="82" t="s">
        <v>10651</v>
      </c>
      <c r="C976" s="82" t="s">
        <v>10833</v>
      </c>
      <c r="D976" s="82" t="s">
        <v>10834</v>
      </c>
      <c r="E976" s="82">
        <v>6282242925264</v>
      </c>
      <c r="F976" s="86">
        <v>45835</v>
      </c>
      <c r="G976" s="87">
        <v>2133</v>
      </c>
      <c r="H976" s="88">
        <v>5822.1957040572788</v>
      </c>
      <c r="I976" s="89">
        <v>77</v>
      </c>
      <c r="J976" s="90">
        <v>14637</v>
      </c>
      <c r="K976" s="85">
        <v>5</v>
      </c>
      <c r="L976" s="85">
        <v>701</v>
      </c>
      <c r="M976" s="85">
        <v>1</v>
      </c>
      <c r="N976" s="82" t="s">
        <v>10835</v>
      </c>
      <c r="O976" s="83"/>
    </row>
    <row r="977" spans="1:15" ht="22.5" customHeight="1">
      <c r="A977" s="85">
        <v>766589657993298</v>
      </c>
      <c r="B977" s="82" t="s">
        <v>10688</v>
      </c>
      <c r="C977" s="82" t="s">
        <v>10964</v>
      </c>
      <c r="D977" s="82" t="s">
        <v>10965</v>
      </c>
      <c r="E977" s="82">
        <v>6282365004117</v>
      </c>
      <c r="F977" s="86">
        <v>45835</v>
      </c>
      <c r="G977" s="87">
        <v>645</v>
      </c>
      <c r="H977" s="88">
        <v>21447.513812154695</v>
      </c>
      <c r="I977" s="89">
        <v>10</v>
      </c>
      <c r="J977" s="90">
        <v>15528</v>
      </c>
      <c r="K977" s="85">
        <v>2</v>
      </c>
      <c r="L977" s="85">
        <v>157</v>
      </c>
      <c r="M977" s="85">
        <v>0</v>
      </c>
      <c r="N977" s="82" t="s">
        <v>10966</v>
      </c>
      <c r="O977" s="83"/>
    </row>
    <row r="978" spans="1:15" ht="22.5" customHeight="1">
      <c r="A978" s="85">
        <v>766589657993298</v>
      </c>
      <c r="B978" s="82" t="s">
        <v>10688</v>
      </c>
      <c r="C978" s="82" t="s">
        <v>10967</v>
      </c>
      <c r="D978" s="82" t="s">
        <v>1158</v>
      </c>
      <c r="E978" s="82">
        <v>6285167182620</v>
      </c>
      <c r="F978" s="86">
        <v>45835</v>
      </c>
      <c r="G978" s="87">
        <v>302</v>
      </c>
      <c r="H978" s="88">
        <v>46404.388714733541</v>
      </c>
      <c r="I978" s="89">
        <v>4</v>
      </c>
      <c r="J978" s="90">
        <v>14803</v>
      </c>
      <c r="K978" s="85">
        <v>1</v>
      </c>
      <c r="L978" s="85">
        <v>105</v>
      </c>
      <c r="M978" s="85">
        <v>0</v>
      </c>
      <c r="N978" s="82" t="s">
        <v>10968</v>
      </c>
      <c r="O978" s="83"/>
    </row>
    <row r="979" spans="1:15" ht="22.5" customHeight="1">
      <c r="A979" s="85">
        <v>766589657993298</v>
      </c>
      <c r="B979" s="82" t="s">
        <v>10688</v>
      </c>
      <c r="C979" s="82" t="s">
        <v>10946</v>
      </c>
      <c r="D979" s="82" t="s">
        <v>10947</v>
      </c>
      <c r="E979" s="82">
        <v>6281374115054</v>
      </c>
      <c r="F979" s="86">
        <v>45835</v>
      </c>
      <c r="G979" s="87">
        <v>495</v>
      </c>
      <c r="H979" s="88">
        <v>23086.071987480438</v>
      </c>
      <c r="I979" s="89">
        <v>5</v>
      </c>
      <c r="J979" s="90">
        <v>14752</v>
      </c>
      <c r="K979" s="85">
        <v>0</v>
      </c>
      <c r="L979" s="85">
        <v>141</v>
      </c>
      <c r="M979" s="85">
        <v>0</v>
      </c>
      <c r="N979" s="82" t="s">
        <v>10948</v>
      </c>
      <c r="O979" s="83"/>
    </row>
    <row r="980" spans="1:15" ht="22.5" customHeight="1">
      <c r="A980" s="85">
        <v>766589657993298</v>
      </c>
      <c r="B980" s="82" t="s">
        <v>10688</v>
      </c>
      <c r="C980" s="82" t="s">
        <v>10933</v>
      </c>
      <c r="D980" s="82" t="s">
        <v>10934</v>
      </c>
      <c r="E980" s="82">
        <v>6281293309300</v>
      </c>
      <c r="F980" s="86">
        <v>45835</v>
      </c>
      <c r="G980" s="87">
        <v>176</v>
      </c>
      <c r="H980" s="88">
        <v>73268.656716417914</v>
      </c>
      <c r="I980" s="89">
        <v>8</v>
      </c>
      <c r="J980" s="90">
        <v>14727</v>
      </c>
      <c r="K980" s="85">
        <v>3</v>
      </c>
      <c r="L980" s="85">
        <v>0</v>
      </c>
      <c r="M980" s="85">
        <v>0</v>
      </c>
      <c r="N980" s="82" t="s">
        <v>10935</v>
      </c>
      <c r="O980" s="83"/>
    </row>
    <row r="981" spans="1:15" ht="22.5" customHeight="1">
      <c r="A981" s="85">
        <v>766589657993298</v>
      </c>
      <c r="B981" s="82" t="s">
        <v>10688</v>
      </c>
      <c r="C981" s="82" t="s">
        <v>10917</v>
      </c>
      <c r="D981" s="82" t="s">
        <v>1037</v>
      </c>
      <c r="E981" s="82">
        <v>6281383434602</v>
      </c>
      <c r="F981" s="86">
        <v>45835</v>
      </c>
      <c r="G981" s="87">
        <v>420</v>
      </c>
      <c r="H981" s="88">
        <v>28242.82982791587</v>
      </c>
      <c r="I981" s="89">
        <v>8</v>
      </c>
      <c r="J981" s="90">
        <v>14771</v>
      </c>
      <c r="K981" s="85">
        <v>0</v>
      </c>
      <c r="L981" s="85">
        <v>0</v>
      </c>
      <c r="M981" s="85">
        <v>0</v>
      </c>
      <c r="N981" s="82" t="s">
        <v>10918</v>
      </c>
      <c r="O981" s="83"/>
    </row>
    <row r="982" spans="1:15" ht="22.5" customHeight="1">
      <c r="A982" s="85">
        <v>766589657993298</v>
      </c>
      <c r="B982" s="82" t="s">
        <v>10688</v>
      </c>
      <c r="C982" s="82" t="s">
        <v>10919</v>
      </c>
      <c r="D982" s="82" t="s">
        <v>951</v>
      </c>
      <c r="E982" s="82">
        <v>6281383899119</v>
      </c>
      <c r="F982" s="86">
        <v>45835</v>
      </c>
      <c r="G982" s="87">
        <v>737</v>
      </c>
      <c r="H982" s="88">
        <v>19939.130434782608</v>
      </c>
      <c r="I982" s="89">
        <v>13</v>
      </c>
      <c r="J982" s="90">
        <v>16051</v>
      </c>
      <c r="K982" s="85">
        <v>2</v>
      </c>
      <c r="L982" s="85">
        <v>202</v>
      </c>
      <c r="M982" s="85">
        <v>1</v>
      </c>
      <c r="N982" s="82" t="s">
        <v>10920</v>
      </c>
      <c r="O982" s="83"/>
    </row>
    <row r="983" spans="1:15" ht="22.5" customHeight="1">
      <c r="A983" s="85">
        <v>766589657993298</v>
      </c>
      <c r="B983" s="82" t="s">
        <v>10688</v>
      </c>
      <c r="C983" s="82" t="s">
        <v>10898</v>
      </c>
      <c r="D983" s="82" t="s">
        <v>978</v>
      </c>
      <c r="E983" s="82">
        <v>6283135590465</v>
      </c>
      <c r="F983" s="86">
        <v>45835</v>
      </c>
      <c r="G983" s="87">
        <v>405</v>
      </c>
      <c r="H983" s="88">
        <v>31532</v>
      </c>
      <c r="I983" s="89">
        <v>8</v>
      </c>
      <c r="J983" s="90">
        <v>15766</v>
      </c>
      <c r="K983" s="85">
        <v>0</v>
      </c>
      <c r="L983" s="85">
        <v>0</v>
      </c>
      <c r="M983" s="85">
        <v>0</v>
      </c>
      <c r="N983" s="82" t="s">
        <v>10899</v>
      </c>
      <c r="O983" s="83"/>
    </row>
    <row r="984" spans="1:15" ht="22.5" customHeight="1">
      <c r="A984" s="85">
        <v>766589657993298</v>
      </c>
      <c r="B984" s="82" t="s">
        <v>10688</v>
      </c>
      <c r="C984" s="82" t="s">
        <v>10885</v>
      </c>
      <c r="D984" s="82" t="s">
        <v>906</v>
      </c>
      <c r="E984" s="82">
        <v>6282183115806</v>
      </c>
      <c r="F984" s="86">
        <v>45835</v>
      </c>
      <c r="G984" s="87">
        <v>1168</v>
      </c>
      <c r="H984" s="88">
        <v>11644.859813084113</v>
      </c>
      <c r="I984" s="89">
        <v>29</v>
      </c>
      <c r="J984" s="90">
        <v>14952</v>
      </c>
      <c r="K984" s="85">
        <v>2</v>
      </c>
      <c r="L984" s="85">
        <v>763</v>
      </c>
      <c r="M984" s="85">
        <v>0</v>
      </c>
      <c r="N984" s="82" t="s">
        <v>10886</v>
      </c>
      <c r="O984" s="83"/>
    </row>
    <row r="985" spans="1:15" ht="22.5" customHeight="1">
      <c r="A985" s="85">
        <v>766589657993298</v>
      </c>
      <c r="B985" s="82" t="s">
        <v>10688</v>
      </c>
      <c r="C985" s="82" t="s">
        <v>10869</v>
      </c>
      <c r="D985" s="82" t="s">
        <v>10870</v>
      </c>
      <c r="E985" s="82">
        <v>6281230995752</v>
      </c>
      <c r="F985" s="86">
        <v>45835</v>
      </c>
      <c r="G985" s="87">
        <v>948</v>
      </c>
      <c r="H985" s="88">
        <v>16053.501945525291</v>
      </c>
      <c r="I985" s="89">
        <v>29</v>
      </c>
      <c r="J985" s="90">
        <v>16503</v>
      </c>
      <c r="K985" s="85">
        <v>6</v>
      </c>
      <c r="L985" s="85">
        <v>486</v>
      </c>
      <c r="M985" s="85">
        <v>0</v>
      </c>
      <c r="N985" s="82" t="s">
        <v>10871</v>
      </c>
      <c r="O985" s="83"/>
    </row>
    <row r="986" spans="1:15" ht="22.5" customHeight="1">
      <c r="A986" s="85">
        <v>766589657993298</v>
      </c>
      <c r="B986" s="82" t="s">
        <v>10688</v>
      </c>
      <c r="C986" s="82" t="s">
        <v>10877</v>
      </c>
      <c r="D986" s="82" t="s">
        <v>861</v>
      </c>
      <c r="E986" s="82">
        <v>6289617461806</v>
      </c>
      <c r="F986" s="86">
        <v>45835</v>
      </c>
      <c r="G986" s="87">
        <v>660</v>
      </c>
      <c r="H986" s="88">
        <v>22208.672086720868</v>
      </c>
      <c r="I986" s="89">
        <v>13</v>
      </c>
      <c r="J986" s="90">
        <v>16390</v>
      </c>
      <c r="K986" s="85">
        <v>2</v>
      </c>
      <c r="L986" s="85">
        <v>58</v>
      </c>
      <c r="M986" s="85">
        <v>0</v>
      </c>
      <c r="N986" s="82" t="s">
        <v>10878</v>
      </c>
      <c r="O986" s="83"/>
    </row>
    <row r="987" spans="1:15" ht="22.5" customHeight="1">
      <c r="A987" s="85">
        <v>766589657993298</v>
      </c>
      <c r="B987" s="82" t="s">
        <v>10688</v>
      </c>
      <c r="C987" s="82" t="s">
        <v>10879</v>
      </c>
      <c r="D987" s="82" t="s">
        <v>10880</v>
      </c>
      <c r="E987" s="82">
        <v>6281215851833</v>
      </c>
      <c r="F987" s="86">
        <v>45835</v>
      </c>
      <c r="G987" s="87">
        <v>367</v>
      </c>
      <c r="H987" s="88">
        <v>33721.198156682025</v>
      </c>
      <c r="I987" s="89">
        <v>9</v>
      </c>
      <c r="J987" s="90">
        <v>14635</v>
      </c>
      <c r="K987" s="85">
        <v>1</v>
      </c>
      <c r="L987" s="85">
        <v>0</v>
      </c>
      <c r="M987" s="85">
        <v>1</v>
      </c>
      <c r="N987" s="82" t="s">
        <v>10881</v>
      </c>
      <c r="O987" s="83"/>
    </row>
    <row r="988" spans="1:15" ht="22.5" customHeight="1">
      <c r="A988" s="85">
        <v>766589657993298</v>
      </c>
      <c r="B988" s="82" t="s">
        <v>10688</v>
      </c>
      <c r="C988" s="82" t="s">
        <v>10836</v>
      </c>
      <c r="D988" s="82" t="s">
        <v>780</v>
      </c>
      <c r="E988" s="82">
        <v>6283866009989</v>
      </c>
      <c r="F988" s="86">
        <v>45835</v>
      </c>
      <c r="G988" s="87">
        <v>733</v>
      </c>
      <c r="H988" s="88">
        <v>20546.272493573266</v>
      </c>
      <c r="I988" s="89">
        <v>23</v>
      </c>
      <c r="J988" s="90">
        <v>15985</v>
      </c>
      <c r="K988" s="85">
        <v>2</v>
      </c>
      <c r="L988" s="85">
        <v>397</v>
      </c>
      <c r="M988" s="85">
        <v>0</v>
      </c>
      <c r="N988" s="82" t="s">
        <v>10837</v>
      </c>
      <c r="O988" s="83"/>
    </row>
    <row r="989" spans="1:15" ht="22.5" customHeight="1">
      <c r="A989" s="85">
        <v>766589657993298</v>
      </c>
      <c r="B989" s="82" t="s">
        <v>10688</v>
      </c>
      <c r="C989" s="82" t="s">
        <v>720</v>
      </c>
      <c r="D989" s="82" t="s">
        <v>10840</v>
      </c>
      <c r="E989" s="82">
        <v>6282141603091</v>
      </c>
      <c r="F989" s="86">
        <v>45835</v>
      </c>
      <c r="G989" s="87">
        <v>744</v>
      </c>
      <c r="H989" s="88">
        <v>18226.650062266501</v>
      </c>
      <c r="I989" s="89">
        <v>15</v>
      </c>
      <c r="J989" s="90">
        <v>14636</v>
      </c>
      <c r="K989" s="85">
        <v>0</v>
      </c>
      <c r="L989" s="85">
        <v>0</v>
      </c>
      <c r="M989" s="85">
        <v>0</v>
      </c>
      <c r="N989" s="82" t="s">
        <v>10841</v>
      </c>
      <c r="O989" s="83"/>
    </row>
    <row r="990" spans="1:15" ht="22.5" customHeight="1">
      <c r="A990" s="85">
        <v>766589657993298</v>
      </c>
      <c r="B990" s="82" t="s">
        <v>10688</v>
      </c>
      <c r="C990" s="82" t="s">
        <v>689</v>
      </c>
      <c r="D990" s="82" t="s">
        <v>10923</v>
      </c>
      <c r="E990" s="82">
        <v>6282176695820</v>
      </c>
      <c r="F990" s="86">
        <v>45835</v>
      </c>
      <c r="G990" s="87">
        <v>579</v>
      </c>
      <c r="H990" s="88">
        <v>23227.272727272728</v>
      </c>
      <c r="I990" s="89">
        <v>15</v>
      </c>
      <c r="J990" s="90">
        <v>15330</v>
      </c>
      <c r="K990" s="85">
        <v>2</v>
      </c>
      <c r="L990" s="85">
        <v>211</v>
      </c>
      <c r="M990" s="85">
        <v>0</v>
      </c>
      <c r="N990" s="82" t="s">
        <v>10921</v>
      </c>
      <c r="O990" s="83"/>
    </row>
    <row r="991" spans="1:15" ht="22.5" customHeight="1">
      <c r="A991" s="85">
        <v>766589657993298</v>
      </c>
      <c r="B991" s="82" t="s">
        <v>10688</v>
      </c>
      <c r="C991" s="82" t="s">
        <v>10822</v>
      </c>
      <c r="D991" s="82" t="s">
        <v>676</v>
      </c>
      <c r="E991" s="82">
        <v>6281316155059</v>
      </c>
      <c r="F991" s="86">
        <v>45835</v>
      </c>
      <c r="G991" s="87">
        <v>313</v>
      </c>
      <c r="H991" s="88">
        <v>47145.510835913316</v>
      </c>
      <c r="I991" s="89">
        <v>13</v>
      </c>
      <c r="J991" s="90">
        <v>15228</v>
      </c>
      <c r="K991" s="85">
        <v>1</v>
      </c>
      <c r="L991" s="85">
        <v>38</v>
      </c>
      <c r="M991" s="85">
        <v>0</v>
      </c>
      <c r="N991" s="82" t="s">
        <v>10823</v>
      </c>
      <c r="O991" s="83"/>
    </row>
    <row r="992" spans="1:15" ht="22.5" customHeight="1">
      <c r="A992" s="85">
        <v>766589657993298</v>
      </c>
      <c r="B992" s="82" t="s">
        <v>10688</v>
      </c>
      <c r="C992" s="82" t="s">
        <v>769</v>
      </c>
      <c r="D992" s="82" t="s">
        <v>764</v>
      </c>
      <c r="E992" s="82">
        <v>6287778562681</v>
      </c>
      <c r="F992" s="86">
        <v>45835</v>
      </c>
      <c r="G992" s="87">
        <v>414</v>
      </c>
      <c r="H992" s="88">
        <v>37684.834123222747</v>
      </c>
      <c r="I992" s="89">
        <v>8</v>
      </c>
      <c r="J992" s="90">
        <v>15903</v>
      </c>
      <c r="K992" s="85">
        <v>0</v>
      </c>
      <c r="L992" s="85">
        <v>183</v>
      </c>
      <c r="M992" s="85">
        <v>0</v>
      </c>
      <c r="N992" s="82" t="s">
        <v>10882</v>
      </c>
      <c r="O992" s="83"/>
    </row>
    <row r="993" spans="1:15" ht="22.5" customHeight="1">
      <c r="A993" s="85">
        <v>766589657993298</v>
      </c>
      <c r="B993" s="82" t="s">
        <v>10688</v>
      </c>
      <c r="C993" s="82" t="s">
        <v>10786</v>
      </c>
      <c r="D993" s="82" t="s">
        <v>739</v>
      </c>
      <c r="E993" s="82">
        <v>628122102657</v>
      </c>
      <c r="F993" s="86">
        <v>45835</v>
      </c>
      <c r="G993" s="87">
        <v>399</v>
      </c>
      <c r="H993" s="88">
        <v>33720.430107526881</v>
      </c>
      <c r="I993" s="89">
        <v>17</v>
      </c>
      <c r="J993" s="90">
        <v>15680</v>
      </c>
      <c r="K993" s="85">
        <v>1</v>
      </c>
      <c r="L993" s="85">
        <v>124</v>
      </c>
      <c r="M993" s="85">
        <v>0</v>
      </c>
      <c r="N993" s="82" t="s">
        <v>10787</v>
      </c>
      <c r="O993" s="83"/>
    </row>
    <row r="994" spans="1:15" ht="22.5" customHeight="1">
      <c r="A994" s="85">
        <v>766589657993298</v>
      </c>
      <c r="B994" s="82" t="s">
        <v>10688</v>
      </c>
      <c r="C994" s="82" t="s">
        <v>10772</v>
      </c>
      <c r="D994" s="82" t="s">
        <v>10773</v>
      </c>
      <c r="E994" s="82">
        <v>6285261023204</v>
      </c>
      <c r="F994" s="86">
        <v>45835</v>
      </c>
      <c r="G994" s="87">
        <v>155</v>
      </c>
      <c r="H994" s="88">
        <v>26061.349693251534</v>
      </c>
      <c r="I994" s="89">
        <v>1</v>
      </c>
      <c r="J994" s="90">
        <v>4248</v>
      </c>
      <c r="K994" s="85">
        <v>0</v>
      </c>
      <c r="L994" s="85">
        <v>32</v>
      </c>
      <c r="M994" s="85">
        <v>0</v>
      </c>
      <c r="N994" s="82" t="s">
        <v>10774</v>
      </c>
      <c r="O994" s="83"/>
    </row>
    <row r="995" spans="1:15" ht="22.5" customHeight="1">
      <c r="A995" s="85">
        <v>766589657993298</v>
      </c>
      <c r="B995" s="82" t="s">
        <v>10688</v>
      </c>
      <c r="C995" s="82" t="s">
        <v>10762</v>
      </c>
      <c r="D995" s="82" t="s">
        <v>10763</v>
      </c>
      <c r="E995" s="82">
        <v>6285210107607</v>
      </c>
      <c r="F995" s="86">
        <v>45835</v>
      </c>
      <c r="G995" s="87">
        <v>794</v>
      </c>
      <c r="H995" s="88">
        <v>19859.887005649718</v>
      </c>
      <c r="I995" s="89">
        <v>14</v>
      </c>
      <c r="J995" s="90">
        <v>17576</v>
      </c>
      <c r="K995" s="85">
        <v>1</v>
      </c>
      <c r="L995" s="85">
        <v>229</v>
      </c>
      <c r="M995" s="85">
        <v>0</v>
      </c>
      <c r="N995" s="82" t="s">
        <v>10764</v>
      </c>
      <c r="O995" s="83"/>
    </row>
    <row r="996" spans="1:15" ht="22.5" customHeight="1">
      <c r="A996" s="85">
        <v>766589657993298</v>
      </c>
      <c r="B996" s="82" t="s">
        <v>10688</v>
      </c>
      <c r="C996" s="82" t="s">
        <v>10767</v>
      </c>
      <c r="D996" s="82" t="s">
        <v>10768</v>
      </c>
      <c r="E996" s="82">
        <v>6281519225886</v>
      </c>
      <c r="F996" s="86">
        <v>45835</v>
      </c>
      <c r="G996" s="87">
        <v>441</v>
      </c>
      <c r="H996" s="88">
        <v>31035.573122529644</v>
      </c>
      <c r="I996" s="89">
        <v>15</v>
      </c>
      <c r="J996" s="90">
        <v>15704</v>
      </c>
      <c r="K996" s="85">
        <v>4</v>
      </c>
      <c r="L996" s="85">
        <v>3</v>
      </c>
      <c r="M996" s="85">
        <v>0</v>
      </c>
      <c r="N996" s="82" t="s">
        <v>10769</v>
      </c>
      <c r="O996" s="83"/>
    </row>
    <row r="997" spans="1:15" ht="22.5" customHeight="1">
      <c r="A997" s="85">
        <v>766589657993298</v>
      </c>
      <c r="B997" s="82" t="s">
        <v>10688</v>
      </c>
      <c r="C997" s="82" t="s">
        <v>10797</v>
      </c>
      <c r="D997" s="82" t="s">
        <v>10798</v>
      </c>
      <c r="E997" s="82">
        <v>6285853370682</v>
      </c>
      <c r="F997" s="86">
        <v>45835</v>
      </c>
      <c r="G997" s="87">
        <v>515</v>
      </c>
      <c r="H997" s="88">
        <v>26164.685908319185</v>
      </c>
      <c r="I997" s="89">
        <v>7</v>
      </c>
      <c r="J997" s="90">
        <v>15411</v>
      </c>
      <c r="K997" s="85">
        <v>0</v>
      </c>
      <c r="L997" s="85">
        <v>169</v>
      </c>
      <c r="M997" s="85">
        <v>0</v>
      </c>
      <c r="N997" s="82" t="s">
        <v>10799</v>
      </c>
      <c r="O997" s="83"/>
    </row>
    <row r="998" spans="1:15" ht="22.5" customHeight="1">
      <c r="A998" s="85">
        <v>766589657993298</v>
      </c>
      <c r="B998" s="82" t="s">
        <v>10688</v>
      </c>
      <c r="C998" s="82" t="s">
        <v>10800</v>
      </c>
      <c r="D998" s="82" t="s">
        <v>472</v>
      </c>
      <c r="E998" s="82">
        <v>628114170888</v>
      </c>
      <c r="F998" s="86">
        <v>45835</v>
      </c>
      <c r="G998" s="87">
        <v>600</v>
      </c>
      <c r="H998" s="88">
        <v>20710.242587601078</v>
      </c>
      <c r="I998" s="89">
        <v>10</v>
      </c>
      <c r="J998" s="90">
        <v>15367</v>
      </c>
      <c r="K998" s="85">
        <v>0</v>
      </c>
      <c r="L998" s="85">
        <v>0</v>
      </c>
      <c r="M998" s="85">
        <v>0</v>
      </c>
      <c r="N998" s="82" t="s">
        <v>10801</v>
      </c>
      <c r="O998" s="83"/>
    </row>
    <row r="999" spans="1:15" ht="22.5" customHeight="1">
      <c r="A999" s="85">
        <v>766589657993298</v>
      </c>
      <c r="B999" s="82" t="s">
        <v>10688</v>
      </c>
      <c r="C999" s="82" t="s">
        <v>10802</v>
      </c>
      <c r="D999" s="82" t="s">
        <v>567</v>
      </c>
      <c r="E999" s="82">
        <v>6285220216325</v>
      </c>
      <c r="F999" s="86">
        <v>45835</v>
      </c>
      <c r="G999" s="87">
        <v>389</v>
      </c>
      <c r="H999" s="88">
        <v>27354.83870967742</v>
      </c>
      <c r="I999" s="89">
        <v>4</v>
      </c>
      <c r="J999" s="90">
        <v>11024</v>
      </c>
      <c r="K999" s="85">
        <v>0</v>
      </c>
      <c r="L999" s="85">
        <v>45</v>
      </c>
      <c r="M999" s="85">
        <v>0</v>
      </c>
      <c r="N999" s="82" t="s">
        <v>10924</v>
      </c>
      <c r="O999" s="83"/>
    </row>
    <row r="1000" spans="1:15" ht="22.5" customHeight="1">
      <c r="A1000" s="85">
        <v>766589657993298</v>
      </c>
      <c r="B1000" s="82" t="s">
        <v>10688</v>
      </c>
      <c r="C1000" s="82" t="s">
        <v>10752</v>
      </c>
      <c r="D1000" s="82" t="s">
        <v>10753</v>
      </c>
      <c r="E1000" s="82">
        <v>6281340892328</v>
      </c>
      <c r="F1000" s="86">
        <v>45835</v>
      </c>
      <c r="G1000" s="87">
        <v>1041</v>
      </c>
      <c r="H1000" s="88">
        <v>12867.271228359439</v>
      </c>
      <c r="I1000" s="89">
        <v>26</v>
      </c>
      <c r="J1000" s="90">
        <v>15608</v>
      </c>
      <c r="K1000" s="85">
        <v>1</v>
      </c>
      <c r="L1000" s="85">
        <v>328</v>
      </c>
      <c r="M1000" s="85">
        <v>0</v>
      </c>
      <c r="N1000" s="82" t="s">
        <v>10754</v>
      </c>
      <c r="O1000" s="83"/>
    </row>
    <row r="1001" spans="1:15" ht="22.5" customHeight="1">
      <c r="A1001" s="85">
        <v>768362231010540</v>
      </c>
      <c r="B1001" s="82" t="s">
        <v>10844</v>
      </c>
      <c r="C1001" s="82" t="s">
        <v>10949</v>
      </c>
      <c r="D1001" s="82" t="s">
        <v>10950</v>
      </c>
      <c r="E1001" s="82"/>
      <c r="F1001" s="86">
        <v>45835</v>
      </c>
      <c r="G1001" s="87">
        <v>291</v>
      </c>
      <c r="H1001" s="88">
        <v>51861.861861861864</v>
      </c>
      <c r="I1001" s="89">
        <v>16</v>
      </c>
      <c r="J1001" s="90">
        <v>17270</v>
      </c>
      <c r="K1001" s="85">
        <v>2</v>
      </c>
      <c r="L1001" s="85">
        <v>108</v>
      </c>
      <c r="M1001" s="85">
        <v>0</v>
      </c>
      <c r="N1001" s="82" t="s">
        <v>10951</v>
      </c>
      <c r="O1001" s="83"/>
    </row>
    <row r="1002" spans="1:15" ht="22.5" customHeight="1">
      <c r="A1002" s="85">
        <v>759724529202804</v>
      </c>
      <c r="B1002" s="82" t="s">
        <v>10621</v>
      </c>
      <c r="C1002" s="82" t="s">
        <v>10952</v>
      </c>
      <c r="D1002" s="82" t="s">
        <v>1214</v>
      </c>
      <c r="E1002" s="82">
        <v>628174741283</v>
      </c>
      <c r="F1002" s="86">
        <v>45835</v>
      </c>
      <c r="G1002" s="87">
        <v>54</v>
      </c>
      <c r="H1002" s="88">
        <v>9481.4814814814818</v>
      </c>
      <c r="I1002" s="89">
        <v>0</v>
      </c>
      <c r="J1002" s="90">
        <v>512</v>
      </c>
      <c r="K1002" s="85">
        <v>0</v>
      </c>
      <c r="L1002" s="85">
        <v>0</v>
      </c>
      <c r="M1002" s="85">
        <v>0</v>
      </c>
      <c r="N1002" s="82" t="s">
        <v>10953</v>
      </c>
      <c r="O1002" s="83"/>
    </row>
    <row r="1003" spans="1:15" ht="22.5" customHeight="1">
      <c r="A1003" s="85">
        <v>759724529202804</v>
      </c>
      <c r="B1003" s="82" t="s">
        <v>10621</v>
      </c>
      <c r="C1003" s="82" t="s">
        <v>10954</v>
      </c>
      <c r="D1003" s="82" t="s">
        <v>1214</v>
      </c>
      <c r="E1003" s="82">
        <v>628174741283</v>
      </c>
      <c r="F1003" s="86">
        <v>45835</v>
      </c>
      <c r="G1003" s="87">
        <v>1146</v>
      </c>
      <c r="H1003" s="88">
        <v>9891.98144466534</v>
      </c>
      <c r="I1003" s="89">
        <v>41</v>
      </c>
      <c r="J1003" s="90">
        <v>14927</v>
      </c>
      <c r="K1003" s="85">
        <v>3</v>
      </c>
      <c r="L1003" s="85">
        <v>2</v>
      </c>
      <c r="M1003" s="85">
        <v>0</v>
      </c>
      <c r="N1003" s="82" t="s">
        <v>10955</v>
      </c>
      <c r="O1003" s="83"/>
    </row>
    <row r="1004" spans="1:15" ht="22.5" customHeight="1">
      <c r="A1004" s="85">
        <v>759724529202804</v>
      </c>
      <c r="B1004" s="82" t="s">
        <v>10621</v>
      </c>
      <c r="C1004" s="82" t="s">
        <v>10956</v>
      </c>
      <c r="D1004" s="82" t="s">
        <v>10957</v>
      </c>
      <c r="E1004" s="82">
        <v>6281649155643</v>
      </c>
      <c r="F1004" s="86">
        <v>45835</v>
      </c>
      <c r="G1004" s="87">
        <v>527</v>
      </c>
      <c r="H1004" s="88">
        <v>23500.792393026943</v>
      </c>
      <c r="I1004" s="89">
        <v>11</v>
      </c>
      <c r="J1004" s="90">
        <v>14829</v>
      </c>
      <c r="K1004" s="85">
        <v>0</v>
      </c>
      <c r="L1004" s="85">
        <v>138</v>
      </c>
      <c r="M1004" s="85">
        <v>0</v>
      </c>
      <c r="N1004" s="82" t="s">
        <v>10958</v>
      </c>
      <c r="O1004" s="83"/>
    </row>
    <row r="1005" spans="1:15" ht="22.5" customHeight="1">
      <c r="A1005" s="85">
        <v>759724529202804</v>
      </c>
      <c r="B1005" s="82" t="s">
        <v>10621</v>
      </c>
      <c r="C1005" s="82" t="s">
        <v>10959</v>
      </c>
      <c r="D1005" s="82" t="s">
        <v>1198</v>
      </c>
      <c r="E1005" s="82">
        <v>6281248936324</v>
      </c>
      <c r="F1005" s="86">
        <v>45835</v>
      </c>
      <c r="G1005" s="87">
        <v>944</v>
      </c>
      <c r="H1005" s="88">
        <v>11723.655121591748</v>
      </c>
      <c r="I1005" s="89">
        <v>50</v>
      </c>
      <c r="J1005" s="90">
        <v>15909</v>
      </c>
      <c r="K1005" s="85">
        <v>7</v>
      </c>
      <c r="L1005" s="85">
        <v>185</v>
      </c>
      <c r="M1005" s="85">
        <v>0</v>
      </c>
      <c r="N1005" s="82" t="s">
        <v>10960</v>
      </c>
      <c r="O1005" s="83"/>
    </row>
    <row r="1006" spans="1:15" ht="22.5" customHeight="1">
      <c r="A1006" s="85">
        <v>759724529202804</v>
      </c>
      <c r="B1006" s="82" t="s">
        <v>10621</v>
      </c>
      <c r="C1006" s="82" t="s">
        <v>10961</v>
      </c>
      <c r="D1006" s="82" t="s">
        <v>10962</v>
      </c>
      <c r="E1006" s="82">
        <v>628158830325</v>
      </c>
      <c r="F1006" s="86">
        <v>45835</v>
      </c>
      <c r="G1006" s="87">
        <v>213</v>
      </c>
      <c r="H1006" s="88">
        <v>61743.697478991598</v>
      </c>
      <c r="I1006" s="89">
        <v>7</v>
      </c>
      <c r="J1006" s="90">
        <v>14695</v>
      </c>
      <c r="K1006" s="85">
        <v>2</v>
      </c>
      <c r="L1006" s="85">
        <v>7</v>
      </c>
      <c r="M1006" s="85">
        <v>0</v>
      </c>
      <c r="N1006" s="82" t="s">
        <v>10963</v>
      </c>
      <c r="O1006" s="83"/>
    </row>
    <row r="1007" spans="1:15" ht="22.5" customHeight="1">
      <c r="A1007" s="85">
        <v>759724529202804</v>
      </c>
      <c r="B1007" s="82" t="s">
        <v>10621</v>
      </c>
      <c r="C1007" s="82" t="s">
        <v>1169</v>
      </c>
      <c r="D1007" s="82" t="s">
        <v>1165</v>
      </c>
      <c r="E1007" s="82">
        <v>6281399731413</v>
      </c>
      <c r="F1007" s="86">
        <v>45835</v>
      </c>
      <c r="G1007" s="87">
        <v>496</v>
      </c>
      <c r="H1007" s="88">
        <v>22941.362916006339</v>
      </c>
      <c r="I1007" s="89">
        <v>14</v>
      </c>
      <c r="J1007" s="90">
        <v>14476</v>
      </c>
      <c r="K1007" s="85">
        <v>1</v>
      </c>
      <c r="L1007" s="85">
        <v>82</v>
      </c>
      <c r="M1007" s="85">
        <v>0</v>
      </c>
      <c r="N1007" s="82" t="s">
        <v>10936</v>
      </c>
      <c r="O1007" s="83"/>
    </row>
    <row r="1008" spans="1:15" ht="22.5" customHeight="1">
      <c r="A1008" s="85">
        <v>759724529202804</v>
      </c>
      <c r="B1008" s="82" t="s">
        <v>10621</v>
      </c>
      <c r="C1008" s="82" t="s">
        <v>10925</v>
      </c>
      <c r="D1008" s="82" t="s">
        <v>10926</v>
      </c>
      <c r="E1008" s="82">
        <v>6281233038880</v>
      </c>
      <c r="F1008" s="86">
        <v>45835</v>
      </c>
      <c r="G1008" s="87">
        <v>320</v>
      </c>
      <c r="H1008" s="88">
        <v>41504</v>
      </c>
      <c r="I1008" s="89">
        <v>17</v>
      </c>
      <c r="J1008" s="90">
        <v>15564</v>
      </c>
      <c r="K1008" s="85">
        <v>3</v>
      </c>
      <c r="L1008" s="85">
        <v>26</v>
      </c>
      <c r="M1008" s="85">
        <v>0</v>
      </c>
      <c r="N1008" s="82" t="s">
        <v>10927</v>
      </c>
      <c r="O1008" s="83"/>
    </row>
    <row r="1009" spans="1:15" ht="22.5" customHeight="1">
      <c r="A1009" s="85">
        <v>759724529202804</v>
      </c>
      <c r="B1009" s="82" t="s">
        <v>10621</v>
      </c>
      <c r="C1009" s="82" t="s">
        <v>10928</v>
      </c>
      <c r="D1009" s="82" t="s">
        <v>1112</v>
      </c>
      <c r="E1009" s="82">
        <v>6285777110340</v>
      </c>
      <c r="F1009" s="86">
        <v>45835</v>
      </c>
      <c r="G1009" s="87">
        <v>296</v>
      </c>
      <c r="H1009" s="88">
        <v>46022.284122562676</v>
      </c>
      <c r="I1009" s="89">
        <v>7</v>
      </c>
      <c r="J1009" s="90">
        <v>16522</v>
      </c>
      <c r="K1009" s="85">
        <v>2</v>
      </c>
      <c r="L1009" s="85">
        <v>53</v>
      </c>
      <c r="M1009" s="85">
        <v>0</v>
      </c>
      <c r="N1009" s="82" t="s">
        <v>10929</v>
      </c>
      <c r="O1009" s="83"/>
    </row>
    <row r="1010" spans="1:15" ht="22.5" customHeight="1">
      <c r="A1010" s="85">
        <v>759724529202804</v>
      </c>
      <c r="B1010" s="82" t="s">
        <v>10621</v>
      </c>
      <c r="C1010" s="82" t="s">
        <v>10904</v>
      </c>
      <c r="D1010" s="82" t="s">
        <v>10905</v>
      </c>
      <c r="E1010" s="82">
        <v>6285711667433</v>
      </c>
      <c r="F1010" s="86">
        <v>45835</v>
      </c>
      <c r="G1010" s="87">
        <v>1016</v>
      </c>
      <c r="H1010" s="88">
        <v>14663.311985361392</v>
      </c>
      <c r="I1010" s="89">
        <v>22</v>
      </c>
      <c r="J1010" s="90">
        <v>16027</v>
      </c>
      <c r="K1010" s="85">
        <v>3</v>
      </c>
      <c r="L1010" s="85">
        <v>274</v>
      </c>
      <c r="M1010" s="85">
        <v>1</v>
      </c>
      <c r="N1010" s="82" t="s">
        <v>10906</v>
      </c>
      <c r="O1010" s="83"/>
    </row>
    <row r="1011" spans="1:15" ht="22.5" customHeight="1">
      <c r="A1011" s="85">
        <v>759724529202804</v>
      </c>
      <c r="B1011" s="82" t="s">
        <v>10621</v>
      </c>
      <c r="C1011" s="82" t="s">
        <v>10907</v>
      </c>
      <c r="D1011" s="82" t="s">
        <v>943</v>
      </c>
      <c r="E1011" s="82">
        <v>6285775986977</v>
      </c>
      <c r="F1011" s="86">
        <v>45835</v>
      </c>
      <c r="G1011" s="87">
        <v>387</v>
      </c>
      <c r="H1011" s="88">
        <v>34512.3595505618</v>
      </c>
      <c r="I1011" s="89">
        <v>8</v>
      </c>
      <c r="J1011" s="90">
        <v>15358</v>
      </c>
      <c r="K1011" s="85">
        <v>0</v>
      </c>
      <c r="L1011" s="85">
        <v>93</v>
      </c>
      <c r="M1011" s="85">
        <v>0</v>
      </c>
      <c r="N1011" s="82" t="s">
        <v>10908</v>
      </c>
      <c r="O1011" s="83"/>
    </row>
    <row r="1012" spans="1:15" ht="22.5" customHeight="1">
      <c r="A1012" s="85">
        <v>759724529202804</v>
      </c>
      <c r="B1012" s="82" t="s">
        <v>10621</v>
      </c>
      <c r="C1012" s="82" t="s">
        <v>10912</v>
      </c>
      <c r="D1012" s="82" t="s">
        <v>1029</v>
      </c>
      <c r="E1012" s="82">
        <v>6281253792753</v>
      </c>
      <c r="F1012" s="86">
        <v>45835</v>
      </c>
      <c r="G1012" s="87">
        <v>1271</v>
      </c>
      <c r="H1012" s="88">
        <v>10727.864583333334</v>
      </c>
      <c r="I1012" s="89">
        <v>25</v>
      </c>
      <c r="J1012" s="90">
        <v>16478</v>
      </c>
      <c r="K1012" s="85">
        <v>0</v>
      </c>
      <c r="L1012" s="85">
        <v>384</v>
      </c>
      <c r="M1012" s="85">
        <v>0</v>
      </c>
      <c r="N1012" s="82" t="s">
        <v>10913</v>
      </c>
      <c r="O1012" s="83"/>
    </row>
    <row r="1013" spans="1:15" ht="22.5" customHeight="1">
      <c r="A1013" s="85">
        <v>759724529202804</v>
      </c>
      <c r="B1013" s="82" t="s">
        <v>10621</v>
      </c>
      <c r="C1013" s="82" t="s">
        <v>10922</v>
      </c>
      <c r="D1013" s="82" t="s">
        <v>1021</v>
      </c>
      <c r="E1013" s="82">
        <v>6282122880328</v>
      </c>
      <c r="F1013" s="86">
        <v>45835</v>
      </c>
      <c r="G1013" s="87">
        <v>236</v>
      </c>
      <c r="H1013" s="88">
        <v>60885.608856088562</v>
      </c>
      <c r="I1013" s="89">
        <v>12</v>
      </c>
      <c r="J1013" s="90">
        <v>16500</v>
      </c>
      <c r="K1013" s="85">
        <v>1</v>
      </c>
      <c r="L1013" s="85">
        <v>50</v>
      </c>
      <c r="M1013" s="85">
        <v>0</v>
      </c>
      <c r="N1013" s="82" t="s">
        <v>10914</v>
      </c>
      <c r="O1013" s="83"/>
    </row>
    <row r="1014" spans="1:15" ht="22.5" customHeight="1">
      <c r="A1014" s="85">
        <v>759724529202804</v>
      </c>
      <c r="B1014" s="82" t="s">
        <v>10621</v>
      </c>
      <c r="C1014" s="82" t="s">
        <v>10804</v>
      </c>
      <c r="D1014" s="82" t="s">
        <v>607</v>
      </c>
      <c r="E1014" s="82">
        <v>6288215545661</v>
      </c>
      <c r="F1014" s="86">
        <v>45835</v>
      </c>
      <c r="G1014" s="87">
        <v>805</v>
      </c>
      <c r="H1014" s="88">
        <v>15416.419386745796</v>
      </c>
      <c r="I1014" s="89">
        <v>30</v>
      </c>
      <c r="J1014" s="90">
        <v>15586</v>
      </c>
      <c r="K1014" s="85">
        <v>2</v>
      </c>
      <c r="L1014" s="85">
        <v>345</v>
      </c>
      <c r="M1014" s="85">
        <v>0</v>
      </c>
      <c r="N1014" s="82" t="s">
        <v>10805</v>
      </c>
      <c r="O1014" s="83"/>
    </row>
    <row r="1015" spans="1:15" ht="22.5" customHeight="1">
      <c r="A1015" s="85">
        <v>759724529202804</v>
      </c>
      <c r="B1015" s="82" t="s">
        <v>10621</v>
      </c>
      <c r="C1015" s="82" t="s">
        <v>332</v>
      </c>
      <c r="D1015" s="82" t="s">
        <v>10708</v>
      </c>
      <c r="E1015" s="82">
        <v>6282350524788</v>
      </c>
      <c r="F1015" s="86">
        <v>45835</v>
      </c>
      <c r="G1015" s="87">
        <v>772</v>
      </c>
      <c r="H1015" s="88">
        <v>16646.121147715196</v>
      </c>
      <c r="I1015" s="89">
        <v>22</v>
      </c>
      <c r="J1015" s="90">
        <v>15664</v>
      </c>
      <c r="K1015" s="85">
        <v>4</v>
      </c>
      <c r="L1015" s="85">
        <v>2</v>
      </c>
      <c r="M1015" s="85">
        <v>0</v>
      </c>
      <c r="N1015" s="82" t="s">
        <v>10709</v>
      </c>
      <c r="O1015" s="83"/>
    </row>
    <row r="1016" spans="1:15" ht="22.5" customHeight="1">
      <c r="A1016" s="85">
        <v>759724529202804</v>
      </c>
      <c r="B1016" s="82" t="s">
        <v>10621</v>
      </c>
      <c r="C1016" s="82" t="s">
        <v>665</v>
      </c>
      <c r="D1016" s="82" t="s">
        <v>659</v>
      </c>
      <c r="E1016" s="82">
        <v>6285757057088</v>
      </c>
      <c r="F1016" s="86">
        <v>45835</v>
      </c>
      <c r="G1016" s="87">
        <v>738</v>
      </c>
      <c r="H1016" s="88">
        <v>17268.608414239479</v>
      </c>
      <c r="I1016" s="89">
        <v>22</v>
      </c>
      <c r="J1016" s="90">
        <v>16008</v>
      </c>
      <c r="K1016" s="85">
        <v>2</v>
      </c>
      <c r="L1016" s="85">
        <v>0</v>
      </c>
      <c r="M1016" s="85">
        <v>0</v>
      </c>
      <c r="N1016" s="82" t="s">
        <v>10636</v>
      </c>
      <c r="O1016" s="83"/>
    </row>
    <row r="1017" spans="1:15" ht="22.5" customHeight="1">
      <c r="A1017" s="85">
        <v>174904221976312</v>
      </c>
      <c r="B1017" s="82" t="s">
        <v>10651</v>
      </c>
      <c r="C1017" s="82" t="s">
        <v>10937</v>
      </c>
      <c r="D1017" s="82" t="s">
        <v>10938</v>
      </c>
      <c r="E1017" s="82">
        <v>6281938563373</v>
      </c>
      <c r="F1017" s="86">
        <v>45835</v>
      </c>
      <c r="G1017" s="87">
        <v>229</v>
      </c>
      <c r="H1017" s="88">
        <v>49141.791044776117</v>
      </c>
      <c r="I1017" s="89">
        <v>6</v>
      </c>
      <c r="J1017" s="90">
        <v>13170</v>
      </c>
      <c r="K1017" s="85">
        <v>1</v>
      </c>
      <c r="L1017" s="85">
        <v>95</v>
      </c>
      <c r="M1017" s="85">
        <v>0</v>
      </c>
      <c r="N1017" s="82" t="s">
        <v>10939</v>
      </c>
      <c r="O1017" s="83"/>
    </row>
    <row r="1018" spans="1:15" ht="22.5" customHeight="1">
      <c r="A1018" s="85">
        <v>174904221976312</v>
      </c>
      <c r="B1018" s="82" t="s">
        <v>10651</v>
      </c>
      <c r="C1018" s="82" t="s">
        <v>10940</v>
      </c>
      <c r="D1018" s="82" t="s">
        <v>10941</v>
      </c>
      <c r="E1018" s="82">
        <v>6285266218699</v>
      </c>
      <c r="F1018" s="86">
        <v>45835</v>
      </c>
      <c r="G1018" s="87">
        <v>695</v>
      </c>
      <c r="H1018" s="88">
        <v>15195.3125</v>
      </c>
      <c r="I1018" s="89">
        <v>28</v>
      </c>
      <c r="J1018" s="90">
        <v>13615</v>
      </c>
      <c r="K1018" s="85">
        <v>7</v>
      </c>
      <c r="L1018" s="85">
        <v>380</v>
      </c>
      <c r="M1018" s="85">
        <v>0</v>
      </c>
      <c r="N1018" s="82" t="s">
        <v>10942</v>
      </c>
      <c r="O1018" s="83"/>
    </row>
    <row r="1019" spans="1:15" ht="22.5" customHeight="1">
      <c r="A1019" s="85">
        <v>174904221976312</v>
      </c>
      <c r="B1019" s="82" t="s">
        <v>10651</v>
      </c>
      <c r="C1019" s="82" t="s">
        <v>10943</v>
      </c>
      <c r="D1019" s="82" t="s">
        <v>10944</v>
      </c>
      <c r="E1019" s="82">
        <v>6285240694097</v>
      </c>
      <c r="F1019" s="86">
        <v>45835</v>
      </c>
      <c r="G1019" s="87">
        <v>1066</v>
      </c>
      <c r="H1019" s="88">
        <v>9433.0935251798564</v>
      </c>
      <c r="I1019" s="89">
        <v>46</v>
      </c>
      <c r="J1019" s="90">
        <v>13112</v>
      </c>
      <c r="K1019" s="85">
        <v>5</v>
      </c>
      <c r="L1019" s="85">
        <v>133</v>
      </c>
      <c r="M1019" s="85">
        <v>1</v>
      </c>
      <c r="N1019" s="82" t="s">
        <v>10945</v>
      </c>
      <c r="O1019" s="83"/>
    </row>
    <row r="1020" spans="1:15" ht="22.5" customHeight="1">
      <c r="A1020" s="85">
        <v>174904221976312</v>
      </c>
      <c r="B1020" s="82" t="s">
        <v>10651</v>
      </c>
      <c r="C1020" s="82" t="s">
        <v>10930</v>
      </c>
      <c r="D1020" s="82" t="s">
        <v>10931</v>
      </c>
      <c r="E1020" s="82">
        <v>6282325874670</v>
      </c>
      <c r="F1020" s="86">
        <v>45835</v>
      </c>
      <c r="G1020" s="87">
        <v>1058</v>
      </c>
      <c r="H1020" s="88">
        <v>10638.297872340425</v>
      </c>
      <c r="I1020" s="89">
        <v>20</v>
      </c>
      <c r="J1020" s="90">
        <v>13000</v>
      </c>
      <c r="K1020" s="85">
        <v>4</v>
      </c>
      <c r="L1020" s="85">
        <v>257</v>
      </c>
      <c r="M1020" s="85">
        <v>0</v>
      </c>
      <c r="N1020" s="82" t="s">
        <v>10932</v>
      </c>
      <c r="O1020" s="83"/>
    </row>
    <row r="1021" spans="1:15" ht="22.5" customHeight="1">
      <c r="A1021" s="85">
        <v>174904221976312</v>
      </c>
      <c r="B1021" s="82" t="s">
        <v>10651</v>
      </c>
      <c r="C1021" s="82" t="s">
        <v>10915</v>
      </c>
      <c r="D1021" s="82" t="s">
        <v>10674</v>
      </c>
      <c r="E1021" s="82">
        <v>6282183184641</v>
      </c>
      <c r="F1021" s="86">
        <v>45835</v>
      </c>
      <c r="G1021" s="87">
        <v>626</v>
      </c>
      <c r="H1021" s="88">
        <v>19107.231920199501</v>
      </c>
      <c r="I1021" s="89">
        <v>38</v>
      </c>
      <c r="J1021" s="90">
        <v>15324</v>
      </c>
      <c r="K1021" s="85">
        <v>0</v>
      </c>
      <c r="L1021" s="85">
        <v>15</v>
      </c>
      <c r="M1021" s="85">
        <v>0</v>
      </c>
      <c r="N1021" s="82" t="s">
        <v>10675</v>
      </c>
      <c r="O1021" s="83"/>
    </row>
    <row r="1022" spans="1:15" ht="22.5" customHeight="1">
      <c r="A1022" s="85">
        <v>174904221976312</v>
      </c>
      <c r="B1022" s="82" t="s">
        <v>10651</v>
      </c>
      <c r="C1022" s="82" t="s">
        <v>10892</v>
      </c>
      <c r="D1022" s="82" t="s">
        <v>10893</v>
      </c>
      <c r="E1022" s="82">
        <v>6282399721881</v>
      </c>
      <c r="F1022" s="86">
        <v>45835</v>
      </c>
      <c r="G1022" s="87">
        <v>1170</v>
      </c>
      <c r="H1022" s="88">
        <v>9866.7136812411845</v>
      </c>
      <c r="I1022" s="89">
        <v>32</v>
      </c>
      <c r="J1022" s="90">
        <v>13991</v>
      </c>
      <c r="K1022" s="85">
        <v>0</v>
      </c>
      <c r="L1022" s="85">
        <v>0</v>
      </c>
      <c r="M1022" s="85">
        <v>0</v>
      </c>
      <c r="N1022" s="82" t="s">
        <v>10894</v>
      </c>
      <c r="O1022" s="83"/>
    </row>
    <row r="1023" spans="1:15" ht="22.5" customHeight="1">
      <c r="A1023" s="85">
        <v>174904221976312</v>
      </c>
      <c r="B1023" s="82" t="s">
        <v>10651</v>
      </c>
      <c r="C1023" s="82" t="s">
        <v>10895</v>
      </c>
      <c r="D1023" s="82" t="s">
        <v>10896</v>
      </c>
      <c r="E1023" s="82">
        <v>6281299907533</v>
      </c>
      <c r="F1023" s="86">
        <v>45835</v>
      </c>
      <c r="G1023" s="87">
        <v>204</v>
      </c>
      <c r="H1023" s="88">
        <v>49615.044247787606</v>
      </c>
      <c r="I1023" s="89">
        <v>4</v>
      </c>
      <c r="J1023" s="90">
        <v>11213</v>
      </c>
      <c r="K1023" s="85">
        <v>1</v>
      </c>
      <c r="L1023" s="85">
        <v>2</v>
      </c>
      <c r="M1023" s="85">
        <v>0</v>
      </c>
      <c r="N1023" s="82" t="s">
        <v>10897</v>
      </c>
      <c r="O1023" s="83"/>
    </row>
    <row r="1024" spans="1:15" ht="22.5" customHeight="1">
      <c r="A1024" s="85">
        <v>174904221976312</v>
      </c>
      <c r="B1024" s="82" t="s">
        <v>10651</v>
      </c>
      <c r="C1024" s="82" t="s">
        <v>10853</v>
      </c>
      <c r="D1024" s="82" t="s">
        <v>10854</v>
      </c>
      <c r="E1024" s="82">
        <v>6281393958199</v>
      </c>
      <c r="F1024" s="86">
        <v>45835</v>
      </c>
      <c r="G1024" s="87">
        <v>590</v>
      </c>
      <c r="H1024" s="88">
        <v>20350.609756097561</v>
      </c>
      <c r="I1024" s="89">
        <v>12</v>
      </c>
      <c r="J1024" s="90">
        <v>13350</v>
      </c>
      <c r="K1024" s="85">
        <v>5</v>
      </c>
      <c r="L1024" s="85">
        <v>143</v>
      </c>
      <c r="M1024" s="85">
        <v>0</v>
      </c>
      <c r="N1024" s="82" t="s">
        <v>10855</v>
      </c>
      <c r="O1024" s="83"/>
    </row>
    <row r="1025" spans="1:15" ht="22.5" customHeight="1">
      <c r="A1025" s="85">
        <v>174904221976312</v>
      </c>
      <c r="B1025" s="82" t="s">
        <v>10651</v>
      </c>
      <c r="C1025" s="82" t="s">
        <v>818</v>
      </c>
      <c r="D1025" s="82" t="s">
        <v>812</v>
      </c>
      <c r="E1025" s="82">
        <v>6287858585808</v>
      </c>
      <c r="F1025" s="86">
        <v>45835</v>
      </c>
      <c r="G1025" s="87">
        <v>668</v>
      </c>
      <c r="H1025" s="88">
        <v>17970.588235294115</v>
      </c>
      <c r="I1025" s="89">
        <v>27</v>
      </c>
      <c r="J1025" s="90">
        <v>14053</v>
      </c>
      <c r="K1025" s="85">
        <v>3</v>
      </c>
      <c r="L1025" s="85">
        <v>211</v>
      </c>
      <c r="M1025" s="85">
        <v>0</v>
      </c>
      <c r="N1025" s="82" t="s">
        <v>10831</v>
      </c>
      <c r="O1025" s="83"/>
    </row>
    <row r="1026" spans="1:15" ht="22.5" customHeight="1">
      <c r="A1026" s="85">
        <v>174904221976312</v>
      </c>
      <c r="B1026" s="82" t="s">
        <v>10651</v>
      </c>
      <c r="C1026" s="82" t="s">
        <v>10809</v>
      </c>
      <c r="D1026" s="82" t="s">
        <v>634</v>
      </c>
      <c r="E1026" s="82">
        <v>6282258886603</v>
      </c>
      <c r="F1026" s="86">
        <v>45835</v>
      </c>
      <c r="G1026" s="87">
        <v>277</v>
      </c>
      <c r="H1026" s="88">
        <v>47402.597402597399</v>
      </c>
      <c r="I1026" s="89">
        <v>10</v>
      </c>
      <c r="J1026" s="90">
        <v>14600</v>
      </c>
      <c r="K1026" s="85">
        <v>1</v>
      </c>
      <c r="L1026" s="85">
        <v>92</v>
      </c>
      <c r="M1026" s="85">
        <v>0</v>
      </c>
      <c r="N1026" s="82" t="s">
        <v>10810</v>
      </c>
      <c r="O1026" s="83"/>
    </row>
    <row r="1027" spans="1:15" ht="22.5" customHeight="1">
      <c r="A1027" s="85">
        <v>174904221976312</v>
      </c>
      <c r="B1027" s="82" t="s">
        <v>10651</v>
      </c>
      <c r="C1027" s="82" t="s">
        <v>311</v>
      </c>
      <c r="D1027" s="82" t="s">
        <v>10737</v>
      </c>
      <c r="E1027" s="82">
        <v>628988759290</v>
      </c>
      <c r="F1027" s="86">
        <v>45835</v>
      </c>
      <c r="G1027" s="87">
        <v>779</v>
      </c>
      <c r="H1027" s="88">
        <v>13073.115860517435</v>
      </c>
      <c r="I1027" s="89">
        <v>26</v>
      </c>
      <c r="J1027" s="90">
        <v>11622</v>
      </c>
      <c r="K1027" s="85">
        <v>2</v>
      </c>
      <c r="L1027" s="85">
        <v>200</v>
      </c>
      <c r="M1027" s="85">
        <v>0</v>
      </c>
      <c r="N1027" s="82" t="s">
        <v>10738</v>
      </c>
      <c r="O1027" s="83"/>
    </row>
    <row r="1028" spans="1:15" ht="22.5" customHeight="1">
      <c r="A1028" s="85">
        <v>174904221976312</v>
      </c>
      <c r="B1028" s="82" t="s">
        <v>10651</v>
      </c>
      <c r="C1028" s="82" t="s">
        <v>10778</v>
      </c>
      <c r="D1028" s="82" t="s">
        <v>3140</v>
      </c>
      <c r="E1028" s="82"/>
      <c r="F1028" s="86">
        <v>45835</v>
      </c>
      <c r="G1028" s="87">
        <v>4212</v>
      </c>
      <c r="H1028" s="88">
        <v>2915.8263017081704</v>
      </c>
      <c r="I1028" s="89">
        <v>65</v>
      </c>
      <c r="J1028" s="90">
        <v>14168</v>
      </c>
      <c r="K1028" s="85">
        <v>2</v>
      </c>
      <c r="L1028" s="85">
        <v>862</v>
      </c>
      <c r="M1028" s="85">
        <v>0</v>
      </c>
      <c r="N1028" s="82" t="s">
        <v>10779</v>
      </c>
      <c r="O1028" s="83"/>
    </row>
    <row r="1029" spans="1:15" ht="22.5" customHeight="1">
      <c r="A1029" s="85">
        <v>174904221976312</v>
      </c>
      <c r="B1029" s="82" t="s">
        <v>10651</v>
      </c>
      <c r="C1029" s="82" t="s">
        <v>10652</v>
      </c>
      <c r="D1029" s="82" t="s">
        <v>10653</v>
      </c>
      <c r="E1029" s="82">
        <v>6281348555887</v>
      </c>
      <c r="F1029" s="86">
        <v>45835</v>
      </c>
      <c r="G1029" s="87">
        <v>1060</v>
      </c>
      <c r="H1029" s="88">
        <v>11300.687285223368</v>
      </c>
      <c r="I1029" s="89">
        <v>33</v>
      </c>
      <c r="J1029" s="90">
        <v>13154</v>
      </c>
      <c r="K1029" s="85">
        <v>1</v>
      </c>
      <c r="L1029" s="85">
        <v>354</v>
      </c>
      <c r="M1029" s="85">
        <v>0</v>
      </c>
      <c r="N1029" s="82" t="s">
        <v>10654</v>
      </c>
      <c r="O1029" s="83"/>
    </row>
    <row r="1030" spans="1:15" ht="22.5" customHeight="1">
      <c r="A1030" s="85">
        <v>174904221976312</v>
      </c>
      <c r="B1030" s="82" t="s">
        <v>10651</v>
      </c>
      <c r="C1030" s="82" t="s">
        <v>10657</v>
      </c>
      <c r="D1030" s="82" t="s">
        <v>1239</v>
      </c>
      <c r="E1030" s="82">
        <v>6282172291579</v>
      </c>
      <c r="F1030" s="86">
        <v>45835</v>
      </c>
      <c r="G1030" s="87">
        <v>572</v>
      </c>
      <c r="H1030" s="88">
        <v>18465.02057613169</v>
      </c>
      <c r="I1030" s="89">
        <v>38</v>
      </c>
      <c r="J1030" s="90">
        <v>13461</v>
      </c>
      <c r="K1030" s="85">
        <v>6</v>
      </c>
      <c r="L1030" s="85">
        <v>344</v>
      </c>
      <c r="M1030" s="85">
        <v>0</v>
      </c>
      <c r="N1030" s="82" t="s">
        <v>10658</v>
      </c>
      <c r="O1030" s="83"/>
    </row>
    <row r="1031" spans="1:15" ht="22.5" customHeight="1">
      <c r="A1031" s="85">
        <v>174904221976312</v>
      </c>
      <c r="B1031" s="82" t="s">
        <v>10651</v>
      </c>
      <c r="C1031" s="82" t="s">
        <v>10659</v>
      </c>
      <c r="D1031" s="82" t="s">
        <v>1044</v>
      </c>
      <c r="E1031" s="82">
        <v>6281263113266</v>
      </c>
      <c r="F1031" s="86">
        <v>45835</v>
      </c>
      <c r="G1031" s="87">
        <v>1072</v>
      </c>
      <c r="H1031" s="88">
        <v>12368.923611111111</v>
      </c>
      <c r="I1031" s="89">
        <v>48</v>
      </c>
      <c r="J1031" s="90">
        <v>14249</v>
      </c>
      <c r="K1031" s="85">
        <v>5</v>
      </c>
      <c r="L1031" s="85">
        <v>461</v>
      </c>
      <c r="M1031" s="85">
        <v>0</v>
      </c>
      <c r="N1031" s="82" t="s">
        <v>10660</v>
      </c>
      <c r="O1031" s="83"/>
    </row>
    <row r="1032" spans="1:15" ht="22.5" customHeight="1">
      <c r="A1032" s="85">
        <v>174904221976312</v>
      </c>
      <c r="B1032" s="82" t="s">
        <v>10651</v>
      </c>
      <c r="C1032" s="82" t="s">
        <v>10833</v>
      </c>
      <c r="D1032" s="82" t="s">
        <v>10834</v>
      </c>
      <c r="E1032" s="82">
        <v>6282242925264</v>
      </c>
      <c r="F1032" s="86">
        <v>45835</v>
      </c>
      <c r="G1032" s="87">
        <v>2133</v>
      </c>
      <c r="H1032" s="88">
        <v>5822.1957040572788</v>
      </c>
      <c r="I1032" s="89">
        <v>77</v>
      </c>
      <c r="J1032" s="90">
        <v>14637</v>
      </c>
      <c r="K1032" s="85">
        <v>5</v>
      </c>
      <c r="L1032" s="85">
        <v>701</v>
      </c>
      <c r="M1032" s="85">
        <v>1</v>
      </c>
      <c r="N1032" s="82" t="s">
        <v>10835</v>
      </c>
      <c r="O1032" s="83"/>
    </row>
    <row r="1033" spans="1:15" ht="22.5" customHeight="1">
      <c r="A1033" s="85">
        <v>766589657993298</v>
      </c>
      <c r="B1033" s="82" t="s">
        <v>10688</v>
      </c>
      <c r="C1033" s="82" t="s">
        <v>10964</v>
      </c>
      <c r="D1033" s="82" t="s">
        <v>10965</v>
      </c>
      <c r="E1033" s="82">
        <v>6282365004117</v>
      </c>
      <c r="F1033" s="86">
        <v>45835</v>
      </c>
      <c r="G1033" s="87">
        <v>645</v>
      </c>
      <c r="H1033" s="88">
        <v>21447.513812154695</v>
      </c>
      <c r="I1033" s="89">
        <v>10</v>
      </c>
      <c r="J1033" s="90">
        <v>15528</v>
      </c>
      <c r="K1033" s="85">
        <v>2</v>
      </c>
      <c r="L1033" s="85">
        <v>157</v>
      </c>
      <c r="M1033" s="85">
        <v>0</v>
      </c>
      <c r="N1033" s="82" t="s">
        <v>10966</v>
      </c>
      <c r="O1033" s="83"/>
    </row>
    <row r="1034" spans="1:15" ht="22.5" customHeight="1">
      <c r="A1034" s="85">
        <v>766589657993298</v>
      </c>
      <c r="B1034" s="82" t="s">
        <v>10688</v>
      </c>
      <c r="C1034" s="82" t="s">
        <v>10967</v>
      </c>
      <c r="D1034" s="82" t="s">
        <v>1158</v>
      </c>
      <c r="E1034" s="82">
        <v>6285167182620</v>
      </c>
      <c r="F1034" s="86">
        <v>45835</v>
      </c>
      <c r="G1034" s="87">
        <v>302</v>
      </c>
      <c r="H1034" s="88">
        <v>46404.388714733541</v>
      </c>
      <c r="I1034" s="89">
        <v>4</v>
      </c>
      <c r="J1034" s="90">
        <v>14803</v>
      </c>
      <c r="K1034" s="85">
        <v>1</v>
      </c>
      <c r="L1034" s="85">
        <v>105</v>
      </c>
      <c r="M1034" s="85">
        <v>0</v>
      </c>
      <c r="N1034" s="82" t="s">
        <v>10968</v>
      </c>
      <c r="O1034" s="83"/>
    </row>
    <row r="1035" spans="1:15" ht="22.5" customHeight="1">
      <c r="A1035" s="85">
        <v>766589657993298</v>
      </c>
      <c r="B1035" s="82" t="s">
        <v>10688</v>
      </c>
      <c r="C1035" s="82" t="s">
        <v>10946</v>
      </c>
      <c r="D1035" s="82" t="s">
        <v>10947</v>
      </c>
      <c r="E1035" s="82">
        <v>6281374115054</v>
      </c>
      <c r="F1035" s="86">
        <v>45835</v>
      </c>
      <c r="G1035" s="87">
        <v>495</v>
      </c>
      <c r="H1035" s="88">
        <v>23086.071987480438</v>
      </c>
      <c r="I1035" s="89">
        <v>5</v>
      </c>
      <c r="J1035" s="90">
        <v>14752</v>
      </c>
      <c r="K1035" s="85">
        <v>0</v>
      </c>
      <c r="L1035" s="85">
        <v>141</v>
      </c>
      <c r="M1035" s="85">
        <v>0</v>
      </c>
      <c r="N1035" s="82" t="s">
        <v>10948</v>
      </c>
      <c r="O1035" s="83"/>
    </row>
    <row r="1036" spans="1:15" ht="22.5" customHeight="1">
      <c r="A1036" s="85">
        <v>766589657993298</v>
      </c>
      <c r="B1036" s="82" t="s">
        <v>10688</v>
      </c>
      <c r="C1036" s="82" t="s">
        <v>10933</v>
      </c>
      <c r="D1036" s="82" t="s">
        <v>10934</v>
      </c>
      <c r="E1036" s="82">
        <v>6281293309300</v>
      </c>
      <c r="F1036" s="86">
        <v>45835</v>
      </c>
      <c r="G1036" s="87">
        <v>176</v>
      </c>
      <c r="H1036" s="88">
        <v>73268.656716417914</v>
      </c>
      <c r="I1036" s="89">
        <v>8</v>
      </c>
      <c r="J1036" s="90">
        <v>14727</v>
      </c>
      <c r="K1036" s="85">
        <v>3</v>
      </c>
      <c r="L1036" s="85">
        <v>0</v>
      </c>
      <c r="M1036" s="85">
        <v>0</v>
      </c>
      <c r="N1036" s="82" t="s">
        <v>10935</v>
      </c>
      <c r="O1036" s="83"/>
    </row>
    <row r="1037" spans="1:15" ht="22.5" customHeight="1">
      <c r="A1037" s="85">
        <v>766589657993298</v>
      </c>
      <c r="B1037" s="82" t="s">
        <v>10688</v>
      </c>
      <c r="C1037" s="82" t="s">
        <v>10917</v>
      </c>
      <c r="D1037" s="82" t="s">
        <v>1037</v>
      </c>
      <c r="E1037" s="82">
        <v>6281383434602</v>
      </c>
      <c r="F1037" s="86">
        <v>45835</v>
      </c>
      <c r="G1037" s="87">
        <v>420</v>
      </c>
      <c r="H1037" s="88">
        <v>28242.82982791587</v>
      </c>
      <c r="I1037" s="89">
        <v>8</v>
      </c>
      <c r="J1037" s="90">
        <v>14771</v>
      </c>
      <c r="K1037" s="85">
        <v>0</v>
      </c>
      <c r="L1037" s="85">
        <v>0</v>
      </c>
      <c r="M1037" s="85">
        <v>0</v>
      </c>
      <c r="N1037" s="82" t="s">
        <v>10918</v>
      </c>
      <c r="O1037" s="83"/>
    </row>
    <row r="1038" spans="1:15" ht="22.5" customHeight="1">
      <c r="A1038" s="85">
        <v>766589657993298</v>
      </c>
      <c r="B1038" s="82" t="s">
        <v>10688</v>
      </c>
      <c r="C1038" s="82" t="s">
        <v>10919</v>
      </c>
      <c r="D1038" s="82" t="s">
        <v>951</v>
      </c>
      <c r="E1038" s="82">
        <v>6281383899119</v>
      </c>
      <c r="F1038" s="86">
        <v>45835</v>
      </c>
      <c r="G1038" s="87">
        <v>737</v>
      </c>
      <c r="H1038" s="88">
        <v>19939.130434782608</v>
      </c>
      <c r="I1038" s="89">
        <v>13</v>
      </c>
      <c r="J1038" s="90">
        <v>16051</v>
      </c>
      <c r="K1038" s="85">
        <v>2</v>
      </c>
      <c r="L1038" s="85">
        <v>202</v>
      </c>
      <c r="M1038" s="85">
        <v>1</v>
      </c>
      <c r="N1038" s="82" t="s">
        <v>10920</v>
      </c>
      <c r="O1038" s="83"/>
    </row>
    <row r="1039" spans="1:15" ht="22.5" customHeight="1">
      <c r="A1039" s="85">
        <v>766589657993298</v>
      </c>
      <c r="B1039" s="82" t="s">
        <v>10688</v>
      </c>
      <c r="C1039" s="82" t="s">
        <v>10898</v>
      </c>
      <c r="D1039" s="82" t="s">
        <v>978</v>
      </c>
      <c r="E1039" s="82">
        <v>6283135590465</v>
      </c>
      <c r="F1039" s="86">
        <v>45835</v>
      </c>
      <c r="G1039" s="87">
        <v>405</v>
      </c>
      <c r="H1039" s="88">
        <v>31532</v>
      </c>
      <c r="I1039" s="89">
        <v>8</v>
      </c>
      <c r="J1039" s="90">
        <v>15766</v>
      </c>
      <c r="K1039" s="85">
        <v>0</v>
      </c>
      <c r="L1039" s="85">
        <v>0</v>
      </c>
      <c r="M1039" s="85">
        <v>0</v>
      </c>
      <c r="N1039" s="82" t="s">
        <v>10899</v>
      </c>
      <c r="O1039" s="83"/>
    </row>
    <row r="1040" spans="1:15" ht="22.5" customHeight="1">
      <c r="A1040" s="85">
        <v>766589657993298</v>
      </c>
      <c r="B1040" s="82" t="s">
        <v>10688</v>
      </c>
      <c r="C1040" s="82" t="s">
        <v>10885</v>
      </c>
      <c r="D1040" s="82" t="s">
        <v>906</v>
      </c>
      <c r="E1040" s="82">
        <v>6282183115806</v>
      </c>
      <c r="F1040" s="86">
        <v>45835</v>
      </c>
      <c r="G1040" s="87">
        <v>1168</v>
      </c>
      <c r="H1040" s="88">
        <v>11644.859813084113</v>
      </c>
      <c r="I1040" s="89">
        <v>29</v>
      </c>
      <c r="J1040" s="90">
        <v>14952</v>
      </c>
      <c r="K1040" s="85">
        <v>2</v>
      </c>
      <c r="L1040" s="85">
        <v>763</v>
      </c>
      <c r="M1040" s="85">
        <v>0</v>
      </c>
      <c r="N1040" s="82" t="s">
        <v>10886</v>
      </c>
      <c r="O1040" s="83"/>
    </row>
    <row r="1041" spans="1:15" ht="22.5" customHeight="1">
      <c r="A1041" s="85">
        <v>766589657993298</v>
      </c>
      <c r="B1041" s="82" t="s">
        <v>10688</v>
      </c>
      <c r="C1041" s="82" t="s">
        <v>10869</v>
      </c>
      <c r="D1041" s="82" t="s">
        <v>10870</v>
      </c>
      <c r="E1041" s="82">
        <v>6281230995752</v>
      </c>
      <c r="F1041" s="86">
        <v>45835</v>
      </c>
      <c r="G1041" s="87">
        <v>948</v>
      </c>
      <c r="H1041" s="88">
        <v>16053.501945525291</v>
      </c>
      <c r="I1041" s="89">
        <v>29</v>
      </c>
      <c r="J1041" s="90">
        <v>16503</v>
      </c>
      <c r="K1041" s="85">
        <v>6</v>
      </c>
      <c r="L1041" s="85">
        <v>486</v>
      </c>
      <c r="M1041" s="85">
        <v>0</v>
      </c>
      <c r="N1041" s="82" t="s">
        <v>10871</v>
      </c>
      <c r="O1041" s="83"/>
    </row>
    <row r="1042" spans="1:15" ht="22.5" customHeight="1">
      <c r="A1042" s="85">
        <v>766589657993298</v>
      </c>
      <c r="B1042" s="82" t="s">
        <v>10688</v>
      </c>
      <c r="C1042" s="82" t="s">
        <v>10877</v>
      </c>
      <c r="D1042" s="82" t="s">
        <v>861</v>
      </c>
      <c r="E1042" s="82">
        <v>6289617461806</v>
      </c>
      <c r="F1042" s="86">
        <v>45835</v>
      </c>
      <c r="G1042" s="87">
        <v>660</v>
      </c>
      <c r="H1042" s="88">
        <v>22208.672086720868</v>
      </c>
      <c r="I1042" s="89">
        <v>13</v>
      </c>
      <c r="J1042" s="90">
        <v>16390</v>
      </c>
      <c r="K1042" s="85">
        <v>2</v>
      </c>
      <c r="L1042" s="85">
        <v>58</v>
      </c>
      <c r="M1042" s="85">
        <v>0</v>
      </c>
      <c r="N1042" s="82" t="s">
        <v>10878</v>
      </c>
      <c r="O1042" s="83"/>
    </row>
    <row r="1043" spans="1:15" ht="22.5" customHeight="1">
      <c r="A1043" s="85">
        <v>766589657993298</v>
      </c>
      <c r="B1043" s="82" t="s">
        <v>10688</v>
      </c>
      <c r="C1043" s="82" t="s">
        <v>10879</v>
      </c>
      <c r="D1043" s="82" t="s">
        <v>10880</v>
      </c>
      <c r="E1043" s="82">
        <v>6281215851833</v>
      </c>
      <c r="F1043" s="86">
        <v>45835</v>
      </c>
      <c r="G1043" s="87">
        <v>367</v>
      </c>
      <c r="H1043" s="88">
        <v>33721.198156682025</v>
      </c>
      <c r="I1043" s="89">
        <v>9</v>
      </c>
      <c r="J1043" s="90">
        <v>14635</v>
      </c>
      <c r="K1043" s="85">
        <v>1</v>
      </c>
      <c r="L1043" s="85">
        <v>0</v>
      </c>
      <c r="M1043" s="85">
        <v>1</v>
      </c>
      <c r="N1043" s="82" t="s">
        <v>10881</v>
      </c>
      <c r="O1043" s="83"/>
    </row>
    <row r="1044" spans="1:15" ht="22.5" customHeight="1">
      <c r="A1044" s="85">
        <v>766589657993298</v>
      </c>
      <c r="B1044" s="82" t="s">
        <v>10688</v>
      </c>
      <c r="C1044" s="82" t="s">
        <v>10836</v>
      </c>
      <c r="D1044" s="82" t="s">
        <v>780</v>
      </c>
      <c r="E1044" s="82">
        <v>6283866009989</v>
      </c>
      <c r="F1044" s="86">
        <v>45835</v>
      </c>
      <c r="G1044" s="87">
        <v>733</v>
      </c>
      <c r="H1044" s="88">
        <v>20546.272493573266</v>
      </c>
      <c r="I1044" s="89">
        <v>23</v>
      </c>
      <c r="J1044" s="90">
        <v>15985</v>
      </c>
      <c r="K1044" s="85">
        <v>2</v>
      </c>
      <c r="L1044" s="85">
        <v>397</v>
      </c>
      <c r="M1044" s="85">
        <v>0</v>
      </c>
      <c r="N1044" s="82" t="s">
        <v>10837</v>
      </c>
      <c r="O1044" s="83"/>
    </row>
    <row r="1045" spans="1:15" ht="22.5" customHeight="1">
      <c r="A1045" s="85">
        <v>766589657993298</v>
      </c>
      <c r="B1045" s="82" t="s">
        <v>10688</v>
      </c>
      <c r="C1045" s="82" t="s">
        <v>720</v>
      </c>
      <c r="D1045" s="82" t="s">
        <v>10840</v>
      </c>
      <c r="E1045" s="82">
        <v>6282141603091</v>
      </c>
      <c r="F1045" s="86">
        <v>45835</v>
      </c>
      <c r="G1045" s="87">
        <v>744</v>
      </c>
      <c r="H1045" s="88">
        <v>18226.650062266501</v>
      </c>
      <c r="I1045" s="89">
        <v>15</v>
      </c>
      <c r="J1045" s="90">
        <v>14636</v>
      </c>
      <c r="K1045" s="85">
        <v>0</v>
      </c>
      <c r="L1045" s="85">
        <v>0</v>
      </c>
      <c r="M1045" s="85">
        <v>0</v>
      </c>
      <c r="N1045" s="82" t="s">
        <v>10841</v>
      </c>
      <c r="O1045" s="83"/>
    </row>
    <row r="1046" spans="1:15" ht="22.5" customHeight="1">
      <c r="A1046" s="85">
        <v>766589657993298</v>
      </c>
      <c r="B1046" s="82" t="s">
        <v>10688</v>
      </c>
      <c r="C1046" s="82" t="s">
        <v>689</v>
      </c>
      <c r="D1046" s="82" t="s">
        <v>10923</v>
      </c>
      <c r="E1046" s="82">
        <v>6282176695820</v>
      </c>
      <c r="F1046" s="86">
        <v>45835</v>
      </c>
      <c r="G1046" s="87">
        <v>579</v>
      </c>
      <c r="H1046" s="88">
        <v>23227.272727272728</v>
      </c>
      <c r="I1046" s="89">
        <v>15</v>
      </c>
      <c r="J1046" s="90">
        <v>15330</v>
      </c>
      <c r="K1046" s="85">
        <v>2</v>
      </c>
      <c r="L1046" s="85">
        <v>211</v>
      </c>
      <c r="M1046" s="85">
        <v>0</v>
      </c>
      <c r="N1046" s="82" t="s">
        <v>10921</v>
      </c>
      <c r="O1046" s="83"/>
    </row>
    <row r="1047" spans="1:15" ht="22.5" customHeight="1">
      <c r="A1047" s="85">
        <v>766589657993298</v>
      </c>
      <c r="B1047" s="82" t="s">
        <v>10688</v>
      </c>
      <c r="C1047" s="82" t="s">
        <v>10822</v>
      </c>
      <c r="D1047" s="82" t="s">
        <v>676</v>
      </c>
      <c r="E1047" s="82">
        <v>6281316155059</v>
      </c>
      <c r="F1047" s="86">
        <v>45835</v>
      </c>
      <c r="G1047" s="87">
        <v>313</v>
      </c>
      <c r="H1047" s="88">
        <v>47145.510835913316</v>
      </c>
      <c r="I1047" s="89">
        <v>13</v>
      </c>
      <c r="J1047" s="90">
        <v>15228</v>
      </c>
      <c r="K1047" s="85">
        <v>1</v>
      </c>
      <c r="L1047" s="85">
        <v>38</v>
      </c>
      <c r="M1047" s="85">
        <v>0</v>
      </c>
      <c r="N1047" s="82" t="s">
        <v>10823</v>
      </c>
      <c r="O1047" s="83"/>
    </row>
    <row r="1048" spans="1:15" ht="22.5" customHeight="1">
      <c r="A1048" s="85">
        <v>766589657993298</v>
      </c>
      <c r="B1048" s="82" t="s">
        <v>10688</v>
      </c>
      <c r="C1048" s="82" t="s">
        <v>769</v>
      </c>
      <c r="D1048" s="82" t="s">
        <v>764</v>
      </c>
      <c r="E1048" s="82">
        <v>6287778562681</v>
      </c>
      <c r="F1048" s="86">
        <v>45835</v>
      </c>
      <c r="G1048" s="87">
        <v>414</v>
      </c>
      <c r="H1048" s="88">
        <v>37684.834123222747</v>
      </c>
      <c r="I1048" s="89">
        <v>8</v>
      </c>
      <c r="J1048" s="90">
        <v>15903</v>
      </c>
      <c r="K1048" s="85">
        <v>0</v>
      </c>
      <c r="L1048" s="85">
        <v>183</v>
      </c>
      <c r="M1048" s="85">
        <v>0</v>
      </c>
      <c r="N1048" s="82" t="s">
        <v>10882</v>
      </c>
      <c r="O1048" s="83"/>
    </row>
    <row r="1049" spans="1:15" ht="22.5" customHeight="1">
      <c r="A1049" s="76">
        <v>766589657993298</v>
      </c>
      <c r="B1049" s="77" t="s">
        <v>10688</v>
      </c>
      <c r="C1049" s="77" t="s">
        <v>769</v>
      </c>
      <c r="D1049" s="77" t="s">
        <v>764</v>
      </c>
      <c r="E1049" s="77">
        <v>6287778562681</v>
      </c>
      <c r="F1049" s="84">
        <v>45832</v>
      </c>
      <c r="G1049" s="79">
        <v>422</v>
      </c>
      <c r="H1049" s="80">
        <v>31549.327354260091</v>
      </c>
      <c r="I1049" s="72">
        <v>5</v>
      </c>
      <c r="J1049" s="81">
        <v>14071</v>
      </c>
      <c r="K1049" s="76">
        <v>1</v>
      </c>
      <c r="L1049" s="76">
        <v>169</v>
      </c>
      <c r="M1049" s="76">
        <v>0</v>
      </c>
      <c r="N1049" s="82" t="s">
        <v>10787</v>
      </c>
      <c r="O1049" s="83"/>
    </row>
    <row r="1050" spans="1:15" ht="22.5" customHeight="1">
      <c r="A1050" s="85">
        <v>766589657993298</v>
      </c>
      <c r="B1050" s="82" t="s">
        <v>10688</v>
      </c>
      <c r="C1050" s="82" t="s">
        <v>10772</v>
      </c>
      <c r="D1050" s="82" t="s">
        <v>10773</v>
      </c>
      <c r="E1050" s="82">
        <v>6285261023204</v>
      </c>
      <c r="F1050" s="86">
        <v>45835</v>
      </c>
      <c r="G1050" s="87">
        <v>155</v>
      </c>
      <c r="H1050" s="88">
        <v>26061.349693251534</v>
      </c>
      <c r="I1050" s="89">
        <v>1</v>
      </c>
      <c r="J1050" s="90">
        <v>4248</v>
      </c>
      <c r="K1050" s="85">
        <v>0</v>
      </c>
      <c r="L1050" s="85">
        <v>32</v>
      </c>
      <c r="M1050" s="85">
        <v>0</v>
      </c>
      <c r="N1050" s="82" t="s">
        <v>10774</v>
      </c>
      <c r="O1050" s="83"/>
    </row>
    <row r="1051" spans="1:15" ht="22.5" customHeight="1">
      <c r="A1051" s="85">
        <v>766589657993298</v>
      </c>
      <c r="B1051" s="82" t="s">
        <v>10688</v>
      </c>
      <c r="C1051" s="82" t="s">
        <v>10762</v>
      </c>
      <c r="D1051" s="82" t="s">
        <v>10763</v>
      </c>
      <c r="E1051" s="82">
        <v>6285210107607</v>
      </c>
      <c r="F1051" s="86">
        <v>45835</v>
      </c>
      <c r="G1051" s="87">
        <v>794</v>
      </c>
      <c r="H1051" s="88">
        <v>19859.887005649718</v>
      </c>
      <c r="I1051" s="89">
        <v>14</v>
      </c>
      <c r="J1051" s="90">
        <v>17576</v>
      </c>
      <c r="K1051" s="85">
        <v>1</v>
      </c>
      <c r="L1051" s="85">
        <v>229</v>
      </c>
      <c r="M1051" s="85">
        <v>0</v>
      </c>
      <c r="N1051" s="82" t="s">
        <v>10764</v>
      </c>
      <c r="O1051" s="83"/>
    </row>
    <row r="1052" spans="1:15" ht="22.5" customHeight="1">
      <c r="A1052" s="85">
        <v>766589657993298</v>
      </c>
      <c r="B1052" s="82" t="s">
        <v>10688</v>
      </c>
      <c r="C1052" s="82" t="s">
        <v>10767</v>
      </c>
      <c r="D1052" s="82" t="s">
        <v>10768</v>
      </c>
      <c r="E1052" s="82">
        <v>6281519225886</v>
      </c>
      <c r="F1052" s="86">
        <v>45835</v>
      </c>
      <c r="G1052" s="87">
        <v>441</v>
      </c>
      <c r="H1052" s="88">
        <v>31035.573122529644</v>
      </c>
      <c r="I1052" s="89">
        <v>15</v>
      </c>
      <c r="J1052" s="90">
        <v>15704</v>
      </c>
      <c r="K1052" s="85">
        <v>4</v>
      </c>
      <c r="L1052" s="85">
        <v>3</v>
      </c>
      <c r="M1052" s="85">
        <v>0</v>
      </c>
      <c r="N1052" s="82" t="s">
        <v>10769</v>
      </c>
      <c r="O1052" s="83"/>
    </row>
    <row r="1053" spans="1:15" ht="22.5" customHeight="1">
      <c r="A1053" s="85">
        <v>766589657993298</v>
      </c>
      <c r="B1053" s="82" t="s">
        <v>10688</v>
      </c>
      <c r="C1053" s="82" t="s">
        <v>10797</v>
      </c>
      <c r="D1053" s="82" t="s">
        <v>10798</v>
      </c>
      <c r="E1053" s="82">
        <v>6285853370682</v>
      </c>
      <c r="F1053" s="86">
        <v>45835</v>
      </c>
      <c r="G1053" s="87">
        <v>515</v>
      </c>
      <c r="H1053" s="88">
        <v>26164.685908319185</v>
      </c>
      <c r="I1053" s="89">
        <v>7</v>
      </c>
      <c r="J1053" s="90">
        <v>15411</v>
      </c>
      <c r="K1053" s="85">
        <v>0</v>
      </c>
      <c r="L1053" s="85">
        <v>169</v>
      </c>
      <c r="M1053" s="85">
        <v>0</v>
      </c>
      <c r="N1053" s="82" t="s">
        <v>10799</v>
      </c>
      <c r="O1053" s="83"/>
    </row>
    <row r="1054" spans="1:15" ht="22.5" customHeight="1">
      <c r="A1054" s="85">
        <v>766589657993298</v>
      </c>
      <c r="B1054" s="82" t="s">
        <v>10688</v>
      </c>
      <c r="C1054" s="82" t="s">
        <v>10800</v>
      </c>
      <c r="D1054" s="82" t="s">
        <v>472</v>
      </c>
      <c r="E1054" s="82">
        <v>628114170888</v>
      </c>
      <c r="F1054" s="86">
        <v>45835</v>
      </c>
      <c r="G1054" s="87">
        <v>600</v>
      </c>
      <c r="H1054" s="88">
        <v>20710.242587601078</v>
      </c>
      <c r="I1054" s="89">
        <v>10</v>
      </c>
      <c r="J1054" s="90">
        <v>15367</v>
      </c>
      <c r="K1054" s="85">
        <v>0</v>
      </c>
      <c r="L1054" s="85">
        <v>0</v>
      </c>
      <c r="M1054" s="85">
        <v>0</v>
      </c>
      <c r="N1054" s="82" t="s">
        <v>10801</v>
      </c>
      <c r="O1054" s="83"/>
    </row>
    <row r="1055" spans="1:15" ht="22.5" customHeight="1">
      <c r="A1055" s="85">
        <v>766589657993298</v>
      </c>
      <c r="B1055" s="82" t="s">
        <v>10688</v>
      </c>
      <c r="C1055" s="82" t="s">
        <v>10802</v>
      </c>
      <c r="D1055" s="82" t="s">
        <v>567</v>
      </c>
      <c r="E1055" s="82">
        <v>6285220216325</v>
      </c>
      <c r="F1055" s="86">
        <v>45835</v>
      </c>
      <c r="G1055" s="87">
        <v>389</v>
      </c>
      <c r="H1055" s="88">
        <v>27354.83870967742</v>
      </c>
      <c r="I1055" s="89">
        <v>4</v>
      </c>
      <c r="J1055" s="90">
        <v>11024</v>
      </c>
      <c r="K1055" s="85">
        <v>0</v>
      </c>
      <c r="L1055" s="85">
        <v>45</v>
      </c>
      <c r="M1055" s="85">
        <v>0</v>
      </c>
      <c r="N1055" s="82" t="s">
        <v>10924</v>
      </c>
      <c r="O1055" s="83"/>
    </row>
    <row r="1056" spans="1:15" ht="22.5" customHeight="1">
      <c r="A1056" s="85">
        <v>766589657993298</v>
      </c>
      <c r="B1056" s="82" t="s">
        <v>10688</v>
      </c>
      <c r="C1056" s="82" t="s">
        <v>10752</v>
      </c>
      <c r="D1056" s="82" t="s">
        <v>10753</v>
      </c>
      <c r="E1056" s="82">
        <v>6281340892328</v>
      </c>
      <c r="F1056" s="86">
        <v>45835</v>
      </c>
      <c r="G1056" s="87">
        <v>1041</v>
      </c>
      <c r="H1056" s="88">
        <v>12867.271228359439</v>
      </c>
      <c r="I1056" s="89">
        <v>26</v>
      </c>
      <c r="J1056" s="90">
        <v>15608</v>
      </c>
      <c r="K1056" s="85">
        <v>1</v>
      </c>
      <c r="L1056" s="85">
        <v>328</v>
      </c>
      <c r="M1056" s="85">
        <v>0</v>
      </c>
      <c r="N1056" s="82" t="s">
        <v>10754</v>
      </c>
      <c r="O1056" s="83"/>
    </row>
    <row r="1057" spans="1:15" ht="22.5" customHeight="1">
      <c r="A1057" s="76">
        <v>174904221976312</v>
      </c>
      <c r="B1057" s="77" t="s">
        <v>10651</v>
      </c>
      <c r="C1057" s="77" t="s">
        <v>10866</v>
      </c>
      <c r="D1057" s="77" t="s">
        <v>878</v>
      </c>
      <c r="E1057" s="77">
        <v>6285733774700</v>
      </c>
      <c r="F1057" s="84">
        <v>45832</v>
      </c>
      <c r="G1057" s="79">
        <v>653</v>
      </c>
      <c r="H1057" s="80">
        <v>17758.312020460358</v>
      </c>
      <c r="I1057" s="72">
        <v>25</v>
      </c>
      <c r="J1057" s="81">
        <v>13887</v>
      </c>
      <c r="K1057" s="76">
        <v>5</v>
      </c>
      <c r="L1057" s="76">
        <v>173</v>
      </c>
      <c r="M1057" s="76">
        <v>1</v>
      </c>
      <c r="N1057" s="82" t="s">
        <v>10951</v>
      </c>
      <c r="O1057" s="83"/>
    </row>
    <row r="1058" spans="1:15" ht="22.5" customHeight="1">
      <c r="A1058" s="85">
        <v>759724529202804</v>
      </c>
      <c r="B1058" s="82" t="s">
        <v>10621</v>
      </c>
      <c r="C1058" s="82" t="s">
        <v>10969</v>
      </c>
      <c r="D1058" s="82" t="s">
        <v>1277</v>
      </c>
      <c r="E1058" s="82">
        <v>6281269441611</v>
      </c>
      <c r="F1058" s="86">
        <v>45836</v>
      </c>
      <c r="G1058" s="87">
        <v>867</v>
      </c>
      <c r="H1058" s="88">
        <v>12497.737556561086</v>
      </c>
      <c r="I1058" s="89">
        <v>26</v>
      </c>
      <c r="J1058" s="90">
        <v>13810</v>
      </c>
      <c r="K1058" s="85">
        <v>3</v>
      </c>
      <c r="L1058" s="85">
        <v>0</v>
      </c>
      <c r="M1058" s="85">
        <v>1</v>
      </c>
      <c r="N1058" s="82" t="s">
        <v>10970</v>
      </c>
      <c r="O1058" s="83"/>
    </row>
    <row r="1059" spans="1:15" ht="22.5" customHeight="1">
      <c r="A1059" s="85">
        <v>759724529202804</v>
      </c>
      <c r="B1059" s="82" t="s">
        <v>10621</v>
      </c>
      <c r="C1059" s="82" t="s">
        <v>10954</v>
      </c>
      <c r="D1059" s="82" t="s">
        <v>1214</v>
      </c>
      <c r="E1059" s="82">
        <v>628174741283</v>
      </c>
      <c r="F1059" s="86">
        <v>45836</v>
      </c>
      <c r="G1059" s="87">
        <v>1284</v>
      </c>
      <c r="H1059" s="88">
        <v>10133.934767522554</v>
      </c>
      <c r="I1059" s="89">
        <v>22</v>
      </c>
      <c r="J1059" s="90">
        <v>14603</v>
      </c>
      <c r="K1059" s="85">
        <v>1</v>
      </c>
      <c r="L1059" s="85">
        <v>424</v>
      </c>
      <c r="M1059" s="85">
        <v>0</v>
      </c>
      <c r="N1059" s="82" t="s">
        <v>10955</v>
      </c>
      <c r="O1059" s="83"/>
    </row>
    <row r="1060" spans="1:15" ht="22.5" customHeight="1">
      <c r="A1060" s="85">
        <v>759724529202804</v>
      </c>
      <c r="B1060" s="82" t="s">
        <v>10621</v>
      </c>
      <c r="C1060" s="82" t="s">
        <v>10956</v>
      </c>
      <c r="D1060" s="82" t="s">
        <v>10957</v>
      </c>
      <c r="E1060" s="82">
        <v>6281649155643</v>
      </c>
      <c r="F1060" s="86">
        <v>45836</v>
      </c>
      <c r="G1060" s="87">
        <v>741</v>
      </c>
      <c r="H1060" s="88">
        <v>17005.617977528091</v>
      </c>
      <c r="I1060" s="89">
        <v>38</v>
      </c>
      <c r="J1060" s="90">
        <v>15135</v>
      </c>
      <c r="K1060" s="85">
        <v>1</v>
      </c>
      <c r="L1060" s="85">
        <v>485</v>
      </c>
      <c r="M1060" s="85">
        <v>0</v>
      </c>
      <c r="N1060" s="82" t="s">
        <v>10958</v>
      </c>
      <c r="O1060" s="83"/>
    </row>
    <row r="1061" spans="1:15" ht="22.5" customHeight="1">
      <c r="A1061" s="85">
        <v>759724529202804</v>
      </c>
      <c r="B1061" s="82" t="s">
        <v>10621</v>
      </c>
      <c r="C1061" s="82" t="s">
        <v>10959</v>
      </c>
      <c r="D1061" s="82" t="s">
        <v>1198</v>
      </c>
      <c r="E1061" s="82">
        <v>6281248936324</v>
      </c>
      <c r="F1061" s="86">
        <v>45836</v>
      </c>
      <c r="G1061" s="87">
        <v>1187</v>
      </c>
      <c r="H1061" s="88">
        <v>12153.616703952273</v>
      </c>
      <c r="I1061" s="89">
        <v>67</v>
      </c>
      <c r="J1061" s="90">
        <v>16298</v>
      </c>
      <c r="K1061" s="85">
        <v>5</v>
      </c>
      <c r="L1061" s="85">
        <v>648</v>
      </c>
      <c r="M1061" s="85">
        <v>1</v>
      </c>
      <c r="N1061" s="82" t="s">
        <v>10960</v>
      </c>
      <c r="O1061" s="83"/>
    </row>
    <row r="1062" spans="1:15" ht="22.5" customHeight="1">
      <c r="A1062" s="85">
        <v>759724529202804</v>
      </c>
      <c r="B1062" s="82" t="s">
        <v>10621</v>
      </c>
      <c r="C1062" s="82" t="s">
        <v>10961</v>
      </c>
      <c r="D1062" s="82" t="s">
        <v>10962</v>
      </c>
      <c r="E1062" s="82">
        <v>628158830325</v>
      </c>
      <c r="F1062" s="86">
        <v>45836</v>
      </c>
      <c r="G1062" s="87">
        <v>212</v>
      </c>
      <c r="H1062" s="88">
        <v>63534.782608695648</v>
      </c>
      <c r="I1062" s="89">
        <v>3</v>
      </c>
      <c r="J1062" s="90">
        <v>14613</v>
      </c>
      <c r="K1062" s="85">
        <v>0</v>
      </c>
      <c r="L1062" s="85">
        <v>2</v>
      </c>
      <c r="M1062" s="85">
        <v>0</v>
      </c>
      <c r="N1062" s="82" t="s">
        <v>10963</v>
      </c>
      <c r="O1062" s="83"/>
    </row>
    <row r="1063" spans="1:15" ht="22.5" customHeight="1">
      <c r="A1063" s="85">
        <v>759724529202804</v>
      </c>
      <c r="B1063" s="82" t="s">
        <v>10621</v>
      </c>
      <c r="C1063" s="82" t="s">
        <v>1169</v>
      </c>
      <c r="D1063" s="82" t="s">
        <v>1165</v>
      </c>
      <c r="E1063" s="82">
        <v>6281399731413</v>
      </c>
      <c r="F1063" s="86">
        <v>45836</v>
      </c>
      <c r="G1063" s="87">
        <v>411</v>
      </c>
      <c r="H1063" s="88">
        <v>29398.865784499056</v>
      </c>
      <c r="I1063" s="89">
        <v>14</v>
      </c>
      <c r="J1063" s="90">
        <v>15552</v>
      </c>
      <c r="K1063" s="85">
        <v>4</v>
      </c>
      <c r="L1063" s="85">
        <v>1</v>
      </c>
      <c r="M1063" s="85">
        <v>0</v>
      </c>
      <c r="N1063" s="82" t="s">
        <v>10936</v>
      </c>
      <c r="O1063" s="83"/>
    </row>
    <row r="1064" spans="1:15" ht="22.5" customHeight="1">
      <c r="A1064" s="85">
        <v>759724529202804</v>
      </c>
      <c r="B1064" s="82" t="s">
        <v>10621</v>
      </c>
      <c r="C1064" s="82" t="s">
        <v>10925</v>
      </c>
      <c r="D1064" s="82" t="s">
        <v>10926</v>
      </c>
      <c r="E1064" s="82">
        <v>6281233038880</v>
      </c>
      <c r="F1064" s="86">
        <v>45836</v>
      </c>
      <c r="G1064" s="87">
        <v>306</v>
      </c>
      <c r="H1064" s="88">
        <v>46596.685082872929</v>
      </c>
      <c r="I1064" s="89">
        <v>9</v>
      </c>
      <c r="J1064" s="90">
        <v>16868</v>
      </c>
      <c r="K1064" s="85">
        <v>1</v>
      </c>
      <c r="L1064" s="85">
        <v>0</v>
      </c>
      <c r="M1064" s="85">
        <v>0</v>
      </c>
      <c r="N1064" s="82" t="s">
        <v>10927</v>
      </c>
      <c r="O1064" s="83"/>
    </row>
    <row r="1065" spans="1:15" ht="22.5" customHeight="1">
      <c r="A1065" s="85">
        <v>759724529202804</v>
      </c>
      <c r="B1065" s="82" t="s">
        <v>10621</v>
      </c>
      <c r="C1065" s="82" t="s">
        <v>10928</v>
      </c>
      <c r="D1065" s="82" t="s">
        <v>1112</v>
      </c>
      <c r="E1065" s="82">
        <v>6285777110340</v>
      </c>
      <c r="F1065" s="86">
        <v>45836</v>
      </c>
      <c r="G1065" s="87">
        <v>246</v>
      </c>
      <c r="H1065" s="88">
        <v>53107.382550335569</v>
      </c>
      <c r="I1065" s="89">
        <v>8</v>
      </c>
      <c r="J1065" s="90">
        <v>15826</v>
      </c>
      <c r="K1065" s="85">
        <v>1</v>
      </c>
      <c r="L1065" s="85">
        <v>3</v>
      </c>
      <c r="M1065" s="85">
        <v>0</v>
      </c>
      <c r="N1065" s="82" t="s">
        <v>10929</v>
      </c>
      <c r="O1065" s="83"/>
    </row>
    <row r="1066" spans="1:15" ht="22.5" customHeight="1">
      <c r="A1066" s="85">
        <v>759724529202804</v>
      </c>
      <c r="B1066" s="82" t="s">
        <v>10621</v>
      </c>
      <c r="C1066" s="82" t="s">
        <v>10904</v>
      </c>
      <c r="D1066" s="82" t="s">
        <v>10905</v>
      </c>
      <c r="E1066" s="82">
        <v>6285711667433</v>
      </c>
      <c r="F1066" s="86">
        <v>45836</v>
      </c>
      <c r="G1066" s="87">
        <v>969</v>
      </c>
      <c r="H1066" s="88">
        <v>14367.34693877551</v>
      </c>
      <c r="I1066" s="89">
        <v>19</v>
      </c>
      <c r="J1066" s="90">
        <v>14784</v>
      </c>
      <c r="K1066" s="85">
        <v>4</v>
      </c>
      <c r="L1066" s="85">
        <v>297</v>
      </c>
      <c r="M1066" s="85">
        <v>0</v>
      </c>
      <c r="N1066" s="82" t="s">
        <v>10906</v>
      </c>
      <c r="O1066" s="83"/>
    </row>
    <row r="1067" spans="1:15" ht="22.5" customHeight="1">
      <c r="A1067" s="85">
        <v>759724529202804</v>
      </c>
      <c r="B1067" s="82" t="s">
        <v>10621</v>
      </c>
      <c r="C1067" s="82" t="s">
        <v>10907</v>
      </c>
      <c r="D1067" s="82" t="s">
        <v>943</v>
      </c>
      <c r="E1067" s="82">
        <v>6285775986977</v>
      </c>
      <c r="F1067" s="86">
        <v>45836</v>
      </c>
      <c r="G1067" s="87">
        <v>407</v>
      </c>
      <c r="H1067" s="88">
        <v>32593.147751605997</v>
      </c>
      <c r="I1067" s="89">
        <v>8</v>
      </c>
      <c r="J1067" s="90">
        <v>15221</v>
      </c>
      <c r="K1067" s="85">
        <v>1</v>
      </c>
      <c r="L1067" s="85">
        <v>161</v>
      </c>
      <c r="M1067" s="85">
        <v>0</v>
      </c>
      <c r="N1067" s="82" t="s">
        <v>10908</v>
      </c>
      <c r="O1067" s="83"/>
    </row>
    <row r="1068" spans="1:15" ht="22.5" customHeight="1">
      <c r="A1068" s="85">
        <v>759724529202804</v>
      </c>
      <c r="B1068" s="82" t="s">
        <v>10621</v>
      </c>
      <c r="C1068" s="82" t="s">
        <v>10909</v>
      </c>
      <c r="D1068" s="82" t="s">
        <v>10910</v>
      </c>
      <c r="E1068" s="82">
        <v>6281904501876</v>
      </c>
      <c r="F1068" s="86">
        <v>45836</v>
      </c>
      <c r="G1068" s="87">
        <v>1050</v>
      </c>
      <c r="H1068" s="88">
        <v>11564.742589703588</v>
      </c>
      <c r="I1068" s="89">
        <v>23</v>
      </c>
      <c r="J1068" s="90">
        <v>14826</v>
      </c>
      <c r="K1068" s="85">
        <v>1</v>
      </c>
      <c r="L1068" s="85">
        <v>0</v>
      </c>
      <c r="M1068" s="85">
        <v>0</v>
      </c>
      <c r="N1068" s="82" t="s">
        <v>10911</v>
      </c>
      <c r="O1068" s="83"/>
    </row>
    <row r="1069" spans="1:15" ht="22.5" customHeight="1">
      <c r="A1069" s="85">
        <v>759724529202804</v>
      </c>
      <c r="B1069" s="82" t="s">
        <v>10621</v>
      </c>
      <c r="C1069" s="82" t="s">
        <v>10912</v>
      </c>
      <c r="D1069" s="82" t="s">
        <v>1029</v>
      </c>
      <c r="E1069" s="82">
        <v>6281253792753</v>
      </c>
      <c r="F1069" s="86">
        <v>45836</v>
      </c>
      <c r="G1069" s="87">
        <v>1236</v>
      </c>
      <c r="H1069" s="88">
        <v>10775.778546712801</v>
      </c>
      <c r="I1069" s="89">
        <v>26</v>
      </c>
      <c r="J1069" s="90">
        <v>15571</v>
      </c>
      <c r="K1069" s="85">
        <v>1</v>
      </c>
      <c r="L1069" s="85">
        <v>337</v>
      </c>
      <c r="M1069" s="85">
        <v>0</v>
      </c>
      <c r="N1069" s="82" t="s">
        <v>10913</v>
      </c>
      <c r="O1069" s="83"/>
    </row>
    <row r="1070" spans="1:15" ht="22.5" customHeight="1">
      <c r="A1070" s="85">
        <v>759724529202804</v>
      </c>
      <c r="B1070" s="82" t="s">
        <v>10621</v>
      </c>
      <c r="C1070" s="82" t="s">
        <v>10922</v>
      </c>
      <c r="D1070" s="82" t="s">
        <v>1021</v>
      </c>
      <c r="E1070" s="82">
        <v>6282122880328</v>
      </c>
      <c r="F1070" s="86">
        <v>45836</v>
      </c>
      <c r="G1070" s="87">
        <v>265</v>
      </c>
      <c r="H1070" s="88">
        <v>53137.809187279156</v>
      </c>
      <c r="I1070" s="89">
        <v>9</v>
      </c>
      <c r="J1070" s="90">
        <v>15038</v>
      </c>
      <c r="K1070" s="85">
        <v>2</v>
      </c>
      <c r="L1070" s="85">
        <v>124</v>
      </c>
      <c r="M1070" s="85">
        <v>0</v>
      </c>
      <c r="N1070" s="82" t="s">
        <v>10914</v>
      </c>
      <c r="O1070" s="83"/>
    </row>
    <row r="1071" spans="1:15" ht="22.5" customHeight="1">
      <c r="A1071" s="85">
        <v>759724529202804</v>
      </c>
      <c r="B1071" s="82" t="s">
        <v>10621</v>
      </c>
      <c r="C1071" s="82" t="s">
        <v>10804</v>
      </c>
      <c r="D1071" s="82" t="s">
        <v>607</v>
      </c>
      <c r="E1071" s="82">
        <v>6288215545661</v>
      </c>
      <c r="F1071" s="86">
        <v>45836</v>
      </c>
      <c r="G1071" s="87">
        <v>432</v>
      </c>
      <c r="H1071" s="88">
        <v>36576.763485477182</v>
      </c>
      <c r="I1071" s="89">
        <v>26</v>
      </c>
      <c r="J1071" s="90">
        <v>17630</v>
      </c>
      <c r="K1071" s="85">
        <v>4</v>
      </c>
      <c r="L1071" s="85">
        <v>148</v>
      </c>
      <c r="M1071" s="85">
        <v>0</v>
      </c>
      <c r="N1071" s="82" t="s">
        <v>10805</v>
      </c>
      <c r="O1071" s="83"/>
    </row>
    <row r="1072" spans="1:15" ht="22.5" customHeight="1">
      <c r="A1072" s="85">
        <v>759724529202804</v>
      </c>
      <c r="B1072" s="82" t="s">
        <v>10621</v>
      </c>
      <c r="C1072" s="82" t="s">
        <v>332</v>
      </c>
      <c r="D1072" s="82" t="s">
        <v>10708</v>
      </c>
      <c r="E1072" s="82">
        <v>6282350524788</v>
      </c>
      <c r="F1072" s="86">
        <v>45836</v>
      </c>
      <c r="G1072" s="87">
        <v>779</v>
      </c>
      <c r="H1072" s="88">
        <v>16734.627831715214</v>
      </c>
      <c r="I1072" s="89">
        <v>28</v>
      </c>
      <c r="J1072" s="90">
        <v>15513</v>
      </c>
      <c r="K1072" s="85">
        <v>2</v>
      </c>
      <c r="L1072" s="85">
        <v>0</v>
      </c>
      <c r="M1072" s="85">
        <v>0</v>
      </c>
      <c r="N1072" s="82" t="s">
        <v>10709</v>
      </c>
      <c r="O1072" s="83"/>
    </row>
    <row r="1073" spans="1:15" ht="22.5" customHeight="1">
      <c r="A1073" s="85">
        <v>759724529202804</v>
      </c>
      <c r="B1073" s="82" t="s">
        <v>10621</v>
      </c>
      <c r="C1073" s="82" t="s">
        <v>665</v>
      </c>
      <c r="D1073" s="82" t="s">
        <v>659</v>
      </c>
      <c r="E1073" s="82">
        <v>6285757057088</v>
      </c>
      <c r="F1073" s="86">
        <v>45836</v>
      </c>
      <c r="G1073" s="87">
        <v>576</v>
      </c>
      <c r="H1073" s="88">
        <v>22336.538461538461</v>
      </c>
      <c r="I1073" s="89">
        <v>23</v>
      </c>
      <c r="J1073" s="90">
        <v>16261</v>
      </c>
      <c r="K1073" s="85">
        <v>0</v>
      </c>
      <c r="L1073" s="85">
        <v>0</v>
      </c>
      <c r="M1073" s="85">
        <v>0</v>
      </c>
      <c r="N1073" s="82" t="s">
        <v>10636</v>
      </c>
      <c r="O1073" s="83"/>
    </row>
    <row r="1074" spans="1:15" ht="22.5" customHeight="1">
      <c r="A1074" s="85">
        <v>174904221976312</v>
      </c>
      <c r="B1074" s="82" t="s">
        <v>10651</v>
      </c>
      <c r="C1074" s="82" t="s">
        <v>10971</v>
      </c>
      <c r="D1074" s="82" t="s">
        <v>1292</v>
      </c>
      <c r="E1074" s="82">
        <v>6281213589905</v>
      </c>
      <c r="F1074" s="86">
        <v>45836</v>
      </c>
      <c r="G1074" s="87">
        <v>251</v>
      </c>
      <c r="H1074" s="88">
        <v>41791.390728476821</v>
      </c>
      <c r="I1074" s="89">
        <v>11</v>
      </c>
      <c r="J1074" s="90">
        <v>12621</v>
      </c>
      <c r="K1074" s="85">
        <v>3</v>
      </c>
      <c r="L1074" s="85">
        <v>28</v>
      </c>
      <c r="M1074" s="85">
        <v>0</v>
      </c>
      <c r="N1074" s="82" t="s">
        <v>10972</v>
      </c>
      <c r="O1074" s="83"/>
    </row>
    <row r="1075" spans="1:15" ht="22.5" customHeight="1">
      <c r="A1075" s="85">
        <v>174904221976312</v>
      </c>
      <c r="B1075" s="82" t="s">
        <v>10651</v>
      </c>
      <c r="C1075" s="82" t="s">
        <v>10973</v>
      </c>
      <c r="D1075" s="82" t="s">
        <v>10974</v>
      </c>
      <c r="E1075" s="82">
        <v>6281347156140</v>
      </c>
      <c r="F1075" s="86">
        <v>45836</v>
      </c>
      <c r="G1075" s="87">
        <v>644</v>
      </c>
      <c r="H1075" s="88">
        <v>15247.37456242707</v>
      </c>
      <c r="I1075" s="89">
        <v>28</v>
      </c>
      <c r="J1075" s="90">
        <v>13067</v>
      </c>
      <c r="K1075" s="85">
        <v>5</v>
      </c>
      <c r="L1075" s="85">
        <v>229</v>
      </c>
      <c r="M1075" s="85">
        <v>0</v>
      </c>
      <c r="N1075" s="82" t="s">
        <v>10975</v>
      </c>
      <c r="O1075" s="83"/>
    </row>
    <row r="1076" spans="1:15" ht="22.5" customHeight="1">
      <c r="A1076" s="85">
        <v>174904221976312</v>
      </c>
      <c r="B1076" s="82" t="s">
        <v>10651</v>
      </c>
      <c r="C1076" s="82" t="s">
        <v>10937</v>
      </c>
      <c r="D1076" s="82" t="s">
        <v>10938</v>
      </c>
      <c r="E1076" s="82">
        <v>6281938563373</v>
      </c>
      <c r="F1076" s="86">
        <v>45836</v>
      </c>
      <c r="G1076" s="87">
        <v>202</v>
      </c>
      <c r="H1076" s="88">
        <v>57665.271966527194</v>
      </c>
      <c r="I1076" s="89">
        <v>8</v>
      </c>
      <c r="J1076" s="90">
        <v>13782</v>
      </c>
      <c r="K1076" s="85">
        <v>3</v>
      </c>
      <c r="L1076" s="85">
        <v>97</v>
      </c>
      <c r="M1076" s="85">
        <v>0</v>
      </c>
      <c r="N1076" s="82" t="s">
        <v>10939</v>
      </c>
      <c r="O1076" s="83"/>
    </row>
    <row r="1077" spans="1:15" ht="22.5" customHeight="1">
      <c r="A1077" s="85">
        <v>174904221976312</v>
      </c>
      <c r="B1077" s="82" t="s">
        <v>10651</v>
      </c>
      <c r="C1077" s="82" t="s">
        <v>10940</v>
      </c>
      <c r="D1077" s="82" t="s">
        <v>10941</v>
      </c>
      <c r="E1077" s="82">
        <v>6285266218699</v>
      </c>
      <c r="F1077" s="86">
        <v>45836</v>
      </c>
      <c r="G1077" s="87">
        <v>706</v>
      </c>
      <c r="H1077" s="88">
        <v>17054.335260115608</v>
      </c>
      <c r="I1077" s="89">
        <v>47</v>
      </c>
      <c r="J1077" s="90">
        <v>14752</v>
      </c>
      <c r="K1077" s="85">
        <v>6</v>
      </c>
      <c r="L1077" s="85">
        <v>378</v>
      </c>
      <c r="M1077" s="85">
        <v>1</v>
      </c>
      <c r="N1077" s="82" t="s">
        <v>10942</v>
      </c>
      <c r="O1077" s="83"/>
    </row>
    <row r="1078" spans="1:15" ht="22.5" customHeight="1">
      <c r="A1078" s="85">
        <v>174904221976312</v>
      </c>
      <c r="B1078" s="82" t="s">
        <v>10651</v>
      </c>
      <c r="C1078" s="82" t="s">
        <v>10943</v>
      </c>
      <c r="D1078" s="82" t="s">
        <v>10944</v>
      </c>
      <c r="E1078" s="82">
        <v>6285240694097</v>
      </c>
      <c r="F1078" s="86">
        <v>45836</v>
      </c>
      <c r="G1078" s="87">
        <v>1307</v>
      </c>
      <c r="H1078" s="88">
        <v>8619.490999379268</v>
      </c>
      <c r="I1078" s="89">
        <v>40</v>
      </c>
      <c r="J1078" s="90">
        <v>13886</v>
      </c>
      <c r="K1078" s="85">
        <v>3</v>
      </c>
      <c r="L1078" s="85">
        <v>72</v>
      </c>
      <c r="M1078" s="85">
        <v>0</v>
      </c>
      <c r="N1078" s="82" t="s">
        <v>10945</v>
      </c>
      <c r="O1078" s="83"/>
    </row>
    <row r="1079" spans="1:15" ht="22.5" customHeight="1">
      <c r="A1079" s="85">
        <v>174904221976312</v>
      </c>
      <c r="B1079" s="82" t="s">
        <v>10651</v>
      </c>
      <c r="C1079" s="82" t="s">
        <v>10930</v>
      </c>
      <c r="D1079" s="82" t="s">
        <v>10931</v>
      </c>
      <c r="E1079" s="82">
        <v>6282325874670</v>
      </c>
      <c r="F1079" s="86">
        <v>45836</v>
      </c>
      <c r="G1079" s="87">
        <v>1094</v>
      </c>
      <c r="H1079" s="88">
        <v>10964.396284829721</v>
      </c>
      <c r="I1079" s="89">
        <v>35</v>
      </c>
      <c r="J1079" s="90">
        <v>14166</v>
      </c>
      <c r="K1079" s="85">
        <v>2</v>
      </c>
      <c r="L1079" s="85">
        <v>276</v>
      </c>
      <c r="M1079" s="85">
        <v>0</v>
      </c>
      <c r="N1079" s="82" t="s">
        <v>10932</v>
      </c>
      <c r="O1079" s="83"/>
    </row>
    <row r="1080" spans="1:15" ht="22.5" customHeight="1">
      <c r="A1080" s="85">
        <v>174904221976312</v>
      </c>
      <c r="B1080" s="82" t="s">
        <v>10651</v>
      </c>
      <c r="C1080" s="82" t="s">
        <v>10915</v>
      </c>
      <c r="D1080" s="82" t="s">
        <v>10674</v>
      </c>
      <c r="E1080" s="82">
        <v>6282183184641</v>
      </c>
      <c r="F1080" s="86">
        <v>45836</v>
      </c>
      <c r="G1080" s="87">
        <v>535</v>
      </c>
      <c r="H1080" s="88">
        <v>22717.285945072701</v>
      </c>
      <c r="I1080" s="89">
        <v>21</v>
      </c>
      <c r="J1080" s="90">
        <v>14062</v>
      </c>
      <c r="K1080" s="85">
        <v>5</v>
      </c>
      <c r="L1080" s="85">
        <v>159</v>
      </c>
      <c r="M1080" s="85">
        <v>0</v>
      </c>
      <c r="N1080" s="82" t="s">
        <v>10675</v>
      </c>
      <c r="O1080" s="83"/>
    </row>
    <row r="1081" spans="1:15" ht="22.5" customHeight="1">
      <c r="A1081" s="85">
        <v>174904221976312</v>
      </c>
      <c r="B1081" s="82" t="s">
        <v>10651</v>
      </c>
      <c r="C1081" s="82" t="s">
        <v>10892</v>
      </c>
      <c r="D1081" s="82" t="s">
        <v>10893</v>
      </c>
      <c r="E1081" s="82">
        <v>6282399721881</v>
      </c>
      <c r="F1081" s="86">
        <v>45836</v>
      </c>
      <c r="G1081" s="87">
        <v>1001</v>
      </c>
      <c r="H1081" s="88">
        <v>11081.668114682885</v>
      </c>
      <c r="I1081" s="89">
        <v>21</v>
      </c>
      <c r="J1081" s="90">
        <v>12755</v>
      </c>
      <c r="K1081" s="85">
        <v>2</v>
      </c>
      <c r="L1081" s="85">
        <v>0</v>
      </c>
      <c r="M1081" s="85">
        <v>1</v>
      </c>
      <c r="N1081" s="82" t="s">
        <v>10894</v>
      </c>
      <c r="O1081" s="83"/>
    </row>
    <row r="1082" spans="1:15" ht="22.5" customHeight="1">
      <c r="A1082" s="85">
        <v>174904221976312</v>
      </c>
      <c r="B1082" s="82" t="s">
        <v>10651</v>
      </c>
      <c r="C1082" s="82" t="s">
        <v>10895</v>
      </c>
      <c r="D1082" s="82" t="s">
        <v>10896</v>
      </c>
      <c r="E1082" s="82">
        <v>6281299907533</v>
      </c>
      <c r="F1082" s="86">
        <v>45836</v>
      </c>
      <c r="G1082" s="87">
        <v>170</v>
      </c>
      <c r="H1082" s="88">
        <v>63573.684210526313</v>
      </c>
      <c r="I1082" s="89">
        <v>4</v>
      </c>
      <c r="J1082" s="90">
        <v>12079</v>
      </c>
      <c r="K1082" s="85">
        <v>2</v>
      </c>
      <c r="L1082" s="85">
        <v>0</v>
      </c>
      <c r="M1082" s="85">
        <v>0</v>
      </c>
      <c r="N1082" s="82" t="s">
        <v>10897</v>
      </c>
      <c r="O1082" s="83"/>
    </row>
    <row r="1083" spans="1:15" ht="22.5" customHeight="1">
      <c r="A1083" s="85">
        <v>174904221976312</v>
      </c>
      <c r="B1083" s="82" t="s">
        <v>10651</v>
      </c>
      <c r="C1083" s="82" t="s">
        <v>818</v>
      </c>
      <c r="D1083" s="82" t="s">
        <v>812</v>
      </c>
      <c r="E1083" s="82">
        <v>6287858585808</v>
      </c>
      <c r="F1083" s="86">
        <v>45836</v>
      </c>
      <c r="G1083" s="87">
        <v>598</v>
      </c>
      <c r="H1083" s="88">
        <v>19408.250355618777</v>
      </c>
      <c r="I1083" s="89">
        <v>13</v>
      </c>
      <c r="J1083" s="90">
        <v>13644</v>
      </c>
      <c r="K1083" s="85">
        <v>0</v>
      </c>
      <c r="L1083" s="85">
        <v>205</v>
      </c>
      <c r="M1083" s="85">
        <v>0</v>
      </c>
      <c r="N1083" s="82" t="s">
        <v>10831</v>
      </c>
      <c r="O1083" s="83"/>
    </row>
    <row r="1084" spans="1:15" ht="22.5" customHeight="1">
      <c r="A1084" s="85">
        <v>174904221976312</v>
      </c>
      <c r="B1084" s="82" t="s">
        <v>10651</v>
      </c>
      <c r="C1084" s="82" t="s">
        <v>10809</v>
      </c>
      <c r="D1084" s="82" t="s">
        <v>634</v>
      </c>
      <c r="E1084" s="82">
        <v>6282258886603</v>
      </c>
      <c r="F1084" s="86">
        <v>45836</v>
      </c>
      <c r="G1084" s="87">
        <v>222</v>
      </c>
      <c r="H1084" s="88">
        <v>42670.289855072464</v>
      </c>
      <c r="I1084" s="89">
        <v>18</v>
      </c>
      <c r="J1084" s="90">
        <v>11777</v>
      </c>
      <c r="K1084" s="85">
        <v>1</v>
      </c>
      <c r="L1084" s="85">
        <v>0</v>
      </c>
      <c r="M1084" s="85">
        <v>0</v>
      </c>
      <c r="N1084" s="82" t="s">
        <v>10810</v>
      </c>
      <c r="O1084" s="83"/>
    </row>
    <row r="1085" spans="1:15" ht="22.5" customHeight="1">
      <c r="A1085" s="85">
        <v>174904221976312</v>
      </c>
      <c r="B1085" s="82" t="s">
        <v>10651</v>
      </c>
      <c r="C1085" s="82" t="s">
        <v>311</v>
      </c>
      <c r="D1085" s="82" t="s">
        <v>10737</v>
      </c>
      <c r="E1085" s="82">
        <v>628988759290</v>
      </c>
      <c r="F1085" s="86">
        <v>45836</v>
      </c>
      <c r="G1085" s="87">
        <v>787</v>
      </c>
      <c r="H1085" s="88">
        <v>14950.537634408603</v>
      </c>
      <c r="I1085" s="89">
        <v>36</v>
      </c>
      <c r="J1085" s="90">
        <v>13904</v>
      </c>
      <c r="K1085" s="85">
        <v>3</v>
      </c>
      <c r="L1085" s="85">
        <v>213</v>
      </c>
      <c r="M1085" s="85">
        <v>2</v>
      </c>
      <c r="N1085" s="82" t="s">
        <v>10738</v>
      </c>
      <c r="O1085" s="83"/>
    </row>
    <row r="1086" spans="1:15" ht="22.5" customHeight="1">
      <c r="A1086" s="85">
        <v>174904221976312</v>
      </c>
      <c r="B1086" s="82" t="s">
        <v>10651</v>
      </c>
      <c r="C1086" s="82" t="s">
        <v>10778</v>
      </c>
      <c r="D1086" s="82" t="s">
        <v>3140</v>
      </c>
      <c r="E1086" s="82"/>
      <c r="F1086" s="86">
        <v>45836</v>
      </c>
      <c r="G1086" s="87">
        <v>3827</v>
      </c>
      <c r="H1086" s="88">
        <v>3181.4069215109703</v>
      </c>
      <c r="I1086" s="89">
        <v>74</v>
      </c>
      <c r="J1086" s="90">
        <v>14065</v>
      </c>
      <c r="K1086" s="85">
        <v>3</v>
      </c>
      <c r="L1086" s="85">
        <v>857</v>
      </c>
      <c r="M1086" s="85">
        <v>0</v>
      </c>
      <c r="N1086" s="82" t="s">
        <v>10779</v>
      </c>
      <c r="O1086" s="83"/>
    </row>
    <row r="1087" spans="1:15" ht="22.5" customHeight="1">
      <c r="A1087" s="85">
        <v>174904221976312</v>
      </c>
      <c r="B1087" s="82" t="s">
        <v>10651</v>
      </c>
      <c r="C1087" s="82" t="s">
        <v>10652</v>
      </c>
      <c r="D1087" s="82" t="s">
        <v>10653</v>
      </c>
      <c r="E1087" s="82">
        <v>6281348555887</v>
      </c>
      <c r="F1087" s="86">
        <v>45836</v>
      </c>
      <c r="G1087" s="87">
        <v>908</v>
      </c>
      <c r="H1087" s="88">
        <v>12931.06893106893</v>
      </c>
      <c r="I1087" s="89">
        <v>25</v>
      </c>
      <c r="J1087" s="90">
        <v>12944</v>
      </c>
      <c r="K1087" s="85">
        <v>1</v>
      </c>
      <c r="L1087" s="85">
        <v>276</v>
      </c>
      <c r="M1087" s="85">
        <v>0</v>
      </c>
      <c r="N1087" s="82" t="s">
        <v>10654</v>
      </c>
      <c r="O1087" s="83"/>
    </row>
    <row r="1088" spans="1:15" ht="22.5" customHeight="1">
      <c r="A1088" s="85">
        <v>174904221976312</v>
      </c>
      <c r="B1088" s="82" t="s">
        <v>10651</v>
      </c>
      <c r="C1088" s="82" t="s">
        <v>10657</v>
      </c>
      <c r="D1088" s="82" t="s">
        <v>1239</v>
      </c>
      <c r="E1088" s="82">
        <v>6282172291579</v>
      </c>
      <c r="F1088" s="86">
        <v>45836</v>
      </c>
      <c r="G1088" s="87">
        <v>682</v>
      </c>
      <c r="H1088" s="88">
        <v>14762.237762237761</v>
      </c>
      <c r="I1088" s="89">
        <v>48</v>
      </c>
      <c r="J1088" s="90">
        <v>12666</v>
      </c>
      <c r="K1088" s="85">
        <v>7</v>
      </c>
      <c r="L1088" s="85">
        <v>425</v>
      </c>
      <c r="M1088" s="85">
        <v>4</v>
      </c>
      <c r="N1088" s="82" t="s">
        <v>10658</v>
      </c>
      <c r="O1088" s="83"/>
    </row>
    <row r="1089" spans="1:15" ht="22.5" customHeight="1">
      <c r="A1089" s="85">
        <v>174904221976312</v>
      </c>
      <c r="B1089" s="82" t="s">
        <v>10651</v>
      </c>
      <c r="C1089" s="82" t="s">
        <v>10659</v>
      </c>
      <c r="D1089" s="82" t="s">
        <v>1044</v>
      </c>
      <c r="E1089" s="82">
        <v>6281263113266</v>
      </c>
      <c r="F1089" s="86">
        <v>45836</v>
      </c>
      <c r="G1089" s="87">
        <v>1202</v>
      </c>
      <c r="H1089" s="88">
        <v>10910.179640718563</v>
      </c>
      <c r="I1089" s="89">
        <v>70</v>
      </c>
      <c r="J1089" s="90">
        <v>14576</v>
      </c>
      <c r="K1089" s="85">
        <v>5</v>
      </c>
      <c r="L1089" s="85">
        <v>9</v>
      </c>
      <c r="M1089" s="85">
        <v>2</v>
      </c>
      <c r="N1089" s="82" t="s">
        <v>10660</v>
      </c>
      <c r="O1089" s="83"/>
    </row>
    <row r="1090" spans="1:15" ht="22.5" customHeight="1">
      <c r="A1090" s="85">
        <v>174904221976312</v>
      </c>
      <c r="B1090" s="82" t="s">
        <v>10651</v>
      </c>
      <c r="C1090" s="82" t="s">
        <v>10833</v>
      </c>
      <c r="D1090" s="82" t="s">
        <v>10834</v>
      </c>
      <c r="E1090" s="82">
        <v>6282242925264</v>
      </c>
      <c r="F1090" s="86">
        <v>45836</v>
      </c>
      <c r="G1090" s="87">
        <v>2150</v>
      </c>
      <c r="H1090" s="88">
        <v>6507.3469387755094</v>
      </c>
      <c r="I1090" s="89">
        <v>63</v>
      </c>
      <c r="J1090" s="90">
        <v>15943</v>
      </c>
      <c r="K1090" s="85">
        <v>2</v>
      </c>
      <c r="L1090" s="85">
        <v>664</v>
      </c>
      <c r="M1090" s="85">
        <v>0</v>
      </c>
      <c r="N1090" s="82" t="s">
        <v>10835</v>
      </c>
      <c r="O1090" s="83"/>
    </row>
    <row r="1091" spans="1:15" ht="22.5" customHeight="1">
      <c r="A1091" s="85">
        <v>766589657993298</v>
      </c>
      <c r="B1091" s="82" t="s">
        <v>10688</v>
      </c>
      <c r="C1091" s="82" t="s">
        <v>10976</v>
      </c>
      <c r="D1091" s="82" t="s">
        <v>10977</v>
      </c>
      <c r="E1091" s="82">
        <v>6281138301069</v>
      </c>
      <c r="F1091" s="86">
        <v>45836</v>
      </c>
      <c r="G1091" s="87">
        <v>5085</v>
      </c>
      <c r="H1091" s="88">
        <v>1450.7374631268437</v>
      </c>
      <c r="I1091" s="89">
        <v>8</v>
      </c>
      <c r="J1091" s="90">
        <v>7377</v>
      </c>
      <c r="K1091" s="85">
        <v>0</v>
      </c>
      <c r="L1091" s="85">
        <v>423</v>
      </c>
      <c r="M1091" s="85">
        <v>0</v>
      </c>
      <c r="N1091" s="82" t="s">
        <v>10978</v>
      </c>
      <c r="O1091" s="83"/>
    </row>
    <row r="1092" spans="1:15" ht="22.5" customHeight="1">
      <c r="A1092" s="85">
        <v>766589657993298</v>
      </c>
      <c r="B1092" s="82" t="s">
        <v>10688</v>
      </c>
      <c r="C1092" s="82" t="s">
        <v>10979</v>
      </c>
      <c r="D1092" s="82" t="s">
        <v>10980</v>
      </c>
      <c r="E1092" s="82">
        <v>6285715856120</v>
      </c>
      <c r="F1092" s="86">
        <v>45836</v>
      </c>
      <c r="G1092" s="87">
        <v>729</v>
      </c>
      <c r="H1092" s="88">
        <v>17874.848116646415</v>
      </c>
      <c r="I1092" s="89">
        <v>37</v>
      </c>
      <c r="J1092" s="90">
        <v>14711</v>
      </c>
      <c r="K1092" s="85">
        <v>10</v>
      </c>
      <c r="L1092" s="85">
        <v>356</v>
      </c>
      <c r="M1092" s="85">
        <v>2</v>
      </c>
      <c r="N1092" s="82" t="s">
        <v>10981</v>
      </c>
      <c r="O1092" s="83"/>
    </row>
    <row r="1093" spans="1:15" ht="22.5" customHeight="1">
      <c r="A1093" s="85">
        <v>766589657993298</v>
      </c>
      <c r="B1093" s="82" t="s">
        <v>10688</v>
      </c>
      <c r="C1093" s="82" t="s">
        <v>10982</v>
      </c>
      <c r="D1093" s="82" t="s">
        <v>1052</v>
      </c>
      <c r="E1093" s="82">
        <v>6282385989828</v>
      </c>
      <c r="F1093" s="86">
        <v>45836</v>
      </c>
      <c r="G1093" s="87">
        <v>613</v>
      </c>
      <c r="H1093" s="88">
        <v>18158.415841584159</v>
      </c>
      <c r="I1093" s="89">
        <v>28</v>
      </c>
      <c r="J1093" s="90">
        <v>14672</v>
      </c>
      <c r="K1093" s="85">
        <v>3</v>
      </c>
      <c r="L1093" s="85">
        <v>222</v>
      </c>
      <c r="M1093" s="85">
        <v>2</v>
      </c>
      <c r="N1093" s="82" t="s">
        <v>10983</v>
      </c>
      <c r="O1093" s="83"/>
    </row>
    <row r="1094" spans="1:15" ht="22.5" customHeight="1">
      <c r="A1094" s="85">
        <v>766589657993298</v>
      </c>
      <c r="B1094" s="82" t="s">
        <v>10688</v>
      </c>
      <c r="C1094" s="82" t="s">
        <v>10964</v>
      </c>
      <c r="D1094" s="82" t="s">
        <v>10965</v>
      </c>
      <c r="E1094" s="82">
        <v>6282365004117</v>
      </c>
      <c r="F1094" s="86">
        <v>45836</v>
      </c>
      <c r="G1094" s="87">
        <v>796</v>
      </c>
      <c r="H1094" s="88">
        <v>18050.96262740657</v>
      </c>
      <c r="I1094" s="89">
        <v>14</v>
      </c>
      <c r="J1094" s="90">
        <v>15939</v>
      </c>
      <c r="K1094" s="85">
        <v>0</v>
      </c>
      <c r="L1094" s="85">
        <v>43</v>
      </c>
      <c r="M1094" s="85">
        <v>0</v>
      </c>
      <c r="N1094" s="82" t="s">
        <v>10966</v>
      </c>
      <c r="O1094" s="83"/>
    </row>
    <row r="1095" spans="1:15" ht="22.5" customHeight="1">
      <c r="A1095" s="85">
        <v>766589657993298</v>
      </c>
      <c r="B1095" s="82" t="s">
        <v>10688</v>
      </c>
      <c r="C1095" s="82" t="s">
        <v>10967</v>
      </c>
      <c r="D1095" s="82" t="s">
        <v>1158</v>
      </c>
      <c r="E1095" s="82">
        <v>6285167182620</v>
      </c>
      <c r="F1095" s="86">
        <v>45836</v>
      </c>
      <c r="G1095" s="87">
        <v>213</v>
      </c>
      <c r="H1095" s="88">
        <v>61759.183673469386</v>
      </c>
      <c r="I1095" s="89">
        <v>7</v>
      </c>
      <c r="J1095" s="90">
        <v>15131</v>
      </c>
      <c r="K1095" s="85">
        <v>1</v>
      </c>
      <c r="L1095" s="85">
        <v>9</v>
      </c>
      <c r="M1095" s="85">
        <v>0</v>
      </c>
      <c r="N1095" s="82" t="s">
        <v>10968</v>
      </c>
      <c r="O1095" s="83"/>
    </row>
    <row r="1096" spans="1:15" ht="22.5" customHeight="1">
      <c r="A1096" s="85">
        <v>766589657993298</v>
      </c>
      <c r="B1096" s="82" t="s">
        <v>10688</v>
      </c>
      <c r="C1096" s="82" t="s">
        <v>10946</v>
      </c>
      <c r="D1096" s="82" t="s">
        <v>10947</v>
      </c>
      <c r="E1096" s="82">
        <v>6281374115054</v>
      </c>
      <c r="F1096" s="86">
        <v>45836</v>
      </c>
      <c r="G1096" s="87">
        <v>716</v>
      </c>
      <c r="H1096" s="88">
        <v>18537.209302325584</v>
      </c>
      <c r="I1096" s="89">
        <v>20</v>
      </c>
      <c r="J1096" s="90">
        <v>15942</v>
      </c>
      <c r="K1096" s="85">
        <v>2</v>
      </c>
      <c r="L1096" s="85">
        <v>200</v>
      </c>
      <c r="M1096" s="85">
        <v>0</v>
      </c>
      <c r="N1096" s="82" t="s">
        <v>10948</v>
      </c>
      <c r="O1096" s="83"/>
    </row>
    <row r="1097" spans="1:15" ht="22.5" customHeight="1">
      <c r="A1097" s="85">
        <v>766589657993298</v>
      </c>
      <c r="B1097" s="82" t="s">
        <v>10688</v>
      </c>
      <c r="C1097" s="82" t="s">
        <v>10933</v>
      </c>
      <c r="D1097" s="82" t="s">
        <v>10934</v>
      </c>
      <c r="E1097" s="82">
        <v>6281293309300</v>
      </c>
      <c r="F1097" s="86">
        <v>45836</v>
      </c>
      <c r="G1097" s="87">
        <v>192</v>
      </c>
      <c r="H1097" s="88">
        <v>65393.013100436678</v>
      </c>
      <c r="I1097" s="89">
        <v>3</v>
      </c>
      <c r="J1097" s="90">
        <v>14975</v>
      </c>
      <c r="K1097" s="85">
        <v>0</v>
      </c>
      <c r="L1097" s="85">
        <v>0</v>
      </c>
      <c r="M1097" s="85">
        <v>0</v>
      </c>
      <c r="N1097" s="82" t="s">
        <v>10935</v>
      </c>
      <c r="O1097" s="83"/>
    </row>
    <row r="1098" spans="1:15" ht="22.5" customHeight="1">
      <c r="A1098" s="85">
        <v>766589657993298</v>
      </c>
      <c r="B1098" s="82" t="s">
        <v>10688</v>
      </c>
      <c r="C1098" s="82" t="s">
        <v>10917</v>
      </c>
      <c r="D1098" s="82" t="s">
        <v>1037</v>
      </c>
      <c r="E1098" s="82">
        <v>6281383434602</v>
      </c>
      <c r="F1098" s="86">
        <v>45836</v>
      </c>
      <c r="G1098" s="87">
        <v>476</v>
      </c>
      <c r="H1098" s="88">
        <v>26992.805755395682</v>
      </c>
      <c r="I1098" s="89">
        <v>15</v>
      </c>
      <c r="J1098" s="90">
        <v>15008</v>
      </c>
      <c r="K1098" s="85">
        <v>1</v>
      </c>
      <c r="L1098" s="85">
        <v>0</v>
      </c>
      <c r="M1098" s="85">
        <v>0</v>
      </c>
      <c r="N1098" s="82" t="s">
        <v>10918</v>
      </c>
      <c r="O1098" s="83"/>
    </row>
    <row r="1099" spans="1:15" ht="22.5" customHeight="1">
      <c r="A1099" s="85">
        <v>766589657993298</v>
      </c>
      <c r="B1099" s="82" t="s">
        <v>10688</v>
      </c>
      <c r="C1099" s="82" t="s">
        <v>10919</v>
      </c>
      <c r="D1099" s="82" t="s">
        <v>951</v>
      </c>
      <c r="E1099" s="82">
        <v>6281383899119</v>
      </c>
      <c r="F1099" s="86">
        <v>45836</v>
      </c>
      <c r="G1099" s="87">
        <v>589</v>
      </c>
      <c r="H1099" s="88">
        <v>24732.7868852459</v>
      </c>
      <c r="I1099" s="89">
        <v>12</v>
      </c>
      <c r="J1099" s="90">
        <v>15087</v>
      </c>
      <c r="K1099" s="85">
        <v>2</v>
      </c>
      <c r="L1099" s="85">
        <v>178</v>
      </c>
      <c r="M1099" s="85">
        <v>0</v>
      </c>
      <c r="N1099" s="82" t="s">
        <v>10920</v>
      </c>
      <c r="O1099" s="83"/>
    </row>
    <row r="1100" spans="1:15" ht="22.5" customHeight="1">
      <c r="A1100" s="85">
        <v>766589657993298</v>
      </c>
      <c r="B1100" s="82" t="s">
        <v>10688</v>
      </c>
      <c r="C1100" s="82" t="s">
        <v>10885</v>
      </c>
      <c r="D1100" s="82" t="s">
        <v>906</v>
      </c>
      <c r="E1100" s="82">
        <v>6282183115806</v>
      </c>
      <c r="F1100" s="86">
        <v>45836</v>
      </c>
      <c r="G1100" s="87">
        <v>1020</v>
      </c>
      <c r="H1100" s="88">
        <v>14225.289403383795</v>
      </c>
      <c r="I1100" s="89">
        <v>18</v>
      </c>
      <c r="J1100" s="90">
        <v>15975</v>
      </c>
      <c r="K1100" s="85">
        <v>0</v>
      </c>
      <c r="L1100" s="85">
        <v>609</v>
      </c>
      <c r="M1100" s="85">
        <v>0</v>
      </c>
      <c r="N1100" s="82" t="s">
        <v>10886</v>
      </c>
      <c r="O1100" s="83"/>
    </row>
    <row r="1101" spans="1:15" ht="22.5" customHeight="1">
      <c r="A1101" s="85">
        <v>766589657993298</v>
      </c>
      <c r="B1101" s="82" t="s">
        <v>10688</v>
      </c>
      <c r="C1101" s="82" t="s">
        <v>10869</v>
      </c>
      <c r="D1101" s="82" t="s">
        <v>10870</v>
      </c>
      <c r="E1101" s="82">
        <v>6281230995752</v>
      </c>
      <c r="F1101" s="86">
        <v>45836</v>
      </c>
      <c r="G1101" s="87">
        <v>1048</v>
      </c>
      <c r="H1101" s="88">
        <v>13307.017543859649</v>
      </c>
      <c r="I1101" s="89">
        <v>42</v>
      </c>
      <c r="J1101" s="90">
        <v>15170</v>
      </c>
      <c r="K1101" s="85">
        <v>8</v>
      </c>
      <c r="L1101" s="85">
        <v>640</v>
      </c>
      <c r="M1101" s="85">
        <v>1</v>
      </c>
      <c r="N1101" s="82" t="s">
        <v>10871</v>
      </c>
      <c r="O1101" s="83"/>
    </row>
    <row r="1102" spans="1:15" ht="22.5" customHeight="1">
      <c r="A1102" s="85">
        <v>766589657993298</v>
      </c>
      <c r="B1102" s="82" t="s">
        <v>10688</v>
      </c>
      <c r="C1102" s="82" t="s">
        <v>10879</v>
      </c>
      <c r="D1102" s="82" t="s">
        <v>10880</v>
      </c>
      <c r="E1102" s="82">
        <v>6281215851833</v>
      </c>
      <c r="F1102" s="86">
        <v>45836</v>
      </c>
      <c r="G1102" s="87">
        <v>231</v>
      </c>
      <c r="H1102" s="88">
        <v>57714.285714285717</v>
      </c>
      <c r="I1102" s="89">
        <v>9</v>
      </c>
      <c r="J1102" s="90">
        <v>15352</v>
      </c>
      <c r="K1102" s="85">
        <v>0</v>
      </c>
      <c r="L1102" s="85">
        <v>1</v>
      </c>
      <c r="M1102" s="85">
        <v>0</v>
      </c>
      <c r="N1102" s="82" t="s">
        <v>10881</v>
      </c>
      <c r="O1102" s="83"/>
    </row>
    <row r="1103" spans="1:15" ht="22.5" customHeight="1">
      <c r="A1103" s="85">
        <v>766589657993298</v>
      </c>
      <c r="B1103" s="82" t="s">
        <v>10688</v>
      </c>
      <c r="C1103" s="82" t="s">
        <v>10836</v>
      </c>
      <c r="D1103" s="82" t="s">
        <v>780</v>
      </c>
      <c r="E1103" s="82">
        <v>6283866009989</v>
      </c>
      <c r="F1103" s="86">
        <v>45836</v>
      </c>
      <c r="G1103" s="87">
        <v>635</v>
      </c>
      <c r="H1103" s="88">
        <v>24780.152671755724</v>
      </c>
      <c r="I1103" s="89">
        <v>27</v>
      </c>
      <c r="J1103" s="90">
        <v>16231</v>
      </c>
      <c r="K1103" s="85">
        <v>1</v>
      </c>
      <c r="L1103" s="85">
        <v>399</v>
      </c>
      <c r="M1103" s="85">
        <v>0</v>
      </c>
      <c r="N1103" s="82" t="s">
        <v>10837</v>
      </c>
      <c r="O1103" s="83"/>
    </row>
    <row r="1104" spans="1:15" ht="22.5" customHeight="1">
      <c r="A1104" s="85">
        <v>766589657993298</v>
      </c>
      <c r="B1104" s="82" t="s">
        <v>10688</v>
      </c>
      <c r="C1104" s="82" t="s">
        <v>720</v>
      </c>
      <c r="D1104" s="82" t="s">
        <v>10840</v>
      </c>
      <c r="E1104" s="82">
        <v>6282141603091</v>
      </c>
      <c r="F1104" s="86">
        <v>45836</v>
      </c>
      <c r="G1104" s="87">
        <v>1079</v>
      </c>
      <c r="H1104" s="88">
        <v>14022.007042253523</v>
      </c>
      <c r="I1104" s="89">
        <v>27</v>
      </c>
      <c r="J1104" s="90">
        <v>15929</v>
      </c>
      <c r="K1104" s="85">
        <v>3</v>
      </c>
      <c r="L1104" s="85">
        <v>0</v>
      </c>
      <c r="M1104" s="85">
        <v>0</v>
      </c>
      <c r="N1104" s="82" t="s">
        <v>10841</v>
      </c>
      <c r="O1104" s="83"/>
    </row>
    <row r="1105" spans="1:15" ht="22.5" customHeight="1">
      <c r="A1105" s="85">
        <v>766589657993298</v>
      </c>
      <c r="B1105" s="82" t="s">
        <v>10688</v>
      </c>
      <c r="C1105" s="82" t="s">
        <v>689</v>
      </c>
      <c r="D1105" s="82" t="s">
        <v>10923</v>
      </c>
      <c r="E1105" s="82">
        <v>6282176695820</v>
      </c>
      <c r="F1105" s="86">
        <v>45836</v>
      </c>
      <c r="G1105" s="87">
        <v>574</v>
      </c>
      <c r="H1105" s="88">
        <v>24309.063893016344</v>
      </c>
      <c r="I1105" s="89">
        <v>9</v>
      </c>
      <c r="J1105" s="90">
        <v>16360</v>
      </c>
      <c r="K1105" s="85">
        <v>1</v>
      </c>
      <c r="L1105" s="85">
        <v>14</v>
      </c>
      <c r="M1105" s="85">
        <v>0</v>
      </c>
      <c r="N1105" s="82" t="s">
        <v>10921</v>
      </c>
      <c r="O1105" s="83"/>
    </row>
    <row r="1106" spans="1:15" ht="22.5" customHeight="1">
      <c r="A1106" s="85">
        <v>766589657993298</v>
      </c>
      <c r="B1106" s="82" t="s">
        <v>10688</v>
      </c>
      <c r="C1106" s="82" t="s">
        <v>10822</v>
      </c>
      <c r="D1106" s="82" t="s">
        <v>676</v>
      </c>
      <c r="E1106" s="82">
        <v>6281316155059</v>
      </c>
      <c r="F1106" s="86">
        <v>45836</v>
      </c>
      <c r="G1106" s="87">
        <v>250</v>
      </c>
      <c r="H1106" s="88">
        <v>59412.186379928316</v>
      </c>
      <c r="I1106" s="89">
        <v>9</v>
      </c>
      <c r="J1106" s="90">
        <v>16576</v>
      </c>
      <c r="K1106" s="85">
        <v>0</v>
      </c>
      <c r="L1106" s="85">
        <v>20</v>
      </c>
      <c r="M1106" s="85">
        <v>0</v>
      </c>
      <c r="N1106" s="82" t="s">
        <v>10823</v>
      </c>
      <c r="O1106" s="83"/>
    </row>
    <row r="1107" spans="1:15" ht="22.5" customHeight="1">
      <c r="A1107" s="85">
        <v>766589657993298</v>
      </c>
      <c r="B1107" s="82" t="s">
        <v>10688</v>
      </c>
      <c r="C1107" s="82" t="s">
        <v>769</v>
      </c>
      <c r="D1107" s="82" t="s">
        <v>764</v>
      </c>
      <c r="E1107" s="82">
        <v>6287778562681</v>
      </c>
      <c r="F1107" s="86">
        <v>45836</v>
      </c>
      <c r="G1107" s="87">
        <v>296</v>
      </c>
      <c r="H1107" s="88">
        <v>49533.742331288347</v>
      </c>
      <c r="I1107" s="89">
        <v>4</v>
      </c>
      <c r="J1107" s="90">
        <v>16148</v>
      </c>
      <c r="K1107" s="85">
        <v>0</v>
      </c>
      <c r="L1107" s="85">
        <v>143</v>
      </c>
      <c r="M1107" s="85">
        <v>0</v>
      </c>
      <c r="N1107" s="82" t="s">
        <v>10882</v>
      </c>
      <c r="O1107" s="83"/>
    </row>
    <row r="1108" spans="1:15" ht="22.5" customHeight="1">
      <c r="A1108" s="85">
        <v>766589657993298</v>
      </c>
      <c r="B1108" s="82" t="s">
        <v>10688</v>
      </c>
      <c r="C1108" s="82" t="s">
        <v>10786</v>
      </c>
      <c r="D1108" s="82" t="s">
        <v>739</v>
      </c>
      <c r="E1108" s="82">
        <v>628122102657</v>
      </c>
      <c r="F1108" s="86">
        <v>45836</v>
      </c>
      <c r="G1108" s="87">
        <v>353</v>
      </c>
      <c r="H1108" s="88">
        <v>38809.768637532128</v>
      </c>
      <c r="I1108" s="89">
        <v>10</v>
      </c>
      <c r="J1108" s="90">
        <v>15097</v>
      </c>
      <c r="K1108" s="85">
        <v>2</v>
      </c>
      <c r="L1108" s="85">
        <v>123</v>
      </c>
      <c r="M1108" s="85">
        <v>0</v>
      </c>
      <c r="N1108" s="82" t="s">
        <v>10787</v>
      </c>
      <c r="O1108" s="83"/>
    </row>
    <row r="1109" spans="1:15" ht="22.5" customHeight="1">
      <c r="A1109" s="85">
        <v>766589657993298</v>
      </c>
      <c r="B1109" s="82" t="s">
        <v>10688</v>
      </c>
      <c r="C1109" s="82" t="s">
        <v>10772</v>
      </c>
      <c r="D1109" s="82" t="s">
        <v>10773</v>
      </c>
      <c r="E1109" s="82">
        <v>6285261023204</v>
      </c>
      <c r="F1109" s="86">
        <v>45836</v>
      </c>
      <c r="G1109" s="87">
        <v>386</v>
      </c>
      <c r="H1109" s="88">
        <v>38155.875299760191</v>
      </c>
      <c r="I1109" s="89">
        <v>12</v>
      </c>
      <c r="J1109" s="90">
        <v>15911</v>
      </c>
      <c r="K1109" s="85">
        <v>2</v>
      </c>
      <c r="L1109" s="85">
        <v>112</v>
      </c>
      <c r="M1109" s="85">
        <v>1</v>
      </c>
      <c r="N1109" s="82" t="s">
        <v>10774</v>
      </c>
      <c r="O1109" s="83"/>
    </row>
    <row r="1110" spans="1:15" ht="22.5" customHeight="1">
      <c r="A1110" s="85">
        <v>766589657993298</v>
      </c>
      <c r="B1110" s="82" t="s">
        <v>10688</v>
      </c>
      <c r="C1110" s="82" t="s">
        <v>10762</v>
      </c>
      <c r="D1110" s="82" t="s">
        <v>10763</v>
      </c>
      <c r="E1110" s="82">
        <v>6285210107607</v>
      </c>
      <c r="F1110" s="86">
        <v>45836</v>
      </c>
      <c r="G1110" s="87">
        <v>679</v>
      </c>
      <c r="H1110" s="88">
        <v>25811.653116531164</v>
      </c>
      <c r="I1110" s="89">
        <v>12</v>
      </c>
      <c r="J1110" s="90">
        <v>19049</v>
      </c>
      <c r="K1110" s="85">
        <v>1</v>
      </c>
      <c r="L1110" s="85">
        <v>191</v>
      </c>
      <c r="M1110" s="85">
        <v>0</v>
      </c>
      <c r="N1110" s="82" t="s">
        <v>10764</v>
      </c>
      <c r="O1110" s="83"/>
    </row>
    <row r="1111" spans="1:15" ht="22.5" customHeight="1">
      <c r="A1111" s="85">
        <v>766589657993298</v>
      </c>
      <c r="B1111" s="82" t="s">
        <v>10688</v>
      </c>
      <c r="C1111" s="82" t="s">
        <v>10767</v>
      </c>
      <c r="D1111" s="82" t="s">
        <v>10768</v>
      </c>
      <c r="E1111" s="82">
        <v>6281519225886</v>
      </c>
      <c r="F1111" s="86">
        <v>45836</v>
      </c>
      <c r="G1111" s="87">
        <v>377</v>
      </c>
      <c r="H1111" s="88">
        <v>35988.095238095244</v>
      </c>
      <c r="I1111" s="89">
        <v>16</v>
      </c>
      <c r="J1111" s="90">
        <v>15115</v>
      </c>
      <c r="K1111" s="85">
        <v>2</v>
      </c>
      <c r="L1111" s="85">
        <v>6</v>
      </c>
      <c r="M1111" s="85">
        <v>0</v>
      </c>
      <c r="N1111" s="82" t="s">
        <v>10769</v>
      </c>
      <c r="O1111" s="83"/>
    </row>
    <row r="1112" spans="1:15" ht="22.5" customHeight="1">
      <c r="A1112" s="85">
        <v>766589657993298</v>
      </c>
      <c r="B1112" s="82" t="s">
        <v>10688</v>
      </c>
      <c r="C1112" s="82" t="s">
        <v>10797</v>
      </c>
      <c r="D1112" s="82" t="s">
        <v>10798</v>
      </c>
      <c r="E1112" s="82">
        <v>6285853370682</v>
      </c>
      <c r="F1112" s="86">
        <v>45836</v>
      </c>
      <c r="G1112" s="87">
        <v>408</v>
      </c>
      <c r="H1112" s="88">
        <v>32030.701754385966</v>
      </c>
      <c r="I1112" s="89">
        <v>9</v>
      </c>
      <c r="J1112" s="90">
        <v>14606</v>
      </c>
      <c r="K1112" s="85">
        <v>2</v>
      </c>
      <c r="L1112" s="85">
        <v>136</v>
      </c>
      <c r="M1112" s="85">
        <v>0</v>
      </c>
      <c r="N1112" s="82" t="s">
        <v>10799</v>
      </c>
      <c r="O1112" s="83"/>
    </row>
    <row r="1113" spans="1:15" ht="22.5" customHeight="1">
      <c r="A1113" s="85">
        <v>766589657993298</v>
      </c>
      <c r="B1113" s="82" t="s">
        <v>10688</v>
      </c>
      <c r="C1113" s="82" t="s">
        <v>10800</v>
      </c>
      <c r="D1113" s="82" t="s">
        <v>472</v>
      </c>
      <c r="E1113" s="82">
        <v>628114170888</v>
      </c>
      <c r="F1113" s="86">
        <v>45836</v>
      </c>
      <c r="G1113" s="87">
        <v>572</v>
      </c>
      <c r="H1113" s="88">
        <v>22797.337278106508</v>
      </c>
      <c r="I1113" s="89">
        <v>12</v>
      </c>
      <c r="J1113" s="90">
        <v>15411</v>
      </c>
      <c r="K1113" s="85">
        <v>0</v>
      </c>
      <c r="L1113" s="85">
        <v>0</v>
      </c>
      <c r="M1113" s="85">
        <v>1</v>
      </c>
      <c r="N1113" s="82" t="s">
        <v>10801</v>
      </c>
      <c r="O1113" s="83"/>
    </row>
    <row r="1114" spans="1:15" ht="22.5" customHeight="1">
      <c r="A1114" s="85">
        <v>766589657993298</v>
      </c>
      <c r="B1114" s="82" t="s">
        <v>10688</v>
      </c>
      <c r="C1114" s="82" t="s">
        <v>10752</v>
      </c>
      <c r="D1114" s="82" t="s">
        <v>10753</v>
      </c>
      <c r="E1114" s="82">
        <v>6281340892328</v>
      </c>
      <c r="F1114" s="86">
        <v>45836</v>
      </c>
      <c r="G1114" s="87">
        <v>975</v>
      </c>
      <c r="H1114" s="88">
        <v>13876.521739130436</v>
      </c>
      <c r="I1114" s="89">
        <v>28</v>
      </c>
      <c r="J1114" s="90">
        <v>15958</v>
      </c>
      <c r="K1114" s="85">
        <v>0</v>
      </c>
      <c r="L1114" s="85">
        <v>355</v>
      </c>
      <c r="M1114" s="85">
        <v>0</v>
      </c>
      <c r="N1114" s="82" t="s">
        <v>10754</v>
      </c>
      <c r="O1114" s="83"/>
    </row>
    <row r="1115" spans="1:15" ht="22.5" customHeight="1">
      <c r="A1115" s="85">
        <v>759724529202804</v>
      </c>
      <c r="B1115" s="82" t="s">
        <v>10621</v>
      </c>
      <c r="C1115" s="82" t="s">
        <v>10969</v>
      </c>
      <c r="D1115" s="82" t="s">
        <v>1277</v>
      </c>
      <c r="E1115" s="82">
        <v>6281269441611</v>
      </c>
      <c r="F1115" s="86">
        <v>45837</v>
      </c>
      <c r="G1115" s="87">
        <v>1197</v>
      </c>
      <c r="H1115" s="88">
        <v>9788.387096774195</v>
      </c>
      <c r="I1115" s="89">
        <v>24</v>
      </c>
      <c r="J1115" s="90">
        <v>15172</v>
      </c>
      <c r="K1115" s="85">
        <v>2</v>
      </c>
      <c r="L1115" s="85">
        <v>0</v>
      </c>
      <c r="M1115" s="85">
        <v>0</v>
      </c>
      <c r="N1115" s="82" t="s">
        <v>10970</v>
      </c>
      <c r="O1115" s="83"/>
    </row>
    <row r="1116" spans="1:15" ht="22.5" customHeight="1">
      <c r="A1116" s="85">
        <v>759724529202804</v>
      </c>
      <c r="B1116" s="82" t="s">
        <v>10621</v>
      </c>
      <c r="C1116" s="82" t="s">
        <v>10954</v>
      </c>
      <c r="D1116" s="82" t="s">
        <v>1214</v>
      </c>
      <c r="E1116" s="82">
        <v>628174741283</v>
      </c>
      <c r="F1116" s="86">
        <v>45837</v>
      </c>
      <c r="G1116" s="87">
        <v>1543</v>
      </c>
      <c r="H1116" s="88">
        <v>8320.1730665224441</v>
      </c>
      <c r="I1116" s="89">
        <v>30</v>
      </c>
      <c r="J1116" s="90">
        <v>15384</v>
      </c>
      <c r="K1116" s="85">
        <v>1</v>
      </c>
      <c r="L1116" s="85">
        <v>526</v>
      </c>
      <c r="M1116" s="85">
        <v>0</v>
      </c>
      <c r="N1116" s="82" t="s">
        <v>10955</v>
      </c>
      <c r="O1116" s="83"/>
    </row>
    <row r="1117" spans="1:15" ht="22.5" customHeight="1">
      <c r="A1117" s="85">
        <v>759724529202804</v>
      </c>
      <c r="B1117" s="82" t="s">
        <v>10621</v>
      </c>
      <c r="C1117" s="82" t="s">
        <v>10956</v>
      </c>
      <c r="D1117" s="82" t="s">
        <v>10957</v>
      </c>
      <c r="E1117" s="82">
        <v>6281649155643</v>
      </c>
      <c r="F1117" s="86">
        <v>45837</v>
      </c>
      <c r="G1117" s="87">
        <v>924</v>
      </c>
      <c r="H1117" s="88">
        <v>13817.415730337078</v>
      </c>
      <c r="I1117" s="89">
        <v>45</v>
      </c>
      <c r="J1117" s="90">
        <v>14757</v>
      </c>
      <c r="K1117" s="85">
        <v>7</v>
      </c>
      <c r="L1117" s="85">
        <v>598</v>
      </c>
      <c r="M1117" s="85">
        <v>0</v>
      </c>
      <c r="N1117" s="82" t="s">
        <v>10958</v>
      </c>
      <c r="O1117" s="83"/>
    </row>
    <row r="1118" spans="1:15" ht="22.5" customHeight="1">
      <c r="A1118" s="85">
        <v>759724529202804</v>
      </c>
      <c r="B1118" s="82" t="s">
        <v>10621</v>
      </c>
      <c r="C1118" s="82" t="s">
        <v>10959</v>
      </c>
      <c r="D1118" s="82" t="s">
        <v>1198</v>
      </c>
      <c r="E1118" s="82">
        <v>6281248936324</v>
      </c>
      <c r="F1118" s="86">
        <v>45837</v>
      </c>
      <c r="G1118" s="87">
        <v>1609</v>
      </c>
      <c r="H1118" s="88">
        <v>7947.0954356846478</v>
      </c>
      <c r="I1118" s="89">
        <v>181</v>
      </c>
      <c r="J1118" s="90">
        <v>15322</v>
      </c>
      <c r="K1118" s="85">
        <v>27</v>
      </c>
      <c r="L1118" s="85">
        <v>918</v>
      </c>
      <c r="M1118" s="85">
        <v>1</v>
      </c>
      <c r="N1118" s="82" t="s">
        <v>10960</v>
      </c>
      <c r="O1118" s="83"/>
    </row>
    <row r="1119" spans="1:15" ht="22.5" customHeight="1">
      <c r="A1119" s="85">
        <v>759724529202804</v>
      </c>
      <c r="B1119" s="82" t="s">
        <v>10621</v>
      </c>
      <c r="C1119" s="82" t="s">
        <v>10961</v>
      </c>
      <c r="D1119" s="82" t="s">
        <v>10962</v>
      </c>
      <c r="E1119" s="82">
        <v>628158830325</v>
      </c>
      <c r="F1119" s="86">
        <v>45837</v>
      </c>
      <c r="G1119" s="87">
        <v>250</v>
      </c>
      <c r="H1119" s="88">
        <v>59861.818181818177</v>
      </c>
      <c r="I1119" s="89">
        <v>2</v>
      </c>
      <c r="J1119" s="90">
        <v>16462</v>
      </c>
      <c r="K1119" s="85">
        <v>1</v>
      </c>
      <c r="L1119" s="85">
        <v>1</v>
      </c>
      <c r="M1119" s="85">
        <v>0</v>
      </c>
      <c r="N1119" s="82" t="s">
        <v>10963</v>
      </c>
      <c r="O1119" s="83"/>
    </row>
    <row r="1120" spans="1:15" ht="22.5" customHeight="1">
      <c r="A1120" s="85">
        <v>759724529202804</v>
      </c>
      <c r="B1120" s="82" t="s">
        <v>10621</v>
      </c>
      <c r="C1120" s="82" t="s">
        <v>1169</v>
      </c>
      <c r="D1120" s="82" t="s">
        <v>1165</v>
      </c>
      <c r="E1120" s="82">
        <v>6281399731413</v>
      </c>
      <c r="F1120" s="86">
        <v>45837</v>
      </c>
      <c r="G1120" s="87">
        <v>401</v>
      </c>
      <c r="H1120" s="88">
        <v>28091.603053435116</v>
      </c>
      <c r="I1120" s="89">
        <v>11</v>
      </c>
      <c r="J1120" s="90">
        <v>14720</v>
      </c>
      <c r="K1120" s="85">
        <v>2</v>
      </c>
      <c r="L1120" s="85">
        <v>0</v>
      </c>
      <c r="M1120" s="85">
        <v>1</v>
      </c>
      <c r="N1120" s="82" t="s">
        <v>10936</v>
      </c>
      <c r="O1120" s="83"/>
    </row>
    <row r="1121" spans="1:15" ht="22.5" customHeight="1">
      <c r="A1121" s="85">
        <v>759724529202804</v>
      </c>
      <c r="B1121" s="82" t="s">
        <v>10621</v>
      </c>
      <c r="C1121" s="82" t="s">
        <v>10925</v>
      </c>
      <c r="D1121" s="82" t="s">
        <v>10926</v>
      </c>
      <c r="E1121" s="82">
        <v>6281233038880</v>
      </c>
      <c r="F1121" s="86">
        <v>45837</v>
      </c>
      <c r="G1121" s="87">
        <v>295</v>
      </c>
      <c r="H1121" s="88">
        <v>40226.775956284153</v>
      </c>
      <c r="I1121" s="89">
        <v>10</v>
      </c>
      <c r="J1121" s="90">
        <v>14723</v>
      </c>
      <c r="K1121" s="85">
        <v>3</v>
      </c>
      <c r="L1121" s="85">
        <v>12</v>
      </c>
      <c r="M1121" s="85">
        <v>0</v>
      </c>
      <c r="N1121" s="82" t="s">
        <v>10927</v>
      </c>
      <c r="O1121" s="83"/>
    </row>
    <row r="1122" spans="1:15" ht="22.5" customHeight="1">
      <c r="A1122" s="85">
        <v>759724529202804</v>
      </c>
      <c r="B1122" s="82" t="s">
        <v>10621</v>
      </c>
      <c r="C1122" s="82" t="s">
        <v>10928</v>
      </c>
      <c r="D1122" s="82" t="s">
        <v>1112</v>
      </c>
      <c r="E1122" s="82">
        <v>6285777110340</v>
      </c>
      <c r="F1122" s="86">
        <v>45837</v>
      </c>
      <c r="G1122" s="87">
        <v>400</v>
      </c>
      <c r="H1122" s="88">
        <v>31202.505219206683</v>
      </c>
      <c r="I1122" s="89">
        <v>14</v>
      </c>
      <c r="J1122" s="90">
        <v>14946</v>
      </c>
      <c r="K1122" s="85">
        <v>4</v>
      </c>
      <c r="L1122" s="85">
        <v>4</v>
      </c>
      <c r="M1122" s="85">
        <v>2</v>
      </c>
      <c r="N1122" s="82" t="s">
        <v>10929</v>
      </c>
      <c r="O1122" s="83"/>
    </row>
    <row r="1123" spans="1:15" ht="22.5" customHeight="1">
      <c r="A1123" s="85">
        <v>759724529202804</v>
      </c>
      <c r="B1123" s="82" t="s">
        <v>10621</v>
      </c>
      <c r="C1123" s="82" t="s">
        <v>10909</v>
      </c>
      <c r="D1123" s="82" t="s">
        <v>10910</v>
      </c>
      <c r="E1123" s="82">
        <v>6281904501876</v>
      </c>
      <c r="F1123" s="86">
        <v>45837</v>
      </c>
      <c r="G1123" s="87">
        <v>1095</v>
      </c>
      <c r="H1123" s="88">
        <v>10632.311977715877</v>
      </c>
      <c r="I1123" s="89">
        <v>46</v>
      </c>
      <c r="J1123" s="90">
        <v>15268</v>
      </c>
      <c r="K1123" s="85">
        <v>3</v>
      </c>
      <c r="L1123" s="85">
        <v>0</v>
      </c>
      <c r="M1123" s="85">
        <v>1</v>
      </c>
      <c r="N1123" s="82" t="s">
        <v>10911</v>
      </c>
      <c r="O1123" s="83"/>
    </row>
    <row r="1124" spans="1:15" ht="22.5" customHeight="1">
      <c r="A1124" s="85">
        <v>759724529202804</v>
      </c>
      <c r="B1124" s="82" t="s">
        <v>10621</v>
      </c>
      <c r="C1124" s="82" t="s">
        <v>10804</v>
      </c>
      <c r="D1124" s="82" t="s">
        <v>607</v>
      </c>
      <c r="E1124" s="82">
        <v>6288215545661</v>
      </c>
      <c r="F1124" s="86">
        <v>45837</v>
      </c>
      <c r="G1124" s="87">
        <v>406</v>
      </c>
      <c r="H1124" s="88">
        <v>29772.357723577235</v>
      </c>
      <c r="I1124" s="89">
        <v>17</v>
      </c>
      <c r="J1124" s="90">
        <v>14648</v>
      </c>
      <c r="K1124" s="85">
        <v>1</v>
      </c>
      <c r="L1124" s="85">
        <v>101</v>
      </c>
      <c r="M1124" s="85">
        <v>0</v>
      </c>
      <c r="N1124" s="82" t="s">
        <v>10805</v>
      </c>
      <c r="O1124" s="83"/>
    </row>
    <row r="1125" spans="1:15" ht="22.5" customHeight="1">
      <c r="A1125" s="85">
        <v>759724529202804</v>
      </c>
      <c r="B1125" s="82" t="s">
        <v>10621</v>
      </c>
      <c r="C1125" s="82" t="s">
        <v>332</v>
      </c>
      <c r="D1125" s="82" t="s">
        <v>10708</v>
      </c>
      <c r="E1125" s="82">
        <v>6282350524788</v>
      </c>
      <c r="F1125" s="86">
        <v>45837</v>
      </c>
      <c r="G1125" s="87">
        <v>324</v>
      </c>
      <c r="H1125" s="88">
        <v>18709.677419354841</v>
      </c>
      <c r="I1125" s="89">
        <v>13</v>
      </c>
      <c r="J1125" s="90">
        <v>6960</v>
      </c>
      <c r="K1125" s="85">
        <v>1</v>
      </c>
      <c r="L1125" s="85">
        <v>0</v>
      </c>
      <c r="M1125" s="85">
        <v>0</v>
      </c>
      <c r="N1125" s="82" t="s">
        <v>10709</v>
      </c>
      <c r="O1125" s="83"/>
    </row>
    <row r="1126" spans="1:15" ht="22.5" customHeight="1">
      <c r="A1126" s="85">
        <v>759724529202804</v>
      </c>
      <c r="B1126" s="82" t="s">
        <v>10621</v>
      </c>
      <c r="C1126" s="82" t="s">
        <v>665</v>
      </c>
      <c r="D1126" s="82" t="s">
        <v>659</v>
      </c>
      <c r="E1126" s="82">
        <v>6285757057088</v>
      </c>
      <c r="F1126" s="86">
        <v>45837</v>
      </c>
      <c r="G1126" s="87">
        <v>569</v>
      </c>
      <c r="H1126" s="88">
        <v>21395.128552097427</v>
      </c>
      <c r="I1126" s="89">
        <v>17</v>
      </c>
      <c r="J1126" s="90">
        <v>15811</v>
      </c>
      <c r="K1126" s="85">
        <v>1</v>
      </c>
      <c r="L1126" s="85">
        <v>0</v>
      </c>
      <c r="M1126" s="85">
        <v>0</v>
      </c>
      <c r="N1126" s="82" t="s">
        <v>10636</v>
      </c>
      <c r="O1126" s="83"/>
    </row>
    <row r="1127" spans="1:15" ht="22.5" customHeight="1">
      <c r="A1127" s="85">
        <v>174904221976312</v>
      </c>
      <c r="B1127" s="82" t="s">
        <v>10651</v>
      </c>
      <c r="C1127" s="82" t="s">
        <v>10971</v>
      </c>
      <c r="D1127" s="82" t="s">
        <v>1292</v>
      </c>
      <c r="E1127" s="82">
        <v>6281213589905</v>
      </c>
      <c r="F1127" s="86">
        <v>45837</v>
      </c>
      <c r="G1127" s="87">
        <v>477</v>
      </c>
      <c r="H1127" s="88">
        <v>23041.736227045076</v>
      </c>
      <c r="I1127" s="89">
        <v>13</v>
      </c>
      <c r="J1127" s="90">
        <v>13802</v>
      </c>
      <c r="K1127" s="85">
        <v>3</v>
      </c>
      <c r="L1127" s="85">
        <v>20</v>
      </c>
      <c r="M1127" s="85">
        <v>0</v>
      </c>
      <c r="N1127" s="82" t="s">
        <v>10972</v>
      </c>
      <c r="O1127" s="83"/>
    </row>
    <row r="1128" spans="1:15" ht="22.5" customHeight="1">
      <c r="A1128" s="85">
        <v>174904221976312</v>
      </c>
      <c r="B1128" s="82" t="s">
        <v>10651</v>
      </c>
      <c r="C1128" s="82" t="s">
        <v>10973</v>
      </c>
      <c r="D1128" s="82" t="s">
        <v>10974</v>
      </c>
      <c r="E1128" s="82">
        <v>6281347156140</v>
      </c>
      <c r="F1128" s="86">
        <v>45837</v>
      </c>
      <c r="G1128" s="87">
        <v>1014</v>
      </c>
      <c r="H1128" s="88">
        <v>11089.942763695832</v>
      </c>
      <c r="I1128" s="89">
        <v>40</v>
      </c>
      <c r="J1128" s="90">
        <v>13563</v>
      </c>
      <c r="K1128" s="85">
        <v>8</v>
      </c>
      <c r="L1128" s="85">
        <v>282</v>
      </c>
      <c r="M1128" s="85">
        <v>0</v>
      </c>
      <c r="N1128" s="82" t="s">
        <v>10975</v>
      </c>
      <c r="O1128" s="83"/>
    </row>
    <row r="1129" spans="1:15" ht="22.5" customHeight="1">
      <c r="A1129" s="85">
        <v>174904221976312</v>
      </c>
      <c r="B1129" s="82" t="s">
        <v>10651</v>
      </c>
      <c r="C1129" s="82" t="s">
        <v>10937</v>
      </c>
      <c r="D1129" s="82" t="s">
        <v>10938</v>
      </c>
      <c r="E1129" s="82">
        <v>6281938563373</v>
      </c>
      <c r="F1129" s="86">
        <v>45837</v>
      </c>
      <c r="G1129" s="87">
        <v>251</v>
      </c>
      <c r="H1129" s="88">
        <v>37555.555555555555</v>
      </c>
      <c r="I1129" s="89">
        <v>8</v>
      </c>
      <c r="J1129" s="90">
        <v>10478</v>
      </c>
      <c r="K1129" s="85">
        <v>1</v>
      </c>
      <c r="L1129" s="85">
        <v>107</v>
      </c>
      <c r="M1129" s="85">
        <v>0</v>
      </c>
      <c r="N1129" s="82" t="s">
        <v>10939</v>
      </c>
      <c r="O1129" s="83"/>
    </row>
    <row r="1130" spans="1:15" ht="22.5" customHeight="1">
      <c r="A1130" s="85">
        <v>174904221976312</v>
      </c>
      <c r="B1130" s="82" t="s">
        <v>10651</v>
      </c>
      <c r="C1130" s="82" t="s">
        <v>10940</v>
      </c>
      <c r="D1130" s="82" t="s">
        <v>10941</v>
      </c>
      <c r="E1130" s="82">
        <v>6285266218699</v>
      </c>
      <c r="F1130" s="86">
        <v>45837</v>
      </c>
      <c r="G1130" s="87">
        <v>1041</v>
      </c>
      <c r="H1130" s="88">
        <v>10601.084430673896</v>
      </c>
      <c r="I1130" s="89">
        <v>57</v>
      </c>
      <c r="J1130" s="90">
        <v>13686</v>
      </c>
      <c r="K1130" s="85">
        <v>7</v>
      </c>
      <c r="L1130" s="85">
        <v>525</v>
      </c>
      <c r="M1130" s="85">
        <v>0</v>
      </c>
      <c r="N1130" s="82" t="s">
        <v>10942</v>
      </c>
      <c r="O1130" s="83"/>
    </row>
    <row r="1131" spans="1:15" ht="22.5" customHeight="1">
      <c r="A1131" s="85">
        <v>174904221976312</v>
      </c>
      <c r="B1131" s="82" t="s">
        <v>10651</v>
      </c>
      <c r="C1131" s="82" t="s">
        <v>10943</v>
      </c>
      <c r="D1131" s="82" t="s">
        <v>10944</v>
      </c>
      <c r="E1131" s="82">
        <v>6285240694097</v>
      </c>
      <c r="F1131" s="86">
        <v>45837</v>
      </c>
      <c r="G1131" s="87">
        <v>1176</v>
      </c>
      <c r="H1131" s="88">
        <v>9629.9496040316772</v>
      </c>
      <c r="I1131" s="89">
        <v>36</v>
      </c>
      <c r="J1131" s="90">
        <v>13376</v>
      </c>
      <c r="K1131" s="85">
        <v>3</v>
      </c>
      <c r="L1131" s="85">
        <v>57</v>
      </c>
      <c r="M1131" s="85">
        <v>0</v>
      </c>
      <c r="N1131" s="82" t="s">
        <v>10945</v>
      </c>
      <c r="O1131" s="83"/>
    </row>
    <row r="1132" spans="1:15" ht="22.5" customHeight="1">
      <c r="A1132" s="85">
        <v>174904221976312</v>
      </c>
      <c r="B1132" s="82" t="s">
        <v>10651</v>
      </c>
      <c r="C1132" s="82" t="s">
        <v>10930</v>
      </c>
      <c r="D1132" s="82" t="s">
        <v>10931</v>
      </c>
      <c r="E1132" s="82">
        <v>6282325874670</v>
      </c>
      <c r="F1132" s="86">
        <v>45837</v>
      </c>
      <c r="G1132" s="87">
        <v>968</v>
      </c>
      <c r="H1132" s="88">
        <v>11169.149868536371</v>
      </c>
      <c r="I1132" s="89">
        <v>22</v>
      </c>
      <c r="J1132" s="90">
        <v>12744</v>
      </c>
      <c r="K1132" s="85">
        <v>1</v>
      </c>
      <c r="L1132" s="85">
        <v>254</v>
      </c>
      <c r="M1132" s="85">
        <v>0</v>
      </c>
      <c r="N1132" s="82" t="s">
        <v>10932</v>
      </c>
      <c r="O1132" s="83"/>
    </row>
    <row r="1133" spans="1:15" ht="22.5" customHeight="1">
      <c r="A1133" s="85">
        <v>174904221976312</v>
      </c>
      <c r="B1133" s="82" t="s">
        <v>10651</v>
      </c>
      <c r="C1133" s="82" t="s">
        <v>10892</v>
      </c>
      <c r="D1133" s="82" t="s">
        <v>10893</v>
      </c>
      <c r="E1133" s="82">
        <v>6282399721881</v>
      </c>
      <c r="F1133" s="86">
        <v>45837</v>
      </c>
      <c r="G1133" s="87">
        <v>1109</v>
      </c>
      <c r="H1133" s="88">
        <v>10628.117913832199</v>
      </c>
      <c r="I1133" s="89">
        <v>22</v>
      </c>
      <c r="J1133" s="90">
        <v>14061</v>
      </c>
      <c r="K1133" s="85">
        <v>4</v>
      </c>
      <c r="L1133" s="85">
        <v>0</v>
      </c>
      <c r="M1133" s="85">
        <v>0</v>
      </c>
      <c r="N1133" s="82" t="s">
        <v>10894</v>
      </c>
      <c r="O1133" s="83"/>
    </row>
    <row r="1134" spans="1:15" ht="22.5" customHeight="1">
      <c r="A1134" s="85">
        <v>174904221976312</v>
      </c>
      <c r="B1134" s="82" t="s">
        <v>10651</v>
      </c>
      <c r="C1134" s="82" t="s">
        <v>10895</v>
      </c>
      <c r="D1134" s="82" t="s">
        <v>10896</v>
      </c>
      <c r="E1134" s="82">
        <v>6281299907533</v>
      </c>
      <c r="F1134" s="86">
        <v>45837</v>
      </c>
      <c r="G1134" s="87">
        <v>292</v>
      </c>
      <c r="H1134" s="88">
        <v>36909.356725146194</v>
      </c>
      <c r="I1134" s="89">
        <v>9</v>
      </c>
      <c r="J1134" s="90">
        <v>12623</v>
      </c>
      <c r="K1134" s="85">
        <v>0</v>
      </c>
      <c r="L1134" s="85">
        <v>4</v>
      </c>
      <c r="M1134" s="85">
        <v>0</v>
      </c>
      <c r="N1134" s="82" t="s">
        <v>10897</v>
      </c>
      <c r="O1134" s="83"/>
    </row>
    <row r="1135" spans="1:15" ht="22.5" customHeight="1">
      <c r="A1135" s="85">
        <v>174904221976312</v>
      </c>
      <c r="B1135" s="82" t="s">
        <v>10651</v>
      </c>
      <c r="C1135" s="82" t="s">
        <v>818</v>
      </c>
      <c r="D1135" s="82" t="s">
        <v>812</v>
      </c>
      <c r="E1135" s="82">
        <v>6287858585808</v>
      </c>
      <c r="F1135" s="86">
        <v>45837</v>
      </c>
      <c r="G1135" s="87">
        <v>625</v>
      </c>
      <c r="H1135" s="88">
        <v>18221.311475409839</v>
      </c>
      <c r="I1135" s="89">
        <v>13</v>
      </c>
      <c r="J1135" s="90">
        <v>13338</v>
      </c>
      <c r="K1135" s="85">
        <v>2</v>
      </c>
      <c r="L1135" s="85">
        <v>219</v>
      </c>
      <c r="M1135" s="85">
        <v>0</v>
      </c>
      <c r="N1135" s="82" t="s">
        <v>10831</v>
      </c>
      <c r="O1135" s="83"/>
    </row>
    <row r="1136" spans="1:15" ht="22.5" customHeight="1">
      <c r="A1136" s="85">
        <v>174904221976312</v>
      </c>
      <c r="B1136" s="82" t="s">
        <v>10651</v>
      </c>
      <c r="C1136" s="82" t="s">
        <v>10809</v>
      </c>
      <c r="D1136" s="82" t="s">
        <v>634</v>
      </c>
      <c r="E1136" s="82">
        <v>6282258886603</v>
      </c>
      <c r="F1136" s="86">
        <v>45837</v>
      </c>
      <c r="G1136" s="87">
        <v>279</v>
      </c>
      <c r="H1136" s="88">
        <v>37873.873873873876</v>
      </c>
      <c r="I1136" s="89">
        <v>18</v>
      </c>
      <c r="J1136" s="90">
        <v>12612</v>
      </c>
      <c r="K1136" s="85">
        <v>4</v>
      </c>
      <c r="L1136" s="85">
        <v>0</v>
      </c>
      <c r="M1136" s="85">
        <v>0</v>
      </c>
      <c r="N1136" s="82" t="s">
        <v>10810</v>
      </c>
      <c r="O1136" s="83"/>
    </row>
    <row r="1137" spans="1:15" ht="22.5" customHeight="1">
      <c r="A1137" s="85">
        <v>174904221976312</v>
      </c>
      <c r="B1137" s="82" t="s">
        <v>10651</v>
      </c>
      <c r="C1137" s="82" t="s">
        <v>10778</v>
      </c>
      <c r="D1137" s="82" t="s">
        <v>3140</v>
      </c>
      <c r="E1137" s="82"/>
      <c r="F1137" s="86">
        <v>45837</v>
      </c>
      <c r="G1137" s="87">
        <v>3599</v>
      </c>
      <c r="H1137" s="88">
        <v>2459.419576979833</v>
      </c>
      <c r="I1137" s="89">
        <v>48</v>
      </c>
      <c r="J1137" s="90">
        <v>10000</v>
      </c>
      <c r="K1137" s="85">
        <v>3</v>
      </c>
      <c r="L1137" s="85">
        <v>785</v>
      </c>
      <c r="M1137" s="85">
        <v>0</v>
      </c>
      <c r="N1137" s="82" t="s">
        <v>10779</v>
      </c>
      <c r="O1137" s="83"/>
    </row>
    <row r="1138" spans="1:15" ht="22.5" customHeight="1">
      <c r="A1138" s="85">
        <v>174904221976312</v>
      </c>
      <c r="B1138" s="82" t="s">
        <v>10651</v>
      </c>
      <c r="C1138" s="82" t="s">
        <v>10652</v>
      </c>
      <c r="D1138" s="82" t="s">
        <v>10653</v>
      </c>
      <c r="E1138" s="82">
        <v>6281348555887</v>
      </c>
      <c r="F1138" s="86">
        <v>45837</v>
      </c>
      <c r="G1138" s="87">
        <v>787</v>
      </c>
      <c r="H1138" s="88">
        <v>13978.260869565216</v>
      </c>
      <c r="I1138" s="89">
        <v>22</v>
      </c>
      <c r="J1138" s="90">
        <v>12860</v>
      </c>
      <c r="K1138" s="85">
        <v>3</v>
      </c>
      <c r="L1138" s="85">
        <v>253</v>
      </c>
      <c r="M1138" s="85">
        <v>0</v>
      </c>
      <c r="N1138" s="82" t="s">
        <v>10654</v>
      </c>
      <c r="O1138" s="83"/>
    </row>
    <row r="1139" spans="1:15" ht="22.5" customHeight="1">
      <c r="A1139" s="85">
        <v>174904221976312</v>
      </c>
      <c r="B1139" s="82" t="s">
        <v>10651</v>
      </c>
      <c r="C1139" s="82" t="s">
        <v>10657</v>
      </c>
      <c r="D1139" s="82" t="s">
        <v>1239</v>
      </c>
      <c r="E1139" s="82">
        <v>6282172291579</v>
      </c>
      <c r="F1139" s="86">
        <v>45837</v>
      </c>
      <c r="G1139" s="87">
        <v>873</v>
      </c>
      <c r="H1139" s="88">
        <v>12134.562211981567</v>
      </c>
      <c r="I1139" s="89">
        <v>53</v>
      </c>
      <c r="J1139" s="90">
        <v>13166</v>
      </c>
      <c r="K1139" s="85">
        <v>2</v>
      </c>
      <c r="L1139" s="85">
        <v>526</v>
      </c>
      <c r="M1139" s="85">
        <v>1</v>
      </c>
      <c r="N1139" s="82" t="s">
        <v>10658</v>
      </c>
      <c r="O1139" s="83"/>
    </row>
    <row r="1140" spans="1:15" ht="22.5" customHeight="1">
      <c r="A1140" s="85">
        <v>174904221976312</v>
      </c>
      <c r="B1140" s="82" t="s">
        <v>10651</v>
      </c>
      <c r="C1140" s="82" t="s">
        <v>10659</v>
      </c>
      <c r="D1140" s="82" t="s">
        <v>1044</v>
      </c>
      <c r="E1140" s="82">
        <v>6281263113266</v>
      </c>
      <c r="F1140" s="86">
        <v>45837</v>
      </c>
      <c r="G1140" s="87">
        <v>1419</v>
      </c>
      <c r="H1140" s="88">
        <v>8286.1635220125791</v>
      </c>
      <c r="I1140" s="89">
        <v>45</v>
      </c>
      <c r="J1140" s="90">
        <v>13175</v>
      </c>
      <c r="K1140" s="85">
        <v>4</v>
      </c>
      <c r="L1140" s="85">
        <v>129</v>
      </c>
      <c r="M1140" s="85">
        <v>2</v>
      </c>
      <c r="N1140" s="82" t="s">
        <v>10660</v>
      </c>
      <c r="O1140" s="83"/>
    </row>
    <row r="1141" spans="1:15" ht="22.5" customHeight="1">
      <c r="A1141" s="85">
        <v>174904221976312</v>
      </c>
      <c r="B1141" s="82" t="s">
        <v>10651</v>
      </c>
      <c r="C1141" s="82" t="s">
        <v>10679</v>
      </c>
      <c r="D1141" s="82" t="s">
        <v>10680</v>
      </c>
      <c r="E1141" s="82">
        <v>6282347206488</v>
      </c>
      <c r="F1141" s="86">
        <v>45837</v>
      </c>
      <c r="G1141" s="87">
        <v>763</v>
      </c>
      <c r="H1141" s="88">
        <v>13943.262411347518</v>
      </c>
      <c r="I1141" s="89">
        <v>42</v>
      </c>
      <c r="J1141" s="90">
        <v>13762</v>
      </c>
      <c r="K1141" s="85">
        <v>10</v>
      </c>
      <c r="L1141" s="85">
        <v>441</v>
      </c>
      <c r="M1141" s="85">
        <v>1</v>
      </c>
      <c r="N1141" s="82" t="s">
        <v>10681</v>
      </c>
      <c r="O1141" s="83"/>
    </row>
    <row r="1142" spans="1:15" ht="22.5" customHeight="1">
      <c r="A1142" s="85">
        <v>174904221976312</v>
      </c>
      <c r="B1142" s="82" t="s">
        <v>10651</v>
      </c>
      <c r="C1142" s="82" t="s">
        <v>10833</v>
      </c>
      <c r="D1142" s="82" t="s">
        <v>10834</v>
      </c>
      <c r="E1142" s="82">
        <v>6282242925264</v>
      </c>
      <c r="F1142" s="86">
        <v>45837</v>
      </c>
      <c r="G1142" s="87">
        <v>1938</v>
      </c>
      <c r="H1142" s="88">
        <v>5726.44376899696</v>
      </c>
      <c r="I1142" s="89">
        <v>69</v>
      </c>
      <c r="J1142" s="90">
        <v>13188</v>
      </c>
      <c r="K1142" s="85">
        <v>6</v>
      </c>
      <c r="L1142" s="85">
        <v>592</v>
      </c>
      <c r="M1142" s="85">
        <v>0</v>
      </c>
      <c r="N1142" s="82" t="s">
        <v>10835</v>
      </c>
      <c r="O1142" s="83"/>
    </row>
    <row r="1143" spans="1:15" ht="22.5" customHeight="1">
      <c r="A1143" s="85">
        <v>766589657993298</v>
      </c>
      <c r="B1143" s="82" t="s">
        <v>10688</v>
      </c>
      <c r="C1143" s="82" t="s">
        <v>1348</v>
      </c>
      <c r="D1143" s="82" t="s">
        <v>10984</v>
      </c>
      <c r="E1143" s="82">
        <v>6287822304727</v>
      </c>
      <c r="F1143" s="86">
        <v>45837</v>
      </c>
      <c r="G1143" s="87">
        <v>545</v>
      </c>
      <c r="H1143" s="88">
        <v>23205.564142194744</v>
      </c>
      <c r="I1143" s="89">
        <v>14</v>
      </c>
      <c r="J1143" s="90">
        <v>15014</v>
      </c>
      <c r="K1143" s="85">
        <v>1</v>
      </c>
      <c r="L1143" s="85">
        <v>187</v>
      </c>
      <c r="M1143" s="85">
        <v>1</v>
      </c>
      <c r="N1143" s="82" t="s">
        <v>10985</v>
      </c>
      <c r="O1143" s="83"/>
    </row>
    <row r="1144" spans="1:15" ht="22.5" customHeight="1">
      <c r="A1144" s="85">
        <v>766589657993298</v>
      </c>
      <c r="B1144" s="82" t="s">
        <v>10688</v>
      </c>
      <c r="C1144" s="82" t="s">
        <v>10976</v>
      </c>
      <c r="D1144" s="82" t="s">
        <v>10977</v>
      </c>
      <c r="E1144" s="82">
        <v>6281138301069</v>
      </c>
      <c r="F1144" s="86">
        <v>45837</v>
      </c>
      <c r="G1144" s="87">
        <v>10489</v>
      </c>
      <c r="H1144" s="88">
        <v>1360.8930091760476</v>
      </c>
      <c r="I1144" s="89">
        <v>9</v>
      </c>
      <c r="J1144" s="90">
        <v>14386</v>
      </c>
      <c r="K1144" s="85">
        <v>0</v>
      </c>
      <c r="L1144" s="85">
        <v>811</v>
      </c>
      <c r="M1144" s="85">
        <v>0</v>
      </c>
      <c r="N1144" s="82" t="s">
        <v>10978</v>
      </c>
      <c r="O1144" s="83"/>
    </row>
    <row r="1145" spans="1:15" ht="22.5" customHeight="1">
      <c r="A1145" s="85">
        <v>766589657993298</v>
      </c>
      <c r="B1145" s="82" t="s">
        <v>10688</v>
      </c>
      <c r="C1145" s="82" t="s">
        <v>10979</v>
      </c>
      <c r="D1145" s="82" t="s">
        <v>10980</v>
      </c>
      <c r="E1145" s="82">
        <v>6285715856120</v>
      </c>
      <c r="F1145" s="86">
        <v>45837</v>
      </c>
      <c r="G1145" s="87">
        <v>978</v>
      </c>
      <c r="H1145" s="88">
        <v>13211.932324131789</v>
      </c>
      <c r="I1145" s="89">
        <v>57</v>
      </c>
      <c r="J1145" s="90">
        <v>14837</v>
      </c>
      <c r="K1145" s="85">
        <v>21</v>
      </c>
      <c r="L1145" s="85">
        <v>441</v>
      </c>
      <c r="M1145" s="85">
        <v>3</v>
      </c>
      <c r="N1145" s="82" t="s">
        <v>10981</v>
      </c>
      <c r="O1145" s="83"/>
    </row>
    <row r="1146" spans="1:15" ht="22.5" customHeight="1">
      <c r="A1146" s="85">
        <v>766589657993298</v>
      </c>
      <c r="B1146" s="82" t="s">
        <v>10688</v>
      </c>
      <c r="C1146" s="82" t="s">
        <v>10982</v>
      </c>
      <c r="D1146" s="82" t="s">
        <v>1052</v>
      </c>
      <c r="E1146" s="82">
        <v>6282385989828</v>
      </c>
      <c r="F1146" s="86">
        <v>45837</v>
      </c>
      <c r="G1146" s="87">
        <v>794</v>
      </c>
      <c r="H1146" s="88">
        <v>15258.726899383984</v>
      </c>
      <c r="I1146" s="89">
        <v>31</v>
      </c>
      <c r="J1146" s="90">
        <v>14862</v>
      </c>
      <c r="K1146" s="85">
        <v>3</v>
      </c>
      <c r="L1146" s="85">
        <v>293</v>
      </c>
      <c r="M1146" s="85">
        <v>0</v>
      </c>
      <c r="N1146" s="82" t="s">
        <v>10983</v>
      </c>
      <c r="O1146" s="83"/>
    </row>
    <row r="1147" spans="1:15" ht="22.5" customHeight="1">
      <c r="A1147" s="85">
        <v>766589657993298</v>
      </c>
      <c r="B1147" s="82" t="s">
        <v>10688</v>
      </c>
      <c r="C1147" s="82" t="s">
        <v>10964</v>
      </c>
      <c r="D1147" s="82" t="s">
        <v>10965</v>
      </c>
      <c r="E1147" s="82">
        <v>6282365004117</v>
      </c>
      <c r="F1147" s="86">
        <v>45837</v>
      </c>
      <c r="G1147" s="87">
        <v>661</v>
      </c>
      <c r="H1147" s="88">
        <v>20788.888888888887</v>
      </c>
      <c r="I1147" s="89">
        <v>14</v>
      </c>
      <c r="J1147" s="90">
        <v>14968</v>
      </c>
      <c r="K1147" s="85">
        <v>5</v>
      </c>
      <c r="L1147" s="85">
        <v>39</v>
      </c>
      <c r="M1147" s="85">
        <v>0</v>
      </c>
      <c r="N1147" s="82" t="s">
        <v>10966</v>
      </c>
      <c r="O1147" s="83"/>
    </row>
    <row r="1148" spans="1:15" ht="22.5" customHeight="1">
      <c r="A1148" s="85">
        <v>766589657993298</v>
      </c>
      <c r="B1148" s="82" t="s">
        <v>10688</v>
      </c>
      <c r="C1148" s="82" t="s">
        <v>10967</v>
      </c>
      <c r="D1148" s="82" t="s">
        <v>1158</v>
      </c>
      <c r="E1148" s="82">
        <v>6285167182620</v>
      </c>
      <c r="F1148" s="86">
        <v>45837</v>
      </c>
      <c r="G1148" s="87">
        <v>303</v>
      </c>
      <c r="H1148" s="88">
        <v>44884.297520661159</v>
      </c>
      <c r="I1148" s="89">
        <v>10</v>
      </c>
      <c r="J1148" s="90">
        <v>16293</v>
      </c>
      <c r="K1148" s="85">
        <v>2</v>
      </c>
      <c r="L1148" s="85">
        <v>119</v>
      </c>
      <c r="M1148" s="85">
        <v>0</v>
      </c>
      <c r="N1148" s="82" t="s">
        <v>10968</v>
      </c>
      <c r="O1148" s="83"/>
    </row>
    <row r="1149" spans="1:15" ht="22.5" customHeight="1">
      <c r="A1149" s="85">
        <v>766589657993298</v>
      </c>
      <c r="B1149" s="82" t="s">
        <v>10688</v>
      </c>
      <c r="C1149" s="82" t="s">
        <v>10946</v>
      </c>
      <c r="D1149" s="82" t="s">
        <v>10947</v>
      </c>
      <c r="E1149" s="82">
        <v>6281374115054</v>
      </c>
      <c r="F1149" s="86">
        <v>45837</v>
      </c>
      <c r="G1149" s="87">
        <v>668</v>
      </c>
      <c r="H1149" s="88">
        <v>19220.403022670027</v>
      </c>
      <c r="I1149" s="89">
        <v>18</v>
      </c>
      <c r="J1149" s="90">
        <v>15261</v>
      </c>
      <c r="K1149" s="85">
        <v>2</v>
      </c>
      <c r="L1149" s="85">
        <v>201</v>
      </c>
      <c r="M1149" s="85">
        <v>1</v>
      </c>
      <c r="N1149" s="82" t="s">
        <v>10948</v>
      </c>
      <c r="O1149" s="83"/>
    </row>
    <row r="1150" spans="1:15" ht="22.5" customHeight="1">
      <c r="A1150" s="85">
        <v>766589657993298</v>
      </c>
      <c r="B1150" s="82" t="s">
        <v>10688</v>
      </c>
      <c r="C1150" s="82" t="s">
        <v>10933</v>
      </c>
      <c r="D1150" s="82" t="s">
        <v>10934</v>
      </c>
      <c r="E1150" s="82">
        <v>6281293309300</v>
      </c>
      <c r="F1150" s="86">
        <v>45837</v>
      </c>
      <c r="G1150" s="87">
        <v>173</v>
      </c>
      <c r="H1150" s="88">
        <v>76911.458333333328</v>
      </c>
      <c r="I1150" s="89">
        <v>2</v>
      </c>
      <c r="J1150" s="90">
        <v>14767</v>
      </c>
      <c r="K1150" s="85">
        <v>0</v>
      </c>
      <c r="L1150" s="85">
        <v>0</v>
      </c>
      <c r="M1150" s="85">
        <v>0</v>
      </c>
      <c r="N1150" s="82" t="s">
        <v>10935</v>
      </c>
      <c r="O1150" s="83"/>
    </row>
    <row r="1151" spans="1:15" ht="22.5" customHeight="1">
      <c r="A1151" s="85">
        <v>766589657993298</v>
      </c>
      <c r="B1151" s="82" t="s">
        <v>10688</v>
      </c>
      <c r="C1151" s="82" t="s">
        <v>10885</v>
      </c>
      <c r="D1151" s="82" t="s">
        <v>906</v>
      </c>
      <c r="E1151" s="82">
        <v>6282183115806</v>
      </c>
      <c r="F1151" s="86">
        <v>45837</v>
      </c>
      <c r="G1151" s="87">
        <v>1098</v>
      </c>
      <c r="H1151" s="88">
        <v>12735.671514114629</v>
      </c>
      <c r="I1151" s="89">
        <v>24</v>
      </c>
      <c r="J1151" s="90">
        <v>14888</v>
      </c>
      <c r="K1151" s="85">
        <v>3</v>
      </c>
      <c r="L1151" s="85">
        <v>685</v>
      </c>
      <c r="M1151" s="85">
        <v>0</v>
      </c>
      <c r="N1151" s="82" t="s">
        <v>10886</v>
      </c>
      <c r="O1151" s="83"/>
    </row>
    <row r="1152" spans="1:15" ht="22.5" customHeight="1">
      <c r="A1152" s="85">
        <v>766589657993298</v>
      </c>
      <c r="B1152" s="82" t="s">
        <v>10688</v>
      </c>
      <c r="C1152" s="82" t="s">
        <v>10869</v>
      </c>
      <c r="D1152" s="82" t="s">
        <v>10870</v>
      </c>
      <c r="E1152" s="82">
        <v>6281230995752</v>
      </c>
      <c r="F1152" s="86">
        <v>45837</v>
      </c>
      <c r="G1152" s="87">
        <v>1101</v>
      </c>
      <c r="H1152" s="88">
        <v>11933.172302737519</v>
      </c>
      <c r="I1152" s="89">
        <v>35</v>
      </c>
      <c r="J1152" s="90">
        <v>14821</v>
      </c>
      <c r="K1152" s="85">
        <v>5</v>
      </c>
      <c r="L1152" s="85">
        <v>688</v>
      </c>
      <c r="M1152" s="85">
        <v>0</v>
      </c>
      <c r="N1152" s="82" t="s">
        <v>10871</v>
      </c>
      <c r="O1152" s="83"/>
    </row>
    <row r="1153" spans="1:15" ht="22.5" customHeight="1">
      <c r="A1153" s="85">
        <v>766589657993298</v>
      </c>
      <c r="B1153" s="82" t="s">
        <v>10688</v>
      </c>
      <c r="C1153" s="82" t="s">
        <v>10879</v>
      </c>
      <c r="D1153" s="82" t="s">
        <v>10880</v>
      </c>
      <c r="E1153" s="82">
        <v>6281215851833</v>
      </c>
      <c r="F1153" s="86">
        <v>45837</v>
      </c>
      <c r="G1153" s="87">
        <v>344</v>
      </c>
      <c r="H1153" s="88">
        <v>35211.627906976748</v>
      </c>
      <c r="I1153" s="89">
        <v>8</v>
      </c>
      <c r="J1153" s="90">
        <v>15141</v>
      </c>
      <c r="K1153" s="85">
        <v>3</v>
      </c>
      <c r="L1153" s="85">
        <v>2</v>
      </c>
      <c r="M1153" s="85">
        <v>0</v>
      </c>
      <c r="N1153" s="82" t="s">
        <v>10881</v>
      </c>
      <c r="O1153" s="83"/>
    </row>
    <row r="1154" spans="1:15" ht="22.5" customHeight="1">
      <c r="A1154" s="85">
        <v>766589657993298</v>
      </c>
      <c r="B1154" s="82" t="s">
        <v>10688</v>
      </c>
      <c r="C1154" s="82" t="s">
        <v>720</v>
      </c>
      <c r="D1154" s="82" t="s">
        <v>10840</v>
      </c>
      <c r="E1154" s="82">
        <v>6282141603091</v>
      </c>
      <c r="F1154" s="86">
        <v>45837</v>
      </c>
      <c r="G1154" s="87">
        <v>993</v>
      </c>
      <c r="H1154" s="88">
        <v>13538.324420677363</v>
      </c>
      <c r="I1154" s="89">
        <v>29</v>
      </c>
      <c r="J1154" s="90">
        <v>15190</v>
      </c>
      <c r="K1154" s="85">
        <v>6</v>
      </c>
      <c r="L1154" s="85">
        <v>0</v>
      </c>
      <c r="M1154" s="85">
        <v>0</v>
      </c>
      <c r="N1154" s="82" t="s">
        <v>10841</v>
      </c>
      <c r="O1154" s="83"/>
    </row>
    <row r="1155" spans="1:15" ht="22.5" customHeight="1">
      <c r="A1155" s="85">
        <v>766589657993298</v>
      </c>
      <c r="B1155" s="82" t="s">
        <v>10688</v>
      </c>
      <c r="C1155" s="82" t="s">
        <v>689</v>
      </c>
      <c r="D1155" s="82" t="s">
        <v>10923</v>
      </c>
      <c r="E1155" s="82">
        <v>6282176695820</v>
      </c>
      <c r="F1155" s="86">
        <v>45837</v>
      </c>
      <c r="G1155" s="87">
        <v>346</v>
      </c>
      <c r="H1155" s="88">
        <v>37894.73684210526</v>
      </c>
      <c r="I1155" s="89">
        <v>12</v>
      </c>
      <c r="J1155" s="90">
        <v>15120</v>
      </c>
      <c r="K1155" s="85">
        <v>2</v>
      </c>
      <c r="L1155" s="85">
        <v>9</v>
      </c>
      <c r="M1155" s="85">
        <v>0</v>
      </c>
      <c r="N1155" s="82" t="s">
        <v>10921</v>
      </c>
      <c r="O1155" s="83"/>
    </row>
    <row r="1156" spans="1:15" ht="22.5" customHeight="1">
      <c r="A1156" s="85">
        <v>766589657993298</v>
      </c>
      <c r="B1156" s="82" t="s">
        <v>10688</v>
      </c>
      <c r="C1156" s="82" t="s">
        <v>10822</v>
      </c>
      <c r="D1156" s="82" t="s">
        <v>676</v>
      </c>
      <c r="E1156" s="82">
        <v>6281316155059</v>
      </c>
      <c r="F1156" s="86">
        <v>45837</v>
      </c>
      <c r="G1156" s="87">
        <v>229</v>
      </c>
      <c r="H1156" s="88">
        <v>59082.03125</v>
      </c>
      <c r="I1156" s="89">
        <v>7</v>
      </c>
      <c r="J1156" s="90">
        <v>15125</v>
      </c>
      <c r="K1156" s="85">
        <v>2</v>
      </c>
      <c r="L1156" s="85">
        <v>12</v>
      </c>
      <c r="M1156" s="85">
        <v>0</v>
      </c>
      <c r="N1156" s="82" t="s">
        <v>10823</v>
      </c>
      <c r="O1156" s="83"/>
    </row>
    <row r="1157" spans="1:15" ht="22.5" customHeight="1">
      <c r="A1157" s="85">
        <v>766589657993298</v>
      </c>
      <c r="B1157" s="82" t="s">
        <v>10688</v>
      </c>
      <c r="C1157" s="82" t="s">
        <v>769</v>
      </c>
      <c r="D1157" s="82" t="s">
        <v>764</v>
      </c>
      <c r="E1157" s="82">
        <v>6287778562681</v>
      </c>
      <c r="F1157" s="86">
        <v>45837</v>
      </c>
      <c r="G1157" s="87">
        <v>348</v>
      </c>
      <c r="H1157" s="88">
        <v>45836.84210526316</v>
      </c>
      <c r="I1157" s="89">
        <v>9</v>
      </c>
      <c r="J1157" s="90">
        <v>17418</v>
      </c>
      <c r="K1157" s="85">
        <v>1</v>
      </c>
      <c r="L1157" s="85">
        <v>153</v>
      </c>
      <c r="M1157" s="85">
        <v>0</v>
      </c>
      <c r="N1157" s="82" t="s">
        <v>10882</v>
      </c>
      <c r="O1157" s="83"/>
    </row>
    <row r="1158" spans="1:15" ht="22.5" customHeight="1">
      <c r="A1158" s="85">
        <v>766589657993298</v>
      </c>
      <c r="B1158" s="82" t="s">
        <v>10688</v>
      </c>
      <c r="C1158" s="82" t="s">
        <v>10786</v>
      </c>
      <c r="D1158" s="82" t="s">
        <v>739</v>
      </c>
      <c r="E1158" s="82">
        <v>628122102657</v>
      </c>
      <c r="F1158" s="86">
        <v>45837</v>
      </c>
      <c r="G1158" s="87">
        <v>199</v>
      </c>
      <c r="H1158" s="88">
        <v>43452.17391304348</v>
      </c>
      <c r="I1158" s="89">
        <v>5</v>
      </c>
      <c r="J1158" s="90">
        <v>9994</v>
      </c>
      <c r="K1158" s="85">
        <v>2</v>
      </c>
      <c r="L1158" s="85">
        <v>69</v>
      </c>
      <c r="M1158" s="85">
        <v>0</v>
      </c>
      <c r="N1158" s="82" t="s">
        <v>10787</v>
      </c>
      <c r="O1158" s="83"/>
    </row>
    <row r="1159" spans="1:15" ht="22.5" customHeight="1">
      <c r="A1159" s="85">
        <v>766589657993298</v>
      </c>
      <c r="B1159" s="82" t="s">
        <v>10688</v>
      </c>
      <c r="C1159" s="82" t="s">
        <v>10762</v>
      </c>
      <c r="D1159" s="82" t="s">
        <v>10763</v>
      </c>
      <c r="E1159" s="82">
        <v>6285210107607</v>
      </c>
      <c r="F1159" s="86">
        <v>45837</v>
      </c>
      <c r="G1159" s="87">
        <v>571</v>
      </c>
      <c r="H1159" s="88">
        <v>24625.192012288786</v>
      </c>
      <c r="I1159" s="89">
        <v>17</v>
      </c>
      <c r="J1159" s="90">
        <v>16031</v>
      </c>
      <c r="K1159" s="85">
        <v>0</v>
      </c>
      <c r="L1159" s="85">
        <v>196</v>
      </c>
      <c r="M1159" s="85">
        <v>0</v>
      </c>
      <c r="N1159" s="82" t="s">
        <v>10764</v>
      </c>
      <c r="O1159" s="83"/>
    </row>
    <row r="1160" spans="1:15" ht="22.5" customHeight="1">
      <c r="A1160" s="85">
        <v>766589657993298</v>
      </c>
      <c r="B1160" s="82" t="s">
        <v>10688</v>
      </c>
      <c r="C1160" s="82" t="s">
        <v>10767</v>
      </c>
      <c r="D1160" s="82" t="s">
        <v>10768</v>
      </c>
      <c r="E1160" s="82">
        <v>6281519225886</v>
      </c>
      <c r="F1160" s="86">
        <v>45837</v>
      </c>
      <c r="G1160" s="87">
        <v>402</v>
      </c>
      <c r="H1160" s="88">
        <v>35327.272727272728</v>
      </c>
      <c r="I1160" s="89">
        <v>11</v>
      </c>
      <c r="J1160" s="90">
        <v>17487</v>
      </c>
      <c r="K1160" s="85">
        <v>5</v>
      </c>
      <c r="L1160" s="85">
        <v>7</v>
      </c>
      <c r="M1160" s="85">
        <v>0</v>
      </c>
      <c r="N1160" s="82" t="s">
        <v>10769</v>
      </c>
      <c r="O1160" s="83"/>
    </row>
    <row r="1161" spans="1:15" ht="22.5" customHeight="1">
      <c r="A1161" s="85">
        <v>766589657993298</v>
      </c>
      <c r="B1161" s="82" t="s">
        <v>10688</v>
      </c>
      <c r="C1161" s="82" t="s">
        <v>10797</v>
      </c>
      <c r="D1161" s="82" t="s">
        <v>10798</v>
      </c>
      <c r="E1161" s="82">
        <v>6285853370682</v>
      </c>
      <c r="F1161" s="86">
        <v>45837</v>
      </c>
      <c r="G1161" s="87">
        <v>476</v>
      </c>
      <c r="H1161" s="88">
        <v>29057.034220532318</v>
      </c>
      <c r="I1161" s="89">
        <v>8</v>
      </c>
      <c r="J1161" s="90">
        <v>15284</v>
      </c>
      <c r="K1161" s="85">
        <v>0</v>
      </c>
      <c r="L1161" s="85">
        <v>172</v>
      </c>
      <c r="M1161" s="85">
        <v>0</v>
      </c>
      <c r="N1161" s="82" t="s">
        <v>10799</v>
      </c>
      <c r="O1161" s="83"/>
    </row>
    <row r="1162" spans="1:15" ht="22.5" customHeight="1">
      <c r="A1162" s="85">
        <v>766589657993298</v>
      </c>
      <c r="B1162" s="82" t="s">
        <v>10688</v>
      </c>
      <c r="C1162" s="82" t="s">
        <v>10800</v>
      </c>
      <c r="D1162" s="82" t="s">
        <v>472</v>
      </c>
      <c r="E1162" s="82">
        <v>628114170888</v>
      </c>
      <c r="F1162" s="86">
        <v>45837</v>
      </c>
      <c r="G1162" s="87">
        <v>427</v>
      </c>
      <c r="H1162" s="88">
        <v>28772.030651340996</v>
      </c>
      <c r="I1162" s="89">
        <v>3</v>
      </c>
      <c r="J1162" s="90">
        <v>15019</v>
      </c>
      <c r="K1162" s="85">
        <v>1</v>
      </c>
      <c r="L1162" s="85">
        <v>0</v>
      </c>
      <c r="M1162" s="85">
        <v>0</v>
      </c>
      <c r="N1162" s="82" t="s">
        <v>10801</v>
      </c>
      <c r="O1162" s="83"/>
    </row>
    <row r="1163" spans="1:15" ht="22.5" customHeight="1">
      <c r="A1163" s="85">
        <v>766589657993298</v>
      </c>
      <c r="B1163" s="82" t="s">
        <v>10688</v>
      </c>
      <c r="C1163" s="82" t="s">
        <v>10752</v>
      </c>
      <c r="D1163" s="82" t="s">
        <v>10753</v>
      </c>
      <c r="E1163" s="82">
        <v>6281340892328</v>
      </c>
      <c r="F1163" s="86">
        <v>45837</v>
      </c>
      <c r="G1163" s="87">
        <v>971</v>
      </c>
      <c r="H1163" s="88">
        <v>12651.629072681704</v>
      </c>
      <c r="I1163" s="89">
        <v>32</v>
      </c>
      <c r="J1163" s="90">
        <v>15144</v>
      </c>
      <c r="K1163" s="85">
        <v>0</v>
      </c>
      <c r="L1163" s="85">
        <v>317</v>
      </c>
      <c r="M1163" s="85">
        <v>0</v>
      </c>
      <c r="N1163" s="82" t="s">
        <v>10754</v>
      </c>
      <c r="O1163" s="83"/>
    </row>
    <row r="1164" spans="1:15" ht="22.5" customHeight="1">
      <c r="A1164" s="85">
        <v>759724529202804</v>
      </c>
      <c r="B1164" s="82" t="s">
        <v>10621</v>
      </c>
      <c r="C1164" s="82" t="s">
        <v>10986</v>
      </c>
      <c r="D1164" s="82" t="s">
        <v>10987</v>
      </c>
      <c r="E1164" s="82">
        <v>6281282183261</v>
      </c>
      <c r="F1164" s="86">
        <v>45838</v>
      </c>
      <c r="G1164" s="87">
        <v>517</v>
      </c>
      <c r="H1164" s="88">
        <v>15552.447552447551</v>
      </c>
      <c r="I1164" s="89">
        <v>13</v>
      </c>
      <c r="J1164" s="90">
        <v>8896</v>
      </c>
      <c r="K1164" s="85">
        <v>4</v>
      </c>
      <c r="L1164" s="85">
        <v>88</v>
      </c>
      <c r="M1164" s="85">
        <v>0</v>
      </c>
      <c r="N1164" s="82" t="s">
        <v>10988</v>
      </c>
      <c r="O1164" s="83"/>
    </row>
    <row r="1165" spans="1:15" ht="22.5" customHeight="1">
      <c r="A1165" s="85">
        <v>759724529202804</v>
      </c>
      <c r="B1165" s="82" t="s">
        <v>10621</v>
      </c>
      <c r="C1165" s="82" t="s">
        <v>10989</v>
      </c>
      <c r="D1165" s="82" t="s">
        <v>1377</v>
      </c>
      <c r="E1165" s="82">
        <v>6285169568997</v>
      </c>
      <c r="F1165" s="86">
        <v>45838</v>
      </c>
      <c r="G1165" s="87">
        <v>420</v>
      </c>
      <c r="H1165" s="88">
        <v>26435.78947368421</v>
      </c>
      <c r="I1165" s="89">
        <v>9</v>
      </c>
      <c r="J1165" s="90">
        <v>12557</v>
      </c>
      <c r="K1165" s="85">
        <v>1</v>
      </c>
      <c r="L1165" s="85">
        <v>149</v>
      </c>
      <c r="M1165" s="85">
        <v>0</v>
      </c>
      <c r="N1165" s="82" t="s">
        <v>10990</v>
      </c>
      <c r="O1165" s="83"/>
    </row>
    <row r="1166" spans="1:15" ht="22.5" customHeight="1">
      <c r="A1166" s="85">
        <v>759724529202804</v>
      </c>
      <c r="B1166" s="82" t="s">
        <v>10621</v>
      </c>
      <c r="C1166" s="82" t="s">
        <v>10991</v>
      </c>
      <c r="D1166" s="82" t="s">
        <v>10992</v>
      </c>
      <c r="E1166" s="82">
        <v>6285974999484</v>
      </c>
      <c r="F1166" s="86">
        <v>45838</v>
      </c>
      <c r="G1166" s="87">
        <v>425</v>
      </c>
      <c r="H1166" s="88">
        <v>27033.644859813085</v>
      </c>
      <c r="I1166" s="89">
        <v>24</v>
      </c>
      <c r="J1166" s="90">
        <v>14463</v>
      </c>
      <c r="K1166" s="85">
        <v>4</v>
      </c>
      <c r="L1166" s="85">
        <v>61</v>
      </c>
      <c r="M1166" s="85">
        <v>0</v>
      </c>
      <c r="N1166" s="82" t="s">
        <v>10993</v>
      </c>
      <c r="O1166" s="83"/>
    </row>
    <row r="1167" spans="1:15" ht="22.5" customHeight="1">
      <c r="A1167" s="85">
        <v>759724529202804</v>
      </c>
      <c r="B1167" s="82" t="s">
        <v>10621</v>
      </c>
      <c r="C1167" s="82" t="s">
        <v>10994</v>
      </c>
      <c r="D1167" s="82" t="s">
        <v>10995</v>
      </c>
      <c r="E1167" s="82">
        <v>6287777241263</v>
      </c>
      <c r="F1167" s="86">
        <v>45838</v>
      </c>
      <c r="G1167" s="87">
        <v>714</v>
      </c>
      <c r="H1167" s="88">
        <v>16917.08291708292</v>
      </c>
      <c r="I1167" s="89">
        <v>21</v>
      </c>
      <c r="J1167" s="90">
        <v>16934</v>
      </c>
      <c r="K1167" s="85">
        <v>1</v>
      </c>
      <c r="L1167" s="85">
        <v>0</v>
      </c>
      <c r="M1167" s="85">
        <v>0</v>
      </c>
      <c r="N1167" s="82" t="s">
        <v>10996</v>
      </c>
      <c r="O1167" s="83"/>
    </row>
    <row r="1168" spans="1:15" ht="22.5" customHeight="1">
      <c r="A1168" s="85">
        <v>759724529202804</v>
      </c>
      <c r="B1168" s="82" t="s">
        <v>10621</v>
      </c>
      <c r="C1168" s="82" t="s">
        <v>10969</v>
      </c>
      <c r="D1168" s="82" t="s">
        <v>1277</v>
      </c>
      <c r="E1168" s="82">
        <v>6281269441611</v>
      </c>
      <c r="F1168" s="86">
        <v>45838</v>
      </c>
      <c r="G1168" s="87">
        <v>1199</v>
      </c>
      <c r="H1168" s="88">
        <v>10540.689655172415</v>
      </c>
      <c r="I1168" s="89">
        <v>31</v>
      </c>
      <c r="J1168" s="90">
        <v>15284</v>
      </c>
      <c r="K1168" s="85">
        <v>4</v>
      </c>
      <c r="L1168" s="85">
        <v>0</v>
      </c>
      <c r="M1168" s="85">
        <v>0</v>
      </c>
      <c r="N1168" s="82" t="s">
        <v>10970</v>
      </c>
      <c r="O1168" s="83"/>
    </row>
    <row r="1169" spans="1:15" ht="22.5" customHeight="1">
      <c r="A1169" s="85">
        <v>759724529202804</v>
      </c>
      <c r="B1169" s="82" t="s">
        <v>10621</v>
      </c>
      <c r="C1169" s="82" t="s">
        <v>10954</v>
      </c>
      <c r="D1169" s="82" t="s">
        <v>1214</v>
      </c>
      <c r="E1169" s="82">
        <v>628174741283</v>
      </c>
      <c r="F1169" s="86">
        <v>45838</v>
      </c>
      <c r="G1169" s="87">
        <v>1946</v>
      </c>
      <c r="H1169" s="88">
        <v>7405.0514499532273</v>
      </c>
      <c r="I1169" s="89">
        <v>44</v>
      </c>
      <c r="J1169" s="90">
        <v>15832</v>
      </c>
      <c r="K1169" s="85">
        <v>3</v>
      </c>
      <c r="L1169" s="85">
        <v>513</v>
      </c>
      <c r="M1169" s="85">
        <v>0</v>
      </c>
      <c r="N1169" s="82" t="s">
        <v>10955</v>
      </c>
      <c r="O1169" s="83"/>
    </row>
    <row r="1170" spans="1:15" ht="22.5" customHeight="1">
      <c r="A1170" s="85">
        <v>759724529202804</v>
      </c>
      <c r="B1170" s="82" t="s">
        <v>10621</v>
      </c>
      <c r="C1170" s="82" t="s">
        <v>10956</v>
      </c>
      <c r="D1170" s="82" t="s">
        <v>10957</v>
      </c>
      <c r="E1170" s="82">
        <v>6281649155643</v>
      </c>
      <c r="F1170" s="86">
        <v>45838</v>
      </c>
      <c r="G1170" s="87">
        <v>955</v>
      </c>
      <c r="H1170" s="88">
        <v>13815.023474178402</v>
      </c>
      <c r="I1170" s="89">
        <v>35</v>
      </c>
      <c r="J1170" s="90">
        <v>14713</v>
      </c>
      <c r="K1170" s="85">
        <v>6</v>
      </c>
      <c r="L1170" s="85">
        <v>607</v>
      </c>
      <c r="M1170" s="85">
        <v>0</v>
      </c>
      <c r="N1170" s="82" t="s">
        <v>10958</v>
      </c>
      <c r="O1170" s="83"/>
    </row>
    <row r="1171" spans="1:15" ht="22.5" customHeight="1">
      <c r="A1171" s="85">
        <v>759724529202804</v>
      </c>
      <c r="B1171" s="82" t="s">
        <v>10621</v>
      </c>
      <c r="C1171" s="82" t="s">
        <v>10959</v>
      </c>
      <c r="D1171" s="82" t="s">
        <v>1198</v>
      </c>
      <c r="E1171" s="82">
        <v>6281248936324</v>
      </c>
      <c r="F1171" s="86">
        <v>45838</v>
      </c>
      <c r="G1171" s="87">
        <v>1901</v>
      </c>
      <c r="H1171" s="88">
        <v>6954.3010752688169</v>
      </c>
      <c r="I1171" s="89">
        <v>181</v>
      </c>
      <c r="J1171" s="90">
        <v>15522</v>
      </c>
      <c r="K1171" s="85">
        <v>24</v>
      </c>
      <c r="L1171" s="85">
        <v>1020</v>
      </c>
      <c r="M1171" s="85">
        <v>4</v>
      </c>
      <c r="N1171" s="82" t="s">
        <v>10960</v>
      </c>
      <c r="O1171" s="83"/>
    </row>
    <row r="1172" spans="1:15" ht="22.5" customHeight="1">
      <c r="A1172" s="85">
        <v>759724529202804</v>
      </c>
      <c r="B1172" s="82" t="s">
        <v>10621</v>
      </c>
      <c r="C1172" s="82" t="s">
        <v>10961</v>
      </c>
      <c r="D1172" s="82" t="s">
        <v>10962</v>
      </c>
      <c r="E1172" s="82">
        <v>628158830325</v>
      </c>
      <c r="F1172" s="86">
        <v>45838</v>
      </c>
      <c r="G1172" s="87">
        <v>183</v>
      </c>
      <c r="H1172" s="88">
        <v>75956.521739130432</v>
      </c>
      <c r="I1172" s="89">
        <v>5</v>
      </c>
      <c r="J1172" s="90">
        <v>15723</v>
      </c>
      <c r="K1172" s="85">
        <v>1</v>
      </c>
      <c r="L1172" s="85">
        <v>15</v>
      </c>
      <c r="M1172" s="85">
        <v>0</v>
      </c>
      <c r="N1172" s="82" t="s">
        <v>10963</v>
      </c>
      <c r="O1172" s="83"/>
    </row>
    <row r="1173" spans="1:15" ht="22.5" customHeight="1">
      <c r="A1173" s="85">
        <v>759724529202804</v>
      </c>
      <c r="B1173" s="82" t="s">
        <v>10621</v>
      </c>
      <c r="C1173" s="82" t="s">
        <v>1169</v>
      </c>
      <c r="D1173" s="82" t="s">
        <v>1165</v>
      </c>
      <c r="E1173" s="82">
        <v>6281399731413</v>
      </c>
      <c r="F1173" s="86">
        <v>45838</v>
      </c>
      <c r="G1173" s="87">
        <v>516</v>
      </c>
      <c r="H1173" s="88">
        <v>23724.569640062597</v>
      </c>
      <c r="I1173" s="89">
        <v>15</v>
      </c>
      <c r="J1173" s="90">
        <v>15160</v>
      </c>
      <c r="K1173" s="85">
        <v>2</v>
      </c>
      <c r="L1173" s="85">
        <v>3</v>
      </c>
      <c r="M1173" s="85">
        <v>0</v>
      </c>
      <c r="N1173" s="82" t="s">
        <v>10936</v>
      </c>
      <c r="O1173" s="83"/>
    </row>
    <row r="1174" spans="1:15" ht="22.5" customHeight="1">
      <c r="A1174" s="85">
        <v>759724529202804</v>
      </c>
      <c r="B1174" s="82" t="s">
        <v>10621</v>
      </c>
      <c r="C1174" s="82" t="s">
        <v>10925</v>
      </c>
      <c r="D1174" s="82" t="s">
        <v>10926</v>
      </c>
      <c r="E1174" s="82">
        <v>6281233038880</v>
      </c>
      <c r="F1174" s="86">
        <v>45838</v>
      </c>
      <c r="G1174" s="87">
        <v>320</v>
      </c>
      <c r="H1174" s="88">
        <v>36037.313432835821</v>
      </c>
      <c r="I1174" s="89">
        <v>13</v>
      </c>
      <c r="J1174" s="90">
        <v>14487</v>
      </c>
      <c r="K1174" s="85">
        <v>2</v>
      </c>
      <c r="L1174" s="85">
        <v>24</v>
      </c>
      <c r="M1174" s="85">
        <v>0</v>
      </c>
      <c r="N1174" s="82" t="s">
        <v>10927</v>
      </c>
      <c r="O1174" s="83"/>
    </row>
    <row r="1175" spans="1:15" ht="22.5" customHeight="1">
      <c r="A1175" s="85">
        <v>759724529202804</v>
      </c>
      <c r="B1175" s="82" t="s">
        <v>10621</v>
      </c>
      <c r="C1175" s="82" t="s">
        <v>10909</v>
      </c>
      <c r="D1175" s="82" t="s">
        <v>10910</v>
      </c>
      <c r="E1175" s="82">
        <v>6281904501876</v>
      </c>
      <c r="F1175" s="86">
        <v>45838</v>
      </c>
      <c r="G1175" s="87">
        <v>1180</v>
      </c>
      <c r="H1175" s="88">
        <v>10722.144846796658</v>
      </c>
      <c r="I1175" s="89">
        <v>52</v>
      </c>
      <c r="J1175" s="90">
        <v>15397</v>
      </c>
      <c r="K1175" s="85">
        <v>2</v>
      </c>
      <c r="L1175" s="85">
        <v>115</v>
      </c>
      <c r="M1175" s="85">
        <v>0</v>
      </c>
      <c r="N1175" s="82" t="s">
        <v>10911</v>
      </c>
      <c r="O1175" s="83"/>
    </row>
    <row r="1176" spans="1:15" ht="22.5" customHeight="1">
      <c r="A1176" s="85">
        <v>759724529202804</v>
      </c>
      <c r="B1176" s="82" t="s">
        <v>10621</v>
      </c>
      <c r="C1176" s="82" t="s">
        <v>10804</v>
      </c>
      <c r="D1176" s="82" t="s">
        <v>607</v>
      </c>
      <c r="E1176" s="82">
        <v>6288215545661</v>
      </c>
      <c r="F1176" s="86">
        <v>45838</v>
      </c>
      <c r="G1176" s="87">
        <v>492</v>
      </c>
      <c r="H1176" s="88">
        <v>26294.849023090585</v>
      </c>
      <c r="I1176" s="89">
        <v>17</v>
      </c>
      <c r="J1176" s="90">
        <v>14804</v>
      </c>
      <c r="K1176" s="85">
        <v>3</v>
      </c>
      <c r="L1176" s="85">
        <v>122</v>
      </c>
      <c r="M1176" s="85">
        <v>0</v>
      </c>
      <c r="N1176" s="82" t="s">
        <v>10805</v>
      </c>
      <c r="O1176" s="83"/>
    </row>
    <row r="1177" spans="1:15" ht="22.5" customHeight="1">
      <c r="A1177" s="85">
        <v>759724529202804</v>
      </c>
      <c r="B1177" s="82" t="s">
        <v>10621</v>
      </c>
      <c r="C1177" s="82" t="s">
        <v>332</v>
      </c>
      <c r="D1177" s="82" t="s">
        <v>10708</v>
      </c>
      <c r="E1177" s="82">
        <v>6282350524788</v>
      </c>
      <c r="F1177" s="86">
        <v>45838</v>
      </c>
      <c r="G1177" s="87">
        <v>962</v>
      </c>
      <c r="H1177" s="88">
        <v>12965.145228215768</v>
      </c>
      <c r="I1177" s="89">
        <v>32</v>
      </c>
      <c r="J1177" s="90">
        <v>15623</v>
      </c>
      <c r="K1177" s="85">
        <v>4</v>
      </c>
      <c r="L1177" s="85">
        <v>0</v>
      </c>
      <c r="M1177" s="85">
        <v>0</v>
      </c>
      <c r="N1177" s="82" t="s">
        <v>10709</v>
      </c>
      <c r="O1177" s="83"/>
    </row>
    <row r="1178" spans="1:15" ht="22.5" customHeight="1">
      <c r="A1178" s="85">
        <v>759724529202804</v>
      </c>
      <c r="B1178" s="82" t="s">
        <v>10621</v>
      </c>
      <c r="C1178" s="82" t="s">
        <v>665</v>
      </c>
      <c r="D1178" s="82" t="s">
        <v>659</v>
      </c>
      <c r="E1178" s="82">
        <v>6285757057088</v>
      </c>
      <c r="F1178" s="86">
        <v>45838</v>
      </c>
      <c r="G1178" s="87">
        <v>621</v>
      </c>
      <c r="H1178" s="88">
        <v>19299.522673031028</v>
      </c>
      <c r="I1178" s="89">
        <v>24</v>
      </c>
      <c r="J1178" s="90">
        <v>16173</v>
      </c>
      <c r="K1178" s="85">
        <v>0</v>
      </c>
      <c r="L1178" s="85">
        <v>0</v>
      </c>
      <c r="M1178" s="85">
        <v>0</v>
      </c>
      <c r="N1178" s="82" t="s">
        <v>10636</v>
      </c>
      <c r="O1178" s="83"/>
    </row>
    <row r="1179" spans="1:15" ht="22.5" customHeight="1">
      <c r="A1179" s="85">
        <v>174904221976312</v>
      </c>
      <c r="B1179" s="82" t="s">
        <v>10651</v>
      </c>
      <c r="C1179" s="82" t="s">
        <v>10997</v>
      </c>
      <c r="D1179" s="82" t="s">
        <v>10938</v>
      </c>
      <c r="E1179" s="82">
        <v>6281938563373</v>
      </c>
      <c r="F1179" s="86">
        <v>45838</v>
      </c>
      <c r="G1179" s="87">
        <v>383</v>
      </c>
      <c r="H1179" s="88">
        <v>25486.352357320102</v>
      </c>
      <c r="I1179" s="89">
        <v>2</v>
      </c>
      <c r="J1179" s="90">
        <v>10271</v>
      </c>
      <c r="K1179" s="85">
        <v>0</v>
      </c>
      <c r="L1179" s="85">
        <v>124</v>
      </c>
      <c r="M1179" s="85">
        <v>0</v>
      </c>
      <c r="N1179" s="82" t="s">
        <v>10998</v>
      </c>
      <c r="O1179" s="83"/>
    </row>
    <row r="1180" spans="1:15" ht="22.5" customHeight="1">
      <c r="A1180" s="85">
        <v>174904221976312</v>
      </c>
      <c r="B1180" s="82" t="s">
        <v>10651</v>
      </c>
      <c r="C1180" s="82" t="s">
        <v>10999</v>
      </c>
      <c r="D1180" s="82" t="s">
        <v>11000</v>
      </c>
      <c r="E1180" s="82">
        <v>6285340323663</v>
      </c>
      <c r="F1180" s="86">
        <v>45838</v>
      </c>
      <c r="G1180" s="87">
        <v>831</v>
      </c>
      <c r="H1180" s="88">
        <v>12582.34126984127</v>
      </c>
      <c r="I1180" s="89">
        <v>21</v>
      </c>
      <c r="J1180" s="90">
        <v>12683</v>
      </c>
      <c r="K1180" s="85">
        <v>6</v>
      </c>
      <c r="L1180" s="85">
        <v>340</v>
      </c>
      <c r="M1180" s="85">
        <v>0</v>
      </c>
      <c r="N1180" s="82" t="s">
        <v>11001</v>
      </c>
      <c r="O1180" s="83"/>
    </row>
    <row r="1181" spans="1:15" ht="22.5" customHeight="1">
      <c r="A1181" s="85">
        <v>174904221976312</v>
      </c>
      <c r="B1181" s="82" t="s">
        <v>10651</v>
      </c>
      <c r="C1181" s="82" t="s">
        <v>11002</v>
      </c>
      <c r="D1181" s="82" t="s">
        <v>11003</v>
      </c>
      <c r="E1181" s="82">
        <v>6288228976100</v>
      </c>
      <c r="F1181" s="86">
        <v>45838</v>
      </c>
      <c r="G1181" s="87">
        <v>504</v>
      </c>
      <c r="H1181" s="88">
        <v>20097.75641025641</v>
      </c>
      <c r="I1181" s="89">
        <v>16</v>
      </c>
      <c r="J1181" s="90">
        <v>12541</v>
      </c>
      <c r="K1181" s="85">
        <v>0</v>
      </c>
      <c r="L1181" s="85">
        <v>0</v>
      </c>
      <c r="M1181" s="85">
        <v>0</v>
      </c>
      <c r="N1181" s="82" t="s">
        <v>11004</v>
      </c>
      <c r="O1181" s="83"/>
    </row>
    <row r="1182" spans="1:15" ht="22.5" customHeight="1">
      <c r="A1182" s="85">
        <v>174904221976312</v>
      </c>
      <c r="B1182" s="82" t="s">
        <v>10651</v>
      </c>
      <c r="C1182" s="82" t="s">
        <v>10971</v>
      </c>
      <c r="D1182" s="82" t="s">
        <v>1292</v>
      </c>
      <c r="E1182" s="82">
        <v>6281213589905</v>
      </c>
      <c r="F1182" s="86">
        <v>45838</v>
      </c>
      <c r="G1182" s="87">
        <v>241</v>
      </c>
      <c r="H1182" s="88">
        <v>35324.32432432432</v>
      </c>
      <c r="I1182" s="89">
        <v>8</v>
      </c>
      <c r="J1182" s="90">
        <v>10456</v>
      </c>
      <c r="K1182" s="85">
        <v>1</v>
      </c>
      <c r="L1182" s="85">
        <v>9</v>
      </c>
      <c r="M1182" s="85">
        <v>0</v>
      </c>
      <c r="N1182" s="82" t="s">
        <v>10972</v>
      </c>
      <c r="O1182" s="83"/>
    </row>
    <row r="1183" spans="1:15" ht="22.5" customHeight="1">
      <c r="A1183" s="85">
        <v>174904221976312</v>
      </c>
      <c r="B1183" s="82" t="s">
        <v>10651</v>
      </c>
      <c r="C1183" s="82" t="s">
        <v>10973</v>
      </c>
      <c r="D1183" s="82" t="s">
        <v>10974</v>
      </c>
      <c r="E1183" s="82">
        <v>6281347156140</v>
      </c>
      <c r="F1183" s="86">
        <v>45838</v>
      </c>
      <c r="G1183" s="87">
        <v>1023</v>
      </c>
      <c r="H1183" s="88">
        <v>10525.757575757576</v>
      </c>
      <c r="I1183" s="89">
        <v>44</v>
      </c>
      <c r="J1183" s="90">
        <v>13894</v>
      </c>
      <c r="K1183" s="85">
        <v>8</v>
      </c>
      <c r="L1183" s="85">
        <v>158</v>
      </c>
      <c r="M1183" s="85">
        <v>1</v>
      </c>
      <c r="N1183" s="82" t="s">
        <v>10975</v>
      </c>
      <c r="O1183" s="83"/>
    </row>
    <row r="1184" spans="1:15" ht="22.5" customHeight="1">
      <c r="A1184" s="85">
        <v>174904221976312</v>
      </c>
      <c r="B1184" s="82" t="s">
        <v>10651</v>
      </c>
      <c r="C1184" s="82" t="s">
        <v>10937</v>
      </c>
      <c r="D1184" s="82" t="s">
        <v>10938</v>
      </c>
      <c r="E1184" s="82">
        <v>6281938563373</v>
      </c>
      <c r="F1184" s="86">
        <v>45838</v>
      </c>
      <c r="G1184" s="87">
        <v>601</v>
      </c>
      <c r="H1184" s="88">
        <v>4365.1050080775449</v>
      </c>
      <c r="I1184" s="89">
        <v>12</v>
      </c>
      <c r="J1184" s="90">
        <v>2702</v>
      </c>
      <c r="K1184" s="85">
        <v>0</v>
      </c>
      <c r="L1184" s="85">
        <v>81</v>
      </c>
      <c r="M1184" s="85">
        <v>0</v>
      </c>
      <c r="N1184" s="82" t="s">
        <v>10939</v>
      </c>
      <c r="O1184" s="83"/>
    </row>
    <row r="1185" spans="1:15" ht="22.5" customHeight="1">
      <c r="A1185" s="85">
        <v>174904221976312</v>
      </c>
      <c r="B1185" s="82" t="s">
        <v>10651</v>
      </c>
      <c r="C1185" s="82" t="s">
        <v>10940</v>
      </c>
      <c r="D1185" s="82" t="s">
        <v>10941</v>
      </c>
      <c r="E1185" s="82">
        <v>6285266218699</v>
      </c>
      <c r="F1185" s="86">
        <v>45838</v>
      </c>
      <c r="G1185" s="87">
        <v>1177</v>
      </c>
      <c r="H1185" s="88">
        <v>9540.8852213053251</v>
      </c>
      <c r="I1185" s="89">
        <v>46</v>
      </c>
      <c r="J1185" s="90">
        <v>12718</v>
      </c>
      <c r="K1185" s="85">
        <v>5</v>
      </c>
      <c r="L1185" s="85">
        <v>540</v>
      </c>
      <c r="M1185" s="85">
        <v>0</v>
      </c>
      <c r="N1185" s="82" t="s">
        <v>10942</v>
      </c>
      <c r="O1185" s="83"/>
    </row>
    <row r="1186" spans="1:15" ht="22.5" customHeight="1">
      <c r="A1186" s="85">
        <v>174904221976312</v>
      </c>
      <c r="B1186" s="82" t="s">
        <v>10651</v>
      </c>
      <c r="C1186" s="82" t="s">
        <v>10943</v>
      </c>
      <c r="D1186" s="82" t="s">
        <v>10944</v>
      </c>
      <c r="E1186" s="82">
        <v>6285240694097</v>
      </c>
      <c r="F1186" s="86">
        <v>45838</v>
      </c>
      <c r="G1186" s="87">
        <v>1594</v>
      </c>
      <c r="H1186" s="88">
        <v>7330.8310991957105</v>
      </c>
      <c r="I1186" s="89">
        <v>49</v>
      </c>
      <c r="J1186" s="90">
        <v>13672</v>
      </c>
      <c r="K1186" s="85">
        <v>4</v>
      </c>
      <c r="L1186" s="85">
        <v>142</v>
      </c>
      <c r="M1186" s="85">
        <v>1</v>
      </c>
      <c r="N1186" s="82" t="s">
        <v>10945</v>
      </c>
      <c r="O1186" s="83"/>
    </row>
    <row r="1187" spans="1:15" ht="22.5" customHeight="1">
      <c r="A1187" s="85">
        <v>174904221976312</v>
      </c>
      <c r="B1187" s="82" t="s">
        <v>10651</v>
      </c>
      <c r="C1187" s="82" t="s">
        <v>10892</v>
      </c>
      <c r="D1187" s="82" t="s">
        <v>10893</v>
      </c>
      <c r="E1187" s="82">
        <v>6282399721881</v>
      </c>
      <c r="F1187" s="86">
        <v>45838</v>
      </c>
      <c r="G1187" s="87">
        <v>1003</v>
      </c>
      <c r="H1187" s="88">
        <v>9704.424778761062</v>
      </c>
      <c r="I1187" s="89">
        <v>16</v>
      </c>
      <c r="J1187" s="90">
        <v>10966</v>
      </c>
      <c r="K1187" s="85">
        <v>1</v>
      </c>
      <c r="L1187" s="85">
        <v>0</v>
      </c>
      <c r="M1187" s="85">
        <v>0</v>
      </c>
      <c r="N1187" s="82" t="s">
        <v>10894</v>
      </c>
      <c r="O1187" s="83"/>
    </row>
    <row r="1188" spans="1:15" ht="22.5" customHeight="1">
      <c r="A1188" s="85">
        <v>174904221976312</v>
      </c>
      <c r="B1188" s="82" t="s">
        <v>10651</v>
      </c>
      <c r="C1188" s="82" t="s">
        <v>10895</v>
      </c>
      <c r="D1188" s="82" t="s">
        <v>10896</v>
      </c>
      <c r="E1188" s="82">
        <v>6281299907533</v>
      </c>
      <c r="F1188" s="86">
        <v>45838</v>
      </c>
      <c r="G1188" s="87">
        <v>285</v>
      </c>
      <c r="H1188" s="88">
        <v>42095.384615384617</v>
      </c>
      <c r="I1188" s="89">
        <v>9</v>
      </c>
      <c r="J1188" s="90">
        <v>13681</v>
      </c>
      <c r="K1188" s="85">
        <v>0</v>
      </c>
      <c r="L1188" s="85">
        <v>13</v>
      </c>
      <c r="M1188" s="85">
        <v>0</v>
      </c>
      <c r="N1188" s="82" t="s">
        <v>10897</v>
      </c>
      <c r="O1188" s="83"/>
    </row>
    <row r="1189" spans="1:15" ht="22.5" customHeight="1">
      <c r="A1189" s="85">
        <v>174904221976312</v>
      </c>
      <c r="B1189" s="82" t="s">
        <v>10651</v>
      </c>
      <c r="C1189" s="82" t="s">
        <v>818</v>
      </c>
      <c r="D1189" s="82" t="s">
        <v>812</v>
      </c>
      <c r="E1189" s="82">
        <v>6287858585808</v>
      </c>
      <c r="F1189" s="86">
        <v>45838</v>
      </c>
      <c r="G1189" s="87">
        <v>553</v>
      </c>
      <c r="H1189" s="88">
        <v>17487.101669195752</v>
      </c>
      <c r="I1189" s="89">
        <v>10</v>
      </c>
      <c r="J1189" s="90">
        <v>11524</v>
      </c>
      <c r="K1189" s="85">
        <v>1</v>
      </c>
      <c r="L1189" s="85">
        <v>156</v>
      </c>
      <c r="M1189" s="85">
        <v>0</v>
      </c>
      <c r="N1189" s="82" t="s">
        <v>10831</v>
      </c>
      <c r="O1189" s="83"/>
    </row>
    <row r="1190" spans="1:15" ht="22.5" customHeight="1">
      <c r="A1190" s="85">
        <v>174904221976312</v>
      </c>
      <c r="B1190" s="82" t="s">
        <v>10651</v>
      </c>
      <c r="C1190" s="82" t="s">
        <v>10809</v>
      </c>
      <c r="D1190" s="82" t="s">
        <v>634</v>
      </c>
      <c r="E1190" s="82">
        <v>6282258886603</v>
      </c>
      <c r="F1190" s="86">
        <v>45838</v>
      </c>
      <c r="G1190" s="87">
        <v>331</v>
      </c>
      <c r="H1190" s="88">
        <v>35718.015665796345</v>
      </c>
      <c r="I1190" s="89">
        <v>15</v>
      </c>
      <c r="J1190" s="90">
        <v>13680</v>
      </c>
      <c r="K1190" s="85">
        <v>0</v>
      </c>
      <c r="L1190" s="85">
        <v>0</v>
      </c>
      <c r="M1190" s="85">
        <v>0</v>
      </c>
      <c r="N1190" s="82" t="s">
        <v>10810</v>
      </c>
      <c r="O1190" s="83"/>
    </row>
    <row r="1191" spans="1:15" ht="22.5" customHeight="1">
      <c r="A1191" s="85">
        <v>174904221976312</v>
      </c>
      <c r="B1191" s="82" t="s">
        <v>10651</v>
      </c>
      <c r="C1191" s="82" t="s">
        <v>10652</v>
      </c>
      <c r="D1191" s="82" t="s">
        <v>10653</v>
      </c>
      <c r="E1191" s="82">
        <v>6281348555887</v>
      </c>
      <c r="F1191" s="86">
        <v>45838</v>
      </c>
      <c r="G1191" s="87">
        <v>733</v>
      </c>
      <c r="H1191" s="88">
        <v>14623.853211009175</v>
      </c>
      <c r="I1191" s="89">
        <v>24</v>
      </c>
      <c r="J1191" s="90">
        <v>12752</v>
      </c>
      <c r="K1191" s="85">
        <v>0</v>
      </c>
      <c r="L1191" s="85">
        <v>247</v>
      </c>
      <c r="M1191" s="85">
        <v>0</v>
      </c>
      <c r="N1191" s="82" t="s">
        <v>10654</v>
      </c>
      <c r="O1191" s="83"/>
    </row>
    <row r="1192" spans="1:15" ht="22.5" customHeight="1">
      <c r="A1192" s="85">
        <v>174904221976312</v>
      </c>
      <c r="B1192" s="82" t="s">
        <v>10651</v>
      </c>
      <c r="C1192" s="82" t="s">
        <v>10657</v>
      </c>
      <c r="D1192" s="82" t="s">
        <v>1239</v>
      </c>
      <c r="E1192" s="82">
        <v>6282172291579</v>
      </c>
      <c r="F1192" s="86">
        <v>45838</v>
      </c>
      <c r="G1192" s="87">
        <v>1010</v>
      </c>
      <c r="H1192" s="88">
        <v>11838.60502838605</v>
      </c>
      <c r="I1192" s="89">
        <v>56</v>
      </c>
      <c r="J1192" s="90">
        <v>14597</v>
      </c>
      <c r="K1192" s="85">
        <v>6</v>
      </c>
      <c r="L1192" s="85">
        <v>556</v>
      </c>
      <c r="M1192" s="85">
        <v>1</v>
      </c>
      <c r="N1192" s="82" t="s">
        <v>10658</v>
      </c>
      <c r="O1192" s="83"/>
    </row>
    <row r="1193" spans="1:15" ht="22.5" customHeight="1">
      <c r="A1193" s="85">
        <v>174904221976312</v>
      </c>
      <c r="B1193" s="82" t="s">
        <v>10651</v>
      </c>
      <c r="C1193" s="82" t="s">
        <v>10659</v>
      </c>
      <c r="D1193" s="82" t="s">
        <v>1044</v>
      </c>
      <c r="E1193" s="82">
        <v>6281263113266</v>
      </c>
      <c r="F1193" s="86">
        <v>45838</v>
      </c>
      <c r="G1193" s="87">
        <v>1348</v>
      </c>
      <c r="H1193" s="88">
        <v>8364.4333124608638</v>
      </c>
      <c r="I1193" s="89">
        <v>41</v>
      </c>
      <c r="J1193" s="90">
        <v>13358</v>
      </c>
      <c r="K1193" s="85">
        <v>3</v>
      </c>
      <c r="L1193" s="85">
        <v>5</v>
      </c>
      <c r="M1193" s="85">
        <v>1</v>
      </c>
      <c r="N1193" s="82" t="s">
        <v>10660</v>
      </c>
      <c r="O1193" s="83"/>
    </row>
    <row r="1194" spans="1:15" ht="22.5" customHeight="1">
      <c r="A1194" s="85">
        <v>174904221976312</v>
      </c>
      <c r="B1194" s="82" t="s">
        <v>10651</v>
      </c>
      <c r="C1194" s="82" t="s">
        <v>10679</v>
      </c>
      <c r="D1194" s="82" t="s">
        <v>10680</v>
      </c>
      <c r="E1194" s="82">
        <v>6282347206488</v>
      </c>
      <c r="F1194" s="86">
        <v>45838</v>
      </c>
      <c r="G1194" s="87">
        <v>991</v>
      </c>
      <c r="H1194" s="88">
        <v>10945.469125902164</v>
      </c>
      <c r="I1194" s="89">
        <v>43</v>
      </c>
      <c r="J1194" s="90">
        <v>13649</v>
      </c>
      <c r="K1194" s="85">
        <v>4</v>
      </c>
      <c r="L1194" s="85">
        <v>509</v>
      </c>
      <c r="M1194" s="85">
        <v>0</v>
      </c>
      <c r="N1194" s="82" t="s">
        <v>10681</v>
      </c>
      <c r="O1194" s="83"/>
    </row>
    <row r="1195" spans="1:15" ht="22.5" customHeight="1">
      <c r="A1195" s="85">
        <v>174904221976312</v>
      </c>
      <c r="B1195" s="82" t="s">
        <v>10651</v>
      </c>
      <c r="C1195" s="82" t="s">
        <v>10833</v>
      </c>
      <c r="D1195" s="82" t="s">
        <v>10834</v>
      </c>
      <c r="E1195" s="82">
        <v>6282242925264</v>
      </c>
      <c r="F1195" s="86">
        <v>45838</v>
      </c>
      <c r="G1195" s="87">
        <v>2091</v>
      </c>
      <c r="H1195" s="88">
        <v>5576.3546798029556</v>
      </c>
      <c r="I1195" s="89">
        <v>92</v>
      </c>
      <c r="J1195" s="90">
        <v>13584</v>
      </c>
      <c r="K1195" s="85">
        <v>9</v>
      </c>
      <c r="L1195" s="85">
        <v>677</v>
      </c>
      <c r="M1195" s="85">
        <v>0</v>
      </c>
      <c r="N1195" s="82" t="s">
        <v>10835</v>
      </c>
      <c r="O1195" s="83"/>
    </row>
    <row r="1196" spans="1:15" ht="22.5" customHeight="1">
      <c r="A1196" s="85">
        <v>766589657993298</v>
      </c>
      <c r="B1196" s="82" t="s">
        <v>10688</v>
      </c>
      <c r="C1196" s="82" t="s">
        <v>1348</v>
      </c>
      <c r="D1196" s="82" t="s">
        <v>10984</v>
      </c>
      <c r="E1196" s="82">
        <v>6287822304727</v>
      </c>
      <c r="F1196" s="86">
        <v>45838</v>
      </c>
      <c r="G1196" s="87">
        <v>741</v>
      </c>
      <c r="H1196" s="88">
        <v>17926.056338028167</v>
      </c>
      <c r="I1196" s="89">
        <v>18</v>
      </c>
      <c r="J1196" s="90">
        <v>15273</v>
      </c>
      <c r="K1196" s="85">
        <v>2</v>
      </c>
      <c r="L1196" s="85">
        <v>182</v>
      </c>
      <c r="M1196" s="85">
        <v>0</v>
      </c>
      <c r="N1196" s="82" t="s">
        <v>10985</v>
      </c>
      <c r="O1196" s="83"/>
    </row>
    <row r="1197" spans="1:15" ht="22.5" customHeight="1">
      <c r="A1197" s="85">
        <v>766589657993298</v>
      </c>
      <c r="B1197" s="82" t="s">
        <v>10688</v>
      </c>
      <c r="C1197" s="82" t="s">
        <v>10976</v>
      </c>
      <c r="D1197" s="82" t="s">
        <v>10977</v>
      </c>
      <c r="E1197" s="82">
        <v>6281138301069</v>
      </c>
      <c r="F1197" s="86">
        <v>45838</v>
      </c>
      <c r="G1197" s="87">
        <v>11274</v>
      </c>
      <c r="H1197" s="88">
        <v>1314.6748681898066</v>
      </c>
      <c r="I1197" s="89">
        <v>14</v>
      </c>
      <c r="J1197" s="90">
        <v>14961</v>
      </c>
      <c r="K1197" s="85">
        <v>0</v>
      </c>
      <c r="L1197" s="85">
        <v>845</v>
      </c>
      <c r="M1197" s="85">
        <v>0</v>
      </c>
      <c r="N1197" s="82" t="s">
        <v>10978</v>
      </c>
      <c r="O1197" s="83"/>
    </row>
    <row r="1198" spans="1:15" ht="22.5" customHeight="1">
      <c r="A1198" s="85">
        <v>766589657993298</v>
      </c>
      <c r="B1198" s="82" t="s">
        <v>10688</v>
      </c>
      <c r="C1198" s="82" t="s">
        <v>10979</v>
      </c>
      <c r="D1198" s="82" t="s">
        <v>10980</v>
      </c>
      <c r="E1198" s="82">
        <v>6285715856120</v>
      </c>
      <c r="F1198" s="86">
        <v>45838</v>
      </c>
      <c r="G1198" s="87">
        <v>1086</v>
      </c>
      <c r="H1198" s="88">
        <v>12254.771784232365</v>
      </c>
      <c r="I1198" s="89">
        <v>61</v>
      </c>
      <c r="J1198" s="90">
        <v>14767</v>
      </c>
      <c r="K1198" s="85">
        <v>14</v>
      </c>
      <c r="L1198" s="85">
        <v>477</v>
      </c>
      <c r="M1198" s="85">
        <v>0</v>
      </c>
      <c r="N1198" s="82" t="s">
        <v>10981</v>
      </c>
      <c r="O1198" s="83"/>
    </row>
    <row r="1199" spans="1:15" ht="22.5" customHeight="1">
      <c r="A1199" s="85">
        <v>766589657993298</v>
      </c>
      <c r="B1199" s="82" t="s">
        <v>10688</v>
      </c>
      <c r="C1199" s="82" t="s">
        <v>10982</v>
      </c>
      <c r="D1199" s="82" t="s">
        <v>1052</v>
      </c>
      <c r="E1199" s="82">
        <v>6282385989828</v>
      </c>
      <c r="F1199" s="86">
        <v>45838</v>
      </c>
      <c r="G1199" s="87">
        <v>1122</v>
      </c>
      <c r="H1199" s="88">
        <v>12017.054263565891</v>
      </c>
      <c r="I1199" s="89">
        <v>26</v>
      </c>
      <c r="J1199" s="90">
        <v>15502</v>
      </c>
      <c r="K1199" s="85">
        <v>3</v>
      </c>
      <c r="L1199" s="85">
        <v>367</v>
      </c>
      <c r="M1199" s="85">
        <v>0</v>
      </c>
      <c r="N1199" s="82" t="s">
        <v>10983</v>
      </c>
      <c r="O1199" s="83"/>
    </row>
    <row r="1200" spans="1:15" ht="22.5" customHeight="1">
      <c r="A1200" s="85">
        <v>766589657993298</v>
      </c>
      <c r="B1200" s="82" t="s">
        <v>10688</v>
      </c>
      <c r="C1200" s="82" t="s">
        <v>10964</v>
      </c>
      <c r="D1200" s="82" t="s">
        <v>10965</v>
      </c>
      <c r="E1200" s="82">
        <v>6282365004117</v>
      </c>
      <c r="F1200" s="86">
        <v>45838</v>
      </c>
      <c r="G1200" s="87">
        <v>626</v>
      </c>
      <c r="H1200" s="88">
        <v>21629.787234042553</v>
      </c>
      <c r="I1200" s="89">
        <v>13</v>
      </c>
      <c r="J1200" s="90">
        <v>15249</v>
      </c>
      <c r="K1200" s="85">
        <v>1</v>
      </c>
      <c r="L1200" s="85">
        <v>24</v>
      </c>
      <c r="M1200" s="85">
        <v>0</v>
      </c>
      <c r="N1200" s="82" t="s">
        <v>10966</v>
      </c>
      <c r="O1200" s="83"/>
    </row>
    <row r="1201" spans="1:15" ht="22.5" customHeight="1">
      <c r="A1201" s="85">
        <v>766589657993298</v>
      </c>
      <c r="B1201" s="82" t="s">
        <v>10688</v>
      </c>
      <c r="C1201" s="82" t="s">
        <v>10967</v>
      </c>
      <c r="D1201" s="82" t="s">
        <v>1158</v>
      </c>
      <c r="E1201" s="82">
        <v>6285167182620</v>
      </c>
      <c r="F1201" s="86">
        <v>45838</v>
      </c>
      <c r="G1201" s="87">
        <v>518</v>
      </c>
      <c r="H1201" s="88">
        <v>29689.165186500886</v>
      </c>
      <c r="I1201" s="89">
        <v>24</v>
      </c>
      <c r="J1201" s="90">
        <v>16715</v>
      </c>
      <c r="K1201" s="85">
        <v>5</v>
      </c>
      <c r="L1201" s="85">
        <v>333</v>
      </c>
      <c r="M1201" s="85">
        <v>0</v>
      </c>
      <c r="N1201" s="82" t="s">
        <v>10968</v>
      </c>
      <c r="O1201" s="83"/>
    </row>
    <row r="1202" spans="1:15" ht="22.5" customHeight="1">
      <c r="A1202" s="85">
        <v>766589657993298</v>
      </c>
      <c r="B1202" s="82" t="s">
        <v>10688</v>
      </c>
      <c r="C1202" s="82" t="s">
        <v>10946</v>
      </c>
      <c r="D1202" s="82" t="s">
        <v>10947</v>
      </c>
      <c r="E1202" s="82">
        <v>6281374115054</v>
      </c>
      <c r="F1202" s="86">
        <v>45838</v>
      </c>
      <c r="G1202" s="87">
        <v>1046</v>
      </c>
      <c r="H1202" s="88">
        <v>14017.902813299233</v>
      </c>
      <c r="I1202" s="89">
        <v>11</v>
      </c>
      <c r="J1202" s="90">
        <v>16443</v>
      </c>
      <c r="K1202" s="85">
        <v>0</v>
      </c>
      <c r="L1202" s="85">
        <v>249</v>
      </c>
      <c r="M1202" s="85">
        <v>0</v>
      </c>
      <c r="N1202" s="82" t="s">
        <v>10948</v>
      </c>
      <c r="O1202" s="83"/>
    </row>
    <row r="1203" spans="1:15" ht="22.5" customHeight="1">
      <c r="A1203" s="85">
        <v>766589657993298</v>
      </c>
      <c r="B1203" s="82" t="s">
        <v>10688</v>
      </c>
      <c r="C1203" s="82" t="s">
        <v>10885</v>
      </c>
      <c r="D1203" s="82" t="s">
        <v>906</v>
      </c>
      <c r="E1203" s="82">
        <v>6282183115806</v>
      </c>
      <c r="F1203" s="86">
        <v>45838</v>
      </c>
      <c r="G1203" s="87">
        <v>1111</v>
      </c>
      <c r="H1203" s="88">
        <v>12868.729096989966</v>
      </c>
      <c r="I1203" s="89">
        <v>28</v>
      </c>
      <c r="J1203" s="90">
        <v>15391</v>
      </c>
      <c r="K1203" s="85">
        <v>2</v>
      </c>
      <c r="L1203" s="85">
        <v>669</v>
      </c>
      <c r="M1203" s="85">
        <v>0</v>
      </c>
      <c r="N1203" s="82" t="s">
        <v>10886</v>
      </c>
      <c r="O1203" s="83"/>
    </row>
    <row r="1204" spans="1:15" ht="22.5" customHeight="1">
      <c r="A1204" s="85">
        <v>766589657993298</v>
      </c>
      <c r="B1204" s="82" t="s">
        <v>10688</v>
      </c>
      <c r="C1204" s="82" t="s">
        <v>10869</v>
      </c>
      <c r="D1204" s="82" t="s">
        <v>10870</v>
      </c>
      <c r="E1204" s="82">
        <v>6281230995752</v>
      </c>
      <c r="F1204" s="86">
        <v>45838</v>
      </c>
      <c r="G1204" s="87">
        <v>1297</v>
      </c>
      <c r="H1204" s="88">
        <v>11290.277777777777</v>
      </c>
      <c r="I1204" s="89">
        <v>42</v>
      </c>
      <c r="J1204" s="90">
        <v>16258</v>
      </c>
      <c r="K1204" s="85">
        <v>6</v>
      </c>
      <c r="L1204" s="85">
        <v>806</v>
      </c>
      <c r="M1204" s="85">
        <v>0</v>
      </c>
      <c r="N1204" s="82" t="s">
        <v>10871</v>
      </c>
      <c r="O1204" s="83"/>
    </row>
    <row r="1205" spans="1:15" ht="22.5" customHeight="1">
      <c r="A1205" s="85">
        <v>766589657993298</v>
      </c>
      <c r="B1205" s="82" t="s">
        <v>10688</v>
      </c>
      <c r="C1205" s="82" t="s">
        <v>10879</v>
      </c>
      <c r="D1205" s="82" t="s">
        <v>10880</v>
      </c>
      <c r="E1205" s="82">
        <v>6281215851833</v>
      </c>
      <c r="F1205" s="86">
        <v>45838</v>
      </c>
      <c r="G1205" s="87">
        <v>322</v>
      </c>
      <c r="H1205" s="88">
        <v>37746.231155778893</v>
      </c>
      <c r="I1205" s="89">
        <v>21</v>
      </c>
      <c r="J1205" s="90">
        <v>15023</v>
      </c>
      <c r="K1205" s="85">
        <v>4</v>
      </c>
      <c r="L1205" s="85">
        <v>0</v>
      </c>
      <c r="M1205" s="85">
        <v>0</v>
      </c>
      <c r="N1205" s="82" t="s">
        <v>10881</v>
      </c>
      <c r="O1205" s="83"/>
    </row>
    <row r="1206" spans="1:15" ht="22.5" customHeight="1">
      <c r="A1206" s="85">
        <v>766589657993298</v>
      </c>
      <c r="B1206" s="82" t="s">
        <v>10688</v>
      </c>
      <c r="C1206" s="82" t="s">
        <v>720</v>
      </c>
      <c r="D1206" s="82" t="s">
        <v>10840</v>
      </c>
      <c r="E1206" s="82">
        <v>6282141603091</v>
      </c>
      <c r="F1206" s="86">
        <v>45838</v>
      </c>
      <c r="G1206" s="87">
        <v>1274</v>
      </c>
      <c r="H1206" s="88">
        <v>10644.06779661017</v>
      </c>
      <c r="I1206" s="89">
        <v>41</v>
      </c>
      <c r="J1206" s="90">
        <v>15072</v>
      </c>
      <c r="K1206" s="85">
        <v>9</v>
      </c>
      <c r="L1206" s="85">
        <v>0</v>
      </c>
      <c r="M1206" s="85">
        <v>1</v>
      </c>
      <c r="N1206" s="82" t="s">
        <v>10841</v>
      </c>
      <c r="O1206" s="83"/>
    </row>
    <row r="1207" spans="1:15" ht="22.5" customHeight="1">
      <c r="A1207" s="85">
        <v>766589657993298</v>
      </c>
      <c r="B1207" s="82" t="s">
        <v>10688</v>
      </c>
      <c r="C1207" s="82" t="s">
        <v>689</v>
      </c>
      <c r="D1207" s="82" t="s">
        <v>10923</v>
      </c>
      <c r="E1207" s="82">
        <v>6282176695820</v>
      </c>
      <c r="F1207" s="86">
        <v>45838</v>
      </c>
      <c r="G1207" s="87">
        <v>754</v>
      </c>
      <c r="H1207" s="88">
        <v>16728.982300884956</v>
      </c>
      <c r="I1207" s="89">
        <v>14</v>
      </c>
      <c r="J1207" s="90">
        <v>15123</v>
      </c>
      <c r="K1207" s="85">
        <v>0</v>
      </c>
      <c r="L1207" s="85">
        <v>24</v>
      </c>
      <c r="M1207" s="85">
        <v>0</v>
      </c>
      <c r="N1207" s="82" t="s">
        <v>10921</v>
      </c>
      <c r="O1207" s="83"/>
    </row>
    <row r="1208" spans="1:15" ht="22.5" customHeight="1">
      <c r="A1208" s="85">
        <v>766589657993298</v>
      </c>
      <c r="B1208" s="82" t="s">
        <v>10688</v>
      </c>
      <c r="C1208" s="82" t="s">
        <v>10822</v>
      </c>
      <c r="D1208" s="82" t="s">
        <v>676</v>
      </c>
      <c r="E1208" s="82">
        <v>6281316155059</v>
      </c>
      <c r="F1208" s="86">
        <v>45838</v>
      </c>
      <c r="G1208" s="87">
        <v>228</v>
      </c>
      <c r="H1208" s="88">
        <v>53485.943775100401</v>
      </c>
      <c r="I1208" s="89">
        <v>12</v>
      </c>
      <c r="J1208" s="90">
        <v>13318</v>
      </c>
      <c r="K1208" s="85">
        <v>0</v>
      </c>
      <c r="L1208" s="85">
        <v>23</v>
      </c>
      <c r="M1208" s="85">
        <v>2</v>
      </c>
      <c r="N1208" s="82" t="s">
        <v>10823</v>
      </c>
      <c r="O1208" s="83"/>
    </row>
    <row r="1209" spans="1:15" ht="22.5" customHeight="1">
      <c r="A1209" s="85">
        <v>766589657993298</v>
      </c>
      <c r="B1209" s="82" t="s">
        <v>10688</v>
      </c>
      <c r="C1209" s="82" t="s">
        <v>769</v>
      </c>
      <c r="D1209" s="82" t="s">
        <v>764</v>
      </c>
      <c r="E1209" s="82">
        <v>6287778562681</v>
      </c>
      <c r="F1209" s="86">
        <v>45838</v>
      </c>
      <c r="G1209" s="87">
        <v>346</v>
      </c>
      <c r="H1209" s="88">
        <v>39699.731903485255</v>
      </c>
      <c r="I1209" s="89">
        <v>7</v>
      </c>
      <c r="J1209" s="90">
        <v>14808</v>
      </c>
      <c r="K1209" s="85">
        <v>1</v>
      </c>
      <c r="L1209" s="85">
        <v>141</v>
      </c>
      <c r="M1209" s="85">
        <v>0</v>
      </c>
      <c r="N1209" s="82" t="s">
        <v>10882</v>
      </c>
      <c r="O1209" s="83"/>
    </row>
    <row r="1210" spans="1:15" ht="22.5" customHeight="1">
      <c r="A1210" s="85">
        <v>766589657993298</v>
      </c>
      <c r="B1210" s="82" t="s">
        <v>10688</v>
      </c>
      <c r="C1210" s="82" t="s">
        <v>10786</v>
      </c>
      <c r="D1210" s="82" t="s">
        <v>739</v>
      </c>
      <c r="E1210" s="82">
        <v>628122102657</v>
      </c>
      <c r="F1210" s="86">
        <v>45838</v>
      </c>
      <c r="G1210" s="87">
        <v>414</v>
      </c>
      <c r="H1210" s="88">
        <v>37325.221238938058</v>
      </c>
      <c r="I1210" s="89">
        <v>16</v>
      </c>
      <c r="J1210" s="90">
        <v>16871</v>
      </c>
      <c r="K1210" s="85">
        <v>2</v>
      </c>
      <c r="L1210" s="85">
        <v>143</v>
      </c>
      <c r="M1210" s="85">
        <v>0</v>
      </c>
      <c r="N1210" s="82" t="s">
        <v>10787</v>
      </c>
      <c r="O1210" s="83"/>
    </row>
    <row r="1211" spans="1:15" ht="22.5" customHeight="1">
      <c r="A1211" s="85">
        <v>766589657993298</v>
      </c>
      <c r="B1211" s="82" t="s">
        <v>10688</v>
      </c>
      <c r="C1211" s="82" t="s">
        <v>10762</v>
      </c>
      <c r="D1211" s="82" t="s">
        <v>10763</v>
      </c>
      <c r="E1211" s="82">
        <v>6285210107607</v>
      </c>
      <c r="F1211" s="86">
        <v>45838</v>
      </c>
      <c r="G1211" s="87">
        <v>810</v>
      </c>
      <c r="H1211" s="88">
        <v>20586.021505376342</v>
      </c>
      <c r="I1211" s="89">
        <v>22</v>
      </c>
      <c r="J1211" s="90">
        <v>19145</v>
      </c>
      <c r="K1211" s="85">
        <v>3</v>
      </c>
      <c r="L1211" s="85">
        <v>248</v>
      </c>
      <c r="M1211" s="85">
        <v>0</v>
      </c>
      <c r="N1211" s="82" t="s">
        <v>10764</v>
      </c>
      <c r="O1211" s="83"/>
    </row>
    <row r="1212" spans="1:15" ht="22.5" customHeight="1">
      <c r="A1212" s="85">
        <v>766589657993298</v>
      </c>
      <c r="B1212" s="82" t="s">
        <v>10688</v>
      </c>
      <c r="C1212" s="82" t="s">
        <v>10767</v>
      </c>
      <c r="D1212" s="82" t="s">
        <v>10768</v>
      </c>
      <c r="E1212" s="82">
        <v>6281519225886</v>
      </c>
      <c r="F1212" s="86">
        <v>45838</v>
      </c>
      <c r="G1212" s="87">
        <v>415</v>
      </c>
      <c r="H1212" s="88">
        <v>32335.378323108387</v>
      </c>
      <c r="I1212" s="89">
        <v>13</v>
      </c>
      <c r="J1212" s="90">
        <v>15812</v>
      </c>
      <c r="K1212" s="85">
        <v>2</v>
      </c>
      <c r="L1212" s="85">
        <v>22</v>
      </c>
      <c r="M1212" s="85">
        <v>0</v>
      </c>
      <c r="N1212" s="82" t="s">
        <v>10769</v>
      </c>
      <c r="O1212" s="83"/>
    </row>
    <row r="1213" spans="1:15" ht="22.5" customHeight="1">
      <c r="A1213" s="85">
        <v>766589657993298</v>
      </c>
      <c r="B1213" s="82" t="s">
        <v>10688</v>
      </c>
      <c r="C1213" s="82" t="s">
        <v>10797</v>
      </c>
      <c r="D1213" s="82" t="s">
        <v>10798</v>
      </c>
      <c r="E1213" s="82">
        <v>6285853370682</v>
      </c>
      <c r="F1213" s="86">
        <v>45838</v>
      </c>
      <c r="G1213" s="87">
        <v>492</v>
      </c>
      <c r="H1213" s="88">
        <v>29421.70818505338</v>
      </c>
      <c r="I1213" s="89">
        <v>8</v>
      </c>
      <c r="J1213" s="90">
        <v>16535</v>
      </c>
      <c r="K1213" s="85">
        <v>0</v>
      </c>
      <c r="L1213" s="85">
        <v>184</v>
      </c>
      <c r="M1213" s="85">
        <v>0</v>
      </c>
      <c r="N1213" s="82" t="s">
        <v>10799</v>
      </c>
      <c r="O1213" s="83"/>
    </row>
    <row r="1214" spans="1:15" ht="22.5" customHeight="1">
      <c r="A1214" s="85">
        <v>766589657993298</v>
      </c>
      <c r="B1214" s="82" t="s">
        <v>10688</v>
      </c>
      <c r="C1214" s="82" t="s">
        <v>10800</v>
      </c>
      <c r="D1214" s="82" t="s">
        <v>472</v>
      </c>
      <c r="E1214" s="82">
        <v>628114170888</v>
      </c>
      <c r="F1214" s="86">
        <v>45838</v>
      </c>
      <c r="G1214" s="87">
        <v>563</v>
      </c>
      <c r="H1214" s="88">
        <v>22702.127659574468</v>
      </c>
      <c r="I1214" s="89">
        <v>11</v>
      </c>
      <c r="J1214" s="90">
        <v>14938</v>
      </c>
      <c r="K1214" s="85">
        <v>0</v>
      </c>
      <c r="L1214" s="85">
        <v>0</v>
      </c>
      <c r="M1214" s="85">
        <v>0</v>
      </c>
      <c r="N1214" s="82" t="s">
        <v>10801</v>
      </c>
      <c r="O1214" s="83"/>
    </row>
    <row r="1215" spans="1:15" ht="22.5" customHeight="1">
      <c r="A1215" s="85">
        <v>766589657993298</v>
      </c>
      <c r="B1215" s="82" t="s">
        <v>10688</v>
      </c>
      <c r="C1215" s="82" t="s">
        <v>10752</v>
      </c>
      <c r="D1215" s="82" t="s">
        <v>10753</v>
      </c>
      <c r="E1215" s="82">
        <v>6281340892328</v>
      </c>
      <c r="F1215" s="86">
        <v>45838</v>
      </c>
      <c r="G1215" s="87">
        <v>953</v>
      </c>
      <c r="H1215" s="88">
        <v>14084.162895927602</v>
      </c>
      <c r="I1215" s="89">
        <v>36</v>
      </c>
      <c r="J1215" s="90">
        <v>15563</v>
      </c>
      <c r="K1215" s="85">
        <v>1</v>
      </c>
      <c r="L1215" s="85">
        <v>340</v>
      </c>
      <c r="M1215" s="85">
        <v>1</v>
      </c>
      <c r="N1215" s="82" t="s">
        <v>10754</v>
      </c>
      <c r="O1215" s="83"/>
    </row>
    <row r="1216" spans="1:15" ht="22.5" customHeight="1">
      <c r="A1216" s="85">
        <v>759724529202804</v>
      </c>
      <c r="B1216" s="82" t="s">
        <v>10621</v>
      </c>
      <c r="C1216" s="82" t="s">
        <v>10986</v>
      </c>
      <c r="D1216" s="82" t="s">
        <v>10987</v>
      </c>
      <c r="E1216" s="82">
        <v>6281282183261</v>
      </c>
      <c r="F1216" s="86">
        <v>45839</v>
      </c>
      <c r="G1216" s="87">
        <v>679</v>
      </c>
      <c r="H1216" s="88">
        <v>19706.549118387909</v>
      </c>
      <c r="I1216" s="89">
        <v>10</v>
      </c>
      <c r="J1216" s="90">
        <v>15647</v>
      </c>
      <c r="K1216" s="85">
        <v>5</v>
      </c>
      <c r="L1216" s="85">
        <v>161</v>
      </c>
      <c r="M1216" s="85">
        <v>0</v>
      </c>
      <c r="N1216" s="82" t="s">
        <v>10988</v>
      </c>
      <c r="O1216" s="83"/>
    </row>
    <row r="1217" spans="1:15" ht="22.5" customHeight="1">
      <c r="A1217" s="85">
        <v>759724529202804</v>
      </c>
      <c r="B1217" s="82" t="s">
        <v>10621</v>
      </c>
      <c r="C1217" s="82" t="s">
        <v>10989</v>
      </c>
      <c r="D1217" s="82" t="s">
        <v>1377</v>
      </c>
      <c r="E1217" s="82">
        <v>6285169568997</v>
      </c>
      <c r="F1217" s="86">
        <v>45839</v>
      </c>
      <c r="G1217" s="87">
        <v>447</v>
      </c>
      <c r="H1217" s="88">
        <v>27994.117647058822</v>
      </c>
      <c r="I1217" s="89">
        <v>15</v>
      </c>
      <c r="J1217" s="90">
        <v>14277</v>
      </c>
      <c r="K1217" s="85">
        <v>3</v>
      </c>
      <c r="L1217" s="85">
        <v>152</v>
      </c>
      <c r="M1217" s="85">
        <v>0</v>
      </c>
      <c r="N1217" s="82" t="s">
        <v>10990</v>
      </c>
      <c r="O1217" s="83"/>
    </row>
    <row r="1218" spans="1:15" ht="22.5" customHeight="1">
      <c r="A1218" s="85">
        <v>759724529202804</v>
      </c>
      <c r="B1218" s="82" t="s">
        <v>10621</v>
      </c>
      <c r="C1218" s="82" t="s">
        <v>10991</v>
      </c>
      <c r="D1218" s="82" t="s">
        <v>10992</v>
      </c>
      <c r="E1218" s="82">
        <v>6285974999484</v>
      </c>
      <c r="F1218" s="86">
        <v>45839</v>
      </c>
      <c r="G1218" s="87">
        <v>656</v>
      </c>
      <c r="H1218" s="88">
        <v>18695.018226002427</v>
      </c>
      <c r="I1218" s="89">
        <v>34</v>
      </c>
      <c r="J1218" s="90">
        <v>15386</v>
      </c>
      <c r="K1218" s="85">
        <v>4</v>
      </c>
      <c r="L1218" s="85">
        <v>0</v>
      </c>
      <c r="M1218" s="85">
        <v>1</v>
      </c>
      <c r="N1218" s="82" t="s">
        <v>10993</v>
      </c>
      <c r="O1218" s="83"/>
    </row>
    <row r="1219" spans="1:15" ht="22.5" customHeight="1">
      <c r="A1219" s="85">
        <v>759724529202804</v>
      </c>
      <c r="B1219" s="82" t="s">
        <v>10621</v>
      </c>
      <c r="C1219" s="82" t="s">
        <v>10994</v>
      </c>
      <c r="D1219" s="82" t="s">
        <v>10995</v>
      </c>
      <c r="E1219" s="82">
        <v>6287777241263</v>
      </c>
      <c r="F1219" s="86">
        <v>45839</v>
      </c>
      <c r="G1219" s="87">
        <v>1308</v>
      </c>
      <c r="H1219" s="88">
        <v>9226.7792521109786</v>
      </c>
      <c r="I1219" s="89">
        <v>23</v>
      </c>
      <c r="J1219" s="90">
        <v>15298</v>
      </c>
      <c r="K1219" s="85">
        <v>0</v>
      </c>
      <c r="L1219" s="85">
        <v>0</v>
      </c>
      <c r="M1219" s="85">
        <v>0</v>
      </c>
      <c r="N1219" s="82" t="s">
        <v>10996</v>
      </c>
      <c r="O1219" s="83"/>
    </row>
    <row r="1220" spans="1:15" ht="22.5" customHeight="1">
      <c r="A1220" s="85">
        <v>759724529202804</v>
      </c>
      <c r="B1220" s="82" t="s">
        <v>10621</v>
      </c>
      <c r="C1220" s="82" t="s">
        <v>1334</v>
      </c>
      <c r="D1220" s="82" t="s">
        <v>11005</v>
      </c>
      <c r="E1220" s="82">
        <v>6281366622333</v>
      </c>
      <c r="F1220" s="86">
        <v>45839</v>
      </c>
      <c r="G1220" s="87">
        <v>668</v>
      </c>
      <c r="H1220" s="88">
        <v>18894.993894993895</v>
      </c>
      <c r="I1220" s="89">
        <v>17</v>
      </c>
      <c r="J1220" s="90">
        <v>15475</v>
      </c>
      <c r="K1220" s="85">
        <v>1</v>
      </c>
      <c r="L1220" s="85">
        <v>0</v>
      </c>
      <c r="M1220" s="85">
        <v>0</v>
      </c>
      <c r="N1220" s="82" t="s">
        <v>11006</v>
      </c>
      <c r="O1220" s="83"/>
    </row>
    <row r="1221" spans="1:15" ht="22.5" customHeight="1">
      <c r="A1221" s="85">
        <v>759724529202804</v>
      </c>
      <c r="B1221" s="82" t="s">
        <v>10621</v>
      </c>
      <c r="C1221" s="82" t="s">
        <v>10969</v>
      </c>
      <c r="D1221" s="82" t="s">
        <v>1277</v>
      </c>
      <c r="E1221" s="82">
        <v>6281269441611</v>
      </c>
      <c r="F1221" s="86">
        <v>45839</v>
      </c>
      <c r="G1221" s="87">
        <v>1221</v>
      </c>
      <c r="H1221" s="88">
        <v>10655.830388692581</v>
      </c>
      <c r="I1221" s="89">
        <v>27</v>
      </c>
      <c r="J1221" s="90">
        <v>15078</v>
      </c>
      <c r="K1221" s="85">
        <v>2</v>
      </c>
      <c r="L1221" s="85">
        <v>91</v>
      </c>
      <c r="M1221" s="85">
        <v>0</v>
      </c>
      <c r="N1221" s="82" t="s">
        <v>10970</v>
      </c>
      <c r="O1221" s="83"/>
    </row>
    <row r="1222" spans="1:15" ht="22.5" customHeight="1">
      <c r="A1222" s="85">
        <v>759724529202804</v>
      </c>
      <c r="B1222" s="82" t="s">
        <v>10621</v>
      </c>
      <c r="C1222" s="82" t="s">
        <v>10954</v>
      </c>
      <c r="D1222" s="82" t="s">
        <v>1214</v>
      </c>
      <c r="E1222" s="82">
        <v>628174741283</v>
      </c>
      <c r="F1222" s="86">
        <v>45839</v>
      </c>
      <c r="G1222" s="87">
        <v>1514</v>
      </c>
      <c r="H1222" s="88">
        <v>9573.8569753810098</v>
      </c>
      <c r="I1222" s="89">
        <v>45</v>
      </c>
      <c r="J1222" s="90">
        <v>16333</v>
      </c>
      <c r="K1222" s="85">
        <v>7</v>
      </c>
      <c r="L1222" s="85">
        <v>373</v>
      </c>
      <c r="M1222" s="85">
        <v>2</v>
      </c>
      <c r="N1222" s="82" t="s">
        <v>10955</v>
      </c>
      <c r="O1222" s="83"/>
    </row>
    <row r="1223" spans="1:15" ht="22.5" customHeight="1">
      <c r="A1223" s="85">
        <v>759724529202804</v>
      </c>
      <c r="B1223" s="82" t="s">
        <v>10621</v>
      </c>
      <c r="C1223" s="82" t="s">
        <v>10956</v>
      </c>
      <c r="D1223" s="82" t="s">
        <v>10957</v>
      </c>
      <c r="E1223" s="82">
        <v>6281649155643</v>
      </c>
      <c r="F1223" s="86">
        <v>45839</v>
      </c>
      <c r="G1223" s="87">
        <v>1155</v>
      </c>
      <c r="H1223" s="88">
        <v>12044.891640866872</v>
      </c>
      <c r="I1223" s="89">
        <v>37</v>
      </c>
      <c r="J1223" s="90">
        <v>15562</v>
      </c>
      <c r="K1223" s="85">
        <v>1</v>
      </c>
      <c r="L1223" s="85">
        <v>655</v>
      </c>
      <c r="M1223" s="85">
        <v>1</v>
      </c>
      <c r="N1223" s="82" t="s">
        <v>10958</v>
      </c>
      <c r="O1223" s="83"/>
    </row>
    <row r="1224" spans="1:15" ht="22.5" customHeight="1">
      <c r="A1224" s="85">
        <v>759724529202804</v>
      </c>
      <c r="B1224" s="82" t="s">
        <v>10621</v>
      </c>
      <c r="C1224" s="82" t="s">
        <v>10959</v>
      </c>
      <c r="D1224" s="82" t="s">
        <v>1198</v>
      </c>
      <c r="E1224" s="82">
        <v>6281248936324</v>
      </c>
      <c r="F1224" s="86">
        <v>45839</v>
      </c>
      <c r="G1224" s="87">
        <v>2759</v>
      </c>
      <c r="H1224" s="88">
        <v>4933.3979954736506</v>
      </c>
      <c r="I1224" s="89">
        <v>206</v>
      </c>
      <c r="J1224" s="90">
        <v>15259</v>
      </c>
      <c r="K1224" s="85">
        <v>27</v>
      </c>
      <c r="L1224" s="85">
        <v>1352</v>
      </c>
      <c r="M1224" s="85">
        <v>0</v>
      </c>
      <c r="N1224" s="82" t="s">
        <v>10960</v>
      </c>
      <c r="O1224" s="83"/>
    </row>
    <row r="1225" spans="1:15" ht="22.5" customHeight="1">
      <c r="A1225" s="85">
        <v>759724529202804</v>
      </c>
      <c r="B1225" s="82" t="s">
        <v>10621</v>
      </c>
      <c r="C1225" s="82" t="s">
        <v>10961</v>
      </c>
      <c r="D1225" s="82" t="s">
        <v>10962</v>
      </c>
      <c r="E1225" s="82">
        <v>628158830325</v>
      </c>
      <c r="F1225" s="86">
        <v>45839</v>
      </c>
      <c r="G1225" s="87">
        <v>272</v>
      </c>
      <c r="H1225" s="88">
        <v>55574.257425742573</v>
      </c>
      <c r="I1225" s="89">
        <v>9</v>
      </c>
      <c r="J1225" s="90">
        <v>16839</v>
      </c>
      <c r="K1225" s="85">
        <v>1</v>
      </c>
      <c r="L1225" s="85">
        <v>27</v>
      </c>
      <c r="M1225" s="85">
        <v>0</v>
      </c>
      <c r="N1225" s="82" t="s">
        <v>10963</v>
      </c>
      <c r="O1225" s="83"/>
    </row>
    <row r="1226" spans="1:15" ht="22.5" customHeight="1">
      <c r="A1226" s="85">
        <v>759724529202804</v>
      </c>
      <c r="B1226" s="82" t="s">
        <v>10621</v>
      </c>
      <c r="C1226" s="82" t="s">
        <v>10925</v>
      </c>
      <c r="D1226" s="82" t="s">
        <v>10926</v>
      </c>
      <c r="E1226" s="82">
        <v>6281233038880</v>
      </c>
      <c r="F1226" s="86">
        <v>45839</v>
      </c>
      <c r="G1226" s="87">
        <v>350</v>
      </c>
      <c r="H1226" s="88">
        <v>35451.073985680188</v>
      </c>
      <c r="I1226" s="89">
        <v>10</v>
      </c>
      <c r="J1226" s="90">
        <v>14854</v>
      </c>
      <c r="K1226" s="85">
        <v>1</v>
      </c>
      <c r="L1226" s="85">
        <v>11</v>
      </c>
      <c r="M1226" s="85">
        <v>0</v>
      </c>
      <c r="N1226" s="82" t="s">
        <v>10927</v>
      </c>
      <c r="O1226" s="83"/>
    </row>
    <row r="1227" spans="1:15" ht="22.5" customHeight="1">
      <c r="A1227" s="85">
        <v>759724529202804</v>
      </c>
      <c r="B1227" s="82" t="s">
        <v>10621</v>
      </c>
      <c r="C1227" s="82" t="s">
        <v>332</v>
      </c>
      <c r="D1227" s="82" t="s">
        <v>10708</v>
      </c>
      <c r="E1227" s="82">
        <v>6282350524788</v>
      </c>
      <c r="F1227" s="86">
        <v>45839</v>
      </c>
      <c r="G1227" s="87">
        <v>847</v>
      </c>
      <c r="H1227" s="88">
        <v>14484.21052631579</v>
      </c>
      <c r="I1227" s="89">
        <v>29</v>
      </c>
      <c r="J1227" s="90">
        <v>15136</v>
      </c>
      <c r="K1227" s="85">
        <v>3</v>
      </c>
      <c r="L1227" s="85">
        <v>0</v>
      </c>
      <c r="M1227" s="85">
        <v>0</v>
      </c>
      <c r="N1227" s="82" t="s">
        <v>10709</v>
      </c>
      <c r="O1227" s="83"/>
    </row>
    <row r="1228" spans="1:15" ht="22.5" customHeight="1">
      <c r="A1228" s="85">
        <v>759724529202804</v>
      </c>
      <c r="B1228" s="82" t="s">
        <v>10621</v>
      </c>
      <c r="C1228" s="82" t="s">
        <v>665</v>
      </c>
      <c r="D1228" s="82" t="s">
        <v>659</v>
      </c>
      <c r="E1228" s="82">
        <v>6285757057088</v>
      </c>
      <c r="F1228" s="86">
        <v>45839</v>
      </c>
      <c r="G1228" s="87">
        <v>800</v>
      </c>
      <c r="H1228" s="88">
        <v>15436.689930209372</v>
      </c>
      <c r="I1228" s="89">
        <v>34</v>
      </c>
      <c r="J1228" s="90">
        <v>15483</v>
      </c>
      <c r="K1228" s="85">
        <v>0</v>
      </c>
      <c r="L1228" s="85">
        <v>0</v>
      </c>
      <c r="M1228" s="85">
        <v>0</v>
      </c>
      <c r="N1228" s="82" t="s">
        <v>10636</v>
      </c>
      <c r="O1228" s="83"/>
    </row>
    <row r="1229" spans="1:15" ht="22.5" customHeight="1">
      <c r="A1229" s="85">
        <v>174904221976312</v>
      </c>
      <c r="B1229" s="82" t="s">
        <v>10651</v>
      </c>
      <c r="C1229" s="82" t="s">
        <v>11007</v>
      </c>
      <c r="D1229" s="82" t="s">
        <v>11008</v>
      </c>
      <c r="E1229" s="82">
        <v>6281291128945</v>
      </c>
      <c r="F1229" s="86">
        <v>45839</v>
      </c>
      <c r="G1229" s="87">
        <v>2447</v>
      </c>
      <c r="H1229" s="88">
        <v>4583.042568039079</v>
      </c>
      <c r="I1229" s="89">
        <v>27</v>
      </c>
      <c r="J1229" s="90">
        <v>13135</v>
      </c>
      <c r="K1229" s="85">
        <v>0</v>
      </c>
      <c r="L1229" s="85">
        <v>1258</v>
      </c>
      <c r="M1229" s="85">
        <v>0</v>
      </c>
      <c r="N1229" s="82" t="s">
        <v>11009</v>
      </c>
      <c r="O1229" s="83"/>
    </row>
    <row r="1230" spans="1:15" ht="22.5" customHeight="1">
      <c r="A1230" s="85">
        <v>174904221976312</v>
      </c>
      <c r="B1230" s="82" t="s">
        <v>10651</v>
      </c>
      <c r="C1230" s="82" t="s">
        <v>10997</v>
      </c>
      <c r="D1230" s="82" t="s">
        <v>10938</v>
      </c>
      <c r="E1230" s="82">
        <v>6281938563373</v>
      </c>
      <c r="F1230" s="86">
        <v>45839</v>
      </c>
      <c r="G1230" s="87">
        <v>286</v>
      </c>
      <c r="H1230" s="88">
        <v>39872.727272727272</v>
      </c>
      <c r="I1230" s="89">
        <v>10</v>
      </c>
      <c r="J1230" s="90">
        <v>13158</v>
      </c>
      <c r="K1230" s="85">
        <v>0</v>
      </c>
      <c r="L1230" s="85">
        <v>78</v>
      </c>
      <c r="M1230" s="85">
        <v>0</v>
      </c>
      <c r="N1230" s="82" t="s">
        <v>10998</v>
      </c>
      <c r="O1230" s="83"/>
    </row>
    <row r="1231" spans="1:15" ht="22.5" customHeight="1">
      <c r="A1231" s="85">
        <v>174904221976312</v>
      </c>
      <c r="B1231" s="82" t="s">
        <v>10651</v>
      </c>
      <c r="C1231" s="82" t="s">
        <v>10999</v>
      </c>
      <c r="D1231" s="82" t="s">
        <v>11000</v>
      </c>
      <c r="E1231" s="82">
        <v>6285340323663</v>
      </c>
      <c r="F1231" s="86">
        <v>45839</v>
      </c>
      <c r="G1231" s="87">
        <v>878</v>
      </c>
      <c r="H1231" s="88">
        <v>13340.13605442177</v>
      </c>
      <c r="I1231" s="89">
        <v>27</v>
      </c>
      <c r="J1231" s="90">
        <v>13727</v>
      </c>
      <c r="K1231" s="85">
        <v>3</v>
      </c>
      <c r="L1231" s="85">
        <v>321</v>
      </c>
      <c r="M1231" s="85">
        <v>0</v>
      </c>
      <c r="N1231" s="82" t="s">
        <v>11001</v>
      </c>
      <c r="O1231" s="83"/>
    </row>
    <row r="1232" spans="1:15" ht="22.5" customHeight="1">
      <c r="A1232" s="85">
        <v>174904221976312</v>
      </c>
      <c r="B1232" s="82" t="s">
        <v>10651</v>
      </c>
      <c r="C1232" s="82" t="s">
        <v>11002</v>
      </c>
      <c r="D1232" s="82" t="s">
        <v>11003</v>
      </c>
      <c r="E1232" s="82">
        <v>6288228976100</v>
      </c>
      <c r="F1232" s="86">
        <v>45839</v>
      </c>
      <c r="G1232" s="87">
        <v>360</v>
      </c>
      <c r="H1232" s="88">
        <v>26725.877192982454</v>
      </c>
      <c r="I1232" s="89">
        <v>8</v>
      </c>
      <c r="J1232" s="90">
        <v>12187</v>
      </c>
      <c r="K1232" s="85">
        <v>1</v>
      </c>
      <c r="L1232" s="85">
        <v>0</v>
      </c>
      <c r="M1232" s="85">
        <v>0</v>
      </c>
      <c r="N1232" s="82" t="s">
        <v>11004</v>
      </c>
      <c r="O1232" s="83"/>
    </row>
    <row r="1233" spans="1:15" ht="22.5" customHeight="1">
      <c r="A1233" s="85">
        <v>174904221976312</v>
      </c>
      <c r="B1233" s="82" t="s">
        <v>10651</v>
      </c>
      <c r="C1233" s="82" t="s">
        <v>10971</v>
      </c>
      <c r="D1233" s="82" t="s">
        <v>1292</v>
      </c>
      <c r="E1233" s="82">
        <v>6281213589905</v>
      </c>
      <c r="F1233" s="86">
        <v>45839</v>
      </c>
      <c r="G1233" s="87">
        <v>285</v>
      </c>
      <c r="H1233" s="88">
        <v>35385.542168674699</v>
      </c>
      <c r="I1233" s="89">
        <v>7</v>
      </c>
      <c r="J1233" s="90">
        <v>11748</v>
      </c>
      <c r="K1233" s="85">
        <v>1</v>
      </c>
      <c r="L1233" s="85">
        <v>8</v>
      </c>
      <c r="M1233" s="85">
        <v>0</v>
      </c>
      <c r="N1233" s="82" t="s">
        <v>10972</v>
      </c>
      <c r="O1233" s="83"/>
    </row>
    <row r="1234" spans="1:15" ht="22.5" customHeight="1">
      <c r="A1234" s="85">
        <v>174904221976312</v>
      </c>
      <c r="B1234" s="82" t="s">
        <v>10651</v>
      </c>
      <c r="C1234" s="82" t="s">
        <v>10973</v>
      </c>
      <c r="D1234" s="82" t="s">
        <v>10974</v>
      </c>
      <c r="E1234" s="82">
        <v>6281347156140</v>
      </c>
      <c r="F1234" s="86">
        <v>45839</v>
      </c>
      <c r="G1234" s="87">
        <v>1215</v>
      </c>
      <c r="H1234" s="88">
        <v>9811.4973262032072</v>
      </c>
      <c r="I1234" s="89">
        <v>31</v>
      </c>
      <c r="J1234" s="90">
        <v>14678</v>
      </c>
      <c r="K1234" s="85">
        <v>4</v>
      </c>
      <c r="L1234" s="85">
        <v>230</v>
      </c>
      <c r="M1234" s="85">
        <v>0</v>
      </c>
      <c r="N1234" s="82" t="s">
        <v>10975</v>
      </c>
      <c r="O1234" s="83"/>
    </row>
    <row r="1235" spans="1:15" ht="22.5" customHeight="1">
      <c r="A1235" s="85">
        <v>174904221976312</v>
      </c>
      <c r="B1235" s="82" t="s">
        <v>10651</v>
      </c>
      <c r="C1235" s="82" t="s">
        <v>10940</v>
      </c>
      <c r="D1235" s="82" t="s">
        <v>10941</v>
      </c>
      <c r="E1235" s="82">
        <v>6285266218699</v>
      </c>
      <c r="F1235" s="86">
        <v>45839</v>
      </c>
      <c r="G1235" s="87">
        <v>1852</v>
      </c>
      <c r="H1235" s="88">
        <v>6326.3108614232215</v>
      </c>
      <c r="I1235" s="89">
        <v>65</v>
      </c>
      <c r="J1235" s="90">
        <v>13513</v>
      </c>
      <c r="K1235" s="85">
        <v>10</v>
      </c>
      <c r="L1235" s="85">
        <v>789</v>
      </c>
      <c r="M1235" s="85">
        <v>1</v>
      </c>
      <c r="N1235" s="82" t="s">
        <v>10942</v>
      </c>
      <c r="O1235" s="83"/>
    </row>
    <row r="1236" spans="1:15" ht="22.5" customHeight="1">
      <c r="A1236" s="85">
        <v>174904221976312</v>
      </c>
      <c r="B1236" s="82" t="s">
        <v>10651</v>
      </c>
      <c r="C1236" s="82" t="s">
        <v>10892</v>
      </c>
      <c r="D1236" s="82" t="s">
        <v>10893</v>
      </c>
      <c r="E1236" s="82">
        <v>6282399721881</v>
      </c>
      <c r="F1236" s="86">
        <v>45839</v>
      </c>
      <c r="G1236" s="87">
        <v>1120</v>
      </c>
      <c r="H1236" s="88">
        <v>9977.5100401606433</v>
      </c>
      <c r="I1236" s="89">
        <v>17</v>
      </c>
      <c r="J1236" s="90">
        <v>12422</v>
      </c>
      <c r="K1236" s="85">
        <v>1</v>
      </c>
      <c r="L1236" s="85">
        <v>0</v>
      </c>
      <c r="M1236" s="85">
        <v>0</v>
      </c>
      <c r="N1236" s="82" t="s">
        <v>10894</v>
      </c>
      <c r="O1236" s="83"/>
    </row>
    <row r="1237" spans="1:15" ht="22.5" customHeight="1">
      <c r="A1237" s="85">
        <v>174904221976312</v>
      </c>
      <c r="B1237" s="82" t="s">
        <v>10651</v>
      </c>
      <c r="C1237" s="82" t="s">
        <v>10895</v>
      </c>
      <c r="D1237" s="82" t="s">
        <v>10896</v>
      </c>
      <c r="E1237" s="82">
        <v>6281299907533</v>
      </c>
      <c r="F1237" s="86">
        <v>45839</v>
      </c>
      <c r="G1237" s="87">
        <v>403</v>
      </c>
      <c r="H1237" s="88">
        <v>30463.414634146342</v>
      </c>
      <c r="I1237" s="89">
        <v>11</v>
      </c>
      <c r="J1237" s="90">
        <v>14988</v>
      </c>
      <c r="K1237" s="85">
        <v>2</v>
      </c>
      <c r="L1237" s="85">
        <v>5</v>
      </c>
      <c r="M1237" s="85">
        <v>0</v>
      </c>
      <c r="N1237" s="82" t="s">
        <v>10897</v>
      </c>
      <c r="O1237" s="83"/>
    </row>
    <row r="1238" spans="1:15" ht="22.5" customHeight="1">
      <c r="A1238" s="85">
        <v>174904221976312</v>
      </c>
      <c r="B1238" s="82" t="s">
        <v>10651</v>
      </c>
      <c r="C1238" s="82" t="s">
        <v>10853</v>
      </c>
      <c r="D1238" s="82" t="s">
        <v>10854</v>
      </c>
      <c r="E1238" s="82">
        <v>6281393958199</v>
      </c>
      <c r="F1238" s="86">
        <v>45839</v>
      </c>
      <c r="G1238" s="87">
        <v>1257</v>
      </c>
      <c r="H1238" s="88">
        <v>9661.3016095171442</v>
      </c>
      <c r="I1238" s="89">
        <v>24</v>
      </c>
      <c r="J1238" s="90">
        <v>13806</v>
      </c>
      <c r="K1238" s="85">
        <v>0</v>
      </c>
      <c r="L1238" s="85">
        <v>406</v>
      </c>
      <c r="M1238" s="85">
        <v>1</v>
      </c>
      <c r="N1238" s="82" t="s">
        <v>10855</v>
      </c>
      <c r="O1238" s="83"/>
    </row>
    <row r="1239" spans="1:15" ht="22.5" customHeight="1">
      <c r="A1239" s="85">
        <v>174904221976312</v>
      </c>
      <c r="B1239" s="82" t="s">
        <v>10651</v>
      </c>
      <c r="C1239" s="82" t="s">
        <v>818</v>
      </c>
      <c r="D1239" s="82" t="s">
        <v>812</v>
      </c>
      <c r="E1239" s="82">
        <v>6287858585808</v>
      </c>
      <c r="F1239" s="86">
        <v>45839</v>
      </c>
      <c r="G1239" s="87">
        <v>708</v>
      </c>
      <c r="H1239" s="88">
        <v>13614.014251781473</v>
      </c>
      <c r="I1239" s="89">
        <v>31</v>
      </c>
      <c r="J1239" s="90">
        <v>11463</v>
      </c>
      <c r="K1239" s="85">
        <v>1</v>
      </c>
      <c r="L1239" s="85">
        <v>210</v>
      </c>
      <c r="M1239" s="85">
        <v>0</v>
      </c>
      <c r="N1239" s="82" t="s">
        <v>10831</v>
      </c>
      <c r="O1239" s="83"/>
    </row>
    <row r="1240" spans="1:15" ht="22.5" customHeight="1">
      <c r="A1240" s="85">
        <v>174904221976312</v>
      </c>
      <c r="B1240" s="82" t="s">
        <v>10651</v>
      </c>
      <c r="C1240" s="82" t="s">
        <v>10809</v>
      </c>
      <c r="D1240" s="82" t="s">
        <v>634</v>
      </c>
      <c r="E1240" s="82">
        <v>6282258886603</v>
      </c>
      <c r="F1240" s="86">
        <v>45839</v>
      </c>
      <c r="G1240" s="87">
        <v>309</v>
      </c>
      <c r="H1240" s="88">
        <v>42532.544378698229</v>
      </c>
      <c r="I1240" s="89">
        <v>13</v>
      </c>
      <c r="J1240" s="90">
        <v>14376</v>
      </c>
      <c r="K1240" s="85">
        <v>2</v>
      </c>
      <c r="L1240" s="85">
        <v>0</v>
      </c>
      <c r="M1240" s="85">
        <v>0</v>
      </c>
      <c r="N1240" s="82" t="s">
        <v>10810</v>
      </c>
      <c r="O1240" s="83"/>
    </row>
    <row r="1241" spans="1:15" ht="22.5" customHeight="1">
      <c r="A1241" s="85">
        <v>174904221976312</v>
      </c>
      <c r="B1241" s="82" t="s">
        <v>10651</v>
      </c>
      <c r="C1241" s="82" t="s">
        <v>10652</v>
      </c>
      <c r="D1241" s="82" t="s">
        <v>10653</v>
      </c>
      <c r="E1241" s="82">
        <v>6281348555887</v>
      </c>
      <c r="F1241" s="86">
        <v>45839</v>
      </c>
      <c r="G1241" s="87">
        <v>840</v>
      </c>
      <c r="H1241" s="88">
        <v>12315.843621399177</v>
      </c>
      <c r="I1241" s="89">
        <v>29</v>
      </c>
      <c r="J1241" s="90">
        <v>11971</v>
      </c>
      <c r="K1241" s="85">
        <v>1</v>
      </c>
      <c r="L1241" s="85">
        <v>273</v>
      </c>
      <c r="M1241" s="85">
        <v>0</v>
      </c>
      <c r="N1241" s="82" t="s">
        <v>10654</v>
      </c>
      <c r="O1241" s="83"/>
    </row>
    <row r="1242" spans="1:15" ht="22.5" customHeight="1">
      <c r="A1242" s="85">
        <v>174904221976312</v>
      </c>
      <c r="B1242" s="82" t="s">
        <v>10651</v>
      </c>
      <c r="C1242" s="82" t="s">
        <v>10657</v>
      </c>
      <c r="D1242" s="82" t="s">
        <v>1239</v>
      </c>
      <c r="E1242" s="82">
        <v>6282172291579</v>
      </c>
      <c r="F1242" s="86">
        <v>45839</v>
      </c>
      <c r="G1242" s="87">
        <v>1017</v>
      </c>
      <c r="H1242" s="88">
        <v>12536.58536585366</v>
      </c>
      <c r="I1242" s="89">
        <v>54</v>
      </c>
      <c r="J1242" s="90">
        <v>14392</v>
      </c>
      <c r="K1242" s="85">
        <v>6</v>
      </c>
      <c r="L1242" s="85">
        <v>501</v>
      </c>
      <c r="M1242" s="85">
        <v>1</v>
      </c>
      <c r="N1242" s="82" t="s">
        <v>10658</v>
      </c>
      <c r="O1242" s="83"/>
    </row>
    <row r="1243" spans="1:15" ht="22.5" customHeight="1">
      <c r="A1243" s="85">
        <v>174904221976312</v>
      </c>
      <c r="B1243" s="82" t="s">
        <v>10651</v>
      </c>
      <c r="C1243" s="82" t="s">
        <v>10659</v>
      </c>
      <c r="D1243" s="82" t="s">
        <v>1044</v>
      </c>
      <c r="E1243" s="82">
        <v>6281263113266</v>
      </c>
      <c r="F1243" s="86">
        <v>45839</v>
      </c>
      <c r="G1243" s="87">
        <v>1746</v>
      </c>
      <c r="H1243" s="88">
        <v>7084.9843587069863</v>
      </c>
      <c r="I1243" s="89">
        <v>68</v>
      </c>
      <c r="J1243" s="90">
        <v>13589</v>
      </c>
      <c r="K1243" s="85">
        <v>6</v>
      </c>
      <c r="L1243" s="85">
        <v>3</v>
      </c>
      <c r="M1243" s="85">
        <v>1</v>
      </c>
      <c r="N1243" s="82" t="s">
        <v>10660</v>
      </c>
      <c r="O1243" s="83"/>
    </row>
    <row r="1244" spans="1:15" ht="22.5" customHeight="1">
      <c r="A1244" s="85">
        <v>174904221976312</v>
      </c>
      <c r="B1244" s="82" t="s">
        <v>10651</v>
      </c>
      <c r="C1244" s="82" t="s">
        <v>10679</v>
      </c>
      <c r="D1244" s="82" t="s">
        <v>10680</v>
      </c>
      <c r="E1244" s="82">
        <v>6282347206488</v>
      </c>
      <c r="F1244" s="86">
        <v>45839</v>
      </c>
      <c r="G1244" s="87">
        <v>1576</v>
      </c>
      <c r="H1244" s="88">
        <v>7277.6294714361984</v>
      </c>
      <c r="I1244" s="89">
        <v>48</v>
      </c>
      <c r="J1244" s="90">
        <v>13631</v>
      </c>
      <c r="K1244" s="85">
        <v>12</v>
      </c>
      <c r="L1244" s="85">
        <v>774</v>
      </c>
      <c r="M1244" s="85">
        <v>0</v>
      </c>
      <c r="N1244" s="82" t="s">
        <v>10681</v>
      </c>
      <c r="O1244" s="83"/>
    </row>
    <row r="1245" spans="1:15" ht="22.5" customHeight="1">
      <c r="A1245" s="85">
        <v>174904221976312</v>
      </c>
      <c r="B1245" s="82" t="s">
        <v>10651</v>
      </c>
      <c r="C1245" s="82" t="s">
        <v>10833</v>
      </c>
      <c r="D1245" s="82" t="s">
        <v>10834</v>
      </c>
      <c r="E1245" s="82">
        <v>6282242925264</v>
      </c>
      <c r="F1245" s="86">
        <v>45839</v>
      </c>
      <c r="G1245" s="87">
        <v>2941</v>
      </c>
      <c r="H1245" s="88">
        <v>4355.9374041116907</v>
      </c>
      <c r="I1245" s="89">
        <v>93</v>
      </c>
      <c r="J1245" s="90">
        <v>14196</v>
      </c>
      <c r="K1245" s="85">
        <v>5</v>
      </c>
      <c r="L1245" s="85">
        <v>889</v>
      </c>
      <c r="M1245" s="85">
        <v>0</v>
      </c>
      <c r="N1245" s="82" t="s">
        <v>10835</v>
      </c>
      <c r="O1245" s="83"/>
    </row>
    <row r="1246" spans="1:15" ht="22.5" customHeight="1">
      <c r="A1246" s="85">
        <v>766589657993298</v>
      </c>
      <c r="B1246" s="82" t="s">
        <v>10688</v>
      </c>
      <c r="C1246" s="82" t="s">
        <v>11010</v>
      </c>
      <c r="D1246" s="82" t="s">
        <v>11011</v>
      </c>
      <c r="E1246" s="82">
        <v>6285774217794</v>
      </c>
      <c r="F1246" s="86">
        <v>45839</v>
      </c>
      <c r="G1246" s="87">
        <v>551</v>
      </c>
      <c r="H1246" s="88">
        <v>24486.928104575163</v>
      </c>
      <c r="I1246" s="89">
        <v>10</v>
      </c>
      <c r="J1246" s="90">
        <v>14986</v>
      </c>
      <c r="K1246" s="85">
        <v>2</v>
      </c>
      <c r="L1246" s="85">
        <v>157</v>
      </c>
      <c r="M1246" s="85">
        <v>0</v>
      </c>
      <c r="N1246" s="82" t="s">
        <v>11012</v>
      </c>
      <c r="O1246" s="83"/>
    </row>
    <row r="1247" spans="1:15" ht="22.5" customHeight="1">
      <c r="A1247" s="85">
        <v>766589657993298</v>
      </c>
      <c r="B1247" s="82" t="s">
        <v>10688</v>
      </c>
      <c r="C1247" s="82" t="s">
        <v>11013</v>
      </c>
      <c r="D1247" s="82" t="s">
        <v>11014</v>
      </c>
      <c r="E1247" s="82">
        <v>6282134333004</v>
      </c>
      <c r="F1247" s="86">
        <v>45839</v>
      </c>
      <c r="G1247" s="87">
        <v>499</v>
      </c>
      <c r="H1247" s="88">
        <v>23517.350157728706</v>
      </c>
      <c r="I1247" s="89">
        <v>20</v>
      </c>
      <c r="J1247" s="90">
        <v>14910</v>
      </c>
      <c r="K1247" s="85">
        <v>0</v>
      </c>
      <c r="L1247" s="85">
        <v>271</v>
      </c>
      <c r="M1247" s="85">
        <v>0</v>
      </c>
      <c r="N1247" s="82" t="s">
        <v>11015</v>
      </c>
      <c r="O1247" s="83"/>
    </row>
    <row r="1248" spans="1:15" ht="22.5" customHeight="1">
      <c r="A1248" s="85">
        <v>766589657993298</v>
      </c>
      <c r="B1248" s="82" t="s">
        <v>10688</v>
      </c>
      <c r="C1248" s="82" t="s">
        <v>1348</v>
      </c>
      <c r="D1248" s="82" t="s">
        <v>10984</v>
      </c>
      <c r="E1248" s="82">
        <v>6287822304727</v>
      </c>
      <c r="F1248" s="86">
        <v>45839</v>
      </c>
      <c r="G1248" s="87">
        <v>801</v>
      </c>
      <c r="H1248" s="88">
        <v>16934.611048478015</v>
      </c>
      <c r="I1248" s="89">
        <v>13</v>
      </c>
      <c r="J1248" s="90">
        <v>15021</v>
      </c>
      <c r="K1248" s="85">
        <v>1</v>
      </c>
      <c r="L1248" s="85">
        <v>293</v>
      </c>
      <c r="M1248" s="85">
        <v>0</v>
      </c>
      <c r="N1248" s="82" t="s">
        <v>10985</v>
      </c>
      <c r="O1248" s="83"/>
    </row>
    <row r="1249" spans="1:15" ht="22.5" customHeight="1">
      <c r="A1249" s="85">
        <v>766589657993298</v>
      </c>
      <c r="B1249" s="82" t="s">
        <v>10688</v>
      </c>
      <c r="C1249" s="82" t="s">
        <v>10976</v>
      </c>
      <c r="D1249" s="82" t="s">
        <v>10977</v>
      </c>
      <c r="E1249" s="82">
        <v>6281138301069</v>
      </c>
      <c r="F1249" s="86">
        <v>45839</v>
      </c>
      <c r="G1249" s="87">
        <v>13305</v>
      </c>
      <c r="H1249" s="88">
        <v>1125.6670424652386</v>
      </c>
      <c r="I1249" s="89">
        <v>6</v>
      </c>
      <c r="J1249" s="90">
        <v>14977</v>
      </c>
      <c r="K1249" s="85">
        <v>0</v>
      </c>
      <c r="L1249" s="85">
        <v>983</v>
      </c>
      <c r="M1249" s="85">
        <v>0</v>
      </c>
      <c r="N1249" s="82" t="s">
        <v>10978</v>
      </c>
      <c r="O1249" s="83"/>
    </row>
    <row r="1250" spans="1:15" ht="22.5" customHeight="1">
      <c r="A1250" s="85">
        <v>766589657993298</v>
      </c>
      <c r="B1250" s="82" t="s">
        <v>10688</v>
      </c>
      <c r="C1250" s="82" t="s">
        <v>10979</v>
      </c>
      <c r="D1250" s="82" t="s">
        <v>10980</v>
      </c>
      <c r="E1250" s="82">
        <v>6285715856120</v>
      </c>
      <c r="F1250" s="86">
        <v>45839</v>
      </c>
      <c r="G1250" s="87">
        <v>1221</v>
      </c>
      <c r="H1250" s="88">
        <v>10677.929547088424</v>
      </c>
      <c r="I1250" s="89">
        <v>47</v>
      </c>
      <c r="J1250" s="90">
        <v>14853</v>
      </c>
      <c r="K1250" s="85">
        <v>4</v>
      </c>
      <c r="L1250" s="85">
        <v>529</v>
      </c>
      <c r="M1250" s="85">
        <v>0</v>
      </c>
      <c r="N1250" s="82" t="s">
        <v>10981</v>
      </c>
      <c r="O1250" s="83"/>
    </row>
    <row r="1251" spans="1:15" ht="22.5" customHeight="1">
      <c r="A1251" s="85">
        <v>766589657993298</v>
      </c>
      <c r="B1251" s="82" t="s">
        <v>10688</v>
      </c>
      <c r="C1251" s="82" t="s">
        <v>10982</v>
      </c>
      <c r="D1251" s="82" t="s">
        <v>1052</v>
      </c>
      <c r="E1251" s="82">
        <v>6282385989828</v>
      </c>
      <c r="F1251" s="86">
        <v>45839</v>
      </c>
      <c r="G1251" s="87">
        <v>989</v>
      </c>
      <c r="H1251" s="88">
        <v>13097.440132122212</v>
      </c>
      <c r="I1251" s="89">
        <v>27</v>
      </c>
      <c r="J1251" s="90">
        <v>15861</v>
      </c>
      <c r="K1251" s="85">
        <v>2</v>
      </c>
      <c r="L1251" s="85">
        <v>228</v>
      </c>
      <c r="M1251" s="85">
        <v>0</v>
      </c>
      <c r="N1251" s="82" t="s">
        <v>10983</v>
      </c>
      <c r="O1251" s="83"/>
    </row>
    <row r="1252" spans="1:15" ht="22.5" customHeight="1">
      <c r="A1252" s="85">
        <v>766589657993298</v>
      </c>
      <c r="B1252" s="82" t="s">
        <v>10688</v>
      </c>
      <c r="C1252" s="82" t="s">
        <v>10964</v>
      </c>
      <c r="D1252" s="82" t="s">
        <v>10965</v>
      </c>
      <c r="E1252" s="82">
        <v>6282365004117</v>
      </c>
      <c r="F1252" s="86">
        <v>45839</v>
      </c>
      <c r="G1252" s="87">
        <v>784</v>
      </c>
      <c r="H1252" s="88">
        <v>18049.180327868853</v>
      </c>
      <c r="I1252" s="89">
        <v>9</v>
      </c>
      <c r="J1252" s="90">
        <v>15414</v>
      </c>
      <c r="K1252" s="85">
        <v>1</v>
      </c>
      <c r="L1252" s="85">
        <v>53</v>
      </c>
      <c r="M1252" s="85">
        <v>0</v>
      </c>
      <c r="N1252" s="82" t="s">
        <v>10966</v>
      </c>
      <c r="O1252" s="83"/>
    </row>
    <row r="1253" spans="1:15" ht="22.5" customHeight="1">
      <c r="A1253" s="85">
        <v>766589657993298</v>
      </c>
      <c r="B1253" s="82" t="s">
        <v>10688</v>
      </c>
      <c r="C1253" s="82" t="s">
        <v>10967</v>
      </c>
      <c r="D1253" s="82" t="s">
        <v>1158</v>
      </c>
      <c r="E1253" s="82">
        <v>6285167182620</v>
      </c>
      <c r="F1253" s="86">
        <v>45839</v>
      </c>
      <c r="G1253" s="87">
        <v>482</v>
      </c>
      <c r="H1253" s="88">
        <v>29193.798449612401</v>
      </c>
      <c r="I1253" s="89">
        <v>9</v>
      </c>
      <c r="J1253" s="90">
        <v>15064</v>
      </c>
      <c r="K1253" s="85">
        <v>0</v>
      </c>
      <c r="L1253" s="85">
        <v>254</v>
      </c>
      <c r="M1253" s="85">
        <v>0</v>
      </c>
      <c r="N1253" s="82" t="s">
        <v>10968</v>
      </c>
      <c r="O1253" s="83"/>
    </row>
    <row r="1254" spans="1:15" ht="22.5" customHeight="1">
      <c r="A1254" s="85">
        <v>766589657993298</v>
      </c>
      <c r="B1254" s="82" t="s">
        <v>10688</v>
      </c>
      <c r="C1254" s="82" t="s">
        <v>10885</v>
      </c>
      <c r="D1254" s="82" t="s">
        <v>906</v>
      </c>
      <c r="E1254" s="82">
        <v>6282183115806</v>
      </c>
      <c r="F1254" s="86">
        <v>45839</v>
      </c>
      <c r="G1254" s="87">
        <v>1204</v>
      </c>
      <c r="H1254" s="88">
        <v>12030.185758513931</v>
      </c>
      <c r="I1254" s="89">
        <v>28</v>
      </c>
      <c r="J1254" s="90">
        <v>15543</v>
      </c>
      <c r="K1254" s="85">
        <v>2</v>
      </c>
      <c r="L1254" s="85">
        <v>737</v>
      </c>
      <c r="M1254" s="85">
        <v>0</v>
      </c>
      <c r="N1254" s="82" t="s">
        <v>10886</v>
      </c>
      <c r="O1254" s="83"/>
    </row>
    <row r="1255" spans="1:15" ht="22.5" customHeight="1">
      <c r="A1255" s="85">
        <v>766589657993298</v>
      </c>
      <c r="B1255" s="82" t="s">
        <v>10688</v>
      </c>
      <c r="C1255" s="82" t="s">
        <v>10879</v>
      </c>
      <c r="D1255" s="82" t="s">
        <v>10880</v>
      </c>
      <c r="E1255" s="82">
        <v>6281215851833</v>
      </c>
      <c r="F1255" s="86">
        <v>45839</v>
      </c>
      <c r="G1255" s="87">
        <v>470</v>
      </c>
      <c r="H1255" s="88">
        <v>26010.033444816054</v>
      </c>
      <c r="I1255" s="89">
        <v>29</v>
      </c>
      <c r="J1255" s="90">
        <v>15554</v>
      </c>
      <c r="K1255" s="85">
        <v>5</v>
      </c>
      <c r="L1255" s="85">
        <v>1</v>
      </c>
      <c r="M1255" s="85">
        <v>0</v>
      </c>
      <c r="N1255" s="82" t="s">
        <v>10881</v>
      </c>
      <c r="O1255" s="83"/>
    </row>
    <row r="1256" spans="1:15" ht="22.5" customHeight="1">
      <c r="A1256" s="85">
        <v>766589657993298</v>
      </c>
      <c r="B1256" s="82" t="s">
        <v>10688</v>
      </c>
      <c r="C1256" s="82" t="s">
        <v>720</v>
      </c>
      <c r="D1256" s="82" t="s">
        <v>10840</v>
      </c>
      <c r="E1256" s="82">
        <v>6282141603091</v>
      </c>
      <c r="F1256" s="86">
        <v>45839</v>
      </c>
      <c r="G1256" s="87">
        <v>1856</v>
      </c>
      <c r="H1256" s="88">
        <v>7261.5459406903256</v>
      </c>
      <c r="I1256" s="89">
        <v>39</v>
      </c>
      <c r="J1256" s="90">
        <v>14937</v>
      </c>
      <c r="K1256" s="85">
        <v>8</v>
      </c>
      <c r="L1256" s="85">
        <v>0</v>
      </c>
      <c r="M1256" s="85">
        <v>0</v>
      </c>
      <c r="N1256" s="82" t="s">
        <v>10841</v>
      </c>
      <c r="O1256" s="83"/>
    </row>
    <row r="1257" spans="1:15" ht="22.5" customHeight="1">
      <c r="A1257" s="85">
        <v>766589657993298</v>
      </c>
      <c r="B1257" s="82" t="s">
        <v>10688</v>
      </c>
      <c r="C1257" s="82" t="s">
        <v>10762</v>
      </c>
      <c r="D1257" s="82" t="s">
        <v>10763</v>
      </c>
      <c r="E1257" s="82">
        <v>6285210107607</v>
      </c>
      <c r="F1257" s="86">
        <v>45839</v>
      </c>
      <c r="G1257" s="87">
        <v>697</v>
      </c>
      <c r="H1257" s="88">
        <v>21427.109974424555</v>
      </c>
      <c r="I1257" s="89">
        <v>18</v>
      </c>
      <c r="J1257" s="90">
        <v>16756</v>
      </c>
      <c r="K1257" s="85">
        <v>2</v>
      </c>
      <c r="L1257" s="85">
        <v>236</v>
      </c>
      <c r="M1257" s="85">
        <v>0</v>
      </c>
      <c r="N1257" s="82" t="s">
        <v>10764</v>
      </c>
      <c r="O1257" s="83"/>
    </row>
    <row r="1258" spans="1:15" ht="22.5" customHeight="1">
      <c r="A1258" s="85">
        <v>766589657993298</v>
      </c>
      <c r="B1258" s="82" t="s">
        <v>10688</v>
      </c>
      <c r="C1258" s="82" t="s">
        <v>10767</v>
      </c>
      <c r="D1258" s="82" t="s">
        <v>10768</v>
      </c>
      <c r="E1258" s="82">
        <v>6281519225886</v>
      </c>
      <c r="F1258" s="86">
        <v>45839</v>
      </c>
      <c r="G1258" s="87">
        <v>659</v>
      </c>
      <c r="H1258" s="88">
        <v>20248.051948051947</v>
      </c>
      <c r="I1258" s="89">
        <v>15</v>
      </c>
      <c r="J1258" s="90">
        <v>15591</v>
      </c>
      <c r="K1258" s="85">
        <v>3</v>
      </c>
      <c r="L1258" s="85">
        <v>22</v>
      </c>
      <c r="M1258" s="85">
        <v>0</v>
      </c>
      <c r="N1258" s="82" t="s">
        <v>10769</v>
      </c>
      <c r="O1258" s="83"/>
    </row>
    <row r="1259" spans="1:15" ht="22.5" customHeight="1">
      <c r="A1259" s="85">
        <v>766589657993298</v>
      </c>
      <c r="B1259" s="82" t="s">
        <v>10688</v>
      </c>
      <c r="C1259" s="82" t="s">
        <v>10797</v>
      </c>
      <c r="D1259" s="82" t="s">
        <v>10798</v>
      </c>
      <c r="E1259" s="82">
        <v>6285853370682</v>
      </c>
      <c r="F1259" s="86">
        <v>45839</v>
      </c>
      <c r="G1259" s="87">
        <v>740</v>
      </c>
      <c r="H1259" s="88">
        <v>19878.106508875739</v>
      </c>
      <c r="I1259" s="89">
        <v>13</v>
      </c>
      <c r="J1259" s="90">
        <v>16797</v>
      </c>
      <c r="K1259" s="85">
        <v>2</v>
      </c>
      <c r="L1259" s="85">
        <v>252</v>
      </c>
      <c r="M1259" s="85">
        <v>1</v>
      </c>
      <c r="N1259" s="82" t="s">
        <v>10799</v>
      </c>
      <c r="O1259" s="83"/>
    </row>
    <row r="1260" spans="1:15" ht="22.5" customHeight="1">
      <c r="A1260" s="85">
        <v>766589657993298</v>
      </c>
      <c r="B1260" s="82" t="s">
        <v>10688</v>
      </c>
      <c r="C1260" s="82" t="s">
        <v>10741</v>
      </c>
      <c r="D1260" s="82" t="s">
        <v>559</v>
      </c>
      <c r="E1260" s="82">
        <v>6281952482523</v>
      </c>
      <c r="F1260" s="86">
        <v>45839</v>
      </c>
      <c r="G1260" s="87">
        <v>686</v>
      </c>
      <c r="H1260" s="88">
        <v>23932.568149210903</v>
      </c>
      <c r="I1260" s="89">
        <v>17</v>
      </c>
      <c r="J1260" s="90">
        <v>16681</v>
      </c>
      <c r="K1260" s="85">
        <v>1</v>
      </c>
      <c r="L1260" s="85">
        <v>258</v>
      </c>
      <c r="M1260" s="85">
        <v>0</v>
      </c>
      <c r="N1260" s="82" t="s">
        <v>10742</v>
      </c>
      <c r="O1260" s="83"/>
    </row>
    <row r="1261" spans="1:15" ht="22.5" customHeight="1">
      <c r="A1261" s="85">
        <v>766589657993298</v>
      </c>
      <c r="B1261" s="82" t="s">
        <v>10688</v>
      </c>
      <c r="C1261" s="82" t="s">
        <v>10802</v>
      </c>
      <c r="D1261" s="82" t="s">
        <v>567</v>
      </c>
      <c r="E1261" s="82">
        <v>6285220216325</v>
      </c>
      <c r="F1261" s="86">
        <v>45839</v>
      </c>
      <c r="G1261" s="87">
        <v>921</v>
      </c>
      <c r="H1261" s="88">
        <v>17063.224446786091</v>
      </c>
      <c r="I1261" s="89">
        <v>15</v>
      </c>
      <c r="J1261" s="90">
        <v>16193</v>
      </c>
      <c r="K1261" s="85">
        <v>2</v>
      </c>
      <c r="L1261" s="85">
        <v>64</v>
      </c>
      <c r="M1261" s="85">
        <v>1</v>
      </c>
      <c r="N1261" s="82" t="s">
        <v>10803</v>
      </c>
      <c r="O1261" s="83"/>
    </row>
    <row r="1262" spans="1:15" ht="22.5" customHeight="1">
      <c r="A1262" s="85">
        <v>766589657993298</v>
      </c>
      <c r="B1262" s="82" t="s">
        <v>10688</v>
      </c>
      <c r="C1262" s="82" t="s">
        <v>10752</v>
      </c>
      <c r="D1262" s="82" t="s">
        <v>10753</v>
      </c>
      <c r="E1262" s="82">
        <v>6281340892328</v>
      </c>
      <c r="F1262" s="86">
        <v>45839</v>
      </c>
      <c r="G1262" s="87">
        <v>1400</v>
      </c>
      <c r="H1262" s="88">
        <v>9131.9612590799024</v>
      </c>
      <c r="I1262" s="89">
        <v>33</v>
      </c>
      <c r="J1262" s="90">
        <v>15086</v>
      </c>
      <c r="K1262" s="85">
        <v>1</v>
      </c>
      <c r="L1262" s="85">
        <v>478</v>
      </c>
      <c r="M1262" s="85">
        <v>0</v>
      </c>
      <c r="N1262" s="82" t="s">
        <v>10754</v>
      </c>
      <c r="O1262" s="83"/>
    </row>
    <row r="1263" spans="1:15" ht="22.5" customHeight="1">
      <c r="A1263" s="85">
        <v>759724529202804</v>
      </c>
      <c r="B1263" s="82" t="s">
        <v>10621</v>
      </c>
      <c r="C1263" s="82" t="s">
        <v>11016</v>
      </c>
      <c r="D1263" s="82" t="s">
        <v>1530</v>
      </c>
      <c r="E1263" s="82">
        <v>628111988553</v>
      </c>
      <c r="F1263" s="86">
        <v>45840</v>
      </c>
      <c r="G1263" s="87">
        <v>293</v>
      </c>
      <c r="H1263" s="88">
        <v>44833.333333333336</v>
      </c>
      <c r="I1263" s="89">
        <v>26</v>
      </c>
      <c r="J1263" s="90">
        <v>15064</v>
      </c>
      <c r="K1263" s="85">
        <v>0</v>
      </c>
      <c r="L1263" s="85">
        <v>0</v>
      </c>
      <c r="M1263" s="85">
        <v>0</v>
      </c>
      <c r="N1263" s="82" t="s">
        <v>11017</v>
      </c>
      <c r="O1263" s="83"/>
    </row>
    <row r="1264" spans="1:15" ht="22.5" customHeight="1">
      <c r="A1264" s="85">
        <v>759724529202804</v>
      </c>
      <c r="B1264" s="82" t="s">
        <v>10621</v>
      </c>
      <c r="C1264" s="82" t="s">
        <v>10986</v>
      </c>
      <c r="D1264" s="82" t="s">
        <v>10987</v>
      </c>
      <c r="E1264" s="82">
        <v>6281282183261</v>
      </c>
      <c r="F1264" s="86">
        <v>45840</v>
      </c>
      <c r="G1264" s="87">
        <v>518</v>
      </c>
      <c r="H1264" s="88">
        <v>23986.153846153848</v>
      </c>
      <c r="I1264" s="89">
        <v>18</v>
      </c>
      <c r="J1264" s="90">
        <v>15591</v>
      </c>
      <c r="K1264" s="85">
        <v>4</v>
      </c>
      <c r="L1264" s="85">
        <v>134</v>
      </c>
      <c r="M1264" s="85">
        <v>0</v>
      </c>
      <c r="N1264" s="82" t="s">
        <v>10988</v>
      </c>
      <c r="O1264" s="83"/>
    </row>
    <row r="1265" spans="1:15" ht="22.5" customHeight="1">
      <c r="A1265" s="85">
        <v>759724529202804</v>
      </c>
      <c r="B1265" s="82" t="s">
        <v>10621</v>
      </c>
      <c r="C1265" s="82" t="s">
        <v>10989</v>
      </c>
      <c r="D1265" s="82" t="s">
        <v>1377</v>
      </c>
      <c r="E1265" s="82">
        <v>6285169568997</v>
      </c>
      <c r="F1265" s="86">
        <v>45840</v>
      </c>
      <c r="G1265" s="87">
        <v>423</v>
      </c>
      <c r="H1265" s="88">
        <v>30040.567951318459</v>
      </c>
      <c r="I1265" s="89">
        <v>7</v>
      </c>
      <c r="J1265" s="90">
        <v>14810</v>
      </c>
      <c r="K1265" s="85">
        <v>0</v>
      </c>
      <c r="L1265" s="85">
        <v>160</v>
      </c>
      <c r="M1265" s="85">
        <v>0</v>
      </c>
      <c r="N1265" s="82" t="s">
        <v>10990</v>
      </c>
      <c r="O1265" s="83"/>
    </row>
    <row r="1266" spans="1:15" ht="22.5" customHeight="1">
      <c r="A1266" s="85">
        <v>759724529202804</v>
      </c>
      <c r="B1266" s="82" t="s">
        <v>10621</v>
      </c>
      <c r="C1266" s="82" t="s">
        <v>10991</v>
      </c>
      <c r="D1266" s="82" t="s">
        <v>10992</v>
      </c>
      <c r="E1266" s="82">
        <v>6285974999484</v>
      </c>
      <c r="F1266" s="86">
        <v>45840</v>
      </c>
      <c r="G1266" s="87">
        <v>643</v>
      </c>
      <c r="H1266" s="88">
        <v>18636.24678663239</v>
      </c>
      <c r="I1266" s="89">
        <v>24</v>
      </c>
      <c r="J1266" s="90">
        <v>14499</v>
      </c>
      <c r="K1266" s="85">
        <v>4</v>
      </c>
      <c r="L1266" s="85">
        <v>21</v>
      </c>
      <c r="M1266" s="85">
        <v>0</v>
      </c>
      <c r="N1266" s="82" t="s">
        <v>10993</v>
      </c>
      <c r="O1266" s="83"/>
    </row>
    <row r="1267" spans="1:15" ht="22.5" customHeight="1">
      <c r="A1267" s="85">
        <v>759724529202804</v>
      </c>
      <c r="B1267" s="82" t="s">
        <v>10621</v>
      </c>
      <c r="C1267" s="82" t="s">
        <v>10994</v>
      </c>
      <c r="D1267" s="82" t="s">
        <v>10995</v>
      </c>
      <c r="E1267" s="82">
        <v>6287777241263</v>
      </c>
      <c r="F1267" s="86">
        <v>45840</v>
      </c>
      <c r="G1267" s="87">
        <v>1294</v>
      </c>
      <c r="H1267" s="88">
        <v>9660.0600600600592</v>
      </c>
      <c r="I1267" s="89">
        <v>24</v>
      </c>
      <c r="J1267" s="90">
        <v>16084</v>
      </c>
      <c r="K1267" s="85">
        <v>0</v>
      </c>
      <c r="L1267" s="85">
        <v>35</v>
      </c>
      <c r="M1267" s="85">
        <v>0</v>
      </c>
      <c r="N1267" s="82" t="s">
        <v>10996</v>
      </c>
      <c r="O1267" s="83"/>
    </row>
    <row r="1268" spans="1:15" ht="22.5" customHeight="1">
      <c r="A1268" s="85">
        <v>759724529202804</v>
      </c>
      <c r="B1268" s="82" t="s">
        <v>10621</v>
      </c>
      <c r="C1268" s="82" t="s">
        <v>1334</v>
      </c>
      <c r="D1268" s="82" t="s">
        <v>11005</v>
      </c>
      <c r="E1268" s="82">
        <v>6281366622333</v>
      </c>
      <c r="F1268" s="86">
        <v>45840</v>
      </c>
      <c r="G1268" s="87">
        <v>909</v>
      </c>
      <c r="H1268" s="88">
        <v>13873.148148148148</v>
      </c>
      <c r="I1268" s="89">
        <v>22</v>
      </c>
      <c r="J1268" s="90">
        <v>14983</v>
      </c>
      <c r="K1268" s="85">
        <v>2</v>
      </c>
      <c r="L1268" s="85">
        <v>0</v>
      </c>
      <c r="M1268" s="85">
        <v>1</v>
      </c>
      <c r="N1268" s="82" t="s">
        <v>11006</v>
      </c>
      <c r="O1268" s="83"/>
    </row>
    <row r="1269" spans="1:15" ht="22.5" customHeight="1">
      <c r="A1269" s="85">
        <v>759724529202804</v>
      </c>
      <c r="B1269" s="82" t="s">
        <v>10621</v>
      </c>
      <c r="C1269" s="82" t="s">
        <v>10969</v>
      </c>
      <c r="D1269" s="82" t="s">
        <v>1277</v>
      </c>
      <c r="E1269" s="82">
        <v>6281269441611</v>
      </c>
      <c r="F1269" s="86">
        <v>45840</v>
      </c>
      <c r="G1269" s="87">
        <v>1308</v>
      </c>
      <c r="H1269" s="88">
        <v>10063.103670315519</v>
      </c>
      <c r="I1269" s="89">
        <v>34</v>
      </c>
      <c r="J1269" s="90">
        <v>15628</v>
      </c>
      <c r="K1269" s="85">
        <v>5</v>
      </c>
      <c r="L1269" s="85">
        <v>95</v>
      </c>
      <c r="M1269" s="85">
        <v>1</v>
      </c>
      <c r="N1269" s="82" t="s">
        <v>10970</v>
      </c>
      <c r="O1269" s="83"/>
    </row>
    <row r="1270" spans="1:15" ht="22.5" customHeight="1">
      <c r="A1270" s="85">
        <v>759724529202804</v>
      </c>
      <c r="B1270" s="82" t="s">
        <v>10621</v>
      </c>
      <c r="C1270" s="82" t="s">
        <v>10925</v>
      </c>
      <c r="D1270" s="82" t="s">
        <v>10926</v>
      </c>
      <c r="E1270" s="82">
        <v>6281233038880</v>
      </c>
      <c r="F1270" s="86">
        <v>45840</v>
      </c>
      <c r="G1270" s="87">
        <v>402</v>
      </c>
      <c r="H1270" s="88">
        <v>32464.646464646463</v>
      </c>
      <c r="I1270" s="89">
        <v>12</v>
      </c>
      <c r="J1270" s="90">
        <v>16070</v>
      </c>
      <c r="K1270" s="85">
        <v>1</v>
      </c>
      <c r="L1270" s="85">
        <v>0</v>
      </c>
      <c r="M1270" s="85">
        <v>0</v>
      </c>
      <c r="N1270" s="82" t="s">
        <v>10927</v>
      </c>
      <c r="O1270" s="83"/>
    </row>
    <row r="1271" spans="1:15" ht="22.5" customHeight="1">
      <c r="A1271" s="85">
        <v>759724529202804</v>
      </c>
      <c r="B1271" s="82" t="s">
        <v>10621</v>
      </c>
      <c r="C1271" s="82" t="s">
        <v>332</v>
      </c>
      <c r="D1271" s="82" t="s">
        <v>10708</v>
      </c>
      <c r="E1271" s="82">
        <v>6282350524788</v>
      </c>
      <c r="F1271" s="86">
        <v>45840</v>
      </c>
      <c r="G1271" s="87">
        <v>1282</v>
      </c>
      <c r="H1271" s="88">
        <v>10667.817679558011</v>
      </c>
      <c r="I1271" s="89">
        <v>46</v>
      </c>
      <c r="J1271" s="90">
        <v>15447</v>
      </c>
      <c r="K1271" s="85">
        <v>0</v>
      </c>
      <c r="L1271" s="85">
        <v>0</v>
      </c>
      <c r="M1271" s="85">
        <v>0</v>
      </c>
      <c r="N1271" s="82" t="s">
        <v>10709</v>
      </c>
      <c r="O1271" s="83"/>
    </row>
    <row r="1272" spans="1:15" ht="22.5" customHeight="1">
      <c r="A1272" s="85">
        <v>759724529202804</v>
      </c>
      <c r="B1272" s="82" t="s">
        <v>10621</v>
      </c>
      <c r="C1272" s="82" t="s">
        <v>206</v>
      </c>
      <c r="D1272" s="82" t="s">
        <v>199</v>
      </c>
      <c r="E1272" s="82">
        <v>6285220903499</v>
      </c>
      <c r="F1272" s="86">
        <v>45840</v>
      </c>
      <c r="G1272" s="87">
        <v>813</v>
      </c>
      <c r="H1272" s="88">
        <v>18366.020524515392</v>
      </c>
      <c r="I1272" s="89">
        <v>22</v>
      </c>
      <c r="J1272" s="90">
        <v>16107</v>
      </c>
      <c r="K1272" s="85">
        <v>1</v>
      </c>
      <c r="L1272" s="85">
        <v>209</v>
      </c>
      <c r="M1272" s="85">
        <v>0</v>
      </c>
      <c r="N1272" s="82" t="s">
        <v>11018</v>
      </c>
      <c r="O1272" s="83"/>
    </row>
    <row r="1273" spans="1:15" ht="22.5" customHeight="1">
      <c r="A1273" s="85">
        <v>759724529202804</v>
      </c>
      <c r="B1273" s="82" t="s">
        <v>10621</v>
      </c>
      <c r="C1273" s="82" t="s">
        <v>665</v>
      </c>
      <c r="D1273" s="82" t="s">
        <v>659</v>
      </c>
      <c r="E1273" s="82">
        <v>6285757057088</v>
      </c>
      <c r="F1273" s="86">
        <v>45840</v>
      </c>
      <c r="G1273" s="87">
        <v>1081</v>
      </c>
      <c r="H1273" s="88">
        <v>12376.27365356623</v>
      </c>
      <c r="I1273" s="89">
        <v>32</v>
      </c>
      <c r="J1273" s="90">
        <v>17005</v>
      </c>
      <c r="K1273" s="85">
        <v>2</v>
      </c>
      <c r="L1273" s="85">
        <v>0</v>
      </c>
      <c r="M1273" s="85">
        <v>0</v>
      </c>
      <c r="N1273" s="82" t="s">
        <v>11019</v>
      </c>
      <c r="O1273" s="83"/>
    </row>
    <row r="1274" spans="1:15" ht="22.5" customHeight="1">
      <c r="A1274" s="85">
        <v>174904221976312</v>
      </c>
      <c r="B1274" s="82" t="s">
        <v>10651</v>
      </c>
      <c r="C1274" s="82" t="s">
        <v>11020</v>
      </c>
      <c r="D1274" s="82" t="s">
        <v>1442</v>
      </c>
      <c r="E1274" s="82">
        <v>6282247030008</v>
      </c>
      <c r="F1274" s="86">
        <v>45840</v>
      </c>
      <c r="G1274" s="87">
        <v>431</v>
      </c>
      <c r="H1274" s="88">
        <v>27415.478615071283</v>
      </c>
      <c r="I1274" s="89">
        <v>27</v>
      </c>
      <c r="J1274" s="90">
        <v>13461</v>
      </c>
      <c r="K1274" s="85">
        <v>4</v>
      </c>
      <c r="L1274" s="85">
        <v>122</v>
      </c>
      <c r="M1274" s="85">
        <v>0</v>
      </c>
      <c r="N1274" s="82" t="s">
        <v>11021</v>
      </c>
      <c r="O1274" s="83"/>
    </row>
    <row r="1275" spans="1:15" ht="22.5" customHeight="1">
      <c r="A1275" s="85">
        <v>174904221976312</v>
      </c>
      <c r="B1275" s="82" t="s">
        <v>10651</v>
      </c>
      <c r="C1275" s="82" t="s">
        <v>11022</v>
      </c>
      <c r="D1275" s="82" t="s">
        <v>1502</v>
      </c>
      <c r="E1275" s="82">
        <v>6282188390340</v>
      </c>
      <c r="F1275" s="86">
        <v>45840</v>
      </c>
      <c r="G1275" s="87">
        <v>1455</v>
      </c>
      <c r="H1275" s="88">
        <v>7493.3035714285716</v>
      </c>
      <c r="I1275" s="89">
        <v>52</v>
      </c>
      <c r="J1275" s="90">
        <v>13428</v>
      </c>
      <c r="K1275" s="85">
        <v>4</v>
      </c>
      <c r="L1275" s="85">
        <v>684</v>
      </c>
      <c r="M1275" s="85">
        <v>0</v>
      </c>
      <c r="N1275" s="82" t="s">
        <v>11023</v>
      </c>
      <c r="O1275" s="83"/>
    </row>
    <row r="1276" spans="1:15" ht="22.5" customHeight="1">
      <c r="A1276" s="85">
        <v>174904221976312</v>
      </c>
      <c r="B1276" s="82" t="s">
        <v>10651</v>
      </c>
      <c r="C1276" s="82" t="s">
        <v>11024</v>
      </c>
      <c r="D1276" s="82" t="s">
        <v>1370</v>
      </c>
      <c r="E1276" s="82">
        <v>6281343148204</v>
      </c>
      <c r="F1276" s="86">
        <v>45840</v>
      </c>
      <c r="G1276" s="87">
        <v>940</v>
      </c>
      <c r="H1276" s="88">
        <v>11577.757685352623</v>
      </c>
      <c r="I1276" s="89">
        <v>13</v>
      </c>
      <c r="J1276" s="90">
        <v>12805</v>
      </c>
      <c r="K1276" s="85">
        <v>2</v>
      </c>
      <c r="L1276" s="85">
        <v>78</v>
      </c>
      <c r="M1276" s="85">
        <v>0</v>
      </c>
      <c r="N1276" s="82" t="s">
        <v>11025</v>
      </c>
      <c r="O1276" s="83"/>
    </row>
    <row r="1277" spans="1:15" ht="22.5" customHeight="1">
      <c r="A1277" s="85">
        <v>174904221976312</v>
      </c>
      <c r="B1277" s="82" t="s">
        <v>10651</v>
      </c>
      <c r="C1277" s="82" t="s">
        <v>11007</v>
      </c>
      <c r="D1277" s="82" t="s">
        <v>11008</v>
      </c>
      <c r="E1277" s="82">
        <v>6281291128945</v>
      </c>
      <c r="F1277" s="86">
        <v>45840</v>
      </c>
      <c r="G1277" s="87">
        <v>1677</v>
      </c>
      <c r="H1277" s="88">
        <v>7029.7684674751927</v>
      </c>
      <c r="I1277" s="89">
        <v>147</v>
      </c>
      <c r="J1277" s="90">
        <v>12752</v>
      </c>
      <c r="K1277" s="85">
        <v>1</v>
      </c>
      <c r="L1277" s="85">
        <v>0</v>
      </c>
      <c r="M1277" s="85">
        <v>2</v>
      </c>
      <c r="N1277" s="82" t="s">
        <v>11009</v>
      </c>
      <c r="O1277" s="83"/>
    </row>
    <row r="1278" spans="1:15" ht="22.5" customHeight="1">
      <c r="A1278" s="85">
        <v>174904221976312</v>
      </c>
      <c r="B1278" s="82" t="s">
        <v>10651</v>
      </c>
      <c r="C1278" s="82" t="s">
        <v>10999</v>
      </c>
      <c r="D1278" s="82" t="s">
        <v>11000</v>
      </c>
      <c r="E1278" s="82">
        <v>6285340323663</v>
      </c>
      <c r="F1278" s="86">
        <v>45840</v>
      </c>
      <c r="G1278" s="87">
        <v>861</v>
      </c>
      <c r="H1278" s="88">
        <v>13326.59251769464</v>
      </c>
      <c r="I1278" s="89">
        <v>30</v>
      </c>
      <c r="J1278" s="90">
        <v>13180</v>
      </c>
      <c r="K1278" s="85">
        <v>5</v>
      </c>
      <c r="L1278" s="85">
        <v>305</v>
      </c>
      <c r="M1278" s="85">
        <v>0</v>
      </c>
      <c r="N1278" s="82" t="s">
        <v>11001</v>
      </c>
      <c r="O1278" s="83"/>
    </row>
    <row r="1279" spans="1:15" ht="22.5" customHeight="1">
      <c r="A1279" s="85">
        <v>174904221976312</v>
      </c>
      <c r="B1279" s="82" t="s">
        <v>10651</v>
      </c>
      <c r="C1279" s="82" t="s">
        <v>11002</v>
      </c>
      <c r="D1279" s="82" t="s">
        <v>11003</v>
      </c>
      <c r="E1279" s="82">
        <v>6288228976100</v>
      </c>
      <c r="F1279" s="86">
        <v>45840</v>
      </c>
      <c r="G1279" s="87">
        <v>399</v>
      </c>
      <c r="H1279" s="88">
        <v>28508.298755186723</v>
      </c>
      <c r="I1279" s="89">
        <v>12</v>
      </c>
      <c r="J1279" s="90">
        <v>13741</v>
      </c>
      <c r="K1279" s="85">
        <v>3</v>
      </c>
      <c r="L1279" s="85">
        <v>0</v>
      </c>
      <c r="M1279" s="85">
        <v>0</v>
      </c>
      <c r="N1279" s="82" t="s">
        <v>11004</v>
      </c>
      <c r="O1279" s="83"/>
    </row>
    <row r="1280" spans="1:15" ht="22.5" customHeight="1">
      <c r="A1280" s="85">
        <v>174904221976312</v>
      </c>
      <c r="B1280" s="82" t="s">
        <v>10651</v>
      </c>
      <c r="C1280" s="82" t="s">
        <v>10971</v>
      </c>
      <c r="D1280" s="82" t="s">
        <v>1292</v>
      </c>
      <c r="E1280" s="82">
        <v>6281213589905</v>
      </c>
      <c r="F1280" s="86">
        <v>45840</v>
      </c>
      <c r="G1280" s="87">
        <v>279</v>
      </c>
      <c r="H1280" s="88">
        <v>42939.873417721523</v>
      </c>
      <c r="I1280" s="89">
        <v>10</v>
      </c>
      <c r="J1280" s="90">
        <v>13569</v>
      </c>
      <c r="K1280" s="85">
        <v>0</v>
      </c>
      <c r="L1280" s="85">
        <v>27</v>
      </c>
      <c r="M1280" s="85">
        <v>0</v>
      </c>
      <c r="N1280" s="82" t="s">
        <v>10972</v>
      </c>
      <c r="O1280" s="83"/>
    </row>
    <row r="1281" spans="1:15" ht="22.5" customHeight="1">
      <c r="A1281" s="85">
        <v>174904221976312</v>
      </c>
      <c r="B1281" s="82" t="s">
        <v>10651</v>
      </c>
      <c r="C1281" s="82" t="s">
        <v>10973</v>
      </c>
      <c r="D1281" s="82" t="s">
        <v>10974</v>
      </c>
      <c r="E1281" s="82">
        <v>6281347156140</v>
      </c>
      <c r="F1281" s="86">
        <v>45840</v>
      </c>
      <c r="G1281" s="87">
        <v>975</v>
      </c>
      <c r="H1281" s="88">
        <v>13009.298393913779</v>
      </c>
      <c r="I1281" s="89">
        <v>40</v>
      </c>
      <c r="J1281" s="90">
        <v>15390</v>
      </c>
      <c r="K1281" s="85">
        <v>9</v>
      </c>
      <c r="L1281" s="85">
        <v>218</v>
      </c>
      <c r="M1281" s="85">
        <v>2</v>
      </c>
      <c r="N1281" s="82" t="s">
        <v>10975</v>
      </c>
      <c r="O1281" s="83"/>
    </row>
    <row r="1282" spans="1:15" ht="22.5" customHeight="1">
      <c r="A1282" s="85">
        <v>174904221976312</v>
      </c>
      <c r="B1282" s="82" t="s">
        <v>10651</v>
      </c>
      <c r="C1282" s="82" t="s">
        <v>10940</v>
      </c>
      <c r="D1282" s="82" t="s">
        <v>10941</v>
      </c>
      <c r="E1282" s="82">
        <v>6285266218699</v>
      </c>
      <c r="F1282" s="86">
        <v>45840</v>
      </c>
      <c r="G1282" s="87">
        <v>2121</v>
      </c>
      <c r="H1282" s="88">
        <v>5796.1038961038967</v>
      </c>
      <c r="I1282" s="89">
        <v>54</v>
      </c>
      <c r="J1282" s="90">
        <v>13389</v>
      </c>
      <c r="K1282" s="85">
        <v>5</v>
      </c>
      <c r="L1282" s="85">
        <v>793</v>
      </c>
      <c r="M1282" s="85">
        <v>0</v>
      </c>
      <c r="N1282" s="82" t="s">
        <v>10942</v>
      </c>
      <c r="O1282" s="83"/>
    </row>
    <row r="1283" spans="1:15" ht="22.5" customHeight="1">
      <c r="A1283" s="85">
        <v>174904221976312</v>
      </c>
      <c r="B1283" s="82" t="s">
        <v>10651</v>
      </c>
      <c r="C1283" s="82" t="s">
        <v>10943</v>
      </c>
      <c r="D1283" s="82" t="s">
        <v>10944</v>
      </c>
      <c r="E1283" s="82">
        <v>6285240694097</v>
      </c>
      <c r="F1283" s="86">
        <v>45840</v>
      </c>
      <c r="G1283" s="87">
        <v>1055</v>
      </c>
      <c r="H1283" s="88">
        <v>11195.402298850575</v>
      </c>
      <c r="I1283" s="89">
        <v>39</v>
      </c>
      <c r="J1283" s="90">
        <v>13636</v>
      </c>
      <c r="K1283" s="85">
        <v>4</v>
      </c>
      <c r="L1283" s="85">
        <v>85</v>
      </c>
      <c r="M1283" s="85">
        <v>0</v>
      </c>
      <c r="N1283" s="82" t="s">
        <v>10945</v>
      </c>
      <c r="O1283" s="83"/>
    </row>
    <row r="1284" spans="1:15" ht="22.5" customHeight="1">
      <c r="A1284" s="85">
        <v>174904221976312</v>
      </c>
      <c r="B1284" s="82" t="s">
        <v>10651</v>
      </c>
      <c r="C1284" s="82" t="s">
        <v>10892</v>
      </c>
      <c r="D1284" s="82" t="s">
        <v>10893</v>
      </c>
      <c r="E1284" s="82">
        <v>6282399721881</v>
      </c>
      <c r="F1284" s="86">
        <v>45840</v>
      </c>
      <c r="G1284" s="87">
        <v>1530</v>
      </c>
      <c r="H1284" s="88">
        <v>7553.0791788856304</v>
      </c>
      <c r="I1284" s="89">
        <v>23</v>
      </c>
      <c r="J1284" s="90">
        <v>12878</v>
      </c>
      <c r="K1284" s="85">
        <v>1</v>
      </c>
      <c r="L1284" s="85">
        <v>0</v>
      </c>
      <c r="M1284" s="85">
        <v>0</v>
      </c>
      <c r="N1284" s="82" t="s">
        <v>10894</v>
      </c>
      <c r="O1284" s="83"/>
    </row>
    <row r="1285" spans="1:15" ht="22.5" customHeight="1">
      <c r="A1285" s="85">
        <v>174904221976312</v>
      </c>
      <c r="B1285" s="82" t="s">
        <v>10651</v>
      </c>
      <c r="C1285" s="82" t="s">
        <v>10895</v>
      </c>
      <c r="D1285" s="82" t="s">
        <v>10896</v>
      </c>
      <c r="E1285" s="82">
        <v>6281299907533</v>
      </c>
      <c r="F1285" s="86">
        <v>45840</v>
      </c>
      <c r="G1285" s="87">
        <v>313</v>
      </c>
      <c r="H1285" s="88">
        <v>41744.868035190615</v>
      </c>
      <c r="I1285" s="89">
        <v>9</v>
      </c>
      <c r="J1285" s="90">
        <v>14235</v>
      </c>
      <c r="K1285" s="85">
        <v>1</v>
      </c>
      <c r="L1285" s="85">
        <v>2</v>
      </c>
      <c r="M1285" s="85">
        <v>0</v>
      </c>
      <c r="N1285" s="82" t="s">
        <v>10897</v>
      </c>
      <c r="O1285" s="83"/>
    </row>
    <row r="1286" spans="1:15" ht="22.5" customHeight="1">
      <c r="A1286" s="85">
        <v>174904221976312</v>
      </c>
      <c r="B1286" s="82" t="s">
        <v>10651</v>
      </c>
      <c r="C1286" s="82" t="s">
        <v>10853</v>
      </c>
      <c r="D1286" s="82" t="s">
        <v>10854</v>
      </c>
      <c r="E1286" s="82">
        <v>6281393958199</v>
      </c>
      <c r="F1286" s="86">
        <v>45840</v>
      </c>
      <c r="G1286" s="87">
        <v>789</v>
      </c>
      <c r="H1286" s="88">
        <v>13868.365180467092</v>
      </c>
      <c r="I1286" s="89">
        <v>17</v>
      </c>
      <c r="J1286" s="90">
        <v>13064</v>
      </c>
      <c r="K1286" s="85">
        <v>2</v>
      </c>
      <c r="L1286" s="85">
        <v>285</v>
      </c>
      <c r="M1286" s="85">
        <v>0</v>
      </c>
      <c r="N1286" s="82" t="s">
        <v>10855</v>
      </c>
      <c r="O1286" s="83"/>
    </row>
    <row r="1287" spans="1:15" ht="22.5" customHeight="1">
      <c r="A1287" s="85">
        <v>174904221976312</v>
      </c>
      <c r="B1287" s="82" t="s">
        <v>10651</v>
      </c>
      <c r="C1287" s="82" t="s">
        <v>818</v>
      </c>
      <c r="D1287" s="82" t="s">
        <v>812</v>
      </c>
      <c r="E1287" s="82">
        <v>6287858585808</v>
      </c>
      <c r="F1287" s="86">
        <v>45840</v>
      </c>
      <c r="G1287" s="87">
        <v>955</v>
      </c>
      <c r="H1287" s="88">
        <v>12271.230502599654</v>
      </c>
      <c r="I1287" s="89">
        <v>24</v>
      </c>
      <c r="J1287" s="90">
        <v>14161</v>
      </c>
      <c r="K1287" s="85">
        <v>0</v>
      </c>
      <c r="L1287" s="85">
        <v>258</v>
      </c>
      <c r="M1287" s="85">
        <v>0</v>
      </c>
      <c r="N1287" s="82" t="s">
        <v>10831</v>
      </c>
      <c r="O1287" s="83"/>
    </row>
    <row r="1288" spans="1:15" ht="22.5" customHeight="1">
      <c r="A1288" s="85">
        <v>174904221976312</v>
      </c>
      <c r="B1288" s="82" t="s">
        <v>10651</v>
      </c>
      <c r="C1288" s="82" t="s">
        <v>10652</v>
      </c>
      <c r="D1288" s="82" t="s">
        <v>10653</v>
      </c>
      <c r="E1288" s="82">
        <v>6281348555887</v>
      </c>
      <c r="F1288" s="86">
        <v>45840</v>
      </c>
      <c r="G1288" s="87">
        <v>860</v>
      </c>
      <c r="H1288" s="88">
        <v>13989.816700610998</v>
      </c>
      <c r="I1288" s="89">
        <v>26</v>
      </c>
      <c r="J1288" s="90">
        <v>13738</v>
      </c>
      <c r="K1288" s="85">
        <v>0</v>
      </c>
      <c r="L1288" s="85">
        <v>288</v>
      </c>
      <c r="M1288" s="85">
        <v>1</v>
      </c>
      <c r="N1288" s="82" t="s">
        <v>10654</v>
      </c>
      <c r="O1288" s="83"/>
    </row>
    <row r="1289" spans="1:15" ht="22.5" customHeight="1">
      <c r="A1289" s="85">
        <v>174904221976312</v>
      </c>
      <c r="B1289" s="82" t="s">
        <v>10651</v>
      </c>
      <c r="C1289" s="82" t="s">
        <v>10659</v>
      </c>
      <c r="D1289" s="82" t="s">
        <v>1044</v>
      </c>
      <c r="E1289" s="82">
        <v>6281263113266</v>
      </c>
      <c r="F1289" s="86">
        <v>45840</v>
      </c>
      <c r="G1289" s="87">
        <v>1398</v>
      </c>
      <c r="H1289" s="88">
        <v>7352.6479750778817</v>
      </c>
      <c r="I1289" s="89">
        <v>41</v>
      </c>
      <c r="J1289" s="90">
        <v>11801</v>
      </c>
      <c r="K1289" s="85">
        <v>2</v>
      </c>
      <c r="L1289" s="85">
        <v>4</v>
      </c>
      <c r="M1289" s="85">
        <v>0</v>
      </c>
      <c r="N1289" s="82" t="s">
        <v>10660</v>
      </c>
      <c r="O1289" s="83"/>
    </row>
    <row r="1290" spans="1:15" ht="22.5" customHeight="1">
      <c r="A1290" s="85">
        <v>174904221976312</v>
      </c>
      <c r="B1290" s="82" t="s">
        <v>10651</v>
      </c>
      <c r="C1290" s="82" t="s">
        <v>10679</v>
      </c>
      <c r="D1290" s="82" t="s">
        <v>10680</v>
      </c>
      <c r="E1290" s="82">
        <v>6282347206488</v>
      </c>
      <c r="F1290" s="86">
        <v>45840</v>
      </c>
      <c r="G1290" s="87">
        <v>2105</v>
      </c>
      <c r="H1290" s="88">
        <v>5825.5959849435385</v>
      </c>
      <c r="I1290" s="89">
        <v>72</v>
      </c>
      <c r="J1290" s="90">
        <v>13929</v>
      </c>
      <c r="K1290" s="85">
        <v>7</v>
      </c>
      <c r="L1290" s="85">
        <v>975</v>
      </c>
      <c r="M1290" s="85">
        <v>0</v>
      </c>
      <c r="N1290" s="82" t="s">
        <v>10681</v>
      </c>
      <c r="O1290" s="83"/>
    </row>
    <row r="1291" spans="1:15" ht="22.5" customHeight="1">
      <c r="A1291" s="85">
        <v>174904221976312</v>
      </c>
      <c r="B1291" s="82" t="s">
        <v>10651</v>
      </c>
      <c r="C1291" s="82" t="s">
        <v>10833</v>
      </c>
      <c r="D1291" s="82" t="s">
        <v>10834</v>
      </c>
      <c r="E1291" s="82">
        <v>6282242925264</v>
      </c>
      <c r="F1291" s="86">
        <v>45840</v>
      </c>
      <c r="G1291" s="87">
        <v>3418</v>
      </c>
      <c r="H1291" s="88">
        <v>4181.5569487983284</v>
      </c>
      <c r="I1291" s="89">
        <v>107</v>
      </c>
      <c r="J1291" s="90">
        <v>16007</v>
      </c>
      <c r="K1291" s="85">
        <v>7</v>
      </c>
      <c r="L1291" s="85">
        <v>981</v>
      </c>
      <c r="M1291" s="85">
        <v>5</v>
      </c>
      <c r="N1291" s="82" t="s">
        <v>10835</v>
      </c>
      <c r="O1291" s="83"/>
    </row>
    <row r="1292" spans="1:15" ht="22.5" customHeight="1">
      <c r="A1292" s="85">
        <v>766589657993298</v>
      </c>
      <c r="B1292" s="82" t="s">
        <v>10688</v>
      </c>
      <c r="C1292" s="82" t="s">
        <v>11026</v>
      </c>
      <c r="D1292" s="82" t="s">
        <v>1172</v>
      </c>
      <c r="E1292" s="82">
        <v>6285950836788</v>
      </c>
      <c r="F1292" s="86">
        <v>45840</v>
      </c>
      <c r="G1292" s="87">
        <v>506</v>
      </c>
      <c r="H1292" s="88">
        <v>25324.69775474957</v>
      </c>
      <c r="I1292" s="89">
        <v>18</v>
      </c>
      <c r="J1292" s="90">
        <v>14663</v>
      </c>
      <c r="K1292" s="85">
        <v>7</v>
      </c>
      <c r="L1292" s="85">
        <v>191</v>
      </c>
      <c r="M1292" s="85">
        <v>0</v>
      </c>
      <c r="N1292" s="82" t="s">
        <v>11027</v>
      </c>
      <c r="O1292" s="83"/>
    </row>
    <row r="1293" spans="1:15" ht="22.5" customHeight="1">
      <c r="A1293" s="85">
        <v>766589657993298</v>
      </c>
      <c r="B1293" s="82" t="s">
        <v>10688</v>
      </c>
      <c r="C1293" s="82" t="s">
        <v>11028</v>
      </c>
      <c r="D1293" s="82" t="s">
        <v>11029</v>
      </c>
      <c r="E1293" s="82">
        <v>6282338171577</v>
      </c>
      <c r="F1293" s="86">
        <v>45840</v>
      </c>
      <c r="G1293" s="87">
        <v>657</v>
      </c>
      <c r="H1293" s="88">
        <v>19151.061173533082</v>
      </c>
      <c r="I1293" s="89">
        <v>25</v>
      </c>
      <c r="J1293" s="90">
        <v>15340</v>
      </c>
      <c r="K1293" s="85">
        <v>5</v>
      </c>
      <c r="L1293" s="85">
        <v>280</v>
      </c>
      <c r="M1293" s="85">
        <v>0</v>
      </c>
      <c r="N1293" s="82" t="s">
        <v>11030</v>
      </c>
      <c r="O1293" s="83"/>
    </row>
    <row r="1294" spans="1:15" ht="22.5" customHeight="1">
      <c r="A1294" s="85">
        <v>766589657993298</v>
      </c>
      <c r="B1294" s="82" t="s">
        <v>10688</v>
      </c>
      <c r="C1294" s="82" t="s">
        <v>11010</v>
      </c>
      <c r="D1294" s="82" t="s">
        <v>11011</v>
      </c>
      <c r="E1294" s="82">
        <v>6285774217794</v>
      </c>
      <c r="F1294" s="86">
        <v>45840</v>
      </c>
      <c r="G1294" s="87">
        <v>599</v>
      </c>
      <c r="H1294" s="88">
        <v>23061.746987951807</v>
      </c>
      <c r="I1294" s="89">
        <v>6</v>
      </c>
      <c r="J1294" s="90">
        <v>15313</v>
      </c>
      <c r="K1294" s="85">
        <v>0</v>
      </c>
      <c r="L1294" s="85">
        <v>138</v>
      </c>
      <c r="M1294" s="85">
        <v>0</v>
      </c>
      <c r="N1294" s="82" t="s">
        <v>11012</v>
      </c>
      <c r="O1294" s="83"/>
    </row>
    <row r="1295" spans="1:15" ht="22.5" customHeight="1">
      <c r="A1295" s="85">
        <v>766589657993298</v>
      </c>
      <c r="B1295" s="82" t="s">
        <v>10688</v>
      </c>
      <c r="C1295" s="82" t="s">
        <v>11013</v>
      </c>
      <c r="D1295" s="82" t="s">
        <v>11014</v>
      </c>
      <c r="E1295" s="82">
        <v>6282134333004</v>
      </c>
      <c r="F1295" s="86">
        <v>45840</v>
      </c>
      <c r="G1295" s="87">
        <v>510</v>
      </c>
      <c r="H1295" s="88">
        <v>23270.015698587125</v>
      </c>
      <c r="I1295" s="89">
        <v>12</v>
      </c>
      <c r="J1295" s="90">
        <v>14823</v>
      </c>
      <c r="K1295" s="85">
        <v>4</v>
      </c>
      <c r="L1295" s="85">
        <v>204</v>
      </c>
      <c r="M1295" s="85">
        <v>0</v>
      </c>
      <c r="N1295" s="82" t="s">
        <v>11015</v>
      </c>
      <c r="O1295" s="83"/>
    </row>
    <row r="1296" spans="1:15" ht="22.5" customHeight="1">
      <c r="A1296" s="85">
        <v>766589657993298</v>
      </c>
      <c r="B1296" s="82" t="s">
        <v>10688</v>
      </c>
      <c r="C1296" s="82" t="s">
        <v>1348</v>
      </c>
      <c r="D1296" s="82" t="s">
        <v>10984</v>
      </c>
      <c r="E1296" s="82">
        <v>6287822304727</v>
      </c>
      <c r="F1296" s="86">
        <v>45840</v>
      </c>
      <c r="G1296" s="87">
        <v>913</v>
      </c>
      <c r="H1296" s="88">
        <v>15591.463414634147</v>
      </c>
      <c r="I1296" s="89">
        <v>16</v>
      </c>
      <c r="J1296" s="90">
        <v>15342</v>
      </c>
      <c r="K1296" s="85">
        <v>1</v>
      </c>
      <c r="L1296" s="85">
        <v>415</v>
      </c>
      <c r="M1296" s="85">
        <v>0</v>
      </c>
      <c r="N1296" s="82" t="s">
        <v>10985</v>
      </c>
      <c r="O1296" s="83"/>
    </row>
    <row r="1297" spans="1:15" ht="22.5" customHeight="1">
      <c r="A1297" s="85">
        <v>766589657993298</v>
      </c>
      <c r="B1297" s="82" t="s">
        <v>10688</v>
      </c>
      <c r="C1297" s="82" t="s">
        <v>10976</v>
      </c>
      <c r="D1297" s="82" t="s">
        <v>10977</v>
      </c>
      <c r="E1297" s="82">
        <v>6281138301069</v>
      </c>
      <c r="F1297" s="86">
        <v>45840</v>
      </c>
      <c r="G1297" s="87">
        <v>12577</v>
      </c>
      <c r="H1297" s="88">
        <v>1101.5349194167306</v>
      </c>
      <c r="I1297" s="89">
        <v>12</v>
      </c>
      <c r="J1297" s="90">
        <v>14353</v>
      </c>
      <c r="K1297" s="85">
        <v>0</v>
      </c>
      <c r="L1297" s="85">
        <v>931</v>
      </c>
      <c r="M1297" s="85">
        <v>0</v>
      </c>
      <c r="N1297" s="82" t="s">
        <v>10978</v>
      </c>
      <c r="O1297" s="83"/>
    </row>
    <row r="1298" spans="1:15" ht="22.5" customHeight="1">
      <c r="A1298" s="85">
        <v>766589657993298</v>
      </c>
      <c r="B1298" s="82" t="s">
        <v>10688</v>
      </c>
      <c r="C1298" s="82" t="s">
        <v>10979</v>
      </c>
      <c r="D1298" s="82" t="s">
        <v>10980</v>
      </c>
      <c r="E1298" s="82">
        <v>6285715856120</v>
      </c>
      <c r="F1298" s="86">
        <v>45840</v>
      </c>
      <c r="G1298" s="87">
        <v>1173</v>
      </c>
      <c r="H1298" s="88">
        <v>13095.934959349594</v>
      </c>
      <c r="I1298" s="89">
        <v>55</v>
      </c>
      <c r="J1298" s="90">
        <v>16108</v>
      </c>
      <c r="K1298" s="85">
        <v>10</v>
      </c>
      <c r="L1298" s="85">
        <v>416</v>
      </c>
      <c r="M1298" s="85">
        <v>2</v>
      </c>
      <c r="N1298" s="82" t="s">
        <v>10981</v>
      </c>
      <c r="O1298" s="83"/>
    </row>
    <row r="1299" spans="1:15" ht="22.5" customHeight="1">
      <c r="A1299" s="85">
        <v>766589657993298</v>
      </c>
      <c r="B1299" s="82" t="s">
        <v>10688</v>
      </c>
      <c r="C1299" s="82" t="s">
        <v>10982</v>
      </c>
      <c r="D1299" s="82" t="s">
        <v>1052</v>
      </c>
      <c r="E1299" s="82">
        <v>6282385989828</v>
      </c>
      <c r="F1299" s="86">
        <v>45840</v>
      </c>
      <c r="G1299" s="87">
        <v>959</v>
      </c>
      <c r="H1299" s="88">
        <v>13029.488291413703</v>
      </c>
      <c r="I1299" s="89">
        <v>31</v>
      </c>
      <c r="J1299" s="90">
        <v>15023</v>
      </c>
      <c r="K1299" s="85">
        <v>5</v>
      </c>
      <c r="L1299" s="85">
        <v>192</v>
      </c>
      <c r="M1299" s="85">
        <v>0</v>
      </c>
      <c r="N1299" s="82" t="s">
        <v>10983</v>
      </c>
      <c r="O1299" s="83"/>
    </row>
    <row r="1300" spans="1:15" ht="22.5" customHeight="1">
      <c r="A1300" s="85">
        <v>766589657993298</v>
      </c>
      <c r="B1300" s="82" t="s">
        <v>10688</v>
      </c>
      <c r="C1300" s="82" t="s">
        <v>10879</v>
      </c>
      <c r="D1300" s="82" t="s">
        <v>10880</v>
      </c>
      <c r="E1300" s="82">
        <v>6281215851833</v>
      </c>
      <c r="F1300" s="86">
        <v>45840</v>
      </c>
      <c r="G1300" s="87">
        <v>409</v>
      </c>
      <c r="H1300" s="88">
        <v>31272.727272727272</v>
      </c>
      <c r="I1300" s="89">
        <v>16</v>
      </c>
      <c r="J1300" s="90">
        <v>14792</v>
      </c>
      <c r="K1300" s="85">
        <v>6</v>
      </c>
      <c r="L1300" s="85">
        <v>0</v>
      </c>
      <c r="M1300" s="85">
        <v>0</v>
      </c>
      <c r="N1300" s="82" t="s">
        <v>10881</v>
      </c>
      <c r="O1300" s="83"/>
    </row>
    <row r="1301" spans="1:15" ht="22.5" customHeight="1">
      <c r="A1301" s="85">
        <v>766589657993298</v>
      </c>
      <c r="B1301" s="82" t="s">
        <v>10688</v>
      </c>
      <c r="C1301" s="82" t="s">
        <v>10780</v>
      </c>
      <c r="D1301" s="82" t="s">
        <v>10781</v>
      </c>
      <c r="E1301" s="82">
        <v>6281338789995</v>
      </c>
      <c r="F1301" s="86">
        <v>45840</v>
      </c>
      <c r="G1301" s="87">
        <v>1157</v>
      </c>
      <c r="H1301" s="88">
        <v>14068.111455108359</v>
      </c>
      <c r="I1301" s="89">
        <v>22</v>
      </c>
      <c r="J1301" s="90">
        <v>18176</v>
      </c>
      <c r="K1301" s="85">
        <v>3</v>
      </c>
      <c r="L1301" s="85">
        <v>316</v>
      </c>
      <c r="M1301" s="85">
        <v>0</v>
      </c>
      <c r="N1301" s="82" t="s">
        <v>10782</v>
      </c>
      <c r="O1301" s="83"/>
    </row>
    <row r="1302" spans="1:15" ht="22.5" customHeight="1">
      <c r="A1302" s="85">
        <v>766589657993298</v>
      </c>
      <c r="B1302" s="82" t="s">
        <v>10688</v>
      </c>
      <c r="C1302" s="82" t="s">
        <v>10772</v>
      </c>
      <c r="D1302" s="82" t="s">
        <v>10773</v>
      </c>
      <c r="E1302" s="82">
        <v>6285261023204</v>
      </c>
      <c r="F1302" s="86">
        <v>45840</v>
      </c>
      <c r="G1302" s="87">
        <v>1780</v>
      </c>
      <c r="H1302" s="88">
        <v>8425.7172131147545</v>
      </c>
      <c r="I1302" s="89">
        <v>27</v>
      </c>
      <c r="J1302" s="90">
        <v>16447</v>
      </c>
      <c r="K1302" s="85">
        <v>1</v>
      </c>
      <c r="L1302" s="85">
        <v>122</v>
      </c>
      <c r="M1302" s="85">
        <v>1</v>
      </c>
      <c r="N1302" s="82" t="s">
        <v>10774</v>
      </c>
      <c r="O1302" s="83"/>
    </row>
    <row r="1303" spans="1:15" ht="22.5" customHeight="1">
      <c r="A1303" s="85">
        <v>766589657993298</v>
      </c>
      <c r="B1303" s="82" t="s">
        <v>10688</v>
      </c>
      <c r="C1303" s="82" t="s">
        <v>10762</v>
      </c>
      <c r="D1303" s="82" t="s">
        <v>10763</v>
      </c>
      <c r="E1303" s="82">
        <v>6285210107607</v>
      </c>
      <c r="F1303" s="86">
        <v>45840</v>
      </c>
      <c r="G1303" s="87">
        <v>885</v>
      </c>
      <c r="H1303" s="88">
        <v>17433.433433433431</v>
      </c>
      <c r="I1303" s="89">
        <v>11</v>
      </c>
      <c r="J1303" s="90">
        <v>17416</v>
      </c>
      <c r="K1303" s="85">
        <v>2</v>
      </c>
      <c r="L1303" s="85">
        <v>290</v>
      </c>
      <c r="M1303" s="85">
        <v>0</v>
      </c>
      <c r="N1303" s="82" t="s">
        <v>10764</v>
      </c>
      <c r="O1303" s="83"/>
    </row>
    <row r="1304" spans="1:15" ht="22.5" customHeight="1">
      <c r="A1304" s="85">
        <v>766589657993298</v>
      </c>
      <c r="B1304" s="82" t="s">
        <v>10688</v>
      </c>
      <c r="C1304" s="82" t="s">
        <v>10795</v>
      </c>
      <c r="D1304" s="82" t="s">
        <v>551</v>
      </c>
      <c r="E1304" s="82">
        <v>6285747906282</v>
      </c>
      <c r="F1304" s="86">
        <v>45840</v>
      </c>
      <c r="G1304" s="87">
        <v>850</v>
      </c>
      <c r="H1304" s="88">
        <v>16457.264957264957</v>
      </c>
      <c r="I1304" s="89">
        <v>26</v>
      </c>
      <c r="J1304" s="90">
        <v>15404</v>
      </c>
      <c r="K1304" s="85">
        <v>1</v>
      </c>
      <c r="L1304" s="85">
        <v>5</v>
      </c>
      <c r="M1304" s="85">
        <v>0</v>
      </c>
      <c r="N1304" s="82" t="s">
        <v>10796</v>
      </c>
      <c r="O1304" s="83"/>
    </row>
    <row r="1305" spans="1:15" ht="22.5" customHeight="1">
      <c r="A1305" s="85">
        <v>766589657993298</v>
      </c>
      <c r="B1305" s="82" t="s">
        <v>10688</v>
      </c>
      <c r="C1305" s="82" t="s">
        <v>10767</v>
      </c>
      <c r="D1305" s="82" t="s">
        <v>10768</v>
      </c>
      <c r="E1305" s="82">
        <v>6281519225886</v>
      </c>
      <c r="F1305" s="86">
        <v>45840</v>
      </c>
      <c r="G1305" s="87">
        <v>502</v>
      </c>
      <c r="H1305" s="88">
        <v>27077.834179357022</v>
      </c>
      <c r="I1305" s="89">
        <v>20</v>
      </c>
      <c r="J1305" s="90">
        <v>16003</v>
      </c>
      <c r="K1305" s="85">
        <v>6</v>
      </c>
      <c r="L1305" s="85">
        <v>10</v>
      </c>
      <c r="M1305" s="85">
        <v>0</v>
      </c>
      <c r="N1305" s="82" t="s">
        <v>10769</v>
      </c>
      <c r="O1305" s="83"/>
    </row>
    <row r="1306" spans="1:15" ht="22.5" customHeight="1">
      <c r="A1306" s="85">
        <v>766589657993298</v>
      </c>
      <c r="B1306" s="82" t="s">
        <v>10688</v>
      </c>
      <c r="C1306" s="82" t="s">
        <v>10797</v>
      </c>
      <c r="D1306" s="82" t="s">
        <v>10798</v>
      </c>
      <c r="E1306" s="82">
        <v>6285853370682</v>
      </c>
      <c r="F1306" s="86">
        <v>45840</v>
      </c>
      <c r="G1306" s="87">
        <v>608</v>
      </c>
      <c r="H1306" s="88">
        <v>22105.504587155963</v>
      </c>
      <c r="I1306" s="89">
        <v>2</v>
      </c>
      <c r="J1306" s="90">
        <v>14457</v>
      </c>
      <c r="K1306" s="85">
        <v>0</v>
      </c>
      <c r="L1306" s="85">
        <v>169</v>
      </c>
      <c r="M1306" s="85">
        <v>0</v>
      </c>
      <c r="N1306" s="82" t="s">
        <v>10799</v>
      </c>
      <c r="O1306" s="83"/>
    </row>
    <row r="1307" spans="1:15" ht="22.5" customHeight="1">
      <c r="A1307" s="85">
        <v>766589657993298</v>
      </c>
      <c r="B1307" s="82" t="s">
        <v>10688</v>
      </c>
      <c r="C1307" s="82" t="s">
        <v>10741</v>
      </c>
      <c r="D1307" s="82" t="s">
        <v>559</v>
      </c>
      <c r="E1307" s="82">
        <v>6281952482523</v>
      </c>
      <c r="F1307" s="86">
        <v>45840</v>
      </c>
      <c r="G1307" s="87">
        <v>586</v>
      </c>
      <c r="H1307" s="88">
        <v>25908.227848101265</v>
      </c>
      <c r="I1307" s="89">
        <v>14</v>
      </c>
      <c r="J1307" s="90">
        <v>16374</v>
      </c>
      <c r="K1307" s="85">
        <v>1</v>
      </c>
      <c r="L1307" s="85">
        <v>271</v>
      </c>
      <c r="M1307" s="85">
        <v>0</v>
      </c>
      <c r="N1307" s="82" t="s">
        <v>10742</v>
      </c>
      <c r="O1307" s="83"/>
    </row>
    <row r="1308" spans="1:15" ht="22.5" customHeight="1">
      <c r="A1308" s="85">
        <v>766589657993298</v>
      </c>
      <c r="B1308" s="82" t="s">
        <v>10688</v>
      </c>
      <c r="C1308" s="82" t="s">
        <v>10802</v>
      </c>
      <c r="D1308" s="82" t="s">
        <v>567</v>
      </c>
      <c r="E1308" s="82">
        <v>6285220216325</v>
      </c>
      <c r="F1308" s="86">
        <v>45840</v>
      </c>
      <c r="G1308" s="87">
        <v>274</v>
      </c>
      <c r="H1308" s="88">
        <v>52829.508196721312</v>
      </c>
      <c r="I1308" s="89">
        <v>7</v>
      </c>
      <c r="J1308" s="90">
        <v>16113</v>
      </c>
      <c r="K1308" s="85">
        <v>0</v>
      </c>
      <c r="L1308" s="85">
        <v>16</v>
      </c>
      <c r="M1308" s="85">
        <v>0</v>
      </c>
      <c r="N1308" s="82" t="s">
        <v>10803</v>
      </c>
      <c r="O1308" s="83"/>
    </row>
    <row r="1309" spans="1:15" ht="22.5" customHeight="1">
      <c r="A1309" s="85">
        <v>766589657993298</v>
      </c>
      <c r="B1309" s="82" t="s">
        <v>10688</v>
      </c>
      <c r="C1309" s="82" t="s">
        <v>10752</v>
      </c>
      <c r="D1309" s="82" t="s">
        <v>10753</v>
      </c>
      <c r="E1309" s="82">
        <v>6281340892328</v>
      </c>
      <c r="F1309" s="86">
        <v>45840</v>
      </c>
      <c r="G1309" s="87">
        <v>1432</v>
      </c>
      <c r="H1309" s="88">
        <v>9127.4451689389443</v>
      </c>
      <c r="I1309" s="89">
        <v>39</v>
      </c>
      <c r="J1309" s="90">
        <v>15398</v>
      </c>
      <c r="K1309" s="85">
        <v>0</v>
      </c>
      <c r="L1309" s="85">
        <v>466</v>
      </c>
      <c r="M1309" s="85">
        <v>0</v>
      </c>
      <c r="N1309" s="82" t="s">
        <v>10754</v>
      </c>
      <c r="O1309" s="83"/>
    </row>
    <row r="1310" spans="1:15" ht="22.5" customHeight="1">
      <c r="A1310" s="85">
        <v>206726568613432</v>
      </c>
      <c r="B1310" s="82" t="s">
        <v>10900</v>
      </c>
      <c r="C1310" s="82" t="s">
        <v>11031</v>
      </c>
      <c r="D1310" s="82" t="s">
        <v>11032</v>
      </c>
      <c r="E1310" s="82">
        <v>6285668750416</v>
      </c>
      <c r="F1310" s="86">
        <v>45840</v>
      </c>
      <c r="G1310" s="87">
        <v>151</v>
      </c>
      <c r="H1310" s="88">
        <v>8912.5</v>
      </c>
      <c r="I1310" s="89">
        <v>2</v>
      </c>
      <c r="J1310" s="90">
        <v>1426</v>
      </c>
      <c r="K1310" s="85">
        <v>0</v>
      </c>
      <c r="L1310" s="85">
        <v>60</v>
      </c>
      <c r="M1310" s="85">
        <v>0</v>
      </c>
      <c r="N1310" s="82" t="s">
        <v>11033</v>
      </c>
      <c r="O1310" s="83"/>
    </row>
    <row r="1311" spans="1:15" ht="22.5" customHeight="1">
      <c r="A1311" s="85">
        <v>759724529202804</v>
      </c>
      <c r="B1311" s="82" t="s">
        <v>10621</v>
      </c>
      <c r="C1311" s="82" t="s">
        <v>11034</v>
      </c>
      <c r="D1311" s="82" t="s">
        <v>11035</v>
      </c>
      <c r="E1311" s="82">
        <v>6288297718776</v>
      </c>
      <c r="F1311" s="86">
        <v>45841</v>
      </c>
      <c r="G1311" s="87">
        <v>308</v>
      </c>
      <c r="H1311" s="88">
        <v>39027.322404371582</v>
      </c>
      <c r="I1311" s="89">
        <v>7</v>
      </c>
      <c r="J1311" s="90">
        <v>14284</v>
      </c>
      <c r="K1311" s="85">
        <v>2</v>
      </c>
      <c r="L1311" s="85">
        <v>0</v>
      </c>
      <c r="M1311" s="85">
        <v>0</v>
      </c>
      <c r="N1311" s="82" t="s">
        <v>11036</v>
      </c>
      <c r="O1311" s="83"/>
    </row>
    <row r="1312" spans="1:15" ht="22.5" customHeight="1">
      <c r="A1312" s="85">
        <v>759724529202804</v>
      </c>
      <c r="B1312" s="82" t="s">
        <v>10621</v>
      </c>
      <c r="C1312" s="82" t="s">
        <v>11037</v>
      </c>
      <c r="D1312" s="82" t="s">
        <v>199</v>
      </c>
      <c r="E1312" s="82">
        <v>6285220903499</v>
      </c>
      <c r="F1312" s="86">
        <v>45841</v>
      </c>
      <c r="G1312" s="87">
        <v>518</v>
      </c>
      <c r="H1312" s="88">
        <v>24074.367088607596</v>
      </c>
      <c r="I1312" s="89">
        <v>12</v>
      </c>
      <c r="J1312" s="90">
        <v>15215</v>
      </c>
      <c r="K1312" s="85">
        <v>3</v>
      </c>
      <c r="L1312" s="85">
        <v>161</v>
      </c>
      <c r="M1312" s="85">
        <v>0</v>
      </c>
      <c r="N1312" s="82" t="s">
        <v>11038</v>
      </c>
      <c r="O1312" s="83"/>
    </row>
    <row r="1313" spans="1:15" ht="22.5" customHeight="1">
      <c r="A1313" s="85">
        <v>759724529202804</v>
      </c>
      <c r="B1313" s="82" t="s">
        <v>10621</v>
      </c>
      <c r="C1313" s="82" t="s">
        <v>11016</v>
      </c>
      <c r="D1313" s="82" t="s">
        <v>1530</v>
      </c>
      <c r="E1313" s="82">
        <v>628111988553</v>
      </c>
      <c r="F1313" s="86">
        <v>45841</v>
      </c>
      <c r="G1313" s="87">
        <v>333</v>
      </c>
      <c r="H1313" s="88">
        <v>41576.623376623371</v>
      </c>
      <c r="I1313" s="89">
        <v>11</v>
      </c>
      <c r="J1313" s="90">
        <v>16007</v>
      </c>
      <c r="K1313" s="85">
        <v>0</v>
      </c>
      <c r="L1313" s="85">
        <v>1</v>
      </c>
      <c r="M1313" s="85">
        <v>0</v>
      </c>
      <c r="N1313" s="82" t="s">
        <v>11017</v>
      </c>
      <c r="O1313" s="83"/>
    </row>
    <row r="1314" spans="1:15" ht="22.5" customHeight="1">
      <c r="A1314" s="85">
        <v>759724529202804</v>
      </c>
      <c r="B1314" s="82" t="s">
        <v>10621</v>
      </c>
      <c r="C1314" s="82" t="s">
        <v>10986</v>
      </c>
      <c r="D1314" s="82" t="s">
        <v>10987</v>
      </c>
      <c r="E1314" s="82">
        <v>6281282183261</v>
      </c>
      <c r="F1314" s="86">
        <v>45841</v>
      </c>
      <c r="G1314" s="87">
        <v>397</v>
      </c>
      <c r="H1314" s="88">
        <v>34417.410714285717</v>
      </c>
      <c r="I1314" s="89">
        <v>11</v>
      </c>
      <c r="J1314" s="90">
        <v>15419</v>
      </c>
      <c r="K1314" s="85">
        <v>3</v>
      </c>
      <c r="L1314" s="85">
        <v>94</v>
      </c>
      <c r="M1314" s="85">
        <v>0</v>
      </c>
      <c r="N1314" s="82" t="s">
        <v>10988</v>
      </c>
      <c r="O1314" s="83"/>
    </row>
    <row r="1315" spans="1:15" ht="22.5" customHeight="1">
      <c r="A1315" s="85">
        <v>759724529202804</v>
      </c>
      <c r="B1315" s="82" t="s">
        <v>10621</v>
      </c>
      <c r="C1315" s="82" t="s">
        <v>10989</v>
      </c>
      <c r="D1315" s="82" t="s">
        <v>1377</v>
      </c>
      <c r="E1315" s="82">
        <v>6285169568997</v>
      </c>
      <c r="F1315" s="86">
        <v>45841</v>
      </c>
      <c r="G1315" s="87">
        <v>475</v>
      </c>
      <c r="H1315" s="88">
        <v>30312.727272727272</v>
      </c>
      <c r="I1315" s="89">
        <v>13</v>
      </c>
      <c r="J1315" s="90">
        <v>16672</v>
      </c>
      <c r="K1315" s="85">
        <v>1</v>
      </c>
      <c r="L1315" s="85">
        <v>193</v>
      </c>
      <c r="M1315" s="85">
        <v>0</v>
      </c>
      <c r="N1315" s="82" t="s">
        <v>10990</v>
      </c>
      <c r="O1315" s="83"/>
    </row>
    <row r="1316" spans="1:15" ht="22.5" customHeight="1">
      <c r="A1316" s="85">
        <v>759724529202804</v>
      </c>
      <c r="B1316" s="82" t="s">
        <v>10621</v>
      </c>
      <c r="C1316" s="82" t="s">
        <v>10991</v>
      </c>
      <c r="D1316" s="82" t="s">
        <v>10992</v>
      </c>
      <c r="E1316" s="82">
        <v>6285974999484</v>
      </c>
      <c r="F1316" s="86">
        <v>45841</v>
      </c>
      <c r="G1316" s="87">
        <v>527</v>
      </c>
      <c r="H1316" s="88">
        <v>26029.503105590062</v>
      </c>
      <c r="I1316" s="89">
        <v>25</v>
      </c>
      <c r="J1316" s="90">
        <v>16763</v>
      </c>
      <c r="K1316" s="85">
        <v>3</v>
      </c>
      <c r="L1316" s="85">
        <v>0</v>
      </c>
      <c r="M1316" s="85">
        <v>0</v>
      </c>
      <c r="N1316" s="82" t="s">
        <v>10993</v>
      </c>
      <c r="O1316" s="83"/>
    </row>
    <row r="1317" spans="1:15" ht="22.5" customHeight="1">
      <c r="A1317" s="85">
        <v>759724529202804</v>
      </c>
      <c r="B1317" s="82" t="s">
        <v>10621</v>
      </c>
      <c r="C1317" s="82" t="s">
        <v>10994</v>
      </c>
      <c r="D1317" s="82" t="s">
        <v>10995</v>
      </c>
      <c r="E1317" s="82">
        <v>6287777241263</v>
      </c>
      <c r="F1317" s="86">
        <v>45841</v>
      </c>
      <c r="G1317" s="87">
        <v>1205</v>
      </c>
      <c r="H1317" s="88">
        <v>12191.489361702128</v>
      </c>
      <c r="I1317" s="89">
        <v>15</v>
      </c>
      <c r="J1317" s="90">
        <v>16617</v>
      </c>
      <c r="K1317" s="85">
        <v>2</v>
      </c>
      <c r="L1317" s="85">
        <v>32</v>
      </c>
      <c r="M1317" s="85">
        <v>0</v>
      </c>
      <c r="N1317" s="82" t="s">
        <v>10996</v>
      </c>
      <c r="O1317" s="83"/>
    </row>
    <row r="1318" spans="1:15" ht="22.5" customHeight="1">
      <c r="A1318" s="85">
        <v>759724529202804</v>
      </c>
      <c r="B1318" s="82" t="s">
        <v>10621</v>
      </c>
      <c r="C1318" s="82" t="s">
        <v>1334</v>
      </c>
      <c r="D1318" s="82" t="s">
        <v>11005</v>
      </c>
      <c r="E1318" s="82">
        <v>6281366622333</v>
      </c>
      <c r="F1318" s="86">
        <v>45841</v>
      </c>
      <c r="G1318" s="87">
        <v>1074</v>
      </c>
      <c r="H1318" s="88">
        <v>12132.244897959185</v>
      </c>
      <c r="I1318" s="89">
        <v>27</v>
      </c>
      <c r="J1318" s="90">
        <v>14862</v>
      </c>
      <c r="K1318" s="85">
        <v>2</v>
      </c>
      <c r="L1318" s="85">
        <v>0</v>
      </c>
      <c r="M1318" s="85">
        <v>0</v>
      </c>
      <c r="N1318" s="82" t="s">
        <v>11006</v>
      </c>
      <c r="O1318" s="83"/>
    </row>
    <row r="1319" spans="1:15" ht="22.5" customHeight="1">
      <c r="A1319" s="85">
        <v>759724529202804</v>
      </c>
      <c r="B1319" s="82" t="s">
        <v>10621</v>
      </c>
      <c r="C1319" s="82" t="s">
        <v>10969</v>
      </c>
      <c r="D1319" s="82" t="s">
        <v>1277</v>
      </c>
      <c r="E1319" s="82">
        <v>6281269441611</v>
      </c>
      <c r="F1319" s="86">
        <v>45841</v>
      </c>
      <c r="G1319" s="87">
        <v>1360</v>
      </c>
      <c r="H1319" s="88">
        <v>10497.552019583844</v>
      </c>
      <c r="I1319" s="89">
        <v>30</v>
      </c>
      <c r="J1319" s="90">
        <v>17153</v>
      </c>
      <c r="K1319" s="85">
        <v>1</v>
      </c>
      <c r="L1319" s="85">
        <v>1</v>
      </c>
      <c r="M1319" s="85">
        <v>0</v>
      </c>
      <c r="N1319" s="82" t="s">
        <v>10970</v>
      </c>
      <c r="O1319" s="83"/>
    </row>
    <row r="1320" spans="1:15" ht="22.5" customHeight="1">
      <c r="A1320" s="85">
        <v>759724529202804</v>
      </c>
      <c r="B1320" s="82" t="s">
        <v>10621</v>
      </c>
      <c r="C1320" s="82" t="s">
        <v>10925</v>
      </c>
      <c r="D1320" s="82" t="s">
        <v>10926</v>
      </c>
      <c r="E1320" s="82">
        <v>6281233038880</v>
      </c>
      <c r="F1320" s="86">
        <v>45841</v>
      </c>
      <c r="G1320" s="87">
        <v>280</v>
      </c>
      <c r="H1320" s="88">
        <v>47766.561514195586</v>
      </c>
      <c r="I1320" s="89">
        <v>7</v>
      </c>
      <c r="J1320" s="90">
        <v>15142</v>
      </c>
      <c r="K1320" s="85">
        <v>1</v>
      </c>
      <c r="L1320" s="85">
        <v>5</v>
      </c>
      <c r="M1320" s="85">
        <v>0</v>
      </c>
      <c r="N1320" s="82" t="s">
        <v>10927</v>
      </c>
      <c r="O1320" s="83"/>
    </row>
    <row r="1321" spans="1:15" ht="22.5" customHeight="1">
      <c r="A1321" s="85">
        <v>759724529202804</v>
      </c>
      <c r="B1321" s="82" t="s">
        <v>10621</v>
      </c>
      <c r="C1321" s="82" t="s">
        <v>332</v>
      </c>
      <c r="D1321" s="82" t="s">
        <v>10708</v>
      </c>
      <c r="E1321" s="82">
        <v>6282350524788</v>
      </c>
      <c r="F1321" s="86">
        <v>45841</v>
      </c>
      <c r="G1321" s="87">
        <v>1147</v>
      </c>
      <c r="H1321" s="88">
        <v>12077.881619937696</v>
      </c>
      <c r="I1321" s="89">
        <v>23</v>
      </c>
      <c r="J1321" s="90">
        <v>15508</v>
      </c>
      <c r="K1321" s="85">
        <v>1</v>
      </c>
      <c r="L1321" s="85">
        <v>1</v>
      </c>
      <c r="M1321" s="85">
        <v>1</v>
      </c>
      <c r="N1321" s="82" t="s">
        <v>10709</v>
      </c>
      <c r="O1321" s="83"/>
    </row>
    <row r="1322" spans="1:15" ht="22.5" customHeight="1">
      <c r="A1322" s="85">
        <v>759724529202804</v>
      </c>
      <c r="B1322" s="82" t="s">
        <v>10621</v>
      </c>
      <c r="C1322" s="82" t="s">
        <v>665</v>
      </c>
      <c r="D1322" s="82" t="s">
        <v>659</v>
      </c>
      <c r="E1322" s="82">
        <v>6285757057088</v>
      </c>
      <c r="F1322" s="86">
        <v>45841</v>
      </c>
      <c r="G1322" s="87">
        <v>531</v>
      </c>
      <c r="H1322" s="88">
        <v>16678.391959798995</v>
      </c>
      <c r="I1322" s="89">
        <v>13</v>
      </c>
      <c r="J1322" s="90">
        <v>9957</v>
      </c>
      <c r="K1322" s="85">
        <v>2</v>
      </c>
      <c r="L1322" s="85">
        <v>0</v>
      </c>
      <c r="M1322" s="85">
        <v>0</v>
      </c>
      <c r="N1322" s="82" t="s">
        <v>11019</v>
      </c>
      <c r="O1322" s="83"/>
    </row>
    <row r="1323" spans="1:15" ht="22.5" customHeight="1">
      <c r="A1323" s="85">
        <v>174904221976312</v>
      </c>
      <c r="B1323" s="82" t="s">
        <v>10651</v>
      </c>
      <c r="C1323" s="82" t="s">
        <v>11039</v>
      </c>
      <c r="D1323" s="82" t="s">
        <v>11040</v>
      </c>
      <c r="E1323" s="82">
        <v>6281934879222</v>
      </c>
      <c r="F1323" s="86">
        <v>45841</v>
      </c>
      <c r="G1323" s="87">
        <v>835</v>
      </c>
      <c r="H1323" s="88">
        <v>12073.597056117755</v>
      </c>
      <c r="I1323" s="89">
        <v>23</v>
      </c>
      <c r="J1323" s="90">
        <v>13124</v>
      </c>
      <c r="K1323" s="85">
        <v>1</v>
      </c>
      <c r="L1323" s="85">
        <v>267</v>
      </c>
      <c r="M1323" s="85">
        <v>0</v>
      </c>
      <c r="N1323" s="82" t="s">
        <v>11041</v>
      </c>
      <c r="O1323" s="83"/>
    </row>
    <row r="1324" spans="1:15" ht="22.5" customHeight="1">
      <c r="A1324" s="85">
        <v>174904221976312</v>
      </c>
      <c r="B1324" s="82" t="s">
        <v>10651</v>
      </c>
      <c r="C1324" s="82" t="s">
        <v>11042</v>
      </c>
      <c r="D1324" s="82" t="s">
        <v>1433</v>
      </c>
      <c r="E1324" s="82">
        <v>6285263289844</v>
      </c>
      <c r="F1324" s="86">
        <v>45841</v>
      </c>
      <c r="G1324" s="87">
        <v>567</v>
      </c>
      <c r="H1324" s="88">
        <v>12056.962025316456</v>
      </c>
      <c r="I1324" s="89">
        <v>30</v>
      </c>
      <c r="J1324" s="90">
        <v>9525</v>
      </c>
      <c r="K1324" s="85">
        <v>3</v>
      </c>
      <c r="L1324" s="85">
        <v>99</v>
      </c>
      <c r="M1324" s="85">
        <v>2</v>
      </c>
      <c r="N1324" s="82" t="s">
        <v>11043</v>
      </c>
      <c r="O1324" s="83"/>
    </row>
    <row r="1325" spans="1:15" ht="22.5" customHeight="1">
      <c r="A1325" s="85">
        <v>174904221976312</v>
      </c>
      <c r="B1325" s="82" t="s">
        <v>10651</v>
      </c>
      <c r="C1325" s="82" t="s">
        <v>11044</v>
      </c>
      <c r="D1325" s="82" t="s">
        <v>11045</v>
      </c>
      <c r="E1325" s="82">
        <v>6282114053996</v>
      </c>
      <c r="F1325" s="86">
        <v>45841</v>
      </c>
      <c r="G1325" s="87">
        <v>740</v>
      </c>
      <c r="H1325" s="88">
        <v>12097.701149425287</v>
      </c>
      <c r="I1325" s="89">
        <v>22</v>
      </c>
      <c r="J1325" s="90">
        <v>12630</v>
      </c>
      <c r="K1325" s="85">
        <v>3</v>
      </c>
      <c r="L1325" s="85">
        <v>56</v>
      </c>
      <c r="M1325" s="85">
        <v>0</v>
      </c>
      <c r="N1325" s="82" t="s">
        <v>11046</v>
      </c>
      <c r="O1325" s="83"/>
    </row>
    <row r="1326" spans="1:15" ht="22.5" customHeight="1">
      <c r="A1326" s="85">
        <v>174904221976312</v>
      </c>
      <c r="B1326" s="82" t="s">
        <v>10651</v>
      </c>
      <c r="C1326" s="82" t="s">
        <v>11047</v>
      </c>
      <c r="D1326" s="82" t="s">
        <v>11048</v>
      </c>
      <c r="E1326" s="82">
        <v>6282131666003</v>
      </c>
      <c r="F1326" s="86">
        <v>45841</v>
      </c>
      <c r="G1326" s="87">
        <v>533</v>
      </c>
      <c r="H1326" s="88">
        <v>21018.547140649152</v>
      </c>
      <c r="I1326" s="89">
        <v>48</v>
      </c>
      <c r="J1326" s="90">
        <v>13599</v>
      </c>
      <c r="K1326" s="85">
        <v>7</v>
      </c>
      <c r="L1326" s="85">
        <v>227</v>
      </c>
      <c r="M1326" s="85">
        <v>2</v>
      </c>
      <c r="N1326" s="82" t="s">
        <v>11049</v>
      </c>
      <c r="O1326" s="83"/>
    </row>
    <row r="1327" spans="1:15" ht="22.5" customHeight="1">
      <c r="A1327" s="85">
        <v>174904221976312</v>
      </c>
      <c r="B1327" s="82" t="s">
        <v>10651</v>
      </c>
      <c r="C1327" s="82" t="s">
        <v>11020</v>
      </c>
      <c r="D1327" s="82" t="s">
        <v>1442</v>
      </c>
      <c r="E1327" s="82">
        <v>6282247030008</v>
      </c>
      <c r="F1327" s="86">
        <v>45841</v>
      </c>
      <c r="G1327" s="87">
        <v>430</v>
      </c>
      <c r="H1327" s="88">
        <v>26526.639344262298</v>
      </c>
      <c r="I1327" s="89">
        <v>22</v>
      </c>
      <c r="J1327" s="90">
        <v>12945</v>
      </c>
      <c r="K1327" s="85">
        <v>5</v>
      </c>
      <c r="L1327" s="85">
        <v>64</v>
      </c>
      <c r="M1327" s="85">
        <v>0</v>
      </c>
      <c r="N1327" s="82" t="s">
        <v>11021</v>
      </c>
      <c r="O1327" s="83"/>
    </row>
    <row r="1328" spans="1:15" ht="22.5" customHeight="1">
      <c r="A1328" s="85">
        <v>174904221976312</v>
      </c>
      <c r="B1328" s="82" t="s">
        <v>10651</v>
      </c>
      <c r="C1328" s="82" t="s">
        <v>11022</v>
      </c>
      <c r="D1328" s="82" t="s">
        <v>1502</v>
      </c>
      <c r="E1328" s="82">
        <v>6282188390340</v>
      </c>
      <c r="F1328" s="86">
        <v>45841</v>
      </c>
      <c r="G1328" s="87">
        <v>1746</v>
      </c>
      <c r="H1328" s="88">
        <v>6797.7193852255832</v>
      </c>
      <c r="I1328" s="89">
        <v>77</v>
      </c>
      <c r="J1328" s="90">
        <v>13711</v>
      </c>
      <c r="K1328" s="85">
        <v>3</v>
      </c>
      <c r="L1328" s="85">
        <v>794</v>
      </c>
      <c r="M1328" s="85">
        <v>2</v>
      </c>
      <c r="N1328" s="82" t="s">
        <v>11023</v>
      </c>
      <c r="O1328" s="83"/>
    </row>
    <row r="1329" spans="1:15" ht="22.5" customHeight="1">
      <c r="A1329" s="85">
        <v>174904221976312</v>
      </c>
      <c r="B1329" s="82" t="s">
        <v>10651</v>
      </c>
      <c r="C1329" s="82" t="s">
        <v>11050</v>
      </c>
      <c r="D1329" s="82" t="s">
        <v>11051</v>
      </c>
      <c r="E1329" s="82">
        <v>6285869122507</v>
      </c>
      <c r="F1329" s="86">
        <v>45841</v>
      </c>
      <c r="G1329" s="87">
        <v>407</v>
      </c>
      <c r="H1329" s="88">
        <v>19096.153846153848</v>
      </c>
      <c r="I1329" s="89">
        <v>29</v>
      </c>
      <c r="J1329" s="90">
        <v>8937</v>
      </c>
      <c r="K1329" s="85">
        <v>4</v>
      </c>
      <c r="L1329" s="85">
        <v>173</v>
      </c>
      <c r="M1329" s="85">
        <v>0</v>
      </c>
      <c r="N1329" s="82" t="s">
        <v>11052</v>
      </c>
      <c r="O1329" s="83"/>
    </row>
    <row r="1330" spans="1:15" ht="22.5" customHeight="1">
      <c r="A1330" s="85">
        <v>174904221976312</v>
      </c>
      <c r="B1330" s="82" t="s">
        <v>10651</v>
      </c>
      <c r="C1330" s="82" t="s">
        <v>11024</v>
      </c>
      <c r="D1330" s="82" t="s">
        <v>1370</v>
      </c>
      <c r="E1330" s="82">
        <v>6281343148204</v>
      </c>
      <c r="F1330" s="86">
        <v>45841</v>
      </c>
      <c r="G1330" s="87">
        <v>1280</v>
      </c>
      <c r="H1330" s="88">
        <v>7830.1003344481605</v>
      </c>
      <c r="I1330" s="89">
        <v>16</v>
      </c>
      <c r="J1330" s="90">
        <v>11706</v>
      </c>
      <c r="K1330" s="85">
        <v>1</v>
      </c>
      <c r="L1330" s="85">
        <v>35</v>
      </c>
      <c r="M1330" s="85">
        <v>0</v>
      </c>
      <c r="N1330" s="82" t="s">
        <v>11025</v>
      </c>
      <c r="O1330" s="83"/>
    </row>
    <row r="1331" spans="1:15" ht="22.5" customHeight="1">
      <c r="A1331" s="85">
        <v>174904221976312</v>
      </c>
      <c r="B1331" s="82" t="s">
        <v>10651</v>
      </c>
      <c r="C1331" s="82" t="s">
        <v>11007</v>
      </c>
      <c r="D1331" s="82" t="s">
        <v>11008</v>
      </c>
      <c r="E1331" s="82">
        <v>6281291128945</v>
      </c>
      <c r="F1331" s="86">
        <v>45841</v>
      </c>
      <c r="G1331" s="87">
        <v>5753</v>
      </c>
      <c r="H1331" s="88">
        <v>4328.5242482183212</v>
      </c>
      <c r="I1331" s="89">
        <v>50</v>
      </c>
      <c r="J1331" s="90">
        <v>24902</v>
      </c>
      <c r="K1331" s="85">
        <v>0</v>
      </c>
      <c r="L1331" s="85">
        <v>2742</v>
      </c>
      <c r="M1331" s="85">
        <v>0</v>
      </c>
      <c r="N1331" s="82" t="s">
        <v>11009</v>
      </c>
      <c r="O1331" s="83"/>
    </row>
    <row r="1332" spans="1:15" ht="22.5" customHeight="1">
      <c r="A1332" s="85">
        <v>174904221976312</v>
      </c>
      <c r="B1332" s="82" t="s">
        <v>10651</v>
      </c>
      <c r="C1332" s="82" t="s">
        <v>10999</v>
      </c>
      <c r="D1332" s="82" t="s">
        <v>11000</v>
      </c>
      <c r="E1332" s="82">
        <v>6285340323663</v>
      </c>
      <c r="F1332" s="86">
        <v>45841</v>
      </c>
      <c r="G1332" s="87">
        <v>773</v>
      </c>
      <c r="H1332" s="88">
        <v>16085.9375</v>
      </c>
      <c r="I1332" s="89">
        <v>23</v>
      </c>
      <c r="J1332" s="90">
        <v>14413</v>
      </c>
      <c r="K1332" s="85">
        <v>5</v>
      </c>
      <c r="L1332" s="85">
        <v>310</v>
      </c>
      <c r="M1332" s="85">
        <v>0</v>
      </c>
      <c r="N1332" s="82" t="s">
        <v>11001</v>
      </c>
      <c r="O1332" s="83"/>
    </row>
    <row r="1333" spans="1:15" ht="22.5" customHeight="1">
      <c r="A1333" s="85">
        <v>174904221976312</v>
      </c>
      <c r="B1333" s="82" t="s">
        <v>10651</v>
      </c>
      <c r="C1333" s="82" t="s">
        <v>11002</v>
      </c>
      <c r="D1333" s="82" t="s">
        <v>11003</v>
      </c>
      <c r="E1333" s="82">
        <v>6288228976100</v>
      </c>
      <c r="F1333" s="86">
        <v>45841</v>
      </c>
      <c r="G1333" s="87">
        <v>343</v>
      </c>
      <c r="H1333" s="88">
        <v>34766.009852216746</v>
      </c>
      <c r="I1333" s="89">
        <v>8</v>
      </c>
      <c r="J1333" s="90">
        <v>14115</v>
      </c>
      <c r="K1333" s="85">
        <v>0</v>
      </c>
      <c r="L1333" s="85">
        <v>0</v>
      </c>
      <c r="M1333" s="85">
        <v>0</v>
      </c>
      <c r="N1333" s="82" t="s">
        <v>11004</v>
      </c>
      <c r="O1333" s="83"/>
    </row>
    <row r="1334" spans="1:15" ht="22.5" customHeight="1">
      <c r="A1334" s="85">
        <v>174904221976312</v>
      </c>
      <c r="B1334" s="82" t="s">
        <v>10651</v>
      </c>
      <c r="C1334" s="82" t="s">
        <v>10971</v>
      </c>
      <c r="D1334" s="82" t="s">
        <v>1292</v>
      </c>
      <c r="E1334" s="82">
        <v>6281213589905</v>
      </c>
      <c r="F1334" s="86">
        <v>45841</v>
      </c>
      <c r="G1334" s="87">
        <v>198</v>
      </c>
      <c r="H1334" s="88">
        <v>47942.731277533043</v>
      </c>
      <c r="I1334" s="89">
        <v>7</v>
      </c>
      <c r="J1334" s="90">
        <v>10883</v>
      </c>
      <c r="K1334" s="85">
        <v>1</v>
      </c>
      <c r="L1334" s="85">
        <v>6</v>
      </c>
      <c r="M1334" s="85">
        <v>0</v>
      </c>
      <c r="N1334" s="82" t="s">
        <v>10972</v>
      </c>
      <c r="O1334" s="83"/>
    </row>
    <row r="1335" spans="1:15" ht="22.5" customHeight="1">
      <c r="A1335" s="85">
        <v>174904221976312</v>
      </c>
      <c r="B1335" s="82" t="s">
        <v>10651</v>
      </c>
      <c r="C1335" s="82" t="s">
        <v>10943</v>
      </c>
      <c r="D1335" s="82" t="s">
        <v>10944</v>
      </c>
      <c r="E1335" s="82">
        <v>6285240694097</v>
      </c>
      <c r="F1335" s="86">
        <v>45841</v>
      </c>
      <c r="G1335" s="87">
        <v>1119</v>
      </c>
      <c r="H1335" s="88">
        <v>10604.996096799376</v>
      </c>
      <c r="I1335" s="89">
        <v>38</v>
      </c>
      <c r="J1335" s="90">
        <v>13585</v>
      </c>
      <c r="K1335" s="85">
        <v>2</v>
      </c>
      <c r="L1335" s="85">
        <v>96</v>
      </c>
      <c r="M1335" s="85">
        <v>1</v>
      </c>
      <c r="N1335" s="82" t="s">
        <v>10945</v>
      </c>
      <c r="O1335" s="83"/>
    </row>
    <row r="1336" spans="1:15" ht="22.5" customHeight="1">
      <c r="A1336" s="85">
        <v>174904221976312</v>
      </c>
      <c r="B1336" s="82" t="s">
        <v>10651</v>
      </c>
      <c r="C1336" s="82" t="s">
        <v>10892</v>
      </c>
      <c r="D1336" s="82" t="s">
        <v>10893</v>
      </c>
      <c r="E1336" s="82">
        <v>6282399721881</v>
      </c>
      <c r="F1336" s="86">
        <v>45841</v>
      </c>
      <c r="G1336" s="87">
        <v>1480</v>
      </c>
      <c r="H1336" s="88">
        <v>8545.4545454545441</v>
      </c>
      <c r="I1336" s="89">
        <v>24</v>
      </c>
      <c r="J1336" s="90">
        <v>14100</v>
      </c>
      <c r="K1336" s="85">
        <v>2</v>
      </c>
      <c r="L1336" s="85">
        <v>0</v>
      </c>
      <c r="M1336" s="85">
        <v>0</v>
      </c>
      <c r="N1336" s="82" t="s">
        <v>10894</v>
      </c>
      <c r="O1336" s="83"/>
    </row>
    <row r="1337" spans="1:15" ht="22.5" customHeight="1">
      <c r="A1337" s="85">
        <v>174904221976312</v>
      </c>
      <c r="B1337" s="82" t="s">
        <v>10651</v>
      </c>
      <c r="C1337" s="82" t="s">
        <v>10853</v>
      </c>
      <c r="D1337" s="82" t="s">
        <v>10854</v>
      </c>
      <c r="E1337" s="82">
        <v>6281393958199</v>
      </c>
      <c r="F1337" s="86">
        <v>45841</v>
      </c>
      <c r="G1337" s="87">
        <v>804</v>
      </c>
      <c r="H1337" s="88">
        <v>17100</v>
      </c>
      <c r="I1337" s="89">
        <v>28</v>
      </c>
      <c r="J1337" s="90">
        <v>16416</v>
      </c>
      <c r="K1337" s="85">
        <v>5</v>
      </c>
      <c r="L1337" s="85">
        <v>304</v>
      </c>
      <c r="M1337" s="85">
        <v>0</v>
      </c>
      <c r="N1337" s="82" t="s">
        <v>10855</v>
      </c>
      <c r="O1337" s="83"/>
    </row>
    <row r="1338" spans="1:15" ht="22.5" customHeight="1">
      <c r="A1338" s="85">
        <v>174904221976312</v>
      </c>
      <c r="B1338" s="82" t="s">
        <v>10651</v>
      </c>
      <c r="C1338" s="82" t="s">
        <v>818</v>
      </c>
      <c r="D1338" s="82" t="s">
        <v>812</v>
      </c>
      <c r="E1338" s="82">
        <v>6287858585808</v>
      </c>
      <c r="F1338" s="86">
        <v>45841</v>
      </c>
      <c r="G1338" s="87">
        <v>1026</v>
      </c>
      <c r="H1338" s="88">
        <v>11533.932951757972</v>
      </c>
      <c r="I1338" s="89">
        <v>38</v>
      </c>
      <c r="J1338" s="90">
        <v>14106</v>
      </c>
      <c r="K1338" s="85">
        <v>2</v>
      </c>
      <c r="L1338" s="85">
        <v>329</v>
      </c>
      <c r="M1338" s="85">
        <v>0</v>
      </c>
      <c r="N1338" s="82" t="s">
        <v>10831</v>
      </c>
      <c r="O1338" s="83"/>
    </row>
    <row r="1339" spans="1:15" ht="22.5" customHeight="1">
      <c r="A1339" s="85">
        <v>174904221976312</v>
      </c>
      <c r="B1339" s="82" t="s">
        <v>10651</v>
      </c>
      <c r="C1339" s="82" t="s">
        <v>10652</v>
      </c>
      <c r="D1339" s="82" t="s">
        <v>10653</v>
      </c>
      <c r="E1339" s="82">
        <v>6281348555887</v>
      </c>
      <c r="F1339" s="86">
        <v>45841</v>
      </c>
      <c r="G1339" s="87">
        <v>693</v>
      </c>
      <c r="H1339" s="88">
        <v>15303.108808290155</v>
      </c>
      <c r="I1339" s="89">
        <v>19</v>
      </c>
      <c r="J1339" s="90">
        <v>11814</v>
      </c>
      <c r="K1339" s="85">
        <v>1</v>
      </c>
      <c r="L1339" s="85">
        <v>193</v>
      </c>
      <c r="M1339" s="85">
        <v>0</v>
      </c>
      <c r="N1339" s="82" t="s">
        <v>10654</v>
      </c>
      <c r="O1339" s="83"/>
    </row>
    <row r="1340" spans="1:15" ht="22.5" customHeight="1">
      <c r="A1340" s="85">
        <v>174904221976312</v>
      </c>
      <c r="B1340" s="82" t="s">
        <v>10651</v>
      </c>
      <c r="C1340" s="82" t="s">
        <v>10659</v>
      </c>
      <c r="D1340" s="82" t="s">
        <v>1044</v>
      </c>
      <c r="E1340" s="82">
        <v>6281263113266</v>
      </c>
      <c r="F1340" s="86">
        <v>45841</v>
      </c>
      <c r="G1340" s="87">
        <v>1721</v>
      </c>
      <c r="H1340" s="88">
        <v>6712.8129602356412</v>
      </c>
      <c r="I1340" s="89">
        <v>38</v>
      </c>
      <c r="J1340" s="90">
        <v>13674</v>
      </c>
      <c r="K1340" s="85">
        <v>2</v>
      </c>
      <c r="L1340" s="85">
        <v>18</v>
      </c>
      <c r="M1340" s="85">
        <v>0</v>
      </c>
      <c r="N1340" s="82" t="s">
        <v>10660</v>
      </c>
      <c r="O1340" s="83"/>
    </row>
    <row r="1341" spans="1:15" ht="22.5" customHeight="1">
      <c r="A1341" s="85">
        <v>174904221976312</v>
      </c>
      <c r="B1341" s="82" t="s">
        <v>10651</v>
      </c>
      <c r="C1341" s="82" t="s">
        <v>10679</v>
      </c>
      <c r="D1341" s="82" t="s">
        <v>10680</v>
      </c>
      <c r="E1341" s="82">
        <v>6282347206488</v>
      </c>
      <c r="F1341" s="86">
        <v>45841</v>
      </c>
      <c r="G1341" s="87">
        <v>2304</v>
      </c>
      <c r="H1341" s="88">
        <v>5922.9217110573045</v>
      </c>
      <c r="I1341" s="89">
        <v>47</v>
      </c>
      <c r="J1341" s="90">
        <v>14677</v>
      </c>
      <c r="K1341" s="85">
        <v>7</v>
      </c>
      <c r="L1341" s="85">
        <v>915</v>
      </c>
      <c r="M1341" s="85">
        <v>2</v>
      </c>
      <c r="N1341" s="82" t="s">
        <v>10681</v>
      </c>
      <c r="O1341" s="83"/>
    </row>
    <row r="1342" spans="1:15" ht="22.5" customHeight="1">
      <c r="A1342" s="85">
        <v>174904221976312</v>
      </c>
      <c r="B1342" s="82" t="s">
        <v>10651</v>
      </c>
      <c r="C1342" s="82" t="s">
        <v>10833</v>
      </c>
      <c r="D1342" s="82" t="s">
        <v>10834</v>
      </c>
      <c r="E1342" s="82">
        <v>6282242925264</v>
      </c>
      <c r="F1342" s="86">
        <v>45841</v>
      </c>
      <c r="G1342" s="87">
        <v>2863</v>
      </c>
      <c r="H1342" s="88">
        <v>4644.3673082991481</v>
      </c>
      <c r="I1342" s="89">
        <v>91</v>
      </c>
      <c r="J1342" s="90">
        <v>14718</v>
      </c>
      <c r="K1342" s="85">
        <v>3</v>
      </c>
      <c r="L1342" s="85">
        <v>828</v>
      </c>
      <c r="M1342" s="85">
        <v>2</v>
      </c>
      <c r="N1342" s="82" t="s">
        <v>10835</v>
      </c>
      <c r="O1342" s="83"/>
    </row>
    <row r="1343" spans="1:15" ht="22.5" customHeight="1">
      <c r="A1343" s="85">
        <v>766589657993298</v>
      </c>
      <c r="B1343" s="82" t="s">
        <v>10688</v>
      </c>
      <c r="C1343" s="82" t="s">
        <v>11053</v>
      </c>
      <c r="D1343" s="82" t="s">
        <v>1579</v>
      </c>
      <c r="E1343" s="82">
        <v>6285647189964</v>
      </c>
      <c r="F1343" s="86">
        <v>45841</v>
      </c>
      <c r="G1343" s="87">
        <v>617</v>
      </c>
      <c r="H1343" s="88">
        <v>20984.263233190271</v>
      </c>
      <c r="I1343" s="89">
        <v>7</v>
      </c>
      <c r="J1343" s="90">
        <v>14668</v>
      </c>
      <c r="K1343" s="85">
        <v>1</v>
      </c>
      <c r="L1343" s="85">
        <v>0</v>
      </c>
      <c r="M1343" s="85">
        <v>0</v>
      </c>
      <c r="N1343" s="82" t="s">
        <v>11054</v>
      </c>
      <c r="O1343" s="83"/>
    </row>
    <row r="1344" spans="1:15" ht="22.5" customHeight="1">
      <c r="A1344" s="85">
        <v>766589657993298</v>
      </c>
      <c r="B1344" s="82" t="s">
        <v>10688</v>
      </c>
      <c r="C1344" s="82" t="s">
        <v>11026</v>
      </c>
      <c r="D1344" s="82" t="s">
        <v>1172</v>
      </c>
      <c r="E1344" s="82">
        <v>6285950836788</v>
      </c>
      <c r="F1344" s="86">
        <v>45841</v>
      </c>
      <c r="G1344" s="87">
        <v>461</v>
      </c>
      <c r="H1344" s="88">
        <v>30001.968503937009</v>
      </c>
      <c r="I1344" s="89">
        <v>12</v>
      </c>
      <c r="J1344" s="90">
        <v>15241</v>
      </c>
      <c r="K1344" s="85">
        <v>4</v>
      </c>
      <c r="L1344" s="85">
        <v>55</v>
      </c>
      <c r="M1344" s="85">
        <v>1</v>
      </c>
      <c r="N1344" s="82" t="s">
        <v>11027</v>
      </c>
      <c r="O1344" s="83"/>
    </row>
    <row r="1345" spans="1:15" ht="22.5" customHeight="1">
      <c r="A1345" s="85">
        <v>766589657993298</v>
      </c>
      <c r="B1345" s="82" t="s">
        <v>10688</v>
      </c>
      <c r="C1345" s="82" t="s">
        <v>11028</v>
      </c>
      <c r="D1345" s="82" t="s">
        <v>11029</v>
      </c>
      <c r="E1345" s="82">
        <v>6282338171577</v>
      </c>
      <c r="F1345" s="86">
        <v>45841</v>
      </c>
      <c r="G1345" s="87">
        <v>807</v>
      </c>
      <c r="H1345" s="88">
        <v>15242.156862745098</v>
      </c>
      <c r="I1345" s="89">
        <v>27</v>
      </c>
      <c r="J1345" s="90">
        <v>15547</v>
      </c>
      <c r="K1345" s="85">
        <v>2</v>
      </c>
      <c r="L1345" s="85">
        <v>359</v>
      </c>
      <c r="M1345" s="85">
        <v>0</v>
      </c>
      <c r="N1345" s="82" t="s">
        <v>11030</v>
      </c>
      <c r="O1345" s="83"/>
    </row>
    <row r="1346" spans="1:15" ht="22.5" customHeight="1">
      <c r="A1346" s="85">
        <v>766589657993298</v>
      </c>
      <c r="B1346" s="82" t="s">
        <v>10688</v>
      </c>
      <c r="C1346" s="82" t="s">
        <v>11010</v>
      </c>
      <c r="D1346" s="82" t="s">
        <v>11011</v>
      </c>
      <c r="E1346" s="82">
        <v>6285774217794</v>
      </c>
      <c r="F1346" s="86">
        <v>45841</v>
      </c>
      <c r="G1346" s="87">
        <v>474</v>
      </c>
      <c r="H1346" s="88">
        <v>25654.04475043029</v>
      </c>
      <c r="I1346" s="89">
        <v>16</v>
      </c>
      <c r="J1346" s="90">
        <v>14905</v>
      </c>
      <c r="K1346" s="85">
        <v>4</v>
      </c>
      <c r="L1346" s="85">
        <v>7</v>
      </c>
      <c r="M1346" s="85">
        <v>0</v>
      </c>
      <c r="N1346" s="82" t="s">
        <v>11012</v>
      </c>
      <c r="O1346" s="83"/>
    </row>
    <row r="1347" spans="1:15" ht="22.5" customHeight="1">
      <c r="A1347" s="85">
        <v>766589657993298</v>
      </c>
      <c r="B1347" s="82" t="s">
        <v>10688</v>
      </c>
      <c r="C1347" s="82" t="s">
        <v>11013</v>
      </c>
      <c r="D1347" s="82" t="s">
        <v>11014</v>
      </c>
      <c r="E1347" s="82">
        <v>6282134333004</v>
      </c>
      <c r="F1347" s="86">
        <v>45841</v>
      </c>
      <c r="G1347" s="87">
        <v>493</v>
      </c>
      <c r="H1347" s="88">
        <v>27342.237061769614</v>
      </c>
      <c r="I1347" s="89">
        <v>15</v>
      </c>
      <c r="J1347" s="90">
        <v>16378</v>
      </c>
      <c r="K1347" s="85">
        <v>3</v>
      </c>
      <c r="L1347" s="85">
        <v>110</v>
      </c>
      <c r="M1347" s="85">
        <v>0</v>
      </c>
      <c r="N1347" s="82" t="s">
        <v>11015</v>
      </c>
      <c r="O1347" s="83"/>
    </row>
    <row r="1348" spans="1:15" ht="22.5" customHeight="1">
      <c r="A1348" s="85">
        <v>766589657993298</v>
      </c>
      <c r="B1348" s="82" t="s">
        <v>10688</v>
      </c>
      <c r="C1348" s="82" t="s">
        <v>1348</v>
      </c>
      <c r="D1348" s="82" t="s">
        <v>10984</v>
      </c>
      <c r="E1348" s="82">
        <v>6287822304727</v>
      </c>
      <c r="F1348" s="86">
        <v>45841</v>
      </c>
      <c r="G1348" s="87">
        <v>1048</v>
      </c>
      <c r="H1348" s="88">
        <v>15205.574912891987</v>
      </c>
      <c r="I1348" s="89">
        <v>25</v>
      </c>
      <c r="J1348" s="90">
        <v>17456</v>
      </c>
      <c r="K1348" s="85">
        <v>6</v>
      </c>
      <c r="L1348" s="85">
        <v>490</v>
      </c>
      <c r="M1348" s="85">
        <v>1</v>
      </c>
      <c r="N1348" s="82" t="s">
        <v>10985</v>
      </c>
      <c r="O1348" s="83"/>
    </row>
    <row r="1349" spans="1:15" ht="22.5" customHeight="1">
      <c r="A1349" s="85">
        <v>766589657993298</v>
      </c>
      <c r="B1349" s="82" t="s">
        <v>10688</v>
      </c>
      <c r="C1349" s="82" t="s">
        <v>10976</v>
      </c>
      <c r="D1349" s="82" t="s">
        <v>10977</v>
      </c>
      <c r="E1349" s="82">
        <v>6281138301069</v>
      </c>
      <c r="F1349" s="86">
        <v>45841</v>
      </c>
      <c r="G1349" s="87">
        <v>13314</v>
      </c>
      <c r="H1349" s="88">
        <v>1137.5046006624955</v>
      </c>
      <c r="I1349" s="89">
        <v>10</v>
      </c>
      <c r="J1349" s="90">
        <v>15453</v>
      </c>
      <c r="K1349" s="85">
        <v>0</v>
      </c>
      <c r="L1349" s="85">
        <v>974</v>
      </c>
      <c r="M1349" s="85">
        <v>0</v>
      </c>
      <c r="N1349" s="82" t="s">
        <v>10978</v>
      </c>
      <c r="O1349" s="83"/>
    </row>
    <row r="1350" spans="1:15" ht="22.5" customHeight="1">
      <c r="A1350" s="85">
        <v>766589657993298</v>
      </c>
      <c r="B1350" s="82" t="s">
        <v>10688</v>
      </c>
      <c r="C1350" s="82" t="s">
        <v>10982</v>
      </c>
      <c r="D1350" s="82" t="s">
        <v>1052</v>
      </c>
      <c r="E1350" s="82">
        <v>6282385989828</v>
      </c>
      <c r="F1350" s="86">
        <v>45841</v>
      </c>
      <c r="G1350" s="87">
        <v>980</v>
      </c>
      <c r="H1350" s="88">
        <v>12939.542483660131</v>
      </c>
      <c r="I1350" s="89">
        <v>31</v>
      </c>
      <c r="J1350" s="90">
        <v>15838</v>
      </c>
      <c r="K1350" s="85">
        <v>3</v>
      </c>
      <c r="L1350" s="85">
        <v>219</v>
      </c>
      <c r="M1350" s="85">
        <v>1</v>
      </c>
      <c r="N1350" s="82" t="s">
        <v>10983</v>
      </c>
      <c r="O1350" s="83"/>
    </row>
    <row r="1351" spans="1:15" ht="22.5" customHeight="1">
      <c r="A1351" s="85">
        <v>766589657993298</v>
      </c>
      <c r="B1351" s="82" t="s">
        <v>10688</v>
      </c>
      <c r="C1351" s="82" t="s">
        <v>10879</v>
      </c>
      <c r="D1351" s="82" t="s">
        <v>10880</v>
      </c>
      <c r="E1351" s="82">
        <v>6281215851833</v>
      </c>
      <c r="F1351" s="86">
        <v>45841</v>
      </c>
      <c r="G1351" s="87">
        <v>568</v>
      </c>
      <c r="H1351" s="88">
        <v>26462.709284627093</v>
      </c>
      <c r="I1351" s="89">
        <v>21</v>
      </c>
      <c r="J1351" s="90">
        <v>17386</v>
      </c>
      <c r="K1351" s="85">
        <v>6</v>
      </c>
      <c r="L1351" s="85">
        <v>0</v>
      </c>
      <c r="M1351" s="85">
        <v>0</v>
      </c>
      <c r="N1351" s="82" t="s">
        <v>10881</v>
      </c>
      <c r="O1351" s="83"/>
    </row>
    <row r="1352" spans="1:15" ht="22.5" customHeight="1">
      <c r="A1352" s="85">
        <v>766589657993298</v>
      </c>
      <c r="B1352" s="82" t="s">
        <v>10688</v>
      </c>
      <c r="C1352" s="82" t="s">
        <v>10780</v>
      </c>
      <c r="D1352" s="82" t="s">
        <v>10781</v>
      </c>
      <c r="E1352" s="82">
        <v>6281338789995</v>
      </c>
      <c r="F1352" s="86">
        <v>45841</v>
      </c>
      <c r="G1352" s="87">
        <v>1193</v>
      </c>
      <c r="H1352" s="88">
        <v>12389.854065323141</v>
      </c>
      <c r="I1352" s="89">
        <v>25</v>
      </c>
      <c r="J1352" s="90">
        <v>17829</v>
      </c>
      <c r="K1352" s="85">
        <v>5</v>
      </c>
      <c r="L1352" s="85">
        <v>383</v>
      </c>
      <c r="M1352" s="85">
        <v>0</v>
      </c>
      <c r="N1352" s="82" t="s">
        <v>10782</v>
      </c>
      <c r="O1352" s="83"/>
    </row>
    <row r="1353" spans="1:15" ht="22.5" customHeight="1">
      <c r="A1353" s="85">
        <v>766589657993298</v>
      </c>
      <c r="B1353" s="82" t="s">
        <v>10688</v>
      </c>
      <c r="C1353" s="82" t="s">
        <v>10772</v>
      </c>
      <c r="D1353" s="82" t="s">
        <v>10773</v>
      </c>
      <c r="E1353" s="82">
        <v>6285261023204</v>
      </c>
      <c r="F1353" s="86">
        <v>45841</v>
      </c>
      <c r="G1353" s="87">
        <v>638</v>
      </c>
      <c r="H1353" s="88">
        <v>21448.366013071893</v>
      </c>
      <c r="I1353" s="89">
        <v>11</v>
      </c>
      <c r="J1353" s="90">
        <v>16408</v>
      </c>
      <c r="K1353" s="85">
        <v>1</v>
      </c>
      <c r="L1353" s="85">
        <v>94</v>
      </c>
      <c r="M1353" s="85">
        <v>0</v>
      </c>
      <c r="N1353" s="82" t="s">
        <v>10774</v>
      </c>
      <c r="O1353" s="83"/>
    </row>
    <row r="1354" spans="1:15" ht="22.5" customHeight="1">
      <c r="A1354" s="85">
        <v>766589657993298</v>
      </c>
      <c r="B1354" s="82" t="s">
        <v>10688</v>
      </c>
      <c r="C1354" s="82" t="s">
        <v>10762</v>
      </c>
      <c r="D1354" s="82" t="s">
        <v>10763</v>
      </c>
      <c r="E1354" s="82">
        <v>6285210107607</v>
      </c>
      <c r="F1354" s="86">
        <v>45841</v>
      </c>
      <c r="G1354" s="87">
        <v>1100</v>
      </c>
      <c r="H1354" s="88">
        <v>15924.050632911392</v>
      </c>
      <c r="I1354" s="89">
        <v>22</v>
      </c>
      <c r="J1354" s="90">
        <v>18870</v>
      </c>
      <c r="K1354" s="85">
        <v>0</v>
      </c>
      <c r="L1354" s="85">
        <v>357</v>
      </c>
      <c r="M1354" s="85">
        <v>0</v>
      </c>
      <c r="N1354" s="82" t="s">
        <v>10764</v>
      </c>
      <c r="O1354" s="83"/>
    </row>
    <row r="1355" spans="1:15" ht="22.5" customHeight="1">
      <c r="A1355" s="85">
        <v>766589657993298</v>
      </c>
      <c r="B1355" s="82" t="s">
        <v>10688</v>
      </c>
      <c r="C1355" s="82" t="s">
        <v>10795</v>
      </c>
      <c r="D1355" s="82" t="s">
        <v>551</v>
      </c>
      <c r="E1355" s="82">
        <v>6285747906282</v>
      </c>
      <c r="F1355" s="86">
        <v>45841</v>
      </c>
      <c r="G1355" s="87">
        <v>744</v>
      </c>
      <c r="H1355" s="88">
        <v>21393.023255813954</v>
      </c>
      <c r="I1355" s="89">
        <v>19</v>
      </c>
      <c r="J1355" s="90">
        <v>18398</v>
      </c>
      <c r="K1355" s="85">
        <v>2</v>
      </c>
      <c r="L1355" s="85">
        <v>5</v>
      </c>
      <c r="M1355" s="85">
        <v>0</v>
      </c>
      <c r="N1355" s="82" t="s">
        <v>10796</v>
      </c>
      <c r="O1355" s="83"/>
    </row>
    <row r="1356" spans="1:15" ht="22.5" customHeight="1">
      <c r="A1356" s="85">
        <v>766589657993298</v>
      </c>
      <c r="B1356" s="82" t="s">
        <v>10688</v>
      </c>
      <c r="C1356" s="82" t="s">
        <v>10767</v>
      </c>
      <c r="D1356" s="82" t="s">
        <v>10768</v>
      </c>
      <c r="E1356" s="82">
        <v>6281519225886</v>
      </c>
      <c r="F1356" s="86">
        <v>45841</v>
      </c>
      <c r="G1356" s="87">
        <v>657</v>
      </c>
      <c r="H1356" s="88">
        <v>20636.363636363636</v>
      </c>
      <c r="I1356" s="89">
        <v>17</v>
      </c>
      <c r="J1356" s="90">
        <v>16344</v>
      </c>
      <c r="K1356" s="85">
        <v>3</v>
      </c>
      <c r="L1356" s="85">
        <v>8</v>
      </c>
      <c r="M1356" s="85">
        <v>0</v>
      </c>
      <c r="N1356" s="82" t="s">
        <v>10769</v>
      </c>
      <c r="O1356" s="83"/>
    </row>
    <row r="1357" spans="1:15" ht="22.5" customHeight="1">
      <c r="A1357" s="85">
        <v>766589657993298</v>
      </c>
      <c r="B1357" s="82" t="s">
        <v>10688</v>
      </c>
      <c r="C1357" s="82" t="s">
        <v>10797</v>
      </c>
      <c r="D1357" s="82" t="s">
        <v>10798</v>
      </c>
      <c r="E1357" s="82">
        <v>6285853370682</v>
      </c>
      <c r="F1357" s="86">
        <v>45841</v>
      </c>
      <c r="G1357" s="87">
        <v>465</v>
      </c>
      <c r="H1357" s="88">
        <v>31167.883211678829</v>
      </c>
      <c r="I1357" s="89">
        <v>10</v>
      </c>
      <c r="J1357" s="90">
        <v>17080</v>
      </c>
      <c r="K1357" s="85">
        <v>0</v>
      </c>
      <c r="L1357" s="85">
        <v>216</v>
      </c>
      <c r="M1357" s="85">
        <v>1</v>
      </c>
      <c r="N1357" s="82" t="s">
        <v>10799</v>
      </c>
      <c r="O1357" s="83"/>
    </row>
    <row r="1358" spans="1:15" ht="22.5" customHeight="1">
      <c r="A1358" s="85">
        <v>766589657993298</v>
      </c>
      <c r="B1358" s="82" t="s">
        <v>10688</v>
      </c>
      <c r="C1358" s="82" t="s">
        <v>10741</v>
      </c>
      <c r="D1358" s="82" t="s">
        <v>559</v>
      </c>
      <c r="E1358" s="82">
        <v>6281952482523</v>
      </c>
      <c r="F1358" s="86">
        <v>45841</v>
      </c>
      <c r="G1358" s="87">
        <v>577</v>
      </c>
      <c r="H1358" s="88">
        <v>26592.039800995026</v>
      </c>
      <c r="I1358" s="89">
        <v>11</v>
      </c>
      <c r="J1358" s="90">
        <v>16035</v>
      </c>
      <c r="K1358" s="85">
        <v>0</v>
      </c>
      <c r="L1358" s="85">
        <v>325</v>
      </c>
      <c r="M1358" s="85">
        <v>0</v>
      </c>
      <c r="N1358" s="82" t="s">
        <v>10742</v>
      </c>
      <c r="O1358" s="83"/>
    </row>
    <row r="1359" spans="1:15" ht="22.5" customHeight="1">
      <c r="A1359" s="85">
        <v>766589657993298</v>
      </c>
      <c r="B1359" s="82" t="s">
        <v>10688</v>
      </c>
      <c r="C1359" s="82" t="s">
        <v>10802</v>
      </c>
      <c r="D1359" s="82" t="s">
        <v>567</v>
      </c>
      <c r="E1359" s="82">
        <v>6285220216325</v>
      </c>
      <c r="F1359" s="86">
        <v>45841</v>
      </c>
      <c r="G1359" s="87">
        <v>306</v>
      </c>
      <c r="H1359" s="88">
        <v>45949.852507374628</v>
      </c>
      <c r="I1359" s="89">
        <v>14</v>
      </c>
      <c r="J1359" s="90">
        <v>15577</v>
      </c>
      <c r="K1359" s="85">
        <v>2</v>
      </c>
      <c r="L1359" s="85">
        <v>15</v>
      </c>
      <c r="M1359" s="85">
        <v>0</v>
      </c>
      <c r="N1359" s="82" t="s">
        <v>10803</v>
      </c>
      <c r="O1359" s="83"/>
    </row>
    <row r="1360" spans="1:15" ht="22.5" customHeight="1">
      <c r="A1360" s="85">
        <v>766589657993298</v>
      </c>
      <c r="B1360" s="82" t="s">
        <v>10688</v>
      </c>
      <c r="C1360" s="82" t="s">
        <v>10752</v>
      </c>
      <c r="D1360" s="82" t="s">
        <v>10753</v>
      </c>
      <c r="E1360" s="82">
        <v>6281340892328</v>
      </c>
      <c r="F1360" s="86">
        <v>45841</v>
      </c>
      <c r="G1360" s="87">
        <v>2213</v>
      </c>
      <c r="H1360" s="88">
        <v>7001.9984012789764</v>
      </c>
      <c r="I1360" s="89">
        <v>48</v>
      </c>
      <c r="J1360" s="90">
        <v>17519</v>
      </c>
      <c r="K1360" s="85">
        <v>0</v>
      </c>
      <c r="L1360" s="85">
        <v>690</v>
      </c>
      <c r="M1360" s="85">
        <v>0</v>
      </c>
      <c r="N1360" s="82" t="s">
        <v>10754</v>
      </c>
      <c r="O1360" s="83"/>
    </row>
    <row r="1361" spans="1:15" ht="22.5" customHeight="1">
      <c r="A1361" s="85">
        <v>206726568613432</v>
      </c>
      <c r="B1361" s="82" t="s">
        <v>10900</v>
      </c>
      <c r="C1361" s="82" t="s">
        <v>11031</v>
      </c>
      <c r="D1361" s="82" t="s">
        <v>11032</v>
      </c>
      <c r="E1361" s="82">
        <v>6285668750416</v>
      </c>
      <c r="F1361" s="86">
        <v>45841</v>
      </c>
      <c r="G1361" s="87">
        <v>992</v>
      </c>
      <c r="H1361" s="88">
        <v>10712.879409351928</v>
      </c>
      <c r="I1361" s="89">
        <v>25</v>
      </c>
      <c r="J1361" s="90">
        <v>13059</v>
      </c>
      <c r="K1361" s="85">
        <v>4</v>
      </c>
      <c r="L1361" s="85">
        <v>490</v>
      </c>
      <c r="M1361" s="85">
        <v>1</v>
      </c>
      <c r="N1361" s="82" t="s">
        <v>11033</v>
      </c>
      <c r="O1361" s="83"/>
    </row>
    <row r="1362" spans="1:15" ht="22.5" customHeight="1">
      <c r="A1362" s="85">
        <v>759724529202804</v>
      </c>
      <c r="B1362" s="82" t="s">
        <v>10621</v>
      </c>
      <c r="C1362" s="82" t="s">
        <v>11055</v>
      </c>
      <c r="D1362" s="82" t="s">
        <v>1021</v>
      </c>
      <c r="E1362" s="82"/>
      <c r="F1362" s="86">
        <v>45842</v>
      </c>
      <c r="G1362" s="87">
        <v>468</v>
      </c>
      <c r="H1362" s="88">
        <v>35116.326530612248</v>
      </c>
      <c r="I1362" s="89">
        <v>14</v>
      </c>
      <c r="J1362" s="90">
        <v>17207</v>
      </c>
      <c r="K1362" s="85">
        <v>4</v>
      </c>
      <c r="L1362" s="85">
        <v>38</v>
      </c>
      <c r="M1362" s="85">
        <v>0</v>
      </c>
      <c r="N1362" s="82" t="s">
        <v>11056</v>
      </c>
      <c r="O1362" s="83"/>
    </row>
    <row r="1363" spans="1:15" ht="22.5" customHeight="1">
      <c r="A1363" s="85">
        <v>759724529202804</v>
      </c>
      <c r="B1363" s="82" t="s">
        <v>10621</v>
      </c>
      <c r="C1363" s="82" t="s">
        <v>11057</v>
      </c>
      <c r="D1363" s="82" t="s">
        <v>1021</v>
      </c>
      <c r="E1363" s="82"/>
      <c r="F1363" s="86">
        <v>45842</v>
      </c>
      <c r="G1363" s="87">
        <v>270</v>
      </c>
      <c r="H1363" s="88">
        <v>37996.62162162162</v>
      </c>
      <c r="I1363" s="89">
        <v>4</v>
      </c>
      <c r="J1363" s="90">
        <v>11247</v>
      </c>
      <c r="K1363" s="85">
        <v>0</v>
      </c>
      <c r="L1363" s="85">
        <v>0</v>
      </c>
      <c r="M1363" s="85">
        <v>0</v>
      </c>
      <c r="N1363" s="82" t="s">
        <v>11058</v>
      </c>
      <c r="O1363" s="83"/>
    </row>
    <row r="1364" spans="1:15" ht="22.5" customHeight="1">
      <c r="A1364" s="85">
        <v>759724529202804</v>
      </c>
      <c r="B1364" s="82" t="s">
        <v>10621</v>
      </c>
      <c r="C1364" s="82" t="s">
        <v>11059</v>
      </c>
      <c r="D1364" s="82" t="s">
        <v>1021</v>
      </c>
      <c r="E1364" s="82">
        <v>6282122880328</v>
      </c>
      <c r="F1364" s="86">
        <v>45842</v>
      </c>
      <c r="G1364" s="87">
        <v>326</v>
      </c>
      <c r="H1364" s="88">
        <v>26100.864553314121</v>
      </c>
      <c r="I1364" s="89">
        <v>16</v>
      </c>
      <c r="J1364" s="90">
        <v>9057</v>
      </c>
      <c r="K1364" s="85">
        <v>2</v>
      </c>
      <c r="L1364" s="85">
        <v>112</v>
      </c>
      <c r="M1364" s="85">
        <v>0</v>
      </c>
      <c r="N1364" s="82" t="s">
        <v>11060</v>
      </c>
      <c r="O1364" s="83"/>
    </row>
    <row r="1365" spans="1:15" ht="22.5" customHeight="1">
      <c r="A1365" s="85">
        <v>759724529202804</v>
      </c>
      <c r="B1365" s="82" t="s">
        <v>10621</v>
      </c>
      <c r="C1365" s="82" t="s">
        <v>11061</v>
      </c>
      <c r="D1365" s="82" t="s">
        <v>1640</v>
      </c>
      <c r="E1365" s="82">
        <v>6282164919126</v>
      </c>
      <c r="F1365" s="86">
        <v>45842</v>
      </c>
      <c r="G1365" s="87">
        <v>502</v>
      </c>
      <c r="H1365" s="88">
        <v>20677.93880837359</v>
      </c>
      <c r="I1365" s="89">
        <v>20</v>
      </c>
      <c r="J1365" s="90">
        <v>12841</v>
      </c>
      <c r="K1365" s="85">
        <v>3</v>
      </c>
      <c r="L1365" s="85">
        <v>98</v>
      </c>
      <c r="M1365" s="85">
        <v>0</v>
      </c>
      <c r="N1365" s="82" t="s">
        <v>11062</v>
      </c>
      <c r="O1365" s="83"/>
    </row>
    <row r="1366" spans="1:15" ht="22.5" customHeight="1">
      <c r="A1366" s="85">
        <v>759724529202804</v>
      </c>
      <c r="B1366" s="82" t="s">
        <v>10621</v>
      </c>
      <c r="C1366" s="82" t="s">
        <v>11063</v>
      </c>
      <c r="D1366" s="82" t="s">
        <v>11064</v>
      </c>
      <c r="E1366" s="82">
        <v>62882003293835</v>
      </c>
      <c r="F1366" s="86">
        <v>45842</v>
      </c>
      <c r="G1366" s="87">
        <v>167</v>
      </c>
      <c r="H1366" s="88">
        <v>80112.903225806454</v>
      </c>
      <c r="I1366" s="89">
        <v>4</v>
      </c>
      <c r="J1366" s="90">
        <v>14901</v>
      </c>
      <c r="K1366" s="85">
        <v>0</v>
      </c>
      <c r="L1366" s="85">
        <v>26</v>
      </c>
      <c r="M1366" s="85">
        <v>0</v>
      </c>
      <c r="N1366" s="82" t="s">
        <v>11065</v>
      </c>
      <c r="O1366" s="83"/>
    </row>
    <row r="1367" spans="1:15" ht="22.5" customHeight="1">
      <c r="A1367" s="85">
        <v>759724529202804</v>
      </c>
      <c r="B1367" s="82" t="s">
        <v>10621</v>
      </c>
      <c r="C1367" s="82" t="s">
        <v>11066</v>
      </c>
      <c r="D1367" s="82" t="s">
        <v>1602</v>
      </c>
      <c r="E1367" s="82">
        <v>6282228737559</v>
      </c>
      <c r="F1367" s="86">
        <v>45842</v>
      </c>
      <c r="G1367" s="87">
        <v>407</v>
      </c>
      <c r="H1367" s="88">
        <v>34600.917431192662</v>
      </c>
      <c r="I1367" s="89">
        <v>8</v>
      </c>
      <c r="J1367" s="90">
        <v>15086</v>
      </c>
      <c r="K1367" s="85">
        <v>1</v>
      </c>
      <c r="L1367" s="85">
        <v>99</v>
      </c>
      <c r="M1367" s="85">
        <v>0</v>
      </c>
      <c r="N1367" s="82" t="s">
        <v>11067</v>
      </c>
      <c r="O1367" s="83"/>
    </row>
    <row r="1368" spans="1:15" ht="22.5" customHeight="1">
      <c r="A1368" s="85">
        <v>759724529202804</v>
      </c>
      <c r="B1368" s="82" t="s">
        <v>10621</v>
      </c>
      <c r="C1368" s="82" t="s">
        <v>11068</v>
      </c>
      <c r="D1368" s="82" t="s">
        <v>7857</v>
      </c>
      <c r="E1368" s="82">
        <v>6282285691485</v>
      </c>
      <c r="F1368" s="86">
        <v>45842</v>
      </c>
      <c r="G1368" s="87">
        <v>413</v>
      </c>
      <c r="H1368" s="88">
        <v>23711.375212224109</v>
      </c>
      <c r="I1368" s="89">
        <v>17</v>
      </c>
      <c r="J1368" s="90">
        <v>13966</v>
      </c>
      <c r="K1368" s="85">
        <v>2</v>
      </c>
      <c r="L1368" s="85">
        <v>176</v>
      </c>
      <c r="M1368" s="85">
        <v>0</v>
      </c>
      <c r="N1368" s="82" t="s">
        <v>11069</v>
      </c>
      <c r="O1368" s="83"/>
    </row>
    <row r="1369" spans="1:15" ht="22.5" customHeight="1">
      <c r="A1369" s="85">
        <v>759724529202804</v>
      </c>
      <c r="B1369" s="82" t="s">
        <v>10621</v>
      </c>
      <c r="C1369" s="82" t="s">
        <v>11070</v>
      </c>
      <c r="D1369" s="82" t="s">
        <v>11071</v>
      </c>
      <c r="E1369" s="82">
        <v>6281246211381</v>
      </c>
      <c r="F1369" s="86">
        <v>45842</v>
      </c>
      <c r="G1369" s="87">
        <v>483</v>
      </c>
      <c r="H1369" s="88">
        <v>25734.177215189873</v>
      </c>
      <c r="I1369" s="89">
        <v>10</v>
      </c>
      <c r="J1369" s="90">
        <v>14231</v>
      </c>
      <c r="K1369" s="85">
        <v>2</v>
      </c>
      <c r="L1369" s="85">
        <v>128</v>
      </c>
      <c r="M1369" s="85">
        <v>0</v>
      </c>
      <c r="N1369" s="82" t="s">
        <v>11072</v>
      </c>
      <c r="O1369" s="83"/>
    </row>
    <row r="1370" spans="1:15" ht="22.5" customHeight="1">
      <c r="A1370" s="85">
        <v>759724529202804</v>
      </c>
      <c r="B1370" s="82" t="s">
        <v>10621</v>
      </c>
      <c r="C1370" s="82" t="s">
        <v>11034</v>
      </c>
      <c r="D1370" s="82" t="s">
        <v>11035</v>
      </c>
      <c r="E1370" s="82">
        <v>6288297718776</v>
      </c>
      <c r="F1370" s="86">
        <v>45842</v>
      </c>
      <c r="G1370" s="87">
        <v>380</v>
      </c>
      <c r="H1370" s="88">
        <v>34665.094339622643</v>
      </c>
      <c r="I1370" s="89">
        <v>6</v>
      </c>
      <c r="J1370" s="90">
        <v>14698</v>
      </c>
      <c r="K1370" s="85">
        <v>2</v>
      </c>
      <c r="L1370" s="85">
        <v>74</v>
      </c>
      <c r="M1370" s="85">
        <v>0</v>
      </c>
      <c r="N1370" s="82" t="s">
        <v>11036</v>
      </c>
      <c r="O1370" s="83"/>
    </row>
    <row r="1371" spans="1:15" ht="22.5" customHeight="1">
      <c r="A1371" s="85">
        <v>759724529202804</v>
      </c>
      <c r="B1371" s="82" t="s">
        <v>10621</v>
      </c>
      <c r="C1371" s="82" t="s">
        <v>11037</v>
      </c>
      <c r="D1371" s="82" t="s">
        <v>199</v>
      </c>
      <c r="E1371" s="82">
        <v>6285220903499</v>
      </c>
      <c r="F1371" s="86">
        <v>45842</v>
      </c>
      <c r="G1371" s="87">
        <v>653</v>
      </c>
      <c r="H1371" s="88">
        <v>18750.605326876514</v>
      </c>
      <c r="I1371" s="89">
        <v>25</v>
      </c>
      <c r="J1371" s="90">
        <v>15488</v>
      </c>
      <c r="K1371" s="85">
        <v>4</v>
      </c>
      <c r="L1371" s="85">
        <v>211</v>
      </c>
      <c r="M1371" s="85">
        <v>1</v>
      </c>
      <c r="N1371" s="82" t="s">
        <v>11038</v>
      </c>
      <c r="O1371" s="83"/>
    </row>
    <row r="1372" spans="1:15" ht="22.5" customHeight="1">
      <c r="A1372" s="85">
        <v>759724529202804</v>
      </c>
      <c r="B1372" s="82" t="s">
        <v>10621</v>
      </c>
      <c r="C1372" s="82" t="s">
        <v>11016</v>
      </c>
      <c r="D1372" s="82" t="s">
        <v>1530</v>
      </c>
      <c r="E1372" s="82">
        <v>628111988553</v>
      </c>
      <c r="F1372" s="86">
        <v>45842</v>
      </c>
      <c r="G1372" s="87">
        <v>259</v>
      </c>
      <c r="H1372" s="88">
        <v>54717.770034843204</v>
      </c>
      <c r="I1372" s="89">
        <v>18</v>
      </c>
      <c r="J1372" s="90">
        <v>15704</v>
      </c>
      <c r="K1372" s="85">
        <v>2</v>
      </c>
      <c r="L1372" s="85">
        <v>52</v>
      </c>
      <c r="M1372" s="85">
        <v>0</v>
      </c>
      <c r="N1372" s="82" t="s">
        <v>11017</v>
      </c>
      <c r="O1372" s="83"/>
    </row>
    <row r="1373" spans="1:15" ht="22.5" customHeight="1">
      <c r="A1373" s="85">
        <v>759724529202804</v>
      </c>
      <c r="B1373" s="82" t="s">
        <v>10621</v>
      </c>
      <c r="C1373" s="82" t="s">
        <v>10986</v>
      </c>
      <c r="D1373" s="82" t="s">
        <v>10987</v>
      </c>
      <c r="E1373" s="82">
        <v>6281282183261</v>
      </c>
      <c r="F1373" s="86">
        <v>45842</v>
      </c>
      <c r="G1373" s="87">
        <v>271</v>
      </c>
      <c r="H1373" s="88">
        <v>46392.638036809811</v>
      </c>
      <c r="I1373" s="89">
        <v>13</v>
      </c>
      <c r="J1373" s="90">
        <v>15124</v>
      </c>
      <c r="K1373" s="85">
        <v>2</v>
      </c>
      <c r="L1373" s="85">
        <v>95</v>
      </c>
      <c r="M1373" s="85">
        <v>0</v>
      </c>
      <c r="N1373" s="82" t="s">
        <v>10988</v>
      </c>
      <c r="O1373" s="83"/>
    </row>
    <row r="1374" spans="1:15" ht="22.5" customHeight="1">
      <c r="A1374" s="85">
        <v>759724529202804</v>
      </c>
      <c r="B1374" s="82" t="s">
        <v>10621</v>
      </c>
      <c r="C1374" s="82" t="s">
        <v>10989</v>
      </c>
      <c r="D1374" s="82" t="s">
        <v>1377</v>
      </c>
      <c r="E1374" s="82">
        <v>6285169568997</v>
      </c>
      <c r="F1374" s="86">
        <v>45842</v>
      </c>
      <c r="G1374" s="87">
        <v>438</v>
      </c>
      <c r="H1374" s="88">
        <v>36130.346232179225</v>
      </c>
      <c r="I1374" s="89">
        <v>15</v>
      </c>
      <c r="J1374" s="90">
        <v>17740</v>
      </c>
      <c r="K1374" s="85">
        <v>3</v>
      </c>
      <c r="L1374" s="85">
        <v>53</v>
      </c>
      <c r="M1374" s="85">
        <v>0</v>
      </c>
      <c r="N1374" s="82" t="s">
        <v>10990</v>
      </c>
      <c r="O1374" s="83"/>
    </row>
    <row r="1375" spans="1:15" ht="22.5" customHeight="1">
      <c r="A1375" s="85">
        <v>759724529202804</v>
      </c>
      <c r="B1375" s="82" t="s">
        <v>10621</v>
      </c>
      <c r="C1375" s="82" t="s">
        <v>10991</v>
      </c>
      <c r="D1375" s="82" t="s">
        <v>10992</v>
      </c>
      <c r="E1375" s="82">
        <v>6285974999484</v>
      </c>
      <c r="F1375" s="86">
        <v>45842</v>
      </c>
      <c r="G1375" s="87">
        <v>662</v>
      </c>
      <c r="H1375" s="88">
        <v>24672.413793103449</v>
      </c>
      <c r="I1375" s="89">
        <v>36</v>
      </c>
      <c r="J1375" s="90">
        <v>18603</v>
      </c>
      <c r="K1375" s="85">
        <v>6</v>
      </c>
      <c r="L1375" s="85">
        <v>151</v>
      </c>
      <c r="M1375" s="85">
        <v>0</v>
      </c>
      <c r="N1375" s="82" t="s">
        <v>10993</v>
      </c>
      <c r="O1375" s="83"/>
    </row>
    <row r="1376" spans="1:15" ht="22.5" customHeight="1">
      <c r="A1376" s="85">
        <v>759724529202804</v>
      </c>
      <c r="B1376" s="82" t="s">
        <v>10621</v>
      </c>
      <c r="C1376" s="82" t="s">
        <v>10994</v>
      </c>
      <c r="D1376" s="82" t="s">
        <v>10995</v>
      </c>
      <c r="E1376" s="82">
        <v>6287777241263</v>
      </c>
      <c r="F1376" s="86">
        <v>45842</v>
      </c>
      <c r="G1376" s="87">
        <v>875</v>
      </c>
      <c r="H1376" s="88">
        <v>15269.496544916092</v>
      </c>
      <c r="I1376" s="89">
        <v>8</v>
      </c>
      <c r="J1376" s="90">
        <v>15468</v>
      </c>
      <c r="K1376" s="85">
        <v>0</v>
      </c>
      <c r="L1376" s="85">
        <v>3</v>
      </c>
      <c r="M1376" s="85">
        <v>0</v>
      </c>
      <c r="N1376" s="82" t="s">
        <v>10996</v>
      </c>
      <c r="O1376" s="83"/>
    </row>
    <row r="1377" spans="1:15" ht="22.5" customHeight="1">
      <c r="A1377" s="85">
        <v>759724529202804</v>
      </c>
      <c r="B1377" s="82" t="s">
        <v>10621</v>
      </c>
      <c r="C1377" s="82" t="s">
        <v>1334</v>
      </c>
      <c r="D1377" s="82" t="s">
        <v>11005</v>
      </c>
      <c r="E1377" s="82">
        <v>6281366622333</v>
      </c>
      <c r="F1377" s="86">
        <v>45842</v>
      </c>
      <c r="G1377" s="87">
        <v>1074</v>
      </c>
      <c r="H1377" s="88">
        <v>13835.748792270531</v>
      </c>
      <c r="I1377" s="89">
        <v>39</v>
      </c>
      <c r="J1377" s="90">
        <v>17184</v>
      </c>
      <c r="K1377" s="85">
        <v>1</v>
      </c>
      <c r="L1377" s="85">
        <v>124</v>
      </c>
      <c r="M1377" s="85">
        <v>1</v>
      </c>
      <c r="N1377" s="82" t="s">
        <v>11006</v>
      </c>
      <c r="O1377" s="83"/>
    </row>
    <row r="1378" spans="1:15" ht="22.5" customHeight="1">
      <c r="A1378" s="85">
        <v>759724529202804</v>
      </c>
      <c r="B1378" s="82" t="s">
        <v>10621</v>
      </c>
      <c r="C1378" s="82" t="s">
        <v>10969</v>
      </c>
      <c r="D1378" s="82" t="s">
        <v>1277</v>
      </c>
      <c r="E1378" s="82">
        <v>6281269441611</v>
      </c>
      <c r="F1378" s="86">
        <v>45842</v>
      </c>
      <c r="G1378" s="87">
        <v>1258</v>
      </c>
      <c r="H1378" s="88">
        <v>12651.630811936155</v>
      </c>
      <c r="I1378" s="89">
        <v>49</v>
      </c>
      <c r="J1378" s="90">
        <v>18231</v>
      </c>
      <c r="K1378" s="85">
        <v>7</v>
      </c>
      <c r="L1378" s="85">
        <v>333</v>
      </c>
      <c r="M1378" s="85">
        <v>0</v>
      </c>
      <c r="N1378" s="82" t="s">
        <v>10970</v>
      </c>
      <c r="O1378" s="83"/>
    </row>
    <row r="1379" spans="1:15" ht="22.5" customHeight="1">
      <c r="A1379" s="85">
        <v>759724529202804</v>
      </c>
      <c r="B1379" s="82" t="s">
        <v>10621</v>
      </c>
      <c r="C1379" s="82" t="s">
        <v>10925</v>
      </c>
      <c r="D1379" s="82" t="s">
        <v>10926</v>
      </c>
      <c r="E1379" s="82">
        <v>6281233038880</v>
      </c>
      <c r="F1379" s="86">
        <v>45842</v>
      </c>
      <c r="G1379" s="87">
        <v>205</v>
      </c>
      <c r="H1379" s="88">
        <v>65875.536480686686</v>
      </c>
      <c r="I1379" s="89">
        <v>3</v>
      </c>
      <c r="J1379" s="90">
        <v>15349</v>
      </c>
      <c r="K1379" s="85">
        <v>1</v>
      </c>
      <c r="L1379" s="85">
        <v>0</v>
      </c>
      <c r="M1379" s="85">
        <v>0</v>
      </c>
      <c r="N1379" s="82" t="s">
        <v>10927</v>
      </c>
      <c r="O1379" s="83"/>
    </row>
    <row r="1380" spans="1:15" ht="22.5" customHeight="1">
      <c r="A1380" s="85">
        <v>759724529202804</v>
      </c>
      <c r="B1380" s="82" t="s">
        <v>10621</v>
      </c>
      <c r="C1380" s="82" t="s">
        <v>10922</v>
      </c>
      <c r="D1380" s="82" t="s">
        <v>1021</v>
      </c>
      <c r="E1380" s="82">
        <v>6282122880328</v>
      </c>
      <c r="F1380" s="86">
        <v>45842</v>
      </c>
      <c r="G1380" s="87">
        <v>3566</v>
      </c>
      <c r="H1380" s="88">
        <v>556.06469002695417</v>
      </c>
      <c r="I1380" s="89">
        <v>29</v>
      </c>
      <c r="J1380" s="90">
        <v>2063</v>
      </c>
      <c r="K1380" s="85">
        <v>0</v>
      </c>
      <c r="L1380" s="85">
        <v>1</v>
      </c>
      <c r="M1380" s="85">
        <v>0</v>
      </c>
      <c r="N1380" s="82" t="s">
        <v>11073</v>
      </c>
      <c r="O1380" s="83"/>
    </row>
    <row r="1381" spans="1:15" ht="22.5" customHeight="1">
      <c r="A1381" s="85">
        <v>759724529202804</v>
      </c>
      <c r="B1381" s="82" t="s">
        <v>10621</v>
      </c>
      <c r="C1381" s="82" t="s">
        <v>332</v>
      </c>
      <c r="D1381" s="82" t="s">
        <v>10708</v>
      </c>
      <c r="E1381" s="82">
        <v>6282350524788</v>
      </c>
      <c r="F1381" s="86">
        <v>45842</v>
      </c>
      <c r="G1381" s="87">
        <v>903</v>
      </c>
      <c r="H1381" s="88">
        <v>15199.807877041307</v>
      </c>
      <c r="I1381" s="89">
        <v>24</v>
      </c>
      <c r="J1381" s="90">
        <v>15823</v>
      </c>
      <c r="K1381" s="85">
        <v>3</v>
      </c>
      <c r="L1381" s="85">
        <v>120</v>
      </c>
      <c r="M1381" s="85">
        <v>0</v>
      </c>
      <c r="N1381" s="82" t="s">
        <v>11074</v>
      </c>
      <c r="O1381" s="83"/>
    </row>
    <row r="1382" spans="1:15" ht="22.5" customHeight="1">
      <c r="A1382" s="85">
        <v>174904221976312</v>
      </c>
      <c r="B1382" s="82" t="s">
        <v>10651</v>
      </c>
      <c r="C1382" s="82" t="s">
        <v>11075</v>
      </c>
      <c r="D1382" s="82" t="s">
        <v>11076</v>
      </c>
      <c r="E1382" s="82">
        <v>6281378152512</v>
      </c>
      <c r="F1382" s="86">
        <v>45842</v>
      </c>
      <c r="G1382" s="87">
        <v>555</v>
      </c>
      <c r="H1382" s="88">
        <v>16273.307790549168</v>
      </c>
      <c r="I1382" s="89">
        <v>42</v>
      </c>
      <c r="J1382" s="90">
        <v>12742</v>
      </c>
      <c r="K1382" s="85">
        <v>11</v>
      </c>
      <c r="L1382" s="85">
        <v>99</v>
      </c>
      <c r="M1382" s="85">
        <v>0</v>
      </c>
      <c r="N1382" s="82" t="s">
        <v>11077</v>
      </c>
      <c r="O1382" s="83"/>
    </row>
    <row r="1383" spans="1:15" ht="22.5" customHeight="1">
      <c r="A1383" s="85">
        <v>174904221976312</v>
      </c>
      <c r="B1383" s="82" t="s">
        <v>10651</v>
      </c>
      <c r="C1383" s="82" t="s">
        <v>11039</v>
      </c>
      <c r="D1383" s="82" t="s">
        <v>11040</v>
      </c>
      <c r="E1383" s="82">
        <v>6281934879222</v>
      </c>
      <c r="F1383" s="86">
        <v>45842</v>
      </c>
      <c r="G1383" s="87">
        <v>971</v>
      </c>
      <c r="H1383" s="88">
        <v>10617.91730474732</v>
      </c>
      <c r="I1383" s="89">
        <v>26</v>
      </c>
      <c r="J1383" s="90">
        <v>13867</v>
      </c>
      <c r="K1383" s="85">
        <v>2</v>
      </c>
      <c r="L1383" s="85">
        <v>384</v>
      </c>
      <c r="M1383" s="85">
        <v>2</v>
      </c>
      <c r="N1383" s="82" t="s">
        <v>11041</v>
      </c>
      <c r="O1383" s="83"/>
    </row>
    <row r="1384" spans="1:15" ht="22.5" customHeight="1">
      <c r="A1384" s="85">
        <v>174904221976312</v>
      </c>
      <c r="B1384" s="82" t="s">
        <v>10651</v>
      </c>
      <c r="C1384" s="82" t="s">
        <v>11042</v>
      </c>
      <c r="D1384" s="82" t="s">
        <v>1433</v>
      </c>
      <c r="E1384" s="82">
        <v>6285263289844</v>
      </c>
      <c r="F1384" s="86">
        <v>45842</v>
      </c>
      <c r="G1384" s="87">
        <v>907</v>
      </c>
      <c r="H1384" s="88">
        <v>10023.346303501945</v>
      </c>
      <c r="I1384" s="89">
        <v>34</v>
      </c>
      <c r="J1384" s="90">
        <v>12880</v>
      </c>
      <c r="K1384" s="85">
        <v>3</v>
      </c>
      <c r="L1384" s="85">
        <v>126</v>
      </c>
      <c r="M1384" s="85">
        <v>2</v>
      </c>
      <c r="N1384" s="82" t="s">
        <v>11043</v>
      </c>
      <c r="O1384" s="83"/>
    </row>
    <row r="1385" spans="1:15" ht="22.5" customHeight="1">
      <c r="A1385" s="85">
        <v>174904221976312</v>
      </c>
      <c r="B1385" s="82" t="s">
        <v>10651</v>
      </c>
      <c r="C1385" s="82" t="s">
        <v>11044</v>
      </c>
      <c r="D1385" s="82" t="s">
        <v>11045</v>
      </c>
      <c r="E1385" s="82">
        <v>6282114053996</v>
      </c>
      <c r="F1385" s="86">
        <v>45842</v>
      </c>
      <c r="G1385" s="87">
        <v>1145</v>
      </c>
      <c r="H1385" s="88">
        <v>9418.3955739972334</v>
      </c>
      <c r="I1385" s="89">
        <v>34</v>
      </c>
      <c r="J1385" s="90">
        <v>13619</v>
      </c>
      <c r="K1385" s="85">
        <v>4</v>
      </c>
      <c r="L1385" s="85">
        <v>83</v>
      </c>
      <c r="M1385" s="85">
        <v>2</v>
      </c>
      <c r="N1385" s="82" t="s">
        <v>11046</v>
      </c>
      <c r="O1385" s="83"/>
    </row>
    <row r="1386" spans="1:15" ht="22.5" customHeight="1">
      <c r="A1386" s="85">
        <v>174904221976312</v>
      </c>
      <c r="B1386" s="82" t="s">
        <v>10651</v>
      </c>
      <c r="C1386" s="82" t="s">
        <v>11047</v>
      </c>
      <c r="D1386" s="82" t="s">
        <v>11048</v>
      </c>
      <c r="E1386" s="82">
        <v>6282131666003</v>
      </c>
      <c r="F1386" s="86">
        <v>45842</v>
      </c>
      <c r="G1386" s="87">
        <v>615</v>
      </c>
      <c r="H1386" s="88">
        <v>15750</v>
      </c>
      <c r="I1386" s="89">
        <v>32</v>
      </c>
      <c r="J1386" s="90">
        <v>11466</v>
      </c>
      <c r="K1386" s="85">
        <v>3</v>
      </c>
      <c r="L1386" s="85">
        <v>258</v>
      </c>
      <c r="M1386" s="85">
        <v>1</v>
      </c>
      <c r="N1386" s="82" t="s">
        <v>11049</v>
      </c>
      <c r="O1386" s="83"/>
    </row>
    <row r="1387" spans="1:15" ht="22.5" customHeight="1">
      <c r="A1387" s="85">
        <v>174904221976312</v>
      </c>
      <c r="B1387" s="82" t="s">
        <v>10651</v>
      </c>
      <c r="C1387" s="82" t="s">
        <v>11020</v>
      </c>
      <c r="D1387" s="82" t="s">
        <v>1442</v>
      </c>
      <c r="E1387" s="82">
        <v>6282247030008</v>
      </c>
      <c r="F1387" s="86">
        <v>45842</v>
      </c>
      <c r="G1387" s="87">
        <v>293</v>
      </c>
      <c r="H1387" s="88">
        <v>35322.485207100588</v>
      </c>
      <c r="I1387" s="89">
        <v>11</v>
      </c>
      <c r="J1387" s="90">
        <v>11939</v>
      </c>
      <c r="K1387" s="85">
        <v>2</v>
      </c>
      <c r="L1387" s="85">
        <v>57</v>
      </c>
      <c r="M1387" s="85">
        <v>0</v>
      </c>
      <c r="N1387" s="82" t="s">
        <v>11021</v>
      </c>
      <c r="O1387" s="83"/>
    </row>
    <row r="1388" spans="1:15" ht="22.5" customHeight="1">
      <c r="A1388" s="85">
        <v>174904221976312</v>
      </c>
      <c r="B1388" s="82" t="s">
        <v>10651</v>
      </c>
      <c r="C1388" s="82" t="s">
        <v>11022</v>
      </c>
      <c r="D1388" s="82" t="s">
        <v>1502</v>
      </c>
      <c r="E1388" s="82">
        <v>6282188390340</v>
      </c>
      <c r="F1388" s="86">
        <v>45842</v>
      </c>
      <c r="G1388" s="87">
        <v>2127</v>
      </c>
      <c r="H1388" s="88">
        <v>5455.1201011378007</v>
      </c>
      <c r="I1388" s="89">
        <v>72</v>
      </c>
      <c r="J1388" s="90">
        <v>12945</v>
      </c>
      <c r="K1388" s="85">
        <v>4</v>
      </c>
      <c r="L1388" s="85">
        <v>983</v>
      </c>
      <c r="M1388" s="85">
        <v>1</v>
      </c>
      <c r="N1388" s="82" t="s">
        <v>11023</v>
      </c>
      <c r="O1388" s="83"/>
    </row>
    <row r="1389" spans="1:15" ht="22.5" customHeight="1">
      <c r="A1389" s="85">
        <v>174904221976312</v>
      </c>
      <c r="B1389" s="82" t="s">
        <v>10651</v>
      </c>
      <c r="C1389" s="82" t="s">
        <v>11050</v>
      </c>
      <c r="D1389" s="82" t="s">
        <v>11051</v>
      </c>
      <c r="E1389" s="82">
        <v>6285869122507</v>
      </c>
      <c r="F1389" s="86">
        <v>45842</v>
      </c>
      <c r="G1389" s="87">
        <v>690</v>
      </c>
      <c r="H1389" s="88">
        <v>16007.308160779538</v>
      </c>
      <c r="I1389" s="89">
        <v>49</v>
      </c>
      <c r="J1389" s="90">
        <v>13142</v>
      </c>
      <c r="K1389" s="85">
        <v>10</v>
      </c>
      <c r="L1389" s="85">
        <v>333</v>
      </c>
      <c r="M1389" s="85">
        <v>0</v>
      </c>
      <c r="N1389" s="82" t="s">
        <v>11052</v>
      </c>
      <c r="O1389" s="83"/>
    </row>
    <row r="1390" spans="1:15" ht="22.5" customHeight="1">
      <c r="A1390" s="85">
        <v>174904221976312</v>
      </c>
      <c r="B1390" s="82" t="s">
        <v>10651</v>
      </c>
      <c r="C1390" s="82" t="s">
        <v>11024</v>
      </c>
      <c r="D1390" s="82" t="s">
        <v>1370</v>
      </c>
      <c r="E1390" s="82">
        <v>6281343148204</v>
      </c>
      <c r="F1390" s="86">
        <v>45842</v>
      </c>
      <c r="G1390" s="87">
        <v>749</v>
      </c>
      <c r="H1390" s="88">
        <v>15739.231664726425</v>
      </c>
      <c r="I1390" s="89">
        <v>16</v>
      </c>
      <c r="J1390" s="90">
        <v>13520</v>
      </c>
      <c r="K1390" s="85">
        <v>4</v>
      </c>
      <c r="L1390" s="85">
        <v>55</v>
      </c>
      <c r="M1390" s="85">
        <v>0</v>
      </c>
      <c r="N1390" s="82" t="s">
        <v>11025</v>
      </c>
      <c r="O1390" s="83"/>
    </row>
    <row r="1391" spans="1:15" ht="22.5" customHeight="1">
      <c r="A1391" s="85">
        <v>174904221976312</v>
      </c>
      <c r="B1391" s="82" t="s">
        <v>10651</v>
      </c>
      <c r="C1391" s="82" t="s">
        <v>11007</v>
      </c>
      <c r="D1391" s="82" t="s">
        <v>11008</v>
      </c>
      <c r="E1391" s="82">
        <v>6281291128945</v>
      </c>
      <c r="F1391" s="86">
        <v>45842</v>
      </c>
      <c r="G1391" s="87">
        <v>2379</v>
      </c>
      <c r="H1391" s="88">
        <v>5350.0990099009905</v>
      </c>
      <c r="I1391" s="89">
        <v>87</v>
      </c>
      <c r="J1391" s="90">
        <v>13509</v>
      </c>
      <c r="K1391" s="85">
        <v>0</v>
      </c>
      <c r="L1391" s="85">
        <v>876</v>
      </c>
      <c r="M1391" s="85">
        <v>0</v>
      </c>
      <c r="N1391" s="82" t="s">
        <v>11009</v>
      </c>
      <c r="O1391" s="83"/>
    </row>
    <row r="1392" spans="1:15" ht="22.5" customHeight="1">
      <c r="A1392" s="85">
        <v>174904221976312</v>
      </c>
      <c r="B1392" s="82" t="s">
        <v>10651</v>
      </c>
      <c r="C1392" s="82" t="s">
        <v>10999</v>
      </c>
      <c r="D1392" s="82" t="s">
        <v>11000</v>
      </c>
      <c r="E1392" s="82">
        <v>6285340323663</v>
      </c>
      <c r="F1392" s="86">
        <v>45842</v>
      </c>
      <c r="G1392" s="87">
        <v>1182</v>
      </c>
      <c r="H1392" s="88">
        <v>10916.292974588938</v>
      </c>
      <c r="I1392" s="89">
        <v>26</v>
      </c>
      <c r="J1392" s="90">
        <v>14606</v>
      </c>
      <c r="K1392" s="85">
        <v>3</v>
      </c>
      <c r="L1392" s="85">
        <v>425</v>
      </c>
      <c r="M1392" s="85">
        <v>0</v>
      </c>
      <c r="N1392" s="82" t="s">
        <v>11001</v>
      </c>
      <c r="O1392" s="83"/>
    </row>
    <row r="1393" spans="1:15" ht="22.5" customHeight="1">
      <c r="A1393" s="85">
        <v>174904221976312</v>
      </c>
      <c r="B1393" s="82" t="s">
        <v>10651</v>
      </c>
      <c r="C1393" s="82" t="s">
        <v>11002</v>
      </c>
      <c r="D1393" s="82" t="s">
        <v>11003</v>
      </c>
      <c r="E1393" s="82">
        <v>6288228976100</v>
      </c>
      <c r="F1393" s="86">
        <v>45842</v>
      </c>
      <c r="G1393" s="87">
        <v>439</v>
      </c>
      <c r="H1393" s="88">
        <v>28378.968253968254</v>
      </c>
      <c r="I1393" s="89">
        <v>5</v>
      </c>
      <c r="J1393" s="90">
        <v>14303</v>
      </c>
      <c r="K1393" s="85">
        <v>2</v>
      </c>
      <c r="L1393" s="85">
        <v>144</v>
      </c>
      <c r="M1393" s="85">
        <v>0</v>
      </c>
      <c r="N1393" s="82" t="s">
        <v>11004</v>
      </c>
      <c r="O1393" s="83"/>
    </row>
    <row r="1394" spans="1:15" ht="22.5" customHeight="1">
      <c r="A1394" s="85">
        <v>174904221976312</v>
      </c>
      <c r="B1394" s="82" t="s">
        <v>10651</v>
      </c>
      <c r="C1394" s="82" t="s">
        <v>10971</v>
      </c>
      <c r="D1394" s="82" t="s">
        <v>1292</v>
      </c>
      <c r="E1394" s="82">
        <v>6281213589905</v>
      </c>
      <c r="F1394" s="86">
        <v>45842</v>
      </c>
      <c r="G1394" s="87">
        <v>190</v>
      </c>
      <c r="H1394" s="88">
        <v>62004.761904761908</v>
      </c>
      <c r="I1394" s="89">
        <v>6</v>
      </c>
      <c r="J1394" s="90">
        <v>13021</v>
      </c>
      <c r="K1394" s="85">
        <v>1</v>
      </c>
      <c r="L1394" s="85">
        <v>12</v>
      </c>
      <c r="M1394" s="85">
        <v>0</v>
      </c>
      <c r="N1394" s="82" t="s">
        <v>10972</v>
      </c>
      <c r="O1394" s="83"/>
    </row>
    <row r="1395" spans="1:15" ht="22.5" customHeight="1">
      <c r="A1395" s="85">
        <v>174904221976312</v>
      </c>
      <c r="B1395" s="82" t="s">
        <v>10651</v>
      </c>
      <c r="C1395" s="82" t="s">
        <v>10943</v>
      </c>
      <c r="D1395" s="82" t="s">
        <v>10944</v>
      </c>
      <c r="E1395" s="82">
        <v>6285240694097</v>
      </c>
      <c r="F1395" s="86">
        <v>45842</v>
      </c>
      <c r="G1395" s="87">
        <v>1159</v>
      </c>
      <c r="H1395" s="88">
        <v>10334.323922734027</v>
      </c>
      <c r="I1395" s="89">
        <v>38</v>
      </c>
      <c r="J1395" s="90">
        <v>13910</v>
      </c>
      <c r="K1395" s="85">
        <v>2</v>
      </c>
      <c r="L1395" s="85">
        <v>146</v>
      </c>
      <c r="M1395" s="85">
        <v>3</v>
      </c>
      <c r="N1395" s="82" t="s">
        <v>10945</v>
      </c>
      <c r="O1395" s="83"/>
    </row>
    <row r="1396" spans="1:15" ht="22.5" customHeight="1">
      <c r="A1396" s="85">
        <v>174904221976312</v>
      </c>
      <c r="B1396" s="82" t="s">
        <v>10651</v>
      </c>
      <c r="C1396" s="82" t="s">
        <v>10892</v>
      </c>
      <c r="D1396" s="82" t="s">
        <v>10893</v>
      </c>
      <c r="E1396" s="82">
        <v>6282399721881</v>
      </c>
      <c r="F1396" s="86">
        <v>45842</v>
      </c>
      <c r="G1396" s="87">
        <v>1582</v>
      </c>
      <c r="H1396" s="88">
        <v>9270.5615428247293</v>
      </c>
      <c r="I1396" s="89">
        <v>26</v>
      </c>
      <c r="J1396" s="90">
        <v>16344</v>
      </c>
      <c r="K1396" s="85">
        <v>0</v>
      </c>
      <c r="L1396" s="85">
        <v>0</v>
      </c>
      <c r="M1396" s="85">
        <v>0</v>
      </c>
      <c r="N1396" s="82" t="s">
        <v>10894</v>
      </c>
      <c r="O1396" s="83"/>
    </row>
    <row r="1397" spans="1:15" ht="22.5" customHeight="1">
      <c r="A1397" s="85">
        <v>174904221976312</v>
      </c>
      <c r="B1397" s="82" t="s">
        <v>10651</v>
      </c>
      <c r="C1397" s="82" t="s">
        <v>10853</v>
      </c>
      <c r="D1397" s="82" t="s">
        <v>10854</v>
      </c>
      <c r="E1397" s="82">
        <v>6281393958199</v>
      </c>
      <c r="F1397" s="86">
        <v>45842</v>
      </c>
      <c r="G1397" s="87">
        <v>470</v>
      </c>
      <c r="H1397" s="88">
        <v>21077.634011090573</v>
      </c>
      <c r="I1397" s="89">
        <v>14</v>
      </c>
      <c r="J1397" s="90">
        <v>11403</v>
      </c>
      <c r="K1397" s="85">
        <v>1</v>
      </c>
      <c r="L1397" s="85">
        <v>29</v>
      </c>
      <c r="M1397" s="85">
        <v>0</v>
      </c>
      <c r="N1397" s="82" t="s">
        <v>10855</v>
      </c>
      <c r="O1397" s="83"/>
    </row>
    <row r="1398" spans="1:15" ht="22.5" customHeight="1">
      <c r="A1398" s="85">
        <v>174904221976312</v>
      </c>
      <c r="B1398" s="82" t="s">
        <v>10651</v>
      </c>
      <c r="C1398" s="82" t="s">
        <v>818</v>
      </c>
      <c r="D1398" s="82" t="s">
        <v>812</v>
      </c>
      <c r="E1398" s="82">
        <v>6287858585808</v>
      </c>
      <c r="F1398" s="86">
        <v>45842</v>
      </c>
      <c r="G1398" s="87">
        <v>1295</v>
      </c>
      <c r="H1398" s="88">
        <v>9988.0952380952367</v>
      </c>
      <c r="I1398" s="89">
        <v>24</v>
      </c>
      <c r="J1398" s="90">
        <v>15102</v>
      </c>
      <c r="K1398" s="85">
        <v>1</v>
      </c>
      <c r="L1398" s="85">
        <v>353</v>
      </c>
      <c r="M1398" s="85">
        <v>0</v>
      </c>
      <c r="N1398" s="82" t="s">
        <v>10831</v>
      </c>
      <c r="O1398" s="83"/>
    </row>
    <row r="1399" spans="1:15" ht="22.5" customHeight="1">
      <c r="A1399" s="85">
        <v>174904221976312</v>
      </c>
      <c r="B1399" s="82" t="s">
        <v>10651</v>
      </c>
      <c r="C1399" s="82" t="s">
        <v>10696</v>
      </c>
      <c r="D1399" s="82" t="s">
        <v>236</v>
      </c>
      <c r="E1399" s="82"/>
      <c r="F1399" s="86">
        <v>45842</v>
      </c>
      <c r="G1399" s="87">
        <v>1041</v>
      </c>
      <c r="H1399" s="88">
        <v>12075</v>
      </c>
      <c r="I1399" s="89">
        <v>61</v>
      </c>
      <c r="J1399" s="90">
        <v>16422</v>
      </c>
      <c r="K1399" s="85">
        <v>2</v>
      </c>
      <c r="L1399" s="85">
        <v>477</v>
      </c>
      <c r="M1399" s="85">
        <v>2</v>
      </c>
      <c r="N1399" s="82" t="s">
        <v>10697</v>
      </c>
      <c r="O1399" s="83"/>
    </row>
    <row r="1400" spans="1:15" ht="22.5" customHeight="1">
      <c r="A1400" s="85">
        <v>174904221976312</v>
      </c>
      <c r="B1400" s="82" t="s">
        <v>10651</v>
      </c>
      <c r="C1400" s="82" t="s">
        <v>10652</v>
      </c>
      <c r="D1400" s="82" t="s">
        <v>10653</v>
      </c>
      <c r="E1400" s="82">
        <v>6281348555887</v>
      </c>
      <c r="F1400" s="86">
        <v>45842</v>
      </c>
      <c r="G1400" s="87">
        <v>892</v>
      </c>
      <c r="H1400" s="88">
        <v>11847.250509164969</v>
      </c>
      <c r="I1400" s="89">
        <v>21</v>
      </c>
      <c r="J1400" s="90">
        <v>11634</v>
      </c>
      <c r="K1400" s="85">
        <v>1</v>
      </c>
      <c r="L1400" s="85">
        <v>282</v>
      </c>
      <c r="M1400" s="85">
        <v>0</v>
      </c>
      <c r="N1400" s="82" t="s">
        <v>10654</v>
      </c>
      <c r="O1400" s="83"/>
    </row>
    <row r="1401" spans="1:15" ht="22.5" customHeight="1">
      <c r="A1401" s="85">
        <v>174904221976312</v>
      </c>
      <c r="B1401" s="82" t="s">
        <v>10651</v>
      </c>
      <c r="C1401" s="82" t="s">
        <v>10659</v>
      </c>
      <c r="D1401" s="82" t="s">
        <v>1044</v>
      </c>
      <c r="E1401" s="82">
        <v>6281263113266</v>
      </c>
      <c r="F1401" s="86">
        <v>45842</v>
      </c>
      <c r="G1401" s="87">
        <v>1714</v>
      </c>
      <c r="H1401" s="88">
        <v>8435.1955307262579</v>
      </c>
      <c r="I1401" s="89">
        <v>68</v>
      </c>
      <c r="J1401" s="90">
        <v>15099</v>
      </c>
      <c r="K1401" s="85">
        <v>3</v>
      </c>
      <c r="L1401" s="85">
        <v>772</v>
      </c>
      <c r="M1401" s="85">
        <v>1</v>
      </c>
      <c r="N1401" s="82" t="s">
        <v>10660</v>
      </c>
      <c r="O1401" s="83"/>
    </row>
    <row r="1402" spans="1:15" ht="22.5" customHeight="1">
      <c r="A1402" s="85">
        <v>174904221976312</v>
      </c>
      <c r="B1402" s="82" t="s">
        <v>10651</v>
      </c>
      <c r="C1402" s="82" t="s">
        <v>11078</v>
      </c>
      <c r="D1402" s="82" t="s">
        <v>3140</v>
      </c>
      <c r="E1402" s="82"/>
      <c r="F1402" s="86">
        <v>45842</v>
      </c>
      <c r="G1402" s="87">
        <v>396</v>
      </c>
      <c r="H1402" s="88">
        <v>3268.292682926829</v>
      </c>
      <c r="I1402" s="89">
        <v>10</v>
      </c>
      <c r="J1402" s="90">
        <v>1340</v>
      </c>
      <c r="K1402" s="85">
        <v>0</v>
      </c>
      <c r="L1402" s="85">
        <v>103</v>
      </c>
      <c r="M1402" s="85">
        <v>0</v>
      </c>
      <c r="N1402" s="82" t="s">
        <v>11079</v>
      </c>
      <c r="O1402" s="83"/>
    </row>
    <row r="1403" spans="1:15" ht="22.5" customHeight="1">
      <c r="A1403" s="85">
        <v>174904221976312</v>
      </c>
      <c r="B1403" s="82" t="s">
        <v>10651</v>
      </c>
      <c r="C1403" s="82" t="s">
        <v>10731</v>
      </c>
      <c r="D1403" s="82" t="s">
        <v>10732</v>
      </c>
      <c r="E1403" s="82">
        <v>6281241440688</v>
      </c>
      <c r="F1403" s="86">
        <v>45842</v>
      </c>
      <c r="G1403" s="87">
        <v>1728</v>
      </c>
      <c r="H1403" s="88">
        <v>7169.4671147383588</v>
      </c>
      <c r="I1403" s="89">
        <v>34</v>
      </c>
      <c r="J1403" s="90">
        <v>14934</v>
      </c>
      <c r="K1403" s="85">
        <v>4</v>
      </c>
      <c r="L1403" s="85">
        <v>790</v>
      </c>
      <c r="M1403" s="85">
        <v>1</v>
      </c>
      <c r="N1403" s="82" t="s">
        <v>10733</v>
      </c>
      <c r="O1403" s="83"/>
    </row>
    <row r="1404" spans="1:15" ht="22.5" customHeight="1">
      <c r="A1404" s="85">
        <v>174904221976312</v>
      </c>
      <c r="B1404" s="82" t="s">
        <v>10651</v>
      </c>
      <c r="C1404" s="82" t="s">
        <v>10833</v>
      </c>
      <c r="D1404" s="82" t="s">
        <v>10834</v>
      </c>
      <c r="E1404" s="82">
        <v>6282242925264</v>
      </c>
      <c r="F1404" s="86">
        <v>45842</v>
      </c>
      <c r="G1404" s="87">
        <v>2531</v>
      </c>
      <c r="H1404" s="88">
        <v>5226.3826863620752</v>
      </c>
      <c r="I1404" s="89">
        <v>102</v>
      </c>
      <c r="J1404" s="90">
        <v>15214</v>
      </c>
      <c r="K1404" s="85">
        <v>5</v>
      </c>
      <c r="L1404" s="85">
        <v>739</v>
      </c>
      <c r="M1404" s="85">
        <v>2</v>
      </c>
      <c r="N1404" s="82" t="s">
        <v>10835</v>
      </c>
      <c r="O1404" s="83"/>
    </row>
    <row r="1405" spans="1:15" ht="22.5" customHeight="1">
      <c r="A1405" s="85">
        <v>766589657993298</v>
      </c>
      <c r="B1405" s="82" t="s">
        <v>10688</v>
      </c>
      <c r="C1405" s="82" t="s">
        <v>11080</v>
      </c>
      <c r="D1405" s="82" t="s">
        <v>1408</v>
      </c>
      <c r="E1405" s="82">
        <v>6282211473253</v>
      </c>
      <c r="F1405" s="86">
        <v>45842</v>
      </c>
      <c r="G1405" s="87">
        <v>296</v>
      </c>
      <c r="H1405" s="88">
        <v>32271.954674220964</v>
      </c>
      <c r="I1405" s="89">
        <v>6</v>
      </c>
      <c r="J1405" s="90">
        <v>11392</v>
      </c>
      <c r="K1405" s="85">
        <v>1</v>
      </c>
      <c r="L1405" s="85">
        <v>68</v>
      </c>
      <c r="M1405" s="85">
        <v>0</v>
      </c>
      <c r="N1405" s="82" t="s">
        <v>11081</v>
      </c>
      <c r="O1405" s="83"/>
    </row>
    <row r="1406" spans="1:15" ht="22.5" customHeight="1">
      <c r="A1406" s="85">
        <v>766589657993298</v>
      </c>
      <c r="B1406" s="82" t="s">
        <v>10688</v>
      </c>
      <c r="C1406" s="82" t="s">
        <v>11082</v>
      </c>
      <c r="D1406" s="82" t="s">
        <v>11083</v>
      </c>
      <c r="E1406" s="82">
        <v>6288980619907</v>
      </c>
      <c r="F1406" s="86">
        <v>45842</v>
      </c>
      <c r="G1406" s="87">
        <v>319</v>
      </c>
      <c r="H1406" s="88">
        <v>28634.464751958225</v>
      </c>
      <c r="I1406" s="89">
        <v>9</v>
      </c>
      <c r="J1406" s="90">
        <v>10967</v>
      </c>
      <c r="K1406" s="85">
        <v>0</v>
      </c>
      <c r="L1406" s="85">
        <v>47</v>
      </c>
      <c r="M1406" s="85">
        <v>0</v>
      </c>
      <c r="N1406" s="82" t="s">
        <v>11084</v>
      </c>
      <c r="O1406" s="83"/>
    </row>
    <row r="1407" spans="1:15" ht="22.5" customHeight="1">
      <c r="A1407" s="85">
        <v>766589657993298</v>
      </c>
      <c r="B1407" s="82" t="s">
        <v>10688</v>
      </c>
      <c r="C1407" s="82" t="s">
        <v>11053</v>
      </c>
      <c r="D1407" s="82" t="s">
        <v>1579</v>
      </c>
      <c r="E1407" s="82">
        <v>6285647189964</v>
      </c>
      <c r="F1407" s="86">
        <v>45842</v>
      </c>
      <c r="G1407" s="87">
        <v>537</v>
      </c>
      <c r="H1407" s="88">
        <v>33280</v>
      </c>
      <c r="I1407" s="89">
        <v>7</v>
      </c>
      <c r="J1407" s="90">
        <v>19136</v>
      </c>
      <c r="K1407" s="85">
        <v>0</v>
      </c>
      <c r="L1407" s="85">
        <v>0</v>
      </c>
      <c r="M1407" s="85">
        <v>0</v>
      </c>
      <c r="N1407" s="82" t="s">
        <v>11054</v>
      </c>
      <c r="O1407" s="83"/>
    </row>
    <row r="1408" spans="1:15" ht="22.5" customHeight="1">
      <c r="A1408" s="85">
        <v>766589657993298</v>
      </c>
      <c r="B1408" s="82" t="s">
        <v>10688</v>
      </c>
      <c r="C1408" s="82" t="s">
        <v>11026</v>
      </c>
      <c r="D1408" s="82" t="s">
        <v>1172</v>
      </c>
      <c r="E1408" s="82">
        <v>6285950836788</v>
      </c>
      <c r="F1408" s="86">
        <v>45842</v>
      </c>
      <c r="G1408" s="87">
        <v>336</v>
      </c>
      <c r="H1408" s="88">
        <v>34766.404199475066</v>
      </c>
      <c r="I1408" s="89">
        <v>15</v>
      </c>
      <c r="J1408" s="90">
        <v>13246</v>
      </c>
      <c r="K1408" s="85">
        <v>2</v>
      </c>
      <c r="L1408" s="85">
        <v>79</v>
      </c>
      <c r="M1408" s="85">
        <v>0</v>
      </c>
      <c r="N1408" s="82" t="s">
        <v>11027</v>
      </c>
      <c r="O1408" s="83"/>
    </row>
    <row r="1409" spans="1:15" ht="22.5" customHeight="1">
      <c r="A1409" s="85">
        <v>766589657993298</v>
      </c>
      <c r="B1409" s="82" t="s">
        <v>10688</v>
      </c>
      <c r="C1409" s="82" t="s">
        <v>11028</v>
      </c>
      <c r="D1409" s="82" t="s">
        <v>11029</v>
      </c>
      <c r="E1409" s="82">
        <v>6282338171577</v>
      </c>
      <c r="F1409" s="86">
        <v>45842</v>
      </c>
      <c r="G1409" s="87">
        <v>785</v>
      </c>
      <c r="H1409" s="88">
        <v>16578.260869565216</v>
      </c>
      <c r="I1409" s="89">
        <v>30</v>
      </c>
      <c r="J1409" s="90">
        <v>15252</v>
      </c>
      <c r="K1409" s="85">
        <v>6</v>
      </c>
      <c r="L1409" s="85">
        <v>305</v>
      </c>
      <c r="M1409" s="85">
        <v>0</v>
      </c>
      <c r="N1409" s="82" t="s">
        <v>11030</v>
      </c>
      <c r="O1409" s="83"/>
    </row>
    <row r="1410" spans="1:15" ht="22.5" customHeight="1">
      <c r="A1410" s="85">
        <v>766589657993298</v>
      </c>
      <c r="B1410" s="82" t="s">
        <v>10688</v>
      </c>
      <c r="C1410" s="82" t="s">
        <v>11010</v>
      </c>
      <c r="D1410" s="82" t="s">
        <v>11011</v>
      </c>
      <c r="E1410" s="82">
        <v>6285774217794</v>
      </c>
      <c r="F1410" s="86">
        <v>45842</v>
      </c>
      <c r="G1410" s="87">
        <v>398</v>
      </c>
      <c r="H1410" s="88">
        <v>29601.904761904763</v>
      </c>
      <c r="I1410" s="89">
        <v>12</v>
      </c>
      <c r="J1410" s="90">
        <v>15541</v>
      </c>
      <c r="K1410" s="85">
        <v>3</v>
      </c>
      <c r="L1410" s="85">
        <v>20</v>
      </c>
      <c r="M1410" s="85">
        <v>0</v>
      </c>
      <c r="N1410" s="82" t="s">
        <v>11012</v>
      </c>
      <c r="O1410" s="83"/>
    </row>
    <row r="1411" spans="1:15" ht="22.5" customHeight="1">
      <c r="A1411" s="85">
        <v>766589657993298</v>
      </c>
      <c r="B1411" s="82" t="s">
        <v>10688</v>
      </c>
      <c r="C1411" s="82" t="s">
        <v>11013</v>
      </c>
      <c r="D1411" s="82" t="s">
        <v>11014</v>
      </c>
      <c r="E1411" s="82">
        <v>6282134333004</v>
      </c>
      <c r="F1411" s="86">
        <v>45842</v>
      </c>
      <c r="G1411" s="87">
        <v>575</v>
      </c>
      <c r="H1411" s="88">
        <v>25672.256097560974</v>
      </c>
      <c r="I1411" s="89">
        <v>9</v>
      </c>
      <c r="J1411" s="90">
        <v>16841</v>
      </c>
      <c r="K1411" s="85">
        <v>2</v>
      </c>
      <c r="L1411" s="85">
        <v>50</v>
      </c>
      <c r="M1411" s="85">
        <v>1</v>
      </c>
      <c r="N1411" s="82" t="s">
        <v>11015</v>
      </c>
      <c r="O1411" s="83"/>
    </row>
    <row r="1412" spans="1:15" ht="22.5" customHeight="1">
      <c r="A1412" s="85">
        <v>766589657993298</v>
      </c>
      <c r="B1412" s="82" t="s">
        <v>10688</v>
      </c>
      <c r="C1412" s="82" t="s">
        <v>10976</v>
      </c>
      <c r="D1412" s="82" t="s">
        <v>10977</v>
      </c>
      <c r="E1412" s="82">
        <v>6281138301069</v>
      </c>
      <c r="F1412" s="86">
        <v>45842</v>
      </c>
      <c r="G1412" s="87">
        <v>13397</v>
      </c>
      <c r="H1412" s="88">
        <v>1117.6382772262448</v>
      </c>
      <c r="I1412" s="89">
        <v>8</v>
      </c>
      <c r="J1412" s="90">
        <v>14973</v>
      </c>
      <c r="K1412" s="85">
        <v>0</v>
      </c>
      <c r="L1412" s="85">
        <v>965</v>
      </c>
      <c r="M1412" s="85">
        <v>0</v>
      </c>
      <c r="N1412" s="82" t="s">
        <v>10978</v>
      </c>
      <c r="O1412" s="83"/>
    </row>
    <row r="1413" spans="1:15" ht="22.5" customHeight="1">
      <c r="A1413" s="85">
        <v>766589657993298</v>
      </c>
      <c r="B1413" s="82" t="s">
        <v>10688</v>
      </c>
      <c r="C1413" s="82" t="s">
        <v>10982</v>
      </c>
      <c r="D1413" s="82" t="s">
        <v>1052</v>
      </c>
      <c r="E1413" s="82">
        <v>6282385989828</v>
      </c>
      <c r="F1413" s="86">
        <v>45842</v>
      </c>
      <c r="G1413" s="87">
        <v>1056</v>
      </c>
      <c r="H1413" s="88">
        <v>12063.542494042891</v>
      </c>
      <c r="I1413" s="89">
        <v>15</v>
      </c>
      <c r="J1413" s="90">
        <v>15188</v>
      </c>
      <c r="K1413" s="85">
        <v>3</v>
      </c>
      <c r="L1413" s="85">
        <v>209</v>
      </c>
      <c r="M1413" s="85">
        <v>0</v>
      </c>
      <c r="N1413" s="82" t="s">
        <v>10983</v>
      </c>
      <c r="O1413" s="83"/>
    </row>
    <row r="1414" spans="1:15" ht="22.5" customHeight="1">
      <c r="A1414" s="85">
        <v>766589657993298</v>
      </c>
      <c r="B1414" s="82" t="s">
        <v>10688</v>
      </c>
      <c r="C1414" s="82" t="s">
        <v>10879</v>
      </c>
      <c r="D1414" s="82" t="s">
        <v>10880</v>
      </c>
      <c r="E1414" s="82">
        <v>6281215851833</v>
      </c>
      <c r="F1414" s="86">
        <v>45842</v>
      </c>
      <c r="G1414" s="87">
        <v>396</v>
      </c>
      <c r="H1414" s="88">
        <v>37542.116630669545</v>
      </c>
      <c r="I1414" s="89">
        <v>22</v>
      </c>
      <c r="J1414" s="90">
        <v>17382</v>
      </c>
      <c r="K1414" s="85">
        <v>7</v>
      </c>
      <c r="L1414" s="85">
        <v>0</v>
      </c>
      <c r="M1414" s="85">
        <v>0</v>
      </c>
      <c r="N1414" s="82" t="s">
        <v>10881</v>
      </c>
      <c r="O1414" s="83"/>
    </row>
    <row r="1415" spans="1:15" ht="22.5" customHeight="1">
      <c r="A1415" s="85">
        <v>766589657993298</v>
      </c>
      <c r="B1415" s="82" t="s">
        <v>10688</v>
      </c>
      <c r="C1415" s="82" t="s">
        <v>10780</v>
      </c>
      <c r="D1415" s="82" t="s">
        <v>10781</v>
      </c>
      <c r="E1415" s="82">
        <v>6281338789995</v>
      </c>
      <c r="F1415" s="86">
        <v>45842</v>
      </c>
      <c r="G1415" s="87">
        <v>1006</v>
      </c>
      <c r="H1415" s="88">
        <v>14233.898305084746</v>
      </c>
      <c r="I1415" s="89">
        <v>21</v>
      </c>
      <c r="J1415" s="90">
        <v>16796</v>
      </c>
      <c r="K1415" s="85">
        <v>1</v>
      </c>
      <c r="L1415" s="85">
        <v>312</v>
      </c>
      <c r="M1415" s="85">
        <v>0</v>
      </c>
      <c r="N1415" s="82" t="s">
        <v>10782</v>
      </c>
      <c r="O1415" s="83"/>
    </row>
    <row r="1416" spans="1:15" ht="22.5" customHeight="1">
      <c r="A1416" s="85">
        <v>766589657993298</v>
      </c>
      <c r="B1416" s="82" t="s">
        <v>10688</v>
      </c>
      <c r="C1416" s="82" t="s">
        <v>10772</v>
      </c>
      <c r="D1416" s="82" t="s">
        <v>10773</v>
      </c>
      <c r="E1416" s="82">
        <v>6285261023204</v>
      </c>
      <c r="F1416" s="86">
        <v>45842</v>
      </c>
      <c r="G1416" s="87">
        <v>630</v>
      </c>
      <c r="H1416" s="88">
        <v>23582.31292517007</v>
      </c>
      <c r="I1416" s="89">
        <v>10</v>
      </c>
      <c r="J1416" s="90">
        <v>17333</v>
      </c>
      <c r="K1416" s="85">
        <v>1</v>
      </c>
      <c r="L1416" s="85">
        <v>94</v>
      </c>
      <c r="M1416" s="85">
        <v>0</v>
      </c>
      <c r="N1416" s="82" t="s">
        <v>10774</v>
      </c>
      <c r="O1416" s="83"/>
    </row>
    <row r="1417" spans="1:15" ht="22.5" customHeight="1">
      <c r="A1417" s="85">
        <v>766589657993298</v>
      </c>
      <c r="B1417" s="82" t="s">
        <v>10688</v>
      </c>
      <c r="C1417" s="82" t="s">
        <v>10762</v>
      </c>
      <c r="D1417" s="82" t="s">
        <v>10763</v>
      </c>
      <c r="E1417" s="82">
        <v>6285210107607</v>
      </c>
      <c r="F1417" s="86">
        <v>45842</v>
      </c>
      <c r="G1417" s="87">
        <v>829</v>
      </c>
      <c r="H1417" s="88">
        <v>18783.11965811966</v>
      </c>
      <c r="I1417" s="89">
        <v>14</v>
      </c>
      <c r="J1417" s="90">
        <v>17581</v>
      </c>
      <c r="K1417" s="85">
        <v>0</v>
      </c>
      <c r="L1417" s="85">
        <v>252</v>
      </c>
      <c r="M1417" s="85">
        <v>0</v>
      </c>
      <c r="N1417" s="82" t="s">
        <v>10764</v>
      </c>
      <c r="O1417" s="83"/>
    </row>
    <row r="1418" spans="1:15" ht="22.5" customHeight="1">
      <c r="A1418" s="85">
        <v>766589657993298</v>
      </c>
      <c r="B1418" s="82" t="s">
        <v>10688</v>
      </c>
      <c r="C1418" s="82" t="s">
        <v>10795</v>
      </c>
      <c r="D1418" s="82" t="s">
        <v>551</v>
      </c>
      <c r="E1418" s="82">
        <v>6285747906282</v>
      </c>
      <c r="F1418" s="86">
        <v>45842</v>
      </c>
      <c r="G1418" s="87">
        <v>593</v>
      </c>
      <c r="H1418" s="88">
        <v>26573.692551505548</v>
      </c>
      <c r="I1418" s="89">
        <v>9</v>
      </c>
      <c r="J1418" s="90">
        <v>16768</v>
      </c>
      <c r="K1418" s="85">
        <v>1</v>
      </c>
      <c r="L1418" s="85">
        <v>76</v>
      </c>
      <c r="M1418" s="85">
        <v>0</v>
      </c>
      <c r="N1418" s="82" t="s">
        <v>10796</v>
      </c>
      <c r="O1418" s="83"/>
    </row>
    <row r="1419" spans="1:15" ht="22.5" customHeight="1">
      <c r="A1419" s="85">
        <v>766589657993298</v>
      </c>
      <c r="B1419" s="82" t="s">
        <v>10688</v>
      </c>
      <c r="C1419" s="82" t="s">
        <v>10767</v>
      </c>
      <c r="D1419" s="82" t="s">
        <v>10768</v>
      </c>
      <c r="E1419" s="82">
        <v>6281519225886</v>
      </c>
      <c r="F1419" s="86">
        <v>45842</v>
      </c>
      <c r="G1419" s="87">
        <v>621</v>
      </c>
      <c r="H1419" s="88">
        <v>22276.353276353275</v>
      </c>
      <c r="I1419" s="89">
        <v>31</v>
      </c>
      <c r="J1419" s="90">
        <v>15638</v>
      </c>
      <c r="K1419" s="85">
        <v>3</v>
      </c>
      <c r="L1419" s="85">
        <v>29</v>
      </c>
      <c r="M1419" s="85">
        <v>0</v>
      </c>
      <c r="N1419" s="82" t="s">
        <v>10769</v>
      </c>
      <c r="O1419" s="83"/>
    </row>
    <row r="1420" spans="1:15" ht="22.5" customHeight="1">
      <c r="A1420" s="85">
        <v>766589657993298</v>
      </c>
      <c r="B1420" s="82" t="s">
        <v>10688</v>
      </c>
      <c r="C1420" s="82" t="s">
        <v>10797</v>
      </c>
      <c r="D1420" s="82" t="s">
        <v>10798</v>
      </c>
      <c r="E1420" s="82">
        <v>6285853370682</v>
      </c>
      <c r="F1420" s="86">
        <v>45842</v>
      </c>
      <c r="G1420" s="87">
        <v>600</v>
      </c>
      <c r="H1420" s="88">
        <v>22878.830083565463</v>
      </c>
      <c r="I1420" s="89">
        <v>19</v>
      </c>
      <c r="J1420" s="90">
        <v>16427</v>
      </c>
      <c r="K1420" s="85">
        <v>2</v>
      </c>
      <c r="L1420" s="85">
        <v>236</v>
      </c>
      <c r="M1420" s="85">
        <v>0</v>
      </c>
      <c r="N1420" s="82" t="s">
        <v>10799</v>
      </c>
      <c r="O1420" s="83"/>
    </row>
    <row r="1421" spans="1:15" ht="22.5" customHeight="1">
      <c r="A1421" s="85">
        <v>766589657993298</v>
      </c>
      <c r="B1421" s="82" t="s">
        <v>10688</v>
      </c>
      <c r="C1421" s="82" t="s">
        <v>10800</v>
      </c>
      <c r="D1421" s="82" t="s">
        <v>472</v>
      </c>
      <c r="E1421" s="82">
        <v>628114170888</v>
      </c>
      <c r="F1421" s="86">
        <v>45842</v>
      </c>
      <c r="G1421" s="87">
        <v>1249</v>
      </c>
      <c r="H1421" s="88">
        <v>11149.664929262844</v>
      </c>
      <c r="I1421" s="89">
        <v>16</v>
      </c>
      <c r="J1421" s="90">
        <v>14974</v>
      </c>
      <c r="K1421" s="85">
        <v>0</v>
      </c>
      <c r="L1421" s="85">
        <v>70</v>
      </c>
      <c r="M1421" s="85">
        <v>0</v>
      </c>
      <c r="N1421" s="82" t="s">
        <v>10801</v>
      </c>
      <c r="O1421" s="83"/>
    </row>
    <row r="1422" spans="1:15" ht="22.5" customHeight="1">
      <c r="A1422" s="85">
        <v>766589657993298</v>
      </c>
      <c r="B1422" s="82" t="s">
        <v>10688</v>
      </c>
      <c r="C1422" s="82" t="s">
        <v>10741</v>
      </c>
      <c r="D1422" s="82" t="s">
        <v>559</v>
      </c>
      <c r="E1422" s="82">
        <v>6281952482523</v>
      </c>
      <c r="F1422" s="86">
        <v>45842</v>
      </c>
      <c r="G1422" s="87">
        <v>344</v>
      </c>
      <c r="H1422" s="88">
        <v>42427.109974424551</v>
      </c>
      <c r="I1422" s="89">
        <v>12</v>
      </c>
      <c r="J1422" s="90">
        <v>16589</v>
      </c>
      <c r="K1422" s="85">
        <v>2</v>
      </c>
      <c r="L1422" s="85">
        <v>204</v>
      </c>
      <c r="M1422" s="85">
        <v>1</v>
      </c>
      <c r="N1422" s="82" t="s">
        <v>10742</v>
      </c>
      <c r="O1422" s="83"/>
    </row>
    <row r="1423" spans="1:15" ht="22.5" customHeight="1">
      <c r="A1423" s="85">
        <v>766589657993298</v>
      </c>
      <c r="B1423" s="82" t="s">
        <v>10688</v>
      </c>
      <c r="C1423" s="82" t="s">
        <v>10802</v>
      </c>
      <c r="D1423" s="82" t="s">
        <v>567</v>
      </c>
      <c r="E1423" s="82">
        <v>6285220216325</v>
      </c>
      <c r="F1423" s="86">
        <v>45842</v>
      </c>
      <c r="G1423" s="87">
        <v>281</v>
      </c>
      <c r="H1423" s="88">
        <v>55872.670807453418</v>
      </c>
      <c r="I1423" s="89">
        <v>6</v>
      </c>
      <c r="J1423" s="90">
        <v>17991</v>
      </c>
      <c r="K1423" s="85">
        <v>1</v>
      </c>
      <c r="L1423" s="85">
        <v>0</v>
      </c>
      <c r="M1423" s="85">
        <v>0</v>
      </c>
      <c r="N1423" s="82" t="s">
        <v>10803</v>
      </c>
      <c r="O1423" s="83"/>
    </row>
    <row r="1424" spans="1:15" ht="22.5" customHeight="1">
      <c r="A1424" s="85">
        <v>766589657993298</v>
      </c>
      <c r="B1424" s="82" t="s">
        <v>10688</v>
      </c>
      <c r="C1424" s="82" t="s">
        <v>10752</v>
      </c>
      <c r="D1424" s="82" t="s">
        <v>10753</v>
      </c>
      <c r="E1424" s="82">
        <v>6281340892328</v>
      </c>
      <c r="F1424" s="86">
        <v>45842</v>
      </c>
      <c r="G1424" s="87">
        <v>1510</v>
      </c>
      <c r="H1424" s="88">
        <v>8932.8400682982356</v>
      </c>
      <c r="I1424" s="89">
        <v>30</v>
      </c>
      <c r="J1424" s="90">
        <v>15695</v>
      </c>
      <c r="K1424" s="85">
        <v>1</v>
      </c>
      <c r="L1424" s="85">
        <v>452</v>
      </c>
      <c r="M1424" s="85">
        <v>0</v>
      </c>
      <c r="N1424" s="82" t="s">
        <v>10754</v>
      </c>
      <c r="O1424" s="83"/>
    </row>
    <row r="1425" spans="1:15" ht="22.5" customHeight="1">
      <c r="A1425" s="85">
        <v>206726568613432</v>
      </c>
      <c r="B1425" s="82" t="s">
        <v>10900</v>
      </c>
      <c r="C1425" s="82" t="s">
        <v>11085</v>
      </c>
      <c r="D1425" s="82" t="s">
        <v>10902</v>
      </c>
      <c r="E1425" s="82">
        <v>6282194694492</v>
      </c>
      <c r="F1425" s="86">
        <v>45842</v>
      </c>
      <c r="G1425" s="87">
        <v>621</v>
      </c>
      <c r="H1425" s="88">
        <v>18445.504087193458</v>
      </c>
      <c r="I1425" s="89">
        <v>27</v>
      </c>
      <c r="J1425" s="90">
        <v>13539</v>
      </c>
      <c r="K1425" s="85">
        <v>4</v>
      </c>
      <c r="L1425" s="85">
        <v>196</v>
      </c>
      <c r="M1425" s="85">
        <v>0</v>
      </c>
      <c r="N1425" s="82" t="s">
        <v>11086</v>
      </c>
      <c r="O1425" s="83"/>
    </row>
    <row r="1426" spans="1:15" ht="22.5" customHeight="1">
      <c r="A1426" s="85">
        <v>206726568613432</v>
      </c>
      <c r="B1426" s="82" t="s">
        <v>10900</v>
      </c>
      <c r="C1426" s="82" t="s">
        <v>11031</v>
      </c>
      <c r="D1426" s="82" t="s">
        <v>11032</v>
      </c>
      <c r="E1426" s="82">
        <v>6285668750416</v>
      </c>
      <c r="F1426" s="86">
        <v>45842</v>
      </c>
      <c r="G1426" s="87">
        <v>1254</v>
      </c>
      <c r="H1426" s="88">
        <v>9700.2067539627842</v>
      </c>
      <c r="I1426" s="89">
        <v>34</v>
      </c>
      <c r="J1426" s="90">
        <v>14075</v>
      </c>
      <c r="K1426" s="85">
        <v>7</v>
      </c>
      <c r="L1426" s="85">
        <v>596</v>
      </c>
      <c r="M1426" s="85">
        <v>0</v>
      </c>
      <c r="N1426" s="82" t="s">
        <v>11033</v>
      </c>
      <c r="O1426" s="83"/>
    </row>
    <row r="1427" spans="1:15" ht="22.5" customHeight="1">
      <c r="A1427" s="85">
        <v>759724529202804</v>
      </c>
      <c r="B1427" s="82" t="s">
        <v>10621</v>
      </c>
      <c r="C1427" s="82" t="s">
        <v>11055</v>
      </c>
      <c r="D1427" s="82" t="s">
        <v>1021</v>
      </c>
      <c r="E1427" s="82"/>
      <c r="F1427" s="86">
        <v>45843</v>
      </c>
      <c r="G1427" s="87">
        <v>1995</v>
      </c>
      <c r="H1427" s="88">
        <v>37053.264604810996</v>
      </c>
      <c r="I1427" s="89">
        <v>69</v>
      </c>
      <c r="J1427" s="90">
        <v>86260</v>
      </c>
      <c r="K1427" s="85">
        <v>14</v>
      </c>
      <c r="L1427" s="85">
        <v>633</v>
      </c>
      <c r="M1427" s="85">
        <v>1</v>
      </c>
      <c r="N1427" s="82" t="s">
        <v>11056</v>
      </c>
      <c r="O1427" s="83"/>
    </row>
    <row r="1428" spans="1:15" ht="22.5" customHeight="1">
      <c r="A1428" s="85">
        <v>759724529202804</v>
      </c>
      <c r="B1428" s="82" t="s">
        <v>10621</v>
      </c>
      <c r="C1428" s="82" t="s">
        <v>11057</v>
      </c>
      <c r="D1428" s="82" t="s">
        <v>1021</v>
      </c>
      <c r="E1428" s="82"/>
      <c r="F1428" s="86">
        <v>45843</v>
      </c>
      <c r="G1428" s="87">
        <v>76</v>
      </c>
      <c r="H1428" s="88">
        <v>32358.695652173916</v>
      </c>
      <c r="I1428" s="89">
        <v>2</v>
      </c>
      <c r="J1428" s="90">
        <v>2977</v>
      </c>
      <c r="K1428" s="85">
        <v>0</v>
      </c>
      <c r="L1428" s="85">
        <v>0</v>
      </c>
      <c r="M1428" s="85">
        <v>0</v>
      </c>
      <c r="N1428" s="82" t="s">
        <v>11058</v>
      </c>
      <c r="O1428" s="83"/>
    </row>
    <row r="1429" spans="1:15" ht="22.5" customHeight="1">
      <c r="A1429" s="85">
        <v>759724529202804</v>
      </c>
      <c r="B1429" s="82" t="s">
        <v>10621</v>
      </c>
      <c r="C1429" s="82" t="s">
        <v>11059</v>
      </c>
      <c r="D1429" s="82" t="s">
        <v>1021</v>
      </c>
      <c r="E1429" s="82">
        <v>6282122880328</v>
      </c>
      <c r="F1429" s="86">
        <v>45843</v>
      </c>
      <c r="G1429" s="87">
        <v>728</v>
      </c>
      <c r="H1429" s="88">
        <v>36302.551640340222</v>
      </c>
      <c r="I1429" s="89">
        <v>24</v>
      </c>
      <c r="J1429" s="90">
        <v>29877</v>
      </c>
      <c r="K1429" s="85">
        <v>8</v>
      </c>
      <c r="L1429" s="85">
        <v>318</v>
      </c>
      <c r="M1429" s="85">
        <v>0</v>
      </c>
      <c r="N1429" s="82" t="s">
        <v>11060</v>
      </c>
      <c r="O1429" s="83"/>
    </row>
    <row r="1430" spans="1:15" ht="22.5" customHeight="1">
      <c r="A1430" s="85">
        <v>759724529202804</v>
      </c>
      <c r="B1430" s="82" t="s">
        <v>10621</v>
      </c>
      <c r="C1430" s="82" t="s">
        <v>11061</v>
      </c>
      <c r="D1430" s="82" t="s">
        <v>1640</v>
      </c>
      <c r="E1430" s="82">
        <v>6282164919126</v>
      </c>
      <c r="F1430" s="86">
        <v>45843</v>
      </c>
      <c r="G1430" s="87">
        <v>903</v>
      </c>
      <c r="H1430" s="88">
        <v>15236.988847583643</v>
      </c>
      <c r="I1430" s="89">
        <v>28</v>
      </c>
      <c r="J1430" s="90">
        <v>16395</v>
      </c>
      <c r="K1430" s="85">
        <v>6</v>
      </c>
      <c r="L1430" s="85">
        <v>165</v>
      </c>
      <c r="M1430" s="85">
        <v>0</v>
      </c>
      <c r="N1430" s="82" t="s">
        <v>11062</v>
      </c>
      <c r="O1430" s="83"/>
    </row>
    <row r="1431" spans="1:15" ht="22.5" customHeight="1">
      <c r="A1431" s="85">
        <v>759724529202804</v>
      </c>
      <c r="B1431" s="82" t="s">
        <v>10621</v>
      </c>
      <c r="C1431" s="82" t="s">
        <v>11063</v>
      </c>
      <c r="D1431" s="82" t="s">
        <v>11064</v>
      </c>
      <c r="E1431" s="82">
        <v>62882003293835</v>
      </c>
      <c r="F1431" s="86">
        <v>45843</v>
      </c>
      <c r="G1431" s="87">
        <v>194</v>
      </c>
      <c r="H1431" s="88">
        <v>62293.388429752064</v>
      </c>
      <c r="I1431" s="89">
        <v>4</v>
      </c>
      <c r="J1431" s="90">
        <v>15075</v>
      </c>
      <c r="K1431" s="85">
        <v>0</v>
      </c>
      <c r="L1431" s="85">
        <v>42</v>
      </c>
      <c r="M1431" s="85">
        <v>0</v>
      </c>
      <c r="N1431" s="82" t="s">
        <v>11065</v>
      </c>
      <c r="O1431" s="83"/>
    </row>
    <row r="1432" spans="1:15" ht="22.5" customHeight="1">
      <c r="A1432" s="85">
        <v>759724529202804</v>
      </c>
      <c r="B1432" s="82" t="s">
        <v>10621</v>
      </c>
      <c r="C1432" s="82" t="s">
        <v>11066</v>
      </c>
      <c r="D1432" s="82" t="s">
        <v>1602</v>
      </c>
      <c r="E1432" s="82">
        <v>6282228737559</v>
      </c>
      <c r="F1432" s="86">
        <v>45843</v>
      </c>
      <c r="G1432" s="87">
        <v>895</v>
      </c>
      <c r="H1432" s="88">
        <v>14731.870229007633</v>
      </c>
      <c r="I1432" s="89">
        <v>54</v>
      </c>
      <c r="J1432" s="90">
        <v>15439</v>
      </c>
      <c r="K1432" s="85">
        <v>4</v>
      </c>
      <c r="L1432" s="85">
        <v>469</v>
      </c>
      <c r="M1432" s="85">
        <v>0</v>
      </c>
      <c r="N1432" s="82" t="s">
        <v>11067</v>
      </c>
      <c r="O1432" s="83"/>
    </row>
    <row r="1433" spans="1:15" ht="22.5" customHeight="1">
      <c r="A1433" s="85">
        <v>759724529202804</v>
      </c>
      <c r="B1433" s="82" t="s">
        <v>10621</v>
      </c>
      <c r="C1433" s="82" t="s">
        <v>11068</v>
      </c>
      <c r="D1433" s="82" t="s">
        <v>7857</v>
      </c>
      <c r="E1433" s="82">
        <v>6282285691485</v>
      </c>
      <c r="F1433" s="86">
        <v>45843</v>
      </c>
      <c r="G1433" s="87">
        <v>531</v>
      </c>
      <c r="H1433" s="88">
        <v>21965.053763440861</v>
      </c>
      <c r="I1433" s="89">
        <v>23</v>
      </c>
      <c r="J1433" s="90">
        <v>16342</v>
      </c>
      <c r="K1433" s="85">
        <v>2</v>
      </c>
      <c r="L1433" s="85">
        <v>0</v>
      </c>
      <c r="M1433" s="85">
        <v>0</v>
      </c>
      <c r="N1433" s="82" t="s">
        <v>11069</v>
      </c>
      <c r="O1433" s="83"/>
    </row>
    <row r="1434" spans="1:15" ht="22.5" customHeight="1">
      <c r="A1434" s="85">
        <v>759724529202804</v>
      </c>
      <c r="B1434" s="82" t="s">
        <v>10621</v>
      </c>
      <c r="C1434" s="82" t="s">
        <v>11070</v>
      </c>
      <c r="D1434" s="82" t="s">
        <v>11071</v>
      </c>
      <c r="E1434" s="82">
        <v>6281246211381</v>
      </c>
      <c r="F1434" s="86">
        <v>45843</v>
      </c>
      <c r="G1434" s="87">
        <v>463</v>
      </c>
      <c r="H1434" s="88">
        <v>26448.087431693988</v>
      </c>
      <c r="I1434" s="89">
        <v>16</v>
      </c>
      <c r="J1434" s="90">
        <v>14520</v>
      </c>
      <c r="K1434" s="85">
        <v>7</v>
      </c>
      <c r="L1434" s="85">
        <v>39</v>
      </c>
      <c r="M1434" s="85">
        <v>0</v>
      </c>
      <c r="N1434" s="82" t="s">
        <v>11072</v>
      </c>
      <c r="O1434" s="83"/>
    </row>
    <row r="1435" spans="1:15" ht="22.5" customHeight="1">
      <c r="A1435" s="85">
        <v>759724529202804</v>
      </c>
      <c r="B1435" s="82" t="s">
        <v>10621</v>
      </c>
      <c r="C1435" s="82" t="s">
        <v>11034</v>
      </c>
      <c r="D1435" s="82" t="s">
        <v>11035</v>
      </c>
      <c r="E1435" s="82">
        <v>6288297718776</v>
      </c>
      <c r="F1435" s="86">
        <v>45843</v>
      </c>
      <c r="G1435" s="87">
        <v>411</v>
      </c>
      <c r="H1435" s="88">
        <v>33933.901918976546</v>
      </c>
      <c r="I1435" s="89">
        <v>11</v>
      </c>
      <c r="J1435" s="90">
        <v>15915</v>
      </c>
      <c r="K1435" s="85">
        <v>2</v>
      </c>
      <c r="L1435" s="85">
        <v>141</v>
      </c>
      <c r="M1435" s="85">
        <v>0</v>
      </c>
      <c r="N1435" s="82" t="s">
        <v>11036</v>
      </c>
      <c r="O1435" s="83"/>
    </row>
    <row r="1436" spans="1:15" ht="22.5" customHeight="1">
      <c r="A1436" s="85">
        <v>759724529202804</v>
      </c>
      <c r="B1436" s="82" t="s">
        <v>10621</v>
      </c>
      <c r="C1436" s="82" t="s">
        <v>11037</v>
      </c>
      <c r="D1436" s="82" t="s">
        <v>199</v>
      </c>
      <c r="E1436" s="82">
        <v>6285220903499</v>
      </c>
      <c r="F1436" s="86">
        <v>45843</v>
      </c>
      <c r="G1436" s="87">
        <v>716</v>
      </c>
      <c r="H1436" s="88">
        <v>19100.82063305979</v>
      </c>
      <c r="I1436" s="89">
        <v>26</v>
      </c>
      <c r="J1436" s="90">
        <v>16293</v>
      </c>
      <c r="K1436" s="85">
        <v>3</v>
      </c>
      <c r="L1436" s="85">
        <v>245</v>
      </c>
      <c r="M1436" s="85">
        <v>1</v>
      </c>
      <c r="N1436" s="82" t="s">
        <v>11038</v>
      </c>
      <c r="O1436" s="83"/>
    </row>
    <row r="1437" spans="1:15" ht="22.5" customHeight="1">
      <c r="A1437" s="85">
        <v>759724529202804</v>
      </c>
      <c r="B1437" s="82" t="s">
        <v>10621</v>
      </c>
      <c r="C1437" s="82" t="s">
        <v>11016</v>
      </c>
      <c r="D1437" s="82" t="s">
        <v>1530</v>
      </c>
      <c r="E1437" s="82">
        <v>628111988553</v>
      </c>
      <c r="F1437" s="86">
        <v>45843</v>
      </c>
      <c r="G1437" s="87">
        <v>284</v>
      </c>
      <c r="H1437" s="88">
        <v>46875.796178343946</v>
      </c>
      <c r="I1437" s="89">
        <v>9</v>
      </c>
      <c r="J1437" s="90">
        <v>14719</v>
      </c>
      <c r="K1437" s="85">
        <v>0</v>
      </c>
      <c r="L1437" s="85">
        <v>84</v>
      </c>
      <c r="M1437" s="85">
        <v>0</v>
      </c>
      <c r="N1437" s="82" t="s">
        <v>11017</v>
      </c>
      <c r="O1437" s="83"/>
    </row>
    <row r="1438" spans="1:15" ht="22.5" customHeight="1">
      <c r="A1438" s="85">
        <v>759724529202804</v>
      </c>
      <c r="B1438" s="82" t="s">
        <v>10621</v>
      </c>
      <c r="C1438" s="82" t="s">
        <v>10986</v>
      </c>
      <c r="D1438" s="82" t="s">
        <v>10987</v>
      </c>
      <c r="E1438" s="82">
        <v>6281282183261</v>
      </c>
      <c r="F1438" s="86">
        <v>45843</v>
      </c>
      <c r="G1438" s="87">
        <v>402</v>
      </c>
      <c r="H1438" s="88">
        <v>31502.99401197605</v>
      </c>
      <c r="I1438" s="89">
        <v>31</v>
      </c>
      <c r="J1438" s="90">
        <v>15783</v>
      </c>
      <c r="K1438" s="85">
        <v>8</v>
      </c>
      <c r="L1438" s="85">
        <v>35</v>
      </c>
      <c r="M1438" s="85">
        <v>0</v>
      </c>
      <c r="N1438" s="82" t="s">
        <v>10988</v>
      </c>
      <c r="O1438" s="83"/>
    </row>
    <row r="1439" spans="1:15" ht="22.5" customHeight="1">
      <c r="A1439" s="85">
        <v>759724529202804</v>
      </c>
      <c r="B1439" s="82" t="s">
        <v>10621</v>
      </c>
      <c r="C1439" s="82" t="s">
        <v>1334</v>
      </c>
      <c r="D1439" s="82" t="s">
        <v>11005</v>
      </c>
      <c r="E1439" s="82">
        <v>6281366622333</v>
      </c>
      <c r="F1439" s="86">
        <v>45843</v>
      </c>
      <c r="G1439" s="87">
        <v>831</v>
      </c>
      <c r="H1439" s="88">
        <v>16436.532507739936</v>
      </c>
      <c r="I1439" s="89">
        <v>25</v>
      </c>
      <c r="J1439" s="90">
        <v>15927</v>
      </c>
      <c r="K1439" s="85">
        <v>2</v>
      </c>
      <c r="L1439" s="85">
        <v>167</v>
      </c>
      <c r="M1439" s="85">
        <v>0</v>
      </c>
      <c r="N1439" s="82" t="s">
        <v>11006</v>
      </c>
      <c r="O1439" s="83"/>
    </row>
    <row r="1440" spans="1:15" ht="22.5" customHeight="1">
      <c r="A1440" s="85">
        <v>759724529202804</v>
      </c>
      <c r="B1440" s="82" t="s">
        <v>10621</v>
      </c>
      <c r="C1440" s="82" t="s">
        <v>10922</v>
      </c>
      <c r="D1440" s="82" t="s">
        <v>1021</v>
      </c>
      <c r="E1440" s="82">
        <v>6282122880328</v>
      </c>
      <c r="F1440" s="86">
        <v>45843</v>
      </c>
      <c r="G1440" s="87">
        <v>1586</v>
      </c>
      <c r="H1440" s="88">
        <v>6233.2912988650687</v>
      </c>
      <c r="I1440" s="89">
        <v>58</v>
      </c>
      <c r="J1440" s="90">
        <v>9886</v>
      </c>
      <c r="K1440" s="85">
        <v>0</v>
      </c>
      <c r="L1440" s="85">
        <v>549</v>
      </c>
      <c r="M1440" s="85">
        <v>0</v>
      </c>
      <c r="N1440" s="82" t="s">
        <v>11073</v>
      </c>
      <c r="O1440" s="83"/>
    </row>
    <row r="1441" spans="1:15" ht="22.5" customHeight="1">
      <c r="A1441" s="85">
        <v>759724529202804</v>
      </c>
      <c r="B1441" s="82" t="s">
        <v>10621</v>
      </c>
      <c r="C1441" s="82" t="s">
        <v>332</v>
      </c>
      <c r="D1441" s="82" t="s">
        <v>10708</v>
      </c>
      <c r="E1441" s="82">
        <v>6282350524788</v>
      </c>
      <c r="F1441" s="86">
        <v>45843</v>
      </c>
      <c r="G1441" s="87">
        <v>406</v>
      </c>
      <c r="H1441" s="88">
        <v>15467.775467775467</v>
      </c>
      <c r="I1441" s="89">
        <v>19</v>
      </c>
      <c r="J1441" s="90">
        <v>7440</v>
      </c>
      <c r="K1441" s="85">
        <v>3</v>
      </c>
      <c r="L1441" s="85">
        <v>163</v>
      </c>
      <c r="M1441" s="85">
        <v>0</v>
      </c>
      <c r="N1441" s="82" t="s">
        <v>11074</v>
      </c>
      <c r="O1441" s="83"/>
    </row>
    <row r="1442" spans="1:15" ht="22.5" customHeight="1">
      <c r="A1442" s="85">
        <v>174904221976312</v>
      </c>
      <c r="B1442" s="82" t="s">
        <v>10651</v>
      </c>
      <c r="C1442" s="82" t="s">
        <v>11087</v>
      </c>
      <c r="D1442" s="82" t="s">
        <v>11088</v>
      </c>
      <c r="E1442" s="82">
        <v>6282115608585</v>
      </c>
      <c r="F1442" s="86">
        <v>45843</v>
      </c>
      <c r="G1442" s="87">
        <v>380</v>
      </c>
      <c r="H1442" s="88">
        <v>25799.595141700403</v>
      </c>
      <c r="I1442" s="89">
        <v>60</v>
      </c>
      <c r="J1442" s="90">
        <v>12745</v>
      </c>
      <c r="K1442" s="85">
        <v>6</v>
      </c>
      <c r="L1442" s="85">
        <v>1</v>
      </c>
      <c r="M1442" s="85">
        <v>1</v>
      </c>
      <c r="N1442" s="82" t="s">
        <v>11089</v>
      </c>
      <c r="O1442" s="83"/>
    </row>
    <row r="1443" spans="1:15" ht="22.5" customHeight="1">
      <c r="A1443" s="85">
        <v>174904221976312</v>
      </c>
      <c r="B1443" s="82" t="s">
        <v>10651</v>
      </c>
      <c r="C1443" s="82" t="s">
        <v>11090</v>
      </c>
      <c r="D1443" s="82" t="s">
        <v>11091</v>
      </c>
      <c r="E1443" s="82">
        <v>6282192773278</v>
      </c>
      <c r="F1443" s="86">
        <v>45843</v>
      </c>
      <c r="G1443" s="87">
        <v>1177</v>
      </c>
      <c r="H1443" s="88">
        <v>9608.9552238805973</v>
      </c>
      <c r="I1443" s="89">
        <v>76</v>
      </c>
      <c r="J1443" s="90">
        <v>12876</v>
      </c>
      <c r="K1443" s="85">
        <v>13</v>
      </c>
      <c r="L1443" s="85">
        <v>617</v>
      </c>
      <c r="M1443" s="85">
        <v>0</v>
      </c>
      <c r="N1443" s="82" t="s">
        <v>11092</v>
      </c>
      <c r="O1443" s="83"/>
    </row>
    <row r="1444" spans="1:15" ht="22.5" customHeight="1">
      <c r="A1444" s="85">
        <v>174904221976312</v>
      </c>
      <c r="B1444" s="82" t="s">
        <v>10651</v>
      </c>
      <c r="C1444" s="82" t="s">
        <v>11093</v>
      </c>
      <c r="D1444" s="82" t="s">
        <v>11094</v>
      </c>
      <c r="E1444" s="82">
        <v>6282227027805</v>
      </c>
      <c r="F1444" s="86">
        <v>45843</v>
      </c>
      <c r="G1444" s="87">
        <v>2</v>
      </c>
      <c r="H1444" s="88">
        <v>38666.666666666664</v>
      </c>
      <c r="I1444" s="89">
        <v>0</v>
      </c>
      <c r="J1444" s="90">
        <v>116</v>
      </c>
      <c r="K1444" s="85">
        <v>0</v>
      </c>
      <c r="L1444" s="85">
        <v>0</v>
      </c>
      <c r="M1444" s="85">
        <v>0</v>
      </c>
      <c r="N1444" s="82" t="s">
        <v>11095</v>
      </c>
      <c r="O1444" s="83"/>
    </row>
    <row r="1445" spans="1:15" ht="22.5" customHeight="1">
      <c r="A1445" s="85">
        <v>174904221976312</v>
      </c>
      <c r="B1445" s="82" t="s">
        <v>10651</v>
      </c>
      <c r="C1445" s="82" t="s">
        <v>11096</v>
      </c>
      <c r="D1445" s="82" t="s">
        <v>11097</v>
      </c>
      <c r="E1445" s="82">
        <v>6282125000978</v>
      </c>
      <c r="F1445" s="86">
        <v>45843</v>
      </c>
      <c r="G1445" s="87">
        <v>248</v>
      </c>
      <c r="H1445" s="88">
        <v>24003.663003663005</v>
      </c>
      <c r="I1445" s="89">
        <v>10</v>
      </c>
      <c r="J1445" s="90">
        <v>6553</v>
      </c>
      <c r="K1445" s="85">
        <v>1</v>
      </c>
      <c r="L1445" s="85">
        <v>0</v>
      </c>
      <c r="M1445" s="85">
        <v>0</v>
      </c>
      <c r="N1445" s="82" t="s">
        <v>11098</v>
      </c>
      <c r="O1445" s="83"/>
    </row>
    <row r="1446" spans="1:15" ht="22.5" customHeight="1">
      <c r="A1446" s="85">
        <v>174904221976312</v>
      </c>
      <c r="B1446" s="82" t="s">
        <v>10651</v>
      </c>
      <c r="C1446" s="82" t="s">
        <v>11099</v>
      </c>
      <c r="D1446" s="82" t="s">
        <v>11100</v>
      </c>
      <c r="E1446" s="82">
        <v>6281352626888</v>
      </c>
      <c r="F1446" s="86">
        <v>45843</v>
      </c>
      <c r="G1446" s="87">
        <v>895</v>
      </c>
      <c r="H1446" s="88">
        <v>12174.32052483599</v>
      </c>
      <c r="I1446" s="89">
        <v>34</v>
      </c>
      <c r="J1446" s="90">
        <v>12990</v>
      </c>
      <c r="K1446" s="85">
        <v>3</v>
      </c>
      <c r="L1446" s="85">
        <v>0</v>
      </c>
      <c r="M1446" s="85">
        <v>0</v>
      </c>
      <c r="N1446" s="82" t="s">
        <v>11101</v>
      </c>
      <c r="O1446" s="83"/>
    </row>
    <row r="1447" spans="1:15" ht="22.5" customHeight="1">
      <c r="A1447" s="85">
        <v>174904221976312</v>
      </c>
      <c r="B1447" s="82" t="s">
        <v>10651</v>
      </c>
      <c r="C1447" s="82" t="s">
        <v>11075</v>
      </c>
      <c r="D1447" s="82" t="s">
        <v>11076</v>
      </c>
      <c r="E1447" s="82">
        <v>6281378152512</v>
      </c>
      <c r="F1447" s="86">
        <v>45843</v>
      </c>
      <c r="G1447" s="87">
        <v>743</v>
      </c>
      <c r="H1447" s="88">
        <v>14700.103412616339</v>
      </c>
      <c r="I1447" s="89">
        <v>35</v>
      </c>
      <c r="J1447" s="90">
        <v>14215</v>
      </c>
      <c r="K1447" s="85">
        <v>7</v>
      </c>
      <c r="L1447" s="85">
        <v>105</v>
      </c>
      <c r="M1447" s="85">
        <v>1</v>
      </c>
      <c r="N1447" s="82" t="s">
        <v>11077</v>
      </c>
      <c r="O1447" s="83"/>
    </row>
    <row r="1448" spans="1:15" ht="22.5" customHeight="1">
      <c r="A1448" s="85">
        <v>174904221976312</v>
      </c>
      <c r="B1448" s="82" t="s">
        <v>10651</v>
      </c>
      <c r="C1448" s="82" t="s">
        <v>11039</v>
      </c>
      <c r="D1448" s="82" t="s">
        <v>11040</v>
      </c>
      <c r="E1448" s="82">
        <v>6281934879222</v>
      </c>
      <c r="F1448" s="86">
        <v>45843</v>
      </c>
      <c r="G1448" s="87">
        <v>898</v>
      </c>
      <c r="H1448" s="88">
        <v>11268.852459016394</v>
      </c>
      <c r="I1448" s="89">
        <v>30</v>
      </c>
      <c r="J1448" s="90">
        <v>13748</v>
      </c>
      <c r="K1448" s="85">
        <v>2</v>
      </c>
      <c r="L1448" s="85">
        <v>266</v>
      </c>
      <c r="M1448" s="85">
        <v>0</v>
      </c>
      <c r="N1448" s="82" t="s">
        <v>11041</v>
      </c>
      <c r="O1448" s="83"/>
    </row>
    <row r="1449" spans="1:15" ht="22.5" customHeight="1">
      <c r="A1449" s="85">
        <v>174904221976312</v>
      </c>
      <c r="B1449" s="82" t="s">
        <v>10651</v>
      </c>
      <c r="C1449" s="82" t="s">
        <v>11042</v>
      </c>
      <c r="D1449" s="82" t="s">
        <v>1433</v>
      </c>
      <c r="E1449" s="82">
        <v>6285263289844</v>
      </c>
      <c r="F1449" s="86">
        <v>45843</v>
      </c>
      <c r="G1449" s="87">
        <v>979</v>
      </c>
      <c r="H1449" s="88">
        <v>10326.62192393736</v>
      </c>
      <c r="I1449" s="89">
        <v>32</v>
      </c>
      <c r="J1449" s="90">
        <v>13848</v>
      </c>
      <c r="K1449" s="85">
        <v>4</v>
      </c>
      <c r="L1449" s="85">
        <v>89</v>
      </c>
      <c r="M1449" s="85">
        <v>2</v>
      </c>
      <c r="N1449" s="82" t="s">
        <v>11043</v>
      </c>
      <c r="O1449" s="83"/>
    </row>
    <row r="1450" spans="1:15" ht="22.5" customHeight="1">
      <c r="A1450" s="85">
        <v>174904221976312</v>
      </c>
      <c r="B1450" s="82" t="s">
        <v>10651</v>
      </c>
      <c r="C1450" s="82" t="s">
        <v>11044</v>
      </c>
      <c r="D1450" s="82" t="s">
        <v>11045</v>
      </c>
      <c r="E1450" s="82">
        <v>6282114053996</v>
      </c>
      <c r="F1450" s="86">
        <v>45843</v>
      </c>
      <c r="G1450" s="87">
        <v>955</v>
      </c>
      <c r="H1450" s="88">
        <v>11409.836065573771</v>
      </c>
      <c r="I1450" s="89">
        <v>32</v>
      </c>
      <c r="J1450" s="90">
        <v>13920</v>
      </c>
      <c r="K1450" s="85">
        <v>1</v>
      </c>
      <c r="L1450" s="85">
        <v>39</v>
      </c>
      <c r="M1450" s="85">
        <v>1</v>
      </c>
      <c r="N1450" s="82" t="s">
        <v>11046</v>
      </c>
      <c r="O1450" s="83"/>
    </row>
    <row r="1451" spans="1:15" ht="22.5" customHeight="1">
      <c r="A1451" s="85">
        <v>174904221976312</v>
      </c>
      <c r="B1451" s="82" t="s">
        <v>10651</v>
      </c>
      <c r="C1451" s="82" t="s">
        <v>11047</v>
      </c>
      <c r="D1451" s="82" t="s">
        <v>11048</v>
      </c>
      <c r="E1451" s="82">
        <v>6282131666003</v>
      </c>
      <c r="F1451" s="86">
        <v>45843</v>
      </c>
      <c r="G1451" s="87">
        <v>710</v>
      </c>
      <c r="H1451" s="88">
        <v>17012.836970474968</v>
      </c>
      <c r="I1451" s="89">
        <v>20</v>
      </c>
      <c r="J1451" s="90">
        <v>13253</v>
      </c>
      <c r="K1451" s="85">
        <v>4</v>
      </c>
      <c r="L1451" s="85">
        <v>275</v>
      </c>
      <c r="M1451" s="85">
        <v>0</v>
      </c>
      <c r="N1451" s="82" t="s">
        <v>11049</v>
      </c>
      <c r="O1451" s="83"/>
    </row>
    <row r="1452" spans="1:15" ht="22.5" customHeight="1">
      <c r="A1452" s="85">
        <v>174904221976312</v>
      </c>
      <c r="B1452" s="82" t="s">
        <v>10651</v>
      </c>
      <c r="C1452" s="82" t="s">
        <v>11020</v>
      </c>
      <c r="D1452" s="82" t="s">
        <v>1442</v>
      </c>
      <c r="E1452" s="82">
        <v>6282247030008</v>
      </c>
      <c r="F1452" s="86">
        <v>45843</v>
      </c>
      <c r="G1452" s="87">
        <v>340</v>
      </c>
      <c r="H1452" s="88">
        <v>35083.950617283954</v>
      </c>
      <c r="I1452" s="89">
        <v>17</v>
      </c>
      <c r="J1452" s="90">
        <v>14209</v>
      </c>
      <c r="K1452" s="85">
        <v>2</v>
      </c>
      <c r="L1452" s="85">
        <v>65</v>
      </c>
      <c r="M1452" s="85">
        <v>0</v>
      </c>
      <c r="N1452" s="82" t="s">
        <v>11021</v>
      </c>
      <c r="O1452" s="83"/>
    </row>
    <row r="1453" spans="1:15" ht="22.5" customHeight="1">
      <c r="A1453" s="85">
        <v>174904221976312</v>
      </c>
      <c r="B1453" s="82" t="s">
        <v>10651</v>
      </c>
      <c r="C1453" s="82" t="s">
        <v>11022</v>
      </c>
      <c r="D1453" s="82" t="s">
        <v>1502</v>
      </c>
      <c r="E1453" s="82">
        <v>6282188390340</v>
      </c>
      <c r="F1453" s="86">
        <v>45843</v>
      </c>
      <c r="G1453" s="87">
        <v>2052</v>
      </c>
      <c r="H1453" s="88">
        <v>5866.4307828394512</v>
      </c>
      <c r="I1453" s="89">
        <v>61</v>
      </c>
      <c r="J1453" s="90">
        <v>13264</v>
      </c>
      <c r="K1453" s="85">
        <v>3</v>
      </c>
      <c r="L1453" s="85">
        <v>807</v>
      </c>
      <c r="M1453" s="85">
        <v>0</v>
      </c>
      <c r="N1453" s="82" t="s">
        <v>11023</v>
      </c>
      <c r="O1453" s="83"/>
    </row>
    <row r="1454" spans="1:15" ht="22.5" customHeight="1">
      <c r="A1454" s="85">
        <v>174904221976312</v>
      </c>
      <c r="B1454" s="82" t="s">
        <v>10651</v>
      </c>
      <c r="C1454" s="82" t="s">
        <v>11050</v>
      </c>
      <c r="D1454" s="82" t="s">
        <v>11051</v>
      </c>
      <c r="E1454" s="82">
        <v>6285869122507</v>
      </c>
      <c r="F1454" s="86">
        <v>45843</v>
      </c>
      <c r="G1454" s="87">
        <v>654</v>
      </c>
      <c r="H1454" s="88">
        <v>18580.729166666668</v>
      </c>
      <c r="I1454" s="89">
        <v>43</v>
      </c>
      <c r="J1454" s="90">
        <v>14270</v>
      </c>
      <c r="K1454" s="85">
        <v>6</v>
      </c>
      <c r="L1454" s="85">
        <v>318</v>
      </c>
      <c r="M1454" s="85">
        <v>0</v>
      </c>
      <c r="N1454" s="82" t="s">
        <v>11052</v>
      </c>
      <c r="O1454" s="83"/>
    </row>
    <row r="1455" spans="1:15" ht="22.5" customHeight="1">
      <c r="A1455" s="85">
        <v>174904221976312</v>
      </c>
      <c r="B1455" s="82" t="s">
        <v>10651</v>
      </c>
      <c r="C1455" s="82" t="s">
        <v>11024</v>
      </c>
      <c r="D1455" s="82" t="s">
        <v>1370</v>
      </c>
      <c r="E1455" s="82">
        <v>6281343148204</v>
      </c>
      <c r="F1455" s="86">
        <v>45843</v>
      </c>
      <c r="G1455" s="87">
        <v>1286</v>
      </c>
      <c r="H1455" s="88">
        <v>8663.7228260869579</v>
      </c>
      <c r="I1455" s="89">
        <v>16</v>
      </c>
      <c r="J1455" s="90">
        <v>12753</v>
      </c>
      <c r="K1455" s="85">
        <v>1</v>
      </c>
      <c r="L1455" s="85">
        <v>62</v>
      </c>
      <c r="M1455" s="85">
        <v>0</v>
      </c>
      <c r="N1455" s="82" t="s">
        <v>11025</v>
      </c>
      <c r="O1455" s="83"/>
    </row>
    <row r="1456" spans="1:15" ht="22.5" customHeight="1">
      <c r="A1456" s="85">
        <v>174904221976312</v>
      </c>
      <c r="B1456" s="82" t="s">
        <v>10651</v>
      </c>
      <c r="C1456" s="82" t="s">
        <v>11007</v>
      </c>
      <c r="D1456" s="82" t="s">
        <v>11008</v>
      </c>
      <c r="E1456" s="82">
        <v>6281291128945</v>
      </c>
      <c r="F1456" s="86">
        <v>45843</v>
      </c>
      <c r="G1456" s="87">
        <v>3559</v>
      </c>
      <c r="H1456" s="88">
        <v>3691.4863725765663</v>
      </c>
      <c r="I1456" s="89">
        <v>43</v>
      </c>
      <c r="J1456" s="90">
        <v>13138</v>
      </c>
      <c r="K1456" s="85">
        <v>0</v>
      </c>
      <c r="L1456" s="85">
        <v>2108</v>
      </c>
      <c r="M1456" s="85">
        <v>0</v>
      </c>
      <c r="N1456" s="82" t="s">
        <v>11009</v>
      </c>
      <c r="O1456" s="83"/>
    </row>
    <row r="1457" spans="1:15" ht="22.5" customHeight="1">
      <c r="A1457" s="85">
        <v>174904221976312</v>
      </c>
      <c r="B1457" s="82" t="s">
        <v>10651</v>
      </c>
      <c r="C1457" s="82" t="s">
        <v>11002</v>
      </c>
      <c r="D1457" s="82" t="s">
        <v>11003</v>
      </c>
      <c r="E1457" s="82">
        <v>6288228976100</v>
      </c>
      <c r="F1457" s="86">
        <v>45843</v>
      </c>
      <c r="G1457" s="87">
        <v>728</v>
      </c>
      <c r="H1457" s="88">
        <v>17459.330143540668</v>
      </c>
      <c r="I1457" s="89">
        <v>36</v>
      </c>
      <c r="J1457" s="90">
        <v>14596</v>
      </c>
      <c r="K1457" s="85">
        <v>1</v>
      </c>
      <c r="L1457" s="85">
        <v>17</v>
      </c>
      <c r="M1457" s="85">
        <v>0</v>
      </c>
      <c r="N1457" s="82" t="s">
        <v>11004</v>
      </c>
      <c r="O1457" s="83"/>
    </row>
    <row r="1458" spans="1:15" ht="22.5" customHeight="1">
      <c r="A1458" s="85">
        <v>174904221976312</v>
      </c>
      <c r="B1458" s="82" t="s">
        <v>10651</v>
      </c>
      <c r="C1458" s="82" t="s">
        <v>10971</v>
      </c>
      <c r="D1458" s="82" t="s">
        <v>1292</v>
      </c>
      <c r="E1458" s="82">
        <v>6281213589905</v>
      </c>
      <c r="F1458" s="86">
        <v>45843</v>
      </c>
      <c r="G1458" s="87">
        <v>267</v>
      </c>
      <c r="H1458" s="88">
        <v>46871.875</v>
      </c>
      <c r="I1458" s="89">
        <v>8</v>
      </c>
      <c r="J1458" s="90">
        <v>14999</v>
      </c>
      <c r="K1458" s="85">
        <v>0</v>
      </c>
      <c r="L1458" s="85">
        <v>7</v>
      </c>
      <c r="M1458" s="85">
        <v>0</v>
      </c>
      <c r="N1458" s="82" t="s">
        <v>10972</v>
      </c>
      <c r="O1458" s="83"/>
    </row>
    <row r="1459" spans="1:15" ht="22.5" customHeight="1">
      <c r="A1459" s="85">
        <v>174904221976312</v>
      </c>
      <c r="B1459" s="82" t="s">
        <v>10651</v>
      </c>
      <c r="C1459" s="82" t="s">
        <v>10943</v>
      </c>
      <c r="D1459" s="82" t="s">
        <v>10944</v>
      </c>
      <c r="E1459" s="82">
        <v>6285240694097</v>
      </c>
      <c r="F1459" s="86">
        <v>45843</v>
      </c>
      <c r="G1459" s="87">
        <v>724</v>
      </c>
      <c r="H1459" s="88">
        <v>14295.980511571255</v>
      </c>
      <c r="I1459" s="89">
        <v>20</v>
      </c>
      <c r="J1459" s="90">
        <v>11737</v>
      </c>
      <c r="K1459" s="85">
        <v>3</v>
      </c>
      <c r="L1459" s="85">
        <v>109</v>
      </c>
      <c r="M1459" s="85">
        <v>0</v>
      </c>
      <c r="N1459" s="82" t="s">
        <v>10945</v>
      </c>
      <c r="O1459" s="83"/>
    </row>
    <row r="1460" spans="1:15" ht="22.5" customHeight="1">
      <c r="A1460" s="85">
        <v>174904221976312</v>
      </c>
      <c r="B1460" s="82" t="s">
        <v>10651</v>
      </c>
      <c r="C1460" s="82" t="s">
        <v>10892</v>
      </c>
      <c r="D1460" s="82" t="s">
        <v>10893</v>
      </c>
      <c r="E1460" s="82">
        <v>6282399721881</v>
      </c>
      <c r="F1460" s="86">
        <v>45843</v>
      </c>
      <c r="G1460" s="87">
        <v>918</v>
      </c>
      <c r="H1460" s="88">
        <v>12188.899707887049</v>
      </c>
      <c r="I1460" s="89">
        <v>15</v>
      </c>
      <c r="J1460" s="90">
        <v>12518</v>
      </c>
      <c r="K1460" s="85">
        <v>1</v>
      </c>
      <c r="L1460" s="85">
        <v>0</v>
      </c>
      <c r="M1460" s="85">
        <v>0</v>
      </c>
      <c r="N1460" s="82" t="s">
        <v>10894</v>
      </c>
      <c r="O1460" s="83"/>
    </row>
    <row r="1461" spans="1:15" ht="22.5" customHeight="1">
      <c r="A1461" s="85">
        <v>174904221976312</v>
      </c>
      <c r="B1461" s="82" t="s">
        <v>10651</v>
      </c>
      <c r="C1461" s="82" t="s">
        <v>10853</v>
      </c>
      <c r="D1461" s="82" t="s">
        <v>10854</v>
      </c>
      <c r="E1461" s="82">
        <v>6281393958199</v>
      </c>
      <c r="F1461" s="86">
        <v>45843</v>
      </c>
      <c r="G1461" s="87">
        <v>446</v>
      </c>
      <c r="H1461" s="88">
        <v>22077.689243027886</v>
      </c>
      <c r="I1461" s="89">
        <v>8</v>
      </c>
      <c r="J1461" s="90">
        <v>11083</v>
      </c>
      <c r="K1461" s="85">
        <v>1</v>
      </c>
      <c r="L1461" s="85">
        <v>114</v>
      </c>
      <c r="M1461" s="85">
        <v>0</v>
      </c>
      <c r="N1461" s="82" t="s">
        <v>10855</v>
      </c>
      <c r="O1461" s="83"/>
    </row>
    <row r="1462" spans="1:15" ht="22.5" customHeight="1">
      <c r="A1462" s="85">
        <v>174904221976312</v>
      </c>
      <c r="B1462" s="82" t="s">
        <v>10651</v>
      </c>
      <c r="C1462" s="82" t="s">
        <v>818</v>
      </c>
      <c r="D1462" s="82" t="s">
        <v>812</v>
      </c>
      <c r="E1462" s="82">
        <v>6287858585808</v>
      </c>
      <c r="F1462" s="86">
        <v>45843</v>
      </c>
      <c r="G1462" s="87">
        <v>904</v>
      </c>
      <c r="H1462" s="88">
        <v>13480.863591756624</v>
      </c>
      <c r="I1462" s="89">
        <v>27</v>
      </c>
      <c r="J1462" s="90">
        <v>13737</v>
      </c>
      <c r="K1462" s="85">
        <v>2</v>
      </c>
      <c r="L1462" s="85">
        <v>255</v>
      </c>
      <c r="M1462" s="85">
        <v>0</v>
      </c>
      <c r="N1462" s="82" t="s">
        <v>10831</v>
      </c>
      <c r="O1462" s="83"/>
    </row>
    <row r="1463" spans="1:15" ht="22.5" customHeight="1">
      <c r="A1463" s="85">
        <v>174904221976312</v>
      </c>
      <c r="B1463" s="82" t="s">
        <v>10651</v>
      </c>
      <c r="C1463" s="82" t="s">
        <v>10696</v>
      </c>
      <c r="D1463" s="82" t="s">
        <v>236</v>
      </c>
      <c r="E1463" s="82"/>
      <c r="F1463" s="86">
        <v>45843</v>
      </c>
      <c r="G1463" s="87">
        <v>1061</v>
      </c>
      <c r="H1463" s="88">
        <v>10506.614785992218</v>
      </c>
      <c r="I1463" s="89">
        <v>43</v>
      </c>
      <c r="J1463" s="90">
        <v>13501</v>
      </c>
      <c r="K1463" s="85">
        <v>5</v>
      </c>
      <c r="L1463" s="85">
        <v>435</v>
      </c>
      <c r="M1463" s="85">
        <v>1</v>
      </c>
      <c r="N1463" s="82" t="s">
        <v>10697</v>
      </c>
      <c r="O1463" s="83"/>
    </row>
    <row r="1464" spans="1:15" ht="22.5" customHeight="1">
      <c r="A1464" s="85">
        <v>174904221976312</v>
      </c>
      <c r="B1464" s="82" t="s">
        <v>10651</v>
      </c>
      <c r="C1464" s="82" t="s">
        <v>10652</v>
      </c>
      <c r="D1464" s="82" t="s">
        <v>10653</v>
      </c>
      <c r="E1464" s="82">
        <v>6281348555887</v>
      </c>
      <c r="F1464" s="86">
        <v>45843</v>
      </c>
      <c r="G1464" s="87">
        <v>525</v>
      </c>
      <c r="H1464" s="88">
        <v>14936.643835616438</v>
      </c>
      <c r="I1464" s="89">
        <v>19</v>
      </c>
      <c r="J1464" s="90">
        <v>8723</v>
      </c>
      <c r="K1464" s="85">
        <v>2</v>
      </c>
      <c r="L1464" s="85">
        <v>175</v>
      </c>
      <c r="M1464" s="85">
        <v>0</v>
      </c>
      <c r="N1464" s="82" t="s">
        <v>10654</v>
      </c>
      <c r="O1464" s="83"/>
    </row>
    <row r="1465" spans="1:15" ht="22.5" customHeight="1">
      <c r="A1465" s="85">
        <v>174904221976312</v>
      </c>
      <c r="B1465" s="82" t="s">
        <v>10651</v>
      </c>
      <c r="C1465" s="82" t="s">
        <v>10659</v>
      </c>
      <c r="D1465" s="82" t="s">
        <v>1044</v>
      </c>
      <c r="E1465" s="82">
        <v>6281263113266</v>
      </c>
      <c r="F1465" s="86">
        <v>45843</v>
      </c>
      <c r="G1465" s="87">
        <v>975</v>
      </c>
      <c r="H1465" s="88">
        <v>12154.170176916596</v>
      </c>
      <c r="I1465" s="89">
        <v>69</v>
      </c>
      <c r="J1465" s="90">
        <v>14427</v>
      </c>
      <c r="K1465" s="85">
        <v>6</v>
      </c>
      <c r="L1465" s="85">
        <v>552</v>
      </c>
      <c r="M1465" s="85">
        <v>1</v>
      </c>
      <c r="N1465" s="82" t="s">
        <v>10660</v>
      </c>
      <c r="O1465" s="83"/>
    </row>
    <row r="1466" spans="1:15" ht="22.5" customHeight="1">
      <c r="A1466" s="85">
        <v>174904221976312</v>
      </c>
      <c r="B1466" s="82" t="s">
        <v>10651</v>
      </c>
      <c r="C1466" s="82" t="s">
        <v>11078</v>
      </c>
      <c r="D1466" s="82" t="s">
        <v>3140</v>
      </c>
      <c r="E1466" s="82"/>
      <c r="F1466" s="86">
        <v>45843</v>
      </c>
      <c r="G1466" s="87">
        <v>2700</v>
      </c>
      <c r="H1466" s="88">
        <v>4332.9028091701648</v>
      </c>
      <c r="I1466" s="89">
        <v>80</v>
      </c>
      <c r="J1466" s="90">
        <v>13419</v>
      </c>
      <c r="K1466" s="85">
        <v>0</v>
      </c>
      <c r="L1466" s="85">
        <v>740</v>
      </c>
      <c r="M1466" s="85">
        <v>0</v>
      </c>
      <c r="N1466" s="82" t="s">
        <v>11102</v>
      </c>
      <c r="O1466" s="83"/>
    </row>
    <row r="1467" spans="1:15" ht="22.5" customHeight="1">
      <c r="A1467" s="85">
        <v>174904221976312</v>
      </c>
      <c r="B1467" s="82" t="s">
        <v>10651</v>
      </c>
      <c r="C1467" s="82" t="s">
        <v>10731</v>
      </c>
      <c r="D1467" s="82" t="s">
        <v>10732</v>
      </c>
      <c r="E1467" s="82">
        <v>6281241440688</v>
      </c>
      <c r="F1467" s="86">
        <v>45843</v>
      </c>
      <c r="G1467" s="87">
        <v>1739</v>
      </c>
      <c r="H1467" s="88">
        <v>5673.1150793650795</v>
      </c>
      <c r="I1467" s="89">
        <v>18</v>
      </c>
      <c r="J1467" s="90">
        <v>11437</v>
      </c>
      <c r="K1467" s="85">
        <v>1</v>
      </c>
      <c r="L1467" s="85">
        <v>648</v>
      </c>
      <c r="M1467" s="85">
        <v>0</v>
      </c>
      <c r="N1467" s="82" t="s">
        <v>10733</v>
      </c>
      <c r="O1467" s="83"/>
    </row>
    <row r="1468" spans="1:15" ht="22.5" customHeight="1">
      <c r="A1468" s="85">
        <v>174904221976312</v>
      </c>
      <c r="B1468" s="82" t="s">
        <v>10651</v>
      </c>
      <c r="C1468" s="82" t="s">
        <v>10833</v>
      </c>
      <c r="D1468" s="82" t="s">
        <v>10834</v>
      </c>
      <c r="E1468" s="82">
        <v>6282242925264</v>
      </c>
      <c r="F1468" s="86">
        <v>45843</v>
      </c>
      <c r="G1468" s="87">
        <v>2904</v>
      </c>
      <c r="H1468" s="88">
        <v>4941.4828431372553</v>
      </c>
      <c r="I1468" s="89">
        <v>93</v>
      </c>
      <c r="J1468" s="90">
        <v>16129</v>
      </c>
      <c r="K1468" s="85">
        <v>6</v>
      </c>
      <c r="L1468" s="85">
        <v>843</v>
      </c>
      <c r="M1468" s="85">
        <v>0</v>
      </c>
      <c r="N1468" s="82" t="s">
        <v>10835</v>
      </c>
      <c r="O1468" s="83"/>
    </row>
    <row r="1469" spans="1:15" ht="22.5" customHeight="1">
      <c r="A1469" s="85">
        <v>766589657993298</v>
      </c>
      <c r="B1469" s="82" t="s">
        <v>10688</v>
      </c>
      <c r="C1469" s="82" t="s">
        <v>11103</v>
      </c>
      <c r="D1469" s="82" t="s">
        <v>11104</v>
      </c>
      <c r="E1469" s="82">
        <v>6282124027899</v>
      </c>
      <c r="F1469" s="86">
        <v>45843</v>
      </c>
      <c r="G1469" s="87">
        <v>1059</v>
      </c>
      <c r="H1469" s="88">
        <v>9289.4736842105249</v>
      </c>
      <c r="I1469" s="89">
        <v>27</v>
      </c>
      <c r="J1469" s="90">
        <v>12708</v>
      </c>
      <c r="K1469" s="85">
        <v>0</v>
      </c>
      <c r="L1469" s="85">
        <v>296</v>
      </c>
      <c r="M1469" s="85">
        <v>1</v>
      </c>
      <c r="N1469" s="82" t="s">
        <v>11105</v>
      </c>
      <c r="O1469" s="83"/>
    </row>
    <row r="1470" spans="1:15" ht="22.5" customHeight="1">
      <c r="A1470" s="85">
        <v>766589657993298</v>
      </c>
      <c r="B1470" s="82" t="s">
        <v>10688</v>
      </c>
      <c r="C1470" s="82" t="s">
        <v>11106</v>
      </c>
      <c r="D1470" s="82" t="s">
        <v>1632</v>
      </c>
      <c r="E1470" s="82">
        <v>6281290414113</v>
      </c>
      <c r="F1470" s="86">
        <v>45843</v>
      </c>
      <c r="G1470" s="87">
        <v>1202</v>
      </c>
      <c r="H1470" s="88">
        <v>10177.304964539006</v>
      </c>
      <c r="I1470" s="89">
        <v>7</v>
      </c>
      <c r="J1470" s="90">
        <v>12915</v>
      </c>
      <c r="K1470" s="85">
        <v>0</v>
      </c>
      <c r="L1470" s="85">
        <v>107</v>
      </c>
      <c r="M1470" s="85">
        <v>0</v>
      </c>
      <c r="N1470" s="82" t="s">
        <v>11107</v>
      </c>
      <c r="O1470" s="83"/>
    </row>
    <row r="1471" spans="1:15" ht="22.5" customHeight="1">
      <c r="A1471" s="85">
        <v>766589657993298</v>
      </c>
      <c r="B1471" s="82" t="s">
        <v>10688</v>
      </c>
      <c r="C1471" s="82" t="s">
        <v>11108</v>
      </c>
      <c r="D1471" s="82" t="s">
        <v>11109</v>
      </c>
      <c r="E1471" s="82">
        <v>62818763108</v>
      </c>
      <c r="F1471" s="86">
        <v>45843</v>
      </c>
      <c r="G1471" s="87">
        <v>331</v>
      </c>
      <c r="H1471" s="88">
        <v>36397.222222222226</v>
      </c>
      <c r="I1471" s="89">
        <v>11</v>
      </c>
      <c r="J1471" s="90">
        <v>13103</v>
      </c>
      <c r="K1471" s="85">
        <v>2</v>
      </c>
      <c r="L1471" s="85">
        <v>35</v>
      </c>
      <c r="M1471" s="85">
        <v>0</v>
      </c>
      <c r="N1471" s="82" t="s">
        <v>11110</v>
      </c>
      <c r="O1471" s="83"/>
    </row>
    <row r="1472" spans="1:15" ht="22.5" customHeight="1">
      <c r="A1472" s="85">
        <v>766589657993298</v>
      </c>
      <c r="B1472" s="82" t="s">
        <v>10688</v>
      </c>
      <c r="C1472" s="82" t="s">
        <v>11080</v>
      </c>
      <c r="D1472" s="82" t="s">
        <v>1408</v>
      </c>
      <c r="E1472" s="82">
        <v>6282211473253</v>
      </c>
      <c r="F1472" s="86">
        <v>45843</v>
      </c>
      <c r="G1472" s="87">
        <v>334</v>
      </c>
      <c r="H1472" s="88">
        <v>40635.204081632648</v>
      </c>
      <c r="I1472" s="89">
        <v>6</v>
      </c>
      <c r="J1472" s="90">
        <v>15929</v>
      </c>
      <c r="K1472" s="85">
        <v>0</v>
      </c>
      <c r="L1472" s="85">
        <v>45</v>
      </c>
      <c r="M1472" s="85">
        <v>0</v>
      </c>
      <c r="N1472" s="82" t="s">
        <v>11081</v>
      </c>
      <c r="O1472" s="83"/>
    </row>
    <row r="1473" spans="1:15" ht="22.5" customHeight="1">
      <c r="A1473" s="85">
        <v>766589657993298</v>
      </c>
      <c r="B1473" s="82" t="s">
        <v>10688</v>
      </c>
      <c r="C1473" s="82" t="s">
        <v>11082</v>
      </c>
      <c r="D1473" s="82" t="s">
        <v>11083</v>
      </c>
      <c r="E1473" s="82">
        <v>6288980619907</v>
      </c>
      <c r="F1473" s="86">
        <v>45843</v>
      </c>
      <c r="G1473" s="87">
        <v>390</v>
      </c>
      <c r="H1473" s="88">
        <v>34086.497890295352</v>
      </c>
      <c r="I1473" s="89">
        <v>12</v>
      </c>
      <c r="J1473" s="90">
        <v>16157</v>
      </c>
      <c r="K1473" s="85">
        <v>1</v>
      </c>
      <c r="L1473" s="85">
        <v>51</v>
      </c>
      <c r="M1473" s="85">
        <v>0</v>
      </c>
      <c r="N1473" s="82" t="s">
        <v>11084</v>
      </c>
      <c r="O1473" s="83"/>
    </row>
    <row r="1474" spans="1:15" ht="22.5" customHeight="1">
      <c r="A1474" s="85">
        <v>766589657993298</v>
      </c>
      <c r="B1474" s="82" t="s">
        <v>10688</v>
      </c>
      <c r="C1474" s="82" t="s">
        <v>11053</v>
      </c>
      <c r="D1474" s="82" t="s">
        <v>1579</v>
      </c>
      <c r="E1474" s="82">
        <v>6285647189964</v>
      </c>
      <c r="F1474" s="86">
        <v>45843</v>
      </c>
      <c r="G1474" s="87">
        <v>16</v>
      </c>
      <c r="H1474" s="88">
        <v>17500</v>
      </c>
      <c r="I1474" s="89">
        <v>0</v>
      </c>
      <c r="J1474" s="90">
        <v>280</v>
      </c>
      <c r="K1474" s="85">
        <v>0</v>
      </c>
      <c r="L1474" s="85">
        <v>0</v>
      </c>
      <c r="M1474" s="85">
        <v>0</v>
      </c>
      <c r="N1474" s="82" t="s">
        <v>11054</v>
      </c>
      <c r="O1474" s="83"/>
    </row>
    <row r="1475" spans="1:15" ht="22.5" customHeight="1">
      <c r="A1475" s="85">
        <v>766589657993298</v>
      </c>
      <c r="B1475" s="82" t="s">
        <v>10688</v>
      </c>
      <c r="C1475" s="82" t="s">
        <v>11026</v>
      </c>
      <c r="D1475" s="82" t="s">
        <v>1172</v>
      </c>
      <c r="E1475" s="82">
        <v>6285950836788</v>
      </c>
      <c r="F1475" s="86">
        <v>45843</v>
      </c>
      <c r="G1475" s="87">
        <v>465</v>
      </c>
      <c r="H1475" s="88">
        <v>31911.82364729459</v>
      </c>
      <c r="I1475" s="89">
        <v>17</v>
      </c>
      <c r="J1475" s="90">
        <v>15924</v>
      </c>
      <c r="K1475" s="85">
        <v>4</v>
      </c>
      <c r="L1475" s="85">
        <v>161</v>
      </c>
      <c r="M1475" s="85">
        <v>0</v>
      </c>
      <c r="N1475" s="82" t="s">
        <v>11027</v>
      </c>
      <c r="O1475" s="83"/>
    </row>
    <row r="1476" spans="1:15" ht="22.5" customHeight="1">
      <c r="A1476" s="85">
        <v>766589657993298</v>
      </c>
      <c r="B1476" s="82" t="s">
        <v>10688</v>
      </c>
      <c r="C1476" s="82" t="s">
        <v>10879</v>
      </c>
      <c r="D1476" s="82" t="s">
        <v>10880</v>
      </c>
      <c r="E1476" s="82">
        <v>6281215851833</v>
      </c>
      <c r="F1476" s="86">
        <v>45843</v>
      </c>
      <c r="G1476" s="87">
        <v>597</v>
      </c>
      <c r="H1476" s="88">
        <v>28550</v>
      </c>
      <c r="I1476" s="89">
        <v>25</v>
      </c>
      <c r="J1476" s="90">
        <v>19414</v>
      </c>
      <c r="K1476" s="85">
        <v>1</v>
      </c>
      <c r="L1476" s="85">
        <v>0</v>
      </c>
      <c r="M1476" s="85">
        <v>0</v>
      </c>
      <c r="N1476" s="82" t="s">
        <v>10881</v>
      </c>
      <c r="O1476" s="83"/>
    </row>
    <row r="1477" spans="1:15" ht="22.5" customHeight="1">
      <c r="A1477" s="85">
        <v>766589657993298</v>
      </c>
      <c r="B1477" s="82" t="s">
        <v>10688</v>
      </c>
      <c r="C1477" s="82" t="s">
        <v>10800</v>
      </c>
      <c r="D1477" s="82" t="s">
        <v>472</v>
      </c>
      <c r="E1477" s="82">
        <v>628114170888</v>
      </c>
      <c r="F1477" s="86">
        <v>45843</v>
      </c>
      <c r="G1477" s="87">
        <v>446</v>
      </c>
      <c r="H1477" s="88">
        <v>31731.531531531531</v>
      </c>
      <c r="I1477" s="89">
        <v>7</v>
      </c>
      <c r="J1477" s="90">
        <v>17611</v>
      </c>
      <c r="K1477" s="85">
        <v>1</v>
      </c>
      <c r="L1477" s="85">
        <v>28</v>
      </c>
      <c r="M1477" s="85">
        <v>0</v>
      </c>
      <c r="N1477" s="82" t="s">
        <v>10801</v>
      </c>
      <c r="O1477" s="83"/>
    </row>
    <row r="1478" spans="1:15" ht="22.5" customHeight="1">
      <c r="A1478" s="85">
        <v>766589657993298</v>
      </c>
      <c r="B1478" s="82" t="s">
        <v>10688</v>
      </c>
      <c r="C1478" s="82" t="s">
        <v>10802</v>
      </c>
      <c r="D1478" s="82" t="s">
        <v>567</v>
      </c>
      <c r="E1478" s="82">
        <v>6285220216325</v>
      </c>
      <c r="F1478" s="86">
        <v>45843</v>
      </c>
      <c r="G1478" s="87">
        <v>7</v>
      </c>
      <c r="H1478" s="88">
        <v>26142.857142857141</v>
      </c>
      <c r="I1478" s="89">
        <v>1</v>
      </c>
      <c r="J1478" s="90">
        <v>183</v>
      </c>
      <c r="K1478" s="85">
        <v>0</v>
      </c>
      <c r="L1478" s="85">
        <v>0</v>
      </c>
      <c r="M1478" s="85">
        <v>0</v>
      </c>
      <c r="N1478" s="82" t="s">
        <v>10803</v>
      </c>
      <c r="O1478" s="83"/>
    </row>
    <row r="1479" spans="1:15" ht="22.5" customHeight="1">
      <c r="A1479" s="85">
        <v>206726568613432</v>
      </c>
      <c r="B1479" s="82" t="s">
        <v>10900</v>
      </c>
      <c r="C1479" s="82" t="s">
        <v>11085</v>
      </c>
      <c r="D1479" s="82" t="s">
        <v>10902</v>
      </c>
      <c r="E1479" s="82">
        <v>6282194694492</v>
      </c>
      <c r="F1479" s="86">
        <v>45843</v>
      </c>
      <c r="G1479" s="87">
        <v>627</v>
      </c>
      <c r="H1479" s="88">
        <v>20464.689265536723</v>
      </c>
      <c r="I1479" s="89">
        <v>40</v>
      </c>
      <c r="J1479" s="90">
        <v>14489</v>
      </c>
      <c r="K1479" s="85">
        <v>9</v>
      </c>
      <c r="L1479" s="85">
        <v>179</v>
      </c>
      <c r="M1479" s="85">
        <v>0</v>
      </c>
      <c r="N1479" s="82" t="s">
        <v>11086</v>
      </c>
      <c r="O1479" s="83"/>
    </row>
    <row r="1480" spans="1:15" ht="22.5" customHeight="1">
      <c r="A1480" s="85">
        <v>206726568613432</v>
      </c>
      <c r="B1480" s="82" t="s">
        <v>10900</v>
      </c>
      <c r="C1480" s="82" t="s">
        <v>11031</v>
      </c>
      <c r="D1480" s="82" t="s">
        <v>11032</v>
      </c>
      <c r="E1480" s="82">
        <v>6285668750416</v>
      </c>
      <c r="F1480" s="86">
        <v>45843</v>
      </c>
      <c r="G1480" s="87">
        <v>1458</v>
      </c>
      <c r="H1480" s="88">
        <v>8914.9338374291128</v>
      </c>
      <c r="I1480" s="89">
        <v>39</v>
      </c>
      <c r="J1480" s="90">
        <v>14148</v>
      </c>
      <c r="K1480" s="85">
        <v>9</v>
      </c>
      <c r="L1480" s="85">
        <v>678</v>
      </c>
      <c r="M1480" s="85">
        <v>0</v>
      </c>
      <c r="N1480" s="82" t="s">
        <v>11033</v>
      </c>
      <c r="O1480" s="83"/>
    </row>
    <row r="1481" spans="1:15" ht="22.5" customHeight="1">
      <c r="A1481" s="85">
        <v>759724529202804</v>
      </c>
      <c r="B1481" s="82" t="s">
        <v>10621</v>
      </c>
      <c r="C1481" s="82" t="s">
        <v>11111</v>
      </c>
      <c r="D1481" s="82" t="s">
        <v>11112</v>
      </c>
      <c r="E1481" s="82">
        <v>6282145068631</v>
      </c>
      <c r="F1481" s="86">
        <v>45844</v>
      </c>
      <c r="G1481" s="87">
        <v>2011</v>
      </c>
      <c r="H1481" s="88">
        <v>5666.9175762137747</v>
      </c>
      <c r="I1481" s="89">
        <v>36</v>
      </c>
      <c r="J1481" s="90">
        <v>15057</v>
      </c>
      <c r="K1481" s="85">
        <v>2</v>
      </c>
      <c r="L1481" s="85">
        <v>65</v>
      </c>
      <c r="M1481" s="85">
        <v>0</v>
      </c>
      <c r="N1481" s="82" t="s">
        <v>11113</v>
      </c>
      <c r="O1481" s="83"/>
    </row>
    <row r="1482" spans="1:15" ht="22.5" customHeight="1">
      <c r="A1482" s="85">
        <v>759724529202804</v>
      </c>
      <c r="B1482" s="82" t="s">
        <v>10621</v>
      </c>
      <c r="C1482" s="82" t="s">
        <v>11061</v>
      </c>
      <c r="D1482" s="82" t="s">
        <v>1640</v>
      </c>
      <c r="E1482" s="82">
        <v>6282164919126</v>
      </c>
      <c r="F1482" s="86">
        <v>45844</v>
      </c>
      <c r="G1482" s="87">
        <v>639</v>
      </c>
      <c r="H1482" s="88">
        <v>17913.730255164031</v>
      </c>
      <c r="I1482" s="89">
        <v>33</v>
      </c>
      <c r="J1482" s="90">
        <v>14743</v>
      </c>
      <c r="K1482" s="85">
        <v>5</v>
      </c>
      <c r="L1482" s="85">
        <v>88</v>
      </c>
      <c r="M1482" s="85">
        <v>1</v>
      </c>
      <c r="N1482" s="82" t="s">
        <v>11062</v>
      </c>
      <c r="O1482" s="83"/>
    </row>
    <row r="1483" spans="1:15" ht="22.5" customHeight="1">
      <c r="A1483" s="85">
        <v>759724529202804</v>
      </c>
      <c r="B1483" s="82" t="s">
        <v>10621</v>
      </c>
      <c r="C1483" s="82" t="s">
        <v>11063</v>
      </c>
      <c r="D1483" s="82" t="s">
        <v>11064</v>
      </c>
      <c r="E1483" s="82">
        <v>62882003293835</v>
      </c>
      <c r="F1483" s="86">
        <v>45844</v>
      </c>
      <c r="G1483" s="87">
        <v>241</v>
      </c>
      <c r="H1483" s="88">
        <v>50293.515358361772</v>
      </c>
      <c r="I1483" s="89">
        <v>7</v>
      </c>
      <c r="J1483" s="90">
        <v>14736</v>
      </c>
      <c r="K1483" s="85">
        <v>0</v>
      </c>
      <c r="L1483" s="85">
        <v>51</v>
      </c>
      <c r="M1483" s="85">
        <v>0</v>
      </c>
      <c r="N1483" s="82" t="s">
        <v>11065</v>
      </c>
      <c r="O1483" s="83"/>
    </row>
    <row r="1484" spans="1:15" ht="22.5" customHeight="1">
      <c r="A1484" s="85">
        <v>759724529202804</v>
      </c>
      <c r="B1484" s="82" t="s">
        <v>10621</v>
      </c>
      <c r="C1484" s="82" t="s">
        <v>11066</v>
      </c>
      <c r="D1484" s="82" t="s">
        <v>1602</v>
      </c>
      <c r="E1484" s="82">
        <v>6282228737559</v>
      </c>
      <c r="F1484" s="86">
        <v>45844</v>
      </c>
      <c r="G1484" s="87">
        <v>955</v>
      </c>
      <c r="H1484" s="88">
        <v>14703.007518796992</v>
      </c>
      <c r="I1484" s="89">
        <v>56</v>
      </c>
      <c r="J1484" s="90">
        <v>15644</v>
      </c>
      <c r="K1484" s="85">
        <v>8</v>
      </c>
      <c r="L1484" s="85">
        <v>515</v>
      </c>
      <c r="M1484" s="85">
        <v>1</v>
      </c>
      <c r="N1484" s="82" t="s">
        <v>11067</v>
      </c>
      <c r="O1484" s="83"/>
    </row>
    <row r="1485" spans="1:15" ht="22.5" customHeight="1">
      <c r="A1485" s="85">
        <v>759724529202804</v>
      </c>
      <c r="B1485" s="82" t="s">
        <v>10621</v>
      </c>
      <c r="C1485" s="82" t="s">
        <v>11068</v>
      </c>
      <c r="D1485" s="82" t="s">
        <v>7857</v>
      </c>
      <c r="E1485" s="82">
        <v>6282285691485</v>
      </c>
      <c r="F1485" s="86">
        <v>45844</v>
      </c>
      <c r="G1485" s="87">
        <v>543</v>
      </c>
      <c r="H1485" s="88">
        <v>21620.643431635392</v>
      </c>
      <c r="I1485" s="89">
        <v>17</v>
      </c>
      <c r="J1485" s="90">
        <v>16129</v>
      </c>
      <c r="K1485" s="85">
        <v>0</v>
      </c>
      <c r="L1485" s="85">
        <v>0</v>
      </c>
      <c r="M1485" s="85">
        <v>0</v>
      </c>
      <c r="N1485" s="82" t="s">
        <v>11069</v>
      </c>
      <c r="O1485" s="83"/>
    </row>
    <row r="1486" spans="1:15" ht="22.5" customHeight="1">
      <c r="A1486" s="85">
        <v>759724529202804</v>
      </c>
      <c r="B1486" s="82" t="s">
        <v>10621</v>
      </c>
      <c r="C1486" s="82" t="s">
        <v>11070</v>
      </c>
      <c r="D1486" s="82" t="s">
        <v>11071</v>
      </c>
      <c r="E1486" s="82">
        <v>6281246211381</v>
      </c>
      <c r="F1486" s="86">
        <v>45844</v>
      </c>
      <c r="G1486" s="87">
        <v>608</v>
      </c>
      <c r="H1486" s="88">
        <v>20637.860082304527</v>
      </c>
      <c r="I1486" s="89">
        <v>13</v>
      </c>
      <c r="J1486" s="90">
        <v>15045</v>
      </c>
      <c r="K1486" s="85">
        <v>4</v>
      </c>
      <c r="L1486" s="85">
        <v>42</v>
      </c>
      <c r="M1486" s="85">
        <v>0</v>
      </c>
      <c r="N1486" s="82" t="s">
        <v>11072</v>
      </c>
      <c r="O1486" s="83"/>
    </row>
    <row r="1487" spans="1:15" ht="22.5" customHeight="1">
      <c r="A1487" s="85">
        <v>759724529202804</v>
      </c>
      <c r="B1487" s="82" t="s">
        <v>10621</v>
      </c>
      <c r="C1487" s="82" t="s">
        <v>11034</v>
      </c>
      <c r="D1487" s="82" t="s">
        <v>11035</v>
      </c>
      <c r="E1487" s="82">
        <v>6288297718776</v>
      </c>
      <c r="F1487" s="86">
        <v>45844</v>
      </c>
      <c r="G1487" s="87">
        <v>271</v>
      </c>
      <c r="H1487" s="88">
        <v>46722.929936305729</v>
      </c>
      <c r="I1487" s="89">
        <v>8</v>
      </c>
      <c r="J1487" s="90">
        <v>14671</v>
      </c>
      <c r="K1487" s="85">
        <v>2</v>
      </c>
      <c r="L1487" s="85">
        <v>120</v>
      </c>
      <c r="M1487" s="85">
        <v>0</v>
      </c>
      <c r="N1487" s="82" t="s">
        <v>11036</v>
      </c>
      <c r="O1487" s="83"/>
    </row>
    <row r="1488" spans="1:15" ht="22.5" customHeight="1">
      <c r="A1488" s="85">
        <v>759724529202804</v>
      </c>
      <c r="B1488" s="82" t="s">
        <v>10621</v>
      </c>
      <c r="C1488" s="82" t="s">
        <v>11037</v>
      </c>
      <c r="D1488" s="82" t="s">
        <v>199</v>
      </c>
      <c r="E1488" s="82">
        <v>6285220903499</v>
      </c>
      <c r="F1488" s="86">
        <v>45844</v>
      </c>
      <c r="G1488" s="87">
        <v>879</v>
      </c>
      <c r="H1488" s="88">
        <v>14847.537878787878</v>
      </c>
      <c r="I1488" s="89">
        <v>25</v>
      </c>
      <c r="J1488" s="90">
        <v>15679</v>
      </c>
      <c r="K1488" s="85">
        <v>7</v>
      </c>
      <c r="L1488" s="85">
        <v>375</v>
      </c>
      <c r="M1488" s="85">
        <v>0</v>
      </c>
      <c r="N1488" s="82" t="s">
        <v>11038</v>
      </c>
      <c r="O1488" s="83"/>
    </row>
    <row r="1489" spans="1:15" ht="22.5" customHeight="1">
      <c r="A1489" s="85">
        <v>759724529202804</v>
      </c>
      <c r="B1489" s="82" t="s">
        <v>10621</v>
      </c>
      <c r="C1489" s="82" t="s">
        <v>11016</v>
      </c>
      <c r="D1489" s="82" t="s">
        <v>1530</v>
      </c>
      <c r="E1489" s="82">
        <v>628111988553</v>
      </c>
      <c r="F1489" s="86">
        <v>45844</v>
      </c>
      <c r="G1489" s="87">
        <v>271</v>
      </c>
      <c r="H1489" s="88">
        <v>49085.526315789473</v>
      </c>
      <c r="I1489" s="89">
        <v>19</v>
      </c>
      <c r="J1489" s="90">
        <v>14922</v>
      </c>
      <c r="K1489" s="85">
        <v>0</v>
      </c>
      <c r="L1489" s="85">
        <v>80</v>
      </c>
      <c r="M1489" s="85">
        <v>0</v>
      </c>
      <c r="N1489" s="82" t="s">
        <v>11017</v>
      </c>
      <c r="O1489" s="83"/>
    </row>
    <row r="1490" spans="1:15" ht="22.5" customHeight="1">
      <c r="A1490" s="85">
        <v>759724529202804</v>
      </c>
      <c r="B1490" s="82" t="s">
        <v>10621</v>
      </c>
      <c r="C1490" s="82" t="s">
        <v>10986</v>
      </c>
      <c r="D1490" s="82" t="s">
        <v>10987</v>
      </c>
      <c r="E1490" s="82">
        <v>6281282183261</v>
      </c>
      <c r="F1490" s="86">
        <v>45844</v>
      </c>
      <c r="G1490" s="87">
        <v>387</v>
      </c>
      <c r="H1490" s="88">
        <v>29905.32544378698</v>
      </c>
      <c r="I1490" s="89">
        <v>23</v>
      </c>
      <c r="J1490" s="90">
        <v>15162</v>
      </c>
      <c r="K1490" s="85">
        <v>8</v>
      </c>
      <c r="L1490" s="85">
        <v>1</v>
      </c>
      <c r="M1490" s="85">
        <v>0</v>
      </c>
      <c r="N1490" s="82" t="s">
        <v>10988</v>
      </c>
      <c r="O1490" s="83"/>
    </row>
    <row r="1491" spans="1:15" ht="22.5" customHeight="1">
      <c r="A1491" s="85">
        <v>759724529202804</v>
      </c>
      <c r="B1491" s="82" t="s">
        <v>10621</v>
      </c>
      <c r="C1491" s="82" t="s">
        <v>1334</v>
      </c>
      <c r="D1491" s="82" t="s">
        <v>11005</v>
      </c>
      <c r="E1491" s="82">
        <v>6281366622333</v>
      </c>
      <c r="F1491" s="86">
        <v>45844</v>
      </c>
      <c r="G1491" s="87">
        <v>623</v>
      </c>
      <c r="H1491" s="88">
        <v>18796.526054590573</v>
      </c>
      <c r="I1491" s="89">
        <v>19</v>
      </c>
      <c r="J1491" s="90">
        <v>15150</v>
      </c>
      <c r="K1491" s="85">
        <v>1</v>
      </c>
      <c r="L1491" s="85">
        <v>168</v>
      </c>
      <c r="M1491" s="85">
        <v>0</v>
      </c>
      <c r="N1491" s="82" t="s">
        <v>11006</v>
      </c>
      <c r="O1491" s="83"/>
    </row>
    <row r="1492" spans="1:15" ht="22.5" customHeight="1">
      <c r="A1492" s="85">
        <v>174904221976312</v>
      </c>
      <c r="B1492" s="82" t="s">
        <v>10651</v>
      </c>
      <c r="C1492" s="82" t="s">
        <v>11114</v>
      </c>
      <c r="D1492" s="82" t="s">
        <v>11115</v>
      </c>
      <c r="E1492" s="82">
        <v>6281323910830</v>
      </c>
      <c r="F1492" s="86">
        <v>45844</v>
      </c>
      <c r="G1492" s="87">
        <v>826</v>
      </c>
      <c r="H1492" s="88">
        <v>14089.473684210527</v>
      </c>
      <c r="I1492" s="89">
        <v>36</v>
      </c>
      <c r="J1492" s="90">
        <v>13385</v>
      </c>
      <c r="K1492" s="85">
        <v>5</v>
      </c>
      <c r="L1492" s="85">
        <v>27</v>
      </c>
      <c r="M1492" s="85">
        <v>0</v>
      </c>
      <c r="N1492" s="82" t="s">
        <v>11116</v>
      </c>
      <c r="O1492" s="83"/>
    </row>
    <row r="1493" spans="1:15" ht="22.5" customHeight="1">
      <c r="A1493" s="85">
        <v>174904221976312</v>
      </c>
      <c r="B1493" s="82" t="s">
        <v>10651</v>
      </c>
      <c r="C1493" s="82" t="s">
        <v>11117</v>
      </c>
      <c r="D1493" s="82" t="s">
        <v>11118</v>
      </c>
      <c r="E1493" s="82">
        <v>6282169851900</v>
      </c>
      <c r="F1493" s="86">
        <v>45844</v>
      </c>
      <c r="G1493" s="87">
        <v>681</v>
      </c>
      <c r="H1493" s="88">
        <v>13182.237600922723</v>
      </c>
      <c r="I1493" s="89">
        <v>27</v>
      </c>
      <c r="J1493" s="90">
        <v>11429</v>
      </c>
      <c r="K1493" s="85">
        <v>1</v>
      </c>
      <c r="L1493" s="85">
        <v>221</v>
      </c>
      <c r="M1493" s="85">
        <v>0</v>
      </c>
      <c r="N1493" s="82" t="s">
        <v>11119</v>
      </c>
      <c r="O1493" s="83"/>
    </row>
    <row r="1494" spans="1:15" ht="22.5" customHeight="1">
      <c r="A1494" s="85">
        <v>174904221976312</v>
      </c>
      <c r="B1494" s="82" t="s">
        <v>10651</v>
      </c>
      <c r="C1494" s="82" t="s">
        <v>11120</v>
      </c>
      <c r="D1494" s="82" t="s">
        <v>11121</v>
      </c>
      <c r="E1494" s="82">
        <v>6282125330919</v>
      </c>
      <c r="F1494" s="86">
        <v>45844</v>
      </c>
      <c r="G1494" s="87">
        <v>463</v>
      </c>
      <c r="H1494" s="88">
        <v>22694.200351493848</v>
      </c>
      <c r="I1494" s="89">
        <v>24</v>
      </c>
      <c r="J1494" s="90">
        <v>12913</v>
      </c>
      <c r="K1494" s="85">
        <v>3</v>
      </c>
      <c r="L1494" s="85">
        <v>0</v>
      </c>
      <c r="M1494" s="85">
        <v>2</v>
      </c>
      <c r="N1494" s="82" t="s">
        <v>11122</v>
      </c>
      <c r="O1494" s="83"/>
    </row>
    <row r="1495" spans="1:15" ht="22.5" customHeight="1">
      <c r="A1495" s="85">
        <v>174904221976312</v>
      </c>
      <c r="B1495" s="82" t="s">
        <v>10651</v>
      </c>
      <c r="C1495" s="82" t="s">
        <v>11123</v>
      </c>
      <c r="D1495" s="82" t="s">
        <v>11124</v>
      </c>
      <c r="E1495" s="82">
        <v>628111508569</v>
      </c>
      <c r="F1495" s="86">
        <v>45844</v>
      </c>
      <c r="G1495" s="87">
        <v>512</v>
      </c>
      <c r="H1495" s="88">
        <v>21114.864864864863</v>
      </c>
      <c r="I1495" s="89">
        <v>10</v>
      </c>
      <c r="J1495" s="90">
        <v>12500</v>
      </c>
      <c r="K1495" s="85">
        <v>3</v>
      </c>
      <c r="L1495" s="85">
        <v>0</v>
      </c>
      <c r="M1495" s="85">
        <v>1</v>
      </c>
      <c r="N1495" s="82" t="s">
        <v>11125</v>
      </c>
      <c r="O1495" s="83"/>
    </row>
    <row r="1496" spans="1:15" ht="22.5" customHeight="1">
      <c r="A1496" s="85">
        <v>174904221976312</v>
      </c>
      <c r="B1496" s="82" t="s">
        <v>10651</v>
      </c>
      <c r="C1496" s="82" t="s">
        <v>11087</v>
      </c>
      <c r="D1496" s="82" t="s">
        <v>11088</v>
      </c>
      <c r="E1496" s="82">
        <v>6282115608585</v>
      </c>
      <c r="F1496" s="86">
        <v>45844</v>
      </c>
      <c r="G1496" s="87">
        <v>593</v>
      </c>
      <c r="H1496" s="88">
        <v>16633.597883597882</v>
      </c>
      <c r="I1496" s="89">
        <v>47</v>
      </c>
      <c r="J1496" s="90">
        <v>12575</v>
      </c>
      <c r="K1496" s="85">
        <v>10</v>
      </c>
      <c r="L1496" s="85">
        <v>0</v>
      </c>
      <c r="M1496" s="85">
        <v>0</v>
      </c>
      <c r="N1496" s="82" t="s">
        <v>11089</v>
      </c>
      <c r="O1496" s="83"/>
    </row>
    <row r="1497" spans="1:15" ht="22.5" customHeight="1">
      <c r="A1497" s="85">
        <v>174904221976312</v>
      </c>
      <c r="B1497" s="82" t="s">
        <v>10651</v>
      </c>
      <c r="C1497" s="82" t="s">
        <v>11090</v>
      </c>
      <c r="D1497" s="82" t="s">
        <v>11091</v>
      </c>
      <c r="E1497" s="82">
        <v>6282192773278</v>
      </c>
      <c r="F1497" s="86">
        <v>45844</v>
      </c>
      <c r="G1497" s="87">
        <v>1900</v>
      </c>
      <c r="H1497" s="88">
        <v>6762.1383030897496</v>
      </c>
      <c r="I1497" s="89">
        <v>118</v>
      </c>
      <c r="J1497" s="90">
        <v>13788</v>
      </c>
      <c r="K1497" s="85">
        <v>9</v>
      </c>
      <c r="L1497" s="85">
        <v>934</v>
      </c>
      <c r="M1497" s="85">
        <v>2</v>
      </c>
      <c r="N1497" s="82" t="s">
        <v>11092</v>
      </c>
      <c r="O1497" s="83"/>
    </row>
    <row r="1498" spans="1:15" ht="22.5" customHeight="1">
      <c r="A1498" s="85">
        <v>174904221976312</v>
      </c>
      <c r="B1498" s="82" t="s">
        <v>10651</v>
      </c>
      <c r="C1498" s="82" t="s">
        <v>11093</v>
      </c>
      <c r="D1498" s="82" t="s">
        <v>11094</v>
      </c>
      <c r="E1498" s="82">
        <v>6282227027805</v>
      </c>
      <c r="F1498" s="86">
        <v>45844</v>
      </c>
      <c r="G1498" s="87">
        <v>17</v>
      </c>
      <c r="H1498" s="88">
        <v>51777.777777777781</v>
      </c>
      <c r="I1498" s="89">
        <v>0</v>
      </c>
      <c r="J1498" s="90">
        <v>932</v>
      </c>
      <c r="K1498" s="85">
        <v>0</v>
      </c>
      <c r="L1498" s="85">
        <v>0</v>
      </c>
      <c r="M1498" s="85">
        <v>0</v>
      </c>
      <c r="N1498" s="82" t="s">
        <v>11095</v>
      </c>
      <c r="O1498" s="83"/>
    </row>
    <row r="1499" spans="1:15" ht="22.5" customHeight="1">
      <c r="A1499" s="85">
        <v>174904221976312</v>
      </c>
      <c r="B1499" s="82" t="s">
        <v>10651</v>
      </c>
      <c r="C1499" s="82" t="s">
        <v>11096</v>
      </c>
      <c r="D1499" s="82" t="s">
        <v>11097</v>
      </c>
      <c r="E1499" s="82">
        <v>6282125000978</v>
      </c>
      <c r="F1499" s="86">
        <v>45844</v>
      </c>
      <c r="G1499" s="87">
        <v>966</v>
      </c>
      <c r="H1499" s="88">
        <v>13059.504132231405</v>
      </c>
      <c r="I1499" s="89">
        <v>36</v>
      </c>
      <c r="J1499" s="90">
        <v>15802</v>
      </c>
      <c r="K1499" s="85">
        <v>7</v>
      </c>
      <c r="L1499" s="85">
        <v>31</v>
      </c>
      <c r="M1499" s="85">
        <v>0</v>
      </c>
      <c r="N1499" s="82" t="s">
        <v>11126</v>
      </c>
      <c r="O1499" s="83"/>
    </row>
    <row r="1500" spans="1:15" ht="22.5" customHeight="1">
      <c r="A1500" s="85">
        <v>174904221976312</v>
      </c>
      <c r="B1500" s="82" t="s">
        <v>10651</v>
      </c>
      <c r="C1500" s="82" t="s">
        <v>11127</v>
      </c>
      <c r="D1500" s="82" t="s">
        <v>11128</v>
      </c>
      <c r="E1500" s="82">
        <v>6281355026552</v>
      </c>
      <c r="F1500" s="86">
        <v>45844</v>
      </c>
      <c r="G1500" s="87">
        <v>782</v>
      </c>
      <c r="H1500" s="88">
        <v>14491.080797481636</v>
      </c>
      <c r="I1500" s="89">
        <v>73</v>
      </c>
      <c r="J1500" s="90">
        <v>13810</v>
      </c>
      <c r="K1500" s="85">
        <v>18</v>
      </c>
      <c r="L1500" s="85">
        <v>291</v>
      </c>
      <c r="M1500" s="85">
        <v>1</v>
      </c>
      <c r="N1500" s="82" t="s">
        <v>11129</v>
      </c>
      <c r="O1500" s="83"/>
    </row>
    <row r="1501" spans="1:15" ht="22.5" customHeight="1">
      <c r="A1501" s="85">
        <v>174904221976312</v>
      </c>
      <c r="B1501" s="82" t="s">
        <v>10651</v>
      </c>
      <c r="C1501" s="82" t="s">
        <v>11099</v>
      </c>
      <c r="D1501" s="82" t="s">
        <v>11100</v>
      </c>
      <c r="E1501" s="82">
        <v>6281352626888</v>
      </c>
      <c r="F1501" s="86">
        <v>45844</v>
      </c>
      <c r="G1501" s="87">
        <v>1138</v>
      </c>
      <c r="H1501" s="88">
        <v>10019.693654266959</v>
      </c>
      <c r="I1501" s="89">
        <v>31</v>
      </c>
      <c r="J1501" s="90">
        <v>13737</v>
      </c>
      <c r="K1501" s="85">
        <v>5</v>
      </c>
      <c r="L1501" s="85">
        <v>12</v>
      </c>
      <c r="M1501" s="85">
        <v>0</v>
      </c>
      <c r="N1501" s="82" t="s">
        <v>11101</v>
      </c>
      <c r="O1501" s="83"/>
    </row>
    <row r="1502" spans="1:15" ht="22.5" customHeight="1">
      <c r="A1502" s="85">
        <v>174904221976312</v>
      </c>
      <c r="B1502" s="82" t="s">
        <v>10651</v>
      </c>
      <c r="C1502" s="82" t="s">
        <v>11075</v>
      </c>
      <c r="D1502" s="82" t="s">
        <v>11076</v>
      </c>
      <c r="E1502" s="82">
        <v>6281378152512</v>
      </c>
      <c r="F1502" s="86">
        <v>45844</v>
      </c>
      <c r="G1502" s="87">
        <v>804</v>
      </c>
      <c r="H1502" s="88">
        <v>12608.069164265129</v>
      </c>
      <c r="I1502" s="89">
        <v>31</v>
      </c>
      <c r="J1502" s="90">
        <v>13125</v>
      </c>
      <c r="K1502" s="85">
        <v>3</v>
      </c>
      <c r="L1502" s="85">
        <v>112</v>
      </c>
      <c r="M1502" s="85">
        <v>1</v>
      </c>
      <c r="N1502" s="82" t="s">
        <v>11077</v>
      </c>
      <c r="O1502" s="83"/>
    </row>
    <row r="1503" spans="1:15" ht="22.5" customHeight="1">
      <c r="A1503" s="85">
        <v>174904221976312</v>
      </c>
      <c r="B1503" s="82" t="s">
        <v>10651</v>
      </c>
      <c r="C1503" s="82" t="s">
        <v>11039</v>
      </c>
      <c r="D1503" s="82" t="s">
        <v>11040</v>
      </c>
      <c r="E1503" s="82">
        <v>6281934879222</v>
      </c>
      <c r="F1503" s="86">
        <v>45844</v>
      </c>
      <c r="G1503" s="87">
        <v>810</v>
      </c>
      <c r="H1503" s="88">
        <v>13085.127201565558</v>
      </c>
      <c r="I1503" s="89">
        <v>26</v>
      </c>
      <c r="J1503" s="90">
        <v>13373</v>
      </c>
      <c r="K1503" s="85">
        <v>3</v>
      </c>
      <c r="L1503" s="85">
        <v>204</v>
      </c>
      <c r="M1503" s="85">
        <v>0</v>
      </c>
      <c r="N1503" s="82" t="s">
        <v>11041</v>
      </c>
      <c r="O1503" s="83"/>
    </row>
    <row r="1504" spans="1:15" ht="22.5" customHeight="1">
      <c r="A1504" s="85">
        <v>174904221976312</v>
      </c>
      <c r="B1504" s="82" t="s">
        <v>10651</v>
      </c>
      <c r="C1504" s="82" t="s">
        <v>11042</v>
      </c>
      <c r="D1504" s="82" t="s">
        <v>1433</v>
      </c>
      <c r="E1504" s="82">
        <v>6285263289844</v>
      </c>
      <c r="F1504" s="86">
        <v>45844</v>
      </c>
      <c r="G1504" s="87">
        <v>884</v>
      </c>
      <c r="H1504" s="88">
        <v>11091.887417218542</v>
      </c>
      <c r="I1504" s="89">
        <v>25</v>
      </c>
      <c r="J1504" s="90">
        <v>13399</v>
      </c>
      <c r="K1504" s="85">
        <v>5</v>
      </c>
      <c r="L1504" s="85">
        <v>86</v>
      </c>
      <c r="M1504" s="85">
        <v>0</v>
      </c>
      <c r="N1504" s="82" t="s">
        <v>11043</v>
      </c>
      <c r="O1504" s="83"/>
    </row>
    <row r="1505" spans="1:15" ht="22.5" customHeight="1">
      <c r="A1505" s="85">
        <v>174904221976312</v>
      </c>
      <c r="B1505" s="82" t="s">
        <v>10651</v>
      </c>
      <c r="C1505" s="82" t="s">
        <v>11044</v>
      </c>
      <c r="D1505" s="82" t="s">
        <v>11045</v>
      </c>
      <c r="E1505" s="82">
        <v>6282114053996</v>
      </c>
      <c r="F1505" s="86">
        <v>45844</v>
      </c>
      <c r="G1505" s="87">
        <v>580</v>
      </c>
      <c r="H1505" s="88">
        <v>11074.48275862069</v>
      </c>
      <c r="I1505" s="89">
        <v>19</v>
      </c>
      <c r="J1505" s="90">
        <v>8029</v>
      </c>
      <c r="K1505" s="85">
        <v>0</v>
      </c>
      <c r="L1505" s="85">
        <v>29</v>
      </c>
      <c r="M1505" s="85">
        <v>0</v>
      </c>
      <c r="N1505" s="82" t="s">
        <v>11046</v>
      </c>
      <c r="O1505" s="83"/>
    </row>
    <row r="1506" spans="1:15" ht="22.5" customHeight="1">
      <c r="A1506" s="85">
        <v>174904221976312</v>
      </c>
      <c r="B1506" s="82" t="s">
        <v>10651</v>
      </c>
      <c r="C1506" s="82" t="s">
        <v>11047</v>
      </c>
      <c r="D1506" s="82" t="s">
        <v>11048</v>
      </c>
      <c r="E1506" s="82">
        <v>6282131666003</v>
      </c>
      <c r="F1506" s="86">
        <v>45844</v>
      </c>
      <c r="G1506" s="87">
        <v>621</v>
      </c>
      <c r="H1506" s="88">
        <v>19232.095490716179</v>
      </c>
      <c r="I1506" s="89">
        <v>37</v>
      </c>
      <c r="J1506" s="90">
        <v>14501</v>
      </c>
      <c r="K1506" s="85">
        <v>4</v>
      </c>
      <c r="L1506" s="85">
        <v>207</v>
      </c>
      <c r="M1506" s="85">
        <v>1</v>
      </c>
      <c r="N1506" s="82" t="s">
        <v>11049</v>
      </c>
      <c r="O1506" s="83"/>
    </row>
    <row r="1507" spans="1:15" ht="22.5" customHeight="1">
      <c r="A1507" s="85">
        <v>174904221976312</v>
      </c>
      <c r="B1507" s="82" t="s">
        <v>10651</v>
      </c>
      <c r="C1507" s="82" t="s">
        <v>11020</v>
      </c>
      <c r="D1507" s="82" t="s">
        <v>1442</v>
      </c>
      <c r="E1507" s="82">
        <v>6282247030008</v>
      </c>
      <c r="F1507" s="86">
        <v>45844</v>
      </c>
      <c r="G1507" s="87">
        <v>402</v>
      </c>
      <c r="H1507" s="88">
        <v>29595.289079229122</v>
      </c>
      <c r="I1507" s="89">
        <v>14</v>
      </c>
      <c r="J1507" s="90">
        <v>13821</v>
      </c>
      <c r="K1507" s="85">
        <v>3</v>
      </c>
      <c r="L1507" s="85">
        <v>117</v>
      </c>
      <c r="M1507" s="85">
        <v>0</v>
      </c>
      <c r="N1507" s="82" t="s">
        <v>11021</v>
      </c>
      <c r="O1507" s="83"/>
    </row>
    <row r="1508" spans="1:15" ht="22.5" customHeight="1">
      <c r="A1508" s="85">
        <v>174904221976312</v>
      </c>
      <c r="B1508" s="82" t="s">
        <v>10651</v>
      </c>
      <c r="C1508" s="82" t="s">
        <v>11022</v>
      </c>
      <c r="D1508" s="82" t="s">
        <v>1502</v>
      </c>
      <c r="E1508" s="82">
        <v>6282188390340</v>
      </c>
      <c r="F1508" s="86">
        <v>45844</v>
      </c>
      <c r="G1508" s="87">
        <v>1872</v>
      </c>
      <c r="H1508" s="88">
        <v>6284.7324496809033</v>
      </c>
      <c r="I1508" s="89">
        <v>60</v>
      </c>
      <c r="J1508" s="90">
        <v>12802</v>
      </c>
      <c r="K1508" s="85">
        <v>3</v>
      </c>
      <c r="L1508" s="85">
        <v>784</v>
      </c>
      <c r="M1508" s="85">
        <v>3</v>
      </c>
      <c r="N1508" s="82" t="s">
        <v>11023</v>
      </c>
      <c r="O1508" s="83"/>
    </row>
    <row r="1509" spans="1:15" ht="22.5" customHeight="1">
      <c r="A1509" s="85">
        <v>174904221976312</v>
      </c>
      <c r="B1509" s="82" t="s">
        <v>10651</v>
      </c>
      <c r="C1509" s="82" t="s">
        <v>11050</v>
      </c>
      <c r="D1509" s="82" t="s">
        <v>11051</v>
      </c>
      <c r="E1509" s="82">
        <v>6285869122507</v>
      </c>
      <c r="F1509" s="86">
        <v>45844</v>
      </c>
      <c r="G1509" s="87">
        <v>687</v>
      </c>
      <c r="H1509" s="88">
        <v>16250.314465408806</v>
      </c>
      <c r="I1509" s="89">
        <v>51</v>
      </c>
      <c r="J1509" s="90">
        <v>12919</v>
      </c>
      <c r="K1509" s="85">
        <v>12</v>
      </c>
      <c r="L1509" s="85">
        <v>341</v>
      </c>
      <c r="M1509" s="85">
        <v>1</v>
      </c>
      <c r="N1509" s="82" t="s">
        <v>11052</v>
      </c>
      <c r="O1509" s="83"/>
    </row>
    <row r="1510" spans="1:15" ht="22.5" customHeight="1">
      <c r="A1510" s="85">
        <v>174904221976312</v>
      </c>
      <c r="B1510" s="82" t="s">
        <v>10651</v>
      </c>
      <c r="C1510" s="82" t="s">
        <v>11024</v>
      </c>
      <c r="D1510" s="82" t="s">
        <v>1370</v>
      </c>
      <c r="E1510" s="82">
        <v>6281343148204</v>
      </c>
      <c r="F1510" s="86">
        <v>45844</v>
      </c>
      <c r="G1510" s="87">
        <v>837</v>
      </c>
      <c r="H1510" s="88">
        <v>11618.545837723919</v>
      </c>
      <c r="I1510" s="89">
        <v>15</v>
      </c>
      <c r="J1510" s="90">
        <v>11026</v>
      </c>
      <c r="K1510" s="85">
        <v>1</v>
      </c>
      <c r="L1510" s="85">
        <v>53</v>
      </c>
      <c r="M1510" s="85">
        <v>0</v>
      </c>
      <c r="N1510" s="82" t="s">
        <v>11025</v>
      </c>
      <c r="O1510" s="83"/>
    </row>
    <row r="1511" spans="1:15" ht="22.5" customHeight="1">
      <c r="A1511" s="85">
        <v>174904221976312</v>
      </c>
      <c r="B1511" s="82" t="s">
        <v>10651</v>
      </c>
      <c r="C1511" s="82" t="s">
        <v>11002</v>
      </c>
      <c r="D1511" s="82" t="s">
        <v>11003</v>
      </c>
      <c r="E1511" s="82">
        <v>6288228976100</v>
      </c>
      <c r="F1511" s="86">
        <v>45844</v>
      </c>
      <c r="G1511" s="87">
        <v>1059</v>
      </c>
      <c r="H1511" s="88">
        <v>10724.755700325733</v>
      </c>
      <c r="I1511" s="89">
        <v>49</v>
      </c>
      <c r="J1511" s="90">
        <v>13170</v>
      </c>
      <c r="K1511" s="85">
        <v>4</v>
      </c>
      <c r="L1511" s="85">
        <v>1</v>
      </c>
      <c r="M1511" s="85">
        <v>0</v>
      </c>
      <c r="N1511" s="82" t="s">
        <v>11004</v>
      </c>
      <c r="O1511" s="83"/>
    </row>
    <row r="1512" spans="1:15" ht="22.5" customHeight="1">
      <c r="A1512" s="85">
        <v>174904221976312</v>
      </c>
      <c r="B1512" s="82" t="s">
        <v>10651</v>
      </c>
      <c r="C1512" s="82" t="s">
        <v>10971</v>
      </c>
      <c r="D1512" s="82" t="s">
        <v>1292</v>
      </c>
      <c r="E1512" s="82">
        <v>6281213589905</v>
      </c>
      <c r="F1512" s="86">
        <v>45844</v>
      </c>
      <c r="G1512" s="87">
        <v>203</v>
      </c>
      <c r="H1512" s="88">
        <v>49828.451882845184</v>
      </c>
      <c r="I1512" s="89">
        <v>9</v>
      </c>
      <c r="J1512" s="90">
        <v>11909</v>
      </c>
      <c r="K1512" s="85">
        <v>1</v>
      </c>
      <c r="L1512" s="85">
        <v>7</v>
      </c>
      <c r="M1512" s="85">
        <v>0</v>
      </c>
      <c r="N1512" s="82" t="s">
        <v>10972</v>
      </c>
      <c r="O1512" s="83"/>
    </row>
    <row r="1513" spans="1:15" ht="22.5" customHeight="1">
      <c r="A1513" s="85">
        <v>174904221976312</v>
      </c>
      <c r="B1513" s="82" t="s">
        <v>10651</v>
      </c>
      <c r="C1513" s="82" t="s">
        <v>10943</v>
      </c>
      <c r="D1513" s="82" t="s">
        <v>10944</v>
      </c>
      <c r="E1513" s="82">
        <v>6285240694097</v>
      </c>
      <c r="F1513" s="86">
        <v>45844</v>
      </c>
      <c r="G1513" s="87">
        <v>1008</v>
      </c>
      <c r="H1513" s="88">
        <v>11551.30293159609</v>
      </c>
      <c r="I1513" s="89">
        <v>34</v>
      </c>
      <c r="J1513" s="90">
        <v>14185</v>
      </c>
      <c r="K1513" s="85">
        <v>3</v>
      </c>
      <c r="L1513" s="85">
        <v>176</v>
      </c>
      <c r="M1513" s="85">
        <v>0</v>
      </c>
      <c r="N1513" s="82" t="s">
        <v>10945</v>
      </c>
      <c r="O1513" s="83"/>
    </row>
    <row r="1514" spans="1:15" ht="22.5" customHeight="1">
      <c r="A1514" s="85">
        <v>174904221976312</v>
      </c>
      <c r="B1514" s="82" t="s">
        <v>10651</v>
      </c>
      <c r="C1514" s="82" t="s">
        <v>10892</v>
      </c>
      <c r="D1514" s="82" t="s">
        <v>10893</v>
      </c>
      <c r="E1514" s="82">
        <v>6282399721881</v>
      </c>
      <c r="F1514" s="86">
        <v>45844</v>
      </c>
      <c r="G1514" s="87">
        <v>849</v>
      </c>
      <c r="H1514" s="88">
        <v>12771.144278606964</v>
      </c>
      <c r="I1514" s="89">
        <v>17</v>
      </c>
      <c r="J1514" s="90">
        <v>12835</v>
      </c>
      <c r="K1514" s="85">
        <v>2</v>
      </c>
      <c r="L1514" s="85">
        <v>0</v>
      </c>
      <c r="M1514" s="85">
        <v>0</v>
      </c>
      <c r="N1514" s="82" t="s">
        <v>10894</v>
      </c>
      <c r="O1514" s="83"/>
    </row>
    <row r="1515" spans="1:15" ht="22.5" customHeight="1">
      <c r="A1515" s="85">
        <v>174904221976312</v>
      </c>
      <c r="B1515" s="82" t="s">
        <v>10651</v>
      </c>
      <c r="C1515" s="82" t="s">
        <v>10853</v>
      </c>
      <c r="D1515" s="82" t="s">
        <v>10854</v>
      </c>
      <c r="E1515" s="82">
        <v>6281393958199</v>
      </c>
      <c r="F1515" s="86">
        <v>45844</v>
      </c>
      <c r="G1515" s="87">
        <v>569</v>
      </c>
      <c r="H1515" s="88">
        <v>16773.684210526317</v>
      </c>
      <c r="I1515" s="89">
        <v>17</v>
      </c>
      <c r="J1515" s="90">
        <v>12748</v>
      </c>
      <c r="K1515" s="85">
        <v>3</v>
      </c>
      <c r="L1515" s="85">
        <v>6</v>
      </c>
      <c r="M1515" s="85">
        <v>0</v>
      </c>
      <c r="N1515" s="82" t="s">
        <v>10855</v>
      </c>
      <c r="O1515" s="83"/>
    </row>
    <row r="1516" spans="1:15" ht="22.5" customHeight="1">
      <c r="A1516" s="85">
        <v>174904221976312</v>
      </c>
      <c r="B1516" s="82" t="s">
        <v>10651</v>
      </c>
      <c r="C1516" s="82" t="s">
        <v>818</v>
      </c>
      <c r="D1516" s="82" t="s">
        <v>812</v>
      </c>
      <c r="E1516" s="82">
        <v>6287858585808</v>
      </c>
      <c r="F1516" s="86">
        <v>45844</v>
      </c>
      <c r="G1516" s="87">
        <v>860</v>
      </c>
      <c r="H1516" s="88">
        <v>13338.742393509126</v>
      </c>
      <c r="I1516" s="89">
        <v>18</v>
      </c>
      <c r="J1516" s="90">
        <v>13152</v>
      </c>
      <c r="K1516" s="85">
        <v>0</v>
      </c>
      <c r="L1516" s="85">
        <v>250</v>
      </c>
      <c r="M1516" s="85">
        <v>0</v>
      </c>
      <c r="N1516" s="82" t="s">
        <v>10831</v>
      </c>
      <c r="O1516" s="83"/>
    </row>
    <row r="1517" spans="1:15" ht="22.5" customHeight="1">
      <c r="A1517" s="85">
        <v>174904221976312</v>
      </c>
      <c r="B1517" s="82" t="s">
        <v>10651</v>
      </c>
      <c r="C1517" s="82" t="s">
        <v>10696</v>
      </c>
      <c r="D1517" s="82" t="s">
        <v>236</v>
      </c>
      <c r="E1517" s="82"/>
      <c r="F1517" s="86">
        <v>45844</v>
      </c>
      <c r="G1517" s="87">
        <v>1466</v>
      </c>
      <c r="H1517" s="88">
        <v>7224.0527182866554</v>
      </c>
      <c r="I1517" s="89">
        <v>73</v>
      </c>
      <c r="J1517" s="90">
        <v>13155</v>
      </c>
      <c r="K1517" s="85">
        <v>6</v>
      </c>
      <c r="L1517" s="85">
        <v>663</v>
      </c>
      <c r="M1517" s="85">
        <v>1</v>
      </c>
      <c r="N1517" s="82" t="s">
        <v>10697</v>
      </c>
      <c r="O1517" s="83"/>
    </row>
    <row r="1518" spans="1:15" ht="22.5" customHeight="1">
      <c r="A1518" s="85">
        <v>174904221976312</v>
      </c>
      <c r="B1518" s="82" t="s">
        <v>10651</v>
      </c>
      <c r="C1518" s="82" t="s">
        <v>10652</v>
      </c>
      <c r="D1518" s="82" t="s">
        <v>10653</v>
      </c>
      <c r="E1518" s="82">
        <v>6281348555887</v>
      </c>
      <c r="F1518" s="86">
        <v>45844</v>
      </c>
      <c r="G1518" s="87">
        <v>849</v>
      </c>
      <c r="H1518" s="88">
        <v>13878.306878306877</v>
      </c>
      <c r="I1518" s="89">
        <v>21</v>
      </c>
      <c r="J1518" s="90">
        <v>13115</v>
      </c>
      <c r="K1518" s="85">
        <v>0</v>
      </c>
      <c r="L1518" s="85">
        <v>266</v>
      </c>
      <c r="M1518" s="85">
        <v>0</v>
      </c>
      <c r="N1518" s="82" t="s">
        <v>10654</v>
      </c>
      <c r="O1518" s="83"/>
    </row>
    <row r="1519" spans="1:15" ht="22.5" customHeight="1">
      <c r="A1519" s="85">
        <v>174904221976312</v>
      </c>
      <c r="B1519" s="82" t="s">
        <v>10651</v>
      </c>
      <c r="C1519" s="82" t="s">
        <v>10659</v>
      </c>
      <c r="D1519" s="82" t="s">
        <v>1044</v>
      </c>
      <c r="E1519" s="82">
        <v>6281263113266</v>
      </c>
      <c r="F1519" s="86">
        <v>45844</v>
      </c>
      <c r="G1519" s="87">
        <v>1161</v>
      </c>
      <c r="H1519" s="88">
        <v>10260.63829787234</v>
      </c>
      <c r="I1519" s="89">
        <v>64</v>
      </c>
      <c r="J1519" s="90">
        <v>13503</v>
      </c>
      <c r="K1519" s="85">
        <v>5</v>
      </c>
      <c r="L1519" s="85">
        <v>657</v>
      </c>
      <c r="M1519" s="85">
        <v>2</v>
      </c>
      <c r="N1519" s="82" t="s">
        <v>10660</v>
      </c>
      <c r="O1519" s="83"/>
    </row>
    <row r="1520" spans="1:15" ht="22.5" customHeight="1">
      <c r="A1520" s="85">
        <v>174904221976312</v>
      </c>
      <c r="B1520" s="82" t="s">
        <v>10651</v>
      </c>
      <c r="C1520" s="82" t="s">
        <v>11078</v>
      </c>
      <c r="D1520" s="82" t="s">
        <v>3140</v>
      </c>
      <c r="E1520" s="82"/>
      <c r="F1520" s="86">
        <v>45844</v>
      </c>
      <c r="G1520" s="87">
        <v>11641</v>
      </c>
      <c r="H1520" s="88">
        <v>1571.3051616154346</v>
      </c>
      <c r="I1520" s="89">
        <v>222</v>
      </c>
      <c r="J1520" s="90">
        <v>21827</v>
      </c>
      <c r="K1520" s="85">
        <v>12</v>
      </c>
      <c r="L1520" s="85">
        <v>530</v>
      </c>
      <c r="M1520" s="85">
        <v>2</v>
      </c>
      <c r="N1520" s="82" t="s">
        <v>11079</v>
      </c>
      <c r="O1520" s="83"/>
    </row>
    <row r="1521" spans="1:15" ht="22.5" customHeight="1">
      <c r="A1521" s="85">
        <v>174904221976312</v>
      </c>
      <c r="B1521" s="82" t="s">
        <v>10651</v>
      </c>
      <c r="C1521" s="82" t="s">
        <v>10731</v>
      </c>
      <c r="D1521" s="82" t="s">
        <v>10732</v>
      </c>
      <c r="E1521" s="82">
        <v>6281241440688</v>
      </c>
      <c r="F1521" s="86">
        <v>45844</v>
      </c>
      <c r="G1521" s="87">
        <v>1728</v>
      </c>
      <c r="H1521" s="88">
        <v>5560.2255253716039</v>
      </c>
      <c r="I1521" s="89">
        <v>19</v>
      </c>
      <c r="J1521" s="90">
        <v>10848</v>
      </c>
      <c r="K1521" s="85">
        <v>1</v>
      </c>
      <c r="L1521" s="85">
        <v>583</v>
      </c>
      <c r="M1521" s="85">
        <v>0</v>
      </c>
      <c r="N1521" s="82" t="s">
        <v>10733</v>
      </c>
      <c r="O1521" s="83"/>
    </row>
    <row r="1522" spans="1:15" ht="22.5" customHeight="1">
      <c r="A1522" s="85">
        <v>766589657993298</v>
      </c>
      <c r="B1522" s="82" t="s">
        <v>10688</v>
      </c>
      <c r="C1522" s="82" t="s">
        <v>11103</v>
      </c>
      <c r="D1522" s="82" t="s">
        <v>11104</v>
      </c>
      <c r="E1522" s="82">
        <v>6282124027899</v>
      </c>
      <c r="F1522" s="86">
        <v>45844</v>
      </c>
      <c r="G1522" s="87">
        <v>1533</v>
      </c>
      <c r="H1522" s="88">
        <v>8104.4386422976495</v>
      </c>
      <c r="I1522" s="89">
        <v>54</v>
      </c>
      <c r="J1522" s="90">
        <v>15520</v>
      </c>
      <c r="K1522" s="85">
        <v>4</v>
      </c>
      <c r="L1522" s="85">
        <v>406</v>
      </c>
      <c r="M1522" s="85">
        <v>2</v>
      </c>
      <c r="N1522" s="82" t="s">
        <v>11105</v>
      </c>
      <c r="O1522" s="83"/>
    </row>
    <row r="1523" spans="1:15" ht="22.5" customHeight="1">
      <c r="A1523" s="85">
        <v>766589657993298</v>
      </c>
      <c r="B1523" s="82" t="s">
        <v>10688</v>
      </c>
      <c r="C1523" s="82" t="s">
        <v>11106</v>
      </c>
      <c r="D1523" s="82" t="s">
        <v>1632</v>
      </c>
      <c r="E1523" s="82">
        <v>6281290414113</v>
      </c>
      <c r="F1523" s="86">
        <v>45844</v>
      </c>
      <c r="G1523" s="87">
        <v>579</v>
      </c>
      <c r="H1523" s="88">
        <v>25194.675540765391</v>
      </c>
      <c r="I1523" s="89">
        <v>14</v>
      </c>
      <c r="J1523" s="90">
        <v>15142</v>
      </c>
      <c r="K1523" s="85">
        <v>2</v>
      </c>
      <c r="L1523" s="85">
        <v>238</v>
      </c>
      <c r="M1523" s="85">
        <v>0</v>
      </c>
      <c r="N1523" s="82" t="s">
        <v>11107</v>
      </c>
      <c r="O1523" s="83"/>
    </row>
    <row r="1524" spans="1:15" ht="22.5" customHeight="1">
      <c r="A1524" s="85">
        <v>766589657993298</v>
      </c>
      <c r="B1524" s="82" t="s">
        <v>10688</v>
      </c>
      <c r="C1524" s="82" t="s">
        <v>11108</v>
      </c>
      <c r="D1524" s="82" t="s">
        <v>11109</v>
      </c>
      <c r="E1524" s="82">
        <v>62818763108</v>
      </c>
      <c r="F1524" s="86">
        <v>45844</v>
      </c>
      <c r="G1524" s="87">
        <v>257</v>
      </c>
      <c r="H1524" s="88">
        <v>43909.090909090904</v>
      </c>
      <c r="I1524" s="89">
        <v>9</v>
      </c>
      <c r="J1524" s="90">
        <v>14490</v>
      </c>
      <c r="K1524" s="85">
        <v>2</v>
      </c>
      <c r="L1524" s="85">
        <v>29</v>
      </c>
      <c r="M1524" s="85">
        <v>0</v>
      </c>
      <c r="N1524" s="82" t="s">
        <v>11110</v>
      </c>
      <c r="O1524" s="83"/>
    </row>
    <row r="1525" spans="1:15" ht="22.5" customHeight="1">
      <c r="A1525" s="85">
        <v>766589657993298</v>
      </c>
      <c r="B1525" s="82" t="s">
        <v>10688</v>
      </c>
      <c r="C1525" s="82" t="s">
        <v>11080</v>
      </c>
      <c r="D1525" s="82" t="s">
        <v>1408</v>
      </c>
      <c r="E1525" s="82">
        <v>6282211473253</v>
      </c>
      <c r="F1525" s="86">
        <v>45844</v>
      </c>
      <c r="G1525" s="87">
        <v>418</v>
      </c>
      <c r="H1525" s="88">
        <v>33199.570815450643</v>
      </c>
      <c r="I1525" s="89">
        <v>13</v>
      </c>
      <c r="J1525" s="90">
        <v>15471</v>
      </c>
      <c r="K1525" s="85">
        <v>2</v>
      </c>
      <c r="L1525" s="85">
        <v>199</v>
      </c>
      <c r="M1525" s="85">
        <v>0</v>
      </c>
      <c r="N1525" s="82" t="s">
        <v>11081</v>
      </c>
      <c r="O1525" s="83"/>
    </row>
    <row r="1526" spans="1:15" ht="22.5" customHeight="1">
      <c r="A1526" s="85">
        <v>766589657993298</v>
      </c>
      <c r="B1526" s="82" t="s">
        <v>10688</v>
      </c>
      <c r="C1526" s="82" t="s">
        <v>11082</v>
      </c>
      <c r="D1526" s="82" t="s">
        <v>11083</v>
      </c>
      <c r="E1526" s="82">
        <v>6288980619907</v>
      </c>
      <c r="F1526" s="86">
        <v>45844</v>
      </c>
      <c r="G1526" s="87">
        <v>466</v>
      </c>
      <c r="H1526" s="88">
        <v>26579.584775086507</v>
      </c>
      <c r="I1526" s="89">
        <v>10</v>
      </c>
      <c r="J1526" s="90">
        <v>15363</v>
      </c>
      <c r="K1526" s="85">
        <v>2</v>
      </c>
      <c r="L1526" s="85">
        <v>86</v>
      </c>
      <c r="M1526" s="85">
        <v>0</v>
      </c>
      <c r="N1526" s="82" t="s">
        <v>11084</v>
      </c>
      <c r="O1526" s="83"/>
    </row>
    <row r="1527" spans="1:15" ht="22.5" customHeight="1">
      <c r="A1527" s="85">
        <v>766589657993298</v>
      </c>
      <c r="B1527" s="82" t="s">
        <v>10688</v>
      </c>
      <c r="C1527" s="82" t="s">
        <v>11053</v>
      </c>
      <c r="D1527" s="82" t="s">
        <v>1579</v>
      </c>
      <c r="E1527" s="82">
        <v>6285647189964</v>
      </c>
      <c r="F1527" s="86">
        <v>45844</v>
      </c>
      <c r="G1527" s="87">
        <v>646</v>
      </c>
      <c r="H1527" s="88">
        <v>27544.303797468354</v>
      </c>
      <c r="I1527" s="89">
        <v>9</v>
      </c>
      <c r="J1527" s="90">
        <v>19584</v>
      </c>
      <c r="K1527" s="85">
        <v>0</v>
      </c>
      <c r="L1527" s="85">
        <v>89</v>
      </c>
      <c r="M1527" s="85">
        <v>0</v>
      </c>
      <c r="N1527" s="82" t="s">
        <v>11130</v>
      </c>
      <c r="O1527" s="83"/>
    </row>
    <row r="1528" spans="1:15" ht="22.5" customHeight="1">
      <c r="A1528" s="85">
        <v>766589657993298</v>
      </c>
      <c r="B1528" s="82" t="s">
        <v>10688</v>
      </c>
      <c r="C1528" s="82" t="s">
        <v>11026</v>
      </c>
      <c r="D1528" s="82" t="s">
        <v>1172</v>
      </c>
      <c r="E1528" s="82">
        <v>6285950836788</v>
      </c>
      <c r="F1528" s="86">
        <v>45844</v>
      </c>
      <c r="G1528" s="87">
        <v>547</v>
      </c>
      <c r="H1528" s="88">
        <v>26641.935483870966</v>
      </c>
      <c r="I1528" s="89">
        <v>12</v>
      </c>
      <c r="J1528" s="90">
        <v>16518</v>
      </c>
      <c r="K1528" s="85">
        <v>5</v>
      </c>
      <c r="L1528" s="85">
        <v>170</v>
      </c>
      <c r="M1528" s="85">
        <v>0</v>
      </c>
      <c r="N1528" s="82" t="s">
        <v>11027</v>
      </c>
      <c r="O1528" s="83"/>
    </row>
    <row r="1529" spans="1:15" ht="22.5" customHeight="1">
      <c r="A1529" s="85">
        <v>766589657993298</v>
      </c>
      <c r="B1529" s="82" t="s">
        <v>10688</v>
      </c>
      <c r="C1529" s="82" t="s">
        <v>11028</v>
      </c>
      <c r="D1529" s="82" t="s">
        <v>11029</v>
      </c>
      <c r="E1529" s="82">
        <v>6282338171577</v>
      </c>
      <c r="F1529" s="86">
        <v>45844</v>
      </c>
      <c r="G1529" s="87">
        <v>769</v>
      </c>
      <c r="H1529" s="88">
        <v>15479.787234042553</v>
      </c>
      <c r="I1529" s="89">
        <v>37</v>
      </c>
      <c r="J1529" s="90">
        <v>14551</v>
      </c>
      <c r="K1529" s="85">
        <v>8</v>
      </c>
      <c r="L1529" s="85">
        <v>352</v>
      </c>
      <c r="M1529" s="85">
        <v>1</v>
      </c>
      <c r="N1529" s="82" t="s">
        <v>11030</v>
      </c>
      <c r="O1529" s="83"/>
    </row>
    <row r="1530" spans="1:15" ht="22.5" customHeight="1">
      <c r="A1530" s="85">
        <v>766589657993298</v>
      </c>
      <c r="B1530" s="82" t="s">
        <v>10688</v>
      </c>
      <c r="C1530" s="82" t="s">
        <v>10976</v>
      </c>
      <c r="D1530" s="82" t="s">
        <v>10977</v>
      </c>
      <c r="E1530" s="82">
        <v>6281138301069</v>
      </c>
      <c r="F1530" s="86">
        <v>45844</v>
      </c>
      <c r="G1530" s="87">
        <v>13748</v>
      </c>
      <c r="H1530" s="88">
        <v>1081.8279186004997</v>
      </c>
      <c r="I1530" s="89">
        <v>14</v>
      </c>
      <c r="J1530" s="90">
        <v>15151</v>
      </c>
      <c r="K1530" s="85">
        <v>0</v>
      </c>
      <c r="L1530" s="85">
        <v>1080</v>
      </c>
      <c r="M1530" s="85">
        <v>0</v>
      </c>
      <c r="N1530" s="82" t="s">
        <v>10978</v>
      </c>
      <c r="O1530" s="83"/>
    </row>
    <row r="1531" spans="1:15" ht="22.5" customHeight="1">
      <c r="A1531" s="85">
        <v>766589657993298</v>
      </c>
      <c r="B1531" s="82" t="s">
        <v>10688</v>
      </c>
      <c r="C1531" s="82" t="s">
        <v>10879</v>
      </c>
      <c r="D1531" s="82" t="s">
        <v>10880</v>
      </c>
      <c r="E1531" s="82">
        <v>6281215851833</v>
      </c>
      <c r="F1531" s="86">
        <v>45844</v>
      </c>
      <c r="G1531" s="87">
        <v>419</v>
      </c>
      <c r="H1531" s="88">
        <v>31293.542074363992</v>
      </c>
      <c r="I1531" s="89">
        <v>19</v>
      </c>
      <c r="J1531" s="90">
        <v>15991</v>
      </c>
      <c r="K1531" s="85">
        <v>4</v>
      </c>
      <c r="L1531" s="85">
        <v>0</v>
      </c>
      <c r="M1531" s="85">
        <v>0</v>
      </c>
      <c r="N1531" s="82" t="s">
        <v>10881</v>
      </c>
      <c r="O1531" s="83"/>
    </row>
    <row r="1532" spans="1:15" ht="22.5" customHeight="1">
      <c r="A1532" s="85">
        <v>766589657993298</v>
      </c>
      <c r="B1532" s="82" t="s">
        <v>10688</v>
      </c>
      <c r="C1532" s="82" t="s">
        <v>10780</v>
      </c>
      <c r="D1532" s="82" t="s">
        <v>10781</v>
      </c>
      <c r="E1532" s="82">
        <v>6281338789995</v>
      </c>
      <c r="F1532" s="86">
        <v>45844</v>
      </c>
      <c r="G1532" s="87">
        <v>915</v>
      </c>
      <c r="H1532" s="88">
        <v>13746.075715604802</v>
      </c>
      <c r="I1532" s="89">
        <v>19</v>
      </c>
      <c r="J1532" s="90">
        <v>14887</v>
      </c>
      <c r="K1532" s="85">
        <v>2</v>
      </c>
      <c r="L1532" s="85">
        <v>317</v>
      </c>
      <c r="M1532" s="85">
        <v>0</v>
      </c>
      <c r="N1532" s="82" t="s">
        <v>10782</v>
      </c>
      <c r="O1532" s="83"/>
    </row>
    <row r="1533" spans="1:15" ht="22.5" customHeight="1">
      <c r="A1533" s="85">
        <v>766589657993298</v>
      </c>
      <c r="B1533" s="82" t="s">
        <v>10688</v>
      </c>
      <c r="C1533" s="82" t="s">
        <v>10772</v>
      </c>
      <c r="D1533" s="82" t="s">
        <v>10773</v>
      </c>
      <c r="E1533" s="82">
        <v>6285261023204</v>
      </c>
      <c r="F1533" s="86">
        <v>45844</v>
      </c>
      <c r="G1533" s="87">
        <v>540</v>
      </c>
      <c r="H1533" s="88">
        <v>23537.037037037036</v>
      </c>
      <c r="I1533" s="89">
        <v>12</v>
      </c>
      <c r="J1533" s="90">
        <v>15252</v>
      </c>
      <c r="K1533" s="85">
        <v>1</v>
      </c>
      <c r="L1533" s="85">
        <v>113</v>
      </c>
      <c r="M1533" s="85">
        <v>0</v>
      </c>
      <c r="N1533" s="82" t="s">
        <v>10774</v>
      </c>
      <c r="O1533" s="83"/>
    </row>
    <row r="1534" spans="1:15" ht="22.5" customHeight="1">
      <c r="A1534" s="85">
        <v>766589657993298</v>
      </c>
      <c r="B1534" s="82" t="s">
        <v>10688</v>
      </c>
      <c r="C1534" s="82" t="s">
        <v>10762</v>
      </c>
      <c r="D1534" s="82" t="s">
        <v>10763</v>
      </c>
      <c r="E1534" s="82">
        <v>6285210107607</v>
      </c>
      <c r="F1534" s="86">
        <v>45844</v>
      </c>
      <c r="G1534" s="87">
        <v>867</v>
      </c>
      <c r="H1534" s="88">
        <v>18621.369294605811</v>
      </c>
      <c r="I1534" s="89">
        <v>18</v>
      </c>
      <c r="J1534" s="90">
        <v>17951</v>
      </c>
      <c r="K1534" s="85">
        <v>2</v>
      </c>
      <c r="L1534" s="85">
        <v>251</v>
      </c>
      <c r="M1534" s="85">
        <v>0</v>
      </c>
      <c r="N1534" s="82" t="s">
        <v>10764</v>
      </c>
      <c r="O1534" s="83"/>
    </row>
    <row r="1535" spans="1:15" ht="22.5" customHeight="1">
      <c r="A1535" s="85">
        <v>766589657993298</v>
      </c>
      <c r="B1535" s="82" t="s">
        <v>10688</v>
      </c>
      <c r="C1535" s="82" t="s">
        <v>10795</v>
      </c>
      <c r="D1535" s="82" t="s">
        <v>551</v>
      </c>
      <c r="E1535" s="82">
        <v>6285747906282</v>
      </c>
      <c r="F1535" s="86">
        <v>45844</v>
      </c>
      <c r="G1535" s="87">
        <v>596</v>
      </c>
      <c r="H1535" s="88">
        <v>21035.765379113021</v>
      </c>
      <c r="I1535" s="89">
        <v>21</v>
      </c>
      <c r="J1535" s="90">
        <v>14704</v>
      </c>
      <c r="K1535" s="85">
        <v>3</v>
      </c>
      <c r="L1535" s="85">
        <v>272</v>
      </c>
      <c r="M1535" s="85">
        <v>0</v>
      </c>
      <c r="N1535" s="82" t="s">
        <v>10796</v>
      </c>
      <c r="O1535" s="83"/>
    </row>
    <row r="1536" spans="1:15" ht="22.5" customHeight="1">
      <c r="A1536" s="85">
        <v>766589657993298</v>
      </c>
      <c r="B1536" s="82" t="s">
        <v>10688</v>
      </c>
      <c r="C1536" s="82" t="s">
        <v>10767</v>
      </c>
      <c r="D1536" s="82" t="s">
        <v>10768</v>
      </c>
      <c r="E1536" s="82">
        <v>6281519225886</v>
      </c>
      <c r="F1536" s="86">
        <v>45844</v>
      </c>
      <c r="G1536" s="87">
        <v>690</v>
      </c>
      <c r="H1536" s="88">
        <v>19426.336375488918</v>
      </c>
      <c r="I1536" s="89">
        <v>17</v>
      </c>
      <c r="J1536" s="90">
        <v>14900</v>
      </c>
      <c r="K1536" s="85">
        <v>4</v>
      </c>
      <c r="L1536" s="85">
        <v>47</v>
      </c>
      <c r="M1536" s="85">
        <v>0</v>
      </c>
      <c r="N1536" s="82" t="s">
        <v>10769</v>
      </c>
      <c r="O1536" s="83"/>
    </row>
    <row r="1537" spans="1:15" ht="22.5" customHeight="1">
      <c r="A1537" s="85">
        <v>766589657993298</v>
      </c>
      <c r="B1537" s="82" t="s">
        <v>10688</v>
      </c>
      <c r="C1537" s="82" t="s">
        <v>10797</v>
      </c>
      <c r="D1537" s="82" t="s">
        <v>10798</v>
      </c>
      <c r="E1537" s="82">
        <v>6285853370682</v>
      </c>
      <c r="F1537" s="86">
        <v>45844</v>
      </c>
      <c r="G1537" s="87">
        <v>669</v>
      </c>
      <c r="H1537" s="88">
        <v>20882.044560943643</v>
      </c>
      <c r="I1537" s="89">
        <v>13</v>
      </c>
      <c r="J1537" s="90">
        <v>15933</v>
      </c>
      <c r="K1537" s="85">
        <v>1</v>
      </c>
      <c r="L1537" s="85">
        <v>224</v>
      </c>
      <c r="M1537" s="85">
        <v>0</v>
      </c>
      <c r="N1537" s="82" t="s">
        <v>10799</v>
      </c>
      <c r="O1537" s="83"/>
    </row>
    <row r="1538" spans="1:15" ht="22.5" customHeight="1">
      <c r="A1538" s="85">
        <v>766589657993298</v>
      </c>
      <c r="B1538" s="82" t="s">
        <v>10688</v>
      </c>
      <c r="C1538" s="82" t="s">
        <v>10800</v>
      </c>
      <c r="D1538" s="82" t="s">
        <v>472</v>
      </c>
      <c r="E1538" s="82">
        <v>628114170888</v>
      </c>
      <c r="F1538" s="86">
        <v>45844</v>
      </c>
      <c r="G1538" s="87">
        <v>346</v>
      </c>
      <c r="H1538" s="88">
        <v>33362.83185840708</v>
      </c>
      <c r="I1538" s="89">
        <v>11</v>
      </c>
      <c r="J1538" s="90">
        <v>15080</v>
      </c>
      <c r="K1538" s="85">
        <v>0</v>
      </c>
      <c r="L1538" s="85">
        <v>45</v>
      </c>
      <c r="M1538" s="85">
        <v>0</v>
      </c>
      <c r="N1538" s="82" t="s">
        <v>10801</v>
      </c>
      <c r="O1538" s="83"/>
    </row>
    <row r="1539" spans="1:15" ht="22.5" customHeight="1">
      <c r="A1539" s="85">
        <v>766589657993298</v>
      </c>
      <c r="B1539" s="82" t="s">
        <v>10688</v>
      </c>
      <c r="C1539" s="82" t="s">
        <v>10752</v>
      </c>
      <c r="D1539" s="82" t="s">
        <v>10753</v>
      </c>
      <c r="E1539" s="82">
        <v>6281340892328</v>
      </c>
      <c r="F1539" s="86">
        <v>45844</v>
      </c>
      <c r="G1539" s="87">
        <v>1214</v>
      </c>
      <c r="H1539" s="88">
        <v>10803.837953091685</v>
      </c>
      <c r="I1539" s="89">
        <v>21</v>
      </c>
      <c r="J1539" s="90">
        <v>15201</v>
      </c>
      <c r="K1539" s="85">
        <v>0</v>
      </c>
      <c r="L1539" s="85">
        <v>369</v>
      </c>
      <c r="M1539" s="85">
        <v>0</v>
      </c>
      <c r="N1539" s="82" t="s">
        <v>10754</v>
      </c>
      <c r="O1539" s="83"/>
    </row>
    <row r="1540" spans="1:15" ht="22.5" customHeight="1">
      <c r="A1540" s="85">
        <v>206726568613432</v>
      </c>
      <c r="B1540" s="82" t="s">
        <v>10900</v>
      </c>
      <c r="C1540" s="82" t="s">
        <v>11085</v>
      </c>
      <c r="D1540" s="82" t="s">
        <v>10902</v>
      </c>
      <c r="E1540" s="82">
        <v>6282194694492</v>
      </c>
      <c r="F1540" s="86">
        <v>45844</v>
      </c>
      <c r="G1540" s="87">
        <v>617</v>
      </c>
      <c r="H1540" s="88">
        <v>22059.392265193372</v>
      </c>
      <c r="I1540" s="89">
        <v>27</v>
      </c>
      <c r="J1540" s="90">
        <v>15971</v>
      </c>
      <c r="K1540" s="85">
        <v>4</v>
      </c>
      <c r="L1540" s="85">
        <v>190</v>
      </c>
      <c r="M1540" s="85">
        <v>0</v>
      </c>
      <c r="N1540" s="82" t="s">
        <v>11086</v>
      </c>
      <c r="O1540" s="83"/>
    </row>
    <row r="1541" spans="1:15" ht="22.5" customHeight="1">
      <c r="A1541" s="85">
        <v>206726568613432</v>
      </c>
      <c r="B1541" s="82" t="s">
        <v>10900</v>
      </c>
      <c r="C1541" s="82" t="s">
        <v>11031</v>
      </c>
      <c r="D1541" s="82" t="s">
        <v>11032</v>
      </c>
      <c r="E1541" s="82">
        <v>6285668750416</v>
      </c>
      <c r="F1541" s="86">
        <v>45844</v>
      </c>
      <c r="G1541" s="87">
        <v>1221</v>
      </c>
      <c r="H1541" s="88">
        <v>8859.4632768361571</v>
      </c>
      <c r="I1541" s="89">
        <v>27</v>
      </c>
      <c r="J1541" s="90">
        <v>12545</v>
      </c>
      <c r="K1541" s="85">
        <v>6</v>
      </c>
      <c r="L1541" s="85">
        <v>610</v>
      </c>
      <c r="M1541" s="85">
        <v>0</v>
      </c>
      <c r="N1541" s="82" t="s">
        <v>11033</v>
      </c>
      <c r="O1541" s="83"/>
    </row>
    <row r="1542" spans="1:15" ht="22.5" customHeight="1">
      <c r="A1542" s="85">
        <v>759724529202804</v>
      </c>
      <c r="B1542" s="82" t="s">
        <v>10621</v>
      </c>
      <c r="C1542" s="82" t="s">
        <v>11131</v>
      </c>
      <c r="D1542" s="82" t="s">
        <v>9019</v>
      </c>
      <c r="E1542" s="82">
        <v>628562943274</v>
      </c>
      <c r="F1542" s="86">
        <v>45845</v>
      </c>
      <c r="G1542" s="87">
        <v>743</v>
      </c>
      <c r="H1542" s="88">
        <v>14261.494252873563</v>
      </c>
      <c r="I1542" s="89">
        <v>35</v>
      </c>
      <c r="J1542" s="90">
        <v>14889</v>
      </c>
      <c r="K1542" s="85">
        <v>2</v>
      </c>
      <c r="L1542" s="85">
        <v>218</v>
      </c>
      <c r="M1542" s="85">
        <v>0</v>
      </c>
      <c r="N1542" s="82" t="s">
        <v>11132</v>
      </c>
      <c r="O1542" s="83"/>
    </row>
    <row r="1543" spans="1:15" ht="22.5" customHeight="1">
      <c r="A1543" s="85">
        <v>759724529202804</v>
      </c>
      <c r="B1543" s="82" t="s">
        <v>10621</v>
      </c>
      <c r="C1543" s="82" t="s">
        <v>11111</v>
      </c>
      <c r="D1543" s="82" t="s">
        <v>11112</v>
      </c>
      <c r="E1543" s="82">
        <v>6282145068631</v>
      </c>
      <c r="F1543" s="86">
        <v>45845</v>
      </c>
      <c r="G1543" s="87">
        <v>2480</v>
      </c>
      <c r="H1543" s="88">
        <v>5182.291666666667</v>
      </c>
      <c r="I1543" s="89">
        <v>40</v>
      </c>
      <c r="J1543" s="90">
        <v>15920</v>
      </c>
      <c r="K1543" s="85">
        <v>1</v>
      </c>
      <c r="L1543" s="85">
        <v>10</v>
      </c>
      <c r="M1543" s="85">
        <v>0</v>
      </c>
      <c r="N1543" s="82" t="s">
        <v>11113</v>
      </c>
      <c r="O1543" s="83"/>
    </row>
    <row r="1544" spans="1:15" ht="22.5" customHeight="1">
      <c r="A1544" s="85">
        <v>759724529202804</v>
      </c>
      <c r="B1544" s="82" t="s">
        <v>10621</v>
      </c>
      <c r="C1544" s="82" t="s">
        <v>11055</v>
      </c>
      <c r="D1544" s="82" t="s">
        <v>1021</v>
      </c>
      <c r="E1544" s="82"/>
      <c r="F1544" s="86">
        <v>45845</v>
      </c>
      <c r="G1544" s="87">
        <v>2350</v>
      </c>
      <c r="H1544" s="88">
        <v>38574.040219378425</v>
      </c>
      <c r="I1544" s="89">
        <v>109</v>
      </c>
      <c r="J1544" s="90">
        <v>105500</v>
      </c>
      <c r="K1544" s="85">
        <v>34</v>
      </c>
      <c r="L1544" s="85">
        <v>971</v>
      </c>
      <c r="M1544" s="85">
        <v>1</v>
      </c>
      <c r="N1544" s="82" t="s">
        <v>11056</v>
      </c>
      <c r="O1544" s="83"/>
    </row>
    <row r="1545" spans="1:15" ht="22.5" customHeight="1">
      <c r="A1545" s="85">
        <v>759724529202804</v>
      </c>
      <c r="B1545" s="82" t="s">
        <v>10621</v>
      </c>
      <c r="C1545" s="82" t="s">
        <v>11059</v>
      </c>
      <c r="D1545" s="82" t="s">
        <v>1021</v>
      </c>
      <c r="E1545" s="82">
        <v>6282122880328</v>
      </c>
      <c r="F1545" s="86">
        <v>45845</v>
      </c>
      <c r="G1545" s="87">
        <v>193</v>
      </c>
      <c r="H1545" s="88">
        <v>44015.151515151512</v>
      </c>
      <c r="I1545" s="89">
        <v>1</v>
      </c>
      <c r="J1545" s="90">
        <v>8715</v>
      </c>
      <c r="K1545" s="85">
        <v>1</v>
      </c>
      <c r="L1545" s="85">
        <v>74</v>
      </c>
      <c r="M1545" s="85">
        <v>0</v>
      </c>
      <c r="N1545" s="82" t="s">
        <v>11060</v>
      </c>
      <c r="O1545" s="83"/>
    </row>
    <row r="1546" spans="1:15" ht="22.5" customHeight="1">
      <c r="A1546" s="85">
        <v>759724529202804</v>
      </c>
      <c r="B1546" s="82" t="s">
        <v>10621</v>
      </c>
      <c r="C1546" s="82" t="s">
        <v>11061</v>
      </c>
      <c r="D1546" s="82" t="s">
        <v>1640</v>
      </c>
      <c r="E1546" s="82">
        <v>6282164919126</v>
      </c>
      <c r="F1546" s="86">
        <v>45845</v>
      </c>
      <c r="G1546" s="87">
        <v>763</v>
      </c>
      <c r="H1546" s="88">
        <v>16815.899581589958</v>
      </c>
      <c r="I1546" s="89">
        <v>38</v>
      </c>
      <c r="J1546" s="90">
        <v>16076</v>
      </c>
      <c r="K1546" s="85">
        <v>4</v>
      </c>
      <c r="L1546" s="85">
        <v>98</v>
      </c>
      <c r="M1546" s="85">
        <v>1</v>
      </c>
      <c r="N1546" s="82" t="s">
        <v>11062</v>
      </c>
      <c r="O1546" s="83"/>
    </row>
    <row r="1547" spans="1:15" ht="22.5" customHeight="1">
      <c r="A1547" s="85">
        <v>759724529202804</v>
      </c>
      <c r="B1547" s="82" t="s">
        <v>10621</v>
      </c>
      <c r="C1547" s="82" t="s">
        <v>11063</v>
      </c>
      <c r="D1547" s="82" t="s">
        <v>11064</v>
      </c>
      <c r="E1547" s="82">
        <v>62882003293835</v>
      </c>
      <c r="F1547" s="86">
        <v>45845</v>
      </c>
      <c r="G1547" s="87">
        <v>205</v>
      </c>
      <c r="H1547" s="88">
        <v>59476.190476190473</v>
      </c>
      <c r="I1547" s="89">
        <v>3</v>
      </c>
      <c r="J1547" s="90">
        <v>14988</v>
      </c>
      <c r="K1547" s="85">
        <v>2</v>
      </c>
      <c r="L1547" s="85">
        <v>35</v>
      </c>
      <c r="M1547" s="85">
        <v>0</v>
      </c>
      <c r="N1547" s="82" t="s">
        <v>11065</v>
      </c>
      <c r="O1547" s="83"/>
    </row>
    <row r="1548" spans="1:15" ht="22.5" customHeight="1">
      <c r="A1548" s="85">
        <v>759724529202804</v>
      </c>
      <c r="B1548" s="82" t="s">
        <v>10621</v>
      </c>
      <c r="C1548" s="82" t="s">
        <v>11066</v>
      </c>
      <c r="D1548" s="82" t="s">
        <v>1602</v>
      </c>
      <c r="E1548" s="82">
        <v>6282228737559</v>
      </c>
      <c r="F1548" s="86">
        <v>45845</v>
      </c>
      <c r="G1548" s="87">
        <v>1069</v>
      </c>
      <c r="H1548" s="88">
        <v>12131.380753138075</v>
      </c>
      <c r="I1548" s="89">
        <v>51</v>
      </c>
      <c r="J1548" s="90">
        <v>14497</v>
      </c>
      <c r="K1548" s="85">
        <v>3</v>
      </c>
      <c r="L1548" s="85">
        <v>539</v>
      </c>
      <c r="M1548" s="85">
        <v>0</v>
      </c>
      <c r="N1548" s="82" t="s">
        <v>11067</v>
      </c>
      <c r="O1548" s="83"/>
    </row>
    <row r="1549" spans="1:15" ht="22.5" customHeight="1">
      <c r="A1549" s="85">
        <v>759724529202804</v>
      </c>
      <c r="B1549" s="82" t="s">
        <v>10621</v>
      </c>
      <c r="C1549" s="82" t="s">
        <v>11068</v>
      </c>
      <c r="D1549" s="82" t="s">
        <v>7857</v>
      </c>
      <c r="E1549" s="82">
        <v>6282285691485</v>
      </c>
      <c r="F1549" s="86">
        <v>45845</v>
      </c>
      <c r="G1549" s="87">
        <v>662</v>
      </c>
      <c r="H1549" s="88">
        <v>19036.556603773584</v>
      </c>
      <c r="I1549" s="89">
        <v>14</v>
      </c>
      <c r="J1549" s="90">
        <v>16143</v>
      </c>
      <c r="K1549" s="85">
        <v>1</v>
      </c>
      <c r="L1549" s="85">
        <v>78</v>
      </c>
      <c r="M1549" s="85">
        <v>0</v>
      </c>
      <c r="N1549" s="82" t="s">
        <v>11069</v>
      </c>
      <c r="O1549" s="83"/>
    </row>
    <row r="1550" spans="1:15" ht="22.5" customHeight="1">
      <c r="A1550" s="85">
        <v>759724529202804</v>
      </c>
      <c r="B1550" s="82" t="s">
        <v>10621</v>
      </c>
      <c r="C1550" s="82" t="s">
        <v>11070</v>
      </c>
      <c r="D1550" s="82" t="s">
        <v>11071</v>
      </c>
      <c r="E1550" s="82">
        <v>6281246211381</v>
      </c>
      <c r="F1550" s="86">
        <v>45845</v>
      </c>
      <c r="G1550" s="87">
        <v>565</v>
      </c>
      <c r="H1550" s="88">
        <v>21928.571428571428</v>
      </c>
      <c r="I1550" s="89">
        <v>18</v>
      </c>
      <c r="J1550" s="90">
        <v>15043</v>
      </c>
      <c r="K1550" s="85">
        <v>4</v>
      </c>
      <c r="L1550" s="85">
        <v>31</v>
      </c>
      <c r="M1550" s="85">
        <v>0</v>
      </c>
      <c r="N1550" s="82" t="s">
        <v>11072</v>
      </c>
      <c r="O1550" s="83"/>
    </row>
    <row r="1551" spans="1:15" ht="22.5" customHeight="1">
      <c r="A1551" s="85">
        <v>759724529202804</v>
      </c>
      <c r="B1551" s="82" t="s">
        <v>10621</v>
      </c>
      <c r="C1551" s="82" t="s">
        <v>11034</v>
      </c>
      <c r="D1551" s="82" t="s">
        <v>11035</v>
      </c>
      <c r="E1551" s="82">
        <v>6288297718776</v>
      </c>
      <c r="F1551" s="86">
        <v>45845</v>
      </c>
      <c r="G1551" s="87">
        <v>392</v>
      </c>
      <c r="H1551" s="88">
        <v>36872.437357630981</v>
      </c>
      <c r="I1551" s="89">
        <v>7</v>
      </c>
      <c r="J1551" s="90">
        <v>16187</v>
      </c>
      <c r="K1551" s="85">
        <v>2</v>
      </c>
      <c r="L1551" s="85">
        <v>125</v>
      </c>
      <c r="M1551" s="85">
        <v>0</v>
      </c>
      <c r="N1551" s="82" t="s">
        <v>11036</v>
      </c>
      <c r="O1551" s="83"/>
    </row>
    <row r="1552" spans="1:15" ht="22.5" customHeight="1">
      <c r="A1552" s="85">
        <v>759724529202804</v>
      </c>
      <c r="B1552" s="82" t="s">
        <v>10621</v>
      </c>
      <c r="C1552" s="82" t="s">
        <v>11037</v>
      </c>
      <c r="D1552" s="82" t="s">
        <v>199</v>
      </c>
      <c r="E1552" s="82">
        <v>6285220903499</v>
      </c>
      <c r="F1552" s="86">
        <v>45845</v>
      </c>
      <c r="G1552" s="87">
        <v>871</v>
      </c>
      <c r="H1552" s="88">
        <v>14907.066795740562</v>
      </c>
      <c r="I1552" s="89">
        <v>33</v>
      </c>
      <c r="J1552" s="90">
        <v>15399</v>
      </c>
      <c r="K1552" s="85">
        <v>0</v>
      </c>
      <c r="L1552" s="85">
        <v>268</v>
      </c>
      <c r="M1552" s="85">
        <v>0</v>
      </c>
      <c r="N1552" s="82" t="s">
        <v>11038</v>
      </c>
      <c r="O1552" s="83"/>
    </row>
    <row r="1553" spans="1:15" ht="22.5" customHeight="1">
      <c r="A1553" s="85">
        <v>759724529202804</v>
      </c>
      <c r="B1553" s="82" t="s">
        <v>10621</v>
      </c>
      <c r="C1553" s="82" t="s">
        <v>11016</v>
      </c>
      <c r="D1553" s="82" t="s">
        <v>1530</v>
      </c>
      <c r="E1553" s="82">
        <v>628111988553</v>
      </c>
      <c r="F1553" s="86">
        <v>45845</v>
      </c>
      <c r="G1553" s="87">
        <v>259</v>
      </c>
      <c r="H1553" s="88">
        <v>54807.432432432433</v>
      </c>
      <c r="I1553" s="89">
        <v>9</v>
      </c>
      <c r="J1553" s="90">
        <v>16223</v>
      </c>
      <c r="K1553" s="85">
        <v>1</v>
      </c>
      <c r="L1553" s="85">
        <v>96</v>
      </c>
      <c r="M1553" s="85">
        <v>0</v>
      </c>
      <c r="N1553" s="82" t="s">
        <v>11017</v>
      </c>
      <c r="O1553" s="83"/>
    </row>
    <row r="1554" spans="1:15" ht="22.5" customHeight="1">
      <c r="A1554" s="85">
        <v>759724529202804</v>
      </c>
      <c r="B1554" s="82" t="s">
        <v>10621</v>
      </c>
      <c r="C1554" s="82" t="s">
        <v>10986</v>
      </c>
      <c r="D1554" s="82" t="s">
        <v>10987</v>
      </c>
      <c r="E1554" s="82">
        <v>6281282183261</v>
      </c>
      <c r="F1554" s="86">
        <v>45845</v>
      </c>
      <c r="G1554" s="87">
        <v>409</v>
      </c>
      <c r="H1554" s="88">
        <v>28796.153846153848</v>
      </c>
      <c r="I1554" s="89">
        <v>15</v>
      </c>
      <c r="J1554" s="90">
        <v>14974</v>
      </c>
      <c r="K1554" s="85">
        <v>7</v>
      </c>
      <c r="L1554" s="85">
        <v>12</v>
      </c>
      <c r="M1554" s="85">
        <v>0</v>
      </c>
      <c r="N1554" s="82" t="s">
        <v>10988</v>
      </c>
      <c r="O1554" s="83"/>
    </row>
    <row r="1555" spans="1:15" ht="22.5" customHeight="1">
      <c r="A1555" s="85">
        <v>759724529202804</v>
      </c>
      <c r="B1555" s="82" t="s">
        <v>10621</v>
      </c>
      <c r="C1555" s="82" t="s">
        <v>1334</v>
      </c>
      <c r="D1555" s="82" t="s">
        <v>11005</v>
      </c>
      <c r="E1555" s="82">
        <v>6281366622333</v>
      </c>
      <c r="F1555" s="86">
        <v>45845</v>
      </c>
      <c r="G1555" s="87">
        <v>473</v>
      </c>
      <c r="H1555" s="88">
        <v>25785.953177257525</v>
      </c>
      <c r="I1555" s="89">
        <v>18</v>
      </c>
      <c r="J1555" s="90">
        <v>15420</v>
      </c>
      <c r="K1555" s="85">
        <v>4</v>
      </c>
      <c r="L1555" s="85">
        <v>89</v>
      </c>
      <c r="M1555" s="85">
        <v>0</v>
      </c>
      <c r="N1555" s="82" t="s">
        <v>11006</v>
      </c>
      <c r="O1555" s="83"/>
    </row>
    <row r="1556" spans="1:15" ht="22.5" customHeight="1">
      <c r="A1556" s="85">
        <v>174904221976312</v>
      </c>
      <c r="B1556" s="82" t="s">
        <v>10651</v>
      </c>
      <c r="C1556" s="82" t="s">
        <v>11133</v>
      </c>
      <c r="D1556" s="82" t="s">
        <v>11134</v>
      </c>
      <c r="E1556" s="82">
        <v>6285779532526</v>
      </c>
      <c r="F1556" s="86">
        <v>45845</v>
      </c>
      <c r="G1556" s="87">
        <v>367</v>
      </c>
      <c r="H1556" s="88">
        <v>30447.963800904974</v>
      </c>
      <c r="I1556" s="89">
        <v>6</v>
      </c>
      <c r="J1556" s="90">
        <v>13458</v>
      </c>
      <c r="K1556" s="85">
        <v>0</v>
      </c>
      <c r="L1556" s="85">
        <v>77</v>
      </c>
      <c r="M1556" s="85">
        <v>0</v>
      </c>
      <c r="N1556" s="82" t="s">
        <v>11135</v>
      </c>
      <c r="O1556" s="83"/>
    </row>
    <row r="1557" spans="1:15" ht="22.5" customHeight="1">
      <c r="A1557" s="85">
        <v>174904221976312</v>
      </c>
      <c r="B1557" s="82" t="s">
        <v>10651</v>
      </c>
      <c r="C1557" s="82" t="s">
        <v>11136</v>
      </c>
      <c r="D1557" s="82" t="s">
        <v>1710</v>
      </c>
      <c r="E1557" s="82">
        <v>6285702653554</v>
      </c>
      <c r="F1557" s="86">
        <v>45845</v>
      </c>
      <c r="G1557" s="87">
        <v>470</v>
      </c>
      <c r="H1557" s="88">
        <v>20687.878787878788</v>
      </c>
      <c r="I1557" s="89">
        <v>56</v>
      </c>
      <c r="J1557" s="90">
        <v>13654</v>
      </c>
      <c r="K1557" s="85">
        <v>5</v>
      </c>
      <c r="L1557" s="85">
        <v>14</v>
      </c>
      <c r="M1557" s="85">
        <v>0</v>
      </c>
      <c r="N1557" s="82" t="s">
        <v>11137</v>
      </c>
      <c r="O1557" s="83"/>
    </row>
    <row r="1558" spans="1:15" ht="22.5" customHeight="1">
      <c r="A1558" s="85">
        <v>174904221976312</v>
      </c>
      <c r="B1558" s="82" t="s">
        <v>10651</v>
      </c>
      <c r="C1558" s="82" t="s">
        <v>11114</v>
      </c>
      <c r="D1558" s="82" t="s">
        <v>11115</v>
      </c>
      <c r="E1558" s="82">
        <v>6281323910830</v>
      </c>
      <c r="F1558" s="86">
        <v>45845</v>
      </c>
      <c r="G1558" s="87">
        <v>983</v>
      </c>
      <c r="H1558" s="88">
        <v>13027.002700270026</v>
      </c>
      <c r="I1558" s="89">
        <v>40</v>
      </c>
      <c r="J1558" s="90">
        <v>14473</v>
      </c>
      <c r="K1558" s="85">
        <v>3</v>
      </c>
      <c r="L1558" s="85">
        <v>2</v>
      </c>
      <c r="M1558" s="85">
        <v>1</v>
      </c>
      <c r="N1558" s="82" t="s">
        <v>11116</v>
      </c>
      <c r="O1558" s="83"/>
    </row>
    <row r="1559" spans="1:15" ht="22.5" customHeight="1">
      <c r="A1559" s="85">
        <v>174904221976312</v>
      </c>
      <c r="B1559" s="82" t="s">
        <v>10651</v>
      </c>
      <c r="C1559" s="82" t="s">
        <v>11117</v>
      </c>
      <c r="D1559" s="82" t="s">
        <v>11118</v>
      </c>
      <c r="E1559" s="82">
        <v>6282169851900</v>
      </c>
      <c r="F1559" s="86">
        <v>45845</v>
      </c>
      <c r="G1559" s="87">
        <v>1161</v>
      </c>
      <c r="H1559" s="88">
        <v>9270.2331961591226</v>
      </c>
      <c r="I1559" s="89">
        <v>25</v>
      </c>
      <c r="J1559" s="90">
        <v>13516</v>
      </c>
      <c r="K1559" s="85">
        <v>2</v>
      </c>
      <c r="L1559" s="85">
        <v>72</v>
      </c>
      <c r="M1559" s="85">
        <v>0</v>
      </c>
      <c r="N1559" s="82" t="s">
        <v>11119</v>
      </c>
      <c r="O1559" s="83"/>
    </row>
    <row r="1560" spans="1:15" ht="22.5" customHeight="1">
      <c r="A1560" s="85">
        <v>174904221976312</v>
      </c>
      <c r="B1560" s="82" t="s">
        <v>10651</v>
      </c>
      <c r="C1560" s="82" t="s">
        <v>11120</v>
      </c>
      <c r="D1560" s="82" t="s">
        <v>11121</v>
      </c>
      <c r="E1560" s="82">
        <v>6282125330919</v>
      </c>
      <c r="F1560" s="86">
        <v>45845</v>
      </c>
      <c r="G1560" s="87">
        <v>734</v>
      </c>
      <c r="H1560" s="88">
        <v>14810.526315789473</v>
      </c>
      <c r="I1560" s="89">
        <v>31</v>
      </c>
      <c r="J1560" s="90">
        <v>12663</v>
      </c>
      <c r="K1560" s="85">
        <v>1</v>
      </c>
      <c r="L1560" s="85">
        <v>33</v>
      </c>
      <c r="M1560" s="85">
        <v>0</v>
      </c>
      <c r="N1560" s="82" t="s">
        <v>11122</v>
      </c>
      <c r="O1560" s="83"/>
    </row>
    <row r="1561" spans="1:15" ht="22.5" customHeight="1">
      <c r="A1561" s="85">
        <v>174904221976312</v>
      </c>
      <c r="B1561" s="82" t="s">
        <v>10651</v>
      </c>
      <c r="C1561" s="82" t="s">
        <v>11123</v>
      </c>
      <c r="D1561" s="82" t="s">
        <v>11124</v>
      </c>
      <c r="E1561" s="82">
        <v>628111508569</v>
      </c>
      <c r="F1561" s="86">
        <v>45845</v>
      </c>
      <c r="G1561" s="87">
        <v>356</v>
      </c>
      <c r="H1561" s="88">
        <v>27505.07614213198</v>
      </c>
      <c r="I1561" s="89">
        <v>7</v>
      </c>
      <c r="J1561" s="90">
        <v>10837</v>
      </c>
      <c r="K1561" s="85">
        <v>1</v>
      </c>
      <c r="L1561" s="85">
        <v>0</v>
      </c>
      <c r="M1561" s="85">
        <v>0</v>
      </c>
      <c r="N1561" s="82" t="s">
        <v>11125</v>
      </c>
      <c r="O1561" s="83"/>
    </row>
    <row r="1562" spans="1:15" ht="22.5" customHeight="1">
      <c r="A1562" s="85">
        <v>174904221976312</v>
      </c>
      <c r="B1562" s="82" t="s">
        <v>10651</v>
      </c>
      <c r="C1562" s="82" t="s">
        <v>11087</v>
      </c>
      <c r="D1562" s="82" t="s">
        <v>11088</v>
      </c>
      <c r="E1562" s="82">
        <v>6282115608585</v>
      </c>
      <c r="F1562" s="86">
        <v>45845</v>
      </c>
      <c r="G1562" s="87">
        <v>627</v>
      </c>
      <c r="H1562" s="88">
        <v>17393.899204244033</v>
      </c>
      <c r="I1562" s="89">
        <v>59</v>
      </c>
      <c r="J1562" s="90">
        <v>13115</v>
      </c>
      <c r="K1562" s="85">
        <v>9</v>
      </c>
      <c r="L1562" s="85">
        <v>0</v>
      </c>
      <c r="M1562" s="85">
        <v>1</v>
      </c>
      <c r="N1562" s="82" t="s">
        <v>11089</v>
      </c>
      <c r="O1562" s="83"/>
    </row>
    <row r="1563" spans="1:15" ht="22.5" customHeight="1">
      <c r="A1563" s="85">
        <v>174904221976312</v>
      </c>
      <c r="B1563" s="82" t="s">
        <v>10651</v>
      </c>
      <c r="C1563" s="82" t="s">
        <v>11090</v>
      </c>
      <c r="D1563" s="82" t="s">
        <v>11091</v>
      </c>
      <c r="E1563" s="82">
        <v>6282192773278</v>
      </c>
      <c r="F1563" s="86">
        <v>45845</v>
      </c>
      <c r="G1563" s="87">
        <v>2113</v>
      </c>
      <c r="H1563" s="88">
        <v>5857.0800351802991</v>
      </c>
      <c r="I1563" s="89">
        <v>123</v>
      </c>
      <c r="J1563" s="90">
        <v>13319</v>
      </c>
      <c r="K1563" s="85">
        <v>16</v>
      </c>
      <c r="L1563" s="85">
        <v>896</v>
      </c>
      <c r="M1563" s="85">
        <v>0</v>
      </c>
      <c r="N1563" s="82" t="s">
        <v>11092</v>
      </c>
      <c r="O1563" s="83"/>
    </row>
    <row r="1564" spans="1:15" ht="22.5" customHeight="1">
      <c r="A1564" s="85">
        <v>174904221976312</v>
      </c>
      <c r="B1564" s="82" t="s">
        <v>10651</v>
      </c>
      <c r="C1564" s="82" t="s">
        <v>11093</v>
      </c>
      <c r="D1564" s="82" t="s">
        <v>11094</v>
      </c>
      <c r="E1564" s="82">
        <v>6282227027805</v>
      </c>
      <c r="F1564" s="86">
        <v>45845</v>
      </c>
      <c r="G1564" s="87">
        <v>407</v>
      </c>
      <c r="H1564" s="88">
        <v>42194.508009153316</v>
      </c>
      <c r="I1564" s="89">
        <v>4</v>
      </c>
      <c r="J1564" s="90">
        <v>18439</v>
      </c>
      <c r="K1564" s="85">
        <v>1</v>
      </c>
      <c r="L1564" s="85">
        <v>191</v>
      </c>
      <c r="M1564" s="85">
        <v>0</v>
      </c>
      <c r="N1564" s="82" t="s">
        <v>11095</v>
      </c>
      <c r="O1564" s="83"/>
    </row>
    <row r="1565" spans="1:15" ht="22.5" customHeight="1">
      <c r="A1565" s="85">
        <v>174904221976312</v>
      </c>
      <c r="B1565" s="82" t="s">
        <v>10651</v>
      </c>
      <c r="C1565" s="82" t="s">
        <v>11096</v>
      </c>
      <c r="D1565" s="82" t="s">
        <v>11097</v>
      </c>
      <c r="E1565" s="82">
        <v>6282125000978</v>
      </c>
      <c r="F1565" s="86">
        <v>45845</v>
      </c>
      <c r="G1565" s="87">
        <v>381</v>
      </c>
      <c r="H1565" s="88">
        <v>22400.911161731208</v>
      </c>
      <c r="I1565" s="89">
        <v>19</v>
      </c>
      <c r="J1565" s="90">
        <v>9834</v>
      </c>
      <c r="K1565" s="85">
        <v>2</v>
      </c>
      <c r="L1565" s="85">
        <v>13</v>
      </c>
      <c r="M1565" s="85">
        <v>1</v>
      </c>
      <c r="N1565" s="82" t="s">
        <v>11126</v>
      </c>
      <c r="O1565" s="83"/>
    </row>
    <row r="1566" spans="1:15" ht="22.5" customHeight="1">
      <c r="A1566" s="85">
        <v>174904221976312</v>
      </c>
      <c r="B1566" s="82" t="s">
        <v>10651</v>
      </c>
      <c r="C1566" s="82" t="s">
        <v>11127</v>
      </c>
      <c r="D1566" s="82" t="s">
        <v>11128</v>
      </c>
      <c r="E1566" s="82">
        <v>6281355026552</v>
      </c>
      <c r="F1566" s="86">
        <v>45845</v>
      </c>
      <c r="G1566" s="87">
        <v>928</v>
      </c>
      <c r="H1566" s="88">
        <v>11888.594164456234</v>
      </c>
      <c r="I1566" s="89">
        <v>90</v>
      </c>
      <c r="J1566" s="90">
        <v>13446</v>
      </c>
      <c r="K1566" s="85">
        <v>11</v>
      </c>
      <c r="L1566" s="85">
        <v>296</v>
      </c>
      <c r="M1566" s="85">
        <v>4</v>
      </c>
      <c r="N1566" s="82" t="s">
        <v>11129</v>
      </c>
      <c r="O1566" s="83"/>
    </row>
    <row r="1567" spans="1:15" ht="22.5" customHeight="1">
      <c r="A1567" s="85">
        <v>174904221976312</v>
      </c>
      <c r="B1567" s="82" t="s">
        <v>10651</v>
      </c>
      <c r="C1567" s="82" t="s">
        <v>11099</v>
      </c>
      <c r="D1567" s="82" t="s">
        <v>11100</v>
      </c>
      <c r="E1567" s="82">
        <v>6281352626888</v>
      </c>
      <c r="F1567" s="86">
        <v>45845</v>
      </c>
      <c r="G1567" s="87">
        <v>1051</v>
      </c>
      <c r="H1567" s="88">
        <v>11750.836120401338</v>
      </c>
      <c r="I1567" s="89">
        <v>56</v>
      </c>
      <c r="J1567" s="90">
        <v>14054</v>
      </c>
      <c r="K1567" s="85">
        <v>11</v>
      </c>
      <c r="L1567" s="85">
        <v>88</v>
      </c>
      <c r="M1567" s="85">
        <v>1</v>
      </c>
      <c r="N1567" s="82" t="s">
        <v>11101</v>
      </c>
      <c r="O1567" s="83"/>
    </row>
    <row r="1568" spans="1:15" ht="22.5" customHeight="1">
      <c r="A1568" s="85">
        <v>174904221976312</v>
      </c>
      <c r="B1568" s="82" t="s">
        <v>10651</v>
      </c>
      <c r="C1568" s="82" t="s">
        <v>11075</v>
      </c>
      <c r="D1568" s="82" t="s">
        <v>11076</v>
      </c>
      <c r="E1568" s="82">
        <v>6281378152512</v>
      </c>
      <c r="F1568" s="86">
        <v>45845</v>
      </c>
      <c r="G1568" s="87">
        <v>966</v>
      </c>
      <c r="H1568" s="88">
        <v>13018.197573656846</v>
      </c>
      <c r="I1568" s="89">
        <v>46</v>
      </c>
      <c r="J1568" s="90">
        <v>15023</v>
      </c>
      <c r="K1568" s="85">
        <v>4</v>
      </c>
      <c r="L1568" s="85">
        <v>186</v>
      </c>
      <c r="M1568" s="85">
        <v>0</v>
      </c>
      <c r="N1568" s="82" t="s">
        <v>11077</v>
      </c>
      <c r="O1568" s="83"/>
    </row>
    <row r="1569" spans="1:15" ht="22.5" customHeight="1">
      <c r="A1569" s="85">
        <v>174904221976312</v>
      </c>
      <c r="B1569" s="82" t="s">
        <v>10651</v>
      </c>
      <c r="C1569" s="82" t="s">
        <v>11039</v>
      </c>
      <c r="D1569" s="82" t="s">
        <v>11040</v>
      </c>
      <c r="E1569" s="82">
        <v>6281934879222</v>
      </c>
      <c r="F1569" s="86">
        <v>45845</v>
      </c>
      <c r="G1569" s="87">
        <v>719</v>
      </c>
      <c r="H1569" s="88">
        <v>12468.879668049793</v>
      </c>
      <c r="I1569" s="89">
        <v>17</v>
      </c>
      <c r="J1569" s="90">
        <v>12020</v>
      </c>
      <c r="K1569" s="85">
        <v>1</v>
      </c>
      <c r="L1569" s="85">
        <v>204</v>
      </c>
      <c r="M1569" s="85">
        <v>1</v>
      </c>
      <c r="N1569" s="82" t="s">
        <v>11041</v>
      </c>
      <c r="O1569" s="83"/>
    </row>
    <row r="1570" spans="1:15" ht="22.5" customHeight="1">
      <c r="A1570" s="85">
        <v>174904221976312</v>
      </c>
      <c r="B1570" s="82" t="s">
        <v>10651</v>
      </c>
      <c r="C1570" s="82" t="s">
        <v>11042</v>
      </c>
      <c r="D1570" s="82" t="s">
        <v>1433</v>
      </c>
      <c r="E1570" s="82">
        <v>6285263289844</v>
      </c>
      <c r="F1570" s="86">
        <v>45845</v>
      </c>
      <c r="G1570" s="87">
        <v>1225</v>
      </c>
      <c r="H1570" s="88">
        <v>8744.8979591836724</v>
      </c>
      <c r="I1570" s="89">
        <v>33</v>
      </c>
      <c r="J1570" s="90">
        <v>13712</v>
      </c>
      <c r="K1570" s="85">
        <v>6</v>
      </c>
      <c r="L1570" s="85">
        <v>328</v>
      </c>
      <c r="M1570" s="85">
        <v>1</v>
      </c>
      <c r="N1570" s="82" t="s">
        <v>11043</v>
      </c>
      <c r="O1570" s="83"/>
    </row>
    <row r="1571" spans="1:15" ht="22.5" customHeight="1">
      <c r="A1571" s="85">
        <v>174904221976312</v>
      </c>
      <c r="B1571" s="82" t="s">
        <v>10651</v>
      </c>
      <c r="C1571" s="82" t="s">
        <v>11044</v>
      </c>
      <c r="D1571" s="82" t="s">
        <v>11045</v>
      </c>
      <c r="E1571" s="82">
        <v>6282114053996</v>
      </c>
      <c r="F1571" s="86">
        <v>45845</v>
      </c>
      <c r="G1571" s="87">
        <v>699</v>
      </c>
      <c r="H1571" s="88">
        <v>15323.266219239373</v>
      </c>
      <c r="I1571" s="89">
        <v>22</v>
      </c>
      <c r="J1571" s="90">
        <v>13699</v>
      </c>
      <c r="K1571" s="85">
        <v>2</v>
      </c>
      <c r="L1571" s="85">
        <v>0</v>
      </c>
      <c r="M1571" s="85">
        <v>0</v>
      </c>
      <c r="N1571" s="82" t="s">
        <v>11046</v>
      </c>
      <c r="O1571" s="83"/>
    </row>
    <row r="1572" spans="1:15" ht="22.5" customHeight="1">
      <c r="A1572" s="85">
        <v>174904221976312</v>
      </c>
      <c r="B1572" s="82" t="s">
        <v>10651</v>
      </c>
      <c r="C1572" s="82" t="s">
        <v>11047</v>
      </c>
      <c r="D1572" s="82" t="s">
        <v>11048</v>
      </c>
      <c r="E1572" s="82">
        <v>6282131666003</v>
      </c>
      <c r="F1572" s="86">
        <v>45845</v>
      </c>
      <c r="G1572" s="87">
        <v>504</v>
      </c>
      <c r="H1572" s="88">
        <v>23156.199677938806</v>
      </c>
      <c r="I1572" s="89">
        <v>32</v>
      </c>
      <c r="J1572" s="90">
        <v>14380</v>
      </c>
      <c r="K1572" s="85">
        <v>5</v>
      </c>
      <c r="L1572" s="85">
        <v>153</v>
      </c>
      <c r="M1572" s="85">
        <v>0</v>
      </c>
      <c r="N1572" s="82" t="s">
        <v>11049</v>
      </c>
      <c r="O1572" s="83"/>
    </row>
    <row r="1573" spans="1:15" ht="22.5" customHeight="1">
      <c r="A1573" s="85">
        <v>174904221976312</v>
      </c>
      <c r="B1573" s="82" t="s">
        <v>10651</v>
      </c>
      <c r="C1573" s="82" t="s">
        <v>11050</v>
      </c>
      <c r="D1573" s="82" t="s">
        <v>11051</v>
      </c>
      <c r="E1573" s="82">
        <v>6285869122507</v>
      </c>
      <c r="F1573" s="86">
        <v>45845</v>
      </c>
      <c r="G1573" s="87">
        <v>769</v>
      </c>
      <c r="H1573" s="88">
        <v>14731.900452488688</v>
      </c>
      <c r="I1573" s="89">
        <v>54</v>
      </c>
      <c r="J1573" s="90">
        <v>13023</v>
      </c>
      <c r="K1573" s="85">
        <v>8</v>
      </c>
      <c r="L1573" s="85">
        <v>332</v>
      </c>
      <c r="M1573" s="85">
        <v>1</v>
      </c>
      <c r="N1573" s="82" t="s">
        <v>11052</v>
      </c>
      <c r="O1573" s="83"/>
    </row>
    <row r="1574" spans="1:15" ht="22.5" customHeight="1">
      <c r="A1574" s="85">
        <v>174904221976312</v>
      </c>
      <c r="B1574" s="82" t="s">
        <v>10651</v>
      </c>
      <c r="C1574" s="82" t="s">
        <v>11002</v>
      </c>
      <c r="D1574" s="82" t="s">
        <v>11003</v>
      </c>
      <c r="E1574" s="82">
        <v>6288228976100</v>
      </c>
      <c r="F1574" s="86">
        <v>45845</v>
      </c>
      <c r="G1574" s="87">
        <v>850</v>
      </c>
      <c r="H1574" s="88">
        <v>11487.073422957601</v>
      </c>
      <c r="I1574" s="89">
        <v>33</v>
      </c>
      <c r="J1574" s="90">
        <v>11108</v>
      </c>
      <c r="K1574" s="85">
        <v>1</v>
      </c>
      <c r="L1574" s="85">
        <v>0</v>
      </c>
      <c r="M1574" s="85">
        <v>0</v>
      </c>
      <c r="N1574" s="82" t="s">
        <v>11004</v>
      </c>
      <c r="O1574" s="83"/>
    </row>
    <row r="1575" spans="1:15" ht="22.5" customHeight="1">
      <c r="A1575" s="85">
        <v>174904221976312</v>
      </c>
      <c r="B1575" s="82" t="s">
        <v>10651</v>
      </c>
      <c r="C1575" s="82" t="s">
        <v>10971</v>
      </c>
      <c r="D1575" s="82" t="s">
        <v>1292</v>
      </c>
      <c r="E1575" s="82">
        <v>6281213589905</v>
      </c>
      <c r="F1575" s="86">
        <v>45845</v>
      </c>
      <c r="G1575" s="87">
        <v>222</v>
      </c>
      <c r="H1575" s="88">
        <v>47737.451737451738</v>
      </c>
      <c r="I1575" s="89">
        <v>6</v>
      </c>
      <c r="J1575" s="90">
        <v>12364</v>
      </c>
      <c r="K1575" s="85">
        <v>1</v>
      </c>
      <c r="L1575" s="85">
        <v>16</v>
      </c>
      <c r="M1575" s="85">
        <v>0</v>
      </c>
      <c r="N1575" s="82" t="s">
        <v>10972</v>
      </c>
      <c r="O1575" s="83"/>
    </row>
    <row r="1576" spans="1:15" ht="22.5" customHeight="1">
      <c r="A1576" s="85">
        <v>174904221976312</v>
      </c>
      <c r="B1576" s="82" t="s">
        <v>10651</v>
      </c>
      <c r="C1576" s="82" t="s">
        <v>10943</v>
      </c>
      <c r="D1576" s="82" t="s">
        <v>10944</v>
      </c>
      <c r="E1576" s="82">
        <v>6285240694097</v>
      </c>
      <c r="F1576" s="86">
        <v>45845</v>
      </c>
      <c r="G1576" s="87">
        <v>1143</v>
      </c>
      <c r="H1576" s="88">
        <v>10016.323633782826</v>
      </c>
      <c r="I1576" s="89">
        <v>36</v>
      </c>
      <c r="J1576" s="90">
        <v>14113</v>
      </c>
      <c r="K1576" s="85">
        <v>5</v>
      </c>
      <c r="L1576" s="85">
        <v>252</v>
      </c>
      <c r="M1576" s="85">
        <v>0</v>
      </c>
      <c r="N1576" s="82" t="s">
        <v>10945</v>
      </c>
      <c r="O1576" s="83"/>
    </row>
    <row r="1577" spans="1:15" ht="22.5" customHeight="1">
      <c r="A1577" s="85">
        <v>174904221976312</v>
      </c>
      <c r="B1577" s="82" t="s">
        <v>10651</v>
      </c>
      <c r="C1577" s="82" t="s">
        <v>10853</v>
      </c>
      <c r="D1577" s="82" t="s">
        <v>10854</v>
      </c>
      <c r="E1577" s="82">
        <v>6281393958199</v>
      </c>
      <c r="F1577" s="86">
        <v>45845</v>
      </c>
      <c r="G1577" s="87">
        <v>476</v>
      </c>
      <c r="H1577" s="88">
        <v>20005.281690140844</v>
      </c>
      <c r="I1577" s="89">
        <v>13</v>
      </c>
      <c r="J1577" s="90">
        <v>11363</v>
      </c>
      <c r="K1577" s="85">
        <v>1</v>
      </c>
      <c r="L1577" s="85">
        <v>6</v>
      </c>
      <c r="M1577" s="85">
        <v>0</v>
      </c>
      <c r="N1577" s="82" t="s">
        <v>10855</v>
      </c>
      <c r="O1577" s="83"/>
    </row>
    <row r="1578" spans="1:15" ht="22.5" customHeight="1">
      <c r="A1578" s="85">
        <v>174904221976312</v>
      </c>
      <c r="B1578" s="82" t="s">
        <v>10651</v>
      </c>
      <c r="C1578" s="82" t="s">
        <v>818</v>
      </c>
      <c r="D1578" s="82" t="s">
        <v>812</v>
      </c>
      <c r="E1578" s="82">
        <v>6287858585808</v>
      </c>
      <c r="F1578" s="86">
        <v>45845</v>
      </c>
      <c r="G1578" s="87">
        <v>847</v>
      </c>
      <c r="H1578" s="88">
        <v>14248.983739837398</v>
      </c>
      <c r="I1578" s="89">
        <v>28</v>
      </c>
      <c r="J1578" s="90">
        <v>14021</v>
      </c>
      <c r="K1578" s="85">
        <v>3</v>
      </c>
      <c r="L1578" s="85">
        <v>229</v>
      </c>
      <c r="M1578" s="85">
        <v>0</v>
      </c>
      <c r="N1578" s="82" t="s">
        <v>10831</v>
      </c>
      <c r="O1578" s="83"/>
    </row>
    <row r="1579" spans="1:15" ht="22.5" customHeight="1">
      <c r="A1579" s="85">
        <v>174904221976312</v>
      </c>
      <c r="B1579" s="82" t="s">
        <v>10651</v>
      </c>
      <c r="C1579" s="82" t="s">
        <v>10696</v>
      </c>
      <c r="D1579" s="82" t="s">
        <v>236</v>
      </c>
      <c r="E1579" s="82"/>
      <c r="F1579" s="86">
        <v>45845</v>
      </c>
      <c r="G1579" s="87">
        <v>1610</v>
      </c>
      <c r="H1579" s="88">
        <v>7153.8461538461543</v>
      </c>
      <c r="I1579" s="89">
        <v>82</v>
      </c>
      <c r="J1579" s="90">
        <v>13857</v>
      </c>
      <c r="K1579" s="85">
        <v>6</v>
      </c>
      <c r="L1579" s="85">
        <v>604</v>
      </c>
      <c r="M1579" s="85">
        <v>0</v>
      </c>
      <c r="N1579" s="82" t="s">
        <v>10697</v>
      </c>
      <c r="O1579" s="83"/>
    </row>
    <row r="1580" spans="1:15" ht="22.5" customHeight="1">
      <c r="A1580" s="85">
        <v>174904221976312</v>
      </c>
      <c r="B1580" s="82" t="s">
        <v>10651</v>
      </c>
      <c r="C1580" s="82" t="s">
        <v>10652</v>
      </c>
      <c r="D1580" s="82" t="s">
        <v>10653</v>
      </c>
      <c r="E1580" s="82">
        <v>6281348555887</v>
      </c>
      <c r="F1580" s="86">
        <v>45845</v>
      </c>
      <c r="G1580" s="87">
        <v>1154</v>
      </c>
      <c r="H1580" s="88">
        <v>10660.120845921449</v>
      </c>
      <c r="I1580" s="89">
        <v>22</v>
      </c>
      <c r="J1580" s="90">
        <v>14114</v>
      </c>
      <c r="K1580" s="85">
        <v>2</v>
      </c>
      <c r="L1580" s="85">
        <v>319</v>
      </c>
      <c r="M1580" s="85">
        <v>0</v>
      </c>
      <c r="N1580" s="82" t="s">
        <v>11138</v>
      </c>
      <c r="O1580" s="83"/>
    </row>
    <row r="1581" spans="1:15" ht="22.5" customHeight="1">
      <c r="A1581" s="85">
        <v>174904221976312</v>
      </c>
      <c r="B1581" s="82" t="s">
        <v>10651</v>
      </c>
      <c r="C1581" s="82" t="s">
        <v>10659</v>
      </c>
      <c r="D1581" s="82" t="s">
        <v>1044</v>
      </c>
      <c r="E1581" s="82">
        <v>6281263113266</v>
      </c>
      <c r="F1581" s="86">
        <v>45845</v>
      </c>
      <c r="G1581" s="87">
        <v>1013</v>
      </c>
      <c r="H1581" s="88">
        <v>10777.6886035313</v>
      </c>
      <c r="I1581" s="89">
        <v>58</v>
      </c>
      <c r="J1581" s="90">
        <v>13429</v>
      </c>
      <c r="K1581" s="85">
        <v>4</v>
      </c>
      <c r="L1581" s="85">
        <v>505</v>
      </c>
      <c r="M1581" s="85">
        <v>1</v>
      </c>
      <c r="N1581" s="82" t="s">
        <v>10660</v>
      </c>
      <c r="O1581" s="83"/>
    </row>
    <row r="1582" spans="1:15" ht="22.5" customHeight="1">
      <c r="A1582" s="85">
        <v>174904221976312</v>
      </c>
      <c r="B1582" s="82" t="s">
        <v>10651</v>
      </c>
      <c r="C1582" s="82" t="s">
        <v>11078</v>
      </c>
      <c r="D1582" s="82" t="s">
        <v>3140</v>
      </c>
      <c r="E1582" s="82"/>
      <c r="F1582" s="86">
        <v>45845</v>
      </c>
      <c r="G1582" s="87">
        <v>6508</v>
      </c>
      <c r="H1582" s="88">
        <v>1728.9026691830682</v>
      </c>
      <c r="I1582" s="89">
        <v>123</v>
      </c>
      <c r="J1582" s="90">
        <v>12825</v>
      </c>
      <c r="K1582" s="85">
        <v>8</v>
      </c>
      <c r="L1582" s="85">
        <v>10</v>
      </c>
      <c r="M1582" s="85">
        <v>1</v>
      </c>
      <c r="N1582" s="82" t="s">
        <v>11079</v>
      </c>
      <c r="O1582" s="83"/>
    </row>
    <row r="1583" spans="1:15" ht="22.5" customHeight="1">
      <c r="A1583" s="85">
        <v>174904221976312</v>
      </c>
      <c r="B1583" s="82" t="s">
        <v>10651</v>
      </c>
      <c r="C1583" s="82" t="s">
        <v>10731</v>
      </c>
      <c r="D1583" s="82" t="s">
        <v>10732</v>
      </c>
      <c r="E1583" s="82">
        <v>6281241440688</v>
      </c>
      <c r="F1583" s="86">
        <v>45845</v>
      </c>
      <c r="G1583" s="87">
        <v>2055</v>
      </c>
      <c r="H1583" s="88">
        <v>5866.5226781857455</v>
      </c>
      <c r="I1583" s="89">
        <v>33</v>
      </c>
      <c r="J1583" s="90">
        <v>13581</v>
      </c>
      <c r="K1583" s="85">
        <v>2</v>
      </c>
      <c r="L1583" s="85">
        <v>794</v>
      </c>
      <c r="M1583" s="85">
        <v>1</v>
      </c>
      <c r="N1583" s="82" t="s">
        <v>10733</v>
      </c>
      <c r="O1583" s="83"/>
    </row>
    <row r="1584" spans="1:15" ht="22.5" customHeight="1">
      <c r="A1584" s="85">
        <v>766589657993298</v>
      </c>
      <c r="B1584" s="82" t="s">
        <v>10688</v>
      </c>
      <c r="C1584" s="82" t="s">
        <v>11139</v>
      </c>
      <c r="D1584" s="82" t="s">
        <v>11140</v>
      </c>
      <c r="E1584" s="82"/>
      <c r="F1584" s="86">
        <v>45845</v>
      </c>
      <c r="G1584" s="87">
        <v>540</v>
      </c>
      <c r="H1584" s="88">
        <v>29138.613861386137</v>
      </c>
      <c r="I1584" s="89">
        <v>8</v>
      </c>
      <c r="J1584" s="90">
        <v>17658</v>
      </c>
      <c r="K1584" s="85">
        <v>1</v>
      </c>
      <c r="L1584" s="85">
        <v>184</v>
      </c>
      <c r="M1584" s="85">
        <v>0</v>
      </c>
      <c r="N1584" s="82" t="s">
        <v>11141</v>
      </c>
      <c r="O1584" s="83"/>
    </row>
    <row r="1585" spans="1:15" ht="22.5" customHeight="1">
      <c r="A1585" s="85">
        <v>766589657993298</v>
      </c>
      <c r="B1585" s="82" t="s">
        <v>10688</v>
      </c>
      <c r="C1585" s="82" t="s">
        <v>11142</v>
      </c>
      <c r="D1585" s="82" t="s">
        <v>10980</v>
      </c>
      <c r="E1585" s="82">
        <v>6285715856120</v>
      </c>
      <c r="F1585" s="86">
        <v>45845</v>
      </c>
      <c r="G1585" s="87">
        <v>881</v>
      </c>
      <c r="H1585" s="88">
        <v>15711.318795430945</v>
      </c>
      <c r="I1585" s="89">
        <v>28</v>
      </c>
      <c r="J1585" s="90">
        <v>15130</v>
      </c>
      <c r="K1585" s="85">
        <v>5</v>
      </c>
      <c r="L1585" s="85">
        <v>368</v>
      </c>
      <c r="M1585" s="85">
        <v>0</v>
      </c>
      <c r="N1585" s="82" t="s">
        <v>11143</v>
      </c>
      <c r="O1585" s="83"/>
    </row>
    <row r="1586" spans="1:15" ht="22.5" customHeight="1">
      <c r="A1586" s="85">
        <v>766589657993298</v>
      </c>
      <c r="B1586" s="82" t="s">
        <v>10688</v>
      </c>
      <c r="C1586" s="82" t="s">
        <v>11103</v>
      </c>
      <c r="D1586" s="82" t="s">
        <v>11104</v>
      </c>
      <c r="E1586" s="82">
        <v>6282124027899</v>
      </c>
      <c r="F1586" s="86">
        <v>45845</v>
      </c>
      <c r="G1586" s="87">
        <v>1474</v>
      </c>
      <c r="H1586" s="88">
        <v>8735.443753533069</v>
      </c>
      <c r="I1586" s="89">
        <v>35</v>
      </c>
      <c r="J1586" s="90">
        <v>15453</v>
      </c>
      <c r="K1586" s="85">
        <v>0</v>
      </c>
      <c r="L1586" s="85">
        <v>416</v>
      </c>
      <c r="M1586" s="85">
        <v>0</v>
      </c>
      <c r="N1586" s="82" t="s">
        <v>11105</v>
      </c>
      <c r="O1586" s="83"/>
    </row>
    <row r="1587" spans="1:15" ht="22.5" customHeight="1">
      <c r="A1587" s="85">
        <v>766589657993298</v>
      </c>
      <c r="B1587" s="82" t="s">
        <v>10688</v>
      </c>
      <c r="C1587" s="82" t="s">
        <v>11106</v>
      </c>
      <c r="D1587" s="82" t="s">
        <v>1632</v>
      </c>
      <c r="E1587" s="82">
        <v>6281290414113</v>
      </c>
      <c r="F1587" s="86">
        <v>45845</v>
      </c>
      <c r="G1587" s="87">
        <v>400</v>
      </c>
      <c r="H1587" s="88">
        <v>36368.038740920099</v>
      </c>
      <c r="I1587" s="89">
        <v>7</v>
      </c>
      <c r="J1587" s="90">
        <v>15020</v>
      </c>
      <c r="K1587" s="85">
        <v>0</v>
      </c>
      <c r="L1587" s="85">
        <v>141</v>
      </c>
      <c r="M1587" s="85">
        <v>0</v>
      </c>
      <c r="N1587" s="82" t="s">
        <v>11107</v>
      </c>
      <c r="O1587" s="83"/>
    </row>
    <row r="1588" spans="1:15" ht="22.5" customHeight="1">
      <c r="A1588" s="85">
        <v>766589657993298</v>
      </c>
      <c r="B1588" s="82" t="s">
        <v>10688</v>
      </c>
      <c r="C1588" s="82" t="s">
        <v>11108</v>
      </c>
      <c r="D1588" s="82" t="s">
        <v>11109</v>
      </c>
      <c r="E1588" s="82">
        <v>62818763108</v>
      </c>
      <c r="F1588" s="86">
        <v>45845</v>
      </c>
      <c r="G1588" s="87">
        <v>321</v>
      </c>
      <c r="H1588" s="88">
        <v>37455.421686746988</v>
      </c>
      <c r="I1588" s="89">
        <v>12</v>
      </c>
      <c r="J1588" s="90">
        <v>15544</v>
      </c>
      <c r="K1588" s="85">
        <v>2</v>
      </c>
      <c r="L1588" s="85">
        <v>7</v>
      </c>
      <c r="M1588" s="85">
        <v>0</v>
      </c>
      <c r="N1588" s="82" t="s">
        <v>11110</v>
      </c>
      <c r="O1588" s="83"/>
    </row>
    <row r="1589" spans="1:15" ht="22.5" customHeight="1">
      <c r="A1589" s="85">
        <v>766589657993298</v>
      </c>
      <c r="B1589" s="82" t="s">
        <v>10688</v>
      </c>
      <c r="C1589" s="82" t="s">
        <v>11080</v>
      </c>
      <c r="D1589" s="82" t="s">
        <v>1408</v>
      </c>
      <c r="E1589" s="82">
        <v>6282211473253</v>
      </c>
      <c r="F1589" s="86">
        <v>45845</v>
      </c>
      <c r="G1589" s="87">
        <v>420</v>
      </c>
      <c r="H1589" s="88">
        <v>35710.344827586203</v>
      </c>
      <c r="I1589" s="89">
        <v>6</v>
      </c>
      <c r="J1589" s="90">
        <v>15534</v>
      </c>
      <c r="K1589" s="85">
        <v>0</v>
      </c>
      <c r="L1589" s="85">
        <v>179</v>
      </c>
      <c r="M1589" s="85">
        <v>0</v>
      </c>
      <c r="N1589" s="82" t="s">
        <v>11081</v>
      </c>
      <c r="O1589" s="83"/>
    </row>
    <row r="1590" spans="1:15" ht="22.5" customHeight="1">
      <c r="A1590" s="85">
        <v>766589657993298</v>
      </c>
      <c r="B1590" s="82" t="s">
        <v>10688</v>
      </c>
      <c r="C1590" s="82" t="s">
        <v>11082</v>
      </c>
      <c r="D1590" s="82" t="s">
        <v>11083</v>
      </c>
      <c r="E1590" s="82">
        <v>6288980619907</v>
      </c>
      <c r="F1590" s="86">
        <v>45845</v>
      </c>
      <c r="G1590" s="87">
        <v>270</v>
      </c>
      <c r="H1590" s="88">
        <v>42934.426229508201</v>
      </c>
      <c r="I1590" s="89">
        <v>10</v>
      </c>
      <c r="J1590" s="90">
        <v>15714</v>
      </c>
      <c r="K1590" s="85">
        <v>3</v>
      </c>
      <c r="L1590" s="85">
        <v>36</v>
      </c>
      <c r="M1590" s="85">
        <v>0</v>
      </c>
      <c r="N1590" s="82" t="s">
        <v>11084</v>
      </c>
      <c r="O1590" s="83"/>
    </row>
    <row r="1591" spans="1:15" ht="22.5" customHeight="1">
      <c r="A1591" s="85">
        <v>766589657993298</v>
      </c>
      <c r="B1591" s="82" t="s">
        <v>10688</v>
      </c>
      <c r="C1591" s="82" t="s">
        <v>11053</v>
      </c>
      <c r="D1591" s="82" t="s">
        <v>1579</v>
      </c>
      <c r="E1591" s="82">
        <v>6285647189964</v>
      </c>
      <c r="F1591" s="86">
        <v>45845</v>
      </c>
      <c r="G1591" s="87">
        <v>245</v>
      </c>
      <c r="H1591" s="88">
        <v>57080</v>
      </c>
      <c r="I1591" s="89">
        <v>3</v>
      </c>
      <c r="J1591" s="90">
        <v>15697</v>
      </c>
      <c r="K1591" s="85">
        <v>0</v>
      </c>
      <c r="L1591" s="85">
        <v>38</v>
      </c>
      <c r="M1591" s="85">
        <v>0</v>
      </c>
      <c r="N1591" s="82" t="s">
        <v>11130</v>
      </c>
      <c r="O1591" s="83"/>
    </row>
    <row r="1592" spans="1:15" ht="22.5" customHeight="1">
      <c r="A1592" s="85">
        <v>766589657993298</v>
      </c>
      <c r="B1592" s="82" t="s">
        <v>10688</v>
      </c>
      <c r="C1592" s="82" t="s">
        <v>11026</v>
      </c>
      <c r="D1592" s="82" t="s">
        <v>1172</v>
      </c>
      <c r="E1592" s="82">
        <v>6285950836788</v>
      </c>
      <c r="F1592" s="86">
        <v>45845</v>
      </c>
      <c r="G1592" s="87">
        <v>384</v>
      </c>
      <c r="H1592" s="88">
        <v>35098.173515981733</v>
      </c>
      <c r="I1592" s="89">
        <v>15</v>
      </c>
      <c r="J1592" s="90">
        <v>15373</v>
      </c>
      <c r="K1592" s="85">
        <v>3</v>
      </c>
      <c r="L1592" s="85">
        <v>151</v>
      </c>
      <c r="M1592" s="85">
        <v>0</v>
      </c>
      <c r="N1592" s="82" t="s">
        <v>11027</v>
      </c>
      <c r="O1592" s="83"/>
    </row>
    <row r="1593" spans="1:15" ht="22.5" customHeight="1">
      <c r="A1593" s="85">
        <v>766589657993298</v>
      </c>
      <c r="B1593" s="82" t="s">
        <v>10688</v>
      </c>
      <c r="C1593" s="82" t="s">
        <v>11028</v>
      </c>
      <c r="D1593" s="82" t="s">
        <v>11029</v>
      </c>
      <c r="E1593" s="82">
        <v>6282338171577</v>
      </c>
      <c r="F1593" s="86">
        <v>45845</v>
      </c>
      <c r="G1593" s="87">
        <v>870</v>
      </c>
      <c r="H1593" s="88">
        <v>14412.535079513564</v>
      </c>
      <c r="I1593" s="89">
        <v>31</v>
      </c>
      <c r="J1593" s="90">
        <v>15407</v>
      </c>
      <c r="K1593" s="85">
        <v>2</v>
      </c>
      <c r="L1593" s="85">
        <v>359</v>
      </c>
      <c r="M1593" s="85">
        <v>0</v>
      </c>
      <c r="N1593" s="82" t="s">
        <v>11030</v>
      </c>
      <c r="O1593" s="83"/>
    </row>
    <row r="1594" spans="1:15" ht="22.5" customHeight="1">
      <c r="A1594" s="85">
        <v>766589657993298</v>
      </c>
      <c r="B1594" s="82" t="s">
        <v>10688</v>
      </c>
      <c r="C1594" s="82" t="s">
        <v>10976</v>
      </c>
      <c r="D1594" s="82" t="s">
        <v>10977</v>
      </c>
      <c r="E1594" s="82">
        <v>6281138301069</v>
      </c>
      <c r="F1594" s="86">
        <v>45845</v>
      </c>
      <c r="G1594" s="87">
        <v>12399</v>
      </c>
      <c r="H1594" s="88">
        <v>1202.3828691032038</v>
      </c>
      <c r="I1594" s="89">
        <v>13</v>
      </c>
      <c r="J1594" s="90">
        <v>14936</v>
      </c>
      <c r="K1594" s="85">
        <v>0</v>
      </c>
      <c r="L1594" s="85">
        <v>1018</v>
      </c>
      <c r="M1594" s="85">
        <v>0</v>
      </c>
      <c r="N1594" s="82" t="s">
        <v>10978</v>
      </c>
      <c r="O1594" s="83"/>
    </row>
    <row r="1595" spans="1:15" ht="22.5" customHeight="1">
      <c r="A1595" s="85">
        <v>766589657993298</v>
      </c>
      <c r="B1595" s="82" t="s">
        <v>10688</v>
      </c>
      <c r="C1595" s="82" t="s">
        <v>10879</v>
      </c>
      <c r="D1595" s="82" t="s">
        <v>10880</v>
      </c>
      <c r="E1595" s="82">
        <v>6281215851833</v>
      </c>
      <c r="F1595" s="86">
        <v>45845</v>
      </c>
      <c r="G1595" s="87">
        <v>334</v>
      </c>
      <c r="H1595" s="88">
        <v>38796.526054590569</v>
      </c>
      <c r="I1595" s="89">
        <v>18</v>
      </c>
      <c r="J1595" s="90">
        <v>15635</v>
      </c>
      <c r="K1595" s="85">
        <v>2</v>
      </c>
      <c r="L1595" s="85">
        <v>0</v>
      </c>
      <c r="M1595" s="85">
        <v>1</v>
      </c>
      <c r="N1595" s="82" t="s">
        <v>10881</v>
      </c>
      <c r="O1595" s="83"/>
    </row>
    <row r="1596" spans="1:15" ht="22.5" customHeight="1">
      <c r="A1596" s="85">
        <v>766589657993298</v>
      </c>
      <c r="B1596" s="82" t="s">
        <v>10688</v>
      </c>
      <c r="C1596" s="82" t="s">
        <v>10780</v>
      </c>
      <c r="D1596" s="82" t="s">
        <v>10781</v>
      </c>
      <c r="E1596" s="82">
        <v>6281338789995</v>
      </c>
      <c r="F1596" s="86">
        <v>45845</v>
      </c>
      <c r="G1596" s="87">
        <v>876</v>
      </c>
      <c r="H1596" s="88">
        <v>14292.189006750241</v>
      </c>
      <c r="I1596" s="89">
        <v>16</v>
      </c>
      <c r="J1596" s="90">
        <v>14821</v>
      </c>
      <c r="K1596" s="85">
        <v>2</v>
      </c>
      <c r="L1596" s="85">
        <v>280</v>
      </c>
      <c r="M1596" s="85">
        <v>0</v>
      </c>
      <c r="N1596" s="82" t="s">
        <v>10782</v>
      </c>
      <c r="O1596" s="83"/>
    </row>
    <row r="1597" spans="1:15" ht="22.5" customHeight="1">
      <c r="A1597" s="85">
        <v>766589657993298</v>
      </c>
      <c r="B1597" s="82" t="s">
        <v>10688</v>
      </c>
      <c r="C1597" s="82" t="s">
        <v>10772</v>
      </c>
      <c r="D1597" s="82" t="s">
        <v>10773</v>
      </c>
      <c r="E1597" s="82">
        <v>6285261023204</v>
      </c>
      <c r="F1597" s="86">
        <v>45845</v>
      </c>
      <c r="G1597" s="87">
        <v>499</v>
      </c>
      <c r="H1597" s="88">
        <v>23631.424375917766</v>
      </c>
      <c r="I1597" s="89">
        <v>8</v>
      </c>
      <c r="J1597" s="90">
        <v>16093</v>
      </c>
      <c r="K1597" s="85">
        <v>1</v>
      </c>
      <c r="L1597" s="85">
        <v>96</v>
      </c>
      <c r="M1597" s="85">
        <v>0</v>
      </c>
      <c r="N1597" s="82" t="s">
        <v>10774</v>
      </c>
      <c r="O1597" s="83"/>
    </row>
    <row r="1598" spans="1:15" ht="22.5" customHeight="1">
      <c r="A1598" s="85">
        <v>766589657993298</v>
      </c>
      <c r="B1598" s="82" t="s">
        <v>10688</v>
      </c>
      <c r="C1598" s="82" t="s">
        <v>10762</v>
      </c>
      <c r="D1598" s="82" t="s">
        <v>10763</v>
      </c>
      <c r="E1598" s="82">
        <v>6285210107607</v>
      </c>
      <c r="F1598" s="86">
        <v>45845</v>
      </c>
      <c r="G1598" s="87">
        <v>721</v>
      </c>
      <c r="H1598" s="88">
        <v>19857.837181044957</v>
      </c>
      <c r="I1598" s="89">
        <v>25</v>
      </c>
      <c r="J1598" s="90">
        <v>16343</v>
      </c>
      <c r="K1598" s="85">
        <v>5</v>
      </c>
      <c r="L1598" s="85">
        <v>189</v>
      </c>
      <c r="M1598" s="85">
        <v>0</v>
      </c>
      <c r="N1598" s="82" t="s">
        <v>10764</v>
      </c>
      <c r="O1598" s="83"/>
    </row>
    <row r="1599" spans="1:15" ht="22.5" customHeight="1">
      <c r="A1599" s="85">
        <v>766589657993298</v>
      </c>
      <c r="B1599" s="82" t="s">
        <v>10688</v>
      </c>
      <c r="C1599" s="82" t="s">
        <v>10795</v>
      </c>
      <c r="D1599" s="82" t="s">
        <v>551</v>
      </c>
      <c r="E1599" s="82">
        <v>6285747906282</v>
      </c>
      <c r="F1599" s="86">
        <v>45845</v>
      </c>
      <c r="G1599" s="87">
        <v>650</v>
      </c>
      <c r="H1599" s="88">
        <v>18611.901681759377</v>
      </c>
      <c r="I1599" s="89">
        <v>24</v>
      </c>
      <c r="J1599" s="90">
        <v>14387</v>
      </c>
      <c r="K1599" s="85">
        <v>3</v>
      </c>
      <c r="L1599" s="85">
        <v>254</v>
      </c>
      <c r="M1599" s="85">
        <v>0</v>
      </c>
      <c r="N1599" s="82" t="s">
        <v>10796</v>
      </c>
      <c r="O1599" s="83"/>
    </row>
    <row r="1600" spans="1:15" ht="22.5" customHeight="1">
      <c r="A1600" s="85">
        <v>766589657993298</v>
      </c>
      <c r="B1600" s="82" t="s">
        <v>10688</v>
      </c>
      <c r="C1600" s="82" t="s">
        <v>10767</v>
      </c>
      <c r="D1600" s="82" t="s">
        <v>10768</v>
      </c>
      <c r="E1600" s="82">
        <v>6281519225886</v>
      </c>
      <c r="F1600" s="86">
        <v>45845</v>
      </c>
      <c r="G1600" s="87">
        <v>869</v>
      </c>
      <c r="H1600" s="88">
        <v>15556.213017751479</v>
      </c>
      <c r="I1600" s="89">
        <v>26</v>
      </c>
      <c r="J1600" s="90">
        <v>15774</v>
      </c>
      <c r="K1600" s="85">
        <v>1</v>
      </c>
      <c r="L1600" s="85">
        <v>36</v>
      </c>
      <c r="M1600" s="85">
        <v>0</v>
      </c>
      <c r="N1600" s="82" t="s">
        <v>10769</v>
      </c>
      <c r="O1600" s="83"/>
    </row>
    <row r="1601" spans="1:15" ht="22.5" customHeight="1">
      <c r="A1601" s="85">
        <v>766589657993298</v>
      </c>
      <c r="B1601" s="82" t="s">
        <v>10688</v>
      </c>
      <c r="C1601" s="82" t="s">
        <v>10797</v>
      </c>
      <c r="D1601" s="82" t="s">
        <v>10798</v>
      </c>
      <c r="E1601" s="82">
        <v>6285853370682</v>
      </c>
      <c r="F1601" s="86">
        <v>45845</v>
      </c>
      <c r="G1601" s="87">
        <v>555</v>
      </c>
      <c r="H1601" s="88">
        <v>24761.978361669244</v>
      </c>
      <c r="I1601" s="89">
        <v>18</v>
      </c>
      <c r="J1601" s="90">
        <v>16021</v>
      </c>
      <c r="K1601" s="85">
        <v>2</v>
      </c>
      <c r="L1601" s="85">
        <v>178</v>
      </c>
      <c r="M1601" s="85">
        <v>0</v>
      </c>
      <c r="N1601" s="82" t="s">
        <v>10799</v>
      </c>
      <c r="O1601" s="83"/>
    </row>
    <row r="1602" spans="1:15" ht="22.5" customHeight="1">
      <c r="A1602" s="85">
        <v>766589657993298</v>
      </c>
      <c r="B1602" s="82" t="s">
        <v>10688</v>
      </c>
      <c r="C1602" s="82" t="s">
        <v>10800</v>
      </c>
      <c r="D1602" s="82" t="s">
        <v>472</v>
      </c>
      <c r="E1602" s="82">
        <v>628114170888</v>
      </c>
      <c r="F1602" s="86">
        <v>45845</v>
      </c>
      <c r="G1602" s="87">
        <v>377</v>
      </c>
      <c r="H1602" s="88">
        <v>33351.694915254237</v>
      </c>
      <c r="I1602" s="89">
        <v>19</v>
      </c>
      <c r="J1602" s="90">
        <v>15742</v>
      </c>
      <c r="K1602" s="85">
        <v>1</v>
      </c>
      <c r="L1602" s="85">
        <v>33</v>
      </c>
      <c r="M1602" s="85">
        <v>0</v>
      </c>
      <c r="N1602" s="82" t="s">
        <v>10801</v>
      </c>
      <c r="O1602" s="83"/>
    </row>
    <row r="1603" spans="1:15" ht="22.5" customHeight="1">
      <c r="A1603" s="85">
        <v>766589657993298</v>
      </c>
      <c r="B1603" s="82" t="s">
        <v>10688</v>
      </c>
      <c r="C1603" s="82" t="s">
        <v>10752</v>
      </c>
      <c r="D1603" s="82" t="s">
        <v>10753</v>
      </c>
      <c r="E1603" s="82">
        <v>6281340892328</v>
      </c>
      <c r="F1603" s="86">
        <v>45845</v>
      </c>
      <c r="G1603" s="87">
        <v>1378</v>
      </c>
      <c r="H1603" s="88">
        <v>9843.9269981120196</v>
      </c>
      <c r="I1603" s="89">
        <v>18</v>
      </c>
      <c r="J1603" s="90">
        <v>15642</v>
      </c>
      <c r="K1603" s="85">
        <v>0</v>
      </c>
      <c r="L1603" s="85">
        <v>439</v>
      </c>
      <c r="M1603" s="85">
        <v>0</v>
      </c>
      <c r="N1603" s="82" t="s">
        <v>10754</v>
      </c>
      <c r="O1603" s="83"/>
    </row>
    <row r="1604" spans="1:15" ht="22.5" customHeight="1">
      <c r="A1604" s="85">
        <v>206726568613432</v>
      </c>
      <c r="B1604" s="82" t="s">
        <v>10900</v>
      </c>
      <c r="C1604" s="82" t="s">
        <v>11085</v>
      </c>
      <c r="D1604" s="82" t="s">
        <v>10902</v>
      </c>
      <c r="E1604" s="82">
        <v>6282194694492</v>
      </c>
      <c r="F1604" s="86">
        <v>45845</v>
      </c>
      <c r="G1604" s="87">
        <v>685</v>
      </c>
      <c r="H1604" s="88">
        <v>19584.21052631579</v>
      </c>
      <c r="I1604" s="89">
        <v>36</v>
      </c>
      <c r="J1604" s="90">
        <v>14884</v>
      </c>
      <c r="K1604" s="85">
        <v>4</v>
      </c>
      <c r="L1604" s="85">
        <v>179</v>
      </c>
      <c r="M1604" s="85">
        <v>1</v>
      </c>
      <c r="N1604" s="82" t="s">
        <v>11086</v>
      </c>
      <c r="O1604" s="83"/>
    </row>
    <row r="1605" spans="1:15" ht="22.5" customHeight="1">
      <c r="A1605" s="85">
        <v>759724529202804</v>
      </c>
      <c r="B1605" s="82" t="s">
        <v>10621</v>
      </c>
      <c r="C1605" s="82" t="s">
        <v>11131</v>
      </c>
      <c r="D1605" s="82" t="s">
        <v>9019</v>
      </c>
      <c r="E1605" s="82">
        <v>628562943274</v>
      </c>
      <c r="F1605" s="86">
        <v>45846</v>
      </c>
      <c r="G1605" s="87">
        <v>1194</v>
      </c>
      <c r="H1605" s="88">
        <v>10215.572715572716</v>
      </c>
      <c r="I1605" s="89">
        <v>45</v>
      </c>
      <c r="J1605" s="90">
        <v>15875</v>
      </c>
      <c r="K1605" s="85">
        <v>5</v>
      </c>
      <c r="L1605" s="85">
        <v>276</v>
      </c>
      <c r="M1605" s="85">
        <v>0</v>
      </c>
      <c r="N1605" s="82" t="s">
        <v>11132</v>
      </c>
      <c r="O1605" s="83"/>
    </row>
    <row r="1606" spans="1:15" ht="22.5" customHeight="1">
      <c r="A1606" s="85">
        <v>759724529202804</v>
      </c>
      <c r="B1606" s="82" t="s">
        <v>10621</v>
      </c>
      <c r="C1606" s="82" t="s">
        <v>11111</v>
      </c>
      <c r="D1606" s="82" t="s">
        <v>11112</v>
      </c>
      <c r="E1606" s="82">
        <v>6282145068631</v>
      </c>
      <c r="F1606" s="86">
        <v>45846</v>
      </c>
      <c r="G1606" s="87">
        <v>1575</v>
      </c>
      <c r="H1606" s="88">
        <v>7929.2123629112657</v>
      </c>
      <c r="I1606" s="89">
        <v>45</v>
      </c>
      <c r="J1606" s="90">
        <v>15906</v>
      </c>
      <c r="K1606" s="85">
        <v>3</v>
      </c>
      <c r="L1606" s="85">
        <v>301</v>
      </c>
      <c r="M1606" s="85">
        <v>1</v>
      </c>
      <c r="N1606" s="82" t="s">
        <v>11113</v>
      </c>
      <c r="O1606" s="83"/>
    </row>
    <row r="1607" spans="1:15" ht="22.5" customHeight="1">
      <c r="A1607" s="85">
        <v>759724529202804</v>
      </c>
      <c r="B1607" s="82" t="s">
        <v>10621</v>
      </c>
      <c r="C1607" s="82" t="s">
        <v>11061</v>
      </c>
      <c r="D1607" s="82" t="s">
        <v>1640</v>
      </c>
      <c r="E1607" s="82">
        <v>6282164919126</v>
      </c>
      <c r="F1607" s="86">
        <v>45846</v>
      </c>
      <c r="G1607" s="87">
        <v>975</v>
      </c>
      <c r="H1607" s="88">
        <v>14579.672695951765</v>
      </c>
      <c r="I1607" s="89">
        <v>39</v>
      </c>
      <c r="J1607" s="90">
        <v>16927</v>
      </c>
      <c r="K1607" s="85">
        <v>7</v>
      </c>
      <c r="L1607" s="85">
        <v>180</v>
      </c>
      <c r="M1607" s="85">
        <v>1</v>
      </c>
      <c r="N1607" s="82" t="s">
        <v>11062</v>
      </c>
      <c r="O1607" s="83"/>
    </row>
    <row r="1608" spans="1:15" ht="22.5" customHeight="1">
      <c r="A1608" s="85">
        <v>759724529202804</v>
      </c>
      <c r="B1608" s="82" t="s">
        <v>10621</v>
      </c>
      <c r="C1608" s="82" t="s">
        <v>11063</v>
      </c>
      <c r="D1608" s="82" t="s">
        <v>11064</v>
      </c>
      <c r="E1608" s="82">
        <v>62882003293835</v>
      </c>
      <c r="F1608" s="86">
        <v>45846</v>
      </c>
      <c r="G1608" s="87">
        <v>264</v>
      </c>
      <c r="H1608" s="88">
        <v>53194.888178913738</v>
      </c>
      <c r="I1608" s="89">
        <v>8</v>
      </c>
      <c r="J1608" s="90">
        <v>16650</v>
      </c>
      <c r="K1608" s="85">
        <v>2</v>
      </c>
      <c r="L1608" s="85">
        <v>24</v>
      </c>
      <c r="M1608" s="85">
        <v>0</v>
      </c>
      <c r="N1608" s="82" t="s">
        <v>11065</v>
      </c>
      <c r="O1608" s="83"/>
    </row>
    <row r="1609" spans="1:15" ht="22.5" customHeight="1">
      <c r="A1609" s="85">
        <v>759724529202804</v>
      </c>
      <c r="B1609" s="82" t="s">
        <v>10621</v>
      </c>
      <c r="C1609" s="82" t="s">
        <v>11066</v>
      </c>
      <c r="D1609" s="82" t="s">
        <v>1602</v>
      </c>
      <c r="E1609" s="82">
        <v>6282228737559</v>
      </c>
      <c r="F1609" s="86">
        <v>45846</v>
      </c>
      <c r="G1609" s="87">
        <v>1426</v>
      </c>
      <c r="H1609" s="88">
        <v>13521.796565389695</v>
      </c>
      <c r="I1609" s="89">
        <v>57</v>
      </c>
      <c r="J1609" s="90">
        <v>20472</v>
      </c>
      <c r="K1609" s="85">
        <v>3</v>
      </c>
      <c r="L1609" s="85">
        <v>657</v>
      </c>
      <c r="M1609" s="85">
        <v>0</v>
      </c>
      <c r="N1609" s="82" t="s">
        <v>11067</v>
      </c>
      <c r="O1609" s="83"/>
    </row>
    <row r="1610" spans="1:15" ht="22.5" customHeight="1">
      <c r="A1610" s="85">
        <v>759724529202804</v>
      </c>
      <c r="B1610" s="82" t="s">
        <v>10621</v>
      </c>
      <c r="C1610" s="82" t="s">
        <v>11068</v>
      </c>
      <c r="D1610" s="82" t="s">
        <v>7857</v>
      </c>
      <c r="E1610" s="82">
        <v>6282285691485</v>
      </c>
      <c r="F1610" s="86">
        <v>45846</v>
      </c>
      <c r="G1610" s="87">
        <v>731</v>
      </c>
      <c r="H1610" s="88">
        <v>18509.872241579556</v>
      </c>
      <c r="I1610" s="89">
        <v>20</v>
      </c>
      <c r="J1610" s="90">
        <v>15937</v>
      </c>
      <c r="K1610" s="85">
        <v>2</v>
      </c>
      <c r="L1610" s="85">
        <v>299</v>
      </c>
      <c r="M1610" s="85">
        <v>0</v>
      </c>
      <c r="N1610" s="82" t="s">
        <v>11069</v>
      </c>
      <c r="O1610" s="83"/>
    </row>
    <row r="1611" spans="1:15" ht="22.5" customHeight="1">
      <c r="A1611" s="85">
        <v>759724529202804</v>
      </c>
      <c r="B1611" s="82" t="s">
        <v>10621</v>
      </c>
      <c r="C1611" s="82" t="s">
        <v>11070</v>
      </c>
      <c r="D1611" s="82" t="s">
        <v>11071</v>
      </c>
      <c r="E1611" s="82">
        <v>6281246211381</v>
      </c>
      <c r="F1611" s="86">
        <v>45846</v>
      </c>
      <c r="G1611" s="87">
        <v>619</v>
      </c>
      <c r="H1611" s="88">
        <v>22413.407821229051</v>
      </c>
      <c r="I1611" s="89">
        <v>16</v>
      </c>
      <c r="J1611" s="90">
        <v>16048</v>
      </c>
      <c r="K1611" s="85">
        <v>5</v>
      </c>
      <c r="L1611" s="85">
        <v>18</v>
      </c>
      <c r="M1611" s="85">
        <v>0</v>
      </c>
      <c r="N1611" s="82" t="s">
        <v>11072</v>
      </c>
      <c r="O1611" s="83"/>
    </row>
    <row r="1612" spans="1:15" ht="22.5" customHeight="1">
      <c r="A1612" s="85">
        <v>759724529202804</v>
      </c>
      <c r="B1612" s="82" t="s">
        <v>10621</v>
      </c>
      <c r="C1612" s="82" t="s">
        <v>11037</v>
      </c>
      <c r="D1612" s="82" t="s">
        <v>199</v>
      </c>
      <c r="E1612" s="82">
        <v>6285220903499</v>
      </c>
      <c r="F1612" s="86">
        <v>45846</v>
      </c>
      <c r="G1612" s="87">
        <v>987</v>
      </c>
      <c r="H1612" s="88">
        <v>12839.754816112083</v>
      </c>
      <c r="I1612" s="89">
        <v>27</v>
      </c>
      <c r="J1612" s="90">
        <v>14663</v>
      </c>
      <c r="K1612" s="85">
        <v>9</v>
      </c>
      <c r="L1612" s="85">
        <v>323</v>
      </c>
      <c r="M1612" s="85">
        <v>0</v>
      </c>
      <c r="N1612" s="82" t="s">
        <v>11038</v>
      </c>
      <c r="O1612" s="83"/>
    </row>
    <row r="1613" spans="1:15" ht="22.5" customHeight="1">
      <c r="A1613" s="85">
        <v>759724529202804</v>
      </c>
      <c r="B1613" s="82" t="s">
        <v>10621</v>
      </c>
      <c r="C1613" s="82" t="s">
        <v>11016</v>
      </c>
      <c r="D1613" s="82" t="s">
        <v>1530</v>
      </c>
      <c r="E1613" s="82">
        <v>628111988553</v>
      </c>
      <c r="F1613" s="86">
        <v>45846</v>
      </c>
      <c r="G1613" s="87">
        <v>352</v>
      </c>
      <c r="H1613" s="88">
        <v>37309.644670050759</v>
      </c>
      <c r="I1613" s="89">
        <v>21</v>
      </c>
      <c r="J1613" s="90">
        <v>14700</v>
      </c>
      <c r="K1613" s="85">
        <v>1</v>
      </c>
      <c r="L1613" s="85">
        <v>7</v>
      </c>
      <c r="M1613" s="85">
        <v>0</v>
      </c>
      <c r="N1613" s="82" t="s">
        <v>11017</v>
      </c>
      <c r="O1613" s="83"/>
    </row>
    <row r="1614" spans="1:15" ht="22.5" customHeight="1">
      <c r="A1614" s="85">
        <v>759724529202804</v>
      </c>
      <c r="B1614" s="82" t="s">
        <v>10621</v>
      </c>
      <c r="C1614" s="82" t="s">
        <v>10986</v>
      </c>
      <c r="D1614" s="82" t="s">
        <v>10987</v>
      </c>
      <c r="E1614" s="82">
        <v>6281282183261</v>
      </c>
      <c r="F1614" s="86">
        <v>45846</v>
      </c>
      <c r="G1614" s="87">
        <v>486</v>
      </c>
      <c r="H1614" s="88">
        <v>25536.134453781513</v>
      </c>
      <c r="I1614" s="89">
        <v>29</v>
      </c>
      <c r="J1614" s="90">
        <v>15194</v>
      </c>
      <c r="K1614" s="85">
        <v>6</v>
      </c>
      <c r="L1614" s="85">
        <v>0</v>
      </c>
      <c r="M1614" s="85">
        <v>0</v>
      </c>
      <c r="N1614" s="82" t="s">
        <v>10988</v>
      </c>
      <c r="O1614" s="83"/>
    </row>
    <row r="1615" spans="1:15" ht="22.5" customHeight="1">
      <c r="A1615" s="85">
        <v>759724529202804</v>
      </c>
      <c r="B1615" s="82" t="s">
        <v>10621</v>
      </c>
      <c r="C1615" s="82" t="s">
        <v>1334</v>
      </c>
      <c r="D1615" s="82" t="s">
        <v>11005</v>
      </c>
      <c r="E1615" s="82">
        <v>6281366622333</v>
      </c>
      <c r="F1615" s="86">
        <v>45846</v>
      </c>
      <c r="G1615" s="87">
        <v>512</v>
      </c>
      <c r="H1615" s="88">
        <v>25214.285714285714</v>
      </c>
      <c r="I1615" s="89">
        <v>17</v>
      </c>
      <c r="J1615" s="90">
        <v>15532</v>
      </c>
      <c r="K1615" s="85">
        <v>3</v>
      </c>
      <c r="L1615" s="85">
        <v>77</v>
      </c>
      <c r="M1615" s="85">
        <v>0</v>
      </c>
      <c r="N1615" s="82" t="s">
        <v>11006</v>
      </c>
      <c r="O1615" s="83"/>
    </row>
    <row r="1616" spans="1:15" ht="22.5" customHeight="1">
      <c r="A1616" s="85">
        <v>174904221976312</v>
      </c>
      <c r="B1616" s="82" t="s">
        <v>10651</v>
      </c>
      <c r="C1616" s="82" t="s">
        <v>11144</v>
      </c>
      <c r="D1616" s="82" t="s">
        <v>11145</v>
      </c>
      <c r="E1616" s="82">
        <v>6282128714101</v>
      </c>
      <c r="F1616" s="86">
        <v>45846</v>
      </c>
      <c r="G1616" s="87">
        <v>422</v>
      </c>
      <c r="H1616" s="88">
        <v>22539.39393939394</v>
      </c>
      <c r="I1616" s="89">
        <v>19</v>
      </c>
      <c r="J1616" s="90">
        <v>11157</v>
      </c>
      <c r="K1616" s="85">
        <v>1</v>
      </c>
      <c r="L1616" s="85">
        <v>134</v>
      </c>
      <c r="M1616" s="85">
        <v>0</v>
      </c>
      <c r="N1616" s="82" t="s">
        <v>11146</v>
      </c>
      <c r="O1616" s="83"/>
    </row>
    <row r="1617" spans="1:15" ht="22.5" customHeight="1">
      <c r="A1617" s="85">
        <v>174904221976312</v>
      </c>
      <c r="B1617" s="82" t="s">
        <v>10651</v>
      </c>
      <c r="C1617" s="82" t="s">
        <v>11147</v>
      </c>
      <c r="D1617" s="82" t="s">
        <v>11148</v>
      </c>
      <c r="E1617" s="82">
        <v>6281361879826</v>
      </c>
      <c r="F1617" s="86">
        <v>45846</v>
      </c>
      <c r="G1617" s="87">
        <v>649</v>
      </c>
      <c r="H1617" s="88">
        <v>15159.630606860159</v>
      </c>
      <c r="I1617" s="89">
        <v>1</v>
      </c>
      <c r="J1617" s="90">
        <v>11491</v>
      </c>
      <c r="K1617" s="85">
        <v>0</v>
      </c>
      <c r="L1617" s="85">
        <v>37</v>
      </c>
      <c r="M1617" s="85">
        <v>0</v>
      </c>
      <c r="N1617" s="82" t="s">
        <v>11149</v>
      </c>
      <c r="O1617" s="83"/>
    </row>
    <row r="1618" spans="1:15" ht="22.5" customHeight="1">
      <c r="A1618" s="85">
        <v>174904221976312</v>
      </c>
      <c r="B1618" s="82" t="s">
        <v>10651</v>
      </c>
      <c r="C1618" s="82" t="s">
        <v>11150</v>
      </c>
      <c r="D1618" s="82" t="s">
        <v>11151</v>
      </c>
      <c r="E1618" s="82">
        <v>6281237893904</v>
      </c>
      <c r="F1618" s="86">
        <v>45846</v>
      </c>
      <c r="G1618" s="87">
        <v>449</v>
      </c>
      <c r="H1618" s="88">
        <v>23696.356275303642</v>
      </c>
      <c r="I1618" s="89">
        <v>5</v>
      </c>
      <c r="J1618" s="90">
        <v>11706</v>
      </c>
      <c r="K1618" s="85">
        <v>1</v>
      </c>
      <c r="L1618" s="85">
        <v>43</v>
      </c>
      <c r="M1618" s="85">
        <v>0</v>
      </c>
      <c r="N1618" s="82" t="s">
        <v>11152</v>
      </c>
      <c r="O1618" s="83"/>
    </row>
    <row r="1619" spans="1:15" ht="22.5" customHeight="1">
      <c r="A1619" s="85">
        <v>174904221976312</v>
      </c>
      <c r="B1619" s="82" t="s">
        <v>10651</v>
      </c>
      <c r="C1619" s="82" t="s">
        <v>11153</v>
      </c>
      <c r="D1619" s="82" t="s">
        <v>11154</v>
      </c>
      <c r="E1619" s="82">
        <v>6285338137835</v>
      </c>
      <c r="F1619" s="86">
        <v>45846</v>
      </c>
      <c r="G1619" s="87">
        <v>746</v>
      </c>
      <c r="H1619" s="88">
        <v>11970.165745856355</v>
      </c>
      <c r="I1619" s="89">
        <v>16</v>
      </c>
      <c r="J1619" s="90">
        <v>10833</v>
      </c>
      <c r="K1619" s="85">
        <v>2</v>
      </c>
      <c r="L1619" s="85">
        <v>45</v>
      </c>
      <c r="M1619" s="85">
        <v>0</v>
      </c>
      <c r="N1619" s="82" t="s">
        <v>11155</v>
      </c>
      <c r="O1619" s="83"/>
    </row>
    <row r="1620" spans="1:15" ht="22.5" customHeight="1">
      <c r="A1620" s="85">
        <v>174904221976312</v>
      </c>
      <c r="B1620" s="82" t="s">
        <v>10651</v>
      </c>
      <c r="C1620" s="82" t="s">
        <v>11156</v>
      </c>
      <c r="D1620" s="82" t="s">
        <v>11157</v>
      </c>
      <c r="E1620" s="82">
        <v>6287754552859</v>
      </c>
      <c r="F1620" s="86">
        <v>45846</v>
      </c>
      <c r="G1620" s="87">
        <v>431</v>
      </c>
      <c r="H1620" s="88">
        <v>24194.860813704498</v>
      </c>
      <c r="I1620" s="89">
        <v>9</v>
      </c>
      <c r="J1620" s="90">
        <v>11299</v>
      </c>
      <c r="K1620" s="85">
        <v>0</v>
      </c>
      <c r="L1620" s="85">
        <v>20</v>
      </c>
      <c r="M1620" s="85">
        <v>0</v>
      </c>
      <c r="N1620" s="82" t="s">
        <v>11158</v>
      </c>
      <c r="O1620" s="83"/>
    </row>
    <row r="1621" spans="1:15" ht="22.5" customHeight="1">
      <c r="A1621" s="85">
        <v>174904221976312</v>
      </c>
      <c r="B1621" s="82" t="s">
        <v>10651</v>
      </c>
      <c r="C1621" s="82" t="s">
        <v>11159</v>
      </c>
      <c r="D1621" s="82" t="s">
        <v>11160</v>
      </c>
      <c r="E1621" s="82">
        <v>6289635171849</v>
      </c>
      <c r="F1621" s="86">
        <v>45846</v>
      </c>
      <c r="G1621" s="87">
        <v>259</v>
      </c>
      <c r="H1621" s="88">
        <v>44191.489361702123</v>
      </c>
      <c r="I1621" s="89">
        <v>8</v>
      </c>
      <c r="J1621" s="90">
        <v>12462</v>
      </c>
      <c r="K1621" s="85">
        <v>0</v>
      </c>
      <c r="L1621" s="85">
        <v>0</v>
      </c>
      <c r="M1621" s="85">
        <v>0</v>
      </c>
      <c r="N1621" s="82" t="s">
        <v>11161</v>
      </c>
      <c r="O1621" s="83"/>
    </row>
    <row r="1622" spans="1:15" ht="22.5" customHeight="1">
      <c r="A1622" s="85">
        <v>174904221976312</v>
      </c>
      <c r="B1622" s="82" t="s">
        <v>10651</v>
      </c>
      <c r="C1622" s="82" t="s">
        <v>11162</v>
      </c>
      <c r="D1622" s="82" t="s">
        <v>11163</v>
      </c>
      <c r="E1622" s="82">
        <v>6283162052952</v>
      </c>
      <c r="F1622" s="86">
        <v>45846</v>
      </c>
      <c r="G1622" s="87">
        <v>271</v>
      </c>
      <c r="H1622" s="88">
        <v>37975.778546712805</v>
      </c>
      <c r="I1622" s="89">
        <v>9</v>
      </c>
      <c r="J1622" s="90">
        <v>10975</v>
      </c>
      <c r="K1622" s="85">
        <v>2</v>
      </c>
      <c r="L1622" s="85">
        <v>30</v>
      </c>
      <c r="M1622" s="85">
        <v>1</v>
      </c>
      <c r="N1622" s="82" t="s">
        <v>11164</v>
      </c>
      <c r="O1622" s="83"/>
    </row>
    <row r="1623" spans="1:15" ht="22.5" customHeight="1">
      <c r="A1623" s="85">
        <v>174904221976312</v>
      </c>
      <c r="B1623" s="82" t="s">
        <v>10651</v>
      </c>
      <c r="C1623" s="82" t="s">
        <v>11165</v>
      </c>
      <c r="D1623" s="82" t="s">
        <v>1759</v>
      </c>
      <c r="E1623" s="82">
        <v>6285311472244</v>
      </c>
      <c r="F1623" s="86">
        <v>45846</v>
      </c>
      <c r="G1623" s="87">
        <v>863</v>
      </c>
      <c r="H1623" s="88">
        <v>12075.208913649025</v>
      </c>
      <c r="I1623" s="89">
        <v>39</v>
      </c>
      <c r="J1623" s="90">
        <v>13005</v>
      </c>
      <c r="K1623" s="85">
        <v>6</v>
      </c>
      <c r="L1623" s="85">
        <v>3</v>
      </c>
      <c r="M1623" s="85">
        <v>1</v>
      </c>
      <c r="N1623" s="82" t="s">
        <v>11166</v>
      </c>
      <c r="O1623" s="83"/>
    </row>
    <row r="1624" spans="1:15" ht="22.5" customHeight="1">
      <c r="A1624" s="85">
        <v>174904221976312</v>
      </c>
      <c r="B1624" s="82" t="s">
        <v>10651</v>
      </c>
      <c r="C1624" s="82" t="s">
        <v>11133</v>
      </c>
      <c r="D1624" s="82" t="s">
        <v>11134</v>
      </c>
      <c r="E1624" s="82">
        <v>6285779532526</v>
      </c>
      <c r="F1624" s="86">
        <v>45846</v>
      </c>
      <c r="G1624" s="87">
        <v>627</v>
      </c>
      <c r="H1624" s="88">
        <v>17174.386920980927</v>
      </c>
      <c r="I1624" s="89">
        <v>17</v>
      </c>
      <c r="J1624" s="90">
        <v>12606</v>
      </c>
      <c r="K1624" s="85">
        <v>3</v>
      </c>
      <c r="L1624" s="85">
        <v>157</v>
      </c>
      <c r="M1624" s="85">
        <v>0</v>
      </c>
      <c r="N1624" s="82" t="s">
        <v>11135</v>
      </c>
      <c r="O1624" s="83"/>
    </row>
    <row r="1625" spans="1:15" ht="22.5" customHeight="1">
      <c r="A1625" s="85">
        <v>174904221976312</v>
      </c>
      <c r="B1625" s="82" t="s">
        <v>10651</v>
      </c>
      <c r="C1625" s="82" t="s">
        <v>11136</v>
      </c>
      <c r="D1625" s="82" t="s">
        <v>1710</v>
      </c>
      <c r="E1625" s="82">
        <v>6285702653554</v>
      </c>
      <c r="F1625" s="86">
        <v>45846</v>
      </c>
      <c r="G1625" s="87">
        <v>724</v>
      </c>
      <c r="H1625" s="88">
        <v>14270.182992465017</v>
      </c>
      <c r="I1625" s="89">
        <v>75</v>
      </c>
      <c r="J1625" s="90">
        <v>13257</v>
      </c>
      <c r="K1625" s="85">
        <v>8</v>
      </c>
      <c r="L1625" s="85">
        <v>21</v>
      </c>
      <c r="M1625" s="85">
        <v>2</v>
      </c>
      <c r="N1625" s="82" t="s">
        <v>11137</v>
      </c>
      <c r="O1625" s="83"/>
    </row>
    <row r="1626" spans="1:15" ht="22.5" customHeight="1">
      <c r="A1626" s="85">
        <v>174904221976312</v>
      </c>
      <c r="B1626" s="82" t="s">
        <v>10651</v>
      </c>
      <c r="C1626" s="82" t="s">
        <v>11114</v>
      </c>
      <c r="D1626" s="82" t="s">
        <v>11115</v>
      </c>
      <c r="E1626" s="82">
        <v>6281323910830</v>
      </c>
      <c r="F1626" s="86">
        <v>45846</v>
      </c>
      <c r="G1626" s="87">
        <v>645</v>
      </c>
      <c r="H1626" s="88">
        <v>16656.338028169015</v>
      </c>
      <c r="I1626" s="89">
        <v>25</v>
      </c>
      <c r="J1626" s="90">
        <v>11826</v>
      </c>
      <c r="K1626" s="85">
        <v>2</v>
      </c>
      <c r="L1626" s="85">
        <v>3</v>
      </c>
      <c r="M1626" s="85">
        <v>0</v>
      </c>
      <c r="N1626" s="82" t="s">
        <v>11116</v>
      </c>
      <c r="O1626" s="83"/>
    </row>
    <row r="1627" spans="1:15" ht="22.5" customHeight="1">
      <c r="A1627" s="85">
        <v>174904221976312</v>
      </c>
      <c r="B1627" s="82" t="s">
        <v>10651</v>
      </c>
      <c r="C1627" s="82" t="s">
        <v>11117</v>
      </c>
      <c r="D1627" s="82" t="s">
        <v>11118</v>
      </c>
      <c r="E1627" s="82">
        <v>6282169851900</v>
      </c>
      <c r="F1627" s="86">
        <v>45846</v>
      </c>
      <c r="G1627" s="87">
        <v>1374</v>
      </c>
      <c r="H1627" s="88">
        <v>8771.6923076923067</v>
      </c>
      <c r="I1627" s="89">
        <v>36</v>
      </c>
      <c r="J1627" s="90">
        <v>14254</v>
      </c>
      <c r="K1627" s="85">
        <v>4</v>
      </c>
      <c r="L1627" s="85">
        <v>193</v>
      </c>
      <c r="M1627" s="85">
        <v>0</v>
      </c>
      <c r="N1627" s="82" t="s">
        <v>11119</v>
      </c>
      <c r="O1627" s="83"/>
    </row>
    <row r="1628" spans="1:15" ht="22.5" customHeight="1">
      <c r="A1628" s="85">
        <v>174904221976312</v>
      </c>
      <c r="B1628" s="82" t="s">
        <v>10651</v>
      </c>
      <c r="C1628" s="82" t="s">
        <v>11120</v>
      </c>
      <c r="D1628" s="82" t="s">
        <v>11121</v>
      </c>
      <c r="E1628" s="82">
        <v>6282125330919</v>
      </c>
      <c r="F1628" s="86">
        <v>45846</v>
      </c>
      <c r="G1628" s="87">
        <v>858</v>
      </c>
      <c r="H1628" s="88">
        <v>11276.842105263158</v>
      </c>
      <c r="I1628" s="89">
        <v>15</v>
      </c>
      <c r="J1628" s="90">
        <v>10713</v>
      </c>
      <c r="K1628" s="85">
        <v>1</v>
      </c>
      <c r="L1628" s="85">
        <v>217</v>
      </c>
      <c r="M1628" s="85">
        <v>0</v>
      </c>
      <c r="N1628" s="82" t="s">
        <v>11122</v>
      </c>
      <c r="O1628" s="83"/>
    </row>
    <row r="1629" spans="1:15" ht="22.5" customHeight="1">
      <c r="A1629" s="85">
        <v>174904221976312</v>
      </c>
      <c r="B1629" s="82" t="s">
        <v>10651</v>
      </c>
      <c r="C1629" s="82" t="s">
        <v>11123</v>
      </c>
      <c r="D1629" s="82" t="s">
        <v>11124</v>
      </c>
      <c r="E1629" s="82">
        <v>628111508569</v>
      </c>
      <c r="F1629" s="86">
        <v>45846</v>
      </c>
      <c r="G1629" s="87">
        <v>375</v>
      </c>
      <c r="H1629" s="88">
        <v>26135.802469135804</v>
      </c>
      <c r="I1629" s="89">
        <v>4</v>
      </c>
      <c r="J1629" s="90">
        <v>10585</v>
      </c>
      <c r="K1629" s="85">
        <v>1</v>
      </c>
      <c r="L1629" s="85">
        <v>127</v>
      </c>
      <c r="M1629" s="85">
        <v>0</v>
      </c>
      <c r="N1629" s="82" t="s">
        <v>11125</v>
      </c>
      <c r="O1629" s="83"/>
    </row>
    <row r="1630" spans="1:15" ht="22.5" customHeight="1">
      <c r="A1630" s="85">
        <v>174904221976312</v>
      </c>
      <c r="B1630" s="82" t="s">
        <v>10651</v>
      </c>
      <c r="C1630" s="82" t="s">
        <v>11087</v>
      </c>
      <c r="D1630" s="82" t="s">
        <v>11088</v>
      </c>
      <c r="E1630" s="82">
        <v>6282115608585</v>
      </c>
      <c r="F1630" s="86">
        <v>45846</v>
      </c>
      <c r="G1630" s="87">
        <v>623</v>
      </c>
      <c r="H1630" s="88">
        <v>17596.795727636847</v>
      </c>
      <c r="I1630" s="89">
        <v>39</v>
      </c>
      <c r="J1630" s="90">
        <v>13180</v>
      </c>
      <c r="K1630" s="85">
        <v>8</v>
      </c>
      <c r="L1630" s="85">
        <v>1</v>
      </c>
      <c r="M1630" s="85">
        <v>0</v>
      </c>
      <c r="N1630" s="82" t="s">
        <v>11089</v>
      </c>
      <c r="O1630" s="83"/>
    </row>
    <row r="1631" spans="1:15" ht="22.5" customHeight="1">
      <c r="A1631" s="85">
        <v>174904221976312</v>
      </c>
      <c r="B1631" s="82" t="s">
        <v>10651</v>
      </c>
      <c r="C1631" s="82" t="s">
        <v>11090</v>
      </c>
      <c r="D1631" s="82" t="s">
        <v>11091</v>
      </c>
      <c r="E1631" s="82">
        <v>6282192773278</v>
      </c>
      <c r="F1631" s="86">
        <v>45846</v>
      </c>
      <c r="G1631" s="87">
        <v>2155</v>
      </c>
      <c r="H1631" s="88">
        <v>6448.7291849255034</v>
      </c>
      <c r="I1631" s="89">
        <v>105</v>
      </c>
      <c r="J1631" s="90">
        <v>14716</v>
      </c>
      <c r="K1631" s="85">
        <v>13</v>
      </c>
      <c r="L1631" s="85">
        <v>912</v>
      </c>
      <c r="M1631" s="85">
        <v>1</v>
      </c>
      <c r="N1631" s="82" t="s">
        <v>11092</v>
      </c>
      <c r="O1631" s="83"/>
    </row>
    <row r="1632" spans="1:15" ht="22.5" customHeight="1">
      <c r="A1632" s="85">
        <v>174904221976312</v>
      </c>
      <c r="B1632" s="82" t="s">
        <v>10651</v>
      </c>
      <c r="C1632" s="82" t="s">
        <v>11093</v>
      </c>
      <c r="D1632" s="82" t="s">
        <v>11094</v>
      </c>
      <c r="E1632" s="82">
        <v>6282227027805</v>
      </c>
      <c r="F1632" s="86">
        <v>45846</v>
      </c>
      <c r="G1632" s="87">
        <v>286</v>
      </c>
      <c r="H1632" s="88">
        <v>52438.538205980069</v>
      </c>
      <c r="I1632" s="89">
        <v>10</v>
      </c>
      <c r="J1632" s="90">
        <v>15784</v>
      </c>
      <c r="K1632" s="85">
        <v>3</v>
      </c>
      <c r="L1632" s="85">
        <v>160</v>
      </c>
      <c r="M1632" s="85">
        <v>0</v>
      </c>
      <c r="N1632" s="82" t="s">
        <v>11095</v>
      </c>
      <c r="O1632" s="83"/>
    </row>
    <row r="1633" spans="1:15" ht="22.5" customHeight="1">
      <c r="A1633" s="85">
        <v>174904221976312</v>
      </c>
      <c r="B1633" s="82" t="s">
        <v>10651</v>
      </c>
      <c r="C1633" s="82" t="s">
        <v>11096</v>
      </c>
      <c r="D1633" s="82" t="s">
        <v>11097</v>
      </c>
      <c r="E1633" s="82">
        <v>6285727410479</v>
      </c>
      <c r="F1633" s="86">
        <v>45846</v>
      </c>
      <c r="G1633" s="87">
        <v>571</v>
      </c>
      <c r="H1633" s="88">
        <v>19174.962292609351</v>
      </c>
      <c r="I1633" s="89">
        <v>25</v>
      </c>
      <c r="J1633" s="90">
        <v>12713</v>
      </c>
      <c r="K1633" s="85">
        <v>4</v>
      </c>
      <c r="L1633" s="85">
        <v>95</v>
      </c>
      <c r="M1633" s="85">
        <v>0</v>
      </c>
      <c r="N1633" s="82" t="s">
        <v>11167</v>
      </c>
      <c r="O1633" s="83"/>
    </row>
    <row r="1634" spans="1:15" ht="22.5" customHeight="1">
      <c r="A1634" s="85">
        <v>174904221976312</v>
      </c>
      <c r="B1634" s="82" t="s">
        <v>10651</v>
      </c>
      <c r="C1634" s="82" t="s">
        <v>11127</v>
      </c>
      <c r="D1634" s="82" t="s">
        <v>11128</v>
      </c>
      <c r="E1634" s="82">
        <v>6281355026552</v>
      </c>
      <c r="F1634" s="86">
        <v>45846</v>
      </c>
      <c r="G1634" s="87">
        <v>1124</v>
      </c>
      <c r="H1634" s="88">
        <v>10866.504854368932</v>
      </c>
      <c r="I1634" s="89">
        <v>85</v>
      </c>
      <c r="J1634" s="90">
        <v>13431</v>
      </c>
      <c r="K1634" s="85">
        <v>11</v>
      </c>
      <c r="L1634" s="85">
        <v>334</v>
      </c>
      <c r="M1634" s="85">
        <v>2</v>
      </c>
      <c r="N1634" s="82" t="s">
        <v>11129</v>
      </c>
      <c r="O1634" s="83"/>
    </row>
    <row r="1635" spans="1:15" ht="22.5" customHeight="1">
      <c r="A1635" s="85">
        <v>174904221976312</v>
      </c>
      <c r="B1635" s="82" t="s">
        <v>10651</v>
      </c>
      <c r="C1635" s="82" t="s">
        <v>11099</v>
      </c>
      <c r="D1635" s="82" t="s">
        <v>11100</v>
      </c>
      <c r="E1635" s="82">
        <v>6281352626888</v>
      </c>
      <c r="F1635" s="86">
        <v>45846</v>
      </c>
      <c r="G1635" s="87">
        <v>903</v>
      </c>
      <c r="H1635" s="88">
        <v>12096.499526963104</v>
      </c>
      <c r="I1635" s="89">
        <v>28</v>
      </c>
      <c r="J1635" s="90">
        <v>12786</v>
      </c>
      <c r="K1635" s="85">
        <v>3</v>
      </c>
      <c r="L1635" s="85">
        <v>251</v>
      </c>
      <c r="M1635" s="85">
        <v>0</v>
      </c>
      <c r="N1635" s="82" t="s">
        <v>11101</v>
      </c>
      <c r="O1635" s="83"/>
    </row>
    <row r="1636" spans="1:15" ht="22.5" customHeight="1">
      <c r="A1636" s="85">
        <v>174904221976312</v>
      </c>
      <c r="B1636" s="82" t="s">
        <v>10651</v>
      </c>
      <c r="C1636" s="82" t="s">
        <v>11075</v>
      </c>
      <c r="D1636" s="82" t="s">
        <v>11076</v>
      </c>
      <c r="E1636" s="82">
        <v>6281378152512</v>
      </c>
      <c r="F1636" s="86">
        <v>45846</v>
      </c>
      <c r="G1636" s="87">
        <v>915</v>
      </c>
      <c r="H1636" s="88">
        <v>12064.874884151992</v>
      </c>
      <c r="I1636" s="89">
        <v>37</v>
      </c>
      <c r="J1636" s="90">
        <v>13018</v>
      </c>
      <c r="K1636" s="85">
        <v>5</v>
      </c>
      <c r="L1636" s="85">
        <v>128</v>
      </c>
      <c r="M1636" s="85">
        <v>0</v>
      </c>
      <c r="N1636" s="82" t="s">
        <v>11077</v>
      </c>
      <c r="O1636" s="83"/>
    </row>
    <row r="1637" spans="1:15" ht="22.5" customHeight="1">
      <c r="A1637" s="85">
        <v>174904221976312</v>
      </c>
      <c r="B1637" s="82" t="s">
        <v>10651</v>
      </c>
      <c r="C1637" s="82" t="s">
        <v>11002</v>
      </c>
      <c r="D1637" s="82" t="s">
        <v>11003</v>
      </c>
      <c r="E1637" s="82">
        <v>6288228976100</v>
      </c>
      <c r="F1637" s="86">
        <v>45846</v>
      </c>
      <c r="G1637" s="87">
        <v>439</v>
      </c>
      <c r="H1637" s="88">
        <v>30526.418786692757</v>
      </c>
      <c r="I1637" s="89">
        <v>6</v>
      </c>
      <c r="J1637" s="90">
        <v>15599</v>
      </c>
      <c r="K1637" s="85">
        <v>1</v>
      </c>
      <c r="L1637" s="85">
        <v>97</v>
      </c>
      <c r="M1637" s="85">
        <v>0</v>
      </c>
      <c r="N1637" s="82" t="s">
        <v>11004</v>
      </c>
      <c r="O1637" s="83"/>
    </row>
    <row r="1638" spans="1:15" ht="22.5" customHeight="1">
      <c r="A1638" s="85">
        <v>174904221976312</v>
      </c>
      <c r="B1638" s="82" t="s">
        <v>10651</v>
      </c>
      <c r="C1638" s="82" t="s">
        <v>10943</v>
      </c>
      <c r="D1638" s="82" t="s">
        <v>10944</v>
      </c>
      <c r="E1638" s="82">
        <v>6285240694097</v>
      </c>
      <c r="F1638" s="86">
        <v>45846</v>
      </c>
      <c r="G1638" s="87">
        <v>821</v>
      </c>
      <c r="H1638" s="88">
        <v>10980.824544582934</v>
      </c>
      <c r="I1638" s="89">
        <v>31</v>
      </c>
      <c r="J1638" s="90">
        <v>11453</v>
      </c>
      <c r="K1638" s="85">
        <v>2</v>
      </c>
      <c r="L1638" s="85">
        <v>151</v>
      </c>
      <c r="M1638" s="85">
        <v>0</v>
      </c>
      <c r="N1638" s="82" t="s">
        <v>10945</v>
      </c>
      <c r="O1638" s="83"/>
    </row>
    <row r="1639" spans="1:15" ht="22.5" customHeight="1">
      <c r="A1639" s="85">
        <v>174904221976312</v>
      </c>
      <c r="B1639" s="82" t="s">
        <v>10651</v>
      </c>
      <c r="C1639" s="82" t="s">
        <v>10853</v>
      </c>
      <c r="D1639" s="82" t="s">
        <v>10854</v>
      </c>
      <c r="E1639" s="82">
        <v>6281393958199</v>
      </c>
      <c r="F1639" s="86">
        <v>45846</v>
      </c>
      <c r="G1639" s="87">
        <v>498</v>
      </c>
      <c r="H1639" s="88">
        <v>20054.29071803853</v>
      </c>
      <c r="I1639" s="89">
        <v>11</v>
      </c>
      <c r="J1639" s="90">
        <v>11451</v>
      </c>
      <c r="K1639" s="85">
        <v>2</v>
      </c>
      <c r="L1639" s="85">
        <v>200</v>
      </c>
      <c r="M1639" s="85">
        <v>0</v>
      </c>
      <c r="N1639" s="82" t="s">
        <v>10855</v>
      </c>
      <c r="O1639" s="83"/>
    </row>
    <row r="1640" spans="1:15" ht="22.5" customHeight="1">
      <c r="A1640" s="85">
        <v>174904221976312</v>
      </c>
      <c r="B1640" s="82" t="s">
        <v>10651</v>
      </c>
      <c r="C1640" s="82" t="s">
        <v>818</v>
      </c>
      <c r="D1640" s="82" t="s">
        <v>812</v>
      </c>
      <c r="E1640" s="82">
        <v>6287858585808</v>
      </c>
      <c r="F1640" s="86">
        <v>45846</v>
      </c>
      <c r="G1640" s="87">
        <v>864</v>
      </c>
      <c r="H1640" s="88">
        <v>13572.129538763493</v>
      </c>
      <c r="I1640" s="89">
        <v>36</v>
      </c>
      <c r="J1640" s="90">
        <v>13830</v>
      </c>
      <c r="K1640" s="85">
        <v>2</v>
      </c>
      <c r="L1640" s="85">
        <v>249</v>
      </c>
      <c r="M1640" s="85">
        <v>1</v>
      </c>
      <c r="N1640" s="82" t="s">
        <v>10831</v>
      </c>
      <c r="O1640" s="83"/>
    </row>
    <row r="1641" spans="1:15" ht="22.5" customHeight="1">
      <c r="A1641" s="85">
        <v>174904221976312</v>
      </c>
      <c r="B1641" s="82" t="s">
        <v>10651</v>
      </c>
      <c r="C1641" s="82" t="s">
        <v>10696</v>
      </c>
      <c r="D1641" s="82" t="s">
        <v>236</v>
      </c>
      <c r="E1641" s="82"/>
      <c r="F1641" s="86">
        <v>45846</v>
      </c>
      <c r="G1641" s="87">
        <v>1648</v>
      </c>
      <c r="H1641" s="88">
        <v>7233.7125129265778</v>
      </c>
      <c r="I1641" s="89">
        <v>71</v>
      </c>
      <c r="J1641" s="90">
        <v>13990</v>
      </c>
      <c r="K1641" s="85">
        <v>5</v>
      </c>
      <c r="L1641" s="85">
        <v>627</v>
      </c>
      <c r="M1641" s="85">
        <v>0</v>
      </c>
      <c r="N1641" s="82" t="s">
        <v>10697</v>
      </c>
      <c r="O1641" s="83"/>
    </row>
    <row r="1642" spans="1:15" ht="22.5" customHeight="1">
      <c r="A1642" s="85">
        <v>174904221976312</v>
      </c>
      <c r="B1642" s="82" t="s">
        <v>10651</v>
      </c>
      <c r="C1642" s="82" t="s">
        <v>10652</v>
      </c>
      <c r="D1642" s="82" t="s">
        <v>10653</v>
      </c>
      <c r="E1642" s="82">
        <v>6281348555887</v>
      </c>
      <c r="F1642" s="86">
        <v>45846</v>
      </c>
      <c r="G1642" s="87">
        <v>797</v>
      </c>
      <c r="H1642" s="88">
        <v>12908.987485779295</v>
      </c>
      <c r="I1642" s="89">
        <v>13</v>
      </c>
      <c r="J1642" s="90">
        <v>11347</v>
      </c>
      <c r="K1642" s="85">
        <v>1</v>
      </c>
      <c r="L1642" s="85">
        <v>229</v>
      </c>
      <c r="M1642" s="85">
        <v>0</v>
      </c>
      <c r="N1642" s="82" t="s">
        <v>11138</v>
      </c>
      <c r="O1642" s="83"/>
    </row>
    <row r="1643" spans="1:15" ht="22.5" customHeight="1">
      <c r="A1643" s="85">
        <v>174904221976312</v>
      </c>
      <c r="B1643" s="82" t="s">
        <v>10651</v>
      </c>
      <c r="C1643" s="82" t="s">
        <v>10655</v>
      </c>
      <c r="D1643" s="82" t="s">
        <v>3908</v>
      </c>
      <c r="E1643" s="82">
        <v>6285376667233</v>
      </c>
      <c r="F1643" s="86">
        <v>45846</v>
      </c>
      <c r="G1643" s="87">
        <v>878</v>
      </c>
      <c r="H1643" s="88">
        <v>12732.423924449107</v>
      </c>
      <c r="I1643" s="89">
        <v>22</v>
      </c>
      <c r="J1643" s="90">
        <v>12134</v>
      </c>
      <c r="K1643" s="85">
        <v>0</v>
      </c>
      <c r="L1643" s="85">
        <v>343</v>
      </c>
      <c r="M1643" s="85">
        <v>1</v>
      </c>
      <c r="N1643" s="82" t="s">
        <v>10656</v>
      </c>
      <c r="O1643" s="83"/>
    </row>
    <row r="1644" spans="1:15" ht="22.5" customHeight="1">
      <c r="A1644" s="85">
        <v>174904221976312</v>
      </c>
      <c r="B1644" s="82" t="s">
        <v>10651</v>
      </c>
      <c r="C1644" s="82" t="s">
        <v>10659</v>
      </c>
      <c r="D1644" s="82" t="s">
        <v>1044</v>
      </c>
      <c r="E1644" s="82">
        <v>6281263113266</v>
      </c>
      <c r="F1644" s="86">
        <v>45846</v>
      </c>
      <c r="G1644" s="87">
        <v>1343</v>
      </c>
      <c r="H1644" s="88">
        <v>9818.4754521963823</v>
      </c>
      <c r="I1644" s="89">
        <v>49</v>
      </c>
      <c r="J1644" s="90">
        <v>15199</v>
      </c>
      <c r="K1644" s="85">
        <v>1</v>
      </c>
      <c r="L1644" s="85">
        <v>351</v>
      </c>
      <c r="M1644" s="85">
        <v>0</v>
      </c>
      <c r="N1644" s="82" t="s">
        <v>10660</v>
      </c>
      <c r="O1644" s="83"/>
    </row>
    <row r="1645" spans="1:15" ht="22.5" customHeight="1">
      <c r="A1645" s="85">
        <v>174904221976312</v>
      </c>
      <c r="B1645" s="82" t="s">
        <v>10651</v>
      </c>
      <c r="C1645" s="82" t="s">
        <v>11078</v>
      </c>
      <c r="D1645" s="82" t="s">
        <v>3140</v>
      </c>
      <c r="E1645" s="82"/>
      <c r="F1645" s="86">
        <v>45846</v>
      </c>
      <c r="G1645" s="87">
        <v>6252</v>
      </c>
      <c r="H1645" s="88">
        <v>1740.8149632598531</v>
      </c>
      <c r="I1645" s="89">
        <v>124</v>
      </c>
      <c r="J1645" s="90">
        <v>13030</v>
      </c>
      <c r="K1645" s="85">
        <v>7</v>
      </c>
      <c r="L1645" s="85">
        <v>21</v>
      </c>
      <c r="M1645" s="85">
        <v>0</v>
      </c>
      <c r="N1645" s="82" t="s">
        <v>11079</v>
      </c>
      <c r="O1645" s="83"/>
    </row>
    <row r="1646" spans="1:15" ht="22.5" customHeight="1">
      <c r="A1646" s="85">
        <v>174904221976312</v>
      </c>
      <c r="B1646" s="82" t="s">
        <v>10651</v>
      </c>
      <c r="C1646" s="82" t="s">
        <v>10731</v>
      </c>
      <c r="D1646" s="82" t="s">
        <v>10732</v>
      </c>
      <c r="E1646" s="82">
        <v>6281241440688</v>
      </c>
      <c r="F1646" s="86">
        <v>45846</v>
      </c>
      <c r="G1646" s="87">
        <v>1704</v>
      </c>
      <c r="H1646" s="88">
        <v>5581.0536980749748</v>
      </c>
      <c r="I1646" s="89">
        <v>17</v>
      </c>
      <c r="J1646" s="90">
        <v>11017</v>
      </c>
      <c r="K1646" s="85">
        <v>0</v>
      </c>
      <c r="L1646" s="85">
        <v>530</v>
      </c>
      <c r="M1646" s="85">
        <v>1</v>
      </c>
      <c r="N1646" s="82" t="s">
        <v>10733</v>
      </c>
      <c r="O1646" s="83"/>
    </row>
    <row r="1647" spans="1:15" ht="22.5" customHeight="1">
      <c r="A1647" s="85">
        <v>174904221976312</v>
      </c>
      <c r="B1647" s="82" t="s">
        <v>10651</v>
      </c>
      <c r="C1647" s="82" t="s">
        <v>11168</v>
      </c>
      <c r="D1647" s="82" t="s">
        <v>11169</v>
      </c>
      <c r="E1647" s="82">
        <v>628115424402</v>
      </c>
      <c r="F1647" s="86">
        <v>45846</v>
      </c>
      <c r="G1647" s="87">
        <v>1073</v>
      </c>
      <c r="H1647" s="88">
        <v>13391.925988225399</v>
      </c>
      <c r="I1647" s="89">
        <v>45</v>
      </c>
      <c r="J1647" s="90">
        <v>15923</v>
      </c>
      <c r="K1647" s="85">
        <v>7</v>
      </c>
      <c r="L1647" s="85">
        <v>297</v>
      </c>
      <c r="M1647" s="85">
        <v>2</v>
      </c>
      <c r="N1647" s="82" t="s">
        <v>11170</v>
      </c>
      <c r="O1647" s="83"/>
    </row>
    <row r="1648" spans="1:15" ht="22.5" customHeight="1">
      <c r="A1648" s="85">
        <v>766589657993298</v>
      </c>
      <c r="B1648" s="82" t="s">
        <v>10688</v>
      </c>
      <c r="C1648" s="82" t="s">
        <v>11171</v>
      </c>
      <c r="D1648" s="82" t="s">
        <v>11172</v>
      </c>
      <c r="E1648" s="82">
        <v>6281214999292</v>
      </c>
      <c r="F1648" s="86">
        <v>45846</v>
      </c>
      <c r="G1648" s="87">
        <v>213</v>
      </c>
      <c r="H1648" s="88">
        <v>54422.727272727272</v>
      </c>
      <c r="I1648" s="89">
        <v>2</v>
      </c>
      <c r="J1648" s="90">
        <v>11973</v>
      </c>
      <c r="K1648" s="85">
        <v>0</v>
      </c>
      <c r="L1648" s="85">
        <v>20</v>
      </c>
      <c r="M1648" s="85">
        <v>0</v>
      </c>
      <c r="N1648" s="82" t="s">
        <v>11173</v>
      </c>
      <c r="O1648" s="83"/>
    </row>
    <row r="1649" spans="1:15" ht="22.5" customHeight="1">
      <c r="A1649" s="85">
        <v>766589657993298</v>
      </c>
      <c r="B1649" s="82" t="s">
        <v>10688</v>
      </c>
      <c r="C1649" s="82" t="s">
        <v>11174</v>
      </c>
      <c r="D1649" s="82" t="s">
        <v>11175</v>
      </c>
      <c r="E1649" s="82">
        <v>6282184019830</v>
      </c>
      <c r="F1649" s="86">
        <v>45846</v>
      </c>
      <c r="G1649" s="87">
        <v>406</v>
      </c>
      <c r="H1649" s="88">
        <v>32573.696145124715</v>
      </c>
      <c r="I1649" s="89">
        <v>11</v>
      </c>
      <c r="J1649" s="90">
        <v>14365</v>
      </c>
      <c r="K1649" s="85">
        <v>2</v>
      </c>
      <c r="L1649" s="85">
        <v>86</v>
      </c>
      <c r="M1649" s="85">
        <v>0</v>
      </c>
      <c r="N1649" s="82" t="s">
        <v>11176</v>
      </c>
      <c r="O1649" s="83"/>
    </row>
    <row r="1650" spans="1:15" ht="22.5" customHeight="1">
      <c r="A1650" s="85">
        <v>766589657993298</v>
      </c>
      <c r="B1650" s="82" t="s">
        <v>10688</v>
      </c>
      <c r="C1650" s="82" t="s">
        <v>11177</v>
      </c>
      <c r="D1650" s="82" t="s">
        <v>11178</v>
      </c>
      <c r="E1650" s="82">
        <v>6281351666729</v>
      </c>
      <c r="F1650" s="86">
        <v>45846</v>
      </c>
      <c r="G1650" s="87">
        <v>407</v>
      </c>
      <c r="H1650" s="88">
        <v>29287.907869481765</v>
      </c>
      <c r="I1650" s="89">
        <v>4</v>
      </c>
      <c r="J1650" s="90">
        <v>15259</v>
      </c>
      <c r="K1650" s="85">
        <v>1</v>
      </c>
      <c r="L1650" s="85">
        <v>11</v>
      </c>
      <c r="M1650" s="85">
        <v>0</v>
      </c>
      <c r="N1650" s="82" t="s">
        <v>11179</v>
      </c>
      <c r="O1650" s="83"/>
    </row>
    <row r="1651" spans="1:15" ht="22.5" customHeight="1">
      <c r="A1651" s="85">
        <v>766589657993298</v>
      </c>
      <c r="B1651" s="82" t="s">
        <v>10688</v>
      </c>
      <c r="C1651" s="82" t="s">
        <v>11180</v>
      </c>
      <c r="D1651" s="82" t="s">
        <v>11181</v>
      </c>
      <c r="E1651" s="82">
        <v>62895800343940</v>
      </c>
      <c r="F1651" s="86">
        <v>45846</v>
      </c>
      <c r="G1651" s="87">
        <v>486</v>
      </c>
      <c r="H1651" s="88">
        <v>24307.820299500832</v>
      </c>
      <c r="I1651" s="89">
        <v>14</v>
      </c>
      <c r="J1651" s="90">
        <v>14609</v>
      </c>
      <c r="K1651" s="85">
        <v>1</v>
      </c>
      <c r="L1651" s="85">
        <v>45</v>
      </c>
      <c r="M1651" s="85">
        <v>0</v>
      </c>
      <c r="N1651" s="82" t="s">
        <v>11182</v>
      </c>
      <c r="O1651" s="83"/>
    </row>
    <row r="1652" spans="1:15" ht="22.5" customHeight="1">
      <c r="A1652" s="85">
        <v>766589657993298</v>
      </c>
      <c r="B1652" s="82" t="s">
        <v>10688</v>
      </c>
      <c r="C1652" s="82" t="s">
        <v>11139</v>
      </c>
      <c r="D1652" s="82" t="s">
        <v>11140</v>
      </c>
      <c r="E1652" s="82"/>
      <c r="F1652" s="86">
        <v>45846</v>
      </c>
      <c r="G1652" s="87">
        <v>323</v>
      </c>
      <c r="H1652" s="88">
        <v>44686.781609195401</v>
      </c>
      <c r="I1652" s="89">
        <v>4</v>
      </c>
      <c r="J1652" s="90">
        <v>15551</v>
      </c>
      <c r="K1652" s="85">
        <v>1</v>
      </c>
      <c r="L1652" s="85">
        <v>98</v>
      </c>
      <c r="M1652" s="85">
        <v>0</v>
      </c>
      <c r="N1652" s="82" t="s">
        <v>11141</v>
      </c>
      <c r="O1652" s="83"/>
    </row>
    <row r="1653" spans="1:15" ht="22.5" customHeight="1">
      <c r="A1653" s="85">
        <v>766589657993298</v>
      </c>
      <c r="B1653" s="82" t="s">
        <v>10688</v>
      </c>
      <c r="C1653" s="82" t="s">
        <v>11142</v>
      </c>
      <c r="D1653" s="82" t="s">
        <v>10980</v>
      </c>
      <c r="E1653" s="82">
        <v>6285715856120</v>
      </c>
      <c r="F1653" s="86">
        <v>45846</v>
      </c>
      <c r="G1653" s="87">
        <v>873</v>
      </c>
      <c r="H1653" s="88">
        <v>16508.95679662803</v>
      </c>
      <c r="I1653" s="89">
        <v>39</v>
      </c>
      <c r="J1653" s="90">
        <v>15667</v>
      </c>
      <c r="K1653" s="85">
        <v>14</v>
      </c>
      <c r="L1653" s="85">
        <v>350</v>
      </c>
      <c r="M1653" s="85">
        <v>0</v>
      </c>
      <c r="N1653" s="82" t="s">
        <v>11143</v>
      </c>
      <c r="O1653" s="83"/>
    </row>
    <row r="1654" spans="1:15" ht="22.5" customHeight="1">
      <c r="A1654" s="85">
        <v>766589657993298</v>
      </c>
      <c r="B1654" s="82" t="s">
        <v>10688</v>
      </c>
      <c r="C1654" s="82" t="s">
        <v>11103</v>
      </c>
      <c r="D1654" s="82" t="s">
        <v>11104</v>
      </c>
      <c r="E1654" s="82">
        <v>6282124027899</v>
      </c>
      <c r="F1654" s="86">
        <v>45846</v>
      </c>
      <c r="G1654" s="87">
        <v>1758</v>
      </c>
      <c r="H1654" s="88">
        <v>8249.3790362642812</v>
      </c>
      <c r="I1654" s="89">
        <v>30</v>
      </c>
      <c r="J1654" s="90">
        <v>16606</v>
      </c>
      <c r="K1654" s="85">
        <v>2</v>
      </c>
      <c r="L1654" s="85">
        <v>463</v>
      </c>
      <c r="M1654" s="85">
        <v>1</v>
      </c>
      <c r="N1654" s="82" t="s">
        <v>11105</v>
      </c>
      <c r="O1654" s="83"/>
    </row>
    <row r="1655" spans="1:15" ht="22.5" customHeight="1">
      <c r="A1655" s="85">
        <v>766589657993298</v>
      </c>
      <c r="B1655" s="82" t="s">
        <v>10688</v>
      </c>
      <c r="C1655" s="82" t="s">
        <v>11106</v>
      </c>
      <c r="D1655" s="82" t="s">
        <v>1632</v>
      </c>
      <c r="E1655" s="82">
        <v>6281290414113</v>
      </c>
      <c r="F1655" s="86">
        <v>45846</v>
      </c>
      <c r="G1655" s="87">
        <v>483</v>
      </c>
      <c r="H1655" s="88">
        <v>31049.808429118773</v>
      </c>
      <c r="I1655" s="89">
        <v>10</v>
      </c>
      <c r="J1655" s="90">
        <v>16208</v>
      </c>
      <c r="K1655" s="85">
        <v>1</v>
      </c>
      <c r="L1655" s="85">
        <v>136</v>
      </c>
      <c r="M1655" s="85">
        <v>0</v>
      </c>
      <c r="N1655" s="82" t="s">
        <v>11107</v>
      </c>
      <c r="O1655" s="83"/>
    </row>
    <row r="1656" spans="1:15" ht="22.5" customHeight="1">
      <c r="A1656" s="85">
        <v>766589657993298</v>
      </c>
      <c r="B1656" s="82" t="s">
        <v>10688</v>
      </c>
      <c r="C1656" s="82" t="s">
        <v>11108</v>
      </c>
      <c r="D1656" s="82" t="s">
        <v>11109</v>
      </c>
      <c r="E1656" s="82">
        <v>62818763108</v>
      </c>
      <c r="F1656" s="86">
        <v>45846</v>
      </c>
      <c r="G1656" s="87">
        <v>415</v>
      </c>
      <c r="H1656" s="88">
        <v>30742.331288343557</v>
      </c>
      <c r="I1656" s="89">
        <v>12</v>
      </c>
      <c r="J1656" s="90">
        <v>15033</v>
      </c>
      <c r="K1656" s="85">
        <v>5</v>
      </c>
      <c r="L1656" s="85">
        <v>1</v>
      </c>
      <c r="M1656" s="85">
        <v>1</v>
      </c>
      <c r="N1656" s="82" t="s">
        <v>11110</v>
      </c>
      <c r="O1656" s="83"/>
    </row>
    <row r="1657" spans="1:15" ht="22.5" customHeight="1">
      <c r="A1657" s="85">
        <v>766589657993298</v>
      </c>
      <c r="B1657" s="82" t="s">
        <v>10688</v>
      </c>
      <c r="C1657" s="82" t="s">
        <v>11080</v>
      </c>
      <c r="D1657" s="82" t="s">
        <v>1408</v>
      </c>
      <c r="E1657" s="82">
        <v>6282211473253</v>
      </c>
      <c r="F1657" s="86">
        <v>45846</v>
      </c>
      <c r="G1657" s="87">
        <v>335</v>
      </c>
      <c r="H1657" s="88">
        <v>42443.835616438359</v>
      </c>
      <c r="I1657" s="89">
        <v>8</v>
      </c>
      <c r="J1657" s="90">
        <v>15492</v>
      </c>
      <c r="K1657" s="85">
        <v>1</v>
      </c>
      <c r="L1657" s="85">
        <v>133</v>
      </c>
      <c r="M1657" s="85">
        <v>0</v>
      </c>
      <c r="N1657" s="82" t="s">
        <v>11081</v>
      </c>
      <c r="O1657" s="83"/>
    </row>
    <row r="1658" spans="1:15" ht="22.5" customHeight="1">
      <c r="A1658" s="85">
        <v>766589657993298</v>
      </c>
      <c r="B1658" s="82" t="s">
        <v>10688</v>
      </c>
      <c r="C1658" s="82" t="s">
        <v>11082</v>
      </c>
      <c r="D1658" s="82" t="s">
        <v>11083</v>
      </c>
      <c r="E1658" s="82">
        <v>6288980619907</v>
      </c>
      <c r="F1658" s="86">
        <v>45846</v>
      </c>
      <c r="G1658" s="87">
        <v>314</v>
      </c>
      <c r="H1658" s="88">
        <v>37112.244897959186</v>
      </c>
      <c r="I1658" s="89">
        <v>3</v>
      </c>
      <c r="J1658" s="90">
        <v>14548</v>
      </c>
      <c r="K1658" s="85">
        <v>0</v>
      </c>
      <c r="L1658" s="85">
        <v>23</v>
      </c>
      <c r="M1658" s="85">
        <v>0</v>
      </c>
      <c r="N1658" s="82" t="s">
        <v>11084</v>
      </c>
      <c r="O1658" s="83"/>
    </row>
    <row r="1659" spans="1:15" ht="22.5" customHeight="1">
      <c r="A1659" s="85">
        <v>766589657993298</v>
      </c>
      <c r="B1659" s="82" t="s">
        <v>10688</v>
      </c>
      <c r="C1659" s="82" t="s">
        <v>11026</v>
      </c>
      <c r="D1659" s="82" t="s">
        <v>1172</v>
      </c>
      <c r="E1659" s="82">
        <v>6285950836788</v>
      </c>
      <c r="F1659" s="86">
        <v>45846</v>
      </c>
      <c r="G1659" s="87">
        <v>317</v>
      </c>
      <c r="H1659" s="88">
        <v>40441.988950276238</v>
      </c>
      <c r="I1659" s="89">
        <v>9</v>
      </c>
      <c r="J1659" s="90">
        <v>14640</v>
      </c>
      <c r="K1659" s="85">
        <v>1</v>
      </c>
      <c r="L1659" s="85">
        <v>101</v>
      </c>
      <c r="M1659" s="85">
        <v>0</v>
      </c>
      <c r="N1659" s="82" t="s">
        <v>11027</v>
      </c>
      <c r="O1659" s="83"/>
    </row>
    <row r="1660" spans="1:15" ht="22.5" customHeight="1">
      <c r="A1660" s="85">
        <v>766589657993298</v>
      </c>
      <c r="B1660" s="82" t="s">
        <v>10688</v>
      </c>
      <c r="C1660" s="82" t="s">
        <v>11028</v>
      </c>
      <c r="D1660" s="82" t="s">
        <v>11029</v>
      </c>
      <c r="E1660" s="82">
        <v>6282338171577</v>
      </c>
      <c r="F1660" s="86">
        <v>45846</v>
      </c>
      <c r="G1660" s="87">
        <v>1011</v>
      </c>
      <c r="H1660" s="88">
        <v>13258.147512864492</v>
      </c>
      <c r="I1660" s="89">
        <v>43</v>
      </c>
      <c r="J1660" s="90">
        <v>15459</v>
      </c>
      <c r="K1660" s="85">
        <v>4</v>
      </c>
      <c r="L1660" s="85">
        <v>348</v>
      </c>
      <c r="M1660" s="85">
        <v>1</v>
      </c>
      <c r="N1660" s="82" t="s">
        <v>11030</v>
      </c>
      <c r="O1660" s="83"/>
    </row>
    <row r="1661" spans="1:15" ht="22.5" customHeight="1">
      <c r="A1661" s="85">
        <v>766589657993298</v>
      </c>
      <c r="B1661" s="82" t="s">
        <v>10688</v>
      </c>
      <c r="C1661" s="82" t="s">
        <v>10976</v>
      </c>
      <c r="D1661" s="82" t="s">
        <v>10977</v>
      </c>
      <c r="E1661" s="82">
        <v>6281138301069</v>
      </c>
      <c r="F1661" s="86">
        <v>45846</v>
      </c>
      <c r="G1661" s="87">
        <v>12307</v>
      </c>
      <c r="H1661" s="88">
        <v>1132.4009324009323</v>
      </c>
      <c r="I1661" s="89">
        <v>7</v>
      </c>
      <c r="J1661" s="90">
        <v>14574</v>
      </c>
      <c r="K1661" s="85">
        <v>0</v>
      </c>
      <c r="L1661" s="85">
        <v>867</v>
      </c>
      <c r="M1661" s="85">
        <v>0</v>
      </c>
      <c r="N1661" s="82" t="s">
        <v>11183</v>
      </c>
      <c r="O1661" s="83"/>
    </row>
    <row r="1662" spans="1:15" ht="22.5" customHeight="1">
      <c r="A1662" s="85">
        <v>766589657993298</v>
      </c>
      <c r="B1662" s="82" t="s">
        <v>10688</v>
      </c>
      <c r="C1662" s="82" t="s">
        <v>10885</v>
      </c>
      <c r="D1662" s="82" t="s">
        <v>906</v>
      </c>
      <c r="E1662" s="82">
        <v>6282183115806</v>
      </c>
      <c r="F1662" s="86">
        <v>45846</v>
      </c>
      <c r="G1662" s="87">
        <v>923</v>
      </c>
      <c r="H1662" s="88">
        <v>16627.606752730884</v>
      </c>
      <c r="I1662" s="89">
        <v>24</v>
      </c>
      <c r="J1662" s="90">
        <v>16744</v>
      </c>
      <c r="K1662" s="85">
        <v>5</v>
      </c>
      <c r="L1662" s="85">
        <v>47</v>
      </c>
      <c r="M1662" s="85">
        <v>0</v>
      </c>
      <c r="N1662" s="82" t="s">
        <v>10886</v>
      </c>
      <c r="O1662" s="83"/>
    </row>
    <row r="1663" spans="1:15" ht="22.5" customHeight="1">
      <c r="A1663" s="85">
        <v>766589657993298</v>
      </c>
      <c r="B1663" s="82" t="s">
        <v>10688</v>
      </c>
      <c r="C1663" s="82" t="s">
        <v>10879</v>
      </c>
      <c r="D1663" s="82" t="s">
        <v>10880</v>
      </c>
      <c r="E1663" s="82">
        <v>6281215851833</v>
      </c>
      <c r="F1663" s="86">
        <v>45846</v>
      </c>
      <c r="G1663" s="87">
        <v>512</v>
      </c>
      <c r="H1663" s="88">
        <v>26215.946843853821</v>
      </c>
      <c r="I1663" s="89">
        <v>21</v>
      </c>
      <c r="J1663" s="90">
        <v>15782</v>
      </c>
      <c r="K1663" s="85">
        <v>1</v>
      </c>
      <c r="L1663" s="85">
        <v>0</v>
      </c>
      <c r="M1663" s="85">
        <v>0</v>
      </c>
      <c r="N1663" s="82" t="s">
        <v>10881</v>
      </c>
      <c r="O1663" s="83"/>
    </row>
    <row r="1664" spans="1:15" ht="22.5" customHeight="1">
      <c r="A1664" s="85">
        <v>766589657993298</v>
      </c>
      <c r="B1664" s="82" t="s">
        <v>10688</v>
      </c>
      <c r="C1664" s="82" t="s">
        <v>10780</v>
      </c>
      <c r="D1664" s="82" t="s">
        <v>10781</v>
      </c>
      <c r="E1664" s="82">
        <v>6281338789995</v>
      </c>
      <c r="F1664" s="86">
        <v>45846</v>
      </c>
      <c r="G1664" s="87">
        <v>783</v>
      </c>
      <c r="H1664" s="88">
        <v>16462.046204620463</v>
      </c>
      <c r="I1664" s="89">
        <v>17</v>
      </c>
      <c r="J1664" s="90">
        <v>14964</v>
      </c>
      <c r="K1664" s="85">
        <v>0</v>
      </c>
      <c r="L1664" s="85">
        <v>235</v>
      </c>
      <c r="M1664" s="85">
        <v>0</v>
      </c>
      <c r="N1664" s="82" t="s">
        <v>10782</v>
      </c>
      <c r="O1664" s="83"/>
    </row>
    <row r="1665" spans="1:15" ht="22.5" customHeight="1">
      <c r="A1665" s="85">
        <v>766589657993298</v>
      </c>
      <c r="B1665" s="82" t="s">
        <v>10688</v>
      </c>
      <c r="C1665" s="82" t="s">
        <v>10786</v>
      </c>
      <c r="D1665" s="82" t="s">
        <v>739</v>
      </c>
      <c r="E1665" s="82">
        <v>628122102657</v>
      </c>
      <c r="F1665" s="86">
        <v>45846</v>
      </c>
      <c r="G1665" s="87">
        <v>260</v>
      </c>
      <c r="H1665" s="88">
        <v>61600</v>
      </c>
      <c r="I1665" s="89">
        <v>4</v>
      </c>
      <c r="J1665" s="90">
        <v>18480</v>
      </c>
      <c r="K1665" s="85">
        <v>1</v>
      </c>
      <c r="L1665" s="85">
        <v>66</v>
      </c>
      <c r="M1665" s="85">
        <v>0</v>
      </c>
      <c r="N1665" s="82" t="s">
        <v>10787</v>
      </c>
      <c r="O1665" s="83"/>
    </row>
    <row r="1666" spans="1:15" ht="22.5" customHeight="1">
      <c r="A1666" s="85">
        <v>766589657993298</v>
      </c>
      <c r="B1666" s="82" t="s">
        <v>10688</v>
      </c>
      <c r="C1666" s="82" t="s">
        <v>10772</v>
      </c>
      <c r="D1666" s="82" t="s">
        <v>10773</v>
      </c>
      <c r="E1666" s="82">
        <v>6285261023204</v>
      </c>
      <c r="F1666" s="86">
        <v>45846</v>
      </c>
      <c r="G1666" s="87">
        <v>369</v>
      </c>
      <c r="H1666" s="88">
        <v>32270.386266094421</v>
      </c>
      <c r="I1666" s="89">
        <v>12</v>
      </c>
      <c r="J1666" s="90">
        <v>15038</v>
      </c>
      <c r="K1666" s="85">
        <v>3</v>
      </c>
      <c r="L1666" s="85">
        <v>85</v>
      </c>
      <c r="M1666" s="85">
        <v>0</v>
      </c>
      <c r="N1666" s="82" t="s">
        <v>10774</v>
      </c>
      <c r="O1666" s="83"/>
    </row>
    <row r="1667" spans="1:15" ht="22.5" customHeight="1">
      <c r="A1667" s="85">
        <v>766589657993298</v>
      </c>
      <c r="B1667" s="82" t="s">
        <v>10688</v>
      </c>
      <c r="C1667" s="82" t="s">
        <v>10762</v>
      </c>
      <c r="D1667" s="82" t="s">
        <v>10763</v>
      </c>
      <c r="E1667" s="82">
        <v>6285210107607</v>
      </c>
      <c r="F1667" s="86">
        <v>45846</v>
      </c>
      <c r="G1667" s="87">
        <v>835</v>
      </c>
      <c r="H1667" s="88">
        <v>17497.409326424873</v>
      </c>
      <c r="I1667" s="89">
        <v>19</v>
      </c>
      <c r="J1667" s="90">
        <v>16885</v>
      </c>
      <c r="K1667" s="85">
        <v>1</v>
      </c>
      <c r="L1667" s="85">
        <v>237</v>
      </c>
      <c r="M1667" s="85">
        <v>0</v>
      </c>
      <c r="N1667" s="82" t="s">
        <v>10764</v>
      </c>
      <c r="O1667" s="83"/>
    </row>
    <row r="1668" spans="1:15" ht="22.5" customHeight="1">
      <c r="A1668" s="85">
        <v>766589657993298</v>
      </c>
      <c r="B1668" s="82" t="s">
        <v>10688</v>
      </c>
      <c r="C1668" s="82" t="s">
        <v>10795</v>
      </c>
      <c r="D1668" s="82" t="s">
        <v>551</v>
      </c>
      <c r="E1668" s="82">
        <v>6285747906282</v>
      </c>
      <c r="F1668" s="86">
        <v>45846</v>
      </c>
      <c r="G1668" s="87">
        <v>696</v>
      </c>
      <c r="H1668" s="88">
        <v>23486.453201970446</v>
      </c>
      <c r="I1668" s="89">
        <v>19</v>
      </c>
      <c r="J1668" s="90">
        <v>19071</v>
      </c>
      <c r="K1668" s="85">
        <v>4</v>
      </c>
      <c r="L1668" s="85">
        <v>337</v>
      </c>
      <c r="M1668" s="85">
        <v>0</v>
      </c>
      <c r="N1668" s="82" t="s">
        <v>10796</v>
      </c>
      <c r="O1668" s="83"/>
    </row>
    <row r="1669" spans="1:15" ht="22.5" customHeight="1">
      <c r="A1669" s="85">
        <v>766589657993298</v>
      </c>
      <c r="B1669" s="82" t="s">
        <v>10688</v>
      </c>
      <c r="C1669" s="82" t="s">
        <v>10767</v>
      </c>
      <c r="D1669" s="82" t="s">
        <v>10768</v>
      </c>
      <c r="E1669" s="82">
        <v>6281519225886</v>
      </c>
      <c r="F1669" s="86">
        <v>45846</v>
      </c>
      <c r="G1669" s="87">
        <v>557</v>
      </c>
      <c r="H1669" s="88">
        <v>23099.848714069591</v>
      </c>
      <c r="I1669" s="89">
        <v>9</v>
      </c>
      <c r="J1669" s="90">
        <v>15269</v>
      </c>
      <c r="K1669" s="85">
        <v>1</v>
      </c>
      <c r="L1669" s="85">
        <v>22</v>
      </c>
      <c r="M1669" s="85">
        <v>1</v>
      </c>
      <c r="N1669" s="82" t="s">
        <v>10769</v>
      </c>
      <c r="O1669" s="83"/>
    </row>
    <row r="1670" spans="1:15" ht="22.5" customHeight="1">
      <c r="A1670" s="85">
        <v>766589657993298</v>
      </c>
      <c r="B1670" s="82" t="s">
        <v>10688</v>
      </c>
      <c r="C1670" s="82" t="s">
        <v>10797</v>
      </c>
      <c r="D1670" s="82" t="s">
        <v>10798</v>
      </c>
      <c r="E1670" s="82">
        <v>6285853370682</v>
      </c>
      <c r="F1670" s="86">
        <v>45846</v>
      </c>
      <c r="G1670" s="87">
        <v>515</v>
      </c>
      <c r="H1670" s="88">
        <v>25606.41891891892</v>
      </c>
      <c r="I1670" s="89">
        <v>17</v>
      </c>
      <c r="J1670" s="90">
        <v>15159</v>
      </c>
      <c r="K1670" s="85">
        <v>2</v>
      </c>
      <c r="L1670" s="85">
        <v>162</v>
      </c>
      <c r="M1670" s="85">
        <v>0</v>
      </c>
      <c r="N1670" s="82" t="s">
        <v>10799</v>
      </c>
      <c r="O1670" s="83"/>
    </row>
    <row r="1671" spans="1:15" ht="22.5" customHeight="1">
      <c r="A1671" s="85">
        <v>766589657993298</v>
      </c>
      <c r="B1671" s="82" t="s">
        <v>10688</v>
      </c>
      <c r="C1671" s="82" t="s">
        <v>10800</v>
      </c>
      <c r="D1671" s="82" t="s">
        <v>472</v>
      </c>
      <c r="E1671" s="82">
        <v>628114170888</v>
      </c>
      <c r="F1671" s="86">
        <v>45846</v>
      </c>
      <c r="G1671" s="87">
        <v>490</v>
      </c>
      <c r="H1671" s="88">
        <v>26082.658022690437</v>
      </c>
      <c r="I1671" s="89">
        <v>10</v>
      </c>
      <c r="J1671" s="90">
        <v>16093</v>
      </c>
      <c r="K1671" s="85">
        <v>2</v>
      </c>
      <c r="L1671" s="85">
        <v>70</v>
      </c>
      <c r="M1671" s="85">
        <v>0</v>
      </c>
      <c r="N1671" s="82" t="s">
        <v>10801</v>
      </c>
      <c r="O1671" s="83"/>
    </row>
    <row r="1672" spans="1:15" ht="22.5" customHeight="1">
      <c r="A1672" s="85">
        <v>766589657993298</v>
      </c>
      <c r="B1672" s="82" t="s">
        <v>10688</v>
      </c>
      <c r="C1672" s="82" t="s">
        <v>10752</v>
      </c>
      <c r="D1672" s="82" t="s">
        <v>10753</v>
      </c>
      <c r="E1672" s="82">
        <v>6281340892328</v>
      </c>
      <c r="F1672" s="86">
        <v>45846</v>
      </c>
      <c r="G1672" s="87">
        <v>1214</v>
      </c>
      <c r="H1672" s="88">
        <v>10879.237288135593</v>
      </c>
      <c r="I1672" s="89">
        <v>27</v>
      </c>
      <c r="J1672" s="90">
        <v>15405</v>
      </c>
      <c r="K1672" s="85">
        <v>0</v>
      </c>
      <c r="L1672" s="85">
        <v>353</v>
      </c>
      <c r="M1672" s="85">
        <v>0</v>
      </c>
      <c r="N1672" s="82" t="s">
        <v>10754</v>
      </c>
      <c r="O1672" s="83"/>
    </row>
    <row r="1673" spans="1:15" ht="22.5" customHeight="1">
      <c r="A1673" s="85">
        <v>206726568613432</v>
      </c>
      <c r="B1673" s="82" t="s">
        <v>10900</v>
      </c>
      <c r="C1673" s="82" t="s">
        <v>11085</v>
      </c>
      <c r="D1673" s="82" t="s">
        <v>10902</v>
      </c>
      <c r="E1673" s="82">
        <v>6282194694492</v>
      </c>
      <c r="F1673" s="86">
        <v>45846</v>
      </c>
      <c r="G1673" s="87">
        <v>667</v>
      </c>
      <c r="H1673" s="88">
        <v>22876.315789473683</v>
      </c>
      <c r="I1673" s="89">
        <v>20</v>
      </c>
      <c r="J1673" s="90">
        <v>17386</v>
      </c>
      <c r="K1673" s="85">
        <v>3</v>
      </c>
      <c r="L1673" s="85">
        <v>203</v>
      </c>
      <c r="M1673" s="85">
        <v>0</v>
      </c>
      <c r="N1673" s="82" t="s">
        <v>11086</v>
      </c>
      <c r="O1673" s="83"/>
    </row>
    <row r="1674" spans="1:15" ht="22.5" customHeight="1">
      <c r="A1674" s="85">
        <v>206726568613432</v>
      </c>
      <c r="B1674" s="82" t="s">
        <v>10900</v>
      </c>
      <c r="C1674" s="82" t="s">
        <v>11031</v>
      </c>
      <c r="D1674" s="82" t="s">
        <v>11032</v>
      </c>
      <c r="E1674" s="82">
        <v>6285668750416</v>
      </c>
      <c r="F1674" s="86">
        <v>45846</v>
      </c>
      <c r="G1674" s="87">
        <v>1159</v>
      </c>
      <c r="H1674" s="88">
        <v>11205.546492659054</v>
      </c>
      <c r="I1674" s="89">
        <v>32</v>
      </c>
      <c r="J1674" s="90">
        <v>13738</v>
      </c>
      <c r="K1674" s="85">
        <v>7</v>
      </c>
      <c r="L1674" s="85">
        <v>499</v>
      </c>
      <c r="M1674" s="85">
        <v>1</v>
      </c>
      <c r="N1674" s="82" t="s">
        <v>11033</v>
      </c>
      <c r="O1674" s="83"/>
    </row>
    <row r="1675" spans="1:15" ht="22.5" customHeight="1">
      <c r="A1675" s="85">
        <v>759724529202804</v>
      </c>
      <c r="B1675" s="82" t="s">
        <v>10621</v>
      </c>
      <c r="C1675" s="82" t="s">
        <v>11131</v>
      </c>
      <c r="D1675" s="82" t="s">
        <v>9019</v>
      </c>
      <c r="E1675" s="82">
        <v>628562943274</v>
      </c>
      <c r="F1675" s="86">
        <v>45847</v>
      </c>
      <c r="G1675" s="87">
        <v>948</v>
      </c>
      <c r="H1675" s="88">
        <v>13249.339207048457</v>
      </c>
      <c r="I1675" s="89">
        <v>33</v>
      </c>
      <c r="J1675" s="90">
        <v>15038</v>
      </c>
      <c r="K1675" s="85">
        <v>3</v>
      </c>
      <c r="L1675" s="85">
        <v>259</v>
      </c>
      <c r="M1675" s="85">
        <v>0</v>
      </c>
      <c r="N1675" s="82" t="s">
        <v>11132</v>
      </c>
      <c r="O1675" s="83"/>
    </row>
    <row r="1676" spans="1:15" ht="22.5" customHeight="1">
      <c r="A1676" s="85">
        <v>759724529202804</v>
      </c>
      <c r="B1676" s="82" t="s">
        <v>10621</v>
      </c>
      <c r="C1676" s="82" t="s">
        <v>11111</v>
      </c>
      <c r="D1676" s="82" t="s">
        <v>11112</v>
      </c>
      <c r="E1676" s="82">
        <v>6282145068631</v>
      </c>
      <c r="F1676" s="86">
        <v>45847</v>
      </c>
      <c r="G1676" s="87">
        <v>1835</v>
      </c>
      <c r="H1676" s="88">
        <v>6806.1002178649242</v>
      </c>
      <c r="I1676" s="89">
        <v>35</v>
      </c>
      <c r="J1676" s="90">
        <v>15620</v>
      </c>
      <c r="K1676" s="85">
        <v>1</v>
      </c>
      <c r="L1676" s="85">
        <v>172</v>
      </c>
      <c r="M1676" s="85">
        <v>1</v>
      </c>
      <c r="N1676" s="82" t="s">
        <v>11113</v>
      </c>
      <c r="O1676" s="83"/>
    </row>
    <row r="1677" spans="1:15" ht="22.5" customHeight="1">
      <c r="A1677" s="85">
        <v>759724529202804</v>
      </c>
      <c r="B1677" s="82" t="s">
        <v>10621</v>
      </c>
      <c r="C1677" s="82" t="s">
        <v>11070</v>
      </c>
      <c r="D1677" s="82" t="s">
        <v>11071</v>
      </c>
      <c r="E1677" s="82">
        <v>6281246211381</v>
      </c>
      <c r="F1677" s="86">
        <v>45847</v>
      </c>
      <c r="G1677" s="87">
        <v>751</v>
      </c>
      <c r="H1677" s="88">
        <v>18767.189384800964</v>
      </c>
      <c r="I1677" s="89">
        <v>11</v>
      </c>
      <c r="J1677" s="90">
        <v>15558</v>
      </c>
      <c r="K1677" s="85">
        <v>2</v>
      </c>
      <c r="L1677" s="85">
        <v>12</v>
      </c>
      <c r="M1677" s="85">
        <v>0</v>
      </c>
      <c r="N1677" s="82" t="s">
        <v>11072</v>
      </c>
      <c r="O1677" s="83"/>
    </row>
    <row r="1678" spans="1:15" ht="22.5" customHeight="1">
      <c r="A1678" s="85">
        <v>759724529202804</v>
      </c>
      <c r="B1678" s="82" t="s">
        <v>10621</v>
      </c>
      <c r="C1678" s="82" t="s">
        <v>11037</v>
      </c>
      <c r="D1678" s="82" t="s">
        <v>199</v>
      </c>
      <c r="E1678" s="82">
        <v>6285220903499</v>
      </c>
      <c r="F1678" s="86">
        <v>45847</v>
      </c>
      <c r="G1678" s="87">
        <v>1121</v>
      </c>
      <c r="H1678" s="88">
        <v>11590.454195535027</v>
      </c>
      <c r="I1678" s="89">
        <v>26</v>
      </c>
      <c r="J1678" s="90">
        <v>15056</v>
      </c>
      <c r="K1678" s="85">
        <v>5</v>
      </c>
      <c r="L1678" s="85">
        <v>318</v>
      </c>
      <c r="M1678" s="85">
        <v>0</v>
      </c>
      <c r="N1678" s="82" t="s">
        <v>11038</v>
      </c>
      <c r="O1678" s="83"/>
    </row>
    <row r="1679" spans="1:15" ht="22.5" customHeight="1">
      <c r="A1679" s="85">
        <v>759724529202804</v>
      </c>
      <c r="B1679" s="82" t="s">
        <v>10621</v>
      </c>
      <c r="C1679" s="82" t="s">
        <v>11016</v>
      </c>
      <c r="D1679" s="82" t="s">
        <v>1530</v>
      </c>
      <c r="E1679" s="82">
        <v>628111988553</v>
      </c>
      <c r="F1679" s="86">
        <v>45847</v>
      </c>
      <c r="G1679" s="87">
        <v>188</v>
      </c>
      <c r="H1679" s="88">
        <v>68302.631578947374</v>
      </c>
      <c r="I1679" s="89">
        <v>15</v>
      </c>
      <c r="J1679" s="90">
        <v>15573</v>
      </c>
      <c r="K1679" s="85">
        <v>0</v>
      </c>
      <c r="L1679" s="85">
        <v>1</v>
      </c>
      <c r="M1679" s="85">
        <v>0</v>
      </c>
      <c r="N1679" s="82" t="s">
        <v>11017</v>
      </c>
      <c r="O1679" s="83"/>
    </row>
    <row r="1680" spans="1:15" ht="22.5" customHeight="1">
      <c r="A1680" s="85">
        <v>759724529202804</v>
      </c>
      <c r="B1680" s="82" t="s">
        <v>10621</v>
      </c>
      <c r="C1680" s="82" t="s">
        <v>10986</v>
      </c>
      <c r="D1680" s="82" t="s">
        <v>10987</v>
      </c>
      <c r="E1680" s="82">
        <v>6281282183261</v>
      </c>
      <c r="F1680" s="86">
        <v>45847</v>
      </c>
      <c r="G1680" s="87">
        <v>475</v>
      </c>
      <c r="H1680" s="88">
        <v>25678.756476683935</v>
      </c>
      <c r="I1680" s="89">
        <v>15</v>
      </c>
      <c r="J1680" s="90">
        <v>14868</v>
      </c>
      <c r="K1680" s="85">
        <v>2</v>
      </c>
      <c r="L1680" s="85">
        <v>0</v>
      </c>
      <c r="M1680" s="85">
        <v>0</v>
      </c>
      <c r="N1680" s="82" t="s">
        <v>10988</v>
      </c>
      <c r="O1680" s="83"/>
    </row>
    <row r="1681" spans="1:15" ht="22.5" customHeight="1">
      <c r="A1681" s="85">
        <v>759724529202804</v>
      </c>
      <c r="B1681" s="82" t="s">
        <v>10621</v>
      </c>
      <c r="C1681" s="82" t="s">
        <v>1334</v>
      </c>
      <c r="D1681" s="82" t="s">
        <v>11005</v>
      </c>
      <c r="E1681" s="82">
        <v>6281366622333</v>
      </c>
      <c r="F1681" s="86">
        <v>45847</v>
      </c>
      <c r="G1681" s="87">
        <v>448</v>
      </c>
      <c r="H1681" s="88">
        <v>28689.655172413793</v>
      </c>
      <c r="I1681" s="89">
        <v>19</v>
      </c>
      <c r="J1681" s="90">
        <v>15808</v>
      </c>
      <c r="K1681" s="85">
        <v>3</v>
      </c>
      <c r="L1681" s="85">
        <v>12</v>
      </c>
      <c r="M1681" s="85">
        <v>1</v>
      </c>
      <c r="N1681" s="82" t="s">
        <v>11006</v>
      </c>
      <c r="O1681" s="83"/>
    </row>
    <row r="1682" spans="1:15" ht="22.5" customHeight="1">
      <c r="A1682" s="85">
        <v>174904221976312</v>
      </c>
      <c r="B1682" s="82" t="s">
        <v>10651</v>
      </c>
      <c r="C1682" s="82" t="s">
        <v>11184</v>
      </c>
      <c r="D1682" s="82" t="s">
        <v>11185</v>
      </c>
      <c r="E1682" s="82">
        <v>6283878405768</v>
      </c>
      <c r="F1682" s="86">
        <v>45847</v>
      </c>
      <c r="G1682" s="87">
        <v>568</v>
      </c>
      <c r="H1682" s="88">
        <v>16433.382137628112</v>
      </c>
      <c r="I1682" s="89">
        <v>3</v>
      </c>
      <c r="J1682" s="90">
        <v>11224</v>
      </c>
      <c r="K1682" s="85">
        <v>0</v>
      </c>
      <c r="L1682" s="85">
        <v>1</v>
      </c>
      <c r="M1682" s="85">
        <v>0</v>
      </c>
      <c r="N1682" s="82" t="s">
        <v>11186</v>
      </c>
      <c r="O1682" s="83"/>
    </row>
    <row r="1683" spans="1:15" ht="22.5" customHeight="1">
      <c r="A1683" s="85">
        <v>174904221976312</v>
      </c>
      <c r="B1683" s="82" t="s">
        <v>10651</v>
      </c>
      <c r="C1683" s="82" t="s">
        <v>11187</v>
      </c>
      <c r="D1683" s="82" t="s">
        <v>1938</v>
      </c>
      <c r="E1683" s="82">
        <v>6285956579758</v>
      </c>
      <c r="F1683" s="86">
        <v>45847</v>
      </c>
      <c r="G1683" s="87">
        <v>216</v>
      </c>
      <c r="H1683" s="88">
        <v>49228.571428571428</v>
      </c>
      <c r="I1683" s="89">
        <v>9</v>
      </c>
      <c r="J1683" s="90">
        <v>12061</v>
      </c>
      <c r="K1683" s="85">
        <v>1</v>
      </c>
      <c r="L1683" s="85">
        <v>27</v>
      </c>
      <c r="M1683" s="85">
        <v>0</v>
      </c>
      <c r="N1683" s="82" t="s">
        <v>11188</v>
      </c>
      <c r="O1683" s="83"/>
    </row>
    <row r="1684" spans="1:15" ht="22.5" customHeight="1">
      <c r="A1684" s="85">
        <v>174904221976312</v>
      </c>
      <c r="B1684" s="82" t="s">
        <v>10651</v>
      </c>
      <c r="C1684" s="82" t="s">
        <v>11189</v>
      </c>
      <c r="D1684" s="82" t="s">
        <v>46</v>
      </c>
      <c r="E1684" s="82">
        <v>6281337504727</v>
      </c>
      <c r="F1684" s="86">
        <v>45847</v>
      </c>
      <c r="G1684" s="87">
        <v>546</v>
      </c>
      <c r="H1684" s="88">
        <v>17838.658146964855</v>
      </c>
      <c r="I1684" s="89">
        <v>10</v>
      </c>
      <c r="J1684" s="90">
        <v>11167</v>
      </c>
      <c r="K1684" s="85">
        <v>1</v>
      </c>
      <c r="L1684" s="85">
        <v>127</v>
      </c>
      <c r="M1684" s="85">
        <v>0</v>
      </c>
      <c r="N1684" s="82" t="s">
        <v>11190</v>
      </c>
      <c r="O1684" s="83"/>
    </row>
    <row r="1685" spans="1:15" ht="22.5" customHeight="1">
      <c r="A1685" s="85">
        <v>174904221976312</v>
      </c>
      <c r="B1685" s="82" t="s">
        <v>10651</v>
      </c>
      <c r="C1685" s="82" t="s">
        <v>11191</v>
      </c>
      <c r="D1685" s="82" t="s">
        <v>1976</v>
      </c>
      <c r="E1685" s="82">
        <v>6282136273086</v>
      </c>
      <c r="F1685" s="86">
        <v>45847</v>
      </c>
      <c r="G1685" s="87">
        <v>299</v>
      </c>
      <c r="H1685" s="88">
        <v>31814.0243902439</v>
      </c>
      <c r="I1685" s="89">
        <v>8</v>
      </c>
      <c r="J1685" s="90">
        <v>10435</v>
      </c>
      <c r="K1685" s="85">
        <v>1</v>
      </c>
      <c r="L1685" s="85">
        <v>64</v>
      </c>
      <c r="M1685" s="85">
        <v>0</v>
      </c>
      <c r="N1685" s="82" t="s">
        <v>11192</v>
      </c>
      <c r="O1685" s="83"/>
    </row>
    <row r="1686" spans="1:15" ht="22.5" customHeight="1">
      <c r="A1686" s="85">
        <v>174904221976312</v>
      </c>
      <c r="B1686" s="82" t="s">
        <v>10651</v>
      </c>
      <c r="C1686" s="82" t="s">
        <v>11193</v>
      </c>
      <c r="D1686" s="82" t="s">
        <v>11194</v>
      </c>
      <c r="E1686" s="82">
        <v>6281779578317</v>
      </c>
      <c r="F1686" s="86">
        <v>45847</v>
      </c>
      <c r="G1686" s="87">
        <v>576</v>
      </c>
      <c r="H1686" s="88">
        <v>17988.96551724138</v>
      </c>
      <c r="I1686" s="89">
        <v>30</v>
      </c>
      <c r="J1686" s="90">
        <v>13042</v>
      </c>
      <c r="K1686" s="85">
        <v>8</v>
      </c>
      <c r="L1686" s="85">
        <v>167</v>
      </c>
      <c r="M1686" s="85">
        <v>0</v>
      </c>
      <c r="N1686" s="82" t="s">
        <v>11195</v>
      </c>
      <c r="O1686" s="83"/>
    </row>
    <row r="1687" spans="1:15" ht="22.5" customHeight="1">
      <c r="A1687" s="85">
        <v>174904221976312</v>
      </c>
      <c r="B1687" s="82" t="s">
        <v>10651</v>
      </c>
      <c r="C1687" s="82" t="s">
        <v>11196</v>
      </c>
      <c r="D1687" s="82" t="s">
        <v>11197</v>
      </c>
      <c r="E1687" s="82">
        <v>6281412281953</v>
      </c>
      <c r="F1687" s="86">
        <v>45847</v>
      </c>
      <c r="G1687" s="87">
        <v>597</v>
      </c>
      <c r="H1687" s="88">
        <v>18446.866485013627</v>
      </c>
      <c r="I1687" s="89">
        <v>46</v>
      </c>
      <c r="J1687" s="90">
        <v>13540</v>
      </c>
      <c r="K1687" s="85">
        <v>15</v>
      </c>
      <c r="L1687" s="85">
        <v>305</v>
      </c>
      <c r="M1687" s="85">
        <v>1</v>
      </c>
      <c r="N1687" s="82" t="s">
        <v>11198</v>
      </c>
      <c r="O1687" s="83"/>
    </row>
    <row r="1688" spans="1:15" ht="22.5" customHeight="1">
      <c r="A1688" s="85">
        <v>174904221976312</v>
      </c>
      <c r="B1688" s="82" t="s">
        <v>10651</v>
      </c>
      <c r="C1688" s="82" t="s">
        <v>11199</v>
      </c>
      <c r="D1688" s="82" t="s">
        <v>1961</v>
      </c>
      <c r="E1688" s="82">
        <v>6281212295448</v>
      </c>
      <c r="F1688" s="86">
        <v>45847</v>
      </c>
      <c r="G1688" s="87">
        <v>1056</v>
      </c>
      <c r="H1688" s="88">
        <v>10002.403846153848</v>
      </c>
      <c r="I1688" s="89">
        <v>50</v>
      </c>
      <c r="J1688" s="90">
        <v>12483</v>
      </c>
      <c r="K1688" s="85">
        <v>4</v>
      </c>
      <c r="L1688" s="85">
        <v>35</v>
      </c>
      <c r="M1688" s="85">
        <v>1</v>
      </c>
      <c r="N1688" s="82" t="s">
        <v>11200</v>
      </c>
      <c r="O1688" s="83"/>
    </row>
    <row r="1689" spans="1:15" ht="22.5" customHeight="1">
      <c r="A1689" s="85">
        <v>174904221976312</v>
      </c>
      <c r="B1689" s="82" t="s">
        <v>10651</v>
      </c>
      <c r="C1689" s="82" t="s">
        <v>11144</v>
      </c>
      <c r="D1689" s="82" t="s">
        <v>11145</v>
      </c>
      <c r="E1689" s="82">
        <v>6282128714101</v>
      </c>
      <c r="F1689" s="86">
        <v>45847</v>
      </c>
      <c r="G1689" s="87">
        <v>433</v>
      </c>
      <c r="H1689" s="88">
        <v>24001.886792452828</v>
      </c>
      <c r="I1689" s="89">
        <v>20</v>
      </c>
      <c r="J1689" s="90">
        <v>12721</v>
      </c>
      <c r="K1689" s="85">
        <v>2</v>
      </c>
      <c r="L1689" s="85">
        <v>122</v>
      </c>
      <c r="M1689" s="85">
        <v>0</v>
      </c>
      <c r="N1689" s="82" t="s">
        <v>11146</v>
      </c>
      <c r="O1689" s="83"/>
    </row>
    <row r="1690" spans="1:15" ht="22.5" customHeight="1">
      <c r="A1690" s="85">
        <v>174904221976312</v>
      </c>
      <c r="B1690" s="82" t="s">
        <v>10651</v>
      </c>
      <c r="C1690" s="82" t="s">
        <v>11147</v>
      </c>
      <c r="D1690" s="82" t="s">
        <v>11148</v>
      </c>
      <c r="E1690" s="82">
        <v>6281361879826</v>
      </c>
      <c r="F1690" s="86">
        <v>45847</v>
      </c>
      <c r="G1690" s="87">
        <v>377</v>
      </c>
      <c r="H1690" s="88">
        <v>29046.153846153848</v>
      </c>
      <c r="I1690" s="89">
        <v>2</v>
      </c>
      <c r="J1690" s="90">
        <v>13216</v>
      </c>
      <c r="K1690" s="85">
        <v>0</v>
      </c>
      <c r="L1690" s="85">
        <v>32</v>
      </c>
      <c r="M1690" s="85">
        <v>0</v>
      </c>
      <c r="N1690" s="82" t="s">
        <v>11149</v>
      </c>
      <c r="O1690" s="83"/>
    </row>
    <row r="1691" spans="1:15" ht="22.5" customHeight="1">
      <c r="A1691" s="85">
        <v>174904221976312</v>
      </c>
      <c r="B1691" s="82" t="s">
        <v>10651</v>
      </c>
      <c r="C1691" s="82" t="s">
        <v>11150</v>
      </c>
      <c r="D1691" s="82" t="s">
        <v>11151</v>
      </c>
      <c r="E1691" s="82">
        <v>6281237893904</v>
      </c>
      <c r="F1691" s="86">
        <v>45847</v>
      </c>
      <c r="G1691" s="87">
        <v>560</v>
      </c>
      <c r="H1691" s="88">
        <v>20270.998415213944</v>
      </c>
      <c r="I1691" s="89">
        <v>6</v>
      </c>
      <c r="J1691" s="90">
        <v>12791</v>
      </c>
      <c r="K1691" s="85">
        <v>1</v>
      </c>
      <c r="L1691" s="85">
        <v>70</v>
      </c>
      <c r="M1691" s="85">
        <v>0</v>
      </c>
      <c r="N1691" s="82" t="s">
        <v>11152</v>
      </c>
      <c r="O1691" s="83"/>
    </row>
    <row r="1692" spans="1:15" ht="22.5" customHeight="1">
      <c r="A1692" s="85">
        <v>174904221976312</v>
      </c>
      <c r="B1692" s="82" t="s">
        <v>10651</v>
      </c>
      <c r="C1692" s="82" t="s">
        <v>11153</v>
      </c>
      <c r="D1692" s="82" t="s">
        <v>11154</v>
      </c>
      <c r="E1692" s="82">
        <v>6285338137835</v>
      </c>
      <c r="F1692" s="86">
        <v>45847</v>
      </c>
      <c r="G1692" s="87">
        <v>886</v>
      </c>
      <c r="H1692" s="88">
        <v>11053.149606299214</v>
      </c>
      <c r="I1692" s="89">
        <v>18</v>
      </c>
      <c r="J1692" s="90">
        <v>11230</v>
      </c>
      <c r="K1692" s="85">
        <v>1</v>
      </c>
      <c r="L1692" s="85">
        <v>157</v>
      </c>
      <c r="M1692" s="85">
        <v>0</v>
      </c>
      <c r="N1692" s="82" t="s">
        <v>11155</v>
      </c>
      <c r="O1692" s="83"/>
    </row>
    <row r="1693" spans="1:15" ht="22.5" customHeight="1">
      <c r="A1693" s="85">
        <v>174904221976312</v>
      </c>
      <c r="B1693" s="82" t="s">
        <v>10651</v>
      </c>
      <c r="C1693" s="82" t="s">
        <v>11156</v>
      </c>
      <c r="D1693" s="82" t="s">
        <v>11157</v>
      </c>
      <c r="E1693" s="82">
        <v>6287754552859</v>
      </c>
      <c r="F1693" s="86">
        <v>45847</v>
      </c>
      <c r="G1693" s="87">
        <v>455</v>
      </c>
      <c r="H1693" s="88">
        <v>25348</v>
      </c>
      <c r="I1693" s="89">
        <v>9</v>
      </c>
      <c r="J1693" s="90">
        <v>12674</v>
      </c>
      <c r="K1693" s="85">
        <v>0</v>
      </c>
      <c r="L1693" s="85">
        <v>0</v>
      </c>
      <c r="M1693" s="85">
        <v>0</v>
      </c>
      <c r="N1693" s="82" t="s">
        <v>11158</v>
      </c>
      <c r="O1693" s="83"/>
    </row>
    <row r="1694" spans="1:15" ht="22.5" customHeight="1">
      <c r="A1694" s="85">
        <v>174904221976312</v>
      </c>
      <c r="B1694" s="82" t="s">
        <v>10651</v>
      </c>
      <c r="C1694" s="82" t="s">
        <v>11159</v>
      </c>
      <c r="D1694" s="82" t="s">
        <v>11160</v>
      </c>
      <c r="E1694" s="82">
        <v>6289635171849</v>
      </c>
      <c r="F1694" s="86">
        <v>45847</v>
      </c>
      <c r="G1694" s="87">
        <v>208</v>
      </c>
      <c r="H1694" s="88">
        <v>46445.378151260506</v>
      </c>
      <c r="I1694" s="89">
        <v>8</v>
      </c>
      <c r="J1694" s="90">
        <v>11054</v>
      </c>
      <c r="K1694" s="85">
        <v>1</v>
      </c>
      <c r="L1694" s="85">
        <v>61</v>
      </c>
      <c r="M1694" s="85">
        <v>0</v>
      </c>
      <c r="N1694" s="82" t="s">
        <v>11161</v>
      </c>
      <c r="O1694" s="83"/>
    </row>
    <row r="1695" spans="1:15" ht="22.5" customHeight="1">
      <c r="A1695" s="85">
        <v>174904221976312</v>
      </c>
      <c r="B1695" s="82" t="s">
        <v>10651</v>
      </c>
      <c r="C1695" s="82" t="s">
        <v>11162</v>
      </c>
      <c r="D1695" s="82" t="s">
        <v>11163</v>
      </c>
      <c r="E1695" s="82">
        <v>6283162052952</v>
      </c>
      <c r="F1695" s="86">
        <v>45847</v>
      </c>
      <c r="G1695" s="87">
        <v>247</v>
      </c>
      <c r="H1695" s="88">
        <v>42980.769230769234</v>
      </c>
      <c r="I1695" s="89">
        <v>10</v>
      </c>
      <c r="J1695" s="90">
        <v>11175</v>
      </c>
      <c r="K1695" s="85">
        <v>1</v>
      </c>
      <c r="L1695" s="85">
        <v>17</v>
      </c>
      <c r="M1695" s="85">
        <v>0</v>
      </c>
      <c r="N1695" s="82" t="s">
        <v>11164</v>
      </c>
      <c r="O1695" s="83"/>
    </row>
    <row r="1696" spans="1:15" ht="22.5" customHeight="1">
      <c r="A1696" s="85">
        <v>174904221976312</v>
      </c>
      <c r="B1696" s="82" t="s">
        <v>10651</v>
      </c>
      <c r="C1696" s="82" t="s">
        <v>11165</v>
      </c>
      <c r="D1696" s="82" t="s">
        <v>1759</v>
      </c>
      <c r="E1696" s="82">
        <v>6285311472244</v>
      </c>
      <c r="F1696" s="86">
        <v>45847</v>
      </c>
      <c r="G1696" s="87">
        <v>760</v>
      </c>
      <c r="H1696" s="88">
        <v>12990.615224191866</v>
      </c>
      <c r="I1696" s="89">
        <v>55</v>
      </c>
      <c r="J1696" s="90">
        <v>12458</v>
      </c>
      <c r="K1696" s="85">
        <v>3</v>
      </c>
      <c r="L1696" s="85">
        <v>440</v>
      </c>
      <c r="M1696" s="85">
        <v>2</v>
      </c>
      <c r="N1696" s="82" t="s">
        <v>11166</v>
      </c>
      <c r="O1696" s="83"/>
    </row>
    <row r="1697" spans="1:15" ht="22.5" customHeight="1">
      <c r="A1697" s="85">
        <v>174904221976312</v>
      </c>
      <c r="B1697" s="82" t="s">
        <v>10651</v>
      </c>
      <c r="C1697" s="82" t="s">
        <v>11133</v>
      </c>
      <c r="D1697" s="82" t="s">
        <v>11134</v>
      </c>
      <c r="E1697" s="82">
        <v>6285779532526</v>
      </c>
      <c r="F1697" s="86">
        <v>45847</v>
      </c>
      <c r="G1697" s="87">
        <v>380</v>
      </c>
      <c r="H1697" s="88">
        <v>27015.486725663715</v>
      </c>
      <c r="I1697" s="89">
        <v>9</v>
      </c>
      <c r="J1697" s="90">
        <v>12211</v>
      </c>
      <c r="K1697" s="85">
        <v>1</v>
      </c>
      <c r="L1697" s="85">
        <v>142</v>
      </c>
      <c r="M1697" s="85">
        <v>0</v>
      </c>
      <c r="N1697" s="82" t="s">
        <v>11135</v>
      </c>
      <c r="O1697" s="83"/>
    </row>
    <row r="1698" spans="1:15" ht="22.5" customHeight="1">
      <c r="A1698" s="85">
        <v>174904221976312</v>
      </c>
      <c r="B1698" s="82" t="s">
        <v>10651</v>
      </c>
      <c r="C1698" s="82" t="s">
        <v>11136</v>
      </c>
      <c r="D1698" s="82" t="s">
        <v>1710</v>
      </c>
      <c r="E1698" s="82">
        <v>6285702653554</v>
      </c>
      <c r="F1698" s="86">
        <v>45847</v>
      </c>
      <c r="G1698" s="87">
        <v>744</v>
      </c>
      <c r="H1698" s="88">
        <v>14553.235908141962</v>
      </c>
      <c r="I1698" s="89">
        <v>66</v>
      </c>
      <c r="J1698" s="90">
        <v>13942</v>
      </c>
      <c r="K1698" s="85">
        <v>6</v>
      </c>
      <c r="L1698" s="85">
        <v>20</v>
      </c>
      <c r="M1698" s="85">
        <v>1</v>
      </c>
      <c r="N1698" s="82" t="s">
        <v>11137</v>
      </c>
      <c r="O1698" s="83"/>
    </row>
    <row r="1699" spans="1:15" ht="22.5" customHeight="1">
      <c r="A1699" s="85">
        <v>174904221976312</v>
      </c>
      <c r="B1699" s="82" t="s">
        <v>10651</v>
      </c>
      <c r="C1699" s="82" t="s">
        <v>11114</v>
      </c>
      <c r="D1699" s="82" t="s">
        <v>11115</v>
      </c>
      <c r="E1699" s="82">
        <v>6281323910830</v>
      </c>
      <c r="F1699" s="86">
        <v>45847</v>
      </c>
      <c r="G1699" s="87">
        <v>1117</v>
      </c>
      <c r="H1699" s="88">
        <v>11612.794612794612</v>
      </c>
      <c r="I1699" s="89">
        <v>30</v>
      </c>
      <c r="J1699" s="90">
        <v>13796</v>
      </c>
      <c r="K1699" s="85">
        <v>2</v>
      </c>
      <c r="L1699" s="85">
        <v>8</v>
      </c>
      <c r="M1699" s="85">
        <v>0</v>
      </c>
      <c r="N1699" s="82" t="s">
        <v>11116</v>
      </c>
      <c r="O1699" s="83"/>
    </row>
    <row r="1700" spans="1:15" ht="22.5" customHeight="1">
      <c r="A1700" s="85">
        <v>174904221976312</v>
      </c>
      <c r="B1700" s="82" t="s">
        <v>10651</v>
      </c>
      <c r="C1700" s="82" t="s">
        <v>11117</v>
      </c>
      <c r="D1700" s="82" t="s">
        <v>11118</v>
      </c>
      <c r="E1700" s="82">
        <v>6282169851900</v>
      </c>
      <c r="F1700" s="86">
        <v>45847</v>
      </c>
      <c r="G1700" s="87">
        <v>1231</v>
      </c>
      <c r="H1700" s="88">
        <v>8997.3544973544977</v>
      </c>
      <c r="I1700" s="89">
        <v>29</v>
      </c>
      <c r="J1700" s="90">
        <v>13604</v>
      </c>
      <c r="K1700" s="85">
        <v>3</v>
      </c>
      <c r="L1700" s="85">
        <v>138</v>
      </c>
      <c r="M1700" s="85">
        <v>0</v>
      </c>
      <c r="N1700" s="82" t="s">
        <v>11119</v>
      </c>
      <c r="O1700" s="83"/>
    </row>
    <row r="1701" spans="1:15" ht="22.5" customHeight="1">
      <c r="A1701" s="85">
        <v>174904221976312</v>
      </c>
      <c r="B1701" s="82" t="s">
        <v>10651</v>
      </c>
      <c r="C1701" s="82" t="s">
        <v>11120</v>
      </c>
      <c r="D1701" s="82" t="s">
        <v>11121</v>
      </c>
      <c r="E1701" s="82">
        <v>6282125330919</v>
      </c>
      <c r="F1701" s="86">
        <v>45847</v>
      </c>
      <c r="G1701" s="87">
        <v>561</v>
      </c>
      <c r="H1701" s="88">
        <v>21306.37636080871</v>
      </c>
      <c r="I1701" s="89">
        <v>14</v>
      </c>
      <c r="J1701" s="90">
        <v>13700</v>
      </c>
      <c r="K1701" s="85">
        <v>0</v>
      </c>
      <c r="L1701" s="85">
        <v>0</v>
      </c>
      <c r="M1701" s="85">
        <v>0</v>
      </c>
      <c r="N1701" s="82" t="s">
        <v>11122</v>
      </c>
      <c r="O1701" s="83"/>
    </row>
    <row r="1702" spans="1:15" ht="22.5" customHeight="1">
      <c r="A1702" s="85">
        <v>174904221976312</v>
      </c>
      <c r="B1702" s="82" t="s">
        <v>10651</v>
      </c>
      <c r="C1702" s="82" t="s">
        <v>11123</v>
      </c>
      <c r="D1702" s="82" t="s">
        <v>11124</v>
      </c>
      <c r="E1702" s="82">
        <v>628111508569</v>
      </c>
      <c r="F1702" s="86">
        <v>45847</v>
      </c>
      <c r="G1702" s="87">
        <v>443</v>
      </c>
      <c r="H1702" s="88">
        <v>30441.056910569107</v>
      </c>
      <c r="I1702" s="89">
        <v>10</v>
      </c>
      <c r="J1702" s="90">
        <v>14977</v>
      </c>
      <c r="K1702" s="85">
        <v>2</v>
      </c>
      <c r="L1702" s="85">
        <v>0</v>
      </c>
      <c r="M1702" s="85">
        <v>1</v>
      </c>
      <c r="N1702" s="82" t="s">
        <v>11125</v>
      </c>
      <c r="O1702" s="83"/>
    </row>
    <row r="1703" spans="1:15" ht="22.5" customHeight="1">
      <c r="A1703" s="85">
        <v>174904221976312</v>
      </c>
      <c r="B1703" s="82" t="s">
        <v>10651</v>
      </c>
      <c r="C1703" s="82" t="s">
        <v>11087</v>
      </c>
      <c r="D1703" s="82" t="s">
        <v>11088</v>
      </c>
      <c r="E1703" s="82">
        <v>6282115608585</v>
      </c>
      <c r="F1703" s="86">
        <v>45847</v>
      </c>
      <c r="G1703" s="87">
        <v>634</v>
      </c>
      <c r="H1703" s="88">
        <v>18425.101214574897</v>
      </c>
      <c r="I1703" s="89">
        <v>55</v>
      </c>
      <c r="J1703" s="90">
        <v>13653</v>
      </c>
      <c r="K1703" s="85">
        <v>12</v>
      </c>
      <c r="L1703" s="85">
        <v>0</v>
      </c>
      <c r="M1703" s="85">
        <v>1</v>
      </c>
      <c r="N1703" s="82" t="s">
        <v>11089</v>
      </c>
      <c r="O1703" s="83"/>
    </row>
    <row r="1704" spans="1:15" ht="22.5" customHeight="1">
      <c r="A1704" s="85">
        <v>174904221976312</v>
      </c>
      <c r="B1704" s="82" t="s">
        <v>10651</v>
      </c>
      <c r="C1704" s="82" t="s">
        <v>11090</v>
      </c>
      <c r="D1704" s="82" t="s">
        <v>11091</v>
      </c>
      <c r="E1704" s="82">
        <v>6282192773278</v>
      </c>
      <c r="F1704" s="86">
        <v>45847</v>
      </c>
      <c r="G1704" s="87">
        <v>1875</v>
      </c>
      <c r="H1704" s="88">
        <v>7201.6088486676726</v>
      </c>
      <c r="I1704" s="89">
        <v>118</v>
      </c>
      <c r="J1704" s="90">
        <v>14324</v>
      </c>
      <c r="K1704" s="85">
        <v>11</v>
      </c>
      <c r="L1704" s="85">
        <v>809</v>
      </c>
      <c r="M1704" s="85">
        <v>0</v>
      </c>
      <c r="N1704" s="82" t="s">
        <v>11092</v>
      </c>
      <c r="O1704" s="83"/>
    </row>
    <row r="1705" spans="1:15" ht="22.5" customHeight="1">
      <c r="A1705" s="85">
        <v>174904221976312</v>
      </c>
      <c r="B1705" s="82" t="s">
        <v>10651</v>
      </c>
      <c r="C1705" s="82" t="s">
        <v>11093</v>
      </c>
      <c r="D1705" s="82" t="s">
        <v>11094</v>
      </c>
      <c r="E1705" s="82">
        <v>6282227027805</v>
      </c>
      <c r="F1705" s="86">
        <v>45847</v>
      </c>
      <c r="G1705" s="87">
        <v>340</v>
      </c>
      <c r="H1705" s="88">
        <v>37476.190476190473</v>
      </c>
      <c r="I1705" s="89">
        <v>17</v>
      </c>
      <c r="J1705" s="90">
        <v>14166</v>
      </c>
      <c r="K1705" s="85">
        <v>3</v>
      </c>
      <c r="L1705" s="85">
        <v>176</v>
      </c>
      <c r="M1705" s="85">
        <v>0</v>
      </c>
      <c r="N1705" s="82" t="s">
        <v>11095</v>
      </c>
      <c r="O1705" s="83"/>
    </row>
    <row r="1706" spans="1:15" ht="22.5" customHeight="1">
      <c r="A1706" s="85">
        <v>174904221976312</v>
      </c>
      <c r="B1706" s="82" t="s">
        <v>10651</v>
      </c>
      <c r="C1706" s="82" t="s">
        <v>11096</v>
      </c>
      <c r="D1706" s="82" t="s">
        <v>11097</v>
      </c>
      <c r="E1706" s="82">
        <v>6285727410479</v>
      </c>
      <c r="F1706" s="86">
        <v>45847</v>
      </c>
      <c r="G1706" s="87">
        <v>461</v>
      </c>
      <c r="H1706" s="88">
        <v>25592.592592592591</v>
      </c>
      <c r="I1706" s="89">
        <v>17</v>
      </c>
      <c r="J1706" s="90">
        <v>13820</v>
      </c>
      <c r="K1706" s="85">
        <v>2</v>
      </c>
      <c r="L1706" s="85">
        <v>118</v>
      </c>
      <c r="M1706" s="85">
        <v>0</v>
      </c>
      <c r="N1706" s="82" t="s">
        <v>11167</v>
      </c>
      <c r="O1706" s="83"/>
    </row>
    <row r="1707" spans="1:15" ht="22.5" customHeight="1">
      <c r="A1707" s="85">
        <v>174904221976312</v>
      </c>
      <c r="B1707" s="82" t="s">
        <v>10651</v>
      </c>
      <c r="C1707" s="82" t="s">
        <v>11127</v>
      </c>
      <c r="D1707" s="82" t="s">
        <v>11128</v>
      </c>
      <c r="E1707" s="82">
        <v>6281355026552</v>
      </c>
      <c r="F1707" s="86">
        <v>45847</v>
      </c>
      <c r="G1707" s="87">
        <v>948</v>
      </c>
      <c r="H1707" s="88">
        <v>13989.603024574668</v>
      </c>
      <c r="I1707" s="89">
        <v>75</v>
      </c>
      <c r="J1707" s="90">
        <v>14801</v>
      </c>
      <c r="K1707" s="85">
        <v>8</v>
      </c>
      <c r="L1707" s="85">
        <v>258</v>
      </c>
      <c r="M1707" s="85">
        <v>0</v>
      </c>
      <c r="N1707" s="82" t="s">
        <v>11129</v>
      </c>
      <c r="O1707" s="83"/>
    </row>
    <row r="1708" spans="1:15" ht="22.5" customHeight="1">
      <c r="A1708" s="85">
        <v>174904221976312</v>
      </c>
      <c r="B1708" s="82" t="s">
        <v>10651</v>
      </c>
      <c r="C1708" s="82" t="s">
        <v>11099</v>
      </c>
      <c r="D1708" s="82" t="s">
        <v>11100</v>
      </c>
      <c r="E1708" s="82">
        <v>6281352626888</v>
      </c>
      <c r="F1708" s="86">
        <v>45847</v>
      </c>
      <c r="G1708" s="87">
        <v>1056</v>
      </c>
      <c r="H1708" s="88">
        <v>11161.051766639277</v>
      </c>
      <c r="I1708" s="89">
        <v>27</v>
      </c>
      <c r="J1708" s="90">
        <v>13583</v>
      </c>
      <c r="K1708" s="85">
        <v>6</v>
      </c>
      <c r="L1708" s="85">
        <v>46</v>
      </c>
      <c r="M1708" s="85">
        <v>0</v>
      </c>
      <c r="N1708" s="82" t="s">
        <v>11101</v>
      </c>
      <c r="O1708" s="83"/>
    </row>
    <row r="1709" spans="1:15" ht="22.5" customHeight="1">
      <c r="A1709" s="85">
        <v>174904221976312</v>
      </c>
      <c r="B1709" s="82" t="s">
        <v>10651</v>
      </c>
      <c r="C1709" s="82" t="s">
        <v>11002</v>
      </c>
      <c r="D1709" s="82" t="s">
        <v>11003</v>
      </c>
      <c r="E1709" s="82">
        <v>6288228976100</v>
      </c>
      <c r="F1709" s="86">
        <v>45847</v>
      </c>
      <c r="G1709" s="87">
        <v>236</v>
      </c>
      <c r="H1709" s="88">
        <v>41578.947368421053</v>
      </c>
      <c r="I1709" s="89">
        <v>10</v>
      </c>
      <c r="J1709" s="90">
        <v>12640</v>
      </c>
      <c r="K1709" s="85">
        <v>1</v>
      </c>
      <c r="L1709" s="85">
        <v>0</v>
      </c>
      <c r="M1709" s="85">
        <v>0</v>
      </c>
      <c r="N1709" s="82" t="s">
        <v>11004</v>
      </c>
      <c r="O1709" s="83"/>
    </row>
    <row r="1710" spans="1:15" ht="22.5" customHeight="1">
      <c r="A1710" s="85">
        <v>174904221976312</v>
      </c>
      <c r="B1710" s="82" t="s">
        <v>10651</v>
      </c>
      <c r="C1710" s="82" t="s">
        <v>10943</v>
      </c>
      <c r="D1710" s="82" t="s">
        <v>10944</v>
      </c>
      <c r="E1710" s="82">
        <v>6285240694097</v>
      </c>
      <c r="F1710" s="86">
        <v>45847</v>
      </c>
      <c r="G1710" s="87">
        <v>855</v>
      </c>
      <c r="H1710" s="88">
        <v>11870.3007518797</v>
      </c>
      <c r="I1710" s="89">
        <v>24</v>
      </c>
      <c r="J1710" s="90">
        <v>12630</v>
      </c>
      <c r="K1710" s="85">
        <v>1</v>
      </c>
      <c r="L1710" s="85">
        <v>130</v>
      </c>
      <c r="M1710" s="85">
        <v>1</v>
      </c>
      <c r="N1710" s="82" t="s">
        <v>10945</v>
      </c>
      <c r="O1710" s="83"/>
    </row>
    <row r="1711" spans="1:15" ht="22.5" customHeight="1">
      <c r="A1711" s="85">
        <v>174904221976312</v>
      </c>
      <c r="B1711" s="82" t="s">
        <v>10651</v>
      </c>
      <c r="C1711" s="82" t="s">
        <v>10853</v>
      </c>
      <c r="D1711" s="82" t="s">
        <v>10854</v>
      </c>
      <c r="E1711" s="82">
        <v>6281393958199</v>
      </c>
      <c r="F1711" s="86">
        <v>45847</v>
      </c>
      <c r="G1711" s="87">
        <v>518</v>
      </c>
      <c r="H1711" s="88">
        <v>18685.185185185186</v>
      </c>
      <c r="I1711" s="89">
        <v>15</v>
      </c>
      <c r="J1711" s="90">
        <v>11099</v>
      </c>
      <c r="K1711" s="85">
        <v>2</v>
      </c>
      <c r="L1711" s="85">
        <v>180</v>
      </c>
      <c r="M1711" s="85">
        <v>1</v>
      </c>
      <c r="N1711" s="82" t="s">
        <v>10855</v>
      </c>
      <c r="O1711" s="83"/>
    </row>
    <row r="1712" spans="1:15" ht="22.5" customHeight="1">
      <c r="A1712" s="85">
        <v>174904221976312</v>
      </c>
      <c r="B1712" s="82" t="s">
        <v>10651</v>
      </c>
      <c r="C1712" s="82" t="s">
        <v>818</v>
      </c>
      <c r="D1712" s="82" t="s">
        <v>812</v>
      </c>
      <c r="E1712" s="82">
        <v>6287858585808</v>
      </c>
      <c r="F1712" s="86">
        <v>45847</v>
      </c>
      <c r="G1712" s="87">
        <v>835</v>
      </c>
      <c r="H1712" s="88">
        <v>13501.046025104604</v>
      </c>
      <c r="I1712" s="89">
        <v>26</v>
      </c>
      <c r="J1712" s="90">
        <v>12907</v>
      </c>
      <c r="K1712" s="85">
        <v>1</v>
      </c>
      <c r="L1712" s="85">
        <v>243</v>
      </c>
      <c r="M1712" s="85">
        <v>0</v>
      </c>
      <c r="N1712" s="82" t="s">
        <v>10831</v>
      </c>
      <c r="O1712" s="83"/>
    </row>
    <row r="1713" spans="1:15" ht="22.5" customHeight="1">
      <c r="A1713" s="85">
        <v>174904221976312</v>
      </c>
      <c r="B1713" s="82" t="s">
        <v>10651</v>
      </c>
      <c r="C1713" s="82" t="s">
        <v>10655</v>
      </c>
      <c r="D1713" s="82" t="s">
        <v>3908</v>
      </c>
      <c r="E1713" s="82">
        <v>6285376667233</v>
      </c>
      <c r="F1713" s="86">
        <v>45847</v>
      </c>
      <c r="G1713" s="87">
        <v>744</v>
      </c>
      <c r="H1713" s="88">
        <v>15694.158075601374</v>
      </c>
      <c r="I1713" s="89">
        <v>29</v>
      </c>
      <c r="J1713" s="90">
        <v>13701</v>
      </c>
      <c r="K1713" s="85">
        <v>5</v>
      </c>
      <c r="L1713" s="85">
        <v>279</v>
      </c>
      <c r="M1713" s="85">
        <v>0</v>
      </c>
      <c r="N1713" s="82" t="s">
        <v>10656</v>
      </c>
      <c r="O1713" s="83"/>
    </row>
    <row r="1714" spans="1:15" ht="22.5" customHeight="1">
      <c r="A1714" s="85">
        <v>174904221976312</v>
      </c>
      <c r="B1714" s="82" t="s">
        <v>10651</v>
      </c>
      <c r="C1714" s="82" t="s">
        <v>10659</v>
      </c>
      <c r="D1714" s="82" t="s">
        <v>1044</v>
      </c>
      <c r="E1714" s="82">
        <v>6281263113266</v>
      </c>
      <c r="F1714" s="86">
        <v>45847</v>
      </c>
      <c r="G1714" s="87">
        <v>1588</v>
      </c>
      <c r="H1714" s="88">
        <v>9223.5163616195241</v>
      </c>
      <c r="I1714" s="89">
        <v>38</v>
      </c>
      <c r="J1714" s="90">
        <v>16630</v>
      </c>
      <c r="K1714" s="85">
        <v>2</v>
      </c>
      <c r="L1714" s="85">
        <v>87</v>
      </c>
      <c r="M1714" s="85">
        <v>1</v>
      </c>
      <c r="N1714" s="82" t="s">
        <v>10660</v>
      </c>
      <c r="O1714" s="83"/>
    </row>
    <row r="1715" spans="1:15" ht="22.5" customHeight="1">
      <c r="A1715" s="85">
        <v>174904221976312</v>
      </c>
      <c r="B1715" s="82" t="s">
        <v>10651</v>
      </c>
      <c r="C1715" s="82" t="s">
        <v>11078</v>
      </c>
      <c r="D1715" s="82" t="s">
        <v>3140</v>
      </c>
      <c r="E1715" s="82"/>
      <c r="F1715" s="86">
        <v>45847</v>
      </c>
      <c r="G1715" s="87">
        <v>4188</v>
      </c>
      <c r="H1715" s="88">
        <v>2493.572263342423</v>
      </c>
      <c r="I1715" s="89">
        <v>91</v>
      </c>
      <c r="J1715" s="90">
        <v>12802</v>
      </c>
      <c r="K1715" s="85">
        <v>6</v>
      </c>
      <c r="L1715" s="85">
        <v>36</v>
      </c>
      <c r="M1715" s="85">
        <v>0</v>
      </c>
      <c r="N1715" s="82" t="s">
        <v>11079</v>
      </c>
      <c r="O1715" s="83"/>
    </row>
    <row r="1716" spans="1:15" ht="22.5" customHeight="1">
      <c r="A1716" s="85">
        <v>174904221976312</v>
      </c>
      <c r="B1716" s="82" t="s">
        <v>10651</v>
      </c>
      <c r="C1716" s="82" t="s">
        <v>10731</v>
      </c>
      <c r="D1716" s="82" t="s">
        <v>10732</v>
      </c>
      <c r="E1716" s="82">
        <v>6281241440688</v>
      </c>
      <c r="F1716" s="86">
        <v>45847</v>
      </c>
      <c r="G1716" s="87">
        <v>958</v>
      </c>
      <c r="H1716" s="88">
        <v>7756.628787878788</v>
      </c>
      <c r="I1716" s="89">
        <v>6</v>
      </c>
      <c r="J1716" s="90">
        <v>8191</v>
      </c>
      <c r="K1716" s="85">
        <v>0</v>
      </c>
      <c r="L1716" s="85">
        <v>141</v>
      </c>
      <c r="M1716" s="85">
        <v>0</v>
      </c>
      <c r="N1716" s="82" t="s">
        <v>10733</v>
      </c>
      <c r="O1716" s="83"/>
    </row>
    <row r="1717" spans="1:15" ht="22.5" customHeight="1">
      <c r="A1717" s="85">
        <v>174904221976312</v>
      </c>
      <c r="B1717" s="82" t="s">
        <v>10651</v>
      </c>
      <c r="C1717" s="82" t="s">
        <v>11168</v>
      </c>
      <c r="D1717" s="82" t="s">
        <v>11169</v>
      </c>
      <c r="E1717" s="82">
        <v>628115424402</v>
      </c>
      <c r="F1717" s="86">
        <v>45847</v>
      </c>
      <c r="G1717" s="87">
        <v>662</v>
      </c>
      <c r="H1717" s="88">
        <v>18839.331619537275</v>
      </c>
      <c r="I1717" s="89">
        <v>53</v>
      </c>
      <c r="J1717" s="90">
        <v>14657</v>
      </c>
      <c r="K1717" s="85">
        <v>4</v>
      </c>
      <c r="L1717" s="85">
        <v>213</v>
      </c>
      <c r="M1717" s="85">
        <v>2</v>
      </c>
      <c r="N1717" s="82" t="s">
        <v>11170</v>
      </c>
      <c r="O1717" s="83"/>
    </row>
    <row r="1718" spans="1:15" ht="22.5" customHeight="1">
      <c r="A1718" s="85">
        <v>766589657993298</v>
      </c>
      <c r="B1718" s="82" t="s">
        <v>10688</v>
      </c>
      <c r="C1718" s="82" t="s">
        <v>11201</v>
      </c>
      <c r="D1718" s="82" t="s">
        <v>11202</v>
      </c>
      <c r="E1718" s="82"/>
      <c r="F1718" s="86">
        <v>45847</v>
      </c>
      <c r="G1718" s="87">
        <v>4188</v>
      </c>
      <c r="H1718" s="88">
        <v>10459.019901562166</v>
      </c>
      <c r="I1718" s="89">
        <v>60</v>
      </c>
      <c r="J1718" s="90">
        <v>48875</v>
      </c>
      <c r="K1718" s="85">
        <v>6</v>
      </c>
      <c r="L1718" s="85">
        <v>137</v>
      </c>
      <c r="M1718" s="85">
        <v>0</v>
      </c>
      <c r="N1718" s="82" t="s">
        <v>11203</v>
      </c>
      <c r="O1718" s="83"/>
    </row>
    <row r="1719" spans="1:15" ht="22.5" customHeight="1">
      <c r="A1719" s="85">
        <v>766589657993298</v>
      </c>
      <c r="B1719" s="82" t="s">
        <v>10688</v>
      </c>
      <c r="C1719" s="82" t="s">
        <v>11204</v>
      </c>
      <c r="D1719" s="82" t="s">
        <v>11205</v>
      </c>
      <c r="E1719" s="82">
        <v>628112999165</v>
      </c>
      <c r="F1719" s="86">
        <v>45847</v>
      </c>
      <c r="G1719" s="87">
        <v>395</v>
      </c>
      <c r="H1719" s="88">
        <v>29753.564154786152</v>
      </c>
      <c r="I1719" s="89">
        <v>7</v>
      </c>
      <c r="J1719" s="90">
        <v>14609</v>
      </c>
      <c r="K1719" s="85">
        <v>1</v>
      </c>
      <c r="L1719" s="85">
        <v>43</v>
      </c>
      <c r="M1719" s="85">
        <v>0</v>
      </c>
      <c r="N1719" s="82" t="s">
        <v>11206</v>
      </c>
      <c r="O1719" s="83"/>
    </row>
    <row r="1720" spans="1:15" ht="22.5" customHeight="1">
      <c r="A1720" s="85">
        <v>766589657993298</v>
      </c>
      <c r="B1720" s="82" t="s">
        <v>10688</v>
      </c>
      <c r="C1720" s="82" t="s">
        <v>11207</v>
      </c>
      <c r="D1720" s="82" t="s">
        <v>11208</v>
      </c>
      <c r="E1720" s="82">
        <v>6282111180648</v>
      </c>
      <c r="F1720" s="86">
        <v>45847</v>
      </c>
      <c r="G1720" s="87">
        <v>307</v>
      </c>
      <c r="H1720" s="88">
        <v>39449.591280653949</v>
      </c>
      <c r="I1720" s="89">
        <v>14</v>
      </c>
      <c r="J1720" s="90">
        <v>14478</v>
      </c>
      <c r="K1720" s="85">
        <v>1</v>
      </c>
      <c r="L1720" s="85">
        <v>29</v>
      </c>
      <c r="M1720" s="85">
        <v>0</v>
      </c>
      <c r="N1720" s="82" t="s">
        <v>11209</v>
      </c>
      <c r="O1720" s="83"/>
    </row>
    <row r="1721" spans="1:15" ht="22.5" customHeight="1">
      <c r="A1721" s="85">
        <v>766589657993298</v>
      </c>
      <c r="B1721" s="82" t="s">
        <v>10688</v>
      </c>
      <c r="C1721" s="82" t="s">
        <v>11171</v>
      </c>
      <c r="D1721" s="82" t="s">
        <v>11172</v>
      </c>
      <c r="E1721" s="82">
        <v>6281214999292</v>
      </c>
      <c r="F1721" s="86">
        <v>45847</v>
      </c>
      <c r="G1721" s="87">
        <v>208</v>
      </c>
      <c r="H1721" s="88">
        <v>64008.438818565395</v>
      </c>
      <c r="I1721" s="89">
        <v>4</v>
      </c>
      <c r="J1721" s="90">
        <v>15170</v>
      </c>
      <c r="K1721" s="85">
        <v>1</v>
      </c>
      <c r="L1721" s="85">
        <v>67</v>
      </c>
      <c r="M1721" s="85">
        <v>0</v>
      </c>
      <c r="N1721" s="82" t="s">
        <v>11173</v>
      </c>
      <c r="O1721" s="83"/>
    </row>
    <row r="1722" spans="1:15" ht="22.5" customHeight="1">
      <c r="A1722" s="85">
        <v>766589657993298</v>
      </c>
      <c r="B1722" s="82" t="s">
        <v>10688</v>
      </c>
      <c r="C1722" s="82" t="s">
        <v>11174</v>
      </c>
      <c r="D1722" s="82" t="s">
        <v>11175</v>
      </c>
      <c r="E1722" s="82">
        <v>6282184019830</v>
      </c>
      <c r="F1722" s="86">
        <v>45847</v>
      </c>
      <c r="G1722" s="87">
        <v>360</v>
      </c>
      <c r="H1722" s="88">
        <v>38785.714285714283</v>
      </c>
      <c r="I1722" s="89">
        <v>10</v>
      </c>
      <c r="J1722" s="90">
        <v>15204</v>
      </c>
      <c r="K1722" s="85">
        <v>1</v>
      </c>
      <c r="L1722" s="85">
        <v>102</v>
      </c>
      <c r="M1722" s="85">
        <v>0</v>
      </c>
      <c r="N1722" s="82" t="s">
        <v>11176</v>
      </c>
      <c r="O1722" s="83"/>
    </row>
    <row r="1723" spans="1:15" ht="22.5" customHeight="1">
      <c r="A1723" s="85">
        <v>766589657993298</v>
      </c>
      <c r="B1723" s="82" t="s">
        <v>10688</v>
      </c>
      <c r="C1723" s="82" t="s">
        <v>11177</v>
      </c>
      <c r="D1723" s="82" t="s">
        <v>11178</v>
      </c>
      <c r="E1723" s="82">
        <v>6281351666729</v>
      </c>
      <c r="F1723" s="86">
        <v>45847</v>
      </c>
      <c r="G1723" s="87">
        <v>608</v>
      </c>
      <c r="H1723" s="88">
        <v>20759.668508287294</v>
      </c>
      <c r="I1723" s="89">
        <v>16</v>
      </c>
      <c r="J1723" s="90">
        <v>15030</v>
      </c>
      <c r="K1723" s="85">
        <v>1</v>
      </c>
      <c r="L1723" s="85">
        <v>250</v>
      </c>
      <c r="M1723" s="85">
        <v>0</v>
      </c>
      <c r="N1723" s="82" t="s">
        <v>11179</v>
      </c>
      <c r="O1723" s="83"/>
    </row>
    <row r="1724" spans="1:15" ht="22.5" customHeight="1">
      <c r="A1724" s="85">
        <v>766589657993298</v>
      </c>
      <c r="B1724" s="82" t="s">
        <v>10688</v>
      </c>
      <c r="C1724" s="82" t="s">
        <v>11180</v>
      </c>
      <c r="D1724" s="82" t="s">
        <v>11181</v>
      </c>
      <c r="E1724" s="82">
        <v>62895800343940</v>
      </c>
      <c r="F1724" s="86">
        <v>45847</v>
      </c>
      <c r="G1724" s="87">
        <v>683</v>
      </c>
      <c r="H1724" s="88">
        <v>18588.09523809524</v>
      </c>
      <c r="I1724" s="89">
        <v>23</v>
      </c>
      <c r="J1724" s="90">
        <v>15614</v>
      </c>
      <c r="K1724" s="85">
        <v>5</v>
      </c>
      <c r="L1724" s="85">
        <v>52</v>
      </c>
      <c r="M1724" s="85">
        <v>0</v>
      </c>
      <c r="N1724" s="82" t="s">
        <v>11182</v>
      </c>
      <c r="O1724" s="83"/>
    </row>
    <row r="1725" spans="1:15" ht="22.5" customHeight="1">
      <c r="A1725" s="85">
        <v>766589657993298</v>
      </c>
      <c r="B1725" s="82" t="s">
        <v>10688</v>
      </c>
      <c r="C1725" s="82" t="s">
        <v>11139</v>
      </c>
      <c r="D1725" s="82" t="s">
        <v>11140</v>
      </c>
      <c r="E1725" s="82"/>
      <c r="F1725" s="86">
        <v>45847</v>
      </c>
      <c r="G1725" s="87">
        <v>560</v>
      </c>
      <c r="H1725" s="88">
        <v>28391.666666666664</v>
      </c>
      <c r="I1725" s="89">
        <v>9</v>
      </c>
      <c r="J1725" s="90">
        <v>17035</v>
      </c>
      <c r="K1725" s="85">
        <v>0</v>
      </c>
      <c r="L1725" s="85">
        <v>9</v>
      </c>
      <c r="M1725" s="85">
        <v>0</v>
      </c>
      <c r="N1725" s="82" t="s">
        <v>11141</v>
      </c>
      <c r="O1725" s="83"/>
    </row>
    <row r="1726" spans="1:15" ht="22.5" customHeight="1">
      <c r="A1726" s="85">
        <v>766589657993298</v>
      </c>
      <c r="B1726" s="82" t="s">
        <v>10688</v>
      </c>
      <c r="C1726" s="82" t="s">
        <v>11142</v>
      </c>
      <c r="D1726" s="82" t="s">
        <v>10980</v>
      </c>
      <c r="E1726" s="82">
        <v>6285715856120</v>
      </c>
      <c r="F1726" s="86">
        <v>45847</v>
      </c>
      <c r="G1726" s="87">
        <v>791</v>
      </c>
      <c r="H1726" s="88">
        <v>18663.573085846867</v>
      </c>
      <c r="I1726" s="89">
        <v>34</v>
      </c>
      <c r="J1726" s="90">
        <v>16088</v>
      </c>
      <c r="K1726" s="85">
        <v>11</v>
      </c>
      <c r="L1726" s="85">
        <v>287</v>
      </c>
      <c r="M1726" s="85">
        <v>0</v>
      </c>
      <c r="N1726" s="82" t="s">
        <v>11143</v>
      </c>
      <c r="O1726" s="83"/>
    </row>
    <row r="1727" spans="1:15" ht="22.5" customHeight="1">
      <c r="A1727" s="85">
        <v>766589657993298</v>
      </c>
      <c r="B1727" s="82" t="s">
        <v>10688</v>
      </c>
      <c r="C1727" s="82" t="s">
        <v>11103</v>
      </c>
      <c r="D1727" s="82" t="s">
        <v>11104</v>
      </c>
      <c r="E1727" s="82">
        <v>6282124027899</v>
      </c>
      <c r="F1727" s="86">
        <v>45847</v>
      </c>
      <c r="G1727" s="87">
        <v>1993</v>
      </c>
      <c r="H1727" s="88">
        <v>6687.1681415929206</v>
      </c>
      <c r="I1727" s="89">
        <v>49</v>
      </c>
      <c r="J1727" s="90">
        <v>15113</v>
      </c>
      <c r="K1727" s="85">
        <v>3</v>
      </c>
      <c r="L1727" s="85">
        <v>512</v>
      </c>
      <c r="M1727" s="85">
        <v>0</v>
      </c>
      <c r="N1727" s="82" t="s">
        <v>11105</v>
      </c>
      <c r="O1727" s="83"/>
    </row>
    <row r="1728" spans="1:15" ht="22.5" customHeight="1">
      <c r="A1728" s="85">
        <v>766589657993298</v>
      </c>
      <c r="B1728" s="82" t="s">
        <v>10688</v>
      </c>
      <c r="C1728" s="82" t="s">
        <v>11106</v>
      </c>
      <c r="D1728" s="82" t="s">
        <v>1632</v>
      </c>
      <c r="E1728" s="82">
        <v>6281290414113</v>
      </c>
      <c r="F1728" s="86">
        <v>45847</v>
      </c>
      <c r="G1728" s="87">
        <v>387</v>
      </c>
      <c r="H1728" s="88">
        <v>38970.114942528737</v>
      </c>
      <c r="I1728" s="89">
        <v>25</v>
      </c>
      <c r="J1728" s="90">
        <v>16952</v>
      </c>
      <c r="K1728" s="85">
        <v>1</v>
      </c>
      <c r="L1728" s="85">
        <v>55</v>
      </c>
      <c r="M1728" s="85">
        <v>0</v>
      </c>
      <c r="N1728" s="82" t="s">
        <v>11107</v>
      </c>
      <c r="O1728" s="83"/>
    </row>
    <row r="1729" spans="1:15" ht="22.5" customHeight="1">
      <c r="A1729" s="85">
        <v>766589657993298</v>
      </c>
      <c r="B1729" s="82" t="s">
        <v>10688</v>
      </c>
      <c r="C1729" s="82" t="s">
        <v>11108</v>
      </c>
      <c r="D1729" s="82" t="s">
        <v>11109</v>
      </c>
      <c r="E1729" s="82">
        <v>62818763108</v>
      </c>
      <c r="F1729" s="86">
        <v>45847</v>
      </c>
      <c r="G1729" s="87">
        <v>498</v>
      </c>
      <c r="H1729" s="88">
        <v>28305.410122164049</v>
      </c>
      <c r="I1729" s="89">
        <v>8</v>
      </c>
      <c r="J1729" s="90">
        <v>16219</v>
      </c>
      <c r="K1729" s="85">
        <v>1</v>
      </c>
      <c r="L1729" s="85">
        <v>0</v>
      </c>
      <c r="M1729" s="85">
        <v>0</v>
      </c>
      <c r="N1729" s="82" t="s">
        <v>11110</v>
      </c>
      <c r="O1729" s="83"/>
    </row>
    <row r="1730" spans="1:15" ht="22.5" customHeight="1">
      <c r="A1730" s="85">
        <v>766589657993298</v>
      </c>
      <c r="B1730" s="82" t="s">
        <v>10688</v>
      </c>
      <c r="C1730" s="82" t="s">
        <v>11053</v>
      </c>
      <c r="D1730" s="82" t="s">
        <v>1579</v>
      </c>
      <c r="E1730" s="82">
        <v>6285647189964</v>
      </c>
      <c r="F1730" s="86">
        <v>45847</v>
      </c>
      <c r="G1730" s="87">
        <v>779</v>
      </c>
      <c r="H1730" s="88">
        <v>26737.76662484316</v>
      </c>
      <c r="I1730" s="89">
        <v>6</v>
      </c>
      <c r="J1730" s="90">
        <v>21310</v>
      </c>
      <c r="K1730" s="85">
        <v>0</v>
      </c>
      <c r="L1730" s="85">
        <v>111</v>
      </c>
      <c r="M1730" s="85">
        <v>0</v>
      </c>
      <c r="N1730" s="82" t="s">
        <v>11054</v>
      </c>
      <c r="O1730" s="83"/>
    </row>
    <row r="1731" spans="1:15" ht="22.5" customHeight="1">
      <c r="A1731" s="85">
        <v>766589657993298</v>
      </c>
      <c r="B1731" s="82" t="s">
        <v>10688</v>
      </c>
      <c r="C1731" s="82" t="s">
        <v>11026</v>
      </c>
      <c r="D1731" s="82" t="s">
        <v>1172</v>
      </c>
      <c r="E1731" s="82">
        <v>6285950836788</v>
      </c>
      <c r="F1731" s="86">
        <v>45847</v>
      </c>
      <c r="G1731" s="87">
        <v>359</v>
      </c>
      <c r="H1731" s="88">
        <v>39741.514360313318</v>
      </c>
      <c r="I1731" s="89">
        <v>8</v>
      </c>
      <c r="J1731" s="90">
        <v>15221</v>
      </c>
      <c r="K1731" s="85">
        <v>3</v>
      </c>
      <c r="L1731" s="85">
        <v>101</v>
      </c>
      <c r="M1731" s="85">
        <v>0</v>
      </c>
      <c r="N1731" s="82" t="s">
        <v>11027</v>
      </c>
      <c r="O1731" s="83"/>
    </row>
    <row r="1732" spans="1:15" ht="22.5" customHeight="1">
      <c r="A1732" s="85">
        <v>766589657993298</v>
      </c>
      <c r="B1732" s="82" t="s">
        <v>10688</v>
      </c>
      <c r="C1732" s="82" t="s">
        <v>11028</v>
      </c>
      <c r="D1732" s="82" t="s">
        <v>11029</v>
      </c>
      <c r="E1732" s="82">
        <v>6282338171577</v>
      </c>
      <c r="F1732" s="86">
        <v>45847</v>
      </c>
      <c r="G1732" s="87">
        <v>1107</v>
      </c>
      <c r="H1732" s="88">
        <v>11243.73576309795</v>
      </c>
      <c r="I1732" s="89">
        <v>37</v>
      </c>
      <c r="J1732" s="90">
        <v>14808</v>
      </c>
      <c r="K1732" s="85">
        <v>2</v>
      </c>
      <c r="L1732" s="85">
        <v>430</v>
      </c>
      <c r="M1732" s="85">
        <v>0</v>
      </c>
      <c r="N1732" s="82" t="s">
        <v>11030</v>
      </c>
      <c r="O1732" s="83"/>
    </row>
    <row r="1733" spans="1:15" ht="22.5" customHeight="1">
      <c r="A1733" s="85">
        <v>766589657993298</v>
      </c>
      <c r="B1733" s="82" t="s">
        <v>10688</v>
      </c>
      <c r="C1733" s="82" t="s">
        <v>10976</v>
      </c>
      <c r="D1733" s="82" t="s">
        <v>10977</v>
      </c>
      <c r="E1733" s="82">
        <v>6281138301069</v>
      </c>
      <c r="F1733" s="86">
        <v>45847</v>
      </c>
      <c r="G1733" s="87">
        <v>560</v>
      </c>
      <c r="H1733" s="88">
        <v>1141.0714285714284</v>
      </c>
      <c r="I1733" s="89">
        <v>1</v>
      </c>
      <c r="J1733" s="90">
        <v>639</v>
      </c>
      <c r="K1733" s="85">
        <v>0</v>
      </c>
      <c r="L1733" s="85">
        <v>53</v>
      </c>
      <c r="M1733" s="85">
        <v>0</v>
      </c>
      <c r="N1733" s="82" t="s">
        <v>11183</v>
      </c>
      <c r="O1733" s="83"/>
    </row>
    <row r="1734" spans="1:15" ht="22.5" customHeight="1">
      <c r="A1734" s="85">
        <v>766589657993298</v>
      </c>
      <c r="B1734" s="82" t="s">
        <v>10688</v>
      </c>
      <c r="C1734" s="82" t="s">
        <v>10885</v>
      </c>
      <c r="D1734" s="82" t="s">
        <v>906</v>
      </c>
      <c r="E1734" s="82">
        <v>6282183115806</v>
      </c>
      <c r="F1734" s="86">
        <v>45847</v>
      </c>
      <c r="G1734" s="87">
        <v>775</v>
      </c>
      <c r="H1734" s="88">
        <v>18823.12925170068</v>
      </c>
      <c r="I1734" s="89">
        <v>20</v>
      </c>
      <c r="J1734" s="90">
        <v>16602</v>
      </c>
      <c r="K1734" s="85">
        <v>5</v>
      </c>
      <c r="L1734" s="85">
        <v>457</v>
      </c>
      <c r="M1734" s="85">
        <v>0</v>
      </c>
      <c r="N1734" s="82" t="s">
        <v>10886</v>
      </c>
      <c r="O1734" s="83"/>
    </row>
    <row r="1735" spans="1:15" ht="22.5" customHeight="1">
      <c r="A1735" s="85">
        <v>766589657993298</v>
      </c>
      <c r="B1735" s="82" t="s">
        <v>10688</v>
      </c>
      <c r="C1735" s="82" t="s">
        <v>10879</v>
      </c>
      <c r="D1735" s="82" t="s">
        <v>10880</v>
      </c>
      <c r="E1735" s="82">
        <v>6281215851833</v>
      </c>
      <c r="F1735" s="86">
        <v>45847</v>
      </c>
      <c r="G1735" s="87">
        <v>414</v>
      </c>
      <c r="H1735" s="88">
        <v>32859.649122807023</v>
      </c>
      <c r="I1735" s="89">
        <v>30</v>
      </c>
      <c r="J1735" s="90">
        <v>16857</v>
      </c>
      <c r="K1735" s="85">
        <v>3</v>
      </c>
      <c r="L1735" s="85">
        <v>0</v>
      </c>
      <c r="M1735" s="85">
        <v>1</v>
      </c>
      <c r="N1735" s="82" t="s">
        <v>10881</v>
      </c>
      <c r="O1735" s="83"/>
    </row>
    <row r="1736" spans="1:15" ht="22.5" customHeight="1">
      <c r="A1736" s="85">
        <v>766589657993298</v>
      </c>
      <c r="B1736" s="82" t="s">
        <v>10688</v>
      </c>
      <c r="C1736" s="82" t="s">
        <v>10780</v>
      </c>
      <c r="D1736" s="82" t="s">
        <v>10781</v>
      </c>
      <c r="E1736" s="82">
        <v>6281338789995</v>
      </c>
      <c r="F1736" s="86">
        <v>45847</v>
      </c>
      <c r="G1736" s="87">
        <v>798</v>
      </c>
      <c r="H1736" s="88">
        <v>16644.708423326134</v>
      </c>
      <c r="I1736" s="89">
        <v>12</v>
      </c>
      <c r="J1736" s="90">
        <v>15413</v>
      </c>
      <c r="K1736" s="85">
        <v>3</v>
      </c>
      <c r="L1736" s="85">
        <v>243</v>
      </c>
      <c r="M1736" s="85">
        <v>0</v>
      </c>
      <c r="N1736" s="82" t="s">
        <v>10782</v>
      </c>
      <c r="O1736" s="83"/>
    </row>
    <row r="1737" spans="1:15" ht="22.5" customHeight="1">
      <c r="A1737" s="85">
        <v>766589657993298</v>
      </c>
      <c r="B1737" s="82" t="s">
        <v>10688</v>
      </c>
      <c r="C1737" s="82" t="s">
        <v>10786</v>
      </c>
      <c r="D1737" s="82" t="s">
        <v>739</v>
      </c>
      <c r="E1737" s="82">
        <v>628122102657</v>
      </c>
      <c r="F1737" s="86">
        <v>45847</v>
      </c>
      <c r="G1737" s="87">
        <v>426</v>
      </c>
      <c r="H1737" s="88">
        <v>36271.149674620392</v>
      </c>
      <c r="I1737" s="89">
        <v>7</v>
      </c>
      <c r="J1737" s="90">
        <v>16721</v>
      </c>
      <c r="K1737" s="85">
        <v>0</v>
      </c>
      <c r="L1737" s="85">
        <v>65</v>
      </c>
      <c r="M1737" s="85">
        <v>0</v>
      </c>
      <c r="N1737" s="82" t="s">
        <v>11210</v>
      </c>
      <c r="O1737" s="83"/>
    </row>
    <row r="1738" spans="1:15" ht="22.5" customHeight="1">
      <c r="A1738" s="85">
        <v>766589657993298</v>
      </c>
      <c r="B1738" s="82" t="s">
        <v>10688</v>
      </c>
      <c r="C1738" s="82" t="s">
        <v>10772</v>
      </c>
      <c r="D1738" s="82" t="s">
        <v>10773</v>
      </c>
      <c r="E1738" s="82">
        <v>6285261023204</v>
      </c>
      <c r="F1738" s="86">
        <v>45847</v>
      </c>
      <c r="G1738" s="87">
        <v>459</v>
      </c>
      <c r="H1738" s="88">
        <v>28780.575539568345</v>
      </c>
      <c r="I1738" s="89">
        <v>12</v>
      </c>
      <c r="J1738" s="90">
        <v>16002</v>
      </c>
      <c r="K1738" s="85">
        <v>2</v>
      </c>
      <c r="L1738" s="85">
        <v>48</v>
      </c>
      <c r="M1738" s="85">
        <v>1</v>
      </c>
      <c r="N1738" s="82" t="s">
        <v>10774</v>
      </c>
      <c r="O1738" s="83"/>
    </row>
    <row r="1739" spans="1:15" ht="22.5" customHeight="1">
      <c r="A1739" s="85">
        <v>766589657993298</v>
      </c>
      <c r="B1739" s="82" t="s">
        <v>10688</v>
      </c>
      <c r="C1739" s="82" t="s">
        <v>10762</v>
      </c>
      <c r="D1739" s="82" t="s">
        <v>10763</v>
      </c>
      <c r="E1739" s="82">
        <v>6285210107607</v>
      </c>
      <c r="F1739" s="86">
        <v>45847</v>
      </c>
      <c r="G1739" s="87">
        <v>782</v>
      </c>
      <c r="H1739" s="88">
        <v>18622.093023255813</v>
      </c>
      <c r="I1739" s="89">
        <v>11</v>
      </c>
      <c r="J1739" s="90">
        <v>16015</v>
      </c>
      <c r="K1739" s="85">
        <v>0</v>
      </c>
      <c r="L1739" s="85">
        <v>205</v>
      </c>
      <c r="M1739" s="85">
        <v>0</v>
      </c>
      <c r="N1739" s="82" t="s">
        <v>10764</v>
      </c>
      <c r="O1739" s="83"/>
    </row>
    <row r="1740" spans="1:15" ht="22.5" customHeight="1">
      <c r="A1740" s="85">
        <v>766589657993298</v>
      </c>
      <c r="B1740" s="82" t="s">
        <v>10688</v>
      </c>
      <c r="C1740" s="82" t="s">
        <v>10795</v>
      </c>
      <c r="D1740" s="82" t="s">
        <v>551</v>
      </c>
      <c r="E1740" s="82">
        <v>6285747906282</v>
      </c>
      <c r="F1740" s="86">
        <v>45847</v>
      </c>
      <c r="G1740" s="87">
        <v>589</v>
      </c>
      <c r="H1740" s="88">
        <v>22998.484848484848</v>
      </c>
      <c r="I1740" s="89">
        <v>12</v>
      </c>
      <c r="J1740" s="90">
        <v>15179</v>
      </c>
      <c r="K1740" s="85">
        <v>2</v>
      </c>
      <c r="L1740" s="85">
        <v>247</v>
      </c>
      <c r="M1740" s="85">
        <v>0</v>
      </c>
      <c r="N1740" s="82" t="s">
        <v>10796</v>
      </c>
      <c r="O1740" s="83"/>
    </row>
    <row r="1741" spans="1:15" ht="22.5" customHeight="1">
      <c r="A1741" s="85">
        <v>766589657993298</v>
      </c>
      <c r="B1741" s="82" t="s">
        <v>10688</v>
      </c>
      <c r="C1741" s="82" t="s">
        <v>10767</v>
      </c>
      <c r="D1741" s="82" t="s">
        <v>10768</v>
      </c>
      <c r="E1741" s="82">
        <v>6281519225886</v>
      </c>
      <c r="F1741" s="86">
        <v>45847</v>
      </c>
      <c r="G1741" s="87">
        <v>639</v>
      </c>
      <c r="H1741" s="88">
        <v>21464.993394980185</v>
      </c>
      <c r="I1741" s="89">
        <v>21</v>
      </c>
      <c r="J1741" s="90">
        <v>16249</v>
      </c>
      <c r="K1741" s="85">
        <v>8</v>
      </c>
      <c r="L1741" s="85">
        <v>26</v>
      </c>
      <c r="M1741" s="85">
        <v>0</v>
      </c>
      <c r="N1741" s="82" t="s">
        <v>10769</v>
      </c>
      <c r="O1741" s="83"/>
    </row>
    <row r="1742" spans="1:15" ht="22.5" customHeight="1">
      <c r="A1742" s="85">
        <v>766589657993298</v>
      </c>
      <c r="B1742" s="82" t="s">
        <v>10688</v>
      </c>
      <c r="C1742" s="82" t="s">
        <v>10797</v>
      </c>
      <c r="D1742" s="82" t="s">
        <v>10798</v>
      </c>
      <c r="E1742" s="82">
        <v>6285853370682</v>
      </c>
      <c r="F1742" s="86">
        <v>45847</v>
      </c>
      <c r="G1742" s="87">
        <v>563</v>
      </c>
      <c r="H1742" s="88">
        <v>23531.531531531531</v>
      </c>
      <c r="I1742" s="89">
        <v>19</v>
      </c>
      <c r="J1742" s="90">
        <v>15672</v>
      </c>
      <c r="K1742" s="85">
        <v>0</v>
      </c>
      <c r="L1742" s="85">
        <v>207</v>
      </c>
      <c r="M1742" s="85">
        <v>0</v>
      </c>
      <c r="N1742" s="82" t="s">
        <v>10799</v>
      </c>
      <c r="O1742" s="83"/>
    </row>
    <row r="1743" spans="1:15" ht="22.5" customHeight="1">
      <c r="A1743" s="85">
        <v>766589657993298</v>
      </c>
      <c r="B1743" s="82" t="s">
        <v>10688</v>
      </c>
      <c r="C1743" s="82" t="s">
        <v>10800</v>
      </c>
      <c r="D1743" s="82" t="s">
        <v>472</v>
      </c>
      <c r="E1743" s="82">
        <v>628114170888</v>
      </c>
      <c r="F1743" s="86">
        <v>45847</v>
      </c>
      <c r="G1743" s="87">
        <v>503</v>
      </c>
      <c r="H1743" s="88">
        <v>26518.394648829431</v>
      </c>
      <c r="I1743" s="89">
        <v>8</v>
      </c>
      <c r="J1743" s="90">
        <v>15858</v>
      </c>
      <c r="K1743" s="85">
        <v>1</v>
      </c>
      <c r="L1743" s="85">
        <v>120</v>
      </c>
      <c r="M1743" s="85">
        <v>0</v>
      </c>
      <c r="N1743" s="82" t="s">
        <v>10801</v>
      </c>
      <c r="O1743" s="83"/>
    </row>
    <row r="1744" spans="1:15" ht="22.5" customHeight="1">
      <c r="A1744" s="85">
        <v>766589657993298</v>
      </c>
      <c r="B1744" s="82" t="s">
        <v>10688</v>
      </c>
      <c r="C1744" s="82" t="s">
        <v>10752</v>
      </c>
      <c r="D1744" s="82" t="s">
        <v>10753</v>
      </c>
      <c r="E1744" s="82">
        <v>6281340892328</v>
      </c>
      <c r="F1744" s="86">
        <v>45847</v>
      </c>
      <c r="G1744" s="87">
        <v>1390</v>
      </c>
      <c r="H1744" s="88">
        <v>10327.035830618894</v>
      </c>
      <c r="I1744" s="89">
        <v>18</v>
      </c>
      <c r="J1744" s="90">
        <v>15852</v>
      </c>
      <c r="K1744" s="85">
        <v>0</v>
      </c>
      <c r="L1744" s="85">
        <v>368</v>
      </c>
      <c r="M1744" s="85">
        <v>0</v>
      </c>
      <c r="N1744" s="82" t="s">
        <v>10754</v>
      </c>
      <c r="O1744" s="83"/>
    </row>
    <row r="1745" spans="1:15" ht="22.5" customHeight="1">
      <c r="A1745" s="85">
        <v>206726568613432</v>
      </c>
      <c r="B1745" s="82" t="s">
        <v>10900</v>
      </c>
      <c r="C1745" s="82" t="s">
        <v>11085</v>
      </c>
      <c r="D1745" s="82" t="s">
        <v>10902</v>
      </c>
      <c r="E1745" s="82">
        <v>6282194694492</v>
      </c>
      <c r="F1745" s="86">
        <v>45847</v>
      </c>
      <c r="G1745" s="87">
        <v>563</v>
      </c>
      <c r="H1745" s="88">
        <v>24155.905511811023</v>
      </c>
      <c r="I1745" s="89">
        <v>29</v>
      </c>
      <c r="J1745" s="90">
        <v>15339</v>
      </c>
      <c r="K1745" s="85">
        <v>3</v>
      </c>
      <c r="L1745" s="85">
        <v>169</v>
      </c>
      <c r="M1745" s="85">
        <v>1</v>
      </c>
      <c r="N1745" s="82" t="s">
        <v>11086</v>
      </c>
      <c r="O1745" s="83"/>
    </row>
    <row r="1746" spans="1:15" ht="22.5" customHeight="1">
      <c r="A1746" s="85">
        <v>206726568613432</v>
      </c>
      <c r="B1746" s="82" t="s">
        <v>10900</v>
      </c>
      <c r="C1746" s="82" t="s">
        <v>11031</v>
      </c>
      <c r="D1746" s="82" t="s">
        <v>11032</v>
      </c>
      <c r="E1746" s="82">
        <v>6285668750416</v>
      </c>
      <c r="F1746" s="86">
        <v>45847</v>
      </c>
      <c r="G1746" s="87">
        <v>878</v>
      </c>
      <c r="H1746" s="88">
        <v>13350.505050505051</v>
      </c>
      <c r="I1746" s="89">
        <v>23</v>
      </c>
      <c r="J1746" s="90">
        <v>13217</v>
      </c>
      <c r="K1746" s="85">
        <v>7</v>
      </c>
      <c r="L1746" s="85">
        <v>362</v>
      </c>
      <c r="M1746" s="85">
        <v>2</v>
      </c>
      <c r="N1746" s="82" t="s">
        <v>11033</v>
      </c>
      <c r="O1746" s="83"/>
    </row>
    <row r="1747" spans="1:15" ht="22.5" customHeight="1">
      <c r="A1747" s="85">
        <v>759724529202804</v>
      </c>
      <c r="B1747" s="82" t="s">
        <v>10621</v>
      </c>
      <c r="C1747" s="82" t="s">
        <v>11211</v>
      </c>
      <c r="D1747" s="82" t="s">
        <v>1835</v>
      </c>
      <c r="E1747" s="82">
        <v>62811339289839</v>
      </c>
      <c r="F1747" s="86">
        <v>45848</v>
      </c>
      <c r="G1747" s="87">
        <v>1664</v>
      </c>
      <c r="H1747" s="88">
        <v>10949.805068226122</v>
      </c>
      <c r="I1747" s="89">
        <v>16</v>
      </c>
      <c r="J1747" s="90">
        <v>22469</v>
      </c>
      <c r="K1747" s="85">
        <v>0</v>
      </c>
      <c r="L1747" s="85">
        <v>10</v>
      </c>
      <c r="M1747" s="85">
        <v>0</v>
      </c>
      <c r="N1747" s="82" t="s">
        <v>11212</v>
      </c>
      <c r="O1747" s="83"/>
    </row>
    <row r="1748" spans="1:15" ht="22.5" customHeight="1">
      <c r="A1748" s="85">
        <v>759724529202804</v>
      </c>
      <c r="B1748" s="82" t="s">
        <v>10621</v>
      </c>
      <c r="C1748" s="82" t="s">
        <v>11131</v>
      </c>
      <c r="D1748" s="82" t="s">
        <v>9019</v>
      </c>
      <c r="E1748" s="82">
        <v>628562943274</v>
      </c>
      <c r="F1748" s="86">
        <v>45848</v>
      </c>
      <c r="G1748" s="87">
        <v>985</v>
      </c>
      <c r="H1748" s="88">
        <v>12369.529983792545</v>
      </c>
      <c r="I1748" s="89">
        <v>35</v>
      </c>
      <c r="J1748" s="90">
        <v>15264</v>
      </c>
      <c r="K1748" s="85">
        <v>3</v>
      </c>
      <c r="L1748" s="85">
        <v>365</v>
      </c>
      <c r="M1748" s="85">
        <v>0</v>
      </c>
      <c r="N1748" s="82" t="s">
        <v>11132</v>
      </c>
      <c r="O1748" s="83"/>
    </row>
    <row r="1749" spans="1:15" ht="22.5" customHeight="1">
      <c r="A1749" s="85">
        <v>759724529202804</v>
      </c>
      <c r="B1749" s="82" t="s">
        <v>10621</v>
      </c>
      <c r="C1749" s="82" t="s">
        <v>11111</v>
      </c>
      <c r="D1749" s="82" t="s">
        <v>11112</v>
      </c>
      <c r="E1749" s="82">
        <v>6282145068631</v>
      </c>
      <c r="F1749" s="86">
        <v>45848</v>
      </c>
      <c r="G1749" s="87">
        <v>1905</v>
      </c>
      <c r="H1749" s="88">
        <v>6736.3556338028166</v>
      </c>
      <c r="I1749" s="89">
        <v>35</v>
      </c>
      <c r="J1749" s="90">
        <v>15305</v>
      </c>
      <c r="K1749" s="85">
        <v>0</v>
      </c>
      <c r="L1749" s="85">
        <v>82</v>
      </c>
      <c r="M1749" s="85">
        <v>0</v>
      </c>
      <c r="N1749" s="82" t="s">
        <v>11113</v>
      </c>
      <c r="O1749" s="83"/>
    </row>
    <row r="1750" spans="1:15" ht="22.5" customHeight="1">
      <c r="A1750" s="85">
        <v>759724529202804</v>
      </c>
      <c r="B1750" s="82" t="s">
        <v>10621</v>
      </c>
      <c r="C1750" s="82" t="s">
        <v>11070</v>
      </c>
      <c r="D1750" s="82" t="s">
        <v>11071</v>
      </c>
      <c r="E1750" s="82">
        <v>6281246211381</v>
      </c>
      <c r="F1750" s="86">
        <v>45848</v>
      </c>
      <c r="G1750" s="87">
        <v>731</v>
      </c>
      <c r="H1750" s="88">
        <v>18945.341614906833</v>
      </c>
      <c r="I1750" s="89">
        <v>20</v>
      </c>
      <c r="J1750" s="90">
        <v>15251</v>
      </c>
      <c r="K1750" s="85">
        <v>3</v>
      </c>
      <c r="L1750" s="85">
        <v>34</v>
      </c>
      <c r="M1750" s="85">
        <v>1</v>
      </c>
      <c r="N1750" s="82" t="s">
        <v>11072</v>
      </c>
      <c r="O1750" s="83"/>
    </row>
    <row r="1751" spans="1:15" ht="22.5" customHeight="1">
      <c r="A1751" s="85">
        <v>759724529202804</v>
      </c>
      <c r="B1751" s="82" t="s">
        <v>10621</v>
      </c>
      <c r="C1751" s="82" t="s">
        <v>11037</v>
      </c>
      <c r="D1751" s="82" t="s">
        <v>199</v>
      </c>
      <c r="E1751" s="82">
        <v>6285220903499</v>
      </c>
      <c r="F1751" s="86">
        <v>45848</v>
      </c>
      <c r="G1751" s="87">
        <v>1006</v>
      </c>
      <c r="H1751" s="88">
        <v>13444.16456759026</v>
      </c>
      <c r="I1751" s="89">
        <v>36</v>
      </c>
      <c r="J1751" s="90">
        <v>16012</v>
      </c>
      <c r="K1751" s="85">
        <v>6</v>
      </c>
      <c r="L1751" s="85">
        <v>310</v>
      </c>
      <c r="M1751" s="85">
        <v>1</v>
      </c>
      <c r="N1751" s="82" t="s">
        <v>11038</v>
      </c>
      <c r="O1751" s="83"/>
    </row>
    <row r="1752" spans="1:15" ht="22.5" customHeight="1">
      <c r="A1752" s="85">
        <v>759724529202804</v>
      </c>
      <c r="B1752" s="82" t="s">
        <v>10621</v>
      </c>
      <c r="C1752" s="82" t="s">
        <v>11016</v>
      </c>
      <c r="D1752" s="82" t="s">
        <v>1530</v>
      </c>
      <c r="E1752" s="82">
        <v>628111988553</v>
      </c>
      <c r="F1752" s="86">
        <v>45848</v>
      </c>
      <c r="G1752" s="87">
        <v>260</v>
      </c>
      <c r="H1752" s="88">
        <v>50498.338870431893</v>
      </c>
      <c r="I1752" s="89">
        <v>15</v>
      </c>
      <c r="J1752" s="90">
        <v>15200</v>
      </c>
      <c r="K1752" s="85">
        <v>1</v>
      </c>
      <c r="L1752" s="85">
        <v>14</v>
      </c>
      <c r="M1752" s="85">
        <v>0</v>
      </c>
      <c r="N1752" s="82" t="s">
        <v>11017</v>
      </c>
      <c r="O1752" s="83"/>
    </row>
    <row r="1753" spans="1:15" ht="22.5" customHeight="1">
      <c r="A1753" s="85">
        <v>759724529202804</v>
      </c>
      <c r="B1753" s="82" t="s">
        <v>10621</v>
      </c>
      <c r="C1753" s="82" t="s">
        <v>10986</v>
      </c>
      <c r="D1753" s="82" t="s">
        <v>10987</v>
      </c>
      <c r="E1753" s="82">
        <v>6281282183261</v>
      </c>
      <c r="F1753" s="86">
        <v>45848</v>
      </c>
      <c r="G1753" s="87">
        <v>480</v>
      </c>
      <c r="H1753" s="88">
        <v>27300.177619893428</v>
      </c>
      <c r="I1753" s="89">
        <v>17</v>
      </c>
      <c r="J1753" s="90">
        <v>15370</v>
      </c>
      <c r="K1753" s="85">
        <v>4</v>
      </c>
      <c r="L1753" s="85">
        <v>0</v>
      </c>
      <c r="M1753" s="85">
        <v>0</v>
      </c>
      <c r="N1753" s="82" t="s">
        <v>10988</v>
      </c>
      <c r="O1753" s="83"/>
    </row>
    <row r="1754" spans="1:15" ht="22.5" customHeight="1">
      <c r="A1754" s="85">
        <v>759724529202804</v>
      </c>
      <c r="B1754" s="82" t="s">
        <v>10621</v>
      </c>
      <c r="C1754" s="82" t="s">
        <v>1334</v>
      </c>
      <c r="D1754" s="82" t="s">
        <v>11005</v>
      </c>
      <c r="E1754" s="82">
        <v>6281366622333</v>
      </c>
      <c r="F1754" s="86">
        <v>45848</v>
      </c>
      <c r="G1754" s="87">
        <v>555</v>
      </c>
      <c r="H1754" s="88">
        <v>23360.983102918588</v>
      </c>
      <c r="I1754" s="89">
        <v>11</v>
      </c>
      <c r="J1754" s="90">
        <v>15208</v>
      </c>
      <c r="K1754" s="85">
        <v>1</v>
      </c>
      <c r="L1754" s="85">
        <v>0</v>
      </c>
      <c r="M1754" s="85">
        <v>0</v>
      </c>
      <c r="N1754" s="82" t="s">
        <v>11006</v>
      </c>
      <c r="O1754" s="83"/>
    </row>
    <row r="1755" spans="1:15" ht="22.5" customHeight="1">
      <c r="A1755" s="85">
        <v>174904221976312</v>
      </c>
      <c r="B1755" s="82" t="s">
        <v>10651</v>
      </c>
      <c r="C1755" s="82" t="s">
        <v>11213</v>
      </c>
      <c r="D1755" s="82" t="s">
        <v>2022</v>
      </c>
      <c r="E1755" s="82">
        <v>6285274759862</v>
      </c>
      <c r="F1755" s="86">
        <v>45848</v>
      </c>
      <c r="G1755" s="87">
        <v>743</v>
      </c>
      <c r="H1755" s="88">
        <v>11353.092783505153</v>
      </c>
      <c r="I1755" s="89">
        <v>18</v>
      </c>
      <c r="J1755" s="90">
        <v>8810</v>
      </c>
      <c r="K1755" s="85">
        <v>5</v>
      </c>
      <c r="L1755" s="85">
        <v>44</v>
      </c>
      <c r="M1755" s="85">
        <v>0</v>
      </c>
      <c r="N1755" s="82" t="s">
        <v>11214</v>
      </c>
      <c r="O1755" s="83"/>
    </row>
    <row r="1756" spans="1:15" ht="22.5" customHeight="1">
      <c r="A1756" s="85">
        <v>174904221976312</v>
      </c>
      <c r="B1756" s="82" t="s">
        <v>10651</v>
      </c>
      <c r="C1756" s="82" t="s">
        <v>11215</v>
      </c>
      <c r="D1756" s="82" t="s">
        <v>1900</v>
      </c>
      <c r="E1756" s="82">
        <v>6285713536070</v>
      </c>
      <c r="F1756" s="86">
        <v>45848</v>
      </c>
      <c r="G1756" s="87">
        <v>788</v>
      </c>
      <c r="H1756" s="88">
        <v>19092.342342342341</v>
      </c>
      <c r="I1756" s="89">
        <v>5</v>
      </c>
      <c r="J1756" s="90">
        <v>16954</v>
      </c>
      <c r="K1756" s="85">
        <v>1</v>
      </c>
      <c r="L1756" s="85">
        <v>376</v>
      </c>
      <c r="M1756" s="85">
        <v>0</v>
      </c>
      <c r="N1756" s="82" t="s">
        <v>11216</v>
      </c>
      <c r="O1756" s="83"/>
    </row>
    <row r="1757" spans="1:15" ht="22.5" customHeight="1">
      <c r="A1757" s="85">
        <v>174904221976312</v>
      </c>
      <c r="B1757" s="82" t="s">
        <v>10651</v>
      </c>
      <c r="C1757" s="82" t="s">
        <v>11217</v>
      </c>
      <c r="D1757" s="82" t="s">
        <v>2043</v>
      </c>
      <c r="E1757" s="82">
        <v>6282298717014</v>
      </c>
      <c r="F1757" s="86">
        <v>45848</v>
      </c>
      <c r="G1757" s="87">
        <v>460</v>
      </c>
      <c r="H1757" s="88">
        <v>33594.989561586633</v>
      </c>
      <c r="I1757" s="89">
        <v>16</v>
      </c>
      <c r="J1757" s="90">
        <v>16092</v>
      </c>
      <c r="K1757" s="85">
        <v>4</v>
      </c>
      <c r="L1757" s="85">
        <v>28</v>
      </c>
      <c r="M1757" s="85">
        <v>0</v>
      </c>
      <c r="N1757" s="82" t="s">
        <v>11218</v>
      </c>
      <c r="O1757" s="83"/>
    </row>
    <row r="1758" spans="1:15" ht="22.5" customHeight="1">
      <c r="A1758" s="85">
        <v>174904221976312</v>
      </c>
      <c r="B1758" s="82" t="s">
        <v>10651</v>
      </c>
      <c r="C1758" s="82" t="s">
        <v>11219</v>
      </c>
      <c r="D1758" s="82" t="s">
        <v>11220</v>
      </c>
      <c r="E1758" s="82">
        <v>62859130962516</v>
      </c>
      <c r="F1758" s="86">
        <v>45848</v>
      </c>
      <c r="G1758" s="87">
        <v>869</v>
      </c>
      <c r="H1758" s="88">
        <v>14875.399361022364</v>
      </c>
      <c r="I1758" s="89">
        <v>22</v>
      </c>
      <c r="J1758" s="90">
        <v>13968</v>
      </c>
      <c r="K1758" s="85">
        <v>0</v>
      </c>
      <c r="L1758" s="85">
        <v>287</v>
      </c>
      <c r="M1758" s="85">
        <v>0</v>
      </c>
      <c r="N1758" s="82" t="s">
        <v>11221</v>
      </c>
      <c r="O1758" s="83"/>
    </row>
    <row r="1759" spans="1:15" ht="22.5" customHeight="1">
      <c r="A1759" s="85">
        <v>174904221976312</v>
      </c>
      <c r="B1759" s="82" t="s">
        <v>10651</v>
      </c>
      <c r="C1759" s="82" t="s">
        <v>11222</v>
      </c>
      <c r="D1759" s="82" t="s">
        <v>11223</v>
      </c>
      <c r="E1759" s="82">
        <v>6288229559606</v>
      </c>
      <c r="F1759" s="86">
        <v>45848</v>
      </c>
      <c r="G1759" s="87">
        <v>788</v>
      </c>
      <c r="H1759" s="88">
        <v>11531.418312387792</v>
      </c>
      <c r="I1759" s="89">
        <v>12</v>
      </c>
      <c r="J1759" s="90">
        <v>12846</v>
      </c>
      <c r="K1759" s="85">
        <v>0</v>
      </c>
      <c r="L1759" s="85">
        <v>126</v>
      </c>
      <c r="M1759" s="85">
        <v>0</v>
      </c>
      <c r="N1759" s="82" t="s">
        <v>11224</v>
      </c>
      <c r="O1759" s="83"/>
    </row>
    <row r="1760" spans="1:15" ht="22.5" customHeight="1">
      <c r="A1760" s="85">
        <v>174904221976312</v>
      </c>
      <c r="B1760" s="82" t="s">
        <v>10651</v>
      </c>
      <c r="C1760" s="82" t="s">
        <v>11225</v>
      </c>
      <c r="D1760" s="82" t="s">
        <v>11226</v>
      </c>
      <c r="E1760" s="82">
        <v>6281240144744</v>
      </c>
      <c r="F1760" s="86">
        <v>45848</v>
      </c>
      <c r="G1760" s="87">
        <v>883</v>
      </c>
      <c r="H1760" s="88">
        <v>10880.534670008354</v>
      </c>
      <c r="I1760" s="89">
        <v>28</v>
      </c>
      <c r="J1760" s="90">
        <v>13024</v>
      </c>
      <c r="K1760" s="85">
        <v>5</v>
      </c>
      <c r="L1760" s="85">
        <v>0</v>
      </c>
      <c r="M1760" s="85">
        <v>0</v>
      </c>
      <c r="N1760" s="82" t="s">
        <v>11227</v>
      </c>
      <c r="O1760" s="83"/>
    </row>
    <row r="1761" spans="1:15" ht="22.5" customHeight="1">
      <c r="A1761" s="85">
        <v>174904221976312</v>
      </c>
      <c r="B1761" s="82" t="s">
        <v>10651</v>
      </c>
      <c r="C1761" s="82" t="s">
        <v>11228</v>
      </c>
      <c r="D1761" s="82" t="s">
        <v>11229</v>
      </c>
      <c r="E1761" s="82">
        <v>6288215032728</v>
      </c>
      <c r="F1761" s="86">
        <v>45848</v>
      </c>
      <c r="G1761" s="87">
        <v>820</v>
      </c>
      <c r="H1761" s="88">
        <v>11838.983050847459</v>
      </c>
      <c r="I1761" s="89">
        <v>39</v>
      </c>
      <c r="J1761" s="90">
        <v>11176</v>
      </c>
      <c r="K1761" s="85">
        <v>1</v>
      </c>
      <c r="L1761" s="85">
        <v>0</v>
      </c>
      <c r="M1761" s="85">
        <v>0</v>
      </c>
      <c r="N1761" s="82" t="s">
        <v>11230</v>
      </c>
      <c r="O1761" s="83"/>
    </row>
    <row r="1762" spans="1:15" ht="22.5" customHeight="1">
      <c r="A1762" s="85">
        <v>174904221976312</v>
      </c>
      <c r="B1762" s="82" t="s">
        <v>10651</v>
      </c>
      <c r="C1762" s="82" t="s">
        <v>11184</v>
      </c>
      <c r="D1762" s="82" t="s">
        <v>11185</v>
      </c>
      <c r="E1762" s="82">
        <v>6283878405768</v>
      </c>
      <c r="F1762" s="86">
        <v>45848</v>
      </c>
      <c r="G1762" s="87">
        <v>822</v>
      </c>
      <c r="H1762" s="88">
        <v>13008.130081300813</v>
      </c>
      <c r="I1762" s="89">
        <v>14</v>
      </c>
      <c r="J1762" s="90">
        <v>12800</v>
      </c>
      <c r="K1762" s="85">
        <v>1</v>
      </c>
      <c r="L1762" s="85">
        <v>138</v>
      </c>
      <c r="M1762" s="85">
        <v>0</v>
      </c>
      <c r="N1762" s="82" t="s">
        <v>11186</v>
      </c>
      <c r="O1762" s="83"/>
    </row>
    <row r="1763" spans="1:15" ht="22.5" customHeight="1">
      <c r="A1763" s="85">
        <v>174904221976312</v>
      </c>
      <c r="B1763" s="82" t="s">
        <v>10651</v>
      </c>
      <c r="C1763" s="82" t="s">
        <v>11187</v>
      </c>
      <c r="D1763" s="82" t="s">
        <v>1938</v>
      </c>
      <c r="E1763" s="82">
        <v>6285956579758</v>
      </c>
      <c r="F1763" s="86">
        <v>45848</v>
      </c>
      <c r="G1763" s="87">
        <v>261</v>
      </c>
      <c r="H1763" s="88">
        <v>40643.790849673205</v>
      </c>
      <c r="I1763" s="89">
        <v>4</v>
      </c>
      <c r="J1763" s="90">
        <v>12437</v>
      </c>
      <c r="K1763" s="85">
        <v>0</v>
      </c>
      <c r="L1763" s="85">
        <v>8</v>
      </c>
      <c r="M1763" s="85">
        <v>0</v>
      </c>
      <c r="N1763" s="82" t="s">
        <v>11188</v>
      </c>
      <c r="O1763" s="83"/>
    </row>
    <row r="1764" spans="1:15" ht="22.5" customHeight="1">
      <c r="A1764" s="85">
        <v>174904221976312</v>
      </c>
      <c r="B1764" s="82" t="s">
        <v>10651</v>
      </c>
      <c r="C1764" s="82" t="s">
        <v>11189</v>
      </c>
      <c r="D1764" s="82" t="s">
        <v>46</v>
      </c>
      <c r="E1764" s="82">
        <v>6281337504727</v>
      </c>
      <c r="F1764" s="86">
        <v>45848</v>
      </c>
      <c r="G1764" s="87">
        <v>697</v>
      </c>
      <c r="H1764" s="88">
        <v>15112.6582278481</v>
      </c>
      <c r="I1764" s="89">
        <v>17</v>
      </c>
      <c r="J1764" s="90">
        <v>11939</v>
      </c>
      <c r="K1764" s="85">
        <v>1</v>
      </c>
      <c r="L1764" s="85">
        <v>90</v>
      </c>
      <c r="M1764" s="85">
        <v>0</v>
      </c>
      <c r="N1764" s="82" t="s">
        <v>11190</v>
      </c>
      <c r="O1764" s="83"/>
    </row>
    <row r="1765" spans="1:15" ht="22.5" customHeight="1">
      <c r="A1765" s="85">
        <v>174904221976312</v>
      </c>
      <c r="B1765" s="82" t="s">
        <v>10651</v>
      </c>
      <c r="C1765" s="82" t="s">
        <v>11191</v>
      </c>
      <c r="D1765" s="82" t="s">
        <v>1976</v>
      </c>
      <c r="E1765" s="82">
        <v>6282136273086</v>
      </c>
      <c r="F1765" s="86">
        <v>45848</v>
      </c>
      <c r="G1765" s="87">
        <v>211</v>
      </c>
      <c r="H1765" s="88">
        <v>48318.181818181823</v>
      </c>
      <c r="I1765" s="89">
        <v>5</v>
      </c>
      <c r="J1765" s="90">
        <v>11693</v>
      </c>
      <c r="K1765" s="85">
        <v>2</v>
      </c>
      <c r="L1765" s="85">
        <v>55</v>
      </c>
      <c r="M1765" s="85">
        <v>0</v>
      </c>
      <c r="N1765" s="82" t="s">
        <v>11192</v>
      </c>
      <c r="O1765" s="83"/>
    </row>
    <row r="1766" spans="1:15" ht="22.5" customHeight="1">
      <c r="A1766" s="85">
        <v>174904221976312</v>
      </c>
      <c r="B1766" s="82" t="s">
        <v>10651</v>
      </c>
      <c r="C1766" s="82" t="s">
        <v>11193</v>
      </c>
      <c r="D1766" s="82" t="s">
        <v>11194</v>
      </c>
      <c r="E1766" s="82">
        <v>6281779578317</v>
      </c>
      <c r="F1766" s="86">
        <v>45848</v>
      </c>
      <c r="G1766" s="87">
        <v>803</v>
      </c>
      <c r="H1766" s="88">
        <v>13039.96003996004</v>
      </c>
      <c r="I1766" s="89">
        <v>40</v>
      </c>
      <c r="J1766" s="90">
        <v>13053</v>
      </c>
      <c r="K1766" s="85">
        <v>2</v>
      </c>
      <c r="L1766" s="85">
        <v>233</v>
      </c>
      <c r="M1766" s="85">
        <v>1</v>
      </c>
      <c r="N1766" s="82" t="s">
        <v>11195</v>
      </c>
      <c r="O1766" s="83"/>
    </row>
    <row r="1767" spans="1:15" ht="22.5" customHeight="1">
      <c r="A1767" s="85">
        <v>174904221976312</v>
      </c>
      <c r="B1767" s="82" t="s">
        <v>10651</v>
      </c>
      <c r="C1767" s="82" t="s">
        <v>11196</v>
      </c>
      <c r="D1767" s="82" t="s">
        <v>11197</v>
      </c>
      <c r="E1767" s="82">
        <v>6281412281953</v>
      </c>
      <c r="F1767" s="86">
        <v>45848</v>
      </c>
      <c r="G1767" s="87">
        <v>961</v>
      </c>
      <c r="H1767" s="88">
        <v>12366.371681415929</v>
      </c>
      <c r="I1767" s="89">
        <v>35</v>
      </c>
      <c r="J1767" s="90">
        <v>13974</v>
      </c>
      <c r="K1767" s="85">
        <v>8</v>
      </c>
      <c r="L1767" s="85">
        <v>219</v>
      </c>
      <c r="M1767" s="85">
        <v>0</v>
      </c>
      <c r="N1767" s="82" t="s">
        <v>11198</v>
      </c>
      <c r="O1767" s="83"/>
    </row>
    <row r="1768" spans="1:15" ht="22.5" customHeight="1">
      <c r="A1768" s="85">
        <v>174904221976312</v>
      </c>
      <c r="B1768" s="82" t="s">
        <v>10651</v>
      </c>
      <c r="C1768" s="82" t="s">
        <v>11199</v>
      </c>
      <c r="D1768" s="82" t="s">
        <v>1961</v>
      </c>
      <c r="E1768" s="82">
        <v>6281212295448</v>
      </c>
      <c r="F1768" s="86">
        <v>45848</v>
      </c>
      <c r="G1768" s="87">
        <v>2181</v>
      </c>
      <c r="H1768" s="88">
        <v>5403.6043587594295</v>
      </c>
      <c r="I1768" s="89">
        <v>73</v>
      </c>
      <c r="J1768" s="90">
        <v>12893</v>
      </c>
      <c r="K1768" s="85">
        <v>3</v>
      </c>
      <c r="L1768" s="85">
        <v>275</v>
      </c>
      <c r="M1768" s="85">
        <v>2</v>
      </c>
      <c r="N1768" s="82" t="s">
        <v>11200</v>
      </c>
      <c r="O1768" s="83"/>
    </row>
    <row r="1769" spans="1:15" ht="22.5" customHeight="1">
      <c r="A1769" s="85">
        <v>174904221976312</v>
      </c>
      <c r="B1769" s="82" t="s">
        <v>10651</v>
      </c>
      <c r="C1769" s="82" t="s">
        <v>11144</v>
      </c>
      <c r="D1769" s="82" t="s">
        <v>11145</v>
      </c>
      <c r="E1769" s="82">
        <v>6282128714101</v>
      </c>
      <c r="F1769" s="86">
        <v>45848</v>
      </c>
      <c r="G1769" s="87">
        <v>424</v>
      </c>
      <c r="H1769" s="88">
        <v>25389.199255121042</v>
      </c>
      <c r="I1769" s="89">
        <v>33</v>
      </c>
      <c r="J1769" s="90">
        <v>13634</v>
      </c>
      <c r="K1769" s="85">
        <v>5</v>
      </c>
      <c r="L1769" s="85">
        <v>121</v>
      </c>
      <c r="M1769" s="85">
        <v>0</v>
      </c>
      <c r="N1769" s="82" t="s">
        <v>11146</v>
      </c>
      <c r="O1769" s="83"/>
    </row>
    <row r="1770" spans="1:15" ht="22.5" customHeight="1">
      <c r="A1770" s="85">
        <v>174904221976312</v>
      </c>
      <c r="B1770" s="82" t="s">
        <v>10651</v>
      </c>
      <c r="C1770" s="82" t="s">
        <v>11147</v>
      </c>
      <c r="D1770" s="82" t="s">
        <v>11148</v>
      </c>
      <c r="E1770" s="82">
        <v>6281361879826</v>
      </c>
      <c r="F1770" s="86">
        <v>45848</v>
      </c>
      <c r="G1770" s="87">
        <v>247</v>
      </c>
      <c r="H1770" s="88">
        <v>43297.385620915033</v>
      </c>
      <c r="I1770" s="89">
        <v>6</v>
      </c>
      <c r="J1770" s="90">
        <v>13249</v>
      </c>
      <c r="K1770" s="85">
        <v>0</v>
      </c>
      <c r="L1770" s="85">
        <v>12</v>
      </c>
      <c r="M1770" s="85">
        <v>0</v>
      </c>
      <c r="N1770" s="82" t="s">
        <v>11149</v>
      </c>
      <c r="O1770" s="83"/>
    </row>
    <row r="1771" spans="1:15" ht="22.5" customHeight="1">
      <c r="A1771" s="85">
        <v>174904221976312</v>
      </c>
      <c r="B1771" s="82" t="s">
        <v>10651</v>
      </c>
      <c r="C1771" s="82" t="s">
        <v>11150</v>
      </c>
      <c r="D1771" s="82" t="s">
        <v>11151</v>
      </c>
      <c r="E1771" s="82">
        <v>6281237893904</v>
      </c>
      <c r="F1771" s="86">
        <v>45848</v>
      </c>
      <c r="G1771" s="87">
        <v>589</v>
      </c>
      <c r="H1771" s="88">
        <v>20721.259842519685</v>
      </c>
      <c r="I1771" s="89">
        <v>20</v>
      </c>
      <c r="J1771" s="90">
        <v>13158</v>
      </c>
      <c r="K1771" s="85">
        <v>3</v>
      </c>
      <c r="L1771" s="85">
        <v>193</v>
      </c>
      <c r="M1771" s="85">
        <v>0</v>
      </c>
      <c r="N1771" s="82" t="s">
        <v>11152</v>
      </c>
      <c r="O1771" s="83"/>
    </row>
    <row r="1772" spans="1:15" ht="22.5" customHeight="1">
      <c r="A1772" s="85">
        <v>174904221976312</v>
      </c>
      <c r="B1772" s="82" t="s">
        <v>10651</v>
      </c>
      <c r="C1772" s="82" t="s">
        <v>11153</v>
      </c>
      <c r="D1772" s="82" t="s">
        <v>11154</v>
      </c>
      <c r="E1772" s="82">
        <v>6285338137835</v>
      </c>
      <c r="F1772" s="86">
        <v>45848</v>
      </c>
      <c r="G1772" s="87">
        <v>915</v>
      </c>
      <c r="H1772" s="88">
        <v>10475.32729103726</v>
      </c>
      <c r="I1772" s="89">
        <v>20</v>
      </c>
      <c r="J1772" s="90">
        <v>10402</v>
      </c>
      <c r="K1772" s="85">
        <v>1</v>
      </c>
      <c r="L1772" s="85">
        <v>267</v>
      </c>
      <c r="M1772" s="85">
        <v>0</v>
      </c>
      <c r="N1772" s="82" t="s">
        <v>11155</v>
      </c>
      <c r="O1772" s="83"/>
    </row>
    <row r="1773" spans="1:15" ht="22.5" customHeight="1">
      <c r="A1773" s="85">
        <v>174904221976312</v>
      </c>
      <c r="B1773" s="82" t="s">
        <v>10651</v>
      </c>
      <c r="C1773" s="82" t="s">
        <v>11156</v>
      </c>
      <c r="D1773" s="82" t="s">
        <v>11157</v>
      </c>
      <c r="E1773" s="82">
        <v>6287754552859</v>
      </c>
      <c r="F1773" s="86">
        <v>45848</v>
      </c>
      <c r="G1773" s="87">
        <v>341</v>
      </c>
      <c r="H1773" s="88">
        <v>33212.820512820515</v>
      </c>
      <c r="I1773" s="89">
        <v>3</v>
      </c>
      <c r="J1773" s="90">
        <v>12953</v>
      </c>
      <c r="K1773" s="85">
        <v>0</v>
      </c>
      <c r="L1773" s="85">
        <v>2</v>
      </c>
      <c r="M1773" s="85">
        <v>0</v>
      </c>
      <c r="N1773" s="82" t="s">
        <v>11158</v>
      </c>
      <c r="O1773" s="83"/>
    </row>
    <row r="1774" spans="1:15" ht="22.5" customHeight="1">
      <c r="A1774" s="85">
        <v>174904221976312</v>
      </c>
      <c r="B1774" s="82" t="s">
        <v>10651</v>
      </c>
      <c r="C1774" s="82" t="s">
        <v>11159</v>
      </c>
      <c r="D1774" s="82" t="s">
        <v>11160</v>
      </c>
      <c r="E1774" s="82">
        <v>6289635171849</v>
      </c>
      <c r="F1774" s="86">
        <v>45848</v>
      </c>
      <c r="G1774" s="87">
        <v>330</v>
      </c>
      <c r="H1774" s="88">
        <v>35090.909090909096</v>
      </c>
      <c r="I1774" s="89">
        <v>6</v>
      </c>
      <c r="J1774" s="90">
        <v>13896</v>
      </c>
      <c r="K1774" s="85">
        <v>0</v>
      </c>
      <c r="L1774" s="85">
        <v>90</v>
      </c>
      <c r="M1774" s="85">
        <v>0</v>
      </c>
      <c r="N1774" s="82" t="s">
        <v>11161</v>
      </c>
      <c r="O1774" s="83"/>
    </row>
    <row r="1775" spans="1:15" ht="22.5" customHeight="1">
      <c r="A1775" s="85">
        <v>174904221976312</v>
      </c>
      <c r="B1775" s="82" t="s">
        <v>10651</v>
      </c>
      <c r="C1775" s="82" t="s">
        <v>11162</v>
      </c>
      <c r="D1775" s="82" t="s">
        <v>11163</v>
      </c>
      <c r="E1775" s="82">
        <v>6283162052952</v>
      </c>
      <c r="F1775" s="86">
        <v>45848</v>
      </c>
      <c r="G1775" s="87">
        <v>293</v>
      </c>
      <c r="H1775" s="88">
        <v>41550.161812297738</v>
      </c>
      <c r="I1775" s="89">
        <v>19</v>
      </c>
      <c r="J1775" s="90">
        <v>12839</v>
      </c>
      <c r="K1775" s="85">
        <v>3</v>
      </c>
      <c r="L1775" s="85">
        <v>3</v>
      </c>
      <c r="M1775" s="85">
        <v>0</v>
      </c>
      <c r="N1775" s="82" t="s">
        <v>11164</v>
      </c>
      <c r="O1775" s="83"/>
    </row>
    <row r="1776" spans="1:15" ht="22.5" customHeight="1">
      <c r="A1776" s="85">
        <v>174904221976312</v>
      </c>
      <c r="B1776" s="82" t="s">
        <v>10651</v>
      </c>
      <c r="C1776" s="82" t="s">
        <v>11165</v>
      </c>
      <c r="D1776" s="82" t="s">
        <v>1759</v>
      </c>
      <c r="E1776" s="82">
        <v>6285311472244</v>
      </c>
      <c r="F1776" s="86">
        <v>45848</v>
      </c>
      <c r="G1776" s="87">
        <v>1316</v>
      </c>
      <c r="H1776" s="88">
        <v>8572.0838794233296</v>
      </c>
      <c r="I1776" s="89">
        <v>61</v>
      </c>
      <c r="J1776" s="90">
        <v>13081</v>
      </c>
      <c r="K1776" s="85">
        <v>9</v>
      </c>
      <c r="L1776" s="85">
        <v>692</v>
      </c>
      <c r="M1776" s="85">
        <v>1</v>
      </c>
      <c r="N1776" s="82" t="s">
        <v>11166</v>
      </c>
      <c r="O1776" s="83"/>
    </row>
    <row r="1777" spans="1:15" ht="22.5" customHeight="1">
      <c r="A1777" s="85">
        <v>174904221976312</v>
      </c>
      <c r="B1777" s="82" t="s">
        <v>10651</v>
      </c>
      <c r="C1777" s="82" t="s">
        <v>11133</v>
      </c>
      <c r="D1777" s="82" t="s">
        <v>11134</v>
      </c>
      <c r="E1777" s="82">
        <v>6285779532526</v>
      </c>
      <c r="F1777" s="86">
        <v>45848</v>
      </c>
      <c r="G1777" s="87">
        <v>471</v>
      </c>
      <c r="H1777" s="88">
        <v>26526.901669758816</v>
      </c>
      <c r="I1777" s="89">
        <v>16</v>
      </c>
      <c r="J1777" s="90">
        <v>14298</v>
      </c>
      <c r="K1777" s="85">
        <v>4</v>
      </c>
      <c r="L1777" s="85">
        <v>141</v>
      </c>
      <c r="M1777" s="85">
        <v>0</v>
      </c>
      <c r="N1777" s="82" t="s">
        <v>11135</v>
      </c>
      <c r="O1777" s="83"/>
    </row>
    <row r="1778" spans="1:15" ht="22.5" customHeight="1">
      <c r="A1778" s="85">
        <v>174904221976312</v>
      </c>
      <c r="B1778" s="82" t="s">
        <v>10651</v>
      </c>
      <c r="C1778" s="82" t="s">
        <v>11136</v>
      </c>
      <c r="D1778" s="82" t="s">
        <v>1710</v>
      </c>
      <c r="E1778" s="82">
        <v>6285702653554</v>
      </c>
      <c r="F1778" s="86">
        <v>45848</v>
      </c>
      <c r="G1778" s="87">
        <v>747</v>
      </c>
      <c r="H1778" s="88">
        <v>14251.298026998962</v>
      </c>
      <c r="I1778" s="89">
        <v>66</v>
      </c>
      <c r="J1778" s="90">
        <v>13724</v>
      </c>
      <c r="K1778" s="85">
        <v>6</v>
      </c>
      <c r="L1778" s="85">
        <v>43</v>
      </c>
      <c r="M1778" s="85">
        <v>0</v>
      </c>
      <c r="N1778" s="82" t="s">
        <v>11137</v>
      </c>
      <c r="O1778" s="83"/>
    </row>
    <row r="1779" spans="1:15" ht="22.5" customHeight="1">
      <c r="A1779" s="85">
        <v>174904221976312</v>
      </c>
      <c r="B1779" s="82" t="s">
        <v>10651</v>
      </c>
      <c r="C1779" s="82" t="s">
        <v>11114</v>
      </c>
      <c r="D1779" s="82" t="s">
        <v>11115</v>
      </c>
      <c r="E1779" s="82">
        <v>6281323910830</v>
      </c>
      <c r="F1779" s="86">
        <v>45848</v>
      </c>
      <c r="G1779" s="87">
        <v>982</v>
      </c>
      <c r="H1779" s="88">
        <v>11809.108527131784</v>
      </c>
      <c r="I1779" s="89">
        <v>39</v>
      </c>
      <c r="J1779" s="90">
        <v>12187</v>
      </c>
      <c r="K1779" s="85">
        <v>2</v>
      </c>
      <c r="L1779" s="85">
        <v>0</v>
      </c>
      <c r="M1779" s="85">
        <v>0</v>
      </c>
      <c r="N1779" s="82" t="s">
        <v>11116</v>
      </c>
      <c r="O1779" s="83"/>
    </row>
    <row r="1780" spans="1:15" ht="22.5" customHeight="1">
      <c r="A1780" s="85">
        <v>174904221976312</v>
      </c>
      <c r="B1780" s="82" t="s">
        <v>10651</v>
      </c>
      <c r="C1780" s="82" t="s">
        <v>11117</v>
      </c>
      <c r="D1780" s="82" t="s">
        <v>11118</v>
      </c>
      <c r="E1780" s="82">
        <v>6282169851900</v>
      </c>
      <c r="F1780" s="86">
        <v>45848</v>
      </c>
      <c r="G1780" s="87">
        <v>1014</v>
      </c>
      <c r="H1780" s="88">
        <v>10711.960943856795</v>
      </c>
      <c r="I1780" s="89">
        <v>44</v>
      </c>
      <c r="J1780" s="90">
        <v>13165</v>
      </c>
      <c r="K1780" s="85">
        <v>2</v>
      </c>
      <c r="L1780" s="85">
        <v>216</v>
      </c>
      <c r="M1780" s="85">
        <v>0</v>
      </c>
      <c r="N1780" s="82" t="s">
        <v>11119</v>
      </c>
      <c r="O1780" s="83"/>
    </row>
    <row r="1781" spans="1:15" ht="22.5" customHeight="1">
      <c r="A1781" s="85">
        <v>174904221976312</v>
      </c>
      <c r="B1781" s="82" t="s">
        <v>10651</v>
      </c>
      <c r="C1781" s="82" t="s">
        <v>11120</v>
      </c>
      <c r="D1781" s="82" t="s">
        <v>11121</v>
      </c>
      <c r="E1781" s="82">
        <v>6282125330919</v>
      </c>
      <c r="F1781" s="86">
        <v>45848</v>
      </c>
      <c r="G1781" s="87">
        <v>512</v>
      </c>
      <c r="H1781" s="88">
        <v>22664.921465968586</v>
      </c>
      <c r="I1781" s="89">
        <v>28</v>
      </c>
      <c r="J1781" s="90">
        <v>12987</v>
      </c>
      <c r="K1781" s="85">
        <v>1</v>
      </c>
      <c r="L1781" s="85">
        <v>0</v>
      </c>
      <c r="M1781" s="85">
        <v>0</v>
      </c>
      <c r="N1781" s="82" t="s">
        <v>11122</v>
      </c>
      <c r="O1781" s="83"/>
    </row>
    <row r="1782" spans="1:15" ht="22.5" customHeight="1">
      <c r="A1782" s="85">
        <v>174904221976312</v>
      </c>
      <c r="B1782" s="82" t="s">
        <v>10651</v>
      </c>
      <c r="C1782" s="82" t="s">
        <v>11123</v>
      </c>
      <c r="D1782" s="82" t="s">
        <v>11124</v>
      </c>
      <c r="E1782" s="82">
        <v>628111508569</v>
      </c>
      <c r="F1782" s="86">
        <v>45848</v>
      </c>
      <c r="G1782" s="87">
        <v>371</v>
      </c>
      <c r="H1782" s="88">
        <v>35639.303482587064</v>
      </c>
      <c r="I1782" s="89">
        <v>7</v>
      </c>
      <c r="J1782" s="90">
        <v>14327</v>
      </c>
      <c r="K1782" s="85">
        <v>2</v>
      </c>
      <c r="L1782" s="85">
        <v>2</v>
      </c>
      <c r="M1782" s="85">
        <v>0</v>
      </c>
      <c r="N1782" s="82" t="s">
        <v>11125</v>
      </c>
      <c r="O1782" s="83"/>
    </row>
    <row r="1783" spans="1:15" ht="22.5" customHeight="1">
      <c r="A1783" s="85">
        <v>174904221976312</v>
      </c>
      <c r="B1783" s="82" t="s">
        <v>10651</v>
      </c>
      <c r="C1783" s="82" t="s">
        <v>11231</v>
      </c>
      <c r="D1783" s="82" t="s">
        <v>11232</v>
      </c>
      <c r="E1783" s="82">
        <v>6281943398970</v>
      </c>
      <c r="F1783" s="86">
        <v>45848</v>
      </c>
      <c r="G1783" s="87">
        <v>963</v>
      </c>
      <c r="H1783" s="88">
        <v>18553.941908713692</v>
      </c>
      <c r="I1783" s="89">
        <v>5</v>
      </c>
      <c r="J1783" s="90">
        <v>17886</v>
      </c>
      <c r="K1783" s="85">
        <v>0</v>
      </c>
      <c r="L1783" s="85">
        <v>9</v>
      </c>
      <c r="M1783" s="85">
        <v>0</v>
      </c>
      <c r="N1783" s="82" t="s">
        <v>11233</v>
      </c>
      <c r="O1783" s="83"/>
    </row>
    <row r="1784" spans="1:15" ht="22.5" customHeight="1">
      <c r="A1784" s="85">
        <v>174904221976312</v>
      </c>
      <c r="B1784" s="82" t="s">
        <v>10651</v>
      </c>
      <c r="C1784" s="82" t="s">
        <v>11096</v>
      </c>
      <c r="D1784" s="82" t="s">
        <v>11097</v>
      </c>
      <c r="E1784" s="82">
        <v>6285727410479</v>
      </c>
      <c r="F1784" s="86">
        <v>45848</v>
      </c>
      <c r="G1784" s="87">
        <v>273</v>
      </c>
      <c r="H1784" s="88">
        <v>32489.028213166144</v>
      </c>
      <c r="I1784" s="89">
        <v>8</v>
      </c>
      <c r="J1784" s="90">
        <v>10364</v>
      </c>
      <c r="K1784" s="85">
        <v>1</v>
      </c>
      <c r="L1784" s="85">
        <v>22</v>
      </c>
      <c r="M1784" s="85">
        <v>0</v>
      </c>
      <c r="N1784" s="82" t="s">
        <v>11167</v>
      </c>
      <c r="O1784" s="83"/>
    </row>
    <row r="1785" spans="1:15" ht="22.5" customHeight="1">
      <c r="A1785" s="85">
        <v>174904221976312</v>
      </c>
      <c r="B1785" s="82" t="s">
        <v>10651</v>
      </c>
      <c r="C1785" s="82" t="s">
        <v>11127</v>
      </c>
      <c r="D1785" s="82" t="s">
        <v>11128</v>
      </c>
      <c r="E1785" s="82">
        <v>6281355026552</v>
      </c>
      <c r="F1785" s="86">
        <v>45848</v>
      </c>
      <c r="G1785" s="87">
        <v>835</v>
      </c>
      <c r="H1785" s="88">
        <v>15080.765143464399</v>
      </c>
      <c r="I1785" s="89">
        <v>61</v>
      </c>
      <c r="J1785" s="90">
        <v>14191</v>
      </c>
      <c r="K1785" s="85">
        <v>9</v>
      </c>
      <c r="L1785" s="85">
        <v>173</v>
      </c>
      <c r="M1785" s="85">
        <v>3</v>
      </c>
      <c r="N1785" s="82" t="s">
        <v>11129</v>
      </c>
      <c r="O1785" s="83"/>
    </row>
    <row r="1786" spans="1:15" ht="22.5" customHeight="1">
      <c r="A1786" s="85">
        <v>174904221976312</v>
      </c>
      <c r="B1786" s="82" t="s">
        <v>10651</v>
      </c>
      <c r="C1786" s="82" t="s">
        <v>11002</v>
      </c>
      <c r="D1786" s="82" t="s">
        <v>11003</v>
      </c>
      <c r="E1786" s="82">
        <v>6288228976100</v>
      </c>
      <c r="F1786" s="86">
        <v>45848</v>
      </c>
      <c r="G1786" s="87">
        <v>256</v>
      </c>
      <c r="H1786" s="88">
        <v>47035.714285714283</v>
      </c>
      <c r="I1786" s="89">
        <v>12</v>
      </c>
      <c r="J1786" s="90">
        <v>14487</v>
      </c>
      <c r="K1786" s="85">
        <v>0</v>
      </c>
      <c r="L1786" s="85">
        <v>55</v>
      </c>
      <c r="M1786" s="85">
        <v>1</v>
      </c>
      <c r="N1786" s="82" t="s">
        <v>11004</v>
      </c>
      <c r="O1786" s="83"/>
    </row>
    <row r="1787" spans="1:15" ht="22.5" customHeight="1">
      <c r="A1787" s="85">
        <v>174904221976312</v>
      </c>
      <c r="B1787" s="82" t="s">
        <v>10651</v>
      </c>
      <c r="C1787" s="82" t="s">
        <v>10943</v>
      </c>
      <c r="D1787" s="82" t="s">
        <v>10944</v>
      </c>
      <c r="E1787" s="82">
        <v>6285240694097</v>
      </c>
      <c r="F1787" s="86">
        <v>45848</v>
      </c>
      <c r="G1787" s="87">
        <v>1207</v>
      </c>
      <c r="H1787" s="88">
        <v>11155.429382540809</v>
      </c>
      <c r="I1787" s="89">
        <v>38</v>
      </c>
      <c r="J1787" s="90">
        <v>15718</v>
      </c>
      <c r="K1787" s="85">
        <v>4</v>
      </c>
      <c r="L1787" s="85">
        <v>132</v>
      </c>
      <c r="M1787" s="85">
        <v>0</v>
      </c>
      <c r="N1787" s="82" t="s">
        <v>10945</v>
      </c>
      <c r="O1787" s="83"/>
    </row>
    <row r="1788" spans="1:15" ht="22.5" customHeight="1">
      <c r="A1788" s="85">
        <v>174904221976312</v>
      </c>
      <c r="B1788" s="82" t="s">
        <v>10651</v>
      </c>
      <c r="C1788" s="82" t="s">
        <v>10853</v>
      </c>
      <c r="D1788" s="82" t="s">
        <v>10854</v>
      </c>
      <c r="E1788" s="82">
        <v>6281393958199</v>
      </c>
      <c r="F1788" s="86">
        <v>45848</v>
      </c>
      <c r="G1788" s="87">
        <v>555</v>
      </c>
      <c r="H1788" s="88">
        <v>17743.788819875776</v>
      </c>
      <c r="I1788" s="89">
        <v>12</v>
      </c>
      <c r="J1788" s="90">
        <v>11427</v>
      </c>
      <c r="K1788" s="85">
        <v>1</v>
      </c>
      <c r="L1788" s="85">
        <v>206</v>
      </c>
      <c r="M1788" s="85">
        <v>0</v>
      </c>
      <c r="N1788" s="82" t="s">
        <v>10855</v>
      </c>
      <c r="O1788" s="83"/>
    </row>
    <row r="1789" spans="1:15" ht="22.5" customHeight="1">
      <c r="A1789" s="85">
        <v>174904221976312</v>
      </c>
      <c r="B1789" s="82" t="s">
        <v>10651</v>
      </c>
      <c r="C1789" s="82" t="s">
        <v>818</v>
      </c>
      <c r="D1789" s="82" t="s">
        <v>812</v>
      </c>
      <c r="E1789" s="82">
        <v>6287858585808</v>
      </c>
      <c r="F1789" s="86">
        <v>45848</v>
      </c>
      <c r="G1789" s="87">
        <v>810</v>
      </c>
      <c r="H1789" s="88">
        <v>13745.555555555555</v>
      </c>
      <c r="I1789" s="89">
        <v>19</v>
      </c>
      <c r="J1789" s="90">
        <v>12371</v>
      </c>
      <c r="K1789" s="85">
        <v>1</v>
      </c>
      <c r="L1789" s="85">
        <v>217</v>
      </c>
      <c r="M1789" s="85">
        <v>0</v>
      </c>
      <c r="N1789" s="82" t="s">
        <v>10831</v>
      </c>
      <c r="O1789" s="83"/>
    </row>
    <row r="1790" spans="1:15" ht="22.5" customHeight="1">
      <c r="A1790" s="85">
        <v>174904221976312</v>
      </c>
      <c r="B1790" s="82" t="s">
        <v>10651</v>
      </c>
      <c r="C1790" s="82" t="s">
        <v>10655</v>
      </c>
      <c r="D1790" s="82" t="s">
        <v>3908</v>
      </c>
      <c r="E1790" s="82">
        <v>6285376667233</v>
      </c>
      <c r="F1790" s="86">
        <v>45848</v>
      </c>
      <c r="G1790" s="87">
        <v>1134</v>
      </c>
      <c r="H1790" s="88">
        <v>11242.801556420232</v>
      </c>
      <c r="I1790" s="89">
        <v>41</v>
      </c>
      <c r="J1790" s="90">
        <v>14447</v>
      </c>
      <c r="K1790" s="85">
        <v>4</v>
      </c>
      <c r="L1790" s="85">
        <v>429</v>
      </c>
      <c r="M1790" s="85">
        <v>0</v>
      </c>
      <c r="N1790" s="82" t="s">
        <v>10656</v>
      </c>
      <c r="O1790" s="83"/>
    </row>
    <row r="1791" spans="1:15" ht="22.5" customHeight="1">
      <c r="A1791" s="85">
        <v>174904221976312</v>
      </c>
      <c r="B1791" s="82" t="s">
        <v>10651</v>
      </c>
      <c r="C1791" s="82" t="s">
        <v>10659</v>
      </c>
      <c r="D1791" s="82" t="s">
        <v>1044</v>
      </c>
      <c r="E1791" s="82">
        <v>6281263113266</v>
      </c>
      <c r="F1791" s="86">
        <v>45848</v>
      </c>
      <c r="G1791" s="87">
        <v>683</v>
      </c>
      <c r="H1791" s="88">
        <v>13152.125279642059</v>
      </c>
      <c r="I1791" s="89">
        <v>19</v>
      </c>
      <c r="J1791" s="90">
        <v>11758</v>
      </c>
      <c r="K1791" s="85">
        <v>1</v>
      </c>
      <c r="L1791" s="85">
        <v>88</v>
      </c>
      <c r="M1791" s="85">
        <v>0</v>
      </c>
      <c r="N1791" s="82" t="s">
        <v>10660</v>
      </c>
      <c r="O1791" s="83"/>
    </row>
    <row r="1792" spans="1:15" ht="22.5" customHeight="1">
      <c r="A1792" s="85">
        <v>174904221976312</v>
      </c>
      <c r="B1792" s="82" t="s">
        <v>10651</v>
      </c>
      <c r="C1792" s="82" t="s">
        <v>11078</v>
      </c>
      <c r="D1792" s="82" t="s">
        <v>3140</v>
      </c>
      <c r="E1792" s="82"/>
      <c r="F1792" s="86">
        <v>45848</v>
      </c>
      <c r="G1792" s="87">
        <v>5542</v>
      </c>
      <c r="H1792" s="88">
        <v>1965.9853796807402</v>
      </c>
      <c r="I1792" s="89">
        <v>129</v>
      </c>
      <c r="J1792" s="90">
        <v>13178</v>
      </c>
      <c r="K1792" s="85">
        <v>5</v>
      </c>
      <c r="L1792" s="85">
        <v>0</v>
      </c>
      <c r="M1792" s="85">
        <v>1</v>
      </c>
      <c r="N1792" s="82" t="s">
        <v>11079</v>
      </c>
      <c r="O1792" s="83"/>
    </row>
    <row r="1793" spans="1:15" ht="22.5" customHeight="1">
      <c r="A1793" s="85">
        <v>174904221976312</v>
      </c>
      <c r="B1793" s="82" t="s">
        <v>10651</v>
      </c>
      <c r="C1793" s="82" t="s">
        <v>10731</v>
      </c>
      <c r="D1793" s="82" t="s">
        <v>10732</v>
      </c>
      <c r="E1793" s="82">
        <v>6281241440688</v>
      </c>
      <c r="F1793" s="86">
        <v>45848</v>
      </c>
      <c r="G1793" s="87">
        <v>2121</v>
      </c>
      <c r="H1793" s="88">
        <v>5997.069903725408</v>
      </c>
      <c r="I1793" s="89">
        <v>16</v>
      </c>
      <c r="J1793" s="90">
        <v>14327</v>
      </c>
      <c r="K1793" s="85">
        <v>0</v>
      </c>
      <c r="L1793" s="85">
        <v>485</v>
      </c>
      <c r="M1793" s="85">
        <v>0</v>
      </c>
      <c r="N1793" s="82" t="s">
        <v>10733</v>
      </c>
      <c r="O1793" s="83"/>
    </row>
    <row r="1794" spans="1:15" ht="22.5" customHeight="1">
      <c r="A1794" s="85">
        <v>174904221976312</v>
      </c>
      <c r="B1794" s="82" t="s">
        <v>10651</v>
      </c>
      <c r="C1794" s="82" t="s">
        <v>11168</v>
      </c>
      <c r="D1794" s="82" t="s">
        <v>11169</v>
      </c>
      <c r="E1794" s="82">
        <v>628115424402</v>
      </c>
      <c r="F1794" s="86">
        <v>45848</v>
      </c>
      <c r="G1794" s="87">
        <v>1054</v>
      </c>
      <c r="H1794" s="88">
        <v>12041.420118343196</v>
      </c>
      <c r="I1794" s="89">
        <v>43</v>
      </c>
      <c r="J1794" s="90">
        <v>14245</v>
      </c>
      <c r="K1794" s="85">
        <v>3</v>
      </c>
      <c r="L1794" s="85">
        <v>300</v>
      </c>
      <c r="M1794" s="85">
        <v>0</v>
      </c>
      <c r="N1794" s="82" t="s">
        <v>11170</v>
      </c>
      <c r="O1794" s="83"/>
    </row>
    <row r="1795" spans="1:15" ht="22.5" customHeight="1">
      <c r="A1795" s="85">
        <v>766589657993298</v>
      </c>
      <c r="B1795" s="82" t="s">
        <v>10688</v>
      </c>
      <c r="C1795" s="82" t="s">
        <v>11234</v>
      </c>
      <c r="D1795" s="82" t="s">
        <v>1945</v>
      </c>
      <c r="E1795" s="82">
        <v>6289525439559</v>
      </c>
      <c r="F1795" s="86">
        <v>45848</v>
      </c>
      <c r="G1795" s="87">
        <v>359</v>
      </c>
      <c r="H1795" s="88">
        <v>36677.002583979331</v>
      </c>
      <c r="I1795" s="89">
        <v>4</v>
      </c>
      <c r="J1795" s="90">
        <v>14194</v>
      </c>
      <c r="K1795" s="85">
        <v>1</v>
      </c>
      <c r="L1795" s="85">
        <v>56</v>
      </c>
      <c r="M1795" s="85">
        <v>0</v>
      </c>
      <c r="N1795" s="82" t="s">
        <v>11235</v>
      </c>
      <c r="O1795" s="83"/>
    </row>
    <row r="1796" spans="1:15" ht="22.5" customHeight="1">
      <c r="A1796" s="85">
        <v>766589657993298</v>
      </c>
      <c r="B1796" s="82" t="s">
        <v>10688</v>
      </c>
      <c r="C1796" s="82" t="s">
        <v>11236</v>
      </c>
      <c r="D1796" s="82" t="s">
        <v>11237</v>
      </c>
      <c r="E1796" s="82">
        <v>6285279489086</v>
      </c>
      <c r="F1796" s="86">
        <v>45848</v>
      </c>
      <c r="G1796" s="87">
        <v>546</v>
      </c>
      <c r="H1796" s="88">
        <v>22171.826625386999</v>
      </c>
      <c r="I1796" s="89">
        <v>18</v>
      </c>
      <c r="J1796" s="90">
        <v>14323</v>
      </c>
      <c r="K1796" s="85">
        <v>2</v>
      </c>
      <c r="L1796" s="85">
        <v>86</v>
      </c>
      <c r="M1796" s="85">
        <v>0</v>
      </c>
      <c r="N1796" s="82" t="s">
        <v>11238</v>
      </c>
      <c r="O1796" s="83"/>
    </row>
    <row r="1797" spans="1:15" ht="22.5" customHeight="1">
      <c r="A1797" s="85">
        <v>766589657993298</v>
      </c>
      <c r="B1797" s="82" t="s">
        <v>10688</v>
      </c>
      <c r="C1797" s="82" t="s">
        <v>11239</v>
      </c>
      <c r="D1797" s="82" t="s">
        <v>11240</v>
      </c>
      <c r="E1797" s="82">
        <v>6281213766426</v>
      </c>
      <c r="F1797" s="86">
        <v>45848</v>
      </c>
      <c r="G1797" s="87">
        <v>413</v>
      </c>
      <c r="H1797" s="88">
        <v>29217.479674796748</v>
      </c>
      <c r="I1797" s="89">
        <v>9</v>
      </c>
      <c r="J1797" s="90">
        <v>14375</v>
      </c>
      <c r="K1797" s="85">
        <v>2</v>
      </c>
      <c r="L1797" s="85">
        <v>122</v>
      </c>
      <c r="M1797" s="85">
        <v>0</v>
      </c>
      <c r="N1797" s="82" t="s">
        <v>11241</v>
      </c>
      <c r="O1797" s="83"/>
    </row>
    <row r="1798" spans="1:15" ht="22.5" customHeight="1">
      <c r="A1798" s="85">
        <v>766589657993298</v>
      </c>
      <c r="B1798" s="82" t="s">
        <v>10688</v>
      </c>
      <c r="C1798" s="82" t="s">
        <v>11242</v>
      </c>
      <c r="D1798" s="82" t="s">
        <v>1179</v>
      </c>
      <c r="E1798" s="82">
        <v>6281384442619</v>
      </c>
      <c r="F1798" s="86">
        <v>45848</v>
      </c>
      <c r="G1798" s="87">
        <v>391</v>
      </c>
      <c r="H1798" s="88">
        <v>31535.242290748898</v>
      </c>
      <c r="I1798" s="89">
        <v>13</v>
      </c>
      <c r="J1798" s="90">
        <v>14317</v>
      </c>
      <c r="K1798" s="85">
        <v>2</v>
      </c>
      <c r="L1798" s="85">
        <v>0</v>
      </c>
      <c r="M1798" s="85">
        <v>0</v>
      </c>
      <c r="N1798" s="82" t="s">
        <v>11243</v>
      </c>
      <c r="O1798" s="83"/>
    </row>
    <row r="1799" spans="1:15" ht="22.5" customHeight="1">
      <c r="A1799" s="85">
        <v>766589657993298</v>
      </c>
      <c r="B1799" s="82" t="s">
        <v>10688</v>
      </c>
      <c r="C1799" s="82" t="s">
        <v>11201</v>
      </c>
      <c r="D1799" s="82" t="s">
        <v>11202</v>
      </c>
      <c r="E1799" s="82"/>
      <c r="F1799" s="86">
        <v>45848</v>
      </c>
      <c r="G1799" s="87">
        <v>4332</v>
      </c>
      <c r="H1799" s="88">
        <v>19281.236853176273</v>
      </c>
      <c r="I1799" s="89">
        <v>50</v>
      </c>
      <c r="J1799" s="90">
        <v>91663</v>
      </c>
      <c r="K1799" s="85">
        <v>4</v>
      </c>
      <c r="L1799" s="85">
        <v>556</v>
      </c>
      <c r="M1799" s="85">
        <v>0</v>
      </c>
      <c r="N1799" s="82" t="s">
        <v>11203</v>
      </c>
      <c r="O1799" s="83"/>
    </row>
    <row r="1800" spans="1:15" ht="22.5" customHeight="1">
      <c r="A1800" s="85">
        <v>766589657993298</v>
      </c>
      <c r="B1800" s="82" t="s">
        <v>10688</v>
      </c>
      <c r="C1800" s="82" t="s">
        <v>11204</v>
      </c>
      <c r="D1800" s="82" t="s">
        <v>11205</v>
      </c>
      <c r="E1800" s="82">
        <v>628112999165</v>
      </c>
      <c r="F1800" s="86">
        <v>45848</v>
      </c>
      <c r="G1800" s="87">
        <v>686</v>
      </c>
      <c r="H1800" s="88">
        <v>20616.071428571428</v>
      </c>
      <c r="I1800" s="89">
        <v>6</v>
      </c>
      <c r="J1800" s="90">
        <v>16163</v>
      </c>
      <c r="K1800" s="85">
        <v>0</v>
      </c>
      <c r="L1800" s="85">
        <v>39</v>
      </c>
      <c r="M1800" s="85">
        <v>0</v>
      </c>
      <c r="N1800" s="82" t="s">
        <v>11206</v>
      </c>
      <c r="O1800" s="83"/>
    </row>
    <row r="1801" spans="1:15" ht="22.5" customHeight="1">
      <c r="A1801" s="85">
        <v>766589657993298</v>
      </c>
      <c r="B1801" s="82" t="s">
        <v>10688</v>
      </c>
      <c r="C1801" s="82" t="s">
        <v>11207</v>
      </c>
      <c r="D1801" s="82" t="s">
        <v>11208</v>
      </c>
      <c r="E1801" s="82">
        <v>6282111180648</v>
      </c>
      <c r="F1801" s="86">
        <v>45848</v>
      </c>
      <c r="G1801" s="87">
        <v>433</v>
      </c>
      <c r="H1801" s="88">
        <v>27476.923076923074</v>
      </c>
      <c r="I1801" s="89">
        <v>12</v>
      </c>
      <c r="J1801" s="90">
        <v>14288</v>
      </c>
      <c r="K1801" s="85">
        <v>0</v>
      </c>
      <c r="L1801" s="85">
        <v>24</v>
      </c>
      <c r="M1801" s="85">
        <v>0</v>
      </c>
      <c r="N1801" s="82" t="s">
        <v>11209</v>
      </c>
      <c r="O1801" s="83"/>
    </row>
    <row r="1802" spans="1:15" ht="22.5" customHeight="1">
      <c r="A1802" s="85">
        <v>766589657993298</v>
      </c>
      <c r="B1802" s="82" t="s">
        <v>10688</v>
      </c>
      <c r="C1802" s="82" t="s">
        <v>11171</v>
      </c>
      <c r="D1802" s="82" t="s">
        <v>11172</v>
      </c>
      <c r="E1802" s="82">
        <v>6281214999292</v>
      </c>
      <c r="F1802" s="86">
        <v>45848</v>
      </c>
      <c r="G1802" s="87">
        <v>269</v>
      </c>
      <c r="H1802" s="88">
        <v>54608.974358974359</v>
      </c>
      <c r="I1802" s="89">
        <v>12</v>
      </c>
      <c r="J1802" s="90">
        <v>17038</v>
      </c>
      <c r="K1802" s="85">
        <v>2</v>
      </c>
      <c r="L1802" s="85">
        <v>89</v>
      </c>
      <c r="M1802" s="85">
        <v>0</v>
      </c>
      <c r="N1802" s="82" t="s">
        <v>11173</v>
      </c>
      <c r="O1802" s="83"/>
    </row>
    <row r="1803" spans="1:15" ht="22.5" customHeight="1">
      <c r="A1803" s="85">
        <v>766589657993298</v>
      </c>
      <c r="B1803" s="82" t="s">
        <v>10688</v>
      </c>
      <c r="C1803" s="82" t="s">
        <v>11174</v>
      </c>
      <c r="D1803" s="82" t="s">
        <v>11175</v>
      </c>
      <c r="E1803" s="82">
        <v>6282184019830</v>
      </c>
      <c r="F1803" s="86">
        <v>45848</v>
      </c>
      <c r="G1803" s="87">
        <v>451</v>
      </c>
      <c r="H1803" s="88">
        <v>30651.209677419356</v>
      </c>
      <c r="I1803" s="89">
        <v>10</v>
      </c>
      <c r="J1803" s="90">
        <v>15203</v>
      </c>
      <c r="K1803" s="85">
        <v>3</v>
      </c>
      <c r="L1803" s="85">
        <v>113</v>
      </c>
      <c r="M1803" s="85">
        <v>0</v>
      </c>
      <c r="N1803" s="82" t="s">
        <v>11176</v>
      </c>
      <c r="O1803" s="83"/>
    </row>
    <row r="1804" spans="1:15" ht="22.5" customHeight="1">
      <c r="A1804" s="85">
        <v>766589657993298</v>
      </c>
      <c r="B1804" s="82" t="s">
        <v>10688</v>
      </c>
      <c r="C1804" s="82" t="s">
        <v>11177</v>
      </c>
      <c r="D1804" s="82" t="s">
        <v>11178</v>
      </c>
      <c r="E1804" s="82">
        <v>6281351666729</v>
      </c>
      <c r="F1804" s="86">
        <v>45848</v>
      </c>
      <c r="G1804" s="87">
        <v>620</v>
      </c>
      <c r="H1804" s="88">
        <v>18828.083989501312</v>
      </c>
      <c r="I1804" s="89">
        <v>18</v>
      </c>
      <c r="J1804" s="90">
        <v>14347</v>
      </c>
      <c r="K1804" s="85">
        <v>2</v>
      </c>
      <c r="L1804" s="85">
        <v>191</v>
      </c>
      <c r="M1804" s="85">
        <v>0</v>
      </c>
      <c r="N1804" s="82" t="s">
        <v>11179</v>
      </c>
      <c r="O1804" s="83"/>
    </row>
    <row r="1805" spans="1:15" ht="22.5" customHeight="1">
      <c r="A1805" s="85">
        <v>766589657993298</v>
      </c>
      <c r="B1805" s="82" t="s">
        <v>10688</v>
      </c>
      <c r="C1805" s="82" t="s">
        <v>11180</v>
      </c>
      <c r="D1805" s="82" t="s">
        <v>11181</v>
      </c>
      <c r="E1805" s="82">
        <v>62895800343940</v>
      </c>
      <c r="F1805" s="86">
        <v>45848</v>
      </c>
      <c r="G1805" s="87">
        <v>717</v>
      </c>
      <c r="H1805" s="88">
        <v>17283.582089552241</v>
      </c>
      <c r="I1805" s="89">
        <v>16</v>
      </c>
      <c r="J1805" s="90">
        <v>15054</v>
      </c>
      <c r="K1805" s="85">
        <v>1</v>
      </c>
      <c r="L1805" s="85">
        <v>65</v>
      </c>
      <c r="M1805" s="85">
        <v>0</v>
      </c>
      <c r="N1805" s="82" t="s">
        <v>11182</v>
      </c>
      <c r="O1805" s="83"/>
    </row>
    <row r="1806" spans="1:15" ht="22.5" customHeight="1">
      <c r="A1806" s="85">
        <v>766589657993298</v>
      </c>
      <c r="B1806" s="82" t="s">
        <v>10688</v>
      </c>
      <c r="C1806" s="82" t="s">
        <v>11139</v>
      </c>
      <c r="D1806" s="82" t="s">
        <v>11140</v>
      </c>
      <c r="E1806" s="82"/>
      <c r="F1806" s="86">
        <v>45848</v>
      </c>
      <c r="G1806" s="87">
        <v>699</v>
      </c>
      <c r="H1806" s="88">
        <v>25088.507265521799</v>
      </c>
      <c r="I1806" s="89">
        <v>11</v>
      </c>
      <c r="J1806" s="90">
        <v>18992</v>
      </c>
      <c r="K1806" s="85">
        <v>0</v>
      </c>
      <c r="L1806" s="85">
        <v>0</v>
      </c>
      <c r="M1806" s="85">
        <v>0</v>
      </c>
      <c r="N1806" s="82" t="s">
        <v>11141</v>
      </c>
      <c r="O1806" s="83"/>
    </row>
    <row r="1807" spans="1:15" ht="22.5" customHeight="1">
      <c r="A1807" s="85">
        <v>766589657993298</v>
      </c>
      <c r="B1807" s="82" t="s">
        <v>10688</v>
      </c>
      <c r="C1807" s="82" t="s">
        <v>11142</v>
      </c>
      <c r="D1807" s="82" t="s">
        <v>10980</v>
      </c>
      <c r="E1807" s="82">
        <v>6285715856120</v>
      </c>
      <c r="F1807" s="86">
        <v>45848</v>
      </c>
      <c r="G1807" s="87">
        <v>762</v>
      </c>
      <c r="H1807" s="88">
        <v>18783.393501805054</v>
      </c>
      <c r="I1807" s="89">
        <v>26</v>
      </c>
      <c r="J1807" s="90">
        <v>15609</v>
      </c>
      <c r="K1807" s="85">
        <v>4</v>
      </c>
      <c r="L1807" s="85">
        <v>298</v>
      </c>
      <c r="M1807" s="85">
        <v>0</v>
      </c>
      <c r="N1807" s="82" t="s">
        <v>11143</v>
      </c>
      <c r="O1807" s="83"/>
    </row>
    <row r="1808" spans="1:15" ht="22.5" customHeight="1">
      <c r="A1808" s="85">
        <v>766589657993298</v>
      </c>
      <c r="B1808" s="82" t="s">
        <v>10688</v>
      </c>
      <c r="C1808" s="82" t="s">
        <v>11103</v>
      </c>
      <c r="D1808" s="82" t="s">
        <v>11104</v>
      </c>
      <c r="E1808" s="82">
        <v>6282124027899</v>
      </c>
      <c r="F1808" s="86">
        <v>45848</v>
      </c>
      <c r="G1808" s="87">
        <v>1828</v>
      </c>
      <c r="H1808" s="88">
        <v>7575.5813953488368</v>
      </c>
      <c r="I1808" s="89">
        <v>32</v>
      </c>
      <c r="J1808" s="90">
        <v>15636</v>
      </c>
      <c r="K1808" s="85">
        <v>1</v>
      </c>
      <c r="L1808" s="85">
        <v>461</v>
      </c>
      <c r="M1808" s="85">
        <v>0</v>
      </c>
      <c r="N1808" s="82" t="s">
        <v>11105</v>
      </c>
      <c r="O1808" s="83"/>
    </row>
    <row r="1809" spans="1:15" ht="22.5" customHeight="1">
      <c r="A1809" s="85">
        <v>766589657993298</v>
      </c>
      <c r="B1809" s="82" t="s">
        <v>10688</v>
      </c>
      <c r="C1809" s="82" t="s">
        <v>11053</v>
      </c>
      <c r="D1809" s="82" t="s">
        <v>1579</v>
      </c>
      <c r="E1809" s="82">
        <v>6285647189964</v>
      </c>
      <c r="F1809" s="86">
        <v>45848</v>
      </c>
      <c r="G1809" s="87">
        <v>942</v>
      </c>
      <c r="H1809" s="88">
        <v>19762.611275964391</v>
      </c>
      <c r="I1809" s="89">
        <v>6</v>
      </c>
      <c r="J1809" s="90">
        <v>19980</v>
      </c>
      <c r="K1809" s="85">
        <v>0</v>
      </c>
      <c r="L1809" s="85">
        <v>302</v>
      </c>
      <c r="M1809" s="85">
        <v>0</v>
      </c>
      <c r="N1809" s="82" t="s">
        <v>11054</v>
      </c>
      <c r="O1809" s="83"/>
    </row>
    <row r="1810" spans="1:15" ht="22.5" customHeight="1">
      <c r="A1810" s="85">
        <v>766589657993298</v>
      </c>
      <c r="B1810" s="82" t="s">
        <v>10688</v>
      </c>
      <c r="C1810" s="82" t="s">
        <v>11026</v>
      </c>
      <c r="D1810" s="82" t="s">
        <v>1172</v>
      </c>
      <c r="E1810" s="82">
        <v>6285950836788</v>
      </c>
      <c r="F1810" s="86">
        <v>45848</v>
      </c>
      <c r="G1810" s="87">
        <v>498</v>
      </c>
      <c r="H1810" s="88">
        <v>28769.516728624534</v>
      </c>
      <c r="I1810" s="89">
        <v>11</v>
      </c>
      <c r="J1810" s="90">
        <v>15478</v>
      </c>
      <c r="K1810" s="85">
        <v>4</v>
      </c>
      <c r="L1810" s="85">
        <v>139</v>
      </c>
      <c r="M1810" s="85">
        <v>0</v>
      </c>
      <c r="N1810" s="82" t="s">
        <v>11027</v>
      </c>
      <c r="O1810" s="83"/>
    </row>
    <row r="1811" spans="1:15" ht="22.5" customHeight="1">
      <c r="A1811" s="85">
        <v>766589657993298</v>
      </c>
      <c r="B1811" s="82" t="s">
        <v>10688</v>
      </c>
      <c r="C1811" s="82" t="s">
        <v>11028</v>
      </c>
      <c r="D1811" s="82" t="s">
        <v>11029</v>
      </c>
      <c r="E1811" s="82">
        <v>6282338171577</v>
      </c>
      <c r="F1811" s="86">
        <v>45848</v>
      </c>
      <c r="G1811" s="87">
        <v>1061</v>
      </c>
      <c r="H1811" s="88">
        <v>12608.346709470306</v>
      </c>
      <c r="I1811" s="89">
        <v>26</v>
      </c>
      <c r="J1811" s="90">
        <v>15710</v>
      </c>
      <c r="K1811" s="85">
        <v>3</v>
      </c>
      <c r="L1811" s="85">
        <v>417</v>
      </c>
      <c r="M1811" s="85">
        <v>1</v>
      </c>
      <c r="N1811" s="82" t="s">
        <v>11030</v>
      </c>
      <c r="O1811" s="83"/>
    </row>
    <row r="1812" spans="1:15" ht="22.5" customHeight="1">
      <c r="A1812" s="85">
        <v>766589657993298</v>
      </c>
      <c r="B1812" s="82" t="s">
        <v>10688</v>
      </c>
      <c r="C1812" s="82" t="s">
        <v>10885</v>
      </c>
      <c r="D1812" s="82" t="s">
        <v>906</v>
      </c>
      <c r="E1812" s="82">
        <v>6282183115806</v>
      </c>
      <c r="F1812" s="86">
        <v>45848</v>
      </c>
      <c r="G1812" s="87">
        <v>699</v>
      </c>
      <c r="H1812" s="88">
        <v>21067.270375161708</v>
      </c>
      <c r="I1812" s="89">
        <v>28</v>
      </c>
      <c r="J1812" s="90">
        <v>16285</v>
      </c>
      <c r="K1812" s="85">
        <v>6</v>
      </c>
      <c r="L1812" s="85">
        <v>361</v>
      </c>
      <c r="M1812" s="85">
        <v>0</v>
      </c>
      <c r="N1812" s="82" t="s">
        <v>10886</v>
      </c>
      <c r="O1812" s="83"/>
    </row>
    <row r="1813" spans="1:15" ht="22.5" customHeight="1">
      <c r="A1813" s="85">
        <v>766589657993298</v>
      </c>
      <c r="B1813" s="82" t="s">
        <v>10688</v>
      </c>
      <c r="C1813" s="82" t="s">
        <v>10879</v>
      </c>
      <c r="D1813" s="82" t="s">
        <v>10880</v>
      </c>
      <c r="E1813" s="82">
        <v>6281215851833</v>
      </c>
      <c r="F1813" s="86">
        <v>45848</v>
      </c>
      <c r="G1813" s="87">
        <v>389</v>
      </c>
      <c r="H1813" s="88">
        <v>37414.027149321264</v>
      </c>
      <c r="I1813" s="89">
        <v>23</v>
      </c>
      <c r="J1813" s="90">
        <v>16537</v>
      </c>
      <c r="K1813" s="85">
        <v>2</v>
      </c>
      <c r="L1813" s="85">
        <v>0</v>
      </c>
      <c r="M1813" s="85">
        <v>0</v>
      </c>
      <c r="N1813" s="82" t="s">
        <v>10881</v>
      </c>
      <c r="O1813" s="83"/>
    </row>
    <row r="1814" spans="1:15" ht="22.5" customHeight="1">
      <c r="A1814" s="85">
        <v>766589657993298</v>
      </c>
      <c r="B1814" s="82" t="s">
        <v>10688</v>
      </c>
      <c r="C1814" s="82" t="s">
        <v>10780</v>
      </c>
      <c r="D1814" s="82" t="s">
        <v>10781</v>
      </c>
      <c r="E1814" s="82">
        <v>6281338789995</v>
      </c>
      <c r="F1814" s="86">
        <v>45848</v>
      </c>
      <c r="G1814" s="87">
        <v>750</v>
      </c>
      <c r="H1814" s="88">
        <v>18175.707547169812</v>
      </c>
      <c r="I1814" s="89">
        <v>10</v>
      </c>
      <c r="J1814" s="90">
        <v>15413</v>
      </c>
      <c r="K1814" s="85">
        <v>1</v>
      </c>
      <c r="L1814" s="85">
        <v>248</v>
      </c>
      <c r="M1814" s="85">
        <v>0</v>
      </c>
      <c r="N1814" s="82" t="s">
        <v>10782</v>
      </c>
      <c r="O1814" s="83"/>
    </row>
    <row r="1815" spans="1:15" ht="22.5" customHeight="1">
      <c r="A1815" s="85">
        <v>766589657993298</v>
      </c>
      <c r="B1815" s="82" t="s">
        <v>10688</v>
      </c>
      <c r="C1815" s="82" t="s">
        <v>10786</v>
      </c>
      <c r="D1815" s="82" t="s">
        <v>739</v>
      </c>
      <c r="E1815" s="82">
        <v>628122102657</v>
      </c>
      <c r="F1815" s="86">
        <v>45848</v>
      </c>
      <c r="G1815" s="87">
        <v>222</v>
      </c>
      <c r="H1815" s="88">
        <v>31108.695652173916</v>
      </c>
      <c r="I1815" s="89">
        <v>2</v>
      </c>
      <c r="J1815" s="90">
        <v>7155</v>
      </c>
      <c r="K1815" s="85">
        <v>0</v>
      </c>
      <c r="L1815" s="85">
        <v>0</v>
      </c>
      <c r="M1815" s="85">
        <v>0</v>
      </c>
      <c r="N1815" s="82" t="s">
        <v>11210</v>
      </c>
      <c r="O1815" s="83"/>
    </row>
    <row r="1816" spans="1:15" ht="22.5" customHeight="1">
      <c r="A1816" s="85">
        <v>766589657993298</v>
      </c>
      <c r="B1816" s="82" t="s">
        <v>10688</v>
      </c>
      <c r="C1816" s="82" t="s">
        <v>10772</v>
      </c>
      <c r="D1816" s="82" t="s">
        <v>10773</v>
      </c>
      <c r="E1816" s="82">
        <v>6285261023204</v>
      </c>
      <c r="F1816" s="86">
        <v>45848</v>
      </c>
      <c r="G1816" s="87">
        <v>459</v>
      </c>
      <c r="H1816" s="88">
        <v>28259.668508287294</v>
      </c>
      <c r="I1816" s="89">
        <v>8</v>
      </c>
      <c r="J1816" s="90">
        <v>15345</v>
      </c>
      <c r="K1816" s="85">
        <v>1</v>
      </c>
      <c r="L1816" s="85">
        <v>54</v>
      </c>
      <c r="M1816" s="85">
        <v>0</v>
      </c>
      <c r="N1816" s="82" t="s">
        <v>10774</v>
      </c>
      <c r="O1816" s="83"/>
    </row>
    <row r="1817" spans="1:15" ht="22.5" customHeight="1">
      <c r="A1817" s="85">
        <v>766589657993298</v>
      </c>
      <c r="B1817" s="82" t="s">
        <v>10688</v>
      </c>
      <c r="C1817" s="82" t="s">
        <v>10762</v>
      </c>
      <c r="D1817" s="82" t="s">
        <v>10763</v>
      </c>
      <c r="E1817" s="82">
        <v>6285210107607</v>
      </c>
      <c r="F1817" s="86">
        <v>45848</v>
      </c>
      <c r="G1817" s="87">
        <v>966</v>
      </c>
      <c r="H1817" s="88">
        <v>16737.937559129612</v>
      </c>
      <c r="I1817" s="89">
        <v>21</v>
      </c>
      <c r="J1817" s="90">
        <v>17692</v>
      </c>
      <c r="K1817" s="85">
        <v>0</v>
      </c>
      <c r="L1817" s="85">
        <v>256</v>
      </c>
      <c r="M1817" s="85">
        <v>1</v>
      </c>
      <c r="N1817" s="82" t="s">
        <v>10764</v>
      </c>
      <c r="O1817" s="83"/>
    </row>
    <row r="1818" spans="1:15" ht="22.5" customHeight="1">
      <c r="A1818" s="85">
        <v>766589657993298</v>
      </c>
      <c r="B1818" s="82" t="s">
        <v>10688</v>
      </c>
      <c r="C1818" s="82" t="s">
        <v>10795</v>
      </c>
      <c r="D1818" s="82" t="s">
        <v>551</v>
      </c>
      <c r="E1818" s="82">
        <v>6285747906282</v>
      </c>
      <c r="F1818" s="86">
        <v>45848</v>
      </c>
      <c r="G1818" s="87">
        <v>492</v>
      </c>
      <c r="H1818" s="88">
        <v>28834.845735027222</v>
      </c>
      <c r="I1818" s="89">
        <v>14</v>
      </c>
      <c r="J1818" s="90">
        <v>15888</v>
      </c>
      <c r="K1818" s="85">
        <v>3</v>
      </c>
      <c r="L1818" s="85">
        <v>208</v>
      </c>
      <c r="M1818" s="85">
        <v>0</v>
      </c>
      <c r="N1818" s="82" t="s">
        <v>10796</v>
      </c>
      <c r="O1818" s="83"/>
    </row>
    <row r="1819" spans="1:15" ht="22.5" customHeight="1">
      <c r="A1819" s="85">
        <v>766589657993298</v>
      </c>
      <c r="B1819" s="82" t="s">
        <v>10688</v>
      </c>
      <c r="C1819" s="82" t="s">
        <v>10767</v>
      </c>
      <c r="D1819" s="82" t="s">
        <v>10768</v>
      </c>
      <c r="E1819" s="82">
        <v>6281519225886</v>
      </c>
      <c r="F1819" s="86">
        <v>45848</v>
      </c>
      <c r="G1819" s="87">
        <v>481</v>
      </c>
      <c r="H1819" s="88">
        <v>30129.699248120301</v>
      </c>
      <c r="I1819" s="89">
        <v>9</v>
      </c>
      <c r="J1819" s="90">
        <v>16029</v>
      </c>
      <c r="K1819" s="85">
        <v>3</v>
      </c>
      <c r="L1819" s="85">
        <v>26</v>
      </c>
      <c r="M1819" s="85">
        <v>1</v>
      </c>
      <c r="N1819" s="82" t="s">
        <v>10769</v>
      </c>
      <c r="O1819" s="83"/>
    </row>
    <row r="1820" spans="1:15" ht="22.5" customHeight="1">
      <c r="A1820" s="85">
        <v>766589657993298</v>
      </c>
      <c r="B1820" s="82" t="s">
        <v>10688</v>
      </c>
      <c r="C1820" s="82" t="s">
        <v>10797</v>
      </c>
      <c r="D1820" s="82" t="s">
        <v>10798</v>
      </c>
      <c r="E1820" s="82">
        <v>6285853370682</v>
      </c>
      <c r="F1820" s="86">
        <v>45848</v>
      </c>
      <c r="G1820" s="87">
        <v>710</v>
      </c>
      <c r="H1820" s="88">
        <v>19611.042944785277</v>
      </c>
      <c r="I1820" s="89">
        <v>14</v>
      </c>
      <c r="J1820" s="90">
        <v>15983</v>
      </c>
      <c r="K1820" s="85">
        <v>2</v>
      </c>
      <c r="L1820" s="85">
        <v>223</v>
      </c>
      <c r="M1820" s="85">
        <v>0</v>
      </c>
      <c r="N1820" s="82" t="s">
        <v>10799</v>
      </c>
      <c r="O1820" s="83"/>
    </row>
    <row r="1821" spans="1:15" ht="22.5" customHeight="1">
      <c r="A1821" s="85">
        <v>766589657993298</v>
      </c>
      <c r="B1821" s="82" t="s">
        <v>10688</v>
      </c>
      <c r="C1821" s="82" t="s">
        <v>10800</v>
      </c>
      <c r="D1821" s="82" t="s">
        <v>472</v>
      </c>
      <c r="E1821" s="82">
        <v>628114170888</v>
      </c>
      <c r="F1821" s="86">
        <v>45848</v>
      </c>
      <c r="G1821" s="87">
        <v>619</v>
      </c>
      <c r="H1821" s="88">
        <v>22355.907780979825</v>
      </c>
      <c r="I1821" s="89">
        <v>13</v>
      </c>
      <c r="J1821" s="90">
        <v>15515</v>
      </c>
      <c r="K1821" s="85">
        <v>0</v>
      </c>
      <c r="L1821" s="85">
        <v>129</v>
      </c>
      <c r="M1821" s="85">
        <v>0</v>
      </c>
      <c r="N1821" s="82" t="s">
        <v>10801</v>
      </c>
      <c r="O1821" s="83"/>
    </row>
    <row r="1822" spans="1:15" ht="22.5" customHeight="1">
      <c r="A1822" s="85">
        <v>766589657993298</v>
      </c>
      <c r="B1822" s="82" t="s">
        <v>10688</v>
      </c>
      <c r="C1822" s="82" t="s">
        <v>10752</v>
      </c>
      <c r="D1822" s="82" t="s">
        <v>10753</v>
      </c>
      <c r="E1822" s="82">
        <v>6281340892328</v>
      </c>
      <c r="F1822" s="86">
        <v>45848</v>
      </c>
      <c r="G1822" s="87">
        <v>1468</v>
      </c>
      <c r="H1822" s="88">
        <v>9512.7885215221468</v>
      </c>
      <c r="I1822" s="89">
        <v>27</v>
      </c>
      <c r="J1822" s="90">
        <v>15249</v>
      </c>
      <c r="K1822" s="85">
        <v>0</v>
      </c>
      <c r="L1822" s="85">
        <v>426</v>
      </c>
      <c r="M1822" s="85">
        <v>0</v>
      </c>
      <c r="N1822" s="82" t="s">
        <v>10754</v>
      </c>
      <c r="O1822" s="83"/>
    </row>
    <row r="1823" spans="1:15" ht="22.5" customHeight="1">
      <c r="A1823" s="85">
        <v>206726568613432</v>
      </c>
      <c r="B1823" s="82" t="s">
        <v>10900</v>
      </c>
      <c r="C1823" s="82" t="s">
        <v>11085</v>
      </c>
      <c r="D1823" s="82" t="s">
        <v>10902</v>
      </c>
      <c r="E1823" s="82">
        <v>6282194694492</v>
      </c>
      <c r="F1823" s="86">
        <v>45848</v>
      </c>
      <c r="G1823" s="87">
        <v>647</v>
      </c>
      <c r="H1823" s="88">
        <v>21001.398601398603</v>
      </c>
      <c r="I1823" s="89">
        <v>17</v>
      </c>
      <c r="J1823" s="90">
        <v>15016</v>
      </c>
      <c r="K1823" s="85">
        <v>2</v>
      </c>
      <c r="L1823" s="85">
        <v>169</v>
      </c>
      <c r="M1823" s="85">
        <v>0</v>
      </c>
      <c r="N1823" s="82" t="s">
        <v>11086</v>
      </c>
      <c r="O1823" s="83"/>
    </row>
    <row r="1824" spans="1:15" ht="22.5" customHeight="1">
      <c r="A1824" s="85">
        <v>206726568613432</v>
      </c>
      <c r="B1824" s="82" t="s">
        <v>10900</v>
      </c>
      <c r="C1824" s="82" t="s">
        <v>11031</v>
      </c>
      <c r="D1824" s="82" t="s">
        <v>11032</v>
      </c>
      <c r="E1824" s="82">
        <v>6285668750416</v>
      </c>
      <c r="F1824" s="86">
        <v>45848</v>
      </c>
      <c r="G1824" s="87">
        <v>1107</v>
      </c>
      <c r="H1824" s="88">
        <v>11211.024978466838</v>
      </c>
      <c r="I1824" s="89">
        <v>18</v>
      </c>
      <c r="J1824" s="90">
        <v>13016</v>
      </c>
      <c r="K1824" s="85">
        <v>2</v>
      </c>
      <c r="L1824" s="85">
        <v>463</v>
      </c>
      <c r="M1824" s="85">
        <v>0</v>
      </c>
      <c r="N1824" s="82" t="s">
        <v>11033</v>
      </c>
      <c r="O1824" s="83"/>
    </row>
    <row r="1825" spans="1:15" ht="22.5" customHeight="1">
      <c r="A1825" s="85">
        <v>759724529202804</v>
      </c>
      <c r="B1825" s="82" t="s">
        <v>10621</v>
      </c>
      <c r="C1825" s="82" t="s">
        <v>11211</v>
      </c>
      <c r="D1825" s="82" t="s">
        <v>1835</v>
      </c>
      <c r="E1825" s="82">
        <v>62811339289839</v>
      </c>
      <c r="F1825" s="86">
        <v>45849</v>
      </c>
      <c r="G1825" s="87">
        <v>923</v>
      </c>
      <c r="H1825" s="88">
        <v>14286.751361161525</v>
      </c>
      <c r="I1825" s="89">
        <v>31</v>
      </c>
      <c r="J1825" s="90">
        <v>15744</v>
      </c>
      <c r="K1825" s="85">
        <v>6</v>
      </c>
      <c r="L1825" s="85">
        <v>245</v>
      </c>
      <c r="M1825" s="85">
        <v>1</v>
      </c>
      <c r="N1825" s="82" t="s">
        <v>11212</v>
      </c>
      <c r="O1825" s="83"/>
    </row>
    <row r="1826" spans="1:15" ht="22.5" customHeight="1">
      <c r="A1826" s="85">
        <v>759724529202804</v>
      </c>
      <c r="B1826" s="82" t="s">
        <v>10621</v>
      </c>
      <c r="C1826" s="82" t="s">
        <v>11131</v>
      </c>
      <c r="D1826" s="82" t="s">
        <v>9019</v>
      </c>
      <c r="E1826" s="82">
        <v>628562943274</v>
      </c>
      <c r="F1826" s="86">
        <v>45849</v>
      </c>
      <c r="G1826" s="87">
        <v>1378</v>
      </c>
      <c r="H1826" s="88">
        <v>11045.152722443559</v>
      </c>
      <c r="I1826" s="89">
        <v>54</v>
      </c>
      <c r="J1826" s="90">
        <v>16634</v>
      </c>
      <c r="K1826" s="85">
        <v>4</v>
      </c>
      <c r="L1826" s="85">
        <v>481</v>
      </c>
      <c r="M1826" s="85">
        <v>0</v>
      </c>
      <c r="N1826" s="82" t="s">
        <v>11132</v>
      </c>
      <c r="O1826" s="83"/>
    </row>
    <row r="1827" spans="1:15" ht="22.5" customHeight="1">
      <c r="A1827" s="85">
        <v>759724529202804</v>
      </c>
      <c r="B1827" s="82" t="s">
        <v>10621</v>
      </c>
      <c r="C1827" s="82" t="s">
        <v>11070</v>
      </c>
      <c r="D1827" s="82" t="s">
        <v>11071</v>
      </c>
      <c r="E1827" s="82">
        <v>6281246211381</v>
      </c>
      <c r="F1827" s="86">
        <v>45849</v>
      </c>
      <c r="G1827" s="87">
        <v>639</v>
      </c>
      <c r="H1827" s="88">
        <v>22345.021037868162</v>
      </c>
      <c r="I1827" s="89">
        <v>16</v>
      </c>
      <c r="J1827" s="90">
        <v>15932</v>
      </c>
      <c r="K1827" s="85">
        <v>4</v>
      </c>
      <c r="L1827" s="85">
        <v>42</v>
      </c>
      <c r="M1827" s="85">
        <v>0</v>
      </c>
      <c r="N1827" s="82" t="s">
        <v>11072</v>
      </c>
      <c r="O1827" s="83"/>
    </row>
    <row r="1828" spans="1:15" ht="22.5" customHeight="1">
      <c r="A1828" s="85">
        <v>759724529202804</v>
      </c>
      <c r="B1828" s="82" t="s">
        <v>10621</v>
      </c>
      <c r="C1828" s="82" t="s">
        <v>11037</v>
      </c>
      <c r="D1828" s="82" t="s">
        <v>199</v>
      </c>
      <c r="E1828" s="82">
        <v>6285220903499</v>
      </c>
      <c r="F1828" s="86">
        <v>45849</v>
      </c>
      <c r="G1828" s="87">
        <v>1095</v>
      </c>
      <c r="H1828" s="88">
        <v>13169.686985172983</v>
      </c>
      <c r="I1828" s="89">
        <v>21</v>
      </c>
      <c r="J1828" s="90">
        <v>15988</v>
      </c>
      <c r="K1828" s="85">
        <v>5</v>
      </c>
      <c r="L1828" s="85">
        <v>300</v>
      </c>
      <c r="M1828" s="85">
        <v>0</v>
      </c>
      <c r="N1828" s="82" t="s">
        <v>11038</v>
      </c>
      <c r="O1828" s="83"/>
    </row>
    <row r="1829" spans="1:15" ht="22.5" customHeight="1">
      <c r="A1829" s="85">
        <v>759724529202804</v>
      </c>
      <c r="B1829" s="82" t="s">
        <v>10621</v>
      </c>
      <c r="C1829" s="82" t="s">
        <v>11016</v>
      </c>
      <c r="D1829" s="82" t="s">
        <v>1530</v>
      </c>
      <c r="E1829" s="82">
        <v>628111988553</v>
      </c>
      <c r="F1829" s="86">
        <v>45849</v>
      </c>
      <c r="G1829" s="87">
        <v>349</v>
      </c>
      <c r="H1829" s="88">
        <v>43984.732824427483</v>
      </c>
      <c r="I1829" s="89">
        <v>22</v>
      </c>
      <c r="J1829" s="90">
        <v>17286</v>
      </c>
      <c r="K1829" s="85">
        <v>0</v>
      </c>
      <c r="L1829" s="85">
        <v>4</v>
      </c>
      <c r="M1829" s="85">
        <v>0</v>
      </c>
      <c r="N1829" s="82" t="s">
        <v>11017</v>
      </c>
      <c r="O1829" s="83"/>
    </row>
    <row r="1830" spans="1:15" ht="22.5" customHeight="1">
      <c r="A1830" s="85">
        <v>759724529202804</v>
      </c>
      <c r="B1830" s="82" t="s">
        <v>10621</v>
      </c>
      <c r="C1830" s="82" t="s">
        <v>10986</v>
      </c>
      <c r="D1830" s="82" t="s">
        <v>10987</v>
      </c>
      <c r="E1830" s="82">
        <v>6281282183261</v>
      </c>
      <c r="F1830" s="86">
        <v>45849</v>
      </c>
      <c r="G1830" s="87">
        <v>457</v>
      </c>
      <c r="H1830" s="88">
        <v>31389.925373134327</v>
      </c>
      <c r="I1830" s="89">
        <v>14</v>
      </c>
      <c r="J1830" s="90">
        <v>16825</v>
      </c>
      <c r="K1830" s="85">
        <v>2</v>
      </c>
      <c r="L1830" s="85">
        <v>107</v>
      </c>
      <c r="M1830" s="85">
        <v>0</v>
      </c>
      <c r="N1830" s="82" t="s">
        <v>10988</v>
      </c>
      <c r="O1830" s="83"/>
    </row>
    <row r="1831" spans="1:15" ht="22.5" customHeight="1">
      <c r="A1831" s="85">
        <v>759724529202804</v>
      </c>
      <c r="B1831" s="82" t="s">
        <v>10621</v>
      </c>
      <c r="C1831" s="82" t="s">
        <v>540</v>
      </c>
      <c r="D1831" s="82" t="s">
        <v>10755</v>
      </c>
      <c r="E1831" s="82">
        <v>6281335728695</v>
      </c>
      <c r="F1831" s="86">
        <v>45849</v>
      </c>
      <c r="G1831" s="87">
        <v>778</v>
      </c>
      <c r="H1831" s="88">
        <v>17571.895424836603</v>
      </c>
      <c r="I1831" s="89">
        <v>27</v>
      </c>
      <c r="J1831" s="90">
        <v>16131</v>
      </c>
      <c r="K1831" s="85">
        <v>7</v>
      </c>
      <c r="L1831" s="85">
        <v>247</v>
      </c>
      <c r="M1831" s="85">
        <v>0</v>
      </c>
      <c r="N1831" s="82" t="s">
        <v>10756</v>
      </c>
      <c r="O1831" s="83"/>
    </row>
    <row r="1832" spans="1:15" ht="22.5" customHeight="1">
      <c r="A1832" s="85">
        <v>174904221976312</v>
      </c>
      <c r="B1832" s="82" t="s">
        <v>10651</v>
      </c>
      <c r="C1832" s="82" t="s">
        <v>11244</v>
      </c>
      <c r="D1832" s="82" t="s">
        <v>11245</v>
      </c>
      <c r="E1832" s="82">
        <v>6282238154676</v>
      </c>
      <c r="F1832" s="86">
        <v>45849</v>
      </c>
      <c r="G1832" s="87">
        <v>866</v>
      </c>
      <c r="H1832" s="88">
        <v>11844.863731656185</v>
      </c>
      <c r="I1832" s="89">
        <v>21</v>
      </c>
      <c r="J1832" s="90">
        <v>11300</v>
      </c>
      <c r="K1832" s="85">
        <v>3</v>
      </c>
      <c r="L1832" s="85">
        <v>368</v>
      </c>
      <c r="M1832" s="85">
        <v>0</v>
      </c>
      <c r="N1832" s="82" t="s">
        <v>11246</v>
      </c>
      <c r="O1832" s="83"/>
    </row>
    <row r="1833" spans="1:15" ht="22.5" customHeight="1">
      <c r="A1833" s="85">
        <v>174904221976312</v>
      </c>
      <c r="B1833" s="82" t="s">
        <v>10651</v>
      </c>
      <c r="C1833" s="82" t="s">
        <v>11247</v>
      </c>
      <c r="D1833" s="82" t="s">
        <v>11248</v>
      </c>
      <c r="E1833" s="82">
        <v>6285238093436</v>
      </c>
      <c r="F1833" s="86">
        <v>45849</v>
      </c>
      <c r="G1833" s="87">
        <v>1207</v>
      </c>
      <c r="H1833" s="88">
        <v>8041.2938747419139</v>
      </c>
      <c r="I1833" s="89">
        <v>24</v>
      </c>
      <c r="J1833" s="90">
        <v>11684</v>
      </c>
      <c r="K1833" s="85">
        <v>0</v>
      </c>
      <c r="L1833" s="85">
        <v>69</v>
      </c>
      <c r="M1833" s="85">
        <v>0</v>
      </c>
      <c r="N1833" s="82" t="s">
        <v>11249</v>
      </c>
      <c r="O1833" s="83"/>
    </row>
    <row r="1834" spans="1:15" ht="22.5" customHeight="1">
      <c r="A1834" s="85">
        <v>174904221976312</v>
      </c>
      <c r="B1834" s="82" t="s">
        <v>10651</v>
      </c>
      <c r="C1834" s="82" t="s">
        <v>11250</v>
      </c>
      <c r="D1834" s="82" t="s">
        <v>11251</v>
      </c>
      <c r="E1834" s="82">
        <v>6285184844621</v>
      </c>
      <c r="F1834" s="86">
        <v>45849</v>
      </c>
      <c r="G1834" s="87">
        <v>2382</v>
      </c>
      <c r="H1834" s="88">
        <v>4320.9925167388737</v>
      </c>
      <c r="I1834" s="89">
        <v>89</v>
      </c>
      <c r="J1834" s="90">
        <v>10971</v>
      </c>
      <c r="K1834" s="85">
        <v>0</v>
      </c>
      <c r="L1834" s="85">
        <v>306</v>
      </c>
      <c r="M1834" s="85">
        <v>5</v>
      </c>
      <c r="N1834" s="82" t="s">
        <v>11252</v>
      </c>
      <c r="O1834" s="83"/>
    </row>
    <row r="1835" spans="1:15" ht="22.5" customHeight="1">
      <c r="A1835" s="85">
        <v>174904221976312</v>
      </c>
      <c r="B1835" s="82" t="s">
        <v>10651</v>
      </c>
      <c r="C1835" s="82" t="s">
        <v>11253</v>
      </c>
      <c r="D1835" s="82" t="s">
        <v>2096</v>
      </c>
      <c r="E1835" s="82">
        <v>6285282777679</v>
      </c>
      <c r="F1835" s="86">
        <v>45849</v>
      </c>
      <c r="G1835" s="87">
        <v>255</v>
      </c>
      <c r="H1835" s="88">
        <v>46492.907801418442</v>
      </c>
      <c r="I1835" s="89">
        <v>10</v>
      </c>
      <c r="J1835" s="90">
        <v>13111</v>
      </c>
      <c r="K1835" s="85">
        <v>2</v>
      </c>
      <c r="L1835" s="85">
        <v>10</v>
      </c>
      <c r="M1835" s="85">
        <v>0</v>
      </c>
      <c r="N1835" s="82" t="s">
        <v>11254</v>
      </c>
      <c r="O1835" s="83"/>
    </row>
    <row r="1836" spans="1:15" ht="22.5" customHeight="1">
      <c r="A1836" s="85">
        <v>174904221976312</v>
      </c>
      <c r="B1836" s="82" t="s">
        <v>10651</v>
      </c>
      <c r="C1836" s="82" t="s">
        <v>11255</v>
      </c>
      <c r="D1836" s="82" t="s">
        <v>11256</v>
      </c>
      <c r="E1836" s="82">
        <v>6287715704997</v>
      </c>
      <c r="F1836" s="86">
        <v>45849</v>
      </c>
      <c r="G1836" s="87">
        <v>205</v>
      </c>
      <c r="H1836" s="88">
        <v>50082.568807339449</v>
      </c>
      <c r="I1836" s="89">
        <v>8</v>
      </c>
      <c r="J1836" s="90">
        <v>10918</v>
      </c>
      <c r="K1836" s="85">
        <v>1</v>
      </c>
      <c r="L1836" s="85">
        <v>0</v>
      </c>
      <c r="M1836" s="85">
        <v>0</v>
      </c>
      <c r="N1836" s="82" t="s">
        <v>11257</v>
      </c>
      <c r="O1836" s="83"/>
    </row>
    <row r="1837" spans="1:15" ht="22.5" customHeight="1">
      <c r="A1837" s="85">
        <v>174904221976312</v>
      </c>
      <c r="B1837" s="82" t="s">
        <v>10651</v>
      </c>
      <c r="C1837" s="82" t="s">
        <v>11213</v>
      </c>
      <c r="D1837" s="82" t="s">
        <v>2022</v>
      </c>
      <c r="E1837" s="82">
        <v>6285274759862</v>
      </c>
      <c r="F1837" s="86">
        <v>45849</v>
      </c>
      <c r="G1837" s="87">
        <v>907</v>
      </c>
      <c r="H1837" s="88">
        <v>12617.878192534381</v>
      </c>
      <c r="I1837" s="89">
        <v>35</v>
      </c>
      <c r="J1837" s="90">
        <v>12845</v>
      </c>
      <c r="K1837" s="85">
        <v>14</v>
      </c>
      <c r="L1837" s="85">
        <v>195</v>
      </c>
      <c r="M1837" s="85">
        <v>1</v>
      </c>
      <c r="N1837" s="82" t="s">
        <v>11214</v>
      </c>
      <c r="O1837" s="83"/>
    </row>
    <row r="1838" spans="1:15" ht="22.5" customHeight="1">
      <c r="A1838" s="85">
        <v>174904221976312</v>
      </c>
      <c r="B1838" s="82" t="s">
        <v>10651</v>
      </c>
      <c r="C1838" s="82" t="s">
        <v>11215</v>
      </c>
      <c r="D1838" s="82" t="s">
        <v>1900</v>
      </c>
      <c r="E1838" s="82">
        <v>6285713536070</v>
      </c>
      <c r="F1838" s="86">
        <v>45849</v>
      </c>
      <c r="G1838" s="87">
        <v>497</v>
      </c>
      <c r="H1838" s="88">
        <v>19143.382352941178</v>
      </c>
      <c r="I1838" s="89">
        <v>12</v>
      </c>
      <c r="J1838" s="90">
        <v>10414</v>
      </c>
      <c r="K1838" s="85">
        <v>1</v>
      </c>
      <c r="L1838" s="85">
        <v>6</v>
      </c>
      <c r="M1838" s="85">
        <v>0</v>
      </c>
      <c r="N1838" s="82" t="s">
        <v>11216</v>
      </c>
      <c r="O1838" s="83"/>
    </row>
    <row r="1839" spans="1:15" ht="22.5" customHeight="1">
      <c r="A1839" s="85">
        <v>174904221976312</v>
      </c>
      <c r="B1839" s="82" t="s">
        <v>10651</v>
      </c>
      <c r="C1839" s="82" t="s">
        <v>11217</v>
      </c>
      <c r="D1839" s="82" t="s">
        <v>2043</v>
      </c>
      <c r="E1839" s="82">
        <v>6282298717014</v>
      </c>
      <c r="F1839" s="86">
        <v>45849</v>
      </c>
      <c r="G1839" s="87">
        <v>433</v>
      </c>
      <c r="H1839" s="88">
        <v>23828.94736842105</v>
      </c>
      <c r="I1839" s="89">
        <v>5</v>
      </c>
      <c r="J1839" s="90">
        <v>10866</v>
      </c>
      <c r="K1839" s="85">
        <v>1</v>
      </c>
      <c r="L1839" s="85">
        <v>121</v>
      </c>
      <c r="M1839" s="85">
        <v>0</v>
      </c>
      <c r="N1839" s="82" t="s">
        <v>11218</v>
      </c>
      <c r="O1839" s="83"/>
    </row>
    <row r="1840" spans="1:15" ht="22.5" customHeight="1">
      <c r="A1840" s="85">
        <v>174904221976312</v>
      </c>
      <c r="B1840" s="82" t="s">
        <v>10651</v>
      </c>
      <c r="C1840" s="82" t="s">
        <v>11219</v>
      </c>
      <c r="D1840" s="82" t="s">
        <v>11220</v>
      </c>
      <c r="E1840" s="82">
        <v>62859130962516</v>
      </c>
      <c r="F1840" s="86">
        <v>45849</v>
      </c>
      <c r="G1840" s="87">
        <v>544</v>
      </c>
      <c r="H1840" s="88">
        <v>19124.792013311147</v>
      </c>
      <c r="I1840" s="89">
        <v>15</v>
      </c>
      <c r="J1840" s="90">
        <v>11494</v>
      </c>
      <c r="K1840" s="85">
        <v>1</v>
      </c>
      <c r="L1840" s="85">
        <v>151</v>
      </c>
      <c r="M1840" s="85">
        <v>0</v>
      </c>
      <c r="N1840" s="82" t="s">
        <v>11221</v>
      </c>
      <c r="O1840" s="83"/>
    </row>
    <row r="1841" spans="1:15" ht="22.5" customHeight="1">
      <c r="A1841" s="85">
        <v>174904221976312</v>
      </c>
      <c r="B1841" s="82" t="s">
        <v>10651</v>
      </c>
      <c r="C1841" s="82" t="s">
        <v>11222</v>
      </c>
      <c r="D1841" s="82" t="s">
        <v>11223</v>
      </c>
      <c r="E1841" s="82">
        <v>6288229559606</v>
      </c>
      <c r="F1841" s="86">
        <v>45849</v>
      </c>
      <c r="G1841" s="87">
        <v>1081</v>
      </c>
      <c r="H1841" s="88">
        <v>8564.8275862068967</v>
      </c>
      <c r="I1841" s="89">
        <v>17</v>
      </c>
      <c r="J1841" s="90">
        <v>12419</v>
      </c>
      <c r="K1841" s="85">
        <v>1</v>
      </c>
      <c r="L1841" s="85">
        <v>108</v>
      </c>
      <c r="M1841" s="85">
        <v>0</v>
      </c>
      <c r="N1841" s="82" t="s">
        <v>11224</v>
      </c>
      <c r="O1841" s="83"/>
    </row>
    <row r="1842" spans="1:15" ht="22.5" customHeight="1">
      <c r="A1842" s="85">
        <v>174904221976312</v>
      </c>
      <c r="B1842" s="82" t="s">
        <v>10651</v>
      </c>
      <c r="C1842" s="82" t="s">
        <v>11225</v>
      </c>
      <c r="D1842" s="82" t="s">
        <v>11226</v>
      </c>
      <c r="E1842" s="82">
        <v>6281240144744</v>
      </c>
      <c r="F1842" s="86">
        <v>45849</v>
      </c>
      <c r="G1842" s="87">
        <v>1178</v>
      </c>
      <c r="H1842" s="88">
        <v>8814.9867374005316</v>
      </c>
      <c r="I1842" s="89">
        <v>31</v>
      </c>
      <c r="J1842" s="90">
        <v>13293</v>
      </c>
      <c r="K1842" s="85">
        <v>5</v>
      </c>
      <c r="L1842" s="85">
        <v>220</v>
      </c>
      <c r="M1842" s="85">
        <v>0</v>
      </c>
      <c r="N1842" s="82" t="s">
        <v>11227</v>
      </c>
      <c r="O1842" s="83"/>
    </row>
    <row r="1843" spans="1:15" ht="22.5" customHeight="1">
      <c r="A1843" s="85">
        <v>174904221976312</v>
      </c>
      <c r="B1843" s="82" t="s">
        <v>10651</v>
      </c>
      <c r="C1843" s="82" t="s">
        <v>11228</v>
      </c>
      <c r="D1843" s="82" t="s">
        <v>11229</v>
      </c>
      <c r="E1843" s="82">
        <v>6288215032728</v>
      </c>
      <c r="F1843" s="86">
        <v>45849</v>
      </c>
      <c r="G1843" s="87">
        <v>1126</v>
      </c>
      <c r="H1843" s="88">
        <v>9492.96875</v>
      </c>
      <c r="I1843" s="89">
        <v>30</v>
      </c>
      <c r="J1843" s="90">
        <v>12151</v>
      </c>
      <c r="K1843" s="85">
        <v>1</v>
      </c>
      <c r="L1843" s="85">
        <v>223</v>
      </c>
      <c r="M1843" s="85">
        <v>0</v>
      </c>
      <c r="N1843" s="82" t="s">
        <v>11230</v>
      </c>
      <c r="O1843" s="83"/>
    </row>
    <row r="1844" spans="1:15" ht="22.5" customHeight="1">
      <c r="A1844" s="85">
        <v>174904221976312</v>
      </c>
      <c r="B1844" s="82" t="s">
        <v>10651</v>
      </c>
      <c r="C1844" s="82" t="s">
        <v>11184</v>
      </c>
      <c r="D1844" s="82" t="s">
        <v>11185</v>
      </c>
      <c r="E1844" s="82">
        <v>6283878405768</v>
      </c>
      <c r="F1844" s="86">
        <v>45849</v>
      </c>
      <c r="G1844" s="87">
        <v>736</v>
      </c>
      <c r="H1844" s="88">
        <v>15652.762119503945</v>
      </c>
      <c r="I1844" s="89">
        <v>19</v>
      </c>
      <c r="J1844" s="90">
        <v>13884</v>
      </c>
      <c r="K1844" s="85">
        <v>0</v>
      </c>
      <c r="L1844" s="85">
        <v>185</v>
      </c>
      <c r="M1844" s="85">
        <v>0</v>
      </c>
      <c r="N1844" s="82" t="s">
        <v>11186</v>
      </c>
      <c r="O1844" s="83"/>
    </row>
    <row r="1845" spans="1:15" ht="22.5" customHeight="1">
      <c r="A1845" s="85">
        <v>174904221976312</v>
      </c>
      <c r="B1845" s="82" t="s">
        <v>10651</v>
      </c>
      <c r="C1845" s="82" t="s">
        <v>11187</v>
      </c>
      <c r="D1845" s="82" t="s">
        <v>1938</v>
      </c>
      <c r="E1845" s="82">
        <v>6285956579758</v>
      </c>
      <c r="F1845" s="86">
        <v>45849</v>
      </c>
      <c r="G1845" s="87">
        <v>242</v>
      </c>
      <c r="H1845" s="88">
        <v>45702.797202797199</v>
      </c>
      <c r="I1845" s="89">
        <v>5</v>
      </c>
      <c r="J1845" s="90">
        <v>13071</v>
      </c>
      <c r="K1845" s="85">
        <v>0</v>
      </c>
      <c r="L1845" s="85">
        <v>22</v>
      </c>
      <c r="M1845" s="85">
        <v>0</v>
      </c>
      <c r="N1845" s="82" t="s">
        <v>11188</v>
      </c>
      <c r="O1845" s="83"/>
    </row>
    <row r="1846" spans="1:15" ht="22.5" customHeight="1">
      <c r="A1846" s="85">
        <v>174904221976312</v>
      </c>
      <c r="B1846" s="82" t="s">
        <v>10651</v>
      </c>
      <c r="C1846" s="82" t="s">
        <v>11189</v>
      </c>
      <c r="D1846" s="82" t="s">
        <v>46</v>
      </c>
      <c r="E1846" s="82">
        <v>6281337504727</v>
      </c>
      <c r="F1846" s="86">
        <v>45849</v>
      </c>
      <c r="G1846" s="87">
        <v>365</v>
      </c>
      <c r="H1846" s="88">
        <v>27135.135135135137</v>
      </c>
      <c r="I1846" s="89">
        <v>11</v>
      </c>
      <c r="J1846" s="90">
        <v>11044</v>
      </c>
      <c r="K1846" s="85">
        <v>2</v>
      </c>
      <c r="L1846" s="85">
        <v>24</v>
      </c>
      <c r="M1846" s="85">
        <v>0</v>
      </c>
      <c r="N1846" s="82" t="s">
        <v>11190</v>
      </c>
      <c r="O1846" s="83"/>
    </row>
    <row r="1847" spans="1:15" ht="22.5" customHeight="1">
      <c r="A1847" s="85">
        <v>174904221976312</v>
      </c>
      <c r="B1847" s="82" t="s">
        <v>10651</v>
      </c>
      <c r="C1847" s="82" t="s">
        <v>11191</v>
      </c>
      <c r="D1847" s="82" t="s">
        <v>1976</v>
      </c>
      <c r="E1847" s="82">
        <v>6282136273086</v>
      </c>
      <c r="F1847" s="86">
        <v>45849</v>
      </c>
      <c r="G1847" s="87">
        <v>156</v>
      </c>
      <c r="H1847" s="88">
        <v>70727.810650887579</v>
      </c>
      <c r="I1847" s="89">
        <v>12</v>
      </c>
      <c r="J1847" s="90">
        <v>11953</v>
      </c>
      <c r="K1847" s="85">
        <v>1</v>
      </c>
      <c r="L1847" s="85">
        <v>43</v>
      </c>
      <c r="M1847" s="85">
        <v>0</v>
      </c>
      <c r="N1847" s="82" t="s">
        <v>11192</v>
      </c>
      <c r="O1847" s="83"/>
    </row>
    <row r="1848" spans="1:15" ht="22.5" customHeight="1">
      <c r="A1848" s="85">
        <v>174904221976312</v>
      </c>
      <c r="B1848" s="82" t="s">
        <v>10651</v>
      </c>
      <c r="C1848" s="82" t="s">
        <v>11193</v>
      </c>
      <c r="D1848" s="82" t="s">
        <v>11194</v>
      </c>
      <c r="E1848" s="82">
        <v>6281779578317</v>
      </c>
      <c r="F1848" s="86">
        <v>45849</v>
      </c>
      <c r="G1848" s="87">
        <v>896</v>
      </c>
      <c r="H1848" s="88">
        <v>13067.796610169491</v>
      </c>
      <c r="I1848" s="89">
        <v>41</v>
      </c>
      <c r="J1848" s="90">
        <v>13107</v>
      </c>
      <c r="K1848" s="85">
        <v>4</v>
      </c>
      <c r="L1848" s="85">
        <v>260</v>
      </c>
      <c r="M1848" s="85">
        <v>0</v>
      </c>
      <c r="N1848" s="82" t="s">
        <v>11195</v>
      </c>
      <c r="O1848" s="83"/>
    </row>
    <row r="1849" spans="1:15" ht="22.5" customHeight="1">
      <c r="A1849" s="85">
        <v>174904221976312</v>
      </c>
      <c r="B1849" s="82" t="s">
        <v>10651</v>
      </c>
      <c r="C1849" s="82" t="s">
        <v>11196</v>
      </c>
      <c r="D1849" s="82" t="s">
        <v>11197</v>
      </c>
      <c r="E1849" s="82">
        <v>6281412281953</v>
      </c>
      <c r="F1849" s="86">
        <v>45849</v>
      </c>
      <c r="G1849" s="87">
        <v>847</v>
      </c>
      <c r="H1849" s="88">
        <v>13497.446373850869</v>
      </c>
      <c r="I1849" s="89">
        <v>43</v>
      </c>
      <c r="J1849" s="90">
        <v>13214</v>
      </c>
      <c r="K1849" s="85">
        <v>10</v>
      </c>
      <c r="L1849" s="85">
        <v>357</v>
      </c>
      <c r="M1849" s="85">
        <v>3</v>
      </c>
      <c r="N1849" s="82" t="s">
        <v>11198</v>
      </c>
      <c r="O1849" s="83"/>
    </row>
    <row r="1850" spans="1:15" ht="22.5" customHeight="1">
      <c r="A1850" s="85">
        <v>174904221976312</v>
      </c>
      <c r="B1850" s="82" t="s">
        <v>10651</v>
      </c>
      <c r="C1850" s="82" t="s">
        <v>11199</v>
      </c>
      <c r="D1850" s="82" t="s">
        <v>1961</v>
      </c>
      <c r="E1850" s="82">
        <v>6281212295448</v>
      </c>
      <c r="F1850" s="86">
        <v>45849</v>
      </c>
      <c r="G1850" s="87">
        <v>1014</v>
      </c>
      <c r="H1850" s="88">
        <v>12106.382978723404</v>
      </c>
      <c r="I1850" s="89">
        <v>50</v>
      </c>
      <c r="J1850" s="90">
        <v>13656</v>
      </c>
      <c r="K1850" s="85">
        <v>6</v>
      </c>
      <c r="L1850" s="85">
        <v>450</v>
      </c>
      <c r="M1850" s="85">
        <v>0</v>
      </c>
      <c r="N1850" s="82" t="s">
        <v>11200</v>
      </c>
      <c r="O1850" s="83"/>
    </row>
    <row r="1851" spans="1:15" ht="22.5" customHeight="1">
      <c r="A1851" s="85">
        <v>174904221976312</v>
      </c>
      <c r="B1851" s="82" t="s">
        <v>10651</v>
      </c>
      <c r="C1851" s="82" t="s">
        <v>11144</v>
      </c>
      <c r="D1851" s="82" t="s">
        <v>11145</v>
      </c>
      <c r="E1851" s="82">
        <v>6282128714101</v>
      </c>
      <c r="F1851" s="86">
        <v>45849</v>
      </c>
      <c r="G1851" s="87">
        <v>493</v>
      </c>
      <c r="H1851" s="88">
        <v>23901.818181818184</v>
      </c>
      <c r="I1851" s="89">
        <v>32</v>
      </c>
      <c r="J1851" s="90">
        <v>13146</v>
      </c>
      <c r="K1851" s="85">
        <v>2</v>
      </c>
      <c r="L1851" s="85">
        <v>273</v>
      </c>
      <c r="M1851" s="85">
        <v>0</v>
      </c>
      <c r="N1851" s="82" t="s">
        <v>11146</v>
      </c>
      <c r="O1851" s="83"/>
    </row>
    <row r="1852" spans="1:15" ht="22.5" customHeight="1">
      <c r="A1852" s="85">
        <v>174904221976312</v>
      </c>
      <c r="B1852" s="82" t="s">
        <v>10651</v>
      </c>
      <c r="C1852" s="82" t="s">
        <v>11147</v>
      </c>
      <c r="D1852" s="82" t="s">
        <v>11148</v>
      </c>
      <c r="E1852" s="82">
        <v>6281361879826</v>
      </c>
      <c r="F1852" s="86">
        <v>45849</v>
      </c>
      <c r="G1852" s="87">
        <v>368</v>
      </c>
      <c r="H1852" s="88">
        <v>31748.314606741573</v>
      </c>
      <c r="I1852" s="89">
        <v>6</v>
      </c>
      <c r="J1852" s="90">
        <v>14128</v>
      </c>
      <c r="K1852" s="85">
        <v>0</v>
      </c>
      <c r="L1852" s="85">
        <v>37</v>
      </c>
      <c r="M1852" s="85">
        <v>0</v>
      </c>
      <c r="N1852" s="82" t="s">
        <v>11149</v>
      </c>
      <c r="O1852" s="83"/>
    </row>
    <row r="1853" spans="1:15" ht="22.5" customHeight="1">
      <c r="A1853" s="85">
        <v>174904221976312</v>
      </c>
      <c r="B1853" s="82" t="s">
        <v>10651</v>
      </c>
      <c r="C1853" s="82" t="s">
        <v>11150</v>
      </c>
      <c r="D1853" s="82" t="s">
        <v>11151</v>
      </c>
      <c r="E1853" s="82">
        <v>6281237893904</v>
      </c>
      <c r="F1853" s="86">
        <v>45849</v>
      </c>
      <c r="G1853" s="87">
        <v>612</v>
      </c>
      <c r="H1853" s="88">
        <v>21079.6875</v>
      </c>
      <c r="I1853" s="89">
        <v>14</v>
      </c>
      <c r="J1853" s="90">
        <v>13491</v>
      </c>
      <c r="K1853" s="85">
        <v>2</v>
      </c>
      <c r="L1853" s="85">
        <v>230</v>
      </c>
      <c r="M1853" s="85">
        <v>0</v>
      </c>
      <c r="N1853" s="82" t="s">
        <v>11152</v>
      </c>
      <c r="O1853" s="83"/>
    </row>
    <row r="1854" spans="1:15" ht="22.5" customHeight="1">
      <c r="A1854" s="85">
        <v>174904221976312</v>
      </c>
      <c r="B1854" s="82" t="s">
        <v>10651</v>
      </c>
      <c r="C1854" s="82" t="s">
        <v>11153</v>
      </c>
      <c r="D1854" s="82" t="s">
        <v>11154</v>
      </c>
      <c r="E1854" s="82">
        <v>6285338137835</v>
      </c>
      <c r="F1854" s="86">
        <v>45849</v>
      </c>
      <c r="G1854" s="87">
        <v>1073</v>
      </c>
      <c r="H1854" s="88">
        <v>11437.874892887747</v>
      </c>
      <c r="I1854" s="89">
        <v>27</v>
      </c>
      <c r="J1854" s="90">
        <v>13348</v>
      </c>
      <c r="K1854" s="85">
        <v>1</v>
      </c>
      <c r="L1854" s="85">
        <v>329</v>
      </c>
      <c r="M1854" s="85">
        <v>0</v>
      </c>
      <c r="N1854" s="82" t="s">
        <v>11155</v>
      </c>
      <c r="O1854" s="83"/>
    </row>
    <row r="1855" spans="1:15" ht="22.5" customHeight="1">
      <c r="A1855" s="85">
        <v>174904221976312</v>
      </c>
      <c r="B1855" s="82" t="s">
        <v>10651</v>
      </c>
      <c r="C1855" s="82" t="s">
        <v>11156</v>
      </c>
      <c r="D1855" s="82" t="s">
        <v>11157</v>
      </c>
      <c r="E1855" s="82">
        <v>6287754552859</v>
      </c>
      <c r="F1855" s="86">
        <v>45849</v>
      </c>
      <c r="G1855" s="87">
        <v>317</v>
      </c>
      <c r="H1855" s="88">
        <v>41055.555555555555</v>
      </c>
      <c r="I1855" s="89">
        <v>6</v>
      </c>
      <c r="J1855" s="90">
        <v>14041</v>
      </c>
      <c r="K1855" s="85">
        <v>0</v>
      </c>
      <c r="L1855" s="85">
        <v>6</v>
      </c>
      <c r="M1855" s="85">
        <v>0</v>
      </c>
      <c r="N1855" s="82" t="s">
        <v>11158</v>
      </c>
      <c r="O1855" s="83"/>
    </row>
    <row r="1856" spans="1:15" ht="22.5" customHeight="1">
      <c r="A1856" s="85">
        <v>174904221976312</v>
      </c>
      <c r="B1856" s="82" t="s">
        <v>10651</v>
      </c>
      <c r="C1856" s="82" t="s">
        <v>11159</v>
      </c>
      <c r="D1856" s="82" t="s">
        <v>11160</v>
      </c>
      <c r="E1856" s="82">
        <v>6289635171849</v>
      </c>
      <c r="F1856" s="86">
        <v>45849</v>
      </c>
      <c r="G1856" s="87">
        <v>203</v>
      </c>
      <c r="H1856" s="88">
        <v>60269.767441860466</v>
      </c>
      <c r="I1856" s="89">
        <v>5</v>
      </c>
      <c r="J1856" s="90">
        <v>12958</v>
      </c>
      <c r="K1856" s="85">
        <v>3</v>
      </c>
      <c r="L1856" s="85">
        <v>51</v>
      </c>
      <c r="M1856" s="85">
        <v>0</v>
      </c>
      <c r="N1856" s="82" t="s">
        <v>11161</v>
      </c>
      <c r="O1856" s="83"/>
    </row>
    <row r="1857" spans="1:15" ht="22.5" customHeight="1">
      <c r="A1857" s="85">
        <v>174904221976312</v>
      </c>
      <c r="B1857" s="82" t="s">
        <v>10651</v>
      </c>
      <c r="C1857" s="82" t="s">
        <v>11162</v>
      </c>
      <c r="D1857" s="82" t="s">
        <v>11163</v>
      </c>
      <c r="E1857" s="82">
        <v>6283162052952</v>
      </c>
      <c r="F1857" s="86">
        <v>45849</v>
      </c>
      <c r="G1857" s="87">
        <v>393</v>
      </c>
      <c r="H1857" s="88">
        <v>28921.428571428572</v>
      </c>
      <c r="I1857" s="89">
        <v>14</v>
      </c>
      <c r="J1857" s="90">
        <v>12147</v>
      </c>
      <c r="K1857" s="85">
        <v>1</v>
      </c>
      <c r="L1857" s="85">
        <v>2</v>
      </c>
      <c r="M1857" s="85">
        <v>1</v>
      </c>
      <c r="N1857" s="82" t="s">
        <v>11164</v>
      </c>
      <c r="O1857" s="83"/>
    </row>
    <row r="1858" spans="1:15" ht="22.5" customHeight="1">
      <c r="A1858" s="85">
        <v>174904221976312</v>
      </c>
      <c r="B1858" s="82" t="s">
        <v>10651</v>
      </c>
      <c r="C1858" s="82" t="s">
        <v>11165</v>
      </c>
      <c r="D1858" s="82" t="s">
        <v>1759</v>
      </c>
      <c r="E1858" s="82">
        <v>6285311472244</v>
      </c>
      <c r="F1858" s="86">
        <v>45849</v>
      </c>
      <c r="G1858" s="87">
        <v>1646</v>
      </c>
      <c r="H1858" s="88">
        <v>7555.3745928338758</v>
      </c>
      <c r="I1858" s="89">
        <v>61</v>
      </c>
      <c r="J1858" s="90">
        <v>13917</v>
      </c>
      <c r="K1858" s="85">
        <v>5</v>
      </c>
      <c r="L1858" s="85">
        <v>801</v>
      </c>
      <c r="M1858" s="85">
        <v>1</v>
      </c>
      <c r="N1858" s="82" t="s">
        <v>11166</v>
      </c>
      <c r="O1858" s="83"/>
    </row>
    <row r="1859" spans="1:15" ht="22.5" customHeight="1">
      <c r="A1859" s="85">
        <v>174904221976312</v>
      </c>
      <c r="B1859" s="82" t="s">
        <v>10651</v>
      </c>
      <c r="C1859" s="82" t="s">
        <v>11133</v>
      </c>
      <c r="D1859" s="82" t="s">
        <v>11134</v>
      </c>
      <c r="E1859" s="82">
        <v>6285779532526</v>
      </c>
      <c r="F1859" s="86">
        <v>45849</v>
      </c>
      <c r="G1859" s="87">
        <v>331</v>
      </c>
      <c r="H1859" s="88">
        <v>32454.810495626822</v>
      </c>
      <c r="I1859" s="89">
        <v>11</v>
      </c>
      <c r="J1859" s="90">
        <v>11132</v>
      </c>
      <c r="K1859" s="85">
        <v>1</v>
      </c>
      <c r="L1859" s="85">
        <v>99</v>
      </c>
      <c r="M1859" s="85">
        <v>0</v>
      </c>
      <c r="N1859" s="82" t="s">
        <v>11135</v>
      </c>
      <c r="O1859" s="83"/>
    </row>
    <row r="1860" spans="1:15" ht="22.5" customHeight="1">
      <c r="A1860" s="85">
        <v>174904221976312</v>
      </c>
      <c r="B1860" s="82" t="s">
        <v>10651</v>
      </c>
      <c r="C1860" s="82" t="s">
        <v>11136</v>
      </c>
      <c r="D1860" s="82" t="s">
        <v>1710</v>
      </c>
      <c r="E1860" s="82">
        <v>6285702653554</v>
      </c>
      <c r="F1860" s="86">
        <v>45849</v>
      </c>
      <c r="G1860" s="87">
        <v>797</v>
      </c>
      <c r="H1860" s="88">
        <v>14218.014329580346</v>
      </c>
      <c r="I1860" s="89">
        <v>51</v>
      </c>
      <c r="J1860" s="90">
        <v>13891</v>
      </c>
      <c r="K1860" s="85">
        <v>6</v>
      </c>
      <c r="L1860" s="85">
        <v>90</v>
      </c>
      <c r="M1860" s="85">
        <v>0</v>
      </c>
      <c r="N1860" s="82" t="s">
        <v>11137</v>
      </c>
      <c r="O1860" s="83"/>
    </row>
    <row r="1861" spans="1:15" ht="22.5" customHeight="1">
      <c r="A1861" s="85">
        <v>174904221976312</v>
      </c>
      <c r="B1861" s="82" t="s">
        <v>10651</v>
      </c>
      <c r="C1861" s="82" t="s">
        <v>11114</v>
      </c>
      <c r="D1861" s="82" t="s">
        <v>11115</v>
      </c>
      <c r="E1861" s="82">
        <v>6281323910830</v>
      </c>
      <c r="F1861" s="86">
        <v>45849</v>
      </c>
      <c r="G1861" s="87">
        <v>681</v>
      </c>
      <c r="H1861" s="88">
        <v>18559.68169761273</v>
      </c>
      <c r="I1861" s="89">
        <v>22</v>
      </c>
      <c r="J1861" s="90">
        <v>13994</v>
      </c>
      <c r="K1861" s="85">
        <v>0</v>
      </c>
      <c r="L1861" s="85">
        <v>222</v>
      </c>
      <c r="M1861" s="85">
        <v>0</v>
      </c>
      <c r="N1861" s="82" t="s">
        <v>11116</v>
      </c>
      <c r="O1861" s="83"/>
    </row>
    <row r="1862" spans="1:15" ht="22.5" customHeight="1">
      <c r="A1862" s="85">
        <v>174904221976312</v>
      </c>
      <c r="B1862" s="82" t="s">
        <v>10651</v>
      </c>
      <c r="C1862" s="82" t="s">
        <v>11231</v>
      </c>
      <c r="D1862" s="82" t="s">
        <v>11232</v>
      </c>
      <c r="E1862" s="82">
        <v>6281943398970</v>
      </c>
      <c r="F1862" s="86">
        <v>45849</v>
      </c>
      <c r="G1862" s="87">
        <v>97</v>
      </c>
      <c r="H1862" s="88">
        <v>167696.9696969697</v>
      </c>
      <c r="I1862" s="89">
        <v>5</v>
      </c>
      <c r="J1862" s="90">
        <v>16602</v>
      </c>
      <c r="K1862" s="85">
        <v>0</v>
      </c>
      <c r="L1862" s="85">
        <v>16</v>
      </c>
      <c r="M1862" s="85">
        <v>0</v>
      </c>
      <c r="N1862" s="82" t="s">
        <v>11233</v>
      </c>
      <c r="O1862" s="83"/>
    </row>
    <row r="1863" spans="1:15" ht="22.5" customHeight="1">
      <c r="A1863" s="85">
        <v>174904221976312</v>
      </c>
      <c r="B1863" s="82" t="s">
        <v>10651</v>
      </c>
      <c r="C1863" s="82" t="s">
        <v>11093</v>
      </c>
      <c r="D1863" s="82" t="s">
        <v>11094</v>
      </c>
      <c r="E1863" s="82">
        <v>6282227027805</v>
      </c>
      <c r="F1863" s="86">
        <v>45849</v>
      </c>
      <c r="G1863" s="87">
        <v>932</v>
      </c>
      <c r="H1863" s="88">
        <v>12282</v>
      </c>
      <c r="I1863" s="89">
        <v>27</v>
      </c>
      <c r="J1863" s="90">
        <v>12282</v>
      </c>
      <c r="K1863" s="85">
        <v>2</v>
      </c>
      <c r="L1863" s="85">
        <v>467</v>
      </c>
      <c r="M1863" s="85">
        <v>0</v>
      </c>
      <c r="N1863" s="82" t="s">
        <v>11095</v>
      </c>
      <c r="O1863" s="83"/>
    </row>
    <row r="1864" spans="1:15" ht="22.5" customHeight="1">
      <c r="A1864" s="85">
        <v>174904221976312</v>
      </c>
      <c r="B1864" s="82" t="s">
        <v>10651</v>
      </c>
      <c r="C1864" s="82" t="s">
        <v>11096</v>
      </c>
      <c r="D1864" s="82" t="s">
        <v>11097</v>
      </c>
      <c r="E1864" s="82">
        <v>6285727410479</v>
      </c>
      <c r="F1864" s="86">
        <v>45849</v>
      </c>
      <c r="G1864" s="87">
        <v>335</v>
      </c>
      <c r="H1864" s="88">
        <v>33501.278772378522</v>
      </c>
      <c r="I1864" s="89">
        <v>18</v>
      </c>
      <c r="J1864" s="90">
        <v>13099</v>
      </c>
      <c r="K1864" s="85">
        <v>5</v>
      </c>
      <c r="L1864" s="85">
        <v>0</v>
      </c>
      <c r="M1864" s="85">
        <v>1</v>
      </c>
      <c r="N1864" s="82" t="s">
        <v>11167</v>
      </c>
      <c r="O1864" s="83"/>
    </row>
    <row r="1865" spans="1:15" ht="22.5" customHeight="1">
      <c r="A1865" s="85">
        <v>174904221976312</v>
      </c>
      <c r="B1865" s="82" t="s">
        <v>10651</v>
      </c>
      <c r="C1865" s="82" t="s">
        <v>11002</v>
      </c>
      <c r="D1865" s="82" t="s">
        <v>11003</v>
      </c>
      <c r="E1865" s="82">
        <v>6288228976100</v>
      </c>
      <c r="F1865" s="86">
        <v>45849</v>
      </c>
      <c r="G1865" s="87">
        <v>409</v>
      </c>
      <c r="H1865" s="88">
        <v>24234.215885947047</v>
      </c>
      <c r="I1865" s="89">
        <v>25</v>
      </c>
      <c r="J1865" s="90">
        <v>11899</v>
      </c>
      <c r="K1865" s="85">
        <v>1</v>
      </c>
      <c r="L1865" s="85">
        <v>1</v>
      </c>
      <c r="M1865" s="85">
        <v>0</v>
      </c>
      <c r="N1865" s="82" t="s">
        <v>11004</v>
      </c>
      <c r="O1865" s="83"/>
    </row>
    <row r="1866" spans="1:15" ht="22.5" customHeight="1">
      <c r="A1866" s="85">
        <v>174904221976312</v>
      </c>
      <c r="B1866" s="82" t="s">
        <v>10651</v>
      </c>
      <c r="C1866" s="82" t="s">
        <v>10943</v>
      </c>
      <c r="D1866" s="82" t="s">
        <v>10944</v>
      </c>
      <c r="E1866" s="82">
        <v>6285240694097</v>
      </c>
      <c r="F1866" s="86">
        <v>45849</v>
      </c>
      <c r="G1866" s="87">
        <v>1051</v>
      </c>
      <c r="H1866" s="88">
        <v>10951.480263157895</v>
      </c>
      <c r="I1866" s="89">
        <v>26</v>
      </c>
      <c r="J1866" s="90">
        <v>13317</v>
      </c>
      <c r="K1866" s="85">
        <v>2</v>
      </c>
      <c r="L1866" s="85">
        <v>117</v>
      </c>
      <c r="M1866" s="85">
        <v>0</v>
      </c>
      <c r="N1866" s="82" t="s">
        <v>10945</v>
      </c>
      <c r="O1866" s="83"/>
    </row>
    <row r="1867" spans="1:15" ht="22.5" customHeight="1">
      <c r="A1867" s="85">
        <v>174904221976312</v>
      </c>
      <c r="B1867" s="82" t="s">
        <v>10651</v>
      </c>
      <c r="C1867" s="82" t="s">
        <v>10853</v>
      </c>
      <c r="D1867" s="82" t="s">
        <v>10854</v>
      </c>
      <c r="E1867" s="82">
        <v>6281393958199</v>
      </c>
      <c r="F1867" s="86">
        <v>45849</v>
      </c>
      <c r="G1867" s="87">
        <v>547</v>
      </c>
      <c r="H1867" s="88">
        <v>22359.701492537315</v>
      </c>
      <c r="I1867" s="89">
        <v>17</v>
      </c>
      <c r="J1867" s="90">
        <v>14981</v>
      </c>
      <c r="K1867" s="85">
        <v>3</v>
      </c>
      <c r="L1867" s="85">
        <v>0</v>
      </c>
      <c r="M1867" s="85">
        <v>1</v>
      </c>
      <c r="N1867" s="82" t="s">
        <v>10855</v>
      </c>
      <c r="O1867" s="83"/>
    </row>
    <row r="1868" spans="1:15" ht="22.5" customHeight="1">
      <c r="A1868" s="85">
        <v>174904221976312</v>
      </c>
      <c r="B1868" s="82" t="s">
        <v>10651</v>
      </c>
      <c r="C1868" s="82" t="s">
        <v>818</v>
      </c>
      <c r="D1868" s="82" t="s">
        <v>812</v>
      </c>
      <c r="E1868" s="82">
        <v>6287858585808</v>
      </c>
      <c r="F1868" s="86">
        <v>45849</v>
      </c>
      <c r="G1868" s="87">
        <v>831</v>
      </c>
      <c r="H1868" s="88">
        <v>16063.509149623251</v>
      </c>
      <c r="I1868" s="89">
        <v>22</v>
      </c>
      <c r="J1868" s="90">
        <v>14923</v>
      </c>
      <c r="K1868" s="85">
        <v>0</v>
      </c>
      <c r="L1868" s="85">
        <v>226</v>
      </c>
      <c r="M1868" s="85">
        <v>0</v>
      </c>
      <c r="N1868" s="82" t="s">
        <v>10831</v>
      </c>
      <c r="O1868" s="83"/>
    </row>
    <row r="1869" spans="1:15" ht="22.5" customHeight="1">
      <c r="A1869" s="85">
        <v>174904221976312</v>
      </c>
      <c r="B1869" s="82" t="s">
        <v>10651</v>
      </c>
      <c r="C1869" s="82" t="s">
        <v>10655</v>
      </c>
      <c r="D1869" s="82" t="s">
        <v>3908</v>
      </c>
      <c r="E1869" s="82">
        <v>6285376667233</v>
      </c>
      <c r="F1869" s="86">
        <v>45849</v>
      </c>
      <c r="G1869" s="87">
        <v>1182</v>
      </c>
      <c r="H1869" s="88">
        <v>10182.025894897182</v>
      </c>
      <c r="I1869" s="89">
        <v>20</v>
      </c>
      <c r="J1869" s="90">
        <v>13369</v>
      </c>
      <c r="K1869" s="85">
        <v>2</v>
      </c>
      <c r="L1869" s="85">
        <v>409</v>
      </c>
      <c r="M1869" s="85">
        <v>0</v>
      </c>
      <c r="N1869" s="82" t="s">
        <v>10656</v>
      </c>
      <c r="O1869" s="83"/>
    </row>
    <row r="1870" spans="1:15" ht="22.5" customHeight="1">
      <c r="A1870" s="85">
        <v>174904221976312</v>
      </c>
      <c r="B1870" s="82" t="s">
        <v>10651</v>
      </c>
      <c r="C1870" s="82" t="s">
        <v>10659</v>
      </c>
      <c r="D1870" s="82" t="s">
        <v>1044</v>
      </c>
      <c r="E1870" s="82">
        <v>6281263113266</v>
      </c>
      <c r="F1870" s="86">
        <v>45849</v>
      </c>
      <c r="G1870" s="87">
        <v>1200</v>
      </c>
      <c r="H1870" s="88">
        <v>11434.26883308715</v>
      </c>
      <c r="I1870" s="89">
        <v>42</v>
      </c>
      <c r="J1870" s="90">
        <v>15482</v>
      </c>
      <c r="K1870" s="85">
        <v>2</v>
      </c>
      <c r="L1870" s="85">
        <v>480</v>
      </c>
      <c r="M1870" s="85">
        <v>1</v>
      </c>
      <c r="N1870" s="82" t="s">
        <v>11258</v>
      </c>
      <c r="O1870" s="83"/>
    </row>
    <row r="1871" spans="1:15" ht="22.5" customHeight="1">
      <c r="A1871" s="85">
        <v>174904221976312</v>
      </c>
      <c r="B1871" s="82" t="s">
        <v>10651</v>
      </c>
      <c r="C1871" s="82" t="s">
        <v>11078</v>
      </c>
      <c r="D1871" s="82" t="s">
        <v>3140</v>
      </c>
      <c r="E1871" s="82"/>
      <c r="F1871" s="86">
        <v>45849</v>
      </c>
      <c r="G1871" s="87">
        <v>8389</v>
      </c>
      <c r="H1871" s="88">
        <v>1633.2288401253918</v>
      </c>
      <c r="I1871" s="89">
        <v>177</v>
      </c>
      <c r="J1871" s="90">
        <v>15630</v>
      </c>
      <c r="K1871" s="85">
        <v>6</v>
      </c>
      <c r="L1871" s="85">
        <v>0</v>
      </c>
      <c r="M1871" s="85">
        <v>0</v>
      </c>
      <c r="N1871" s="82" t="s">
        <v>11079</v>
      </c>
      <c r="O1871" s="83"/>
    </row>
    <row r="1872" spans="1:15" ht="22.5" customHeight="1">
      <c r="A1872" s="85">
        <v>174904221976312</v>
      </c>
      <c r="B1872" s="82" t="s">
        <v>10651</v>
      </c>
      <c r="C1872" s="82" t="s">
        <v>10731</v>
      </c>
      <c r="D1872" s="82" t="s">
        <v>10732</v>
      </c>
      <c r="E1872" s="82">
        <v>6281241440688</v>
      </c>
      <c r="F1872" s="86">
        <v>45849</v>
      </c>
      <c r="G1872" s="87">
        <v>1588</v>
      </c>
      <c r="H1872" s="88">
        <v>6954.5703338806788</v>
      </c>
      <c r="I1872" s="89">
        <v>26</v>
      </c>
      <c r="J1872" s="90">
        <v>12706</v>
      </c>
      <c r="K1872" s="85">
        <v>1</v>
      </c>
      <c r="L1872" s="85">
        <v>578</v>
      </c>
      <c r="M1872" s="85">
        <v>0</v>
      </c>
      <c r="N1872" s="82" t="s">
        <v>10733</v>
      </c>
      <c r="O1872" s="83"/>
    </row>
    <row r="1873" spans="1:15" ht="22.5" customHeight="1">
      <c r="A1873" s="85">
        <v>174904221976312</v>
      </c>
      <c r="B1873" s="82" t="s">
        <v>10651</v>
      </c>
      <c r="C1873" s="82" t="s">
        <v>11168</v>
      </c>
      <c r="D1873" s="82" t="s">
        <v>11169</v>
      </c>
      <c r="E1873" s="82">
        <v>628115424402</v>
      </c>
      <c r="F1873" s="86">
        <v>45849</v>
      </c>
      <c r="G1873" s="87">
        <v>1039</v>
      </c>
      <c r="H1873" s="88">
        <v>13090.113735783028</v>
      </c>
      <c r="I1873" s="89">
        <v>60</v>
      </c>
      <c r="J1873" s="90">
        <v>14962</v>
      </c>
      <c r="K1873" s="85">
        <v>11</v>
      </c>
      <c r="L1873" s="85">
        <v>299</v>
      </c>
      <c r="M1873" s="85">
        <v>1</v>
      </c>
      <c r="N1873" s="82" t="s">
        <v>11170</v>
      </c>
      <c r="O1873" s="83"/>
    </row>
    <row r="1874" spans="1:15" ht="22.5" customHeight="1">
      <c r="A1874" s="85">
        <v>174904221976312</v>
      </c>
      <c r="B1874" s="82" t="s">
        <v>10651</v>
      </c>
      <c r="C1874" s="82" t="s">
        <v>10833</v>
      </c>
      <c r="D1874" s="82" t="s">
        <v>10834</v>
      </c>
      <c r="E1874" s="82">
        <v>6282242925264</v>
      </c>
      <c r="F1874" s="86">
        <v>45849</v>
      </c>
      <c r="G1874" s="87">
        <v>1930</v>
      </c>
      <c r="H1874" s="88">
        <v>6779.1465024197096</v>
      </c>
      <c r="I1874" s="89">
        <v>65</v>
      </c>
      <c r="J1874" s="90">
        <v>15409</v>
      </c>
      <c r="K1874" s="85">
        <v>4</v>
      </c>
      <c r="L1874" s="85">
        <v>620</v>
      </c>
      <c r="M1874" s="85">
        <v>0</v>
      </c>
      <c r="N1874" s="82" t="s">
        <v>10835</v>
      </c>
      <c r="O1874" s="83"/>
    </row>
    <row r="1875" spans="1:15" ht="22.5" customHeight="1">
      <c r="A1875" s="85">
        <v>766589657993298</v>
      </c>
      <c r="B1875" s="82" t="s">
        <v>10688</v>
      </c>
      <c r="C1875" s="82" t="s">
        <v>11259</v>
      </c>
      <c r="D1875" s="82" t="s">
        <v>11260</v>
      </c>
      <c r="E1875" s="82">
        <v>6281310204991</v>
      </c>
      <c r="F1875" s="86">
        <v>45849</v>
      </c>
      <c r="G1875" s="87">
        <v>406</v>
      </c>
      <c r="H1875" s="88">
        <v>30290.249433106579</v>
      </c>
      <c r="I1875" s="89">
        <v>9</v>
      </c>
      <c r="J1875" s="90">
        <v>13358</v>
      </c>
      <c r="K1875" s="85">
        <v>2</v>
      </c>
      <c r="L1875" s="85">
        <v>40</v>
      </c>
      <c r="M1875" s="85">
        <v>0</v>
      </c>
      <c r="N1875" s="82" t="s">
        <v>11261</v>
      </c>
      <c r="O1875" s="83"/>
    </row>
    <row r="1876" spans="1:15" ht="22.5" customHeight="1">
      <c r="A1876" s="85">
        <v>766589657993298</v>
      </c>
      <c r="B1876" s="82" t="s">
        <v>10688</v>
      </c>
      <c r="C1876" s="82" t="s">
        <v>11262</v>
      </c>
      <c r="D1876" s="82" t="s">
        <v>350</v>
      </c>
      <c r="E1876" s="82">
        <v>6281394618785</v>
      </c>
      <c r="F1876" s="86">
        <v>45849</v>
      </c>
      <c r="G1876" s="87">
        <v>723</v>
      </c>
      <c r="H1876" s="88">
        <v>17638.15028901734</v>
      </c>
      <c r="I1876" s="89">
        <v>19</v>
      </c>
      <c r="J1876" s="90">
        <v>15257</v>
      </c>
      <c r="K1876" s="85">
        <v>0</v>
      </c>
      <c r="L1876" s="85">
        <v>22</v>
      </c>
      <c r="M1876" s="85">
        <v>1</v>
      </c>
      <c r="N1876" s="82" t="s">
        <v>11263</v>
      </c>
      <c r="O1876" s="83"/>
    </row>
    <row r="1877" spans="1:15" ht="22.5" customHeight="1">
      <c r="A1877" s="85">
        <v>766589657993298</v>
      </c>
      <c r="B1877" s="82" t="s">
        <v>10688</v>
      </c>
      <c r="C1877" s="82" t="s">
        <v>11264</v>
      </c>
      <c r="D1877" s="91" t="s">
        <v>1915</v>
      </c>
      <c r="E1877" s="82">
        <v>6281239874761</v>
      </c>
      <c r="F1877" s="86">
        <v>45849</v>
      </c>
      <c r="G1877" s="87">
        <v>525</v>
      </c>
      <c r="H1877" s="88">
        <v>23535.14376996805</v>
      </c>
      <c r="I1877" s="89">
        <v>16</v>
      </c>
      <c r="J1877" s="90">
        <v>14733</v>
      </c>
      <c r="K1877" s="85">
        <v>2</v>
      </c>
      <c r="L1877" s="85">
        <v>98</v>
      </c>
      <c r="M1877" s="85">
        <v>1</v>
      </c>
      <c r="N1877" s="82" t="s">
        <v>11265</v>
      </c>
      <c r="O1877" s="83"/>
    </row>
    <row r="1878" spans="1:15" ht="22.5" customHeight="1">
      <c r="A1878" s="85">
        <v>766589657993298</v>
      </c>
      <c r="B1878" s="82" t="s">
        <v>10688</v>
      </c>
      <c r="C1878" s="82" t="s">
        <v>11234</v>
      </c>
      <c r="D1878" s="82" t="s">
        <v>1945</v>
      </c>
      <c r="E1878" s="82">
        <v>6289525439559</v>
      </c>
      <c r="F1878" s="86">
        <v>45849</v>
      </c>
      <c r="G1878" s="87">
        <v>346</v>
      </c>
      <c r="H1878" s="88">
        <v>39069.518716577542</v>
      </c>
      <c r="I1878" s="89">
        <v>5</v>
      </c>
      <c r="J1878" s="90">
        <v>14612</v>
      </c>
      <c r="K1878" s="85">
        <v>1</v>
      </c>
      <c r="L1878" s="85">
        <v>78</v>
      </c>
      <c r="M1878" s="85">
        <v>0</v>
      </c>
      <c r="N1878" s="82" t="s">
        <v>11235</v>
      </c>
      <c r="O1878" s="83"/>
    </row>
    <row r="1879" spans="1:15" ht="22.5" customHeight="1">
      <c r="A1879" s="85">
        <v>766589657993298</v>
      </c>
      <c r="B1879" s="82" t="s">
        <v>10688</v>
      </c>
      <c r="C1879" s="82" t="s">
        <v>11236</v>
      </c>
      <c r="D1879" s="82" t="s">
        <v>11237</v>
      </c>
      <c r="E1879" s="82">
        <v>6285279489086</v>
      </c>
      <c r="F1879" s="86">
        <v>45849</v>
      </c>
      <c r="G1879" s="87">
        <v>844</v>
      </c>
      <c r="H1879" s="88">
        <v>15072.55520504732</v>
      </c>
      <c r="I1879" s="89">
        <v>33</v>
      </c>
      <c r="J1879" s="90">
        <v>14334</v>
      </c>
      <c r="K1879" s="85">
        <v>3</v>
      </c>
      <c r="L1879" s="85">
        <v>369</v>
      </c>
      <c r="M1879" s="85">
        <v>0</v>
      </c>
      <c r="N1879" s="82" t="s">
        <v>11238</v>
      </c>
      <c r="O1879" s="83"/>
    </row>
    <row r="1880" spans="1:15" ht="22.5" customHeight="1">
      <c r="A1880" s="85">
        <v>766589657993298</v>
      </c>
      <c r="B1880" s="82" t="s">
        <v>10688</v>
      </c>
      <c r="C1880" s="82" t="s">
        <v>11239</v>
      </c>
      <c r="D1880" s="82" t="s">
        <v>11240</v>
      </c>
      <c r="E1880" s="82">
        <v>6281213766426</v>
      </c>
      <c r="F1880" s="86">
        <v>45849</v>
      </c>
      <c r="G1880" s="87">
        <v>379</v>
      </c>
      <c r="H1880" s="88">
        <v>33002.314814814818</v>
      </c>
      <c r="I1880" s="89">
        <v>4</v>
      </c>
      <c r="J1880" s="90">
        <v>14257</v>
      </c>
      <c r="K1880" s="85">
        <v>1</v>
      </c>
      <c r="L1880" s="85">
        <v>77</v>
      </c>
      <c r="M1880" s="85">
        <v>0</v>
      </c>
      <c r="N1880" s="82" t="s">
        <v>11241</v>
      </c>
      <c r="O1880" s="83"/>
    </row>
    <row r="1881" spans="1:15" ht="22.5" customHeight="1">
      <c r="A1881" s="85">
        <v>766589657993298</v>
      </c>
      <c r="B1881" s="82" t="s">
        <v>10688</v>
      </c>
      <c r="C1881" s="82" t="s">
        <v>11242</v>
      </c>
      <c r="D1881" s="82" t="s">
        <v>1179</v>
      </c>
      <c r="E1881" s="82">
        <v>6281384442619</v>
      </c>
      <c r="F1881" s="86">
        <v>45849</v>
      </c>
      <c r="G1881" s="87">
        <v>840</v>
      </c>
      <c r="H1881" s="88">
        <v>16112.513144058883</v>
      </c>
      <c r="I1881" s="89">
        <v>33</v>
      </c>
      <c r="J1881" s="90">
        <v>15323</v>
      </c>
      <c r="K1881" s="85">
        <v>7</v>
      </c>
      <c r="L1881" s="85">
        <v>341</v>
      </c>
      <c r="M1881" s="85">
        <v>1</v>
      </c>
      <c r="N1881" s="82" t="s">
        <v>11243</v>
      </c>
      <c r="O1881" s="83"/>
    </row>
    <row r="1882" spans="1:15" ht="22.5" customHeight="1">
      <c r="A1882" s="85">
        <v>766589657993298</v>
      </c>
      <c r="B1882" s="82" t="s">
        <v>10688</v>
      </c>
      <c r="C1882" s="82" t="s">
        <v>11201</v>
      </c>
      <c r="D1882" s="82" t="s">
        <v>11202</v>
      </c>
      <c r="E1882" s="82"/>
      <c r="F1882" s="86">
        <v>45849</v>
      </c>
      <c r="G1882" s="87">
        <v>3975</v>
      </c>
      <c r="H1882" s="88">
        <v>12606.067466606295</v>
      </c>
      <c r="I1882" s="89">
        <v>44</v>
      </c>
      <c r="J1882" s="90">
        <v>55681</v>
      </c>
      <c r="K1882" s="85">
        <v>0</v>
      </c>
      <c r="L1882" s="85">
        <v>331</v>
      </c>
      <c r="M1882" s="85">
        <v>0</v>
      </c>
      <c r="N1882" s="82" t="s">
        <v>11203</v>
      </c>
      <c r="O1882" s="83"/>
    </row>
    <row r="1883" spans="1:15" ht="22.5" customHeight="1">
      <c r="A1883" s="85">
        <v>766589657993298</v>
      </c>
      <c r="B1883" s="82" t="s">
        <v>10688</v>
      </c>
      <c r="C1883" s="82" t="s">
        <v>11204</v>
      </c>
      <c r="D1883" s="82" t="s">
        <v>11205</v>
      </c>
      <c r="E1883" s="82">
        <v>628112999165</v>
      </c>
      <c r="F1883" s="86">
        <v>45849</v>
      </c>
      <c r="G1883" s="87">
        <v>368</v>
      </c>
      <c r="H1883" s="88">
        <v>37267.108167770413</v>
      </c>
      <c r="I1883" s="89">
        <v>9</v>
      </c>
      <c r="J1883" s="90">
        <v>16882</v>
      </c>
      <c r="K1883" s="85">
        <v>2</v>
      </c>
      <c r="L1883" s="85">
        <v>27</v>
      </c>
      <c r="M1883" s="85">
        <v>0</v>
      </c>
      <c r="N1883" s="82" t="s">
        <v>11206</v>
      </c>
      <c r="O1883" s="83"/>
    </row>
    <row r="1884" spans="1:15" ht="22.5" customHeight="1">
      <c r="A1884" s="85">
        <v>766589657993298</v>
      </c>
      <c r="B1884" s="82" t="s">
        <v>10688</v>
      </c>
      <c r="C1884" s="82" t="s">
        <v>11207</v>
      </c>
      <c r="D1884" s="82" t="s">
        <v>11208</v>
      </c>
      <c r="E1884" s="82">
        <v>6282111180648</v>
      </c>
      <c r="F1884" s="86">
        <v>45849</v>
      </c>
      <c r="G1884" s="87">
        <v>400</v>
      </c>
      <c r="H1884" s="88">
        <v>31924.050632911392</v>
      </c>
      <c r="I1884" s="89">
        <v>18</v>
      </c>
      <c r="J1884" s="90">
        <v>15132</v>
      </c>
      <c r="K1884" s="85">
        <v>3</v>
      </c>
      <c r="L1884" s="85">
        <v>38</v>
      </c>
      <c r="M1884" s="85">
        <v>1</v>
      </c>
      <c r="N1884" s="82" t="s">
        <v>11209</v>
      </c>
      <c r="O1884" s="83"/>
    </row>
    <row r="1885" spans="1:15" ht="22.5" customHeight="1">
      <c r="A1885" s="85">
        <v>766589657993298</v>
      </c>
      <c r="B1885" s="82" t="s">
        <v>10688</v>
      </c>
      <c r="C1885" s="82" t="s">
        <v>11171</v>
      </c>
      <c r="D1885" s="82" t="s">
        <v>11172</v>
      </c>
      <c r="E1885" s="82">
        <v>6281214999292</v>
      </c>
      <c r="F1885" s="86">
        <v>45849</v>
      </c>
      <c r="G1885" s="87">
        <v>294</v>
      </c>
      <c r="H1885" s="88">
        <v>49962.025316455693</v>
      </c>
      <c r="I1885" s="89">
        <v>14</v>
      </c>
      <c r="J1885" s="90">
        <v>15788</v>
      </c>
      <c r="K1885" s="85">
        <v>5</v>
      </c>
      <c r="L1885" s="85">
        <v>104</v>
      </c>
      <c r="M1885" s="85">
        <v>1</v>
      </c>
      <c r="N1885" s="82" t="s">
        <v>11173</v>
      </c>
      <c r="O1885" s="83"/>
    </row>
    <row r="1886" spans="1:15" ht="22.5" customHeight="1">
      <c r="A1886" s="85">
        <v>766589657993298</v>
      </c>
      <c r="B1886" s="82" t="s">
        <v>10688</v>
      </c>
      <c r="C1886" s="82" t="s">
        <v>11174</v>
      </c>
      <c r="D1886" s="82" t="s">
        <v>11175</v>
      </c>
      <c r="E1886" s="82">
        <v>6282184019830</v>
      </c>
      <c r="F1886" s="86">
        <v>45849</v>
      </c>
      <c r="G1886" s="87">
        <v>426</v>
      </c>
      <c r="H1886" s="88">
        <v>33875.576036866361</v>
      </c>
      <c r="I1886" s="89">
        <v>13</v>
      </c>
      <c r="J1886" s="90">
        <v>14702</v>
      </c>
      <c r="K1886" s="85">
        <v>0</v>
      </c>
      <c r="L1886" s="85">
        <v>112</v>
      </c>
      <c r="M1886" s="85">
        <v>1</v>
      </c>
      <c r="N1886" s="82" t="s">
        <v>11176</v>
      </c>
      <c r="O1886" s="83"/>
    </row>
    <row r="1887" spans="1:15" ht="22.5" customHeight="1">
      <c r="A1887" s="85">
        <v>766589657993298</v>
      </c>
      <c r="B1887" s="82" t="s">
        <v>10688</v>
      </c>
      <c r="C1887" s="82" t="s">
        <v>11177</v>
      </c>
      <c r="D1887" s="82" t="s">
        <v>11178</v>
      </c>
      <c r="E1887" s="82">
        <v>6281351666729</v>
      </c>
      <c r="F1887" s="86">
        <v>45849</v>
      </c>
      <c r="G1887" s="87">
        <v>676</v>
      </c>
      <c r="H1887" s="88">
        <v>19441.591784338896</v>
      </c>
      <c r="I1887" s="89">
        <v>11</v>
      </c>
      <c r="J1887" s="90">
        <v>15145</v>
      </c>
      <c r="K1887" s="85">
        <v>1</v>
      </c>
      <c r="L1887" s="85">
        <v>247</v>
      </c>
      <c r="M1887" s="85">
        <v>0</v>
      </c>
      <c r="N1887" s="82" t="s">
        <v>11179</v>
      </c>
      <c r="O1887" s="83"/>
    </row>
    <row r="1888" spans="1:15" ht="22.5" customHeight="1">
      <c r="A1888" s="85">
        <v>766589657993298</v>
      </c>
      <c r="B1888" s="82" t="s">
        <v>10688</v>
      </c>
      <c r="C1888" s="82" t="s">
        <v>11180</v>
      </c>
      <c r="D1888" s="82" t="s">
        <v>11181</v>
      </c>
      <c r="E1888" s="82">
        <v>62895800343940</v>
      </c>
      <c r="F1888" s="86">
        <v>45849</v>
      </c>
      <c r="G1888" s="87">
        <v>635</v>
      </c>
      <c r="H1888" s="88">
        <v>23121.21212121212</v>
      </c>
      <c r="I1888" s="89">
        <v>19</v>
      </c>
      <c r="J1888" s="90">
        <v>16786</v>
      </c>
      <c r="K1888" s="85">
        <v>1</v>
      </c>
      <c r="L1888" s="85">
        <v>83</v>
      </c>
      <c r="M1888" s="85">
        <v>0</v>
      </c>
      <c r="N1888" s="82" t="s">
        <v>11182</v>
      </c>
      <c r="O1888" s="83"/>
    </row>
    <row r="1889" spans="1:15" ht="22.5" customHeight="1">
      <c r="A1889" s="85">
        <v>766589657993298</v>
      </c>
      <c r="B1889" s="82" t="s">
        <v>10688</v>
      </c>
      <c r="C1889" s="82" t="s">
        <v>11139</v>
      </c>
      <c r="D1889" s="82" t="s">
        <v>11140</v>
      </c>
      <c r="E1889" s="82"/>
      <c r="F1889" s="86">
        <v>45849</v>
      </c>
      <c r="G1889" s="87">
        <v>468</v>
      </c>
      <c r="H1889" s="88">
        <v>38709.090909090912</v>
      </c>
      <c r="I1889" s="89">
        <v>10</v>
      </c>
      <c r="J1889" s="90">
        <v>19161</v>
      </c>
      <c r="K1889" s="85">
        <v>2</v>
      </c>
      <c r="L1889" s="85">
        <v>169</v>
      </c>
      <c r="M1889" s="85">
        <v>0</v>
      </c>
      <c r="N1889" s="82" t="s">
        <v>11141</v>
      </c>
      <c r="O1889" s="83"/>
    </row>
    <row r="1890" spans="1:15" ht="22.5" customHeight="1">
      <c r="A1890" s="85">
        <v>766589657993298</v>
      </c>
      <c r="B1890" s="82" t="s">
        <v>10688</v>
      </c>
      <c r="C1890" s="82" t="s">
        <v>11142</v>
      </c>
      <c r="D1890" s="82" t="s">
        <v>10980</v>
      </c>
      <c r="E1890" s="82">
        <v>6285715856120</v>
      </c>
      <c r="F1890" s="86">
        <v>45849</v>
      </c>
      <c r="G1890" s="87">
        <v>656</v>
      </c>
      <c r="H1890" s="88">
        <v>22943.422913719944</v>
      </c>
      <c r="I1890" s="89">
        <v>21</v>
      </c>
      <c r="J1890" s="90">
        <v>16221</v>
      </c>
      <c r="K1890" s="85">
        <v>4</v>
      </c>
      <c r="L1890" s="85">
        <v>255</v>
      </c>
      <c r="M1890" s="85">
        <v>1</v>
      </c>
      <c r="N1890" s="82" t="s">
        <v>11143</v>
      </c>
      <c r="O1890" s="83"/>
    </row>
    <row r="1891" spans="1:15" ht="22.5" customHeight="1">
      <c r="A1891" s="85">
        <v>766589657993298</v>
      </c>
      <c r="B1891" s="82" t="s">
        <v>10688</v>
      </c>
      <c r="C1891" s="82" t="s">
        <v>11103</v>
      </c>
      <c r="D1891" s="82" t="s">
        <v>11104</v>
      </c>
      <c r="E1891" s="82">
        <v>6282124027899</v>
      </c>
      <c r="F1891" s="86">
        <v>45849</v>
      </c>
      <c r="G1891" s="87">
        <v>1739</v>
      </c>
      <c r="H1891" s="88">
        <v>8366.8547973319655</v>
      </c>
      <c r="I1891" s="89">
        <v>41</v>
      </c>
      <c r="J1891" s="90">
        <v>16307</v>
      </c>
      <c r="K1891" s="85">
        <v>3</v>
      </c>
      <c r="L1891" s="85">
        <v>463</v>
      </c>
      <c r="M1891" s="85">
        <v>1</v>
      </c>
      <c r="N1891" s="82" t="s">
        <v>11105</v>
      </c>
      <c r="O1891" s="83"/>
    </row>
    <row r="1892" spans="1:15" ht="22.5" customHeight="1">
      <c r="A1892" s="85">
        <v>766589657993298</v>
      </c>
      <c r="B1892" s="82" t="s">
        <v>10688</v>
      </c>
      <c r="C1892" s="82" t="s">
        <v>11053</v>
      </c>
      <c r="D1892" s="82" t="s">
        <v>1579</v>
      </c>
      <c r="E1892" s="82">
        <v>6285647189964</v>
      </c>
      <c r="F1892" s="86">
        <v>45849</v>
      </c>
      <c r="G1892" s="87">
        <v>867</v>
      </c>
      <c r="H1892" s="88">
        <v>19765.495867768597</v>
      </c>
      <c r="I1892" s="89">
        <v>4</v>
      </c>
      <c r="J1892" s="90">
        <v>19133</v>
      </c>
      <c r="K1892" s="85">
        <v>0</v>
      </c>
      <c r="L1892" s="85">
        <v>33</v>
      </c>
      <c r="M1892" s="85">
        <v>0</v>
      </c>
      <c r="N1892" s="82" t="s">
        <v>11054</v>
      </c>
      <c r="O1892" s="83"/>
    </row>
    <row r="1893" spans="1:15" ht="22.5" customHeight="1">
      <c r="A1893" s="85">
        <v>766589657993298</v>
      </c>
      <c r="B1893" s="82" t="s">
        <v>10688</v>
      </c>
      <c r="C1893" s="82" t="s">
        <v>11026</v>
      </c>
      <c r="D1893" s="82" t="s">
        <v>1172</v>
      </c>
      <c r="E1893" s="82">
        <v>6285950836788</v>
      </c>
      <c r="F1893" s="86">
        <v>45849</v>
      </c>
      <c r="G1893" s="87">
        <v>484</v>
      </c>
      <c r="H1893" s="88">
        <v>30255.319148936171</v>
      </c>
      <c r="I1893" s="89">
        <v>8</v>
      </c>
      <c r="J1893" s="90">
        <v>15642</v>
      </c>
      <c r="K1893" s="85">
        <v>0</v>
      </c>
      <c r="L1893" s="85">
        <v>125</v>
      </c>
      <c r="M1893" s="85">
        <v>1</v>
      </c>
      <c r="N1893" s="82" t="s">
        <v>11027</v>
      </c>
      <c r="O1893" s="83"/>
    </row>
    <row r="1894" spans="1:15" ht="22.5" customHeight="1">
      <c r="A1894" s="85">
        <v>766589657993298</v>
      </c>
      <c r="B1894" s="82" t="s">
        <v>10688</v>
      </c>
      <c r="C1894" s="82" t="s">
        <v>11028</v>
      </c>
      <c r="D1894" s="82" t="s">
        <v>11029</v>
      </c>
      <c r="E1894" s="82">
        <v>6282338171577</v>
      </c>
      <c r="F1894" s="86">
        <v>45849</v>
      </c>
      <c r="G1894" s="87">
        <v>993</v>
      </c>
      <c r="H1894" s="88">
        <v>13536.941580756014</v>
      </c>
      <c r="I1894" s="89">
        <v>36</v>
      </c>
      <c r="J1894" s="90">
        <v>15757</v>
      </c>
      <c r="K1894" s="85">
        <v>1</v>
      </c>
      <c r="L1894" s="85">
        <v>408</v>
      </c>
      <c r="M1894" s="85">
        <v>1</v>
      </c>
      <c r="N1894" s="82" t="s">
        <v>11030</v>
      </c>
      <c r="O1894" s="83"/>
    </row>
    <row r="1895" spans="1:15" ht="22.5" customHeight="1">
      <c r="A1895" s="85">
        <v>766589657993298</v>
      </c>
      <c r="B1895" s="82" t="s">
        <v>10688</v>
      </c>
      <c r="C1895" s="82" t="s">
        <v>10885</v>
      </c>
      <c r="D1895" s="82" t="s">
        <v>906</v>
      </c>
      <c r="E1895" s="82">
        <v>6282183115806</v>
      </c>
      <c r="F1895" s="86">
        <v>45849</v>
      </c>
      <c r="G1895" s="87">
        <v>956</v>
      </c>
      <c r="H1895" s="88">
        <v>15051.837888784165</v>
      </c>
      <c r="I1895" s="89">
        <v>33</v>
      </c>
      <c r="J1895" s="90">
        <v>15970</v>
      </c>
      <c r="K1895" s="85">
        <v>2</v>
      </c>
      <c r="L1895" s="85">
        <v>456</v>
      </c>
      <c r="M1895" s="85">
        <v>0</v>
      </c>
      <c r="N1895" s="82" t="s">
        <v>10886</v>
      </c>
      <c r="O1895" s="83"/>
    </row>
    <row r="1896" spans="1:15" ht="22.5" customHeight="1">
      <c r="A1896" s="85">
        <v>766589657993298</v>
      </c>
      <c r="B1896" s="82" t="s">
        <v>10688</v>
      </c>
      <c r="C1896" s="82" t="s">
        <v>10879</v>
      </c>
      <c r="D1896" s="82" t="s">
        <v>10880</v>
      </c>
      <c r="E1896" s="82">
        <v>6281215851833</v>
      </c>
      <c r="F1896" s="86">
        <v>45849</v>
      </c>
      <c r="G1896" s="87">
        <v>473</v>
      </c>
      <c r="H1896" s="88">
        <v>34514.760147601475</v>
      </c>
      <c r="I1896" s="89">
        <v>27</v>
      </c>
      <c r="J1896" s="90">
        <v>18707</v>
      </c>
      <c r="K1896" s="85">
        <v>5</v>
      </c>
      <c r="L1896" s="85">
        <v>0</v>
      </c>
      <c r="M1896" s="85">
        <v>0</v>
      </c>
      <c r="N1896" s="82" t="s">
        <v>10881</v>
      </c>
      <c r="O1896" s="83"/>
    </row>
    <row r="1897" spans="1:15" ht="22.5" customHeight="1">
      <c r="A1897" s="85">
        <v>766589657993298</v>
      </c>
      <c r="B1897" s="82" t="s">
        <v>10688</v>
      </c>
      <c r="C1897" s="82" t="s">
        <v>10780</v>
      </c>
      <c r="D1897" s="82" t="s">
        <v>10781</v>
      </c>
      <c r="E1897" s="82">
        <v>6281338789995</v>
      </c>
      <c r="F1897" s="86">
        <v>45849</v>
      </c>
      <c r="G1897" s="87">
        <v>876</v>
      </c>
      <c r="H1897" s="88">
        <v>16426.041666666668</v>
      </c>
      <c r="I1897" s="89">
        <v>13</v>
      </c>
      <c r="J1897" s="90">
        <v>15769</v>
      </c>
      <c r="K1897" s="85">
        <v>1</v>
      </c>
      <c r="L1897" s="85">
        <v>266</v>
      </c>
      <c r="M1897" s="85">
        <v>0</v>
      </c>
      <c r="N1897" s="82" t="s">
        <v>10782</v>
      </c>
      <c r="O1897" s="83"/>
    </row>
    <row r="1898" spans="1:15" ht="22.5" customHeight="1">
      <c r="A1898" s="85">
        <v>766589657993298</v>
      </c>
      <c r="B1898" s="82" t="s">
        <v>10688</v>
      </c>
      <c r="C1898" s="82" t="s">
        <v>10772</v>
      </c>
      <c r="D1898" s="82" t="s">
        <v>10773</v>
      </c>
      <c r="E1898" s="82">
        <v>6285261023204</v>
      </c>
      <c r="F1898" s="86">
        <v>45849</v>
      </c>
      <c r="G1898" s="87">
        <v>526</v>
      </c>
      <c r="H1898" s="88">
        <v>28101.328903654485</v>
      </c>
      <c r="I1898" s="89">
        <v>11</v>
      </c>
      <c r="J1898" s="90">
        <v>16917</v>
      </c>
      <c r="K1898" s="85">
        <v>3</v>
      </c>
      <c r="L1898" s="85">
        <v>71</v>
      </c>
      <c r="M1898" s="85">
        <v>0</v>
      </c>
      <c r="N1898" s="82" t="s">
        <v>10774</v>
      </c>
      <c r="O1898" s="83"/>
    </row>
    <row r="1899" spans="1:15" ht="22.5" customHeight="1">
      <c r="A1899" s="85">
        <v>766589657993298</v>
      </c>
      <c r="B1899" s="82" t="s">
        <v>10688</v>
      </c>
      <c r="C1899" s="82" t="s">
        <v>10762</v>
      </c>
      <c r="D1899" s="82" t="s">
        <v>10763</v>
      </c>
      <c r="E1899" s="82">
        <v>6285210107607</v>
      </c>
      <c r="F1899" s="86">
        <v>45849</v>
      </c>
      <c r="G1899" s="87">
        <v>1212</v>
      </c>
      <c r="H1899" s="88">
        <v>13694.178334561533</v>
      </c>
      <c r="I1899" s="89">
        <v>30</v>
      </c>
      <c r="J1899" s="90">
        <v>18583</v>
      </c>
      <c r="K1899" s="85">
        <v>5</v>
      </c>
      <c r="L1899" s="85">
        <v>379</v>
      </c>
      <c r="M1899" s="85">
        <v>0</v>
      </c>
      <c r="N1899" s="82" t="s">
        <v>10764</v>
      </c>
      <c r="O1899" s="83"/>
    </row>
    <row r="1900" spans="1:15" ht="22.5" customHeight="1">
      <c r="A1900" s="85">
        <v>766589657993298</v>
      </c>
      <c r="B1900" s="82" t="s">
        <v>10688</v>
      </c>
      <c r="C1900" s="82" t="s">
        <v>10795</v>
      </c>
      <c r="D1900" s="82" t="s">
        <v>551</v>
      </c>
      <c r="E1900" s="82">
        <v>6285747906282</v>
      </c>
      <c r="F1900" s="86">
        <v>45849</v>
      </c>
      <c r="G1900" s="87">
        <v>912</v>
      </c>
      <c r="H1900" s="88">
        <v>16924.124513618677</v>
      </c>
      <c r="I1900" s="89">
        <v>26</v>
      </c>
      <c r="J1900" s="90">
        <v>17398</v>
      </c>
      <c r="K1900" s="85">
        <v>2</v>
      </c>
      <c r="L1900" s="85">
        <v>73</v>
      </c>
      <c r="M1900" s="85">
        <v>0</v>
      </c>
      <c r="N1900" s="82" t="s">
        <v>10796</v>
      </c>
      <c r="O1900" s="83"/>
    </row>
    <row r="1901" spans="1:15" ht="22.5" customHeight="1">
      <c r="A1901" s="85">
        <v>766589657993298</v>
      </c>
      <c r="B1901" s="82" t="s">
        <v>10688</v>
      </c>
      <c r="C1901" s="82" t="s">
        <v>10767</v>
      </c>
      <c r="D1901" s="82" t="s">
        <v>10768</v>
      </c>
      <c r="E1901" s="82">
        <v>6281519225886</v>
      </c>
      <c r="F1901" s="86">
        <v>45849</v>
      </c>
      <c r="G1901" s="87">
        <v>490</v>
      </c>
      <c r="H1901" s="88">
        <v>28160.447761194027</v>
      </c>
      <c r="I1901" s="89">
        <v>9</v>
      </c>
      <c r="J1901" s="90">
        <v>15094</v>
      </c>
      <c r="K1901" s="85">
        <v>2</v>
      </c>
      <c r="L1901" s="85">
        <v>31</v>
      </c>
      <c r="M1901" s="85">
        <v>0</v>
      </c>
      <c r="N1901" s="82" t="s">
        <v>10769</v>
      </c>
      <c r="O1901" s="83"/>
    </row>
    <row r="1902" spans="1:15" ht="22.5" customHeight="1">
      <c r="A1902" s="85">
        <v>766589657993298</v>
      </c>
      <c r="B1902" s="82" t="s">
        <v>10688</v>
      </c>
      <c r="C1902" s="82" t="s">
        <v>10797</v>
      </c>
      <c r="D1902" s="82" t="s">
        <v>10798</v>
      </c>
      <c r="E1902" s="82">
        <v>6285853370682</v>
      </c>
      <c r="F1902" s="86">
        <v>45849</v>
      </c>
      <c r="G1902" s="87">
        <v>740</v>
      </c>
      <c r="H1902" s="88">
        <v>20710</v>
      </c>
      <c r="I1902" s="89">
        <v>21</v>
      </c>
      <c r="J1902" s="90">
        <v>16568</v>
      </c>
      <c r="K1902" s="85">
        <v>2</v>
      </c>
      <c r="L1902" s="85">
        <v>210</v>
      </c>
      <c r="M1902" s="85">
        <v>0</v>
      </c>
      <c r="N1902" s="82" t="s">
        <v>10799</v>
      </c>
      <c r="O1902" s="83"/>
    </row>
    <row r="1903" spans="1:15" ht="22.5" customHeight="1">
      <c r="A1903" s="85">
        <v>766589657993298</v>
      </c>
      <c r="B1903" s="82" t="s">
        <v>10688</v>
      </c>
      <c r="C1903" s="82" t="s">
        <v>10800</v>
      </c>
      <c r="D1903" s="82" t="s">
        <v>472</v>
      </c>
      <c r="E1903" s="82">
        <v>628114170888</v>
      </c>
      <c r="F1903" s="86">
        <v>45849</v>
      </c>
      <c r="G1903" s="87">
        <v>819</v>
      </c>
      <c r="H1903" s="88">
        <v>19649.769585253456</v>
      </c>
      <c r="I1903" s="89">
        <v>15</v>
      </c>
      <c r="J1903" s="90">
        <v>17056</v>
      </c>
      <c r="K1903" s="85">
        <v>0</v>
      </c>
      <c r="L1903" s="85">
        <v>179</v>
      </c>
      <c r="M1903" s="85">
        <v>1</v>
      </c>
      <c r="N1903" s="82" t="s">
        <v>10801</v>
      </c>
      <c r="O1903" s="83"/>
    </row>
    <row r="1904" spans="1:15" ht="22.5" customHeight="1">
      <c r="A1904" s="85">
        <v>766589657993298</v>
      </c>
      <c r="B1904" s="82" t="s">
        <v>10688</v>
      </c>
      <c r="C1904" s="82" t="s">
        <v>10752</v>
      </c>
      <c r="D1904" s="82" t="s">
        <v>10753</v>
      </c>
      <c r="E1904" s="82">
        <v>6281340892328</v>
      </c>
      <c r="F1904" s="86">
        <v>45849</v>
      </c>
      <c r="G1904" s="87">
        <v>1505</v>
      </c>
      <c r="H1904" s="88">
        <v>10206.060606060608</v>
      </c>
      <c r="I1904" s="89">
        <v>20</v>
      </c>
      <c r="J1904" s="90">
        <v>16840</v>
      </c>
      <c r="K1904" s="85">
        <v>0</v>
      </c>
      <c r="L1904" s="85">
        <v>429</v>
      </c>
      <c r="M1904" s="85">
        <v>0</v>
      </c>
      <c r="N1904" s="82" t="s">
        <v>10754</v>
      </c>
      <c r="O1904" s="83"/>
    </row>
    <row r="1905" spans="1:15" ht="22.5" customHeight="1">
      <c r="A1905" s="85">
        <v>206726568613432</v>
      </c>
      <c r="B1905" s="82" t="s">
        <v>10900</v>
      </c>
      <c r="C1905" s="82" t="s">
        <v>11031</v>
      </c>
      <c r="D1905" s="82" t="s">
        <v>11032</v>
      </c>
      <c r="E1905" s="82">
        <v>6285668750416</v>
      </c>
      <c r="F1905" s="86">
        <v>45849</v>
      </c>
      <c r="G1905" s="87">
        <v>1295</v>
      </c>
      <c r="H1905" s="88">
        <v>9866.6186012977651</v>
      </c>
      <c r="I1905" s="89">
        <v>29</v>
      </c>
      <c r="J1905" s="90">
        <v>13685</v>
      </c>
      <c r="K1905" s="85">
        <v>2</v>
      </c>
      <c r="L1905" s="85">
        <v>542</v>
      </c>
      <c r="M1905" s="85">
        <v>0</v>
      </c>
      <c r="N1905" s="82" t="s">
        <v>11033</v>
      </c>
      <c r="O1905" s="83"/>
    </row>
    <row r="1906" spans="1:15" ht="22.5" customHeight="1">
      <c r="A1906" s="85">
        <v>759724529202804</v>
      </c>
      <c r="B1906" s="82" t="s">
        <v>10621</v>
      </c>
      <c r="C1906" s="82" t="s">
        <v>11266</v>
      </c>
      <c r="D1906" s="82" t="s">
        <v>11267</v>
      </c>
      <c r="E1906" s="82">
        <v>6281904501876</v>
      </c>
      <c r="F1906" s="86">
        <v>45852</v>
      </c>
      <c r="G1906" s="87">
        <v>1560</v>
      </c>
      <c r="H1906" s="88">
        <v>7605.5469953775037</v>
      </c>
      <c r="I1906" s="89">
        <v>33</v>
      </c>
      <c r="J1906" s="90">
        <v>14808</v>
      </c>
      <c r="K1906" s="85">
        <v>2</v>
      </c>
      <c r="L1906" s="85">
        <v>148</v>
      </c>
      <c r="M1906" s="85">
        <v>1</v>
      </c>
      <c r="N1906" s="82" t="s">
        <v>11268</v>
      </c>
      <c r="O1906" s="83"/>
    </row>
    <row r="1907" spans="1:15" ht="22.5" customHeight="1">
      <c r="A1907" s="85">
        <v>759724529202804</v>
      </c>
      <c r="B1907" s="82" t="s">
        <v>10621</v>
      </c>
      <c r="C1907" s="82" t="s">
        <v>11211</v>
      </c>
      <c r="D1907" s="82" t="s">
        <v>1835</v>
      </c>
      <c r="E1907" s="82">
        <v>62811339289839</v>
      </c>
      <c r="F1907" s="86">
        <v>45852</v>
      </c>
      <c r="G1907" s="87">
        <v>2022</v>
      </c>
      <c r="H1907" s="88">
        <v>7885.175664095972</v>
      </c>
      <c r="I1907" s="89">
        <v>26</v>
      </c>
      <c r="J1907" s="90">
        <v>18404</v>
      </c>
      <c r="K1907" s="85">
        <v>2</v>
      </c>
      <c r="L1907" s="85">
        <v>413</v>
      </c>
      <c r="M1907" s="85">
        <v>0</v>
      </c>
      <c r="N1907" s="82" t="s">
        <v>11212</v>
      </c>
      <c r="O1907" s="83"/>
    </row>
    <row r="1908" spans="1:15" ht="22.5" customHeight="1">
      <c r="A1908" s="85">
        <v>759724529202804</v>
      </c>
      <c r="B1908" s="82" t="s">
        <v>10621</v>
      </c>
      <c r="C1908" s="82" t="s">
        <v>11070</v>
      </c>
      <c r="D1908" s="82" t="s">
        <v>11071</v>
      </c>
      <c r="E1908" s="82">
        <v>6281246211381</v>
      </c>
      <c r="F1908" s="86">
        <v>45852</v>
      </c>
      <c r="G1908" s="87">
        <v>686</v>
      </c>
      <c r="H1908" s="88">
        <v>18726.591760299627</v>
      </c>
      <c r="I1908" s="89">
        <v>29</v>
      </c>
      <c r="J1908" s="90">
        <v>15000</v>
      </c>
      <c r="K1908" s="85">
        <v>1</v>
      </c>
      <c r="L1908" s="85">
        <v>6</v>
      </c>
      <c r="M1908" s="85">
        <v>0</v>
      </c>
      <c r="N1908" s="82" t="s">
        <v>11072</v>
      </c>
      <c r="O1908" s="83"/>
    </row>
    <row r="1909" spans="1:15" ht="22.5" customHeight="1">
      <c r="A1909" s="85">
        <v>759724529202804</v>
      </c>
      <c r="B1909" s="82" t="s">
        <v>10621</v>
      </c>
      <c r="C1909" s="82" t="s">
        <v>11016</v>
      </c>
      <c r="D1909" s="82" t="s">
        <v>1530</v>
      </c>
      <c r="E1909" s="82">
        <v>628111988553</v>
      </c>
      <c r="F1909" s="86">
        <v>45852</v>
      </c>
      <c r="G1909" s="87">
        <v>251</v>
      </c>
      <c r="H1909" s="88">
        <v>61730.909090909096</v>
      </c>
      <c r="I1909" s="89">
        <v>11</v>
      </c>
      <c r="J1909" s="90">
        <v>16976</v>
      </c>
      <c r="K1909" s="85">
        <v>1</v>
      </c>
      <c r="L1909" s="85">
        <v>52</v>
      </c>
      <c r="M1909" s="85">
        <v>0</v>
      </c>
      <c r="N1909" s="82" t="s">
        <v>11017</v>
      </c>
      <c r="O1909" s="83"/>
    </row>
    <row r="1910" spans="1:15" ht="22.5" customHeight="1">
      <c r="A1910" s="85">
        <v>759724529202804</v>
      </c>
      <c r="B1910" s="82" t="s">
        <v>10621</v>
      </c>
      <c r="C1910" s="82" t="s">
        <v>10986</v>
      </c>
      <c r="D1910" s="82" t="s">
        <v>10987</v>
      </c>
      <c r="E1910" s="82">
        <v>6281282183261</v>
      </c>
      <c r="F1910" s="86">
        <v>45852</v>
      </c>
      <c r="G1910" s="87">
        <v>398</v>
      </c>
      <c r="H1910" s="88">
        <v>25697.228144989338</v>
      </c>
      <c r="I1910" s="89">
        <v>9</v>
      </c>
      <c r="J1910" s="90">
        <v>12052</v>
      </c>
      <c r="K1910" s="85">
        <v>2</v>
      </c>
      <c r="L1910" s="85">
        <v>21</v>
      </c>
      <c r="M1910" s="85">
        <v>0</v>
      </c>
      <c r="N1910" s="82" t="s">
        <v>10988</v>
      </c>
      <c r="O1910" s="83"/>
    </row>
    <row r="1911" spans="1:15" ht="22.5" customHeight="1">
      <c r="A1911" s="85">
        <v>759724529202804</v>
      </c>
      <c r="B1911" s="82" t="s">
        <v>10621</v>
      </c>
      <c r="C1911" s="82" t="s">
        <v>540</v>
      </c>
      <c r="D1911" s="82" t="s">
        <v>10755</v>
      </c>
      <c r="E1911" s="82">
        <v>6281335728695</v>
      </c>
      <c r="F1911" s="86">
        <v>45852</v>
      </c>
      <c r="G1911" s="87">
        <v>703</v>
      </c>
      <c r="H1911" s="88">
        <v>16092.35352532274</v>
      </c>
      <c r="I1911" s="89">
        <v>37</v>
      </c>
      <c r="J1911" s="90">
        <v>16205</v>
      </c>
      <c r="K1911" s="85">
        <v>5</v>
      </c>
      <c r="L1911" s="85">
        <v>93</v>
      </c>
      <c r="M1911" s="85">
        <v>4</v>
      </c>
      <c r="N1911" s="82" t="s">
        <v>10756</v>
      </c>
      <c r="O1911" s="83"/>
    </row>
    <row r="1912" spans="1:15" ht="22.5" customHeight="1">
      <c r="A1912" s="85">
        <v>174904221976312</v>
      </c>
      <c r="B1912" s="82" t="s">
        <v>10651</v>
      </c>
      <c r="C1912" s="82" t="s">
        <v>11269</v>
      </c>
      <c r="D1912" s="82" t="s">
        <v>11270</v>
      </c>
      <c r="E1912" s="82">
        <v>6287856746423</v>
      </c>
      <c r="F1912" s="86">
        <v>45852</v>
      </c>
      <c r="G1912" s="87">
        <v>233</v>
      </c>
      <c r="H1912" s="88">
        <v>42372.623574144483</v>
      </c>
      <c r="I1912" s="89">
        <v>5</v>
      </c>
      <c r="J1912" s="90">
        <v>11144</v>
      </c>
      <c r="K1912" s="85">
        <v>1</v>
      </c>
      <c r="L1912" s="85">
        <v>42</v>
      </c>
      <c r="M1912" s="85">
        <v>0</v>
      </c>
      <c r="N1912" s="82" t="s">
        <v>11271</v>
      </c>
      <c r="O1912" s="83"/>
    </row>
    <row r="1913" spans="1:15" ht="22.5" customHeight="1">
      <c r="A1913" s="85">
        <v>174904221976312</v>
      </c>
      <c r="B1913" s="82" t="s">
        <v>10651</v>
      </c>
      <c r="C1913" s="82" t="s">
        <v>11272</v>
      </c>
      <c r="D1913" s="82" t="s">
        <v>11273</v>
      </c>
      <c r="E1913" s="82">
        <v>6281253629810</v>
      </c>
      <c r="F1913" s="86">
        <v>45852</v>
      </c>
      <c r="G1913" s="87">
        <v>1126</v>
      </c>
      <c r="H1913" s="88">
        <v>9902.8571428571413</v>
      </c>
      <c r="I1913" s="89">
        <v>31</v>
      </c>
      <c r="J1913" s="90">
        <v>13864</v>
      </c>
      <c r="K1913" s="85">
        <v>4</v>
      </c>
      <c r="L1913" s="85">
        <v>219</v>
      </c>
      <c r="M1913" s="85">
        <v>0</v>
      </c>
      <c r="N1913" s="82" t="s">
        <v>11274</v>
      </c>
      <c r="O1913" s="83"/>
    </row>
    <row r="1914" spans="1:15" ht="22.5" customHeight="1">
      <c r="A1914" s="85">
        <v>174904221976312</v>
      </c>
      <c r="B1914" s="82" t="s">
        <v>10651</v>
      </c>
      <c r="C1914" s="82" t="s">
        <v>11275</v>
      </c>
      <c r="D1914" s="82" t="s">
        <v>11276</v>
      </c>
      <c r="E1914" s="82">
        <v>6289517787985</v>
      </c>
      <c r="F1914" s="86">
        <v>45852</v>
      </c>
      <c r="G1914" s="87">
        <v>788</v>
      </c>
      <c r="H1914" s="88">
        <v>12383.848454636091</v>
      </c>
      <c r="I1914" s="89">
        <v>19</v>
      </c>
      <c r="J1914" s="90">
        <v>12421</v>
      </c>
      <c r="K1914" s="85">
        <v>5</v>
      </c>
      <c r="L1914" s="85">
        <v>260</v>
      </c>
      <c r="M1914" s="85">
        <v>0</v>
      </c>
      <c r="N1914" s="82" t="s">
        <v>11277</v>
      </c>
      <c r="O1914" s="83"/>
    </row>
    <row r="1915" spans="1:15" ht="22.5" customHeight="1">
      <c r="A1915" s="85">
        <v>174904221976312</v>
      </c>
      <c r="B1915" s="82" t="s">
        <v>10651</v>
      </c>
      <c r="C1915" s="82" t="s">
        <v>11278</v>
      </c>
      <c r="D1915" s="82" t="s">
        <v>2202</v>
      </c>
      <c r="E1915" s="82">
        <v>62895374644456</v>
      </c>
      <c r="F1915" s="86">
        <v>45852</v>
      </c>
      <c r="G1915" s="87">
        <v>867</v>
      </c>
      <c r="H1915" s="88">
        <v>15106.014271151886</v>
      </c>
      <c r="I1915" s="89">
        <v>22</v>
      </c>
      <c r="J1915" s="90">
        <v>14819</v>
      </c>
      <c r="K1915" s="85">
        <v>4</v>
      </c>
      <c r="L1915" s="85">
        <v>284</v>
      </c>
      <c r="M1915" s="85">
        <v>0</v>
      </c>
      <c r="N1915" s="82" t="s">
        <v>11279</v>
      </c>
      <c r="O1915" s="83"/>
    </row>
    <row r="1916" spans="1:15" ht="22.5" customHeight="1">
      <c r="A1916" s="85">
        <v>174904221976312</v>
      </c>
      <c r="B1916" s="82" t="s">
        <v>10651</v>
      </c>
      <c r="C1916" s="82" t="s">
        <v>11280</v>
      </c>
      <c r="D1916" s="82" t="s">
        <v>2151</v>
      </c>
      <c r="E1916" s="82">
        <v>6281252228100</v>
      </c>
      <c r="F1916" s="86">
        <v>45852</v>
      </c>
      <c r="G1916" s="87">
        <v>357</v>
      </c>
      <c r="H1916" s="88">
        <v>32960.880195599028</v>
      </c>
      <c r="I1916" s="89">
        <v>13</v>
      </c>
      <c r="J1916" s="90">
        <v>13481</v>
      </c>
      <c r="K1916" s="85">
        <v>3</v>
      </c>
      <c r="L1916" s="85">
        <v>160</v>
      </c>
      <c r="M1916" s="85">
        <v>0</v>
      </c>
      <c r="N1916" s="82" t="s">
        <v>11281</v>
      </c>
      <c r="O1916" s="83"/>
    </row>
    <row r="1917" spans="1:15" ht="22.5" customHeight="1">
      <c r="A1917" s="85">
        <v>174904221976312</v>
      </c>
      <c r="B1917" s="82" t="s">
        <v>10651</v>
      </c>
      <c r="C1917" s="82" t="s">
        <v>11282</v>
      </c>
      <c r="D1917" s="82" t="s">
        <v>1044</v>
      </c>
      <c r="E1917" s="82">
        <v>6281263113266</v>
      </c>
      <c r="F1917" s="86">
        <v>45852</v>
      </c>
      <c r="G1917" s="87">
        <v>1064</v>
      </c>
      <c r="H1917" s="88">
        <v>10936.858721389108</v>
      </c>
      <c r="I1917" s="89">
        <v>51</v>
      </c>
      <c r="J1917" s="90">
        <v>13857</v>
      </c>
      <c r="K1917" s="85">
        <v>3</v>
      </c>
      <c r="L1917" s="85">
        <v>568</v>
      </c>
      <c r="M1917" s="85">
        <v>3</v>
      </c>
      <c r="N1917" s="82" t="s">
        <v>10728</v>
      </c>
      <c r="O1917" s="83"/>
    </row>
    <row r="1918" spans="1:15" ht="22.5" customHeight="1">
      <c r="A1918" s="85">
        <v>174904221976312</v>
      </c>
      <c r="B1918" s="82" t="s">
        <v>10651</v>
      </c>
      <c r="C1918" s="82" t="s">
        <v>11283</v>
      </c>
      <c r="D1918" s="82" t="s">
        <v>11284</v>
      </c>
      <c r="E1918" s="82">
        <v>6285150556695</v>
      </c>
      <c r="F1918" s="86">
        <v>45852</v>
      </c>
      <c r="G1918" s="87">
        <v>82</v>
      </c>
      <c r="H1918" s="88">
        <v>148598.03921568627</v>
      </c>
      <c r="I1918" s="89">
        <v>2</v>
      </c>
      <c r="J1918" s="90">
        <v>15157</v>
      </c>
      <c r="K1918" s="85">
        <v>0</v>
      </c>
      <c r="L1918" s="85">
        <v>0</v>
      </c>
      <c r="M1918" s="85">
        <v>0</v>
      </c>
      <c r="N1918" s="82" t="s">
        <v>11285</v>
      </c>
      <c r="O1918" s="83"/>
    </row>
    <row r="1919" spans="1:15" ht="22.5" customHeight="1">
      <c r="A1919" s="85">
        <v>174904221976312</v>
      </c>
      <c r="B1919" s="82" t="s">
        <v>10651</v>
      </c>
      <c r="C1919" s="82" t="s">
        <v>11286</v>
      </c>
      <c r="D1919" s="82" t="s">
        <v>2180</v>
      </c>
      <c r="E1919" s="82">
        <v>6285624268413</v>
      </c>
      <c r="F1919" s="86">
        <v>45852</v>
      </c>
      <c r="G1919" s="87">
        <v>139</v>
      </c>
      <c r="H1919" s="88">
        <v>67512.820512820515</v>
      </c>
      <c r="I1919" s="89">
        <v>5</v>
      </c>
      <c r="J1919" s="90">
        <v>10532</v>
      </c>
      <c r="K1919" s="85">
        <v>1</v>
      </c>
      <c r="L1919" s="85">
        <v>15</v>
      </c>
      <c r="M1919" s="85">
        <v>0</v>
      </c>
      <c r="N1919" s="82" t="s">
        <v>11287</v>
      </c>
      <c r="O1919" s="83"/>
    </row>
    <row r="1920" spans="1:15" ht="22.5" customHeight="1">
      <c r="A1920" s="85">
        <v>174904221976312</v>
      </c>
      <c r="B1920" s="82" t="s">
        <v>10651</v>
      </c>
      <c r="C1920" s="82" t="s">
        <v>11288</v>
      </c>
      <c r="D1920" s="82" t="s">
        <v>11289</v>
      </c>
      <c r="E1920" s="82">
        <v>6281252867949</v>
      </c>
      <c r="F1920" s="86">
        <v>45852</v>
      </c>
      <c r="G1920" s="87">
        <v>275</v>
      </c>
      <c r="H1920" s="88">
        <v>43038.834951456309</v>
      </c>
      <c r="I1920" s="89">
        <v>4</v>
      </c>
      <c r="J1920" s="90">
        <v>13299</v>
      </c>
      <c r="K1920" s="85">
        <v>0</v>
      </c>
      <c r="L1920" s="85">
        <v>0</v>
      </c>
      <c r="M1920" s="85">
        <v>0</v>
      </c>
      <c r="N1920" s="82" t="s">
        <v>11290</v>
      </c>
      <c r="O1920" s="83"/>
    </row>
    <row r="1921" spans="1:15" ht="22.5" customHeight="1">
      <c r="A1921" s="85">
        <v>174904221976312</v>
      </c>
      <c r="B1921" s="82" t="s">
        <v>10651</v>
      </c>
      <c r="C1921" s="82" t="s">
        <v>11291</v>
      </c>
      <c r="D1921" s="82" t="s">
        <v>11292</v>
      </c>
      <c r="E1921" s="82">
        <v>6283183643221</v>
      </c>
      <c r="F1921" s="86">
        <v>45852</v>
      </c>
      <c r="G1921" s="87">
        <v>160</v>
      </c>
      <c r="H1921" s="88">
        <v>68344.262295081964</v>
      </c>
      <c r="I1921" s="89">
        <v>4</v>
      </c>
      <c r="J1921" s="90">
        <v>12507</v>
      </c>
      <c r="K1921" s="85">
        <v>0</v>
      </c>
      <c r="L1921" s="85">
        <v>68</v>
      </c>
      <c r="M1921" s="85">
        <v>0</v>
      </c>
      <c r="N1921" s="82" t="s">
        <v>11293</v>
      </c>
      <c r="O1921" s="83"/>
    </row>
    <row r="1922" spans="1:15" ht="22.5" customHeight="1">
      <c r="A1922" s="85">
        <v>174904221976312</v>
      </c>
      <c r="B1922" s="82" t="s">
        <v>10651</v>
      </c>
      <c r="C1922" s="82" t="s">
        <v>11294</v>
      </c>
      <c r="D1922" s="82" t="s">
        <v>2143</v>
      </c>
      <c r="E1922" s="82">
        <v>6281274238899</v>
      </c>
      <c r="F1922" s="86">
        <v>45852</v>
      </c>
      <c r="G1922" s="87">
        <v>704</v>
      </c>
      <c r="H1922" s="88">
        <v>18252.502780867631</v>
      </c>
      <c r="I1922" s="89">
        <v>4</v>
      </c>
      <c r="J1922" s="90">
        <v>16409</v>
      </c>
      <c r="K1922" s="85">
        <v>0</v>
      </c>
      <c r="L1922" s="85">
        <v>196</v>
      </c>
      <c r="M1922" s="85">
        <v>0</v>
      </c>
      <c r="N1922" s="82" t="s">
        <v>11295</v>
      </c>
      <c r="O1922" s="83"/>
    </row>
    <row r="1923" spans="1:15" ht="22.5" customHeight="1">
      <c r="A1923" s="85">
        <v>174904221976312</v>
      </c>
      <c r="B1923" s="82" t="s">
        <v>10651</v>
      </c>
      <c r="C1923" s="82" t="s">
        <v>11244</v>
      </c>
      <c r="D1923" s="82" t="s">
        <v>11245</v>
      </c>
      <c r="E1923" s="82">
        <v>6282238154676</v>
      </c>
      <c r="F1923" s="86">
        <v>45852</v>
      </c>
      <c r="G1923" s="87">
        <v>929</v>
      </c>
      <c r="H1923" s="88">
        <v>12968.75</v>
      </c>
      <c r="I1923" s="89">
        <v>21</v>
      </c>
      <c r="J1923" s="90">
        <v>14110</v>
      </c>
      <c r="K1923" s="85">
        <v>3</v>
      </c>
      <c r="L1923" s="85">
        <v>9</v>
      </c>
      <c r="M1923" s="85">
        <v>0</v>
      </c>
      <c r="N1923" s="82" t="s">
        <v>11246</v>
      </c>
      <c r="O1923" s="83"/>
    </row>
    <row r="1924" spans="1:15" ht="22.5" customHeight="1">
      <c r="A1924" s="85">
        <v>174904221976312</v>
      </c>
      <c r="B1924" s="82" t="s">
        <v>10651</v>
      </c>
      <c r="C1924" s="82" t="s">
        <v>11247</v>
      </c>
      <c r="D1924" s="82" t="s">
        <v>11248</v>
      </c>
      <c r="E1924" s="82">
        <v>6285238093436</v>
      </c>
      <c r="F1924" s="86">
        <v>45852</v>
      </c>
      <c r="G1924" s="87">
        <v>1842</v>
      </c>
      <c r="H1924" s="88">
        <v>6857.9075425790761</v>
      </c>
      <c r="I1924" s="89">
        <v>39</v>
      </c>
      <c r="J1924" s="90">
        <v>14093</v>
      </c>
      <c r="K1924" s="85">
        <v>3</v>
      </c>
      <c r="L1924" s="85">
        <v>22</v>
      </c>
      <c r="M1924" s="85">
        <v>1</v>
      </c>
      <c r="N1924" s="82" t="s">
        <v>11249</v>
      </c>
      <c r="O1924" s="83"/>
    </row>
    <row r="1925" spans="1:15" ht="22.5" customHeight="1">
      <c r="A1925" s="85">
        <v>174904221976312</v>
      </c>
      <c r="B1925" s="82" t="s">
        <v>10651</v>
      </c>
      <c r="C1925" s="82" t="s">
        <v>11250</v>
      </c>
      <c r="D1925" s="82" t="s">
        <v>11251</v>
      </c>
      <c r="E1925" s="82">
        <v>6285184844621</v>
      </c>
      <c r="F1925" s="86">
        <v>45852</v>
      </c>
      <c r="G1925" s="87">
        <v>6592</v>
      </c>
      <c r="H1925" s="88">
        <v>4363.5847986386843</v>
      </c>
      <c r="I1925" s="89">
        <v>94</v>
      </c>
      <c r="J1925" s="90">
        <v>30772</v>
      </c>
      <c r="K1925" s="85">
        <v>0</v>
      </c>
      <c r="L1925" s="85">
        <v>2655</v>
      </c>
      <c r="M1925" s="85">
        <v>1</v>
      </c>
      <c r="N1925" s="82" t="s">
        <v>11252</v>
      </c>
      <c r="O1925" s="83"/>
    </row>
    <row r="1926" spans="1:15" ht="22.5" customHeight="1">
      <c r="A1926" s="85">
        <v>174904221976312</v>
      </c>
      <c r="B1926" s="82" t="s">
        <v>10651</v>
      </c>
      <c r="C1926" s="82" t="s">
        <v>11253</v>
      </c>
      <c r="D1926" s="82" t="s">
        <v>2096</v>
      </c>
      <c r="E1926" s="82">
        <v>6285282777679</v>
      </c>
      <c r="F1926" s="86">
        <v>45852</v>
      </c>
      <c r="G1926" s="87">
        <v>172</v>
      </c>
      <c r="H1926" s="88">
        <v>69587.912087912089</v>
      </c>
      <c r="I1926" s="89">
        <v>3</v>
      </c>
      <c r="J1926" s="90">
        <v>12665</v>
      </c>
      <c r="K1926" s="85">
        <v>0</v>
      </c>
      <c r="L1926" s="85">
        <v>2</v>
      </c>
      <c r="M1926" s="85">
        <v>0</v>
      </c>
      <c r="N1926" s="82" t="s">
        <v>11254</v>
      </c>
      <c r="O1926" s="83"/>
    </row>
    <row r="1927" spans="1:15" ht="22.5" customHeight="1">
      <c r="A1927" s="85">
        <v>174904221976312</v>
      </c>
      <c r="B1927" s="82" t="s">
        <v>10651</v>
      </c>
      <c r="C1927" s="82" t="s">
        <v>11255</v>
      </c>
      <c r="D1927" s="82" t="s">
        <v>11256</v>
      </c>
      <c r="E1927" s="82">
        <v>6287715704997</v>
      </c>
      <c r="F1927" s="86">
        <v>45852</v>
      </c>
      <c r="G1927" s="87">
        <v>178</v>
      </c>
      <c r="H1927" s="88">
        <v>66876.237623762383</v>
      </c>
      <c r="I1927" s="89">
        <v>3</v>
      </c>
      <c r="J1927" s="90">
        <v>13509</v>
      </c>
      <c r="K1927" s="85">
        <v>0</v>
      </c>
      <c r="L1927" s="85">
        <v>44</v>
      </c>
      <c r="M1927" s="85">
        <v>0</v>
      </c>
      <c r="N1927" s="82" t="s">
        <v>11257</v>
      </c>
      <c r="O1927" s="83"/>
    </row>
    <row r="1928" spans="1:15" ht="22.5" customHeight="1">
      <c r="A1928" s="85">
        <v>174904221976312</v>
      </c>
      <c r="B1928" s="82" t="s">
        <v>10651</v>
      </c>
      <c r="C1928" s="82" t="s">
        <v>11213</v>
      </c>
      <c r="D1928" s="82" t="s">
        <v>2022</v>
      </c>
      <c r="E1928" s="82">
        <v>6285274759862</v>
      </c>
      <c r="F1928" s="86">
        <v>45852</v>
      </c>
      <c r="G1928" s="87">
        <v>816</v>
      </c>
      <c r="H1928" s="88">
        <v>14839.168490153172</v>
      </c>
      <c r="I1928" s="89">
        <v>49</v>
      </c>
      <c r="J1928" s="90">
        <v>13563</v>
      </c>
      <c r="K1928" s="85">
        <v>16</v>
      </c>
      <c r="L1928" s="85">
        <v>323</v>
      </c>
      <c r="M1928" s="85">
        <v>1</v>
      </c>
      <c r="N1928" s="82" t="s">
        <v>11214</v>
      </c>
      <c r="O1928" s="83"/>
    </row>
    <row r="1929" spans="1:15" ht="22.5" customHeight="1">
      <c r="A1929" s="85">
        <v>174904221976312</v>
      </c>
      <c r="B1929" s="82" t="s">
        <v>10651</v>
      </c>
      <c r="C1929" s="82" t="s">
        <v>11215</v>
      </c>
      <c r="D1929" s="82" t="s">
        <v>1900</v>
      </c>
      <c r="E1929" s="82">
        <v>6285713536070</v>
      </c>
      <c r="F1929" s="86">
        <v>45852</v>
      </c>
      <c r="G1929" s="87">
        <v>363</v>
      </c>
      <c r="H1929" s="88">
        <v>35748.768472906406</v>
      </c>
      <c r="I1929" s="89">
        <v>11</v>
      </c>
      <c r="J1929" s="90">
        <v>14514</v>
      </c>
      <c r="K1929" s="85">
        <v>2</v>
      </c>
      <c r="L1929" s="85">
        <v>182</v>
      </c>
      <c r="M1929" s="85">
        <v>0</v>
      </c>
      <c r="N1929" s="82" t="s">
        <v>11216</v>
      </c>
      <c r="O1929" s="83"/>
    </row>
    <row r="1930" spans="1:15" ht="22.5" customHeight="1">
      <c r="A1930" s="85">
        <v>174904221976312</v>
      </c>
      <c r="B1930" s="82" t="s">
        <v>10651</v>
      </c>
      <c r="C1930" s="82" t="s">
        <v>11217</v>
      </c>
      <c r="D1930" s="82" t="s">
        <v>2043</v>
      </c>
      <c r="E1930" s="82">
        <v>6282298717014</v>
      </c>
      <c r="F1930" s="86">
        <v>45852</v>
      </c>
      <c r="G1930" s="87">
        <v>454</v>
      </c>
      <c r="H1930" s="88">
        <v>20158.790170132324</v>
      </c>
      <c r="I1930" s="89">
        <v>14</v>
      </c>
      <c r="J1930" s="90">
        <v>10664</v>
      </c>
      <c r="K1930" s="85">
        <v>1</v>
      </c>
      <c r="L1930" s="85">
        <v>1</v>
      </c>
      <c r="M1930" s="85">
        <v>0</v>
      </c>
      <c r="N1930" s="82" t="s">
        <v>11218</v>
      </c>
      <c r="O1930" s="83"/>
    </row>
    <row r="1931" spans="1:15" ht="22.5" customHeight="1">
      <c r="A1931" s="85">
        <v>174904221976312</v>
      </c>
      <c r="B1931" s="82" t="s">
        <v>10651</v>
      </c>
      <c r="C1931" s="82" t="s">
        <v>11219</v>
      </c>
      <c r="D1931" s="82" t="s">
        <v>11220</v>
      </c>
      <c r="E1931" s="82">
        <v>62859130962516</v>
      </c>
      <c r="F1931" s="86">
        <v>45852</v>
      </c>
      <c r="G1931" s="87">
        <v>185</v>
      </c>
      <c r="H1931" s="88">
        <v>54051.282051282054</v>
      </c>
      <c r="I1931" s="89">
        <v>5</v>
      </c>
      <c r="J1931" s="90">
        <v>12648</v>
      </c>
      <c r="K1931" s="85">
        <v>1</v>
      </c>
      <c r="L1931" s="85">
        <v>0</v>
      </c>
      <c r="M1931" s="85">
        <v>0</v>
      </c>
      <c r="N1931" s="82" t="s">
        <v>11221</v>
      </c>
      <c r="O1931" s="83"/>
    </row>
    <row r="1932" spans="1:15" ht="22.5" customHeight="1">
      <c r="A1932" s="85">
        <v>174904221976312</v>
      </c>
      <c r="B1932" s="82" t="s">
        <v>10651</v>
      </c>
      <c r="C1932" s="82" t="s">
        <v>11222</v>
      </c>
      <c r="D1932" s="82" t="s">
        <v>11223</v>
      </c>
      <c r="E1932" s="82">
        <v>6288229559606</v>
      </c>
      <c r="F1932" s="86">
        <v>45852</v>
      </c>
      <c r="G1932" s="87">
        <v>860</v>
      </c>
      <c r="H1932" s="88">
        <v>10622.182146077546</v>
      </c>
      <c r="I1932" s="89">
        <v>21</v>
      </c>
      <c r="J1932" s="90">
        <v>11780</v>
      </c>
      <c r="K1932" s="85">
        <v>1</v>
      </c>
      <c r="L1932" s="85">
        <v>55</v>
      </c>
      <c r="M1932" s="85">
        <v>0</v>
      </c>
      <c r="N1932" s="82" t="s">
        <v>11224</v>
      </c>
      <c r="O1932" s="83"/>
    </row>
    <row r="1933" spans="1:15" ht="22.5" customHeight="1">
      <c r="A1933" s="85">
        <v>174904221976312</v>
      </c>
      <c r="B1933" s="82" t="s">
        <v>10651</v>
      </c>
      <c r="C1933" s="82" t="s">
        <v>11225</v>
      </c>
      <c r="D1933" s="82" t="s">
        <v>11226</v>
      </c>
      <c r="E1933" s="82">
        <v>6281240144744</v>
      </c>
      <c r="F1933" s="86">
        <v>45852</v>
      </c>
      <c r="G1933" s="87">
        <v>1374</v>
      </c>
      <c r="H1933" s="88">
        <v>8753.4911961141479</v>
      </c>
      <c r="I1933" s="89">
        <v>54</v>
      </c>
      <c r="J1933" s="90">
        <v>14417</v>
      </c>
      <c r="K1933" s="85">
        <v>9</v>
      </c>
      <c r="L1933" s="85">
        <v>281</v>
      </c>
      <c r="M1933" s="85">
        <v>1</v>
      </c>
      <c r="N1933" s="82" t="s">
        <v>11227</v>
      </c>
      <c r="O1933" s="83"/>
    </row>
    <row r="1934" spans="1:15" ht="22.5" customHeight="1">
      <c r="A1934" s="85">
        <v>174904221976312</v>
      </c>
      <c r="B1934" s="82" t="s">
        <v>10651</v>
      </c>
      <c r="C1934" s="82" t="s">
        <v>11228</v>
      </c>
      <c r="D1934" s="82" t="s">
        <v>11229</v>
      </c>
      <c r="E1934" s="82">
        <v>6288215032728</v>
      </c>
      <c r="F1934" s="86">
        <v>45852</v>
      </c>
      <c r="G1934" s="87">
        <v>940</v>
      </c>
      <c r="H1934" s="88">
        <v>12554.569653948534</v>
      </c>
      <c r="I1934" s="89">
        <v>21</v>
      </c>
      <c r="J1934" s="90">
        <v>14149</v>
      </c>
      <c r="K1934" s="85">
        <v>0</v>
      </c>
      <c r="L1934" s="85">
        <v>212</v>
      </c>
      <c r="M1934" s="85">
        <v>0</v>
      </c>
      <c r="N1934" s="82" t="s">
        <v>11230</v>
      </c>
      <c r="O1934" s="83"/>
    </row>
    <row r="1935" spans="1:15" ht="22.5" customHeight="1">
      <c r="A1935" s="85">
        <v>174904221976312</v>
      </c>
      <c r="B1935" s="82" t="s">
        <v>10651</v>
      </c>
      <c r="C1935" s="82" t="s">
        <v>11187</v>
      </c>
      <c r="D1935" s="82" t="s">
        <v>1938</v>
      </c>
      <c r="E1935" s="82">
        <v>6285956579758</v>
      </c>
      <c r="F1935" s="86">
        <v>45852</v>
      </c>
      <c r="G1935" s="87">
        <v>243</v>
      </c>
      <c r="H1935" s="88">
        <v>47579.861111111117</v>
      </c>
      <c r="I1935" s="89">
        <v>4</v>
      </c>
      <c r="J1935" s="90">
        <v>13703</v>
      </c>
      <c r="K1935" s="85">
        <v>0</v>
      </c>
      <c r="L1935" s="85">
        <v>15</v>
      </c>
      <c r="M1935" s="85">
        <v>0</v>
      </c>
      <c r="N1935" s="82" t="s">
        <v>11188</v>
      </c>
      <c r="O1935" s="83"/>
    </row>
    <row r="1936" spans="1:15" ht="22.5" customHeight="1">
      <c r="A1936" s="85">
        <v>174904221976312</v>
      </c>
      <c r="B1936" s="82" t="s">
        <v>10651</v>
      </c>
      <c r="C1936" s="82" t="s">
        <v>11191</v>
      </c>
      <c r="D1936" s="82" t="s">
        <v>1976</v>
      </c>
      <c r="E1936" s="82">
        <v>6282136273086</v>
      </c>
      <c r="F1936" s="86">
        <v>45852</v>
      </c>
      <c r="G1936" s="87">
        <v>209</v>
      </c>
      <c r="H1936" s="88">
        <v>61142.25941422594</v>
      </c>
      <c r="I1936" s="89">
        <v>16</v>
      </c>
      <c r="J1936" s="90">
        <v>14613</v>
      </c>
      <c r="K1936" s="85">
        <v>5</v>
      </c>
      <c r="L1936" s="85">
        <v>50</v>
      </c>
      <c r="M1936" s="85">
        <v>0</v>
      </c>
      <c r="N1936" s="82" t="s">
        <v>11192</v>
      </c>
      <c r="O1936" s="83"/>
    </row>
    <row r="1937" spans="1:15" ht="22.5" customHeight="1">
      <c r="A1937" s="85">
        <v>174904221976312</v>
      </c>
      <c r="B1937" s="82" t="s">
        <v>10651</v>
      </c>
      <c r="C1937" s="82" t="s">
        <v>11196</v>
      </c>
      <c r="D1937" s="82" t="s">
        <v>11197</v>
      </c>
      <c r="E1937" s="82">
        <v>6281412281953</v>
      </c>
      <c r="F1937" s="86">
        <v>45852</v>
      </c>
      <c r="G1937" s="87">
        <v>448</v>
      </c>
      <c r="H1937" s="88">
        <v>13150.375939849624</v>
      </c>
      <c r="I1937" s="89">
        <v>22</v>
      </c>
      <c r="J1937" s="90">
        <v>6996</v>
      </c>
      <c r="K1937" s="85">
        <v>2</v>
      </c>
      <c r="L1937" s="85">
        <v>188</v>
      </c>
      <c r="M1937" s="85">
        <v>0</v>
      </c>
      <c r="N1937" s="82" t="s">
        <v>11198</v>
      </c>
      <c r="O1937" s="83"/>
    </row>
    <row r="1938" spans="1:15" ht="22.5" customHeight="1">
      <c r="A1938" s="85">
        <v>174904221976312</v>
      </c>
      <c r="B1938" s="82" t="s">
        <v>10651</v>
      </c>
      <c r="C1938" s="82" t="s">
        <v>11199</v>
      </c>
      <c r="D1938" s="82" t="s">
        <v>1961</v>
      </c>
      <c r="E1938" s="82">
        <v>6281212295448</v>
      </c>
      <c r="F1938" s="86">
        <v>45852</v>
      </c>
      <c r="G1938" s="87">
        <v>1264</v>
      </c>
      <c r="H1938" s="88">
        <v>9636.6806136680607</v>
      </c>
      <c r="I1938" s="89">
        <v>47</v>
      </c>
      <c r="J1938" s="90">
        <v>13819</v>
      </c>
      <c r="K1938" s="85">
        <v>4</v>
      </c>
      <c r="L1938" s="85">
        <v>327</v>
      </c>
      <c r="M1938" s="85">
        <v>0</v>
      </c>
      <c r="N1938" s="82" t="s">
        <v>11200</v>
      </c>
      <c r="O1938" s="83"/>
    </row>
    <row r="1939" spans="1:15" ht="22.5" customHeight="1">
      <c r="A1939" s="85">
        <v>174904221976312</v>
      </c>
      <c r="B1939" s="82" t="s">
        <v>10651</v>
      </c>
      <c r="C1939" s="82" t="s">
        <v>11147</v>
      </c>
      <c r="D1939" s="82" t="s">
        <v>11148</v>
      </c>
      <c r="E1939" s="82">
        <v>6281361879826</v>
      </c>
      <c r="F1939" s="86">
        <v>45852</v>
      </c>
      <c r="G1939" s="87">
        <v>306</v>
      </c>
      <c r="H1939" s="88">
        <v>37811.32075471698</v>
      </c>
      <c r="I1939" s="89">
        <v>2</v>
      </c>
      <c r="J1939" s="90">
        <v>14028</v>
      </c>
      <c r="K1939" s="85">
        <v>0</v>
      </c>
      <c r="L1939" s="85">
        <v>0</v>
      </c>
      <c r="M1939" s="85">
        <v>0</v>
      </c>
      <c r="N1939" s="82" t="s">
        <v>11149</v>
      </c>
      <c r="O1939" s="83"/>
    </row>
    <row r="1940" spans="1:15" ht="22.5" customHeight="1">
      <c r="A1940" s="85">
        <v>174904221976312</v>
      </c>
      <c r="B1940" s="82" t="s">
        <v>10651</v>
      </c>
      <c r="C1940" s="82" t="s">
        <v>11150</v>
      </c>
      <c r="D1940" s="82" t="s">
        <v>11151</v>
      </c>
      <c r="E1940" s="82">
        <v>6281237893904</v>
      </c>
      <c r="F1940" s="86">
        <v>45852</v>
      </c>
      <c r="G1940" s="87">
        <v>555</v>
      </c>
      <c r="H1940" s="88">
        <v>21778.929188255614</v>
      </c>
      <c r="I1940" s="89">
        <v>17</v>
      </c>
      <c r="J1940" s="90">
        <v>12610</v>
      </c>
      <c r="K1940" s="85">
        <v>1</v>
      </c>
      <c r="L1940" s="85">
        <v>229</v>
      </c>
      <c r="M1940" s="85">
        <v>0</v>
      </c>
      <c r="N1940" s="82" t="s">
        <v>11152</v>
      </c>
      <c r="O1940" s="83"/>
    </row>
    <row r="1941" spans="1:15" ht="22.5" customHeight="1">
      <c r="A1941" s="85">
        <v>174904221976312</v>
      </c>
      <c r="B1941" s="82" t="s">
        <v>10651</v>
      </c>
      <c r="C1941" s="82" t="s">
        <v>11153</v>
      </c>
      <c r="D1941" s="82" t="s">
        <v>11154</v>
      </c>
      <c r="E1941" s="82">
        <v>6285338137835</v>
      </c>
      <c r="F1941" s="86">
        <v>45852</v>
      </c>
      <c r="G1941" s="87">
        <v>573</v>
      </c>
      <c r="H1941" s="88">
        <v>16125</v>
      </c>
      <c r="I1941" s="89">
        <v>11</v>
      </c>
      <c r="J1941" s="90">
        <v>10578</v>
      </c>
      <c r="K1941" s="85">
        <v>1</v>
      </c>
      <c r="L1941" s="85">
        <v>160</v>
      </c>
      <c r="M1941" s="85">
        <v>0</v>
      </c>
      <c r="N1941" s="82" t="s">
        <v>11155</v>
      </c>
      <c r="O1941" s="83"/>
    </row>
    <row r="1942" spans="1:15" ht="22.5" customHeight="1">
      <c r="A1942" s="85">
        <v>174904221976312</v>
      </c>
      <c r="B1942" s="82" t="s">
        <v>10651</v>
      </c>
      <c r="C1942" s="82" t="s">
        <v>11162</v>
      </c>
      <c r="D1942" s="82" t="s">
        <v>11163</v>
      </c>
      <c r="E1942" s="82">
        <v>6283162052952</v>
      </c>
      <c r="F1942" s="86">
        <v>45852</v>
      </c>
      <c r="G1942" s="87">
        <v>194</v>
      </c>
      <c r="H1942" s="88">
        <v>58558.035714285717</v>
      </c>
      <c r="I1942" s="89">
        <v>13</v>
      </c>
      <c r="J1942" s="90">
        <v>13117</v>
      </c>
      <c r="K1942" s="85">
        <v>0</v>
      </c>
      <c r="L1942" s="85">
        <v>15</v>
      </c>
      <c r="M1942" s="85">
        <v>0</v>
      </c>
      <c r="N1942" s="82" t="s">
        <v>11164</v>
      </c>
      <c r="O1942" s="83"/>
    </row>
    <row r="1943" spans="1:15" ht="22.5" customHeight="1">
      <c r="A1943" s="85">
        <v>174904221976312</v>
      </c>
      <c r="B1943" s="82" t="s">
        <v>10651</v>
      </c>
      <c r="C1943" s="82" t="s">
        <v>11114</v>
      </c>
      <c r="D1943" s="82" t="s">
        <v>11115</v>
      </c>
      <c r="E1943" s="82">
        <v>6281323910830</v>
      </c>
      <c r="F1943" s="86">
        <v>45852</v>
      </c>
      <c r="G1943" s="87">
        <v>713</v>
      </c>
      <c r="H1943" s="88">
        <v>16615.563298490128</v>
      </c>
      <c r="I1943" s="89">
        <v>29</v>
      </c>
      <c r="J1943" s="90">
        <v>14306</v>
      </c>
      <c r="K1943" s="85">
        <v>0</v>
      </c>
      <c r="L1943" s="85">
        <v>243</v>
      </c>
      <c r="M1943" s="85">
        <v>0</v>
      </c>
      <c r="N1943" s="82" t="s">
        <v>11116</v>
      </c>
      <c r="O1943" s="83"/>
    </row>
    <row r="1944" spans="1:15" ht="22.5" customHeight="1">
      <c r="A1944" s="85">
        <v>174904221976312</v>
      </c>
      <c r="B1944" s="82" t="s">
        <v>10651</v>
      </c>
      <c r="C1944" s="82" t="s">
        <v>11231</v>
      </c>
      <c r="D1944" s="82" t="s">
        <v>11232</v>
      </c>
      <c r="E1944" s="82">
        <v>6281943398970</v>
      </c>
      <c r="F1944" s="86">
        <v>45852</v>
      </c>
      <c r="G1944" s="87">
        <v>403</v>
      </c>
      <c r="H1944" s="88">
        <v>75354.838709677424</v>
      </c>
      <c r="I1944" s="89">
        <v>9</v>
      </c>
      <c r="J1944" s="90">
        <v>30368</v>
      </c>
      <c r="K1944" s="85">
        <v>0</v>
      </c>
      <c r="L1944" s="85">
        <v>46</v>
      </c>
      <c r="M1944" s="85">
        <v>0</v>
      </c>
      <c r="N1944" s="82" t="s">
        <v>11233</v>
      </c>
      <c r="O1944" s="83"/>
    </row>
    <row r="1945" spans="1:15" ht="22.5" customHeight="1">
      <c r="A1945" s="85">
        <v>174904221976312</v>
      </c>
      <c r="B1945" s="82" t="s">
        <v>10651</v>
      </c>
      <c r="C1945" s="82" t="s">
        <v>11093</v>
      </c>
      <c r="D1945" s="82" t="s">
        <v>11094</v>
      </c>
      <c r="E1945" s="82">
        <v>6282227027805</v>
      </c>
      <c r="F1945" s="86">
        <v>45852</v>
      </c>
      <c r="G1945" s="87">
        <v>485</v>
      </c>
      <c r="H1945" s="88">
        <v>24445.471349353051</v>
      </c>
      <c r="I1945" s="89">
        <v>18</v>
      </c>
      <c r="J1945" s="90">
        <v>13225</v>
      </c>
      <c r="K1945" s="85">
        <v>0</v>
      </c>
      <c r="L1945" s="85">
        <v>256</v>
      </c>
      <c r="M1945" s="85">
        <v>0</v>
      </c>
      <c r="N1945" s="82" t="s">
        <v>11095</v>
      </c>
      <c r="O1945" s="83"/>
    </row>
    <row r="1946" spans="1:15" ht="22.5" customHeight="1">
      <c r="A1946" s="85">
        <v>174904221976312</v>
      </c>
      <c r="B1946" s="82" t="s">
        <v>10651</v>
      </c>
      <c r="C1946" s="82" t="s">
        <v>11096</v>
      </c>
      <c r="D1946" s="82" t="s">
        <v>11097</v>
      </c>
      <c r="E1946" s="82">
        <v>6285727410479</v>
      </c>
      <c r="F1946" s="86">
        <v>45852</v>
      </c>
      <c r="G1946" s="87">
        <v>180</v>
      </c>
      <c r="H1946" s="88">
        <v>52264.423076923078</v>
      </c>
      <c r="I1946" s="89">
        <v>6</v>
      </c>
      <c r="J1946" s="90">
        <v>10871</v>
      </c>
      <c r="K1946" s="85">
        <v>1</v>
      </c>
      <c r="L1946" s="85">
        <v>0</v>
      </c>
      <c r="M1946" s="85">
        <v>0</v>
      </c>
      <c r="N1946" s="82" t="s">
        <v>11167</v>
      </c>
      <c r="O1946" s="83"/>
    </row>
    <row r="1947" spans="1:15" ht="22.5" customHeight="1">
      <c r="A1947" s="85">
        <v>174904221976312</v>
      </c>
      <c r="B1947" s="82" t="s">
        <v>10651</v>
      </c>
      <c r="C1947" s="82" t="s">
        <v>11002</v>
      </c>
      <c r="D1947" s="82" t="s">
        <v>11003</v>
      </c>
      <c r="E1947" s="82">
        <v>6288228976100</v>
      </c>
      <c r="F1947" s="86">
        <v>45852</v>
      </c>
      <c r="G1947" s="87">
        <v>959</v>
      </c>
      <c r="H1947" s="88">
        <v>12853.521126760563</v>
      </c>
      <c r="I1947" s="89">
        <v>26</v>
      </c>
      <c r="J1947" s="90">
        <v>13689</v>
      </c>
      <c r="K1947" s="85">
        <v>0</v>
      </c>
      <c r="L1947" s="85">
        <v>20</v>
      </c>
      <c r="M1947" s="85">
        <v>0</v>
      </c>
      <c r="N1947" s="82" t="s">
        <v>11004</v>
      </c>
      <c r="O1947" s="83"/>
    </row>
    <row r="1948" spans="1:15" ht="22.5" customHeight="1">
      <c r="A1948" s="85">
        <v>174904221976312</v>
      </c>
      <c r="B1948" s="82" t="s">
        <v>10651</v>
      </c>
      <c r="C1948" s="82" t="s">
        <v>10853</v>
      </c>
      <c r="D1948" s="82" t="s">
        <v>10854</v>
      </c>
      <c r="E1948" s="82">
        <v>6281393958199</v>
      </c>
      <c r="F1948" s="86">
        <v>45852</v>
      </c>
      <c r="G1948" s="87">
        <v>1303</v>
      </c>
      <c r="H1948" s="88">
        <v>11129.986244841815</v>
      </c>
      <c r="I1948" s="89">
        <v>25</v>
      </c>
      <c r="J1948" s="90">
        <v>16183</v>
      </c>
      <c r="K1948" s="85">
        <v>3</v>
      </c>
      <c r="L1948" s="85">
        <v>336</v>
      </c>
      <c r="M1948" s="85">
        <v>0</v>
      </c>
      <c r="N1948" s="82" t="s">
        <v>10855</v>
      </c>
      <c r="O1948" s="83"/>
    </row>
    <row r="1949" spans="1:15" ht="22.5" customHeight="1">
      <c r="A1949" s="85">
        <v>174904221976312</v>
      </c>
      <c r="B1949" s="82" t="s">
        <v>10651</v>
      </c>
      <c r="C1949" s="82" t="s">
        <v>818</v>
      </c>
      <c r="D1949" s="82" t="s">
        <v>812</v>
      </c>
      <c r="E1949" s="82">
        <v>6287858585808</v>
      </c>
      <c r="F1949" s="86">
        <v>45852</v>
      </c>
      <c r="G1949" s="87">
        <v>738</v>
      </c>
      <c r="H1949" s="88">
        <v>15665.158371040723</v>
      </c>
      <c r="I1949" s="89">
        <v>21</v>
      </c>
      <c r="J1949" s="90">
        <v>13848</v>
      </c>
      <c r="K1949" s="85">
        <v>0</v>
      </c>
      <c r="L1949" s="85">
        <v>206</v>
      </c>
      <c r="M1949" s="85">
        <v>0</v>
      </c>
      <c r="N1949" s="82" t="s">
        <v>10831</v>
      </c>
      <c r="O1949" s="83"/>
    </row>
    <row r="1950" spans="1:15" ht="22.5" customHeight="1">
      <c r="A1950" s="85">
        <v>174904221976312</v>
      </c>
      <c r="B1950" s="82" t="s">
        <v>10651</v>
      </c>
      <c r="C1950" s="82" t="s">
        <v>8099</v>
      </c>
      <c r="D1950" s="82" t="s">
        <v>2357</v>
      </c>
      <c r="E1950" s="82">
        <v>6281221788919</v>
      </c>
      <c r="F1950" s="86">
        <v>45852</v>
      </c>
      <c r="G1950" s="87">
        <v>855</v>
      </c>
      <c r="H1950" s="88">
        <v>14556.159420289856</v>
      </c>
      <c r="I1950" s="89">
        <v>29</v>
      </c>
      <c r="J1950" s="90">
        <v>16070</v>
      </c>
      <c r="K1950" s="85">
        <v>3</v>
      </c>
      <c r="L1950" s="85">
        <v>341</v>
      </c>
      <c r="M1950" s="85">
        <v>0</v>
      </c>
      <c r="N1950" s="82" t="s">
        <v>10759</v>
      </c>
      <c r="O1950" s="83"/>
    </row>
    <row r="1951" spans="1:15" ht="22.5" customHeight="1">
      <c r="A1951" s="85">
        <v>174904221976312</v>
      </c>
      <c r="B1951" s="82" t="s">
        <v>10651</v>
      </c>
      <c r="C1951" s="82" t="s">
        <v>10655</v>
      </c>
      <c r="D1951" s="82" t="s">
        <v>3908</v>
      </c>
      <c r="E1951" s="82">
        <v>6285376667233</v>
      </c>
      <c r="F1951" s="86">
        <v>45852</v>
      </c>
      <c r="G1951" s="87">
        <v>1069</v>
      </c>
      <c r="H1951" s="88">
        <v>11113.712374581941</v>
      </c>
      <c r="I1951" s="89">
        <v>19</v>
      </c>
      <c r="J1951" s="90">
        <v>13292</v>
      </c>
      <c r="K1951" s="85">
        <v>2</v>
      </c>
      <c r="L1951" s="85">
        <v>372</v>
      </c>
      <c r="M1951" s="85">
        <v>0</v>
      </c>
      <c r="N1951" s="82" t="s">
        <v>10656</v>
      </c>
      <c r="O1951" s="83"/>
    </row>
    <row r="1952" spans="1:15" ht="22.5" customHeight="1">
      <c r="A1952" s="85">
        <v>174904221976312</v>
      </c>
      <c r="B1952" s="82" t="s">
        <v>10651</v>
      </c>
      <c r="C1952" s="82" t="s">
        <v>63</v>
      </c>
      <c r="D1952" s="82" t="s">
        <v>55</v>
      </c>
      <c r="E1952" s="82">
        <v>6282226594414</v>
      </c>
      <c r="F1952" s="86">
        <v>45852</v>
      </c>
      <c r="G1952" s="87">
        <v>3549</v>
      </c>
      <c r="H1952" s="88">
        <v>3227.133065469156</v>
      </c>
      <c r="I1952" s="89">
        <v>212</v>
      </c>
      <c r="J1952" s="90">
        <v>13654</v>
      </c>
      <c r="K1952" s="85">
        <v>25</v>
      </c>
      <c r="L1952" s="85">
        <v>1221</v>
      </c>
      <c r="M1952" s="85">
        <v>2</v>
      </c>
      <c r="N1952" s="82" t="s">
        <v>10661</v>
      </c>
      <c r="O1952" s="83"/>
    </row>
    <row r="1953" spans="1:15" ht="22.5" customHeight="1">
      <c r="A1953" s="85">
        <v>174904221976312</v>
      </c>
      <c r="B1953" s="82" t="s">
        <v>10651</v>
      </c>
      <c r="C1953" s="82" t="s">
        <v>11078</v>
      </c>
      <c r="D1953" s="82" t="s">
        <v>3140</v>
      </c>
      <c r="E1953" s="82"/>
      <c r="F1953" s="86">
        <v>45852</v>
      </c>
      <c r="G1953" s="87">
        <v>4744</v>
      </c>
      <c r="H1953" s="88">
        <v>2313.4225883968415</v>
      </c>
      <c r="I1953" s="89">
        <v>117</v>
      </c>
      <c r="J1953" s="90">
        <v>13478</v>
      </c>
      <c r="K1953" s="85">
        <v>9</v>
      </c>
      <c r="L1953" s="85">
        <v>0</v>
      </c>
      <c r="M1953" s="85">
        <v>0</v>
      </c>
      <c r="N1953" s="82" t="s">
        <v>11079</v>
      </c>
      <c r="O1953" s="83"/>
    </row>
    <row r="1954" spans="1:15" ht="22.5" customHeight="1">
      <c r="A1954" s="85">
        <v>174904221976312</v>
      </c>
      <c r="B1954" s="82" t="s">
        <v>10651</v>
      </c>
      <c r="C1954" s="82" t="s">
        <v>10731</v>
      </c>
      <c r="D1954" s="82" t="s">
        <v>10732</v>
      </c>
      <c r="E1954" s="82">
        <v>6281241440688</v>
      </c>
      <c r="F1954" s="86">
        <v>45852</v>
      </c>
      <c r="G1954" s="87">
        <v>2587</v>
      </c>
      <c r="H1954" s="88">
        <v>5349.4347379239462</v>
      </c>
      <c r="I1954" s="89">
        <v>26</v>
      </c>
      <c r="J1954" s="90">
        <v>15615</v>
      </c>
      <c r="K1954" s="85">
        <v>1</v>
      </c>
      <c r="L1954" s="85">
        <v>340</v>
      </c>
      <c r="M1954" s="85">
        <v>0</v>
      </c>
      <c r="N1954" s="82" t="s">
        <v>10733</v>
      </c>
      <c r="O1954" s="83"/>
    </row>
    <row r="1955" spans="1:15" ht="22.5" customHeight="1">
      <c r="A1955" s="85">
        <v>174904221976312</v>
      </c>
      <c r="B1955" s="82" t="s">
        <v>10651</v>
      </c>
      <c r="C1955" s="82" t="s">
        <v>11168</v>
      </c>
      <c r="D1955" s="82" t="s">
        <v>11169</v>
      </c>
      <c r="E1955" s="82">
        <v>628115424402</v>
      </c>
      <c r="F1955" s="86">
        <v>45852</v>
      </c>
      <c r="G1955" s="87">
        <v>1275</v>
      </c>
      <c r="H1955" s="88">
        <v>10816.468946266574</v>
      </c>
      <c r="I1955" s="89">
        <v>57</v>
      </c>
      <c r="J1955" s="90">
        <v>15500</v>
      </c>
      <c r="K1955" s="85">
        <v>2</v>
      </c>
      <c r="L1955" s="85">
        <v>413</v>
      </c>
      <c r="M1955" s="85">
        <v>0</v>
      </c>
      <c r="N1955" s="82" t="s">
        <v>11170</v>
      </c>
      <c r="O1955" s="83"/>
    </row>
    <row r="1956" spans="1:15" ht="22.5" customHeight="1">
      <c r="A1956" s="85">
        <v>174904221976312</v>
      </c>
      <c r="B1956" s="82" t="s">
        <v>10651</v>
      </c>
      <c r="C1956" s="82" t="s">
        <v>10833</v>
      </c>
      <c r="D1956" s="82" t="s">
        <v>10834</v>
      </c>
      <c r="E1956" s="82">
        <v>6282242925264</v>
      </c>
      <c r="F1956" s="86">
        <v>45852</v>
      </c>
      <c r="G1956" s="87">
        <v>2827</v>
      </c>
      <c r="H1956" s="88">
        <v>4652.8849120641771</v>
      </c>
      <c r="I1956" s="89">
        <v>120</v>
      </c>
      <c r="J1956" s="90">
        <v>15080</v>
      </c>
      <c r="K1956" s="85">
        <v>8</v>
      </c>
      <c r="L1956" s="85">
        <v>854</v>
      </c>
      <c r="M1956" s="85">
        <v>2</v>
      </c>
      <c r="N1956" s="82" t="s">
        <v>10835</v>
      </c>
      <c r="O1956" s="83"/>
    </row>
    <row r="1957" spans="1:15" ht="22.5" customHeight="1">
      <c r="A1957" s="85">
        <v>766589657993298</v>
      </c>
      <c r="B1957" s="82" t="s">
        <v>10688</v>
      </c>
      <c r="C1957" s="82" t="s">
        <v>11296</v>
      </c>
      <c r="D1957" s="82" t="s">
        <v>10798</v>
      </c>
      <c r="E1957" s="82">
        <v>6285853370682</v>
      </c>
      <c r="F1957" s="86">
        <v>45852</v>
      </c>
      <c r="G1957" s="87">
        <v>878</v>
      </c>
      <c r="H1957" s="88">
        <v>16513.170731707316</v>
      </c>
      <c r="I1957" s="89">
        <v>29</v>
      </c>
      <c r="J1957" s="90">
        <v>16926</v>
      </c>
      <c r="K1957" s="85">
        <v>1</v>
      </c>
      <c r="L1957" s="85">
        <v>125</v>
      </c>
      <c r="M1957" s="85">
        <v>0</v>
      </c>
      <c r="N1957" s="82" t="s">
        <v>11297</v>
      </c>
      <c r="O1957" s="83"/>
    </row>
    <row r="1958" spans="1:15" ht="22.5" customHeight="1">
      <c r="A1958" s="85">
        <v>766589657993298</v>
      </c>
      <c r="B1958" s="82" t="s">
        <v>10688</v>
      </c>
      <c r="C1958" s="82" t="s">
        <v>11298</v>
      </c>
      <c r="D1958" s="82" t="s">
        <v>10699</v>
      </c>
      <c r="E1958" s="82">
        <v>62812</v>
      </c>
      <c r="F1958" s="86">
        <v>45852</v>
      </c>
      <c r="G1958" s="87">
        <v>316</v>
      </c>
      <c r="H1958" s="88">
        <v>42000</v>
      </c>
      <c r="I1958" s="89">
        <v>10</v>
      </c>
      <c r="J1958" s="90">
        <v>15876</v>
      </c>
      <c r="K1958" s="85">
        <v>2</v>
      </c>
      <c r="L1958" s="85">
        <v>58</v>
      </c>
      <c r="M1958" s="85">
        <v>0</v>
      </c>
      <c r="N1958" s="82" t="s">
        <v>11299</v>
      </c>
      <c r="O1958" s="83"/>
    </row>
    <row r="1959" spans="1:15" ht="22.5" customHeight="1">
      <c r="A1959" s="85">
        <v>766589657993298</v>
      </c>
      <c r="B1959" s="82" t="s">
        <v>10688</v>
      </c>
      <c r="C1959" s="82" t="s">
        <v>11300</v>
      </c>
      <c r="D1959" s="82" t="s">
        <v>2223</v>
      </c>
      <c r="E1959" s="82">
        <v>6282111000133</v>
      </c>
      <c r="F1959" s="86">
        <v>45852</v>
      </c>
      <c r="G1959" s="87">
        <v>497</v>
      </c>
      <c r="H1959" s="88">
        <v>28312.727272727272</v>
      </c>
      <c r="I1959" s="89">
        <v>13</v>
      </c>
      <c r="J1959" s="90">
        <v>15572</v>
      </c>
      <c r="K1959" s="85">
        <v>0</v>
      </c>
      <c r="L1959" s="85">
        <v>19</v>
      </c>
      <c r="M1959" s="85">
        <v>0</v>
      </c>
      <c r="N1959" s="82" t="s">
        <v>11301</v>
      </c>
      <c r="O1959" s="83"/>
    </row>
    <row r="1960" spans="1:15" ht="22.5" customHeight="1">
      <c r="A1960" s="85">
        <v>766589657993298</v>
      </c>
      <c r="B1960" s="82" t="s">
        <v>10688</v>
      </c>
      <c r="C1960" s="82" t="s">
        <v>11302</v>
      </c>
      <c r="D1960" s="82" t="s">
        <v>11303</v>
      </c>
      <c r="E1960" s="82">
        <v>6285814054475</v>
      </c>
      <c r="F1960" s="86">
        <v>45852</v>
      </c>
      <c r="G1960" s="87">
        <v>1264</v>
      </c>
      <c r="H1960" s="88">
        <v>9463.0102040816328</v>
      </c>
      <c r="I1960" s="89">
        <v>40</v>
      </c>
      <c r="J1960" s="90">
        <v>14838</v>
      </c>
      <c r="K1960" s="85">
        <v>13</v>
      </c>
      <c r="L1960" s="85">
        <v>362</v>
      </c>
      <c r="M1960" s="85">
        <v>1</v>
      </c>
      <c r="N1960" s="82" t="s">
        <v>11304</v>
      </c>
      <c r="O1960" s="83"/>
    </row>
    <row r="1961" spans="1:15" ht="22.5" customHeight="1">
      <c r="A1961" s="85">
        <v>766589657993298</v>
      </c>
      <c r="B1961" s="82" t="s">
        <v>10688</v>
      </c>
      <c r="C1961" s="82" t="s">
        <v>11259</v>
      </c>
      <c r="D1961" s="82" t="s">
        <v>11260</v>
      </c>
      <c r="E1961" s="82">
        <v>6281310204991</v>
      </c>
      <c r="F1961" s="86">
        <v>45852</v>
      </c>
      <c r="G1961" s="87">
        <v>302</v>
      </c>
      <c r="H1961" s="88">
        <v>43751.479289940828</v>
      </c>
      <c r="I1961" s="89">
        <v>12</v>
      </c>
      <c r="J1961" s="90">
        <v>14788</v>
      </c>
      <c r="K1961" s="85">
        <v>1</v>
      </c>
      <c r="L1961" s="85">
        <v>0</v>
      </c>
      <c r="M1961" s="85">
        <v>0</v>
      </c>
      <c r="N1961" s="82" t="s">
        <v>11261</v>
      </c>
      <c r="O1961" s="83"/>
    </row>
    <row r="1962" spans="1:15" ht="22.5" customHeight="1">
      <c r="A1962" s="85">
        <v>766589657993298</v>
      </c>
      <c r="B1962" s="82" t="s">
        <v>10688</v>
      </c>
      <c r="C1962" s="82" t="s">
        <v>11262</v>
      </c>
      <c r="D1962" s="82" t="s">
        <v>350</v>
      </c>
      <c r="E1962" s="82">
        <v>6281394618785</v>
      </c>
      <c r="F1962" s="86">
        <v>45852</v>
      </c>
      <c r="G1962" s="87">
        <v>843</v>
      </c>
      <c r="H1962" s="88">
        <v>17085.390946502059</v>
      </c>
      <c r="I1962" s="89">
        <v>19</v>
      </c>
      <c r="J1962" s="90">
        <v>16607</v>
      </c>
      <c r="K1962" s="85">
        <v>1</v>
      </c>
      <c r="L1962" s="85">
        <v>155</v>
      </c>
      <c r="M1962" s="85">
        <v>0</v>
      </c>
      <c r="N1962" s="82" t="s">
        <v>11263</v>
      </c>
      <c r="O1962" s="83"/>
    </row>
    <row r="1963" spans="1:15" ht="22.5" customHeight="1">
      <c r="A1963" s="85">
        <v>766589657993298</v>
      </c>
      <c r="B1963" s="82" t="s">
        <v>10688</v>
      </c>
      <c r="C1963" s="82" t="s">
        <v>11264</v>
      </c>
      <c r="D1963" s="91" t="s">
        <v>1915</v>
      </c>
      <c r="E1963" s="82">
        <v>6281239874761</v>
      </c>
      <c r="F1963" s="86">
        <v>45852</v>
      </c>
      <c r="G1963" s="87">
        <v>401</v>
      </c>
      <c r="H1963" s="88">
        <v>30819.672131147541</v>
      </c>
      <c r="I1963" s="89">
        <v>3</v>
      </c>
      <c r="J1963" s="90">
        <v>15040</v>
      </c>
      <c r="K1963" s="85">
        <v>0</v>
      </c>
      <c r="L1963" s="85">
        <v>82</v>
      </c>
      <c r="M1963" s="85">
        <v>0</v>
      </c>
      <c r="N1963" s="82" t="s">
        <v>11265</v>
      </c>
      <c r="O1963" s="83"/>
    </row>
    <row r="1964" spans="1:15" ht="22.5" customHeight="1">
      <c r="A1964" s="85">
        <v>766589657993298</v>
      </c>
      <c r="B1964" s="82" t="s">
        <v>10688</v>
      </c>
      <c r="C1964" s="82" t="s">
        <v>11234</v>
      </c>
      <c r="D1964" s="82" t="s">
        <v>1945</v>
      </c>
      <c r="E1964" s="82">
        <v>6289525439559</v>
      </c>
      <c r="F1964" s="86">
        <v>45852</v>
      </c>
      <c r="G1964" s="87">
        <v>178</v>
      </c>
      <c r="H1964" s="88">
        <v>85635.416666666672</v>
      </c>
      <c r="I1964" s="89">
        <v>8</v>
      </c>
      <c r="J1964" s="90">
        <v>16442</v>
      </c>
      <c r="K1964" s="85">
        <v>4</v>
      </c>
      <c r="L1964" s="85">
        <v>0</v>
      </c>
      <c r="M1964" s="85">
        <v>0</v>
      </c>
      <c r="N1964" s="82" t="s">
        <v>11235</v>
      </c>
      <c r="O1964" s="83"/>
    </row>
    <row r="1965" spans="1:15" ht="22.5" customHeight="1">
      <c r="A1965" s="85">
        <v>766589657993298</v>
      </c>
      <c r="B1965" s="82" t="s">
        <v>10688</v>
      </c>
      <c r="C1965" s="82" t="s">
        <v>11236</v>
      </c>
      <c r="D1965" s="82" t="s">
        <v>11237</v>
      </c>
      <c r="E1965" s="82">
        <v>6285279489086</v>
      </c>
      <c r="F1965" s="86">
        <v>45852</v>
      </c>
      <c r="G1965" s="87">
        <v>1612</v>
      </c>
      <c r="H1965" s="88">
        <v>8975.9106933019975</v>
      </c>
      <c r="I1965" s="89">
        <v>48</v>
      </c>
      <c r="J1965" s="90">
        <v>15277</v>
      </c>
      <c r="K1965" s="85">
        <v>5</v>
      </c>
      <c r="L1965" s="85">
        <v>652</v>
      </c>
      <c r="M1965" s="85">
        <v>2</v>
      </c>
      <c r="N1965" s="82" t="s">
        <v>11238</v>
      </c>
      <c r="O1965" s="83"/>
    </row>
    <row r="1966" spans="1:15" ht="22.5" customHeight="1">
      <c r="A1966" s="85">
        <v>766589657993298</v>
      </c>
      <c r="B1966" s="82" t="s">
        <v>10688</v>
      </c>
      <c r="C1966" s="82" t="s">
        <v>11239</v>
      </c>
      <c r="D1966" s="82" t="s">
        <v>11240</v>
      </c>
      <c r="E1966" s="82">
        <v>6281213766426</v>
      </c>
      <c r="F1966" s="86">
        <v>45852</v>
      </c>
      <c r="G1966" s="87">
        <v>207</v>
      </c>
      <c r="H1966" s="88">
        <v>62145.299145299148</v>
      </c>
      <c r="I1966" s="89">
        <v>3</v>
      </c>
      <c r="J1966" s="90">
        <v>14542</v>
      </c>
      <c r="K1966" s="85">
        <v>3</v>
      </c>
      <c r="L1966" s="85">
        <v>26</v>
      </c>
      <c r="M1966" s="85">
        <v>0</v>
      </c>
      <c r="N1966" s="82" t="s">
        <v>11241</v>
      </c>
      <c r="O1966" s="83"/>
    </row>
    <row r="1967" spans="1:15" ht="22.5" customHeight="1">
      <c r="A1967" s="85">
        <v>766589657993298</v>
      </c>
      <c r="B1967" s="82" t="s">
        <v>10688</v>
      </c>
      <c r="C1967" s="82" t="s">
        <v>11242</v>
      </c>
      <c r="D1967" s="82" t="s">
        <v>1179</v>
      </c>
      <c r="E1967" s="82">
        <v>6281384442619</v>
      </c>
      <c r="F1967" s="86">
        <v>45852</v>
      </c>
      <c r="G1967" s="87">
        <v>898</v>
      </c>
      <c r="H1967" s="88">
        <v>15092.38578680203</v>
      </c>
      <c r="I1967" s="89">
        <v>15</v>
      </c>
      <c r="J1967" s="90">
        <v>14866</v>
      </c>
      <c r="K1967" s="85">
        <v>2</v>
      </c>
      <c r="L1967" s="85">
        <v>542</v>
      </c>
      <c r="M1967" s="85">
        <v>0</v>
      </c>
      <c r="N1967" s="82" t="s">
        <v>11243</v>
      </c>
      <c r="O1967" s="83"/>
    </row>
    <row r="1968" spans="1:15" ht="22.5" customHeight="1">
      <c r="A1968" s="85">
        <v>766589657993298</v>
      </c>
      <c r="B1968" s="82" t="s">
        <v>10688</v>
      </c>
      <c r="C1968" s="82" t="s">
        <v>11201</v>
      </c>
      <c r="D1968" s="82" t="s">
        <v>11202</v>
      </c>
      <c r="E1968" s="82"/>
      <c r="F1968" s="86">
        <v>45852</v>
      </c>
      <c r="G1968" s="87">
        <v>1507</v>
      </c>
      <c r="H1968" s="88">
        <v>13604.651162790697</v>
      </c>
      <c r="I1968" s="89">
        <v>30</v>
      </c>
      <c r="J1968" s="90">
        <v>22230</v>
      </c>
      <c r="K1968" s="85">
        <v>0</v>
      </c>
      <c r="L1968" s="85">
        <v>0</v>
      </c>
      <c r="M1968" s="85">
        <v>0</v>
      </c>
      <c r="N1968" s="82" t="s">
        <v>11305</v>
      </c>
      <c r="O1968" s="83"/>
    </row>
    <row r="1969" spans="1:15" ht="22.5" customHeight="1">
      <c r="A1969" s="85">
        <v>766589657993298</v>
      </c>
      <c r="B1969" s="82" t="s">
        <v>10688</v>
      </c>
      <c r="C1969" s="82" t="s">
        <v>11204</v>
      </c>
      <c r="D1969" s="82" t="s">
        <v>11205</v>
      </c>
      <c r="E1969" s="82">
        <v>628112999165</v>
      </c>
      <c r="F1969" s="86">
        <v>45852</v>
      </c>
      <c r="G1969" s="87">
        <v>330</v>
      </c>
      <c r="H1969" s="88">
        <v>39073.232323232325</v>
      </c>
      <c r="I1969" s="89">
        <v>5</v>
      </c>
      <c r="J1969" s="90">
        <v>15473</v>
      </c>
      <c r="K1969" s="85">
        <v>1</v>
      </c>
      <c r="L1969" s="85">
        <v>39</v>
      </c>
      <c r="M1969" s="85">
        <v>1</v>
      </c>
      <c r="N1969" s="82" t="s">
        <v>11206</v>
      </c>
      <c r="O1969" s="83"/>
    </row>
    <row r="1970" spans="1:15" ht="22.5" customHeight="1">
      <c r="A1970" s="85">
        <v>766589657993298</v>
      </c>
      <c r="B1970" s="82" t="s">
        <v>10688</v>
      </c>
      <c r="C1970" s="82" t="s">
        <v>11207</v>
      </c>
      <c r="D1970" s="82" t="s">
        <v>11208</v>
      </c>
      <c r="E1970" s="82">
        <v>6282111180648</v>
      </c>
      <c r="F1970" s="86">
        <v>45852</v>
      </c>
      <c r="G1970" s="87">
        <v>493</v>
      </c>
      <c r="H1970" s="88">
        <v>25778.894472361808</v>
      </c>
      <c r="I1970" s="89">
        <v>18</v>
      </c>
      <c r="J1970" s="90">
        <v>15390</v>
      </c>
      <c r="K1970" s="85">
        <v>0</v>
      </c>
      <c r="L1970" s="85">
        <v>21</v>
      </c>
      <c r="M1970" s="85">
        <v>0</v>
      </c>
      <c r="N1970" s="82" t="s">
        <v>11209</v>
      </c>
      <c r="O1970" s="83"/>
    </row>
    <row r="1971" spans="1:15" ht="22.5" customHeight="1">
      <c r="A1971" s="85">
        <v>766589657993298</v>
      </c>
      <c r="B1971" s="82" t="s">
        <v>10688</v>
      </c>
      <c r="C1971" s="82" t="s">
        <v>11174</v>
      </c>
      <c r="D1971" s="82" t="s">
        <v>11175</v>
      </c>
      <c r="E1971" s="82">
        <v>6282184019830</v>
      </c>
      <c r="F1971" s="86">
        <v>45852</v>
      </c>
      <c r="G1971" s="87">
        <v>333</v>
      </c>
      <c r="H1971" s="88">
        <v>45620.111731843572</v>
      </c>
      <c r="I1971" s="89">
        <v>6</v>
      </c>
      <c r="J1971" s="90">
        <v>16332</v>
      </c>
      <c r="K1971" s="85">
        <v>1</v>
      </c>
      <c r="L1971" s="85">
        <v>64</v>
      </c>
      <c r="M1971" s="85">
        <v>0</v>
      </c>
      <c r="N1971" s="82" t="s">
        <v>11176</v>
      </c>
      <c r="O1971" s="83"/>
    </row>
    <row r="1972" spans="1:15" ht="22.5" customHeight="1">
      <c r="A1972" s="85">
        <v>766589657993298</v>
      </c>
      <c r="B1972" s="82" t="s">
        <v>10688</v>
      </c>
      <c r="C1972" s="82" t="s">
        <v>11103</v>
      </c>
      <c r="D1972" s="82" t="s">
        <v>11104</v>
      </c>
      <c r="E1972" s="82">
        <v>6282124027899</v>
      </c>
      <c r="F1972" s="86">
        <v>45852</v>
      </c>
      <c r="G1972" s="87">
        <v>1650</v>
      </c>
      <c r="H1972" s="88">
        <v>7769.7435897435898</v>
      </c>
      <c r="I1972" s="89">
        <v>32</v>
      </c>
      <c r="J1972" s="90">
        <v>15151</v>
      </c>
      <c r="K1972" s="85">
        <v>2</v>
      </c>
      <c r="L1972" s="85">
        <v>387</v>
      </c>
      <c r="M1972" s="85">
        <v>0</v>
      </c>
      <c r="N1972" s="82" t="s">
        <v>11105</v>
      </c>
      <c r="O1972" s="83"/>
    </row>
    <row r="1973" spans="1:15" ht="22.5" customHeight="1">
      <c r="A1973" s="85">
        <v>766589657993298</v>
      </c>
      <c r="B1973" s="82" t="s">
        <v>10688</v>
      </c>
      <c r="C1973" s="82" t="s">
        <v>11026</v>
      </c>
      <c r="D1973" s="82" t="s">
        <v>1172</v>
      </c>
      <c r="E1973" s="82">
        <v>6285950836788</v>
      </c>
      <c r="F1973" s="86">
        <v>45852</v>
      </c>
      <c r="G1973" s="87">
        <v>736</v>
      </c>
      <c r="H1973" s="88">
        <v>22134.715025906735</v>
      </c>
      <c r="I1973" s="89">
        <v>22</v>
      </c>
      <c r="J1973" s="90">
        <v>17088</v>
      </c>
      <c r="K1973" s="85">
        <v>2</v>
      </c>
      <c r="L1973" s="85">
        <v>310</v>
      </c>
      <c r="M1973" s="85">
        <v>0</v>
      </c>
      <c r="N1973" s="82" t="s">
        <v>11027</v>
      </c>
      <c r="O1973" s="83"/>
    </row>
    <row r="1974" spans="1:15" ht="22.5" customHeight="1">
      <c r="A1974" s="85">
        <v>766589657993298</v>
      </c>
      <c r="B1974" s="82" t="s">
        <v>10688</v>
      </c>
      <c r="C1974" s="82" t="s">
        <v>11028</v>
      </c>
      <c r="D1974" s="82" t="s">
        <v>11029</v>
      </c>
      <c r="E1974" s="82">
        <v>6282338171577</v>
      </c>
      <c r="F1974" s="86">
        <v>45852</v>
      </c>
      <c r="G1974" s="87">
        <v>1005</v>
      </c>
      <c r="H1974" s="88">
        <v>13661.458333333334</v>
      </c>
      <c r="I1974" s="89">
        <v>37</v>
      </c>
      <c r="J1974" s="90">
        <v>15738</v>
      </c>
      <c r="K1974" s="85">
        <v>5</v>
      </c>
      <c r="L1974" s="85">
        <v>413</v>
      </c>
      <c r="M1974" s="85">
        <v>0</v>
      </c>
      <c r="N1974" s="82" t="s">
        <v>11030</v>
      </c>
      <c r="O1974" s="83"/>
    </row>
    <row r="1975" spans="1:15" ht="22.5" customHeight="1">
      <c r="A1975" s="85">
        <v>766589657993298</v>
      </c>
      <c r="B1975" s="82" t="s">
        <v>10688</v>
      </c>
      <c r="C1975" s="82" t="s">
        <v>10885</v>
      </c>
      <c r="D1975" s="82" t="s">
        <v>906</v>
      </c>
      <c r="E1975" s="82">
        <v>6282183115806</v>
      </c>
      <c r="F1975" s="86">
        <v>45852</v>
      </c>
      <c r="G1975" s="87">
        <v>847</v>
      </c>
      <c r="H1975" s="88">
        <v>17830.693069306933</v>
      </c>
      <c r="I1975" s="89">
        <v>35</v>
      </c>
      <c r="J1975" s="90">
        <v>18009</v>
      </c>
      <c r="K1975" s="85">
        <v>3</v>
      </c>
      <c r="L1975" s="85">
        <v>158</v>
      </c>
      <c r="M1975" s="85">
        <v>1</v>
      </c>
      <c r="N1975" s="82" t="s">
        <v>10886</v>
      </c>
      <c r="O1975" s="83"/>
    </row>
    <row r="1976" spans="1:15" ht="22.5" customHeight="1">
      <c r="A1976" s="85">
        <v>766589657993298</v>
      </c>
      <c r="B1976" s="82" t="s">
        <v>10688</v>
      </c>
      <c r="C1976" s="82" t="s">
        <v>10879</v>
      </c>
      <c r="D1976" s="82" t="s">
        <v>10880</v>
      </c>
      <c r="E1976" s="82">
        <v>6281215851833</v>
      </c>
      <c r="F1976" s="86">
        <v>45852</v>
      </c>
      <c r="G1976" s="87">
        <v>392</v>
      </c>
      <c r="H1976" s="88">
        <v>34140.086206896558</v>
      </c>
      <c r="I1976" s="89">
        <v>23</v>
      </c>
      <c r="J1976" s="90">
        <v>15841</v>
      </c>
      <c r="K1976" s="85">
        <v>2</v>
      </c>
      <c r="L1976" s="85">
        <v>0</v>
      </c>
      <c r="M1976" s="85">
        <v>0</v>
      </c>
      <c r="N1976" s="82" t="s">
        <v>10881</v>
      </c>
      <c r="O1976" s="83"/>
    </row>
    <row r="1977" spans="1:15" ht="22.5" customHeight="1">
      <c r="A1977" s="85">
        <v>759724529202804</v>
      </c>
      <c r="B1977" s="82" t="s">
        <v>10621</v>
      </c>
      <c r="C1977" s="82" t="s">
        <v>11306</v>
      </c>
      <c r="D1977" s="82" t="s">
        <v>11307</v>
      </c>
      <c r="E1977" s="82">
        <v>6282258462258</v>
      </c>
      <c r="F1977" s="86">
        <v>45853</v>
      </c>
      <c r="G1977" s="87">
        <v>773</v>
      </c>
      <c r="H1977" s="88">
        <v>15590.113285272915</v>
      </c>
      <c r="I1977" s="89">
        <v>32</v>
      </c>
      <c r="J1977" s="90">
        <v>15138</v>
      </c>
      <c r="K1977" s="85">
        <v>1</v>
      </c>
      <c r="L1977" s="85">
        <v>152</v>
      </c>
      <c r="M1977" s="85">
        <v>0</v>
      </c>
      <c r="N1977" s="82" t="s">
        <v>11308</v>
      </c>
      <c r="O1977" s="83"/>
    </row>
    <row r="1978" spans="1:15" ht="22.5" customHeight="1">
      <c r="A1978" s="85">
        <v>759724529202804</v>
      </c>
      <c r="B1978" s="82" t="s">
        <v>10621</v>
      </c>
      <c r="C1978" s="82" t="s">
        <v>11266</v>
      </c>
      <c r="D1978" s="82" t="s">
        <v>11267</v>
      </c>
      <c r="E1978" s="82">
        <v>6281904501876</v>
      </c>
      <c r="F1978" s="86">
        <v>45853</v>
      </c>
      <c r="G1978" s="87">
        <v>1312</v>
      </c>
      <c r="H1978" s="88">
        <v>8765.011547344111</v>
      </c>
      <c r="I1978" s="89">
        <v>53</v>
      </c>
      <c r="J1978" s="90">
        <v>15181</v>
      </c>
      <c r="K1978" s="85">
        <v>2</v>
      </c>
      <c r="L1978" s="85">
        <v>37</v>
      </c>
      <c r="M1978" s="85">
        <v>0</v>
      </c>
      <c r="N1978" s="82" t="s">
        <v>11268</v>
      </c>
      <c r="O1978" s="83"/>
    </row>
    <row r="1979" spans="1:15" ht="22.5" customHeight="1">
      <c r="A1979" s="85">
        <v>759724529202804</v>
      </c>
      <c r="B1979" s="82" t="s">
        <v>10621</v>
      </c>
      <c r="C1979" s="82" t="s">
        <v>11070</v>
      </c>
      <c r="D1979" s="82" t="s">
        <v>11071</v>
      </c>
      <c r="E1979" s="82">
        <v>6281246211381</v>
      </c>
      <c r="F1979" s="86">
        <v>45853</v>
      </c>
      <c r="G1979" s="87">
        <v>844</v>
      </c>
      <c r="H1979" s="88">
        <v>15050.411522633745</v>
      </c>
      <c r="I1979" s="89">
        <v>20</v>
      </c>
      <c r="J1979" s="90">
        <v>14629</v>
      </c>
      <c r="K1979" s="85">
        <v>1</v>
      </c>
      <c r="L1979" s="85">
        <v>16</v>
      </c>
      <c r="M1979" s="85">
        <v>0</v>
      </c>
      <c r="N1979" s="82" t="s">
        <v>11072</v>
      </c>
      <c r="O1979" s="83"/>
    </row>
    <row r="1980" spans="1:15" ht="22.5" customHeight="1">
      <c r="A1980" s="85">
        <v>759724529202804</v>
      </c>
      <c r="B1980" s="82" t="s">
        <v>10621</v>
      </c>
      <c r="C1980" s="82" t="s">
        <v>11016</v>
      </c>
      <c r="D1980" s="82" t="s">
        <v>1530</v>
      </c>
      <c r="E1980" s="82">
        <v>628111988553</v>
      </c>
      <c r="F1980" s="86">
        <v>45853</v>
      </c>
      <c r="G1980" s="87">
        <v>262</v>
      </c>
      <c r="H1980" s="88">
        <v>53597.359735973594</v>
      </c>
      <c r="I1980" s="89">
        <v>17</v>
      </c>
      <c r="J1980" s="90">
        <v>16240</v>
      </c>
      <c r="K1980" s="85">
        <v>1</v>
      </c>
      <c r="L1980" s="85">
        <v>49</v>
      </c>
      <c r="M1980" s="85">
        <v>0</v>
      </c>
      <c r="N1980" s="82" t="s">
        <v>11017</v>
      </c>
      <c r="O1980" s="83"/>
    </row>
    <row r="1981" spans="1:15" ht="22.5" customHeight="1">
      <c r="A1981" s="85">
        <v>759724529202804</v>
      </c>
      <c r="B1981" s="82" t="s">
        <v>10621</v>
      </c>
      <c r="C1981" s="82" t="s">
        <v>10986</v>
      </c>
      <c r="D1981" s="82" t="s">
        <v>10987</v>
      </c>
      <c r="E1981" s="82">
        <v>6281282183261</v>
      </c>
      <c r="F1981" s="86">
        <v>45853</v>
      </c>
      <c r="G1981" s="87">
        <v>486</v>
      </c>
      <c r="H1981" s="88">
        <v>25737.762237762236</v>
      </c>
      <c r="I1981" s="89">
        <v>14</v>
      </c>
      <c r="J1981" s="90">
        <v>14722</v>
      </c>
      <c r="K1981" s="85">
        <v>2</v>
      </c>
      <c r="L1981" s="85">
        <v>18</v>
      </c>
      <c r="M1981" s="85">
        <v>0</v>
      </c>
      <c r="N1981" s="82" t="s">
        <v>10988</v>
      </c>
      <c r="O1981" s="83"/>
    </row>
    <row r="1982" spans="1:15" ht="22.5" customHeight="1">
      <c r="A1982" s="85">
        <v>759724529202804</v>
      </c>
      <c r="B1982" s="82" t="s">
        <v>10621</v>
      </c>
      <c r="C1982" s="82" t="s">
        <v>540</v>
      </c>
      <c r="D1982" s="82" t="s">
        <v>10755</v>
      </c>
      <c r="E1982" s="82">
        <v>6281335728695</v>
      </c>
      <c r="F1982" s="86">
        <v>45853</v>
      </c>
      <c r="G1982" s="87">
        <v>844</v>
      </c>
      <c r="H1982" s="88">
        <v>14698.354661791591</v>
      </c>
      <c r="I1982" s="89">
        <v>23</v>
      </c>
      <c r="J1982" s="90">
        <v>16080</v>
      </c>
      <c r="K1982" s="85">
        <v>4</v>
      </c>
      <c r="L1982" s="85">
        <v>68</v>
      </c>
      <c r="M1982" s="85">
        <v>0</v>
      </c>
      <c r="N1982" s="82" t="s">
        <v>10756</v>
      </c>
      <c r="O1982" s="83"/>
    </row>
    <row r="1983" spans="1:15" ht="22.5" customHeight="1">
      <c r="A1983" s="85">
        <v>174904221976312</v>
      </c>
      <c r="B1983" s="82" t="s">
        <v>10651</v>
      </c>
      <c r="C1983" s="82" t="s">
        <v>11309</v>
      </c>
      <c r="D1983" s="82" t="s">
        <v>2254</v>
      </c>
      <c r="E1983" s="82"/>
      <c r="F1983" s="86">
        <v>45853</v>
      </c>
      <c r="G1983" s="87">
        <v>196</v>
      </c>
      <c r="H1983" s="88">
        <v>54224.770642201831</v>
      </c>
      <c r="I1983" s="89">
        <v>11</v>
      </c>
      <c r="J1983" s="90">
        <v>11821</v>
      </c>
      <c r="K1983" s="85">
        <v>1</v>
      </c>
      <c r="L1983" s="85">
        <v>19</v>
      </c>
      <c r="M1983" s="85">
        <v>0</v>
      </c>
      <c r="N1983" s="82" t="s">
        <v>11310</v>
      </c>
      <c r="O1983" s="83"/>
    </row>
    <row r="1984" spans="1:15" ht="22.5" customHeight="1">
      <c r="A1984" s="85">
        <v>174904221976312</v>
      </c>
      <c r="B1984" s="82" t="s">
        <v>10651</v>
      </c>
      <c r="C1984" s="82" t="s">
        <v>11311</v>
      </c>
      <c r="D1984" s="82" t="s">
        <v>2247</v>
      </c>
      <c r="E1984" s="82"/>
      <c r="F1984" s="86">
        <v>45853</v>
      </c>
      <c r="G1984" s="87">
        <v>542</v>
      </c>
      <c r="H1984" s="88">
        <v>20508.06451612903</v>
      </c>
      <c r="I1984" s="89">
        <v>11</v>
      </c>
      <c r="J1984" s="90">
        <v>12715</v>
      </c>
      <c r="K1984" s="85">
        <v>1</v>
      </c>
      <c r="L1984" s="85">
        <v>44</v>
      </c>
      <c r="M1984" s="85">
        <v>0</v>
      </c>
      <c r="N1984" s="82" t="s">
        <v>11312</v>
      </c>
      <c r="O1984" s="83"/>
    </row>
    <row r="1985" spans="1:15" ht="22.5" customHeight="1">
      <c r="A1985" s="85">
        <v>174904221976312</v>
      </c>
      <c r="B1985" s="82" t="s">
        <v>10651</v>
      </c>
      <c r="C1985" s="82" t="s">
        <v>11313</v>
      </c>
      <c r="D1985" s="82" t="s">
        <v>2120</v>
      </c>
      <c r="E1985" s="82"/>
      <c r="F1985" s="86">
        <v>45853</v>
      </c>
      <c r="G1985" s="87">
        <v>1000</v>
      </c>
      <c r="H1985" s="88">
        <v>8735.6321839080465</v>
      </c>
      <c r="I1985" s="89">
        <v>15</v>
      </c>
      <c r="J1985" s="90">
        <v>10640</v>
      </c>
      <c r="K1985" s="85">
        <v>1</v>
      </c>
      <c r="L1985" s="85">
        <v>12</v>
      </c>
      <c r="M1985" s="85">
        <v>0</v>
      </c>
      <c r="N1985" s="82" t="s">
        <v>11314</v>
      </c>
      <c r="O1985" s="83"/>
    </row>
    <row r="1986" spans="1:15" ht="22.5" customHeight="1">
      <c r="A1986" s="85">
        <v>174904221976312</v>
      </c>
      <c r="B1986" s="82" t="s">
        <v>10651</v>
      </c>
      <c r="C1986" s="82" t="s">
        <v>11269</v>
      </c>
      <c r="D1986" s="82" t="s">
        <v>11270</v>
      </c>
      <c r="E1986" s="82">
        <v>6287856746423</v>
      </c>
      <c r="F1986" s="86">
        <v>45853</v>
      </c>
      <c r="G1986" s="87">
        <v>210</v>
      </c>
      <c r="H1986" s="88">
        <v>68610.61946902654</v>
      </c>
      <c r="I1986" s="89">
        <v>9</v>
      </c>
      <c r="J1986" s="90">
        <v>15506</v>
      </c>
      <c r="K1986" s="85">
        <v>3</v>
      </c>
      <c r="L1986" s="85">
        <v>47</v>
      </c>
      <c r="M1986" s="85">
        <v>1</v>
      </c>
      <c r="N1986" s="82" t="s">
        <v>11271</v>
      </c>
      <c r="O1986" s="83"/>
    </row>
    <row r="1987" spans="1:15" ht="22.5" customHeight="1">
      <c r="A1987" s="85">
        <v>174904221976312</v>
      </c>
      <c r="B1987" s="82" t="s">
        <v>10651</v>
      </c>
      <c r="C1987" s="82" t="s">
        <v>11272</v>
      </c>
      <c r="D1987" s="82" t="s">
        <v>11273</v>
      </c>
      <c r="E1987" s="82">
        <v>6281253629810</v>
      </c>
      <c r="F1987" s="86">
        <v>45853</v>
      </c>
      <c r="G1987" s="87">
        <v>1103</v>
      </c>
      <c r="H1987" s="88">
        <v>9541.4012738853507</v>
      </c>
      <c r="I1987" s="89">
        <v>24</v>
      </c>
      <c r="J1987" s="90">
        <v>13482</v>
      </c>
      <c r="K1987" s="85">
        <v>3</v>
      </c>
      <c r="L1987" s="85">
        <v>0</v>
      </c>
      <c r="M1987" s="85">
        <v>1</v>
      </c>
      <c r="N1987" s="82" t="s">
        <v>11274</v>
      </c>
      <c r="O1987" s="83"/>
    </row>
    <row r="1988" spans="1:15" ht="22.5" customHeight="1">
      <c r="A1988" s="85">
        <v>174904221976312</v>
      </c>
      <c r="B1988" s="82" t="s">
        <v>10651</v>
      </c>
      <c r="C1988" s="82" t="s">
        <v>11275</v>
      </c>
      <c r="D1988" s="82" t="s">
        <v>11276</v>
      </c>
      <c r="E1988" s="82">
        <v>6289517787985</v>
      </c>
      <c r="F1988" s="86">
        <v>45853</v>
      </c>
      <c r="G1988" s="87">
        <v>860</v>
      </c>
      <c r="H1988" s="88">
        <v>12727.904667328699</v>
      </c>
      <c r="I1988" s="89">
        <v>22</v>
      </c>
      <c r="J1988" s="90">
        <v>12817</v>
      </c>
      <c r="K1988" s="85">
        <v>5</v>
      </c>
      <c r="L1988" s="85">
        <v>265</v>
      </c>
      <c r="M1988" s="85">
        <v>2</v>
      </c>
      <c r="N1988" s="82" t="s">
        <v>11277</v>
      </c>
      <c r="O1988" s="83"/>
    </row>
    <row r="1989" spans="1:15" ht="22.5" customHeight="1">
      <c r="A1989" s="85">
        <v>174904221976312</v>
      </c>
      <c r="B1989" s="82" t="s">
        <v>10651</v>
      </c>
      <c r="C1989" s="82" t="s">
        <v>11278</v>
      </c>
      <c r="D1989" s="82" t="s">
        <v>2202</v>
      </c>
      <c r="E1989" s="82">
        <v>62895374644456</v>
      </c>
      <c r="F1989" s="86">
        <v>45853</v>
      </c>
      <c r="G1989" s="87">
        <v>875</v>
      </c>
      <c r="H1989" s="88">
        <v>12337.585868498527</v>
      </c>
      <c r="I1989" s="89">
        <v>31</v>
      </c>
      <c r="J1989" s="90">
        <v>12572</v>
      </c>
      <c r="K1989" s="85">
        <v>10</v>
      </c>
      <c r="L1989" s="85">
        <v>389</v>
      </c>
      <c r="M1989" s="85">
        <v>2</v>
      </c>
      <c r="N1989" s="82" t="s">
        <v>11279</v>
      </c>
      <c r="O1989" s="83"/>
    </row>
    <row r="1990" spans="1:15" ht="22.5" customHeight="1">
      <c r="A1990" s="85">
        <v>174904221976312</v>
      </c>
      <c r="B1990" s="82" t="s">
        <v>10651</v>
      </c>
      <c r="C1990" s="82" t="s">
        <v>11280</v>
      </c>
      <c r="D1990" s="82" t="s">
        <v>2151</v>
      </c>
      <c r="E1990" s="82">
        <v>6281252228100</v>
      </c>
      <c r="F1990" s="86">
        <v>45853</v>
      </c>
      <c r="G1990" s="87">
        <v>333</v>
      </c>
      <c r="H1990" s="88">
        <v>32302.452316076291</v>
      </c>
      <c r="I1990" s="89">
        <v>10</v>
      </c>
      <c r="J1990" s="90">
        <v>11855</v>
      </c>
      <c r="K1990" s="85">
        <v>1</v>
      </c>
      <c r="L1990" s="85">
        <v>158</v>
      </c>
      <c r="M1990" s="85">
        <v>0</v>
      </c>
      <c r="N1990" s="82" t="s">
        <v>11281</v>
      </c>
      <c r="O1990" s="83"/>
    </row>
    <row r="1991" spans="1:15" ht="22.5" customHeight="1">
      <c r="A1991" s="85">
        <v>174904221976312</v>
      </c>
      <c r="B1991" s="82" t="s">
        <v>10651</v>
      </c>
      <c r="C1991" s="82" t="s">
        <v>11282</v>
      </c>
      <c r="D1991" s="82" t="s">
        <v>1044</v>
      </c>
      <c r="E1991" s="82">
        <v>6281263113266</v>
      </c>
      <c r="F1991" s="86">
        <v>45853</v>
      </c>
      <c r="G1991" s="87">
        <v>1044</v>
      </c>
      <c r="H1991" s="88">
        <v>11450.704225352112</v>
      </c>
      <c r="I1991" s="89">
        <v>64</v>
      </c>
      <c r="J1991" s="90">
        <v>14634</v>
      </c>
      <c r="K1991" s="85">
        <v>5</v>
      </c>
      <c r="L1991" s="85">
        <v>518</v>
      </c>
      <c r="M1991" s="85">
        <v>3</v>
      </c>
      <c r="N1991" s="82" t="s">
        <v>10728</v>
      </c>
      <c r="O1991" s="83"/>
    </row>
    <row r="1992" spans="1:15" ht="22.5" customHeight="1">
      <c r="A1992" s="85">
        <v>174904221976312</v>
      </c>
      <c r="B1992" s="82" t="s">
        <v>10651</v>
      </c>
      <c r="C1992" s="82" t="s">
        <v>11283</v>
      </c>
      <c r="D1992" s="82" t="s">
        <v>11284</v>
      </c>
      <c r="E1992" s="82">
        <v>6285150556695</v>
      </c>
      <c r="F1992" s="86">
        <v>45853</v>
      </c>
      <c r="G1992" s="87">
        <v>100</v>
      </c>
      <c r="H1992" s="88">
        <v>87408.333333333328</v>
      </c>
      <c r="I1992" s="89">
        <v>2</v>
      </c>
      <c r="J1992" s="90">
        <v>10489</v>
      </c>
      <c r="K1992" s="85">
        <v>1</v>
      </c>
      <c r="L1992" s="85">
        <v>41</v>
      </c>
      <c r="M1992" s="85">
        <v>0</v>
      </c>
      <c r="N1992" s="82" t="s">
        <v>11285</v>
      </c>
      <c r="O1992" s="83"/>
    </row>
    <row r="1993" spans="1:15" ht="22.5" customHeight="1">
      <c r="A1993" s="85">
        <v>174904221976312</v>
      </c>
      <c r="B1993" s="82" t="s">
        <v>10651</v>
      </c>
      <c r="C1993" s="82" t="s">
        <v>11286</v>
      </c>
      <c r="D1993" s="82" t="s">
        <v>2180</v>
      </c>
      <c r="E1993" s="82">
        <v>6285624268413</v>
      </c>
      <c r="F1993" s="86">
        <v>45853</v>
      </c>
      <c r="G1993" s="87">
        <v>208</v>
      </c>
      <c r="H1993" s="88">
        <v>61628.099173553725</v>
      </c>
      <c r="I1993" s="89">
        <v>10</v>
      </c>
      <c r="J1993" s="90">
        <v>14914</v>
      </c>
      <c r="K1993" s="85">
        <v>2</v>
      </c>
      <c r="L1993" s="85">
        <v>1</v>
      </c>
      <c r="M1993" s="85">
        <v>0</v>
      </c>
      <c r="N1993" s="82" t="s">
        <v>11287</v>
      </c>
      <c r="O1993" s="83"/>
    </row>
    <row r="1994" spans="1:15" ht="22.5" customHeight="1">
      <c r="A1994" s="85">
        <v>174904221976312</v>
      </c>
      <c r="B1994" s="82" t="s">
        <v>10651</v>
      </c>
      <c r="C1994" s="82" t="s">
        <v>11288</v>
      </c>
      <c r="D1994" s="82" t="s">
        <v>11289</v>
      </c>
      <c r="E1994" s="82">
        <v>6281252867949</v>
      </c>
      <c r="F1994" s="86">
        <v>45853</v>
      </c>
      <c r="G1994" s="87">
        <v>255</v>
      </c>
      <c r="H1994" s="88">
        <v>41252.669039145905</v>
      </c>
      <c r="I1994" s="89">
        <v>7</v>
      </c>
      <c r="J1994" s="90">
        <v>11592</v>
      </c>
      <c r="K1994" s="85">
        <v>1</v>
      </c>
      <c r="L1994" s="85">
        <v>3</v>
      </c>
      <c r="M1994" s="85">
        <v>0</v>
      </c>
      <c r="N1994" s="82" t="s">
        <v>11290</v>
      </c>
      <c r="O1994" s="83"/>
    </row>
    <row r="1995" spans="1:15" ht="22.5" customHeight="1">
      <c r="A1995" s="85">
        <v>174904221976312</v>
      </c>
      <c r="B1995" s="82" t="s">
        <v>10651</v>
      </c>
      <c r="C1995" s="82" t="s">
        <v>11291</v>
      </c>
      <c r="D1995" s="82" t="s">
        <v>11292</v>
      </c>
      <c r="E1995" s="82">
        <v>6283183643221</v>
      </c>
      <c r="F1995" s="86">
        <v>45853</v>
      </c>
      <c r="G1995" s="87">
        <v>211</v>
      </c>
      <c r="H1995" s="88">
        <v>51410.256410256407</v>
      </c>
      <c r="I1995" s="89">
        <v>5</v>
      </c>
      <c r="J1995" s="90">
        <v>12030</v>
      </c>
      <c r="K1995" s="85">
        <v>1</v>
      </c>
      <c r="L1995" s="85">
        <v>84</v>
      </c>
      <c r="M1995" s="85">
        <v>0</v>
      </c>
      <c r="N1995" s="82" t="s">
        <v>11293</v>
      </c>
      <c r="O1995" s="83"/>
    </row>
    <row r="1996" spans="1:15" ht="22.5" customHeight="1">
      <c r="A1996" s="85">
        <v>174904221976312</v>
      </c>
      <c r="B1996" s="82" t="s">
        <v>10651</v>
      </c>
      <c r="C1996" s="82" t="s">
        <v>11294</v>
      </c>
      <c r="D1996" s="82" t="s">
        <v>2143</v>
      </c>
      <c r="E1996" s="82">
        <v>6281274238899</v>
      </c>
      <c r="F1996" s="86">
        <v>45853</v>
      </c>
      <c r="G1996" s="87">
        <v>540</v>
      </c>
      <c r="H1996" s="88">
        <v>21386.764705882353</v>
      </c>
      <c r="I1996" s="89">
        <v>5</v>
      </c>
      <c r="J1996" s="90">
        <v>14543</v>
      </c>
      <c r="K1996" s="85">
        <v>0</v>
      </c>
      <c r="L1996" s="85">
        <v>171</v>
      </c>
      <c r="M1996" s="85">
        <v>0</v>
      </c>
      <c r="N1996" s="82" t="s">
        <v>11295</v>
      </c>
      <c r="O1996" s="83"/>
    </row>
    <row r="1997" spans="1:15" ht="22.5" customHeight="1">
      <c r="A1997" s="85">
        <v>174904221976312</v>
      </c>
      <c r="B1997" s="82" t="s">
        <v>10651</v>
      </c>
      <c r="C1997" s="82" t="s">
        <v>11244</v>
      </c>
      <c r="D1997" s="82" t="s">
        <v>11245</v>
      </c>
      <c r="E1997" s="82">
        <v>6282238154676</v>
      </c>
      <c r="F1997" s="86">
        <v>45853</v>
      </c>
      <c r="G1997" s="87">
        <v>630</v>
      </c>
      <c r="H1997" s="88">
        <v>16361.111111111111</v>
      </c>
      <c r="I1997" s="89">
        <v>17</v>
      </c>
      <c r="J1997" s="90">
        <v>11780</v>
      </c>
      <c r="K1997" s="85">
        <v>1</v>
      </c>
      <c r="L1997" s="85">
        <v>101</v>
      </c>
      <c r="M1997" s="85">
        <v>0</v>
      </c>
      <c r="N1997" s="82" t="s">
        <v>11246</v>
      </c>
      <c r="O1997" s="83"/>
    </row>
    <row r="1998" spans="1:15" ht="22.5" customHeight="1">
      <c r="A1998" s="85">
        <v>174904221976312</v>
      </c>
      <c r="B1998" s="82" t="s">
        <v>10651</v>
      </c>
      <c r="C1998" s="82" t="s">
        <v>11247</v>
      </c>
      <c r="D1998" s="82" t="s">
        <v>11248</v>
      </c>
      <c r="E1998" s="82">
        <v>6285238093436</v>
      </c>
      <c r="F1998" s="86">
        <v>45853</v>
      </c>
      <c r="G1998" s="87">
        <v>1028</v>
      </c>
      <c r="H1998" s="88">
        <v>11797.238999137187</v>
      </c>
      <c r="I1998" s="89">
        <v>30</v>
      </c>
      <c r="J1998" s="90">
        <v>13673</v>
      </c>
      <c r="K1998" s="85">
        <v>1</v>
      </c>
      <c r="L1998" s="85">
        <v>442</v>
      </c>
      <c r="M1998" s="85">
        <v>0</v>
      </c>
      <c r="N1998" s="82" t="s">
        <v>11249</v>
      </c>
      <c r="O1998" s="83"/>
    </row>
    <row r="1999" spans="1:15" ht="22.5" customHeight="1">
      <c r="A1999" s="85">
        <v>174904221976312</v>
      </c>
      <c r="B1999" s="82" t="s">
        <v>10651</v>
      </c>
      <c r="C1999" s="82" t="s">
        <v>11250</v>
      </c>
      <c r="D1999" s="82" t="s">
        <v>11251</v>
      </c>
      <c r="E1999" s="82">
        <v>6285184844621</v>
      </c>
      <c r="F1999" s="86">
        <v>45853</v>
      </c>
      <c r="G1999" s="87">
        <v>1850</v>
      </c>
      <c r="H1999" s="88">
        <v>5506.9808027923209</v>
      </c>
      <c r="I1999" s="89">
        <v>47</v>
      </c>
      <c r="J1999" s="90">
        <v>12622</v>
      </c>
      <c r="K1999" s="85">
        <v>0</v>
      </c>
      <c r="L1999" s="85">
        <v>431</v>
      </c>
      <c r="M1999" s="85">
        <v>6</v>
      </c>
      <c r="N1999" s="82" t="s">
        <v>11252</v>
      </c>
      <c r="O1999" s="83"/>
    </row>
    <row r="2000" spans="1:15" ht="22.5" customHeight="1">
      <c r="A2000" s="85">
        <v>174904221976312</v>
      </c>
      <c r="B2000" s="82" t="s">
        <v>10651</v>
      </c>
      <c r="C2000" s="82" t="s">
        <v>11253</v>
      </c>
      <c r="D2000" s="82" t="s">
        <v>2096</v>
      </c>
      <c r="E2000" s="82">
        <v>6285282777679</v>
      </c>
      <c r="F2000" s="86">
        <v>45853</v>
      </c>
      <c r="G2000" s="87">
        <v>114</v>
      </c>
      <c r="H2000" s="88">
        <v>108629.92125984252</v>
      </c>
      <c r="I2000" s="89">
        <v>9</v>
      </c>
      <c r="J2000" s="90">
        <v>13796</v>
      </c>
      <c r="K2000" s="85">
        <v>5</v>
      </c>
      <c r="L2000" s="85">
        <v>0</v>
      </c>
      <c r="M2000" s="85">
        <v>0</v>
      </c>
      <c r="N2000" s="82" t="s">
        <v>11254</v>
      </c>
      <c r="O2000" s="83"/>
    </row>
    <row r="2001" spans="1:15" ht="22.5" customHeight="1">
      <c r="A2001" s="85">
        <v>174904221976312</v>
      </c>
      <c r="B2001" s="82" t="s">
        <v>10651</v>
      </c>
      <c r="C2001" s="82" t="s">
        <v>11255</v>
      </c>
      <c r="D2001" s="82" t="s">
        <v>11256</v>
      </c>
      <c r="E2001" s="82">
        <v>6287715704997</v>
      </c>
      <c r="F2001" s="86">
        <v>45853</v>
      </c>
      <c r="G2001" s="87">
        <v>140</v>
      </c>
      <c r="H2001" s="88">
        <v>85503.1055900621</v>
      </c>
      <c r="I2001" s="89">
        <v>5</v>
      </c>
      <c r="J2001" s="90">
        <v>13766</v>
      </c>
      <c r="K2001" s="85">
        <v>1</v>
      </c>
      <c r="L2001" s="85">
        <v>0</v>
      </c>
      <c r="M2001" s="85">
        <v>0</v>
      </c>
      <c r="N2001" s="82" t="s">
        <v>11257</v>
      </c>
      <c r="O2001" s="83"/>
    </row>
    <row r="2002" spans="1:15" ht="22.5" customHeight="1">
      <c r="A2002" s="85">
        <v>174904221976312</v>
      </c>
      <c r="B2002" s="82" t="s">
        <v>10651</v>
      </c>
      <c r="C2002" s="82" t="s">
        <v>11217</v>
      </c>
      <c r="D2002" s="82" t="s">
        <v>2043</v>
      </c>
      <c r="E2002" s="82">
        <v>6282298717014</v>
      </c>
      <c r="F2002" s="86">
        <v>45853</v>
      </c>
      <c r="G2002" s="87">
        <v>495</v>
      </c>
      <c r="H2002" s="88">
        <v>27142.1143847487</v>
      </c>
      <c r="I2002" s="89">
        <v>25</v>
      </c>
      <c r="J2002" s="90">
        <v>15661</v>
      </c>
      <c r="K2002" s="85">
        <v>4</v>
      </c>
      <c r="L2002" s="85">
        <v>0</v>
      </c>
      <c r="M2002" s="85">
        <v>1</v>
      </c>
      <c r="N2002" s="82" t="s">
        <v>11218</v>
      </c>
      <c r="O2002" s="83"/>
    </row>
    <row r="2003" spans="1:15" ht="22.5" customHeight="1">
      <c r="A2003" s="85">
        <v>174904221976312</v>
      </c>
      <c r="B2003" s="82" t="s">
        <v>10651</v>
      </c>
      <c r="C2003" s="82" t="s">
        <v>11225</v>
      </c>
      <c r="D2003" s="82" t="s">
        <v>11226</v>
      </c>
      <c r="E2003" s="82">
        <v>6281240144744</v>
      </c>
      <c r="F2003" s="86">
        <v>45853</v>
      </c>
      <c r="G2003" s="87">
        <v>1882</v>
      </c>
      <c r="H2003" s="88">
        <v>7471.7299578059074</v>
      </c>
      <c r="I2003" s="89">
        <v>39</v>
      </c>
      <c r="J2003" s="90">
        <v>17708</v>
      </c>
      <c r="K2003" s="85">
        <v>3</v>
      </c>
      <c r="L2003" s="85">
        <v>187</v>
      </c>
      <c r="M2003" s="85">
        <v>0</v>
      </c>
      <c r="N2003" s="82" t="s">
        <v>11227</v>
      </c>
      <c r="O2003" s="83"/>
    </row>
    <row r="2004" spans="1:15" ht="22.5" customHeight="1">
      <c r="A2004" s="85">
        <v>174904221976312</v>
      </c>
      <c r="B2004" s="82" t="s">
        <v>10651</v>
      </c>
      <c r="C2004" s="82" t="s">
        <v>11228</v>
      </c>
      <c r="D2004" s="82" t="s">
        <v>11229</v>
      </c>
      <c r="E2004" s="82">
        <v>6288215032728</v>
      </c>
      <c r="F2004" s="86">
        <v>45853</v>
      </c>
      <c r="G2004" s="87">
        <v>959</v>
      </c>
      <c r="H2004" s="88">
        <v>10956.602031394275</v>
      </c>
      <c r="I2004" s="89">
        <v>20</v>
      </c>
      <c r="J2004" s="90">
        <v>11866</v>
      </c>
      <c r="K2004" s="85">
        <v>1</v>
      </c>
      <c r="L2004" s="85">
        <v>0</v>
      </c>
      <c r="M2004" s="85">
        <v>0</v>
      </c>
      <c r="N2004" s="82" t="s">
        <v>11230</v>
      </c>
      <c r="O2004" s="83"/>
    </row>
    <row r="2005" spans="1:15" ht="22.5" customHeight="1">
      <c r="A2005" s="85">
        <v>174904221976312</v>
      </c>
      <c r="B2005" s="82" t="s">
        <v>10651</v>
      </c>
      <c r="C2005" s="82" t="s">
        <v>11187</v>
      </c>
      <c r="D2005" s="82" t="s">
        <v>1938</v>
      </c>
      <c r="E2005" s="82">
        <v>6285956579758</v>
      </c>
      <c r="F2005" s="86">
        <v>45853</v>
      </c>
      <c r="G2005" s="87">
        <v>200</v>
      </c>
      <c r="H2005" s="88">
        <v>48875</v>
      </c>
      <c r="I2005" s="89">
        <v>8</v>
      </c>
      <c r="J2005" s="90">
        <v>11730</v>
      </c>
      <c r="K2005" s="85">
        <v>1</v>
      </c>
      <c r="L2005" s="85">
        <v>14</v>
      </c>
      <c r="M2005" s="85">
        <v>0</v>
      </c>
      <c r="N2005" s="82" t="s">
        <v>11188</v>
      </c>
      <c r="O2005" s="83"/>
    </row>
    <row r="2006" spans="1:15" ht="22.5" customHeight="1">
      <c r="A2006" s="85">
        <v>174904221976312</v>
      </c>
      <c r="B2006" s="82" t="s">
        <v>10651</v>
      </c>
      <c r="C2006" s="82" t="s">
        <v>11191</v>
      </c>
      <c r="D2006" s="82" t="s">
        <v>1976</v>
      </c>
      <c r="E2006" s="82">
        <v>6282136273086</v>
      </c>
      <c r="F2006" s="86">
        <v>45853</v>
      </c>
      <c r="G2006" s="87">
        <v>190</v>
      </c>
      <c r="H2006" s="88">
        <v>66826.086956521729</v>
      </c>
      <c r="I2006" s="89">
        <v>5</v>
      </c>
      <c r="J2006" s="90">
        <v>13833</v>
      </c>
      <c r="K2006" s="85">
        <v>0</v>
      </c>
      <c r="L2006" s="85">
        <v>47</v>
      </c>
      <c r="M2006" s="85">
        <v>0</v>
      </c>
      <c r="N2006" s="82" t="s">
        <v>11192</v>
      </c>
      <c r="O2006" s="83"/>
    </row>
    <row r="2007" spans="1:15" ht="22.5" customHeight="1">
      <c r="A2007" s="85">
        <v>174904221976312</v>
      </c>
      <c r="B2007" s="82" t="s">
        <v>10651</v>
      </c>
      <c r="C2007" s="82" t="s">
        <v>11196</v>
      </c>
      <c r="D2007" s="82" t="s">
        <v>11197</v>
      </c>
      <c r="E2007" s="82">
        <v>6281412281953</v>
      </c>
      <c r="F2007" s="86">
        <v>45853</v>
      </c>
      <c r="G2007" s="87">
        <v>838</v>
      </c>
      <c r="H2007" s="88">
        <v>12612.284069097888</v>
      </c>
      <c r="I2007" s="89">
        <v>35</v>
      </c>
      <c r="J2007" s="90">
        <v>13142</v>
      </c>
      <c r="K2007" s="85">
        <v>5</v>
      </c>
      <c r="L2007" s="85">
        <v>290</v>
      </c>
      <c r="M2007" s="85">
        <v>2</v>
      </c>
      <c r="N2007" s="82" t="s">
        <v>11198</v>
      </c>
      <c r="O2007" s="83"/>
    </row>
    <row r="2008" spans="1:15" ht="22.5" customHeight="1">
      <c r="A2008" s="85">
        <v>174904221976312</v>
      </c>
      <c r="B2008" s="82" t="s">
        <v>10651</v>
      </c>
      <c r="C2008" s="82" t="s">
        <v>11199</v>
      </c>
      <c r="D2008" s="82" t="s">
        <v>1961</v>
      </c>
      <c r="E2008" s="82">
        <v>6281212295448</v>
      </c>
      <c r="F2008" s="86">
        <v>45853</v>
      </c>
      <c r="G2008" s="87">
        <v>1029</v>
      </c>
      <c r="H2008" s="88">
        <v>10396.939693969398</v>
      </c>
      <c r="I2008" s="89">
        <v>32</v>
      </c>
      <c r="J2008" s="90">
        <v>11551</v>
      </c>
      <c r="K2008" s="85">
        <v>1</v>
      </c>
      <c r="L2008" s="85">
        <v>497</v>
      </c>
      <c r="M2008" s="85">
        <v>0</v>
      </c>
      <c r="N2008" s="82" t="s">
        <v>11200</v>
      </c>
      <c r="O2008" s="83"/>
    </row>
    <row r="2009" spans="1:15" ht="22.5" customHeight="1">
      <c r="A2009" s="85">
        <v>174904221976312</v>
      </c>
      <c r="B2009" s="82" t="s">
        <v>10651</v>
      </c>
      <c r="C2009" s="82" t="s">
        <v>11153</v>
      </c>
      <c r="D2009" s="82" t="s">
        <v>11154</v>
      </c>
      <c r="E2009" s="82">
        <v>6285338137835</v>
      </c>
      <c r="F2009" s="86">
        <v>45853</v>
      </c>
      <c r="G2009" s="87">
        <v>448</v>
      </c>
      <c r="H2009" s="88">
        <v>24066</v>
      </c>
      <c r="I2009" s="89">
        <v>15</v>
      </c>
      <c r="J2009" s="90">
        <v>12033</v>
      </c>
      <c r="K2009" s="85">
        <v>1</v>
      </c>
      <c r="L2009" s="85">
        <v>130</v>
      </c>
      <c r="M2009" s="85">
        <v>0</v>
      </c>
      <c r="N2009" s="82" t="s">
        <v>11155</v>
      </c>
      <c r="O2009" s="83"/>
    </row>
    <row r="2010" spans="1:15" ht="22.5" customHeight="1">
      <c r="A2010" s="85">
        <v>174904221976312</v>
      </c>
      <c r="B2010" s="82" t="s">
        <v>10651</v>
      </c>
      <c r="C2010" s="82" t="s">
        <v>11114</v>
      </c>
      <c r="D2010" s="82" t="s">
        <v>11115</v>
      </c>
      <c r="E2010" s="82">
        <v>6281323910830</v>
      </c>
      <c r="F2010" s="86">
        <v>45853</v>
      </c>
      <c r="G2010" s="87">
        <v>728</v>
      </c>
      <c r="H2010" s="88">
        <v>17615.201900237531</v>
      </c>
      <c r="I2010" s="89">
        <v>30</v>
      </c>
      <c r="J2010" s="90">
        <v>14832</v>
      </c>
      <c r="K2010" s="85">
        <v>0</v>
      </c>
      <c r="L2010" s="85">
        <v>219</v>
      </c>
      <c r="M2010" s="85">
        <v>0</v>
      </c>
      <c r="N2010" s="82" t="s">
        <v>11116</v>
      </c>
      <c r="O2010" s="83"/>
    </row>
    <row r="2011" spans="1:15" ht="22.5" customHeight="1">
      <c r="A2011" s="85">
        <v>174904221976312</v>
      </c>
      <c r="B2011" s="82" t="s">
        <v>10651</v>
      </c>
      <c r="C2011" s="82" t="s">
        <v>11093</v>
      </c>
      <c r="D2011" s="82" t="s">
        <v>11094</v>
      </c>
      <c r="E2011" s="82">
        <v>6282227027805</v>
      </c>
      <c r="F2011" s="86">
        <v>45853</v>
      </c>
      <c r="G2011" s="87">
        <v>466</v>
      </c>
      <c r="H2011" s="88">
        <v>22836.575875486382</v>
      </c>
      <c r="I2011" s="89">
        <v>16</v>
      </c>
      <c r="J2011" s="90">
        <v>11738</v>
      </c>
      <c r="K2011" s="85">
        <v>1</v>
      </c>
      <c r="L2011" s="85">
        <v>3</v>
      </c>
      <c r="M2011" s="85">
        <v>0</v>
      </c>
      <c r="N2011" s="82" t="s">
        <v>11095</v>
      </c>
      <c r="O2011" s="83"/>
    </row>
    <row r="2012" spans="1:15" ht="22.5" customHeight="1">
      <c r="A2012" s="85">
        <v>174904221976312</v>
      </c>
      <c r="B2012" s="82" t="s">
        <v>10651</v>
      </c>
      <c r="C2012" s="82" t="s">
        <v>11096</v>
      </c>
      <c r="D2012" s="82" t="s">
        <v>11097</v>
      </c>
      <c r="E2012" s="82">
        <v>6285727410479</v>
      </c>
      <c r="F2012" s="86">
        <v>45853</v>
      </c>
      <c r="G2012" s="87">
        <v>356</v>
      </c>
      <c r="H2012" s="88">
        <v>34321.342925659475</v>
      </c>
      <c r="I2012" s="89">
        <v>23</v>
      </c>
      <c r="J2012" s="90">
        <v>14312</v>
      </c>
      <c r="K2012" s="85">
        <v>4</v>
      </c>
      <c r="L2012" s="85">
        <v>19</v>
      </c>
      <c r="M2012" s="85">
        <v>0</v>
      </c>
      <c r="N2012" s="82" t="s">
        <v>11167</v>
      </c>
      <c r="O2012" s="83"/>
    </row>
    <row r="2013" spans="1:15" ht="22.5" customHeight="1">
      <c r="A2013" s="85">
        <v>174904221976312</v>
      </c>
      <c r="B2013" s="82" t="s">
        <v>10651</v>
      </c>
      <c r="C2013" s="82" t="s">
        <v>11002</v>
      </c>
      <c r="D2013" s="82" t="s">
        <v>11003</v>
      </c>
      <c r="E2013" s="82">
        <v>6288228976100</v>
      </c>
      <c r="F2013" s="86">
        <v>45853</v>
      </c>
      <c r="G2013" s="87">
        <v>1205</v>
      </c>
      <c r="H2013" s="88">
        <v>9980.5475504322767</v>
      </c>
      <c r="I2013" s="89">
        <v>41</v>
      </c>
      <c r="J2013" s="90">
        <v>13853</v>
      </c>
      <c r="K2013" s="85">
        <v>0</v>
      </c>
      <c r="L2013" s="85">
        <v>0</v>
      </c>
      <c r="M2013" s="85">
        <v>0</v>
      </c>
      <c r="N2013" s="82" t="s">
        <v>11004</v>
      </c>
      <c r="O2013" s="83"/>
    </row>
    <row r="2014" spans="1:15" ht="22.5" customHeight="1">
      <c r="A2014" s="85">
        <v>174904221976312</v>
      </c>
      <c r="B2014" s="82" t="s">
        <v>10651</v>
      </c>
      <c r="C2014" s="82" t="s">
        <v>10853</v>
      </c>
      <c r="D2014" s="82" t="s">
        <v>10854</v>
      </c>
      <c r="E2014" s="82">
        <v>6281393958199</v>
      </c>
      <c r="F2014" s="86">
        <v>45853</v>
      </c>
      <c r="G2014" s="87">
        <v>983</v>
      </c>
      <c r="H2014" s="88">
        <v>10556.255625562557</v>
      </c>
      <c r="I2014" s="89">
        <v>28</v>
      </c>
      <c r="J2014" s="90">
        <v>11728</v>
      </c>
      <c r="K2014" s="85">
        <v>3</v>
      </c>
      <c r="L2014" s="85">
        <v>343</v>
      </c>
      <c r="M2014" s="85">
        <v>1</v>
      </c>
      <c r="N2014" s="82" t="s">
        <v>10855</v>
      </c>
      <c r="O2014" s="83"/>
    </row>
    <row r="2015" spans="1:15" ht="22.5" customHeight="1">
      <c r="A2015" s="85">
        <v>174904221976312</v>
      </c>
      <c r="B2015" s="82" t="s">
        <v>10651</v>
      </c>
      <c r="C2015" s="82" t="s">
        <v>818</v>
      </c>
      <c r="D2015" s="82" t="s">
        <v>812</v>
      </c>
      <c r="E2015" s="82">
        <v>6287858585808</v>
      </c>
      <c r="F2015" s="86">
        <v>45853</v>
      </c>
      <c r="G2015" s="87">
        <v>697</v>
      </c>
      <c r="H2015" s="88">
        <v>16115.825688073393</v>
      </c>
      <c r="I2015" s="89">
        <v>17</v>
      </c>
      <c r="J2015" s="90">
        <v>14053</v>
      </c>
      <c r="K2015" s="85">
        <v>2</v>
      </c>
      <c r="L2015" s="85">
        <v>199</v>
      </c>
      <c r="M2015" s="85">
        <v>0</v>
      </c>
      <c r="N2015" s="82" t="s">
        <v>10831</v>
      </c>
      <c r="O2015" s="83"/>
    </row>
    <row r="2016" spans="1:15" ht="22.5" customHeight="1">
      <c r="A2016" s="85">
        <v>174904221976312</v>
      </c>
      <c r="B2016" s="82" t="s">
        <v>10651</v>
      </c>
      <c r="C2016" s="82" t="s">
        <v>8099</v>
      </c>
      <c r="D2016" s="82" t="s">
        <v>2357</v>
      </c>
      <c r="E2016" s="82">
        <v>6281221788919</v>
      </c>
      <c r="F2016" s="86">
        <v>45853</v>
      </c>
      <c r="G2016" s="87">
        <v>430</v>
      </c>
      <c r="H2016" s="88">
        <v>20409.365558912388</v>
      </c>
      <c r="I2016" s="89">
        <v>18</v>
      </c>
      <c r="J2016" s="90">
        <v>13511</v>
      </c>
      <c r="K2016" s="85">
        <v>1</v>
      </c>
      <c r="L2016" s="85">
        <v>138</v>
      </c>
      <c r="M2016" s="85">
        <v>0</v>
      </c>
      <c r="N2016" s="82" t="s">
        <v>10759</v>
      </c>
      <c r="O2016" s="83"/>
    </row>
    <row r="2017" spans="1:15" ht="22.5" customHeight="1">
      <c r="A2017" s="85">
        <v>174904221976312</v>
      </c>
      <c r="B2017" s="82" t="s">
        <v>10651</v>
      </c>
      <c r="C2017" s="82" t="s">
        <v>10655</v>
      </c>
      <c r="D2017" s="82" t="s">
        <v>3908</v>
      </c>
      <c r="E2017" s="82">
        <v>6285376667233</v>
      </c>
      <c r="F2017" s="86">
        <v>45853</v>
      </c>
      <c r="G2017" s="87">
        <v>1288</v>
      </c>
      <c r="H2017" s="88">
        <v>9693.2862190812721</v>
      </c>
      <c r="I2017" s="89">
        <v>27</v>
      </c>
      <c r="J2017" s="90">
        <v>13716</v>
      </c>
      <c r="K2017" s="85">
        <v>6</v>
      </c>
      <c r="L2017" s="85">
        <v>424</v>
      </c>
      <c r="M2017" s="85">
        <v>0</v>
      </c>
      <c r="N2017" s="82" t="s">
        <v>10656</v>
      </c>
      <c r="O2017" s="83"/>
    </row>
    <row r="2018" spans="1:15" ht="22.5" customHeight="1">
      <c r="A2018" s="85">
        <v>174904221976312</v>
      </c>
      <c r="B2018" s="82" t="s">
        <v>10651</v>
      </c>
      <c r="C2018" s="82" t="s">
        <v>63</v>
      </c>
      <c r="D2018" s="82" t="s">
        <v>55</v>
      </c>
      <c r="E2018" s="82">
        <v>6282226594414</v>
      </c>
      <c r="F2018" s="86">
        <v>45853</v>
      </c>
      <c r="G2018" s="87">
        <v>3708</v>
      </c>
      <c r="H2018" s="88">
        <v>2954.3348775645268</v>
      </c>
      <c r="I2018" s="89">
        <v>203</v>
      </c>
      <c r="J2018" s="90">
        <v>13392</v>
      </c>
      <c r="K2018" s="85">
        <v>22</v>
      </c>
      <c r="L2018" s="85">
        <v>1206</v>
      </c>
      <c r="M2018" s="85">
        <v>5</v>
      </c>
      <c r="N2018" s="82" t="s">
        <v>10661</v>
      </c>
      <c r="O2018" s="83"/>
    </row>
    <row r="2019" spans="1:15" ht="22.5" customHeight="1">
      <c r="A2019" s="85">
        <v>174904221976312</v>
      </c>
      <c r="B2019" s="82" t="s">
        <v>10651</v>
      </c>
      <c r="C2019" s="82" t="s">
        <v>11078</v>
      </c>
      <c r="D2019" s="82" t="s">
        <v>3140</v>
      </c>
      <c r="E2019" s="82"/>
      <c r="F2019" s="86">
        <v>45853</v>
      </c>
      <c r="G2019" s="87">
        <v>4785</v>
      </c>
      <c r="H2019" s="88">
        <v>2432.4715241366844</v>
      </c>
      <c r="I2019" s="89">
        <v>112</v>
      </c>
      <c r="J2019" s="90">
        <v>13454</v>
      </c>
      <c r="K2019" s="85">
        <v>7</v>
      </c>
      <c r="L2019" s="85">
        <v>0</v>
      </c>
      <c r="M2019" s="85">
        <v>0</v>
      </c>
      <c r="N2019" s="82" t="s">
        <v>11079</v>
      </c>
      <c r="O2019" s="83"/>
    </row>
    <row r="2020" spans="1:15" ht="22.5" customHeight="1">
      <c r="A2020" s="85">
        <v>174904221976312</v>
      </c>
      <c r="B2020" s="82" t="s">
        <v>10651</v>
      </c>
      <c r="C2020" s="82" t="s">
        <v>10731</v>
      </c>
      <c r="D2020" s="82" t="s">
        <v>10732</v>
      </c>
      <c r="E2020" s="82">
        <v>6281241440688</v>
      </c>
      <c r="F2020" s="86">
        <v>45853</v>
      </c>
      <c r="G2020" s="87">
        <v>2474</v>
      </c>
      <c r="H2020" s="88">
        <v>5181.2434141201256</v>
      </c>
      <c r="I2020" s="89">
        <v>31</v>
      </c>
      <c r="J2020" s="90">
        <v>14751</v>
      </c>
      <c r="K2020" s="85">
        <v>2</v>
      </c>
      <c r="L2020" s="85">
        <v>382</v>
      </c>
      <c r="M2020" s="85">
        <v>1</v>
      </c>
      <c r="N2020" s="82" t="s">
        <v>10733</v>
      </c>
      <c r="O2020" s="83"/>
    </row>
    <row r="2021" spans="1:15" ht="22.5" customHeight="1">
      <c r="A2021" s="85">
        <v>174904221976312</v>
      </c>
      <c r="B2021" s="82" t="s">
        <v>10651</v>
      </c>
      <c r="C2021" s="82" t="s">
        <v>11168</v>
      </c>
      <c r="D2021" s="82" t="s">
        <v>11169</v>
      </c>
      <c r="E2021" s="82">
        <v>628115424402</v>
      </c>
      <c r="F2021" s="86">
        <v>45853</v>
      </c>
      <c r="G2021" s="87">
        <v>875</v>
      </c>
      <c r="H2021" s="88">
        <v>13939.782823297137</v>
      </c>
      <c r="I2021" s="89">
        <v>61</v>
      </c>
      <c r="J2021" s="90">
        <v>14121</v>
      </c>
      <c r="K2021" s="85">
        <v>4</v>
      </c>
      <c r="L2021" s="85">
        <v>263</v>
      </c>
      <c r="M2021" s="85">
        <v>0</v>
      </c>
      <c r="N2021" s="82" t="s">
        <v>11170</v>
      </c>
      <c r="O2021" s="83"/>
    </row>
    <row r="2022" spans="1:15" ht="22.5" customHeight="1">
      <c r="A2022" s="85">
        <v>174904221976312</v>
      </c>
      <c r="B2022" s="82" t="s">
        <v>10651</v>
      </c>
      <c r="C2022" s="82" t="s">
        <v>10833</v>
      </c>
      <c r="D2022" s="82" t="s">
        <v>10834</v>
      </c>
      <c r="E2022" s="82">
        <v>6282242925264</v>
      </c>
      <c r="F2022" s="86">
        <v>45853</v>
      </c>
      <c r="G2022" s="87">
        <v>2545</v>
      </c>
      <c r="H2022" s="88">
        <v>4795.0505402579302</v>
      </c>
      <c r="I2022" s="89">
        <v>79</v>
      </c>
      <c r="J2022" s="90">
        <v>13757</v>
      </c>
      <c r="K2022" s="85">
        <v>3</v>
      </c>
      <c r="L2022" s="85">
        <v>703</v>
      </c>
      <c r="M2022" s="85">
        <v>1</v>
      </c>
      <c r="N2022" s="82" t="s">
        <v>10835</v>
      </c>
      <c r="O2022" s="83"/>
    </row>
    <row r="2023" spans="1:15" ht="22.5" customHeight="1">
      <c r="A2023" s="85">
        <v>766589657993298</v>
      </c>
      <c r="B2023" s="82" t="s">
        <v>10688</v>
      </c>
      <c r="C2023" s="82" t="s">
        <v>11315</v>
      </c>
      <c r="D2023" s="82" t="s">
        <v>11316</v>
      </c>
      <c r="E2023" s="82"/>
      <c r="F2023" s="86">
        <v>45853</v>
      </c>
      <c r="G2023" s="87">
        <v>418</v>
      </c>
      <c r="H2023" s="88">
        <v>34666.666666666664</v>
      </c>
      <c r="I2023" s="89">
        <v>23</v>
      </c>
      <c r="J2023" s="90">
        <v>16224</v>
      </c>
      <c r="K2023" s="85">
        <v>8</v>
      </c>
      <c r="L2023" s="85">
        <v>134</v>
      </c>
      <c r="M2023" s="85">
        <v>0</v>
      </c>
      <c r="N2023" s="82" t="s">
        <v>11317</v>
      </c>
      <c r="O2023" s="83"/>
    </row>
    <row r="2024" spans="1:15" ht="22.5" customHeight="1">
      <c r="A2024" s="85">
        <v>766589657993298</v>
      </c>
      <c r="B2024" s="82" t="s">
        <v>10688</v>
      </c>
      <c r="C2024" s="82" t="s">
        <v>11318</v>
      </c>
      <c r="D2024" s="82" t="s">
        <v>11319</v>
      </c>
      <c r="E2024" s="82"/>
      <c r="F2024" s="86">
        <v>45853</v>
      </c>
      <c r="G2024" s="87">
        <v>526</v>
      </c>
      <c r="H2024" s="88">
        <v>22717.703349282296</v>
      </c>
      <c r="I2024" s="89">
        <v>17</v>
      </c>
      <c r="J2024" s="90">
        <v>14244</v>
      </c>
      <c r="K2024" s="85">
        <v>0</v>
      </c>
      <c r="L2024" s="85">
        <v>137</v>
      </c>
      <c r="M2024" s="85">
        <v>4</v>
      </c>
      <c r="N2024" s="82" t="s">
        <v>11320</v>
      </c>
      <c r="O2024" s="83"/>
    </row>
    <row r="2025" spans="1:15" ht="22.5" customHeight="1">
      <c r="A2025" s="85">
        <v>766589657993298</v>
      </c>
      <c r="B2025" s="82" t="s">
        <v>10688</v>
      </c>
      <c r="C2025" s="82" t="s">
        <v>11296</v>
      </c>
      <c r="D2025" s="82" t="s">
        <v>10798</v>
      </c>
      <c r="E2025" s="82">
        <v>6285853370682</v>
      </c>
      <c r="F2025" s="86">
        <v>45853</v>
      </c>
      <c r="G2025" s="87">
        <v>956</v>
      </c>
      <c r="H2025" s="88">
        <v>15841.915085817525</v>
      </c>
      <c r="I2025" s="89">
        <v>30</v>
      </c>
      <c r="J2025" s="90">
        <v>17537</v>
      </c>
      <c r="K2025" s="85">
        <v>1</v>
      </c>
      <c r="L2025" s="85">
        <v>106</v>
      </c>
      <c r="M2025" s="85">
        <v>0</v>
      </c>
      <c r="N2025" s="82" t="s">
        <v>11297</v>
      </c>
      <c r="O2025" s="83"/>
    </row>
    <row r="2026" spans="1:15" ht="22.5" customHeight="1">
      <c r="A2026" s="85">
        <v>766589657993298</v>
      </c>
      <c r="B2026" s="82" t="s">
        <v>10688</v>
      </c>
      <c r="C2026" s="82" t="s">
        <v>11298</v>
      </c>
      <c r="D2026" s="82" t="s">
        <v>10699</v>
      </c>
      <c r="E2026" s="82">
        <v>62812</v>
      </c>
      <c r="F2026" s="86">
        <v>45853</v>
      </c>
      <c r="G2026" s="87">
        <v>384</v>
      </c>
      <c r="H2026" s="88">
        <v>39233.944954128441</v>
      </c>
      <c r="I2026" s="89">
        <v>11</v>
      </c>
      <c r="J2026" s="90">
        <v>17106</v>
      </c>
      <c r="K2026" s="85">
        <v>3</v>
      </c>
      <c r="L2026" s="85">
        <v>13</v>
      </c>
      <c r="M2026" s="85">
        <v>0</v>
      </c>
      <c r="N2026" s="82" t="s">
        <v>11299</v>
      </c>
      <c r="O2026" s="83"/>
    </row>
    <row r="2027" spans="1:15" ht="22.5" customHeight="1">
      <c r="A2027" s="85">
        <v>766589657993298</v>
      </c>
      <c r="B2027" s="82" t="s">
        <v>10688</v>
      </c>
      <c r="C2027" s="82" t="s">
        <v>11300</v>
      </c>
      <c r="D2027" s="82" t="s">
        <v>2223</v>
      </c>
      <c r="E2027" s="82">
        <v>6282111000133</v>
      </c>
      <c r="F2027" s="86">
        <v>45853</v>
      </c>
      <c r="G2027" s="87">
        <v>509</v>
      </c>
      <c r="H2027" s="88">
        <v>25293.823038397328</v>
      </c>
      <c r="I2027" s="89">
        <v>13</v>
      </c>
      <c r="J2027" s="90">
        <v>15151</v>
      </c>
      <c r="K2027" s="85">
        <v>5</v>
      </c>
      <c r="L2027" s="85">
        <v>27</v>
      </c>
      <c r="M2027" s="85">
        <v>0</v>
      </c>
      <c r="N2027" s="82" t="s">
        <v>11301</v>
      </c>
      <c r="O2027" s="83"/>
    </row>
    <row r="2028" spans="1:15" ht="22.5" customHeight="1">
      <c r="A2028" s="85">
        <v>766589657993298</v>
      </c>
      <c r="B2028" s="82" t="s">
        <v>10688</v>
      </c>
      <c r="C2028" s="82" t="s">
        <v>11302</v>
      </c>
      <c r="D2028" s="82" t="s">
        <v>11303</v>
      </c>
      <c r="E2028" s="82">
        <v>6285814054475</v>
      </c>
      <c r="F2028" s="86">
        <v>45853</v>
      </c>
      <c r="G2028" s="87">
        <v>1489</v>
      </c>
      <c r="H2028" s="88">
        <v>8394.21531869309</v>
      </c>
      <c r="I2028" s="89">
        <v>58</v>
      </c>
      <c r="J2028" s="90">
        <v>15672</v>
      </c>
      <c r="K2028" s="85">
        <v>18</v>
      </c>
      <c r="L2028" s="85">
        <v>466</v>
      </c>
      <c r="M2028" s="85">
        <v>1</v>
      </c>
      <c r="N2028" s="82" t="s">
        <v>11304</v>
      </c>
      <c r="O2028" s="83"/>
    </row>
    <row r="2029" spans="1:15" ht="22.5" customHeight="1">
      <c r="A2029" s="85">
        <v>766589657993298</v>
      </c>
      <c r="B2029" s="82" t="s">
        <v>10688</v>
      </c>
      <c r="C2029" s="82" t="s">
        <v>11259</v>
      </c>
      <c r="D2029" s="82" t="s">
        <v>11260</v>
      </c>
      <c r="E2029" s="82">
        <v>6281310204991</v>
      </c>
      <c r="F2029" s="86">
        <v>45853</v>
      </c>
      <c r="G2029" s="87">
        <v>259</v>
      </c>
      <c r="H2029" s="88">
        <v>59225.255972696243</v>
      </c>
      <c r="I2029" s="89">
        <v>8</v>
      </c>
      <c r="J2029" s="90">
        <v>17353</v>
      </c>
      <c r="K2029" s="85">
        <v>2</v>
      </c>
      <c r="L2029" s="85">
        <v>116</v>
      </c>
      <c r="M2029" s="85">
        <v>0</v>
      </c>
      <c r="N2029" s="82" t="s">
        <v>11261</v>
      </c>
      <c r="O2029" s="83"/>
    </row>
    <row r="2030" spans="1:15" ht="22.5" customHeight="1">
      <c r="A2030" s="85">
        <v>766589657993298</v>
      </c>
      <c r="B2030" s="82" t="s">
        <v>10688</v>
      </c>
      <c r="C2030" s="82" t="s">
        <v>11262</v>
      </c>
      <c r="D2030" s="82" t="s">
        <v>350</v>
      </c>
      <c r="E2030" s="82">
        <v>6281394618785</v>
      </c>
      <c r="F2030" s="86">
        <v>45853</v>
      </c>
      <c r="G2030" s="87">
        <v>619</v>
      </c>
      <c r="H2030" s="88">
        <v>22894.002789400278</v>
      </c>
      <c r="I2030" s="89">
        <v>14</v>
      </c>
      <c r="J2030" s="90">
        <v>16415</v>
      </c>
      <c r="K2030" s="85">
        <v>2</v>
      </c>
      <c r="L2030" s="85">
        <v>183</v>
      </c>
      <c r="M2030" s="85">
        <v>0</v>
      </c>
      <c r="N2030" s="82" t="s">
        <v>11263</v>
      </c>
      <c r="O2030" s="83"/>
    </row>
    <row r="2031" spans="1:15" ht="22.5" customHeight="1">
      <c r="A2031" s="85">
        <v>766589657993298</v>
      </c>
      <c r="B2031" s="82" t="s">
        <v>10688</v>
      </c>
      <c r="C2031" s="82" t="s">
        <v>11264</v>
      </c>
      <c r="D2031" s="91" t="s">
        <v>1915</v>
      </c>
      <c r="E2031" s="82">
        <v>6281239874761</v>
      </c>
      <c r="F2031" s="86">
        <v>45853</v>
      </c>
      <c r="G2031" s="87">
        <v>365</v>
      </c>
      <c r="H2031" s="88">
        <v>35888.15789473684</v>
      </c>
      <c r="I2031" s="89">
        <v>16</v>
      </c>
      <c r="J2031" s="90">
        <v>16365</v>
      </c>
      <c r="K2031" s="85">
        <v>2</v>
      </c>
      <c r="L2031" s="85">
        <v>46</v>
      </c>
      <c r="M2031" s="85">
        <v>0</v>
      </c>
      <c r="N2031" s="82" t="s">
        <v>11265</v>
      </c>
      <c r="O2031" s="83"/>
    </row>
    <row r="2032" spans="1:15" ht="22.5" customHeight="1">
      <c r="A2032" s="85">
        <v>766589657993298</v>
      </c>
      <c r="B2032" s="82" t="s">
        <v>10688</v>
      </c>
      <c r="C2032" s="82" t="s">
        <v>11239</v>
      </c>
      <c r="D2032" s="82" t="s">
        <v>11240</v>
      </c>
      <c r="E2032" s="82">
        <v>6281213766426</v>
      </c>
      <c r="F2032" s="86">
        <v>45853</v>
      </c>
      <c r="G2032" s="87">
        <v>245</v>
      </c>
      <c r="H2032" s="88">
        <v>61098.939929328626</v>
      </c>
      <c r="I2032" s="89">
        <v>10</v>
      </c>
      <c r="J2032" s="90">
        <v>17291</v>
      </c>
      <c r="K2032" s="85">
        <v>4</v>
      </c>
      <c r="L2032" s="85">
        <v>19</v>
      </c>
      <c r="M2032" s="85">
        <v>1</v>
      </c>
      <c r="N2032" s="82" t="s">
        <v>11241</v>
      </c>
      <c r="O2032" s="83"/>
    </row>
    <row r="2033" spans="1:15" ht="22.5" customHeight="1">
      <c r="A2033" s="85">
        <v>766589657993298</v>
      </c>
      <c r="B2033" s="82" t="s">
        <v>10688</v>
      </c>
      <c r="C2033" s="82" t="s">
        <v>11201</v>
      </c>
      <c r="D2033" s="82" t="s">
        <v>11202</v>
      </c>
      <c r="E2033" s="82"/>
      <c r="F2033" s="86">
        <v>45853</v>
      </c>
      <c r="G2033" s="87">
        <v>1184</v>
      </c>
      <c r="H2033" s="88">
        <v>15246.227164416203</v>
      </c>
      <c r="I2033" s="89">
        <v>24</v>
      </c>
      <c r="J2033" s="90">
        <v>19195</v>
      </c>
      <c r="K2033" s="85">
        <v>0</v>
      </c>
      <c r="L2033" s="85">
        <v>0</v>
      </c>
      <c r="M2033" s="85">
        <v>0</v>
      </c>
      <c r="N2033" s="82" t="s">
        <v>11305</v>
      </c>
      <c r="O2033" s="83"/>
    </row>
    <row r="2034" spans="1:15" ht="22.5" customHeight="1">
      <c r="A2034" s="85">
        <v>766589657993298</v>
      </c>
      <c r="B2034" s="82" t="s">
        <v>10688</v>
      </c>
      <c r="C2034" s="82" t="s">
        <v>11204</v>
      </c>
      <c r="D2034" s="82" t="s">
        <v>11205</v>
      </c>
      <c r="E2034" s="82">
        <v>628112999165</v>
      </c>
      <c r="F2034" s="86">
        <v>45853</v>
      </c>
      <c r="G2034" s="87">
        <v>322</v>
      </c>
      <c r="H2034" s="88">
        <v>40031.914893617024</v>
      </c>
      <c r="I2034" s="89">
        <v>3</v>
      </c>
      <c r="J2034" s="90">
        <v>15052</v>
      </c>
      <c r="K2034" s="85">
        <v>0</v>
      </c>
      <c r="L2034" s="85">
        <v>60</v>
      </c>
      <c r="M2034" s="85">
        <v>0</v>
      </c>
      <c r="N2034" s="82" t="s">
        <v>11206</v>
      </c>
      <c r="O2034" s="83"/>
    </row>
    <row r="2035" spans="1:15" ht="22.5" customHeight="1">
      <c r="A2035" s="85">
        <v>766589657993298</v>
      </c>
      <c r="B2035" s="82" t="s">
        <v>10688</v>
      </c>
      <c r="C2035" s="82" t="s">
        <v>11207</v>
      </c>
      <c r="D2035" s="82" t="s">
        <v>11208</v>
      </c>
      <c r="E2035" s="82">
        <v>6282111180648</v>
      </c>
      <c r="F2035" s="86">
        <v>45853</v>
      </c>
      <c r="G2035" s="87">
        <v>448</v>
      </c>
      <c r="H2035" s="88">
        <v>27205.273069679846</v>
      </c>
      <c r="I2035" s="89">
        <v>20</v>
      </c>
      <c r="J2035" s="90">
        <v>14446</v>
      </c>
      <c r="K2035" s="85">
        <v>2</v>
      </c>
      <c r="L2035" s="85">
        <v>5</v>
      </c>
      <c r="M2035" s="85">
        <v>0</v>
      </c>
      <c r="N2035" s="82" t="s">
        <v>11209</v>
      </c>
      <c r="O2035" s="83"/>
    </row>
    <row r="2036" spans="1:15" ht="22.5" customHeight="1">
      <c r="A2036" s="85">
        <v>766589657993298</v>
      </c>
      <c r="B2036" s="82" t="s">
        <v>10688</v>
      </c>
      <c r="C2036" s="82" t="s">
        <v>11174</v>
      </c>
      <c r="D2036" s="82" t="s">
        <v>11175</v>
      </c>
      <c r="E2036" s="82">
        <v>6282184019830</v>
      </c>
      <c r="F2036" s="86">
        <v>45853</v>
      </c>
      <c r="G2036" s="87">
        <v>456</v>
      </c>
      <c r="H2036" s="88">
        <v>29556.910569105694</v>
      </c>
      <c r="I2036" s="89">
        <v>10</v>
      </c>
      <c r="J2036" s="90">
        <v>14542</v>
      </c>
      <c r="K2036" s="85">
        <v>1</v>
      </c>
      <c r="L2036" s="85">
        <v>137</v>
      </c>
      <c r="M2036" s="85">
        <v>0</v>
      </c>
      <c r="N2036" s="82" t="s">
        <v>11176</v>
      </c>
      <c r="O2036" s="83"/>
    </row>
    <row r="2037" spans="1:15" ht="22.5" customHeight="1">
      <c r="A2037" s="85">
        <v>766589657993298</v>
      </c>
      <c r="B2037" s="82" t="s">
        <v>10688</v>
      </c>
      <c r="C2037" s="82" t="s">
        <v>11103</v>
      </c>
      <c r="D2037" s="82" t="s">
        <v>11104</v>
      </c>
      <c r="E2037" s="82">
        <v>6282124027899</v>
      </c>
      <c r="F2037" s="86">
        <v>45853</v>
      </c>
      <c r="G2037" s="87">
        <v>1478</v>
      </c>
      <c r="H2037" s="88">
        <v>9096.3006459189655</v>
      </c>
      <c r="I2037" s="89">
        <v>28</v>
      </c>
      <c r="J2037" s="90">
        <v>15491</v>
      </c>
      <c r="K2037" s="85">
        <v>1</v>
      </c>
      <c r="L2037" s="85">
        <v>333</v>
      </c>
      <c r="M2037" s="85">
        <v>0</v>
      </c>
      <c r="N2037" s="82" t="s">
        <v>11105</v>
      </c>
      <c r="O2037" s="83"/>
    </row>
    <row r="2038" spans="1:15" ht="22.5" customHeight="1">
      <c r="A2038" s="85">
        <v>766589657993298</v>
      </c>
      <c r="B2038" s="82" t="s">
        <v>10688</v>
      </c>
      <c r="C2038" s="82" t="s">
        <v>11026</v>
      </c>
      <c r="D2038" s="82" t="s">
        <v>1172</v>
      </c>
      <c r="E2038" s="82">
        <v>6285950836788</v>
      </c>
      <c r="F2038" s="86">
        <v>45853</v>
      </c>
      <c r="G2038" s="87">
        <v>567</v>
      </c>
      <c r="H2038" s="88">
        <v>26818.035426731079</v>
      </c>
      <c r="I2038" s="89">
        <v>9</v>
      </c>
      <c r="J2038" s="90">
        <v>16654</v>
      </c>
      <c r="K2038" s="85">
        <v>1</v>
      </c>
      <c r="L2038" s="85">
        <v>187</v>
      </c>
      <c r="M2038" s="85">
        <v>0</v>
      </c>
      <c r="N2038" s="82" t="s">
        <v>11027</v>
      </c>
      <c r="O2038" s="83"/>
    </row>
    <row r="2039" spans="1:15" ht="22.5" customHeight="1">
      <c r="A2039" s="85">
        <v>766589657993298</v>
      </c>
      <c r="B2039" s="82" t="s">
        <v>10688</v>
      </c>
      <c r="C2039" s="82" t="s">
        <v>11028</v>
      </c>
      <c r="D2039" s="82" t="s">
        <v>11029</v>
      </c>
      <c r="E2039" s="82">
        <v>6282338171577</v>
      </c>
      <c r="F2039" s="86">
        <v>45853</v>
      </c>
      <c r="G2039" s="87">
        <v>840</v>
      </c>
      <c r="H2039" s="88">
        <v>15833.663366336634</v>
      </c>
      <c r="I2039" s="89">
        <v>41</v>
      </c>
      <c r="J2039" s="90">
        <v>15992</v>
      </c>
      <c r="K2039" s="85">
        <v>6</v>
      </c>
      <c r="L2039" s="85">
        <v>340</v>
      </c>
      <c r="M2039" s="85">
        <v>0</v>
      </c>
      <c r="N2039" s="82" t="s">
        <v>11030</v>
      </c>
      <c r="O2039" s="83"/>
    </row>
    <row r="2040" spans="1:15" ht="22.5" customHeight="1">
      <c r="A2040" s="85">
        <v>766589657993298</v>
      </c>
      <c r="B2040" s="82" t="s">
        <v>10688</v>
      </c>
      <c r="C2040" s="82" t="s">
        <v>10885</v>
      </c>
      <c r="D2040" s="82" t="s">
        <v>906</v>
      </c>
      <c r="E2040" s="82">
        <v>6282183115806</v>
      </c>
      <c r="F2040" s="86">
        <v>45853</v>
      </c>
      <c r="G2040" s="87">
        <v>751</v>
      </c>
      <c r="H2040" s="88">
        <v>18624.113475177302</v>
      </c>
      <c r="I2040" s="89">
        <v>29</v>
      </c>
      <c r="J2040" s="90">
        <v>15756</v>
      </c>
      <c r="K2040" s="85">
        <v>5</v>
      </c>
      <c r="L2040" s="85">
        <v>356</v>
      </c>
      <c r="M2040" s="85">
        <v>2</v>
      </c>
      <c r="N2040" s="82" t="s">
        <v>10886</v>
      </c>
      <c r="O2040" s="83"/>
    </row>
    <row r="2041" spans="1:15" ht="22.5" customHeight="1">
      <c r="A2041" s="85">
        <v>766589657993298</v>
      </c>
      <c r="B2041" s="82" t="s">
        <v>10688</v>
      </c>
      <c r="C2041" s="82" t="s">
        <v>10879</v>
      </c>
      <c r="D2041" s="82" t="s">
        <v>10880</v>
      </c>
      <c r="E2041" s="82">
        <v>6281215851833</v>
      </c>
      <c r="F2041" s="86">
        <v>45853</v>
      </c>
      <c r="G2041" s="87">
        <v>436</v>
      </c>
      <c r="H2041" s="88">
        <v>32218.75</v>
      </c>
      <c r="I2041" s="89">
        <v>25</v>
      </c>
      <c r="J2041" s="90">
        <v>16496</v>
      </c>
      <c r="K2041" s="85">
        <v>5</v>
      </c>
      <c r="L2041" s="85">
        <v>0</v>
      </c>
      <c r="M2041" s="85">
        <v>0</v>
      </c>
      <c r="N2041" s="82" t="s">
        <v>10881</v>
      </c>
      <c r="O2041" s="83"/>
    </row>
    <row r="2042" spans="1:15" ht="22.5" customHeight="1">
      <c r="A2042" s="85">
        <v>766589657993298</v>
      </c>
      <c r="B2042" s="82" t="s">
        <v>10688</v>
      </c>
      <c r="C2042" s="82" t="s">
        <v>10762</v>
      </c>
      <c r="D2042" s="82" t="s">
        <v>10763</v>
      </c>
      <c r="E2042" s="82">
        <v>6285210107607</v>
      </c>
      <c r="F2042" s="86">
        <v>45853</v>
      </c>
      <c r="G2042" s="87">
        <v>958</v>
      </c>
      <c r="H2042" s="88">
        <v>15042.735042735043</v>
      </c>
      <c r="I2042" s="89">
        <v>14</v>
      </c>
      <c r="J2042" s="90">
        <v>15840</v>
      </c>
      <c r="K2042" s="85">
        <v>0</v>
      </c>
      <c r="L2042" s="85">
        <v>247</v>
      </c>
      <c r="M2042" s="85">
        <v>0</v>
      </c>
      <c r="N2042" s="82" t="s">
        <v>10764</v>
      </c>
      <c r="O2042" s="83"/>
    </row>
    <row r="2043" spans="1:15" ht="22.5" customHeight="1">
      <c r="A2043" s="85">
        <v>766589657993298</v>
      </c>
      <c r="B2043" s="82" t="s">
        <v>10688</v>
      </c>
      <c r="C2043" s="82" t="s">
        <v>10795</v>
      </c>
      <c r="D2043" s="82" t="s">
        <v>551</v>
      </c>
      <c r="E2043" s="82">
        <v>6285747906282</v>
      </c>
      <c r="F2043" s="86">
        <v>45853</v>
      </c>
      <c r="G2043" s="87">
        <v>438</v>
      </c>
      <c r="H2043" s="88">
        <v>30582.463465553235</v>
      </c>
      <c r="I2043" s="89">
        <v>15</v>
      </c>
      <c r="J2043" s="90">
        <v>14649</v>
      </c>
      <c r="K2043" s="85">
        <v>2</v>
      </c>
      <c r="L2043" s="85">
        <v>202</v>
      </c>
      <c r="M2043" s="85">
        <v>0</v>
      </c>
      <c r="N2043" s="82" t="s">
        <v>10796</v>
      </c>
      <c r="O2043" s="83"/>
    </row>
    <row r="2044" spans="1:15" ht="22.5" customHeight="1">
      <c r="A2044" s="85">
        <v>766589657993298</v>
      </c>
      <c r="B2044" s="82" t="s">
        <v>10688</v>
      </c>
      <c r="C2044" s="82" t="s">
        <v>10767</v>
      </c>
      <c r="D2044" s="82" t="s">
        <v>10768</v>
      </c>
      <c r="E2044" s="82">
        <v>6281519225886</v>
      </c>
      <c r="F2044" s="86">
        <v>45853</v>
      </c>
      <c r="G2044" s="87">
        <v>530</v>
      </c>
      <c r="H2044" s="88">
        <v>23990.639625585023</v>
      </c>
      <c r="I2044" s="89">
        <v>18</v>
      </c>
      <c r="J2044" s="90">
        <v>15378</v>
      </c>
      <c r="K2044" s="85">
        <v>4</v>
      </c>
      <c r="L2044" s="85">
        <v>22</v>
      </c>
      <c r="M2044" s="85">
        <v>0</v>
      </c>
      <c r="N2044" s="82" t="s">
        <v>10769</v>
      </c>
      <c r="O2044" s="83"/>
    </row>
    <row r="2045" spans="1:15" ht="22.5" customHeight="1">
      <c r="A2045" s="85">
        <v>766589657993298</v>
      </c>
      <c r="B2045" s="82" t="s">
        <v>10688</v>
      </c>
      <c r="C2045" s="82" t="s">
        <v>10797</v>
      </c>
      <c r="D2045" s="82" t="s">
        <v>10798</v>
      </c>
      <c r="E2045" s="82">
        <v>6285853370682</v>
      </c>
      <c r="F2045" s="86">
        <v>45853</v>
      </c>
      <c r="G2045" s="87">
        <v>642</v>
      </c>
      <c r="H2045" s="88">
        <v>20842.666666666668</v>
      </c>
      <c r="I2045" s="89">
        <v>15</v>
      </c>
      <c r="J2045" s="90">
        <v>15632</v>
      </c>
      <c r="K2045" s="85">
        <v>0</v>
      </c>
      <c r="L2045" s="85">
        <v>242</v>
      </c>
      <c r="M2045" s="85">
        <v>0</v>
      </c>
      <c r="N2045" s="82" t="s">
        <v>10799</v>
      </c>
      <c r="O2045" s="83"/>
    </row>
    <row r="2046" spans="1:15" ht="22.5" customHeight="1">
      <c r="A2046" s="85">
        <v>766589657993298</v>
      </c>
      <c r="B2046" s="82" t="s">
        <v>10688</v>
      </c>
      <c r="C2046" s="82" t="s">
        <v>10800</v>
      </c>
      <c r="D2046" s="82" t="s">
        <v>472</v>
      </c>
      <c r="E2046" s="82">
        <v>628114170888</v>
      </c>
      <c r="F2046" s="86">
        <v>45853</v>
      </c>
      <c r="G2046" s="87">
        <v>450</v>
      </c>
      <c r="H2046" s="88">
        <v>29560.693641618494</v>
      </c>
      <c r="I2046" s="89">
        <v>14</v>
      </c>
      <c r="J2046" s="90">
        <v>15342</v>
      </c>
      <c r="K2046" s="85">
        <v>0</v>
      </c>
      <c r="L2046" s="85">
        <v>114</v>
      </c>
      <c r="M2046" s="85">
        <v>0</v>
      </c>
      <c r="N2046" s="82" t="s">
        <v>10801</v>
      </c>
      <c r="O2046" s="83"/>
    </row>
    <row r="2047" spans="1:15" ht="22.5" customHeight="1">
      <c r="A2047" s="85">
        <v>766589657993298</v>
      </c>
      <c r="B2047" s="82" t="s">
        <v>10688</v>
      </c>
      <c r="C2047" s="82" t="s">
        <v>10746</v>
      </c>
      <c r="D2047" s="82" t="s">
        <v>10747</v>
      </c>
      <c r="E2047" s="82">
        <v>6281222110766</v>
      </c>
      <c r="F2047" s="86">
        <v>45853</v>
      </c>
      <c r="G2047" s="87">
        <v>340</v>
      </c>
      <c r="H2047" s="88">
        <v>41140.992167101831</v>
      </c>
      <c r="I2047" s="89">
        <v>12</v>
      </c>
      <c r="J2047" s="90">
        <v>15757</v>
      </c>
      <c r="K2047" s="85">
        <v>0</v>
      </c>
      <c r="L2047" s="85">
        <v>221</v>
      </c>
      <c r="M2047" s="85">
        <v>0</v>
      </c>
      <c r="N2047" s="82" t="s">
        <v>10748</v>
      </c>
      <c r="O2047" s="83"/>
    </row>
    <row r="2048" spans="1:15" ht="22.5" customHeight="1">
      <c r="A2048" s="85">
        <v>206726568613432</v>
      </c>
      <c r="B2048" s="82" t="s">
        <v>10900</v>
      </c>
      <c r="C2048" s="82" t="s">
        <v>11085</v>
      </c>
      <c r="D2048" s="82" t="s">
        <v>10902</v>
      </c>
      <c r="E2048" s="82">
        <v>6282194694492</v>
      </c>
      <c r="F2048" s="86">
        <v>45853</v>
      </c>
      <c r="G2048" s="87">
        <v>396</v>
      </c>
      <c r="H2048" s="88">
        <v>28908.902691511386</v>
      </c>
      <c r="I2048" s="89">
        <v>28</v>
      </c>
      <c r="J2048" s="90">
        <v>13963</v>
      </c>
      <c r="K2048" s="85">
        <v>6</v>
      </c>
      <c r="L2048" s="85">
        <v>139</v>
      </c>
      <c r="M2048" s="85">
        <v>0</v>
      </c>
      <c r="N2048" s="82" t="s">
        <v>11086</v>
      </c>
      <c r="O2048" s="83"/>
    </row>
    <row r="2049" spans="1:15" ht="22.5" customHeight="1">
      <c r="A2049" s="85">
        <v>206726568613432</v>
      </c>
      <c r="B2049" s="82" t="s">
        <v>10900</v>
      </c>
      <c r="C2049" s="82" t="s">
        <v>11031</v>
      </c>
      <c r="D2049" s="82" t="s">
        <v>11032</v>
      </c>
      <c r="E2049" s="82">
        <v>6285668750416</v>
      </c>
      <c r="F2049" s="86">
        <v>45853</v>
      </c>
      <c r="G2049" s="87">
        <v>1275</v>
      </c>
      <c r="H2049" s="88">
        <v>9856.7355666429066</v>
      </c>
      <c r="I2049" s="89">
        <v>31</v>
      </c>
      <c r="J2049" s="90">
        <v>13829</v>
      </c>
      <c r="K2049" s="85">
        <v>4</v>
      </c>
      <c r="L2049" s="85">
        <v>536</v>
      </c>
      <c r="M2049" s="85">
        <v>0</v>
      </c>
      <c r="N2049" s="82" t="s">
        <v>11033</v>
      </c>
      <c r="O2049" s="83"/>
    </row>
    <row r="2050" spans="1:15" ht="22.5" customHeight="1">
      <c r="A2050" s="85">
        <v>759724529202804</v>
      </c>
      <c r="B2050" s="82" t="s">
        <v>10621</v>
      </c>
      <c r="C2050" s="82" t="s">
        <v>11321</v>
      </c>
      <c r="D2050" s="82" t="s">
        <v>2240</v>
      </c>
      <c r="E2050" s="82"/>
      <c r="F2050" s="86">
        <v>45854</v>
      </c>
      <c r="G2050" s="87">
        <v>105</v>
      </c>
      <c r="H2050" s="88">
        <v>10092.436974789916</v>
      </c>
      <c r="I2050" s="89">
        <v>13</v>
      </c>
      <c r="J2050" s="90">
        <v>1201</v>
      </c>
      <c r="K2050" s="85">
        <v>0</v>
      </c>
      <c r="L2050" s="85">
        <v>75</v>
      </c>
      <c r="M2050" s="85">
        <v>0</v>
      </c>
      <c r="N2050" s="82" t="s">
        <v>11322</v>
      </c>
      <c r="O2050" s="83"/>
    </row>
    <row r="2051" spans="1:15" ht="22.5" customHeight="1">
      <c r="A2051" s="85">
        <v>759724529202804</v>
      </c>
      <c r="B2051" s="82" t="s">
        <v>10621</v>
      </c>
      <c r="C2051" s="82" t="s">
        <v>11323</v>
      </c>
      <c r="D2051" s="82" t="s">
        <v>2317</v>
      </c>
      <c r="E2051" s="82"/>
      <c r="F2051" s="86">
        <v>45854</v>
      </c>
      <c r="G2051" s="87">
        <v>40</v>
      </c>
      <c r="H2051" s="88">
        <v>32288.888888888891</v>
      </c>
      <c r="I2051" s="89">
        <v>4</v>
      </c>
      <c r="J2051" s="90">
        <v>1453</v>
      </c>
      <c r="K2051" s="85">
        <v>1</v>
      </c>
      <c r="L2051" s="85">
        <v>0</v>
      </c>
      <c r="M2051" s="85">
        <v>0</v>
      </c>
      <c r="N2051" s="82" t="s">
        <v>11324</v>
      </c>
      <c r="O2051" s="83"/>
    </row>
    <row r="2052" spans="1:15" ht="22.5" customHeight="1">
      <c r="A2052" s="85">
        <v>759724529202804</v>
      </c>
      <c r="B2052" s="82" t="s">
        <v>10621</v>
      </c>
      <c r="C2052" s="82" t="s">
        <v>11306</v>
      </c>
      <c r="D2052" s="82" t="s">
        <v>11307</v>
      </c>
      <c r="E2052" s="82">
        <v>6282258462258</v>
      </c>
      <c r="F2052" s="86">
        <v>45854</v>
      </c>
      <c r="G2052" s="87">
        <v>785</v>
      </c>
      <c r="H2052" s="88">
        <v>14536.608863198458</v>
      </c>
      <c r="I2052" s="89">
        <v>34</v>
      </c>
      <c r="J2052" s="90">
        <v>15089</v>
      </c>
      <c r="K2052" s="85">
        <v>6</v>
      </c>
      <c r="L2052" s="85">
        <v>216</v>
      </c>
      <c r="M2052" s="85">
        <v>0</v>
      </c>
      <c r="N2052" s="82" t="s">
        <v>11308</v>
      </c>
      <c r="O2052" s="83"/>
    </row>
    <row r="2053" spans="1:15" ht="22.5" customHeight="1">
      <c r="A2053" s="85">
        <v>759724529202804</v>
      </c>
      <c r="B2053" s="82" t="s">
        <v>10621</v>
      </c>
      <c r="C2053" s="82" t="s">
        <v>11266</v>
      </c>
      <c r="D2053" s="82" t="s">
        <v>11267</v>
      </c>
      <c r="E2053" s="82">
        <v>6281904501876</v>
      </c>
      <c r="F2053" s="86">
        <v>45854</v>
      </c>
      <c r="G2053" s="87">
        <v>1051</v>
      </c>
      <c r="H2053" s="88">
        <v>11996.028594122321</v>
      </c>
      <c r="I2053" s="89">
        <v>29</v>
      </c>
      <c r="J2053" s="90">
        <v>15103</v>
      </c>
      <c r="K2053" s="85">
        <v>5</v>
      </c>
      <c r="L2053" s="85">
        <v>0</v>
      </c>
      <c r="M2053" s="85">
        <v>0</v>
      </c>
      <c r="N2053" s="82" t="s">
        <v>11268</v>
      </c>
      <c r="O2053" s="83"/>
    </row>
    <row r="2054" spans="1:15" ht="22.5" customHeight="1">
      <c r="A2054" s="85">
        <v>759724529202804</v>
      </c>
      <c r="B2054" s="82" t="s">
        <v>10621</v>
      </c>
      <c r="C2054" s="82" t="s">
        <v>11070</v>
      </c>
      <c r="D2054" s="82" t="s">
        <v>11071</v>
      </c>
      <c r="E2054" s="82">
        <v>6281246211381</v>
      </c>
      <c r="F2054" s="86">
        <v>45854</v>
      </c>
      <c r="G2054" s="87">
        <v>734</v>
      </c>
      <c r="H2054" s="88">
        <v>18167.067307692305</v>
      </c>
      <c r="I2054" s="89">
        <v>20</v>
      </c>
      <c r="J2054" s="90">
        <v>15115</v>
      </c>
      <c r="K2054" s="85">
        <v>1</v>
      </c>
      <c r="L2054" s="85">
        <v>8</v>
      </c>
      <c r="M2054" s="85">
        <v>0</v>
      </c>
      <c r="N2054" s="82" t="s">
        <v>11072</v>
      </c>
      <c r="O2054" s="83"/>
    </row>
    <row r="2055" spans="1:15" ht="22.5" customHeight="1">
      <c r="A2055" s="85">
        <v>759724529202804</v>
      </c>
      <c r="B2055" s="82" t="s">
        <v>10621</v>
      </c>
      <c r="C2055" s="82" t="s">
        <v>11016</v>
      </c>
      <c r="D2055" s="82" t="s">
        <v>1530</v>
      </c>
      <c r="E2055" s="82">
        <v>628111988553</v>
      </c>
      <c r="F2055" s="86">
        <v>45854</v>
      </c>
      <c r="G2055" s="87">
        <v>272</v>
      </c>
      <c r="H2055" s="88">
        <v>45520</v>
      </c>
      <c r="I2055" s="89">
        <v>20</v>
      </c>
      <c r="J2055" s="90">
        <v>14794</v>
      </c>
      <c r="K2055" s="85">
        <v>0</v>
      </c>
      <c r="L2055" s="85">
        <v>4</v>
      </c>
      <c r="M2055" s="85">
        <v>0</v>
      </c>
      <c r="N2055" s="82" t="s">
        <v>11017</v>
      </c>
      <c r="O2055" s="83"/>
    </row>
    <row r="2056" spans="1:15" ht="22.5" customHeight="1">
      <c r="A2056" s="85">
        <v>759724529202804</v>
      </c>
      <c r="B2056" s="82" t="s">
        <v>10621</v>
      </c>
      <c r="C2056" s="82" t="s">
        <v>10986</v>
      </c>
      <c r="D2056" s="82" t="s">
        <v>10987</v>
      </c>
      <c r="E2056" s="82">
        <v>6281282183261</v>
      </c>
      <c r="F2056" s="86">
        <v>45854</v>
      </c>
      <c r="G2056" s="87">
        <v>543</v>
      </c>
      <c r="H2056" s="88">
        <v>24265.700483091787</v>
      </c>
      <c r="I2056" s="89">
        <v>30</v>
      </c>
      <c r="J2056" s="90">
        <v>15069</v>
      </c>
      <c r="K2056" s="85">
        <v>6</v>
      </c>
      <c r="L2056" s="85">
        <v>0</v>
      </c>
      <c r="M2056" s="85">
        <v>0</v>
      </c>
      <c r="N2056" s="82" t="s">
        <v>10988</v>
      </c>
      <c r="O2056" s="83"/>
    </row>
    <row r="2057" spans="1:15" ht="22.5" customHeight="1">
      <c r="A2057" s="85">
        <v>174904221976312</v>
      </c>
      <c r="B2057" s="82" t="s">
        <v>10651</v>
      </c>
      <c r="C2057" s="82" t="s">
        <v>11325</v>
      </c>
      <c r="D2057" s="82" t="s">
        <v>2274</v>
      </c>
      <c r="E2057" s="82"/>
      <c r="F2057" s="86">
        <v>45854</v>
      </c>
      <c r="G2057" s="87">
        <v>38</v>
      </c>
      <c r="H2057" s="88">
        <v>14846.153846153848</v>
      </c>
      <c r="I2057" s="89">
        <v>4</v>
      </c>
      <c r="J2057" s="90">
        <v>579</v>
      </c>
      <c r="K2057" s="85">
        <v>0</v>
      </c>
      <c r="L2057" s="85">
        <v>29</v>
      </c>
      <c r="M2057" s="85">
        <v>0</v>
      </c>
      <c r="N2057" s="82" t="s">
        <v>11326</v>
      </c>
      <c r="O2057" s="83"/>
    </row>
    <row r="2058" spans="1:15" ht="22.5" customHeight="1">
      <c r="A2058" s="85">
        <v>174904221976312</v>
      </c>
      <c r="B2058" s="82" t="s">
        <v>10651</v>
      </c>
      <c r="C2058" s="82" t="s">
        <v>11327</v>
      </c>
      <c r="D2058" s="82" t="s">
        <v>2295</v>
      </c>
      <c r="E2058" s="82"/>
      <c r="F2058" s="86">
        <v>45854</v>
      </c>
      <c r="G2058" s="87">
        <v>46</v>
      </c>
      <c r="H2058" s="88">
        <v>15255.319148936171</v>
      </c>
      <c r="I2058" s="89">
        <v>0</v>
      </c>
      <c r="J2058" s="90">
        <v>717</v>
      </c>
      <c r="K2058" s="85">
        <v>0</v>
      </c>
      <c r="L2058" s="85">
        <v>20</v>
      </c>
      <c r="M2058" s="85">
        <v>0</v>
      </c>
      <c r="N2058" s="82" t="s">
        <v>11328</v>
      </c>
      <c r="O2058" s="83"/>
    </row>
    <row r="2059" spans="1:15" ht="22.5" customHeight="1">
      <c r="A2059" s="85">
        <v>174904221976312</v>
      </c>
      <c r="B2059" s="82" t="s">
        <v>10651</v>
      </c>
      <c r="C2059" s="82" t="s">
        <v>11329</v>
      </c>
      <c r="D2059" s="82" t="s">
        <v>2260</v>
      </c>
      <c r="E2059" s="82"/>
      <c r="F2059" s="86">
        <v>45854</v>
      </c>
      <c r="G2059" s="87">
        <v>39</v>
      </c>
      <c r="H2059" s="88">
        <v>28150</v>
      </c>
      <c r="I2059" s="89">
        <v>4</v>
      </c>
      <c r="J2059" s="90">
        <v>1126</v>
      </c>
      <c r="K2059" s="85">
        <v>0</v>
      </c>
      <c r="L2059" s="85">
        <v>0</v>
      </c>
      <c r="M2059" s="85">
        <v>0</v>
      </c>
      <c r="N2059" s="82" t="s">
        <v>11330</v>
      </c>
      <c r="O2059" s="83"/>
    </row>
    <row r="2060" spans="1:15" ht="22.5" customHeight="1">
      <c r="A2060" s="85">
        <v>174904221976312</v>
      </c>
      <c r="B2060" s="82" t="s">
        <v>10651</v>
      </c>
      <c r="C2060" s="82" t="s">
        <v>11331</v>
      </c>
      <c r="D2060" s="82" t="s">
        <v>2280</v>
      </c>
      <c r="E2060" s="82"/>
      <c r="F2060" s="86">
        <v>45854</v>
      </c>
      <c r="G2060" s="87">
        <v>32</v>
      </c>
      <c r="H2060" s="88">
        <v>26787.878787878788</v>
      </c>
      <c r="I2060" s="89">
        <v>0</v>
      </c>
      <c r="J2060" s="90">
        <v>884</v>
      </c>
      <c r="K2060" s="85">
        <v>0</v>
      </c>
      <c r="L2060" s="85">
        <v>0</v>
      </c>
      <c r="M2060" s="85">
        <v>0</v>
      </c>
      <c r="N2060" s="82" t="s">
        <v>11332</v>
      </c>
      <c r="O2060" s="83"/>
    </row>
    <row r="2061" spans="1:15" ht="22.5" customHeight="1">
      <c r="A2061" s="85">
        <v>174904221976312</v>
      </c>
      <c r="B2061" s="82" t="s">
        <v>10651</v>
      </c>
      <c r="C2061" s="82" t="s">
        <v>11333</v>
      </c>
      <c r="D2061" s="82" t="s">
        <v>1793</v>
      </c>
      <c r="E2061" s="82">
        <v>6283845117965</v>
      </c>
      <c r="F2061" s="86">
        <v>45854</v>
      </c>
      <c r="G2061" s="87">
        <v>843</v>
      </c>
      <c r="H2061" s="88">
        <v>13191.908713692947</v>
      </c>
      <c r="I2061" s="89">
        <v>34</v>
      </c>
      <c r="J2061" s="90">
        <v>12717</v>
      </c>
      <c r="K2061" s="85">
        <v>2</v>
      </c>
      <c r="L2061" s="85">
        <v>233</v>
      </c>
      <c r="M2061" s="85">
        <v>1</v>
      </c>
      <c r="N2061" s="82" t="s">
        <v>11334</v>
      </c>
      <c r="O2061" s="83"/>
    </row>
    <row r="2062" spans="1:15" ht="22.5" customHeight="1">
      <c r="A2062" s="85">
        <v>174904221976312</v>
      </c>
      <c r="B2062" s="82" t="s">
        <v>10651</v>
      </c>
      <c r="C2062" s="82" t="s">
        <v>11309</v>
      </c>
      <c r="D2062" s="82" t="s">
        <v>2254</v>
      </c>
      <c r="E2062" s="82"/>
      <c r="F2062" s="86">
        <v>45854</v>
      </c>
      <c r="G2062" s="87">
        <v>209</v>
      </c>
      <c r="H2062" s="88">
        <v>49045.662100456626</v>
      </c>
      <c r="I2062" s="89">
        <v>2</v>
      </c>
      <c r="J2062" s="90">
        <v>10741</v>
      </c>
      <c r="K2062" s="85">
        <v>1</v>
      </c>
      <c r="L2062" s="85">
        <v>0</v>
      </c>
      <c r="M2062" s="85">
        <v>0</v>
      </c>
      <c r="N2062" s="82" t="s">
        <v>11310</v>
      </c>
      <c r="O2062" s="83"/>
    </row>
    <row r="2063" spans="1:15" ht="22.5" customHeight="1">
      <c r="A2063" s="85">
        <v>174904221976312</v>
      </c>
      <c r="B2063" s="82" t="s">
        <v>10651</v>
      </c>
      <c r="C2063" s="82" t="s">
        <v>11311</v>
      </c>
      <c r="D2063" s="82" t="s">
        <v>2247</v>
      </c>
      <c r="E2063" s="82"/>
      <c r="F2063" s="86">
        <v>45854</v>
      </c>
      <c r="G2063" s="87">
        <v>936</v>
      </c>
      <c r="H2063" s="88">
        <v>12199.056603773584</v>
      </c>
      <c r="I2063" s="89">
        <v>28</v>
      </c>
      <c r="J2063" s="90">
        <v>12931</v>
      </c>
      <c r="K2063" s="85">
        <v>2</v>
      </c>
      <c r="L2063" s="85">
        <v>550</v>
      </c>
      <c r="M2063" s="85">
        <v>1</v>
      </c>
      <c r="N2063" s="82" t="s">
        <v>11312</v>
      </c>
      <c r="O2063" s="83"/>
    </row>
    <row r="2064" spans="1:15" ht="22.5" customHeight="1">
      <c r="A2064" s="85">
        <v>174904221976312</v>
      </c>
      <c r="B2064" s="82" t="s">
        <v>10651</v>
      </c>
      <c r="C2064" s="82" t="s">
        <v>11313</v>
      </c>
      <c r="D2064" s="82" t="s">
        <v>2120</v>
      </c>
      <c r="E2064" s="82"/>
      <c r="F2064" s="86">
        <v>45854</v>
      </c>
      <c r="G2064" s="87">
        <v>1277</v>
      </c>
      <c r="H2064" s="88">
        <v>8732.1076822061714</v>
      </c>
      <c r="I2064" s="89">
        <v>12</v>
      </c>
      <c r="J2064" s="90">
        <v>13299</v>
      </c>
      <c r="K2064" s="85">
        <v>0</v>
      </c>
      <c r="L2064" s="85">
        <v>0</v>
      </c>
      <c r="M2064" s="85">
        <v>0</v>
      </c>
      <c r="N2064" s="82" t="s">
        <v>11314</v>
      </c>
      <c r="O2064" s="83"/>
    </row>
    <row r="2065" spans="1:15" ht="22.5" customHeight="1">
      <c r="A2065" s="85">
        <v>174904221976312</v>
      </c>
      <c r="B2065" s="82" t="s">
        <v>10651</v>
      </c>
      <c r="C2065" s="82" t="s">
        <v>11269</v>
      </c>
      <c r="D2065" s="82" t="s">
        <v>11270</v>
      </c>
      <c r="E2065" s="82">
        <v>6287856746423</v>
      </c>
      <c r="F2065" s="86">
        <v>45854</v>
      </c>
      <c r="G2065" s="87">
        <v>259</v>
      </c>
      <c r="H2065" s="88">
        <v>54101.010101010106</v>
      </c>
      <c r="I2065" s="89">
        <v>0</v>
      </c>
      <c r="J2065" s="90">
        <v>16068</v>
      </c>
      <c r="K2065" s="85">
        <v>0</v>
      </c>
      <c r="L2065" s="85">
        <v>0</v>
      </c>
      <c r="M2065" s="85">
        <v>0</v>
      </c>
      <c r="N2065" s="82" t="s">
        <v>11271</v>
      </c>
      <c r="O2065" s="83"/>
    </row>
    <row r="2066" spans="1:15" ht="22.5" customHeight="1">
      <c r="A2066" s="85">
        <v>174904221976312</v>
      </c>
      <c r="B2066" s="82" t="s">
        <v>10651</v>
      </c>
      <c r="C2066" s="82" t="s">
        <v>11272</v>
      </c>
      <c r="D2066" s="82" t="s">
        <v>11273</v>
      </c>
      <c r="E2066" s="82">
        <v>6281253629810</v>
      </c>
      <c r="F2066" s="86">
        <v>45854</v>
      </c>
      <c r="G2066" s="87">
        <v>1845</v>
      </c>
      <c r="H2066" s="88">
        <v>6330</v>
      </c>
      <c r="I2066" s="89">
        <v>32</v>
      </c>
      <c r="J2066" s="90">
        <v>14559</v>
      </c>
      <c r="K2066" s="85">
        <v>2</v>
      </c>
      <c r="L2066" s="85">
        <v>410</v>
      </c>
      <c r="M2066" s="85">
        <v>0</v>
      </c>
      <c r="N2066" s="82" t="s">
        <v>11274</v>
      </c>
      <c r="O2066" s="83"/>
    </row>
    <row r="2067" spans="1:15" ht="22.5" customHeight="1">
      <c r="A2067" s="85">
        <v>174904221976312</v>
      </c>
      <c r="B2067" s="82" t="s">
        <v>10651</v>
      </c>
      <c r="C2067" s="82" t="s">
        <v>11275</v>
      </c>
      <c r="D2067" s="82" t="s">
        <v>11276</v>
      </c>
      <c r="E2067" s="82">
        <v>6289517787985</v>
      </c>
      <c r="F2067" s="86">
        <v>45854</v>
      </c>
      <c r="G2067" s="87">
        <v>1029</v>
      </c>
      <c r="H2067" s="88">
        <v>10881.090008257639</v>
      </c>
      <c r="I2067" s="89">
        <v>39</v>
      </c>
      <c r="J2067" s="90">
        <v>13177</v>
      </c>
      <c r="K2067" s="85">
        <v>5</v>
      </c>
      <c r="L2067" s="85">
        <v>307</v>
      </c>
      <c r="M2067" s="85">
        <v>1</v>
      </c>
      <c r="N2067" s="82" t="s">
        <v>11277</v>
      </c>
      <c r="O2067" s="83"/>
    </row>
    <row r="2068" spans="1:15" ht="22.5" customHeight="1">
      <c r="A2068" s="85">
        <v>174904221976312</v>
      </c>
      <c r="B2068" s="82" t="s">
        <v>10651</v>
      </c>
      <c r="C2068" s="82" t="s">
        <v>11278</v>
      </c>
      <c r="D2068" s="82" t="s">
        <v>2202</v>
      </c>
      <c r="E2068" s="82">
        <v>62895374644456</v>
      </c>
      <c r="F2068" s="86">
        <v>45854</v>
      </c>
      <c r="G2068" s="87">
        <v>1008</v>
      </c>
      <c r="H2068" s="88">
        <v>11505.145797598629</v>
      </c>
      <c r="I2068" s="89">
        <v>41</v>
      </c>
      <c r="J2068" s="90">
        <v>13415</v>
      </c>
      <c r="K2068" s="85">
        <v>7</v>
      </c>
      <c r="L2068" s="85">
        <v>410</v>
      </c>
      <c r="M2068" s="85">
        <v>1</v>
      </c>
      <c r="N2068" s="82" t="s">
        <v>11279</v>
      </c>
      <c r="O2068" s="83"/>
    </row>
    <row r="2069" spans="1:15" ht="22.5" customHeight="1">
      <c r="A2069" s="85">
        <v>174904221976312</v>
      </c>
      <c r="B2069" s="82" t="s">
        <v>10651</v>
      </c>
      <c r="C2069" s="82" t="s">
        <v>11280</v>
      </c>
      <c r="D2069" s="82" t="s">
        <v>2151</v>
      </c>
      <c r="E2069" s="82">
        <v>6281252228100</v>
      </c>
      <c r="F2069" s="86">
        <v>45854</v>
      </c>
      <c r="G2069" s="87">
        <v>386</v>
      </c>
      <c r="H2069" s="88">
        <v>30090.909090909088</v>
      </c>
      <c r="I2069" s="89">
        <v>10</v>
      </c>
      <c r="J2069" s="90">
        <v>12909</v>
      </c>
      <c r="K2069" s="85">
        <v>0</v>
      </c>
      <c r="L2069" s="85">
        <v>176</v>
      </c>
      <c r="M2069" s="85">
        <v>0</v>
      </c>
      <c r="N2069" s="82" t="s">
        <v>11281</v>
      </c>
      <c r="O2069" s="83"/>
    </row>
    <row r="2070" spans="1:15" ht="22.5" customHeight="1">
      <c r="A2070" s="85">
        <v>174904221976312</v>
      </c>
      <c r="B2070" s="82" t="s">
        <v>10651</v>
      </c>
      <c r="C2070" s="82" t="s">
        <v>11282</v>
      </c>
      <c r="D2070" s="82" t="s">
        <v>1044</v>
      </c>
      <c r="E2070" s="82">
        <v>6281263113266</v>
      </c>
      <c r="F2070" s="86">
        <v>45854</v>
      </c>
      <c r="G2070" s="87">
        <v>1162</v>
      </c>
      <c r="H2070" s="88">
        <v>9737.1841155234652</v>
      </c>
      <c r="I2070" s="89">
        <v>68</v>
      </c>
      <c r="J2070" s="90">
        <v>13486</v>
      </c>
      <c r="K2070" s="85">
        <v>5</v>
      </c>
      <c r="L2070" s="85">
        <v>521</v>
      </c>
      <c r="M2070" s="85">
        <v>1</v>
      </c>
      <c r="N2070" s="82" t="s">
        <v>10728</v>
      </c>
      <c r="O2070" s="83"/>
    </row>
    <row r="2071" spans="1:15" ht="22.5" customHeight="1">
      <c r="A2071" s="85">
        <v>174904221976312</v>
      </c>
      <c r="B2071" s="82" t="s">
        <v>10651</v>
      </c>
      <c r="C2071" s="82" t="s">
        <v>11283</v>
      </c>
      <c r="D2071" s="82" t="s">
        <v>11284</v>
      </c>
      <c r="E2071" s="82">
        <v>6285150556695</v>
      </c>
      <c r="F2071" s="86">
        <v>45854</v>
      </c>
      <c r="G2071" s="87">
        <v>76</v>
      </c>
      <c r="H2071" s="88">
        <v>117915.78947368421</v>
      </c>
      <c r="I2071" s="89">
        <v>5</v>
      </c>
      <c r="J2071" s="90">
        <v>11202</v>
      </c>
      <c r="K2071" s="85">
        <v>1</v>
      </c>
      <c r="L2071" s="85">
        <v>39</v>
      </c>
      <c r="M2071" s="85">
        <v>1</v>
      </c>
      <c r="N2071" s="82" t="s">
        <v>11285</v>
      </c>
      <c r="O2071" s="83"/>
    </row>
    <row r="2072" spans="1:15" ht="22.5" customHeight="1">
      <c r="A2072" s="85">
        <v>174904221976312</v>
      </c>
      <c r="B2072" s="82" t="s">
        <v>10651</v>
      </c>
      <c r="C2072" s="82" t="s">
        <v>11286</v>
      </c>
      <c r="D2072" s="82" t="s">
        <v>2180</v>
      </c>
      <c r="E2072" s="82">
        <v>6285624268413</v>
      </c>
      <c r="F2072" s="86">
        <v>45854</v>
      </c>
      <c r="G2072" s="87">
        <v>181</v>
      </c>
      <c r="H2072" s="88">
        <v>72615</v>
      </c>
      <c r="I2072" s="89">
        <v>7</v>
      </c>
      <c r="J2072" s="90">
        <v>14523</v>
      </c>
      <c r="K2072" s="85">
        <v>2</v>
      </c>
      <c r="L2072" s="85">
        <v>0</v>
      </c>
      <c r="M2072" s="85">
        <v>0</v>
      </c>
      <c r="N2072" s="82" t="s">
        <v>11287</v>
      </c>
      <c r="O2072" s="83"/>
    </row>
    <row r="2073" spans="1:15" ht="22.5" customHeight="1">
      <c r="A2073" s="85">
        <v>174904221976312</v>
      </c>
      <c r="B2073" s="82" t="s">
        <v>10651</v>
      </c>
      <c r="C2073" s="82" t="s">
        <v>11288</v>
      </c>
      <c r="D2073" s="82" t="s">
        <v>11289</v>
      </c>
      <c r="E2073" s="82">
        <v>6281252867949</v>
      </c>
      <c r="F2073" s="86">
        <v>45854</v>
      </c>
      <c r="G2073" s="87">
        <v>215</v>
      </c>
      <c r="H2073" s="88">
        <v>50746.835443037977</v>
      </c>
      <c r="I2073" s="89">
        <v>5</v>
      </c>
      <c r="J2073" s="90">
        <v>12027</v>
      </c>
      <c r="K2073" s="85">
        <v>1</v>
      </c>
      <c r="L2073" s="85">
        <v>5</v>
      </c>
      <c r="M2073" s="85">
        <v>0</v>
      </c>
      <c r="N2073" s="82" t="s">
        <v>11290</v>
      </c>
      <c r="O2073" s="83"/>
    </row>
    <row r="2074" spans="1:15" ht="22.5" customHeight="1">
      <c r="A2074" s="85">
        <v>174904221976312</v>
      </c>
      <c r="B2074" s="82" t="s">
        <v>10651</v>
      </c>
      <c r="C2074" s="82" t="s">
        <v>11291</v>
      </c>
      <c r="D2074" s="82" t="s">
        <v>11292</v>
      </c>
      <c r="E2074" s="82">
        <v>6283183643221</v>
      </c>
      <c r="F2074" s="86">
        <v>45854</v>
      </c>
      <c r="G2074" s="87">
        <v>97</v>
      </c>
      <c r="H2074" s="88">
        <v>93184.210526315801</v>
      </c>
      <c r="I2074" s="89">
        <v>1</v>
      </c>
      <c r="J2074" s="90">
        <v>10623</v>
      </c>
      <c r="K2074" s="85">
        <v>1</v>
      </c>
      <c r="L2074" s="85">
        <v>46</v>
      </c>
      <c r="M2074" s="85">
        <v>0</v>
      </c>
      <c r="N2074" s="82" t="s">
        <v>11293</v>
      </c>
      <c r="O2074" s="83"/>
    </row>
    <row r="2075" spans="1:15" ht="22.5" customHeight="1">
      <c r="A2075" s="85">
        <v>174904221976312</v>
      </c>
      <c r="B2075" s="82" t="s">
        <v>10651</v>
      </c>
      <c r="C2075" s="82" t="s">
        <v>11294</v>
      </c>
      <c r="D2075" s="82" t="s">
        <v>2143</v>
      </c>
      <c r="E2075" s="82">
        <v>6281274238899</v>
      </c>
      <c r="F2075" s="86">
        <v>45854</v>
      </c>
      <c r="G2075" s="87">
        <v>556</v>
      </c>
      <c r="H2075" s="88">
        <v>19804.545454545456</v>
      </c>
      <c r="I2075" s="89">
        <v>6</v>
      </c>
      <c r="J2075" s="90">
        <v>13071</v>
      </c>
      <c r="K2075" s="85">
        <v>0</v>
      </c>
      <c r="L2075" s="85">
        <v>127</v>
      </c>
      <c r="M2075" s="85">
        <v>0</v>
      </c>
      <c r="N2075" s="82" t="s">
        <v>11295</v>
      </c>
      <c r="O2075" s="83"/>
    </row>
    <row r="2076" spans="1:15" ht="22.5" customHeight="1">
      <c r="A2076" s="85">
        <v>174904221976312</v>
      </c>
      <c r="B2076" s="82" t="s">
        <v>10651</v>
      </c>
      <c r="C2076" s="82" t="s">
        <v>11255</v>
      </c>
      <c r="D2076" s="82" t="s">
        <v>11256</v>
      </c>
      <c r="E2076" s="82">
        <v>6287715704997</v>
      </c>
      <c r="F2076" s="86">
        <v>45854</v>
      </c>
      <c r="G2076" s="87">
        <v>130</v>
      </c>
      <c r="H2076" s="88">
        <v>80093.959731543626</v>
      </c>
      <c r="I2076" s="89">
        <v>8</v>
      </c>
      <c r="J2076" s="90">
        <v>11934</v>
      </c>
      <c r="K2076" s="85">
        <v>0</v>
      </c>
      <c r="L2076" s="85">
        <v>0</v>
      </c>
      <c r="M2076" s="85">
        <v>0</v>
      </c>
      <c r="N2076" s="82" t="s">
        <v>11257</v>
      </c>
      <c r="O2076" s="83"/>
    </row>
    <row r="2077" spans="1:15" ht="22.5" customHeight="1">
      <c r="A2077" s="85">
        <v>174904221976312</v>
      </c>
      <c r="B2077" s="82" t="s">
        <v>10651</v>
      </c>
      <c r="C2077" s="82" t="s">
        <v>11217</v>
      </c>
      <c r="D2077" s="82" t="s">
        <v>2043</v>
      </c>
      <c r="E2077" s="82">
        <v>6282298717014</v>
      </c>
      <c r="F2077" s="86">
        <v>45854</v>
      </c>
      <c r="G2077" s="87">
        <v>314</v>
      </c>
      <c r="H2077" s="88">
        <v>35329.896907216491</v>
      </c>
      <c r="I2077" s="89">
        <v>3</v>
      </c>
      <c r="J2077" s="90">
        <v>13708</v>
      </c>
      <c r="K2077" s="85">
        <v>0</v>
      </c>
      <c r="L2077" s="85">
        <v>70</v>
      </c>
      <c r="M2077" s="85">
        <v>0</v>
      </c>
      <c r="N2077" s="82" t="s">
        <v>11218</v>
      </c>
      <c r="O2077" s="83"/>
    </row>
    <row r="2078" spans="1:15" ht="22.5" customHeight="1">
      <c r="A2078" s="85">
        <v>174904221976312</v>
      </c>
      <c r="B2078" s="82" t="s">
        <v>10651</v>
      </c>
      <c r="C2078" s="82" t="s">
        <v>11225</v>
      </c>
      <c r="D2078" s="82" t="s">
        <v>11226</v>
      </c>
      <c r="E2078" s="82">
        <v>6281240144744</v>
      </c>
      <c r="F2078" s="86">
        <v>45854</v>
      </c>
      <c r="G2078" s="87">
        <v>1728</v>
      </c>
      <c r="H2078" s="88">
        <v>6911.8351701006231</v>
      </c>
      <c r="I2078" s="89">
        <v>55</v>
      </c>
      <c r="J2078" s="90">
        <v>14425</v>
      </c>
      <c r="K2078" s="85">
        <v>5</v>
      </c>
      <c r="L2078" s="85">
        <v>270</v>
      </c>
      <c r="M2078" s="85">
        <v>2</v>
      </c>
      <c r="N2078" s="82" t="s">
        <v>11227</v>
      </c>
      <c r="O2078" s="83"/>
    </row>
    <row r="2079" spans="1:15" ht="22.5" customHeight="1">
      <c r="A2079" s="85">
        <v>174904221976312</v>
      </c>
      <c r="B2079" s="82" t="s">
        <v>10651</v>
      </c>
      <c r="C2079" s="82" t="s">
        <v>11228</v>
      </c>
      <c r="D2079" s="82" t="s">
        <v>11229</v>
      </c>
      <c r="E2079" s="82">
        <v>6288215032728</v>
      </c>
      <c r="F2079" s="86">
        <v>45854</v>
      </c>
      <c r="G2079" s="87">
        <v>835</v>
      </c>
      <c r="H2079" s="88">
        <v>14947.04684317719</v>
      </c>
      <c r="I2079" s="89">
        <v>20</v>
      </c>
      <c r="J2079" s="90">
        <v>14678</v>
      </c>
      <c r="K2079" s="85">
        <v>0</v>
      </c>
      <c r="L2079" s="85">
        <v>187</v>
      </c>
      <c r="M2079" s="85">
        <v>0</v>
      </c>
      <c r="N2079" s="82" t="s">
        <v>11230</v>
      </c>
      <c r="O2079" s="83"/>
    </row>
    <row r="2080" spans="1:15" ht="22.5" customHeight="1">
      <c r="A2080" s="85">
        <v>174904221976312</v>
      </c>
      <c r="B2080" s="82" t="s">
        <v>10651</v>
      </c>
      <c r="C2080" s="82" t="s">
        <v>11187</v>
      </c>
      <c r="D2080" s="82" t="s">
        <v>1938</v>
      </c>
      <c r="E2080" s="82">
        <v>6285956579758</v>
      </c>
      <c r="F2080" s="86">
        <v>45854</v>
      </c>
      <c r="G2080" s="87">
        <v>329</v>
      </c>
      <c r="H2080" s="88">
        <v>42485.333333333336</v>
      </c>
      <c r="I2080" s="89">
        <v>9</v>
      </c>
      <c r="J2080" s="90">
        <v>15932</v>
      </c>
      <c r="K2080" s="85">
        <v>2</v>
      </c>
      <c r="L2080" s="85">
        <v>51</v>
      </c>
      <c r="M2080" s="85">
        <v>0</v>
      </c>
      <c r="N2080" s="82" t="s">
        <v>11188</v>
      </c>
      <c r="O2080" s="83"/>
    </row>
    <row r="2081" spans="1:15" ht="22.5" customHeight="1">
      <c r="A2081" s="85">
        <v>174904221976312</v>
      </c>
      <c r="B2081" s="82" t="s">
        <v>10651</v>
      </c>
      <c r="C2081" s="82" t="s">
        <v>11191</v>
      </c>
      <c r="D2081" s="82" t="s">
        <v>1976</v>
      </c>
      <c r="E2081" s="82">
        <v>6282136273086</v>
      </c>
      <c r="F2081" s="86">
        <v>45854</v>
      </c>
      <c r="G2081" s="87">
        <v>169</v>
      </c>
      <c r="H2081" s="88">
        <v>58782.383419689118</v>
      </c>
      <c r="I2081" s="89">
        <v>7</v>
      </c>
      <c r="J2081" s="90">
        <v>11345</v>
      </c>
      <c r="K2081" s="85">
        <v>1</v>
      </c>
      <c r="L2081" s="85">
        <v>44</v>
      </c>
      <c r="M2081" s="85">
        <v>0</v>
      </c>
      <c r="N2081" s="82" t="s">
        <v>11192</v>
      </c>
      <c r="O2081" s="83"/>
    </row>
    <row r="2082" spans="1:15" ht="22.5" customHeight="1">
      <c r="A2082" s="85">
        <v>174904221976312</v>
      </c>
      <c r="B2082" s="82" t="s">
        <v>10651</v>
      </c>
      <c r="C2082" s="82" t="s">
        <v>11193</v>
      </c>
      <c r="D2082" s="82" t="s">
        <v>11194</v>
      </c>
      <c r="E2082" s="82">
        <v>6281779578317</v>
      </c>
      <c r="F2082" s="86">
        <v>45854</v>
      </c>
      <c r="G2082" s="87">
        <v>1330</v>
      </c>
      <c r="H2082" s="88">
        <v>9846.2078651685388</v>
      </c>
      <c r="I2082" s="89">
        <v>56</v>
      </c>
      <c r="J2082" s="90">
        <v>14021</v>
      </c>
      <c r="K2082" s="85">
        <v>7</v>
      </c>
      <c r="L2082" s="85">
        <v>384</v>
      </c>
      <c r="M2082" s="85">
        <v>2</v>
      </c>
      <c r="N2082" s="82" t="s">
        <v>11195</v>
      </c>
      <c r="O2082" s="83"/>
    </row>
    <row r="2083" spans="1:15" ht="22.5" customHeight="1">
      <c r="A2083" s="85">
        <v>174904221976312</v>
      </c>
      <c r="B2083" s="82" t="s">
        <v>10651</v>
      </c>
      <c r="C2083" s="82" t="s">
        <v>11196</v>
      </c>
      <c r="D2083" s="82" t="s">
        <v>11197</v>
      </c>
      <c r="E2083" s="82">
        <v>6281412281953</v>
      </c>
      <c r="F2083" s="86">
        <v>45854</v>
      </c>
      <c r="G2083" s="87">
        <v>1100</v>
      </c>
      <c r="H2083" s="88">
        <v>10121.004566210046</v>
      </c>
      <c r="I2083" s="89">
        <v>30</v>
      </c>
      <c r="J2083" s="90">
        <v>13299</v>
      </c>
      <c r="K2083" s="85">
        <v>7</v>
      </c>
      <c r="L2083" s="85">
        <v>7</v>
      </c>
      <c r="M2083" s="85">
        <v>0</v>
      </c>
      <c r="N2083" s="82" t="s">
        <v>11198</v>
      </c>
      <c r="O2083" s="83"/>
    </row>
    <row r="2084" spans="1:15" ht="22.5" customHeight="1">
      <c r="A2084" s="85">
        <v>174904221976312</v>
      </c>
      <c r="B2084" s="82" t="s">
        <v>10651</v>
      </c>
      <c r="C2084" s="82" t="s">
        <v>11199</v>
      </c>
      <c r="D2084" s="82" t="s">
        <v>1961</v>
      </c>
      <c r="E2084" s="82">
        <v>6281212295448</v>
      </c>
      <c r="F2084" s="86">
        <v>45854</v>
      </c>
      <c r="G2084" s="87">
        <v>1200</v>
      </c>
      <c r="H2084" s="88">
        <v>9035.3741496598632</v>
      </c>
      <c r="I2084" s="89">
        <v>42</v>
      </c>
      <c r="J2084" s="90">
        <v>13282</v>
      </c>
      <c r="K2084" s="85">
        <v>6</v>
      </c>
      <c r="L2084" s="85">
        <v>4</v>
      </c>
      <c r="M2084" s="85">
        <v>2</v>
      </c>
      <c r="N2084" s="82" t="s">
        <v>11200</v>
      </c>
      <c r="O2084" s="83"/>
    </row>
    <row r="2085" spans="1:15" ht="22.5" customHeight="1">
      <c r="A2085" s="85">
        <v>174904221976312</v>
      </c>
      <c r="B2085" s="82" t="s">
        <v>10651</v>
      </c>
      <c r="C2085" s="82" t="s">
        <v>11153</v>
      </c>
      <c r="D2085" s="82" t="s">
        <v>11154</v>
      </c>
      <c r="E2085" s="82">
        <v>6285338137835</v>
      </c>
      <c r="F2085" s="86">
        <v>45854</v>
      </c>
      <c r="G2085" s="87">
        <v>379</v>
      </c>
      <c r="H2085" s="88">
        <v>27603.406326034063</v>
      </c>
      <c r="I2085" s="89">
        <v>13</v>
      </c>
      <c r="J2085" s="90">
        <v>11345</v>
      </c>
      <c r="K2085" s="85">
        <v>1</v>
      </c>
      <c r="L2085" s="85">
        <v>111</v>
      </c>
      <c r="M2085" s="85">
        <v>1</v>
      </c>
      <c r="N2085" s="82" t="s">
        <v>11155</v>
      </c>
      <c r="O2085" s="83"/>
    </row>
    <row r="2086" spans="1:15" ht="22.5" customHeight="1">
      <c r="A2086" s="85">
        <v>174904221976312</v>
      </c>
      <c r="B2086" s="82" t="s">
        <v>10651</v>
      </c>
      <c r="C2086" s="82" t="s">
        <v>11096</v>
      </c>
      <c r="D2086" s="82" t="s">
        <v>11097</v>
      </c>
      <c r="E2086" s="82">
        <v>6285727410479</v>
      </c>
      <c r="F2086" s="86">
        <v>45854</v>
      </c>
      <c r="G2086" s="87">
        <v>380</v>
      </c>
      <c r="H2086" s="88">
        <v>38555.555555555555</v>
      </c>
      <c r="I2086" s="89">
        <v>11</v>
      </c>
      <c r="J2086" s="90">
        <v>16309</v>
      </c>
      <c r="K2086" s="85">
        <v>1</v>
      </c>
      <c r="L2086" s="85">
        <v>24</v>
      </c>
      <c r="M2086" s="85">
        <v>0</v>
      </c>
      <c r="N2086" s="82" t="s">
        <v>11167</v>
      </c>
      <c r="O2086" s="83"/>
    </row>
    <row r="2087" spans="1:15" ht="22.5" customHeight="1">
      <c r="A2087" s="85">
        <v>174904221976312</v>
      </c>
      <c r="B2087" s="82" t="s">
        <v>10651</v>
      </c>
      <c r="C2087" s="82" t="s">
        <v>11002</v>
      </c>
      <c r="D2087" s="82" t="s">
        <v>11003</v>
      </c>
      <c r="E2087" s="82">
        <v>6288228976100</v>
      </c>
      <c r="F2087" s="86">
        <v>45854</v>
      </c>
      <c r="G2087" s="87">
        <v>613</v>
      </c>
      <c r="H2087" s="88">
        <v>17146.835443037977</v>
      </c>
      <c r="I2087" s="89">
        <v>7</v>
      </c>
      <c r="J2087" s="90">
        <v>13546</v>
      </c>
      <c r="K2087" s="85">
        <v>0</v>
      </c>
      <c r="L2087" s="85">
        <v>150</v>
      </c>
      <c r="M2087" s="85">
        <v>0</v>
      </c>
      <c r="N2087" s="82" t="s">
        <v>11004</v>
      </c>
      <c r="O2087" s="83"/>
    </row>
    <row r="2088" spans="1:15" ht="22.5" customHeight="1">
      <c r="A2088" s="85">
        <v>174904221976312</v>
      </c>
      <c r="B2088" s="82" t="s">
        <v>10651</v>
      </c>
      <c r="C2088" s="82" t="s">
        <v>10853</v>
      </c>
      <c r="D2088" s="82" t="s">
        <v>10854</v>
      </c>
      <c r="E2088" s="82">
        <v>6281393958199</v>
      </c>
      <c r="F2088" s="86">
        <v>45854</v>
      </c>
      <c r="G2088" s="87">
        <v>1108</v>
      </c>
      <c r="H2088" s="88">
        <v>10161.445783132531</v>
      </c>
      <c r="I2088" s="89">
        <v>23</v>
      </c>
      <c r="J2088" s="90">
        <v>12651</v>
      </c>
      <c r="K2088" s="85">
        <v>1</v>
      </c>
      <c r="L2088" s="85">
        <v>371</v>
      </c>
      <c r="M2088" s="85">
        <v>1</v>
      </c>
      <c r="N2088" s="82" t="s">
        <v>10855</v>
      </c>
      <c r="O2088" s="83"/>
    </row>
    <row r="2089" spans="1:15" ht="22.5" customHeight="1">
      <c r="A2089" s="85">
        <v>174904221976312</v>
      </c>
      <c r="B2089" s="82" t="s">
        <v>10651</v>
      </c>
      <c r="C2089" s="82" t="s">
        <v>818</v>
      </c>
      <c r="D2089" s="82" t="s">
        <v>812</v>
      </c>
      <c r="E2089" s="82">
        <v>6287858585808</v>
      </c>
      <c r="F2089" s="86">
        <v>45854</v>
      </c>
      <c r="G2089" s="87">
        <v>638</v>
      </c>
      <c r="H2089" s="88">
        <v>16162.454873646207</v>
      </c>
      <c r="I2089" s="89">
        <v>14</v>
      </c>
      <c r="J2089" s="90">
        <v>13431</v>
      </c>
      <c r="K2089" s="85">
        <v>0</v>
      </c>
      <c r="L2089" s="85">
        <v>185</v>
      </c>
      <c r="M2089" s="85">
        <v>0</v>
      </c>
      <c r="N2089" s="82" t="s">
        <v>10831</v>
      </c>
      <c r="O2089" s="83"/>
    </row>
    <row r="2090" spans="1:15" ht="22.5" customHeight="1">
      <c r="A2090" s="85">
        <v>174904221976312</v>
      </c>
      <c r="B2090" s="82" t="s">
        <v>10651</v>
      </c>
      <c r="C2090" s="82" t="s">
        <v>8099</v>
      </c>
      <c r="D2090" s="82" t="s">
        <v>2357</v>
      </c>
      <c r="E2090" s="82">
        <v>6281221788919</v>
      </c>
      <c r="F2090" s="86">
        <v>45854</v>
      </c>
      <c r="G2090" s="87">
        <v>681</v>
      </c>
      <c r="H2090" s="88">
        <v>13486.643437862951</v>
      </c>
      <c r="I2090" s="89">
        <v>11</v>
      </c>
      <c r="J2090" s="90">
        <v>11612</v>
      </c>
      <c r="K2090" s="85">
        <v>1</v>
      </c>
      <c r="L2090" s="85">
        <v>233</v>
      </c>
      <c r="M2090" s="85">
        <v>0</v>
      </c>
      <c r="N2090" s="82" t="s">
        <v>10759</v>
      </c>
      <c r="O2090" s="83"/>
    </row>
    <row r="2091" spans="1:15" ht="22.5" customHeight="1">
      <c r="A2091" s="85">
        <v>174904221976312</v>
      </c>
      <c r="B2091" s="82" t="s">
        <v>10651</v>
      </c>
      <c r="C2091" s="82" t="s">
        <v>10673</v>
      </c>
      <c r="D2091" s="82" t="s">
        <v>10674</v>
      </c>
      <c r="E2091" s="82">
        <v>6282183184641</v>
      </c>
      <c r="F2091" s="86">
        <v>45854</v>
      </c>
      <c r="G2091" s="87">
        <v>479</v>
      </c>
      <c r="H2091" s="88">
        <v>20240.069084628667</v>
      </c>
      <c r="I2091" s="89">
        <v>19</v>
      </c>
      <c r="J2091" s="90">
        <v>11719</v>
      </c>
      <c r="K2091" s="85">
        <v>2</v>
      </c>
      <c r="L2091" s="85">
        <v>166</v>
      </c>
      <c r="M2091" s="85">
        <v>0</v>
      </c>
      <c r="N2091" s="82" t="s">
        <v>10675</v>
      </c>
      <c r="O2091" s="83"/>
    </row>
    <row r="2092" spans="1:15" ht="22.5" customHeight="1">
      <c r="A2092" s="85">
        <v>174904221976312</v>
      </c>
      <c r="B2092" s="82" t="s">
        <v>10651</v>
      </c>
      <c r="C2092" s="82" t="s">
        <v>10655</v>
      </c>
      <c r="D2092" s="82" t="s">
        <v>3908</v>
      </c>
      <c r="E2092" s="82">
        <v>6285376667233</v>
      </c>
      <c r="F2092" s="86">
        <v>45854</v>
      </c>
      <c r="G2092" s="87">
        <v>1328</v>
      </c>
      <c r="H2092" s="88">
        <v>9251.6556291390734</v>
      </c>
      <c r="I2092" s="89">
        <v>27</v>
      </c>
      <c r="J2092" s="90">
        <v>13970</v>
      </c>
      <c r="K2092" s="85">
        <v>6</v>
      </c>
      <c r="L2092" s="85">
        <v>416</v>
      </c>
      <c r="M2092" s="85">
        <v>0</v>
      </c>
      <c r="N2092" s="82" t="s">
        <v>10656</v>
      </c>
      <c r="O2092" s="83"/>
    </row>
    <row r="2093" spans="1:15" ht="22.5" customHeight="1">
      <c r="A2093" s="85">
        <v>174904221976312</v>
      </c>
      <c r="B2093" s="82" t="s">
        <v>10651</v>
      </c>
      <c r="C2093" s="82" t="s">
        <v>63</v>
      </c>
      <c r="D2093" s="82" t="s">
        <v>55</v>
      </c>
      <c r="E2093" s="82">
        <v>6282226594414</v>
      </c>
      <c r="F2093" s="86">
        <v>45854</v>
      </c>
      <c r="G2093" s="87">
        <v>3720</v>
      </c>
      <c r="H2093" s="88">
        <v>2933.4536431310621</v>
      </c>
      <c r="I2093" s="89">
        <v>196</v>
      </c>
      <c r="J2093" s="90">
        <v>13004</v>
      </c>
      <c r="K2093" s="85">
        <v>19</v>
      </c>
      <c r="L2093" s="85">
        <v>1170</v>
      </c>
      <c r="M2093" s="85">
        <v>8</v>
      </c>
      <c r="N2093" s="82" t="s">
        <v>10661</v>
      </c>
      <c r="O2093" s="83"/>
    </row>
    <row r="2094" spans="1:15" ht="22.5" customHeight="1">
      <c r="A2094" s="85">
        <v>174904221976312</v>
      </c>
      <c r="B2094" s="82" t="s">
        <v>10651</v>
      </c>
      <c r="C2094" s="82" t="s">
        <v>11078</v>
      </c>
      <c r="D2094" s="82" t="s">
        <v>3140</v>
      </c>
      <c r="E2094" s="82"/>
      <c r="F2094" s="86">
        <v>45854</v>
      </c>
      <c r="G2094" s="87">
        <v>3450</v>
      </c>
      <c r="H2094" s="88">
        <v>2930.8244507287359</v>
      </c>
      <c r="I2094" s="89">
        <v>90</v>
      </c>
      <c r="J2094" s="90">
        <v>13473</v>
      </c>
      <c r="K2094" s="85">
        <v>11</v>
      </c>
      <c r="L2094" s="85">
        <v>291</v>
      </c>
      <c r="M2094" s="85">
        <v>0</v>
      </c>
      <c r="N2094" s="82" t="s">
        <v>11079</v>
      </c>
      <c r="O2094" s="83"/>
    </row>
    <row r="2095" spans="1:15" ht="22.5" customHeight="1">
      <c r="A2095" s="85">
        <v>174904221976312</v>
      </c>
      <c r="B2095" s="82" t="s">
        <v>10651</v>
      </c>
      <c r="C2095" s="82" t="s">
        <v>10731</v>
      </c>
      <c r="D2095" s="82" t="s">
        <v>10732</v>
      </c>
      <c r="E2095" s="82">
        <v>6281241440688</v>
      </c>
      <c r="F2095" s="86">
        <v>45854</v>
      </c>
      <c r="G2095" s="87">
        <v>2279</v>
      </c>
      <c r="H2095" s="88">
        <v>4767.5111773472427</v>
      </c>
      <c r="I2095" s="89">
        <v>24</v>
      </c>
      <c r="J2095" s="90">
        <v>12796</v>
      </c>
      <c r="K2095" s="85">
        <v>1</v>
      </c>
      <c r="L2095" s="85">
        <v>277</v>
      </c>
      <c r="M2095" s="85">
        <v>0</v>
      </c>
      <c r="N2095" s="82" t="s">
        <v>10733</v>
      </c>
      <c r="O2095" s="83"/>
    </row>
    <row r="2096" spans="1:15" ht="22.5" customHeight="1">
      <c r="A2096" s="85">
        <v>174904221976312</v>
      </c>
      <c r="B2096" s="82" t="s">
        <v>10651</v>
      </c>
      <c r="C2096" s="82" t="s">
        <v>11168</v>
      </c>
      <c r="D2096" s="82" t="s">
        <v>11169</v>
      </c>
      <c r="E2096" s="82">
        <v>628115424402</v>
      </c>
      <c r="F2096" s="86">
        <v>45854</v>
      </c>
      <c r="G2096" s="87">
        <v>861</v>
      </c>
      <c r="H2096" s="88">
        <v>14833.333333333334</v>
      </c>
      <c r="I2096" s="89">
        <v>42</v>
      </c>
      <c r="J2096" s="90">
        <v>14062</v>
      </c>
      <c r="K2096" s="85">
        <v>7</v>
      </c>
      <c r="L2096" s="85">
        <v>217</v>
      </c>
      <c r="M2096" s="85">
        <v>0</v>
      </c>
      <c r="N2096" s="82" t="s">
        <v>11170</v>
      </c>
      <c r="O2096" s="83"/>
    </row>
    <row r="2097" spans="1:15" ht="22.5" customHeight="1">
      <c r="A2097" s="85">
        <v>174904221976312</v>
      </c>
      <c r="B2097" s="82" t="s">
        <v>10651</v>
      </c>
      <c r="C2097" s="82" t="s">
        <v>10833</v>
      </c>
      <c r="D2097" s="82" t="s">
        <v>10834</v>
      </c>
      <c r="E2097" s="82">
        <v>6282242925264</v>
      </c>
      <c r="F2097" s="86">
        <v>45854</v>
      </c>
      <c r="G2097" s="87">
        <v>3028</v>
      </c>
      <c r="H2097" s="88">
        <v>4418.798334324807</v>
      </c>
      <c r="I2097" s="89">
        <v>90</v>
      </c>
      <c r="J2097" s="90">
        <v>14856</v>
      </c>
      <c r="K2097" s="85">
        <v>4</v>
      </c>
      <c r="L2097" s="85">
        <v>831</v>
      </c>
      <c r="M2097" s="85">
        <v>1</v>
      </c>
      <c r="N2097" s="82" t="s">
        <v>10835</v>
      </c>
      <c r="O2097" s="83"/>
    </row>
    <row r="2098" spans="1:15" ht="22.5" customHeight="1">
      <c r="A2098" s="85">
        <v>766589657993298</v>
      </c>
      <c r="B2098" s="82" t="s">
        <v>10688</v>
      </c>
      <c r="C2098" s="82" t="s">
        <v>11335</v>
      </c>
      <c r="D2098" s="82" t="s">
        <v>2301</v>
      </c>
      <c r="E2098" s="82"/>
      <c r="F2098" s="86">
        <v>45854</v>
      </c>
      <c r="G2098" s="87">
        <v>48</v>
      </c>
      <c r="H2098" s="88">
        <v>25081.632653061224</v>
      </c>
      <c r="I2098" s="89">
        <v>4</v>
      </c>
      <c r="J2098" s="90">
        <v>1229</v>
      </c>
      <c r="K2098" s="85">
        <v>1</v>
      </c>
      <c r="L2098" s="85">
        <v>17</v>
      </c>
      <c r="M2098" s="85">
        <v>0</v>
      </c>
      <c r="N2098" s="82" t="s">
        <v>11336</v>
      </c>
      <c r="O2098" s="83"/>
    </row>
    <row r="2099" spans="1:15" ht="22.5" customHeight="1">
      <c r="A2099" s="85">
        <v>766589657993298</v>
      </c>
      <c r="B2099" s="82" t="s">
        <v>10688</v>
      </c>
      <c r="C2099" s="82" t="s">
        <v>11315</v>
      </c>
      <c r="D2099" s="82" t="s">
        <v>11316</v>
      </c>
      <c r="E2099" s="82"/>
      <c r="F2099" s="86">
        <v>45854</v>
      </c>
      <c r="G2099" s="87">
        <v>402</v>
      </c>
      <c r="H2099" s="88">
        <v>32987.096774193546</v>
      </c>
      <c r="I2099" s="89">
        <v>17</v>
      </c>
      <c r="J2099" s="90">
        <v>15339</v>
      </c>
      <c r="K2099" s="85">
        <v>8</v>
      </c>
      <c r="L2099" s="85">
        <v>153</v>
      </c>
      <c r="M2099" s="85">
        <v>0</v>
      </c>
      <c r="N2099" s="82" t="s">
        <v>11317</v>
      </c>
      <c r="O2099" s="83"/>
    </row>
    <row r="2100" spans="1:15" ht="22.5" customHeight="1">
      <c r="A2100" s="85">
        <v>766589657993298</v>
      </c>
      <c r="B2100" s="82" t="s">
        <v>10688</v>
      </c>
      <c r="C2100" s="82" t="s">
        <v>11318</v>
      </c>
      <c r="D2100" s="82" t="s">
        <v>11319</v>
      </c>
      <c r="E2100" s="82"/>
      <c r="F2100" s="86">
        <v>45854</v>
      </c>
      <c r="G2100" s="87">
        <v>565</v>
      </c>
      <c r="H2100" s="88">
        <v>22334.722222222223</v>
      </c>
      <c r="I2100" s="89">
        <v>31</v>
      </c>
      <c r="J2100" s="90">
        <v>16081</v>
      </c>
      <c r="K2100" s="85">
        <v>6</v>
      </c>
      <c r="L2100" s="85">
        <v>190</v>
      </c>
      <c r="M2100" s="85">
        <v>2</v>
      </c>
      <c r="N2100" s="82" t="s">
        <v>11320</v>
      </c>
      <c r="O2100" s="83"/>
    </row>
    <row r="2101" spans="1:15" ht="22.5" customHeight="1">
      <c r="A2101" s="85">
        <v>766589657993298</v>
      </c>
      <c r="B2101" s="82" t="s">
        <v>10688</v>
      </c>
      <c r="C2101" s="82" t="s">
        <v>11296</v>
      </c>
      <c r="D2101" s="82" t="s">
        <v>10798</v>
      </c>
      <c r="E2101" s="82">
        <v>6285853370682</v>
      </c>
      <c r="F2101" s="86">
        <v>45854</v>
      </c>
      <c r="G2101" s="87">
        <v>829</v>
      </c>
      <c r="H2101" s="88">
        <v>16963.123644251627</v>
      </c>
      <c r="I2101" s="89">
        <v>17</v>
      </c>
      <c r="J2101" s="90">
        <v>15640</v>
      </c>
      <c r="K2101" s="85">
        <v>0</v>
      </c>
      <c r="L2101" s="85">
        <v>0</v>
      </c>
      <c r="M2101" s="85">
        <v>0</v>
      </c>
      <c r="N2101" s="82" t="s">
        <v>11297</v>
      </c>
      <c r="O2101" s="83"/>
    </row>
    <row r="2102" spans="1:15" ht="22.5" customHeight="1">
      <c r="A2102" s="85">
        <v>766589657993298</v>
      </c>
      <c r="B2102" s="82" t="s">
        <v>10688</v>
      </c>
      <c r="C2102" s="82" t="s">
        <v>11298</v>
      </c>
      <c r="D2102" s="82" t="s">
        <v>10699</v>
      </c>
      <c r="E2102" s="82">
        <v>62812</v>
      </c>
      <c r="F2102" s="86">
        <v>45854</v>
      </c>
      <c r="G2102" s="87">
        <v>223</v>
      </c>
      <c r="H2102" s="88">
        <v>59687.258687258691</v>
      </c>
      <c r="I2102" s="89">
        <v>8</v>
      </c>
      <c r="J2102" s="90">
        <v>15459</v>
      </c>
      <c r="K2102" s="85">
        <v>1</v>
      </c>
      <c r="L2102" s="85">
        <v>0</v>
      </c>
      <c r="M2102" s="85">
        <v>0</v>
      </c>
      <c r="N2102" s="82" t="s">
        <v>11299</v>
      </c>
      <c r="O2102" s="83"/>
    </row>
    <row r="2103" spans="1:15" ht="22.5" customHeight="1">
      <c r="A2103" s="85">
        <v>766589657993298</v>
      </c>
      <c r="B2103" s="82" t="s">
        <v>10688</v>
      </c>
      <c r="C2103" s="82" t="s">
        <v>11300</v>
      </c>
      <c r="D2103" s="82" t="s">
        <v>2223</v>
      </c>
      <c r="E2103" s="82">
        <v>6282111000133</v>
      </c>
      <c r="F2103" s="86">
        <v>45854</v>
      </c>
      <c r="G2103" s="87">
        <v>446</v>
      </c>
      <c r="H2103" s="88">
        <v>30447.265625</v>
      </c>
      <c r="I2103" s="89">
        <v>21</v>
      </c>
      <c r="J2103" s="90">
        <v>15589</v>
      </c>
      <c r="K2103" s="85">
        <v>3</v>
      </c>
      <c r="L2103" s="85">
        <v>21</v>
      </c>
      <c r="M2103" s="85">
        <v>1</v>
      </c>
      <c r="N2103" s="82" t="s">
        <v>11301</v>
      </c>
      <c r="O2103" s="83"/>
    </row>
    <row r="2104" spans="1:15" ht="22.5" customHeight="1">
      <c r="A2104" s="85">
        <v>766589657993298</v>
      </c>
      <c r="B2104" s="82" t="s">
        <v>10688</v>
      </c>
      <c r="C2104" s="82" t="s">
        <v>11302</v>
      </c>
      <c r="D2104" s="82" t="s">
        <v>11303</v>
      </c>
      <c r="E2104" s="82">
        <v>6285814054475</v>
      </c>
      <c r="F2104" s="86">
        <v>45854</v>
      </c>
      <c r="G2104" s="87">
        <v>1643</v>
      </c>
      <c r="H2104" s="88">
        <v>8039.0295358649782</v>
      </c>
      <c r="I2104" s="89">
        <v>53</v>
      </c>
      <c r="J2104" s="90">
        <v>15242</v>
      </c>
      <c r="K2104" s="85">
        <v>8</v>
      </c>
      <c r="L2104" s="85">
        <v>750</v>
      </c>
      <c r="M2104" s="85">
        <v>1</v>
      </c>
      <c r="N2104" s="82" t="s">
        <v>11304</v>
      </c>
      <c r="O2104" s="83"/>
    </row>
    <row r="2105" spans="1:15" ht="22.5" customHeight="1">
      <c r="A2105" s="85">
        <v>766589657993298</v>
      </c>
      <c r="B2105" s="82" t="s">
        <v>10688</v>
      </c>
      <c r="C2105" s="82" t="s">
        <v>11264</v>
      </c>
      <c r="D2105" s="91" t="s">
        <v>1915</v>
      </c>
      <c r="E2105" s="82">
        <v>6281239874761</v>
      </c>
      <c r="F2105" s="86">
        <v>45854</v>
      </c>
      <c r="G2105" s="87">
        <v>213</v>
      </c>
      <c r="H2105" s="88">
        <v>58582.995951417004</v>
      </c>
      <c r="I2105" s="89">
        <v>4</v>
      </c>
      <c r="J2105" s="90">
        <v>14470</v>
      </c>
      <c r="K2105" s="85">
        <v>0</v>
      </c>
      <c r="L2105" s="85">
        <v>55</v>
      </c>
      <c r="M2105" s="85">
        <v>0</v>
      </c>
      <c r="N2105" s="82" t="s">
        <v>11265</v>
      </c>
      <c r="O2105" s="83"/>
    </row>
    <row r="2106" spans="1:15" ht="22.5" customHeight="1">
      <c r="A2106" s="85">
        <v>766589657993298</v>
      </c>
      <c r="B2106" s="82" t="s">
        <v>10688</v>
      </c>
      <c r="C2106" s="82" t="s">
        <v>11239</v>
      </c>
      <c r="D2106" s="82" t="s">
        <v>11240</v>
      </c>
      <c r="E2106" s="82">
        <v>6281213766426</v>
      </c>
      <c r="F2106" s="86">
        <v>45854</v>
      </c>
      <c r="G2106" s="87">
        <v>163</v>
      </c>
      <c r="H2106" s="88">
        <v>77825.39682539682</v>
      </c>
      <c r="I2106" s="89">
        <v>7</v>
      </c>
      <c r="J2106" s="90">
        <v>14709</v>
      </c>
      <c r="K2106" s="85">
        <v>3</v>
      </c>
      <c r="L2106" s="85">
        <v>5</v>
      </c>
      <c r="M2106" s="85">
        <v>0</v>
      </c>
      <c r="N2106" s="82" t="s">
        <v>11241</v>
      </c>
      <c r="O2106" s="83"/>
    </row>
    <row r="2107" spans="1:15" ht="22.5" customHeight="1">
      <c r="A2107" s="85">
        <v>766589657993298</v>
      </c>
      <c r="B2107" s="82" t="s">
        <v>10688</v>
      </c>
      <c r="C2107" s="82" t="s">
        <v>11204</v>
      </c>
      <c r="D2107" s="82" t="s">
        <v>11205</v>
      </c>
      <c r="E2107" s="82">
        <v>628112999165</v>
      </c>
      <c r="F2107" s="86">
        <v>45854</v>
      </c>
      <c r="G2107" s="87">
        <v>356</v>
      </c>
      <c r="H2107" s="88">
        <v>43254.854368932036</v>
      </c>
      <c r="I2107" s="89">
        <v>9</v>
      </c>
      <c r="J2107" s="90">
        <v>17821</v>
      </c>
      <c r="K2107" s="85">
        <v>0</v>
      </c>
      <c r="L2107" s="85">
        <v>45</v>
      </c>
      <c r="M2107" s="85">
        <v>0</v>
      </c>
      <c r="N2107" s="82" t="s">
        <v>11206</v>
      </c>
      <c r="O2107" s="83"/>
    </row>
    <row r="2108" spans="1:15" ht="22.5" customHeight="1">
      <c r="A2108" s="85">
        <v>766589657993298</v>
      </c>
      <c r="B2108" s="82" t="s">
        <v>10688</v>
      </c>
      <c r="C2108" s="82" t="s">
        <v>11207</v>
      </c>
      <c r="D2108" s="82" t="s">
        <v>11208</v>
      </c>
      <c r="E2108" s="82">
        <v>6282111180648</v>
      </c>
      <c r="F2108" s="86">
        <v>45854</v>
      </c>
      <c r="G2108" s="87">
        <v>524</v>
      </c>
      <c r="H2108" s="88">
        <v>25830.845771144279</v>
      </c>
      <c r="I2108" s="89">
        <v>14</v>
      </c>
      <c r="J2108" s="90">
        <v>15576</v>
      </c>
      <c r="K2108" s="85">
        <v>1</v>
      </c>
      <c r="L2108" s="85">
        <v>6</v>
      </c>
      <c r="M2108" s="85">
        <v>1</v>
      </c>
      <c r="N2108" s="82" t="s">
        <v>11209</v>
      </c>
      <c r="O2108" s="83"/>
    </row>
    <row r="2109" spans="1:15" ht="22.5" customHeight="1">
      <c r="A2109" s="85">
        <v>766589657993298</v>
      </c>
      <c r="B2109" s="82" t="s">
        <v>10688</v>
      </c>
      <c r="C2109" s="82" t="s">
        <v>11174</v>
      </c>
      <c r="D2109" s="82" t="s">
        <v>11175</v>
      </c>
      <c r="E2109" s="82">
        <v>6282184019830</v>
      </c>
      <c r="F2109" s="86">
        <v>45854</v>
      </c>
      <c r="G2109" s="87">
        <v>489</v>
      </c>
      <c r="H2109" s="88">
        <v>30238.549618320612</v>
      </c>
      <c r="I2109" s="89">
        <v>10</v>
      </c>
      <c r="J2109" s="90">
        <v>15845</v>
      </c>
      <c r="K2109" s="85">
        <v>0</v>
      </c>
      <c r="L2109" s="85">
        <v>134</v>
      </c>
      <c r="M2109" s="85">
        <v>0</v>
      </c>
      <c r="N2109" s="82" t="s">
        <v>11176</v>
      </c>
      <c r="O2109" s="83"/>
    </row>
    <row r="2110" spans="1:15" ht="22.5" customHeight="1">
      <c r="A2110" s="85">
        <v>766589657993298</v>
      </c>
      <c r="B2110" s="82" t="s">
        <v>10688</v>
      </c>
      <c r="C2110" s="82" t="s">
        <v>11103</v>
      </c>
      <c r="D2110" s="82" t="s">
        <v>11104</v>
      </c>
      <c r="E2110" s="82">
        <v>6282124027899</v>
      </c>
      <c r="F2110" s="86">
        <v>45854</v>
      </c>
      <c r="G2110" s="87">
        <v>1623</v>
      </c>
      <c r="H2110" s="88">
        <v>8422.1525600835939</v>
      </c>
      <c r="I2110" s="89">
        <v>29</v>
      </c>
      <c r="J2110" s="90">
        <v>16120</v>
      </c>
      <c r="K2110" s="85">
        <v>2</v>
      </c>
      <c r="L2110" s="85">
        <v>359</v>
      </c>
      <c r="M2110" s="85">
        <v>0</v>
      </c>
      <c r="N2110" s="82" t="s">
        <v>11105</v>
      </c>
      <c r="O2110" s="83"/>
    </row>
    <row r="2111" spans="1:15" ht="22.5" customHeight="1">
      <c r="A2111" s="85">
        <v>766589657993298</v>
      </c>
      <c r="B2111" s="82" t="s">
        <v>10688</v>
      </c>
      <c r="C2111" s="82" t="s">
        <v>11026</v>
      </c>
      <c r="D2111" s="82" t="s">
        <v>1172</v>
      </c>
      <c r="E2111" s="82">
        <v>6285950836788</v>
      </c>
      <c r="F2111" s="86">
        <v>45854</v>
      </c>
      <c r="G2111" s="87">
        <v>498</v>
      </c>
      <c r="H2111" s="88">
        <v>27330.86876155268</v>
      </c>
      <c r="I2111" s="89">
        <v>14</v>
      </c>
      <c r="J2111" s="90">
        <v>14786</v>
      </c>
      <c r="K2111" s="85">
        <v>4</v>
      </c>
      <c r="L2111" s="85">
        <v>170</v>
      </c>
      <c r="M2111" s="85">
        <v>1</v>
      </c>
      <c r="N2111" s="82" t="s">
        <v>11027</v>
      </c>
      <c r="O2111" s="83"/>
    </row>
    <row r="2112" spans="1:15" ht="22.5" customHeight="1">
      <c r="A2112" s="85">
        <v>766589657993298</v>
      </c>
      <c r="B2112" s="82" t="s">
        <v>10688</v>
      </c>
      <c r="C2112" s="82" t="s">
        <v>11028</v>
      </c>
      <c r="D2112" s="82" t="s">
        <v>11029</v>
      </c>
      <c r="E2112" s="82">
        <v>6282338171577</v>
      </c>
      <c r="F2112" s="86">
        <v>45854</v>
      </c>
      <c r="G2112" s="87">
        <v>867</v>
      </c>
      <c r="H2112" s="88">
        <v>15740.775780510879</v>
      </c>
      <c r="I2112" s="89">
        <v>31</v>
      </c>
      <c r="J2112" s="90">
        <v>16638</v>
      </c>
      <c r="K2112" s="85">
        <v>3</v>
      </c>
      <c r="L2112" s="85">
        <v>308</v>
      </c>
      <c r="M2112" s="85">
        <v>0</v>
      </c>
      <c r="N2112" s="82" t="s">
        <v>11030</v>
      </c>
      <c r="O2112" s="83"/>
    </row>
    <row r="2113" spans="1:15" ht="22.5" customHeight="1">
      <c r="A2113" s="85">
        <v>759724529202804</v>
      </c>
      <c r="B2113" s="82" t="s">
        <v>10621</v>
      </c>
      <c r="C2113" s="82" t="s">
        <v>11337</v>
      </c>
      <c r="D2113" s="82" t="s">
        <v>2336</v>
      </c>
      <c r="E2113" s="82">
        <v>6289608357133</v>
      </c>
      <c r="F2113" s="86">
        <v>45855</v>
      </c>
      <c r="G2113" s="87">
        <v>581</v>
      </c>
      <c r="H2113" s="88">
        <v>20215.542521994135</v>
      </c>
      <c r="I2113" s="89">
        <v>20</v>
      </c>
      <c r="J2113" s="90">
        <v>13787</v>
      </c>
      <c r="K2113" s="85">
        <v>4</v>
      </c>
      <c r="L2113" s="85">
        <v>245</v>
      </c>
      <c r="M2113" s="85">
        <v>0</v>
      </c>
      <c r="N2113" s="82" t="s">
        <v>11338</v>
      </c>
      <c r="O2113" s="83"/>
    </row>
    <row r="2114" spans="1:15" ht="22.5" customHeight="1">
      <c r="A2114" s="85">
        <v>759724529202804</v>
      </c>
      <c r="B2114" s="82" t="s">
        <v>10621</v>
      </c>
      <c r="C2114" s="82" t="s">
        <v>11321</v>
      </c>
      <c r="D2114" s="82" t="s">
        <v>2240</v>
      </c>
      <c r="E2114" s="82">
        <v>6285339158435</v>
      </c>
      <c r="F2114" s="86">
        <v>45855</v>
      </c>
      <c r="G2114" s="87">
        <v>1034</v>
      </c>
      <c r="H2114" s="88">
        <v>10017.532029669588</v>
      </c>
      <c r="I2114" s="89">
        <v>74</v>
      </c>
      <c r="J2114" s="90">
        <v>14856</v>
      </c>
      <c r="K2114" s="85">
        <v>7</v>
      </c>
      <c r="L2114" s="85">
        <v>736</v>
      </c>
      <c r="M2114" s="85">
        <v>2</v>
      </c>
      <c r="N2114" s="82" t="s">
        <v>11339</v>
      </c>
      <c r="O2114" s="83"/>
    </row>
    <row r="2115" spans="1:15" ht="22.5" customHeight="1">
      <c r="A2115" s="85">
        <v>759724529202804</v>
      </c>
      <c r="B2115" s="82" t="s">
        <v>10621</v>
      </c>
      <c r="C2115" s="82" t="s">
        <v>11323</v>
      </c>
      <c r="D2115" s="82" t="s">
        <v>11340</v>
      </c>
      <c r="E2115" s="82">
        <v>6281916331011</v>
      </c>
      <c r="F2115" s="86">
        <v>45855</v>
      </c>
      <c r="G2115" s="87">
        <v>571</v>
      </c>
      <c r="H2115" s="88">
        <v>24067.484662576684</v>
      </c>
      <c r="I2115" s="89">
        <v>25</v>
      </c>
      <c r="J2115" s="90">
        <v>15692</v>
      </c>
      <c r="K2115" s="85">
        <v>7</v>
      </c>
      <c r="L2115" s="85">
        <v>294</v>
      </c>
      <c r="M2115" s="85">
        <v>0</v>
      </c>
      <c r="N2115" s="82" t="s">
        <v>11341</v>
      </c>
      <c r="O2115" s="83"/>
    </row>
    <row r="2116" spans="1:15" ht="22.5" customHeight="1">
      <c r="A2116" s="85">
        <v>759724529202804</v>
      </c>
      <c r="B2116" s="82" t="s">
        <v>10621</v>
      </c>
      <c r="C2116" s="82" t="s">
        <v>11306</v>
      </c>
      <c r="D2116" s="82" t="s">
        <v>11307</v>
      </c>
      <c r="E2116" s="82">
        <v>6282258462258</v>
      </c>
      <c r="F2116" s="86">
        <v>45855</v>
      </c>
      <c r="G2116" s="87">
        <v>907</v>
      </c>
      <c r="H2116" s="88">
        <v>13824.704813805631</v>
      </c>
      <c r="I2116" s="89">
        <v>39</v>
      </c>
      <c r="J2116" s="90">
        <v>15221</v>
      </c>
      <c r="K2116" s="85">
        <v>2</v>
      </c>
      <c r="L2116" s="85">
        <v>253</v>
      </c>
      <c r="M2116" s="85">
        <v>0</v>
      </c>
      <c r="N2116" s="82" t="s">
        <v>11308</v>
      </c>
      <c r="O2116" s="83"/>
    </row>
    <row r="2117" spans="1:15" ht="22.5" customHeight="1">
      <c r="A2117" s="85">
        <v>759724529202804</v>
      </c>
      <c r="B2117" s="82" t="s">
        <v>10621</v>
      </c>
      <c r="C2117" s="82" t="s">
        <v>11266</v>
      </c>
      <c r="D2117" s="82" t="s">
        <v>11267</v>
      </c>
      <c r="E2117" s="82">
        <v>6281904501876</v>
      </c>
      <c r="F2117" s="86">
        <v>45855</v>
      </c>
      <c r="G2117" s="87">
        <v>1155</v>
      </c>
      <c r="H2117" s="88">
        <v>11300.573888091822</v>
      </c>
      <c r="I2117" s="89">
        <v>31</v>
      </c>
      <c r="J2117" s="90">
        <v>15753</v>
      </c>
      <c r="K2117" s="85">
        <v>1</v>
      </c>
      <c r="L2117" s="85">
        <v>129</v>
      </c>
      <c r="M2117" s="85">
        <v>0</v>
      </c>
      <c r="N2117" s="82" t="s">
        <v>11268</v>
      </c>
      <c r="O2117" s="83"/>
    </row>
    <row r="2118" spans="1:15" ht="22.5" customHeight="1">
      <c r="A2118" s="85">
        <v>759724529202804</v>
      </c>
      <c r="B2118" s="82" t="s">
        <v>10621</v>
      </c>
      <c r="C2118" s="82" t="s">
        <v>11070</v>
      </c>
      <c r="D2118" s="82" t="s">
        <v>11071</v>
      </c>
      <c r="E2118" s="82">
        <v>6281246211381</v>
      </c>
      <c r="F2118" s="86">
        <v>45855</v>
      </c>
      <c r="G2118" s="87">
        <v>689</v>
      </c>
      <c r="H2118" s="88">
        <v>19460.746460746461</v>
      </c>
      <c r="I2118" s="89">
        <v>15</v>
      </c>
      <c r="J2118" s="90">
        <v>15121</v>
      </c>
      <c r="K2118" s="85">
        <v>1</v>
      </c>
      <c r="L2118" s="85">
        <v>15</v>
      </c>
      <c r="M2118" s="85">
        <v>0</v>
      </c>
      <c r="N2118" s="82" t="s">
        <v>11072</v>
      </c>
      <c r="O2118" s="83"/>
    </row>
    <row r="2119" spans="1:15" ht="22.5" customHeight="1">
      <c r="A2119" s="85">
        <v>759724529202804</v>
      </c>
      <c r="B2119" s="82" t="s">
        <v>10621</v>
      </c>
      <c r="C2119" s="82" t="s">
        <v>11016</v>
      </c>
      <c r="D2119" s="82" t="s">
        <v>1530</v>
      </c>
      <c r="E2119" s="82">
        <v>628111988553</v>
      </c>
      <c r="F2119" s="86">
        <v>45855</v>
      </c>
      <c r="G2119" s="87">
        <v>185</v>
      </c>
      <c r="H2119" s="88">
        <v>71069.444444444438</v>
      </c>
      <c r="I2119" s="89">
        <v>7</v>
      </c>
      <c r="J2119" s="90">
        <v>15351</v>
      </c>
      <c r="K2119" s="85">
        <v>1</v>
      </c>
      <c r="L2119" s="85">
        <v>7</v>
      </c>
      <c r="M2119" s="85">
        <v>0</v>
      </c>
      <c r="N2119" s="82" t="s">
        <v>11017</v>
      </c>
      <c r="O2119" s="83"/>
    </row>
    <row r="2120" spans="1:15" ht="22.5" customHeight="1">
      <c r="A2120" s="85">
        <v>759724529202804</v>
      </c>
      <c r="B2120" s="82" t="s">
        <v>10621</v>
      </c>
      <c r="C2120" s="82" t="s">
        <v>10986</v>
      </c>
      <c r="D2120" s="82" t="s">
        <v>10987</v>
      </c>
      <c r="E2120" s="82">
        <v>6281282183261</v>
      </c>
      <c r="F2120" s="86">
        <v>45855</v>
      </c>
      <c r="G2120" s="87">
        <v>414</v>
      </c>
      <c r="H2120" s="88">
        <v>30656.314699792962</v>
      </c>
      <c r="I2120" s="89">
        <v>11</v>
      </c>
      <c r="J2120" s="90">
        <v>14807</v>
      </c>
      <c r="K2120" s="85">
        <v>3</v>
      </c>
      <c r="L2120" s="85">
        <v>0</v>
      </c>
      <c r="M2120" s="85">
        <v>0</v>
      </c>
      <c r="N2120" s="82" t="s">
        <v>10988</v>
      </c>
      <c r="O2120" s="83"/>
    </row>
    <row r="2121" spans="1:15" ht="22.5" customHeight="1">
      <c r="A2121" s="85">
        <v>174904221976312</v>
      </c>
      <c r="B2121" s="82" t="s">
        <v>10651</v>
      </c>
      <c r="C2121" s="82" t="s">
        <v>11342</v>
      </c>
      <c r="D2121" s="82" t="s">
        <v>2266</v>
      </c>
      <c r="E2121" s="82">
        <v>6282277773540</v>
      </c>
      <c r="F2121" s="86">
        <v>45855</v>
      </c>
      <c r="G2121" s="87">
        <v>797</v>
      </c>
      <c r="H2121" s="88">
        <v>16220.536756126019</v>
      </c>
      <c r="I2121" s="89">
        <v>32</v>
      </c>
      <c r="J2121" s="90">
        <v>13901</v>
      </c>
      <c r="K2121" s="85">
        <v>3</v>
      </c>
      <c r="L2121" s="85">
        <v>0</v>
      </c>
      <c r="M2121" s="85">
        <v>0</v>
      </c>
      <c r="N2121" s="82" t="s">
        <v>11343</v>
      </c>
      <c r="O2121" s="83"/>
    </row>
    <row r="2122" spans="1:15" ht="22.5" customHeight="1">
      <c r="A2122" s="85">
        <v>174904221976312</v>
      </c>
      <c r="B2122" s="82" t="s">
        <v>10651</v>
      </c>
      <c r="C2122" s="82" t="s">
        <v>11325</v>
      </c>
      <c r="D2122" s="82" t="s">
        <v>2274</v>
      </c>
      <c r="E2122" s="82">
        <v>6281316839343</v>
      </c>
      <c r="F2122" s="86">
        <v>45855</v>
      </c>
      <c r="G2122" s="87">
        <v>826</v>
      </c>
      <c r="H2122" s="88">
        <v>14340.694006309148</v>
      </c>
      <c r="I2122" s="89">
        <v>41</v>
      </c>
      <c r="J2122" s="90">
        <v>13638</v>
      </c>
      <c r="K2122" s="85">
        <v>7</v>
      </c>
      <c r="L2122" s="85">
        <v>90</v>
      </c>
      <c r="M2122" s="85">
        <v>2</v>
      </c>
      <c r="N2122" s="82" t="s">
        <v>11344</v>
      </c>
      <c r="O2122" s="83"/>
    </row>
    <row r="2123" spans="1:15" ht="22.5" customHeight="1">
      <c r="A2123" s="85">
        <v>174904221976312</v>
      </c>
      <c r="B2123" s="82" t="s">
        <v>10651</v>
      </c>
      <c r="C2123" s="82" t="s">
        <v>11327</v>
      </c>
      <c r="D2123" s="82" t="s">
        <v>11345</v>
      </c>
      <c r="E2123" s="82">
        <v>6282339444339</v>
      </c>
      <c r="F2123" s="86">
        <v>45855</v>
      </c>
      <c r="G2123" s="87">
        <v>381</v>
      </c>
      <c r="H2123" s="88">
        <v>26502.525252525251</v>
      </c>
      <c r="I2123" s="89">
        <v>10</v>
      </c>
      <c r="J2123" s="90">
        <v>10495</v>
      </c>
      <c r="K2123" s="85">
        <v>2</v>
      </c>
      <c r="L2123" s="85">
        <v>0</v>
      </c>
      <c r="M2123" s="85">
        <v>1</v>
      </c>
      <c r="N2123" s="82" t="s">
        <v>11346</v>
      </c>
      <c r="O2123" s="83"/>
    </row>
    <row r="2124" spans="1:15" ht="22.5" customHeight="1">
      <c r="A2124" s="85">
        <v>174904221976312</v>
      </c>
      <c r="B2124" s="82" t="s">
        <v>10651</v>
      </c>
      <c r="C2124" s="82" t="s">
        <v>11329</v>
      </c>
      <c r="D2124" s="82" t="s">
        <v>11347</v>
      </c>
      <c r="E2124" s="82">
        <v>6287757150828</v>
      </c>
      <c r="F2124" s="86">
        <v>45855</v>
      </c>
      <c r="G2124" s="87">
        <v>463</v>
      </c>
      <c r="H2124" s="88">
        <v>24719.696969696968</v>
      </c>
      <c r="I2124" s="89">
        <v>16</v>
      </c>
      <c r="J2124" s="90">
        <v>13052</v>
      </c>
      <c r="K2124" s="85">
        <v>3</v>
      </c>
      <c r="L2124" s="85">
        <v>151</v>
      </c>
      <c r="M2124" s="85">
        <v>0</v>
      </c>
      <c r="N2124" s="82" t="s">
        <v>11348</v>
      </c>
      <c r="O2124" s="83"/>
    </row>
    <row r="2125" spans="1:15" ht="22.5" customHeight="1">
      <c r="A2125" s="85">
        <v>174904221976312</v>
      </c>
      <c r="B2125" s="82" t="s">
        <v>10651</v>
      </c>
      <c r="C2125" s="82" t="s">
        <v>11331</v>
      </c>
      <c r="D2125" s="82" t="s">
        <v>2280</v>
      </c>
      <c r="E2125" s="82">
        <v>6285384321677</v>
      </c>
      <c r="F2125" s="86">
        <v>45855</v>
      </c>
      <c r="G2125" s="87">
        <v>517</v>
      </c>
      <c r="H2125" s="88">
        <v>21227.692307692309</v>
      </c>
      <c r="I2125" s="89">
        <v>8</v>
      </c>
      <c r="J2125" s="90">
        <v>13798</v>
      </c>
      <c r="K2125" s="85">
        <v>2</v>
      </c>
      <c r="L2125" s="85">
        <v>129</v>
      </c>
      <c r="M2125" s="85">
        <v>0</v>
      </c>
      <c r="N2125" s="82" t="s">
        <v>11349</v>
      </c>
      <c r="O2125" s="83"/>
    </row>
    <row r="2126" spans="1:15" ht="22.5" customHeight="1">
      <c r="A2126" s="85">
        <v>174904221976312</v>
      </c>
      <c r="B2126" s="82" t="s">
        <v>10651</v>
      </c>
      <c r="C2126" s="82" t="s">
        <v>11333</v>
      </c>
      <c r="D2126" s="82" t="s">
        <v>1793</v>
      </c>
      <c r="E2126" s="82">
        <v>6283845117965</v>
      </c>
      <c r="F2126" s="86">
        <v>45855</v>
      </c>
      <c r="G2126" s="87">
        <v>1171</v>
      </c>
      <c r="H2126" s="88">
        <v>10861.22125297383</v>
      </c>
      <c r="I2126" s="89">
        <v>27</v>
      </c>
      <c r="J2126" s="90">
        <v>13696</v>
      </c>
      <c r="K2126" s="85">
        <v>2</v>
      </c>
      <c r="L2126" s="85">
        <v>0</v>
      </c>
      <c r="M2126" s="85">
        <v>2</v>
      </c>
      <c r="N2126" s="82" t="s">
        <v>11334</v>
      </c>
      <c r="O2126" s="83"/>
    </row>
    <row r="2127" spans="1:15" ht="22.5" customHeight="1">
      <c r="A2127" s="85">
        <v>174904221976312</v>
      </c>
      <c r="B2127" s="82" t="s">
        <v>10651</v>
      </c>
      <c r="C2127" s="82" t="s">
        <v>11309</v>
      </c>
      <c r="D2127" s="82" t="s">
        <v>11350</v>
      </c>
      <c r="E2127" s="82">
        <v>6281229745253</v>
      </c>
      <c r="F2127" s="86">
        <v>45855</v>
      </c>
      <c r="G2127" s="87">
        <v>210</v>
      </c>
      <c r="H2127" s="88">
        <v>48411.255411255413</v>
      </c>
      <c r="I2127" s="89">
        <v>8</v>
      </c>
      <c r="J2127" s="90">
        <v>11183</v>
      </c>
      <c r="K2127" s="85">
        <v>1</v>
      </c>
      <c r="L2127" s="85">
        <v>84</v>
      </c>
      <c r="M2127" s="85">
        <v>0</v>
      </c>
      <c r="N2127" s="82" t="s">
        <v>11351</v>
      </c>
      <c r="O2127" s="83"/>
    </row>
    <row r="2128" spans="1:15" ht="22.5" customHeight="1">
      <c r="A2128" s="85">
        <v>174904221976312</v>
      </c>
      <c r="B2128" s="82" t="s">
        <v>10651</v>
      </c>
      <c r="C2128" s="82" t="s">
        <v>11311</v>
      </c>
      <c r="D2128" s="82" t="s">
        <v>11352</v>
      </c>
      <c r="E2128" s="82">
        <v>6285696765224</v>
      </c>
      <c r="F2128" s="86">
        <v>45855</v>
      </c>
      <c r="G2128" s="87">
        <v>515</v>
      </c>
      <c r="H2128" s="88">
        <v>24231.958762886599</v>
      </c>
      <c r="I2128" s="89">
        <v>17</v>
      </c>
      <c r="J2128" s="90">
        <v>14103</v>
      </c>
      <c r="K2128" s="85">
        <v>2</v>
      </c>
      <c r="L2128" s="85">
        <v>39</v>
      </c>
      <c r="M2128" s="85">
        <v>1</v>
      </c>
      <c r="N2128" s="82" t="s">
        <v>11353</v>
      </c>
      <c r="O2128" s="83"/>
    </row>
    <row r="2129" spans="1:15" ht="22.5" customHeight="1">
      <c r="A2129" s="85">
        <v>174904221976312</v>
      </c>
      <c r="B2129" s="82" t="s">
        <v>10651</v>
      </c>
      <c r="C2129" s="82" t="s">
        <v>11313</v>
      </c>
      <c r="D2129" s="82" t="s">
        <v>11354</v>
      </c>
      <c r="E2129" s="82">
        <v>6285789446955</v>
      </c>
      <c r="F2129" s="86">
        <v>45855</v>
      </c>
      <c r="G2129" s="87">
        <v>1069</v>
      </c>
      <c r="H2129" s="88">
        <v>10695.550351288055</v>
      </c>
      <c r="I2129" s="89">
        <v>18</v>
      </c>
      <c r="J2129" s="90">
        <v>13701</v>
      </c>
      <c r="K2129" s="85">
        <v>2</v>
      </c>
      <c r="L2129" s="85">
        <v>88</v>
      </c>
      <c r="M2129" s="85">
        <v>0</v>
      </c>
      <c r="N2129" s="82" t="s">
        <v>11355</v>
      </c>
      <c r="O2129" s="83"/>
    </row>
    <row r="2130" spans="1:15" ht="22.5" customHeight="1">
      <c r="A2130" s="85">
        <v>174904221976312</v>
      </c>
      <c r="B2130" s="82" t="s">
        <v>10651</v>
      </c>
      <c r="C2130" s="82" t="s">
        <v>11269</v>
      </c>
      <c r="D2130" s="82" t="s">
        <v>11270</v>
      </c>
      <c r="E2130" s="82">
        <v>6287856746423</v>
      </c>
      <c r="F2130" s="86">
        <v>45855</v>
      </c>
      <c r="G2130" s="87">
        <v>216</v>
      </c>
      <c r="H2130" s="88">
        <v>53405.622489959838</v>
      </c>
      <c r="I2130" s="89">
        <v>3</v>
      </c>
      <c r="J2130" s="90">
        <v>13298</v>
      </c>
      <c r="K2130" s="85">
        <v>2</v>
      </c>
      <c r="L2130" s="85">
        <v>7</v>
      </c>
      <c r="M2130" s="85">
        <v>0</v>
      </c>
      <c r="N2130" s="82" t="s">
        <v>11271</v>
      </c>
      <c r="O2130" s="83"/>
    </row>
    <row r="2131" spans="1:15" ht="22.5" customHeight="1">
      <c r="A2131" s="85">
        <v>174904221976312</v>
      </c>
      <c r="B2131" s="82" t="s">
        <v>10651</v>
      </c>
      <c r="C2131" s="82" t="s">
        <v>11272</v>
      </c>
      <c r="D2131" s="82" t="s">
        <v>11273</v>
      </c>
      <c r="E2131" s="82">
        <v>6281253629810</v>
      </c>
      <c r="F2131" s="86">
        <v>45855</v>
      </c>
      <c r="G2131" s="87">
        <v>1796</v>
      </c>
      <c r="H2131" s="88">
        <v>6350</v>
      </c>
      <c r="I2131" s="89">
        <v>31</v>
      </c>
      <c r="J2131" s="90">
        <v>13335</v>
      </c>
      <c r="K2131" s="85">
        <v>1</v>
      </c>
      <c r="L2131" s="85">
        <v>313</v>
      </c>
      <c r="M2131" s="85">
        <v>0</v>
      </c>
      <c r="N2131" s="82" t="s">
        <v>11274</v>
      </c>
      <c r="O2131" s="83"/>
    </row>
    <row r="2132" spans="1:15" ht="22.5" customHeight="1">
      <c r="A2132" s="85">
        <v>174904221976312</v>
      </c>
      <c r="B2132" s="82" t="s">
        <v>10651</v>
      </c>
      <c r="C2132" s="82" t="s">
        <v>11275</v>
      </c>
      <c r="D2132" s="82" t="s">
        <v>11276</v>
      </c>
      <c r="E2132" s="82">
        <v>6289517787985</v>
      </c>
      <c r="F2132" s="86">
        <v>45855</v>
      </c>
      <c r="G2132" s="87">
        <v>893</v>
      </c>
      <c r="H2132" s="88">
        <v>10733.082706766916</v>
      </c>
      <c r="I2132" s="89">
        <v>25</v>
      </c>
      <c r="J2132" s="90">
        <v>11420</v>
      </c>
      <c r="K2132" s="85">
        <v>2</v>
      </c>
      <c r="L2132" s="85">
        <v>258</v>
      </c>
      <c r="M2132" s="85">
        <v>0</v>
      </c>
      <c r="N2132" s="82" t="s">
        <v>11277</v>
      </c>
      <c r="O2132" s="83"/>
    </row>
    <row r="2133" spans="1:15" ht="22.5" customHeight="1">
      <c r="A2133" s="85">
        <v>174904221976312</v>
      </c>
      <c r="B2133" s="82" t="s">
        <v>10651</v>
      </c>
      <c r="C2133" s="82" t="s">
        <v>11278</v>
      </c>
      <c r="D2133" s="82" t="s">
        <v>2202</v>
      </c>
      <c r="E2133" s="82">
        <v>62895374644456</v>
      </c>
      <c r="F2133" s="86">
        <v>45855</v>
      </c>
      <c r="G2133" s="87">
        <v>1124</v>
      </c>
      <c r="H2133" s="88">
        <v>11768.930523028883</v>
      </c>
      <c r="I2133" s="89">
        <v>49</v>
      </c>
      <c r="J2133" s="90">
        <v>15076</v>
      </c>
      <c r="K2133" s="85">
        <v>3</v>
      </c>
      <c r="L2133" s="85">
        <v>479</v>
      </c>
      <c r="M2133" s="85">
        <v>1</v>
      </c>
      <c r="N2133" s="82" t="s">
        <v>11279</v>
      </c>
      <c r="O2133" s="83"/>
    </row>
    <row r="2134" spans="1:15" ht="22.5" customHeight="1">
      <c r="A2134" s="85">
        <v>174904221976312</v>
      </c>
      <c r="B2134" s="82" t="s">
        <v>10651</v>
      </c>
      <c r="C2134" s="82" t="s">
        <v>11280</v>
      </c>
      <c r="D2134" s="82" t="s">
        <v>2151</v>
      </c>
      <c r="E2134" s="82">
        <v>6281252228100</v>
      </c>
      <c r="F2134" s="86">
        <v>45855</v>
      </c>
      <c r="G2134" s="87">
        <v>461</v>
      </c>
      <c r="H2134" s="88">
        <v>39905.544147843939</v>
      </c>
      <c r="I2134" s="89">
        <v>12</v>
      </c>
      <c r="J2134" s="90">
        <v>19434</v>
      </c>
      <c r="K2134" s="85">
        <v>1</v>
      </c>
      <c r="L2134" s="85">
        <v>104</v>
      </c>
      <c r="M2134" s="85">
        <v>0</v>
      </c>
      <c r="N2134" s="82" t="s">
        <v>11281</v>
      </c>
      <c r="O2134" s="83"/>
    </row>
    <row r="2135" spans="1:15" ht="22.5" customHeight="1">
      <c r="A2135" s="85">
        <v>174904221976312</v>
      </c>
      <c r="B2135" s="82" t="s">
        <v>10651</v>
      </c>
      <c r="C2135" s="82" t="s">
        <v>11282</v>
      </c>
      <c r="D2135" s="82" t="s">
        <v>1044</v>
      </c>
      <c r="E2135" s="82">
        <v>6281263113266</v>
      </c>
      <c r="F2135" s="86">
        <v>45855</v>
      </c>
      <c r="G2135" s="87">
        <v>1376</v>
      </c>
      <c r="H2135" s="88">
        <v>9523.8095238095229</v>
      </c>
      <c r="I2135" s="89">
        <v>49</v>
      </c>
      <c r="J2135" s="90">
        <v>14600</v>
      </c>
      <c r="K2135" s="85">
        <v>7</v>
      </c>
      <c r="L2135" s="85">
        <v>578</v>
      </c>
      <c r="M2135" s="85">
        <v>1</v>
      </c>
      <c r="N2135" s="82" t="s">
        <v>10728</v>
      </c>
      <c r="O2135" s="83"/>
    </row>
    <row r="2136" spans="1:15" ht="22.5" customHeight="1">
      <c r="A2136" s="85">
        <v>174904221976312</v>
      </c>
      <c r="B2136" s="82" t="s">
        <v>10651</v>
      </c>
      <c r="C2136" s="82" t="s">
        <v>11283</v>
      </c>
      <c r="D2136" s="82" t="s">
        <v>11284</v>
      </c>
      <c r="E2136" s="82">
        <v>6285150556695</v>
      </c>
      <c r="F2136" s="86">
        <v>45855</v>
      </c>
      <c r="G2136" s="87">
        <v>130</v>
      </c>
      <c r="H2136" s="88">
        <v>85459.119496855346</v>
      </c>
      <c r="I2136" s="89">
        <v>4</v>
      </c>
      <c r="J2136" s="90">
        <v>13588</v>
      </c>
      <c r="K2136" s="85">
        <v>0</v>
      </c>
      <c r="L2136" s="85">
        <v>59</v>
      </c>
      <c r="M2136" s="85">
        <v>0</v>
      </c>
      <c r="N2136" s="82" t="s">
        <v>11285</v>
      </c>
      <c r="O2136" s="83"/>
    </row>
    <row r="2137" spans="1:15" ht="22.5" customHeight="1">
      <c r="A2137" s="85">
        <v>174904221976312</v>
      </c>
      <c r="B2137" s="82" t="s">
        <v>10651</v>
      </c>
      <c r="C2137" s="82" t="s">
        <v>11291</v>
      </c>
      <c r="D2137" s="82" t="s">
        <v>11292</v>
      </c>
      <c r="E2137" s="82">
        <v>6283183643221</v>
      </c>
      <c r="F2137" s="86">
        <v>45855</v>
      </c>
      <c r="G2137" s="87">
        <v>175</v>
      </c>
      <c r="H2137" s="88">
        <v>66443.298969072159</v>
      </c>
      <c r="I2137" s="89">
        <v>7</v>
      </c>
      <c r="J2137" s="90">
        <v>12890</v>
      </c>
      <c r="K2137" s="85">
        <v>0</v>
      </c>
      <c r="L2137" s="85">
        <v>75</v>
      </c>
      <c r="M2137" s="85">
        <v>1</v>
      </c>
      <c r="N2137" s="82" t="s">
        <v>11293</v>
      </c>
      <c r="O2137" s="83"/>
    </row>
    <row r="2138" spans="1:15" ht="22.5" customHeight="1">
      <c r="A2138" s="85">
        <v>174904221976312</v>
      </c>
      <c r="B2138" s="82" t="s">
        <v>10651</v>
      </c>
      <c r="C2138" s="82" t="s">
        <v>11255</v>
      </c>
      <c r="D2138" s="82" t="s">
        <v>11256</v>
      </c>
      <c r="E2138" s="82">
        <v>6287715704997</v>
      </c>
      <c r="F2138" s="86">
        <v>45855</v>
      </c>
      <c r="G2138" s="87">
        <v>157</v>
      </c>
      <c r="H2138" s="88">
        <v>92878.612716763004</v>
      </c>
      <c r="I2138" s="89">
        <v>7</v>
      </c>
      <c r="J2138" s="90">
        <v>16068</v>
      </c>
      <c r="K2138" s="85">
        <v>2</v>
      </c>
      <c r="L2138" s="85">
        <v>0</v>
      </c>
      <c r="M2138" s="85">
        <v>0</v>
      </c>
      <c r="N2138" s="82" t="s">
        <v>11257</v>
      </c>
      <c r="O2138" s="83"/>
    </row>
    <row r="2139" spans="1:15" ht="22.5" customHeight="1">
      <c r="A2139" s="85">
        <v>174904221976312</v>
      </c>
      <c r="B2139" s="82" t="s">
        <v>10651</v>
      </c>
      <c r="C2139" s="82" t="s">
        <v>11217</v>
      </c>
      <c r="D2139" s="82" t="s">
        <v>2043</v>
      </c>
      <c r="E2139" s="82">
        <v>6282298717014</v>
      </c>
      <c r="F2139" s="86">
        <v>45855</v>
      </c>
      <c r="G2139" s="87">
        <v>439</v>
      </c>
      <c r="H2139" s="88">
        <v>29083.657587548638</v>
      </c>
      <c r="I2139" s="89">
        <v>18</v>
      </c>
      <c r="J2139" s="90">
        <v>14949</v>
      </c>
      <c r="K2139" s="85">
        <v>3</v>
      </c>
      <c r="L2139" s="85">
        <v>2</v>
      </c>
      <c r="M2139" s="85">
        <v>0</v>
      </c>
      <c r="N2139" s="82" t="s">
        <v>11218</v>
      </c>
      <c r="O2139" s="83"/>
    </row>
    <row r="2140" spans="1:15" ht="22.5" customHeight="1">
      <c r="A2140" s="85">
        <v>174904221976312</v>
      </c>
      <c r="B2140" s="82" t="s">
        <v>10651</v>
      </c>
      <c r="C2140" s="82" t="s">
        <v>11225</v>
      </c>
      <c r="D2140" s="82" t="s">
        <v>11226</v>
      </c>
      <c r="E2140" s="82">
        <v>6281240144744</v>
      </c>
      <c r="F2140" s="86">
        <v>45855</v>
      </c>
      <c r="G2140" s="87">
        <v>2017</v>
      </c>
      <c r="H2140" s="88">
        <v>6356.8316831683169</v>
      </c>
      <c r="I2140" s="89">
        <v>45</v>
      </c>
      <c r="J2140" s="90">
        <v>16051</v>
      </c>
      <c r="K2140" s="85">
        <v>4</v>
      </c>
      <c r="L2140" s="85">
        <v>337</v>
      </c>
      <c r="M2140" s="85">
        <v>1</v>
      </c>
      <c r="N2140" s="82" t="s">
        <v>11227</v>
      </c>
      <c r="O2140" s="83"/>
    </row>
    <row r="2141" spans="1:15" ht="22.5" customHeight="1">
      <c r="A2141" s="85">
        <v>174904221976312</v>
      </c>
      <c r="B2141" s="82" t="s">
        <v>10651</v>
      </c>
      <c r="C2141" s="82" t="s">
        <v>11187</v>
      </c>
      <c r="D2141" s="82" t="s">
        <v>1938</v>
      </c>
      <c r="E2141" s="82">
        <v>6285956579758</v>
      </c>
      <c r="F2141" s="86">
        <v>45855</v>
      </c>
      <c r="G2141" s="87">
        <v>196</v>
      </c>
      <c r="H2141" s="88">
        <v>58196.428571428572</v>
      </c>
      <c r="I2141" s="89">
        <v>3</v>
      </c>
      <c r="J2141" s="90">
        <v>13036</v>
      </c>
      <c r="K2141" s="85">
        <v>0</v>
      </c>
      <c r="L2141" s="85">
        <v>37</v>
      </c>
      <c r="M2141" s="85">
        <v>0</v>
      </c>
      <c r="N2141" s="82" t="s">
        <v>11188</v>
      </c>
      <c r="O2141" s="83"/>
    </row>
    <row r="2142" spans="1:15" ht="22.5" customHeight="1">
      <c r="A2142" s="85">
        <v>174904221976312</v>
      </c>
      <c r="B2142" s="82" t="s">
        <v>10651</v>
      </c>
      <c r="C2142" s="82" t="s">
        <v>11191</v>
      </c>
      <c r="D2142" s="82" t="s">
        <v>1976</v>
      </c>
      <c r="E2142" s="82">
        <v>6282136273086</v>
      </c>
      <c r="F2142" s="86">
        <v>45855</v>
      </c>
      <c r="G2142" s="87">
        <v>131</v>
      </c>
      <c r="H2142" s="88">
        <v>79892.405063291139</v>
      </c>
      <c r="I2142" s="89">
        <v>3</v>
      </c>
      <c r="J2142" s="90">
        <v>12623</v>
      </c>
      <c r="K2142" s="85">
        <v>1</v>
      </c>
      <c r="L2142" s="85">
        <v>46</v>
      </c>
      <c r="M2142" s="85">
        <v>0</v>
      </c>
      <c r="N2142" s="82" t="s">
        <v>11192</v>
      </c>
      <c r="O2142" s="83"/>
    </row>
    <row r="2143" spans="1:15" ht="22.5" customHeight="1">
      <c r="A2143" s="85">
        <v>174904221976312</v>
      </c>
      <c r="B2143" s="82" t="s">
        <v>10651</v>
      </c>
      <c r="C2143" s="82" t="s">
        <v>11193</v>
      </c>
      <c r="D2143" s="82" t="s">
        <v>11194</v>
      </c>
      <c r="E2143" s="82">
        <v>6281779578317</v>
      </c>
      <c r="F2143" s="86">
        <v>45855</v>
      </c>
      <c r="G2143" s="87">
        <v>1414</v>
      </c>
      <c r="H2143" s="88">
        <v>8545.1219512195112</v>
      </c>
      <c r="I2143" s="89">
        <v>56</v>
      </c>
      <c r="J2143" s="90">
        <v>14014</v>
      </c>
      <c r="K2143" s="85">
        <v>7</v>
      </c>
      <c r="L2143" s="85">
        <v>418</v>
      </c>
      <c r="M2143" s="85">
        <v>1</v>
      </c>
      <c r="N2143" s="82" t="s">
        <v>11195</v>
      </c>
      <c r="O2143" s="83"/>
    </row>
    <row r="2144" spans="1:15" ht="22.5" customHeight="1">
      <c r="A2144" s="85">
        <v>174904221976312</v>
      </c>
      <c r="B2144" s="82" t="s">
        <v>10651</v>
      </c>
      <c r="C2144" s="82" t="s">
        <v>11196</v>
      </c>
      <c r="D2144" s="82" t="s">
        <v>11197</v>
      </c>
      <c r="E2144" s="82">
        <v>6281412281953</v>
      </c>
      <c r="F2144" s="86">
        <v>45855</v>
      </c>
      <c r="G2144" s="87">
        <v>826</v>
      </c>
      <c r="H2144" s="88">
        <v>14364.646464646465</v>
      </c>
      <c r="I2144" s="89">
        <v>53</v>
      </c>
      <c r="J2144" s="90">
        <v>14221</v>
      </c>
      <c r="K2144" s="85">
        <v>6</v>
      </c>
      <c r="L2144" s="85">
        <v>340</v>
      </c>
      <c r="M2144" s="85">
        <v>0</v>
      </c>
      <c r="N2144" s="82" t="s">
        <v>11198</v>
      </c>
      <c r="O2144" s="83"/>
    </row>
    <row r="2145" spans="1:15" ht="22.5" customHeight="1">
      <c r="A2145" s="85">
        <v>174904221976312</v>
      </c>
      <c r="B2145" s="82" t="s">
        <v>10651</v>
      </c>
      <c r="C2145" s="82" t="s">
        <v>11199</v>
      </c>
      <c r="D2145" s="82" t="s">
        <v>1961</v>
      </c>
      <c r="E2145" s="82">
        <v>6281212295448</v>
      </c>
      <c r="F2145" s="86">
        <v>45855</v>
      </c>
      <c r="G2145" s="87">
        <v>1112</v>
      </c>
      <c r="H2145" s="88">
        <v>11166.79904686259</v>
      </c>
      <c r="I2145" s="89">
        <v>44</v>
      </c>
      <c r="J2145" s="90">
        <v>14059</v>
      </c>
      <c r="K2145" s="85">
        <v>2</v>
      </c>
      <c r="L2145" s="85">
        <v>502</v>
      </c>
      <c r="M2145" s="85">
        <v>0</v>
      </c>
      <c r="N2145" s="82" t="s">
        <v>11200</v>
      </c>
      <c r="O2145" s="83"/>
    </row>
    <row r="2146" spans="1:15" ht="22.5" customHeight="1">
      <c r="A2146" s="85">
        <v>174904221976312</v>
      </c>
      <c r="B2146" s="82" t="s">
        <v>10651</v>
      </c>
      <c r="C2146" s="82" t="s">
        <v>11153</v>
      </c>
      <c r="D2146" s="82" t="s">
        <v>11154</v>
      </c>
      <c r="E2146" s="82">
        <v>6285338137835</v>
      </c>
      <c r="F2146" s="86">
        <v>45855</v>
      </c>
      <c r="G2146" s="87">
        <v>443</v>
      </c>
      <c r="H2146" s="88">
        <v>23992.920353982299</v>
      </c>
      <c r="I2146" s="89">
        <v>9</v>
      </c>
      <c r="J2146" s="90">
        <v>13556</v>
      </c>
      <c r="K2146" s="85">
        <v>0</v>
      </c>
      <c r="L2146" s="85">
        <v>0</v>
      </c>
      <c r="M2146" s="85">
        <v>0</v>
      </c>
      <c r="N2146" s="82" t="s">
        <v>11155</v>
      </c>
      <c r="O2146" s="83"/>
    </row>
    <row r="2147" spans="1:15" ht="22.5" customHeight="1">
      <c r="A2147" s="85">
        <v>174904221976312</v>
      </c>
      <c r="B2147" s="82" t="s">
        <v>10651</v>
      </c>
      <c r="C2147" s="82" t="s">
        <v>11002</v>
      </c>
      <c r="D2147" s="82" t="s">
        <v>11003</v>
      </c>
      <c r="E2147" s="82">
        <v>6288228976100</v>
      </c>
      <c r="F2147" s="86">
        <v>45855</v>
      </c>
      <c r="G2147" s="87">
        <v>557</v>
      </c>
      <c r="H2147" s="88">
        <v>17935.843793584379</v>
      </c>
      <c r="I2147" s="89">
        <v>10</v>
      </c>
      <c r="J2147" s="90">
        <v>12860</v>
      </c>
      <c r="K2147" s="85">
        <v>1</v>
      </c>
      <c r="L2147" s="85">
        <v>137</v>
      </c>
      <c r="M2147" s="85">
        <v>0</v>
      </c>
      <c r="N2147" s="82" t="s">
        <v>11004</v>
      </c>
      <c r="O2147" s="83"/>
    </row>
    <row r="2148" spans="1:15" ht="22.5" customHeight="1">
      <c r="A2148" s="85">
        <v>174904221976312</v>
      </c>
      <c r="B2148" s="82" t="s">
        <v>10651</v>
      </c>
      <c r="C2148" s="82" t="s">
        <v>10853</v>
      </c>
      <c r="D2148" s="82" t="s">
        <v>10854</v>
      </c>
      <c r="E2148" s="82">
        <v>6281393958199</v>
      </c>
      <c r="F2148" s="86">
        <v>45855</v>
      </c>
      <c r="G2148" s="87">
        <v>1059</v>
      </c>
      <c r="H2148" s="88">
        <v>12074.346405228758</v>
      </c>
      <c r="I2148" s="89">
        <v>24</v>
      </c>
      <c r="J2148" s="90">
        <v>14779</v>
      </c>
      <c r="K2148" s="85">
        <v>1</v>
      </c>
      <c r="L2148" s="85">
        <v>401</v>
      </c>
      <c r="M2148" s="85">
        <v>0</v>
      </c>
      <c r="N2148" s="82" t="s">
        <v>10855</v>
      </c>
      <c r="O2148" s="83"/>
    </row>
    <row r="2149" spans="1:15" ht="22.5" customHeight="1">
      <c r="A2149" s="85">
        <v>174904221976312</v>
      </c>
      <c r="B2149" s="82" t="s">
        <v>10651</v>
      </c>
      <c r="C2149" s="82" t="s">
        <v>818</v>
      </c>
      <c r="D2149" s="82" t="s">
        <v>812</v>
      </c>
      <c r="E2149" s="82">
        <v>6287858585808</v>
      </c>
      <c r="F2149" s="86">
        <v>45855</v>
      </c>
      <c r="G2149" s="87">
        <v>608</v>
      </c>
      <c r="H2149" s="88">
        <v>16586.065573770491</v>
      </c>
      <c r="I2149" s="89">
        <v>11</v>
      </c>
      <c r="J2149" s="90">
        <v>12141</v>
      </c>
      <c r="K2149" s="85">
        <v>1</v>
      </c>
      <c r="L2149" s="85">
        <v>173</v>
      </c>
      <c r="M2149" s="85">
        <v>0</v>
      </c>
      <c r="N2149" s="82" t="s">
        <v>10831</v>
      </c>
      <c r="O2149" s="83"/>
    </row>
    <row r="2150" spans="1:15" ht="22.5" customHeight="1">
      <c r="A2150" s="85">
        <v>174904221976312</v>
      </c>
      <c r="B2150" s="82" t="s">
        <v>10651</v>
      </c>
      <c r="C2150" s="82" t="s">
        <v>8099</v>
      </c>
      <c r="D2150" s="82" t="s">
        <v>2357</v>
      </c>
      <c r="E2150" s="82">
        <v>6281221788919</v>
      </c>
      <c r="F2150" s="86">
        <v>45855</v>
      </c>
      <c r="G2150" s="87">
        <v>1216</v>
      </c>
      <c r="H2150" s="88">
        <v>8760.9663064208507</v>
      </c>
      <c r="I2150" s="89">
        <v>25</v>
      </c>
      <c r="J2150" s="90">
        <v>13781</v>
      </c>
      <c r="K2150" s="85">
        <v>0</v>
      </c>
      <c r="L2150" s="85">
        <v>353</v>
      </c>
      <c r="M2150" s="85">
        <v>0</v>
      </c>
      <c r="N2150" s="82" t="s">
        <v>10759</v>
      </c>
      <c r="O2150" s="83"/>
    </row>
    <row r="2151" spans="1:15" ht="22.5" customHeight="1">
      <c r="A2151" s="85">
        <v>174904221976312</v>
      </c>
      <c r="B2151" s="82" t="s">
        <v>10651</v>
      </c>
      <c r="C2151" s="82" t="s">
        <v>10673</v>
      </c>
      <c r="D2151" s="82" t="s">
        <v>10674</v>
      </c>
      <c r="E2151" s="82">
        <v>6282183184641</v>
      </c>
      <c r="F2151" s="86">
        <v>45855</v>
      </c>
      <c r="G2151" s="87">
        <v>681</v>
      </c>
      <c r="H2151" s="88">
        <v>18582.228116710878</v>
      </c>
      <c r="I2151" s="89">
        <v>26</v>
      </c>
      <c r="J2151" s="90">
        <v>14011</v>
      </c>
      <c r="K2151" s="85">
        <v>0</v>
      </c>
      <c r="L2151" s="85">
        <v>0</v>
      </c>
      <c r="M2151" s="85">
        <v>0</v>
      </c>
      <c r="N2151" s="82" t="s">
        <v>10675</v>
      </c>
      <c r="O2151" s="83"/>
    </row>
    <row r="2152" spans="1:15" ht="22.5" customHeight="1">
      <c r="A2152" s="85">
        <v>174904221976312</v>
      </c>
      <c r="B2152" s="82" t="s">
        <v>10651</v>
      </c>
      <c r="C2152" s="82" t="s">
        <v>10655</v>
      </c>
      <c r="D2152" s="82" t="s">
        <v>3908</v>
      </c>
      <c r="E2152" s="82">
        <v>6285376667233</v>
      </c>
      <c r="F2152" s="86">
        <v>45855</v>
      </c>
      <c r="G2152" s="87">
        <v>1126</v>
      </c>
      <c r="H2152" s="88">
        <v>10894.991922455574</v>
      </c>
      <c r="I2152" s="89">
        <v>30</v>
      </c>
      <c r="J2152" s="90">
        <v>13488</v>
      </c>
      <c r="K2152" s="85">
        <v>6</v>
      </c>
      <c r="L2152" s="85">
        <v>414</v>
      </c>
      <c r="M2152" s="85">
        <v>0</v>
      </c>
      <c r="N2152" s="82" t="s">
        <v>10656</v>
      </c>
      <c r="O2152" s="83"/>
    </row>
    <row r="2153" spans="1:15" ht="22.5" customHeight="1">
      <c r="A2153" s="85">
        <v>174904221976312</v>
      </c>
      <c r="B2153" s="82" t="s">
        <v>10651</v>
      </c>
      <c r="C2153" s="82" t="s">
        <v>63</v>
      </c>
      <c r="D2153" s="82" t="s">
        <v>55</v>
      </c>
      <c r="E2153" s="82">
        <v>6282226594414</v>
      </c>
      <c r="F2153" s="86">
        <v>45855</v>
      </c>
      <c r="G2153" s="87">
        <v>3714</v>
      </c>
      <c r="H2153" s="88">
        <v>3119.3473193473196</v>
      </c>
      <c r="I2153" s="89">
        <v>193</v>
      </c>
      <c r="J2153" s="90">
        <v>13382</v>
      </c>
      <c r="K2153" s="85">
        <v>19</v>
      </c>
      <c r="L2153" s="85">
        <v>1108</v>
      </c>
      <c r="M2153" s="85">
        <v>1</v>
      </c>
      <c r="N2153" s="82" t="s">
        <v>10661</v>
      </c>
      <c r="O2153" s="83"/>
    </row>
    <row r="2154" spans="1:15" ht="22.5" customHeight="1">
      <c r="A2154" s="85">
        <v>174904221976312</v>
      </c>
      <c r="B2154" s="82" t="s">
        <v>10651</v>
      </c>
      <c r="C2154" s="82" t="s">
        <v>11078</v>
      </c>
      <c r="D2154" s="82" t="s">
        <v>3140</v>
      </c>
      <c r="E2154" s="82"/>
      <c r="F2154" s="86">
        <v>45855</v>
      </c>
      <c r="G2154" s="87">
        <v>3090</v>
      </c>
      <c r="H2154" s="88">
        <v>3154.4432548179871</v>
      </c>
      <c r="I2154" s="89">
        <v>55</v>
      </c>
      <c r="J2154" s="90">
        <v>11785</v>
      </c>
      <c r="K2154" s="85">
        <v>1</v>
      </c>
      <c r="L2154" s="85">
        <v>153</v>
      </c>
      <c r="M2154" s="85">
        <v>0</v>
      </c>
      <c r="N2154" s="82" t="s">
        <v>11079</v>
      </c>
      <c r="O2154" s="83"/>
    </row>
    <row r="2155" spans="1:15" ht="22.5" customHeight="1">
      <c r="A2155" s="85">
        <v>174904221976312</v>
      </c>
      <c r="B2155" s="82" t="s">
        <v>10651</v>
      </c>
      <c r="C2155" s="82" t="s">
        <v>10731</v>
      </c>
      <c r="D2155" s="82" t="s">
        <v>10732</v>
      </c>
      <c r="E2155" s="82">
        <v>6281241440688</v>
      </c>
      <c r="F2155" s="86">
        <v>45855</v>
      </c>
      <c r="G2155" s="87">
        <v>1956</v>
      </c>
      <c r="H2155" s="88">
        <v>6136.9982547993022</v>
      </c>
      <c r="I2155" s="89">
        <v>35</v>
      </c>
      <c r="J2155" s="90">
        <v>14066</v>
      </c>
      <c r="K2155" s="85">
        <v>1</v>
      </c>
      <c r="L2155" s="85">
        <v>269</v>
      </c>
      <c r="M2155" s="85">
        <v>1</v>
      </c>
      <c r="N2155" s="82" t="s">
        <v>10733</v>
      </c>
      <c r="O2155" s="83"/>
    </row>
    <row r="2156" spans="1:15" ht="22.5" customHeight="1">
      <c r="A2156" s="85">
        <v>174904221976312</v>
      </c>
      <c r="B2156" s="82" t="s">
        <v>10651</v>
      </c>
      <c r="C2156" s="82" t="s">
        <v>10833</v>
      </c>
      <c r="D2156" s="82" t="s">
        <v>10834</v>
      </c>
      <c r="E2156" s="82">
        <v>6282242925264</v>
      </c>
      <c r="F2156" s="86">
        <v>45855</v>
      </c>
      <c r="G2156" s="87">
        <v>2304</v>
      </c>
      <c r="H2156" s="88">
        <v>4610.4982883225557</v>
      </c>
      <c r="I2156" s="89">
        <v>87</v>
      </c>
      <c r="J2156" s="90">
        <v>12121</v>
      </c>
      <c r="K2156" s="85">
        <v>2</v>
      </c>
      <c r="L2156" s="85">
        <v>660</v>
      </c>
      <c r="M2156" s="85">
        <v>0</v>
      </c>
      <c r="N2156" s="82" t="s">
        <v>10835</v>
      </c>
      <c r="O2156" s="83"/>
    </row>
    <row r="2157" spans="1:15" ht="22.5" customHeight="1">
      <c r="A2157" s="85">
        <v>766589657993298</v>
      </c>
      <c r="B2157" s="82" t="s">
        <v>10688</v>
      </c>
      <c r="C2157" s="82" t="s">
        <v>11356</v>
      </c>
      <c r="D2157" s="82" t="s">
        <v>350</v>
      </c>
      <c r="E2157" s="82">
        <v>6288274090631</v>
      </c>
      <c r="F2157" s="86">
        <v>45855</v>
      </c>
      <c r="G2157" s="87">
        <v>377</v>
      </c>
      <c r="H2157" s="88">
        <v>20983.568075117371</v>
      </c>
      <c r="I2157" s="89">
        <v>4</v>
      </c>
      <c r="J2157" s="90">
        <v>8939</v>
      </c>
      <c r="K2157" s="85">
        <v>1</v>
      </c>
      <c r="L2157" s="85">
        <v>66</v>
      </c>
      <c r="M2157" s="85">
        <v>0</v>
      </c>
      <c r="N2157" s="82" t="s">
        <v>11357</v>
      </c>
      <c r="O2157" s="83"/>
    </row>
    <row r="2158" spans="1:15" ht="22.5" customHeight="1">
      <c r="A2158" s="85">
        <v>766589657993298</v>
      </c>
      <c r="B2158" s="82" t="s">
        <v>10688</v>
      </c>
      <c r="C2158" s="82" t="s">
        <v>11358</v>
      </c>
      <c r="D2158" s="82" t="s">
        <v>2488</v>
      </c>
      <c r="E2158" s="82">
        <v>6281347321820</v>
      </c>
      <c r="F2158" s="86">
        <v>45855</v>
      </c>
      <c r="G2158" s="87">
        <v>861</v>
      </c>
      <c r="H2158" s="88">
        <v>14842.883548983364</v>
      </c>
      <c r="I2158" s="89">
        <v>20</v>
      </c>
      <c r="J2158" s="90">
        <v>16060</v>
      </c>
      <c r="K2158" s="85">
        <v>2</v>
      </c>
      <c r="L2158" s="85">
        <v>357</v>
      </c>
      <c r="M2158" s="85">
        <v>0</v>
      </c>
      <c r="N2158" s="82" t="s">
        <v>11359</v>
      </c>
      <c r="O2158" s="83"/>
    </row>
    <row r="2159" spans="1:15" ht="22.5" customHeight="1">
      <c r="A2159" s="85">
        <v>766589657993298</v>
      </c>
      <c r="B2159" s="82" t="s">
        <v>10688</v>
      </c>
      <c r="C2159" s="82" t="s">
        <v>11360</v>
      </c>
      <c r="D2159" s="82" t="s">
        <v>11361</v>
      </c>
      <c r="E2159" s="82">
        <v>6285186029090</v>
      </c>
      <c r="F2159" s="86">
        <v>45855</v>
      </c>
      <c r="G2159" s="87">
        <v>283</v>
      </c>
      <c r="H2159" s="88">
        <v>51487.421383647801</v>
      </c>
      <c r="I2159" s="89">
        <v>35</v>
      </c>
      <c r="J2159" s="90">
        <v>16373</v>
      </c>
      <c r="K2159" s="85">
        <v>5</v>
      </c>
      <c r="L2159" s="85">
        <v>17</v>
      </c>
      <c r="M2159" s="85">
        <v>1</v>
      </c>
      <c r="N2159" s="82" t="s">
        <v>11362</v>
      </c>
      <c r="O2159" s="83"/>
    </row>
    <row r="2160" spans="1:15" ht="22.5" customHeight="1">
      <c r="A2160" s="85">
        <v>766589657993298</v>
      </c>
      <c r="B2160" s="82" t="s">
        <v>10688</v>
      </c>
      <c r="C2160" s="82" t="s">
        <v>11335</v>
      </c>
      <c r="D2160" s="82" t="s">
        <v>2301</v>
      </c>
      <c r="E2160" s="82">
        <v>6285169411418</v>
      </c>
      <c r="F2160" s="86">
        <v>45855</v>
      </c>
      <c r="G2160" s="87">
        <v>333</v>
      </c>
      <c r="H2160" s="88">
        <v>41159.663865546223</v>
      </c>
      <c r="I2160" s="89">
        <v>4</v>
      </c>
      <c r="J2160" s="90">
        <v>14694</v>
      </c>
      <c r="K2160" s="85">
        <v>0</v>
      </c>
      <c r="L2160" s="85">
        <v>148</v>
      </c>
      <c r="M2160" s="85">
        <v>0</v>
      </c>
      <c r="N2160" s="82" t="s">
        <v>11363</v>
      </c>
      <c r="O2160" s="83"/>
    </row>
    <row r="2161" spans="1:15" ht="22.5" customHeight="1">
      <c r="A2161" s="85">
        <v>766589657993298</v>
      </c>
      <c r="B2161" s="82" t="s">
        <v>10688</v>
      </c>
      <c r="C2161" s="82" t="s">
        <v>11315</v>
      </c>
      <c r="D2161" s="82" t="s">
        <v>2128</v>
      </c>
      <c r="E2161" s="82">
        <v>6285811444456</v>
      </c>
      <c r="F2161" s="86">
        <v>45855</v>
      </c>
      <c r="G2161" s="87">
        <v>413</v>
      </c>
      <c r="H2161" s="88">
        <v>32717.105263157897</v>
      </c>
      <c r="I2161" s="89">
        <v>10</v>
      </c>
      <c r="J2161" s="90">
        <v>14919</v>
      </c>
      <c r="K2161" s="85">
        <v>2</v>
      </c>
      <c r="L2161" s="85">
        <v>119</v>
      </c>
      <c r="M2161" s="85">
        <v>0</v>
      </c>
      <c r="N2161" s="82" t="s">
        <v>11364</v>
      </c>
      <c r="O2161" s="83"/>
    </row>
    <row r="2162" spans="1:15" ht="22.5" customHeight="1">
      <c r="A2162" s="85">
        <v>766589657993298</v>
      </c>
      <c r="B2162" s="82" t="s">
        <v>10688</v>
      </c>
      <c r="C2162" s="82" t="s">
        <v>11318</v>
      </c>
      <c r="D2162" s="82" t="s">
        <v>11365</v>
      </c>
      <c r="E2162" s="82">
        <v>6282310465999</v>
      </c>
      <c r="F2162" s="86">
        <v>45855</v>
      </c>
      <c r="G2162" s="87">
        <v>547</v>
      </c>
      <c r="H2162" s="88">
        <v>21917.48251748252</v>
      </c>
      <c r="I2162" s="89">
        <v>32</v>
      </c>
      <c r="J2162" s="90">
        <v>15671</v>
      </c>
      <c r="K2162" s="85">
        <v>1</v>
      </c>
      <c r="L2162" s="85">
        <v>119</v>
      </c>
      <c r="M2162" s="85">
        <v>1</v>
      </c>
      <c r="N2162" s="82" t="s">
        <v>11366</v>
      </c>
      <c r="O2162" s="83"/>
    </row>
    <row r="2163" spans="1:15" ht="22.5" customHeight="1">
      <c r="A2163" s="85">
        <v>766589657993298</v>
      </c>
      <c r="B2163" s="82" t="s">
        <v>10688</v>
      </c>
      <c r="C2163" s="82" t="s">
        <v>11296</v>
      </c>
      <c r="D2163" s="82" t="s">
        <v>10798</v>
      </c>
      <c r="E2163" s="82">
        <v>6285853370682</v>
      </c>
      <c r="F2163" s="86">
        <v>45855</v>
      </c>
      <c r="G2163" s="87">
        <v>1249</v>
      </c>
      <c r="H2163" s="88">
        <v>12357.142857142857</v>
      </c>
      <c r="I2163" s="89">
        <v>20</v>
      </c>
      <c r="J2163" s="90">
        <v>17819</v>
      </c>
      <c r="K2163" s="85">
        <v>0</v>
      </c>
      <c r="L2163" s="85">
        <v>144</v>
      </c>
      <c r="M2163" s="85">
        <v>0</v>
      </c>
      <c r="N2163" s="82" t="s">
        <v>11297</v>
      </c>
      <c r="O2163" s="83"/>
    </row>
    <row r="2164" spans="1:15" ht="22.5" customHeight="1">
      <c r="A2164" s="85">
        <v>766589657993298</v>
      </c>
      <c r="B2164" s="82" t="s">
        <v>10688</v>
      </c>
      <c r="C2164" s="82" t="s">
        <v>11298</v>
      </c>
      <c r="D2164" s="82" t="s">
        <v>10699</v>
      </c>
      <c r="E2164" s="82">
        <v>62812</v>
      </c>
      <c r="F2164" s="86">
        <v>45855</v>
      </c>
      <c r="G2164" s="87">
        <v>335</v>
      </c>
      <c r="H2164" s="88">
        <v>44402.777777777781</v>
      </c>
      <c r="I2164" s="89">
        <v>10</v>
      </c>
      <c r="J2164" s="90">
        <v>15985</v>
      </c>
      <c r="K2164" s="85">
        <v>3</v>
      </c>
      <c r="L2164" s="85">
        <v>94</v>
      </c>
      <c r="M2164" s="85">
        <v>0</v>
      </c>
      <c r="N2164" s="82" t="s">
        <v>11299</v>
      </c>
      <c r="O2164" s="83"/>
    </row>
    <row r="2165" spans="1:15" ht="22.5" customHeight="1">
      <c r="A2165" s="85">
        <v>766589657993298</v>
      </c>
      <c r="B2165" s="82" t="s">
        <v>10688</v>
      </c>
      <c r="C2165" s="82" t="s">
        <v>11300</v>
      </c>
      <c r="D2165" s="82" t="s">
        <v>2223</v>
      </c>
      <c r="E2165" s="82">
        <v>6282111000133</v>
      </c>
      <c r="F2165" s="86">
        <v>45855</v>
      </c>
      <c r="G2165" s="87">
        <v>522</v>
      </c>
      <c r="H2165" s="88">
        <v>27013.628620102212</v>
      </c>
      <c r="I2165" s="89">
        <v>15</v>
      </c>
      <c r="J2165" s="90">
        <v>15857</v>
      </c>
      <c r="K2165" s="85">
        <v>3</v>
      </c>
      <c r="L2165" s="85">
        <v>33</v>
      </c>
      <c r="M2165" s="85">
        <v>0</v>
      </c>
      <c r="N2165" s="82" t="s">
        <v>11301</v>
      </c>
      <c r="O2165" s="83"/>
    </row>
    <row r="2166" spans="1:15" ht="22.5" customHeight="1">
      <c r="A2166" s="85">
        <v>766589657993298</v>
      </c>
      <c r="B2166" s="82" t="s">
        <v>10688</v>
      </c>
      <c r="C2166" s="82" t="s">
        <v>11302</v>
      </c>
      <c r="D2166" s="82" t="s">
        <v>11303</v>
      </c>
      <c r="E2166" s="82">
        <v>6285814054475</v>
      </c>
      <c r="F2166" s="86">
        <v>45855</v>
      </c>
      <c r="G2166" s="87">
        <v>1700</v>
      </c>
      <c r="H2166" s="88">
        <v>8062.9590766002102</v>
      </c>
      <c r="I2166" s="89">
        <v>54</v>
      </c>
      <c r="J2166" s="90">
        <v>15368</v>
      </c>
      <c r="K2166" s="85">
        <v>5</v>
      </c>
      <c r="L2166" s="85">
        <v>880</v>
      </c>
      <c r="M2166" s="85">
        <v>1</v>
      </c>
      <c r="N2166" s="82" t="s">
        <v>11304</v>
      </c>
      <c r="O2166" s="83"/>
    </row>
    <row r="2167" spans="1:15" ht="22.5" customHeight="1">
      <c r="A2167" s="85">
        <v>766589657993298</v>
      </c>
      <c r="B2167" s="82" t="s">
        <v>10688</v>
      </c>
      <c r="C2167" s="82" t="s">
        <v>11264</v>
      </c>
      <c r="D2167" s="91" t="s">
        <v>1915</v>
      </c>
      <c r="E2167" s="82">
        <v>6281239874761</v>
      </c>
      <c r="F2167" s="86">
        <v>45855</v>
      </c>
      <c r="G2167" s="87">
        <v>315</v>
      </c>
      <c r="H2167" s="88">
        <v>42842.245989304814</v>
      </c>
      <c r="I2167" s="89">
        <v>8</v>
      </c>
      <c r="J2167" s="90">
        <v>16023</v>
      </c>
      <c r="K2167" s="85">
        <v>0</v>
      </c>
      <c r="L2167" s="85">
        <v>104</v>
      </c>
      <c r="M2167" s="85">
        <v>0</v>
      </c>
      <c r="N2167" s="82" t="s">
        <v>11265</v>
      </c>
      <c r="O2167" s="83"/>
    </row>
    <row r="2168" spans="1:15" ht="22.5" customHeight="1">
      <c r="A2168" s="85">
        <v>766589657993298</v>
      </c>
      <c r="B2168" s="82" t="s">
        <v>10688</v>
      </c>
      <c r="C2168" s="82" t="s">
        <v>11239</v>
      </c>
      <c r="D2168" s="82" t="s">
        <v>11240</v>
      </c>
      <c r="E2168" s="82">
        <v>6281213766426</v>
      </c>
      <c r="F2168" s="86">
        <v>45855</v>
      </c>
      <c r="G2168" s="87">
        <v>324</v>
      </c>
      <c r="H2168" s="88">
        <v>39774.535809018569</v>
      </c>
      <c r="I2168" s="89">
        <v>5</v>
      </c>
      <c r="J2168" s="90">
        <v>14995</v>
      </c>
      <c r="K2168" s="85">
        <v>1</v>
      </c>
      <c r="L2168" s="85">
        <v>3</v>
      </c>
      <c r="M2168" s="85">
        <v>0</v>
      </c>
      <c r="N2168" s="82" t="s">
        <v>11241</v>
      </c>
      <c r="O2168" s="83"/>
    </row>
    <row r="2169" spans="1:15" ht="22.5" customHeight="1">
      <c r="A2169" s="85">
        <v>766589657993298</v>
      </c>
      <c r="B2169" s="82" t="s">
        <v>10688</v>
      </c>
      <c r="C2169" s="82" t="s">
        <v>11204</v>
      </c>
      <c r="D2169" s="82" t="s">
        <v>11205</v>
      </c>
      <c r="E2169" s="82">
        <v>628112999165</v>
      </c>
      <c r="F2169" s="86">
        <v>45855</v>
      </c>
      <c r="G2169" s="87">
        <v>408</v>
      </c>
      <c r="H2169" s="88">
        <v>35468.354430379746</v>
      </c>
      <c r="I2169" s="89">
        <v>11</v>
      </c>
      <c r="J2169" s="90">
        <v>16812</v>
      </c>
      <c r="K2169" s="85">
        <v>1</v>
      </c>
      <c r="L2169" s="85">
        <v>41</v>
      </c>
      <c r="M2169" s="85">
        <v>0</v>
      </c>
      <c r="N2169" s="82" t="s">
        <v>11206</v>
      </c>
      <c r="O2169" s="83"/>
    </row>
    <row r="2170" spans="1:15" ht="22.5" customHeight="1">
      <c r="A2170" s="85">
        <v>766589657993298</v>
      </c>
      <c r="B2170" s="82" t="s">
        <v>10688</v>
      </c>
      <c r="C2170" s="82" t="s">
        <v>11207</v>
      </c>
      <c r="D2170" s="82" t="s">
        <v>11208</v>
      </c>
      <c r="E2170" s="82">
        <v>6282111180648</v>
      </c>
      <c r="F2170" s="86">
        <v>45855</v>
      </c>
      <c r="G2170" s="87">
        <v>373</v>
      </c>
      <c r="H2170" s="88">
        <v>36803.357314148685</v>
      </c>
      <c r="I2170" s="89">
        <v>16</v>
      </c>
      <c r="J2170" s="90">
        <v>15347</v>
      </c>
      <c r="K2170" s="85">
        <v>2</v>
      </c>
      <c r="L2170" s="85">
        <v>5</v>
      </c>
      <c r="M2170" s="85">
        <v>0</v>
      </c>
      <c r="N2170" s="82" t="s">
        <v>11209</v>
      </c>
      <c r="O2170" s="83"/>
    </row>
    <row r="2171" spans="1:15" ht="22.5" customHeight="1">
      <c r="A2171" s="85">
        <v>766589657993298</v>
      </c>
      <c r="B2171" s="82" t="s">
        <v>10688</v>
      </c>
      <c r="C2171" s="82" t="s">
        <v>11174</v>
      </c>
      <c r="D2171" s="82" t="s">
        <v>11175</v>
      </c>
      <c r="E2171" s="82">
        <v>6282184019830</v>
      </c>
      <c r="F2171" s="86">
        <v>45855</v>
      </c>
      <c r="G2171" s="87">
        <v>204</v>
      </c>
      <c r="H2171" s="88">
        <v>61140.425531914894</v>
      </c>
      <c r="I2171" s="89">
        <v>2</v>
      </c>
      <c r="J2171" s="90">
        <v>14368</v>
      </c>
      <c r="K2171" s="85">
        <v>1</v>
      </c>
      <c r="L2171" s="85">
        <v>2</v>
      </c>
      <c r="M2171" s="85">
        <v>0</v>
      </c>
      <c r="N2171" s="82" t="s">
        <v>11176</v>
      </c>
      <c r="O2171" s="83"/>
    </row>
    <row r="2172" spans="1:15" ht="22.5" customHeight="1">
      <c r="A2172" s="85">
        <v>766589657993298</v>
      </c>
      <c r="B2172" s="82" t="s">
        <v>10688</v>
      </c>
      <c r="C2172" s="82" t="s">
        <v>11103</v>
      </c>
      <c r="D2172" s="82" t="s">
        <v>11104</v>
      </c>
      <c r="E2172" s="82">
        <v>6282124027899</v>
      </c>
      <c r="F2172" s="86">
        <v>45855</v>
      </c>
      <c r="G2172" s="87">
        <v>1597</v>
      </c>
      <c r="H2172" s="88">
        <v>8623.5167206040987</v>
      </c>
      <c r="I2172" s="89">
        <v>33</v>
      </c>
      <c r="J2172" s="90">
        <v>15988</v>
      </c>
      <c r="K2172" s="85">
        <v>2</v>
      </c>
      <c r="L2172" s="85">
        <v>345</v>
      </c>
      <c r="M2172" s="85">
        <v>0</v>
      </c>
      <c r="N2172" s="82" t="s">
        <v>11105</v>
      </c>
      <c r="O2172" s="83"/>
    </row>
    <row r="2173" spans="1:15" ht="22.5" customHeight="1">
      <c r="A2173" s="85">
        <v>766589657993298</v>
      </c>
      <c r="B2173" s="82" t="s">
        <v>10688</v>
      </c>
      <c r="C2173" s="82" t="s">
        <v>11026</v>
      </c>
      <c r="D2173" s="82" t="s">
        <v>1172</v>
      </c>
      <c r="E2173" s="82">
        <v>6285950836788</v>
      </c>
      <c r="F2173" s="86">
        <v>45855</v>
      </c>
      <c r="G2173" s="87">
        <v>478</v>
      </c>
      <c r="H2173" s="88">
        <v>30443.298969072162</v>
      </c>
      <c r="I2173" s="89">
        <v>8</v>
      </c>
      <c r="J2173" s="90">
        <v>14765</v>
      </c>
      <c r="K2173" s="85">
        <v>1</v>
      </c>
      <c r="L2173" s="85">
        <v>169</v>
      </c>
      <c r="M2173" s="85">
        <v>0</v>
      </c>
      <c r="N2173" s="82" t="s">
        <v>11027</v>
      </c>
      <c r="O2173" s="83"/>
    </row>
    <row r="2174" spans="1:15" ht="22.5" customHeight="1">
      <c r="A2174" s="85">
        <v>766589657993298</v>
      </c>
      <c r="B2174" s="82" t="s">
        <v>10688</v>
      </c>
      <c r="C2174" s="82" t="s">
        <v>11028</v>
      </c>
      <c r="D2174" s="82" t="s">
        <v>11029</v>
      </c>
      <c r="E2174" s="82">
        <v>6282338171577</v>
      </c>
      <c r="F2174" s="86">
        <v>45855</v>
      </c>
      <c r="G2174" s="87">
        <v>754</v>
      </c>
      <c r="H2174" s="88">
        <v>18100.446428571428</v>
      </c>
      <c r="I2174" s="89">
        <v>38</v>
      </c>
      <c r="J2174" s="90">
        <v>16218</v>
      </c>
      <c r="K2174" s="85">
        <v>6</v>
      </c>
      <c r="L2174" s="85">
        <v>278</v>
      </c>
      <c r="M2174" s="85">
        <v>0</v>
      </c>
      <c r="N2174" s="82" t="s">
        <v>11030</v>
      </c>
      <c r="O2174" s="83"/>
    </row>
    <row r="2175" spans="1:15" ht="22.5" customHeight="1">
      <c r="A2175" s="85">
        <v>766589657993298</v>
      </c>
      <c r="B2175" s="82" t="s">
        <v>10688</v>
      </c>
      <c r="C2175" s="82" t="s">
        <v>10885</v>
      </c>
      <c r="D2175" s="82" t="s">
        <v>906</v>
      </c>
      <c r="E2175" s="82">
        <v>6282183115806</v>
      </c>
      <c r="F2175" s="86">
        <v>45855</v>
      </c>
      <c r="G2175" s="87">
        <v>841</v>
      </c>
      <c r="H2175" s="88">
        <v>17770.56277056277</v>
      </c>
      <c r="I2175" s="89">
        <v>30</v>
      </c>
      <c r="J2175" s="90">
        <v>16420</v>
      </c>
      <c r="K2175" s="85">
        <v>3</v>
      </c>
      <c r="L2175" s="85">
        <v>515</v>
      </c>
      <c r="M2175" s="85">
        <v>0</v>
      </c>
      <c r="N2175" s="82" t="s">
        <v>10886</v>
      </c>
      <c r="O2175" s="83"/>
    </row>
    <row r="2176" spans="1:15" ht="22.5" customHeight="1">
      <c r="A2176" s="85">
        <v>766589657993298</v>
      </c>
      <c r="B2176" s="82" t="s">
        <v>10688</v>
      </c>
      <c r="C2176" s="82" t="s">
        <v>10879</v>
      </c>
      <c r="D2176" s="82" t="s">
        <v>10880</v>
      </c>
      <c r="E2176" s="82">
        <v>6281215851833</v>
      </c>
      <c r="F2176" s="86">
        <v>45855</v>
      </c>
      <c r="G2176" s="87">
        <v>426</v>
      </c>
      <c r="H2176" s="88">
        <v>32080.412371134025</v>
      </c>
      <c r="I2176" s="89">
        <v>20</v>
      </c>
      <c r="J2176" s="90">
        <v>15559</v>
      </c>
      <c r="K2176" s="85">
        <v>4</v>
      </c>
      <c r="L2176" s="85">
        <v>0</v>
      </c>
      <c r="M2176" s="85">
        <v>1</v>
      </c>
      <c r="N2176" s="82" t="s">
        <v>10881</v>
      </c>
      <c r="O2176" s="83"/>
    </row>
    <row r="2177" spans="1:15" ht="22.5" customHeight="1">
      <c r="A2177" s="85">
        <v>759724529202804</v>
      </c>
      <c r="B2177" s="82" t="s">
        <v>10621</v>
      </c>
      <c r="C2177" s="82" t="s">
        <v>11337</v>
      </c>
      <c r="D2177" s="82" t="s">
        <v>2336</v>
      </c>
      <c r="E2177" s="82">
        <v>6289608357133</v>
      </c>
      <c r="F2177" s="92">
        <v>45855</v>
      </c>
      <c r="G2177" s="87">
        <v>581</v>
      </c>
      <c r="H2177" s="88">
        <v>20215.542521994135</v>
      </c>
      <c r="I2177" s="89">
        <v>20</v>
      </c>
      <c r="J2177" s="90">
        <v>13787</v>
      </c>
      <c r="K2177" s="85">
        <v>4</v>
      </c>
      <c r="L2177" s="85">
        <v>245</v>
      </c>
      <c r="M2177" s="85">
        <v>0</v>
      </c>
      <c r="N2177" s="82" t="s">
        <v>11338</v>
      </c>
      <c r="O2177" s="93">
        <v>45856.756076388891</v>
      </c>
    </row>
    <row r="2178" spans="1:15" ht="22.5" customHeight="1">
      <c r="A2178" s="85">
        <v>759724529202804</v>
      </c>
      <c r="B2178" s="82" t="s">
        <v>10621</v>
      </c>
      <c r="C2178" s="82" t="s">
        <v>11321</v>
      </c>
      <c r="D2178" s="82" t="s">
        <v>2240</v>
      </c>
      <c r="E2178" s="82">
        <v>6285339158435</v>
      </c>
      <c r="F2178" s="92">
        <v>45855</v>
      </c>
      <c r="G2178" s="87">
        <v>1034</v>
      </c>
      <c r="H2178" s="88">
        <v>10017.532029669588</v>
      </c>
      <c r="I2178" s="89">
        <v>74</v>
      </c>
      <c r="J2178" s="90">
        <v>14856</v>
      </c>
      <c r="K2178" s="85">
        <v>7</v>
      </c>
      <c r="L2178" s="85">
        <v>736</v>
      </c>
      <c r="M2178" s="85">
        <v>2</v>
      </c>
      <c r="N2178" s="82" t="s">
        <v>11339</v>
      </c>
      <c r="O2178" s="93">
        <v>45856.484722222223</v>
      </c>
    </row>
    <row r="2179" spans="1:15" ht="22.5" customHeight="1">
      <c r="A2179" s="85">
        <v>759724529202804</v>
      </c>
      <c r="B2179" s="82" t="s">
        <v>10621</v>
      </c>
      <c r="C2179" s="82" t="s">
        <v>11323</v>
      </c>
      <c r="D2179" s="82" t="s">
        <v>11340</v>
      </c>
      <c r="E2179" s="82">
        <v>6281916331011</v>
      </c>
      <c r="F2179" s="92">
        <v>45855</v>
      </c>
      <c r="G2179" s="87">
        <v>571</v>
      </c>
      <c r="H2179" s="88">
        <v>24067.484662576684</v>
      </c>
      <c r="I2179" s="89">
        <v>25</v>
      </c>
      <c r="J2179" s="90">
        <v>15692</v>
      </c>
      <c r="K2179" s="85">
        <v>7</v>
      </c>
      <c r="L2179" s="85">
        <v>294</v>
      </c>
      <c r="M2179" s="85">
        <v>0</v>
      </c>
      <c r="N2179" s="82" t="s">
        <v>11341</v>
      </c>
      <c r="O2179" s="93">
        <v>45856.672627314816</v>
      </c>
    </row>
    <row r="2180" spans="1:15" ht="22.5" customHeight="1">
      <c r="A2180" s="85">
        <v>759724529202804</v>
      </c>
      <c r="B2180" s="82" t="s">
        <v>10621</v>
      </c>
      <c r="C2180" s="82" t="s">
        <v>11306</v>
      </c>
      <c r="D2180" s="82" t="s">
        <v>11307</v>
      </c>
      <c r="E2180" s="82">
        <v>6282258462258</v>
      </c>
      <c r="F2180" s="92">
        <v>45855</v>
      </c>
      <c r="G2180" s="87">
        <v>907</v>
      </c>
      <c r="H2180" s="88">
        <v>13824.704813805631</v>
      </c>
      <c r="I2180" s="89">
        <v>39</v>
      </c>
      <c r="J2180" s="90">
        <v>15221</v>
      </c>
      <c r="K2180" s="85">
        <v>2</v>
      </c>
      <c r="L2180" s="85">
        <v>253</v>
      </c>
      <c r="M2180" s="85">
        <v>0</v>
      </c>
      <c r="N2180" s="82" t="s">
        <v>11308</v>
      </c>
      <c r="O2180" s="93">
        <v>45856.63108796296</v>
      </c>
    </row>
    <row r="2181" spans="1:15" ht="22.5" customHeight="1">
      <c r="A2181" s="85">
        <v>759724529202804</v>
      </c>
      <c r="B2181" s="82" t="s">
        <v>10621</v>
      </c>
      <c r="C2181" s="82" t="s">
        <v>11266</v>
      </c>
      <c r="D2181" s="82" t="s">
        <v>11267</v>
      </c>
      <c r="E2181" s="82">
        <v>6281904501876</v>
      </c>
      <c r="F2181" s="92">
        <v>45855</v>
      </c>
      <c r="G2181" s="87">
        <v>1155</v>
      </c>
      <c r="H2181" s="88">
        <v>11300.573888091822</v>
      </c>
      <c r="I2181" s="89">
        <v>31</v>
      </c>
      <c r="J2181" s="90">
        <v>15753</v>
      </c>
      <c r="K2181" s="85">
        <v>1</v>
      </c>
      <c r="L2181" s="85">
        <v>129</v>
      </c>
      <c r="M2181" s="85">
        <v>0</v>
      </c>
      <c r="N2181" s="82" t="s">
        <v>11268</v>
      </c>
      <c r="O2181" s="93">
        <v>45856.693518518521</v>
      </c>
    </row>
    <row r="2182" spans="1:15" ht="22.5" customHeight="1">
      <c r="A2182" s="85">
        <v>759724529202804</v>
      </c>
      <c r="B2182" s="82" t="s">
        <v>10621</v>
      </c>
      <c r="C2182" s="82" t="s">
        <v>11070</v>
      </c>
      <c r="D2182" s="82" t="s">
        <v>11071</v>
      </c>
      <c r="E2182" s="82">
        <v>6281246211381</v>
      </c>
      <c r="F2182" s="92">
        <v>45855</v>
      </c>
      <c r="G2182" s="87">
        <v>689</v>
      </c>
      <c r="H2182" s="88">
        <v>19460.746460746461</v>
      </c>
      <c r="I2182" s="89">
        <v>15</v>
      </c>
      <c r="J2182" s="90">
        <v>15121</v>
      </c>
      <c r="K2182" s="85">
        <v>1</v>
      </c>
      <c r="L2182" s="85">
        <v>15</v>
      </c>
      <c r="M2182" s="85">
        <v>0</v>
      </c>
      <c r="N2182" s="82" t="s">
        <v>11072</v>
      </c>
      <c r="O2182" s="93">
        <v>45856.54787037037</v>
      </c>
    </row>
    <row r="2183" spans="1:15" ht="22.5" customHeight="1">
      <c r="A2183" s="85">
        <v>759724529202804</v>
      </c>
      <c r="B2183" s="82" t="s">
        <v>10621</v>
      </c>
      <c r="C2183" s="82" t="s">
        <v>11016</v>
      </c>
      <c r="D2183" s="82" t="s">
        <v>1530</v>
      </c>
      <c r="E2183" s="82">
        <v>628111988553</v>
      </c>
      <c r="F2183" s="92">
        <v>45855</v>
      </c>
      <c r="G2183" s="87">
        <v>185</v>
      </c>
      <c r="H2183" s="88">
        <v>71069.444444444438</v>
      </c>
      <c r="I2183" s="89">
        <v>7</v>
      </c>
      <c r="J2183" s="90">
        <v>15351</v>
      </c>
      <c r="K2183" s="85">
        <v>1</v>
      </c>
      <c r="L2183" s="85">
        <v>7</v>
      </c>
      <c r="M2183" s="85">
        <v>0</v>
      </c>
      <c r="N2183" s="82" t="s">
        <v>11017</v>
      </c>
      <c r="O2183" s="93">
        <v>45856.58997685185</v>
      </c>
    </row>
    <row r="2184" spans="1:15" ht="22.5" customHeight="1">
      <c r="A2184" s="85">
        <v>759724529202804</v>
      </c>
      <c r="B2184" s="82" t="s">
        <v>10621</v>
      </c>
      <c r="C2184" s="82" t="s">
        <v>10986</v>
      </c>
      <c r="D2184" s="82" t="s">
        <v>10987</v>
      </c>
      <c r="E2184" s="82">
        <v>6281282183261</v>
      </c>
      <c r="F2184" s="92">
        <v>45855</v>
      </c>
      <c r="G2184" s="87">
        <v>414</v>
      </c>
      <c r="H2184" s="88">
        <v>30656.314699792962</v>
      </c>
      <c r="I2184" s="89">
        <v>11</v>
      </c>
      <c r="J2184" s="90">
        <v>14807</v>
      </c>
      <c r="K2184" s="85">
        <v>3</v>
      </c>
      <c r="L2184" s="85">
        <v>0</v>
      </c>
      <c r="M2184" s="85">
        <v>0</v>
      </c>
      <c r="N2184" s="82" t="s">
        <v>10988</v>
      </c>
      <c r="O2184" s="93">
        <v>45856.547835648147</v>
      </c>
    </row>
    <row r="2185" spans="1:15" ht="22.5" customHeight="1">
      <c r="A2185" s="85">
        <v>174904221976312</v>
      </c>
      <c r="B2185" s="82" t="s">
        <v>10651</v>
      </c>
      <c r="C2185" s="82" t="s">
        <v>11342</v>
      </c>
      <c r="D2185" s="82" t="s">
        <v>2266</v>
      </c>
      <c r="E2185" s="82">
        <v>6282277773540</v>
      </c>
      <c r="F2185" s="92">
        <v>45855</v>
      </c>
      <c r="G2185" s="87">
        <v>797</v>
      </c>
      <c r="H2185" s="88">
        <v>16220.536756126019</v>
      </c>
      <c r="I2185" s="89">
        <v>32</v>
      </c>
      <c r="J2185" s="90">
        <v>13901</v>
      </c>
      <c r="K2185" s="85">
        <v>3</v>
      </c>
      <c r="L2185" s="85">
        <v>0</v>
      </c>
      <c r="M2185" s="85">
        <v>0</v>
      </c>
      <c r="N2185" s="82" t="s">
        <v>11343</v>
      </c>
      <c r="O2185" s="93">
        <v>45856.65148148148</v>
      </c>
    </row>
    <row r="2186" spans="1:15" ht="22.5" customHeight="1">
      <c r="A2186" s="85">
        <v>174904221976312</v>
      </c>
      <c r="B2186" s="82" t="s">
        <v>10651</v>
      </c>
      <c r="C2186" s="82" t="s">
        <v>11325</v>
      </c>
      <c r="D2186" s="82" t="s">
        <v>2274</v>
      </c>
      <c r="E2186" s="82">
        <v>6281316839343</v>
      </c>
      <c r="F2186" s="92">
        <v>45855</v>
      </c>
      <c r="G2186" s="87">
        <v>826</v>
      </c>
      <c r="H2186" s="88">
        <v>14340.694006309148</v>
      </c>
      <c r="I2186" s="89">
        <v>41</v>
      </c>
      <c r="J2186" s="90">
        <v>13638</v>
      </c>
      <c r="K2186" s="85">
        <v>7</v>
      </c>
      <c r="L2186" s="85">
        <v>90</v>
      </c>
      <c r="M2186" s="85">
        <v>2</v>
      </c>
      <c r="N2186" s="82" t="s">
        <v>11344</v>
      </c>
      <c r="O2186" s="93">
        <v>45856.505613425928</v>
      </c>
    </row>
    <row r="2187" spans="1:15" ht="22.5" customHeight="1">
      <c r="A2187" s="85">
        <v>174904221976312</v>
      </c>
      <c r="B2187" s="82" t="s">
        <v>10651</v>
      </c>
      <c r="C2187" s="82" t="s">
        <v>11327</v>
      </c>
      <c r="D2187" s="82" t="s">
        <v>11345</v>
      </c>
      <c r="E2187" s="82">
        <v>6282339444339</v>
      </c>
      <c r="F2187" s="92">
        <v>45855</v>
      </c>
      <c r="G2187" s="87">
        <v>381</v>
      </c>
      <c r="H2187" s="88">
        <v>26502.525252525251</v>
      </c>
      <c r="I2187" s="89">
        <v>10</v>
      </c>
      <c r="J2187" s="90">
        <v>10495</v>
      </c>
      <c r="K2187" s="85">
        <v>2</v>
      </c>
      <c r="L2187" s="85">
        <v>0</v>
      </c>
      <c r="M2187" s="85">
        <v>1</v>
      </c>
      <c r="N2187" s="82" t="s">
        <v>11346</v>
      </c>
      <c r="O2187" s="93">
        <v>45856.588958333334</v>
      </c>
    </row>
    <row r="2188" spans="1:15" ht="22.5" customHeight="1">
      <c r="A2188" s="85">
        <v>174904221976312</v>
      </c>
      <c r="B2188" s="82" t="s">
        <v>10651</v>
      </c>
      <c r="C2188" s="82" t="s">
        <v>11329</v>
      </c>
      <c r="D2188" s="82" t="s">
        <v>11347</v>
      </c>
      <c r="E2188" s="82">
        <v>6287757150828</v>
      </c>
      <c r="F2188" s="92">
        <v>45855</v>
      </c>
      <c r="G2188" s="87">
        <v>463</v>
      </c>
      <c r="H2188" s="88">
        <v>24719.696969696968</v>
      </c>
      <c r="I2188" s="89">
        <v>16</v>
      </c>
      <c r="J2188" s="90">
        <v>13052</v>
      </c>
      <c r="K2188" s="85">
        <v>3</v>
      </c>
      <c r="L2188" s="85">
        <v>151</v>
      </c>
      <c r="M2188" s="85">
        <v>0</v>
      </c>
      <c r="N2188" s="82" t="s">
        <v>11348</v>
      </c>
      <c r="O2188" s="93">
        <v>45856.588946759257</v>
      </c>
    </row>
    <row r="2189" spans="1:15" ht="22.5" customHeight="1">
      <c r="A2189" s="85">
        <v>174904221976312</v>
      </c>
      <c r="B2189" s="82" t="s">
        <v>10651</v>
      </c>
      <c r="C2189" s="82" t="s">
        <v>11331</v>
      </c>
      <c r="D2189" s="82" t="s">
        <v>2280</v>
      </c>
      <c r="E2189" s="82">
        <v>6285384321677</v>
      </c>
      <c r="F2189" s="92">
        <v>45855</v>
      </c>
      <c r="G2189" s="87">
        <v>517</v>
      </c>
      <c r="H2189" s="88">
        <v>21227.692307692309</v>
      </c>
      <c r="I2189" s="89">
        <v>8</v>
      </c>
      <c r="J2189" s="90">
        <v>13798</v>
      </c>
      <c r="K2189" s="85">
        <v>2</v>
      </c>
      <c r="L2189" s="85">
        <v>129</v>
      </c>
      <c r="M2189" s="85">
        <v>0</v>
      </c>
      <c r="N2189" s="82" t="s">
        <v>11349</v>
      </c>
      <c r="O2189" s="93">
        <v>45856.609629629631</v>
      </c>
    </row>
    <row r="2190" spans="1:15" ht="22.5" customHeight="1">
      <c r="A2190" s="85">
        <v>174904221976312</v>
      </c>
      <c r="B2190" s="82" t="s">
        <v>10651</v>
      </c>
      <c r="C2190" s="82" t="s">
        <v>11333</v>
      </c>
      <c r="D2190" s="82" t="s">
        <v>1793</v>
      </c>
      <c r="E2190" s="82">
        <v>6283845117965</v>
      </c>
      <c r="F2190" s="92">
        <v>45855</v>
      </c>
      <c r="G2190" s="87">
        <v>1171</v>
      </c>
      <c r="H2190" s="88">
        <v>10861.22125297383</v>
      </c>
      <c r="I2190" s="89">
        <v>27</v>
      </c>
      <c r="J2190" s="90">
        <v>13696</v>
      </c>
      <c r="K2190" s="85">
        <v>2</v>
      </c>
      <c r="L2190" s="85">
        <v>0</v>
      </c>
      <c r="M2190" s="85">
        <v>2</v>
      </c>
      <c r="N2190" s="82" t="s">
        <v>11334</v>
      </c>
      <c r="O2190" s="93">
        <v>45856.46471064815</v>
      </c>
    </row>
    <row r="2191" spans="1:15" ht="22.5" customHeight="1">
      <c r="A2191" s="85">
        <v>174904221976312</v>
      </c>
      <c r="B2191" s="82" t="s">
        <v>10651</v>
      </c>
      <c r="C2191" s="82" t="s">
        <v>11309</v>
      </c>
      <c r="D2191" s="82" t="s">
        <v>11350</v>
      </c>
      <c r="E2191" s="82">
        <v>6281229745253</v>
      </c>
      <c r="F2191" s="92">
        <v>45855</v>
      </c>
      <c r="G2191" s="87">
        <v>210</v>
      </c>
      <c r="H2191" s="88">
        <v>48411.255411255413</v>
      </c>
      <c r="I2191" s="89">
        <v>8</v>
      </c>
      <c r="J2191" s="90">
        <v>11183</v>
      </c>
      <c r="K2191" s="85">
        <v>1</v>
      </c>
      <c r="L2191" s="85">
        <v>84</v>
      </c>
      <c r="M2191" s="85">
        <v>0</v>
      </c>
      <c r="N2191" s="82" t="s">
        <v>11351</v>
      </c>
      <c r="O2191" s="93">
        <v>45856.4846412037</v>
      </c>
    </row>
    <row r="2192" spans="1:15" ht="22.5" customHeight="1">
      <c r="A2192" s="85">
        <v>174904221976312</v>
      </c>
      <c r="B2192" s="82" t="s">
        <v>10651</v>
      </c>
      <c r="C2192" s="82" t="s">
        <v>11311</v>
      </c>
      <c r="D2192" s="82" t="s">
        <v>11352</v>
      </c>
      <c r="E2192" s="82">
        <v>6285696765224</v>
      </c>
      <c r="F2192" s="92">
        <v>45855</v>
      </c>
      <c r="G2192" s="87">
        <v>515</v>
      </c>
      <c r="H2192" s="88">
        <v>24231.958762886599</v>
      </c>
      <c r="I2192" s="89">
        <v>17</v>
      </c>
      <c r="J2192" s="90">
        <v>14103</v>
      </c>
      <c r="K2192" s="85">
        <v>2</v>
      </c>
      <c r="L2192" s="85">
        <v>39</v>
      </c>
      <c r="M2192" s="85">
        <v>1</v>
      </c>
      <c r="N2192" s="82" t="s">
        <v>11353</v>
      </c>
      <c r="O2192" s="93">
        <v>45856.588958333334</v>
      </c>
    </row>
    <row r="2193" spans="1:15" ht="22.5" customHeight="1">
      <c r="A2193" s="85">
        <v>174904221976312</v>
      </c>
      <c r="B2193" s="82" t="s">
        <v>10651</v>
      </c>
      <c r="C2193" s="82" t="s">
        <v>11313</v>
      </c>
      <c r="D2193" s="82" t="s">
        <v>11354</v>
      </c>
      <c r="E2193" s="82">
        <v>6285789446955</v>
      </c>
      <c r="F2193" s="92">
        <v>45855</v>
      </c>
      <c r="G2193" s="87">
        <v>1069</v>
      </c>
      <c r="H2193" s="88">
        <v>10695.550351288055</v>
      </c>
      <c r="I2193" s="89">
        <v>18</v>
      </c>
      <c r="J2193" s="90">
        <v>13701</v>
      </c>
      <c r="K2193" s="85">
        <v>2</v>
      </c>
      <c r="L2193" s="85">
        <v>88</v>
      </c>
      <c r="M2193" s="85">
        <v>0</v>
      </c>
      <c r="N2193" s="82" t="s">
        <v>11355</v>
      </c>
      <c r="O2193" s="93">
        <v>45856.568402777775</v>
      </c>
    </row>
    <row r="2194" spans="1:15" ht="22.5" customHeight="1">
      <c r="A2194" s="85">
        <v>174904221976312</v>
      </c>
      <c r="B2194" s="82" t="s">
        <v>10651</v>
      </c>
      <c r="C2194" s="82" t="s">
        <v>11269</v>
      </c>
      <c r="D2194" s="82" t="s">
        <v>11270</v>
      </c>
      <c r="E2194" s="82">
        <v>6287856746423</v>
      </c>
      <c r="F2194" s="92">
        <v>45855</v>
      </c>
      <c r="G2194" s="87">
        <v>216</v>
      </c>
      <c r="H2194" s="88">
        <v>53405.622489959838</v>
      </c>
      <c r="I2194" s="89">
        <v>3</v>
      </c>
      <c r="J2194" s="90">
        <v>13298</v>
      </c>
      <c r="K2194" s="85">
        <v>2</v>
      </c>
      <c r="L2194" s="85">
        <v>7</v>
      </c>
      <c r="M2194" s="85">
        <v>0</v>
      </c>
      <c r="N2194" s="82" t="s">
        <v>11271</v>
      </c>
      <c r="O2194" s="93">
        <v>45856.839583333334</v>
      </c>
    </row>
    <row r="2195" spans="1:15" ht="22.5" customHeight="1">
      <c r="A2195" s="85">
        <v>174904221976312</v>
      </c>
      <c r="B2195" s="82" t="s">
        <v>10651</v>
      </c>
      <c r="C2195" s="82" t="s">
        <v>11272</v>
      </c>
      <c r="D2195" s="82" t="s">
        <v>11273</v>
      </c>
      <c r="E2195" s="82">
        <v>6281253629810</v>
      </c>
      <c r="F2195" s="92">
        <v>45855</v>
      </c>
      <c r="G2195" s="87">
        <v>1796</v>
      </c>
      <c r="H2195" s="88">
        <v>6350</v>
      </c>
      <c r="I2195" s="89">
        <v>31</v>
      </c>
      <c r="J2195" s="90">
        <v>13335</v>
      </c>
      <c r="K2195" s="85">
        <v>1</v>
      </c>
      <c r="L2195" s="85">
        <v>313</v>
      </c>
      <c r="M2195" s="85">
        <v>0</v>
      </c>
      <c r="N2195" s="82" t="s">
        <v>11274</v>
      </c>
      <c r="O2195" s="93">
        <v>45856.547442129631</v>
      </c>
    </row>
    <row r="2196" spans="1:15" ht="22.5" customHeight="1">
      <c r="A2196" s="85">
        <v>174904221976312</v>
      </c>
      <c r="B2196" s="82" t="s">
        <v>10651</v>
      </c>
      <c r="C2196" s="82" t="s">
        <v>11275</v>
      </c>
      <c r="D2196" s="82" t="s">
        <v>11276</v>
      </c>
      <c r="E2196" s="82">
        <v>6289517787985</v>
      </c>
      <c r="F2196" s="92">
        <v>45855</v>
      </c>
      <c r="G2196" s="87">
        <v>893</v>
      </c>
      <c r="H2196" s="88">
        <v>10733.082706766916</v>
      </c>
      <c r="I2196" s="89">
        <v>25</v>
      </c>
      <c r="J2196" s="90">
        <v>11420</v>
      </c>
      <c r="K2196" s="85">
        <v>2</v>
      </c>
      <c r="L2196" s="85">
        <v>258</v>
      </c>
      <c r="M2196" s="85">
        <v>0</v>
      </c>
      <c r="N2196" s="82" t="s">
        <v>11277</v>
      </c>
      <c r="O2196" s="93">
        <v>45856.839571759258</v>
      </c>
    </row>
    <row r="2197" spans="1:15" ht="22.5" customHeight="1">
      <c r="A2197" s="85">
        <v>174904221976312</v>
      </c>
      <c r="B2197" s="82" t="s">
        <v>10651</v>
      </c>
      <c r="C2197" s="82" t="s">
        <v>11278</v>
      </c>
      <c r="D2197" s="82" t="s">
        <v>2202</v>
      </c>
      <c r="E2197" s="82">
        <v>62895374644456</v>
      </c>
      <c r="F2197" s="92">
        <v>45855</v>
      </c>
      <c r="G2197" s="87">
        <v>1124</v>
      </c>
      <c r="H2197" s="88">
        <v>11768.930523028883</v>
      </c>
      <c r="I2197" s="89">
        <v>49</v>
      </c>
      <c r="J2197" s="90">
        <v>15076</v>
      </c>
      <c r="K2197" s="85">
        <v>3</v>
      </c>
      <c r="L2197" s="85">
        <v>479</v>
      </c>
      <c r="M2197" s="85">
        <v>1</v>
      </c>
      <c r="N2197" s="82" t="s">
        <v>11279</v>
      </c>
      <c r="O2197" s="93">
        <v>45856.839571759258</v>
      </c>
    </row>
    <row r="2198" spans="1:15" ht="22.5" customHeight="1">
      <c r="A2198" s="85">
        <v>174904221976312</v>
      </c>
      <c r="B2198" s="82" t="s">
        <v>10651</v>
      </c>
      <c r="C2198" s="82" t="s">
        <v>11280</v>
      </c>
      <c r="D2198" s="82" t="s">
        <v>2151</v>
      </c>
      <c r="E2198" s="82">
        <v>6281252228100</v>
      </c>
      <c r="F2198" s="92">
        <v>45855</v>
      </c>
      <c r="G2198" s="87">
        <v>461</v>
      </c>
      <c r="H2198" s="88">
        <v>39905.544147843939</v>
      </c>
      <c r="I2198" s="89">
        <v>12</v>
      </c>
      <c r="J2198" s="90">
        <v>19434</v>
      </c>
      <c r="K2198" s="85">
        <v>1</v>
      </c>
      <c r="L2198" s="85">
        <v>104</v>
      </c>
      <c r="M2198" s="85">
        <v>0</v>
      </c>
      <c r="N2198" s="82" t="s">
        <v>11281</v>
      </c>
      <c r="O2198" s="93">
        <v>45856.839583333334</v>
      </c>
    </row>
    <row r="2199" spans="1:15" ht="22.5" customHeight="1">
      <c r="A2199" s="85">
        <v>174904221976312</v>
      </c>
      <c r="B2199" s="82" t="s">
        <v>10651</v>
      </c>
      <c r="C2199" s="82" t="s">
        <v>11282</v>
      </c>
      <c r="D2199" s="82" t="s">
        <v>1044</v>
      </c>
      <c r="E2199" s="82">
        <v>6281263113266</v>
      </c>
      <c r="F2199" s="92">
        <v>45855</v>
      </c>
      <c r="G2199" s="87">
        <v>1376</v>
      </c>
      <c r="H2199" s="88">
        <v>9523.8095238095229</v>
      </c>
      <c r="I2199" s="89">
        <v>49</v>
      </c>
      <c r="J2199" s="90">
        <v>14600</v>
      </c>
      <c r="K2199" s="85">
        <v>7</v>
      </c>
      <c r="L2199" s="85">
        <v>578</v>
      </c>
      <c r="M2199" s="85">
        <v>1</v>
      </c>
      <c r="N2199" s="82" t="s">
        <v>10728</v>
      </c>
      <c r="O2199" s="93">
        <v>45856.4846412037</v>
      </c>
    </row>
    <row r="2200" spans="1:15" ht="22.5" customHeight="1">
      <c r="A2200" s="85">
        <v>174904221976312</v>
      </c>
      <c r="B2200" s="82" t="s">
        <v>10651</v>
      </c>
      <c r="C2200" s="82" t="s">
        <v>11283</v>
      </c>
      <c r="D2200" s="82" t="s">
        <v>11284</v>
      </c>
      <c r="E2200" s="82">
        <v>6285150556695</v>
      </c>
      <c r="F2200" s="92">
        <v>45855</v>
      </c>
      <c r="G2200" s="87">
        <v>130</v>
      </c>
      <c r="H2200" s="88">
        <v>85459.119496855346</v>
      </c>
      <c r="I2200" s="89">
        <v>4</v>
      </c>
      <c r="J2200" s="90">
        <v>13588</v>
      </c>
      <c r="K2200" s="85">
        <v>0</v>
      </c>
      <c r="L2200" s="85">
        <v>59</v>
      </c>
      <c r="M2200" s="85">
        <v>0</v>
      </c>
      <c r="N2200" s="82" t="s">
        <v>11285</v>
      </c>
      <c r="O2200" s="93">
        <v>45856.505578703705</v>
      </c>
    </row>
    <row r="2201" spans="1:15" ht="22.5" customHeight="1">
      <c r="A2201" s="85">
        <v>174904221976312</v>
      </c>
      <c r="B2201" s="82" t="s">
        <v>10651</v>
      </c>
      <c r="C2201" s="82" t="s">
        <v>11291</v>
      </c>
      <c r="D2201" s="82" t="s">
        <v>11292</v>
      </c>
      <c r="E2201" s="82">
        <v>6283183643221</v>
      </c>
      <c r="F2201" s="92">
        <v>45855</v>
      </c>
      <c r="G2201" s="87">
        <v>175</v>
      </c>
      <c r="H2201" s="88">
        <v>66443.298969072159</v>
      </c>
      <c r="I2201" s="89">
        <v>7</v>
      </c>
      <c r="J2201" s="90">
        <v>12890</v>
      </c>
      <c r="K2201" s="85">
        <v>0</v>
      </c>
      <c r="L2201" s="85">
        <v>75</v>
      </c>
      <c r="M2201" s="85">
        <v>1</v>
      </c>
      <c r="N2201" s="82" t="s">
        <v>11293</v>
      </c>
      <c r="O2201" s="93">
        <v>45856.42359953704</v>
      </c>
    </row>
    <row r="2202" spans="1:15" ht="22.5" customHeight="1">
      <c r="A2202" s="85">
        <v>174904221976312</v>
      </c>
      <c r="B2202" s="82" t="s">
        <v>10651</v>
      </c>
      <c r="C2202" s="82" t="s">
        <v>11255</v>
      </c>
      <c r="D2202" s="82" t="s">
        <v>11256</v>
      </c>
      <c r="E2202" s="82">
        <v>6287715704997</v>
      </c>
      <c r="F2202" s="92">
        <v>45855</v>
      </c>
      <c r="G2202" s="87">
        <v>157</v>
      </c>
      <c r="H2202" s="88">
        <v>92878.612716763004</v>
      </c>
      <c r="I2202" s="89">
        <v>7</v>
      </c>
      <c r="J2202" s="90">
        <v>16068</v>
      </c>
      <c r="K2202" s="85">
        <v>2</v>
      </c>
      <c r="L2202" s="85">
        <v>0</v>
      </c>
      <c r="M2202" s="85">
        <v>0</v>
      </c>
      <c r="N2202" s="82" t="s">
        <v>11257</v>
      </c>
      <c r="O2202" s="93">
        <v>45856.839594907404</v>
      </c>
    </row>
    <row r="2203" spans="1:15" ht="22.5" customHeight="1">
      <c r="A2203" s="85">
        <v>174904221976312</v>
      </c>
      <c r="B2203" s="82" t="s">
        <v>10651</v>
      </c>
      <c r="C2203" s="82" t="s">
        <v>11217</v>
      </c>
      <c r="D2203" s="82" t="s">
        <v>2043</v>
      </c>
      <c r="E2203" s="82">
        <v>6282298717014</v>
      </c>
      <c r="F2203" s="92">
        <v>45855</v>
      </c>
      <c r="G2203" s="87">
        <v>439</v>
      </c>
      <c r="H2203" s="88">
        <v>29083.657587548638</v>
      </c>
      <c r="I2203" s="89">
        <v>18</v>
      </c>
      <c r="J2203" s="90">
        <v>14949</v>
      </c>
      <c r="K2203" s="85">
        <v>3</v>
      </c>
      <c r="L2203" s="85">
        <v>2</v>
      </c>
      <c r="M2203" s="85">
        <v>0</v>
      </c>
      <c r="N2203" s="82" t="s">
        <v>11218</v>
      </c>
      <c r="O2203" s="93">
        <v>45856.443055555559</v>
      </c>
    </row>
    <row r="2204" spans="1:15" ht="22.5" customHeight="1">
      <c r="A2204" s="85">
        <v>174904221976312</v>
      </c>
      <c r="B2204" s="82" t="s">
        <v>10651</v>
      </c>
      <c r="C2204" s="82" t="s">
        <v>11225</v>
      </c>
      <c r="D2204" s="82" t="s">
        <v>11226</v>
      </c>
      <c r="E2204" s="82">
        <v>6281240144744</v>
      </c>
      <c r="F2204" s="92">
        <v>45855</v>
      </c>
      <c r="G2204" s="87">
        <v>2017</v>
      </c>
      <c r="H2204" s="88">
        <v>6356.8316831683169</v>
      </c>
      <c r="I2204" s="89">
        <v>45</v>
      </c>
      <c r="J2204" s="90">
        <v>16051</v>
      </c>
      <c r="K2204" s="85">
        <v>4</v>
      </c>
      <c r="L2204" s="85">
        <v>337</v>
      </c>
      <c r="M2204" s="85">
        <v>1</v>
      </c>
      <c r="N2204" s="82" t="s">
        <v>11227</v>
      </c>
      <c r="O2204" s="93">
        <v>45856.526342592595</v>
      </c>
    </row>
    <row r="2205" spans="1:15" ht="22.5" customHeight="1">
      <c r="A2205" s="85">
        <v>174904221976312</v>
      </c>
      <c r="B2205" s="82" t="s">
        <v>10651</v>
      </c>
      <c r="C2205" s="82" t="s">
        <v>11187</v>
      </c>
      <c r="D2205" s="82" t="s">
        <v>1938</v>
      </c>
      <c r="E2205" s="82">
        <v>6285956579758</v>
      </c>
      <c r="F2205" s="92">
        <v>45855</v>
      </c>
      <c r="G2205" s="87">
        <v>196</v>
      </c>
      <c r="H2205" s="88">
        <v>58196.428571428572</v>
      </c>
      <c r="I2205" s="89">
        <v>3</v>
      </c>
      <c r="J2205" s="90">
        <v>13036</v>
      </c>
      <c r="K2205" s="85">
        <v>0</v>
      </c>
      <c r="L2205" s="85">
        <v>37</v>
      </c>
      <c r="M2205" s="85">
        <v>0</v>
      </c>
      <c r="N2205" s="82" t="s">
        <v>11188</v>
      </c>
      <c r="O2205" s="93">
        <v>45856.464699074073</v>
      </c>
    </row>
    <row r="2206" spans="1:15" ht="22.5" customHeight="1">
      <c r="A2206" s="85">
        <v>174904221976312</v>
      </c>
      <c r="B2206" s="82" t="s">
        <v>10651</v>
      </c>
      <c r="C2206" s="82" t="s">
        <v>11191</v>
      </c>
      <c r="D2206" s="82" t="s">
        <v>1976</v>
      </c>
      <c r="E2206" s="82">
        <v>6282136273086</v>
      </c>
      <c r="F2206" s="92">
        <v>45855</v>
      </c>
      <c r="G2206" s="87">
        <v>131</v>
      </c>
      <c r="H2206" s="88">
        <v>79892.405063291139</v>
      </c>
      <c r="I2206" s="89">
        <v>3</v>
      </c>
      <c r="J2206" s="90">
        <v>12623</v>
      </c>
      <c r="K2206" s="85">
        <v>1</v>
      </c>
      <c r="L2206" s="85">
        <v>46</v>
      </c>
      <c r="M2206" s="85">
        <v>0</v>
      </c>
      <c r="N2206" s="82" t="s">
        <v>11192</v>
      </c>
      <c r="O2206" s="93">
        <v>45856.401909722219</v>
      </c>
    </row>
    <row r="2207" spans="1:15" ht="22.5" customHeight="1">
      <c r="A2207" s="85">
        <v>174904221976312</v>
      </c>
      <c r="B2207" s="82" t="s">
        <v>10651</v>
      </c>
      <c r="C2207" s="82" t="s">
        <v>11193</v>
      </c>
      <c r="D2207" s="82" t="s">
        <v>11194</v>
      </c>
      <c r="E2207" s="82">
        <v>6281779578317</v>
      </c>
      <c r="F2207" s="92">
        <v>45855</v>
      </c>
      <c r="G2207" s="87">
        <v>1414</v>
      </c>
      <c r="H2207" s="88">
        <v>8545.1219512195112</v>
      </c>
      <c r="I2207" s="89">
        <v>56</v>
      </c>
      <c r="J2207" s="90">
        <v>14014</v>
      </c>
      <c r="K2207" s="85">
        <v>7</v>
      </c>
      <c r="L2207" s="85">
        <v>418</v>
      </c>
      <c r="M2207" s="85">
        <v>1</v>
      </c>
      <c r="N2207" s="82" t="s">
        <v>11195</v>
      </c>
      <c r="O2207" s="93">
        <v>45856.505590277775</v>
      </c>
    </row>
    <row r="2208" spans="1:15" ht="22.5" customHeight="1">
      <c r="A2208" s="85">
        <v>174904221976312</v>
      </c>
      <c r="B2208" s="82" t="s">
        <v>10651</v>
      </c>
      <c r="C2208" s="82" t="s">
        <v>11196</v>
      </c>
      <c r="D2208" s="82" t="s">
        <v>11197</v>
      </c>
      <c r="E2208" s="82">
        <v>6281412281953</v>
      </c>
      <c r="F2208" s="92">
        <v>45855</v>
      </c>
      <c r="G2208" s="87">
        <v>826</v>
      </c>
      <c r="H2208" s="88">
        <v>14364.646464646465</v>
      </c>
      <c r="I2208" s="89">
        <v>53</v>
      </c>
      <c r="J2208" s="90">
        <v>14221</v>
      </c>
      <c r="K2208" s="85">
        <v>6</v>
      </c>
      <c r="L2208" s="85">
        <v>340</v>
      </c>
      <c r="M2208" s="85">
        <v>0</v>
      </c>
      <c r="N2208" s="82" t="s">
        <v>11198</v>
      </c>
      <c r="O2208" s="93">
        <v>45856.505578703705</v>
      </c>
    </row>
    <row r="2209" spans="1:15" ht="22.5" customHeight="1">
      <c r="A2209" s="85">
        <v>174904221976312</v>
      </c>
      <c r="B2209" s="82" t="s">
        <v>10651</v>
      </c>
      <c r="C2209" s="82" t="s">
        <v>11199</v>
      </c>
      <c r="D2209" s="82" t="s">
        <v>1961</v>
      </c>
      <c r="E2209" s="82">
        <v>6281212295448</v>
      </c>
      <c r="F2209" s="92">
        <v>45855</v>
      </c>
      <c r="G2209" s="87">
        <v>1112</v>
      </c>
      <c r="H2209" s="88">
        <v>11166.79904686259</v>
      </c>
      <c r="I2209" s="89">
        <v>44</v>
      </c>
      <c r="J2209" s="90">
        <v>14059</v>
      </c>
      <c r="K2209" s="85">
        <v>2</v>
      </c>
      <c r="L2209" s="85">
        <v>502</v>
      </c>
      <c r="M2209" s="85">
        <v>0</v>
      </c>
      <c r="N2209" s="82" t="s">
        <v>11200</v>
      </c>
      <c r="O2209" s="93">
        <v>45856.44326388889</v>
      </c>
    </row>
    <row r="2210" spans="1:15" ht="22.5" customHeight="1">
      <c r="A2210" s="85">
        <v>174904221976312</v>
      </c>
      <c r="B2210" s="82" t="s">
        <v>10651</v>
      </c>
      <c r="C2210" s="82" t="s">
        <v>11153</v>
      </c>
      <c r="D2210" s="82" t="s">
        <v>11154</v>
      </c>
      <c r="E2210" s="82">
        <v>6285338137835</v>
      </c>
      <c r="F2210" s="92">
        <v>45855</v>
      </c>
      <c r="G2210" s="87">
        <v>443</v>
      </c>
      <c r="H2210" s="88">
        <v>23992.920353982299</v>
      </c>
      <c r="I2210" s="89">
        <v>9</v>
      </c>
      <c r="J2210" s="90">
        <v>13556</v>
      </c>
      <c r="K2210" s="85">
        <v>0</v>
      </c>
      <c r="L2210" s="85">
        <v>0</v>
      </c>
      <c r="M2210" s="85">
        <v>0</v>
      </c>
      <c r="N2210" s="82" t="s">
        <v>11155</v>
      </c>
      <c r="O2210" s="93">
        <v>45856.505740740744</v>
      </c>
    </row>
    <row r="2211" spans="1:15" ht="22.5" customHeight="1">
      <c r="A2211" s="85">
        <v>174904221976312</v>
      </c>
      <c r="B2211" s="82" t="s">
        <v>10651</v>
      </c>
      <c r="C2211" s="82" t="s">
        <v>11002</v>
      </c>
      <c r="D2211" s="82" t="s">
        <v>11003</v>
      </c>
      <c r="E2211" s="82">
        <v>6288228976100</v>
      </c>
      <c r="F2211" s="92">
        <v>45855</v>
      </c>
      <c r="G2211" s="87">
        <v>557</v>
      </c>
      <c r="H2211" s="88">
        <v>17935.843793584379</v>
      </c>
      <c r="I2211" s="89">
        <v>10</v>
      </c>
      <c r="J2211" s="90">
        <v>12860</v>
      </c>
      <c r="K2211" s="85">
        <v>1</v>
      </c>
      <c r="L2211" s="85">
        <v>137</v>
      </c>
      <c r="M2211" s="85">
        <v>0</v>
      </c>
      <c r="N2211" s="82" t="s">
        <v>11004</v>
      </c>
      <c r="O2211" s="93">
        <v>45856.464942129627</v>
      </c>
    </row>
    <row r="2212" spans="1:15" ht="22.5" customHeight="1">
      <c r="A2212" s="85">
        <v>174904221976312</v>
      </c>
      <c r="B2212" s="82" t="s">
        <v>10651</v>
      </c>
      <c r="C2212" s="82" t="s">
        <v>10853</v>
      </c>
      <c r="D2212" s="82" t="s">
        <v>10854</v>
      </c>
      <c r="E2212" s="82">
        <v>6281393958199</v>
      </c>
      <c r="F2212" s="92">
        <v>45855</v>
      </c>
      <c r="G2212" s="87">
        <v>1059</v>
      </c>
      <c r="H2212" s="88">
        <v>12074.346405228758</v>
      </c>
      <c r="I2212" s="89">
        <v>24</v>
      </c>
      <c r="J2212" s="90">
        <v>14779</v>
      </c>
      <c r="K2212" s="85">
        <v>1</v>
      </c>
      <c r="L2212" s="85">
        <v>401</v>
      </c>
      <c r="M2212" s="85">
        <v>0</v>
      </c>
      <c r="N2212" s="82" t="s">
        <v>10855</v>
      </c>
      <c r="O2212" s="93">
        <v>45856.484849537039</v>
      </c>
    </row>
    <row r="2213" spans="1:15" ht="22.5" customHeight="1">
      <c r="A2213" s="85">
        <v>174904221976312</v>
      </c>
      <c r="B2213" s="82" t="s">
        <v>10651</v>
      </c>
      <c r="C2213" s="82" t="s">
        <v>818</v>
      </c>
      <c r="D2213" s="82" t="s">
        <v>812</v>
      </c>
      <c r="E2213" s="82">
        <v>6287858585808</v>
      </c>
      <c r="F2213" s="92">
        <v>45855</v>
      </c>
      <c r="G2213" s="87">
        <v>608</v>
      </c>
      <c r="H2213" s="88">
        <v>16586.065573770491</v>
      </c>
      <c r="I2213" s="89">
        <v>11</v>
      </c>
      <c r="J2213" s="90">
        <v>12141</v>
      </c>
      <c r="K2213" s="85">
        <v>1</v>
      </c>
      <c r="L2213" s="85">
        <v>173</v>
      </c>
      <c r="M2213" s="85">
        <v>0</v>
      </c>
      <c r="N2213" s="82" t="s">
        <v>10831</v>
      </c>
      <c r="O2213" s="93">
        <v>45856.526342592595</v>
      </c>
    </row>
    <row r="2214" spans="1:15" ht="22.5" customHeight="1">
      <c r="A2214" s="85">
        <v>174904221976312</v>
      </c>
      <c r="B2214" s="82" t="s">
        <v>10651</v>
      </c>
      <c r="C2214" s="82" t="s">
        <v>8099</v>
      </c>
      <c r="D2214" s="82" t="s">
        <v>2357</v>
      </c>
      <c r="E2214" s="82">
        <v>6281221788919</v>
      </c>
      <c r="F2214" s="92">
        <v>45855</v>
      </c>
      <c r="G2214" s="87">
        <v>1216</v>
      </c>
      <c r="H2214" s="88">
        <v>8760.9663064208507</v>
      </c>
      <c r="I2214" s="89">
        <v>25</v>
      </c>
      <c r="J2214" s="90">
        <v>13781</v>
      </c>
      <c r="K2214" s="85">
        <v>0</v>
      </c>
      <c r="L2214" s="85">
        <v>353</v>
      </c>
      <c r="M2214" s="85">
        <v>0</v>
      </c>
      <c r="N2214" s="82" t="s">
        <v>10759</v>
      </c>
      <c r="O2214" s="93">
        <v>45856.484629629631</v>
      </c>
    </row>
    <row r="2215" spans="1:15" ht="22.5" customHeight="1">
      <c r="A2215" s="85">
        <v>174904221976312</v>
      </c>
      <c r="B2215" s="82" t="s">
        <v>10651</v>
      </c>
      <c r="C2215" s="82" t="s">
        <v>10673</v>
      </c>
      <c r="D2215" s="82" t="s">
        <v>10674</v>
      </c>
      <c r="E2215" s="82">
        <v>6282183184641</v>
      </c>
      <c r="F2215" s="92">
        <v>45855</v>
      </c>
      <c r="G2215" s="87">
        <v>681</v>
      </c>
      <c r="H2215" s="88">
        <v>18582.228116710878</v>
      </c>
      <c r="I2215" s="89">
        <v>26</v>
      </c>
      <c r="J2215" s="90">
        <v>14011</v>
      </c>
      <c r="K2215" s="85">
        <v>0</v>
      </c>
      <c r="L2215" s="85">
        <v>0</v>
      </c>
      <c r="M2215" s="85">
        <v>0</v>
      </c>
      <c r="N2215" s="82" t="s">
        <v>10675</v>
      </c>
      <c r="O2215" s="93">
        <v>45856.839583333334</v>
      </c>
    </row>
    <row r="2216" spans="1:15" ht="22.5" customHeight="1">
      <c r="A2216" s="85">
        <v>759724529202804</v>
      </c>
      <c r="B2216" s="82" t="s">
        <v>10621</v>
      </c>
      <c r="C2216" s="82" t="s">
        <v>11337</v>
      </c>
      <c r="D2216" s="82" t="s">
        <v>2336</v>
      </c>
      <c r="E2216" s="82">
        <v>6289608357133</v>
      </c>
      <c r="F2216" s="92">
        <v>45856</v>
      </c>
      <c r="G2216" s="87">
        <v>469</v>
      </c>
      <c r="H2216" s="88">
        <v>26824.723247232472</v>
      </c>
      <c r="I2216" s="89">
        <v>22</v>
      </c>
      <c r="J2216" s="90">
        <v>14539</v>
      </c>
      <c r="K2216" s="85">
        <v>4</v>
      </c>
      <c r="L2216" s="85">
        <v>178</v>
      </c>
      <c r="M2216" s="85">
        <v>0</v>
      </c>
      <c r="N2216" s="82" t="s">
        <v>11338</v>
      </c>
      <c r="O2216" s="93">
        <v>45857.672268518516</v>
      </c>
    </row>
    <row r="2217" spans="1:15" ht="22.5" customHeight="1">
      <c r="A2217" s="85">
        <v>759724529202804</v>
      </c>
      <c r="B2217" s="82" t="s">
        <v>10621</v>
      </c>
      <c r="C2217" s="82" t="s">
        <v>11321</v>
      </c>
      <c r="D2217" s="82" t="s">
        <v>2240</v>
      </c>
      <c r="E2217" s="82">
        <v>6285339158435</v>
      </c>
      <c r="F2217" s="92">
        <v>45856</v>
      </c>
      <c r="G2217" s="87">
        <v>2207</v>
      </c>
      <c r="H2217" s="88">
        <v>5776.0936961763691</v>
      </c>
      <c r="I2217" s="89">
        <v>215</v>
      </c>
      <c r="J2217" s="90">
        <v>16768</v>
      </c>
      <c r="K2217" s="85">
        <v>9</v>
      </c>
      <c r="L2217" s="85">
        <v>1275</v>
      </c>
      <c r="M2217" s="85">
        <v>5</v>
      </c>
      <c r="N2217" s="82" t="s">
        <v>11339</v>
      </c>
      <c r="O2217" s="93">
        <v>45857.485219907408</v>
      </c>
    </row>
    <row r="2218" spans="1:15" ht="22.5" customHeight="1">
      <c r="A2218" s="85">
        <v>759724529202804</v>
      </c>
      <c r="B2218" s="82" t="s">
        <v>10621</v>
      </c>
      <c r="C2218" s="82" t="s">
        <v>11323</v>
      </c>
      <c r="D2218" s="82" t="s">
        <v>11340</v>
      </c>
      <c r="E2218" s="82">
        <v>6281916331011</v>
      </c>
      <c r="F2218" s="92">
        <v>45856</v>
      </c>
      <c r="G2218" s="87">
        <v>900</v>
      </c>
      <c r="H2218" s="88">
        <v>15458.910433979685</v>
      </c>
      <c r="I2218" s="89">
        <v>34</v>
      </c>
      <c r="J2218" s="90">
        <v>16742</v>
      </c>
      <c r="K2218" s="85">
        <v>9</v>
      </c>
      <c r="L2218" s="85">
        <v>176</v>
      </c>
      <c r="M2218" s="85">
        <v>0</v>
      </c>
      <c r="N2218" s="82" t="s">
        <v>11341</v>
      </c>
      <c r="O2218" s="93">
        <v>45857.526585648149</v>
      </c>
    </row>
    <row r="2219" spans="1:15" ht="22.5" customHeight="1">
      <c r="A2219" s="85">
        <v>759724529202804</v>
      </c>
      <c r="B2219" s="82" t="s">
        <v>10621</v>
      </c>
      <c r="C2219" s="82" t="s">
        <v>11306</v>
      </c>
      <c r="D2219" s="82" t="s">
        <v>11307</v>
      </c>
      <c r="E2219" s="82">
        <v>6282258462258</v>
      </c>
      <c r="F2219" s="92">
        <v>45856</v>
      </c>
      <c r="G2219" s="87">
        <v>987</v>
      </c>
      <c r="H2219" s="88">
        <v>12721.186440677966</v>
      </c>
      <c r="I2219" s="89">
        <v>31</v>
      </c>
      <c r="J2219" s="90">
        <v>15011</v>
      </c>
      <c r="K2219" s="85">
        <v>3</v>
      </c>
      <c r="L2219" s="85">
        <v>281</v>
      </c>
      <c r="M2219" s="85">
        <v>0</v>
      </c>
      <c r="N2219" s="82" t="s">
        <v>11308</v>
      </c>
      <c r="O2219" s="93">
        <v>45857.570393518516</v>
      </c>
    </row>
    <row r="2220" spans="1:15" ht="22.5" customHeight="1">
      <c r="A2220" s="85">
        <v>759724529202804</v>
      </c>
      <c r="B2220" s="82" t="s">
        <v>10621</v>
      </c>
      <c r="C2220" s="82" t="s">
        <v>11266</v>
      </c>
      <c r="D2220" s="82" t="s">
        <v>11267</v>
      </c>
      <c r="E2220" s="82">
        <v>6281904501876</v>
      </c>
      <c r="F2220" s="92">
        <v>45856</v>
      </c>
      <c r="G2220" s="87">
        <v>966</v>
      </c>
      <c r="H2220" s="88">
        <v>13938.099389712293</v>
      </c>
      <c r="I2220" s="89">
        <v>40</v>
      </c>
      <c r="J2220" s="90">
        <v>15987</v>
      </c>
      <c r="K2220" s="85">
        <v>2</v>
      </c>
      <c r="L2220" s="85">
        <v>307</v>
      </c>
      <c r="M2220" s="85">
        <v>0</v>
      </c>
      <c r="N2220" s="82" t="s">
        <v>11268</v>
      </c>
      <c r="O2220" s="93">
        <v>45857.61041666667</v>
      </c>
    </row>
    <row r="2221" spans="1:15" ht="22.5" customHeight="1">
      <c r="A2221" s="85">
        <v>759724529202804</v>
      </c>
      <c r="B2221" s="82" t="s">
        <v>10621</v>
      </c>
      <c r="C2221" s="82" t="s">
        <v>11070</v>
      </c>
      <c r="D2221" s="82" t="s">
        <v>11071</v>
      </c>
      <c r="E2221" s="82">
        <v>6281246211381</v>
      </c>
      <c r="F2221" s="92">
        <v>45856</v>
      </c>
      <c r="G2221" s="87">
        <v>658</v>
      </c>
      <c r="H2221" s="88">
        <v>23775.539568345324</v>
      </c>
      <c r="I2221" s="89">
        <v>19</v>
      </c>
      <c r="J2221" s="90">
        <v>16524</v>
      </c>
      <c r="K2221" s="85">
        <v>0</v>
      </c>
      <c r="L2221" s="85">
        <v>13</v>
      </c>
      <c r="M2221" s="85">
        <v>0</v>
      </c>
      <c r="N2221" s="82" t="s">
        <v>11072</v>
      </c>
      <c r="O2221" s="93">
        <v>45857.526574074072</v>
      </c>
    </row>
    <row r="2222" spans="1:15" ht="22.5" customHeight="1">
      <c r="A2222" s="85">
        <v>759724529202804</v>
      </c>
      <c r="B2222" s="82" t="s">
        <v>10621</v>
      </c>
      <c r="C2222" s="82" t="s">
        <v>11016</v>
      </c>
      <c r="D2222" s="82" t="s">
        <v>1530</v>
      </c>
      <c r="E2222" s="82">
        <v>628111988553</v>
      </c>
      <c r="F2222" s="92">
        <v>45856</v>
      </c>
      <c r="G2222" s="87">
        <v>213</v>
      </c>
      <c r="H2222" s="88">
        <v>67016.806722689085</v>
      </c>
      <c r="I2222" s="89">
        <v>8</v>
      </c>
      <c r="J2222" s="90">
        <v>15950</v>
      </c>
      <c r="K2222" s="85">
        <v>1</v>
      </c>
      <c r="L2222" s="85">
        <v>7</v>
      </c>
      <c r="M2222" s="85">
        <v>1</v>
      </c>
      <c r="N2222" s="82" t="s">
        <v>11017</v>
      </c>
      <c r="O2222" s="93">
        <v>45857.466631944444</v>
      </c>
    </row>
    <row r="2223" spans="1:15" ht="22.5" customHeight="1">
      <c r="A2223" s="85">
        <v>759724529202804</v>
      </c>
      <c r="B2223" s="82" t="s">
        <v>10621</v>
      </c>
      <c r="C2223" s="82" t="s">
        <v>10986</v>
      </c>
      <c r="D2223" s="82" t="s">
        <v>10987</v>
      </c>
      <c r="E2223" s="82">
        <v>6281282183261</v>
      </c>
      <c r="F2223" s="92">
        <v>45856</v>
      </c>
      <c r="G2223" s="87">
        <v>456</v>
      </c>
      <c r="H2223" s="88">
        <v>33031.055900621119</v>
      </c>
      <c r="I2223" s="89">
        <v>13</v>
      </c>
      <c r="J2223" s="90">
        <v>15954</v>
      </c>
      <c r="K2223" s="85">
        <v>2</v>
      </c>
      <c r="L2223" s="85">
        <v>0</v>
      </c>
      <c r="M2223" s="85">
        <v>0</v>
      </c>
      <c r="N2223" s="82" t="s">
        <v>10988</v>
      </c>
      <c r="O2223" s="93">
        <v>45857.214641203704</v>
      </c>
    </row>
    <row r="2224" spans="1:15" ht="22.5" customHeight="1">
      <c r="A2224" s="85">
        <v>759724529202804</v>
      </c>
      <c r="B2224" s="82" t="s">
        <v>10621</v>
      </c>
      <c r="C2224" s="82" t="s">
        <v>10925</v>
      </c>
      <c r="D2224" s="82" t="s">
        <v>10926</v>
      </c>
      <c r="E2224" s="82">
        <v>6281233038880</v>
      </c>
      <c r="F2224" s="92">
        <v>45856</v>
      </c>
      <c r="G2224" s="87">
        <v>301</v>
      </c>
      <c r="H2224" s="88">
        <v>51548.172757475084</v>
      </c>
      <c r="I2224" s="89">
        <v>8</v>
      </c>
      <c r="J2224" s="90">
        <v>15516</v>
      </c>
      <c r="K2224" s="85">
        <v>1</v>
      </c>
      <c r="L2224" s="85">
        <v>29</v>
      </c>
      <c r="M2224" s="85">
        <v>0</v>
      </c>
      <c r="N2224" s="82" t="s">
        <v>10927</v>
      </c>
      <c r="O2224" s="93">
        <v>45857.526597222219</v>
      </c>
    </row>
    <row r="2225" spans="1:15" ht="22.5" customHeight="1">
      <c r="A2225" s="85">
        <v>174904221976312</v>
      </c>
      <c r="B2225" s="82" t="s">
        <v>10651</v>
      </c>
      <c r="C2225" s="82" t="s">
        <v>11367</v>
      </c>
      <c r="D2225" s="82" t="s">
        <v>2449</v>
      </c>
      <c r="E2225" s="82">
        <v>6281223055720</v>
      </c>
      <c r="F2225" s="92">
        <v>45856</v>
      </c>
      <c r="G2225" s="87">
        <v>909</v>
      </c>
      <c r="H2225" s="88">
        <v>13323.559150657231</v>
      </c>
      <c r="I2225" s="89">
        <v>111</v>
      </c>
      <c r="J2225" s="90">
        <v>13177</v>
      </c>
      <c r="K2225" s="85">
        <v>0</v>
      </c>
      <c r="L2225" s="85">
        <v>108</v>
      </c>
      <c r="M2225" s="85">
        <v>7</v>
      </c>
      <c r="N2225" s="82" t="s">
        <v>11368</v>
      </c>
      <c r="O2225" s="93">
        <v>45857.671967592592</v>
      </c>
    </row>
    <row r="2226" spans="1:15" ht="22.5" customHeight="1">
      <c r="A2226" s="85">
        <v>174904221976312</v>
      </c>
      <c r="B2226" s="82" t="s">
        <v>10651</v>
      </c>
      <c r="C2226" s="82" t="s">
        <v>11369</v>
      </c>
      <c r="D2226" s="82" t="s">
        <v>11370</v>
      </c>
      <c r="E2226" s="82">
        <v>6285714141525</v>
      </c>
      <c r="F2226" s="92">
        <v>45856</v>
      </c>
      <c r="G2226" s="87">
        <v>317</v>
      </c>
      <c r="H2226" s="88">
        <v>33185.483870967742</v>
      </c>
      <c r="I2226" s="89">
        <v>10</v>
      </c>
      <c r="J2226" s="90">
        <v>12345</v>
      </c>
      <c r="K2226" s="85">
        <v>2</v>
      </c>
      <c r="L2226" s="85">
        <v>62</v>
      </c>
      <c r="M2226" s="85">
        <v>0</v>
      </c>
      <c r="N2226" s="82" t="s">
        <v>11371</v>
      </c>
      <c r="O2226" s="93">
        <v>45857.693622685183</v>
      </c>
    </row>
    <row r="2227" spans="1:15" ht="22.5" customHeight="1">
      <c r="A2227" s="85">
        <v>174904221976312</v>
      </c>
      <c r="B2227" s="82" t="s">
        <v>10651</v>
      </c>
      <c r="C2227" s="82" t="s">
        <v>11372</v>
      </c>
      <c r="D2227" s="82" t="s">
        <v>11373</v>
      </c>
      <c r="E2227" s="82">
        <v>6283147736523</v>
      </c>
      <c r="F2227" s="92">
        <v>45856</v>
      </c>
      <c r="G2227" s="87">
        <v>619</v>
      </c>
      <c r="H2227" s="88">
        <v>16500</v>
      </c>
      <c r="I2227" s="89">
        <v>25</v>
      </c>
      <c r="J2227" s="90">
        <v>13167</v>
      </c>
      <c r="K2227" s="85">
        <v>4</v>
      </c>
      <c r="L2227" s="85">
        <v>33</v>
      </c>
      <c r="M2227" s="85">
        <v>0</v>
      </c>
      <c r="N2227" s="82" t="s">
        <v>11374</v>
      </c>
      <c r="O2227" s="93">
        <v>45857.631238425929</v>
      </c>
    </row>
    <row r="2228" spans="1:15" ht="22.5" customHeight="1">
      <c r="A2228" s="85">
        <v>174904221976312</v>
      </c>
      <c r="B2228" s="82" t="s">
        <v>10651</v>
      </c>
      <c r="C2228" s="82" t="s">
        <v>11375</v>
      </c>
      <c r="D2228" s="82" t="s">
        <v>7857</v>
      </c>
      <c r="E2228" s="82">
        <v>6283865096870</v>
      </c>
      <c r="F2228" s="92">
        <v>45856</v>
      </c>
      <c r="G2228" s="87">
        <v>500</v>
      </c>
      <c r="H2228" s="88">
        <v>16957.48031496063</v>
      </c>
      <c r="I2228" s="89">
        <v>9</v>
      </c>
      <c r="J2228" s="90">
        <v>10768</v>
      </c>
      <c r="K2228" s="85">
        <v>1</v>
      </c>
      <c r="L2228" s="85">
        <v>21</v>
      </c>
      <c r="M2228" s="85">
        <v>0</v>
      </c>
      <c r="N2228" s="82" t="s">
        <v>11376</v>
      </c>
      <c r="O2228" s="93">
        <v>45857.651886574073</v>
      </c>
    </row>
    <row r="2229" spans="1:15" ht="22.5" customHeight="1">
      <c r="A2229" s="85">
        <v>174904221976312</v>
      </c>
      <c r="B2229" s="82" t="s">
        <v>10651</v>
      </c>
      <c r="C2229" s="82" t="s">
        <v>11377</v>
      </c>
      <c r="D2229" s="82" t="s">
        <v>2708</v>
      </c>
      <c r="E2229" s="82">
        <v>6281217985917</v>
      </c>
      <c r="F2229" s="92">
        <v>45856</v>
      </c>
      <c r="G2229" s="87">
        <v>603</v>
      </c>
      <c r="H2229" s="88">
        <v>17178.666666666668</v>
      </c>
      <c r="I2229" s="89">
        <v>26</v>
      </c>
      <c r="J2229" s="90">
        <v>12884</v>
      </c>
      <c r="K2229" s="85">
        <v>5</v>
      </c>
      <c r="L2229" s="85">
        <v>206</v>
      </c>
      <c r="M2229" s="85">
        <v>1</v>
      </c>
      <c r="N2229" s="82" t="s">
        <v>11378</v>
      </c>
      <c r="O2229" s="93">
        <v>45857.631238425929</v>
      </c>
    </row>
    <row r="2230" spans="1:15" ht="22.5" customHeight="1">
      <c r="A2230" s="85">
        <v>174904221976312</v>
      </c>
      <c r="B2230" s="82" t="s">
        <v>10651</v>
      </c>
      <c r="C2230" s="82" t="s">
        <v>11342</v>
      </c>
      <c r="D2230" s="82" t="s">
        <v>2266</v>
      </c>
      <c r="E2230" s="82">
        <v>6282277773540</v>
      </c>
      <c r="F2230" s="92">
        <v>45856</v>
      </c>
      <c r="G2230" s="87">
        <v>728</v>
      </c>
      <c r="H2230" s="88">
        <v>16823.386114494519</v>
      </c>
      <c r="I2230" s="89">
        <v>23</v>
      </c>
      <c r="J2230" s="90">
        <v>13812</v>
      </c>
      <c r="K2230" s="85">
        <v>2</v>
      </c>
      <c r="L2230" s="85">
        <v>120</v>
      </c>
      <c r="M2230" s="85">
        <v>0</v>
      </c>
      <c r="N2230" s="82" t="s">
        <v>11343</v>
      </c>
      <c r="O2230" s="93">
        <v>45857.485046296293</v>
      </c>
    </row>
    <row r="2231" spans="1:15" ht="22.5" customHeight="1">
      <c r="A2231" s="85">
        <v>174904221976312</v>
      </c>
      <c r="B2231" s="82" t="s">
        <v>10651</v>
      </c>
      <c r="C2231" s="82" t="s">
        <v>11325</v>
      </c>
      <c r="D2231" s="82" t="s">
        <v>2274</v>
      </c>
      <c r="E2231" s="82">
        <v>6281316839343</v>
      </c>
      <c r="F2231" s="92">
        <v>45856</v>
      </c>
      <c r="G2231" s="87">
        <v>1166</v>
      </c>
      <c r="H2231" s="88">
        <v>11042.328042328043</v>
      </c>
      <c r="I2231" s="89">
        <v>48</v>
      </c>
      <c r="J2231" s="90">
        <v>14609</v>
      </c>
      <c r="K2231" s="85">
        <v>9</v>
      </c>
      <c r="L2231" s="85">
        <v>8</v>
      </c>
      <c r="M2231" s="85">
        <v>1</v>
      </c>
      <c r="N2231" s="82" t="s">
        <v>11344</v>
      </c>
      <c r="O2231" s="93">
        <v>45857.466562499998</v>
      </c>
    </row>
    <row r="2232" spans="1:15" ht="22.5" customHeight="1">
      <c r="A2232" s="85">
        <v>174904221976312</v>
      </c>
      <c r="B2232" s="82" t="s">
        <v>10651</v>
      </c>
      <c r="C2232" s="82" t="s">
        <v>11327</v>
      </c>
      <c r="D2232" s="82" t="s">
        <v>11345</v>
      </c>
      <c r="E2232" s="82">
        <v>6282339444339</v>
      </c>
      <c r="F2232" s="92">
        <v>45856</v>
      </c>
      <c r="G2232" s="87">
        <v>238</v>
      </c>
      <c r="H2232" s="88">
        <v>51539.923954372629</v>
      </c>
      <c r="I2232" s="89">
        <v>4</v>
      </c>
      <c r="J2232" s="90">
        <v>13555</v>
      </c>
      <c r="K2232" s="85">
        <v>0</v>
      </c>
      <c r="L2232" s="85">
        <v>59</v>
      </c>
      <c r="M2232" s="85">
        <v>0</v>
      </c>
      <c r="N2232" s="82" t="s">
        <v>11346</v>
      </c>
      <c r="O2232" s="93">
        <v>45857.526898148149</v>
      </c>
    </row>
    <row r="2233" spans="1:15" ht="22.5" customHeight="1">
      <c r="A2233" s="85">
        <v>174904221976312</v>
      </c>
      <c r="B2233" s="82" t="s">
        <v>10651</v>
      </c>
      <c r="C2233" s="82" t="s">
        <v>11329</v>
      </c>
      <c r="D2233" s="82" t="s">
        <v>11347</v>
      </c>
      <c r="E2233" s="82">
        <v>6287757150828</v>
      </c>
      <c r="F2233" s="92">
        <v>45856</v>
      </c>
      <c r="G2233" s="87">
        <v>760</v>
      </c>
      <c r="H2233" s="88">
        <v>17386.897404202722</v>
      </c>
      <c r="I2233" s="89">
        <v>22</v>
      </c>
      <c r="J2233" s="90">
        <v>14066</v>
      </c>
      <c r="K2233" s="85">
        <v>2</v>
      </c>
      <c r="L2233" s="85">
        <v>254</v>
      </c>
      <c r="M2233" s="85">
        <v>1</v>
      </c>
      <c r="N2233" s="82" t="s">
        <v>11348</v>
      </c>
      <c r="O2233" s="93">
        <v>45857.547337962962</v>
      </c>
    </row>
    <row r="2234" spans="1:15" ht="22.5" customHeight="1">
      <c r="A2234" s="85">
        <v>174904221976312</v>
      </c>
      <c r="B2234" s="82" t="s">
        <v>10651</v>
      </c>
      <c r="C2234" s="82" t="s">
        <v>11331</v>
      </c>
      <c r="D2234" s="82" t="s">
        <v>2280</v>
      </c>
      <c r="E2234" s="82">
        <v>6285384321677</v>
      </c>
      <c r="F2234" s="92">
        <v>45856</v>
      </c>
      <c r="G2234" s="87">
        <v>925</v>
      </c>
      <c r="H2234" s="88">
        <v>13479.85989492119</v>
      </c>
      <c r="I2234" s="89">
        <v>13</v>
      </c>
      <c r="J2234" s="90">
        <v>15394</v>
      </c>
      <c r="K2234" s="85">
        <v>0</v>
      </c>
      <c r="L2234" s="85">
        <v>194</v>
      </c>
      <c r="M2234" s="85">
        <v>0</v>
      </c>
      <c r="N2234" s="82" t="s">
        <v>11349</v>
      </c>
      <c r="O2234" s="93">
        <v>45857.527071759258</v>
      </c>
    </row>
    <row r="2235" spans="1:15" ht="22.5" customHeight="1">
      <c r="A2235" s="85">
        <v>174904221976312</v>
      </c>
      <c r="B2235" s="82" t="s">
        <v>10651</v>
      </c>
      <c r="C2235" s="82" t="s">
        <v>11333</v>
      </c>
      <c r="D2235" s="82" t="s">
        <v>1793</v>
      </c>
      <c r="E2235" s="82">
        <v>6283845117965</v>
      </c>
      <c r="F2235" s="92">
        <v>45856</v>
      </c>
      <c r="G2235" s="87">
        <v>503</v>
      </c>
      <c r="H2235" s="88">
        <v>29950.729927007298</v>
      </c>
      <c r="I2235" s="89">
        <v>32</v>
      </c>
      <c r="J2235" s="90">
        <v>16413</v>
      </c>
      <c r="K2235" s="85">
        <v>4</v>
      </c>
      <c r="L2235" s="85">
        <v>0</v>
      </c>
      <c r="M2235" s="85">
        <v>2</v>
      </c>
      <c r="N2235" s="82" t="s">
        <v>11334</v>
      </c>
      <c r="O2235" s="93">
        <v>45857.401319444441</v>
      </c>
    </row>
    <row r="2236" spans="1:15" ht="22.5" customHeight="1">
      <c r="A2236" s="85">
        <v>174904221976312</v>
      </c>
      <c r="B2236" s="82" t="s">
        <v>10651</v>
      </c>
      <c r="C2236" s="82" t="s">
        <v>11309</v>
      </c>
      <c r="D2236" s="82" t="s">
        <v>11350</v>
      </c>
      <c r="E2236" s="82">
        <v>6281229745253</v>
      </c>
      <c r="F2236" s="92">
        <v>45856</v>
      </c>
      <c r="G2236" s="87">
        <v>367</v>
      </c>
      <c r="H2236" s="88">
        <v>38658.291457286432</v>
      </c>
      <c r="I2236" s="89">
        <v>16</v>
      </c>
      <c r="J2236" s="90">
        <v>15386</v>
      </c>
      <c r="K2236" s="85">
        <v>4</v>
      </c>
      <c r="L2236" s="85">
        <v>109</v>
      </c>
      <c r="M2236" s="85">
        <v>0</v>
      </c>
      <c r="N2236" s="82" t="s">
        <v>11351</v>
      </c>
      <c r="O2236" s="93">
        <v>45857.506064814814</v>
      </c>
    </row>
    <row r="2237" spans="1:15" ht="22.5" customHeight="1">
      <c r="A2237" s="85">
        <v>174904221976312</v>
      </c>
      <c r="B2237" s="82" t="s">
        <v>10651</v>
      </c>
      <c r="C2237" s="82" t="s">
        <v>11311</v>
      </c>
      <c r="D2237" s="82" t="s">
        <v>11352</v>
      </c>
      <c r="E2237" s="82">
        <v>6285696765224</v>
      </c>
      <c r="F2237" s="92">
        <v>45856</v>
      </c>
      <c r="G2237" s="87">
        <v>563</v>
      </c>
      <c r="H2237" s="88">
        <v>23175.911251980982</v>
      </c>
      <c r="I2237" s="89">
        <v>21</v>
      </c>
      <c r="J2237" s="90">
        <v>14624</v>
      </c>
      <c r="K2237" s="85">
        <v>3</v>
      </c>
      <c r="L2237" s="85">
        <v>0</v>
      </c>
      <c r="M2237" s="85">
        <v>0</v>
      </c>
      <c r="N2237" s="82" t="s">
        <v>11353</v>
      </c>
      <c r="O2237" s="93">
        <v>45857.484756944446</v>
      </c>
    </row>
    <row r="2238" spans="1:15" ht="22.5" customHeight="1">
      <c r="A2238" s="85">
        <v>174904221976312</v>
      </c>
      <c r="B2238" s="82" t="s">
        <v>10651</v>
      </c>
      <c r="C2238" s="82" t="s">
        <v>11313</v>
      </c>
      <c r="D2238" s="82" t="s">
        <v>11354</v>
      </c>
      <c r="E2238" s="82">
        <v>6285789446955</v>
      </c>
      <c r="F2238" s="92">
        <v>45856</v>
      </c>
      <c r="G2238" s="87">
        <v>781</v>
      </c>
      <c r="H2238" s="88">
        <v>14225.571725571726</v>
      </c>
      <c r="I2238" s="89">
        <v>11</v>
      </c>
      <c r="J2238" s="90">
        <v>13685</v>
      </c>
      <c r="K2238" s="85">
        <v>3</v>
      </c>
      <c r="L2238" s="85">
        <v>185</v>
      </c>
      <c r="M2238" s="85">
        <v>0</v>
      </c>
      <c r="N2238" s="82" t="s">
        <v>11355</v>
      </c>
      <c r="O2238" s="93">
        <v>45857.526909722219</v>
      </c>
    </row>
    <row r="2239" spans="1:15" ht="22.5" customHeight="1">
      <c r="A2239" s="85">
        <v>174904221976312</v>
      </c>
      <c r="B2239" s="82" t="s">
        <v>10651</v>
      </c>
      <c r="C2239" s="82" t="s">
        <v>11272</v>
      </c>
      <c r="D2239" s="82" t="s">
        <v>11273</v>
      </c>
      <c r="E2239" s="82">
        <v>6281253629810</v>
      </c>
      <c r="F2239" s="92">
        <v>45856</v>
      </c>
      <c r="G2239" s="87">
        <v>1601</v>
      </c>
      <c r="H2239" s="88">
        <v>8130.5285868392666</v>
      </c>
      <c r="I2239" s="89">
        <v>29</v>
      </c>
      <c r="J2239" s="90">
        <v>15074</v>
      </c>
      <c r="K2239" s="85">
        <v>3</v>
      </c>
      <c r="L2239" s="85">
        <v>245</v>
      </c>
      <c r="M2239" s="85">
        <v>1</v>
      </c>
      <c r="N2239" s="82" t="s">
        <v>11274</v>
      </c>
      <c r="O2239" s="93">
        <v>45857.526909722219</v>
      </c>
    </row>
    <row r="2240" spans="1:15" ht="22.5" customHeight="1">
      <c r="A2240" s="85">
        <v>174904221976312</v>
      </c>
      <c r="B2240" s="82" t="s">
        <v>10651</v>
      </c>
      <c r="C2240" s="82" t="s">
        <v>11282</v>
      </c>
      <c r="D2240" s="82" t="s">
        <v>1044</v>
      </c>
      <c r="E2240" s="82">
        <v>6281263113266</v>
      </c>
      <c r="F2240" s="92">
        <v>45856</v>
      </c>
      <c r="G2240" s="87">
        <v>1316</v>
      </c>
      <c r="H2240" s="88">
        <v>10032.476319350473</v>
      </c>
      <c r="I2240" s="89">
        <v>57</v>
      </c>
      <c r="J2240" s="90">
        <v>14828</v>
      </c>
      <c r="K2240" s="85">
        <v>3</v>
      </c>
      <c r="L2240" s="85">
        <v>595</v>
      </c>
      <c r="M2240" s="85">
        <v>0</v>
      </c>
      <c r="N2240" s="82" t="s">
        <v>10728</v>
      </c>
      <c r="O2240" s="93">
        <v>45857.484768518516</v>
      </c>
    </row>
    <row r="2241" spans="1:15" ht="22.5" customHeight="1">
      <c r="A2241" s="85">
        <v>174904221976312</v>
      </c>
      <c r="B2241" s="82" t="s">
        <v>10651</v>
      </c>
      <c r="C2241" s="82" t="s">
        <v>11283</v>
      </c>
      <c r="D2241" s="82" t="s">
        <v>11284</v>
      </c>
      <c r="E2241" s="82">
        <v>6285150556695</v>
      </c>
      <c r="F2241" s="92">
        <v>45856</v>
      </c>
      <c r="G2241" s="87">
        <v>164</v>
      </c>
      <c r="H2241" s="88">
        <v>88904.040404040396</v>
      </c>
      <c r="I2241" s="89">
        <v>5</v>
      </c>
      <c r="J2241" s="90">
        <v>17603</v>
      </c>
      <c r="K2241" s="85">
        <v>2</v>
      </c>
      <c r="L2241" s="85">
        <v>83</v>
      </c>
      <c r="M2241" s="85">
        <v>0</v>
      </c>
      <c r="N2241" s="82" t="s">
        <v>11285</v>
      </c>
      <c r="O2241" s="93">
        <v>45857.216168981482</v>
      </c>
    </row>
    <row r="2242" spans="1:15" ht="22.5" customHeight="1">
      <c r="A2242" s="85">
        <v>174904221976312</v>
      </c>
      <c r="B2242" s="82" t="s">
        <v>10651</v>
      </c>
      <c r="C2242" s="82" t="s">
        <v>11291</v>
      </c>
      <c r="D2242" s="82" t="s">
        <v>11292</v>
      </c>
      <c r="E2242" s="82">
        <v>6283183643221</v>
      </c>
      <c r="F2242" s="92">
        <v>45856</v>
      </c>
      <c r="G2242" s="87">
        <v>180</v>
      </c>
      <c r="H2242" s="88">
        <v>64733.333333333336</v>
      </c>
      <c r="I2242" s="89">
        <v>7</v>
      </c>
      <c r="J2242" s="90">
        <v>12623</v>
      </c>
      <c r="K2242" s="85">
        <v>1</v>
      </c>
      <c r="L2242" s="85">
        <v>81</v>
      </c>
      <c r="M2242" s="85">
        <v>0</v>
      </c>
      <c r="N2242" s="82" t="s">
        <v>11293</v>
      </c>
      <c r="O2242" s="93">
        <v>45857.422291666669</v>
      </c>
    </row>
    <row r="2243" spans="1:15" ht="22.5" customHeight="1">
      <c r="A2243" s="85">
        <v>174904221976312</v>
      </c>
      <c r="B2243" s="82" t="s">
        <v>10651</v>
      </c>
      <c r="C2243" s="82" t="s">
        <v>11217</v>
      </c>
      <c r="D2243" s="82" t="s">
        <v>2043</v>
      </c>
      <c r="E2243" s="82">
        <v>6282298717014</v>
      </c>
      <c r="F2243" s="92">
        <v>45856</v>
      </c>
      <c r="G2243" s="87">
        <v>378</v>
      </c>
      <c r="H2243" s="88">
        <v>34572.792362768494</v>
      </c>
      <c r="I2243" s="89">
        <v>25</v>
      </c>
      <c r="J2243" s="90">
        <v>14486</v>
      </c>
      <c r="K2243" s="85">
        <v>3</v>
      </c>
      <c r="L2243" s="85">
        <v>0</v>
      </c>
      <c r="M2243" s="85">
        <v>1</v>
      </c>
      <c r="N2243" s="82" t="s">
        <v>11218</v>
      </c>
      <c r="O2243" s="93">
        <v>45857.422280092593</v>
      </c>
    </row>
    <row r="2244" spans="1:15" ht="22.5" customHeight="1">
      <c r="A2244" s="85">
        <v>174904221976312</v>
      </c>
      <c r="B2244" s="82" t="s">
        <v>10651</v>
      </c>
      <c r="C2244" s="82" t="s">
        <v>11225</v>
      </c>
      <c r="D2244" s="82" t="s">
        <v>11226</v>
      </c>
      <c r="E2244" s="82">
        <v>6281240144744</v>
      </c>
      <c r="F2244" s="92">
        <v>45856</v>
      </c>
      <c r="G2244" s="87">
        <v>1702</v>
      </c>
      <c r="H2244" s="88">
        <v>6700.8137865007184</v>
      </c>
      <c r="I2244" s="89">
        <v>38</v>
      </c>
      <c r="J2244" s="90">
        <v>13998</v>
      </c>
      <c r="K2244" s="85">
        <v>1</v>
      </c>
      <c r="L2244" s="85">
        <v>249</v>
      </c>
      <c r="M2244" s="85">
        <v>1</v>
      </c>
      <c r="N2244" s="82" t="s">
        <v>11227</v>
      </c>
      <c r="O2244" s="93">
        <v>45857.505891203706</v>
      </c>
    </row>
    <row r="2245" spans="1:15" ht="22.5" customHeight="1">
      <c r="A2245" s="85">
        <v>174904221976312</v>
      </c>
      <c r="B2245" s="82" t="s">
        <v>10651</v>
      </c>
      <c r="C2245" s="82" t="s">
        <v>11187</v>
      </c>
      <c r="D2245" s="82" t="s">
        <v>1938</v>
      </c>
      <c r="E2245" s="82">
        <v>6285956579758</v>
      </c>
      <c r="F2245" s="92">
        <v>45856</v>
      </c>
      <c r="G2245" s="87">
        <v>181</v>
      </c>
      <c r="H2245" s="88">
        <v>91190.954773869351</v>
      </c>
      <c r="I2245" s="89">
        <v>4</v>
      </c>
      <c r="J2245" s="90">
        <v>18147</v>
      </c>
      <c r="K2245" s="85">
        <v>0</v>
      </c>
      <c r="L2245" s="85">
        <v>22</v>
      </c>
      <c r="M2245" s="85">
        <v>0</v>
      </c>
      <c r="N2245" s="82" t="s">
        <v>11188</v>
      </c>
      <c r="O2245" s="93">
        <v>45857.216168981482</v>
      </c>
    </row>
    <row r="2246" spans="1:15" ht="22.5" customHeight="1">
      <c r="A2246" s="85">
        <v>174904221976312</v>
      </c>
      <c r="B2246" s="82" t="s">
        <v>10651</v>
      </c>
      <c r="C2246" s="82" t="s">
        <v>11191</v>
      </c>
      <c r="D2246" s="82" t="s">
        <v>1976</v>
      </c>
      <c r="E2246" s="82">
        <v>6282136273086</v>
      </c>
      <c r="F2246" s="92">
        <v>45856</v>
      </c>
      <c r="G2246" s="87">
        <v>128</v>
      </c>
      <c r="H2246" s="88">
        <v>99700.729927007298</v>
      </c>
      <c r="I2246" s="89">
        <v>9</v>
      </c>
      <c r="J2246" s="90">
        <v>13659</v>
      </c>
      <c r="K2246" s="85">
        <v>1</v>
      </c>
      <c r="L2246" s="85">
        <v>34</v>
      </c>
      <c r="M2246" s="85">
        <v>1</v>
      </c>
      <c r="N2246" s="82" t="s">
        <v>11192</v>
      </c>
      <c r="O2246" s="93">
        <v>45857.216180555559</v>
      </c>
    </row>
    <row r="2247" spans="1:15" ht="22.5" customHeight="1">
      <c r="A2247" s="85">
        <v>174904221976312</v>
      </c>
      <c r="B2247" s="82" t="s">
        <v>10651</v>
      </c>
      <c r="C2247" s="82" t="s">
        <v>11193</v>
      </c>
      <c r="D2247" s="82" t="s">
        <v>11194</v>
      </c>
      <c r="E2247" s="82">
        <v>6281779578317</v>
      </c>
      <c r="F2247" s="92">
        <v>45856</v>
      </c>
      <c r="G2247" s="87">
        <v>1586</v>
      </c>
      <c r="H2247" s="88">
        <v>7808.8404133180247</v>
      </c>
      <c r="I2247" s="89">
        <v>62</v>
      </c>
      <c r="J2247" s="90">
        <v>13603</v>
      </c>
      <c r="K2247" s="85">
        <v>8</v>
      </c>
      <c r="L2247" s="85">
        <v>448</v>
      </c>
      <c r="M2247" s="85">
        <v>2</v>
      </c>
      <c r="N2247" s="82" t="s">
        <v>11195</v>
      </c>
      <c r="O2247" s="93">
        <v>45857.505891203706</v>
      </c>
    </row>
    <row r="2248" spans="1:15" ht="22.5" customHeight="1">
      <c r="A2248" s="85">
        <v>174904221976312</v>
      </c>
      <c r="B2248" s="82" t="s">
        <v>10651</v>
      </c>
      <c r="C2248" s="82" t="s">
        <v>11196</v>
      </c>
      <c r="D2248" s="82" t="s">
        <v>11197</v>
      </c>
      <c r="E2248" s="82">
        <v>6281412281953</v>
      </c>
      <c r="F2248" s="92">
        <v>45856</v>
      </c>
      <c r="G2248" s="87">
        <v>801</v>
      </c>
      <c r="H2248" s="88">
        <v>14301.522842639593</v>
      </c>
      <c r="I2248" s="89">
        <v>45</v>
      </c>
      <c r="J2248" s="90">
        <v>14087</v>
      </c>
      <c r="K2248" s="85">
        <v>5</v>
      </c>
      <c r="L2248" s="85">
        <v>362</v>
      </c>
      <c r="M2248" s="85">
        <v>2</v>
      </c>
      <c r="N2248" s="82" t="s">
        <v>11198</v>
      </c>
      <c r="O2248" s="93">
        <v>45857.484756944446</v>
      </c>
    </row>
    <row r="2249" spans="1:15" ht="22.5" customHeight="1">
      <c r="A2249" s="85">
        <v>174904221976312</v>
      </c>
      <c r="B2249" s="82" t="s">
        <v>10651</v>
      </c>
      <c r="C2249" s="82" t="s">
        <v>11199</v>
      </c>
      <c r="D2249" s="82" t="s">
        <v>1961</v>
      </c>
      <c r="E2249" s="82">
        <v>6281212295448</v>
      </c>
      <c r="F2249" s="92">
        <v>45856</v>
      </c>
      <c r="G2249" s="87">
        <v>993</v>
      </c>
      <c r="H2249" s="88">
        <v>11507.561436672968</v>
      </c>
      <c r="I2249" s="89">
        <v>41</v>
      </c>
      <c r="J2249" s="90">
        <v>12175</v>
      </c>
      <c r="K2249" s="85">
        <v>1</v>
      </c>
      <c r="L2249" s="85">
        <v>433</v>
      </c>
      <c r="M2249" s="85">
        <v>0</v>
      </c>
      <c r="N2249" s="82" t="s">
        <v>11200</v>
      </c>
      <c r="O2249" s="93">
        <v>45857.216180555559</v>
      </c>
    </row>
    <row r="2250" spans="1:15" ht="22.5" customHeight="1">
      <c r="A2250" s="85">
        <v>174904221976312</v>
      </c>
      <c r="B2250" s="82" t="s">
        <v>10651</v>
      </c>
      <c r="C2250" s="82" t="s">
        <v>11144</v>
      </c>
      <c r="D2250" s="82" t="s">
        <v>11145</v>
      </c>
      <c r="E2250" s="82">
        <v>6282128714101</v>
      </c>
      <c r="F2250" s="92">
        <v>45856</v>
      </c>
      <c r="G2250" s="87">
        <v>1493</v>
      </c>
      <c r="H2250" s="88">
        <v>8384.268214055448</v>
      </c>
      <c r="I2250" s="89">
        <v>70</v>
      </c>
      <c r="J2250" s="90">
        <v>13004</v>
      </c>
      <c r="K2250" s="85">
        <v>1</v>
      </c>
      <c r="L2250" s="85">
        <v>620</v>
      </c>
      <c r="M2250" s="85">
        <v>0</v>
      </c>
      <c r="N2250" s="82" t="s">
        <v>11146</v>
      </c>
      <c r="O2250" s="93">
        <v>45857.422534722224</v>
      </c>
    </row>
    <row r="2251" spans="1:15" ht="22.5" customHeight="1">
      <c r="A2251" s="85">
        <v>174904221976312</v>
      </c>
      <c r="B2251" s="82" t="s">
        <v>10651</v>
      </c>
      <c r="C2251" s="82" t="s">
        <v>11153</v>
      </c>
      <c r="D2251" s="82" t="s">
        <v>11154</v>
      </c>
      <c r="E2251" s="82">
        <v>6285338137835</v>
      </c>
      <c r="F2251" s="92">
        <v>45856</v>
      </c>
      <c r="G2251" s="87">
        <v>434</v>
      </c>
      <c r="H2251" s="88">
        <v>22131.021194605008</v>
      </c>
      <c r="I2251" s="89">
        <v>15</v>
      </c>
      <c r="J2251" s="90">
        <v>11486</v>
      </c>
      <c r="K2251" s="85">
        <v>1</v>
      </c>
      <c r="L2251" s="85">
        <v>0</v>
      </c>
      <c r="M2251" s="85">
        <v>0</v>
      </c>
      <c r="N2251" s="82" t="s">
        <v>11155</v>
      </c>
      <c r="O2251" s="93">
        <v>45857.526909722219</v>
      </c>
    </row>
    <row r="2252" spans="1:15" ht="22.5" customHeight="1">
      <c r="A2252" s="85">
        <v>174904221976312</v>
      </c>
      <c r="B2252" s="82" t="s">
        <v>10651</v>
      </c>
      <c r="C2252" s="82" t="s">
        <v>1844</v>
      </c>
      <c r="D2252" s="82" t="s">
        <v>11379</v>
      </c>
      <c r="E2252" s="82">
        <v>6281287982295</v>
      </c>
      <c r="F2252" s="92">
        <v>45856</v>
      </c>
      <c r="G2252" s="87">
        <v>167</v>
      </c>
      <c r="H2252" s="88">
        <v>73837.209302325573</v>
      </c>
      <c r="I2252" s="89">
        <v>5</v>
      </c>
      <c r="J2252" s="90">
        <v>12700</v>
      </c>
      <c r="K2252" s="85">
        <v>0</v>
      </c>
      <c r="L2252" s="85">
        <v>19</v>
      </c>
      <c r="M2252" s="85">
        <v>0</v>
      </c>
      <c r="N2252" s="82" t="s">
        <v>11380</v>
      </c>
      <c r="O2252" s="93">
        <v>45857.631238425929</v>
      </c>
    </row>
    <row r="2253" spans="1:15" ht="22.5" customHeight="1">
      <c r="A2253" s="85">
        <v>174904221976312</v>
      </c>
      <c r="B2253" s="82" t="s">
        <v>10651</v>
      </c>
      <c r="C2253" s="82" t="s">
        <v>11002</v>
      </c>
      <c r="D2253" s="82" t="s">
        <v>11003</v>
      </c>
      <c r="E2253" s="82">
        <v>6288228976100</v>
      </c>
      <c r="F2253" s="92">
        <v>45856</v>
      </c>
      <c r="G2253" s="87">
        <v>408</v>
      </c>
      <c r="H2253" s="88">
        <v>24657.084188911704</v>
      </c>
      <c r="I2253" s="89">
        <v>7</v>
      </c>
      <c r="J2253" s="90">
        <v>12008</v>
      </c>
      <c r="K2253" s="85">
        <v>1</v>
      </c>
      <c r="L2253" s="85">
        <v>111</v>
      </c>
      <c r="M2253" s="85">
        <v>0</v>
      </c>
      <c r="N2253" s="82" t="s">
        <v>11004</v>
      </c>
      <c r="O2253" s="93">
        <v>45857.466574074075</v>
      </c>
    </row>
    <row r="2254" spans="1:15" ht="22.5" customHeight="1">
      <c r="A2254" s="85">
        <v>174904221976312</v>
      </c>
      <c r="B2254" s="82" t="s">
        <v>10651</v>
      </c>
      <c r="C2254" s="82" t="s">
        <v>10853</v>
      </c>
      <c r="D2254" s="82" t="s">
        <v>10854</v>
      </c>
      <c r="E2254" s="82">
        <v>6281393958199</v>
      </c>
      <c r="F2254" s="92">
        <v>45856</v>
      </c>
      <c r="G2254" s="87">
        <v>638</v>
      </c>
      <c r="H2254" s="88">
        <v>16492.350486787207</v>
      </c>
      <c r="I2254" s="89">
        <v>13</v>
      </c>
      <c r="J2254" s="90">
        <v>11858</v>
      </c>
      <c r="K2254" s="85">
        <v>1</v>
      </c>
      <c r="L2254" s="85">
        <v>239</v>
      </c>
      <c r="M2254" s="85">
        <v>0</v>
      </c>
      <c r="N2254" s="82" t="s">
        <v>10855</v>
      </c>
      <c r="O2254" s="93">
        <v>45857.466562499998</v>
      </c>
    </row>
    <row r="2255" spans="1:15" ht="22.5" customHeight="1">
      <c r="A2255" s="85">
        <v>174904221976312</v>
      </c>
      <c r="B2255" s="82" t="s">
        <v>10651</v>
      </c>
      <c r="C2255" s="82" t="s">
        <v>818</v>
      </c>
      <c r="D2255" s="82" t="s">
        <v>812</v>
      </c>
      <c r="E2255" s="82">
        <v>6287858585808</v>
      </c>
      <c r="F2255" s="92">
        <v>45856</v>
      </c>
      <c r="G2255" s="87">
        <v>826</v>
      </c>
      <c r="H2255" s="88">
        <v>15901.422764227644</v>
      </c>
      <c r="I2255" s="89">
        <v>22</v>
      </c>
      <c r="J2255" s="90">
        <v>15647</v>
      </c>
      <c r="K2255" s="85">
        <v>0</v>
      </c>
      <c r="L2255" s="85">
        <v>226</v>
      </c>
      <c r="M2255" s="85">
        <v>0</v>
      </c>
      <c r="N2255" s="82" t="s">
        <v>10831</v>
      </c>
      <c r="O2255" s="93">
        <v>45857.443402777775</v>
      </c>
    </row>
    <row r="2256" spans="1:15" ht="22.5" customHeight="1">
      <c r="A2256" s="85">
        <v>174904221976312</v>
      </c>
      <c r="B2256" s="82" t="s">
        <v>10651</v>
      </c>
      <c r="C2256" s="82" t="s">
        <v>8099</v>
      </c>
      <c r="D2256" s="82" t="s">
        <v>2357</v>
      </c>
      <c r="E2256" s="82">
        <v>6281221788919</v>
      </c>
      <c r="F2256" s="92">
        <v>45856</v>
      </c>
      <c r="G2256" s="87">
        <v>852</v>
      </c>
      <c r="H2256" s="88">
        <v>13755.020080321287</v>
      </c>
      <c r="I2256" s="89">
        <v>14</v>
      </c>
      <c r="J2256" s="90">
        <v>13700</v>
      </c>
      <c r="K2256" s="85">
        <v>0</v>
      </c>
      <c r="L2256" s="85">
        <v>253</v>
      </c>
      <c r="M2256" s="85">
        <v>0</v>
      </c>
      <c r="N2256" s="82" t="s">
        <v>10759</v>
      </c>
      <c r="O2256" s="93">
        <v>45857.401504629626</v>
      </c>
    </row>
    <row r="2257" spans="1:15" ht="22.5" customHeight="1">
      <c r="A2257" s="85">
        <v>174904221976312</v>
      </c>
      <c r="B2257" s="82" t="s">
        <v>10651</v>
      </c>
      <c r="C2257" s="82" t="s">
        <v>10655</v>
      </c>
      <c r="D2257" s="82" t="s">
        <v>3908</v>
      </c>
      <c r="E2257" s="82">
        <v>6285376667233</v>
      </c>
      <c r="F2257" s="92">
        <v>45856</v>
      </c>
      <c r="G2257" s="87">
        <v>1108</v>
      </c>
      <c r="H2257" s="88">
        <v>10025.910931174089</v>
      </c>
      <c r="I2257" s="89">
        <v>26</v>
      </c>
      <c r="J2257" s="90">
        <v>12382</v>
      </c>
      <c r="K2257" s="85">
        <v>1</v>
      </c>
      <c r="L2257" s="85">
        <v>414</v>
      </c>
      <c r="M2257" s="85">
        <v>0</v>
      </c>
      <c r="N2257" s="82" t="s">
        <v>10656</v>
      </c>
      <c r="O2257" s="93">
        <v>45857.484768518516</v>
      </c>
    </row>
    <row r="2258" spans="1:15" ht="22.5" customHeight="1">
      <c r="A2258" s="85">
        <v>174904221976312</v>
      </c>
      <c r="B2258" s="82" t="s">
        <v>10651</v>
      </c>
      <c r="C2258" s="82" t="s">
        <v>63</v>
      </c>
      <c r="D2258" s="82" t="s">
        <v>55</v>
      </c>
      <c r="E2258" s="82">
        <v>6282226594414</v>
      </c>
      <c r="F2258" s="92">
        <v>45856</v>
      </c>
      <c r="G2258" s="87">
        <v>3601</v>
      </c>
      <c r="H2258" s="88">
        <v>3156.1631139944393</v>
      </c>
      <c r="I2258" s="89">
        <v>164</v>
      </c>
      <c r="J2258" s="90">
        <v>13622</v>
      </c>
      <c r="K2258" s="85">
        <v>14</v>
      </c>
      <c r="L2258" s="85">
        <v>1138</v>
      </c>
      <c r="M2258" s="85">
        <v>3</v>
      </c>
      <c r="N2258" s="82" t="s">
        <v>10661</v>
      </c>
      <c r="O2258" s="93">
        <v>45857.443240740744</v>
      </c>
    </row>
    <row r="2259" spans="1:15" ht="22.5" customHeight="1">
      <c r="A2259" s="85">
        <v>174904221976312</v>
      </c>
      <c r="B2259" s="82" t="s">
        <v>10651</v>
      </c>
      <c r="C2259" s="82" t="s">
        <v>10662</v>
      </c>
      <c r="D2259" s="82" t="s">
        <v>10663</v>
      </c>
      <c r="E2259" s="82">
        <v>62882001677470</v>
      </c>
      <c r="F2259" s="92">
        <v>45856</v>
      </c>
      <c r="G2259" s="87">
        <v>1284</v>
      </c>
      <c r="H2259" s="88">
        <v>9367.332382310984</v>
      </c>
      <c r="I2259" s="89">
        <v>26</v>
      </c>
      <c r="J2259" s="90">
        <v>13133</v>
      </c>
      <c r="K2259" s="85">
        <v>1</v>
      </c>
      <c r="L2259" s="85">
        <v>612</v>
      </c>
      <c r="M2259" s="85">
        <v>0</v>
      </c>
      <c r="N2259" s="82" t="s">
        <v>10664</v>
      </c>
      <c r="O2259" s="93">
        <v>45857.547337962962</v>
      </c>
    </row>
    <row r="2260" spans="1:15" ht="22.5" customHeight="1">
      <c r="A2260" s="85">
        <v>174904221976312</v>
      </c>
      <c r="B2260" s="82" t="s">
        <v>10651</v>
      </c>
      <c r="C2260" s="82" t="s">
        <v>11078</v>
      </c>
      <c r="D2260" s="82" t="s">
        <v>3140</v>
      </c>
      <c r="E2260" s="82"/>
      <c r="F2260" s="92">
        <v>45856</v>
      </c>
      <c r="G2260" s="87">
        <v>4626</v>
      </c>
      <c r="H2260" s="88">
        <v>2767.9702048417134</v>
      </c>
      <c r="I2260" s="89">
        <v>111</v>
      </c>
      <c r="J2260" s="90">
        <v>14864</v>
      </c>
      <c r="K2260" s="85">
        <v>3</v>
      </c>
      <c r="L2260" s="85">
        <v>1</v>
      </c>
      <c r="M2260" s="85">
        <v>0</v>
      </c>
      <c r="N2260" s="82" t="s">
        <v>11079</v>
      </c>
      <c r="O2260" s="93">
        <v>45857.422280092593</v>
      </c>
    </row>
    <row r="2261" spans="1:15" ht="22.5" customHeight="1">
      <c r="A2261" s="85">
        <v>174904221976312</v>
      </c>
      <c r="B2261" s="82" t="s">
        <v>10651</v>
      </c>
      <c r="C2261" s="82" t="s">
        <v>10731</v>
      </c>
      <c r="D2261" s="82" t="s">
        <v>10732</v>
      </c>
      <c r="E2261" s="82">
        <v>6281241440688</v>
      </c>
      <c r="F2261" s="92">
        <v>45856</v>
      </c>
      <c r="G2261" s="87">
        <v>1450</v>
      </c>
      <c r="H2261" s="88">
        <v>8353.5353535353534</v>
      </c>
      <c r="I2261" s="89">
        <v>23</v>
      </c>
      <c r="J2261" s="90">
        <v>14059</v>
      </c>
      <c r="K2261" s="85">
        <v>4</v>
      </c>
      <c r="L2261" s="85">
        <v>214</v>
      </c>
      <c r="M2261" s="85">
        <v>1</v>
      </c>
      <c r="N2261" s="82" t="s">
        <v>10733</v>
      </c>
      <c r="O2261" s="93">
        <v>45857.216168981482</v>
      </c>
    </row>
    <row r="2262" spans="1:15" ht="22.5" customHeight="1">
      <c r="A2262" s="85">
        <v>174904221976312</v>
      </c>
      <c r="B2262" s="82" t="s">
        <v>10651</v>
      </c>
      <c r="C2262" s="82" t="s">
        <v>10833</v>
      </c>
      <c r="D2262" s="82" t="s">
        <v>10834</v>
      </c>
      <c r="E2262" s="82">
        <v>6282242925264</v>
      </c>
      <c r="F2262" s="92">
        <v>45856</v>
      </c>
      <c r="G2262" s="87">
        <v>2077</v>
      </c>
      <c r="H2262" s="88">
        <v>5238.3873794916744</v>
      </c>
      <c r="I2262" s="89">
        <v>58</v>
      </c>
      <c r="J2262" s="90">
        <v>11954</v>
      </c>
      <c r="K2262" s="85">
        <v>2</v>
      </c>
      <c r="L2262" s="85">
        <v>622</v>
      </c>
      <c r="M2262" s="85">
        <v>0</v>
      </c>
      <c r="N2262" s="82" t="s">
        <v>10835</v>
      </c>
      <c r="O2262" s="93">
        <v>45857.466562499998</v>
      </c>
    </row>
    <row r="2263" spans="1:15" ht="22.5" customHeight="1">
      <c r="A2263" s="85">
        <v>766589657993298</v>
      </c>
      <c r="B2263" s="82" t="s">
        <v>10688</v>
      </c>
      <c r="C2263" s="82" t="s">
        <v>11381</v>
      </c>
      <c r="D2263" s="82" t="s">
        <v>2385</v>
      </c>
      <c r="E2263" s="82">
        <v>6281317170441</v>
      </c>
      <c r="F2263" s="92">
        <v>45856</v>
      </c>
      <c r="G2263" s="87">
        <v>526</v>
      </c>
      <c r="H2263" s="88">
        <v>24695.652173913044</v>
      </c>
      <c r="I2263" s="89">
        <v>10</v>
      </c>
      <c r="J2263" s="90">
        <v>14200</v>
      </c>
      <c r="K2263" s="85">
        <v>4</v>
      </c>
      <c r="L2263" s="85">
        <v>183</v>
      </c>
      <c r="M2263" s="85">
        <v>0</v>
      </c>
      <c r="N2263" s="82" t="s">
        <v>11382</v>
      </c>
      <c r="O2263" s="93">
        <v>45856.387916666667</v>
      </c>
    </row>
    <row r="2264" spans="1:15" ht="22.5" customHeight="1">
      <c r="A2264" s="85">
        <v>766589657993298</v>
      </c>
      <c r="B2264" s="82" t="s">
        <v>10688</v>
      </c>
      <c r="C2264" s="82" t="s">
        <v>11383</v>
      </c>
      <c r="D2264" s="82" t="s">
        <v>11384</v>
      </c>
      <c r="E2264" s="82">
        <v>62881038177010</v>
      </c>
      <c r="F2264" s="92">
        <v>45856</v>
      </c>
      <c r="G2264" s="87">
        <v>474</v>
      </c>
      <c r="H2264" s="88">
        <v>25298.969072164946</v>
      </c>
      <c r="I2264" s="89">
        <v>23</v>
      </c>
      <c r="J2264" s="90">
        <v>14724</v>
      </c>
      <c r="K2264" s="85">
        <v>3</v>
      </c>
      <c r="L2264" s="85">
        <v>155</v>
      </c>
      <c r="M2264" s="85">
        <v>0</v>
      </c>
      <c r="N2264" s="82" t="s">
        <v>11385</v>
      </c>
      <c r="O2264" s="93">
        <v>45857.758888888886</v>
      </c>
    </row>
    <row r="2265" spans="1:15" ht="22.5" customHeight="1">
      <c r="A2265" s="85">
        <v>766589657993298</v>
      </c>
      <c r="B2265" s="82" t="s">
        <v>10688</v>
      </c>
      <c r="C2265" s="82" t="s">
        <v>11386</v>
      </c>
      <c r="D2265" s="82" t="s">
        <v>11387</v>
      </c>
      <c r="E2265" s="82">
        <v>6285716210341</v>
      </c>
      <c r="F2265" s="92">
        <v>45856</v>
      </c>
      <c r="G2265" s="87">
        <v>613</v>
      </c>
      <c r="H2265" s="88">
        <v>21626.843657817109</v>
      </c>
      <c r="I2265" s="89">
        <v>15</v>
      </c>
      <c r="J2265" s="90">
        <v>14663</v>
      </c>
      <c r="K2265" s="85">
        <v>2</v>
      </c>
      <c r="L2265" s="85">
        <v>251</v>
      </c>
      <c r="M2265" s="85">
        <v>0</v>
      </c>
      <c r="N2265" s="82" t="s">
        <v>11388</v>
      </c>
      <c r="O2265" s="93">
        <v>45857.675729166665</v>
      </c>
    </row>
    <row r="2266" spans="1:15" ht="22.5" customHeight="1">
      <c r="A2266" s="85">
        <v>766589657993298</v>
      </c>
      <c r="B2266" s="82" t="s">
        <v>10688</v>
      </c>
      <c r="C2266" s="82" t="s">
        <v>11389</v>
      </c>
      <c r="D2266" s="82" t="s">
        <v>11390</v>
      </c>
      <c r="E2266" s="82">
        <v>6281284410725</v>
      </c>
      <c r="F2266" s="92">
        <v>45856</v>
      </c>
      <c r="G2266" s="87">
        <v>743</v>
      </c>
      <c r="H2266" s="88">
        <v>16765.588914549655</v>
      </c>
      <c r="I2266" s="89">
        <v>16</v>
      </c>
      <c r="J2266" s="90">
        <v>14519</v>
      </c>
      <c r="K2266" s="85">
        <v>2</v>
      </c>
      <c r="L2266" s="85">
        <v>108</v>
      </c>
      <c r="M2266" s="85">
        <v>0</v>
      </c>
      <c r="N2266" s="82" t="s">
        <v>11391</v>
      </c>
      <c r="O2266" s="93">
        <v>45857.758900462963</v>
      </c>
    </row>
    <row r="2267" spans="1:15" ht="22.5" customHeight="1">
      <c r="A2267" s="85">
        <v>766589657993298</v>
      </c>
      <c r="B2267" s="82" t="s">
        <v>10688</v>
      </c>
      <c r="C2267" s="82" t="s">
        <v>11392</v>
      </c>
      <c r="D2267" s="82" t="s">
        <v>2308</v>
      </c>
      <c r="E2267" s="82">
        <v>62895416149255</v>
      </c>
      <c r="F2267" s="92">
        <v>45856</v>
      </c>
      <c r="G2267" s="87">
        <v>1108</v>
      </c>
      <c r="H2267" s="88">
        <v>14008.710801393729</v>
      </c>
      <c r="I2267" s="89">
        <v>21</v>
      </c>
      <c r="J2267" s="90">
        <v>16082</v>
      </c>
      <c r="K2267" s="85">
        <v>1</v>
      </c>
      <c r="L2267" s="85">
        <v>329</v>
      </c>
      <c r="M2267" s="85">
        <v>0</v>
      </c>
      <c r="N2267" s="82" t="s">
        <v>11393</v>
      </c>
      <c r="O2267" s="93">
        <v>45857.779374999998</v>
      </c>
    </row>
    <row r="2268" spans="1:15" ht="22.5" customHeight="1">
      <c r="A2268" s="85">
        <v>766589657993298</v>
      </c>
      <c r="B2268" s="82" t="s">
        <v>10688</v>
      </c>
      <c r="C2268" s="82" t="s">
        <v>11356</v>
      </c>
      <c r="D2268" s="82" t="s">
        <v>350</v>
      </c>
      <c r="E2268" s="82">
        <v>6288274090631</v>
      </c>
      <c r="F2268" s="92">
        <v>45856</v>
      </c>
      <c r="G2268" s="87">
        <v>592</v>
      </c>
      <c r="H2268" s="88">
        <v>20734.559789750328</v>
      </c>
      <c r="I2268" s="89">
        <v>11</v>
      </c>
      <c r="J2268" s="90">
        <v>15779</v>
      </c>
      <c r="K2268" s="85">
        <v>2</v>
      </c>
      <c r="L2268" s="85">
        <v>90</v>
      </c>
      <c r="M2268" s="85">
        <v>0</v>
      </c>
      <c r="N2268" s="82" t="s">
        <v>11357</v>
      </c>
      <c r="O2268" s="93">
        <v>45857.633993055555</v>
      </c>
    </row>
    <row r="2269" spans="1:15" ht="22.5" customHeight="1">
      <c r="A2269" s="85">
        <v>766589657993298</v>
      </c>
      <c r="B2269" s="82" t="s">
        <v>10688</v>
      </c>
      <c r="C2269" s="82" t="s">
        <v>11358</v>
      </c>
      <c r="D2269" s="82" t="s">
        <v>2488</v>
      </c>
      <c r="E2269" s="82">
        <v>6281347321820</v>
      </c>
      <c r="F2269" s="92">
        <v>45856</v>
      </c>
      <c r="G2269" s="87">
        <v>1024</v>
      </c>
      <c r="H2269" s="88">
        <v>11708.588957055214</v>
      </c>
      <c r="I2269" s="89">
        <v>25</v>
      </c>
      <c r="J2269" s="90">
        <v>15268</v>
      </c>
      <c r="K2269" s="85">
        <v>2</v>
      </c>
      <c r="L2269" s="85">
        <v>424</v>
      </c>
      <c r="M2269" s="85">
        <v>1</v>
      </c>
      <c r="N2269" s="82" t="s">
        <v>11359</v>
      </c>
      <c r="O2269" s="93">
        <v>45857.633993055555</v>
      </c>
    </row>
    <row r="2270" spans="1:15" ht="22.5" customHeight="1">
      <c r="A2270" s="85">
        <v>766589657993298</v>
      </c>
      <c r="B2270" s="82" t="s">
        <v>10688</v>
      </c>
      <c r="C2270" s="82" t="s">
        <v>11360</v>
      </c>
      <c r="D2270" s="82" t="s">
        <v>11361</v>
      </c>
      <c r="E2270" s="82">
        <v>6285186029090</v>
      </c>
      <c r="F2270" s="92">
        <v>45856</v>
      </c>
      <c r="G2270" s="87">
        <v>580</v>
      </c>
      <c r="H2270" s="88">
        <v>23898.7915407855</v>
      </c>
      <c r="I2270" s="89">
        <v>42</v>
      </c>
      <c r="J2270" s="90">
        <v>15821</v>
      </c>
      <c r="K2270" s="85">
        <v>7</v>
      </c>
      <c r="L2270" s="85">
        <v>1</v>
      </c>
      <c r="M2270" s="85">
        <v>0</v>
      </c>
      <c r="N2270" s="82" t="s">
        <v>11362</v>
      </c>
      <c r="O2270" s="93">
        <v>45857.529699074075</v>
      </c>
    </row>
    <row r="2271" spans="1:15" ht="22.5" customHeight="1">
      <c r="A2271" s="85">
        <v>766589657993298</v>
      </c>
      <c r="B2271" s="82" t="s">
        <v>10688</v>
      </c>
      <c r="C2271" s="82" t="s">
        <v>11335</v>
      </c>
      <c r="D2271" s="82" t="s">
        <v>2301</v>
      </c>
      <c r="E2271" s="82">
        <v>6285169411418</v>
      </c>
      <c r="F2271" s="92">
        <v>45856</v>
      </c>
      <c r="G2271" s="87">
        <v>499</v>
      </c>
      <c r="H2271" s="88">
        <v>28459.074733096084</v>
      </c>
      <c r="I2271" s="89">
        <v>17</v>
      </c>
      <c r="J2271" s="90">
        <v>15994</v>
      </c>
      <c r="K2271" s="85">
        <v>2</v>
      </c>
      <c r="L2271" s="85">
        <v>231</v>
      </c>
      <c r="M2271" s="85">
        <v>1</v>
      </c>
      <c r="N2271" s="82" t="s">
        <v>11363</v>
      </c>
      <c r="O2271" s="93">
        <v>45857.529710648145</v>
      </c>
    </row>
    <row r="2272" spans="1:15" ht="22.5" customHeight="1">
      <c r="A2272" s="85">
        <v>766589657993298</v>
      </c>
      <c r="B2272" s="82" t="s">
        <v>10688</v>
      </c>
      <c r="C2272" s="82" t="s">
        <v>11315</v>
      </c>
      <c r="D2272" s="82" t="s">
        <v>2128</v>
      </c>
      <c r="E2272" s="82">
        <v>6285811444456</v>
      </c>
      <c r="F2272" s="92">
        <v>45856</v>
      </c>
      <c r="G2272" s="87">
        <v>375</v>
      </c>
      <c r="H2272" s="88">
        <v>34666.666666666664</v>
      </c>
      <c r="I2272" s="89">
        <v>18</v>
      </c>
      <c r="J2272" s="90">
        <v>15080</v>
      </c>
      <c r="K2272" s="85">
        <v>7</v>
      </c>
      <c r="L2272" s="85">
        <v>141</v>
      </c>
      <c r="M2272" s="85">
        <v>0</v>
      </c>
      <c r="N2272" s="82" t="s">
        <v>11364</v>
      </c>
      <c r="O2272" s="93">
        <v>45857.48814814815</v>
      </c>
    </row>
    <row r="2273" spans="1:15" ht="22.5" customHeight="1">
      <c r="A2273" s="85">
        <v>766589657993298</v>
      </c>
      <c r="B2273" s="82" t="s">
        <v>10688</v>
      </c>
      <c r="C2273" s="82" t="s">
        <v>11318</v>
      </c>
      <c r="D2273" s="82" t="s">
        <v>11365</v>
      </c>
      <c r="E2273" s="82">
        <v>6282310465999</v>
      </c>
      <c r="F2273" s="92">
        <v>45856</v>
      </c>
      <c r="G2273" s="87">
        <v>840</v>
      </c>
      <c r="H2273" s="88">
        <v>16039.922103213243</v>
      </c>
      <c r="I2273" s="89">
        <v>37</v>
      </c>
      <c r="J2273" s="90">
        <v>16473</v>
      </c>
      <c r="K2273" s="85">
        <v>0</v>
      </c>
      <c r="L2273" s="85">
        <v>147</v>
      </c>
      <c r="M2273" s="85">
        <v>1</v>
      </c>
      <c r="N2273" s="82" t="s">
        <v>11366</v>
      </c>
      <c r="O2273" s="93">
        <v>45857.529722222222</v>
      </c>
    </row>
    <row r="2274" spans="1:15" ht="22.5" customHeight="1">
      <c r="A2274" s="85">
        <v>766589657993298</v>
      </c>
      <c r="B2274" s="82" t="s">
        <v>10688</v>
      </c>
      <c r="C2274" s="82" t="s">
        <v>11300</v>
      </c>
      <c r="D2274" s="82" t="s">
        <v>2223</v>
      </c>
      <c r="E2274" s="82">
        <v>6282111000133</v>
      </c>
      <c r="F2274" s="92">
        <v>45856</v>
      </c>
      <c r="G2274" s="87">
        <v>584</v>
      </c>
      <c r="H2274" s="88">
        <v>28046.54654654655</v>
      </c>
      <c r="I2274" s="89">
        <v>24</v>
      </c>
      <c r="J2274" s="90">
        <v>18679</v>
      </c>
      <c r="K2274" s="85">
        <v>6</v>
      </c>
      <c r="L2274" s="85">
        <v>156</v>
      </c>
      <c r="M2274" s="85">
        <v>0</v>
      </c>
      <c r="N2274" s="82" t="s">
        <v>11301</v>
      </c>
      <c r="O2274" s="93">
        <v>45857.404560185183</v>
      </c>
    </row>
    <row r="2275" spans="1:15" ht="22.5" customHeight="1">
      <c r="A2275" s="85">
        <v>766589657993298</v>
      </c>
      <c r="B2275" s="82" t="s">
        <v>10688</v>
      </c>
      <c r="C2275" s="82" t="s">
        <v>11302</v>
      </c>
      <c r="D2275" s="82" t="s">
        <v>11303</v>
      </c>
      <c r="E2275" s="82">
        <v>6285814054475</v>
      </c>
      <c r="F2275" s="92">
        <v>45856</v>
      </c>
      <c r="G2275" s="87">
        <v>1588</v>
      </c>
      <c r="H2275" s="88">
        <v>8811.9658119658125</v>
      </c>
      <c r="I2275" s="89">
        <v>80</v>
      </c>
      <c r="J2275" s="90">
        <v>15465</v>
      </c>
      <c r="K2275" s="85">
        <v>11</v>
      </c>
      <c r="L2275" s="85">
        <v>809</v>
      </c>
      <c r="M2275" s="85">
        <v>0</v>
      </c>
      <c r="N2275" s="82" t="s">
        <v>11304</v>
      </c>
      <c r="O2275" s="93">
        <v>45857.508576388886</v>
      </c>
    </row>
    <row r="2276" spans="1:15" ht="22.5" customHeight="1">
      <c r="A2276" s="85">
        <v>766589657993298</v>
      </c>
      <c r="B2276" s="82" t="s">
        <v>10688</v>
      </c>
      <c r="C2276" s="82" t="s">
        <v>11264</v>
      </c>
      <c r="D2276" s="91" t="s">
        <v>1915</v>
      </c>
      <c r="E2276" s="82">
        <v>6281239874761</v>
      </c>
      <c r="F2276" s="92">
        <v>45856</v>
      </c>
      <c r="G2276" s="87">
        <v>257</v>
      </c>
      <c r="H2276" s="88">
        <v>47799.352750809063</v>
      </c>
      <c r="I2276" s="89">
        <v>13</v>
      </c>
      <c r="J2276" s="90">
        <v>14770</v>
      </c>
      <c r="K2276" s="85">
        <v>1</v>
      </c>
      <c r="L2276" s="85">
        <v>57</v>
      </c>
      <c r="M2276" s="85">
        <v>1</v>
      </c>
      <c r="N2276" s="82" t="s">
        <v>11265</v>
      </c>
      <c r="O2276" s="93">
        <v>45857.529710648145</v>
      </c>
    </row>
    <row r="2277" spans="1:15" ht="22.5" customHeight="1">
      <c r="A2277" s="85">
        <v>766589657993298</v>
      </c>
      <c r="B2277" s="82" t="s">
        <v>10688</v>
      </c>
      <c r="C2277" s="82" t="s">
        <v>11239</v>
      </c>
      <c r="D2277" s="82" t="s">
        <v>11240</v>
      </c>
      <c r="E2277" s="82">
        <v>6281213766426</v>
      </c>
      <c r="F2277" s="92">
        <v>45856</v>
      </c>
      <c r="G2277" s="87">
        <v>322</v>
      </c>
      <c r="H2277" s="88">
        <v>43038.567493112947</v>
      </c>
      <c r="I2277" s="89">
        <v>13</v>
      </c>
      <c r="J2277" s="90">
        <v>15623</v>
      </c>
      <c r="K2277" s="85">
        <v>2</v>
      </c>
      <c r="L2277" s="85">
        <v>10</v>
      </c>
      <c r="M2277" s="85">
        <v>0</v>
      </c>
      <c r="N2277" s="82" t="s">
        <v>11241</v>
      </c>
      <c r="O2277" s="93">
        <v>45857.469143518516</v>
      </c>
    </row>
    <row r="2278" spans="1:15" ht="22.5" customHeight="1">
      <c r="A2278" s="85">
        <v>766589657993298</v>
      </c>
      <c r="B2278" s="82" t="s">
        <v>10688</v>
      </c>
      <c r="C2278" s="82" t="s">
        <v>11204</v>
      </c>
      <c r="D2278" s="82" t="s">
        <v>11205</v>
      </c>
      <c r="E2278" s="82">
        <v>628112999165</v>
      </c>
      <c r="F2278" s="92">
        <v>45856</v>
      </c>
      <c r="G2278" s="87">
        <v>343</v>
      </c>
      <c r="H2278" s="88">
        <v>41908.854166666664</v>
      </c>
      <c r="I2278" s="89">
        <v>5</v>
      </c>
      <c r="J2278" s="90">
        <v>16093</v>
      </c>
      <c r="K2278" s="85">
        <v>1</v>
      </c>
      <c r="L2278" s="85">
        <v>56</v>
      </c>
      <c r="M2278" s="85">
        <v>0</v>
      </c>
      <c r="N2278" s="82" t="s">
        <v>11206</v>
      </c>
      <c r="O2278" s="93">
        <v>45857.217638888891</v>
      </c>
    </row>
    <row r="2279" spans="1:15" ht="22.5" customHeight="1">
      <c r="A2279" s="85">
        <v>766589657993298</v>
      </c>
      <c r="B2279" s="82" t="s">
        <v>10688</v>
      </c>
      <c r="C2279" s="82" t="s">
        <v>11207</v>
      </c>
      <c r="D2279" s="82" t="s">
        <v>11208</v>
      </c>
      <c r="E2279" s="82">
        <v>6282111180648</v>
      </c>
      <c r="F2279" s="92">
        <v>45856</v>
      </c>
      <c r="G2279" s="87">
        <v>429</v>
      </c>
      <c r="H2279" s="88">
        <v>29755.741127348643</v>
      </c>
      <c r="I2279" s="89">
        <v>18</v>
      </c>
      <c r="J2279" s="90">
        <v>14253</v>
      </c>
      <c r="K2279" s="85">
        <v>2</v>
      </c>
      <c r="L2279" s="85">
        <v>8</v>
      </c>
      <c r="M2279" s="85">
        <v>0</v>
      </c>
      <c r="N2279" s="82" t="s">
        <v>11209</v>
      </c>
      <c r="O2279" s="93">
        <v>45857.217627314814</v>
      </c>
    </row>
    <row r="2280" spans="1:15" ht="22.5" customHeight="1">
      <c r="A2280" s="85">
        <v>766589657993298</v>
      </c>
      <c r="B2280" s="82" t="s">
        <v>10688</v>
      </c>
      <c r="C2280" s="82" t="s">
        <v>11174</v>
      </c>
      <c r="D2280" s="82" t="s">
        <v>11175</v>
      </c>
      <c r="E2280" s="82">
        <v>6282184019830</v>
      </c>
      <c r="F2280" s="92">
        <v>45856</v>
      </c>
      <c r="G2280" s="87">
        <v>193</v>
      </c>
      <c r="H2280" s="88">
        <v>66579.908675799088</v>
      </c>
      <c r="I2280" s="89">
        <v>7</v>
      </c>
      <c r="J2280" s="90">
        <v>14581</v>
      </c>
      <c r="K2280" s="85">
        <v>0</v>
      </c>
      <c r="L2280" s="85">
        <v>8</v>
      </c>
      <c r="M2280" s="85">
        <v>0</v>
      </c>
      <c r="N2280" s="82" t="s">
        <v>11176</v>
      </c>
      <c r="O2280" s="93">
        <v>45857.469143518516</v>
      </c>
    </row>
    <row r="2281" spans="1:15" ht="22.5" customHeight="1">
      <c r="A2281" s="85">
        <v>766589657993298</v>
      </c>
      <c r="B2281" s="82" t="s">
        <v>10688</v>
      </c>
      <c r="C2281" s="82" t="s">
        <v>11103</v>
      </c>
      <c r="D2281" s="82" t="s">
        <v>11104</v>
      </c>
      <c r="E2281" s="82">
        <v>6282124027899</v>
      </c>
      <c r="F2281" s="92">
        <v>45856</v>
      </c>
      <c r="G2281" s="87">
        <v>2107</v>
      </c>
      <c r="H2281" s="88">
        <v>7494.8368442792234</v>
      </c>
      <c r="I2281" s="89">
        <v>34</v>
      </c>
      <c r="J2281" s="90">
        <v>18145</v>
      </c>
      <c r="K2281" s="85">
        <v>2</v>
      </c>
      <c r="L2281" s="85">
        <v>509</v>
      </c>
      <c r="M2281" s="85">
        <v>1</v>
      </c>
      <c r="N2281" s="82" t="s">
        <v>11105</v>
      </c>
      <c r="O2281" s="93">
        <v>45857.529699074075</v>
      </c>
    </row>
    <row r="2282" spans="1:15" ht="22.5" customHeight="1">
      <c r="A2282" s="85">
        <v>766589657993298</v>
      </c>
      <c r="B2282" s="82" t="s">
        <v>10688</v>
      </c>
      <c r="C2282" s="82" t="s">
        <v>11026</v>
      </c>
      <c r="D2282" s="82" t="s">
        <v>1172</v>
      </c>
      <c r="E2282" s="82">
        <v>6285950836788</v>
      </c>
      <c r="F2282" s="92">
        <v>45856</v>
      </c>
      <c r="G2282" s="87">
        <v>417</v>
      </c>
      <c r="H2282" s="88">
        <v>39075.388026607543</v>
      </c>
      <c r="I2282" s="89">
        <v>9</v>
      </c>
      <c r="J2282" s="90">
        <v>17623</v>
      </c>
      <c r="K2282" s="85">
        <v>0</v>
      </c>
      <c r="L2282" s="85">
        <v>153</v>
      </c>
      <c r="M2282" s="85">
        <v>0</v>
      </c>
      <c r="N2282" s="82" t="s">
        <v>11027</v>
      </c>
      <c r="O2282" s="93">
        <v>45857.550208333334</v>
      </c>
    </row>
    <row r="2283" spans="1:15" ht="22.5" customHeight="1">
      <c r="A2283" s="85">
        <v>766589657993298</v>
      </c>
      <c r="B2283" s="82" t="s">
        <v>10688</v>
      </c>
      <c r="C2283" s="82" t="s">
        <v>11028</v>
      </c>
      <c r="D2283" s="82" t="s">
        <v>11029</v>
      </c>
      <c r="E2283" s="82">
        <v>6282338171577</v>
      </c>
      <c r="F2283" s="92">
        <v>45856</v>
      </c>
      <c r="G2283" s="87">
        <v>713</v>
      </c>
      <c r="H2283" s="88">
        <v>16879.716981132078</v>
      </c>
      <c r="I2283" s="89">
        <v>26</v>
      </c>
      <c r="J2283" s="90">
        <v>14314</v>
      </c>
      <c r="K2283" s="85">
        <v>2</v>
      </c>
      <c r="L2283" s="85">
        <v>249</v>
      </c>
      <c r="M2283" s="85">
        <v>1</v>
      </c>
      <c r="N2283" s="82" t="s">
        <v>11030</v>
      </c>
      <c r="O2283" s="93">
        <v>45857.550219907411</v>
      </c>
    </row>
    <row r="2284" spans="1:15" ht="22.5" customHeight="1">
      <c r="A2284" s="85">
        <v>766589657993298</v>
      </c>
      <c r="B2284" s="82" t="s">
        <v>10688</v>
      </c>
      <c r="C2284" s="82" t="s">
        <v>10879</v>
      </c>
      <c r="D2284" s="82" t="s">
        <v>10880</v>
      </c>
      <c r="E2284" s="82">
        <v>6281215851833</v>
      </c>
      <c r="F2284" s="92">
        <v>45856</v>
      </c>
      <c r="G2284" s="87">
        <v>607</v>
      </c>
      <c r="H2284" s="88">
        <v>22145.4802259887</v>
      </c>
      <c r="I2284" s="89">
        <v>26</v>
      </c>
      <c r="J2284" s="90">
        <v>15679</v>
      </c>
      <c r="K2284" s="85">
        <v>4</v>
      </c>
      <c r="L2284" s="85">
        <v>0</v>
      </c>
      <c r="M2284" s="85">
        <v>0</v>
      </c>
      <c r="N2284" s="82" t="s">
        <v>10881</v>
      </c>
      <c r="O2284" s="93">
        <v>45857.529710648145</v>
      </c>
    </row>
    <row r="2285" spans="1:15" ht="22.5" customHeight="1">
      <c r="A2285" s="85">
        <v>766589657993298</v>
      </c>
      <c r="B2285" s="82" t="s">
        <v>10688</v>
      </c>
      <c r="C2285" s="82" t="s">
        <v>10786</v>
      </c>
      <c r="D2285" s="82" t="s">
        <v>739</v>
      </c>
      <c r="E2285" s="82">
        <v>628122102657</v>
      </c>
      <c r="F2285" s="92">
        <v>45856</v>
      </c>
      <c r="G2285" s="87">
        <v>429</v>
      </c>
      <c r="H2285" s="88">
        <v>34370.044052863435</v>
      </c>
      <c r="I2285" s="89">
        <v>3</v>
      </c>
      <c r="J2285" s="90">
        <v>15604</v>
      </c>
      <c r="K2285" s="85">
        <v>0</v>
      </c>
      <c r="L2285" s="85">
        <v>131</v>
      </c>
      <c r="M2285" s="85">
        <v>0</v>
      </c>
      <c r="N2285" s="82" t="s">
        <v>10787</v>
      </c>
      <c r="O2285" s="93">
        <v>45857.571215277778</v>
      </c>
    </row>
    <row r="2286" spans="1:15" ht="22.5" customHeight="1">
      <c r="A2286" s="85">
        <v>766589657993298</v>
      </c>
      <c r="B2286" s="82" t="s">
        <v>10688</v>
      </c>
      <c r="C2286" s="82" t="s">
        <v>10762</v>
      </c>
      <c r="D2286" s="82" t="s">
        <v>10763</v>
      </c>
      <c r="E2286" s="82">
        <v>6285210107607</v>
      </c>
      <c r="F2286" s="92">
        <v>45856</v>
      </c>
      <c r="G2286" s="87">
        <v>1105</v>
      </c>
      <c r="H2286" s="88">
        <v>14015.820149875104</v>
      </c>
      <c r="I2286" s="89">
        <v>18</v>
      </c>
      <c r="J2286" s="90">
        <v>16833</v>
      </c>
      <c r="K2286" s="85">
        <v>0</v>
      </c>
      <c r="L2286" s="85">
        <v>334</v>
      </c>
      <c r="M2286" s="85">
        <v>0</v>
      </c>
      <c r="N2286" s="82" t="s">
        <v>10764</v>
      </c>
      <c r="O2286" s="93">
        <v>45857.425613425927</v>
      </c>
    </row>
    <row r="2287" spans="1:15" ht="22.5" customHeight="1">
      <c r="A2287" s="85">
        <v>766589657993298</v>
      </c>
      <c r="B2287" s="82" t="s">
        <v>10688</v>
      </c>
      <c r="C2287" s="82" t="s">
        <v>10765</v>
      </c>
      <c r="D2287" s="82" t="s">
        <v>350</v>
      </c>
      <c r="E2287" s="82">
        <v>6282393168368</v>
      </c>
      <c r="F2287" s="92">
        <v>45856</v>
      </c>
      <c r="G2287" s="87">
        <v>832</v>
      </c>
      <c r="H2287" s="88">
        <v>15393.004115226338</v>
      </c>
      <c r="I2287" s="89">
        <v>28</v>
      </c>
      <c r="J2287" s="90">
        <v>14962</v>
      </c>
      <c r="K2287" s="85">
        <v>3</v>
      </c>
      <c r="L2287" s="85">
        <v>26</v>
      </c>
      <c r="M2287" s="85">
        <v>0</v>
      </c>
      <c r="N2287" s="82" t="s">
        <v>10766</v>
      </c>
      <c r="O2287" s="93">
        <v>45857.48814814815</v>
      </c>
    </row>
    <row r="2288" spans="1:15" ht="22.5" customHeight="1">
      <c r="A2288" s="85">
        <v>766589657993298</v>
      </c>
      <c r="B2288" s="82" t="s">
        <v>10688</v>
      </c>
      <c r="C2288" s="82" t="s">
        <v>10795</v>
      </c>
      <c r="D2288" s="82" t="s">
        <v>551</v>
      </c>
      <c r="E2288" s="82">
        <v>6285747906282</v>
      </c>
      <c r="F2288" s="92">
        <v>45856</v>
      </c>
      <c r="G2288" s="87">
        <v>782</v>
      </c>
      <c r="H2288" s="88">
        <v>25395.908543922986</v>
      </c>
      <c r="I2288" s="89">
        <v>21</v>
      </c>
      <c r="J2288" s="90">
        <v>21104</v>
      </c>
      <c r="K2288" s="85">
        <v>2</v>
      </c>
      <c r="L2288" s="85">
        <v>378</v>
      </c>
      <c r="M2288" s="85">
        <v>0</v>
      </c>
      <c r="N2288" s="82" t="s">
        <v>10796</v>
      </c>
      <c r="O2288" s="93">
        <v>45857.446273148147</v>
      </c>
    </row>
    <row r="2289" spans="1:15" ht="22.5" customHeight="1">
      <c r="A2289" s="85">
        <v>766589657993298</v>
      </c>
      <c r="B2289" s="82" t="s">
        <v>10688</v>
      </c>
      <c r="C2289" s="82" t="s">
        <v>10767</v>
      </c>
      <c r="D2289" s="82" t="s">
        <v>10768</v>
      </c>
      <c r="E2289" s="82">
        <v>6281519225886</v>
      </c>
      <c r="F2289" s="92">
        <v>45856</v>
      </c>
      <c r="G2289" s="87">
        <v>438</v>
      </c>
      <c r="H2289" s="88">
        <v>28064.83300589391</v>
      </c>
      <c r="I2289" s="89">
        <v>10</v>
      </c>
      <c r="J2289" s="90">
        <v>14285</v>
      </c>
      <c r="K2289" s="85">
        <v>1</v>
      </c>
      <c r="L2289" s="85">
        <v>13</v>
      </c>
      <c r="M2289" s="85">
        <v>0</v>
      </c>
      <c r="N2289" s="82" t="s">
        <v>10769</v>
      </c>
      <c r="O2289" s="93">
        <v>45857.469143518516</v>
      </c>
    </row>
    <row r="2290" spans="1:15" ht="22.5" customHeight="1">
      <c r="A2290" s="85">
        <v>766589657993298</v>
      </c>
      <c r="B2290" s="82" t="s">
        <v>10688</v>
      </c>
      <c r="C2290" s="82" t="s">
        <v>10797</v>
      </c>
      <c r="D2290" s="82" t="s">
        <v>10798</v>
      </c>
      <c r="E2290" s="82">
        <v>6285853370682</v>
      </c>
      <c r="F2290" s="92">
        <v>45856</v>
      </c>
      <c r="G2290" s="87">
        <v>699</v>
      </c>
      <c r="H2290" s="88">
        <v>21395.833333333332</v>
      </c>
      <c r="I2290" s="89">
        <v>9</v>
      </c>
      <c r="J2290" s="90">
        <v>16432</v>
      </c>
      <c r="K2290" s="85">
        <v>2</v>
      </c>
      <c r="L2290" s="85">
        <v>222</v>
      </c>
      <c r="M2290" s="85">
        <v>0</v>
      </c>
      <c r="N2290" s="82" t="s">
        <v>10799</v>
      </c>
      <c r="O2290" s="93">
        <v>45857.48814814815</v>
      </c>
    </row>
    <row r="2291" spans="1:15" ht="22.5" customHeight="1">
      <c r="A2291" s="85">
        <v>766589657993298</v>
      </c>
      <c r="B2291" s="82" t="s">
        <v>10688</v>
      </c>
      <c r="C2291" s="82" t="s">
        <v>10800</v>
      </c>
      <c r="D2291" s="82" t="s">
        <v>472</v>
      </c>
      <c r="E2291" s="82">
        <v>628114170888</v>
      </c>
      <c r="F2291" s="92">
        <v>45856</v>
      </c>
      <c r="G2291" s="87">
        <v>580</v>
      </c>
      <c r="H2291" s="88">
        <v>23164.179104477611</v>
      </c>
      <c r="I2291" s="89">
        <v>16</v>
      </c>
      <c r="J2291" s="90">
        <v>15520</v>
      </c>
      <c r="K2291" s="85">
        <v>1</v>
      </c>
      <c r="L2291" s="85">
        <v>155</v>
      </c>
      <c r="M2291" s="85">
        <v>0</v>
      </c>
      <c r="N2291" s="82" t="s">
        <v>10801</v>
      </c>
      <c r="O2291" s="93">
        <v>45857.550208333334</v>
      </c>
    </row>
    <row r="2292" spans="1:15" ht="22.5" customHeight="1">
      <c r="A2292" s="85">
        <v>766589657993298</v>
      </c>
      <c r="B2292" s="82" t="s">
        <v>10688</v>
      </c>
      <c r="C2292" s="82" t="s">
        <v>10746</v>
      </c>
      <c r="D2292" s="82" t="s">
        <v>10747</v>
      </c>
      <c r="E2292" s="82">
        <v>6281222110766</v>
      </c>
      <c r="F2292" s="92">
        <v>45856</v>
      </c>
      <c r="G2292" s="87">
        <v>185</v>
      </c>
      <c r="H2292" s="88">
        <v>72896.551724137942</v>
      </c>
      <c r="I2292" s="89">
        <v>5</v>
      </c>
      <c r="J2292" s="90">
        <v>14798</v>
      </c>
      <c r="K2292" s="85">
        <v>0</v>
      </c>
      <c r="L2292" s="85">
        <v>125</v>
      </c>
      <c r="M2292" s="85">
        <v>0</v>
      </c>
      <c r="N2292" s="82" t="s">
        <v>10748</v>
      </c>
      <c r="O2292" s="93">
        <v>45857.40457175926</v>
      </c>
    </row>
    <row r="2293" spans="1:15" ht="22.5" customHeight="1">
      <c r="A2293" s="85">
        <v>206726568613432</v>
      </c>
      <c r="B2293" s="82" t="s">
        <v>10900</v>
      </c>
      <c r="C2293" s="82" t="s">
        <v>11085</v>
      </c>
      <c r="D2293" s="82" t="s">
        <v>10902</v>
      </c>
      <c r="E2293" s="82">
        <v>6282194694492</v>
      </c>
      <c r="F2293" s="92">
        <v>45856</v>
      </c>
      <c r="G2293" s="87">
        <v>391</v>
      </c>
      <c r="H2293" s="88">
        <v>31947.727272727276</v>
      </c>
      <c r="I2293" s="89">
        <v>21</v>
      </c>
      <c r="J2293" s="90">
        <v>14057</v>
      </c>
      <c r="K2293" s="85">
        <v>3</v>
      </c>
      <c r="L2293" s="85">
        <v>131</v>
      </c>
      <c r="M2293" s="85">
        <v>0</v>
      </c>
      <c r="N2293" s="82" t="s">
        <v>11086</v>
      </c>
      <c r="O2293" s="93">
        <v>45857.48883101852</v>
      </c>
    </row>
    <row r="2294" spans="1:15" ht="22.5" customHeight="1">
      <c r="A2294" s="85">
        <v>206726568613432</v>
      </c>
      <c r="B2294" s="82" t="s">
        <v>10900</v>
      </c>
      <c r="C2294" s="82" t="s">
        <v>11031</v>
      </c>
      <c r="D2294" s="82" t="s">
        <v>11032</v>
      </c>
      <c r="E2294" s="82">
        <v>6285668750416</v>
      </c>
      <c r="F2294" s="92">
        <v>45856</v>
      </c>
      <c r="G2294" s="87">
        <v>1386</v>
      </c>
      <c r="H2294" s="88">
        <v>8883.8926174496646</v>
      </c>
      <c r="I2294" s="89">
        <v>24</v>
      </c>
      <c r="J2294" s="90">
        <v>13237</v>
      </c>
      <c r="K2294" s="85">
        <v>3</v>
      </c>
      <c r="L2294" s="85">
        <v>611</v>
      </c>
      <c r="M2294" s="85">
        <v>0</v>
      </c>
      <c r="N2294" s="82" t="s">
        <v>11033</v>
      </c>
      <c r="O2294" s="93">
        <v>45857.426562499997</v>
      </c>
    </row>
    <row r="2295" spans="1:15" ht="22.5" customHeight="1">
      <c r="A2295" s="85">
        <v>759724529202804</v>
      </c>
      <c r="B2295" s="82" t="s">
        <v>10621</v>
      </c>
      <c r="C2295" s="82" t="s">
        <v>11394</v>
      </c>
      <c r="D2295" s="82" t="s">
        <v>1277</v>
      </c>
      <c r="E2295" s="82">
        <v>6281269441611</v>
      </c>
      <c r="F2295" s="92">
        <v>45857</v>
      </c>
      <c r="G2295" s="87">
        <v>1290</v>
      </c>
      <c r="H2295" s="88">
        <v>8640.4833836858015</v>
      </c>
      <c r="I2295" s="89">
        <v>31</v>
      </c>
      <c r="J2295" s="90">
        <v>14300</v>
      </c>
      <c r="K2295" s="85">
        <v>1</v>
      </c>
      <c r="L2295" s="85">
        <v>534</v>
      </c>
      <c r="M2295" s="85">
        <v>1</v>
      </c>
      <c r="N2295" s="82" t="s">
        <v>11395</v>
      </c>
      <c r="O2295" s="93">
        <v>45858.755636574075</v>
      </c>
    </row>
    <row r="2296" spans="1:15" ht="22.5" customHeight="1">
      <c r="A2296" s="85">
        <v>759724529202804</v>
      </c>
      <c r="B2296" s="82" t="s">
        <v>10621</v>
      </c>
      <c r="C2296" s="82" t="s">
        <v>11337</v>
      </c>
      <c r="D2296" s="82" t="s">
        <v>2336</v>
      </c>
      <c r="E2296" s="82">
        <v>6289608357133</v>
      </c>
      <c r="F2296" s="92">
        <v>45857</v>
      </c>
      <c r="G2296" s="87">
        <v>592</v>
      </c>
      <c r="H2296" s="88">
        <v>23053.412462908011</v>
      </c>
      <c r="I2296" s="89">
        <v>12</v>
      </c>
      <c r="J2296" s="90">
        <v>15538</v>
      </c>
      <c r="K2296" s="85">
        <v>0</v>
      </c>
      <c r="L2296" s="85">
        <v>235</v>
      </c>
      <c r="M2296" s="85">
        <v>0</v>
      </c>
      <c r="N2296" s="82" t="s">
        <v>11338</v>
      </c>
      <c r="O2296" s="93">
        <v>45858.672881944447</v>
      </c>
    </row>
    <row r="2297" spans="1:15" ht="22.5" customHeight="1">
      <c r="A2297" s="85">
        <v>759724529202804</v>
      </c>
      <c r="B2297" s="82" t="s">
        <v>10621</v>
      </c>
      <c r="C2297" s="82" t="s">
        <v>11321</v>
      </c>
      <c r="D2297" s="82" t="s">
        <v>2240</v>
      </c>
      <c r="E2297" s="82">
        <v>6285339158435</v>
      </c>
      <c r="F2297" s="92">
        <v>45857</v>
      </c>
      <c r="G2297" s="87">
        <v>2807</v>
      </c>
      <c r="H2297" s="88">
        <v>4603.0912802566345</v>
      </c>
      <c r="I2297" s="89">
        <v>258</v>
      </c>
      <c r="J2297" s="90">
        <v>15784</v>
      </c>
      <c r="K2297" s="85">
        <v>13</v>
      </c>
      <c r="L2297" s="85">
        <v>1428</v>
      </c>
      <c r="M2297" s="85">
        <v>3</v>
      </c>
      <c r="N2297" s="82" t="s">
        <v>11339</v>
      </c>
      <c r="O2297" s="93">
        <v>45858.672858796293</v>
      </c>
    </row>
    <row r="2298" spans="1:15" ht="22.5" customHeight="1">
      <c r="A2298" s="85">
        <v>759724529202804</v>
      </c>
      <c r="B2298" s="82" t="s">
        <v>10621</v>
      </c>
      <c r="C2298" s="82" t="s">
        <v>11323</v>
      </c>
      <c r="D2298" s="82" t="s">
        <v>11340</v>
      </c>
      <c r="E2298" s="82">
        <v>6281916331011</v>
      </c>
      <c r="F2298" s="92">
        <v>45857</v>
      </c>
      <c r="G2298" s="87">
        <v>817</v>
      </c>
      <c r="H2298" s="88">
        <v>15457.575757575758</v>
      </c>
      <c r="I2298" s="89">
        <v>53</v>
      </c>
      <c r="J2298" s="90">
        <v>15303</v>
      </c>
      <c r="K2298" s="85">
        <v>10</v>
      </c>
      <c r="L2298" s="85">
        <v>358</v>
      </c>
      <c r="M2298" s="85">
        <v>1</v>
      </c>
      <c r="N2298" s="82" t="s">
        <v>11341</v>
      </c>
      <c r="O2298" s="93">
        <v>45858.734965277778</v>
      </c>
    </row>
    <row r="2299" spans="1:15" ht="22.5" customHeight="1">
      <c r="A2299" s="85">
        <v>759724529202804</v>
      </c>
      <c r="B2299" s="82" t="s">
        <v>10621</v>
      </c>
      <c r="C2299" s="82" t="s">
        <v>11306</v>
      </c>
      <c r="D2299" s="82" t="s">
        <v>11307</v>
      </c>
      <c r="E2299" s="82">
        <v>6282258462258</v>
      </c>
      <c r="F2299" s="92">
        <v>45857</v>
      </c>
      <c r="G2299" s="87">
        <v>1071</v>
      </c>
      <c r="H2299" s="88">
        <v>13400.162337662337</v>
      </c>
      <c r="I2299" s="89">
        <v>25</v>
      </c>
      <c r="J2299" s="90">
        <v>16509</v>
      </c>
      <c r="K2299" s="85">
        <v>3</v>
      </c>
      <c r="L2299" s="85">
        <v>232</v>
      </c>
      <c r="M2299" s="85">
        <v>0</v>
      </c>
      <c r="N2299" s="82" t="s">
        <v>11308</v>
      </c>
      <c r="O2299" s="93">
        <v>45858.214722222219</v>
      </c>
    </row>
    <row r="2300" spans="1:15" ht="22.5" customHeight="1">
      <c r="A2300" s="85">
        <v>759724529202804</v>
      </c>
      <c r="B2300" s="82" t="s">
        <v>10621</v>
      </c>
      <c r="C2300" s="82" t="s">
        <v>11266</v>
      </c>
      <c r="D2300" s="82" t="s">
        <v>11267</v>
      </c>
      <c r="E2300" s="82">
        <v>6281904501876</v>
      </c>
      <c r="F2300" s="92">
        <v>45857</v>
      </c>
      <c r="G2300" s="87">
        <v>895</v>
      </c>
      <c r="H2300" s="88">
        <v>16094.073377234243</v>
      </c>
      <c r="I2300" s="89">
        <v>42</v>
      </c>
      <c r="J2300" s="90">
        <v>17108</v>
      </c>
      <c r="K2300" s="85">
        <v>2</v>
      </c>
      <c r="L2300" s="85">
        <v>307</v>
      </c>
      <c r="M2300" s="85">
        <v>0</v>
      </c>
      <c r="N2300" s="82" t="s">
        <v>11268</v>
      </c>
      <c r="O2300" s="93">
        <v>45858.214722222219</v>
      </c>
    </row>
    <row r="2301" spans="1:15" ht="22.5" customHeight="1">
      <c r="A2301" s="85">
        <v>759724529202804</v>
      </c>
      <c r="B2301" s="82" t="s">
        <v>10621</v>
      </c>
      <c r="C2301" s="82" t="s">
        <v>11070</v>
      </c>
      <c r="D2301" s="82" t="s">
        <v>11071</v>
      </c>
      <c r="E2301" s="82">
        <v>6281246211381</v>
      </c>
      <c r="F2301" s="92">
        <v>45857</v>
      </c>
      <c r="G2301" s="87">
        <v>650</v>
      </c>
      <c r="H2301" s="88">
        <v>22110.354223433242</v>
      </c>
      <c r="I2301" s="89">
        <v>23</v>
      </c>
      <c r="J2301" s="90">
        <v>16229</v>
      </c>
      <c r="K2301" s="85">
        <v>2</v>
      </c>
      <c r="L2301" s="85">
        <v>12</v>
      </c>
      <c r="M2301" s="85">
        <v>0</v>
      </c>
      <c r="N2301" s="82" t="s">
        <v>11072</v>
      </c>
      <c r="O2301" s="93">
        <v>45858.693657407406</v>
      </c>
    </row>
    <row r="2302" spans="1:15" ht="22.5" customHeight="1">
      <c r="A2302" s="85">
        <v>759724529202804</v>
      </c>
      <c r="B2302" s="82" t="s">
        <v>10621</v>
      </c>
      <c r="C2302" s="82" t="s">
        <v>11016</v>
      </c>
      <c r="D2302" s="82" t="s">
        <v>1530</v>
      </c>
      <c r="E2302" s="82">
        <v>628111988553</v>
      </c>
      <c r="F2302" s="92">
        <v>45857</v>
      </c>
      <c r="G2302" s="87">
        <v>151</v>
      </c>
      <c r="H2302" s="88">
        <v>105556.88622754491</v>
      </c>
      <c r="I2302" s="89">
        <v>6</v>
      </c>
      <c r="J2302" s="90">
        <v>17628</v>
      </c>
      <c r="K2302" s="85">
        <v>1</v>
      </c>
      <c r="L2302" s="85">
        <v>56</v>
      </c>
      <c r="M2302" s="85">
        <v>0</v>
      </c>
      <c r="N2302" s="82" t="s">
        <v>11017</v>
      </c>
      <c r="O2302" s="93">
        <v>45858.651956018519</v>
      </c>
    </row>
    <row r="2303" spans="1:15" ht="22.5" customHeight="1">
      <c r="A2303" s="85">
        <v>759724529202804</v>
      </c>
      <c r="B2303" s="82" t="s">
        <v>10621</v>
      </c>
      <c r="C2303" s="82" t="s">
        <v>10925</v>
      </c>
      <c r="D2303" s="82" t="s">
        <v>10926</v>
      </c>
      <c r="E2303" s="82">
        <v>6281233038880</v>
      </c>
      <c r="F2303" s="92">
        <v>45857</v>
      </c>
      <c r="G2303" s="87">
        <v>363</v>
      </c>
      <c r="H2303" s="88">
        <v>45329.923273657289</v>
      </c>
      <c r="I2303" s="89">
        <v>9</v>
      </c>
      <c r="J2303" s="90">
        <v>17724</v>
      </c>
      <c r="K2303" s="85">
        <v>3</v>
      </c>
      <c r="L2303" s="85">
        <v>4</v>
      </c>
      <c r="M2303" s="85">
        <v>0</v>
      </c>
      <c r="N2303" s="82" t="s">
        <v>10927</v>
      </c>
      <c r="O2303" s="93">
        <v>45858.693657407406</v>
      </c>
    </row>
    <row r="2304" spans="1:15" ht="22.5" customHeight="1">
      <c r="A2304" s="85">
        <v>174904221976312</v>
      </c>
      <c r="B2304" s="82" t="s">
        <v>10651</v>
      </c>
      <c r="C2304" s="82" t="s">
        <v>11396</v>
      </c>
      <c r="D2304" s="82" t="s">
        <v>11397</v>
      </c>
      <c r="E2304" s="82">
        <v>6285789446955</v>
      </c>
      <c r="F2304" s="92">
        <v>45857</v>
      </c>
      <c r="G2304" s="87">
        <v>619</v>
      </c>
      <c r="H2304" s="88">
        <v>14325.925925925925</v>
      </c>
      <c r="I2304" s="89">
        <v>14</v>
      </c>
      <c r="J2304" s="90">
        <v>11604</v>
      </c>
      <c r="K2304" s="85">
        <v>1</v>
      </c>
      <c r="L2304" s="85">
        <v>0</v>
      </c>
      <c r="M2304" s="85">
        <v>0</v>
      </c>
      <c r="N2304" s="82" t="s">
        <v>11398</v>
      </c>
      <c r="O2304" s="93">
        <v>45858.215590277781</v>
      </c>
    </row>
    <row r="2305" spans="1:15" ht="22.5" customHeight="1">
      <c r="A2305" s="85">
        <v>174904221976312</v>
      </c>
      <c r="B2305" s="82" t="s">
        <v>10651</v>
      </c>
      <c r="C2305" s="82" t="s">
        <v>11399</v>
      </c>
      <c r="D2305" s="82" t="s">
        <v>11400</v>
      </c>
      <c r="E2305" s="82">
        <v>6281933176790</v>
      </c>
      <c r="F2305" s="92">
        <v>45857</v>
      </c>
      <c r="G2305" s="87">
        <v>378</v>
      </c>
      <c r="H2305" s="88">
        <v>26579.075425790754</v>
      </c>
      <c r="I2305" s="89">
        <v>5</v>
      </c>
      <c r="J2305" s="90">
        <v>10924</v>
      </c>
      <c r="K2305" s="85">
        <v>1</v>
      </c>
      <c r="L2305" s="85">
        <v>0</v>
      </c>
      <c r="M2305" s="85">
        <v>0</v>
      </c>
      <c r="N2305" s="82" t="s">
        <v>11401</v>
      </c>
      <c r="O2305" s="93">
        <v>45858.215578703705</v>
      </c>
    </row>
    <row r="2306" spans="1:15" ht="22.5" customHeight="1">
      <c r="A2306" s="85">
        <v>174904221976312</v>
      </c>
      <c r="B2306" s="82" t="s">
        <v>10651</v>
      </c>
      <c r="C2306" s="82" t="s">
        <v>11402</v>
      </c>
      <c r="D2306" s="82" t="s">
        <v>11403</v>
      </c>
      <c r="E2306" s="82">
        <v>6283870060603</v>
      </c>
      <c r="F2306" s="92">
        <v>45857</v>
      </c>
      <c r="G2306" s="87">
        <v>2980</v>
      </c>
      <c r="H2306" s="88">
        <v>3811.8380062305296</v>
      </c>
      <c r="I2306" s="89">
        <v>51</v>
      </c>
      <c r="J2306" s="90">
        <v>12236</v>
      </c>
      <c r="K2306" s="85">
        <v>0</v>
      </c>
      <c r="L2306" s="85">
        <v>50</v>
      </c>
      <c r="M2306" s="85">
        <v>0</v>
      </c>
      <c r="N2306" s="82" t="s">
        <v>11404</v>
      </c>
      <c r="O2306" s="93">
        <v>45858.215613425928</v>
      </c>
    </row>
    <row r="2307" spans="1:15" ht="22.5" customHeight="1">
      <c r="A2307" s="85">
        <v>174904221976312</v>
      </c>
      <c r="B2307" s="82" t="s">
        <v>10651</v>
      </c>
      <c r="C2307" s="82" t="s">
        <v>11405</v>
      </c>
      <c r="D2307" s="82" t="s">
        <v>11406</v>
      </c>
      <c r="E2307" s="82">
        <v>6282307376695</v>
      </c>
      <c r="F2307" s="92">
        <v>45857</v>
      </c>
      <c r="G2307" s="87">
        <v>795</v>
      </c>
      <c r="H2307" s="88">
        <v>12213.526570048309</v>
      </c>
      <c r="I2307" s="89">
        <v>34</v>
      </c>
      <c r="J2307" s="90">
        <v>12641</v>
      </c>
      <c r="K2307" s="85">
        <v>0</v>
      </c>
      <c r="L2307" s="85">
        <v>1</v>
      </c>
      <c r="M2307" s="85">
        <v>1</v>
      </c>
      <c r="N2307" s="82" t="s">
        <v>11407</v>
      </c>
      <c r="O2307" s="93">
        <v>45858.215578703705</v>
      </c>
    </row>
    <row r="2308" spans="1:15" ht="22.5" customHeight="1">
      <c r="A2308" s="85">
        <v>174904221976312</v>
      </c>
      <c r="B2308" s="82" t="s">
        <v>10651</v>
      </c>
      <c r="C2308" s="82" t="s">
        <v>11408</v>
      </c>
      <c r="D2308" s="82" t="s">
        <v>2463</v>
      </c>
      <c r="E2308" s="82">
        <v>628563562851</v>
      </c>
      <c r="F2308" s="92">
        <v>45857</v>
      </c>
      <c r="G2308" s="87">
        <v>411</v>
      </c>
      <c r="H2308" s="88">
        <v>26530.145530145528</v>
      </c>
      <c r="I2308" s="89">
        <v>12</v>
      </c>
      <c r="J2308" s="90">
        <v>12761</v>
      </c>
      <c r="K2308" s="85">
        <v>3</v>
      </c>
      <c r="L2308" s="85">
        <v>0</v>
      </c>
      <c r="M2308" s="85">
        <v>0</v>
      </c>
      <c r="N2308" s="82" t="s">
        <v>11409</v>
      </c>
      <c r="O2308" s="93">
        <v>45858.215613425928</v>
      </c>
    </row>
    <row r="2309" spans="1:15" ht="22.5" customHeight="1">
      <c r="A2309" s="85">
        <v>174904221976312</v>
      </c>
      <c r="B2309" s="82" t="s">
        <v>10651</v>
      </c>
      <c r="C2309" s="82" t="s">
        <v>11367</v>
      </c>
      <c r="D2309" s="82" t="s">
        <v>2449</v>
      </c>
      <c r="E2309" s="82">
        <v>6281223055720</v>
      </c>
      <c r="F2309" s="92">
        <v>45857</v>
      </c>
      <c r="G2309" s="87">
        <v>3941</v>
      </c>
      <c r="H2309" s="88">
        <v>3117.747025977179</v>
      </c>
      <c r="I2309" s="89">
        <v>40</v>
      </c>
      <c r="J2309" s="90">
        <v>12842</v>
      </c>
      <c r="K2309" s="85">
        <v>0</v>
      </c>
      <c r="L2309" s="85">
        <v>2197</v>
      </c>
      <c r="M2309" s="85">
        <v>0</v>
      </c>
      <c r="N2309" s="82" t="s">
        <v>11368</v>
      </c>
      <c r="O2309" s="93">
        <v>45858.214062500003</v>
      </c>
    </row>
    <row r="2310" spans="1:15" ht="22.5" customHeight="1">
      <c r="A2310" s="85">
        <v>174904221976312</v>
      </c>
      <c r="B2310" s="82" t="s">
        <v>10651</v>
      </c>
      <c r="C2310" s="82" t="s">
        <v>11369</v>
      </c>
      <c r="D2310" s="82" t="s">
        <v>11370</v>
      </c>
      <c r="E2310" s="82">
        <v>6285714141525</v>
      </c>
      <c r="F2310" s="92">
        <v>45857</v>
      </c>
      <c r="G2310" s="87">
        <v>252</v>
      </c>
      <c r="H2310" s="88">
        <v>46045.774647887323</v>
      </c>
      <c r="I2310" s="89">
        <v>6</v>
      </c>
      <c r="J2310" s="90">
        <v>13077</v>
      </c>
      <c r="K2310" s="85">
        <v>2</v>
      </c>
      <c r="L2310" s="85">
        <v>0</v>
      </c>
      <c r="M2310" s="85">
        <v>0</v>
      </c>
      <c r="N2310" s="82" t="s">
        <v>11371</v>
      </c>
      <c r="O2310" s="93">
        <v>45858.215578703705</v>
      </c>
    </row>
    <row r="2311" spans="1:15" ht="22.5" customHeight="1">
      <c r="A2311" s="85">
        <v>174904221976312</v>
      </c>
      <c r="B2311" s="82" t="s">
        <v>10651</v>
      </c>
      <c r="C2311" s="82" t="s">
        <v>11372</v>
      </c>
      <c r="D2311" s="82" t="s">
        <v>11373</v>
      </c>
      <c r="E2311" s="82">
        <v>6283147736523</v>
      </c>
      <c r="F2311" s="92">
        <v>45857</v>
      </c>
      <c r="G2311" s="87">
        <v>863</v>
      </c>
      <c r="H2311" s="88">
        <v>12261.284722222221</v>
      </c>
      <c r="I2311" s="89">
        <v>57</v>
      </c>
      <c r="J2311" s="90">
        <v>14125</v>
      </c>
      <c r="K2311" s="85">
        <v>7</v>
      </c>
      <c r="L2311" s="85">
        <v>344</v>
      </c>
      <c r="M2311" s="85">
        <v>2</v>
      </c>
      <c r="N2311" s="82" t="s">
        <v>11374</v>
      </c>
      <c r="O2311" s="93">
        <v>45858.215590277781</v>
      </c>
    </row>
    <row r="2312" spans="1:15" ht="22.5" customHeight="1">
      <c r="A2312" s="85">
        <v>174904221976312</v>
      </c>
      <c r="B2312" s="82" t="s">
        <v>10651</v>
      </c>
      <c r="C2312" s="82" t="s">
        <v>11375</v>
      </c>
      <c r="D2312" s="82" t="s">
        <v>7857</v>
      </c>
      <c r="E2312" s="82">
        <v>6283865096870</v>
      </c>
      <c r="F2312" s="92">
        <v>45857</v>
      </c>
      <c r="G2312" s="87">
        <v>668</v>
      </c>
      <c r="H2312" s="88">
        <v>16895.933014354068</v>
      </c>
      <c r="I2312" s="89">
        <v>27</v>
      </c>
      <c r="J2312" s="90">
        <v>14125</v>
      </c>
      <c r="K2312" s="85">
        <v>5</v>
      </c>
      <c r="L2312" s="85">
        <v>217</v>
      </c>
      <c r="M2312" s="85">
        <v>1</v>
      </c>
      <c r="N2312" s="82" t="s">
        <v>11376</v>
      </c>
      <c r="O2312" s="93">
        <v>45858.215578703705</v>
      </c>
    </row>
    <row r="2313" spans="1:15" ht="22.5" customHeight="1">
      <c r="A2313" s="85">
        <v>174904221976312</v>
      </c>
      <c r="B2313" s="82" t="s">
        <v>10651</v>
      </c>
      <c r="C2313" s="82" t="s">
        <v>11377</v>
      </c>
      <c r="D2313" s="82" t="s">
        <v>2708</v>
      </c>
      <c r="E2313" s="82">
        <v>6281217985917</v>
      </c>
      <c r="F2313" s="92">
        <v>45857</v>
      </c>
      <c r="G2313" s="87">
        <v>696</v>
      </c>
      <c r="H2313" s="88">
        <v>16994.00479616307</v>
      </c>
      <c r="I2313" s="89">
        <v>43</v>
      </c>
      <c r="J2313" s="90">
        <v>14173</v>
      </c>
      <c r="K2313" s="85">
        <v>5</v>
      </c>
      <c r="L2313" s="85">
        <v>6</v>
      </c>
      <c r="M2313" s="85">
        <v>1</v>
      </c>
      <c r="N2313" s="82" t="s">
        <v>11378</v>
      </c>
      <c r="O2313" s="93">
        <v>45858.818668981483</v>
      </c>
    </row>
    <row r="2314" spans="1:15" ht="22.5" customHeight="1">
      <c r="A2314" s="85">
        <v>174904221976312</v>
      </c>
      <c r="B2314" s="82" t="s">
        <v>10651</v>
      </c>
      <c r="C2314" s="82" t="s">
        <v>11342</v>
      </c>
      <c r="D2314" s="82" t="s">
        <v>2266</v>
      </c>
      <c r="E2314" s="82">
        <v>6282277773540</v>
      </c>
      <c r="F2314" s="92">
        <v>45857</v>
      </c>
      <c r="G2314" s="87">
        <v>1112</v>
      </c>
      <c r="H2314" s="88">
        <v>9951.0603588907015</v>
      </c>
      <c r="I2314" s="89">
        <v>23</v>
      </c>
      <c r="J2314" s="90">
        <v>12200</v>
      </c>
      <c r="K2314" s="85">
        <v>2</v>
      </c>
      <c r="L2314" s="85">
        <v>1</v>
      </c>
      <c r="M2314" s="85">
        <v>0</v>
      </c>
      <c r="N2314" s="82" t="s">
        <v>11343</v>
      </c>
      <c r="O2314" s="93">
        <v>45858.215613425928</v>
      </c>
    </row>
    <row r="2315" spans="1:15" ht="22.5" customHeight="1">
      <c r="A2315" s="85">
        <v>174904221976312</v>
      </c>
      <c r="B2315" s="82" t="s">
        <v>10651</v>
      </c>
      <c r="C2315" s="82" t="s">
        <v>11325</v>
      </c>
      <c r="D2315" s="82" t="s">
        <v>2274</v>
      </c>
      <c r="E2315" s="82">
        <v>6281316839343</v>
      </c>
      <c r="F2315" s="92">
        <v>45857</v>
      </c>
      <c r="G2315" s="87">
        <v>1430</v>
      </c>
      <c r="H2315" s="88">
        <v>8882.9113924050635</v>
      </c>
      <c r="I2315" s="89">
        <v>51</v>
      </c>
      <c r="J2315" s="90">
        <v>14035</v>
      </c>
      <c r="K2315" s="85">
        <v>8</v>
      </c>
      <c r="L2315" s="85">
        <v>4</v>
      </c>
      <c r="M2315" s="85">
        <v>1</v>
      </c>
      <c r="N2315" s="82" t="s">
        <v>11344</v>
      </c>
      <c r="O2315" s="93">
        <v>45858.215578703705</v>
      </c>
    </row>
    <row r="2316" spans="1:15" ht="22.5" customHeight="1">
      <c r="A2316" s="85">
        <v>174904221976312</v>
      </c>
      <c r="B2316" s="82" t="s">
        <v>10651</v>
      </c>
      <c r="C2316" s="82" t="s">
        <v>11327</v>
      </c>
      <c r="D2316" s="82" t="s">
        <v>11345</v>
      </c>
      <c r="E2316" s="82">
        <v>6282339444339</v>
      </c>
      <c r="F2316" s="92">
        <v>45857</v>
      </c>
      <c r="G2316" s="87">
        <v>254</v>
      </c>
      <c r="H2316" s="88">
        <v>48752.68817204301</v>
      </c>
      <c r="I2316" s="89">
        <v>8</v>
      </c>
      <c r="J2316" s="90">
        <v>13602</v>
      </c>
      <c r="K2316" s="85">
        <v>2</v>
      </c>
      <c r="L2316" s="85">
        <v>4</v>
      </c>
      <c r="M2316" s="85">
        <v>0</v>
      </c>
      <c r="N2316" s="82" t="s">
        <v>11346</v>
      </c>
      <c r="O2316" s="93">
        <v>45858.215590277781</v>
      </c>
    </row>
    <row r="2317" spans="1:15" ht="22.5" customHeight="1">
      <c r="A2317" s="85">
        <v>174904221976312</v>
      </c>
      <c r="B2317" s="82" t="s">
        <v>10651</v>
      </c>
      <c r="C2317" s="82" t="s">
        <v>11329</v>
      </c>
      <c r="D2317" s="82" t="s">
        <v>11347</v>
      </c>
      <c r="E2317" s="82">
        <v>6287757150828</v>
      </c>
      <c r="F2317" s="92">
        <v>45857</v>
      </c>
      <c r="G2317" s="87">
        <v>804</v>
      </c>
      <c r="H2317" s="88">
        <v>16465.816917728851</v>
      </c>
      <c r="I2317" s="89">
        <v>14</v>
      </c>
      <c r="J2317" s="90">
        <v>14210</v>
      </c>
      <c r="K2317" s="85">
        <v>0</v>
      </c>
      <c r="L2317" s="85">
        <v>244</v>
      </c>
      <c r="M2317" s="85">
        <v>0</v>
      </c>
      <c r="N2317" s="82" t="s">
        <v>11348</v>
      </c>
      <c r="O2317" s="93">
        <v>45858.215590277781</v>
      </c>
    </row>
    <row r="2318" spans="1:15" ht="22.5" customHeight="1">
      <c r="A2318" s="85">
        <v>174904221976312</v>
      </c>
      <c r="B2318" s="82" t="s">
        <v>10651</v>
      </c>
      <c r="C2318" s="82" t="s">
        <v>11331</v>
      </c>
      <c r="D2318" s="82" t="s">
        <v>2280</v>
      </c>
      <c r="E2318" s="82">
        <v>6285384321677</v>
      </c>
      <c r="F2318" s="92">
        <v>45857</v>
      </c>
      <c r="G2318" s="87">
        <v>667</v>
      </c>
      <c r="H2318" s="88">
        <v>17829.48717948718</v>
      </c>
      <c r="I2318" s="89">
        <v>7</v>
      </c>
      <c r="J2318" s="90">
        <v>13907</v>
      </c>
      <c r="K2318" s="85">
        <v>2</v>
      </c>
      <c r="L2318" s="85">
        <v>121</v>
      </c>
      <c r="M2318" s="85">
        <v>0</v>
      </c>
      <c r="N2318" s="82" t="s">
        <v>11349</v>
      </c>
      <c r="O2318" s="93">
        <v>45858.215590277781</v>
      </c>
    </row>
    <row r="2319" spans="1:15" ht="22.5" customHeight="1">
      <c r="A2319" s="85">
        <v>174904221976312</v>
      </c>
      <c r="B2319" s="82" t="s">
        <v>10651</v>
      </c>
      <c r="C2319" s="82" t="s">
        <v>11333</v>
      </c>
      <c r="D2319" s="82" t="s">
        <v>1793</v>
      </c>
      <c r="E2319" s="82">
        <v>6283845117965</v>
      </c>
      <c r="F2319" s="92">
        <v>45857</v>
      </c>
      <c r="G2319" s="87">
        <v>564</v>
      </c>
      <c r="H2319" s="88">
        <v>22799.368088467614</v>
      </c>
      <c r="I2319" s="89">
        <v>17</v>
      </c>
      <c r="J2319" s="90">
        <v>14432</v>
      </c>
      <c r="K2319" s="85">
        <v>1</v>
      </c>
      <c r="L2319" s="85">
        <v>17</v>
      </c>
      <c r="M2319" s="85">
        <v>3</v>
      </c>
      <c r="N2319" s="82" t="s">
        <v>11334</v>
      </c>
      <c r="O2319" s="93">
        <v>45858.797696759262</v>
      </c>
    </row>
    <row r="2320" spans="1:15" ht="22.5" customHeight="1">
      <c r="A2320" s="85">
        <v>174904221976312</v>
      </c>
      <c r="B2320" s="82" t="s">
        <v>10651</v>
      </c>
      <c r="C2320" s="82" t="s">
        <v>11309</v>
      </c>
      <c r="D2320" s="82" t="s">
        <v>11350</v>
      </c>
      <c r="E2320" s="82">
        <v>6281229745253</v>
      </c>
      <c r="F2320" s="92">
        <v>45857</v>
      </c>
      <c r="G2320" s="87">
        <v>174</v>
      </c>
      <c r="H2320" s="88">
        <v>59743.842364532022</v>
      </c>
      <c r="I2320" s="89">
        <v>8</v>
      </c>
      <c r="J2320" s="90">
        <v>12128</v>
      </c>
      <c r="K2320" s="85">
        <v>1</v>
      </c>
      <c r="L2320" s="85">
        <v>26</v>
      </c>
      <c r="M2320" s="85">
        <v>0</v>
      </c>
      <c r="N2320" s="82" t="s">
        <v>11351</v>
      </c>
      <c r="O2320" s="93">
        <v>45858.818657407406</v>
      </c>
    </row>
    <row r="2321" spans="1:15" ht="22.5" customHeight="1">
      <c r="A2321" s="85">
        <v>174904221976312</v>
      </c>
      <c r="B2321" s="82" t="s">
        <v>10651</v>
      </c>
      <c r="C2321" s="82" t="s">
        <v>11311</v>
      </c>
      <c r="D2321" s="82" t="s">
        <v>11352</v>
      </c>
      <c r="E2321" s="82">
        <v>6285696765224</v>
      </c>
      <c r="F2321" s="92">
        <v>45857</v>
      </c>
      <c r="G2321" s="87">
        <v>495</v>
      </c>
      <c r="H2321" s="88">
        <v>24073.943661971833</v>
      </c>
      <c r="I2321" s="89">
        <v>13</v>
      </c>
      <c r="J2321" s="90">
        <v>13674</v>
      </c>
      <c r="K2321" s="85">
        <v>3</v>
      </c>
      <c r="L2321" s="85">
        <v>71</v>
      </c>
      <c r="M2321" s="85">
        <v>0</v>
      </c>
      <c r="N2321" s="82" t="s">
        <v>11353</v>
      </c>
      <c r="O2321" s="93">
        <v>45858.215590277781</v>
      </c>
    </row>
    <row r="2322" spans="1:15" ht="22.5" customHeight="1">
      <c r="A2322" s="85">
        <v>174904221976312</v>
      </c>
      <c r="B2322" s="82" t="s">
        <v>10651</v>
      </c>
      <c r="C2322" s="82" t="s">
        <v>11313</v>
      </c>
      <c r="D2322" s="82" t="s">
        <v>11354</v>
      </c>
      <c r="E2322" s="82">
        <v>6285789446955</v>
      </c>
      <c r="F2322" s="92">
        <v>45857</v>
      </c>
      <c r="G2322" s="87">
        <v>937</v>
      </c>
      <c r="H2322" s="88">
        <v>13392.322097378277</v>
      </c>
      <c r="I2322" s="89">
        <v>13</v>
      </c>
      <c r="J2322" s="90">
        <v>14303</v>
      </c>
      <c r="K2322" s="85">
        <v>2</v>
      </c>
      <c r="L2322" s="85">
        <v>202</v>
      </c>
      <c r="M2322" s="85">
        <v>0</v>
      </c>
      <c r="N2322" s="82" t="s">
        <v>11355</v>
      </c>
      <c r="O2322" s="93">
        <v>45858.215590277781</v>
      </c>
    </row>
    <row r="2323" spans="1:15" ht="22.5" customHeight="1">
      <c r="A2323" s="85">
        <v>174904221976312</v>
      </c>
      <c r="B2323" s="82" t="s">
        <v>10651</v>
      </c>
      <c r="C2323" s="82" t="s">
        <v>11272</v>
      </c>
      <c r="D2323" s="82" t="s">
        <v>11273</v>
      </c>
      <c r="E2323" s="82">
        <v>6281253629810</v>
      </c>
      <c r="F2323" s="92">
        <v>45857</v>
      </c>
      <c r="G2323" s="87">
        <v>1147</v>
      </c>
      <c r="H2323" s="88">
        <v>10868.900218499637</v>
      </c>
      <c r="I2323" s="89">
        <v>26</v>
      </c>
      <c r="J2323" s="90">
        <v>14923</v>
      </c>
      <c r="K2323" s="85">
        <v>2</v>
      </c>
      <c r="L2323" s="85">
        <v>179</v>
      </c>
      <c r="M2323" s="85">
        <v>0</v>
      </c>
      <c r="N2323" s="82" t="s">
        <v>11274</v>
      </c>
      <c r="O2323" s="93">
        <v>45858.797847222224</v>
      </c>
    </row>
    <row r="2324" spans="1:15" ht="22.5" customHeight="1">
      <c r="A2324" s="85">
        <v>174904221976312</v>
      </c>
      <c r="B2324" s="82" t="s">
        <v>10651</v>
      </c>
      <c r="C2324" s="82" t="s">
        <v>11282</v>
      </c>
      <c r="D2324" s="82" t="s">
        <v>1044</v>
      </c>
      <c r="E2324" s="82">
        <v>6281263113266</v>
      </c>
      <c r="F2324" s="92">
        <v>45857</v>
      </c>
      <c r="G2324" s="87">
        <v>1458</v>
      </c>
      <c r="H2324" s="88">
        <v>9873.4177215189866</v>
      </c>
      <c r="I2324" s="89">
        <v>64</v>
      </c>
      <c r="J2324" s="90">
        <v>15600</v>
      </c>
      <c r="K2324" s="85">
        <v>3</v>
      </c>
      <c r="L2324" s="85">
        <v>655</v>
      </c>
      <c r="M2324" s="85">
        <v>1</v>
      </c>
      <c r="N2324" s="82" t="s">
        <v>10728</v>
      </c>
      <c r="O2324" s="93">
        <v>45858.215578703705</v>
      </c>
    </row>
    <row r="2325" spans="1:15" ht="22.5" customHeight="1">
      <c r="A2325" s="85">
        <v>174904221976312</v>
      </c>
      <c r="B2325" s="82" t="s">
        <v>10651</v>
      </c>
      <c r="C2325" s="82" t="s">
        <v>11291</v>
      </c>
      <c r="D2325" s="82" t="s">
        <v>11292</v>
      </c>
      <c r="E2325" s="82">
        <v>6283183643221</v>
      </c>
      <c r="F2325" s="92">
        <v>45857</v>
      </c>
      <c r="G2325" s="87">
        <v>217</v>
      </c>
      <c r="H2325" s="88">
        <v>69312.236286919826</v>
      </c>
      <c r="I2325" s="89">
        <v>8</v>
      </c>
      <c r="J2325" s="90">
        <v>16427</v>
      </c>
      <c r="K2325" s="85">
        <v>0</v>
      </c>
      <c r="L2325" s="85">
        <v>95</v>
      </c>
      <c r="M2325" s="85">
        <v>0</v>
      </c>
      <c r="N2325" s="82" t="s">
        <v>11293</v>
      </c>
      <c r="O2325" s="93">
        <v>45858.215590277781</v>
      </c>
    </row>
    <row r="2326" spans="1:15" ht="22.5" customHeight="1">
      <c r="A2326" s="85">
        <v>174904221976312</v>
      </c>
      <c r="B2326" s="82" t="s">
        <v>10651</v>
      </c>
      <c r="C2326" s="82" t="s">
        <v>11217</v>
      </c>
      <c r="D2326" s="82" t="s">
        <v>2043</v>
      </c>
      <c r="E2326" s="82">
        <v>6282298717014</v>
      </c>
      <c r="F2326" s="92">
        <v>45857</v>
      </c>
      <c r="G2326" s="87">
        <v>355</v>
      </c>
      <c r="H2326" s="88">
        <v>37641.095890410958</v>
      </c>
      <c r="I2326" s="89">
        <v>14</v>
      </c>
      <c r="J2326" s="90">
        <v>13739</v>
      </c>
      <c r="K2326" s="85">
        <v>0</v>
      </c>
      <c r="L2326" s="85">
        <v>13</v>
      </c>
      <c r="M2326" s="85">
        <v>0</v>
      </c>
      <c r="N2326" s="82" t="s">
        <v>11218</v>
      </c>
      <c r="O2326" s="93">
        <v>45858.215590277781</v>
      </c>
    </row>
    <row r="2327" spans="1:15" ht="22.5" customHeight="1">
      <c r="A2327" s="85">
        <v>174904221976312</v>
      </c>
      <c r="B2327" s="82" t="s">
        <v>10651</v>
      </c>
      <c r="C2327" s="82" t="s">
        <v>11225</v>
      </c>
      <c r="D2327" s="82" t="s">
        <v>11226</v>
      </c>
      <c r="E2327" s="82">
        <v>6281240144744</v>
      </c>
      <c r="F2327" s="92">
        <v>45857</v>
      </c>
      <c r="G2327" s="87">
        <v>1985</v>
      </c>
      <c r="H2327" s="88">
        <v>6247.1141513467301</v>
      </c>
      <c r="I2327" s="89">
        <v>43</v>
      </c>
      <c r="J2327" s="90">
        <v>14612</v>
      </c>
      <c r="K2327" s="85">
        <v>6</v>
      </c>
      <c r="L2327" s="85">
        <v>333</v>
      </c>
      <c r="M2327" s="85">
        <v>2</v>
      </c>
      <c r="N2327" s="82" t="s">
        <v>11227</v>
      </c>
      <c r="O2327" s="93">
        <v>45858.818668981483</v>
      </c>
    </row>
    <row r="2328" spans="1:15" ht="22.5" customHeight="1">
      <c r="A2328" s="85">
        <v>174904221976312</v>
      </c>
      <c r="B2328" s="82" t="s">
        <v>10651</v>
      </c>
      <c r="C2328" s="82" t="s">
        <v>11193</v>
      </c>
      <c r="D2328" s="82" t="s">
        <v>11194</v>
      </c>
      <c r="E2328" s="82">
        <v>6281779578317</v>
      </c>
      <c r="F2328" s="92">
        <v>45857</v>
      </c>
      <c r="G2328" s="87">
        <v>1652</v>
      </c>
      <c r="H2328" s="88">
        <v>7303.5215204024598</v>
      </c>
      <c r="I2328" s="89">
        <v>73</v>
      </c>
      <c r="J2328" s="90">
        <v>13066</v>
      </c>
      <c r="K2328" s="85">
        <v>8</v>
      </c>
      <c r="L2328" s="85">
        <v>503</v>
      </c>
      <c r="M2328" s="85">
        <v>1</v>
      </c>
      <c r="N2328" s="82" t="s">
        <v>11195</v>
      </c>
      <c r="O2328" s="93">
        <v>45858.215578703705</v>
      </c>
    </row>
    <row r="2329" spans="1:15" ht="22.5" customHeight="1">
      <c r="A2329" s="85">
        <v>174904221976312</v>
      </c>
      <c r="B2329" s="82" t="s">
        <v>10651</v>
      </c>
      <c r="C2329" s="82" t="s">
        <v>11196</v>
      </c>
      <c r="D2329" s="82" t="s">
        <v>11197</v>
      </c>
      <c r="E2329" s="82">
        <v>6281412281953</v>
      </c>
      <c r="F2329" s="92">
        <v>45857</v>
      </c>
      <c r="G2329" s="87">
        <v>837</v>
      </c>
      <c r="H2329" s="88">
        <v>13378.850102669405</v>
      </c>
      <c r="I2329" s="89">
        <v>53</v>
      </c>
      <c r="J2329" s="90">
        <v>13031</v>
      </c>
      <c r="K2329" s="85">
        <v>7</v>
      </c>
      <c r="L2329" s="85">
        <v>372</v>
      </c>
      <c r="M2329" s="85">
        <v>1</v>
      </c>
      <c r="N2329" s="82" t="s">
        <v>11198</v>
      </c>
      <c r="O2329" s="93">
        <v>45858.215601851851</v>
      </c>
    </row>
    <row r="2330" spans="1:15" ht="22.5" customHeight="1">
      <c r="A2330" s="85">
        <v>174904221976312</v>
      </c>
      <c r="B2330" s="82" t="s">
        <v>10651</v>
      </c>
      <c r="C2330" s="82" t="s">
        <v>11144</v>
      </c>
      <c r="D2330" s="82" t="s">
        <v>11145</v>
      </c>
      <c r="E2330" s="82">
        <v>6282128714101</v>
      </c>
      <c r="F2330" s="92">
        <v>45857</v>
      </c>
      <c r="G2330" s="87">
        <v>449</v>
      </c>
      <c r="H2330" s="88">
        <v>24288.270377733599</v>
      </c>
      <c r="I2330" s="89">
        <v>11</v>
      </c>
      <c r="J2330" s="90">
        <v>12217</v>
      </c>
      <c r="K2330" s="85">
        <v>1</v>
      </c>
      <c r="L2330" s="85">
        <v>0</v>
      </c>
      <c r="M2330" s="85">
        <v>0</v>
      </c>
      <c r="N2330" s="82" t="s">
        <v>11146</v>
      </c>
      <c r="O2330" s="93">
        <v>45858.441655092596</v>
      </c>
    </row>
    <row r="2331" spans="1:15" ht="22.5" customHeight="1">
      <c r="A2331" s="85">
        <v>174904221976312</v>
      </c>
      <c r="B2331" s="82" t="s">
        <v>10651</v>
      </c>
      <c r="C2331" s="82" t="s">
        <v>11153</v>
      </c>
      <c r="D2331" s="82" t="s">
        <v>11154</v>
      </c>
      <c r="E2331" s="82">
        <v>6285338137835</v>
      </c>
      <c r="F2331" s="92">
        <v>45857</v>
      </c>
      <c r="G2331" s="87">
        <v>425</v>
      </c>
      <c r="H2331" s="88">
        <v>27971.428571428572</v>
      </c>
      <c r="I2331" s="89">
        <v>7</v>
      </c>
      <c r="J2331" s="90">
        <v>13706</v>
      </c>
      <c r="K2331" s="85">
        <v>2</v>
      </c>
      <c r="L2331" s="85">
        <v>6</v>
      </c>
      <c r="M2331" s="85">
        <v>0</v>
      </c>
      <c r="N2331" s="82" t="s">
        <v>11155</v>
      </c>
      <c r="O2331" s="93">
        <v>45858.234479166669</v>
      </c>
    </row>
    <row r="2332" spans="1:15" ht="22.5" customHeight="1">
      <c r="A2332" s="85">
        <v>174904221976312</v>
      </c>
      <c r="B2332" s="82" t="s">
        <v>10651</v>
      </c>
      <c r="C2332" s="82" t="s">
        <v>1844</v>
      </c>
      <c r="D2332" s="82" t="s">
        <v>11379</v>
      </c>
      <c r="E2332" s="82">
        <v>6281287982295</v>
      </c>
      <c r="F2332" s="92">
        <v>45857</v>
      </c>
      <c r="G2332" s="87">
        <v>194</v>
      </c>
      <c r="H2332" s="88">
        <v>66745.370370370365</v>
      </c>
      <c r="I2332" s="89">
        <v>2</v>
      </c>
      <c r="J2332" s="90">
        <v>14417</v>
      </c>
      <c r="K2332" s="85">
        <v>0</v>
      </c>
      <c r="L2332" s="85">
        <v>8</v>
      </c>
      <c r="M2332" s="85">
        <v>0</v>
      </c>
      <c r="N2332" s="82" t="s">
        <v>11380</v>
      </c>
      <c r="O2332" s="93">
        <v>45858.818680555552</v>
      </c>
    </row>
    <row r="2333" spans="1:15" ht="22.5" customHeight="1">
      <c r="A2333" s="85">
        <v>174904221976312</v>
      </c>
      <c r="B2333" s="82" t="s">
        <v>10651</v>
      </c>
      <c r="C2333" s="82" t="s">
        <v>11002</v>
      </c>
      <c r="D2333" s="82" t="s">
        <v>11003</v>
      </c>
      <c r="E2333" s="82">
        <v>6288228976100</v>
      </c>
      <c r="F2333" s="92">
        <v>45857</v>
      </c>
      <c r="G2333" s="87">
        <v>509</v>
      </c>
      <c r="H2333" s="88">
        <v>24994.949494949495</v>
      </c>
      <c r="I2333" s="89">
        <v>8</v>
      </c>
      <c r="J2333" s="90">
        <v>14847</v>
      </c>
      <c r="K2333" s="85">
        <v>0</v>
      </c>
      <c r="L2333" s="85">
        <v>126</v>
      </c>
      <c r="M2333" s="85">
        <v>0</v>
      </c>
      <c r="N2333" s="82" t="s">
        <v>11410</v>
      </c>
      <c r="O2333" s="93">
        <v>45858.289629629631</v>
      </c>
    </row>
    <row r="2334" spans="1:15" ht="22.5" customHeight="1">
      <c r="A2334" s="85">
        <v>174904221976312</v>
      </c>
      <c r="B2334" s="82" t="s">
        <v>10651</v>
      </c>
      <c r="C2334" s="82" t="s">
        <v>10853</v>
      </c>
      <c r="D2334" s="82" t="s">
        <v>10854</v>
      </c>
      <c r="E2334" s="82">
        <v>6281393958199</v>
      </c>
      <c r="F2334" s="92">
        <v>45857</v>
      </c>
      <c r="G2334" s="87">
        <v>909</v>
      </c>
      <c r="H2334" s="88">
        <v>15322.58064516129</v>
      </c>
      <c r="I2334" s="89">
        <v>26</v>
      </c>
      <c r="J2334" s="90">
        <v>14725</v>
      </c>
      <c r="K2334" s="85">
        <v>2</v>
      </c>
      <c r="L2334" s="85">
        <v>284</v>
      </c>
      <c r="M2334" s="85">
        <v>1</v>
      </c>
      <c r="N2334" s="82" t="s">
        <v>10855</v>
      </c>
      <c r="O2334" s="93">
        <v>45858.818888888891</v>
      </c>
    </row>
    <row r="2335" spans="1:15" ht="22.5" customHeight="1">
      <c r="A2335" s="85">
        <v>174904221976312</v>
      </c>
      <c r="B2335" s="82" t="s">
        <v>10651</v>
      </c>
      <c r="C2335" s="82" t="s">
        <v>818</v>
      </c>
      <c r="D2335" s="82" t="s">
        <v>812</v>
      </c>
      <c r="E2335" s="82">
        <v>6287858585808</v>
      </c>
      <c r="F2335" s="92">
        <v>45857</v>
      </c>
      <c r="G2335" s="87">
        <v>781</v>
      </c>
      <c r="H2335" s="88">
        <v>16221.187427240977</v>
      </c>
      <c r="I2335" s="89">
        <v>21</v>
      </c>
      <c r="J2335" s="90">
        <v>13934</v>
      </c>
      <c r="K2335" s="85">
        <v>1</v>
      </c>
      <c r="L2335" s="85">
        <v>214</v>
      </c>
      <c r="M2335" s="85">
        <v>0</v>
      </c>
      <c r="N2335" s="82" t="s">
        <v>10831</v>
      </c>
      <c r="O2335" s="93">
        <v>45858.818657407406</v>
      </c>
    </row>
    <row r="2336" spans="1:15" ht="22.5" customHeight="1">
      <c r="A2336" s="85">
        <v>174904221976312</v>
      </c>
      <c r="B2336" s="82" t="s">
        <v>10651</v>
      </c>
      <c r="C2336" s="82" t="s">
        <v>8099</v>
      </c>
      <c r="D2336" s="82" t="s">
        <v>2357</v>
      </c>
      <c r="E2336" s="82">
        <v>6281221788919</v>
      </c>
      <c r="F2336" s="92">
        <v>45857</v>
      </c>
      <c r="G2336" s="87">
        <v>597</v>
      </c>
      <c r="H2336" s="88">
        <v>17281.831187410586</v>
      </c>
      <c r="I2336" s="89">
        <v>16</v>
      </c>
      <c r="J2336" s="90">
        <v>12080</v>
      </c>
      <c r="K2336" s="85">
        <v>0</v>
      </c>
      <c r="L2336" s="85">
        <v>138</v>
      </c>
      <c r="M2336" s="85">
        <v>0</v>
      </c>
      <c r="N2336" s="82" t="s">
        <v>10759</v>
      </c>
      <c r="O2336" s="93">
        <v>45858.215578703705</v>
      </c>
    </row>
    <row r="2337" spans="1:15" ht="22.5" customHeight="1">
      <c r="A2337" s="85">
        <v>174904221976312</v>
      </c>
      <c r="B2337" s="82" t="s">
        <v>10651</v>
      </c>
      <c r="C2337" s="82" t="s">
        <v>10655</v>
      </c>
      <c r="D2337" s="82" t="s">
        <v>3908</v>
      </c>
      <c r="E2337" s="82">
        <v>6285376667233</v>
      </c>
      <c r="F2337" s="92">
        <v>45857</v>
      </c>
      <c r="G2337" s="87">
        <v>1112</v>
      </c>
      <c r="H2337" s="88">
        <v>11313.838550247117</v>
      </c>
      <c r="I2337" s="89">
        <v>31</v>
      </c>
      <c r="J2337" s="90">
        <v>13735</v>
      </c>
      <c r="K2337" s="85">
        <v>5</v>
      </c>
      <c r="L2337" s="85">
        <v>400</v>
      </c>
      <c r="M2337" s="85">
        <v>0</v>
      </c>
      <c r="N2337" s="82" t="s">
        <v>10656</v>
      </c>
      <c r="O2337" s="93">
        <v>45858.776631944442</v>
      </c>
    </row>
    <row r="2338" spans="1:15" ht="22.5" customHeight="1">
      <c r="A2338" s="85">
        <v>174904221976312</v>
      </c>
      <c r="B2338" s="82" t="s">
        <v>10651</v>
      </c>
      <c r="C2338" s="82" t="s">
        <v>63</v>
      </c>
      <c r="D2338" s="82" t="s">
        <v>55</v>
      </c>
      <c r="E2338" s="82">
        <v>6282226594414</v>
      </c>
      <c r="F2338" s="92">
        <v>45857</v>
      </c>
      <c r="G2338" s="87">
        <v>4514</v>
      </c>
      <c r="H2338" s="88">
        <v>3069.602272727273</v>
      </c>
      <c r="I2338" s="89">
        <v>202</v>
      </c>
      <c r="J2338" s="90">
        <v>15127</v>
      </c>
      <c r="K2338" s="85">
        <v>20</v>
      </c>
      <c r="L2338" s="85">
        <v>1461</v>
      </c>
      <c r="M2338" s="85">
        <v>1</v>
      </c>
      <c r="N2338" s="82" t="s">
        <v>10661</v>
      </c>
      <c r="O2338" s="93">
        <v>45858.215578703705</v>
      </c>
    </row>
    <row r="2339" spans="1:15" ht="22.5" customHeight="1">
      <c r="A2339" s="85">
        <v>174904221976312</v>
      </c>
      <c r="B2339" s="82" t="s">
        <v>10651</v>
      </c>
      <c r="C2339" s="82" t="s">
        <v>10662</v>
      </c>
      <c r="D2339" s="82" t="s">
        <v>10663</v>
      </c>
      <c r="E2339" s="82">
        <v>62882001677470</v>
      </c>
      <c r="F2339" s="92">
        <v>45857</v>
      </c>
      <c r="G2339" s="87">
        <v>471</v>
      </c>
      <c r="H2339" s="88">
        <v>23751.760563380281</v>
      </c>
      <c r="I2339" s="89">
        <v>19</v>
      </c>
      <c r="J2339" s="90">
        <v>13491</v>
      </c>
      <c r="K2339" s="85">
        <v>0</v>
      </c>
      <c r="L2339" s="85">
        <v>200</v>
      </c>
      <c r="M2339" s="85">
        <v>3</v>
      </c>
      <c r="N2339" s="82" t="s">
        <v>10664</v>
      </c>
      <c r="O2339" s="93">
        <v>45858.818888888891</v>
      </c>
    </row>
    <row r="2340" spans="1:15" ht="22.5" customHeight="1">
      <c r="A2340" s="85">
        <v>174904221976312</v>
      </c>
      <c r="B2340" s="82" t="s">
        <v>10651</v>
      </c>
      <c r="C2340" s="82" t="s">
        <v>11078</v>
      </c>
      <c r="D2340" s="82" t="s">
        <v>3140</v>
      </c>
      <c r="E2340" s="82"/>
      <c r="F2340" s="92">
        <v>45857</v>
      </c>
      <c r="G2340" s="87">
        <v>6991</v>
      </c>
      <c r="H2340" s="88">
        <v>1884.5421059316652</v>
      </c>
      <c r="I2340" s="89">
        <v>116</v>
      </c>
      <c r="J2340" s="90">
        <v>14837</v>
      </c>
      <c r="K2340" s="85">
        <v>6</v>
      </c>
      <c r="L2340" s="85">
        <v>0</v>
      </c>
      <c r="M2340" s="85">
        <v>0</v>
      </c>
      <c r="N2340" s="82" t="s">
        <v>11079</v>
      </c>
      <c r="O2340" s="93">
        <v>45858.797685185185</v>
      </c>
    </row>
    <row r="2341" spans="1:15" ht="22.5" customHeight="1">
      <c r="A2341" s="85">
        <v>174904221976312</v>
      </c>
      <c r="B2341" s="82" t="s">
        <v>10651</v>
      </c>
      <c r="C2341" s="82" t="s">
        <v>10833</v>
      </c>
      <c r="D2341" s="82" t="s">
        <v>10834</v>
      </c>
      <c r="E2341" s="82">
        <v>6282242925264</v>
      </c>
      <c r="F2341" s="92">
        <v>45857</v>
      </c>
      <c r="G2341" s="87">
        <v>2867</v>
      </c>
      <c r="H2341" s="88">
        <v>5315.1571164510169</v>
      </c>
      <c r="I2341" s="89">
        <v>88</v>
      </c>
      <c r="J2341" s="90">
        <v>17253</v>
      </c>
      <c r="K2341" s="85">
        <v>3</v>
      </c>
      <c r="L2341" s="85">
        <v>863</v>
      </c>
      <c r="M2341" s="85">
        <v>0</v>
      </c>
      <c r="N2341" s="82" t="s">
        <v>10835</v>
      </c>
      <c r="O2341" s="93">
        <v>45858.215590277781</v>
      </c>
    </row>
    <row r="2342" spans="1:15" ht="22.5" customHeight="1">
      <c r="A2342" s="85">
        <v>766589657993298</v>
      </c>
      <c r="B2342" s="82" t="s">
        <v>10688</v>
      </c>
      <c r="C2342" s="82" t="s">
        <v>11411</v>
      </c>
      <c r="D2342" s="82" t="s">
        <v>2529</v>
      </c>
      <c r="E2342" s="82">
        <v>6287888068088</v>
      </c>
      <c r="F2342" s="92">
        <v>45857</v>
      </c>
      <c r="G2342" s="87">
        <v>196</v>
      </c>
      <c r="H2342" s="88">
        <v>68444.976076555016</v>
      </c>
      <c r="I2342" s="89">
        <v>7</v>
      </c>
      <c r="J2342" s="90">
        <v>14305</v>
      </c>
      <c r="K2342" s="85">
        <v>2</v>
      </c>
      <c r="L2342" s="85">
        <v>64</v>
      </c>
      <c r="M2342" s="85">
        <v>0</v>
      </c>
      <c r="N2342" s="82" t="s">
        <v>11412</v>
      </c>
      <c r="O2342" s="93">
        <v>45858.716956018521</v>
      </c>
    </row>
    <row r="2343" spans="1:15" ht="22.5" customHeight="1">
      <c r="A2343" s="85">
        <v>766589657993298</v>
      </c>
      <c r="B2343" s="82" t="s">
        <v>10688</v>
      </c>
      <c r="C2343" s="82" t="s">
        <v>11413</v>
      </c>
      <c r="D2343" s="82" t="s">
        <v>5697</v>
      </c>
      <c r="E2343" s="82">
        <v>6281385001244</v>
      </c>
      <c r="F2343" s="92">
        <v>45857</v>
      </c>
      <c r="G2343" s="87">
        <v>415</v>
      </c>
      <c r="H2343" s="88">
        <v>30615.22198731501</v>
      </c>
      <c r="I2343" s="89">
        <v>12</v>
      </c>
      <c r="J2343" s="90">
        <v>14481</v>
      </c>
      <c r="K2343" s="85">
        <v>5</v>
      </c>
      <c r="L2343" s="85">
        <v>133</v>
      </c>
      <c r="M2343" s="85">
        <v>0</v>
      </c>
      <c r="N2343" s="82" t="s">
        <v>11414</v>
      </c>
      <c r="O2343" s="93">
        <v>45858.737638888888</v>
      </c>
    </row>
    <row r="2344" spans="1:15" ht="22.5" customHeight="1">
      <c r="A2344" s="85">
        <v>766589657993298</v>
      </c>
      <c r="B2344" s="82" t="s">
        <v>10688</v>
      </c>
      <c r="C2344" s="82" t="s">
        <v>11415</v>
      </c>
      <c r="D2344" s="82" t="s">
        <v>11416</v>
      </c>
      <c r="E2344" s="82">
        <v>6281298551100</v>
      </c>
      <c r="F2344" s="92">
        <v>45857</v>
      </c>
      <c r="G2344" s="87">
        <v>270</v>
      </c>
      <c r="H2344" s="88">
        <v>49678.082191780821</v>
      </c>
      <c r="I2344" s="89">
        <v>8</v>
      </c>
      <c r="J2344" s="90">
        <v>14506</v>
      </c>
      <c r="K2344" s="85">
        <v>2</v>
      </c>
      <c r="L2344" s="85">
        <v>0</v>
      </c>
      <c r="M2344" s="85">
        <v>0</v>
      </c>
      <c r="N2344" s="82" t="s">
        <v>11417</v>
      </c>
      <c r="O2344" s="93">
        <v>45858.737650462965</v>
      </c>
    </row>
    <row r="2345" spans="1:15" ht="22.5" customHeight="1">
      <c r="A2345" s="85">
        <v>766589657993298</v>
      </c>
      <c r="B2345" s="82" t="s">
        <v>10688</v>
      </c>
      <c r="C2345" s="82" t="s">
        <v>11418</v>
      </c>
      <c r="D2345" s="82" t="s">
        <v>2480</v>
      </c>
      <c r="E2345" s="82">
        <v>6287856230745</v>
      </c>
      <c r="F2345" s="92">
        <v>45857</v>
      </c>
      <c r="G2345" s="87">
        <v>324</v>
      </c>
      <c r="H2345" s="88">
        <v>37822.622107969153</v>
      </c>
      <c r="I2345" s="89">
        <v>6</v>
      </c>
      <c r="J2345" s="90">
        <v>14713</v>
      </c>
      <c r="K2345" s="85">
        <v>0</v>
      </c>
      <c r="L2345" s="85">
        <v>107</v>
      </c>
      <c r="M2345" s="85">
        <v>0</v>
      </c>
      <c r="N2345" s="82" t="s">
        <v>11419</v>
      </c>
      <c r="O2345" s="93">
        <v>45858.696226851855</v>
      </c>
    </row>
    <row r="2346" spans="1:15" ht="22.5" customHeight="1">
      <c r="A2346" s="85">
        <v>766589657993298</v>
      </c>
      <c r="B2346" s="82" t="s">
        <v>10688</v>
      </c>
      <c r="C2346" s="82" t="s">
        <v>11381</v>
      </c>
      <c r="D2346" s="82" t="s">
        <v>2385</v>
      </c>
      <c r="E2346" s="82">
        <v>6281317170441</v>
      </c>
      <c r="F2346" s="92">
        <v>45857</v>
      </c>
      <c r="G2346" s="87">
        <v>463</v>
      </c>
      <c r="H2346" s="88">
        <v>26880.149812734082</v>
      </c>
      <c r="I2346" s="89">
        <v>17</v>
      </c>
      <c r="J2346" s="90">
        <v>14354</v>
      </c>
      <c r="K2346" s="85">
        <v>4</v>
      </c>
      <c r="L2346" s="85">
        <v>18</v>
      </c>
      <c r="M2346" s="85">
        <v>0</v>
      </c>
      <c r="N2346" s="82" t="s">
        <v>11382</v>
      </c>
      <c r="O2346" s="93">
        <v>45858.758252314816</v>
      </c>
    </row>
    <row r="2347" spans="1:15" ht="22.5" customHeight="1">
      <c r="A2347" s="85">
        <v>766589657993298</v>
      </c>
      <c r="B2347" s="82" t="s">
        <v>10688</v>
      </c>
      <c r="C2347" s="82" t="s">
        <v>11383</v>
      </c>
      <c r="D2347" s="82" t="s">
        <v>11384</v>
      </c>
      <c r="E2347" s="82">
        <v>62881038177010</v>
      </c>
      <c r="F2347" s="92">
        <v>45857</v>
      </c>
      <c r="G2347" s="87">
        <v>591</v>
      </c>
      <c r="H2347" s="88">
        <v>21039.772727272728</v>
      </c>
      <c r="I2347" s="89">
        <v>14</v>
      </c>
      <c r="J2347" s="90">
        <v>14812</v>
      </c>
      <c r="K2347" s="85">
        <v>3</v>
      </c>
      <c r="L2347" s="85">
        <v>192</v>
      </c>
      <c r="M2347" s="85">
        <v>0</v>
      </c>
      <c r="N2347" s="82" t="s">
        <v>11385</v>
      </c>
      <c r="O2347" s="93">
        <v>45858.779224537036</v>
      </c>
    </row>
    <row r="2348" spans="1:15" ht="22.5" customHeight="1">
      <c r="A2348" s="85">
        <v>766589657993298</v>
      </c>
      <c r="B2348" s="82" t="s">
        <v>10688</v>
      </c>
      <c r="C2348" s="82" t="s">
        <v>11386</v>
      </c>
      <c r="D2348" s="82" t="s">
        <v>11387</v>
      </c>
      <c r="E2348" s="82">
        <v>6285716210341</v>
      </c>
      <c r="F2348" s="92">
        <v>45857</v>
      </c>
      <c r="G2348" s="87">
        <v>669</v>
      </c>
      <c r="H2348" s="88">
        <v>19506.648936170212</v>
      </c>
      <c r="I2348" s="89">
        <v>16</v>
      </c>
      <c r="J2348" s="90">
        <v>14669</v>
      </c>
      <c r="K2348" s="85">
        <v>5</v>
      </c>
      <c r="L2348" s="85">
        <v>313</v>
      </c>
      <c r="M2348" s="85">
        <v>0</v>
      </c>
      <c r="N2348" s="82" t="s">
        <v>11388</v>
      </c>
      <c r="O2348" s="93">
        <v>45858.758229166669</v>
      </c>
    </row>
    <row r="2349" spans="1:15" ht="22.5" customHeight="1">
      <c r="A2349" s="85">
        <v>766589657993298</v>
      </c>
      <c r="B2349" s="82" t="s">
        <v>10688</v>
      </c>
      <c r="C2349" s="82" t="s">
        <v>11389</v>
      </c>
      <c r="D2349" s="82" t="s">
        <v>11390</v>
      </c>
      <c r="E2349" s="82">
        <v>6281284410725</v>
      </c>
      <c r="F2349" s="92">
        <v>45857</v>
      </c>
      <c r="G2349" s="87">
        <v>975</v>
      </c>
      <c r="H2349" s="88">
        <v>13439.285714285716</v>
      </c>
      <c r="I2349" s="89">
        <v>30</v>
      </c>
      <c r="J2349" s="90">
        <v>15052</v>
      </c>
      <c r="K2349" s="85">
        <v>1</v>
      </c>
      <c r="L2349" s="85">
        <v>49</v>
      </c>
      <c r="M2349" s="85">
        <v>0</v>
      </c>
      <c r="N2349" s="82" t="s">
        <v>11391</v>
      </c>
      <c r="O2349" s="93">
        <v>45858.77920138889</v>
      </c>
    </row>
    <row r="2350" spans="1:15" ht="22.5" customHeight="1">
      <c r="A2350" s="85">
        <v>766589657993298</v>
      </c>
      <c r="B2350" s="82" t="s">
        <v>10688</v>
      </c>
      <c r="C2350" s="82" t="s">
        <v>11392</v>
      </c>
      <c r="D2350" s="82" t="s">
        <v>2308</v>
      </c>
      <c r="E2350" s="82">
        <v>62895416149255</v>
      </c>
      <c r="F2350" s="92">
        <v>45857</v>
      </c>
      <c r="G2350" s="87">
        <v>1029</v>
      </c>
      <c r="H2350" s="88">
        <v>12903.583617747439</v>
      </c>
      <c r="I2350" s="89">
        <v>18</v>
      </c>
      <c r="J2350" s="90">
        <v>15123</v>
      </c>
      <c r="K2350" s="85">
        <v>3</v>
      </c>
      <c r="L2350" s="85">
        <v>445</v>
      </c>
      <c r="M2350" s="85">
        <v>0</v>
      </c>
      <c r="N2350" s="82" t="s">
        <v>11393</v>
      </c>
      <c r="O2350" s="93">
        <v>45858.716967592591</v>
      </c>
    </row>
    <row r="2351" spans="1:15" ht="22.5" customHeight="1">
      <c r="A2351" s="85">
        <v>766589657993298</v>
      </c>
      <c r="B2351" s="82" t="s">
        <v>10688</v>
      </c>
      <c r="C2351" s="82" t="s">
        <v>11356</v>
      </c>
      <c r="D2351" s="82" t="s">
        <v>350</v>
      </c>
      <c r="E2351" s="82">
        <v>6288274090631</v>
      </c>
      <c r="F2351" s="92">
        <v>45857</v>
      </c>
      <c r="G2351" s="87">
        <v>658</v>
      </c>
      <c r="H2351" s="88">
        <v>19611.538461538461</v>
      </c>
      <c r="I2351" s="89">
        <v>14</v>
      </c>
      <c r="J2351" s="90">
        <v>15297</v>
      </c>
      <c r="K2351" s="85">
        <v>2</v>
      </c>
      <c r="L2351" s="85">
        <v>150</v>
      </c>
      <c r="M2351" s="85">
        <v>0</v>
      </c>
      <c r="N2351" s="82" t="s">
        <v>11357</v>
      </c>
      <c r="O2351" s="93">
        <v>45858.737673611111</v>
      </c>
    </row>
    <row r="2352" spans="1:15" ht="22.5" customHeight="1">
      <c r="A2352" s="85">
        <v>766589657993298</v>
      </c>
      <c r="B2352" s="82" t="s">
        <v>10688</v>
      </c>
      <c r="C2352" s="82" t="s">
        <v>11358</v>
      </c>
      <c r="D2352" s="82" t="s">
        <v>2488</v>
      </c>
      <c r="E2352" s="82">
        <v>6281347321820</v>
      </c>
      <c r="F2352" s="92">
        <v>45857</v>
      </c>
      <c r="G2352" s="87">
        <v>1316</v>
      </c>
      <c r="H2352" s="88">
        <v>9893.9774153074031</v>
      </c>
      <c r="I2352" s="89">
        <v>49</v>
      </c>
      <c r="J2352" s="90">
        <v>15771</v>
      </c>
      <c r="K2352" s="85">
        <v>8</v>
      </c>
      <c r="L2352" s="85">
        <v>466</v>
      </c>
      <c r="M2352" s="85">
        <v>0</v>
      </c>
      <c r="N2352" s="82" t="s">
        <v>11359</v>
      </c>
      <c r="O2352" s="93">
        <v>45858.633344907408</v>
      </c>
    </row>
    <row r="2353" spans="1:15" ht="22.5" customHeight="1">
      <c r="A2353" s="85">
        <v>766589657993298</v>
      </c>
      <c r="B2353" s="82" t="s">
        <v>10688</v>
      </c>
      <c r="C2353" s="82" t="s">
        <v>11360</v>
      </c>
      <c r="D2353" s="82" t="s">
        <v>11361</v>
      </c>
      <c r="E2353" s="82">
        <v>6285186029090</v>
      </c>
      <c r="F2353" s="92">
        <v>45857</v>
      </c>
      <c r="G2353" s="87">
        <v>630</v>
      </c>
      <c r="H2353" s="88">
        <v>21074.895977808599</v>
      </c>
      <c r="I2353" s="89">
        <v>36</v>
      </c>
      <c r="J2353" s="90">
        <v>15195</v>
      </c>
      <c r="K2353" s="85">
        <v>3</v>
      </c>
      <c r="L2353" s="85">
        <v>10</v>
      </c>
      <c r="M2353" s="85">
        <v>0</v>
      </c>
      <c r="N2353" s="82" t="s">
        <v>11362</v>
      </c>
      <c r="O2353" s="93">
        <v>45858.716956018521</v>
      </c>
    </row>
    <row r="2354" spans="1:15" ht="22.5" customHeight="1">
      <c r="A2354" s="85">
        <v>766589657993298</v>
      </c>
      <c r="B2354" s="82" t="s">
        <v>10688</v>
      </c>
      <c r="C2354" s="82" t="s">
        <v>11335</v>
      </c>
      <c r="D2354" s="82" t="s">
        <v>2301</v>
      </c>
      <c r="E2354" s="82">
        <v>6285169411418</v>
      </c>
      <c r="F2354" s="92">
        <v>45857</v>
      </c>
      <c r="G2354" s="87">
        <v>563</v>
      </c>
      <c r="H2354" s="88">
        <v>26038.39732888147</v>
      </c>
      <c r="I2354" s="89">
        <v>11</v>
      </c>
      <c r="J2354" s="90">
        <v>15597</v>
      </c>
      <c r="K2354" s="85">
        <v>1</v>
      </c>
      <c r="L2354" s="85">
        <v>251</v>
      </c>
      <c r="M2354" s="85">
        <v>0</v>
      </c>
      <c r="N2354" s="82" t="s">
        <v>11363</v>
      </c>
      <c r="O2354" s="93">
        <v>45858.716944444444</v>
      </c>
    </row>
    <row r="2355" spans="1:15" ht="22.5" customHeight="1">
      <c r="A2355" s="85">
        <v>766589657993298</v>
      </c>
      <c r="B2355" s="82" t="s">
        <v>10688</v>
      </c>
      <c r="C2355" s="82" t="s">
        <v>11315</v>
      </c>
      <c r="D2355" s="82" t="s">
        <v>2128</v>
      </c>
      <c r="E2355" s="82">
        <v>6285811444456</v>
      </c>
      <c r="F2355" s="92">
        <v>45857</v>
      </c>
      <c r="G2355" s="87">
        <v>372</v>
      </c>
      <c r="H2355" s="88">
        <v>37512.755102040814</v>
      </c>
      <c r="I2355" s="89">
        <v>10</v>
      </c>
      <c r="J2355" s="90">
        <v>14705</v>
      </c>
      <c r="K2355" s="85">
        <v>2</v>
      </c>
      <c r="L2355" s="85">
        <v>177</v>
      </c>
      <c r="M2355" s="85">
        <v>0</v>
      </c>
      <c r="N2355" s="82" t="s">
        <v>11364</v>
      </c>
      <c r="O2355" s="93">
        <v>45858.217372685183</v>
      </c>
    </row>
    <row r="2356" spans="1:15" ht="22.5" customHeight="1">
      <c r="A2356" s="85">
        <v>766589657993298</v>
      </c>
      <c r="B2356" s="82" t="s">
        <v>10688</v>
      </c>
      <c r="C2356" s="82" t="s">
        <v>11318</v>
      </c>
      <c r="D2356" s="82" t="s">
        <v>11365</v>
      </c>
      <c r="E2356" s="82">
        <v>6282310465999</v>
      </c>
      <c r="F2356" s="92">
        <v>45857</v>
      </c>
      <c r="G2356" s="87">
        <v>814</v>
      </c>
      <c r="H2356" s="88">
        <v>18958.192090395482</v>
      </c>
      <c r="I2356" s="89">
        <v>23</v>
      </c>
      <c r="J2356" s="90">
        <v>16778</v>
      </c>
      <c r="K2356" s="85">
        <v>3</v>
      </c>
      <c r="L2356" s="85">
        <v>174</v>
      </c>
      <c r="M2356" s="85">
        <v>2</v>
      </c>
      <c r="N2356" s="82" t="s">
        <v>11366</v>
      </c>
      <c r="O2356" s="93">
        <v>45858.696226851855</v>
      </c>
    </row>
    <row r="2357" spans="1:15" ht="22.5" customHeight="1">
      <c r="A2357" s="85">
        <v>766589657993298</v>
      </c>
      <c r="B2357" s="82" t="s">
        <v>10688</v>
      </c>
      <c r="C2357" s="82" t="s">
        <v>11300</v>
      </c>
      <c r="D2357" s="82" t="s">
        <v>2223</v>
      </c>
      <c r="E2357" s="82">
        <v>6282111000133</v>
      </c>
      <c r="F2357" s="92">
        <v>45857</v>
      </c>
      <c r="G2357" s="87">
        <v>542</v>
      </c>
      <c r="H2357" s="88">
        <v>27281.25</v>
      </c>
      <c r="I2357" s="89">
        <v>17</v>
      </c>
      <c r="J2357" s="90">
        <v>15714</v>
      </c>
      <c r="K2357" s="85">
        <v>6</v>
      </c>
      <c r="L2357" s="85">
        <v>260</v>
      </c>
      <c r="M2357" s="85">
        <v>0</v>
      </c>
      <c r="N2357" s="82" t="s">
        <v>11301</v>
      </c>
      <c r="O2357" s="93">
        <v>45858.654236111113</v>
      </c>
    </row>
    <row r="2358" spans="1:15" ht="22.5" customHeight="1">
      <c r="A2358" s="85">
        <v>766589657993298</v>
      </c>
      <c r="B2358" s="82" t="s">
        <v>10688</v>
      </c>
      <c r="C2358" s="82" t="s">
        <v>11302</v>
      </c>
      <c r="D2358" s="82" t="s">
        <v>11303</v>
      </c>
      <c r="E2358" s="82">
        <v>6285814054475</v>
      </c>
      <c r="F2358" s="92">
        <v>45857</v>
      </c>
      <c r="G2358" s="87">
        <v>1150</v>
      </c>
      <c r="H2358" s="88">
        <v>12511.538461538463</v>
      </c>
      <c r="I2358" s="89">
        <v>44</v>
      </c>
      <c r="J2358" s="90">
        <v>16265</v>
      </c>
      <c r="K2358" s="85">
        <v>12</v>
      </c>
      <c r="L2358" s="85">
        <v>701</v>
      </c>
      <c r="M2358" s="85">
        <v>0</v>
      </c>
      <c r="N2358" s="82" t="s">
        <v>11304</v>
      </c>
      <c r="O2358" s="93">
        <v>45858.800613425927</v>
      </c>
    </row>
    <row r="2359" spans="1:15" ht="22.5" customHeight="1">
      <c r="A2359" s="85">
        <v>766589657993298</v>
      </c>
      <c r="B2359" s="82" t="s">
        <v>10688</v>
      </c>
      <c r="C2359" s="82" t="s">
        <v>11264</v>
      </c>
      <c r="D2359" s="91" t="s">
        <v>1915</v>
      </c>
      <c r="E2359" s="82">
        <v>6281239874761</v>
      </c>
      <c r="F2359" s="92">
        <v>45857</v>
      </c>
      <c r="G2359" s="87">
        <v>368</v>
      </c>
      <c r="H2359" s="88">
        <v>41611.76470588235</v>
      </c>
      <c r="I2359" s="89">
        <v>9</v>
      </c>
      <c r="J2359" s="90">
        <v>17685</v>
      </c>
      <c r="K2359" s="85">
        <v>0</v>
      </c>
      <c r="L2359" s="85">
        <v>78</v>
      </c>
      <c r="M2359" s="85">
        <v>0</v>
      </c>
      <c r="N2359" s="82" t="s">
        <v>11265</v>
      </c>
      <c r="O2359" s="93">
        <v>45858.612442129626</v>
      </c>
    </row>
    <row r="2360" spans="1:15" ht="22.5" customHeight="1">
      <c r="A2360" s="85">
        <v>766589657993298</v>
      </c>
      <c r="B2360" s="82" t="s">
        <v>10688</v>
      </c>
      <c r="C2360" s="82" t="s">
        <v>11239</v>
      </c>
      <c r="D2360" s="82" t="s">
        <v>11240</v>
      </c>
      <c r="E2360" s="82">
        <v>6281213766426</v>
      </c>
      <c r="F2360" s="92">
        <v>45857</v>
      </c>
      <c r="G2360" s="87">
        <v>380</v>
      </c>
      <c r="H2360" s="88">
        <v>43002.331002331004</v>
      </c>
      <c r="I2360" s="89">
        <v>9</v>
      </c>
      <c r="J2360" s="90">
        <v>18448</v>
      </c>
      <c r="K2360" s="85">
        <v>4</v>
      </c>
      <c r="L2360" s="85">
        <v>7</v>
      </c>
      <c r="M2360" s="85">
        <v>0</v>
      </c>
      <c r="N2360" s="82" t="s">
        <v>11241</v>
      </c>
      <c r="O2360" s="93">
        <v>45858.217361111114</v>
      </c>
    </row>
    <row r="2361" spans="1:15" ht="22.5" customHeight="1">
      <c r="A2361" s="85">
        <v>766589657993298</v>
      </c>
      <c r="B2361" s="82" t="s">
        <v>10688</v>
      </c>
      <c r="C2361" s="82" t="s">
        <v>11174</v>
      </c>
      <c r="D2361" s="82" t="s">
        <v>11175</v>
      </c>
      <c r="E2361" s="82">
        <v>6282184019830</v>
      </c>
      <c r="F2361" s="92">
        <v>45857</v>
      </c>
      <c r="G2361" s="87">
        <v>200</v>
      </c>
      <c r="H2361" s="88">
        <v>78995.614035087725</v>
      </c>
      <c r="I2361" s="89">
        <v>5</v>
      </c>
      <c r="J2361" s="90">
        <v>18011</v>
      </c>
      <c r="K2361" s="85">
        <v>0</v>
      </c>
      <c r="L2361" s="85">
        <v>0</v>
      </c>
      <c r="M2361" s="85">
        <v>0</v>
      </c>
      <c r="N2361" s="82" t="s">
        <v>11176</v>
      </c>
      <c r="O2361" s="93">
        <v>45858.592187499999</v>
      </c>
    </row>
    <row r="2362" spans="1:15" ht="22.5" customHeight="1">
      <c r="A2362" s="85">
        <v>766589657993298</v>
      </c>
      <c r="B2362" s="82" t="s">
        <v>10688</v>
      </c>
      <c r="C2362" s="82" t="s">
        <v>11103</v>
      </c>
      <c r="D2362" s="82" t="s">
        <v>11104</v>
      </c>
      <c r="E2362" s="82">
        <v>6282124027899</v>
      </c>
      <c r="F2362" s="92">
        <v>45857</v>
      </c>
      <c r="G2362" s="87">
        <v>1601</v>
      </c>
      <c r="H2362" s="88">
        <v>10256.855064353666</v>
      </c>
      <c r="I2362" s="89">
        <v>39</v>
      </c>
      <c r="J2362" s="90">
        <v>18329</v>
      </c>
      <c r="K2362" s="85">
        <v>7</v>
      </c>
      <c r="L2362" s="85">
        <v>395</v>
      </c>
      <c r="M2362" s="85">
        <v>0</v>
      </c>
      <c r="N2362" s="82" t="s">
        <v>11105</v>
      </c>
      <c r="O2362" s="93">
        <v>45858.550081018519</v>
      </c>
    </row>
    <row r="2363" spans="1:15" ht="22.5" customHeight="1">
      <c r="A2363" s="85">
        <v>766589657993298</v>
      </c>
      <c r="B2363" s="82" t="s">
        <v>10688</v>
      </c>
      <c r="C2363" s="82" t="s">
        <v>11026</v>
      </c>
      <c r="D2363" s="82" t="s">
        <v>1172</v>
      </c>
      <c r="E2363" s="82">
        <v>6285950836788</v>
      </c>
      <c r="F2363" s="92">
        <v>45857</v>
      </c>
      <c r="G2363" s="87">
        <v>327</v>
      </c>
      <c r="H2363" s="88">
        <v>47109.589041095889</v>
      </c>
      <c r="I2363" s="89">
        <v>3</v>
      </c>
      <c r="J2363" s="90">
        <v>17195</v>
      </c>
      <c r="K2363" s="85">
        <v>0</v>
      </c>
      <c r="L2363" s="85">
        <v>104</v>
      </c>
      <c r="M2363" s="85">
        <v>1</v>
      </c>
      <c r="N2363" s="82" t="s">
        <v>11027</v>
      </c>
      <c r="O2363" s="93">
        <v>45858.675798611112</v>
      </c>
    </row>
    <row r="2364" spans="1:15" ht="22.5" customHeight="1">
      <c r="A2364" s="85">
        <v>766589657993298</v>
      </c>
      <c r="B2364" s="82" t="s">
        <v>10688</v>
      </c>
      <c r="C2364" s="82" t="s">
        <v>11028</v>
      </c>
      <c r="D2364" s="82" t="s">
        <v>11029</v>
      </c>
      <c r="E2364" s="82">
        <v>6282338171577</v>
      </c>
      <c r="F2364" s="92">
        <v>45857</v>
      </c>
      <c r="G2364" s="87">
        <v>992</v>
      </c>
      <c r="H2364" s="88">
        <v>14307.420494699647</v>
      </c>
      <c r="I2364" s="89">
        <v>19</v>
      </c>
      <c r="J2364" s="90">
        <v>16196</v>
      </c>
      <c r="K2364" s="85">
        <v>3</v>
      </c>
      <c r="L2364" s="85">
        <v>349</v>
      </c>
      <c r="M2364" s="85">
        <v>0</v>
      </c>
      <c r="N2364" s="82" t="s">
        <v>11030</v>
      </c>
      <c r="O2364" s="93">
        <v>45858.654236111113</v>
      </c>
    </row>
    <row r="2365" spans="1:15" ht="22.5" customHeight="1">
      <c r="A2365" s="85">
        <v>759724529202804</v>
      </c>
      <c r="B2365" s="82" t="s">
        <v>10621</v>
      </c>
      <c r="C2365" s="82" t="s">
        <v>11394</v>
      </c>
      <c r="D2365" s="82" t="s">
        <v>1277</v>
      </c>
      <c r="E2365" s="82">
        <v>6281269441611</v>
      </c>
      <c r="F2365" s="92">
        <v>45858</v>
      </c>
      <c r="G2365" s="87">
        <v>2279</v>
      </c>
      <c r="H2365" s="88">
        <v>5583.2137733142035</v>
      </c>
      <c r="I2365" s="89">
        <v>58</v>
      </c>
      <c r="J2365" s="90">
        <v>15566</v>
      </c>
      <c r="K2365" s="85">
        <v>1</v>
      </c>
      <c r="L2365" s="85">
        <v>711</v>
      </c>
      <c r="M2365" s="85">
        <v>3</v>
      </c>
      <c r="N2365" s="82" t="s">
        <v>11395</v>
      </c>
      <c r="O2365" s="93">
        <v>45859.714467592596</v>
      </c>
    </row>
    <row r="2366" spans="1:15" ht="22.5" customHeight="1">
      <c r="A2366" s="85">
        <v>759724529202804</v>
      </c>
      <c r="B2366" s="82" t="s">
        <v>10621</v>
      </c>
      <c r="C2366" s="82" t="s">
        <v>11337</v>
      </c>
      <c r="D2366" s="82" t="s">
        <v>2336</v>
      </c>
      <c r="E2366" s="82">
        <v>6289608357133</v>
      </c>
      <c r="F2366" s="92">
        <v>45858</v>
      </c>
      <c r="G2366" s="87">
        <v>494</v>
      </c>
      <c r="H2366" s="88">
        <v>28371.268656716416</v>
      </c>
      <c r="I2366" s="89">
        <v>14</v>
      </c>
      <c r="J2366" s="90">
        <v>15207</v>
      </c>
      <c r="K2366" s="85">
        <v>0</v>
      </c>
      <c r="L2366" s="85">
        <v>155</v>
      </c>
      <c r="M2366" s="85">
        <v>0</v>
      </c>
      <c r="N2366" s="82" t="s">
        <v>11338</v>
      </c>
      <c r="O2366" s="93">
        <v>45859.61</v>
      </c>
    </row>
    <row r="2367" spans="1:15" ht="22.5" customHeight="1">
      <c r="A2367" s="85">
        <v>759724529202804</v>
      </c>
      <c r="B2367" s="82" t="s">
        <v>10621</v>
      </c>
      <c r="C2367" s="82" t="s">
        <v>11321</v>
      </c>
      <c r="D2367" s="82" t="s">
        <v>2240</v>
      </c>
      <c r="E2367" s="82">
        <v>6285339158435</v>
      </c>
      <c r="F2367" s="92">
        <v>45858</v>
      </c>
      <c r="G2367" s="87">
        <v>3450</v>
      </c>
      <c r="H2367" s="88">
        <v>3679.1352926888508</v>
      </c>
      <c r="I2367" s="89">
        <v>287</v>
      </c>
      <c r="J2367" s="90">
        <v>15147</v>
      </c>
      <c r="K2367" s="85">
        <v>15</v>
      </c>
      <c r="L2367" s="85">
        <v>1587</v>
      </c>
      <c r="M2367" s="85">
        <v>4</v>
      </c>
      <c r="N2367" s="82" t="s">
        <v>11339</v>
      </c>
      <c r="O2367" s="93">
        <v>45859.547847222224</v>
      </c>
    </row>
    <row r="2368" spans="1:15" ht="22.5" customHeight="1">
      <c r="A2368" s="85">
        <v>759724529202804</v>
      </c>
      <c r="B2368" s="82" t="s">
        <v>10621</v>
      </c>
      <c r="C2368" s="82" t="s">
        <v>11323</v>
      </c>
      <c r="D2368" s="82" t="s">
        <v>11340</v>
      </c>
      <c r="E2368" s="82">
        <v>6281916331011</v>
      </c>
      <c r="F2368" s="92">
        <v>45858</v>
      </c>
      <c r="G2368" s="87">
        <v>1013</v>
      </c>
      <c r="H2368" s="88">
        <v>12155.896607431341</v>
      </c>
      <c r="I2368" s="89">
        <v>49</v>
      </c>
      <c r="J2368" s="90">
        <v>15049</v>
      </c>
      <c r="K2368" s="85">
        <v>9</v>
      </c>
      <c r="L2368" s="85">
        <v>405</v>
      </c>
      <c r="M2368" s="85">
        <v>0</v>
      </c>
      <c r="N2368" s="82" t="s">
        <v>11341</v>
      </c>
      <c r="O2368" s="93">
        <v>45859.630624999998</v>
      </c>
    </row>
    <row r="2369" spans="1:15" ht="22.5" customHeight="1">
      <c r="A2369" s="85">
        <v>759724529202804</v>
      </c>
      <c r="B2369" s="82" t="s">
        <v>10621</v>
      </c>
      <c r="C2369" s="82" t="s">
        <v>11070</v>
      </c>
      <c r="D2369" s="82" t="s">
        <v>11071</v>
      </c>
      <c r="E2369" s="82">
        <v>6281246211381</v>
      </c>
      <c r="F2369" s="92">
        <v>45858</v>
      </c>
      <c r="G2369" s="87">
        <v>762</v>
      </c>
      <c r="H2369" s="88">
        <v>18483.333333333336</v>
      </c>
      <c r="I2369" s="89">
        <v>20</v>
      </c>
      <c r="J2369" s="90">
        <v>15526</v>
      </c>
      <c r="K2369" s="85">
        <v>5</v>
      </c>
      <c r="L2369" s="85">
        <v>13</v>
      </c>
      <c r="M2369" s="85">
        <v>0</v>
      </c>
      <c r="N2369" s="82" t="s">
        <v>11072</v>
      </c>
      <c r="O2369" s="93">
        <v>45859.630636574075</v>
      </c>
    </row>
    <row r="2370" spans="1:15" ht="22.5" customHeight="1">
      <c r="A2370" s="85">
        <v>759724529202804</v>
      </c>
      <c r="B2370" s="82" t="s">
        <v>10621</v>
      </c>
      <c r="C2370" s="82" t="s">
        <v>11016</v>
      </c>
      <c r="D2370" s="82" t="s">
        <v>1530</v>
      </c>
      <c r="E2370" s="82">
        <v>628111988553</v>
      </c>
      <c r="F2370" s="92">
        <v>45858</v>
      </c>
      <c r="G2370" s="87">
        <v>163</v>
      </c>
      <c r="H2370" s="88">
        <v>80513.812154696119</v>
      </c>
      <c r="I2370" s="89">
        <v>4</v>
      </c>
      <c r="J2370" s="90">
        <v>14573</v>
      </c>
      <c r="K2370" s="85">
        <v>1</v>
      </c>
      <c r="L2370" s="85">
        <v>57</v>
      </c>
      <c r="M2370" s="85">
        <v>0</v>
      </c>
      <c r="N2370" s="82" t="s">
        <v>11017</v>
      </c>
      <c r="O2370" s="93">
        <v>45859.630636574075</v>
      </c>
    </row>
    <row r="2371" spans="1:15" ht="22.5" customHeight="1">
      <c r="A2371" s="85">
        <v>759724529202804</v>
      </c>
      <c r="B2371" s="82" t="s">
        <v>10621</v>
      </c>
      <c r="C2371" s="82" t="s">
        <v>10925</v>
      </c>
      <c r="D2371" s="82" t="s">
        <v>10926</v>
      </c>
      <c r="E2371" s="82">
        <v>6281233038880</v>
      </c>
      <c r="F2371" s="92">
        <v>45858</v>
      </c>
      <c r="G2371" s="87">
        <v>344</v>
      </c>
      <c r="H2371" s="88">
        <v>39015.915119363395</v>
      </c>
      <c r="I2371" s="89">
        <v>11</v>
      </c>
      <c r="J2371" s="90">
        <v>14709</v>
      </c>
      <c r="K2371" s="85">
        <v>1</v>
      </c>
      <c r="L2371" s="85">
        <v>18</v>
      </c>
      <c r="M2371" s="85">
        <v>0</v>
      </c>
      <c r="N2371" s="82" t="s">
        <v>10927</v>
      </c>
      <c r="O2371" s="93">
        <v>45859.651747685188</v>
      </c>
    </row>
    <row r="2372" spans="1:15" ht="22.5" customHeight="1">
      <c r="A2372" s="85">
        <v>174904221976312</v>
      </c>
      <c r="B2372" s="82" t="s">
        <v>10651</v>
      </c>
      <c r="C2372" s="82" t="s">
        <v>11420</v>
      </c>
      <c r="D2372" s="82"/>
      <c r="E2372" s="82"/>
      <c r="F2372" s="92">
        <v>45858</v>
      </c>
      <c r="G2372" s="87">
        <v>1043</v>
      </c>
      <c r="H2372" s="88">
        <v>74447.111111111109</v>
      </c>
      <c r="I2372" s="89">
        <v>10</v>
      </c>
      <c r="J2372" s="90">
        <v>83753</v>
      </c>
      <c r="K2372" s="85">
        <v>0</v>
      </c>
      <c r="L2372" s="85">
        <v>0</v>
      </c>
      <c r="M2372" s="85">
        <v>0</v>
      </c>
      <c r="N2372" s="82" t="s">
        <v>11421</v>
      </c>
      <c r="O2372" s="93">
        <v>45859.40483796296</v>
      </c>
    </row>
    <row r="2373" spans="1:15" ht="22.5" customHeight="1">
      <c r="A2373" s="85">
        <v>174904221976312</v>
      </c>
      <c r="B2373" s="82" t="s">
        <v>10651</v>
      </c>
      <c r="C2373" s="82" t="s">
        <v>11422</v>
      </c>
      <c r="D2373" s="82" t="s">
        <v>11145</v>
      </c>
      <c r="E2373" s="82">
        <v>6282128714101</v>
      </c>
      <c r="F2373" s="92">
        <v>45858</v>
      </c>
      <c r="G2373" s="87">
        <v>145</v>
      </c>
      <c r="H2373" s="88">
        <v>45210.526315789473</v>
      </c>
      <c r="I2373" s="89">
        <v>6</v>
      </c>
      <c r="J2373" s="90">
        <v>6872</v>
      </c>
      <c r="K2373" s="85">
        <v>1</v>
      </c>
      <c r="L2373" s="85">
        <v>20</v>
      </c>
      <c r="M2373" s="85">
        <v>0</v>
      </c>
      <c r="N2373" s="82" t="s">
        <v>11423</v>
      </c>
      <c r="O2373" s="93">
        <v>45859.693379629629</v>
      </c>
    </row>
    <row r="2374" spans="1:15" ht="22.5" customHeight="1">
      <c r="A2374" s="85">
        <v>174904221976312</v>
      </c>
      <c r="B2374" s="82" t="s">
        <v>10651</v>
      </c>
      <c r="C2374" s="82" t="s">
        <v>11424</v>
      </c>
      <c r="D2374" s="82" t="s">
        <v>11425</v>
      </c>
      <c r="E2374" s="82">
        <v>6283891332074</v>
      </c>
      <c r="F2374" s="92">
        <v>45858</v>
      </c>
      <c r="G2374" s="87">
        <v>441</v>
      </c>
      <c r="H2374" s="88">
        <v>25049.079754601225</v>
      </c>
      <c r="I2374" s="89">
        <v>4</v>
      </c>
      <c r="J2374" s="90">
        <v>12249</v>
      </c>
      <c r="K2374" s="85">
        <v>1</v>
      </c>
      <c r="L2374" s="85">
        <v>97</v>
      </c>
      <c r="M2374" s="85">
        <v>0</v>
      </c>
      <c r="N2374" s="82" t="s">
        <v>11426</v>
      </c>
      <c r="O2374" s="93">
        <v>45859.588969907411</v>
      </c>
    </row>
    <row r="2375" spans="1:15" ht="22.5" customHeight="1">
      <c r="A2375" s="85">
        <v>174904221976312</v>
      </c>
      <c r="B2375" s="82" t="s">
        <v>10651</v>
      </c>
      <c r="C2375" s="82" t="s">
        <v>11427</v>
      </c>
      <c r="D2375" s="82" t="s">
        <v>11428</v>
      </c>
      <c r="E2375" s="82">
        <v>6285268101557</v>
      </c>
      <c r="F2375" s="92">
        <v>45858</v>
      </c>
      <c r="G2375" s="87">
        <v>1076</v>
      </c>
      <c r="H2375" s="88">
        <v>10226.044226044227</v>
      </c>
      <c r="I2375" s="89">
        <v>19</v>
      </c>
      <c r="J2375" s="90">
        <v>12486</v>
      </c>
      <c r="K2375" s="85">
        <v>2</v>
      </c>
      <c r="L2375" s="85">
        <v>453</v>
      </c>
      <c r="M2375" s="85">
        <v>0</v>
      </c>
      <c r="N2375" s="82" t="s">
        <v>11429</v>
      </c>
      <c r="O2375" s="93">
        <v>45859.65115740741</v>
      </c>
    </row>
    <row r="2376" spans="1:15" ht="22.5" customHeight="1">
      <c r="A2376" s="85">
        <v>174904221976312</v>
      </c>
      <c r="B2376" s="82" t="s">
        <v>10651</v>
      </c>
      <c r="C2376" s="82" t="s">
        <v>11430</v>
      </c>
      <c r="D2376" s="82" t="s">
        <v>11431</v>
      </c>
      <c r="E2376" s="82">
        <v>6281252595912</v>
      </c>
      <c r="F2376" s="92">
        <v>45858</v>
      </c>
      <c r="G2376" s="87">
        <v>1372</v>
      </c>
      <c r="H2376" s="88">
        <v>7644.486692015209</v>
      </c>
      <c r="I2376" s="89">
        <v>30</v>
      </c>
      <c r="J2376" s="90">
        <v>12063</v>
      </c>
      <c r="K2376" s="85">
        <v>5</v>
      </c>
      <c r="L2376" s="85">
        <v>67</v>
      </c>
      <c r="M2376" s="85">
        <v>1</v>
      </c>
      <c r="N2376" s="82" t="s">
        <v>11432</v>
      </c>
      <c r="O2376" s="93">
        <v>45859.631249999999</v>
      </c>
    </row>
    <row r="2377" spans="1:15" ht="22.5" customHeight="1">
      <c r="A2377" s="85">
        <v>174904221976312</v>
      </c>
      <c r="B2377" s="82" t="s">
        <v>10651</v>
      </c>
      <c r="C2377" s="82" t="s">
        <v>11396</v>
      </c>
      <c r="D2377" s="82" t="s">
        <v>11397</v>
      </c>
      <c r="E2377" s="82">
        <v>6285789446955</v>
      </c>
      <c r="F2377" s="92">
        <v>45858</v>
      </c>
      <c r="G2377" s="87">
        <v>1008</v>
      </c>
      <c r="H2377" s="88">
        <v>10085.356303837118</v>
      </c>
      <c r="I2377" s="89">
        <v>11</v>
      </c>
      <c r="J2377" s="90">
        <v>12879</v>
      </c>
      <c r="K2377" s="85">
        <v>1</v>
      </c>
      <c r="L2377" s="85">
        <v>217</v>
      </c>
      <c r="M2377" s="85">
        <v>0</v>
      </c>
      <c r="N2377" s="82" t="s">
        <v>11398</v>
      </c>
      <c r="O2377" s="93">
        <v>45859.568379629629</v>
      </c>
    </row>
    <row r="2378" spans="1:15" ht="22.5" customHeight="1">
      <c r="A2378" s="85">
        <v>174904221976312</v>
      </c>
      <c r="B2378" s="82" t="s">
        <v>10651</v>
      </c>
      <c r="C2378" s="82" t="s">
        <v>11399</v>
      </c>
      <c r="D2378" s="82" t="s">
        <v>11400</v>
      </c>
      <c r="E2378" s="82">
        <v>6281933176790</v>
      </c>
      <c r="F2378" s="92">
        <v>45858</v>
      </c>
      <c r="G2378" s="87">
        <v>425</v>
      </c>
      <c r="H2378" s="88">
        <v>21829.545454545452</v>
      </c>
      <c r="I2378" s="89">
        <v>7</v>
      </c>
      <c r="J2378" s="90">
        <v>9605</v>
      </c>
      <c r="K2378" s="85">
        <v>1</v>
      </c>
      <c r="L2378" s="85">
        <v>112</v>
      </c>
      <c r="M2378" s="85">
        <v>1</v>
      </c>
      <c r="N2378" s="82" t="s">
        <v>11401</v>
      </c>
      <c r="O2378" s="93">
        <v>45859.609791666669</v>
      </c>
    </row>
    <row r="2379" spans="1:15" ht="22.5" customHeight="1">
      <c r="A2379" s="85">
        <v>174904221976312</v>
      </c>
      <c r="B2379" s="82" t="s">
        <v>10651</v>
      </c>
      <c r="C2379" s="82" t="s">
        <v>11402</v>
      </c>
      <c r="D2379" s="82" t="s">
        <v>11403</v>
      </c>
      <c r="E2379" s="82">
        <v>6283870060603</v>
      </c>
      <c r="F2379" s="92">
        <v>45858</v>
      </c>
      <c r="G2379" s="87">
        <v>7429</v>
      </c>
      <c r="H2379" s="88">
        <v>1352.2651343044233</v>
      </c>
      <c r="I2379" s="89">
        <v>67</v>
      </c>
      <c r="J2379" s="90">
        <v>10119</v>
      </c>
      <c r="K2379" s="85">
        <v>0</v>
      </c>
      <c r="L2379" s="85">
        <v>141</v>
      </c>
      <c r="M2379" s="85">
        <v>0</v>
      </c>
      <c r="N2379" s="82" t="s">
        <v>11404</v>
      </c>
      <c r="O2379" s="93">
        <v>45859.735208333332</v>
      </c>
    </row>
    <row r="2380" spans="1:15" ht="22.5" customHeight="1">
      <c r="A2380" s="85">
        <v>174904221976312</v>
      </c>
      <c r="B2380" s="82" t="s">
        <v>10651</v>
      </c>
      <c r="C2380" s="82" t="s">
        <v>11405</v>
      </c>
      <c r="D2380" s="82" t="s">
        <v>11406</v>
      </c>
      <c r="E2380" s="82">
        <v>6282307376695</v>
      </c>
      <c r="F2380" s="92">
        <v>45858</v>
      </c>
      <c r="G2380" s="87">
        <v>921</v>
      </c>
      <c r="H2380" s="88">
        <v>10798.866855524078</v>
      </c>
      <c r="I2380" s="89">
        <v>15</v>
      </c>
      <c r="J2380" s="90">
        <v>11436</v>
      </c>
      <c r="K2380" s="85">
        <v>0</v>
      </c>
      <c r="L2380" s="85">
        <v>182</v>
      </c>
      <c r="M2380" s="85">
        <v>0</v>
      </c>
      <c r="N2380" s="82" t="s">
        <v>11407</v>
      </c>
      <c r="O2380" s="93">
        <v>45859.65115740741</v>
      </c>
    </row>
    <row r="2381" spans="1:15" ht="22.5" customHeight="1">
      <c r="A2381" s="85">
        <v>174904221976312</v>
      </c>
      <c r="B2381" s="82" t="s">
        <v>10651</v>
      </c>
      <c r="C2381" s="82" t="s">
        <v>11408</v>
      </c>
      <c r="D2381" s="82" t="s">
        <v>2463</v>
      </c>
      <c r="E2381" s="82">
        <v>628563562851</v>
      </c>
      <c r="F2381" s="92">
        <v>45858</v>
      </c>
      <c r="G2381" s="87">
        <v>483</v>
      </c>
      <c r="H2381" s="88">
        <v>22867.307692307691</v>
      </c>
      <c r="I2381" s="89">
        <v>10</v>
      </c>
      <c r="J2381" s="90">
        <v>11891</v>
      </c>
      <c r="K2381" s="85">
        <v>5</v>
      </c>
      <c r="L2381" s="85">
        <v>113</v>
      </c>
      <c r="M2381" s="85">
        <v>0</v>
      </c>
      <c r="N2381" s="82" t="s">
        <v>11409</v>
      </c>
      <c r="O2381" s="93">
        <v>45859.526550925926</v>
      </c>
    </row>
    <row r="2382" spans="1:15" ht="22.5" customHeight="1">
      <c r="A2382" s="85">
        <v>174904221976312</v>
      </c>
      <c r="B2382" s="82" t="s">
        <v>10651</v>
      </c>
      <c r="C2382" s="82" t="s">
        <v>11367</v>
      </c>
      <c r="D2382" s="82" t="s">
        <v>2449</v>
      </c>
      <c r="E2382" s="82">
        <v>6281223055720</v>
      </c>
      <c r="F2382" s="92">
        <v>45858</v>
      </c>
      <c r="G2382" s="87">
        <v>2363</v>
      </c>
      <c r="H2382" s="88">
        <v>3376.402321083172</v>
      </c>
      <c r="I2382" s="89">
        <v>26</v>
      </c>
      <c r="J2382" s="90">
        <v>8728</v>
      </c>
      <c r="K2382" s="85">
        <v>0</v>
      </c>
      <c r="L2382" s="85">
        <v>1183</v>
      </c>
      <c r="M2382" s="85">
        <v>0</v>
      </c>
      <c r="N2382" s="82" t="s">
        <v>11368</v>
      </c>
      <c r="O2382" s="93">
        <v>45859.547164351854</v>
      </c>
    </row>
    <row r="2383" spans="1:15" ht="22.5" customHeight="1">
      <c r="A2383" s="85">
        <v>174904221976312</v>
      </c>
      <c r="B2383" s="82" t="s">
        <v>10651</v>
      </c>
      <c r="C2383" s="82" t="s">
        <v>11369</v>
      </c>
      <c r="D2383" s="82" t="s">
        <v>11370</v>
      </c>
      <c r="E2383" s="82">
        <v>6285714141525</v>
      </c>
      <c r="F2383" s="92">
        <v>45858</v>
      </c>
      <c r="G2383" s="87">
        <v>242</v>
      </c>
      <c r="H2383" s="88">
        <v>44043.321299638992</v>
      </c>
      <c r="I2383" s="89">
        <v>14</v>
      </c>
      <c r="J2383" s="90">
        <v>12200</v>
      </c>
      <c r="K2383" s="85">
        <v>3</v>
      </c>
      <c r="L2383" s="85">
        <v>2</v>
      </c>
      <c r="M2383" s="85">
        <v>0</v>
      </c>
      <c r="N2383" s="82" t="s">
        <v>11371</v>
      </c>
      <c r="O2383" s="93">
        <v>45859.568379629629</v>
      </c>
    </row>
    <row r="2384" spans="1:15" ht="22.5" customHeight="1">
      <c r="A2384" s="85">
        <v>174904221976312</v>
      </c>
      <c r="B2384" s="82" t="s">
        <v>10651</v>
      </c>
      <c r="C2384" s="82" t="s">
        <v>11372</v>
      </c>
      <c r="D2384" s="82" t="s">
        <v>11373</v>
      </c>
      <c r="E2384" s="82">
        <v>6283147736523</v>
      </c>
      <c r="F2384" s="92">
        <v>45858</v>
      </c>
      <c r="G2384" s="87">
        <v>810</v>
      </c>
      <c r="H2384" s="88">
        <v>8290.0919305413681</v>
      </c>
      <c r="I2384" s="89">
        <v>27</v>
      </c>
      <c r="J2384" s="90">
        <v>8116</v>
      </c>
      <c r="K2384" s="85">
        <v>3</v>
      </c>
      <c r="L2384" s="85">
        <v>140</v>
      </c>
      <c r="M2384" s="85">
        <v>0</v>
      </c>
      <c r="N2384" s="82" t="s">
        <v>11374</v>
      </c>
      <c r="O2384" s="93">
        <v>45859.672685185185</v>
      </c>
    </row>
    <row r="2385" spans="1:15" ht="22.5" customHeight="1">
      <c r="A2385" s="85">
        <v>174904221976312</v>
      </c>
      <c r="B2385" s="82" t="s">
        <v>10651</v>
      </c>
      <c r="C2385" s="82" t="s">
        <v>11375</v>
      </c>
      <c r="D2385" s="82" t="s">
        <v>7857</v>
      </c>
      <c r="E2385" s="82">
        <v>6283865096870</v>
      </c>
      <c r="F2385" s="92">
        <v>45858</v>
      </c>
      <c r="G2385" s="87">
        <v>713</v>
      </c>
      <c r="H2385" s="88">
        <v>10890.083632019117</v>
      </c>
      <c r="I2385" s="89">
        <v>17</v>
      </c>
      <c r="J2385" s="90">
        <v>9115</v>
      </c>
      <c r="K2385" s="85">
        <v>2</v>
      </c>
      <c r="L2385" s="85">
        <v>107</v>
      </c>
      <c r="M2385" s="85">
        <v>0</v>
      </c>
      <c r="N2385" s="82" t="s">
        <v>11376</v>
      </c>
      <c r="O2385" s="93">
        <v>45859.631238425929</v>
      </c>
    </row>
    <row r="2386" spans="1:15" ht="22.5" customHeight="1">
      <c r="A2386" s="85">
        <v>174904221976312</v>
      </c>
      <c r="B2386" s="82" t="s">
        <v>10651</v>
      </c>
      <c r="C2386" s="82" t="s">
        <v>11377</v>
      </c>
      <c r="D2386" s="82" t="s">
        <v>2708</v>
      </c>
      <c r="E2386" s="82">
        <v>6281217985917</v>
      </c>
      <c r="F2386" s="92">
        <v>45858</v>
      </c>
      <c r="G2386" s="87">
        <v>963</v>
      </c>
      <c r="H2386" s="88">
        <v>13816.059757236228</v>
      </c>
      <c r="I2386" s="89">
        <v>45</v>
      </c>
      <c r="J2386" s="90">
        <v>14797</v>
      </c>
      <c r="K2386" s="85">
        <v>3</v>
      </c>
      <c r="L2386" s="85">
        <v>225</v>
      </c>
      <c r="M2386" s="85">
        <v>1</v>
      </c>
      <c r="N2386" s="82" t="s">
        <v>11378</v>
      </c>
      <c r="O2386" s="93">
        <v>45859.65116898148</v>
      </c>
    </row>
    <row r="2387" spans="1:15" ht="22.5" customHeight="1">
      <c r="A2387" s="85">
        <v>174904221976312</v>
      </c>
      <c r="B2387" s="82" t="s">
        <v>10651</v>
      </c>
      <c r="C2387" s="82" t="s">
        <v>11342</v>
      </c>
      <c r="D2387" s="82" t="s">
        <v>2266</v>
      </c>
      <c r="E2387" s="82">
        <v>6282277773540</v>
      </c>
      <c r="F2387" s="92">
        <v>45858</v>
      </c>
      <c r="G2387" s="87">
        <v>792</v>
      </c>
      <c r="H2387" s="88">
        <v>12085.201793721973</v>
      </c>
      <c r="I2387" s="89">
        <v>15</v>
      </c>
      <c r="J2387" s="90">
        <v>10780</v>
      </c>
      <c r="K2387" s="85">
        <v>1</v>
      </c>
      <c r="L2387" s="85">
        <v>176</v>
      </c>
      <c r="M2387" s="85">
        <v>0</v>
      </c>
      <c r="N2387" s="82" t="s">
        <v>11343</v>
      </c>
      <c r="O2387" s="93">
        <v>45859.588946759257</v>
      </c>
    </row>
    <row r="2388" spans="1:15" ht="22.5" customHeight="1">
      <c r="A2388" s="85">
        <v>174904221976312</v>
      </c>
      <c r="B2388" s="82" t="s">
        <v>10651</v>
      </c>
      <c r="C2388" s="82" t="s">
        <v>11325</v>
      </c>
      <c r="D2388" s="82" t="s">
        <v>2274</v>
      </c>
      <c r="E2388" s="82">
        <v>6281316839343</v>
      </c>
      <c r="F2388" s="92">
        <v>45858</v>
      </c>
      <c r="G2388" s="87">
        <v>1307</v>
      </c>
      <c r="H2388" s="88">
        <v>9008.9903181189493</v>
      </c>
      <c r="I2388" s="89">
        <v>62</v>
      </c>
      <c r="J2388" s="90">
        <v>13027</v>
      </c>
      <c r="K2388" s="85">
        <v>13</v>
      </c>
      <c r="L2388" s="85">
        <v>621</v>
      </c>
      <c r="M2388" s="85">
        <v>0</v>
      </c>
      <c r="N2388" s="82" t="s">
        <v>11344</v>
      </c>
      <c r="O2388" s="93">
        <v>45859.505891203706</v>
      </c>
    </row>
    <row r="2389" spans="1:15" ht="22.5" customHeight="1">
      <c r="A2389" s="85">
        <v>174904221976312</v>
      </c>
      <c r="B2389" s="82" t="s">
        <v>10651</v>
      </c>
      <c r="C2389" s="82" t="s">
        <v>11327</v>
      </c>
      <c r="D2389" s="82" t="s">
        <v>11345</v>
      </c>
      <c r="E2389" s="82">
        <v>6282339444339</v>
      </c>
      <c r="F2389" s="92">
        <v>45858</v>
      </c>
      <c r="G2389" s="87">
        <v>363</v>
      </c>
      <c r="H2389" s="88">
        <v>32020.725388601037</v>
      </c>
      <c r="I2389" s="89">
        <v>8</v>
      </c>
      <c r="J2389" s="90">
        <v>12360</v>
      </c>
      <c r="K2389" s="85">
        <v>1</v>
      </c>
      <c r="L2389" s="85">
        <v>190</v>
      </c>
      <c r="M2389" s="85">
        <v>0</v>
      </c>
      <c r="N2389" s="82" t="s">
        <v>11346</v>
      </c>
      <c r="O2389" s="93">
        <v>45859.463946759257</v>
      </c>
    </row>
    <row r="2390" spans="1:15" ht="22.5" customHeight="1">
      <c r="A2390" s="85">
        <v>174904221976312</v>
      </c>
      <c r="B2390" s="82" t="s">
        <v>10651</v>
      </c>
      <c r="C2390" s="82" t="s">
        <v>11329</v>
      </c>
      <c r="D2390" s="82" t="s">
        <v>11347</v>
      </c>
      <c r="E2390" s="82">
        <v>6287757150828</v>
      </c>
      <c r="F2390" s="92">
        <v>45858</v>
      </c>
      <c r="G2390" s="87">
        <v>419</v>
      </c>
      <c r="H2390" s="88">
        <v>28664.516129032258</v>
      </c>
      <c r="I2390" s="89">
        <v>14</v>
      </c>
      <c r="J2390" s="90">
        <v>13329</v>
      </c>
      <c r="K2390" s="85">
        <v>0</v>
      </c>
      <c r="L2390" s="85">
        <v>30</v>
      </c>
      <c r="M2390" s="85">
        <v>0</v>
      </c>
      <c r="N2390" s="82" t="s">
        <v>11348</v>
      </c>
      <c r="O2390" s="93">
        <v>45859.526412037034</v>
      </c>
    </row>
    <row r="2391" spans="1:15" ht="22.5" customHeight="1">
      <c r="A2391" s="85">
        <v>174904221976312</v>
      </c>
      <c r="B2391" s="82" t="s">
        <v>10651</v>
      </c>
      <c r="C2391" s="82" t="s">
        <v>11331</v>
      </c>
      <c r="D2391" s="82" t="s">
        <v>2280</v>
      </c>
      <c r="E2391" s="82">
        <v>6285384321677</v>
      </c>
      <c r="F2391" s="92">
        <v>45858</v>
      </c>
      <c r="G2391" s="87">
        <v>803</v>
      </c>
      <c r="H2391" s="88">
        <v>11739.514348785871</v>
      </c>
      <c r="I2391" s="89">
        <v>13</v>
      </c>
      <c r="J2391" s="90">
        <v>10636</v>
      </c>
      <c r="K2391" s="85">
        <v>2</v>
      </c>
      <c r="L2391" s="85">
        <v>151</v>
      </c>
      <c r="M2391" s="85">
        <v>0</v>
      </c>
      <c r="N2391" s="82" t="s">
        <v>11349</v>
      </c>
      <c r="O2391" s="93">
        <v>45859.484803240739</v>
      </c>
    </row>
    <row r="2392" spans="1:15" ht="22.5" customHeight="1">
      <c r="A2392" s="85">
        <v>174904221976312</v>
      </c>
      <c r="B2392" s="82" t="s">
        <v>10651</v>
      </c>
      <c r="C2392" s="82" t="s">
        <v>11333</v>
      </c>
      <c r="D2392" s="82" t="s">
        <v>1793</v>
      </c>
      <c r="E2392" s="82">
        <v>6283845117965</v>
      </c>
      <c r="F2392" s="92">
        <v>45858</v>
      </c>
      <c r="G2392" s="87">
        <v>953</v>
      </c>
      <c r="H2392" s="88">
        <v>13292.479108635098</v>
      </c>
      <c r="I2392" s="89">
        <v>27</v>
      </c>
      <c r="J2392" s="90">
        <v>14316</v>
      </c>
      <c r="K2392" s="85">
        <v>2</v>
      </c>
      <c r="L2392" s="85">
        <v>8</v>
      </c>
      <c r="M2392" s="85">
        <v>0</v>
      </c>
      <c r="N2392" s="82" t="s">
        <v>11334</v>
      </c>
      <c r="O2392" s="93">
        <v>45859.215462962966</v>
      </c>
    </row>
    <row r="2393" spans="1:15" ht="22.5" customHeight="1">
      <c r="A2393" s="85">
        <v>174904221976312</v>
      </c>
      <c r="B2393" s="82" t="s">
        <v>10651</v>
      </c>
      <c r="C2393" s="82" t="s">
        <v>11309</v>
      </c>
      <c r="D2393" s="82" t="s">
        <v>11350</v>
      </c>
      <c r="E2393" s="82">
        <v>6281229745253</v>
      </c>
      <c r="F2393" s="92">
        <v>45858</v>
      </c>
      <c r="G2393" s="87">
        <v>206</v>
      </c>
      <c r="H2393" s="88">
        <v>57895.196506550223</v>
      </c>
      <c r="I2393" s="89">
        <v>12</v>
      </c>
      <c r="J2393" s="90">
        <v>13258</v>
      </c>
      <c r="K2393" s="85">
        <v>3</v>
      </c>
      <c r="L2393" s="85">
        <v>43</v>
      </c>
      <c r="M2393" s="85">
        <v>0</v>
      </c>
      <c r="N2393" s="82" t="s">
        <v>11351</v>
      </c>
      <c r="O2393" s="93">
        <v>45859.547430555554</v>
      </c>
    </row>
    <row r="2394" spans="1:15" ht="22.5" customHeight="1">
      <c r="A2394" s="85">
        <v>174904221976312</v>
      </c>
      <c r="B2394" s="82" t="s">
        <v>10651</v>
      </c>
      <c r="C2394" s="82" t="s">
        <v>11272</v>
      </c>
      <c r="D2394" s="82" t="s">
        <v>11273</v>
      </c>
      <c r="E2394" s="82">
        <v>6281253629810</v>
      </c>
      <c r="F2394" s="92">
        <v>45858</v>
      </c>
      <c r="G2394" s="87">
        <v>988</v>
      </c>
      <c r="H2394" s="88">
        <v>8748.1481481481478</v>
      </c>
      <c r="I2394" s="89">
        <v>22</v>
      </c>
      <c r="J2394" s="90">
        <v>10629</v>
      </c>
      <c r="K2394" s="85">
        <v>2</v>
      </c>
      <c r="L2394" s="85">
        <v>58</v>
      </c>
      <c r="M2394" s="85">
        <v>0</v>
      </c>
      <c r="N2394" s="82" t="s">
        <v>11274</v>
      </c>
      <c r="O2394" s="93">
        <v>45859.631365740737</v>
      </c>
    </row>
    <row r="2395" spans="1:15" ht="22.5" customHeight="1">
      <c r="A2395" s="85">
        <v>174904221976312</v>
      </c>
      <c r="B2395" s="82" t="s">
        <v>10651</v>
      </c>
      <c r="C2395" s="82" t="s">
        <v>11282</v>
      </c>
      <c r="D2395" s="82" t="s">
        <v>1044</v>
      </c>
      <c r="E2395" s="82">
        <v>6281263113266</v>
      </c>
      <c r="F2395" s="92">
        <v>45858</v>
      </c>
      <c r="G2395" s="87">
        <v>1746</v>
      </c>
      <c r="H2395" s="88">
        <v>7318.5419968304277</v>
      </c>
      <c r="I2395" s="89">
        <v>73</v>
      </c>
      <c r="J2395" s="90">
        <v>13854</v>
      </c>
      <c r="K2395" s="85">
        <v>3</v>
      </c>
      <c r="L2395" s="85">
        <v>794</v>
      </c>
      <c r="M2395" s="85">
        <v>0</v>
      </c>
      <c r="N2395" s="82" t="s">
        <v>10728</v>
      </c>
      <c r="O2395" s="93">
        <v>45859.547442129631</v>
      </c>
    </row>
    <row r="2396" spans="1:15" ht="22.5" customHeight="1">
      <c r="A2396" s="85">
        <v>174904221976312</v>
      </c>
      <c r="B2396" s="82" t="s">
        <v>10651</v>
      </c>
      <c r="C2396" s="82" t="s">
        <v>11291</v>
      </c>
      <c r="D2396" s="82" t="s">
        <v>11292</v>
      </c>
      <c r="E2396" s="82">
        <v>6283183643221</v>
      </c>
      <c r="F2396" s="92">
        <v>45858</v>
      </c>
      <c r="G2396" s="87">
        <v>250</v>
      </c>
      <c r="H2396" s="88">
        <v>46978.102189781021</v>
      </c>
      <c r="I2396" s="89">
        <v>8</v>
      </c>
      <c r="J2396" s="90">
        <v>12872</v>
      </c>
      <c r="K2396" s="85">
        <v>1</v>
      </c>
      <c r="L2396" s="85">
        <v>109</v>
      </c>
      <c r="M2396" s="85">
        <v>0</v>
      </c>
      <c r="N2396" s="82" t="s">
        <v>11293</v>
      </c>
      <c r="O2396" s="93">
        <v>45859.526423611111</v>
      </c>
    </row>
    <row r="2397" spans="1:15" ht="22.5" customHeight="1">
      <c r="A2397" s="85">
        <v>174904221976312</v>
      </c>
      <c r="B2397" s="82" t="s">
        <v>10651</v>
      </c>
      <c r="C2397" s="82" t="s">
        <v>11225</v>
      </c>
      <c r="D2397" s="82" t="s">
        <v>11226</v>
      </c>
      <c r="E2397" s="82">
        <v>6281240144744</v>
      </c>
      <c r="F2397" s="92">
        <v>45858</v>
      </c>
      <c r="G2397" s="87">
        <v>2538</v>
      </c>
      <c r="H2397" s="88">
        <v>5081.0540360240157</v>
      </c>
      <c r="I2397" s="89">
        <v>44</v>
      </c>
      <c r="J2397" s="90">
        <v>15233</v>
      </c>
      <c r="K2397" s="85">
        <v>5</v>
      </c>
      <c r="L2397" s="85">
        <v>428</v>
      </c>
      <c r="M2397" s="85">
        <v>0</v>
      </c>
      <c r="N2397" s="82" t="s">
        <v>11227</v>
      </c>
      <c r="O2397" s="93">
        <v>45859.588946759257</v>
      </c>
    </row>
    <row r="2398" spans="1:15" ht="22.5" customHeight="1">
      <c r="A2398" s="85">
        <v>174904221976312</v>
      </c>
      <c r="B2398" s="82" t="s">
        <v>10651</v>
      </c>
      <c r="C2398" s="82" t="s">
        <v>11193</v>
      </c>
      <c r="D2398" s="82" t="s">
        <v>11194</v>
      </c>
      <c r="E2398" s="82">
        <v>6281779578317</v>
      </c>
      <c r="F2398" s="92">
        <v>45858</v>
      </c>
      <c r="G2398" s="87">
        <v>625</v>
      </c>
      <c r="H2398" s="88">
        <v>8357.9881656804719</v>
      </c>
      <c r="I2398" s="89">
        <v>26</v>
      </c>
      <c r="J2398" s="90">
        <v>5650</v>
      </c>
      <c r="K2398" s="85">
        <v>3</v>
      </c>
      <c r="L2398" s="85">
        <v>198</v>
      </c>
      <c r="M2398" s="85">
        <v>2</v>
      </c>
      <c r="N2398" s="82" t="s">
        <v>11195</v>
      </c>
      <c r="O2398" s="93">
        <v>45859.215462962966</v>
      </c>
    </row>
    <row r="2399" spans="1:15" ht="22.5" customHeight="1">
      <c r="A2399" s="85">
        <v>174904221976312</v>
      </c>
      <c r="B2399" s="82" t="s">
        <v>10651</v>
      </c>
      <c r="C2399" s="82" t="s">
        <v>11144</v>
      </c>
      <c r="D2399" s="82" t="s">
        <v>11145</v>
      </c>
      <c r="E2399" s="82">
        <v>6282128714101</v>
      </c>
      <c r="F2399" s="92">
        <v>45858</v>
      </c>
      <c r="G2399" s="87">
        <v>636</v>
      </c>
      <c r="H2399" s="88">
        <v>6868.0659670164914</v>
      </c>
      <c r="I2399" s="89">
        <v>9</v>
      </c>
      <c r="J2399" s="90">
        <v>4581</v>
      </c>
      <c r="K2399" s="85">
        <v>1</v>
      </c>
      <c r="L2399" s="85">
        <v>0</v>
      </c>
      <c r="M2399" s="85">
        <v>0</v>
      </c>
      <c r="N2399" s="82" t="s">
        <v>11146</v>
      </c>
      <c r="O2399" s="93">
        <v>45859.547430555554</v>
      </c>
    </row>
    <row r="2400" spans="1:15" ht="22.5" customHeight="1">
      <c r="A2400" s="85">
        <v>174904221976312</v>
      </c>
      <c r="B2400" s="82" t="s">
        <v>10651</v>
      </c>
      <c r="C2400" s="82" t="s">
        <v>11153</v>
      </c>
      <c r="D2400" s="82" t="s">
        <v>11154</v>
      </c>
      <c r="E2400" s="82">
        <v>6285338137835</v>
      </c>
      <c r="F2400" s="92">
        <v>45858</v>
      </c>
      <c r="G2400" s="87">
        <v>468</v>
      </c>
      <c r="H2400" s="88">
        <v>36345.30938123753</v>
      </c>
      <c r="I2400" s="89">
        <v>10</v>
      </c>
      <c r="J2400" s="90">
        <v>18209</v>
      </c>
      <c r="K2400" s="85">
        <v>3</v>
      </c>
      <c r="L2400" s="85">
        <v>0</v>
      </c>
      <c r="M2400" s="85">
        <v>0</v>
      </c>
      <c r="N2400" s="82" t="s">
        <v>11155</v>
      </c>
      <c r="O2400" s="93">
        <v>45859.735208333332</v>
      </c>
    </row>
    <row r="2401" spans="1:15" ht="22.5" customHeight="1">
      <c r="A2401" s="85">
        <v>174904221976312</v>
      </c>
      <c r="B2401" s="82" t="s">
        <v>10651</v>
      </c>
      <c r="C2401" s="82" t="s">
        <v>1844</v>
      </c>
      <c r="D2401" s="82" t="s">
        <v>11379</v>
      </c>
      <c r="E2401" s="82">
        <v>6281287982295</v>
      </c>
      <c r="F2401" s="92">
        <v>45858</v>
      </c>
      <c r="G2401" s="87">
        <v>319</v>
      </c>
      <c r="H2401" s="88">
        <v>41661.721068249259</v>
      </c>
      <c r="I2401" s="89">
        <v>10</v>
      </c>
      <c r="J2401" s="90">
        <v>14040</v>
      </c>
      <c r="K2401" s="85">
        <v>1</v>
      </c>
      <c r="L2401" s="85">
        <v>112</v>
      </c>
      <c r="M2401" s="85">
        <v>0</v>
      </c>
      <c r="N2401" s="82" t="s">
        <v>11380</v>
      </c>
      <c r="O2401" s="93">
        <v>45859.631238425929</v>
      </c>
    </row>
    <row r="2402" spans="1:15" ht="22.5" customHeight="1">
      <c r="A2402" s="85">
        <v>174904221976312</v>
      </c>
      <c r="B2402" s="82" t="s">
        <v>10651</v>
      </c>
      <c r="C2402" s="82" t="s">
        <v>11002</v>
      </c>
      <c r="D2402" s="82" t="s">
        <v>11003</v>
      </c>
      <c r="E2402" s="82">
        <v>6288228976100</v>
      </c>
      <c r="F2402" s="92">
        <v>45858</v>
      </c>
      <c r="G2402" s="87">
        <v>153</v>
      </c>
      <c r="H2402" s="88">
        <v>21476.470588235294</v>
      </c>
      <c r="I2402" s="89">
        <v>2</v>
      </c>
      <c r="J2402" s="90">
        <v>3651</v>
      </c>
      <c r="K2402" s="85">
        <v>1</v>
      </c>
      <c r="L2402" s="85">
        <v>45</v>
      </c>
      <c r="M2402" s="85">
        <v>0</v>
      </c>
      <c r="N2402" s="82" t="s">
        <v>11410</v>
      </c>
      <c r="O2402" s="93">
        <v>45858.289629629631</v>
      </c>
    </row>
    <row r="2403" spans="1:15" ht="22.5" customHeight="1">
      <c r="A2403" s="85">
        <v>174904221976312</v>
      </c>
      <c r="B2403" s="82" t="s">
        <v>10651</v>
      </c>
      <c r="C2403" s="82" t="s">
        <v>10853</v>
      </c>
      <c r="D2403" s="82" t="s">
        <v>10854</v>
      </c>
      <c r="E2403" s="82">
        <v>6281393958199</v>
      </c>
      <c r="F2403" s="92">
        <v>45858</v>
      </c>
      <c r="G2403" s="87">
        <v>599</v>
      </c>
      <c r="H2403" s="88">
        <v>15077.25947521866</v>
      </c>
      <c r="I2403" s="89">
        <v>15</v>
      </c>
      <c r="J2403" s="90">
        <v>10343</v>
      </c>
      <c r="K2403" s="85">
        <v>2</v>
      </c>
      <c r="L2403" s="85">
        <v>157</v>
      </c>
      <c r="M2403" s="85">
        <v>0</v>
      </c>
      <c r="N2403" s="82" t="s">
        <v>10855</v>
      </c>
      <c r="O2403" s="93">
        <v>45859.672685185185</v>
      </c>
    </row>
    <row r="2404" spans="1:15" ht="22.5" customHeight="1">
      <c r="A2404" s="85">
        <v>174904221976312</v>
      </c>
      <c r="B2404" s="82" t="s">
        <v>10651</v>
      </c>
      <c r="C2404" s="82" t="s">
        <v>818</v>
      </c>
      <c r="D2404" s="82" t="s">
        <v>812</v>
      </c>
      <c r="E2404" s="82">
        <v>6287858585808</v>
      </c>
      <c r="F2404" s="92">
        <v>45858</v>
      </c>
      <c r="G2404" s="87">
        <v>966</v>
      </c>
      <c r="H2404" s="88">
        <v>12934.320074005549</v>
      </c>
      <c r="I2404" s="89">
        <v>19</v>
      </c>
      <c r="J2404" s="90">
        <v>13982</v>
      </c>
      <c r="K2404" s="85">
        <v>0</v>
      </c>
      <c r="L2404" s="85">
        <v>263</v>
      </c>
      <c r="M2404" s="85">
        <v>0</v>
      </c>
      <c r="N2404" s="82" t="s">
        <v>10831</v>
      </c>
      <c r="O2404" s="93">
        <v>45859.506064814814</v>
      </c>
    </row>
    <row r="2405" spans="1:15" ht="22.5" customHeight="1">
      <c r="A2405" s="85">
        <v>174904221976312</v>
      </c>
      <c r="B2405" s="82" t="s">
        <v>10651</v>
      </c>
      <c r="C2405" s="82" t="s">
        <v>10655</v>
      </c>
      <c r="D2405" s="82" t="s">
        <v>3908</v>
      </c>
      <c r="E2405" s="82">
        <v>6285376667233</v>
      </c>
      <c r="F2405" s="92">
        <v>45858</v>
      </c>
      <c r="G2405" s="87">
        <v>1039</v>
      </c>
      <c r="H2405" s="88">
        <v>10443.345323741007</v>
      </c>
      <c r="I2405" s="89">
        <v>22</v>
      </c>
      <c r="J2405" s="90">
        <v>11613</v>
      </c>
      <c r="K2405" s="85">
        <v>1</v>
      </c>
      <c r="L2405" s="85">
        <v>386</v>
      </c>
      <c r="M2405" s="85">
        <v>0</v>
      </c>
      <c r="N2405" s="82" t="s">
        <v>10656</v>
      </c>
      <c r="O2405" s="93">
        <v>45859.609594907408</v>
      </c>
    </row>
    <row r="2406" spans="1:15" ht="22.5" customHeight="1">
      <c r="A2406" s="85">
        <v>174904221976312</v>
      </c>
      <c r="B2406" s="82" t="s">
        <v>10651</v>
      </c>
      <c r="C2406" s="82" t="s">
        <v>10657</v>
      </c>
      <c r="D2406" s="82" t="s">
        <v>1239</v>
      </c>
      <c r="E2406" s="82">
        <v>6282172291579</v>
      </c>
      <c r="F2406" s="92">
        <v>45858</v>
      </c>
      <c r="G2406" s="87">
        <v>676</v>
      </c>
      <c r="H2406" s="88">
        <v>15552.219321148827</v>
      </c>
      <c r="I2406" s="89">
        <v>35</v>
      </c>
      <c r="J2406" s="90">
        <v>11913</v>
      </c>
      <c r="K2406" s="85">
        <v>3</v>
      </c>
      <c r="L2406" s="85">
        <v>305</v>
      </c>
      <c r="M2406" s="85">
        <v>1</v>
      </c>
      <c r="N2406" s="82" t="s">
        <v>10658</v>
      </c>
      <c r="O2406" s="93">
        <v>45859.568391203706</v>
      </c>
    </row>
    <row r="2407" spans="1:15" ht="22.5" customHeight="1">
      <c r="A2407" s="85">
        <v>174904221976312</v>
      </c>
      <c r="B2407" s="82" t="s">
        <v>10651</v>
      </c>
      <c r="C2407" s="82" t="s">
        <v>63</v>
      </c>
      <c r="D2407" s="82" t="s">
        <v>55</v>
      </c>
      <c r="E2407" s="82">
        <v>6282226594414</v>
      </c>
      <c r="F2407" s="92">
        <v>45858</v>
      </c>
      <c r="G2407" s="87">
        <v>4764</v>
      </c>
      <c r="H2407" s="88">
        <v>2417.2843970348945</v>
      </c>
      <c r="I2407" s="89">
        <v>204</v>
      </c>
      <c r="J2407" s="90">
        <v>13370</v>
      </c>
      <c r="K2407" s="85">
        <v>14</v>
      </c>
      <c r="L2407" s="85">
        <v>1469</v>
      </c>
      <c r="M2407" s="85">
        <v>4</v>
      </c>
      <c r="N2407" s="82" t="s">
        <v>10661</v>
      </c>
      <c r="O2407" s="93">
        <v>45859.442870370367</v>
      </c>
    </row>
    <row r="2408" spans="1:15" ht="22.5" customHeight="1">
      <c r="A2408" s="85">
        <v>174904221976312</v>
      </c>
      <c r="B2408" s="82" t="s">
        <v>10651</v>
      </c>
      <c r="C2408" s="82" t="s">
        <v>10662</v>
      </c>
      <c r="D2408" s="82" t="s">
        <v>10663</v>
      </c>
      <c r="E2408" s="82">
        <v>62882001677470</v>
      </c>
      <c r="F2408" s="92">
        <v>45858</v>
      </c>
      <c r="G2408" s="87">
        <v>539</v>
      </c>
      <c r="H2408" s="88">
        <v>18254.668930390493</v>
      </c>
      <c r="I2408" s="89">
        <v>10</v>
      </c>
      <c r="J2408" s="90">
        <v>10752</v>
      </c>
      <c r="K2408" s="85">
        <v>1</v>
      </c>
      <c r="L2408" s="85">
        <v>259</v>
      </c>
      <c r="M2408" s="85">
        <v>0</v>
      </c>
      <c r="N2408" s="82" t="s">
        <v>10664</v>
      </c>
      <c r="O2408" s="93">
        <v>45859.609594907408</v>
      </c>
    </row>
    <row r="2409" spans="1:15" ht="22.5" customHeight="1">
      <c r="A2409" s="85">
        <v>174904221976312</v>
      </c>
      <c r="B2409" s="82" t="s">
        <v>10651</v>
      </c>
      <c r="C2409" s="82" t="s">
        <v>11078</v>
      </c>
      <c r="D2409" s="82" t="s">
        <v>3140</v>
      </c>
      <c r="E2409" s="82"/>
      <c r="F2409" s="92">
        <v>45858</v>
      </c>
      <c r="G2409" s="87">
        <v>6880</v>
      </c>
      <c r="H2409" s="88">
        <v>1667.2382118799756</v>
      </c>
      <c r="I2409" s="89">
        <v>100</v>
      </c>
      <c r="J2409" s="90">
        <v>13613</v>
      </c>
      <c r="K2409" s="85">
        <v>5</v>
      </c>
      <c r="L2409" s="85">
        <v>85</v>
      </c>
      <c r="M2409" s="85">
        <v>0</v>
      </c>
      <c r="N2409" s="82" t="s">
        <v>11079</v>
      </c>
      <c r="O2409" s="93">
        <v>45859.568379629629</v>
      </c>
    </row>
    <row r="2410" spans="1:15" ht="22.5" customHeight="1">
      <c r="A2410" s="85">
        <v>174904221976312</v>
      </c>
      <c r="B2410" s="82" t="s">
        <v>10651</v>
      </c>
      <c r="C2410" s="82" t="s">
        <v>10833</v>
      </c>
      <c r="D2410" s="82" t="s">
        <v>10834</v>
      </c>
      <c r="E2410" s="82">
        <v>6282242925264</v>
      </c>
      <c r="F2410" s="92">
        <v>45858</v>
      </c>
      <c r="G2410" s="87">
        <v>1990</v>
      </c>
      <c r="H2410" s="88">
        <v>4634.598012646793</v>
      </c>
      <c r="I2410" s="89">
        <v>78</v>
      </c>
      <c r="J2410" s="90">
        <v>10261</v>
      </c>
      <c r="K2410" s="85">
        <v>7</v>
      </c>
      <c r="L2410" s="85">
        <v>594</v>
      </c>
      <c r="M2410" s="85">
        <v>0</v>
      </c>
      <c r="N2410" s="82" t="s">
        <v>10835</v>
      </c>
      <c r="O2410" s="93">
        <v>45859.215474537035</v>
      </c>
    </row>
    <row r="2411" spans="1:15" ht="22.5" customHeight="1">
      <c r="A2411" s="85">
        <v>766589657993298</v>
      </c>
      <c r="B2411" s="82" t="s">
        <v>10688</v>
      </c>
      <c r="C2411" s="82" t="s">
        <v>11433</v>
      </c>
      <c r="D2411" s="82" t="s">
        <v>11434</v>
      </c>
      <c r="E2411" s="82">
        <v>6287878863000</v>
      </c>
      <c r="F2411" s="92">
        <v>45858</v>
      </c>
      <c r="G2411" s="87">
        <v>355</v>
      </c>
      <c r="H2411" s="88">
        <v>37964.376590330787</v>
      </c>
      <c r="I2411" s="89">
        <v>13</v>
      </c>
      <c r="J2411" s="90">
        <v>14920</v>
      </c>
      <c r="K2411" s="85">
        <v>4</v>
      </c>
      <c r="L2411" s="85">
        <v>99</v>
      </c>
      <c r="M2411" s="85">
        <v>0</v>
      </c>
      <c r="N2411" s="82" t="s">
        <v>11435</v>
      </c>
      <c r="O2411" s="93">
        <v>45859.217199074075</v>
      </c>
    </row>
    <row r="2412" spans="1:15" ht="22.5" customHeight="1">
      <c r="A2412" s="85">
        <v>766589657993298</v>
      </c>
      <c r="B2412" s="82" t="s">
        <v>10688</v>
      </c>
      <c r="C2412" s="82" t="s">
        <v>11436</v>
      </c>
      <c r="D2412" s="82" t="s">
        <v>5697</v>
      </c>
      <c r="E2412" s="82">
        <v>6281311129854</v>
      </c>
      <c r="F2412" s="92">
        <v>45858</v>
      </c>
      <c r="G2412" s="87">
        <v>440</v>
      </c>
      <c r="H2412" s="88">
        <v>28768.03118908382</v>
      </c>
      <c r="I2412" s="89">
        <v>9</v>
      </c>
      <c r="J2412" s="90">
        <v>14758</v>
      </c>
      <c r="K2412" s="85">
        <v>0</v>
      </c>
      <c r="L2412" s="85">
        <v>127</v>
      </c>
      <c r="M2412" s="85">
        <v>0</v>
      </c>
      <c r="N2412" s="82" t="s">
        <v>11437</v>
      </c>
      <c r="O2412" s="93">
        <v>45859.716689814813</v>
      </c>
    </row>
    <row r="2413" spans="1:15" ht="22.5" customHeight="1">
      <c r="A2413" s="85">
        <v>766589657993298</v>
      </c>
      <c r="B2413" s="82" t="s">
        <v>10688</v>
      </c>
      <c r="C2413" s="82" t="s">
        <v>11438</v>
      </c>
      <c r="D2413" s="82" t="s">
        <v>11439</v>
      </c>
      <c r="E2413" s="82">
        <v>628116655901</v>
      </c>
      <c r="F2413" s="92">
        <v>45858</v>
      </c>
      <c r="G2413" s="87">
        <v>649</v>
      </c>
      <c r="H2413" s="88">
        <v>18647.69975786925</v>
      </c>
      <c r="I2413" s="89">
        <v>25</v>
      </c>
      <c r="J2413" s="90">
        <v>15403</v>
      </c>
      <c r="K2413" s="85">
        <v>3</v>
      </c>
      <c r="L2413" s="85">
        <v>195</v>
      </c>
      <c r="M2413" s="85">
        <v>0</v>
      </c>
      <c r="N2413" s="82" t="s">
        <v>11440</v>
      </c>
      <c r="O2413" s="93">
        <v>45859.654386574075</v>
      </c>
    </row>
    <row r="2414" spans="1:15" ht="22.5" customHeight="1">
      <c r="A2414" s="85">
        <v>766589657993298</v>
      </c>
      <c r="B2414" s="82" t="s">
        <v>10688</v>
      </c>
      <c r="C2414" s="82" t="s">
        <v>11441</v>
      </c>
      <c r="D2414" s="82" t="s">
        <v>11442</v>
      </c>
      <c r="E2414" s="82">
        <v>6287734875393</v>
      </c>
      <c r="F2414" s="92">
        <v>45858</v>
      </c>
      <c r="G2414" s="87">
        <v>595</v>
      </c>
      <c r="H2414" s="88">
        <v>21560.117302052786</v>
      </c>
      <c r="I2414" s="89">
        <v>12</v>
      </c>
      <c r="J2414" s="90">
        <v>14704</v>
      </c>
      <c r="K2414" s="85">
        <v>1</v>
      </c>
      <c r="L2414" s="85">
        <v>132</v>
      </c>
      <c r="M2414" s="85">
        <v>0</v>
      </c>
      <c r="N2414" s="82" t="s">
        <v>11443</v>
      </c>
      <c r="O2414" s="93">
        <v>45859.821180555555</v>
      </c>
    </row>
    <row r="2415" spans="1:15" ht="22.5" customHeight="1">
      <c r="A2415" s="85">
        <v>766589657993298</v>
      </c>
      <c r="B2415" s="82" t="s">
        <v>10688</v>
      </c>
      <c r="C2415" s="82" t="s">
        <v>11411</v>
      </c>
      <c r="D2415" s="82" t="s">
        <v>2529</v>
      </c>
      <c r="E2415" s="82">
        <v>6287888068088</v>
      </c>
      <c r="F2415" s="92">
        <v>45858</v>
      </c>
      <c r="G2415" s="87">
        <v>243</v>
      </c>
      <c r="H2415" s="88">
        <v>54589.353612167302</v>
      </c>
      <c r="I2415" s="89">
        <v>8</v>
      </c>
      <c r="J2415" s="90">
        <v>14357</v>
      </c>
      <c r="K2415" s="85">
        <v>2</v>
      </c>
      <c r="L2415" s="85">
        <v>74</v>
      </c>
      <c r="M2415" s="85">
        <v>0</v>
      </c>
      <c r="N2415" s="82" t="s">
        <v>11412</v>
      </c>
      <c r="O2415" s="93">
        <v>45859.737708333334</v>
      </c>
    </row>
    <row r="2416" spans="1:15" ht="22.5" customHeight="1">
      <c r="A2416" s="85">
        <v>766589657993298</v>
      </c>
      <c r="B2416" s="82" t="s">
        <v>10688</v>
      </c>
      <c r="C2416" s="82" t="s">
        <v>11413</v>
      </c>
      <c r="D2416" s="82" t="s">
        <v>5697</v>
      </c>
      <c r="E2416" s="82">
        <v>6281385001244</v>
      </c>
      <c r="F2416" s="92">
        <v>45858</v>
      </c>
      <c r="G2416" s="87">
        <v>481</v>
      </c>
      <c r="H2416" s="88">
        <v>25894.265232974911</v>
      </c>
      <c r="I2416" s="89">
        <v>12</v>
      </c>
      <c r="J2416" s="90">
        <v>14449</v>
      </c>
      <c r="K2416" s="85">
        <v>2</v>
      </c>
      <c r="L2416" s="85">
        <v>145</v>
      </c>
      <c r="M2416" s="85">
        <v>0</v>
      </c>
      <c r="N2416" s="82" t="s">
        <v>11414</v>
      </c>
      <c r="O2416" s="93">
        <v>45859.716678240744</v>
      </c>
    </row>
    <row r="2417" spans="1:15" ht="22.5" customHeight="1">
      <c r="A2417" s="85">
        <v>766589657993298</v>
      </c>
      <c r="B2417" s="82" t="s">
        <v>10688</v>
      </c>
      <c r="C2417" s="82" t="s">
        <v>11415</v>
      </c>
      <c r="D2417" s="82" t="s">
        <v>11416</v>
      </c>
      <c r="E2417" s="82">
        <v>6281298551100</v>
      </c>
      <c r="F2417" s="92">
        <v>45858</v>
      </c>
      <c r="G2417" s="87">
        <v>292</v>
      </c>
      <c r="H2417" s="88">
        <v>48823.899371069179</v>
      </c>
      <c r="I2417" s="89">
        <v>10</v>
      </c>
      <c r="J2417" s="90">
        <v>15526</v>
      </c>
      <c r="K2417" s="85">
        <v>2</v>
      </c>
      <c r="L2417" s="85">
        <v>27</v>
      </c>
      <c r="M2417" s="85">
        <v>0</v>
      </c>
      <c r="N2417" s="82" t="s">
        <v>11417</v>
      </c>
      <c r="O2417" s="93">
        <v>45859.737719907411</v>
      </c>
    </row>
    <row r="2418" spans="1:15" ht="22.5" customHeight="1">
      <c r="A2418" s="85">
        <v>766589657993298</v>
      </c>
      <c r="B2418" s="82" t="s">
        <v>10688</v>
      </c>
      <c r="C2418" s="82" t="s">
        <v>11418</v>
      </c>
      <c r="D2418" s="82" t="s">
        <v>2480</v>
      </c>
      <c r="E2418" s="82">
        <v>6287856230745</v>
      </c>
      <c r="F2418" s="92">
        <v>45858</v>
      </c>
      <c r="G2418" s="87">
        <v>313</v>
      </c>
      <c r="H2418" s="88">
        <v>40205.804749340365</v>
      </c>
      <c r="I2418" s="89">
        <v>7</v>
      </c>
      <c r="J2418" s="90">
        <v>15238</v>
      </c>
      <c r="K2418" s="85">
        <v>2</v>
      </c>
      <c r="L2418" s="85">
        <v>95</v>
      </c>
      <c r="M2418" s="85">
        <v>0</v>
      </c>
      <c r="N2418" s="82" t="s">
        <v>11419</v>
      </c>
      <c r="O2418" s="93">
        <v>45859.696493055555</v>
      </c>
    </row>
    <row r="2419" spans="1:15" ht="22.5" customHeight="1">
      <c r="A2419" s="85">
        <v>766589657993298</v>
      </c>
      <c r="B2419" s="82" t="s">
        <v>10688</v>
      </c>
      <c r="C2419" s="82" t="s">
        <v>11381</v>
      </c>
      <c r="D2419" s="82" t="s">
        <v>2385</v>
      </c>
      <c r="E2419" s="82">
        <v>6281317170441</v>
      </c>
      <c r="F2419" s="92">
        <v>45858</v>
      </c>
      <c r="G2419" s="87">
        <v>599</v>
      </c>
      <c r="H2419" s="88">
        <v>22332.302936630604</v>
      </c>
      <c r="I2419" s="89">
        <v>17</v>
      </c>
      <c r="J2419" s="90">
        <v>14449</v>
      </c>
      <c r="K2419" s="85">
        <v>4</v>
      </c>
      <c r="L2419" s="85">
        <v>18</v>
      </c>
      <c r="M2419" s="85">
        <v>1</v>
      </c>
      <c r="N2419" s="82" t="s">
        <v>11382</v>
      </c>
      <c r="O2419" s="93">
        <v>45859.800682870373</v>
      </c>
    </row>
    <row r="2420" spans="1:15" ht="22.5" customHeight="1">
      <c r="A2420" s="85">
        <v>766589657993298</v>
      </c>
      <c r="B2420" s="82" t="s">
        <v>10688</v>
      </c>
      <c r="C2420" s="82" t="s">
        <v>11383</v>
      </c>
      <c r="D2420" s="82" t="s">
        <v>11384</v>
      </c>
      <c r="E2420" s="82">
        <v>62881038177010</v>
      </c>
      <c r="F2420" s="92">
        <v>45858</v>
      </c>
      <c r="G2420" s="87">
        <v>530</v>
      </c>
      <c r="H2420" s="88">
        <v>26084.126984126986</v>
      </c>
      <c r="I2420" s="89">
        <v>9</v>
      </c>
      <c r="J2420" s="90">
        <v>16433</v>
      </c>
      <c r="K2420" s="85">
        <v>2</v>
      </c>
      <c r="L2420" s="85">
        <v>176</v>
      </c>
      <c r="M2420" s="85">
        <v>0</v>
      </c>
      <c r="N2420" s="82" t="s">
        <v>11385</v>
      </c>
      <c r="O2420" s="93">
        <v>45859.716678240744</v>
      </c>
    </row>
    <row r="2421" spans="1:15" ht="22.5" customHeight="1">
      <c r="A2421" s="85">
        <v>766589657993298</v>
      </c>
      <c r="B2421" s="82" t="s">
        <v>10688</v>
      </c>
      <c r="C2421" s="82" t="s">
        <v>11386</v>
      </c>
      <c r="D2421" s="82" t="s">
        <v>11387</v>
      </c>
      <c r="E2421" s="82">
        <v>6285716210341</v>
      </c>
      <c r="F2421" s="92">
        <v>45858</v>
      </c>
      <c r="G2421" s="87">
        <v>1024</v>
      </c>
      <c r="H2421" s="88">
        <v>13779.372197309418</v>
      </c>
      <c r="I2421" s="89">
        <v>13</v>
      </c>
      <c r="J2421" s="90">
        <v>15364</v>
      </c>
      <c r="K2421" s="85">
        <v>1</v>
      </c>
      <c r="L2421" s="85">
        <v>412</v>
      </c>
      <c r="M2421" s="85">
        <v>0</v>
      </c>
      <c r="N2421" s="82" t="s">
        <v>11388</v>
      </c>
      <c r="O2421" s="93">
        <v>45859.737708333334</v>
      </c>
    </row>
    <row r="2422" spans="1:15" ht="22.5" customHeight="1">
      <c r="A2422" s="85">
        <v>766589657993298</v>
      </c>
      <c r="B2422" s="82" t="s">
        <v>10688</v>
      </c>
      <c r="C2422" s="82" t="s">
        <v>11389</v>
      </c>
      <c r="D2422" s="82" t="s">
        <v>11390</v>
      </c>
      <c r="E2422" s="82">
        <v>6281284410725</v>
      </c>
      <c r="F2422" s="92">
        <v>45858</v>
      </c>
      <c r="G2422" s="87">
        <v>869</v>
      </c>
      <c r="H2422" s="88">
        <v>14853.266331658291</v>
      </c>
      <c r="I2422" s="89">
        <v>19</v>
      </c>
      <c r="J2422" s="90">
        <v>14779</v>
      </c>
      <c r="K2422" s="85">
        <v>3</v>
      </c>
      <c r="L2422" s="85">
        <v>49</v>
      </c>
      <c r="M2422" s="85">
        <v>0</v>
      </c>
      <c r="N2422" s="82" t="s">
        <v>11391</v>
      </c>
      <c r="O2422" s="93">
        <v>45859.779502314814</v>
      </c>
    </row>
    <row r="2423" spans="1:15" ht="22.5" customHeight="1">
      <c r="A2423" s="85">
        <v>766589657993298</v>
      </c>
      <c r="B2423" s="82" t="s">
        <v>10688</v>
      </c>
      <c r="C2423" s="82" t="s">
        <v>11392</v>
      </c>
      <c r="D2423" s="82" t="s">
        <v>2308</v>
      </c>
      <c r="E2423" s="82">
        <v>62895416149255</v>
      </c>
      <c r="F2423" s="92">
        <v>45858</v>
      </c>
      <c r="G2423" s="87">
        <v>1038</v>
      </c>
      <c r="H2423" s="88">
        <v>13007.659574468085</v>
      </c>
      <c r="I2423" s="89">
        <v>15</v>
      </c>
      <c r="J2423" s="90">
        <v>15284</v>
      </c>
      <c r="K2423" s="85">
        <v>1</v>
      </c>
      <c r="L2423" s="85">
        <v>414</v>
      </c>
      <c r="M2423" s="85">
        <v>0</v>
      </c>
      <c r="N2423" s="82" t="s">
        <v>11393</v>
      </c>
      <c r="O2423" s="93">
        <v>45859.716689814813</v>
      </c>
    </row>
    <row r="2424" spans="1:15" ht="22.5" customHeight="1">
      <c r="A2424" s="85">
        <v>766589657993298</v>
      </c>
      <c r="B2424" s="82" t="s">
        <v>10688</v>
      </c>
      <c r="C2424" s="82" t="s">
        <v>11356</v>
      </c>
      <c r="D2424" s="82" t="s">
        <v>350</v>
      </c>
      <c r="E2424" s="82">
        <v>6288274090631</v>
      </c>
      <c r="F2424" s="92">
        <v>45858</v>
      </c>
      <c r="G2424" s="87">
        <v>547</v>
      </c>
      <c r="H2424" s="88">
        <v>20840.682788051206</v>
      </c>
      <c r="I2424" s="89">
        <v>13</v>
      </c>
      <c r="J2424" s="90">
        <v>14651</v>
      </c>
      <c r="K2424" s="85">
        <v>3</v>
      </c>
      <c r="L2424" s="85">
        <v>170</v>
      </c>
      <c r="M2424" s="85">
        <v>0</v>
      </c>
      <c r="N2424" s="82" t="s">
        <v>11357</v>
      </c>
      <c r="O2424" s="93">
        <v>45859.675243055557</v>
      </c>
    </row>
    <row r="2425" spans="1:15" ht="22.5" customHeight="1">
      <c r="A2425" s="85">
        <v>766589657993298</v>
      </c>
      <c r="B2425" s="82" t="s">
        <v>10688</v>
      </c>
      <c r="C2425" s="82" t="s">
        <v>11358</v>
      </c>
      <c r="D2425" s="82" t="s">
        <v>2488</v>
      </c>
      <c r="E2425" s="82">
        <v>6281347321820</v>
      </c>
      <c r="F2425" s="92">
        <v>45858</v>
      </c>
      <c r="G2425" s="87">
        <v>1200</v>
      </c>
      <c r="H2425" s="88">
        <v>10183.386581469647</v>
      </c>
      <c r="I2425" s="89">
        <v>62</v>
      </c>
      <c r="J2425" s="90">
        <v>15937</v>
      </c>
      <c r="K2425" s="85">
        <v>5</v>
      </c>
      <c r="L2425" s="85">
        <v>435</v>
      </c>
      <c r="M2425" s="85">
        <v>0</v>
      </c>
      <c r="N2425" s="82" t="s">
        <v>11359</v>
      </c>
      <c r="O2425" s="93">
        <v>45859.508634259262</v>
      </c>
    </row>
    <row r="2426" spans="1:15" ht="22.5" customHeight="1">
      <c r="A2426" s="85">
        <v>766589657993298</v>
      </c>
      <c r="B2426" s="82" t="s">
        <v>10688</v>
      </c>
      <c r="C2426" s="82" t="s">
        <v>11360</v>
      </c>
      <c r="D2426" s="82" t="s">
        <v>11361</v>
      </c>
      <c r="E2426" s="82">
        <v>6285186029090</v>
      </c>
      <c r="F2426" s="92">
        <v>45858</v>
      </c>
      <c r="G2426" s="87">
        <v>599</v>
      </c>
      <c r="H2426" s="88">
        <v>21337.988826815643</v>
      </c>
      <c r="I2426" s="89">
        <v>46</v>
      </c>
      <c r="J2426" s="90">
        <v>15278</v>
      </c>
      <c r="K2426" s="85">
        <v>10</v>
      </c>
      <c r="L2426" s="85">
        <v>62</v>
      </c>
      <c r="M2426" s="85">
        <v>1</v>
      </c>
      <c r="N2426" s="82" t="s">
        <v>11362</v>
      </c>
      <c r="O2426" s="93">
        <v>45859.550393518519</v>
      </c>
    </row>
    <row r="2427" spans="1:15" ht="22.5" customHeight="1">
      <c r="A2427" s="85">
        <v>766589657993298</v>
      </c>
      <c r="B2427" s="82" t="s">
        <v>10688</v>
      </c>
      <c r="C2427" s="82" t="s">
        <v>11335</v>
      </c>
      <c r="D2427" s="82" t="s">
        <v>2301</v>
      </c>
      <c r="E2427" s="82">
        <v>6285169411418</v>
      </c>
      <c r="F2427" s="92">
        <v>45858</v>
      </c>
      <c r="G2427" s="87">
        <v>509</v>
      </c>
      <c r="H2427" s="88">
        <v>26417.677642980936</v>
      </c>
      <c r="I2427" s="89">
        <v>15</v>
      </c>
      <c r="J2427" s="90">
        <v>15243</v>
      </c>
      <c r="K2427" s="85">
        <v>4</v>
      </c>
      <c r="L2427" s="85">
        <v>171</v>
      </c>
      <c r="M2427" s="85">
        <v>0</v>
      </c>
      <c r="N2427" s="82" t="s">
        <v>11363</v>
      </c>
      <c r="O2427" s="93">
        <v>45859.550393518519</v>
      </c>
    </row>
    <row r="2428" spans="1:15" ht="22.5" customHeight="1">
      <c r="A2428" s="85">
        <v>766589657993298</v>
      </c>
      <c r="B2428" s="82" t="s">
        <v>10688</v>
      </c>
      <c r="C2428" s="82" t="s">
        <v>11318</v>
      </c>
      <c r="D2428" s="82" t="s">
        <v>11365</v>
      </c>
      <c r="E2428" s="82">
        <v>6282310465999</v>
      </c>
      <c r="F2428" s="92">
        <v>45858</v>
      </c>
      <c r="G2428" s="87">
        <v>490</v>
      </c>
      <c r="H2428" s="88">
        <v>26612.788632326821</v>
      </c>
      <c r="I2428" s="89">
        <v>8</v>
      </c>
      <c r="J2428" s="90">
        <v>14983</v>
      </c>
      <c r="K2428" s="85">
        <v>1</v>
      </c>
      <c r="L2428" s="85">
        <v>163</v>
      </c>
      <c r="M2428" s="85">
        <v>1</v>
      </c>
      <c r="N2428" s="82" t="s">
        <v>11366</v>
      </c>
      <c r="O2428" s="93">
        <v>45859.67523148148</v>
      </c>
    </row>
    <row r="2429" spans="1:15" ht="22.5" customHeight="1">
      <c r="A2429" s="85">
        <v>766589657993298</v>
      </c>
      <c r="B2429" s="82" t="s">
        <v>10688</v>
      </c>
      <c r="C2429" s="82" t="s">
        <v>11300</v>
      </c>
      <c r="D2429" s="82" t="s">
        <v>2223</v>
      </c>
      <c r="E2429" s="82">
        <v>6282111000133</v>
      </c>
      <c r="F2429" s="92">
        <v>45858</v>
      </c>
      <c r="G2429" s="87">
        <v>826</v>
      </c>
      <c r="H2429" s="88">
        <v>17429.864253393665</v>
      </c>
      <c r="I2429" s="89">
        <v>19</v>
      </c>
      <c r="J2429" s="90">
        <v>15408</v>
      </c>
      <c r="K2429" s="85">
        <v>6</v>
      </c>
      <c r="L2429" s="85">
        <v>392</v>
      </c>
      <c r="M2429" s="85">
        <v>0</v>
      </c>
      <c r="N2429" s="82" t="s">
        <v>11301</v>
      </c>
      <c r="O2429" s="93">
        <v>45859.654386574075</v>
      </c>
    </row>
    <row r="2430" spans="1:15" ht="22.5" customHeight="1">
      <c r="A2430" s="85">
        <v>766589657993298</v>
      </c>
      <c r="B2430" s="82" t="s">
        <v>10688</v>
      </c>
      <c r="C2430" s="82" t="s">
        <v>11302</v>
      </c>
      <c r="D2430" s="82" t="s">
        <v>11303</v>
      </c>
      <c r="E2430" s="82">
        <v>6285814054475</v>
      </c>
      <c r="F2430" s="92">
        <v>45858</v>
      </c>
      <c r="G2430" s="87">
        <v>1628</v>
      </c>
      <c r="H2430" s="88">
        <v>7446.7131474103589</v>
      </c>
      <c r="I2430" s="89">
        <v>51</v>
      </c>
      <c r="J2430" s="90">
        <v>14953</v>
      </c>
      <c r="K2430" s="85">
        <v>12</v>
      </c>
      <c r="L2430" s="85">
        <v>741</v>
      </c>
      <c r="M2430" s="85">
        <v>0</v>
      </c>
      <c r="N2430" s="82" t="s">
        <v>11304</v>
      </c>
      <c r="O2430" s="93">
        <v>45859.696481481478</v>
      </c>
    </row>
    <row r="2431" spans="1:15" ht="22.5" customHeight="1">
      <c r="A2431" s="85">
        <v>766589657993298</v>
      </c>
      <c r="B2431" s="82" t="s">
        <v>10688</v>
      </c>
      <c r="C2431" s="82" t="s">
        <v>11264</v>
      </c>
      <c r="D2431" s="91" t="s">
        <v>1915</v>
      </c>
      <c r="E2431" s="82">
        <v>6281239874761</v>
      </c>
      <c r="F2431" s="92">
        <v>45858</v>
      </c>
      <c r="G2431" s="87">
        <v>288</v>
      </c>
      <c r="H2431" s="88">
        <v>45380.952380952382</v>
      </c>
      <c r="I2431" s="89">
        <v>6</v>
      </c>
      <c r="J2431" s="90">
        <v>16201</v>
      </c>
      <c r="K2431" s="85">
        <v>0</v>
      </c>
      <c r="L2431" s="85">
        <v>90</v>
      </c>
      <c r="M2431" s="85">
        <v>0</v>
      </c>
      <c r="N2431" s="82" t="s">
        <v>11265</v>
      </c>
      <c r="O2431" s="93">
        <v>45859.654386574075</v>
      </c>
    </row>
    <row r="2432" spans="1:15" ht="22.5" customHeight="1">
      <c r="A2432" s="85">
        <v>766589657993298</v>
      </c>
      <c r="B2432" s="82" t="s">
        <v>10688</v>
      </c>
      <c r="C2432" s="82" t="s">
        <v>11174</v>
      </c>
      <c r="D2432" s="82" t="s">
        <v>11175</v>
      </c>
      <c r="E2432" s="82">
        <v>6282184019830</v>
      </c>
      <c r="F2432" s="92">
        <v>45858</v>
      </c>
      <c r="G2432" s="87">
        <v>203</v>
      </c>
      <c r="H2432" s="88">
        <v>68095.022624434394</v>
      </c>
      <c r="I2432" s="89">
        <v>5</v>
      </c>
      <c r="J2432" s="90">
        <v>15049</v>
      </c>
      <c r="K2432" s="85">
        <v>1</v>
      </c>
      <c r="L2432" s="85">
        <v>13</v>
      </c>
      <c r="M2432" s="85">
        <v>0</v>
      </c>
      <c r="N2432" s="82" t="s">
        <v>11176</v>
      </c>
      <c r="O2432" s="93">
        <v>45859.529537037037</v>
      </c>
    </row>
    <row r="2433" spans="1:15" ht="22.5" customHeight="1">
      <c r="A2433" s="85">
        <v>766589657993298</v>
      </c>
      <c r="B2433" s="82" t="s">
        <v>10688</v>
      </c>
      <c r="C2433" s="82" t="s">
        <v>11103</v>
      </c>
      <c r="D2433" s="82" t="s">
        <v>11104</v>
      </c>
      <c r="E2433" s="82">
        <v>6282124027899</v>
      </c>
      <c r="F2433" s="92">
        <v>45858</v>
      </c>
      <c r="G2433" s="87">
        <v>1531</v>
      </c>
      <c r="H2433" s="88">
        <v>9081.5972222222208</v>
      </c>
      <c r="I2433" s="89">
        <v>29</v>
      </c>
      <c r="J2433" s="90">
        <v>15693</v>
      </c>
      <c r="K2433" s="85">
        <v>2</v>
      </c>
      <c r="L2433" s="85">
        <v>421</v>
      </c>
      <c r="M2433" s="85">
        <v>0</v>
      </c>
      <c r="N2433" s="82" t="s">
        <v>11105</v>
      </c>
      <c r="O2433" s="93">
        <v>45859.570844907408</v>
      </c>
    </row>
    <row r="2434" spans="1:15" ht="22.5" customHeight="1">
      <c r="A2434" s="85">
        <v>766589657993298</v>
      </c>
      <c r="B2434" s="82" t="s">
        <v>10688</v>
      </c>
      <c r="C2434" s="82" t="s">
        <v>11026</v>
      </c>
      <c r="D2434" s="82" t="s">
        <v>1172</v>
      </c>
      <c r="E2434" s="82">
        <v>6285950836788</v>
      </c>
      <c r="F2434" s="92">
        <v>45858</v>
      </c>
      <c r="G2434" s="87">
        <v>305</v>
      </c>
      <c r="H2434" s="88">
        <v>43396.50145772595</v>
      </c>
      <c r="I2434" s="89">
        <v>6</v>
      </c>
      <c r="J2434" s="90">
        <v>14885</v>
      </c>
      <c r="K2434" s="85">
        <v>0</v>
      </c>
      <c r="L2434" s="85">
        <v>85</v>
      </c>
      <c r="M2434" s="85">
        <v>0</v>
      </c>
      <c r="N2434" s="82" t="s">
        <v>11027</v>
      </c>
      <c r="O2434" s="93">
        <v>45859.591770833336</v>
      </c>
    </row>
    <row r="2435" spans="1:15" ht="22.5" customHeight="1">
      <c r="A2435" s="85">
        <v>766589657993298</v>
      </c>
      <c r="B2435" s="82" t="s">
        <v>10688</v>
      </c>
      <c r="C2435" s="82" t="s">
        <v>11028</v>
      </c>
      <c r="D2435" s="82" t="s">
        <v>11029</v>
      </c>
      <c r="E2435" s="82">
        <v>6282338171577</v>
      </c>
      <c r="F2435" s="92">
        <v>45858</v>
      </c>
      <c r="G2435" s="87">
        <v>915</v>
      </c>
      <c r="H2435" s="88">
        <v>14793.726235741446</v>
      </c>
      <c r="I2435" s="89">
        <v>32</v>
      </c>
      <c r="J2435" s="90">
        <v>15563</v>
      </c>
      <c r="K2435" s="85">
        <v>1</v>
      </c>
      <c r="L2435" s="85">
        <v>372</v>
      </c>
      <c r="M2435" s="85">
        <v>0</v>
      </c>
      <c r="N2435" s="82" t="s">
        <v>11030</v>
      </c>
      <c r="O2435" s="93">
        <v>45859.59175925926</v>
      </c>
    </row>
    <row r="2436" spans="1:15" ht="22.5" customHeight="1">
      <c r="A2436" s="85">
        <v>766589657993298</v>
      </c>
      <c r="B2436" s="82" t="s">
        <v>10688</v>
      </c>
      <c r="C2436" s="82" t="s">
        <v>10885</v>
      </c>
      <c r="D2436" s="82" t="s">
        <v>906</v>
      </c>
      <c r="E2436" s="82">
        <v>6282183115806</v>
      </c>
      <c r="F2436" s="92">
        <v>45858</v>
      </c>
      <c r="G2436" s="87">
        <v>1001</v>
      </c>
      <c r="H2436" s="88">
        <v>13433.092224231465</v>
      </c>
      <c r="I2436" s="89">
        <v>35</v>
      </c>
      <c r="J2436" s="90">
        <v>14857</v>
      </c>
      <c r="K2436" s="85">
        <v>2</v>
      </c>
      <c r="L2436" s="85">
        <v>337</v>
      </c>
      <c r="M2436" s="85">
        <v>1</v>
      </c>
      <c r="N2436" s="82" t="s">
        <v>10886</v>
      </c>
      <c r="O2436" s="93">
        <v>45859.612569444442</v>
      </c>
    </row>
    <row r="2437" spans="1:15" ht="22.5" customHeight="1">
      <c r="A2437" s="85">
        <v>766589657993298</v>
      </c>
      <c r="B2437" s="82" t="s">
        <v>10688</v>
      </c>
      <c r="C2437" s="82" t="s">
        <v>10879</v>
      </c>
      <c r="D2437" s="82" t="s">
        <v>10880</v>
      </c>
      <c r="E2437" s="82">
        <v>6281215851833</v>
      </c>
      <c r="F2437" s="92">
        <v>45858</v>
      </c>
      <c r="G2437" s="87">
        <v>383</v>
      </c>
      <c r="H2437" s="88">
        <v>35082.742316784868</v>
      </c>
      <c r="I2437" s="89">
        <v>13</v>
      </c>
      <c r="J2437" s="90">
        <v>14840</v>
      </c>
      <c r="K2437" s="85">
        <v>4</v>
      </c>
      <c r="L2437" s="85">
        <v>0</v>
      </c>
      <c r="M2437" s="85">
        <v>0</v>
      </c>
      <c r="N2437" s="82" t="s">
        <v>10881</v>
      </c>
      <c r="O2437" s="93">
        <v>45859.217199074075</v>
      </c>
    </row>
    <row r="2438" spans="1:15" ht="22.5" customHeight="1">
      <c r="A2438" s="85">
        <v>766589657993298</v>
      </c>
      <c r="B2438" s="82" t="s">
        <v>10688</v>
      </c>
      <c r="C2438" s="82" t="s">
        <v>10780</v>
      </c>
      <c r="D2438" s="82" t="s">
        <v>10781</v>
      </c>
      <c r="E2438" s="82">
        <v>6281338789995</v>
      </c>
      <c r="F2438" s="92">
        <v>45858</v>
      </c>
      <c r="G2438" s="87">
        <v>572</v>
      </c>
      <c r="H2438" s="88">
        <v>23723.974763406939</v>
      </c>
      <c r="I2438" s="89">
        <v>6</v>
      </c>
      <c r="J2438" s="90">
        <v>15041</v>
      </c>
      <c r="K2438" s="85">
        <v>1</v>
      </c>
      <c r="L2438" s="85">
        <v>159</v>
      </c>
      <c r="M2438" s="85">
        <v>0</v>
      </c>
      <c r="N2438" s="82" t="s">
        <v>10782</v>
      </c>
      <c r="O2438" s="93">
        <v>45859.654386574075</v>
      </c>
    </row>
    <row r="2439" spans="1:15" ht="22.5" customHeight="1">
      <c r="A2439" s="85">
        <v>766589657993298</v>
      </c>
      <c r="B2439" s="82" t="s">
        <v>10688</v>
      </c>
      <c r="C2439" s="82" t="s">
        <v>10786</v>
      </c>
      <c r="D2439" s="82" t="s">
        <v>739</v>
      </c>
      <c r="E2439" s="82">
        <v>628122102657</v>
      </c>
      <c r="F2439" s="92">
        <v>45858</v>
      </c>
      <c r="G2439" s="87">
        <v>354</v>
      </c>
      <c r="H2439" s="88">
        <v>36402.948402948401</v>
      </c>
      <c r="I2439" s="89">
        <v>5</v>
      </c>
      <c r="J2439" s="90">
        <v>14816</v>
      </c>
      <c r="K2439" s="85">
        <v>1</v>
      </c>
      <c r="L2439" s="85">
        <v>114</v>
      </c>
      <c r="M2439" s="85">
        <v>0</v>
      </c>
      <c r="N2439" s="82" t="s">
        <v>10787</v>
      </c>
      <c r="O2439" s="93">
        <v>45859.716689814813</v>
      </c>
    </row>
    <row r="2440" spans="1:15" ht="22.5" customHeight="1">
      <c r="A2440" s="85">
        <v>766589657993298</v>
      </c>
      <c r="B2440" s="82" t="s">
        <v>10688</v>
      </c>
      <c r="C2440" s="82" t="s">
        <v>10762</v>
      </c>
      <c r="D2440" s="82" t="s">
        <v>11444</v>
      </c>
      <c r="E2440" s="82">
        <v>6285210107607</v>
      </c>
      <c r="F2440" s="92">
        <v>45858</v>
      </c>
      <c r="G2440" s="87">
        <v>806</v>
      </c>
      <c r="H2440" s="88">
        <v>18062.43032329989</v>
      </c>
      <c r="I2440" s="89">
        <v>20</v>
      </c>
      <c r="J2440" s="90">
        <v>16202</v>
      </c>
      <c r="K2440" s="85">
        <v>2</v>
      </c>
      <c r="L2440" s="85">
        <v>221</v>
      </c>
      <c r="M2440" s="85">
        <v>1</v>
      </c>
      <c r="N2440" s="82" t="s">
        <v>11445</v>
      </c>
      <c r="O2440" s="93">
        <v>45859.357164351852</v>
      </c>
    </row>
    <row r="2441" spans="1:15" ht="22.5" customHeight="1">
      <c r="A2441" s="85">
        <v>759724529202804</v>
      </c>
      <c r="B2441" s="82" t="s">
        <v>10621</v>
      </c>
      <c r="C2441" s="82" t="s">
        <v>11394</v>
      </c>
      <c r="D2441" s="82" t="s">
        <v>1277</v>
      </c>
      <c r="E2441" s="82">
        <v>6281269441611</v>
      </c>
      <c r="F2441" s="92">
        <v>45859</v>
      </c>
      <c r="G2441" s="87">
        <v>2090</v>
      </c>
      <c r="H2441" s="88">
        <v>5949.9036608863198</v>
      </c>
      <c r="I2441" s="89">
        <v>74</v>
      </c>
      <c r="J2441" s="90">
        <v>15440</v>
      </c>
      <c r="K2441" s="85">
        <v>2</v>
      </c>
      <c r="L2441" s="85">
        <v>1</v>
      </c>
      <c r="M2441" s="85">
        <v>0</v>
      </c>
      <c r="N2441" s="82" t="s">
        <v>11395</v>
      </c>
      <c r="O2441" s="93">
        <v>45860.714259259257</v>
      </c>
    </row>
    <row r="2442" spans="1:15" ht="22.5" customHeight="1">
      <c r="A2442" s="85">
        <v>759724529202804</v>
      </c>
      <c r="B2442" s="82" t="s">
        <v>10621</v>
      </c>
      <c r="C2442" s="82" t="s">
        <v>11337</v>
      </c>
      <c r="D2442" s="82" t="s">
        <v>2336</v>
      </c>
      <c r="E2442" s="82">
        <v>6289608357133</v>
      </c>
      <c r="F2442" s="92">
        <v>45859</v>
      </c>
      <c r="G2442" s="87">
        <v>481</v>
      </c>
      <c r="H2442" s="88">
        <v>31044.444444444445</v>
      </c>
      <c r="I2442" s="89">
        <v>15</v>
      </c>
      <c r="J2442" s="90">
        <v>16764</v>
      </c>
      <c r="K2442" s="85">
        <v>0</v>
      </c>
      <c r="L2442" s="85">
        <v>135</v>
      </c>
      <c r="M2442" s="85">
        <v>0</v>
      </c>
      <c r="N2442" s="82" t="s">
        <v>11338</v>
      </c>
      <c r="O2442" s="93">
        <v>45860.21435185185</v>
      </c>
    </row>
    <row r="2443" spans="1:15" ht="22.5" customHeight="1">
      <c r="A2443" s="85">
        <v>759724529202804</v>
      </c>
      <c r="B2443" s="82" t="s">
        <v>10621</v>
      </c>
      <c r="C2443" s="82" t="s">
        <v>11321</v>
      </c>
      <c r="D2443" s="82" t="s">
        <v>2240</v>
      </c>
      <c r="E2443" s="82">
        <v>6285339158435</v>
      </c>
      <c r="F2443" s="92">
        <v>45859</v>
      </c>
      <c r="G2443" s="87">
        <v>3607</v>
      </c>
      <c r="H2443" s="88">
        <v>3649.98888147654</v>
      </c>
      <c r="I2443" s="89">
        <v>283</v>
      </c>
      <c r="J2443" s="90">
        <v>16414</v>
      </c>
      <c r="K2443" s="85">
        <v>15</v>
      </c>
      <c r="L2443" s="85">
        <v>1557</v>
      </c>
      <c r="M2443" s="85">
        <v>5</v>
      </c>
      <c r="N2443" s="82" t="s">
        <v>11339</v>
      </c>
      <c r="O2443" s="93">
        <v>45860.21435185185</v>
      </c>
    </row>
    <row r="2444" spans="1:15" ht="22.5" customHeight="1">
      <c r="A2444" s="85">
        <v>759724529202804</v>
      </c>
      <c r="B2444" s="82" t="s">
        <v>10621</v>
      </c>
      <c r="C2444" s="82" t="s">
        <v>11323</v>
      </c>
      <c r="D2444" s="82" t="s">
        <v>11340</v>
      </c>
      <c r="E2444" s="82">
        <v>6281916331011</v>
      </c>
      <c r="F2444" s="92">
        <v>45859</v>
      </c>
      <c r="G2444" s="87">
        <v>898</v>
      </c>
      <c r="H2444" s="88">
        <v>14564.928909952605</v>
      </c>
      <c r="I2444" s="89">
        <v>32</v>
      </c>
      <c r="J2444" s="90">
        <v>15366</v>
      </c>
      <c r="K2444" s="85">
        <v>9</v>
      </c>
      <c r="L2444" s="85">
        <v>363</v>
      </c>
      <c r="M2444" s="85">
        <v>0</v>
      </c>
      <c r="N2444" s="82" t="s">
        <v>11341</v>
      </c>
      <c r="O2444" s="93">
        <v>45860.21435185185</v>
      </c>
    </row>
    <row r="2445" spans="1:15" ht="22.5" customHeight="1">
      <c r="A2445" s="85">
        <v>759724529202804</v>
      </c>
      <c r="B2445" s="82" t="s">
        <v>10621</v>
      </c>
      <c r="C2445" s="82" t="s">
        <v>11070</v>
      </c>
      <c r="D2445" s="82" t="s">
        <v>11071</v>
      </c>
      <c r="E2445" s="82">
        <v>6281246211381</v>
      </c>
      <c r="F2445" s="92">
        <v>45859</v>
      </c>
      <c r="G2445" s="87">
        <v>826</v>
      </c>
      <c r="H2445" s="88">
        <v>17580.043859649122</v>
      </c>
      <c r="I2445" s="89">
        <v>20</v>
      </c>
      <c r="J2445" s="90">
        <v>16033</v>
      </c>
      <c r="K2445" s="85">
        <v>4</v>
      </c>
      <c r="L2445" s="85">
        <v>17</v>
      </c>
      <c r="M2445" s="85">
        <v>0</v>
      </c>
      <c r="N2445" s="82" t="s">
        <v>11072</v>
      </c>
      <c r="O2445" s="93">
        <v>45860.547280092593</v>
      </c>
    </row>
    <row r="2446" spans="1:15" ht="22.5" customHeight="1">
      <c r="A2446" s="85">
        <v>759724529202804</v>
      </c>
      <c r="B2446" s="82" t="s">
        <v>10621</v>
      </c>
      <c r="C2446" s="82" t="s">
        <v>11016</v>
      </c>
      <c r="D2446" s="82" t="s">
        <v>1530</v>
      </c>
      <c r="E2446" s="82">
        <v>628111988553</v>
      </c>
      <c r="F2446" s="92">
        <v>45859</v>
      </c>
      <c r="G2446" s="87">
        <v>209</v>
      </c>
      <c r="H2446" s="88">
        <v>62467.741935483871</v>
      </c>
      <c r="I2446" s="89">
        <v>12</v>
      </c>
      <c r="J2446" s="90">
        <v>15492</v>
      </c>
      <c r="K2446" s="85">
        <v>1</v>
      </c>
      <c r="L2446" s="85">
        <v>0</v>
      </c>
      <c r="M2446" s="85">
        <v>0</v>
      </c>
      <c r="N2446" s="82" t="s">
        <v>11017</v>
      </c>
      <c r="O2446" s="93">
        <v>45860.568229166667</v>
      </c>
    </row>
    <row r="2447" spans="1:15" ht="22.5" customHeight="1">
      <c r="A2447" s="85">
        <v>759724529202804</v>
      </c>
      <c r="B2447" s="82" t="s">
        <v>10621</v>
      </c>
      <c r="C2447" s="82" t="s">
        <v>10925</v>
      </c>
      <c r="D2447" s="82" t="s">
        <v>10926</v>
      </c>
      <c r="E2447" s="82">
        <v>6281233038880</v>
      </c>
      <c r="F2447" s="92">
        <v>45859</v>
      </c>
      <c r="G2447" s="87">
        <v>341</v>
      </c>
      <c r="H2447" s="88">
        <v>41021.447721179626</v>
      </c>
      <c r="I2447" s="89">
        <v>10</v>
      </c>
      <c r="J2447" s="90">
        <v>15301</v>
      </c>
      <c r="K2447" s="85">
        <v>1</v>
      </c>
      <c r="L2447" s="85">
        <v>32</v>
      </c>
      <c r="M2447" s="85">
        <v>0</v>
      </c>
      <c r="N2447" s="82" t="s">
        <v>10927</v>
      </c>
      <c r="O2447" s="93">
        <v>45860.526724537034</v>
      </c>
    </row>
    <row r="2448" spans="1:15" ht="22.5" customHeight="1">
      <c r="A2448" s="85">
        <v>174904221976312</v>
      </c>
      <c r="B2448" s="82" t="s">
        <v>10651</v>
      </c>
      <c r="C2448" s="82" t="s">
        <v>11446</v>
      </c>
      <c r="D2448" s="82" t="s">
        <v>11447</v>
      </c>
      <c r="E2448" s="82">
        <v>6281999375257</v>
      </c>
      <c r="F2448" s="92">
        <v>45859</v>
      </c>
      <c r="G2448" s="87">
        <v>436</v>
      </c>
      <c r="H2448" s="88">
        <v>19847.695390781562</v>
      </c>
      <c r="I2448" s="89">
        <v>13</v>
      </c>
      <c r="J2448" s="90">
        <v>9904</v>
      </c>
      <c r="K2448" s="85">
        <v>0</v>
      </c>
      <c r="L2448" s="85">
        <v>27</v>
      </c>
      <c r="M2448" s="85">
        <v>0</v>
      </c>
      <c r="N2448" s="82" t="s">
        <v>11448</v>
      </c>
      <c r="O2448" s="93">
        <v>45860.713888888888</v>
      </c>
    </row>
    <row r="2449" spans="1:15" ht="22.5" customHeight="1">
      <c r="A2449" s="85">
        <v>174904221976312</v>
      </c>
      <c r="B2449" s="82" t="s">
        <v>10651</v>
      </c>
      <c r="C2449" s="82" t="s">
        <v>11449</v>
      </c>
      <c r="D2449" s="82" t="s">
        <v>11450</v>
      </c>
      <c r="E2449" s="82">
        <v>6285773570295</v>
      </c>
      <c r="F2449" s="92">
        <v>45859</v>
      </c>
      <c r="G2449" s="87">
        <v>675</v>
      </c>
      <c r="H2449" s="88">
        <v>19026.631158455391</v>
      </c>
      <c r="I2449" s="89">
        <v>102</v>
      </c>
      <c r="J2449" s="90">
        <v>14289</v>
      </c>
      <c r="K2449" s="85">
        <v>30</v>
      </c>
      <c r="L2449" s="85">
        <v>3</v>
      </c>
      <c r="M2449" s="85">
        <v>0</v>
      </c>
      <c r="N2449" s="82" t="s">
        <v>11451</v>
      </c>
      <c r="O2449" s="93">
        <v>45860.651666666665</v>
      </c>
    </row>
    <row r="2450" spans="1:15" ht="22.5" customHeight="1">
      <c r="A2450" s="85">
        <v>174904221976312</v>
      </c>
      <c r="B2450" s="82" t="s">
        <v>10651</v>
      </c>
      <c r="C2450" s="82" t="s">
        <v>11452</v>
      </c>
      <c r="D2450" s="82" t="s">
        <v>11453</v>
      </c>
      <c r="E2450" s="82">
        <v>6281215284044</v>
      </c>
      <c r="F2450" s="92">
        <v>45859</v>
      </c>
      <c r="G2450" s="87">
        <v>261</v>
      </c>
      <c r="H2450" s="88">
        <v>43234.042553191488</v>
      </c>
      <c r="I2450" s="89">
        <v>5</v>
      </c>
      <c r="J2450" s="90">
        <v>12192</v>
      </c>
      <c r="K2450" s="85">
        <v>0</v>
      </c>
      <c r="L2450" s="85">
        <v>20</v>
      </c>
      <c r="M2450" s="85">
        <v>0</v>
      </c>
      <c r="N2450" s="82" t="s">
        <v>11454</v>
      </c>
      <c r="O2450" s="93">
        <v>45860.65185185185</v>
      </c>
    </row>
    <row r="2451" spans="1:15" ht="22.5" customHeight="1">
      <c r="A2451" s="85">
        <v>174904221976312</v>
      </c>
      <c r="B2451" s="82" t="s">
        <v>10651</v>
      </c>
      <c r="C2451" s="82" t="s">
        <v>11422</v>
      </c>
      <c r="D2451" s="82" t="s">
        <v>11145</v>
      </c>
      <c r="E2451" s="82">
        <v>6282128714101</v>
      </c>
      <c r="F2451" s="92">
        <v>45859</v>
      </c>
      <c r="G2451" s="87">
        <v>338</v>
      </c>
      <c r="H2451" s="88">
        <v>31829.83682983683</v>
      </c>
      <c r="I2451" s="89">
        <v>16</v>
      </c>
      <c r="J2451" s="90">
        <v>13655</v>
      </c>
      <c r="K2451" s="85">
        <v>4</v>
      </c>
      <c r="L2451" s="85">
        <v>56</v>
      </c>
      <c r="M2451" s="85">
        <v>0</v>
      </c>
      <c r="N2451" s="82" t="s">
        <v>11423</v>
      </c>
      <c r="O2451" s="93">
        <v>45860.693229166667</v>
      </c>
    </row>
    <row r="2452" spans="1:15" ht="22.5" customHeight="1">
      <c r="A2452" s="85">
        <v>174904221976312</v>
      </c>
      <c r="B2452" s="82" t="s">
        <v>10651</v>
      </c>
      <c r="C2452" s="82" t="s">
        <v>11424</v>
      </c>
      <c r="D2452" s="82" t="s">
        <v>11425</v>
      </c>
      <c r="E2452" s="82">
        <v>6283891332074</v>
      </c>
      <c r="F2452" s="92">
        <v>45859</v>
      </c>
      <c r="G2452" s="87">
        <v>408</v>
      </c>
      <c r="H2452" s="88">
        <v>28035.196687370601</v>
      </c>
      <c r="I2452" s="89">
        <v>5</v>
      </c>
      <c r="J2452" s="90">
        <v>13541</v>
      </c>
      <c r="K2452" s="85">
        <v>0</v>
      </c>
      <c r="L2452" s="85">
        <v>101</v>
      </c>
      <c r="M2452" s="85">
        <v>0</v>
      </c>
      <c r="N2452" s="82" t="s">
        <v>11426</v>
      </c>
      <c r="O2452" s="93">
        <v>45860.547986111109</v>
      </c>
    </row>
    <row r="2453" spans="1:15" ht="22.5" customHeight="1">
      <c r="A2453" s="85">
        <v>174904221976312</v>
      </c>
      <c r="B2453" s="82" t="s">
        <v>10651</v>
      </c>
      <c r="C2453" s="82" t="s">
        <v>11427</v>
      </c>
      <c r="D2453" s="82" t="s">
        <v>11428</v>
      </c>
      <c r="E2453" s="82">
        <v>6285268101557</v>
      </c>
      <c r="F2453" s="92">
        <v>45859</v>
      </c>
      <c r="G2453" s="87">
        <v>1211</v>
      </c>
      <c r="H2453" s="88">
        <v>10515.350877192983</v>
      </c>
      <c r="I2453" s="89">
        <v>29</v>
      </c>
      <c r="J2453" s="90">
        <v>14385</v>
      </c>
      <c r="K2453" s="85">
        <v>2</v>
      </c>
      <c r="L2453" s="85">
        <v>585</v>
      </c>
      <c r="M2453" s="85">
        <v>1</v>
      </c>
      <c r="N2453" s="82" t="s">
        <v>11429</v>
      </c>
      <c r="O2453" s="93">
        <v>45860.610046296293</v>
      </c>
    </row>
    <row r="2454" spans="1:15" ht="22.5" customHeight="1">
      <c r="A2454" s="85">
        <v>174904221976312</v>
      </c>
      <c r="B2454" s="82" t="s">
        <v>10651</v>
      </c>
      <c r="C2454" s="82" t="s">
        <v>11430</v>
      </c>
      <c r="D2454" s="82" t="s">
        <v>11431</v>
      </c>
      <c r="E2454" s="82">
        <v>6281252595912</v>
      </c>
      <c r="F2454" s="92">
        <v>45859</v>
      </c>
      <c r="G2454" s="87">
        <v>1493</v>
      </c>
      <c r="H2454" s="88">
        <v>7508.0960357342265</v>
      </c>
      <c r="I2454" s="89">
        <v>52</v>
      </c>
      <c r="J2454" s="90">
        <v>13447</v>
      </c>
      <c r="K2454" s="85">
        <v>5</v>
      </c>
      <c r="L2454" s="85">
        <v>5</v>
      </c>
      <c r="M2454" s="85">
        <v>0</v>
      </c>
      <c r="N2454" s="82" t="s">
        <v>11432</v>
      </c>
      <c r="O2454" s="93">
        <v>45860.631157407406</v>
      </c>
    </row>
    <row r="2455" spans="1:15" ht="22.5" customHeight="1">
      <c r="A2455" s="85">
        <v>174904221976312</v>
      </c>
      <c r="B2455" s="82" t="s">
        <v>10651</v>
      </c>
      <c r="C2455" s="82" t="s">
        <v>11396</v>
      </c>
      <c r="D2455" s="82" t="s">
        <v>11397</v>
      </c>
      <c r="E2455" s="82">
        <v>6285789446955</v>
      </c>
      <c r="F2455" s="92">
        <v>45859</v>
      </c>
      <c r="G2455" s="87">
        <v>788</v>
      </c>
      <c r="H2455" s="88">
        <v>15341.772151898735</v>
      </c>
      <c r="I2455" s="89">
        <v>8</v>
      </c>
      <c r="J2455" s="90">
        <v>15756</v>
      </c>
      <c r="K2455" s="85">
        <v>0</v>
      </c>
      <c r="L2455" s="85">
        <v>191</v>
      </c>
      <c r="M2455" s="85">
        <v>0</v>
      </c>
      <c r="N2455" s="82" t="s">
        <v>11398</v>
      </c>
      <c r="O2455" s="93">
        <v>45860.547731481478</v>
      </c>
    </row>
    <row r="2456" spans="1:15" ht="22.5" customHeight="1">
      <c r="A2456" s="85">
        <v>174904221976312</v>
      </c>
      <c r="B2456" s="82" t="s">
        <v>10651</v>
      </c>
      <c r="C2456" s="82" t="s">
        <v>11399</v>
      </c>
      <c r="D2456" s="82" t="s">
        <v>11400</v>
      </c>
      <c r="E2456" s="82">
        <v>6281933176790</v>
      </c>
      <c r="F2456" s="92">
        <v>45859</v>
      </c>
      <c r="G2456" s="87">
        <v>300</v>
      </c>
      <c r="H2456" s="88">
        <v>36746.835443037977</v>
      </c>
      <c r="I2456" s="89">
        <v>5</v>
      </c>
      <c r="J2456" s="90">
        <v>11612</v>
      </c>
      <c r="K2456" s="85">
        <v>1</v>
      </c>
      <c r="L2456" s="85">
        <v>136</v>
      </c>
      <c r="M2456" s="85">
        <v>0</v>
      </c>
      <c r="N2456" s="82" t="s">
        <v>11401</v>
      </c>
      <c r="O2456" s="93">
        <v>45860.685949074075</v>
      </c>
    </row>
    <row r="2457" spans="1:15" ht="22.5" customHeight="1">
      <c r="A2457" s="85">
        <v>174904221976312</v>
      </c>
      <c r="B2457" s="82" t="s">
        <v>10651</v>
      </c>
      <c r="C2457" s="82" t="s">
        <v>11402</v>
      </c>
      <c r="D2457" s="82" t="s">
        <v>11403</v>
      </c>
      <c r="E2457" s="82">
        <v>6283870060603</v>
      </c>
      <c r="F2457" s="92">
        <v>45859</v>
      </c>
      <c r="G2457" s="87">
        <v>2273</v>
      </c>
      <c r="H2457" s="88">
        <v>5450.6866416978783</v>
      </c>
      <c r="I2457" s="89">
        <v>50</v>
      </c>
      <c r="J2457" s="90">
        <v>13098</v>
      </c>
      <c r="K2457" s="85">
        <v>0</v>
      </c>
      <c r="L2457" s="85">
        <v>323</v>
      </c>
      <c r="M2457" s="85">
        <v>0</v>
      </c>
      <c r="N2457" s="82" t="s">
        <v>11404</v>
      </c>
      <c r="O2457" s="93">
        <v>45860.609803240739</v>
      </c>
    </row>
    <row r="2458" spans="1:15" ht="22.5" customHeight="1">
      <c r="A2458" s="85">
        <v>174904221976312</v>
      </c>
      <c r="B2458" s="82" t="s">
        <v>10651</v>
      </c>
      <c r="C2458" s="82" t="s">
        <v>11405</v>
      </c>
      <c r="D2458" s="82" t="s">
        <v>11406</v>
      </c>
      <c r="E2458" s="82">
        <v>6282307376695</v>
      </c>
      <c r="F2458" s="92">
        <v>45859</v>
      </c>
      <c r="G2458" s="87">
        <v>987</v>
      </c>
      <c r="H2458" s="88">
        <v>11439.297124600638</v>
      </c>
      <c r="I2458" s="89">
        <v>21</v>
      </c>
      <c r="J2458" s="90">
        <v>14322</v>
      </c>
      <c r="K2458" s="85">
        <v>0</v>
      </c>
      <c r="L2458" s="85">
        <v>294</v>
      </c>
      <c r="M2458" s="85">
        <v>1</v>
      </c>
      <c r="N2458" s="82" t="s">
        <v>11407</v>
      </c>
      <c r="O2458" s="93">
        <v>45860.651655092595</v>
      </c>
    </row>
    <row r="2459" spans="1:15" ht="22.5" customHeight="1">
      <c r="A2459" s="85">
        <v>174904221976312</v>
      </c>
      <c r="B2459" s="82" t="s">
        <v>10651</v>
      </c>
      <c r="C2459" s="82" t="s">
        <v>11408</v>
      </c>
      <c r="D2459" s="82" t="s">
        <v>2463</v>
      </c>
      <c r="E2459" s="82">
        <v>628563562851</v>
      </c>
      <c r="F2459" s="92">
        <v>45859</v>
      </c>
      <c r="G2459" s="87">
        <v>281</v>
      </c>
      <c r="H2459" s="88">
        <v>36291.291291291294</v>
      </c>
      <c r="I2459" s="89">
        <v>11</v>
      </c>
      <c r="J2459" s="90">
        <v>12085</v>
      </c>
      <c r="K2459" s="85">
        <v>2</v>
      </c>
      <c r="L2459" s="85">
        <v>180</v>
      </c>
      <c r="M2459" s="85">
        <v>0</v>
      </c>
      <c r="N2459" s="82" t="s">
        <v>11409</v>
      </c>
      <c r="O2459" s="93">
        <v>45860.485127314816</v>
      </c>
    </row>
    <row r="2460" spans="1:15" ht="22.5" customHeight="1">
      <c r="A2460" s="85">
        <v>174904221976312</v>
      </c>
      <c r="B2460" s="82" t="s">
        <v>10651</v>
      </c>
      <c r="C2460" s="82" t="s">
        <v>11367</v>
      </c>
      <c r="D2460" s="82" t="s">
        <v>2449</v>
      </c>
      <c r="E2460" s="82">
        <v>6281223055720</v>
      </c>
      <c r="F2460" s="92">
        <v>45859</v>
      </c>
      <c r="G2460" s="87">
        <v>3324</v>
      </c>
      <c r="H2460" s="88">
        <v>4475.5360087960416</v>
      </c>
      <c r="I2460" s="89">
        <v>32</v>
      </c>
      <c r="J2460" s="90">
        <v>16282</v>
      </c>
      <c r="K2460" s="85">
        <v>0</v>
      </c>
      <c r="L2460" s="85">
        <v>1604</v>
      </c>
      <c r="M2460" s="85">
        <v>1</v>
      </c>
      <c r="N2460" s="82" t="s">
        <v>11368</v>
      </c>
      <c r="O2460" s="93">
        <v>45860.463483796295</v>
      </c>
    </row>
    <row r="2461" spans="1:15" ht="22.5" customHeight="1">
      <c r="A2461" s="85">
        <v>174904221976312</v>
      </c>
      <c r="B2461" s="82" t="s">
        <v>10651</v>
      </c>
      <c r="C2461" s="82" t="s">
        <v>11369</v>
      </c>
      <c r="D2461" s="82" t="s">
        <v>11370</v>
      </c>
      <c r="E2461" s="82">
        <v>6285714141525</v>
      </c>
      <c r="F2461" s="92">
        <v>45859</v>
      </c>
      <c r="G2461" s="87">
        <v>233</v>
      </c>
      <c r="H2461" s="88">
        <v>51315.217391304352</v>
      </c>
      <c r="I2461" s="89">
        <v>8</v>
      </c>
      <c r="J2461" s="90">
        <v>14163</v>
      </c>
      <c r="K2461" s="85">
        <v>0</v>
      </c>
      <c r="L2461" s="85">
        <v>3</v>
      </c>
      <c r="M2461" s="85">
        <v>0</v>
      </c>
      <c r="N2461" s="82" t="s">
        <v>11371</v>
      </c>
      <c r="O2461" s="93">
        <v>45860.443773148145</v>
      </c>
    </row>
    <row r="2462" spans="1:15" ht="22.5" customHeight="1">
      <c r="A2462" s="85">
        <v>174904221976312</v>
      </c>
      <c r="B2462" s="82" t="s">
        <v>10651</v>
      </c>
      <c r="C2462" s="82" t="s">
        <v>11372</v>
      </c>
      <c r="D2462" s="82" t="s">
        <v>11373</v>
      </c>
      <c r="E2462" s="82">
        <v>6283147736523</v>
      </c>
      <c r="F2462" s="92">
        <v>45859</v>
      </c>
      <c r="G2462" s="87">
        <v>1205</v>
      </c>
      <c r="H2462" s="88">
        <v>9613.8157894736833</v>
      </c>
      <c r="I2462" s="89">
        <v>32</v>
      </c>
      <c r="J2462" s="90">
        <v>14613</v>
      </c>
      <c r="K2462" s="85">
        <v>2</v>
      </c>
      <c r="L2462" s="85">
        <v>0</v>
      </c>
      <c r="M2462" s="85">
        <v>0</v>
      </c>
      <c r="N2462" s="82" t="s">
        <v>11374</v>
      </c>
      <c r="O2462" s="93">
        <v>45860.568055555559</v>
      </c>
    </row>
    <row r="2463" spans="1:15" ht="22.5" customHeight="1">
      <c r="A2463" s="85">
        <v>174904221976312</v>
      </c>
      <c r="B2463" s="82" t="s">
        <v>10651</v>
      </c>
      <c r="C2463" s="82" t="s">
        <v>11375</v>
      </c>
      <c r="D2463" s="82" t="s">
        <v>7857</v>
      </c>
      <c r="E2463" s="82">
        <v>6283865096870</v>
      </c>
      <c r="F2463" s="92">
        <v>45859</v>
      </c>
      <c r="G2463" s="87">
        <v>743</v>
      </c>
      <c r="H2463" s="88">
        <v>14696.467991169979</v>
      </c>
      <c r="I2463" s="89">
        <v>7</v>
      </c>
      <c r="J2463" s="90">
        <v>13315</v>
      </c>
      <c r="K2463" s="85">
        <v>1</v>
      </c>
      <c r="L2463" s="85">
        <v>7</v>
      </c>
      <c r="M2463" s="85">
        <v>0</v>
      </c>
      <c r="N2463" s="82" t="s">
        <v>11376</v>
      </c>
      <c r="O2463" s="93">
        <v>45860.485381944447</v>
      </c>
    </row>
    <row r="2464" spans="1:15" ht="22.5" customHeight="1">
      <c r="A2464" s="85">
        <v>174904221976312</v>
      </c>
      <c r="B2464" s="82" t="s">
        <v>10651</v>
      </c>
      <c r="C2464" s="82" t="s">
        <v>11377</v>
      </c>
      <c r="D2464" s="82" t="s">
        <v>2708</v>
      </c>
      <c r="E2464" s="82">
        <v>6281217985917</v>
      </c>
      <c r="F2464" s="92">
        <v>45859</v>
      </c>
      <c r="G2464" s="87">
        <v>552</v>
      </c>
      <c r="H2464" s="88">
        <v>20315.709969788517</v>
      </c>
      <c r="I2464" s="89">
        <v>25</v>
      </c>
      <c r="J2464" s="90">
        <v>13449</v>
      </c>
      <c r="K2464" s="85">
        <v>3</v>
      </c>
      <c r="L2464" s="85">
        <v>166</v>
      </c>
      <c r="M2464" s="85">
        <v>1</v>
      </c>
      <c r="N2464" s="82" t="s">
        <v>11378</v>
      </c>
      <c r="O2464" s="93">
        <v>45860.651655092595</v>
      </c>
    </row>
    <row r="2465" spans="1:15" ht="22.5" customHeight="1">
      <c r="A2465" s="85">
        <v>174904221976312</v>
      </c>
      <c r="B2465" s="82" t="s">
        <v>10651</v>
      </c>
      <c r="C2465" s="82" t="s">
        <v>11342</v>
      </c>
      <c r="D2465" s="82" t="s">
        <v>2266</v>
      </c>
      <c r="E2465" s="82">
        <v>6282277773540</v>
      </c>
      <c r="F2465" s="92">
        <v>45859</v>
      </c>
      <c r="G2465" s="87">
        <v>910</v>
      </c>
      <c r="H2465" s="88">
        <v>13273.797841020609</v>
      </c>
      <c r="I2465" s="89">
        <v>25</v>
      </c>
      <c r="J2465" s="90">
        <v>13526</v>
      </c>
      <c r="K2465" s="85">
        <v>2</v>
      </c>
      <c r="L2465" s="85">
        <v>259</v>
      </c>
      <c r="M2465" s="85">
        <v>0</v>
      </c>
      <c r="N2465" s="82" t="s">
        <v>11343</v>
      </c>
      <c r="O2465" s="93">
        <v>45860.485393518517</v>
      </c>
    </row>
    <row r="2466" spans="1:15" ht="22.5" customHeight="1">
      <c r="A2466" s="85">
        <v>174904221976312</v>
      </c>
      <c r="B2466" s="82" t="s">
        <v>10651</v>
      </c>
      <c r="C2466" s="82" t="s">
        <v>11325</v>
      </c>
      <c r="D2466" s="82" t="s">
        <v>2274</v>
      </c>
      <c r="E2466" s="82">
        <v>6281316839343</v>
      </c>
      <c r="F2466" s="92">
        <v>45859</v>
      </c>
      <c r="G2466" s="87">
        <v>1231</v>
      </c>
      <c r="H2466" s="88">
        <v>10262.509064539521</v>
      </c>
      <c r="I2466" s="89">
        <v>64</v>
      </c>
      <c r="J2466" s="90">
        <v>14152</v>
      </c>
      <c r="K2466" s="85">
        <v>21</v>
      </c>
      <c r="L2466" s="85">
        <v>751</v>
      </c>
      <c r="M2466" s="85">
        <v>0</v>
      </c>
      <c r="N2466" s="82" t="s">
        <v>11344</v>
      </c>
      <c r="O2466" s="93">
        <v>45860.216967592591</v>
      </c>
    </row>
    <row r="2467" spans="1:15" ht="22.5" customHeight="1">
      <c r="A2467" s="85">
        <v>174904221976312</v>
      </c>
      <c r="B2467" s="82" t="s">
        <v>10651</v>
      </c>
      <c r="C2467" s="82" t="s">
        <v>11327</v>
      </c>
      <c r="D2467" s="82" t="s">
        <v>11345</v>
      </c>
      <c r="E2467" s="82">
        <v>6282339444339</v>
      </c>
      <c r="F2467" s="92">
        <v>45859</v>
      </c>
      <c r="G2467" s="87">
        <v>406</v>
      </c>
      <c r="H2467" s="88">
        <v>27409.411764705885</v>
      </c>
      <c r="I2467" s="89">
        <v>13</v>
      </c>
      <c r="J2467" s="90">
        <v>11649</v>
      </c>
      <c r="K2467" s="85">
        <v>2</v>
      </c>
      <c r="L2467" s="85">
        <v>231</v>
      </c>
      <c r="M2467" s="85">
        <v>0</v>
      </c>
      <c r="N2467" s="82" t="s">
        <v>11346</v>
      </c>
      <c r="O2467" s="93">
        <v>45860.216956018521</v>
      </c>
    </row>
    <row r="2468" spans="1:15" ht="22.5" customHeight="1">
      <c r="A2468" s="85">
        <v>174904221976312</v>
      </c>
      <c r="B2468" s="82" t="s">
        <v>10651</v>
      </c>
      <c r="C2468" s="82" t="s">
        <v>11329</v>
      </c>
      <c r="D2468" s="82" t="s">
        <v>11347</v>
      </c>
      <c r="E2468" s="82">
        <v>6287757150828</v>
      </c>
      <c r="F2468" s="92">
        <v>45859</v>
      </c>
      <c r="G2468" s="87">
        <v>302</v>
      </c>
      <c r="H2468" s="88">
        <v>38096.685082872929</v>
      </c>
      <c r="I2468" s="89">
        <v>9</v>
      </c>
      <c r="J2468" s="90">
        <v>13791</v>
      </c>
      <c r="K2468" s="85">
        <v>3</v>
      </c>
      <c r="L2468" s="85">
        <v>0</v>
      </c>
      <c r="M2468" s="85">
        <v>1</v>
      </c>
      <c r="N2468" s="82" t="s">
        <v>11348</v>
      </c>
      <c r="O2468" s="93">
        <v>45860.216967592591</v>
      </c>
    </row>
    <row r="2469" spans="1:15" ht="22.5" customHeight="1">
      <c r="A2469" s="85">
        <v>174904221976312</v>
      </c>
      <c r="B2469" s="82" t="s">
        <v>10651</v>
      </c>
      <c r="C2469" s="82" t="s">
        <v>11331</v>
      </c>
      <c r="D2469" s="82" t="s">
        <v>2280</v>
      </c>
      <c r="E2469" s="82">
        <v>6285384321677</v>
      </c>
      <c r="F2469" s="92">
        <v>45859</v>
      </c>
      <c r="G2469" s="87">
        <v>599</v>
      </c>
      <c r="H2469" s="88">
        <v>21030.346820809249</v>
      </c>
      <c r="I2469" s="89">
        <v>10</v>
      </c>
      <c r="J2469" s="90">
        <v>14553</v>
      </c>
      <c r="K2469" s="85">
        <v>2</v>
      </c>
      <c r="L2469" s="85">
        <v>132</v>
      </c>
      <c r="M2469" s="85">
        <v>0</v>
      </c>
      <c r="N2469" s="82" t="s">
        <v>11349</v>
      </c>
      <c r="O2469" s="93">
        <v>45860.216979166667</v>
      </c>
    </row>
    <row r="2470" spans="1:15" ht="22.5" customHeight="1">
      <c r="A2470" s="85">
        <v>174904221976312</v>
      </c>
      <c r="B2470" s="82" t="s">
        <v>10651</v>
      </c>
      <c r="C2470" s="82" t="s">
        <v>11309</v>
      </c>
      <c r="D2470" s="82" t="s">
        <v>11350</v>
      </c>
      <c r="E2470" s="82">
        <v>6281229745253</v>
      </c>
      <c r="F2470" s="92">
        <v>45859</v>
      </c>
      <c r="G2470" s="87">
        <v>197</v>
      </c>
      <c r="H2470" s="88">
        <v>55828.326180257514</v>
      </c>
      <c r="I2470" s="89">
        <v>10</v>
      </c>
      <c r="J2470" s="90">
        <v>13008</v>
      </c>
      <c r="K2470" s="85">
        <v>2</v>
      </c>
      <c r="L2470" s="85">
        <v>60</v>
      </c>
      <c r="M2470" s="85">
        <v>0</v>
      </c>
      <c r="N2470" s="82" t="s">
        <v>11351</v>
      </c>
      <c r="O2470" s="93">
        <v>45860.651655092595</v>
      </c>
    </row>
    <row r="2471" spans="1:15" ht="22.5" customHeight="1">
      <c r="A2471" s="85">
        <v>174904221976312</v>
      </c>
      <c r="B2471" s="82" t="s">
        <v>10651</v>
      </c>
      <c r="C2471" s="82" t="s">
        <v>11272</v>
      </c>
      <c r="D2471" s="82" t="s">
        <v>11273</v>
      </c>
      <c r="E2471" s="82">
        <v>6281253629810</v>
      </c>
      <c r="F2471" s="92">
        <v>45859</v>
      </c>
      <c r="G2471" s="87">
        <v>1238</v>
      </c>
      <c r="H2471" s="88">
        <v>7920.3262233375162</v>
      </c>
      <c r="I2471" s="89">
        <v>26</v>
      </c>
      <c r="J2471" s="90">
        <v>12625</v>
      </c>
      <c r="K2471" s="85">
        <v>1</v>
      </c>
      <c r="L2471" s="85">
        <v>295</v>
      </c>
      <c r="M2471" s="85">
        <v>2</v>
      </c>
      <c r="N2471" s="82" t="s">
        <v>11274</v>
      </c>
      <c r="O2471" s="93">
        <v>45860.505856481483</v>
      </c>
    </row>
    <row r="2472" spans="1:15" ht="22.5" customHeight="1">
      <c r="A2472" s="85">
        <v>174904221976312</v>
      </c>
      <c r="B2472" s="82" t="s">
        <v>10651</v>
      </c>
      <c r="C2472" s="82" t="s">
        <v>11282</v>
      </c>
      <c r="D2472" s="82" t="s">
        <v>1044</v>
      </c>
      <c r="E2472" s="82">
        <v>6281263113266</v>
      </c>
      <c r="F2472" s="92">
        <v>45859</v>
      </c>
      <c r="G2472" s="87">
        <v>1290</v>
      </c>
      <c r="H2472" s="88">
        <v>9675.1548520302822</v>
      </c>
      <c r="I2472" s="89">
        <v>61</v>
      </c>
      <c r="J2472" s="90">
        <v>14058</v>
      </c>
      <c r="K2472" s="85">
        <v>9</v>
      </c>
      <c r="L2472" s="85">
        <v>581</v>
      </c>
      <c r="M2472" s="85">
        <v>0</v>
      </c>
      <c r="N2472" s="82" t="s">
        <v>10728</v>
      </c>
      <c r="O2472" s="93">
        <v>45860.443773148145</v>
      </c>
    </row>
    <row r="2473" spans="1:15" ht="22.5" customHeight="1">
      <c r="A2473" s="85">
        <v>174904221976312</v>
      </c>
      <c r="B2473" s="82" t="s">
        <v>10651</v>
      </c>
      <c r="C2473" s="82" t="s">
        <v>11291</v>
      </c>
      <c r="D2473" s="82" t="s">
        <v>11292</v>
      </c>
      <c r="E2473" s="82">
        <v>6283183643221</v>
      </c>
      <c r="F2473" s="92">
        <v>45859</v>
      </c>
      <c r="G2473" s="87">
        <v>197</v>
      </c>
      <c r="H2473" s="88">
        <v>72278.301886792455</v>
      </c>
      <c r="I2473" s="89">
        <v>6</v>
      </c>
      <c r="J2473" s="90">
        <v>15323</v>
      </c>
      <c r="K2473" s="85">
        <v>0</v>
      </c>
      <c r="L2473" s="85">
        <v>74</v>
      </c>
      <c r="M2473" s="85">
        <v>0</v>
      </c>
      <c r="N2473" s="82" t="s">
        <v>11293</v>
      </c>
      <c r="O2473" s="93">
        <v>45860.485138888886</v>
      </c>
    </row>
    <row r="2474" spans="1:15" ht="22.5" customHeight="1">
      <c r="A2474" s="85">
        <v>174904221976312</v>
      </c>
      <c r="B2474" s="82" t="s">
        <v>10651</v>
      </c>
      <c r="C2474" s="82" t="s">
        <v>11225</v>
      </c>
      <c r="D2474" s="82" t="s">
        <v>11226</v>
      </c>
      <c r="E2474" s="82">
        <v>6281240144744</v>
      </c>
      <c r="F2474" s="92">
        <v>45859</v>
      </c>
      <c r="G2474" s="87">
        <v>1700</v>
      </c>
      <c r="H2474" s="88">
        <v>7277.1442736737736</v>
      </c>
      <c r="I2474" s="89">
        <v>44</v>
      </c>
      <c r="J2474" s="90">
        <v>14678</v>
      </c>
      <c r="K2474" s="85">
        <v>6</v>
      </c>
      <c r="L2474" s="85">
        <v>282</v>
      </c>
      <c r="M2474" s="85">
        <v>2</v>
      </c>
      <c r="N2474" s="82" t="s">
        <v>11227</v>
      </c>
      <c r="O2474" s="93">
        <v>45860.568344907406</v>
      </c>
    </row>
    <row r="2475" spans="1:15" ht="22.5" customHeight="1">
      <c r="A2475" s="85">
        <v>174904221976312</v>
      </c>
      <c r="B2475" s="82" t="s">
        <v>10651</v>
      </c>
      <c r="C2475" s="82" t="s">
        <v>11144</v>
      </c>
      <c r="D2475" s="82" t="s">
        <v>11145</v>
      </c>
      <c r="E2475" s="82">
        <v>6282128714101</v>
      </c>
      <c r="F2475" s="92">
        <v>45859</v>
      </c>
      <c r="G2475" s="87">
        <v>264</v>
      </c>
      <c r="H2475" s="88">
        <v>40661.442006269594</v>
      </c>
      <c r="I2475" s="89">
        <v>12</v>
      </c>
      <c r="J2475" s="90">
        <v>12971</v>
      </c>
      <c r="K2475" s="85">
        <v>0</v>
      </c>
      <c r="L2475" s="85">
        <v>43</v>
      </c>
      <c r="M2475" s="85">
        <v>0</v>
      </c>
      <c r="N2475" s="82" t="s">
        <v>11146</v>
      </c>
      <c r="O2475" s="93">
        <v>45860.568333333336</v>
      </c>
    </row>
    <row r="2476" spans="1:15" ht="22.5" customHeight="1">
      <c r="A2476" s="85">
        <v>174904221976312</v>
      </c>
      <c r="B2476" s="82" t="s">
        <v>10651</v>
      </c>
      <c r="C2476" s="82" t="s">
        <v>11153</v>
      </c>
      <c r="D2476" s="82" t="s">
        <v>11154</v>
      </c>
      <c r="E2476" s="82">
        <v>6285338137835</v>
      </c>
      <c r="F2476" s="92">
        <v>45859</v>
      </c>
      <c r="G2476" s="87">
        <v>395</v>
      </c>
      <c r="H2476" s="88">
        <v>29029.612756264236</v>
      </c>
      <c r="I2476" s="89">
        <v>4</v>
      </c>
      <c r="J2476" s="90">
        <v>12744</v>
      </c>
      <c r="K2476" s="85">
        <v>0</v>
      </c>
      <c r="L2476" s="85">
        <v>1</v>
      </c>
      <c r="M2476" s="85">
        <v>0</v>
      </c>
      <c r="N2476" s="82" t="s">
        <v>11155</v>
      </c>
      <c r="O2476" s="93">
        <v>45860.713888888888</v>
      </c>
    </row>
    <row r="2477" spans="1:15" ht="22.5" customHeight="1">
      <c r="A2477" s="85">
        <v>174904221976312</v>
      </c>
      <c r="B2477" s="82" t="s">
        <v>10651</v>
      </c>
      <c r="C2477" s="82" t="s">
        <v>1844</v>
      </c>
      <c r="D2477" s="82" t="s">
        <v>11379</v>
      </c>
      <c r="E2477" s="82">
        <v>6281287982295</v>
      </c>
      <c r="F2477" s="92">
        <v>45859</v>
      </c>
      <c r="G2477" s="87">
        <v>192</v>
      </c>
      <c r="H2477" s="88">
        <v>57702.7027027027</v>
      </c>
      <c r="I2477" s="89">
        <v>6</v>
      </c>
      <c r="J2477" s="90">
        <v>12810</v>
      </c>
      <c r="K2477" s="85">
        <v>2</v>
      </c>
      <c r="L2477" s="85">
        <v>105</v>
      </c>
      <c r="M2477" s="85">
        <v>0</v>
      </c>
      <c r="N2477" s="82" t="s">
        <v>11380</v>
      </c>
      <c r="O2477" s="93">
        <v>45860.506076388891</v>
      </c>
    </row>
    <row r="2478" spans="1:15" ht="22.5" customHeight="1">
      <c r="A2478" s="85">
        <v>174904221976312</v>
      </c>
      <c r="B2478" s="82" t="s">
        <v>10651</v>
      </c>
      <c r="C2478" s="82" t="s">
        <v>10853</v>
      </c>
      <c r="D2478" s="82" t="s">
        <v>10854</v>
      </c>
      <c r="E2478" s="82">
        <v>6281393958199</v>
      </c>
      <c r="F2478" s="92">
        <v>45859</v>
      </c>
      <c r="G2478" s="87">
        <v>656</v>
      </c>
      <c r="H2478" s="88">
        <v>18528.178243774571</v>
      </c>
      <c r="I2478" s="89">
        <v>21</v>
      </c>
      <c r="J2478" s="90">
        <v>14137</v>
      </c>
      <c r="K2478" s="85">
        <v>4</v>
      </c>
      <c r="L2478" s="85">
        <v>230</v>
      </c>
      <c r="M2478" s="85">
        <v>0</v>
      </c>
      <c r="N2478" s="82" t="s">
        <v>10855</v>
      </c>
      <c r="O2478" s="93">
        <v>45860.547719907408</v>
      </c>
    </row>
    <row r="2479" spans="1:15" ht="22.5" customHeight="1">
      <c r="A2479" s="85">
        <v>174904221976312</v>
      </c>
      <c r="B2479" s="82" t="s">
        <v>10651</v>
      </c>
      <c r="C2479" s="82" t="s">
        <v>818</v>
      </c>
      <c r="D2479" s="82" t="s">
        <v>812</v>
      </c>
      <c r="E2479" s="82">
        <v>6287858585808</v>
      </c>
      <c r="F2479" s="92">
        <v>45859</v>
      </c>
      <c r="G2479" s="87">
        <v>700</v>
      </c>
      <c r="H2479" s="88">
        <v>15118.836915297094</v>
      </c>
      <c r="I2479" s="89">
        <v>17</v>
      </c>
      <c r="J2479" s="90">
        <v>11959</v>
      </c>
      <c r="K2479" s="85">
        <v>1</v>
      </c>
      <c r="L2479" s="85">
        <v>195</v>
      </c>
      <c r="M2479" s="85">
        <v>0</v>
      </c>
      <c r="N2479" s="82" t="s">
        <v>10831</v>
      </c>
      <c r="O2479" s="93">
        <v>45860.589050925926</v>
      </c>
    </row>
    <row r="2480" spans="1:15" ht="22.5" customHeight="1">
      <c r="A2480" s="85">
        <v>174904221976312</v>
      </c>
      <c r="B2480" s="82" t="s">
        <v>10651</v>
      </c>
      <c r="C2480" s="82" t="s">
        <v>10655</v>
      </c>
      <c r="D2480" s="82" t="s">
        <v>3908</v>
      </c>
      <c r="E2480" s="82">
        <v>6285376667233</v>
      </c>
      <c r="F2480" s="92">
        <v>45859</v>
      </c>
      <c r="G2480" s="87">
        <v>1159</v>
      </c>
      <c r="H2480" s="88">
        <v>10263.076923076924</v>
      </c>
      <c r="I2480" s="89">
        <v>26</v>
      </c>
      <c r="J2480" s="90">
        <v>13342</v>
      </c>
      <c r="K2480" s="85">
        <v>5</v>
      </c>
      <c r="L2480" s="85">
        <v>408</v>
      </c>
      <c r="M2480" s="85">
        <v>0</v>
      </c>
      <c r="N2480" s="82" t="s">
        <v>10832</v>
      </c>
      <c r="O2480" s="93">
        <v>45859.893969907411</v>
      </c>
    </row>
    <row r="2481" spans="1:15" ht="22.5" customHeight="1">
      <c r="A2481" s="85">
        <v>174904221976312</v>
      </c>
      <c r="B2481" s="82" t="s">
        <v>10651</v>
      </c>
      <c r="C2481" s="82" t="s">
        <v>10657</v>
      </c>
      <c r="D2481" s="82" t="s">
        <v>1239</v>
      </c>
      <c r="E2481" s="82">
        <v>6282172291579</v>
      </c>
      <c r="F2481" s="92">
        <v>45859</v>
      </c>
      <c r="G2481" s="87">
        <v>678</v>
      </c>
      <c r="H2481" s="88">
        <v>15013.651877133105</v>
      </c>
      <c r="I2481" s="89">
        <v>55</v>
      </c>
      <c r="J2481" s="90">
        <v>13197</v>
      </c>
      <c r="K2481" s="85">
        <v>3</v>
      </c>
      <c r="L2481" s="85">
        <v>359</v>
      </c>
      <c r="M2481" s="85">
        <v>5</v>
      </c>
      <c r="N2481" s="82" t="s">
        <v>10658</v>
      </c>
      <c r="O2481" s="93">
        <v>45860.631157407406</v>
      </c>
    </row>
    <row r="2482" spans="1:15" ht="22.5" customHeight="1">
      <c r="A2482" s="85">
        <v>174904221976312</v>
      </c>
      <c r="B2482" s="82" t="s">
        <v>10651</v>
      </c>
      <c r="C2482" s="82" t="s">
        <v>63</v>
      </c>
      <c r="D2482" s="82" t="s">
        <v>55</v>
      </c>
      <c r="E2482" s="82">
        <v>6282226594414</v>
      </c>
      <c r="F2482" s="92">
        <v>45859</v>
      </c>
      <c r="G2482" s="87">
        <v>4655</v>
      </c>
      <c r="H2482" s="88">
        <v>2714.5949846653439</v>
      </c>
      <c r="I2482" s="89">
        <v>187</v>
      </c>
      <c r="J2482" s="90">
        <v>15047</v>
      </c>
      <c r="K2482" s="85">
        <v>10</v>
      </c>
      <c r="L2482" s="85">
        <v>1229</v>
      </c>
      <c r="M2482" s="85">
        <v>5</v>
      </c>
      <c r="N2482" s="82" t="s">
        <v>10661</v>
      </c>
      <c r="O2482" s="93">
        <v>45860.216956018521</v>
      </c>
    </row>
    <row r="2483" spans="1:15" ht="22.5" customHeight="1">
      <c r="A2483" s="85">
        <v>174904221976312</v>
      </c>
      <c r="B2483" s="82" t="s">
        <v>10651</v>
      </c>
      <c r="C2483" s="82" t="s">
        <v>10662</v>
      </c>
      <c r="D2483" s="82" t="s">
        <v>10663</v>
      </c>
      <c r="E2483" s="82">
        <v>62882001677470</v>
      </c>
      <c r="F2483" s="92">
        <v>45859</v>
      </c>
      <c r="G2483" s="87">
        <v>445</v>
      </c>
      <c r="H2483" s="88">
        <v>25124.045801526714</v>
      </c>
      <c r="I2483" s="89">
        <v>11</v>
      </c>
      <c r="J2483" s="90">
        <v>13165</v>
      </c>
      <c r="K2483" s="85">
        <v>0</v>
      </c>
      <c r="L2483" s="85">
        <v>166</v>
      </c>
      <c r="M2483" s="85">
        <v>0</v>
      </c>
      <c r="N2483" s="82" t="s">
        <v>10664</v>
      </c>
      <c r="O2483" s="93">
        <v>45860.526759259257</v>
      </c>
    </row>
    <row r="2484" spans="1:15" ht="22.5" customHeight="1">
      <c r="A2484" s="85">
        <v>174904221976312</v>
      </c>
      <c r="B2484" s="82" t="s">
        <v>10651</v>
      </c>
      <c r="C2484" s="82" t="s">
        <v>11078</v>
      </c>
      <c r="D2484" s="82" t="s">
        <v>3140</v>
      </c>
      <c r="E2484" s="82"/>
      <c r="F2484" s="92">
        <v>45859</v>
      </c>
      <c r="G2484" s="87">
        <v>2659</v>
      </c>
      <c r="H2484" s="88">
        <v>3593.5072142064373</v>
      </c>
      <c r="I2484" s="89">
        <v>59</v>
      </c>
      <c r="J2484" s="90">
        <v>12951</v>
      </c>
      <c r="K2484" s="85">
        <v>4</v>
      </c>
      <c r="L2484" s="85">
        <v>175</v>
      </c>
      <c r="M2484" s="85">
        <v>0</v>
      </c>
      <c r="N2484" s="82" t="s">
        <v>11079</v>
      </c>
      <c r="O2484" s="93">
        <v>45860.463750000003</v>
      </c>
    </row>
    <row r="2485" spans="1:15" ht="22.5" customHeight="1">
      <c r="A2485" s="85">
        <v>766589657993298</v>
      </c>
      <c r="B2485" s="82" t="s">
        <v>10688</v>
      </c>
      <c r="C2485" s="82" t="s">
        <v>11455</v>
      </c>
      <c r="D2485" s="82" t="s">
        <v>11456</v>
      </c>
      <c r="E2485" s="82">
        <v>62895329361572</v>
      </c>
      <c r="F2485" s="92">
        <v>45859</v>
      </c>
      <c r="G2485" s="87">
        <v>344</v>
      </c>
      <c r="H2485" s="88">
        <v>38243.654822335026</v>
      </c>
      <c r="I2485" s="89">
        <v>3</v>
      </c>
      <c r="J2485" s="90">
        <v>15068</v>
      </c>
      <c r="K2485" s="85">
        <v>1</v>
      </c>
      <c r="L2485" s="85">
        <v>123</v>
      </c>
      <c r="M2485" s="85">
        <v>0</v>
      </c>
      <c r="N2485" s="82" t="s">
        <v>11457</v>
      </c>
      <c r="O2485" s="93">
        <v>45860.758888888886</v>
      </c>
    </row>
    <row r="2486" spans="1:15" ht="22.5" customHeight="1">
      <c r="A2486" s="85">
        <v>766589657993298</v>
      </c>
      <c r="B2486" s="82" t="s">
        <v>10688</v>
      </c>
      <c r="C2486" s="82" t="s">
        <v>11458</v>
      </c>
      <c r="D2486" s="82" t="s">
        <v>11459</v>
      </c>
      <c r="E2486" s="82">
        <v>6287821760177</v>
      </c>
      <c r="F2486" s="92">
        <v>45859</v>
      </c>
      <c r="G2486" s="87">
        <v>469</v>
      </c>
      <c r="H2486" s="88">
        <v>24289.735099337748</v>
      </c>
      <c r="I2486" s="89">
        <v>15</v>
      </c>
      <c r="J2486" s="90">
        <v>14671</v>
      </c>
      <c r="K2486" s="85">
        <v>4</v>
      </c>
      <c r="L2486" s="85">
        <v>197</v>
      </c>
      <c r="M2486" s="85">
        <v>0</v>
      </c>
      <c r="N2486" s="82" t="s">
        <v>11460</v>
      </c>
      <c r="O2486" s="93">
        <v>45860.800000000003</v>
      </c>
    </row>
    <row r="2487" spans="1:15" ht="22.5" customHeight="1">
      <c r="A2487" s="85">
        <v>766589657993298</v>
      </c>
      <c r="B2487" s="82" t="s">
        <v>10688</v>
      </c>
      <c r="C2487" s="82" t="s">
        <v>11461</v>
      </c>
      <c r="D2487" s="82" t="s">
        <v>11462</v>
      </c>
      <c r="E2487" s="82">
        <v>62882015555380</v>
      </c>
      <c r="F2487" s="92">
        <v>45859</v>
      </c>
      <c r="G2487" s="87">
        <v>929</v>
      </c>
      <c r="H2487" s="88">
        <v>14753.975678203929</v>
      </c>
      <c r="I2487" s="89">
        <v>38</v>
      </c>
      <c r="J2487" s="90">
        <v>15772</v>
      </c>
      <c r="K2487" s="85">
        <v>8</v>
      </c>
      <c r="L2487" s="85">
        <v>348</v>
      </c>
      <c r="M2487" s="85">
        <v>0</v>
      </c>
      <c r="N2487" s="82" t="s">
        <v>11463</v>
      </c>
      <c r="O2487" s="93">
        <v>45860.717118055552</v>
      </c>
    </row>
    <row r="2488" spans="1:15" ht="22.5" customHeight="1">
      <c r="A2488" s="85">
        <v>766589657993298</v>
      </c>
      <c r="B2488" s="82" t="s">
        <v>10688</v>
      </c>
      <c r="C2488" s="82" t="s">
        <v>11433</v>
      </c>
      <c r="D2488" s="82" t="s">
        <v>11434</v>
      </c>
      <c r="E2488" s="82">
        <v>6287878863000</v>
      </c>
      <c r="F2488" s="92">
        <v>45859</v>
      </c>
      <c r="G2488" s="87">
        <v>425</v>
      </c>
      <c r="H2488" s="88">
        <v>32560.000000000004</v>
      </c>
      <c r="I2488" s="89">
        <v>8</v>
      </c>
      <c r="J2488" s="90">
        <v>15466</v>
      </c>
      <c r="K2488" s="85">
        <v>0</v>
      </c>
      <c r="L2488" s="85">
        <v>91</v>
      </c>
      <c r="M2488" s="85">
        <v>0</v>
      </c>
      <c r="N2488" s="82" t="s">
        <v>11435</v>
      </c>
      <c r="O2488" s="93">
        <v>45860.799988425926</v>
      </c>
    </row>
    <row r="2489" spans="1:15" ht="22.5" customHeight="1">
      <c r="A2489" s="85">
        <v>766589657993298</v>
      </c>
      <c r="B2489" s="82" t="s">
        <v>10688</v>
      </c>
      <c r="C2489" s="82" t="s">
        <v>11436</v>
      </c>
      <c r="D2489" s="82" t="s">
        <v>5697</v>
      </c>
      <c r="E2489" s="82">
        <v>6281311129854</v>
      </c>
      <c r="F2489" s="92">
        <v>45859</v>
      </c>
      <c r="G2489" s="87">
        <v>476</v>
      </c>
      <c r="H2489" s="88">
        <v>28244.247787610617</v>
      </c>
      <c r="I2489" s="89">
        <v>10</v>
      </c>
      <c r="J2489" s="90">
        <v>15958</v>
      </c>
      <c r="K2489" s="85">
        <v>1</v>
      </c>
      <c r="L2489" s="85">
        <v>136</v>
      </c>
      <c r="M2489" s="85">
        <v>0</v>
      </c>
      <c r="N2489" s="82" t="s">
        <v>11437</v>
      </c>
      <c r="O2489" s="93">
        <v>45860.550115740742</v>
      </c>
    </row>
    <row r="2490" spans="1:15" ht="22.5" customHeight="1">
      <c r="A2490" s="85">
        <v>766589657993298</v>
      </c>
      <c r="B2490" s="82" t="s">
        <v>10688</v>
      </c>
      <c r="C2490" s="82" t="s">
        <v>11438</v>
      </c>
      <c r="D2490" s="82" t="s">
        <v>11439</v>
      </c>
      <c r="E2490" s="82">
        <v>628116655901</v>
      </c>
      <c r="F2490" s="92">
        <v>45859</v>
      </c>
      <c r="G2490" s="87">
        <v>940</v>
      </c>
      <c r="H2490" s="88">
        <v>13160.239931448159</v>
      </c>
      <c r="I2490" s="89">
        <v>24</v>
      </c>
      <c r="J2490" s="90">
        <v>15358</v>
      </c>
      <c r="K2490" s="85">
        <v>2</v>
      </c>
      <c r="L2490" s="85">
        <v>255</v>
      </c>
      <c r="M2490" s="85">
        <v>0</v>
      </c>
      <c r="N2490" s="82" t="s">
        <v>11440</v>
      </c>
      <c r="O2490" s="93">
        <v>45860.758900462963</v>
      </c>
    </row>
    <row r="2491" spans="1:15" ht="22.5" customHeight="1">
      <c r="A2491" s="85">
        <v>766589657993298</v>
      </c>
      <c r="B2491" s="82" t="s">
        <v>10688</v>
      </c>
      <c r="C2491" s="82" t="s">
        <v>11441</v>
      </c>
      <c r="D2491" s="82" t="s">
        <v>11442</v>
      </c>
      <c r="E2491" s="82">
        <v>6287734875393</v>
      </c>
      <c r="F2491" s="92">
        <v>45859</v>
      </c>
      <c r="G2491" s="87">
        <v>591</v>
      </c>
      <c r="H2491" s="88">
        <v>22850</v>
      </c>
      <c r="I2491" s="89">
        <v>8</v>
      </c>
      <c r="J2491" s="90">
        <v>15538</v>
      </c>
      <c r="K2491" s="85">
        <v>0</v>
      </c>
      <c r="L2491" s="85">
        <v>89</v>
      </c>
      <c r="M2491" s="85">
        <v>0</v>
      </c>
      <c r="N2491" s="82" t="s">
        <v>11443</v>
      </c>
      <c r="O2491" s="93">
        <v>45860.737638888888</v>
      </c>
    </row>
    <row r="2492" spans="1:15" ht="22.5" customHeight="1">
      <c r="A2492" s="85">
        <v>766589657993298</v>
      </c>
      <c r="B2492" s="82" t="s">
        <v>10688</v>
      </c>
      <c r="C2492" s="82" t="s">
        <v>11411</v>
      </c>
      <c r="D2492" s="82" t="s">
        <v>2529</v>
      </c>
      <c r="E2492" s="82">
        <v>6287888068088</v>
      </c>
      <c r="F2492" s="92">
        <v>45859</v>
      </c>
      <c r="G2492" s="87">
        <v>209</v>
      </c>
      <c r="H2492" s="88">
        <v>66508.620689655174</v>
      </c>
      <c r="I2492" s="89">
        <v>3</v>
      </c>
      <c r="J2492" s="90">
        <v>15430</v>
      </c>
      <c r="K2492" s="85">
        <v>2</v>
      </c>
      <c r="L2492" s="85">
        <v>70</v>
      </c>
      <c r="M2492" s="85">
        <v>0</v>
      </c>
      <c r="N2492" s="82" t="s">
        <v>11412</v>
      </c>
      <c r="O2492" s="93">
        <v>45860.654641203706</v>
      </c>
    </row>
    <row r="2493" spans="1:15" ht="22.5" customHeight="1">
      <c r="A2493" s="85">
        <v>766589657993298</v>
      </c>
      <c r="B2493" s="82" t="s">
        <v>10688</v>
      </c>
      <c r="C2493" s="82" t="s">
        <v>11413</v>
      </c>
      <c r="D2493" s="82" t="s">
        <v>5697</v>
      </c>
      <c r="E2493" s="82">
        <v>6281385001244</v>
      </c>
      <c r="F2493" s="92">
        <v>45859</v>
      </c>
      <c r="G2493" s="87">
        <v>449</v>
      </c>
      <c r="H2493" s="88">
        <v>27251.386321626618</v>
      </c>
      <c r="I2493" s="89">
        <v>14</v>
      </c>
      <c r="J2493" s="90">
        <v>14743</v>
      </c>
      <c r="K2493" s="85">
        <v>2</v>
      </c>
      <c r="L2493" s="85">
        <v>127</v>
      </c>
      <c r="M2493" s="85">
        <v>0</v>
      </c>
      <c r="N2493" s="82" t="s">
        <v>11414</v>
      </c>
      <c r="O2493" s="93">
        <v>45860.758900462963</v>
      </c>
    </row>
    <row r="2494" spans="1:15" ht="22.5" customHeight="1">
      <c r="A2494" s="85">
        <v>766589657993298</v>
      </c>
      <c r="B2494" s="82" t="s">
        <v>10688</v>
      </c>
      <c r="C2494" s="82" t="s">
        <v>11415</v>
      </c>
      <c r="D2494" s="82" t="s">
        <v>11416</v>
      </c>
      <c r="E2494" s="82">
        <v>6281298551100</v>
      </c>
      <c r="F2494" s="92">
        <v>45859</v>
      </c>
      <c r="G2494" s="87">
        <v>210</v>
      </c>
      <c r="H2494" s="88">
        <v>62331.950207468879</v>
      </c>
      <c r="I2494" s="89">
        <v>11</v>
      </c>
      <c r="J2494" s="90">
        <v>15022</v>
      </c>
      <c r="K2494" s="85">
        <v>3</v>
      </c>
      <c r="L2494" s="85">
        <v>48</v>
      </c>
      <c r="M2494" s="85">
        <v>0</v>
      </c>
      <c r="N2494" s="82" t="s">
        <v>11417</v>
      </c>
      <c r="O2494" s="93">
        <v>45860.779710648145</v>
      </c>
    </row>
    <row r="2495" spans="1:15" ht="22.5" customHeight="1">
      <c r="A2495" s="85">
        <v>766589657993298</v>
      </c>
      <c r="B2495" s="82" t="s">
        <v>10688</v>
      </c>
      <c r="C2495" s="82" t="s">
        <v>11418</v>
      </c>
      <c r="D2495" s="82" t="s">
        <v>2480</v>
      </c>
      <c r="E2495" s="82">
        <v>6287856230745</v>
      </c>
      <c r="F2495" s="92">
        <v>45859</v>
      </c>
      <c r="G2495" s="87">
        <v>383</v>
      </c>
      <c r="H2495" s="88">
        <v>39866.962305986694</v>
      </c>
      <c r="I2495" s="89">
        <v>14</v>
      </c>
      <c r="J2495" s="90">
        <v>17980</v>
      </c>
      <c r="K2495" s="85">
        <v>5</v>
      </c>
      <c r="L2495" s="85">
        <v>118</v>
      </c>
      <c r="M2495" s="85">
        <v>0</v>
      </c>
      <c r="N2495" s="82" t="s">
        <v>11419</v>
      </c>
      <c r="O2495" s="93">
        <v>45860.487719907411</v>
      </c>
    </row>
    <row r="2496" spans="1:15" ht="22.5" customHeight="1">
      <c r="A2496" s="85">
        <v>766589657993298</v>
      </c>
      <c r="B2496" s="82" t="s">
        <v>10688</v>
      </c>
      <c r="C2496" s="82" t="s">
        <v>11381</v>
      </c>
      <c r="D2496" s="82" t="s">
        <v>2385</v>
      </c>
      <c r="E2496" s="82">
        <v>6281317170441</v>
      </c>
      <c r="F2496" s="92">
        <v>45859</v>
      </c>
      <c r="G2496" s="87">
        <v>463</v>
      </c>
      <c r="H2496" s="88">
        <v>29428.030303030304</v>
      </c>
      <c r="I2496" s="89">
        <v>17</v>
      </c>
      <c r="J2496" s="90">
        <v>15538</v>
      </c>
      <c r="K2496" s="85">
        <v>3</v>
      </c>
      <c r="L2496" s="85">
        <v>81</v>
      </c>
      <c r="M2496" s="85">
        <v>0</v>
      </c>
      <c r="N2496" s="82" t="s">
        <v>11382</v>
      </c>
      <c r="O2496" s="93">
        <v>45860.696180555555</v>
      </c>
    </row>
    <row r="2497" spans="1:15" ht="22.5" customHeight="1">
      <c r="A2497" s="85">
        <v>759724529202804</v>
      </c>
      <c r="B2497" s="82" t="s">
        <v>10621</v>
      </c>
      <c r="C2497" s="82" t="s">
        <v>11394</v>
      </c>
      <c r="D2497" s="82" t="s">
        <v>1277</v>
      </c>
      <c r="E2497" s="82">
        <v>6281269441611</v>
      </c>
      <c r="F2497" s="92">
        <v>45860</v>
      </c>
      <c r="G2497" s="87">
        <v>2566</v>
      </c>
      <c r="H2497" s="88">
        <v>5222.4442224442228</v>
      </c>
      <c r="I2497" s="89">
        <v>74</v>
      </c>
      <c r="J2497" s="90">
        <v>15683</v>
      </c>
      <c r="K2497" s="85">
        <v>3</v>
      </c>
      <c r="L2497" s="85">
        <v>4</v>
      </c>
      <c r="M2497" s="85">
        <v>2</v>
      </c>
      <c r="N2497" s="82" t="s">
        <v>11395</v>
      </c>
      <c r="O2497" s="93">
        <v>45861.693078703705</v>
      </c>
    </row>
    <row r="2498" spans="1:15" ht="22.5" customHeight="1">
      <c r="A2498" s="85">
        <v>759724529202804</v>
      </c>
      <c r="B2498" s="82" t="s">
        <v>10621</v>
      </c>
      <c r="C2498" s="82" t="s">
        <v>11070</v>
      </c>
      <c r="D2498" s="82" t="s">
        <v>11071</v>
      </c>
      <c r="E2498" s="82">
        <v>6281246211381</v>
      </c>
      <c r="F2498" s="92">
        <v>45860</v>
      </c>
      <c r="G2498" s="87">
        <v>785</v>
      </c>
      <c r="H2498" s="88">
        <v>18805.721096543504</v>
      </c>
      <c r="I2498" s="89">
        <v>29</v>
      </c>
      <c r="J2498" s="90">
        <v>15778</v>
      </c>
      <c r="K2498" s="85">
        <v>5</v>
      </c>
      <c r="L2498" s="85">
        <v>20</v>
      </c>
      <c r="M2498" s="85">
        <v>2</v>
      </c>
      <c r="N2498" s="82" t="s">
        <v>11072</v>
      </c>
      <c r="O2498" s="93">
        <v>45861.672673611109</v>
      </c>
    </row>
    <row r="2499" spans="1:15" ht="22.5" customHeight="1">
      <c r="A2499" s="85">
        <v>759724529202804</v>
      </c>
      <c r="B2499" s="82" t="s">
        <v>10621</v>
      </c>
      <c r="C2499" s="82" t="s">
        <v>11016</v>
      </c>
      <c r="D2499" s="82" t="s">
        <v>1530</v>
      </c>
      <c r="E2499" s="82">
        <v>628111988553</v>
      </c>
      <c r="F2499" s="92">
        <v>45860</v>
      </c>
      <c r="G2499" s="87">
        <v>275</v>
      </c>
      <c r="H2499" s="88">
        <v>52764.900662251654</v>
      </c>
      <c r="I2499" s="89">
        <v>17</v>
      </c>
      <c r="J2499" s="90">
        <v>15935</v>
      </c>
      <c r="K2499" s="85">
        <v>1</v>
      </c>
      <c r="L2499" s="85">
        <v>0</v>
      </c>
      <c r="M2499" s="85">
        <v>1</v>
      </c>
      <c r="N2499" s="82" t="s">
        <v>11017</v>
      </c>
      <c r="O2499" s="93">
        <v>45861.568379629629</v>
      </c>
    </row>
    <row r="2500" spans="1:15" ht="22.5" customHeight="1">
      <c r="A2500" s="85">
        <v>759724529202804</v>
      </c>
      <c r="B2500" s="82" t="s">
        <v>10621</v>
      </c>
      <c r="C2500" s="82" t="s">
        <v>10925</v>
      </c>
      <c r="D2500" s="82" t="s">
        <v>10926</v>
      </c>
      <c r="E2500" s="82">
        <v>6281233038880</v>
      </c>
      <c r="F2500" s="92">
        <v>45860</v>
      </c>
      <c r="G2500" s="87">
        <v>284</v>
      </c>
      <c r="H2500" s="88">
        <v>48160.990712074301</v>
      </c>
      <c r="I2500" s="89">
        <v>8</v>
      </c>
      <c r="J2500" s="90">
        <v>15556</v>
      </c>
      <c r="K2500" s="85">
        <v>3</v>
      </c>
      <c r="L2500" s="85">
        <v>2</v>
      </c>
      <c r="M2500" s="85">
        <v>0</v>
      </c>
      <c r="N2500" s="82" t="s">
        <v>10927</v>
      </c>
      <c r="O2500" s="93">
        <v>45861.214513888888</v>
      </c>
    </row>
    <row r="2501" spans="1:15" ht="22.5" customHeight="1">
      <c r="A2501" s="85">
        <v>174904221976312</v>
      </c>
      <c r="B2501" s="82" t="s">
        <v>10651</v>
      </c>
      <c r="C2501" s="82" t="s">
        <v>11464</v>
      </c>
      <c r="D2501" s="82" t="s">
        <v>11465</v>
      </c>
      <c r="E2501" s="82">
        <v>62816904358</v>
      </c>
      <c r="F2501" s="92">
        <v>45860</v>
      </c>
      <c r="G2501" s="87">
        <v>400</v>
      </c>
      <c r="H2501" s="88">
        <v>24996.015936254982</v>
      </c>
      <c r="I2501" s="89">
        <v>25</v>
      </c>
      <c r="J2501" s="90">
        <v>12548</v>
      </c>
      <c r="K2501" s="85">
        <v>4</v>
      </c>
      <c r="L2501" s="85">
        <v>30</v>
      </c>
      <c r="M2501" s="85">
        <v>0</v>
      </c>
      <c r="N2501" s="82" t="s">
        <v>11466</v>
      </c>
      <c r="O2501" s="93">
        <v>45861.630937499998</v>
      </c>
    </row>
    <row r="2502" spans="1:15" ht="22.5" customHeight="1">
      <c r="A2502" s="85">
        <v>174904221976312</v>
      </c>
      <c r="B2502" s="82" t="s">
        <v>10651</v>
      </c>
      <c r="C2502" s="82" t="s">
        <v>11467</v>
      </c>
      <c r="D2502" s="82" t="s">
        <v>11468</v>
      </c>
      <c r="E2502" s="82">
        <v>6282169354443</v>
      </c>
      <c r="F2502" s="92">
        <v>45860</v>
      </c>
      <c r="G2502" s="87">
        <v>834</v>
      </c>
      <c r="H2502" s="88">
        <v>11803.534303534305</v>
      </c>
      <c r="I2502" s="89">
        <v>36</v>
      </c>
      <c r="J2502" s="90">
        <v>11355</v>
      </c>
      <c r="K2502" s="85">
        <v>2</v>
      </c>
      <c r="L2502" s="85">
        <v>44</v>
      </c>
      <c r="M2502" s="85">
        <v>1</v>
      </c>
      <c r="N2502" s="82" t="s">
        <v>11469</v>
      </c>
      <c r="O2502" s="93">
        <v>45861.734710648147</v>
      </c>
    </row>
    <row r="2503" spans="1:15" ht="22.5" customHeight="1">
      <c r="A2503" s="85">
        <v>174904221976312</v>
      </c>
      <c r="B2503" s="82" t="s">
        <v>10651</v>
      </c>
      <c r="C2503" s="82" t="s">
        <v>11470</v>
      </c>
      <c r="D2503" s="82" t="s">
        <v>11471</v>
      </c>
      <c r="E2503" s="82">
        <v>6281225745133</v>
      </c>
      <c r="F2503" s="92">
        <v>45860</v>
      </c>
      <c r="G2503" s="87">
        <v>317</v>
      </c>
      <c r="H2503" s="88">
        <v>30641.618497109826</v>
      </c>
      <c r="I2503" s="89">
        <v>8</v>
      </c>
      <c r="J2503" s="90">
        <v>10602</v>
      </c>
      <c r="K2503" s="85">
        <v>1</v>
      </c>
      <c r="L2503" s="85">
        <v>13</v>
      </c>
      <c r="M2503" s="85">
        <v>0</v>
      </c>
      <c r="N2503" s="82" t="s">
        <v>11472</v>
      </c>
      <c r="O2503" s="93">
        <v>45861.63071759259</v>
      </c>
    </row>
    <row r="2504" spans="1:15" ht="22.5" customHeight="1">
      <c r="A2504" s="85">
        <v>174904221976312</v>
      </c>
      <c r="B2504" s="82" t="s">
        <v>10651</v>
      </c>
      <c r="C2504" s="82" t="s">
        <v>11473</v>
      </c>
      <c r="D2504" s="82" t="s">
        <v>2659</v>
      </c>
      <c r="E2504" s="82">
        <v>6287762707927</v>
      </c>
      <c r="F2504" s="92">
        <v>45860</v>
      </c>
      <c r="G2504" s="87">
        <v>390</v>
      </c>
      <c r="H2504" s="88">
        <v>29609.090909090908</v>
      </c>
      <c r="I2504" s="89">
        <v>22</v>
      </c>
      <c r="J2504" s="90">
        <v>13028</v>
      </c>
      <c r="K2504" s="85">
        <v>5</v>
      </c>
      <c r="L2504" s="85">
        <v>208</v>
      </c>
      <c r="M2504" s="85">
        <v>0</v>
      </c>
      <c r="N2504" s="82" t="s">
        <v>11474</v>
      </c>
      <c r="O2504" s="93">
        <v>45861.63071759259</v>
      </c>
    </row>
    <row r="2505" spans="1:15" ht="22.5" customHeight="1">
      <c r="A2505" s="85">
        <v>174904221976312</v>
      </c>
      <c r="B2505" s="82" t="s">
        <v>10651</v>
      </c>
      <c r="C2505" s="82" t="s">
        <v>11475</v>
      </c>
      <c r="D2505" s="82" t="s">
        <v>2708</v>
      </c>
      <c r="E2505" s="82">
        <v>6281219329853</v>
      </c>
      <c r="F2505" s="92">
        <v>45860</v>
      </c>
      <c r="G2505" s="87">
        <v>556</v>
      </c>
      <c r="H2505" s="88">
        <v>19602.76073619632</v>
      </c>
      <c r="I2505" s="89">
        <v>17</v>
      </c>
      <c r="J2505" s="90">
        <v>12781</v>
      </c>
      <c r="K2505" s="85">
        <v>4</v>
      </c>
      <c r="L2505" s="85">
        <v>19</v>
      </c>
      <c r="M2505" s="85">
        <v>0</v>
      </c>
      <c r="N2505" s="82" t="s">
        <v>11476</v>
      </c>
      <c r="O2505" s="93">
        <v>45861.651712962965</v>
      </c>
    </row>
    <row r="2506" spans="1:15" ht="22.5" customHeight="1">
      <c r="A2506" s="85">
        <v>174904221976312</v>
      </c>
      <c r="B2506" s="82" t="s">
        <v>10651</v>
      </c>
      <c r="C2506" s="82" t="s">
        <v>11477</v>
      </c>
      <c r="D2506" s="82" t="s">
        <v>11478</v>
      </c>
      <c r="E2506" s="82">
        <v>6283131677011</v>
      </c>
      <c r="F2506" s="92">
        <v>45860</v>
      </c>
      <c r="G2506" s="87">
        <v>568</v>
      </c>
      <c r="H2506" s="88">
        <v>18441.481481481482</v>
      </c>
      <c r="I2506" s="89">
        <v>30</v>
      </c>
      <c r="J2506" s="90">
        <v>12448</v>
      </c>
      <c r="K2506" s="85">
        <v>2</v>
      </c>
      <c r="L2506" s="85">
        <v>15</v>
      </c>
      <c r="M2506" s="85">
        <v>0</v>
      </c>
      <c r="N2506" s="82" t="s">
        <v>11479</v>
      </c>
      <c r="O2506" s="93">
        <v>45861.672731481478</v>
      </c>
    </row>
    <row r="2507" spans="1:15" ht="22.5" customHeight="1">
      <c r="A2507" s="85">
        <v>174904221976312</v>
      </c>
      <c r="B2507" s="82" t="s">
        <v>10651</v>
      </c>
      <c r="C2507" s="82" t="s">
        <v>11480</v>
      </c>
      <c r="D2507" s="82" t="s">
        <v>2729</v>
      </c>
      <c r="E2507" s="82">
        <v>6282123039124</v>
      </c>
      <c r="F2507" s="92">
        <v>45860</v>
      </c>
      <c r="G2507" s="87">
        <v>872</v>
      </c>
      <c r="H2507" s="88">
        <v>12573.786407766989</v>
      </c>
      <c r="I2507" s="89">
        <v>18</v>
      </c>
      <c r="J2507" s="90">
        <v>12951</v>
      </c>
      <c r="K2507" s="85">
        <v>2</v>
      </c>
      <c r="L2507" s="85">
        <v>44</v>
      </c>
      <c r="M2507" s="85">
        <v>0</v>
      </c>
      <c r="N2507" s="82" t="s">
        <v>11481</v>
      </c>
      <c r="O2507" s="93">
        <v>45861.65152777778</v>
      </c>
    </row>
    <row r="2508" spans="1:15" ht="22.5" customHeight="1">
      <c r="A2508" s="85">
        <v>174904221976312</v>
      </c>
      <c r="B2508" s="82" t="s">
        <v>10651</v>
      </c>
      <c r="C2508" s="82" t="s">
        <v>11482</v>
      </c>
      <c r="D2508" s="82" t="s">
        <v>11483</v>
      </c>
      <c r="E2508" s="82">
        <v>6285741977776</v>
      </c>
      <c r="F2508" s="92">
        <v>45860</v>
      </c>
      <c r="G2508" s="87">
        <v>228</v>
      </c>
      <c r="H2508" s="88">
        <v>47107.142857142855</v>
      </c>
      <c r="I2508" s="89">
        <v>17</v>
      </c>
      <c r="J2508" s="90">
        <v>13190</v>
      </c>
      <c r="K2508" s="85">
        <v>5</v>
      </c>
      <c r="L2508" s="85">
        <v>43</v>
      </c>
      <c r="M2508" s="85">
        <v>0</v>
      </c>
      <c r="N2508" s="82" t="s">
        <v>11484</v>
      </c>
      <c r="O2508" s="93">
        <v>45861.672453703701</v>
      </c>
    </row>
    <row r="2509" spans="1:15" ht="22.5" customHeight="1">
      <c r="A2509" s="85">
        <v>174904221976312</v>
      </c>
      <c r="B2509" s="82" t="s">
        <v>10651</v>
      </c>
      <c r="C2509" s="82" t="s">
        <v>11446</v>
      </c>
      <c r="D2509" s="82" t="s">
        <v>11447</v>
      </c>
      <c r="E2509" s="82">
        <v>6281999375257</v>
      </c>
      <c r="F2509" s="92">
        <v>45860</v>
      </c>
      <c r="G2509" s="87">
        <v>693</v>
      </c>
      <c r="H2509" s="88">
        <v>14858.632676709154</v>
      </c>
      <c r="I2509" s="89">
        <v>21</v>
      </c>
      <c r="J2509" s="90">
        <v>12823</v>
      </c>
      <c r="K2509" s="85">
        <v>2</v>
      </c>
      <c r="L2509" s="85">
        <v>2</v>
      </c>
      <c r="M2509" s="85">
        <v>0</v>
      </c>
      <c r="N2509" s="82" t="s">
        <v>11448</v>
      </c>
      <c r="O2509" s="93">
        <v>45861.589375000003</v>
      </c>
    </row>
    <row r="2510" spans="1:15" ht="22.5" customHeight="1">
      <c r="A2510" s="85">
        <v>174904221976312</v>
      </c>
      <c r="B2510" s="82" t="s">
        <v>10651</v>
      </c>
      <c r="C2510" s="82" t="s">
        <v>11449</v>
      </c>
      <c r="D2510" s="82" t="s">
        <v>11450</v>
      </c>
      <c r="E2510" s="82">
        <v>6285773570295</v>
      </c>
      <c r="F2510" s="92">
        <v>45860</v>
      </c>
      <c r="G2510" s="87">
        <v>950</v>
      </c>
      <c r="H2510" s="88">
        <v>12584.302325581395</v>
      </c>
      <c r="I2510" s="89">
        <v>91</v>
      </c>
      <c r="J2510" s="90">
        <v>12987</v>
      </c>
      <c r="K2510" s="85">
        <v>19</v>
      </c>
      <c r="L2510" s="85">
        <v>1</v>
      </c>
      <c r="M2510" s="85">
        <v>2</v>
      </c>
      <c r="N2510" s="82" t="s">
        <v>11451</v>
      </c>
      <c r="O2510" s="93">
        <v>45861.63071759259</v>
      </c>
    </row>
    <row r="2511" spans="1:15" ht="22.5" customHeight="1">
      <c r="A2511" s="85">
        <v>174904221976312</v>
      </c>
      <c r="B2511" s="82" t="s">
        <v>10651</v>
      </c>
      <c r="C2511" s="82" t="s">
        <v>11452</v>
      </c>
      <c r="D2511" s="82" t="s">
        <v>11453</v>
      </c>
      <c r="E2511" s="82">
        <v>6281215284044</v>
      </c>
      <c r="F2511" s="92">
        <v>45860</v>
      </c>
      <c r="G2511" s="87">
        <v>400</v>
      </c>
      <c r="H2511" s="88">
        <v>25082.94930875576</v>
      </c>
      <c r="I2511" s="89">
        <v>8</v>
      </c>
      <c r="J2511" s="90">
        <v>10886</v>
      </c>
      <c r="K2511" s="85">
        <v>1</v>
      </c>
      <c r="L2511" s="85">
        <v>0</v>
      </c>
      <c r="M2511" s="85">
        <v>0</v>
      </c>
      <c r="N2511" s="82" t="s">
        <v>11454</v>
      </c>
      <c r="O2511" s="93">
        <v>45861.672453703701</v>
      </c>
    </row>
    <row r="2512" spans="1:15" ht="22.5" customHeight="1">
      <c r="A2512" s="85">
        <v>174904221976312</v>
      </c>
      <c r="B2512" s="82" t="s">
        <v>10651</v>
      </c>
      <c r="C2512" s="82" t="s">
        <v>11422</v>
      </c>
      <c r="D2512" s="82" t="s">
        <v>11145</v>
      </c>
      <c r="E2512" s="82">
        <v>6282128714101</v>
      </c>
      <c r="F2512" s="92">
        <v>45860</v>
      </c>
      <c r="G2512" s="87">
        <v>301</v>
      </c>
      <c r="H2512" s="88">
        <v>38959.677419354841</v>
      </c>
      <c r="I2512" s="89">
        <v>11</v>
      </c>
      <c r="J2512" s="90">
        <v>14493</v>
      </c>
      <c r="K2512" s="85">
        <v>2</v>
      </c>
      <c r="L2512" s="85">
        <v>37</v>
      </c>
      <c r="M2512" s="85">
        <v>0</v>
      </c>
      <c r="N2512" s="82" t="s">
        <v>11423</v>
      </c>
      <c r="O2512" s="93">
        <v>45861.609884259262</v>
      </c>
    </row>
    <row r="2513" spans="1:15" ht="22.5" customHeight="1">
      <c r="A2513" s="85">
        <v>174904221976312</v>
      </c>
      <c r="B2513" s="82" t="s">
        <v>10651</v>
      </c>
      <c r="C2513" s="82" t="s">
        <v>11424</v>
      </c>
      <c r="D2513" s="82" t="s">
        <v>11425</v>
      </c>
      <c r="E2513" s="82">
        <v>6283891332074</v>
      </c>
      <c r="F2513" s="92">
        <v>45860</v>
      </c>
      <c r="G2513" s="87">
        <v>280</v>
      </c>
      <c r="H2513" s="88">
        <v>37626.168224299065</v>
      </c>
      <c r="I2513" s="89">
        <v>6</v>
      </c>
      <c r="J2513" s="90">
        <v>12078</v>
      </c>
      <c r="K2513" s="85">
        <v>1</v>
      </c>
      <c r="L2513" s="85">
        <v>65</v>
      </c>
      <c r="M2513" s="85">
        <v>0</v>
      </c>
      <c r="N2513" s="82" t="s">
        <v>11426</v>
      </c>
      <c r="O2513" s="93">
        <v>45861.505787037036</v>
      </c>
    </row>
    <row r="2514" spans="1:15" ht="22.5" customHeight="1">
      <c r="A2514" s="85">
        <v>174904221976312</v>
      </c>
      <c r="B2514" s="82" t="s">
        <v>10651</v>
      </c>
      <c r="C2514" s="82" t="s">
        <v>11427</v>
      </c>
      <c r="D2514" s="82" t="s">
        <v>11428</v>
      </c>
      <c r="E2514" s="82">
        <v>6285268101557</v>
      </c>
      <c r="F2514" s="92">
        <v>45860</v>
      </c>
      <c r="G2514" s="87">
        <v>1054</v>
      </c>
      <c r="H2514" s="88">
        <v>10050.084889643464</v>
      </c>
      <c r="I2514" s="89">
        <v>13</v>
      </c>
      <c r="J2514" s="90">
        <v>11839</v>
      </c>
      <c r="K2514" s="85">
        <v>1</v>
      </c>
      <c r="L2514" s="85">
        <v>476</v>
      </c>
      <c r="M2514" s="85">
        <v>0</v>
      </c>
      <c r="N2514" s="82" t="s">
        <v>11429</v>
      </c>
      <c r="O2514" s="93">
        <v>45861.776689814818</v>
      </c>
    </row>
    <row r="2515" spans="1:15" ht="22.5" customHeight="1">
      <c r="A2515" s="85">
        <v>174904221976312</v>
      </c>
      <c r="B2515" s="82" t="s">
        <v>10651</v>
      </c>
      <c r="C2515" s="82" t="s">
        <v>11430</v>
      </c>
      <c r="D2515" s="82" t="s">
        <v>11431</v>
      </c>
      <c r="E2515" s="82">
        <v>6281252595912</v>
      </c>
      <c r="F2515" s="92">
        <v>45860</v>
      </c>
      <c r="G2515" s="87">
        <v>1756</v>
      </c>
      <c r="H2515" s="88">
        <v>6669.1804927099047</v>
      </c>
      <c r="I2515" s="89">
        <v>37</v>
      </c>
      <c r="J2515" s="90">
        <v>13265</v>
      </c>
      <c r="K2515" s="85">
        <v>4</v>
      </c>
      <c r="L2515" s="85">
        <v>2</v>
      </c>
      <c r="M2515" s="85">
        <v>0</v>
      </c>
      <c r="N2515" s="82" t="s">
        <v>11432</v>
      </c>
      <c r="O2515" s="93">
        <v>45861.672465277778</v>
      </c>
    </row>
    <row r="2516" spans="1:15" ht="22.5" customHeight="1">
      <c r="A2516" s="85">
        <v>174904221976312</v>
      </c>
      <c r="B2516" s="82" t="s">
        <v>10651</v>
      </c>
      <c r="C2516" s="82" t="s">
        <v>11396</v>
      </c>
      <c r="D2516" s="82" t="s">
        <v>11397</v>
      </c>
      <c r="E2516" s="82">
        <v>6285789446955</v>
      </c>
      <c r="F2516" s="92">
        <v>45860</v>
      </c>
      <c r="G2516" s="87">
        <v>844</v>
      </c>
      <c r="H2516" s="88">
        <v>13829.457364341086</v>
      </c>
      <c r="I2516" s="89">
        <v>20</v>
      </c>
      <c r="J2516" s="90">
        <v>14272</v>
      </c>
      <c r="K2516" s="85">
        <v>0</v>
      </c>
      <c r="L2516" s="85">
        <v>174</v>
      </c>
      <c r="M2516" s="85">
        <v>1</v>
      </c>
      <c r="N2516" s="82" t="s">
        <v>11398</v>
      </c>
      <c r="O2516" s="93">
        <v>45861.505520833336</v>
      </c>
    </row>
    <row r="2517" spans="1:15" ht="22.5" customHeight="1">
      <c r="A2517" s="85">
        <v>174904221976312</v>
      </c>
      <c r="B2517" s="82" t="s">
        <v>10651</v>
      </c>
      <c r="C2517" s="82" t="s">
        <v>11399</v>
      </c>
      <c r="D2517" s="82" t="s">
        <v>11400</v>
      </c>
      <c r="E2517" s="82">
        <v>6281933176790</v>
      </c>
      <c r="F2517" s="92">
        <v>45860</v>
      </c>
      <c r="G2517" s="87">
        <v>260</v>
      </c>
      <c r="H2517" s="88">
        <v>45368.231046931403</v>
      </c>
      <c r="I2517" s="89">
        <v>6</v>
      </c>
      <c r="J2517" s="90">
        <v>12567</v>
      </c>
      <c r="K2517" s="85">
        <v>1</v>
      </c>
      <c r="L2517" s="85">
        <v>125</v>
      </c>
      <c r="M2517" s="85">
        <v>0</v>
      </c>
      <c r="N2517" s="82" t="s">
        <v>11401</v>
      </c>
      <c r="O2517" s="93">
        <v>45861.547951388886</v>
      </c>
    </row>
    <row r="2518" spans="1:15" ht="22.5" customHeight="1">
      <c r="A2518" s="85">
        <v>174904221976312</v>
      </c>
      <c r="B2518" s="82" t="s">
        <v>10651</v>
      </c>
      <c r="C2518" s="82" t="s">
        <v>11402</v>
      </c>
      <c r="D2518" s="82" t="s">
        <v>11403</v>
      </c>
      <c r="E2518" s="82">
        <v>6283870060603</v>
      </c>
      <c r="F2518" s="92">
        <v>45860</v>
      </c>
      <c r="G2518" s="87">
        <v>1833</v>
      </c>
      <c r="H2518" s="88">
        <v>6978.0982905982901</v>
      </c>
      <c r="I2518" s="89">
        <v>37</v>
      </c>
      <c r="J2518" s="90">
        <v>13063</v>
      </c>
      <c r="K2518" s="85">
        <v>0</v>
      </c>
      <c r="L2518" s="85">
        <v>319</v>
      </c>
      <c r="M2518" s="85">
        <v>0</v>
      </c>
      <c r="N2518" s="82" t="s">
        <v>11404</v>
      </c>
      <c r="O2518" s="93">
        <v>45861.589120370372</v>
      </c>
    </row>
    <row r="2519" spans="1:15" ht="22.5" customHeight="1">
      <c r="A2519" s="85">
        <v>174904221976312</v>
      </c>
      <c r="B2519" s="82" t="s">
        <v>10651</v>
      </c>
      <c r="C2519" s="82" t="s">
        <v>11405</v>
      </c>
      <c r="D2519" s="82" t="s">
        <v>11406</v>
      </c>
      <c r="E2519" s="82">
        <v>6282307376695</v>
      </c>
      <c r="F2519" s="92">
        <v>45860</v>
      </c>
      <c r="G2519" s="87">
        <v>1339</v>
      </c>
      <c r="H2519" s="88">
        <v>9125.7783312577831</v>
      </c>
      <c r="I2519" s="89">
        <v>46</v>
      </c>
      <c r="J2519" s="90">
        <v>14656</v>
      </c>
      <c r="K2519" s="85">
        <v>0</v>
      </c>
      <c r="L2519" s="85">
        <v>338</v>
      </c>
      <c r="M2519" s="85">
        <v>1</v>
      </c>
      <c r="N2519" s="82" t="s">
        <v>11407</v>
      </c>
      <c r="O2519" s="93">
        <v>45861.589131944442</v>
      </c>
    </row>
    <row r="2520" spans="1:15" ht="22.5" customHeight="1">
      <c r="A2520" s="85">
        <v>174904221976312</v>
      </c>
      <c r="B2520" s="82" t="s">
        <v>10651</v>
      </c>
      <c r="C2520" s="82" t="s">
        <v>11408</v>
      </c>
      <c r="D2520" s="82" t="s">
        <v>2463</v>
      </c>
      <c r="E2520" s="82">
        <v>628563562851</v>
      </c>
      <c r="F2520" s="92">
        <v>45860</v>
      </c>
      <c r="G2520" s="87">
        <v>365</v>
      </c>
      <c r="H2520" s="88">
        <v>34046.838407494142</v>
      </c>
      <c r="I2520" s="89">
        <v>17</v>
      </c>
      <c r="J2520" s="90">
        <v>14538</v>
      </c>
      <c r="K2520" s="85">
        <v>2</v>
      </c>
      <c r="L2520" s="85">
        <v>201</v>
      </c>
      <c r="M2520" s="85">
        <v>1</v>
      </c>
      <c r="N2520" s="82" t="s">
        <v>11409</v>
      </c>
      <c r="O2520" s="93">
        <v>45861.505497685182</v>
      </c>
    </row>
    <row r="2521" spans="1:15" ht="22.5" customHeight="1">
      <c r="A2521" s="85">
        <v>174904221976312</v>
      </c>
      <c r="B2521" s="82" t="s">
        <v>10651</v>
      </c>
      <c r="C2521" s="82" t="s">
        <v>11367</v>
      </c>
      <c r="D2521" s="82" t="s">
        <v>2449</v>
      </c>
      <c r="E2521" s="82">
        <v>6281223055720</v>
      </c>
      <c r="F2521" s="92">
        <v>45860</v>
      </c>
      <c r="G2521" s="87">
        <v>4514</v>
      </c>
      <c r="H2521" s="88">
        <v>2915.2719665271966</v>
      </c>
      <c r="I2521" s="89">
        <v>29</v>
      </c>
      <c r="J2521" s="90">
        <v>13935</v>
      </c>
      <c r="K2521" s="85">
        <v>0</v>
      </c>
      <c r="L2521" s="85">
        <v>2596</v>
      </c>
      <c r="M2521" s="85">
        <v>0</v>
      </c>
      <c r="N2521" s="82" t="s">
        <v>11368</v>
      </c>
      <c r="O2521" s="93">
        <v>45861.213680555556</v>
      </c>
    </row>
    <row r="2522" spans="1:15" ht="22.5" customHeight="1">
      <c r="A2522" s="85">
        <v>174904221976312</v>
      </c>
      <c r="B2522" s="82" t="s">
        <v>10651</v>
      </c>
      <c r="C2522" s="82" t="s">
        <v>11369</v>
      </c>
      <c r="D2522" s="82" t="s">
        <v>11370</v>
      </c>
      <c r="E2522" s="82">
        <v>6285714141525</v>
      </c>
      <c r="F2522" s="92">
        <v>45860</v>
      </c>
      <c r="G2522" s="87">
        <v>216</v>
      </c>
      <c r="H2522" s="88">
        <v>56053.639846743295</v>
      </c>
      <c r="I2522" s="89">
        <v>16</v>
      </c>
      <c r="J2522" s="90">
        <v>14630</v>
      </c>
      <c r="K2522" s="85">
        <v>4</v>
      </c>
      <c r="L2522" s="85">
        <v>117</v>
      </c>
      <c r="M2522" s="85">
        <v>0</v>
      </c>
      <c r="N2522" s="82" t="s">
        <v>11371</v>
      </c>
      <c r="O2522" s="93">
        <v>45861.216574074075</v>
      </c>
    </row>
    <row r="2523" spans="1:15" ht="22.5" customHeight="1">
      <c r="A2523" s="85">
        <v>174904221976312</v>
      </c>
      <c r="B2523" s="82" t="s">
        <v>10651</v>
      </c>
      <c r="C2523" s="82" t="s">
        <v>11372</v>
      </c>
      <c r="D2523" s="82" t="s">
        <v>11373</v>
      </c>
      <c r="E2523" s="82">
        <v>6283147736523</v>
      </c>
      <c r="F2523" s="92">
        <v>45860</v>
      </c>
      <c r="G2523" s="87">
        <v>1140</v>
      </c>
      <c r="H2523" s="88">
        <v>10240.768094534711</v>
      </c>
      <c r="I2523" s="89">
        <v>34</v>
      </c>
      <c r="J2523" s="90">
        <v>13866</v>
      </c>
      <c r="K2523" s="85">
        <v>4</v>
      </c>
      <c r="L2523" s="85">
        <v>80</v>
      </c>
      <c r="M2523" s="85">
        <v>0</v>
      </c>
      <c r="N2523" s="82" t="s">
        <v>11374</v>
      </c>
      <c r="O2523" s="93">
        <v>45861.216550925928</v>
      </c>
    </row>
    <row r="2524" spans="1:15" ht="22.5" customHeight="1">
      <c r="A2524" s="85">
        <v>174904221976312</v>
      </c>
      <c r="B2524" s="82" t="s">
        <v>10651</v>
      </c>
      <c r="C2524" s="82" t="s">
        <v>11375</v>
      </c>
      <c r="D2524" s="82" t="s">
        <v>7857</v>
      </c>
      <c r="E2524" s="82">
        <v>6283865096870</v>
      </c>
      <c r="F2524" s="92">
        <v>45860</v>
      </c>
      <c r="G2524" s="87">
        <v>1019</v>
      </c>
      <c r="H2524" s="88">
        <v>10346.34974533107</v>
      </c>
      <c r="I2524" s="89">
        <v>10</v>
      </c>
      <c r="J2524" s="90">
        <v>12188</v>
      </c>
      <c r="K2524" s="85">
        <v>1</v>
      </c>
      <c r="L2524" s="85">
        <v>0</v>
      </c>
      <c r="M2524" s="85">
        <v>0</v>
      </c>
      <c r="N2524" s="82" t="s">
        <v>11376</v>
      </c>
      <c r="O2524" s="93">
        <v>45861.216550925928</v>
      </c>
    </row>
    <row r="2525" spans="1:15" ht="22.5" customHeight="1">
      <c r="A2525" s="85">
        <v>174904221976312</v>
      </c>
      <c r="B2525" s="82" t="s">
        <v>10651</v>
      </c>
      <c r="C2525" s="82" t="s">
        <v>11377</v>
      </c>
      <c r="D2525" s="82" t="s">
        <v>2708</v>
      </c>
      <c r="E2525" s="82">
        <v>6281217985917</v>
      </c>
      <c r="F2525" s="92">
        <v>45860</v>
      </c>
      <c r="G2525" s="87">
        <v>591</v>
      </c>
      <c r="H2525" s="88">
        <v>20422.857142857145</v>
      </c>
      <c r="I2525" s="89">
        <v>23</v>
      </c>
      <c r="J2525" s="90">
        <v>14296</v>
      </c>
      <c r="K2525" s="85">
        <v>5</v>
      </c>
      <c r="L2525" s="85">
        <v>207</v>
      </c>
      <c r="M2525" s="85">
        <v>1</v>
      </c>
      <c r="N2525" s="82" t="s">
        <v>11378</v>
      </c>
      <c r="O2525" s="93">
        <v>45861.216562499998</v>
      </c>
    </row>
    <row r="2526" spans="1:15" ht="22.5" customHeight="1">
      <c r="A2526" s="85">
        <v>174904221976312</v>
      </c>
      <c r="B2526" s="82" t="s">
        <v>10651</v>
      </c>
      <c r="C2526" s="82" t="s">
        <v>11342</v>
      </c>
      <c r="D2526" s="82" t="s">
        <v>2266</v>
      </c>
      <c r="E2526" s="82">
        <v>6282277773540</v>
      </c>
      <c r="F2526" s="92">
        <v>45860</v>
      </c>
      <c r="G2526" s="87">
        <v>937</v>
      </c>
      <c r="H2526" s="88">
        <v>12260.496183206105</v>
      </c>
      <c r="I2526" s="89">
        <v>17</v>
      </c>
      <c r="J2526" s="90">
        <v>12849</v>
      </c>
      <c r="K2526" s="85">
        <v>1</v>
      </c>
      <c r="L2526" s="85">
        <v>230</v>
      </c>
      <c r="M2526" s="85">
        <v>0</v>
      </c>
      <c r="N2526" s="82" t="s">
        <v>11343</v>
      </c>
      <c r="O2526" s="93">
        <v>45861.216562499998</v>
      </c>
    </row>
    <row r="2527" spans="1:15" ht="22.5" customHeight="1">
      <c r="A2527" s="85">
        <v>174904221976312</v>
      </c>
      <c r="B2527" s="82" t="s">
        <v>10651</v>
      </c>
      <c r="C2527" s="82" t="s">
        <v>11309</v>
      </c>
      <c r="D2527" s="82" t="s">
        <v>11350</v>
      </c>
      <c r="E2527" s="82">
        <v>6281229745253</v>
      </c>
      <c r="F2527" s="92">
        <v>45860</v>
      </c>
      <c r="G2527" s="87">
        <v>183</v>
      </c>
      <c r="H2527" s="88">
        <v>51620.408163265303</v>
      </c>
      <c r="I2527" s="89">
        <v>21</v>
      </c>
      <c r="J2527" s="90">
        <v>12647</v>
      </c>
      <c r="K2527" s="85">
        <v>3</v>
      </c>
      <c r="L2527" s="85">
        <v>5</v>
      </c>
      <c r="M2527" s="85">
        <v>0</v>
      </c>
      <c r="N2527" s="82" t="s">
        <v>11351</v>
      </c>
      <c r="O2527" s="93">
        <v>45861.527013888888</v>
      </c>
    </row>
    <row r="2528" spans="1:15" ht="22.5" customHeight="1">
      <c r="A2528" s="85">
        <v>174904221976312</v>
      </c>
      <c r="B2528" s="82" t="s">
        <v>10651</v>
      </c>
      <c r="C2528" s="82" t="s">
        <v>11272</v>
      </c>
      <c r="D2528" s="82" t="s">
        <v>11273</v>
      </c>
      <c r="E2528" s="82">
        <v>6281253629810</v>
      </c>
      <c r="F2528" s="92">
        <v>45860</v>
      </c>
      <c r="G2528" s="87">
        <v>1320</v>
      </c>
      <c r="H2528" s="88">
        <v>9133.7423312883438</v>
      </c>
      <c r="I2528" s="89">
        <v>20</v>
      </c>
      <c r="J2528" s="90">
        <v>14888</v>
      </c>
      <c r="K2528" s="85">
        <v>0</v>
      </c>
      <c r="L2528" s="85">
        <v>0</v>
      </c>
      <c r="M2528" s="85">
        <v>0</v>
      </c>
      <c r="N2528" s="82" t="s">
        <v>11274</v>
      </c>
      <c r="O2528" s="93">
        <v>45861.216550925928</v>
      </c>
    </row>
    <row r="2529" spans="1:15" ht="22.5" customHeight="1">
      <c r="A2529" s="85">
        <v>174904221976312</v>
      </c>
      <c r="B2529" s="82" t="s">
        <v>10651</v>
      </c>
      <c r="C2529" s="82" t="s">
        <v>11282</v>
      </c>
      <c r="D2529" s="82" t="s">
        <v>1044</v>
      </c>
      <c r="E2529" s="82">
        <v>6281263113266</v>
      </c>
      <c r="F2529" s="92">
        <v>45860</v>
      </c>
      <c r="G2529" s="87">
        <v>1430</v>
      </c>
      <c r="H2529" s="88">
        <v>9738.2297551789088</v>
      </c>
      <c r="I2529" s="89">
        <v>52</v>
      </c>
      <c r="J2529" s="90">
        <v>15513</v>
      </c>
      <c r="K2529" s="85">
        <v>2</v>
      </c>
      <c r="L2529" s="85">
        <v>586</v>
      </c>
      <c r="M2529" s="85">
        <v>0</v>
      </c>
      <c r="N2529" s="82" t="s">
        <v>10728</v>
      </c>
      <c r="O2529" s="93">
        <v>45861.216550925928</v>
      </c>
    </row>
    <row r="2530" spans="1:15" ht="22.5" customHeight="1">
      <c r="A2530" s="85">
        <v>174904221976312</v>
      </c>
      <c r="B2530" s="82" t="s">
        <v>10651</v>
      </c>
      <c r="C2530" s="82" t="s">
        <v>11291</v>
      </c>
      <c r="D2530" s="82" t="s">
        <v>11292</v>
      </c>
      <c r="E2530" s="82">
        <v>6283183643221</v>
      </c>
      <c r="F2530" s="92">
        <v>45860</v>
      </c>
      <c r="G2530" s="87">
        <v>88</v>
      </c>
      <c r="H2530" s="88">
        <v>144125</v>
      </c>
      <c r="I2530" s="89">
        <v>4</v>
      </c>
      <c r="J2530" s="90">
        <v>13836</v>
      </c>
      <c r="K2530" s="85">
        <v>0</v>
      </c>
      <c r="L2530" s="85">
        <v>37</v>
      </c>
      <c r="M2530" s="85">
        <v>0</v>
      </c>
      <c r="N2530" s="82" t="s">
        <v>11293</v>
      </c>
      <c r="O2530" s="93">
        <v>45861.589363425926</v>
      </c>
    </row>
    <row r="2531" spans="1:15" ht="22.5" customHeight="1">
      <c r="A2531" s="85">
        <v>174904221976312</v>
      </c>
      <c r="B2531" s="82" t="s">
        <v>10651</v>
      </c>
      <c r="C2531" s="82" t="s">
        <v>11225</v>
      </c>
      <c r="D2531" s="82" t="s">
        <v>11226</v>
      </c>
      <c r="E2531" s="82">
        <v>6281240144744</v>
      </c>
      <c r="F2531" s="92">
        <v>45860</v>
      </c>
      <c r="G2531" s="87">
        <v>1728</v>
      </c>
      <c r="H2531" s="88">
        <v>5703.0332681017608</v>
      </c>
      <c r="I2531" s="89">
        <v>29</v>
      </c>
      <c r="J2531" s="90">
        <v>11657</v>
      </c>
      <c r="K2531" s="85">
        <v>1</v>
      </c>
      <c r="L2531" s="85">
        <v>253</v>
      </c>
      <c r="M2531" s="85">
        <v>0</v>
      </c>
      <c r="N2531" s="82" t="s">
        <v>11227</v>
      </c>
      <c r="O2531" s="93">
        <v>45861.651516203703</v>
      </c>
    </row>
    <row r="2532" spans="1:15" ht="22.5" customHeight="1">
      <c r="A2532" s="85">
        <v>174904221976312</v>
      </c>
      <c r="B2532" s="82" t="s">
        <v>10651</v>
      </c>
      <c r="C2532" s="82" t="s">
        <v>11144</v>
      </c>
      <c r="D2532" s="82" t="s">
        <v>11145</v>
      </c>
      <c r="E2532" s="82">
        <v>6282128714101</v>
      </c>
      <c r="F2532" s="92">
        <v>45860</v>
      </c>
      <c r="G2532" s="87">
        <v>293</v>
      </c>
      <c r="H2532" s="88">
        <v>31039.787798408488</v>
      </c>
      <c r="I2532" s="89">
        <v>14</v>
      </c>
      <c r="J2532" s="90">
        <v>11702</v>
      </c>
      <c r="K2532" s="85">
        <v>1</v>
      </c>
      <c r="L2532" s="85">
        <v>32</v>
      </c>
      <c r="M2532" s="85">
        <v>0</v>
      </c>
      <c r="N2532" s="82" t="s">
        <v>11146</v>
      </c>
      <c r="O2532" s="93">
        <v>45861.589363425926</v>
      </c>
    </row>
    <row r="2533" spans="1:15" ht="22.5" customHeight="1">
      <c r="A2533" s="85">
        <v>174904221976312</v>
      </c>
      <c r="B2533" s="82" t="s">
        <v>10651</v>
      </c>
      <c r="C2533" s="82" t="s">
        <v>11153</v>
      </c>
      <c r="D2533" s="82" t="s">
        <v>11154</v>
      </c>
      <c r="E2533" s="82">
        <v>6285338137835</v>
      </c>
      <c r="F2533" s="92">
        <v>45860</v>
      </c>
      <c r="G2533" s="87">
        <v>342</v>
      </c>
      <c r="H2533" s="88">
        <v>37402.5</v>
      </c>
      <c r="I2533" s="89">
        <v>18</v>
      </c>
      <c r="J2533" s="90">
        <v>14961</v>
      </c>
      <c r="K2533" s="85">
        <v>5</v>
      </c>
      <c r="L2533" s="85">
        <v>11</v>
      </c>
      <c r="M2533" s="85">
        <v>0</v>
      </c>
      <c r="N2533" s="82" t="s">
        <v>11155</v>
      </c>
      <c r="O2533" s="93">
        <v>45861.568553240744</v>
      </c>
    </row>
    <row r="2534" spans="1:15" ht="22.5" customHeight="1">
      <c r="A2534" s="85">
        <v>174904221976312</v>
      </c>
      <c r="B2534" s="82" t="s">
        <v>10651</v>
      </c>
      <c r="C2534" s="82" t="s">
        <v>1844</v>
      </c>
      <c r="D2534" s="82" t="s">
        <v>11379</v>
      </c>
      <c r="E2534" s="82">
        <v>6281287982295</v>
      </c>
      <c r="F2534" s="92">
        <v>45860</v>
      </c>
      <c r="G2534" s="87">
        <v>199</v>
      </c>
      <c r="H2534" s="88">
        <v>65013.82488479263</v>
      </c>
      <c r="I2534" s="89">
        <v>9</v>
      </c>
      <c r="J2534" s="90">
        <v>14108</v>
      </c>
      <c r="K2534" s="85">
        <v>2</v>
      </c>
      <c r="L2534" s="85">
        <v>90</v>
      </c>
      <c r="M2534" s="85">
        <v>0</v>
      </c>
      <c r="N2534" s="82" t="s">
        <v>11380</v>
      </c>
      <c r="O2534" s="93">
        <v>45861.422534722224</v>
      </c>
    </row>
    <row r="2535" spans="1:15" ht="22.5" customHeight="1">
      <c r="A2535" s="85">
        <v>174904221976312</v>
      </c>
      <c r="B2535" s="82" t="s">
        <v>10651</v>
      </c>
      <c r="C2535" s="82" t="s">
        <v>10943</v>
      </c>
      <c r="D2535" s="82" t="s">
        <v>10944</v>
      </c>
      <c r="E2535" s="82">
        <v>6285240694097</v>
      </c>
      <c r="F2535" s="92">
        <v>45860</v>
      </c>
      <c r="G2535" s="87">
        <v>895</v>
      </c>
      <c r="H2535" s="88">
        <v>12437.663469921536</v>
      </c>
      <c r="I2535" s="89">
        <v>35</v>
      </c>
      <c r="J2535" s="90">
        <v>14266</v>
      </c>
      <c r="K2535" s="85">
        <v>3</v>
      </c>
      <c r="L2535" s="85">
        <v>122</v>
      </c>
      <c r="M2535" s="85">
        <v>0</v>
      </c>
      <c r="N2535" s="82" t="s">
        <v>10945</v>
      </c>
      <c r="O2535" s="93">
        <v>45861.505497685182</v>
      </c>
    </row>
    <row r="2536" spans="1:15" ht="22.5" customHeight="1">
      <c r="A2536" s="85">
        <v>174904221976312</v>
      </c>
      <c r="B2536" s="82" t="s">
        <v>10651</v>
      </c>
      <c r="C2536" s="82" t="s">
        <v>10853</v>
      </c>
      <c r="D2536" s="82" t="s">
        <v>10854</v>
      </c>
      <c r="E2536" s="82">
        <v>6281393958199</v>
      </c>
      <c r="F2536" s="92">
        <v>45860</v>
      </c>
      <c r="G2536" s="87">
        <v>661</v>
      </c>
      <c r="H2536" s="88">
        <v>18500</v>
      </c>
      <c r="I2536" s="89">
        <v>10</v>
      </c>
      <c r="J2536" s="90">
        <v>13838</v>
      </c>
      <c r="K2536" s="85">
        <v>0</v>
      </c>
      <c r="L2536" s="85">
        <v>224</v>
      </c>
      <c r="M2536" s="85">
        <v>0</v>
      </c>
      <c r="N2536" s="82" t="s">
        <v>10855</v>
      </c>
      <c r="O2536" s="93">
        <v>45861.609722222223</v>
      </c>
    </row>
    <row r="2537" spans="1:15" ht="22.5" customHeight="1">
      <c r="A2537" s="85">
        <v>174904221976312</v>
      </c>
      <c r="B2537" s="82" t="s">
        <v>10651</v>
      </c>
      <c r="C2537" s="82" t="s">
        <v>818</v>
      </c>
      <c r="D2537" s="82" t="s">
        <v>812</v>
      </c>
      <c r="E2537" s="82">
        <v>6287858585808</v>
      </c>
      <c r="F2537" s="92">
        <v>45860</v>
      </c>
      <c r="G2537" s="87">
        <v>878</v>
      </c>
      <c r="H2537" s="88">
        <v>13421.206225680933</v>
      </c>
      <c r="I2537" s="89">
        <v>25</v>
      </c>
      <c r="J2537" s="90">
        <v>13797</v>
      </c>
      <c r="K2537" s="85">
        <v>3</v>
      </c>
      <c r="L2537" s="85">
        <v>205</v>
      </c>
      <c r="M2537" s="85">
        <v>0</v>
      </c>
      <c r="N2537" s="82" t="s">
        <v>10831</v>
      </c>
      <c r="O2537" s="93">
        <v>45861.568553240744</v>
      </c>
    </row>
    <row r="2538" spans="1:15" ht="22.5" customHeight="1">
      <c r="A2538" s="85">
        <v>174904221976312</v>
      </c>
      <c r="B2538" s="82" t="s">
        <v>10651</v>
      </c>
      <c r="C2538" s="82" t="s">
        <v>10657</v>
      </c>
      <c r="D2538" s="82" t="s">
        <v>1239</v>
      </c>
      <c r="E2538" s="82">
        <v>6282172291579</v>
      </c>
      <c r="F2538" s="92">
        <v>45860</v>
      </c>
      <c r="G2538" s="87">
        <v>870</v>
      </c>
      <c r="H2538" s="88">
        <v>13536.271808999081</v>
      </c>
      <c r="I2538" s="89">
        <v>49</v>
      </c>
      <c r="J2538" s="90">
        <v>14741</v>
      </c>
      <c r="K2538" s="85">
        <v>7</v>
      </c>
      <c r="L2538" s="85">
        <v>429</v>
      </c>
      <c r="M2538" s="85">
        <v>2</v>
      </c>
      <c r="N2538" s="82" t="s">
        <v>10658</v>
      </c>
      <c r="O2538" s="93">
        <v>45861.526990740742</v>
      </c>
    </row>
    <row r="2539" spans="1:15" ht="22.5" customHeight="1">
      <c r="A2539" s="85">
        <v>174904221976312</v>
      </c>
      <c r="B2539" s="82" t="s">
        <v>10651</v>
      </c>
      <c r="C2539" s="82" t="s">
        <v>10662</v>
      </c>
      <c r="D2539" s="82" t="s">
        <v>10663</v>
      </c>
      <c r="E2539" s="82">
        <v>62882001677470</v>
      </c>
      <c r="F2539" s="92">
        <v>45860</v>
      </c>
      <c r="G2539" s="87">
        <v>559</v>
      </c>
      <c r="H2539" s="88">
        <v>19268.365817091453</v>
      </c>
      <c r="I2539" s="89">
        <v>25</v>
      </c>
      <c r="J2539" s="90">
        <v>12852</v>
      </c>
      <c r="K2539" s="85">
        <v>1</v>
      </c>
      <c r="L2539" s="85">
        <v>211</v>
      </c>
      <c r="M2539" s="85">
        <v>0</v>
      </c>
      <c r="N2539" s="82" t="s">
        <v>10664</v>
      </c>
      <c r="O2539" s="93">
        <v>45861.484814814816</v>
      </c>
    </row>
    <row r="2540" spans="1:15" ht="22.5" customHeight="1">
      <c r="A2540" s="85">
        <v>174904221976312</v>
      </c>
      <c r="B2540" s="82" t="s">
        <v>10651</v>
      </c>
      <c r="C2540" s="82" t="s">
        <v>11078</v>
      </c>
      <c r="D2540" s="82" t="s">
        <v>3140</v>
      </c>
      <c r="E2540" s="82"/>
      <c r="F2540" s="92">
        <v>45860</v>
      </c>
      <c r="G2540" s="87">
        <v>3412</v>
      </c>
      <c r="H2540" s="88">
        <v>3439.437984496124</v>
      </c>
      <c r="I2540" s="89">
        <v>84</v>
      </c>
      <c r="J2540" s="90">
        <v>14198</v>
      </c>
      <c r="K2540" s="85">
        <v>9</v>
      </c>
      <c r="L2540" s="85">
        <v>0</v>
      </c>
      <c r="M2540" s="85">
        <v>0</v>
      </c>
      <c r="N2540" s="82" t="s">
        <v>11079</v>
      </c>
      <c r="O2540" s="93">
        <v>45861.526990740742</v>
      </c>
    </row>
    <row r="2541" spans="1:15" ht="22.5" customHeight="1">
      <c r="A2541" s="85">
        <v>174904221976312</v>
      </c>
      <c r="B2541" s="82" t="s">
        <v>10651</v>
      </c>
      <c r="C2541" s="82" t="s">
        <v>11485</v>
      </c>
      <c r="D2541" s="82" t="s">
        <v>11486</v>
      </c>
      <c r="E2541" s="82">
        <v>6281378757554</v>
      </c>
      <c r="F2541" s="92">
        <v>45860</v>
      </c>
      <c r="G2541" s="87">
        <v>634</v>
      </c>
      <c r="H2541" s="88">
        <v>16637.517630465445</v>
      </c>
      <c r="I2541" s="89">
        <v>18</v>
      </c>
      <c r="J2541" s="90">
        <v>11796</v>
      </c>
      <c r="K2541" s="85">
        <v>1</v>
      </c>
      <c r="L2541" s="85">
        <v>117</v>
      </c>
      <c r="M2541" s="85">
        <v>1</v>
      </c>
      <c r="N2541" s="82" t="s">
        <v>11487</v>
      </c>
      <c r="O2541" s="93">
        <v>45861.527256944442</v>
      </c>
    </row>
    <row r="2542" spans="1:15" ht="22.5" customHeight="1">
      <c r="A2542" s="85">
        <v>766589657993298</v>
      </c>
      <c r="B2542" s="82" t="s">
        <v>10688</v>
      </c>
      <c r="C2542" s="82" t="s">
        <v>11488</v>
      </c>
      <c r="D2542" s="82" t="s">
        <v>11489</v>
      </c>
      <c r="E2542" s="82">
        <v>6285888590045</v>
      </c>
      <c r="F2542" s="92">
        <v>45860</v>
      </c>
      <c r="G2542" s="87">
        <v>310</v>
      </c>
      <c r="H2542" s="88">
        <v>42777.777777777781</v>
      </c>
      <c r="I2542" s="89">
        <v>6</v>
      </c>
      <c r="J2542" s="90">
        <v>14630</v>
      </c>
      <c r="K2542" s="85">
        <v>2</v>
      </c>
      <c r="L2542" s="85">
        <v>53</v>
      </c>
      <c r="M2542" s="85">
        <v>0</v>
      </c>
      <c r="N2542" s="82" t="s">
        <v>11490</v>
      </c>
      <c r="O2542" s="93">
        <v>45861.80027777778</v>
      </c>
    </row>
    <row r="2543" spans="1:15" ht="22.5" customHeight="1">
      <c r="A2543" s="85">
        <v>766589657993298</v>
      </c>
      <c r="B2543" s="82" t="s">
        <v>10688</v>
      </c>
      <c r="C2543" s="82" t="s">
        <v>11491</v>
      </c>
      <c r="D2543" s="82" t="s">
        <v>11492</v>
      </c>
      <c r="E2543" s="82">
        <v>6285268858846</v>
      </c>
      <c r="F2543" s="92">
        <v>45860</v>
      </c>
      <c r="G2543" s="87">
        <v>803</v>
      </c>
      <c r="H2543" s="88">
        <v>14736.196319018403</v>
      </c>
      <c r="I2543" s="89">
        <v>14</v>
      </c>
      <c r="J2543" s="90">
        <v>14412</v>
      </c>
      <c r="K2543" s="85">
        <v>1</v>
      </c>
      <c r="L2543" s="85">
        <v>114</v>
      </c>
      <c r="M2543" s="85">
        <v>0</v>
      </c>
      <c r="N2543" s="82" t="s">
        <v>11493</v>
      </c>
      <c r="O2543" s="93">
        <v>45861.779699074075</v>
      </c>
    </row>
    <row r="2544" spans="1:15" ht="22.5" customHeight="1">
      <c r="A2544" s="85">
        <v>766589657993298</v>
      </c>
      <c r="B2544" s="82" t="s">
        <v>10688</v>
      </c>
      <c r="C2544" s="82" t="s">
        <v>11455</v>
      </c>
      <c r="D2544" s="82" t="s">
        <v>11456</v>
      </c>
      <c r="E2544" s="82">
        <v>62895329361572</v>
      </c>
      <c r="F2544" s="92">
        <v>45860</v>
      </c>
      <c r="G2544" s="87">
        <v>343</v>
      </c>
      <c r="H2544" s="88">
        <v>37670.82294264339</v>
      </c>
      <c r="I2544" s="89">
        <v>5</v>
      </c>
      <c r="J2544" s="90">
        <v>15106</v>
      </c>
      <c r="K2544" s="85">
        <v>0</v>
      </c>
      <c r="L2544" s="85">
        <v>104</v>
      </c>
      <c r="M2544" s="85">
        <v>0</v>
      </c>
      <c r="N2544" s="82" t="s">
        <v>11457</v>
      </c>
      <c r="O2544" s="93">
        <v>45861.696550925924</v>
      </c>
    </row>
    <row r="2545" spans="1:15" ht="22.5" customHeight="1">
      <c r="A2545" s="85">
        <v>766589657993298</v>
      </c>
      <c r="B2545" s="82" t="s">
        <v>10688</v>
      </c>
      <c r="C2545" s="82" t="s">
        <v>11458</v>
      </c>
      <c r="D2545" s="82" t="s">
        <v>11459</v>
      </c>
      <c r="E2545" s="82">
        <v>6287821760177</v>
      </c>
      <c r="F2545" s="92">
        <v>45860</v>
      </c>
      <c r="G2545" s="87">
        <v>828</v>
      </c>
      <c r="H2545" s="88">
        <v>14806.20884289746</v>
      </c>
      <c r="I2545" s="89">
        <v>27</v>
      </c>
      <c r="J2545" s="90">
        <v>15739</v>
      </c>
      <c r="K2545" s="85">
        <v>5</v>
      </c>
      <c r="L2545" s="85">
        <v>412</v>
      </c>
      <c r="M2545" s="85">
        <v>0</v>
      </c>
      <c r="N2545" s="82" t="s">
        <v>11460</v>
      </c>
      <c r="O2545" s="93">
        <v>45861.779687499999</v>
      </c>
    </row>
    <row r="2546" spans="1:15" ht="22.5" customHeight="1">
      <c r="A2546" s="85">
        <v>766589657993298</v>
      </c>
      <c r="B2546" s="82" t="s">
        <v>10688</v>
      </c>
      <c r="C2546" s="82" t="s">
        <v>11461</v>
      </c>
      <c r="D2546" s="82" t="s">
        <v>11462</v>
      </c>
      <c r="E2546" s="82">
        <v>62882015555380</v>
      </c>
      <c r="F2546" s="92">
        <v>45860</v>
      </c>
      <c r="G2546" s="87">
        <v>1134</v>
      </c>
      <c r="H2546" s="88">
        <v>11742.354740061161</v>
      </c>
      <c r="I2546" s="89">
        <v>31</v>
      </c>
      <c r="J2546" s="90">
        <v>15359</v>
      </c>
      <c r="K2546" s="85">
        <v>10</v>
      </c>
      <c r="L2546" s="85">
        <v>405</v>
      </c>
      <c r="M2546" s="85">
        <v>0</v>
      </c>
      <c r="N2546" s="82" t="s">
        <v>11463</v>
      </c>
      <c r="O2546" s="93">
        <v>45861.217222222222</v>
      </c>
    </row>
    <row r="2547" spans="1:15" ht="22.5" customHeight="1">
      <c r="A2547" s="85">
        <v>766589657993298</v>
      </c>
      <c r="B2547" s="82" t="s">
        <v>10688</v>
      </c>
      <c r="C2547" s="82" t="s">
        <v>11433</v>
      </c>
      <c r="D2547" s="82" t="s">
        <v>11434</v>
      </c>
      <c r="E2547" s="82">
        <v>6287878863000</v>
      </c>
      <c r="F2547" s="92">
        <v>45860</v>
      </c>
      <c r="G2547" s="87">
        <v>422</v>
      </c>
      <c r="H2547" s="88">
        <v>37608.974358974359</v>
      </c>
      <c r="I2547" s="89">
        <v>16</v>
      </c>
      <c r="J2547" s="90">
        <v>17601</v>
      </c>
      <c r="K2547" s="85">
        <v>1</v>
      </c>
      <c r="L2547" s="85">
        <v>107</v>
      </c>
      <c r="M2547" s="85">
        <v>0</v>
      </c>
      <c r="N2547" s="82" t="s">
        <v>11435</v>
      </c>
      <c r="O2547" s="93">
        <v>45861.675879629627</v>
      </c>
    </row>
    <row r="2548" spans="1:15" ht="22.5" customHeight="1">
      <c r="A2548" s="85">
        <v>766589657993298</v>
      </c>
      <c r="B2548" s="82" t="s">
        <v>10688</v>
      </c>
      <c r="C2548" s="82" t="s">
        <v>11436</v>
      </c>
      <c r="D2548" s="82" t="s">
        <v>5697</v>
      </c>
      <c r="E2548" s="82">
        <v>6281311129854</v>
      </c>
      <c r="F2548" s="92">
        <v>45860</v>
      </c>
      <c r="G2548" s="87">
        <v>356</v>
      </c>
      <c r="H2548" s="88">
        <v>34356.979405034326</v>
      </c>
      <c r="I2548" s="89">
        <v>16</v>
      </c>
      <c r="J2548" s="90">
        <v>15014</v>
      </c>
      <c r="K2548" s="85">
        <v>4</v>
      </c>
      <c r="L2548" s="85">
        <v>107</v>
      </c>
      <c r="M2548" s="85">
        <v>0</v>
      </c>
      <c r="N2548" s="82" t="s">
        <v>11437</v>
      </c>
      <c r="O2548" s="93">
        <v>45861.591990740744</v>
      </c>
    </row>
    <row r="2549" spans="1:15" ht="22.5" customHeight="1">
      <c r="A2549" s="85">
        <v>766589657993298</v>
      </c>
      <c r="B2549" s="82" t="s">
        <v>10688</v>
      </c>
      <c r="C2549" s="82" t="s">
        <v>11438</v>
      </c>
      <c r="D2549" s="82" t="s">
        <v>11439</v>
      </c>
      <c r="E2549" s="82">
        <v>628116655901</v>
      </c>
      <c r="F2549" s="92">
        <v>45860</v>
      </c>
      <c r="G2549" s="87">
        <v>982</v>
      </c>
      <c r="H2549" s="88">
        <v>11336.996336996337</v>
      </c>
      <c r="I2549" s="89">
        <v>37</v>
      </c>
      <c r="J2549" s="90">
        <v>15475</v>
      </c>
      <c r="K2549" s="85">
        <v>3</v>
      </c>
      <c r="L2549" s="85">
        <v>288</v>
      </c>
      <c r="M2549" s="85">
        <v>0</v>
      </c>
      <c r="N2549" s="82" t="s">
        <v>11440</v>
      </c>
      <c r="O2549" s="93">
        <v>45861.634108796294</v>
      </c>
    </row>
    <row r="2550" spans="1:15" ht="22.5" customHeight="1">
      <c r="A2550" s="85">
        <v>766589657993298</v>
      </c>
      <c r="B2550" s="82" t="s">
        <v>10688</v>
      </c>
      <c r="C2550" s="82" t="s">
        <v>11441</v>
      </c>
      <c r="D2550" s="82" t="s">
        <v>11442</v>
      </c>
      <c r="E2550" s="82">
        <v>6287734875393</v>
      </c>
      <c r="F2550" s="92">
        <v>45860</v>
      </c>
      <c r="G2550" s="87">
        <v>542</v>
      </c>
      <c r="H2550" s="88">
        <v>26355.66188197767</v>
      </c>
      <c r="I2550" s="89">
        <v>9</v>
      </c>
      <c r="J2550" s="90">
        <v>16525</v>
      </c>
      <c r="K2550" s="85">
        <v>2</v>
      </c>
      <c r="L2550" s="85">
        <v>116</v>
      </c>
      <c r="M2550" s="85">
        <v>0</v>
      </c>
      <c r="N2550" s="82" t="s">
        <v>11443</v>
      </c>
      <c r="O2550" s="93">
        <v>45861.612881944442</v>
      </c>
    </row>
    <row r="2551" spans="1:15" ht="22.5" customHeight="1">
      <c r="A2551" s="85">
        <v>766589657993298</v>
      </c>
      <c r="B2551" s="82" t="s">
        <v>10688</v>
      </c>
      <c r="C2551" s="82" t="s">
        <v>11411</v>
      </c>
      <c r="D2551" s="82" t="s">
        <v>2529</v>
      </c>
      <c r="E2551" s="82">
        <v>6287888068088</v>
      </c>
      <c r="F2551" s="92">
        <v>45860</v>
      </c>
      <c r="G2551" s="87">
        <v>193</v>
      </c>
      <c r="H2551" s="88">
        <v>69886.255924170619</v>
      </c>
      <c r="I2551" s="89">
        <v>4</v>
      </c>
      <c r="J2551" s="90">
        <v>14746</v>
      </c>
      <c r="K2551" s="85">
        <v>1</v>
      </c>
      <c r="L2551" s="85">
        <v>48</v>
      </c>
      <c r="M2551" s="85">
        <v>0</v>
      </c>
      <c r="N2551" s="82" t="s">
        <v>11412</v>
      </c>
      <c r="O2551" s="93">
        <v>45861.571099537039</v>
      </c>
    </row>
    <row r="2552" spans="1:15" ht="22.5" customHeight="1">
      <c r="A2552" s="85">
        <v>766589657993298</v>
      </c>
      <c r="B2552" s="82" t="s">
        <v>10688</v>
      </c>
      <c r="C2552" s="82" t="s">
        <v>11413</v>
      </c>
      <c r="D2552" s="82" t="s">
        <v>5697</v>
      </c>
      <c r="E2552" s="82">
        <v>6281385001244</v>
      </c>
      <c r="F2552" s="92">
        <v>45860</v>
      </c>
      <c r="G2552" s="87">
        <v>414</v>
      </c>
      <c r="H2552" s="88">
        <v>30212.30158730159</v>
      </c>
      <c r="I2552" s="89">
        <v>11</v>
      </c>
      <c r="J2552" s="90">
        <v>15227</v>
      </c>
      <c r="K2552" s="85">
        <v>0</v>
      </c>
      <c r="L2552" s="85">
        <v>127</v>
      </c>
      <c r="M2552" s="85">
        <v>0</v>
      </c>
      <c r="N2552" s="82" t="s">
        <v>11414</v>
      </c>
      <c r="O2552" s="93">
        <v>45861.675902777781</v>
      </c>
    </row>
    <row r="2553" spans="1:15" ht="22.5" customHeight="1">
      <c r="A2553" s="85">
        <v>766589657993298</v>
      </c>
      <c r="B2553" s="82" t="s">
        <v>10688</v>
      </c>
      <c r="C2553" s="82" t="s">
        <v>11415</v>
      </c>
      <c r="D2553" s="82" t="s">
        <v>11416</v>
      </c>
      <c r="E2553" s="82">
        <v>6281298551100</v>
      </c>
      <c r="F2553" s="92">
        <v>45860</v>
      </c>
      <c r="G2553" s="87">
        <v>231</v>
      </c>
      <c r="H2553" s="88">
        <v>60740.157480314963</v>
      </c>
      <c r="I2553" s="89">
        <v>8</v>
      </c>
      <c r="J2553" s="90">
        <v>15428</v>
      </c>
      <c r="K2553" s="85">
        <v>1</v>
      </c>
      <c r="L2553" s="85">
        <v>44</v>
      </c>
      <c r="M2553" s="85">
        <v>0</v>
      </c>
      <c r="N2553" s="82" t="s">
        <v>11417</v>
      </c>
      <c r="O2553" s="93">
        <v>45861.634097222224</v>
      </c>
    </row>
    <row r="2554" spans="1:15" ht="22.5" customHeight="1">
      <c r="A2554" s="85">
        <v>766589657993298</v>
      </c>
      <c r="B2554" s="82" t="s">
        <v>10688</v>
      </c>
      <c r="C2554" s="82" t="s">
        <v>11418</v>
      </c>
      <c r="D2554" s="82" t="s">
        <v>2480</v>
      </c>
      <c r="E2554" s="82">
        <v>6287856230745</v>
      </c>
      <c r="F2554" s="92">
        <v>45860</v>
      </c>
      <c r="G2554" s="87">
        <v>371</v>
      </c>
      <c r="H2554" s="88">
        <v>37285.382830626455</v>
      </c>
      <c r="I2554" s="89">
        <v>14</v>
      </c>
      <c r="J2554" s="90">
        <v>16070</v>
      </c>
      <c r="K2554" s="85">
        <v>0</v>
      </c>
      <c r="L2554" s="85">
        <v>22</v>
      </c>
      <c r="M2554" s="85">
        <v>0</v>
      </c>
      <c r="N2554" s="82" t="s">
        <v>11419</v>
      </c>
      <c r="O2554" s="93">
        <v>45861.52925925926</v>
      </c>
    </row>
    <row r="2555" spans="1:15" ht="22.5" customHeight="1">
      <c r="A2555" s="85">
        <v>766589657993298</v>
      </c>
      <c r="B2555" s="82" t="s">
        <v>10688</v>
      </c>
      <c r="C2555" s="82" t="s">
        <v>11381</v>
      </c>
      <c r="D2555" s="82" t="s">
        <v>2385</v>
      </c>
      <c r="E2555" s="82">
        <v>6281317170441</v>
      </c>
      <c r="F2555" s="92">
        <v>45860</v>
      </c>
      <c r="G2555" s="87">
        <v>420</v>
      </c>
      <c r="H2555" s="88">
        <v>29677.018633540374</v>
      </c>
      <c r="I2555" s="89">
        <v>22</v>
      </c>
      <c r="J2555" s="90">
        <v>14334</v>
      </c>
      <c r="K2555" s="85">
        <v>3</v>
      </c>
      <c r="L2555" s="85">
        <v>140</v>
      </c>
      <c r="M2555" s="85">
        <v>1</v>
      </c>
      <c r="N2555" s="82" t="s">
        <v>11382</v>
      </c>
      <c r="O2555" s="93">
        <v>45861.612905092596</v>
      </c>
    </row>
    <row r="2556" spans="1:15" ht="22.5" customHeight="1">
      <c r="A2556" s="85">
        <v>766589657993298</v>
      </c>
      <c r="B2556" s="82" t="s">
        <v>10688</v>
      </c>
      <c r="C2556" s="82" t="s">
        <v>11383</v>
      </c>
      <c r="D2556" s="82" t="s">
        <v>11384</v>
      </c>
      <c r="E2556" s="82">
        <v>62881038177010</v>
      </c>
      <c r="F2556" s="92">
        <v>45860</v>
      </c>
      <c r="G2556" s="87">
        <v>375</v>
      </c>
      <c r="H2556" s="88">
        <v>34217.582417582424</v>
      </c>
      <c r="I2556" s="89">
        <v>9</v>
      </c>
      <c r="J2556" s="90">
        <v>15569</v>
      </c>
      <c r="K2556" s="85">
        <v>4</v>
      </c>
      <c r="L2556" s="85">
        <v>92</v>
      </c>
      <c r="M2556" s="85">
        <v>0</v>
      </c>
      <c r="N2556" s="82" t="s">
        <v>11385</v>
      </c>
      <c r="O2556" s="93">
        <v>45861.217245370368</v>
      </c>
    </row>
    <row r="2557" spans="1:15" ht="22.5" customHeight="1">
      <c r="A2557" s="85">
        <v>766589657993298</v>
      </c>
      <c r="B2557" s="82" t="s">
        <v>10688</v>
      </c>
      <c r="C2557" s="82" t="s">
        <v>11386</v>
      </c>
      <c r="D2557" s="82" t="s">
        <v>11387</v>
      </c>
      <c r="E2557" s="82">
        <v>6285716210341</v>
      </c>
      <c r="F2557" s="92">
        <v>45860</v>
      </c>
      <c r="G2557" s="87">
        <v>828</v>
      </c>
      <c r="H2557" s="88">
        <v>16168.954593453009</v>
      </c>
      <c r="I2557" s="89">
        <v>15</v>
      </c>
      <c r="J2557" s="90">
        <v>15312</v>
      </c>
      <c r="K2557" s="85">
        <v>5</v>
      </c>
      <c r="L2557" s="85">
        <v>271</v>
      </c>
      <c r="M2557" s="85">
        <v>0</v>
      </c>
      <c r="N2557" s="82" t="s">
        <v>11388</v>
      </c>
      <c r="O2557" s="93">
        <v>45861.217233796298</v>
      </c>
    </row>
    <row r="2558" spans="1:15" ht="22.5" customHeight="1">
      <c r="A2558" s="85">
        <v>766589657993298</v>
      </c>
      <c r="B2558" s="82" t="s">
        <v>10688</v>
      </c>
      <c r="C2558" s="82" t="s">
        <v>11389</v>
      </c>
      <c r="D2558" s="82" t="s">
        <v>11390</v>
      </c>
      <c r="E2558" s="82">
        <v>6281284410725</v>
      </c>
      <c r="F2558" s="92">
        <v>45860</v>
      </c>
      <c r="G2558" s="87">
        <v>775</v>
      </c>
      <c r="H2558" s="88">
        <v>20358.444714459296</v>
      </c>
      <c r="I2558" s="89">
        <v>25</v>
      </c>
      <c r="J2558" s="90">
        <v>16755</v>
      </c>
      <c r="K2558" s="85">
        <v>4</v>
      </c>
      <c r="L2558" s="85">
        <v>23</v>
      </c>
      <c r="M2558" s="85">
        <v>0</v>
      </c>
      <c r="N2558" s="82" t="s">
        <v>11391</v>
      </c>
      <c r="O2558" s="93">
        <v>45861.217280092591</v>
      </c>
    </row>
    <row r="2559" spans="1:15" ht="22.5" customHeight="1">
      <c r="A2559" s="85">
        <v>766589657993298</v>
      </c>
      <c r="B2559" s="82" t="s">
        <v>10688</v>
      </c>
      <c r="C2559" s="82" t="s">
        <v>11392</v>
      </c>
      <c r="D2559" s="82" t="s">
        <v>2308</v>
      </c>
      <c r="E2559" s="82">
        <v>62895416149255</v>
      </c>
      <c r="F2559" s="92">
        <v>45860</v>
      </c>
      <c r="G2559" s="87">
        <v>814</v>
      </c>
      <c r="H2559" s="88">
        <v>17165.405405405407</v>
      </c>
      <c r="I2559" s="89">
        <v>18</v>
      </c>
      <c r="J2559" s="90">
        <v>15878</v>
      </c>
      <c r="K2559" s="85">
        <v>2</v>
      </c>
      <c r="L2559" s="85">
        <v>309</v>
      </c>
      <c r="M2559" s="85">
        <v>0</v>
      </c>
      <c r="N2559" s="82" t="s">
        <v>11393</v>
      </c>
      <c r="O2559" s="93">
        <v>45861.634097222224</v>
      </c>
    </row>
    <row r="2560" spans="1:15" ht="22.5" customHeight="1">
      <c r="A2560" s="85">
        <v>766589657993298</v>
      </c>
      <c r="B2560" s="82" t="s">
        <v>10688</v>
      </c>
      <c r="C2560" s="82" t="s">
        <v>11356</v>
      </c>
      <c r="D2560" s="82" t="s">
        <v>350</v>
      </c>
      <c r="E2560" s="82">
        <v>6288274090631</v>
      </c>
      <c r="F2560" s="92">
        <v>45860</v>
      </c>
      <c r="G2560" s="87">
        <v>657</v>
      </c>
      <c r="H2560" s="88">
        <v>19544.8798988622</v>
      </c>
      <c r="I2560" s="89">
        <v>10</v>
      </c>
      <c r="J2560" s="90">
        <v>15460</v>
      </c>
      <c r="K2560" s="85">
        <v>2</v>
      </c>
      <c r="L2560" s="85">
        <v>172</v>
      </c>
      <c r="M2560" s="85">
        <v>0</v>
      </c>
      <c r="N2560" s="82" t="s">
        <v>11357</v>
      </c>
      <c r="O2560" s="93">
        <v>45861.217222222222</v>
      </c>
    </row>
    <row r="2561" spans="1:15" ht="22.5" customHeight="1">
      <c r="A2561" s="85">
        <v>766589657993298</v>
      </c>
      <c r="B2561" s="82" t="s">
        <v>10688</v>
      </c>
      <c r="C2561" s="82" t="s">
        <v>11318</v>
      </c>
      <c r="D2561" s="82" t="s">
        <v>11365</v>
      </c>
      <c r="E2561" s="82">
        <v>6282310465999</v>
      </c>
      <c r="F2561" s="92">
        <v>45860</v>
      </c>
      <c r="G2561" s="87">
        <v>956</v>
      </c>
      <c r="H2561" s="88">
        <v>14351.935193519352</v>
      </c>
      <c r="I2561" s="89">
        <v>29</v>
      </c>
      <c r="J2561" s="90">
        <v>15945</v>
      </c>
      <c r="K2561" s="85">
        <v>1</v>
      </c>
      <c r="L2561" s="85">
        <v>91</v>
      </c>
      <c r="M2561" s="85">
        <v>1</v>
      </c>
      <c r="N2561" s="82" t="s">
        <v>11366</v>
      </c>
      <c r="O2561" s="93">
        <v>45861.612881944442</v>
      </c>
    </row>
    <row r="2562" spans="1:15" ht="22.5" customHeight="1">
      <c r="A2562" s="85">
        <v>759724529202804</v>
      </c>
      <c r="B2562" s="82" t="s">
        <v>10621</v>
      </c>
      <c r="C2562" s="82" t="s">
        <v>11394</v>
      </c>
      <c r="D2562" s="82" t="s">
        <v>1277</v>
      </c>
      <c r="E2562" s="82">
        <v>6281269441611</v>
      </c>
      <c r="F2562" s="92">
        <v>45861</v>
      </c>
      <c r="G2562" s="87">
        <v>1938</v>
      </c>
      <c r="H2562" s="88">
        <v>7136.2627607634267</v>
      </c>
      <c r="I2562" s="89">
        <v>55</v>
      </c>
      <c r="J2562" s="90">
        <v>16078</v>
      </c>
      <c r="K2562" s="85">
        <v>0</v>
      </c>
      <c r="L2562" s="85">
        <v>736</v>
      </c>
      <c r="M2562" s="85">
        <v>0</v>
      </c>
      <c r="N2562" s="82" t="s">
        <v>11395</v>
      </c>
      <c r="O2562" s="93">
        <v>45862.631215277775</v>
      </c>
    </row>
    <row r="2563" spans="1:15" ht="22.5" customHeight="1">
      <c r="A2563" s="85">
        <v>759724529202804</v>
      </c>
      <c r="B2563" s="82" t="s">
        <v>10621</v>
      </c>
      <c r="C2563" s="82" t="s">
        <v>11070</v>
      </c>
      <c r="D2563" s="82" t="s">
        <v>11071</v>
      </c>
      <c r="E2563" s="82">
        <v>6281246211381</v>
      </c>
      <c r="F2563" s="92">
        <v>45861</v>
      </c>
      <c r="G2563" s="87">
        <v>1054</v>
      </c>
      <c r="H2563" s="88">
        <v>12287.365813377373</v>
      </c>
      <c r="I2563" s="89">
        <v>15</v>
      </c>
      <c r="J2563" s="90">
        <v>14880</v>
      </c>
      <c r="K2563" s="85">
        <v>2</v>
      </c>
      <c r="L2563" s="85">
        <v>51</v>
      </c>
      <c r="M2563" s="85">
        <v>0</v>
      </c>
      <c r="N2563" s="82" t="s">
        <v>11072</v>
      </c>
      <c r="O2563" s="93">
        <v>45862.693576388891</v>
      </c>
    </row>
    <row r="2564" spans="1:15" ht="22.5" customHeight="1">
      <c r="A2564" s="85">
        <v>759724529202804</v>
      </c>
      <c r="B2564" s="82" t="s">
        <v>10621</v>
      </c>
      <c r="C2564" s="82" t="s">
        <v>11016</v>
      </c>
      <c r="D2564" s="82" t="s">
        <v>1530</v>
      </c>
      <c r="E2564" s="82">
        <v>628111988553</v>
      </c>
      <c r="F2564" s="92">
        <v>45861</v>
      </c>
      <c r="G2564" s="87">
        <v>129</v>
      </c>
      <c r="H2564" s="88">
        <v>99912.751677852357</v>
      </c>
      <c r="I2564" s="89">
        <v>8</v>
      </c>
      <c r="J2564" s="90">
        <v>14887</v>
      </c>
      <c r="K2564" s="85">
        <v>0</v>
      </c>
      <c r="L2564" s="85">
        <v>25</v>
      </c>
      <c r="M2564" s="85">
        <v>0</v>
      </c>
      <c r="N2564" s="82" t="s">
        <v>11017</v>
      </c>
      <c r="O2564" s="93">
        <v>45862.631215277775</v>
      </c>
    </row>
    <row r="2565" spans="1:15" ht="22.5" customHeight="1">
      <c r="A2565" s="85">
        <v>174904221976312</v>
      </c>
      <c r="B2565" s="82" t="s">
        <v>10651</v>
      </c>
      <c r="C2565" s="82" t="s">
        <v>11494</v>
      </c>
      <c r="D2565" s="82" t="s">
        <v>11495</v>
      </c>
      <c r="E2565" s="82">
        <v>6285645050058</v>
      </c>
      <c r="F2565" s="92">
        <v>45861</v>
      </c>
      <c r="G2565" s="87">
        <v>1019</v>
      </c>
      <c r="H2565" s="88">
        <v>9006.6170388751034</v>
      </c>
      <c r="I2565" s="89">
        <v>34</v>
      </c>
      <c r="J2565" s="90">
        <v>10889</v>
      </c>
      <c r="K2565" s="85">
        <v>1</v>
      </c>
      <c r="L2565" s="85">
        <v>40</v>
      </c>
      <c r="M2565" s="85">
        <v>0</v>
      </c>
      <c r="N2565" s="82" t="s">
        <v>11496</v>
      </c>
      <c r="O2565" s="93">
        <v>45862.630983796298</v>
      </c>
    </row>
    <row r="2566" spans="1:15" ht="22.5" customHeight="1">
      <c r="A2566" s="85">
        <v>174904221976312</v>
      </c>
      <c r="B2566" s="82" t="s">
        <v>10651</v>
      </c>
      <c r="C2566" s="82" t="s">
        <v>11497</v>
      </c>
      <c r="D2566" s="82" t="s">
        <v>11498</v>
      </c>
      <c r="E2566" s="82">
        <v>6285267044893</v>
      </c>
      <c r="F2566" s="92">
        <v>45861</v>
      </c>
      <c r="G2566" s="87">
        <v>443</v>
      </c>
      <c r="H2566" s="88">
        <v>24091.286307053942</v>
      </c>
      <c r="I2566" s="89">
        <v>16</v>
      </c>
      <c r="J2566" s="90">
        <v>11612</v>
      </c>
      <c r="K2566" s="85">
        <v>0</v>
      </c>
      <c r="L2566" s="85">
        <v>177</v>
      </c>
      <c r="M2566" s="85">
        <v>1</v>
      </c>
      <c r="N2566" s="82" t="s">
        <v>11499</v>
      </c>
      <c r="O2566" s="93">
        <v>45862.735243055555</v>
      </c>
    </row>
    <row r="2567" spans="1:15" ht="22.5" customHeight="1">
      <c r="A2567" s="85">
        <v>174904221976312</v>
      </c>
      <c r="B2567" s="82" t="s">
        <v>10651</v>
      </c>
      <c r="C2567" s="82" t="s">
        <v>11500</v>
      </c>
      <c r="D2567" s="82" t="s">
        <v>2776</v>
      </c>
      <c r="E2567" s="82">
        <v>6285657238556</v>
      </c>
      <c r="F2567" s="92">
        <v>45861</v>
      </c>
      <c r="G2567" s="87">
        <v>682</v>
      </c>
      <c r="H2567" s="88">
        <v>15667.865707434054</v>
      </c>
      <c r="I2567" s="89">
        <v>34</v>
      </c>
      <c r="J2567" s="90">
        <v>13067</v>
      </c>
      <c r="K2567" s="85">
        <v>7</v>
      </c>
      <c r="L2567" s="85">
        <v>35</v>
      </c>
      <c r="M2567" s="85">
        <v>1</v>
      </c>
      <c r="N2567" s="82" t="s">
        <v>11501</v>
      </c>
      <c r="O2567" s="93">
        <v>45862.651875000003</v>
      </c>
    </row>
    <row r="2568" spans="1:15" ht="22.5" customHeight="1">
      <c r="A2568" s="85">
        <v>174904221976312</v>
      </c>
      <c r="B2568" s="82" t="s">
        <v>10651</v>
      </c>
      <c r="C2568" s="82" t="s">
        <v>11502</v>
      </c>
      <c r="D2568" s="82" t="s">
        <v>2801</v>
      </c>
      <c r="E2568" s="82">
        <v>6289524188028</v>
      </c>
      <c r="F2568" s="92">
        <v>45861</v>
      </c>
      <c r="G2568" s="87">
        <v>609</v>
      </c>
      <c r="H2568" s="88">
        <v>16271.523178807947</v>
      </c>
      <c r="I2568" s="89">
        <v>52</v>
      </c>
      <c r="J2568" s="90">
        <v>12285</v>
      </c>
      <c r="K2568" s="85">
        <v>8</v>
      </c>
      <c r="L2568" s="85">
        <v>51</v>
      </c>
      <c r="M2568" s="85">
        <v>0</v>
      </c>
      <c r="N2568" s="82" t="s">
        <v>11503</v>
      </c>
      <c r="O2568" s="93">
        <v>45862.714467592596</v>
      </c>
    </row>
    <row r="2569" spans="1:15" ht="22.5" customHeight="1">
      <c r="A2569" s="85">
        <v>174904221976312</v>
      </c>
      <c r="B2569" s="82" t="s">
        <v>10651</v>
      </c>
      <c r="C2569" s="82" t="s">
        <v>11504</v>
      </c>
      <c r="D2569" s="82" t="s">
        <v>2760</v>
      </c>
      <c r="E2569" s="82">
        <v>6285234005559</v>
      </c>
      <c r="F2569" s="92">
        <v>45861</v>
      </c>
      <c r="G2569" s="87">
        <v>782</v>
      </c>
      <c r="H2569" s="88">
        <v>14771.891891891892</v>
      </c>
      <c r="I2569" s="89">
        <v>24</v>
      </c>
      <c r="J2569" s="90">
        <v>13664</v>
      </c>
      <c r="K2569" s="85">
        <v>3</v>
      </c>
      <c r="L2569" s="85">
        <v>337</v>
      </c>
      <c r="M2569" s="85">
        <v>0</v>
      </c>
      <c r="N2569" s="82" t="s">
        <v>11505</v>
      </c>
      <c r="O2569" s="93">
        <v>45862.549212962964</v>
      </c>
    </row>
    <row r="2570" spans="1:15" ht="22.5" customHeight="1">
      <c r="A2570" s="85">
        <v>174904221976312</v>
      </c>
      <c r="B2570" s="82" t="s">
        <v>10651</v>
      </c>
      <c r="C2570" s="82" t="s">
        <v>11506</v>
      </c>
      <c r="D2570" s="82" t="s">
        <v>2700</v>
      </c>
      <c r="E2570" s="82">
        <v>6282197248722</v>
      </c>
      <c r="F2570" s="92">
        <v>45861</v>
      </c>
      <c r="G2570" s="87">
        <v>601</v>
      </c>
      <c r="H2570" s="88">
        <v>17272.851296043656</v>
      </c>
      <c r="I2570" s="89">
        <v>36</v>
      </c>
      <c r="J2570" s="90">
        <v>12661</v>
      </c>
      <c r="K2570" s="85">
        <v>9</v>
      </c>
      <c r="L2570" s="85">
        <v>33</v>
      </c>
      <c r="M2570" s="85">
        <v>0</v>
      </c>
      <c r="N2570" s="82" t="s">
        <v>11507</v>
      </c>
      <c r="O2570" s="93">
        <v>45862.568518518521</v>
      </c>
    </row>
    <row r="2571" spans="1:15" ht="22.5" customHeight="1">
      <c r="A2571" s="85">
        <v>174904221976312</v>
      </c>
      <c r="B2571" s="82" t="s">
        <v>10651</v>
      </c>
      <c r="C2571" s="82" t="s">
        <v>11464</v>
      </c>
      <c r="D2571" s="82" t="s">
        <v>11465</v>
      </c>
      <c r="E2571" s="82">
        <v>62816904358</v>
      </c>
      <c r="F2571" s="92">
        <v>45861</v>
      </c>
      <c r="G2571" s="87">
        <v>395</v>
      </c>
      <c r="H2571" s="88">
        <v>24334.056399132322</v>
      </c>
      <c r="I2571" s="89">
        <v>13</v>
      </c>
      <c r="J2571" s="90">
        <v>11218</v>
      </c>
      <c r="K2571" s="85">
        <v>1</v>
      </c>
      <c r="L2571" s="85">
        <v>89</v>
      </c>
      <c r="M2571" s="85">
        <v>0</v>
      </c>
      <c r="N2571" s="82" t="s">
        <v>11466</v>
      </c>
      <c r="O2571" s="93">
        <v>45862.589270833334</v>
      </c>
    </row>
    <row r="2572" spans="1:15" ht="22.5" customHeight="1">
      <c r="A2572" s="85">
        <v>174904221976312</v>
      </c>
      <c r="B2572" s="82" t="s">
        <v>10651</v>
      </c>
      <c r="C2572" s="82" t="s">
        <v>11467</v>
      </c>
      <c r="D2572" s="82" t="s">
        <v>11468</v>
      </c>
      <c r="E2572" s="82">
        <v>6282169354443</v>
      </c>
      <c r="F2572" s="92">
        <v>45861</v>
      </c>
      <c r="G2572" s="87">
        <v>1115</v>
      </c>
      <c r="H2572" s="88">
        <v>9994.5987654320979</v>
      </c>
      <c r="I2572" s="89">
        <v>51</v>
      </c>
      <c r="J2572" s="90">
        <v>12953</v>
      </c>
      <c r="K2572" s="85">
        <v>4</v>
      </c>
      <c r="L2572" s="85">
        <v>464</v>
      </c>
      <c r="M2572" s="85">
        <v>2</v>
      </c>
      <c r="N2572" s="82" t="s">
        <v>11469</v>
      </c>
      <c r="O2572" s="93">
        <v>45862.589270833334</v>
      </c>
    </row>
    <row r="2573" spans="1:15" ht="22.5" customHeight="1">
      <c r="A2573" s="85">
        <v>174904221976312</v>
      </c>
      <c r="B2573" s="82" t="s">
        <v>10651</v>
      </c>
      <c r="C2573" s="82" t="s">
        <v>11470</v>
      </c>
      <c r="D2573" s="82" t="s">
        <v>11471</v>
      </c>
      <c r="E2573" s="82">
        <v>6281225745133</v>
      </c>
      <c r="F2573" s="92">
        <v>45861</v>
      </c>
      <c r="G2573" s="87">
        <v>224</v>
      </c>
      <c r="H2573" s="88">
        <v>49326.996197718625</v>
      </c>
      <c r="I2573" s="89">
        <v>8</v>
      </c>
      <c r="J2573" s="90">
        <v>12973</v>
      </c>
      <c r="K2573" s="85">
        <v>2</v>
      </c>
      <c r="L2573" s="85">
        <v>0</v>
      </c>
      <c r="M2573" s="85">
        <v>0</v>
      </c>
      <c r="N2573" s="82" t="s">
        <v>11472</v>
      </c>
      <c r="O2573" s="93">
        <v>45862.651875000003</v>
      </c>
    </row>
    <row r="2574" spans="1:15" ht="22.5" customHeight="1">
      <c r="A2574" s="85">
        <v>174904221976312</v>
      </c>
      <c r="B2574" s="82" t="s">
        <v>10651</v>
      </c>
      <c r="C2574" s="82" t="s">
        <v>11473</v>
      </c>
      <c r="D2574" s="82" t="s">
        <v>2659</v>
      </c>
      <c r="E2574" s="82">
        <v>6287762707927</v>
      </c>
      <c r="F2574" s="92">
        <v>45861</v>
      </c>
      <c r="G2574" s="87">
        <v>470</v>
      </c>
      <c r="H2574" s="88">
        <v>25589.285714285714</v>
      </c>
      <c r="I2574" s="89">
        <v>24</v>
      </c>
      <c r="J2574" s="90">
        <v>12897</v>
      </c>
      <c r="K2574" s="85">
        <v>6</v>
      </c>
      <c r="L2574" s="85">
        <v>242</v>
      </c>
      <c r="M2574" s="85">
        <v>0</v>
      </c>
      <c r="N2574" s="82" t="s">
        <v>11474</v>
      </c>
      <c r="O2574" s="93">
        <v>45862.651886574073</v>
      </c>
    </row>
    <row r="2575" spans="1:15" ht="22.5" customHeight="1">
      <c r="A2575" s="85">
        <v>174904221976312</v>
      </c>
      <c r="B2575" s="82" t="s">
        <v>10651</v>
      </c>
      <c r="C2575" s="82" t="s">
        <v>11475</v>
      </c>
      <c r="D2575" s="82" t="s">
        <v>2708</v>
      </c>
      <c r="E2575" s="82">
        <v>6281219329853</v>
      </c>
      <c r="F2575" s="92">
        <v>45861</v>
      </c>
      <c r="G2575" s="87">
        <v>431</v>
      </c>
      <c r="H2575" s="88">
        <v>21100.401606425701</v>
      </c>
      <c r="I2575" s="89">
        <v>9</v>
      </c>
      <c r="J2575" s="90">
        <v>10508</v>
      </c>
      <c r="K2575" s="85">
        <v>1</v>
      </c>
      <c r="L2575" s="85">
        <v>0</v>
      </c>
      <c r="M2575" s="85">
        <v>0</v>
      </c>
      <c r="N2575" s="82" t="s">
        <v>11476</v>
      </c>
      <c r="O2575" s="93">
        <v>45862.58929398148</v>
      </c>
    </row>
    <row r="2576" spans="1:15" ht="22.5" customHeight="1">
      <c r="A2576" s="85">
        <v>174904221976312</v>
      </c>
      <c r="B2576" s="82" t="s">
        <v>10651</v>
      </c>
      <c r="C2576" s="82" t="s">
        <v>11477</v>
      </c>
      <c r="D2576" s="82" t="s">
        <v>11478</v>
      </c>
      <c r="E2576" s="82">
        <v>6283131677011</v>
      </c>
      <c r="F2576" s="92">
        <v>45861</v>
      </c>
      <c r="G2576" s="87">
        <v>741</v>
      </c>
      <c r="H2576" s="88">
        <v>14293.764988009592</v>
      </c>
      <c r="I2576" s="89">
        <v>24</v>
      </c>
      <c r="J2576" s="90">
        <v>11921</v>
      </c>
      <c r="K2576" s="85">
        <v>2</v>
      </c>
      <c r="L2576" s="85">
        <v>0</v>
      </c>
      <c r="M2576" s="85">
        <v>0</v>
      </c>
      <c r="N2576" s="82" t="s">
        <v>11479</v>
      </c>
      <c r="O2576" s="93">
        <v>45862.609861111108</v>
      </c>
    </row>
    <row r="2577" spans="1:15" ht="22.5" customHeight="1">
      <c r="A2577" s="85">
        <v>174904221976312</v>
      </c>
      <c r="B2577" s="82" t="s">
        <v>10651</v>
      </c>
      <c r="C2577" s="82" t="s">
        <v>11480</v>
      </c>
      <c r="D2577" s="82" t="s">
        <v>2729</v>
      </c>
      <c r="E2577" s="82">
        <v>6282123039124</v>
      </c>
      <c r="F2577" s="92">
        <v>45861</v>
      </c>
      <c r="G2577" s="87">
        <v>992</v>
      </c>
      <c r="H2577" s="88">
        <v>13528.119507908612</v>
      </c>
      <c r="I2577" s="89">
        <v>19</v>
      </c>
      <c r="J2577" s="90">
        <v>15395</v>
      </c>
      <c r="K2577" s="85">
        <v>2</v>
      </c>
      <c r="L2577" s="85">
        <v>0</v>
      </c>
      <c r="M2577" s="85">
        <v>0</v>
      </c>
      <c r="N2577" s="82" t="s">
        <v>11481</v>
      </c>
      <c r="O2577" s="93">
        <v>45862.692997685182</v>
      </c>
    </row>
    <row r="2578" spans="1:15" ht="22.5" customHeight="1">
      <c r="A2578" s="85">
        <v>174904221976312</v>
      </c>
      <c r="B2578" s="82" t="s">
        <v>10651</v>
      </c>
      <c r="C2578" s="82" t="s">
        <v>11482</v>
      </c>
      <c r="D2578" s="82" t="s">
        <v>11483</v>
      </c>
      <c r="E2578" s="82">
        <v>6285741977776</v>
      </c>
      <c r="F2578" s="92">
        <v>45861</v>
      </c>
      <c r="G2578" s="87">
        <v>236</v>
      </c>
      <c r="H2578" s="88">
        <v>47342.281879194627</v>
      </c>
      <c r="I2578" s="89">
        <v>20</v>
      </c>
      <c r="J2578" s="90">
        <v>14108</v>
      </c>
      <c r="K2578" s="85">
        <v>6</v>
      </c>
      <c r="L2578" s="85">
        <v>0</v>
      </c>
      <c r="M2578" s="85">
        <v>0</v>
      </c>
      <c r="N2578" s="82" t="s">
        <v>11484</v>
      </c>
      <c r="O2578" s="93">
        <v>45862.589305555557</v>
      </c>
    </row>
    <row r="2579" spans="1:15" ht="22.5" customHeight="1">
      <c r="A2579" s="85">
        <v>174904221976312</v>
      </c>
      <c r="B2579" s="82" t="s">
        <v>10651</v>
      </c>
      <c r="C2579" s="82" t="s">
        <v>11446</v>
      </c>
      <c r="D2579" s="82" t="s">
        <v>11447</v>
      </c>
      <c r="E2579" s="82">
        <v>6281999375257</v>
      </c>
      <c r="F2579" s="92">
        <v>45861</v>
      </c>
      <c r="G2579" s="87">
        <v>362</v>
      </c>
      <c r="H2579" s="88">
        <v>23368.181818181816</v>
      </c>
      <c r="I2579" s="89">
        <v>16</v>
      </c>
      <c r="J2579" s="90">
        <v>10282</v>
      </c>
      <c r="K2579" s="85">
        <v>1</v>
      </c>
      <c r="L2579" s="85">
        <v>112</v>
      </c>
      <c r="M2579" s="85">
        <v>0</v>
      </c>
      <c r="N2579" s="82" t="s">
        <v>11448</v>
      </c>
      <c r="O2579" s="93">
        <v>45862.631006944444</v>
      </c>
    </row>
    <row r="2580" spans="1:15" ht="22.5" customHeight="1">
      <c r="A2580" s="85">
        <v>174904221976312</v>
      </c>
      <c r="B2580" s="82" t="s">
        <v>10651</v>
      </c>
      <c r="C2580" s="82" t="s">
        <v>11449</v>
      </c>
      <c r="D2580" s="82" t="s">
        <v>11450</v>
      </c>
      <c r="E2580" s="82">
        <v>6285773570295</v>
      </c>
      <c r="F2580" s="92">
        <v>45861</v>
      </c>
      <c r="G2580" s="87">
        <v>918</v>
      </c>
      <c r="H2580" s="88">
        <v>12949.367088607594</v>
      </c>
      <c r="I2580" s="89">
        <v>119</v>
      </c>
      <c r="J2580" s="90">
        <v>13299</v>
      </c>
      <c r="K2580" s="85">
        <v>21</v>
      </c>
      <c r="L2580" s="85">
        <v>0</v>
      </c>
      <c r="M2580" s="85">
        <v>0</v>
      </c>
      <c r="N2580" s="82" t="s">
        <v>11451</v>
      </c>
      <c r="O2580" s="93">
        <v>45862.589270833334</v>
      </c>
    </row>
    <row r="2581" spans="1:15" ht="22.5" customHeight="1">
      <c r="A2581" s="85">
        <v>174904221976312</v>
      </c>
      <c r="B2581" s="82" t="s">
        <v>10651</v>
      </c>
      <c r="C2581" s="82" t="s">
        <v>11452</v>
      </c>
      <c r="D2581" s="82" t="s">
        <v>11453</v>
      </c>
      <c r="E2581" s="82">
        <v>6281215284044</v>
      </c>
      <c r="F2581" s="92">
        <v>45861</v>
      </c>
      <c r="G2581" s="87">
        <v>194</v>
      </c>
      <c r="H2581" s="88">
        <v>67280</v>
      </c>
      <c r="I2581" s="89">
        <v>10</v>
      </c>
      <c r="J2581" s="90">
        <v>15138</v>
      </c>
      <c r="K2581" s="85">
        <v>2</v>
      </c>
      <c r="L2581" s="85">
        <v>0</v>
      </c>
      <c r="M2581" s="85">
        <v>0</v>
      </c>
      <c r="N2581" s="82" t="s">
        <v>11454</v>
      </c>
      <c r="O2581" s="93">
        <v>45862.484837962962</v>
      </c>
    </row>
    <row r="2582" spans="1:15" ht="22.5" customHeight="1">
      <c r="A2582" s="85">
        <v>174904221976312</v>
      </c>
      <c r="B2582" s="82" t="s">
        <v>10651</v>
      </c>
      <c r="C2582" s="82" t="s">
        <v>11422</v>
      </c>
      <c r="D2582" s="82" t="s">
        <v>11145</v>
      </c>
      <c r="E2582" s="82">
        <v>6282128714101</v>
      </c>
      <c r="F2582" s="92">
        <v>45861</v>
      </c>
      <c r="G2582" s="87">
        <v>310</v>
      </c>
      <c r="H2582" s="88">
        <v>28201.570680628272</v>
      </c>
      <c r="I2582" s="89">
        <v>8</v>
      </c>
      <c r="J2582" s="90">
        <v>10773</v>
      </c>
      <c r="K2582" s="85">
        <v>1</v>
      </c>
      <c r="L2582" s="85">
        <v>31</v>
      </c>
      <c r="M2582" s="85">
        <v>0</v>
      </c>
      <c r="N2582" s="82" t="s">
        <v>11423</v>
      </c>
      <c r="O2582" s="93">
        <v>45862.609872685185</v>
      </c>
    </row>
    <row r="2583" spans="1:15" ht="22.5" customHeight="1">
      <c r="A2583" s="85">
        <v>174904221976312</v>
      </c>
      <c r="B2583" s="82" t="s">
        <v>10651</v>
      </c>
      <c r="C2583" s="82" t="s">
        <v>11424</v>
      </c>
      <c r="D2583" s="82" t="s">
        <v>11425</v>
      </c>
      <c r="E2583" s="82">
        <v>6283891332074</v>
      </c>
      <c r="F2583" s="92">
        <v>45861</v>
      </c>
      <c r="G2583" s="87">
        <v>285</v>
      </c>
      <c r="H2583" s="88">
        <v>41983.766233766233</v>
      </c>
      <c r="I2583" s="89">
        <v>4</v>
      </c>
      <c r="J2583" s="90">
        <v>12931</v>
      </c>
      <c r="K2583" s="85">
        <v>1</v>
      </c>
      <c r="L2583" s="85">
        <v>77</v>
      </c>
      <c r="M2583" s="85">
        <v>0</v>
      </c>
      <c r="N2583" s="82" t="s">
        <v>11426</v>
      </c>
      <c r="O2583" s="93">
        <v>45862.505868055552</v>
      </c>
    </row>
    <row r="2584" spans="1:15" ht="22.5" customHeight="1">
      <c r="A2584" s="85">
        <v>174904221976312</v>
      </c>
      <c r="B2584" s="82" t="s">
        <v>10651</v>
      </c>
      <c r="C2584" s="82" t="s">
        <v>11427</v>
      </c>
      <c r="D2584" s="82" t="s">
        <v>11428</v>
      </c>
      <c r="E2584" s="82">
        <v>6285268101557</v>
      </c>
      <c r="F2584" s="92">
        <v>45861</v>
      </c>
      <c r="G2584" s="87">
        <v>906</v>
      </c>
      <c r="H2584" s="88">
        <v>12143.559488692232</v>
      </c>
      <c r="I2584" s="89">
        <v>12</v>
      </c>
      <c r="J2584" s="90">
        <v>12350</v>
      </c>
      <c r="K2584" s="85">
        <v>3</v>
      </c>
      <c r="L2584" s="85">
        <v>405</v>
      </c>
      <c r="M2584" s="85">
        <v>0</v>
      </c>
      <c r="N2584" s="82" t="s">
        <v>11429</v>
      </c>
      <c r="O2584" s="93">
        <v>45862.589525462965</v>
      </c>
    </row>
    <row r="2585" spans="1:15" ht="22.5" customHeight="1">
      <c r="A2585" s="85">
        <v>174904221976312</v>
      </c>
      <c r="B2585" s="82" t="s">
        <v>10651</v>
      </c>
      <c r="C2585" s="82" t="s">
        <v>11430</v>
      </c>
      <c r="D2585" s="82" t="s">
        <v>11431</v>
      </c>
      <c r="E2585" s="82">
        <v>6281252595912</v>
      </c>
      <c r="F2585" s="92">
        <v>45861</v>
      </c>
      <c r="G2585" s="87">
        <v>1923</v>
      </c>
      <c r="H2585" s="88">
        <v>6281.2358019082239</v>
      </c>
      <c r="I2585" s="89">
        <v>53</v>
      </c>
      <c r="J2585" s="90">
        <v>13825</v>
      </c>
      <c r="K2585" s="85">
        <v>6</v>
      </c>
      <c r="L2585" s="85">
        <v>14</v>
      </c>
      <c r="M2585" s="85">
        <v>0</v>
      </c>
      <c r="N2585" s="82" t="s">
        <v>11432</v>
      </c>
      <c r="O2585" s="93">
        <v>45862.609861111108</v>
      </c>
    </row>
    <row r="2586" spans="1:15" ht="22.5" customHeight="1">
      <c r="A2586" s="85">
        <v>174904221976312</v>
      </c>
      <c r="B2586" s="82" t="s">
        <v>10651</v>
      </c>
      <c r="C2586" s="82" t="s">
        <v>11396</v>
      </c>
      <c r="D2586" s="82" t="s">
        <v>11397</v>
      </c>
      <c r="E2586" s="82">
        <v>6285789446955</v>
      </c>
      <c r="F2586" s="92">
        <v>45861</v>
      </c>
      <c r="G2586" s="87">
        <v>660</v>
      </c>
      <c r="H2586" s="88">
        <v>20023.543990086739</v>
      </c>
      <c r="I2586" s="89">
        <v>13</v>
      </c>
      <c r="J2586" s="90">
        <v>16159</v>
      </c>
      <c r="K2586" s="85">
        <v>2</v>
      </c>
      <c r="L2586" s="85">
        <v>187</v>
      </c>
      <c r="M2586" s="85">
        <v>0</v>
      </c>
      <c r="N2586" s="82" t="s">
        <v>11398</v>
      </c>
      <c r="O2586" s="93">
        <v>45862.217314814814</v>
      </c>
    </row>
    <row r="2587" spans="1:15" ht="22.5" customHeight="1">
      <c r="A2587" s="85">
        <v>174904221976312</v>
      </c>
      <c r="B2587" s="82" t="s">
        <v>10651</v>
      </c>
      <c r="C2587" s="82" t="s">
        <v>11399</v>
      </c>
      <c r="D2587" s="82" t="s">
        <v>11400</v>
      </c>
      <c r="E2587" s="82">
        <v>6281933176790</v>
      </c>
      <c r="F2587" s="92">
        <v>45861</v>
      </c>
      <c r="G2587" s="87">
        <v>322</v>
      </c>
      <c r="H2587" s="88">
        <v>34300.291545189502</v>
      </c>
      <c r="I2587" s="89">
        <v>4</v>
      </c>
      <c r="J2587" s="90">
        <v>11765</v>
      </c>
      <c r="K2587" s="85">
        <v>1</v>
      </c>
      <c r="L2587" s="85">
        <v>59</v>
      </c>
      <c r="M2587" s="85">
        <v>0</v>
      </c>
      <c r="N2587" s="82" t="s">
        <v>11401</v>
      </c>
      <c r="O2587" s="93">
        <v>45862.568749999999</v>
      </c>
    </row>
    <row r="2588" spans="1:15" ht="22.5" customHeight="1">
      <c r="A2588" s="85">
        <v>174904221976312</v>
      </c>
      <c r="B2588" s="82" t="s">
        <v>10651</v>
      </c>
      <c r="C2588" s="82" t="s">
        <v>11402</v>
      </c>
      <c r="D2588" s="82" t="s">
        <v>11403</v>
      </c>
      <c r="E2588" s="82">
        <v>6283870060603</v>
      </c>
      <c r="F2588" s="92">
        <v>45861</v>
      </c>
      <c r="G2588" s="87">
        <v>2788</v>
      </c>
      <c r="H2588" s="88">
        <v>4526.4776221387083</v>
      </c>
      <c r="I2588" s="89">
        <v>55</v>
      </c>
      <c r="J2588" s="90">
        <v>13249</v>
      </c>
      <c r="K2588" s="85">
        <v>0</v>
      </c>
      <c r="L2588" s="85">
        <v>373</v>
      </c>
      <c r="M2588" s="85">
        <v>0</v>
      </c>
      <c r="N2588" s="82" t="s">
        <v>11404</v>
      </c>
      <c r="O2588" s="93">
        <v>45862.526539351849</v>
      </c>
    </row>
    <row r="2589" spans="1:15" ht="22.5" customHeight="1">
      <c r="A2589" s="85">
        <v>174904221976312</v>
      </c>
      <c r="B2589" s="82" t="s">
        <v>10651</v>
      </c>
      <c r="C2589" s="82" t="s">
        <v>11405</v>
      </c>
      <c r="D2589" s="82" t="s">
        <v>11406</v>
      </c>
      <c r="E2589" s="82">
        <v>6282307376695</v>
      </c>
      <c r="F2589" s="92">
        <v>45861</v>
      </c>
      <c r="G2589" s="87">
        <v>942</v>
      </c>
      <c r="H2589" s="88">
        <v>12755.376344086022</v>
      </c>
      <c r="I2589" s="89">
        <v>17</v>
      </c>
      <c r="J2589" s="90">
        <v>14235</v>
      </c>
      <c r="K2589" s="85">
        <v>0</v>
      </c>
      <c r="L2589" s="85">
        <v>212</v>
      </c>
      <c r="M2589" s="85">
        <v>1</v>
      </c>
      <c r="N2589" s="82" t="s">
        <v>11407</v>
      </c>
      <c r="O2589" s="93">
        <v>45862.217303240737</v>
      </c>
    </row>
    <row r="2590" spans="1:15" ht="22.5" customHeight="1">
      <c r="A2590" s="85">
        <v>174904221976312</v>
      </c>
      <c r="B2590" s="82" t="s">
        <v>10651</v>
      </c>
      <c r="C2590" s="82" t="s">
        <v>11408</v>
      </c>
      <c r="D2590" s="82" t="s">
        <v>2463</v>
      </c>
      <c r="E2590" s="82">
        <v>628563562851</v>
      </c>
      <c r="F2590" s="92">
        <v>45861</v>
      </c>
      <c r="G2590" s="87">
        <v>408</v>
      </c>
      <c r="H2590" s="88">
        <v>34391.98218262806</v>
      </c>
      <c r="I2590" s="89">
        <v>25</v>
      </c>
      <c r="J2590" s="90">
        <v>15442</v>
      </c>
      <c r="K2590" s="85">
        <v>3</v>
      </c>
      <c r="L2590" s="85">
        <v>209</v>
      </c>
      <c r="M2590" s="85">
        <v>0</v>
      </c>
      <c r="N2590" s="82" t="s">
        <v>11409</v>
      </c>
      <c r="O2590" s="93">
        <v>45862.217314814814</v>
      </c>
    </row>
    <row r="2591" spans="1:15" ht="22.5" customHeight="1">
      <c r="A2591" s="85">
        <v>174904221976312</v>
      </c>
      <c r="B2591" s="82" t="s">
        <v>10651</v>
      </c>
      <c r="C2591" s="82" t="s">
        <v>11309</v>
      </c>
      <c r="D2591" s="82" t="s">
        <v>11350</v>
      </c>
      <c r="E2591" s="82">
        <v>6281229745253</v>
      </c>
      <c r="F2591" s="92">
        <v>45861</v>
      </c>
      <c r="G2591" s="87">
        <v>182</v>
      </c>
      <c r="H2591" s="88">
        <v>61055.045871559632</v>
      </c>
      <c r="I2591" s="89">
        <v>15</v>
      </c>
      <c r="J2591" s="90">
        <v>13310</v>
      </c>
      <c r="K2591" s="85">
        <v>4</v>
      </c>
      <c r="L2591" s="85">
        <v>8</v>
      </c>
      <c r="M2591" s="85">
        <v>0</v>
      </c>
      <c r="N2591" s="82" t="s">
        <v>11351</v>
      </c>
      <c r="O2591" s="93">
        <v>45862.443159722221</v>
      </c>
    </row>
    <row r="2592" spans="1:15" ht="22.5" customHeight="1">
      <c r="A2592" s="85">
        <v>174904221976312</v>
      </c>
      <c r="B2592" s="82" t="s">
        <v>10651</v>
      </c>
      <c r="C2592" s="82" t="s">
        <v>11291</v>
      </c>
      <c r="D2592" s="82" t="s">
        <v>11292</v>
      </c>
      <c r="E2592" s="82">
        <v>6283183643221</v>
      </c>
      <c r="F2592" s="92">
        <v>45861</v>
      </c>
      <c r="G2592" s="87">
        <v>144</v>
      </c>
      <c r="H2592" s="88">
        <v>75547.770700636946</v>
      </c>
      <c r="I2592" s="89">
        <v>6</v>
      </c>
      <c r="J2592" s="90">
        <v>11861</v>
      </c>
      <c r="K2592" s="85">
        <v>1</v>
      </c>
      <c r="L2592" s="85">
        <v>55</v>
      </c>
      <c r="M2592" s="85">
        <v>0</v>
      </c>
      <c r="N2592" s="82" t="s">
        <v>11293</v>
      </c>
      <c r="O2592" s="93">
        <v>45862.505879629629</v>
      </c>
    </row>
    <row r="2593" spans="1:15" ht="22.5" customHeight="1">
      <c r="A2593" s="85">
        <v>174904221976312</v>
      </c>
      <c r="B2593" s="82" t="s">
        <v>10651</v>
      </c>
      <c r="C2593" s="82" t="s">
        <v>11225</v>
      </c>
      <c r="D2593" s="82" t="s">
        <v>11226</v>
      </c>
      <c r="E2593" s="82">
        <v>6281240144744</v>
      </c>
      <c r="F2593" s="92">
        <v>45861</v>
      </c>
      <c r="G2593" s="87">
        <v>1772</v>
      </c>
      <c r="H2593" s="88">
        <v>7089.5522388059699</v>
      </c>
      <c r="I2593" s="89">
        <v>28</v>
      </c>
      <c r="J2593" s="90">
        <v>15200</v>
      </c>
      <c r="K2593" s="85">
        <v>0</v>
      </c>
      <c r="L2593" s="85">
        <v>312</v>
      </c>
      <c r="M2593" s="85">
        <v>1</v>
      </c>
      <c r="N2593" s="82" t="s">
        <v>11227</v>
      </c>
      <c r="O2593" s="93">
        <v>45862.609849537039</v>
      </c>
    </row>
    <row r="2594" spans="1:15" ht="22.5" customHeight="1">
      <c r="A2594" s="85">
        <v>174904221976312</v>
      </c>
      <c r="B2594" s="82" t="s">
        <v>10651</v>
      </c>
      <c r="C2594" s="82" t="s">
        <v>11144</v>
      </c>
      <c r="D2594" s="82" t="s">
        <v>11145</v>
      </c>
      <c r="E2594" s="82">
        <v>6282128714101</v>
      </c>
      <c r="F2594" s="92">
        <v>45861</v>
      </c>
      <c r="G2594" s="87">
        <v>374</v>
      </c>
      <c r="H2594" s="88">
        <v>27023.965141612203</v>
      </c>
      <c r="I2594" s="89">
        <v>5</v>
      </c>
      <c r="J2594" s="90">
        <v>12404</v>
      </c>
      <c r="K2594" s="85">
        <v>1</v>
      </c>
      <c r="L2594" s="85">
        <v>32</v>
      </c>
      <c r="M2594" s="85">
        <v>0</v>
      </c>
      <c r="N2594" s="82" t="s">
        <v>11146</v>
      </c>
      <c r="O2594" s="93">
        <v>45862.549050925925</v>
      </c>
    </row>
    <row r="2595" spans="1:15" ht="22.5" customHeight="1">
      <c r="A2595" s="85">
        <v>174904221976312</v>
      </c>
      <c r="B2595" s="82" t="s">
        <v>10651</v>
      </c>
      <c r="C2595" s="82" t="s">
        <v>11153</v>
      </c>
      <c r="D2595" s="82" t="s">
        <v>11154</v>
      </c>
      <c r="E2595" s="82">
        <v>6285338137835</v>
      </c>
      <c r="F2595" s="92">
        <v>45861</v>
      </c>
      <c r="G2595" s="87">
        <v>348</v>
      </c>
      <c r="H2595" s="88">
        <v>28256.157635467978</v>
      </c>
      <c r="I2595" s="89">
        <v>9</v>
      </c>
      <c r="J2595" s="90">
        <v>11472</v>
      </c>
      <c r="K2595" s="85">
        <v>2</v>
      </c>
      <c r="L2595" s="85">
        <v>4</v>
      </c>
      <c r="M2595" s="85">
        <v>0</v>
      </c>
      <c r="N2595" s="82" t="s">
        <v>11155</v>
      </c>
      <c r="O2595" s="93">
        <v>45862.630972222221</v>
      </c>
    </row>
    <row r="2596" spans="1:15" ht="22.5" customHeight="1">
      <c r="A2596" s="85">
        <v>174904221976312</v>
      </c>
      <c r="B2596" s="82" t="s">
        <v>10651</v>
      </c>
      <c r="C2596" s="82" t="s">
        <v>1844</v>
      </c>
      <c r="D2596" s="82" t="s">
        <v>11379</v>
      </c>
      <c r="E2596" s="82">
        <v>6281287982295</v>
      </c>
      <c r="F2596" s="92">
        <v>45861</v>
      </c>
      <c r="G2596" s="87">
        <v>278</v>
      </c>
      <c r="H2596" s="88">
        <v>48429.032258064515</v>
      </c>
      <c r="I2596" s="89">
        <v>8</v>
      </c>
      <c r="J2596" s="90">
        <v>15013</v>
      </c>
      <c r="K2596" s="85">
        <v>1</v>
      </c>
      <c r="L2596" s="85">
        <v>125</v>
      </c>
      <c r="M2596" s="85">
        <v>0</v>
      </c>
      <c r="N2596" s="82" t="s">
        <v>11380</v>
      </c>
      <c r="O2596" s="93">
        <v>45862.217314814814</v>
      </c>
    </row>
    <row r="2597" spans="1:15" ht="22.5" customHeight="1">
      <c r="A2597" s="85">
        <v>174904221976312</v>
      </c>
      <c r="B2597" s="82" t="s">
        <v>10651</v>
      </c>
      <c r="C2597" s="82" t="s">
        <v>10943</v>
      </c>
      <c r="D2597" s="82" t="s">
        <v>10944</v>
      </c>
      <c r="E2597" s="82">
        <v>6285240694097</v>
      </c>
      <c r="F2597" s="92">
        <v>45861</v>
      </c>
      <c r="G2597" s="87">
        <v>797</v>
      </c>
      <c r="H2597" s="88">
        <v>13586.407766990291</v>
      </c>
      <c r="I2597" s="89">
        <v>22</v>
      </c>
      <c r="J2597" s="90">
        <v>13994</v>
      </c>
      <c r="K2597" s="85">
        <v>1</v>
      </c>
      <c r="L2597" s="85">
        <v>134</v>
      </c>
      <c r="M2597" s="85">
        <v>0</v>
      </c>
      <c r="N2597" s="82" t="s">
        <v>10945</v>
      </c>
      <c r="O2597" s="93">
        <v>45862.443425925929</v>
      </c>
    </row>
    <row r="2598" spans="1:15" ht="22.5" customHeight="1">
      <c r="A2598" s="85">
        <v>174904221976312</v>
      </c>
      <c r="B2598" s="82" t="s">
        <v>10651</v>
      </c>
      <c r="C2598" s="82" t="s">
        <v>10853</v>
      </c>
      <c r="D2598" s="82" t="s">
        <v>10854</v>
      </c>
      <c r="E2598" s="82">
        <v>6281393958199</v>
      </c>
      <c r="F2598" s="92">
        <v>45861</v>
      </c>
      <c r="G2598" s="87">
        <v>667</v>
      </c>
      <c r="H2598" s="88">
        <v>15960.736196319018</v>
      </c>
      <c r="I2598" s="89">
        <v>21</v>
      </c>
      <c r="J2598" s="90">
        <v>13008</v>
      </c>
      <c r="K2598" s="85">
        <v>0</v>
      </c>
      <c r="L2598" s="85">
        <v>235</v>
      </c>
      <c r="M2598" s="85">
        <v>0</v>
      </c>
      <c r="N2598" s="82" t="s">
        <v>10855</v>
      </c>
      <c r="O2598" s="93">
        <v>45862.46434027778</v>
      </c>
    </row>
    <row r="2599" spans="1:15" ht="22.5" customHeight="1">
      <c r="A2599" s="85">
        <v>174904221976312</v>
      </c>
      <c r="B2599" s="82" t="s">
        <v>10651</v>
      </c>
      <c r="C2599" s="82" t="s">
        <v>818</v>
      </c>
      <c r="D2599" s="82" t="s">
        <v>812</v>
      </c>
      <c r="E2599" s="82">
        <v>6287858585808</v>
      </c>
      <c r="F2599" s="92">
        <v>45861</v>
      </c>
      <c r="G2599" s="87">
        <v>656</v>
      </c>
      <c r="H2599" s="88">
        <v>15716.643741403026</v>
      </c>
      <c r="I2599" s="89">
        <v>18</v>
      </c>
      <c r="J2599" s="90">
        <v>11426</v>
      </c>
      <c r="K2599" s="85">
        <v>2</v>
      </c>
      <c r="L2599" s="85">
        <v>183</v>
      </c>
      <c r="M2599" s="85">
        <v>0</v>
      </c>
      <c r="N2599" s="82" t="s">
        <v>10831</v>
      </c>
      <c r="O2599" s="93">
        <v>45862.526539351849</v>
      </c>
    </row>
    <row r="2600" spans="1:15" ht="22.5" customHeight="1">
      <c r="A2600" s="85">
        <v>174904221976312</v>
      </c>
      <c r="B2600" s="82" t="s">
        <v>10651</v>
      </c>
      <c r="C2600" s="82" t="s">
        <v>10657</v>
      </c>
      <c r="D2600" s="82" t="s">
        <v>1239</v>
      </c>
      <c r="E2600" s="82">
        <v>6282172291579</v>
      </c>
      <c r="F2600" s="92">
        <v>45861</v>
      </c>
      <c r="G2600" s="87">
        <v>703</v>
      </c>
      <c r="H2600" s="88">
        <v>16126.060606060604</v>
      </c>
      <c r="I2600" s="89">
        <v>50</v>
      </c>
      <c r="J2600" s="90">
        <v>13304</v>
      </c>
      <c r="K2600" s="85">
        <v>7</v>
      </c>
      <c r="L2600" s="85">
        <v>368</v>
      </c>
      <c r="M2600" s="85">
        <v>4</v>
      </c>
      <c r="N2600" s="82" t="s">
        <v>10658</v>
      </c>
      <c r="O2600" s="93">
        <v>45862.443136574075</v>
      </c>
    </row>
    <row r="2601" spans="1:15" ht="22.5" customHeight="1">
      <c r="A2601" s="85">
        <v>174904221976312</v>
      </c>
      <c r="B2601" s="82" t="s">
        <v>10651</v>
      </c>
      <c r="C2601" s="82" t="s">
        <v>10662</v>
      </c>
      <c r="D2601" s="82" t="s">
        <v>10663</v>
      </c>
      <c r="E2601" s="82">
        <v>62882001677470</v>
      </c>
      <c r="F2601" s="92">
        <v>45861</v>
      </c>
      <c r="G2601" s="87">
        <v>538</v>
      </c>
      <c r="H2601" s="88">
        <v>18550.95541401274</v>
      </c>
      <c r="I2601" s="89">
        <v>22</v>
      </c>
      <c r="J2601" s="90">
        <v>11650</v>
      </c>
      <c r="K2601" s="85">
        <v>1</v>
      </c>
      <c r="L2601" s="85">
        <v>230</v>
      </c>
      <c r="M2601" s="85">
        <v>1</v>
      </c>
      <c r="N2601" s="82" t="s">
        <v>10664</v>
      </c>
      <c r="O2601" s="93">
        <v>45862.380983796298</v>
      </c>
    </row>
    <row r="2602" spans="1:15" ht="22.5" customHeight="1">
      <c r="A2602" s="85">
        <v>174904221976312</v>
      </c>
      <c r="B2602" s="82" t="s">
        <v>10651</v>
      </c>
      <c r="C2602" s="82" t="s">
        <v>11078</v>
      </c>
      <c r="D2602" s="82" t="s">
        <v>3140</v>
      </c>
      <c r="E2602" s="82"/>
      <c r="F2602" s="92">
        <v>45861</v>
      </c>
      <c r="G2602" s="87">
        <v>3678</v>
      </c>
      <c r="H2602" s="88">
        <v>3027.6497695852536</v>
      </c>
      <c r="I2602" s="89">
        <v>92</v>
      </c>
      <c r="J2602" s="90">
        <v>13797</v>
      </c>
      <c r="K2602" s="85">
        <v>5</v>
      </c>
      <c r="L2602" s="85">
        <v>36</v>
      </c>
      <c r="M2602" s="85">
        <v>0</v>
      </c>
      <c r="N2602" s="82" t="s">
        <v>11079</v>
      </c>
      <c r="O2602" s="93">
        <v>45862.526562500003</v>
      </c>
    </row>
    <row r="2603" spans="1:15" ht="22.5" customHeight="1">
      <c r="A2603" s="85">
        <v>174904221976312</v>
      </c>
      <c r="B2603" s="82" t="s">
        <v>10651</v>
      </c>
      <c r="C2603" s="82" t="s">
        <v>11485</v>
      </c>
      <c r="D2603" s="82" t="s">
        <v>11486</v>
      </c>
      <c r="E2603" s="82">
        <v>6281378757554</v>
      </c>
      <c r="F2603" s="92">
        <v>45861</v>
      </c>
      <c r="G2603" s="87">
        <v>533</v>
      </c>
      <c r="H2603" s="88">
        <v>19116.98717948718</v>
      </c>
      <c r="I2603" s="89">
        <v>8</v>
      </c>
      <c r="J2603" s="90">
        <v>11929</v>
      </c>
      <c r="K2603" s="85">
        <v>1</v>
      </c>
      <c r="L2603" s="85">
        <v>101</v>
      </c>
      <c r="M2603" s="85">
        <v>0</v>
      </c>
      <c r="N2603" s="82" t="s">
        <v>11487</v>
      </c>
      <c r="O2603" s="93">
        <v>45862.50613425926</v>
      </c>
    </row>
    <row r="2604" spans="1:15" ht="22.5" customHeight="1">
      <c r="A2604" s="85">
        <v>766589657993298</v>
      </c>
      <c r="B2604" s="82" t="s">
        <v>10688</v>
      </c>
      <c r="C2604" s="82" t="s">
        <v>11508</v>
      </c>
      <c r="D2604" s="82" t="s">
        <v>11509</v>
      </c>
      <c r="E2604" s="82">
        <v>6281325757271</v>
      </c>
      <c r="F2604" s="92">
        <v>45861</v>
      </c>
      <c r="G2604" s="87">
        <v>418</v>
      </c>
      <c r="H2604" s="88">
        <v>27275.142314990509</v>
      </c>
      <c r="I2604" s="89">
        <v>10</v>
      </c>
      <c r="J2604" s="90">
        <v>14374</v>
      </c>
      <c r="K2604" s="85">
        <v>0</v>
      </c>
      <c r="L2604" s="85">
        <v>127</v>
      </c>
      <c r="M2604" s="85">
        <v>0</v>
      </c>
      <c r="N2604" s="82" t="s">
        <v>11510</v>
      </c>
      <c r="O2604" s="93">
        <v>45862.217268518521</v>
      </c>
    </row>
    <row r="2605" spans="1:15" ht="22.5" customHeight="1">
      <c r="A2605" s="85">
        <v>766589657993298</v>
      </c>
      <c r="B2605" s="82" t="s">
        <v>10688</v>
      </c>
      <c r="C2605" s="82" t="s">
        <v>11511</v>
      </c>
      <c r="D2605" s="82" t="s">
        <v>11512</v>
      </c>
      <c r="E2605" s="82">
        <v>6285955053385</v>
      </c>
      <c r="F2605" s="92">
        <v>45861</v>
      </c>
      <c r="G2605" s="87">
        <v>736</v>
      </c>
      <c r="H2605" s="88">
        <v>14795.386158475427</v>
      </c>
      <c r="I2605" s="89">
        <v>12</v>
      </c>
      <c r="J2605" s="90">
        <v>14751</v>
      </c>
      <c r="K2605" s="85">
        <v>1</v>
      </c>
      <c r="L2605" s="85">
        <v>260</v>
      </c>
      <c r="M2605" s="85">
        <v>1</v>
      </c>
      <c r="N2605" s="82" t="s">
        <v>11513</v>
      </c>
      <c r="O2605" s="93">
        <v>45862.217256944445</v>
      </c>
    </row>
    <row r="2606" spans="1:15" ht="22.5" customHeight="1">
      <c r="A2606" s="85">
        <v>766589657993298</v>
      </c>
      <c r="B2606" s="82" t="s">
        <v>10688</v>
      </c>
      <c r="C2606" s="82" t="s">
        <v>11488</v>
      </c>
      <c r="D2606" s="82" t="s">
        <v>11489</v>
      </c>
      <c r="E2606" s="82">
        <v>6285888590045</v>
      </c>
      <c r="F2606" s="92">
        <v>45861</v>
      </c>
      <c r="G2606" s="87">
        <v>243</v>
      </c>
      <c r="H2606" s="88">
        <v>54875</v>
      </c>
      <c r="I2606" s="89">
        <v>10</v>
      </c>
      <c r="J2606" s="90">
        <v>14926</v>
      </c>
      <c r="K2606" s="85">
        <v>1</v>
      </c>
      <c r="L2606" s="85">
        <v>16</v>
      </c>
      <c r="M2606" s="85">
        <v>0</v>
      </c>
      <c r="N2606" s="82" t="s">
        <v>11490</v>
      </c>
      <c r="O2606" s="93">
        <v>45862.217233796298</v>
      </c>
    </row>
    <row r="2607" spans="1:15" ht="22.5" customHeight="1">
      <c r="A2607" s="85">
        <v>766589657993298</v>
      </c>
      <c r="B2607" s="82" t="s">
        <v>10688</v>
      </c>
      <c r="C2607" s="82" t="s">
        <v>11491</v>
      </c>
      <c r="D2607" s="82" t="s">
        <v>11492</v>
      </c>
      <c r="E2607" s="82">
        <v>6285268858846</v>
      </c>
      <c r="F2607" s="92">
        <v>45861</v>
      </c>
      <c r="G2607" s="87">
        <v>926</v>
      </c>
      <c r="H2607" s="88">
        <v>13396.628216503994</v>
      </c>
      <c r="I2607" s="89">
        <v>11</v>
      </c>
      <c r="J2607" s="90">
        <v>15098</v>
      </c>
      <c r="K2607" s="85">
        <v>0</v>
      </c>
      <c r="L2607" s="85">
        <v>93</v>
      </c>
      <c r="M2607" s="85">
        <v>0</v>
      </c>
      <c r="N2607" s="82" t="s">
        <v>11493</v>
      </c>
      <c r="O2607" s="93">
        <v>45862.217233796298</v>
      </c>
    </row>
    <row r="2608" spans="1:15" ht="22.5" customHeight="1">
      <c r="A2608" s="85">
        <v>766589657993298</v>
      </c>
      <c r="B2608" s="82" t="s">
        <v>10688</v>
      </c>
      <c r="C2608" s="82" t="s">
        <v>11455</v>
      </c>
      <c r="D2608" s="82" t="s">
        <v>11456</v>
      </c>
      <c r="E2608" s="82">
        <v>62895329361572</v>
      </c>
      <c r="F2608" s="92">
        <v>45861</v>
      </c>
      <c r="G2608" s="87">
        <v>279</v>
      </c>
      <c r="H2608" s="88">
        <v>49536.27760252366</v>
      </c>
      <c r="I2608" s="89">
        <v>6</v>
      </c>
      <c r="J2608" s="90">
        <v>15703</v>
      </c>
      <c r="K2608" s="85">
        <v>1</v>
      </c>
      <c r="L2608" s="85">
        <v>107</v>
      </c>
      <c r="M2608" s="85">
        <v>0</v>
      </c>
      <c r="N2608" s="82" t="s">
        <v>11457</v>
      </c>
      <c r="O2608" s="93">
        <v>45862.217245370368</v>
      </c>
    </row>
    <row r="2609" spans="1:15" ht="22.5" customHeight="1">
      <c r="A2609" s="85">
        <v>766589657993298</v>
      </c>
      <c r="B2609" s="82" t="s">
        <v>10688</v>
      </c>
      <c r="C2609" s="82" t="s">
        <v>11458</v>
      </c>
      <c r="D2609" s="82" t="s">
        <v>11459</v>
      </c>
      <c r="E2609" s="82">
        <v>6287821760177</v>
      </c>
      <c r="F2609" s="92">
        <v>45861</v>
      </c>
      <c r="G2609" s="87">
        <v>864</v>
      </c>
      <c r="H2609" s="88">
        <v>15320.197044334975</v>
      </c>
      <c r="I2609" s="89">
        <v>24</v>
      </c>
      <c r="J2609" s="90">
        <v>15550</v>
      </c>
      <c r="K2609" s="85">
        <v>3</v>
      </c>
      <c r="L2609" s="85">
        <v>400</v>
      </c>
      <c r="M2609" s="85">
        <v>0</v>
      </c>
      <c r="N2609" s="82" t="s">
        <v>11460</v>
      </c>
      <c r="O2609" s="93">
        <v>45862.217233796298</v>
      </c>
    </row>
    <row r="2610" spans="1:15" ht="22.5" customHeight="1">
      <c r="A2610" s="85">
        <v>766589657993298</v>
      </c>
      <c r="B2610" s="82" t="s">
        <v>10688</v>
      </c>
      <c r="C2610" s="82" t="s">
        <v>11461</v>
      </c>
      <c r="D2610" s="82" t="s">
        <v>11462</v>
      </c>
      <c r="E2610" s="82">
        <v>62882015555380</v>
      </c>
      <c r="F2610" s="92">
        <v>45861</v>
      </c>
      <c r="G2610" s="87">
        <v>589</v>
      </c>
      <c r="H2610" s="88">
        <v>18913.649025069637</v>
      </c>
      <c r="I2610" s="89">
        <v>14</v>
      </c>
      <c r="J2610" s="90">
        <v>13580</v>
      </c>
      <c r="K2610" s="85">
        <v>3</v>
      </c>
      <c r="L2610" s="85">
        <v>92</v>
      </c>
      <c r="M2610" s="85">
        <v>0</v>
      </c>
      <c r="N2610" s="82" t="s">
        <v>11463</v>
      </c>
      <c r="O2610" s="93">
        <v>45861.217222222222</v>
      </c>
    </row>
    <row r="2611" spans="1:15" ht="22.5" customHeight="1">
      <c r="A2611" s="85">
        <v>766589657993298</v>
      </c>
      <c r="B2611" s="82" t="s">
        <v>10688</v>
      </c>
      <c r="C2611" s="82" t="s">
        <v>11433</v>
      </c>
      <c r="D2611" s="82" t="s">
        <v>11434</v>
      </c>
      <c r="E2611" s="82">
        <v>6287878863000</v>
      </c>
      <c r="F2611" s="92">
        <v>45861</v>
      </c>
      <c r="G2611" s="87">
        <v>346</v>
      </c>
      <c r="H2611" s="88">
        <v>40594.73684210526</v>
      </c>
      <c r="I2611" s="89">
        <v>5</v>
      </c>
      <c r="J2611" s="90">
        <v>15426</v>
      </c>
      <c r="K2611" s="85">
        <v>0</v>
      </c>
      <c r="L2611" s="85">
        <v>93</v>
      </c>
      <c r="M2611" s="85">
        <v>0</v>
      </c>
      <c r="N2611" s="82" t="s">
        <v>11435</v>
      </c>
      <c r="O2611" s="93">
        <v>45862.445972222224</v>
      </c>
    </row>
    <row r="2612" spans="1:15" ht="22.5" customHeight="1">
      <c r="A2612" s="85">
        <v>766589657993298</v>
      </c>
      <c r="B2612" s="82" t="s">
        <v>10688</v>
      </c>
      <c r="C2612" s="82" t="s">
        <v>11436</v>
      </c>
      <c r="D2612" s="82" t="s">
        <v>5697</v>
      </c>
      <c r="E2612" s="82">
        <v>6281311129854</v>
      </c>
      <c r="F2612" s="92">
        <v>45861</v>
      </c>
      <c r="G2612" s="87">
        <v>396</v>
      </c>
      <c r="H2612" s="88">
        <v>36040</v>
      </c>
      <c r="I2612" s="89">
        <v>10</v>
      </c>
      <c r="J2612" s="90">
        <v>16218</v>
      </c>
      <c r="K2612" s="85">
        <v>1</v>
      </c>
      <c r="L2612" s="85">
        <v>69</v>
      </c>
      <c r="M2612" s="85">
        <v>0</v>
      </c>
      <c r="N2612" s="82" t="s">
        <v>11437</v>
      </c>
      <c r="O2612" s="93">
        <v>45862.487858796296</v>
      </c>
    </row>
    <row r="2613" spans="1:15" ht="22.5" customHeight="1">
      <c r="A2613" s="85">
        <v>766589657993298</v>
      </c>
      <c r="B2613" s="82" t="s">
        <v>10688</v>
      </c>
      <c r="C2613" s="82" t="s">
        <v>11438</v>
      </c>
      <c r="D2613" s="82" t="s">
        <v>11439</v>
      </c>
      <c r="E2613" s="82">
        <v>628116655901</v>
      </c>
      <c r="F2613" s="92">
        <v>45861</v>
      </c>
      <c r="G2613" s="87">
        <v>1177</v>
      </c>
      <c r="H2613" s="88">
        <v>12704.496788008566</v>
      </c>
      <c r="I2613" s="89">
        <v>29</v>
      </c>
      <c r="J2613" s="90">
        <v>17799</v>
      </c>
      <c r="K2613" s="85">
        <v>5</v>
      </c>
      <c r="L2613" s="85">
        <v>268</v>
      </c>
      <c r="M2613" s="85">
        <v>0</v>
      </c>
      <c r="N2613" s="82" t="s">
        <v>11440</v>
      </c>
      <c r="O2613" s="93">
        <v>45862.217222222222</v>
      </c>
    </row>
    <row r="2614" spans="1:15" ht="22.5" customHeight="1">
      <c r="A2614" s="85">
        <v>766589657993298</v>
      </c>
      <c r="B2614" s="82" t="s">
        <v>10688</v>
      </c>
      <c r="C2614" s="82" t="s">
        <v>11441</v>
      </c>
      <c r="D2614" s="82" t="s">
        <v>11442</v>
      </c>
      <c r="E2614" s="82">
        <v>6287734875393</v>
      </c>
      <c r="F2614" s="92">
        <v>45861</v>
      </c>
      <c r="G2614" s="87">
        <v>533</v>
      </c>
      <c r="H2614" s="88">
        <v>25838.016528925622</v>
      </c>
      <c r="I2614" s="89">
        <v>22</v>
      </c>
      <c r="J2614" s="90">
        <v>15632</v>
      </c>
      <c r="K2614" s="85">
        <v>2</v>
      </c>
      <c r="L2614" s="85">
        <v>180</v>
      </c>
      <c r="M2614" s="85">
        <v>1</v>
      </c>
      <c r="N2614" s="82" t="s">
        <v>11443</v>
      </c>
      <c r="O2614" s="93">
        <v>45862.217256944445</v>
      </c>
    </row>
    <row r="2615" spans="1:15" ht="22.5" customHeight="1">
      <c r="A2615" s="85">
        <v>766589657993298</v>
      </c>
      <c r="B2615" s="82" t="s">
        <v>10688</v>
      </c>
      <c r="C2615" s="82" t="s">
        <v>11411</v>
      </c>
      <c r="D2615" s="82" t="s">
        <v>2529</v>
      </c>
      <c r="E2615" s="82">
        <v>6287888068088</v>
      </c>
      <c r="F2615" s="92">
        <v>45861</v>
      </c>
      <c r="G2615" s="87">
        <v>165</v>
      </c>
      <c r="H2615" s="88">
        <v>90329.479768786128</v>
      </c>
      <c r="I2615" s="89">
        <v>9</v>
      </c>
      <c r="J2615" s="90">
        <v>15627</v>
      </c>
      <c r="K2615" s="85">
        <v>3</v>
      </c>
      <c r="L2615" s="85">
        <v>21</v>
      </c>
      <c r="M2615" s="85">
        <v>0</v>
      </c>
      <c r="N2615" s="82" t="s">
        <v>11412</v>
      </c>
      <c r="O2615" s="93">
        <v>45862.217245370368</v>
      </c>
    </row>
    <row r="2616" spans="1:15" ht="22.5" customHeight="1">
      <c r="A2616" s="85">
        <v>766589657993298</v>
      </c>
      <c r="B2616" s="82" t="s">
        <v>10688</v>
      </c>
      <c r="C2616" s="82" t="s">
        <v>11413</v>
      </c>
      <c r="D2616" s="82" t="s">
        <v>5697</v>
      </c>
      <c r="E2616" s="82">
        <v>6281385001244</v>
      </c>
      <c r="F2616" s="92">
        <v>45861</v>
      </c>
      <c r="G2616" s="87">
        <v>373</v>
      </c>
      <c r="H2616" s="88">
        <v>34380.846325167033</v>
      </c>
      <c r="I2616" s="89">
        <v>15</v>
      </c>
      <c r="J2616" s="90">
        <v>15437</v>
      </c>
      <c r="K2616" s="85">
        <v>4</v>
      </c>
      <c r="L2616" s="85">
        <v>92</v>
      </c>
      <c r="M2616" s="85">
        <v>1</v>
      </c>
      <c r="N2616" s="82" t="s">
        <v>11414</v>
      </c>
      <c r="O2616" s="93">
        <v>45862.217222222222</v>
      </c>
    </row>
    <row r="2617" spans="1:15" ht="22.5" customHeight="1">
      <c r="A2617" s="85">
        <v>766589657993298</v>
      </c>
      <c r="B2617" s="82" t="s">
        <v>10688</v>
      </c>
      <c r="C2617" s="82" t="s">
        <v>11415</v>
      </c>
      <c r="D2617" s="82" t="s">
        <v>11416</v>
      </c>
      <c r="E2617" s="82">
        <v>6281298551100</v>
      </c>
      <c r="F2617" s="92">
        <v>45861</v>
      </c>
      <c r="G2617" s="87">
        <v>258</v>
      </c>
      <c r="H2617" s="88">
        <v>55812.5</v>
      </c>
      <c r="I2617" s="89">
        <v>5</v>
      </c>
      <c r="J2617" s="90">
        <v>16074</v>
      </c>
      <c r="K2617" s="85">
        <v>2</v>
      </c>
      <c r="L2617" s="85">
        <v>0</v>
      </c>
      <c r="M2617" s="85">
        <v>0</v>
      </c>
      <c r="N2617" s="82" t="s">
        <v>11417</v>
      </c>
      <c r="O2617" s="93">
        <v>45862.217233796298</v>
      </c>
    </row>
    <row r="2618" spans="1:15" ht="22.5" customHeight="1">
      <c r="A2618" s="85">
        <v>766589657993298</v>
      </c>
      <c r="B2618" s="82" t="s">
        <v>10688</v>
      </c>
      <c r="C2618" s="82" t="s">
        <v>11418</v>
      </c>
      <c r="D2618" s="82" t="s">
        <v>2480</v>
      </c>
      <c r="E2618" s="82">
        <v>6287856230745</v>
      </c>
      <c r="F2618" s="92">
        <v>45861</v>
      </c>
      <c r="G2618" s="87">
        <v>445</v>
      </c>
      <c r="H2618" s="88">
        <v>28864.603481624759</v>
      </c>
      <c r="I2618" s="89">
        <v>7</v>
      </c>
      <c r="J2618" s="90">
        <v>14923</v>
      </c>
      <c r="K2618" s="85">
        <v>1</v>
      </c>
      <c r="L2618" s="85">
        <v>21</v>
      </c>
      <c r="M2618" s="85">
        <v>0</v>
      </c>
      <c r="N2618" s="82" t="s">
        <v>11419</v>
      </c>
      <c r="O2618" s="93">
        <v>45862.217233796298</v>
      </c>
    </row>
    <row r="2619" spans="1:15" ht="22.5" customHeight="1">
      <c r="A2619" s="85">
        <v>766589657993298</v>
      </c>
      <c r="B2619" s="82" t="s">
        <v>10688</v>
      </c>
      <c r="C2619" s="82" t="s">
        <v>11381</v>
      </c>
      <c r="D2619" s="82" t="s">
        <v>2385</v>
      </c>
      <c r="E2619" s="82">
        <v>6281317170441</v>
      </c>
      <c r="F2619" s="92">
        <v>45861</v>
      </c>
      <c r="G2619" s="87">
        <v>390</v>
      </c>
      <c r="H2619" s="88">
        <v>35708.624708624709</v>
      </c>
      <c r="I2619" s="89">
        <v>17</v>
      </c>
      <c r="J2619" s="90">
        <v>15319</v>
      </c>
      <c r="K2619" s="85">
        <v>2</v>
      </c>
      <c r="L2619" s="85">
        <v>101</v>
      </c>
      <c r="M2619" s="85">
        <v>0</v>
      </c>
      <c r="N2619" s="82" t="s">
        <v>11382</v>
      </c>
      <c r="O2619" s="93">
        <v>45862.217222222222</v>
      </c>
    </row>
    <row r="2620" spans="1:15" ht="22.5" customHeight="1">
      <c r="A2620" s="85">
        <v>766589657993298</v>
      </c>
      <c r="B2620" s="82" t="s">
        <v>10688</v>
      </c>
      <c r="C2620" s="82" t="s">
        <v>11392</v>
      </c>
      <c r="D2620" s="82" t="s">
        <v>2308</v>
      </c>
      <c r="E2620" s="82">
        <v>62895416149255</v>
      </c>
      <c r="F2620" s="92">
        <v>45861</v>
      </c>
      <c r="G2620" s="87">
        <v>676</v>
      </c>
      <c r="H2620" s="88">
        <v>21660.94986807388</v>
      </c>
      <c r="I2620" s="89">
        <v>21</v>
      </c>
      <c r="J2620" s="90">
        <v>16419</v>
      </c>
      <c r="K2620" s="85">
        <v>3</v>
      </c>
      <c r="L2620" s="85">
        <v>264</v>
      </c>
      <c r="M2620" s="85">
        <v>0</v>
      </c>
      <c r="N2620" s="82" t="s">
        <v>11393</v>
      </c>
      <c r="O2620" s="93">
        <v>45862.217233796298</v>
      </c>
    </row>
    <row r="2621" spans="1:15" ht="22.5" customHeight="1">
      <c r="A2621" s="85">
        <v>766589657993298</v>
      </c>
      <c r="B2621" s="82" t="s">
        <v>10688</v>
      </c>
      <c r="C2621" s="82" t="s">
        <v>11318</v>
      </c>
      <c r="D2621" s="82" t="s">
        <v>11365</v>
      </c>
      <c r="E2621" s="82">
        <v>6282310465999</v>
      </c>
      <c r="F2621" s="92">
        <v>45861</v>
      </c>
      <c r="G2621" s="87">
        <v>872</v>
      </c>
      <c r="H2621" s="88">
        <v>16429</v>
      </c>
      <c r="I2621" s="89">
        <v>24</v>
      </c>
      <c r="J2621" s="90">
        <v>16429</v>
      </c>
      <c r="K2621" s="85">
        <v>2</v>
      </c>
      <c r="L2621" s="85">
        <v>66</v>
      </c>
      <c r="M2621" s="85">
        <v>0</v>
      </c>
      <c r="N2621" s="82" t="s">
        <v>11366</v>
      </c>
      <c r="O2621" s="93">
        <v>45862.217233796298</v>
      </c>
    </row>
    <row r="2622" spans="1:15" ht="22.5" customHeight="1">
      <c r="A2622" s="85">
        <v>766589657993298</v>
      </c>
      <c r="B2622" s="82" t="s">
        <v>10688</v>
      </c>
      <c r="C2622" s="82" t="s">
        <v>11264</v>
      </c>
      <c r="D2622" s="91" t="s">
        <v>1915</v>
      </c>
      <c r="E2622" s="82">
        <v>6281239874761</v>
      </c>
      <c r="F2622" s="92">
        <v>45861</v>
      </c>
      <c r="G2622" s="87">
        <v>248</v>
      </c>
      <c r="H2622" s="88">
        <v>60294.326241134753</v>
      </c>
      <c r="I2622" s="89">
        <v>5</v>
      </c>
      <c r="J2622" s="90">
        <v>17003</v>
      </c>
      <c r="K2622" s="85">
        <v>1</v>
      </c>
      <c r="L2622" s="85">
        <v>43</v>
      </c>
      <c r="M2622" s="85">
        <v>0</v>
      </c>
      <c r="N2622" s="82" t="s">
        <v>11265</v>
      </c>
      <c r="O2622" s="93">
        <v>45862.467106481483</v>
      </c>
    </row>
    <row r="2623" spans="1:15" ht="22.5" customHeight="1">
      <c r="A2623" s="85">
        <v>766589657993298</v>
      </c>
      <c r="B2623" s="82" t="s">
        <v>10688</v>
      </c>
      <c r="C2623" s="82" t="s">
        <v>11207</v>
      </c>
      <c r="D2623" s="82" t="s">
        <v>11208</v>
      </c>
      <c r="E2623" s="82">
        <v>6282111180648</v>
      </c>
      <c r="F2623" s="92">
        <v>45861</v>
      </c>
      <c r="G2623" s="87">
        <v>857</v>
      </c>
      <c r="H2623" s="88">
        <v>17914.594594594593</v>
      </c>
      <c r="I2623" s="89">
        <v>16</v>
      </c>
      <c r="J2623" s="90">
        <v>16571</v>
      </c>
      <c r="K2623" s="85">
        <v>1</v>
      </c>
      <c r="L2623" s="85">
        <v>42</v>
      </c>
      <c r="M2623" s="85">
        <v>4</v>
      </c>
      <c r="N2623" s="82" t="s">
        <v>11209</v>
      </c>
      <c r="O2623" s="93">
        <v>45862.217245370368</v>
      </c>
    </row>
    <row r="2624" spans="1:15" ht="22.5" customHeight="1">
      <c r="A2624" s="85">
        <v>766589657993298</v>
      </c>
      <c r="B2624" s="82" t="s">
        <v>10688</v>
      </c>
      <c r="C2624" s="82" t="s">
        <v>11103</v>
      </c>
      <c r="D2624" s="82" t="s">
        <v>11104</v>
      </c>
      <c r="E2624" s="82">
        <v>6282124027899</v>
      </c>
      <c r="F2624" s="92">
        <v>45861</v>
      </c>
      <c r="G2624" s="87">
        <v>1608</v>
      </c>
      <c r="H2624" s="88">
        <v>8557.894736842105</v>
      </c>
      <c r="I2624" s="89">
        <v>47</v>
      </c>
      <c r="J2624" s="90">
        <v>15447</v>
      </c>
      <c r="K2624" s="85">
        <v>4</v>
      </c>
      <c r="L2624" s="85">
        <v>419</v>
      </c>
      <c r="M2624" s="85">
        <v>0</v>
      </c>
      <c r="N2624" s="82" t="s">
        <v>11105</v>
      </c>
      <c r="O2624" s="93">
        <v>45862.217233796298</v>
      </c>
    </row>
    <row r="2625" spans="1:15" ht="22.5" customHeight="1">
      <c r="A2625" s="85">
        <v>766589657993298</v>
      </c>
      <c r="B2625" s="82" t="s">
        <v>10688</v>
      </c>
      <c r="C2625" s="82" t="s">
        <v>11028</v>
      </c>
      <c r="D2625" s="82" t="s">
        <v>11029</v>
      </c>
      <c r="E2625" s="82">
        <v>6282338171577</v>
      </c>
      <c r="F2625" s="92">
        <v>45861</v>
      </c>
      <c r="G2625" s="87">
        <v>653</v>
      </c>
      <c r="H2625" s="88">
        <v>20411.311053984577</v>
      </c>
      <c r="I2625" s="89">
        <v>29</v>
      </c>
      <c r="J2625" s="90">
        <v>15880</v>
      </c>
      <c r="K2625" s="85">
        <v>4</v>
      </c>
      <c r="L2625" s="85">
        <v>239</v>
      </c>
      <c r="M2625" s="85">
        <v>0</v>
      </c>
      <c r="N2625" s="82" t="s">
        <v>11030</v>
      </c>
      <c r="O2625" s="93">
        <v>45862.217233796298</v>
      </c>
    </row>
    <row r="2626" spans="1:15" ht="22.5" customHeight="1">
      <c r="A2626" s="85">
        <v>759724529202804</v>
      </c>
      <c r="B2626" s="82" t="s">
        <v>10621</v>
      </c>
      <c r="C2626" s="82" t="s">
        <v>11394</v>
      </c>
      <c r="D2626" s="82" t="s">
        <v>1277</v>
      </c>
      <c r="E2626" s="82">
        <v>6281269441611</v>
      </c>
      <c r="F2626" s="92">
        <v>45862</v>
      </c>
      <c r="G2626" s="87">
        <v>1998</v>
      </c>
      <c r="H2626" s="88">
        <v>7426.1936049058259</v>
      </c>
      <c r="I2626" s="89">
        <v>60</v>
      </c>
      <c r="J2626" s="90">
        <v>16954</v>
      </c>
      <c r="K2626" s="85">
        <v>3</v>
      </c>
      <c r="L2626" s="85">
        <v>458</v>
      </c>
      <c r="M2626" s="85">
        <v>0</v>
      </c>
      <c r="N2626" s="82" t="s">
        <v>11395</v>
      </c>
      <c r="O2626" s="93">
        <v>45863.568518518521</v>
      </c>
    </row>
    <row r="2627" spans="1:15" ht="22.5" customHeight="1">
      <c r="A2627" s="85">
        <v>759724529202804</v>
      </c>
      <c r="B2627" s="82" t="s">
        <v>10621</v>
      </c>
      <c r="C2627" s="82" t="s">
        <v>11070</v>
      </c>
      <c r="D2627" s="82" t="s">
        <v>11071</v>
      </c>
      <c r="E2627" s="82">
        <v>6281246211381</v>
      </c>
      <c r="F2627" s="92">
        <v>45862</v>
      </c>
      <c r="G2627" s="87">
        <v>972</v>
      </c>
      <c r="H2627" s="88">
        <v>13505.319148936171</v>
      </c>
      <c r="I2627" s="89">
        <v>31</v>
      </c>
      <c r="J2627" s="90">
        <v>15234</v>
      </c>
      <c r="K2627" s="85">
        <v>1</v>
      </c>
      <c r="L2627" s="85">
        <v>35</v>
      </c>
      <c r="M2627" s="85">
        <v>0</v>
      </c>
      <c r="N2627" s="82" t="s">
        <v>11072</v>
      </c>
      <c r="O2627" s="93">
        <v>45863.714236111111</v>
      </c>
    </row>
    <row r="2628" spans="1:15" ht="22.5" customHeight="1">
      <c r="A2628" s="85">
        <v>759724529202804</v>
      </c>
      <c r="B2628" s="82" t="s">
        <v>10621</v>
      </c>
      <c r="C2628" s="82" t="s">
        <v>11016</v>
      </c>
      <c r="D2628" s="82" t="s">
        <v>1530</v>
      </c>
      <c r="E2628" s="82">
        <v>628111988553</v>
      </c>
      <c r="F2628" s="92">
        <v>45862</v>
      </c>
      <c r="G2628" s="87">
        <v>175</v>
      </c>
      <c r="H2628" s="88">
        <v>84181.347150259069</v>
      </c>
      <c r="I2628" s="89">
        <v>18</v>
      </c>
      <c r="J2628" s="90">
        <v>16247</v>
      </c>
      <c r="K2628" s="85">
        <v>2</v>
      </c>
      <c r="L2628" s="85">
        <v>43</v>
      </c>
      <c r="M2628" s="85">
        <v>1</v>
      </c>
      <c r="N2628" s="82" t="s">
        <v>11017</v>
      </c>
      <c r="O2628" s="93">
        <v>45863.505995370368</v>
      </c>
    </row>
    <row r="2629" spans="1:15" ht="22.5" customHeight="1">
      <c r="A2629" s="85">
        <v>174904221976312</v>
      </c>
      <c r="B2629" s="82" t="s">
        <v>10651</v>
      </c>
      <c r="C2629" s="82" t="s">
        <v>11514</v>
      </c>
      <c r="D2629" s="82" t="s">
        <v>11515</v>
      </c>
      <c r="E2629" s="82">
        <v>6289607006888</v>
      </c>
      <c r="F2629" s="92">
        <v>45862</v>
      </c>
      <c r="G2629" s="87">
        <v>349</v>
      </c>
      <c r="H2629" s="88">
        <v>30155.606407322655</v>
      </c>
      <c r="I2629" s="89">
        <v>24</v>
      </c>
      <c r="J2629" s="90">
        <v>13178</v>
      </c>
      <c r="K2629" s="85">
        <v>2</v>
      </c>
      <c r="L2629" s="85">
        <v>30</v>
      </c>
      <c r="M2629" s="85">
        <v>0</v>
      </c>
      <c r="N2629" s="82" t="s">
        <v>11516</v>
      </c>
      <c r="O2629" s="93">
        <v>45863.693356481483</v>
      </c>
    </row>
    <row r="2630" spans="1:15" ht="22.5" customHeight="1">
      <c r="A2630" s="85">
        <v>174904221976312</v>
      </c>
      <c r="B2630" s="82" t="s">
        <v>10651</v>
      </c>
      <c r="C2630" s="82" t="s">
        <v>11517</v>
      </c>
      <c r="D2630" s="82" t="s">
        <v>11518</v>
      </c>
      <c r="E2630" s="82">
        <v>6282133271189</v>
      </c>
      <c r="F2630" s="92">
        <v>45862</v>
      </c>
      <c r="G2630" s="87">
        <v>38</v>
      </c>
      <c r="H2630" s="88">
        <v>317450</v>
      </c>
      <c r="I2630" s="89">
        <v>1</v>
      </c>
      <c r="J2630" s="90">
        <v>12698</v>
      </c>
      <c r="K2630" s="85">
        <v>0</v>
      </c>
      <c r="L2630" s="85">
        <v>1</v>
      </c>
      <c r="M2630" s="85">
        <v>0</v>
      </c>
      <c r="N2630" s="82" t="s">
        <v>11519</v>
      </c>
      <c r="O2630" s="93">
        <v>45863.485254629632</v>
      </c>
    </row>
    <row r="2631" spans="1:15" ht="22.5" customHeight="1">
      <c r="A2631" s="85">
        <v>174904221976312</v>
      </c>
      <c r="B2631" s="82" t="s">
        <v>10651</v>
      </c>
      <c r="C2631" s="82" t="s">
        <v>11520</v>
      </c>
      <c r="D2631" s="82" t="s">
        <v>2776</v>
      </c>
      <c r="E2631" s="82">
        <v>6285657238556</v>
      </c>
      <c r="F2631" s="92">
        <v>45862</v>
      </c>
      <c r="G2631" s="87">
        <v>435</v>
      </c>
      <c r="H2631" s="88">
        <v>20701.612903225807</v>
      </c>
      <c r="I2631" s="89">
        <v>36</v>
      </c>
      <c r="J2631" s="90">
        <v>12835</v>
      </c>
      <c r="K2631" s="85">
        <v>12</v>
      </c>
      <c r="L2631" s="85">
        <v>0</v>
      </c>
      <c r="M2631" s="85">
        <v>0</v>
      </c>
      <c r="N2631" s="82" t="s">
        <v>11521</v>
      </c>
      <c r="O2631" s="93">
        <v>45863.714212962965</v>
      </c>
    </row>
    <row r="2632" spans="1:15" ht="22.5" customHeight="1">
      <c r="A2632" s="85">
        <v>174904221976312</v>
      </c>
      <c r="B2632" s="82" t="s">
        <v>10651</v>
      </c>
      <c r="C2632" s="82" t="s">
        <v>11494</v>
      </c>
      <c r="D2632" s="82" t="s">
        <v>11495</v>
      </c>
      <c r="E2632" s="82">
        <v>6285645050058</v>
      </c>
      <c r="F2632" s="92">
        <v>45862</v>
      </c>
      <c r="G2632" s="87">
        <v>1207</v>
      </c>
      <c r="H2632" s="88">
        <v>8530.405405405405</v>
      </c>
      <c r="I2632" s="89">
        <v>52</v>
      </c>
      <c r="J2632" s="90">
        <v>12625</v>
      </c>
      <c r="K2632" s="85">
        <v>5</v>
      </c>
      <c r="L2632" s="85">
        <v>351</v>
      </c>
      <c r="M2632" s="85">
        <v>0</v>
      </c>
      <c r="N2632" s="82" t="s">
        <v>11496</v>
      </c>
      <c r="O2632" s="93">
        <v>45863.505902777775</v>
      </c>
    </row>
    <row r="2633" spans="1:15" ht="22.5" customHeight="1">
      <c r="A2633" s="85">
        <v>174904221976312</v>
      </c>
      <c r="B2633" s="82" t="s">
        <v>10651</v>
      </c>
      <c r="C2633" s="82" t="s">
        <v>11497</v>
      </c>
      <c r="D2633" s="82" t="s">
        <v>11498</v>
      </c>
      <c r="E2633" s="82">
        <v>6285267044893</v>
      </c>
      <c r="F2633" s="92">
        <v>45862</v>
      </c>
      <c r="G2633" s="87">
        <v>509</v>
      </c>
      <c r="H2633" s="88">
        <v>25072.310405643741</v>
      </c>
      <c r="I2633" s="89">
        <v>16</v>
      </c>
      <c r="J2633" s="90">
        <v>14216</v>
      </c>
      <c r="K2633" s="85">
        <v>2</v>
      </c>
      <c r="L2633" s="85">
        <v>178</v>
      </c>
      <c r="M2633" s="85">
        <v>1</v>
      </c>
      <c r="N2633" s="82" t="s">
        <v>11499</v>
      </c>
      <c r="O2633" s="93">
        <v>45863.547418981485</v>
      </c>
    </row>
    <row r="2634" spans="1:15" ht="22.5" customHeight="1">
      <c r="A2634" s="85">
        <v>174904221976312</v>
      </c>
      <c r="B2634" s="82" t="s">
        <v>10651</v>
      </c>
      <c r="C2634" s="82" t="s">
        <v>11500</v>
      </c>
      <c r="D2634" s="82" t="s">
        <v>2776</v>
      </c>
      <c r="E2634" s="82">
        <v>6285657238556</v>
      </c>
      <c r="F2634" s="92">
        <v>45862</v>
      </c>
      <c r="G2634" s="87">
        <v>773</v>
      </c>
      <c r="H2634" s="88">
        <v>14355.291576673866</v>
      </c>
      <c r="I2634" s="89">
        <v>39</v>
      </c>
      <c r="J2634" s="90">
        <v>13293</v>
      </c>
      <c r="K2634" s="85">
        <v>5</v>
      </c>
      <c r="L2634" s="85">
        <v>6</v>
      </c>
      <c r="M2634" s="85">
        <v>0</v>
      </c>
      <c r="N2634" s="82" t="s">
        <v>11501</v>
      </c>
      <c r="O2634" s="93">
        <v>45863.693379629629</v>
      </c>
    </row>
    <row r="2635" spans="1:15" ht="22.5" customHeight="1">
      <c r="A2635" s="85">
        <v>174904221976312</v>
      </c>
      <c r="B2635" s="82" t="s">
        <v>10651</v>
      </c>
      <c r="C2635" s="82" t="s">
        <v>11502</v>
      </c>
      <c r="D2635" s="82" t="s">
        <v>2801</v>
      </c>
      <c r="E2635" s="82">
        <v>6289524188028</v>
      </c>
      <c r="F2635" s="92">
        <v>45862</v>
      </c>
      <c r="G2635" s="87">
        <v>983</v>
      </c>
      <c r="H2635" s="88">
        <v>11416.599516518936</v>
      </c>
      <c r="I2635" s="89">
        <v>59</v>
      </c>
      <c r="J2635" s="90">
        <v>14168</v>
      </c>
      <c r="K2635" s="85">
        <v>10</v>
      </c>
      <c r="L2635" s="85">
        <v>381</v>
      </c>
      <c r="M2635" s="85">
        <v>2</v>
      </c>
      <c r="N2635" s="82" t="s">
        <v>11503</v>
      </c>
      <c r="O2635" s="93">
        <v>45863.651932870373</v>
      </c>
    </row>
    <row r="2636" spans="1:15" ht="22.5" customHeight="1">
      <c r="A2636" s="85">
        <v>174904221976312</v>
      </c>
      <c r="B2636" s="82" t="s">
        <v>10651</v>
      </c>
      <c r="C2636" s="82" t="s">
        <v>11504</v>
      </c>
      <c r="D2636" s="82" t="s">
        <v>2760</v>
      </c>
      <c r="E2636" s="82">
        <v>6285234005559</v>
      </c>
      <c r="F2636" s="92">
        <v>45862</v>
      </c>
      <c r="G2636" s="87">
        <v>766</v>
      </c>
      <c r="H2636" s="88">
        <v>12629.714285714286</v>
      </c>
      <c r="I2636" s="89">
        <v>24</v>
      </c>
      <c r="J2636" s="90">
        <v>11051</v>
      </c>
      <c r="K2636" s="85">
        <v>1</v>
      </c>
      <c r="L2636" s="85">
        <v>294</v>
      </c>
      <c r="M2636" s="85">
        <v>0</v>
      </c>
      <c r="N2636" s="82" t="s">
        <v>11505</v>
      </c>
      <c r="O2636" s="93">
        <v>45863.568124999998</v>
      </c>
    </row>
    <row r="2637" spans="1:15" ht="22.5" customHeight="1">
      <c r="A2637" s="85">
        <v>174904221976312</v>
      </c>
      <c r="B2637" s="82" t="s">
        <v>10651</v>
      </c>
      <c r="C2637" s="82" t="s">
        <v>11506</v>
      </c>
      <c r="D2637" s="82" t="s">
        <v>2700</v>
      </c>
      <c r="E2637" s="82">
        <v>6282197248722</v>
      </c>
      <c r="F2637" s="92">
        <v>45862</v>
      </c>
      <c r="G2637" s="87">
        <v>581</v>
      </c>
      <c r="H2637" s="88">
        <v>18972.582972582972</v>
      </c>
      <c r="I2637" s="89">
        <v>34</v>
      </c>
      <c r="J2637" s="90">
        <v>13148</v>
      </c>
      <c r="K2637" s="85">
        <v>8</v>
      </c>
      <c r="L2637" s="85">
        <v>220</v>
      </c>
      <c r="M2637" s="85">
        <v>0</v>
      </c>
      <c r="N2637" s="82" t="s">
        <v>11507</v>
      </c>
      <c r="O2637" s="93">
        <v>45863.547500000001</v>
      </c>
    </row>
    <row r="2638" spans="1:15" ht="22.5" customHeight="1">
      <c r="A2638" s="85">
        <v>174904221976312</v>
      </c>
      <c r="B2638" s="82" t="s">
        <v>10651</v>
      </c>
      <c r="C2638" s="82" t="s">
        <v>11464</v>
      </c>
      <c r="D2638" s="82" t="s">
        <v>11465</v>
      </c>
      <c r="E2638" s="82">
        <v>62816904358</v>
      </c>
      <c r="F2638" s="92">
        <v>45862</v>
      </c>
      <c r="G2638" s="87">
        <v>306</v>
      </c>
      <c r="H2638" s="88">
        <v>38688.760806916427</v>
      </c>
      <c r="I2638" s="89">
        <v>19</v>
      </c>
      <c r="J2638" s="90">
        <v>13425</v>
      </c>
      <c r="K2638" s="85">
        <v>4</v>
      </c>
      <c r="L2638" s="85">
        <v>0</v>
      </c>
      <c r="M2638" s="85">
        <v>1</v>
      </c>
      <c r="N2638" s="82" t="s">
        <v>11466</v>
      </c>
      <c r="O2638" s="93">
        <v>45863.610092592593</v>
      </c>
    </row>
    <row r="2639" spans="1:15" ht="22.5" customHeight="1">
      <c r="A2639" s="85">
        <v>174904221976312</v>
      </c>
      <c r="B2639" s="82" t="s">
        <v>10651</v>
      </c>
      <c r="C2639" s="82" t="s">
        <v>11467</v>
      </c>
      <c r="D2639" s="82" t="s">
        <v>11468</v>
      </c>
      <c r="E2639" s="82">
        <v>6282169354443</v>
      </c>
      <c r="F2639" s="92">
        <v>45862</v>
      </c>
      <c r="G2639" s="87">
        <v>1686</v>
      </c>
      <c r="H2639" s="88">
        <v>7719.1374663072784</v>
      </c>
      <c r="I2639" s="89">
        <v>57</v>
      </c>
      <c r="J2639" s="90">
        <v>14319</v>
      </c>
      <c r="K2639" s="85">
        <v>4</v>
      </c>
      <c r="L2639" s="85">
        <v>462</v>
      </c>
      <c r="M2639" s="85">
        <v>2</v>
      </c>
      <c r="N2639" s="82" t="s">
        <v>11469</v>
      </c>
      <c r="O2639" s="93">
        <v>45863.485254629632</v>
      </c>
    </row>
    <row r="2640" spans="1:15" ht="22.5" customHeight="1">
      <c r="A2640" s="85">
        <v>174904221976312</v>
      </c>
      <c r="B2640" s="82" t="s">
        <v>10651</v>
      </c>
      <c r="C2640" s="82" t="s">
        <v>11470</v>
      </c>
      <c r="D2640" s="82" t="s">
        <v>11471</v>
      </c>
      <c r="E2640" s="82">
        <v>6281225745133</v>
      </c>
      <c r="F2640" s="92">
        <v>45862</v>
      </c>
      <c r="G2640" s="87">
        <v>275</v>
      </c>
      <c r="H2640" s="88">
        <v>42843.949044585992</v>
      </c>
      <c r="I2640" s="89">
        <v>7</v>
      </c>
      <c r="J2640" s="90">
        <v>13453</v>
      </c>
      <c r="K2640" s="85">
        <v>4</v>
      </c>
      <c r="L2640" s="85">
        <v>0</v>
      </c>
      <c r="M2640" s="85">
        <v>0</v>
      </c>
      <c r="N2640" s="82" t="s">
        <v>11472</v>
      </c>
      <c r="O2640" s="93">
        <v>45863.485486111109</v>
      </c>
    </row>
    <row r="2641" spans="1:15" ht="22.5" customHeight="1">
      <c r="A2641" s="85">
        <v>174904221976312</v>
      </c>
      <c r="B2641" s="82" t="s">
        <v>10651</v>
      </c>
      <c r="C2641" s="82" t="s">
        <v>11473</v>
      </c>
      <c r="D2641" s="82" t="s">
        <v>2659</v>
      </c>
      <c r="E2641" s="82">
        <v>6287762707927</v>
      </c>
      <c r="F2641" s="92">
        <v>45862</v>
      </c>
      <c r="G2641" s="87">
        <v>465</v>
      </c>
      <c r="H2641" s="88">
        <v>23479.087452471482</v>
      </c>
      <c r="I2641" s="89">
        <v>20</v>
      </c>
      <c r="J2641" s="90">
        <v>12350</v>
      </c>
      <c r="K2641" s="85">
        <v>0</v>
      </c>
      <c r="L2641" s="85">
        <v>210</v>
      </c>
      <c r="M2641" s="85">
        <v>0</v>
      </c>
      <c r="N2641" s="82" t="s">
        <v>11474</v>
      </c>
      <c r="O2641" s="93">
        <v>45863.56832175926</v>
      </c>
    </row>
    <row r="2642" spans="1:15" ht="22.5" customHeight="1">
      <c r="A2642" s="85">
        <v>174904221976312</v>
      </c>
      <c r="B2642" s="82" t="s">
        <v>10651</v>
      </c>
      <c r="C2642" s="82" t="s">
        <v>11475</v>
      </c>
      <c r="D2642" s="82" t="s">
        <v>2708</v>
      </c>
      <c r="E2642" s="82">
        <v>6281219329853</v>
      </c>
      <c r="F2642" s="92">
        <v>45862</v>
      </c>
      <c r="G2642" s="87">
        <v>415</v>
      </c>
      <c r="H2642" s="88">
        <v>25968</v>
      </c>
      <c r="I2642" s="89">
        <v>21</v>
      </c>
      <c r="J2642" s="90">
        <v>12984</v>
      </c>
      <c r="K2642" s="85">
        <v>5</v>
      </c>
      <c r="L2642" s="85">
        <v>0</v>
      </c>
      <c r="M2642" s="85">
        <v>0</v>
      </c>
      <c r="N2642" s="82" t="s">
        <v>11476</v>
      </c>
      <c r="O2642" s="93">
        <v>45863.568124999998</v>
      </c>
    </row>
    <row r="2643" spans="1:15" ht="22.5" customHeight="1">
      <c r="A2643" s="85">
        <v>174904221976312</v>
      </c>
      <c r="B2643" s="82" t="s">
        <v>10651</v>
      </c>
      <c r="C2643" s="82" t="s">
        <v>11477</v>
      </c>
      <c r="D2643" s="82" t="s">
        <v>11478</v>
      </c>
      <c r="E2643" s="82">
        <v>6283131677011</v>
      </c>
      <c r="F2643" s="92">
        <v>45862</v>
      </c>
      <c r="G2643" s="87">
        <v>867</v>
      </c>
      <c r="H2643" s="88">
        <v>13965.447154471543</v>
      </c>
      <c r="I2643" s="89">
        <v>38</v>
      </c>
      <c r="J2643" s="90">
        <v>13742</v>
      </c>
      <c r="K2643" s="85">
        <v>6</v>
      </c>
      <c r="L2643" s="85">
        <v>0</v>
      </c>
      <c r="M2643" s="85">
        <v>1</v>
      </c>
      <c r="N2643" s="82" t="s">
        <v>11479</v>
      </c>
      <c r="O2643" s="93">
        <v>45863.505659722221</v>
      </c>
    </row>
    <row r="2644" spans="1:15" ht="22.5" customHeight="1">
      <c r="A2644" s="85">
        <v>174904221976312</v>
      </c>
      <c r="B2644" s="82" t="s">
        <v>10651</v>
      </c>
      <c r="C2644" s="82" t="s">
        <v>11480</v>
      </c>
      <c r="D2644" s="82" t="s">
        <v>2729</v>
      </c>
      <c r="E2644" s="82">
        <v>6282123039124</v>
      </c>
      <c r="F2644" s="92">
        <v>45862</v>
      </c>
      <c r="G2644" s="87">
        <v>769</v>
      </c>
      <c r="H2644" s="88">
        <v>15243.212669683258</v>
      </c>
      <c r="I2644" s="89">
        <v>10</v>
      </c>
      <c r="J2644" s="90">
        <v>13475</v>
      </c>
      <c r="K2644" s="85">
        <v>2</v>
      </c>
      <c r="L2644" s="85">
        <v>74</v>
      </c>
      <c r="M2644" s="85">
        <v>1</v>
      </c>
      <c r="N2644" s="82" t="s">
        <v>11481</v>
      </c>
      <c r="O2644" s="93">
        <v>45863.610023148147</v>
      </c>
    </row>
    <row r="2645" spans="1:15" ht="22.5" customHeight="1">
      <c r="A2645" s="85">
        <v>174904221976312</v>
      </c>
      <c r="B2645" s="82" t="s">
        <v>10651</v>
      </c>
      <c r="C2645" s="82" t="s">
        <v>11482</v>
      </c>
      <c r="D2645" s="82" t="s">
        <v>11483</v>
      </c>
      <c r="E2645" s="82">
        <v>6285741977776</v>
      </c>
      <c r="F2645" s="92">
        <v>45862</v>
      </c>
      <c r="G2645" s="87">
        <v>216</v>
      </c>
      <c r="H2645" s="88">
        <v>48336.996336996337</v>
      </c>
      <c r="I2645" s="89">
        <v>21</v>
      </c>
      <c r="J2645" s="90">
        <v>13196</v>
      </c>
      <c r="K2645" s="85">
        <v>6</v>
      </c>
      <c r="L2645" s="85">
        <v>25</v>
      </c>
      <c r="M2645" s="85">
        <v>1</v>
      </c>
      <c r="N2645" s="82" t="s">
        <v>11484</v>
      </c>
      <c r="O2645" s="93">
        <v>45863.526585648149</v>
      </c>
    </row>
    <row r="2646" spans="1:15" ht="22.5" customHeight="1">
      <c r="A2646" s="85">
        <v>174904221976312</v>
      </c>
      <c r="B2646" s="82" t="s">
        <v>10651</v>
      </c>
      <c r="C2646" s="82" t="s">
        <v>11446</v>
      </c>
      <c r="D2646" s="82" t="s">
        <v>11447</v>
      </c>
      <c r="E2646" s="82">
        <v>6281999375257</v>
      </c>
      <c r="F2646" s="92">
        <v>45862</v>
      </c>
      <c r="G2646" s="87">
        <v>704</v>
      </c>
      <c r="H2646" s="88">
        <v>15384.971098265894</v>
      </c>
      <c r="I2646" s="89">
        <v>15</v>
      </c>
      <c r="J2646" s="90">
        <v>13308</v>
      </c>
      <c r="K2646" s="85">
        <v>0</v>
      </c>
      <c r="L2646" s="85">
        <v>1</v>
      </c>
      <c r="M2646" s="85">
        <v>0</v>
      </c>
      <c r="N2646" s="82" t="s">
        <v>11448</v>
      </c>
      <c r="O2646" s="93">
        <v>45863.547476851854</v>
      </c>
    </row>
    <row r="2647" spans="1:15" ht="22.5" customHeight="1">
      <c r="A2647" s="85">
        <v>174904221976312</v>
      </c>
      <c r="B2647" s="82" t="s">
        <v>10651</v>
      </c>
      <c r="C2647" s="82" t="s">
        <v>11449</v>
      </c>
      <c r="D2647" s="82" t="s">
        <v>11450</v>
      </c>
      <c r="E2647" s="82">
        <v>6285773570295</v>
      </c>
      <c r="F2647" s="92">
        <v>45862</v>
      </c>
      <c r="G2647" s="87">
        <v>925</v>
      </c>
      <c r="H2647" s="88">
        <v>12641.366223908917</v>
      </c>
      <c r="I2647" s="89">
        <v>96</v>
      </c>
      <c r="J2647" s="90">
        <v>13324</v>
      </c>
      <c r="K2647" s="85">
        <v>27</v>
      </c>
      <c r="L2647" s="85">
        <v>0</v>
      </c>
      <c r="M2647" s="85">
        <v>0</v>
      </c>
      <c r="N2647" s="82" t="s">
        <v>11451</v>
      </c>
      <c r="O2647" s="93">
        <v>45863.526562500003</v>
      </c>
    </row>
    <row r="2648" spans="1:15" ht="22.5" customHeight="1">
      <c r="A2648" s="85">
        <v>174904221976312</v>
      </c>
      <c r="B2648" s="82" t="s">
        <v>10651</v>
      </c>
      <c r="C2648" s="82" t="s">
        <v>11452</v>
      </c>
      <c r="D2648" s="82" t="s">
        <v>11453</v>
      </c>
      <c r="E2648" s="82">
        <v>6281215284044</v>
      </c>
      <c r="F2648" s="92">
        <v>45862</v>
      </c>
      <c r="G2648" s="87">
        <v>144</v>
      </c>
      <c r="H2648" s="88">
        <v>71740.506329113923</v>
      </c>
      <c r="I2648" s="89">
        <v>3</v>
      </c>
      <c r="J2648" s="90">
        <v>11335</v>
      </c>
      <c r="K2648" s="85">
        <v>1</v>
      </c>
      <c r="L2648" s="85">
        <v>0</v>
      </c>
      <c r="M2648" s="85">
        <v>1</v>
      </c>
      <c r="N2648" s="82" t="s">
        <v>11454</v>
      </c>
      <c r="O2648" s="93">
        <v>45863.485219907408</v>
      </c>
    </row>
    <row r="2649" spans="1:15" ht="22.5" customHeight="1">
      <c r="A2649" s="85">
        <v>174904221976312</v>
      </c>
      <c r="B2649" s="82" t="s">
        <v>10651</v>
      </c>
      <c r="C2649" s="82" t="s">
        <v>11422</v>
      </c>
      <c r="D2649" s="82" t="s">
        <v>11145</v>
      </c>
      <c r="E2649" s="82">
        <v>6282128714101</v>
      </c>
      <c r="F2649" s="92">
        <v>45862</v>
      </c>
      <c r="G2649" s="87">
        <v>374</v>
      </c>
      <c r="H2649" s="88">
        <v>30119.565217391304</v>
      </c>
      <c r="I2649" s="89">
        <v>17</v>
      </c>
      <c r="J2649" s="90">
        <v>13855</v>
      </c>
      <c r="K2649" s="85">
        <v>0</v>
      </c>
      <c r="L2649" s="85">
        <v>67</v>
      </c>
      <c r="M2649" s="85">
        <v>0</v>
      </c>
      <c r="N2649" s="82" t="s">
        <v>11423</v>
      </c>
      <c r="O2649" s="93">
        <v>45863.463935185187</v>
      </c>
    </row>
    <row r="2650" spans="1:15" ht="22.5" customHeight="1">
      <c r="A2650" s="85">
        <v>174904221976312</v>
      </c>
      <c r="B2650" s="82" t="s">
        <v>10651</v>
      </c>
      <c r="C2650" s="82" t="s">
        <v>11424</v>
      </c>
      <c r="D2650" s="82" t="s">
        <v>11425</v>
      </c>
      <c r="E2650" s="82">
        <v>6283891332074</v>
      </c>
      <c r="F2650" s="92">
        <v>45862</v>
      </c>
      <c r="G2650" s="87">
        <v>147</v>
      </c>
      <c r="H2650" s="88">
        <v>82822.485207100603</v>
      </c>
      <c r="I2650" s="89">
        <v>3</v>
      </c>
      <c r="J2650" s="90">
        <v>13997</v>
      </c>
      <c r="K2650" s="85">
        <v>0</v>
      </c>
      <c r="L2650" s="85">
        <v>0</v>
      </c>
      <c r="M2650" s="85">
        <v>0</v>
      </c>
      <c r="N2650" s="82" t="s">
        <v>11426</v>
      </c>
      <c r="O2650" s="93">
        <v>45863.217824074076</v>
      </c>
    </row>
    <row r="2651" spans="1:15" ht="22.5" customHeight="1">
      <c r="A2651" s="85">
        <v>174904221976312</v>
      </c>
      <c r="B2651" s="82" t="s">
        <v>10651</v>
      </c>
      <c r="C2651" s="82" t="s">
        <v>11427</v>
      </c>
      <c r="D2651" s="82" t="s">
        <v>11428</v>
      </c>
      <c r="E2651" s="82">
        <v>6285268101557</v>
      </c>
      <c r="F2651" s="92">
        <v>45862</v>
      </c>
      <c r="G2651" s="87">
        <v>764</v>
      </c>
      <c r="H2651" s="88">
        <v>14120.711562897079</v>
      </c>
      <c r="I2651" s="89">
        <v>15</v>
      </c>
      <c r="J2651" s="90">
        <v>11113</v>
      </c>
      <c r="K2651" s="85">
        <v>2</v>
      </c>
      <c r="L2651" s="85">
        <v>360</v>
      </c>
      <c r="M2651" s="85">
        <v>0</v>
      </c>
      <c r="N2651" s="82" t="s">
        <v>11429</v>
      </c>
      <c r="O2651" s="93">
        <v>45863.505659722221</v>
      </c>
    </row>
    <row r="2652" spans="1:15" ht="22.5" customHeight="1">
      <c r="A2652" s="85">
        <v>174904221976312</v>
      </c>
      <c r="B2652" s="82" t="s">
        <v>10651</v>
      </c>
      <c r="C2652" s="82" t="s">
        <v>11430</v>
      </c>
      <c r="D2652" s="82" t="s">
        <v>11431</v>
      </c>
      <c r="E2652" s="82">
        <v>6281252595912</v>
      </c>
      <c r="F2652" s="92">
        <v>45862</v>
      </c>
      <c r="G2652" s="87">
        <v>1366</v>
      </c>
      <c r="H2652" s="88">
        <v>8949.288806431663</v>
      </c>
      <c r="I2652" s="89">
        <v>27</v>
      </c>
      <c r="J2652" s="90">
        <v>14471</v>
      </c>
      <c r="K2652" s="85">
        <v>3</v>
      </c>
      <c r="L2652" s="85">
        <v>191</v>
      </c>
      <c r="M2652" s="85">
        <v>0</v>
      </c>
      <c r="N2652" s="82" t="s">
        <v>11432</v>
      </c>
      <c r="O2652" s="93">
        <v>45863.217812499999</v>
      </c>
    </row>
    <row r="2653" spans="1:15" ht="22.5" customHeight="1">
      <c r="A2653" s="85">
        <v>174904221976312</v>
      </c>
      <c r="B2653" s="82" t="s">
        <v>10651</v>
      </c>
      <c r="C2653" s="82" t="s">
        <v>11399</v>
      </c>
      <c r="D2653" s="82" t="s">
        <v>11400</v>
      </c>
      <c r="E2653" s="82">
        <v>6281933176790</v>
      </c>
      <c r="F2653" s="92">
        <v>45862</v>
      </c>
      <c r="G2653" s="87">
        <v>296</v>
      </c>
      <c r="H2653" s="88">
        <v>37224.188790560467</v>
      </c>
      <c r="I2653" s="89">
        <v>3</v>
      </c>
      <c r="J2653" s="90">
        <v>12619</v>
      </c>
      <c r="K2653" s="85">
        <v>1</v>
      </c>
      <c r="L2653" s="85">
        <v>45</v>
      </c>
      <c r="M2653" s="85">
        <v>0</v>
      </c>
      <c r="N2653" s="82" t="s">
        <v>11401</v>
      </c>
      <c r="O2653" s="93">
        <v>45863.547638888886</v>
      </c>
    </row>
    <row r="2654" spans="1:15" ht="22.5" customHeight="1">
      <c r="A2654" s="85">
        <v>174904221976312</v>
      </c>
      <c r="B2654" s="82" t="s">
        <v>10651</v>
      </c>
      <c r="C2654" s="82" t="s">
        <v>11402</v>
      </c>
      <c r="D2654" s="82" t="s">
        <v>11403</v>
      </c>
      <c r="E2654" s="82">
        <v>6283870060603</v>
      </c>
      <c r="F2654" s="92">
        <v>45862</v>
      </c>
      <c r="G2654" s="87">
        <v>3309</v>
      </c>
      <c r="H2654" s="88">
        <v>3724.4209909117562</v>
      </c>
      <c r="I2654" s="89">
        <v>54</v>
      </c>
      <c r="J2654" s="90">
        <v>12704</v>
      </c>
      <c r="K2654" s="85">
        <v>0</v>
      </c>
      <c r="L2654" s="85">
        <v>50</v>
      </c>
      <c r="M2654" s="85">
        <v>0</v>
      </c>
      <c r="N2654" s="82" t="s">
        <v>11404</v>
      </c>
      <c r="O2654" s="93">
        <v>45863.485219907408</v>
      </c>
    </row>
    <row r="2655" spans="1:15" ht="22.5" customHeight="1">
      <c r="A2655" s="85">
        <v>174904221976312</v>
      </c>
      <c r="B2655" s="82" t="s">
        <v>10651</v>
      </c>
      <c r="C2655" s="82" t="s">
        <v>11325</v>
      </c>
      <c r="D2655" s="82" t="s">
        <v>2274</v>
      </c>
      <c r="E2655" s="82">
        <v>6281316839343</v>
      </c>
      <c r="F2655" s="92">
        <v>45862</v>
      </c>
      <c r="G2655" s="87">
        <v>1652</v>
      </c>
      <c r="H2655" s="88">
        <v>7725.9966311061207</v>
      </c>
      <c r="I2655" s="89">
        <v>52</v>
      </c>
      <c r="J2655" s="90">
        <v>13760</v>
      </c>
      <c r="K2655" s="85">
        <v>10</v>
      </c>
      <c r="L2655" s="85">
        <v>0</v>
      </c>
      <c r="M2655" s="85">
        <v>2</v>
      </c>
      <c r="N2655" s="82" t="s">
        <v>11344</v>
      </c>
      <c r="O2655" s="93">
        <v>45863.463935185187</v>
      </c>
    </row>
    <row r="2656" spans="1:15" ht="22.5" customHeight="1">
      <c r="A2656" s="85">
        <v>174904221976312</v>
      </c>
      <c r="B2656" s="82" t="s">
        <v>10651</v>
      </c>
      <c r="C2656" s="82" t="s">
        <v>11309</v>
      </c>
      <c r="D2656" s="82" t="s">
        <v>11350</v>
      </c>
      <c r="E2656" s="82">
        <v>6281229745253</v>
      </c>
      <c r="F2656" s="92">
        <v>45862</v>
      </c>
      <c r="G2656" s="87">
        <v>210</v>
      </c>
      <c r="H2656" s="88">
        <v>61753.138075313807</v>
      </c>
      <c r="I2656" s="89">
        <v>12</v>
      </c>
      <c r="J2656" s="90">
        <v>14759</v>
      </c>
      <c r="K2656" s="85">
        <v>4</v>
      </c>
      <c r="L2656" s="85">
        <v>43</v>
      </c>
      <c r="M2656" s="85">
        <v>0</v>
      </c>
      <c r="N2656" s="82" t="s">
        <v>11351</v>
      </c>
      <c r="O2656" s="93">
        <v>45863.485231481478</v>
      </c>
    </row>
    <row r="2657" spans="1:15" ht="22.5" customHeight="1">
      <c r="A2657" s="85">
        <v>174904221976312</v>
      </c>
      <c r="B2657" s="82" t="s">
        <v>10651</v>
      </c>
      <c r="C2657" s="82" t="s">
        <v>11291</v>
      </c>
      <c r="D2657" s="82" t="s">
        <v>11292</v>
      </c>
      <c r="E2657" s="82">
        <v>6283183643221</v>
      </c>
      <c r="F2657" s="92">
        <v>45862</v>
      </c>
      <c r="G2657" s="87">
        <v>135</v>
      </c>
      <c r="H2657" s="88">
        <v>95040.540540540547</v>
      </c>
      <c r="I2657" s="89">
        <v>2</v>
      </c>
      <c r="J2657" s="90">
        <v>14066</v>
      </c>
      <c r="K2657" s="85">
        <v>0</v>
      </c>
      <c r="L2657" s="85">
        <v>59</v>
      </c>
      <c r="M2657" s="85">
        <v>0</v>
      </c>
      <c r="N2657" s="82" t="s">
        <v>11293</v>
      </c>
      <c r="O2657" s="93">
        <v>45863.485243055555</v>
      </c>
    </row>
    <row r="2658" spans="1:15" ht="22.5" customHeight="1">
      <c r="A2658" s="85">
        <v>174904221976312</v>
      </c>
      <c r="B2658" s="82" t="s">
        <v>10651</v>
      </c>
      <c r="C2658" s="82" t="s">
        <v>11225</v>
      </c>
      <c r="D2658" s="82" t="s">
        <v>11226</v>
      </c>
      <c r="E2658" s="82">
        <v>6281240144744</v>
      </c>
      <c r="F2658" s="92">
        <v>45862</v>
      </c>
      <c r="G2658" s="87">
        <v>1554</v>
      </c>
      <c r="H2658" s="88">
        <v>6751.4182568334199</v>
      </c>
      <c r="I2658" s="89">
        <v>30</v>
      </c>
      <c r="J2658" s="90">
        <v>13091</v>
      </c>
      <c r="K2658" s="85">
        <v>0</v>
      </c>
      <c r="L2658" s="85">
        <v>247</v>
      </c>
      <c r="M2658" s="85">
        <v>0</v>
      </c>
      <c r="N2658" s="82" t="s">
        <v>11227</v>
      </c>
      <c r="O2658" s="93">
        <v>45863.61</v>
      </c>
    </row>
    <row r="2659" spans="1:15" ht="22.5" customHeight="1">
      <c r="A2659" s="85">
        <v>174904221976312</v>
      </c>
      <c r="B2659" s="82" t="s">
        <v>10651</v>
      </c>
      <c r="C2659" s="82" t="s">
        <v>11144</v>
      </c>
      <c r="D2659" s="82" t="s">
        <v>11145</v>
      </c>
      <c r="E2659" s="82">
        <v>6282128714101</v>
      </c>
      <c r="F2659" s="92">
        <v>45862</v>
      </c>
      <c r="G2659" s="87">
        <v>324</v>
      </c>
      <c r="H2659" s="88">
        <v>32632.65306122449</v>
      </c>
      <c r="I2659" s="89">
        <v>17</v>
      </c>
      <c r="J2659" s="90">
        <v>12792</v>
      </c>
      <c r="K2659" s="85">
        <v>0</v>
      </c>
      <c r="L2659" s="85">
        <v>59</v>
      </c>
      <c r="M2659" s="85">
        <v>0</v>
      </c>
      <c r="N2659" s="82" t="s">
        <v>11146</v>
      </c>
      <c r="O2659" s="93">
        <v>45863.485231481478</v>
      </c>
    </row>
    <row r="2660" spans="1:15" ht="22.5" customHeight="1">
      <c r="A2660" s="85">
        <v>174904221976312</v>
      </c>
      <c r="B2660" s="82" t="s">
        <v>10651</v>
      </c>
      <c r="C2660" s="82" t="s">
        <v>11153</v>
      </c>
      <c r="D2660" s="82" t="s">
        <v>11154</v>
      </c>
      <c r="E2660" s="82">
        <v>6285338137835</v>
      </c>
      <c r="F2660" s="92">
        <v>45862</v>
      </c>
      <c r="G2660" s="87">
        <v>303</v>
      </c>
      <c r="H2660" s="88">
        <v>38472.972972972973</v>
      </c>
      <c r="I2660" s="89">
        <v>13</v>
      </c>
      <c r="J2660" s="90">
        <v>14235</v>
      </c>
      <c r="K2660" s="85">
        <v>1</v>
      </c>
      <c r="L2660" s="85">
        <v>23</v>
      </c>
      <c r="M2660" s="85">
        <v>0</v>
      </c>
      <c r="N2660" s="82" t="s">
        <v>11155</v>
      </c>
      <c r="O2660" s="93">
        <v>45863.505879629629</v>
      </c>
    </row>
    <row r="2661" spans="1:15" ht="22.5" customHeight="1">
      <c r="A2661" s="85">
        <v>174904221976312</v>
      </c>
      <c r="B2661" s="82" t="s">
        <v>10651</v>
      </c>
      <c r="C2661" s="82" t="s">
        <v>10943</v>
      </c>
      <c r="D2661" s="82" t="s">
        <v>10944</v>
      </c>
      <c r="E2661" s="82">
        <v>6285240694097</v>
      </c>
      <c r="F2661" s="92">
        <v>45862</v>
      </c>
      <c r="G2661" s="87">
        <v>820</v>
      </c>
      <c r="H2661" s="88">
        <v>12555.78947368421</v>
      </c>
      <c r="I2661" s="89">
        <v>38</v>
      </c>
      <c r="J2661" s="90">
        <v>11928</v>
      </c>
      <c r="K2661" s="85">
        <v>1</v>
      </c>
      <c r="L2661" s="85">
        <v>79</v>
      </c>
      <c r="M2661" s="85">
        <v>1</v>
      </c>
      <c r="N2661" s="82" t="s">
        <v>10945</v>
      </c>
      <c r="O2661" s="93">
        <v>45863.44326388889</v>
      </c>
    </row>
    <row r="2662" spans="1:15" ht="22.5" customHeight="1">
      <c r="A2662" s="85">
        <v>174904221976312</v>
      </c>
      <c r="B2662" s="82" t="s">
        <v>10651</v>
      </c>
      <c r="C2662" s="82" t="s">
        <v>10853</v>
      </c>
      <c r="D2662" s="82" t="s">
        <v>10854</v>
      </c>
      <c r="E2662" s="82">
        <v>6281393958199</v>
      </c>
      <c r="F2662" s="92">
        <v>45862</v>
      </c>
      <c r="G2662" s="87">
        <v>567</v>
      </c>
      <c r="H2662" s="88">
        <v>17219.435736677118</v>
      </c>
      <c r="I2662" s="89">
        <v>12</v>
      </c>
      <c r="J2662" s="90">
        <v>10986</v>
      </c>
      <c r="K2662" s="85">
        <v>2</v>
      </c>
      <c r="L2662" s="85">
        <v>203</v>
      </c>
      <c r="M2662" s="85">
        <v>0</v>
      </c>
      <c r="N2662" s="82" t="s">
        <v>10855</v>
      </c>
      <c r="O2662" s="93">
        <v>45863.50571759259</v>
      </c>
    </row>
    <row r="2663" spans="1:15" ht="22.5" customHeight="1">
      <c r="A2663" s="85">
        <v>174904221976312</v>
      </c>
      <c r="B2663" s="82" t="s">
        <v>10651</v>
      </c>
      <c r="C2663" s="82" t="s">
        <v>818</v>
      </c>
      <c r="D2663" s="82" t="s">
        <v>812</v>
      </c>
      <c r="E2663" s="82">
        <v>6287858585808</v>
      </c>
      <c r="F2663" s="92">
        <v>45862</v>
      </c>
      <c r="G2663" s="87">
        <v>792</v>
      </c>
      <c r="H2663" s="88">
        <v>14263.101604278076</v>
      </c>
      <c r="I2663" s="89">
        <v>23</v>
      </c>
      <c r="J2663" s="90">
        <v>13336</v>
      </c>
      <c r="K2663" s="85">
        <v>0</v>
      </c>
      <c r="L2663" s="85">
        <v>232</v>
      </c>
      <c r="M2663" s="85">
        <v>0</v>
      </c>
      <c r="N2663" s="82" t="s">
        <v>10831</v>
      </c>
      <c r="O2663" s="93">
        <v>45863.485509259262</v>
      </c>
    </row>
    <row r="2664" spans="1:15" ht="22.5" customHeight="1">
      <c r="A2664" s="85">
        <v>174904221976312</v>
      </c>
      <c r="B2664" s="82" t="s">
        <v>10651</v>
      </c>
      <c r="C2664" s="82" t="s">
        <v>10657</v>
      </c>
      <c r="D2664" s="82" t="s">
        <v>1239</v>
      </c>
      <c r="E2664" s="82">
        <v>6282172291579</v>
      </c>
      <c r="F2664" s="92">
        <v>45862</v>
      </c>
      <c r="G2664" s="87">
        <v>942</v>
      </c>
      <c r="H2664" s="88">
        <v>14083.102493074792</v>
      </c>
      <c r="I2664" s="89">
        <v>33</v>
      </c>
      <c r="J2664" s="90">
        <v>15252</v>
      </c>
      <c r="K2664" s="85">
        <v>6</v>
      </c>
      <c r="L2664" s="85">
        <v>495</v>
      </c>
      <c r="M2664" s="85">
        <v>0</v>
      </c>
      <c r="N2664" s="82" t="s">
        <v>10658</v>
      </c>
      <c r="O2664" s="93">
        <v>45863.217812499999</v>
      </c>
    </row>
    <row r="2665" spans="1:15" ht="22.5" customHeight="1">
      <c r="A2665" s="85">
        <v>174904221976312</v>
      </c>
      <c r="B2665" s="82" t="s">
        <v>10651</v>
      </c>
      <c r="C2665" s="82" t="s">
        <v>10662</v>
      </c>
      <c r="D2665" s="82" t="s">
        <v>10663</v>
      </c>
      <c r="E2665" s="82">
        <v>62882001677470</v>
      </c>
      <c r="F2665" s="92">
        <v>45862</v>
      </c>
      <c r="G2665" s="87">
        <v>631</v>
      </c>
      <c r="H2665" s="88">
        <v>20054.5193687231</v>
      </c>
      <c r="I2665" s="89">
        <v>18</v>
      </c>
      <c r="J2665" s="90">
        <v>13978</v>
      </c>
      <c r="K2665" s="85">
        <v>1</v>
      </c>
      <c r="L2665" s="85">
        <v>324</v>
      </c>
      <c r="M2665" s="85">
        <v>0</v>
      </c>
      <c r="N2665" s="82" t="s">
        <v>10664</v>
      </c>
      <c r="O2665" s="93">
        <v>45863.217893518522</v>
      </c>
    </row>
    <row r="2666" spans="1:15" ht="22.5" customHeight="1">
      <c r="A2666" s="85">
        <v>174904221976312</v>
      </c>
      <c r="B2666" s="82" t="s">
        <v>10651</v>
      </c>
      <c r="C2666" s="82" t="s">
        <v>11078</v>
      </c>
      <c r="D2666" s="82" t="s">
        <v>3140</v>
      </c>
      <c r="E2666" s="82"/>
      <c r="F2666" s="92">
        <v>45862</v>
      </c>
      <c r="G2666" s="87">
        <v>3407</v>
      </c>
      <c r="H2666" s="88">
        <v>3290.4988123515436</v>
      </c>
      <c r="I2666" s="89">
        <v>68</v>
      </c>
      <c r="J2666" s="90">
        <v>13853</v>
      </c>
      <c r="K2666" s="85">
        <v>6</v>
      </c>
      <c r="L2666" s="85">
        <v>185</v>
      </c>
      <c r="M2666" s="85">
        <v>0</v>
      </c>
      <c r="N2666" s="82" t="s">
        <v>11079</v>
      </c>
      <c r="O2666" s="93">
        <v>45863.463888888888</v>
      </c>
    </row>
    <row r="2667" spans="1:15" ht="22.5" customHeight="1">
      <c r="A2667" s="85">
        <v>174904221976312</v>
      </c>
      <c r="B2667" s="82" t="s">
        <v>10651</v>
      </c>
      <c r="C2667" s="82" t="s">
        <v>11485</v>
      </c>
      <c r="D2667" s="82" t="s">
        <v>11486</v>
      </c>
      <c r="E2667" s="82">
        <v>6281378757554</v>
      </c>
      <c r="F2667" s="92">
        <v>45862</v>
      </c>
      <c r="G2667" s="87">
        <v>392</v>
      </c>
      <c r="H2667" s="88">
        <v>26833.684210526313</v>
      </c>
      <c r="I2667" s="89">
        <v>19</v>
      </c>
      <c r="J2667" s="90">
        <v>12746</v>
      </c>
      <c r="K2667" s="85">
        <v>1</v>
      </c>
      <c r="L2667" s="85">
        <v>109</v>
      </c>
      <c r="M2667" s="85">
        <v>0</v>
      </c>
      <c r="N2667" s="82" t="s">
        <v>11487</v>
      </c>
      <c r="O2667" s="93">
        <v>45863.505648148152</v>
      </c>
    </row>
    <row r="2668" spans="1:15" ht="22.5" customHeight="1">
      <c r="A2668" s="85">
        <v>766589657993298</v>
      </c>
      <c r="B2668" s="82" t="s">
        <v>10688</v>
      </c>
      <c r="C2668" s="82" t="s">
        <v>11522</v>
      </c>
      <c r="D2668" s="82" t="s">
        <v>2954</v>
      </c>
      <c r="E2668" s="82">
        <v>6282299236521</v>
      </c>
      <c r="F2668" s="92">
        <v>45862</v>
      </c>
      <c r="G2668" s="87">
        <v>45</v>
      </c>
      <c r="H2668" s="88">
        <v>67702.127659574471</v>
      </c>
      <c r="I2668" s="89">
        <v>1</v>
      </c>
      <c r="J2668" s="90">
        <v>3182</v>
      </c>
      <c r="K2668" s="85">
        <v>0</v>
      </c>
      <c r="L2668" s="85">
        <v>6</v>
      </c>
      <c r="M2668" s="85">
        <v>0</v>
      </c>
      <c r="N2668" s="82" t="s">
        <v>11523</v>
      </c>
      <c r="O2668" s="93">
        <v>45863.695868055554</v>
      </c>
    </row>
    <row r="2669" spans="1:15" ht="22.5" customHeight="1">
      <c r="A2669" s="85">
        <v>766589657993298</v>
      </c>
      <c r="B2669" s="82" t="s">
        <v>10688</v>
      </c>
      <c r="C2669" s="82" t="s">
        <v>11524</v>
      </c>
      <c r="D2669" s="91" t="s">
        <v>2827</v>
      </c>
      <c r="E2669" s="82"/>
      <c r="F2669" s="92">
        <v>45862</v>
      </c>
      <c r="G2669" s="87">
        <v>55</v>
      </c>
      <c r="H2669" s="88">
        <v>36696.428571428572</v>
      </c>
      <c r="I2669" s="89">
        <v>2</v>
      </c>
      <c r="J2669" s="90">
        <v>2055</v>
      </c>
      <c r="K2669" s="85">
        <v>1</v>
      </c>
      <c r="L2669" s="85">
        <v>13</v>
      </c>
      <c r="M2669" s="85">
        <v>0</v>
      </c>
      <c r="N2669" s="82" t="s">
        <v>11525</v>
      </c>
      <c r="O2669" s="93">
        <v>45863.695879629631</v>
      </c>
    </row>
    <row r="2670" spans="1:15" ht="22.5" customHeight="1">
      <c r="A2670" s="85">
        <v>766589657993298</v>
      </c>
      <c r="B2670" s="82" t="s">
        <v>10688</v>
      </c>
      <c r="C2670" s="82" t="s">
        <v>11526</v>
      </c>
      <c r="D2670" s="82" t="s">
        <v>350</v>
      </c>
      <c r="E2670" s="82">
        <v>6285281921180</v>
      </c>
      <c r="F2670" s="92">
        <v>45862</v>
      </c>
      <c r="G2670" s="87">
        <v>125</v>
      </c>
      <c r="H2670" s="88">
        <v>23141.732283464567</v>
      </c>
      <c r="I2670" s="89">
        <v>3</v>
      </c>
      <c r="J2670" s="90">
        <v>2939</v>
      </c>
      <c r="K2670" s="85">
        <v>0</v>
      </c>
      <c r="L2670" s="85">
        <v>36</v>
      </c>
      <c r="M2670" s="85">
        <v>0</v>
      </c>
      <c r="N2670" s="82" t="s">
        <v>11527</v>
      </c>
      <c r="O2670" s="93">
        <v>45863.695879629631</v>
      </c>
    </row>
    <row r="2671" spans="1:15" ht="22.5" customHeight="1">
      <c r="A2671" s="85">
        <v>766589657993298</v>
      </c>
      <c r="B2671" s="82" t="s">
        <v>10688</v>
      </c>
      <c r="C2671" s="82" t="s">
        <v>11528</v>
      </c>
      <c r="D2671" s="82" t="s">
        <v>11529</v>
      </c>
      <c r="E2671" s="82">
        <v>6285778471007</v>
      </c>
      <c r="F2671" s="92">
        <v>45862</v>
      </c>
      <c r="G2671" s="87">
        <v>80</v>
      </c>
      <c r="H2671" s="88">
        <v>46337.349397590362</v>
      </c>
      <c r="I2671" s="89">
        <v>1</v>
      </c>
      <c r="J2671" s="90">
        <v>3846</v>
      </c>
      <c r="K2671" s="85">
        <v>0</v>
      </c>
      <c r="L2671" s="85">
        <v>27</v>
      </c>
      <c r="M2671" s="85">
        <v>0</v>
      </c>
      <c r="N2671" s="82" t="s">
        <v>11530</v>
      </c>
      <c r="O2671" s="93">
        <v>45863.737476851849</v>
      </c>
    </row>
    <row r="2672" spans="1:15" ht="22.5" customHeight="1">
      <c r="A2672" s="85">
        <v>766589657993298</v>
      </c>
      <c r="B2672" s="82" t="s">
        <v>10688</v>
      </c>
      <c r="C2672" s="82" t="s">
        <v>11508</v>
      </c>
      <c r="D2672" s="82" t="s">
        <v>11509</v>
      </c>
      <c r="E2672" s="82">
        <v>6281325757271</v>
      </c>
      <c r="F2672" s="92">
        <v>45862</v>
      </c>
      <c r="G2672" s="87">
        <v>174</v>
      </c>
      <c r="H2672" s="88">
        <v>24302.564102564102</v>
      </c>
      <c r="I2672" s="89">
        <v>0</v>
      </c>
      <c r="J2672" s="90">
        <v>4739</v>
      </c>
      <c r="K2672" s="85">
        <v>0</v>
      </c>
      <c r="L2672" s="85">
        <v>25</v>
      </c>
      <c r="M2672" s="85">
        <v>0</v>
      </c>
      <c r="N2672" s="82" t="s">
        <v>11510</v>
      </c>
      <c r="O2672" s="93">
        <v>45863.675173611111</v>
      </c>
    </row>
    <row r="2673" spans="1:15" ht="22.5" customHeight="1">
      <c r="A2673" s="85">
        <v>766589657993298</v>
      </c>
      <c r="B2673" s="82" t="s">
        <v>10688</v>
      </c>
      <c r="C2673" s="82" t="s">
        <v>11511</v>
      </c>
      <c r="D2673" s="82" t="s">
        <v>11512</v>
      </c>
      <c r="E2673" s="82">
        <v>6285955053385</v>
      </c>
      <c r="F2673" s="92">
        <v>45862</v>
      </c>
      <c r="G2673" s="87">
        <v>314</v>
      </c>
      <c r="H2673" s="88">
        <v>12000</v>
      </c>
      <c r="I2673" s="89">
        <v>5</v>
      </c>
      <c r="J2673" s="90">
        <v>4488</v>
      </c>
      <c r="K2673" s="85">
        <v>0</v>
      </c>
      <c r="L2673" s="85">
        <v>83</v>
      </c>
      <c r="M2673" s="85">
        <v>0</v>
      </c>
      <c r="N2673" s="82" t="s">
        <v>11513</v>
      </c>
      <c r="O2673" s="93">
        <v>45863.695856481485</v>
      </c>
    </row>
    <row r="2674" spans="1:15" ht="22.5" customHeight="1">
      <c r="A2674" s="85">
        <v>766589657993298</v>
      </c>
      <c r="B2674" s="82" t="s">
        <v>10688</v>
      </c>
      <c r="C2674" s="82" t="s">
        <v>11488</v>
      </c>
      <c r="D2674" s="82" t="s">
        <v>11489</v>
      </c>
      <c r="E2674" s="82">
        <v>6285888590045</v>
      </c>
      <c r="F2674" s="92">
        <v>45862</v>
      </c>
      <c r="G2674" s="87">
        <v>163</v>
      </c>
      <c r="H2674" s="88">
        <v>41061.111111111109</v>
      </c>
      <c r="I2674" s="89">
        <v>2</v>
      </c>
      <c r="J2674" s="90">
        <v>7391</v>
      </c>
      <c r="K2674" s="85">
        <v>1</v>
      </c>
      <c r="L2674" s="85">
        <v>11</v>
      </c>
      <c r="M2674" s="85">
        <v>0</v>
      </c>
      <c r="N2674" s="82" t="s">
        <v>11490</v>
      </c>
      <c r="O2674" s="93">
        <v>45863.695856481485</v>
      </c>
    </row>
    <row r="2675" spans="1:15" ht="22.5" customHeight="1">
      <c r="A2675" s="85">
        <v>766589657993298</v>
      </c>
      <c r="B2675" s="82" t="s">
        <v>10688</v>
      </c>
      <c r="C2675" s="82" t="s">
        <v>11491</v>
      </c>
      <c r="D2675" s="82" t="s">
        <v>11492</v>
      </c>
      <c r="E2675" s="82">
        <v>6285268858846</v>
      </c>
      <c r="F2675" s="92">
        <v>45862</v>
      </c>
      <c r="G2675" s="87">
        <v>205</v>
      </c>
      <c r="H2675" s="88">
        <v>13923.076923076924</v>
      </c>
      <c r="I2675" s="89">
        <v>2</v>
      </c>
      <c r="J2675" s="90">
        <v>3258</v>
      </c>
      <c r="K2675" s="85">
        <v>0</v>
      </c>
      <c r="L2675" s="85">
        <v>10</v>
      </c>
      <c r="M2675" s="85">
        <v>0</v>
      </c>
      <c r="N2675" s="82" t="s">
        <v>11493</v>
      </c>
      <c r="O2675" s="93">
        <v>45863.675173611111</v>
      </c>
    </row>
    <row r="2676" spans="1:15" ht="22.5" customHeight="1">
      <c r="A2676" s="85">
        <v>766589657993298</v>
      </c>
      <c r="B2676" s="82" t="s">
        <v>10688</v>
      </c>
      <c r="C2676" s="82" t="s">
        <v>11455</v>
      </c>
      <c r="D2676" s="82" t="s">
        <v>11456</v>
      </c>
      <c r="E2676" s="82">
        <v>62895329361572</v>
      </c>
      <c r="F2676" s="92">
        <v>45862</v>
      </c>
      <c r="G2676" s="87">
        <v>154</v>
      </c>
      <c r="H2676" s="88">
        <v>64248.5549132948</v>
      </c>
      <c r="I2676" s="89">
        <v>2</v>
      </c>
      <c r="J2676" s="90">
        <v>11115</v>
      </c>
      <c r="K2676" s="85">
        <v>1</v>
      </c>
      <c r="L2676" s="85">
        <v>41</v>
      </c>
      <c r="M2676" s="85">
        <v>0</v>
      </c>
      <c r="N2676" s="82" t="s">
        <v>11457</v>
      </c>
      <c r="O2676" s="93">
        <v>45863.612604166665</v>
      </c>
    </row>
    <row r="2677" spans="1:15" ht="22.5" customHeight="1">
      <c r="A2677" s="85">
        <v>766589657993298</v>
      </c>
      <c r="B2677" s="82" t="s">
        <v>10688</v>
      </c>
      <c r="C2677" s="82" t="s">
        <v>11458</v>
      </c>
      <c r="D2677" s="82" t="s">
        <v>11459</v>
      </c>
      <c r="E2677" s="82">
        <v>6287821760177</v>
      </c>
      <c r="F2677" s="92">
        <v>45862</v>
      </c>
      <c r="G2677" s="87">
        <v>250</v>
      </c>
      <c r="H2677" s="88">
        <v>13109.022556390977</v>
      </c>
      <c r="I2677" s="89">
        <v>7</v>
      </c>
      <c r="J2677" s="90">
        <v>3487</v>
      </c>
      <c r="K2677" s="85">
        <v>2</v>
      </c>
      <c r="L2677" s="85">
        <v>95</v>
      </c>
      <c r="M2677" s="85">
        <v>0</v>
      </c>
      <c r="N2677" s="82" t="s">
        <v>11460</v>
      </c>
      <c r="O2677" s="93">
        <v>45863.758969907409</v>
      </c>
    </row>
    <row r="2678" spans="1:15" ht="22.5" customHeight="1">
      <c r="A2678" s="85">
        <v>766589657993298</v>
      </c>
      <c r="B2678" s="82" t="s">
        <v>10688</v>
      </c>
      <c r="C2678" s="82" t="s">
        <v>11461</v>
      </c>
      <c r="D2678" s="82" t="s">
        <v>11462</v>
      </c>
      <c r="E2678" s="82">
        <v>62882015555380</v>
      </c>
      <c r="F2678" s="92">
        <v>45862</v>
      </c>
      <c r="G2678" s="87">
        <v>540</v>
      </c>
      <c r="H2678" s="88">
        <v>15164.473684210525</v>
      </c>
      <c r="I2678" s="89">
        <v>10</v>
      </c>
      <c r="J2678" s="90">
        <v>9220</v>
      </c>
      <c r="K2678" s="85">
        <v>0</v>
      </c>
      <c r="L2678" s="85">
        <v>192</v>
      </c>
      <c r="M2678" s="85">
        <v>0</v>
      </c>
      <c r="N2678" s="82" t="s">
        <v>11463</v>
      </c>
      <c r="O2678" s="93">
        <v>45863.779652777775</v>
      </c>
    </row>
    <row r="2679" spans="1:15" ht="22.5" customHeight="1">
      <c r="A2679" s="85">
        <v>766589657993298</v>
      </c>
      <c r="B2679" s="82" t="s">
        <v>10688</v>
      </c>
      <c r="C2679" s="82" t="s">
        <v>11433</v>
      </c>
      <c r="D2679" s="82" t="s">
        <v>11434</v>
      </c>
      <c r="E2679" s="82">
        <v>6287878863000</v>
      </c>
      <c r="F2679" s="92">
        <v>45862</v>
      </c>
      <c r="G2679" s="87">
        <v>161</v>
      </c>
      <c r="H2679" s="88">
        <v>84462.42774566474</v>
      </c>
      <c r="I2679" s="89">
        <v>5</v>
      </c>
      <c r="J2679" s="90">
        <v>14612</v>
      </c>
      <c r="K2679" s="85">
        <v>2</v>
      </c>
      <c r="L2679" s="85">
        <v>43</v>
      </c>
      <c r="M2679" s="85">
        <v>0</v>
      </c>
      <c r="N2679" s="82" t="s">
        <v>11435</v>
      </c>
      <c r="O2679" s="93">
        <v>45863.217233796298</v>
      </c>
    </row>
    <row r="2680" spans="1:15" ht="22.5" customHeight="1">
      <c r="A2680" s="85">
        <v>766589657993298</v>
      </c>
      <c r="B2680" s="82" t="s">
        <v>10688</v>
      </c>
      <c r="C2680" s="82" t="s">
        <v>11436</v>
      </c>
      <c r="D2680" s="82" t="s">
        <v>5697</v>
      </c>
      <c r="E2680" s="82">
        <v>6281311129854</v>
      </c>
      <c r="F2680" s="92">
        <v>45862</v>
      </c>
      <c r="G2680" s="87">
        <v>424</v>
      </c>
      <c r="H2680" s="88">
        <v>32607.456140350878</v>
      </c>
      <c r="I2680" s="89">
        <v>9</v>
      </c>
      <c r="J2680" s="90">
        <v>14869</v>
      </c>
      <c r="K2680" s="85">
        <v>2</v>
      </c>
      <c r="L2680" s="85">
        <v>46</v>
      </c>
      <c r="M2680" s="85">
        <v>0</v>
      </c>
      <c r="N2680" s="82" t="s">
        <v>11437</v>
      </c>
      <c r="O2680" s="93">
        <v>45863.217245370368</v>
      </c>
    </row>
    <row r="2681" spans="1:15" ht="22.5" customHeight="1">
      <c r="A2681" s="85">
        <v>766589657993298</v>
      </c>
      <c r="B2681" s="82" t="s">
        <v>10688</v>
      </c>
      <c r="C2681" s="82" t="s">
        <v>11438</v>
      </c>
      <c r="D2681" s="82" t="s">
        <v>11439</v>
      </c>
      <c r="E2681" s="82">
        <v>628116655901</v>
      </c>
      <c r="F2681" s="92">
        <v>45862</v>
      </c>
      <c r="G2681" s="87">
        <v>890</v>
      </c>
      <c r="H2681" s="88">
        <v>12584.887144259077</v>
      </c>
      <c r="I2681" s="89">
        <v>15</v>
      </c>
      <c r="J2681" s="90">
        <v>12824</v>
      </c>
      <c r="K2681" s="85">
        <v>0</v>
      </c>
      <c r="L2681" s="85">
        <v>240</v>
      </c>
      <c r="M2681" s="85">
        <v>0</v>
      </c>
      <c r="N2681" s="82" t="s">
        <v>11440</v>
      </c>
      <c r="O2681" s="93">
        <v>45862.217222222222</v>
      </c>
    </row>
    <row r="2682" spans="1:15" ht="22.5" customHeight="1">
      <c r="A2682" s="85">
        <v>766589657993298</v>
      </c>
      <c r="B2682" s="82" t="s">
        <v>10688</v>
      </c>
      <c r="C2682" s="82" t="s">
        <v>11441</v>
      </c>
      <c r="D2682" s="82" t="s">
        <v>11442</v>
      </c>
      <c r="E2682" s="82">
        <v>6287734875393</v>
      </c>
      <c r="F2682" s="92">
        <v>45862</v>
      </c>
      <c r="G2682" s="87">
        <v>320</v>
      </c>
      <c r="H2682" s="88">
        <v>30230.76923076923</v>
      </c>
      <c r="I2682" s="89">
        <v>6</v>
      </c>
      <c r="J2682" s="90">
        <v>10611</v>
      </c>
      <c r="K2682" s="85">
        <v>0</v>
      </c>
      <c r="L2682" s="85">
        <v>107</v>
      </c>
      <c r="M2682" s="85">
        <v>0</v>
      </c>
      <c r="N2682" s="82" t="s">
        <v>11443</v>
      </c>
      <c r="O2682" s="93">
        <v>45863.717013888891</v>
      </c>
    </row>
    <row r="2683" spans="1:15" ht="22.5" customHeight="1">
      <c r="A2683" s="85">
        <v>766589657993298</v>
      </c>
      <c r="B2683" s="82" t="s">
        <v>10688</v>
      </c>
      <c r="C2683" s="82" t="s">
        <v>11411</v>
      </c>
      <c r="D2683" s="82" t="s">
        <v>2529</v>
      </c>
      <c r="E2683" s="82">
        <v>6287888068088</v>
      </c>
      <c r="F2683" s="92">
        <v>45862</v>
      </c>
      <c r="G2683" s="87">
        <v>84</v>
      </c>
      <c r="H2683" s="88">
        <v>101090.90909090909</v>
      </c>
      <c r="I2683" s="89">
        <v>2</v>
      </c>
      <c r="J2683" s="90">
        <v>8896</v>
      </c>
      <c r="K2683" s="85">
        <v>1</v>
      </c>
      <c r="L2683" s="85">
        <v>18</v>
      </c>
      <c r="M2683" s="85">
        <v>0</v>
      </c>
      <c r="N2683" s="82" t="s">
        <v>11412</v>
      </c>
      <c r="O2683" s="93">
        <v>45863.592175925929</v>
      </c>
    </row>
    <row r="2684" spans="1:15" ht="22.5" customHeight="1">
      <c r="A2684" s="85">
        <v>766589657993298</v>
      </c>
      <c r="B2684" s="82" t="s">
        <v>10688</v>
      </c>
      <c r="C2684" s="82" t="s">
        <v>11413</v>
      </c>
      <c r="D2684" s="82" t="s">
        <v>5697</v>
      </c>
      <c r="E2684" s="82">
        <v>6281385001244</v>
      </c>
      <c r="F2684" s="92">
        <v>45862</v>
      </c>
      <c r="G2684" s="87">
        <v>269</v>
      </c>
      <c r="H2684" s="88">
        <v>33481.727574750825</v>
      </c>
      <c r="I2684" s="89">
        <v>8</v>
      </c>
      <c r="J2684" s="90">
        <v>10078</v>
      </c>
      <c r="K2684" s="85">
        <v>1</v>
      </c>
      <c r="L2684" s="85">
        <v>70</v>
      </c>
      <c r="M2684" s="85">
        <v>0</v>
      </c>
      <c r="N2684" s="82" t="s">
        <v>11414</v>
      </c>
      <c r="O2684" s="93">
        <v>45863.633391203701</v>
      </c>
    </row>
    <row r="2685" spans="1:15" ht="22.5" customHeight="1">
      <c r="A2685" s="85">
        <v>766589657993298</v>
      </c>
      <c r="B2685" s="82" t="s">
        <v>10688</v>
      </c>
      <c r="C2685" s="82" t="s">
        <v>11415</v>
      </c>
      <c r="D2685" s="82" t="s">
        <v>11416</v>
      </c>
      <c r="E2685" s="82">
        <v>6281298551100</v>
      </c>
      <c r="F2685" s="92">
        <v>45862</v>
      </c>
      <c r="G2685" s="87">
        <v>131</v>
      </c>
      <c r="H2685" s="88">
        <v>73289.855072463761</v>
      </c>
      <c r="I2685" s="89">
        <v>3</v>
      </c>
      <c r="J2685" s="90">
        <v>10114</v>
      </c>
      <c r="K2685" s="85">
        <v>0</v>
      </c>
      <c r="L2685" s="85">
        <v>34</v>
      </c>
      <c r="M2685" s="85">
        <v>0</v>
      </c>
      <c r="N2685" s="82" t="s">
        <v>11417</v>
      </c>
      <c r="O2685" s="93">
        <v>45863.654293981483</v>
      </c>
    </row>
    <row r="2686" spans="1:15" ht="22.5" customHeight="1">
      <c r="A2686" s="85">
        <v>766589657993298</v>
      </c>
      <c r="B2686" s="82" t="s">
        <v>10688</v>
      </c>
      <c r="C2686" s="82" t="s">
        <v>11418</v>
      </c>
      <c r="D2686" s="82" t="s">
        <v>2480</v>
      </c>
      <c r="E2686" s="82">
        <v>6287856230745</v>
      </c>
      <c r="F2686" s="92">
        <v>45862</v>
      </c>
      <c r="G2686" s="87">
        <v>251</v>
      </c>
      <c r="H2686" s="88">
        <v>31156.794425087108</v>
      </c>
      <c r="I2686" s="89">
        <v>6</v>
      </c>
      <c r="J2686" s="90">
        <v>8942</v>
      </c>
      <c r="K2686" s="85">
        <v>2</v>
      </c>
      <c r="L2686" s="85">
        <v>76</v>
      </c>
      <c r="M2686" s="85">
        <v>0</v>
      </c>
      <c r="N2686" s="82" t="s">
        <v>11419</v>
      </c>
      <c r="O2686" s="93">
        <v>45863.654293981483</v>
      </c>
    </row>
    <row r="2687" spans="1:15" ht="22.5" customHeight="1">
      <c r="A2687" s="85">
        <v>766589657993298</v>
      </c>
      <c r="B2687" s="82" t="s">
        <v>10688</v>
      </c>
      <c r="C2687" s="82" t="s">
        <v>11381</v>
      </c>
      <c r="D2687" s="82" t="s">
        <v>2385</v>
      </c>
      <c r="E2687" s="82">
        <v>6281317170441</v>
      </c>
      <c r="F2687" s="92">
        <v>45862</v>
      </c>
      <c r="G2687" s="87">
        <v>357</v>
      </c>
      <c r="H2687" s="88">
        <v>31134.21052631579</v>
      </c>
      <c r="I2687" s="89">
        <v>9</v>
      </c>
      <c r="J2687" s="90">
        <v>11831</v>
      </c>
      <c r="K2687" s="85">
        <v>3</v>
      </c>
      <c r="L2687" s="85">
        <v>104</v>
      </c>
      <c r="M2687" s="85">
        <v>0</v>
      </c>
      <c r="N2687" s="82" t="s">
        <v>11382</v>
      </c>
      <c r="O2687" s="93">
        <v>45863.612615740742</v>
      </c>
    </row>
    <row r="2688" spans="1:15" ht="22.5" customHeight="1">
      <c r="A2688" s="85">
        <v>766589657993298</v>
      </c>
      <c r="B2688" s="82" t="s">
        <v>10688</v>
      </c>
      <c r="C2688" s="82" t="s">
        <v>11392</v>
      </c>
      <c r="D2688" s="82" t="s">
        <v>2308</v>
      </c>
      <c r="E2688" s="82">
        <v>62895416149255</v>
      </c>
      <c r="F2688" s="92">
        <v>45862</v>
      </c>
      <c r="G2688" s="87">
        <v>531</v>
      </c>
      <c r="H2688" s="88">
        <v>17534.722222222223</v>
      </c>
      <c r="I2688" s="89">
        <v>16</v>
      </c>
      <c r="J2688" s="90">
        <v>10100</v>
      </c>
      <c r="K2688" s="85">
        <v>3</v>
      </c>
      <c r="L2688" s="85">
        <v>229</v>
      </c>
      <c r="M2688" s="85">
        <v>0</v>
      </c>
      <c r="N2688" s="82" t="s">
        <v>11393</v>
      </c>
      <c r="O2688" s="93">
        <v>45862.217233796298</v>
      </c>
    </row>
    <row r="2689" spans="1:15" ht="22.5" customHeight="1">
      <c r="A2689" s="85">
        <v>766589657993298</v>
      </c>
      <c r="B2689" s="82" t="s">
        <v>10688</v>
      </c>
      <c r="C2689" s="82" t="s">
        <v>11318</v>
      </c>
      <c r="D2689" s="82" t="s">
        <v>11365</v>
      </c>
      <c r="E2689" s="82">
        <v>6282310465999</v>
      </c>
      <c r="F2689" s="92">
        <v>45862</v>
      </c>
      <c r="G2689" s="87">
        <v>436</v>
      </c>
      <c r="H2689" s="88">
        <v>12868.041237113403</v>
      </c>
      <c r="I2689" s="89">
        <v>9</v>
      </c>
      <c r="J2689" s="90">
        <v>6241</v>
      </c>
      <c r="K2689" s="85">
        <v>0</v>
      </c>
      <c r="L2689" s="85">
        <v>40</v>
      </c>
      <c r="M2689" s="85">
        <v>0</v>
      </c>
      <c r="N2689" s="82" t="s">
        <v>11366</v>
      </c>
      <c r="O2689" s="93">
        <v>45863.633391203701</v>
      </c>
    </row>
    <row r="2690" spans="1:15" ht="22.5" customHeight="1">
      <c r="A2690" s="85">
        <v>766589657993298</v>
      </c>
      <c r="B2690" s="82" t="s">
        <v>10688</v>
      </c>
      <c r="C2690" s="82" t="s">
        <v>11264</v>
      </c>
      <c r="D2690" s="91" t="s">
        <v>1915</v>
      </c>
      <c r="E2690" s="82">
        <v>6281239874761</v>
      </c>
      <c r="F2690" s="92">
        <v>45862</v>
      </c>
      <c r="G2690" s="87">
        <v>352</v>
      </c>
      <c r="H2690" s="88">
        <v>39167.5</v>
      </c>
      <c r="I2690" s="89">
        <v>9</v>
      </c>
      <c r="J2690" s="90">
        <v>15667</v>
      </c>
      <c r="K2690" s="85">
        <v>0</v>
      </c>
      <c r="L2690" s="85">
        <v>37</v>
      </c>
      <c r="M2690" s="85">
        <v>0</v>
      </c>
      <c r="N2690" s="82" t="s">
        <v>11265</v>
      </c>
      <c r="O2690" s="93">
        <v>45863.612604166665</v>
      </c>
    </row>
    <row r="2691" spans="1:15" ht="22.5" customHeight="1">
      <c r="A2691" s="85">
        <v>766589657993298</v>
      </c>
      <c r="B2691" s="82" t="s">
        <v>10688</v>
      </c>
      <c r="C2691" s="82" t="s">
        <v>11207</v>
      </c>
      <c r="D2691" s="82" t="s">
        <v>11208</v>
      </c>
      <c r="E2691" s="82">
        <v>6282111180648</v>
      </c>
      <c r="F2691" s="92">
        <v>45862</v>
      </c>
      <c r="G2691" s="87">
        <v>440</v>
      </c>
      <c r="H2691" s="88">
        <v>26581.545064377682</v>
      </c>
      <c r="I2691" s="89">
        <v>12</v>
      </c>
      <c r="J2691" s="90">
        <v>12387</v>
      </c>
      <c r="K2691" s="85">
        <v>2</v>
      </c>
      <c r="L2691" s="85">
        <v>31</v>
      </c>
      <c r="M2691" s="85">
        <v>0</v>
      </c>
      <c r="N2691" s="82" t="s">
        <v>11209</v>
      </c>
      <c r="O2691" s="93">
        <v>45863.633402777778</v>
      </c>
    </row>
    <row r="2692" spans="1:15" ht="22.5" customHeight="1">
      <c r="A2692" s="85">
        <v>766589657993298</v>
      </c>
      <c r="B2692" s="82" t="s">
        <v>10688</v>
      </c>
      <c r="C2692" s="82" t="s">
        <v>11103</v>
      </c>
      <c r="D2692" s="82" t="s">
        <v>11104</v>
      </c>
      <c r="E2692" s="82">
        <v>6282124027899</v>
      </c>
      <c r="F2692" s="92">
        <v>45862</v>
      </c>
      <c r="G2692" s="87">
        <v>863</v>
      </c>
      <c r="H2692" s="88">
        <v>7880.7733619763694</v>
      </c>
      <c r="I2692" s="89">
        <v>14</v>
      </c>
      <c r="J2692" s="90">
        <v>7337</v>
      </c>
      <c r="K2692" s="85">
        <v>0</v>
      </c>
      <c r="L2692" s="85">
        <v>203</v>
      </c>
      <c r="M2692" s="85">
        <v>1</v>
      </c>
      <c r="N2692" s="82" t="s">
        <v>11105</v>
      </c>
      <c r="O2692" s="93">
        <v>45863.612604166665</v>
      </c>
    </row>
    <row r="2693" spans="1:15" ht="22.5" customHeight="1">
      <c r="A2693" s="85">
        <v>766589657993298</v>
      </c>
      <c r="B2693" s="82" t="s">
        <v>10688</v>
      </c>
      <c r="C2693" s="82" t="s">
        <v>11028</v>
      </c>
      <c r="D2693" s="82" t="s">
        <v>11029</v>
      </c>
      <c r="E2693" s="82">
        <v>6282338171577</v>
      </c>
      <c r="F2693" s="92">
        <v>45862</v>
      </c>
      <c r="G2693" s="87">
        <v>334</v>
      </c>
      <c r="H2693" s="88">
        <v>14997.368421052632</v>
      </c>
      <c r="I2693" s="89">
        <v>14</v>
      </c>
      <c r="J2693" s="90">
        <v>5699</v>
      </c>
      <c r="K2693" s="85">
        <v>2</v>
      </c>
      <c r="L2693" s="85">
        <v>119</v>
      </c>
      <c r="M2693" s="85">
        <v>1</v>
      </c>
      <c r="N2693" s="82" t="s">
        <v>11030</v>
      </c>
      <c r="O2693" s="93">
        <v>45863.675162037034</v>
      </c>
    </row>
    <row r="2694" spans="1:15" ht="22.5" customHeight="1">
      <c r="A2694" s="85">
        <v>766589657993298</v>
      </c>
      <c r="B2694" s="82" t="s">
        <v>10688</v>
      </c>
      <c r="C2694" s="82" t="s">
        <v>10885</v>
      </c>
      <c r="D2694" s="82" t="s">
        <v>906</v>
      </c>
      <c r="E2694" s="82">
        <v>6282183115806</v>
      </c>
      <c r="F2694" s="92">
        <v>45862</v>
      </c>
      <c r="G2694" s="87">
        <v>63</v>
      </c>
      <c r="H2694" s="88">
        <v>21671.641791044778</v>
      </c>
      <c r="I2694" s="89">
        <v>2</v>
      </c>
      <c r="J2694" s="90">
        <v>1452</v>
      </c>
      <c r="K2694" s="85">
        <v>0</v>
      </c>
      <c r="L2694" s="85">
        <v>1</v>
      </c>
      <c r="M2694" s="85">
        <v>0</v>
      </c>
      <c r="N2694" s="82" t="s">
        <v>10886</v>
      </c>
      <c r="O2694" s="93">
        <v>45863.571469907409</v>
      </c>
    </row>
    <row r="2695" spans="1:15" ht="22.5" customHeight="1">
      <c r="A2695" s="85">
        <v>766589657993298</v>
      </c>
      <c r="B2695" s="82" t="s">
        <v>10688</v>
      </c>
      <c r="C2695" s="82" t="s">
        <v>10780</v>
      </c>
      <c r="D2695" s="82" t="s">
        <v>10781</v>
      </c>
      <c r="E2695" s="82">
        <v>6281338789995</v>
      </c>
      <c r="F2695" s="92">
        <v>45862</v>
      </c>
      <c r="G2695" s="87">
        <v>1023</v>
      </c>
      <c r="H2695" s="88">
        <v>15074.954296160877</v>
      </c>
      <c r="I2695" s="89">
        <v>7</v>
      </c>
      <c r="J2695" s="90">
        <v>16492</v>
      </c>
      <c r="K2695" s="85">
        <v>2</v>
      </c>
      <c r="L2695" s="85">
        <v>111</v>
      </c>
      <c r="M2695" s="85">
        <v>0</v>
      </c>
      <c r="N2695" s="82" t="s">
        <v>10782</v>
      </c>
      <c r="O2695" s="93">
        <v>45863.633437500001</v>
      </c>
    </row>
    <row r="2696" spans="1:15" ht="22.5" customHeight="1">
      <c r="A2696" s="85">
        <v>766589657993298</v>
      </c>
      <c r="B2696" s="82" t="s">
        <v>10688</v>
      </c>
      <c r="C2696" s="82" t="s">
        <v>10786</v>
      </c>
      <c r="D2696" s="82" t="s">
        <v>739</v>
      </c>
      <c r="E2696" s="82">
        <v>628122102657</v>
      </c>
      <c r="F2696" s="92">
        <v>45862</v>
      </c>
      <c r="G2696" s="87">
        <v>100</v>
      </c>
      <c r="H2696" s="88">
        <v>57745.283018867922</v>
      </c>
      <c r="I2696" s="89">
        <v>3</v>
      </c>
      <c r="J2696" s="90">
        <v>6121</v>
      </c>
      <c r="K2696" s="85">
        <v>0</v>
      </c>
      <c r="L2696" s="85">
        <v>32</v>
      </c>
      <c r="M2696" s="85">
        <v>0</v>
      </c>
      <c r="N2696" s="82" t="s">
        <v>10787</v>
      </c>
      <c r="O2696" s="93">
        <v>45863.695879629631</v>
      </c>
    </row>
    <row r="2697" spans="1:15" ht="22.5" customHeight="1">
      <c r="A2697" s="85">
        <v>759724529202804</v>
      </c>
      <c r="B2697" s="82" t="s">
        <v>10621</v>
      </c>
      <c r="C2697" s="82" t="s">
        <v>11394</v>
      </c>
      <c r="D2697" s="82" t="s">
        <v>1277</v>
      </c>
      <c r="E2697" s="82">
        <v>6281269441611</v>
      </c>
      <c r="F2697" s="92">
        <v>45863</v>
      </c>
      <c r="G2697" s="87">
        <v>1746</v>
      </c>
      <c r="H2697" s="88">
        <v>7962.5935162094756</v>
      </c>
      <c r="I2697" s="89">
        <v>49</v>
      </c>
      <c r="J2697" s="90">
        <v>15965</v>
      </c>
      <c r="K2697" s="85">
        <v>3</v>
      </c>
      <c r="L2697" s="85">
        <v>42</v>
      </c>
      <c r="M2697" s="85">
        <v>0</v>
      </c>
      <c r="N2697" s="82" t="s">
        <v>11395</v>
      </c>
      <c r="O2697" s="93">
        <v>45864.214594907404</v>
      </c>
    </row>
    <row r="2698" spans="1:15" ht="22.5" customHeight="1">
      <c r="A2698" s="85">
        <v>759724529202804</v>
      </c>
      <c r="B2698" s="82" t="s">
        <v>10621</v>
      </c>
      <c r="C2698" s="82" t="s">
        <v>11070</v>
      </c>
      <c r="D2698" s="82" t="s">
        <v>11071</v>
      </c>
      <c r="E2698" s="82">
        <v>6281246211381</v>
      </c>
      <c r="F2698" s="92">
        <v>45863</v>
      </c>
      <c r="G2698" s="87">
        <v>704</v>
      </c>
      <c r="H2698" s="88">
        <v>18326.478149100258</v>
      </c>
      <c r="I2698" s="89">
        <v>21</v>
      </c>
      <c r="J2698" s="90">
        <v>14258</v>
      </c>
      <c r="K2698" s="85">
        <v>3</v>
      </c>
      <c r="L2698" s="85">
        <v>58</v>
      </c>
      <c r="M2698" s="85">
        <v>0</v>
      </c>
      <c r="N2698" s="82" t="s">
        <v>11072</v>
      </c>
      <c r="O2698" s="93">
        <v>45864.568113425928</v>
      </c>
    </row>
    <row r="2699" spans="1:15" ht="22.5" customHeight="1">
      <c r="A2699" s="85">
        <v>759724529202804</v>
      </c>
      <c r="B2699" s="82" t="s">
        <v>10621</v>
      </c>
      <c r="C2699" s="82" t="s">
        <v>11016</v>
      </c>
      <c r="D2699" s="82" t="s">
        <v>1530</v>
      </c>
      <c r="E2699" s="82">
        <v>628111988553</v>
      </c>
      <c r="F2699" s="92">
        <v>45863</v>
      </c>
      <c r="G2699" s="87">
        <v>181</v>
      </c>
      <c r="H2699" s="88">
        <v>79617.346938775518</v>
      </c>
      <c r="I2699" s="89">
        <v>10</v>
      </c>
      <c r="J2699" s="90">
        <v>15605</v>
      </c>
      <c r="K2699" s="85">
        <v>0</v>
      </c>
      <c r="L2699" s="85">
        <v>0</v>
      </c>
      <c r="M2699" s="85">
        <v>0</v>
      </c>
      <c r="N2699" s="82" t="s">
        <v>11017</v>
      </c>
      <c r="O2699" s="93">
        <v>45864.526932870373</v>
      </c>
    </row>
    <row r="2700" spans="1:15" ht="22.5" customHeight="1">
      <c r="A2700" s="85">
        <v>759724529202804</v>
      </c>
      <c r="B2700" s="82" t="s">
        <v>10621</v>
      </c>
      <c r="C2700" s="82" t="s">
        <v>540</v>
      </c>
      <c r="D2700" s="82" t="s">
        <v>10755</v>
      </c>
      <c r="E2700" s="82">
        <v>6281335728695</v>
      </c>
      <c r="F2700" s="92">
        <v>45863</v>
      </c>
      <c r="G2700" s="87">
        <v>727</v>
      </c>
      <c r="H2700" s="88">
        <v>21405.07859733978</v>
      </c>
      <c r="I2700" s="89">
        <v>17</v>
      </c>
      <c r="J2700" s="90">
        <v>17702</v>
      </c>
      <c r="K2700" s="85">
        <v>4</v>
      </c>
      <c r="L2700" s="85">
        <v>196</v>
      </c>
      <c r="M2700" s="85">
        <v>1</v>
      </c>
      <c r="N2700" s="82" t="s">
        <v>10756</v>
      </c>
      <c r="O2700" s="93">
        <v>45864.485555555555</v>
      </c>
    </row>
    <row r="2701" spans="1:15" ht="22.5" customHeight="1">
      <c r="A2701" s="85">
        <v>174904221976312</v>
      </c>
      <c r="B2701" s="82" t="s">
        <v>10651</v>
      </c>
      <c r="C2701" s="82" t="s">
        <v>11531</v>
      </c>
      <c r="D2701" s="82" t="s">
        <v>2841</v>
      </c>
      <c r="E2701" s="82">
        <v>62811693222</v>
      </c>
      <c r="F2701" s="92">
        <v>45863</v>
      </c>
      <c r="G2701" s="87">
        <v>470</v>
      </c>
      <c r="H2701" s="88">
        <v>16914.893617021276</v>
      </c>
      <c r="I2701" s="89">
        <v>10</v>
      </c>
      <c r="J2701" s="90">
        <v>11130</v>
      </c>
      <c r="K2701" s="85">
        <v>1</v>
      </c>
      <c r="L2701" s="85">
        <v>4</v>
      </c>
      <c r="M2701" s="85">
        <v>0</v>
      </c>
      <c r="N2701" s="82" t="s">
        <v>11532</v>
      </c>
      <c r="O2701" s="93">
        <v>45864.568564814814</v>
      </c>
    </row>
    <row r="2702" spans="1:15" ht="22.5" customHeight="1">
      <c r="A2702" s="85">
        <v>174904221976312</v>
      </c>
      <c r="B2702" s="82" t="s">
        <v>10651</v>
      </c>
      <c r="C2702" s="82" t="s">
        <v>11533</v>
      </c>
      <c r="D2702" s="82" t="s">
        <v>11051</v>
      </c>
      <c r="E2702" s="82">
        <v>6285869122507</v>
      </c>
      <c r="F2702" s="92">
        <v>45863</v>
      </c>
      <c r="G2702" s="87">
        <v>450</v>
      </c>
      <c r="H2702" s="88">
        <v>23381.918819188195</v>
      </c>
      <c r="I2702" s="89">
        <v>21</v>
      </c>
      <c r="J2702" s="90">
        <v>12673</v>
      </c>
      <c r="K2702" s="85">
        <v>3</v>
      </c>
      <c r="L2702" s="85">
        <v>28</v>
      </c>
      <c r="M2702" s="85">
        <v>0</v>
      </c>
      <c r="N2702" s="82" t="s">
        <v>11534</v>
      </c>
      <c r="O2702" s="93">
        <v>45864.672430555554</v>
      </c>
    </row>
    <row r="2703" spans="1:15" ht="22.5" customHeight="1">
      <c r="A2703" s="85">
        <v>174904221976312</v>
      </c>
      <c r="B2703" s="82" t="s">
        <v>10651</v>
      </c>
      <c r="C2703" s="82" t="s">
        <v>11535</v>
      </c>
      <c r="D2703" s="82" t="s">
        <v>2969</v>
      </c>
      <c r="E2703" s="82">
        <v>6281286402030</v>
      </c>
      <c r="F2703" s="92">
        <v>45863</v>
      </c>
      <c r="G2703" s="87">
        <v>481</v>
      </c>
      <c r="H2703" s="88">
        <v>23642.592592592591</v>
      </c>
      <c r="I2703" s="89">
        <v>13</v>
      </c>
      <c r="J2703" s="90">
        <v>12767</v>
      </c>
      <c r="K2703" s="85">
        <v>0</v>
      </c>
      <c r="L2703" s="85">
        <v>7</v>
      </c>
      <c r="M2703" s="85">
        <v>0</v>
      </c>
      <c r="N2703" s="82" t="s">
        <v>11536</v>
      </c>
      <c r="O2703" s="93">
        <v>45864.589502314811</v>
      </c>
    </row>
    <row r="2704" spans="1:15" ht="22.5" customHeight="1">
      <c r="A2704" s="85">
        <v>174904221976312</v>
      </c>
      <c r="B2704" s="82" t="s">
        <v>10651</v>
      </c>
      <c r="C2704" s="82" t="s">
        <v>11537</v>
      </c>
      <c r="D2704" s="82" t="s">
        <v>2882</v>
      </c>
      <c r="E2704" s="82">
        <v>6285397990632</v>
      </c>
      <c r="F2704" s="92">
        <v>45863</v>
      </c>
      <c r="G2704" s="87">
        <v>840</v>
      </c>
      <c r="H2704" s="88">
        <v>12045.829514207149</v>
      </c>
      <c r="I2704" s="89">
        <v>13</v>
      </c>
      <c r="J2704" s="90">
        <v>13142</v>
      </c>
      <c r="K2704" s="85">
        <v>0</v>
      </c>
      <c r="L2704" s="85">
        <v>56</v>
      </c>
      <c r="M2704" s="85">
        <v>0</v>
      </c>
      <c r="N2704" s="82" t="s">
        <v>11538</v>
      </c>
      <c r="O2704" s="93">
        <v>45864.568437499998</v>
      </c>
    </row>
    <row r="2705" spans="1:15" ht="22.5" customHeight="1">
      <c r="A2705" s="85">
        <v>174904221976312</v>
      </c>
      <c r="B2705" s="82" t="s">
        <v>10651</v>
      </c>
      <c r="C2705" s="82" t="s">
        <v>11539</v>
      </c>
      <c r="D2705" s="82" t="s">
        <v>2754</v>
      </c>
      <c r="E2705" s="82">
        <v>6285186697099</v>
      </c>
      <c r="F2705" s="92">
        <v>45863</v>
      </c>
      <c r="G2705" s="87">
        <v>156</v>
      </c>
      <c r="H2705" s="88">
        <v>81041.916167664662</v>
      </c>
      <c r="I2705" s="89">
        <v>6</v>
      </c>
      <c r="J2705" s="90">
        <v>13534</v>
      </c>
      <c r="K2705" s="85">
        <v>0</v>
      </c>
      <c r="L2705" s="85">
        <v>21</v>
      </c>
      <c r="M2705" s="85">
        <v>0</v>
      </c>
      <c r="N2705" s="82" t="s">
        <v>11540</v>
      </c>
      <c r="O2705" s="93">
        <v>45864.610509259262</v>
      </c>
    </row>
    <row r="2706" spans="1:15" ht="22.5" customHeight="1">
      <c r="A2706" s="85">
        <v>174904221976312</v>
      </c>
      <c r="B2706" s="82" t="s">
        <v>10651</v>
      </c>
      <c r="C2706" s="82" t="s">
        <v>11514</v>
      </c>
      <c r="D2706" s="82" t="s">
        <v>11515</v>
      </c>
      <c r="E2706" s="82">
        <v>6289607006888</v>
      </c>
      <c r="F2706" s="92">
        <v>45863</v>
      </c>
      <c r="G2706" s="87">
        <v>361</v>
      </c>
      <c r="H2706" s="88">
        <v>29767.123287671231</v>
      </c>
      <c r="I2706" s="89">
        <v>13</v>
      </c>
      <c r="J2706" s="90">
        <v>13038</v>
      </c>
      <c r="K2706" s="85">
        <v>3</v>
      </c>
      <c r="L2706" s="85">
        <v>17</v>
      </c>
      <c r="M2706" s="85">
        <v>0</v>
      </c>
      <c r="N2706" s="82" t="s">
        <v>11516</v>
      </c>
      <c r="O2706" s="93">
        <v>45864.589247685188</v>
      </c>
    </row>
    <row r="2707" spans="1:15" ht="22.5" customHeight="1">
      <c r="A2707" s="85">
        <v>174904221976312</v>
      </c>
      <c r="B2707" s="82" t="s">
        <v>10651</v>
      </c>
      <c r="C2707" s="82" t="s">
        <v>11517</v>
      </c>
      <c r="D2707" s="82" t="s">
        <v>11518</v>
      </c>
      <c r="E2707" s="82">
        <v>6282133271189</v>
      </c>
      <c r="F2707" s="92">
        <v>45863</v>
      </c>
      <c r="G2707" s="87">
        <v>30</v>
      </c>
      <c r="H2707" s="88">
        <v>419363.63636363635</v>
      </c>
      <c r="I2707" s="89">
        <v>0</v>
      </c>
      <c r="J2707" s="90">
        <v>13839</v>
      </c>
      <c r="K2707" s="85">
        <v>0</v>
      </c>
      <c r="L2707" s="85">
        <v>7</v>
      </c>
      <c r="M2707" s="85">
        <v>0</v>
      </c>
      <c r="N2707" s="82" t="s">
        <v>11519</v>
      </c>
      <c r="O2707" s="93">
        <v>45864.484872685185</v>
      </c>
    </row>
    <row r="2708" spans="1:15" ht="22.5" customHeight="1">
      <c r="A2708" s="85">
        <v>174904221976312</v>
      </c>
      <c r="B2708" s="82" t="s">
        <v>10651</v>
      </c>
      <c r="C2708" s="82" t="s">
        <v>11520</v>
      </c>
      <c r="D2708" s="82" t="s">
        <v>2776</v>
      </c>
      <c r="E2708" s="82">
        <v>6285657238556</v>
      </c>
      <c r="F2708" s="92">
        <v>45863</v>
      </c>
      <c r="G2708" s="87">
        <v>490</v>
      </c>
      <c r="H2708" s="88">
        <v>21719.611021069693</v>
      </c>
      <c r="I2708" s="89">
        <v>33</v>
      </c>
      <c r="J2708" s="90">
        <v>13401</v>
      </c>
      <c r="K2708" s="85">
        <v>6</v>
      </c>
      <c r="L2708" s="85">
        <v>51</v>
      </c>
      <c r="M2708" s="85">
        <v>0</v>
      </c>
      <c r="N2708" s="82" t="s">
        <v>11521</v>
      </c>
      <c r="O2708" s="93">
        <v>45864.589282407411</v>
      </c>
    </row>
    <row r="2709" spans="1:15" ht="22.5" customHeight="1">
      <c r="A2709" s="85">
        <v>174904221976312</v>
      </c>
      <c r="B2709" s="82" t="s">
        <v>10651</v>
      </c>
      <c r="C2709" s="82" t="s">
        <v>11494</v>
      </c>
      <c r="D2709" s="82" t="s">
        <v>11495</v>
      </c>
      <c r="E2709" s="82">
        <v>6285645050058</v>
      </c>
      <c r="F2709" s="92">
        <v>45863</v>
      </c>
      <c r="G2709" s="87">
        <v>884</v>
      </c>
      <c r="H2709" s="88">
        <v>11163.342830009497</v>
      </c>
      <c r="I2709" s="89">
        <v>34</v>
      </c>
      <c r="J2709" s="90">
        <v>11755</v>
      </c>
      <c r="K2709" s="85">
        <v>2</v>
      </c>
      <c r="L2709" s="85">
        <v>295</v>
      </c>
      <c r="M2709" s="85">
        <v>0</v>
      </c>
      <c r="N2709" s="82" t="s">
        <v>11496</v>
      </c>
      <c r="O2709" s="93">
        <v>45864.443472222221</v>
      </c>
    </row>
    <row r="2710" spans="1:15" ht="22.5" customHeight="1">
      <c r="A2710" s="85">
        <v>174904221976312</v>
      </c>
      <c r="B2710" s="82" t="s">
        <v>10651</v>
      </c>
      <c r="C2710" s="82" t="s">
        <v>11497</v>
      </c>
      <c r="D2710" s="82" t="s">
        <v>11498</v>
      </c>
      <c r="E2710" s="82">
        <v>6285267044893</v>
      </c>
      <c r="F2710" s="92">
        <v>45863</v>
      </c>
      <c r="G2710" s="87">
        <v>267</v>
      </c>
      <c r="H2710" s="88">
        <v>50035.483870967742</v>
      </c>
      <c r="I2710" s="89">
        <v>9</v>
      </c>
      <c r="J2710" s="90">
        <v>15511</v>
      </c>
      <c r="K2710" s="85">
        <v>1</v>
      </c>
      <c r="L2710" s="85">
        <v>116</v>
      </c>
      <c r="M2710" s="85">
        <v>0</v>
      </c>
      <c r="N2710" s="82" t="s">
        <v>11499</v>
      </c>
      <c r="O2710" s="93">
        <v>45864.484872685185</v>
      </c>
    </row>
    <row r="2711" spans="1:15" ht="22.5" customHeight="1">
      <c r="A2711" s="85">
        <v>174904221976312</v>
      </c>
      <c r="B2711" s="82" t="s">
        <v>10651</v>
      </c>
      <c r="C2711" s="82" t="s">
        <v>11500</v>
      </c>
      <c r="D2711" s="82" t="s">
        <v>2776</v>
      </c>
      <c r="E2711" s="82">
        <v>6285657238556</v>
      </c>
      <c r="F2711" s="92">
        <v>45863</v>
      </c>
      <c r="G2711" s="87">
        <v>612</v>
      </c>
      <c r="H2711" s="88">
        <v>18018.567639257297</v>
      </c>
      <c r="I2711" s="89">
        <v>28</v>
      </c>
      <c r="J2711" s="90">
        <v>13586</v>
      </c>
      <c r="K2711" s="85">
        <v>6</v>
      </c>
      <c r="L2711" s="85">
        <v>10</v>
      </c>
      <c r="M2711" s="85">
        <v>0</v>
      </c>
      <c r="N2711" s="82" t="s">
        <v>11501</v>
      </c>
      <c r="O2711" s="93">
        <v>45864.610520833332</v>
      </c>
    </row>
    <row r="2712" spans="1:15" ht="22.5" customHeight="1">
      <c r="A2712" s="85">
        <v>174904221976312</v>
      </c>
      <c r="B2712" s="82" t="s">
        <v>10651</v>
      </c>
      <c r="C2712" s="82" t="s">
        <v>11502</v>
      </c>
      <c r="D2712" s="82" t="s">
        <v>2801</v>
      </c>
      <c r="E2712" s="82">
        <v>6289524188028</v>
      </c>
      <c r="F2712" s="92">
        <v>45863</v>
      </c>
      <c r="G2712" s="87">
        <v>775</v>
      </c>
      <c r="H2712" s="88">
        <v>13715.336134453783</v>
      </c>
      <c r="I2712" s="89">
        <v>48</v>
      </c>
      <c r="J2712" s="90">
        <v>13057</v>
      </c>
      <c r="K2712" s="85">
        <v>4</v>
      </c>
      <c r="L2712" s="85">
        <v>342</v>
      </c>
      <c r="M2712" s="85">
        <v>2</v>
      </c>
      <c r="N2712" s="82" t="s">
        <v>11503</v>
      </c>
      <c r="O2712" s="93">
        <v>45864.651724537034</v>
      </c>
    </row>
    <row r="2713" spans="1:15" ht="22.5" customHeight="1">
      <c r="A2713" s="85">
        <v>174904221976312</v>
      </c>
      <c r="B2713" s="82" t="s">
        <v>10651</v>
      </c>
      <c r="C2713" s="82" t="s">
        <v>11504</v>
      </c>
      <c r="D2713" s="82" t="s">
        <v>2760</v>
      </c>
      <c r="E2713" s="82">
        <v>6285234005559</v>
      </c>
      <c r="F2713" s="92">
        <v>45863</v>
      </c>
      <c r="G2713" s="87">
        <v>1091</v>
      </c>
      <c r="H2713" s="88">
        <v>12035.303146584803</v>
      </c>
      <c r="I2713" s="89">
        <v>17</v>
      </c>
      <c r="J2713" s="90">
        <v>15682</v>
      </c>
      <c r="K2713" s="85">
        <v>0</v>
      </c>
      <c r="L2713" s="85">
        <v>154</v>
      </c>
      <c r="M2713" s="85">
        <v>0</v>
      </c>
      <c r="N2713" s="82" t="s">
        <v>11505</v>
      </c>
      <c r="O2713" s="93">
        <v>45864.505787037036</v>
      </c>
    </row>
    <row r="2714" spans="1:15" ht="22.5" customHeight="1">
      <c r="A2714" s="85">
        <v>174904221976312</v>
      </c>
      <c r="B2714" s="82" t="s">
        <v>10651</v>
      </c>
      <c r="C2714" s="82" t="s">
        <v>11506</v>
      </c>
      <c r="D2714" s="82" t="s">
        <v>2700</v>
      </c>
      <c r="E2714" s="82">
        <v>6282197248722</v>
      </c>
      <c r="F2714" s="92">
        <v>45863</v>
      </c>
      <c r="G2714" s="87">
        <v>704</v>
      </c>
      <c r="H2714" s="88">
        <v>16909.765142150802</v>
      </c>
      <c r="I2714" s="89">
        <v>25</v>
      </c>
      <c r="J2714" s="90">
        <v>13680</v>
      </c>
      <c r="K2714" s="85">
        <v>5</v>
      </c>
      <c r="L2714" s="85">
        <v>221</v>
      </c>
      <c r="M2714" s="85">
        <v>1</v>
      </c>
      <c r="N2714" s="82" t="s">
        <v>11507</v>
      </c>
      <c r="O2714" s="93">
        <v>45864.484872685185</v>
      </c>
    </row>
    <row r="2715" spans="1:15" ht="22.5" customHeight="1">
      <c r="A2715" s="85">
        <v>174904221976312</v>
      </c>
      <c r="B2715" s="82" t="s">
        <v>10651</v>
      </c>
      <c r="C2715" s="82" t="s">
        <v>11464</v>
      </c>
      <c r="D2715" s="82" t="s">
        <v>11465</v>
      </c>
      <c r="E2715" s="82">
        <v>62816904358</v>
      </c>
      <c r="F2715" s="92">
        <v>45863</v>
      </c>
      <c r="G2715" s="87">
        <v>328</v>
      </c>
      <c r="H2715" s="88">
        <v>37398.4375</v>
      </c>
      <c r="I2715" s="89">
        <v>23</v>
      </c>
      <c r="J2715" s="90">
        <v>14361</v>
      </c>
      <c r="K2715" s="85">
        <v>3</v>
      </c>
      <c r="L2715" s="85">
        <v>0</v>
      </c>
      <c r="M2715" s="85">
        <v>0</v>
      </c>
      <c r="N2715" s="82" t="s">
        <v>11466</v>
      </c>
      <c r="O2715" s="93">
        <v>45864.464490740742</v>
      </c>
    </row>
    <row r="2716" spans="1:15" ht="22.5" customHeight="1">
      <c r="A2716" s="85">
        <v>174904221976312</v>
      </c>
      <c r="B2716" s="82" t="s">
        <v>10651</v>
      </c>
      <c r="C2716" s="82" t="s">
        <v>11467</v>
      </c>
      <c r="D2716" s="82" t="s">
        <v>11468</v>
      </c>
      <c r="E2716" s="82">
        <v>6282169354443</v>
      </c>
      <c r="F2716" s="92">
        <v>45863</v>
      </c>
      <c r="G2716" s="87">
        <v>2057</v>
      </c>
      <c r="H2716" s="88">
        <v>6171.8061674008804</v>
      </c>
      <c r="I2716" s="89">
        <v>44</v>
      </c>
      <c r="J2716" s="90">
        <v>14010</v>
      </c>
      <c r="K2716" s="85">
        <v>2</v>
      </c>
      <c r="L2716" s="85">
        <v>885</v>
      </c>
      <c r="M2716" s="85">
        <v>1</v>
      </c>
      <c r="N2716" s="82" t="s">
        <v>11469</v>
      </c>
      <c r="O2716" s="93">
        <v>45864.464780092596</v>
      </c>
    </row>
    <row r="2717" spans="1:15" ht="22.5" customHeight="1">
      <c r="A2717" s="85">
        <v>174904221976312</v>
      </c>
      <c r="B2717" s="82" t="s">
        <v>10651</v>
      </c>
      <c r="C2717" s="82" t="s">
        <v>11470</v>
      </c>
      <c r="D2717" s="82" t="s">
        <v>11471</v>
      </c>
      <c r="E2717" s="82">
        <v>6281225745133</v>
      </c>
      <c r="F2717" s="92">
        <v>45863</v>
      </c>
      <c r="G2717" s="87">
        <v>231</v>
      </c>
      <c r="H2717" s="88">
        <v>48915.322580645159</v>
      </c>
      <c r="I2717" s="89">
        <v>9</v>
      </c>
      <c r="J2717" s="90">
        <v>12131</v>
      </c>
      <c r="K2717" s="85">
        <v>3</v>
      </c>
      <c r="L2717" s="85">
        <v>136</v>
      </c>
      <c r="M2717" s="85">
        <v>0</v>
      </c>
      <c r="N2717" s="82" t="s">
        <v>11472</v>
      </c>
      <c r="O2717" s="93">
        <v>45864.443287037036</v>
      </c>
    </row>
    <row r="2718" spans="1:15" ht="22.5" customHeight="1">
      <c r="A2718" s="85">
        <v>174904221976312</v>
      </c>
      <c r="B2718" s="82" t="s">
        <v>10651</v>
      </c>
      <c r="C2718" s="82" t="s">
        <v>11473</v>
      </c>
      <c r="D2718" s="82" t="s">
        <v>2659</v>
      </c>
      <c r="E2718" s="82">
        <v>6287762707927</v>
      </c>
      <c r="F2718" s="92">
        <v>45863</v>
      </c>
      <c r="G2718" s="87">
        <v>378</v>
      </c>
      <c r="H2718" s="88">
        <v>27745.098039215689</v>
      </c>
      <c r="I2718" s="89">
        <v>13</v>
      </c>
      <c r="J2718" s="90">
        <v>11320</v>
      </c>
      <c r="K2718" s="85">
        <v>1</v>
      </c>
      <c r="L2718" s="85">
        <v>188</v>
      </c>
      <c r="M2718" s="85">
        <v>0</v>
      </c>
      <c r="N2718" s="82" t="s">
        <v>11474</v>
      </c>
      <c r="O2718" s="93">
        <v>45864.484884259262</v>
      </c>
    </row>
    <row r="2719" spans="1:15" ht="22.5" customHeight="1">
      <c r="A2719" s="85">
        <v>174904221976312</v>
      </c>
      <c r="B2719" s="82" t="s">
        <v>10651</v>
      </c>
      <c r="C2719" s="82" t="s">
        <v>11475</v>
      </c>
      <c r="D2719" s="82" t="s">
        <v>2708</v>
      </c>
      <c r="E2719" s="82">
        <v>6281219329853</v>
      </c>
      <c r="F2719" s="92">
        <v>45863</v>
      </c>
      <c r="G2719" s="87">
        <v>465</v>
      </c>
      <c r="H2719" s="88">
        <v>24744.444444444445</v>
      </c>
      <c r="I2719" s="89">
        <v>20</v>
      </c>
      <c r="J2719" s="90">
        <v>13362</v>
      </c>
      <c r="K2719" s="85">
        <v>6</v>
      </c>
      <c r="L2719" s="85">
        <v>0</v>
      </c>
      <c r="M2719" s="85">
        <v>0</v>
      </c>
      <c r="N2719" s="82" t="s">
        <v>11476</v>
      </c>
      <c r="O2719" s="93">
        <v>45864.422673611109</v>
      </c>
    </row>
    <row r="2720" spans="1:15" ht="22.5" customHeight="1">
      <c r="A2720" s="85">
        <v>174904221976312</v>
      </c>
      <c r="B2720" s="82" t="s">
        <v>10651</v>
      </c>
      <c r="C2720" s="82" t="s">
        <v>11477</v>
      </c>
      <c r="D2720" s="82" t="s">
        <v>11478</v>
      </c>
      <c r="E2720" s="82">
        <v>6283131677011</v>
      </c>
      <c r="F2720" s="92">
        <v>45863</v>
      </c>
      <c r="G2720" s="87">
        <v>468</v>
      </c>
      <c r="H2720" s="88">
        <v>21770.903010033442</v>
      </c>
      <c r="I2720" s="89">
        <v>35</v>
      </c>
      <c r="J2720" s="90">
        <v>13019</v>
      </c>
      <c r="K2720" s="85">
        <v>2</v>
      </c>
      <c r="L2720" s="85">
        <v>213</v>
      </c>
      <c r="M2720" s="85">
        <v>1</v>
      </c>
      <c r="N2720" s="82" t="s">
        <v>11479</v>
      </c>
      <c r="O2720" s="93">
        <v>45864.526747685188</v>
      </c>
    </row>
    <row r="2721" spans="1:15" ht="22.5" customHeight="1">
      <c r="A2721" s="85">
        <v>174904221976312</v>
      </c>
      <c r="B2721" s="82" t="s">
        <v>10651</v>
      </c>
      <c r="C2721" s="82" t="s">
        <v>11480</v>
      </c>
      <c r="D2721" s="82" t="s">
        <v>2729</v>
      </c>
      <c r="E2721" s="82">
        <v>6282123039124</v>
      </c>
      <c r="F2721" s="92">
        <v>45863</v>
      </c>
      <c r="G2721" s="87">
        <v>681</v>
      </c>
      <c r="H2721" s="88">
        <v>16625.806451612902</v>
      </c>
      <c r="I2721" s="89">
        <v>7</v>
      </c>
      <c r="J2721" s="90">
        <v>12885</v>
      </c>
      <c r="K2721" s="85">
        <v>0</v>
      </c>
      <c r="L2721" s="85">
        <v>30</v>
      </c>
      <c r="M2721" s="85">
        <v>0</v>
      </c>
      <c r="N2721" s="82" t="s">
        <v>11481</v>
      </c>
      <c r="O2721" s="93">
        <v>45864.526770833334</v>
      </c>
    </row>
    <row r="2722" spans="1:15" ht="22.5" customHeight="1">
      <c r="A2722" s="85">
        <v>174904221976312</v>
      </c>
      <c r="B2722" s="82" t="s">
        <v>10651</v>
      </c>
      <c r="C2722" s="82" t="s">
        <v>11482</v>
      </c>
      <c r="D2722" s="82" t="s">
        <v>11483</v>
      </c>
      <c r="E2722" s="82">
        <v>6285741977776</v>
      </c>
      <c r="F2722" s="92">
        <v>45863</v>
      </c>
      <c r="G2722" s="87">
        <v>221</v>
      </c>
      <c r="H2722" s="88">
        <v>47054.744525547445</v>
      </c>
      <c r="I2722" s="89">
        <v>18</v>
      </c>
      <c r="J2722" s="90">
        <v>12893</v>
      </c>
      <c r="K2722" s="85">
        <v>7</v>
      </c>
      <c r="L2722" s="85">
        <v>0</v>
      </c>
      <c r="M2722" s="85">
        <v>0</v>
      </c>
      <c r="N2722" s="82" t="s">
        <v>11484</v>
      </c>
      <c r="O2722" s="93">
        <v>45864.464467592596</v>
      </c>
    </row>
    <row r="2723" spans="1:15" ht="22.5" customHeight="1">
      <c r="A2723" s="85">
        <v>174904221976312</v>
      </c>
      <c r="B2723" s="82" t="s">
        <v>10651</v>
      </c>
      <c r="C2723" s="82" t="s">
        <v>11446</v>
      </c>
      <c r="D2723" s="82" t="s">
        <v>11447</v>
      </c>
      <c r="E2723" s="82">
        <v>6281999375257</v>
      </c>
      <c r="F2723" s="92">
        <v>45863</v>
      </c>
      <c r="G2723" s="87">
        <v>867</v>
      </c>
      <c r="H2723" s="88">
        <v>14100.3861003861</v>
      </c>
      <c r="I2723" s="89">
        <v>10</v>
      </c>
      <c r="J2723" s="90">
        <v>14608</v>
      </c>
      <c r="K2723" s="85">
        <v>0</v>
      </c>
      <c r="L2723" s="85">
        <v>13</v>
      </c>
      <c r="M2723" s="85">
        <v>0</v>
      </c>
      <c r="N2723" s="82" t="s">
        <v>11448</v>
      </c>
      <c r="O2723" s="93">
        <v>45864.216111111113</v>
      </c>
    </row>
    <row r="2724" spans="1:15" ht="22.5" customHeight="1">
      <c r="A2724" s="85">
        <v>174904221976312</v>
      </c>
      <c r="B2724" s="82" t="s">
        <v>10651</v>
      </c>
      <c r="C2724" s="82" t="s">
        <v>11449</v>
      </c>
      <c r="D2724" s="82" t="s">
        <v>11450</v>
      </c>
      <c r="E2724" s="82">
        <v>6285773570295</v>
      </c>
      <c r="F2724" s="92">
        <v>45863</v>
      </c>
      <c r="G2724" s="87">
        <v>1090</v>
      </c>
      <c r="H2724" s="88">
        <v>11595.925297113752</v>
      </c>
      <c r="I2724" s="89">
        <v>90</v>
      </c>
      <c r="J2724" s="90">
        <v>13660</v>
      </c>
      <c r="K2724" s="85">
        <v>15</v>
      </c>
      <c r="L2724" s="85">
        <v>0</v>
      </c>
      <c r="M2724" s="85">
        <v>1</v>
      </c>
      <c r="N2724" s="82" t="s">
        <v>11451</v>
      </c>
      <c r="O2724" s="93">
        <v>45864.216111111113</v>
      </c>
    </row>
    <row r="2725" spans="1:15" ht="22.5" customHeight="1">
      <c r="A2725" s="85">
        <v>174904221976312</v>
      </c>
      <c r="B2725" s="82" t="s">
        <v>10651</v>
      </c>
      <c r="C2725" s="82" t="s">
        <v>11452</v>
      </c>
      <c r="D2725" s="82" t="s">
        <v>11453</v>
      </c>
      <c r="E2725" s="82">
        <v>6281215284044</v>
      </c>
      <c r="F2725" s="92">
        <v>45863</v>
      </c>
      <c r="G2725" s="87">
        <v>202</v>
      </c>
      <c r="H2725" s="88">
        <v>64660.6334841629</v>
      </c>
      <c r="I2725" s="89">
        <v>6</v>
      </c>
      <c r="J2725" s="90">
        <v>14290</v>
      </c>
      <c r="K2725" s="85">
        <v>0</v>
      </c>
      <c r="L2725" s="85">
        <v>66</v>
      </c>
      <c r="M2725" s="85">
        <v>0</v>
      </c>
      <c r="N2725" s="82" t="s">
        <v>11454</v>
      </c>
      <c r="O2725" s="93">
        <v>45864.216122685182</v>
      </c>
    </row>
    <row r="2726" spans="1:15" ht="22.5" customHeight="1">
      <c r="A2726" s="85">
        <v>174904221976312</v>
      </c>
      <c r="B2726" s="82" t="s">
        <v>10651</v>
      </c>
      <c r="C2726" s="82" t="s">
        <v>11422</v>
      </c>
      <c r="D2726" s="82" t="s">
        <v>11145</v>
      </c>
      <c r="E2726" s="82">
        <v>6282128714101</v>
      </c>
      <c r="F2726" s="92">
        <v>45863</v>
      </c>
      <c r="G2726" s="87">
        <v>306</v>
      </c>
      <c r="H2726" s="88">
        <v>42254.285714285717</v>
      </c>
      <c r="I2726" s="89">
        <v>13</v>
      </c>
      <c r="J2726" s="90">
        <v>14789</v>
      </c>
      <c r="K2726" s="85">
        <v>0</v>
      </c>
      <c r="L2726" s="85">
        <v>59</v>
      </c>
      <c r="M2726" s="85">
        <v>0</v>
      </c>
      <c r="N2726" s="82" t="s">
        <v>11423</v>
      </c>
      <c r="O2726" s="93">
        <v>45864.505752314813</v>
      </c>
    </row>
    <row r="2727" spans="1:15" ht="22.5" customHeight="1">
      <c r="A2727" s="85">
        <v>174904221976312</v>
      </c>
      <c r="B2727" s="82" t="s">
        <v>10651</v>
      </c>
      <c r="C2727" s="82" t="s">
        <v>11427</v>
      </c>
      <c r="D2727" s="82" t="s">
        <v>11428</v>
      </c>
      <c r="E2727" s="82">
        <v>6285268101557</v>
      </c>
      <c r="F2727" s="92">
        <v>45863</v>
      </c>
      <c r="G2727" s="87">
        <v>967</v>
      </c>
      <c r="H2727" s="88">
        <v>14156.920077972709</v>
      </c>
      <c r="I2727" s="89">
        <v>22</v>
      </c>
      <c r="J2727" s="90">
        <v>14525</v>
      </c>
      <c r="K2727" s="85">
        <v>3</v>
      </c>
      <c r="L2727" s="85">
        <v>422</v>
      </c>
      <c r="M2727" s="85">
        <v>0</v>
      </c>
      <c r="N2727" s="82" t="s">
        <v>11429</v>
      </c>
      <c r="O2727" s="93">
        <v>45864.484872685185</v>
      </c>
    </row>
    <row r="2728" spans="1:15" ht="22.5" customHeight="1">
      <c r="A2728" s="85">
        <v>174904221976312</v>
      </c>
      <c r="B2728" s="82" t="s">
        <v>10651</v>
      </c>
      <c r="C2728" s="82" t="s">
        <v>11399</v>
      </c>
      <c r="D2728" s="82" t="s">
        <v>11400</v>
      </c>
      <c r="E2728" s="82">
        <v>6281933176790</v>
      </c>
      <c r="F2728" s="92">
        <v>45863</v>
      </c>
      <c r="G2728" s="87">
        <v>187</v>
      </c>
      <c r="H2728" s="88">
        <v>50058.295964125566</v>
      </c>
      <c r="I2728" s="89">
        <v>3</v>
      </c>
      <c r="J2728" s="90">
        <v>11163</v>
      </c>
      <c r="K2728" s="85">
        <v>1</v>
      </c>
      <c r="L2728" s="85">
        <v>0</v>
      </c>
      <c r="M2728" s="85">
        <v>0</v>
      </c>
      <c r="N2728" s="82" t="s">
        <v>11541</v>
      </c>
      <c r="O2728" s="93">
        <v>45864.712187500001</v>
      </c>
    </row>
    <row r="2729" spans="1:15" ht="22.5" customHeight="1">
      <c r="A2729" s="85">
        <v>174904221976312</v>
      </c>
      <c r="B2729" s="82" t="s">
        <v>10651</v>
      </c>
      <c r="C2729" s="82" t="s">
        <v>11402</v>
      </c>
      <c r="D2729" s="82" t="s">
        <v>11403</v>
      </c>
      <c r="E2729" s="82">
        <v>6283870060603</v>
      </c>
      <c r="F2729" s="92">
        <v>45863</v>
      </c>
      <c r="G2729" s="87">
        <v>2815</v>
      </c>
      <c r="H2729" s="88">
        <v>4866.3940013633273</v>
      </c>
      <c r="I2729" s="89">
        <v>66</v>
      </c>
      <c r="J2729" s="90">
        <v>14278</v>
      </c>
      <c r="K2729" s="85">
        <v>1</v>
      </c>
      <c r="L2729" s="85">
        <v>48</v>
      </c>
      <c r="M2729" s="85">
        <v>1</v>
      </c>
      <c r="N2729" s="82" t="s">
        <v>11404</v>
      </c>
      <c r="O2729" s="93">
        <v>45864.484872685185</v>
      </c>
    </row>
    <row r="2730" spans="1:15" ht="22.5" customHeight="1">
      <c r="A2730" s="85">
        <v>174904221976312</v>
      </c>
      <c r="B2730" s="82" t="s">
        <v>10651</v>
      </c>
      <c r="C2730" s="82" t="s">
        <v>11325</v>
      </c>
      <c r="D2730" s="82" t="s">
        <v>2274</v>
      </c>
      <c r="E2730" s="82">
        <v>6281316839343</v>
      </c>
      <c r="F2730" s="92">
        <v>45863</v>
      </c>
      <c r="G2730" s="87">
        <v>1499</v>
      </c>
      <c r="H2730" s="88">
        <v>9129.0127195639016</v>
      </c>
      <c r="I2730" s="89">
        <v>65</v>
      </c>
      <c r="J2730" s="90">
        <v>15072</v>
      </c>
      <c r="K2730" s="85">
        <v>16</v>
      </c>
      <c r="L2730" s="85">
        <v>824</v>
      </c>
      <c r="M2730" s="85">
        <v>2</v>
      </c>
      <c r="N2730" s="82" t="s">
        <v>11344</v>
      </c>
      <c r="O2730" s="93">
        <v>45864.505752314813</v>
      </c>
    </row>
    <row r="2731" spans="1:15" ht="22.5" customHeight="1">
      <c r="A2731" s="85">
        <v>174904221976312</v>
      </c>
      <c r="B2731" s="82" t="s">
        <v>10651</v>
      </c>
      <c r="C2731" s="82" t="s">
        <v>11309</v>
      </c>
      <c r="D2731" s="82" t="s">
        <v>11350</v>
      </c>
      <c r="E2731" s="82">
        <v>6281229745253</v>
      </c>
      <c r="F2731" s="92">
        <v>45863</v>
      </c>
      <c r="G2731" s="87">
        <v>210</v>
      </c>
      <c r="H2731" s="88">
        <v>61058.333333333328</v>
      </c>
      <c r="I2731" s="89">
        <v>5</v>
      </c>
      <c r="J2731" s="90">
        <v>14654</v>
      </c>
      <c r="K2731" s="85">
        <v>0</v>
      </c>
      <c r="L2731" s="85">
        <v>40</v>
      </c>
      <c r="M2731" s="85">
        <v>0</v>
      </c>
      <c r="N2731" s="82" t="s">
        <v>11351</v>
      </c>
      <c r="O2731" s="93">
        <v>45864.464791666665</v>
      </c>
    </row>
    <row r="2732" spans="1:15" ht="22.5" customHeight="1">
      <c r="A2732" s="85">
        <v>174904221976312</v>
      </c>
      <c r="B2732" s="82" t="s">
        <v>10651</v>
      </c>
      <c r="C2732" s="82" t="s">
        <v>11291</v>
      </c>
      <c r="D2732" s="82" t="s">
        <v>11292</v>
      </c>
      <c r="E2732" s="82">
        <v>6283183643221</v>
      </c>
      <c r="F2732" s="92">
        <v>45863</v>
      </c>
      <c r="G2732" s="87">
        <v>131</v>
      </c>
      <c r="H2732" s="88">
        <v>129082.08955223882</v>
      </c>
      <c r="I2732" s="89">
        <v>7</v>
      </c>
      <c r="J2732" s="90">
        <v>17297</v>
      </c>
      <c r="K2732" s="85">
        <v>3</v>
      </c>
      <c r="L2732" s="85">
        <v>51</v>
      </c>
      <c r="M2732" s="85">
        <v>0</v>
      </c>
      <c r="N2732" s="82" t="s">
        <v>11293</v>
      </c>
      <c r="O2732" s="93">
        <v>45864.318622685183</v>
      </c>
    </row>
    <row r="2733" spans="1:15" ht="22.5" customHeight="1">
      <c r="A2733" s="85">
        <v>174904221976312</v>
      </c>
      <c r="B2733" s="82" t="s">
        <v>10651</v>
      </c>
      <c r="C2733" s="82" t="s">
        <v>11225</v>
      </c>
      <c r="D2733" s="82" t="s">
        <v>11226</v>
      </c>
      <c r="E2733" s="82">
        <v>6281240144744</v>
      </c>
      <c r="F2733" s="92">
        <v>45863</v>
      </c>
      <c r="G2733" s="87">
        <v>1582</v>
      </c>
      <c r="H2733" s="88">
        <v>7915.9751037344404</v>
      </c>
      <c r="I2733" s="89">
        <v>40</v>
      </c>
      <c r="J2733" s="90">
        <v>15262</v>
      </c>
      <c r="K2733" s="85">
        <v>4</v>
      </c>
      <c r="L2733" s="85">
        <v>123</v>
      </c>
      <c r="M2733" s="85">
        <v>1</v>
      </c>
      <c r="N2733" s="82" t="s">
        <v>11227</v>
      </c>
      <c r="O2733" s="93">
        <v>45864.402013888888</v>
      </c>
    </row>
    <row r="2734" spans="1:15" ht="22.5" customHeight="1">
      <c r="A2734" s="85">
        <v>174904221976312</v>
      </c>
      <c r="B2734" s="82" t="s">
        <v>10651</v>
      </c>
      <c r="C2734" s="82" t="s">
        <v>11144</v>
      </c>
      <c r="D2734" s="82" t="s">
        <v>11145</v>
      </c>
      <c r="E2734" s="82">
        <v>6282128714101</v>
      </c>
      <c r="F2734" s="92">
        <v>45863</v>
      </c>
      <c r="G2734" s="87">
        <v>426</v>
      </c>
      <c r="H2734" s="88">
        <v>28689.516129032261</v>
      </c>
      <c r="I2734" s="89">
        <v>16</v>
      </c>
      <c r="J2734" s="90">
        <v>14230</v>
      </c>
      <c r="K2734" s="85">
        <v>1</v>
      </c>
      <c r="L2734" s="85">
        <v>81</v>
      </c>
      <c r="M2734" s="85">
        <v>0</v>
      </c>
      <c r="N2734" s="82" t="s">
        <v>11146</v>
      </c>
      <c r="O2734" s="93">
        <v>45864.422442129631</v>
      </c>
    </row>
    <row r="2735" spans="1:15" ht="22.5" customHeight="1">
      <c r="A2735" s="85">
        <v>174904221976312</v>
      </c>
      <c r="B2735" s="82" t="s">
        <v>10651</v>
      </c>
      <c r="C2735" s="82" t="s">
        <v>11153</v>
      </c>
      <c r="D2735" s="82" t="s">
        <v>11154</v>
      </c>
      <c r="E2735" s="82">
        <v>6285338137835</v>
      </c>
      <c r="F2735" s="92">
        <v>45863</v>
      </c>
      <c r="G2735" s="87">
        <v>252</v>
      </c>
      <c r="H2735" s="88">
        <v>43619.718309859156</v>
      </c>
      <c r="I2735" s="89">
        <v>6</v>
      </c>
      <c r="J2735" s="90">
        <v>12388</v>
      </c>
      <c r="K2735" s="85">
        <v>1</v>
      </c>
      <c r="L2735" s="85">
        <v>0</v>
      </c>
      <c r="M2735" s="85">
        <v>0</v>
      </c>
      <c r="N2735" s="82" t="s">
        <v>11155</v>
      </c>
      <c r="O2735" s="93">
        <v>45864.464479166665</v>
      </c>
    </row>
    <row r="2736" spans="1:15" ht="22.5" customHeight="1">
      <c r="A2736" s="85">
        <v>174904221976312</v>
      </c>
      <c r="B2736" s="82" t="s">
        <v>10651</v>
      </c>
      <c r="C2736" s="82" t="s">
        <v>10943</v>
      </c>
      <c r="D2736" s="82" t="s">
        <v>10944</v>
      </c>
      <c r="E2736" s="82">
        <v>6285240694097</v>
      </c>
      <c r="F2736" s="92">
        <v>45863</v>
      </c>
      <c r="G2736" s="87">
        <v>883</v>
      </c>
      <c r="H2736" s="88">
        <v>13244.186046511628</v>
      </c>
      <c r="I2736" s="89">
        <v>17</v>
      </c>
      <c r="J2736" s="90">
        <v>14807</v>
      </c>
      <c r="K2736" s="85">
        <v>2</v>
      </c>
      <c r="L2736" s="85">
        <v>112</v>
      </c>
      <c r="M2736" s="85">
        <v>0</v>
      </c>
      <c r="N2736" s="82" t="s">
        <v>10945</v>
      </c>
      <c r="O2736" s="93">
        <v>45864.422430555554</v>
      </c>
    </row>
    <row r="2737" spans="1:15" ht="22.5" customHeight="1">
      <c r="A2737" s="85">
        <v>174904221976312</v>
      </c>
      <c r="B2737" s="82" t="s">
        <v>10651</v>
      </c>
      <c r="C2737" s="82" t="s">
        <v>10853</v>
      </c>
      <c r="D2737" s="82" t="s">
        <v>10854</v>
      </c>
      <c r="E2737" s="82">
        <v>6281393958199</v>
      </c>
      <c r="F2737" s="92">
        <v>45863</v>
      </c>
      <c r="G2737" s="87">
        <v>734</v>
      </c>
      <c r="H2737" s="88">
        <v>18537.349397590362</v>
      </c>
      <c r="I2737" s="89">
        <v>15</v>
      </c>
      <c r="J2737" s="90">
        <v>15386</v>
      </c>
      <c r="K2737" s="85">
        <v>3</v>
      </c>
      <c r="L2737" s="85">
        <v>258</v>
      </c>
      <c r="M2737" s="85">
        <v>0</v>
      </c>
      <c r="N2737" s="82" t="s">
        <v>10855</v>
      </c>
      <c r="O2737" s="93">
        <v>45864.526759259257</v>
      </c>
    </row>
    <row r="2738" spans="1:15" ht="22.5" customHeight="1">
      <c r="A2738" s="85">
        <v>174904221976312</v>
      </c>
      <c r="B2738" s="82" t="s">
        <v>10651</v>
      </c>
      <c r="C2738" s="82" t="s">
        <v>818</v>
      </c>
      <c r="D2738" s="82" t="s">
        <v>812</v>
      </c>
      <c r="E2738" s="82">
        <v>6287858585808</v>
      </c>
      <c r="F2738" s="92">
        <v>45863</v>
      </c>
      <c r="G2738" s="87">
        <v>797</v>
      </c>
      <c r="H2738" s="88">
        <v>14443.566591422123</v>
      </c>
      <c r="I2738" s="89">
        <v>8</v>
      </c>
      <c r="J2738" s="90">
        <v>12797</v>
      </c>
      <c r="K2738" s="85">
        <v>1</v>
      </c>
      <c r="L2738" s="85">
        <v>197</v>
      </c>
      <c r="M2738" s="85">
        <v>0</v>
      </c>
      <c r="N2738" s="82" t="s">
        <v>10831</v>
      </c>
      <c r="O2738" s="93">
        <v>45864.484861111108</v>
      </c>
    </row>
    <row r="2739" spans="1:15" ht="22.5" customHeight="1">
      <c r="A2739" s="85">
        <v>174904221976312</v>
      </c>
      <c r="B2739" s="82" t="s">
        <v>10651</v>
      </c>
      <c r="C2739" s="82" t="s">
        <v>11078</v>
      </c>
      <c r="D2739" s="82" t="s">
        <v>3140</v>
      </c>
      <c r="E2739" s="82"/>
      <c r="F2739" s="92">
        <v>45863</v>
      </c>
      <c r="G2739" s="87">
        <v>3103</v>
      </c>
      <c r="H2739" s="88">
        <v>3591.5456431535267</v>
      </c>
      <c r="I2739" s="89">
        <v>65</v>
      </c>
      <c r="J2739" s="90">
        <v>13849</v>
      </c>
      <c r="K2739" s="85">
        <v>5</v>
      </c>
      <c r="L2739" s="85">
        <v>163</v>
      </c>
      <c r="M2739" s="85">
        <v>2</v>
      </c>
      <c r="N2739" s="82" t="s">
        <v>11079</v>
      </c>
      <c r="O2739" s="93">
        <v>45864.422430555554</v>
      </c>
    </row>
    <row r="2740" spans="1:15" ht="22.5" customHeight="1">
      <c r="A2740" s="85">
        <v>174904221976312</v>
      </c>
      <c r="B2740" s="82" t="s">
        <v>10651</v>
      </c>
      <c r="C2740" s="82" t="s">
        <v>11485</v>
      </c>
      <c r="D2740" s="82" t="s">
        <v>11486</v>
      </c>
      <c r="E2740" s="82">
        <v>6281378757554</v>
      </c>
      <c r="F2740" s="92">
        <v>45863</v>
      </c>
      <c r="G2740" s="87">
        <v>524</v>
      </c>
      <c r="H2740" s="88">
        <v>24644.817073170732</v>
      </c>
      <c r="I2740" s="89">
        <v>14</v>
      </c>
      <c r="J2740" s="90">
        <v>16167</v>
      </c>
      <c r="K2740" s="85">
        <v>4</v>
      </c>
      <c r="L2740" s="85">
        <v>117</v>
      </c>
      <c r="M2740" s="85">
        <v>0</v>
      </c>
      <c r="N2740" s="82" t="s">
        <v>11487</v>
      </c>
      <c r="O2740" s="93">
        <v>45864.443483796298</v>
      </c>
    </row>
    <row r="2741" spans="1:15" ht="22.5" customHeight="1">
      <c r="A2741" s="85">
        <v>174904221976312</v>
      </c>
      <c r="B2741" s="82" t="s">
        <v>10651</v>
      </c>
      <c r="C2741" s="82" t="s">
        <v>10833</v>
      </c>
      <c r="D2741" s="82" t="s">
        <v>10834</v>
      </c>
      <c r="E2741" s="82">
        <v>6282242925264</v>
      </c>
      <c r="F2741" s="92">
        <v>45863</v>
      </c>
      <c r="G2741" s="87">
        <v>2470</v>
      </c>
      <c r="H2741" s="88">
        <v>5630.4347826086951</v>
      </c>
      <c r="I2741" s="89">
        <v>105</v>
      </c>
      <c r="J2741" s="90">
        <v>15799</v>
      </c>
      <c r="K2741" s="85">
        <v>6</v>
      </c>
      <c r="L2741" s="85">
        <v>778</v>
      </c>
      <c r="M2741" s="85">
        <v>1</v>
      </c>
      <c r="N2741" s="82" t="s">
        <v>10835</v>
      </c>
      <c r="O2741" s="93">
        <v>45864.422430555554</v>
      </c>
    </row>
    <row r="2742" spans="1:15" ht="22.5" customHeight="1">
      <c r="A2742" s="85">
        <v>766589657993298</v>
      </c>
      <c r="B2742" s="82" t="s">
        <v>10688</v>
      </c>
      <c r="C2742" s="82" t="s">
        <v>11542</v>
      </c>
      <c r="D2742" s="82" t="s">
        <v>11543</v>
      </c>
      <c r="E2742" s="82">
        <v>6285921009099</v>
      </c>
      <c r="F2742" s="92">
        <v>45863</v>
      </c>
      <c r="G2742" s="87">
        <v>315</v>
      </c>
      <c r="H2742" s="88">
        <v>42366.762177650431</v>
      </c>
      <c r="I2742" s="89">
        <v>7</v>
      </c>
      <c r="J2742" s="90">
        <v>14786</v>
      </c>
      <c r="K2742" s="85">
        <v>0</v>
      </c>
      <c r="L2742" s="85">
        <v>64</v>
      </c>
      <c r="M2742" s="85">
        <v>0</v>
      </c>
      <c r="N2742" s="82" t="s">
        <v>11544</v>
      </c>
      <c r="O2742" s="93">
        <v>45864.779363425929</v>
      </c>
    </row>
    <row r="2743" spans="1:15" ht="22.5" customHeight="1">
      <c r="A2743" s="85">
        <v>766589657993298</v>
      </c>
      <c r="B2743" s="82" t="s">
        <v>10688</v>
      </c>
      <c r="C2743" s="82" t="s">
        <v>11522</v>
      </c>
      <c r="D2743" s="82" t="s">
        <v>2954</v>
      </c>
      <c r="E2743" s="82">
        <v>6282299236521</v>
      </c>
      <c r="F2743" s="92">
        <v>45863</v>
      </c>
      <c r="G2743" s="87">
        <v>260</v>
      </c>
      <c r="H2743" s="88">
        <v>58924.65753424658</v>
      </c>
      <c r="I2743" s="89">
        <v>17</v>
      </c>
      <c r="J2743" s="90">
        <v>17206</v>
      </c>
      <c r="K2743" s="85">
        <v>5</v>
      </c>
      <c r="L2743" s="85">
        <v>33</v>
      </c>
      <c r="M2743" s="85">
        <v>0</v>
      </c>
      <c r="N2743" s="82" t="s">
        <v>11523</v>
      </c>
      <c r="O2743" s="93">
        <v>45864.487916666665</v>
      </c>
    </row>
    <row r="2744" spans="1:15" ht="22.5" customHeight="1">
      <c r="A2744" s="85">
        <v>766589657993298</v>
      </c>
      <c r="B2744" s="82" t="s">
        <v>10688</v>
      </c>
      <c r="C2744" s="82" t="s">
        <v>11524</v>
      </c>
      <c r="D2744" s="91" t="s">
        <v>2827</v>
      </c>
      <c r="E2744" s="82"/>
      <c r="F2744" s="92">
        <v>45863</v>
      </c>
      <c r="G2744" s="87">
        <v>196</v>
      </c>
      <c r="H2744" s="88">
        <v>73610.576923076922</v>
      </c>
      <c r="I2744" s="89">
        <v>7</v>
      </c>
      <c r="J2744" s="90">
        <v>15311</v>
      </c>
      <c r="K2744" s="85">
        <v>0</v>
      </c>
      <c r="L2744" s="85">
        <v>61</v>
      </c>
      <c r="M2744" s="85">
        <v>0</v>
      </c>
      <c r="N2744" s="82" t="s">
        <v>11525</v>
      </c>
      <c r="O2744" s="93">
        <v>45864.550659722219</v>
      </c>
    </row>
    <row r="2745" spans="1:15" ht="22.5" customHeight="1">
      <c r="A2745" s="85">
        <v>766589657993298</v>
      </c>
      <c r="B2745" s="82" t="s">
        <v>10688</v>
      </c>
      <c r="C2745" s="82" t="s">
        <v>11526</v>
      </c>
      <c r="D2745" s="82" t="s">
        <v>350</v>
      </c>
      <c r="E2745" s="82">
        <v>6285281921180</v>
      </c>
      <c r="F2745" s="92">
        <v>45863</v>
      </c>
      <c r="G2745" s="87">
        <v>424</v>
      </c>
      <c r="H2745" s="88">
        <v>33719.222462203019</v>
      </c>
      <c r="I2745" s="89">
        <v>8</v>
      </c>
      <c r="J2745" s="90">
        <v>15612</v>
      </c>
      <c r="K2745" s="85">
        <v>3</v>
      </c>
      <c r="L2745" s="85">
        <v>125</v>
      </c>
      <c r="M2745" s="85">
        <v>0</v>
      </c>
      <c r="N2745" s="82" t="s">
        <v>11527</v>
      </c>
      <c r="O2745" s="93">
        <v>45864.467129629629</v>
      </c>
    </row>
    <row r="2746" spans="1:15" ht="22.5" customHeight="1">
      <c r="A2746" s="85">
        <v>766589657993298</v>
      </c>
      <c r="B2746" s="82" t="s">
        <v>10688</v>
      </c>
      <c r="C2746" s="82" t="s">
        <v>11528</v>
      </c>
      <c r="D2746" s="82" t="s">
        <v>11529</v>
      </c>
      <c r="E2746" s="82">
        <v>6285778471007</v>
      </c>
      <c r="F2746" s="92">
        <v>45863</v>
      </c>
      <c r="G2746" s="87">
        <v>616</v>
      </c>
      <c r="H2746" s="88">
        <v>23563.271604938273</v>
      </c>
      <c r="I2746" s="89">
        <v>9</v>
      </c>
      <c r="J2746" s="90">
        <v>15269</v>
      </c>
      <c r="K2746" s="85">
        <v>0</v>
      </c>
      <c r="L2746" s="85">
        <v>214</v>
      </c>
      <c r="M2746" s="85">
        <v>0</v>
      </c>
      <c r="N2746" s="82" t="s">
        <v>11530</v>
      </c>
      <c r="O2746" s="93">
        <v>45864.487916666665</v>
      </c>
    </row>
    <row r="2747" spans="1:15" ht="22.5" customHeight="1">
      <c r="A2747" s="85">
        <v>766589657993298</v>
      </c>
      <c r="B2747" s="82" t="s">
        <v>10688</v>
      </c>
      <c r="C2747" s="82" t="s">
        <v>11508</v>
      </c>
      <c r="D2747" s="82" t="s">
        <v>11509</v>
      </c>
      <c r="E2747" s="82">
        <v>6281325757271</v>
      </c>
      <c r="F2747" s="92">
        <v>45863</v>
      </c>
      <c r="G2747" s="87">
        <v>443</v>
      </c>
      <c r="H2747" s="88">
        <v>32165.271966527194</v>
      </c>
      <c r="I2747" s="89">
        <v>9</v>
      </c>
      <c r="J2747" s="90">
        <v>15375</v>
      </c>
      <c r="K2747" s="85">
        <v>3</v>
      </c>
      <c r="L2747" s="85">
        <v>163</v>
      </c>
      <c r="M2747" s="85">
        <v>0</v>
      </c>
      <c r="N2747" s="82" t="s">
        <v>11510</v>
      </c>
      <c r="O2747" s="93">
        <v>45864.487916666665</v>
      </c>
    </row>
    <row r="2748" spans="1:15" ht="22.5" customHeight="1">
      <c r="A2748" s="85">
        <v>766589657993298</v>
      </c>
      <c r="B2748" s="82" t="s">
        <v>10688</v>
      </c>
      <c r="C2748" s="82" t="s">
        <v>11511</v>
      </c>
      <c r="D2748" s="82" t="s">
        <v>11512</v>
      </c>
      <c r="E2748" s="82">
        <v>6285955053385</v>
      </c>
      <c r="F2748" s="92">
        <v>45863</v>
      </c>
      <c r="G2748" s="87">
        <v>958</v>
      </c>
      <c r="H2748" s="88">
        <v>14300</v>
      </c>
      <c r="I2748" s="89">
        <v>16</v>
      </c>
      <c r="J2748" s="90">
        <v>16016</v>
      </c>
      <c r="K2748" s="85">
        <v>3</v>
      </c>
      <c r="L2748" s="85">
        <v>341</v>
      </c>
      <c r="M2748" s="85">
        <v>0</v>
      </c>
      <c r="N2748" s="82" t="s">
        <v>11513</v>
      </c>
      <c r="O2748" s="93">
        <v>45864.446180555555</v>
      </c>
    </row>
    <row r="2749" spans="1:15" ht="22.5" customHeight="1">
      <c r="A2749" s="85">
        <v>766589657993298</v>
      </c>
      <c r="B2749" s="82" t="s">
        <v>10688</v>
      </c>
      <c r="C2749" s="82" t="s">
        <v>11488</v>
      </c>
      <c r="D2749" s="82" t="s">
        <v>11489</v>
      </c>
      <c r="E2749" s="82">
        <v>6285888590045</v>
      </c>
      <c r="F2749" s="92">
        <v>45863</v>
      </c>
      <c r="G2749" s="87">
        <v>341</v>
      </c>
      <c r="H2749" s="88">
        <v>44826.558265582658</v>
      </c>
      <c r="I2749" s="89">
        <v>14</v>
      </c>
      <c r="J2749" s="90">
        <v>16541</v>
      </c>
      <c r="K2749" s="85">
        <v>0</v>
      </c>
      <c r="L2749" s="85">
        <v>35</v>
      </c>
      <c r="M2749" s="85">
        <v>0</v>
      </c>
      <c r="N2749" s="82" t="s">
        <v>11490</v>
      </c>
      <c r="O2749" s="93">
        <v>45864.446203703701</v>
      </c>
    </row>
    <row r="2750" spans="1:15" ht="22.5" customHeight="1">
      <c r="A2750" s="85">
        <v>766589657993298</v>
      </c>
      <c r="B2750" s="82" t="s">
        <v>10688</v>
      </c>
      <c r="C2750" s="82" t="s">
        <v>11491</v>
      </c>
      <c r="D2750" s="82" t="s">
        <v>11492</v>
      </c>
      <c r="E2750" s="82">
        <v>6285268858846</v>
      </c>
      <c r="F2750" s="92">
        <v>45863</v>
      </c>
      <c r="G2750" s="87">
        <v>832</v>
      </c>
      <c r="H2750" s="88">
        <v>18074.921956295526</v>
      </c>
      <c r="I2750" s="89">
        <v>14</v>
      </c>
      <c r="J2750" s="90">
        <v>17370</v>
      </c>
      <c r="K2750" s="85">
        <v>1</v>
      </c>
      <c r="L2750" s="85">
        <v>173</v>
      </c>
      <c r="M2750" s="85">
        <v>0</v>
      </c>
      <c r="N2750" s="82" t="s">
        <v>11493</v>
      </c>
      <c r="O2750" s="93">
        <v>45864.487928240742</v>
      </c>
    </row>
    <row r="2751" spans="1:15" ht="22.5" customHeight="1">
      <c r="A2751" s="85">
        <v>766589657993298</v>
      </c>
      <c r="B2751" s="82" t="s">
        <v>10688</v>
      </c>
      <c r="C2751" s="82" t="s">
        <v>11455</v>
      </c>
      <c r="D2751" s="82" t="s">
        <v>11456</v>
      </c>
      <c r="E2751" s="82">
        <v>62895329361572</v>
      </c>
      <c r="F2751" s="92">
        <v>45863</v>
      </c>
      <c r="G2751" s="87">
        <v>313</v>
      </c>
      <c r="H2751" s="88">
        <v>54166.180758017486</v>
      </c>
      <c r="I2751" s="89">
        <v>5</v>
      </c>
      <c r="J2751" s="90">
        <v>18579</v>
      </c>
      <c r="K2751" s="85">
        <v>1</v>
      </c>
      <c r="L2751" s="85">
        <v>97</v>
      </c>
      <c r="M2751" s="85">
        <v>0</v>
      </c>
      <c r="N2751" s="82" t="s">
        <v>11457</v>
      </c>
      <c r="O2751" s="93">
        <v>45864.217002314814</v>
      </c>
    </row>
    <row r="2752" spans="1:15" ht="22.5" customHeight="1">
      <c r="A2752" s="85">
        <v>766589657993298</v>
      </c>
      <c r="B2752" s="82" t="s">
        <v>10688</v>
      </c>
      <c r="C2752" s="82" t="s">
        <v>11458</v>
      </c>
      <c r="D2752" s="82" t="s">
        <v>11459</v>
      </c>
      <c r="E2752" s="82">
        <v>6287821760177</v>
      </c>
      <c r="F2752" s="92">
        <v>45863</v>
      </c>
      <c r="G2752" s="87">
        <v>955</v>
      </c>
      <c r="H2752" s="88">
        <v>15511.607142857143</v>
      </c>
      <c r="I2752" s="89">
        <v>11</v>
      </c>
      <c r="J2752" s="90">
        <v>17373</v>
      </c>
      <c r="K2752" s="85">
        <v>1</v>
      </c>
      <c r="L2752" s="85">
        <v>386</v>
      </c>
      <c r="M2752" s="85">
        <v>0</v>
      </c>
      <c r="N2752" s="82" t="s">
        <v>11460</v>
      </c>
      <c r="O2752" s="93">
        <v>45864.550659722219</v>
      </c>
    </row>
    <row r="2753" spans="1:15" ht="22.5" customHeight="1">
      <c r="A2753" s="85">
        <v>766589657993298</v>
      </c>
      <c r="B2753" s="82" t="s">
        <v>10688</v>
      </c>
      <c r="C2753" s="82" t="s">
        <v>11461</v>
      </c>
      <c r="D2753" s="82" t="s">
        <v>11462</v>
      </c>
      <c r="E2753" s="82">
        <v>62882015555380</v>
      </c>
      <c r="F2753" s="92">
        <v>45863</v>
      </c>
      <c r="G2753" s="87">
        <v>738</v>
      </c>
      <c r="H2753" s="88">
        <v>20980.929678188317</v>
      </c>
      <c r="I2753" s="89">
        <v>18</v>
      </c>
      <c r="J2753" s="90">
        <v>17603</v>
      </c>
      <c r="K2753" s="85">
        <v>0</v>
      </c>
      <c r="L2753" s="85">
        <v>107</v>
      </c>
      <c r="M2753" s="85">
        <v>0</v>
      </c>
      <c r="N2753" s="82" t="s">
        <v>11463</v>
      </c>
      <c r="O2753" s="93">
        <v>45864.467129629629</v>
      </c>
    </row>
    <row r="2754" spans="1:15" ht="22.5" customHeight="1">
      <c r="A2754" s="85">
        <v>766589657993298</v>
      </c>
      <c r="B2754" s="82" t="s">
        <v>10688</v>
      </c>
      <c r="C2754" s="82" t="s">
        <v>11441</v>
      </c>
      <c r="D2754" s="82" t="s">
        <v>11442</v>
      </c>
      <c r="E2754" s="82">
        <v>6287734875393</v>
      </c>
      <c r="F2754" s="92">
        <v>45863</v>
      </c>
      <c r="G2754" s="87">
        <v>512</v>
      </c>
      <c r="H2754" s="88">
        <v>28756.567425569177</v>
      </c>
      <c r="I2754" s="89">
        <v>3</v>
      </c>
      <c r="J2754" s="90">
        <v>16420</v>
      </c>
      <c r="K2754" s="85">
        <v>0</v>
      </c>
      <c r="L2754" s="85">
        <v>147</v>
      </c>
      <c r="M2754" s="85">
        <v>0</v>
      </c>
      <c r="N2754" s="82" t="s">
        <v>11443</v>
      </c>
      <c r="O2754" s="93">
        <v>45864.508946759262</v>
      </c>
    </row>
    <row r="2755" spans="1:15" ht="22.5" customHeight="1">
      <c r="A2755" s="85">
        <v>766589657993298</v>
      </c>
      <c r="B2755" s="82" t="s">
        <v>10688</v>
      </c>
      <c r="C2755" s="82" t="s">
        <v>11411</v>
      </c>
      <c r="D2755" s="82" t="s">
        <v>2529</v>
      </c>
      <c r="E2755" s="82">
        <v>6287888068088</v>
      </c>
      <c r="F2755" s="92">
        <v>45863</v>
      </c>
      <c r="G2755" s="87">
        <v>205</v>
      </c>
      <c r="H2755" s="88">
        <v>84479.262672811063</v>
      </c>
      <c r="I2755" s="89">
        <v>5</v>
      </c>
      <c r="J2755" s="90">
        <v>18332</v>
      </c>
      <c r="K2755" s="85">
        <v>1</v>
      </c>
      <c r="L2755" s="85">
        <v>72</v>
      </c>
      <c r="M2755" s="85">
        <v>0</v>
      </c>
      <c r="N2755" s="82" t="s">
        <v>11412</v>
      </c>
      <c r="O2755" s="93">
        <v>45864.404224537036</v>
      </c>
    </row>
    <row r="2756" spans="1:15" ht="22.5" customHeight="1">
      <c r="A2756" s="85">
        <v>766589657993298</v>
      </c>
      <c r="B2756" s="82" t="s">
        <v>10688</v>
      </c>
      <c r="C2756" s="82" t="s">
        <v>11413</v>
      </c>
      <c r="D2756" s="82" t="s">
        <v>5697</v>
      </c>
      <c r="E2756" s="82">
        <v>6281385001244</v>
      </c>
      <c r="F2756" s="92">
        <v>45863</v>
      </c>
      <c r="G2756" s="87">
        <v>428</v>
      </c>
      <c r="H2756" s="88">
        <v>35509.513742071882</v>
      </c>
      <c r="I2756" s="89">
        <v>13</v>
      </c>
      <c r="J2756" s="90">
        <v>16796</v>
      </c>
      <c r="K2756" s="85">
        <v>2</v>
      </c>
      <c r="L2756" s="85">
        <v>114</v>
      </c>
      <c r="M2756" s="85">
        <v>0</v>
      </c>
      <c r="N2756" s="82" t="s">
        <v>11414</v>
      </c>
      <c r="O2756" s="93">
        <v>45864.467129629629</v>
      </c>
    </row>
    <row r="2757" spans="1:15" ht="22.5" customHeight="1">
      <c r="A2757" s="85">
        <v>766589657993298</v>
      </c>
      <c r="B2757" s="82" t="s">
        <v>10688</v>
      </c>
      <c r="C2757" s="82" t="s">
        <v>11415</v>
      </c>
      <c r="D2757" s="82" t="s">
        <v>11416</v>
      </c>
      <c r="E2757" s="82">
        <v>6281298551100</v>
      </c>
      <c r="F2757" s="92">
        <v>45863</v>
      </c>
      <c r="G2757" s="87">
        <v>212</v>
      </c>
      <c r="H2757" s="88">
        <v>72162.895927601814</v>
      </c>
      <c r="I2757" s="89">
        <v>7</v>
      </c>
      <c r="J2757" s="90">
        <v>15948</v>
      </c>
      <c r="K2757" s="85">
        <v>2</v>
      </c>
      <c r="L2757" s="85">
        <v>15</v>
      </c>
      <c r="M2757" s="85">
        <v>0</v>
      </c>
      <c r="N2757" s="82" t="s">
        <v>11417</v>
      </c>
      <c r="O2757" s="93">
        <v>45864.467118055552</v>
      </c>
    </row>
    <row r="2758" spans="1:15" ht="22.5" customHeight="1">
      <c r="A2758" s="85">
        <v>766589657993298</v>
      </c>
      <c r="B2758" s="82" t="s">
        <v>10688</v>
      </c>
      <c r="C2758" s="82" t="s">
        <v>11418</v>
      </c>
      <c r="D2758" s="82" t="s">
        <v>2480</v>
      </c>
      <c r="E2758" s="82">
        <v>6287856230745</v>
      </c>
      <c r="F2758" s="92">
        <v>45863</v>
      </c>
      <c r="G2758" s="87">
        <v>445</v>
      </c>
      <c r="H2758" s="88">
        <v>33389.002036659876</v>
      </c>
      <c r="I2758" s="89">
        <v>7</v>
      </c>
      <c r="J2758" s="90">
        <v>16394</v>
      </c>
      <c r="K2758" s="85">
        <v>1</v>
      </c>
      <c r="L2758" s="85">
        <v>88</v>
      </c>
      <c r="M2758" s="85">
        <v>0</v>
      </c>
      <c r="N2758" s="82" t="s">
        <v>11419</v>
      </c>
      <c r="O2758" s="93">
        <v>45864.446180555555</v>
      </c>
    </row>
    <row r="2759" spans="1:15" ht="22.5" customHeight="1">
      <c r="A2759" s="85">
        <v>766589657993298</v>
      </c>
      <c r="B2759" s="82" t="s">
        <v>10688</v>
      </c>
      <c r="C2759" s="82" t="s">
        <v>11381</v>
      </c>
      <c r="D2759" s="82" t="s">
        <v>2385</v>
      </c>
      <c r="E2759" s="82">
        <v>6281317170441</v>
      </c>
      <c r="F2759" s="92">
        <v>45863</v>
      </c>
      <c r="G2759" s="87">
        <v>445</v>
      </c>
      <c r="H2759" s="88">
        <v>36289.416846652268</v>
      </c>
      <c r="I2759" s="89">
        <v>19</v>
      </c>
      <c r="J2759" s="90">
        <v>16802</v>
      </c>
      <c r="K2759" s="85">
        <v>4</v>
      </c>
      <c r="L2759" s="85">
        <v>139</v>
      </c>
      <c r="M2759" s="85">
        <v>1</v>
      </c>
      <c r="N2759" s="82" t="s">
        <v>11382</v>
      </c>
      <c r="O2759" s="93">
        <v>45864.446168981478</v>
      </c>
    </row>
    <row r="2760" spans="1:15" ht="22.5" customHeight="1">
      <c r="A2760" s="85">
        <v>766589657993298</v>
      </c>
      <c r="B2760" s="82" t="s">
        <v>10688</v>
      </c>
      <c r="C2760" s="82" t="s">
        <v>11318</v>
      </c>
      <c r="D2760" s="82" t="s">
        <v>11365</v>
      </c>
      <c r="E2760" s="82">
        <v>6282310465999</v>
      </c>
      <c r="F2760" s="92">
        <v>45863</v>
      </c>
      <c r="G2760" s="87">
        <v>577</v>
      </c>
      <c r="H2760" s="88">
        <v>27748.837209302328</v>
      </c>
      <c r="I2760" s="89">
        <v>20</v>
      </c>
      <c r="J2760" s="90">
        <v>17898</v>
      </c>
      <c r="K2760" s="85">
        <v>1</v>
      </c>
      <c r="L2760" s="85">
        <v>136</v>
      </c>
      <c r="M2760" s="85">
        <v>1</v>
      </c>
      <c r="N2760" s="82" t="s">
        <v>11366</v>
      </c>
      <c r="O2760" s="93">
        <v>45864.467118055552</v>
      </c>
    </row>
    <row r="2761" spans="1:15" ht="22.5" customHeight="1">
      <c r="A2761" s="85">
        <v>766589657993298</v>
      </c>
      <c r="B2761" s="82" t="s">
        <v>10688</v>
      </c>
      <c r="C2761" s="82" t="s">
        <v>11264</v>
      </c>
      <c r="D2761" s="91" t="s">
        <v>1915</v>
      </c>
      <c r="E2761" s="82">
        <v>6281239874761</v>
      </c>
      <c r="F2761" s="92">
        <v>45863</v>
      </c>
      <c r="G2761" s="87">
        <v>428</v>
      </c>
      <c r="H2761" s="88">
        <v>31369.140625</v>
      </c>
      <c r="I2761" s="89">
        <v>4</v>
      </c>
      <c r="J2761" s="90">
        <v>16061</v>
      </c>
      <c r="K2761" s="85">
        <v>1</v>
      </c>
      <c r="L2761" s="85">
        <v>25</v>
      </c>
      <c r="M2761" s="85">
        <v>0</v>
      </c>
      <c r="N2761" s="82" t="s">
        <v>11265</v>
      </c>
      <c r="O2761" s="93">
        <v>45864.487916666665</v>
      </c>
    </row>
    <row r="2762" spans="1:15" ht="22.5" customHeight="1">
      <c r="A2762" s="85">
        <v>766589657993298</v>
      </c>
      <c r="B2762" s="82" t="s">
        <v>10688</v>
      </c>
      <c r="C2762" s="82" t="s">
        <v>11207</v>
      </c>
      <c r="D2762" s="82" t="s">
        <v>11208</v>
      </c>
      <c r="E2762" s="82">
        <v>6282111180648</v>
      </c>
      <c r="F2762" s="92">
        <v>45863</v>
      </c>
      <c r="G2762" s="87">
        <v>438</v>
      </c>
      <c r="H2762" s="88">
        <v>33438.631790744468</v>
      </c>
      <c r="I2762" s="89">
        <v>13</v>
      </c>
      <c r="J2762" s="90">
        <v>16619</v>
      </c>
      <c r="K2762" s="85">
        <v>0</v>
      </c>
      <c r="L2762" s="85">
        <v>63</v>
      </c>
      <c r="M2762" s="85">
        <v>0</v>
      </c>
      <c r="N2762" s="82" t="s">
        <v>11209</v>
      </c>
      <c r="O2762" s="93">
        <v>45864.487916666665</v>
      </c>
    </row>
    <row r="2763" spans="1:15" ht="22.5" customHeight="1">
      <c r="A2763" s="85">
        <v>766589657993298</v>
      </c>
      <c r="B2763" s="82" t="s">
        <v>10688</v>
      </c>
      <c r="C2763" s="82" t="s">
        <v>11103</v>
      </c>
      <c r="D2763" s="82" t="s">
        <v>11104</v>
      </c>
      <c r="E2763" s="82">
        <v>6282124027899</v>
      </c>
      <c r="F2763" s="92">
        <v>45863</v>
      </c>
      <c r="G2763" s="87">
        <v>2085</v>
      </c>
      <c r="H2763" s="88">
        <v>7741.6702726092599</v>
      </c>
      <c r="I2763" s="89">
        <v>28</v>
      </c>
      <c r="J2763" s="90">
        <v>17891</v>
      </c>
      <c r="K2763" s="85">
        <v>0</v>
      </c>
      <c r="L2763" s="85">
        <v>498</v>
      </c>
      <c r="M2763" s="85">
        <v>1</v>
      </c>
      <c r="N2763" s="82" t="s">
        <v>11105</v>
      </c>
      <c r="O2763" s="93">
        <v>45864.508946759262</v>
      </c>
    </row>
    <row r="2764" spans="1:15" ht="22.5" customHeight="1">
      <c r="A2764" s="85">
        <v>766589657993298</v>
      </c>
      <c r="B2764" s="82" t="s">
        <v>10688</v>
      </c>
      <c r="C2764" s="82" t="s">
        <v>11028</v>
      </c>
      <c r="D2764" s="82" t="s">
        <v>11029</v>
      </c>
      <c r="E2764" s="82">
        <v>6282338171577</v>
      </c>
      <c r="F2764" s="92">
        <v>45863</v>
      </c>
      <c r="G2764" s="87">
        <v>939</v>
      </c>
      <c r="H2764" s="88">
        <v>15699.056603773584</v>
      </c>
      <c r="I2764" s="89">
        <v>22</v>
      </c>
      <c r="J2764" s="90">
        <v>16641</v>
      </c>
      <c r="K2764" s="85">
        <v>4</v>
      </c>
      <c r="L2764" s="85">
        <v>324</v>
      </c>
      <c r="M2764" s="85">
        <v>0</v>
      </c>
      <c r="N2764" s="82" t="s">
        <v>11030</v>
      </c>
      <c r="O2764" s="93">
        <v>45864.487916666665</v>
      </c>
    </row>
    <row r="2765" spans="1:15" ht="22.5" customHeight="1">
      <c r="A2765" s="85">
        <v>766589657993298</v>
      </c>
      <c r="B2765" s="82" t="s">
        <v>10688</v>
      </c>
      <c r="C2765" s="82" t="s">
        <v>10885</v>
      </c>
      <c r="D2765" s="82" t="s">
        <v>906</v>
      </c>
      <c r="E2765" s="82">
        <v>6282183115806</v>
      </c>
      <c r="F2765" s="92">
        <v>45863</v>
      </c>
      <c r="G2765" s="87">
        <v>1240</v>
      </c>
      <c r="H2765" s="88">
        <v>14877.488514548239</v>
      </c>
      <c r="I2765" s="89">
        <v>31</v>
      </c>
      <c r="J2765" s="90">
        <v>19430</v>
      </c>
      <c r="K2765" s="85">
        <v>1</v>
      </c>
      <c r="L2765" s="85">
        <v>540</v>
      </c>
      <c r="M2765" s="85">
        <v>1</v>
      </c>
      <c r="N2765" s="82" t="s">
        <v>10886</v>
      </c>
      <c r="O2765" s="93">
        <v>45864.446180555555</v>
      </c>
    </row>
    <row r="2766" spans="1:15" ht="22.5" customHeight="1">
      <c r="A2766" s="85">
        <v>759724529202804</v>
      </c>
      <c r="B2766" s="82" t="s">
        <v>10621</v>
      </c>
      <c r="C2766" s="82" t="s">
        <v>11070</v>
      </c>
      <c r="D2766" s="82" t="s">
        <v>11071</v>
      </c>
      <c r="E2766" s="82">
        <v>6281246211381</v>
      </c>
      <c r="F2766" s="92">
        <v>45864</v>
      </c>
      <c r="G2766" s="87">
        <v>678</v>
      </c>
      <c r="H2766" s="88">
        <v>20990.679094540614</v>
      </c>
      <c r="I2766" s="89">
        <v>16</v>
      </c>
      <c r="J2766" s="90">
        <v>15764</v>
      </c>
      <c r="K2766" s="85">
        <v>2</v>
      </c>
      <c r="L2766" s="85">
        <v>74</v>
      </c>
      <c r="M2766" s="85">
        <v>0</v>
      </c>
      <c r="N2766" s="82" t="s">
        <v>11072</v>
      </c>
      <c r="O2766" s="93">
        <v>45865.75571759259</v>
      </c>
    </row>
    <row r="2767" spans="1:15" ht="22.5" customHeight="1">
      <c r="A2767" s="85">
        <v>759724529202804</v>
      </c>
      <c r="B2767" s="82" t="s">
        <v>10621</v>
      </c>
      <c r="C2767" s="82" t="s">
        <v>11016</v>
      </c>
      <c r="D2767" s="82" t="s">
        <v>1530</v>
      </c>
      <c r="E2767" s="82">
        <v>628111988553</v>
      </c>
      <c r="F2767" s="92">
        <v>45864</v>
      </c>
      <c r="G2767" s="87">
        <v>206</v>
      </c>
      <c r="H2767" s="88">
        <v>64817.796610169498</v>
      </c>
      <c r="I2767" s="89">
        <v>11</v>
      </c>
      <c r="J2767" s="90">
        <v>15297</v>
      </c>
      <c r="K2767" s="85">
        <v>0</v>
      </c>
      <c r="L2767" s="85">
        <v>0</v>
      </c>
      <c r="M2767" s="85">
        <v>0</v>
      </c>
      <c r="N2767" s="82" t="s">
        <v>11017</v>
      </c>
      <c r="O2767" s="93">
        <v>45865.651597222219</v>
      </c>
    </row>
    <row r="2768" spans="1:15" ht="22.5" customHeight="1">
      <c r="A2768" s="85">
        <v>759724529202804</v>
      </c>
      <c r="B2768" s="82" t="s">
        <v>10621</v>
      </c>
      <c r="C2768" s="82" t="s">
        <v>540</v>
      </c>
      <c r="D2768" s="82" t="s">
        <v>10755</v>
      </c>
      <c r="E2768" s="82">
        <v>6281335728695</v>
      </c>
      <c r="F2768" s="92">
        <v>45864</v>
      </c>
      <c r="G2768" s="87">
        <v>941</v>
      </c>
      <c r="H2768" s="88">
        <v>14533.039647577092</v>
      </c>
      <c r="I2768" s="89">
        <v>29</v>
      </c>
      <c r="J2768" s="90">
        <v>16495</v>
      </c>
      <c r="K2768" s="85">
        <v>3</v>
      </c>
      <c r="L2768" s="85">
        <v>91</v>
      </c>
      <c r="M2768" s="85">
        <v>1</v>
      </c>
      <c r="N2768" s="82" t="s">
        <v>10756</v>
      </c>
      <c r="O2768" s="93">
        <v>45865.651631944442</v>
      </c>
    </row>
    <row r="2769" spans="1:15" ht="22.5" customHeight="1">
      <c r="A2769" s="85">
        <v>174904221976312</v>
      </c>
      <c r="B2769" s="82" t="s">
        <v>10651</v>
      </c>
      <c r="C2769" s="82" t="s">
        <v>11545</v>
      </c>
      <c r="D2769" s="82" t="s">
        <v>3140</v>
      </c>
      <c r="E2769" s="82"/>
      <c r="F2769" s="92">
        <v>45864</v>
      </c>
      <c r="G2769" s="87">
        <v>3345</v>
      </c>
      <c r="H2769" s="88">
        <v>2369.4300518134714</v>
      </c>
      <c r="I2769" s="89">
        <v>37</v>
      </c>
      <c r="J2769" s="90">
        <v>9146</v>
      </c>
      <c r="K2769" s="85">
        <v>4</v>
      </c>
      <c r="L2769" s="85">
        <v>56</v>
      </c>
      <c r="M2769" s="85">
        <v>0</v>
      </c>
      <c r="N2769" s="82" t="s">
        <v>11546</v>
      </c>
      <c r="O2769" s="93">
        <v>45865.23065972222</v>
      </c>
    </row>
    <row r="2770" spans="1:15" ht="22.5" customHeight="1">
      <c r="A2770" s="85">
        <v>174904221976312</v>
      </c>
      <c r="B2770" s="82" t="s">
        <v>10651</v>
      </c>
      <c r="C2770" s="82" t="s">
        <v>11547</v>
      </c>
      <c r="D2770" s="82" t="s">
        <v>11548</v>
      </c>
      <c r="E2770" s="82">
        <v>6287846030252</v>
      </c>
      <c r="F2770" s="92">
        <v>45864</v>
      </c>
      <c r="G2770" s="87">
        <v>907</v>
      </c>
      <c r="H2770" s="88">
        <v>10704.868154158214</v>
      </c>
      <c r="I2770" s="89">
        <v>33</v>
      </c>
      <c r="J2770" s="90">
        <v>10555</v>
      </c>
      <c r="K2770" s="85">
        <v>4</v>
      </c>
      <c r="L2770" s="85">
        <v>63</v>
      </c>
      <c r="M2770" s="85">
        <v>1</v>
      </c>
      <c r="N2770" s="82" t="s">
        <v>11549</v>
      </c>
      <c r="O2770" s="93">
        <v>45865.589247685188</v>
      </c>
    </row>
    <row r="2771" spans="1:15" ht="22.5" customHeight="1">
      <c r="A2771" s="85">
        <v>174904221976312</v>
      </c>
      <c r="B2771" s="82" t="s">
        <v>10651</v>
      </c>
      <c r="C2771" s="82" t="s">
        <v>11550</v>
      </c>
      <c r="D2771" s="82" t="s">
        <v>11551</v>
      </c>
      <c r="E2771" s="82">
        <v>6281327457634</v>
      </c>
      <c r="F2771" s="92">
        <v>45864</v>
      </c>
      <c r="G2771" s="87">
        <v>484</v>
      </c>
      <c r="H2771" s="88">
        <v>21796.875</v>
      </c>
      <c r="I2771" s="89">
        <v>16</v>
      </c>
      <c r="J2771" s="90">
        <v>12555</v>
      </c>
      <c r="K2771" s="85">
        <v>4</v>
      </c>
      <c r="L2771" s="85">
        <v>37</v>
      </c>
      <c r="M2771" s="85">
        <v>0</v>
      </c>
      <c r="N2771" s="82" t="s">
        <v>11552</v>
      </c>
      <c r="O2771" s="93">
        <v>45865.693124999998</v>
      </c>
    </row>
    <row r="2772" spans="1:15" ht="22.5" customHeight="1">
      <c r="A2772" s="85">
        <v>174904221976312</v>
      </c>
      <c r="B2772" s="82" t="s">
        <v>10651</v>
      </c>
      <c r="C2772" s="82" t="s">
        <v>11553</v>
      </c>
      <c r="D2772" s="82" t="s">
        <v>11554</v>
      </c>
      <c r="E2772" s="82">
        <v>628113311777</v>
      </c>
      <c r="F2772" s="92">
        <v>45864</v>
      </c>
      <c r="G2772" s="87">
        <v>702</v>
      </c>
      <c r="H2772" s="88">
        <v>16299.261083743844</v>
      </c>
      <c r="I2772" s="89">
        <v>3</v>
      </c>
      <c r="J2772" s="90">
        <v>13235</v>
      </c>
      <c r="K2772" s="85">
        <v>0</v>
      </c>
      <c r="L2772" s="85">
        <v>25</v>
      </c>
      <c r="M2772" s="85">
        <v>0</v>
      </c>
      <c r="N2772" s="82" t="s">
        <v>11555</v>
      </c>
      <c r="O2772" s="93">
        <v>45865.672407407408</v>
      </c>
    </row>
    <row r="2773" spans="1:15" ht="22.5" customHeight="1">
      <c r="A2773" s="85">
        <v>174904221976312</v>
      </c>
      <c r="B2773" s="82" t="s">
        <v>10651</v>
      </c>
      <c r="C2773" s="82" t="s">
        <v>11556</v>
      </c>
      <c r="D2773" s="82" t="s">
        <v>11557</v>
      </c>
      <c r="E2773" s="82">
        <v>6281553075560</v>
      </c>
      <c r="F2773" s="92">
        <v>45864</v>
      </c>
      <c r="G2773" s="87">
        <v>697</v>
      </c>
      <c r="H2773" s="88">
        <v>13474.173553719009</v>
      </c>
      <c r="I2773" s="89">
        <v>21</v>
      </c>
      <c r="J2773" s="90">
        <v>13043</v>
      </c>
      <c r="K2773" s="85">
        <v>0</v>
      </c>
      <c r="L2773" s="85">
        <v>77</v>
      </c>
      <c r="M2773" s="85">
        <v>2</v>
      </c>
      <c r="N2773" s="82" t="s">
        <v>11558</v>
      </c>
      <c r="O2773" s="93">
        <v>45865.547731481478</v>
      </c>
    </row>
    <row r="2774" spans="1:15" ht="22.5" customHeight="1">
      <c r="A2774" s="85">
        <v>174904221976312</v>
      </c>
      <c r="B2774" s="82" t="s">
        <v>10651</v>
      </c>
      <c r="C2774" s="82" t="s">
        <v>11559</v>
      </c>
      <c r="D2774" s="82" t="s">
        <v>11560</v>
      </c>
      <c r="E2774" s="82">
        <v>6282333203355</v>
      </c>
      <c r="F2774" s="92">
        <v>45864</v>
      </c>
      <c r="G2774" s="87">
        <v>256</v>
      </c>
      <c r="H2774" s="88">
        <v>39794.96402877698</v>
      </c>
      <c r="I2774" s="89">
        <v>4</v>
      </c>
      <c r="J2774" s="90">
        <v>11063</v>
      </c>
      <c r="K2774" s="85">
        <v>1</v>
      </c>
      <c r="L2774" s="85">
        <v>13</v>
      </c>
      <c r="M2774" s="85">
        <v>0</v>
      </c>
      <c r="N2774" s="82" t="s">
        <v>11561</v>
      </c>
      <c r="O2774" s="93">
        <v>45865.672430555554</v>
      </c>
    </row>
    <row r="2775" spans="1:15" ht="22.5" customHeight="1">
      <c r="A2775" s="85">
        <v>174904221976312</v>
      </c>
      <c r="B2775" s="82" t="s">
        <v>10651</v>
      </c>
      <c r="C2775" s="82" t="s">
        <v>11531</v>
      </c>
      <c r="D2775" s="82" t="s">
        <v>2841</v>
      </c>
      <c r="E2775" s="82">
        <v>62811693222</v>
      </c>
      <c r="F2775" s="92">
        <v>45864</v>
      </c>
      <c r="G2775" s="87">
        <v>522</v>
      </c>
      <c r="H2775" s="88">
        <v>17628.398791540785</v>
      </c>
      <c r="I2775" s="89">
        <v>10</v>
      </c>
      <c r="J2775" s="90">
        <v>11670</v>
      </c>
      <c r="K2775" s="85">
        <v>1</v>
      </c>
      <c r="L2775" s="85">
        <v>0</v>
      </c>
      <c r="M2775" s="85">
        <v>0</v>
      </c>
      <c r="N2775" s="82" t="s">
        <v>11532</v>
      </c>
      <c r="O2775" s="93">
        <v>45865.672395833331</v>
      </c>
    </row>
    <row r="2776" spans="1:15" ht="22.5" customHeight="1">
      <c r="A2776" s="85">
        <v>174904221976312</v>
      </c>
      <c r="B2776" s="82" t="s">
        <v>10651</v>
      </c>
      <c r="C2776" s="82" t="s">
        <v>11533</v>
      </c>
      <c r="D2776" s="82" t="s">
        <v>11051</v>
      </c>
      <c r="E2776" s="82">
        <v>6285869122507</v>
      </c>
      <c r="F2776" s="92">
        <v>45864</v>
      </c>
      <c r="G2776" s="87">
        <v>645</v>
      </c>
      <c r="H2776" s="88">
        <v>19062.841530054644</v>
      </c>
      <c r="I2776" s="89">
        <v>25</v>
      </c>
      <c r="J2776" s="90">
        <v>13954</v>
      </c>
      <c r="K2776" s="85">
        <v>3</v>
      </c>
      <c r="L2776" s="85">
        <v>0</v>
      </c>
      <c r="M2776" s="85">
        <v>0</v>
      </c>
      <c r="N2776" s="82" t="s">
        <v>11534</v>
      </c>
      <c r="O2776" s="93">
        <v>45865.693136574075</v>
      </c>
    </row>
    <row r="2777" spans="1:15" ht="22.5" customHeight="1">
      <c r="A2777" s="85">
        <v>174904221976312</v>
      </c>
      <c r="B2777" s="82" t="s">
        <v>10651</v>
      </c>
      <c r="C2777" s="82" t="s">
        <v>11535</v>
      </c>
      <c r="D2777" s="82" t="s">
        <v>2969</v>
      </c>
      <c r="E2777" s="82">
        <v>6281286402030</v>
      </c>
      <c r="F2777" s="92">
        <v>45864</v>
      </c>
      <c r="G2777" s="87">
        <v>719</v>
      </c>
      <c r="H2777" s="88">
        <v>13705.50576184379</v>
      </c>
      <c r="I2777" s="89">
        <v>27</v>
      </c>
      <c r="J2777" s="90">
        <v>10704</v>
      </c>
      <c r="K2777" s="85">
        <v>1</v>
      </c>
      <c r="L2777" s="85">
        <v>3</v>
      </c>
      <c r="M2777" s="85">
        <v>0</v>
      </c>
      <c r="N2777" s="82" t="s">
        <v>11536</v>
      </c>
      <c r="O2777" s="93">
        <v>45865.589247685188</v>
      </c>
    </row>
    <row r="2778" spans="1:15" ht="22.5" customHeight="1">
      <c r="A2778" s="85">
        <v>174904221976312</v>
      </c>
      <c r="B2778" s="82" t="s">
        <v>10651</v>
      </c>
      <c r="C2778" s="82" t="s">
        <v>11537</v>
      </c>
      <c r="D2778" s="82" t="s">
        <v>2882</v>
      </c>
      <c r="E2778" s="82">
        <v>6285397990632</v>
      </c>
      <c r="F2778" s="92">
        <v>45864</v>
      </c>
      <c r="G2778" s="87">
        <v>522</v>
      </c>
      <c r="H2778" s="88">
        <v>21325.949367088608</v>
      </c>
      <c r="I2778" s="89">
        <v>19</v>
      </c>
      <c r="J2778" s="90">
        <v>13478</v>
      </c>
      <c r="K2778" s="85">
        <v>3</v>
      </c>
      <c r="L2778" s="85">
        <v>158</v>
      </c>
      <c r="M2778" s="85">
        <v>2</v>
      </c>
      <c r="N2778" s="82" t="s">
        <v>11538</v>
      </c>
      <c r="O2778" s="93">
        <v>45865.610034722224</v>
      </c>
    </row>
    <row r="2779" spans="1:15" ht="22.5" customHeight="1">
      <c r="A2779" s="85">
        <v>174904221976312</v>
      </c>
      <c r="B2779" s="82" t="s">
        <v>10651</v>
      </c>
      <c r="C2779" s="82" t="s">
        <v>11539</v>
      </c>
      <c r="D2779" s="82" t="s">
        <v>2754</v>
      </c>
      <c r="E2779" s="82">
        <v>6285186697099</v>
      </c>
      <c r="F2779" s="92">
        <v>45864</v>
      </c>
      <c r="G2779" s="87">
        <v>121</v>
      </c>
      <c r="H2779" s="88">
        <v>104206.3492063492</v>
      </c>
      <c r="I2779" s="89">
        <v>12</v>
      </c>
      <c r="J2779" s="90">
        <v>13130</v>
      </c>
      <c r="K2779" s="85">
        <v>1</v>
      </c>
      <c r="L2779" s="85">
        <v>0</v>
      </c>
      <c r="M2779" s="85">
        <v>0</v>
      </c>
      <c r="N2779" s="82" t="s">
        <v>11540</v>
      </c>
      <c r="O2779" s="93">
        <v>45865.693136574075</v>
      </c>
    </row>
    <row r="2780" spans="1:15" ht="22.5" customHeight="1">
      <c r="A2780" s="85">
        <v>174904221976312</v>
      </c>
      <c r="B2780" s="82" t="s">
        <v>10651</v>
      </c>
      <c r="C2780" s="82" t="s">
        <v>11514</v>
      </c>
      <c r="D2780" s="82" t="s">
        <v>11515</v>
      </c>
      <c r="E2780" s="82">
        <v>6289607006888</v>
      </c>
      <c r="F2780" s="92">
        <v>45864</v>
      </c>
      <c r="G2780" s="87">
        <v>338</v>
      </c>
      <c r="H2780" s="88">
        <v>33299.492385786798</v>
      </c>
      <c r="I2780" s="89">
        <v>6</v>
      </c>
      <c r="J2780" s="90">
        <v>13120</v>
      </c>
      <c r="K2780" s="85">
        <v>0</v>
      </c>
      <c r="L2780" s="85">
        <v>25</v>
      </c>
      <c r="M2780" s="85">
        <v>0</v>
      </c>
      <c r="N2780" s="82" t="s">
        <v>11516</v>
      </c>
      <c r="O2780" s="93">
        <v>45865.776597222219</v>
      </c>
    </row>
    <row r="2781" spans="1:15" ht="22.5" customHeight="1">
      <c r="A2781" s="85">
        <v>174904221976312</v>
      </c>
      <c r="B2781" s="82" t="s">
        <v>10651</v>
      </c>
      <c r="C2781" s="82" t="s">
        <v>11517</v>
      </c>
      <c r="D2781" s="82" t="s">
        <v>11518</v>
      </c>
      <c r="E2781" s="82">
        <v>6282133271189</v>
      </c>
      <c r="F2781" s="92">
        <v>45864</v>
      </c>
      <c r="G2781" s="87">
        <v>34</v>
      </c>
      <c r="H2781" s="88">
        <v>326950</v>
      </c>
      <c r="I2781" s="89">
        <v>0</v>
      </c>
      <c r="J2781" s="90">
        <v>13078</v>
      </c>
      <c r="K2781" s="85">
        <v>0</v>
      </c>
      <c r="L2781" s="85">
        <v>7</v>
      </c>
      <c r="M2781" s="85">
        <v>0</v>
      </c>
      <c r="N2781" s="82" t="s">
        <v>11519</v>
      </c>
      <c r="O2781" s="93">
        <v>45865.526516203703</v>
      </c>
    </row>
    <row r="2782" spans="1:15" ht="22.5" customHeight="1">
      <c r="A2782" s="85">
        <v>174904221976312</v>
      </c>
      <c r="B2782" s="82" t="s">
        <v>10651</v>
      </c>
      <c r="C2782" s="82" t="s">
        <v>11520</v>
      </c>
      <c r="D2782" s="82" t="s">
        <v>2776</v>
      </c>
      <c r="E2782" s="82">
        <v>6285657238556</v>
      </c>
      <c r="F2782" s="92">
        <v>45864</v>
      </c>
      <c r="G2782" s="87">
        <v>489</v>
      </c>
      <c r="H2782" s="88">
        <v>20929.392446633829</v>
      </c>
      <c r="I2782" s="89">
        <v>27</v>
      </c>
      <c r="J2782" s="90">
        <v>12746</v>
      </c>
      <c r="K2782" s="85">
        <v>4</v>
      </c>
      <c r="L2782" s="85">
        <v>173</v>
      </c>
      <c r="M2782" s="85">
        <v>1</v>
      </c>
      <c r="N2782" s="82" t="s">
        <v>11521</v>
      </c>
      <c r="O2782" s="93">
        <v>45865.714479166665</v>
      </c>
    </row>
    <row r="2783" spans="1:15" ht="22.5" customHeight="1">
      <c r="A2783" s="85">
        <v>174904221976312</v>
      </c>
      <c r="B2783" s="82" t="s">
        <v>10651</v>
      </c>
      <c r="C2783" s="82" t="s">
        <v>11494</v>
      </c>
      <c r="D2783" s="82" t="s">
        <v>11495</v>
      </c>
      <c r="E2783" s="82">
        <v>6285645050058</v>
      </c>
      <c r="F2783" s="92">
        <v>45864</v>
      </c>
      <c r="G2783" s="87">
        <v>923</v>
      </c>
      <c r="H2783" s="88">
        <v>11691.881918819188</v>
      </c>
      <c r="I2783" s="89">
        <v>28</v>
      </c>
      <c r="J2783" s="90">
        <v>12674</v>
      </c>
      <c r="K2783" s="85">
        <v>2</v>
      </c>
      <c r="L2783" s="85">
        <v>303</v>
      </c>
      <c r="M2783" s="85">
        <v>1</v>
      </c>
      <c r="N2783" s="82" t="s">
        <v>11496</v>
      </c>
      <c r="O2783" s="93">
        <v>45865.693136574075</v>
      </c>
    </row>
    <row r="2784" spans="1:15" ht="22.5" customHeight="1">
      <c r="A2784" s="85">
        <v>174904221976312</v>
      </c>
      <c r="B2784" s="82" t="s">
        <v>10651</v>
      </c>
      <c r="C2784" s="82" t="s">
        <v>11497</v>
      </c>
      <c r="D2784" s="82" t="s">
        <v>11498</v>
      </c>
      <c r="E2784" s="82">
        <v>6285267044893</v>
      </c>
      <c r="F2784" s="92">
        <v>45864</v>
      </c>
      <c r="G2784" s="87">
        <v>251</v>
      </c>
      <c r="H2784" s="88">
        <v>50105.07246376812</v>
      </c>
      <c r="I2784" s="89">
        <v>16</v>
      </c>
      <c r="J2784" s="90">
        <v>13829</v>
      </c>
      <c r="K2784" s="85">
        <v>2</v>
      </c>
      <c r="L2784" s="85">
        <v>105</v>
      </c>
      <c r="M2784" s="85">
        <v>0</v>
      </c>
      <c r="N2784" s="82" t="s">
        <v>11499</v>
      </c>
      <c r="O2784" s="93">
        <v>45865.589583333334</v>
      </c>
    </row>
    <row r="2785" spans="1:15" ht="22.5" customHeight="1">
      <c r="A2785" s="85">
        <v>174904221976312</v>
      </c>
      <c r="B2785" s="82" t="s">
        <v>10651</v>
      </c>
      <c r="C2785" s="82" t="s">
        <v>11500</v>
      </c>
      <c r="D2785" s="82" t="s">
        <v>2776</v>
      </c>
      <c r="E2785" s="82">
        <v>6285657238556</v>
      </c>
      <c r="F2785" s="92">
        <v>45864</v>
      </c>
      <c r="G2785" s="87">
        <v>546</v>
      </c>
      <c r="H2785" s="88">
        <v>21055.306427503736</v>
      </c>
      <c r="I2785" s="89">
        <v>23</v>
      </c>
      <c r="J2785" s="90">
        <v>14086</v>
      </c>
      <c r="K2785" s="85">
        <v>3</v>
      </c>
      <c r="L2785" s="85">
        <v>0</v>
      </c>
      <c r="M2785" s="85">
        <v>1</v>
      </c>
      <c r="N2785" s="82" t="s">
        <v>11501</v>
      </c>
      <c r="O2785" s="93">
        <v>45865.714490740742</v>
      </c>
    </row>
    <row r="2786" spans="1:15" ht="22.5" customHeight="1">
      <c r="A2786" s="85">
        <v>174904221976312</v>
      </c>
      <c r="B2786" s="82" t="s">
        <v>10651</v>
      </c>
      <c r="C2786" s="82" t="s">
        <v>11502</v>
      </c>
      <c r="D2786" s="82" t="s">
        <v>2801</v>
      </c>
      <c r="E2786" s="82">
        <v>6289524188028</v>
      </c>
      <c r="F2786" s="92">
        <v>45864</v>
      </c>
      <c r="G2786" s="87">
        <v>928</v>
      </c>
      <c r="H2786" s="88">
        <v>12596.026490066226</v>
      </c>
      <c r="I2786" s="89">
        <v>38</v>
      </c>
      <c r="J2786" s="90">
        <v>13314</v>
      </c>
      <c r="K2786" s="85">
        <v>4</v>
      </c>
      <c r="L2786" s="85">
        <v>367</v>
      </c>
      <c r="M2786" s="85">
        <v>0</v>
      </c>
      <c r="N2786" s="82" t="s">
        <v>11503</v>
      </c>
      <c r="O2786" s="93">
        <v>45865.818622685183</v>
      </c>
    </row>
    <row r="2787" spans="1:15" ht="22.5" customHeight="1">
      <c r="A2787" s="85">
        <v>174904221976312</v>
      </c>
      <c r="B2787" s="82" t="s">
        <v>10651</v>
      </c>
      <c r="C2787" s="82" t="s">
        <v>11504</v>
      </c>
      <c r="D2787" s="82" t="s">
        <v>2760</v>
      </c>
      <c r="E2787" s="82">
        <v>6285234005559</v>
      </c>
      <c r="F2787" s="92">
        <v>45864</v>
      </c>
      <c r="G2787" s="87">
        <v>1054</v>
      </c>
      <c r="H2787" s="88">
        <v>11314.616019818333</v>
      </c>
      <c r="I2787" s="89">
        <v>9</v>
      </c>
      <c r="J2787" s="90">
        <v>13702</v>
      </c>
      <c r="K2787" s="85">
        <v>1</v>
      </c>
      <c r="L2787" s="85">
        <v>3</v>
      </c>
      <c r="M2787" s="85">
        <v>0</v>
      </c>
      <c r="N2787" s="82" t="s">
        <v>11505</v>
      </c>
      <c r="O2787" s="93">
        <v>45865.630995370368</v>
      </c>
    </row>
    <row r="2788" spans="1:15" ht="22.5" customHeight="1">
      <c r="A2788" s="85">
        <v>174904221976312</v>
      </c>
      <c r="B2788" s="82" t="s">
        <v>10651</v>
      </c>
      <c r="C2788" s="82" t="s">
        <v>11506</v>
      </c>
      <c r="D2788" s="82" t="s">
        <v>2700</v>
      </c>
      <c r="E2788" s="82">
        <v>6282197248722</v>
      </c>
      <c r="F2788" s="92">
        <v>45864</v>
      </c>
      <c r="G2788" s="87">
        <v>754</v>
      </c>
      <c r="H2788" s="88">
        <v>19068.509615384617</v>
      </c>
      <c r="I2788" s="89">
        <v>24</v>
      </c>
      <c r="J2788" s="90">
        <v>15865</v>
      </c>
      <c r="K2788" s="85">
        <v>5</v>
      </c>
      <c r="L2788" s="85">
        <v>202</v>
      </c>
      <c r="M2788" s="85">
        <v>0</v>
      </c>
      <c r="N2788" s="82" t="s">
        <v>11507</v>
      </c>
      <c r="O2788" s="93">
        <v>45865.672407407408</v>
      </c>
    </row>
    <row r="2789" spans="1:15" ht="22.5" customHeight="1">
      <c r="A2789" s="85">
        <v>174904221976312</v>
      </c>
      <c r="B2789" s="82" t="s">
        <v>10651</v>
      </c>
      <c r="C2789" s="82" t="s">
        <v>11464</v>
      </c>
      <c r="D2789" s="82" t="s">
        <v>11465</v>
      </c>
      <c r="E2789" s="82">
        <v>62816904358</v>
      </c>
      <c r="F2789" s="92">
        <v>45864</v>
      </c>
      <c r="G2789" s="87">
        <v>246</v>
      </c>
      <c r="H2789" s="88">
        <v>48259.786476868328</v>
      </c>
      <c r="I2789" s="89">
        <v>12</v>
      </c>
      <c r="J2789" s="90">
        <v>13561</v>
      </c>
      <c r="K2789" s="85">
        <v>2</v>
      </c>
      <c r="L2789" s="85">
        <v>0</v>
      </c>
      <c r="M2789" s="85">
        <v>0</v>
      </c>
      <c r="N2789" s="82" t="s">
        <v>11466</v>
      </c>
      <c r="O2789" s="93">
        <v>45865.714467592596</v>
      </c>
    </row>
    <row r="2790" spans="1:15" ht="22.5" customHeight="1">
      <c r="A2790" s="85">
        <v>174904221976312</v>
      </c>
      <c r="B2790" s="82" t="s">
        <v>10651</v>
      </c>
      <c r="C2790" s="82" t="s">
        <v>11467</v>
      </c>
      <c r="D2790" s="82" t="s">
        <v>11468</v>
      </c>
      <c r="E2790" s="82">
        <v>6282169354443</v>
      </c>
      <c r="F2790" s="92">
        <v>45864</v>
      </c>
      <c r="G2790" s="87">
        <v>1872</v>
      </c>
      <c r="H2790" s="88">
        <v>7043.994068215522</v>
      </c>
      <c r="I2790" s="89">
        <v>74</v>
      </c>
      <c r="J2790" s="90">
        <v>14250</v>
      </c>
      <c r="K2790" s="85">
        <v>2</v>
      </c>
      <c r="L2790" s="85">
        <v>824</v>
      </c>
      <c r="M2790" s="85">
        <v>1</v>
      </c>
      <c r="N2790" s="82" t="s">
        <v>11469</v>
      </c>
      <c r="O2790" s="93">
        <v>45865.216944444444</v>
      </c>
    </row>
    <row r="2791" spans="1:15" ht="22.5" customHeight="1">
      <c r="A2791" s="85">
        <v>174904221976312</v>
      </c>
      <c r="B2791" s="82" t="s">
        <v>10651</v>
      </c>
      <c r="C2791" s="82" t="s">
        <v>11470</v>
      </c>
      <c r="D2791" s="82" t="s">
        <v>11471</v>
      </c>
      <c r="E2791" s="82">
        <v>6281225745133</v>
      </c>
      <c r="F2791" s="92">
        <v>45864</v>
      </c>
      <c r="G2791" s="87">
        <v>349</v>
      </c>
      <c r="H2791" s="88">
        <v>39037.234042553195</v>
      </c>
      <c r="I2791" s="89">
        <v>7</v>
      </c>
      <c r="J2791" s="90">
        <v>14678</v>
      </c>
      <c r="K2791" s="85">
        <v>2</v>
      </c>
      <c r="L2791" s="85">
        <v>175</v>
      </c>
      <c r="M2791" s="85">
        <v>0</v>
      </c>
      <c r="N2791" s="82" t="s">
        <v>11472</v>
      </c>
      <c r="O2791" s="93">
        <v>45865.735196759262</v>
      </c>
    </row>
    <row r="2792" spans="1:15" ht="22.5" customHeight="1">
      <c r="A2792" s="85">
        <v>174904221976312</v>
      </c>
      <c r="B2792" s="82" t="s">
        <v>10651</v>
      </c>
      <c r="C2792" s="82" t="s">
        <v>11473</v>
      </c>
      <c r="D2792" s="82" t="s">
        <v>2659</v>
      </c>
      <c r="E2792" s="82">
        <v>6287762707927</v>
      </c>
      <c r="F2792" s="92">
        <v>45864</v>
      </c>
      <c r="G2792" s="87">
        <v>405</v>
      </c>
      <c r="H2792" s="88">
        <v>36579.196217494085</v>
      </c>
      <c r="I2792" s="89">
        <v>14</v>
      </c>
      <c r="J2792" s="90">
        <v>15473</v>
      </c>
      <c r="K2792" s="85">
        <v>3</v>
      </c>
      <c r="L2792" s="85">
        <v>194</v>
      </c>
      <c r="M2792" s="85">
        <v>0</v>
      </c>
      <c r="N2792" s="82" t="s">
        <v>11474</v>
      </c>
      <c r="O2792" s="93">
        <v>45865.216956018521</v>
      </c>
    </row>
    <row r="2793" spans="1:15" ht="22.5" customHeight="1">
      <c r="A2793" s="85">
        <v>174904221976312</v>
      </c>
      <c r="B2793" s="82" t="s">
        <v>10651</v>
      </c>
      <c r="C2793" s="82" t="s">
        <v>11475</v>
      </c>
      <c r="D2793" s="82" t="s">
        <v>2708</v>
      </c>
      <c r="E2793" s="82">
        <v>6281219329853</v>
      </c>
      <c r="F2793" s="92">
        <v>45864</v>
      </c>
      <c r="G2793" s="87">
        <v>333</v>
      </c>
      <c r="H2793" s="88">
        <v>30592.783505154639</v>
      </c>
      <c r="I2793" s="89">
        <v>12</v>
      </c>
      <c r="J2793" s="90">
        <v>11870</v>
      </c>
      <c r="K2793" s="85">
        <v>1</v>
      </c>
      <c r="L2793" s="85">
        <v>110</v>
      </c>
      <c r="M2793" s="85">
        <v>1</v>
      </c>
      <c r="N2793" s="82" t="s">
        <v>11476</v>
      </c>
      <c r="O2793" s="93">
        <v>45865.631203703706</v>
      </c>
    </row>
    <row r="2794" spans="1:15" ht="22.5" customHeight="1">
      <c r="A2794" s="85">
        <v>174904221976312</v>
      </c>
      <c r="B2794" s="82" t="s">
        <v>10651</v>
      </c>
      <c r="C2794" s="82" t="s">
        <v>11477</v>
      </c>
      <c r="D2794" s="82" t="s">
        <v>11478</v>
      </c>
      <c r="E2794" s="82">
        <v>6283131677011</v>
      </c>
      <c r="F2794" s="92">
        <v>45864</v>
      </c>
      <c r="G2794" s="87">
        <v>757</v>
      </c>
      <c r="H2794" s="88">
        <v>15537.634408602151</v>
      </c>
      <c r="I2794" s="89">
        <v>42</v>
      </c>
      <c r="J2794" s="90">
        <v>14450</v>
      </c>
      <c r="K2794" s="85">
        <v>5</v>
      </c>
      <c r="L2794" s="85">
        <v>296</v>
      </c>
      <c r="M2794" s="85">
        <v>0</v>
      </c>
      <c r="N2794" s="82" t="s">
        <v>11479</v>
      </c>
      <c r="O2794" s="93">
        <v>45865.216944444444</v>
      </c>
    </row>
    <row r="2795" spans="1:15" ht="22.5" customHeight="1">
      <c r="A2795" s="85">
        <v>174904221976312</v>
      </c>
      <c r="B2795" s="82" t="s">
        <v>10651</v>
      </c>
      <c r="C2795" s="82" t="s">
        <v>11480</v>
      </c>
      <c r="D2795" s="82" t="s">
        <v>2729</v>
      </c>
      <c r="E2795" s="82">
        <v>6282123039124</v>
      </c>
      <c r="F2795" s="92">
        <v>45864</v>
      </c>
      <c r="G2795" s="87">
        <v>631</v>
      </c>
      <c r="H2795" s="88">
        <v>19327.493261455525</v>
      </c>
      <c r="I2795" s="89">
        <v>16</v>
      </c>
      <c r="J2795" s="90">
        <v>14341</v>
      </c>
      <c r="K2795" s="85">
        <v>0</v>
      </c>
      <c r="L2795" s="85">
        <v>0</v>
      </c>
      <c r="M2795" s="85">
        <v>0</v>
      </c>
      <c r="N2795" s="82" t="s">
        <v>11481</v>
      </c>
      <c r="O2795" s="93">
        <v>45865.216967592591</v>
      </c>
    </row>
    <row r="2796" spans="1:15" ht="22.5" customHeight="1">
      <c r="A2796" s="85">
        <v>174904221976312</v>
      </c>
      <c r="B2796" s="82" t="s">
        <v>10651</v>
      </c>
      <c r="C2796" s="82" t="s">
        <v>11482</v>
      </c>
      <c r="D2796" s="82" t="s">
        <v>11483</v>
      </c>
      <c r="E2796" s="82">
        <v>6285741977776</v>
      </c>
      <c r="F2796" s="92">
        <v>45864</v>
      </c>
      <c r="G2796" s="87">
        <v>296</v>
      </c>
      <c r="H2796" s="88">
        <v>40873.972602739726</v>
      </c>
      <c r="I2796" s="89">
        <v>16</v>
      </c>
      <c r="J2796" s="90">
        <v>14919</v>
      </c>
      <c r="K2796" s="85">
        <v>4</v>
      </c>
      <c r="L2796" s="85">
        <v>0</v>
      </c>
      <c r="M2796" s="85">
        <v>1</v>
      </c>
      <c r="N2796" s="82" t="s">
        <v>11484</v>
      </c>
      <c r="O2796" s="93">
        <v>45865.216967592591</v>
      </c>
    </row>
    <row r="2797" spans="1:15" ht="22.5" customHeight="1">
      <c r="A2797" s="85">
        <v>174904221976312</v>
      </c>
      <c r="B2797" s="82" t="s">
        <v>10651</v>
      </c>
      <c r="C2797" s="82" t="s">
        <v>11422</v>
      </c>
      <c r="D2797" s="82" t="s">
        <v>11145</v>
      </c>
      <c r="E2797" s="82">
        <v>6282128714101</v>
      </c>
      <c r="F2797" s="92">
        <v>45864</v>
      </c>
      <c r="G2797" s="87">
        <v>308</v>
      </c>
      <c r="H2797" s="88">
        <v>36768.617021276594</v>
      </c>
      <c r="I2797" s="89">
        <v>11</v>
      </c>
      <c r="J2797" s="90">
        <v>13825</v>
      </c>
      <c r="K2797" s="85">
        <v>0</v>
      </c>
      <c r="L2797" s="85">
        <v>59</v>
      </c>
      <c r="M2797" s="85">
        <v>0</v>
      </c>
      <c r="N2797" s="82" t="s">
        <v>11423</v>
      </c>
      <c r="O2797" s="93">
        <v>45865.589583333334</v>
      </c>
    </row>
    <row r="2798" spans="1:15" ht="22.5" customHeight="1">
      <c r="A2798" s="85">
        <v>174904221976312</v>
      </c>
      <c r="B2798" s="82" t="s">
        <v>10651</v>
      </c>
      <c r="C2798" s="82" t="s">
        <v>11427</v>
      </c>
      <c r="D2798" s="82" t="s">
        <v>11428</v>
      </c>
      <c r="E2798" s="82">
        <v>6285268101557</v>
      </c>
      <c r="F2798" s="92">
        <v>45864</v>
      </c>
      <c r="G2798" s="87">
        <v>866</v>
      </c>
      <c r="H2798" s="88">
        <v>14906.666666666666</v>
      </c>
      <c r="I2798" s="89">
        <v>12</v>
      </c>
      <c r="J2798" s="90">
        <v>13416</v>
      </c>
      <c r="K2798" s="85">
        <v>1</v>
      </c>
      <c r="L2798" s="85">
        <v>423</v>
      </c>
      <c r="M2798" s="85">
        <v>0</v>
      </c>
      <c r="N2798" s="82" t="s">
        <v>11429</v>
      </c>
      <c r="O2798" s="93">
        <v>45865.735185185185</v>
      </c>
    </row>
    <row r="2799" spans="1:15" ht="22.5" customHeight="1">
      <c r="A2799" s="85">
        <v>174904221976312</v>
      </c>
      <c r="B2799" s="82" t="s">
        <v>10651</v>
      </c>
      <c r="C2799" s="82" t="s">
        <v>11399</v>
      </c>
      <c r="D2799" s="82" t="s">
        <v>11400</v>
      </c>
      <c r="E2799" s="82">
        <v>6281933176790</v>
      </c>
      <c r="F2799" s="92">
        <v>45864</v>
      </c>
      <c r="G2799" s="87">
        <v>764</v>
      </c>
      <c r="H2799" s="88">
        <v>34758.50340136054</v>
      </c>
      <c r="I2799" s="89">
        <v>9</v>
      </c>
      <c r="J2799" s="90">
        <v>30657</v>
      </c>
      <c r="K2799" s="85">
        <v>2</v>
      </c>
      <c r="L2799" s="85">
        <v>39</v>
      </c>
      <c r="M2799" s="85">
        <v>0</v>
      </c>
      <c r="N2799" s="82" t="s">
        <v>11541</v>
      </c>
      <c r="O2799" s="93">
        <v>45864.915243055555</v>
      </c>
    </row>
    <row r="2800" spans="1:15" ht="22.5" customHeight="1">
      <c r="A2800" s="85">
        <v>174904221976312</v>
      </c>
      <c r="B2800" s="82" t="s">
        <v>10651</v>
      </c>
      <c r="C2800" s="82" t="s">
        <v>11402</v>
      </c>
      <c r="D2800" s="82" t="s">
        <v>11403</v>
      </c>
      <c r="E2800" s="82">
        <v>6283870060603</v>
      </c>
      <c r="F2800" s="92">
        <v>45864</v>
      </c>
      <c r="G2800" s="87">
        <v>2508</v>
      </c>
      <c r="H2800" s="88">
        <v>5239.3228164678721</v>
      </c>
      <c r="I2800" s="89">
        <v>60</v>
      </c>
      <c r="J2800" s="90">
        <v>13617</v>
      </c>
      <c r="K2800" s="85">
        <v>0</v>
      </c>
      <c r="L2800" s="85">
        <v>146</v>
      </c>
      <c r="M2800" s="85">
        <v>0</v>
      </c>
      <c r="N2800" s="82" t="s">
        <v>11404</v>
      </c>
      <c r="O2800" s="93">
        <v>45865.735185185185</v>
      </c>
    </row>
    <row r="2801" spans="1:15" ht="22.5" customHeight="1">
      <c r="A2801" s="85">
        <v>174904221976312</v>
      </c>
      <c r="B2801" s="82" t="s">
        <v>10651</v>
      </c>
      <c r="C2801" s="82" t="s">
        <v>11325</v>
      </c>
      <c r="D2801" s="82" t="s">
        <v>2274</v>
      </c>
      <c r="E2801" s="82">
        <v>6281316839343</v>
      </c>
      <c r="F2801" s="92">
        <v>45864</v>
      </c>
      <c r="G2801" s="87">
        <v>1615</v>
      </c>
      <c r="H2801" s="88">
        <v>7753.1939605110338</v>
      </c>
      <c r="I2801" s="89">
        <v>49</v>
      </c>
      <c r="J2801" s="90">
        <v>13351</v>
      </c>
      <c r="K2801" s="85">
        <v>9</v>
      </c>
      <c r="L2801" s="85">
        <v>302</v>
      </c>
      <c r="M2801" s="85">
        <v>0</v>
      </c>
      <c r="N2801" s="82" t="s">
        <v>11344</v>
      </c>
      <c r="O2801" s="93">
        <v>45865.610046296293</v>
      </c>
    </row>
    <row r="2802" spans="1:15" ht="22.5" customHeight="1">
      <c r="A2802" s="85">
        <v>174904221976312</v>
      </c>
      <c r="B2802" s="82" t="s">
        <v>10651</v>
      </c>
      <c r="C2802" s="82" t="s">
        <v>11309</v>
      </c>
      <c r="D2802" s="82" t="s">
        <v>11350</v>
      </c>
      <c r="E2802" s="82">
        <v>6281229745253</v>
      </c>
      <c r="F2802" s="92">
        <v>45864</v>
      </c>
      <c r="G2802" s="87">
        <v>165</v>
      </c>
      <c r="H2802" s="88">
        <v>81397.849462365586</v>
      </c>
      <c r="I2802" s="89">
        <v>13</v>
      </c>
      <c r="J2802" s="90">
        <v>15140</v>
      </c>
      <c r="K2802" s="85">
        <v>1</v>
      </c>
      <c r="L2802" s="85">
        <v>23</v>
      </c>
      <c r="M2802" s="85">
        <v>0</v>
      </c>
      <c r="N2802" s="82" t="s">
        <v>11351</v>
      </c>
      <c r="O2802" s="93">
        <v>45865.630960648145</v>
      </c>
    </row>
    <row r="2803" spans="1:15" ht="22.5" customHeight="1">
      <c r="A2803" s="85">
        <v>174904221976312</v>
      </c>
      <c r="B2803" s="82" t="s">
        <v>10651</v>
      </c>
      <c r="C2803" s="82" t="s">
        <v>11291</v>
      </c>
      <c r="D2803" s="82" t="s">
        <v>11292</v>
      </c>
      <c r="E2803" s="82">
        <v>6283183643221</v>
      </c>
      <c r="F2803" s="92">
        <v>45864</v>
      </c>
      <c r="G2803" s="87">
        <v>100</v>
      </c>
      <c r="H2803" s="88">
        <v>115532.71028037384</v>
      </c>
      <c r="I2803" s="89">
        <v>6</v>
      </c>
      <c r="J2803" s="90">
        <v>12362</v>
      </c>
      <c r="K2803" s="85">
        <v>1</v>
      </c>
      <c r="L2803" s="85">
        <v>44</v>
      </c>
      <c r="M2803" s="85">
        <v>0</v>
      </c>
      <c r="N2803" s="82" t="s">
        <v>11293</v>
      </c>
      <c r="O2803" s="93">
        <v>45865.505868055552</v>
      </c>
    </row>
    <row r="2804" spans="1:15" ht="22.5" customHeight="1">
      <c r="A2804" s="85">
        <v>174904221976312</v>
      </c>
      <c r="B2804" s="82" t="s">
        <v>10651</v>
      </c>
      <c r="C2804" s="82" t="s">
        <v>11213</v>
      </c>
      <c r="D2804" s="82" t="s">
        <v>2022</v>
      </c>
      <c r="E2804" s="82">
        <v>6285274759862</v>
      </c>
      <c r="F2804" s="92">
        <v>45864</v>
      </c>
      <c r="G2804" s="87">
        <v>1240</v>
      </c>
      <c r="H2804" s="88">
        <v>11085.218702865761</v>
      </c>
      <c r="I2804" s="89">
        <v>44</v>
      </c>
      <c r="J2804" s="90">
        <v>14699</v>
      </c>
      <c r="K2804" s="85">
        <v>5</v>
      </c>
      <c r="L2804" s="85">
        <v>249</v>
      </c>
      <c r="M2804" s="85">
        <v>0</v>
      </c>
      <c r="N2804" s="82" t="s">
        <v>11214</v>
      </c>
      <c r="O2804" s="93">
        <v>45865.630983796298</v>
      </c>
    </row>
    <row r="2805" spans="1:15" ht="22.5" customHeight="1">
      <c r="A2805" s="85">
        <v>174904221976312</v>
      </c>
      <c r="B2805" s="82" t="s">
        <v>10651</v>
      </c>
      <c r="C2805" s="82" t="s">
        <v>11225</v>
      </c>
      <c r="D2805" s="82" t="s">
        <v>11226</v>
      </c>
      <c r="E2805" s="82">
        <v>6281240144744</v>
      </c>
      <c r="F2805" s="92">
        <v>45864</v>
      </c>
      <c r="G2805" s="87">
        <v>1075</v>
      </c>
      <c r="H2805" s="88">
        <v>9779.5918367346931</v>
      </c>
      <c r="I2805" s="89">
        <v>18</v>
      </c>
      <c r="J2805" s="90">
        <v>11980</v>
      </c>
      <c r="K2805" s="85">
        <v>3</v>
      </c>
      <c r="L2805" s="85">
        <v>147</v>
      </c>
      <c r="M2805" s="85">
        <v>0</v>
      </c>
      <c r="N2805" s="82" t="s">
        <v>11227</v>
      </c>
      <c r="O2805" s="93">
        <v>45865.672430555554</v>
      </c>
    </row>
    <row r="2806" spans="1:15" ht="22.5" customHeight="1">
      <c r="A2806" s="85">
        <v>174904221976312</v>
      </c>
      <c r="B2806" s="82" t="s">
        <v>10651</v>
      </c>
      <c r="C2806" s="82" t="s">
        <v>11144</v>
      </c>
      <c r="D2806" s="82" t="s">
        <v>11145</v>
      </c>
      <c r="E2806" s="82">
        <v>6282128714101</v>
      </c>
      <c r="F2806" s="92">
        <v>45864</v>
      </c>
      <c r="G2806" s="87">
        <v>266</v>
      </c>
      <c r="H2806" s="88">
        <v>47732.203389830509</v>
      </c>
      <c r="I2806" s="89">
        <v>4</v>
      </c>
      <c r="J2806" s="90">
        <v>14081</v>
      </c>
      <c r="K2806" s="85">
        <v>2</v>
      </c>
      <c r="L2806" s="85">
        <v>34</v>
      </c>
      <c r="M2806" s="85">
        <v>0</v>
      </c>
      <c r="N2806" s="82" t="s">
        <v>11146</v>
      </c>
      <c r="O2806" s="93">
        <v>45865.589606481481</v>
      </c>
    </row>
    <row r="2807" spans="1:15" ht="22.5" customHeight="1">
      <c r="A2807" s="85">
        <v>174904221976312</v>
      </c>
      <c r="B2807" s="82" t="s">
        <v>10651</v>
      </c>
      <c r="C2807" s="82" t="s">
        <v>11153</v>
      </c>
      <c r="D2807" s="82" t="s">
        <v>11154</v>
      </c>
      <c r="E2807" s="82">
        <v>6285338137835</v>
      </c>
      <c r="F2807" s="92">
        <v>45864</v>
      </c>
      <c r="G2807" s="87">
        <v>335</v>
      </c>
      <c r="H2807" s="88">
        <v>43329.015544041453</v>
      </c>
      <c r="I2807" s="89">
        <v>8</v>
      </c>
      <c r="J2807" s="90">
        <v>16725</v>
      </c>
      <c r="K2807" s="85">
        <v>1</v>
      </c>
      <c r="L2807" s="85">
        <v>0</v>
      </c>
      <c r="M2807" s="85">
        <v>0</v>
      </c>
      <c r="N2807" s="82" t="s">
        <v>11155</v>
      </c>
      <c r="O2807" s="93">
        <v>45865.589618055557</v>
      </c>
    </row>
    <row r="2808" spans="1:15" ht="22.5" customHeight="1">
      <c r="A2808" s="85">
        <v>174904221976312</v>
      </c>
      <c r="B2808" s="82" t="s">
        <v>10651</v>
      </c>
      <c r="C2808" s="82" t="s">
        <v>10943</v>
      </c>
      <c r="D2808" s="82" t="s">
        <v>10944</v>
      </c>
      <c r="E2808" s="82">
        <v>6285240694097</v>
      </c>
      <c r="F2808" s="92">
        <v>45864</v>
      </c>
      <c r="G2808" s="87">
        <v>718</v>
      </c>
      <c r="H2808" s="88">
        <v>16472.832369942196</v>
      </c>
      <c r="I2808" s="89">
        <v>34</v>
      </c>
      <c r="J2808" s="90">
        <v>14249</v>
      </c>
      <c r="K2808" s="85">
        <v>5</v>
      </c>
      <c r="L2808" s="85">
        <v>49</v>
      </c>
      <c r="M2808" s="85">
        <v>0</v>
      </c>
      <c r="N2808" s="82" t="s">
        <v>10945</v>
      </c>
      <c r="O2808" s="93">
        <v>45865.506180555552</v>
      </c>
    </row>
    <row r="2809" spans="1:15" ht="22.5" customHeight="1">
      <c r="A2809" s="85">
        <v>174904221976312</v>
      </c>
      <c r="B2809" s="82" t="s">
        <v>10651</v>
      </c>
      <c r="C2809" s="82" t="s">
        <v>10853</v>
      </c>
      <c r="D2809" s="82" t="s">
        <v>10854</v>
      </c>
      <c r="E2809" s="82">
        <v>6281393958199</v>
      </c>
      <c r="F2809" s="92">
        <v>45864</v>
      </c>
      <c r="G2809" s="87">
        <v>538</v>
      </c>
      <c r="H2809" s="88">
        <v>23215.619694397283</v>
      </c>
      <c r="I2809" s="89">
        <v>20</v>
      </c>
      <c r="J2809" s="90">
        <v>13674</v>
      </c>
      <c r="K2809" s="85">
        <v>0</v>
      </c>
      <c r="L2809" s="85">
        <v>199</v>
      </c>
      <c r="M2809" s="85">
        <v>0</v>
      </c>
      <c r="N2809" s="82" t="s">
        <v>10855</v>
      </c>
      <c r="O2809" s="93">
        <v>45865.714479166665</v>
      </c>
    </row>
    <row r="2810" spans="1:15" ht="22.5" customHeight="1">
      <c r="A2810" s="85">
        <v>174904221976312</v>
      </c>
      <c r="B2810" s="82" t="s">
        <v>10651</v>
      </c>
      <c r="C2810" s="82" t="s">
        <v>818</v>
      </c>
      <c r="D2810" s="82" t="s">
        <v>812</v>
      </c>
      <c r="E2810" s="82">
        <v>6287858585808</v>
      </c>
      <c r="F2810" s="92">
        <v>45864</v>
      </c>
      <c r="G2810" s="87">
        <v>765</v>
      </c>
      <c r="H2810" s="88">
        <v>16759.820426487091</v>
      </c>
      <c r="I2810" s="89">
        <v>14</v>
      </c>
      <c r="J2810" s="90">
        <v>14933</v>
      </c>
      <c r="K2810" s="85">
        <v>0</v>
      </c>
      <c r="L2810" s="85">
        <v>197</v>
      </c>
      <c r="M2810" s="85">
        <v>0</v>
      </c>
      <c r="N2810" s="82" t="s">
        <v>10831</v>
      </c>
      <c r="O2810" s="93">
        <v>45865.630960648145</v>
      </c>
    </row>
    <row r="2811" spans="1:15" ht="22.5" customHeight="1">
      <c r="A2811" s="85">
        <v>174904221976312</v>
      </c>
      <c r="B2811" s="82" t="s">
        <v>10651</v>
      </c>
      <c r="C2811" s="82" t="s">
        <v>11078</v>
      </c>
      <c r="D2811" s="82" t="s">
        <v>3140</v>
      </c>
      <c r="E2811" s="82"/>
      <c r="F2811" s="92">
        <v>45864</v>
      </c>
      <c r="G2811" s="87">
        <v>5325</v>
      </c>
      <c r="H2811" s="88">
        <v>2499.5024875621889</v>
      </c>
      <c r="I2811" s="89">
        <v>97</v>
      </c>
      <c r="J2811" s="90">
        <v>15072</v>
      </c>
      <c r="K2811" s="85">
        <v>3</v>
      </c>
      <c r="L2811" s="85">
        <v>0</v>
      </c>
      <c r="M2811" s="85">
        <v>0</v>
      </c>
      <c r="N2811" s="82" t="s">
        <v>11079</v>
      </c>
      <c r="O2811" s="93">
        <v>45865.50582175926</v>
      </c>
    </row>
    <row r="2812" spans="1:15" ht="22.5" customHeight="1">
      <c r="A2812" s="85">
        <v>174904221976312</v>
      </c>
      <c r="B2812" s="82" t="s">
        <v>10651</v>
      </c>
      <c r="C2812" s="82" t="s">
        <v>11485</v>
      </c>
      <c r="D2812" s="82" t="s">
        <v>11486</v>
      </c>
      <c r="E2812" s="82">
        <v>6281378757554</v>
      </c>
      <c r="F2812" s="92">
        <v>45864</v>
      </c>
      <c r="G2812" s="87">
        <v>241</v>
      </c>
      <c r="H2812" s="88">
        <v>38563.51791530945</v>
      </c>
      <c r="I2812" s="89">
        <v>3</v>
      </c>
      <c r="J2812" s="90">
        <v>11839</v>
      </c>
      <c r="K2812" s="85">
        <v>1</v>
      </c>
      <c r="L2812" s="85">
        <v>56</v>
      </c>
      <c r="M2812" s="85">
        <v>0</v>
      </c>
      <c r="N2812" s="82" t="s">
        <v>11487</v>
      </c>
      <c r="O2812" s="93">
        <v>45865.610046296293</v>
      </c>
    </row>
    <row r="2813" spans="1:15" ht="22.5" customHeight="1">
      <c r="A2813" s="85">
        <v>174904221976312</v>
      </c>
      <c r="B2813" s="82" t="s">
        <v>10651</v>
      </c>
      <c r="C2813" s="82" t="s">
        <v>10833</v>
      </c>
      <c r="D2813" s="82" t="s">
        <v>10834</v>
      </c>
      <c r="E2813" s="82">
        <v>6282242925264</v>
      </c>
      <c r="F2813" s="92">
        <v>45864</v>
      </c>
      <c r="G2813" s="87">
        <v>1758</v>
      </c>
      <c r="H2813" s="88">
        <v>7711.7248062015506</v>
      </c>
      <c r="I2813" s="89">
        <v>56</v>
      </c>
      <c r="J2813" s="90">
        <v>15917</v>
      </c>
      <c r="K2813" s="85">
        <v>2</v>
      </c>
      <c r="L2813" s="85">
        <v>554</v>
      </c>
      <c r="M2813" s="85">
        <v>0</v>
      </c>
      <c r="N2813" s="82" t="s">
        <v>10835</v>
      </c>
      <c r="O2813" s="93">
        <v>45865.52652777778</v>
      </c>
    </row>
    <row r="2814" spans="1:15" ht="22.5" customHeight="1">
      <c r="A2814" s="85">
        <v>766589657993298</v>
      </c>
      <c r="B2814" s="82" t="s">
        <v>10688</v>
      </c>
      <c r="C2814" s="82" t="s">
        <v>11562</v>
      </c>
      <c r="D2814" s="82" t="s">
        <v>11563</v>
      </c>
      <c r="E2814" s="82">
        <v>6281258553437</v>
      </c>
      <c r="F2814" s="92">
        <v>45864</v>
      </c>
      <c r="G2814" s="87">
        <v>641</v>
      </c>
      <c r="H2814" s="88">
        <v>17622.085889570553</v>
      </c>
      <c r="I2814" s="89">
        <v>18</v>
      </c>
      <c r="J2814" s="90">
        <v>14362</v>
      </c>
      <c r="K2814" s="85">
        <v>4</v>
      </c>
      <c r="L2814" s="85">
        <v>227</v>
      </c>
      <c r="M2814" s="85">
        <v>0</v>
      </c>
      <c r="N2814" s="82" t="s">
        <v>11564</v>
      </c>
      <c r="O2814" s="93">
        <v>45865.759062500001</v>
      </c>
    </row>
    <row r="2815" spans="1:15" ht="22.5" customHeight="1">
      <c r="A2815" s="85">
        <v>766589657993298</v>
      </c>
      <c r="B2815" s="82" t="s">
        <v>10688</v>
      </c>
      <c r="C2815" s="82" t="s">
        <v>11542</v>
      </c>
      <c r="D2815" s="82" t="s">
        <v>11543</v>
      </c>
      <c r="E2815" s="82">
        <v>6285921009099</v>
      </c>
      <c r="F2815" s="92">
        <v>45864</v>
      </c>
      <c r="G2815" s="87">
        <v>354</v>
      </c>
      <c r="H2815" s="88">
        <v>40128.712871287127</v>
      </c>
      <c r="I2815" s="89">
        <v>6</v>
      </c>
      <c r="J2815" s="90">
        <v>16212</v>
      </c>
      <c r="K2815" s="85">
        <v>0</v>
      </c>
      <c r="L2815" s="85">
        <v>42</v>
      </c>
      <c r="M2815" s="85">
        <v>0</v>
      </c>
      <c r="N2815" s="82" t="s">
        <v>11544</v>
      </c>
      <c r="O2815" s="93">
        <v>45865.737939814811</v>
      </c>
    </row>
    <row r="2816" spans="1:15" ht="22.5" customHeight="1">
      <c r="A2816" s="85">
        <v>766589657993298</v>
      </c>
      <c r="B2816" s="82" t="s">
        <v>10688</v>
      </c>
      <c r="C2816" s="82" t="s">
        <v>11522</v>
      </c>
      <c r="D2816" s="82" t="s">
        <v>2954</v>
      </c>
      <c r="E2816" s="82">
        <v>6282299236521</v>
      </c>
      <c r="F2816" s="92">
        <v>45864</v>
      </c>
      <c r="G2816" s="87">
        <v>196</v>
      </c>
      <c r="H2816" s="88">
        <v>73176.724137931029</v>
      </c>
      <c r="I2816" s="89">
        <v>5</v>
      </c>
      <c r="J2816" s="90">
        <v>16977</v>
      </c>
      <c r="K2816" s="85">
        <v>2</v>
      </c>
      <c r="L2816" s="85">
        <v>19</v>
      </c>
      <c r="M2816" s="85">
        <v>0</v>
      </c>
      <c r="N2816" s="82" t="s">
        <v>11523</v>
      </c>
      <c r="O2816" s="93">
        <v>45865.717118055552</v>
      </c>
    </row>
    <row r="2817" spans="1:15" ht="22.5" customHeight="1">
      <c r="A2817" s="85">
        <v>766589657993298</v>
      </c>
      <c r="B2817" s="82" t="s">
        <v>10688</v>
      </c>
      <c r="C2817" s="82" t="s">
        <v>11524</v>
      </c>
      <c r="D2817" s="91" t="s">
        <v>2827</v>
      </c>
      <c r="E2817" s="82"/>
      <c r="F2817" s="92">
        <v>45864</v>
      </c>
      <c r="G2817" s="87">
        <v>242</v>
      </c>
      <c r="H2817" s="88">
        <v>67820.224719101127</v>
      </c>
      <c r="I2817" s="89">
        <v>3</v>
      </c>
      <c r="J2817" s="90">
        <v>18108</v>
      </c>
      <c r="K2817" s="85">
        <v>0</v>
      </c>
      <c r="L2817" s="85">
        <v>87</v>
      </c>
      <c r="M2817" s="85">
        <v>0</v>
      </c>
      <c r="N2817" s="82" t="s">
        <v>11525</v>
      </c>
      <c r="O2817" s="93">
        <v>45865.717164351852</v>
      </c>
    </row>
    <row r="2818" spans="1:15" ht="22.5" customHeight="1">
      <c r="A2818" s="85">
        <v>766589657993298</v>
      </c>
      <c r="B2818" s="82" t="s">
        <v>10688</v>
      </c>
      <c r="C2818" s="82" t="s">
        <v>11526</v>
      </c>
      <c r="D2818" s="82" t="s">
        <v>350</v>
      </c>
      <c r="E2818" s="82">
        <v>6285281921180</v>
      </c>
      <c r="F2818" s="92">
        <v>45864</v>
      </c>
      <c r="G2818" s="87">
        <v>435</v>
      </c>
      <c r="H2818" s="88">
        <v>39175.946547884188</v>
      </c>
      <c r="I2818" s="89">
        <v>7</v>
      </c>
      <c r="J2818" s="90">
        <v>17590</v>
      </c>
      <c r="K2818" s="85">
        <v>1</v>
      </c>
      <c r="L2818" s="85">
        <v>151</v>
      </c>
      <c r="M2818" s="85">
        <v>0</v>
      </c>
      <c r="N2818" s="82" t="s">
        <v>11527</v>
      </c>
      <c r="O2818" s="93">
        <v>45865.675254629627</v>
      </c>
    </row>
    <row r="2819" spans="1:15" ht="22.5" customHeight="1">
      <c r="A2819" s="85">
        <v>766589657993298</v>
      </c>
      <c r="B2819" s="82" t="s">
        <v>10688</v>
      </c>
      <c r="C2819" s="82" t="s">
        <v>11528</v>
      </c>
      <c r="D2819" s="82" t="s">
        <v>11529</v>
      </c>
      <c r="E2819" s="82">
        <v>6285778471007</v>
      </c>
      <c r="F2819" s="92">
        <v>45864</v>
      </c>
      <c r="G2819" s="87">
        <v>786</v>
      </c>
      <c r="H2819" s="88">
        <v>19184.971098265898</v>
      </c>
      <c r="I2819" s="89">
        <v>19</v>
      </c>
      <c r="J2819" s="90">
        <v>16595</v>
      </c>
      <c r="K2819" s="85">
        <v>2</v>
      </c>
      <c r="L2819" s="85">
        <v>309</v>
      </c>
      <c r="M2819" s="85">
        <v>0</v>
      </c>
      <c r="N2819" s="82" t="s">
        <v>11530</v>
      </c>
      <c r="O2819" s="93">
        <v>45865.592002314814</v>
      </c>
    </row>
    <row r="2820" spans="1:15" ht="22.5" customHeight="1">
      <c r="A2820" s="85">
        <v>766589657993298</v>
      </c>
      <c r="B2820" s="82" t="s">
        <v>10688</v>
      </c>
      <c r="C2820" s="82" t="s">
        <v>11508</v>
      </c>
      <c r="D2820" s="82" t="s">
        <v>11509</v>
      </c>
      <c r="E2820" s="82">
        <v>6281325757271</v>
      </c>
      <c r="F2820" s="92">
        <v>45864</v>
      </c>
      <c r="G2820" s="87">
        <v>400</v>
      </c>
      <c r="H2820" s="88">
        <v>37473.799126637554</v>
      </c>
      <c r="I2820" s="89">
        <v>5</v>
      </c>
      <c r="J2820" s="90">
        <v>17163</v>
      </c>
      <c r="K2820" s="85">
        <v>0</v>
      </c>
      <c r="L2820" s="85">
        <v>136</v>
      </c>
      <c r="M2820" s="85">
        <v>0</v>
      </c>
      <c r="N2820" s="82" t="s">
        <v>11510</v>
      </c>
      <c r="O2820" s="93">
        <v>45865.737962962965</v>
      </c>
    </row>
    <row r="2821" spans="1:15" ht="22.5" customHeight="1">
      <c r="A2821" s="85">
        <v>766589657993298</v>
      </c>
      <c r="B2821" s="82" t="s">
        <v>10688</v>
      </c>
      <c r="C2821" s="82" t="s">
        <v>11511</v>
      </c>
      <c r="D2821" s="82" t="s">
        <v>11512</v>
      </c>
      <c r="E2821" s="82">
        <v>6285955053385</v>
      </c>
      <c r="F2821" s="92">
        <v>45864</v>
      </c>
      <c r="G2821" s="87">
        <v>855</v>
      </c>
      <c r="H2821" s="88">
        <v>17628.825271470876</v>
      </c>
      <c r="I2821" s="89">
        <v>23</v>
      </c>
      <c r="J2821" s="90">
        <v>17858</v>
      </c>
      <c r="K2821" s="85">
        <v>4</v>
      </c>
      <c r="L2821" s="85">
        <v>300</v>
      </c>
      <c r="M2821" s="85">
        <v>0</v>
      </c>
      <c r="N2821" s="82" t="s">
        <v>11513</v>
      </c>
      <c r="O2821" s="93">
        <v>45865.592013888891</v>
      </c>
    </row>
    <row r="2822" spans="1:15" ht="22.5" customHeight="1">
      <c r="A2822" s="85">
        <v>766589657993298</v>
      </c>
      <c r="B2822" s="82" t="s">
        <v>10688</v>
      </c>
      <c r="C2822" s="82" t="s">
        <v>11488</v>
      </c>
      <c r="D2822" s="82" t="s">
        <v>11489</v>
      </c>
      <c r="E2822" s="82">
        <v>6285888590045</v>
      </c>
      <c r="F2822" s="92">
        <v>45864</v>
      </c>
      <c r="G2822" s="87">
        <v>170</v>
      </c>
      <c r="H2822" s="88">
        <v>91268.571428571435</v>
      </c>
      <c r="I2822" s="89">
        <v>1</v>
      </c>
      <c r="J2822" s="90">
        <v>15972</v>
      </c>
      <c r="K2822" s="85">
        <v>0</v>
      </c>
      <c r="L2822" s="85">
        <v>32</v>
      </c>
      <c r="M2822" s="85">
        <v>0</v>
      </c>
      <c r="N2822" s="82" t="s">
        <v>11490</v>
      </c>
      <c r="O2822" s="93">
        <v>45865.717118055552</v>
      </c>
    </row>
    <row r="2823" spans="1:15" ht="22.5" customHeight="1">
      <c r="A2823" s="85">
        <v>766589657993298</v>
      </c>
      <c r="B2823" s="82" t="s">
        <v>10688</v>
      </c>
      <c r="C2823" s="82" t="s">
        <v>11491</v>
      </c>
      <c r="D2823" s="82" t="s">
        <v>11492</v>
      </c>
      <c r="E2823" s="82">
        <v>6285268858846</v>
      </c>
      <c r="F2823" s="92">
        <v>45864</v>
      </c>
      <c r="G2823" s="87">
        <v>676</v>
      </c>
      <c r="H2823" s="88">
        <v>24676.781002638523</v>
      </c>
      <c r="I2823" s="89">
        <v>15</v>
      </c>
      <c r="J2823" s="90">
        <v>18705</v>
      </c>
      <c r="K2823" s="85">
        <v>1</v>
      </c>
      <c r="L2823" s="85">
        <v>164</v>
      </c>
      <c r="M2823" s="85">
        <v>0</v>
      </c>
      <c r="N2823" s="82" t="s">
        <v>11493</v>
      </c>
      <c r="O2823" s="93">
        <v>45865.217615740738</v>
      </c>
    </row>
    <row r="2824" spans="1:15" ht="22.5" customHeight="1">
      <c r="A2824" s="85">
        <v>766589657993298</v>
      </c>
      <c r="B2824" s="82" t="s">
        <v>10688</v>
      </c>
      <c r="C2824" s="82" t="s">
        <v>11458</v>
      </c>
      <c r="D2824" s="82" t="s">
        <v>11459</v>
      </c>
      <c r="E2824" s="82">
        <v>6287821760177</v>
      </c>
      <c r="F2824" s="92">
        <v>45864</v>
      </c>
      <c r="G2824" s="87">
        <v>998</v>
      </c>
      <c r="H2824" s="88">
        <v>15479.204339963833</v>
      </c>
      <c r="I2824" s="89">
        <v>16</v>
      </c>
      <c r="J2824" s="90">
        <v>17120</v>
      </c>
      <c r="K2824" s="85">
        <v>5</v>
      </c>
      <c r="L2824" s="85">
        <v>409</v>
      </c>
      <c r="M2824" s="85">
        <v>1</v>
      </c>
      <c r="N2824" s="82" t="s">
        <v>11460</v>
      </c>
      <c r="O2824" s="93">
        <v>45865.633564814816</v>
      </c>
    </row>
    <row r="2825" spans="1:15" ht="22.5" customHeight="1">
      <c r="A2825" s="85">
        <v>766589657993298</v>
      </c>
      <c r="B2825" s="82" t="s">
        <v>10688</v>
      </c>
      <c r="C2825" s="82" t="s">
        <v>11461</v>
      </c>
      <c r="D2825" s="82" t="s">
        <v>11462</v>
      </c>
      <c r="E2825" s="82">
        <v>62882015555380</v>
      </c>
      <c r="F2825" s="92">
        <v>45864</v>
      </c>
      <c r="G2825" s="87">
        <v>712</v>
      </c>
      <c r="H2825" s="88">
        <v>23213.454075032343</v>
      </c>
      <c r="I2825" s="89">
        <v>13</v>
      </c>
      <c r="J2825" s="90">
        <v>17944</v>
      </c>
      <c r="K2825" s="85">
        <v>4</v>
      </c>
      <c r="L2825" s="85">
        <v>1</v>
      </c>
      <c r="M2825" s="85">
        <v>0</v>
      </c>
      <c r="N2825" s="82" t="s">
        <v>11463</v>
      </c>
      <c r="O2825" s="93">
        <v>45865.612997685188</v>
      </c>
    </row>
    <row r="2826" spans="1:15" ht="22.5" customHeight="1">
      <c r="A2826" s="85">
        <v>766589657993298</v>
      </c>
      <c r="B2826" s="82" t="s">
        <v>10688</v>
      </c>
      <c r="C2826" s="82" t="s">
        <v>11441</v>
      </c>
      <c r="D2826" s="82" t="s">
        <v>11442</v>
      </c>
      <c r="E2826" s="82">
        <v>6287734875393</v>
      </c>
      <c r="F2826" s="92">
        <v>45864</v>
      </c>
      <c r="G2826" s="87">
        <v>532</v>
      </c>
      <c r="H2826" s="88">
        <v>29706.867671691794</v>
      </c>
      <c r="I2826" s="89">
        <v>10</v>
      </c>
      <c r="J2826" s="90">
        <v>17735</v>
      </c>
      <c r="K2826" s="85">
        <v>0</v>
      </c>
      <c r="L2826" s="85">
        <v>159</v>
      </c>
      <c r="M2826" s="85">
        <v>0</v>
      </c>
      <c r="N2826" s="82" t="s">
        <v>11443</v>
      </c>
      <c r="O2826" s="93">
        <v>45865.59202546296</v>
      </c>
    </row>
    <row r="2827" spans="1:15" ht="22.5" customHeight="1">
      <c r="A2827" s="85">
        <v>766589657993298</v>
      </c>
      <c r="B2827" s="82" t="s">
        <v>10688</v>
      </c>
      <c r="C2827" s="82" t="s">
        <v>11411</v>
      </c>
      <c r="D2827" s="82" t="s">
        <v>2529</v>
      </c>
      <c r="E2827" s="82">
        <v>6287888068088</v>
      </c>
      <c r="F2827" s="92">
        <v>45864</v>
      </c>
      <c r="G2827" s="87">
        <v>100</v>
      </c>
      <c r="H2827" s="88">
        <v>139140.18691588784</v>
      </c>
      <c r="I2827" s="89">
        <v>3</v>
      </c>
      <c r="J2827" s="90">
        <v>14888</v>
      </c>
      <c r="K2827" s="85">
        <v>2</v>
      </c>
      <c r="L2827" s="85">
        <v>34</v>
      </c>
      <c r="M2827" s="85">
        <v>0</v>
      </c>
      <c r="N2827" s="82" t="s">
        <v>11412</v>
      </c>
      <c r="O2827" s="93">
        <v>45865.612986111111</v>
      </c>
    </row>
    <row r="2828" spans="1:15" ht="22.5" customHeight="1">
      <c r="A2828" s="85">
        <v>766589657993298</v>
      </c>
      <c r="B2828" s="82" t="s">
        <v>10688</v>
      </c>
      <c r="C2828" s="82" t="s">
        <v>11413</v>
      </c>
      <c r="D2828" s="82" t="s">
        <v>5697</v>
      </c>
      <c r="E2828" s="82">
        <v>6281385001244</v>
      </c>
      <c r="F2828" s="92">
        <v>45864</v>
      </c>
      <c r="G2828" s="87">
        <v>346</v>
      </c>
      <c r="H2828" s="88">
        <v>45956.298200514138</v>
      </c>
      <c r="I2828" s="89">
        <v>13</v>
      </c>
      <c r="J2828" s="90">
        <v>17877</v>
      </c>
      <c r="K2828" s="85">
        <v>6</v>
      </c>
      <c r="L2828" s="85">
        <v>91</v>
      </c>
      <c r="M2828" s="85">
        <v>0</v>
      </c>
      <c r="N2828" s="82" t="s">
        <v>11414</v>
      </c>
      <c r="O2828" s="93">
        <v>45865.570821759262</v>
      </c>
    </row>
    <row r="2829" spans="1:15" ht="22.5" customHeight="1">
      <c r="A2829" s="85">
        <v>766589657993298</v>
      </c>
      <c r="B2829" s="82" t="s">
        <v>10688</v>
      </c>
      <c r="C2829" s="82" t="s">
        <v>11415</v>
      </c>
      <c r="D2829" s="82" t="s">
        <v>11416</v>
      </c>
      <c r="E2829" s="82">
        <v>6281298551100</v>
      </c>
      <c r="F2829" s="92">
        <v>45864</v>
      </c>
      <c r="G2829" s="87">
        <v>167</v>
      </c>
      <c r="H2829" s="88">
        <v>92357.954545454544</v>
      </c>
      <c r="I2829" s="89">
        <v>6</v>
      </c>
      <c r="J2829" s="90">
        <v>16255</v>
      </c>
      <c r="K2829" s="85">
        <v>3</v>
      </c>
      <c r="L2829" s="85">
        <v>0</v>
      </c>
      <c r="M2829" s="85">
        <v>0</v>
      </c>
      <c r="N2829" s="82" t="s">
        <v>11417</v>
      </c>
      <c r="O2829" s="93">
        <v>45865.675243055557</v>
      </c>
    </row>
    <row r="2830" spans="1:15" ht="22.5" customHeight="1">
      <c r="A2830" s="85">
        <v>766589657993298</v>
      </c>
      <c r="B2830" s="82" t="s">
        <v>10688</v>
      </c>
      <c r="C2830" s="82" t="s">
        <v>11418</v>
      </c>
      <c r="D2830" s="82" t="s">
        <v>2480</v>
      </c>
      <c r="E2830" s="82">
        <v>6287856230745</v>
      </c>
      <c r="F2830" s="92">
        <v>45864</v>
      </c>
      <c r="G2830" s="87">
        <v>303</v>
      </c>
      <c r="H2830" s="88">
        <v>50492.917847025492</v>
      </c>
      <c r="I2830" s="89">
        <v>4</v>
      </c>
      <c r="J2830" s="90">
        <v>17824</v>
      </c>
      <c r="K2830" s="85">
        <v>1</v>
      </c>
      <c r="L2830" s="85">
        <v>33</v>
      </c>
      <c r="M2830" s="85">
        <v>0</v>
      </c>
      <c r="N2830" s="82" t="s">
        <v>11419</v>
      </c>
      <c r="O2830" s="93">
        <v>45865.717129629629</v>
      </c>
    </row>
    <row r="2831" spans="1:15" ht="22.5" customHeight="1">
      <c r="A2831" s="85">
        <v>766589657993298</v>
      </c>
      <c r="B2831" s="82" t="s">
        <v>10688</v>
      </c>
      <c r="C2831" s="82" t="s">
        <v>11381</v>
      </c>
      <c r="D2831" s="82" t="s">
        <v>2385</v>
      </c>
      <c r="E2831" s="82">
        <v>6281317170441</v>
      </c>
      <c r="F2831" s="92">
        <v>45864</v>
      </c>
      <c r="G2831" s="87">
        <v>386</v>
      </c>
      <c r="H2831" s="88">
        <v>39174.224343675422</v>
      </c>
      <c r="I2831" s="89">
        <v>13</v>
      </c>
      <c r="J2831" s="90">
        <v>16414</v>
      </c>
      <c r="K2831" s="85">
        <v>3</v>
      </c>
      <c r="L2831" s="85">
        <v>190</v>
      </c>
      <c r="M2831" s="85">
        <v>0</v>
      </c>
      <c r="N2831" s="82" t="s">
        <v>11382</v>
      </c>
      <c r="O2831" s="93">
        <v>45865.717129629629</v>
      </c>
    </row>
    <row r="2832" spans="1:15" ht="22.5" customHeight="1">
      <c r="A2832" s="85">
        <v>766589657993298</v>
      </c>
      <c r="B2832" s="82" t="s">
        <v>10688</v>
      </c>
      <c r="C2832" s="82" t="s">
        <v>11360</v>
      </c>
      <c r="D2832" s="82" t="s">
        <v>11361</v>
      </c>
      <c r="E2832" s="82">
        <v>6285186029090</v>
      </c>
      <c r="F2832" s="92">
        <v>45864</v>
      </c>
      <c r="G2832" s="87">
        <v>586</v>
      </c>
      <c r="H2832" s="88">
        <v>24439.440993788819</v>
      </c>
      <c r="I2832" s="89">
        <v>25</v>
      </c>
      <c r="J2832" s="90">
        <v>15739</v>
      </c>
      <c r="K2832" s="85">
        <v>4</v>
      </c>
      <c r="L2832" s="85">
        <v>88</v>
      </c>
      <c r="M2832" s="85">
        <v>0</v>
      </c>
      <c r="N2832" s="82" t="s">
        <v>11362</v>
      </c>
      <c r="O2832" s="93">
        <v>45865.675254629627</v>
      </c>
    </row>
    <row r="2833" spans="1:15" ht="22.5" customHeight="1">
      <c r="A2833" s="85">
        <v>766589657993298</v>
      </c>
      <c r="B2833" s="82" t="s">
        <v>10688</v>
      </c>
      <c r="C2833" s="82" t="s">
        <v>11318</v>
      </c>
      <c r="D2833" s="82" t="s">
        <v>11365</v>
      </c>
      <c r="E2833" s="82">
        <v>6282310465999</v>
      </c>
      <c r="F2833" s="92">
        <v>45864</v>
      </c>
      <c r="G2833" s="87">
        <v>655</v>
      </c>
      <c r="H2833" s="88">
        <v>24061.253561253561</v>
      </c>
      <c r="I2833" s="89">
        <v>21</v>
      </c>
      <c r="J2833" s="90">
        <v>16891</v>
      </c>
      <c r="K2833" s="85">
        <v>3</v>
      </c>
      <c r="L2833" s="85">
        <v>124</v>
      </c>
      <c r="M2833" s="85">
        <v>1</v>
      </c>
      <c r="N2833" s="82" t="s">
        <v>11366</v>
      </c>
      <c r="O2833" s="93">
        <v>45865.779351851852</v>
      </c>
    </row>
    <row r="2834" spans="1:15" ht="22.5" customHeight="1">
      <c r="A2834" s="85">
        <v>766589657993298</v>
      </c>
      <c r="B2834" s="82" t="s">
        <v>10688</v>
      </c>
      <c r="C2834" s="82" t="s">
        <v>11264</v>
      </c>
      <c r="D2834" s="91" t="s">
        <v>1915</v>
      </c>
      <c r="E2834" s="82">
        <v>6281239874761</v>
      </c>
      <c r="F2834" s="92">
        <v>45864</v>
      </c>
      <c r="G2834" s="87">
        <v>266</v>
      </c>
      <c r="H2834" s="88">
        <v>47615.15151515152</v>
      </c>
      <c r="I2834" s="89">
        <v>8</v>
      </c>
      <c r="J2834" s="90">
        <v>15713</v>
      </c>
      <c r="K2834" s="85">
        <v>0</v>
      </c>
      <c r="L2834" s="85">
        <v>11</v>
      </c>
      <c r="M2834" s="85">
        <v>0</v>
      </c>
      <c r="N2834" s="82" t="s">
        <v>11265</v>
      </c>
      <c r="O2834" s="93">
        <v>45865.779363425929</v>
      </c>
    </row>
    <row r="2835" spans="1:15" ht="22.5" customHeight="1">
      <c r="A2835" s="85">
        <v>766589657993298</v>
      </c>
      <c r="B2835" s="82" t="s">
        <v>10688</v>
      </c>
      <c r="C2835" s="82" t="s">
        <v>11207</v>
      </c>
      <c r="D2835" s="82" t="s">
        <v>11208</v>
      </c>
      <c r="E2835" s="82">
        <v>6282111180648</v>
      </c>
      <c r="F2835" s="92">
        <v>45864</v>
      </c>
      <c r="G2835" s="87">
        <v>320</v>
      </c>
      <c r="H2835" s="88">
        <v>46080.332409972303</v>
      </c>
      <c r="I2835" s="89">
        <v>12</v>
      </c>
      <c r="J2835" s="90">
        <v>16635</v>
      </c>
      <c r="K2835" s="85">
        <v>2</v>
      </c>
      <c r="L2835" s="85">
        <v>16</v>
      </c>
      <c r="M2835" s="85">
        <v>0</v>
      </c>
      <c r="N2835" s="82" t="s">
        <v>11209</v>
      </c>
      <c r="O2835" s="93">
        <v>45865.737939814811</v>
      </c>
    </row>
    <row r="2836" spans="1:15" ht="22.5" customHeight="1">
      <c r="A2836" s="85">
        <v>759724529202804</v>
      </c>
      <c r="B2836" s="82" t="s">
        <v>10621</v>
      </c>
      <c r="C2836" s="82" t="s">
        <v>11070</v>
      </c>
      <c r="D2836" s="82" t="s">
        <v>11071</v>
      </c>
      <c r="E2836" s="82">
        <v>6281246211381</v>
      </c>
      <c r="F2836" s="92">
        <v>45865</v>
      </c>
      <c r="G2836" s="87">
        <v>719</v>
      </c>
      <c r="H2836" s="88">
        <v>19451.887941534715</v>
      </c>
      <c r="I2836" s="89">
        <v>16</v>
      </c>
      <c r="J2836" s="90">
        <v>15970</v>
      </c>
      <c r="K2836" s="85">
        <v>2</v>
      </c>
      <c r="L2836" s="85">
        <v>56</v>
      </c>
      <c r="M2836" s="85">
        <v>0</v>
      </c>
      <c r="N2836" s="82" t="s">
        <v>11072</v>
      </c>
      <c r="O2836" s="93">
        <v>45866.713935185187</v>
      </c>
    </row>
    <row r="2837" spans="1:15" ht="22.5" customHeight="1">
      <c r="A2837" s="85">
        <v>759724529202804</v>
      </c>
      <c r="B2837" s="82" t="s">
        <v>10621</v>
      </c>
      <c r="C2837" s="82" t="s">
        <v>11016</v>
      </c>
      <c r="D2837" s="82" t="s">
        <v>1530</v>
      </c>
      <c r="E2837" s="82">
        <v>628111988553</v>
      </c>
      <c r="F2837" s="92">
        <v>45865</v>
      </c>
      <c r="G2837" s="87">
        <v>159</v>
      </c>
      <c r="H2837" s="88">
        <v>81085.561497326198</v>
      </c>
      <c r="I2837" s="89">
        <v>11</v>
      </c>
      <c r="J2837" s="90">
        <v>15163</v>
      </c>
      <c r="K2837" s="85">
        <v>1</v>
      </c>
      <c r="L2837" s="85">
        <v>22</v>
      </c>
      <c r="M2837" s="85">
        <v>0</v>
      </c>
      <c r="N2837" s="82" t="s">
        <v>11017</v>
      </c>
      <c r="O2837" s="93">
        <v>45866.651724537034</v>
      </c>
    </row>
    <row r="2838" spans="1:15" ht="22.5" customHeight="1">
      <c r="A2838" s="85">
        <v>759724529202804</v>
      </c>
      <c r="B2838" s="82" t="s">
        <v>10621</v>
      </c>
      <c r="C2838" s="82" t="s">
        <v>540</v>
      </c>
      <c r="D2838" s="82" t="s">
        <v>10755</v>
      </c>
      <c r="E2838" s="82">
        <v>6281335728695</v>
      </c>
      <c r="F2838" s="92">
        <v>45865</v>
      </c>
      <c r="G2838" s="87">
        <v>956</v>
      </c>
      <c r="H2838" s="88">
        <v>12848.612279226241</v>
      </c>
      <c r="I2838" s="89">
        <v>17</v>
      </c>
      <c r="J2838" s="90">
        <v>15277</v>
      </c>
      <c r="K2838" s="85">
        <v>4</v>
      </c>
      <c r="L2838" s="85">
        <v>109</v>
      </c>
      <c r="M2838" s="85">
        <v>0</v>
      </c>
      <c r="N2838" s="82" t="s">
        <v>10756</v>
      </c>
      <c r="O2838" s="93">
        <v>45866.610312500001</v>
      </c>
    </row>
    <row r="2839" spans="1:15" ht="22.5" customHeight="1">
      <c r="A2839" s="85">
        <v>174904221976312</v>
      </c>
      <c r="B2839" s="82" t="s">
        <v>10651</v>
      </c>
      <c r="C2839" s="82" t="s">
        <v>11565</v>
      </c>
      <c r="D2839" s="82" t="s">
        <v>11566</v>
      </c>
      <c r="E2839" s="82">
        <v>6282333358533</v>
      </c>
      <c r="F2839" s="92">
        <v>45865</v>
      </c>
      <c r="G2839" s="87">
        <v>353</v>
      </c>
      <c r="H2839" s="88">
        <v>30128.415300546447</v>
      </c>
      <c r="I2839" s="89">
        <v>4</v>
      </c>
      <c r="J2839" s="90">
        <v>11027</v>
      </c>
      <c r="K2839" s="85">
        <v>1</v>
      </c>
      <c r="L2839" s="85">
        <v>59</v>
      </c>
      <c r="M2839" s="85">
        <v>0</v>
      </c>
      <c r="N2839" s="82" t="s">
        <v>11567</v>
      </c>
      <c r="O2839" s="93">
        <v>45866.75608796296</v>
      </c>
    </row>
    <row r="2840" spans="1:15" ht="22.5" customHeight="1">
      <c r="A2840" s="85">
        <v>174904221976312</v>
      </c>
      <c r="B2840" s="82" t="s">
        <v>10651</v>
      </c>
      <c r="C2840" s="82" t="s">
        <v>11568</v>
      </c>
      <c r="D2840" s="82" t="s">
        <v>11569</v>
      </c>
      <c r="E2840" s="82">
        <v>6287826386983</v>
      </c>
      <c r="F2840" s="92">
        <v>45865</v>
      </c>
      <c r="G2840" s="87">
        <v>585</v>
      </c>
      <c r="H2840" s="88">
        <v>16995.555555555555</v>
      </c>
      <c r="I2840" s="89">
        <v>17</v>
      </c>
      <c r="J2840" s="90">
        <v>11472</v>
      </c>
      <c r="K2840" s="85">
        <v>1</v>
      </c>
      <c r="L2840" s="85">
        <v>34</v>
      </c>
      <c r="M2840" s="85">
        <v>0</v>
      </c>
      <c r="N2840" s="82" t="s">
        <v>11570</v>
      </c>
      <c r="O2840" s="93">
        <v>45866.610324074078</v>
      </c>
    </row>
    <row r="2841" spans="1:15" ht="22.5" customHeight="1">
      <c r="A2841" s="85">
        <v>174904221976312</v>
      </c>
      <c r="B2841" s="82" t="s">
        <v>10651</v>
      </c>
      <c r="C2841" s="82" t="s">
        <v>11571</v>
      </c>
      <c r="D2841" s="82" t="s">
        <v>11572</v>
      </c>
      <c r="E2841" s="82">
        <v>6282340878030</v>
      </c>
      <c r="F2841" s="92">
        <v>45865</v>
      </c>
      <c r="G2841" s="87">
        <v>404</v>
      </c>
      <c r="H2841" s="88">
        <v>28850.54945054945</v>
      </c>
      <c r="I2841" s="89">
        <v>11</v>
      </c>
      <c r="J2841" s="90">
        <v>13127</v>
      </c>
      <c r="K2841" s="85">
        <v>0</v>
      </c>
      <c r="L2841" s="85">
        <v>40</v>
      </c>
      <c r="M2841" s="85">
        <v>0</v>
      </c>
      <c r="N2841" s="82" t="s">
        <v>11573</v>
      </c>
      <c r="O2841" s="93">
        <v>45866.569016203706</v>
      </c>
    </row>
    <row r="2842" spans="1:15" ht="22.5" customHeight="1">
      <c r="A2842" s="85">
        <v>174904221976312</v>
      </c>
      <c r="B2842" s="82" t="s">
        <v>10651</v>
      </c>
      <c r="C2842" s="82" t="s">
        <v>11545</v>
      </c>
      <c r="D2842" s="82" t="s">
        <v>3140</v>
      </c>
      <c r="E2842" s="82"/>
      <c r="F2842" s="92">
        <v>45865</v>
      </c>
      <c r="G2842" s="87">
        <v>11863</v>
      </c>
      <c r="H2842" s="88">
        <v>2768.3796410130317</v>
      </c>
      <c r="I2842" s="89">
        <v>241</v>
      </c>
      <c r="J2842" s="90">
        <v>45036</v>
      </c>
      <c r="K2842" s="85">
        <v>7</v>
      </c>
      <c r="L2842" s="85">
        <v>1958</v>
      </c>
      <c r="M2842" s="85">
        <v>0</v>
      </c>
      <c r="N2842" s="82" t="s">
        <v>11546</v>
      </c>
      <c r="O2842" s="93">
        <v>45866.293124999997</v>
      </c>
    </row>
    <row r="2843" spans="1:15" ht="22.5" customHeight="1">
      <c r="A2843" s="85">
        <v>174904221976312</v>
      </c>
      <c r="B2843" s="82" t="s">
        <v>10651</v>
      </c>
      <c r="C2843" s="82" t="s">
        <v>11547</v>
      </c>
      <c r="D2843" s="82" t="s">
        <v>11548</v>
      </c>
      <c r="E2843" s="82">
        <v>6287846030252</v>
      </c>
      <c r="F2843" s="92">
        <v>45865</v>
      </c>
      <c r="G2843" s="87">
        <v>2033</v>
      </c>
      <c r="H2843" s="88">
        <v>5967.2059466550063</v>
      </c>
      <c r="I2843" s="89">
        <v>63</v>
      </c>
      <c r="J2843" s="90">
        <v>13647</v>
      </c>
      <c r="K2843" s="85">
        <v>6</v>
      </c>
      <c r="L2843" s="85">
        <v>0</v>
      </c>
      <c r="M2843" s="85">
        <v>1</v>
      </c>
      <c r="N2843" s="82" t="s">
        <v>11549</v>
      </c>
      <c r="O2843" s="93">
        <v>45866.526145833333</v>
      </c>
    </row>
    <row r="2844" spans="1:15" ht="22.5" customHeight="1">
      <c r="A2844" s="85">
        <v>174904221976312</v>
      </c>
      <c r="B2844" s="82" t="s">
        <v>10651</v>
      </c>
      <c r="C2844" s="82" t="s">
        <v>11550</v>
      </c>
      <c r="D2844" s="82" t="s">
        <v>11551</v>
      </c>
      <c r="E2844" s="82">
        <v>6281327457634</v>
      </c>
      <c r="F2844" s="92">
        <v>45865</v>
      </c>
      <c r="G2844" s="87">
        <v>580</v>
      </c>
      <c r="H2844" s="88">
        <v>20373.456790123455</v>
      </c>
      <c r="I2844" s="89">
        <v>15</v>
      </c>
      <c r="J2844" s="90">
        <v>13202</v>
      </c>
      <c r="K2844" s="85">
        <v>3</v>
      </c>
      <c r="L2844" s="85">
        <v>61</v>
      </c>
      <c r="M2844" s="85">
        <v>0</v>
      </c>
      <c r="N2844" s="82" t="s">
        <v>11552</v>
      </c>
      <c r="O2844" s="93">
        <v>45866.61037037037</v>
      </c>
    </row>
    <row r="2845" spans="1:15" ht="22.5" customHeight="1">
      <c r="A2845" s="85">
        <v>174904221976312</v>
      </c>
      <c r="B2845" s="82" t="s">
        <v>10651</v>
      </c>
      <c r="C2845" s="82" t="s">
        <v>11553</v>
      </c>
      <c r="D2845" s="82" t="s">
        <v>11554</v>
      </c>
      <c r="E2845" s="82">
        <v>628113311777</v>
      </c>
      <c r="F2845" s="92">
        <v>45865</v>
      </c>
      <c r="G2845" s="87">
        <v>840</v>
      </c>
      <c r="H2845" s="88">
        <v>13402.240325865581</v>
      </c>
      <c r="I2845" s="89">
        <v>12</v>
      </c>
      <c r="J2845" s="90">
        <v>13161</v>
      </c>
      <c r="K2845" s="85">
        <v>2</v>
      </c>
      <c r="L2845" s="85">
        <v>27</v>
      </c>
      <c r="M2845" s="85">
        <v>0</v>
      </c>
      <c r="N2845" s="82" t="s">
        <v>11555</v>
      </c>
      <c r="O2845" s="93">
        <v>45866.589409722219</v>
      </c>
    </row>
    <row r="2846" spans="1:15" ht="22.5" customHeight="1">
      <c r="A2846" s="85">
        <v>174904221976312</v>
      </c>
      <c r="B2846" s="82" t="s">
        <v>10651</v>
      </c>
      <c r="C2846" s="82" t="s">
        <v>11556</v>
      </c>
      <c r="D2846" s="82" t="s">
        <v>11557</v>
      </c>
      <c r="E2846" s="82">
        <v>6281553075560</v>
      </c>
      <c r="F2846" s="92">
        <v>45865</v>
      </c>
      <c r="G2846" s="87">
        <v>727</v>
      </c>
      <c r="H2846" s="88">
        <v>11861.202185792348</v>
      </c>
      <c r="I2846" s="89">
        <v>21</v>
      </c>
      <c r="J2846" s="90">
        <v>10853</v>
      </c>
      <c r="K2846" s="85">
        <v>1</v>
      </c>
      <c r="L2846" s="85">
        <v>305</v>
      </c>
      <c r="M2846" s="85">
        <v>0</v>
      </c>
      <c r="N2846" s="82" t="s">
        <v>11558</v>
      </c>
      <c r="O2846" s="93">
        <v>45866.672858796293</v>
      </c>
    </row>
    <row r="2847" spans="1:15" ht="22.5" customHeight="1">
      <c r="A2847" s="85">
        <v>174904221976312</v>
      </c>
      <c r="B2847" s="82" t="s">
        <v>10651</v>
      </c>
      <c r="C2847" s="82" t="s">
        <v>11559</v>
      </c>
      <c r="D2847" s="82" t="s">
        <v>11560</v>
      </c>
      <c r="E2847" s="82">
        <v>6282333203355</v>
      </c>
      <c r="F2847" s="92">
        <v>45865</v>
      </c>
      <c r="G2847" s="87">
        <v>320</v>
      </c>
      <c r="H2847" s="88">
        <v>36446.022727272728</v>
      </c>
      <c r="I2847" s="89">
        <v>10</v>
      </c>
      <c r="J2847" s="90">
        <v>12829</v>
      </c>
      <c r="K2847" s="85">
        <v>2</v>
      </c>
      <c r="L2847" s="85">
        <v>116</v>
      </c>
      <c r="M2847" s="85">
        <v>0</v>
      </c>
      <c r="N2847" s="82" t="s">
        <v>11561</v>
      </c>
      <c r="O2847" s="93">
        <v>45866.610335648147</v>
      </c>
    </row>
    <row r="2848" spans="1:15" ht="22.5" customHeight="1">
      <c r="A2848" s="85">
        <v>174904221976312</v>
      </c>
      <c r="B2848" s="82" t="s">
        <v>10651</v>
      </c>
      <c r="C2848" s="82" t="s">
        <v>11531</v>
      </c>
      <c r="D2848" s="82" t="s">
        <v>2841</v>
      </c>
      <c r="E2848" s="82">
        <v>62811693222</v>
      </c>
      <c r="F2848" s="92">
        <v>45865</v>
      </c>
      <c r="G2848" s="87">
        <v>676</v>
      </c>
      <c r="H2848" s="88">
        <v>15001.092896174863</v>
      </c>
      <c r="I2848" s="89">
        <v>24</v>
      </c>
      <c r="J2848" s="90">
        <v>13726</v>
      </c>
      <c r="K2848" s="85">
        <v>4</v>
      </c>
      <c r="L2848" s="85">
        <v>0</v>
      </c>
      <c r="M2848" s="85">
        <v>0</v>
      </c>
      <c r="N2848" s="82" t="s">
        <v>11532</v>
      </c>
      <c r="O2848" s="93">
        <v>45866.568483796298</v>
      </c>
    </row>
    <row r="2849" spans="1:15" ht="22.5" customHeight="1">
      <c r="A2849" s="85">
        <v>174904221976312</v>
      </c>
      <c r="B2849" s="82" t="s">
        <v>10651</v>
      </c>
      <c r="C2849" s="82" t="s">
        <v>11533</v>
      </c>
      <c r="D2849" s="82" t="s">
        <v>11051</v>
      </c>
      <c r="E2849" s="82">
        <v>6285869122507</v>
      </c>
      <c r="F2849" s="92">
        <v>45865</v>
      </c>
      <c r="G2849" s="87">
        <v>651</v>
      </c>
      <c r="H2849" s="88">
        <v>16774.611398963731</v>
      </c>
      <c r="I2849" s="89">
        <v>26</v>
      </c>
      <c r="J2849" s="90">
        <v>12950</v>
      </c>
      <c r="K2849" s="85">
        <v>2</v>
      </c>
      <c r="L2849" s="85">
        <v>44</v>
      </c>
      <c r="M2849" s="85">
        <v>0</v>
      </c>
      <c r="N2849" s="82" t="s">
        <v>11534</v>
      </c>
      <c r="O2849" s="93">
        <v>45866.67255787037</v>
      </c>
    </row>
    <row r="2850" spans="1:15" ht="22.5" customHeight="1">
      <c r="A2850" s="85">
        <v>174904221976312</v>
      </c>
      <c r="B2850" s="82" t="s">
        <v>10651</v>
      </c>
      <c r="C2850" s="82" t="s">
        <v>11535</v>
      </c>
      <c r="D2850" s="82" t="s">
        <v>2969</v>
      </c>
      <c r="E2850" s="82">
        <v>6281286402030</v>
      </c>
      <c r="F2850" s="92">
        <v>45865</v>
      </c>
      <c r="G2850" s="87">
        <v>657</v>
      </c>
      <c r="H2850" s="88">
        <v>18703.190013869626</v>
      </c>
      <c r="I2850" s="89">
        <v>22</v>
      </c>
      <c r="J2850" s="90">
        <v>13485</v>
      </c>
      <c r="K2850" s="85">
        <v>2</v>
      </c>
      <c r="L2850" s="85">
        <v>0</v>
      </c>
      <c r="M2850" s="85">
        <v>0</v>
      </c>
      <c r="N2850" s="82" t="s">
        <v>11536</v>
      </c>
      <c r="O2850" s="93">
        <v>45866.464317129627</v>
      </c>
    </row>
    <row r="2851" spans="1:15" ht="22.5" customHeight="1">
      <c r="A2851" s="85">
        <v>174904221976312</v>
      </c>
      <c r="B2851" s="82" t="s">
        <v>10651</v>
      </c>
      <c r="C2851" s="82" t="s">
        <v>11537</v>
      </c>
      <c r="D2851" s="82" t="s">
        <v>2882</v>
      </c>
      <c r="E2851" s="82">
        <v>6285397990632</v>
      </c>
      <c r="F2851" s="92">
        <v>45865</v>
      </c>
      <c r="G2851" s="87">
        <v>1143</v>
      </c>
      <c r="H2851" s="88">
        <v>9408.4604715672667</v>
      </c>
      <c r="I2851" s="89">
        <v>9</v>
      </c>
      <c r="J2851" s="90">
        <v>13567</v>
      </c>
      <c r="K2851" s="85">
        <v>0</v>
      </c>
      <c r="L2851" s="85">
        <v>0</v>
      </c>
      <c r="M2851" s="85">
        <v>0</v>
      </c>
      <c r="N2851" s="82" t="s">
        <v>11538</v>
      </c>
      <c r="O2851" s="93">
        <v>45866.526377314818</v>
      </c>
    </row>
    <row r="2852" spans="1:15" ht="22.5" customHeight="1">
      <c r="A2852" s="85">
        <v>174904221976312</v>
      </c>
      <c r="B2852" s="82" t="s">
        <v>10651</v>
      </c>
      <c r="C2852" s="82" t="s">
        <v>11539</v>
      </c>
      <c r="D2852" s="82" t="s">
        <v>2754</v>
      </c>
      <c r="E2852" s="82">
        <v>6285186697099</v>
      </c>
      <c r="F2852" s="92">
        <v>45865</v>
      </c>
      <c r="G2852" s="87">
        <v>129</v>
      </c>
      <c r="H2852" s="88">
        <v>91321.167883211674</v>
      </c>
      <c r="I2852" s="89">
        <v>10</v>
      </c>
      <c r="J2852" s="90">
        <v>12511</v>
      </c>
      <c r="K2852" s="85">
        <v>0</v>
      </c>
      <c r="L2852" s="85">
        <v>0</v>
      </c>
      <c r="M2852" s="85">
        <v>0</v>
      </c>
      <c r="N2852" s="82" t="s">
        <v>11540</v>
      </c>
      <c r="O2852" s="93">
        <v>45866.651712962965</v>
      </c>
    </row>
    <row r="2853" spans="1:15" ht="22.5" customHeight="1">
      <c r="A2853" s="85">
        <v>174904221976312</v>
      </c>
      <c r="B2853" s="82" t="s">
        <v>10651</v>
      </c>
      <c r="C2853" s="82" t="s">
        <v>11514</v>
      </c>
      <c r="D2853" s="82" t="s">
        <v>11515</v>
      </c>
      <c r="E2853" s="82">
        <v>6289607006888</v>
      </c>
      <c r="F2853" s="92">
        <v>45865</v>
      </c>
      <c r="G2853" s="87">
        <v>261</v>
      </c>
      <c r="H2853" s="88">
        <v>38716.612377850164</v>
      </c>
      <c r="I2853" s="89">
        <v>14</v>
      </c>
      <c r="J2853" s="90">
        <v>11886</v>
      </c>
      <c r="K2853" s="85">
        <v>1</v>
      </c>
      <c r="L2853" s="85">
        <v>0</v>
      </c>
      <c r="M2853" s="85">
        <v>0</v>
      </c>
      <c r="N2853" s="82" t="s">
        <v>11516</v>
      </c>
      <c r="O2853" s="93">
        <v>45866.506261574075</v>
      </c>
    </row>
    <row r="2854" spans="1:15" ht="22.5" customHeight="1">
      <c r="A2854" s="85">
        <v>174904221976312</v>
      </c>
      <c r="B2854" s="82" t="s">
        <v>10651</v>
      </c>
      <c r="C2854" s="82" t="s">
        <v>11517</v>
      </c>
      <c r="D2854" s="82" t="s">
        <v>11518</v>
      </c>
      <c r="E2854" s="82">
        <v>6282133271189</v>
      </c>
      <c r="F2854" s="92">
        <v>45865</v>
      </c>
      <c r="G2854" s="87">
        <v>45</v>
      </c>
      <c r="H2854" s="88">
        <v>371282.60869565216</v>
      </c>
      <c r="I2854" s="89">
        <v>1</v>
      </c>
      <c r="J2854" s="90">
        <v>17079</v>
      </c>
      <c r="K2854" s="85">
        <v>0</v>
      </c>
      <c r="L2854" s="85">
        <v>15</v>
      </c>
      <c r="M2854" s="85">
        <v>0</v>
      </c>
      <c r="N2854" s="82" t="s">
        <v>11519</v>
      </c>
      <c r="O2854" s="93">
        <v>45866.52616898148</v>
      </c>
    </row>
    <row r="2855" spans="1:15" ht="22.5" customHeight="1">
      <c r="A2855" s="85">
        <v>174904221976312</v>
      </c>
      <c r="B2855" s="82" t="s">
        <v>10651</v>
      </c>
      <c r="C2855" s="82" t="s">
        <v>11520</v>
      </c>
      <c r="D2855" s="82" t="s">
        <v>2776</v>
      </c>
      <c r="E2855" s="82">
        <v>6285657238556</v>
      </c>
      <c r="F2855" s="92">
        <v>45865</v>
      </c>
      <c r="G2855" s="87">
        <v>597</v>
      </c>
      <c r="H2855" s="88">
        <v>18477.088948787063</v>
      </c>
      <c r="I2855" s="89">
        <v>50</v>
      </c>
      <c r="J2855" s="90">
        <v>13710</v>
      </c>
      <c r="K2855" s="85">
        <v>8</v>
      </c>
      <c r="L2855" s="85">
        <v>116</v>
      </c>
      <c r="M2855" s="85">
        <v>2</v>
      </c>
      <c r="N2855" s="82" t="s">
        <v>11521</v>
      </c>
      <c r="O2855" s="93">
        <v>45866.568495370368</v>
      </c>
    </row>
    <row r="2856" spans="1:15" ht="22.5" customHeight="1">
      <c r="A2856" s="85">
        <v>174904221976312</v>
      </c>
      <c r="B2856" s="82" t="s">
        <v>10651</v>
      </c>
      <c r="C2856" s="82" t="s">
        <v>11494</v>
      </c>
      <c r="D2856" s="82" t="s">
        <v>11495</v>
      </c>
      <c r="E2856" s="82">
        <v>6285645050058</v>
      </c>
      <c r="F2856" s="92">
        <v>45865</v>
      </c>
      <c r="G2856" s="87">
        <v>1187</v>
      </c>
      <c r="H2856" s="88">
        <v>9516.3120567375881</v>
      </c>
      <c r="I2856" s="89">
        <v>47</v>
      </c>
      <c r="J2856" s="90">
        <v>13418</v>
      </c>
      <c r="K2856" s="85">
        <v>4</v>
      </c>
      <c r="L2856" s="85">
        <v>379</v>
      </c>
      <c r="M2856" s="85">
        <v>0</v>
      </c>
      <c r="N2856" s="82" t="s">
        <v>11496</v>
      </c>
      <c r="O2856" s="93">
        <v>45866.216643518521</v>
      </c>
    </row>
    <row r="2857" spans="1:15" ht="22.5" customHeight="1">
      <c r="A2857" s="85">
        <v>174904221976312</v>
      </c>
      <c r="B2857" s="82" t="s">
        <v>10651</v>
      </c>
      <c r="C2857" s="82" t="s">
        <v>11497</v>
      </c>
      <c r="D2857" s="82" t="s">
        <v>11498</v>
      </c>
      <c r="E2857" s="82">
        <v>6285267044893</v>
      </c>
      <c r="F2857" s="92">
        <v>45865</v>
      </c>
      <c r="G2857" s="87">
        <v>380</v>
      </c>
      <c r="H2857" s="88">
        <v>29028.776978417267</v>
      </c>
      <c r="I2857" s="89">
        <v>10</v>
      </c>
      <c r="J2857" s="90">
        <v>12105</v>
      </c>
      <c r="K2857" s="85">
        <v>2</v>
      </c>
      <c r="L2857" s="85">
        <v>146</v>
      </c>
      <c r="M2857" s="85">
        <v>0</v>
      </c>
      <c r="N2857" s="82" t="s">
        <v>11499</v>
      </c>
      <c r="O2857" s="93">
        <v>45866.216631944444</v>
      </c>
    </row>
    <row r="2858" spans="1:15" ht="22.5" customHeight="1">
      <c r="A2858" s="85">
        <v>174904221976312</v>
      </c>
      <c r="B2858" s="82" t="s">
        <v>10651</v>
      </c>
      <c r="C2858" s="82" t="s">
        <v>11500</v>
      </c>
      <c r="D2858" s="82" t="s">
        <v>2776</v>
      </c>
      <c r="E2858" s="82">
        <v>6285657238556</v>
      </c>
      <c r="F2858" s="92">
        <v>45865</v>
      </c>
      <c r="G2858" s="87">
        <v>797</v>
      </c>
      <c r="H2858" s="88">
        <v>15010.405827263268</v>
      </c>
      <c r="I2858" s="89">
        <v>25</v>
      </c>
      <c r="J2858" s="90">
        <v>14425</v>
      </c>
      <c r="K2858" s="85">
        <v>2</v>
      </c>
      <c r="L2858" s="85">
        <v>78</v>
      </c>
      <c r="M2858" s="85">
        <v>2</v>
      </c>
      <c r="N2858" s="82" t="s">
        <v>11501</v>
      </c>
      <c r="O2858" s="93">
        <v>45866.216631944444</v>
      </c>
    </row>
    <row r="2859" spans="1:15" ht="22.5" customHeight="1">
      <c r="A2859" s="85">
        <v>174904221976312</v>
      </c>
      <c r="B2859" s="82" t="s">
        <v>10651</v>
      </c>
      <c r="C2859" s="82" t="s">
        <v>11502</v>
      </c>
      <c r="D2859" s="82" t="s">
        <v>2801</v>
      </c>
      <c r="E2859" s="82">
        <v>6289524188028</v>
      </c>
      <c r="F2859" s="92">
        <v>45865</v>
      </c>
      <c r="G2859" s="87">
        <v>803</v>
      </c>
      <c r="H2859" s="88">
        <v>13274.876847290639</v>
      </c>
      <c r="I2859" s="89">
        <v>48</v>
      </c>
      <c r="J2859" s="90">
        <v>13474</v>
      </c>
      <c r="K2859" s="85">
        <v>7</v>
      </c>
      <c r="L2859" s="85">
        <v>137</v>
      </c>
      <c r="M2859" s="85">
        <v>1</v>
      </c>
      <c r="N2859" s="82" t="s">
        <v>11503</v>
      </c>
      <c r="O2859" s="93">
        <v>45866.216631944444</v>
      </c>
    </row>
    <row r="2860" spans="1:15" ht="22.5" customHeight="1">
      <c r="A2860" s="85">
        <v>174904221976312</v>
      </c>
      <c r="B2860" s="82" t="s">
        <v>10651</v>
      </c>
      <c r="C2860" s="82" t="s">
        <v>11504</v>
      </c>
      <c r="D2860" s="82" t="s">
        <v>2760</v>
      </c>
      <c r="E2860" s="82">
        <v>6285234005559</v>
      </c>
      <c r="F2860" s="92">
        <v>45865</v>
      </c>
      <c r="G2860" s="87">
        <v>1157</v>
      </c>
      <c r="H2860" s="88">
        <v>10424.43226311668</v>
      </c>
      <c r="I2860" s="89">
        <v>13</v>
      </c>
      <c r="J2860" s="90">
        <v>13312</v>
      </c>
      <c r="K2860" s="85">
        <v>0</v>
      </c>
      <c r="L2860" s="85">
        <v>279</v>
      </c>
      <c r="M2860" s="85">
        <v>0</v>
      </c>
      <c r="N2860" s="82" t="s">
        <v>11505</v>
      </c>
      <c r="O2860" s="93">
        <v>45866.21665509259</v>
      </c>
    </row>
    <row r="2861" spans="1:15" ht="22.5" customHeight="1">
      <c r="A2861" s="85">
        <v>174904221976312</v>
      </c>
      <c r="B2861" s="82" t="s">
        <v>10651</v>
      </c>
      <c r="C2861" s="82" t="s">
        <v>11506</v>
      </c>
      <c r="D2861" s="82" t="s">
        <v>2700</v>
      </c>
      <c r="E2861" s="82">
        <v>6282197248722</v>
      </c>
      <c r="F2861" s="92">
        <v>45865</v>
      </c>
      <c r="G2861" s="87">
        <v>721</v>
      </c>
      <c r="H2861" s="88">
        <v>18686.046511627908</v>
      </c>
      <c r="I2861" s="89">
        <v>26</v>
      </c>
      <c r="J2861" s="90">
        <v>16070</v>
      </c>
      <c r="K2861" s="85">
        <v>1</v>
      </c>
      <c r="L2861" s="85">
        <v>144</v>
      </c>
      <c r="M2861" s="85">
        <v>0</v>
      </c>
      <c r="N2861" s="82" t="s">
        <v>11507</v>
      </c>
      <c r="O2861" s="93">
        <v>45866.443576388891</v>
      </c>
    </row>
    <row r="2862" spans="1:15" ht="22.5" customHeight="1">
      <c r="A2862" s="85">
        <v>174904221976312</v>
      </c>
      <c r="B2862" s="82" t="s">
        <v>10651</v>
      </c>
      <c r="C2862" s="82" t="s">
        <v>11464</v>
      </c>
      <c r="D2862" s="82" t="s">
        <v>11465</v>
      </c>
      <c r="E2862" s="82">
        <v>62816904358</v>
      </c>
      <c r="F2862" s="92">
        <v>45865</v>
      </c>
      <c r="G2862" s="87">
        <v>310</v>
      </c>
      <c r="H2862" s="88">
        <v>32230.769230769234</v>
      </c>
      <c r="I2862" s="89">
        <v>14</v>
      </c>
      <c r="J2862" s="90">
        <v>13408</v>
      </c>
      <c r="K2862" s="85">
        <v>2</v>
      </c>
      <c r="L2862" s="85">
        <v>100</v>
      </c>
      <c r="M2862" s="85">
        <v>0</v>
      </c>
      <c r="N2862" s="82" t="s">
        <v>11466</v>
      </c>
      <c r="O2862" s="93">
        <v>45866.714085648149</v>
      </c>
    </row>
    <row r="2863" spans="1:15" ht="22.5" customHeight="1">
      <c r="A2863" s="85">
        <v>174904221976312</v>
      </c>
      <c r="B2863" s="82" t="s">
        <v>10651</v>
      </c>
      <c r="C2863" s="82" t="s">
        <v>11470</v>
      </c>
      <c r="D2863" s="82" t="s">
        <v>11471</v>
      </c>
      <c r="E2863" s="82">
        <v>6281225745133</v>
      </c>
      <c r="F2863" s="92">
        <v>45865</v>
      </c>
      <c r="G2863" s="87">
        <v>352</v>
      </c>
      <c r="H2863" s="88">
        <v>36465</v>
      </c>
      <c r="I2863" s="89">
        <v>10</v>
      </c>
      <c r="J2863" s="90">
        <v>14586</v>
      </c>
      <c r="K2863" s="85">
        <v>2</v>
      </c>
      <c r="L2863" s="85">
        <v>30</v>
      </c>
      <c r="M2863" s="85">
        <v>0</v>
      </c>
      <c r="N2863" s="82" t="s">
        <v>11472</v>
      </c>
      <c r="O2863" s="93">
        <v>45866.610335648147</v>
      </c>
    </row>
    <row r="2864" spans="1:15" ht="22.5" customHeight="1">
      <c r="A2864" s="85">
        <v>174904221976312</v>
      </c>
      <c r="B2864" s="82" t="s">
        <v>10651</v>
      </c>
      <c r="C2864" s="82" t="s">
        <v>11475</v>
      </c>
      <c r="D2864" s="82" t="s">
        <v>2708</v>
      </c>
      <c r="E2864" s="82">
        <v>6281219329853</v>
      </c>
      <c r="F2864" s="92">
        <v>45865</v>
      </c>
      <c r="G2864" s="87">
        <v>478</v>
      </c>
      <c r="H2864" s="88">
        <v>19191.709844559588</v>
      </c>
      <c r="I2864" s="89">
        <v>17</v>
      </c>
      <c r="J2864" s="90">
        <v>11112</v>
      </c>
      <c r="K2864" s="85">
        <v>1</v>
      </c>
      <c r="L2864" s="85">
        <v>0</v>
      </c>
      <c r="M2864" s="85">
        <v>0</v>
      </c>
      <c r="N2864" s="82" t="s">
        <v>11476</v>
      </c>
      <c r="O2864" s="93">
        <v>45866.569004629629</v>
      </c>
    </row>
    <row r="2865" spans="1:15" ht="22.5" customHeight="1">
      <c r="A2865" s="85">
        <v>174904221976312</v>
      </c>
      <c r="B2865" s="82" t="s">
        <v>10651</v>
      </c>
      <c r="C2865" s="82" t="s">
        <v>11422</v>
      </c>
      <c r="D2865" s="82" t="s">
        <v>11145</v>
      </c>
      <c r="E2865" s="82">
        <v>6282128714101</v>
      </c>
      <c r="F2865" s="92">
        <v>45865</v>
      </c>
      <c r="G2865" s="87">
        <v>167</v>
      </c>
      <c r="H2865" s="88">
        <v>57187.192118226601</v>
      </c>
      <c r="I2865" s="89">
        <v>4</v>
      </c>
      <c r="J2865" s="90">
        <v>11609</v>
      </c>
      <c r="K2865" s="85">
        <v>1</v>
      </c>
      <c r="L2865" s="85">
        <v>17</v>
      </c>
      <c r="M2865" s="85">
        <v>0</v>
      </c>
      <c r="N2865" s="82" t="s">
        <v>11423</v>
      </c>
      <c r="O2865" s="93">
        <v>45866.52615740741</v>
      </c>
    </row>
    <row r="2866" spans="1:15" ht="22.5" customHeight="1">
      <c r="A2866" s="85">
        <v>174904221976312</v>
      </c>
      <c r="B2866" s="82" t="s">
        <v>10651</v>
      </c>
      <c r="C2866" s="82" t="s">
        <v>11427</v>
      </c>
      <c r="D2866" s="82" t="s">
        <v>11428</v>
      </c>
      <c r="E2866" s="82">
        <v>6285268101557</v>
      </c>
      <c r="F2866" s="92">
        <v>45865</v>
      </c>
      <c r="G2866" s="87">
        <v>942</v>
      </c>
      <c r="H2866" s="88">
        <v>13636.625119846598</v>
      </c>
      <c r="I2866" s="89">
        <v>10</v>
      </c>
      <c r="J2866" s="90">
        <v>14223</v>
      </c>
      <c r="K2866" s="85">
        <v>1</v>
      </c>
      <c r="L2866" s="85">
        <v>370</v>
      </c>
      <c r="M2866" s="85">
        <v>0</v>
      </c>
      <c r="N2866" s="82" t="s">
        <v>11429</v>
      </c>
      <c r="O2866" s="93">
        <v>45866.631284722222</v>
      </c>
    </row>
    <row r="2867" spans="1:15" ht="22.5" customHeight="1">
      <c r="A2867" s="85">
        <v>174904221976312</v>
      </c>
      <c r="B2867" s="82" t="s">
        <v>10651</v>
      </c>
      <c r="C2867" s="82" t="s">
        <v>11402</v>
      </c>
      <c r="D2867" s="82" t="s">
        <v>11403</v>
      </c>
      <c r="E2867" s="82">
        <v>6283870060603</v>
      </c>
      <c r="F2867" s="92">
        <v>45865</v>
      </c>
      <c r="G2867" s="87">
        <v>3521</v>
      </c>
      <c r="H2867" s="88">
        <v>3400.0550660792951</v>
      </c>
      <c r="I2867" s="89">
        <v>78</v>
      </c>
      <c r="J2867" s="90">
        <v>12349</v>
      </c>
      <c r="K2867" s="85">
        <v>0</v>
      </c>
      <c r="L2867" s="85">
        <v>9</v>
      </c>
      <c r="M2867" s="85">
        <v>0</v>
      </c>
      <c r="N2867" s="82" t="s">
        <v>11404</v>
      </c>
      <c r="O2867" s="93">
        <v>45866.547546296293</v>
      </c>
    </row>
    <row r="2868" spans="1:15" ht="22.5" customHeight="1">
      <c r="A2868" s="85">
        <v>174904221976312</v>
      </c>
      <c r="B2868" s="82" t="s">
        <v>10651</v>
      </c>
      <c r="C2868" s="82" t="s">
        <v>11325</v>
      </c>
      <c r="D2868" s="82" t="s">
        <v>2274</v>
      </c>
      <c r="E2868" s="82">
        <v>6281316839343</v>
      </c>
      <c r="F2868" s="92">
        <v>45865</v>
      </c>
      <c r="G2868" s="87">
        <v>2063</v>
      </c>
      <c r="H2868" s="88">
        <v>6403.5714285714284</v>
      </c>
      <c r="I2868" s="89">
        <v>76</v>
      </c>
      <c r="J2868" s="90">
        <v>14344</v>
      </c>
      <c r="K2868" s="85">
        <v>20</v>
      </c>
      <c r="L2868" s="85">
        <v>330</v>
      </c>
      <c r="M2868" s="85">
        <v>1</v>
      </c>
      <c r="N2868" s="82" t="s">
        <v>11344</v>
      </c>
      <c r="O2868" s="93">
        <v>45866.506041666667</v>
      </c>
    </row>
    <row r="2869" spans="1:15" ht="22.5" customHeight="1">
      <c r="A2869" s="85">
        <v>174904221976312</v>
      </c>
      <c r="B2869" s="82" t="s">
        <v>10651</v>
      </c>
      <c r="C2869" s="82" t="s">
        <v>11309</v>
      </c>
      <c r="D2869" s="82" t="s">
        <v>11350</v>
      </c>
      <c r="E2869" s="82">
        <v>6281229745253</v>
      </c>
      <c r="F2869" s="92">
        <v>45865</v>
      </c>
      <c r="G2869" s="87">
        <v>201</v>
      </c>
      <c r="H2869" s="88">
        <v>66077.253218884129</v>
      </c>
      <c r="I2869" s="89">
        <v>12</v>
      </c>
      <c r="J2869" s="90">
        <v>15396</v>
      </c>
      <c r="K2869" s="85">
        <v>2</v>
      </c>
      <c r="L2869" s="85">
        <v>22</v>
      </c>
      <c r="M2869" s="85">
        <v>0</v>
      </c>
      <c r="N2869" s="82" t="s">
        <v>11351</v>
      </c>
      <c r="O2869" s="93">
        <v>45866.464120370372</v>
      </c>
    </row>
    <row r="2870" spans="1:15" ht="22.5" customHeight="1">
      <c r="A2870" s="85">
        <v>174904221976312</v>
      </c>
      <c r="B2870" s="82" t="s">
        <v>10651</v>
      </c>
      <c r="C2870" s="82" t="s">
        <v>11291</v>
      </c>
      <c r="D2870" s="82" t="s">
        <v>11292</v>
      </c>
      <c r="E2870" s="82">
        <v>6283183643221</v>
      </c>
      <c r="F2870" s="92">
        <v>45865</v>
      </c>
      <c r="G2870" s="87">
        <v>161</v>
      </c>
      <c r="H2870" s="88">
        <v>79849.162011173175</v>
      </c>
      <c r="I2870" s="89">
        <v>3</v>
      </c>
      <c r="J2870" s="90">
        <v>14293</v>
      </c>
      <c r="K2870" s="85">
        <v>0</v>
      </c>
      <c r="L2870" s="85">
        <v>69</v>
      </c>
      <c r="M2870" s="85">
        <v>0</v>
      </c>
      <c r="N2870" s="82" t="s">
        <v>11293</v>
      </c>
      <c r="O2870" s="93">
        <v>45866.506053240744</v>
      </c>
    </row>
    <row r="2871" spans="1:15" ht="22.5" customHeight="1">
      <c r="A2871" s="85">
        <v>174904221976312</v>
      </c>
      <c r="B2871" s="82" t="s">
        <v>10651</v>
      </c>
      <c r="C2871" s="82" t="s">
        <v>11213</v>
      </c>
      <c r="D2871" s="82" t="s">
        <v>2022</v>
      </c>
      <c r="E2871" s="82">
        <v>6285274759862</v>
      </c>
      <c r="F2871" s="92">
        <v>45865</v>
      </c>
      <c r="G2871" s="87">
        <v>781</v>
      </c>
      <c r="H2871" s="88">
        <v>13956.382978723404</v>
      </c>
      <c r="I2871" s="89">
        <v>21</v>
      </c>
      <c r="J2871" s="90">
        <v>13119</v>
      </c>
      <c r="K2871" s="85">
        <v>6</v>
      </c>
      <c r="L2871" s="85">
        <v>229</v>
      </c>
      <c r="M2871" s="85">
        <v>1</v>
      </c>
      <c r="N2871" s="82" t="s">
        <v>11214</v>
      </c>
      <c r="O2871" s="93">
        <v>45866.568506944444</v>
      </c>
    </row>
    <row r="2872" spans="1:15" ht="22.5" customHeight="1">
      <c r="A2872" s="85">
        <v>174904221976312</v>
      </c>
      <c r="B2872" s="82" t="s">
        <v>10651</v>
      </c>
      <c r="C2872" s="82" t="s">
        <v>11225</v>
      </c>
      <c r="D2872" s="82" t="s">
        <v>11226</v>
      </c>
      <c r="E2872" s="82">
        <v>6281240144744</v>
      </c>
      <c r="F2872" s="92">
        <v>45865</v>
      </c>
      <c r="G2872" s="87">
        <v>1420</v>
      </c>
      <c r="H2872" s="88">
        <v>7690.3719912472643</v>
      </c>
      <c r="I2872" s="89">
        <v>43</v>
      </c>
      <c r="J2872" s="90">
        <v>14058</v>
      </c>
      <c r="K2872" s="85">
        <v>4</v>
      </c>
      <c r="L2872" s="85">
        <v>336</v>
      </c>
      <c r="M2872" s="85">
        <v>2</v>
      </c>
      <c r="N2872" s="82" t="s">
        <v>11227</v>
      </c>
      <c r="O2872" s="93">
        <v>45866.651689814818</v>
      </c>
    </row>
    <row r="2873" spans="1:15" ht="22.5" customHeight="1">
      <c r="A2873" s="85">
        <v>174904221976312</v>
      </c>
      <c r="B2873" s="82" t="s">
        <v>10651</v>
      </c>
      <c r="C2873" s="82" t="s">
        <v>11144</v>
      </c>
      <c r="D2873" s="82" t="s">
        <v>11145</v>
      </c>
      <c r="E2873" s="82">
        <v>6282128714101</v>
      </c>
      <c r="F2873" s="92">
        <v>45865</v>
      </c>
      <c r="G2873" s="87">
        <v>259</v>
      </c>
      <c r="H2873" s="88">
        <v>36340.206185567011</v>
      </c>
      <c r="I2873" s="89">
        <v>3</v>
      </c>
      <c r="J2873" s="90">
        <v>10575</v>
      </c>
      <c r="K2873" s="85">
        <v>1</v>
      </c>
      <c r="L2873" s="85">
        <v>12</v>
      </c>
      <c r="M2873" s="85">
        <v>0</v>
      </c>
      <c r="N2873" s="82" t="s">
        <v>11146</v>
      </c>
      <c r="O2873" s="93">
        <v>45866.216643518521</v>
      </c>
    </row>
    <row r="2874" spans="1:15" ht="22.5" customHeight="1">
      <c r="A2874" s="85">
        <v>174904221976312</v>
      </c>
      <c r="B2874" s="82" t="s">
        <v>10651</v>
      </c>
      <c r="C2874" s="82" t="s">
        <v>11153</v>
      </c>
      <c r="D2874" s="82" t="s">
        <v>11154</v>
      </c>
      <c r="E2874" s="82">
        <v>6285338137835</v>
      </c>
      <c r="F2874" s="92">
        <v>45865</v>
      </c>
      <c r="G2874" s="87">
        <v>277</v>
      </c>
      <c r="H2874" s="88">
        <v>38241.157556270096</v>
      </c>
      <c r="I2874" s="89">
        <v>9</v>
      </c>
      <c r="J2874" s="90">
        <v>11893</v>
      </c>
      <c r="K2874" s="85">
        <v>1</v>
      </c>
      <c r="L2874" s="85">
        <v>54</v>
      </c>
      <c r="M2874" s="85">
        <v>0</v>
      </c>
      <c r="N2874" s="82" t="s">
        <v>11155</v>
      </c>
      <c r="O2874" s="93">
        <v>45866.67255787037</v>
      </c>
    </row>
    <row r="2875" spans="1:15" ht="22.5" customHeight="1">
      <c r="A2875" s="85">
        <v>174904221976312</v>
      </c>
      <c r="B2875" s="82" t="s">
        <v>10651</v>
      </c>
      <c r="C2875" s="82" t="s">
        <v>10943</v>
      </c>
      <c r="D2875" s="82" t="s">
        <v>10944</v>
      </c>
      <c r="E2875" s="82">
        <v>6285240694097</v>
      </c>
      <c r="F2875" s="92">
        <v>45865</v>
      </c>
      <c r="G2875" s="87">
        <v>650</v>
      </c>
      <c r="H2875" s="88">
        <v>15817.694369973191</v>
      </c>
      <c r="I2875" s="89">
        <v>21</v>
      </c>
      <c r="J2875" s="90">
        <v>11800</v>
      </c>
      <c r="K2875" s="85">
        <v>1</v>
      </c>
      <c r="L2875" s="85">
        <v>46</v>
      </c>
      <c r="M2875" s="85">
        <v>0</v>
      </c>
      <c r="N2875" s="82" t="s">
        <v>10945</v>
      </c>
      <c r="O2875" s="93">
        <v>45866.547534722224</v>
      </c>
    </row>
    <row r="2876" spans="1:15" ht="22.5" customHeight="1">
      <c r="A2876" s="85">
        <v>174904221976312</v>
      </c>
      <c r="B2876" s="82" t="s">
        <v>10651</v>
      </c>
      <c r="C2876" s="82" t="s">
        <v>10853</v>
      </c>
      <c r="D2876" s="82" t="s">
        <v>10854</v>
      </c>
      <c r="E2876" s="82">
        <v>6281393958199</v>
      </c>
      <c r="F2876" s="92">
        <v>45865</v>
      </c>
      <c r="G2876" s="87">
        <v>503</v>
      </c>
      <c r="H2876" s="88">
        <v>23887.438825448611</v>
      </c>
      <c r="I2876" s="89">
        <v>27</v>
      </c>
      <c r="J2876" s="90">
        <v>14643</v>
      </c>
      <c r="K2876" s="85">
        <v>6</v>
      </c>
      <c r="L2876" s="85">
        <v>142</v>
      </c>
      <c r="M2876" s="85">
        <v>0</v>
      </c>
      <c r="N2876" s="82" t="s">
        <v>10855</v>
      </c>
      <c r="O2876" s="93">
        <v>45866.610324074078</v>
      </c>
    </row>
    <row r="2877" spans="1:15" ht="22.5" customHeight="1">
      <c r="A2877" s="85">
        <v>174904221976312</v>
      </c>
      <c r="B2877" s="82" t="s">
        <v>10651</v>
      </c>
      <c r="C2877" s="82" t="s">
        <v>818</v>
      </c>
      <c r="D2877" s="82" t="s">
        <v>812</v>
      </c>
      <c r="E2877" s="82">
        <v>6287858585808</v>
      </c>
      <c r="F2877" s="92">
        <v>45865</v>
      </c>
      <c r="G2877" s="87">
        <v>781</v>
      </c>
      <c r="H2877" s="88">
        <v>15088.888888888889</v>
      </c>
      <c r="I2877" s="89">
        <v>14</v>
      </c>
      <c r="J2877" s="90">
        <v>14259</v>
      </c>
      <c r="K2877" s="85">
        <v>2</v>
      </c>
      <c r="L2877" s="85">
        <v>229</v>
      </c>
      <c r="M2877" s="85">
        <v>0</v>
      </c>
      <c r="N2877" s="82" t="s">
        <v>10831</v>
      </c>
      <c r="O2877" s="93">
        <v>45866.589386574073</v>
      </c>
    </row>
    <row r="2878" spans="1:15" ht="22.5" customHeight="1">
      <c r="A2878" s="85">
        <v>174904221976312</v>
      </c>
      <c r="B2878" s="82" t="s">
        <v>10651</v>
      </c>
      <c r="C2878" s="82" t="s">
        <v>11078</v>
      </c>
      <c r="D2878" s="82" t="s">
        <v>3140</v>
      </c>
      <c r="E2878" s="82"/>
      <c r="F2878" s="92">
        <v>45865</v>
      </c>
      <c r="G2878" s="87">
        <v>3439</v>
      </c>
      <c r="H2878" s="88">
        <v>3491.9093851132684</v>
      </c>
      <c r="I2878" s="89">
        <v>86</v>
      </c>
      <c r="J2878" s="90">
        <v>14027</v>
      </c>
      <c r="K2878" s="85">
        <v>6</v>
      </c>
      <c r="L2878" s="85">
        <v>48</v>
      </c>
      <c r="M2878" s="85">
        <v>0</v>
      </c>
      <c r="N2878" s="82" t="s">
        <v>11079</v>
      </c>
      <c r="O2878" s="93">
        <v>45866.589375000003</v>
      </c>
    </row>
    <row r="2879" spans="1:15" ht="22.5" customHeight="1">
      <c r="A2879" s="85">
        <v>174904221976312</v>
      </c>
      <c r="B2879" s="82" t="s">
        <v>10651</v>
      </c>
      <c r="C2879" s="82" t="s">
        <v>11485</v>
      </c>
      <c r="D2879" s="82" t="s">
        <v>11486</v>
      </c>
      <c r="E2879" s="82">
        <v>6281378757554</v>
      </c>
      <c r="F2879" s="92">
        <v>45865</v>
      </c>
      <c r="G2879" s="87">
        <v>443</v>
      </c>
      <c r="H2879" s="88">
        <v>25940.384615384617</v>
      </c>
      <c r="I2879" s="89">
        <v>16</v>
      </c>
      <c r="J2879" s="90">
        <v>13489</v>
      </c>
      <c r="K2879" s="85">
        <v>3</v>
      </c>
      <c r="L2879" s="85">
        <v>102</v>
      </c>
      <c r="M2879" s="85">
        <v>1</v>
      </c>
      <c r="N2879" s="82" t="s">
        <v>11487</v>
      </c>
      <c r="O2879" s="93">
        <v>45866.610335648147</v>
      </c>
    </row>
    <row r="2880" spans="1:15" ht="22.5" customHeight="1">
      <c r="A2880" s="85">
        <v>759724529202804</v>
      </c>
      <c r="B2880" s="82" t="s">
        <v>10621</v>
      </c>
      <c r="C2880" s="82" t="s">
        <v>11070</v>
      </c>
      <c r="D2880" s="82" t="s">
        <v>11071</v>
      </c>
      <c r="E2880" s="82">
        <v>6281246211381</v>
      </c>
      <c r="F2880" s="92">
        <v>45866</v>
      </c>
      <c r="G2880" s="87">
        <v>613</v>
      </c>
      <c r="H2880" s="88">
        <v>21201.428571428572</v>
      </c>
      <c r="I2880" s="89">
        <v>13</v>
      </c>
      <c r="J2880" s="90">
        <v>14841</v>
      </c>
      <c r="K2880" s="85">
        <v>1</v>
      </c>
      <c r="L2880" s="85">
        <v>45</v>
      </c>
      <c r="M2880" s="85">
        <v>1</v>
      </c>
      <c r="N2880" s="82" t="s">
        <v>11072</v>
      </c>
      <c r="O2880" s="93">
        <v>45867.776759259257</v>
      </c>
    </row>
    <row r="2881" spans="1:15" ht="22.5" customHeight="1">
      <c r="A2881" s="85">
        <v>759724529202804</v>
      </c>
      <c r="B2881" s="82" t="s">
        <v>10621</v>
      </c>
      <c r="C2881" s="82" t="s">
        <v>11016</v>
      </c>
      <c r="D2881" s="82" t="s">
        <v>1530</v>
      </c>
      <c r="E2881" s="82">
        <v>628111988553</v>
      </c>
      <c r="F2881" s="92">
        <v>45866</v>
      </c>
      <c r="G2881" s="87">
        <v>180</v>
      </c>
      <c r="H2881" s="88">
        <v>79314.720812182743</v>
      </c>
      <c r="I2881" s="89">
        <v>12</v>
      </c>
      <c r="J2881" s="90">
        <v>15625</v>
      </c>
      <c r="K2881" s="85">
        <v>0</v>
      </c>
      <c r="L2881" s="85">
        <v>39</v>
      </c>
      <c r="M2881" s="85">
        <v>0</v>
      </c>
      <c r="N2881" s="82" t="s">
        <v>11017</v>
      </c>
      <c r="O2881" s="93">
        <v>45867.463865740741</v>
      </c>
    </row>
    <row r="2882" spans="1:15" ht="22.5" customHeight="1">
      <c r="A2882" s="85">
        <v>759724529202804</v>
      </c>
      <c r="B2882" s="82" t="s">
        <v>10621</v>
      </c>
      <c r="C2882" s="82" t="s">
        <v>540</v>
      </c>
      <c r="D2882" s="82" t="s">
        <v>10755</v>
      </c>
      <c r="E2882" s="82">
        <v>6281335728695</v>
      </c>
      <c r="F2882" s="92">
        <v>45866</v>
      </c>
      <c r="G2882" s="87">
        <v>1021</v>
      </c>
      <c r="H2882" s="88">
        <v>12326.724821570184</v>
      </c>
      <c r="I2882" s="89">
        <v>27</v>
      </c>
      <c r="J2882" s="90">
        <v>15544</v>
      </c>
      <c r="K2882" s="85">
        <v>1</v>
      </c>
      <c r="L2882" s="85">
        <v>98</v>
      </c>
      <c r="M2882" s="85">
        <v>0</v>
      </c>
      <c r="N2882" s="82" t="s">
        <v>10756</v>
      </c>
      <c r="O2882" s="93">
        <v>45867.588969907411</v>
      </c>
    </row>
    <row r="2883" spans="1:15" ht="22.5" customHeight="1">
      <c r="A2883" s="85">
        <v>174904221976312</v>
      </c>
      <c r="B2883" s="82" t="s">
        <v>10651</v>
      </c>
      <c r="C2883" s="82" t="s">
        <v>11574</v>
      </c>
      <c r="D2883" s="82" t="s">
        <v>3045</v>
      </c>
      <c r="E2883" s="82">
        <v>6285727626320</v>
      </c>
      <c r="F2883" s="92">
        <v>45866</v>
      </c>
      <c r="G2883" s="87">
        <v>257</v>
      </c>
      <c r="H2883" s="88">
        <v>28236.933797909409</v>
      </c>
      <c r="I2883" s="89">
        <v>7</v>
      </c>
      <c r="J2883" s="90">
        <v>8104</v>
      </c>
      <c r="K2883" s="85">
        <v>3</v>
      </c>
      <c r="L2883" s="85">
        <v>72</v>
      </c>
      <c r="M2883" s="85">
        <v>0</v>
      </c>
      <c r="N2883" s="82" t="s">
        <v>11575</v>
      </c>
      <c r="O2883" s="93">
        <v>45867.734803240739</v>
      </c>
    </row>
    <row r="2884" spans="1:15" ht="22.5" customHeight="1">
      <c r="A2884" s="85">
        <v>174904221976312</v>
      </c>
      <c r="B2884" s="82" t="s">
        <v>10651</v>
      </c>
      <c r="C2884" s="82" t="s">
        <v>11576</v>
      </c>
      <c r="D2884" s="82" t="s">
        <v>3083</v>
      </c>
      <c r="E2884" s="82">
        <v>6281399886462</v>
      </c>
      <c r="F2884" s="92">
        <v>45866</v>
      </c>
      <c r="G2884" s="87">
        <v>455</v>
      </c>
      <c r="H2884" s="88">
        <v>20032.258064516129</v>
      </c>
      <c r="I2884" s="89">
        <v>17</v>
      </c>
      <c r="J2884" s="90">
        <v>9936</v>
      </c>
      <c r="K2884" s="85">
        <v>2</v>
      </c>
      <c r="L2884" s="85">
        <v>14</v>
      </c>
      <c r="M2884" s="85">
        <v>0</v>
      </c>
      <c r="N2884" s="82" t="s">
        <v>11577</v>
      </c>
      <c r="O2884" s="93">
        <v>45867.714409722219</v>
      </c>
    </row>
    <row r="2885" spans="1:15" ht="22.5" customHeight="1">
      <c r="A2885" s="85">
        <v>174904221976312</v>
      </c>
      <c r="B2885" s="82" t="s">
        <v>10651</v>
      </c>
      <c r="C2885" s="82" t="s">
        <v>11578</v>
      </c>
      <c r="D2885" s="82" t="s">
        <v>1624</v>
      </c>
      <c r="E2885" s="82">
        <v>6281938384000</v>
      </c>
      <c r="F2885" s="92">
        <v>45866</v>
      </c>
      <c r="G2885" s="87">
        <v>423</v>
      </c>
      <c r="H2885" s="88">
        <v>22633.832976445396</v>
      </c>
      <c r="I2885" s="89">
        <v>19</v>
      </c>
      <c r="J2885" s="90">
        <v>10570</v>
      </c>
      <c r="K2885" s="85">
        <v>3</v>
      </c>
      <c r="L2885" s="85">
        <v>158</v>
      </c>
      <c r="M2885" s="85">
        <v>0</v>
      </c>
      <c r="N2885" s="82" t="s">
        <v>11579</v>
      </c>
      <c r="O2885" s="93">
        <v>45867.714432870373</v>
      </c>
    </row>
    <row r="2886" spans="1:15" ht="22.5" customHeight="1">
      <c r="A2886" s="85">
        <v>174904221976312</v>
      </c>
      <c r="B2886" s="82" t="s">
        <v>10651</v>
      </c>
      <c r="C2886" s="82" t="s">
        <v>11580</v>
      </c>
      <c r="D2886" s="82" t="s">
        <v>11581</v>
      </c>
      <c r="E2886" s="82">
        <v>6287790276733</v>
      </c>
      <c r="F2886" s="92">
        <v>45866</v>
      </c>
      <c r="G2886" s="87">
        <v>720</v>
      </c>
      <c r="H2886" s="88">
        <v>12317.497103128622</v>
      </c>
      <c r="I2886" s="89">
        <v>2</v>
      </c>
      <c r="J2886" s="90">
        <v>10630</v>
      </c>
      <c r="K2886" s="85">
        <v>0</v>
      </c>
      <c r="L2886" s="85">
        <v>37</v>
      </c>
      <c r="M2886" s="85">
        <v>0</v>
      </c>
      <c r="N2886" s="82" t="s">
        <v>11582</v>
      </c>
      <c r="O2886" s="93">
        <v>45867.776226851849</v>
      </c>
    </row>
    <row r="2887" spans="1:15" ht="22.5" customHeight="1">
      <c r="A2887" s="85">
        <v>174904221976312</v>
      </c>
      <c r="B2887" s="82" t="s">
        <v>10651</v>
      </c>
      <c r="C2887" s="82" t="s">
        <v>11583</v>
      </c>
      <c r="D2887" s="82" t="s">
        <v>11584</v>
      </c>
      <c r="E2887" s="82">
        <v>6282285205998</v>
      </c>
      <c r="F2887" s="92">
        <v>45866</v>
      </c>
      <c r="G2887" s="87">
        <v>728</v>
      </c>
      <c r="H2887" s="88">
        <v>14698.257080610021</v>
      </c>
      <c r="I2887" s="89">
        <v>56</v>
      </c>
      <c r="J2887" s="90">
        <v>13493</v>
      </c>
      <c r="K2887" s="85">
        <v>11</v>
      </c>
      <c r="L2887" s="85">
        <v>364</v>
      </c>
      <c r="M2887" s="85">
        <v>1</v>
      </c>
      <c r="N2887" s="82" t="s">
        <v>11585</v>
      </c>
      <c r="O2887" s="93">
        <v>45867.651550925926</v>
      </c>
    </row>
    <row r="2888" spans="1:15" ht="22.5" customHeight="1">
      <c r="A2888" s="85">
        <v>174904221976312</v>
      </c>
      <c r="B2888" s="82" t="s">
        <v>10651</v>
      </c>
      <c r="C2888" s="82" t="s">
        <v>11586</v>
      </c>
      <c r="D2888" s="82" t="s">
        <v>11587</v>
      </c>
      <c r="E2888" s="82">
        <v>6281280241630</v>
      </c>
      <c r="F2888" s="92">
        <v>45866</v>
      </c>
      <c r="G2888" s="87">
        <v>466</v>
      </c>
      <c r="H2888" s="88">
        <v>22258.449304174948</v>
      </c>
      <c r="I2888" s="89">
        <v>19</v>
      </c>
      <c r="J2888" s="90">
        <v>11196</v>
      </c>
      <c r="K2888" s="85">
        <v>4</v>
      </c>
      <c r="L2888" s="85">
        <v>0</v>
      </c>
      <c r="M2888" s="85">
        <v>0</v>
      </c>
      <c r="N2888" s="82" t="s">
        <v>11588</v>
      </c>
      <c r="O2888" s="93">
        <v>45867.797662037039</v>
      </c>
    </row>
    <row r="2889" spans="1:15" ht="22.5" customHeight="1">
      <c r="A2889" s="85">
        <v>174904221976312</v>
      </c>
      <c r="B2889" s="82" t="s">
        <v>10651</v>
      </c>
      <c r="C2889" s="82" t="s">
        <v>11589</v>
      </c>
      <c r="D2889" s="82" t="s">
        <v>3120</v>
      </c>
      <c r="E2889" s="82">
        <v>6281255005229</v>
      </c>
      <c r="F2889" s="92">
        <v>45866</v>
      </c>
      <c r="G2889" s="87">
        <v>580</v>
      </c>
      <c r="H2889" s="88">
        <v>16170.087976539591</v>
      </c>
      <c r="I2889" s="89">
        <v>32</v>
      </c>
      <c r="J2889" s="90">
        <v>11028</v>
      </c>
      <c r="K2889" s="85">
        <v>1</v>
      </c>
      <c r="L2889" s="85">
        <v>59</v>
      </c>
      <c r="M2889" s="85">
        <v>0</v>
      </c>
      <c r="N2889" s="82" t="s">
        <v>11590</v>
      </c>
      <c r="O2889" s="93">
        <v>45867.588969907411</v>
      </c>
    </row>
    <row r="2890" spans="1:15" ht="22.5" customHeight="1">
      <c r="A2890" s="85">
        <v>174904221976312</v>
      </c>
      <c r="B2890" s="82" t="s">
        <v>10651</v>
      </c>
      <c r="C2890" s="82" t="s">
        <v>11591</v>
      </c>
      <c r="D2890" s="82" t="s">
        <v>11592</v>
      </c>
      <c r="E2890" s="82">
        <v>628155157779</v>
      </c>
      <c r="F2890" s="92">
        <v>45866</v>
      </c>
      <c r="G2890" s="87">
        <v>340</v>
      </c>
      <c r="H2890" s="88">
        <v>31902.439024390245</v>
      </c>
      <c r="I2890" s="89">
        <v>19</v>
      </c>
      <c r="J2890" s="90">
        <v>13080</v>
      </c>
      <c r="K2890" s="85">
        <v>4</v>
      </c>
      <c r="L2890" s="85">
        <v>29</v>
      </c>
      <c r="M2890" s="85">
        <v>0</v>
      </c>
      <c r="N2890" s="82" t="s">
        <v>11593</v>
      </c>
      <c r="O2890" s="93">
        <v>45867.714571759258</v>
      </c>
    </row>
    <row r="2891" spans="1:15" ht="22.5" customHeight="1">
      <c r="A2891" s="85">
        <v>174904221976312</v>
      </c>
      <c r="B2891" s="82" t="s">
        <v>10651</v>
      </c>
      <c r="C2891" s="82" t="s">
        <v>11594</v>
      </c>
      <c r="D2891" s="82" t="s">
        <v>11595</v>
      </c>
      <c r="E2891" s="82">
        <v>6281366479393</v>
      </c>
      <c r="F2891" s="92">
        <v>45866</v>
      </c>
      <c r="G2891" s="87">
        <v>757</v>
      </c>
      <c r="H2891" s="88">
        <v>11427.66631467793</v>
      </c>
      <c r="I2891" s="89">
        <v>7</v>
      </c>
      <c r="J2891" s="90">
        <v>10822</v>
      </c>
      <c r="K2891" s="85">
        <v>0</v>
      </c>
      <c r="L2891" s="85">
        <v>51</v>
      </c>
      <c r="M2891" s="85">
        <v>0</v>
      </c>
      <c r="N2891" s="82" t="s">
        <v>11596</v>
      </c>
      <c r="O2891" s="93">
        <v>45867.692939814813</v>
      </c>
    </row>
    <row r="2892" spans="1:15" ht="22.5" customHeight="1">
      <c r="A2892" s="85">
        <v>174904221976312</v>
      </c>
      <c r="B2892" s="82" t="s">
        <v>10651</v>
      </c>
      <c r="C2892" s="82" t="s">
        <v>11597</v>
      </c>
      <c r="D2892" s="82" t="s">
        <v>11598</v>
      </c>
      <c r="E2892" s="82">
        <v>6282123587173</v>
      </c>
      <c r="F2892" s="92">
        <v>45866</v>
      </c>
      <c r="G2892" s="87">
        <v>635</v>
      </c>
      <c r="H2892" s="88">
        <v>16633.416458852866</v>
      </c>
      <c r="I2892" s="89">
        <v>8</v>
      </c>
      <c r="J2892" s="90">
        <v>13340</v>
      </c>
      <c r="K2892" s="85">
        <v>0</v>
      </c>
      <c r="L2892" s="85">
        <v>24</v>
      </c>
      <c r="M2892" s="85">
        <v>0</v>
      </c>
      <c r="N2892" s="82" t="s">
        <v>11599</v>
      </c>
      <c r="O2892" s="93">
        <v>45867.630648148152</v>
      </c>
    </row>
    <row r="2893" spans="1:15" ht="22.5" customHeight="1">
      <c r="A2893" s="85">
        <v>174904221976312</v>
      </c>
      <c r="B2893" s="82" t="s">
        <v>10651</v>
      </c>
      <c r="C2893" s="82" t="s">
        <v>11600</v>
      </c>
      <c r="D2893" s="82" t="s">
        <v>11601</v>
      </c>
      <c r="E2893" s="82">
        <v>62881010278235</v>
      </c>
      <c r="F2893" s="92">
        <v>45866</v>
      </c>
      <c r="G2893" s="87">
        <v>537</v>
      </c>
      <c r="H2893" s="88">
        <v>21795.570698466778</v>
      </c>
      <c r="I2893" s="89">
        <v>21</v>
      </c>
      <c r="J2893" s="90">
        <v>12794</v>
      </c>
      <c r="K2893" s="85">
        <v>4</v>
      </c>
      <c r="L2893" s="85">
        <v>5</v>
      </c>
      <c r="M2893" s="85">
        <v>0</v>
      </c>
      <c r="N2893" s="82" t="s">
        <v>11602</v>
      </c>
      <c r="O2893" s="93">
        <v>45867.735000000001</v>
      </c>
    </row>
    <row r="2894" spans="1:15" ht="22.5" customHeight="1">
      <c r="A2894" s="85">
        <v>174904221976312</v>
      </c>
      <c r="B2894" s="82" t="s">
        <v>10651</v>
      </c>
      <c r="C2894" s="82" t="s">
        <v>11565</v>
      </c>
      <c r="D2894" s="82" t="s">
        <v>11566</v>
      </c>
      <c r="E2894" s="82">
        <v>6282333358533</v>
      </c>
      <c r="F2894" s="92">
        <v>45866</v>
      </c>
      <c r="G2894" s="87">
        <v>324</v>
      </c>
      <c r="H2894" s="88">
        <v>38020.114942528737</v>
      </c>
      <c r="I2894" s="89">
        <v>14</v>
      </c>
      <c r="J2894" s="90">
        <v>13231</v>
      </c>
      <c r="K2894" s="85">
        <v>2</v>
      </c>
      <c r="L2894" s="85">
        <v>139</v>
      </c>
      <c r="M2894" s="85">
        <v>0</v>
      </c>
      <c r="N2894" s="82" t="s">
        <v>11567</v>
      </c>
      <c r="O2894" s="93">
        <v>45867.714421296296</v>
      </c>
    </row>
    <row r="2895" spans="1:15" ht="22.5" customHeight="1">
      <c r="A2895" s="85">
        <v>174904221976312</v>
      </c>
      <c r="B2895" s="82" t="s">
        <v>10651</v>
      </c>
      <c r="C2895" s="82" t="s">
        <v>11568</v>
      </c>
      <c r="D2895" s="82" t="s">
        <v>11569</v>
      </c>
      <c r="E2895" s="82">
        <v>6287826386983</v>
      </c>
      <c r="F2895" s="92">
        <v>45866</v>
      </c>
      <c r="G2895" s="87">
        <v>804</v>
      </c>
      <c r="H2895" s="88">
        <v>16142.700329308454</v>
      </c>
      <c r="I2895" s="89">
        <v>14</v>
      </c>
      <c r="J2895" s="90">
        <v>14706</v>
      </c>
      <c r="K2895" s="85">
        <v>0</v>
      </c>
      <c r="L2895" s="85">
        <v>98</v>
      </c>
      <c r="M2895" s="85">
        <v>0</v>
      </c>
      <c r="N2895" s="82" t="s">
        <v>11570</v>
      </c>
      <c r="O2895" s="93">
        <v>45867.672337962962</v>
      </c>
    </row>
    <row r="2896" spans="1:15" ht="22.5" customHeight="1">
      <c r="A2896" s="85">
        <v>174904221976312</v>
      </c>
      <c r="B2896" s="82" t="s">
        <v>10651</v>
      </c>
      <c r="C2896" s="82" t="s">
        <v>11571</v>
      </c>
      <c r="D2896" s="82" t="s">
        <v>11572</v>
      </c>
      <c r="E2896" s="82">
        <v>6282340878030</v>
      </c>
      <c r="F2896" s="92">
        <v>45866</v>
      </c>
      <c r="G2896" s="87">
        <v>176</v>
      </c>
      <c r="H2896" s="88">
        <v>57702.020202020198</v>
      </c>
      <c r="I2896" s="89">
        <v>8</v>
      </c>
      <c r="J2896" s="90">
        <v>11425</v>
      </c>
      <c r="K2896" s="85">
        <v>2</v>
      </c>
      <c r="L2896" s="85">
        <v>73</v>
      </c>
      <c r="M2896" s="85">
        <v>0</v>
      </c>
      <c r="N2896" s="82" t="s">
        <v>11573</v>
      </c>
      <c r="O2896" s="93">
        <v>45867.61041666667</v>
      </c>
    </row>
    <row r="2897" spans="1:15" ht="22.5" customHeight="1">
      <c r="A2897" s="85">
        <v>174904221976312</v>
      </c>
      <c r="B2897" s="82" t="s">
        <v>10651</v>
      </c>
      <c r="C2897" s="82" t="s">
        <v>11545</v>
      </c>
      <c r="D2897" s="82" t="s">
        <v>3140</v>
      </c>
      <c r="E2897" s="82"/>
      <c r="F2897" s="92">
        <v>45866</v>
      </c>
      <c r="G2897" s="87">
        <v>14389</v>
      </c>
      <c r="H2897" s="88">
        <v>1898.0523094045632</v>
      </c>
      <c r="I2897" s="89">
        <v>275</v>
      </c>
      <c r="J2897" s="90">
        <v>34108</v>
      </c>
      <c r="K2897" s="85">
        <v>11</v>
      </c>
      <c r="L2897" s="85">
        <v>1081</v>
      </c>
      <c r="M2897" s="85">
        <v>0</v>
      </c>
      <c r="N2897" s="82" t="s">
        <v>11546</v>
      </c>
      <c r="O2897" s="93">
        <v>45867.233576388891</v>
      </c>
    </row>
    <row r="2898" spans="1:15" ht="22.5" customHeight="1">
      <c r="A2898" s="85">
        <v>174904221976312</v>
      </c>
      <c r="B2898" s="82" t="s">
        <v>10651</v>
      </c>
      <c r="C2898" s="82" t="s">
        <v>11547</v>
      </c>
      <c r="D2898" s="82" t="s">
        <v>11548</v>
      </c>
      <c r="E2898" s="82">
        <v>6287846030252</v>
      </c>
      <c r="F2898" s="92">
        <v>45866</v>
      </c>
      <c r="G2898" s="87">
        <v>2605</v>
      </c>
      <c r="H2898" s="88">
        <v>5365.0967506389197</v>
      </c>
      <c r="I2898" s="89">
        <v>70</v>
      </c>
      <c r="J2898" s="90">
        <v>14695</v>
      </c>
      <c r="K2898" s="85">
        <v>2</v>
      </c>
      <c r="L2898" s="85">
        <v>0</v>
      </c>
      <c r="M2898" s="85">
        <v>0</v>
      </c>
      <c r="N2898" s="82" t="s">
        <v>11549</v>
      </c>
      <c r="O2898" s="93">
        <v>45867.610173611109</v>
      </c>
    </row>
    <row r="2899" spans="1:15" ht="22.5" customHeight="1">
      <c r="A2899" s="85">
        <v>174904221976312</v>
      </c>
      <c r="B2899" s="82" t="s">
        <v>10651</v>
      </c>
      <c r="C2899" s="82" t="s">
        <v>11550</v>
      </c>
      <c r="D2899" s="82" t="s">
        <v>11551</v>
      </c>
      <c r="E2899" s="82">
        <v>6281327457634</v>
      </c>
      <c r="F2899" s="92">
        <v>45866</v>
      </c>
      <c r="G2899" s="87">
        <v>324</v>
      </c>
      <c r="H2899" s="88">
        <v>34523.545706371187</v>
      </c>
      <c r="I2899" s="89">
        <v>7</v>
      </c>
      <c r="J2899" s="90">
        <v>12463</v>
      </c>
      <c r="K2899" s="85">
        <v>3</v>
      </c>
      <c r="L2899" s="85">
        <v>123</v>
      </c>
      <c r="M2899" s="85">
        <v>0</v>
      </c>
      <c r="N2899" s="82" t="s">
        <v>11552</v>
      </c>
      <c r="O2899" s="93">
        <v>45867.755671296298</v>
      </c>
    </row>
    <row r="2900" spans="1:15" ht="22.5" customHeight="1">
      <c r="A2900" s="85">
        <v>174904221976312</v>
      </c>
      <c r="B2900" s="82" t="s">
        <v>10651</v>
      </c>
      <c r="C2900" s="82" t="s">
        <v>11553</v>
      </c>
      <c r="D2900" s="82" t="s">
        <v>11554</v>
      </c>
      <c r="E2900" s="82">
        <v>628113311777</v>
      </c>
      <c r="F2900" s="92">
        <v>45866</v>
      </c>
      <c r="G2900" s="87">
        <v>863</v>
      </c>
      <c r="H2900" s="88">
        <v>13734.313725490196</v>
      </c>
      <c r="I2900" s="89">
        <v>8</v>
      </c>
      <c r="J2900" s="90">
        <v>14009</v>
      </c>
      <c r="K2900" s="85">
        <v>0</v>
      </c>
      <c r="L2900" s="85">
        <v>0</v>
      </c>
      <c r="M2900" s="85">
        <v>0</v>
      </c>
      <c r="N2900" s="82" t="s">
        <v>11555</v>
      </c>
      <c r="O2900" s="93">
        <v>45867.610185185185</v>
      </c>
    </row>
    <row r="2901" spans="1:15" ht="22.5" customHeight="1">
      <c r="A2901" s="85">
        <v>174904221976312</v>
      </c>
      <c r="B2901" s="82" t="s">
        <v>10651</v>
      </c>
      <c r="C2901" s="82" t="s">
        <v>11556</v>
      </c>
      <c r="D2901" s="82" t="s">
        <v>11557</v>
      </c>
      <c r="E2901" s="82">
        <v>6281553075560</v>
      </c>
      <c r="F2901" s="92">
        <v>45866</v>
      </c>
      <c r="G2901" s="87">
        <v>898</v>
      </c>
      <c r="H2901" s="88">
        <v>9648.8687782805428</v>
      </c>
      <c r="I2901" s="89">
        <v>25</v>
      </c>
      <c r="J2901" s="90">
        <v>10662</v>
      </c>
      <c r="K2901" s="85">
        <v>1</v>
      </c>
      <c r="L2901" s="85">
        <v>332</v>
      </c>
      <c r="M2901" s="85">
        <v>0</v>
      </c>
      <c r="N2901" s="82" t="s">
        <v>11558</v>
      </c>
      <c r="O2901" s="93">
        <v>45867.818124999998</v>
      </c>
    </row>
    <row r="2902" spans="1:15" ht="22.5" customHeight="1">
      <c r="A2902" s="85">
        <v>174904221976312</v>
      </c>
      <c r="B2902" s="82" t="s">
        <v>10651</v>
      </c>
      <c r="C2902" s="82" t="s">
        <v>11559</v>
      </c>
      <c r="D2902" s="82" t="s">
        <v>11560</v>
      </c>
      <c r="E2902" s="82">
        <v>6282333203355</v>
      </c>
      <c r="F2902" s="92">
        <v>45866</v>
      </c>
      <c r="G2902" s="87">
        <v>175</v>
      </c>
      <c r="H2902" s="88">
        <v>70408.376963350791</v>
      </c>
      <c r="I2902" s="89">
        <v>6</v>
      </c>
      <c r="J2902" s="90">
        <v>13448</v>
      </c>
      <c r="K2902" s="85">
        <v>0</v>
      </c>
      <c r="L2902" s="85">
        <v>65</v>
      </c>
      <c r="M2902" s="85">
        <v>0</v>
      </c>
      <c r="N2902" s="82" t="s">
        <v>11561</v>
      </c>
      <c r="O2902" s="93">
        <v>45867.755682870367</v>
      </c>
    </row>
    <row r="2903" spans="1:15" ht="22.5" customHeight="1">
      <c r="A2903" s="85">
        <v>174904221976312</v>
      </c>
      <c r="B2903" s="82" t="s">
        <v>10651</v>
      </c>
      <c r="C2903" s="82" t="s">
        <v>11531</v>
      </c>
      <c r="D2903" s="82" t="s">
        <v>2841</v>
      </c>
      <c r="E2903" s="82">
        <v>62811693222</v>
      </c>
      <c r="F2903" s="92">
        <v>45866</v>
      </c>
      <c r="G2903" s="87">
        <v>1141</v>
      </c>
      <c r="H2903" s="88">
        <v>10717.741935483869</v>
      </c>
      <c r="I2903" s="89">
        <v>37</v>
      </c>
      <c r="J2903" s="90">
        <v>14619</v>
      </c>
      <c r="K2903" s="85">
        <v>2</v>
      </c>
      <c r="L2903" s="85">
        <v>0</v>
      </c>
      <c r="M2903" s="85">
        <v>0</v>
      </c>
      <c r="N2903" s="82" t="s">
        <v>11532</v>
      </c>
      <c r="O2903" s="93">
        <v>45867.672349537039</v>
      </c>
    </row>
    <row r="2904" spans="1:15" ht="22.5" customHeight="1">
      <c r="A2904" s="85">
        <v>174904221976312</v>
      </c>
      <c r="B2904" s="82" t="s">
        <v>10651</v>
      </c>
      <c r="C2904" s="82" t="s">
        <v>11533</v>
      </c>
      <c r="D2904" s="82" t="s">
        <v>11051</v>
      </c>
      <c r="E2904" s="82">
        <v>6285869122507</v>
      </c>
      <c r="F2904" s="92">
        <v>45866</v>
      </c>
      <c r="G2904" s="87">
        <v>657</v>
      </c>
      <c r="H2904" s="88">
        <v>18819.277108433733</v>
      </c>
      <c r="I2904" s="89">
        <v>28</v>
      </c>
      <c r="J2904" s="90">
        <v>14058</v>
      </c>
      <c r="K2904" s="85">
        <v>4</v>
      </c>
      <c r="L2904" s="85">
        <v>2</v>
      </c>
      <c r="M2904" s="85">
        <v>0</v>
      </c>
      <c r="N2904" s="82" t="s">
        <v>11534</v>
      </c>
      <c r="O2904" s="93">
        <v>45867.610173611109</v>
      </c>
    </row>
    <row r="2905" spans="1:15" ht="22.5" customHeight="1">
      <c r="A2905" s="85">
        <v>174904221976312</v>
      </c>
      <c r="B2905" s="82" t="s">
        <v>10651</v>
      </c>
      <c r="C2905" s="82" t="s">
        <v>11535</v>
      </c>
      <c r="D2905" s="82" t="s">
        <v>2969</v>
      </c>
      <c r="E2905" s="82">
        <v>6281286402030</v>
      </c>
      <c r="F2905" s="92">
        <v>45866</v>
      </c>
      <c r="G2905" s="87">
        <v>518</v>
      </c>
      <c r="H2905" s="88">
        <v>22001.788908765655</v>
      </c>
      <c r="I2905" s="89">
        <v>10</v>
      </c>
      <c r="J2905" s="90">
        <v>12299</v>
      </c>
      <c r="K2905" s="85">
        <v>2</v>
      </c>
      <c r="L2905" s="85">
        <v>0</v>
      </c>
      <c r="M2905" s="85">
        <v>0</v>
      </c>
      <c r="N2905" s="82" t="s">
        <v>11536</v>
      </c>
      <c r="O2905" s="93">
        <v>45867.443472222221</v>
      </c>
    </row>
    <row r="2906" spans="1:15" ht="22.5" customHeight="1">
      <c r="A2906" s="85">
        <v>174904221976312</v>
      </c>
      <c r="B2906" s="82" t="s">
        <v>10651</v>
      </c>
      <c r="C2906" s="82" t="s">
        <v>11537</v>
      </c>
      <c r="D2906" s="82" t="s">
        <v>2882</v>
      </c>
      <c r="E2906" s="82">
        <v>6285397990632</v>
      </c>
      <c r="F2906" s="92">
        <v>45866</v>
      </c>
      <c r="G2906" s="87">
        <v>806</v>
      </c>
      <c r="H2906" s="88">
        <v>11738.047808764939</v>
      </c>
      <c r="I2906" s="89">
        <v>15</v>
      </c>
      <c r="J2906" s="90">
        <v>11785</v>
      </c>
      <c r="K2906" s="85">
        <v>1</v>
      </c>
      <c r="L2906" s="85">
        <v>1</v>
      </c>
      <c r="M2906" s="85">
        <v>1</v>
      </c>
      <c r="N2906" s="82" t="s">
        <v>11538</v>
      </c>
      <c r="O2906" s="93">
        <v>45867.484560185185</v>
      </c>
    </row>
    <row r="2907" spans="1:15" ht="22.5" customHeight="1">
      <c r="A2907" s="85">
        <v>174904221976312</v>
      </c>
      <c r="B2907" s="82" t="s">
        <v>10651</v>
      </c>
      <c r="C2907" s="82" t="s">
        <v>11539</v>
      </c>
      <c r="D2907" s="82" t="s">
        <v>2754</v>
      </c>
      <c r="E2907" s="82">
        <v>6285186697099</v>
      </c>
      <c r="F2907" s="92">
        <v>45866</v>
      </c>
      <c r="G2907" s="87">
        <v>211</v>
      </c>
      <c r="H2907" s="88">
        <v>62107.758620689659</v>
      </c>
      <c r="I2907" s="89">
        <v>7</v>
      </c>
      <c r="J2907" s="90">
        <v>14409</v>
      </c>
      <c r="K2907" s="85">
        <v>0</v>
      </c>
      <c r="L2907" s="85">
        <v>0</v>
      </c>
      <c r="M2907" s="85">
        <v>0</v>
      </c>
      <c r="N2907" s="82" t="s">
        <v>11540</v>
      </c>
      <c r="O2907" s="93">
        <v>45867.401435185187</v>
      </c>
    </row>
    <row r="2908" spans="1:15" ht="22.5" customHeight="1">
      <c r="A2908" s="85">
        <v>174904221976312</v>
      </c>
      <c r="B2908" s="82" t="s">
        <v>10651</v>
      </c>
      <c r="C2908" s="82" t="s">
        <v>11514</v>
      </c>
      <c r="D2908" s="82" t="s">
        <v>11515</v>
      </c>
      <c r="E2908" s="82">
        <v>6289607006888</v>
      </c>
      <c r="F2908" s="92">
        <v>45866</v>
      </c>
      <c r="G2908" s="87">
        <v>188</v>
      </c>
      <c r="H2908" s="88">
        <v>59201.970443349754</v>
      </c>
      <c r="I2908" s="89">
        <v>6</v>
      </c>
      <c r="J2908" s="90">
        <v>12018</v>
      </c>
      <c r="K2908" s="85">
        <v>1</v>
      </c>
      <c r="L2908" s="85">
        <v>0</v>
      </c>
      <c r="M2908" s="85">
        <v>0</v>
      </c>
      <c r="N2908" s="82" t="s">
        <v>11516</v>
      </c>
      <c r="O2908" s="93">
        <v>45867.217465277776</v>
      </c>
    </row>
    <row r="2909" spans="1:15" ht="22.5" customHeight="1">
      <c r="A2909" s="85">
        <v>174904221976312</v>
      </c>
      <c r="B2909" s="82" t="s">
        <v>10651</v>
      </c>
      <c r="C2909" s="82" t="s">
        <v>11517</v>
      </c>
      <c r="D2909" s="82" t="s">
        <v>11518</v>
      </c>
      <c r="E2909" s="82">
        <v>6282133271189</v>
      </c>
      <c r="F2909" s="92">
        <v>45866</v>
      </c>
      <c r="G2909" s="87">
        <v>45</v>
      </c>
      <c r="H2909" s="88">
        <v>342361.70212765958</v>
      </c>
      <c r="I2909" s="89">
        <v>0</v>
      </c>
      <c r="J2909" s="90">
        <v>16091</v>
      </c>
      <c r="K2909" s="85">
        <v>0</v>
      </c>
      <c r="L2909" s="85">
        <v>10</v>
      </c>
      <c r="M2909" s="85">
        <v>0</v>
      </c>
      <c r="N2909" s="82" t="s">
        <v>11519</v>
      </c>
      <c r="O2909" s="93">
        <v>45867.588958333334</v>
      </c>
    </row>
    <row r="2910" spans="1:15" ht="22.5" customHeight="1">
      <c r="A2910" s="85">
        <v>174904221976312</v>
      </c>
      <c r="B2910" s="82" t="s">
        <v>10651</v>
      </c>
      <c r="C2910" s="82" t="s">
        <v>11520</v>
      </c>
      <c r="D2910" s="82" t="s">
        <v>2776</v>
      </c>
      <c r="E2910" s="82">
        <v>6285657238556</v>
      </c>
      <c r="F2910" s="92">
        <v>45866</v>
      </c>
      <c r="G2910" s="87">
        <v>565</v>
      </c>
      <c r="H2910" s="88">
        <v>18301.939058171745</v>
      </c>
      <c r="I2910" s="89">
        <v>46</v>
      </c>
      <c r="J2910" s="90">
        <v>13214</v>
      </c>
      <c r="K2910" s="85">
        <v>4</v>
      </c>
      <c r="L2910" s="85">
        <v>219</v>
      </c>
      <c r="M2910" s="85">
        <v>2</v>
      </c>
      <c r="N2910" s="82" t="s">
        <v>11521</v>
      </c>
      <c r="O2910" s="93">
        <v>45867.217476851853</v>
      </c>
    </row>
    <row r="2911" spans="1:15" ht="22.5" customHeight="1">
      <c r="A2911" s="85">
        <v>174904221976312</v>
      </c>
      <c r="B2911" s="82" t="s">
        <v>10651</v>
      </c>
      <c r="C2911" s="82" t="s">
        <v>11506</v>
      </c>
      <c r="D2911" s="82" t="s">
        <v>2700</v>
      </c>
      <c r="E2911" s="82">
        <v>6282197248722</v>
      </c>
      <c r="F2911" s="92">
        <v>45866</v>
      </c>
      <c r="G2911" s="87">
        <v>516</v>
      </c>
      <c r="H2911" s="88">
        <v>24370.434782608696</v>
      </c>
      <c r="I2911" s="89">
        <v>22</v>
      </c>
      <c r="J2911" s="90">
        <v>14013</v>
      </c>
      <c r="K2911" s="85">
        <v>6</v>
      </c>
      <c r="L2911" s="85">
        <v>169</v>
      </c>
      <c r="M2911" s="85">
        <v>0</v>
      </c>
      <c r="N2911" s="82" t="s">
        <v>11507</v>
      </c>
      <c r="O2911" s="93">
        <v>45867.672337962962</v>
      </c>
    </row>
    <row r="2912" spans="1:15" ht="22.5" customHeight="1">
      <c r="A2912" s="85">
        <v>174904221976312</v>
      </c>
      <c r="B2912" s="82" t="s">
        <v>10651</v>
      </c>
      <c r="C2912" s="82" t="s">
        <v>11464</v>
      </c>
      <c r="D2912" s="82" t="s">
        <v>11465</v>
      </c>
      <c r="E2912" s="82">
        <v>62816904358</v>
      </c>
      <c r="F2912" s="92">
        <v>45866</v>
      </c>
      <c r="G2912" s="87">
        <v>310</v>
      </c>
      <c r="H2912" s="88">
        <v>31515.815085158152</v>
      </c>
      <c r="I2912" s="89">
        <v>20</v>
      </c>
      <c r="J2912" s="90">
        <v>12953</v>
      </c>
      <c r="K2912" s="85">
        <v>2</v>
      </c>
      <c r="L2912" s="85">
        <v>49</v>
      </c>
      <c r="M2912" s="85">
        <v>0</v>
      </c>
      <c r="N2912" s="82" t="s">
        <v>11466</v>
      </c>
      <c r="O2912" s="93">
        <v>45867.692928240744</v>
      </c>
    </row>
    <row r="2913" spans="1:15" ht="22.5" customHeight="1">
      <c r="A2913" s="85">
        <v>174904221976312</v>
      </c>
      <c r="B2913" s="82" t="s">
        <v>10651</v>
      </c>
      <c r="C2913" s="82" t="s">
        <v>11470</v>
      </c>
      <c r="D2913" s="82" t="s">
        <v>11471</v>
      </c>
      <c r="E2913" s="82">
        <v>6281225745133</v>
      </c>
      <c r="F2913" s="92">
        <v>45866</v>
      </c>
      <c r="G2913" s="87">
        <v>312</v>
      </c>
      <c r="H2913" s="88">
        <v>44801.186943620181</v>
      </c>
      <c r="I2913" s="89">
        <v>21</v>
      </c>
      <c r="J2913" s="90">
        <v>15098</v>
      </c>
      <c r="K2913" s="85">
        <v>3</v>
      </c>
      <c r="L2913" s="85">
        <v>110</v>
      </c>
      <c r="M2913" s="85">
        <v>0</v>
      </c>
      <c r="N2913" s="82" t="s">
        <v>11472</v>
      </c>
      <c r="O2913" s="93">
        <v>45867.56821759259</v>
      </c>
    </row>
    <row r="2914" spans="1:15" ht="22.5" customHeight="1">
      <c r="A2914" s="85">
        <v>174904221976312</v>
      </c>
      <c r="B2914" s="82" t="s">
        <v>10651</v>
      </c>
      <c r="C2914" s="82" t="s">
        <v>11475</v>
      </c>
      <c r="D2914" s="82" t="s">
        <v>2708</v>
      </c>
      <c r="E2914" s="82">
        <v>6281219329853</v>
      </c>
      <c r="F2914" s="92">
        <v>45866</v>
      </c>
      <c r="G2914" s="87">
        <v>371</v>
      </c>
      <c r="H2914" s="88">
        <v>26267.898383371827</v>
      </c>
      <c r="I2914" s="89">
        <v>16</v>
      </c>
      <c r="J2914" s="90">
        <v>11374</v>
      </c>
      <c r="K2914" s="85">
        <v>1</v>
      </c>
      <c r="L2914" s="85">
        <v>0</v>
      </c>
      <c r="M2914" s="85">
        <v>0</v>
      </c>
      <c r="N2914" s="82" t="s">
        <v>11476</v>
      </c>
      <c r="O2914" s="93">
        <v>45867.588969907411</v>
      </c>
    </row>
    <row r="2915" spans="1:15" ht="22.5" customHeight="1">
      <c r="A2915" s="85">
        <v>174904221976312</v>
      </c>
      <c r="B2915" s="82" t="s">
        <v>10651</v>
      </c>
      <c r="C2915" s="82" t="s">
        <v>11422</v>
      </c>
      <c r="D2915" s="82" t="s">
        <v>11145</v>
      </c>
      <c r="E2915" s="82">
        <v>6282128714101</v>
      </c>
      <c r="F2915" s="92">
        <v>45866</v>
      </c>
      <c r="G2915" s="87">
        <v>197</v>
      </c>
      <c r="H2915" s="88">
        <v>60165.938864628821</v>
      </c>
      <c r="I2915" s="89">
        <v>10</v>
      </c>
      <c r="J2915" s="90">
        <v>13778</v>
      </c>
      <c r="K2915" s="85">
        <v>3</v>
      </c>
      <c r="L2915" s="85">
        <v>41</v>
      </c>
      <c r="M2915" s="85">
        <v>1</v>
      </c>
      <c r="N2915" s="82" t="s">
        <v>11423</v>
      </c>
      <c r="O2915" s="93">
        <v>45867.217499999999</v>
      </c>
    </row>
    <row r="2916" spans="1:15" ht="22.5" customHeight="1">
      <c r="A2916" s="85">
        <v>174904221976312</v>
      </c>
      <c r="B2916" s="82" t="s">
        <v>10651</v>
      </c>
      <c r="C2916" s="82" t="s">
        <v>11427</v>
      </c>
      <c r="D2916" s="82" t="s">
        <v>11428</v>
      </c>
      <c r="E2916" s="82">
        <v>6285268101557</v>
      </c>
      <c r="F2916" s="92">
        <v>45866</v>
      </c>
      <c r="G2916" s="87">
        <v>714</v>
      </c>
      <c r="H2916" s="88">
        <v>16031.331592689296</v>
      </c>
      <c r="I2916" s="89">
        <v>11</v>
      </c>
      <c r="J2916" s="90">
        <v>12280</v>
      </c>
      <c r="K2916" s="85">
        <v>1</v>
      </c>
      <c r="L2916" s="85">
        <v>324</v>
      </c>
      <c r="M2916" s="85">
        <v>0</v>
      </c>
      <c r="N2916" s="82" t="s">
        <v>11429</v>
      </c>
      <c r="O2916" s="93">
        <v>45867.547476851854</v>
      </c>
    </row>
    <row r="2917" spans="1:15" ht="22.5" customHeight="1">
      <c r="A2917" s="85">
        <v>174904221976312</v>
      </c>
      <c r="B2917" s="82" t="s">
        <v>10651</v>
      </c>
      <c r="C2917" s="82" t="s">
        <v>11402</v>
      </c>
      <c r="D2917" s="82" t="s">
        <v>11403</v>
      </c>
      <c r="E2917" s="82">
        <v>6283870060603</v>
      </c>
      <c r="F2917" s="92">
        <v>45866</v>
      </c>
      <c r="G2917" s="87">
        <v>3326</v>
      </c>
      <c r="H2917" s="88">
        <v>3835.5381840048108</v>
      </c>
      <c r="I2917" s="89">
        <v>82</v>
      </c>
      <c r="J2917" s="90">
        <v>12757</v>
      </c>
      <c r="K2917" s="85">
        <v>1</v>
      </c>
      <c r="L2917" s="85">
        <v>11</v>
      </c>
      <c r="M2917" s="85">
        <v>0</v>
      </c>
      <c r="N2917" s="82" t="s">
        <v>11404</v>
      </c>
      <c r="O2917" s="93">
        <v>45867.217476851853</v>
      </c>
    </row>
    <row r="2918" spans="1:15" ht="22.5" customHeight="1">
      <c r="A2918" s="85">
        <v>174904221976312</v>
      </c>
      <c r="B2918" s="82" t="s">
        <v>10651</v>
      </c>
      <c r="C2918" s="82" t="s">
        <v>11325</v>
      </c>
      <c r="D2918" s="82" t="s">
        <v>2274</v>
      </c>
      <c r="E2918" s="82">
        <v>6281316839343</v>
      </c>
      <c r="F2918" s="92">
        <v>45866</v>
      </c>
      <c r="G2918" s="87">
        <v>1502</v>
      </c>
      <c r="H2918" s="88">
        <v>8121.0268948655266</v>
      </c>
      <c r="I2918" s="89">
        <v>64</v>
      </c>
      <c r="J2918" s="90">
        <v>13286</v>
      </c>
      <c r="K2918" s="85">
        <v>12</v>
      </c>
      <c r="L2918" s="85">
        <v>813</v>
      </c>
      <c r="M2918" s="85">
        <v>2</v>
      </c>
      <c r="N2918" s="82" t="s">
        <v>11344</v>
      </c>
      <c r="O2918" s="93">
        <v>45867.217476851853</v>
      </c>
    </row>
    <row r="2919" spans="1:15" ht="22.5" customHeight="1">
      <c r="A2919" s="85">
        <v>174904221976312</v>
      </c>
      <c r="B2919" s="82" t="s">
        <v>10651</v>
      </c>
      <c r="C2919" s="82" t="s">
        <v>11309</v>
      </c>
      <c r="D2919" s="82" t="s">
        <v>11350</v>
      </c>
      <c r="E2919" s="82">
        <v>6281229745253</v>
      </c>
      <c r="F2919" s="92">
        <v>45866</v>
      </c>
      <c r="G2919" s="87">
        <v>202</v>
      </c>
      <c r="H2919" s="88">
        <v>67318.385650224212</v>
      </c>
      <c r="I2919" s="89">
        <v>18</v>
      </c>
      <c r="J2919" s="90">
        <v>15012</v>
      </c>
      <c r="K2919" s="85">
        <v>4</v>
      </c>
      <c r="L2919" s="85">
        <v>39</v>
      </c>
      <c r="M2919" s="85">
        <v>0</v>
      </c>
      <c r="N2919" s="82" t="s">
        <v>11351</v>
      </c>
      <c r="O2919" s="93">
        <v>45867.672326388885</v>
      </c>
    </row>
    <row r="2920" spans="1:15" ht="22.5" customHeight="1">
      <c r="A2920" s="85">
        <v>174904221976312</v>
      </c>
      <c r="B2920" s="82" t="s">
        <v>10651</v>
      </c>
      <c r="C2920" s="82" t="s">
        <v>11291</v>
      </c>
      <c r="D2920" s="82" t="s">
        <v>11292</v>
      </c>
      <c r="E2920" s="82">
        <v>6283183643221</v>
      </c>
      <c r="F2920" s="92">
        <v>45866</v>
      </c>
      <c r="G2920" s="87">
        <v>121</v>
      </c>
      <c r="H2920" s="88">
        <v>110646.61654135337</v>
      </c>
      <c r="I2920" s="89">
        <v>7</v>
      </c>
      <c r="J2920" s="90">
        <v>14716</v>
      </c>
      <c r="K2920" s="85">
        <v>0</v>
      </c>
      <c r="L2920" s="85">
        <v>54</v>
      </c>
      <c r="M2920" s="85">
        <v>0</v>
      </c>
      <c r="N2920" s="82" t="s">
        <v>11293</v>
      </c>
      <c r="O2920" s="93">
        <v>45867.526597222219</v>
      </c>
    </row>
    <row r="2921" spans="1:15" ht="22.5" customHeight="1">
      <c r="A2921" s="85">
        <v>174904221976312</v>
      </c>
      <c r="B2921" s="82" t="s">
        <v>10651</v>
      </c>
      <c r="C2921" s="82" t="s">
        <v>11253</v>
      </c>
      <c r="D2921" s="82" t="s">
        <v>2096</v>
      </c>
      <c r="E2921" s="82">
        <v>6285282777679</v>
      </c>
      <c r="F2921" s="92">
        <v>45866</v>
      </c>
      <c r="G2921" s="87">
        <v>236</v>
      </c>
      <c r="H2921" s="88">
        <v>44486.166007905143</v>
      </c>
      <c r="I2921" s="89">
        <v>1</v>
      </c>
      <c r="J2921" s="90">
        <v>11255</v>
      </c>
      <c r="K2921" s="85">
        <v>1</v>
      </c>
      <c r="L2921" s="85">
        <v>18</v>
      </c>
      <c r="M2921" s="85">
        <v>0</v>
      </c>
      <c r="N2921" s="82" t="s">
        <v>11254</v>
      </c>
      <c r="O2921" s="93">
        <v>45867.651574074072</v>
      </c>
    </row>
    <row r="2922" spans="1:15" ht="22.5" customHeight="1">
      <c r="A2922" s="85">
        <v>174904221976312</v>
      </c>
      <c r="B2922" s="82" t="s">
        <v>10651</v>
      </c>
      <c r="C2922" s="82" t="s">
        <v>11213</v>
      </c>
      <c r="D2922" s="82" t="s">
        <v>2022</v>
      </c>
      <c r="E2922" s="82">
        <v>6285274759862</v>
      </c>
      <c r="F2922" s="92">
        <v>45866</v>
      </c>
      <c r="G2922" s="87">
        <v>998</v>
      </c>
      <c r="H2922" s="88">
        <v>12341.256366723259</v>
      </c>
      <c r="I2922" s="89">
        <v>32</v>
      </c>
      <c r="J2922" s="90">
        <v>14538</v>
      </c>
      <c r="K2922" s="85">
        <v>6</v>
      </c>
      <c r="L2922" s="85">
        <v>317</v>
      </c>
      <c r="M2922" s="85">
        <v>2</v>
      </c>
      <c r="N2922" s="82" t="s">
        <v>11214</v>
      </c>
      <c r="O2922" s="93">
        <v>45867.630636574075</v>
      </c>
    </row>
    <row r="2923" spans="1:15" ht="22.5" customHeight="1">
      <c r="A2923" s="85">
        <v>174904221976312</v>
      </c>
      <c r="B2923" s="82" t="s">
        <v>10651</v>
      </c>
      <c r="C2923" s="82" t="s">
        <v>11225</v>
      </c>
      <c r="D2923" s="82" t="s">
        <v>11226</v>
      </c>
      <c r="E2923" s="82">
        <v>6281240144744</v>
      </c>
      <c r="F2923" s="92">
        <v>45866</v>
      </c>
      <c r="G2923" s="87">
        <v>1353</v>
      </c>
      <c r="H2923" s="88">
        <v>7934.2665855143032</v>
      </c>
      <c r="I2923" s="89">
        <v>26</v>
      </c>
      <c r="J2923" s="90">
        <v>13036</v>
      </c>
      <c r="K2923" s="85">
        <v>2</v>
      </c>
      <c r="L2923" s="85">
        <v>178</v>
      </c>
      <c r="M2923" s="85">
        <v>0</v>
      </c>
      <c r="N2923" s="82" t="s">
        <v>11227</v>
      </c>
      <c r="O2923" s="93">
        <v>45867.672326388885</v>
      </c>
    </row>
    <row r="2924" spans="1:15" ht="22.5" customHeight="1">
      <c r="A2924" s="85">
        <v>174904221976312</v>
      </c>
      <c r="B2924" s="82" t="s">
        <v>10651</v>
      </c>
      <c r="C2924" s="82" t="s">
        <v>11193</v>
      </c>
      <c r="D2924" s="82" t="s">
        <v>11194</v>
      </c>
      <c r="E2924" s="82">
        <v>6281779578317</v>
      </c>
      <c r="F2924" s="92">
        <v>45866</v>
      </c>
      <c r="G2924" s="87">
        <v>769</v>
      </c>
      <c r="H2924" s="88">
        <v>15375.715922107674</v>
      </c>
      <c r="I2924" s="89">
        <v>34</v>
      </c>
      <c r="J2924" s="90">
        <v>13423</v>
      </c>
      <c r="K2924" s="85">
        <v>6</v>
      </c>
      <c r="L2924" s="85">
        <v>248</v>
      </c>
      <c r="M2924" s="85">
        <v>0</v>
      </c>
      <c r="N2924" s="82" t="s">
        <v>11195</v>
      </c>
      <c r="O2924" s="93">
        <v>45867.651550925926</v>
      </c>
    </row>
    <row r="2925" spans="1:15" ht="22.5" customHeight="1">
      <c r="A2925" s="85">
        <v>174904221976312</v>
      </c>
      <c r="B2925" s="82" t="s">
        <v>10651</v>
      </c>
      <c r="C2925" s="82" t="s">
        <v>11153</v>
      </c>
      <c r="D2925" s="82" t="s">
        <v>11154</v>
      </c>
      <c r="E2925" s="82">
        <v>6285338137835</v>
      </c>
      <c r="F2925" s="92">
        <v>45866</v>
      </c>
      <c r="G2925" s="87">
        <v>265</v>
      </c>
      <c r="H2925" s="88">
        <v>42307.692307692305</v>
      </c>
      <c r="I2925" s="89">
        <v>7</v>
      </c>
      <c r="J2925" s="90">
        <v>13200</v>
      </c>
      <c r="K2925" s="85">
        <v>2</v>
      </c>
      <c r="L2925" s="85">
        <v>2</v>
      </c>
      <c r="M2925" s="85">
        <v>0</v>
      </c>
      <c r="N2925" s="82" t="s">
        <v>11155</v>
      </c>
      <c r="O2925" s="93">
        <v>45867.630648148152</v>
      </c>
    </row>
    <row r="2926" spans="1:15" ht="22.5" customHeight="1">
      <c r="A2926" s="85">
        <v>174904221976312</v>
      </c>
      <c r="B2926" s="82" t="s">
        <v>10651</v>
      </c>
      <c r="C2926" s="82" t="s">
        <v>10943</v>
      </c>
      <c r="D2926" s="82" t="s">
        <v>10944</v>
      </c>
      <c r="E2926" s="82">
        <v>6285240694097</v>
      </c>
      <c r="F2926" s="92">
        <v>45866</v>
      </c>
      <c r="G2926" s="87">
        <v>749</v>
      </c>
      <c r="H2926" s="88">
        <v>14799.568965517243</v>
      </c>
      <c r="I2926" s="89">
        <v>20</v>
      </c>
      <c r="J2926" s="90">
        <v>13734</v>
      </c>
      <c r="K2926" s="85">
        <v>3</v>
      </c>
      <c r="L2926" s="85">
        <v>102</v>
      </c>
      <c r="M2926" s="85">
        <v>0</v>
      </c>
      <c r="N2926" s="82" t="s">
        <v>10945</v>
      </c>
      <c r="O2926" s="93">
        <v>45867.568240740744</v>
      </c>
    </row>
    <row r="2927" spans="1:15" ht="22.5" customHeight="1">
      <c r="A2927" s="85">
        <v>174904221976312</v>
      </c>
      <c r="B2927" s="82" t="s">
        <v>10651</v>
      </c>
      <c r="C2927" s="82" t="s">
        <v>10853</v>
      </c>
      <c r="D2927" s="82" t="s">
        <v>10854</v>
      </c>
      <c r="E2927" s="82">
        <v>6281393958199</v>
      </c>
      <c r="F2927" s="92">
        <v>45866</v>
      </c>
      <c r="G2927" s="87">
        <v>605</v>
      </c>
      <c r="H2927" s="88">
        <v>20348.703170028821</v>
      </c>
      <c r="I2927" s="89">
        <v>13</v>
      </c>
      <c r="J2927" s="90">
        <v>14122</v>
      </c>
      <c r="K2927" s="85">
        <v>0</v>
      </c>
      <c r="L2927" s="85">
        <v>197</v>
      </c>
      <c r="M2927" s="85">
        <v>1</v>
      </c>
      <c r="N2927" s="82" t="s">
        <v>10855</v>
      </c>
      <c r="O2927" s="93">
        <v>45867.589178240742</v>
      </c>
    </row>
    <row r="2928" spans="1:15" ht="22.5" customHeight="1">
      <c r="A2928" s="85">
        <v>174904221976312</v>
      </c>
      <c r="B2928" s="82" t="s">
        <v>10651</v>
      </c>
      <c r="C2928" s="82" t="s">
        <v>818</v>
      </c>
      <c r="D2928" s="82" t="s">
        <v>812</v>
      </c>
      <c r="E2928" s="82">
        <v>6287858585808</v>
      </c>
      <c r="F2928" s="92">
        <v>45866</v>
      </c>
      <c r="G2928" s="87">
        <v>681</v>
      </c>
      <c r="H2928" s="88">
        <v>16790.784557907846</v>
      </c>
      <c r="I2928" s="89">
        <v>6</v>
      </c>
      <c r="J2928" s="90">
        <v>13483</v>
      </c>
      <c r="K2928" s="85">
        <v>0</v>
      </c>
      <c r="L2928" s="85">
        <v>181</v>
      </c>
      <c r="M2928" s="85">
        <v>0</v>
      </c>
      <c r="N2928" s="82" t="s">
        <v>11603</v>
      </c>
      <c r="O2928" s="93">
        <v>45867.423796296294</v>
      </c>
    </row>
    <row r="2929" spans="1:15" ht="22.5" customHeight="1">
      <c r="A2929" s="85">
        <v>174904221976312</v>
      </c>
      <c r="B2929" s="82" t="s">
        <v>10651</v>
      </c>
      <c r="C2929" s="82" t="s">
        <v>10696</v>
      </c>
      <c r="D2929" s="82" t="s">
        <v>236</v>
      </c>
      <c r="E2929" s="82"/>
      <c r="F2929" s="92">
        <v>45866</v>
      </c>
      <c r="G2929" s="87">
        <v>603</v>
      </c>
      <c r="H2929" s="88">
        <v>16823.066841415464</v>
      </c>
      <c r="I2929" s="89">
        <v>33</v>
      </c>
      <c r="J2929" s="90">
        <v>12836</v>
      </c>
      <c r="K2929" s="85">
        <v>7</v>
      </c>
      <c r="L2929" s="85">
        <v>240</v>
      </c>
      <c r="M2929" s="85">
        <v>0</v>
      </c>
      <c r="N2929" s="82" t="s">
        <v>10697</v>
      </c>
      <c r="O2929" s="93">
        <v>45867.568229166667</v>
      </c>
    </row>
    <row r="2930" spans="1:15" ht="22.5" customHeight="1">
      <c r="A2930" s="85">
        <v>174904221976312</v>
      </c>
      <c r="B2930" s="82" t="s">
        <v>10651</v>
      </c>
      <c r="C2930" s="82" t="s">
        <v>11078</v>
      </c>
      <c r="D2930" s="82" t="s">
        <v>3140</v>
      </c>
      <c r="E2930" s="82"/>
      <c r="F2930" s="92">
        <v>45866</v>
      </c>
      <c r="G2930" s="87">
        <v>2457</v>
      </c>
      <c r="H2930" s="88">
        <v>4281.6856780735106</v>
      </c>
      <c r="I2930" s="89">
        <v>49</v>
      </c>
      <c r="J2930" s="90">
        <v>13513</v>
      </c>
      <c r="K2930" s="85">
        <v>3</v>
      </c>
      <c r="L2930" s="85">
        <v>155</v>
      </c>
      <c r="M2930" s="85">
        <v>1</v>
      </c>
      <c r="N2930" s="82" t="s">
        <v>11079</v>
      </c>
      <c r="O2930" s="93">
        <v>45867.692928240744</v>
      </c>
    </row>
    <row r="2931" spans="1:15" ht="22.5" customHeight="1">
      <c r="A2931" s="85">
        <v>174904221976312</v>
      </c>
      <c r="B2931" s="82" t="s">
        <v>10651</v>
      </c>
      <c r="C2931" s="82" t="s">
        <v>11485</v>
      </c>
      <c r="D2931" s="82" t="s">
        <v>11486</v>
      </c>
      <c r="E2931" s="82">
        <v>6281378757554</v>
      </c>
      <c r="F2931" s="92">
        <v>45866</v>
      </c>
      <c r="G2931" s="87">
        <v>331</v>
      </c>
      <c r="H2931" s="88">
        <v>33454.545454545456</v>
      </c>
      <c r="I2931" s="89">
        <v>7</v>
      </c>
      <c r="J2931" s="90">
        <v>13984</v>
      </c>
      <c r="K2931" s="85">
        <v>0</v>
      </c>
      <c r="L2931" s="85">
        <v>84</v>
      </c>
      <c r="M2931" s="85">
        <v>0</v>
      </c>
      <c r="N2931" s="82" t="s">
        <v>11487</v>
      </c>
      <c r="O2931" s="93">
        <v>45867.776493055557</v>
      </c>
    </row>
    <row r="2932" spans="1:15" ht="22.5" customHeight="1">
      <c r="A2932" s="85">
        <v>174904221976312</v>
      </c>
      <c r="B2932" s="82" t="s">
        <v>10651</v>
      </c>
      <c r="C2932" s="82" t="s">
        <v>10833</v>
      </c>
      <c r="D2932" s="82" t="s">
        <v>10834</v>
      </c>
      <c r="E2932" s="82">
        <v>6282242925264</v>
      </c>
      <c r="F2932" s="92">
        <v>45866</v>
      </c>
      <c r="G2932" s="87">
        <v>1597</v>
      </c>
      <c r="H2932" s="88">
        <v>7779.9145299145302</v>
      </c>
      <c r="I2932" s="89">
        <v>76</v>
      </c>
      <c r="J2932" s="90">
        <v>14564</v>
      </c>
      <c r="K2932" s="85">
        <v>6</v>
      </c>
      <c r="L2932" s="85">
        <v>518</v>
      </c>
      <c r="M2932" s="85">
        <v>5</v>
      </c>
      <c r="N2932" s="82" t="s">
        <v>10835</v>
      </c>
      <c r="O2932" s="93">
        <v>45867.630648148152</v>
      </c>
    </row>
    <row r="2933" spans="1:15" ht="22.5" customHeight="1">
      <c r="A2933" s="85">
        <v>766589657993298</v>
      </c>
      <c r="B2933" s="82" t="s">
        <v>10688</v>
      </c>
      <c r="C2933" s="82" t="s">
        <v>11604</v>
      </c>
      <c r="D2933" s="82" t="s">
        <v>2835</v>
      </c>
      <c r="E2933" s="82">
        <v>62895632627969</v>
      </c>
      <c r="F2933" s="92">
        <v>45866</v>
      </c>
      <c r="G2933" s="87">
        <v>557</v>
      </c>
      <c r="H2933" s="88">
        <v>25444.810543657331</v>
      </c>
      <c r="I2933" s="89">
        <v>20</v>
      </c>
      <c r="J2933" s="90">
        <v>15445</v>
      </c>
      <c r="K2933" s="85">
        <v>11</v>
      </c>
      <c r="L2933" s="85">
        <v>298</v>
      </c>
      <c r="M2933" s="85">
        <v>0</v>
      </c>
      <c r="N2933" s="82" t="s">
        <v>11605</v>
      </c>
      <c r="O2933" s="93">
        <v>45867.633657407408</v>
      </c>
    </row>
    <row r="2934" spans="1:15" ht="22.5" customHeight="1">
      <c r="A2934" s="85">
        <v>759724529202804</v>
      </c>
      <c r="B2934" s="82" t="s">
        <v>10621</v>
      </c>
      <c r="C2934" s="82" t="s">
        <v>11070</v>
      </c>
      <c r="D2934" s="82" t="s">
        <v>11071</v>
      </c>
      <c r="E2934" s="82">
        <v>6281246211381</v>
      </c>
      <c r="F2934" s="92">
        <v>45867</v>
      </c>
      <c r="G2934" s="87">
        <v>443</v>
      </c>
      <c r="H2934" s="88">
        <v>31475.982532751092</v>
      </c>
      <c r="I2934" s="89">
        <v>13</v>
      </c>
      <c r="J2934" s="90">
        <v>14416</v>
      </c>
      <c r="K2934" s="85">
        <v>4</v>
      </c>
      <c r="L2934" s="85">
        <v>57</v>
      </c>
      <c r="M2934" s="85">
        <v>0</v>
      </c>
      <c r="N2934" s="82" t="s">
        <v>11072</v>
      </c>
      <c r="O2934" s="93">
        <v>45868.651446759257</v>
      </c>
    </row>
    <row r="2935" spans="1:15" ht="22.5" customHeight="1">
      <c r="A2935" s="85">
        <v>759724529202804</v>
      </c>
      <c r="B2935" s="82" t="s">
        <v>10621</v>
      </c>
      <c r="C2935" s="82" t="s">
        <v>11016</v>
      </c>
      <c r="D2935" s="82" t="s">
        <v>1530</v>
      </c>
      <c r="E2935" s="82">
        <v>628111988553</v>
      </c>
      <c r="F2935" s="92">
        <v>45867</v>
      </c>
      <c r="G2935" s="87">
        <v>173</v>
      </c>
      <c r="H2935" s="88">
        <v>79989.637305699493</v>
      </c>
      <c r="I2935" s="89">
        <v>10</v>
      </c>
      <c r="J2935" s="90">
        <v>15438</v>
      </c>
      <c r="K2935" s="85">
        <v>0</v>
      </c>
      <c r="L2935" s="85">
        <v>0</v>
      </c>
      <c r="M2935" s="85">
        <v>1</v>
      </c>
      <c r="N2935" s="82" t="s">
        <v>11017</v>
      </c>
      <c r="O2935" s="93">
        <v>45868.568379629629</v>
      </c>
    </row>
    <row r="2936" spans="1:15" ht="22.5" customHeight="1">
      <c r="A2936" s="85">
        <v>759724529202804</v>
      </c>
      <c r="B2936" s="82" t="s">
        <v>10621</v>
      </c>
      <c r="C2936" s="82" t="s">
        <v>540</v>
      </c>
      <c r="D2936" s="82" t="s">
        <v>10755</v>
      </c>
      <c r="E2936" s="82">
        <v>6281335728695</v>
      </c>
      <c r="F2936" s="92">
        <v>45867</v>
      </c>
      <c r="G2936" s="87">
        <v>1056</v>
      </c>
      <c r="H2936" s="88">
        <v>13181.187355435621</v>
      </c>
      <c r="I2936" s="89">
        <v>33</v>
      </c>
      <c r="J2936" s="90">
        <v>17096</v>
      </c>
      <c r="K2936" s="85">
        <v>6</v>
      </c>
      <c r="L2936" s="85">
        <v>138</v>
      </c>
      <c r="M2936" s="85">
        <v>0</v>
      </c>
      <c r="N2936" s="82" t="s">
        <v>10756</v>
      </c>
      <c r="O2936" s="93">
        <v>45868.215254629627</v>
      </c>
    </row>
    <row r="2937" spans="1:15" ht="22.5" customHeight="1">
      <c r="A2937" s="85">
        <v>174904221976312</v>
      </c>
      <c r="B2937" s="82" t="s">
        <v>10651</v>
      </c>
      <c r="C2937" s="82" t="s">
        <v>11606</v>
      </c>
      <c r="D2937" s="82" t="s">
        <v>3105</v>
      </c>
      <c r="E2937" s="82">
        <v>6287745180632</v>
      </c>
      <c r="F2937" s="92">
        <v>45867</v>
      </c>
      <c r="G2937" s="87">
        <v>632</v>
      </c>
      <c r="H2937" s="88">
        <v>14180.916976456008</v>
      </c>
      <c r="I2937" s="89">
        <v>35</v>
      </c>
      <c r="J2937" s="90">
        <v>11444</v>
      </c>
      <c r="K2937" s="85">
        <v>5</v>
      </c>
      <c r="L2937" s="85">
        <v>22</v>
      </c>
      <c r="M2937" s="85">
        <v>0</v>
      </c>
      <c r="N2937" s="82" t="s">
        <v>11607</v>
      </c>
      <c r="O2937" s="93">
        <v>45868.714131944442</v>
      </c>
    </row>
    <row r="2938" spans="1:15" ht="22.5" customHeight="1">
      <c r="A2938" s="85">
        <v>174904221976312</v>
      </c>
      <c r="B2938" s="82" t="s">
        <v>10651</v>
      </c>
      <c r="C2938" s="82" t="s">
        <v>11608</v>
      </c>
      <c r="D2938" s="82" t="s">
        <v>3156</v>
      </c>
      <c r="E2938" s="82">
        <v>6281217126285</v>
      </c>
      <c r="F2938" s="92">
        <v>45867</v>
      </c>
      <c r="G2938" s="87">
        <v>438</v>
      </c>
      <c r="H2938" s="88">
        <v>24500</v>
      </c>
      <c r="I2938" s="89">
        <v>14</v>
      </c>
      <c r="J2938" s="90">
        <v>11564</v>
      </c>
      <c r="K2938" s="85">
        <v>7</v>
      </c>
      <c r="L2938" s="85">
        <v>192</v>
      </c>
      <c r="M2938" s="85">
        <v>0</v>
      </c>
      <c r="N2938" s="82" t="s">
        <v>11609</v>
      </c>
      <c r="O2938" s="93">
        <v>45868.69295138889</v>
      </c>
    </row>
    <row r="2939" spans="1:15" ht="22.5" customHeight="1">
      <c r="A2939" s="85">
        <v>174904221976312</v>
      </c>
      <c r="B2939" s="82" t="s">
        <v>10651</v>
      </c>
      <c r="C2939" s="82" t="s">
        <v>11610</v>
      </c>
      <c r="D2939" s="82" t="s">
        <v>11611</v>
      </c>
      <c r="E2939" s="82">
        <v>6285207285812</v>
      </c>
      <c r="F2939" s="92">
        <v>45867</v>
      </c>
      <c r="G2939" s="87">
        <v>485</v>
      </c>
      <c r="H2939" s="88">
        <v>24619.502868068834</v>
      </c>
      <c r="I2939" s="89">
        <v>31</v>
      </c>
      <c r="J2939" s="90">
        <v>12876</v>
      </c>
      <c r="K2939" s="85">
        <v>8</v>
      </c>
      <c r="L2939" s="85">
        <v>187</v>
      </c>
      <c r="M2939" s="85">
        <v>0</v>
      </c>
      <c r="N2939" s="82" t="s">
        <v>11612</v>
      </c>
      <c r="O2939" s="93">
        <v>45868.631076388891</v>
      </c>
    </row>
    <row r="2940" spans="1:15" ht="22.5" customHeight="1">
      <c r="A2940" s="85">
        <v>174904221976312</v>
      </c>
      <c r="B2940" s="82" t="s">
        <v>10651</v>
      </c>
      <c r="C2940" s="82" t="s">
        <v>11613</v>
      </c>
      <c r="D2940" s="82" t="s">
        <v>11614</v>
      </c>
      <c r="E2940" s="82">
        <v>6282186829904</v>
      </c>
      <c r="F2940" s="92">
        <v>45867</v>
      </c>
      <c r="G2940" s="87">
        <v>265</v>
      </c>
      <c r="H2940" s="88">
        <v>39732.876712328769</v>
      </c>
      <c r="I2940" s="89">
        <v>6</v>
      </c>
      <c r="J2940" s="90">
        <v>11602</v>
      </c>
      <c r="K2940" s="85">
        <v>2</v>
      </c>
      <c r="L2940" s="85">
        <v>4</v>
      </c>
      <c r="M2940" s="85">
        <v>0</v>
      </c>
      <c r="N2940" s="82" t="s">
        <v>11615</v>
      </c>
      <c r="O2940" s="93">
        <v>45868.609918981485</v>
      </c>
    </row>
    <row r="2941" spans="1:15" ht="22.5" customHeight="1">
      <c r="A2941" s="85">
        <v>174904221976312</v>
      </c>
      <c r="B2941" s="82" t="s">
        <v>10651</v>
      </c>
      <c r="C2941" s="82" t="s">
        <v>11574</v>
      </c>
      <c r="D2941" s="82" t="s">
        <v>3045</v>
      </c>
      <c r="E2941" s="82">
        <v>6285727626320</v>
      </c>
      <c r="F2941" s="92">
        <v>45867</v>
      </c>
      <c r="G2941" s="87">
        <v>264</v>
      </c>
      <c r="H2941" s="88">
        <v>40000</v>
      </c>
      <c r="I2941" s="89">
        <v>18</v>
      </c>
      <c r="J2941" s="90">
        <v>12760</v>
      </c>
      <c r="K2941" s="85">
        <v>9</v>
      </c>
      <c r="L2941" s="85">
        <v>49</v>
      </c>
      <c r="M2941" s="85">
        <v>0</v>
      </c>
      <c r="N2941" s="82" t="s">
        <v>11575</v>
      </c>
      <c r="O2941" s="93">
        <v>45868.672349537039</v>
      </c>
    </row>
    <row r="2942" spans="1:15" ht="22.5" customHeight="1">
      <c r="A2942" s="85">
        <v>174904221976312</v>
      </c>
      <c r="B2942" s="82" t="s">
        <v>10651</v>
      </c>
      <c r="C2942" s="82" t="s">
        <v>11576</v>
      </c>
      <c r="D2942" s="82" t="s">
        <v>3083</v>
      </c>
      <c r="E2942" s="82">
        <v>6281399886462</v>
      </c>
      <c r="F2942" s="92">
        <v>45867</v>
      </c>
      <c r="G2942" s="87">
        <v>967</v>
      </c>
      <c r="H2942" s="88">
        <v>12562.381852551986</v>
      </c>
      <c r="I2942" s="89">
        <v>27</v>
      </c>
      <c r="J2942" s="90">
        <v>13291</v>
      </c>
      <c r="K2942" s="85">
        <v>6</v>
      </c>
      <c r="L2942" s="85">
        <v>63</v>
      </c>
      <c r="M2942" s="85">
        <v>1</v>
      </c>
      <c r="N2942" s="82" t="s">
        <v>11577</v>
      </c>
      <c r="O2942" s="93">
        <v>45868.568043981482</v>
      </c>
    </row>
    <row r="2943" spans="1:15" ht="22.5" customHeight="1">
      <c r="A2943" s="85">
        <v>174904221976312</v>
      </c>
      <c r="B2943" s="82" t="s">
        <v>10651</v>
      </c>
      <c r="C2943" s="82" t="s">
        <v>11578</v>
      </c>
      <c r="D2943" s="82" t="s">
        <v>1624</v>
      </c>
      <c r="E2943" s="82">
        <v>6281938384000</v>
      </c>
      <c r="F2943" s="92">
        <v>45867</v>
      </c>
      <c r="G2943" s="87">
        <v>478</v>
      </c>
      <c r="H2943" s="88">
        <v>21502.555366269164</v>
      </c>
      <c r="I2943" s="89">
        <v>29</v>
      </c>
      <c r="J2943" s="90">
        <v>12622</v>
      </c>
      <c r="K2943" s="85">
        <v>6</v>
      </c>
      <c r="L2943" s="85">
        <v>0</v>
      </c>
      <c r="M2943" s="85">
        <v>0</v>
      </c>
      <c r="N2943" s="82" t="s">
        <v>11579</v>
      </c>
      <c r="O2943" s="93">
        <v>45868.818518518521</v>
      </c>
    </row>
    <row r="2944" spans="1:15" ht="22.5" customHeight="1">
      <c r="A2944" s="85">
        <v>174904221976312</v>
      </c>
      <c r="B2944" s="82" t="s">
        <v>10651</v>
      </c>
      <c r="C2944" s="82" t="s">
        <v>11580</v>
      </c>
      <c r="D2944" s="82" t="s">
        <v>11581</v>
      </c>
      <c r="E2944" s="82">
        <v>6287790276733</v>
      </c>
      <c r="F2944" s="92">
        <v>45867</v>
      </c>
      <c r="G2944" s="87">
        <v>1023</v>
      </c>
      <c r="H2944" s="88">
        <v>10385.807504078304</v>
      </c>
      <c r="I2944" s="89">
        <v>12</v>
      </c>
      <c r="J2944" s="90">
        <v>12733</v>
      </c>
      <c r="K2944" s="85">
        <v>0</v>
      </c>
      <c r="L2944" s="85">
        <v>237</v>
      </c>
      <c r="M2944" s="85">
        <v>1</v>
      </c>
      <c r="N2944" s="82" t="s">
        <v>11582</v>
      </c>
      <c r="O2944" s="93">
        <v>45868.651574074072</v>
      </c>
    </row>
    <row r="2945" spans="1:15" ht="22.5" customHeight="1">
      <c r="A2945" s="85">
        <v>174904221976312</v>
      </c>
      <c r="B2945" s="82" t="s">
        <v>10651</v>
      </c>
      <c r="C2945" s="82" t="s">
        <v>11583</v>
      </c>
      <c r="D2945" s="82" t="s">
        <v>11584</v>
      </c>
      <c r="E2945" s="82">
        <v>6282285205998</v>
      </c>
      <c r="F2945" s="92">
        <v>45867</v>
      </c>
      <c r="G2945" s="87">
        <v>1157</v>
      </c>
      <c r="H2945" s="88">
        <v>10224.039829302987</v>
      </c>
      <c r="I2945" s="89">
        <v>47</v>
      </c>
      <c r="J2945" s="90">
        <v>14375</v>
      </c>
      <c r="K2945" s="85">
        <v>13</v>
      </c>
      <c r="L2945" s="85">
        <v>280</v>
      </c>
      <c r="M2945" s="85">
        <v>2</v>
      </c>
      <c r="N2945" s="82" t="s">
        <v>11585</v>
      </c>
      <c r="O2945" s="93">
        <v>45868.484444444446</v>
      </c>
    </row>
    <row r="2946" spans="1:15" ht="22.5" customHeight="1">
      <c r="A2946" s="85">
        <v>174904221976312</v>
      </c>
      <c r="B2946" s="82" t="s">
        <v>10651</v>
      </c>
      <c r="C2946" s="82" t="s">
        <v>11586</v>
      </c>
      <c r="D2946" s="82" t="s">
        <v>11587</v>
      </c>
      <c r="E2946" s="82">
        <v>6281280241630</v>
      </c>
      <c r="F2946" s="92">
        <v>45867</v>
      </c>
      <c r="G2946" s="87">
        <v>625</v>
      </c>
      <c r="H2946" s="88">
        <v>19173.049645390071</v>
      </c>
      <c r="I2946" s="89">
        <v>18</v>
      </c>
      <c r="J2946" s="90">
        <v>13517</v>
      </c>
      <c r="K2946" s="85">
        <v>2</v>
      </c>
      <c r="L2946" s="85">
        <v>203</v>
      </c>
      <c r="M2946" s="85">
        <v>0</v>
      </c>
      <c r="N2946" s="82" t="s">
        <v>11588</v>
      </c>
      <c r="O2946" s="93">
        <v>45868.672349537039</v>
      </c>
    </row>
    <row r="2947" spans="1:15" ht="22.5" customHeight="1">
      <c r="A2947" s="85">
        <v>174904221976312</v>
      </c>
      <c r="B2947" s="82" t="s">
        <v>10651</v>
      </c>
      <c r="C2947" s="82" t="s">
        <v>11589</v>
      </c>
      <c r="D2947" s="82" t="s">
        <v>3120</v>
      </c>
      <c r="E2947" s="82">
        <v>6281255005229</v>
      </c>
      <c r="F2947" s="92">
        <v>45867</v>
      </c>
      <c r="G2947" s="87">
        <v>977</v>
      </c>
      <c r="H2947" s="88">
        <v>11872.029250457037</v>
      </c>
      <c r="I2947" s="89">
        <v>54</v>
      </c>
      <c r="J2947" s="90">
        <v>12988</v>
      </c>
      <c r="K2947" s="85">
        <v>8</v>
      </c>
      <c r="L2947" s="85">
        <v>511</v>
      </c>
      <c r="M2947" s="85">
        <v>2</v>
      </c>
      <c r="N2947" s="82" t="s">
        <v>11590</v>
      </c>
      <c r="O2947" s="93">
        <v>45868.568356481483</v>
      </c>
    </row>
    <row r="2948" spans="1:15" ht="22.5" customHeight="1">
      <c r="A2948" s="85">
        <v>174904221976312</v>
      </c>
      <c r="B2948" s="82" t="s">
        <v>10651</v>
      </c>
      <c r="C2948" s="82" t="s">
        <v>11591</v>
      </c>
      <c r="D2948" s="82" t="s">
        <v>11592</v>
      </c>
      <c r="E2948" s="82">
        <v>628155157779</v>
      </c>
      <c r="F2948" s="92">
        <v>45867</v>
      </c>
      <c r="G2948" s="87">
        <v>374</v>
      </c>
      <c r="H2948" s="88">
        <v>25468.822170900694</v>
      </c>
      <c r="I2948" s="89">
        <v>10</v>
      </c>
      <c r="J2948" s="90">
        <v>11028</v>
      </c>
      <c r="K2948" s="85">
        <v>1</v>
      </c>
      <c r="L2948" s="85">
        <v>168</v>
      </c>
      <c r="M2948" s="85">
        <v>0</v>
      </c>
      <c r="N2948" s="82" t="s">
        <v>11593</v>
      </c>
      <c r="O2948" s="93">
        <v>45868.547627314816</v>
      </c>
    </row>
    <row r="2949" spans="1:15" ht="22.5" customHeight="1">
      <c r="A2949" s="85">
        <v>174904221976312</v>
      </c>
      <c r="B2949" s="82" t="s">
        <v>10651</v>
      </c>
      <c r="C2949" s="82" t="s">
        <v>11594</v>
      </c>
      <c r="D2949" s="82" t="s">
        <v>11595</v>
      </c>
      <c r="E2949" s="82">
        <v>6281366479393</v>
      </c>
      <c r="F2949" s="92">
        <v>45867</v>
      </c>
      <c r="G2949" s="87">
        <v>1430</v>
      </c>
      <c r="H2949" s="88">
        <v>8637.3690337601856</v>
      </c>
      <c r="I2949" s="89">
        <v>20</v>
      </c>
      <c r="J2949" s="90">
        <v>14839</v>
      </c>
      <c r="K2949" s="85">
        <v>1</v>
      </c>
      <c r="L2949" s="85">
        <v>93</v>
      </c>
      <c r="M2949" s="85">
        <v>1</v>
      </c>
      <c r="N2949" s="82" t="s">
        <v>11596</v>
      </c>
      <c r="O2949" s="93">
        <v>45868.318541666667</v>
      </c>
    </row>
    <row r="2950" spans="1:15" ht="22.5" customHeight="1">
      <c r="A2950" s="85">
        <v>174904221976312</v>
      </c>
      <c r="B2950" s="82" t="s">
        <v>10651</v>
      </c>
      <c r="C2950" s="82" t="s">
        <v>11597</v>
      </c>
      <c r="D2950" s="82" t="s">
        <v>11598</v>
      </c>
      <c r="E2950" s="82">
        <v>6282123587173</v>
      </c>
      <c r="F2950" s="92">
        <v>45867</v>
      </c>
      <c r="G2950" s="87">
        <v>696</v>
      </c>
      <c r="H2950" s="88">
        <v>15815.757575757576</v>
      </c>
      <c r="I2950" s="89">
        <v>16</v>
      </c>
      <c r="J2950" s="90">
        <v>13048</v>
      </c>
      <c r="K2950" s="85">
        <v>2</v>
      </c>
      <c r="L2950" s="85">
        <v>132</v>
      </c>
      <c r="M2950" s="85">
        <v>0</v>
      </c>
      <c r="N2950" s="82" t="s">
        <v>11599</v>
      </c>
      <c r="O2950" s="93">
        <v>45868.692939814813</v>
      </c>
    </row>
    <row r="2951" spans="1:15" ht="22.5" customHeight="1">
      <c r="A2951" s="85">
        <v>174904221976312</v>
      </c>
      <c r="B2951" s="82" t="s">
        <v>10651</v>
      </c>
      <c r="C2951" s="82" t="s">
        <v>11600</v>
      </c>
      <c r="D2951" s="82" t="s">
        <v>11601</v>
      </c>
      <c r="E2951" s="82">
        <v>62881010278235</v>
      </c>
      <c r="F2951" s="92">
        <v>45867</v>
      </c>
      <c r="G2951" s="87">
        <v>601</v>
      </c>
      <c r="H2951" s="88">
        <v>17829.596412556053</v>
      </c>
      <c r="I2951" s="89">
        <v>13</v>
      </c>
      <c r="J2951" s="90">
        <v>11928</v>
      </c>
      <c r="K2951" s="85">
        <v>1</v>
      </c>
      <c r="L2951" s="85">
        <v>0</v>
      </c>
      <c r="M2951" s="85">
        <v>0</v>
      </c>
      <c r="N2951" s="82" t="s">
        <v>11602</v>
      </c>
      <c r="O2951" s="93">
        <v>45868.631284722222</v>
      </c>
    </row>
    <row r="2952" spans="1:15" ht="22.5" customHeight="1">
      <c r="A2952" s="85">
        <v>174904221976312</v>
      </c>
      <c r="B2952" s="82" t="s">
        <v>10651</v>
      </c>
      <c r="C2952" s="82" t="s">
        <v>11565</v>
      </c>
      <c r="D2952" s="82" t="s">
        <v>11566</v>
      </c>
      <c r="E2952" s="82">
        <v>6282333358533</v>
      </c>
      <c r="F2952" s="92">
        <v>45867</v>
      </c>
      <c r="G2952" s="87">
        <v>428</v>
      </c>
      <c r="H2952" s="88">
        <v>28271.714922048996</v>
      </c>
      <c r="I2952" s="89">
        <v>16</v>
      </c>
      <c r="J2952" s="90">
        <v>12694</v>
      </c>
      <c r="K2952" s="85">
        <v>3</v>
      </c>
      <c r="L2952" s="85">
        <v>235</v>
      </c>
      <c r="M2952" s="85">
        <v>0</v>
      </c>
      <c r="N2952" s="82" t="s">
        <v>11567</v>
      </c>
      <c r="O2952" s="93">
        <v>45868.505335648151</v>
      </c>
    </row>
    <row r="2953" spans="1:15" ht="22.5" customHeight="1">
      <c r="A2953" s="85">
        <v>174904221976312</v>
      </c>
      <c r="B2953" s="82" t="s">
        <v>10651</v>
      </c>
      <c r="C2953" s="82" t="s">
        <v>11568</v>
      </c>
      <c r="D2953" s="82" t="s">
        <v>11569</v>
      </c>
      <c r="E2953" s="82">
        <v>6287826386983</v>
      </c>
      <c r="F2953" s="92">
        <v>45867</v>
      </c>
      <c r="G2953" s="87">
        <v>407</v>
      </c>
      <c r="H2953" s="88">
        <v>26597.872340425532</v>
      </c>
      <c r="I2953" s="89">
        <v>15</v>
      </c>
      <c r="J2953" s="90">
        <v>12501</v>
      </c>
      <c r="K2953" s="85">
        <v>0</v>
      </c>
      <c r="L2953" s="85">
        <v>142</v>
      </c>
      <c r="M2953" s="85">
        <v>1</v>
      </c>
      <c r="N2953" s="82" t="s">
        <v>11570</v>
      </c>
      <c r="O2953" s="93">
        <v>45868.588796296295</v>
      </c>
    </row>
    <row r="2954" spans="1:15" ht="22.5" customHeight="1">
      <c r="A2954" s="85">
        <v>174904221976312</v>
      </c>
      <c r="B2954" s="82" t="s">
        <v>10651</v>
      </c>
      <c r="C2954" s="82" t="s">
        <v>11571</v>
      </c>
      <c r="D2954" s="82" t="s">
        <v>11572</v>
      </c>
      <c r="E2954" s="82">
        <v>6282340878030</v>
      </c>
      <c r="F2954" s="92">
        <v>45867</v>
      </c>
      <c r="G2954" s="87">
        <v>260</v>
      </c>
      <c r="H2954" s="88">
        <v>38463.157894736847</v>
      </c>
      <c r="I2954" s="89">
        <v>11</v>
      </c>
      <c r="J2954" s="90">
        <v>10962</v>
      </c>
      <c r="K2954" s="85">
        <v>2</v>
      </c>
      <c r="L2954" s="85">
        <v>123</v>
      </c>
      <c r="M2954" s="85">
        <v>0</v>
      </c>
      <c r="N2954" s="82" t="s">
        <v>11573</v>
      </c>
      <c r="O2954" s="93">
        <v>45868.505335648151</v>
      </c>
    </row>
    <row r="2955" spans="1:15" ht="22.5" customHeight="1">
      <c r="A2955" s="85">
        <v>174904221976312</v>
      </c>
      <c r="B2955" s="82" t="s">
        <v>10651</v>
      </c>
      <c r="C2955" s="82" t="s">
        <v>11545</v>
      </c>
      <c r="D2955" s="82" t="s">
        <v>3140</v>
      </c>
      <c r="E2955" s="82"/>
      <c r="F2955" s="92">
        <v>45867</v>
      </c>
      <c r="G2955" s="87">
        <v>13088</v>
      </c>
      <c r="H2955" s="88">
        <v>1807.910251273539</v>
      </c>
      <c r="I2955" s="89">
        <v>237</v>
      </c>
      <c r="J2955" s="90">
        <v>31586</v>
      </c>
      <c r="K2955" s="85">
        <v>15</v>
      </c>
      <c r="L2955" s="85">
        <v>70</v>
      </c>
      <c r="M2955" s="85">
        <v>1</v>
      </c>
      <c r="N2955" s="82" t="s">
        <v>11546</v>
      </c>
      <c r="O2955" s="93">
        <v>45868.221701388888</v>
      </c>
    </row>
    <row r="2956" spans="1:15" ht="22.5" customHeight="1">
      <c r="A2956" s="85">
        <v>174904221976312</v>
      </c>
      <c r="B2956" s="82" t="s">
        <v>10651</v>
      </c>
      <c r="C2956" s="82" t="s">
        <v>11547</v>
      </c>
      <c r="D2956" s="82" t="s">
        <v>11548</v>
      </c>
      <c r="E2956" s="82">
        <v>6287846030252</v>
      </c>
      <c r="F2956" s="92">
        <v>45867</v>
      </c>
      <c r="G2956" s="87">
        <v>2319</v>
      </c>
      <c r="H2956" s="88">
        <v>5260.7156901297676</v>
      </c>
      <c r="I2956" s="89">
        <v>73</v>
      </c>
      <c r="J2956" s="90">
        <v>13378</v>
      </c>
      <c r="K2956" s="85">
        <v>4</v>
      </c>
      <c r="L2956" s="85">
        <v>25</v>
      </c>
      <c r="M2956" s="85">
        <v>0</v>
      </c>
      <c r="N2956" s="82" t="s">
        <v>11549</v>
      </c>
      <c r="O2956" s="93">
        <v>45868.631064814814</v>
      </c>
    </row>
    <row r="2957" spans="1:15" ht="22.5" customHeight="1">
      <c r="A2957" s="85">
        <v>174904221976312</v>
      </c>
      <c r="B2957" s="82" t="s">
        <v>10651</v>
      </c>
      <c r="C2957" s="82" t="s">
        <v>11550</v>
      </c>
      <c r="D2957" s="82" t="s">
        <v>11551</v>
      </c>
      <c r="E2957" s="82">
        <v>6281327457634</v>
      </c>
      <c r="F2957" s="92">
        <v>45867</v>
      </c>
      <c r="G2957" s="87">
        <v>503</v>
      </c>
      <c r="H2957" s="88">
        <v>26600.719424460432</v>
      </c>
      <c r="I2957" s="89">
        <v>17</v>
      </c>
      <c r="J2957" s="90">
        <v>14790</v>
      </c>
      <c r="K2957" s="85">
        <v>4</v>
      </c>
      <c r="L2957" s="85">
        <v>190</v>
      </c>
      <c r="M2957" s="85">
        <v>0</v>
      </c>
      <c r="N2957" s="82" t="s">
        <v>11552</v>
      </c>
      <c r="O2957" s="93">
        <v>45868.547615740739</v>
      </c>
    </row>
    <row r="2958" spans="1:15" ht="22.5" customHeight="1">
      <c r="A2958" s="85">
        <v>174904221976312</v>
      </c>
      <c r="B2958" s="82" t="s">
        <v>10651</v>
      </c>
      <c r="C2958" s="82" t="s">
        <v>11553</v>
      </c>
      <c r="D2958" s="82" t="s">
        <v>11554</v>
      </c>
      <c r="E2958" s="82">
        <v>628113311777</v>
      </c>
      <c r="F2958" s="92">
        <v>45867</v>
      </c>
      <c r="G2958" s="87">
        <v>1043</v>
      </c>
      <c r="H2958" s="88">
        <v>10909.842845326717</v>
      </c>
      <c r="I2958" s="89">
        <v>8</v>
      </c>
      <c r="J2958" s="90">
        <v>13190</v>
      </c>
      <c r="K2958" s="85">
        <v>0</v>
      </c>
      <c r="L2958" s="85">
        <v>1</v>
      </c>
      <c r="M2958" s="85">
        <v>0</v>
      </c>
      <c r="N2958" s="82" t="s">
        <v>11555</v>
      </c>
      <c r="O2958" s="93">
        <v>45868.631064814814</v>
      </c>
    </row>
    <row r="2959" spans="1:15" ht="22.5" customHeight="1">
      <c r="A2959" s="85">
        <v>174904221976312</v>
      </c>
      <c r="B2959" s="82" t="s">
        <v>10651</v>
      </c>
      <c r="C2959" s="82" t="s">
        <v>11556</v>
      </c>
      <c r="D2959" s="82" t="s">
        <v>11557</v>
      </c>
      <c r="E2959" s="82">
        <v>6281553075560</v>
      </c>
      <c r="F2959" s="92">
        <v>45867</v>
      </c>
      <c r="G2959" s="87">
        <v>1813</v>
      </c>
      <c r="H2959" s="88">
        <v>6063.1302060499784</v>
      </c>
      <c r="I2959" s="89">
        <v>51</v>
      </c>
      <c r="J2959" s="90">
        <v>13830</v>
      </c>
      <c r="K2959" s="85">
        <v>3</v>
      </c>
      <c r="L2959" s="85">
        <v>631</v>
      </c>
      <c r="M2959" s="85">
        <v>2</v>
      </c>
      <c r="N2959" s="82" t="s">
        <v>11558</v>
      </c>
      <c r="O2959" s="93">
        <v>45868.631076388891</v>
      </c>
    </row>
    <row r="2960" spans="1:15" ht="22.5" customHeight="1">
      <c r="A2960" s="85">
        <v>174904221976312</v>
      </c>
      <c r="B2960" s="82" t="s">
        <v>10651</v>
      </c>
      <c r="C2960" s="82" t="s">
        <v>11559</v>
      </c>
      <c r="D2960" s="82" t="s">
        <v>11560</v>
      </c>
      <c r="E2960" s="82">
        <v>6282333203355</v>
      </c>
      <c r="F2960" s="92">
        <v>45867</v>
      </c>
      <c r="G2960" s="87">
        <v>288</v>
      </c>
      <c r="H2960" s="88">
        <v>42543.689320388352</v>
      </c>
      <c r="I2960" s="89">
        <v>14</v>
      </c>
      <c r="J2960" s="90">
        <v>13146</v>
      </c>
      <c r="K2960" s="85">
        <v>0</v>
      </c>
      <c r="L2960" s="85">
        <v>124</v>
      </c>
      <c r="M2960" s="85">
        <v>0</v>
      </c>
      <c r="N2960" s="82" t="s">
        <v>11561</v>
      </c>
      <c r="O2960" s="93">
        <v>45868.651539351849</v>
      </c>
    </row>
    <row r="2961" spans="1:15" ht="22.5" customHeight="1">
      <c r="A2961" s="85">
        <v>174904221976312</v>
      </c>
      <c r="B2961" s="82" t="s">
        <v>10651</v>
      </c>
      <c r="C2961" s="82" t="s">
        <v>11531</v>
      </c>
      <c r="D2961" s="82" t="s">
        <v>2841</v>
      </c>
      <c r="E2961" s="82">
        <v>62811693222</v>
      </c>
      <c r="F2961" s="92">
        <v>45867</v>
      </c>
      <c r="G2961" s="87">
        <v>1286</v>
      </c>
      <c r="H2961" s="88">
        <v>10429.166666666668</v>
      </c>
      <c r="I2961" s="89">
        <v>24</v>
      </c>
      <c r="J2961" s="90">
        <v>15018</v>
      </c>
      <c r="K2961" s="85">
        <v>4</v>
      </c>
      <c r="L2961" s="85">
        <v>17</v>
      </c>
      <c r="M2961" s="85">
        <v>0</v>
      </c>
      <c r="N2961" s="82" t="s">
        <v>11532</v>
      </c>
      <c r="O2961" s="93">
        <v>45868.484733796293</v>
      </c>
    </row>
    <row r="2962" spans="1:15" ht="22.5" customHeight="1">
      <c r="A2962" s="85">
        <v>174904221976312</v>
      </c>
      <c r="B2962" s="82" t="s">
        <v>10651</v>
      </c>
      <c r="C2962" s="82" t="s">
        <v>11533</v>
      </c>
      <c r="D2962" s="82" t="s">
        <v>11051</v>
      </c>
      <c r="E2962" s="82">
        <v>6285869122507</v>
      </c>
      <c r="F2962" s="92">
        <v>45867</v>
      </c>
      <c r="G2962" s="87">
        <v>741</v>
      </c>
      <c r="H2962" s="88">
        <v>17635.933806146571</v>
      </c>
      <c r="I2962" s="89">
        <v>27</v>
      </c>
      <c r="J2962" s="90">
        <v>14920</v>
      </c>
      <c r="K2962" s="85">
        <v>4</v>
      </c>
      <c r="L2962" s="85">
        <v>0</v>
      </c>
      <c r="M2962" s="85">
        <v>0</v>
      </c>
      <c r="N2962" s="82" t="s">
        <v>11534</v>
      </c>
      <c r="O2962" s="93">
        <v>45868.216666666667</v>
      </c>
    </row>
    <row r="2963" spans="1:15" ht="22.5" customHeight="1">
      <c r="A2963" s="85">
        <v>174904221976312</v>
      </c>
      <c r="B2963" s="82" t="s">
        <v>10651</v>
      </c>
      <c r="C2963" s="82" t="s">
        <v>11535</v>
      </c>
      <c r="D2963" s="82" t="s">
        <v>2969</v>
      </c>
      <c r="E2963" s="82">
        <v>6281286402030</v>
      </c>
      <c r="F2963" s="92">
        <v>45867</v>
      </c>
      <c r="G2963" s="87">
        <v>484</v>
      </c>
      <c r="H2963" s="88">
        <v>23297.504798464492</v>
      </c>
      <c r="I2963" s="89">
        <v>16</v>
      </c>
      <c r="J2963" s="90">
        <v>12138</v>
      </c>
      <c r="K2963" s="85">
        <v>2</v>
      </c>
      <c r="L2963" s="85">
        <v>0</v>
      </c>
      <c r="M2963" s="85">
        <v>0</v>
      </c>
      <c r="N2963" s="82" t="s">
        <v>11536</v>
      </c>
      <c r="O2963" s="93">
        <v>45868.651550925926</v>
      </c>
    </row>
    <row r="2964" spans="1:15" ht="22.5" customHeight="1">
      <c r="A2964" s="85">
        <v>174904221976312</v>
      </c>
      <c r="B2964" s="82" t="s">
        <v>10651</v>
      </c>
      <c r="C2964" s="82" t="s">
        <v>11537</v>
      </c>
      <c r="D2964" s="82" t="s">
        <v>2882</v>
      </c>
      <c r="E2964" s="82">
        <v>6285397990632</v>
      </c>
      <c r="F2964" s="92">
        <v>45867</v>
      </c>
      <c r="G2964" s="87">
        <v>794</v>
      </c>
      <c r="H2964" s="88">
        <v>16110.990206746465</v>
      </c>
      <c r="I2964" s="89">
        <v>13</v>
      </c>
      <c r="J2964" s="90">
        <v>14806</v>
      </c>
      <c r="K2964" s="85">
        <v>0</v>
      </c>
      <c r="L2964" s="85">
        <v>228</v>
      </c>
      <c r="M2964" s="85">
        <v>0</v>
      </c>
      <c r="N2964" s="82" t="s">
        <v>11538</v>
      </c>
      <c r="O2964" s="93">
        <v>45868.21665509259</v>
      </c>
    </row>
    <row r="2965" spans="1:15" ht="22.5" customHeight="1">
      <c r="A2965" s="85">
        <v>174904221976312</v>
      </c>
      <c r="B2965" s="82" t="s">
        <v>10651</v>
      </c>
      <c r="C2965" s="82" t="s">
        <v>11539</v>
      </c>
      <c r="D2965" s="82" t="s">
        <v>2754</v>
      </c>
      <c r="E2965" s="82">
        <v>6285186697099</v>
      </c>
      <c r="F2965" s="92">
        <v>45867</v>
      </c>
      <c r="G2965" s="87">
        <v>128</v>
      </c>
      <c r="H2965" s="88">
        <v>103928.57142857143</v>
      </c>
      <c r="I2965" s="89">
        <v>6</v>
      </c>
      <c r="J2965" s="90">
        <v>14550</v>
      </c>
      <c r="K2965" s="85">
        <v>1</v>
      </c>
      <c r="L2965" s="85">
        <v>55</v>
      </c>
      <c r="M2965" s="85">
        <v>0</v>
      </c>
      <c r="N2965" s="82" t="s">
        <v>11540</v>
      </c>
      <c r="O2965" s="93">
        <v>45868.443009259259</v>
      </c>
    </row>
    <row r="2966" spans="1:15" ht="22.5" customHeight="1">
      <c r="A2966" s="85">
        <v>174904221976312</v>
      </c>
      <c r="B2966" s="82" t="s">
        <v>10651</v>
      </c>
      <c r="C2966" s="82" t="s">
        <v>11517</v>
      </c>
      <c r="D2966" s="82" t="s">
        <v>11518</v>
      </c>
      <c r="E2966" s="82">
        <v>6282133271189</v>
      </c>
      <c r="F2966" s="92">
        <v>45867</v>
      </c>
      <c r="G2966" s="87">
        <v>45</v>
      </c>
      <c r="H2966" s="88">
        <v>304224.4897959184</v>
      </c>
      <c r="I2966" s="89">
        <v>0</v>
      </c>
      <c r="J2966" s="90">
        <v>14907</v>
      </c>
      <c r="K2966" s="85">
        <v>0</v>
      </c>
      <c r="L2966" s="85">
        <v>9</v>
      </c>
      <c r="M2966" s="85">
        <v>0</v>
      </c>
      <c r="N2966" s="82" t="s">
        <v>11519</v>
      </c>
      <c r="O2966" s="93">
        <v>45868.422407407408</v>
      </c>
    </row>
    <row r="2967" spans="1:15" ht="22.5" customHeight="1">
      <c r="A2967" s="85">
        <v>174904221976312</v>
      </c>
      <c r="B2967" s="82" t="s">
        <v>10651</v>
      </c>
      <c r="C2967" s="82" t="s">
        <v>11506</v>
      </c>
      <c r="D2967" s="82" t="s">
        <v>2700</v>
      </c>
      <c r="E2967" s="82">
        <v>6282197248722</v>
      </c>
      <c r="F2967" s="92">
        <v>45867</v>
      </c>
      <c r="G2967" s="87">
        <v>727</v>
      </c>
      <c r="H2967" s="88">
        <v>16393.11163895487</v>
      </c>
      <c r="I2967" s="89">
        <v>34</v>
      </c>
      <c r="J2967" s="90">
        <v>13803</v>
      </c>
      <c r="K2967" s="85">
        <v>9</v>
      </c>
      <c r="L2967" s="85">
        <v>240</v>
      </c>
      <c r="M2967" s="85">
        <v>1</v>
      </c>
      <c r="N2967" s="82" t="s">
        <v>11507</v>
      </c>
      <c r="O2967" s="93">
        <v>45868.568043981482</v>
      </c>
    </row>
    <row r="2968" spans="1:15" ht="22.5" customHeight="1">
      <c r="A2968" s="85">
        <v>174904221976312</v>
      </c>
      <c r="B2968" s="82" t="s">
        <v>10651</v>
      </c>
      <c r="C2968" s="82" t="s">
        <v>11464</v>
      </c>
      <c r="D2968" s="82" t="s">
        <v>11465</v>
      </c>
      <c r="E2968" s="82">
        <v>62816904358</v>
      </c>
      <c r="F2968" s="92">
        <v>45867</v>
      </c>
      <c r="G2968" s="87">
        <v>396</v>
      </c>
      <c r="H2968" s="88">
        <v>27271.762208067939</v>
      </c>
      <c r="I2968" s="89">
        <v>17</v>
      </c>
      <c r="J2968" s="90">
        <v>12845</v>
      </c>
      <c r="K2968" s="85">
        <v>3</v>
      </c>
      <c r="L2968" s="85">
        <v>162</v>
      </c>
      <c r="M2968" s="85">
        <v>0</v>
      </c>
      <c r="N2968" s="82" t="s">
        <v>11466</v>
      </c>
      <c r="O2968" s="93">
        <v>45868.588807870372</v>
      </c>
    </row>
    <row r="2969" spans="1:15" ht="22.5" customHeight="1">
      <c r="A2969" s="85">
        <v>174904221976312</v>
      </c>
      <c r="B2969" s="82" t="s">
        <v>10651</v>
      </c>
      <c r="C2969" s="82" t="s">
        <v>11470</v>
      </c>
      <c r="D2969" s="82" t="s">
        <v>11471</v>
      </c>
      <c r="E2969" s="82">
        <v>6281225745133</v>
      </c>
      <c r="F2969" s="92">
        <v>45867</v>
      </c>
      <c r="G2969" s="87">
        <v>192</v>
      </c>
      <c r="H2969" s="88">
        <v>60990.86757990867</v>
      </c>
      <c r="I2969" s="89">
        <v>4</v>
      </c>
      <c r="J2969" s="90">
        <v>13357</v>
      </c>
      <c r="K2969" s="85">
        <v>0</v>
      </c>
      <c r="L2969" s="85">
        <v>105</v>
      </c>
      <c r="M2969" s="85">
        <v>0</v>
      </c>
      <c r="N2969" s="82" t="s">
        <v>11472</v>
      </c>
      <c r="O2969" s="93">
        <v>45868.588807870372</v>
      </c>
    </row>
    <row r="2970" spans="1:15" ht="22.5" customHeight="1">
      <c r="A2970" s="85">
        <v>174904221976312</v>
      </c>
      <c r="B2970" s="82" t="s">
        <v>10651</v>
      </c>
      <c r="C2970" s="82" t="s">
        <v>11475</v>
      </c>
      <c r="D2970" s="82" t="s">
        <v>2708</v>
      </c>
      <c r="E2970" s="82">
        <v>6281219329853</v>
      </c>
      <c r="F2970" s="92">
        <v>45867</v>
      </c>
      <c r="G2970" s="87">
        <v>478</v>
      </c>
      <c r="H2970" s="88">
        <v>22380</v>
      </c>
      <c r="I2970" s="89">
        <v>24</v>
      </c>
      <c r="J2970" s="90">
        <v>13428</v>
      </c>
      <c r="K2970" s="85">
        <v>2</v>
      </c>
      <c r="L2970" s="85">
        <v>180</v>
      </c>
      <c r="M2970" s="85">
        <v>1</v>
      </c>
      <c r="N2970" s="82" t="s">
        <v>11476</v>
      </c>
      <c r="O2970" s="93">
        <v>45868.588796296295</v>
      </c>
    </row>
    <row r="2971" spans="1:15" ht="22.5" customHeight="1">
      <c r="A2971" s="85">
        <v>174904221976312</v>
      </c>
      <c r="B2971" s="82" t="s">
        <v>10651</v>
      </c>
      <c r="C2971" s="82" t="s">
        <v>11427</v>
      </c>
      <c r="D2971" s="82" t="s">
        <v>11428</v>
      </c>
      <c r="E2971" s="82">
        <v>6285268101557</v>
      </c>
      <c r="F2971" s="92">
        <v>45867</v>
      </c>
      <c r="G2971" s="87">
        <v>1046</v>
      </c>
      <c r="H2971" s="88">
        <v>11326.208178438663</v>
      </c>
      <c r="I2971" s="89">
        <v>10</v>
      </c>
      <c r="J2971" s="90">
        <v>12187</v>
      </c>
      <c r="K2971" s="85">
        <v>1</v>
      </c>
      <c r="L2971" s="85">
        <v>459</v>
      </c>
      <c r="M2971" s="85">
        <v>0</v>
      </c>
      <c r="N2971" s="82" t="s">
        <v>11429</v>
      </c>
      <c r="O2971" s="93">
        <v>45868.216689814813</v>
      </c>
    </row>
    <row r="2972" spans="1:15" ht="22.5" customHeight="1">
      <c r="A2972" s="85">
        <v>174904221976312</v>
      </c>
      <c r="B2972" s="82" t="s">
        <v>10651</v>
      </c>
      <c r="C2972" s="82" t="s">
        <v>11309</v>
      </c>
      <c r="D2972" s="82" t="s">
        <v>11350</v>
      </c>
      <c r="E2972" s="82">
        <v>6281229745253</v>
      </c>
      <c r="F2972" s="92">
        <v>45867</v>
      </c>
      <c r="G2972" s="87">
        <v>219</v>
      </c>
      <c r="H2972" s="88">
        <v>51055.118110236224</v>
      </c>
      <c r="I2972" s="89">
        <v>15</v>
      </c>
      <c r="J2972" s="90">
        <v>12968</v>
      </c>
      <c r="K2972" s="85">
        <v>2</v>
      </c>
      <c r="L2972" s="85">
        <v>32</v>
      </c>
      <c r="M2972" s="85">
        <v>0</v>
      </c>
      <c r="N2972" s="82" t="s">
        <v>11351</v>
      </c>
      <c r="O2972" s="93">
        <v>45868.631064814814</v>
      </c>
    </row>
    <row r="2973" spans="1:15" ht="22.5" customHeight="1">
      <c r="A2973" s="85">
        <v>174904221976312</v>
      </c>
      <c r="B2973" s="82" t="s">
        <v>10651</v>
      </c>
      <c r="C2973" s="82" t="s">
        <v>11291</v>
      </c>
      <c r="D2973" s="82" t="s">
        <v>11292</v>
      </c>
      <c r="E2973" s="82">
        <v>6283183643221</v>
      </c>
      <c r="F2973" s="92">
        <v>45867</v>
      </c>
      <c r="G2973" s="87">
        <v>105</v>
      </c>
      <c r="H2973" s="88">
        <v>110106.55737704919</v>
      </c>
      <c r="I2973" s="89">
        <v>2</v>
      </c>
      <c r="J2973" s="90">
        <v>13433</v>
      </c>
      <c r="K2973" s="85">
        <v>0</v>
      </c>
      <c r="L2973" s="85">
        <v>37</v>
      </c>
      <c r="M2973" s="85">
        <v>0</v>
      </c>
      <c r="N2973" s="82" t="s">
        <v>11293</v>
      </c>
      <c r="O2973" s="93">
        <v>45868.443229166667</v>
      </c>
    </row>
    <row r="2974" spans="1:15" ht="22.5" customHeight="1">
      <c r="A2974" s="85">
        <v>174904221976312</v>
      </c>
      <c r="B2974" s="82" t="s">
        <v>10651</v>
      </c>
      <c r="C2974" s="82" t="s">
        <v>11253</v>
      </c>
      <c r="D2974" s="82" t="s">
        <v>2096</v>
      </c>
      <c r="E2974" s="82">
        <v>6285282777679</v>
      </c>
      <c r="F2974" s="92">
        <v>45867</v>
      </c>
      <c r="G2974" s="87">
        <v>300</v>
      </c>
      <c r="H2974" s="88">
        <v>44765.957446808512</v>
      </c>
      <c r="I2974" s="89">
        <v>6</v>
      </c>
      <c r="J2974" s="90">
        <v>14728</v>
      </c>
      <c r="K2974" s="85">
        <v>2</v>
      </c>
      <c r="L2974" s="85">
        <v>3</v>
      </c>
      <c r="M2974" s="85">
        <v>0</v>
      </c>
      <c r="N2974" s="82" t="s">
        <v>11254</v>
      </c>
      <c r="O2974" s="93">
        <v>45868.588796296295</v>
      </c>
    </row>
    <row r="2975" spans="1:15" ht="22.5" customHeight="1">
      <c r="A2975" s="85">
        <v>174904221976312</v>
      </c>
      <c r="B2975" s="82" t="s">
        <v>10651</v>
      </c>
      <c r="C2975" s="82" t="s">
        <v>11213</v>
      </c>
      <c r="D2975" s="82" t="s">
        <v>2022</v>
      </c>
      <c r="E2975" s="82">
        <v>6285274759862</v>
      </c>
      <c r="F2975" s="92">
        <v>45867</v>
      </c>
      <c r="G2975" s="87">
        <v>1063</v>
      </c>
      <c r="H2975" s="88">
        <v>10999.180999180999</v>
      </c>
      <c r="I2975" s="89">
        <v>46</v>
      </c>
      <c r="J2975" s="90">
        <v>13430</v>
      </c>
      <c r="K2975" s="85">
        <v>13</v>
      </c>
      <c r="L2975" s="85">
        <v>349</v>
      </c>
      <c r="M2975" s="85">
        <v>1</v>
      </c>
      <c r="N2975" s="82" t="s">
        <v>11214</v>
      </c>
      <c r="O2975" s="93">
        <v>45868.568043981482</v>
      </c>
    </row>
    <row r="2976" spans="1:15" ht="22.5" customHeight="1">
      <c r="A2976" s="85">
        <v>174904221976312</v>
      </c>
      <c r="B2976" s="82" t="s">
        <v>10651</v>
      </c>
      <c r="C2976" s="82" t="s">
        <v>11225</v>
      </c>
      <c r="D2976" s="82" t="s">
        <v>11226</v>
      </c>
      <c r="E2976" s="82">
        <v>6281240144744</v>
      </c>
      <c r="F2976" s="92">
        <v>45867</v>
      </c>
      <c r="G2976" s="87">
        <v>1571</v>
      </c>
      <c r="H2976" s="88">
        <v>7345.9119496855346</v>
      </c>
      <c r="I2976" s="89">
        <v>43</v>
      </c>
      <c r="J2976" s="90">
        <v>14016</v>
      </c>
      <c r="K2976" s="85">
        <v>6</v>
      </c>
      <c r="L2976" s="85">
        <v>293</v>
      </c>
      <c r="M2976" s="85">
        <v>0</v>
      </c>
      <c r="N2976" s="82" t="s">
        <v>11227</v>
      </c>
      <c r="O2976" s="93">
        <v>45868.609548611108</v>
      </c>
    </row>
    <row r="2977" spans="1:15" ht="22.5" customHeight="1">
      <c r="A2977" s="85">
        <v>174904221976312</v>
      </c>
      <c r="B2977" s="82" t="s">
        <v>10651</v>
      </c>
      <c r="C2977" s="82" t="s">
        <v>11193</v>
      </c>
      <c r="D2977" s="82" t="s">
        <v>11194</v>
      </c>
      <c r="E2977" s="82">
        <v>6281779578317</v>
      </c>
      <c r="F2977" s="92">
        <v>45867</v>
      </c>
      <c r="G2977" s="87">
        <v>1121</v>
      </c>
      <c r="H2977" s="88">
        <v>10117.784711388456</v>
      </c>
      <c r="I2977" s="89">
        <v>54</v>
      </c>
      <c r="J2977" s="90">
        <v>12971</v>
      </c>
      <c r="K2977" s="85">
        <v>5</v>
      </c>
      <c r="L2977" s="85">
        <v>372</v>
      </c>
      <c r="M2977" s="85">
        <v>1</v>
      </c>
      <c r="N2977" s="82" t="s">
        <v>11195</v>
      </c>
      <c r="O2977" s="93">
        <v>45868.588819444441</v>
      </c>
    </row>
    <row r="2978" spans="1:15" ht="22.5" customHeight="1">
      <c r="A2978" s="85">
        <v>174904221976312</v>
      </c>
      <c r="B2978" s="82" t="s">
        <v>10651</v>
      </c>
      <c r="C2978" s="82" t="s">
        <v>11153</v>
      </c>
      <c r="D2978" s="82" t="s">
        <v>11154</v>
      </c>
      <c r="E2978" s="82">
        <v>6285338137835</v>
      </c>
      <c r="F2978" s="92">
        <v>45867</v>
      </c>
      <c r="G2978" s="87">
        <v>251</v>
      </c>
      <c r="H2978" s="88">
        <v>49669.117647058825</v>
      </c>
      <c r="I2978" s="89">
        <v>3</v>
      </c>
      <c r="J2978" s="90">
        <v>13510</v>
      </c>
      <c r="K2978" s="85">
        <v>2</v>
      </c>
      <c r="L2978" s="85">
        <v>0</v>
      </c>
      <c r="M2978" s="85">
        <v>0</v>
      </c>
      <c r="N2978" s="82" t="s">
        <v>11155</v>
      </c>
      <c r="O2978" s="93">
        <v>45868.526689814818</v>
      </c>
    </row>
    <row r="2979" spans="1:15" ht="22.5" customHeight="1">
      <c r="A2979" s="85">
        <v>174904221976312</v>
      </c>
      <c r="B2979" s="82" t="s">
        <v>10651</v>
      </c>
      <c r="C2979" s="82" t="s">
        <v>10943</v>
      </c>
      <c r="D2979" s="82" t="s">
        <v>10944</v>
      </c>
      <c r="E2979" s="82">
        <v>6285240694097</v>
      </c>
      <c r="F2979" s="92">
        <v>45867</v>
      </c>
      <c r="G2979" s="87">
        <v>873</v>
      </c>
      <c r="H2979" s="88">
        <v>12301.989150090416</v>
      </c>
      <c r="I2979" s="89">
        <v>27</v>
      </c>
      <c r="J2979" s="90">
        <v>13606</v>
      </c>
      <c r="K2979" s="85">
        <v>1</v>
      </c>
      <c r="L2979" s="85">
        <v>71</v>
      </c>
      <c r="M2979" s="85">
        <v>0</v>
      </c>
      <c r="N2979" s="82" t="s">
        <v>10945</v>
      </c>
      <c r="O2979" s="93">
        <v>45868.463993055557</v>
      </c>
    </row>
    <row r="2980" spans="1:15" ht="22.5" customHeight="1">
      <c r="A2980" s="85">
        <v>174904221976312</v>
      </c>
      <c r="B2980" s="82" t="s">
        <v>10651</v>
      </c>
      <c r="C2980" s="82" t="s">
        <v>10853</v>
      </c>
      <c r="D2980" s="82" t="s">
        <v>10854</v>
      </c>
      <c r="E2980" s="82">
        <v>6281393958199</v>
      </c>
      <c r="F2980" s="92">
        <v>45867</v>
      </c>
      <c r="G2980" s="87">
        <v>324</v>
      </c>
      <c r="H2980" s="88">
        <v>35016.129032258061</v>
      </c>
      <c r="I2980" s="89">
        <v>9</v>
      </c>
      <c r="J2980" s="90">
        <v>13026</v>
      </c>
      <c r="K2980" s="85">
        <v>1</v>
      </c>
      <c r="L2980" s="85">
        <v>125</v>
      </c>
      <c r="M2980" s="85">
        <v>1</v>
      </c>
      <c r="N2980" s="82" t="s">
        <v>10855</v>
      </c>
      <c r="O2980" s="93">
        <v>45868.380844907406</v>
      </c>
    </row>
    <row r="2981" spans="1:15" ht="22.5" customHeight="1">
      <c r="A2981" s="85">
        <v>174904221976312</v>
      </c>
      <c r="B2981" s="82" t="s">
        <v>10651</v>
      </c>
      <c r="C2981" s="82" t="s">
        <v>818</v>
      </c>
      <c r="D2981" s="82" t="s">
        <v>812</v>
      </c>
      <c r="E2981" s="82">
        <v>6287858585808</v>
      </c>
      <c r="F2981" s="92">
        <v>45867</v>
      </c>
      <c r="G2981" s="87">
        <v>1147</v>
      </c>
      <c r="H2981" s="88">
        <v>17247.524752475249</v>
      </c>
      <c r="I2981" s="89">
        <v>16</v>
      </c>
      <c r="J2981" s="90">
        <v>24388</v>
      </c>
      <c r="K2981" s="85">
        <v>2</v>
      </c>
      <c r="L2981" s="85">
        <v>344</v>
      </c>
      <c r="M2981" s="85">
        <v>1</v>
      </c>
      <c r="N2981" s="82" t="s">
        <v>11603</v>
      </c>
      <c r="O2981" s="93">
        <v>45867.423796296294</v>
      </c>
    </row>
    <row r="2982" spans="1:15" ht="22.5" customHeight="1">
      <c r="A2982" s="85">
        <v>174904221976312</v>
      </c>
      <c r="B2982" s="82" t="s">
        <v>10651</v>
      </c>
      <c r="C2982" s="82" t="s">
        <v>10696</v>
      </c>
      <c r="D2982" s="82" t="s">
        <v>236</v>
      </c>
      <c r="E2982" s="82"/>
      <c r="F2982" s="92">
        <v>45867</v>
      </c>
      <c r="G2982" s="87">
        <v>1292</v>
      </c>
      <c r="H2982" s="88">
        <v>8845.394736842105</v>
      </c>
      <c r="I2982" s="89">
        <v>67</v>
      </c>
      <c r="J2982" s="90">
        <v>13445</v>
      </c>
      <c r="K2982" s="85">
        <v>7</v>
      </c>
      <c r="L2982" s="85">
        <v>509</v>
      </c>
      <c r="M2982" s="85">
        <v>2</v>
      </c>
      <c r="N2982" s="82" t="s">
        <v>10697</v>
      </c>
      <c r="O2982" s="93">
        <v>45868.505347222221</v>
      </c>
    </row>
    <row r="2983" spans="1:15" ht="22.5" customHeight="1">
      <c r="A2983" s="85">
        <v>174904221976312</v>
      </c>
      <c r="B2983" s="82" t="s">
        <v>10651</v>
      </c>
      <c r="C2983" s="82" t="s">
        <v>10655</v>
      </c>
      <c r="D2983" s="82" t="s">
        <v>3908</v>
      </c>
      <c r="E2983" s="82">
        <v>6285376667233</v>
      </c>
      <c r="F2983" s="92">
        <v>45867</v>
      </c>
      <c r="G2983" s="87">
        <v>1466</v>
      </c>
      <c r="H2983" s="88">
        <v>8579.7468354430366</v>
      </c>
      <c r="I2983" s="89">
        <v>20</v>
      </c>
      <c r="J2983" s="90">
        <v>13556</v>
      </c>
      <c r="K2983" s="85">
        <v>1</v>
      </c>
      <c r="L2983" s="85">
        <v>476</v>
      </c>
      <c r="M2983" s="85">
        <v>0</v>
      </c>
      <c r="N2983" s="82" t="s">
        <v>10656</v>
      </c>
      <c r="O2983" s="93">
        <v>45868.568032407406</v>
      </c>
    </row>
    <row r="2984" spans="1:15" ht="22.5" customHeight="1">
      <c r="A2984" s="85">
        <v>174904221976312</v>
      </c>
      <c r="B2984" s="82" t="s">
        <v>10651</v>
      </c>
      <c r="C2984" s="82" t="s">
        <v>11078</v>
      </c>
      <c r="D2984" s="82" t="s">
        <v>3140</v>
      </c>
      <c r="E2984" s="82"/>
      <c r="F2984" s="92">
        <v>45867</v>
      </c>
      <c r="G2984" s="87">
        <v>2807</v>
      </c>
      <c r="H2984" s="88">
        <v>3746.5317919075142</v>
      </c>
      <c r="I2984" s="89">
        <v>62</v>
      </c>
      <c r="J2984" s="90">
        <v>12963</v>
      </c>
      <c r="K2984" s="85">
        <v>3</v>
      </c>
      <c r="L2984" s="85">
        <v>209</v>
      </c>
      <c r="M2984" s="85">
        <v>2</v>
      </c>
      <c r="N2984" s="82" t="s">
        <v>11079</v>
      </c>
      <c r="O2984" s="93">
        <v>45868.422407407408</v>
      </c>
    </row>
    <row r="2985" spans="1:15" ht="22.5" customHeight="1">
      <c r="A2985" s="85">
        <v>174904221976312</v>
      </c>
      <c r="B2985" s="82" t="s">
        <v>10651</v>
      </c>
      <c r="C2985" s="82" t="s">
        <v>11485</v>
      </c>
      <c r="D2985" s="82" t="s">
        <v>11486</v>
      </c>
      <c r="E2985" s="82">
        <v>6281378757554</v>
      </c>
      <c r="F2985" s="92">
        <v>45867</v>
      </c>
      <c r="G2985" s="87">
        <v>369</v>
      </c>
      <c r="H2985" s="88">
        <v>24694.560669456067</v>
      </c>
      <c r="I2985" s="89">
        <v>14</v>
      </c>
      <c r="J2985" s="90">
        <v>11804</v>
      </c>
      <c r="K2985" s="85">
        <v>1</v>
      </c>
      <c r="L2985" s="85">
        <v>85</v>
      </c>
      <c r="M2985" s="85">
        <v>0</v>
      </c>
      <c r="N2985" s="82" t="s">
        <v>11487</v>
      </c>
      <c r="O2985" s="93">
        <v>45868.484733796293</v>
      </c>
    </row>
    <row r="2986" spans="1:15" ht="22.5" customHeight="1">
      <c r="A2986" s="85">
        <v>174904221976312</v>
      </c>
      <c r="B2986" s="82" t="s">
        <v>10651</v>
      </c>
      <c r="C2986" s="82" t="s">
        <v>10833</v>
      </c>
      <c r="D2986" s="82" t="s">
        <v>10834</v>
      </c>
      <c r="E2986" s="82">
        <v>6282242925264</v>
      </c>
      <c r="F2986" s="92">
        <v>45867</v>
      </c>
      <c r="G2986" s="87">
        <v>1700</v>
      </c>
      <c r="H2986" s="88">
        <v>6927.4509803921574</v>
      </c>
      <c r="I2986" s="89">
        <v>87</v>
      </c>
      <c r="J2986" s="90">
        <v>14132</v>
      </c>
      <c r="K2986" s="85">
        <v>10</v>
      </c>
      <c r="L2986" s="85">
        <v>561</v>
      </c>
      <c r="M2986" s="85">
        <v>0</v>
      </c>
      <c r="N2986" s="82" t="s">
        <v>10835</v>
      </c>
      <c r="O2986" s="93">
        <v>45868.568043981482</v>
      </c>
    </row>
    <row r="2987" spans="1:15" ht="22.5" customHeight="1">
      <c r="A2987" s="85">
        <v>766589657993298</v>
      </c>
      <c r="B2987" s="82" t="s">
        <v>10688</v>
      </c>
      <c r="C2987" s="82" t="s">
        <v>11616</v>
      </c>
      <c r="D2987" s="82" t="s">
        <v>3187</v>
      </c>
      <c r="E2987" s="82">
        <v>6282164564557</v>
      </c>
      <c r="F2987" s="92">
        <v>45867</v>
      </c>
      <c r="G2987" s="87">
        <v>707</v>
      </c>
      <c r="H2987" s="88">
        <v>17390.713476783691</v>
      </c>
      <c r="I2987" s="89">
        <v>20</v>
      </c>
      <c r="J2987" s="90">
        <v>15356</v>
      </c>
      <c r="K2987" s="85">
        <v>4</v>
      </c>
      <c r="L2987" s="85">
        <v>369</v>
      </c>
      <c r="M2987" s="85">
        <v>1</v>
      </c>
      <c r="N2987" s="82" t="s">
        <v>11617</v>
      </c>
      <c r="O2987" s="93">
        <v>45868.79991898148</v>
      </c>
    </row>
    <row r="2988" spans="1:15" ht="22.5" customHeight="1">
      <c r="A2988" s="85">
        <v>766589657993298</v>
      </c>
      <c r="B2988" s="82" t="s">
        <v>10688</v>
      </c>
      <c r="C2988" s="82" t="s">
        <v>11618</v>
      </c>
      <c r="D2988" s="82" t="s">
        <v>3194</v>
      </c>
      <c r="E2988" s="82">
        <v>6282177410110</v>
      </c>
      <c r="F2988" s="92">
        <v>45867</v>
      </c>
      <c r="G2988" s="87">
        <v>542</v>
      </c>
      <c r="H2988" s="88">
        <v>23478.461538461539</v>
      </c>
      <c r="I2988" s="89">
        <v>11</v>
      </c>
      <c r="J2988" s="90">
        <v>15261</v>
      </c>
      <c r="K2988" s="85">
        <v>2</v>
      </c>
      <c r="L2988" s="85">
        <v>44</v>
      </c>
      <c r="M2988" s="85">
        <v>1</v>
      </c>
      <c r="N2988" s="82" t="s">
        <v>11619</v>
      </c>
      <c r="O2988" s="93">
        <v>45868.737905092596</v>
      </c>
    </row>
    <row r="2989" spans="1:15" ht="22.5" customHeight="1">
      <c r="A2989" s="85">
        <v>766589657993298</v>
      </c>
      <c r="B2989" s="82" t="s">
        <v>10688</v>
      </c>
      <c r="C2989" s="82" t="s">
        <v>11620</v>
      </c>
      <c r="D2989" s="82" t="s">
        <v>11621</v>
      </c>
      <c r="E2989" s="82">
        <v>6285785858869</v>
      </c>
      <c r="F2989" s="92">
        <v>45867</v>
      </c>
      <c r="G2989" s="87">
        <v>623</v>
      </c>
      <c r="H2989" s="88">
        <v>22232.240437158471</v>
      </c>
      <c r="I2989" s="89">
        <v>24</v>
      </c>
      <c r="J2989" s="90">
        <v>16274</v>
      </c>
      <c r="K2989" s="85">
        <v>3</v>
      </c>
      <c r="L2989" s="85">
        <v>183</v>
      </c>
      <c r="M2989" s="85">
        <v>2</v>
      </c>
      <c r="N2989" s="82" t="s">
        <v>11622</v>
      </c>
      <c r="O2989" s="93">
        <v>45868.695868055554</v>
      </c>
    </row>
    <row r="2990" spans="1:15" ht="22.5" customHeight="1">
      <c r="A2990" s="85">
        <v>766589657993298</v>
      </c>
      <c r="B2990" s="82" t="s">
        <v>10688</v>
      </c>
      <c r="C2990" s="82" t="s">
        <v>11623</v>
      </c>
      <c r="D2990" s="82" t="s">
        <v>11624</v>
      </c>
      <c r="E2990" s="82">
        <v>6282297965454</v>
      </c>
      <c r="F2990" s="92">
        <v>45867</v>
      </c>
      <c r="G2990" s="87">
        <v>277</v>
      </c>
      <c r="H2990" s="88">
        <v>47514.563106796115</v>
      </c>
      <c r="I2990" s="89">
        <v>5</v>
      </c>
      <c r="J2990" s="90">
        <v>14682</v>
      </c>
      <c r="K2990" s="85">
        <v>0</v>
      </c>
      <c r="L2990" s="85">
        <v>31</v>
      </c>
      <c r="M2990" s="85">
        <v>0</v>
      </c>
      <c r="N2990" s="82" t="s">
        <v>11625</v>
      </c>
      <c r="O2990" s="93">
        <v>45868.758530092593</v>
      </c>
    </row>
    <row r="2991" spans="1:15" ht="22.5" customHeight="1">
      <c r="A2991" s="85">
        <v>766589657993298</v>
      </c>
      <c r="B2991" s="82" t="s">
        <v>10688</v>
      </c>
      <c r="C2991" s="82" t="s">
        <v>11626</v>
      </c>
      <c r="D2991" s="82" t="s">
        <v>3773</v>
      </c>
      <c r="E2991" s="82">
        <v>6285893658659</v>
      </c>
      <c r="F2991" s="92">
        <v>45867</v>
      </c>
      <c r="G2991" s="87">
        <v>338</v>
      </c>
      <c r="H2991" s="88">
        <v>35898.345153664304</v>
      </c>
      <c r="I2991" s="89">
        <v>12</v>
      </c>
      <c r="J2991" s="90">
        <v>15185</v>
      </c>
      <c r="K2991" s="85">
        <v>2</v>
      </c>
      <c r="L2991" s="85">
        <v>143</v>
      </c>
      <c r="M2991" s="85">
        <v>0</v>
      </c>
      <c r="N2991" s="82" t="s">
        <v>11627</v>
      </c>
      <c r="O2991" s="93">
        <v>45868.654907407406</v>
      </c>
    </row>
    <row r="2992" spans="1:15" ht="22.5" customHeight="1">
      <c r="A2992" s="85">
        <v>766589657993298</v>
      </c>
      <c r="B2992" s="82" t="s">
        <v>10688</v>
      </c>
      <c r="C2992" s="82" t="s">
        <v>11604</v>
      </c>
      <c r="D2992" s="82" t="s">
        <v>2835</v>
      </c>
      <c r="E2992" s="82">
        <v>62895632627969</v>
      </c>
      <c r="F2992" s="92">
        <v>45867</v>
      </c>
      <c r="G2992" s="87">
        <v>846</v>
      </c>
      <c r="H2992" s="88">
        <v>18112.582781456953</v>
      </c>
      <c r="I2992" s="89">
        <v>28</v>
      </c>
      <c r="J2992" s="90">
        <v>16410</v>
      </c>
      <c r="K2992" s="85">
        <v>12</v>
      </c>
      <c r="L2992" s="85">
        <v>428</v>
      </c>
      <c r="M2992" s="85">
        <v>0</v>
      </c>
      <c r="N2992" s="82" t="s">
        <v>11605</v>
      </c>
      <c r="O2992" s="93">
        <v>45868.654895833337</v>
      </c>
    </row>
    <row r="2993" spans="1:15" ht="22.5" customHeight="1">
      <c r="A2993" s="85">
        <v>766589657993298</v>
      </c>
      <c r="B2993" s="82" t="s">
        <v>10688</v>
      </c>
      <c r="C2993" s="82" t="s">
        <v>11628</v>
      </c>
      <c r="D2993" s="82" t="s">
        <v>11629</v>
      </c>
      <c r="E2993" s="82">
        <v>6281321528899</v>
      </c>
      <c r="F2993" s="92">
        <v>45867</v>
      </c>
      <c r="G2993" s="87">
        <v>300</v>
      </c>
      <c r="H2993" s="88">
        <v>45203.592814371252</v>
      </c>
      <c r="I2993" s="89">
        <v>13</v>
      </c>
      <c r="J2993" s="90">
        <v>15098</v>
      </c>
      <c r="K2993" s="85">
        <v>3</v>
      </c>
      <c r="L2993" s="85">
        <v>90</v>
      </c>
      <c r="M2993" s="85">
        <v>0</v>
      </c>
      <c r="N2993" s="82" t="s">
        <v>11630</v>
      </c>
      <c r="O2993" s="93">
        <v>45868.487534722219</v>
      </c>
    </row>
    <row r="2994" spans="1:15" ht="22.5" customHeight="1">
      <c r="A2994" s="85">
        <v>766589657993298</v>
      </c>
      <c r="B2994" s="82" t="s">
        <v>10688</v>
      </c>
      <c r="C2994" s="82" t="s">
        <v>11631</v>
      </c>
      <c r="D2994" s="82" t="s">
        <v>588</v>
      </c>
      <c r="E2994" s="82">
        <v>6285373309275</v>
      </c>
      <c r="F2994" s="92">
        <v>45867</v>
      </c>
      <c r="G2994" s="87">
        <v>254</v>
      </c>
      <c r="H2994" s="88">
        <v>28475.578406169669</v>
      </c>
      <c r="I2994" s="89">
        <v>6</v>
      </c>
      <c r="J2994" s="90">
        <v>11077</v>
      </c>
      <c r="K2994" s="85">
        <v>0</v>
      </c>
      <c r="L2994" s="85">
        <v>77</v>
      </c>
      <c r="M2994" s="85">
        <v>0</v>
      </c>
      <c r="N2994" s="82" t="s">
        <v>11632</v>
      </c>
      <c r="O2994" s="93">
        <v>45865.296030092592</v>
      </c>
    </row>
    <row r="2995" spans="1:15" ht="22.5" customHeight="1">
      <c r="A2995" s="85">
        <v>759724529202804</v>
      </c>
      <c r="B2995" s="82" t="s">
        <v>10621</v>
      </c>
      <c r="C2995" s="82" t="s">
        <v>11070</v>
      </c>
      <c r="D2995" s="82" t="s">
        <v>11071</v>
      </c>
      <c r="E2995" s="82">
        <v>6281246211381</v>
      </c>
      <c r="F2995" s="92">
        <v>45868</v>
      </c>
      <c r="G2995" s="87">
        <v>434</v>
      </c>
      <c r="H2995" s="88">
        <v>39100.628930817613</v>
      </c>
      <c r="I2995" s="89">
        <v>19</v>
      </c>
      <c r="J2995" s="90">
        <v>18651</v>
      </c>
      <c r="K2995" s="85">
        <v>2</v>
      </c>
      <c r="L2995" s="85">
        <v>41</v>
      </c>
      <c r="M2995" s="85">
        <v>0</v>
      </c>
      <c r="N2995" s="82" t="s">
        <v>11072</v>
      </c>
      <c r="O2995" s="93">
        <v>45869.609837962962</v>
      </c>
    </row>
    <row r="2996" spans="1:15" ht="22.5" customHeight="1">
      <c r="A2996" s="85">
        <v>759724529202804</v>
      </c>
      <c r="B2996" s="82" t="s">
        <v>10621</v>
      </c>
      <c r="C2996" s="82" t="s">
        <v>11016</v>
      </c>
      <c r="D2996" s="82" t="s">
        <v>1530</v>
      </c>
      <c r="E2996" s="82">
        <v>628111988553</v>
      </c>
      <c r="F2996" s="92">
        <v>45868</v>
      </c>
      <c r="G2996" s="87">
        <v>383</v>
      </c>
      <c r="H2996" s="88">
        <v>44659.472422062354</v>
      </c>
      <c r="I2996" s="89">
        <v>25</v>
      </c>
      <c r="J2996" s="90">
        <v>18623</v>
      </c>
      <c r="K2996" s="85">
        <v>1</v>
      </c>
      <c r="L2996" s="85">
        <v>0</v>
      </c>
      <c r="M2996" s="85">
        <v>0</v>
      </c>
      <c r="N2996" s="82" t="s">
        <v>11017</v>
      </c>
      <c r="O2996" s="93">
        <v>45869.380914351852</v>
      </c>
    </row>
    <row r="2997" spans="1:15" ht="22.5" customHeight="1">
      <c r="A2997" s="85">
        <v>174904221976312</v>
      </c>
      <c r="B2997" s="82" t="s">
        <v>10651</v>
      </c>
      <c r="C2997" s="82" t="s">
        <v>11633</v>
      </c>
      <c r="D2997" s="82" t="s">
        <v>11634</v>
      </c>
      <c r="E2997" s="82">
        <v>6287762605372</v>
      </c>
      <c r="F2997" s="92">
        <v>45868</v>
      </c>
      <c r="G2997" s="87">
        <v>552</v>
      </c>
      <c r="H2997" s="88">
        <v>21633.082706766916</v>
      </c>
      <c r="I2997" s="89">
        <v>9</v>
      </c>
      <c r="J2997" s="90">
        <v>14386</v>
      </c>
      <c r="K2997" s="85">
        <v>3</v>
      </c>
      <c r="L2997" s="85">
        <v>13</v>
      </c>
      <c r="M2997" s="85">
        <v>0</v>
      </c>
      <c r="N2997" s="82" t="s">
        <v>11635</v>
      </c>
      <c r="O2997" s="93">
        <v>45869.693090277775</v>
      </c>
    </row>
    <row r="2998" spans="1:15" ht="22.5" customHeight="1">
      <c r="A2998" s="85">
        <v>174904221976312</v>
      </c>
      <c r="B2998" s="82" t="s">
        <v>10651</v>
      </c>
      <c r="C2998" s="82" t="s">
        <v>11636</v>
      </c>
      <c r="D2998" s="82" t="s">
        <v>11637</v>
      </c>
      <c r="E2998" s="82">
        <v>6282154233977</v>
      </c>
      <c r="F2998" s="92">
        <v>45868</v>
      </c>
      <c r="G2998" s="87">
        <v>583</v>
      </c>
      <c r="H2998" s="88">
        <v>16558.692421991087</v>
      </c>
      <c r="I2998" s="89">
        <v>27</v>
      </c>
      <c r="J2998" s="90">
        <v>11144</v>
      </c>
      <c r="K2998" s="85">
        <v>2</v>
      </c>
      <c r="L2998" s="85">
        <v>10</v>
      </c>
      <c r="M2998" s="85">
        <v>0</v>
      </c>
      <c r="N2998" s="82" t="s">
        <v>11638</v>
      </c>
      <c r="O2998" s="93">
        <v>45869.693101851852</v>
      </c>
    </row>
    <row r="2999" spans="1:15" ht="22.5" customHeight="1">
      <c r="A2999" s="85">
        <v>174904221976312</v>
      </c>
      <c r="B2999" s="82" t="s">
        <v>10651</v>
      </c>
      <c r="C2999" s="82" t="s">
        <v>11639</v>
      </c>
      <c r="D2999" s="82" t="s">
        <v>9010</v>
      </c>
      <c r="E2999" s="82">
        <v>6281111121020</v>
      </c>
      <c r="F2999" s="92">
        <v>45868</v>
      </c>
      <c r="G2999" s="87">
        <v>506</v>
      </c>
      <c r="H2999" s="88">
        <v>18313.178294573641</v>
      </c>
      <c r="I2999" s="89">
        <v>9</v>
      </c>
      <c r="J2999" s="90">
        <v>11812</v>
      </c>
      <c r="K2999" s="85">
        <v>1</v>
      </c>
      <c r="L2999" s="85">
        <v>14</v>
      </c>
      <c r="M2999" s="85">
        <v>0</v>
      </c>
      <c r="N2999" s="82" t="s">
        <v>11640</v>
      </c>
      <c r="O2999" s="93">
        <v>45869.589004629626</v>
      </c>
    </row>
    <row r="3000" spans="1:15" ht="22.5" customHeight="1">
      <c r="A3000" s="85">
        <v>174904221976312</v>
      </c>
      <c r="B3000" s="82" t="s">
        <v>10651</v>
      </c>
      <c r="C3000" s="82" t="s">
        <v>11641</v>
      </c>
      <c r="D3000" s="82" t="s">
        <v>3229</v>
      </c>
      <c r="E3000" s="82">
        <v>6287865111033</v>
      </c>
      <c r="F3000" s="92">
        <v>45868</v>
      </c>
      <c r="G3000" s="87">
        <v>1000</v>
      </c>
      <c r="H3000" s="88">
        <v>10311.162079510703</v>
      </c>
      <c r="I3000" s="89">
        <v>43</v>
      </c>
      <c r="J3000" s="90">
        <v>13487</v>
      </c>
      <c r="K3000" s="85">
        <v>4</v>
      </c>
      <c r="L3000" s="85">
        <v>43</v>
      </c>
      <c r="M3000" s="85">
        <v>0</v>
      </c>
      <c r="N3000" s="82" t="s">
        <v>11642</v>
      </c>
      <c r="O3000" s="93">
        <v>45869.651574074072</v>
      </c>
    </row>
    <row r="3001" spans="1:15" ht="22.5" customHeight="1">
      <c r="A3001" s="85">
        <v>174904221976312</v>
      </c>
      <c r="B3001" s="82" t="s">
        <v>10651</v>
      </c>
      <c r="C3001" s="82" t="s">
        <v>11643</v>
      </c>
      <c r="D3001" s="82" t="s">
        <v>11644</v>
      </c>
      <c r="E3001" s="82">
        <v>6281330410391</v>
      </c>
      <c r="F3001" s="92">
        <v>45868</v>
      </c>
      <c r="G3001" s="87">
        <v>627</v>
      </c>
      <c r="H3001" s="88">
        <v>16404.878048780491</v>
      </c>
      <c r="I3001" s="89">
        <v>60</v>
      </c>
      <c r="J3001" s="90">
        <v>13452</v>
      </c>
      <c r="K3001" s="85">
        <v>8</v>
      </c>
      <c r="L3001" s="85">
        <v>13</v>
      </c>
      <c r="M3001" s="85">
        <v>1</v>
      </c>
      <c r="N3001" s="82" t="s">
        <v>11645</v>
      </c>
      <c r="O3001" s="93">
        <v>45869.6721875</v>
      </c>
    </row>
    <row r="3002" spans="1:15" ht="22.5" customHeight="1">
      <c r="A3002" s="85">
        <v>174904221976312</v>
      </c>
      <c r="B3002" s="82" t="s">
        <v>10651</v>
      </c>
      <c r="C3002" s="82" t="s">
        <v>11646</v>
      </c>
      <c r="D3002" s="82" t="s">
        <v>11647</v>
      </c>
      <c r="E3002" s="82">
        <v>6285820117323</v>
      </c>
      <c r="F3002" s="92">
        <v>45868</v>
      </c>
      <c r="G3002" s="87">
        <v>939</v>
      </c>
      <c r="H3002" s="88">
        <v>9959.1988130563805</v>
      </c>
      <c r="I3002" s="89">
        <v>45</v>
      </c>
      <c r="J3002" s="90">
        <v>13425</v>
      </c>
      <c r="K3002" s="85">
        <v>2</v>
      </c>
      <c r="L3002" s="85">
        <v>60</v>
      </c>
      <c r="M3002" s="85">
        <v>1</v>
      </c>
      <c r="N3002" s="82" t="s">
        <v>11648</v>
      </c>
      <c r="O3002" s="93">
        <v>45869.651770833334</v>
      </c>
    </row>
    <row r="3003" spans="1:15" ht="22.5" customHeight="1">
      <c r="A3003" s="85">
        <v>174904221976312</v>
      </c>
      <c r="B3003" s="82" t="s">
        <v>10651</v>
      </c>
      <c r="C3003" s="82" t="s">
        <v>11606</v>
      </c>
      <c r="D3003" s="82" t="s">
        <v>3105</v>
      </c>
      <c r="E3003" s="82">
        <v>6287745180632</v>
      </c>
      <c r="F3003" s="92">
        <v>45868</v>
      </c>
      <c r="G3003" s="87">
        <v>1054</v>
      </c>
      <c r="H3003" s="88">
        <v>10241.948153967007</v>
      </c>
      <c r="I3003" s="89">
        <v>54</v>
      </c>
      <c r="J3003" s="90">
        <v>13038</v>
      </c>
      <c r="K3003" s="85">
        <v>5</v>
      </c>
      <c r="L3003" s="85">
        <v>0</v>
      </c>
      <c r="M3003" s="85">
        <v>1</v>
      </c>
      <c r="N3003" s="82" t="s">
        <v>11607</v>
      </c>
      <c r="O3003" s="93">
        <v>45869.631030092591</v>
      </c>
    </row>
    <row r="3004" spans="1:15" ht="22.5" customHeight="1">
      <c r="A3004" s="85">
        <v>174904221976312</v>
      </c>
      <c r="B3004" s="82" t="s">
        <v>10651</v>
      </c>
      <c r="C3004" s="82" t="s">
        <v>11608</v>
      </c>
      <c r="D3004" s="82" t="s">
        <v>3156</v>
      </c>
      <c r="E3004" s="82">
        <v>6281217126285</v>
      </c>
      <c r="F3004" s="92">
        <v>45868</v>
      </c>
      <c r="G3004" s="87">
        <v>450</v>
      </c>
      <c r="H3004" s="88">
        <v>28360.784313725489</v>
      </c>
      <c r="I3004" s="89">
        <v>16</v>
      </c>
      <c r="J3004" s="90">
        <v>14464</v>
      </c>
      <c r="K3004" s="85">
        <v>4</v>
      </c>
      <c r="L3004" s="85">
        <v>35</v>
      </c>
      <c r="M3004" s="85">
        <v>0</v>
      </c>
      <c r="N3004" s="82" t="s">
        <v>11609</v>
      </c>
      <c r="O3004" s="93">
        <v>45869.672152777777</v>
      </c>
    </row>
    <row r="3005" spans="1:15" ht="22.5" customHeight="1">
      <c r="A3005" s="85">
        <v>174904221976312</v>
      </c>
      <c r="B3005" s="82" t="s">
        <v>10651</v>
      </c>
      <c r="C3005" s="82" t="s">
        <v>11610</v>
      </c>
      <c r="D3005" s="82" t="s">
        <v>11611</v>
      </c>
      <c r="E3005" s="82">
        <v>6285207285812</v>
      </c>
      <c r="F3005" s="92">
        <v>45868</v>
      </c>
      <c r="G3005" s="87">
        <v>342</v>
      </c>
      <c r="H3005" s="88">
        <v>33618.42105263158</v>
      </c>
      <c r="I3005" s="89">
        <v>25</v>
      </c>
      <c r="J3005" s="90">
        <v>12775</v>
      </c>
      <c r="K3005" s="85">
        <v>8</v>
      </c>
      <c r="L3005" s="85">
        <v>115</v>
      </c>
      <c r="M3005" s="85">
        <v>0</v>
      </c>
      <c r="N3005" s="82" t="s">
        <v>11612</v>
      </c>
      <c r="O3005" s="93">
        <v>45869.568182870367</v>
      </c>
    </row>
    <row r="3006" spans="1:15" ht="22.5" customHeight="1">
      <c r="A3006" s="85">
        <v>174904221976312</v>
      </c>
      <c r="B3006" s="82" t="s">
        <v>10651</v>
      </c>
      <c r="C3006" s="82" t="s">
        <v>11613</v>
      </c>
      <c r="D3006" s="82" t="s">
        <v>11614</v>
      </c>
      <c r="E3006" s="82">
        <v>6282186829904</v>
      </c>
      <c r="F3006" s="92">
        <v>45868</v>
      </c>
      <c r="G3006" s="87">
        <v>528</v>
      </c>
      <c r="H3006" s="88">
        <v>20532.490974729244</v>
      </c>
      <c r="I3006" s="89">
        <v>11</v>
      </c>
      <c r="J3006" s="90">
        <v>11375</v>
      </c>
      <c r="K3006" s="85">
        <v>1</v>
      </c>
      <c r="L3006" s="85">
        <v>0</v>
      </c>
      <c r="M3006" s="85">
        <v>0</v>
      </c>
      <c r="N3006" s="82" t="s">
        <v>11615</v>
      </c>
      <c r="O3006" s="93">
        <v>45869.422500000001</v>
      </c>
    </row>
    <row r="3007" spans="1:15" ht="22.5" customHeight="1">
      <c r="A3007" s="85">
        <v>174904221976312</v>
      </c>
      <c r="B3007" s="82" t="s">
        <v>10651</v>
      </c>
      <c r="C3007" s="82" t="s">
        <v>11574</v>
      </c>
      <c r="D3007" s="82" t="s">
        <v>3045</v>
      </c>
      <c r="E3007" s="82">
        <v>6285727626320</v>
      </c>
      <c r="F3007" s="92">
        <v>45868</v>
      </c>
      <c r="G3007" s="87">
        <v>436</v>
      </c>
      <c r="H3007" s="88">
        <v>25462.121212121212</v>
      </c>
      <c r="I3007" s="89">
        <v>28</v>
      </c>
      <c r="J3007" s="90">
        <v>13444</v>
      </c>
      <c r="K3007" s="85">
        <v>5</v>
      </c>
      <c r="L3007" s="85">
        <v>151</v>
      </c>
      <c r="M3007" s="85">
        <v>0</v>
      </c>
      <c r="N3007" s="82" t="s">
        <v>11575</v>
      </c>
      <c r="O3007" s="93">
        <v>45869.547766203701</v>
      </c>
    </row>
    <row r="3008" spans="1:15" ht="22.5" customHeight="1">
      <c r="A3008" s="85">
        <v>174904221976312</v>
      </c>
      <c r="B3008" s="82" t="s">
        <v>10651</v>
      </c>
      <c r="C3008" s="82" t="s">
        <v>11576</v>
      </c>
      <c r="D3008" s="82" t="s">
        <v>3083</v>
      </c>
      <c r="E3008" s="82">
        <v>6281399886462</v>
      </c>
      <c r="F3008" s="92">
        <v>45868</v>
      </c>
      <c r="G3008" s="87">
        <v>655</v>
      </c>
      <c r="H3008" s="88">
        <v>19196.861626248217</v>
      </c>
      <c r="I3008" s="89">
        <v>33</v>
      </c>
      <c r="J3008" s="90">
        <v>13457</v>
      </c>
      <c r="K3008" s="85">
        <v>7</v>
      </c>
      <c r="L3008" s="85">
        <v>326</v>
      </c>
      <c r="M3008" s="85">
        <v>0</v>
      </c>
      <c r="N3008" s="82" t="s">
        <v>11577</v>
      </c>
      <c r="O3008" s="93">
        <v>45869.464166666665</v>
      </c>
    </row>
    <row r="3009" spans="1:15" ht="22.5" customHeight="1">
      <c r="A3009" s="85">
        <v>174904221976312</v>
      </c>
      <c r="B3009" s="82" t="s">
        <v>10651</v>
      </c>
      <c r="C3009" s="82" t="s">
        <v>11578</v>
      </c>
      <c r="D3009" s="82" t="s">
        <v>1624</v>
      </c>
      <c r="E3009" s="82">
        <v>6281938384000</v>
      </c>
      <c r="F3009" s="92">
        <v>45868</v>
      </c>
      <c r="G3009" s="87">
        <v>556</v>
      </c>
      <c r="H3009" s="88">
        <v>16494.07114624506</v>
      </c>
      <c r="I3009" s="89">
        <v>18</v>
      </c>
      <c r="J3009" s="90">
        <v>12519</v>
      </c>
      <c r="K3009" s="85">
        <v>3</v>
      </c>
      <c r="L3009" s="85">
        <v>1</v>
      </c>
      <c r="M3009" s="85">
        <v>0</v>
      </c>
      <c r="N3009" s="82" t="s">
        <v>11579</v>
      </c>
      <c r="O3009" s="93">
        <v>45869.651574074072</v>
      </c>
    </row>
    <row r="3010" spans="1:15" ht="22.5" customHeight="1">
      <c r="A3010" s="85">
        <v>174904221976312</v>
      </c>
      <c r="B3010" s="82" t="s">
        <v>10651</v>
      </c>
      <c r="C3010" s="82" t="s">
        <v>11580</v>
      </c>
      <c r="D3010" s="82" t="s">
        <v>11581</v>
      </c>
      <c r="E3010" s="82">
        <v>6287790276733</v>
      </c>
      <c r="F3010" s="92">
        <v>45868</v>
      </c>
      <c r="G3010" s="87">
        <v>792</v>
      </c>
      <c r="H3010" s="88">
        <v>14303.191489361701</v>
      </c>
      <c r="I3010" s="89">
        <v>18</v>
      </c>
      <c r="J3010" s="90">
        <v>13445</v>
      </c>
      <c r="K3010" s="85">
        <v>1</v>
      </c>
      <c r="L3010" s="85">
        <v>189</v>
      </c>
      <c r="M3010" s="85">
        <v>0</v>
      </c>
      <c r="N3010" s="82" t="s">
        <v>11582</v>
      </c>
      <c r="O3010" s="93">
        <v>45869.526666666665</v>
      </c>
    </row>
    <row r="3011" spans="1:15" ht="22.5" customHeight="1">
      <c r="A3011" s="85">
        <v>174904221976312</v>
      </c>
      <c r="B3011" s="82" t="s">
        <v>10651</v>
      </c>
      <c r="C3011" s="82" t="s">
        <v>11583</v>
      </c>
      <c r="D3011" s="82" t="s">
        <v>11584</v>
      </c>
      <c r="E3011" s="82">
        <v>6282285205998</v>
      </c>
      <c r="F3011" s="92">
        <v>45868</v>
      </c>
      <c r="G3011" s="87">
        <v>1175</v>
      </c>
      <c r="H3011" s="88">
        <v>9680.8357348703175</v>
      </c>
      <c r="I3011" s="89">
        <v>60</v>
      </c>
      <c r="J3011" s="90">
        <v>13437</v>
      </c>
      <c r="K3011" s="85">
        <v>14</v>
      </c>
      <c r="L3011" s="85">
        <v>556</v>
      </c>
      <c r="M3011" s="85">
        <v>1</v>
      </c>
      <c r="N3011" s="82" t="s">
        <v>11585</v>
      </c>
      <c r="O3011" s="93">
        <v>45869.547766203701</v>
      </c>
    </row>
    <row r="3012" spans="1:15" ht="22.5" customHeight="1">
      <c r="A3012" s="85">
        <v>174904221976312</v>
      </c>
      <c r="B3012" s="82" t="s">
        <v>10651</v>
      </c>
      <c r="C3012" s="82" t="s">
        <v>11586</v>
      </c>
      <c r="D3012" s="82" t="s">
        <v>11587</v>
      </c>
      <c r="E3012" s="82">
        <v>6281280241630</v>
      </c>
      <c r="F3012" s="92">
        <v>45868</v>
      </c>
      <c r="G3012" s="87">
        <v>481</v>
      </c>
      <c r="H3012" s="88">
        <v>24965.137614678897</v>
      </c>
      <c r="I3012" s="89">
        <v>20</v>
      </c>
      <c r="J3012" s="90">
        <v>13606</v>
      </c>
      <c r="K3012" s="85">
        <v>5</v>
      </c>
      <c r="L3012" s="85">
        <v>0</v>
      </c>
      <c r="M3012" s="85">
        <v>1</v>
      </c>
      <c r="N3012" s="82" t="s">
        <v>11588</v>
      </c>
      <c r="O3012" s="93">
        <v>45869.547766203701</v>
      </c>
    </row>
    <row r="3013" spans="1:15" ht="22.5" customHeight="1">
      <c r="A3013" s="85">
        <v>174904221976312</v>
      </c>
      <c r="B3013" s="82" t="s">
        <v>10651</v>
      </c>
      <c r="C3013" s="82" t="s">
        <v>11589</v>
      </c>
      <c r="D3013" s="82" t="s">
        <v>3120</v>
      </c>
      <c r="E3013" s="82">
        <v>6281255005229</v>
      </c>
      <c r="F3013" s="92">
        <v>45868</v>
      </c>
      <c r="G3013" s="87">
        <v>906</v>
      </c>
      <c r="H3013" s="88">
        <v>11356.046065259117</v>
      </c>
      <c r="I3013" s="89">
        <v>42</v>
      </c>
      <c r="J3013" s="90">
        <v>11833</v>
      </c>
      <c r="K3013" s="85">
        <v>6</v>
      </c>
      <c r="L3013" s="85">
        <v>0</v>
      </c>
      <c r="M3013" s="85">
        <v>0</v>
      </c>
      <c r="N3013" s="82" t="s">
        <v>11590</v>
      </c>
      <c r="O3013" s="93">
        <v>45869.526469907411</v>
      </c>
    </row>
    <row r="3014" spans="1:15" ht="22.5" customHeight="1">
      <c r="A3014" s="85">
        <v>174904221976312</v>
      </c>
      <c r="B3014" s="82" t="s">
        <v>10651</v>
      </c>
      <c r="C3014" s="82" t="s">
        <v>11591</v>
      </c>
      <c r="D3014" s="82" t="s">
        <v>11592</v>
      </c>
      <c r="E3014" s="82">
        <v>628155157779</v>
      </c>
      <c r="F3014" s="92">
        <v>45868</v>
      </c>
      <c r="G3014" s="87">
        <v>262</v>
      </c>
      <c r="H3014" s="88">
        <v>35214.983713355046</v>
      </c>
      <c r="I3014" s="89">
        <v>8</v>
      </c>
      <c r="J3014" s="90">
        <v>10811</v>
      </c>
      <c r="K3014" s="85">
        <v>1</v>
      </c>
      <c r="L3014" s="85">
        <v>0</v>
      </c>
      <c r="M3014" s="85">
        <v>0</v>
      </c>
      <c r="N3014" s="82" t="s">
        <v>11593</v>
      </c>
      <c r="O3014" s="93">
        <v>45869.485243055555</v>
      </c>
    </row>
    <row r="3015" spans="1:15" ht="22.5" customHeight="1">
      <c r="A3015" s="85">
        <v>174904221976312</v>
      </c>
      <c r="B3015" s="82" t="s">
        <v>10651</v>
      </c>
      <c r="C3015" s="82" t="s">
        <v>11594</v>
      </c>
      <c r="D3015" s="82" t="s">
        <v>11595</v>
      </c>
      <c r="E3015" s="82">
        <v>6281366479393</v>
      </c>
      <c r="F3015" s="92">
        <v>45868</v>
      </c>
      <c r="G3015" s="87">
        <v>1299</v>
      </c>
      <c r="H3015" s="88">
        <v>9437.1069182389947</v>
      </c>
      <c r="I3015" s="89">
        <v>21</v>
      </c>
      <c r="J3015" s="90">
        <v>15005</v>
      </c>
      <c r="K3015" s="85">
        <v>4</v>
      </c>
      <c r="L3015" s="85">
        <v>573</v>
      </c>
      <c r="M3015" s="85">
        <v>1</v>
      </c>
      <c r="N3015" s="82" t="s">
        <v>11596</v>
      </c>
      <c r="O3015" s="93">
        <v>45869.609861111108</v>
      </c>
    </row>
    <row r="3016" spans="1:15" ht="22.5" customHeight="1">
      <c r="A3016" s="85">
        <v>174904221976312</v>
      </c>
      <c r="B3016" s="82" t="s">
        <v>10651</v>
      </c>
      <c r="C3016" s="82" t="s">
        <v>11597</v>
      </c>
      <c r="D3016" s="82" t="s">
        <v>11598</v>
      </c>
      <c r="E3016" s="82">
        <v>6282123587173</v>
      </c>
      <c r="F3016" s="92">
        <v>45868</v>
      </c>
      <c r="G3016" s="87">
        <v>503</v>
      </c>
      <c r="H3016" s="88">
        <v>20826.546003016592</v>
      </c>
      <c r="I3016" s="89">
        <v>10</v>
      </c>
      <c r="J3016" s="90">
        <v>13808</v>
      </c>
      <c r="K3016" s="85">
        <v>4</v>
      </c>
      <c r="L3016" s="85">
        <v>0</v>
      </c>
      <c r="M3016" s="85">
        <v>0</v>
      </c>
      <c r="N3016" s="82" t="s">
        <v>11599</v>
      </c>
      <c r="O3016" s="93">
        <v>45869.547754629632</v>
      </c>
    </row>
    <row r="3017" spans="1:15" ht="22.5" customHeight="1">
      <c r="A3017" s="85">
        <v>174904221976312</v>
      </c>
      <c r="B3017" s="82" t="s">
        <v>10651</v>
      </c>
      <c r="C3017" s="82" t="s">
        <v>11600</v>
      </c>
      <c r="D3017" s="82" t="s">
        <v>11601</v>
      </c>
      <c r="E3017" s="82">
        <v>62881010278235</v>
      </c>
      <c r="F3017" s="92">
        <v>45868</v>
      </c>
      <c r="G3017" s="87">
        <v>572</v>
      </c>
      <c r="H3017" s="88">
        <v>16937.007874015748</v>
      </c>
      <c r="I3017" s="89">
        <v>14</v>
      </c>
      <c r="J3017" s="90">
        <v>10755</v>
      </c>
      <c r="K3017" s="85">
        <v>1</v>
      </c>
      <c r="L3017" s="85">
        <v>0</v>
      </c>
      <c r="M3017" s="85">
        <v>0</v>
      </c>
      <c r="N3017" s="82" t="s">
        <v>11602</v>
      </c>
      <c r="O3017" s="93">
        <v>45869.506331018521</v>
      </c>
    </row>
    <row r="3018" spans="1:15" ht="22.5" customHeight="1">
      <c r="A3018" s="85">
        <v>174904221976312</v>
      </c>
      <c r="B3018" s="82" t="s">
        <v>10651</v>
      </c>
      <c r="C3018" s="82" t="s">
        <v>11565</v>
      </c>
      <c r="D3018" s="82" t="s">
        <v>11566</v>
      </c>
      <c r="E3018" s="82">
        <v>6282333358533</v>
      </c>
      <c r="F3018" s="92">
        <v>45868</v>
      </c>
      <c r="G3018" s="87">
        <v>391</v>
      </c>
      <c r="H3018" s="88">
        <v>32553.086419753086</v>
      </c>
      <c r="I3018" s="89">
        <v>12</v>
      </c>
      <c r="J3018" s="90">
        <v>13184</v>
      </c>
      <c r="K3018" s="85">
        <v>2</v>
      </c>
      <c r="L3018" s="85">
        <v>233</v>
      </c>
      <c r="M3018" s="85">
        <v>0</v>
      </c>
      <c r="N3018" s="82" t="s">
        <v>11567</v>
      </c>
      <c r="O3018" s="93">
        <v>45869.506018518521</v>
      </c>
    </row>
    <row r="3019" spans="1:15" ht="22.5" customHeight="1">
      <c r="A3019" s="85">
        <v>174904221976312</v>
      </c>
      <c r="B3019" s="82" t="s">
        <v>10651</v>
      </c>
      <c r="C3019" s="82" t="s">
        <v>11568</v>
      </c>
      <c r="D3019" s="82" t="s">
        <v>11569</v>
      </c>
      <c r="E3019" s="82">
        <v>6287826386983</v>
      </c>
      <c r="F3019" s="92">
        <v>45868</v>
      </c>
      <c r="G3019" s="87">
        <v>369</v>
      </c>
      <c r="H3019" s="88">
        <v>35386.138613861382</v>
      </c>
      <c r="I3019" s="89">
        <v>11</v>
      </c>
      <c r="J3019" s="90">
        <v>14296</v>
      </c>
      <c r="K3019" s="85">
        <v>1</v>
      </c>
      <c r="L3019" s="85">
        <v>131</v>
      </c>
      <c r="M3019" s="85">
        <v>0</v>
      </c>
      <c r="N3019" s="82" t="s">
        <v>11570</v>
      </c>
      <c r="O3019" s="93">
        <v>45869.44363425926</v>
      </c>
    </row>
    <row r="3020" spans="1:15" ht="22.5" customHeight="1">
      <c r="A3020" s="85">
        <v>174904221976312</v>
      </c>
      <c r="B3020" s="82" t="s">
        <v>10651</v>
      </c>
      <c r="C3020" s="82" t="s">
        <v>11571</v>
      </c>
      <c r="D3020" s="82" t="s">
        <v>11572</v>
      </c>
      <c r="E3020" s="82">
        <v>6282340878030</v>
      </c>
      <c r="F3020" s="92">
        <v>45868</v>
      </c>
      <c r="G3020" s="87">
        <v>330</v>
      </c>
      <c r="H3020" s="88">
        <v>38276.536312849159</v>
      </c>
      <c r="I3020" s="89">
        <v>19</v>
      </c>
      <c r="J3020" s="90">
        <v>13703</v>
      </c>
      <c r="K3020" s="85">
        <v>4</v>
      </c>
      <c r="L3020" s="85">
        <v>144</v>
      </c>
      <c r="M3020" s="85">
        <v>1</v>
      </c>
      <c r="N3020" s="82" t="s">
        <v>11573</v>
      </c>
      <c r="O3020" s="93">
        <v>45869.485081018516</v>
      </c>
    </row>
    <row r="3021" spans="1:15" ht="22.5" customHeight="1">
      <c r="A3021" s="85">
        <v>174904221976312</v>
      </c>
      <c r="B3021" s="82" t="s">
        <v>10651</v>
      </c>
      <c r="C3021" s="82" t="s">
        <v>11545</v>
      </c>
      <c r="D3021" s="82" t="s">
        <v>3140</v>
      </c>
      <c r="E3021" s="82"/>
      <c r="F3021" s="92">
        <v>45868</v>
      </c>
      <c r="G3021" s="87">
        <v>10792</v>
      </c>
      <c r="H3021" s="88">
        <v>2078.4381478921905</v>
      </c>
      <c r="I3021" s="89">
        <v>224</v>
      </c>
      <c r="J3021" s="90">
        <v>30075</v>
      </c>
      <c r="K3021" s="85">
        <v>17</v>
      </c>
      <c r="L3021" s="85">
        <v>295</v>
      </c>
      <c r="M3021" s="85">
        <v>0</v>
      </c>
      <c r="N3021" s="82" t="s">
        <v>11546</v>
      </c>
      <c r="O3021" s="93">
        <v>45869.381145833337</v>
      </c>
    </row>
    <row r="3022" spans="1:15" ht="22.5" customHeight="1">
      <c r="A3022" s="85">
        <v>174904221976312</v>
      </c>
      <c r="B3022" s="82" t="s">
        <v>10651</v>
      </c>
      <c r="C3022" s="82" t="s">
        <v>11547</v>
      </c>
      <c r="D3022" s="82" t="s">
        <v>11548</v>
      </c>
      <c r="E3022" s="82">
        <v>6287846030252</v>
      </c>
      <c r="F3022" s="92">
        <v>45868</v>
      </c>
      <c r="G3022" s="87">
        <v>2279</v>
      </c>
      <c r="H3022" s="88">
        <v>5880.9523809523816</v>
      </c>
      <c r="I3022" s="89">
        <v>81</v>
      </c>
      <c r="J3022" s="90">
        <v>14820</v>
      </c>
      <c r="K3022" s="85">
        <v>3</v>
      </c>
      <c r="L3022" s="85">
        <v>9</v>
      </c>
      <c r="M3022" s="85">
        <v>5</v>
      </c>
      <c r="N3022" s="82" t="s">
        <v>11549</v>
      </c>
      <c r="O3022" s="93">
        <v>45869.485081018516</v>
      </c>
    </row>
    <row r="3023" spans="1:15" ht="22.5" customHeight="1">
      <c r="A3023" s="85">
        <v>174904221976312</v>
      </c>
      <c r="B3023" s="82" t="s">
        <v>10651</v>
      </c>
      <c r="C3023" s="82" t="s">
        <v>11649</v>
      </c>
      <c r="D3023" s="82" t="s">
        <v>11650</v>
      </c>
      <c r="E3023" s="82">
        <v>62823885166777</v>
      </c>
      <c r="F3023" s="92">
        <v>45868</v>
      </c>
      <c r="G3023" s="87">
        <v>185</v>
      </c>
      <c r="H3023" s="88">
        <v>56942.583732057414</v>
      </c>
      <c r="I3023" s="89">
        <v>1</v>
      </c>
      <c r="J3023" s="90">
        <v>11901</v>
      </c>
      <c r="K3023" s="85">
        <v>0</v>
      </c>
      <c r="L3023" s="85">
        <v>4</v>
      </c>
      <c r="M3023" s="85">
        <v>0</v>
      </c>
      <c r="N3023" s="82" t="s">
        <v>11651</v>
      </c>
      <c r="O3023" s="93">
        <v>45869.776423611111</v>
      </c>
    </row>
    <row r="3024" spans="1:15" ht="22.5" customHeight="1">
      <c r="A3024" s="85">
        <v>174904221976312</v>
      </c>
      <c r="B3024" s="82" t="s">
        <v>10651</v>
      </c>
      <c r="C3024" s="82" t="s">
        <v>11550</v>
      </c>
      <c r="D3024" s="82" t="s">
        <v>11551</v>
      </c>
      <c r="E3024" s="82">
        <v>6281327457634</v>
      </c>
      <c r="F3024" s="92">
        <v>45868</v>
      </c>
      <c r="G3024" s="87">
        <v>387</v>
      </c>
      <c r="H3024" s="88">
        <v>27503.529411764706</v>
      </c>
      <c r="I3024" s="89">
        <v>13</v>
      </c>
      <c r="J3024" s="90">
        <v>11689</v>
      </c>
      <c r="K3024" s="85">
        <v>1</v>
      </c>
      <c r="L3024" s="85">
        <v>149</v>
      </c>
      <c r="M3024" s="85">
        <v>0</v>
      </c>
      <c r="N3024" s="82" t="s">
        <v>11552</v>
      </c>
      <c r="O3024" s="93">
        <v>45869.506030092591</v>
      </c>
    </row>
    <row r="3025" spans="1:15" ht="22.5" customHeight="1">
      <c r="A3025" s="85">
        <v>174904221976312</v>
      </c>
      <c r="B3025" s="82" t="s">
        <v>10651</v>
      </c>
      <c r="C3025" s="82" t="s">
        <v>11553</v>
      </c>
      <c r="D3025" s="82" t="s">
        <v>11554</v>
      </c>
      <c r="E3025" s="82">
        <v>628113311777</v>
      </c>
      <c r="F3025" s="92">
        <v>45868</v>
      </c>
      <c r="G3025" s="87">
        <v>867</v>
      </c>
      <c r="H3025" s="88">
        <v>13535.852713178296</v>
      </c>
      <c r="I3025" s="89">
        <v>12</v>
      </c>
      <c r="J3025" s="90">
        <v>13969</v>
      </c>
      <c r="K3025" s="85">
        <v>1</v>
      </c>
      <c r="L3025" s="85">
        <v>0</v>
      </c>
      <c r="M3025" s="85">
        <v>1</v>
      </c>
      <c r="N3025" s="82" t="s">
        <v>11555</v>
      </c>
      <c r="O3025" s="93">
        <v>45869.40152777778</v>
      </c>
    </row>
    <row r="3026" spans="1:15" ht="22.5" customHeight="1">
      <c r="A3026" s="85">
        <v>174904221976312</v>
      </c>
      <c r="B3026" s="82" t="s">
        <v>10651</v>
      </c>
      <c r="C3026" s="82" t="s">
        <v>11556</v>
      </c>
      <c r="D3026" s="82" t="s">
        <v>11557</v>
      </c>
      <c r="E3026" s="82">
        <v>6281553075560</v>
      </c>
      <c r="F3026" s="92">
        <v>45868</v>
      </c>
      <c r="G3026" s="87">
        <v>1599</v>
      </c>
      <c r="H3026" s="88">
        <v>6913.1097560975613</v>
      </c>
      <c r="I3026" s="89">
        <v>39</v>
      </c>
      <c r="J3026" s="90">
        <v>13605</v>
      </c>
      <c r="K3026" s="85">
        <v>3</v>
      </c>
      <c r="L3026" s="85">
        <v>531</v>
      </c>
      <c r="M3026" s="85">
        <v>1</v>
      </c>
      <c r="N3026" s="82" t="s">
        <v>11558</v>
      </c>
      <c r="O3026" s="93">
        <v>45869.485231481478</v>
      </c>
    </row>
    <row r="3027" spans="1:15" ht="22.5" customHeight="1">
      <c r="A3027" s="85">
        <v>174904221976312</v>
      </c>
      <c r="B3027" s="82" t="s">
        <v>10651</v>
      </c>
      <c r="C3027" s="82" t="s">
        <v>11559</v>
      </c>
      <c r="D3027" s="82" t="s">
        <v>11560</v>
      </c>
      <c r="E3027" s="82">
        <v>6282333203355</v>
      </c>
      <c r="F3027" s="92">
        <v>45868</v>
      </c>
      <c r="G3027" s="87">
        <v>223</v>
      </c>
      <c r="H3027" s="88">
        <v>52670.682730923698</v>
      </c>
      <c r="I3027" s="89">
        <v>9</v>
      </c>
      <c r="J3027" s="90">
        <v>13115</v>
      </c>
      <c r="K3027" s="85">
        <v>1</v>
      </c>
      <c r="L3027" s="85">
        <v>4</v>
      </c>
      <c r="M3027" s="85">
        <v>0</v>
      </c>
      <c r="N3027" s="82" t="s">
        <v>11561</v>
      </c>
      <c r="O3027" s="93">
        <v>45869.485069444447</v>
      </c>
    </row>
    <row r="3028" spans="1:15" ht="22.5" customHeight="1">
      <c r="A3028" s="85">
        <v>174904221976312</v>
      </c>
      <c r="B3028" s="82" t="s">
        <v>10651</v>
      </c>
      <c r="C3028" s="82" t="s">
        <v>11531</v>
      </c>
      <c r="D3028" s="82" t="s">
        <v>2841</v>
      </c>
      <c r="E3028" s="82">
        <v>62811693222</v>
      </c>
      <c r="F3028" s="92">
        <v>45868</v>
      </c>
      <c r="G3028" s="87">
        <v>702</v>
      </c>
      <c r="H3028" s="88">
        <v>14378.806333739343</v>
      </c>
      <c r="I3028" s="89">
        <v>22</v>
      </c>
      <c r="J3028" s="90">
        <v>11805</v>
      </c>
      <c r="K3028" s="85">
        <v>1</v>
      </c>
      <c r="L3028" s="85">
        <v>1</v>
      </c>
      <c r="M3028" s="85">
        <v>0</v>
      </c>
      <c r="N3028" s="82" t="s">
        <v>11532</v>
      </c>
      <c r="O3028" s="93">
        <v>45869.506030092591</v>
      </c>
    </row>
    <row r="3029" spans="1:15" ht="22.5" customHeight="1">
      <c r="A3029" s="85">
        <v>174904221976312</v>
      </c>
      <c r="B3029" s="82" t="s">
        <v>10651</v>
      </c>
      <c r="C3029" s="82" t="s">
        <v>11535</v>
      </c>
      <c r="D3029" s="82" t="s">
        <v>2969</v>
      </c>
      <c r="E3029" s="82">
        <v>6281286402030</v>
      </c>
      <c r="F3029" s="92">
        <v>45868</v>
      </c>
      <c r="G3029" s="87">
        <v>450</v>
      </c>
      <c r="H3029" s="88">
        <v>27668.560606060604</v>
      </c>
      <c r="I3029" s="89">
        <v>11</v>
      </c>
      <c r="J3029" s="90">
        <v>14609</v>
      </c>
      <c r="K3029" s="85">
        <v>2</v>
      </c>
      <c r="L3029" s="85">
        <v>153</v>
      </c>
      <c r="M3029" s="85">
        <v>0</v>
      </c>
      <c r="N3029" s="82" t="s">
        <v>11536</v>
      </c>
      <c r="O3029" s="93">
        <v>45869.44363425926</v>
      </c>
    </row>
    <row r="3030" spans="1:15" ht="22.5" customHeight="1">
      <c r="A3030" s="85">
        <v>174904221976312</v>
      </c>
      <c r="B3030" s="82" t="s">
        <v>10651</v>
      </c>
      <c r="C3030" s="82" t="s">
        <v>11539</v>
      </c>
      <c r="D3030" s="82" t="s">
        <v>2754</v>
      </c>
      <c r="E3030" s="82">
        <v>6285186697099</v>
      </c>
      <c r="F3030" s="92">
        <v>45868</v>
      </c>
      <c r="G3030" s="87">
        <v>126</v>
      </c>
      <c r="H3030" s="88">
        <v>108050</v>
      </c>
      <c r="I3030" s="89">
        <v>8</v>
      </c>
      <c r="J3030" s="90">
        <v>15127</v>
      </c>
      <c r="K3030" s="85">
        <v>3</v>
      </c>
      <c r="L3030" s="85">
        <v>54</v>
      </c>
      <c r="M3030" s="85">
        <v>0</v>
      </c>
      <c r="N3030" s="82" t="s">
        <v>11540</v>
      </c>
      <c r="O3030" s="93">
        <v>45869.44363425926</v>
      </c>
    </row>
    <row r="3031" spans="1:15" ht="22.5" customHeight="1">
      <c r="A3031" s="85">
        <v>174904221976312</v>
      </c>
      <c r="B3031" s="82" t="s">
        <v>10651</v>
      </c>
      <c r="C3031" s="82" t="s">
        <v>11517</v>
      </c>
      <c r="D3031" s="82" t="s">
        <v>11518</v>
      </c>
      <c r="E3031" s="82">
        <v>6282133271189</v>
      </c>
      <c r="F3031" s="92">
        <v>45868</v>
      </c>
      <c r="G3031" s="87">
        <v>46</v>
      </c>
      <c r="H3031" s="88">
        <v>349372.54901960783</v>
      </c>
      <c r="I3031" s="89">
        <v>3</v>
      </c>
      <c r="J3031" s="90">
        <v>17818</v>
      </c>
      <c r="K3031" s="85">
        <v>0</v>
      </c>
      <c r="L3031" s="85">
        <v>12</v>
      </c>
      <c r="M3031" s="85">
        <v>0</v>
      </c>
      <c r="N3031" s="82" t="s">
        <v>11519</v>
      </c>
      <c r="O3031" s="93">
        <v>45869.215243055558</v>
      </c>
    </row>
    <row r="3032" spans="1:15" ht="22.5" customHeight="1">
      <c r="A3032" s="85">
        <v>174904221976312</v>
      </c>
      <c r="B3032" s="82" t="s">
        <v>10651</v>
      </c>
      <c r="C3032" s="82" t="s">
        <v>11520</v>
      </c>
      <c r="D3032" s="82" t="s">
        <v>2776</v>
      </c>
      <c r="E3032" s="82">
        <v>6285657238556</v>
      </c>
      <c r="F3032" s="92">
        <v>45868</v>
      </c>
      <c r="G3032" s="87">
        <v>872</v>
      </c>
      <c r="H3032" s="88">
        <v>12569.826707441387</v>
      </c>
      <c r="I3032" s="89">
        <v>36</v>
      </c>
      <c r="J3032" s="90">
        <v>12331</v>
      </c>
      <c r="K3032" s="85">
        <v>2</v>
      </c>
      <c r="L3032" s="85">
        <v>196</v>
      </c>
      <c r="M3032" s="85">
        <v>0</v>
      </c>
      <c r="N3032" s="82" t="s">
        <v>11521</v>
      </c>
      <c r="O3032" s="93">
        <v>45869.44363425926</v>
      </c>
    </row>
    <row r="3033" spans="1:15" ht="22.5" customHeight="1">
      <c r="A3033" s="85">
        <v>174904221976312</v>
      </c>
      <c r="B3033" s="82" t="s">
        <v>10651</v>
      </c>
      <c r="C3033" s="82" t="s">
        <v>11506</v>
      </c>
      <c r="D3033" s="82" t="s">
        <v>2700</v>
      </c>
      <c r="E3033" s="82">
        <v>6282197248722</v>
      </c>
      <c r="F3033" s="92">
        <v>45868</v>
      </c>
      <c r="G3033" s="87">
        <v>681</v>
      </c>
      <c r="H3033" s="88">
        <v>19478.779840848805</v>
      </c>
      <c r="I3033" s="89">
        <v>39</v>
      </c>
      <c r="J3033" s="90">
        <v>14687</v>
      </c>
      <c r="K3033" s="85">
        <v>8</v>
      </c>
      <c r="L3033" s="85">
        <v>234</v>
      </c>
      <c r="M3033" s="85">
        <v>0</v>
      </c>
      <c r="N3033" s="82" t="s">
        <v>11507</v>
      </c>
      <c r="O3033" s="93">
        <v>45869.464166666665</v>
      </c>
    </row>
    <row r="3034" spans="1:15" ht="22.5" customHeight="1">
      <c r="A3034" s="85">
        <v>174904221976312</v>
      </c>
      <c r="B3034" s="82" t="s">
        <v>10651</v>
      </c>
      <c r="C3034" s="82" t="s">
        <v>11464</v>
      </c>
      <c r="D3034" s="82" t="s">
        <v>11465</v>
      </c>
      <c r="E3034" s="82">
        <v>62816904358</v>
      </c>
      <c r="F3034" s="92">
        <v>45868</v>
      </c>
      <c r="G3034" s="87">
        <v>479</v>
      </c>
      <c r="H3034" s="88">
        <v>22656.101426307447</v>
      </c>
      <c r="I3034" s="89">
        <v>41</v>
      </c>
      <c r="J3034" s="90">
        <v>14296</v>
      </c>
      <c r="K3034" s="85">
        <v>5</v>
      </c>
      <c r="L3034" s="85">
        <v>0</v>
      </c>
      <c r="M3034" s="85">
        <v>2</v>
      </c>
      <c r="N3034" s="82" t="s">
        <v>11466</v>
      </c>
      <c r="O3034" s="93">
        <v>45869.485081018516</v>
      </c>
    </row>
    <row r="3035" spans="1:15" ht="22.5" customHeight="1">
      <c r="A3035" s="85">
        <v>174904221976312</v>
      </c>
      <c r="B3035" s="82" t="s">
        <v>10651</v>
      </c>
      <c r="C3035" s="82" t="s">
        <v>11470</v>
      </c>
      <c r="D3035" s="82" t="s">
        <v>11471</v>
      </c>
      <c r="E3035" s="82">
        <v>6281225745133</v>
      </c>
      <c r="F3035" s="92">
        <v>45868</v>
      </c>
      <c r="G3035" s="87">
        <v>246</v>
      </c>
      <c r="H3035" s="88">
        <v>55224.334600760456</v>
      </c>
      <c r="I3035" s="89">
        <v>10</v>
      </c>
      <c r="J3035" s="90">
        <v>14524</v>
      </c>
      <c r="K3035" s="85">
        <v>0</v>
      </c>
      <c r="L3035" s="85">
        <v>101</v>
      </c>
      <c r="M3035" s="85">
        <v>0</v>
      </c>
      <c r="N3035" s="82" t="s">
        <v>11472</v>
      </c>
      <c r="O3035" s="93">
        <v>45869.485254629632</v>
      </c>
    </row>
    <row r="3036" spans="1:15" ht="22.5" customHeight="1">
      <c r="A3036" s="85">
        <v>174904221976312</v>
      </c>
      <c r="B3036" s="82" t="s">
        <v>10651</v>
      </c>
      <c r="C3036" s="82" t="s">
        <v>11475</v>
      </c>
      <c r="D3036" s="82" t="s">
        <v>2708</v>
      </c>
      <c r="E3036" s="82">
        <v>6281219329853</v>
      </c>
      <c r="F3036" s="92">
        <v>45868</v>
      </c>
      <c r="G3036" s="87">
        <v>573</v>
      </c>
      <c r="H3036" s="88">
        <v>20515.850144092219</v>
      </c>
      <c r="I3036" s="89">
        <v>16</v>
      </c>
      <c r="J3036" s="90">
        <v>14238</v>
      </c>
      <c r="K3036" s="85">
        <v>1</v>
      </c>
      <c r="L3036" s="85">
        <v>200</v>
      </c>
      <c r="M3036" s="85">
        <v>0</v>
      </c>
      <c r="N3036" s="82" t="s">
        <v>11476</v>
      </c>
      <c r="O3036" s="93">
        <v>45869.506018518521</v>
      </c>
    </row>
    <row r="3037" spans="1:15" ht="22.5" customHeight="1">
      <c r="A3037" s="85">
        <v>174904221976312</v>
      </c>
      <c r="B3037" s="82" t="s">
        <v>10651</v>
      </c>
      <c r="C3037" s="82" t="s">
        <v>11309</v>
      </c>
      <c r="D3037" s="82" t="s">
        <v>11350</v>
      </c>
      <c r="E3037" s="82">
        <v>6281229745253</v>
      </c>
      <c r="F3037" s="92">
        <v>45868</v>
      </c>
      <c r="G3037" s="87">
        <v>174</v>
      </c>
      <c r="H3037" s="88">
        <v>67393.034825870636</v>
      </c>
      <c r="I3037" s="89">
        <v>11</v>
      </c>
      <c r="J3037" s="90">
        <v>13546</v>
      </c>
      <c r="K3037" s="85">
        <v>1</v>
      </c>
      <c r="L3037" s="85">
        <v>0</v>
      </c>
      <c r="M3037" s="85">
        <v>0</v>
      </c>
      <c r="N3037" s="82" t="s">
        <v>11351</v>
      </c>
      <c r="O3037" s="93">
        <v>45869.52648148148</v>
      </c>
    </row>
    <row r="3038" spans="1:15" ht="22.5" customHeight="1">
      <c r="A3038" s="85">
        <v>174904221976312</v>
      </c>
      <c r="B3038" s="82" t="s">
        <v>10651</v>
      </c>
      <c r="C3038" s="82" t="s">
        <v>11291</v>
      </c>
      <c r="D3038" s="82" t="s">
        <v>11292</v>
      </c>
      <c r="E3038" s="82">
        <v>6283183643221</v>
      </c>
      <c r="F3038" s="92">
        <v>45868</v>
      </c>
      <c r="G3038" s="87">
        <v>86</v>
      </c>
      <c r="H3038" s="88">
        <v>129736.84210526315</v>
      </c>
      <c r="I3038" s="89">
        <v>3</v>
      </c>
      <c r="J3038" s="90">
        <v>12325</v>
      </c>
      <c r="K3038" s="85">
        <v>1</v>
      </c>
      <c r="L3038" s="85">
        <v>37</v>
      </c>
      <c r="M3038" s="85">
        <v>0</v>
      </c>
      <c r="N3038" s="82" t="s">
        <v>11293</v>
      </c>
      <c r="O3038" s="93">
        <v>45869.443472222221</v>
      </c>
    </row>
    <row r="3039" spans="1:15" ht="22.5" customHeight="1">
      <c r="A3039" s="85">
        <v>174904221976312</v>
      </c>
      <c r="B3039" s="82" t="s">
        <v>10651</v>
      </c>
      <c r="C3039" s="82" t="s">
        <v>11253</v>
      </c>
      <c r="D3039" s="82" t="s">
        <v>2096</v>
      </c>
      <c r="E3039" s="82">
        <v>6285282777679</v>
      </c>
      <c r="F3039" s="92">
        <v>45868</v>
      </c>
      <c r="G3039" s="87">
        <v>299</v>
      </c>
      <c r="H3039" s="88">
        <v>41762.611275964387</v>
      </c>
      <c r="I3039" s="89">
        <v>1</v>
      </c>
      <c r="J3039" s="90">
        <v>14074</v>
      </c>
      <c r="K3039" s="85">
        <v>0</v>
      </c>
      <c r="L3039" s="85">
        <v>90</v>
      </c>
      <c r="M3039" s="85">
        <v>0</v>
      </c>
      <c r="N3039" s="82" t="s">
        <v>11254</v>
      </c>
      <c r="O3039" s="93">
        <v>45869.464178240742</v>
      </c>
    </row>
    <row r="3040" spans="1:15" ht="22.5" customHeight="1">
      <c r="A3040" s="85">
        <v>174904221976312</v>
      </c>
      <c r="B3040" s="82" t="s">
        <v>10651</v>
      </c>
      <c r="C3040" s="82" t="s">
        <v>11213</v>
      </c>
      <c r="D3040" s="82" t="s">
        <v>2022</v>
      </c>
      <c r="E3040" s="82">
        <v>6285274759862</v>
      </c>
      <c r="F3040" s="92">
        <v>45868</v>
      </c>
      <c r="G3040" s="87">
        <v>1048</v>
      </c>
      <c r="H3040" s="88">
        <v>11000</v>
      </c>
      <c r="I3040" s="89">
        <v>43</v>
      </c>
      <c r="J3040" s="90">
        <v>13299</v>
      </c>
      <c r="K3040" s="85">
        <v>6</v>
      </c>
      <c r="L3040" s="85">
        <v>342</v>
      </c>
      <c r="M3040" s="85">
        <v>0</v>
      </c>
      <c r="N3040" s="82" t="s">
        <v>11214</v>
      </c>
      <c r="O3040" s="93">
        <v>45869.215196759258</v>
      </c>
    </row>
    <row r="3041" spans="1:15" ht="22.5" customHeight="1">
      <c r="A3041" s="85">
        <v>174904221976312</v>
      </c>
      <c r="B3041" s="82" t="s">
        <v>10651</v>
      </c>
      <c r="C3041" s="82" t="s">
        <v>11225</v>
      </c>
      <c r="D3041" s="82" t="s">
        <v>11226</v>
      </c>
      <c r="E3041" s="82">
        <v>6281240144744</v>
      </c>
      <c r="F3041" s="92">
        <v>45868</v>
      </c>
      <c r="G3041" s="87">
        <v>1580</v>
      </c>
      <c r="H3041" s="88">
        <v>6800.2901353965181</v>
      </c>
      <c r="I3041" s="89">
        <v>42</v>
      </c>
      <c r="J3041" s="90">
        <v>14063</v>
      </c>
      <c r="K3041" s="85">
        <v>5</v>
      </c>
      <c r="L3041" s="85">
        <v>0</v>
      </c>
      <c r="M3041" s="85">
        <v>1</v>
      </c>
      <c r="N3041" s="82" t="s">
        <v>11227</v>
      </c>
      <c r="O3041" s="93">
        <v>45869.464537037034</v>
      </c>
    </row>
    <row r="3042" spans="1:15" ht="22.5" customHeight="1">
      <c r="A3042" s="85">
        <v>174904221976312</v>
      </c>
      <c r="B3042" s="82" t="s">
        <v>10651</v>
      </c>
      <c r="C3042" s="82" t="s">
        <v>11193</v>
      </c>
      <c r="D3042" s="82" t="s">
        <v>11194</v>
      </c>
      <c r="E3042" s="82">
        <v>6281779578317</v>
      </c>
      <c r="F3042" s="92">
        <v>45868</v>
      </c>
      <c r="G3042" s="87">
        <v>1175</v>
      </c>
      <c r="H3042" s="88">
        <v>10317.436661698956</v>
      </c>
      <c r="I3042" s="89">
        <v>76</v>
      </c>
      <c r="J3042" s="90">
        <v>13846</v>
      </c>
      <c r="K3042" s="85">
        <v>7</v>
      </c>
      <c r="L3042" s="85">
        <v>401</v>
      </c>
      <c r="M3042" s="85">
        <v>5</v>
      </c>
      <c r="N3042" s="82" t="s">
        <v>11195</v>
      </c>
      <c r="O3042" s="93">
        <v>45869.506331018521</v>
      </c>
    </row>
    <row r="3043" spans="1:15" ht="22.5" customHeight="1">
      <c r="A3043" s="85">
        <v>174904221976312</v>
      </c>
      <c r="B3043" s="82" t="s">
        <v>10651</v>
      </c>
      <c r="C3043" s="82" t="s">
        <v>11153</v>
      </c>
      <c r="D3043" s="82" t="s">
        <v>11154</v>
      </c>
      <c r="E3043" s="82">
        <v>6285338137835</v>
      </c>
      <c r="F3043" s="92">
        <v>45868</v>
      </c>
      <c r="G3043" s="87">
        <v>214</v>
      </c>
      <c r="H3043" s="88">
        <v>45658.914728682168</v>
      </c>
      <c r="I3043" s="89">
        <v>9</v>
      </c>
      <c r="J3043" s="90">
        <v>11780</v>
      </c>
      <c r="K3043" s="85">
        <v>1</v>
      </c>
      <c r="L3043" s="85">
        <v>0</v>
      </c>
      <c r="M3043" s="85">
        <v>0</v>
      </c>
      <c r="N3043" s="82" t="s">
        <v>11155</v>
      </c>
      <c r="O3043" s="93">
        <v>45869.359965277778</v>
      </c>
    </row>
    <row r="3044" spans="1:15" ht="22.5" customHeight="1">
      <c r="A3044" s="85">
        <v>174904221976312</v>
      </c>
      <c r="B3044" s="82" t="s">
        <v>10651</v>
      </c>
      <c r="C3044" s="82" t="s">
        <v>10943</v>
      </c>
      <c r="D3044" s="82" t="s">
        <v>10944</v>
      </c>
      <c r="E3044" s="82">
        <v>6285240694097</v>
      </c>
      <c r="F3044" s="92">
        <v>45868</v>
      </c>
      <c r="G3044" s="87">
        <v>1173</v>
      </c>
      <c r="H3044" s="88">
        <v>11379.043600562587</v>
      </c>
      <c r="I3044" s="89">
        <v>37</v>
      </c>
      <c r="J3044" s="90">
        <v>16181</v>
      </c>
      <c r="K3044" s="85">
        <v>5</v>
      </c>
      <c r="L3044" s="85">
        <v>58</v>
      </c>
      <c r="M3044" s="85">
        <v>2</v>
      </c>
      <c r="N3044" s="82" t="s">
        <v>10945</v>
      </c>
      <c r="O3044" s="93">
        <v>45869.422488425924</v>
      </c>
    </row>
    <row r="3045" spans="1:15" ht="22.5" customHeight="1">
      <c r="A3045" s="85">
        <v>174904221976312</v>
      </c>
      <c r="B3045" s="82" t="s">
        <v>10651</v>
      </c>
      <c r="C3045" s="82" t="s">
        <v>10853</v>
      </c>
      <c r="D3045" s="82" t="s">
        <v>10854</v>
      </c>
      <c r="E3045" s="82">
        <v>6281393958199</v>
      </c>
      <c r="F3045" s="92">
        <v>45868</v>
      </c>
      <c r="G3045" s="87">
        <v>511</v>
      </c>
      <c r="H3045" s="88">
        <v>22921.568627450979</v>
      </c>
      <c r="I3045" s="89">
        <v>8</v>
      </c>
      <c r="J3045" s="90">
        <v>12859</v>
      </c>
      <c r="K3045" s="85">
        <v>1</v>
      </c>
      <c r="L3045" s="85">
        <v>175</v>
      </c>
      <c r="M3045" s="85">
        <v>0</v>
      </c>
      <c r="N3045" s="82" t="s">
        <v>10855</v>
      </c>
      <c r="O3045" s="93">
        <v>45869.214837962965</v>
      </c>
    </row>
    <row r="3046" spans="1:15" ht="22.5" customHeight="1">
      <c r="A3046" s="85">
        <v>174904221976312</v>
      </c>
      <c r="B3046" s="82" t="s">
        <v>10651</v>
      </c>
      <c r="C3046" s="82" t="s">
        <v>818</v>
      </c>
      <c r="D3046" s="82" t="s">
        <v>812</v>
      </c>
      <c r="E3046" s="82">
        <v>6287858585808</v>
      </c>
      <c r="F3046" s="92">
        <v>45868</v>
      </c>
      <c r="G3046" s="87">
        <v>950</v>
      </c>
      <c r="H3046" s="88">
        <v>22449.740034662045</v>
      </c>
      <c r="I3046" s="89">
        <v>15</v>
      </c>
      <c r="J3046" s="90">
        <v>25907</v>
      </c>
      <c r="K3046" s="85">
        <v>0</v>
      </c>
      <c r="L3046" s="85">
        <v>283</v>
      </c>
      <c r="M3046" s="85">
        <v>1</v>
      </c>
      <c r="N3046" s="82" t="s">
        <v>11603</v>
      </c>
      <c r="O3046" s="93">
        <v>45868.834074074075</v>
      </c>
    </row>
    <row r="3047" spans="1:15" ht="22.5" customHeight="1">
      <c r="A3047" s="85">
        <v>759724529202804</v>
      </c>
      <c r="B3047" s="82" t="s">
        <v>10621</v>
      </c>
      <c r="C3047" s="82" t="s">
        <v>11131</v>
      </c>
      <c r="D3047" s="82" t="s">
        <v>9019</v>
      </c>
      <c r="E3047" s="82">
        <v>628562943274</v>
      </c>
      <c r="F3047" s="92">
        <v>45869</v>
      </c>
      <c r="G3047" s="87">
        <v>820</v>
      </c>
      <c r="H3047" s="88">
        <v>19901.601830663614</v>
      </c>
      <c r="I3047" s="89">
        <v>31</v>
      </c>
      <c r="J3047" s="90">
        <v>17394</v>
      </c>
      <c r="K3047" s="85">
        <v>7</v>
      </c>
      <c r="L3047" s="85">
        <v>299</v>
      </c>
      <c r="M3047" s="85">
        <v>0</v>
      </c>
      <c r="N3047" s="82" t="s">
        <v>11132</v>
      </c>
      <c r="O3047" s="93">
        <v>45870.505532407406</v>
      </c>
    </row>
    <row r="3048" spans="1:15" ht="22.5" customHeight="1">
      <c r="A3048" s="85">
        <v>759724529202804</v>
      </c>
      <c r="B3048" s="82" t="s">
        <v>10621</v>
      </c>
      <c r="C3048" s="82" t="s">
        <v>11070</v>
      </c>
      <c r="D3048" s="82" t="s">
        <v>11071</v>
      </c>
      <c r="E3048" s="82">
        <v>6281246211381</v>
      </c>
      <c r="F3048" s="92">
        <v>45869</v>
      </c>
      <c r="G3048" s="87">
        <v>302</v>
      </c>
      <c r="H3048" s="88">
        <v>48640.80459770115</v>
      </c>
      <c r="I3048" s="89">
        <v>8</v>
      </c>
      <c r="J3048" s="90">
        <v>16927</v>
      </c>
      <c r="K3048" s="85">
        <v>0</v>
      </c>
      <c r="L3048" s="85">
        <v>14</v>
      </c>
      <c r="M3048" s="85">
        <v>1</v>
      </c>
      <c r="N3048" s="82" t="s">
        <v>11072</v>
      </c>
      <c r="O3048" s="93">
        <v>45870.464513888888</v>
      </c>
    </row>
    <row r="3049" spans="1:15" ht="22.5" customHeight="1">
      <c r="A3049" s="85">
        <v>759724529202804</v>
      </c>
      <c r="B3049" s="82" t="s">
        <v>10621</v>
      </c>
      <c r="C3049" s="82" t="s">
        <v>11016</v>
      </c>
      <c r="D3049" s="82" t="s">
        <v>1530</v>
      </c>
      <c r="E3049" s="82">
        <v>628111988553</v>
      </c>
      <c r="F3049" s="92">
        <v>45869</v>
      </c>
      <c r="G3049" s="87">
        <v>155</v>
      </c>
      <c r="H3049" s="88">
        <v>88916.167664670647</v>
      </c>
      <c r="I3049" s="89">
        <v>8</v>
      </c>
      <c r="J3049" s="90">
        <v>14849</v>
      </c>
      <c r="K3049" s="85">
        <v>1</v>
      </c>
      <c r="L3049" s="85">
        <v>11</v>
      </c>
      <c r="M3049" s="85">
        <v>0</v>
      </c>
      <c r="N3049" s="82" t="s">
        <v>11017</v>
      </c>
      <c r="O3049" s="93">
        <v>45870.21502314815</v>
      </c>
    </row>
    <row r="3050" spans="1:15" ht="22.5" customHeight="1">
      <c r="A3050" s="85">
        <v>759724529202804</v>
      </c>
      <c r="B3050" s="82" t="s">
        <v>10621</v>
      </c>
      <c r="C3050" s="82" t="s">
        <v>10925</v>
      </c>
      <c r="D3050" s="82" t="s">
        <v>10926</v>
      </c>
      <c r="E3050" s="82">
        <v>6281233038880</v>
      </c>
      <c r="F3050" s="92">
        <v>45869</v>
      </c>
      <c r="G3050" s="87">
        <v>385</v>
      </c>
      <c r="H3050" s="88">
        <v>43759.59079283887</v>
      </c>
      <c r="I3050" s="89">
        <v>9</v>
      </c>
      <c r="J3050" s="90">
        <v>17110</v>
      </c>
      <c r="K3050" s="85">
        <v>2</v>
      </c>
      <c r="L3050" s="85">
        <v>58</v>
      </c>
      <c r="M3050" s="85">
        <v>0</v>
      </c>
      <c r="N3050" s="82" t="s">
        <v>10927</v>
      </c>
      <c r="O3050" s="93">
        <v>45870.547743055555</v>
      </c>
    </row>
    <row r="3051" spans="1:15" ht="22.5" customHeight="1">
      <c r="A3051" s="85">
        <v>174904221976312</v>
      </c>
      <c r="B3051" s="82" t="s">
        <v>10651</v>
      </c>
      <c r="C3051" s="82" t="s">
        <v>11652</v>
      </c>
      <c r="D3051" s="82" t="s">
        <v>3236</v>
      </c>
      <c r="E3051" s="82">
        <v>6283831211890</v>
      </c>
      <c r="F3051" s="92">
        <v>45869</v>
      </c>
      <c r="G3051" s="87">
        <v>342</v>
      </c>
      <c r="H3051" s="88">
        <v>31342.931937172776</v>
      </c>
      <c r="I3051" s="89">
        <v>5</v>
      </c>
      <c r="J3051" s="90">
        <v>11973</v>
      </c>
      <c r="K3051" s="85">
        <v>0</v>
      </c>
      <c r="L3051" s="85">
        <v>29</v>
      </c>
      <c r="M3051" s="85">
        <v>0</v>
      </c>
      <c r="N3051" s="82" t="s">
        <v>11653</v>
      </c>
      <c r="O3051" s="93">
        <v>45870.218715277777</v>
      </c>
    </row>
    <row r="3052" spans="1:15" ht="22.5" customHeight="1">
      <c r="A3052" s="85">
        <v>174904221976312</v>
      </c>
      <c r="B3052" s="82" t="s">
        <v>10651</v>
      </c>
      <c r="C3052" s="82" t="s">
        <v>11654</v>
      </c>
      <c r="D3052" s="82" t="s">
        <v>11655</v>
      </c>
      <c r="E3052" s="82">
        <v>6285223186555</v>
      </c>
      <c r="F3052" s="92">
        <v>45869</v>
      </c>
      <c r="G3052" s="87">
        <v>445</v>
      </c>
      <c r="H3052" s="88">
        <v>23001.945525291831</v>
      </c>
      <c r="I3052" s="89">
        <v>13</v>
      </c>
      <c r="J3052" s="90">
        <v>11823</v>
      </c>
      <c r="K3052" s="85">
        <v>1</v>
      </c>
      <c r="L3052" s="85">
        <v>114</v>
      </c>
      <c r="M3052" s="85">
        <v>0</v>
      </c>
      <c r="N3052" s="82" t="s">
        <v>11656</v>
      </c>
      <c r="O3052" s="93">
        <v>45870.218692129631</v>
      </c>
    </row>
    <row r="3053" spans="1:15" ht="22.5" customHeight="1">
      <c r="A3053" s="85">
        <v>174904221976312</v>
      </c>
      <c r="B3053" s="82" t="s">
        <v>10651</v>
      </c>
      <c r="C3053" s="82" t="s">
        <v>11657</v>
      </c>
      <c r="D3053" s="82" t="s">
        <v>11658</v>
      </c>
      <c r="E3053" s="82">
        <v>6282352307329</v>
      </c>
      <c r="F3053" s="92">
        <v>45869</v>
      </c>
      <c r="G3053" s="87">
        <v>1418</v>
      </c>
      <c r="H3053" s="88">
        <v>7339.1684901531735</v>
      </c>
      <c r="I3053" s="89">
        <v>56</v>
      </c>
      <c r="J3053" s="90">
        <v>13416</v>
      </c>
      <c r="K3053" s="85">
        <v>0</v>
      </c>
      <c r="L3053" s="85">
        <v>31</v>
      </c>
      <c r="M3053" s="85">
        <v>2</v>
      </c>
      <c r="N3053" s="82" t="s">
        <v>11659</v>
      </c>
      <c r="O3053" s="93">
        <v>45870.610138888886</v>
      </c>
    </row>
    <row r="3054" spans="1:15" ht="22.5" customHeight="1">
      <c r="A3054" s="85">
        <v>174904221976312</v>
      </c>
      <c r="B3054" s="82" t="s">
        <v>10651</v>
      </c>
      <c r="C3054" s="82" t="s">
        <v>11660</v>
      </c>
      <c r="D3054" s="82" t="s">
        <v>11661</v>
      </c>
      <c r="E3054" s="82">
        <v>6281347245985</v>
      </c>
      <c r="F3054" s="92">
        <v>45869</v>
      </c>
      <c r="G3054" s="87">
        <v>1242</v>
      </c>
      <c r="H3054" s="88">
        <v>8429.5958279009137</v>
      </c>
      <c r="I3054" s="89">
        <v>16</v>
      </c>
      <c r="J3054" s="90">
        <v>12931</v>
      </c>
      <c r="K3054" s="85">
        <v>0</v>
      </c>
      <c r="L3054" s="85">
        <v>44</v>
      </c>
      <c r="M3054" s="85">
        <v>0</v>
      </c>
      <c r="N3054" s="82" t="s">
        <v>11662</v>
      </c>
      <c r="O3054" s="93">
        <v>45870.547685185185</v>
      </c>
    </row>
    <row r="3055" spans="1:15" ht="22.5" customHeight="1">
      <c r="A3055" s="85">
        <v>174904221976312</v>
      </c>
      <c r="B3055" s="82" t="s">
        <v>10651</v>
      </c>
      <c r="C3055" s="82" t="s">
        <v>11663</v>
      </c>
      <c r="D3055" s="82" t="s">
        <v>11664</v>
      </c>
      <c r="E3055" s="82">
        <v>628123264621</v>
      </c>
      <c r="F3055" s="92">
        <v>45869</v>
      </c>
      <c r="G3055" s="87">
        <v>825</v>
      </c>
      <c r="H3055" s="88">
        <v>12909.178743961353</v>
      </c>
      <c r="I3055" s="89">
        <v>36</v>
      </c>
      <c r="J3055" s="90">
        <v>13361</v>
      </c>
      <c r="K3055" s="85">
        <v>5</v>
      </c>
      <c r="L3055" s="85">
        <v>25</v>
      </c>
      <c r="M3055" s="85">
        <v>0</v>
      </c>
      <c r="N3055" s="82" t="s">
        <v>11665</v>
      </c>
      <c r="O3055" s="93">
        <v>45870.218738425923</v>
      </c>
    </row>
    <row r="3056" spans="1:15" ht="22.5" customHeight="1">
      <c r="A3056" s="85">
        <v>174904221976312</v>
      </c>
      <c r="B3056" s="82" t="s">
        <v>10651</v>
      </c>
      <c r="C3056" s="82" t="s">
        <v>11666</v>
      </c>
      <c r="D3056" s="82" t="s">
        <v>11667</v>
      </c>
      <c r="E3056" s="82">
        <v>6282292283543</v>
      </c>
      <c r="F3056" s="92">
        <v>45869</v>
      </c>
      <c r="G3056" s="87">
        <v>767</v>
      </c>
      <c r="H3056" s="88">
        <v>10865.280289330922</v>
      </c>
      <c r="I3056" s="89">
        <v>41</v>
      </c>
      <c r="J3056" s="90">
        <v>12017</v>
      </c>
      <c r="K3056" s="85">
        <v>2</v>
      </c>
      <c r="L3056" s="85">
        <v>30</v>
      </c>
      <c r="M3056" s="85">
        <v>1</v>
      </c>
      <c r="N3056" s="82" t="s">
        <v>11668</v>
      </c>
      <c r="O3056" s="93">
        <v>45870.568414351852</v>
      </c>
    </row>
    <row r="3057" spans="1:15" ht="22.5" customHeight="1">
      <c r="A3057" s="85">
        <v>174904221976312</v>
      </c>
      <c r="B3057" s="82" t="s">
        <v>10651</v>
      </c>
      <c r="C3057" s="82" t="s">
        <v>11669</v>
      </c>
      <c r="D3057" s="82" t="s">
        <v>2708</v>
      </c>
      <c r="E3057" s="82">
        <v>6282142833445</v>
      </c>
      <c r="F3057" s="92">
        <v>45869</v>
      </c>
      <c r="G3057" s="87">
        <v>689</v>
      </c>
      <c r="H3057" s="88">
        <v>12345.982142857143</v>
      </c>
      <c r="I3057" s="89">
        <v>33</v>
      </c>
      <c r="J3057" s="90">
        <v>11062</v>
      </c>
      <c r="K3057" s="85">
        <v>1</v>
      </c>
      <c r="L3057" s="85">
        <v>2</v>
      </c>
      <c r="M3057" s="85">
        <v>0</v>
      </c>
      <c r="N3057" s="82" t="s">
        <v>11670</v>
      </c>
      <c r="O3057" s="93">
        <v>45870.2187037037</v>
      </c>
    </row>
    <row r="3058" spans="1:15" ht="22.5" customHeight="1">
      <c r="A3058" s="85">
        <v>174904221976312</v>
      </c>
      <c r="B3058" s="82" t="s">
        <v>10651</v>
      </c>
      <c r="C3058" s="82" t="s">
        <v>11633</v>
      </c>
      <c r="D3058" s="82" t="s">
        <v>11634</v>
      </c>
      <c r="E3058" s="82">
        <v>6287762605372</v>
      </c>
      <c r="F3058" s="92">
        <v>45869</v>
      </c>
      <c r="G3058" s="87">
        <v>291</v>
      </c>
      <c r="H3058" s="88">
        <v>38875.362318840576</v>
      </c>
      <c r="I3058" s="89">
        <v>19</v>
      </c>
      <c r="J3058" s="90">
        <v>13412</v>
      </c>
      <c r="K3058" s="85">
        <v>5</v>
      </c>
      <c r="L3058" s="85">
        <v>64</v>
      </c>
      <c r="M3058" s="85">
        <v>0</v>
      </c>
      <c r="N3058" s="82" t="s">
        <v>11635</v>
      </c>
      <c r="O3058" s="93">
        <v>45870.21875</v>
      </c>
    </row>
    <row r="3059" spans="1:15" ht="22.5" customHeight="1">
      <c r="A3059" s="85">
        <v>174904221976312</v>
      </c>
      <c r="B3059" s="82" t="s">
        <v>10651</v>
      </c>
      <c r="C3059" s="82" t="s">
        <v>11636</v>
      </c>
      <c r="D3059" s="82" t="s">
        <v>11637</v>
      </c>
      <c r="E3059" s="82">
        <v>6282154233977</v>
      </c>
      <c r="F3059" s="92">
        <v>45869</v>
      </c>
      <c r="G3059" s="87">
        <v>1028</v>
      </c>
      <c r="H3059" s="88">
        <v>12348.953974895398</v>
      </c>
      <c r="I3059" s="89">
        <v>39</v>
      </c>
      <c r="J3059" s="90">
        <v>14757</v>
      </c>
      <c r="K3059" s="85">
        <v>4</v>
      </c>
      <c r="L3059" s="85">
        <v>206</v>
      </c>
      <c r="M3059" s="85">
        <v>0</v>
      </c>
      <c r="N3059" s="82" t="s">
        <v>11638</v>
      </c>
      <c r="O3059" s="93">
        <v>45870.218692129631</v>
      </c>
    </row>
    <row r="3060" spans="1:15" ht="22.5" customHeight="1">
      <c r="A3060" s="85">
        <v>174904221976312</v>
      </c>
      <c r="B3060" s="82" t="s">
        <v>10651</v>
      </c>
      <c r="C3060" s="82" t="s">
        <v>11639</v>
      </c>
      <c r="D3060" s="82" t="s">
        <v>9010</v>
      </c>
      <c r="E3060" s="82">
        <v>6281111121020</v>
      </c>
      <c r="F3060" s="92">
        <v>45869</v>
      </c>
      <c r="G3060" s="87">
        <v>481</v>
      </c>
      <c r="H3060" s="88">
        <v>18090.301003344481</v>
      </c>
      <c r="I3060" s="89">
        <v>13</v>
      </c>
      <c r="J3060" s="90">
        <v>10818</v>
      </c>
      <c r="K3060" s="85">
        <v>1</v>
      </c>
      <c r="L3060" s="85">
        <v>138</v>
      </c>
      <c r="M3060" s="85">
        <v>0</v>
      </c>
      <c r="N3060" s="82" t="s">
        <v>11640</v>
      </c>
      <c r="O3060" s="93">
        <v>45870.526435185187</v>
      </c>
    </row>
    <row r="3061" spans="1:15" ht="22.5" customHeight="1">
      <c r="A3061" s="85">
        <v>174904221976312</v>
      </c>
      <c r="B3061" s="82" t="s">
        <v>10651</v>
      </c>
      <c r="C3061" s="82" t="s">
        <v>11641</v>
      </c>
      <c r="D3061" s="82" t="s">
        <v>3229</v>
      </c>
      <c r="E3061" s="82">
        <v>6287865111033</v>
      </c>
      <c r="F3061" s="92">
        <v>45869</v>
      </c>
      <c r="G3061" s="87">
        <v>1657</v>
      </c>
      <c r="H3061" s="88">
        <v>6663.891779396462</v>
      </c>
      <c r="I3061" s="89">
        <v>43</v>
      </c>
      <c r="J3061" s="90">
        <v>12808</v>
      </c>
      <c r="K3061" s="85">
        <v>3</v>
      </c>
      <c r="L3061" s="85">
        <v>39</v>
      </c>
      <c r="M3061" s="85">
        <v>0</v>
      </c>
      <c r="N3061" s="82" t="s">
        <v>11642</v>
      </c>
      <c r="O3061" s="93">
        <v>45870.218715277777</v>
      </c>
    </row>
    <row r="3062" spans="1:15" ht="22.5" customHeight="1">
      <c r="A3062" s="85">
        <v>174904221976312</v>
      </c>
      <c r="B3062" s="82" t="s">
        <v>10651</v>
      </c>
      <c r="C3062" s="82" t="s">
        <v>11643</v>
      </c>
      <c r="D3062" s="82" t="s">
        <v>11644</v>
      </c>
      <c r="E3062" s="82">
        <v>6281330410391</v>
      </c>
      <c r="F3062" s="92">
        <v>45869</v>
      </c>
      <c r="G3062" s="87">
        <v>721</v>
      </c>
      <c r="H3062" s="88">
        <v>15306.681270536692</v>
      </c>
      <c r="I3062" s="89">
        <v>60</v>
      </c>
      <c r="J3062" s="90">
        <v>13975</v>
      </c>
      <c r="K3062" s="85">
        <v>11</v>
      </c>
      <c r="L3062" s="85">
        <v>223</v>
      </c>
      <c r="M3062" s="85">
        <v>1</v>
      </c>
      <c r="N3062" s="82" t="s">
        <v>11645</v>
      </c>
      <c r="O3062" s="93">
        <v>45870.588842592595</v>
      </c>
    </row>
    <row r="3063" spans="1:15" ht="22.5" customHeight="1">
      <c r="A3063" s="85">
        <v>174904221976312</v>
      </c>
      <c r="B3063" s="82" t="s">
        <v>10651</v>
      </c>
      <c r="C3063" s="82" t="s">
        <v>11646</v>
      </c>
      <c r="D3063" s="82" t="s">
        <v>11647</v>
      </c>
      <c r="E3063" s="82">
        <v>6285820117323</v>
      </c>
      <c r="F3063" s="92">
        <v>45869</v>
      </c>
      <c r="G3063" s="87">
        <v>1349</v>
      </c>
      <c r="H3063" s="88">
        <v>7733.5766423357663</v>
      </c>
      <c r="I3063" s="89">
        <v>49</v>
      </c>
      <c r="J3063" s="90">
        <v>12714</v>
      </c>
      <c r="K3063" s="85">
        <v>1</v>
      </c>
      <c r="L3063" s="85">
        <v>541</v>
      </c>
      <c r="M3063" s="85">
        <v>0</v>
      </c>
      <c r="N3063" s="82" t="s">
        <v>11648</v>
      </c>
      <c r="O3063" s="93">
        <v>45870.2187037037</v>
      </c>
    </row>
    <row r="3064" spans="1:15" ht="22.5" customHeight="1">
      <c r="A3064" s="85">
        <v>174904221976312</v>
      </c>
      <c r="B3064" s="82" t="s">
        <v>10651</v>
      </c>
      <c r="C3064" s="82" t="s">
        <v>11606</v>
      </c>
      <c r="D3064" s="82" t="s">
        <v>3105</v>
      </c>
      <c r="E3064" s="82">
        <v>6287745180632</v>
      </c>
      <c r="F3064" s="92">
        <v>45869</v>
      </c>
      <c r="G3064" s="87">
        <v>738</v>
      </c>
      <c r="H3064" s="88">
        <v>11843.487394957983</v>
      </c>
      <c r="I3064" s="89">
        <v>33</v>
      </c>
      <c r="J3064" s="90">
        <v>11275</v>
      </c>
      <c r="K3064" s="85">
        <v>1</v>
      </c>
      <c r="L3064" s="85">
        <v>0</v>
      </c>
      <c r="M3064" s="85">
        <v>1</v>
      </c>
      <c r="N3064" s="82" t="s">
        <v>11607</v>
      </c>
      <c r="O3064" s="93">
        <v>45870.589085648149</v>
      </c>
    </row>
    <row r="3065" spans="1:15" ht="22.5" customHeight="1">
      <c r="A3065" s="85">
        <v>174904221976312</v>
      </c>
      <c r="B3065" s="82" t="s">
        <v>10651</v>
      </c>
      <c r="C3065" s="82" t="s">
        <v>11608</v>
      </c>
      <c r="D3065" s="82" t="s">
        <v>3156</v>
      </c>
      <c r="E3065" s="82">
        <v>6281217126285</v>
      </c>
      <c r="F3065" s="92">
        <v>45869</v>
      </c>
      <c r="G3065" s="87">
        <v>412</v>
      </c>
      <c r="H3065" s="88">
        <v>28125.786163522011</v>
      </c>
      <c r="I3065" s="89">
        <v>21</v>
      </c>
      <c r="J3065" s="90">
        <v>13416</v>
      </c>
      <c r="K3065" s="85">
        <v>5</v>
      </c>
      <c r="L3065" s="85">
        <v>57</v>
      </c>
      <c r="M3065" s="85">
        <v>1</v>
      </c>
      <c r="N3065" s="82" t="s">
        <v>11609</v>
      </c>
      <c r="O3065" s="93">
        <v>45870.610138888886</v>
      </c>
    </row>
    <row r="3066" spans="1:15" ht="22.5" customHeight="1">
      <c r="A3066" s="85">
        <v>174904221976312</v>
      </c>
      <c r="B3066" s="82" t="s">
        <v>10651</v>
      </c>
      <c r="C3066" s="82" t="s">
        <v>11610</v>
      </c>
      <c r="D3066" s="82" t="s">
        <v>11611</v>
      </c>
      <c r="E3066" s="82">
        <v>6285207285812</v>
      </c>
      <c r="F3066" s="92">
        <v>45869</v>
      </c>
      <c r="G3066" s="87">
        <v>259</v>
      </c>
      <c r="H3066" s="88">
        <v>43783.216783216783</v>
      </c>
      <c r="I3066" s="89">
        <v>13</v>
      </c>
      <c r="J3066" s="90">
        <v>12522</v>
      </c>
      <c r="K3066" s="85">
        <v>3</v>
      </c>
      <c r="L3066" s="85">
        <v>87</v>
      </c>
      <c r="M3066" s="85">
        <v>1</v>
      </c>
      <c r="N3066" s="82" t="s">
        <v>11612</v>
      </c>
      <c r="O3066" s="93">
        <v>45870.2187037037</v>
      </c>
    </row>
    <row r="3067" spans="1:15" ht="22.5" customHeight="1">
      <c r="A3067" s="85">
        <v>174904221976312</v>
      </c>
      <c r="B3067" s="82" t="s">
        <v>10651</v>
      </c>
      <c r="C3067" s="82" t="s">
        <v>11613</v>
      </c>
      <c r="D3067" s="82" t="s">
        <v>11614</v>
      </c>
      <c r="E3067" s="82">
        <v>6282186829904</v>
      </c>
      <c r="F3067" s="92">
        <v>45869</v>
      </c>
      <c r="G3067" s="87">
        <v>275</v>
      </c>
      <c r="H3067" s="88">
        <v>42461.279461279461</v>
      </c>
      <c r="I3067" s="89">
        <v>8</v>
      </c>
      <c r="J3067" s="90">
        <v>12611</v>
      </c>
      <c r="K3067" s="85">
        <v>2</v>
      </c>
      <c r="L3067" s="85">
        <v>90</v>
      </c>
      <c r="M3067" s="85">
        <v>0</v>
      </c>
      <c r="N3067" s="82" t="s">
        <v>11615</v>
      </c>
      <c r="O3067" s="93">
        <v>45870.610347222224</v>
      </c>
    </row>
    <row r="3068" spans="1:15" ht="22.5" customHeight="1">
      <c r="A3068" s="85">
        <v>174904221976312</v>
      </c>
      <c r="B3068" s="82" t="s">
        <v>10651</v>
      </c>
      <c r="C3068" s="82" t="s">
        <v>11574</v>
      </c>
      <c r="D3068" s="82" t="s">
        <v>3045</v>
      </c>
      <c r="E3068" s="82">
        <v>6285727626320</v>
      </c>
      <c r="F3068" s="92">
        <v>45869</v>
      </c>
      <c r="G3068" s="87">
        <v>466</v>
      </c>
      <c r="H3068" s="88">
        <v>26754.752851711026</v>
      </c>
      <c r="I3068" s="89">
        <v>25</v>
      </c>
      <c r="J3068" s="90">
        <v>14073</v>
      </c>
      <c r="K3068" s="85">
        <v>3</v>
      </c>
      <c r="L3068" s="85">
        <v>158</v>
      </c>
      <c r="M3068" s="85">
        <v>0</v>
      </c>
      <c r="N3068" s="82" t="s">
        <v>11575</v>
      </c>
      <c r="O3068" s="93">
        <v>45870.568402777775</v>
      </c>
    </row>
    <row r="3069" spans="1:15" ht="22.5" customHeight="1">
      <c r="A3069" s="85">
        <v>174904221976312</v>
      </c>
      <c r="B3069" s="82" t="s">
        <v>10651</v>
      </c>
      <c r="C3069" s="82" t="s">
        <v>11576</v>
      </c>
      <c r="D3069" s="82" t="s">
        <v>3083</v>
      </c>
      <c r="E3069" s="82">
        <v>6281399886462</v>
      </c>
      <c r="F3069" s="92">
        <v>45869</v>
      </c>
      <c r="G3069" s="87">
        <v>589</v>
      </c>
      <c r="H3069" s="88">
        <v>21439.560439560439</v>
      </c>
      <c r="I3069" s="89">
        <v>30</v>
      </c>
      <c r="J3069" s="90">
        <v>13657</v>
      </c>
      <c r="K3069" s="85">
        <v>7</v>
      </c>
      <c r="L3069" s="85">
        <v>291</v>
      </c>
      <c r="M3069" s="85">
        <v>1</v>
      </c>
      <c r="N3069" s="82" t="s">
        <v>11577</v>
      </c>
      <c r="O3069" s="93">
        <v>45870.526446759257</v>
      </c>
    </row>
    <row r="3070" spans="1:15" ht="22.5" customHeight="1">
      <c r="A3070" s="85">
        <v>174904221976312</v>
      </c>
      <c r="B3070" s="82" t="s">
        <v>10651</v>
      </c>
      <c r="C3070" s="82" t="s">
        <v>11578</v>
      </c>
      <c r="D3070" s="82" t="s">
        <v>1624</v>
      </c>
      <c r="E3070" s="82">
        <v>6281938384000</v>
      </c>
      <c r="F3070" s="92">
        <v>45869</v>
      </c>
      <c r="G3070" s="87">
        <v>550</v>
      </c>
      <c r="H3070" s="88">
        <v>20977.87610619469</v>
      </c>
      <c r="I3070" s="89">
        <v>26</v>
      </c>
      <c r="J3070" s="90">
        <v>14223</v>
      </c>
      <c r="K3070" s="85">
        <v>6</v>
      </c>
      <c r="L3070" s="85">
        <v>227</v>
      </c>
      <c r="M3070" s="85">
        <v>0</v>
      </c>
      <c r="N3070" s="82" t="s">
        <v>11579</v>
      </c>
      <c r="O3070" s="93">
        <v>45870.526435185187</v>
      </c>
    </row>
    <row r="3071" spans="1:15" ht="22.5" customHeight="1">
      <c r="A3071" s="85">
        <v>174904221976312</v>
      </c>
      <c r="B3071" s="82" t="s">
        <v>10651</v>
      </c>
      <c r="C3071" s="82" t="s">
        <v>11580</v>
      </c>
      <c r="D3071" s="82" t="s">
        <v>11581</v>
      </c>
      <c r="E3071" s="82">
        <v>6287790276733</v>
      </c>
      <c r="F3071" s="92">
        <v>45869</v>
      </c>
      <c r="G3071" s="87">
        <v>661</v>
      </c>
      <c r="H3071" s="88">
        <v>16117.092866756395</v>
      </c>
      <c r="I3071" s="89">
        <v>7</v>
      </c>
      <c r="J3071" s="90">
        <v>11975</v>
      </c>
      <c r="K3071" s="85">
        <v>1</v>
      </c>
      <c r="L3071" s="85">
        <v>162</v>
      </c>
      <c r="M3071" s="85">
        <v>0</v>
      </c>
      <c r="N3071" s="82" t="s">
        <v>11582</v>
      </c>
      <c r="O3071" s="93">
        <v>45870.568391203706</v>
      </c>
    </row>
    <row r="3072" spans="1:15" ht="22.5" customHeight="1">
      <c r="A3072" s="85">
        <v>174904221976312</v>
      </c>
      <c r="B3072" s="82" t="s">
        <v>10651</v>
      </c>
      <c r="C3072" s="82" t="s">
        <v>11583</v>
      </c>
      <c r="D3072" s="82" t="s">
        <v>11584</v>
      </c>
      <c r="E3072" s="82">
        <v>6282285205998</v>
      </c>
      <c r="F3072" s="92">
        <v>45869</v>
      </c>
      <c r="G3072" s="87">
        <v>1535</v>
      </c>
      <c r="H3072" s="88">
        <v>7929.4907666480131</v>
      </c>
      <c r="I3072" s="89">
        <v>80</v>
      </c>
      <c r="J3072" s="90">
        <v>14170</v>
      </c>
      <c r="K3072" s="85">
        <v>12</v>
      </c>
      <c r="L3072" s="85">
        <v>672</v>
      </c>
      <c r="M3072" s="85">
        <v>1</v>
      </c>
      <c r="N3072" s="82" t="s">
        <v>11585</v>
      </c>
      <c r="O3072" s="93">
        <v>45870.526423611111</v>
      </c>
    </row>
    <row r="3073" spans="1:15" ht="22.5" customHeight="1">
      <c r="A3073" s="85">
        <v>174904221976312</v>
      </c>
      <c r="B3073" s="82" t="s">
        <v>10651</v>
      </c>
      <c r="C3073" s="82" t="s">
        <v>11586</v>
      </c>
      <c r="D3073" s="82" t="s">
        <v>11587</v>
      </c>
      <c r="E3073" s="82">
        <v>6281280241630</v>
      </c>
      <c r="F3073" s="92">
        <v>45869</v>
      </c>
      <c r="G3073" s="87">
        <v>511</v>
      </c>
      <c r="H3073" s="88">
        <v>25509.090909090908</v>
      </c>
      <c r="I3073" s="89">
        <v>24</v>
      </c>
      <c r="J3073" s="90">
        <v>14030</v>
      </c>
      <c r="K3073" s="85">
        <v>4</v>
      </c>
      <c r="L3073" s="85">
        <v>0</v>
      </c>
      <c r="M3073" s="85">
        <v>0</v>
      </c>
      <c r="N3073" s="82" t="s">
        <v>11588</v>
      </c>
      <c r="O3073" s="93">
        <v>45870.526435185187</v>
      </c>
    </row>
    <row r="3074" spans="1:15" ht="22.5" customHeight="1">
      <c r="A3074" s="85">
        <v>174904221976312</v>
      </c>
      <c r="B3074" s="82" t="s">
        <v>10651</v>
      </c>
      <c r="C3074" s="82" t="s">
        <v>11589</v>
      </c>
      <c r="D3074" s="82" t="s">
        <v>3120</v>
      </c>
      <c r="E3074" s="82">
        <v>6281255005229</v>
      </c>
      <c r="F3074" s="92">
        <v>45869</v>
      </c>
      <c r="G3074" s="87">
        <v>1026</v>
      </c>
      <c r="H3074" s="88">
        <v>11625.412541254125</v>
      </c>
      <c r="I3074" s="89">
        <v>33</v>
      </c>
      <c r="J3074" s="90">
        <v>14090</v>
      </c>
      <c r="K3074" s="85">
        <v>7</v>
      </c>
      <c r="L3074" s="85">
        <v>0</v>
      </c>
      <c r="M3074" s="85">
        <v>0</v>
      </c>
      <c r="N3074" s="82" t="s">
        <v>11590</v>
      </c>
      <c r="O3074" s="93">
        <v>45870.485011574077</v>
      </c>
    </row>
    <row r="3075" spans="1:15" ht="22.5" customHeight="1">
      <c r="A3075" s="85">
        <v>174904221976312</v>
      </c>
      <c r="B3075" s="82" t="s">
        <v>10651</v>
      </c>
      <c r="C3075" s="82" t="s">
        <v>11591</v>
      </c>
      <c r="D3075" s="82" t="s">
        <v>11592</v>
      </c>
      <c r="E3075" s="82">
        <v>628155157779</v>
      </c>
      <c r="F3075" s="92">
        <v>45869</v>
      </c>
      <c r="G3075" s="87">
        <v>261</v>
      </c>
      <c r="H3075" s="88">
        <v>39555.555555555555</v>
      </c>
      <c r="I3075" s="89">
        <v>8</v>
      </c>
      <c r="J3075" s="90">
        <v>12816</v>
      </c>
      <c r="K3075" s="85">
        <v>2</v>
      </c>
      <c r="L3075" s="85">
        <v>0</v>
      </c>
      <c r="M3075" s="85">
        <v>0</v>
      </c>
      <c r="N3075" s="82" t="s">
        <v>11593</v>
      </c>
      <c r="O3075" s="93">
        <v>45870.526435185187</v>
      </c>
    </row>
    <row r="3076" spans="1:15" ht="22.5" customHeight="1">
      <c r="A3076" s="85">
        <v>174904221976312</v>
      </c>
      <c r="B3076" s="82" t="s">
        <v>10651</v>
      </c>
      <c r="C3076" s="82" t="s">
        <v>11594</v>
      </c>
      <c r="D3076" s="82" t="s">
        <v>11595</v>
      </c>
      <c r="E3076" s="82">
        <v>6281366479393</v>
      </c>
      <c r="F3076" s="92">
        <v>45869</v>
      </c>
      <c r="G3076" s="87">
        <v>1098</v>
      </c>
      <c r="H3076" s="88">
        <v>10010.630220197418</v>
      </c>
      <c r="I3076" s="89">
        <v>21</v>
      </c>
      <c r="J3076" s="90">
        <v>13184</v>
      </c>
      <c r="K3076" s="85">
        <v>0</v>
      </c>
      <c r="L3076" s="85">
        <v>232</v>
      </c>
      <c r="M3076" s="85">
        <v>1</v>
      </c>
      <c r="N3076" s="82" t="s">
        <v>11596</v>
      </c>
      <c r="O3076" s="93">
        <v>45870.422662037039</v>
      </c>
    </row>
    <row r="3077" spans="1:15" ht="22.5" customHeight="1">
      <c r="A3077" s="85">
        <v>174904221976312</v>
      </c>
      <c r="B3077" s="82" t="s">
        <v>10651</v>
      </c>
      <c r="C3077" s="82" t="s">
        <v>11597</v>
      </c>
      <c r="D3077" s="82" t="s">
        <v>11598</v>
      </c>
      <c r="E3077" s="82">
        <v>6282123587173</v>
      </c>
      <c r="F3077" s="92">
        <v>45869</v>
      </c>
      <c r="G3077" s="87">
        <v>630</v>
      </c>
      <c r="H3077" s="88">
        <v>18622.739018087857</v>
      </c>
      <c r="I3077" s="89">
        <v>16</v>
      </c>
      <c r="J3077" s="90">
        <v>14414</v>
      </c>
      <c r="K3077" s="85">
        <v>1</v>
      </c>
      <c r="L3077" s="85">
        <v>0</v>
      </c>
      <c r="M3077" s="85">
        <v>0</v>
      </c>
      <c r="N3077" s="82" t="s">
        <v>11599</v>
      </c>
      <c r="O3077" s="93">
        <v>45870.464108796295</v>
      </c>
    </row>
    <row r="3078" spans="1:15" ht="22.5" customHeight="1">
      <c r="A3078" s="85">
        <v>174904221976312</v>
      </c>
      <c r="B3078" s="82" t="s">
        <v>10651</v>
      </c>
      <c r="C3078" s="82" t="s">
        <v>11600</v>
      </c>
      <c r="D3078" s="82" t="s">
        <v>11601</v>
      </c>
      <c r="E3078" s="82">
        <v>62881010278235</v>
      </c>
      <c r="F3078" s="92">
        <v>45869</v>
      </c>
      <c r="G3078" s="87">
        <v>530</v>
      </c>
      <c r="H3078" s="88">
        <v>19926.994906621392</v>
      </c>
      <c r="I3078" s="89">
        <v>12</v>
      </c>
      <c r="J3078" s="90">
        <v>11737</v>
      </c>
      <c r="K3078" s="85">
        <v>1</v>
      </c>
      <c r="L3078" s="85">
        <v>0</v>
      </c>
      <c r="M3078" s="85">
        <v>0</v>
      </c>
      <c r="N3078" s="82" t="s">
        <v>11602</v>
      </c>
      <c r="O3078" s="93">
        <v>45870.485300925924</v>
      </c>
    </row>
    <row r="3079" spans="1:15" ht="22.5" customHeight="1">
      <c r="A3079" s="85">
        <v>174904221976312</v>
      </c>
      <c r="B3079" s="82" t="s">
        <v>10651</v>
      </c>
      <c r="C3079" s="82" t="s">
        <v>11565</v>
      </c>
      <c r="D3079" s="82" t="s">
        <v>11566</v>
      </c>
      <c r="E3079" s="82">
        <v>6282333358533</v>
      </c>
      <c r="F3079" s="92">
        <v>45869</v>
      </c>
      <c r="G3079" s="87">
        <v>420</v>
      </c>
      <c r="H3079" s="88">
        <v>30588.505747126437</v>
      </c>
      <c r="I3079" s="89">
        <v>12</v>
      </c>
      <c r="J3079" s="90">
        <v>13306</v>
      </c>
      <c r="K3079" s="85">
        <v>0</v>
      </c>
      <c r="L3079" s="85">
        <v>234</v>
      </c>
      <c r="M3079" s="85">
        <v>0</v>
      </c>
      <c r="N3079" s="82" t="s">
        <v>11567</v>
      </c>
      <c r="O3079" s="93">
        <v>45870.276550925926</v>
      </c>
    </row>
    <row r="3080" spans="1:15" ht="22.5" customHeight="1">
      <c r="A3080" s="85">
        <v>174904221976312</v>
      </c>
      <c r="B3080" s="82" t="s">
        <v>10651</v>
      </c>
      <c r="C3080" s="82" t="s">
        <v>11568</v>
      </c>
      <c r="D3080" s="82" t="s">
        <v>11569</v>
      </c>
      <c r="E3080" s="82">
        <v>6287826386983</v>
      </c>
      <c r="F3080" s="92">
        <v>45869</v>
      </c>
      <c r="G3080" s="87">
        <v>368</v>
      </c>
      <c r="H3080" s="88">
        <v>31103.274559193957</v>
      </c>
      <c r="I3080" s="89">
        <v>12</v>
      </c>
      <c r="J3080" s="90">
        <v>12348</v>
      </c>
      <c r="K3080" s="85">
        <v>1</v>
      </c>
      <c r="L3080" s="85">
        <v>126</v>
      </c>
      <c r="M3080" s="85">
        <v>0</v>
      </c>
      <c r="N3080" s="82" t="s">
        <v>11570</v>
      </c>
      <c r="O3080" s="93">
        <v>45870.218715277777</v>
      </c>
    </row>
    <row r="3081" spans="1:15" ht="22.5" customHeight="1">
      <c r="A3081" s="85">
        <v>174904221976312</v>
      </c>
      <c r="B3081" s="82" t="s">
        <v>10651</v>
      </c>
      <c r="C3081" s="82" t="s">
        <v>11571</v>
      </c>
      <c r="D3081" s="82" t="s">
        <v>11572</v>
      </c>
      <c r="E3081" s="82">
        <v>6282340878030</v>
      </c>
      <c r="F3081" s="92">
        <v>45869</v>
      </c>
      <c r="G3081" s="87">
        <v>420</v>
      </c>
      <c r="H3081" s="88">
        <v>37366.44591611479</v>
      </c>
      <c r="I3081" s="89">
        <v>13</v>
      </c>
      <c r="J3081" s="90">
        <v>16927</v>
      </c>
      <c r="K3081" s="85">
        <v>0</v>
      </c>
      <c r="L3081" s="85">
        <v>179</v>
      </c>
      <c r="M3081" s="85">
        <v>0</v>
      </c>
      <c r="N3081" s="82" t="s">
        <v>11573</v>
      </c>
      <c r="O3081" s="93">
        <v>45870.2187037037</v>
      </c>
    </row>
    <row r="3082" spans="1:15" ht="22.5" customHeight="1">
      <c r="A3082" s="85">
        <v>174904221976312</v>
      </c>
      <c r="B3082" s="82" t="s">
        <v>10651</v>
      </c>
      <c r="C3082" s="82" t="s">
        <v>11545</v>
      </c>
      <c r="D3082" s="82" t="s">
        <v>3140</v>
      </c>
      <c r="E3082" s="82"/>
      <c r="F3082" s="92">
        <v>45869</v>
      </c>
      <c r="G3082" s="87">
        <v>8305</v>
      </c>
      <c r="H3082" s="88">
        <v>1988.8855208649086</v>
      </c>
      <c r="I3082" s="89">
        <v>195</v>
      </c>
      <c r="J3082" s="90">
        <v>19684</v>
      </c>
      <c r="K3082" s="85">
        <v>7</v>
      </c>
      <c r="L3082" s="85">
        <v>1211</v>
      </c>
      <c r="M3082" s="85">
        <v>1</v>
      </c>
      <c r="N3082" s="82" t="s">
        <v>11546</v>
      </c>
      <c r="O3082" s="93">
        <v>45870.352870370371</v>
      </c>
    </row>
    <row r="3083" spans="1:15" ht="22.5" customHeight="1">
      <c r="A3083" s="85">
        <v>174904221976312</v>
      </c>
      <c r="B3083" s="82" t="s">
        <v>10651</v>
      </c>
      <c r="C3083" s="82" t="s">
        <v>11547</v>
      </c>
      <c r="D3083" s="82" t="s">
        <v>11548</v>
      </c>
      <c r="E3083" s="82">
        <v>6287846030252</v>
      </c>
      <c r="F3083" s="92">
        <v>45869</v>
      </c>
      <c r="G3083" s="87">
        <v>1887</v>
      </c>
      <c r="H3083" s="88">
        <v>7031.8783717508586</v>
      </c>
      <c r="I3083" s="89">
        <v>63</v>
      </c>
      <c r="J3083" s="90">
        <v>14338</v>
      </c>
      <c r="K3083" s="85">
        <v>4</v>
      </c>
      <c r="L3083" s="85">
        <v>93</v>
      </c>
      <c r="M3083" s="85">
        <v>3</v>
      </c>
      <c r="N3083" s="82" t="s">
        <v>11549</v>
      </c>
      <c r="O3083" s="93">
        <v>45870.464120370372</v>
      </c>
    </row>
    <row r="3084" spans="1:15" ht="22.5" customHeight="1">
      <c r="A3084" s="85">
        <v>174904221976312</v>
      </c>
      <c r="B3084" s="82" t="s">
        <v>10651</v>
      </c>
      <c r="C3084" s="82" t="s">
        <v>11649</v>
      </c>
      <c r="D3084" s="82" t="s">
        <v>11650</v>
      </c>
      <c r="E3084" s="82">
        <v>62823885166777</v>
      </c>
      <c r="F3084" s="92">
        <v>45869</v>
      </c>
      <c r="G3084" s="87">
        <v>152</v>
      </c>
      <c r="H3084" s="88">
        <v>81719.298245614045</v>
      </c>
      <c r="I3084" s="89">
        <v>0</v>
      </c>
      <c r="J3084" s="90">
        <v>13974</v>
      </c>
      <c r="K3084" s="85">
        <v>0</v>
      </c>
      <c r="L3084" s="85">
        <v>23</v>
      </c>
      <c r="M3084" s="85">
        <v>0</v>
      </c>
      <c r="N3084" s="82" t="s">
        <v>11651</v>
      </c>
      <c r="O3084" s="93">
        <v>45870.2187037037</v>
      </c>
    </row>
    <row r="3085" spans="1:15" ht="22.5" customHeight="1">
      <c r="A3085" s="85">
        <v>174904221976312</v>
      </c>
      <c r="B3085" s="82" t="s">
        <v>10651</v>
      </c>
      <c r="C3085" s="82" t="s">
        <v>11550</v>
      </c>
      <c r="D3085" s="82" t="s">
        <v>11551</v>
      </c>
      <c r="E3085" s="82">
        <v>6281327457634</v>
      </c>
      <c r="F3085" s="92">
        <v>45869</v>
      </c>
      <c r="G3085" s="87">
        <v>454</v>
      </c>
      <c r="H3085" s="88">
        <v>32301.010101010099</v>
      </c>
      <c r="I3085" s="89">
        <v>15</v>
      </c>
      <c r="J3085" s="90">
        <v>15989</v>
      </c>
      <c r="K3085" s="85">
        <v>3</v>
      </c>
      <c r="L3085" s="85">
        <v>166</v>
      </c>
      <c r="M3085" s="85">
        <v>0</v>
      </c>
      <c r="N3085" s="82" t="s">
        <v>11552</v>
      </c>
      <c r="O3085" s="93">
        <v>45870.568402777775</v>
      </c>
    </row>
    <row r="3086" spans="1:15" ht="22.5" customHeight="1">
      <c r="A3086" s="85">
        <v>174904221976312</v>
      </c>
      <c r="B3086" s="82" t="s">
        <v>10651</v>
      </c>
      <c r="C3086" s="82" t="s">
        <v>11553</v>
      </c>
      <c r="D3086" s="82" t="s">
        <v>11554</v>
      </c>
      <c r="E3086" s="82">
        <v>628113311777</v>
      </c>
      <c r="F3086" s="92">
        <v>45869</v>
      </c>
      <c r="G3086" s="87">
        <v>727</v>
      </c>
      <c r="H3086" s="88">
        <v>16918.648310387987</v>
      </c>
      <c r="I3086" s="89">
        <v>20</v>
      </c>
      <c r="J3086" s="90">
        <v>13518</v>
      </c>
      <c r="K3086" s="85">
        <v>5</v>
      </c>
      <c r="L3086" s="85">
        <v>174</v>
      </c>
      <c r="M3086" s="85">
        <v>0</v>
      </c>
      <c r="N3086" s="82" t="s">
        <v>11555</v>
      </c>
      <c r="O3086" s="93">
        <v>45870.218715277777</v>
      </c>
    </row>
    <row r="3087" spans="1:15" ht="22.5" customHeight="1">
      <c r="A3087" s="85">
        <v>174904221976312</v>
      </c>
      <c r="B3087" s="82" t="s">
        <v>10651</v>
      </c>
      <c r="C3087" s="82" t="s">
        <v>11556</v>
      </c>
      <c r="D3087" s="82" t="s">
        <v>11557</v>
      </c>
      <c r="E3087" s="82">
        <v>6281553075560</v>
      </c>
      <c r="F3087" s="92">
        <v>45869</v>
      </c>
      <c r="G3087" s="87">
        <v>1349</v>
      </c>
      <c r="H3087" s="88">
        <v>7536.0101975780744</v>
      </c>
      <c r="I3087" s="89">
        <v>32</v>
      </c>
      <c r="J3087" s="90">
        <v>11824</v>
      </c>
      <c r="K3087" s="85">
        <v>1</v>
      </c>
      <c r="L3087" s="85">
        <v>485</v>
      </c>
      <c r="M3087" s="85">
        <v>1</v>
      </c>
      <c r="N3087" s="82" t="s">
        <v>11558</v>
      </c>
      <c r="O3087" s="93">
        <v>45870.526469907411</v>
      </c>
    </row>
    <row r="3088" spans="1:15" ht="22.5" customHeight="1">
      <c r="A3088" s="85">
        <v>174904221976312</v>
      </c>
      <c r="B3088" s="82" t="s">
        <v>10651</v>
      </c>
      <c r="C3088" s="82" t="s">
        <v>11559</v>
      </c>
      <c r="D3088" s="82" t="s">
        <v>11560</v>
      </c>
      <c r="E3088" s="82">
        <v>6282333203355</v>
      </c>
      <c r="F3088" s="92">
        <v>45869</v>
      </c>
      <c r="G3088" s="87">
        <v>227</v>
      </c>
      <c r="H3088" s="88">
        <v>51677.165354330711</v>
      </c>
      <c r="I3088" s="89">
        <v>11</v>
      </c>
      <c r="J3088" s="90">
        <v>13126</v>
      </c>
      <c r="K3088" s="85">
        <v>2</v>
      </c>
      <c r="L3088" s="85">
        <v>0</v>
      </c>
      <c r="M3088" s="85">
        <v>0</v>
      </c>
      <c r="N3088" s="82" t="s">
        <v>11561</v>
      </c>
      <c r="O3088" s="93">
        <v>45870.443136574075</v>
      </c>
    </row>
    <row r="3089" spans="1:15" ht="22.5" customHeight="1">
      <c r="A3089" s="85">
        <v>174904221976312</v>
      </c>
      <c r="B3089" s="82" t="s">
        <v>10651</v>
      </c>
      <c r="C3089" s="82" t="s">
        <v>11531</v>
      </c>
      <c r="D3089" s="82" t="s">
        <v>2841</v>
      </c>
      <c r="E3089" s="82">
        <v>62811693222</v>
      </c>
      <c r="F3089" s="92">
        <v>45869</v>
      </c>
      <c r="G3089" s="87">
        <v>1150</v>
      </c>
      <c r="H3089" s="88">
        <v>10565.517241379312</v>
      </c>
      <c r="I3089" s="89">
        <v>24</v>
      </c>
      <c r="J3089" s="90">
        <v>13788</v>
      </c>
      <c r="K3089" s="85">
        <v>1</v>
      </c>
      <c r="L3089" s="85">
        <v>0</v>
      </c>
      <c r="M3089" s="85">
        <v>1</v>
      </c>
      <c r="N3089" s="82" t="s">
        <v>11532</v>
      </c>
      <c r="O3089" s="93">
        <v>45870.2187037037</v>
      </c>
    </row>
    <row r="3090" spans="1:15" ht="22.5" customHeight="1">
      <c r="A3090" s="85">
        <v>174904221976312</v>
      </c>
      <c r="B3090" s="82" t="s">
        <v>10651</v>
      </c>
      <c r="C3090" s="82" t="s">
        <v>11535</v>
      </c>
      <c r="D3090" s="82" t="s">
        <v>2969</v>
      </c>
      <c r="E3090" s="82">
        <v>6281286402030</v>
      </c>
      <c r="F3090" s="92">
        <v>45869</v>
      </c>
      <c r="G3090" s="87">
        <v>287</v>
      </c>
      <c r="H3090" s="88">
        <v>54426.332288401252</v>
      </c>
      <c r="I3090" s="89">
        <v>12</v>
      </c>
      <c r="J3090" s="90">
        <v>17362</v>
      </c>
      <c r="K3090" s="85">
        <v>2</v>
      </c>
      <c r="L3090" s="85">
        <v>99</v>
      </c>
      <c r="M3090" s="85">
        <v>0</v>
      </c>
      <c r="N3090" s="82" t="s">
        <v>11536</v>
      </c>
      <c r="O3090" s="93">
        <v>45870.443622685183</v>
      </c>
    </row>
    <row r="3091" spans="1:15" ht="22.5" customHeight="1">
      <c r="A3091" s="85">
        <v>174904221976312</v>
      </c>
      <c r="B3091" s="82" t="s">
        <v>10651</v>
      </c>
      <c r="C3091" s="82" t="s">
        <v>11539</v>
      </c>
      <c r="D3091" s="82" t="s">
        <v>2754</v>
      </c>
      <c r="E3091" s="82">
        <v>6285186697099</v>
      </c>
      <c r="F3091" s="92">
        <v>45869</v>
      </c>
      <c r="G3091" s="87">
        <v>115</v>
      </c>
      <c r="H3091" s="88">
        <v>91507.46268656716</v>
      </c>
      <c r="I3091" s="89">
        <v>7</v>
      </c>
      <c r="J3091" s="90">
        <v>12262</v>
      </c>
      <c r="K3091" s="85">
        <v>1</v>
      </c>
      <c r="L3091" s="85">
        <v>50</v>
      </c>
      <c r="M3091" s="85">
        <v>0</v>
      </c>
      <c r="N3091" s="82" t="s">
        <v>11540</v>
      </c>
      <c r="O3091" s="93">
        <v>45870.547662037039</v>
      </c>
    </row>
    <row r="3092" spans="1:15" ht="22.5" customHeight="1">
      <c r="A3092" s="85">
        <v>174904221976312</v>
      </c>
      <c r="B3092" s="82" t="s">
        <v>10651</v>
      </c>
      <c r="C3092" s="82" t="s">
        <v>11520</v>
      </c>
      <c r="D3092" s="82" t="s">
        <v>2776</v>
      </c>
      <c r="E3092" s="82">
        <v>6285657238556</v>
      </c>
      <c r="F3092" s="92">
        <v>45869</v>
      </c>
      <c r="G3092" s="87">
        <v>353</v>
      </c>
      <c r="H3092" s="88">
        <v>34004.651162790702</v>
      </c>
      <c r="I3092" s="89">
        <v>17</v>
      </c>
      <c r="J3092" s="90">
        <v>14622</v>
      </c>
      <c r="K3092" s="85">
        <v>1</v>
      </c>
      <c r="L3092" s="85">
        <v>103</v>
      </c>
      <c r="M3092" s="85">
        <v>1</v>
      </c>
      <c r="N3092" s="82" t="s">
        <v>11521</v>
      </c>
      <c r="O3092" s="93">
        <v>45870.505682870367</v>
      </c>
    </row>
    <row r="3093" spans="1:15" ht="22.5" customHeight="1">
      <c r="A3093" s="85">
        <v>174904221976312</v>
      </c>
      <c r="B3093" s="82" t="s">
        <v>10651</v>
      </c>
      <c r="C3093" s="82" t="s">
        <v>11506</v>
      </c>
      <c r="D3093" s="82" t="s">
        <v>2700</v>
      </c>
      <c r="E3093" s="82">
        <v>6282197248722</v>
      </c>
      <c r="F3093" s="92">
        <v>45869</v>
      </c>
      <c r="G3093" s="87">
        <v>669</v>
      </c>
      <c r="H3093" s="88">
        <v>19630.666666666668</v>
      </c>
      <c r="I3093" s="89">
        <v>34</v>
      </c>
      <c r="J3093" s="90">
        <v>14723</v>
      </c>
      <c r="K3093" s="85">
        <v>4</v>
      </c>
      <c r="L3093" s="85">
        <v>219</v>
      </c>
      <c r="M3093" s="85">
        <v>0</v>
      </c>
      <c r="N3093" s="82" t="s">
        <v>11507</v>
      </c>
      <c r="O3093" s="93">
        <v>45870.21875</v>
      </c>
    </row>
    <row r="3094" spans="1:15" ht="22.5" customHeight="1">
      <c r="A3094" s="85">
        <v>174904221976312</v>
      </c>
      <c r="B3094" s="82" t="s">
        <v>10651</v>
      </c>
      <c r="C3094" s="82" t="s">
        <v>11464</v>
      </c>
      <c r="D3094" s="82" t="s">
        <v>11465</v>
      </c>
      <c r="E3094" s="82">
        <v>62816904358</v>
      </c>
      <c r="F3094" s="92">
        <v>45869</v>
      </c>
      <c r="G3094" s="87">
        <v>385</v>
      </c>
      <c r="H3094" s="88">
        <v>31240.700218818383</v>
      </c>
      <c r="I3094" s="89">
        <v>24</v>
      </c>
      <c r="J3094" s="90">
        <v>14277</v>
      </c>
      <c r="K3094" s="85">
        <v>3</v>
      </c>
      <c r="L3094" s="85">
        <v>6</v>
      </c>
      <c r="M3094" s="85">
        <v>0</v>
      </c>
      <c r="N3094" s="82" t="s">
        <v>11466</v>
      </c>
      <c r="O3094" s="93">
        <v>45870.464074074072</v>
      </c>
    </row>
    <row r="3095" spans="1:15" ht="22.5" customHeight="1">
      <c r="A3095" s="85">
        <v>174904221976312</v>
      </c>
      <c r="B3095" s="82" t="s">
        <v>10651</v>
      </c>
      <c r="C3095" s="82" t="s">
        <v>11470</v>
      </c>
      <c r="D3095" s="82" t="s">
        <v>11471</v>
      </c>
      <c r="E3095" s="82">
        <v>6281225745133</v>
      </c>
      <c r="F3095" s="92">
        <v>45869</v>
      </c>
      <c r="G3095" s="87">
        <v>251</v>
      </c>
      <c r="H3095" s="88">
        <v>55022.556390977443</v>
      </c>
      <c r="I3095" s="89">
        <v>10</v>
      </c>
      <c r="J3095" s="90">
        <v>14636</v>
      </c>
      <c r="K3095" s="85">
        <v>1</v>
      </c>
      <c r="L3095" s="85">
        <v>113</v>
      </c>
      <c r="M3095" s="85">
        <v>0</v>
      </c>
      <c r="N3095" s="82" t="s">
        <v>11472</v>
      </c>
      <c r="O3095" s="93">
        <v>45870.50582175926</v>
      </c>
    </row>
    <row r="3096" spans="1:15" ht="22.5" customHeight="1">
      <c r="A3096" s="85">
        <v>174904221976312</v>
      </c>
      <c r="B3096" s="82" t="s">
        <v>10651</v>
      </c>
      <c r="C3096" s="82" t="s">
        <v>11475</v>
      </c>
      <c r="D3096" s="82" t="s">
        <v>2708</v>
      </c>
      <c r="E3096" s="82">
        <v>6281219329853</v>
      </c>
      <c r="F3096" s="92">
        <v>45869</v>
      </c>
      <c r="G3096" s="87">
        <v>621</v>
      </c>
      <c r="H3096" s="88">
        <v>19377.777777777777</v>
      </c>
      <c r="I3096" s="89">
        <v>22</v>
      </c>
      <c r="J3096" s="90">
        <v>13952</v>
      </c>
      <c r="K3096" s="85">
        <v>0</v>
      </c>
      <c r="L3096" s="85">
        <v>171</v>
      </c>
      <c r="M3096" s="85">
        <v>0</v>
      </c>
      <c r="N3096" s="82" t="s">
        <v>11476</v>
      </c>
      <c r="O3096" s="93">
        <v>45870.2187037037</v>
      </c>
    </row>
    <row r="3097" spans="1:15" ht="22.5" customHeight="1">
      <c r="A3097" s="85">
        <v>174904221976312</v>
      </c>
      <c r="B3097" s="82" t="s">
        <v>10651</v>
      </c>
      <c r="C3097" s="82" t="s">
        <v>11309</v>
      </c>
      <c r="D3097" s="82" t="s">
        <v>11350</v>
      </c>
      <c r="E3097" s="82">
        <v>6281229745253</v>
      </c>
      <c r="F3097" s="92">
        <v>45869</v>
      </c>
      <c r="G3097" s="87">
        <v>129</v>
      </c>
      <c r="H3097" s="88">
        <v>101763.88888888889</v>
      </c>
      <c r="I3097" s="89">
        <v>9</v>
      </c>
      <c r="J3097" s="90">
        <v>14654</v>
      </c>
      <c r="K3097" s="85">
        <v>0</v>
      </c>
      <c r="L3097" s="85">
        <v>0</v>
      </c>
      <c r="M3097" s="85">
        <v>0</v>
      </c>
      <c r="N3097" s="82" t="s">
        <v>11351</v>
      </c>
      <c r="O3097" s="93">
        <v>45870.485347222224</v>
      </c>
    </row>
    <row r="3098" spans="1:15" ht="22.5" customHeight="1">
      <c r="A3098" s="85">
        <v>174904221976312</v>
      </c>
      <c r="B3098" s="82" t="s">
        <v>10651</v>
      </c>
      <c r="C3098" s="82" t="s">
        <v>11291</v>
      </c>
      <c r="D3098" s="82" t="s">
        <v>11292</v>
      </c>
      <c r="E3098" s="82">
        <v>6283183643221</v>
      </c>
      <c r="F3098" s="92">
        <v>45869</v>
      </c>
      <c r="G3098" s="87">
        <v>136</v>
      </c>
      <c r="H3098" s="88">
        <v>119895.83333333333</v>
      </c>
      <c r="I3098" s="89">
        <v>3</v>
      </c>
      <c r="J3098" s="90">
        <v>17265</v>
      </c>
      <c r="K3098" s="85">
        <v>0</v>
      </c>
      <c r="L3098" s="85">
        <v>64</v>
      </c>
      <c r="M3098" s="85">
        <v>0</v>
      </c>
      <c r="N3098" s="82" t="s">
        <v>11293</v>
      </c>
      <c r="O3098" s="93">
        <v>45870.2187037037</v>
      </c>
    </row>
    <row r="3099" spans="1:15" ht="22.5" customHeight="1">
      <c r="A3099" s="85">
        <v>174904221976312</v>
      </c>
      <c r="B3099" s="82" t="s">
        <v>10651</v>
      </c>
      <c r="C3099" s="82" t="s">
        <v>11253</v>
      </c>
      <c r="D3099" s="82" t="s">
        <v>2096</v>
      </c>
      <c r="E3099" s="82">
        <v>6285282777679</v>
      </c>
      <c r="F3099" s="92">
        <v>45869</v>
      </c>
      <c r="G3099" s="87">
        <v>530</v>
      </c>
      <c r="H3099" s="88">
        <v>26065.180102915954</v>
      </c>
      <c r="I3099" s="89">
        <v>7</v>
      </c>
      <c r="J3099" s="90">
        <v>15196</v>
      </c>
      <c r="K3099" s="85">
        <v>0</v>
      </c>
      <c r="L3099" s="85">
        <v>1</v>
      </c>
      <c r="M3099" s="85">
        <v>0</v>
      </c>
      <c r="N3099" s="82" t="s">
        <v>11254</v>
      </c>
      <c r="O3099" s="93">
        <v>45870.547673611109</v>
      </c>
    </row>
    <row r="3100" spans="1:15" ht="22.5" customHeight="1">
      <c r="A3100" s="85">
        <v>174904221976312</v>
      </c>
      <c r="B3100" s="82" t="s">
        <v>10651</v>
      </c>
      <c r="C3100" s="82" t="s">
        <v>11671</v>
      </c>
      <c r="D3100" s="82" t="s">
        <v>11672</v>
      </c>
      <c r="E3100" s="82">
        <v>6285889229948</v>
      </c>
      <c r="F3100" s="92">
        <v>45869</v>
      </c>
      <c r="G3100" s="87">
        <v>356</v>
      </c>
      <c r="H3100" s="88">
        <v>26075.609756097561</v>
      </c>
      <c r="I3100" s="89">
        <v>8</v>
      </c>
      <c r="J3100" s="90">
        <v>10691</v>
      </c>
      <c r="K3100" s="85">
        <v>1</v>
      </c>
      <c r="L3100" s="85">
        <v>41</v>
      </c>
      <c r="M3100" s="85">
        <v>0</v>
      </c>
      <c r="N3100" s="82" t="s">
        <v>11673</v>
      </c>
      <c r="O3100" s="93">
        <v>45870.2187037037</v>
      </c>
    </row>
    <row r="3101" spans="1:15" ht="22.5" customHeight="1">
      <c r="A3101" s="85">
        <v>174904221976312</v>
      </c>
      <c r="B3101" s="82" t="s">
        <v>10651</v>
      </c>
      <c r="C3101" s="82" t="s">
        <v>11225</v>
      </c>
      <c r="D3101" s="82" t="s">
        <v>11226</v>
      </c>
      <c r="E3101" s="82">
        <v>6281240144744</v>
      </c>
      <c r="F3101" s="92">
        <v>45869</v>
      </c>
      <c r="G3101" s="87">
        <v>1582</v>
      </c>
      <c r="H3101" s="88">
        <v>6354.7717842323646</v>
      </c>
      <c r="I3101" s="89">
        <v>29</v>
      </c>
      <c r="J3101" s="90">
        <v>12252</v>
      </c>
      <c r="K3101" s="85">
        <v>1</v>
      </c>
      <c r="L3101" s="85">
        <v>125</v>
      </c>
      <c r="M3101" s="85">
        <v>0</v>
      </c>
      <c r="N3101" s="82" t="s">
        <v>11227</v>
      </c>
      <c r="O3101" s="93">
        <v>45870.547824074078</v>
      </c>
    </row>
    <row r="3102" spans="1:15" ht="22.5" customHeight="1">
      <c r="A3102" s="85">
        <v>174904221976312</v>
      </c>
      <c r="B3102" s="82" t="s">
        <v>10651</v>
      </c>
      <c r="C3102" s="82" t="s">
        <v>11193</v>
      </c>
      <c r="D3102" s="82" t="s">
        <v>11194</v>
      </c>
      <c r="E3102" s="82">
        <v>6281779578317</v>
      </c>
      <c r="F3102" s="92">
        <v>45869</v>
      </c>
      <c r="G3102" s="87">
        <v>1064</v>
      </c>
      <c r="H3102" s="88">
        <v>10296.387520525452</v>
      </c>
      <c r="I3102" s="89">
        <v>55</v>
      </c>
      <c r="J3102" s="90">
        <v>12541</v>
      </c>
      <c r="K3102" s="85">
        <v>2</v>
      </c>
      <c r="L3102" s="85">
        <v>304</v>
      </c>
      <c r="M3102" s="85">
        <v>3</v>
      </c>
      <c r="N3102" s="82" t="s">
        <v>11195</v>
      </c>
      <c r="O3102" s="93">
        <v>45870.443136574075</v>
      </c>
    </row>
    <row r="3103" spans="1:15" ht="22.5" customHeight="1">
      <c r="A3103" s="85">
        <v>174904221976312</v>
      </c>
      <c r="B3103" s="82" t="s">
        <v>10651</v>
      </c>
      <c r="C3103" s="82" t="s">
        <v>11153</v>
      </c>
      <c r="D3103" s="82" t="s">
        <v>11154</v>
      </c>
      <c r="E3103" s="82">
        <v>6285338137835</v>
      </c>
      <c r="F3103" s="92">
        <v>45869</v>
      </c>
      <c r="G3103" s="87">
        <v>209</v>
      </c>
      <c r="H3103" s="88">
        <v>47092.1052631579</v>
      </c>
      <c r="I3103" s="89">
        <v>10</v>
      </c>
      <c r="J3103" s="90">
        <v>10737</v>
      </c>
      <c r="K3103" s="85">
        <v>1</v>
      </c>
      <c r="L3103" s="85">
        <v>43</v>
      </c>
      <c r="M3103" s="85">
        <v>0</v>
      </c>
      <c r="N3103" s="82" t="s">
        <v>11155</v>
      </c>
      <c r="O3103" s="93">
        <v>45870.218761574077</v>
      </c>
    </row>
    <row r="3104" spans="1:15" ht="22.5" customHeight="1">
      <c r="A3104" s="85">
        <v>174904221976312</v>
      </c>
      <c r="B3104" s="82" t="s">
        <v>10651</v>
      </c>
      <c r="C3104" s="82" t="s">
        <v>10943</v>
      </c>
      <c r="D3104" s="82" t="s">
        <v>10944</v>
      </c>
      <c r="E3104" s="82">
        <v>6285240694097</v>
      </c>
      <c r="F3104" s="92">
        <v>45869</v>
      </c>
      <c r="G3104" s="87">
        <v>872</v>
      </c>
      <c r="H3104" s="88">
        <v>14190.332326283988</v>
      </c>
      <c r="I3104" s="89">
        <v>31</v>
      </c>
      <c r="J3104" s="90">
        <v>14091</v>
      </c>
      <c r="K3104" s="85">
        <v>0</v>
      </c>
      <c r="L3104" s="85">
        <v>48</v>
      </c>
      <c r="M3104" s="85">
        <v>0</v>
      </c>
      <c r="N3104" s="82" t="s">
        <v>10945</v>
      </c>
      <c r="O3104" s="93">
        <v>45870.2187037037</v>
      </c>
    </row>
    <row r="3105" spans="1:15" ht="22.5" customHeight="1">
      <c r="A3105" s="85">
        <v>174904221976312</v>
      </c>
      <c r="B3105" s="82" t="s">
        <v>10651</v>
      </c>
      <c r="C3105" s="82" t="s">
        <v>10696</v>
      </c>
      <c r="D3105" s="82" t="s">
        <v>236</v>
      </c>
      <c r="E3105" s="82"/>
      <c r="F3105" s="92">
        <v>45869</v>
      </c>
      <c r="G3105" s="87">
        <v>1161</v>
      </c>
      <c r="H3105" s="88">
        <v>8236.8055555555566</v>
      </c>
      <c r="I3105" s="89">
        <v>45</v>
      </c>
      <c r="J3105" s="90">
        <v>11861</v>
      </c>
      <c r="K3105" s="85">
        <v>2</v>
      </c>
      <c r="L3105" s="85">
        <v>456</v>
      </c>
      <c r="M3105" s="85">
        <v>0</v>
      </c>
      <c r="N3105" s="82" t="s">
        <v>10697</v>
      </c>
      <c r="O3105" s="93">
        <v>45870.443148148152</v>
      </c>
    </row>
    <row r="3106" spans="1:15" ht="22.5" customHeight="1">
      <c r="A3106" s="85">
        <v>174904221976312</v>
      </c>
      <c r="B3106" s="82" t="s">
        <v>10651</v>
      </c>
      <c r="C3106" s="82" t="s">
        <v>10655</v>
      </c>
      <c r="D3106" s="82" t="s">
        <v>3908</v>
      </c>
      <c r="E3106" s="82">
        <v>6285376667233</v>
      </c>
      <c r="F3106" s="92">
        <v>45869</v>
      </c>
      <c r="G3106" s="87">
        <v>1318</v>
      </c>
      <c r="H3106" s="88">
        <v>9587.6358695652161</v>
      </c>
      <c r="I3106" s="89">
        <v>32</v>
      </c>
      <c r="J3106" s="90">
        <v>14113</v>
      </c>
      <c r="K3106" s="85">
        <v>2</v>
      </c>
      <c r="L3106" s="85">
        <v>499</v>
      </c>
      <c r="M3106" s="85">
        <v>0</v>
      </c>
      <c r="N3106" s="82" t="s">
        <v>10656</v>
      </c>
      <c r="O3106" s="93">
        <v>45870.526493055557</v>
      </c>
    </row>
    <row r="3107" spans="1:15" ht="22.5" customHeight="1">
      <c r="A3107" s="85">
        <v>174904221976312</v>
      </c>
      <c r="B3107" s="82" t="s">
        <v>10651</v>
      </c>
      <c r="C3107" s="82" t="s">
        <v>11078</v>
      </c>
      <c r="D3107" s="82" t="s">
        <v>3140</v>
      </c>
      <c r="E3107" s="82"/>
      <c r="F3107" s="92">
        <v>45869</v>
      </c>
      <c r="G3107" s="87">
        <v>3624</v>
      </c>
      <c r="H3107" s="88">
        <v>3125.4187604690114</v>
      </c>
      <c r="I3107" s="89">
        <v>83</v>
      </c>
      <c r="J3107" s="90">
        <v>14927</v>
      </c>
      <c r="K3107" s="85">
        <v>4</v>
      </c>
      <c r="L3107" s="85">
        <v>134</v>
      </c>
      <c r="M3107" s="85">
        <v>1</v>
      </c>
      <c r="N3107" s="82" t="s">
        <v>11079</v>
      </c>
      <c r="O3107" s="93">
        <v>45870.463877314818</v>
      </c>
    </row>
    <row r="3108" spans="1:15" ht="22.5" customHeight="1">
      <c r="A3108" s="85">
        <v>174904221976312</v>
      </c>
      <c r="B3108" s="82" t="s">
        <v>10651</v>
      </c>
      <c r="C3108" s="82" t="s">
        <v>11485</v>
      </c>
      <c r="D3108" s="82" t="s">
        <v>11486</v>
      </c>
      <c r="E3108" s="82">
        <v>6281378757554</v>
      </c>
      <c r="F3108" s="92">
        <v>45869</v>
      </c>
      <c r="G3108" s="87">
        <v>298</v>
      </c>
      <c r="H3108" s="88">
        <v>40019.718309859156</v>
      </c>
      <c r="I3108" s="89">
        <v>7</v>
      </c>
      <c r="J3108" s="90">
        <v>14207</v>
      </c>
      <c r="K3108" s="85">
        <v>1</v>
      </c>
      <c r="L3108" s="85">
        <v>65</v>
      </c>
      <c r="M3108" s="85">
        <v>1</v>
      </c>
      <c r="N3108" s="82" t="s">
        <v>11487</v>
      </c>
      <c r="O3108" s="93">
        <v>45870.2187037037</v>
      </c>
    </row>
    <row r="3109" spans="1:15" ht="22.5" customHeight="1">
      <c r="A3109" s="85">
        <v>759724529202804</v>
      </c>
      <c r="B3109" s="82" t="s">
        <v>10621</v>
      </c>
      <c r="C3109" s="82" t="s">
        <v>11131</v>
      </c>
      <c r="D3109" s="82" t="s">
        <v>9019</v>
      </c>
      <c r="E3109" s="82">
        <v>628562943274</v>
      </c>
      <c r="F3109" s="94">
        <v>45870</v>
      </c>
      <c r="G3109" s="87">
        <v>1466</v>
      </c>
      <c r="H3109" s="88">
        <v>10058.787128712873</v>
      </c>
      <c r="I3109" s="89">
        <v>59</v>
      </c>
      <c r="J3109" s="90">
        <v>16255</v>
      </c>
      <c r="K3109" s="85">
        <v>1</v>
      </c>
      <c r="L3109" s="85">
        <v>512</v>
      </c>
      <c r="M3109" s="85">
        <v>2</v>
      </c>
      <c r="N3109" s="82" t="s">
        <v>11132</v>
      </c>
      <c r="O3109" s="93">
        <v>45871.588993055557</v>
      </c>
    </row>
    <row r="3110" spans="1:15" ht="22.5" customHeight="1">
      <c r="A3110" s="85">
        <v>759724529202804</v>
      </c>
      <c r="B3110" s="82" t="s">
        <v>10621</v>
      </c>
      <c r="C3110" s="82" t="s">
        <v>11070</v>
      </c>
      <c r="D3110" s="82" t="s">
        <v>11071</v>
      </c>
      <c r="E3110" s="82">
        <v>6281246211381</v>
      </c>
      <c r="F3110" s="94">
        <v>45870</v>
      </c>
      <c r="G3110" s="87">
        <v>226</v>
      </c>
      <c r="H3110" s="88">
        <v>61331.983805668016</v>
      </c>
      <c r="I3110" s="89">
        <v>6</v>
      </c>
      <c r="J3110" s="90">
        <v>15149</v>
      </c>
      <c r="K3110" s="85">
        <v>0</v>
      </c>
      <c r="L3110" s="85">
        <v>20</v>
      </c>
      <c r="M3110" s="85">
        <v>0</v>
      </c>
      <c r="N3110" s="82" t="s">
        <v>11072</v>
      </c>
      <c r="O3110" s="93">
        <v>45871.714467592596</v>
      </c>
    </row>
    <row r="3111" spans="1:15" ht="22.5" customHeight="1">
      <c r="A3111" s="85">
        <v>759724529202804</v>
      </c>
      <c r="B3111" s="82" t="s">
        <v>10621</v>
      </c>
      <c r="C3111" s="82" t="s">
        <v>10925</v>
      </c>
      <c r="D3111" s="82" t="s">
        <v>10926</v>
      </c>
      <c r="E3111" s="82">
        <v>6281233038880</v>
      </c>
      <c r="F3111" s="94">
        <v>45870</v>
      </c>
      <c r="G3111" s="87">
        <v>457</v>
      </c>
      <c r="H3111" s="88">
        <v>29424.242424242424</v>
      </c>
      <c r="I3111" s="89">
        <v>14</v>
      </c>
      <c r="J3111" s="90">
        <v>15536</v>
      </c>
      <c r="K3111" s="85">
        <v>1</v>
      </c>
      <c r="L3111" s="85">
        <v>161</v>
      </c>
      <c r="M3111" s="85">
        <v>0</v>
      </c>
      <c r="N3111" s="82" t="s">
        <v>10927</v>
      </c>
      <c r="O3111" s="93">
        <v>45871.588993055557</v>
      </c>
    </row>
    <row r="3112" spans="1:15" ht="22.5" customHeight="1">
      <c r="A3112" s="85">
        <v>174904221976312</v>
      </c>
      <c r="B3112" s="82" t="s">
        <v>10651</v>
      </c>
      <c r="C3112" s="82" t="s">
        <v>11674</v>
      </c>
      <c r="D3112" s="82" t="s">
        <v>2688</v>
      </c>
      <c r="E3112" s="82">
        <v>6281392854108</v>
      </c>
      <c r="F3112" s="94">
        <v>45870</v>
      </c>
      <c r="G3112" s="87">
        <v>1090</v>
      </c>
      <c r="H3112" s="88">
        <v>900.76335877862584</v>
      </c>
      <c r="I3112" s="89">
        <v>0</v>
      </c>
      <c r="J3112" s="90">
        <v>1062</v>
      </c>
      <c r="K3112" s="85">
        <v>0</v>
      </c>
      <c r="L3112" s="85">
        <v>3</v>
      </c>
      <c r="M3112" s="85">
        <v>0</v>
      </c>
      <c r="N3112" s="82" t="s">
        <v>11675</v>
      </c>
      <c r="O3112" s="93">
        <v>45871.651064814818</v>
      </c>
    </row>
    <row r="3113" spans="1:15" ht="22.5" customHeight="1">
      <c r="A3113" s="85">
        <v>174904221976312</v>
      </c>
      <c r="B3113" s="82" t="s">
        <v>10651</v>
      </c>
      <c r="C3113" s="82" t="s">
        <v>11676</v>
      </c>
      <c r="D3113" s="82" t="s">
        <v>2580</v>
      </c>
      <c r="E3113" s="82">
        <v>6287829346006</v>
      </c>
      <c r="F3113" s="94">
        <v>45870</v>
      </c>
      <c r="G3113" s="87">
        <v>1169</v>
      </c>
      <c r="H3113" s="88">
        <v>941.32029339853295</v>
      </c>
      <c r="I3113" s="89">
        <v>0</v>
      </c>
      <c r="J3113" s="90">
        <v>1155</v>
      </c>
      <c r="K3113" s="85">
        <v>0</v>
      </c>
      <c r="L3113" s="85">
        <v>0</v>
      </c>
      <c r="M3113" s="85">
        <v>0</v>
      </c>
      <c r="N3113" s="82" t="s">
        <v>11677</v>
      </c>
      <c r="O3113" s="93">
        <v>45871.651064814818</v>
      </c>
    </row>
    <row r="3114" spans="1:15" ht="22.5" customHeight="1">
      <c r="A3114" s="85">
        <v>174904221976312</v>
      </c>
      <c r="B3114" s="82" t="s">
        <v>10651</v>
      </c>
      <c r="C3114" s="82" t="s">
        <v>11678</v>
      </c>
      <c r="D3114" s="82" t="s">
        <v>11679</v>
      </c>
      <c r="E3114" s="82">
        <v>628111099911</v>
      </c>
      <c r="F3114" s="94">
        <v>45870</v>
      </c>
      <c r="G3114" s="87">
        <v>80</v>
      </c>
      <c r="H3114" s="88">
        <v>24697.674418604653</v>
      </c>
      <c r="I3114" s="89">
        <v>5</v>
      </c>
      <c r="J3114" s="90">
        <v>2124</v>
      </c>
      <c r="K3114" s="85">
        <v>1</v>
      </c>
      <c r="L3114" s="85">
        <v>28</v>
      </c>
      <c r="M3114" s="85">
        <v>1</v>
      </c>
      <c r="N3114" s="82" t="s">
        <v>11680</v>
      </c>
      <c r="O3114" s="93">
        <v>45871.588842592595</v>
      </c>
    </row>
    <row r="3115" spans="1:15" ht="22.5" customHeight="1">
      <c r="A3115" s="85">
        <v>174904221976312</v>
      </c>
      <c r="B3115" s="82" t="s">
        <v>10651</v>
      </c>
      <c r="C3115" s="82" t="s">
        <v>11652</v>
      </c>
      <c r="D3115" s="82" t="s">
        <v>3236</v>
      </c>
      <c r="E3115" s="82">
        <v>6283831211890</v>
      </c>
      <c r="F3115" s="94">
        <v>45870</v>
      </c>
      <c r="G3115" s="87">
        <v>320</v>
      </c>
      <c r="H3115" s="88">
        <v>36172.514619883041</v>
      </c>
      <c r="I3115" s="89">
        <v>4</v>
      </c>
      <c r="J3115" s="90">
        <v>12371</v>
      </c>
      <c r="K3115" s="85">
        <v>0</v>
      </c>
      <c r="L3115" s="85">
        <v>0</v>
      </c>
      <c r="M3115" s="85">
        <v>0</v>
      </c>
      <c r="N3115" s="82" t="s">
        <v>11653</v>
      </c>
      <c r="O3115" s="93">
        <v>45871.609965277778</v>
      </c>
    </row>
    <row r="3116" spans="1:15" ht="22.5" customHeight="1">
      <c r="A3116" s="85">
        <v>174904221976312</v>
      </c>
      <c r="B3116" s="82" t="s">
        <v>10651</v>
      </c>
      <c r="C3116" s="82" t="s">
        <v>11654</v>
      </c>
      <c r="D3116" s="82" t="s">
        <v>11655</v>
      </c>
      <c r="E3116" s="82">
        <v>6285223186555</v>
      </c>
      <c r="F3116" s="94">
        <v>45870</v>
      </c>
      <c r="G3116" s="87">
        <v>773</v>
      </c>
      <c r="H3116" s="88">
        <v>13681.236673773989</v>
      </c>
      <c r="I3116" s="89">
        <v>40</v>
      </c>
      <c r="J3116" s="90">
        <v>12833</v>
      </c>
      <c r="K3116" s="85">
        <v>8</v>
      </c>
      <c r="L3116" s="85">
        <v>0</v>
      </c>
      <c r="M3116" s="85">
        <v>0</v>
      </c>
      <c r="N3116" s="82" t="s">
        <v>11656</v>
      </c>
      <c r="O3116" s="93">
        <v>45871.547314814816</v>
      </c>
    </row>
    <row r="3117" spans="1:15" ht="22.5" customHeight="1">
      <c r="A3117" s="85">
        <v>174904221976312</v>
      </c>
      <c r="B3117" s="82" t="s">
        <v>10651</v>
      </c>
      <c r="C3117" s="82" t="s">
        <v>11657</v>
      </c>
      <c r="D3117" s="82" t="s">
        <v>11658</v>
      </c>
      <c r="E3117" s="82">
        <v>6282352307329</v>
      </c>
      <c r="F3117" s="94">
        <v>45870</v>
      </c>
      <c r="G3117" s="87">
        <v>2264</v>
      </c>
      <c r="H3117" s="88">
        <v>4530.5263157894733</v>
      </c>
      <c r="I3117" s="89">
        <v>83</v>
      </c>
      <c r="J3117" s="90">
        <v>12912</v>
      </c>
      <c r="K3117" s="85">
        <v>0</v>
      </c>
      <c r="L3117" s="85">
        <v>0</v>
      </c>
      <c r="M3117" s="85">
        <v>0</v>
      </c>
      <c r="N3117" s="82" t="s">
        <v>11659</v>
      </c>
      <c r="O3117" s="93">
        <v>45870.610138888886</v>
      </c>
    </row>
    <row r="3118" spans="1:15" ht="22.5" customHeight="1">
      <c r="A3118" s="85">
        <v>174904221976312</v>
      </c>
      <c r="B3118" s="82" t="s">
        <v>10651</v>
      </c>
      <c r="C3118" s="82" t="s">
        <v>11660</v>
      </c>
      <c r="D3118" s="82" t="s">
        <v>11661</v>
      </c>
      <c r="E3118" s="82">
        <v>6281347245985</v>
      </c>
      <c r="F3118" s="94">
        <v>45870</v>
      </c>
      <c r="G3118" s="87">
        <v>1008</v>
      </c>
      <c r="H3118" s="88">
        <v>11154.340836012861</v>
      </c>
      <c r="I3118" s="89">
        <v>28</v>
      </c>
      <c r="J3118" s="90">
        <v>13876</v>
      </c>
      <c r="K3118" s="85">
        <v>5</v>
      </c>
      <c r="L3118" s="85">
        <v>489</v>
      </c>
      <c r="M3118" s="85">
        <v>0</v>
      </c>
      <c r="N3118" s="82" t="s">
        <v>11662</v>
      </c>
      <c r="O3118" s="93">
        <v>45870.547685185185</v>
      </c>
    </row>
    <row r="3119" spans="1:15" ht="22.5" customHeight="1">
      <c r="A3119" s="85">
        <v>174904221976312</v>
      </c>
      <c r="B3119" s="82" t="s">
        <v>10651</v>
      </c>
      <c r="C3119" s="82" t="s">
        <v>11663</v>
      </c>
      <c r="D3119" s="82" t="s">
        <v>11664</v>
      </c>
      <c r="E3119" s="82">
        <v>628123264621</v>
      </c>
      <c r="F3119" s="94">
        <v>45870</v>
      </c>
      <c r="G3119" s="87">
        <v>966</v>
      </c>
      <c r="H3119" s="88">
        <v>10260.149130074564</v>
      </c>
      <c r="I3119" s="89">
        <v>52</v>
      </c>
      <c r="J3119" s="90">
        <v>12384</v>
      </c>
      <c r="K3119" s="85">
        <v>9</v>
      </c>
      <c r="L3119" s="85">
        <v>277</v>
      </c>
      <c r="M3119" s="85">
        <v>3</v>
      </c>
      <c r="N3119" s="82" t="s">
        <v>11665</v>
      </c>
      <c r="O3119" s="93">
        <v>45871.568159722221</v>
      </c>
    </row>
    <row r="3120" spans="1:15" ht="22.5" customHeight="1">
      <c r="A3120" s="85">
        <v>174904221976312</v>
      </c>
      <c r="B3120" s="82" t="s">
        <v>10651</v>
      </c>
      <c r="C3120" s="82" t="s">
        <v>11666</v>
      </c>
      <c r="D3120" s="82" t="s">
        <v>11667</v>
      </c>
      <c r="E3120" s="82">
        <v>6282292283543</v>
      </c>
      <c r="F3120" s="94">
        <v>45870</v>
      </c>
      <c r="G3120" s="87">
        <v>1063</v>
      </c>
      <c r="H3120" s="88">
        <v>8423.4234234234245</v>
      </c>
      <c r="I3120" s="89">
        <v>67</v>
      </c>
      <c r="J3120" s="90">
        <v>13090</v>
      </c>
      <c r="K3120" s="85">
        <v>5</v>
      </c>
      <c r="L3120" s="85">
        <v>0</v>
      </c>
      <c r="M3120" s="85">
        <v>0</v>
      </c>
      <c r="N3120" s="82" t="s">
        <v>11668</v>
      </c>
      <c r="O3120" s="93">
        <v>45870.568414351852</v>
      </c>
    </row>
    <row r="3121" spans="1:15" ht="22.5" customHeight="1">
      <c r="A3121" s="85">
        <v>174904221976312</v>
      </c>
      <c r="B3121" s="82" t="s">
        <v>10651</v>
      </c>
      <c r="C3121" s="82" t="s">
        <v>11669</v>
      </c>
      <c r="D3121" s="82" t="s">
        <v>2708</v>
      </c>
      <c r="E3121" s="82">
        <v>6282142833445</v>
      </c>
      <c r="F3121" s="94">
        <v>45870</v>
      </c>
      <c r="G3121" s="87">
        <v>852</v>
      </c>
      <c r="H3121" s="88">
        <v>8942.8571428571431</v>
      </c>
      <c r="I3121" s="89">
        <v>30</v>
      </c>
      <c r="J3121" s="90">
        <v>9390</v>
      </c>
      <c r="K3121" s="85">
        <v>3</v>
      </c>
      <c r="L3121" s="85">
        <v>0</v>
      </c>
      <c r="M3121" s="85">
        <v>0</v>
      </c>
      <c r="N3121" s="82" t="s">
        <v>11670</v>
      </c>
      <c r="O3121" s="93">
        <v>45871.610115740739</v>
      </c>
    </row>
    <row r="3122" spans="1:15" ht="22.5" customHeight="1">
      <c r="A3122" s="85">
        <v>174904221976312</v>
      </c>
      <c r="B3122" s="82" t="s">
        <v>10651</v>
      </c>
      <c r="C3122" s="82" t="s">
        <v>11633</v>
      </c>
      <c r="D3122" s="82" t="s">
        <v>11634</v>
      </c>
      <c r="E3122" s="82">
        <v>6287762605372</v>
      </c>
      <c r="F3122" s="94">
        <v>45870</v>
      </c>
      <c r="G3122" s="87">
        <v>273</v>
      </c>
      <c r="H3122" s="88">
        <v>29933.139534883721</v>
      </c>
      <c r="I3122" s="89">
        <v>15</v>
      </c>
      <c r="J3122" s="90">
        <v>10297</v>
      </c>
      <c r="K3122" s="85">
        <v>4</v>
      </c>
      <c r="L3122" s="85">
        <v>23</v>
      </c>
      <c r="M3122" s="85">
        <v>0</v>
      </c>
      <c r="N3122" s="82" t="s">
        <v>11635</v>
      </c>
      <c r="O3122" s="93">
        <v>45871.588842592595</v>
      </c>
    </row>
    <row r="3123" spans="1:15" ht="22.5" customHeight="1">
      <c r="A3123" s="85">
        <v>174904221976312</v>
      </c>
      <c r="B3123" s="82" t="s">
        <v>10651</v>
      </c>
      <c r="C3123" s="82" t="s">
        <v>11636</v>
      </c>
      <c r="D3123" s="82" t="s">
        <v>11637</v>
      </c>
      <c r="E3123" s="82">
        <v>6282154233977</v>
      </c>
      <c r="F3123" s="94">
        <v>45870</v>
      </c>
      <c r="G3123" s="87">
        <v>401</v>
      </c>
      <c r="H3123" s="88">
        <v>16953.781512605041</v>
      </c>
      <c r="I3123" s="89">
        <v>29</v>
      </c>
      <c r="J3123" s="90">
        <v>8070</v>
      </c>
      <c r="K3123" s="85">
        <v>4</v>
      </c>
      <c r="L3123" s="85">
        <v>0</v>
      </c>
      <c r="M3123" s="85">
        <v>1</v>
      </c>
      <c r="N3123" s="82" t="s">
        <v>11638</v>
      </c>
      <c r="O3123" s="93">
        <v>45871.568159722221</v>
      </c>
    </row>
    <row r="3124" spans="1:15" ht="22.5" customHeight="1">
      <c r="A3124" s="85">
        <v>174904221976312</v>
      </c>
      <c r="B3124" s="82" t="s">
        <v>10651</v>
      </c>
      <c r="C3124" s="82" t="s">
        <v>11639</v>
      </c>
      <c r="D3124" s="82" t="s">
        <v>9010</v>
      </c>
      <c r="E3124" s="82">
        <v>6281111121020</v>
      </c>
      <c r="F3124" s="94">
        <v>45870</v>
      </c>
      <c r="G3124" s="87">
        <v>681</v>
      </c>
      <c r="H3124" s="88">
        <v>15461.355529131986</v>
      </c>
      <c r="I3124" s="89">
        <v>27</v>
      </c>
      <c r="J3124" s="90">
        <v>13003</v>
      </c>
      <c r="K3124" s="85">
        <v>5</v>
      </c>
      <c r="L3124" s="85">
        <v>218</v>
      </c>
      <c r="M3124" s="85">
        <v>1</v>
      </c>
      <c r="N3124" s="82" t="s">
        <v>11640</v>
      </c>
      <c r="O3124" s="93">
        <v>45870.526435185187</v>
      </c>
    </row>
    <row r="3125" spans="1:15" ht="22.5" customHeight="1">
      <c r="A3125" s="85">
        <v>174904221976312</v>
      </c>
      <c r="B3125" s="82" t="s">
        <v>10651</v>
      </c>
      <c r="C3125" s="82" t="s">
        <v>11641</v>
      </c>
      <c r="D3125" s="82" t="s">
        <v>3229</v>
      </c>
      <c r="E3125" s="82">
        <v>6287865111033</v>
      </c>
      <c r="F3125" s="94">
        <v>45870</v>
      </c>
      <c r="G3125" s="87">
        <v>1948</v>
      </c>
      <c r="H3125" s="88">
        <v>5123.8095238095229</v>
      </c>
      <c r="I3125" s="89">
        <v>38</v>
      </c>
      <c r="J3125" s="90">
        <v>11836</v>
      </c>
      <c r="K3125" s="85">
        <v>3</v>
      </c>
      <c r="L3125" s="85">
        <v>0</v>
      </c>
      <c r="M3125" s="85">
        <v>0</v>
      </c>
      <c r="N3125" s="82" t="s">
        <v>11642</v>
      </c>
      <c r="O3125" s="93">
        <v>45871.588842592595</v>
      </c>
    </row>
    <row r="3126" spans="1:15" ht="22.5" customHeight="1">
      <c r="A3126" s="85">
        <v>174904221976312</v>
      </c>
      <c r="B3126" s="82" t="s">
        <v>10651</v>
      </c>
      <c r="C3126" s="82" t="s">
        <v>11643</v>
      </c>
      <c r="D3126" s="82" t="s">
        <v>11644</v>
      </c>
      <c r="E3126" s="82">
        <v>6281330410391</v>
      </c>
      <c r="F3126" s="94">
        <v>45870</v>
      </c>
      <c r="G3126" s="87">
        <v>870</v>
      </c>
      <c r="H3126" s="88">
        <v>13104.743083003954</v>
      </c>
      <c r="I3126" s="89">
        <v>62</v>
      </c>
      <c r="J3126" s="90">
        <v>13262</v>
      </c>
      <c r="K3126" s="85">
        <v>17</v>
      </c>
      <c r="L3126" s="85">
        <v>312</v>
      </c>
      <c r="M3126" s="85">
        <v>2</v>
      </c>
      <c r="N3126" s="82" t="s">
        <v>11681</v>
      </c>
      <c r="O3126" s="93">
        <v>45871.788807870369</v>
      </c>
    </row>
    <row r="3127" spans="1:15" ht="22.5" customHeight="1">
      <c r="A3127" s="85">
        <v>174904221976312</v>
      </c>
      <c r="B3127" s="82" t="s">
        <v>10651</v>
      </c>
      <c r="C3127" s="82" t="s">
        <v>11646</v>
      </c>
      <c r="D3127" s="82" t="s">
        <v>11647</v>
      </c>
      <c r="E3127" s="82">
        <v>6285820117323</v>
      </c>
      <c r="F3127" s="94">
        <v>45870</v>
      </c>
      <c r="G3127" s="87">
        <v>1791</v>
      </c>
      <c r="H3127" s="88">
        <v>5568.0393912264999</v>
      </c>
      <c r="I3127" s="89">
        <v>27</v>
      </c>
      <c r="J3127" s="90">
        <v>12439</v>
      </c>
      <c r="K3127" s="85">
        <v>1</v>
      </c>
      <c r="L3127" s="85">
        <v>0</v>
      </c>
      <c r="M3127" s="85">
        <v>0</v>
      </c>
      <c r="N3127" s="82" t="s">
        <v>11648</v>
      </c>
      <c r="O3127" s="93">
        <v>45871.547465277778</v>
      </c>
    </row>
    <row r="3128" spans="1:15" ht="22.5" customHeight="1">
      <c r="A3128" s="85">
        <v>174904221976312</v>
      </c>
      <c r="B3128" s="82" t="s">
        <v>10651</v>
      </c>
      <c r="C3128" s="82" t="s">
        <v>11606</v>
      </c>
      <c r="D3128" s="82" t="s">
        <v>3105</v>
      </c>
      <c r="E3128" s="82">
        <v>6287745180632</v>
      </c>
      <c r="F3128" s="94">
        <v>45870</v>
      </c>
      <c r="G3128" s="87">
        <v>711</v>
      </c>
      <c r="H3128" s="88">
        <v>13318.072289156627</v>
      </c>
      <c r="I3128" s="89">
        <v>33</v>
      </c>
      <c r="J3128" s="90">
        <v>11054</v>
      </c>
      <c r="K3128" s="85">
        <v>1</v>
      </c>
      <c r="L3128" s="85">
        <v>259</v>
      </c>
      <c r="M3128" s="85">
        <v>0</v>
      </c>
      <c r="N3128" s="82" t="s">
        <v>11607</v>
      </c>
      <c r="O3128" s="93">
        <v>45870.589085648149</v>
      </c>
    </row>
    <row r="3129" spans="1:15" ht="22.5" customHeight="1">
      <c r="A3129" s="85">
        <v>174904221976312</v>
      </c>
      <c r="B3129" s="82" t="s">
        <v>10651</v>
      </c>
      <c r="C3129" s="82" t="s">
        <v>11608</v>
      </c>
      <c r="D3129" s="82" t="s">
        <v>3156</v>
      </c>
      <c r="E3129" s="82">
        <v>6281217126285</v>
      </c>
      <c r="F3129" s="94">
        <v>45870</v>
      </c>
      <c r="G3129" s="87">
        <v>534</v>
      </c>
      <c r="H3129" s="88">
        <v>22035.234899328858</v>
      </c>
      <c r="I3129" s="89">
        <v>20</v>
      </c>
      <c r="J3129" s="90">
        <v>13133</v>
      </c>
      <c r="K3129" s="85">
        <v>5</v>
      </c>
      <c r="L3129" s="85">
        <v>0</v>
      </c>
      <c r="M3129" s="85">
        <v>0</v>
      </c>
      <c r="N3129" s="82" t="s">
        <v>11609</v>
      </c>
      <c r="O3129" s="93">
        <v>45870.610138888886</v>
      </c>
    </row>
    <row r="3130" spans="1:15" ht="22.5" customHeight="1">
      <c r="A3130" s="85">
        <v>174904221976312</v>
      </c>
      <c r="B3130" s="82" t="s">
        <v>10651</v>
      </c>
      <c r="C3130" s="82" t="s">
        <v>11610</v>
      </c>
      <c r="D3130" s="82" t="s">
        <v>11611</v>
      </c>
      <c r="E3130" s="82">
        <v>6285207285812</v>
      </c>
      <c r="F3130" s="94">
        <v>45870</v>
      </c>
      <c r="G3130" s="87">
        <v>354</v>
      </c>
      <c r="H3130" s="88">
        <v>23094.387755102041</v>
      </c>
      <c r="I3130" s="89">
        <v>8</v>
      </c>
      <c r="J3130" s="90">
        <v>9053</v>
      </c>
      <c r="K3130" s="85">
        <v>1</v>
      </c>
      <c r="L3130" s="85">
        <v>0</v>
      </c>
      <c r="M3130" s="85">
        <v>0</v>
      </c>
      <c r="N3130" s="82" t="s">
        <v>11612</v>
      </c>
      <c r="O3130" s="93">
        <v>45871.630439814813</v>
      </c>
    </row>
    <row r="3131" spans="1:15" ht="22.5" customHeight="1">
      <c r="A3131" s="85">
        <v>174904221976312</v>
      </c>
      <c r="B3131" s="82" t="s">
        <v>10651</v>
      </c>
      <c r="C3131" s="82" t="s">
        <v>11613</v>
      </c>
      <c r="D3131" s="82" t="s">
        <v>11614</v>
      </c>
      <c r="E3131" s="82">
        <v>6282186829904</v>
      </c>
      <c r="F3131" s="94">
        <v>45870</v>
      </c>
      <c r="G3131" s="87">
        <v>182</v>
      </c>
      <c r="H3131" s="88">
        <v>50771.428571428572</v>
      </c>
      <c r="I3131" s="89">
        <v>6</v>
      </c>
      <c r="J3131" s="90">
        <v>10662</v>
      </c>
      <c r="K3131" s="85">
        <v>1</v>
      </c>
      <c r="L3131" s="85">
        <v>0</v>
      </c>
      <c r="M3131" s="85">
        <v>0</v>
      </c>
      <c r="N3131" s="82" t="s">
        <v>11615</v>
      </c>
      <c r="O3131" s="93">
        <v>45870.610347222224</v>
      </c>
    </row>
    <row r="3132" spans="1:15" ht="22.5" customHeight="1">
      <c r="A3132" s="85">
        <v>174904221976312</v>
      </c>
      <c r="B3132" s="82" t="s">
        <v>10651</v>
      </c>
      <c r="C3132" s="82" t="s">
        <v>11574</v>
      </c>
      <c r="D3132" s="82" t="s">
        <v>3045</v>
      </c>
      <c r="E3132" s="82">
        <v>6285727626320</v>
      </c>
      <c r="F3132" s="94">
        <v>45870</v>
      </c>
      <c r="G3132" s="87">
        <v>520</v>
      </c>
      <c r="H3132" s="88">
        <v>22311.958405545927</v>
      </c>
      <c r="I3132" s="89">
        <v>27</v>
      </c>
      <c r="J3132" s="90">
        <v>12874</v>
      </c>
      <c r="K3132" s="85">
        <v>9</v>
      </c>
      <c r="L3132" s="85">
        <v>167</v>
      </c>
      <c r="M3132" s="85">
        <v>0</v>
      </c>
      <c r="N3132" s="82" t="s">
        <v>11575</v>
      </c>
      <c r="O3132" s="93">
        <v>45870.568402777775</v>
      </c>
    </row>
    <row r="3133" spans="1:15" ht="22.5" customHeight="1">
      <c r="A3133" s="85">
        <v>174904221976312</v>
      </c>
      <c r="B3133" s="82" t="s">
        <v>10651</v>
      </c>
      <c r="C3133" s="82" t="s">
        <v>11576</v>
      </c>
      <c r="D3133" s="82" t="s">
        <v>3083</v>
      </c>
      <c r="E3133" s="82">
        <v>6281399886462</v>
      </c>
      <c r="F3133" s="94">
        <v>45870</v>
      </c>
      <c r="G3133" s="87">
        <v>852</v>
      </c>
      <c r="H3133" s="88">
        <v>14412.222222222223</v>
      </c>
      <c r="I3133" s="89">
        <v>19</v>
      </c>
      <c r="J3133" s="90">
        <v>12971</v>
      </c>
      <c r="K3133" s="85">
        <v>2</v>
      </c>
      <c r="L3133" s="85">
        <v>375</v>
      </c>
      <c r="M3133" s="85">
        <v>0</v>
      </c>
      <c r="N3133" s="82" t="s">
        <v>11577</v>
      </c>
      <c r="O3133" s="93">
        <v>45870.526446759257</v>
      </c>
    </row>
    <row r="3134" spans="1:15" ht="22.5" customHeight="1">
      <c r="A3134" s="85">
        <v>174904221976312</v>
      </c>
      <c r="B3134" s="82" t="s">
        <v>10651</v>
      </c>
      <c r="C3134" s="82" t="s">
        <v>11578</v>
      </c>
      <c r="D3134" s="82" t="s">
        <v>1624</v>
      </c>
      <c r="E3134" s="82">
        <v>6281938384000</v>
      </c>
      <c r="F3134" s="94">
        <v>45870</v>
      </c>
      <c r="G3134" s="87">
        <v>681</v>
      </c>
      <c r="H3134" s="88">
        <v>17658.227848101265</v>
      </c>
      <c r="I3134" s="89">
        <v>28</v>
      </c>
      <c r="J3134" s="90">
        <v>13950</v>
      </c>
      <c r="K3134" s="85">
        <v>8</v>
      </c>
      <c r="L3134" s="85">
        <v>380</v>
      </c>
      <c r="M3134" s="85">
        <v>0</v>
      </c>
      <c r="N3134" s="82" t="s">
        <v>11579</v>
      </c>
      <c r="O3134" s="93">
        <v>45870.526435185187</v>
      </c>
    </row>
    <row r="3135" spans="1:15" ht="22.5" customHeight="1">
      <c r="A3135" s="85">
        <v>174904221976312</v>
      </c>
      <c r="B3135" s="82" t="s">
        <v>10651</v>
      </c>
      <c r="C3135" s="82" t="s">
        <v>11580</v>
      </c>
      <c r="D3135" s="82" t="s">
        <v>11581</v>
      </c>
      <c r="E3135" s="82">
        <v>6287790276733</v>
      </c>
      <c r="F3135" s="94">
        <v>45870</v>
      </c>
      <c r="G3135" s="87">
        <v>951</v>
      </c>
      <c r="H3135" s="88">
        <v>12279.480037140205</v>
      </c>
      <c r="I3135" s="89">
        <v>5</v>
      </c>
      <c r="J3135" s="90">
        <v>13225</v>
      </c>
      <c r="K3135" s="85">
        <v>0</v>
      </c>
      <c r="L3135" s="85">
        <v>201</v>
      </c>
      <c r="M3135" s="85">
        <v>0</v>
      </c>
      <c r="N3135" s="82" t="s">
        <v>11582</v>
      </c>
      <c r="O3135" s="93">
        <v>45871.609976851854</v>
      </c>
    </row>
    <row r="3136" spans="1:15" ht="22.5" customHeight="1">
      <c r="A3136" s="85">
        <v>174904221976312</v>
      </c>
      <c r="B3136" s="82" t="s">
        <v>10651</v>
      </c>
      <c r="C3136" s="82" t="s">
        <v>11583</v>
      </c>
      <c r="D3136" s="82" t="s">
        <v>11584</v>
      </c>
      <c r="E3136" s="82">
        <v>6282285205998</v>
      </c>
      <c r="F3136" s="94">
        <v>45870</v>
      </c>
      <c r="G3136" s="87">
        <v>2099</v>
      </c>
      <c r="H3136" s="88">
        <v>6146.5136804942631</v>
      </c>
      <c r="I3136" s="89">
        <v>88</v>
      </c>
      <c r="J3136" s="90">
        <v>13928</v>
      </c>
      <c r="K3136" s="85">
        <v>20</v>
      </c>
      <c r="L3136" s="85">
        <v>829</v>
      </c>
      <c r="M3136" s="85">
        <v>1</v>
      </c>
      <c r="N3136" s="82" t="s">
        <v>11585</v>
      </c>
      <c r="O3136" s="93">
        <v>45870.526423611111</v>
      </c>
    </row>
    <row r="3137" spans="1:15" ht="22.5" customHeight="1">
      <c r="A3137" s="85">
        <v>174904221976312</v>
      </c>
      <c r="B3137" s="82" t="s">
        <v>10651</v>
      </c>
      <c r="C3137" s="82" t="s">
        <v>11586</v>
      </c>
      <c r="D3137" s="82" t="s">
        <v>11587</v>
      </c>
      <c r="E3137" s="82">
        <v>6281280241630</v>
      </c>
      <c r="F3137" s="94">
        <v>45870</v>
      </c>
      <c r="G3137" s="87">
        <v>506</v>
      </c>
      <c r="H3137" s="88">
        <v>24291.743119266055</v>
      </c>
      <c r="I3137" s="89">
        <v>19</v>
      </c>
      <c r="J3137" s="90">
        <v>13239</v>
      </c>
      <c r="K3137" s="85">
        <v>4</v>
      </c>
      <c r="L3137" s="85">
        <v>0</v>
      </c>
      <c r="M3137" s="85">
        <v>1</v>
      </c>
      <c r="N3137" s="82" t="s">
        <v>11588</v>
      </c>
      <c r="O3137" s="93">
        <v>45870.526435185187</v>
      </c>
    </row>
    <row r="3138" spans="1:15" ht="22.5" customHeight="1">
      <c r="A3138" s="85">
        <v>174904221976312</v>
      </c>
      <c r="B3138" s="82" t="s">
        <v>10651</v>
      </c>
      <c r="C3138" s="82" t="s">
        <v>11589</v>
      </c>
      <c r="D3138" s="82" t="s">
        <v>3120</v>
      </c>
      <c r="E3138" s="82">
        <v>6281255005229</v>
      </c>
      <c r="F3138" s="94">
        <v>45870</v>
      </c>
      <c r="G3138" s="87">
        <v>1154</v>
      </c>
      <c r="H3138" s="88">
        <v>11788.12199036918</v>
      </c>
      <c r="I3138" s="89">
        <v>23</v>
      </c>
      <c r="J3138" s="90">
        <v>14688</v>
      </c>
      <c r="K3138" s="85">
        <v>4</v>
      </c>
      <c r="L3138" s="85">
        <v>0</v>
      </c>
      <c r="M3138" s="85">
        <v>0</v>
      </c>
      <c r="N3138" s="82" t="s">
        <v>11590</v>
      </c>
      <c r="O3138" s="93">
        <v>45870.485011574077</v>
      </c>
    </row>
    <row r="3139" spans="1:15" ht="22.5" customHeight="1">
      <c r="A3139" s="85">
        <v>174904221976312</v>
      </c>
      <c r="B3139" s="82" t="s">
        <v>10651</v>
      </c>
      <c r="C3139" s="82" t="s">
        <v>11591</v>
      </c>
      <c r="D3139" s="82" t="s">
        <v>11592</v>
      </c>
      <c r="E3139" s="82">
        <v>628155157779</v>
      </c>
      <c r="F3139" s="94">
        <v>45870</v>
      </c>
      <c r="G3139" s="87">
        <v>301</v>
      </c>
      <c r="H3139" s="88">
        <v>38320.474777448071</v>
      </c>
      <c r="I3139" s="89">
        <v>11</v>
      </c>
      <c r="J3139" s="90">
        <v>12914</v>
      </c>
      <c r="K3139" s="85">
        <v>0</v>
      </c>
      <c r="L3139" s="85">
        <v>0</v>
      </c>
      <c r="M3139" s="85">
        <v>2</v>
      </c>
      <c r="N3139" s="82" t="s">
        <v>11593</v>
      </c>
      <c r="O3139" s="93">
        <v>45870.526435185187</v>
      </c>
    </row>
    <row r="3140" spans="1:15" ht="22.5" customHeight="1">
      <c r="A3140" s="85">
        <v>174904221976312</v>
      </c>
      <c r="B3140" s="82" t="s">
        <v>10651</v>
      </c>
      <c r="C3140" s="82" t="s">
        <v>11594</v>
      </c>
      <c r="D3140" s="82" t="s">
        <v>11595</v>
      </c>
      <c r="E3140" s="82">
        <v>6281366479393</v>
      </c>
      <c r="F3140" s="94">
        <v>45870</v>
      </c>
      <c r="G3140" s="87">
        <v>1422</v>
      </c>
      <c r="H3140" s="88">
        <v>7397.4121996303138</v>
      </c>
      <c r="I3140" s="89">
        <v>20</v>
      </c>
      <c r="J3140" s="90">
        <v>12006</v>
      </c>
      <c r="K3140" s="85">
        <v>1</v>
      </c>
      <c r="L3140" s="85">
        <v>487</v>
      </c>
      <c r="M3140" s="85">
        <v>0</v>
      </c>
      <c r="N3140" s="82" t="s">
        <v>11596</v>
      </c>
      <c r="O3140" s="93">
        <v>45870.422662037039</v>
      </c>
    </row>
    <row r="3141" spans="1:15" ht="22.5" customHeight="1">
      <c r="A3141" s="85">
        <v>174904221976312</v>
      </c>
      <c r="B3141" s="82" t="s">
        <v>10651</v>
      </c>
      <c r="C3141" s="82" t="s">
        <v>11597</v>
      </c>
      <c r="D3141" s="82" t="s">
        <v>11598</v>
      </c>
      <c r="E3141" s="82">
        <v>6282123587173</v>
      </c>
      <c r="F3141" s="94">
        <v>45870</v>
      </c>
      <c r="G3141" s="87">
        <v>393</v>
      </c>
      <c r="H3141" s="88">
        <v>21577.075098814232</v>
      </c>
      <c r="I3141" s="89">
        <v>12</v>
      </c>
      <c r="J3141" s="90">
        <v>10918</v>
      </c>
      <c r="K3141" s="85">
        <v>1</v>
      </c>
      <c r="L3141" s="85">
        <v>50</v>
      </c>
      <c r="M3141" s="85">
        <v>0</v>
      </c>
      <c r="N3141" s="82" t="s">
        <v>11599</v>
      </c>
      <c r="O3141" s="93">
        <v>45870.464108796295</v>
      </c>
    </row>
    <row r="3142" spans="1:15" ht="22.5" customHeight="1">
      <c r="A3142" s="85">
        <v>174904221976312</v>
      </c>
      <c r="B3142" s="82" t="s">
        <v>10651</v>
      </c>
      <c r="C3142" s="82" t="s">
        <v>11600</v>
      </c>
      <c r="D3142" s="82" t="s">
        <v>11601</v>
      </c>
      <c r="E3142" s="82">
        <v>62881010278235</v>
      </c>
      <c r="F3142" s="94">
        <v>45870</v>
      </c>
      <c r="G3142" s="87">
        <v>422</v>
      </c>
      <c r="H3142" s="88">
        <v>25679.324894514768</v>
      </c>
      <c r="I3142" s="89">
        <v>8</v>
      </c>
      <c r="J3142" s="90">
        <v>12172</v>
      </c>
      <c r="K3142" s="85">
        <v>2</v>
      </c>
      <c r="L3142" s="85">
        <v>129</v>
      </c>
      <c r="M3142" s="85">
        <v>0</v>
      </c>
      <c r="N3142" s="82" t="s">
        <v>11602</v>
      </c>
      <c r="O3142" s="93">
        <v>45870.485300925924</v>
      </c>
    </row>
    <row r="3143" spans="1:15" ht="22.5" customHeight="1">
      <c r="A3143" s="85">
        <v>174904221976312</v>
      </c>
      <c r="B3143" s="82" t="s">
        <v>10651</v>
      </c>
      <c r="C3143" s="82" t="s">
        <v>11565</v>
      </c>
      <c r="D3143" s="82" t="s">
        <v>11566</v>
      </c>
      <c r="E3143" s="82">
        <v>6282333358533</v>
      </c>
      <c r="F3143" s="94">
        <v>45870</v>
      </c>
      <c r="G3143" s="87">
        <v>202</v>
      </c>
      <c r="H3143" s="88">
        <v>55634.146341463413</v>
      </c>
      <c r="I3143" s="89">
        <v>1</v>
      </c>
      <c r="J3143" s="90">
        <v>11405</v>
      </c>
      <c r="K3143" s="85">
        <v>1</v>
      </c>
      <c r="L3143" s="85">
        <v>0</v>
      </c>
      <c r="M3143" s="85">
        <v>0</v>
      </c>
      <c r="N3143" s="82" t="s">
        <v>11567</v>
      </c>
      <c r="O3143" s="93">
        <v>45870.276550925926</v>
      </c>
    </row>
    <row r="3144" spans="1:15" ht="22.5" customHeight="1">
      <c r="A3144" s="85">
        <v>174904221976312</v>
      </c>
      <c r="B3144" s="82" t="s">
        <v>10651</v>
      </c>
      <c r="C3144" s="82" t="s">
        <v>11568</v>
      </c>
      <c r="D3144" s="82" t="s">
        <v>11569</v>
      </c>
      <c r="E3144" s="82">
        <v>6287826386983</v>
      </c>
      <c r="F3144" s="94">
        <v>45870</v>
      </c>
      <c r="G3144" s="87">
        <v>359</v>
      </c>
      <c r="H3144" s="88">
        <v>22994.62365591398</v>
      </c>
      <c r="I3144" s="89">
        <v>5</v>
      </c>
      <c r="J3144" s="90">
        <v>8554</v>
      </c>
      <c r="K3144" s="85">
        <v>0</v>
      </c>
      <c r="L3144" s="85">
        <v>0</v>
      </c>
      <c r="M3144" s="85">
        <v>0</v>
      </c>
      <c r="N3144" s="82" t="s">
        <v>11570</v>
      </c>
      <c r="O3144" s="93">
        <v>45870.218715277777</v>
      </c>
    </row>
    <row r="3145" spans="1:15" ht="22.5" customHeight="1">
      <c r="A3145" s="85">
        <v>174904221976312</v>
      </c>
      <c r="B3145" s="82" t="s">
        <v>10651</v>
      </c>
      <c r="C3145" s="82" t="s">
        <v>11571</v>
      </c>
      <c r="D3145" s="82" t="s">
        <v>11572</v>
      </c>
      <c r="E3145" s="82">
        <v>6282340878030</v>
      </c>
      <c r="F3145" s="94">
        <v>45870</v>
      </c>
      <c r="G3145" s="87">
        <v>130</v>
      </c>
      <c r="H3145" s="88">
        <v>51053.030303030304</v>
      </c>
      <c r="I3145" s="89">
        <v>7</v>
      </c>
      <c r="J3145" s="90">
        <v>6739</v>
      </c>
      <c r="K3145" s="85">
        <v>1</v>
      </c>
      <c r="L3145" s="85">
        <v>64</v>
      </c>
      <c r="M3145" s="85">
        <v>1</v>
      </c>
      <c r="N3145" s="82" t="s">
        <v>11573</v>
      </c>
      <c r="O3145" s="93">
        <v>45870.2187037037</v>
      </c>
    </row>
    <row r="3146" spans="1:15" ht="22.5" customHeight="1">
      <c r="A3146" s="85">
        <v>174904221976312</v>
      </c>
      <c r="B3146" s="82" t="s">
        <v>10651</v>
      </c>
      <c r="C3146" s="82" t="s">
        <v>11545</v>
      </c>
      <c r="D3146" s="82" t="s">
        <v>3140</v>
      </c>
      <c r="E3146" s="82"/>
      <c r="F3146" s="94">
        <v>45870</v>
      </c>
      <c r="G3146" s="87">
        <v>41151</v>
      </c>
      <c r="H3146" s="88">
        <v>1736.1674979700729</v>
      </c>
      <c r="I3146" s="89">
        <v>752</v>
      </c>
      <c r="J3146" s="90">
        <v>89805</v>
      </c>
      <c r="K3146" s="85">
        <v>21</v>
      </c>
      <c r="L3146" s="85">
        <v>4268</v>
      </c>
      <c r="M3146" s="85">
        <v>2</v>
      </c>
      <c r="N3146" s="82" t="s">
        <v>11546</v>
      </c>
      <c r="O3146" s="93">
        <v>45870.352870370371</v>
      </c>
    </row>
    <row r="3147" spans="1:15" ht="22.5" customHeight="1">
      <c r="A3147" s="85">
        <v>174904221976312</v>
      </c>
      <c r="B3147" s="82" t="s">
        <v>10651</v>
      </c>
      <c r="C3147" s="82" t="s">
        <v>11547</v>
      </c>
      <c r="D3147" s="82" t="s">
        <v>11548</v>
      </c>
      <c r="E3147" s="82">
        <v>6287846030252</v>
      </c>
      <c r="F3147" s="94">
        <v>45870</v>
      </c>
      <c r="G3147" s="87">
        <v>1985</v>
      </c>
      <c r="H3147" s="88">
        <v>5989.2823858341098</v>
      </c>
      <c r="I3147" s="89">
        <v>53</v>
      </c>
      <c r="J3147" s="90">
        <v>12853</v>
      </c>
      <c r="K3147" s="85">
        <v>1</v>
      </c>
      <c r="L3147" s="85">
        <v>50</v>
      </c>
      <c r="M3147" s="85">
        <v>3</v>
      </c>
      <c r="N3147" s="82" t="s">
        <v>11549</v>
      </c>
      <c r="O3147" s="93">
        <v>45870.464120370372</v>
      </c>
    </row>
    <row r="3148" spans="1:15" ht="22.5" customHeight="1">
      <c r="A3148" s="85">
        <v>174904221976312</v>
      </c>
      <c r="B3148" s="82" t="s">
        <v>10651</v>
      </c>
      <c r="C3148" s="82" t="s">
        <v>11649</v>
      </c>
      <c r="D3148" s="82" t="s">
        <v>11650</v>
      </c>
      <c r="E3148" s="82">
        <v>62823885166777</v>
      </c>
      <c r="F3148" s="94">
        <v>45870</v>
      </c>
      <c r="G3148" s="87">
        <v>59</v>
      </c>
      <c r="H3148" s="88">
        <v>176903.22580645161</v>
      </c>
      <c r="I3148" s="89">
        <v>1</v>
      </c>
      <c r="J3148" s="90">
        <v>10968</v>
      </c>
      <c r="K3148" s="85">
        <v>0</v>
      </c>
      <c r="L3148" s="85">
        <v>19</v>
      </c>
      <c r="M3148" s="85">
        <v>0</v>
      </c>
      <c r="N3148" s="82" t="s">
        <v>11651</v>
      </c>
      <c r="O3148" s="93">
        <v>45871.630428240744</v>
      </c>
    </row>
    <row r="3149" spans="1:15" ht="22.5" customHeight="1">
      <c r="A3149" s="85">
        <v>174904221976312</v>
      </c>
      <c r="B3149" s="82" t="s">
        <v>10651</v>
      </c>
      <c r="C3149" s="82" t="s">
        <v>11550</v>
      </c>
      <c r="D3149" s="82" t="s">
        <v>11551</v>
      </c>
      <c r="E3149" s="82">
        <v>6281327457634</v>
      </c>
      <c r="F3149" s="94">
        <v>45870</v>
      </c>
      <c r="G3149" s="87">
        <v>407</v>
      </c>
      <c r="H3149" s="88">
        <v>29466.527196652722</v>
      </c>
      <c r="I3149" s="89">
        <v>11</v>
      </c>
      <c r="J3149" s="90">
        <v>14085</v>
      </c>
      <c r="K3149" s="85">
        <v>2</v>
      </c>
      <c r="L3149" s="85">
        <v>0</v>
      </c>
      <c r="M3149" s="85">
        <v>0</v>
      </c>
      <c r="N3149" s="82" t="s">
        <v>11552</v>
      </c>
      <c r="O3149" s="93">
        <v>45870.568402777775</v>
      </c>
    </row>
    <row r="3150" spans="1:15" ht="22.5" customHeight="1">
      <c r="A3150" s="85">
        <v>174904221976312</v>
      </c>
      <c r="B3150" s="82" t="s">
        <v>10651</v>
      </c>
      <c r="C3150" s="82" t="s">
        <v>11553</v>
      </c>
      <c r="D3150" s="82" t="s">
        <v>11554</v>
      </c>
      <c r="E3150" s="82">
        <v>628113311777</v>
      </c>
      <c r="F3150" s="94">
        <v>45870</v>
      </c>
      <c r="G3150" s="87">
        <v>841</v>
      </c>
      <c r="H3150" s="88">
        <v>12467.059980334316</v>
      </c>
      <c r="I3150" s="89">
        <v>7</v>
      </c>
      <c r="J3150" s="90">
        <v>12679</v>
      </c>
      <c r="K3150" s="85">
        <v>0</v>
      </c>
      <c r="L3150" s="85">
        <v>0</v>
      </c>
      <c r="M3150" s="85">
        <v>0</v>
      </c>
      <c r="N3150" s="82" t="s">
        <v>11555</v>
      </c>
      <c r="O3150" s="93">
        <v>45870.218715277777</v>
      </c>
    </row>
    <row r="3151" spans="1:15" ht="22.5" customHeight="1">
      <c r="A3151" s="85">
        <v>174904221976312</v>
      </c>
      <c r="B3151" s="82" t="s">
        <v>10651</v>
      </c>
      <c r="C3151" s="82" t="s">
        <v>11556</v>
      </c>
      <c r="D3151" s="82" t="s">
        <v>11557</v>
      </c>
      <c r="E3151" s="82">
        <v>6281553075560</v>
      </c>
      <c r="F3151" s="94">
        <v>45870</v>
      </c>
      <c r="G3151" s="87">
        <v>2110</v>
      </c>
      <c r="H3151" s="88">
        <v>5826.9709543568461</v>
      </c>
      <c r="I3151" s="89">
        <v>42</v>
      </c>
      <c r="J3151" s="90">
        <v>14043</v>
      </c>
      <c r="K3151" s="85">
        <v>3</v>
      </c>
      <c r="L3151" s="85">
        <v>778</v>
      </c>
      <c r="M3151" s="85">
        <v>1</v>
      </c>
      <c r="N3151" s="82" t="s">
        <v>11558</v>
      </c>
      <c r="O3151" s="93">
        <v>45870.526469907411</v>
      </c>
    </row>
    <row r="3152" spans="1:15" ht="22.5" customHeight="1">
      <c r="A3152" s="85">
        <v>174904221976312</v>
      </c>
      <c r="B3152" s="82" t="s">
        <v>10651</v>
      </c>
      <c r="C3152" s="82" t="s">
        <v>11559</v>
      </c>
      <c r="D3152" s="82" t="s">
        <v>11560</v>
      </c>
      <c r="E3152" s="82">
        <v>6282333203355</v>
      </c>
      <c r="F3152" s="94">
        <v>45870</v>
      </c>
      <c r="G3152" s="87">
        <v>164</v>
      </c>
      <c r="H3152" s="88">
        <v>71357.142857142855</v>
      </c>
      <c r="I3152" s="89">
        <v>5</v>
      </c>
      <c r="J3152" s="90">
        <v>12987</v>
      </c>
      <c r="K3152" s="85">
        <v>2</v>
      </c>
      <c r="L3152" s="85">
        <v>0</v>
      </c>
      <c r="M3152" s="85">
        <v>0</v>
      </c>
      <c r="N3152" s="82" t="s">
        <v>11561</v>
      </c>
      <c r="O3152" s="93">
        <v>45870.443136574075</v>
      </c>
    </row>
    <row r="3153" spans="1:15" ht="22.5" customHeight="1">
      <c r="A3153" s="85">
        <v>174904221976312</v>
      </c>
      <c r="B3153" s="82" t="s">
        <v>10651</v>
      </c>
      <c r="C3153" s="82" t="s">
        <v>11535</v>
      </c>
      <c r="D3153" s="82" t="s">
        <v>2969</v>
      </c>
      <c r="E3153" s="82">
        <v>6281286402030</v>
      </c>
      <c r="F3153" s="94">
        <v>45870</v>
      </c>
      <c r="G3153" s="87">
        <v>435</v>
      </c>
      <c r="H3153" s="88">
        <v>29205.940594059408</v>
      </c>
      <c r="I3153" s="89">
        <v>12</v>
      </c>
      <c r="J3153" s="90">
        <v>14749</v>
      </c>
      <c r="K3153" s="85">
        <v>1</v>
      </c>
      <c r="L3153" s="85">
        <v>7</v>
      </c>
      <c r="M3153" s="85">
        <v>0</v>
      </c>
      <c r="N3153" s="82" t="s">
        <v>11536</v>
      </c>
      <c r="O3153" s="93">
        <v>45870.443622685183</v>
      </c>
    </row>
    <row r="3154" spans="1:15" ht="22.5" customHeight="1">
      <c r="A3154" s="85">
        <v>174904221976312</v>
      </c>
      <c r="B3154" s="82" t="s">
        <v>10651</v>
      </c>
      <c r="C3154" s="82" t="s">
        <v>11539</v>
      </c>
      <c r="D3154" s="82" t="s">
        <v>2754</v>
      </c>
      <c r="E3154" s="82">
        <v>6285186697099</v>
      </c>
      <c r="F3154" s="94">
        <v>45870</v>
      </c>
      <c r="G3154" s="87">
        <v>166</v>
      </c>
      <c r="H3154" s="88">
        <v>73215.789473684214</v>
      </c>
      <c r="I3154" s="89">
        <v>9</v>
      </c>
      <c r="J3154" s="90">
        <v>13911</v>
      </c>
      <c r="K3154" s="85">
        <v>2</v>
      </c>
      <c r="L3154" s="85">
        <v>63</v>
      </c>
      <c r="M3154" s="85">
        <v>0</v>
      </c>
      <c r="N3154" s="82" t="s">
        <v>11540</v>
      </c>
      <c r="O3154" s="93">
        <v>45870.547662037039</v>
      </c>
    </row>
    <row r="3155" spans="1:15" ht="22.5" customHeight="1">
      <c r="A3155" s="85">
        <v>174904221976312</v>
      </c>
      <c r="B3155" s="82" t="s">
        <v>10651</v>
      </c>
      <c r="C3155" s="82" t="s">
        <v>11520</v>
      </c>
      <c r="D3155" s="82" t="s">
        <v>2776</v>
      </c>
      <c r="E3155" s="82">
        <v>6285657238556</v>
      </c>
      <c r="F3155" s="94">
        <v>45870</v>
      </c>
      <c r="G3155" s="87">
        <v>359</v>
      </c>
      <c r="H3155" s="88">
        <v>29400.87145969499</v>
      </c>
      <c r="I3155" s="89">
        <v>11</v>
      </c>
      <c r="J3155" s="90">
        <v>13495</v>
      </c>
      <c r="K3155" s="85">
        <v>0</v>
      </c>
      <c r="L3155" s="85">
        <v>125</v>
      </c>
      <c r="M3155" s="85">
        <v>0</v>
      </c>
      <c r="N3155" s="82" t="s">
        <v>11521</v>
      </c>
      <c r="O3155" s="93">
        <v>45870.505682870367</v>
      </c>
    </row>
    <row r="3156" spans="1:15" ht="22.5" customHeight="1">
      <c r="A3156" s="85">
        <v>174904221976312</v>
      </c>
      <c r="B3156" s="82" t="s">
        <v>10651</v>
      </c>
      <c r="C3156" s="82" t="s">
        <v>11506</v>
      </c>
      <c r="D3156" s="82" t="s">
        <v>2700</v>
      </c>
      <c r="E3156" s="82">
        <v>6282197248722</v>
      </c>
      <c r="F3156" s="94">
        <v>45870</v>
      </c>
      <c r="G3156" s="87">
        <v>409</v>
      </c>
      <c r="H3156" s="88">
        <v>25706.401766004416</v>
      </c>
      <c r="I3156" s="89">
        <v>11</v>
      </c>
      <c r="J3156" s="90">
        <v>11645</v>
      </c>
      <c r="K3156" s="85">
        <v>2</v>
      </c>
      <c r="L3156" s="85">
        <v>115</v>
      </c>
      <c r="M3156" s="85">
        <v>0</v>
      </c>
      <c r="N3156" s="82" t="s">
        <v>11507</v>
      </c>
      <c r="O3156" s="93">
        <v>45870.21875</v>
      </c>
    </row>
    <row r="3157" spans="1:15" ht="22.5" customHeight="1">
      <c r="A3157" s="85">
        <v>174904221976312</v>
      </c>
      <c r="B3157" s="82" t="s">
        <v>10651</v>
      </c>
      <c r="C3157" s="82" t="s">
        <v>11464</v>
      </c>
      <c r="D3157" s="82" t="s">
        <v>11465</v>
      </c>
      <c r="E3157" s="82">
        <v>62816904358</v>
      </c>
      <c r="F3157" s="94">
        <v>45870</v>
      </c>
      <c r="G3157" s="87">
        <v>269</v>
      </c>
      <c r="H3157" s="88">
        <v>35050.156739811908</v>
      </c>
      <c r="I3157" s="89">
        <v>10</v>
      </c>
      <c r="J3157" s="90">
        <v>11181</v>
      </c>
      <c r="K3157" s="85">
        <v>2</v>
      </c>
      <c r="L3157" s="85">
        <v>6</v>
      </c>
      <c r="M3157" s="85">
        <v>0</v>
      </c>
      <c r="N3157" s="82" t="s">
        <v>11466</v>
      </c>
      <c r="O3157" s="93">
        <v>45870.464074074072</v>
      </c>
    </row>
    <row r="3158" spans="1:15" ht="22.5" customHeight="1">
      <c r="A3158" s="85">
        <v>174904221976312</v>
      </c>
      <c r="B3158" s="82" t="s">
        <v>10651</v>
      </c>
      <c r="C3158" s="82" t="s">
        <v>11470</v>
      </c>
      <c r="D3158" s="82" t="s">
        <v>11471</v>
      </c>
      <c r="E3158" s="82">
        <v>6281225745133</v>
      </c>
      <c r="F3158" s="94">
        <v>45870</v>
      </c>
      <c r="G3158" s="87">
        <v>245</v>
      </c>
      <c r="H3158" s="88">
        <v>52108.527131782939</v>
      </c>
      <c r="I3158" s="89">
        <v>16</v>
      </c>
      <c r="J3158" s="90">
        <v>13444</v>
      </c>
      <c r="K3158" s="85">
        <v>2</v>
      </c>
      <c r="L3158" s="85">
        <v>120</v>
      </c>
      <c r="M3158" s="85">
        <v>0</v>
      </c>
      <c r="N3158" s="82" t="s">
        <v>11472</v>
      </c>
      <c r="O3158" s="93">
        <v>45870.50582175926</v>
      </c>
    </row>
    <row r="3159" spans="1:15" ht="22.5" customHeight="1">
      <c r="A3159" s="85">
        <v>174904221976312</v>
      </c>
      <c r="B3159" s="82" t="s">
        <v>10651</v>
      </c>
      <c r="C3159" s="82" t="s">
        <v>11309</v>
      </c>
      <c r="D3159" s="82" t="s">
        <v>11350</v>
      </c>
      <c r="E3159" s="82">
        <v>6281229745253</v>
      </c>
      <c r="F3159" s="94">
        <v>45870</v>
      </c>
      <c r="G3159" s="87">
        <v>126</v>
      </c>
      <c r="H3159" s="88">
        <v>89734.265734265733</v>
      </c>
      <c r="I3159" s="89">
        <v>5</v>
      </c>
      <c r="J3159" s="90">
        <v>12832</v>
      </c>
      <c r="K3159" s="85">
        <v>1</v>
      </c>
      <c r="L3159" s="85">
        <v>14</v>
      </c>
      <c r="M3159" s="85">
        <v>0</v>
      </c>
      <c r="N3159" s="82" t="s">
        <v>11351</v>
      </c>
      <c r="O3159" s="93">
        <v>45870.485347222224</v>
      </c>
    </row>
    <row r="3160" spans="1:15" ht="22.5" customHeight="1">
      <c r="A3160" s="85">
        <v>174904221976312</v>
      </c>
      <c r="B3160" s="82" t="s">
        <v>10651</v>
      </c>
      <c r="C3160" s="82" t="s">
        <v>11253</v>
      </c>
      <c r="D3160" s="82" t="s">
        <v>2096</v>
      </c>
      <c r="E3160" s="82">
        <v>6285282777679</v>
      </c>
      <c r="F3160" s="94">
        <v>45870</v>
      </c>
      <c r="G3160" s="87">
        <v>419</v>
      </c>
      <c r="H3160" s="88">
        <v>27711.693548387095</v>
      </c>
      <c r="I3160" s="89">
        <v>3</v>
      </c>
      <c r="J3160" s="90">
        <v>13745</v>
      </c>
      <c r="K3160" s="85">
        <v>2</v>
      </c>
      <c r="L3160" s="85">
        <v>0</v>
      </c>
      <c r="M3160" s="85">
        <v>0</v>
      </c>
      <c r="N3160" s="82" t="s">
        <v>11254</v>
      </c>
      <c r="O3160" s="93">
        <v>45870.547673611109</v>
      </c>
    </row>
    <row r="3161" spans="1:15" ht="22.5" customHeight="1">
      <c r="A3161" s="85">
        <v>174904221976312</v>
      </c>
      <c r="B3161" s="82" t="s">
        <v>10651</v>
      </c>
      <c r="C3161" s="82" t="s">
        <v>11671</v>
      </c>
      <c r="D3161" s="82" t="s">
        <v>11672</v>
      </c>
      <c r="E3161" s="82">
        <v>6285889229948</v>
      </c>
      <c r="F3161" s="94">
        <v>45870</v>
      </c>
      <c r="G3161" s="87">
        <v>316</v>
      </c>
      <c r="H3161" s="88">
        <v>37909.836065573771</v>
      </c>
      <c r="I3161" s="89">
        <v>11</v>
      </c>
      <c r="J3161" s="90">
        <v>13875</v>
      </c>
      <c r="K3161" s="85">
        <v>0</v>
      </c>
      <c r="L3161" s="85">
        <v>141</v>
      </c>
      <c r="M3161" s="85">
        <v>0</v>
      </c>
      <c r="N3161" s="82" t="s">
        <v>11673</v>
      </c>
      <c r="O3161" s="93">
        <v>45871.609976851854</v>
      </c>
    </row>
    <row r="3162" spans="1:15" ht="22.5" customHeight="1">
      <c r="A3162" s="85">
        <v>174904221976312</v>
      </c>
      <c r="B3162" s="82" t="s">
        <v>10651</v>
      </c>
      <c r="C3162" s="82" t="s">
        <v>11225</v>
      </c>
      <c r="D3162" s="82" t="s">
        <v>11226</v>
      </c>
      <c r="E3162" s="82">
        <v>6281240144744</v>
      </c>
      <c r="F3162" s="94">
        <v>45870</v>
      </c>
      <c r="G3162" s="87">
        <v>1735</v>
      </c>
      <c r="H3162" s="88">
        <v>5203.619909502263</v>
      </c>
      <c r="I3162" s="89">
        <v>27</v>
      </c>
      <c r="J3162" s="90">
        <v>11500</v>
      </c>
      <c r="K3162" s="85">
        <v>1</v>
      </c>
      <c r="L3162" s="85">
        <v>0</v>
      </c>
      <c r="M3162" s="85">
        <v>0</v>
      </c>
      <c r="N3162" s="82" t="s">
        <v>11227</v>
      </c>
      <c r="O3162" s="93">
        <v>45870.547824074078</v>
      </c>
    </row>
    <row r="3163" spans="1:15" ht="22.5" customHeight="1">
      <c r="A3163" s="85">
        <v>174904221976312</v>
      </c>
      <c r="B3163" s="82" t="s">
        <v>10651</v>
      </c>
      <c r="C3163" s="82" t="s">
        <v>11193</v>
      </c>
      <c r="D3163" s="82" t="s">
        <v>11194</v>
      </c>
      <c r="E3163" s="82">
        <v>6281779578317</v>
      </c>
      <c r="F3163" s="94">
        <v>45870</v>
      </c>
      <c r="G3163" s="87">
        <v>1337</v>
      </c>
      <c r="H3163" s="88">
        <v>10270.861833105337</v>
      </c>
      <c r="I3163" s="89">
        <v>42</v>
      </c>
      <c r="J3163" s="90">
        <v>15016</v>
      </c>
      <c r="K3163" s="85">
        <v>0</v>
      </c>
      <c r="L3163" s="85">
        <v>347</v>
      </c>
      <c r="M3163" s="85">
        <v>0</v>
      </c>
      <c r="N3163" s="82" t="s">
        <v>11195</v>
      </c>
      <c r="O3163" s="93">
        <v>45870.443136574075</v>
      </c>
    </row>
    <row r="3164" spans="1:15" ht="22.5" customHeight="1">
      <c r="A3164" s="85">
        <v>174904221976312</v>
      </c>
      <c r="B3164" s="82" t="s">
        <v>10651</v>
      </c>
      <c r="C3164" s="82" t="s">
        <v>11153</v>
      </c>
      <c r="D3164" s="82" t="s">
        <v>11154</v>
      </c>
      <c r="E3164" s="82">
        <v>6285338137835</v>
      </c>
      <c r="F3164" s="94">
        <v>45870</v>
      </c>
      <c r="G3164" s="87">
        <v>226</v>
      </c>
      <c r="H3164" s="88">
        <v>33078.014184397165</v>
      </c>
      <c r="I3164" s="89">
        <v>5</v>
      </c>
      <c r="J3164" s="90">
        <v>9328</v>
      </c>
      <c r="K3164" s="85">
        <v>0</v>
      </c>
      <c r="L3164" s="85">
        <v>0</v>
      </c>
      <c r="M3164" s="85">
        <v>0</v>
      </c>
      <c r="N3164" s="82" t="s">
        <v>11155</v>
      </c>
      <c r="O3164" s="93">
        <v>45871.568148148152</v>
      </c>
    </row>
    <row r="3165" spans="1:15" ht="22.5" customHeight="1">
      <c r="A3165" s="85">
        <v>174904221976312</v>
      </c>
      <c r="B3165" s="82" t="s">
        <v>10651</v>
      </c>
      <c r="C3165" s="82" t="s">
        <v>10696</v>
      </c>
      <c r="D3165" s="82" t="s">
        <v>236</v>
      </c>
      <c r="E3165" s="82"/>
      <c r="F3165" s="94">
        <v>45870</v>
      </c>
      <c r="G3165" s="87">
        <v>2017</v>
      </c>
      <c r="H3165" s="88">
        <v>5973.23295692179</v>
      </c>
      <c r="I3165" s="89">
        <v>64</v>
      </c>
      <c r="J3165" s="90">
        <v>14282</v>
      </c>
      <c r="K3165" s="85">
        <v>5</v>
      </c>
      <c r="L3165" s="85">
        <v>751</v>
      </c>
      <c r="M3165" s="85">
        <v>0</v>
      </c>
      <c r="N3165" s="82" t="s">
        <v>10697</v>
      </c>
      <c r="O3165" s="93">
        <v>45870.443148148152</v>
      </c>
    </row>
    <row r="3166" spans="1:15" ht="22.5" customHeight="1">
      <c r="A3166" s="85">
        <v>174904221976312</v>
      </c>
      <c r="B3166" s="82" t="s">
        <v>10651</v>
      </c>
      <c r="C3166" s="82" t="s">
        <v>10655</v>
      </c>
      <c r="D3166" s="82" t="s">
        <v>3908</v>
      </c>
      <c r="E3166" s="82">
        <v>6285376667233</v>
      </c>
      <c r="F3166" s="94">
        <v>45870</v>
      </c>
      <c r="G3166" s="87">
        <v>1420</v>
      </c>
      <c r="H3166" s="88">
        <v>8801.475107559927</v>
      </c>
      <c r="I3166" s="89">
        <v>30</v>
      </c>
      <c r="J3166" s="90">
        <v>14320</v>
      </c>
      <c r="K3166" s="85">
        <v>8</v>
      </c>
      <c r="L3166" s="85">
        <v>553</v>
      </c>
      <c r="M3166" s="85">
        <v>0</v>
      </c>
      <c r="N3166" s="82" t="s">
        <v>10656</v>
      </c>
      <c r="O3166" s="93">
        <v>45870.526493055557</v>
      </c>
    </row>
    <row r="3167" spans="1:15" ht="22.5" customHeight="1">
      <c r="A3167" s="85">
        <v>174904221976312</v>
      </c>
      <c r="B3167" s="82" t="s">
        <v>10651</v>
      </c>
      <c r="C3167" s="82" t="s">
        <v>11078</v>
      </c>
      <c r="D3167" s="82" t="s">
        <v>3140</v>
      </c>
      <c r="E3167" s="82"/>
      <c r="F3167" s="94">
        <v>45870</v>
      </c>
      <c r="G3167" s="87">
        <v>3245</v>
      </c>
      <c r="H3167" s="88">
        <v>3343.7722419928828</v>
      </c>
      <c r="I3167" s="89">
        <v>76</v>
      </c>
      <c r="J3167" s="90">
        <v>14094</v>
      </c>
      <c r="K3167" s="85">
        <v>3</v>
      </c>
      <c r="L3167" s="85">
        <v>235</v>
      </c>
      <c r="M3167" s="85">
        <v>1</v>
      </c>
      <c r="N3167" s="82" t="s">
        <v>11079</v>
      </c>
      <c r="O3167" s="93">
        <v>45870.463877314818</v>
      </c>
    </row>
    <row r="3168" spans="1:15" ht="22.5" customHeight="1">
      <c r="A3168" s="85">
        <v>174904221976312</v>
      </c>
      <c r="B3168" s="82" t="s">
        <v>10651</v>
      </c>
      <c r="C3168" s="82" t="s">
        <v>10833</v>
      </c>
      <c r="D3168" s="82" t="s">
        <v>10834</v>
      </c>
      <c r="E3168" s="82">
        <v>6282242925264</v>
      </c>
      <c r="F3168" s="94">
        <v>45870</v>
      </c>
      <c r="G3168" s="87">
        <v>2009</v>
      </c>
      <c r="H3168" s="88">
        <v>6239.334470989761</v>
      </c>
      <c r="I3168" s="89">
        <v>68</v>
      </c>
      <c r="J3168" s="90">
        <v>14625</v>
      </c>
      <c r="K3168" s="85">
        <v>3</v>
      </c>
      <c r="L3168" s="85">
        <v>634</v>
      </c>
      <c r="M3168" s="85">
        <v>1</v>
      </c>
      <c r="N3168" s="82" t="s">
        <v>10835</v>
      </c>
      <c r="O3168" s="93">
        <v>45870.547673611109</v>
      </c>
    </row>
    <row r="3169" spans="1:15" ht="22.5" customHeight="1">
      <c r="A3169" s="85">
        <v>766589657993298</v>
      </c>
      <c r="B3169" s="82" t="s">
        <v>10688</v>
      </c>
      <c r="C3169" s="82" t="s">
        <v>11682</v>
      </c>
      <c r="D3169" s="82" t="s">
        <v>11683</v>
      </c>
      <c r="E3169" s="82">
        <v>6285737375137</v>
      </c>
      <c r="F3169" s="94">
        <v>45870</v>
      </c>
      <c r="G3169" s="87">
        <v>117</v>
      </c>
      <c r="H3169" s="88">
        <v>19135.593220338982</v>
      </c>
      <c r="I3169" s="89">
        <v>1</v>
      </c>
      <c r="J3169" s="90">
        <v>2258</v>
      </c>
      <c r="K3169" s="85">
        <v>0</v>
      </c>
      <c r="L3169" s="85">
        <v>25</v>
      </c>
      <c r="M3169" s="85">
        <v>0</v>
      </c>
      <c r="N3169" s="82" t="s">
        <v>11684</v>
      </c>
      <c r="O3169" s="93">
        <v>45871.717037037037</v>
      </c>
    </row>
    <row r="3170" spans="1:15" ht="22.5" customHeight="1">
      <c r="A3170" s="85">
        <v>766589657993298</v>
      </c>
      <c r="B3170" s="82" t="s">
        <v>10688</v>
      </c>
      <c r="C3170" s="82" t="s">
        <v>11685</v>
      </c>
      <c r="D3170" s="82" t="s">
        <v>11686</v>
      </c>
      <c r="E3170" s="82">
        <v>6287709999980</v>
      </c>
      <c r="F3170" s="94">
        <v>45870</v>
      </c>
      <c r="G3170" s="87">
        <v>82</v>
      </c>
      <c r="H3170" s="88">
        <v>33228.915662650601</v>
      </c>
      <c r="I3170" s="89">
        <v>0</v>
      </c>
      <c r="J3170" s="90">
        <v>2758</v>
      </c>
      <c r="K3170" s="85">
        <v>0</v>
      </c>
      <c r="L3170" s="85">
        <v>6</v>
      </c>
      <c r="M3170" s="85">
        <v>0</v>
      </c>
      <c r="N3170" s="82" t="s">
        <v>11687</v>
      </c>
      <c r="O3170" s="93">
        <v>45871.717048611114</v>
      </c>
    </row>
    <row r="3171" spans="1:15" ht="22.5" customHeight="1">
      <c r="A3171" s="85">
        <v>766589657993298</v>
      </c>
      <c r="B3171" s="82" t="s">
        <v>10688</v>
      </c>
      <c r="C3171" s="82" t="s">
        <v>11688</v>
      </c>
      <c r="D3171" s="82" t="s">
        <v>3180</v>
      </c>
      <c r="E3171" s="82">
        <v>6281326160059</v>
      </c>
      <c r="F3171" s="94">
        <v>45870</v>
      </c>
      <c r="G3171" s="87">
        <v>672</v>
      </c>
      <c r="H3171" s="88">
        <v>16460.746460746461</v>
      </c>
      <c r="I3171" s="89">
        <v>11</v>
      </c>
      <c r="J3171" s="90">
        <v>12790</v>
      </c>
      <c r="K3171" s="85">
        <v>0</v>
      </c>
      <c r="L3171" s="85">
        <v>221</v>
      </c>
      <c r="M3171" s="85">
        <v>0</v>
      </c>
      <c r="N3171" s="82" t="s">
        <v>11689</v>
      </c>
      <c r="O3171" s="93">
        <v>45871.717037037037</v>
      </c>
    </row>
    <row r="3172" spans="1:15" ht="22.5" customHeight="1">
      <c r="A3172" s="85">
        <v>766589657993298</v>
      </c>
      <c r="B3172" s="82" t="s">
        <v>10688</v>
      </c>
      <c r="C3172" s="82" t="s">
        <v>11690</v>
      </c>
      <c r="D3172" s="82" t="s">
        <v>2456</v>
      </c>
      <c r="E3172" s="82">
        <v>6281230288300</v>
      </c>
      <c r="F3172" s="94">
        <v>45870</v>
      </c>
      <c r="G3172" s="87">
        <v>418</v>
      </c>
      <c r="H3172" s="88">
        <v>26342.857142857141</v>
      </c>
      <c r="I3172" s="89">
        <v>8</v>
      </c>
      <c r="J3172" s="90">
        <v>12908</v>
      </c>
      <c r="K3172" s="85">
        <v>3</v>
      </c>
      <c r="L3172" s="85">
        <v>71</v>
      </c>
      <c r="M3172" s="85">
        <v>0</v>
      </c>
      <c r="N3172" s="82" t="s">
        <v>11691</v>
      </c>
      <c r="O3172" s="93">
        <v>45871.717037037037</v>
      </c>
    </row>
    <row r="3173" spans="1:15" ht="22.5" customHeight="1">
      <c r="A3173" s="85">
        <v>766589657993298</v>
      </c>
      <c r="B3173" s="82" t="s">
        <v>10688</v>
      </c>
      <c r="C3173" s="82" t="s">
        <v>11692</v>
      </c>
      <c r="D3173" s="82" t="s">
        <v>11693</v>
      </c>
      <c r="E3173" s="82">
        <v>62895635983361</v>
      </c>
      <c r="F3173" s="94">
        <v>45870</v>
      </c>
      <c r="G3173" s="87">
        <v>342</v>
      </c>
      <c r="H3173" s="88">
        <v>27621.176470588234</v>
      </c>
      <c r="I3173" s="89">
        <v>6</v>
      </c>
      <c r="J3173" s="90">
        <v>11739</v>
      </c>
      <c r="K3173" s="85">
        <v>0</v>
      </c>
      <c r="L3173" s="85">
        <v>26</v>
      </c>
      <c r="M3173" s="85">
        <v>0</v>
      </c>
      <c r="N3173" s="82" t="s">
        <v>11694</v>
      </c>
      <c r="O3173" s="93">
        <v>45871.717048611114</v>
      </c>
    </row>
    <row r="3174" spans="1:15" ht="22.5" customHeight="1">
      <c r="A3174" s="85">
        <v>766589657993298</v>
      </c>
      <c r="B3174" s="82" t="s">
        <v>10688</v>
      </c>
      <c r="C3174" s="82" t="s">
        <v>11616</v>
      </c>
      <c r="D3174" s="82" t="s">
        <v>3187</v>
      </c>
      <c r="E3174" s="82">
        <v>6282164564557</v>
      </c>
      <c r="F3174" s="94">
        <v>45870</v>
      </c>
      <c r="G3174" s="87">
        <v>778</v>
      </c>
      <c r="H3174" s="88">
        <v>11111.627906976744</v>
      </c>
      <c r="I3174" s="89">
        <v>25</v>
      </c>
      <c r="J3174" s="90">
        <v>9556</v>
      </c>
      <c r="K3174" s="85">
        <v>1</v>
      </c>
      <c r="L3174" s="85">
        <v>323</v>
      </c>
      <c r="M3174" s="85">
        <v>0</v>
      </c>
      <c r="N3174" s="82" t="s">
        <v>11617</v>
      </c>
      <c r="O3174" s="93">
        <v>45871.717048611114</v>
      </c>
    </row>
    <row r="3175" spans="1:15" ht="22.5" customHeight="1">
      <c r="A3175" s="85">
        <v>766589657993298</v>
      </c>
      <c r="B3175" s="82" t="s">
        <v>10688</v>
      </c>
      <c r="C3175" s="82" t="s">
        <v>11618</v>
      </c>
      <c r="D3175" s="82" t="s">
        <v>3194</v>
      </c>
      <c r="E3175" s="82">
        <v>6282177410110</v>
      </c>
      <c r="F3175" s="94">
        <v>45870</v>
      </c>
      <c r="G3175" s="87">
        <v>236</v>
      </c>
      <c r="H3175" s="88">
        <v>23794.32624113475</v>
      </c>
      <c r="I3175" s="89">
        <v>2</v>
      </c>
      <c r="J3175" s="90">
        <v>6710</v>
      </c>
      <c r="K3175" s="85">
        <v>0</v>
      </c>
      <c r="L3175" s="85">
        <v>0</v>
      </c>
      <c r="M3175" s="85">
        <v>0</v>
      </c>
      <c r="N3175" s="82" t="s">
        <v>11619</v>
      </c>
      <c r="O3175" s="93">
        <v>45871.717037037037</v>
      </c>
    </row>
    <row r="3176" spans="1:15" ht="22.5" customHeight="1">
      <c r="A3176" s="85">
        <v>766589657993298</v>
      </c>
      <c r="B3176" s="82" t="s">
        <v>10688</v>
      </c>
      <c r="C3176" s="82" t="s">
        <v>11620</v>
      </c>
      <c r="D3176" s="82" t="s">
        <v>11621</v>
      </c>
      <c r="E3176" s="82">
        <v>6285785858869</v>
      </c>
      <c r="F3176" s="94">
        <v>45870</v>
      </c>
      <c r="G3176" s="87">
        <v>886</v>
      </c>
      <c r="H3176" s="88">
        <v>13019.193857965451</v>
      </c>
      <c r="I3176" s="89">
        <v>35</v>
      </c>
      <c r="J3176" s="90">
        <v>13566</v>
      </c>
      <c r="K3176" s="85">
        <v>2</v>
      </c>
      <c r="L3176" s="85">
        <v>284</v>
      </c>
      <c r="M3176" s="85">
        <v>2</v>
      </c>
      <c r="N3176" s="82" t="s">
        <v>11622</v>
      </c>
      <c r="O3176" s="93">
        <v>45871.71707175926</v>
      </c>
    </row>
    <row r="3177" spans="1:15" ht="22.5" customHeight="1">
      <c r="A3177" s="85">
        <v>766589657993298</v>
      </c>
      <c r="B3177" s="82" t="s">
        <v>10688</v>
      </c>
      <c r="C3177" s="82" t="s">
        <v>11623</v>
      </c>
      <c r="D3177" s="82" t="s">
        <v>11624</v>
      </c>
      <c r="E3177" s="82">
        <v>6282297965454</v>
      </c>
      <c r="F3177" s="94">
        <v>45870</v>
      </c>
      <c r="G3177" s="87">
        <v>287</v>
      </c>
      <c r="H3177" s="88">
        <v>43326.530612244896</v>
      </c>
      <c r="I3177" s="89">
        <v>11</v>
      </c>
      <c r="J3177" s="90">
        <v>14861</v>
      </c>
      <c r="K3177" s="85">
        <v>4</v>
      </c>
      <c r="L3177" s="85">
        <v>0</v>
      </c>
      <c r="M3177" s="85">
        <v>0</v>
      </c>
      <c r="N3177" s="82" t="s">
        <v>11625</v>
      </c>
      <c r="O3177" s="93">
        <v>45871.697106481479</v>
      </c>
    </row>
    <row r="3178" spans="1:15" ht="22.5" customHeight="1">
      <c r="A3178" s="85">
        <v>766589657993298</v>
      </c>
      <c r="B3178" s="82" t="s">
        <v>10688</v>
      </c>
      <c r="C3178" s="82" t="s">
        <v>11626</v>
      </c>
      <c r="D3178" s="82" t="s">
        <v>3773</v>
      </c>
      <c r="E3178" s="82">
        <v>6285893658659</v>
      </c>
      <c r="F3178" s="94">
        <v>45870</v>
      </c>
      <c r="G3178" s="87">
        <v>555</v>
      </c>
      <c r="H3178" s="88">
        <v>18293.929712460063</v>
      </c>
      <c r="I3178" s="89">
        <v>13</v>
      </c>
      <c r="J3178" s="90">
        <v>11452</v>
      </c>
      <c r="K3178" s="85">
        <v>3</v>
      </c>
      <c r="L3178" s="85">
        <v>172</v>
      </c>
      <c r="M3178" s="85">
        <v>0</v>
      </c>
      <c r="N3178" s="82" t="s">
        <v>11627</v>
      </c>
      <c r="O3178" s="93">
        <v>45871.717048611114</v>
      </c>
    </row>
    <row r="3179" spans="1:15" ht="22.5" customHeight="1">
      <c r="A3179" s="85">
        <v>766589657993298</v>
      </c>
      <c r="B3179" s="82" t="s">
        <v>10688</v>
      </c>
      <c r="C3179" s="82" t="s">
        <v>11604</v>
      </c>
      <c r="D3179" s="82" t="s">
        <v>2835</v>
      </c>
      <c r="E3179" s="82">
        <v>62895632627969</v>
      </c>
      <c r="F3179" s="94">
        <v>45870</v>
      </c>
      <c r="G3179" s="87">
        <v>1297</v>
      </c>
      <c r="H3179" s="88">
        <v>13336.850037678974</v>
      </c>
      <c r="I3179" s="89">
        <v>27</v>
      </c>
      <c r="J3179" s="90">
        <v>17698</v>
      </c>
      <c r="K3179" s="85">
        <v>10</v>
      </c>
      <c r="L3179" s="85">
        <v>641</v>
      </c>
      <c r="M3179" s="85">
        <v>0</v>
      </c>
      <c r="N3179" s="82" t="s">
        <v>11605</v>
      </c>
      <c r="O3179" s="93">
        <v>45870.217534722222</v>
      </c>
    </row>
    <row r="3180" spans="1:15" ht="22.5" customHeight="1">
      <c r="A3180" s="85">
        <v>766589657993298</v>
      </c>
      <c r="B3180" s="82" t="s">
        <v>10688</v>
      </c>
      <c r="C3180" s="82" t="s">
        <v>11522</v>
      </c>
      <c r="D3180" s="82" t="s">
        <v>2954</v>
      </c>
      <c r="E3180" s="82">
        <v>6282299236521</v>
      </c>
      <c r="F3180" s="94">
        <v>45870</v>
      </c>
      <c r="G3180" s="87">
        <v>359</v>
      </c>
      <c r="H3180" s="88">
        <v>40523.809523809527</v>
      </c>
      <c r="I3180" s="89">
        <v>9</v>
      </c>
      <c r="J3180" s="90">
        <v>17020</v>
      </c>
      <c r="K3180" s="85">
        <v>0</v>
      </c>
      <c r="L3180" s="85">
        <v>4</v>
      </c>
      <c r="M3180" s="85">
        <v>0</v>
      </c>
      <c r="N3180" s="82" t="s">
        <v>11523</v>
      </c>
      <c r="O3180" s="93">
        <v>45871.799976851849</v>
      </c>
    </row>
    <row r="3181" spans="1:15" ht="22.5" customHeight="1">
      <c r="A3181" s="85">
        <v>766589657993298</v>
      </c>
      <c r="B3181" s="82" t="s">
        <v>10688</v>
      </c>
      <c r="C3181" s="82" t="s">
        <v>11524</v>
      </c>
      <c r="D3181" s="91" t="s">
        <v>2827</v>
      </c>
      <c r="E3181" s="82"/>
      <c r="F3181" s="94">
        <v>45870</v>
      </c>
      <c r="G3181" s="87">
        <v>213</v>
      </c>
      <c r="H3181" s="88">
        <v>67639.484978540771</v>
      </c>
      <c r="I3181" s="89">
        <v>1</v>
      </c>
      <c r="J3181" s="90">
        <v>15760</v>
      </c>
      <c r="K3181" s="85">
        <v>1</v>
      </c>
      <c r="L3181" s="85">
        <v>68</v>
      </c>
      <c r="M3181" s="85">
        <v>0</v>
      </c>
      <c r="N3181" s="82" t="s">
        <v>11525</v>
      </c>
      <c r="O3181" s="93">
        <v>45871.821076388886</v>
      </c>
    </row>
    <row r="3182" spans="1:15" ht="22.5" customHeight="1">
      <c r="A3182" s="85">
        <v>766589657993298</v>
      </c>
      <c r="B3182" s="82" t="s">
        <v>10688</v>
      </c>
      <c r="C3182" s="82" t="s">
        <v>11511</v>
      </c>
      <c r="D3182" s="82" t="s">
        <v>11512</v>
      </c>
      <c r="E3182" s="82">
        <v>6285955053385</v>
      </c>
      <c r="F3182" s="94">
        <v>45870</v>
      </c>
      <c r="G3182" s="87">
        <v>1442</v>
      </c>
      <c r="H3182" s="88">
        <v>9713.8403990024945</v>
      </c>
      <c r="I3182" s="89">
        <v>32</v>
      </c>
      <c r="J3182" s="90">
        <v>15581</v>
      </c>
      <c r="K3182" s="85">
        <v>3</v>
      </c>
      <c r="L3182" s="85">
        <v>491</v>
      </c>
      <c r="M3182" s="85">
        <v>0</v>
      </c>
      <c r="N3182" s="82" t="s">
        <v>11513</v>
      </c>
      <c r="O3182" s="93">
        <v>45871.779432870368</v>
      </c>
    </row>
    <row r="3183" spans="1:15" ht="22.5" customHeight="1">
      <c r="A3183" s="85">
        <v>766589657993298</v>
      </c>
      <c r="B3183" s="82" t="s">
        <v>10688</v>
      </c>
      <c r="C3183" s="82" t="s">
        <v>11458</v>
      </c>
      <c r="D3183" s="82" t="s">
        <v>11459</v>
      </c>
      <c r="E3183" s="82">
        <v>6287821760177</v>
      </c>
      <c r="F3183" s="94">
        <v>45870</v>
      </c>
      <c r="G3183" s="87">
        <v>817</v>
      </c>
      <c r="H3183" s="88">
        <v>15838.939857288482</v>
      </c>
      <c r="I3183" s="89">
        <v>15</v>
      </c>
      <c r="J3183" s="90">
        <v>15538</v>
      </c>
      <c r="K3183" s="85">
        <v>0</v>
      </c>
      <c r="L3183" s="85">
        <v>215</v>
      </c>
      <c r="M3183" s="85">
        <v>0</v>
      </c>
      <c r="N3183" s="82" t="s">
        <v>11460</v>
      </c>
      <c r="O3183" s="93">
        <v>45871.717037037037</v>
      </c>
    </row>
    <row r="3184" spans="1:15" ht="22.5" customHeight="1">
      <c r="A3184" s="85">
        <v>766589657993298</v>
      </c>
      <c r="B3184" s="82" t="s">
        <v>10688</v>
      </c>
      <c r="C3184" s="82" t="s">
        <v>11461</v>
      </c>
      <c r="D3184" s="82" t="s">
        <v>11462</v>
      </c>
      <c r="E3184" s="82">
        <v>62882015555380</v>
      </c>
      <c r="F3184" s="94">
        <v>45870</v>
      </c>
      <c r="G3184" s="87">
        <v>785</v>
      </c>
      <c r="H3184" s="88">
        <v>18946.135831381733</v>
      </c>
      <c r="I3184" s="89">
        <v>22</v>
      </c>
      <c r="J3184" s="90">
        <v>16180</v>
      </c>
      <c r="K3184" s="85">
        <v>3</v>
      </c>
      <c r="L3184" s="85">
        <v>275</v>
      </c>
      <c r="M3184" s="85">
        <v>0</v>
      </c>
      <c r="N3184" s="82" t="s">
        <v>11463</v>
      </c>
      <c r="O3184" s="93">
        <v>45871.717037037037</v>
      </c>
    </row>
    <row r="3185" spans="1:15" ht="22.5" customHeight="1">
      <c r="A3185" s="85">
        <v>766589657993298</v>
      </c>
      <c r="B3185" s="82" t="s">
        <v>10688</v>
      </c>
      <c r="C3185" s="82" t="s">
        <v>11413</v>
      </c>
      <c r="D3185" s="82" t="s">
        <v>5697</v>
      </c>
      <c r="E3185" s="82">
        <v>6281385001244</v>
      </c>
      <c r="F3185" s="94">
        <v>45870</v>
      </c>
      <c r="G3185" s="87">
        <v>608</v>
      </c>
      <c r="H3185" s="88">
        <v>23797.856049004593</v>
      </c>
      <c r="I3185" s="89">
        <v>10</v>
      </c>
      <c r="J3185" s="90">
        <v>15540</v>
      </c>
      <c r="K3185" s="85">
        <v>2</v>
      </c>
      <c r="L3185" s="85">
        <v>196</v>
      </c>
      <c r="M3185" s="85">
        <v>0</v>
      </c>
      <c r="N3185" s="82" t="s">
        <v>11414</v>
      </c>
      <c r="O3185" s="93">
        <v>45871.821076388886</v>
      </c>
    </row>
    <row r="3186" spans="1:15" ht="22.5" customHeight="1">
      <c r="A3186" s="85">
        <v>766589657993298</v>
      </c>
      <c r="B3186" s="82" t="s">
        <v>10688</v>
      </c>
      <c r="C3186" s="82" t="s">
        <v>11360</v>
      </c>
      <c r="D3186" s="82" t="s">
        <v>11361</v>
      </c>
      <c r="E3186" s="82">
        <v>6285186029090</v>
      </c>
      <c r="F3186" s="94">
        <v>45870</v>
      </c>
      <c r="G3186" s="87">
        <v>1103</v>
      </c>
      <c r="H3186" s="88">
        <v>12315.243415802075</v>
      </c>
      <c r="I3186" s="89">
        <v>55</v>
      </c>
      <c r="J3186" s="90">
        <v>15431</v>
      </c>
      <c r="K3186" s="85">
        <v>15</v>
      </c>
      <c r="L3186" s="85">
        <v>387</v>
      </c>
      <c r="M3186" s="85">
        <v>1</v>
      </c>
      <c r="N3186" s="82" t="s">
        <v>11362</v>
      </c>
      <c r="O3186" s="93">
        <v>45871.821076388886</v>
      </c>
    </row>
    <row r="3187" spans="1:15" ht="22.5" customHeight="1">
      <c r="A3187" s="85">
        <v>766589657993298</v>
      </c>
      <c r="B3187" s="82" t="s">
        <v>10688</v>
      </c>
      <c r="C3187" s="82" t="s">
        <v>11318</v>
      </c>
      <c r="D3187" s="82" t="s">
        <v>11365</v>
      </c>
      <c r="E3187" s="82">
        <v>6282310465999</v>
      </c>
      <c r="F3187" s="94">
        <v>45870</v>
      </c>
      <c r="G3187" s="87">
        <v>900</v>
      </c>
      <c r="H3187" s="88">
        <v>16546.601941747573</v>
      </c>
      <c r="I3187" s="89">
        <v>26</v>
      </c>
      <c r="J3187" s="90">
        <v>17043</v>
      </c>
      <c r="K3187" s="85">
        <v>0</v>
      </c>
      <c r="L3187" s="85">
        <v>150</v>
      </c>
      <c r="M3187" s="85">
        <v>0</v>
      </c>
      <c r="N3187" s="82" t="s">
        <v>11366</v>
      </c>
      <c r="O3187" s="93">
        <v>45871.717048611114</v>
      </c>
    </row>
    <row r="3188" spans="1:15" ht="22.5" customHeight="1">
      <c r="A3188" s="85">
        <v>759724529202804</v>
      </c>
      <c r="B3188" s="82" t="s">
        <v>10621</v>
      </c>
      <c r="C3188" s="82" t="s">
        <v>11695</v>
      </c>
      <c r="D3188" s="82" t="s">
        <v>3327</v>
      </c>
      <c r="E3188" s="82">
        <v>6281299298585</v>
      </c>
      <c r="F3188" s="94">
        <v>45871</v>
      </c>
      <c r="G3188" s="87">
        <v>493</v>
      </c>
      <c r="H3188" s="88">
        <v>17433.613445378149</v>
      </c>
      <c r="I3188" s="89">
        <v>18</v>
      </c>
      <c r="J3188" s="90">
        <v>10373</v>
      </c>
      <c r="K3188" s="85">
        <v>0</v>
      </c>
      <c r="L3188" s="85">
        <v>240</v>
      </c>
      <c r="M3188" s="85">
        <v>0</v>
      </c>
      <c r="N3188" s="82" t="s">
        <v>11696</v>
      </c>
      <c r="O3188" s="93">
        <v>45872.652071759258</v>
      </c>
    </row>
    <row r="3189" spans="1:15" ht="22.5" customHeight="1">
      <c r="A3189" s="85">
        <v>759724529202804</v>
      </c>
      <c r="B3189" s="82" t="s">
        <v>10621</v>
      </c>
      <c r="C3189" s="82" t="s">
        <v>11131</v>
      </c>
      <c r="D3189" s="82" t="s">
        <v>9019</v>
      </c>
      <c r="E3189" s="82">
        <v>628562943274</v>
      </c>
      <c r="F3189" s="94">
        <v>45871</v>
      </c>
      <c r="G3189" s="87">
        <v>1485</v>
      </c>
      <c r="H3189" s="88">
        <v>10438.585209003217</v>
      </c>
      <c r="I3189" s="89">
        <v>62</v>
      </c>
      <c r="J3189" s="90">
        <v>16232</v>
      </c>
      <c r="K3189" s="85">
        <v>4</v>
      </c>
      <c r="L3189" s="85">
        <v>489</v>
      </c>
      <c r="M3189" s="85">
        <v>0</v>
      </c>
      <c r="N3189" s="82" t="s">
        <v>11132</v>
      </c>
      <c r="O3189" s="93">
        <v>45872.797789351855</v>
      </c>
    </row>
    <row r="3190" spans="1:15" ht="22.5" customHeight="1">
      <c r="A3190" s="85">
        <v>759724529202804</v>
      </c>
      <c r="B3190" s="82" t="s">
        <v>10621</v>
      </c>
      <c r="C3190" s="82" t="s">
        <v>11070</v>
      </c>
      <c r="D3190" s="82" t="s">
        <v>11071</v>
      </c>
      <c r="E3190" s="82">
        <v>6281246211381</v>
      </c>
      <c r="F3190" s="94">
        <v>45871</v>
      </c>
      <c r="G3190" s="87">
        <v>435</v>
      </c>
      <c r="H3190" s="88">
        <v>37060.606060606064</v>
      </c>
      <c r="I3190" s="89">
        <v>7</v>
      </c>
      <c r="J3190" s="90">
        <v>17122</v>
      </c>
      <c r="K3190" s="85">
        <v>2</v>
      </c>
      <c r="L3190" s="85">
        <v>25</v>
      </c>
      <c r="M3190" s="85">
        <v>1</v>
      </c>
      <c r="N3190" s="82" t="s">
        <v>11072</v>
      </c>
      <c r="O3190" s="93">
        <v>45872.672418981485</v>
      </c>
    </row>
    <row r="3191" spans="1:15" ht="22.5" customHeight="1">
      <c r="A3191" s="85">
        <v>759724529202804</v>
      </c>
      <c r="B3191" s="82" t="s">
        <v>10621</v>
      </c>
      <c r="C3191" s="82" t="s">
        <v>10925</v>
      </c>
      <c r="D3191" s="82" t="s">
        <v>10926</v>
      </c>
      <c r="E3191" s="82">
        <v>6281233038880</v>
      </c>
      <c r="F3191" s="94">
        <v>45871</v>
      </c>
      <c r="G3191" s="87">
        <v>338</v>
      </c>
      <c r="H3191" s="88">
        <v>44052.631578947367</v>
      </c>
      <c r="I3191" s="89">
        <v>11</v>
      </c>
      <c r="J3191" s="90">
        <v>16740</v>
      </c>
      <c r="K3191" s="85">
        <v>2</v>
      </c>
      <c r="L3191" s="85">
        <v>114</v>
      </c>
      <c r="M3191" s="85">
        <v>0</v>
      </c>
      <c r="N3191" s="82" t="s">
        <v>10927</v>
      </c>
      <c r="O3191" s="93">
        <v>45872.73542824074</v>
      </c>
    </row>
    <row r="3192" spans="1:15" ht="22.5" customHeight="1">
      <c r="A3192" s="85">
        <v>174904221976312</v>
      </c>
      <c r="B3192" s="82" t="s">
        <v>10651</v>
      </c>
      <c r="C3192" s="82" t="s">
        <v>11697</v>
      </c>
      <c r="D3192" s="82" t="s">
        <v>3387</v>
      </c>
      <c r="E3192" s="82">
        <v>6285326750989</v>
      </c>
      <c r="F3192" s="94">
        <v>45871</v>
      </c>
      <c r="G3192" s="87">
        <v>314</v>
      </c>
      <c r="H3192" s="88">
        <v>26857.142857142859</v>
      </c>
      <c r="I3192" s="89">
        <v>14</v>
      </c>
      <c r="J3192" s="90">
        <v>9024</v>
      </c>
      <c r="K3192" s="85">
        <v>5</v>
      </c>
      <c r="L3192" s="85">
        <v>0</v>
      </c>
      <c r="M3192" s="85">
        <v>0</v>
      </c>
      <c r="N3192" s="82" t="s">
        <v>11698</v>
      </c>
      <c r="O3192" s="93">
        <v>45872.651666666665</v>
      </c>
    </row>
    <row r="3193" spans="1:15" ht="22.5" customHeight="1">
      <c r="A3193" s="85">
        <v>174904221976312</v>
      </c>
      <c r="B3193" s="82" t="s">
        <v>10651</v>
      </c>
      <c r="C3193" s="82" t="s">
        <v>11699</v>
      </c>
      <c r="D3193" s="82" t="s">
        <v>3305</v>
      </c>
      <c r="E3193" s="82">
        <v>6282249348536</v>
      </c>
      <c r="F3193" s="94">
        <v>45871</v>
      </c>
      <c r="G3193" s="87">
        <v>422</v>
      </c>
      <c r="H3193" s="88">
        <v>16013.513513513511</v>
      </c>
      <c r="I3193" s="89">
        <v>19</v>
      </c>
      <c r="J3193" s="90">
        <v>8295</v>
      </c>
      <c r="K3193" s="85">
        <v>2</v>
      </c>
      <c r="L3193" s="85">
        <v>43</v>
      </c>
      <c r="M3193" s="85">
        <v>0</v>
      </c>
      <c r="N3193" s="82" t="s">
        <v>11700</v>
      </c>
      <c r="O3193" s="93">
        <v>45872.630416666667</v>
      </c>
    </row>
    <row r="3194" spans="1:15" ht="22.5" customHeight="1">
      <c r="A3194" s="85">
        <v>174904221976312</v>
      </c>
      <c r="B3194" s="82" t="s">
        <v>10651</v>
      </c>
      <c r="C3194" s="82" t="s">
        <v>11701</v>
      </c>
      <c r="D3194" s="82" t="s">
        <v>11702</v>
      </c>
      <c r="E3194" s="82">
        <v>6288802749485</v>
      </c>
      <c r="F3194" s="94">
        <v>45871</v>
      </c>
      <c r="G3194" s="87">
        <v>461</v>
      </c>
      <c r="H3194" s="88">
        <v>15458.483754512636</v>
      </c>
      <c r="I3194" s="89">
        <v>60</v>
      </c>
      <c r="J3194" s="90">
        <v>8564</v>
      </c>
      <c r="K3194" s="85">
        <v>10</v>
      </c>
      <c r="L3194" s="85">
        <v>12</v>
      </c>
      <c r="M3194" s="85">
        <v>1</v>
      </c>
      <c r="N3194" s="82" t="s">
        <v>11703</v>
      </c>
      <c r="O3194" s="93">
        <v>45872.713946759257</v>
      </c>
    </row>
    <row r="3195" spans="1:15" ht="22.5" customHeight="1">
      <c r="A3195" s="85">
        <v>174904221976312</v>
      </c>
      <c r="B3195" s="82" t="s">
        <v>10651</v>
      </c>
      <c r="C3195" s="82" t="s">
        <v>11704</v>
      </c>
      <c r="D3195" s="82" t="s">
        <v>3334</v>
      </c>
      <c r="E3195" s="82">
        <v>6282118113002</v>
      </c>
      <c r="F3195" s="94">
        <v>45871</v>
      </c>
      <c r="G3195" s="87">
        <v>375</v>
      </c>
      <c r="H3195" s="88">
        <v>23089.201877934272</v>
      </c>
      <c r="I3195" s="89">
        <v>17</v>
      </c>
      <c r="J3195" s="90">
        <v>9836</v>
      </c>
      <c r="K3195" s="85">
        <v>1</v>
      </c>
      <c r="L3195" s="85">
        <v>3</v>
      </c>
      <c r="M3195" s="85">
        <v>0</v>
      </c>
      <c r="N3195" s="82" t="s">
        <v>11705</v>
      </c>
      <c r="O3195" s="93">
        <v>45872.713969907411</v>
      </c>
    </row>
    <row r="3196" spans="1:15" ht="22.5" customHeight="1">
      <c r="A3196" s="85">
        <v>174904221976312</v>
      </c>
      <c r="B3196" s="82" t="s">
        <v>10651</v>
      </c>
      <c r="C3196" s="82" t="s">
        <v>11706</v>
      </c>
      <c r="D3196" s="82" t="s">
        <v>3298</v>
      </c>
      <c r="E3196" s="82">
        <v>6281362440234</v>
      </c>
      <c r="F3196" s="94">
        <v>45871</v>
      </c>
      <c r="G3196" s="87">
        <v>478</v>
      </c>
      <c r="H3196" s="88">
        <v>18734.225621414913</v>
      </c>
      <c r="I3196" s="89">
        <v>20</v>
      </c>
      <c r="J3196" s="90">
        <v>9798</v>
      </c>
      <c r="K3196" s="85">
        <v>2</v>
      </c>
      <c r="L3196" s="85">
        <v>190</v>
      </c>
      <c r="M3196" s="85">
        <v>0</v>
      </c>
      <c r="N3196" s="82" t="s">
        <v>11707</v>
      </c>
      <c r="O3196" s="93">
        <v>45872.776666666665</v>
      </c>
    </row>
    <row r="3197" spans="1:15" ht="22.5" customHeight="1">
      <c r="A3197" s="85">
        <v>174904221976312</v>
      </c>
      <c r="B3197" s="82" t="s">
        <v>10651</v>
      </c>
      <c r="C3197" s="82" t="s">
        <v>11708</v>
      </c>
      <c r="D3197" s="82" t="s">
        <v>11709</v>
      </c>
      <c r="E3197" s="82">
        <v>6285294617773</v>
      </c>
      <c r="F3197" s="94">
        <v>45871</v>
      </c>
      <c r="G3197" s="87">
        <v>403</v>
      </c>
      <c r="H3197" s="88">
        <v>21786.848072562356</v>
      </c>
      <c r="I3197" s="89">
        <v>25</v>
      </c>
      <c r="J3197" s="90">
        <v>9608</v>
      </c>
      <c r="K3197" s="85">
        <v>2</v>
      </c>
      <c r="L3197" s="85">
        <v>73</v>
      </c>
      <c r="M3197" s="85">
        <v>0</v>
      </c>
      <c r="N3197" s="82" t="s">
        <v>11710</v>
      </c>
      <c r="O3197" s="93">
        <v>45872.630416666667</v>
      </c>
    </row>
    <row r="3198" spans="1:15" ht="22.5" customHeight="1">
      <c r="A3198" s="85">
        <v>174904221976312</v>
      </c>
      <c r="B3198" s="82" t="s">
        <v>10651</v>
      </c>
      <c r="C3198" s="82" t="s">
        <v>11674</v>
      </c>
      <c r="D3198" s="82" t="s">
        <v>2688</v>
      </c>
      <c r="E3198" s="82">
        <v>6281392854108</v>
      </c>
      <c r="F3198" s="94">
        <v>45871</v>
      </c>
      <c r="G3198" s="87">
        <v>9637</v>
      </c>
      <c r="H3198" s="88">
        <v>1259.266720386785</v>
      </c>
      <c r="I3198" s="89">
        <v>6</v>
      </c>
      <c r="J3198" s="90">
        <v>12502</v>
      </c>
      <c r="K3198" s="85">
        <v>0</v>
      </c>
      <c r="L3198" s="85">
        <v>48</v>
      </c>
      <c r="M3198" s="85">
        <v>0</v>
      </c>
      <c r="N3198" s="82" t="s">
        <v>11675</v>
      </c>
      <c r="O3198" s="93">
        <v>45872.797442129631</v>
      </c>
    </row>
    <row r="3199" spans="1:15" ht="22.5" customHeight="1">
      <c r="A3199" s="85">
        <v>174904221976312</v>
      </c>
      <c r="B3199" s="82" t="s">
        <v>10651</v>
      </c>
      <c r="C3199" s="82" t="s">
        <v>11676</v>
      </c>
      <c r="D3199" s="82" t="s">
        <v>2580</v>
      </c>
      <c r="E3199" s="82">
        <v>6287829346006</v>
      </c>
      <c r="F3199" s="94">
        <v>45871</v>
      </c>
      <c r="G3199" s="87">
        <v>10929</v>
      </c>
      <c r="H3199" s="88">
        <v>1097.5437978695309</v>
      </c>
      <c r="I3199" s="89">
        <v>30</v>
      </c>
      <c r="J3199" s="90">
        <v>12467</v>
      </c>
      <c r="K3199" s="85">
        <v>0</v>
      </c>
      <c r="L3199" s="85">
        <v>4</v>
      </c>
      <c r="M3199" s="85">
        <v>0</v>
      </c>
      <c r="N3199" s="82" t="s">
        <v>11677</v>
      </c>
      <c r="O3199" s="93">
        <v>45872.797442129631</v>
      </c>
    </row>
    <row r="3200" spans="1:15" ht="22.5" customHeight="1">
      <c r="A3200" s="85">
        <v>174904221976312</v>
      </c>
      <c r="B3200" s="82" t="s">
        <v>10651</v>
      </c>
      <c r="C3200" s="82" t="s">
        <v>11678</v>
      </c>
      <c r="D3200" s="82" t="s">
        <v>11679</v>
      </c>
      <c r="E3200" s="82">
        <v>628111099911</v>
      </c>
      <c r="F3200" s="94">
        <v>45871</v>
      </c>
      <c r="G3200" s="87">
        <v>560</v>
      </c>
      <c r="H3200" s="88">
        <v>22366.883116883117</v>
      </c>
      <c r="I3200" s="89">
        <v>21</v>
      </c>
      <c r="J3200" s="90">
        <v>13778</v>
      </c>
      <c r="K3200" s="85">
        <v>2</v>
      </c>
      <c r="L3200" s="85">
        <v>0</v>
      </c>
      <c r="M3200" s="85">
        <v>1</v>
      </c>
      <c r="N3200" s="82" t="s">
        <v>11680</v>
      </c>
      <c r="O3200" s="93">
        <v>45872.651666666665</v>
      </c>
    </row>
    <row r="3201" spans="1:15" ht="22.5" customHeight="1">
      <c r="A3201" s="85">
        <v>174904221976312</v>
      </c>
      <c r="B3201" s="82" t="s">
        <v>10651</v>
      </c>
      <c r="C3201" s="82" t="s">
        <v>11711</v>
      </c>
      <c r="D3201" s="82" t="s">
        <v>11712</v>
      </c>
      <c r="E3201" s="82">
        <v>6285286258400</v>
      </c>
      <c r="F3201" s="94">
        <v>45871</v>
      </c>
      <c r="G3201" s="87">
        <v>412</v>
      </c>
      <c r="H3201" s="88">
        <v>19667.359667359669</v>
      </c>
      <c r="I3201" s="89">
        <v>18</v>
      </c>
      <c r="J3201" s="90">
        <v>9460</v>
      </c>
      <c r="K3201" s="85">
        <v>0</v>
      </c>
      <c r="L3201" s="85">
        <v>183</v>
      </c>
      <c r="M3201" s="85">
        <v>0</v>
      </c>
      <c r="N3201" s="82" t="s">
        <v>11713</v>
      </c>
      <c r="O3201" s="93">
        <v>45872.610659722224</v>
      </c>
    </row>
    <row r="3202" spans="1:15" ht="22.5" customHeight="1">
      <c r="A3202" s="85">
        <v>174904221976312</v>
      </c>
      <c r="B3202" s="82" t="s">
        <v>10651</v>
      </c>
      <c r="C3202" s="82" t="s">
        <v>11652</v>
      </c>
      <c r="D3202" s="82" t="s">
        <v>3236</v>
      </c>
      <c r="E3202" s="82">
        <v>6283831211890</v>
      </c>
      <c r="F3202" s="94">
        <v>45871</v>
      </c>
      <c r="G3202" s="87">
        <v>273</v>
      </c>
      <c r="H3202" s="88">
        <v>43138.709677419356</v>
      </c>
      <c r="I3202" s="89">
        <v>5</v>
      </c>
      <c r="J3202" s="90">
        <v>13373</v>
      </c>
      <c r="K3202" s="85">
        <v>0</v>
      </c>
      <c r="L3202" s="85">
        <v>0</v>
      </c>
      <c r="M3202" s="85">
        <v>0</v>
      </c>
      <c r="N3202" s="82" t="s">
        <v>11653</v>
      </c>
      <c r="O3202" s="93">
        <v>45872.651666666665</v>
      </c>
    </row>
    <row r="3203" spans="1:15" ht="22.5" customHeight="1">
      <c r="A3203" s="85">
        <v>174904221976312</v>
      </c>
      <c r="B3203" s="82" t="s">
        <v>10651</v>
      </c>
      <c r="C3203" s="82" t="s">
        <v>11654</v>
      </c>
      <c r="D3203" s="82" t="s">
        <v>11655</v>
      </c>
      <c r="E3203" s="82">
        <v>6285223186555</v>
      </c>
      <c r="F3203" s="94">
        <v>45871</v>
      </c>
      <c r="G3203" s="87">
        <v>620</v>
      </c>
      <c r="H3203" s="88">
        <v>20051.502145922746</v>
      </c>
      <c r="I3203" s="89">
        <v>18</v>
      </c>
      <c r="J3203" s="90">
        <v>14016</v>
      </c>
      <c r="K3203" s="85">
        <v>5</v>
      </c>
      <c r="L3203" s="85">
        <v>0</v>
      </c>
      <c r="M3203" s="85">
        <v>0</v>
      </c>
      <c r="N3203" s="82" t="s">
        <v>11656</v>
      </c>
      <c r="O3203" s="93">
        <v>45872.651655092595</v>
      </c>
    </row>
    <row r="3204" spans="1:15" ht="22.5" customHeight="1">
      <c r="A3204" s="85">
        <v>174904221976312</v>
      </c>
      <c r="B3204" s="82" t="s">
        <v>10651</v>
      </c>
      <c r="C3204" s="82" t="s">
        <v>11663</v>
      </c>
      <c r="D3204" s="82" t="s">
        <v>11664</v>
      </c>
      <c r="E3204" s="82">
        <v>628123264621</v>
      </c>
      <c r="F3204" s="94">
        <v>45871</v>
      </c>
      <c r="G3204" s="87">
        <v>1152</v>
      </c>
      <c r="H3204" s="88">
        <v>10403.948367501898</v>
      </c>
      <c r="I3204" s="89">
        <v>54</v>
      </c>
      <c r="J3204" s="90">
        <v>13702</v>
      </c>
      <c r="K3204" s="85">
        <v>8</v>
      </c>
      <c r="L3204" s="85">
        <v>323</v>
      </c>
      <c r="M3204" s="85">
        <v>0</v>
      </c>
      <c r="N3204" s="82" t="s">
        <v>11665</v>
      </c>
      <c r="O3204" s="93">
        <v>45872.734780092593</v>
      </c>
    </row>
    <row r="3205" spans="1:15" ht="22.5" customHeight="1">
      <c r="A3205" s="85">
        <v>174904221976312</v>
      </c>
      <c r="B3205" s="82" t="s">
        <v>10651</v>
      </c>
      <c r="C3205" s="82" t="s">
        <v>11669</v>
      </c>
      <c r="D3205" s="82" t="s">
        <v>2708</v>
      </c>
      <c r="E3205" s="82">
        <v>6282142833445</v>
      </c>
      <c r="F3205" s="94">
        <v>45871</v>
      </c>
      <c r="G3205" s="87">
        <v>1079</v>
      </c>
      <c r="H3205" s="88">
        <v>9976.9475357710653</v>
      </c>
      <c r="I3205" s="89">
        <v>24</v>
      </c>
      <c r="J3205" s="90">
        <v>12551</v>
      </c>
      <c r="K3205" s="85">
        <v>1</v>
      </c>
      <c r="L3205" s="85">
        <v>0</v>
      </c>
      <c r="M3205" s="85">
        <v>0</v>
      </c>
      <c r="N3205" s="82" t="s">
        <v>11670</v>
      </c>
      <c r="O3205" s="93">
        <v>45872.755995370368</v>
      </c>
    </row>
    <row r="3206" spans="1:15" ht="22.5" customHeight="1">
      <c r="A3206" s="85">
        <v>174904221976312</v>
      </c>
      <c r="B3206" s="82" t="s">
        <v>10651</v>
      </c>
      <c r="C3206" s="82" t="s">
        <v>11633</v>
      </c>
      <c r="D3206" s="82" t="s">
        <v>11634</v>
      </c>
      <c r="E3206" s="82">
        <v>6287762605372</v>
      </c>
      <c r="F3206" s="94">
        <v>45871</v>
      </c>
      <c r="G3206" s="87">
        <v>306</v>
      </c>
      <c r="H3206" s="88">
        <v>40392.045454545456</v>
      </c>
      <c r="I3206" s="89">
        <v>7</v>
      </c>
      <c r="J3206" s="90">
        <v>14218</v>
      </c>
      <c r="K3206" s="85">
        <v>3</v>
      </c>
      <c r="L3206" s="85">
        <v>0</v>
      </c>
      <c r="M3206" s="85">
        <v>0</v>
      </c>
      <c r="N3206" s="82" t="s">
        <v>11635</v>
      </c>
      <c r="O3206" s="93">
        <v>45872.672303240739</v>
      </c>
    </row>
    <row r="3207" spans="1:15" ht="22.5" customHeight="1">
      <c r="A3207" s="85">
        <v>174904221976312</v>
      </c>
      <c r="B3207" s="82" t="s">
        <v>10651</v>
      </c>
      <c r="C3207" s="82" t="s">
        <v>11636</v>
      </c>
      <c r="D3207" s="82" t="s">
        <v>11637</v>
      </c>
      <c r="E3207" s="82">
        <v>6282154233977</v>
      </c>
      <c r="F3207" s="94">
        <v>45871</v>
      </c>
      <c r="G3207" s="87">
        <v>983</v>
      </c>
      <c r="H3207" s="88">
        <v>13501.730103806229</v>
      </c>
      <c r="I3207" s="89">
        <v>28</v>
      </c>
      <c r="J3207" s="90">
        <v>15608</v>
      </c>
      <c r="K3207" s="85">
        <v>3</v>
      </c>
      <c r="L3207" s="85">
        <v>0</v>
      </c>
      <c r="M3207" s="85">
        <v>0</v>
      </c>
      <c r="N3207" s="82" t="s">
        <v>11638</v>
      </c>
      <c r="O3207" s="93">
        <v>45872.693437499998</v>
      </c>
    </row>
    <row r="3208" spans="1:15" ht="22.5" customHeight="1">
      <c r="A3208" s="85">
        <v>174904221976312</v>
      </c>
      <c r="B3208" s="82" t="s">
        <v>10651</v>
      </c>
      <c r="C3208" s="82" t="s">
        <v>11641</v>
      </c>
      <c r="D3208" s="82" t="s">
        <v>3229</v>
      </c>
      <c r="E3208" s="82">
        <v>6287865111033</v>
      </c>
      <c r="F3208" s="94">
        <v>45871</v>
      </c>
      <c r="G3208" s="87">
        <v>1993</v>
      </c>
      <c r="H3208" s="88">
        <v>7243.3668801463864</v>
      </c>
      <c r="I3208" s="89">
        <v>63</v>
      </c>
      <c r="J3208" s="90">
        <v>15834</v>
      </c>
      <c r="K3208" s="85">
        <v>5</v>
      </c>
      <c r="L3208" s="85">
        <v>0</v>
      </c>
      <c r="M3208" s="85">
        <v>1</v>
      </c>
      <c r="N3208" s="82" t="s">
        <v>11642</v>
      </c>
      <c r="O3208" s="93">
        <v>45872.672314814816</v>
      </c>
    </row>
    <row r="3209" spans="1:15" ht="22.5" customHeight="1">
      <c r="A3209" s="85">
        <v>174904221976312</v>
      </c>
      <c r="B3209" s="82" t="s">
        <v>10651</v>
      </c>
      <c r="C3209" s="82" t="s">
        <v>11643</v>
      </c>
      <c r="D3209" s="82" t="s">
        <v>11644</v>
      </c>
      <c r="E3209" s="82">
        <v>6281330410391</v>
      </c>
      <c r="F3209" s="94">
        <v>45871</v>
      </c>
      <c r="G3209" s="87">
        <v>789</v>
      </c>
      <c r="H3209" s="88">
        <v>15120</v>
      </c>
      <c r="I3209" s="89">
        <v>35</v>
      </c>
      <c r="J3209" s="90">
        <v>13608</v>
      </c>
      <c r="K3209" s="85">
        <v>6</v>
      </c>
      <c r="L3209" s="85">
        <v>279</v>
      </c>
      <c r="M3209" s="85">
        <v>1</v>
      </c>
      <c r="N3209" s="82" t="s">
        <v>11681</v>
      </c>
      <c r="O3209" s="93">
        <v>45872.372071759259</v>
      </c>
    </row>
    <row r="3210" spans="1:15" ht="22.5" customHeight="1">
      <c r="A3210" s="85">
        <v>174904221976312</v>
      </c>
      <c r="B3210" s="82" t="s">
        <v>10651</v>
      </c>
      <c r="C3210" s="82" t="s">
        <v>11646</v>
      </c>
      <c r="D3210" s="82" t="s">
        <v>11647</v>
      </c>
      <c r="E3210" s="82">
        <v>6285820117323</v>
      </c>
      <c r="F3210" s="94">
        <v>45871</v>
      </c>
      <c r="G3210" s="87">
        <v>1608</v>
      </c>
      <c r="H3210" s="88">
        <v>6557.1736785329012</v>
      </c>
      <c r="I3210" s="89">
        <v>38</v>
      </c>
      <c r="J3210" s="90">
        <v>12157</v>
      </c>
      <c r="K3210" s="85">
        <v>2</v>
      </c>
      <c r="L3210" s="85">
        <v>0</v>
      </c>
      <c r="M3210" s="85">
        <v>0</v>
      </c>
      <c r="N3210" s="82" t="s">
        <v>11648</v>
      </c>
      <c r="O3210" s="93">
        <v>45872.610219907408</v>
      </c>
    </row>
    <row r="3211" spans="1:15" ht="22.5" customHeight="1">
      <c r="A3211" s="85">
        <v>174904221976312</v>
      </c>
      <c r="B3211" s="82" t="s">
        <v>10651</v>
      </c>
      <c r="C3211" s="82" t="s">
        <v>11610</v>
      </c>
      <c r="D3211" s="82" t="s">
        <v>11611</v>
      </c>
      <c r="E3211" s="82">
        <v>6285207285812</v>
      </c>
      <c r="F3211" s="94">
        <v>45871</v>
      </c>
      <c r="G3211" s="87">
        <v>917</v>
      </c>
      <c r="H3211" s="88">
        <v>17970.528455284551</v>
      </c>
      <c r="I3211" s="89">
        <v>28</v>
      </c>
      <c r="J3211" s="90">
        <v>17683</v>
      </c>
      <c r="K3211" s="85">
        <v>4</v>
      </c>
      <c r="L3211" s="85">
        <v>0</v>
      </c>
      <c r="M3211" s="85">
        <v>0</v>
      </c>
      <c r="N3211" s="82" t="s">
        <v>11612</v>
      </c>
      <c r="O3211" s="93">
        <v>45872.216006944444</v>
      </c>
    </row>
    <row r="3212" spans="1:15" ht="22.5" customHeight="1">
      <c r="A3212" s="85">
        <v>174904221976312</v>
      </c>
      <c r="B3212" s="82" t="s">
        <v>10651</v>
      </c>
      <c r="C3212" s="82" t="s">
        <v>11580</v>
      </c>
      <c r="D3212" s="82" t="s">
        <v>11581</v>
      </c>
      <c r="E3212" s="82">
        <v>6287790276733</v>
      </c>
      <c r="F3212" s="94">
        <v>45871</v>
      </c>
      <c r="G3212" s="87">
        <v>858</v>
      </c>
      <c r="H3212" s="88">
        <v>14777.435897435897</v>
      </c>
      <c r="I3212" s="89">
        <v>8</v>
      </c>
      <c r="J3212" s="90">
        <v>14408</v>
      </c>
      <c r="K3212" s="85">
        <v>0</v>
      </c>
      <c r="L3212" s="85">
        <v>189</v>
      </c>
      <c r="M3212" s="85">
        <v>0</v>
      </c>
      <c r="N3212" s="82" t="s">
        <v>11582</v>
      </c>
      <c r="O3212" s="93">
        <v>45872.630659722221</v>
      </c>
    </row>
    <row r="3213" spans="1:15" ht="22.5" customHeight="1">
      <c r="A3213" s="85">
        <v>174904221976312</v>
      </c>
      <c r="B3213" s="82" t="s">
        <v>10651</v>
      </c>
      <c r="C3213" s="82" t="s">
        <v>11649</v>
      </c>
      <c r="D3213" s="82" t="s">
        <v>11650</v>
      </c>
      <c r="E3213" s="82">
        <v>62823885166777</v>
      </c>
      <c r="F3213" s="94">
        <v>45871</v>
      </c>
      <c r="G3213" s="87">
        <v>125</v>
      </c>
      <c r="H3213" s="88">
        <v>102804.34782608696</v>
      </c>
      <c r="I3213" s="89">
        <v>2</v>
      </c>
      <c r="J3213" s="90">
        <v>14187</v>
      </c>
      <c r="K3213" s="85">
        <v>0</v>
      </c>
      <c r="L3213" s="85">
        <v>25</v>
      </c>
      <c r="M3213" s="85">
        <v>0</v>
      </c>
      <c r="N3213" s="82" t="s">
        <v>11651</v>
      </c>
      <c r="O3213" s="93">
        <v>45872.713946759257</v>
      </c>
    </row>
    <row r="3214" spans="1:15" ht="22.5" customHeight="1">
      <c r="A3214" s="85">
        <v>174904221976312</v>
      </c>
      <c r="B3214" s="82" t="s">
        <v>10651</v>
      </c>
      <c r="C3214" s="82" t="s">
        <v>11671</v>
      </c>
      <c r="D3214" s="82" t="s">
        <v>11672</v>
      </c>
      <c r="E3214" s="82">
        <v>6285889229948</v>
      </c>
      <c r="F3214" s="94">
        <v>45871</v>
      </c>
      <c r="G3214" s="87">
        <v>298</v>
      </c>
      <c r="H3214" s="88">
        <v>42097.633136094671</v>
      </c>
      <c r="I3214" s="89">
        <v>10</v>
      </c>
      <c r="J3214" s="90">
        <v>14229</v>
      </c>
      <c r="K3214" s="85">
        <v>0</v>
      </c>
      <c r="L3214" s="85">
        <v>113</v>
      </c>
      <c r="M3214" s="85">
        <v>0</v>
      </c>
      <c r="N3214" s="82" t="s">
        <v>11673</v>
      </c>
      <c r="O3214" s="93">
        <v>45872.630416666667</v>
      </c>
    </row>
    <row r="3215" spans="1:15" ht="22.5" customHeight="1">
      <c r="A3215" s="85">
        <v>174904221976312</v>
      </c>
      <c r="B3215" s="82" t="s">
        <v>10651</v>
      </c>
      <c r="C3215" s="82" t="s">
        <v>11153</v>
      </c>
      <c r="D3215" s="82" t="s">
        <v>11154</v>
      </c>
      <c r="E3215" s="82">
        <v>6285338137835</v>
      </c>
      <c r="F3215" s="94">
        <v>45871</v>
      </c>
      <c r="G3215" s="87">
        <v>264</v>
      </c>
      <c r="H3215" s="88">
        <v>40825</v>
      </c>
      <c r="I3215" s="89">
        <v>7</v>
      </c>
      <c r="J3215" s="90">
        <v>13064</v>
      </c>
      <c r="K3215" s="85">
        <v>0</v>
      </c>
      <c r="L3215" s="85">
        <v>0</v>
      </c>
      <c r="M3215" s="85">
        <v>0</v>
      </c>
      <c r="N3215" s="82" t="s">
        <v>11155</v>
      </c>
      <c r="O3215" s="93">
        <v>45872.672314814816</v>
      </c>
    </row>
    <row r="3216" spans="1:15" ht="22.5" customHeight="1">
      <c r="A3216" s="85">
        <v>766589657993298</v>
      </c>
      <c r="B3216" s="82" t="s">
        <v>10688</v>
      </c>
      <c r="C3216" s="82" t="s">
        <v>11714</v>
      </c>
      <c r="D3216" s="82" t="s">
        <v>11715</v>
      </c>
      <c r="E3216" s="82">
        <v>6282322308711</v>
      </c>
      <c r="F3216" s="94">
        <v>45871</v>
      </c>
      <c r="G3216" s="87">
        <v>654</v>
      </c>
      <c r="H3216" s="88">
        <v>14971.631205673759</v>
      </c>
      <c r="I3216" s="89">
        <v>15</v>
      </c>
      <c r="J3216" s="90">
        <v>10555</v>
      </c>
      <c r="K3216" s="85">
        <v>4</v>
      </c>
      <c r="L3216" s="85">
        <v>153</v>
      </c>
      <c r="M3216" s="85">
        <v>0</v>
      </c>
      <c r="N3216" s="82" t="s">
        <v>11716</v>
      </c>
      <c r="O3216" s="93">
        <v>45872.737708333334</v>
      </c>
    </row>
    <row r="3217" spans="1:15" ht="22.5" customHeight="1">
      <c r="A3217" s="85">
        <v>766589657993298</v>
      </c>
      <c r="B3217" s="82" t="s">
        <v>10688</v>
      </c>
      <c r="C3217" s="82" t="s">
        <v>11717</v>
      </c>
      <c r="D3217" s="82" t="s">
        <v>11718</v>
      </c>
      <c r="E3217" s="82">
        <v>6282384370009</v>
      </c>
      <c r="F3217" s="94">
        <v>45871</v>
      </c>
      <c r="G3217" s="87">
        <v>423</v>
      </c>
      <c r="H3217" s="88">
        <v>23582.03125</v>
      </c>
      <c r="I3217" s="89">
        <v>21</v>
      </c>
      <c r="J3217" s="90">
        <v>12074</v>
      </c>
      <c r="K3217" s="85">
        <v>5</v>
      </c>
      <c r="L3217" s="85">
        <v>192</v>
      </c>
      <c r="M3217" s="85">
        <v>0</v>
      </c>
      <c r="N3217" s="82" t="s">
        <v>11719</v>
      </c>
      <c r="O3217" s="93">
        <v>45872.77988425926</v>
      </c>
    </row>
    <row r="3218" spans="1:15" ht="22.5" customHeight="1">
      <c r="A3218" s="85">
        <v>766589657993298</v>
      </c>
      <c r="B3218" s="82" t="s">
        <v>10688</v>
      </c>
      <c r="C3218" s="82" t="s">
        <v>11682</v>
      </c>
      <c r="D3218" s="82" t="s">
        <v>11683</v>
      </c>
      <c r="E3218" s="82">
        <v>6285737375137</v>
      </c>
      <c r="F3218" s="94">
        <v>45871</v>
      </c>
      <c r="G3218" s="87">
        <v>564</v>
      </c>
      <c r="H3218" s="88">
        <v>25854.914196567861</v>
      </c>
      <c r="I3218" s="89">
        <v>9</v>
      </c>
      <c r="J3218" s="90">
        <v>16573</v>
      </c>
      <c r="K3218" s="85">
        <v>1</v>
      </c>
      <c r="L3218" s="85">
        <v>0</v>
      </c>
      <c r="M3218" s="85">
        <v>0</v>
      </c>
      <c r="N3218" s="82" t="s">
        <v>11684</v>
      </c>
      <c r="O3218" s="93">
        <v>45872.758564814816</v>
      </c>
    </row>
    <row r="3219" spans="1:15" ht="22.5" customHeight="1">
      <c r="A3219" s="85">
        <v>766589657993298</v>
      </c>
      <c r="B3219" s="82" t="s">
        <v>10688</v>
      </c>
      <c r="C3219" s="82" t="s">
        <v>11685</v>
      </c>
      <c r="D3219" s="82" t="s">
        <v>11686</v>
      </c>
      <c r="E3219" s="82">
        <v>6287709999980</v>
      </c>
      <c r="F3219" s="94">
        <v>45871</v>
      </c>
      <c r="G3219" s="87">
        <v>185</v>
      </c>
      <c r="H3219" s="88">
        <v>79097.560975609755</v>
      </c>
      <c r="I3219" s="89">
        <v>5</v>
      </c>
      <c r="J3219" s="90">
        <v>16215</v>
      </c>
      <c r="K3219" s="85">
        <v>1</v>
      </c>
      <c r="L3219" s="85">
        <v>21</v>
      </c>
      <c r="M3219" s="85">
        <v>0</v>
      </c>
      <c r="N3219" s="82" t="s">
        <v>11687</v>
      </c>
      <c r="O3219" s="93">
        <v>45872.737708333334</v>
      </c>
    </row>
    <row r="3220" spans="1:15" ht="22.5" customHeight="1">
      <c r="A3220" s="85">
        <v>766589657993298</v>
      </c>
      <c r="B3220" s="82" t="s">
        <v>10688</v>
      </c>
      <c r="C3220" s="82" t="s">
        <v>11688</v>
      </c>
      <c r="D3220" s="82" t="s">
        <v>3180</v>
      </c>
      <c r="E3220" s="82">
        <v>6281326160059</v>
      </c>
      <c r="F3220" s="94">
        <v>45871</v>
      </c>
      <c r="G3220" s="87">
        <v>1466</v>
      </c>
      <c r="H3220" s="88">
        <v>11644.192634560908</v>
      </c>
      <c r="I3220" s="89">
        <v>33</v>
      </c>
      <c r="J3220" s="90">
        <v>20552</v>
      </c>
      <c r="K3220" s="85">
        <v>2</v>
      </c>
      <c r="L3220" s="85">
        <v>480</v>
      </c>
      <c r="M3220" s="85">
        <v>0</v>
      </c>
      <c r="N3220" s="82" t="s">
        <v>11689</v>
      </c>
      <c r="O3220" s="93">
        <v>45872.67559027778</v>
      </c>
    </row>
    <row r="3221" spans="1:15" ht="22.5" customHeight="1">
      <c r="A3221" s="85">
        <v>766589657993298</v>
      </c>
      <c r="B3221" s="82" t="s">
        <v>10688</v>
      </c>
      <c r="C3221" s="82" t="s">
        <v>11690</v>
      </c>
      <c r="D3221" s="82" t="s">
        <v>2456</v>
      </c>
      <c r="E3221" s="82">
        <v>6281230288300</v>
      </c>
      <c r="F3221" s="94">
        <v>45871</v>
      </c>
      <c r="G3221" s="87">
        <v>624</v>
      </c>
      <c r="H3221" s="88">
        <v>22948.824343015214</v>
      </c>
      <c r="I3221" s="89">
        <v>6</v>
      </c>
      <c r="J3221" s="90">
        <v>16592</v>
      </c>
      <c r="K3221" s="85">
        <v>2</v>
      </c>
      <c r="L3221" s="85">
        <v>96</v>
      </c>
      <c r="M3221" s="85">
        <v>0</v>
      </c>
      <c r="N3221" s="82" t="s">
        <v>11691</v>
      </c>
      <c r="O3221" s="93">
        <v>45872.716898148145</v>
      </c>
    </row>
    <row r="3222" spans="1:15" ht="22.5" customHeight="1">
      <c r="A3222" s="85">
        <v>766589657993298</v>
      </c>
      <c r="B3222" s="82" t="s">
        <v>10688</v>
      </c>
      <c r="C3222" s="82" t="s">
        <v>11692</v>
      </c>
      <c r="D3222" s="82" t="s">
        <v>11693</v>
      </c>
      <c r="E3222" s="82">
        <v>62895635983361</v>
      </c>
      <c r="F3222" s="94">
        <v>45871</v>
      </c>
      <c r="G3222" s="87">
        <v>814</v>
      </c>
      <c r="H3222" s="88">
        <v>20720.652173913044</v>
      </c>
      <c r="I3222" s="89">
        <v>18</v>
      </c>
      <c r="J3222" s="90">
        <v>19063</v>
      </c>
      <c r="K3222" s="85">
        <v>1</v>
      </c>
      <c r="L3222" s="85">
        <v>118</v>
      </c>
      <c r="M3222" s="85">
        <v>0</v>
      </c>
      <c r="N3222" s="82" t="s">
        <v>11694</v>
      </c>
      <c r="O3222" s="93">
        <v>45872.696273148147</v>
      </c>
    </row>
    <row r="3223" spans="1:15" ht="22.5" customHeight="1">
      <c r="A3223" s="85">
        <v>766589657993298</v>
      </c>
      <c r="B3223" s="82" t="s">
        <v>10688</v>
      </c>
      <c r="C3223" s="82" t="s">
        <v>11616</v>
      </c>
      <c r="D3223" s="82" t="s">
        <v>3187</v>
      </c>
      <c r="E3223" s="82">
        <v>6282164564557</v>
      </c>
      <c r="F3223" s="94">
        <v>45871</v>
      </c>
      <c r="G3223" s="87">
        <v>2190</v>
      </c>
      <c r="H3223" s="88">
        <v>7371.8048024786985</v>
      </c>
      <c r="I3223" s="89">
        <v>59</v>
      </c>
      <c r="J3223" s="90">
        <v>19034</v>
      </c>
      <c r="K3223" s="85">
        <v>4</v>
      </c>
      <c r="L3223" s="85">
        <v>931</v>
      </c>
      <c r="M3223" s="85">
        <v>1</v>
      </c>
      <c r="N3223" s="82" t="s">
        <v>11617</v>
      </c>
      <c r="O3223" s="93">
        <v>45872.217233796298</v>
      </c>
    </row>
    <row r="3224" spans="1:15" ht="22.5" customHeight="1">
      <c r="A3224" s="85">
        <v>766589657993298</v>
      </c>
      <c r="B3224" s="82" t="s">
        <v>10688</v>
      </c>
      <c r="C3224" s="82" t="s">
        <v>11618</v>
      </c>
      <c r="D3224" s="82" t="s">
        <v>3194</v>
      </c>
      <c r="E3224" s="82">
        <v>6282177410110</v>
      </c>
      <c r="F3224" s="94">
        <v>45871</v>
      </c>
      <c r="G3224" s="87">
        <v>1021</v>
      </c>
      <c r="H3224" s="88">
        <v>16408.726625111311</v>
      </c>
      <c r="I3224" s="89">
        <v>18</v>
      </c>
      <c r="J3224" s="90">
        <v>18427</v>
      </c>
      <c r="K3224" s="85">
        <v>0</v>
      </c>
      <c r="L3224" s="85">
        <v>314</v>
      </c>
      <c r="M3224" s="85">
        <v>0</v>
      </c>
      <c r="N3224" s="82" t="s">
        <v>11619</v>
      </c>
      <c r="O3224" s="93">
        <v>45872.217256944445</v>
      </c>
    </row>
    <row r="3225" spans="1:15" ht="22.5" customHeight="1">
      <c r="A3225" s="85">
        <v>766589657993298</v>
      </c>
      <c r="B3225" s="82" t="s">
        <v>10688</v>
      </c>
      <c r="C3225" s="82" t="s">
        <v>11620</v>
      </c>
      <c r="D3225" s="82" t="s">
        <v>11621</v>
      </c>
      <c r="E3225" s="82">
        <v>6285785858869</v>
      </c>
      <c r="F3225" s="94">
        <v>45871</v>
      </c>
      <c r="G3225" s="87">
        <v>1528</v>
      </c>
      <c r="H3225" s="88">
        <v>11836.485661989018</v>
      </c>
      <c r="I3225" s="89">
        <v>49</v>
      </c>
      <c r="J3225" s="90">
        <v>19400</v>
      </c>
      <c r="K3225" s="85">
        <v>4</v>
      </c>
      <c r="L3225" s="85">
        <v>499</v>
      </c>
      <c r="M3225" s="85">
        <v>0</v>
      </c>
      <c r="N3225" s="82" t="s">
        <v>11622</v>
      </c>
      <c r="O3225" s="93">
        <v>45872.217245370368</v>
      </c>
    </row>
    <row r="3226" spans="1:15" ht="22.5" customHeight="1">
      <c r="A3226" s="85">
        <v>766589657993298</v>
      </c>
      <c r="B3226" s="82" t="s">
        <v>10688</v>
      </c>
      <c r="C3226" s="82" t="s">
        <v>11623</v>
      </c>
      <c r="D3226" s="82" t="s">
        <v>11624</v>
      </c>
      <c r="E3226" s="82">
        <v>6282297965454</v>
      </c>
      <c r="F3226" s="94">
        <v>45871</v>
      </c>
      <c r="G3226" s="87">
        <v>634</v>
      </c>
      <c r="H3226" s="88">
        <v>28513.212795549374</v>
      </c>
      <c r="I3226" s="89">
        <v>18</v>
      </c>
      <c r="J3226" s="90">
        <v>20501</v>
      </c>
      <c r="K3226" s="85">
        <v>2</v>
      </c>
      <c r="L3226" s="85">
        <v>0</v>
      </c>
      <c r="M3226" s="85">
        <v>0</v>
      </c>
      <c r="N3226" s="82" t="s">
        <v>11625</v>
      </c>
      <c r="O3226" s="93">
        <v>45872.217245370368</v>
      </c>
    </row>
    <row r="3227" spans="1:15" ht="22.5" customHeight="1">
      <c r="A3227" s="85">
        <v>766589657993298</v>
      </c>
      <c r="B3227" s="82" t="s">
        <v>10688</v>
      </c>
      <c r="C3227" s="82" t="s">
        <v>11626</v>
      </c>
      <c r="D3227" s="82" t="s">
        <v>3773</v>
      </c>
      <c r="E3227" s="82">
        <v>6285893658659</v>
      </c>
      <c r="F3227" s="94">
        <v>45871</v>
      </c>
      <c r="G3227" s="87">
        <v>630</v>
      </c>
      <c r="H3227" s="88">
        <v>23923.728813559323</v>
      </c>
      <c r="I3227" s="89">
        <v>13</v>
      </c>
      <c r="J3227" s="90">
        <v>16938</v>
      </c>
      <c r="K3227" s="85">
        <v>2</v>
      </c>
      <c r="L3227" s="85">
        <v>187</v>
      </c>
      <c r="M3227" s="85">
        <v>0</v>
      </c>
      <c r="N3227" s="82" t="s">
        <v>11627</v>
      </c>
      <c r="O3227" s="93">
        <v>45872.779895833337</v>
      </c>
    </row>
    <row r="3228" spans="1:15" ht="22.5" customHeight="1">
      <c r="A3228" s="85">
        <v>766589657993298</v>
      </c>
      <c r="B3228" s="82" t="s">
        <v>10688</v>
      </c>
      <c r="C3228" s="82" t="s">
        <v>11604</v>
      </c>
      <c r="D3228" s="82" t="s">
        <v>2835</v>
      </c>
      <c r="E3228" s="82">
        <v>62895632627969</v>
      </c>
      <c r="F3228" s="94">
        <v>45871</v>
      </c>
      <c r="G3228" s="87">
        <v>457</v>
      </c>
      <c r="H3228" s="88">
        <v>24508.36820083682</v>
      </c>
      <c r="I3228" s="89">
        <v>12</v>
      </c>
      <c r="J3228" s="90">
        <v>11715</v>
      </c>
      <c r="K3228" s="85">
        <v>3</v>
      </c>
      <c r="L3228" s="85">
        <v>232</v>
      </c>
      <c r="M3228" s="85">
        <v>0</v>
      </c>
      <c r="N3228" s="82" t="s">
        <v>11605</v>
      </c>
      <c r="O3228" s="93">
        <v>45870.217534722222</v>
      </c>
    </row>
    <row r="3229" spans="1:15" ht="22.5" customHeight="1">
      <c r="A3229" s="85">
        <v>766589657993298</v>
      </c>
      <c r="B3229" s="82" t="s">
        <v>10688</v>
      </c>
      <c r="C3229" s="82" t="s">
        <v>11522</v>
      </c>
      <c r="D3229" s="82" t="s">
        <v>2954</v>
      </c>
      <c r="E3229" s="82">
        <v>6282299236521</v>
      </c>
      <c r="F3229" s="94">
        <v>45871</v>
      </c>
      <c r="G3229" s="87">
        <v>460</v>
      </c>
      <c r="H3229" s="88">
        <v>42965.092402464063</v>
      </c>
      <c r="I3229" s="89">
        <v>12</v>
      </c>
      <c r="J3229" s="90">
        <v>20924</v>
      </c>
      <c r="K3229" s="85">
        <v>2</v>
      </c>
      <c r="L3229" s="85">
        <v>12</v>
      </c>
      <c r="M3229" s="85">
        <v>0</v>
      </c>
      <c r="N3229" s="82" t="s">
        <v>11523</v>
      </c>
      <c r="O3229" s="93">
        <v>45872.217233796298</v>
      </c>
    </row>
    <row r="3230" spans="1:15" ht="22.5" customHeight="1">
      <c r="A3230" s="85">
        <v>766589657993298</v>
      </c>
      <c r="B3230" s="82" t="s">
        <v>10688</v>
      </c>
      <c r="C3230" s="82" t="s">
        <v>11524</v>
      </c>
      <c r="D3230" s="91" t="s">
        <v>2827</v>
      </c>
      <c r="E3230" s="82"/>
      <c r="F3230" s="94">
        <v>45871</v>
      </c>
      <c r="G3230" s="87">
        <v>422</v>
      </c>
      <c r="H3230" s="88">
        <v>42525.229357798169</v>
      </c>
      <c r="I3230" s="89">
        <v>9</v>
      </c>
      <c r="J3230" s="90">
        <v>18541</v>
      </c>
      <c r="K3230" s="85">
        <v>1</v>
      </c>
      <c r="L3230" s="85">
        <v>116</v>
      </c>
      <c r="M3230" s="85">
        <v>0</v>
      </c>
      <c r="N3230" s="82" t="s">
        <v>11525</v>
      </c>
      <c r="O3230" s="93">
        <v>45872.654652777775</v>
      </c>
    </row>
    <row r="3231" spans="1:15" ht="22.5" customHeight="1">
      <c r="A3231" s="85">
        <v>766589657993298</v>
      </c>
      <c r="B3231" s="82" t="s">
        <v>10688</v>
      </c>
      <c r="C3231" s="82" t="s">
        <v>11511</v>
      </c>
      <c r="D3231" s="82" t="s">
        <v>11512</v>
      </c>
      <c r="E3231" s="82">
        <v>6285955053385</v>
      </c>
      <c r="F3231" s="94">
        <v>45871</v>
      </c>
      <c r="G3231" s="87">
        <v>1593</v>
      </c>
      <c r="H3231" s="88">
        <v>10466.589861751152</v>
      </c>
      <c r="I3231" s="89">
        <v>24</v>
      </c>
      <c r="J3231" s="90">
        <v>18170</v>
      </c>
      <c r="K3231" s="85">
        <v>1</v>
      </c>
      <c r="L3231" s="85">
        <v>531</v>
      </c>
      <c r="M3231" s="85">
        <v>0</v>
      </c>
      <c r="N3231" s="82" t="s">
        <v>11513</v>
      </c>
      <c r="O3231" s="93">
        <v>45872.716886574075</v>
      </c>
    </row>
    <row r="3232" spans="1:15" ht="22.5" customHeight="1">
      <c r="A3232" s="85">
        <v>766589657993298</v>
      </c>
      <c r="B3232" s="82" t="s">
        <v>10688</v>
      </c>
      <c r="C3232" s="82" t="s">
        <v>11458</v>
      </c>
      <c r="D3232" s="82" t="s">
        <v>11459</v>
      </c>
      <c r="E3232" s="82">
        <v>6287821760177</v>
      </c>
      <c r="F3232" s="94">
        <v>45871</v>
      </c>
      <c r="G3232" s="87">
        <v>867</v>
      </c>
      <c r="H3232" s="88">
        <v>17847.62865792129</v>
      </c>
      <c r="I3232" s="89">
        <v>21</v>
      </c>
      <c r="J3232" s="90">
        <v>17687</v>
      </c>
      <c r="K3232" s="85">
        <v>2</v>
      </c>
      <c r="L3232" s="85">
        <v>356</v>
      </c>
      <c r="M3232" s="85">
        <v>0</v>
      </c>
      <c r="N3232" s="82" t="s">
        <v>11460</v>
      </c>
      <c r="O3232" s="93">
        <v>45872.696273148147</v>
      </c>
    </row>
    <row r="3233" spans="1:15" ht="22.5" customHeight="1">
      <c r="A3233" s="85">
        <v>766589657993298</v>
      </c>
      <c r="B3233" s="82" t="s">
        <v>10688</v>
      </c>
      <c r="C3233" s="82" t="s">
        <v>11461</v>
      </c>
      <c r="D3233" s="82" t="s">
        <v>11462</v>
      </c>
      <c r="E3233" s="82">
        <v>62882015555380</v>
      </c>
      <c r="F3233" s="94">
        <v>45871</v>
      </c>
      <c r="G3233" s="87">
        <v>1630</v>
      </c>
      <c r="H3233" s="88">
        <v>14553.237025147137</v>
      </c>
      <c r="I3233" s="89">
        <v>37</v>
      </c>
      <c r="J3233" s="90">
        <v>27200</v>
      </c>
      <c r="K3233" s="85">
        <v>5</v>
      </c>
      <c r="L3233" s="85">
        <v>653</v>
      </c>
      <c r="M3233" s="85">
        <v>0</v>
      </c>
      <c r="N3233" s="82" t="s">
        <v>11463</v>
      </c>
      <c r="O3233" s="93">
        <v>45872.696319444447</v>
      </c>
    </row>
    <row r="3234" spans="1:15" ht="22.5" customHeight="1">
      <c r="A3234" s="85">
        <v>766589657993298</v>
      </c>
      <c r="B3234" s="82" t="s">
        <v>10688</v>
      </c>
      <c r="C3234" s="82" t="s">
        <v>11413</v>
      </c>
      <c r="D3234" s="82" t="s">
        <v>5697</v>
      </c>
      <c r="E3234" s="82">
        <v>6281385001244</v>
      </c>
      <c r="F3234" s="94">
        <v>45871</v>
      </c>
      <c r="G3234" s="87">
        <v>605</v>
      </c>
      <c r="H3234" s="88">
        <v>31250.396196513469</v>
      </c>
      <c r="I3234" s="89">
        <v>11</v>
      </c>
      <c r="J3234" s="90">
        <v>19719</v>
      </c>
      <c r="K3234" s="85">
        <v>2</v>
      </c>
      <c r="L3234" s="85">
        <v>149</v>
      </c>
      <c r="M3234" s="85">
        <v>0</v>
      </c>
      <c r="N3234" s="82" t="s">
        <v>11414</v>
      </c>
      <c r="O3234" s="93">
        <v>45872.654652777775</v>
      </c>
    </row>
    <row r="3235" spans="1:15" ht="22.5" customHeight="1">
      <c r="A3235" s="85">
        <v>766589657993298</v>
      </c>
      <c r="B3235" s="82" t="s">
        <v>10688</v>
      </c>
      <c r="C3235" s="82" t="s">
        <v>11360</v>
      </c>
      <c r="D3235" s="82" t="s">
        <v>11361</v>
      </c>
      <c r="E3235" s="82">
        <v>6285186029090</v>
      </c>
      <c r="F3235" s="94">
        <v>45871</v>
      </c>
      <c r="G3235" s="87">
        <v>1096</v>
      </c>
      <c r="H3235" s="88">
        <v>16232.677502138578</v>
      </c>
      <c r="I3235" s="89">
        <v>46</v>
      </c>
      <c r="J3235" s="90">
        <v>18976</v>
      </c>
      <c r="K3235" s="85">
        <v>1</v>
      </c>
      <c r="L3235" s="85">
        <v>229</v>
      </c>
      <c r="M3235" s="85">
        <v>0</v>
      </c>
      <c r="N3235" s="82" t="s">
        <v>11362</v>
      </c>
      <c r="O3235" s="93">
        <v>45872.737708333334</v>
      </c>
    </row>
    <row r="3236" spans="1:15" ht="22.5" customHeight="1">
      <c r="A3236" s="85">
        <v>759724529202804</v>
      </c>
      <c r="B3236" s="82" t="s">
        <v>10621</v>
      </c>
      <c r="C3236" s="82" t="s">
        <v>11695</v>
      </c>
      <c r="D3236" s="82" t="s">
        <v>3327</v>
      </c>
      <c r="E3236" s="82">
        <v>6281299298585</v>
      </c>
      <c r="F3236" s="94">
        <v>45872</v>
      </c>
      <c r="G3236" s="87">
        <v>604</v>
      </c>
      <c r="H3236" s="88">
        <v>21897.959183673469</v>
      </c>
      <c r="I3236" s="89">
        <v>19</v>
      </c>
      <c r="J3236" s="90">
        <v>15022</v>
      </c>
      <c r="K3236" s="85">
        <v>1</v>
      </c>
      <c r="L3236" s="85">
        <v>241</v>
      </c>
      <c r="M3236" s="85">
        <v>0</v>
      </c>
      <c r="N3236" s="82" t="s">
        <v>11696</v>
      </c>
      <c r="O3236" s="93">
        <v>45873.693703703706</v>
      </c>
    </row>
    <row r="3237" spans="1:15" ht="22.5" customHeight="1">
      <c r="A3237" s="85">
        <v>759724529202804</v>
      </c>
      <c r="B3237" s="82" t="s">
        <v>10621</v>
      </c>
      <c r="C3237" s="82" t="s">
        <v>11131</v>
      </c>
      <c r="D3237" s="82" t="s">
        <v>9019</v>
      </c>
      <c r="E3237" s="82">
        <v>628562943274</v>
      </c>
      <c r="F3237" s="94">
        <v>45872</v>
      </c>
      <c r="G3237" s="87">
        <v>1133</v>
      </c>
      <c r="H3237" s="88">
        <v>12359.514170040486</v>
      </c>
      <c r="I3237" s="89">
        <v>50</v>
      </c>
      <c r="J3237" s="90">
        <v>15264</v>
      </c>
      <c r="K3237" s="85">
        <v>5</v>
      </c>
      <c r="L3237" s="85">
        <v>389</v>
      </c>
      <c r="M3237" s="85">
        <v>0</v>
      </c>
      <c r="N3237" s="82" t="s">
        <v>11132</v>
      </c>
      <c r="O3237" s="93">
        <v>45873.777222222219</v>
      </c>
    </row>
    <row r="3238" spans="1:15" ht="22.5" customHeight="1">
      <c r="A3238" s="85">
        <v>759724529202804</v>
      </c>
      <c r="B3238" s="82" t="s">
        <v>10621</v>
      </c>
      <c r="C3238" s="82" t="s">
        <v>11070</v>
      </c>
      <c r="D3238" s="82" t="s">
        <v>11071</v>
      </c>
      <c r="E3238" s="82">
        <v>6281246211381</v>
      </c>
      <c r="F3238" s="94">
        <v>45872</v>
      </c>
      <c r="G3238" s="87">
        <v>407</v>
      </c>
      <c r="H3238" s="88">
        <v>34611.84210526316</v>
      </c>
      <c r="I3238" s="89">
        <v>9</v>
      </c>
      <c r="J3238" s="90">
        <v>15783</v>
      </c>
      <c r="K3238" s="85">
        <v>3</v>
      </c>
      <c r="L3238" s="85">
        <v>0</v>
      </c>
      <c r="M3238" s="85">
        <v>0</v>
      </c>
      <c r="N3238" s="82" t="s">
        <v>11072</v>
      </c>
      <c r="O3238" s="93">
        <v>45873.568368055552</v>
      </c>
    </row>
    <row r="3239" spans="1:15" ht="22.5" customHeight="1">
      <c r="A3239" s="85">
        <v>759724529202804</v>
      </c>
      <c r="B3239" s="82" t="s">
        <v>10621</v>
      </c>
      <c r="C3239" s="82" t="s">
        <v>10925</v>
      </c>
      <c r="D3239" s="82" t="s">
        <v>10926</v>
      </c>
      <c r="E3239" s="82">
        <v>6281233038880</v>
      </c>
      <c r="F3239" s="94">
        <v>45872</v>
      </c>
      <c r="G3239" s="87">
        <v>281</v>
      </c>
      <c r="H3239" s="88">
        <v>50222.560975609755</v>
      </c>
      <c r="I3239" s="89">
        <v>10</v>
      </c>
      <c r="J3239" s="90">
        <v>16473</v>
      </c>
      <c r="K3239" s="85">
        <v>1</v>
      </c>
      <c r="L3239" s="85">
        <v>64</v>
      </c>
      <c r="M3239" s="85">
        <v>0</v>
      </c>
      <c r="N3239" s="82" t="s">
        <v>10927</v>
      </c>
      <c r="O3239" s="93">
        <v>45873.6096412037</v>
      </c>
    </row>
    <row r="3240" spans="1:15" ht="22.5" customHeight="1">
      <c r="A3240" s="85">
        <v>174904221976312</v>
      </c>
      <c r="B3240" s="82" t="s">
        <v>10651</v>
      </c>
      <c r="C3240" s="82" t="s">
        <v>11720</v>
      </c>
      <c r="D3240" s="82" t="s">
        <v>11721</v>
      </c>
      <c r="E3240" s="82">
        <v>628990145388</v>
      </c>
      <c r="F3240" s="94">
        <v>45872</v>
      </c>
      <c r="G3240" s="87">
        <v>435</v>
      </c>
      <c r="H3240" s="88">
        <v>22666.666666666668</v>
      </c>
      <c r="I3240" s="89">
        <v>51</v>
      </c>
      <c r="J3240" s="90">
        <v>12784</v>
      </c>
      <c r="K3240" s="85">
        <v>7</v>
      </c>
      <c r="L3240" s="85">
        <v>1</v>
      </c>
      <c r="M3240" s="85">
        <v>3</v>
      </c>
      <c r="N3240" s="82" t="s">
        <v>11722</v>
      </c>
      <c r="O3240" s="93">
        <v>45873.651331018518</v>
      </c>
    </row>
    <row r="3241" spans="1:15" ht="22.5" customHeight="1">
      <c r="A3241" s="85">
        <v>174904221976312</v>
      </c>
      <c r="B3241" s="82" t="s">
        <v>10651</v>
      </c>
      <c r="C3241" s="82" t="s">
        <v>11723</v>
      </c>
      <c r="D3241" s="82" t="s">
        <v>11724</v>
      </c>
      <c r="E3241" s="82">
        <v>6281226950679</v>
      </c>
      <c r="F3241" s="94">
        <v>45872</v>
      </c>
      <c r="G3241" s="87">
        <v>301</v>
      </c>
      <c r="H3241" s="88">
        <v>40506.024096385547</v>
      </c>
      <c r="I3241" s="89">
        <v>8</v>
      </c>
      <c r="J3241" s="90">
        <v>13448</v>
      </c>
      <c r="K3241" s="85">
        <v>3</v>
      </c>
      <c r="L3241" s="85">
        <v>18</v>
      </c>
      <c r="M3241" s="85">
        <v>0</v>
      </c>
      <c r="N3241" s="82" t="s">
        <v>11725</v>
      </c>
      <c r="O3241" s="93">
        <v>45873.651307870372</v>
      </c>
    </row>
    <row r="3242" spans="1:15" ht="22.5" customHeight="1">
      <c r="A3242" s="85">
        <v>174904221976312</v>
      </c>
      <c r="B3242" s="82" t="s">
        <v>10651</v>
      </c>
      <c r="C3242" s="82" t="s">
        <v>11726</v>
      </c>
      <c r="D3242" s="82" t="s">
        <v>3291</v>
      </c>
      <c r="E3242" s="82">
        <v>6285691146546</v>
      </c>
      <c r="F3242" s="94">
        <v>45872</v>
      </c>
      <c r="G3242" s="87">
        <v>499</v>
      </c>
      <c r="H3242" s="88">
        <v>23715.7712305026</v>
      </c>
      <c r="I3242" s="89">
        <v>37</v>
      </c>
      <c r="J3242" s="90">
        <v>13684</v>
      </c>
      <c r="K3242" s="85">
        <v>7</v>
      </c>
      <c r="L3242" s="85">
        <v>275</v>
      </c>
      <c r="M3242" s="85">
        <v>0</v>
      </c>
      <c r="N3242" s="82" t="s">
        <v>11727</v>
      </c>
      <c r="O3242" s="93">
        <v>45873.714236111111</v>
      </c>
    </row>
    <row r="3243" spans="1:15" ht="22.5" customHeight="1">
      <c r="A3243" s="85">
        <v>174904221976312</v>
      </c>
      <c r="B3243" s="82" t="s">
        <v>10651</v>
      </c>
      <c r="C3243" s="82" t="s">
        <v>11728</v>
      </c>
      <c r="D3243" s="82" t="s">
        <v>11729</v>
      </c>
      <c r="E3243" s="82">
        <v>628122703083</v>
      </c>
      <c r="F3243" s="94">
        <v>45872</v>
      </c>
      <c r="G3243" s="87">
        <v>383</v>
      </c>
      <c r="H3243" s="88">
        <v>30413.711583924349</v>
      </c>
      <c r="I3243" s="89">
        <v>9</v>
      </c>
      <c r="J3243" s="90">
        <v>12865</v>
      </c>
      <c r="K3243" s="85">
        <v>2</v>
      </c>
      <c r="L3243" s="85">
        <v>5</v>
      </c>
      <c r="M3243" s="85">
        <v>0</v>
      </c>
      <c r="N3243" s="82" t="s">
        <v>11730</v>
      </c>
      <c r="O3243" s="93">
        <v>45873.54787037037</v>
      </c>
    </row>
    <row r="3244" spans="1:15" ht="22.5" customHeight="1">
      <c r="A3244" s="85">
        <v>174904221976312</v>
      </c>
      <c r="B3244" s="82" t="s">
        <v>10651</v>
      </c>
      <c r="C3244" s="82" t="s">
        <v>11731</v>
      </c>
      <c r="D3244" s="82" t="s">
        <v>3465</v>
      </c>
      <c r="E3244" s="82">
        <v>6285920572002</v>
      </c>
      <c r="F3244" s="94">
        <v>45872</v>
      </c>
      <c r="G3244" s="87">
        <v>322</v>
      </c>
      <c r="H3244" s="88">
        <v>31320.099255583125</v>
      </c>
      <c r="I3244" s="89">
        <v>16</v>
      </c>
      <c r="J3244" s="90">
        <v>12622</v>
      </c>
      <c r="K3244" s="85">
        <v>4</v>
      </c>
      <c r="L3244" s="85">
        <v>13</v>
      </c>
      <c r="M3244" s="85">
        <v>0</v>
      </c>
      <c r="N3244" s="82" t="s">
        <v>11732</v>
      </c>
      <c r="O3244" s="93">
        <v>45873.567916666667</v>
      </c>
    </row>
    <row r="3245" spans="1:15" ht="22.5" customHeight="1">
      <c r="A3245" s="85">
        <v>174904221976312</v>
      </c>
      <c r="B3245" s="82" t="s">
        <v>10651</v>
      </c>
      <c r="C3245" s="82" t="s">
        <v>11733</v>
      </c>
      <c r="D3245" s="82" t="s">
        <v>3479</v>
      </c>
      <c r="E3245" s="82">
        <v>6285780314346</v>
      </c>
      <c r="F3245" s="94">
        <v>45872</v>
      </c>
      <c r="G3245" s="87">
        <v>516</v>
      </c>
      <c r="H3245" s="88">
        <v>18116.847826086956</v>
      </c>
      <c r="I3245" s="89">
        <v>73</v>
      </c>
      <c r="J3245" s="90">
        <v>13334</v>
      </c>
      <c r="K3245" s="85">
        <v>21</v>
      </c>
      <c r="L3245" s="85">
        <v>0</v>
      </c>
      <c r="M3245" s="85">
        <v>1</v>
      </c>
      <c r="N3245" s="82" t="s">
        <v>11734</v>
      </c>
      <c r="O3245" s="93">
        <v>45873.631076388891</v>
      </c>
    </row>
    <row r="3246" spans="1:15" ht="22.5" customHeight="1">
      <c r="A3246" s="85">
        <v>174904221976312</v>
      </c>
      <c r="B3246" s="82" t="s">
        <v>10651</v>
      </c>
      <c r="C3246" s="82" t="s">
        <v>11697</v>
      </c>
      <c r="D3246" s="82" t="s">
        <v>3387</v>
      </c>
      <c r="E3246" s="82">
        <v>6285326750989</v>
      </c>
      <c r="F3246" s="94">
        <v>45872</v>
      </c>
      <c r="G3246" s="87">
        <v>531</v>
      </c>
      <c r="H3246" s="88">
        <v>21915.54054054054</v>
      </c>
      <c r="I3246" s="89">
        <v>26</v>
      </c>
      <c r="J3246" s="90">
        <v>12974</v>
      </c>
      <c r="K3246" s="85">
        <v>9</v>
      </c>
      <c r="L3246" s="85">
        <v>160</v>
      </c>
      <c r="M3246" s="85">
        <v>0</v>
      </c>
      <c r="N3246" s="82" t="s">
        <v>11698</v>
      </c>
      <c r="O3246" s="93">
        <v>45873.526331018518</v>
      </c>
    </row>
    <row r="3247" spans="1:15" ht="22.5" customHeight="1">
      <c r="A3247" s="85">
        <v>174904221976312</v>
      </c>
      <c r="B3247" s="82" t="s">
        <v>10651</v>
      </c>
      <c r="C3247" s="82" t="s">
        <v>11699</v>
      </c>
      <c r="D3247" s="82" t="s">
        <v>3305</v>
      </c>
      <c r="E3247" s="82">
        <v>6282249348536</v>
      </c>
      <c r="F3247" s="94">
        <v>45872</v>
      </c>
      <c r="G3247" s="87">
        <v>751</v>
      </c>
      <c r="H3247" s="88">
        <v>14468.848996832101</v>
      </c>
      <c r="I3247" s="89">
        <v>36</v>
      </c>
      <c r="J3247" s="90">
        <v>13702</v>
      </c>
      <c r="K3247" s="85">
        <v>5</v>
      </c>
      <c r="L3247" s="85">
        <v>168</v>
      </c>
      <c r="M3247" s="85">
        <v>1</v>
      </c>
      <c r="N3247" s="82" t="s">
        <v>11700</v>
      </c>
      <c r="O3247" s="93">
        <v>45873.631064814814</v>
      </c>
    </row>
    <row r="3248" spans="1:15" ht="22.5" customHeight="1">
      <c r="A3248" s="85">
        <v>174904221976312</v>
      </c>
      <c r="B3248" s="82" t="s">
        <v>10651</v>
      </c>
      <c r="C3248" s="82" t="s">
        <v>11701</v>
      </c>
      <c r="D3248" s="82" t="s">
        <v>11702</v>
      </c>
      <c r="E3248" s="82">
        <v>6288802749485</v>
      </c>
      <c r="F3248" s="94">
        <v>45872</v>
      </c>
      <c r="G3248" s="87">
        <v>785</v>
      </c>
      <c r="H3248" s="88">
        <v>14477.894736842105</v>
      </c>
      <c r="I3248" s="89">
        <v>84</v>
      </c>
      <c r="J3248" s="90">
        <v>13754</v>
      </c>
      <c r="K3248" s="85">
        <v>12</v>
      </c>
      <c r="L3248" s="85">
        <v>46</v>
      </c>
      <c r="M3248" s="85">
        <v>1</v>
      </c>
      <c r="N3248" s="82" t="s">
        <v>11703</v>
      </c>
      <c r="O3248" s="93">
        <v>45873.693425925929</v>
      </c>
    </row>
    <row r="3249" spans="1:15" ht="22.5" customHeight="1">
      <c r="A3249" s="85">
        <v>174904221976312</v>
      </c>
      <c r="B3249" s="82" t="s">
        <v>10651</v>
      </c>
      <c r="C3249" s="82" t="s">
        <v>11704</v>
      </c>
      <c r="D3249" s="82" t="s">
        <v>3334</v>
      </c>
      <c r="E3249" s="82">
        <v>6282118113002</v>
      </c>
      <c r="F3249" s="94">
        <v>45872</v>
      </c>
      <c r="G3249" s="87">
        <v>395</v>
      </c>
      <c r="H3249" s="88">
        <v>30443.678160919539</v>
      </c>
      <c r="I3249" s="89">
        <v>11</v>
      </c>
      <c r="J3249" s="90">
        <v>13243</v>
      </c>
      <c r="K3249" s="85">
        <v>2</v>
      </c>
      <c r="L3249" s="85">
        <v>86</v>
      </c>
      <c r="M3249" s="85">
        <v>0</v>
      </c>
      <c r="N3249" s="82" t="s">
        <v>11705</v>
      </c>
      <c r="O3249" s="93">
        <v>45873.610312500001</v>
      </c>
    </row>
    <row r="3250" spans="1:15" ht="22.5" customHeight="1">
      <c r="A3250" s="85">
        <v>174904221976312</v>
      </c>
      <c r="B3250" s="82" t="s">
        <v>10651</v>
      </c>
      <c r="C3250" s="82" t="s">
        <v>11706</v>
      </c>
      <c r="D3250" s="82" t="s">
        <v>3298</v>
      </c>
      <c r="E3250" s="82">
        <v>6281362440234</v>
      </c>
      <c r="F3250" s="94">
        <v>45872</v>
      </c>
      <c r="G3250" s="87">
        <v>568</v>
      </c>
      <c r="H3250" s="88">
        <v>19000</v>
      </c>
      <c r="I3250" s="89">
        <v>35</v>
      </c>
      <c r="J3250" s="90">
        <v>12996</v>
      </c>
      <c r="K3250" s="85">
        <v>5</v>
      </c>
      <c r="L3250" s="85">
        <v>301</v>
      </c>
      <c r="M3250" s="85">
        <v>1</v>
      </c>
      <c r="N3250" s="82" t="s">
        <v>11707</v>
      </c>
      <c r="O3250" s="93">
        <v>45873.505462962959</v>
      </c>
    </row>
    <row r="3251" spans="1:15" ht="22.5" customHeight="1">
      <c r="A3251" s="85">
        <v>174904221976312</v>
      </c>
      <c r="B3251" s="82" t="s">
        <v>10651</v>
      </c>
      <c r="C3251" s="82" t="s">
        <v>11708</v>
      </c>
      <c r="D3251" s="82" t="s">
        <v>11709</v>
      </c>
      <c r="E3251" s="82">
        <v>6285294617773</v>
      </c>
      <c r="F3251" s="94">
        <v>45872</v>
      </c>
      <c r="G3251" s="87">
        <v>306</v>
      </c>
      <c r="H3251" s="88">
        <v>36735.042735042734</v>
      </c>
      <c r="I3251" s="89">
        <v>39</v>
      </c>
      <c r="J3251" s="90">
        <v>12894</v>
      </c>
      <c r="K3251" s="85">
        <v>9</v>
      </c>
      <c r="L3251" s="85">
        <v>81</v>
      </c>
      <c r="M3251" s="85">
        <v>0</v>
      </c>
      <c r="N3251" s="82" t="s">
        <v>11710</v>
      </c>
      <c r="O3251" s="93">
        <v>45873.818564814814</v>
      </c>
    </row>
    <row r="3252" spans="1:15" ht="22.5" customHeight="1">
      <c r="A3252" s="85">
        <v>174904221976312</v>
      </c>
      <c r="B3252" s="82" t="s">
        <v>10651</v>
      </c>
      <c r="C3252" s="82" t="s">
        <v>11674</v>
      </c>
      <c r="D3252" s="82" t="s">
        <v>2688</v>
      </c>
      <c r="E3252" s="82">
        <v>6281392854108</v>
      </c>
      <c r="F3252" s="94">
        <v>45872</v>
      </c>
      <c r="G3252" s="87">
        <v>11353</v>
      </c>
      <c r="H3252" s="88">
        <v>1058.2069200613603</v>
      </c>
      <c r="I3252" s="89">
        <v>17</v>
      </c>
      <c r="J3252" s="90">
        <v>12417</v>
      </c>
      <c r="K3252" s="85">
        <v>0</v>
      </c>
      <c r="L3252" s="85">
        <v>497</v>
      </c>
      <c r="M3252" s="85">
        <v>0</v>
      </c>
      <c r="N3252" s="82" t="s">
        <v>11675</v>
      </c>
      <c r="O3252" s="93">
        <v>45873.6721412037</v>
      </c>
    </row>
    <row r="3253" spans="1:15" ht="22.5" customHeight="1">
      <c r="A3253" s="85">
        <v>174904221976312</v>
      </c>
      <c r="B3253" s="82" t="s">
        <v>10651</v>
      </c>
      <c r="C3253" s="82" t="s">
        <v>11676</v>
      </c>
      <c r="D3253" s="82" t="s">
        <v>2580</v>
      </c>
      <c r="E3253" s="82">
        <v>6287829346006</v>
      </c>
      <c r="F3253" s="94">
        <v>45872</v>
      </c>
      <c r="G3253" s="87">
        <v>12153</v>
      </c>
      <c r="H3253" s="88">
        <v>1105.5175191300846</v>
      </c>
      <c r="I3253" s="89">
        <v>21</v>
      </c>
      <c r="J3253" s="90">
        <v>13725</v>
      </c>
      <c r="K3253" s="85">
        <v>0</v>
      </c>
      <c r="L3253" s="85">
        <v>28</v>
      </c>
      <c r="M3253" s="85">
        <v>0</v>
      </c>
      <c r="N3253" s="82" t="s">
        <v>11677</v>
      </c>
      <c r="O3253" s="93">
        <v>45873.6721412037</v>
      </c>
    </row>
    <row r="3254" spans="1:15" ht="22.5" customHeight="1">
      <c r="A3254" s="85">
        <v>174904221976312</v>
      </c>
      <c r="B3254" s="82" t="s">
        <v>10651</v>
      </c>
      <c r="C3254" s="82" t="s">
        <v>11678</v>
      </c>
      <c r="D3254" s="82" t="s">
        <v>11679</v>
      </c>
      <c r="E3254" s="82">
        <v>628111099911</v>
      </c>
      <c r="F3254" s="94">
        <v>45872</v>
      </c>
      <c r="G3254" s="87">
        <v>439</v>
      </c>
      <c r="H3254" s="88">
        <v>23945.553539019966</v>
      </c>
      <c r="I3254" s="89">
        <v>21</v>
      </c>
      <c r="J3254" s="90">
        <v>13194</v>
      </c>
      <c r="K3254" s="85">
        <v>4</v>
      </c>
      <c r="L3254" s="85">
        <v>1</v>
      </c>
      <c r="M3254" s="85">
        <v>0</v>
      </c>
      <c r="N3254" s="82" t="s">
        <v>11680</v>
      </c>
      <c r="O3254" s="93">
        <v>45873.610277777778</v>
      </c>
    </row>
    <row r="3255" spans="1:15" ht="22.5" customHeight="1">
      <c r="A3255" s="85">
        <v>174904221976312</v>
      </c>
      <c r="B3255" s="82" t="s">
        <v>10651</v>
      </c>
      <c r="C3255" s="82" t="s">
        <v>11711</v>
      </c>
      <c r="D3255" s="82" t="s">
        <v>11712</v>
      </c>
      <c r="E3255" s="82">
        <v>6285286258400</v>
      </c>
      <c r="F3255" s="94">
        <v>45872</v>
      </c>
      <c r="G3255" s="87">
        <v>522</v>
      </c>
      <c r="H3255" s="88">
        <v>18930.533117932151</v>
      </c>
      <c r="I3255" s="89">
        <v>23</v>
      </c>
      <c r="J3255" s="90">
        <v>11718</v>
      </c>
      <c r="K3255" s="85">
        <v>1</v>
      </c>
      <c r="L3255" s="85">
        <v>157</v>
      </c>
      <c r="M3255" s="85">
        <v>1</v>
      </c>
      <c r="N3255" s="82" t="s">
        <v>11713</v>
      </c>
      <c r="O3255" s="93">
        <v>45873.610289351855</v>
      </c>
    </row>
    <row r="3256" spans="1:15" ht="22.5" customHeight="1">
      <c r="A3256" s="85">
        <v>174904221976312</v>
      </c>
      <c r="B3256" s="82" t="s">
        <v>10651</v>
      </c>
      <c r="C3256" s="82" t="s">
        <v>11652</v>
      </c>
      <c r="D3256" s="82" t="s">
        <v>3236</v>
      </c>
      <c r="E3256" s="82">
        <v>6283831211890</v>
      </c>
      <c r="F3256" s="94">
        <v>45872</v>
      </c>
      <c r="G3256" s="87">
        <v>400</v>
      </c>
      <c r="H3256" s="88">
        <v>28791.855203619911</v>
      </c>
      <c r="I3256" s="89">
        <v>9</v>
      </c>
      <c r="J3256" s="90">
        <v>12726</v>
      </c>
      <c r="K3256" s="85">
        <v>0</v>
      </c>
      <c r="L3256" s="85">
        <v>69</v>
      </c>
      <c r="M3256" s="85">
        <v>0</v>
      </c>
      <c r="N3256" s="82" t="s">
        <v>11653</v>
      </c>
      <c r="O3256" s="93">
        <v>45873.443194444444</v>
      </c>
    </row>
    <row r="3257" spans="1:15" ht="22.5" customHeight="1">
      <c r="A3257" s="85">
        <v>174904221976312</v>
      </c>
      <c r="B3257" s="82" t="s">
        <v>10651</v>
      </c>
      <c r="C3257" s="82" t="s">
        <v>11654</v>
      </c>
      <c r="D3257" s="82" t="s">
        <v>11655</v>
      </c>
      <c r="E3257" s="82">
        <v>6285223186555</v>
      </c>
      <c r="F3257" s="94">
        <v>45872</v>
      </c>
      <c r="G3257" s="87">
        <v>898</v>
      </c>
      <c r="H3257" s="88">
        <v>13139.180171591992</v>
      </c>
      <c r="I3257" s="89">
        <v>32</v>
      </c>
      <c r="J3257" s="90">
        <v>13783</v>
      </c>
      <c r="K3257" s="85">
        <v>7</v>
      </c>
      <c r="L3257" s="85">
        <v>2</v>
      </c>
      <c r="M3257" s="85">
        <v>0</v>
      </c>
      <c r="N3257" s="82" t="s">
        <v>11656</v>
      </c>
      <c r="O3257" s="93">
        <v>45873.651504629626</v>
      </c>
    </row>
    <row r="3258" spans="1:15" ht="22.5" customHeight="1">
      <c r="A3258" s="85">
        <v>174904221976312</v>
      </c>
      <c r="B3258" s="82" t="s">
        <v>10651</v>
      </c>
      <c r="C3258" s="82" t="s">
        <v>11657</v>
      </c>
      <c r="D3258" s="82" t="s">
        <v>11658</v>
      </c>
      <c r="E3258" s="82">
        <v>6282352307329</v>
      </c>
      <c r="F3258" s="94">
        <v>45872</v>
      </c>
      <c r="G3258" s="87">
        <v>2788</v>
      </c>
      <c r="H3258" s="88">
        <v>3962.1367772233634</v>
      </c>
      <c r="I3258" s="89">
        <v>93</v>
      </c>
      <c r="J3258" s="90">
        <v>13499</v>
      </c>
      <c r="K3258" s="85">
        <v>3</v>
      </c>
      <c r="L3258" s="85">
        <v>0</v>
      </c>
      <c r="M3258" s="85">
        <v>1</v>
      </c>
      <c r="N3258" s="82" t="s">
        <v>11659</v>
      </c>
      <c r="O3258" s="93">
        <v>45873.505462962959</v>
      </c>
    </row>
    <row r="3259" spans="1:15" ht="22.5" customHeight="1">
      <c r="A3259" s="85">
        <v>174904221976312</v>
      </c>
      <c r="B3259" s="82" t="s">
        <v>10651</v>
      </c>
      <c r="C3259" s="82" t="s">
        <v>11660</v>
      </c>
      <c r="D3259" s="82" t="s">
        <v>11661</v>
      </c>
      <c r="E3259" s="82">
        <v>6281347245985</v>
      </c>
      <c r="F3259" s="94">
        <v>45872</v>
      </c>
      <c r="G3259" s="87">
        <v>1554</v>
      </c>
      <c r="H3259" s="88">
        <v>7160.6677099634844</v>
      </c>
      <c r="I3259" s="89">
        <v>30</v>
      </c>
      <c r="J3259" s="90">
        <v>13727</v>
      </c>
      <c r="K3259" s="85">
        <v>2</v>
      </c>
      <c r="L3259" s="85">
        <v>483</v>
      </c>
      <c r="M3259" s="85">
        <v>0</v>
      </c>
      <c r="N3259" s="82" t="s">
        <v>11662</v>
      </c>
      <c r="O3259" s="93">
        <v>45873.485185185185</v>
      </c>
    </row>
    <row r="3260" spans="1:15" ht="22.5" customHeight="1">
      <c r="A3260" s="85">
        <v>174904221976312</v>
      </c>
      <c r="B3260" s="82" t="s">
        <v>10651</v>
      </c>
      <c r="C3260" s="82" t="s">
        <v>11663</v>
      </c>
      <c r="D3260" s="82" t="s">
        <v>11664</v>
      </c>
      <c r="E3260" s="82">
        <v>628123264621</v>
      </c>
      <c r="F3260" s="94">
        <v>45872</v>
      </c>
      <c r="G3260" s="87">
        <v>1093</v>
      </c>
      <c r="H3260" s="88">
        <v>9850.5231689088178</v>
      </c>
      <c r="I3260" s="89">
        <v>65</v>
      </c>
      <c r="J3260" s="90">
        <v>13180</v>
      </c>
      <c r="K3260" s="85">
        <v>7</v>
      </c>
      <c r="L3260" s="85">
        <v>155</v>
      </c>
      <c r="M3260" s="85">
        <v>1</v>
      </c>
      <c r="N3260" s="82" t="s">
        <v>11665</v>
      </c>
      <c r="O3260" s="93">
        <v>45873.631261574075</v>
      </c>
    </row>
    <row r="3261" spans="1:15" ht="22.5" customHeight="1">
      <c r="A3261" s="85">
        <v>174904221976312</v>
      </c>
      <c r="B3261" s="82" t="s">
        <v>10651</v>
      </c>
      <c r="C3261" s="82" t="s">
        <v>11666</v>
      </c>
      <c r="D3261" s="82" t="s">
        <v>11667</v>
      </c>
      <c r="E3261" s="82">
        <v>6282292283543</v>
      </c>
      <c r="F3261" s="94">
        <v>45872</v>
      </c>
      <c r="G3261" s="87">
        <v>1547</v>
      </c>
      <c r="H3261" s="88">
        <v>6256.8430656934306</v>
      </c>
      <c r="I3261" s="89">
        <v>70</v>
      </c>
      <c r="J3261" s="90">
        <v>13715</v>
      </c>
      <c r="K3261" s="85">
        <v>7</v>
      </c>
      <c r="L3261" s="85">
        <v>0</v>
      </c>
      <c r="M3261" s="85">
        <v>1</v>
      </c>
      <c r="N3261" s="82" t="s">
        <v>11668</v>
      </c>
      <c r="O3261" s="93">
        <v>45873.54787037037</v>
      </c>
    </row>
    <row r="3262" spans="1:15" ht="22.5" customHeight="1">
      <c r="A3262" s="85">
        <v>174904221976312</v>
      </c>
      <c r="B3262" s="82" t="s">
        <v>10651</v>
      </c>
      <c r="C3262" s="82" t="s">
        <v>11669</v>
      </c>
      <c r="D3262" s="82" t="s">
        <v>2708</v>
      </c>
      <c r="E3262" s="82">
        <v>6282142833445</v>
      </c>
      <c r="F3262" s="94">
        <v>45872</v>
      </c>
      <c r="G3262" s="87">
        <v>898</v>
      </c>
      <c r="H3262" s="88">
        <v>11638.204225352112</v>
      </c>
      <c r="I3262" s="89">
        <v>23</v>
      </c>
      <c r="J3262" s="90">
        <v>13221</v>
      </c>
      <c r="K3262" s="85">
        <v>2</v>
      </c>
      <c r="L3262" s="85">
        <v>65</v>
      </c>
      <c r="M3262" s="85">
        <v>0</v>
      </c>
      <c r="N3262" s="82" t="s">
        <v>11670</v>
      </c>
      <c r="O3262" s="93">
        <v>45873.547673611109</v>
      </c>
    </row>
    <row r="3263" spans="1:15" ht="22.5" customHeight="1">
      <c r="A3263" s="85">
        <v>174904221976312</v>
      </c>
      <c r="B3263" s="82" t="s">
        <v>10651</v>
      </c>
      <c r="C3263" s="82" t="s">
        <v>11633</v>
      </c>
      <c r="D3263" s="82" t="s">
        <v>11634</v>
      </c>
      <c r="E3263" s="82">
        <v>6287762605372</v>
      </c>
      <c r="F3263" s="94">
        <v>45872</v>
      </c>
      <c r="G3263" s="87">
        <v>503</v>
      </c>
      <c r="H3263" s="88">
        <v>25523.049645390071</v>
      </c>
      <c r="I3263" s="89">
        <v>17</v>
      </c>
      <c r="J3263" s="90">
        <v>14395</v>
      </c>
      <c r="K3263" s="85">
        <v>4</v>
      </c>
      <c r="L3263" s="85">
        <v>158</v>
      </c>
      <c r="M3263" s="85">
        <v>0</v>
      </c>
      <c r="N3263" s="82" t="s">
        <v>11635</v>
      </c>
      <c r="O3263" s="93">
        <v>45873.215868055559</v>
      </c>
    </row>
    <row r="3264" spans="1:15" ht="22.5" customHeight="1">
      <c r="A3264" s="85">
        <v>174904221976312</v>
      </c>
      <c r="B3264" s="82" t="s">
        <v>10651</v>
      </c>
      <c r="C3264" s="82" t="s">
        <v>11636</v>
      </c>
      <c r="D3264" s="82" t="s">
        <v>11637</v>
      </c>
      <c r="E3264" s="82">
        <v>6282154233977</v>
      </c>
      <c r="F3264" s="94">
        <v>45872</v>
      </c>
      <c r="G3264" s="87">
        <v>766</v>
      </c>
      <c r="H3264" s="88">
        <v>15598.398169336384</v>
      </c>
      <c r="I3264" s="89">
        <v>32</v>
      </c>
      <c r="J3264" s="90">
        <v>13633</v>
      </c>
      <c r="K3264" s="85">
        <v>4</v>
      </c>
      <c r="L3264" s="85">
        <v>219</v>
      </c>
      <c r="M3264" s="85">
        <v>0</v>
      </c>
      <c r="N3264" s="82" t="s">
        <v>11638</v>
      </c>
      <c r="O3264" s="93">
        <v>45873.215868055559</v>
      </c>
    </row>
    <row r="3265" spans="1:15" ht="22.5" customHeight="1">
      <c r="A3265" s="85">
        <v>174904221976312</v>
      </c>
      <c r="B3265" s="82" t="s">
        <v>10651</v>
      </c>
      <c r="C3265" s="82" t="s">
        <v>11639</v>
      </c>
      <c r="D3265" s="82" t="s">
        <v>9010</v>
      </c>
      <c r="E3265" s="82">
        <v>6281111121020</v>
      </c>
      <c r="F3265" s="94">
        <v>45872</v>
      </c>
      <c r="G3265" s="87">
        <v>817</v>
      </c>
      <c r="H3265" s="88">
        <v>13378.159757330637</v>
      </c>
      <c r="I3265" s="89">
        <v>29</v>
      </c>
      <c r="J3265" s="90">
        <v>13231</v>
      </c>
      <c r="K3265" s="85">
        <v>4</v>
      </c>
      <c r="L3265" s="85">
        <v>178</v>
      </c>
      <c r="M3265" s="85">
        <v>1</v>
      </c>
      <c r="N3265" s="82" t="s">
        <v>11640</v>
      </c>
      <c r="O3265" s="93">
        <v>45873.215902777774</v>
      </c>
    </row>
    <row r="3266" spans="1:15" ht="22.5" customHeight="1">
      <c r="A3266" s="85">
        <v>174904221976312</v>
      </c>
      <c r="B3266" s="82" t="s">
        <v>10651</v>
      </c>
      <c r="C3266" s="82" t="s">
        <v>11641</v>
      </c>
      <c r="D3266" s="82" t="s">
        <v>3229</v>
      </c>
      <c r="E3266" s="82">
        <v>6287865111033</v>
      </c>
      <c r="F3266" s="94">
        <v>45872</v>
      </c>
      <c r="G3266" s="87">
        <v>1877</v>
      </c>
      <c r="H3266" s="88">
        <v>6506.0129509713233</v>
      </c>
      <c r="I3266" s="89">
        <v>43</v>
      </c>
      <c r="J3266" s="90">
        <v>14066</v>
      </c>
      <c r="K3266" s="85">
        <v>5</v>
      </c>
      <c r="L3266" s="85">
        <v>55</v>
      </c>
      <c r="M3266" s="85">
        <v>0</v>
      </c>
      <c r="N3266" s="82" t="s">
        <v>11642</v>
      </c>
      <c r="O3266" s="93">
        <v>45873.776828703703</v>
      </c>
    </row>
    <row r="3267" spans="1:15" ht="22.5" customHeight="1">
      <c r="A3267" s="85">
        <v>174904221976312</v>
      </c>
      <c r="B3267" s="82" t="s">
        <v>10651</v>
      </c>
      <c r="C3267" s="82" t="s">
        <v>11643</v>
      </c>
      <c r="D3267" s="82" t="s">
        <v>11644</v>
      </c>
      <c r="E3267" s="82">
        <v>6281330410391</v>
      </c>
      <c r="F3267" s="94">
        <v>45872</v>
      </c>
      <c r="G3267" s="87">
        <v>1041</v>
      </c>
      <c r="H3267" s="88">
        <v>16755.295836376918</v>
      </c>
      <c r="I3267" s="89">
        <v>72</v>
      </c>
      <c r="J3267" s="90">
        <v>22938</v>
      </c>
      <c r="K3267" s="85">
        <v>8</v>
      </c>
      <c r="L3267" s="85">
        <v>457</v>
      </c>
      <c r="M3267" s="85">
        <v>1</v>
      </c>
      <c r="N3267" s="82" t="s">
        <v>11681</v>
      </c>
      <c r="O3267" s="93">
        <v>45872.372071759259</v>
      </c>
    </row>
    <row r="3268" spans="1:15" ht="22.5" customHeight="1">
      <c r="A3268" s="85">
        <v>174904221976312</v>
      </c>
      <c r="B3268" s="82" t="s">
        <v>10651</v>
      </c>
      <c r="C3268" s="82" t="s">
        <v>11646</v>
      </c>
      <c r="D3268" s="82" t="s">
        <v>11647</v>
      </c>
      <c r="E3268" s="82">
        <v>6285820117323</v>
      </c>
      <c r="F3268" s="94">
        <v>45872</v>
      </c>
      <c r="G3268" s="87">
        <v>1617</v>
      </c>
      <c r="H3268" s="88">
        <v>6926.2937794040772</v>
      </c>
      <c r="I3268" s="89">
        <v>48</v>
      </c>
      <c r="J3268" s="90">
        <v>13250</v>
      </c>
      <c r="K3268" s="85">
        <v>0</v>
      </c>
      <c r="L3268" s="85">
        <v>206</v>
      </c>
      <c r="M3268" s="85">
        <v>0</v>
      </c>
      <c r="N3268" s="82" t="s">
        <v>11648</v>
      </c>
      <c r="O3268" s="93">
        <v>45873.215879629628</v>
      </c>
    </row>
    <row r="3269" spans="1:15" ht="22.5" customHeight="1">
      <c r="A3269" s="85">
        <v>174904221976312</v>
      </c>
      <c r="B3269" s="82" t="s">
        <v>10651</v>
      </c>
      <c r="C3269" s="82" t="s">
        <v>11606</v>
      </c>
      <c r="D3269" s="82" t="s">
        <v>3105</v>
      </c>
      <c r="E3269" s="82">
        <v>6287745180632</v>
      </c>
      <c r="F3269" s="94">
        <v>45872</v>
      </c>
      <c r="G3269" s="87">
        <v>529</v>
      </c>
      <c r="H3269" s="88">
        <v>14419.410745233969</v>
      </c>
      <c r="I3269" s="89">
        <v>14</v>
      </c>
      <c r="J3269" s="90">
        <v>8320</v>
      </c>
      <c r="K3269" s="85">
        <v>3</v>
      </c>
      <c r="L3269" s="85">
        <v>197</v>
      </c>
      <c r="M3269" s="85">
        <v>0</v>
      </c>
      <c r="N3269" s="82" t="s">
        <v>11607</v>
      </c>
      <c r="O3269" s="93">
        <v>45873.215868055559</v>
      </c>
    </row>
    <row r="3270" spans="1:15" ht="22.5" customHeight="1">
      <c r="A3270" s="85">
        <v>174904221976312</v>
      </c>
      <c r="B3270" s="82" t="s">
        <v>10651</v>
      </c>
      <c r="C3270" s="82" t="s">
        <v>11608</v>
      </c>
      <c r="D3270" s="82" t="s">
        <v>3156</v>
      </c>
      <c r="E3270" s="82">
        <v>6281217126285</v>
      </c>
      <c r="F3270" s="94">
        <v>45872</v>
      </c>
      <c r="G3270" s="87">
        <v>33</v>
      </c>
      <c r="H3270" s="88">
        <v>34969.696969696968</v>
      </c>
      <c r="I3270" s="89">
        <v>3</v>
      </c>
      <c r="J3270" s="90">
        <v>1154</v>
      </c>
      <c r="K3270" s="85">
        <v>0</v>
      </c>
      <c r="L3270" s="85">
        <v>0</v>
      </c>
      <c r="M3270" s="85">
        <v>1</v>
      </c>
      <c r="N3270" s="82" t="s">
        <v>11609</v>
      </c>
      <c r="O3270" s="93">
        <v>45873.215879629628</v>
      </c>
    </row>
    <row r="3271" spans="1:15" ht="22.5" customHeight="1">
      <c r="A3271" s="85">
        <v>174904221976312</v>
      </c>
      <c r="B3271" s="82" t="s">
        <v>10651</v>
      </c>
      <c r="C3271" s="82" t="s">
        <v>11610</v>
      </c>
      <c r="D3271" s="82" t="s">
        <v>11611</v>
      </c>
      <c r="E3271" s="82">
        <v>6285207285812</v>
      </c>
      <c r="F3271" s="94">
        <v>45872</v>
      </c>
      <c r="G3271" s="87">
        <v>71</v>
      </c>
      <c r="H3271" s="88">
        <v>26577.464788732395</v>
      </c>
      <c r="I3271" s="89">
        <v>3</v>
      </c>
      <c r="J3271" s="90">
        <v>1887</v>
      </c>
      <c r="K3271" s="85">
        <v>0</v>
      </c>
      <c r="L3271" s="85">
        <v>28</v>
      </c>
      <c r="M3271" s="85">
        <v>1</v>
      </c>
      <c r="N3271" s="82" t="s">
        <v>11612</v>
      </c>
      <c r="O3271" s="93">
        <v>45873.215879629628</v>
      </c>
    </row>
    <row r="3272" spans="1:15" ht="22.5" customHeight="1">
      <c r="A3272" s="85">
        <v>174904221976312</v>
      </c>
      <c r="B3272" s="82" t="s">
        <v>10651</v>
      </c>
      <c r="C3272" s="82" t="s">
        <v>11613</v>
      </c>
      <c r="D3272" s="82" t="s">
        <v>11614</v>
      </c>
      <c r="E3272" s="82">
        <v>6282186829904</v>
      </c>
      <c r="F3272" s="94">
        <v>45872</v>
      </c>
      <c r="G3272" s="87">
        <v>6</v>
      </c>
      <c r="H3272" s="88">
        <v>78333.333333333328</v>
      </c>
      <c r="I3272" s="89">
        <v>0</v>
      </c>
      <c r="J3272" s="90">
        <v>470</v>
      </c>
      <c r="K3272" s="85">
        <v>0</v>
      </c>
      <c r="L3272" s="85">
        <v>1</v>
      </c>
      <c r="M3272" s="85">
        <v>0</v>
      </c>
      <c r="N3272" s="82" t="s">
        <v>11615</v>
      </c>
      <c r="O3272" s="93">
        <v>45873.215879629628</v>
      </c>
    </row>
    <row r="3273" spans="1:15" ht="22.5" customHeight="1">
      <c r="A3273" s="85">
        <v>174904221976312</v>
      </c>
      <c r="B3273" s="82" t="s">
        <v>10651</v>
      </c>
      <c r="C3273" s="82" t="s">
        <v>11578</v>
      </c>
      <c r="D3273" s="82" t="s">
        <v>1624</v>
      </c>
      <c r="E3273" s="82">
        <v>6281938384000</v>
      </c>
      <c r="F3273" s="94">
        <v>45872</v>
      </c>
      <c r="G3273" s="87">
        <v>1107</v>
      </c>
      <c r="H3273" s="88">
        <v>9360.3896103896113</v>
      </c>
      <c r="I3273" s="89">
        <v>30</v>
      </c>
      <c r="J3273" s="90">
        <v>11532</v>
      </c>
      <c r="K3273" s="85">
        <v>1</v>
      </c>
      <c r="L3273" s="85">
        <v>365</v>
      </c>
      <c r="M3273" s="85">
        <v>0</v>
      </c>
      <c r="N3273" s="82" t="s">
        <v>11579</v>
      </c>
      <c r="O3273" s="93">
        <v>45873.547685185185</v>
      </c>
    </row>
    <row r="3274" spans="1:15" ht="22.5" customHeight="1">
      <c r="A3274" s="85">
        <v>174904221976312</v>
      </c>
      <c r="B3274" s="82" t="s">
        <v>10651</v>
      </c>
      <c r="C3274" s="82" t="s">
        <v>11580</v>
      </c>
      <c r="D3274" s="82" t="s">
        <v>11581</v>
      </c>
      <c r="E3274" s="82">
        <v>6287790276733</v>
      </c>
      <c r="F3274" s="94">
        <v>45872</v>
      </c>
      <c r="G3274" s="87">
        <v>671</v>
      </c>
      <c r="H3274" s="88">
        <v>15289.986996098829</v>
      </c>
      <c r="I3274" s="89">
        <v>11</v>
      </c>
      <c r="J3274" s="90">
        <v>11758</v>
      </c>
      <c r="K3274" s="85">
        <v>1</v>
      </c>
      <c r="L3274" s="85">
        <v>115</v>
      </c>
      <c r="M3274" s="85">
        <v>0</v>
      </c>
      <c r="N3274" s="82" t="s">
        <v>11582</v>
      </c>
      <c r="O3274" s="93">
        <v>45873.505474537036</v>
      </c>
    </row>
    <row r="3275" spans="1:15" ht="22.5" customHeight="1">
      <c r="A3275" s="85">
        <v>174904221976312</v>
      </c>
      <c r="B3275" s="82" t="s">
        <v>10651</v>
      </c>
      <c r="C3275" s="82" t="s">
        <v>11586</v>
      </c>
      <c r="D3275" s="82" t="s">
        <v>11587</v>
      </c>
      <c r="E3275" s="82">
        <v>6281280241630</v>
      </c>
      <c r="F3275" s="94">
        <v>45872</v>
      </c>
      <c r="G3275" s="87">
        <v>479</v>
      </c>
      <c r="H3275" s="88">
        <v>25685.658153241649</v>
      </c>
      <c r="I3275" s="89">
        <v>13</v>
      </c>
      <c r="J3275" s="90">
        <v>13074</v>
      </c>
      <c r="K3275" s="85">
        <v>2</v>
      </c>
      <c r="L3275" s="85">
        <v>95</v>
      </c>
      <c r="M3275" s="85">
        <v>0</v>
      </c>
      <c r="N3275" s="82" t="s">
        <v>11588</v>
      </c>
      <c r="O3275" s="93">
        <v>45873.52611111111</v>
      </c>
    </row>
    <row r="3276" spans="1:15" ht="22.5" customHeight="1">
      <c r="A3276" s="85">
        <v>174904221976312</v>
      </c>
      <c r="B3276" s="82" t="s">
        <v>10651</v>
      </c>
      <c r="C3276" s="82" t="s">
        <v>11589</v>
      </c>
      <c r="D3276" s="82" t="s">
        <v>3120</v>
      </c>
      <c r="E3276" s="82">
        <v>6281255005229</v>
      </c>
      <c r="F3276" s="94">
        <v>45872</v>
      </c>
      <c r="G3276" s="87">
        <v>1372</v>
      </c>
      <c r="H3276" s="88">
        <v>9355.2631578947367</v>
      </c>
      <c r="I3276" s="89">
        <v>42</v>
      </c>
      <c r="J3276" s="90">
        <v>14931</v>
      </c>
      <c r="K3276" s="85">
        <v>4</v>
      </c>
      <c r="L3276" s="85">
        <v>243</v>
      </c>
      <c r="M3276" s="85">
        <v>1</v>
      </c>
      <c r="N3276" s="82" t="s">
        <v>11590</v>
      </c>
      <c r="O3276" s="93">
        <v>45873.380543981482</v>
      </c>
    </row>
    <row r="3277" spans="1:15" ht="22.5" customHeight="1">
      <c r="A3277" s="85">
        <v>174904221976312</v>
      </c>
      <c r="B3277" s="82" t="s">
        <v>10651</v>
      </c>
      <c r="C3277" s="82" t="s">
        <v>11649</v>
      </c>
      <c r="D3277" s="82" t="s">
        <v>11650</v>
      </c>
      <c r="E3277" s="82">
        <v>62823885166777</v>
      </c>
      <c r="F3277" s="94">
        <v>45872</v>
      </c>
      <c r="G3277" s="87">
        <v>103</v>
      </c>
      <c r="H3277" s="88">
        <v>109661.01694915254</v>
      </c>
      <c r="I3277" s="89">
        <v>2</v>
      </c>
      <c r="J3277" s="90">
        <v>12940</v>
      </c>
      <c r="K3277" s="85">
        <v>0</v>
      </c>
      <c r="L3277" s="85">
        <v>22</v>
      </c>
      <c r="M3277" s="85">
        <v>0</v>
      </c>
      <c r="N3277" s="82" t="s">
        <v>11651</v>
      </c>
      <c r="O3277" s="93">
        <v>45873.463842592595</v>
      </c>
    </row>
    <row r="3278" spans="1:15" ht="22.5" customHeight="1">
      <c r="A3278" s="85">
        <v>174904221976312</v>
      </c>
      <c r="B3278" s="82" t="s">
        <v>10651</v>
      </c>
      <c r="C3278" s="82" t="s">
        <v>11559</v>
      </c>
      <c r="D3278" s="82" t="s">
        <v>11560</v>
      </c>
      <c r="E3278" s="82">
        <v>6282333203355</v>
      </c>
      <c r="F3278" s="94">
        <v>45872</v>
      </c>
      <c r="G3278" s="87">
        <v>221</v>
      </c>
      <c r="H3278" s="88">
        <v>47949.790794979082</v>
      </c>
      <c r="I3278" s="89">
        <v>6</v>
      </c>
      <c r="J3278" s="90">
        <v>11460</v>
      </c>
      <c r="K3278" s="85">
        <v>1</v>
      </c>
      <c r="L3278" s="85">
        <v>23</v>
      </c>
      <c r="M3278" s="85">
        <v>0</v>
      </c>
      <c r="N3278" s="82" t="s">
        <v>11561</v>
      </c>
      <c r="O3278" s="93">
        <v>45873.631064814814</v>
      </c>
    </row>
    <row r="3279" spans="1:15" ht="22.5" customHeight="1">
      <c r="A3279" s="85">
        <v>174904221976312</v>
      </c>
      <c r="B3279" s="82" t="s">
        <v>10651</v>
      </c>
      <c r="C3279" s="82" t="s">
        <v>11535</v>
      </c>
      <c r="D3279" s="82" t="s">
        <v>2969</v>
      </c>
      <c r="E3279" s="82">
        <v>6281286402030</v>
      </c>
      <c r="F3279" s="94">
        <v>45872</v>
      </c>
      <c r="G3279" s="87">
        <v>560</v>
      </c>
      <c r="H3279" s="88">
        <v>22234.991423670668</v>
      </c>
      <c r="I3279" s="89">
        <v>18</v>
      </c>
      <c r="J3279" s="90">
        <v>12963</v>
      </c>
      <c r="K3279" s="85">
        <v>0</v>
      </c>
      <c r="L3279" s="85">
        <v>32</v>
      </c>
      <c r="M3279" s="85">
        <v>0</v>
      </c>
      <c r="N3279" s="82" t="s">
        <v>11536</v>
      </c>
      <c r="O3279" s="93">
        <v>45873.610277777778</v>
      </c>
    </row>
    <row r="3280" spans="1:15" ht="22.5" customHeight="1">
      <c r="A3280" s="85">
        <v>174904221976312</v>
      </c>
      <c r="B3280" s="82" t="s">
        <v>10651</v>
      </c>
      <c r="C3280" s="82" t="s">
        <v>11539</v>
      </c>
      <c r="D3280" s="82" t="s">
        <v>2754</v>
      </c>
      <c r="E3280" s="82">
        <v>6285186697099</v>
      </c>
      <c r="F3280" s="94">
        <v>45872</v>
      </c>
      <c r="G3280" s="87">
        <v>106</v>
      </c>
      <c r="H3280" s="88">
        <v>96460.176991150453</v>
      </c>
      <c r="I3280" s="89">
        <v>3</v>
      </c>
      <c r="J3280" s="90">
        <v>10900</v>
      </c>
      <c r="K3280" s="85">
        <v>1</v>
      </c>
      <c r="L3280" s="85">
        <v>34</v>
      </c>
      <c r="M3280" s="85">
        <v>0</v>
      </c>
      <c r="N3280" s="82" t="s">
        <v>11540</v>
      </c>
      <c r="O3280" s="93">
        <v>45873.215879629628</v>
      </c>
    </row>
    <row r="3281" spans="1:15" ht="22.5" customHeight="1">
      <c r="A3281" s="85">
        <v>174904221976312</v>
      </c>
      <c r="B3281" s="82" t="s">
        <v>10651</v>
      </c>
      <c r="C3281" s="82" t="s">
        <v>11520</v>
      </c>
      <c r="D3281" s="82" t="s">
        <v>2776</v>
      </c>
      <c r="E3281" s="82">
        <v>6285657238556</v>
      </c>
      <c r="F3281" s="94">
        <v>45872</v>
      </c>
      <c r="G3281" s="87">
        <v>391</v>
      </c>
      <c r="H3281" s="88">
        <v>30356.107660455487</v>
      </c>
      <c r="I3281" s="89">
        <v>15</v>
      </c>
      <c r="J3281" s="90">
        <v>14662</v>
      </c>
      <c r="K3281" s="85">
        <v>0</v>
      </c>
      <c r="L3281" s="85">
        <v>140</v>
      </c>
      <c r="M3281" s="85">
        <v>1</v>
      </c>
      <c r="N3281" s="82" t="s">
        <v>11521</v>
      </c>
      <c r="O3281" s="93">
        <v>45873.651307870372</v>
      </c>
    </row>
    <row r="3282" spans="1:15" ht="22.5" customHeight="1">
      <c r="A3282" s="85">
        <v>174904221976312</v>
      </c>
      <c r="B3282" s="82" t="s">
        <v>10651</v>
      </c>
      <c r="C3282" s="82" t="s">
        <v>11464</v>
      </c>
      <c r="D3282" s="82" t="s">
        <v>11465</v>
      </c>
      <c r="E3282" s="82">
        <v>62816904358</v>
      </c>
      <c r="F3282" s="94">
        <v>45872</v>
      </c>
      <c r="G3282" s="87">
        <v>488</v>
      </c>
      <c r="H3282" s="88">
        <v>22083.333333333332</v>
      </c>
      <c r="I3282" s="89">
        <v>22</v>
      </c>
      <c r="J3282" s="90">
        <v>13250</v>
      </c>
      <c r="K3282" s="85">
        <v>3</v>
      </c>
      <c r="L3282" s="85">
        <v>18</v>
      </c>
      <c r="M3282" s="85">
        <v>0</v>
      </c>
      <c r="N3282" s="82" t="s">
        <v>11466</v>
      </c>
      <c r="O3282" s="93">
        <v>45873.610277777778</v>
      </c>
    </row>
    <row r="3283" spans="1:15" ht="22.5" customHeight="1">
      <c r="A3283" s="85">
        <v>174904221976312</v>
      </c>
      <c r="B3283" s="82" t="s">
        <v>10651</v>
      </c>
      <c r="C3283" s="82" t="s">
        <v>11470</v>
      </c>
      <c r="D3283" s="82" t="s">
        <v>11471</v>
      </c>
      <c r="E3283" s="82">
        <v>6281225745133</v>
      </c>
      <c r="F3283" s="94">
        <v>45872</v>
      </c>
      <c r="G3283" s="87">
        <v>225</v>
      </c>
      <c r="H3283" s="88">
        <v>48903.508771929824</v>
      </c>
      <c r="I3283" s="89">
        <v>10</v>
      </c>
      <c r="J3283" s="90">
        <v>11150</v>
      </c>
      <c r="K3283" s="85">
        <v>1</v>
      </c>
      <c r="L3283" s="85">
        <v>125</v>
      </c>
      <c r="M3283" s="85">
        <v>0</v>
      </c>
      <c r="N3283" s="82" t="s">
        <v>11472</v>
      </c>
      <c r="O3283" s="93">
        <v>45873.547673611109</v>
      </c>
    </row>
    <row r="3284" spans="1:15" ht="22.5" customHeight="1">
      <c r="A3284" s="85">
        <v>174904221976312</v>
      </c>
      <c r="B3284" s="82" t="s">
        <v>10651</v>
      </c>
      <c r="C3284" s="82" t="s">
        <v>11309</v>
      </c>
      <c r="D3284" s="82" t="s">
        <v>11350</v>
      </c>
      <c r="E3284" s="82">
        <v>6281229745253</v>
      </c>
      <c r="F3284" s="94">
        <v>45872</v>
      </c>
      <c r="G3284" s="87">
        <v>172</v>
      </c>
      <c r="H3284" s="88">
        <v>67070.270270270266</v>
      </c>
      <c r="I3284" s="89">
        <v>7</v>
      </c>
      <c r="J3284" s="90">
        <v>12408</v>
      </c>
      <c r="K3284" s="85">
        <v>0</v>
      </c>
      <c r="L3284" s="85">
        <v>20</v>
      </c>
      <c r="M3284" s="85">
        <v>0</v>
      </c>
      <c r="N3284" s="82" t="s">
        <v>11351</v>
      </c>
      <c r="O3284" s="93">
        <v>45873.631238425929</v>
      </c>
    </row>
    <row r="3285" spans="1:15" ht="22.5" customHeight="1">
      <c r="A3285" s="85">
        <v>174904221976312</v>
      </c>
      <c r="B3285" s="82" t="s">
        <v>10651</v>
      </c>
      <c r="C3285" s="82" t="s">
        <v>11671</v>
      </c>
      <c r="D3285" s="82" t="s">
        <v>11672</v>
      </c>
      <c r="E3285" s="82">
        <v>6285889229948</v>
      </c>
      <c r="F3285" s="94">
        <v>45872</v>
      </c>
      <c r="G3285" s="87">
        <v>215</v>
      </c>
      <c r="H3285" s="88">
        <v>51457.831325301209</v>
      </c>
      <c r="I3285" s="89">
        <v>8</v>
      </c>
      <c r="J3285" s="90">
        <v>12813</v>
      </c>
      <c r="K3285" s="85">
        <v>0</v>
      </c>
      <c r="L3285" s="85">
        <v>73</v>
      </c>
      <c r="M3285" s="85">
        <v>0</v>
      </c>
      <c r="N3285" s="82" t="s">
        <v>11673</v>
      </c>
      <c r="O3285" s="93">
        <v>45873.464074074072</v>
      </c>
    </row>
    <row r="3286" spans="1:15" ht="22.5" customHeight="1">
      <c r="A3286" s="85">
        <v>174904221976312</v>
      </c>
      <c r="B3286" s="82" t="s">
        <v>10651</v>
      </c>
      <c r="C3286" s="82" t="s">
        <v>11225</v>
      </c>
      <c r="D3286" s="82" t="s">
        <v>11226</v>
      </c>
      <c r="E3286" s="82">
        <v>6281240144744</v>
      </c>
      <c r="F3286" s="94">
        <v>45872</v>
      </c>
      <c r="G3286" s="87">
        <v>1974</v>
      </c>
      <c r="H3286" s="88">
        <v>5938.5929239528259</v>
      </c>
      <c r="I3286" s="89">
        <v>38</v>
      </c>
      <c r="J3286" s="90">
        <v>14603</v>
      </c>
      <c r="K3286" s="85">
        <v>2</v>
      </c>
      <c r="L3286" s="85">
        <v>171</v>
      </c>
      <c r="M3286" s="85">
        <v>1</v>
      </c>
      <c r="N3286" s="82" t="s">
        <v>11227</v>
      </c>
      <c r="O3286" s="93">
        <v>45873.631064814814</v>
      </c>
    </row>
    <row r="3287" spans="1:15" ht="22.5" customHeight="1">
      <c r="A3287" s="85">
        <v>174904221976312</v>
      </c>
      <c r="B3287" s="82" t="s">
        <v>10651</v>
      </c>
      <c r="C3287" s="82" t="s">
        <v>11153</v>
      </c>
      <c r="D3287" s="82" t="s">
        <v>11154</v>
      </c>
      <c r="E3287" s="82">
        <v>6285338137835</v>
      </c>
      <c r="F3287" s="94">
        <v>45872</v>
      </c>
      <c r="G3287" s="87">
        <v>277</v>
      </c>
      <c r="H3287" s="88">
        <v>40652.037617554859</v>
      </c>
      <c r="I3287" s="89">
        <v>9</v>
      </c>
      <c r="J3287" s="90">
        <v>12968</v>
      </c>
      <c r="K3287" s="85">
        <v>4</v>
      </c>
      <c r="L3287" s="85">
        <v>29</v>
      </c>
      <c r="M3287" s="85">
        <v>0</v>
      </c>
      <c r="N3287" s="82" t="s">
        <v>11155</v>
      </c>
      <c r="O3287" s="93">
        <v>45873.610277777778</v>
      </c>
    </row>
    <row r="3288" spans="1:15" ht="22.5" customHeight="1">
      <c r="A3288" s="85">
        <v>174904221976312</v>
      </c>
      <c r="B3288" s="82" t="s">
        <v>10651</v>
      </c>
      <c r="C3288" s="82" t="s">
        <v>10655</v>
      </c>
      <c r="D3288" s="82" t="s">
        <v>3908</v>
      </c>
      <c r="E3288" s="82">
        <v>6285376667233</v>
      </c>
      <c r="F3288" s="94">
        <v>45872</v>
      </c>
      <c r="G3288" s="87">
        <v>1093</v>
      </c>
      <c r="H3288" s="88">
        <v>10759.535655058044</v>
      </c>
      <c r="I3288" s="89">
        <v>28</v>
      </c>
      <c r="J3288" s="90">
        <v>12976</v>
      </c>
      <c r="K3288" s="85">
        <v>4</v>
      </c>
      <c r="L3288" s="85">
        <v>408</v>
      </c>
      <c r="M3288" s="85">
        <v>1</v>
      </c>
      <c r="N3288" s="82" t="s">
        <v>10656</v>
      </c>
      <c r="O3288" s="93">
        <v>45873.422175925924</v>
      </c>
    </row>
    <row r="3289" spans="1:15" ht="22.5" customHeight="1">
      <c r="A3289" s="85">
        <v>759724529202804</v>
      </c>
      <c r="B3289" s="82" t="s">
        <v>10621</v>
      </c>
      <c r="C3289" s="82" t="s">
        <v>11735</v>
      </c>
      <c r="D3289" s="82" t="s">
        <v>3254</v>
      </c>
      <c r="E3289" s="82">
        <v>628127126274</v>
      </c>
      <c r="F3289" s="94">
        <v>45873</v>
      </c>
      <c r="G3289" s="87">
        <v>298</v>
      </c>
      <c r="H3289" s="88">
        <v>39142.48704663213</v>
      </c>
      <c r="I3289" s="89">
        <v>17</v>
      </c>
      <c r="J3289" s="90">
        <v>15109</v>
      </c>
      <c r="K3289" s="85">
        <v>3</v>
      </c>
      <c r="L3289" s="85">
        <v>39</v>
      </c>
      <c r="M3289" s="85">
        <v>1</v>
      </c>
      <c r="N3289" s="82" t="s">
        <v>11736</v>
      </c>
      <c r="O3289" s="93">
        <v>45874.797152777777</v>
      </c>
    </row>
    <row r="3290" spans="1:15" ht="22.5" customHeight="1">
      <c r="A3290" s="85">
        <v>759724529202804</v>
      </c>
      <c r="B3290" s="82" t="s">
        <v>10621</v>
      </c>
      <c r="C3290" s="82" t="s">
        <v>11695</v>
      </c>
      <c r="D3290" s="82" t="s">
        <v>3327</v>
      </c>
      <c r="E3290" s="82">
        <v>6281299298585</v>
      </c>
      <c r="F3290" s="94">
        <v>45873</v>
      </c>
      <c r="G3290" s="87">
        <v>931</v>
      </c>
      <c r="H3290" s="88">
        <v>14206.039076376554</v>
      </c>
      <c r="I3290" s="89">
        <v>18</v>
      </c>
      <c r="J3290" s="90">
        <v>15996</v>
      </c>
      <c r="K3290" s="85">
        <v>1</v>
      </c>
      <c r="L3290" s="85">
        <v>332</v>
      </c>
      <c r="M3290" s="85">
        <v>0</v>
      </c>
      <c r="N3290" s="82" t="s">
        <v>11696</v>
      </c>
      <c r="O3290" s="93">
        <v>45874.693460648145</v>
      </c>
    </row>
    <row r="3291" spans="1:15" ht="22.5" customHeight="1">
      <c r="A3291" s="85">
        <v>759724529202804</v>
      </c>
      <c r="B3291" s="82" t="s">
        <v>10621</v>
      </c>
      <c r="C3291" s="82" t="s">
        <v>11131</v>
      </c>
      <c r="D3291" s="82" t="s">
        <v>9019</v>
      </c>
      <c r="E3291" s="82">
        <v>628562943274</v>
      </c>
      <c r="F3291" s="94">
        <v>45873</v>
      </c>
      <c r="G3291" s="87">
        <v>1058</v>
      </c>
      <c r="H3291" s="88">
        <v>13377.892030848328</v>
      </c>
      <c r="I3291" s="89">
        <v>52</v>
      </c>
      <c r="J3291" s="90">
        <v>15612</v>
      </c>
      <c r="K3291" s="85">
        <v>3</v>
      </c>
      <c r="L3291" s="85">
        <v>339</v>
      </c>
      <c r="M3291" s="85">
        <v>0</v>
      </c>
      <c r="N3291" s="82" t="s">
        <v>11132</v>
      </c>
      <c r="O3291" s="93">
        <v>45874.693460648145</v>
      </c>
    </row>
    <row r="3292" spans="1:15" ht="22.5" customHeight="1">
      <c r="A3292" s="85">
        <v>759724529202804</v>
      </c>
      <c r="B3292" s="82" t="s">
        <v>10621</v>
      </c>
      <c r="C3292" s="82" t="s">
        <v>11070</v>
      </c>
      <c r="D3292" s="82" t="s">
        <v>11071</v>
      </c>
      <c r="E3292" s="82">
        <v>6281246211381</v>
      </c>
      <c r="F3292" s="94">
        <v>45873</v>
      </c>
      <c r="G3292" s="87">
        <v>384</v>
      </c>
      <c r="H3292" s="88">
        <v>35878.504672897194</v>
      </c>
      <c r="I3292" s="89">
        <v>5</v>
      </c>
      <c r="J3292" s="90">
        <v>15356</v>
      </c>
      <c r="K3292" s="85">
        <v>1</v>
      </c>
      <c r="L3292" s="85">
        <v>0</v>
      </c>
      <c r="M3292" s="85">
        <v>0</v>
      </c>
      <c r="N3292" s="82" t="s">
        <v>11072</v>
      </c>
      <c r="O3292" s="93">
        <v>45874.610034722224</v>
      </c>
    </row>
    <row r="3293" spans="1:15" ht="22.5" customHeight="1">
      <c r="A3293" s="85">
        <v>759724529202804</v>
      </c>
      <c r="B3293" s="82" t="s">
        <v>10621</v>
      </c>
      <c r="C3293" s="82" t="s">
        <v>10925</v>
      </c>
      <c r="D3293" s="82" t="s">
        <v>10926</v>
      </c>
      <c r="E3293" s="82">
        <v>6281233038880</v>
      </c>
      <c r="F3293" s="94">
        <v>45873</v>
      </c>
      <c r="G3293" s="87">
        <v>196</v>
      </c>
      <c r="H3293" s="88">
        <v>64632.231404958671</v>
      </c>
      <c r="I3293" s="89">
        <v>6</v>
      </c>
      <c r="J3293" s="90">
        <v>15641</v>
      </c>
      <c r="K3293" s="85">
        <v>0</v>
      </c>
      <c r="L3293" s="85">
        <v>74</v>
      </c>
      <c r="M3293" s="85">
        <v>0</v>
      </c>
      <c r="N3293" s="82" t="s">
        <v>10927</v>
      </c>
      <c r="O3293" s="93">
        <v>45874.214421296296</v>
      </c>
    </row>
    <row r="3294" spans="1:15" ht="22.5" customHeight="1">
      <c r="A3294" s="85">
        <v>174904221976312</v>
      </c>
      <c r="B3294" s="82" t="s">
        <v>10651</v>
      </c>
      <c r="C3294" s="82" t="s">
        <v>11737</v>
      </c>
      <c r="D3294" s="82" t="s">
        <v>11738</v>
      </c>
      <c r="E3294" s="82">
        <v>6282241824727</v>
      </c>
      <c r="F3294" s="94">
        <v>45873</v>
      </c>
      <c r="G3294" s="87">
        <v>171</v>
      </c>
      <c r="H3294" s="88">
        <v>72155.913978494631</v>
      </c>
      <c r="I3294" s="89">
        <v>21</v>
      </c>
      <c r="J3294" s="90">
        <v>13421</v>
      </c>
      <c r="K3294" s="85">
        <v>5</v>
      </c>
      <c r="L3294" s="85">
        <v>0</v>
      </c>
      <c r="M3294" s="85">
        <v>0</v>
      </c>
      <c r="N3294" s="82" t="s">
        <v>11739</v>
      </c>
      <c r="O3294" s="93">
        <v>45874.734826388885</v>
      </c>
    </row>
    <row r="3295" spans="1:15" ht="22.5" customHeight="1">
      <c r="A3295" s="85">
        <v>174904221976312</v>
      </c>
      <c r="B3295" s="82" t="s">
        <v>10651</v>
      </c>
      <c r="C3295" s="82" t="s">
        <v>11740</v>
      </c>
      <c r="D3295" s="82" t="s">
        <v>3562</v>
      </c>
      <c r="E3295" s="82">
        <v>6281558225822</v>
      </c>
      <c r="F3295" s="94">
        <v>45873</v>
      </c>
      <c r="G3295" s="87">
        <v>309</v>
      </c>
      <c r="H3295" s="88">
        <v>32420.420420420422</v>
      </c>
      <c r="I3295" s="89">
        <v>5</v>
      </c>
      <c r="J3295" s="90">
        <v>10796</v>
      </c>
      <c r="K3295" s="85">
        <v>1</v>
      </c>
      <c r="L3295" s="85">
        <v>0</v>
      </c>
      <c r="M3295" s="85">
        <v>0</v>
      </c>
      <c r="N3295" s="82" t="s">
        <v>11741</v>
      </c>
      <c r="O3295" s="93">
        <v>45874.380798611113</v>
      </c>
    </row>
    <row r="3296" spans="1:15" ht="22.5" customHeight="1">
      <c r="A3296" s="85">
        <v>174904221976312</v>
      </c>
      <c r="B3296" s="82" t="s">
        <v>10651</v>
      </c>
      <c r="C3296" s="82" t="s">
        <v>11742</v>
      </c>
      <c r="D3296" s="82" t="s">
        <v>9010</v>
      </c>
      <c r="E3296" s="82">
        <v>6285244535934</v>
      </c>
      <c r="F3296" s="94">
        <v>45873</v>
      </c>
      <c r="G3296" s="87">
        <v>972</v>
      </c>
      <c r="H3296" s="88">
        <v>10647.430830039524</v>
      </c>
      <c r="I3296" s="89">
        <v>37</v>
      </c>
      <c r="J3296" s="90">
        <v>13469</v>
      </c>
      <c r="K3296" s="85">
        <v>6</v>
      </c>
      <c r="L3296" s="85">
        <v>122</v>
      </c>
      <c r="M3296" s="85">
        <v>1</v>
      </c>
      <c r="N3296" s="82" t="s">
        <v>11743</v>
      </c>
      <c r="O3296" s="93">
        <v>45874.776238425926</v>
      </c>
    </row>
    <row r="3297" spans="1:15" ht="22.5" customHeight="1">
      <c r="A3297" s="85">
        <v>174904221976312</v>
      </c>
      <c r="B3297" s="82" t="s">
        <v>10651</v>
      </c>
      <c r="C3297" s="82" t="s">
        <v>11744</v>
      </c>
      <c r="D3297" s="82" t="s">
        <v>11745</v>
      </c>
      <c r="E3297" s="82">
        <v>6287721853921</v>
      </c>
      <c r="F3297" s="94">
        <v>45873</v>
      </c>
      <c r="G3297" s="87">
        <v>638</v>
      </c>
      <c r="H3297" s="88">
        <v>14234.254143646409</v>
      </c>
      <c r="I3297" s="89">
        <v>33</v>
      </c>
      <c r="J3297" s="90">
        <v>12882</v>
      </c>
      <c r="K3297" s="85">
        <v>2</v>
      </c>
      <c r="L3297" s="85">
        <v>0</v>
      </c>
      <c r="M3297" s="85">
        <v>1</v>
      </c>
      <c r="N3297" s="82" t="s">
        <v>11746</v>
      </c>
      <c r="O3297" s="93">
        <v>45874.631157407406</v>
      </c>
    </row>
    <row r="3298" spans="1:15" ht="22.5" customHeight="1">
      <c r="A3298" s="85">
        <v>174904221976312</v>
      </c>
      <c r="B3298" s="82" t="s">
        <v>10651</v>
      </c>
      <c r="C3298" s="82" t="s">
        <v>11747</v>
      </c>
      <c r="D3298" s="82" t="s">
        <v>11748</v>
      </c>
      <c r="E3298" s="82">
        <v>6285378141823</v>
      </c>
      <c r="F3298" s="94">
        <v>45873</v>
      </c>
      <c r="G3298" s="87">
        <v>893</v>
      </c>
      <c r="H3298" s="88">
        <v>10031.923383878691</v>
      </c>
      <c r="I3298" s="89">
        <v>33</v>
      </c>
      <c r="J3298" s="90">
        <v>12570</v>
      </c>
      <c r="K3298" s="85">
        <v>2</v>
      </c>
      <c r="L3298" s="85">
        <v>261</v>
      </c>
      <c r="M3298" s="85">
        <v>1</v>
      </c>
      <c r="N3298" s="82" t="s">
        <v>11749</v>
      </c>
      <c r="O3298" s="93">
        <v>45874.776238425926</v>
      </c>
    </row>
    <row r="3299" spans="1:15" ht="22.5" customHeight="1">
      <c r="A3299" s="85">
        <v>174904221976312</v>
      </c>
      <c r="B3299" s="82" t="s">
        <v>10651</v>
      </c>
      <c r="C3299" s="82" t="s">
        <v>11750</v>
      </c>
      <c r="D3299" s="82" t="s">
        <v>3460</v>
      </c>
      <c r="E3299" s="82">
        <v>6283865096870</v>
      </c>
      <c r="F3299" s="94">
        <v>45873</v>
      </c>
      <c r="G3299" s="87">
        <v>867</v>
      </c>
      <c r="H3299" s="88">
        <v>11372.775800711743</v>
      </c>
      <c r="I3299" s="89">
        <v>26</v>
      </c>
      <c r="J3299" s="90">
        <v>12783</v>
      </c>
      <c r="K3299" s="85">
        <v>3</v>
      </c>
      <c r="L3299" s="85">
        <v>2</v>
      </c>
      <c r="M3299" s="85">
        <v>0</v>
      </c>
      <c r="N3299" s="82" t="s">
        <v>11751</v>
      </c>
      <c r="O3299" s="93">
        <v>45874.218831018516</v>
      </c>
    </row>
    <row r="3300" spans="1:15" ht="22.5" customHeight="1">
      <c r="A3300" s="85">
        <v>174904221976312</v>
      </c>
      <c r="B3300" s="82" t="s">
        <v>10651</v>
      </c>
      <c r="C3300" s="82" t="s">
        <v>11752</v>
      </c>
      <c r="D3300" s="82" t="s">
        <v>11753</v>
      </c>
      <c r="E3300" s="82">
        <v>6281326757091</v>
      </c>
      <c r="F3300" s="94">
        <v>45873</v>
      </c>
      <c r="G3300" s="87">
        <v>700</v>
      </c>
      <c r="H3300" s="88">
        <v>14538.295577130528</v>
      </c>
      <c r="I3300" s="89">
        <v>91</v>
      </c>
      <c r="J3300" s="90">
        <v>13477</v>
      </c>
      <c r="K3300" s="85">
        <v>13</v>
      </c>
      <c r="L3300" s="85">
        <v>0</v>
      </c>
      <c r="M3300" s="85">
        <v>5</v>
      </c>
      <c r="N3300" s="82" t="s">
        <v>11754</v>
      </c>
      <c r="O3300" s="93">
        <v>45874.713877314818</v>
      </c>
    </row>
    <row r="3301" spans="1:15" ht="22.5" customHeight="1">
      <c r="A3301" s="85">
        <v>174904221976312</v>
      </c>
      <c r="B3301" s="82" t="s">
        <v>10651</v>
      </c>
      <c r="C3301" s="82" t="s">
        <v>11755</v>
      </c>
      <c r="D3301" s="82" t="s">
        <v>11756</v>
      </c>
      <c r="E3301" s="82">
        <v>6281357754513</v>
      </c>
      <c r="F3301" s="94">
        <v>45873</v>
      </c>
      <c r="G3301" s="87">
        <v>486</v>
      </c>
      <c r="H3301" s="88">
        <v>21780.656303972366</v>
      </c>
      <c r="I3301" s="89">
        <v>11</v>
      </c>
      <c r="J3301" s="90">
        <v>12611</v>
      </c>
      <c r="K3301" s="85">
        <v>4</v>
      </c>
      <c r="L3301" s="85">
        <v>8</v>
      </c>
      <c r="M3301" s="85">
        <v>0</v>
      </c>
      <c r="N3301" s="82" t="s">
        <v>11757</v>
      </c>
      <c r="O3301" s="93">
        <v>45874.672083333331</v>
      </c>
    </row>
    <row r="3302" spans="1:15" ht="22.5" customHeight="1">
      <c r="A3302" s="85">
        <v>174904221976312</v>
      </c>
      <c r="B3302" s="82" t="s">
        <v>10651</v>
      </c>
      <c r="C3302" s="82" t="s">
        <v>11758</v>
      </c>
      <c r="D3302" s="82" t="s">
        <v>11759</v>
      </c>
      <c r="E3302" s="82">
        <v>6285946504405</v>
      </c>
      <c r="F3302" s="94">
        <v>45873</v>
      </c>
      <c r="G3302" s="87">
        <v>372</v>
      </c>
      <c r="H3302" s="88">
        <v>27933.884297520661</v>
      </c>
      <c r="I3302" s="89">
        <v>17</v>
      </c>
      <c r="J3302" s="90">
        <v>13520</v>
      </c>
      <c r="K3302" s="85">
        <v>5</v>
      </c>
      <c r="L3302" s="85">
        <v>1</v>
      </c>
      <c r="M3302" s="85">
        <v>0</v>
      </c>
      <c r="N3302" s="82" t="s">
        <v>11760</v>
      </c>
      <c r="O3302" s="93">
        <v>45874.713877314818</v>
      </c>
    </row>
    <row r="3303" spans="1:15" ht="22.5" customHeight="1">
      <c r="A3303" s="85">
        <v>174904221976312</v>
      </c>
      <c r="B3303" s="82" t="s">
        <v>10651</v>
      </c>
      <c r="C3303" s="82" t="s">
        <v>11761</v>
      </c>
      <c r="D3303" s="82" t="s">
        <v>3438</v>
      </c>
      <c r="E3303" s="82">
        <v>628154336558</v>
      </c>
      <c r="F3303" s="94">
        <v>45873</v>
      </c>
      <c r="G3303" s="87">
        <v>1031</v>
      </c>
      <c r="H3303" s="88">
        <v>10416.925465838511</v>
      </c>
      <c r="I3303" s="89">
        <v>88</v>
      </c>
      <c r="J3303" s="90">
        <v>13417</v>
      </c>
      <c r="K3303" s="85">
        <v>12</v>
      </c>
      <c r="L3303" s="85">
        <v>651</v>
      </c>
      <c r="M3303" s="85">
        <v>1</v>
      </c>
      <c r="N3303" s="82" t="s">
        <v>11762</v>
      </c>
      <c r="O3303" s="93">
        <v>45874.734837962962</v>
      </c>
    </row>
    <row r="3304" spans="1:15" ht="22.5" customHeight="1">
      <c r="A3304" s="85">
        <v>174904221976312</v>
      </c>
      <c r="B3304" s="82" t="s">
        <v>10651</v>
      </c>
      <c r="C3304" s="82" t="s">
        <v>11763</v>
      </c>
      <c r="D3304" s="82" t="s">
        <v>11764</v>
      </c>
      <c r="E3304" s="82">
        <v>6282384544939</v>
      </c>
      <c r="F3304" s="94">
        <v>45873</v>
      </c>
      <c r="G3304" s="87">
        <v>573</v>
      </c>
      <c r="H3304" s="88">
        <v>17650.406504065042</v>
      </c>
      <c r="I3304" s="89">
        <v>13</v>
      </c>
      <c r="J3304" s="90">
        <v>13026</v>
      </c>
      <c r="K3304" s="85">
        <v>2</v>
      </c>
      <c r="L3304" s="85">
        <v>0</v>
      </c>
      <c r="M3304" s="85">
        <v>0</v>
      </c>
      <c r="N3304" s="82" t="s">
        <v>11765</v>
      </c>
      <c r="O3304" s="93">
        <v>45874.631469907406</v>
      </c>
    </row>
    <row r="3305" spans="1:15" ht="22.5" customHeight="1">
      <c r="A3305" s="85">
        <v>174904221976312</v>
      </c>
      <c r="B3305" s="82" t="s">
        <v>10651</v>
      </c>
      <c r="C3305" s="82" t="s">
        <v>11720</v>
      </c>
      <c r="D3305" s="82" t="s">
        <v>11721</v>
      </c>
      <c r="E3305" s="82">
        <v>628990145388</v>
      </c>
      <c r="F3305" s="94">
        <v>45873</v>
      </c>
      <c r="G3305" s="87">
        <v>417</v>
      </c>
      <c r="H3305" s="88">
        <v>28473.02904564315</v>
      </c>
      <c r="I3305" s="89">
        <v>24</v>
      </c>
      <c r="J3305" s="90">
        <v>13724</v>
      </c>
      <c r="K3305" s="85">
        <v>4</v>
      </c>
      <c r="L3305" s="85">
        <v>139</v>
      </c>
      <c r="M3305" s="85">
        <v>1</v>
      </c>
      <c r="N3305" s="82" t="s">
        <v>11722</v>
      </c>
      <c r="O3305" s="93">
        <v>45874.218831018516</v>
      </c>
    </row>
    <row r="3306" spans="1:15" ht="22.5" customHeight="1">
      <c r="A3306" s="85">
        <v>174904221976312</v>
      </c>
      <c r="B3306" s="82" t="s">
        <v>10651</v>
      </c>
      <c r="C3306" s="82" t="s">
        <v>11723</v>
      </c>
      <c r="D3306" s="82" t="s">
        <v>11724</v>
      </c>
      <c r="E3306" s="82">
        <v>6281226950679</v>
      </c>
      <c r="F3306" s="94">
        <v>45873</v>
      </c>
      <c r="G3306" s="87">
        <v>374</v>
      </c>
      <c r="H3306" s="88">
        <v>33702.5</v>
      </c>
      <c r="I3306" s="89">
        <v>17</v>
      </c>
      <c r="J3306" s="90">
        <v>13481</v>
      </c>
      <c r="K3306" s="85">
        <v>4</v>
      </c>
      <c r="L3306" s="85">
        <v>133</v>
      </c>
      <c r="M3306" s="85">
        <v>1</v>
      </c>
      <c r="N3306" s="82" t="s">
        <v>11725</v>
      </c>
      <c r="O3306" s="93">
        <v>45874.651678240742</v>
      </c>
    </row>
    <row r="3307" spans="1:15" ht="22.5" customHeight="1">
      <c r="A3307" s="85">
        <v>174904221976312</v>
      </c>
      <c r="B3307" s="82" t="s">
        <v>10651</v>
      </c>
      <c r="C3307" s="82" t="s">
        <v>11726</v>
      </c>
      <c r="D3307" s="82" t="s">
        <v>3291</v>
      </c>
      <c r="E3307" s="82">
        <v>6285691146546</v>
      </c>
      <c r="F3307" s="94">
        <v>45873</v>
      </c>
      <c r="G3307" s="87">
        <v>543</v>
      </c>
      <c r="H3307" s="88">
        <v>23635.607321131451</v>
      </c>
      <c r="I3307" s="89">
        <v>29</v>
      </c>
      <c r="J3307" s="90">
        <v>14205</v>
      </c>
      <c r="K3307" s="85">
        <v>5</v>
      </c>
      <c r="L3307" s="85">
        <v>218</v>
      </c>
      <c r="M3307" s="85">
        <v>0</v>
      </c>
      <c r="N3307" s="82" t="s">
        <v>11727</v>
      </c>
      <c r="O3307" s="93">
        <v>45874.610023148147</v>
      </c>
    </row>
    <row r="3308" spans="1:15" ht="22.5" customHeight="1">
      <c r="A3308" s="85">
        <v>174904221976312</v>
      </c>
      <c r="B3308" s="82" t="s">
        <v>10651</v>
      </c>
      <c r="C3308" s="82" t="s">
        <v>11728</v>
      </c>
      <c r="D3308" s="82" t="s">
        <v>11729</v>
      </c>
      <c r="E3308" s="82">
        <v>628122703083</v>
      </c>
      <c r="F3308" s="94">
        <v>45873</v>
      </c>
      <c r="G3308" s="87">
        <v>296</v>
      </c>
      <c r="H3308" s="88">
        <v>33123.028391167187</v>
      </c>
      <c r="I3308" s="89">
        <v>10</v>
      </c>
      <c r="J3308" s="90">
        <v>10500</v>
      </c>
      <c r="K3308" s="85">
        <v>1</v>
      </c>
      <c r="L3308" s="85">
        <v>85</v>
      </c>
      <c r="M3308" s="85">
        <v>0</v>
      </c>
      <c r="N3308" s="82" t="s">
        <v>11730</v>
      </c>
      <c r="O3308" s="93">
        <v>45874.484583333331</v>
      </c>
    </row>
    <row r="3309" spans="1:15" ht="22.5" customHeight="1">
      <c r="A3309" s="85">
        <v>174904221976312</v>
      </c>
      <c r="B3309" s="82" t="s">
        <v>10651</v>
      </c>
      <c r="C3309" s="82" t="s">
        <v>11731</v>
      </c>
      <c r="D3309" s="82" t="s">
        <v>3465</v>
      </c>
      <c r="E3309" s="82">
        <v>6285920572002</v>
      </c>
      <c r="F3309" s="94">
        <v>45873</v>
      </c>
      <c r="G3309" s="87">
        <v>347</v>
      </c>
      <c r="H3309" s="88">
        <v>31256.410256410254</v>
      </c>
      <c r="I3309" s="89">
        <v>25</v>
      </c>
      <c r="J3309" s="90">
        <v>13409</v>
      </c>
      <c r="K3309" s="85">
        <v>5</v>
      </c>
      <c r="L3309" s="85">
        <v>159</v>
      </c>
      <c r="M3309" s="85">
        <v>0</v>
      </c>
      <c r="N3309" s="82" t="s">
        <v>11732</v>
      </c>
      <c r="O3309" s="93">
        <v>45874.776238425926</v>
      </c>
    </row>
    <row r="3310" spans="1:15" ht="22.5" customHeight="1">
      <c r="A3310" s="85">
        <v>174904221976312</v>
      </c>
      <c r="B3310" s="82" t="s">
        <v>10651</v>
      </c>
      <c r="C3310" s="82" t="s">
        <v>11733</v>
      </c>
      <c r="D3310" s="82" t="s">
        <v>3479</v>
      </c>
      <c r="E3310" s="82">
        <v>6285780314346</v>
      </c>
      <c r="F3310" s="94">
        <v>45873</v>
      </c>
      <c r="G3310" s="87">
        <v>886</v>
      </c>
      <c r="H3310" s="88">
        <v>13718.232044198896</v>
      </c>
      <c r="I3310" s="89">
        <v>67</v>
      </c>
      <c r="J3310" s="90">
        <v>14898</v>
      </c>
      <c r="K3310" s="85">
        <v>10</v>
      </c>
      <c r="L3310" s="85">
        <v>150</v>
      </c>
      <c r="M3310" s="85">
        <v>0</v>
      </c>
      <c r="N3310" s="82" t="s">
        <v>11734</v>
      </c>
      <c r="O3310" s="93">
        <v>45874.756018518521</v>
      </c>
    </row>
    <row r="3311" spans="1:15" ht="22.5" customHeight="1">
      <c r="A3311" s="85">
        <v>174904221976312</v>
      </c>
      <c r="B3311" s="82" t="s">
        <v>10651</v>
      </c>
      <c r="C3311" s="82" t="s">
        <v>11697</v>
      </c>
      <c r="D3311" s="82" t="s">
        <v>3387</v>
      </c>
      <c r="E3311" s="82">
        <v>6285326750989</v>
      </c>
      <c r="F3311" s="94">
        <v>45873</v>
      </c>
      <c r="G3311" s="87">
        <v>504</v>
      </c>
      <c r="H3311" s="88">
        <v>21140.977443609019</v>
      </c>
      <c r="I3311" s="89">
        <v>20</v>
      </c>
      <c r="J3311" s="90">
        <v>11247</v>
      </c>
      <c r="K3311" s="85">
        <v>1</v>
      </c>
      <c r="L3311" s="85">
        <v>233</v>
      </c>
      <c r="M3311" s="85">
        <v>0</v>
      </c>
      <c r="N3311" s="82" t="s">
        <v>11698</v>
      </c>
      <c r="O3311" s="93">
        <v>45874.589131944442</v>
      </c>
    </row>
    <row r="3312" spans="1:15" ht="22.5" customHeight="1">
      <c r="A3312" s="85">
        <v>174904221976312</v>
      </c>
      <c r="B3312" s="82" t="s">
        <v>10651</v>
      </c>
      <c r="C3312" s="82" t="s">
        <v>11699</v>
      </c>
      <c r="D3312" s="82" t="s">
        <v>3305</v>
      </c>
      <c r="E3312" s="82">
        <v>6282249348536</v>
      </c>
      <c r="F3312" s="94">
        <v>45873</v>
      </c>
      <c r="G3312" s="87">
        <v>769</v>
      </c>
      <c r="H3312" s="88">
        <v>13186.457311089303</v>
      </c>
      <c r="I3312" s="89">
        <v>42</v>
      </c>
      <c r="J3312" s="90">
        <v>13437</v>
      </c>
      <c r="K3312" s="85">
        <v>10</v>
      </c>
      <c r="L3312" s="85">
        <v>299</v>
      </c>
      <c r="M3312" s="85">
        <v>0</v>
      </c>
      <c r="N3312" s="82" t="s">
        <v>11700</v>
      </c>
      <c r="O3312" s="93">
        <v>45874.631157407406</v>
      </c>
    </row>
    <row r="3313" spans="1:15" ht="22.5" customHeight="1">
      <c r="A3313" s="85">
        <v>174904221976312</v>
      </c>
      <c r="B3313" s="82" t="s">
        <v>10651</v>
      </c>
      <c r="C3313" s="82" t="s">
        <v>11701</v>
      </c>
      <c r="D3313" s="82" t="s">
        <v>11702</v>
      </c>
      <c r="E3313" s="82">
        <v>6288802749485</v>
      </c>
      <c r="F3313" s="94">
        <v>45873</v>
      </c>
      <c r="G3313" s="87">
        <v>801</v>
      </c>
      <c r="H3313" s="88">
        <v>14993.596584845251</v>
      </c>
      <c r="I3313" s="89">
        <v>63</v>
      </c>
      <c r="J3313" s="90">
        <v>14049</v>
      </c>
      <c r="K3313" s="85">
        <v>8</v>
      </c>
      <c r="L3313" s="85">
        <v>2</v>
      </c>
      <c r="M3313" s="85">
        <v>3</v>
      </c>
      <c r="N3313" s="82" t="s">
        <v>11703</v>
      </c>
      <c r="O3313" s="93">
        <v>45874.818182870367</v>
      </c>
    </row>
    <row r="3314" spans="1:15" ht="22.5" customHeight="1">
      <c r="A3314" s="85">
        <v>174904221976312</v>
      </c>
      <c r="B3314" s="82" t="s">
        <v>10651</v>
      </c>
      <c r="C3314" s="82" t="s">
        <v>11704</v>
      </c>
      <c r="D3314" s="82" t="s">
        <v>3334</v>
      </c>
      <c r="E3314" s="82">
        <v>6282118113002</v>
      </c>
      <c r="F3314" s="94">
        <v>45873</v>
      </c>
      <c r="G3314" s="87">
        <v>322</v>
      </c>
      <c r="H3314" s="88">
        <v>38973.053892215568</v>
      </c>
      <c r="I3314" s="89">
        <v>12</v>
      </c>
      <c r="J3314" s="90">
        <v>13017</v>
      </c>
      <c r="K3314" s="85">
        <v>3</v>
      </c>
      <c r="L3314" s="85">
        <v>112</v>
      </c>
      <c r="M3314" s="85">
        <v>0</v>
      </c>
      <c r="N3314" s="82" t="s">
        <v>11705</v>
      </c>
      <c r="O3314" s="93">
        <v>45874.589166666665</v>
      </c>
    </row>
    <row r="3315" spans="1:15" ht="22.5" customHeight="1">
      <c r="A3315" s="85">
        <v>174904221976312</v>
      </c>
      <c r="B3315" s="82" t="s">
        <v>10651</v>
      </c>
      <c r="C3315" s="82" t="s">
        <v>11706</v>
      </c>
      <c r="D3315" s="82" t="s">
        <v>3298</v>
      </c>
      <c r="E3315" s="82">
        <v>6281362440234</v>
      </c>
      <c r="F3315" s="94">
        <v>45873</v>
      </c>
      <c r="G3315" s="87">
        <v>628</v>
      </c>
      <c r="H3315" s="88">
        <v>20686.713286713286</v>
      </c>
      <c r="I3315" s="89">
        <v>34</v>
      </c>
      <c r="J3315" s="90">
        <v>14791</v>
      </c>
      <c r="K3315" s="85">
        <v>4</v>
      </c>
      <c r="L3315" s="85">
        <v>409</v>
      </c>
      <c r="M3315" s="85">
        <v>0</v>
      </c>
      <c r="N3315" s="82" t="s">
        <v>11707</v>
      </c>
      <c r="O3315" s="93">
        <v>45874.651678240742</v>
      </c>
    </row>
    <row r="3316" spans="1:15" ht="22.5" customHeight="1">
      <c r="A3316" s="85">
        <v>174904221976312</v>
      </c>
      <c r="B3316" s="82" t="s">
        <v>10651</v>
      </c>
      <c r="C3316" s="82" t="s">
        <v>11708</v>
      </c>
      <c r="D3316" s="82" t="s">
        <v>11709</v>
      </c>
      <c r="E3316" s="82">
        <v>6285294617773</v>
      </c>
      <c r="F3316" s="94">
        <v>45873</v>
      </c>
      <c r="G3316" s="87">
        <v>393</v>
      </c>
      <c r="H3316" s="88">
        <v>27043.209876543209</v>
      </c>
      <c r="I3316" s="89">
        <v>32</v>
      </c>
      <c r="J3316" s="90">
        <v>13143</v>
      </c>
      <c r="K3316" s="85">
        <v>6</v>
      </c>
      <c r="L3316" s="85">
        <v>61</v>
      </c>
      <c r="M3316" s="85">
        <v>0</v>
      </c>
      <c r="N3316" s="82" t="s">
        <v>11710</v>
      </c>
      <c r="O3316" s="93">
        <v>45874.218819444446</v>
      </c>
    </row>
    <row r="3317" spans="1:15" ht="22.5" customHeight="1">
      <c r="A3317" s="85">
        <v>174904221976312</v>
      </c>
      <c r="B3317" s="82" t="s">
        <v>10651</v>
      </c>
      <c r="C3317" s="82" t="s">
        <v>11674</v>
      </c>
      <c r="D3317" s="82" t="s">
        <v>2688</v>
      </c>
      <c r="E3317" s="82">
        <v>6281392854108</v>
      </c>
      <c r="F3317" s="94">
        <v>45873</v>
      </c>
      <c r="G3317" s="87">
        <v>11371</v>
      </c>
      <c r="H3317" s="88">
        <v>1080.7976620250988</v>
      </c>
      <c r="I3317" s="89">
        <v>12</v>
      </c>
      <c r="J3317" s="90">
        <v>12574</v>
      </c>
      <c r="K3317" s="85">
        <v>0</v>
      </c>
      <c r="L3317" s="85">
        <v>68</v>
      </c>
      <c r="M3317" s="85">
        <v>0</v>
      </c>
      <c r="N3317" s="82" t="s">
        <v>11675</v>
      </c>
      <c r="O3317" s="93">
        <v>45874.651400462964</v>
      </c>
    </row>
    <row r="3318" spans="1:15" ht="22.5" customHeight="1">
      <c r="A3318" s="85">
        <v>174904221976312</v>
      </c>
      <c r="B3318" s="82" t="s">
        <v>10651</v>
      </c>
      <c r="C3318" s="82" t="s">
        <v>11676</v>
      </c>
      <c r="D3318" s="82" t="s">
        <v>2580</v>
      </c>
      <c r="E3318" s="82">
        <v>6287829346006</v>
      </c>
      <c r="F3318" s="94">
        <v>45873</v>
      </c>
      <c r="G3318" s="87">
        <v>10459</v>
      </c>
      <c r="H3318" s="88">
        <v>1153.8891997761611</v>
      </c>
      <c r="I3318" s="89">
        <v>16</v>
      </c>
      <c r="J3318" s="90">
        <v>12372</v>
      </c>
      <c r="K3318" s="85">
        <v>0</v>
      </c>
      <c r="L3318" s="85">
        <v>18</v>
      </c>
      <c r="M3318" s="85">
        <v>0</v>
      </c>
      <c r="N3318" s="82" t="s">
        <v>11677</v>
      </c>
      <c r="O3318" s="93">
        <v>45874.630752314813</v>
      </c>
    </row>
    <row r="3319" spans="1:15" ht="22.5" customHeight="1">
      <c r="A3319" s="85">
        <v>174904221976312</v>
      </c>
      <c r="B3319" s="82" t="s">
        <v>10651</v>
      </c>
      <c r="C3319" s="82" t="s">
        <v>11678</v>
      </c>
      <c r="D3319" s="82" t="s">
        <v>11679</v>
      </c>
      <c r="E3319" s="82">
        <v>628111099911</v>
      </c>
      <c r="F3319" s="94">
        <v>45873</v>
      </c>
      <c r="G3319" s="87">
        <v>319</v>
      </c>
      <c r="H3319" s="88">
        <v>30233.100233100235</v>
      </c>
      <c r="I3319" s="89">
        <v>26</v>
      </c>
      <c r="J3319" s="90">
        <v>12970</v>
      </c>
      <c r="K3319" s="85">
        <v>3</v>
      </c>
      <c r="L3319" s="85">
        <v>127</v>
      </c>
      <c r="M3319" s="85">
        <v>0</v>
      </c>
      <c r="N3319" s="82" t="s">
        <v>11680</v>
      </c>
      <c r="O3319" s="93">
        <v>45874.610034722224</v>
      </c>
    </row>
    <row r="3320" spans="1:15" ht="22.5" customHeight="1">
      <c r="A3320" s="85">
        <v>174904221976312</v>
      </c>
      <c r="B3320" s="82" t="s">
        <v>10651</v>
      </c>
      <c r="C3320" s="82" t="s">
        <v>11711</v>
      </c>
      <c r="D3320" s="82" t="s">
        <v>11712</v>
      </c>
      <c r="E3320" s="82">
        <v>6285286258400</v>
      </c>
      <c r="F3320" s="94">
        <v>45873</v>
      </c>
      <c r="G3320" s="87">
        <v>516</v>
      </c>
      <c r="H3320" s="88">
        <v>21467.741935483871</v>
      </c>
      <c r="I3320" s="89">
        <v>27</v>
      </c>
      <c r="J3320" s="90">
        <v>13310</v>
      </c>
      <c r="K3320" s="85">
        <v>0</v>
      </c>
      <c r="L3320" s="85">
        <v>78</v>
      </c>
      <c r="M3320" s="85">
        <v>0</v>
      </c>
      <c r="N3320" s="82" t="s">
        <v>11713</v>
      </c>
      <c r="O3320" s="93">
        <v>45874.464085648149</v>
      </c>
    </row>
    <row r="3321" spans="1:15" ht="22.5" customHeight="1">
      <c r="A3321" s="85">
        <v>174904221976312</v>
      </c>
      <c r="B3321" s="82" t="s">
        <v>10651</v>
      </c>
      <c r="C3321" s="82" t="s">
        <v>11652</v>
      </c>
      <c r="D3321" s="82" t="s">
        <v>3236</v>
      </c>
      <c r="E3321" s="82">
        <v>6283831211890</v>
      </c>
      <c r="F3321" s="94">
        <v>45873</v>
      </c>
      <c r="G3321" s="87">
        <v>424</v>
      </c>
      <c r="H3321" s="88">
        <v>26641.468682505401</v>
      </c>
      <c r="I3321" s="89">
        <v>15</v>
      </c>
      <c r="J3321" s="90">
        <v>12335</v>
      </c>
      <c r="K3321" s="85">
        <v>1</v>
      </c>
      <c r="L3321" s="85">
        <v>99</v>
      </c>
      <c r="M3321" s="85">
        <v>0</v>
      </c>
      <c r="N3321" s="82" t="s">
        <v>11653</v>
      </c>
      <c r="O3321" s="93">
        <v>45874.339224537034</v>
      </c>
    </row>
    <row r="3322" spans="1:15" ht="22.5" customHeight="1">
      <c r="A3322" s="85">
        <v>174904221976312</v>
      </c>
      <c r="B3322" s="82" t="s">
        <v>10651</v>
      </c>
      <c r="C3322" s="82" t="s">
        <v>11654</v>
      </c>
      <c r="D3322" s="82" t="s">
        <v>11655</v>
      </c>
      <c r="E3322" s="82">
        <v>6285223186555</v>
      </c>
      <c r="F3322" s="94">
        <v>45873</v>
      </c>
      <c r="G3322" s="87">
        <v>757</v>
      </c>
      <c r="H3322" s="88">
        <v>14245.219347581551</v>
      </c>
      <c r="I3322" s="89">
        <v>36</v>
      </c>
      <c r="J3322" s="90">
        <v>12664</v>
      </c>
      <c r="K3322" s="85">
        <v>1</v>
      </c>
      <c r="L3322" s="85">
        <v>121</v>
      </c>
      <c r="M3322" s="85">
        <v>1</v>
      </c>
      <c r="N3322" s="82" t="s">
        <v>11656</v>
      </c>
      <c r="O3322" s="93">
        <v>45874.734826388885</v>
      </c>
    </row>
    <row r="3323" spans="1:15" ht="22.5" customHeight="1">
      <c r="A3323" s="85">
        <v>174904221976312</v>
      </c>
      <c r="B3323" s="82" t="s">
        <v>10651</v>
      </c>
      <c r="C3323" s="82" t="s">
        <v>11657</v>
      </c>
      <c r="D3323" s="82" t="s">
        <v>11658</v>
      </c>
      <c r="E3323" s="82">
        <v>6282352307329</v>
      </c>
      <c r="F3323" s="94">
        <v>45873</v>
      </c>
      <c r="G3323" s="87">
        <v>1426</v>
      </c>
      <c r="H3323" s="88">
        <v>8316.0463697376454</v>
      </c>
      <c r="I3323" s="89">
        <v>79</v>
      </c>
      <c r="J3323" s="90">
        <v>13630</v>
      </c>
      <c r="K3323" s="85">
        <v>0</v>
      </c>
      <c r="L3323" s="85">
        <v>643</v>
      </c>
      <c r="M3323" s="85">
        <v>1</v>
      </c>
      <c r="N3323" s="82" t="s">
        <v>11659</v>
      </c>
      <c r="O3323" s="93">
        <v>45874.218819444446</v>
      </c>
    </row>
    <row r="3324" spans="1:15" ht="22.5" customHeight="1">
      <c r="A3324" s="85">
        <v>174904221976312</v>
      </c>
      <c r="B3324" s="82" t="s">
        <v>10651</v>
      </c>
      <c r="C3324" s="82" t="s">
        <v>11660</v>
      </c>
      <c r="D3324" s="82" t="s">
        <v>11661</v>
      </c>
      <c r="E3324" s="82">
        <v>6281347245985</v>
      </c>
      <c r="F3324" s="94">
        <v>45873</v>
      </c>
      <c r="G3324" s="87">
        <v>1845</v>
      </c>
      <c r="H3324" s="88">
        <v>6858.5905112851224</v>
      </c>
      <c r="I3324" s="89">
        <v>34</v>
      </c>
      <c r="J3324" s="90">
        <v>14890</v>
      </c>
      <c r="K3324" s="85">
        <v>0</v>
      </c>
      <c r="L3324" s="85">
        <v>715</v>
      </c>
      <c r="M3324" s="85">
        <v>0</v>
      </c>
      <c r="N3324" s="82" t="s">
        <v>11662</v>
      </c>
      <c r="O3324" s="93">
        <v>45874.339537037034</v>
      </c>
    </row>
    <row r="3325" spans="1:15" ht="22.5" customHeight="1">
      <c r="A3325" s="85">
        <v>174904221976312</v>
      </c>
      <c r="B3325" s="82" t="s">
        <v>10651</v>
      </c>
      <c r="C3325" s="82" t="s">
        <v>11663</v>
      </c>
      <c r="D3325" s="82" t="s">
        <v>11664</v>
      </c>
      <c r="E3325" s="82">
        <v>628123264621</v>
      </c>
      <c r="F3325" s="94">
        <v>45873</v>
      </c>
      <c r="G3325" s="87">
        <v>1034</v>
      </c>
      <c r="H3325" s="88">
        <v>11111.384111384112</v>
      </c>
      <c r="I3325" s="89">
        <v>37</v>
      </c>
      <c r="J3325" s="90">
        <v>13567</v>
      </c>
      <c r="K3325" s="85">
        <v>1</v>
      </c>
      <c r="L3325" s="85">
        <v>326</v>
      </c>
      <c r="M3325" s="85">
        <v>2</v>
      </c>
      <c r="N3325" s="82" t="s">
        <v>11665</v>
      </c>
      <c r="O3325" s="93">
        <v>45874.756030092591</v>
      </c>
    </row>
    <row r="3326" spans="1:15" ht="22.5" customHeight="1">
      <c r="A3326" s="85">
        <v>174904221976312</v>
      </c>
      <c r="B3326" s="82" t="s">
        <v>10651</v>
      </c>
      <c r="C3326" s="82" t="s">
        <v>11666</v>
      </c>
      <c r="D3326" s="82" t="s">
        <v>11667</v>
      </c>
      <c r="E3326" s="82">
        <v>6282292283543</v>
      </c>
      <c r="F3326" s="94">
        <v>45873</v>
      </c>
      <c r="G3326" s="87">
        <v>1100</v>
      </c>
      <c r="H3326" s="88">
        <v>9280.8510638297885</v>
      </c>
      <c r="I3326" s="89">
        <v>27</v>
      </c>
      <c r="J3326" s="90">
        <v>13086</v>
      </c>
      <c r="K3326" s="85">
        <v>1</v>
      </c>
      <c r="L3326" s="85">
        <v>316</v>
      </c>
      <c r="M3326" s="85">
        <v>0</v>
      </c>
      <c r="N3326" s="82" t="s">
        <v>11668</v>
      </c>
      <c r="O3326" s="93">
        <v>45874.610034722224</v>
      </c>
    </row>
    <row r="3327" spans="1:15" ht="22.5" customHeight="1">
      <c r="A3327" s="85">
        <v>174904221976312</v>
      </c>
      <c r="B3327" s="82" t="s">
        <v>10651</v>
      </c>
      <c r="C3327" s="82" t="s">
        <v>11669</v>
      </c>
      <c r="D3327" s="82" t="s">
        <v>2708</v>
      </c>
      <c r="E3327" s="82">
        <v>6282142833445</v>
      </c>
      <c r="F3327" s="94">
        <v>45873</v>
      </c>
      <c r="G3327" s="87">
        <v>912</v>
      </c>
      <c r="H3327" s="88">
        <v>12778.899082568807</v>
      </c>
      <c r="I3327" s="89">
        <v>25</v>
      </c>
      <c r="J3327" s="90">
        <v>13929</v>
      </c>
      <c r="K3327" s="85">
        <v>0</v>
      </c>
      <c r="L3327" s="85">
        <v>109</v>
      </c>
      <c r="M3327" s="85">
        <v>1</v>
      </c>
      <c r="N3327" s="82" t="s">
        <v>11670</v>
      </c>
      <c r="O3327" s="93">
        <v>45874.339525462965</v>
      </c>
    </row>
    <row r="3328" spans="1:15" ht="22.5" customHeight="1">
      <c r="A3328" s="85">
        <v>174904221976312</v>
      </c>
      <c r="B3328" s="82" t="s">
        <v>10651</v>
      </c>
      <c r="C3328" s="82" t="s">
        <v>11633</v>
      </c>
      <c r="D3328" s="82" t="s">
        <v>11634</v>
      </c>
      <c r="E3328" s="82">
        <v>6287762605372</v>
      </c>
      <c r="F3328" s="94">
        <v>45873</v>
      </c>
      <c r="G3328" s="87">
        <v>5</v>
      </c>
      <c r="H3328" s="88">
        <v>20200</v>
      </c>
      <c r="I3328" s="89">
        <v>0</v>
      </c>
      <c r="J3328" s="90">
        <v>101</v>
      </c>
      <c r="K3328" s="85">
        <v>0</v>
      </c>
      <c r="L3328" s="85">
        <v>0</v>
      </c>
      <c r="M3328" s="85">
        <v>0</v>
      </c>
      <c r="N3328" s="82" t="s">
        <v>11635</v>
      </c>
      <c r="O3328" s="93">
        <v>45874.218831018516</v>
      </c>
    </row>
    <row r="3329" spans="1:15" ht="22.5" customHeight="1">
      <c r="A3329" s="85">
        <v>174904221976312</v>
      </c>
      <c r="B3329" s="82" t="s">
        <v>10651</v>
      </c>
      <c r="C3329" s="82" t="s">
        <v>11641</v>
      </c>
      <c r="D3329" s="82" t="s">
        <v>3229</v>
      </c>
      <c r="E3329" s="82">
        <v>6287865111033</v>
      </c>
      <c r="F3329" s="94">
        <v>45873</v>
      </c>
      <c r="G3329" s="87">
        <v>2925</v>
      </c>
      <c r="H3329" s="88">
        <v>5073.3065264460247</v>
      </c>
      <c r="I3329" s="89">
        <v>49</v>
      </c>
      <c r="J3329" s="90">
        <v>16402</v>
      </c>
      <c r="K3329" s="85">
        <v>3</v>
      </c>
      <c r="L3329" s="85">
        <v>0</v>
      </c>
      <c r="M3329" s="85">
        <v>0</v>
      </c>
      <c r="N3329" s="82" t="s">
        <v>11642</v>
      </c>
      <c r="O3329" s="93">
        <v>45874.651909722219</v>
      </c>
    </row>
    <row r="3330" spans="1:15" ht="22.5" customHeight="1">
      <c r="A3330" s="85">
        <v>174904221976312</v>
      </c>
      <c r="B3330" s="82" t="s">
        <v>10651</v>
      </c>
      <c r="C3330" s="82" t="s">
        <v>11643</v>
      </c>
      <c r="D3330" s="82" t="s">
        <v>11644</v>
      </c>
      <c r="E3330" s="82">
        <v>6281330410391</v>
      </c>
      <c r="F3330" s="94">
        <v>45873</v>
      </c>
      <c r="G3330" s="87">
        <v>719</v>
      </c>
      <c r="H3330" s="88">
        <v>18660.377358490568</v>
      </c>
      <c r="I3330" s="89">
        <v>64</v>
      </c>
      <c r="J3330" s="90">
        <v>17802</v>
      </c>
      <c r="K3330" s="85">
        <v>12</v>
      </c>
      <c r="L3330" s="85">
        <v>335</v>
      </c>
      <c r="M3330" s="85">
        <v>2</v>
      </c>
      <c r="N3330" s="82" t="s">
        <v>11681</v>
      </c>
      <c r="O3330" s="93">
        <v>45872.372071759259</v>
      </c>
    </row>
    <row r="3331" spans="1:15" ht="22.5" customHeight="1">
      <c r="A3331" s="85">
        <v>174904221976312</v>
      </c>
      <c r="B3331" s="82" t="s">
        <v>10651</v>
      </c>
      <c r="C3331" s="82" t="s">
        <v>11646</v>
      </c>
      <c r="D3331" s="82" t="s">
        <v>11647</v>
      </c>
      <c r="E3331" s="82">
        <v>6285820117323</v>
      </c>
      <c r="F3331" s="94">
        <v>45873</v>
      </c>
      <c r="G3331" s="87">
        <v>548</v>
      </c>
      <c r="H3331" s="88">
        <v>10959.663865546219</v>
      </c>
      <c r="I3331" s="89">
        <v>15</v>
      </c>
      <c r="J3331" s="90">
        <v>6521</v>
      </c>
      <c r="K3331" s="85">
        <v>0</v>
      </c>
      <c r="L3331" s="85">
        <v>52</v>
      </c>
      <c r="M3331" s="85">
        <v>1</v>
      </c>
      <c r="N3331" s="82" t="s">
        <v>11648</v>
      </c>
      <c r="O3331" s="93">
        <v>45874.218831018516</v>
      </c>
    </row>
    <row r="3332" spans="1:15" ht="22.5" customHeight="1">
      <c r="A3332" s="85">
        <v>174904221976312</v>
      </c>
      <c r="B3332" s="82" t="s">
        <v>10651</v>
      </c>
      <c r="C3332" s="82" t="s">
        <v>11578</v>
      </c>
      <c r="D3332" s="82" t="s">
        <v>1624</v>
      </c>
      <c r="E3332" s="82">
        <v>6281938384000</v>
      </c>
      <c r="F3332" s="94">
        <v>45873</v>
      </c>
      <c r="G3332" s="87">
        <v>1686</v>
      </c>
      <c r="H3332" s="88">
        <v>7537.8151260504201</v>
      </c>
      <c r="I3332" s="89">
        <v>68</v>
      </c>
      <c r="J3332" s="90">
        <v>14352</v>
      </c>
      <c r="K3332" s="85">
        <v>6</v>
      </c>
      <c r="L3332" s="85">
        <v>747</v>
      </c>
      <c r="M3332" s="85">
        <v>2</v>
      </c>
      <c r="N3332" s="82" t="s">
        <v>11579</v>
      </c>
      <c r="O3332" s="93">
        <v>45874.218831018516</v>
      </c>
    </row>
    <row r="3333" spans="1:15" ht="22.5" customHeight="1">
      <c r="A3333" s="85">
        <v>174904221976312</v>
      </c>
      <c r="B3333" s="82" t="s">
        <v>10651</v>
      </c>
      <c r="C3333" s="82" t="s">
        <v>11580</v>
      </c>
      <c r="D3333" s="82" t="s">
        <v>11581</v>
      </c>
      <c r="E3333" s="82">
        <v>6287790276733</v>
      </c>
      <c r="F3333" s="94">
        <v>45873</v>
      </c>
      <c r="G3333" s="87">
        <v>901</v>
      </c>
      <c r="H3333" s="88">
        <v>16105.667627281458</v>
      </c>
      <c r="I3333" s="89">
        <v>7</v>
      </c>
      <c r="J3333" s="90">
        <v>16766</v>
      </c>
      <c r="K3333" s="85">
        <v>0</v>
      </c>
      <c r="L3333" s="85">
        <v>86</v>
      </c>
      <c r="M3333" s="85">
        <v>0</v>
      </c>
      <c r="N3333" s="82" t="s">
        <v>11582</v>
      </c>
      <c r="O3333" s="93">
        <v>45874.589143518519</v>
      </c>
    </row>
    <row r="3334" spans="1:15" ht="22.5" customHeight="1">
      <c r="A3334" s="85">
        <v>174904221976312</v>
      </c>
      <c r="B3334" s="82" t="s">
        <v>10651</v>
      </c>
      <c r="C3334" s="82" t="s">
        <v>11586</v>
      </c>
      <c r="D3334" s="82" t="s">
        <v>11587</v>
      </c>
      <c r="E3334" s="82">
        <v>6281280241630</v>
      </c>
      <c r="F3334" s="94">
        <v>45873</v>
      </c>
      <c r="G3334" s="87">
        <v>418</v>
      </c>
      <c r="H3334" s="88">
        <v>30000</v>
      </c>
      <c r="I3334" s="89">
        <v>10</v>
      </c>
      <c r="J3334" s="90">
        <v>13260</v>
      </c>
      <c r="K3334" s="85">
        <v>3</v>
      </c>
      <c r="L3334" s="85">
        <v>0</v>
      </c>
      <c r="M3334" s="85">
        <v>0</v>
      </c>
      <c r="N3334" s="82" t="s">
        <v>11588</v>
      </c>
      <c r="O3334" s="93">
        <v>45874.218819444446</v>
      </c>
    </row>
    <row r="3335" spans="1:15" ht="22.5" customHeight="1">
      <c r="A3335" s="85">
        <v>174904221976312</v>
      </c>
      <c r="B3335" s="82" t="s">
        <v>10651</v>
      </c>
      <c r="C3335" s="82" t="s">
        <v>11589</v>
      </c>
      <c r="D3335" s="82" t="s">
        <v>3120</v>
      </c>
      <c r="E3335" s="82">
        <v>6281255005229</v>
      </c>
      <c r="F3335" s="94">
        <v>45873</v>
      </c>
      <c r="G3335" s="87">
        <v>1068</v>
      </c>
      <c r="H3335" s="88">
        <v>10079.866888519135</v>
      </c>
      <c r="I3335" s="89">
        <v>36</v>
      </c>
      <c r="J3335" s="90">
        <v>12116</v>
      </c>
      <c r="K3335" s="85">
        <v>1</v>
      </c>
      <c r="L3335" s="85">
        <v>490</v>
      </c>
      <c r="M3335" s="85">
        <v>1</v>
      </c>
      <c r="N3335" s="82" t="s">
        <v>11590</v>
      </c>
      <c r="O3335" s="93">
        <v>45874.218831018516</v>
      </c>
    </row>
    <row r="3336" spans="1:15" ht="22.5" customHeight="1">
      <c r="A3336" s="85">
        <v>174904221976312</v>
      </c>
      <c r="B3336" s="82" t="s">
        <v>10651</v>
      </c>
      <c r="C3336" s="82" t="s">
        <v>11649</v>
      </c>
      <c r="D3336" s="82" t="s">
        <v>11650</v>
      </c>
      <c r="E3336" s="82">
        <v>62823885166777</v>
      </c>
      <c r="F3336" s="94">
        <v>45873</v>
      </c>
      <c r="G3336" s="87">
        <v>88</v>
      </c>
      <c r="H3336" s="88">
        <v>155043.47826086957</v>
      </c>
      <c r="I3336" s="89">
        <v>3</v>
      </c>
      <c r="J3336" s="90">
        <v>14264</v>
      </c>
      <c r="K3336" s="85">
        <v>0</v>
      </c>
      <c r="L3336" s="85">
        <v>17</v>
      </c>
      <c r="M3336" s="85">
        <v>0</v>
      </c>
      <c r="N3336" s="82" t="s">
        <v>11651</v>
      </c>
      <c r="O3336" s="93">
        <v>45874.218831018516</v>
      </c>
    </row>
    <row r="3337" spans="1:15" ht="22.5" customHeight="1">
      <c r="A3337" s="85">
        <v>174904221976312</v>
      </c>
      <c r="B3337" s="82" t="s">
        <v>10651</v>
      </c>
      <c r="C3337" s="82" t="s">
        <v>11559</v>
      </c>
      <c r="D3337" s="82" t="s">
        <v>11560</v>
      </c>
      <c r="E3337" s="82">
        <v>6282333203355</v>
      </c>
      <c r="F3337" s="94">
        <v>45873</v>
      </c>
      <c r="G3337" s="87">
        <v>169</v>
      </c>
      <c r="H3337" s="88">
        <v>68682.539682539689</v>
      </c>
      <c r="I3337" s="89">
        <v>11</v>
      </c>
      <c r="J3337" s="90">
        <v>12981</v>
      </c>
      <c r="K3337" s="85">
        <v>3</v>
      </c>
      <c r="L3337" s="85">
        <v>70</v>
      </c>
      <c r="M3337" s="85">
        <v>0</v>
      </c>
      <c r="N3337" s="82" t="s">
        <v>11561</v>
      </c>
      <c r="O3337" s="93">
        <v>45874.568356481483</v>
      </c>
    </row>
    <row r="3338" spans="1:15" ht="22.5" customHeight="1">
      <c r="A3338" s="85">
        <v>174904221976312</v>
      </c>
      <c r="B3338" s="82" t="s">
        <v>10651</v>
      </c>
      <c r="C3338" s="82" t="s">
        <v>11535</v>
      </c>
      <c r="D3338" s="82" t="s">
        <v>2969</v>
      </c>
      <c r="E3338" s="82">
        <v>6281286402030</v>
      </c>
      <c r="F3338" s="94">
        <v>45873</v>
      </c>
      <c r="G3338" s="87">
        <v>703</v>
      </c>
      <c r="H3338" s="88">
        <v>17821.158690176322</v>
      </c>
      <c r="I3338" s="89">
        <v>20</v>
      </c>
      <c r="J3338" s="90">
        <v>14150</v>
      </c>
      <c r="K3338" s="85">
        <v>0</v>
      </c>
      <c r="L3338" s="85">
        <v>0</v>
      </c>
      <c r="M3338" s="85">
        <v>0</v>
      </c>
      <c r="N3338" s="82" t="s">
        <v>11536</v>
      </c>
      <c r="O3338" s="93">
        <v>45874.568344907406</v>
      </c>
    </row>
    <row r="3339" spans="1:15" ht="22.5" customHeight="1">
      <c r="A3339" s="85">
        <v>174904221976312</v>
      </c>
      <c r="B3339" s="82" t="s">
        <v>10651</v>
      </c>
      <c r="C3339" s="82" t="s">
        <v>11520</v>
      </c>
      <c r="D3339" s="82" t="s">
        <v>2776</v>
      </c>
      <c r="E3339" s="82">
        <v>6285657238556</v>
      </c>
      <c r="F3339" s="94">
        <v>45873</v>
      </c>
      <c r="G3339" s="87">
        <v>235</v>
      </c>
      <c r="H3339" s="88">
        <v>41401.294498381882</v>
      </c>
      <c r="I3339" s="89">
        <v>23</v>
      </c>
      <c r="J3339" s="90">
        <v>12793</v>
      </c>
      <c r="K3339" s="85">
        <v>3</v>
      </c>
      <c r="L3339" s="85">
        <v>4</v>
      </c>
      <c r="M3339" s="85">
        <v>1</v>
      </c>
      <c r="N3339" s="82" t="s">
        <v>11521</v>
      </c>
      <c r="O3339" s="93">
        <v>45874.568148148152</v>
      </c>
    </row>
    <row r="3340" spans="1:15" ht="22.5" customHeight="1">
      <c r="A3340" s="85">
        <v>174904221976312</v>
      </c>
      <c r="B3340" s="82" t="s">
        <v>10651</v>
      </c>
      <c r="C3340" s="82" t="s">
        <v>11464</v>
      </c>
      <c r="D3340" s="82" t="s">
        <v>11465</v>
      </c>
      <c r="E3340" s="82">
        <v>62816904358</v>
      </c>
      <c r="F3340" s="94">
        <v>45873</v>
      </c>
      <c r="G3340" s="87">
        <v>459</v>
      </c>
      <c r="H3340" s="88">
        <v>23406.690140845072</v>
      </c>
      <c r="I3340" s="89">
        <v>34</v>
      </c>
      <c r="J3340" s="90">
        <v>13295</v>
      </c>
      <c r="K3340" s="85">
        <v>4</v>
      </c>
      <c r="L3340" s="85">
        <v>0</v>
      </c>
      <c r="M3340" s="85">
        <v>0</v>
      </c>
      <c r="N3340" s="82" t="s">
        <v>11466</v>
      </c>
      <c r="O3340" s="93">
        <v>45874.631157407406</v>
      </c>
    </row>
    <row r="3341" spans="1:15" ht="22.5" customHeight="1">
      <c r="A3341" s="85">
        <v>174904221976312</v>
      </c>
      <c r="B3341" s="82" t="s">
        <v>10651</v>
      </c>
      <c r="C3341" s="82" t="s">
        <v>11470</v>
      </c>
      <c r="D3341" s="82" t="s">
        <v>11471</v>
      </c>
      <c r="E3341" s="82">
        <v>6281225745133</v>
      </c>
      <c r="F3341" s="94">
        <v>45873</v>
      </c>
      <c r="G3341" s="87">
        <v>283</v>
      </c>
      <c r="H3341" s="88">
        <v>50050.505050505053</v>
      </c>
      <c r="I3341" s="89">
        <v>12</v>
      </c>
      <c r="J3341" s="90">
        <v>14865</v>
      </c>
      <c r="K3341" s="85">
        <v>1</v>
      </c>
      <c r="L3341" s="85">
        <v>140</v>
      </c>
      <c r="M3341" s="85">
        <v>0</v>
      </c>
      <c r="N3341" s="82" t="s">
        <v>11472</v>
      </c>
      <c r="O3341" s="93">
        <v>45874.218831018516</v>
      </c>
    </row>
    <row r="3342" spans="1:15" ht="22.5" customHeight="1">
      <c r="A3342" s="85">
        <v>174904221976312</v>
      </c>
      <c r="B3342" s="82" t="s">
        <v>10651</v>
      </c>
      <c r="C3342" s="82" t="s">
        <v>11446</v>
      </c>
      <c r="D3342" s="82" t="s">
        <v>11447</v>
      </c>
      <c r="E3342" s="82">
        <v>6281999375257</v>
      </c>
      <c r="F3342" s="94">
        <v>45873</v>
      </c>
      <c r="G3342" s="87">
        <v>1200</v>
      </c>
      <c r="H3342" s="88">
        <v>10845.688350983359</v>
      </c>
      <c r="I3342" s="89">
        <v>22</v>
      </c>
      <c r="J3342" s="90">
        <v>14338</v>
      </c>
      <c r="K3342" s="85">
        <v>1</v>
      </c>
      <c r="L3342" s="85">
        <v>0</v>
      </c>
      <c r="M3342" s="85">
        <v>0</v>
      </c>
      <c r="N3342" s="82" t="s">
        <v>11448</v>
      </c>
      <c r="O3342" s="93">
        <v>45874.651689814818</v>
      </c>
    </row>
    <row r="3343" spans="1:15" ht="22.5" customHeight="1">
      <c r="A3343" s="85">
        <v>174904221976312</v>
      </c>
      <c r="B3343" s="82" t="s">
        <v>10651</v>
      </c>
      <c r="C3343" s="82" t="s">
        <v>11309</v>
      </c>
      <c r="D3343" s="82" t="s">
        <v>11350</v>
      </c>
      <c r="E3343" s="82">
        <v>6281229745253</v>
      </c>
      <c r="F3343" s="94">
        <v>45873</v>
      </c>
      <c r="G3343" s="87">
        <v>126</v>
      </c>
      <c r="H3343" s="88">
        <v>79507.042253521126</v>
      </c>
      <c r="I3343" s="89">
        <v>8</v>
      </c>
      <c r="J3343" s="90">
        <v>11290</v>
      </c>
      <c r="K3343" s="85">
        <v>1</v>
      </c>
      <c r="L3343" s="85">
        <v>0</v>
      </c>
      <c r="M3343" s="85">
        <v>0</v>
      </c>
      <c r="N3343" s="82" t="s">
        <v>11351</v>
      </c>
      <c r="O3343" s="93">
        <v>45874.610312500001</v>
      </c>
    </row>
    <row r="3344" spans="1:15" ht="22.5" customHeight="1">
      <c r="A3344" s="85">
        <v>174904221976312</v>
      </c>
      <c r="B3344" s="82" t="s">
        <v>10651</v>
      </c>
      <c r="C3344" s="82" t="s">
        <v>11671</v>
      </c>
      <c r="D3344" s="82" t="s">
        <v>11672</v>
      </c>
      <c r="E3344" s="82">
        <v>6285889229948</v>
      </c>
      <c r="F3344" s="94">
        <v>45873</v>
      </c>
      <c r="G3344" s="87">
        <v>188</v>
      </c>
      <c r="H3344" s="88">
        <v>56728.11059907834</v>
      </c>
      <c r="I3344" s="89">
        <v>15</v>
      </c>
      <c r="J3344" s="90">
        <v>12310</v>
      </c>
      <c r="K3344" s="85">
        <v>1</v>
      </c>
      <c r="L3344" s="85">
        <v>5</v>
      </c>
      <c r="M3344" s="85">
        <v>0</v>
      </c>
      <c r="N3344" s="82" t="s">
        <v>11673</v>
      </c>
      <c r="O3344" s="93">
        <v>45874.401608796295</v>
      </c>
    </row>
    <row r="3345" spans="1:15" ht="22.5" customHeight="1">
      <c r="A3345" s="85">
        <v>174904221976312</v>
      </c>
      <c r="B3345" s="82" t="s">
        <v>10651</v>
      </c>
      <c r="C3345" s="82" t="s">
        <v>11225</v>
      </c>
      <c r="D3345" s="82" t="s">
        <v>11226</v>
      </c>
      <c r="E3345" s="82">
        <v>6281240144744</v>
      </c>
      <c r="F3345" s="94">
        <v>45873</v>
      </c>
      <c r="G3345" s="87">
        <v>1503</v>
      </c>
      <c r="H3345" s="88">
        <v>7193.2596103212218</v>
      </c>
      <c r="I3345" s="89">
        <v>49</v>
      </c>
      <c r="J3345" s="90">
        <v>13660</v>
      </c>
      <c r="K3345" s="85">
        <v>2</v>
      </c>
      <c r="L3345" s="85">
        <v>326</v>
      </c>
      <c r="M3345" s="85">
        <v>1</v>
      </c>
      <c r="N3345" s="82" t="s">
        <v>11227</v>
      </c>
      <c r="O3345" s="93">
        <v>45874.651921296296</v>
      </c>
    </row>
    <row r="3346" spans="1:15" ht="22.5" customHeight="1">
      <c r="A3346" s="85">
        <v>174904221976312</v>
      </c>
      <c r="B3346" s="82" t="s">
        <v>10651</v>
      </c>
      <c r="C3346" s="82" t="s">
        <v>11153</v>
      </c>
      <c r="D3346" s="82" t="s">
        <v>11154</v>
      </c>
      <c r="E3346" s="82">
        <v>6285338137835</v>
      </c>
      <c r="F3346" s="94">
        <v>45873</v>
      </c>
      <c r="G3346" s="87">
        <v>194</v>
      </c>
      <c r="H3346" s="88">
        <v>63147.465437788022</v>
      </c>
      <c r="I3346" s="89">
        <v>7</v>
      </c>
      <c r="J3346" s="90">
        <v>13703</v>
      </c>
      <c r="K3346" s="85">
        <v>2</v>
      </c>
      <c r="L3346" s="85">
        <v>11</v>
      </c>
      <c r="M3346" s="85">
        <v>0</v>
      </c>
      <c r="N3346" s="82" t="s">
        <v>11155</v>
      </c>
      <c r="O3346" s="93">
        <v>45874.631168981483</v>
      </c>
    </row>
    <row r="3347" spans="1:15" ht="22.5" customHeight="1">
      <c r="A3347" s="85">
        <v>174904221976312</v>
      </c>
      <c r="B3347" s="82" t="s">
        <v>10651</v>
      </c>
      <c r="C3347" s="82" t="s">
        <v>10655</v>
      </c>
      <c r="D3347" s="82" t="s">
        <v>3908</v>
      </c>
      <c r="E3347" s="82">
        <v>6285376667233</v>
      </c>
      <c r="F3347" s="94">
        <v>45873</v>
      </c>
      <c r="G3347" s="87">
        <v>1043</v>
      </c>
      <c r="H3347" s="88">
        <v>10679.6875</v>
      </c>
      <c r="I3347" s="89">
        <v>18</v>
      </c>
      <c r="J3347" s="90">
        <v>12303</v>
      </c>
      <c r="K3347" s="85">
        <v>3</v>
      </c>
      <c r="L3347" s="85">
        <v>406</v>
      </c>
      <c r="M3347" s="85">
        <v>0</v>
      </c>
      <c r="N3347" s="82" t="s">
        <v>10656</v>
      </c>
      <c r="O3347" s="93">
        <v>45874.218854166669</v>
      </c>
    </row>
    <row r="3348" spans="1:15" ht="22.5" customHeight="1">
      <c r="A3348" s="85">
        <v>759724529202804</v>
      </c>
      <c r="B3348" s="82" t="s">
        <v>10621</v>
      </c>
      <c r="C3348" s="82" t="s">
        <v>11735</v>
      </c>
      <c r="D3348" s="82" t="s">
        <v>3254</v>
      </c>
      <c r="E3348" s="82">
        <v>628127126274</v>
      </c>
      <c r="F3348" s="94">
        <v>45874</v>
      </c>
      <c r="G3348" s="87">
        <v>348</v>
      </c>
      <c r="H3348" s="88">
        <v>33375.838926174496</v>
      </c>
      <c r="I3348" s="89">
        <v>9</v>
      </c>
      <c r="J3348" s="90">
        <v>14919</v>
      </c>
      <c r="K3348" s="85">
        <v>3</v>
      </c>
      <c r="L3348" s="85">
        <v>98</v>
      </c>
      <c r="M3348" s="85">
        <v>0</v>
      </c>
      <c r="N3348" s="82" t="s">
        <v>11736</v>
      </c>
      <c r="O3348" s="93">
        <v>45875.735000000001</v>
      </c>
    </row>
    <row r="3349" spans="1:15" ht="22.5" customHeight="1">
      <c r="A3349" s="85">
        <v>759724529202804</v>
      </c>
      <c r="B3349" s="82" t="s">
        <v>10621</v>
      </c>
      <c r="C3349" s="82" t="s">
        <v>11695</v>
      </c>
      <c r="D3349" s="82" t="s">
        <v>3327</v>
      </c>
      <c r="E3349" s="82">
        <v>6281299298585</v>
      </c>
      <c r="F3349" s="94">
        <v>45874</v>
      </c>
      <c r="G3349" s="87">
        <v>675</v>
      </c>
      <c r="H3349" s="88">
        <v>20407.814407814407</v>
      </c>
      <c r="I3349" s="89">
        <v>26</v>
      </c>
      <c r="J3349" s="90">
        <v>16714</v>
      </c>
      <c r="K3349" s="85">
        <v>2</v>
      </c>
      <c r="L3349" s="85">
        <v>275</v>
      </c>
      <c r="M3349" s="85">
        <v>0</v>
      </c>
      <c r="N3349" s="82" t="s">
        <v>11696</v>
      </c>
      <c r="O3349" s="93">
        <v>45875.609699074077</v>
      </c>
    </row>
    <row r="3350" spans="1:15" ht="22.5" customHeight="1">
      <c r="A3350" s="85">
        <v>759724529202804</v>
      </c>
      <c r="B3350" s="82" t="s">
        <v>10621</v>
      </c>
      <c r="C3350" s="82" t="s">
        <v>11131</v>
      </c>
      <c r="D3350" s="82" t="s">
        <v>9019</v>
      </c>
      <c r="E3350" s="82">
        <v>628562943274</v>
      </c>
      <c r="F3350" s="94">
        <v>45874</v>
      </c>
      <c r="G3350" s="87">
        <v>869</v>
      </c>
      <c r="H3350" s="88">
        <v>15735.868448098663</v>
      </c>
      <c r="I3350" s="89">
        <v>27</v>
      </c>
      <c r="J3350" s="90">
        <v>15311</v>
      </c>
      <c r="K3350" s="85">
        <v>3</v>
      </c>
      <c r="L3350" s="85">
        <v>228</v>
      </c>
      <c r="M3350" s="85">
        <v>0</v>
      </c>
      <c r="N3350" s="82" t="s">
        <v>11132</v>
      </c>
      <c r="O3350" s="93">
        <v>45875.588865740741</v>
      </c>
    </row>
    <row r="3351" spans="1:15" ht="22.5" customHeight="1">
      <c r="A3351" s="85">
        <v>759724529202804</v>
      </c>
      <c r="B3351" s="82" t="s">
        <v>10621</v>
      </c>
      <c r="C3351" s="82" t="s">
        <v>11055</v>
      </c>
      <c r="D3351" s="82" t="s">
        <v>1021</v>
      </c>
      <c r="E3351" s="82"/>
      <c r="F3351" s="94">
        <v>45874</v>
      </c>
      <c r="G3351" s="87">
        <v>754</v>
      </c>
      <c r="H3351" s="88">
        <v>38841.269841269845</v>
      </c>
      <c r="I3351" s="89">
        <v>41</v>
      </c>
      <c r="J3351" s="90">
        <v>34258</v>
      </c>
      <c r="K3351" s="85">
        <v>9</v>
      </c>
      <c r="L3351" s="85">
        <v>342</v>
      </c>
      <c r="M3351" s="85">
        <v>0</v>
      </c>
      <c r="N3351" s="82" t="s">
        <v>11056</v>
      </c>
      <c r="O3351" s="93">
        <v>45874.499675925923</v>
      </c>
    </row>
    <row r="3352" spans="1:15" ht="22.5" customHeight="1">
      <c r="A3352" s="85">
        <v>759724529202804</v>
      </c>
      <c r="B3352" s="82" t="s">
        <v>10621</v>
      </c>
      <c r="C3352" s="82" t="s">
        <v>11070</v>
      </c>
      <c r="D3352" s="82" t="s">
        <v>11071</v>
      </c>
      <c r="E3352" s="82">
        <v>6281246211381</v>
      </c>
      <c r="F3352" s="94">
        <v>45874</v>
      </c>
      <c r="G3352" s="87">
        <v>470</v>
      </c>
      <c r="H3352" s="88">
        <v>29030.188679245286</v>
      </c>
      <c r="I3352" s="89">
        <v>16</v>
      </c>
      <c r="J3352" s="90">
        <v>15386</v>
      </c>
      <c r="K3352" s="85">
        <v>3</v>
      </c>
      <c r="L3352" s="85">
        <v>0</v>
      </c>
      <c r="M3352" s="85">
        <v>0</v>
      </c>
      <c r="N3352" s="82" t="s">
        <v>11072</v>
      </c>
      <c r="O3352" s="93">
        <v>45875.422430555554</v>
      </c>
    </row>
    <row r="3353" spans="1:15" ht="22.5" customHeight="1">
      <c r="A3353" s="85">
        <v>174904221976312</v>
      </c>
      <c r="B3353" s="82" t="s">
        <v>10651</v>
      </c>
      <c r="C3353" s="82" t="s">
        <v>11766</v>
      </c>
      <c r="D3353" s="82" t="s">
        <v>11767</v>
      </c>
      <c r="E3353" s="82">
        <v>6281225101319</v>
      </c>
      <c r="F3353" s="94">
        <v>45874</v>
      </c>
      <c r="G3353" s="87">
        <v>481</v>
      </c>
      <c r="H3353" s="88">
        <v>21990.601503759401</v>
      </c>
      <c r="I3353" s="89">
        <v>13</v>
      </c>
      <c r="J3353" s="90">
        <v>11699</v>
      </c>
      <c r="K3353" s="85">
        <v>2</v>
      </c>
      <c r="L3353" s="85">
        <v>43</v>
      </c>
      <c r="M3353" s="85">
        <v>0</v>
      </c>
      <c r="N3353" s="82" t="s">
        <v>11768</v>
      </c>
      <c r="O3353" s="93">
        <v>45875.651631944442</v>
      </c>
    </row>
    <row r="3354" spans="1:15" ht="22.5" customHeight="1">
      <c r="A3354" s="85">
        <v>174904221976312</v>
      </c>
      <c r="B3354" s="82" t="s">
        <v>10651</v>
      </c>
      <c r="C3354" s="82" t="s">
        <v>11769</v>
      </c>
      <c r="D3354" s="82" t="s">
        <v>3610</v>
      </c>
      <c r="E3354" s="82">
        <v>6285821233475</v>
      </c>
      <c r="F3354" s="94">
        <v>45874</v>
      </c>
      <c r="G3354" s="87">
        <v>1078</v>
      </c>
      <c r="H3354" s="88">
        <v>9529.9760191846508</v>
      </c>
      <c r="I3354" s="89">
        <v>47</v>
      </c>
      <c r="J3354" s="90">
        <v>11922</v>
      </c>
      <c r="K3354" s="85">
        <v>3</v>
      </c>
      <c r="L3354" s="85">
        <v>97</v>
      </c>
      <c r="M3354" s="85">
        <v>2</v>
      </c>
      <c r="N3354" s="82" t="s">
        <v>11770</v>
      </c>
      <c r="O3354" s="93">
        <v>45875.693055555559</v>
      </c>
    </row>
    <row r="3355" spans="1:15" ht="22.5" customHeight="1">
      <c r="A3355" s="85">
        <v>174904221976312</v>
      </c>
      <c r="B3355" s="82" t="s">
        <v>10651</v>
      </c>
      <c r="C3355" s="82" t="s">
        <v>11771</v>
      </c>
      <c r="D3355" s="82" t="s">
        <v>11772</v>
      </c>
      <c r="E3355" s="82">
        <v>6281238115957</v>
      </c>
      <c r="F3355" s="94">
        <v>45874</v>
      </c>
      <c r="G3355" s="87">
        <v>685</v>
      </c>
      <c r="H3355" s="88">
        <v>14001.30890052356</v>
      </c>
      <c r="I3355" s="89">
        <v>13</v>
      </c>
      <c r="J3355" s="90">
        <v>10697</v>
      </c>
      <c r="K3355" s="85">
        <v>1</v>
      </c>
      <c r="L3355" s="85">
        <v>36</v>
      </c>
      <c r="M3355" s="85">
        <v>0</v>
      </c>
      <c r="N3355" s="82" t="s">
        <v>11773</v>
      </c>
      <c r="O3355" s="93">
        <v>45875.713877314818</v>
      </c>
    </row>
    <row r="3356" spans="1:15" ht="22.5" customHeight="1">
      <c r="A3356" s="85">
        <v>174904221976312</v>
      </c>
      <c r="B3356" s="82" t="s">
        <v>10651</v>
      </c>
      <c r="C3356" s="82" t="s">
        <v>11774</v>
      </c>
      <c r="D3356" s="82" t="s">
        <v>11775</v>
      </c>
      <c r="E3356" s="82">
        <v>6281363504410</v>
      </c>
      <c r="F3356" s="94">
        <v>45874</v>
      </c>
      <c r="G3356" s="87">
        <v>144</v>
      </c>
      <c r="H3356" s="88">
        <v>88622.754491017957</v>
      </c>
      <c r="I3356" s="89">
        <v>33</v>
      </c>
      <c r="J3356" s="90">
        <v>14800</v>
      </c>
      <c r="K3356" s="85">
        <v>7</v>
      </c>
      <c r="L3356" s="85">
        <v>12</v>
      </c>
      <c r="M3356" s="85">
        <v>0</v>
      </c>
      <c r="N3356" s="82" t="s">
        <v>11776</v>
      </c>
      <c r="O3356" s="93">
        <v>45875.75571759259</v>
      </c>
    </row>
    <row r="3357" spans="1:15" ht="22.5" customHeight="1">
      <c r="A3357" s="85">
        <v>174904221976312</v>
      </c>
      <c r="B3357" s="82" t="s">
        <v>10651</v>
      </c>
      <c r="C3357" s="82" t="s">
        <v>11777</v>
      </c>
      <c r="D3357" s="82" t="s">
        <v>11778</v>
      </c>
      <c r="E3357" s="82">
        <v>6281374844270</v>
      </c>
      <c r="F3357" s="94">
        <v>45874</v>
      </c>
      <c r="G3357" s="87">
        <v>1059</v>
      </c>
      <c r="H3357" s="88">
        <v>9891.0540301151468</v>
      </c>
      <c r="I3357" s="89">
        <v>27</v>
      </c>
      <c r="J3357" s="90">
        <v>11167</v>
      </c>
      <c r="K3357" s="85">
        <v>1</v>
      </c>
      <c r="L3357" s="85">
        <v>60</v>
      </c>
      <c r="M3357" s="85">
        <v>1</v>
      </c>
      <c r="N3357" s="82" t="s">
        <v>11779</v>
      </c>
      <c r="O3357" s="93">
        <v>45875.631435185183</v>
      </c>
    </row>
    <row r="3358" spans="1:15" ht="22.5" customHeight="1">
      <c r="A3358" s="85">
        <v>174904221976312</v>
      </c>
      <c r="B3358" s="82" t="s">
        <v>10651</v>
      </c>
      <c r="C3358" s="82" t="s">
        <v>11780</v>
      </c>
      <c r="D3358" s="82" t="s">
        <v>11781</v>
      </c>
      <c r="E3358" s="82">
        <v>6282129364133</v>
      </c>
      <c r="F3358" s="94">
        <v>45874</v>
      </c>
      <c r="G3358" s="87">
        <v>420</v>
      </c>
      <c r="H3358" s="88">
        <v>22574.850299401198</v>
      </c>
      <c r="I3358" s="89">
        <v>12</v>
      </c>
      <c r="J3358" s="90">
        <v>11310</v>
      </c>
      <c r="K3358" s="85">
        <v>0</v>
      </c>
      <c r="L3358" s="85">
        <v>14</v>
      </c>
      <c r="M3358" s="85">
        <v>0</v>
      </c>
      <c r="N3358" s="82" t="s">
        <v>11782</v>
      </c>
      <c r="O3358" s="93">
        <v>45875.755706018521</v>
      </c>
    </row>
    <row r="3359" spans="1:15" ht="22.5" customHeight="1">
      <c r="A3359" s="85">
        <v>174904221976312</v>
      </c>
      <c r="B3359" s="82" t="s">
        <v>10651</v>
      </c>
      <c r="C3359" s="82" t="s">
        <v>11783</v>
      </c>
      <c r="D3359" s="82" t="s">
        <v>3600</v>
      </c>
      <c r="E3359" s="82">
        <v>6285241858483</v>
      </c>
      <c r="F3359" s="94">
        <v>45874</v>
      </c>
      <c r="G3359" s="87">
        <v>876</v>
      </c>
      <c r="H3359" s="88">
        <v>11294.005708848716</v>
      </c>
      <c r="I3359" s="89">
        <v>17</v>
      </c>
      <c r="J3359" s="90">
        <v>11870</v>
      </c>
      <c r="K3359" s="85">
        <v>2</v>
      </c>
      <c r="L3359" s="85">
        <v>80</v>
      </c>
      <c r="M3359" s="85">
        <v>0</v>
      </c>
      <c r="N3359" s="82" t="s">
        <v>11784</v>
      </c>
      <c r="O3359" s="93">
        <v>45875.631412037037</v>
      </c>
    </row>
    <row r="3360" spans="1:15" ht="22.5" customHeight="1">
      <c r="A3360" s="85">
        <v>174904221976312</v>
      </c>
      <c r="B3360" s="82" t="s">
        <v>10651</v>
      </c>
      <c r="C3360" s="82" t="s">
        <v>11785</v>
      </c>
      <c r="D3360" s="82" t="s">
        <v>11786</v>
      </c>
      <c r="E3360" s="82">
        <v>628557182563</v>
      </c>
      <c r="F3360" s="94">
        <v>45874</v>
      </c>
      <c r="G3360" s="87">
        <v>553</v>
      </c>
      <c r="H3360" s="88">
        <v>16804.83870967742</v>
      </c>
      <c r="I3360" s="89">
        <v>10</v>
      </c>
      <c r="J3360" s="90">
        <v>10419</v>
      </c>
      <c r="K3360" s="85">
        <v>1</v>
      </c>
      <c r="L3360" s="85">
        <v>17</v>
      </c>
      <c r="M3360" s="85">
        <v>0</v>
      </c>
      <c r="N3360" s="82" t="s">
        <v>11787</v>
      </c>
      <c r="O3360" s="93">
        <v>45875.631076388891</v>
      </c>
    </row>
    <row r="3361" spans="1:15" ht="22.5" customHeight="1">
      <c r="A3361" s="85">
        <v>174904221976312</v>
      </c>
      <c r="B3361" s="82" t="s">
        <v>10651</v>
      </c>
      <c r="C3361" s="82" t="s">
        <v>11788</v>
      </c>
      <c r="D3361" s="82" t="s">
        <v>11789</v>
      </c>
      <c r="E3361" s="82">
        <v>6287751970643</v>
      </c>
      <c r="F3361" s="94">
        <v>45874</v>
      </c>
      <c r="G3361" s="87">
        <v>138</v>
      </c>
      <c r="H3361" s="88">
        <v>57634.482758620688</v>
      </c>
      <c r="I3361" s="89">
        <v>4</v>
      </c>
      <c r="J3361" s="90">
        <v>8357</v>
      </c>
      <c r="K3361" s="85">
        <v>0</v>
      </c>
      <c r="L3361" s="85">
        <v>43</v>
      </c>
      <c r="M3361" s="85">
        <v>0</v>
      </c>
      <c r="N3361" s="82" t="s">
        <v>11790</v>
      </c>
      <c r="O3361" s="93">
        <v>45875.776331018518</v>
      </c>
    </row>
    <row r="3362" spans="1:15" ht="22.5" customHeight="1">
      <c r="A3362" s="85">
        <v>174904221976312</v>
      </c>
      <c r="B3362" s="82" t="s">
        <v>10651</v>
      </c>
      <c r="C3362" s="82" t="s">
        <v>11737</v>
      </c>
      <c r="D3362" s="82" t="s">
        <v>11738</v>
      </c>
      <c r="E3362" s="82">
        <v>6282241824727</v>
      </c>
      <c r="F3362" s="94">
        <v>45874</v>
      </c>
      <c r="G3362" s="87">
        <v>245</v>
      </c>
      <c r="H3362" s="88">
        <v>52638.686131386865</v>
      </c>
      <c r="I3362" s="89">
        <v>10</v>
      </c>
      <c r="J3362" s="90">
        <v>14423</v>
      </c>
      <c r="K3362" s="85">
        <v>2</v>
      </c>
      <c r="L3362" s="85">
        <v>119</v>
      </c>
      <c r="M3362" s="85">
        <v>0</v>
      </c>
      <c r="N3362" s="82" t="s">
        <v>11739</v>
      </c>
      <c r="O3362" s="93">
        <v>45875.610277777778</v>
      </c>
    </row>
    <row r="3363" spans="1:15" ht="22.5" customHeight="1">
      <c r="A3363" s="85">
        <v>174904221976312</v>
      </c>
      <c r="B3363" s="82" t="s">
        <v>10651</v>
      </c>
      <c r="C3363" s="82" t="s">
        <v>11740</v>
      </c>
      <c r="D3363" s="82" t="s">
        <v>3562</v>
      </c>
      <c r="E3363" s="82">
        <v>6281558225822</v>
      </c>
      <c r="F3363" s="94">
        <v>45874</v>
      </c>
      <c r="G3363" s="87">
        <v>521</v>
      </c>
      <c r="H3363" s="88">
        <v>30805.172413793101</v>
      </c>
      <c r="I3363" s="89">
        <v>13</v>
      </c>
      <c r="J3363" s="90">
        <v>17867</v>
      </c>
      <c r="K3363" s="85">
        <v>0</v>
      </c>
      <c r="L3363" s="85">
        <v>234</v>
      </c>
      <c r="M3363" s="85">
        <v>0</v>
      </c>
      <c r="N3363" s="82" t="s">
        <v>11741</v>
      </c>
      <c r="O3363" s="93">
        <v>45875.672847222224</v>
      </c>
    </row>
    <row r="3364" spans="1:15" ht="22.5" customHeight="1">
      <c r="A3364" s="85">
        <v>174904221976312</v>
      </c>
      <c r="B3364" s="82" t="s">
        <v>10651</v>
      </c>
      <c r="C3364" s="82" t="s">
        <v>11742</v>
      </c>
      <c r="D3364" s="82" t="s">
        <v>9010</v>
      </c>
      <c r="E3364" s="82">
        <v>6285244535934</v>
      </c>
      <c r="F3364" s="94">
        <v>45874</v>
      </c>
      <c r="G3364" s="87">
        <v>778</v>
      </c>
      <c r="H3364" s="88">
        <v>12904.233870967742</v>
      </c>
      <c r="I3364" s="89">
        <v>57</v>
      </c>
      <c r="J3364" s="90">
        <v>12801</v>
      </c>
      <c r="K3364" s="85">
        <v>9</v>
      </c>
      <c r="L3364" s="85">
        <v>365</v>
      </c>
      <c r="M3364" s="85">
        <v>0</v>
      </c>
      <c r="N3364" s="82" t="s">
        <v>11743</v>
      </c>
      <c r="O3364" s="93">
        <v>45875.672847222224</v>
      </c>
    </row>
    <row r="3365" spans="1:15" ht="22.5" customHeight="1">
      <c r="A3365" s="85">
        <v>174904221976312</v>
      </c>
      <c r="B3365" s="82" t="s">
        <v>10651</v>
      </c>
      <c r="C3365" s="82" t="s">
        <v>11744</v>
      </c>
      <c r="D3365" s="82" t="s">
        <v>11745</v>
      </c>
      <c r="E3365" s="82">
        <v>6287721853921</v>
      </c>
      <c r="F3365" s="94">
        <v>45874</v>
      </c>
      <c r="G3365" s="87">
        <v>1039</v>
      </c>
      <c r="H3365" s="88">
        <v>10775.636083269083</v>
      </c>
      <c r="I3365" s="89">
        <v>39</v>
      </c>
      <c r="J3365" s="90">
        <v>13976</v>
      </c>
      <c r="K3365" s="85">
        <v>6</v>
      </c>
      <c r="L3365" s="85">
        <v>424</v>
      </c>
      <c r="M3365" s="85">
        <v>1</v>
      </c>
      <c r="N3365" s="82" t="s">
        <v>11746</v>
      </c>
      <c r="O3365" s="93">
        <v>45875.589444444442</v>
      </c>
    </row>
    <row r="3366" spans="1:15" ht="22.5" customHeight="1">
      <c r="A3366" s="85">
        <v>174904221976312</v>
      </c>
      <c r="B3366" s="82" t="s">
        <v>10651</v>
      </c>
      <c r="C3366" s="82" t="s">
        <v>11747</v>
      </c>
      <c r="D3366" s="82" t="s">
        <v>11748</v>
      </c>
      <c r="E3366" s="82">
        <v>6285378141823</v>
      </c>
      <c r="F3366" s="94">
        <v>45874</v>
      </c>
      <c r="G3366" s="87">
        <v>571</v>
      </c>
      <c r="H3366" s="88">
        <v>17168.597168597171</v>
      </c>
      <c r="I3366" s="89">
        <v>29</v>
      </c>
      <c r="J3366" s="90">
        <v>13340</v>
      </c>
      <c r="K3366" s="85">
        <v>2</v>
      </c>
      <c r="L3366" s="85">
        <v>0</v>
      </c>
      <c r="M3366" s="85">
        <v>2</v>
      </c>
      <c r="N3366" s="82" t="s">
        <v>11749</v>
      </c>
      <c r="O3366" s="93">
        <v>45875.734768518516</v>
      </c>
    </row>
    <row r="3367" spans="1:15" ht="22.5" customHeight="1">
      <c r="A3367" s="85">
        <v>174904221976312</v>
      </c>
      <c r="B3367" s="82" t="s">
        <v>10651</v>
      </c>
      <c r="C3367" s="82" t="s">
        <v>11750</v>
      </c>
      <c r="D3367" s="82" t="s">
        <v>3460</v>
      </c>
      <c r="E3367" s="82">
        <v>6283865096870</v>
      </c>
      <c r="F3367" s="94">
        <v>45874</v>
      </c>
      <c r="G3367" s="87">
        <v>721</v>
      </c>
      <c r="H3367" s="88">
        <v>10977.321814254859</v>
      </c>
      <c r="I3367" s="89">
        <v>18</v>
      </c>
      <c r="J3367" s="90">
        <v>10165</v>
      </c>
      <c r="K3367" s="85">
        <v>3</v>
      </c>
      <c r="L3367" s="85">
        <v>285</v>
      </c>
      <c r="M3367" s="85">
        <v>1</v>
      </c>
      <c r="N3367" s="82" t="s">
        <v>11751</v>
      </c>
      <c r="O3367" s="93">
        <v>45875.776342592595</v>
      </c>
    </row>
    <row r="3368" spans="1:15" ht="22.5" customHeight="1">
      <c r="A3368" s="85">
        <v>174904221976312</v>
      </c>
      <c r="B3368" s="82" t="s">
        <v>10651</v>
      </c>
      <c r="C3368" s="82" t="s">
        <v>11752</v>
      </c>
      <c r="D3368" s="82" t="s">
        <v>11753</v>
      </c>
      <c r="E3368" s="82">
        <v>6281326757091</v>
      </c>
      <c r="F3368" s="94">
        <v>45874</v>
      </c>
      <c r="G3368" s="87">
        <v>783</v>
      </c>
      <c r="H3368" s="88">
        <v>13421</v>
      </c>
      <c r="I3368" s="89">
        <v>88</v>
      </c>
      <c r="J3368" s="90">
        <v>13421</v>
      </c>
      <c r="K3368" s="85">
        <v>14</v>
      </c>
      <c r="L3368" s="85">
        <v>331</v>
      </c>
      <c r="M3368" s="85">
        <v>1</v>
      </c>
      <c r="N3368" s="82" t="s">
        <v>11754</v>
      </c>
      <c r="O3368" s="93">
        <v>45875.713865740741</v>
      </c>
    </row>
    <row r="3369" spans="1:15" ht="22.5" customHeight="1">
      <c r="A3369" s="85">
        <v>174904221976312</v>
      </c>
      <c r="B3369" s="82" t="s">
        <v>10651</v>
      </c>
      <c r="C3369" s="82" t="s">
        <v>11755</v>
      </c>
      <c r="D3369" s="82" t="s">
        <v>11756</v>
      </c>
      <c r="E3369" s="82">
        <v>6281357754513</v>
      </c>
      <c r="F3369" s="94">
        <v>45874</v>
      </c>
      <c r="G3369" s="87">
        <v>640</v>
      </c>
      <c r="H3369" s="88">
        <v>17154.150197628456</v>
      </c>
      <c r="I3369" s="89">
        <v>26</v>
      </c>
      <c r="J3369" s="90">
        <v>13020</v>
      </c>
      <c r="K3369" s="85">
        <v>6</v>
      </c>
      <c r="L3369" s="85">
        <v>257</v>
      </c>
      <c r="M3369" s="85">
        <v>0</v>
      </c>
      <c r="N3369" s="82" t="s">
        <v>11757</v>
      </c>
      <c r="O3369" s="93">
        <v>45875.631412037037</v>
      </c>
    </row>
    <row r="3370" spans="1:15" ht="22.5" customHeight="1">
      <c r="A3370" s="85">
        <v>174904221976312</v>
      </c>
      <c r="B3370" s="82" t="s">
        <v>10651</v>
      </c>
      <c r="C3370" s="82" t="s">
        <v>11758</v>
      </c>
      <c r="D3370" s="82" t="s">
        <v>11759</v>
      </c>
      <c r="E3370" s="82">
        <v>6285946504405</v>
      </c>
      <c r="F3370" s="94">
        <v>45874</v>
      </c>
      <c r="G3370" s="87">
        <v>316</v>
      </c>
      <c r="H3370" s="88">
        <v>32280.193236714978</v>
      </c>
      <c r="I3370" s="89">
        <v>20</v>
      </c>
      <c r="J3370" s="90">
        <v>13364</v>
      </c>
      <c r="K3370" s="85">
        <v>5</v>
      </c>
      <c r="L3370" s="85">
        <v>163</v>
      </c>
      <c r="M3370" s="85">
        <v>0</v>
      </c>
      <c r="N3370" s="82" t="s">
        <v>11760</v>
      </c>
      <c r="O3370" s="93">
        <v>45875.755960648145</v>
      </c>
    </row>
    <row r="3371" spans="1:15" ht="22.5" customHeight="1">
      <c r="A3371" s="85">
        <v>174904221976312</v>
      </c>
      <c r="B3371" s="82" t="s">
        <v>10651</v>
      </c>
      <c r="C3371" s="82" t="s">
        <v>11761</v>
      </c>
      <c r="D3371" s="82" t="s">
        <v>3438</v>
      </c>
      <c r="E3371" s="82">
        <v>628154336558</v>
      </c>
      <c r="F3371" s="94">
        <v>45874</v>
      </c>
      <c r="G3371" s="87">
        <v>2484</v>
      </c>
      <c r="H3371" s="88">
        <v>4084.8673946957879</v>
      </c>
      <c r="I3371" s="89">
        <v>52</v>
      </c>
      <c r="J3371" s="90">
        <v>13092</v>
      </c>
      <c r="K3371" s="85">
        <v>3</v>
      </c>
      <c r="L3371" s="85">
        <v>0</v>
      </c>
      <c r="M3371" s="85">
        <v>0</v>
      </c>
      <c r="N3371" s="82" t="s">
        <v>11762</v>
      </c>
      <c r="O3371" s="93">
        <v>45875.463726851849</v>
      </c>
    </row>
    <row r="3372" spans="1:15" ht="22.5" customHeight="1">
      <c r="A3372" s="85">
        <v>174904221976312</v>
      </c>
      <c r="B3372" s="82" t="s">
        <v>10651</v>
      </c>
      <c r="C3372" s="82" t="s">
        <v>11763</v>
      </c>
      <c r="D3372" s="82" t="s">
        <v>11764</v>
      </c>
      <c r="E3372" s="82">
        <v>6282384544939</v>
      </c>
      <c r="F3372" s="94">
        <v>45874</v>
      </c>
      <c r="G3372" s="87">
        <v>696</v>
      </c>
      <c r="H3372" s="88">
        <v>13632.265717674971</v>
      </c>
      <c r="I3372" s="89">
        <v>14</v>
      </c>
      <c r="J3372" s="90">
        <v>11492</v>
      </c>
      <c r="K3372" s="85">
        <v>1</v>
      </c>
      <c r="L3372" s="85">
        <v>247</v>
      </c>
      <c r="M3372" s="85">
        <v>1</v>
      </c>
      <c r="N3372" s="82" t="s">
        <v>11765</v>
      </c>
      <c r="O3372" s="93">
        <v>45875.631412037037</v>
      </c>
    </row>
    <row r="3373" spans="1:15" ht="22.5" customHeight="1">
      <c r="A3373" s="85">
        <v>174904221976312</v>
      </c>
      <c r="B3373" s="82" t="s">
        <v>10651</v>
      </c>
      <c r="C3373" s="82" t="s">
        <v>11720</v>
      </c>
      <c r="D3373" s="82" t="s">
        <v>11721</v>
      </c>
      <c r="E3373" s="82">
        <v>628990145388</v>
      </c>
      <c r="F3373" s="94">
        <v>45874</v>
      </c>
      <c r="G3373" s="87">
        <v>329</v>
      </c>
      <c r="H3373" s="88">
        <v>33469.002695417796</v>
      </c>
      <c r="I3373" s="89">
        <v>18</v>
      </c>
      <c r="J3373" s="90">
        <v>12417</v>
      </c>
      <c r="K3373" s="85">
        <v>3</v>
      </c>
      <c r="L3373" s="85">
        <v>105</v>
      </c>
      <c r="M3373" s="85">
        <v>0</v>
      </c>
      <c r="N3373" s="82" t="s">
        <v>11722</v>
      </c>
      <c r="O3373" s="93">
        <v>45875.673136574071</v>
      </c>
    </row>
    <row r="3374" spans="1:15" ht="22.5" customHeight="1">
      <c r="A3374" s="85">
        <v>174904221976312</v>
      </c>
      <c r="B3374" s="82" t="s">
        <v>10651</v>
      </c>
      <c r="C3374" s="82" t="s">
        <v>11723</v>
      </c>
      <c r="D3374" s="82" t="s">
        <v>11724</v>
      </c>
      <c r="E3374" s="82">
        <v>6281226950679</v>
      </c>
      <c r="F3374" s="94">
        <v>45874</v>
      </c>
      <c r="G3374" s="87">
        <v>360</v>
      </c>
      <c r="H3374" s="88">
        <v>35136.246786632393</v>
      </c>
      <c r="I3374" s="89">
        <v>22</v>
      </c>
      <c r="J3374" s="90">
        <v>13668</v>
      </c>
      <c r="K3374" s="85">
        <v>2</v>
      </c>
      <c r="L3374" s="85">
        <v>136</v>
      </c>
      <c r="M3374" s="85">
        <v>0</v>
      </c>
      <c r="N3374" s="82" t="s">
        <v>11725</v>
      </c>
      <c r="O3374" s="93">
        <v>45875.568379629629</v>
      </c>
    </row>
    <row r="3375" spans="1:15" ht="22.5" customHeight="1">
      <c r="A3375" s="85">
        <v>174904221976312</v>
      </c>
      <c r="B3375" s="82" t="s">
        <v>10651</v>
      </c>
      <c r="C3375" s="82" t="s">
        <v>11726</v>
      </c>
      <c r="D3375" s="82" t="s">
        <v>3291</v>
      </c>
      <c r="E3375" s="82">
        <v>6285691146546</v>
      </c>
      <c r="F3375" s="94">
        <v>45874</v>
      </c>
      <c r="G3375" s="87">
        <v>526</v>
      </c>
      <c r="H3375" s="88">
        <v>24345.454545454544</v>
      </c>
      <c r="I3375" s="89">
        <v>26</v>
      </c>
      <c r="J3375" s="90">
        <v>13390</v>
      </c>
      <c r="K3375" s="85">
        <v>9</v>
      </c>
      <c r="L3375" s="85">
        <v>243</v>
      </c>
      <c r="M3375" s="85">
        <v>0</v>
      </c>
      <c r="N3375" s="82" t="s">
        <v>11727</v>
      </c>
      <c r="O3375" s="93">
        <v>45875.589236111111</v>
      </c>
    </row>
    <row r="3376" spans="1:15" ht="22.5" customHeight="1">
      <c r="A3376" s="85">
        <v>174904221976312</v>
      </c>
      <c r="B3376" s="82" t="s">
        <v>10651</v>
      </c>
      <c r="C3376" s="82" t="s">
        <v>11728</v>
      </c>
      <c r="D3376" s="82" t="s">
        <v>11729</v>
      </c>
      <c r="E3376" s="82">
        <v>628122703083</v>
      </c>
      <c r="F3376" s="94">
        <v>45874</v>
      </c>
      <c r="G3376" s="87">
        <v>303</v>
      </c>
      <c r="H3376" s="88">
        <v>42313.218390804599</v>
      </c>
      <c r="I3376" s="89">
        <v>19</v>
      </c>
      <c r="J3376" s="90">
        <v>14725</v>
      </c>
      <c r="K3376" s="85">
        <v>3</v>
      </c>
      <c r="L3376" s="85">
        <v>0</v>
      </c>
      <c r="M3376" s="85">
        <v>0</v>
      </c>
      <c r="N3376" s="82" t="s">
        <v>11730</v>
      </c>
      <c r="O3376" s="93">
        <v>45875.568113425928</v>
      </c>
    </row>
    <row r="3377" spans="1:15" ht="22.5" customHeight="1">
      <c r="A3377" s="85">
        <v>174904221976312</v>
      </c>
      <c r="B3377" s="82" t="s">
        <v>10651</v>
      </c>
      <c r="C3377" s="82" t="s">
        <v>11731</v>
      </c>
      <c r="D3377" s="82" t="s">
        <v>3465</v>
      </c>
      <c r="E3377" s="82">
        <v>6285920572002</v>
      </c>
      <c r="F3377" s="94">
        <v>45874</v>
      </c>
      <c r="G3377" s="87">
        <v>423</v>
      </c>
      <c r="H3377" s="88">
        <v>27788.732394366198</v>
      </c>
      <c r="I3377" s="89">
        <v>17</v>
      </c>
      <c r="J3377" s="90">
        <v>13811</v>
      </c>
      <c r="K3377" s="85">
        <v>4</v>
      </c>
      <c r="L3377" s="85">
        <v>0</v>
      </c>
      <c r="M3377" s="85">
        <v>0</v>
      </c>
      <c r="N3377" s="82" t="s">
        <v>11732</v>
      </c>
      <c r="O3377" s="93">
        <v>45875.50545138889</v>
      </c>
    </row>
    <row r="3378" spans="1:15" ht="22.5" customHeight="1">
      <c r="A3378" s="85">
        <v>174904221976312</v>
      </c>
      <c r="B3378" s="82" t="s">
        <v>10651</v>
      </c>
      <c r="C3378" s="82" t="s">
        <v>11733</v>
      </c>
      <c r="D3378" s="82" t="s">
        <v>3479</v>
      </c>
      <c r="E3378" s="82">
        <v>6285780314346</v>
      </c>
      <c r="F3378" s="94">
        <v>45874</v>
      </c>
      <c r="G3378" s="87">
        <v>642</v>
      </c>
      <c r="H3378" s="88">
        <v>14504.524886877827</v>
      </c>
      <c r="I3378" s="89">
        <v>57</v>
      </c>
      <c r="J3378" s="90">
        <v>12822</v>
      </c>
      <c r="K3378" s="85">
        <v>6</v>
      </c>
      <c r="L3378" s="85">
        <v>142</v>
      </c>
      <c r="M3378" s="85">
        <v>0</v>
      </c>
      <c r="N3378" s="82" t="s">
        <v>11734</v>
      </c>
      <c r="O3378" s="93">
        <v>45875.505462962959</v>
      </c>
    </row>
    <row r="3379" spans="1:15" ht="22.5" customHeight="1">
      <c r="A3379" s="85">
        <v>174904221976312</v>
      </c>
      <c r="B3379" s="82" t="s">
        <v>10651</v>
      </c>
      <c r="C3379" s="82" t="s">
        <v>11697</v>
      </c>
      <c r="D3379" s="82" t="s">
        <v>3387</v>
      </c>
      <c r="E3379" s="82">
        <v>6285326750989</v>
      </c>
      <c r="F3379" s="94">
        <v>45874</v>
      </c>
      <c r="G3379" s="87">
        <v>640</v>
      </c>
      <c r="H3379" s="88">
        <v>19539.56834532374</v>
      </c>
      <c r="I3379" s="89">
        <v>24</v>
      </c>
      <c r="J3379" s="90">
        <v>13580</v>
      </c>
      <c r="K3379" s="85">
        <v>9</v>
      </c>
      <c r="L3379" s="85">
        <v>340</v>
      </c>
      <c r="M3379" s="85">
        <v>0</v>
      </c>
      <c r="N3379" s="82" t="s">
        <v>11698</v>
      </c>
      <c r="O3379" s="93">
        <v>45875.46371527778</v>
      </c>
    </row>
    <row r="3380" spans="1:15" ht="22.5" customHeight="1">
      <c r="A3380" s="85">
        <v>174904221976312</v>
      </c>
      <c r="B3380" s="82" t="s">
        <v>10651</v>
      </c>
      <c r="C3380" s="82" t="s">
        <v>11699</v>
      </c>
      <c r="D3380" s="82" t="s">
        <v>3305</v>
      </c>
      <c r="E3380" s="82">
        <v>6282249348536</v>
      </c>
      <c r="F3380" s="94">
        <v>45874</v>
      </c>
      <c r="G3380" s="87">
        <v>929</v>
      </c>
      <c r="H3380" s="88">
        <v>12964.448495897903</v>
      </c>
      <c r="I3380" s="89">
        <v>41</v>
      </c>
      <c r="J3380" s="90">
        <v>14222</v>
      </c>
      <c r="K3380" s="85">
        <v>7</v>
      </c>
      <c r="L3380" s="85">
        <v>321</v>
      </c>
      <c r="M3380" s="85">
        <v>1</v>
      </c>
      <c r="N3380" s="82" t="s">
        <v>11700</v>
      </c>
      <c r="O3380" s="93">
        <v>45875.713854166665</v>
      </c>
    </row>
    <row r="3381" spans="1:15" ht="22.5" customHeight="1">
      <c r="A3381" s="85">
        <v>174904221976312</v>
      </c>
      <c r="B3381" s="82" t="s">
        <v>10651</v>
      </c>
      <c r="C3381" s="82" t="s">
        <v>11701</v>
      </c>
      <c r="D3381" s="82" t="s">
        <v>11702</v>
      </c>
      <c r="E3381" s="82">
        <v>6288802749485</v>
      </c>
      <c r="F3381" s="94">
        <v>45874</v>
      </c>
      <c r="G3381" s="87">
        <v>557</v>
      </c>
      <c r="H3381" s="88">
        <v>18770.981507823613</v>
      </c>
      <c r="I3381" s="89">
        <v>66</v>
      </c>
      <c r="J3381" s="90">
        <v>13196</v>
      </c>
      <c r="K3381" s="85">
        <v>13</v>
      </c>
      <c r="L3381" s="85">
        <v>25</v>
      </c>
      <c r="M3381" s="85">
        <v>1</v>
      </c>
      <c r="N3381" s="82" t="s">
        <v>11703</v>
      </c>
      <c r="O3381" s="93">
        <v>45875.713877314818</v>
      </c>
    </row>
    <row r="3382" spans="1:15" ht="22.5" customHeight="1">
      <c r="A3382" s="85">
        <v>174904221976312</v>
      </c>
      <c r="B3382" s="82" t="s">
        <v>10651</v>
      </c>
      <c r="C3382" s="82" t="s">
        <v>11704</v>
      </c>
      <c r="D3382" s="82" t="s">
        <v>3334</v>
      </c>
      <c r="E3382" s="82">
        <v>6282118113002</v>
      </c>
      <c r="F3382" s="94">
        <v>45874</v>
      </c>
      <c r="G3382" s="87">
        <v>296</v>
      </c>
      <c r="H3382" s="88">
        <v>49524.271844660194</v>
      </c>
      <c r="I3382" s="89">
        <v>12</v>
      </c>
      <c r="J3382" s="90">
        <v>15303</v>
      </c>
      <c r="K3382" s="85">
        <v>0</v>
      </c>
      <c r="L3382" s="85">
        <v>115</v>
      </c>
      <c r="M3382" s="85">
        <v>0</v>
      </c>
      <c r="N3382" s="82" t="s">
        <v>11705</v>
      </c>
      <c r="O3382" s="93">
        <v>45875.505462962959</v>
      </c>
    </row>
    <row r="3383" spans="1:15" ht="22.5" customHeight="1">
      <c r="A3383" s="85">
        <v>174904221976312</v>
      </c>
      <c r="B3383" s="82" t="s">
        <v>10651</v>
      </c>
      <c r="C3383" s="82" t="s">
        <v>11706</v>
      </c>
      <c r="D3383" s="82" t="s">
        <v>3298</v>
      </c>
      <c r="E3383" s="82">
        <v>6281362440234</v>
      </c>
      <c r="F3383" s="94">
        <v>45874</v>
      </c>
      <c r="G3383" s="87">
        <v>912</v>
      </c>
      <c r="H3383" s="88">
        <v>14211.009174311926</v>
      </c>
      <c r="I3383" s="89">
        <v>48</v>
      </c>
      <c r="J3383" s="90">
        <v>13941</v>
      </c>
      <c r="K3383" s="85">
        <v>9</v>
      </c>
      <c r="L3383" s="85">
        <v>560</v>
      </c>
      <c r="M3383" s="85">
        <v>0</v>
      </c>
      <c r="N3383" s="82" t="s">
        <v>11707</v>
      </c>
      <c r="O3383" s="93">
        <v>45875.568124999998</v>
      </c>
    </row>
    <row r="3384" spans="1:15" ht="22.5" customHeight="1">
      <c r="A3384" s="85">
        <v>174904221976312</v>
      </c>
      <c r="B3384" s="82" t="s">
        <v>10651</v>
      </c>
      <c r="C3384" s="82" t="s">
        <v>11708</v>
      </c>
      <c r="D3384" s="82" t="s">
        <v>11709</v>
      </c>
      <c r="E3384" s="82">
        <v>6285294617773</v>
      </c>
      <c r="F3384" s="94">
        <v>45874</v>
      </c>
      <c r="G3384" s="87">
        <v>348</v>
      </c>
      <c r="H3384" s="88">
        <v>28758.373205741627</v>
      </c>
      <c r="I3384" s="89">
        <v>27</v>
      </c>
      <c r="J3384" s="90">
        <v>12021</v>
      </c>
      <c r="K3384" s="85">
        <v>4</v>
      </c>
      <c r="L3384" s="85">
        <v>120</v>
      </c>
      <c r="M3384" s="85">
        <v>0</v>
      </c>
      <c r="N3384" s="82" t="s">
        <v>11710</v>
      </c>
      <c r="O3384" s="93">
        <v>45875.216666666667</v>
      </c>
    </row>
    <row r="3385" spans="1:15" ht="22.5" customHeight="1">
      <c r="A3385" s="85">
        <v>174904221976312</v>
      </c>
      <c r="B3385" s="82" t="s">
        <v>10651</v>
      </c>
      <c r="C3385" s="82" t="s">
        <v>11674</v>
      </c>
      <c r="D3385" s="82" t="s">
        <v>2688</v>
      </c>
      <c r="E3385" s="82">
        <v>6281392854108</v>
      </c>
      <c r="F3385" s="94">
        <v>45874</v>
      </c>
      <c r="G3385" s="87">
        <v>12551</v>
      </c>
      <c r="H3385" s="88">
        <v>1112.2804302406562</v>
      </c>
      <c r="I3385" s="89">
        <v>33</v>
      </c>
      <c r="J3385" s="90">
        <v>14374</v>
      </c>
      <c r="K3385" s="85">
        <v>0</v>
      </c>
      <c r="L3385" s="85">
        <v>91</v>
      </c>
      <c r="M3385" s="85">
        <v>0</v>
      </c>
      <c r="N3385" s="82" t="s">
        <v>11675</v>
      </c>
      <c r="O3385" s="93">
        <v>45875.567893518521</v>
      </c>
    </row>
    <row r="3386" spans="1:15" ht="22.5" customHeight="1">
      <c r="A3386" s="85">
        <v>174904221976312</v>
      </c>
      <c r="B3386" s="82" t="s">
        <v>10651</v>
      </c>
      <c r="C3386" s="82" t="s">
        <v>11676</v>
      </c>
      <c r="D3386" s="82" t="s">
        <v>2580</v>
      </c>
      <c r="E3386" s="82">
        <v>6287829346006</v>
      </c>
      <c r="F3386" s="94">
        <v>45874</v>
      </c>
      <c r="G3386" s="87">
        <v>10365</v>
      </c>
      <c r="H3386" s="88">
        <v>1192.1278982797307</v>
      </c>
      <c r="I3386" s="89">
        <v>21</v>
      </c>
      <c r="J3386" s="90">
        <v>12751</v>
      </c>
      <c r="K3386" s="85">
        <v>0</v>
      </c>
      <c r="L3386" s="85">
        <v>20</v>
      </c>
      <c r="M3386" s="85">
        <v>0</v>
      </c>
      <c r="N3386" s="82" t="s">
        <v>11677</v>
      </c>
      <c r="O3386" s="93">
        <v>45875.547071759262</v>
      </c>
    </row>
    <row r="3387" spans="1:15" ht="22.5" customHeight="1">
      <c r="A3387" s="85">
        <v>174904221976312</v>
      </c>
      <c r="B3387" s="82" t="s">
        <v>10651</v>
      </c>
      <c r="C3387" s="82" t="s">
        <v>11678</v>
      </c>
      <c r="D3387" s="82" t="s">
        <v>11679</v>
      </c>
      <c r="E3387" s="82">
        <v>628111099911</v>
      </c>
      <c r="F3387" s="94">
        <v>45874</v>
      </c>
      <c r="G3387" s="87">
        <v>623</v>
      </c>
      <c r="H3387" s="88">
        <v>17917.771883289122</v>
      </c>
      <c r="I3387" s="89">
        <v>31</v>
      </c>
      <c r="J3387" s="90">
        <v>13510</v>
      </c>
      <c r="K3387" s="85">
        <v>5</v>
      </c>
      <c r="L3387" s="85">
        <v>235</v>
      </c>
      <c r="M3387" s="85">
        <v>2</v>
      </c>
      <c r="N3387" s="82" t="s">
        <v>11680</v>
      </c>
      <c r="O3387" s="93">
        <v>45875.505462962959</v>
      </c>
    </row>
    <row r="3388" spans="1:15" ht="22.5" customHeight="1">
      <c r="A3388" s="85">
        <v>174904221976312</v>
      </c>
      <c r="B3388" s="82" t="s">
        <v>10651</v>
      </c>
      <c r="C3388" s="82" t="s">
        <v>11711</v>
      </c>
      <c r="D3388" s="82" t="s">
        <v>11712</v>
      </c>
      <c r="E3388" s="82">
        <v>6285286258400</v>
      </c>
      <c r="F3388" s="94">
        <v>45874</v>
      </c>
      <c r="G3388" s="87">
        <v>368</v>
      </c>
      <c r="H3388" s="88">
        <v>24361.522198731498</v>
      </c>
      <c r="I3388" s="89">
        <v>16</v>
      </c>
      <c r="J3388" s="90">
        <v>11523</v>
      </c>
      <c r="K3388" s="85">
        <v>2</v>
      </c>
      <c r="L3388" s="85">
        <v>65</v>
      </c>
      <c r="M3388" s="85">
        <v>0</v>
      </c>
      <c r="N3388" s="82" t="s">
        <v>11713</v>
      </c>
      <c r="O3388" s="93">
        <v>45875.568124999998</v>
      </c>
    </row>
    <row r="3389" spans="1:15" ht="22.5" customHeight="1">
      <c r="A3389" s="85">
        <v>174904221976312</v>
      </c>
      <c r="B3389" s="82" t="s">
        <v>10651</v>
      </c>
      <c r="C3389" s="82" t="s">
        <v>11652</v>
      </c>
      <c r="D3389" s="82" t="s">
        <v>3236</v>
      </c>
      <c r="E3389" s="82">
        <v>6283831211890</v>
      </c>
      <c r="F3389" s="94">
        <v>45874</v>
      </c>
      <c r="G3389" s="87">
        <v>1122</v>
      </c>
      <c r="H3389" s="88">
        <v>12274.426508071369</v>
      </c>
      <c r="I3389" s="89">
        <v>11</v>
      </c>
      <c r="J3389" s="90">
        <v>14447</v>
      </c>
      <c r="K3389" s="85">
        <v>0</v>
      </c>
      <c r="L3389" s="85">
        <v>219</v>
      </c>
      <c r="M3389" s="85">
        <v>0</v>
      </c>
      <c r="N3389" s="82" t="s">
        <v>11653</v>
      </c>
      <c r="O3389" s="93">
        <v>45875.216689814813</v>
      </c>
    </row>
    <row r="3390" spans="1:15" ht="22.5" customHeight="1">
      <c r="A3390" s="85">
        <v>174904221976312</v>
      </c>
      <c r="B3390" s="82" t="s">
        <v>10651</v>
      </c>
      <c r="C3390" s="82" t="s">
        <v>11654</v>
      </c>
      <c r="D3390" s="82" t="s">
        <v>11655</v>
      </c>
      <c r="E3390" s="82">
        <v>6285223186555</v>
      </c>
      <c r="F3390" s="94">
        <v>45874</v>
      </c>
      <c r="G3390" s="87">
        <v>736</v>
      </c>
      <c r="H3390" s="88">
        <v>15249.705535924617</v>
      </c>
      <c r="I3390" s="89">
        <v>40</v>
      </c>
      <c r="J3390" s="90">
        <v>12947</v>
      </c>
      <c r="K3390" s="85">
        <v>7</v>
      </c>
      <c r="L3390" s="85">
        <v>0</v>
      </c>
      <c r="M3390" s="85">
        <v>2</v>
      </c>
      <c r="N3390" s="82" t="s">
        <v>11656</v>
      </c>
      <c r="O3390" s="93">
        <v>45875.651620370372</v>
      </c>
    </row>
    <row r="3391" spans="1:15" ht="22.5" customHeight="1">
      <c r="A3391" s="85">
        <v>174904221976312</v>
      </c>
      <c r="B3391" s="82" t="s">
        <v>10651</v>
      </c>
      <c r="C3391" s="82" t="s">
        <v>11657</v>
      </c>
      <c r="D3391" s="82" t="s">
        <v>11658</v>
      </c>
      <c r="E3391" s="82">
        <v>6282352307329</v>
      </c>
      <c r="F3391" s="94">
        <v>45874</v>
      </c>
      <c r="G3391" s="87">
        <v>1623</v>
      </c>
      <c r="H3391" s="88">
        <v>6668.8273423688861</v>
      </c>
      <c r="I3391" s="89">
        <v>79</v>
      </c>
      <c r="J3391" s="90">
        <v>11317</v>
      </c>
      <c r="K3391" s="85">
        <v>0</v>
      </c>
      <c r="L3391" s="85">
        <v>625</v>
      </c>
      <c r="M3391" s="85">
        <v>1</v>
      </c>
      <c r="N3391" s="82" t="s">
        <v>11659</v>
      </c>
      <c r="O3391" s="93">
        <v>45875.216678240744</v>
      </c>
    </row>
    <row r="3392" spans="1:15" ht="22.5" customHeight="1">
      <c r="A3392" s="85">
        <v>174904221976312</v>
      </c>
      <c r="B3392" s="82" t="s">
        <v>10651</v>
      </c>
      <c r="C3392" s="82" t="s">
        <v>11660</v>
      </c>
      <c r="D3392" s="82" t="s">
        <v>11661</v>
      </c>
      <c r="E3392" s="82">
        <v>6281347245985</v>
      </c>
      <c r="F3392" s="94">
        <v>45874</v>
      </c>
      <c r="G3392" s="87">
        <v>1588</v>
      </c>
      <c r="H3392" s="88">
        <v>6985.108820160367</v>
      </c>
      <c r="I3392" s="89">
        <v>24</v>
      </c>
      <c r="J3392" s="90">
        <v>12196</v>
      </c>
      <c r="K3392" s="85">
        <v>1</v>
      </c>
      <c r="L3392" s="85">
        <v>576</v>
      </c>
      <c r="M3392" s="85">
        <v>0</v>
      </c>
      <c r="N3392" s="82" t="s">
        <v>11662</v>
      </c>
      <c r="O3392" s="93">
        <v>45875.216678240744</v>
      </c>
    </row>
    <row r="3393" spans="1:15" ht="22.5" customHeight="1">
      <c r="A3393" s="85">
        <v>174904221976312</v>
      </c>
      <c r="B3393" s="82" t="s">
        <v>10651</v>
      </c>
      <c r="C3393" s="82" t="s">
        <v>11663</v>
      </c>
      <c r="D3393" s="82" t="s">
        <v>11664</v>
      </c>
      <c r="E3393" s="82">
        <v>628123264621</v>
      </c>
      <c r="F3393" s="94">
        <v>45874</v>
      </c>
      <c r="G3393" s="87">
        <v>940</v>
      </c>
      <c r="H3393" s="88">
        <v>13668.468468468469</v>
      </c>
      <c r="I3393" s="89">
        <v>44</v>
      </c>
      <c r="J3393" s="90">
        <v>15172</v>
      </c>
      <c r="K3393" s="85">
        <v>3</v>
      </c>
      <c r="L3393" s="85">
        <v>279</v>
      </c>
      <c r="M3393" s="85">
        <v>1</v>
      </c>
      <c r="N3393" s="82" t="s">
        <v>11665</v>
      </c>
      <c r="O3393" s="93">
        <v>45875.713865740741</v>
      </c>
    </row>
    <row r="3394" spans="1:15" ht="22.5" customHeight="1">
      <c r="A3394" s="85">
        <v>174904221976312</v>
      </c>
      <c r="B3394" s="82" t="s">
        <v>10651</v>
      </c>
      <c r="C3394" s="82" t="s">
        <v>11666</v>
      </c>
      <c r="D3394" s="82" t="s">
        <v>11667</v>
      </c>
      <c r="E3394" s="82">
        <v>6282292283543</v>
      </c>
      <c r="F3394" s="94">
        <v>45874</v>
      </c>
      <c r="G3394" s="87">
        <v>1184</v>
      </c>
      <c r="H3394" s="88">
        <v>9096.8468468468454</v>
      </c>
      <c r="I3394" s="89">
        <v>20</v>
      </c>
      <c r="J3394" s="90">
        <v>12117</v>
      </c>
      <c r="K3394" s="85">
        <v>4</v>
      </c>
      <c r="L3394" s="85">
        <v>252</v>
      </c>
      <c r="M3394" s="85">
        <v>0</v>
      </c>
      <c r="N3394" s="82" t="s">
        <v>11668</v>
      </c>
      <c r="O3394" s="93">
        <v>45875.216666666667</v>
      </c>
    </row>
    <row r="3395" spans="1:15" ht="22.5" customHeight="1">
      <c r="A3395" s="85">
        <v>174904221976312</v>
      </c>
      <c r="B3395" s="82" t="s">
        <v>10651</v>
      </c>
      <c r="C3395" s="82" t="s">
        <v>11669</v>
      </c>
      <c r="D3395" s="82" t="s">
        <v>2708</v>
      </c>
      <c r="E3395" s="82">
        <v>6282142833445</v>
      </c>
      <c r="F3395" s="94">
        <v>45874</v>
      </c>
      <c r="G3395" s="87">
        <v>767</v>
      </c>
      <c r="H3395" s="88">
        <v>12650.887573964497</v>
      </c>
      <c r="I3395" s="89">
        <v>9</v>
      </c>
      <c r="J3395" s="90">
        <v>10690</v>
      </c>
      <c r="K3395" s="85">
        <v>1</v>
      </c>
      <c r="L3395" s="85">
        <v>71</v>
      </c>
      <c r="M3395" s="85">
        <v>0</v>
      </c>
      <c r="N3395" s="82" t="s">
        <v>11670</v>
      </c>
      <c r="O3395" s="93">
        <v>45875.216678240744</v>
      </c>
    </row>
    <row r="3396" spans="1:15" ht="22.5" customHeight="1">
      <c r="A3396" s="85">
        <v>174904221976312</v>
      </c>
      <c r="B3396" s="82" t="s">
        <v>10651</v>
      </c>
      <c r="C3396" s="82" t="s">
        <v>11641</v>
      </c>
      <c r="D3396" s="82" t="s">
        <v>3229</v>
      </c>
      <c r="E3396" s="82">
        <v>6287865111033</v>
      </c>
      <c r="F3396" s="94">
        <v>45874</v>
      </c>
      <c r="G3396" s="87">
        <v>1227</v>
      </c>
      <c r="H3396" s="88">
        <v>7843.4237995824642</v>
      </c>
      <c r="I3396" s="89">
        <v>40</v>
      </c>
      <c r="J3396" s="90">
        <v>11271</v>
      </c>
      <c r="K3396" s="85">
        <v>1</v>
      </c>
      <c r="L3396" s="85">
        <v>69</v>
      </c>
      <c r="M3396" s="85">
        <v>2</v>
      </c>
      <c r="N3396" s="82" t="s">
        <v>11642</v>
      </c>
      <c r="O3396" s="93">
        <v>45875.610092592593</v>
      </c>
    </row>
    <row r="3397" spans="1:15" ht="22.5" customHeight="1">
      <c r="A3397" s="85">
        <v>174904221976312</v>
      </c>
      <c r="B3397" s="82" t="s">
        <v>10651</v>
      </c>
      <c r="C3397" s="82" t="s">
        <v>11643</v>
      </c>
      <c r="D3397" s="82" t="s">
        <v>11644</v>
      </c>
      <c r="E3397" s="82">
        <v>6281330410391</v>
      </c>
      <c r="F3397" s="94">
        <v>45874</v>
      </c>
      <c r="G3397" s="87">
        <v>820</v>
      </c>
      <c r="H3397" s="88">
        <v>18550.37115588547</v>
      </c>
      <c r="I3397" s="89">
        <v>48</v>
      </c>
      <c r="J3397" s="90">
        <v>17493</v>
      </c>
      <c r="K3397" s="85">
        <v>12</v>
      </c>
      <c r="L3397" s="85">
        <v>303</v>
      </c>
      <c r="M3397" s="85">
        <v>0</v>
      </c>
      <c r="N3397" s="82" t="s">
        <v>11681</v>
      </c>
      <c r="O3397" s="93">
        <v>45872.372071759259</v>
      </c>
    </row>
    <row r="3398" spans="1:15" ht="22.5" customHeight="1">
      <c r="A3398" s="85">
        <v>174904221976312</v>
      </c>
      <c r="B3398" s="82" t="s">
        <v>10651</v>
      </c>
      <c r="C3398" s="82" t="s">
        <v>11580</v>
      </c>
      <c r="D3398" s="82" t="s">
        <v>11581</v>
      </c>
      <c r="E3398" s="82">
        <v>6287790276733</v>
      </c>
      <c r="F3398" s="94">
        <v>45874</v>
      </c>
      <c r="G3398" s="87">
        <v>559</v>
      </c>
      <c r="H3398" s="88">
        <v>17734.636871508377</v>
      </c>
      <c r="I3398" s="89">
        <v>5</v>
      </c>
      <c r="J3398" s="90">
        <v>12698</v>
      </c>
      <c r="K3398" s="85">
        <v>0</v>
      </c>
      <c r="L3398" s="85">
        <v>45</v>
      </c>
      <c r="M3398" s="85">
        <v>0</v>
      </c>
      <c r="N3398" s="82" t="s">
        <v>11582</v>
      </c>
      <c r="O3398" s="93">
        <v>45875.672858796293</v>
      </c>
    </row>
    <row r="3399" spans="1:15" ht="22.5" customHeight="1">
      <c r="A3399" s="85">
        <v>174904221976312</v>
      </c>
      <c r="B3399" s="82" t="s">
        <v>10651</v>
      </c>
      <c r="C3399" s="82" t="s">
        <v>11559</v>
      </c>
      <c r="D3399" s="82" t="s">
        <v>11560</v>
      </c>
      <c r="E3399" s="82">
        <v>6282333203355</v>
      </c>
      <c r="F3399" s="94">
        <v>45874</v>
      </c>
      <c r="G3399" s="87">
        <v>204</v>
      </c>
      <c r="H3399" s="88">
        <v>53653.333333333336</v>
      </c>
      <c r="I3399" s="89">
        <v>7</v>
      </c>
      <c r="J3399" s="90">
        <v>12072</v>
      </c>
      <c r="K3399" s="85">
        <v>1</v>
      </c>
      <c r="L3399" s="85">
        <v>0</v>
      </c>
      <c r="M3399" s="85">
        <v>0</v>
      </c>
      <c r="N3399" s="82" t="s">
        <v>11561</v>
      </c>
      <c r="O3399" s="93">
        <v>45875.526469907411</v>
      </c>
    </row>
    <row r="3400" spans="1:15" ht="22.5" customHeight="1">
      <c r="A3400" s="85">
        <v>174904221976312</v>
      </c>
      <c r="B3400" s="82" t="s">
        <v>10651</v>
      </c>
      <c r="C3400" s="82" t="s">
        <v>11535</v>
      </c>
      <c r="D3400" s="82" t="s">
        <v>2969</v>
      </c>
      <c r="E3400" s="82">
        <v>6281286402030</v>
      </c>
      <c r="F3400" s="94">
        <v>45874</v>
      </c>
      <c r="G3400" s="87">
        <v>550</v>
      </c>
      <c r="H3400" s="88">
        <v>20974.003466204507</v>
      </c>
      <c r="I3400" s="89">
        <v>11</v>
      </c>
      <c r="J3400" s="90">
        <v>12102</v>
      </c>
      <c r="K3400" s="85">
        <v>2</v>
      </c>
      <c r="L3400" s="85">
        <v>1</v>
      </c>
      <c r="M3400" s="85">
        <v>0</v>
      </c>
      <c r="N3400" s="82" t="s">
        <v>11536</v>
      </c>
      <c r="O3400" s="93">
        <v>45875.589259259257</v>
      </c>
    </row>
    <row r="3401" spans="1:15" ht="22.5" customHeight="1">
      <c r="A3401" s="85">
        <v>174904221976312</v>
      </c>
      <c r="B3401" s="82" t="s">
        <v>10651</v>
      </c>
      <c r="C3401" s="82" t="s">
        <v>11520</v>
      </c>
      <c r="D3401" s="82" t="s">
        <v>2776</v>
      </c>
      <c r="E3401" s="82">
        <v>6285657238556</v>
      </c>
      <c r="F3401" s="94">
        <v>45874</v>
      </c>
      <c r="G3401" s="87">
        <v>244</v>
      </c>
      <c r="H3401" s="88">
        <v>48677.740863787374</v>
      </c>
      <c r="I3401" s="89">
        <v>6</v>
      </c>
      <c r="J3401" s="90">
        <v>14652</v>
      </c>
      <c r="K3401" s="85">
        <v>1</v>
      </c>
      <c r="L3401" s="85">
        <v>87</v>
      </c>
      <c r="M3401" s="85">
        <v>0</v>
      </c>
      <c r="N3401" s="82" t="s">
        <v>11521</v>
      </c>
      <c r="O3401" s="93">
        <v>45875.216678240744</v>
      </c>
    </row>
    <row r="3402" spans="1:15" ht="22.5" customHeight="1">
      <c r="A3402" s="85">
        <v>174904221976312</v>
      </c>
      <c r="B3402" s="82" t="s">
        <v>10651</v>
      </c>
      <c r="C3402" s="82" t="s">
        <v>11464</v>
      </c>
      <c r="D3402" s="82" t="s">
        <v>11465</v>
      </c>
      <c r="E3402" s="82">
        <v>62816904358</v>
      </c>
      <c r="F3402" s="94">
        <v>45874</v>
      </c>
      <c r="G3402" s="87">
        <v>328</v>
      </c>
      <c r="H3402" s="88">
        <v>33175.182481751828</v>
      </c>
      <c r="I3402" s="89">
        <v>18</v>
      </c>
      <c r="J3402" s="90">
        <v>13635</v>
      </c>
      <c r="K3402" s="85">
        <v>2</v>
      </c>
      <c r="L3402" s="85">
        <v>212</v>
      </c>
      <c r="M3402" s="85">
        <v>0</v>
      </c>
      <c r="N3402" s="82" t="s">
        <v>11466</v>
      </c>
      <c r="O3402" s="93">
        <v>45875.631423611114</v>
      </c>
    </row>
    <row r="3403" spans="1:15" ht="22.5" customHeight="1">
      <c r="A3403" s="85">
        <v>174904221976312</v>
      </c>
      <c r="B3403" s="82" t="s">
        <v>10651</v>
      </c>
      <c r="C3403" s="82" t="s">
        <v>11446</v>
      </c>
      <c r="D3403" s="82" t="s">
        <v>11447</v>
      </c>
      <c r="E3403" s="82">
        <v>6281999375257</v>
      </c>
      <c r="F3403" s="94">
        <v>45874</v>
      </c>
      <c r="G3403" s="87">
        <v>640</v>
      </c>
      <c r="H3403" s="88">
        <v>17741.854636591481</v>
      </c>
      <c r="I3403" s="89">
        <v>13</v>
      </c>
      <c r="J3403" s="90">
        <v>14158</v>
      </c>
      <c r="K3403" s="85">
        <v>1</v>
      </c>
      <c r="L3403" s="85">
        <v>0</v>
      </c>
      <c r="M3403" s="85">
        <v>0</v>
      </c>
      <c r="N3403" s="82" t="s">
        <v>11448</v>
      </c>
      <c r="O3403" s="93">
        <v>45875.443599537037</v>
      </c>
    </row>
    <row r="3404" spans="1:15" ht="22.5" customHeight="1">
      <c r="A3404" s="85">
        <v>174904221976312</v>
      </c>
      <c r="B3404" s="82" t="s">
        <v>10651</v>
      </c>
      <c r="C3404" s="82" t="s">
        <v>11309</v>
      </c>
      <c r="D3404" s="82" t="s">
        <v>11350</v>
      </c>
      <c r="E3404" s="82">
        <v>6281229745253</v>
      </c>
      <c r="F3404" s="94">
        <v>45874</v>
      </c>
      <c r="G3404" s="87">
        <v>116</v>
      </c>
      <c r="H3404" s="88">
        <v>80850.746268656716</v>
      </c>
      <c r="I3404" s="89">
        <v>7</v>
      </c>
      <c r="J3404" s="90">
        <v>10834</v>
      </c>
      <c r="K3404" s="85">
        <v>1</v>
      </c>
      <c r="L3404" s="85">
        <v>18</v>
      </c>
      <c r="M3404" s="85">
        <v>0</v>
      </c>
      <c r="N3404" s="82" t="s">
        <v>11791</v>
      </c>
      <c r="O3404" s="93">
        <v>45875.526643518519</v>
      </c>
    </row>
    <row r="3405" spans="1:15" ht="22.5" customHeight="1">
      <c r="A3405" s="85">
        <v>174904221976312</v>
      </c>
      <c r="B3405" s="82" t="s">
        <v>10651</v>
      </c>
      <c r="C3405" s="82" t="s">
        <v>11671</v>
      </c>
      <c r="D3405" s="82" t="s">
        <v>11672</v>
      </c>
      <c r="E3405" s="82">
        <v>6285889229948</v>
      </c>
      <c r="F3405" s="94">
        <v>45874</v>
      </c>
      <c r="G3405" s="87">
        <v>192</v>
      </c>
      <c r="H3405" s="88">
        <v>59140.096618357493</v>
      </c>
      <c r="I3405" s="89">
        <v>7</v>
      </c>
      <c r="J3405" s="90">
        <v>12242</v>
      </c>
      <c r="K3405" s="85">
        <v>0</v>
      </c>
      <c r="L3405" s="85">
        <v>76</v>
      </c>
      <c r="M3405" s="85">
        <v>0</v>
      </c>
      <c r="N3405" s="82" t="s">
        <v>11673</v>
      </c>
      <c r="O3405" s="93">
        <v>45875.216689814813</v>
      </c>
    </row>
    <row r="3406" spans="1:15" ht="22.5" customHeight="1">
      <c r="A3406" s="85">
        <v>174904221976312</v>
      </c>
      <c r="B3406" s="82" t="s">
        <v>10651</v>
      </c>
      <c r="C3406" s="82" t="s">
        <v>11225</v>
      </c>
      <c r="D3406" s="82" t="s">
        <v>11226</v>
      </c>
      <c r="E3406" s="82">
        <v>6281240144744</v>
      </c>
      <c r="F3406" s="94">
        <v>45874</v>
      </c>
      <c r="G3406" s="87">
        <v>1882</v>
      </c>
      <c r="H3406" s="88">
        <v>5183.1767719897525</v>
      </c>
      <c r="I3406" s="89">
        <v>36</v>
      </c>
      <c r="J3406" s="90">
        <v>12139</v>
      </c>
      <c r="K3406" s="85">
        <v>1</v>
      </c>
      <c r="L3406" s="85">
        <v>303</v>
      </c>
      <c r="M3406" s="85">
        <v>0</v>
      </c>
      <c r="N3406" s="82" t="s">
        <v>11227</v>
      </c>
      <c r="O3406" s="93">
        <v>45875.673136574071</v>
      </c>
    </row>
    <row r="3407" spans="1:15" ht="22.5" customHeight="1">
      <c r="A3407" s="85">
        <v>174904221976312</v>
      </c>
      <c r="B3407" s="82" t="s">
        <v>10651</v>
      </c>
      <c r="C3407" s="82" t="s">
        <v>11193</v>
      </c>
      <c r="D3407" s="82" t="s">
        <v>11194</v>
      </c>
      <c r="E3407" s="82">
        <v>6281779578317</v>
      </c>
      <c r="F3407" s="94">
        <v>45874</v>
      </c>
      <c r="G3407" s="87">
        <v>1468</v>
      </c>
      <c r="H3407" s="88">
        <v>7877.2542175683529</v>
      </c>
      <c r="I3407" s="89">
        <v>65</v>
      </c>
      <c r="J3407" s="90">
        <v>13541</v>
      </c>
      <c r="K3407" s="85">
        <v>4</v>
      </c>
      <c r="L3407" s="85">
        <v>405</v>
      </c>
      <c r="M3407" s="85">
        <v>1</v>
      </c>
      <c r="N3407" s="82" t="s">
        <v>11195</v>
      </c>
      <c r="O3407" s="93">
        <v>45875.589247685188</v>
      </c>
    </row>
    <row r="3408" spans="1:15" ht="22.5" customHeight="1">
      <c r="A3408" s="85">
        <v>174904221976312</v>
      </c>
      <c r="B3408" s="82" t="s">
        <v>10651</v>
      </c>
      <c r="C3408" s="82" t="s">
        <v>11153</v>
      </c>
      <c r="D3408" s="82" t="s">
        <v>11154</v>
      </c>
      <c r="E3408" s="82">
        <v>6285338137835</v>
      </c>
      <c r="F3408" s="94">
        <v>45874</v>
      </c>
      <c r="G3408" s="87">
        <v>180</v>
      </c>
      <c r="H3408" s="88">
        <v>57190.69767441861</v>
      </c>
      <c r="I3408" s="89">
        <v>12</v>
      </c>
      <c r="J3408" s="90">
        <v>12296</v>
      </c>
      <c r="K3408" s="85">
        <v>3</v>
      </c>
      <c r="L3408" s="85">
        <v>43</v>
      </c>
      <c r="M3408" s="85">
        <v>1</v>
      </c>
      <c r="N3408" s="82" t="s">
        <v>11155</v>
      </c>
      <c r="O3408" s="93">
        <v>45875.610300925924</v>
      </c>
    </row>
    <row r="3409" spans="1:15" ht="22.5" customHeight="1">
      <c r="A3409" s="85">
        <v>759724529202804</v>
      </c>
      <c r="B3409" s="82" t="s">
        <v>10621</v>
      </c>
      <c r="C3409" s="82" t="s">
        <v>11735</v>
      </c>
      <c r="D3409" s="82" t="s">
        <v>3254</v>
      </c>
      <c r="E3409" s="82">
        <v>628127126274</v>
      </c>
      <c r="F3409" s="94">
        <v>45875</v>
      </c>
      <c r="G3409" s="87">
        <v>397</v>
      </c>
      <c r="H3409" s="88">
        <v>33632.352941176468</v>
      </c>
      <c r="I3409" s="89">
        <v>10</v>
      </c>
      <c r="J3409" s="90">
        <v>16009</v>
      </c>
      <c r="K3409" s="85">
        <v>2</v>
      </c>
      <c r="L3409" s="85">
        <v>102</v>
      </c>
      <c r="M3409" s="85">
        <v>0</v>
      </c>
      <c r="N3409" s="82" t="s">
        <v>11736</v>
      </c>
      <c r="O3409" s="93">
        <v>45876.672337962962</v>
      </c>
    </row>
    <row r="3410" spans="1:15" ht="22.5" customHeight="1">
      <c r="A3410" s="85">
        <v>759724529202804</v>
      </c>
      <c r="B3410" s="82" t="s">
        <v>10621</v>
      </c>
      <c r="C3410" s="82" t="s">
        <v>11695</v>
      </c>
      <c r="D3410" s="82" t="s">
        <v>3327</v>
      </c>
      <c r="E3410" s="82">
        <v>6281299298585</v>
      </c>
      <c r="F3410" s="94">
        <v>45875</v>
      </c>
      <c r="G3410" s="87">
        <v>669</v>
      </c>
      <c r="H3410" s="88">
        <v>19890.885750962774</v>
      </c>
      <c r="I3410" s="89">
        <v>15</v>
      </c>
      <c r="J3410" s="90">
        <v>15495</v>
      </c>
      <c r="K3410" s="85">
        <v>0</v>
      </c>
      <c r="L3410" s="85">
        <v>288</v>
      </c>
      <c r="M3410" s="85">
        <v>0</v>
      </c>
      <c r="N3410" s="82" t="s">
        <v>11696</v>
      </c>
      <c r="O3410" s="93">
        <v>45876.547581018516</v>
      </c>
    </row>
    <row r="3411" spans="1:15" ht="22.5" customHeight="1">
      <c r="A3411" s="85">
        <v>759724529202804</v>
      </c>
      <c r="B3411" s="82" t="s">
        <v>10621</v>
      </c>
      <c r="C3411" s="82" t="s">
        <v>11131</v>
      </c>
      <c r="D3411" s="82" t="s">
        <v>9019</v>
      </c>
      <c r="E3411" s="82">
        <v>628562943274</v>
      </c>
      <c r="F3411" s="94">
        <v>45875</v>
      </c>
      <c r="G3411" s="87">
        <v>878</v>
      </c>
      <c r="H3411" s="88">
        <v>16446.742502585315</v>
      </c>
      <c r="I3411" s="89">
        <v>29</v>
      </c>
      <c r="J3411" s="90">
        <v>15904</v>
      </c>
      <c r="K3411" s="85">
        <v>3</v>
      </c>
      <c r="L3411" s="85">
        <v>201</v>
      </c>
      <c r="M3411" s="85">
        <v>0</v>
      </c>
      <c r="N3411" s="82" t="s">
        <v>11132</v>
      </c>
      <c r="O3411" s="93">
        <v>45876.214085648149</v>
      </c>
    </row>
    <row r="3412" spans="1:15" ht="22.5" customHeight="1">
      <c r="A3412" s="85">
        <v>759724529202804</v>
      </c>
      <c r="B3412" s="82" t="s">
        <v>10621</v>
      </c>
      <c r="C3412" s="82" t="s">
        <v>11055</v>
      </c>
      <c r="D3412" s="82" t="s">
        <v>1021</v>
      </c>
      <c r="E3412" s="82"/>
      <c r="F3412" s="94">
        <v>45875</v>
      </c>
      <c r="G3412" s="87">
        <v>654</v>
      </c>
      <c r="H3412" s="88">
        <v>34512.544802867378</v>
      </c>
      <c r="I3412" s="89">
        <v>40</v>
      </c>
      <c r="J3412" s="90">
        <v>28887</v>
      </c>
      <c r="K3412" s="85">
        <v>8</v>
      </c>
      <c r="L3412" s="85">
        <v>274</v>
      </c>
      <c r="M3412" s="85">
        <v>1</v>
      </c>
      <c r="N3412" s="82" t="s">
        <v>11056</v>
      </c>
      <c r="O3412" s="93">
        <v>45874.499675925923</v>
      </c>
    </row>
    <row r="3413" spans="1:15" ht="22.5" customHeight="1">
      <c r="A3413" s="85">
        <v>759724529202804</v>
      </c>
      <c r="B3413" s="82" t="s">
        <v>10621</v>
      </c>
      <c r="C3413" s="82" t="s">
        <v>11070</v>
      </c>
      <c r="D3413" s="82" t="s">
        <v>11071</v>
      </c>
      <c r="E3413" s="82">
        <v>6281246211381</v>
      </c>
      <c r="F3413" s="94">
        <v>45875</v>
      </c>
      <c r="G3413" s="87">
        <v>440</v>
      </c>
      <c r="H3413" s="88">
        <v>37846.153846153844</v>
      </c>
      <c r="I3413" s="89">
        <v>11</v>
      </c>
      <c r="J3413" s="90">
        <v>18204</v>
      </c>
      <c r="K3413" s="85">
        <v>4</v>
      </c>
      <c r="L3413" s="85">
        <v>0</v>
      </c>
      <c r="M3413" s="85">
        <v>0</v>
      </c>
      <c r="N3413" s="82" t="s">
        <v>11072</v>
      </c>
      <c r="O3413" s="93">
        <v>45876.214062500003</v>
      </c>
    </row>
    <row r="3414" spans="1:15" ht="22.5" customHeight="1">
      <c r="A3414" s="85">
        <v>174904221976312</v>
      </c>
      <c r="B3414" s="82" t="s">
        <v>10651</v>
      </c>
      <c r="C3414" s="82" t="s">
        <v>11792</v>
      </c>
      <c r="D3414" s="82" t="s">
        <v>11793</v>
      </c>
      <c r="E3414" s="82">
        <v>6281915041833</v>
      </c>
      <c r="F3414" s="94">
        <v>45875</v>
      </c>
      <c r="G3414" s="87">
        <v>834</v>
      </c>
      <c r="H3414" s="88">
        <v>14729.70297029703</v>
      </c>
      <c r="I3414" s="89">
        <v>14</v>
      </c>
      <c r="J3414" s="90">
        <v>14877</v>
      </c>
      <c r="K3414" s="85">
        <v>3</v>
      </c>
      <c r="L3414" s="85">
        <v>65</v>
      </c>
      <c r="M3414" s="85">
        <v>0</v>
      </c>
      <c r="N3414" s="82" t="s">
        <v>11794</v>
      </c>
      <c r="O3414" s="93">
        <v>45876.547650462962</v>
      </c>
    </row>
    <row r="3415" spans="1:15" ht="22.5" customHeight="1">
      <c r="A3415" s="85">
        <v>174904221976312</v>
      </c>
      <c r="B3415" s="82" t="s">
        <v>10651</v>
      </c>
      <c r="C3415" s="82" t="s">
        <v>11795</v>
      </c>
      <c r="D3415" s="82" t="s">
        <v>9010</v>
      </c>
      <c r="E3415" s="82">
        <v>6281378305888</v>
      </c>
      <c r="F3415" s="94">
        <v>45875</v>
      </c>
      <c r="G3415" s="87">
        <v>1115</v>
      </c>
      <c r="H3415" s="88">
        <v>8254.1353383458645</v>
      </c>
      <c r="I3415" s="89">
        <v>20</v>
      </c>
      <c r="J3415" s="90">
        <v>10978</v>
      </c>
      <c r="K3415" s="85">
        <v>1</v>
      </c>
      <c r="L3415" s="85">
        <v>118</v>
      </c>
      <c r="M3415" s="85">
        <v>0</v>
      </c>
      <c r="N3415" s="82" t="s">
        <v>11796</v>
      </c>
      <c r="O3415" s="93">
        <v>45876.318449074075</v>
      </c>
    </row>
    <row r="3416" spans="1:15" ht="22.5" customHeight="1">
      <c r="A3416" s="85">
        <v>174904221976312</v>
      </c>
      <c r="B3416" s="82" t="s">
        <v>10651</v>
      </c>
      <c r="C3416" s="82" t="s">
        <v>11797</v>
      </c>
      <c r="D3416" s="82" t="s">
        <v>3616</v>
      </c>
      <c r="E3416" s="82">
        <v>6285299991164</v>
      </c>
      <c r="F3416" s="94">
        <v>45875</v>
      </c>
      <c r="G3416" s="87">
        <v>444</v>
      </c>
      <c r="H3416" s="88">
        <v>24357.677902621723</v>
      </c>
      <c r="I3416" s="89">
        <v>23</v>
      </c>
      <c r="J3416" s="90">
        <v>13007</v>
      </c>
      <c r="K3416" s="85">
        <v>1</v>
      </c>
      <c r="L3416" s="85">
        <v>8</v>
      </c>
      <c r="M3416" s="85">
        <v>0</v>
      </c>
      <c r="N3416" s="82" t="s">
        <v>11798</v>
      </c>
      <c r="O3416" s="93">
        <v>45876.2891087963</v>
      </c>
    </row>
    <row r="3417" spans="1:15" ht="22.5" customHeight="1">
      <c r="A3417" s="85">
        <v>174904221976312</v>
      </c>
      <c r="B3417" s="82" t="s">
        <v>10651</v>
      </c>
      <c r="C3417" s="82" t="s">
        <v>11799</v>
      </c>
      <c r="D3417" s="82" t="s">
        <v>11800</v>
      </c>
      <c r="E3417" s="82">
        <v>6285333751528</v>
      </c>
      <c r="F3417" s="94">
        <v>45875</v>
      </c>
      <c r="G3417" s="87">
        <v>355</v>
      </c>
      <c r="H3417" s="88">
        <v>27388.746803069054</v>
      </c>
      <c r="I3417" s="89">
        <v>11</v>
      </c>
      <c r="J3417" s="90">
        <v>10709</v>
      </c>
      <c r="K3417" s="85">
        <v>1</v>
      </c>
      <c r="L3417" s="85">
        <v>15</v>
      </c>
      <c r="M3417" s="85">
        <v>0</v>
      </c>
      <c r="N3417" s="82" t="s">
        <v>11801</v>
      </c>
      <c r="O3417" s="93">
        <v>45876.672731481478</v>
      </c>
    </row>
    <row r="3418" spans="1:15" ht="22.5" customHeight="1">
      <c r="A3418" s="85">
        <v>174904221976312</v>
      </c>
      <c r="B3418" s="82" t="s">
        <v>10651</v>
      </c>
      <c r="C3418" s="82" t="s">
        <v>11802</v>
      </c>
      <c r="D3418" s="82" t="s">
        <v>3576</v>
      </c>
      <c r="E3418" s="82">
        <v>6285338700113</v>
      </c>
      <c r="F3418" s="94">
        <v>45875</v>
      </c>
      <c r="G3418" s="87">
        <v>501</v>
      </c>
      <c r="H3418" s="88">
        <v>13805.405405405405</v>
      </c>
      <c r="I3418" s="89">
        <v>22</v>
      </c>
      <c r="J3418" s="90">
        <v>7662</v>
      </c>
      <c r="K3418" s="85">
        <v>0</v>
      </c>
      <c r="L3418" s="85">
        <v>249</v>
      </c>
      <c r="M3418" s="85">
        <v>0</v>
      </c>
      <c r="N3418" s="82" t="s">
        <v>11803</v>
      </c>
      <c r="O3418" s="93">
        <v>45876.797002314815</v>
      </c>
    </row>
    <row r="3419" spans="1:15" ht="22.5" customHeight="1">
      <c r="A3419" s="85">
        <v>174904221976312</v>
      </c>
      <c r="B3419" s="82" t="s">
        <v>10651</v>
      </c>
      <c r="C3419" s="82" t="s">
        <v>11766</v>
      </c>
      <c r="D3419" s="82" t="s">
        <v>11767</v>
      </c>
      <c r="E3419" s="82">
        <v>6281225101319</v>
      </c>
      <c r="F3419" s="94">
        <v>45875</v>
      </c>
      <c r="G3419" s="87">
        <v>473</v>
      </c>
      <c r="H3419" s="88">
        <v>26286.549707602338</v>
      </c>
      <c r="I3419" s="89">
        <v>8</v>
      </c>
      <c r="J3419" s="90">
        <v>13485</v>
      </c>
      <c r="K3419" s="85">
        <v>0</v>
      </c>
      <c r="L3419" s="85">
        <v>40</v>
      </c>
      <c r="M3419" s="85">
        <v>0</v>
      </c>
      <c r="N3419" s="82" t="s">
        <v>11768</v>
      </c>
      <c r="O3419" s="93">
        <v>45876.714421296296</v>
      </c>
    </row>
    <row r="3420" spans="1:15" ht="22.5" customHeight="1">
      <c r="A3420" s="85">
        <v>174904221976312</v>
      </c>
      <c r="B3420" s="82" t="s">
        <v>10651</v>
      </c>
      <c r="C3420" s="82" t="s">
        <v>11769</v>
      </c>
      <c r="D3420" s="82" t="s">
        <v>3610</v>
      </c>
      <c r="E3420" s="82">
        <v>6285821233475</v>
      </c>
      <c r="F3420" s="94">
        <v>45875</v>
      </c>
      <c r="G3420" s="87">
        <v>1326</v>
      </c>
      <c r="H3420" s="88">
        <v>8103.8632045598488</v>
      </c>
      <c r="I3420" s="89">
        <v>71</v>
      </c>
      <c r="J3420" s="90">
        <v>12796</v>
      </c>
      <c r="K3420" s="85">
        <v>10</v>
      </c>
      <c r="L3420" s="85">
        <v>497</v>
      </c>
      <c r="M3420" s="85">
        <v>2</v>
      </c>
      <c r="N3420" s="82" t="s">
        <v>11770</v>
      </c>
      <c r="O3420" s="93">
        <v>45876.609386574077</v>
      </c>
    </row>
    <row r="3421" spans="1:15" ht="22.5" customHeight="1">
      <c r="A3421" s="85">
        <v>174904221976312</v>
      </c>
      <c r="B3421" s="82" t="s">
        <v>10651</v>
      </c>
      <c r="C3421" s="82" t="s">
        <v>11771</v>
      </c>
      <c r="D3421" s="82" t="s">
        <v>11772</v>
      </c>
      <c r="E3421" s="82">
        <v>6281238115957</v>
      </c>
      <c r="F3421" s="94">
        <v>45875</v>
      </c>
      <c r="G3421" s="87">
        <v>901</v>
      </c>
      <c r="H3421" s="88">
        <v>12542.084168336674</v>
      </c>
      <c r="I3421" s="89">
        <v>33</v>
      </c>
      <c r="J3421" s="90">
        <v>12517</v>
      </c>
      <c r="K3421" s="85">
        <v>0</v>
      </c>
      <c r="L3421" s="85">
        <v>314</v>
      </c>
      <c r="M3421" s="85">
        <v>2</v>
      </c>
      <c r="N3421" s="82" t="s">
        <v>11773</v>
      </c>
      <c r="O3421" s="93">
        <v>45876.588761574072</v>
      </c>
    </row>
    <row r="3422" spans="1:15" ht="22.5" customHeight="1">
      <c r="A3422" s="85">
        <v>174904221976312</v>
      </c>
      <c r="B3422" s="82" t="s">
        <v>10651</v>
      </c>
      <c r="C3422" s="82" t="s">
        <v>11774</v>
      </c>
      <c r="D3422" s="82" t="s">
        <v>11775</v>
      </c>
      <c r="E3422" s="82">
        <v>6281363504410</v>
      </c>
      <c r="F3422" s="94">
        <v>45875</v>
      </c>
      <c r="G3422" s="87">
        <v>143</v>
      </c>
      <c r="H3422" s="88">
        <v>74917.647058823539</v>
      </c>
      <c r="I3422" s="89">
        <v>11</v>
      </c>
      <c r="J3422" s="90">
        <v>12736</v>
      </c>
      <c r="K3422" s="85">
        <v>2</v>
      </c>
      <c r="L3422" s="85">
        <v>0</v>
      </c>
      <c r="M3422" s="85">
        <v>0</v>
      </c>
      <c r="N3422" s="82" t="s">
        <v>11776</v>
      </c>
      <c r="O3422" s="93">
        <v>45876.71465277778</v>
      </c>
    </row>
    <row r="3423" spans="1:15" ht="22.5" customHeight="1">
      <c r="A3423" s="85">
        <v>174904221976312</v>
      </c>
      <c r="B3423" s="82" t="s">
        <v>10651</v>
      </c>
      <c r="C3423" s="82" t="s">
        <v>11777</v>
      </c>
      <c r="D3423" s="82" t="s">
        <v>11778</v>
      </c>
      <c r="E3423" s="82">
        <v>6281374844270</v>
      </c>
      <c r="F3423" s="94">
        <v>45875</v>
      </c>
      <c r="G3423" s="87">
        <v>990</v>
      </c>
      <c r="H3423" s="88">
        <v>11549.410698096102</v>
      </c>
      <c r="I3423" s="89">
        <v>27</v>
      </c>
      <c r="J3423" s="90">
        <v>12739</v>
      </c>
      <c r="K3423" s="85">
        <v>1</v>
      </c>
      <c r="L3423" s="85">
        <v>0</v>
      </c>
      <c r="M3423" s="85">
        <v>0</v>
      </c>
      <c r="N3423" s="82" t="s">
        <v>11779</v>
      </c>
      <c r="O3423" s="93">
        <v>45876.651817129627</v>
      </c>
    </row>
    <row r="3424" spans="1:15" ht="22.5" customHeight="1">
      <c r="A3424" s="85">
        <v>174904221976312</v>
      </c>
      <c r="B3424" s="82" t="s">
        <v>10651</v>
      </c>
      <c r="C3424" s="82" t="s">
        <v>11780</v>
      </c>
      <c r="D3424" s="82" t="s">
        <v>11781</v>
      </c>
      <c r="E3424" s="82">
        <v>6282129364133</v>
      </c>
      <c r="F3424" s="94">
        <v>45875</v>
      </c>
      <c r="G3424" s="87">
        <v>479</v>
      </c>
      <c r="H3424" s="88">
        <v>21026.359143327842</v>
      </c>
      <c r="I3424" s="89">
        <v>11</v>
      </c>
      <c r="J3424" s="90">
        <v>12763</v>
      </c>
      <c r="K3424" s="85">
        <v>0</v>
      </c>
      <c r="L3424" s="85">
        <v>0</v>
      </c>
      <c r="M3424" s="85">
        <v>0</v>
      </c>
      <c r="N3424" s="82" t="s">
        <v>11782</v>
      </c>
      <c r="O3424" s="93">
        <v>45876.609583333331</v>
      </c>
    </row>
    <row r="3425" spans="1:15" ht="22.5" customHeight="1">
      <c r="A3425" s="85">
        <v>174904221976312</v>
      </c>
      <c r="B3425" s="82" t="s">
        <v>10651</v>
      </c>
      <c r="C3425" s="82" t="s">
        <v>11783</v>
      </c>
      <c r="D3425" s="82" t="s">
        <v>3600</v>
      </c>
      <c r="E3425" s="82">
        <v>6285241858483</v>
      </c>
      <c r="F3425" s="94">
        <v>45875</v>
      </c>
      <c r="G3425" s="87">
        <v>898</v>
      </c>
      <c r="H3425" s="88">
        <v>9769.1637630662026</v>
      </c>
      <c r="I3425" s="89">
        <v>12</v>
      </c>
      <c r="J3425" s="90">
        <v>11215</v>
      </c>
      <c r="K3425" s="85">
        <v>1</v>
      </c>
      <c r="L3425" s="85">
        <v>0</v>
      </c>
      <c r="M3425" s="85">
        <v>0</v>
      </c>
      <c r="N3425" s="82" t="s">
        <v>11784</v>
      </c>
      <c r="O3425" s="93">
        <v>45876.609583333331</v>
      </c>
    </row>
    <row r="3426" spans="1:15" ht="22.5" customHeight="1">
      <c r="A3426" s="85">
        <v>174904221976312</v>
      </c>
      <c r="B3426" s="82" t="s">
        <v>10651</v>
      </c>
      <c r="C3426" s="82" t="s">
        <v>11785</v>
      </c>
      <c r="D3426" s="82" t="s">
        <v>11786</v>
      </c>
      <c r="E3426" s="82">
        <v>628557182563</v>
      </c>
      <c r="F3426" s="94">
        <v>45875</v>
      </c>
      <c r="G3426" s="87">
        <v>603</v>
      </c>
      <c r="H3426" s="88">
        <v>20239.457831325301</v>
      </c>
      <c r="I3426" s="89">
        <v>21</v>
      </c>
      <c r="J3426" s="90">
        <v>13439</v>
      </c>
      <c r="K3426" s="85">
        <v>1</v>
      </c>
      <c r="L3426" s="85">
        <v>77</v>
      </c>
      <c r="M3426" s="85">
        <v>0</v>
      </c>
      <c r="N3426" s="82" t="s">
        <v>11787</v>
      </c>
      <c r="O3426" s="93">
        <v>45876.527083333334</v>
      </c>
    </row>
    <row r="3427" spans="1:15" ht="22.5" customHeight="1">
      <c r="A3427" s="85">
        <v>174904221976312</v>
      </c>
      <c r="B3427" s="82" t="s">
        <v>10651</v>
      </c>
      <c r="C3427" s="82" t="s">
        <v>11788</v>
      </c>
      <c r="D3427" s="82" t="s">
        <v>11789</v>
      </c>
      <c r="E3427" s="82">
        <v>6287751970643</v>
      </c>
      <c r="F3427" s="94">
        <v>45875</v>
      </c>
      <c r="G3427" s="87">
        <v>203</v>
      </c>
      <c r="H3427" s="88">
        <v>58370.370370370372</v>
      </c>
      <c r="I3427" s="89">
        <v>4</v>
      </c>
      <c r="J3427" s="90">
        <v>12608</v>
      </c>
      <c r="K3427" s="85">
        <v>0</v>
      </c>
      <c r="L3427" s="85">
        <v>86</v>
      </c>
      <c r="M3427" s="85">
        <v>0</v>
      </c>
      <c r="N3427" s="82" t="s">
        <v>11790</v>
      </c>
      <c r="O3427" s="93">
        <v>45876.714421296296</v>
      </c>
    </row>
    <row r="3428" spans="1:15" ht="22.5" customHeight="1">
      <c r="A3428" s="85">
        <v>174904221976312</v>
      </c>
      <c r="B3428" s="82" t="s">
        <v>10651</v>
      </c>
      <c r="C3428" s="82" t="s">
        <v>11737</v>
      </c>
      <c r="D3428" s="82" t="s">
        <v>11738</v>
      </c>
      <c r="E3428" s="82">
        <v>6282241824727</v>
      </c>
      <c r="F3428" s="94">
        <v>45875</v>
      </c>
      <c r="G3428" s="87">
        <v>206</v>
      </c>
      <c r="H3428" s="88">
        <v>53782.805429864253</v>
      </c>
      <c r="I3428" s="89">
        <v>19</v>
      </c>
      <c r="J3428" s="90">
        <v>11886</v>
      </c>
      <c r="K3428" s="85">
        <v>2</v>
      </c>
      <c r="L3428" s="85">
        <v>78</v>
      </c>
      <c r="M3428" s="85">
        <v>1</v>
      </c>
      <c r="N3428" s="82" t="s">
        <v>11739</v>
      </c>
      <c r="O3428" s="93">
        <v>45876.527083333334</v>
      </c>
    </row>
    <row r="3429" spans="1:15" ht="22.5" customHeight="1">
      <c r="A3429" s="85">
        <v>174904221976312</v>
      </c>
      <c r="B3429" s="82" t="s">
        <v>10651</v>
      </c>
      <c r="C3429" s="82" t="s">
        <v>11740</v>
      </c>
      <c r="D3429" s="82" t="s">
        <v>3562</v>
      </c>
      <c r="E3429" s="82">
        <v>6281558225822</v>
      </c>
      <c r="F3429" s="94">
        <v>45875</v>
      </c>
      <c r="G3429" s="87">
        <v>251</v>
      </c>
      <c r="H3429" s="88">
        <v>48044.117647058825</v>
      </c>
      <c r="I3429" s="89">
        <v>15</v>
      </c>
      <c r="J3429" s="90">
        <v>13068</v>
      </c>
      <c r="K3429" s="85">
        <v>4</v>
      </c>
      <c r="L3429" s="85">
        <v>67</v>
      </c>
      <c r="M3429" s="85">
        <v>0</v>
      </c>
      <c r="N3429" s="82" t="s">
        <v>11741</v>
      </c>
      <c r="O3429" s="93">
        <v>45876.693425925929</v>
      </c>
    </row>
    <row r="3430" spans="1:15" ht="22.5" customHeight="1">
      <c r="A3430" s="85">
        <v>174904221976312</v>
      </c>
      <c r="B3430" s="82" t="s">
        <v>10651</v>
      </c>
      <c r="C3430" s="82" t="s">
        <v>11742</v>
      </c>
      <c r="D3430" s="82" t="s">
        <v>9010</v>
      </c>
      <c r="E3430" s="82">
        <v>6285244535934</v>
      </c>
      <c r="F3430" s="94">
        <v>45875</v>
      </c>
      <c r="G3430" s="87">
        <v>1432</v>
      </c>
      <c r="H3430" s="88">
        <v>9282.3383084577126</v>
      </c>
      <c r="I3430" s="89">
        <v>68</v>
      </c>
      <c r="J3430" s="90">
        <v>14926</v>
      </c>
      <c r="K3430" s="85">
        <v>4</v>
      </c>
      <c r="L3430" s="85">
        <v>502</v>
      </c>
      <c r="M3430" s="85">
        <v>2</v>
      </c>
      <c r="N3430" s="82" t="s">
        <v>11743</v>
      </c>
      <c r="O3430" s="93">
        <v>45876.588761574072</v>
      </c>
    </row>
    <row r="3431" spans="1:15" ht="22.5" customHeight="1">
      <c r="A3431" s="85">
        <v>174904221976312</v>
      </c>
      <c r="B3431" s="82" t="s">
        <v>10651</v>
      </c>
      <c r="C3431" s="82" t="s">
        <v>11744</v>
      </c>
      <c r="D3431" s="82" t="s">
        <v>11745</v>
      </c>
      <c r="E3431" s="82">
        <v>6287721853921</v>
      </c>
      <c r="F3431" s="94">
        <v>45875</v>
      </c>
      <c r="G3431" s="87">
        <v>1013</v>
      </c>
      <c r="H3431" s="88">
        <v>8778.973509933774</v>
      </c>
      <c r="I3431" s="89">
        <v>26</v>
      </c>
      <c r="J3431" s="90">
        <v>10605</v>
      </c>
      <c r="K3431" s="85">
        <v>1</v>
      </c>
      <c r="L3431" s="85">
        <v>435</v>
      </c>
      <c r="M3431" s="85">
        <v>1</v>
      </c>
      <c r="N3431" s="82" t="s">
        <v>11746</v>
      </c>
      <c r="O3431" s="93">
        <v>45876.755636574075</v>
      </c>
    </row>
    <row r="3432" spans="1:15" ht="22.5" customHeight="1">
      <c r="A3432" s="85">
        <v>174904221976312</v>
      </c>
      <c r="B3432" s="82" t="s">
        <v>10651</v>
      </c>
      <c r="C3432" s="82" t="s">
        <v>11747</v>
      </c>
      <c r="D3432" s="82" t="s">
        <v>11748</v>
      </c>
      <c r="E3432" s="82">
        <v>6285378141823</v>
      </c>
      <c r="F3432" s="94">
        <v>45875</v>
      </c>
      <c r="G3432" s="87">
        <v>773</v>
      </c>
      <c r="H3432" s="88">
        <v>15713.530655391121</v>
      </c>
      <c r="I3432" s="89">
        <v>20</v>
      </c>
      <c r="J3432" s="90">
        <v>14865</v>
      </c>
      <c r="K3432" s="85">
        <v>2</v>
      </c>
      <c r="L3432" s="85">
        <v>115</v>
      </c>
      <c r="M3432" s="85">
        <v>0</v>
      </c>
      <c r="N3432" s="82" t="s">
        <v>11749</v>
      </c>
      <c r="O3432" s="93">
        <v>45876.527071759258</v>
      </c>
    </row>
    <row r="3433" spans="1:15" ht="22.5" customHeight="1">
      <c r="A3433" s="85">
        <v>174904221976312</v>
      </c>
      <c r="B3433" s="82" t="s">
        <v>10651</v>
      </c>
      <c r="C3433" s="82" t="s">
        <v>11750</v>
      </c>
      <c r="D3433" s="82" t="s">
        <v>3460</v>
      </c>
      <c r="E3433" s="82">
        <v>6283865096870</v>
      </c>
      <c r="F3433" s="94">
        <v>45875</v>
      </c>
      <c r="G3433" s="87">
        <v>759</v>
      </c>
      <c r="H3433" s="88">
        <v>13102.746693794506</v>
      </c>
      <c r="I3433" s="89">
        <v>14</v>
      </c>
      <c r="J3433" s="90">
        <v>12880</v>
      </c>
      <c r="K3433" s="85">
        <v>3</v>
      </c>
      <c r="L3433" s="85">
        <v>0</v>
      </c>
      <c r="M3433" s="85">
        <v>0</v>
      </c>
      <c r="N3433" s="82" t="s">
        <v>11751</v>
      </c>
      <c r="O3433" s="93">
        <v>45876.693171296298</v>
      </c>
    </row>
    <row r="3434" spans="1:15" ht="22.5" customHeight="1">
      <c r="A3434" s="85">
        <v>174904221976312</v>
      </c>
      <c r="B3434" s="82" t="s">
        <v>10651</v>
      </c>
      <c r="C3434" s="82" t="s">
        <v>11752</v>
      </c>
      <c r="D3434" s="82" t="s">
        <v>11753</v>
      </c>
      <c r="E3434" s="82">
        <v>6281326757091</v>
      </c>
      <c r="F3434" s="94">
        <v>45875</v>
      </c>
      <c r="G3434" s="87">
        <v>1294</v>
      </c>
      <c r="H3434" s="88">
        <v>9007.4626865671635</v>
      </c>
      <c r="I3434" s="89">
        <v>117</v>
      </c>
      <c r="J3434" s="90">
        <v>14484</v>
      </c>
      <c r="K3434" s="85">
        <v>13</v>
      </c>
      <c r="L3434" s="85">
        <v>199</v>
      </c>
      <c r="M3434" s="85">
        <v>7</v>
      </c>
      <c r="N3434" s="82" t="s">
        <v>11754</v>
      </c>
      <c r="O3434" s="93">
        <v>45876.672731481478</v>
      </c>
    </row>
    <row r="3435" spans="1:15" ht="22.5" customHeight="1">
      <c r="A3435" s="85">
        <v>174904221976312</v>
      </c>
      <c r="B3435" s="82" t="s">
        <v>10651</v>
      </c>
      <c r="C3435" s="82" t="s">
        <v>11755</v>
      </c>
      <c r="D3435" s="82" t="s">
        <v>11756</v>
      </c>
      <c r="E3435" s="82">
        <v>6281357754513</v>
      </c>
      <c r="F3435" s="94">
        <v>45875</v>
      </c>
      <c r="G3435" s="87">
        <v>963</v>
      </c>
      <c r="H3435" s="88">
        <v>11829.665071770336</v>
      </c>
      <c r="I3435" s="89">
        <v>25</v>
      </c>
      <c r="J3435" s="90">
        <v>12362</v>
      </c>
      <c r="K3435" s="85">
        <v>2</v>
      </c>
      <c r="L3435" s="85">
        <v>282</v>
      </c>
      <c r="M3435" s="85">
        <v>1</v>
      </c>
      <c r="N3435" s="82" t="s">
        <v>11757</v>
      </c>
      <c r="O3435" s="93">
        <v>45876.50577546296</v>
      </c>
    </row>
    <row r="3436" spans="1:15" ht="22.5" customHeight="1">
      <c r="A3436" s="85">
        <v>174904221976312</v>
      </c>
      <c r="B3436" s="82" t="s">
        <v>10651</v>
      </c>
      <c r="C3436" s="82" t="s">
        <v>11758</v>
      </c>
      <c r="D3436" s="82" t="s">
        <v>11759</v>
      </c>
      <c r="E3436" s="82">
        <v>6285946504405</v>
      </c>
      <c r="F3436" s="94">
        <v>45875</v>
      </c>
      <c r="G3436" s="87">
        <v>360</v>
      </c>
      <c r="H3436" s="88">
        <v>25764.976958525345</v>
      </c>
      <c r="I3436" s="89">
        <v>23</v>
      </c>
      <c r="J3436" s="90">
        <v>11182</v>
      </c>
      <c r="K3436" s="85">
        <v>2</v>
      </c>
      <c r="L3436" s="85">
        <v>95</v>
      </c>
      <c r="M3436" s="85">
        <v>1</v>
      </c>
      <c r="N3436" s="82" t="s">
        <v>11760</v>
      </c>
      <c r="O3436" s="93">
        <v>45876.485092592593</v>
      </c>
    </row>
    <row r="3437" spans="1:15" ht="22.5" customHeight="1">
      <c r="A3437" s="85">
        <v>174904221976312</v>
      </c>
      <c r="B3437" s="82" t="s">
        <v>10651</v>
      </c>
      <c r="C3437" s="82" t="s">
        <v>11761</v>
      </c>
      <c r="D3437" s="82" t="s">
        <v>3438</v>
      </c>
      <c r="E3437" s="82">
        <v>628154336558</v>
      </c>
      <c r="F3437" s="94">
        <v>45875</v>
      </c>
      <c r="G3437" s="87">
        <v>2566</v>
      </c>
      <c r="H3437" s="88">
        <v>4659.7972972972975</v>
      </c>
      <c r="I3437" s="89">
        <v>168</v>
      </c>
      <c r="J3437" s="90">
        <v>13793</v>
      </c>
      <c r="K3437" s="85">
        <v>7</v>
      </c>
      <c r="L3437" s="85">
        <v>1347</v>
      </c>
      <c r="M3437" s="85">
        <v>6</v>
      </c>
      <c r="N3437" s="82" t="s">
        <v>11762</v>
      </c>
      <c r="O3437" s="93">
        <v>45876.526863425926</v>
      </c>
    </row>
    <row r="3438" spans="1:15" ht="22.5" customHeight="1">
      <c r="A3438" s="85">
        <v>174904221976312</v>
      </c>
      <c r="B3438" s="82" t="s">
        <v>10651</v>
      </c>
      <c r="C3438" s="82" t="s">
        <v>11763</v>
      </c>
      <c r="D3438" s="82" t="s">
        <v>11764</v>
      </c>
      <c r="E3438" s="82">
        <v>6282384544939</v>
      </c>
      <c r="F3438" s="94">
        <v>45875</v>
      </c>
      <c r="G3438" s="87">
        <v>583</v>
      </c>
      <c r="H3438" s="88">
        <v>19427.230046948356</v>
      </c>
      <c r="I3438" s="89">
        <v>9</v>
      </c>
      <c r="J3438" s="90">
        <v>12414</v>
      </c>
      <c r="K3438" s="85">
        <v>1</v>
      </c>
      <c r="L3438" s="85">
        <v>157</v>
      </c>
      <c r="M3438" s="85">
        <v>0</v>
      </c>
      <c r="N3438" s="82" t="s">
        <v>11765</v>
      </c>
      <c r="O3438" s="93">
        <v>45876.56795138889</v>
      </c>
    </row>
    <row r="3439" spans="1:15" ht="22.5" customHeight="1">
      <c r="A3439" s="85">
        <v>174904221976312</v>
      </c>
      <c r="B3439" s="82" t="s">
        <v>10651</v>
      </c>
      <c r="C3439" s="82" t="s">
        <v>11720</v>
      </c>
      <c r="D3439" s="82" t="s">
        <v>11721</v>
      </c>
      <c r="E3439" s="82">
        <v>628990145388</v>
      </c>
      <c r="F3439" s="94">
        <v>45875</v>
      </c>
      <c r="G3439" s="87">
        <v>276</v>
      </c>
      <c r="H3439" s="88">
        <v>35790.123456790127</v>
      </c>
      <c r="I3439" s="89">
        <v>20</v>
      </c>
      <c r="J3439" s="90">
        <v>11596</v>
      </c>
      <c r="K3439" s="85">
        <v>1</v>
      </c>
      <c r="L3439" s="85">
        <v>149</v>
      </c>
      <c r="M3439" s="85">
        <v>0</v>
      </c>
      <c r="N3439" s="82" t="s">
        <v>11722</v>
      </c>
      <c r="O3439" s="93">
        <v>45876.588750000003</v>
      </c>
    </row>
    <row r="3440" spans="1:15" ht="22.5" customHeight="1">
      <c r="A3440" s="85">
        <v>174904221976312</v>
      </c>
      <c r="B3440" s="82" t="s">
        <v>10651</v>
      </c>
      <c r="C3440" s="82" t="s">
        <v>11723</v>
      </c>
      <c r="D3440" s="82" t="s">
        <v>11724</v>
      </c>
      <c r="E3440" s="82">
        <v>6281226950679</v>
      </c>
      <c r="F3440" s="94">
        <v>45875</v>
      </c>
      <c r="G3440" s="87">
        <v>429</v>
      </c>
      <c r="H3440" s="88">
        <v>26030.303030303032</v>
      </c>
      <c r="I3440" s="89">
        <v>18</v>
      </c>
      <c r="J3440" s="90">
        <v>11167</v>
      </c>
      <c r="K3440" s="85">
        <v>1</v>
      </c>
      <c r="L3440" s="85">
        <v>138</v>
      </c>
      <c r="M3440" s="85">
        <v>0</v>
      </c>
      <c r="N3440" s="82" t="s">
        <v>11725</v>
      </c>
      <c r="O3440" s="93">
        <v>45876.526875000003</v>
      </c>
    </row>
    <row r="3441" spans="1:15" ht="22.5" customHeight="1">
      <c r="A3441" s="85">
        <v>174904221976312</v>
      </c>
      <c r="B3441" s="82" t="s">
        <v>10651</v>
      </c>
      <c r="C3441" s="82" t="s">
        <v>11726</v>
      </c>
      <c r="D3441" s="82" t="s">
        <v>3291</v>
      </c>
      <c r="E3441" s="82">
        <v>6285691146546</v>
      </c>
      <c r="F3441" s="94">
        <v>45875</v>
      </c>
      <c r="G3441" s="87">
        <v>737</v>
      </c>
      <c r="H3441" s="88">
        <v>17217.23300970874</v>
      </c>
      <c r="I3441" s="89">
        <v>32</v>
      </c>
      <c r="J3441" s="90">
        <v>14187</v>
      </c>
      <c r="K3441" s="85">
        <v>7</v>
      </c>
      <c r="L3441" s="85">
        <v>382</v>
      </c>
      <c r="M3441" s="85">
        <v>0</v>
      </c>
      <c r="N3441" s="82" t="s">
        <v>11727</v>
      </c>
      <c r="O3441" s="93">
        <v>45876.52685185185</v>
      </c>
    </row>
    <row r="3442" spans="1:15" ht="22.5" customHeight="1">
      <c r="A3442" s="85">
        <v>174904221976312</v>
      </c>
      <c r="B3442" s="82" t="s">
        <v>10651</v>
      </c>
      <c r="C3442" s="82" t="s">
        <v>11728</v>
      </c>
      <c r="D3442" s="82" t="s">
        <v>11729</v>
      </c>
      <c r="E3442" s="82">
        <v>628122703083</v>
      </c>
      <c r="F3442" s="94">
        <v>45875</v>
      </c>
      <c r="G3442" s="87">
        <v>380</v>
      </c>
      <c r="H3442" s="88">
        <v>32622.871046228709</v>
      </c>
      <c r="I3442" s="89">
        <v>22</v>
      </c>
      <c r="J3442" s="90">
        <v>13408</v>
      </c>
      <c r="K3442" s="85">
        <v>4</v>
      </c>
      <c r="L3442" s="85">
        <v>1</v>
      </c>
      <c r="M3442" s="85">
        <v>0</v>
      </c>
      <c r="N3442" s="82" t="s">
        <v>11730</v>
      </c>
      <c r="O3442" s="93">
        <v>45876.609594907408</v>
      </c>
    </row>
    <row r="3443" spans="1:15" ht="22.5" customHeight="1">
      <c r="A3443" s="85">
        <v>174904221976312</v>
      </c>
      <c r="B3443" s="82" t="s">
        <v>10651</v>
      </c>
      <c r="C3443" s="82" t="s">
        <v>11731</v>
      </c>
      <c r="D3443" s="82" t="s">
        <v>3465</v>
      </c>
      <c r="E3443" s="82">
        <v>6285920572002</v>
      </c>
      <c r="F3443" s="94">
        <v>45875</v>
      </c>
      <c r="G3443" s="87">
        <v>538</v>
      </c>
      <c r="H3443" s="88">
        <v>23546.712802768165</v>
      </c>
      <c r="I3443" s="89">
        <v>20</v>
      </c>
      <c r="J3443" s="90">
        <v>13610</v>
      </c>
      <c r="K3443" s="85">
        <v>6</v>
      </c>
      <c r="L3443" s="85">
        <v>188</v>
      </c>
      <c r="M3443" s="85">
        <v>0</v>
      </c>
      <c r="N3443" s="82" t="s">
        <v>11732</v>
      </c>
      <c r="O3443" s="93">
        <v>45876.588761574072</v>
      </c>
    </row>
    <row r="3444" spans="1:15" ht="22.5" customHeight="1">
      <c r="A3444" s="85">
        <v>174904221976312</v>
      </c>
      <c r="B3444" s="82" t="s">
        <v>10651</v>
      </c>
      <c r="C3444" s="82" t="s">
        <v>11733</v>
      </c>
      <c r="D3444" s="82" t="s">
        <v>3479</v>
      </c>
      <c r="E3444" s="82">
        <v>6285780314346</v>
      </c>
      <c r="F3444" s="94">
        <v>45875</v>
      </c>
      <c r="G3444" s="87">
        <v>730</v>
      </c>
      <c r="H3444" s="88">
        <v>14488.541666666666</v>
      </c>
      <c r="I3444" s="89">
        <v>94</v>
      </c>
      <c r="J3444" s="90">
        <v>13909</v>
      </c>
      <c r="K3444" s="85">
        <v>20</v>
      </c>
      <c r="L3444" s="85">
        <v>1</v>
      </c>
      <c r="M3444" s="85">
        <v>0</v>
      </c>
      <c r="N3444" s="82" t="s">
        <v>11734</v>
      </c>
      <c r="O3444" s="93">
        <v>45876.526863425926</v>
      </c>
    </row>
    <row r="3445" spans="1:15" ht="22.5" customHeight="1">
      <c r="A3445" s="85">
        <v>174904221976312</v>
      </c>
      <c r="B3445" s="82" t="s">
        <v>10651</v>
      </c>
      <c r="C3445" s="82" t="s">
        <v>11697</v>
      </c>
      <c r="D3445" s="82" t="s">
        <v>3387</v>
      </c>
      <c r="E3445" s="82">
        <v>6285326750989</v>
      </c>
      <c r="F3445" s="94">
        <v>45875</v>
      </c>
      <c r="G3445" s="87">
        <v>380</v>
      </c>
      <c r="H3445" s="88">
        <v>38387.804878048781</v>
      </c>
      <c r="I3445" s="89">
        <v>21</v>
      </c>
      <c r="J3445" s="90">
        <v>15739</v>
      </c>
      <c r="K3445" s="85">
        <v>11</v>
      </c>
      <c r="L3445" s="85">
        <v>0</v>
      </c>
      <c r="M3445" s="85">
        <v>0</v>
      </c>
      <c r="N3445" s="82" t="s">
        <v>11698</v>
      </c>
      <c r="O3445" s="93">
        <v>45876.339178240742</v>
      </c>
    </row>
    <row r="3446" spans="1:15" ht="22.5" customHeight="1">
      <c r="A3446" s="85">
        <v>174904221976312</v>
      </c>
      <c r="B3446" s="82" t="s">
        <v>10651</v>
      </c>
      <c r="C3446" s="82" t="s">
        <v>11699</v>
      </c>
      <c r="D3446" s="82" t="s">
        <v>3305</v>
      </c>
      <c r="E3446" s="82">
        <v>6282249348536</v>
      </c>
      <c r="F3446" s="94">
        <v>45875</v>
      </c>
      <c r="G3446" s="87">
        <v>823</v>
      </c>
      <c r="H3446" s="88">
        <v>13424.453280318092</v>
      </c>
      <c r="I3446" s="89">
        <v>27</v>
      </c>
      <c r="J3446" s="90">
        <v>13505</v>
      </c>
      <c r="K3446" s="85">
        <v>4</v>
      </c>
      <c r="L3446" s="85">
        <v>275</v>
      </c>
      <c r="M3446" s="85">
        <v>0</v>
      </c>
      <c r="N3446" s="82" t="s">
        <v>11700</v>
      </c>
      <c r="O3446" s="93">
        <v>45876.547662037039</v>
      </c>
    </row>
    <row r="3447" spans="1:15" ht="22.5" customHeight="1">
      <c r="A3447" s="85">
        <v>174904221976312</v>
      </c>
      <c r="B3447" s="82" t="s">
        <v>10651</v>
      </c>
      <c r="C3447" s="82" t="s">
        <v>11701</v>
      </c>
      <c r="D3447" s="82" t="s">
        <v>11702</v>
      </c>
      <c r="E3447" s="82">
        <v>6288802749485</v>
      </c>
      <c r="F3447" s="94">
        <v>45875</v>
      </c>
      <c r="G3447" s="87">
        <v>526</v>
      </c>
      <c r="H3447" s="88">
        <v>21172.955974842767</v>
      </c>
      <c r="I3447" s="89">
        <v>49</v>
      </c>
      <c r="J3447" s="90">
        <v>13466</v>
      </c>
      <c r="K3447" s="85">
        <v>11</v>
      </c>
      <c r="L3447" s="85">
        <v>0</v>
      </c>
      <c r="M3447" s="85">
        <v>0</v>
      </c>
      <c r="N3447" s="82" t="s">
        <v>11703</v>
      </c>
      <c r="O3447" s="93">
        <v>45876.651828703703</v>
      </c>
    </row>
    <row r="3448" spans="1:15" ht="22.5" customHeight="1">
      <c r="A3448" s="85">
        <v>174904221976312</v>
      </c>
      <c r="B3448" s="82" t="s">
        <v>10651</v>
      </c>
      <c r="C3448" s="82" t="s">
        <v>11704</v>
      </c>
      <c r="D3448" s="82" t="s">
        <v>3334</v>
      </c>
      <c r="E3448" s="82">
        <v>6282118113002</v>
      </c>
      <c r="F3448" s="94">
        <v>45875</v>
      </c>
      <c r="G3448" s="87">
        <v>286</v>
      </c>
      <c r="H3448" s="88">
        <v>49219.672131147541</v>
      </c>
      <c r="I3448" s="89">
        <v>18</v>
      </c>
      <c r="J3448" s="90">
        <v>15012</v>
      </c>
      <c r="K3448" s="85">
        <v>4</v>
      </c>
      <c r="L3448" s="85">
        <v>116</v>
      </c>
      <c r="M3448" s="85">
        <v>0</v>
      </c>
      <c r="N3448" s="82" t="s">
        <v>11705</v>
      </c>
      <c r="O3448" s="93">
        <v>45876.464212962965</v>
      </c>
    </row>
    <row r="3449" spans="1:15" ht="22.5" customHeight="1">
      <c r="A3449" s="85">
        <v>174904221976312</v>
      </c>
      <c r="B3449" s="82" t="s">
        <v>10651</v>
      </c>
      <c r="C3449" s="82" t="s">
        <v>11706</v>
      </c>
      <c r="D3449" s="82" t="s">
        <v>3298</v>
      </c>
      <c r="E3449" s="82">
        <v>6281362440234</v>
      </c>
      <c r="F3449" s="94">
        <v>45875</v>
      </c>
      <c r="G3449" s="87">
        <v>987</v>
      </c>
      <c r="H3449" s="88">
        <v>13976.007677543186</v>
      </c>
      <c r="I3449" s="89">
        <v>37</v>
      </c>
      <c r="J3449" s="90">
        <v>14563</v>
      </c>
      <c r="K3449" s="85">
        <v>11</v>
      </c>
      <c r="L3449" s="85">
        <v>513</v>
      </c>
      <c r="M3449" s="85">
        <v>0</v>
      </c>
      <c r="N3449" s="82" t="s">
        <v>11707</v>
      </c>
      <c r="O3449" s="93">
        <v>45876.485092592593</v>
      </c>
    </row>
    <row r="3450" spans="1:15" ht="22.5" customHeight="1">
      <c r="A3450" s="85">
        <v>174904221976312</v>
      </c>
      <c r="B3450" s="82" t="s">
        <v>10651</v>
      </c>
      <c r="C3450" s="82" t="s">
        <v>11708</v>
      </c>
      <c r="D3450" s="82" t="s">
        <v>11709</v>
      </c>
      <c r="E3450" s="82">
        <v>6285294617773</v>
      </c>
      <c r="F3450" s="94">
        <v>45875</v>
      </c>
      <c r="G3450" s="87">
        <v>398</v>
      </c>
      <c r="H3450" s="88">
        <v>30834.841628959275</v>
      </c>
      <c r="I3450" s="89">
        <v>26</v>
      </c>
      <c r="J3450" s="90">
        <v>13629</v>
      </c>
      <c r="K3450" s="85">
        <v>4</v>
      </c>
      <c r="L3450" s="85">
        <v>50</v>
      </c>
      <c r="M3450" s="85">
        <v>1</v>
      </c>
      <c r="N3450" s="82" t="s">
        <v>11710</v>
      </c>
      <c r="O3450" s="93">
        <v>45876.776817129627</v>
      </c>
    </row>
    <row r="3451" spans="1:15" ht="22.5" customHeight="1">
      <c r="A3451" s="85">
        <v>174904221976312</v>
      </c>
      <c r="B3451" s="82" t="s">
        <v>10651</v>
      </c>
      <c r="C3451" s="82" t="s">
        <v>11674</v>
      </c>
      <c r="D3451" s="82" t="s">
        <v>2688</v>
      </c>
      <c r="E3451" s="82">
        <v>6281392854108</v>
      </c>
      <c r="F3451" s="94">
        <v>45875</v>
      </c>
      <c r="G3451" s="87">
        <v>11515</v>
      </c>
      <c r="H3451" s="88">
        <v>1199.0553885787892</v>
      </c>
      <c r="I3451" s="89">
        <v>26</v>
      </c>
      <c r="J3451" s="90">
        <v>13963</v>
      </c>
      <c r="K3451" s="85">
        <v>0</v>
      </c>
      <c r="L3451" s="85">
        <v>1429</v>
      </c>
      <c r="M3451" s="85">
        <v>0</v>
      </c>
      <c r="N3451" s="82" t="s">
        <v>11675</v>
      </c>
      <c r="O3451" s="93">
        <v>45876.21402777778</v>
      </c>
    </row>
    <row r="3452" spans="1:15" ht="22.5" customHeight="1">
      <c r="A3452" s="85">
        <v>174904221976312</v>
      </c>
      <c r="B3452" s="82" t="s">
        <v>10651</v>
      </c>
      <c r="C3452" s="82" t="s">
        <v>11676</v>
      </c>
      <c r="D3452" s="82" t="s">
        <v>2580</v>
      </c>
      <c r="E3452" s="82">
        <v>6287829346006</v>
      </c>
      <c r="F3452" s="94">
        <v>45875</v>
      </c>
      <c r="G3452" s="87">
        <v>9971</v>
      </c>
      <c r="H3452" s="88">
        <v>1233.1097501701176</v>
      </c>
      <c r="I3452" s="89">
        <v>16</v>
      </c>
      <c r="J3452" s="90">
        <v>12685</v>
      </c>
      <c r="K3452" s="85">
        <v>0</v>
      </c>
      <c r="L3452" s="85">
        <v>24</v>
      </c>
      <c r="M3452" s="85">
        <v>0</v>
      </c>
      <c r="N3452" s="82" t="s">
        <v>11677</v>
      </c>
      <c r="O3452" s="93">
        <v>45876.21402777778</v>
      </c>
    </row>
    <row r="3453" spans="1:15" ht="22.5" customHeight="1">
      <c r="A3453" s="85">
        <v>174904221976312</v>
      </c>
      <c r="B3453" s="82" t="s">
        <v>10651</v>
      </c>
      <c r="C3453" s="82" t="s">
        <v>11678</v>
      </c>
      <c r="D3453" s="82" t="s">
        <v>11679</v>
      </c>
      <c r="E3453" s="82">
        <v>628111099911</v>
      </c>
      <c r="F3453" s="94">
        <v>45875</v>
      </c>
      <c r="G3453" s="87">
        <v>599</v>
      </c>
      <c r="H3453" s="88">
        <v>20558.273381294963</v>
      </c>
      <c r="I3453" s="89">
        <v>27</v>
      </c>
      <c r="J3453" s="90">
        <v>14288</v>
      </c>
      <c r="K3453" s="85">
        <v>2</v>
      </c>
      <c r="L3453" s="85">
        <v>194</v>
      </c>
      <c r="M3453" s="85">
        <v>0</v>
      </c>
      <c r="N3453" s="82" t="s">
        <v>11680</v>
      </c>
      <c r="O3453" s="93">
        <v>45876.215497685182</v>
      </c>
    </row>
    <row r="3454" spans="1:15" ht="22.5" customHeight="1">
      <c r="A3454" s="85">
        <v>174904221976312</v>
      </c>
      <c r="B3454" s="82" t="s">
        <v>10651</v>
      </c>
      <c r="C3454" s="82" t="s">
        <v>11711</v>
      </c>
      <c r="D3454" s="82" t="s">
        <v>11712</v>
      </c>
      <c r="E3454" s="82">
        <v>6285286258400</v>
      </c>
      <c r="F3454" s="94">
        <v>45875</v>
      </c>
      <c r="G3454" s="87">
        <v>480</v>
      </c>
      <c r="H3454" s="88">
        <v>26130.578512396696</v>
      </c>
      <c r="I3454" s="89">
        <v>11</v>
      </c>
      <c r="J3454" s="90">
        <v>15809</v>
      </c>
      <c r="K3454" s="85">
        <v>1</v>
      </c>
      <c r="L3454" s="85">
        <v>77</v>
      </c>
      <c r="M3454" s="85">
        <v>0</v>
      </c>
      <c r="N3454" s="82" t="s">
        <v>11713</v>
      </c>
      <c r="O3454" s="93">
        <v>45876.588761574072</v>
      </c>
    </row>
    <row r="3455" spans="1:15" ht="22.5" customHeight="1">
      <c r="A3455" s="85">
        <v>174904221976312</v>
      </c>
      <c r="B3455" s="82" t="s">
        <v>10651</v>
      </c>
      <c r="C3455" s="82" t="s">
        <v>11654</v>
      </c>
      <c r="D3455" s="82" t="s">
        <v>11655</v>
      </c>
      <c r="E3455" s="82">
        <v>6285223186555</v>
      </c>
      <c r="F3455" s="94">
        <v>45875</v>
      </c>
      <c r="G3455" s="87">
        <v>697</v>
      </c>
      <c r="H3455" s="88">
        <v>17932.225063938622</v>
      </c>
      <c r="I3455" s="89">
        <v>10</v>
      </c>
      <c r="J3455" s="90">
        <v>14023</v>
      </c>
      <c r="K3455" s="85">
        <v>0</v>
      </c>
      <c r="L3455" s="85">
        <v>70</v>
      </c>
      <c r="M3455" s="85">
        <v>0</v>
      </c>
      <c r="N3455" s="82" t="s">
        <v>11656</v>
      </c>
      <c r="O3455" s="93">
        <v>45876.215509259258</v>
      </c>
    </row>
    <row r="3456" spans="1:15" ht="22.5" customHeight="1">
      <c r="A3456" s="85">
        <v>174904221976312</v>
      </c>
      <c r="B3456" s="82" t="s">
        <v>10651</v>
      </c>
      <c r="C3456" s="82" t="s">
        <v>11663</v>
      </c>
      <c r="D3456" s="82" t="s">
        <v>11664</v>
      </c>
      <c r="E3456" s="82">
        <v>628123264621</v>
      </c>
      <c r="F3456" s="94">
        <v>45875</v>
      </c>
      <c r="G3456" s="87">
        <v>971</v>
      </c>
      <c r="H3456" s="88">
        <v>12689.883913764512</v>
      </c>
      <c r="I3456" s="89">
        <v>55</v>
      </c>
      <c r="J3456" s="90">
        <v>15304</v>
      </c>
      <c r="K3456" s="85">
        <v>4</v>
      </c>
      <c r="L3456" s="85">
        <v>179</v>
      </c>
      <c r="M3456" s="85">
        <v>0</v>
      </c>
      <c r="N3456" s="82" t="s">
        <v>11665</v>
      </c>
      <c r="O3456" s="93">
        <v>45876.588750000003</v>
      </c>
    </row>
    <row r="3457" spans="1:15" ht="22.5" customHeight="1">
      <c r="A3457" s="85">
        <v>174904221976312</v>
      </c>
      <c r="B3457" s="82" t="s">
        <v>10651</v>
      </c>
      <c r="C3457" s="82" t="s">
        <v>11641</v>
      </c>
      <c r="D3457" s="82" t="s">
        <v>3229</v>
      </c>
      <c r="E3457" s="82">
        <v>6287865111033</v>
      </c>
      <c r="F3457" s="94">
        <v>45875</v>
      </c>
      <c r="G3457" s="87">
        <v>1586</v>
      </c>
      <c r="H3457" s="88">
        <v>7171.9576719576717</v>
      </c>
      <c r="I3457" s="89">
        <v>40</v>
      </c>
      <c r="J3457" s="90">
        <v>13555</v>
      </c>
      <c r="K3457" s="85">
        <v>4</v>
      </c>
      <c r="L3457" s="85">
        <v>172</v>
      </c>
      <c r="M3457" s="85">
        <v>0</v>
      </c>
      <c r="N3457" s="82" t="s">
        <v>11642</v>
      </c>
      <c r="O3457" s="93">
        <v>45876.527071759258</v>
      </c>
    </row>
    <row r="3458" spans="1:15" ht="22.5" customHeight="1">
      <c r="A3458" s="85">
        <v>174904221976312</v>
      </c>
      <c r="B3458" s="82" t="s">
        <v>10651</v>
      </c>
      <c r="C3458" s="82" t="s">
        <v>11580</v>
      </c>
      <c r="D3458" s="82" t="s">
        <v>11581</v>
      </c>
      <c r="E3458" s="82">
        <v>6287790276733</v>
      </c>
      <c r="F3458" s="94">
        <v>45875</v>
      </c>
      <c r="G3458" s="87">
        <v>521</v>
      </c>
      <c r="H3458" s="88">
        <v>17157.333333333332</v>
      </c>
      <c r="I3458" s="89">
        <v>11</v>
      </c>
      <c r="J3458" s="90">
        <v>12868</v>
      </c>
      <c r="K3458" s="85">
        <v>0</v>
      </c>
      <c r="L3458" s="85">
        <v>28</v>
      </c>
      <c r="M3458" s="85">
        <v>0</v>
      </c>
      <c r="N3458" s="82" t="s">
        <v>11582</v>
      </c>
      <c r="O3458" s="93">
        <v>45876.422303240739</v>
      </c>
    </row>
    <row r="3459" spans="1:15" ht="22.5" customHeight="1">
      <c r="A3459" s="85">
        <v>174904221976312</v>
      </c>
      <c r="B3459" s="82" t="s">
        <v>10651</v>
      </c>
      <c r="C3459" s="82" t="s">
        <v>11559</v>
      </c>
      <c r="D3459" s="82" t="s">
        <v>11560</v>
      </c>
      <c r="E3459" s="82">
        <v>6282333203355</v>
      </c>
      <c r="F3459" s="94">
        <v>45875</v>
      </c>
      <c r="G3459" s="87">
        <v>245</v>
      </c>
      <c r="H3459" s="88">
        <v>52916.666666666664</v>
      </c>
      <c r="I3459" s="89">
        <v>5</v>
      </c>
      <c r="J3459" s="90">
        <v>14605</v>
      </c>
      <c r="K3459" s="85">
        <v>0</v>
      </c>
      <c r="L3459" s="85">
        <v>101</v>
      </c>
      <c r="M3459" s="85">
        <v>0</v>
      </c>
      <c r="N3459" s="82" t="s">
        <v>11561</v>
      </c>
      <c r="O3459" s="93">
        <v>45876.485393518517</v>
      </c>
    </row>
    <row r="3460" spans="1:15" ht="22.5" customHeight="1">
      <c r="A3460" s="85">
        <v>174904221976312</v>
      </c>
      <c r="B3460" s="82" t="s">
        <v>10651</v>
      </c>
      <c r="C3460" s="82" t="s">
        <v>11535</v>
      </c>
      <c r="D3460" s="82" t="s">
        <v>2969</v>
      </c>
      <c r="E3460" s="82">
        <v>6281286402030</v>
      </c>
      <c r="F3460" s="94">
        <v>45875</v>
      </c>
      <c r="G3460" s="87">
        <v>357</v>
      </c>
      <c r="H3460" s="88">
        <v>31635.135135135137</v>
      </c>
      <c r="I3460" s="89">
        <v>12</v>
      </c>
      <c r="J3460" s="90">
        <v>14046</v>
      </c>
      <c r="K3460" s="85">
        <v>1</v>
      </c>
      <c r="L3460" s="85">
        <v>0</v>
      </c>
      <c r="M3460" s="85">
        <v>0</v>
      </c>
      <c r="N3460" s="82" t="s">
        <v>11536</v>
      </c>
      <c r="O3460" s="93">
        <v>45876.567939814813</v>
      </c>
    </row>
    <row r="3461" spans="1:15" ht="22.5" customHeight="1">
      <c r="A3461" s="85">
        <v>174904221976312</v>
      </c>
      <c r="B3461" s="82" t="s">
        <v>10651</v>
      </c>
      <c r="C3461" s="82" t="s">
        <v>11464</v>
      </c>
      <c r="D3461" s="82" t="s">
        <v>11465</v>
      </c>
      <c r="E3461" s="82">
        <v>62816904358</v>
      </c>
      <c r="F3461" s="94">
        <v>45875</v>
      </c>
      <c r="G3461" s="87">
        <v>413</v>
      </c>
      <c r="H3461" s="88">
        <v>22830.443159922928</v>
      </c>
      <c r="I3461" s="89">
        <v>17</v>
      </c>
      <c r="J3461" s="90">
        <v>11849</v>
      </c>
      <c r="K3461" s="85">
        <v>1</v>
      </c>
      <c r="L3461" s="85">
        <v>0</v>
      </c>
      <c r="M3461" s="85">
        <v>0</v>
      </c>
      <c r="N3461" s="82" t="s">
        <v>11466</v>
      </c>
      <c r="O3461" s="93">
        <v>45876.526863425926</v>
      </c>
    </row>
    <row r="3462" spans="1:15" ht="22.5" customHeight="1">
      <c r="A3462" s="85">
        <v>174904221976312</v>
      </c>
      <c r="B3462" s="82" t="s">
        <v>10651</v>
      </c>
      <c r="C3462" s="82" t="s">
        <v>11446</v>
      </c>
      <c r="D3462" s="82" t="s">
        <v>11447</v>
      </c>
      <c r="E3462" s="82">
        <v>6281999375257</v>
      </c>
      <c r="F3462" s="94">
        <v>45875</v>
      </c>
      <c r="G3462" s="87">
        <v>540</v>
      </c>
      <c r="H3462" s="88">
        <v>18910.493827160495</v>
      </c>
      <c r="I3462" s="89">
        <v>18</v>
      </c>
      <c r="J3462" s="90">
        <v>12254</v>
      </c>
      <c r="K3462" s="85">
        <v>1</v>
      </c>
      <c r="L3462" s="85">
        <v>171</v>
      </c>
      <c r="M3462" s="85">
        <v>1</v>
      </c>
      <c r="N3462" s="82" t="s">
        <v>11448</v>
      </c>
      <c r="O3462" s="93">
        <v>45876.485092592593</v>
      </c>
    </row>
    <row r="3463" spans="1:15" ht="22.5" customHeight="1">
      <c r="A3463" s="85">
        <v>174904221976312</v>
      </c>
      <c r="B3463" s="82" t="s">
        <v>10651</v>
      </c>
      <c r="C3463" s="82" t="s">
        <v>11309</v>
      </c>
      <c r="D3463" s="82" t="s">
        <v>11350</v>
      </c>
      <c r="E3463" s="82">
        <v>6281229745253</v>
      </c>
      <c r="F3463" s="94">
        <v>45875</v>
      </c>
      <c r="G3463" s="87">
        <v>228</v>
      </c>
      <c r="H3463" s="88">
        <v>49511.450381679388</v>
      </c>
      <c r="I3463" s="89">
        <v>16</v>
      </c>
      <c r="J3463" s="90">
        <v>12972</v>
      </c>
      <c r="K3463" s="85">
        <v>2</v>
      </c>
      <c r="L3463" s="85">
        <v>27</v>
      </c>
      <c r="M3463" s="85">
        <v>1</v>
      </c>
      <c r="N3463" s="82" t="s">
        <v>11791</v>
      </c>
      <c r="O3463" s="93">
        <v>45876.464398148149</v>
      </c>
    </row>
    <row r="3464" spans="1:15" ht="22.5" customHeight="1">
      <c r="A3464" s="85">
        <v>174904221976312</v>
      </c>
      <c r="B3464" s="82" t="s">
        <v>10651</v>
      </c>
      <c r="C3464" s="82" t="s">
        <v>11225</v>
      </c>
      <c r="D3464" s="82" t="s">
        <v>11226</v>
      </c>
      <c r="E3464" s="82">
        <v>6281240144744</v>
      </c>
      <c r="F3464" s="94">
        <v>45875</v>
      </c>
      <c r="G3464" s="87">
        <v>1943</v>
      </c>
      <c r="H3464" s="88">
        <v>4605.4031927957431</v>
      </c>
      <c r="I3464" s="89">
        <v>40</v>
      </c>
      <c r="J3464" s="90">
        <v>11251</v>
      </c>
      <c r="K3464" s="85">
        <v>1</v>
      </c>
      <c r="L3464" s="85">
        <v>319</v>
      </c>
      <c r="M3464" s="85">
        <v>0</v>
      </c>
      <c r="N3464" s="82" t="s">
        <v>11227</v>
      </c>
      <c r="O3464" s="93">
        <v>45876.526875000003</v>
      </c>
    </row>
    <row r="3465" spans="1:15" ht="22.5" customHeight="1">
      <c r="A3465" s="85">
        <v>174904221976312</v>
      </c>
      <c r="B3465" s="82" t="s">
        <v>10651</v>
      </c>
      <c r="C3465" s="82" t="s">
        <v>11193</v>
      </c>
      <c r="D3465" s="82" t="s">
        <v>11194</v>
      </c>
      <c r="E3465" s="82">
        <v>6281779578317</v>
      </c>
      <c r="F3465" s="94">
        <v>45875</v>
      </c>
      <c r="G3465" s="87">
        <v>1212</v>
      </c>
      <c r="H3465" s="88">
        <v>9878.57641311933</v>
      </c>
      <c r="I3465" s="89">
        <v>52</v>
      </c>
      <c r="J3465" s="90">
        <v>14156</v>
      </c>
      <c r="K3465" s="85">
        <v>6</v>
      </c>
      <c r="L3465" s="85">
        <v>328</v>
      </c>
      <c r="M3465" s="85">
        <v>0</v>
      </c>
      <c r="N3465" s="82" t="s">
        <v>11195</v>
      </c>
      <c r="O3465" s="93">
        <v>45876.547638888886</v>
      </c>
    </row>
    <row r="3466" spans="1:15" ht="22.5" customHeight="1">
      <c r="A3466" s="85">
        <v>174904221976312</v>
      </c>
      <c r="B3466" s="82" t="s">
        <v>10651</v>
      </c>
      <c r="C3466" s="82" t="s">
        <v>11153</v>
      </c>
      <c r="D3466" s="82" t="s">
        <v>11154</v>
      </c>
      <c r="E3466" s="82">
        <v>6285338137835</v>
      </c>
      <c r="F3466" s="94">
        <v>45875</v>
      </c>
      <c r="G3466" s="87">
        <v>188</v>
      </c>
      <c r="H3466" s="88">
        <v>51168.888888888891</v>
      </c>
      <c r="I3466" s="89">
        <v>4</v>
      </c>
      <c r="J3466" s="90">
        <v>11513</v>
      </c>
      <c r="K3466" s="85">
        <v>1</v>
      </c>
      <c r="L3466" s="85">
        <v>0</v>
      </c>
      <c r="M3466" s="85">
        <v>0</v>
      </c>
      <c r="N3466" s="82" t="s">
        <v>11155</v>
      </c>
      <c r="O3466" s="93">
        <v>45876.215497685182</v>
      </c>
    </row>
    <row r="3467" spans="1:15" ht="22.5" customHeight="1">
      <c r="A3467" s="85">
        <v>759724529202804</v>
      </c>
      <c r="B3467" s="82" t="s">
        <v>10621</v>
      </c>
      <c r="C3467" s="82" t="s">
        <v>11735</v>
      </c>
      <c r="D3467" s="82" t="s">
        <v>3254</v>
      </c>
      <c r="E3467" s="82">
        <v>628127126274</v>
      </c>
      <c r="F3467" s="94">
        <v>45876</v>
      </c>
      <c r="G3467" s="87">
        <v>315</v>
      </c>
      <c r="H3467" s="88">
        <v>39570.332480818412</v>
      </c>
      <c r="I3467" s="89">
        <v>17</v>
      </c>
      <c r="J3467" s="90">
        <v>15472</v>
      </c>
      <c r="K3467" s="85">
        <v>2</v>
      </c>
      <c r="L3467" s="85">
        <v>93</v>
      </c>
      <c r="M3467" s="85">
        <v>0</v>
      </c>
      <c r="N3467" s="82" t="s">
        <v>11736</v>
      </c>
      <c r="O3467" s="93">
        <v>45877.568240740744</v>
      </c>
    </row>
    <row r="3468" spans="1:15" ht="22.5" customHeight="1">
      <c r="A3468" s="85">
        <v>759724529202804</v>
      </c>
      <c r="B3468" s="82" t="s">
        <v>10621</v>
      </c>
      <c r="C3468" s="82" t="s">
        <v>11695</v>
      </c>
      <c r="D3468" s="82" t="s">
        <v>3327</v>
      </c>
      <c r="E3468" s="82">
        <v>6281299298585</v>
      </c>
      <c r="F3468" s="94">
        <v>45876</v>
      </c>
      <c r="G3468" s="87">
        <v>754</v>
      </c>
      <c r="H3468" s="88">
        <v>19329.96632996633</v>
      </c>
      <c r="I3468" s="89">
        <v>20</v>
      </c>
      <c r="J3468" s="90">
        <v>17223</v>
      </c>
      <c r="K3468" s="85">
        <v>0</v>
      </c>
      <c r="L3468" s="85">
        <v>279</v>
      </c>
      <c r="M3468" s="85">
        <v>0</v>
      </c>
      <c r="N3468" s="82" t="s">
        <v>11696</v>
      </c>
      <c r="O3468" s="93">
        <v>45877.214375000003</v>
      </c>
    </row>
    <row r="3469" spans="1:15" ht="22.5" customHeight="1">
      <c r="A3469" s="85">
        <v>759724529202804</v>
      </c>
      <c r="B3469" s="82" t="s">
        <v>10621</v>
      </c>
      <c r="C3469" s="82" t="s">
        <v>11055</v>
      </c>
      <c r="D3469" s="82" t="s">
        <v>1021</v>
      </c>
      <c r="E3469" s="82"/>
      <c r="F3469" s="94">
        <v>45876</v>
      </c>
      <c r="G3469" s="87">
        <v>774</v>
      </c>
      <c r="H3469" s="88">
        <v>33316.008316008316</v>
      </c>
      <c r="I3469" s="89">
        <v>45</v>
      </c>
      <c r="J3469" s="90">
        <v>32050</v>
      </c>
      <c r="K3469" s="85">
        <v>10</v>
      </c>
      <c r="L3469" s="85">
        <v>300</v>
      </c>
      <c r="M3469" s="85">
        <v>0</v>
      </c>
      <c r="N3469" s="82" t="s">
        <v>11056</v>
      </c>
      <c r="O3469" s="93">
        <v>45874.499675925923</v>
      </c>
    </row>
    <row r="3470" spans="1:15" ht="22.5" customHeight="1">
      <c r="A3470" s="85">
        <v>174904221976312</v>
      </c>
      <c r="B3470" s="82" t="s">
        <v>10651</v>
      </c>
      <c r="C3470" s="82" t="s">
        <v>11804</v>
      </c>
      <c r="D3470" s="82" t="s">
        <v>3672</v>
      </c>
      <c r="E3470" s="82">
        <v>628170204528</v>
      </c>
      <c r="F3470" s="94">
        <v>45876</v>
      </c>
      <c r="G3470" s="87">
        <v>450</v>
      </c>
      <c r="H3470" s="88">
        <v>23138.671875</v>
      </c>
      <c r="I3470" s="89">
        <v>6</v>
      </c>
      <c r="J3470" s="90">
        <v>11847</v>
      </c>
      <c r="K3470" s="85">
        <v>1</v>
      </c>
      <c r="L3470" s="85">
        <v>60</v>
      </c>
      <c r="M3470" s="85">
        <v>0</v>
      </c>
      <c r="N3470" s="82" t="s">
        <v>11805</v>
      </c>
      <c r="O3470" s="93">
        <v>45877.672361111108</v>
      </c>
    </row>
    <row r="3471" spans="1:15" ht="22.5" customHeight="1">
      <c r="A3471" s="85">
        <v>174904221976312</v>
      </c>
      <c r="B3471" s="82" t="s">
        <v>10651</v>
      </c>
      <c r="C3471" s="82" t="s">
        <v>11806</v>
      </c>
      <c r="D3471" s="82" t="s">
        <v>11807</v>
      </c>
      <c r="E3471" s="82">
        <v>6285338373761</v>
      </c>
      <c r="F3471" s="94">
        <v>45876</v>
      </c>
      <c r="G3471" s="87">
        <v>794</v>
      </c>
      <c r="H3471" s="88">
        <v>13991.761071060762</v>
      </c>
      <c r="I3471" s="89">
        <v>57</v>
      </c>
      <c r="J3471" s="90">
        <v>13586</v>
      </c>
      <c r="K3471" s="85">
        <v>8</v>
      </c>
      <c r="L3471" s="85">
        <v>77</v>
      </c>
      <c r="M3471" s="85">
        <v>1</v>
      </c>
      <c r="N3471" s="82" t="s">
        <v>11808</v>
      </c>
      <c r="O3471" s="93">
        <v>45877.713680555556</v>
      </c>
    </row>
    <row r="3472" spans="1:15" ht="22.5" customHeight="1">
      <c r="A3472" s="85">
        <v>174904221976312</v>
      </c>
      <c r="B3472" s="82" t="s">
        <v>10651</v>
      </c>
      <c r="C3472" s="82" t="s">
        <v>11809</v>
      </c>
      <c r="D3472" s="82" t="s">
        <v>2523</v>
      </c>
      <c r="E3472" s="82">
        <v>6285191259285</v>
      </c>
      <c r="F3472" s="94">
        <v>45876</v>
      </c>
      <c r="G3472" s="87">
        <v>696</v>
      </c>
      <c r="H3472" s="88">
        <v>16157.697121401754</v>
      </c>
      <c r="I3472" s="89">
        <v>15</v>
      </c>
      <c r="J3472" s="90">
        <v>12910</v>
      </c>
      <c r="K3472" s="85">
        <v>4</v>
      </c>
      <c r="L3472" s="85">
        <v>12</v>
      </c>
      <c r="M3472" s="85">
        <v>0</v>
      </c>
      <c r="N3472" s="82" t="s">
        <v>11810</v>
      </c>
      <c r="O3472" s="93">
        <v>45877.651643518519</v>
      </c>
    </row>
    <row r="3473" spans="1:15" ht="22.5" customHeight="1">
      <c r="A3473" s="85">
        <v>174904221976312</v>
      </c>
      <c r="B3473" s="82" t="s">
        <v>10651</v>
      </c>
      <c r="C3473" s="82" t="s">
        <v>11792</v>
      </c>
      <c r="D3473" s="82" t="s">
        <v>11793</v>
      </c>
      <c r="E3473" s="82">
        <v>6281915041833</v>
      </c>
      <c r="F3473" s="94">
        <v>45876</v>
      </c>
      <c r="G3473" s="87">
        <v>681</v>
      </c>
      <c r="H3473" s="88">
        <v>14975.169300225733</v>
      </c>
      <c r="I3473" s="89">
        <v>52</v>
      </c>
      <c r="J3473" s="90">
        <v>13268</v>
      </c>
      <c r="K3473" s="85">
        <v>4</v>
      </c>
      <c r="L3473" s="85">
        <v>370</v>
      </c>
      <c r="M3473" s="85">
        <v>2</v>
      </c>
      <c r="N3473" s="82" t="s">
        <v>11794</v>
      </c>
      <c r="O3473" s="93">
        <v>45877.755567129629</v>
      </c>
    </row>
    <row r="3474" spans="1:15" ht="22.5" customHeight="1">
      <c r="A3474" s="85">
        <v>174904221976312</v>
      </c>
      <c r="B3474" s="82" t="s">
        <v>10651</v>
      </c>
      <c r="C3474" s="82" t="s">
        <v>11795</v>
      </c>
      <c r="D3474" s="82" t="s">
        <v>9010</v>
      </c>
      <c r="E3474" s="82">
        <v>6281378305888</v>
      </c>
      <c r="F3474" s="94">
        <v>45876</v>
      </c>
      <c r="G3474" s="87">
        <v>889</v>
      </c>
      <c r="H3474" s="88">
        <v>13250.236966824645</v>
      </c>
      <c r="I3474" s="89">
        <v>38</v>
      </c>
      <c r="J3474" s="90">
        <v>13979</v>
      </c>
      <c r="K3474" s="85">
        <v>4</v>
      </c>
      <c r="L3474" s="85">
        <v>626</v>
      </c>
      <c r="M3474" s="85">
        <v>0</v>
      </c>
      <c r="N3474" s="82" t="s">
        <v>11796</v>
      </c>
      <c r="O3474" s="93">
        <v>45877.609872685185</v>
      </c>
    </row>
    <row r="3475" spans="1:15" ht="22.5" customHeight="1">
      <c r="A3475" s="85">
        <v>174904221976312</v>
      </c>
      <c r="B3475" s="82" t="s">
        <v>10651</v>
      </c>
      <c r="C3475" s="82" t="s">
        <v>11797</v>
      </c>
      <c r="D3475" s="82" t="s">
        <v>3616</v>
      </c>
      <c r="E3475" s="82">
        <v>6285299991164</v>
      </c>
      <c r="F3475" s="94">
        <v>45876</v>
      </c>
      <c r="G3475" s="87">
        <v>360</v>
      </c>
      <c r="H3475" s="88">
        <v>28964.365256124722</v>
      </c>
      <c r="I3475" s="89">
        <v>12</v>
      </c>
      <c r="J3475" s="90">
        <v>13005</v>
      </c>
      <c r="K3475" s="85">
        <v>3</v>
      </c>
      <c r="L3475" s="85">
        <v>86</v>
      </c>
      <c r="M3475" s="85">
        <v>0</v>
      </c>
      <c r="N3475" s="82" t="s">
        <v>11798</v>
      </c>
      <c r="O3475" s="93">
        <v>45877.505856481483</v>
      </c>
    </row>
    <row r="3476" spans="1:15" ht="22.5" customHeight="1">
      <c r="A3476" s="85">
        <v>174904221976312</v>
      </c>
      <c r="B3476" s="82" t="s">
        <v>10651</v>
      </c>
      <c r="C3476" s="82" t="s">
        <v>11799</v>
      </c>
      <c r="D3476" s="82" t="s">
        <v>11800</v>
      </c>
      <c r="E3476" s="82">
        <v>6285333751528</v>
      </c>
      <c r="F3476" s="94">
        <v>45876</v>
      </c>
      <c r="G3476" s="87">
        <v>343</v>
      </c>
      <c r="H3476" s="88">
        <v>36541.561712846342</v>
      </c>
      <c r="I3476" s="89">
        <v>10</v>
      </c>
      <c r="J3476" s="90">
        <v>14507</v>
      </c>
      <c r="K3476" s="85">
        <v>2</v>
      </c>
      <c r="L3476" s="85">
        <v>46</v>
      </c>
      <c r="M3476" s="85">
        <v>0</v>
      </c>
      <c r="N3476" s="82" t="s">
        <v>11801</v>
      </c>
      <c r="O3476" s="93">
        <v>45877.568703703706</v>
      </c>
    </row>
    <row r="3477" spans="1:15" ht="22.5" customHeight="1">
      <c r="A3477" s="85">
        <v>174904221976312</v>
      </c>
      <c r="B3477" s="82" t="s">
        <v>10651</v>
      </c>
      <c r="C3477" s="82" t="s">
        <v>11802</v>
      </c>
      <c r="D3477" s="82" t="s">
        <v>3576</v>
      </c>
      <c r="E3477" s="82">
        <v>6285338700113</v>
      </c>
      <c r="F3477" s="94">
        <v>45876</v>
      </c>
      <c r="G3477" s="87">
        <v>1639</v>
      </c>
      <c r="H3477" s="88">
        <v>7483.8350055741357</v>
      </c>
      <c r="I3477" s="89">
        <v>53</v>
      </c>
      <c r="J3477" s="90">
        <v>13426</v>
      </c>
      <c r="K3477" s="85">
        <v>0</v>
      </c>
      <c r="L3477" s="85">
        <v>511</v>
      </c>
      <c r="M3477" s="85">
        <v>0</v>
      </c>
      <c r="N3477" s="82" t="s">
        <v>11803</v>
      </c>
      <c r="O3477" s="93">
        <v>45877.692812499998</v>
      </c>
    </row>
    <row r="3478" spans="1:15" ht="22.5" customHeight="1">
      <c r="A3478" s="85">
        <v>174904221976312</v>
      </c>
      <c r="B3478" s="82" t="s">
        <v>10651</v>
      </c>
      <c r="C3478" s="82" t="s">
        <v>11766</v>
      </c>
      <c r="D3478" s="82" t="s">
        <v>11767</v>
      </c>
      <c r="E3478" s="82">
        <v>6281225101319</v>
      </c>
      <c r="F3478" s="94">
        <v>45876</v>
      </c>
      <c r="G3478" s="87">
        <v>368</v>
      </c>
      <c r="H3478" s="88">
        <v>33626.237623762376</v>
      </c>
      <c r="I3478" s="89">
        <v>13</v>
      </c>
      <c r="J3478" s="90">
        <v>13585</v>
      </c>
      <c r="K3478" s="85">
        <v>0</v>
      </c>
      <c r="L3478" s="85">
        <v>107</v>
      </c>
      <c r="M3478" s="85">
        <v>0</v>
      </c>
      <c r="N3478" s="82" t="s">
        <v>11768</v>
      </c>
      <c r="O3478" s="93">
        <v>45877.443472222221</v>
      </c>
    </row>
    <row r="3479" spans="1:15" ht="22.5" customHeight="1">
      <c r="A3479" s="85">
        <v>174904221976312</v>
      </c>
      <c r="B3479" s="82" t="s">
        <v>10651</v>
      </c>
      <c r="C3479" s="82" t="s">
        <v>11769</v>
      </c>
      <c r="D3479" s="82" t="s">
        <v>3610</v>
      </c>
      <c r="E3479" s="82">
        <v>6285821233475</v>
      </c>
      <c r="F3479" s="94">
        <v>45876</v>
      </c>
      <c r="G3479" s="87">
        <v>1608</v>
      </c>
      <c r="H3479" s="88">
        <v>8006.2749572162011</v>
      </c>
      <c r="I3479" s="89">
        <v>92</v>
      </c>
      <c r="J3479" s="90">
        <v>14035</v>
      </c>
      <c r="K3479" s="85">
        <v>6</v>
      </c>
      <c r="L3479" s="85">
        <v>580</v>
      </c>
      <c r="M3479" s="85">
        <v>1</v>
      </c>
      <c r="N3479" s="82" t="s">
        <v>11770</v>
      </c>
      <c r="O3479" s="93">
        <v>45877.609872685185</v>
      </c>
    </row>
    <row r="3480" spans="1:15" ht="22.5" customHeight="1">
      <c r="A3480" s="85">
        <v>174904221976312</v>
      </c>
      <c r="B3480" s="82" t="s">
        <v>10651</v>
      </c>
      <c r="C3480" s="82" t="s">
        <v>11771</v>
      </c>
      <c r="D3480" s="82" t="s">
        <v>11772</v>
      </c>
      <c r="E3480" s="82">
        <v>6281238115957</v>
      </c>
      <c r="F3480" s="94">
        <v>45876</v>
      </c>
      <c r="G3480" s="87">
        <v>909</v>
      </c>
      <c r="H3480" s="88">
        <v>13410.484668644907</v>
      </c>
      <c r="I3480" s="89">
        <v>43</v>
      </c>
      <c r="J3480" s="90">
        <v>13558</v>
      </c>
      <c r="K3480" s="85">
        <v>0</v>
      </c>
      <c r="L3480" s="85">
        <v>347</v>
      </c>
      <c r="M3480" s="85">
        <v>0</v>
      </c>
      <c r="N3480" s="82" t="s">
        <v>11773</v>
      </c>
      <c r="O3480" s="93">
        <v>45877.630694444444</v>
      </c>
    </row>
    <row r="3481" spans="1:15" ht="22.5" customHeight="1">
      <c r="A3481" s="85">
        <v>174904221976312</v>
      </c>
      <c r="B3481" s="82" t="s">
        <v>10651</v>
      </c>
      <c r="C3481" s="82" t="s">
        <v>11774</v>
      </c>
      <c r="D3481" s="82" t="s">
        <v>11775</v>
      </c>
      <c r="E3481" s="82">
        <v>6281363504410</v>
      </c>
      <c r="F3481" s="94">
        <v>45876</v>
      </c>
      <c r="G3481" s="87">
        <v>157</v>
      </c>
      <c r="H3481" s="88">
        <v>67378.531073446327</v>
      </c>
      <c r="I3481" s="89">
        <v>10</v>
      </c>
      <c r="J3481" s="90">
        <v>11926</v>
      </c>
      <c r="K3481" s="85">
        <v>1</v>
      </c>
      <c r="L3481" s="85">
        <v>0</v>
      </c>
      <c r="M3481" s="85">
        <v>0</v>
      </c>
      <c r="N3481" s="82" t="s">
        <v>11776</v>
      </c>
      <c r="O3481" s="93">
        <v>45877.651631944442</v>
      </c>
    </row>
    <row r="3482" spans="1:15" ht="22.5" customHeight="1">
      <c r="A3482" s="85">
        <v>174904221976312</v>
      </c>
      <c r="B3482" s="82" t="s">
        <v>10651</v>
      </c>
      <c r="C3482" s="82" t="s">
        <v>11777</v>
      </c>
      <c r="D3482" s="82" t="s">
        <v>11778</v>
      </c>
      <c r="E3482" s="82">
        <v>6281374844270</v>
      </c>
      <c r="F3482" s="94">
        <v>45876</v>
      </c>
      <c r="G3482" s="87">
        <v>910</v>
      </c>
      <c r="H3482" s="88">
        <v>14711.340206185567</v>
      </c>
      <c r="I3482" s="89">
        <v>20</v>
      </c>
      <c r="J3482" s="90">
        <v>14270</v>
      </c>
      <c r="K3482" s="85">
        <v>0</v>
      </c>
      <c r="L3482" s="85">
        <v>0</v>
      </c>
      <c r="M3482" s="85">
        <v>0</v>
      </c>
      <c r="N3482" s="82" t="s">
        <v>11779</v>
      </c>
      <c r="O3482" s="93">
        <v>45877.484606481485</v>
      </c>
    </row>
    <row r="3483" spans="1:15" ht="22.5" customHeight="1">
      <c r="A3483" s="85">
        <v>174904221976312</v>
      </c>
      <c r="B3483" s="82" t="s">
        <v>10651</v>
      </c>
      <c r="C3483" s="82" t="s">
        <v>11780</v>
      </c>
      <c r="D3483" s="82" t="s">
        <v>11781</v>
      </c>
      <c r="E3483" s="82">
        <v>6282129364133</v>
      </c>
      <c r="F3483" s="94">
        <v>45876</v>
      </c>
      <c r="G3483" s="87">
        <v>299</v>
      </c>
      <c r="H3483" s="88">
        <v>30866.120218579232</v>
      </c>
      <c r="I3483" s="89">
        <v>13</v>
      </c>
      <c r="J3483" s="90">
        <v>11297</v>
      </c>
      <c r="K3483" s="85">
        <v>0</v>
      </c>
      <c r="L3483" s="85">
        <v>0</v>
      </c>
      <c r="M3483" s="85">
        <v>0</v>
      </c>
      <c r="N3483" s="82" t="s">
        <v>11782</v>
      </c>
      <c r="O3483" s="93">
        <v>45877.484606481485</v>
      </c>
    </row>
    <row r="3484" spans="1:15" ht="22.5" customHeight="1">
      <c r="A3484" s="85">
        <v>174904221976312</v>
      </c>
      <c r="B3484" s="82" t="s">
        <v>10651</v>
      </c>
      <c r="C3484" s="82" t="s">
        <v>11783</v>
      </c>
      <c r="D3484" s="82" t="s">
        <v>3600</v>
      </c>
      <c r="E3484" s="82">
        <v>6285241858483</v>
      </c>
      <c r="F3484" s="94">
        <v>45876</v>
      </c>
      <c r="G3484" s="87">
        <v>909</v>
      </c>
      <c r="H3484" s="88">
        <v>10410.026857654431</v>
      </c>
      <c r="I3484" s="89">
        <v>15</v>
      </c>
      <c r="J3484" s="90">
        <v>11628</v>
      </c>
      <c r="K3484" s="85">
        <v>1</v>
      </c>
      <c r="L3484" s="85">
        <v>0</v>
      </c>
      <c r="M3484" s="85">
        <v>0</v>
      </c>
      <c r="N3484" s="82" t="s">
        <v>11784</v>
      </c>
      <c r="O3484" s="93">
        <v>45877.297476851854</v>
      </c>
    </row>
    <row r="3485" spans="1:15" ht="22.5" customHeight="1">
      <c r="A3485" s="85">
        <v>174904221976312</v>
      </c>
      <c r="B3485" s="82" t="s">
        <v>10651</v>
      </c>
      <c r="C3485" s="82" t="s">
        <v>11785</v>
      </c>
      <c r="D3485" s="82" t="s">
        <v>11786</v>
      </c>
      <c r="E3485" s="82">
        <v>628557182563</v>
      </c>
      <c r="F3485" s="94">
        <v>45876</v>
      </c>
      <c r="G3485" s="87">
        <v>404</v>
      </c>
      <c r="H3485" s="88">
        <v>24150.442477876106</v>
      </c>
      <c r="I3485" s="89">
        <v>12</v>
      </c>
      <c r="J3485" s="90">
        <v>10916</v>
      </c>
      <c r="K3485" s="85">
        <v>1</v>
      </c>
      <c r="L3485" s="85">
        <v>4</v>
      </c>
      <c r="M3485" s="85">
        <v>0</v>
      </c>
      <c r="N3485" s="82" t="s">
        <v>11787</v>
      </c>
      <c r="O3485" s="93">
        <v>45877.546932870369</v>
      </c>
    </row>
    <row r="3486" spans="1:15" ht="22.5" customHeight="1">
      <c r="A3486" s="85">
        <v>174904221976312</v>
      </c>
      <c r="B3486" s="82" t="s">
        <v>10651</v>
      </c>
      <c r="C3486" s="82" t="s">
        <v>11788</v>
      </c>
      <c r="D3486" s="82" t="s">
        <v>11789</v>
      </c>
      <c r="E3486" s="82">
        <v>6287751970643</v>
      </c>
      <c r="F3486" s="94">
        <v>45876</v>
      </c>
      <c r="G3486" s="87">
        <v>216</v>
      </c>
      <c r="H3486" s="88">
        <v>53548.672566371679</v>
      </c>
      <c r="I3486" s="89">
        <v>3</v>
      </c>
      <c r="J3486" s="90">
        <v>12102</v>
      </c>
      <c r="K3486" s="85">
        <v>0</v>
      </c>
      <c r="L3486" s="85">
        <v>82</v>
      </c>
      <c r="M3486" s="85">
        <v>0</v>
      </c>
      <c r="N3486" s="82" t="s">
        <v>11790</v>
      </c>
      <c r="O3486" s="93">
        <v>45877.610034722224</v>
      </c>
    </row>
    <row r="3487" spans="1:15" ht="22.5" customHeight="1">
      <c r="A3487" s="85">
        <v>174904221976312</v>
      </c>
      <c r="B3487" s="82" t="s">
        <v>10651</v>
      </c>
      <c r="C3487" s="82" t="s">
        <v>11737</v>
      </c>
      <c r="D3487" s="82" t="s">
        <v>11738</v>
      </c>
      <c r="E3487" s="82">
        <v>6282241824727</v>
      </c>
      <c r="F3487" s="94">
        <v>45876</v>
      </c>
      <c r="G3487" s="87">
        <v>259</v>
      </c>
      <c r="H3487" s="88">
        <v>40208.633093525183</v>
      </c>
      <c r="I3487" s="89">
        <v>6</v>
      </c>
      <c r="J3487" s="90">
        <v>11178</v>
      </c>
      <c r="K3487" s="85">
        <v>1</v>
      </c>
      <c r="L3487" s="85">
        <v>86</v>
      </c>
      <c r="M3487" s="85">
        <v>0</v>
      </c>
      <c r="N3487" s="82" t="s">
        <v>11739</v>
      </c>
      <c r="O3487" s="93">
        <v>45877.443703703706</v>
      </c>
    </row>
    <row r="3488" spans="1:15" ht="22.5" customHeight="1">
      <c r="A3488" s="85">
        <v>174904221976312</v>
      </c>
      <c r="B3488" s="82" t="s">
        <v>10651</v>
      </c>
      <c r="C3488" s="82" t="s">
        <v>11740</v>
      </c>
      <c r="D3488" s="82" t="s">
        <v>3562</v>
      </c>
      <c r="E3488" s="82">
        <v>6281558225822</v>
      </c>
      <c r="F3488" s="94">
        <v>45876</v>
      </c>
      <c r="G3488" s="87">
        <v>190</v>
      </c>
      <c r="H3488" s="88">
        <v>61705.607476635516</v>
      </c>
      <c r="I3488" s="89">
        <v>4</v>
      </c>
      <c r="J3488" s="90">
        <v>13205</v>
      </c>
      <c r="K3488" s="85">
        <v>1</v>
      </c>
      <c r="L3488" s="85">
        <v>0</v>
      </c>
      <c r="M3488" s="85">
        <v>0</v>
      </c>
      <c r="N3488" s="82" t="s">
        <v>11741</v>
      </c>
      <c r="O3488" s="93">
        <v>45877.526331018518</v>
      </c>
    </row>
    <row r="3489" spans="1:15" ht="22.5" customHeight="1">
      <c r="A3489" s="85">
        <v>174904221976312</v>
      </c>
      <c r="B3489" s="82" t="s">
        <v>10651</v>
      </c>
      <c r="C3489" s="82" t="s">
        <v>11742</v>
      </c>
      <c r="D3489" s="82" t="s">
        <v>9010</v>
      </c>
      <c r="E3489" s="82">
        <v>6285244535934</v>
      </c>
      <c r="F3489" s="94">
        <v>45876</v>
      </c>
      <c r="G3489" s="87">
        <v>872</v>
      </c>
      <c r="H3489" s="88">
        <v>13339.19843597263</v>
      </c>
      <c r="I3489" s="89">
        <v>39</v>
      </c>
      <c r="J3489" s="90">
        <v>13646</v>
      </c>
      <c r="K3489" s="85">
        <v>6</v>
      </c>
      <c r="L3489" s="85">
        <v>328</v>
      </c>
      <c r="M3489" s="85">
        <v>0</v>
      </c>
      <c r="N3489" s="82" t="s">
        <v>11743</v>
      </c>
      <c r="O3489" s="93">
        <v>45877.526342592595</v>
      </c>
    </row>
    <row r="3490" spans="1:15" ht="22.5" customHeight="1">
      <c r="A3490" s="85">
        <v>174904221976312</v>
      </c>
      <c r="B3490" s="82" t="s">
        <v>10651</v>
      </c>
      <c r="C3490" s="82" t="s">
        <v>11744</v>
      </c>
      <c r="D3490" s="82" t="s">
        <v>11745</v>
      </c>
      <c r="E3490" s="82">
        <v>6287721853921</v>
      </c>
      <c r="F3490" s="94">
        <v>45876</v>
      </c>
      <c r="G3490" s="87">
        <v>1813</v>
      </c>
      <c r="H3490" s="88">
        <v>7087.2943327239491</v>
      </c>
      <c r="I3490" s="89">
        <v>66</v>
      </c>
      <c r="J3490" s="90">
        <v>15507</v>
      </c>
      <c r="K3490" s="85">
        <v>7</v>
      </c>
      <c r="L3490" s="85">
        <v>332</v>
      </c>
      <c r="M3490" s="85">
        <v>2</v>
      </c>
      <c r="N3490" s="82" t="s">
        <v>11746</v>
      </c>
      <c r="O3490" s="93">
        <v>45877.5471412037</v>
      </c>
    </row>
    <row r="3491" spans="1:15" ht="22.5" customHeight="1">
      <c r="A3491" s="85">
        <v>174904221976312</v>
      </c>
      <c r="B3491" s="82" t="s">
        <v>10651</v>
      </c>
      <c r="C3491" s="82" t="s">
        <v>11747</v>
      </c>
      <c r="D3491" s="82" t="s">
        <v>11748</v>
      </c>
      <c r="E3491" s="82">
        <v>6285378141823</v>
      </c>
      <c r="F3491" s="94">
        <v>45876</v>
      </c>
      <c r="G3491" s="87">
        <v>485</v>
      </c>
      <c r="H3491" s="88">
        <v>18778.523489932886</v>
      </c>
      <c r="I3491" s="89">
        <v>9</v>
      </c>
      <c r="J3491" s="90">
        <v>11192</v>
      </c>
      <c r="K3491" s="85">
        <v>1</v>
      </c>
      <c r="L3491" s="85">
        <v>14</v>
      </c>
      <c r="M3491" s="85">
        <v>0</v>
      </c>
      <c r="N3491" s="82" t="s">
        <v>11749</v>
      </c>
      <c r="O3491" s="93">
        <v>45877.609872685185</v>
      </c>
    </row>
    <row r="3492" spans="1:15" ht="22.5" customHeight="1">
      <c r="A3492" s="85">
        <v>174904221976312</v>
      </c>
      <c r="B3492" s="82" t="s">
        <v>10651</v>
      </c>
      <c r="C3492" s="82" t="s">
        <v>11750</v>
      </c>
      <c r="D3492" s="82" t="s">
        <v>3460</v>
      </c>
      <c r="E3492" s="82">
        <v>6283865096870</v>
      </c>
      <c r="F3492" s="94">
        <v>45876</v>
      </c>
      <c r="G3492" s="87">
        <v>585</v>
      </c>
      <c r="H3492" s="88">
        <v>17178.326474622772</v>
      </c>
      <c r="I3492" s="89">
        <v>20</v>
      </c>
      <c r="J3492" s="90">
        <v>12523</v>
      </c>
      <c r="K3492" s="85">
        <v>1</v>
      </c>
      <c r="L3492" s="85">
        <v>0</v>
      </c>
      <c r="M3492" s="85">
        <v>0</v>
      </c>
      <c r="N3492" s="82" t="s">
        <v>11751</v>
      </c>
      <c r="O3492" s="93">
        <v>45877.526550925926</v>
      </c>
    </row>
    <row r="3493" spans="1:15" ht="22.5" customHeight="1">
      <c r="A3493" s="85">
        <v>174904221976312</v>
      </c>
      <c r="B3493" s="82" t="s">
        <v>10651</v>
      </c>
      <c r="C3493" s="82" t="s">
        <v>11752</v>
      </c>
      <c r="D3493" s="82" t="s">
        <v>11753</v>
      </c>
      <c r="E3493" s="82">
        <v>6281326757091</v>
      </c>
      <c r="F3493" s="94">
        <v>45876</v>
      </c>
      <c r="G3493" s="87">
        <v>1068</v>
      </c>
      <c r="H3493" s="88">
        <v>10169.608595548734</v>
      </c>
      <c r="I3493" s="89">
        <v>103</v>
      </c>
      <c r="J3493" s="90">
        <v>13251</v>
      </c>
      <c r="K3493" s="85">
        <v>11</v>
      </c>
      <c r="L3493" s="85">
        <v>289</v>
      </c>
      <c r="M3493" s="85">
        <v>3</v>
      </c>
      <c r="N3493" s="82" t="s">
        <v>11754</v>
      </c>
      <c r="O3493" s="93">
        <v>45877.568495370368</v>
      </c>
    </row>
    <row r="3494" spans="1:15" ht="22.5" customHeight="1">
      <c r="A3494" s="85">
        <v>174904221976312</v>
      </c>
      <c r="B3494" s="82" t="s">
        <v>10651</v>
      </c>
      <c r="C3494" s="82" t="s">
        <v>11755</v>
      </c>
      <c r="D3494" s="82" t="s">
        <v>11756</v>
      </c>
      <c r="E3494" s="82">
        <v>6281357754513</v>
      </c>
      <c r="F3494" s="94">
        <v>45876</v>
      </c>
      <c r="G3494" s="87">
        <v>531</v>
      </c>
      <c r="H3494" s="88">
        <v>19054.635761589401</v>
      </c>
      <c r="I3494" s="89">
        <v>16</v>
      </c>
      <c r="J3494" s="90">
        <v>11509</v>
      </c>
      <c r="K3494" s="85">
        <v>2</v>
      </c>
      <c r="L3494" s="85">
        <v>197</v>
      </c>
      <c r="M3494" s="85">
        <v>0</v>
      </c>
      <c r="N3494" s="82" t="s">
        <v>11757</v>
      </c>
      <c r="O3494" s="93">
        <v>45877.526307870372</v>
      </c>
    </row>
    <row r="3495" spans="1:15" ht="22.5" customHeight="1">
      <c r="A3495" s="85">
        <v>174904221976312</v>
      </c>
      <c r="B3495" s="82" t="s">
        <v>10651</v>
      </c>
      <c r="C3495" s="82" t="s">
        <v>11758</v>
      </c>
      <c r="D3495" s="82" t="s">
        <v>11759</v>
      </c>
      <c r="E3495" s="82">
        <v>6285946504405</v>
      </c>
      <c r="F3495" s="94">
        <v>45876</v>
      </c>
      <c r="G3495" s="87">
        <v>366</v>
      </c>
      <c r="H3495" s="88">
        <v>31894.977168949772</v>
      </c>
      <c r="I3495" s="89">
        <v>26</v>
      </c>
      <c r="J3495" s="90">
        <v>13970</v>
      </c>
      <c r="K3495" s="85">
        <v>7</v>
      </c>
      <c r="L3495" s="85">
        <v>153</v>
      </c>
      <c r="M3495" s="85">
        <v>0</v>
      </c>
      <c r="N3495" s="82" t="s">
        <v>11760</v>
      </c>
      <c r="O3495" s="93">
        <v>45877.546932870369</v>
      </c>
    </row>
    <row r="3496" spans="1:15" ht="22.5" customHeight="1">
      <c r="A3496" s="85">
        <v>174904221976312</v>
      </c>
      <c r="B3496" s="82" t="s">
        <v>10651</v>
      </c>
      <c r="C3496" s="82" t="s">
        <v>11761</v>
      </c>
      <c r="D3496" s="82" t="s">
        <v>3438</v>
      </c>
      <c r="E3496" s="82">
        <v>628154336558</v>
      </c>
      <c r="F3496" s="94">
        <v>45876</v>
      </c>
      <c r="G3496" s="87">
        <v>2648</v>
      </c>
      <c r="H3496" s="88">
        <v>4514.4214455378351</v>
      </c>
      <c r="I3496" s="89">
        <v>182</v>
      </c>
      <c r="J3496" s="90">
        <v>13304</v>
      </c>
      <c r="K3496" s="85">
        <v>13</v>
      </c>
      <c r="L3496" s="85">
        <v>1290</v>
      </c>
      <c r="M3496" s="85">
        <v>2</v>
      </c>
      <c r="N3496" s="82" t="s">
        <v>11762</v>
      </c>
      <c r="O3496" s="93">
        <v>45877.526342592595</v>
      </c>
    </row>
    <row r="3497" spans="1:15" ht="22.5" customHeight="1">
      <c r="A3497" s="85">
        <v>174904221976312</v>
      </c>
      <c r="B3497" s="82" t="s">
        <v>10651</v>
      </c>
      <c r="C3497" s="82" t="s">
        <v>11763</v>
      </c>
      <c r="D3497" s="82" t="s">
        <v>11764</v>
      </c>
      <c r="E3497" s="82">
        <v>6282384544939</v>
      </c>
      <c r="F3497" s="94">
        <v>45876</v>
      </c>
      <c r="G3497" s="87">
        <v>759</v>
      </c>
      <c r="H3497" s="88">
        <v>15841.196777905639</v>
      </c>
      <c r="I3497" s="89">
        <v>14</v>
      </c>
      <c r="J3497" s="90">
        <v>13766</v>
      </c>
      <c r="K3497" s="85">
        <v>1</v>
      </c>
      <c r="L3497" s="85">
        <v>264</v>
      </c>
      <c r="M3497" s="85">
        <v>0</v>
      </c>
      <c r="N3497" s="82" t="s">
        <v>11765</v>
      </c>
      <c r="O3497" s="93">
        <v>45877.506111111114</v>
      </c>
    </row>
    <row r="3498" spans="1:15" ht="22.5" customHeight="1">
      <c r="A3498" s="85">
        <v>174904221976312</v>
      </c>
      <c r="B3498" s="82" t="s">
        <v>10651</v>
      </c>
      <c r="C3498" s="82" t="s">
        <v>11720</v>
      </c>
      <c r="D3498" s="82" t="s">
        <v>11721</v>
      </c>
      <c r="E3498" s="82">
        <v>628990145388</v>
      </c>
      <c r="F3498" s="94">
        <v>45876</v>
      </c>
      <c r="G3498" s="87">
        <v>344</v>
      </c>
      <c r="H3498" s="88">
        <v>34419.947506561679</v>
      </c>
      <c r="I3498" s="89">
        <v>18</v>
      </c>
      <c r="J3498" s="90">
        <v>13114</v>
      </c>
      <c r="K3498" s="85">
        <v>5</v>
      </c>
      <c r="L3498" s="85">
        <v>141</v>
      </c>
      <c r="M3498" s="85">
        <v>1</v>
      </c>
      <c r="N3498" s="82" t="s">
        <v>11722</v>
      </c>
      <c r="O3498" s="93">
        <v>45877.21770833333</v>
      </c>
    </row>
    <row r="3499" spans="1:15" ht="22.5" customHeight="1">
      <c r="A3499" s="85">
        <v>174904221976312</v>
      </c>
      <c r="B3499" s="82" t="s">
        <v>10651</v>
      </c>
      <c r="C3499" s="82" t="s">
        <v>11723</v>
      </c>
      <c r="D3499" s="82" t="s">
        <v>11724</v>
      </c>
      <c r="E3499" s="82">
        <v>6281226950679</v>
      </c>
      <c r="F3499" s="94">
        <v>45876</v>
      </c>
      <c r="G3499" s="87">
        <v>293</v>
      </c>
      <c r="H3499" s="88">
        <v>52839.344262295075</v>
      </c>
      <c r="I3499" s="89">
        <v>20</v>
      </c>
      <c r="J3499" s="90">
        <v>16116</v>
      </c>
      <c r="K3499" s="85">
        <v>3</v>
      </c>
      <c r="L3499" s="85">
        <v>0</v>
      </c>
      <c r="M3499" s="85">
        <v>1</v>
      </c>
      <c r="N3499" s="82" t="s">
        <v>11725</v>
      </c>
      <c r="O3499" s="93">
        <v>45877.21769675926</v>
      </c>
    </row>
    <row r="3500" spans="1:15" ht="22.5" customHeight="1">
      <c r="A3500" s="85">
        <v>174904221976312</v>
      </c>
      <c r="B3500" s="82" t="s">
        <v>10651</v>
      </c>
      <c r="C3500" s="82" t="s">
        <v>11726</v>
      </c>
      <c r="D3500" s="82" t="s">
        <v>3291</v>
      </c>
      <c r="E3500" s="82">
        <v>6285691146546</v>
      </c>
      <c r="F3500" s="94">
        <v>45876</v>
      </c>
      <c r="G3500" s="87">
        <v>581</v>
      </c>
      <c r="H3500" s="88">
        <v>22026.645768025075</v>
      </c>
      <c r="I3500" s="89">
        <v>30</v>
      </c>
      <c r="J3500" s="90">
        <v>14053</v>
      </c>
      <c r="K3500" s="85">
        <v>6</v>
      </c>
      <c r="L3500" s="85">
        <v>290</v>
      </c>
      <c r="M3500" s="85">
        <v>0</v>
      </c>
      <c r="N3500" s="82" t="s">
        <v>11727</v>
      </c>
      <c r="O3500" s="93">
        <v>45877.546932870369</v>
      </c>
    </row>
    <row r="3501" spans="1:15" ht="22.5" customHeight="1">
      <c r="A3501" s="85">
        <v>174904221976312</v>
      </c>
      <c r="B3501" s="82" t="s">
        <v>10651</v>
      </c>
      <c r="C3501" s="82" t="s">
        <v>11728</v>
      </c>
      <c r="D3501" s="82" t="s">
        <v>11729</v>
      </c>
      <c r="E3501" s="82">
        <v>628122703083</v>
      </c>
      <c r="F3501" s="94">
        <v>45876</v>
      </c>
      <c r="G3501" s="87">
        <v>281</v>
      </c>
      <c r="H3501" s="88">
        <v>36533.980582524273</v>
      </c>
      <c r="I3501" s="89">
        <v>10</v>
      </c>
      <c r="J3501" s="90">
        <v>11289</v>
      </c>
      <c r="K3501" s="85">
        <v>1</v>
      </c>
      <c r="L3501" s="85">
        <v>1</v>
      </c>
      <c r="M3501" s="85">
        <v>0</v>
      </c>
      <c r="N3501" s="82" t="s">
        <v>11730</v>
      </c>
      <c r="O3501" s="93">
        <v>45877.526562500003</v>
      </c>
    </row>
    <row r="3502" spans="1:15" ht="22.5" customHeight="1">
      <c r="A3502" s="85">
        <v>174904221976312</v>
      </c>
      <c r="B3502" s="82" t="s">
        <v>10651</v>
      </c>
      <c r="C3502" s="82" t="s">
        <v>11731</v>
      </c>
      <c r="D3502" s="82" t="s">
        <v>3465</v>
      </c>
      <c r="E3502" s="82">
        <v>6285920572002</v>
      </c>
      <c r="F3502" s="94">
        <v>45876</v>
      </c>
      <c r="G3502" s="87">
        <v>696</v>
      </c>
      <c r="H3502" s="88">
        <v>19503.28515111695</v>
      </c>
      <c r="I3502" s="89">
        <v>35</v>
      </c>
      <c r="J3502" s="90">
        <v>14842</v>
      </c>
      <c r="K3502" s="85">
        <v>6</v>
      </c>
      <c r="L3502" s="85">
        <v>273</v>
      </c>
      <c r="M3502" s="85">
        <v>1</v>
      </c>
      <c r="N3502" s="82" t="s">
        <v>11732</v>
      </c>
      <c r="O3502" s="93">
        <v>45877.505868055552</v>
      </c>
    </row>
    <row r="3503" spans="1:15" ht="22.5" customHeight="1">
      <c r="A3503" s="85">
        <v>174904221976312</v>
      </c>
      <c r="B3503" s="82" t="s">
        <v>10651</v>
      </c>
      <c r="C3503" s="82" t="s">
        <v>11733</v>
      </c>
      <c r="D3503" s="82" t="s">
        <v>3479</v>
      </c>
      <c r="E3503" s="82">
        <v>6285780314346</v>
      </c>
      <c r="F3503" s="94">
        <v>45876</v>
      </c>
      <c r="G3503" s="87">
        <v>775</v>
      </c>
      <c r="H3503" s="88">
        <v>13698.616600790514</v>
      </c>
      <c r="I3503" s="89">
        <v>79</v>
      </c>
      <c r="J3503" s="90">
        <v>13863</v>
      </c>
      <c r="K3503" s="85">
        <v>13</v>
      </c>
      <c r="L3503" s="85">
        <v>0</v>
      </c>
      <c r="M3503" s="85">
        <v>1</v>
      </c>
      <c r="N3503" s="82" t="s">
        <v>11734</v>
      </c>
      <c r="O3503" s="93">
        <v>45877.217719907407</v>
      </c>
    </row>
    <row r="3504" spans="1:15" ht="22.5" customHeight="1">
      <c r="A3504" s="85">
        <v>174904221976312</v>
      </c>
      <c r="B3504" s="82" t="s">
        <v>10651</v>
      </c>
      <c r="C3504" s="82" t="s">
        <v>11697</v>
      </c>
      <c r="D3504" s="82" t="s">
        <v>3387</v>
      </c>
      <c r="E3504" s="82">
        <v>6285326750989</v>
      </c>
      <c r="F3504" s="94">
        <v>45876</v>
      </c>
      <c r="G3504" s="87">
        <v>423</v>
      </c>
      <c r="H3504" s="88">
        <v>29449.462365591397</v>
      </c>
      <c r="I3504" s="89">
        <v>12</v>
      </c>
      <c r="J3504" s="90">
        <v>13694</v>
      </c>
      <c r="K3504" s="85">
        <v>4</v>
      </c>
      <c r="L3504" s="85">
        <v>155</v>
      </c>
      <c r="M3504" s="85">
        <v>0</v>
      </c>
      <c r="N3504" s="82" t="s">
        <v>11698</v>
      </c>
      <c r="O3504" s="93">
        <v>45877.217719907407</v>
      </c>
    </row>
    <row r="3505" spans="1:15" ht="22.5" customHeight="1">
      <c r="A3505" s="85">
        <v>174904221976312</v>
      </c>
      <c r="B3505" s="82" t="s">
        <v>10651</v>
      </c>
      <c r="C3505" s="82" t="s">
        <v>11699</v>
      </c>
      <c r="D3505" s="82" t="s">
        <v>3305</v>
      </c>
      <c r="E3505" s="82">
        <v>6282249348536</v>
      </c>
      <c r="F3505" s="94">
        <v>45876</v>
      </c>
      <c r="G3505" s="87">
        <v>869</v>
      </c>
      <c r="H3505" s="88">
        <v>15042.596348884381</v>
      </c>
      <c r="I3505" s="89">
        <v>37</v>
      </c>
      <c r="J3505" s="90">
        <v>14832</v>
      </c>
      <c r="K3505" s="85">
        <v>5</v>
      </c>
      <c r="L3505" s="85">
        <v>297</v>
      </c>
      <c r="M3505" s="85">
        <v>0</v>
      </c>
      <c r="N3505" s="82" t="s">
        <v>11700</v>
      </c>
      <c r="O3505" s="93">
        <v>45877.21770833333</v>
      </c>
    </row>
    <row r="3506" spans="1:15" ht="22.5" customHeight="1">
      <c r="A3506" s="85">
        <v>174904221976312</v>
      </c>
      <c r="B3506" s="82" t="s">
        <v>10651</v>
      </c>
      <c r="C3506" s="82" t="s">
        <v>11701</v>
      </c>
      <c r="D3506" s="82" t="s">
        <v>11702</v>
      </c>
      <c r="E3506" s="82">
        <v>6288802749485</v>
      </c>
      <c r="F3506" s="94">
        <v>45876</v>
      </c>
      <c r="G3506" s="87">
        <v>548</v>
      </c>
      <c r="H3506" s="88">
        <v>20024.169184290033</v>
      </c>
      <c r="I3506" s="89">
        <v>37</v>
      </c>
      <c r="J3506" s="90">
        <v>13256</v>
      </c>
      <c r="K3506" s="85">
        <v>8</v>
      </c>
      <c r="L3506" s="85">
        <v>22</v>
      </c>
      <c r="M3506" s="85">
        <v>0</v>
      </c>
      <c r="N3506" s="82" t="s">
        <v>11703</v>
      </c>
      <c r="O3506" s="93">
        <v>45877.21770833333</v>
      </c>
    </row>
    <row r="3507" spans="1:15" ht="22.5" customHeight="1">
      <c r="A3507" s="85">
        <v>174904221976312</v>
      </c>
      <c r="B3507" s="82" t="s">
        <v>10651</v>
      </c>
      <c r="C3507" s="82" t="s">
        <v>11704</v>
      </c>
      <c r="D3507" s="82" t="s">
        <v>3334</v>
      </c>
      <c r="E3507" s="82">
        <v>6282118113002</v>
      </c>
      <c r="F3507" s="94">
        <v>45876</v>
      </c>
      <c r="G3507" s="87">
        <v>235</v>
      </c>
      <c r="H3507" s="88">
        <v>59697.580645161288</v>
      </c>
      <c r="I3507" s="89">
        <v>13</v>
      </c>
      <c r="J3507" s="90">
        <v>14805</v>
      </c>
      <c r="K3507" s="85">
        <v>0</v>
      </c>
      <c r="L3507" s="85">
        <v>98</v>
      </c>
      <c r="M3507" s="85">
        <v>0</v>
      </c>
      <c r="N3507" s="82" t="s">
        <v>11705</v>
      </c>
      <c r="O3507" s="93">
        <v>45877.21770833333</v>
      </c>
    </row>
    <row r="3508" spans="1:15" ht="22.5" customHeight="1">
      <c r="A3508" s="85">
        <v>174904221976312</v>
      </c>
      <c r="B3508" s="82" t="s">
        <v>10651</v>
      </c>
      <c r="C3508" s="82" t="s">
        <v>11706</v>
      </c>
      <c r="D3508" s="82" t="s">
        <v>3298</v>
      </c>
      <c r="E3508" s="82">
        <v>6281362440234</v>
      </c>
      <c r="F3508" s="94">
        <v>45876</v>
      </c>
      <c r="G3508" s="87">
        <v>801</v>
      </c>
      <c r="H3508" s="88">
        <v>17456.140350877191</v>
      </c>
      <c r="I3508" s="89">
        <v>41</v>
      </c>
      <c r="J3508" s="90">
        <v>14925</v>
      </c>
      <c r="K3508" s="85">
        <v>6</v>
      </c>
      <c r="L3508" s="85">
        <v>427</v>
      </c>
      <c r="M3508" s="85">
        <v>0</v>
      </c>
      <c r="N3508" s="82" t="s">
        <v>11707</v>
      </c>
      <c r="O3508" s="93">
        <v>45877.21770833333</v>
      </c>
    </row>
    <row r="3509" spans="1:15" ht="22.5" customHeight="1">
      <c r="A3509" s="85">
        <v>174904221976312</v>
      </c>
      <c r="B3509" s="82" t="s">
        <v>10651</v>
      </c>
      <c r="C3509" s="82" t="s">
        <v>11708</v>
      </c>
      <c r="D3509" s="82" t="s">
        <v>11709</v>
      </c>
      <c r="E3509" s="82">
        <v>6285294617773</v>
      </c>
      <c r="F3509" s="94">
        <v>45876</v>
      </c>
      <c r="G3509" s="87">
        <v>309</v>
      </c>
      <c r="H3509" s="88">
        <v>37507.204610951005</v>
      </c>
      <c r="I3509" s="89">
        <v>25</v>
      </c>
      <c r="J3509" s="90">
        <v>13015</v>
      </c>
      <c r="K3509" s="85">
        <v>2</v>
      </c>
      <c r="L3509" s="85">
        <v>26</v>
      </c>
      <c r="M3509" s="85">
        <v>0</v>
      </c>
      <c r="N3509" s="82" t="s">
        <v>11710</v>
      </c>
      <c r="O3509" s="93">
        <v>45877.58866898148</v>
      </c>
    </row>
    <row r="3510" spans="1:15" ht="22.5" customHeight="1">
      <c r="A3510" s="85">
        <v>174904221976312</v>
      </c>
      <c r="B3510" s="82" t="s">
        <v>10651</v>
      </c>
      <c r="C3510" s="82" t="s">
        <v>11711</v>
      </c>
      <c r="D3510" s="82" t="s">
        <v>11712</v>
      </c>
      <c r="E3510" s="82">
        <v>6285286258400</v>
      </c>
      <c r="F3510" s="94">
        <v>45876</v>
      </c>
      <c r="G3510" s="87">
        <v>398</v>
      </c>
      <c r="H3510" s="88">
        <v>26088.291746641076</v>
      </c>
      <c r="I3510" s="89">
        <v>9</v>
      </c>
      <c r="J3510" s="90">
        <v>13592</v>
      </c>
      <c r="K3510" s="85">
        <v>0</v>
      </c>
      <c r="L3510" s="85">
        <v>59</v>
      </c>
      <c r="M3510" s="85">
        <v>0</v>
      </c>
      <c r="N3510" s="82" t="s">
        <v>11713</v>
      </c>
      <c r="O3510" s="93">
        <v>45877.505856481483</v>
      </c>
    </row>
    <row r="3511" spans="1:15" ht="22.5" customHeight="1">
      <c r="A3511" s="85">
        <v>174904221976312</v>
      </c>
      <c r="B3511" s="82" t="s">
        <v>10651</v>
      </c>
      <c r="C3511" s="82" t="s">
        <v>11654</v>
      </c>
      <c r="D3511" s="82" t="s">
        <v>11655</v>
      </c>
      <c r="E3511" s="82">
        <v>6285223186555</v>
      </c>
      <c r="F3511" s="94">
        <v>45876</v>
      </c>
      <c r="G3511" s="87">
        <v>386</v>
      </c>
      <c r="H3511" s="88">
        <v>18747.641509433961</v>
      </c>
      <c r="I3511" s="89">
        <v>17</v>
      </c>
      <c r="J3511" s="90">
        <v>7949</v>
      </c>
      <c r="K3511" s="85">
        <v>4</v>
      </c>
      <c r="L3511" s="85">
        <v>0</v>
      </c>
      <c r="M3511" s="85">
        <v>0</v>
      </c>
      <c r="N3511" s="82" t="s">
        <v>11656</v>
      </c>
      <c r="O3511" s="93">
        <v>45877.21770833333</v>
      </c>
    </row>
    <row r="3512" spans="1:15" ht="22.5" customHeight="1">
      <c r="A3512" s="85">
        <v>174904221976312</v>
      </c>
      <c r="B3512" s="82" t="s">
        <v>10651</v>
      </c>
      <c r="C3512" s="82" t="s">
        <v>11663</v>
      </c>
      <c r="D3512" s="82" t="s">
        <v>11664</v>
      </c>
      <c r="E3512" s="82">
        <v>628123264621</v>
      </c>
      <c r="F3512" s="94">
        <v>45876</v>
      </c>
      <c r="G3512" s="87">
        <v>747</v>
      </c>
      <c r="H3512" s="88">
        <v>15014.242115971516</v>
      </c>
      <c r="I3512" s="89">
        <v>36</v>
      </c>
      <c r="J3512" s="90">
        <v>14759</v>
      </c>
      <c r="K3512" s="85">
        <v>4</v>
      </c>
      <c r="L3512" s="85">
        <v>55</v>
      </c>
      <c r="M3512" s="85">
        <v>1</v>
      </c>
      <c r="N3512" s="82" t="s">
        <v>11665</v>
      </c>
      <c r="O3512" s="93">
        <v>45877.546944444446</v>
      </c>
    </row>
    <row r="3513" spans="1:15" ht="22.5" customHeight="1">
      <c r="A3513" s="85">
        <v>174904221976312</v>
      </c>
      <c r="B3513" s="82" t="s">
        <v>10651</v>
      </c>
      <c r="C3513" s="82" t="s">
        <v>11641</v>
      </c>
      <c r="D3513" s="82" t="s">
        <v>3229</v>
      </c>
      <c r="E3513" s="82">
        <v>6287865111033</v>
      </c>
      <c r="F3513" s="94">
        <v>45876</v>
      </c>
      <c r="G3513" s="87">
        <v>1545</v>
      </c>
      <c r="H3513" s="88">
        <v>7229.1786329695578</v>
      </c>
      <c r="I3513" s="89">
        <v>23</v>
      </c>
      <c r="J3513" s="90">
        <v>12586</v>
      </c>
      <c r="K3513" s="85">
        <v>1</v>
      </c>
      <c r="L3513" s="85">
        <v>0</v>
      </c>
      <c r="M3513" s="85">
        <v>0</v>
      </c>
      <c r="N3513" s="82" t="s">
        <v>11642</v>
      </c>
      <c r="O3513" s="93">
        <v>45877.526307870372</v>
      </c>
    </row>
    <row r="3514" spans="1:15" ht="22.5" customHeight="1">
      <c r="A3514" s="85">
        <v>174904221976312</v>
      </c>
      <c r="B3514" s="82" t="s">
        <v>10651</v>
      </c>
      <c r="C3514" s="82" t="s">
        <v>11580</v>
      </c>
      <c r="D3514" s="82" t="s">
        <v>11581</v>
      </c>
      <c r="E3514" s="82">
        <v>6287790276733</v>
      </c>
      <c r="F3514" s="94">
        <v>45876</v>
      </c>
      <c r="G3514" s="87">
        <v>788</v>
      </c>
      <c r="H3514" s="88">
        <v>21982.778415614237</v>
      </c>
      <c r="I3514" s="89">
        <v>11</v>
      </c>
      <c r="J3514" s="90">
        <v>19147</v>
      </c>
      <c r="K3514" s="85">
        <v>0</v>
      </c>
      <c r="L3514" s="85">
        <v>166</v>
      </c>
      <c r="M3514" s="85">
        <v>0</v>
      </c>
      <c r="N3514" s="82" t="s">
        <v>11582</v>
      </c>
      <c r="O3514" s="93">
        <v>45877.380798611113</v>
      </c>
    </row>
    <row r="3515" spans="1:15" ht="22.5" customHeight="1">
      <c r="A3515" s="85">
        <v>174904221976312</v>
      </c>
      <c r="B3515" s="82" t="s">
        <v>10651</v>
      </c>
      <c r="C3515" s="82" t="s">
        <v>11559</v>
      </c>
      <c r="D3515" s="82" t="s">
        <v>11560</v>
      </c>
      <c r="E3515" s="82">
        <v>6282333203355</v>
      </c>
      <c r="F3515" s="94">
        <v>45876</v>
      </c>
      <c r="G3515" s="87">
        <v>162</v>
      </c>
      <c r="H3515" s="88">
        <v>67017.142857142855</v>
      </c>
      <c r="I3515" s="89">
        <v>9</v>
      </c>
      <c r="J3515" s="90">
        <v>11728</v>
      </c>
      <c r="K3515" s="85">
        <v>1</v>
      </c>
      <c r="L3515" s="85">
        <v>69</v>
      </c>
      <c r="M3515" s="85">
        <v>0</v>
      </c>
      <c r="N3515" s="82" t="s">
        <v>11561</v>
      </c>
      <c r="O3515" s="93">
        <v>45877.422106481485</v>
      </c>
    </row>
    <row r="3516" spans="1:15" ht="22.5" customHeight="1">
      <c r="A3516" s="85">
        <v>174904221976312</v>
      </c>
      <c r="B3516" s="82" t="s">
        <v>10651</v>
      </c>
      <c r="C3516" s="82" t="s">
        <v>11535</v>
      </c>
      <c r="D3516" s="82" t="s">
        <v>2969</v>
      </c>
      <c r="E3516" s="82">
        <v>6281286402030</v>
      </c>
      <c r="F3516" s="94">
        <v>45876</v>
      </c>
      <c r="G3516" s="87">
        <v>290</v>
      </c>
      <c r="H3516" s="88">
        <v>40525.469168900803</v>
      </c>
      <c r="I3516" s="89">
        <v>9</v>
      </c>
      <c r="J3516" s="90">
        <v>15116</v>
      </c>
      <c r="K3516" s="85">
        <v>0</v>
      </c>
      <c r="L3516" s="85">
        <v>37</v>
      </c>
      <c r="M3516" s="85">
        <v>0</v>
      </c>
      <c r="N3516" s="82" t="s">
        <v>11536</v>
      </c>
      <c r="O3516" s="93">
        <v>45877.505868055552</v>
      </c>
    </row>
    <row r="3517" spans="1:15" ht="22.5" customHeight="1">
      <c r="A3517" s="85">
        <v>174904221976312</v>
      </c>
      <c r="B3517" s="82" t="s">
        <v>10651</v>
      </c>
      <c r="C3517" s="82" t="s">
        <v>11494</v>
      </c>
      <c r="D3517" s="82" t="s">
        <v>11495</v>
      </c>
      <c r="E3517" s="82">
        <v>6285645050058</v>
      </c>
      <c r="F3517" s="94">
        <v>45876</v>
      </c>
      <c r="G3517" s="87">
        <v>929</v>
      </c>
      <c r="H3517" s="88">
        <v>12875.799086757992</v>
      </c>
      <c r="I3517" s="89">
        <v>29</v>
      </c>
      <c r="J3517" s="90">
        <v>14099</v>
      </c>
      <c r="K3517" s="85">
        <v>1</v>
      </c>
      <c r="L3517" s="85">
        <v>148</v>
      </c>
      <c r="M3517" s="85">
        <v>0</v>
      </c>
      <c r="N3517" s="82" t="s">
        <v>11496</v>
      </c>
      <c r="O3517" s="93">
        <v>45877.464189814818</v>
      </c>
    </row>
    <row r="3518" spans="1:15" ht="22.5" customHeight="1">
      <c r="A3518" s="85">
        <v>174904221976312</v>
      </c>
      <c r="B3518" s="82" t="s">
        <v>10651</v>
      </c>
      <c r="C3518" s="82" t="s">
        <v>11464</v>
      </c>
      <c r="D3518" s="82" t="s">
        <v>11465</v>
      </c>
      <c r="E3518" s="82">
        <v>62816904358</v>
      </c>
      <c r="F3518" s="94">
        <v>45876</v>
      </c>
      <c r="G3518" s="87">
        <v>368</v>
      </c>
      <c r="H3518" s="88">
        <v>31738.823529411766</v>
      </c>
      <c r="I3518" s="89">
        <v>18</v>
      </c>
      <c r="J3518" s="90">
        <v>13489</v>
      </c>
      <c r="K3518" s="85">
        <v>3</v>
      </c>
      <c r="L3518" s="85">
        <v>0</v>
      </c>
      <c r="M3518" s="85">
        <v>0</v>
      </c>
      <c r="N3518" s="82" t="s">
        <v>11466</v>
      </c>
      <c r="O3518" s="93">
        <v>45877.464502314811</v>
      </c>
    </row>
    <row r="3519" spans="1:15" ht="22.5" customHeight="1">
      <c r="A3519" s="85">
        <v>174904221976312</v>
      </c>
      <c r="B3519" s="82" t="s">
        <v>10651</v>
      </c>
      <c r="C3519" s="82" t="s">
        <v>11446</v>
      </c>
      <c r="D3519" s="82" t="s">
        <v>11447</v>
      </c>
      <c r="E3519" s="82">
        <v>6281999375257</v>
      </c>
      <c r="F3519" s="94">
        <v>45876</v>
      </c>
      <c r="G3519" s="87">
        <v>470</v>
      </c>
      <c r="H3519" s="88">
        <v>23621.62162162162</v>
      </c>
      <c r="I3519" s="89">
        <v>29</v>
      </c>
      <c r="J3519" s="90">
        <v>14858</v>
      </c>
      <c r="K3519" s="85">
        <v>3</v>
      </c>
      <c r="L3519" s="85">
        <v>154</v>
      </c>
      <c r="M3519" s="85">
        <v>0</v>
      </c>
      <c r="N3519" s="82" t="s">
        <v>11448</v>
      </c>
      <c r="O3519" s="93">
        <v>45877.546932870369</v>
      </c>
    </row>
    <row r="3520" spans="1:15" ht="22.5" customHeight="1">
      <c r="A3520" s="85">
        <v>174904221976312</v>
      </c>
      <c r="B3520" s="82" t="s">
        <v>10651</v>
      </c>
      <c r="C3520" s="82" t="s">
        <v>11396</v>
      </c>
      <c r="D3520" s="82" t="s">
        <v>11397</v>
      </c>
      <c r="E3520" s="82">
        <v>6285789446955</v>
      </c>
      <c r="F3520" s="94">
        <v>45876</v>
      </c>
      <c r="G3520" s="87">
        <v>1086</v>
      </c>
      <c r="H3520" s="88">
        <v>11943.627450980392</v>
      </c>
      <c r="I3520" s="89">
        <v>8</v>
      </c>
      <c r="J3520" s="90">
        <v>14619</v>
      </c>
      <c r="K3520" s="85">
        <v>0</v>
      </c>
      <c r="L3520" s="85">
        <v>154</v>
      </c>
      <c r="M3520" s="85">
        <v>0</v>
      </c>
      <c r="N3520" s="82" t="s">
        <v>11398</v>
      </c>
      <c r="O3520" s="93">
        <v>45877.484618055554</v>
      </c>
    </row>
    <row r="3521" spans="1:15" ht="22.5" customHeight="1">
      <c r="A3521" s="85">
        <v>174904221976312</v>
      </c>
      <c r="B3521" s="82" t="s">
        <v>10651</v>
      </c>
      <c r="C3521" s="82" t="s">
        <v>11309</v>
      </c>
      <c r="D3521" s="82" t="s">
        <v>11350</v>
      </c>
      <c r="E3521" s="82">
        <v>6281229745253</v>
      </c>
      <c r="F3521" s="94">
        <v>45876</v>
      </c>
      <c r="G3521" s="87">
        <v>200</v>
      </c>
      <c r="H3521" s="88">
        <v>55672.897196261678</v>
      </c>
      <c r="I3521" s="89">
        <v>9</v>
      </c>
      <c r="J3521" s="90">
        <v>11914</v>
      </c>
      <c r="K3521" s="85">
        <v>1</v>
      </c>
      <c r="L3521" s="85">
        <v>55</v>
      </c>
      <c r="M3521" s="85">
        <v>0</v>
      </c>
      <c r="N3521" s="82" t="s">
        <v>11791</v>
      </c>
      <c r="O3521" s="93">
        <v>45877.464502314811</v>
      </c>
    </row>
    <row r="3522" spans="1:15" ht="22.5" customHeight="1">
      <c r="A3522" s="85">
        <v>174904221976312</v>
      </c>
      <c r="B3522" s="82" t="s">
        <v>10651</v>
      </c>
      <c r="C3522" s="82" t="s">
        <v>11225</v>
      </c>
      <c r="D3522" s="82" t="s">
        <v>11226</v>
      </c>
      <c r="E3522" s="82">
        <v>6281240144744</v>
      </c>
      <c r="F3522" s="94">
        <v>45876</v>
      </c>
      <c r="G3522" s="87">
        <v>2234</v>
      </c>
      <c r="H3522" s="88">
        <v>5359.9704032556419</v>
      </c>
      <c r="I3522" s="89">
        <v>31</v>
      </c>
      <c r="J3522" s="90">
        <v>14488</v>
      </c>
      <c r="K3522" s="85">
        <v>2</v>
      </c>
      <c r="L3522" s="85">
        <v>344</v>
      </c>
      <c r="M3522" s="85">
        <v>0</v>
      </c>
      <c r="N3522" s="82" t="s">
        <v>11227</v>
      </c>
      <c r="O3522" s="93">
        <v>45877.505856481483</v>
      </c>
    </row>
    <row r="3523" spans="1:15" ht="22.5" customHeight="1">
      <c r="A3523" s="85">
        <v>174904221976312</v>
      </c>
      <c r="B3523" s="82" t="s">
        <v>10651</v>
      </c>
      <c r="C3523" s="82" t="s">
        <v>11193</v>
      </c>
      <c r="D3523" s="82" t="s">
        <v>11194</v>
      </c>
      <c r="E3523" s="82">
        <v>6281779578317</v>
      </c>
      <c r="F3523" s="94">
        <v>45876</v>
      </c>
      <c r="G3523" s="87">
        <v>1442</v>
      </c>
      <c r="H3523" s="88">
        <v>8920.2898550724622</v>
      </c>
      <c r="I3523" s="89">
        <v>47</v>
      </c>
      <c r="J3523" s="90">
        <v>14772</v>
      </c>
      <c r="K3523" s="85">
        <v>2</v>
      </c>
      <c r="L3523" s="85">
        <v>385</v>
      </c>
      <c r="M3523" s="85">
        <v>0</v>
      </c>
      <c r="N3523" s="82" t="s">
        <v>11195</v>
      </c>
      <c r="O3523" s="93">
        <v>45877.5469212963</v>
      </c>
    </row>
    <row r="3524" spans="1:15" ht="22.5" customHeight="1">
      <c r="A3524" s="85">
        <v>759724529202804</v>
      </c>
      <c r="B3524" s="82" t="s">
        <v>10621</v>
      </c>
      <c r="C3524" s="82" t="s">
        <v>11735</v>
      </c>
      <c r="D3524" s="82" t="s">
        <v>3254</v>
      </c>
      <c r="E3524" s="82">
        <v>628127126274</v>
      </c>
      <c r="F3524" s="94">
        <v>45877</v>
      </c>
      <c r="G3524" s="87">
        <v>316</v>
      </c>
      <c r="H3524" s="88">
        <v>38924.205378973107</v>
      </c>
      <c r="I3524" s="89">
        <v>19</v>
      </c>
      <c r="J3524" s="90">
        <v>15920</v>
      </c>
      <c r="K3524" s="85">
        <v>3</v>
      </c>
      <c r="L3524" s="85">
        <v>93</v>
      </c>
      <c r="M3524" s="85">
        <v>1</v>
      </c>
      <c r="N3524" s="82" t="s">
        <v>11736</v>
      </c>
      <c r="O3524" s="93">
        <v>45878.215138888889</v>
      </c>
    </row>
    <row r="3525" spans="1:15" ht="22.5" customHeight="1">
      <c r="A3525" s="85">
        <v>759724529202804</v>
      </c>
      <c r="B3525" s="82" t="s">
        <v>10621</v>
      </c>
      <c r="C3525" s="82" t="s">
        <v>11055</v>
      </c>
      <c r="D3525" s="82" t="s">
        <v>1021</v>
      </c>
      <c r="E3525" s="82"/>
      <c r="F3525" s="94">
        <v>45877</v>
      </c>
      <c r="G3525" s="87">
        <v>843</v>
      </c>
      <c r="H3525" s="88">
        <v>28700.478468899521</v>
      </c>
      <c r="I3525" s="89">
        <v>40</v>
      </c>
      <c r="J3525" s="90">
        <v>29992</v>
      </c>
      <c r="K3525" s="85">
        <v>13</v>
      </c>
      <c r="L3525" s="85">
        <v>320</v>
      </c>
      <c r="M3525" s="85">
        <v>0</v>
      </c>
      <c r="N3525" s="82" t="s">
        <v>11056</v>
      </c>
      <c r="O3525" s="93">
        <v>45874.499675925923</v>
      </c>
    </row>
    <row r="3526" spans="1:15" ht="22.5" customHeight="1">
      <c r="A3526" s="85">
        <v>174904221976312</v>
      </c>
      <c r="B3526" s="82" t="s">
        <v>10651</v>
      </c>
      <c r="C3526" s="82" t="s">
        <v>11811</v>
      </c>
      <c r="D3526" s="82" t="s">
        <v>11812</v>
      </c>
      <c r="E3526" s="82">
        <v>6285328883803</v>
      </c>
      <c r="F3526" s="94">
        <v>45877</v>
      </c>
      <c r="G3526" s="87">
        <v>310</v>
      </c>
      <c r="H3526" s="88">
        <v>29864.161849710981</v>
      </c>
      <c r="I3526" s="89">
        <v>9</v>
      </c>
      <c r="J3526" s="90">
        <v>10333</v>
      </c>
      <c r="K3526" s="85">
        <v>0</v>
      </c>
      <c r="L3526" s="85">
        <v>9</v>
      </c>
      <c r="M3526" s="85">
        <v>0</v>
      </c>
      <c r="N3526" s="82" t="s">
        <v>11813</v>
      </c>
      <c r="O3526" s="93">
        <v>45878.651585648149</v>
      </c>
    </row>
    <row r="3527" spans="1:15" ht="22.5" customHeight="1">
      <c r="A3527" s="85">
        <v>174904221976312</v>
      </c>
      <c r="B3527" s="82" t="s">
        <v>10651</v>
      </c>
      <c r="C3527" s="82" t="s">
        <v>11814</v>
      </c>
      <c r="D3527" s="82" t="s">
        <v>3733</v>
      </c>
      <c r="E3527" s="82">
        <v>62882001438924</v>
      </c>
      <c r="F3527" s="94">
        <v>45877</v>
      </c>
      <c r="G3527" s="87">
        <v>268</v>
      </c>
      <c r="H3527" s="88">
        <v>42747.404844290657</v>
      </c>
      <c r="I3527" s="89">
        <v>14</v>
      </c>
      <c r="J3527" s="90">
        <v>12354</v>
      </c>
      <c r="K3527" s="85">
        <v>4</v>
      </c>
      <c r="L3527" s="85">
        <v>18</v>
      </c>
      <c r="M3527" s="85">
        <v>1</v>
      </c>
      <c r="N3527" s="82" t="s">
        <v>11815</v>
      </c>
      <c r="O3527" s="93">
        <v>45878.630648148152</v>
      </c>
    </row>
    <row r="3528" spans="1:15" ht="22.5" customHeight="1">
      <c r="A3528" s="85">
        <v>174904221976312</v>
      </c>
      <c r="B3528" s="82" t="s">
        <v>10651</v>
      </c>
      <c r="C3528" s="82" t="s">
        <v>11816</v>
      </c>
      <c r="D3528" s="82" t="s">
        <v>3682</v>
      </c>
      <c r="E3528" s="82">
        <v>6285602235226</v>
      </c>
      <c r="F3528" s="94">
        <v>45877</v>
      </c>
      <c r="G3528" s="87">
        <v>445</v>
      </c>
      <c r="H3528" s="88">
        <v>23186.046511627908</v>
      </c>
      <c r="I3528" s="89">
        <v>27</v>
      </c>
      <c r="J3528" s="90">
        <v>12961</v>
      </c>
      <c r="K3528" s="85">
        <v>3</v>
      </c>
      <c r="L3528" s="85">
        <v>41</v>
      </c>
      <c r="M3528" s="85">
        <v>0</v>
      </c>
      <c r="N3528" s="82" t="s">
        <v>11817</v>
      </c>
      <c r="O3528" s="93">
        <v>45878.714143518519</v>
      </c>
    </row>
    <row r="3529" spans="1:15" ht="22.5" customHeight="1">
      <c r="A3529" s="85">
        <v>174904221976312</v>
      </c>
      <c r="B3529" s="82" t="s">
        <v>10651</v>
      </c>
      <c r="C3529" s="82" t="s">
        <v>11818</v>
      </c>
      <c r="D3529" s="82" t="s">
        <v>11819</v>
      </c>
      <c r="E3529" s="82">
        <v>6289515920603</v>
      </c>
      <c r="F3529" s="94">
        <v>45877</v>
      </c>
      <c r="G3529" s="87">
        <v>309</v>
      </c>
      <c r="H3529" s="88">
        <v>29464.788732394369</v>
      </c>
      <c r="I3529" s="89">
        <v>9</v>
      </c>
      <c r="J3529" s="90">
        <v>10460</v>
      </c>
      <c r="K3529" s="85">
        <v>1</v>
      </c>
      <c r="L3529" s="85">
        <v>44</v>
      </c>
      <c r="M3529" s="85">
        <v>0</v>
      </c>
      <c r="N3529" s="82" t="s">
        <v>11820</v>
      </c>
      <c r="O3529" s="93">
        <v>45878.589120370372</v>
      </c>
    </row>
    <row r="3530" spans="1:15" ht="22.5" customHeight="1">
      <c r="A3530" s="85">
        <v>174904221976312</v>
      </c>
      <c r="B3530" s="82" t="s">
        <v>10651</v>
      </c>
      <c r="C3530" s="82" t="s">
        <v>11804</v>
      </c>
      <c r="D3530" s="82" t="s">
        <v>3672</v>
      </c>
      <c r="E3530" s="82">
        <v>628170204528</v>
      </c>
      <c r="F3530" s="94">
        <v>45877</v>
      </c>
      <c r="G3530" s="87">
        <v>511</v>
      </c>
      <c r="H3530" s="88">
        <v>23053.356282271947</v>
      </c>
      <c r="I3530" s="89">
        <v>29</v>
      </c>
      <c r="J3530" s="90">
        <v>13394</v>
      </c>
      <c r="K3530" s="85">
        <v>3</v>
      </c>
      <c r="L3530" s="85">
        <v>111</v>
      </c>
      <c r="M3530" s="85">
        <v>0</v>
      </c>
      <c r="N3530" s="82" t="s">
        <v>11805</v>
      </c>
      <c r="O3530" s="93">
        <v>45878.568402777775</v>
      </c>
    </row>
    <row r="3531" spans="1:15" ht="22.5" customHeight="1">
      <c r="A3531" s="85">
        <v>174904221976312</v>
      </c>
      <c r="B3531" s="82" t="s">
        <v>10651</v>
      </c>
      <c r="C3531" s="82" t="s">
        <v>11806</v>
      </c>
      <c r="D3531" s="82" t="s">
        <v>11807</v>
      </c>
      <c r="E3531" s="82">
        <v>6285338373761</v>
      </c>
      <c r="F3531" s="94">
        <v>45877</v>
      </c>
      <c r="G3531" s="87">
        <v>775</v>
      </c>
      <c r="H3531" s="88">
        <v>12858.517805582291</v>
      </c>
      <c r="I3531" s="89">
        <v>95</v>
      </c>
      <c r="J3531" s="90">
        <v>13360</v>
      </c>
      <c r="K3531" s="85">
        <v>14</v>
      </c>
      <c r="L3531" s="85">
        <v>268</v>
      </c>
      <c r="M3531" s="85">
        <v>4</v>
      </c>
      <c r="N3531" s="82" t="s">
        <v>11808</v>
      </c>
      <c r="O3531" s="93">
        <v>45878.588935185187</v>
      </c>
    </row>
    <row r="3532" spans="1:15" ht="22.5" customHeight="1">
      <c r="A3532" s="85">
        <v>174904221976312</v>
      </c>
      <c r="B3532" s="82" t="s">
        <v>10651</v>
      </c>
      <c r="C3532" s="82" t="s">
        <v>11809</v>
      </c>
      <c r="D3532" s="82" t="s">
        <v>2523</v>
      </c>
      <c r="E3532" s="82">
        <v>6285191259285</v>
      </c>
      <c r="F3532" s="94">
        <v>45877</v>
      </c>
      <c r="G3532" s="87">
        <v>624</v>
      </c>
      <c r="H3532" s="88">
        <v>18958.904109589042</v>
      </c>
      <c r="I3532" s="89">
        <v>22</v>
      </c>
      <c r="J3532" s="90">
        <v>13840</v>
      </c>
      <c r="K3532" s="85">
        <v>2</v>
      </c>
      <c r="L3532" s="85">
        <v>0</v>
      </c>
      <c r="M3532" s="85">
        <v>0</v>
      </c>
      <c r="N3532" s="82" t="s">
        <v>11810</v>
      </c>
      <c r="O3532" s="93">
        <v>45878.609895833331</v>
      </c>
    </row>
    <row r="3533" spans="1:15" ht="22.5" customHeight="1">
      <c r="A3533" s="85">
        <v>174904221976312</v>
      </c>
      <c r="B3533" s="82" t="s">
        <v>10651</v>
      </c>
      <c r="C3533" s="82" t="s">
        <v>11792</v>
      </c>
      <c r="D3533" s="82" t="s">
        <v>11793</v>
      </c>
      <c r="E3533" s="82">
        <v>6281915041833</v>
      </c>
      <c r="F3533" s="94">
        <v>45877</v>
      </c>
      <c r="G3533" s="87">
        <v>826</v>
      </c>
      <c r="H3533" s="88">
        <v>11814.675446848541</v>
      </c>
      <c r="I3533" s="89">
        <v>40</v>
      </c>
      <c r="J3533" s="90">
        <v>12559</v>
      </c>
      <c r="K3533" s="85">
        <v>2</v>
      </c>
      <c r="L3533" s="85">
        <v>446</v>
      </c>
      <c r="M3533" s="85">
        <v>1</v>
      </c>
      <c r="N3533" s="82" t="s">
        <v>11794</v>
      </c>
      <c r="O3533" s="93">
        <v>45878.218819444446</v>
      </c>
    </row>
    <row r="3534" spans="1:15" ht="22.5" customHeight="1">
      <c r="A3534" s="85">
        <v>174904221976312</v>
      </c>
      <c r="B3534" s="82" t="s">
        <v>10651</v>
      </c>
      <c r="C3534" s="82" t="s">
        <v>11795</v>
      </c>
      <c r="D3534" s="82" t="s">
        <v>9010</v>
      </c>
      <c r="E3534" s="82">
        <v>6281378305888</v>
      </c>
      <c r="F3534" s="94">
        <v>45877</v>
      </c>
      <c r="G3534" s="87">
        <v>1318</v>
      </c>
      <c r="H3534" s="88">
        <v>10317.006802721089</v>
      </c>
      <c r="I3534" s="89">
        <v>15</v>
      </c>
      <c r="J3534" s="90">
        <v>15166</v>
      </c>
      <c r="K3534" s="85">
        <v>0</v>
      </c>
      <c r="L3534" s="85">
        <v>12</v>
      </c>
      <c r="M3534" s="85">
        <v>0</v>
      </c>
      <c r="N3534" s="82" t="s">
        <v>11796</v>
      </c>
      <c r="O3534" s="93">
        <v>45878.402245370373</v>
      </c>
    </row>
    <row r="3535" spans="1:15" ht="22.5" customHeight="1">
      <c r="A3535" s="85">
        <v>174904221976312</v>
      </c>
      <c r="B3535" s="82" t="s">
        <v>10651</v>
      </c>
      <c r="C3535" s="82" t="s">
        <v>11797</v>
      </c>
      <c r="D3535" s="82" t="s">
        <v>3616</v>
      </c>
      <c r="E3535" s="82">
        <v>6285299991164</v>
      </c>
      <c r="F3535" s="94">
        <v>45877</v>
      </c>
      <c r="G3535" s="87">
        <v>395</v>
      </c>
      <c r="H3535" s="88">
        <v>34939.203354297693</v>
      </c>
      <c r="I3535" s="89">
        <v>31</v>
      </c>
      <c r="J3535" s="90">
        <v>16666</v>
      </c>
      <c r="K3535" s="85">
        <v>1</v>
      </c>
      <c r="L3535" s="85">
        <v>15</v>
      </c>
      <c r="M3535" s="85">
        <v>3</v>
      </c>
      <c r="N3535" s="82" t="s">
        <v>11798</v>
      </c>
      <c r="O3535" s="93">
        <v>45878.485069444447</v>
      </c>
    </row>
    <row r="3536" spans="1:15" ht="22.5" customHeight="1">
      <c r="A3536" s="85">
        <v>174904221976312</v>
      </c>
      <c r="B3536" s="82" t="s">
        <v>10651</v>
      </c>
      <c r="C3536" s="82" t="s">
        <v>11799</v>
      </c>
      <c r="D3536" s="82" t="s">
        <v>11800</v>
      </c>
      <c r="E3536" s="82">
        <v>6285333751528</v>
      </c>
      <c r="F3536" s="94">
        <v>45877</v>
      </c>
      <c r="G3536" s="87">
        <v>263</v>
      </c>
      <c r="H3536" s="88">
        <v>42855.670103092787</v>
      </c>
      <c r="I3536" s="89">
        <v>6</v>
      </c>
      <c r="J3536" s="90">
        <v>12471</v>
      </c>
      <c r="K3536" s="85">
        <v>1</v>
      </c>
      <c r="L3536" s="85">
        <v>35</v>
      </c>
      <c r="M3536" s="85">
        <v>0</v>
      </c>
      <c r="N3536" s="82" t="s">
        <v>11801</v>
      </c>
      <c r="O3536" s="93">
        <v>45878.463692129626</v>
      </c>
    </row>
    <row r="3537" spans="1:15" ht="22.5" customHeight="1">
      <c r="A3537" s="85">
        <v>174904221976312</v>
      </c>
      <c r="B3537" s="82" t="s">
        <v>10651</v>
      </c>
      <c r="C3537" s="82" t="s">
        <v>11802</v>
      </c>
      <c r="D3537" s="82" t="s">
        <v>3576</v>
      </c>
      <c r="E3537" s="82">
        <v>6285338700113</v>
      </c>
      <c r="F3537" s="94">
        <v>45877</v>
      </c>
      <c r="G3537" s="87">
        <v>979</v>
      </c>
      <c r="H3537" s="88">
        <v>12684.003925417075</v>
      </c>
      <c r="I3537" s="89">
        <v>47</v>
      </c>
      <c r="J3537" s="90">
        <v>12925</v>
      </c>
      <c r="K3537" s="85">
        <v>0</v>
      </c>
      <c r="L3537" s="85">
        <v>463</v>
      </c>
      <c r="M3537" s="85">
        <v>0</v>
      </c>
      <c r="N3537" s="82" t="s">
        <v>11803</v>
      </c>
      <c r="O3537" s="93">
        <v>45878.568414351852</v>
      </c>
    </row>
    <row r="3538" spans="1:15" ht="22.5" customHeight="1">
      <c r="A3538" s="85">
        <v>174904221976312</v>
      </c>
      <c r="B3538" s="82" t="s">
        <v>10651</v>
      </c>
      <c r="C3538" s="82" t="s">
        <v>11766</v>
      </c>
      <c r="D3538" s="82" t="s">
        <v>11767</v>
      </c>
      <c r="E3538" s="82">
        <v>6281225101319</v>
      </c>
      <c r="F3538" s="94">
        <v>45877</v>
      </c>
      <c r="G3538" s="87">
        <v>334</v>
      </c>
      <c r="H3538" s="88">
        <v>36129.770992366408</v>
      </c>
      <c r="I3538" s="89">
        <v>19</v>
      </c>
      <c r="J3538" s="90">
        <v>14199</v>
      </c>
      <c r="K3538" s="85">
        <v>2</v>
      </c>
      <c r="L3538" s="85">
        <v>7</v>
      </c>
      <c r="M3538" s="85">
        <v>1</v>
      </c>
      <c r="N3538" s="82" t="s">
        <v>11768</v>
      </c>
      <c r="O3538" s="93">
        <v>45878.485069444447</v>
      </c>
    </row>
    <row r="3539" spans="1:15" ht="22.5" customHeight="1">
      <c r="A3539" s="85">
        <v>174904221976312</v>
      </c>
      <c r="B3539" s="82" t="s">
        <v>10651</v>
      </c>
      <c r="C3539" s="82" t="s">
        <v>11769</v>
      </c>
      <c r="D3539" s="82" t="s">
        <v>3610</v>
      </c>
      <c r="E3539" s="82">
        <v>6285821233475</v>
      </c>
      <c r="F3539" s="94">
        <v>45877</v>
      </c>
      <c r="G3539" s="87">
        <v>1474</v>
      </c>
      <c r="H3539" s="88">
        <v>8608.8270858524793</v>
      </c>
      <c r="I3539" s="89">
        <v>81</v>
      </c>
      <c r="J3539" s="90">
        <v>14239</v>
      </c>
      <c r="K3539" s="85">
        <v>9</v>
      </c>
      <c r="L3539" s="85">
        <v>528</v>
      </c>
      <c r="M3539" s="85">
        <v>1</v>
      </c>
      <c r="N3539" s="82" t="s">
        <v>11770</v>
      </c>
      <c r="O3539" s="93">
        <v>45878.526689814818</v>
      </c>
    </row>
    <row r="3540" spans="1:15" ht="22.5" customHeight="1">
      <c r="A3540" s="85">
        <v>174904221976312</v>
      </c>
      <c r="B3540" s="82" t="s">
        <v>10651</v>
      </c>
      <c r="C3540" s="82" t="s">
        <v>11771</v>
      </c>
      <c r="D3540" s="82" t="s">
        <v>11772</v>
      </c>
      <c r="E3540" s="82">
        <v>6281238115957</v>
      </c>
      <c r="F3540" s="94">
        <v>45877</v>
      </c>
      <c r="G3540" s="87">
        <v>209</v>
      </c>
      <c r="H3540" s="88">
        <v>45178.030303030304</v>
      </c>
      <c r="I3540" s="89">
        <v>8</v>
      </c>
      <c r="J3540" s="90">
        <v>11927</v>
      </c>
      <c r="K3540" s="85">
        <v>0</v>
      </c>
      <c r="L3540" s="85">
        <v>0</v>
      </c>
      <c r="M3540" s="85">
        <v>0</v>
      </c>
      <c r="N3540" s="82" t="s">
        <v>11773</v>
      </c>
      <c r="O3540" s="93">
        <v>45878.422442129631</v>
      </c>
    </row>
    <row r="3541" spans="1:15" ht="22.5" customHeight="1">
      <c r="A3541" s="85">
        <v>174904221976312</v>
      </c>
      <c r="B3541" s="82" t="s">
        <v>10651</v>
      </c>
      <c r="C3541" s="82" t="s">
        <v>11774</v>
      </c>
      <c r="D3541" s="82" t="s">
        <v>11775</v>
      </c>
      <c r="E3541" s="82">
        <v>6281363504410</v>
      </c>
      <c r="F3541" s="94">
        <v>45877</v>
      </c>
      <c r="G3541" s="87">
        <v>122</v>
      </c>
      <c r="H3541" s="88">
        <v>103715.32846715329</v>
      </c>
      <c r="I3541" s="89">
        <v>14</v>
      </c>
      <c r="J3541" s="90">
        <v>14209</v>
      </c>
      <c r="K3541" s="85">
        <v>4</v>
      </c>
      <c r="L3541" s="85">
        <v>0</v>
      </c>
      <c r="M3541" s="85">
        <v>0</v>
      </c>
      <c r="N3541" s="82" t="s">
        <v>11776</v>
      </c>
      <c r="O3541" s="93">
        <v>45878.443576388891</v>
      </c>
    </row>
    <row r="3542" spans="1:15" ht="22.5" customHeight="1">
      <c r="A3542" s="85">
        <v>174904221976312</v>
      </c>
      <c r="B3542" s="82" t="s">
        <v>10651</v>
      </c>
      <c r="C3542" s="82" t="s">
        <v>11777</v>
      </c>
      <c r="D3542" s="82" t="s">
        <v>11778</v>
      </c>
      <c r="E3542" s="82">
        <v>6281374844270</v>
      </c>
      <c r="F3542" s="94">
        <v>45877</v>
      </c>
      <c r="G3542" s="87">
        <v>438</v>
      </c>
      <c r="H3542" s="88">
        <v>28315.476190476191</v>
      </c>
      <c r="I3542" s="89">
        <v>13</v>
      </c>
      <c r="J3542" s="90">
        <v>14271</v>
      </c>
      <c r="K3542" s="85">
        <v>0</v>
      </c>
      <c r="L3542" s="85">
        <v>179</v>
      </c>
      <c r="M3542" s="85">
        <v>0</v>
      </c>
      <c r="N3542" s="82" t="s">
        <v>11779</v>
      </c>
      <c r="O3542" s="93">
        <v>45878.568414351852</v>
      </c>
    </row>
    <row r="3543" spans="1:15" ht="22.5" customHeight="1">
      <c r="A3543" s="85">
        <v>174904221976312</v>
      </c>
      <c r="B3543" s="82" t="s">
        <v>10651</v>
      </c>
      <c r="C3543" s="82" t="s">
        <v>11780</v>
      </c>
      <c r="D3543" s="82" t="s">
        <v>11781</v>
      </c>
      <c r="E3543" s="82">
        <v>6282129364133</v>
      </c>
      <c r="F3543" s="94">
        <v>45877</v>
      </c>
      <c r="G3543" s="87">
        <v>330</v>
      </c>
      <c r="H3543" s="88">
        <v>30362.811791383217</v>
      </c>
      <c r="I3543" s="89">
        <v>8</v>
      </c>
      <c r="J3543" s="90">
        <v>13390</v>
      </c>
      <c r="K3543" s="85">
        <v>1</v>
      </c>
      <c r="L3543" s="85">
        <v>0</v>
      </c>
      <c r="M3543" s="85">
        <v>0</v>
      </c>
      <c r="N3543" s="82" t="s">
        <v>11782</v>
      </c>
      <c r="O3543" s="93">
        <v>45878.505636574075</v>
      </c>
    </row>
    <row r="3544" spans="1:15" ht="22.5" customHeight="1">
      <c r="A3544" s="85">
        <v>174904221976312</v>
      </c>
      <c r="B3544" s="82" t="s">
        <v>10651</v>
      </c>
      <c r="C3544" s="82" t="s">
        <v>11783</v>
      </c>
      <c r="D3544" s="82" t="s">
        <v>3600</v>
      </c>
      <c r="E3544" s="82">
        <v>6285241858483</v>
      </c>
      <c r="F3544" s="94">
        <v>45877</v>
      </c>
      <c r="G3544" s="87">
        <v>900</v>
      </c>
      <c r="H3544" s="88">
        <v>14027.992277992278</v>
      </c>
      <c r="I3544" s="89">
        <v>24</v>
      </c>
      <c r="J3544" s="90">
        <v>14533</v>
      </c>
      <c r="K3544" s="85">
        <v>2</v>
      </c>
      <c r="L3544" s="85">
        <v>281</v>
      </c>
      <c r="M3544" s="85">
        <v>0</v>
      </c>
      <c r="N3544" s="82" t="s">
        <v>11784</v>
      </c>
      <c r="O3544" s="93">
        <v>45878.422442129631</v>
      </c>
    </row>
    <row r="3545" spans="1:15" ht="22.5" customHeight="1">
      <c r="A3545" s="85">
        <v>174904221976312</v>
      </c>
      <c r="B3545" s="82" t="s">
        <v>10651</v>
      </c>
      <c r="C3545" s="82" t="s">
        <v>11785</v>
      </c>
      <c r="D3545" s="82" t="s">
        <v>11786</v>
      </c>
      <c r="E3545" s="82">
        <v>628557182563</v>
      </c>
      <c r="F3545" s="94">
        <v>45877</v>
      </c>
      <c r="G3545" s="87">
        <v>403</v>
      </c>
      <c r="H3545" s="88">
        <v>27412.0082815735</v>
      </c>
      <c r="I3545" s="89">
        <v>12</v>
      </c>
      <c r="J3545" s="90">
        <v>13240</v>
      </c>
      <c r="K3545" s="85">
        <v>2</v>
      </c>
      <c r="L3545" s="85">
        <v>2</v>
      </c>
      <c r="M3545" s="85">
        <v>0</v>
      </c>
      <c r="N3545" s="82" t="s">
        <v>11787</v>
      </c>
      <c r="O3545" s="93">
        <v>45878.485439814816</v>
      </c>
    </row>
    <row r="3546" spans="1:15" ht="22.5" customHeight="1">
      <c r="A3546" s="85">
        <v>174904221976312</v>
      </c>
      <c r="B3546" s="82" t="s">
        <v>10651</v>
      </c>
      <c r="C3546" s="82" t="s">
        <v>11788</v>
      </c>
      <c r="D3546" s="82" t="s">
        <v>11789</v>
      </c>
      <c r="E3546" s="82">
        <v>6287751970643</v>
      </c>
      <c r="F3546" s="94">
        <v>45877</v>
      </c>
      <c r="G3546" s="87">
        <v>194</v>
      </c>
      <c r="H3546" s="88">
        <v>52424.390243902439</v>
      </c>
      <c r="I3546" s="89">
        <v>3</v>
      </c>
      <c r="J3546" s="90">
        <v>10747</v>
      </c>
      <c r="K3546" s="85">
        <v>0</v>
      </c>
      <c r="L3546" s="85">
        <v>70</v>
      </c>
      <c r="M3546" s="85">
        <v>0</v>
      </c>
      <c r="N3546" s="82" t="s">
        <v>11790</v>
      </c>
      <c r="O3546" s="93">
        <v>45878.588923611111</v>
      </c>
    </row>
    <row r="3547" spans="1:15" ht="22.5" customHeight="1">
      <c r="A3547" s="85">
        <v>174904221976312</v>
      </c>
      <c r="B3547" s="82" t="s">
        <v>10651</v>
      </c>
      <c r="C3547" s="82" t="s">
        <v>11737</v>
      </c>
      <c r="D3547" s="82" t="s">
        <v>11738</v>
      </c>
      <c r="E3547" s="82">
        <v>6282241824727</v>
      </c>
      <c r="F3547" s="94">
        <v>45877</v>
      </c>
      <c r="G3547" s="87">
        <v>124</v>
      </c>
      <c r="H3547" s="88">
        <v>88340.579710144928</v>
      </c>
      <c r="I3547" s="89">
        <v>7</v>
      </c>
      <c r="J3547" s="90">
        <v>12191</v>
      </c>
      <c r="K3547" s="85">
        <v>1</v>
      </c>
      <c r="L3547" s="85">
        <v>0</v>
      </c>
      <c r="M3547" s="85">
        <v>0</v>
      </c>
      <c r="N3547" s="82" t="s">
        <v>11739</v>
      </c>
      <c r="O3547" s="93">
        <v>45878.218819444446</v>
      </c>
    </row>
    <row r="3548" spans="1:15" ht="22.5" customHeight="1">
      <c r="A3548" s="85">
        <v>174904221976312</v>
      </c>
      <c r="B3548" s="82" t="s">
        <v>10651</v>
      </c>
      <c r="C3548" s="82" t="s">
        <v>11740</v>
      </c>
      <c r="D3548" s="82" t="s">
        <v>3562</v>
      </c>
      <c r="E3548" s="82">
        <v>6281558225822</v>
      </c>
      <c r="F3548" s="94">
        <v>45877</v>
      </c>
      <c r="G3548" s="87">
        <v>162</v>
      </c>
      <c r="H3548" s="88">
        <v>73440.677966101692</v>
      </c>
      <c r="I3548" s="89">
        <v>7</v>
      </c>
      <c r="J3548" s="90">
        <v>12999</v>
      </c>
      <c r="K3548" s="85">
        <v>2</v>
      </c>
      <c r="L3548" s="85">
        <v>40</v>
      </c>
      <c r="M3548" s="85">
        <v>0</v>
      </c>
      <c r="N3548" s="82" t="s">
        <v>11741</v>
      </c>
      <c r="O3548" s="93">
        <v>45878.505648148152</v>
      </c>
    </row>
    <row r="3549" spans="1:15" ht="22.5" customHeight="1">
      <c r="A3549" s="85">
        <v>174904221976312</v>
      </c>
      <c r="B3549" s="82" t="s">
        <v>10651</v>
      </c>
      <c r="C3549" s="82" t="s">
        <v>11742</v>
      </c>
      <c r="D3549" s="82" t="s">
        <v>9010</v>
      </c>
      <c r="E3549" s="82">
        <v>6285244535934</v>
      </c>
      <c r="F3549" s="94">
        <v>45877</v>
      </c>
      <c r="G3549" s="87">
        <v>966</v>
      </c>
      <c r="H3549" s="88">
        <v>12435.456110154906</v>
      </c>
      <c r="I3549" s="89">
        <v>48</v>
      </c>
      <c r="J3549" s="90">
        <v>14450</v>
      </c>
      <c r="K3549" s="85">
        <v>5</v>
      </c>
      <c r="L3549" s="85">
        <v>380</v>
      </c>
      <c r="M3549" s="85">
        <v>0</v>
      </c>
      <c r="N3549" s="82" t="s">
        <v>11743</v>
      </c>
      <c r="O3549" s="93">
        <v>45878.218807870369</v>
      </c>
    </row>
    <row r="3550" spans="1:15" ht="22.5" customHeight="1">
      <c r="A3550" s="85">
        <v>174904221976312</v>
      </c>
      <c r="B3550" s="82" t="s">
        <v>10651</v>
      </c>
      <c r="C3550" s="82" t="s">
        <v>11744</v>
      </c>
      <c r="D3550" s="82" t="s">
        <v>11745</v>
      </c>
      <c r="E3550" s="82">
        <v>6287721853921</v>
      </c>
      <c r="F3550" s="94">
        <v>45877</v>
      </c>
      <c r="G3550" s="87">
        <v>1086</v>
      </c>
      <c r="H3550" s="88">
        <v>9565.217391304348</v>
      </c>
      <c r="I3550" s="89">
        <v>30</v>
      </c>
      <c r="J3550" s="90">
        <v>12100</v>
      </c>
      <c r="K3550" s="85">
        <v>1</v>
      </c>
      <c r="L3550" s="85">
        <v>22</v>
      </c>
      <c r="M3550" s="85">
        <v>0</v>
      </c>
      <c r="N3550" s="82" t="s">
        <v>11746</v>
      </c>
      <c r="O3550" s="93">
        <v>45878.505648148152</v>
      </c>
    </row>
    <row r="3551" spans="1:15" ht="22.5" customHeight="1">
      <c r="A3551" s="85">
        <v>174904221976312</v>
      </c>
      <c r="B3551" s="82" t="s">
        <v>10651</v>
      </c>
      <c r="C3551" s="82" t="s">
        <v>11747</v>
      </c>
      <c r="D3551" s="82" t="s">
        <v>11748</v>
      </c>
      <c r="E3551" s="82">
        <v>6285378141823</v>
      </c>
      <c r="F3551" s="94">
        <v>45877</v>
      </c>
      <c r="G3551" s="87">
        <v>513</v>
      </c>
      <c r="H3551" s="88">
        <v>20329.323308270676</v>
      </c>
      <c r="I3551" s="89">
        <v>7</v>
      </c>
      <c r="J3551" s="90">
        <v>13519</v>
      </c>
      <c r="K3551" s="85">
        <v>0</v>
      </c>
      <c r="L3551" s="85">
        <v>0</v>
      </c>
      <c r="M3551" s="85">
        <v>0</v>
      </c>
      <c r="N3551" s="82" t="s">
        <v>11749</v>
      </c>
      <c r="O3551" s="93">
        <v>45878.218819444446</v>
      </c>
    </row>
    <row r="3552" spans="1:15" ht="22.5" customHeight="1">
      <c r="A3552" s="85">
        <v>174904221976312</v>
      </c>
      <c r="B3552" s="82" t="s">
        <v>10651</v>
      </c>
      <c r="C3552" s="82" t="s">
        <v>11750</v>
      </c>
      <c r="D3552" s="82" t="s">
        <v>3460</v>
      </c>
      <c r="E3552" s="82">
        <v>6283865096870</v>
      </c>
      <c r="F3552" s="94">
        <v>45877</v>
      </c>
      <c r="G3552" s="87">
        <v>822</v>
      </c>
      <c r="H3552" s="88">
        <v>12324.607329842933</v>
      </c>
      <c r="I3552" s="89">
        <v>19</v>
      </c>
      <c r="J3552" s="90">
        <v>11770</v>
      </c>
      <c r="K3552" s="85">
        <v>1</v>
      </c>
      <c r="L3552" s="85">
        <v>2</v>
      </c>
      <c r="M3552" s="85">
        <v>0</v>
      </c>
      <c r="N3552" s="82" t="s">
        <v>11751</v>
      </c>
      <c r="O3552" s="93">
        <v>45878.218819444446</v>
      </c>
    </row>
    <row r="3553" spans="1:15" ht="22.5" customHeight="1">
      <c r="A3553" s="85">
        <v>174904221976312</v>
      </c>
      <c r="B3553" s="82" t="s">
        <v>10651</v>
      </c>
      <c r="C3553" s="82" t="s">
        <v>11752</v>
      </c>
      <c r="D3553" s="82" t="s">
        <v>11753</v>
      </c>
      <c r="E3553" s="82">
        <v>6281326757091</v>
      </c>
      <c r="F3553" s="94">
        <v>45877</v>
      </c>
      <c r="G3553" s="87">
        <v>1003</v>
      </c>
      <c r="H3553" s="88">
        <v>11869.565217391304</v>
      </c>
      <c r="I3553" s="89">
        <v>90</v>
      </c>
      <c r="J3553" s="90">
        <v>13923</v>
      </c>
      <c r="K3553" s="85">
        <v>7</v>
      </c>
      <c r="L3553" s="85">
        <v>354</v>
      </c>
      <c r="M3553" s="85">
        <v>1</v>
      </c>
      <c r="N3553" s="82" t="s">
        <v>11754</v>
      </c>
      <c r="O3553" s="93">
        <v>45878.218819444446</v>
      </c>
    </row>
    <row r="3554" spans="1:15" ht="22.5" customHeight="1">
      <c r="A3554" s="85">
        <v>174904221976312</v>
      </c>
      <c r="B3554" s="82" t="s">
        <v>10651</v>
      </c>
      <c r="C3554" s="82" t="s">
        <v>11755</v>
      </c>
      <c r="D3554" s="82" t="s">
        <v>11756</v>
      </c>
      <c r="E3554" s="82">
        <v>6281357754513</v>
      </c>
      <c r="F3554" s="94">
        <v>45877</v>
      </c>
      <c r="G3554" s="87">
        <v>616</v>
      </c>
      <c r="H3554" s="88">
        <v>20557.18475073314</v>
      </c>
      <c r="I3554" s="89">
        <v>18</v>
      </c>
      <c r="J3554" s="90">
        <v>14020</v>
      </c>
      <c r="K3554" s="85">
        <v>3</v>
      </c>
      <c r="L3554" s="85">
        <v>225</v>
      </c>
      <c r="M3554" s="85">
        <v>0</v>
      </c>
      <c r="N3554" s="82" t="s">
        <v>11757</v>
      </c>
      <c r="O3554" s="93">
        <v>45878.443564814814</v>
      </c>
    </row>
    <row r="3555" spans="1:15" ht="22.5" customHeight="1">
      <c r="A3555" s="85">
        <v>174904221976312</v>
      </c>
      <c r="B3555" s="82" t="s">
        <v>10651</v>
      </c>
      <c r="C3555" s="82" t="s">
        <v>11758</v>
      </c>
      <c r="D3555" s="82" t="s">
        <v>11759</v>
      </c>
      <c r="E3555" s="82">
        <v>6285946504405</v>
      </c>
      <c r="F3555" s="94">
        <v>45877</v>
      </c>
      <c r="G3555" s="87">
        <v>444</v>
      </c>
      <c r="H3555" s="88">
        <v>23955.47309833024</v>
      </c>
      <c r="I3555" s="89">
        <v>22</v>
      </c>
      <c r="J3555" s="90">
        <v>12912</v>
      </c>
      <c r="K3555" s="85">
        <v>4</v>
      </c>
      <c r="L3555" s="85">
        <v>192</v>
      </c>
      <c r="M3555" s="85">
        <v>0</v>
      </c>
      <c r="N3555" s="82" t="s">
        <v>11760</v>
      </c>
      <c r="O3555" s="93">
        <v>45878.218831018516</v>
      </c>
    </row>
    <row r="3556" spans="1:15" ht="22.5" customHeight="1">
      <c r="A3556" s="85">
        <v>174904221976312</v>
      </c>
      <c r="B3556" s="82" t="s">
        <v>10651</v>
      </c>
      <c r="C3556" s="82" t="s">
        <v>11761</v>
      </c>
      <c r="D3556" s="82" t="s">
        <v>3438</v>
      </c>
      <c r="E3556" s="82">
        <v>628154336558</v>
      </c>
      <c r="F3556" s="94">
        <v>45877</v>
      </c>
      <c r="G3556" s="87">
        <v>2252</v>
      </c>
      <c r="H3556" s="88">
        <v>5488.4092725819346</v>
      </c>
      <c r="I3556" s="89">
        <v>138</v>
      </c>
      <c r="J3556" s="90">
        <v>13732</v>
      </c>
      <c r="K3556" s="85">
        <v>9</v>
      </c>
      <c r="L3556" s="85">
        <v>1114</v>
      </c>
      <c r="M3556" s="85">
        <v>1</v>
      </c>
      <c r="N3556" s="82" t="s">
        <v>11762</v>
      </c>
      <c r="O3556" s="93">
        <v>45878.588923611111</v>
      </c>
    </row>
    <row r="3557" spans="1:15" ht="22.5" customHeight="1">
      <c r="A3557" s="85">
        <v>174904221976312</v>
      </c>
      <c r="B3557" s="82" t="s">
        <v>10651</v>
      </c>
      <c r="C3557" s="82" t="s">
        <v>11763</v>
      </c>
      <c r="D3557" s="82" t="s">
        <v>11764</v>
      </c>
      <c r="E3557" s="82">
        <v>6282384544939</v>
      </c>
      <c r="F3557" s="94">
        <v>45877</v>
      </c>
      <c r="G3557" s="87">
        <v>671</v>
      </c>
      <c r="H3557" s="88">
        <v>16819.973718791065</v>
      </c>
      <c r="I3557" s="89">
        <v>9</v>
      </c>
      <c r="J3557" s="90">
        <v>12800</v>
      </c>
      <c r="K3557" s="85">
        <v>1</v>
      </c>
      <c r="L3557" s="85">
        <v>210</v>
      </c>
      <c r="M3557" s="85">
        <v>0</v>
      </c>
      <c r="N3557" s="82" t="s">
        <v>11765</v>
      </c>
      <c r="O3557" s="93">
        <v>45878.48541666667</v>
      </c>
    </row>
    <row r="3558" spans="1:15" ht="22.5" customHeight="1">
      <c r="A3558" s="85">
        <v>174904221976312</v>
      </c>
      <c r="B3558" s="82" t="s">
        <v>10651</v>
      </c>
      <c r="C3558" s="82" t="s">
        <v>11726</v>
      </c>
      <c r="D3558" s="82" t="s">
        <v>3291</v>
      </c>
      <c r="E3558" s="82">
        <v>6285691146546</v>
      </c>
      <c r="F3558" s="94">
        <v>45877</v>
      </c>
      <c r="G3558" s="87">
        <v>612</v>
      </c>
      <c r="H3558" s="88">
        <v>21368.67088607595</v>
      </c>
      <c r="I3558" s="89">
        <v>25</v>
      </c>
      <c r="J3558" s="90">
        <v>13505</v>
      </c>
      <c r="K3558" s="85">
        <v>7</v>
      </c>
      <c r="L3558" s="85">
        <v>278</v>
      </c>
      <c r="M3558" s="85">
        <v>0</v>
      </c>
      <c r="N3558" s="82" t="s">
        <v>11727</v>
      </c>
      <c r="O3558" s="93">
        <v>45878.5471412037</v>
      </c>
    </row>
    <row r="3559" spans="1:15" ht="22.5" customHeight="1">
      <c r="A3559" s="85">
        <v>174904221976312</v>
      </c>
      <c r="B3559" s="82" t="s">
        <v>10651</v>
      </c>
      <c r="C3559" s="82" t="s">
        <v>11728</v>
      </c>
      <c r="D3559" s="82" t="s">
        <v>11729</v>
      </c>
      <c r="E3559" s="82">
        <v>628122703083</v>
      </c>
      <c r="F3559" s="94">
        <v>45877</v>
      </c>
      <c r="G3559" s="87">
        <v>213</v>
      </c>
      <c r="H3559" s="88">
        <v>48173.38709677419</v>
      </c>
      <c r="I3559" s="89">
        <v>12</v>
      </c>
      <c r="J3559" s="90">
        <v>11947</v>
      </c>
      <c r="K3559" s="85">
        <v>1</v>
      </c>
      <c r="L3559" s="85">
        <v>10</v>
      </c>
      <c r="M3559" s="85">
        <v>0</v>
      </c>
      <c r="N3559" s="82" t="s">
        <v>11730</v>
      </c>
      <c r="O3559" s="93">
        <v>45878.463703703703</v>
      </c>
    </row>
    <row r="3560" spans="1:15" ht="22.5" customHeight="1">
      <c r="A3560" s="85">
        <v>174904221976312</v>
      </c>
      <c r="B3560" s="82" t="s">
        <v>10651</v>
      </c>
      <c r="C3560" s="82" t="s">
        <v>11731</v>
      </c>
      <c r="D3560" s="82" t="s">
        <v>3465</v>
      </c>
      <c r="E3560" s="82">
        <v>6285920572002</v>
      </c>
      <c r="F3560" s="94">
        <v>45877</v>
      </c>
      <c r="G3560" s="87">
        <v>478</v>
      </c>
      <c r="H3560" s="88">
        <v>25184.557438794727</v>
      </c>
      <c r="I3560" s="89">
        <v>20</v>
      </c>
      <c r="J3560" s="90">
        <v>13373</v>
      </c>
      <c r="K3560" s="85">
        <v>6</v>
      </c>
      <c r="L3560" s="85">
        <v>179</v>
      </c>
      <c r="M3560" s="85">
        <v>0</v>
      </c>
      <c r="N3560" s="82" t="s">
        <v>11732</v>
      </c>
      <c r="O3560" s="93">
        <v>45878.46371527778</v>
      </c>
    </row>
    <row r="3561" spans="1:15" ht="22.5" customHeight="1">
      <c r="A3561" s="85">
        <v>174904221976312</v>
      </c>
      <c r="B3561" s="82" t="s">
        <v>10651</v>
      </c>
      <c r="C3561" s="82" t="s">
        <v>11708</v>
      </c>
      <c r="D3561" s="82" t="s">
        <v>11709</v>
      </c>
      <c r="E3561" s="82">
        <v>6285294617773</v>
      </c>
      <c r="F3561" s="94">
        <v>45877</v>
      </c>
      <c r="G3561" s="87">
        <v>223</v>
      </c>
      <c r="H3561" s="88">
        <v>53746.9387755102</v>
      </c>
      <c r="I3561" s="89">
        <v>17</v>
      </c>
      <c r="J3561" s="90">
        <v>13168</v>
      </c>
      <c r="K3561" s="85">
        <v>3</v>
      </c>
      <c r="L3561" s="85">
        <v>0</v>
      </c>
      <c r="M3561" s="85">
        <v>0</v>
      </c>
      <c r="N3561" s="82" t="s">
        <v>11710</v>
      </c>
      <c r="O3561" s="93">
        <v>45878.609907407408</v>
      </c>
    </row>
    <row r="3562" spans="1:15" ht="22.5" customHeight="1">
      <c r="A3562" s="85">
        <v>174904221976312</v>
      </c>
      <c r="B3562" s="82" t="s">
        <v>10651</v>
      </c>
      <c r="C3562" s="82" t="s">
        <v>11711</v>
      </c>
      <c r="D3562" s="82" t="s">
        <v>11712</v>
      </c>
      <c r="E3562" s="82">
        <v>6285286258400</v>
      </c>
      <c r="F3562" s="94">
        <v>45877</v>
      </c>
      <c r="G3562" s="87">
        <v>305</v>
      </c>
      <c r="H3562" s="88">
        <v>36758.530183727031</v>
      </c>
      <c r="I3562" s="89">
        <v>15</v>
      </c>
      <c r="J3562" s="90">
        <v>14005</v>
      </c>
      <c r="K3562" s="85">
        <v>2</v>
      </c>
      <c r="L3562" s="85">
        <v>64</v>
      </c>
      <c r="M3562" s="85">
        <v>0</v>
      </c>
      <c r="N3562" s="82" t="s">
        <v>11713</v>
      </c>
      <c r="O3562" s="93">
        <v>45878.505648148152</v>
      </c>
    </row>
    <row r="3563" spans="1:15" ht="22.5" customHeight="1">
      <c r="A3563" s="85">
        <v>174904221976312</v>
      </c>
      <c r="B3563" s="82" t="s">
        <v>10651</v>
      </c>
      <c r="C3563" s="82" t="s">
        <v>11663</v>
      </c>
      <c r="D3563" s="82" t="s">
        <v>11664</v>
      </c>
      <c r="E3563" s="82">
        <v>628123264621</v>
      </c>
      <c r="F3563" s="94">
        <v>45877</v>
      </c>
      <c r="G3563" s="87">
        <v>754</v>
      </c>
      <c r="H3563" s="88">
        <v>14606.846473029047</v>
      </c>
      <c r="I3563" s="89">
        <v>40</v>
      </c>
      <c r="J3563" s="90">
        <v>14081</v>
      </c>
      <c r="K3563" s="85">
        <v>5</v>
      </c>
      <c r="L3563" s="85">
        <v>28</v>
      </c>
      <c r="M3563" s="85">
        <v>2</v>
      </c>
      <c r="N3563" s="82" t="s">
        <v>11665</v>
      </c>
      <c r="O3563" s="93">
        <v>45878.526712962965</v>
      </c>
    </row>
    <row r="3564" spans="1:15" ht="22.5" customHeight="1">
      <c r="A3564" s="85">
        <v>174904221976312</v>
      </c>
      <c r="B3564" s="82" t="s">
        <v>10651</v>
      </c>
      <c r="C3564" s="82" t="s">
        <v>11641</v>
      </c>
      <c r="D3564" s="82" t="s">
        <v>3229</v>
      </c>
      <c r="E3564" s="82">
        <v>6287865111033</v>
      </c>
      <c r="F3564" s="94">
        <v>45877</v>
      </c>
      <c r="G3564" s="87">
        <v>1586</v>
      </c>
      <c r="H3564" s="88">
        <v>7483.6779107725797</v>
      </c>
      <c r="I3564" s="89">
        <v>23</v>
      </c>
      <c r="J3564" s="90">
        <v>13755</v>
      </c>
      <c r="K3564" s="85">
        <v>2</v>
      </c>
      <c r="L3564" s="85">
        <v>0</v>
      </c>
      <c r="M3564" s="85">
        <v>0</v>
      </c>
      <c r="N3564" s="82" t="s">
        <v>11642</v>
      </c>
      <c r="O3564" s="93">
        <v>45878.218819444446</v>
      </c>
    </row>
    <row r="3565" spans="1:15" ht="22.5" customHeight="1">
      <c r="A3565" s="85">
        <v>174904221976312</v>
      </c>
      <c r="B3565" s="82" t="s">
        <v>10651</v>
      </c>
      <c r="C3565" s="82" t="s">
        <v>11580</v>
      </c>
      <c r="D3565" s="82" t="s">
        <v>11581</v>
      </c>
      <c r="E3565" s="82">
        <v>6287790276733</v>
      </c>
      <c r="F3565" s="94">
        <v>45877</v>
      </c>
      <c r="G3565" s="87">
        <v>425</v>
      </c>
      <c r="H3565" s="88">
        <v>29714.574898785424</v>
      </c>
      <c r="I3565" s="89">
        <v>21</v>
      </c>
      <c r="J3565" s="90">
        <v>14679</v>
      </c>
      <c r="K3565" s="85">
        <v>5</v>
      </c>
      <c r="L3565" s="85">
        <v>0</v>
      </c>
      <c r="M3565" s="85">
        <v>1</v>
      </c>
      <c r="N3565" s="82" t="s">
        <v>11582</v>
      </c>
      <c r="O3565" s="93">
        <v>45878.526678240742</v>
      </c>
    </row>
    <row r="3566" spans="1:15" ht="22.5" customHeight="1">
      <c r="A3566" s="85">
        <v>174904221976312</v>
      </c>
      <c r="B3566" s="82" t="s">
        <v>10651</v>
      </c>
      <c r="C3566" s="82" t="s">
        <v>11559</v>
      </c>
      <c r="D3566" s="82" t="s">
        <v>11560</v>
      </c>
      <c r="E3566" s="82">
        <v>6282333203355</v>
      </c>
      <c r="F3566" s="94">
        <v>45877</v>
      </c>
      <c r="G3566" s="87">
        <v>164</v>
      </c>
      <c r="H3566" s="88">
        <v>81921.348314606745</v>
      </c>
      <c r="I3566" s="89">
        <v>4</v>
      </c>
      <c r="J3566" s="90">
        <v>14582</v>
      </c>
      <c r="K3566" s="85">
        <v>0</v>
      </c>
      <c r="L3566" s="85">
        <v>67</v>
      </c>
      <c r="M3566" s="85">
        <v>0</v>
      </c>
      <c r="N3566" s="82" t="s">
        <v>11561</v>
      </c>
      <c r="O3566" s="93">
        <v>45878.218819444446</v>
      </c>
    </row>
    <row r="3567" spans="1:15" ht="22.5" customHeight="1">
      <c r="A3567" s="85">
        <v>174904221976312</v>
      </c>
      <c r="B3567" s="82" t="s">
        <v>10651</v>
      </c>
      <c r="C3567" s="82" t="s">
        <v>11535</v>
      </c>
      <c r="D3567" s="82" t="s">
        <v>2969</v>
      </c>
      <c r="E3567" s="82">
        <v>6281286402030</v>
      </c>
      <c r="F3567" s="94">
        <v>45877</v>
      </c>
      <c r="G3567" s="87">
        <v>239</v>
      </c>
      <c r="H3567" s="88">
        <v>45409.836065573771</v>
      </c>
      <c r="I3567" s="89">
        <v>3</v>
      </c>
      <c r="J3567" s="90">
        <v>13850</v>
      </c>
      <c r="K3567" s="85">
        <v>0</v>
      </c>
      <c r="L3567" s="85">
        <v>123</v>
      </c>
      <c r="M3567" s="85">
        <v>0</v>
      </c>
      <c r="N3567" s="82" t="s">
        <v>11536</v>
      </c>
      <c r="O3567" s="93">
        <v>45878.547152777777</v>
      </c>
    </row>
    <row r="3568" spans="1:15" ht="22.5" customHeight="1">
      <c r="A3568" s="85">
        <v>174904221976312</v>
      </c>
      <c r="B3568" s="82" t="s">
        <v>10651</v>
      </c>
      <c r="C3568" s="82" t="s">
        <v>11494</v>
      </c>
      <c r="D3568" s="82" t="s">
        <v>11495</v>
      </c>
      <c r="E3568" s="82">
        <v>6285645050058</v>
      </c>
      <c r="F3568" s="94">
        <v>45877</v>
      </c>
      <c r="G3568" s="87">
        <v>645</v>
      </c>
      <c r="H3568" s="88">
        <v>16783.882783882786</v>
      </c>
      <c r="I3568" s="89">
        <v>45</v>
      </c>
      <c r="J3568" s="90">
        <v>13746</v>
      </c>
      <c r="K3568" s="85">
        <v>4</v>
      </c>
      <c r="L3568" s="85">
        <v>243</v>
      </c>
      <c r="M3568" s="85">
        <v>0</v>
      </c>
      <c r="N3568" s="82" t="s">
        <v>11496</v>
      </c>
      <c r="O3568" s="93">
        <v>45878.48542824074</v>
      </c>
    </row>
    <row r="3569" spans="1:15" ht="22.5" customHeight="1">
      <c r="A3569" s="85">
        <v>174904221976312</v>
      </c>
      <c r="B3569" s="82" t="s">
        <v>10651</v>
      </c>
      <c r="C3569" s="82" t="s">
        <v>11464</v>
      </c>
      <c r="D3569" s="82" t="s">
        <v>11465</v>
      </c>
      <c r="E3569" s="82">
        <v>62816904358</v>
      </c>
      <c r="F3569" s="94">
        <v>45877</v>
      </c>
      <c r="G3569" s="87">
        <v>259</v>
      </c>
      <c r="H3569" s="88">
        <v>41080.267558528423</v>
      </c>
      <c r="I3569" s="89">
        <v>10</v>
      </c>
      <c r="J3569" s="90">
        <v>12283</v>
      </c>
      <c r="K3569" s="85">
        <v>1</v>
      </c>
      <c r="L3569" s="85">
        <v>1</v>
      </c>
      <c r="M3569" s="85">
        <v>0</v>
      </c>
      <c r="N3569" s="82" t="s">
        <v>11466</v>
      </c>
      <c r="O3569" s="93">
        <v>45878.505798611113</v>
      </c>
    </row>
    <row r="3570" spans="1:15" ht="22.5" customHeight="1">
      <c r="A3570" s="85">
        <v>174904221976312</v>
      </c>
      <c r="B3570" s="82" t="s">
        <v>10651</v>
      </c>
      <c r="C3570" s="82" t="s">
        <v>11446</v>
      </c>
      <c r="D3570" s="82" t="s">
        <v>11447</v>
      </c>
      <c r="E3570" s="82">
        <v>6281999375257</v>
      </c>
      <c r="F3570" s="94">
        <v>45877</v>
      </c>
      <c r="G3570" s="87">
        <v>609</v>
      </c>
      <c r="H3570" s="88">
        <v>17221.794871794871</v>
      </c>
      <c r="I3570" s="89">
        <v>17</v>
      </c>
      <c r="J3570" s="90">
        <v>13433</v>
      </c>
      <c r="K3570" s="85">
        <v>1</v>
      </c>
      <c r="L3570" s="85">
        <v>184</v>
      </c>
      <c r="M3570" s="85">
        <v>0</v>
      </c>
      <c r="N3570" s="82" t="s">
        <v>11448</v>
      </c>
      <c r="O3570" s="93">
        <v>45878.218831018516</v>
      </c>
    </row>
    <row r="3571" spans="1:15" ht="22.5" customHeight="1">
      <c r="A3571" s="85">
        <v>174904221976312</v>
      </c>
      <c r="B3571" s="82" t="s">
        <v>10651</v>
      </c>
      <c r="C3571" s="82" t="s">
        <v>11396</v>
      </c>
      <c r="D3571" s="82" t="s">
        <v>11397</v>
      </c>
      <c r="E3571" s="82">
        <v>6285789446955</v>
      </c>
      <c r="F3571" s="94">
        <v>45877</v>
      </c>
      <c r="G3571" s="87">
        <v>753</v>
      </c>
      <c r="H3571" s="88">
        <v>15158.765159867695</v>
      </c>
      <c r="I3571" s="89">
        <v>14</v>
      </c>
      <c r="J3571" s="90">
        <v>13749</v>
      </c>
      <c r="K3571" s="85">
        <v>2</v>
      </c>
      <c r="L3571" s="85">
        <v>139</v>
      </c>
      <c r="M3571" s="85">
        <v>0</v>
      </c>
      <c r="N3571" s="82" t="s">
        <v>11398</v>
      </c>
      <c r="O3571" s="93">
        <v>45878.505624999998</v>
      </c>
    </row>
    <row r="3572" spans="1:15" ht="22.5" customHeight="1">
      <c r="A3572" s="85">
        <v>174904221976312</v>
      </c>
      <c r="B3572" s="82" t="s">
        <v>10651</v>
      </c>
      <c r="C3572" s="82" t="s">
        <v>11309</v>
      </c>
      <c r="D3572" s="82" t="s">
        <v>11350</v>
      </c>
      <c r="E3572" s="82">
        <v>6281229745253</v>
      </c>
      <c r="F3572" s="94">
        <v>45877</v>
      </c>
      <c r="G3572" s="87">
        <v>212</v>
      </c>
      <c r="H3572" s="88">
        <v>54352.697095435688</v>
      </c>
      <c r="I3572" s="89">
        <v>2</v>
      </c>
      <c r="J3572" s="90">
        <v>13099</v>
      </c>
      <c r="K3572" s="85">
        <v>1</v>
      </c>
      <c r="L3572" s="85">
        <v>32</v>
      </c>
      <c r="M3572" s="85">
        <v>0</v>
      </c>
      <c r="N3572" s="82" t="s">
        <v>11791</v>
      </c>
      <c r="O3572" s="93">
        <v>45878.46371527778</v>
      </c>
    </row>
    <row r="3573" spans="1:15" ht="22.5" customHeight="1">
      <c r="A3573" s="85">
        <v>174904221976312</v>
      </c>
      <c r="B3573" s="82" t="s">
        <v>10651</v>
      </c>
      <c r="C3573" s="82" t="s">
        <v>11225</v>
      </c>
      <c r="D3573" s="82" t="s">
        <v>11226</v>
      </c>
      <c r="E3573" s="82">
        <v>6281240144744</v>
      </c>
      <c r="F3573" s="94">
        <v>45877</v>
      </c>
      <c r="G3573" s="87">
        <v>1739</v>
      </c>
      <c r="H3573" s="88">
        <v>6502.8063610851259</v>
      </c>
      <c r="I3573" s="89">
        <v>34</v>
      </c>
      <c r="J3573" s="90">
        <v>13903</v>
      </c>
      <c r="K3573" s="85">
        <v>1</v>
      </c>
      <c r="L3573" s="85">
        <v>276</v>
      </c>
      <c r="M3573" s="85">
        <v>0</v>
      </c>
      <c r="N3573" s="82" t="s">
        <v>11227</v>
      </c>
      <c r="O3573" s="93">
        <v>45878.218831018516</v>
      </c>
    </row>
    <row r="3574" spans="1:15" ht="22.5" customHeight="1">
      <c r="A3574" s="85">
        <v>174904221976312</v>
      </c>
      <c r="B3574" s="82" t="s">
        <v>10651</v>
      </c>
      <c r="C3574" s="82" t="s">
        <v>11193</v>
      </c>
      <c r="D3574" s="82" t="s">
        <v>11194</v>
      </c>
      <c r="E3574" s="82">
        <v>6281779578317</v>
      </c>
      <c r="F3574" s="94">
        <v>45877</v>
      </c>
      <c r="G3574" s="87">
        <v>1039</v>
      </c>
      <c r="H3574" s="88">
        <v>10627.546862265688</v>
      </c>
      <c r="I3574" s="89">
        <v>44</v>
      </c>
      <c r="J3574" s="90">
        <v>13040</v>
      </c>
      <c r="K3574" s="85">
        <v>4</v>
      </c>
      <c r="L3574" s="85">
        <v>283</v>
      </c>
      <c r="M3574" s="85">
        <v>0</v>
      </c>
      <c r="N3574" s="82" t="s">
        <v>11195</v>
      </c>
      <c r="O3574" s="93">
        <v>45878.443356481483</v>
      </c>
    </row>
    <row r="3575" spans="1:15" ht="22.5" customHeight="1">
      <c r="A3575" s="85">
        <v>174904221976312</v>
      </c>
      <c r="B3575" s="82" t="s">
        <v>10651</v>
      </c>
      <c r="C3575" s="82" t="s">
        <v>10657</v>
      </c>
      <c r="D3575" s="82" t="s">
        <v>1239</v>
      </c>
      <c r="E3575" s="82">
        <v>6282172291579</v>
      </c>
      <c r="F3575" s="94">
        <v>45877</v>
      </c>
      <c r="G3575" s="87">
        <v>516</v>
      </c>
      <c r="H3575" s="88">
        <v>21706.325301204819</v>
      </c>
      <c r="I3575" s="89">
        <v>41</v>
      </c>
      <c r="J3575" s="90">
        <v>14413</v>
      </c>
      <c r="K3575" s="85">
        <v>4</v>
      </c>
      <c r="L3575" s="85">
        <v>262</v>
      </c>
      <c r="M3575" s="85">
        <v>0</v>
      </c>
      <c r="N3575" s="82" t="s">
        <v>10658</v>
      </c>
      <c r="O3575" s="93">
        <v>45878.526689814818</v>
      </c>
    </row>
    <row r="3576" spans="1:15" ht="22.5" customHeight="1">
      <c r="A3576" s="85">
        <v>766589657993298</v>
      </c>
      <c r="B3576" s="82" t="s">
        <v>10688</v>
      </c>
      <c r="C3576" s="82" t="s">
        <v>11821</v>
      </c>
      <c r="D3576" s="82" t="s">
        <v>3703</v>
      </c>
      <c r="E3576" s="82">
        <v>6283856759344</v>
      </c>
      <c r="F3576" s="94">
        <v>45877</v>
      </c>
      <c r="G3576" s="87">
        <v>569</v>
      </c>
      <c r="H3576" s="88">
        <v>23577.683615819209</v>
      </c>
      <c r="I3576" s="89">
        <v>7</v>
      </c>
      <c r="J3576" s="90">
        <v>16693</v>
      </c>
      <c r="K3576" s="85">
        <v>2</v>
      </c>
      <c r="L3576" s="85">
        <v>181</v>
      </c>
      <c r="M3576" s="85">
        <v>0</v>
      </c>
      <c r="N3576" s="82" t="s">
        <v>11822</v>
      </c>
      <c r="O3576" s="93">
        <v>45878.821064814816</v>
      </c>
    </row>
    <row r="3577" spans="1:15" ht="22.5" customHeight="1">
      <c r="A3577" s="85">
        <v>766589657993298</v>
      </c>
      <c r="B3577" s="82" t="s">
        <v>10688</v>
      </c>
      <c r="C3577" s="82" t="s">
        <v>11823</v>
      </c>
      <c r="D3577" s="82" t="s">
        <v>11489</v>
      </c>
      <c r="E3577" s="82">
        <v>6285888590045</v>
      </c>
      <c r="F3577" s="94">
        <v>45877</v>
      </c>
      <c r="G3577" s="87">
        <v>489</v>
      </c>
      <c r="H3577" s="88">
        <v>26744.18604651163</v>
      </c>
      <c r="I3577" s="89">
        <v>17</v>
      </c>
      <c r="J3577" s="90">
        <v>14950</v>
      </c>
      <c r="K3577" s="85">
        <v>4</v>
      </c>
      <c r="L3577" s="85">
        <v>184</v>
      </c>
      <c r="M3577" s="85">
        <v>0</v>
      </c>
      <c r="N3577" s="82" t="s">
        <v>11824</v>
      </c>
      <c r="O3577" s="93">
        <v>45878.654502314814</v>
      </c>
    </row>
    <row r="3578" spans="1:15" ht="22.5" customHeight="1">
      <c r="A3578" s="85">
        <v>766589657993298</v>
      </c>
      <c r="B3578" s="82" t="s">
        <v>10688</v>
      </c>
      <c r="C3578" s="82" t="s">
        <v>11825</v>
      </c>
      <c r="D3578" s="82" t="s">
        <v>11489</v>
      </c>
      <c r="E3578" s="82">
        <v>6285888590045</v>
      </c>
      <c r="F3578" s="94">
        <v>45877</v>
      </c>
      <c r="G3578" s="87">
        <v>288</v>
      </c>
      <c r="H3578" s="88">
        <v>44818.181818181823</v>
      </c>
      <c r="I3578" s="89">
        <v>12</v>
      </c>
      <c r="J3578" s="90">
        <v>14790</v>
      </c>
      <c r="K3578" s="85">
        <v>1</v>
      </c>
      <c r="L3578" s="85">
        <v>23</v>
      </c>
      <c r="M3578" s="85">
        <v>1</v>
      </c>
      <c r="N3578" s="82" t="s">
        <v>11824</v>
      </c>
      <c r="O3578" s="93">
        <v>45878.695902777778</v>
      </c>
    </row>
    <row r="3579" spans="1:15" ht="22.5" customHeight="1">
      <c r="A3579" s="85">
        <v>766589657993298</v>
      </c>
      <c r="B3579" s="82" t="s">
        <v>10688</v>
      </c>
      <c r="C3579" s="82" t="s">
        <v>11826</v>
      </c>
      <c r="D3579" s="82" t="s">
        <v>11489</v>
      </c>
      <c r="E3579" s="82">
        <v>6285888590045</v>
      </c>
      <c r="F3579" s="94">
        <v>45877</v>
      </c>
      <c r="G3579" s="87">
        <v>290</v>
      </c>
      <c r="H3579" s="88">
        <v>44473.846153846156</v>
      </c>
      <c r="I3579" s="89">
        <v>4</v>
      </c>
      <c r="J3579" s="90">
        <v>14454</v>
      </c>
      <c r="K3579" s="85">
        <v>2</v>
      </c>
      <c r="L3579" s="85">
        <v>34</v>
      </c>
      <c r="M3579" s="85">
        <v>0</v>
      </c>
      <c r="N3579" s="82" t="s">
        <v>11824</v>
      </c>
      <c r="O3579" s="93">
        <v>45878.675358796296</v>
      </c>
    </row>
    <row r="3580" spans="1:15" ht="22.5" customHeight="1">
      <c r="A3580" s="85">
        <v>766589657993298</v>
      </c>
      <c r="B3580" s="82" t="s">
        <v>10688</v>
      </c>
      <c r="C3580" s="82" t="s">
        <v>11827</v>
      </c>
      <c r="D3580" s="82" t="s">
        <v>3650</v>
      </c>
      <c r="E3580" s="82">
        <v>6282130129819</v>
      </c>
      <c r="F3580" s="94">
        <v>45877</v>
      </c>
      <c r="G3580" s="87">
        <v>167</v>
      </c>
      <c r="H3580" s="88">
        <v>79454.054054054053</v>
      </c>
      <c r="I3580" s="89">
        <v>6</v>
      </c>
      <c r="J3580" s="90">
        <v>14699</v>
      </c>
      <c r="K3580" s="85">
        <v>1</v>
      </c>
      <c r="L3580" s="85">
        <v>0</v>
      </c>
      <c r="M3580" s="85">
        <v>0</v>
      </c>
      <c r="N3580" s="82" t="s">
        <v>11828</v>
      </c>
      <c r="O3580" s="93">
        <v>45878.612754629627</v>
      </c>
    </row>
    <row r="3581" spans="1:15" ht="22.5" customHeight="1">
      <c r="A3581" s="85">
        <v>766589657993298</v>
      </c>
      <c r="B3581" s="82" t="s">
        <v>10688</v>
      </c>
      <c r="C3581" s="82" t="s">
        <v>11829</v>
      </c>
      <c r="D3581" s="82" t="s">
        <v>3503</v>
      </c>
      <c r="E3581" s="82">
        <v>6285767074516</v>
      </c>
      <c r="F3581" s="94">
        <v>45877</v>
      </c>
      <c r="G3581" s="87">
        <v>819</v>
      </c>
      <c r="H3581" s="88">
        <v>17505.920344456405</v>
      </c>
      <c r="I3581" s="89">
        <v>26</v>
      </c>
      <c r="J3581" s="90">
        <v>16263</v>
      </c>
      <c r="K3581" s="85">
        <v>3</v>
      </c>
      <c r="L3581" s="85">
        <v>330</v>
      </c>
      <c r="M3581" s="85">
        <v>0</v>
      </c>
      <c r="N3581" s="82" t="s">
        <v>11830</v>
      </c>
      <c r="O3581" s="93">
        <v>45878.571331018517</v>
      </c>
    </row>
    <row r="3582" spans="1:15" ht="22.5" customHeight="1">
      <c r="A3582" s="85">
        <v>766589657993298</v>
      </c>
      <c r="B3582" s="82" t="s">
        <v>10688</v>
      </c>
      <c r="C3582" s="82" t="s">
        <v>11831</v>
      </c>
      <c r="D3582" s="82" t="s">
        <v>11832</v>
      </c>
      <c r="E3582" s="82">
        <v>6289609613105</v>
      </c>
      <c r="F3582" s="94">
        <v>45877</v>
      </c>
      <c r="G3582" s="87">
        <v>436</v>
      </c>
      <c r="H3582" s="88">
        <v>35159.135559921415</v>
      </c>
      <c r="I3582" s="89">
        <v>9</v>
      </c>
      <c r="J3582" s="90">
        <v>17896</v>
      </c>
      <c r="K3582" s="85">
        <v>0</v>
      </c>
      <c r="L3582" s="85">
        <v>128</v>
      </c>
      <c r="M3582" s="85">
        <v>0</v>
      </c>
      <c r="N3582" s="82" t="s">
        <v>11833</v>
      </c>
      <c r="O3582" s="93">
        <v>45878.274780092594</v>
      </c>
    </row>
    <row r="3583" spans="1:15" ht="22.5" customHeight="1">
      <c r="A3583" s="85">
        <v>766589657993298</v>
      </c>
      <c r="B3583" s="82" t="s">
        <v>10688</v>
      </c>
      <c r="C3583" s="82" t="s">
        <v>11834</v>
      </c>
      <c r="D3583" s="82" t="s">
        <v>11835</v>
      </c>
      <c r="E3583" s="82">
        <v>6285694618282</v>
      </c>
      <c r="F3583" s="94">
        <v>45877</v>
      </c>
      <c r="G3583" s="87">
        <v>599</v>
      </c>
      <c r="H3583" s="88">
        <v>24805.071315372425</v>
      </c>
      <c r="I3583" s="89">
        <v>21</v>
      </c>
      <c r="J3583" s="90">
        <v>15652</v>
      </c>
      <c r="K3583" s="85">
        <v>1</v>
      </c>
      <c r="L3583" s="85">
        <v>299</v>
      </c>
      <c r="M3583" s="85">
        <v>0</v>
      </c>
      <c r="N3583" s="82" t="s">
        <v>11836</v>
      </c>
      <c r="O3583" s="93">
        <v>45878.571331018517</v>
      </c>
    </row>
    <row r="3584" spans="1:15" ht="22.5" customHeight="1">
      <c r="A3584" s="85">
        <v>766589657993298</v>
      </c>
      <c r="B3584" s="82" t="s">
        <v>10688</v>
      </c>
      <c r="C3584" s="82" t="s">
        <v>11682</v>
      </c>
      <c r="D3584" s="82" t="s">
        <v>11683</v>
      </c>
      <c r="E3584" s="82">
        <v>6285737375137</v>
      </c>
      <c r="F3584" s="94">
        <v>45877</v>
      </c>
      <c r="G3584" s="87">
        <v>300</v>
      </c>
      <c r="H3584" s="88">
        <v>45343.465045592711</v>
      </c>
      <c r="I3584" s="89">
        <v>4</v>
      </c>
      <c r="J3584" s="90">
        <v>14918</v>
      </c>
      <c r="K3584" s="85">
        <v>0</v>
      </c>
      <c r="L3584" s="85">
        <v>0</v>
      </c>
      <c r="M3584" s="85">
        <v>0</v>
      </c>
      <c r="N3584" s="82" t="s">
        <v>11684</v>
      </c>
      <c r="O3584" s="93">
        <v>45878.274768518517</v>
      </c>
    </row>
    <row r="3585" spans="1:15" ht="22.5" customHeight="1">
      <c r="A3585" s="85">
        <v>766589657993298</v>
      </c>
      <c r="B3585" s="82" t="s">
        <v>10688</v>
      </c>
      <c r="C3585" s="82" t="s">
        <v>11685</v>
      </c>
      <c r="D3585" s="82" t="s">
        <v>11686</v>
      </c>
      <c r="E3585" s="82">
        <v>6287709999980</v>
      </c>
      <c r="F3585" s="94">
        <v>45877</v>
      </c>
      <c r="G3585" s="87">
        <v>213</v>
      </c>
      <c r="H3585" s="88">
        <v>75995.833333333343</v>
      </c>
      <c r="I3585" s="89">
        <v>4</v>
      </c>
      <c r="J3585" s="90">
        <v>18239</v>
      </c>
      <c r="K3585" s="85">
        <v>2</v>
      </c>
      <c r="L3585" s="85">
        <v>2</v>
      </c>
      <c r="M3585" s="85">
        <v>0</v>
      </c>
      <c r="N3585" s="82" t="s">
        <v>11837</v>
      </c>
      <c r="O3585" s="93">
        <v>45878.274780092594</v>
      </c>
    </row>
    <row r="3586" spans="1:15" ht="22.5" customHeight="1">
      <c r="A3586" s="85">
        <v>766589657993298</v>
      </c>
      <c r="B3586" s="82" t="s">
        <v>10688</v>
      </c>
      <c r="C3586" s="82" t="s">
        <v>11692</v>
      </c>
      <c r="D3586" s="82" t="s">
        <v>11693</v>
      </c>
      <c r="E3586" s="82">
        <v>62895635983361</v>
      </c>
      <c r="F3586" s="94">
        <v>45877</v>
      </c>
      <c r="G3586" s="87">
        <v>1095</v>
      </c>
      <c r="H3586" s="88">
        <v>13685.121107266436</v>
      </c>
      <c r="I3586" s="89">
        <v>8</v>
      </c>
      <c r="J3586" s="90">
        <v>15820</v>
      </c>
      <c r="K3586" s="85">
        <v>0</v>
      </c>
      <c r="L3586" s="85">
        <v>193</v>
      </c>
      <c r="M3586" s="85">
        <v>0</v>
      </c>
      <c r="N3586" s="82" t="s">
        <v>11694</v>
      </c>
      <c r="O3586" s="93">
        <v>45878.59202546296</v>
      </c>
    </row>
    <row r="3587" spans="1:15" ht="22.5" customHeight="1">
      <c r="A3587" s="85">
        <v>766589657993298</v>
      </c>
      <c r="B3587" s="82" t="s">
        <v>10688</v>
      </c>
      <c r="C3587" s="82" t="s">
        <v>11626</v>
      </c>
      <c r="D3587" s="82" t="s">
        <v>3773</v>
      </c>
      <c r="E3587" s="82">
        <v>6285893658659</v>
      </c>
      <c r="F3587" s="94">
        <v>45877</v>
      </c>
      <c r="G3587" s="87">
        <v>268</v>
      </c>
      <c r="H3587" s="88">
        <v>49026.470588235294</v>
      </c>
      <c r="I3587" s="89">
        <v>12</v>
      </c>
      <c r="J3587" s="90">
        <v>16669</v>
      </c>
      <c r="K3587" s="85">
        <v>1</v>
      </c>
      <c r="L3587" s="85">
        <v>62</v>
      </c>
      <c r="M3587" s="85">
        <v>0</v>
      </c>
      <c r="N3587" s="82" t="s">
        <v>11627</v>
      </c>
      <c r="O3587" s="93">
        <v>45878.571319444447</v>
      </c>
    </row>
    <row r="3588" spans="1:15" ht="22.5" customHeight="1">
      <c r="A3588" s="85">
        <v>759724529202804</v>
      </c>
      <c r="B3588" s="82" t="s">
        <v>10621</v>
      </c>
      <c r="C3588" s="82" t="s">
        <v>11055</v>
      </c>
      <c r="D3588" s="82" t="s">
        <v>1021</v>
      </c>
      <c r="E3588" s="82"/>
      <c r="F3588" s="94">
        <v>45878</v>
      </c>
      <c r="G3588" s="87">
        <v>642</v>
      </c>
      <c r="H3588" s="88">
        <v>32089.214380825568</v>
      </c>
      <c r="I3588" s="89">
        <v>25</v>
      </c>
      <c r="J3588" s="90">
        <v>24099</v>
      </c>
      <c r="K3588" s="85">
        <v>4</v>
      </c>
      <c r="L3588" s="85">
        <v>210</v>
      </c>
      <c r="M3588" s="85">
        <v>1</v>
      </c>
      <c r="N3588" s="82" t="s">
        <v>11056</v>
      </c>
      <c r="O3588" s="93">
        <v>45874.499675925923</v>
      </c>
    </row>
    <row r="3589" spans="1:15" ht="22.5" customHeight="1">
      <c r="A3589" s="85">
        <v>174904221976312</v>
      </c>
      <c r="B3589" s="82" t="s">
        <v>10651</v>
      </c>
      <c r="C3589" s="82" t="s">
        <v>11838</v>
      </c>
      <c r="D3589" s="82" t="s">
        <v>11839</v>
      </c>
      <c r="E3589" s="82">
        <v>6287797504113</v>
      </c>
      <c r="F3589" s="94">
        <v>45878</v>
      </c>
      <c r="G3589" s="87">
        <v>249</v>
      </c>
      <c r="H3589" s="88">
        <v>41303.370786516854</v>
      </c>
      <c r="I3589" s="89">
        <v>17</v>
      </c>
      <c r="J3589" s="90">
        <v>11028</v>
      </c>
      <c r="K3589" s="85">
        <v>2</v>
      </c>
      <c r="L3589" s="85">
        <v>24</v>
      </c>
      <c r="M3589" s="85">
        <v>0</v>
      </c>
      <c r="N3589" s="82" t="s">
        <v>11840</v>
      </c>
      <c r="O3589" s="93">
        <v>45879.672337962962</v>
      </c>
    </row>
    <row r="3590" spans="1:15" ht="22.5" customHeight="1">
      <c r="A3590" s="85">
        <v>174904221976312</v>
      </c>
      <c r="B3590" s="82" t="s">
        <v>10651</v>
      </c>
      <c r="C3590" s="82" t="s">
        <v>11811</v>
      </c>
      <c r="D3590" s="82" t="s">
        <v>11812</v>
      </c>
      <c r="E3590" s="82">
        <v>6285328883803</v>
      </c>
      <c r="F3590" s="94">
        <v>45878</v>
      </c>
      <c r="G3590" s="87">
        <v>747</v>
      </c>
      <c r="H3590" s="88">
        <v>15987.608426270135</v>
      </c>
      <c r="I3590" s="89">
        <v>14</v>
      </c>
      <c r="J3590" s="90">
        <v>12902</v>
      </c>
      <c r="K3590" s="85">
        <v>1</v>
      </c>
      <c r="L3590" s="85">
        <v>28</v>
      </c>
      <c r="M3590" s="85">
        <v>0</v>
      </c>
      <c r="N3590" s="82" t="s">
        <v>11813</v>
      </c>
      <c r="O3590" s="93">
        <v>45879.651712962965</v>
      </c>
    </row>
    <row r="3591" spans="1:15" ht="22.5" customHeight="1">
      <c r="A3591" s="85">
        <v>174904221976312</v>
      </c>
      <c r="B3591" s="82" t="s">
        <v>10651</v>
      </c>
      <c r="C3591" s="82" t="s">
        <v>11814</v>
      </c>
      <c r="D3591" s="82" t="s">
        <v>3733</v>
      </c>
      <c r="E3591" s="82">
        <v>62882001438924</v>
      </c>
      <c r="F3591" s="94">
        <v>45878</v>
      </c>
      <c r="G3591" s="87">
        <v>275</v>
      </c>
      <c r="H3591" s="88">
        <v>46066.225165562915</v>
      </c>
      <c r="I3591" s="89">
        <v>11</v>
      </c>
      <c r="J3591" s="90">
        <v>13912</v>
      </c>
      <c r="K3591" s="85">
        <v>0</v>
      </c>
      <c r="L3591" s="85">
        <v>81</v>
      </c>
      <c r="M3591" s="85">
        <v>0</v>
      </c>
      <c r="N3591" s="82" t="s">
        <v>11815</v>
      </c>
      <c r="O3591" s="93">
        <v>45879.609756944446</v>
      </c>
    </row>
    <row r="3592" spans="1:15" ht="22.5" customHeight="1">
      <c r="A3592" s="85">
        <v>174904221976312</v>
      </c>
      <c r="B3592" s="82" t="s">
        <v>10651</v>
      </c>
      <c r="C3592" s="82" t="s">
        <v>11816</v>
      </c>
      <c r="D3592" s="82" t="s">
        <v>3682</v>
      </c>
      <c r="E3592" s="82">
        <v>6285602235226</v>
      </c>
      <c r="F3592" s="94">
        <v>45878</v>
      </c>
      <c r="G3592" s="87">
        <v>706</v>
      </c>
      <c r="H3592" s="88">
        <v>14748.826291079811</v>
      </c>
      <c r="I3592" s="89">
        <v>37</v>
      </c>
      <c r="J3592" s="90">
        <v>12566</v>
      </c>
      <c r="K3592" s="85">
        <v>0</v>
      </c>
      <c r="L3592" s="85">
        <v>247</v>
      </c>
      <c r="M3592" s="85">
        <v>1</v>
      </c>
      <c r="N3592" s="82" t="s">
        <v>11817</v>
      </c>
      <c r="O3592" s="93">
        <v>45879.818043981482</v>
      </c>
    </row>
    <row r="3593" spans="1:15" ht="22.5" customHeight="1">
      <c r="A3593" s="85">
        <v>174904221976312</v>
      </c>
      <c r="B3593" s="82" t="s">
        <v>10651</v>
      </c>
      <c r="C3593" s="82" t="s">
        <v>11818</v>
      </c>
      <c r="D3593" s="82" t="s">
        <v>11819</v>
      </c>
      <c r="E3593" s="82">
        <v>6289515920603</v>
      </c>
      <c r="F3593" s="94">
        <v>45878</v>
      </c>
      <c r="G3593" s="87">
        <v>315</v>
      </c>
      <c r="H3593" s="88">
        <v>33544.378698224857</v>
      </c>
      <c r="I3593" s="89">
        <v>11</v>
      </c>
      <c r="J3593" s="90">
        <v>11338</v>
      </c>
      <c r="K3593" s="85">
        <v>2</v>
      </c>
      <c r="L3593" s="85">
        <v>104</v>
      </c>
      <c r="M3593" s="85">
        <v>1</v>
      </c>
      <c r="N3593" s="82" t="s">
        <v>11820</v>
      </c>
      <c r="O3593" s="93">
        <v>45879.692986111113</v>
      </c>
    </row>
    <row r="3594" spans="1:15" ht="22.5" customHeight="1">
      <c r="A3594" s="85">
        <v>174904221976312</v>
      </c>
      <c r="B3594" s="82" t="s">
        <v>10651</v>
      </c>
      <c r="C3594" s="82" t="s">
        <v>11804</v>
      </c>
      <c r="D3594" s="82" t="s">
        <v>3672</v>
      </c>
      <c r="E3594" s="82">
        <v>628170204528</v>
      </c>
      <c r="F3594" s="94">
        <v>45878</v>
      </c>
      <c r="G3594" s="87">
        <v>531</v>
      </c>
      <c r="H3594" s="88">
        <v>20621.257485029939</v>
      </c>
      <c r="I3594" s="89">
        <v>28</v>
      </c>
      <c r="J3594" s="90">
        <v>13775</v>
      </c>
      <c r="K3594" s="85">
        <v>3</v>
      </c>
      <c r="L3594" s="85">
        <v>5</v>
      </c>
      <c r="M3594" s="85">
        <v>1</v>
      </c>
      <c r="N3594" s="82" t="s">
        <v>11805</v>
      </c>
      <c r="O3594" s="93">
        <v>45879.776365740741</v>
      </c>
    </row>
    <row r="3595" spans="1:15" ht="22.5" customHeight="1">
      <c r="A3595" s="85">
        <v>174904221976312</v>
      </c>
      <c r="B3595" s="82" t="s">
        <v>10651</v>
      </c>
      <c r="C3595" s="82" t="s">
        <v>11806</v>
      </c>
      <c r="D3595" s="82" t="s">
        <v>11807</v>
      </c>
      <c r="E3595" s="82">
        <v>6285338373761</v>
      </c>
      <c r="F3595" s="94">
        <v>45878</v>
      </c>
      <c r="G3595" s="87">
        <v>942</v>
      </c>
      <c r="H3595" s="88">
        <v>12311.345646437994</v>
      </c>
      <c r="I3595" s="89">
        <v>60</v>
      </c>
      <c r="J3595" s="90">
        <v>13998</v>
      </c>
      <c r="K3595" s="85">
        <v>6</v>
      </c>
      <c r="L3595" s="85">
        <v>529</v>
      </c>
      <c r="M3595" s="85">
        <v>1</v>
      </c>
      <c r="N3595" s="82" t="s">
        <v>11808</v>
      </c>
      <c r="O3595" s="93">
        <v>45879.713842592595</v>
      </c>
    </row>
    <row r="3596" spans="1:15" ht="22.5" customHeight="1">
      <c r="A3596" s="85">
        <v>174904221976312</v>
      </c>
      <c r="B3596" s="82" t="s">
        <v>10651</v>
      </c>
      <c r="C3596" s="82" t="s">
        <v>11809</v>
      </c>
      <c r="D3596" s="82" t="s">
        <v>2523</v>
      </c>
      <c r="E3596" s="82">
        <v>6285191259285</v>
      </c>
      <c r="F3596" s="94">
        <v>45878</v>
      </c>
      <c r="G3596" s="87">
        <v>892</v>
      </c>
      <c r="H3596" s="88">
        <v>13734.653465346535</v>
      </c>
      <c r="I3596" s="89">
        <v>23</v>
      </c>
      <c r="J3596" s="90">
        <v>13872</v>
      </c>
      <c r="K3596" s="85">
        <v>0</v>
      </c>
      <c r="L3596" s="85">
        <v>0</v>
      </c>
      <c r="M3596" s="85">
        <v>0</v>
      </c>
      <c r="N3596" s="82" t="s">
        <v>11810</v>
      </c>
      <c r="O3596" s="93">
        <v>45879.734699074077</v>
      </c>
    </row>
    <row r="3597" spans="1:15" ht="22.5" customHeight="1">
      <c r="A3597" s="85">
        <v>174904221976312</v>
      </c>
      <c r="B3597" s="82" t="s">
        <v>10651</v>
      </c>
      <c r="C3597" s="82" t="s">
        <v>11792</v>
      </c>
      <c r="D3597" s="82" t="s">
        <v>11793</v>
      </c>
      <c r="E3597" s="82">
        <v>6281915041833</v>
      </c>
      <c r="F3597" s="94">
        <v>45878</v>
      </c>
      <c r="G3597" s="87">
        <v>1108</v>
      </c>
      <c r="H3597" s="88">
        <v>10074.605451936872</v>
      </c>
      <c r="I3597" s="89">
        <v>51</v>
      </c>
      <c r="J3597" s="90">
        <v>14044</v>
      </c>
      <c r="K3597" s="85">
        <v>2</v>
      </c>
      <c r="L3597" s="85">
        <v>433</v>
      </c>
      <c r="M3597" s="85">
        <v>1</v>
      </c>
      <c r="N3597" s="82" t="s">
        <v>11794</v>
      </c>
      <c r="O3597" s="93">
        <v>45879.713842592595</v>
      </c>
    </row>
    <row r="3598" spans="1:15" ht="22.5" customHeight="1">
      <c r="A3598" s="85">
        <v>174904221976312</v>
      </c>
      <c r="B3598" s="82" t="s">
        <v>10651</v>
      </c>
      <c r="C3598" s="82" t="s">
        <v>11795</v>
      </c>
      <c r="D3598" s="82" t="s">
        <v>9010</v>
      </c>
      <c r="E3598" s="82">
        <v>6281378305888</v>
      </c>
      <c r="F3598" s="94">
        <v>45878</v>
      </c>
      <c r="G3598" s="87">
        <v>967</v>
      </c>
      <c r="H3598" s="88">
        <v>11384.685505925252</v>
      </c>
      <c r="I3598" s="89">
        <v>26</v>
      </c>
      <c r="J3598" s="90">
        <v>12489</v>
      </c>
      <c r="K3598" s="85">
        <v>1</v>
      </c>
      <c r="L3598" s="85">
        <v>529</v>
      </c>
      <c r="M3598" s="85">
        <v>1</v>
      </c>
      <c r="N3598" s="82" t="s">
        <v>11796</v>
      </c>
      <c r="O3598" s="93">
        <v>45879.692986111113</v>
      </c>
    </row>
    <row r="3599" spans="1:15" ht="22.5" customHeight="1">
      <c r="A3599" s="85">
        <v>174904221976312</v>
      </c>
      <c r="B3599" s="82" t="s">
        <v>10651</v>
      </c>
      <c r="C3599" s="82" t="s">
        <v>11797</v>
      </c>
      <c r="D3599" s="82" t="s">
        <v>3616</v>
      </c>
      <c r="E3599" s="82">
        <v>6285299991164</v>
      </c>
      <c r="F3599" s="94">
        <v>45878</v>
      </c>
      <c r="G3599" s="87">
        <v>321</v>
      </c>
      <c r="H3599" s="88">
        <v>36483.290488431878</v>
      </c>
      <c r="I3599" s="89">
        <v>9</v>
      </c>
      <c r="J3599" s="90">
        <v>14192</v>
      </c>
      <c r="K3599" s="85">
        <v>0</v>
      </c>
      <c r="L3599" s="85">
        <v>2</v>
      </c>
      <c r="M3599" s="85">
        <v>0</v>
      </c>
      <c r="N3599" s="82" t="s">
        <v>11798</v>
      </c>
      <c r="O3599" s="93">
        <v>45879.755439814813</v>
      </c>
    </row>
    <row r="3600" spans="1:15" ht="22.5" customHeight="1">
      <c r="A3600" s="85">
        <v>174904221976312</v>
      </c>
      <c r="B3600" s="82" t="s">
        <v>10651</v>
      </c>
      <c r="C3600" s="82" t="s">
        <v>11799</v>
      </c>
      <c r="D3600" s="82" t="s">
        <v>11800</v>
      </c>
      <c r="E3600" s="82">
        <v>6285333751528</v>
      </c>
      <c r="F3600" s="94">
        <v>45878</v>
      </c>
      <c r="G3600" s="87">
        <v>343</v>
      </c>
      <c r="H3600" s="88">
        <v>36176.315789473687</v>
      </c>
      <c r="I3600" s="89">
        <v>8</v>
      </c>
      <c r="J3600" s="90">
        <v>13747</v>
      </c>
      <c r="K3600" s="85">
        <v>0</v>
      </c>
      <c r="L3600" s="85">
        <v>72</v>
      </c>
      <c r="M3600" s="85">
        <v>0</v>
      </c>
      <c r="N3600" s="82" t="s">
        <v>11801</v>
      </c>
      <c r="O3600" s="93">
        <v>45879.755462962959</v>
      </c>
    </row>
    <row r="3601" spans="1:15" ht="22.5" customHeight="1">
      <c r="A3601" s="85">
        <v>174904221976312</v>
      </c>
      <c r="B3601" s="82" t="s">
        <v>10651</v>
      </c>
      <c r="C3601" s="82" t="s">
        <v>11802</v>
      </c>
      <c r="D3601" s="82" t="s">
        <v>3576</v>
      </c>
      <c r="E3601" s="82">
        <v>6285338700113</v>
      </c>
      <c r="F3601" s="94">
        <v>45878</v>
      </c>
      <c r="G3601" s="87">
        <v>818</v>
      </c>
      <c r="H3601" s="88">
        <v>16250.611246943767</v>
      </c>
      <c r="I3601" s="89">
        <v>44</v>
      </c>
      <c r="J3601" s="90">
        <v>13293</v>
      </c>
      <c r="K3601" s="85">
        <v>0</v>
      </c>
      <c r="L3601" s="85">
        <v>416</v>
      </c>
      <c r="M3601" s="85">
        <v>0</v>
      </c>
      <c r="N3601" s="82" t="s">
        <v>11803</v>
      </c>
      <c r="O3601" s="93">
        <v>45879.651712962965</v>
      </c>
    </row>
    <row r="3602" spans="1:15" ht="22.5" customHeight="1">
      <c r="A3602" s="85">
        <v>174904221976312</v>
      </c>
      <c r="B3602" s="82" t="s">
        <v>10651</v>
      </c>
      <c r="C3602" s="82" t="s">
        <v>11766</v>
      </c>
      <c r="D3602" s="82" t="s">
        <v>11767</v>
      </c>
      <c r="E3602" s="82">
        <v>6281225101319</v>
      </c>
      <c r="F3602" s="94">
        <v>45878</v>
      </c>
      <c r="G3602" s="87">
        <v>392</v>
      </c>
      <c r="H3602" s="88">
        <v>31865.800865800869</v>
      </c>
      <c r="I3602" s="89">
        <v>14</v>
      </c>
      <c r="J3602" s="90">
        <v>14722</v>
      </c>
      <c r="K3602" s="85">
        <v>3</v>
      </c>
      <c r="L3602" s="85">
        <v>3</v>
      </c>
      <c r="M3602" s="85">
        <v>0</v>
      </c>
      <c r="N3602" s="82" t="s">
        <v>11768</v>
      </c>
      <c r="O3602" s="93">
        <v>45879.713854166665</v>
      </c>
    </row>
    <row r="3603" spans="1:15" ht="22.5" customHeight="1">
      <c r="A3603" s="85">
        <v>174904221976312</v>
      </c>
      <c r="B3603" s="82" t="s">
        <v>10651</v>
      </c>
      <c r="C3603" s="82" t="s">
        <v>11769</v>
      </c>
      <c r="D3603" s="82" t="s">
        <v>3610</v>
      </c>
      <c r="E3603" s="82">
        <v>6285821233475</v>
      </c>
      <c r="F3603" s="94">
        <v>45878</v>
      </c>
      <c r="G3603" s="87">
        <v>1357</v>
      </c>
      <c r="H3603" s="88">
        <v>8870.5882352941189</v>
      </c>
      <c r="I3603" s="89">
        <v>65</v>
      </c>
      <c r="J3603" s="90">
        <v>13572</v>
      </c>
      <c r="K3603" s="85">
        <v>4</v>
      </c>
      <c r="L3603" s="85">
        <v>491</v>
      </c>
      <c r="M3603" s="85">
        <v>0</v>
      </c>
      <c r="N3603" s="82" t="s">
        <v>11770</v>
      </c>
      <c r="O3603" s="93">
        <v>45879.216284722221</v>
      </c>
    </row>
    <row r="3604" spans="1:15" ht="22.5" customHeight="1">
      <c r="A3604" s="85">
        <v>174904221976312</v>
      </c>
      <c r="B3604" s="82" t="s">
        <v>10651</v>
      </c>
      <c r="C3604" s="82" t="s">
        <v>11771</v>
      </c>
      <c r="D3604" s="82" t="s">
        <v>11772</v>
      </c>
      <c r="E3604" s="82">
        <v>6281238115957</v>
      </c>
      <c r="F3604" s="94">
        <v>45878</v>
      </c>
      <c r="G3604" s="87">
        <v>607</v>
      </c>
      <c r="H3604" s="88">
        <v>16052.325581395347</v>
      </c>
      <c r="I3604" s="89">
        <v>11</v>
      </c>
      <c r="J3604" s="90">
        <v>11044</v>
      </c>
      <c r="K3604" s="85">
        <v>1</v>
      </c>
      <c r="L3604" s="85">
        <v>0</v>
      </c>
      <c r="M3604" s="85">
        <v>0</v>
      </c>
      <c r="N3604" s="82" t="s">
        <v>11773</v>
      </c>
      <c r="O3604" s="93">
        <v>45879.672337962962</v>
      </c>
    </row>
    <row r="3605" spans="1:15" ht="22.5" customHeight="1">
      <c r="A3605" s="85">
        <v>174904221976312</v>
      </c>
      <c r="B3605" s="82" t="s">
        <v>10651</v>
      </c>
      <c r="C3605" s="82" t="s">
        <v>11774</v>
      </c>
      <c r="D3605" s="82" t="s">
        <v>11775</v>
      </c>
      <c r="E3605" s="82">
        <v>6281363504410</v>
      </c>
      <c r="F3605" s="94">
        <v>45878</v>
      </c>
      <c r="G3605" s="87">
        <v>134</v>
      </c>
      <c r="H3605" s="88">
        <v>102195.94594594595</v>
      </c>
      <c r="I3605" s="89">
        <v>8</v>
      </c>
      <c r="J3605" s="90">
        <v>15125</v>
      </c>
      <c r="K3605" s="85">
        <v>2</v>
      </c>
      <c r="L3605" s="85">
        <v>1</v>
      </c>
      <c r="M3605" s="85">
        <v>0</v>
      </c>
      <c r="N3605" s="82" t="s">
        <v>11776</v>
      </c>
      <c r="O3605" s="93">
        <v>45879.547118055554</v>
      </c>
    </row>
    <row r="3606" spans="1:15" ht="22.5" customHeight="1">
      <c r="A3606" s="85">
        <v>174904221976312</v>
      </c>
      <c r="B3606" s="82" t="s">
        <v>10651</v>
      </c>
      <c r="C3606" s="82" t="s">
        <v>11777</v>
      </c>
      <c r="D3606" s="82" t="s">
        <v>11778</v>
      </c>
      <c r="E3606" s="82">
        <v>6281374844270</v>
      </c>
      <c r="F3606" s="94">
        <v>45878</v>
      </c>
      <c r="G3606" s="87">
        <v>475</v>
      </c>
      <c r="H3606" s="88">
        <v>27071.153846153844</v>
      </c>
      <c r="I3606" s="89">
        <v>24</v>
      </c>
      <c r="J3606" s="90">
        <v>14077</v>
      </c>
      <c r="K3606" s="85">
        <v>0</v>
      </c>
      <c r="L3606" s="85">
        <v>173</v>
      </c>
      <c r="M3606" s="85">
        <v>0</v>
      </c>
      <c r="N3606" s="82" t="s">
        <v>11779</v>
      </c>
      <c r="O3606" s="93">
        <v>45879.526747685188</v>
      </c>
    </row>
    <row r="3607" spans="1:15" ht="22.5" customHeight="1">
      <c r="A3607" s="85">
        <v>174904221976312</v>
      </c>
      <c r="B3607" s="82" t="s">
        <v>10651</v>
      </c>
      <c r="C3607" s="82" t="s">
        <v>11780</v>
      </c>
      <c r="D3607" s="82" t="s">
        <v>11781</v>
      </c>
      <c r="E3607" s="82">
        <v>6282129364133</v>
      </c>
      <c r="F3607" s="94">
        <v>45878</v>
      </c>
      <c r="G3607" s="87">
        <v>418</v>
      </c>
      <c r="H3607" s="88">
        <v>25956.022944550667</v>
      </c>
      <c r="I3607" s="89">
        <v>20</v>
      </c>
      <c r="J3607" s="90">
        <v>13575</v>
      </c>
      <c r="K3607" s="85">
        <v>4</v>
      </c>
      <c r="L3607" s="85">
        <v>0</v>
      </c>
      <c r="M3607" s="85">
        <v>0</v>
      </c>
      <c r="N3607" s="82" t="s">
        <v>11782</v>
      </c>
      <c r="O3607" s="93">
        <v>45879.547129629631</v>
      </c>
    </row>
    <row r="3608" spans="1:15" ht="22.5" customHeight="1">
      <c r="A3608" s="85">
        <v>174904221976312</v>
      </c>
      <c r="B3608" s="82" t="s">
        <v>10651</v>
      </c>
      <c r="C3608" s="82" t="s">
        <v>11783</v>
      </c>
      <c r="D3608" s="82" t="s">
        <v>3600</v>
      </c>
      <c r="E3608" s="82">
        <v>6285241858483</v>
      </c>
      <c r="F3608" s="94">
        <v>45878</v>
      </c>
      <c r="G3608" s="87">
        <v>840</v>
      </c>
      <c r="H3608" s="88">
        <v>13005.399568034556</v>
      </c>
      <c r="I3608" s="89">
        <v>8</v>
      </c>
      <c r="J3608" s="90">
        <v>12043</v>
      </c>
      <c r="K3608" s="85">
        <v>1</v>
      </c>
      <c r="L3608" s="85">
        <v>5</v>
      </c>
      <c r="M3608" s="85">
        <v>0</v>
      </c>
      <c r="N3608" s="82" t="s">
        <v>11784</v>
      </c>
      <c r="O3608" s="93">
        <v>45879.216319444444</v>
      </c>
    </row>
    <row r="3609" spans="1:15" ht="22.5" customHeight="1">
      <c r="A3609" s="85">
        <v>174904221976312</v>
      </c>
      <c r="B3609" s="82" t="s">
        <v>10651</v>
      </c>
      <c r="C3609" s="82" t="s">
        <v>11785</v>
      </c>
      <c r="D3609" s="82" t="s">
        <v>11786</v>
      </c>
      <c r="E3609" s="82">
        <v>628557182563</v>
      </c>
      <c r="F3609" s="94">
        <v>45878</v>
      </c>
      <c r="G3609" s="87">
        <v>464</v>
      </c>
      <c r="H3609" s="88">
        <v>24996.101364522416</v>
      </c>
      <c r="I3609" s="89">
        <v>8</v>
      </c>
      <c r="J3609" s="90">
        <v>12823</v>
      </c>
      <c r="K3609" s="85">
        <v>1</v>
      </c>
      <c r="L3609" s="85">
        <v>5</v>
      </c>
      <c r="M3609" s="85">
        <v>0</v>
      </c>
      <c r="N3609" s="82" t="s">
        <v>11787</v>
      </c>
      <c r="O3609" s="93">
        <v>45879.672337962962</v>
      </c>
    </row>
    <row r="3610" spans="1:15" ht="22.5" customHeight="1">
      <c r="A3610" s="85">
        <v>174904221976312</v>
      </c>
      <c r="B3610" s="82" t="s">
        <v>10651</v>
      </c>
      <c r="C3610" s="82" t="s">
        <v>11788</v>
      </c>
      <c r="D3610" s="82" t="s">
        <v>11789</v>
      </c>
      <c r="E3610" s="82">
        <v>6287751970643</v>
      </c>
      <c r="F3610" s="94">
        <v>45878</v>
      </c>
      <c r="G3610" s="87">
        <v>314</v>
      </c>
      <c r="H3610" s="88">
        <v>42636.075949367092</v>
      </c>
      <c r="I3610" s="89">
        <v>5</v>
      </c>
      <c r="J3610" s="90">
        <v>13473</v>
      </c>
      <c r="K3610" s="85">
        <v>0</v>
      </c>
      <c r="L3610" s="85">
        <v>89</v>
      </c>
      <c r="M3610" s="85">
        <v>0</v>
      </c>
      <c r="N3610" s="82" t="s">
        <v>11790</v>
      </c>
      <c r="O3610" s="93">
        <v>45879.216296296298</v>
      </c>
    </row>
    <row r="3611" spans="1:15" ht="22.5" customHeight="1">
      <c r="A3611" s="85">
        <v>174904221976312</v>
      </c>
      <c r="B3611" s="82" t="s">
        <v>10651</v>
      </c>
      <c r="C3611" s="82" t="s">
        <v>11740</v>
      </c>
      <c r="D3611" s="82" t="s">
        <v>3562</v>
      </c>
      <c r="E3611" s="82">
        <v>6281558225822</v>
      </c>
      <c r="F3611" s="94">
        <v>45878</v>
      </c>
      <c r="G3611" s="87">
        <v>155</v>
      </c>
      <c r="H3611" s="88">
        <v>87339.080459770121</v>
      </c>
      <c r="I3611" s="89">
        <v>6</v>
      </c>
      <c r="J3611" s="90">
        <v>15197</v>
      </c>
      <c r="K3611" s="85">
        <v>1</v>
      </c>
      <c r="L3611" s="85">
        <v>1</v>
      </c>
      <c r="M3611" s="85">
        <v>0</v>
      </c>
      <c r="N3611" s="82" t="s">
        <v>11741</v>
      </c>
      <c r="O3611" s="93">
        <v>45879.630844907406</v>
      </c>
    </row>
    <row r="3612" spans="1:15" ht="22.5" customHeight="1">
      <c r="A3612" s="85">
        <v>174904221976312</v>
      </c>
      <c r="B3612" s="82" t="s">
        <v>10651</v>
      </c>
      <c r="C3612" s="82" t="s">
        <v>11744</v>
      </c>
      <c r="D3612" s="82" t="s">
        <v>11745</v>
      </c>
      <c r="E3612" s="82">
        <v>6287721853921</v>
      </c>
      <c r="F3612" s="94">
        <v>45878</v>
      </c>
      <c r="G3612" s="87">
        <v>1584</v>
      </c>
      <c r="H3612" s="88">
        <v>7852.9247910863505</v>
      </c>
      <c r="I3612" s="89">
        <v>36</v>
      </c>
      <c r="J3612" s="90">
        <v>14096</v>
      </c>
      <c r="K3612" s="85">
        <v>4</v>
      </c>
      <c r="L3612" s="85">
        <v>4</v>
      </c>
      <c r="M3612" s="85">
        <v>0</v>
      </c>
      <c r="N3612" s="82" t="s">
        <v>11746</v>
      </c>
      <c r="O3612" s="93">
        <v>45879.755439814813</v>
      </c>
    </row>
    <row r="3613" spans="1:15" ht="22.5" customHeight="1">
      <c r="A3613" s="85">
        <v>174904221976312</v>
      </c>
      <c r="B3613" s="82" t="s">
        <v>10651</v>
      </c>
      <c r="C3613" s="82" t="s">
        <v>11755</v>
      </c>
      <c r="D3613" s="82" t="s">
        <v>11756</v>
      </c>
      <c r="E3613" s="82">
        <v>6281357754513</v>
      </c>
      <c r="F3613" s="94">
        <v>45878</v>
      </c>
      <c r="G3613" s="87">
        <v>546</v>
      </c>
      <c r="H3613" s="88">
        <v>23812.280701754386</v>
      </c>
      <c r="I3613" s="89">
        <v>17</v>
      </c>
      <c r="J3613" s="90">
        <v>13573</v>
      </c>
      <c r="K3613" s="85">
        <v>1</v>
      </c>
      <c r="L3613" s="85">
        <v>199</v>
      </c>
      <c r="M3613" s="85">
        <v>0</v>
      </c>
      <c r="N3613" s="82" t="s">
        <v>11757</v>
      </c>
      <c r="O3613" s="93">
        <v>45879.713842592595</v>
      </c>
    </row>
    <row r="3614" spans="1:15" ht="22.5" customHeight="1">
      <c r="A3614" s="85">
        <v>174904221976312</v>
      </c>
      <c r="B3614" s="82" t="s">
        <v>10651</v>
      </c>
      <c r="C3614" s="82" t="s">
        <v>11761</v>
      </c>
      <c r="D3614" s="82" t="s">
        <v>3438</v>
      </c>
      <c r="E3614" s="82">
        <v>628154336558</v>
      </c>
      <c r="F3614" s="94">
        <v>45878</v>
      </c>
      <c r="G3614" s="87">
        <v>2014</v>
      </c>
      <c r="H3614" s="88">
        <v>6222.7291580257152</v>
      </c>
      <c r="I3614" s="89">
        <v>46</v>
      </c>
      <c r="J3614" s="90">
        <v>15003</v>
      </c>
      <c r="K3614" s="85">
        <v>3</v>
      </c>
      <c r="L3614" s="85">
        <v>163</v>
      </c>
      <c r="M3614" s="85">
        <v>0</v>
      </c>
      <c r="N3614" s="82" t="s">
        <v>11762</v>
      </c>
      <c r="O3614" s="93">
        <v>45879.297199074077</v>
      </c>
    </row>
    <row r="3615" spans="1:15" ht="22.5" customHeight="1">
      <c r="A3615" s="85">
        <v>174904221976312</v>
      </c>
      <c r="B3615" s="82" t="s">
        <v>10651</v>
      </c>
      <c r="C3615" s="82" t="s">
        <v>11763</v>
      </c>
      <c r="D3615" s="82" t="s">
        <v>11764</v>
      </c>
      <c r="E3615" s="82">
        <v>6282384544939</v>
      </c>
      <c r="F3615" s="94">
        <v>45878</v>
      </c>
      <c r="G3615" s="87">
        <v>604</v>
      </c>
      <c r="H3615" s="88">
        <v>18144.492131616593</v>
      </c>
      <c r="I3615" s="89">
        <v>7</v>
      </c>
      <c r="J3615" s="90">
        <v>12683</v>
      </c>
      <c r="K3615" s="85">
        <v>2</v>
      </c>
      <c r="L3615" s="85">
        <v>210</v>
      </c>
      <c r="M3615" s="85">
        <v>0</v>
      </c>
      <c r="N3615" s="82" t="s">
        <v>11765</v>
      </c>
      <c r="O3615" s="93">
        <v>45879.60974537037</v>
      </c>
    </row>
    <row r="3616" spans="1:15" ht="22.5" customHeight="1">
      <c r="A3616" s="85">
        <v>174904221976312</v>
      </c>
      <c r="B3616" s="82" t="s">
        <v>10651</v>
      </c>
      <c r="C3616" s="82" t="s">
        <v>11726</v>
      </c>
      <c r="D3616" s="82" t="s">
        <v>3291</v>
      </c>
      <c r="E3616" s="82">
        <v>6285691146546</v>
      </c>
      <c r="F3616" s="94">
        <v>45878</v>
      </c>
      <c r="G3616" s="87">
        <v>511</v>
      </c>
      <c r="H3616" s="88">
        <v>23719.360568383661</v>
      </c>
      <c r="I3616" s="89">
        <v>14</v>
      </c>
      <c r="J3616" s="90">
        <v>13354</v>
      </c>
      <c r="K3616" s="85">
        <v>2</v>
      </c>
      <c r="L3616" s="85">
        <v>236</v>
      </c>
      <c r="M3616" s="85">
        <v>0</v>
      </c>
      <c r="N3616" s="82" t="s">
        <v>11727</v>
      </c>
      <c r="O3616" s="93">
        <v>45879.216296296298</v>
      </c>
    </row>
    <row r="3617" spans="1:15" ht="22.5" customHeight="1">
      <c r="A3617" s="85">
        <v>174904221976312</v>
      </c>
      <c r="B3617" s="82" t="s">
        <v>10651</v>
      </c>
      <c r="C3617" s="82" t="s">
        <v>11728</v>
      </c>
      <c r="D3617" s="82" t="s">
        <v>11729</v>
      </c>
      <c r="E3617" s="82">
        <v>628122703083</v>
      </c>
      <c r="F3617" s="94">
        <v>45878</v>
      </c>
      <c r="G3617" s="87">
        <v>244</v>
      </c>
      <c r="H3617" s="88">
        <v>49824.817518248172</v>
      </c>
      <c r="I3617" s="89">
        <v>13</v>
      </c>
      <c r="J3617" s="90">
        <v>13652</v>
      </c>
      <c r="K3617" s="85">
        <v>2</v>
      </c>
      <c r="L3617" s="85">
        <v>0</v>
      </c>
      <c r="M3617" s="85">
        <v>0</v>
      </c>
      <c r="N3617" s="82" t="s">
        <v>11841</v>
      </c>
      <c r="O3617" s="93">
        <v>45879.589282407411</v>
      </c>
    </row>
    <row r="3618" spans="1:15" ht="22.5" customHeight="1">
      <c r="A3618" s="85">
        <v>174904221976312</v>
      </c>
      <c r="B3618" s="82" t="s">
        <v>10651</v>
      </c>
      <c r="C3618" s="82" t="s">
        <v>11731</v>
      </c>
      <c r="D3618" s="82" t="s">
        <v>3465</v>
      </c>
      <c r="E3618" s="82">
        <v>6285920572002</v>
      </c>
      <c r="F3618" s="94">
        <v>45878</v>
      </c>
      <c r="G3618" s="87">
        <v>548</v>
      </c>
      <c r="H3618" s="88">
        <v>24927.835051546394</v>
      </c>
      <c r="I3618" s="89">
        <v>15</v>
      </c>
      <c r="J3618" s="90">
        <v>14508</v>
      </c>
      <c r="K3618" s="85">
        <v>6</v>
      </c>
      <c r="L3618" s="85">
        <v>186</v>
      </c>
      <c r="M3618" s="85">
        <v>0</v>
      </c>
      <c r="N3618" s="82" t="s">
        <v>11732</v>
      </c>
      <c r="O3618" s="93">
        <v>45879.216284722221</v>
      </c>
    </row>
    <row r="3619" spans="1:15" ht="22.5" customHeight="1">
      <c r="A3619" s="85">
        <v>174904221976312</v>
      </c>
      <c r="B3619" s="82" t="s">
        <v>10651</v>
      </c>
      <c r="C3619" s="82" t="s">
        <v>11708</v>
      </c>
      <c r="D3619" s="82" t="s">
        <v>11709</v>
      </c>
      <c r="E3619" s="82">
        <v>6285294617773</v>
      </c>
      <c r="F3619" s="94">
        <v>45878</v>
      </c>
      <c r="G3619" s="87">
        <v>404</v>
      </c>
      <c r="H3619" s="88">
        <v>29871.62162162162</v>
      </c>
      <c r="I3619" s="89">
        <v>21</v>
      </c>
      <c r="J3619" s="90">
        <v>13263</v>
      </c>
      <c r="K3619" s="85">
        <v>3</v>
      </c>
      <c r="L3619" s="85">
        <v>0</v>
      </c>
      <c r="M3619" s="85">
        <v>0</v>
      </c>
      <c r="N3619" s="82" t="s">
        <v>11710</v>
      </c>
      <c r="O3619" s="93">
        <v>45879.734710648147</v>
      </c>
    </row>
    <row r="3620" spans="1:15" ht="22.5" customHeight="1">
      <c r="A3620" s="85">
        <v>174904221976312</v>
      </c>
      <c r="B3620" s="82" t="s">
        <v>10651</v>
      </c>
      <c r="C3620" s="82" t="s">
        <v>11711</v>
      </c>
      <c r="D3620" s="82" t="s">
        <v>11712</v>
      </c>
      <c r="E3620" s="82">
        <v>6285286258400</v>
      </c>
      <c r="F3620" s="94">
        <v>45878</v>
      </c>
      <c r="G3620" s="87">
        <v>500</v>
      </c>
      <c r="H3620" s="88">
        <v>24423.137876386685</v>
      </c>
      <c r="I3620" s="89">
        <v>8</v>
      </c>
      <c r="J3620" s="90">
        <v>15411</v>
      </c>
      <c r="K3620" s="85">
        <v>0</v>
      </c>
      <c r="L3620" s="85">
        <v>73</v>
      </c>
      <c r="M3620" s="85">
        <v>0</v>
      </c>
      <c r="N3620" s="82" t="s">
        <v>11713</v>
      </c>
      <c r="O3620" s="93">
        <v>45879.672337962962</v>
      </c>
    </row>
    <row r="3621" spans="1:15" ht="22.5" customHeight="1">
      <c r="A3621" s="85">
        <v>174904221976312</v>
      </c>
      <c r="B3621" s="82" t="s">
        <v>10651</v>
      </c>
      <c r="C3621" s="82" t="s">
        <v>11663</v>
      </c>
      <c r="D3621" s="82" t="s">
        <v>11664</v>
      </c>
      <c r="E3621" s="82">
        <v>628123264621</v>
      </c>
      <c r="F3621" s="94">
        <v>45878</v>
      </c>
      <c r="G3621" s="87">
        <v>825</v>
      </c>
      <c r="H3621" s="88">
        <v>14207.377866400797</v>
      </c>
      <c r="I3621" s="89">
        <v>52</v>
      </c>
      <c r="J3621" s="90">
        <v>14250</v>
      </c>
      <c r="K3621" s="85">
        <v>9</v>
      </c>
      <c r="L3621" s="85">
        <v>75</v>
      </c>
      <c r="M3621" s="85">
        <v>1</v>
      </c>
      <c r="N3621" s="82" t="s">
        <v>11665</v>
      </c>
      <c r="O3621" s="93">
        <v>45879.693009259259</v>
      </c>
    </row>
    <row r="3622" spans="1:15" ht="22.5" customHeight="1">
      <c r="A3622" s="85">
        <v>174904221976312</v>
      </c>
      <c r="B3622" s="82" t="s">
        <v>10651</v>
      </c>
      <c r="C3622" s="82" t="s">
        <v>11636</v>
      </c>
      <c r="D3622" s="82" t="s">
        <v>11637</v>
      </c>
      <c r="E3622" s="82">
        <v>6282154233977</v>
      </c>
      <c r="F3622" s="94">
        <v>45878</v>
      </c>
      <c r="G3622" s="87">
        <v>1081</v>
      </c>
      <c r="H3622" s="88">
        <v>11332.263242375602</v>
      </c>
      <c r="I3622" s="89">
        <v>50</v>
      </c>
      <c r="J3622" s="90">
        <v>14120</v>
      </c>
      <c r="K3622" s="85">
        <v>4</v>
      </c>
      <c r="L3622" s="85">
        <v>174</v>
      </c>
      <c r="M3622" s="85">
        <v>0</v>
      </c>
      <c r="N3622" s="82" t="s">
        <v>11638</v>
      </c>
      <c r="O3622" s="93">
        <v>45879.568206018521</v>
      </c>
    </row>
    <row r="3623" spans="1:15" ht="22.5" customHeight="1">
      <c r="A3623" s="85">
        <v>174904221976312</v>
      </c>
      <c r="B3623" s="82" t="s">
        <v>10651</v>
      </c>
      <c r="C3623" s="82" t="s">
        <v>11580</v>
      </c>
      <c r="D3623" s="82" t="s">
        <v>11581</v>
      </c>
      <c r="E3623" s="82">
        <v>6287790276733</v>
      </c>
      <c r="F3623" s="94">
        <v>45878</v>
      </c>
      <c r="G3623" s="87">
        <v>636</v>
      </c>
      <c r="H3623" s="88">
        <v>17611.959287531809</v>
      </c>
      <c r="I3623" s="89">
        <v>17</v>
      </c>
      <c r="J3623" s="90">
        <v>13843</v>
      </c>
      <c r="K3623" s="85">
        <v>2</v>
      </c>
      <c r="L3623" s="85">
        <v>0</v>
      </c>
      <c r="M3623" s="85">
        <v>1</v>
      </c>
      <c r="N3623" s="82" t="s">
        <v>11582</v>
      </c>
      <c r="O3623" s="93">
        <v>45879.672337962962</v>
      </c>
    </row>
    <row r="3624" spans="1:15" ht="22.5" customHeight="1">
      <c r="A3624" s="85">
        <v>174904221976312</v>
      </c>
      <c r="B3624" s="82" t="s">
        <v>10651</v>
      </c>
      <c r="C3624" s="82" t="s">
        <v>11535</v>
      </c>
      <c r="D3624" s="82" t="s">
        <v>2969</v>
      </c>
      <c r="E3624" s="82">
        <v>6281286402030</v>
      </c>
      <c r="F3624" s="94">
        <v>45878</v>
      </c>
      <c r="G3624" s="87">
        <v>194</v>
      </c>
      <c r="H3624" s="88">
        <v>65587.15596330275</v>
      </c>
      <c r="I3624" s="89">
        <v>1</v>
      </c>
      <c r="J3624" s="90">
        <v>14298</v>
      </c>
      <c r="K3624" s="85">
        <v>0</v>
      </c>
      <c r="L3624" s="85">
        <v>70</v>
      </c>
      <c r="M3624" s="85">
        <v>0</v>
      </c>
      <c r="N3624" s="82" t="s">
        <v>11536</v>
      </c>
      <c r="O3624" s="93">
        <v>45879.713854166665</v>
      </c>
    </row>
    <row r="3625" spans="1:15" ht="22.5" customHeight="1">
      <c r="A3625" s="85">
        <v>174904221976312</v>
      </c>
      <c r="B3625" s="82" t="s">
        <v>10651</v>
      </c>
      <c r="C3625" s="82" t="s">
        <v>11494</v>
      </c>
      <c r="D3625" s="82" t="s">
        <v>11495</v>
      </c>
      <c r="E3625" s="82">
        <v>6285645050058</v>
      </c>
      <c r="F3625" s="94">
        <v>45878</v>
      </c>
      <c r="G3625" s="87">
        <v>690</v>
      </c>
      <c r="H3625" s="88">
        <v>15035.955056179775</v>
      </c>
      <c r="I3625" s="89">
        <v>47</v>
      </c>
      <c r="J3625" s="90">
        <v>13382</v>
      </c>
      <c r="K3625" s="85">
        <v>2</v>
      </c>
      <c r="L3625" s="85">
        <v>309</v>
      </c>
      <c r="M3625" s="85">
        <v>2</v>
      </c>
      <c r="N3625" s="82" t="s">
        <v>11496</v>
      </c>
      <c r="O3625" s="93">
        <v>45879.672337962962</v>
      </c>
    </row>
    <row r="3626" spans="1:15" ht="22.5" customHeight="1">
      <c r="A3626" s="85">
        <v>174904221976312</v>
      </c>
      <c r="B3626" s="82" t="s">
        <v>10651</v>
      </c>
      <c r="C3626" s="82" t="s">
        <v>11464</v>
      </c>
      <c r="D3626" s="82" t="s">
        <v>11465</v>
      </c>
      <c r="E3626" s="82">
        <v>62816904358</v>
      </c>
      <c r="F3626" s="94">
        <v>45878</v>
      </c>
      <c r="G3626" s="87">
        <v>225</v>
      </c>
      <c r="H3626" s="88">
        <v>46734.615384615383</v>
      </c>
      <c r="I3626" s="89">
        <v>6</v>
      </c>
      <c r="J3626" s="90">
        <v>12151</v>
      </c>
      <c r="K3626" s="85">
        <v>1</v>
      </c>
      <c r="L3626" s="85">
        <v>128</v>
      </c>
      <c r="M3626" s="85">
        <v>0</v>
      </c>
      <c r="N3626" s="82" t="s">
        <v>11466</v>
      </c>
      <c r="O3626" s="93">
        <v>45879.609756944446</v>
      </c>
    </row>
    <row r="3627" spans="1:15" ht="22.5" customHeight="1">
      <c r="A3627" s="85">
        <v>174904221976312</v>
      </c>
      <c r="B3627" s="82" t="s">
        <v>10651</v>
      </c>
      <c r="C3627" s="82" t="s">
        <v>11396</v>
      </c>
      <c r="D3627" s="82" t="s">
        <v>11397</v>
      </c>
      <c r="E3627" s="82">
        <v>6285789446955</v>
      </c>
      <c r="F3627" s="94">
        <v>45878</v>
      </c>
      <c r="G3627" s="87">
        <v>1073</v>
      </c>
      <c r="H3627" s="88">
        <v>11302.87009063444</v>
      </c>
      <c r="I3627" s="89">
        <v>24</v>
      </c>
      <c r="J3627" s="90">
        <v>14965</v>
      </c>
      <c r="K3627" s="85">
        <v>3</v>
      </c>
      <c r="L3627" s="85">
        <v>17</v>
      </c>
      <c r="M3627" s="85">
        <v>0</v>
      </c>
      <c r="N3627" s="82" t="s">
        <v>11398</v>
      </c>
      <c r="O3627" s="93">
        <v>45879.651736111111</v>
      </c>
    </row>
    <row r="3628" spans="1:15" ht="22.5" customHeight="1">
      <c r="A3628" s="85">
        <v>174904221976312</v>
      </c>
      <c r="B3628" s="82" t="s">
        <v>10651</v>
      </c>
      <c r="C3628" s="82" t="s">
        <v>11309</v>
      </c>
      <c r="D3628" s="82" t="s">
        <v>11350</v>
      </c>
      <c r="E3628" s="82">
        <v>6281229745253</v>
      </c>
      <c r="F3628" s="94">
        <v>45878</v>
      </c>
      <c r="G3628" s="87">
        <v>201</v>
      </c>
      <c r="H3628" s="88">
        <v>71853.982300884949</v>
      </c>
      <c r="I3628" s="89">
        <v>10</v>
      </c>
      <c r="J3628" s="90">
        <v>16239</v>
      </c>
      <c r="K3628" s="85">
        <v>0</v>
      </c>
      <c r="L3628" s="85">
        <v>43</v>
      </c>
      <c r="M3628" s="85">
        <v>0</v>
      </c>
      <c r="N3628" s="82" t="s">
        <v>11791</v>
      </c>
      <c r="O3628" s="93">
        <v>45879.56821759259</v>
      </c>
    </row>
    <row r="3629" spans="1:15" ht="22.5" customHeight="1">
      <c r="A3629" s="85">
        <v>174904221976312</v>
      </c>
      <c r="B3629" s="82" t="s">
        <v>10651</v>
      </c>
      <c r="C3629" s="82" t="s">
        <v>11193</v>
      </c>
      <c r="D3629" s="82" t="s">
        <v>11194</v>
      </c>
      <c r="E3629" s="82">
        <v>6281779578317</v>
      </c>
      <c r="F3629" s="94">
        <v>45878</v>
      </c>
      <c r="G3629" s="87">
        <v>1098</v>
      </c>
      <c r="H3629" s="88">
        <v>11222.133119486769</v>
      </c>
      <c r="I3629" s="89">
        <v>44</v>
      </c>
      <c r="J3629" s="90">
        <v>13994</v>
      </c>
      <c r="K3629" s="85">
        <v>6</v>
      </c>
      <c r="L3629" s="85">
        <v>288</v>
      </c>
      <c r="M3629" s="85">
        <v>0</v>
      </c>
      <c r="N3629" s="82" t="s">
        <v>11195</v>
      </c>
      <c r="O3629" s="93">
        <v>45879.216296296298</v>
      </c>
    </row>
    <row r="3630" spans="1:15" ht="22.5" customHeight="1">
      <c r="A3630" s="85">
        <v>174904221976312</v>
      </c>
      <c r="B3630" s="82" t="s">
        <v>10651</v>
      </c>
      <c r="C3630" s="82" t="s">
        <v>10853</v>
      </c>
      <c r="D3630" s="82" t="s">
        <v>10854</v>
      </c>
      <c r="E3630" s="82">
        <v>6281393958199</v>
      </c>
      <c r="F3630" s="94">
        <v>45878</v>
      </c>
      <c r="G3630" s="87">
        <v>459</v>
      </c>
      <c r="H3630" s="88">
        <v>30561.538461538461</v>
      </c>
      <c r="I3630" s="89">
        <v>16</v>
      </c>
      <c r="J3630" s="90">
        <v>15892</v>
      </c>
      <c r="K3630" s="85">
        <v>2</v>
      </c>
      <c r="L3630" s="85">
        <v>44</v>
      </c>
      <c r="M3630" s="85">
        <v>0</v>
      </c>
      <c r="N3630" s="82" t="s">
        <v>10855</v>
      </c>
      <c r="O3630" s="93">
        <v>45879.630833333336</v>
      </c>
    </row>
    <row r="3631" spans="1:15" ht="22.5" customHeight="1">
      <c r="A3631" s="85">
        <v>174904221976312</v>
      </c>
      <c r="B3631" s="82" t="s">
        <v>10651</v>
      </c>
      <c r="C3631" s="82" t="s">
        <v>10657</v>
      </c>
      <c r="D3631" s="82" t="s">
        <v>1239</v>
      </c>
      <c r="E3631" s="82">
        <v>6282172291579</v>
      </c>
      <c r="F3631" s="94">
        <v>45878</v>
      </c>
      <c r="G3631" s="87">
        <v>475</v>
      </c>
      <c r="H3631" s="88">
        <v>24763.113367174279</v>
      </c>
      <c r="I3631" s="89">
        <v>32</v>
      </c>
      <c r="J3631" s="90">
        <v>14635</v>
      </c>
      <c r="K3631" s="85">
        <v>4</v>
      </c>
      <c r="L3631" s="85">
        <v>234</v>
      </c>
      <c r="M3631" s="85">
        <v>0</v>
      </c>
      <c r="N3631" s="82" t="s">
        <v>10658</v>
      </c>
      <c r="O3631" s="93">
        <v>45879.692986111113</v>
      </c>
    </row>
    <row r="3632" spans="1:15" ht="22.5" customHeight="1">
      <c r="A3632" s="85">
        <v>174904221976312</v>
      </c>
      <c r="B3632" s="82" t="s">
        <v>10651</v>
      </c>
      <c r="C3632" s="82" t="s">
        <v>10679</v>
      </c>
      <c r="D3632" s="82" t="s">
        <v>10680</v>
      </c>
      <c r="E3632" s="82">
        <v>6282347206488</v>
      </c>
      <c r="F3632" s="94">
        <v>45878</v>
      </c>
      <c r="G3632" s="87">
        <v>551</v>
      </c>
      <c r="H3632" s="88">
        <v>24562.032884902841</v>
      </c>
      <c r="I3632" s="89">
        <v>33</v>
      </c>
      <c r="J3632" s="90">
        <v>16432</v>
      </c>
      <c r="K3632" s="85">
        <v>3</v>
      </c>
      <c r="L3632" s="85">
        <v>343</v>
      </c>
      <c r="M3632" s="85">
        <v>0</v>
      </c>
      <c r="N3632" s="82" t="s">
        <v>10681</v>
      </c>
      <c r="O3632" s="93">
        <v>45879.60974537037</v>
      </c>
    </row>
    <row r="3633" spans="1:15" ht="22.5" customHeight="1">
      <c r="A3633" s="85">
        <v>766589657993298</v>
      </c>
      <c r="B3633" s="82" t="s">
        <v>10688</v>
      </c>
      <c r="C3633" s="82" t="s">
        <v>11842</v>
      </c>
      <c r="D3633" s="82" t="s">
        <v>11843</v>
      </c>
      <c r="E3633" s="82">
        <v>62895321637812</v>
      </c>
      <c r="F3633" s="94">
        <v>45878</v>
      </c>
      <c r="G3633" s="87">
        <v>525</v>
      </c>
      <c r="H3633" s="88">
        <v>21546.979865771813</v>
      </c>
      <c r="I3633" s="89">
        <v>15</v>
      </c>
      <c r="J3633" s="90">
        <v>12842</v>
      </c>
      <c r="K3633" s="85">
        <v>2</v>
      </c>
      <c r="L3633" s="85">
        <v>130</v>
      </c>
      <c r="M3633" s="85">
        <v>0</v>
      </c>
      <c r="N3633" s="82" t="s">
        <v>11844</v>
      </c>
      <c r="O3633" s="93">
        <v>45879.800266203703</v>
      </c>
    </row>
    <row r="3634" spans="1:15" ht="22.5" customHeight="1">
      <c r="A3634" s="85">
        <v>766589657993298</v>
      </c>
      <c r="B3634" s="82" t="s">
        <v>10688</v>
      </c>
      <c r="C3634" s="82" t="s">
        <v>11845</v>
      </c>
      <c r="D3634" s="82" t="s">
        <v>11846</v>
      </c>
      <c r="E3634" s="82">
        <v>6285814213281</v>
      </c>
      <c r="F3634" s="94">
        <v>45878</v>
      </c>
      <c r="G3634" s="87">
        <v>393</v>
      </c>
      <c r="H3634" s="88">
        <v>29549.199084668191</v>
      </c>
      <c r="I3634" s="89">
        <v>5</v>
      </c>
      <c r="J3634" s="90">
        <v>12913</v>
      </c>
      <c r="K3634" s="85">
        <v>1</v>
      </c>
      <c r="L3634" s="85">
        <v>106</v>
      </c>
      <c r="M3634" s="85">
        <v>0</v>
      </c>
      <c r="N3634" s="82" t="s">
        <v>11847</v>
      </c>
      <c r="O3634" s="93">
        <v>45879.717060185183</v>
      </c>
    </row>
    <row r="3635" spans="1:15" ht="22.5" customHeight="1">
      <c r="A3635" s="85">
        <v>766589657993298</v>
      </c>
      <c r="B3635" s="82" t="s">
        <v>10688</v>
      </c>
      <c r="C3635" s="82" t="s">
        <v>11848</v>
      </c>
      <c r="D3635" s="82" t="s">
        <v>11849</v>
      </c>
      <c r="E3635" s="82">
        <v>6282236053835</v>
      </c>
      <c r="F3635" s="94">
        <v>45878</v>
      </c>
      <c r="G3635" s="87">
        <v>449</v>
      </c>
      <c r="H3635" s="88">
        <v>23639.639639639641</v>
      </c>
      <c r="I3635" s="89">
        <v>14</v>
      </c>
      <c r="J3635" s="90">
        <v>13120</v>
      </c>
      <c r="K3635" s="85">
        <v>2</v>
      </c>
      <c r="L3635" s="85">
        <v>97</v>
      </c>
      <c r="M3635" s="85">
        <v>1</v>
      </c>
      <c r="N3635" s="82" t="s">
        <v>11850</v>
      </c>
      <c r="O3635" s="93">
        <v>45879.696030092593</v>
      </c>
    </row>
    <row r="3636" spans="1:15" ht="22.5" customHeight="1">
      <c r="A3636" s="85">
        <v>766589657993298</v>
      </c>
      <c r="B3636" s="82" t="s">
        <v>10688</v>
      </c>
      <c r="C3636" s="82" t="s">
        <v>11851</v>
      </c>
      <c r="D3636" s="82" t="s">
        <v>3692</v>
      </c>
      <c r="E3636" s="82">
        <v>6281353489660</v>
      </c>
      <c r="F3636" s="94">
        <v>45878</v>
      </c>
      <c r="G3636" s="87">
        <v>490</v>
      </c>
      <c r="H3636" s="88">
        <v>25362.068965517243</v>
      </c>
      <c r="I3636" s="89">
        <v>13</v>
      </c>
      <c r="J3636" s="90">
        <v>13239</v>
      </c>
      <c r="K3636" s="85">
        <v>2</v>
      </c>
      <c r="L3636" s="85">
        <v>21</v>
      </c>
      <c r="M3636" s="85">
        <v>0</v>
      </c>
      <c r="N3636" s="82" t="s">
        <v>11852</v>
      </c>
      <c r="O3636" s="93">
        <v>45879.800254629627</v>
      </c>
    </row>
    <row r="3637" spans="1:15" ht="22.5" customHeight="1">
      <c r="A3637" s="85">
        <v>766589657993298</v>
      </c>
      <c r="B3637" s="82" t="s">
        <v>10688</v>
      </c>
      <c r="C3637" s="82" t="s">
        <v>11821</v>
      </c>
      <c r="D3637" s="82" t="s">
        <v>3703</v>
      </c>
      <c r="E3637" s="82">
        <v>6283856759344</v>
      </c>
      <c r="F3637" s="94">
        <v>45878</v>
      </c>
      <c r="G3637" s="87">
        <v>792</v>
      </c>
      <c r="H3637" s="88">
        <v>14441.81459566075</v>
      </c>
      <c r="I3637" s="89">
        <v>15</v>
      </c>
      <c r="J3637" s="90">
        <v>14644</v>
      </c>
      <c r="K3637" s="85">
        <v>0</v>
      </c>
      <c r="L3637" s="85">
        <v>227</v>
      </c>
      <c r="M3637" s="85">
        <v>0</v>
      </c>
      <c r="N3637" s="82" t="s">
        <v>11822</v>
      </c>
      <c r="O3637" s="93">
        <v>45879.675173611111</v>
      </c>
    </row>
    <row r="3638" spans="1:15" ht="22.5" customHeight="1">
      <c r="A3638" s="85">
        <v>759724529202804</v>
      </c>
      <c r="B3638" s="82" t="s">
        <v>10621</v>
      </c>
      <c r="C3638" s="82" t="s">
        <v>11055</v>
      </c>
      <c r="D3638" s="82" t="s">
        <v>1021</v>
      </c>
      <c r="E3638" s="82"/>
      <c r="F3638" s="92">
        <v>45879</v>
      </c>
      <c r="G3638" s="87">
        <v>779</v>
      </c>
      <c r="H3638" s="88">
        <v>34818.369453044375</v>
      </c>
      <c r="I3638" s="89">
        <v>29</v>
      </c>
      <c r="J3638" s="90">
        <v>33739</v>
      </c>
      <c r="K3638" s="85">
        <v>5</v>
      </c>
      <c r="L3638" s="85">
        <v>285</v>
      </c>
      <c r="M3638" s="85">
        <v>1</v>
      </c>
      <c r="N3638" s="82" t="s">
        <v>11056</v>
      </c>
      <c r="O3638" s="93">
        <v>45874.499675925923</v>
      </c>
    </row>
    <row r="3639" spans="1:15" ht="22.5" customHeight="1">
      <c r="A3639" s="85">
        <v>174904221976312</v>
      </c>
      <c r="B3639" s="82" t="s">
        <v>10651</v>
      </c>
      <c r="C3639" s="82" t="s">
        <v>11838</v>
      </c>
      <c r="D3639" s="82" t="s">
        <v>11839</v>
      </c>
      <c r="E3639" s="82">
        <v>6287797504113</v>
      </c>
      <c r="F3639" s="92">
        <v>45879</v>
      </c>
      <c r="G3639" s="87">
        <v>412</v>
      </c>
      <c r="H3639" s="88">
        <v>29052.272727272724</v>
      </c>
      <c r="I3639" s="89">
        <v>28</v>
      </c>
      <c r="J3639" s="90">
        <v>12783</v>
      </c>
      <c r="K3639" s="85">
        <v>2</v>
      </c>
      <c r="L3639" s="85">
        <v>115</v>
      </c>
      <c r="M3639" s="85">
        <v>0</v>
      </c>
      <c r="N3639" s="82" t="s">
        <v>11840</v>
      </c>
      <c r="O3639" s="93">
        <v>45880.630844907406</v>
      </c>
    </row>
    <row r="3640" spans="1:15" ht="22.5" customHeight="1">
      <c r="A3640" s="85">
        <v>174904221976312</v>
      </c>
      <c r="B3640" s="82" t="s">
        <v>10651</v>
      </c>
      <c r="C3640" s="82" t="s">
        <v>11811</v>
      </c>
      <c r="D3640" s="82" t="s">
        <v>11812</v>
      </c>
      <c r="E3640" s="82">
        <v>6285328883803</v>
      </c>
      <c r="F3640" s="92">
        <v>45879</v>
      </c>
      <c r="G3640" s="87">
        <v>433</v>
      </c>
      <c r="H3640" s="88">
        <v>25892.787524366471</v>
      </c>
      <c r="I3640" s="89">
        <v>12</v>
      </c>
      <c r="J3640" s="90">
        <v>13283</v>
      </c>
      <c r="K3640" s="85">
        <v>2</v>
      </c>
      <c r="L3640" s="85">
        <v>0</v>
      </c>
      <c r="M3640" s="85">
        <v>0</v>
      </c>
      <c r="N3640" s="82" t="s">
        <v>11813</v>
      </c>
      <c r="O3640" s="93">
        <v>45880.672361111108</v>
      </c>
    </row>
    <row r="3641" spans="1:15" ht="22.5" customHeight="1">
      <c r="A3641" s="85">
        <v>174904221976312</v>
      </c>
      <c r="B3641" s="82" t="s">
        <v>10651</v>
      </c>
      <c r="C3641" s="82" t="s">
        <v>11814</v>
      </c>
      <c r="D3641" s="82" t="s">
        <v>3733</v>
      </c>
      <c r="E3641" s="82">
        <v>62882001438924</v>
      </c>
      <c r="F3641" s="92">
        <v>45879</v>
      </c>
      <c r="G3641" s="87">
        <v>227</v>
      </c>
      <c r="H3641" s="88">
        <v>55520.325203252032</v>
      </c>
      <c r="I3641" s="89">
        <v>8</v>
      </c>
      <c r="J3641" s="90">
        <v>13658</v>
      </c>
      <c r="K3641" s="85">
        <v>0</v>
      </c>
      <c r="L3641" s="85">
        <v>58</v>
      </c>
      <c r="M3641" s="85">
        <v>0</v>
      </c>
      <c r="N3641" s="82" t="s">
        <v>11815</v>
      </c>
      <c r="O3641" s="93">
        <v>45880.46398148148</v>
      </c>
    </row>
    <row r="3642" spans="1:15" ht="22.5" customHeight="1">
      <c r="A3642" s="85">
        <v>174904221976312</v>
      </c>
      <c r="B3642" s="82" t="s">
        <v>10651</v>
      </c>
      <c r="C3642" s="82" t="s">
        <v>11816</v>
      </c>
      <c r="D3642" s="82" t="s">
        <v>3682</v>
      </c>
      <c r="E3642" s="82">
        <v>6285602235226</v>
      </c>
      <c r="F3642" s="92">
        <v>45879</v>
      </c>
      <c r="G3642" s="87">
        <v>374</v>
      </c>
      <c r="H3642" s="88">
        <v>29204.301075268817</v>
      </c>
      <c r="I3642" s="89">
        <v>24</v>
      </c>
      <c r="J3642" s="90">
        <v>13580</v>
      </c>
      <c r="K3642" s="85">
        <v>4</v>
      </c>
      <c r="L3642" s="85">
        <v>1</v>
      </c>
      <c r="M3642" s="85">
        <v>0</v>
      </c>
      <c r="N3642" s="82" t="s">
        <v>11817</v>
      </c>
      <c r="O3642" s="93">
        <v>45880.422291666669</v>
      </c>
    </row>
    <row r="3643" spans="1:15" ht="22.5" customHeight="1">
      <c r="A3643" s="85">
        <v>174904221976312</v>
      </c>
      <c r="B3643" s="82" t="s">
        <v>10651</v>
      </c>
      <c r="C3643" s="82" t="s">
        <v>11818</v>
      </c>
      <c r="D3643" s="82" t="s">
        <v>11819</v>
      </c>
      <c r="E3643" s="82">
        <v>6289515920603</v>
      </c>
      <c r="F3643" s="92">
        <v>45879</v>
      </c>
      <c r="G3643" s="87">
        <v>264</v>
      </c>
      <c r="H3643" s="88">
        <v>42549.668874172181</v>
      </c>
      <c r="I3643" s="89">
        <v>8</v>
      </c>
      <c r="J3643" s="90">
        <v>12850</v>
      </c>
      <c r="K3643" s="85">
        <v>0</v>
      </c>
      <c r="L3643" s="85">
        <v>88</v>
      </c>
      <c r="M3643" s="85">
        <v>0</v>
      </c>
      <c r="N3643" s="82" t="s">
        <v>11820</v>
      </c>
      <c r="O3643" s="93">
        <v>45880.589178240742</v>
      </c>
    </row>
    <row r="3644" spans="1:15" ht="22.5" customHeight="1">
      <c r="A3644" s="85">
        <v>174904221976312</v>
      </c>
      <c r="B3644" s="82" t="s">
        <v>10651</v>
      </c>
      <c r="C3644" s="82" t="s">
        <v>11804</v>
      </c>
      <c r="D3644" s="82" t="s">
        <v>3672</v>
      </c>
      <c r="E3644" s="82">
        <v>628170204528</v>
      </c>
      <c r="F3644" s="92">
        <v>45879</v>
      </c>
      <c r="G3644" s="87">
        <v>658</v>
      </c>
      <c r="H3644" s="88">
        <v>16467.741935483871</v>
      </c>
      <c r="I3644" s="89">
        <v>21</v>
      </c>
      <c r="J3644" s="90">
        <v>13273</v>
      </c>
      <c r="K3644" s="85">
        <v>5</v>
      </c>
      <c r="L3644" s="85">
        <v>53</v>
      </c>
      <c r="M3644" s="85">
        <v>0</v>
      </c>
      <c r="N3644" s="82" t="s">
        <v>11805</v>
      </c>
      <c r="O3644" s="93">
        <v>45880.589166666665</v>
      </c>
    </row>
    <row r="3645" spans="1:15" ht="22.5" customHeight="1">
      <c r="A3645" s="85">
        <v>174904221976312</v>
      </c>
      <c r="B3645" s="82" t="s">
        <v>10651</v>
      </c>
      <c r="C3645" s="82" t="s">
        <v>11806</v>
      </c>
      <c r="D3645" s="82" t="s">
        <v>11807</v>
      </c>
      <c r="E3645" s="82">
        <v>6285338373761</v>
      </c>
      <c r="F3645" s="92">
        <v>45879</v>
      </c>
      <c r="G3645" s="87">
        <v>1242</v>
      </c>
      <c r="H3645" s="88">
        <v>9447.2295514511861</v>
      </c>
      <c r="I3645" s="89">
        <v>114</v>
      </c>
      <c r="J3645" s="90">
        <v>14322</v>
      </c>
      <c r="K3645" s="85">
        <v>9</v>
      </c>
      <c r="L3645" s="85">
        <v>740</v>
      </c>
      <c r="M3645" s="85">
        <v>0</v>
      </c>
      <c r="N3645" s="82" t="s">
        <v>11808</v>
      </c>
      <c r="O3645" s="93">
        <v>45880.589178240742</v>
      </c>
    </row>
    <row r="3646" spans="1:15" ht="22.5" customHeight="1">
      <c r="A3646" s="85">
        <v>174904221976312</v>
      </c>
      <c r="B3646" s="82" t="s">
        <v>10651</v>
      </c>
      <c r="C3646" s="82" t="s">
        <v>11809</v>
      </c>
      <c r="D3646" s="82" t="s">
        <v>2523</v>
      </c>
      <c r="E3646" s="82">
        <v>6285191259285</v>
      </c>
      <c r="F3646" s="92">
        <v>45879</v>
      </c>
      <c r="G3646" s="87">
        <v>717</v>
      </c>
      <c r="H3646" s="88">
        <v>16020.581113801452</v>
      </c>
      <c r="I3646" s="89">
        <v>15</v>
      </c>
      <c r="J3646" s="90">
        <v>13233</v>
      </c>
      <c r="K3646" s="85">
        <v>0</v>
      </c>
      <c r="L3646" s="85">
        <v>43</v>
      </c>
      <c r="M3646" s="85">
        <v>0</v>
      </c>
      <c r="N3646" s="82" t="s">
        <v>11810</v>
      </c>
      <c r="O3646" s="93">
        <v>45880.484942129631</v>
      </c>
    </row>
    <row r="3647" spans="1:15" ht="22.5" customHeight="1">
      <c r="A3647" s="85">
        <v>174904221976312</v>
      </c>
      <c r="B3647" s="82" t="s">
        <v>10651</v>
      </c>
      <c r="C3647" s="82" t="s">
        <v>11792</v>
      </c>
      <c r="D3647" s="82" t="s">
        <v>11793</v>
      </c>
      <c r="E3647" s="82">
        <v>6281915041833</v>
      </c>
      <c r="F3647" s="92">
        <v>45879</v>
      </c>
      <c r="G3647" s="87">
        <v>996</v>
      </c>
      <c r="H3647" s="88">
        <v>10973.443983402489</v>
      </c>
      <c r="I3647" s="89">
        <v>33</v>
      </c>
      <c r="J3647" s="90">
        <v>13223</v>
      </c>
      <c r="K3647" s="85">
        <v>1</v>
      </c>
      <c r="L3647" s="85">
        <v>451</v>
      </c>
      <c r="M3647" s="85">
        <v>0</v>
      </c>
      <c r="N3647" s="82" t="s">
        <v>11794</v>
      </c>
      <c r="O3647" s="93">
        <v>45880.216608796298</v>
      </c>
    </row>
    <row r="3648" spans="1:15" ht="22.5" customHeight="1">
      <c r="A3648" s="85">
        <v>174904221976312</v>
      </c>
      <c r="B3648" s="82" t="s">
        <v>10651</v>
      </c>
      <c r="C3648" s="82" t="s">
        <v>11795</v>
      </c>
      <c r="D3648" s="82" t="s">
        <v>9010</v>
      </c>
      <c r="E3648" s="82">
        <v>6281378305888</v>
      </c>
      <c r="F3648" s="92">
        <v>45879</v>
      </c>
      <c r="G3648" s="87">
        <v>998</v>
      </c>
      <c r="H3648" s="88">
        <v>10244.167962674961</v>
      </c>
      <c r="I3648" s="89">
        <v>40</v>
      </c>
      <c r="J3648" s="90">
        <v>13174</v>
      </c>
      <c r="K3648" s="85">
        <v>1</v>
      </c>
      <c r="L3648" s="85">
        <v>410</v>
      </c>
      <c r="M3648" s="85">
        <v>0</v>
      </c>
      <c r="N3648" s="82" t="s">
        <v>11796</v>
      </c>
      <c r="O3648" s="93">
        <v>45880.216631944444</v>
      </c>
    </row>
    <row r="3649" spans="1:15" ht="22.5" customHeight="1">
      <c r="A3649" s="85">
        <v>174904221976312</v>
      </c>
      <c r="B3649" s="82" t="s">
        <v>10651</v>
      </c>
      <c r="C3649" s="82" t="s">
        <v>11797</v>
      </c>
      <c r="D3649" s="82" t="s">
        <v>3616</v>
      </c>
      <c r="E3649" s="82">
        <v>6285299991164</v>
      </c>
      <c r="F3649" s="92">
        <v>45879</v>
      </c>
      <c r="G3649" s="87">
        <v>360</v>
      </c>
      <c r="H3649" s="88">
        <v>35877.403846153844</v>
      </c>
      <c r="I3649" s="89">
        <v>16</v>
      </c>
      <c r="J3649" s="90">
        <v>14925</v>
      </c>
      <c r="K3649" s="85">
        <v>0</v>
      </c>
      <c r="L3649" s="85">
        <v>34</v>
      </c>
      <c r="M3649" s="85">
        <v>0</v>
      </c>
      <c r="N3649" s="82" t="s">
        <v>11798</v>
      </c>
      <c r="O3649" s="93">
        <v>45880.589189814818</v>
      </c>
    </row>
    <row r="3650" spans="1:15" ht="22.5" customHeight="1">
      <c r="A3650" s="85">
        <v>174904221976312</v>
      </c>
      <c r="B3650" s="82" t="s">
        <v>10651</v>
      </c>
      <c r="C3650" s="82" t="s">
        <v>11799</v>
      </c>
      <c r="D3650" s="82" t="s">
        <v>11800</v>
      </c>
      <c r="E3650" s="82">
        <v>6285333751528</v>
      </c>
      <c r="F3650" s="92">
        <v>45879</v>
      </c>
      <c r="G3650" s="87">
        <v>314</v>
      </c>
      <c r="H3650" s="88">
        <v>33718.91891891892</v>
      </c>
      <c r="I3650" s="89">
        <v>10</v>
      </c>
      <c r="J3650" s="90">
        <v>12476</v>
      </c>
      <c r="K3650" s="85">
        <v>2</v>
      </c>
      <c r="L3650" s="85">
        <v>11</v>
      </c>
      <c r="M3650" s="85">
        <v>0</v>
      </c>
      <c r="N3650" s="82" t="s">
        <v>11801</v>
      </c>
      <c r="O3650" s="93">
        <v>45880.46398148148</v>
      </c>
    </row>
    <row r="3651" spans="1:15" ht="22.5" customHeight="1">
      <c r="A3651" s="85">
        <v>174904221976312</v>
      </c>
      <c r="B3651" s="82" t="s">
        <v>10651</v>
      </c>
      <c r="C3651" s="82" t="s">
        <v>11802</v>
      </c>
      <c r="D3651" s="82" t="s">
        <v>3576</v>
      </c>
      <c r="E3651" s="82">
        <v>6285338700113</v>
      </c>
      <c r="F3651" s="92">
        <v>45879</v>
      </c>
      <c r="G3651" s="87">
        <v>832</v>
      </c>
      <c r="H3651" s="88">
        <v>16344.907407407409</v>
      </c>
      <c r="I3651" s="89">
        <v>46</v>
      </c>
      <c r="J3651" s="90">
        <v>14122</v>
      </c>
      <c r="K3651" s="85">
        <v>0</v>
      </c>
      <c r="L3651" s="85">
        <v>402</v>
      </c>
      <c r="M3651" s="85">
        <v>0</v>
      </c>
      <c r="N3651" s="82" t="s">
        <v>11803</v>
      </c>
      <c r="O3651" s="93">
        <v>45880.216608796298</v>
      </c>
    </row>
    <row r="3652" spans="1:15" ht="22.5" customHeight="1">
      <c r="A3652" s="85">
        <v>174904221976312</v>
      </c>
      <c r="B3652" s="82" t="s">
        <v>10651</v>
      </c>
      <c r="C3652" s="82" t="s">
        <v>11766</v>
      </c>
      <c r="D3652" s="82" t="s">
        <v>11767</v>
      </c>
      <c r="E3652" s="82">
        <v>6281225101319</v>
      </c>
      <c r="F3652" s="92">
        <v>45879</v>
      </c>
      <c r="G3652" s="87">
        <v>324</v>
      </c>
      <c r="H3652" s="88">
        <v>38407.506702412866</v>
      </c>
      <c r="I3652" s="89">
        <v>15</v>
      </c>
      <c r="J3652" s="90">
        <v>14326</v>
      </c>
      <c r="K3652" s="85">
        <v>3</v>
      </c>
      <c r="L3652" s="85">
        <v>0</v>
      </c>
      <c r="M3652" s="85">
        <v>0</v>
      </c>
      <c r="N3652" s="82" t="s">
        <v>11768</v>
      </c>
      <c r="O3652" s="93">
        <v>45880.651712962965</v>
      </c>
    </row>
    <row r="3653" spans="1:15" ht="22.5" customHeight="1">
      <c r="A3653" s="85">
        <v>174904221976312</v>
      </c>
      <c r="B3653" s="82" t="s">
        <v>10651</v>
      </c>
      <c r="C3653" s="82" t="s">
        <v>11771</v>
      </c>
      <c r="D3653" s="82" t="s">
        <v>11772</v>
      </c>
      <c r="E3653" s="82">
        <v>6281238115957</v>
      </c>
      <c r="F3653" s="92">
        <v>45879</v>
      </c>
      <c r="G3653" s="87">
        <v>493</v>
      </c>
      <c r="H3653" s="88">
        <v>22594.227504244482</v>
      </c>
      <c r="I3653" s="89">
        <v>7</v>
      </c>
      <c r="J3653" s="90">
        <v>13308</v>
      </c>
      <c r="K3653" s="85">
        <v>3</v>
      </c>
      <c r="L3653" s="85">
        <v>0</v>
      </c>
      <c r="M3653" s="85">
        <v>0</v>
      </c>
      <c r="N3653" s="82" t="s">
        <v>11773</v>
      </c>
      <c r="O3653" s="93">
        <v>45880.484803240739</v>
      </c>
    </row>
    <row r="3654" spans="1:15" ht="22.5" customHeight="1">
      <c r="A3654" s="85">
        <v>174904221976312</v>
      </c>
      <c r="B3654" s="82" t="s">
        <v>10651</v>
      </c>
      <c r="C3654" s="82" t="s">
        <v>11774</v>
      </c>
      <c r="D3654" s="82" t="s">
        <v>11775</v>
      </c>
      <c r="E3654" s="82">
        <v>6281363504410</v>
      </c>
      <c r="F3654" s="92">
        <v>45879</v>
      </c>
      <c r="G3654" s="87">
        <v>132</v>
      </c>
      <c r="H3654" s="88">
        <v>93228.187919463075</v>
      </c>
      <c r="I3654" s="89">
        <v>13</v>
      </c>
      <c r="J3654" s="90">
        <v>13891</v>
      </c>
      <c r="K3654" s="85">
        <v>5</v>
      </c>
      <c r="L3654" s="85">
        <v>1</v>
      </c>
      <c r="M3654" s="85">
        <v>0</v>
      </c>
      <c r="N3654" s="82" t="s">
        <v>11776</v>
      </c>
      <c r="O3654" s="93">
        <v>45880.547673611109</v>
      </c>
    </row>
    <row r="3655" spans="1:15" ht="22.5" customHeight="1">
      <c r="A3655" s="85">
        <v>174904221976312</v>
      </c>
      <c r="B3655" s="82" t="s">
        <v>10651</v>
      </c>
      <c r="C3655" s="82" t="s">
        <v>11777</v>
      </c>
      <c r="D3655" s="82" t="s">
        <v>11778</v>
      </c>
      <c r="E3655" s="82">
        <v>6281374844270</v>
      </c>
      <c r="F3655" s="92">
        <v>45879</v>
      </c>
      <c r="G3655" s="87">
        <v>389</v>
      </c>
      <c r="H3655" s="88">
        <v>27554.272517321016</v>
      </c>
      <c r="I3655" s="89">
        <v>16</v>
      </c>
      <c r="J3655" s="90">
        <v>11931</v>
      </c>
      <c r="K3655" s="85">
        <v>1</v>
      </c>
      <c r="L3655" s="85">
        <v>130</v>
      </c>
      <c r="M3655" s="85">
        <v>1</v>
      </c>
      <c r="N3655" s="82" t="s">
        <v>11779</v>
      </c>
      <c r="O3655" s="93">
        <v>45880.630833333336</v>
      </c>
    </row>
    <row r="3656" spans="1:15" ht="22.5" customHeight="1">
      <c r="A3656" s="85">
        <v>174904221976312</v>
      </c>
      <c r="B3656" s="82" t="s">
        <v>10651</v>
      </c>
      <c r="C3656" s="82" t="s">
        <v>11780</v>
      </c>
      <c r="D3656" s="82" t="s">
        <v>11781</v>
      </c>
      <c r="E3656" s="82">
        <v>6282129364133</v>
      </c>
      <c r="F3656" s="92">
        <v>45879</v>
      </c>
      <c r="G3656" s="87">
        <v>469</v>
      </c>
      <c r="H3656" s="88">
        <v>23531.690140845072</v>
      </c>
      <c r="I3656" s="89">
        <v>12</v>
      </c>
      <c r="J3656" s="90">
        <v>13366</v>
      </c>
      <c r="K3656" s="85">
        <v>3</v>
      </c>
      <c r="L3656" s="85">
        <v>0</v>
      </c>
      <c r="M3656" s="85">
        <v>0</v>
      </c>
      <c r="N3656" s="82" t="s">
        <v>11782</v>
      </c>
      <c r="O3656" s="93">
        <v>45880.506249999999</v>
      </c>
    </row>
    <row r="3657" spans="1:15" ht="22.5" customHeight="1">
      <c r="A3657" s="85">
        <v>174904221976312</v>
      </c>
      <c r="B3657" s="82" t="s">
        <v>10651</v>
      </c>
      <c r="C3657" s="82" t="s">
        <v>11783</v>
      </c>
      <c r="D3657" s="82" t="s">
        <v>3600</v>
      </c>
      <c r="E3657" s="82">
        <v>6285241858483</v>
      </c>
      <c r="F3657" s="92">
        <v>45879</v>
      </c>
      <c r="G3657" s="87">
        <v>139</v>
      </c>
      <c r="H3657" s="88">
        <v>12400</v>
      </c>
      <c r="I3657" s="89">
        <v>5</v>
      </c>
      <c r="J3657" s="90">
        <v>1860</v>
      </c>
      <c r="K3657" s="85">
        <v>0</v>
      </c>
      <c r="L3657" s="85">
        <v>0</v>
      </c>
      <c r="M3657" s="85">
        <v>0</v>
      </c>
      <c r="N3657" s="82" t="s">
        <v>11784</v>
      </c>
      <c r="O3657" s="93">
        <v>45880.216620370367</v>
      </c>
    </row>
    <row r="3658" spans="1:15" ht="22.5" customHeight="1">
      <c r="A3658" s="85">
        <v>174904221976312</v>
      </c>
      <c r="B3658" s="82" t="s">
        <v>10651</v>
      </c>
      <c r="C3658" s="82" t="s">
        <v>11785</v>
      </c>
      <c r="D3658" s="82" t="s">
        <v>11786</v>
      </c>
      <c r="E3658" s="82">
        <v>628557182563</v>
      </c>
      <c r="F3658" s="92">
        <v>45879</v>
      </c>
      <c r="G3658" s="87">
        <v>468</v>
      </c>
      <c r="H3658" s="88">
        <v>27673.040152963673</v>
      </c>
      <c r="I3658" s="89">
        <v>19</v>
      </c>
      <c r="J3658" s="90">
        <v>14473</v>
      </c>
      <c r="K3658" s="85">
        <v>4</v>
      </c>
      <c r="L3658" s="85">
        <v>1</v>
      </c>
      <c r="M3658" s="85">
        <v>0</v>
      </c>
      <c r="N3658" s="82" t="s">
        <v>11787</v>
      </c>
      <c r="O3658" s="93">
        <v>45880.6721412037</v>
      </c>
    </row>
    <row r="3659" spans="1:15" ht="22.5" customHeight="1">
      <c r="A3659" s="85">
        <v>174904221976312</v>
      </c>
      <c r="B3659" s="82" t="s">
        <v>10651</v>
      </c>
      <c r="C3659" s="82" t="s">
        <v>11740</v>
      </c>
      <c r="D3659" s="82" t="s">
        <v>3562</v>
      </c>
      <c r="E3659" s="82">
        <v>6281558225822</v>
      </c>
      <c r="F3659" s="92">
        <v>45879</v>
      </c>
      <c r="G3659" s="87">
        <v>118</v>
      </c>
      <c r="H3659" s="88">
        <v>90825.174825174821</v>
      </c>
      <c r="I3659" s="89">
        <v>2</v>
      </c>
      <c r="J3659" s="90">
        <v>12988</v>
      </c>
      <c r="K3659" s="85">
        <v>0</v>
      </c>
      <c r="L3659" s="85">
        <v>16</v>
      </c>
      <c r="M3659" s="85">
        <v>0</v>
      </c>
      <c r="N3659" s="82" t="s">
        <v>11741</v>
      </c>
      <c r="O3659" s="93">
        <v>45880.568344907406</v>
      </c>
    </row>
    <row r="3660" spans="1:15" ht="22.5" customHeight="1">
      <c r="A3660" s="85">
        <v>174904221976312</v>
      </c>
      <c r="B3660" s="82" t="s">
        <v>10651</v>
      </c>
      <c r="C3660" s="82" t="s">
        <v>11744</v>
      </c>
      <c r="D3660" s="82" t="s">
        <v>11745</v>
      </c>
      <c r="E3660" s="82">
        <v>6287721853921</v>
      </c>
      <c r="F3660" s="92">
        <v>45879</v>
      </c>
      <c r="G3660" s="87">
        <v>1305</v>
      </c>
      <c r="H3660" s="88">
        <v>9040.1554404145063</v>
      </c>
      <c r="I3660" s="89">
        <v>44</v>
      </c>
      <c r="J3660" s="90">
        <v>13958</v>
      </c>
      <c r="K3660" s="85">
        <v>6</v>
      </c>
      <c r="L3660" s="85">
        <v>106</v>
      </c>
      <c r="M3660" s="85">
        <v>1</v>
      </c>
      <c r="N3660" s="82" t="s">
        <v>11746</v>
      </c>
      <c r="O3660" s="93">
        <v>45880.505983796298</v>
      </c>
    </row>
    <row r="3661" spans="1:15" ht="22.5" customHeight="1">
      <c r="A3661" s="85">
        <v>174904221976312</v>
      </c>
      <c r="B3661" s="82" t="s">
        <v>10651</v>
      </c>
      <c r="C3661" s="82" t="s">
        <v>11752</v>
      </c>
      <c r="D3661" s="82" t="s">
        <v>11753</v>
      </c>
      <c r="E3661" s="82">
        <v>6281326757091</v>
      </c>
      <c r="F3661" s="92">
        <v>45879</v>
      </c>
      <c r="G3661" s="87">
        <v>1061</v>
      </c>
      <c r="H3661" s="88">
        <v>10533.603238866397</v>
      </c>
      <c r="I3661" s="89">
        <v>105</v>
      </c>
      <c r="J3661" s="90">
        <v>13009</v>
      </c>
      <c r="K3661" s="85">
        <v>11</v>
      </c>
      <c r="L3661" s="85">
        <v>380</v>
      </c>
      <c r="M3661" s="85">
        <v>2</v>
      </c>
      <c r="N3661" s="82" t="s">
        <v>11754</v>
      </c>
      <c r="O3661" s="93">
        <v>45880.6721412037</v>
      </c>
    </row>
    <row r="3662" spans="1:15" ht="22.5" customHeight="1">
      <c r="A3662" s="85">
        <v>174904221976312</v>
      </c>
      <c r="B3662" s="82" t="s">
        <v>10651</v>
      </c>
      <c r="C3662" s="82" t="s">
        <v>11755</v>
      </c>
      <c r="D3662" s="82" t="s">
        <v>11756</v>
      </c>
      <c r="E3662" s="82">
        <v>6281357754513</v>
      </c>
      <c r="F3662" s="92">
        <v>45879</v>
      </c>
      <c r="G3662" s="87">
        <v>609</v>
      </c>
      <c r="H3662" s="88">
        <v>20461.194029850743</v>
      </c>
      <c r="I3662" s="89">
        <v>15</v>
      </c>
      <c r="J3662" s="90">
        <v>13709</v>
      </c>
      <c r="K3662" s="85">
        <v>2</v>
      </c>
      <c r="L3662" s="85">
        <v>178</v>
      </c>
      <c r="M3662" s="85">
        <v>0</v>
      </c>
      <c r="N3662" s="82" t="s">
        <v>11757</v>
      </c>
      <c r="O3662" s="93">
        <v>45880.630833333336</v>
      </c>
    </row>
    <row r="3663" spans="1:15" ht="22.5" customHeight="1">
      <c r="A3663" s="85">
        <v>174904221976312</v>
      </c>
      <c r="B3663" s="82" t="s">
        <v>10651</v>
      </c>
      <c r="C3663" s="82" t="s">
        <v>11761</v>
      </c>
      <c r="D3663" s="82" t="s">
        <v>3438</v>
      </c>
      <c r="E3663" s="82">
        <v>628154336558</v>
      </c>
      <c r="F3663" s="92">
        <v>45879</v>
      </c>
      <c r="G3663" s="87">
        <v>1964</v>
      </c>
      <c r="H3663" s="88">
        <v>6812.3791102514506</v>
      </c>
      <c r="I3663" s="89">
        <v>91</v>
      </c>
      <c r="J3663" s="90">
        <v>14088</v>
      </c>
      <c r="K3663" s="85">
        <v>2</v>
      </c>
      <c r="L3663" s="85">
        <v>881</v>
      </c>
      <c r="M3663" s="85">
        <v>3</v>
      </c>
      <c r="N3663" s="82" t="s">
        <v>11762</v>
      </c>
      <c r="O3663" s="93">
        <v>45880.589166666665</v>
      </c>
    </row>
    <row r="3664" spans="1:15" ht="22.5" customHeight="1">
      <c r="A3664" s="85">
        <v>174904221976312</v>
      </c>
      <c r="B3664" s="82" t="s">
        <v>10651</v>
      </c>
      <c r="C3664" s="82" t="s">
        <v>11763</v>
      </c>
      <c r="D3664" s="82" t="s">
        <v>11764</v>
      </c>
      <c r="E3664" s="82">
        <v>6282384544939</v>
      </c>
      <c r="F3664" s="92">
        <v>45879</v>
      </c>
      <c r="G3664" s="87">
        <v>328</v>
      </c>
      <c r="H3664" s="88">
        <v>33086.167800453513</v>
      </c>
      <c r="I3664" s="89">
        <v>12</v>
      </c>
      <c r="J3664" s="90">
        <v>14591</v>
      </c>
      <c r="K3664" s="85">
        <v>2</v>
      </c>
      <c r="L3664" s="85">
        <v>50</v>
      </c>
      <c r="M3664" s="85">
        <v>0</v>
      </c>
      <c r="N3664" s="82" t="s">
        <v>11765</v>
      </c>
      <c r="O3664" s="93">
        <v>45880.547662037039</v>
      </c>
    </row>
    <row r="3665" spans="1:15" ht="22.5" customHeight="1">
      <c r="A3665" s="85">
        <v>174904221976312</v>
      </c>
      <c r="B3665" s="82" t="s">
        <v>10651</v>
      </c>
      <c r="C3665" s="82" t="s">
        <v>11728</v>
      </c>
      <c r="D3665" s="82" t="s">
        <v>11729</v>
      </c>
      <c r="E3665" s="82">
        <v>628122703083</v>
      </c>
      <c r="F3665" s="92">
        <v>45879</v>
      </c>
      <c r="G3665" s="87">
        <v>151</v>
      </c>
      <c r="H3665" s="88">
        <v>67312.138728323698</v>
      </c>
      <c r="I3665" s="89">
        <v>11</v>
      </c>
      <c r="J3665" s="90">
        <v>11645</v>
      </c>
      <c r="K3665" s="85">
        <v>1</v>
      </c>
      <c r="L3665" s="85">
        <v>0</v>
      </c>
      <c r="M3665" s="85">
        <v>0</v>
      </c>
      <c r="N3665" s="82" t="s">
        <v>11841</v>
      </c>
      <c r="O3665" s="93">
        <v>45880.630833333336</v>
      </c>
    </row>
    <row r="3666" spans="1:15" ht="22.5" customHeight="1">
      <c r="A3666" s="85">
        <v>174904221976312</v>
      </c>
      <c r="B3666" s="82" t="s">
        <v>10651</v>
      </c>
      <c r="C3666" s="82" t="s">
        <v>11733</v>
      </c>
      <c r="D3666" s="82" t="s">
        <v>3479</v>
      </c>
      <c r="E3666" s="82">
        <v>6285780314346</v>
      </c>
      <c r="F3666" s="92">
        <v>45879</v>
      </c>
      <c r="G3666" s="87">
        <v>601</v>
      </c>
      <c r="H3666" s="88">
        <v>16946.478873239434</v>
      </c>
      <c r="I3666" s="89">
        <v>39</v>
      </c>
      <c r="J3666" s="90">
        <v>12032</v>
      </c>
      <c r="K3666" s="85">
        <v>1</v>
      </c>
      <c r="L3666" s="85">
        <v>198</v>
      </c>
      <c r="M3666" s="85">
        <v>0</v>
      </c>
      <c r="N3666" s="82" t="s">
        <v>11734</v>
      </c>
      <c r="O3666" s="93">
        <v>45880.672152777777</v>
      </c>
    </row>
    <row r="3667" spans="1:15" ht="22.5" customHeight="1">
      <c r="A3667" s="85">
        <v>174904221976312</v>
      </c>
      <c r="B3667" s="82" t="s">
        <v>10651</v>
      </c>
      <c r="C3667" s="82" t="s">
        <v>11708</v>
      </c>
      <c r="D3667" s="82" t="s">
        <v>11709</v>
      </c>
      <c r="E3667" s="82">
        <v>6285294617773</v>
      </c>
      <c r="F3667" s="92">
        <v>45879</v>
      </c>
      <c r="G3667" s="87">
        <v>403</v>
      </c>
      <c r="H3667" s="88">
        <v>34606.635071090044</v>
      </c>
      <c r="I3667" s="89">
        <v>16</v>
      </c>
      <c r="J3667" s="90">
        <v>14604</v>
      </c>
      <c r="K3667" s="85">
        <v>2</v>
      </c>
      <c r="L3667" s="85">
        <v>37</v>
      </c>
      <c r="M3667" s="85">
        <v>0</v>
      </c>
      <c r="N3667" s="82" t="s">
        <v>11710</v>
      </c>
      <c r="O3667" s="93">
        <v>45880.693379629629</v>
      </c>
    </row>
    <row r="3668" spans="1:15" ht="22.5" customHeight="1">
      <c r="A3668" s="85">
        <v>174904221976312</v>
      </c>
      <c r="B3668" s="82" t="s">
        <v>10651</v>
      </c>
      <c r="C3668" s="82" t="s">
        <v>11711</v>
      </c>
      <c r="D3668" s="82" t="s">
        <v>11712</v>
      </c>
      <c r="E3668" s="82">
        <v>6285286258400</v>
      </c>
      <c r="F3668" s="92">
        <v>45879</v>
      </c>
      <c r="G3668" s="87">
        <v>406</v>
      </c>
      <c r="H3668" s="88">
        <v>24689.265536723164</v>
      </c>
      <c r="I3668" s="89">
        <v>22</v>
      </c>
      <c r="J3668" s="90">
        <v>13110</v>
      </c>
      <c r="K3668" s="85">
        <v>0</v>
      </c>
      <c r="L3668" s="85">
        <v>135</v>
      </c>
      <c r="M3668" s="85">
        <v>0</v>
      </c>
      <c r="N3668" s="82" t="s">
        <v>11713</v>
      </c>
      <c r="O3668" s="93">
        <v>45880.506249999999</v>
      </c>
    </row>
    <row r="3669" spans="1:15" ht="22.5" customHeight="1">
      <c r="A3669" s="85">
        <v>174904221976312</v>
      </c>
      <c r="B3669" s="82" t="s">
        <v>10651</v>
      </c>
      <c r="C3669" s="82" t="s">
        <v>11663</v>
      </c>
      <c r="D3669" s="82" t="s">
        <v>11664</v>
      </c>
      <c r="E3669" s="82">
        <v>628123264621</v>
      </c>
      <c r="F3669" s="92">
        <v>45879</v>
      </c>
      <c r="G3669" s="87">
        <v>820</v>
      </c>
      <c r="H3669" s="88">
        <v>13757.635467980295</v>
      </c>
      <c r="I3669" s="89">
        <v>46</v>
      </c>
      <c r="J3669" s="90">
        <v>13964</v>
      </c>
      <c r="K3669" s="85">
        <v>1</v>
      </c>
      <c r="L3669" s="85">
        <v>46</v>
      </c>
      <c r="M3669" s="85">
        <v>2</v>
      </c>
      <c r="N3669" s="82" t="s">
        <v>11665</v>
      </c>
      <c r="O3669" s="93">
        <v>45880.651412037034</v>
      </c>
    </row>
    <row r="3670" spans="1:15" ht="22.5" customHeight="1">
      <c r="A3670" s="85">
        <v>174904221976312</v>
      </c>
      <c r="B3670" s="82" t="s">
        <v>10651</v>
      </c>
      <c r="C3670" s="82" t="s">
        <v>11636</v>
      </c>
      <c r="D3670" s="82" t="s">
        <v>11637</v>
      </c>
      <c r="E3670" s="82">
        <v>6282154233977</v>
      </c>
      <c r="F3670" s="92">
        <v>45879</v>
      </c>
      <c r="G3670" s="87">
        <v>1019</v>
      </c>
      <c r="H3670" s="88">
        <v>13031.166518254675</v>
      </c>
      <c r="I3670" s="89">
        <v>53</v>
      </c>
      <c r="J3670" s="90">
        <v>14634</v>
      </c>
      <c r="K3670" s="85">
        <v>3</v>
      </c>
      <c r="L3670" s="85">
        <v>337</v>
      </c>
      <c r="M3670" s="85">
        <v>2</v>
      </c>
      <c r="N3670" s="82" t="s">
        <v>11638</v>
      </c>
      <c r="O3670" s="93">
        <v>45880.630833333336</v>
      </c>
    </row>
    <row r="3671" spans="1:15" ht="22.5" customHeight="1">
      <c r="A3671" s="85">
        <v>174904221976312</v>
      </c>
      <c r="B3671" s="82" t="s">
        <v>10651</v>
      </c>
      <c r="C3671" s="82" t="s">
        <v>11580</v>
      </c>
      <c r="D3671" s="82" t="s">
        <v>11581</v>
      </c>
      <c r="E3671" s="82">
        <v>6287790276733</v>
      </c>
      <c r="F3671" s="92">
        <v>45879</v>
      </c>
      <c r="G3671" s="87">
        <v>531</v>
      </c>
      <c r="H3671" s="88">
        <v>20544.267053701016</v>
      </c>
      <c r="I3671" s="89">
        <v>11</v>
      </c>
      <c r="J3671" s="90">
        <v>14155</v>
      </c>
      <c r="K3671" s="85">
        <v>0</v>
      </c>
      <c r="L3671" s="85">
        <v>0</v>
      </c>
      <c r="M3671" s="85">
        <v>0</v>
      </c>
      <c r="N3671" s="82" t="s">
        <v>11582</v>
      </c>
      <c r="O3671" s="93">
        <v>45880.216620370367</v>
      </c>
    </row>
    <row r="3672" spans="1:15" ht="22.5" customHeight="1">
      <c r="A3672" s="85">
        <v>174904221976312</v>
      </c>
      <c r="B3672" s="82" t="s">
        <v>10651</v>
      </c>
      <c r="C3672" s="82" t="s">
        <v>11535</v>
      </c>
      <c r="D3672" s="82" t="s">
        <v>2969</v>
      </c>
      <c r="E3672" s="82">
        <v>6281286402030</v>
      </c>
      <c r="F3672" s="92">
        <v>45879</v>
      </c>
      <c r="G3672" s="87">
        <v>213</v>
      </c>
      <c r="H3672" s="88">
        <v>54817.120622568087</v>
      </c>
      <c r="I3672" s="89">
        <v>4</v>
      </c>
      <c r="J3672" s="90">
        <v>14088</v>
      </c>
      <c r="K3672" s="85">
        <v>0</v>
      </c>
      <c r="L3672" s="85">
        <v>86</v>
      </c>
      <c r="M3672" s="85">
        <v>0</v>
      </c>
      <c r="N3672" s="82" t="s">
        <v>11536</v>
      </c>
      <c r="O3672" s="93">
        <v>45880.589178240742</v>
      </c>
    </row>
    <row r="3673" spans="1:15" ht="22.5" customHeight="1">
      <c r="A3673" s="85">
        <v>174904221976312</v>
      </c>
      <c r="B3673" s="82" t="s">
        <v>10651</v>
      </c>
      <c r="C3673" s="82" t="s">
        <v>11494</v>
      </c>
      <c r="D3673" s="82" t="s">
        <v>11495</v>
      </c>
      <c r="E3673" s="82">
        <v>6285645050058</v>
      </c>
      <c r="F3673" s="92">
        <v>45879</v>
      </c>
      <c r="G3673" s="87">
        <v>682</v>
      </c>
      <c r="H3673" s="88">
        <v>14221.505376344085</v>
      </c>
      <c r="I3673" s="89">
        <v>44</v>
      </c>
      <c r="J3673" s="90">
        <v>13226</v>
      </c>
      <c r="K3673" s="85">
        <v>4</v>
      </c>
      <c r="L3673" s="85">
        <v>333</v>
      </c>
      <c r="M3673" s="85">
        <v>0</v>
      </c>
      <c r="N3673" s="82" t="s">
        <v>11496</v>
      </c>
      <c r="O3673" s="93">
        <v>45880.672129629631</v>
      </c>
    </row>
    <row r="3674" spans="1:15" ht="22.5" customHeight="1">
      <c r="A3674" s="85">
        <v>174904221976312</v>
      </c>
      <c r="B3674" s="82" t="s">
        <v>10651</v>
      </c>
      <c r="C3674" s="82" t="s">
        <v>11464</v>
      </c>
      <c r="D3674" s="82" t="s">
        <v>11465</v>
      </c>
      <c r="E3674" s="82">
        <v>62816904358</v>
      </c>
      <c r="F3674" s="92">
        <v>45879</v>
      </c>
      <c r="G3674" s="87">
        <v>279</v>
      </c>
      <c r="H3674" s="88">
        <v>39635.22012578616</v>
      </c>
      <c r="I3674" s="89">
        <v>10</v>
      </c>
      <c r="J3674" s="90">
        <v>12604</v>
      </c>
      <c r="K3674" s="85">
        <v>1</v>
      </c>
      <c r="L3674" s="85">
        <v>8</v>
      </c>
      <c r="M3674" s="85">
        <v>0</v>
      </c>
      <c r="N3674" s="82" t="s">
        <v>11466</v>
      </c>
      <c r="O3674" s="93">
        <v>45880.589166666665</v>
      </c>
    </row>
    <row r="3675" spans="1:15" ht="22.5" customHeight="1">
      <c r="A3675" s="85">
        <v>174904221976312</v>
      </c>
      <c r="B3675" s="82" t="s">
        <v>10651</v>
      </c>
      <c r="C3675" s="82" t="s">
        <v>11396</v>
      </c>
      <c r="D3675" s="82" t="s">
        <v>11397</v>
      </c>
      <c r="E3675" s="82">
        <v>6285789446955</v>
      </c>
      <c r="F3675" s="92">
        <v>45879</v>
      </c>
      <c r="G3675" s="87">
        <v>776</v>
      </c>
      <c r="H3675" s="88">
        <v>14424.843423799583</v>
      </c>
      <c r="I3675" s="89">
        <v>10</v>
      </c>
      <c r="J3675" s="90">
        <v>13819</v>
      </c>
      <c r="K3675" s="85">
        <v>0</v>
      </c>
      <c r="L3675" s="85">
        <v>26</v>
      </c>
      <c r="M3675" s="85">
        <v>0</v>
      </c>
      <c r="N3675" s="82" t="s">
        <v>11398</v>
      </c>
      <c r="O3675" s="93">
        <v>45880.631006944444</v>
      </c>
    </row>
    <row r="3676" spans="1:15" ht="22.5" customHeight="1">
      <c r="A3676" s="85">
        <v>174904221976312</v>
      </c>
      <c r="B3676" s="82" t="s">
        <v>10651</v>
      </c>
      <c r="C3676" s="82" t="s">
        <v>11309</v>
      </c>
      <c r="D3676" s="82" t="s">
        <v>11350</v>
      </c>
      <c r="E3676" s="82">
        <v>6281229745253</v>
      </c>
      <c r="F3676" s="92">
        <v>45879</v>
      </c>
      <c r="G3676" s="87">
        <v>178</v>
      </c>
      <c r="H3676" s="88">
        <v>69303.66492146597</v>
      </c>
      <c r="I3676" s="89">
        <v>10</v>
      </c>
      <c r="J3676" s="90">
        <v>13237</v>
      </c>
      <c r="K3676" s="85">
        <v>3</v>
      </c>
      <c r="L3676" s="85">
        <v>48</v>
      </c>
      <c r="M3676" s="85">
        <v>0</v>
      </c>
      <c r="N3676" s="82" t="s">
        <v>11791</v>
      </c>
      <c r="O3676" s="93">
        <v>45880.505983796298</v>
      </c>
    </row>
    <row r="3677" spans="1:15" ht="22.5" customHeight="1">
      <c r="A3677" s="85">
        <v>174904221976312</v>
      </c>
      <c r="B3677" s="82" t="s">
        <v>10651</v>
      </c>
      <c r="C3677" s="82" t="s">
        <v>10853</v>
      </c>
      <c r="D3677" s="82" t="s">
        <v>10854</v>
      </c>
      <c r="E3677" s="82">
        <v>6281393958199</v>
      </c>
      <c r="F3677" s="92">
        <v>45879</v>
      </c>
      <c r="G3677" s="87">
        <v>456</v>
      </c>
      <c r="H3677" s="88">
        <v>26113.17254174397</v>
      </c>
      <c r="I3677" s="89">
        <v>8</v>
      </c>
      <c r="J3677" s="90">
        <v>14075</v>
      </c>
      <c r="K3677" s="85">
        <v>0</v>
      </c>
      <c r="L3677" s="85">
        <v>132</v>
      </c>
      <c r="M3677" s="85">
        <v>1</v>
      </c>
      <c r="N3677" s="82" t="s">
        <v>10855</v>
      </c>
      <c r="O3677" s="93">
        <v>45880.526319444441</v>
      </c>
    </row>
    <row r="3678" spans="1:15" ht="22.5" customHeight="1">
      <c r="A3678" s="85">
        <v>174904221976312</v>
      </c>
      <c r="B3678" s="82" t="s">
        <v>10651</v>
      </c>
      <c r="C3678" s="82" t="s">
        <v>10657</v>
      </c>
      <c r="D3678" s="82" t="s">
        <v>1239</v>
      </c>
      <c r="E3678" s="82">
        <v>6282172291579</v>
      </c>
      <c r="F3678" s="92">
        <v>45879</v>
      </c>
      <c r="G3678" s="87">
        <v>524</v>
      </c>
      <c r="H3678" s="88">
        <v>19746.223564954682</v>
      </c>
      <c r="I3678" s="89">
        <v>23</v>
      </c>
      <c r="J3678" s="90">
        <v>13072</v>
      </c>
      <c r="K3678" s="85">
        <v>5</v>
      </c>
      <c r="L3678" s="85">
        <v>298</v>
      </c>
      <c r="M3678" s="85">
        <v>0</v>
      </c>
      <c r="N3678" s="82" t="s">
        <v>10658</v>
      </c>
      <c r="O3678" s="93">
        <v>45880.568333333336</v>
      </c>
    </row>
    <row r="3679" spans="1:15" ht="22.5" customHeight="1">
      <c r="A3679" s="85">
        <v>174904221976312</v>
      </c>
      <c r="B3679" s="82" t="s">
        <v>10651</v>
      </c>
      <c r="C3679" s="82" t="s">
        <v>10679</v>
      </c>
      <c r="D3679" s="82" t="s">
        <v>10680</v>
      </c>
      <c r="E3679" s="82">
        <v>6282347206488</v>
      </c>
      <c r="F3679" s="92">
        <v>45879</v>
      </c>
      <c r="G3679" s="87">
        <v>878</v>
      </c>
      <c r="H3679" s="88">
        <v>12246.800731261425</v>
      </c>
      <c r="I3679" s="89">
        <v>44</v>
      </c>
      <c r="J3679" s="90">
        <v>13398</v>
      </c>
      <c r="K3679" s="85">
        <v>7</v>
      </c>
      <c r="L3679" s="85">
        <v>524</v>
      </c>
      <c r="M3679" s="85">
        <v>0</v>
      </c>
      <c r="N3679" s="82" t="s">
        <v>10681</v>
      </c>
      <c r="O3679" s="93">
        <v>45880.589166666665</v>
      </c>
    </row>
    <row r="3680" spans="1:15" ht="22.5" customHeight="1">
      <c r="A3680" s="85">
        <v>759724529202804</v>
      </c>
      <c r="B3680" s="82" t="s">
        <v>10621</v>
      </c>
      <c r="C3680" s="82" t="s">
        <v>11055</v>
      </c>
      <c r="D3680" s="82" t="s">
        <v>1021</v>
      </c>
      <c r="E3680" s="82"/>
      <c r="F3680" s="92">
        <v>45880</v>
      </c>
      <c r="G3680" s="87">
        <v>719</v>
      </c>
      <c r="H3680" s="88">
        <v>36064.814814814818</v>
      </c>
      <c r="I3680" s="89">
        <v>23</v>
      </c>
      <c r="J3680" s="90">
        <v>31160</v>
      </c>
      <c r="K3680" s="85">
        <v>5</v>
      </c>
      <c r="L3680" s="85">
        <v>252</v>
      </c>
      <c r="M3680" s="85">
        <v>0</v>
      </c>
      <c r="N3680" s="82" t="s">
        <v>11056</v>
      </c>
      <c r="O3680" s="93">
        <v>45874.499675925923</v>
      </c>
    </row>
    <row r="3681" spans="1:15" ht="22.5" customHeight="1">
      <c r="A3681" s="85">
        <v>174904221976312</v>
      </c>
      <c r="B3681" s="82" t="s">
        <v>10651</v>
      </c>
      <c r="C3681" s="82" t="s">
        <v>11838</v>
      </c>
      <c r="D3681" s="82" t="s">
        <v>11839</v>
      </c>
      <c r="E3681" s="82">
        <v>6287797504113</v>
      </c>
      <c r="F3681" s="92">
        <v>45880</v>
      </c>
      <c r="G3681" s="87">
        <v>196</v>
      </c>
      <c r="H3681" s="88">
        <v>62426.470588235294</v>
      </c>
      <c r="I3681" s="89">
        <v>18</v>
      </c>
      <c r="J3681" s="90">
        <v>12735</v>
      </c>
      <c r="K3681" s="85">
        <v>4</v>
      </c>
      <c r="L3681" s="85">
        <v>40</v>
      </c>
      <c r="M3681" s="85">
        <v>0</v>
      </c>
      <c r="N3681" s="82" t="s">
        <v>11840</v>
      </c>
      <c r="O3681" s="93">
        <v>45881.505567129629</v>
      </c>
    </row>
    <row r="3682" spans="1:15" ht="22.5" customHeight="1">
      <c r="A3682" s="85">
        <v>174904221976312</v>
      </c>
      <c r="B3682" s="82" t="s">
        <v>10651</v>
      </c>
      <c r="C3682" s="82" t="s">
        <v>11811</v>
      </c>
      <c r="D3682" s="82" t="s">
        <v>11812</v>
      </c>
      <c r="E3682" s="82">
        <v>6285328883803</v>
      </c>
      <c r="F3682" s="92">
        <v>45880</v>
      </c>
      <c r="G3682" s="87">
        <v>307</v>
      </c>
      <c r="H3682" s="88">
        <v>36945.558739255015</v>
      </c>
      <c r="I3682" s="89">
        <v>10</v>
      </c>
      <c r="J3682" s="90">
        <v>12894</v>
      </c>
      <c r="K3682" s="85">
        <v>1</v>
      </c>
      <c r="L3682" s="85">
        <v>2</v>
      </c>
      <c r="M3682" s="85">
        <v>0</v>
      </c>
      <c r="N3682" s="82" t="s">
        <v>11813</v>
      </c>
      <c r="O3682" s="93">
        <v>45881.422361111108</v>
      </c>
    </row>
    <row r="3683" spans="1:15" ht="22.5" customHeight="1">
      <c r="A3683" s="85">
        <v>174904221976312</v>
      </c>
      <c r="B3683" s="82" t="s">
        <v>10651</v>
      </c>
      <c r="C3683" s="82" t="s">
        <v>11814</v>
      </c>
      <c r="D3683" s="82" t="s">
        <v>3733</v>
      </c>
      <c r="E3683" s="82">
        <v>62882001438924</v>
      </c>
      <c r="F3683" s="92">
        <v>45880</v>
      </c>
      <c r="G3683" s="87">
        <v>113</v>
      </c>
      <c r="H3683" s="88">
        <v>121694.21487603306</v>
      </c>
      <c r="I3683" s="89">
        <v>15</v>
      </c>
      <c r="J3683" s="90">
        <v>14725</v>
      </c>
      <c r="K3683" s="85">
        <v>4</v>
      </c>
      <c r="L3683" s="85">
        <v>0</v>
      </c>
      <c r="M3683" s="85">
        <v>0</v>
      </c>
      <c r="N3683" s="82" t="s">
        <v>11815</v>
      </c>
      <c r="O3683" s="93">
        <v>45881.422372685185</v>
      </c>
    </row>
    <row r="3684" spans="1:15" ht="22.5" customHeight="1">
      <c r="A3684" s="85">
        <v>174904221976312</v>
      </c>
      <c r="B3684" s="82" t="s">
        <v>10651</v>
      </c>
      <c r="C3684" s="82" t="s">
        <v>11816</v>
      </c>
      <c r="D3684" s="82" t="s">
        <v>3682</v>
      </c>
      <c r="E3684" s="82">
        <v>6285602235226</v>
      </c>
      <c r="F3684" s="92">
        <v>45880</v>
      </c>
      <c r="G3684" s="87">
        <v>377</v>
      </c>
      <c r="H3684" s="88">
        <v>27975.225225225226</v>
      </c>
      <c r="I3684" s="89">
        <v>21</v>
      </c>
      <c r="J3684" s="90">
        <v>12421</v>
      </c>
      <c r="K3684" s="85">
        <v>2</v>
      </c>
      <c r="L3684" s="85">
        <v>108</v>
      </c>
      <c r="M3684" s="85">
        <v>0</v>
      </c>
      <c r="N3684" s="82" t="s">
        <v>11817</v>
      </c>
      <c r="O3684" s="93">
        <v>45881.401539351849</v>
      </c>
    </row>
    <row r="3685" spans="1:15" ht="22.5" customHeight="1">
      <c r="A3685" s="85">
        <v>174904221976312</v>
      </c>
      <c r="B3685" s="82" t="s">
        <v>10651</v>
      </c>
      <c r="C3685" s="82" t="s">
        <v>11818</v>
      </c>
      <c r="D3685" s="82" t="s">
        <v>11819</v>
      </c>
      <c r="E3685" s="82">
        <v>6289515920603</v>
      </c>
      <c r="F3685" s="92">
        <v>45880</v>
      </c>
      <c r="G3685" s="87">
        <v>228</v>
      </c>
      <c r="H3685" s="88">
        <v>54108</v>
      </c>
      <c r="I3685" s="89">
        <v>9</v>
      </c>
      <c r="J3685" s="90">
        <v>13527</v>
      </c>
      <c r="K3685" s="85">
        <v>3</v>
      </c>
      <c r="L3685" s="85">
        <v>93</v>
      </c>
      <c r="M3685" s="85">
        <v>0</v>
      </c>
      <c r="N3685" s="82" t="s">
        <v>11820</v>
      </c>
      <c r="O3685" s="93">
        <v>45881.526678240742</v>
      </c>
    </row>
    <row r="3686" spans="1:15" ht="22.5" customHeight="1">
      <c r="A3686" s="85">
        <v>174904221976312</v>
      </c>
      <c r="B3686" s="82" t="s">
        <v>10651</v>
      </c>
      <c r="C3686" s="82" t="s">
        <v>11804</v>
      </c>
      <c r="D3686" s="82" t="s">
        <v>3672</v>
      </c>
      <c r="E3686" s="82">
        <v>628170204528</v>
      </c>
      <c r="F3686" s="92">
        <v>45880</v>
      </c>
      <c r="G3686" s="87">
        <v>540</v>
      </c>
      <c r="H3686" s="88">
        <v>23767.036450079238</v>
      </c>
      <c r="I3686" s="89">
        <v>26</v>
      </c>
      <c r="J3686" s="90">
        <v>14997</v>
      </c>
      <c r="K3686" s="85">
        <v>4</v>
      </c>
      <c r="L3686" s="85">
        <v>0</v>
      </c>
      <c r="M3686" s="85">
        <v>0</v>
      </c>
      <c r="N3686" s="82" t="s">
        <v>11805</v>
      </c>
      <c r="O3686" s="93">
        <v>45881.297523148147</v>
      </c>
    </row>
    <row r="3687" spans="1:15" ht="22.5" customHeight="1">
      <c r="A3687" s="85">
        <v>174904221976312</v>
      </c>
      <c r="B3687" s="82" t="s">
        <v>10651</v>
      </c>
      <c r="C3687" s="82" t="s">
        <v>11806</v>
      </c>
      <c r="D3687" s="82" t="s">
        <v>11807</v>
      </c>
      <c r="E3687" s="82">
        <v>6285338373761</v>
      </c>
      <c r="F3687" s="92">
        <v>45880</v>
      </c>
      <c r="G3687" s="87">
        <v>1390</v>
      </c>
      <c r="H3687" s="88">
        <v>8737.0151216305057</v>
      </c>
      <c r="I3687" s="89">
        <v>68</v>
      </c>
      <c r="J3687" s="90">
        <v>13289</v>
      </c>
      <c r="K3687" s="85">
        <v>5</v>
      </c>
      <c r="L3687" s="85">
        <v>710</v>
      </c>
      <c r="M3687" s="85">
        <v>2</v>
      </c>
      <c r="N3687" s="82" t="s">
        <v>11808</v>
      </c>
      <c r="O3687" s="93">
        <v>45881.215254629627</v>
      </c>
    </row>
    <row r="3688" spans="1:15" ht="22.5" customHeight="1">
      <c r="A3688" s="85">
        <v>174904221976312</v>
      </c>
      <c r="B3688" s="82" t="s">
        <v>10651</v>
      </c>
      <c r="C3688" s="82" t="s">
        <v>11809</v>
      </c>
      <c r="D3688" s="82" t="s">
        <v>2523</v>
      </c>
      <c r="E3688" s="82">
        <v>6285191259285</v>
      </c>
      <c r="F3688" s="92">
        <v>45880</v>
      </c>
      <c r="G3688" s="87">
        <v>434</v>
      </c>
      <c r="H3688" s="88">
        <v>24704.641350210972</v>
      </c>
      <c r="I3688" s="89">
        <v>11</v>
      </c>
      <c r="J3688" s="90">
        <v>11710</v>
      </c>
      <c r="K3688" s="85">
        <v>1</v>
      </c>
      <c r="L3688" s="85">
        <v>143</v>
      </c>
      <c r="M3688" s="85">
        <v>0</v>
      </c>
      <c r="N3688" s="82" t="s">
        <v>11810</v>
      </c>
      <c r="O3688" s="93">
        <v>45881.215254629627</v>
      </c>
    </row>
    <row r="3689" spans="1:15" ht="22.5" customHeight="1">
      <c r="A3689" s="85">
        <v>174904221976312</v>
      </c>
      <c r="B3689" s="82" t="s">
        <v>10651</v>
      </c>
      <c r="C3689" s="82" t="s">
        <v>11797</v>
      </c>
      <c r="D3689" s="82" t="s">
        <v>3616</v>
      </c>
      <c r="E3689" s="82">
        <v>6285299991164</v>
      </c>
      <c r="F3689" s="92">
        <v>45880</v>
      </c>
      <c r="G3689" s="87">
        <v>293</v>
      </c>
      <c r="H3689" s="88">
        <v>48110.429447852759</v>
      </c>
      <c r="I3689" s="89">
        <v>17</v>
      </c>
      <c r="J3689" s="90">
        <v>15684</v>
      </c>
      <c r="K3689" s="85">
        <v>0</v>
      </c>
      <c r="L3689" s="85">
        <v>0</v>
      </c>
      <c r="M3689" s="85">
        <v>0</v>
      </c>
      <c r="N3689" s="82" t="s">
        <v>11798</v>
      </c>
      <c r="O3689" s="93">
        <v>45881.568009259259</v>
      </c>
    </row>
    <row r="3690" spans="1:15" ht="22.5" customHeight="1">
      <c r="A3690" s="85">
        <v>174904221976312</v>
      </c>
      <c r="B3690" s="82" t="s">
        <v>10651</v>
      </c>
      <c r="C3690" s="82" t="s">
        <v>11799</v>
      </c>
      <c r="D3690" s="82" t="s">
        <v>11800</v>
      </c>
      <c r="E3690" s="82">
        <v>6285333751528</v>
      </c>
      <c r="F3690" s="92">
        <v>45880</v>
      </c>
      <c r="G3690" s="87">
        <v>344</v>
      </c>
      <c r="H3690" s="88">
        <v>34327.5</v>
      </c>
      <c r="I3690" s="89">
        <v>9</v>
      </c>
      <c r="J3690" s="90">
        <v>13731</v>
      </c>
      <c r="K3690" s="85">
        <v>1</v>
      </c>
      <c r="L3690" s="85">
        <v>0</v>
      </c>
      <c r="M3690" s="85">
        <v>0</v>
      </c>
      <c r="N3690" s="82" t="s">
        <v>11801</v>
      </c>
      <c r="O3690" s="93">
        <v>45881.25577546296</v>
      </c>
    </row>
    <row r="3691" spans="1:15" ht="22.5" customHeight="1">
      <c r="A3691" s="85">
        <v>174904221976312</v>
      </c>
      <c r="B3691" s="82" t="s">
        <v>10651</v>
      </c>
      <c r="C3691" s="82" t="s">
        <v>11766</v>
      </c>
      <c r="D3691" s="82" t="s">
        <v>11767</v>
      </c>
      <c r="E3691" s="82">
        <v>6281225101319</v>
      </c>
      <c r="F3691" s="92">
        <v>45880</v>
      </c>
      <c r="G3691" s="87">
        <v>190</v>
      </c>
      <c r="H3691" s="88">
        <v>50586.956521739135</v>
      </c>
      <c r="I3691" s="89">
        <v>4</v>
      </c>
      <c r="J3691" s="90">
        <v>11635</v>
      </c>
      <c r="K3691" s="85">
        <v>1</v>
      </c>
      <c r="L3691" s="85">
        <v>0</v>
      </c>
      <c r="M3691" s="85">
        <v>0</v>
      </c>
      <c r="N3691" s="82" t="s">
        <v>11768</v>
      </c>
      <c r="O3691" s="93">
        <v>45881.443344907406</v>
      </c>
    </row>
    <row r="3692" spans="1:15" ht="22.5" customHeight="1">
      <c r="A3692" s="85">
        <v>174904221976312</v>
      </c>
      <c r="B3692" s="82" t="s">
        <v>10651</v>
      </c>
      <c r="C3692" s="82" t="s">
        <v>11771</v>
      </c>
      <c r="D3692" s="82" t="s">
        <v>11772</v>
      </c>
      <c r="E3692" s="82">
        <v>6281238115957</v>
      </c>
      <c r="F3692" s="92">
        <v>45880</v>
      </c>
      <c r="G3692" s="87">
        <v>591</v>
      </c>
      <c r="H3692" s="88">
        <v>20211.419753086422</v>
      </c>
      <c r="I3692" s="89">
        <v>7</v>
      </c>
      <c r="J3692" s="90">
        <v>13097</v>
      </c>
      <c r="K3692" s="85">
        <v>0</v>
      </c>
      <c r="L3692" s="85">
        <v>0</v>
      </c>
      <c r="M3692" s="85">
        <v>0</v>
      </c>
      <c r="N3692" s="82" t="s">
        <v>11773</v>
      </c>
      <c r="O3692" s="93">
        <v>45881.215243055558</v>
      </c>
    </row>
    <row r="3693" spans="1:15" ht="22.5" customHeight="1">
      <c r="A3693" s="85">
        <v>174904221976312</v>
      </c>
      <c r="B3693" s="82" t="s">
        <v>10651</v>
      </c>
      <c r="C3693" s="82" t="s">
        <v>11774</v>
      </c>
      <c r="D3693" s="82" t="s">
        <v>11775</v>
      </c>
      <c r="E3693" s="82">
        <v>6281363504410</v>
      </c>
      <c r="F3693" s="92">
        <v>45880</v>
      </c>
      <c r="G3693" s="87">
        <v>172</v>
      </c>
      <c r="H3693" s="88">
        <v>70677.083333333328</v>
      </c>
      <c r="I3693" s="89">
        <v>14</v>
      </c>
      <c r="J3693" s="90">
        <v>13570</v>
      </c>
      <c r="K3693" s="85">
        <v>2</v>
      </c>
      <c r="L3693" s="85">
        <v>1</v>
      </c>
      <c r="M3693" s="85">
        <v>0</v>
      </c>
      <c r="N3693" s="82" t="s">
        <v>11776</v>
      </c>
      <c r="O3693" s="93">
        <v>45881.215254629627</v>
      </c>
    </row>
    <row r="3694" spans="1:15" ht="22.5" customHeight="1">
      <c r="A3694" s="85">
        <v>174904221976312</v>
      </c>
      <c r="B3694" s="82" t="s">
        <v>10651</v>
      </c>
      <c r="C3694" s="82" t="s">
        <v>11777</v>
      </c>
      <c r="D3694" s="82" t="s">
        <v>11778</v>
      </c>
      <c r="E3694" s="82">
        <v>6281374844270</v>
      </c>
      <c r="F3694" s="92">
        <v>45880</v>
      </c>
      <c r="G3694" s="87">
        <v>336</v>
      </c>
      <c r="H3694" s="88">
        <v>41397.87798408488</v>
      </c>
      <c r="I3694" s="89">
        <v>16</v>
      </c>
      <c r="J3694" s="90">
        <v>15607</v>
      </c>
      <c r="K3694" s="85">
        <v>0</v>
      </c>
      <c r="L3694" s="85">
        <v>127</v>
      </c>
      <c r="M3694" s="85">
        <v>1</v>
      </c>
      <c r="N3694" s="82" t="s">
        <v>11779</v>
      </c>
      <c r="O3694" s="93">
        <v>45881.4844212963</v>
      </c>
    </row>
    <row r="3695" spans="1:15" ht="22.5" customHeight="1">
      <c r="A3695" s="85">
        <v>174904221976312</v>
      </c>
      <c r="B3695" s="82" t="s">
        <v>10651</v>
      </c>
      <c r="C3695" s="82" t="s">
        <v>11780</v>
      </c>
      <c r="D3695" s="82" t="s">
        <v>11781</v>
      </c>
      <c r="E3695" s="82">
        <v>6282129364133</v>
      </c>
      <c r="F3695" s="92">
        <v>45880</v>
      </c>
      <c r="G3695" s="87">
        <v>359</v>
      </c>
      <c r="H3695" s="88">
        <v>27700.696055684453</v>
      </c>
      <c r="I3695" s="89">
        <v>12</v>
      </c>
      <c r="J3695" s="90">
        <v>11939</v>
      </c>
      <c r="K3695" s="85">
        <v>1</v>
      </c>
      <c r="L3695" s="85">
        <v>0</v>
      </c>
      <c r="M3695" s="85">
        <v>1</v>
      </c>
      <c r="N3695" s="82" t="s">
        <v>11782</v>
      </c>
      <c r="O3695" s="93">
        <v>45881.631030092591</v>
      </c>
    </row>
    <row r="3696" spans="1:15" ht="22.5" customHeight="1">
      <c r="A3696" s="85">
        <v>174904221976312</v>
      </c>
      <c r="B3696" s="82" t="s">
        <v>10651</v>
      </c>
      <c r="C3696" s="82" t="s">
        <v>11785</v>
      </c>
      <c r="D3696" s="82" t="s">
        <v>11786</v>
      </c>
      <c r="E3696" s="82">
        <v>628557182563</v>
      </c>
      <c r="F3696" s="92">
        <v>45880</v>
      </c>
      <c r="G3696" s="87">
        <v>515</v>
      </c>
      <c r="H3696" s="88">
        <v>22409.317803660568</v>
      </c>
      <c r="I3696" s="89">
        <v>15</v>
      </c>
      <c r="J3696" s="90">
        <v>13468</v>
      </c>
      <c r="K3696" s="85">
        <v>1</v>
      </c>
      <c r="L3696" s="85">
        <v>0</v>
      </c>
      <c r="M3696" s="85">
        <v>0</v>
      </c>
      <c r="N3696" s="82" t="s">
        <v>11787</v>
      </c>
      <c r="O3696" s="93">
        <v>45881.568009259259</v>
      </c>
    </row>
    <row r="3697" spans="1:15" ht="22.5" customHeight="1">
      <c r="A3697" s="85">
        <v>174904221976312</v>
      </c>
      <c r="B3697" s="82" t="s">
        <v>10651</v>
      </c>
      <c r="C3697" s="82" t="s">
        <v>11740</v>
      </c>
      <c r="D3697" s="82" t="s">
        <v>3562</v>
      </c>
      <c r="E3697" s="82">
        <v>6281558225822</v>
      </c>
      <c r="F3697" s="92">
        <v>45880</v>
      </c>
      <c r="G3697" s="87">
        <v>189</v>
      </c>
      <c r="H3697" s="88">
        <v>67276.497695852537</v>
      </c>
      <c r="I3697" s="89">
        <v>5</v>
      </c>
      <c r="J3697" s="90">
        <v>14599</v>
      </c>
      <c r="K3697" s="85">
        <v>0</v>
      </c>
      <c r="L3697" s="85">
        <v>7</v>
      </c>
      <c r="M3697" s="85">
        <v>0</v>
      </c>
      <c r="N3697" s="82" t="s">
        <v>11741</v>
      </c>
      <c r="O3697" s="93">
        <v>45881.526689814818</v>
      </c>
    </row>
    <row r="3698" spans="1:15" ht="22.5" customHeight="1">
      <c r="A3698" s="85">
        <v>174904221976312</v>
      </c>
      <c r="B3698" s="82" t="s">
        <v>10651</v>
      </c>
      <c r="C3698" s="82" t="s">
        <v>11744</v>
      </c>
      <c r="D3698" s="82" t="s">
        <v>11745</v>
      </c>
      <c r="E3698" s="82">
        <v>6287721853921</v>
      </c>
      <c r="F3698" s="92">
        <v>45880</v>
      </c>
      <c r="G3698" s="87">
        <v>1269</v>
      </c>
      <c r="H3698" s="88">
        <v>9836.2068965517246</v>
      </c>
      <c r="I3698" s="89">
        <v>53</v>
      </c>
      <c r="J3698" s="90">
        <v>13692</v>
      </c>
      <c r="K3698" s="85">
        <v>4</v>
      </c>
      <c r="L3698" s="85">
        <v>484</v>
      </c>
      <c r="M3698" s="85">
        <v>1</v>
      </c>
      <c r="N3698" s="82" t="s">
        <v>11746</v>
      </c>
      <c r="O3698" s="93">
        <v>45881.463726851849</v>
      </c>
    </row>
    <row r="3699" spans="1:15" ht="22.5" customHeight="1">
      <c r="A3699" s="85">
        <v>174904221976312</v>
      </c>
      <c r="B3699" s="82" t="s">
        <v>10651</v>
      </c>
      <c r="C3699" s="82" t="s">
        <v>11752</v>
      </c>
      <c r="D3699" s="82" t="s">
        <v>11753</v>
      </c>
      <c r="E3699" s="82">
        <v>6281326757091</v>
      </c>
      <c r="F3699" s="92">
        <v>45880</v>
      </c>
      <c r="G3699" s="87">
        <v>1194</v>
      </c>
      <c r="H3699" s="88">
        <v>9541.6068866571022</v>
      </c>
      <c r="I3699" s="89">
        <v>81</v>
      </c>
      <c r="J3699" s="90">
        <v>13301</v>
      </c>
      <c r="K3699" s="85">
        <v>5</v>
      </c>
      <c r="L3699" s="85">
        <v>362</v>
      </c>
      <c r="M3699" s="85">
        <v>2</v>
      </c>
      <c r="N3699" s="82" t="s">
        <v>11754</v>
      </c>
      <c r="O3699" s="93">
        <v>45881.672094907408</v>
      </c>
    </row>
    <row r="3700" spans="1:15" ht="22.5" customHeight="1">
      <c r="A3700" s="85">
        <v>174904221976312</v>
      </c>
      <c r="B3700" s="82" t="s">
        <v>10651</v>
      </c>
      <c r="C3700" s="82" t="s">
        <v>11755</v>
      </c>
      <c r="D3700" s="82" t="s">
        <v>11756</v>
      </c>
      <c r="E3700" s="82">
        <v>6281357754513</v>
      </c>
      <c r="F3700" s="92">
        <v>45880</v>
      </c>
      <c r="G3700" s="87">
        <v>550</v>
      </c>
      <c r="H3700" s="88">
        <v>22514.80263157895</v>
      </c>
      <c r="I3700" s="89">
        <v>19</v>
      </c>
      <c r="J3700" s="90">
        <v>13689</v>
      </c>
      <c r="K3700" s="85">
        <v>0</v>
      </c>
      <c r="L3700" s="85">
        <v>207</v>
      </c>
      <c r="M3700" s="85">
        <v>0</v>
      </c>
      <c r="N3700" s="82" t="s">
        <v>11757</v>
      </c>
      <c r="O3700" s="93">
        <v>45881.547314814816</v>
      </c>
    </row>
    <row r="3701" spans="1:15" ht="22.5" customHeight="1">
      <c r="A3701" s="85">
        <v>174904221976312</v>
      </c>
      <c r="B3701" s="82" t="s">
        <v>10651</v>
      </c>
      <c r="C3701" s="82" t="s">
        <v>11761</v>
      </c>
      <c r="D3701" s="82" t="s">
        <v>3438</v>
      </c>
      <c r="E3701" s="82">
        <v>628154336558</v>
      </c>
      <c r="F3701" s="92">
        <v>45880</v>
      </c>
      <c r="G3701" s="87">
        <v>2228</v>
      </c>
      <c r="H3701" s="88">
        <v>5060.4241696678673</v>
      </c>
      <c r="I3701" s="89">
        <v>98</v>
      </c>
      <c r="J3701" s="90">
        <v>12646</v>
      </c>
      <c r="K3701" s="85">
        <v>3</v>
      </c>
      <c r="L3701" s="85">
        <v>990</v>
      </c>
      <c r="M3701" s="85">
        <v>2</v>
      </c>
      <c r="N3701" s="82" t="s">
        <v>11762</v>
      </c>
      <c r="O3701" s="93">
        <v>45881.73510416667</v>
      </c>
    </row>
    <row r="3702" spans="1:15" ht="22.5" customHeight="1">
      <c r="A3702" s="85">
        <v>174904221976312</v>
      </c>
      <c r="B3702" s="82" t="s">
        <v>10651</v>
      </c>
      <c r="C3702" s="82" t="s">
        <v>11763</v>
      </c>
      <c r="D3702" s="82" t="s">
        <v>11764</v>
      </c>
      <c r="E3702" s="82">
        <v>6282384544939</v>
      </c>
      <c r="F3702" s="92">
        <v>45880</v>
      </c>
      <c r="G3702" s="87">
        <v>453</v>
      </c>
      <c r="H3702" s="88">
        <v>21142.342342342341</v>
      </c>
      <c r="I3702" s="89">
        <v>7</v>
      </c>
      <c r="J3702" s="90">
        <v>11734</v>
      </c>
      <c r="K3702" s="85">
        <v>1</v>
      </c>
      <c r="L3702" s="85">
        <v>26</v>
      </c>
      <c r="M3702" s="85">
        <v>0</v>
      </c>
      <c r="N3702" s="82" t="s">
        <v>11765</v>
      </c>
      <c r="O3702" s="93">
        <v>45881.443124999998</v>
      </c>
    </row>
    <row r="3703" spans="1:15" ht="22.5" customHeight="1">
      <c r="A3703" s="85">
        <v>174904221976312</v>
      </c>
      <c r="B3703" s="82" t="s">
        <v>10651</v>
      </c>
      <c r="C3703" s="82" t="s">
        <v>11728</v>
      </c>
      <c r="D3703" s="82" t="s">
        <v>11729</v>
      </c>
      <c r="E3703" s="82">
        <v>628122703083</v>
      </c>
      <c r="F3703" s="92">
        <v>45880</v>
      </c>
      <c r="G3703" s="87">
        <v>210</v>
      </c>
      <c r="H3703" s="88">
        <v>54454.918032786889</v>
      </c>
      <c r="I3703" s="89">
        <v>10</v>
      </c>
      <c r="J3703" s="90">
        <v>13287</v>
      </c>
      <c r="K3703" s="85">
        <v>2</v>
      </c>
      <c r="L3703" s="85">
        <v>2</v>
      </c>
      <c r="M3703" s="85">
        <v>0</v>
      </c>
      <c r="N3703" s="82" t="s">
        <v>11841</v>
      </c>
      <c r="O3703" s="93">
        <v>45881.401805555557</v>
      </c>
    </row>
    <row r="3704" spans="1:15" ht="22.5" customHeight="1">
      <c r="A3704" s="85">
        <v>174904221976312</v>
      </c>
      <c r="B3704" s="82" t="s">
        <v>10651</v>
      </c>
      <c r="C3704" s="82" t="s">
        <v>11733</v>
      </c>
      <c r="D3704" s="82" t="s">
        <v>3479</v>
      </c>
      <c r="E3704" s="82">
        <v>6285780314346</v>
      </c>
      <c r="F3704" s="92">
        <v>45880</v>
      </c>
      <c r="G3704" s="87">
        <v>734</v>
      </c>
      <c r="H3704" s="88">
        <v>15106.566200215286</v>
      </c>
      <c r="I3704" s="89">
        <v>43</v>
      </c>
      <c r="J3704" s="90">
        <v>14034</v>
      </c>
      <c r="K3704" s="85">
        <v>6</v>
      </c>
      <c r="L3704" s="85">
        <v>318</v>
      </c>
      <c r="M3704" s="85">
        <v>1</v>
      </c>
      <c r="N3704" s="82" t="s">
        <v>11734</v>
      </c>
      <c r="O3704" s="93">
        <v>45881.714386574073</v>
      </c>
    </row>
    <row r="3705" spans="1:15" ht="22.5" customHeight="1">
      <c r="A3705" s="85">
        <v>174904221976312</v>
      </c>
      <c r="B3705" s="82" t="s">
        <v>10651</v>
      </c>
      <c r="C3705" s="82" t="s">
        <v>11708</v>
      </c>
      <c r="D3705" s="82" t="s">
        <v>11709</v>
      </c>
      <c r="E3705" s="82">
        <v>6285294617773</v>
      </c>
      <c r="F3705" s="92">
        <v>45880</v>
      </c>
      <c r="G3705" s="87">
        <v>401</v>
      </c>
      <c r="H3705" s="88">
        <v>40043.373493975909</v>
      </c>
      <c r="I3705" s="89">
        <v>15</v>
      </c>
      <c r="J3705" s="90">
        <v>16618</v>
      </c>
      <c r="K3705" s="85">
        <v>1</v>
      </c>
      <c r="L3705" s="85">
        <v>100</v>
      </c>
      <c r="M3705" s="85">
        <v>0</v>
      </c>
      <c r="N3705" s="82" t="s">
        <v>11710</v>
      </c>
      <c r="O3705" s="93">
        <v>45881.234444444446</v>
      </c>
    </row>
    <row r="3706" spans="1:15" ht="22.5" customHeight="1">
      <c r="A3706" s="85">
        <v>174904221976312</v>
      </c>
      <c r="B3706" s="82" t="s">
        <v>10651</v>
      </c>
      <c r="C3706" s="82" t="s">
        <v>11711</v>
      </c>
      <c r="D3706" s="82" t="s">
        <v>11712</v>
      </c>
      <c r="E3706" s="82">
        <v>6285286258400</v>
      </c>
      <c r="F3706" s="92">
        <v>45880</v>
      </c>
      <c r="G3706" s="87">
        <v>285</v>
      </c>
      <c r="H3706" s="88">
        <v>37135.977337110482</v>
      </c>
      <c r="I3706" s="89">
        <v>9</v>
      </c>
      <c r="J3706" s="90">
        <v>13109</v>
      </c>
      <c r="K3706" s="85">
        <v>1</v>
      </c>
      <c r="L3706" s="85">
        <v>112</v>
      </c>
      <c r="M3706" s="85">
        <v>0</v>
      </c>
      <c r="N3706" s="82" t="s">
        <v>11713</v>
      </c>
      <c r="O3706" s="93">
        <v>45881.50540509259</v>
      </c>
    </row>
    <row r="3707" spans="1:15" ht="22.5" customHeight="1">
      <c r="A3707" s="85">
        <v>174904221976312</v>
      </c>
      <c r="B3707" s="82" t="s">
        <v>10651</v>
      </c>
      <c r="C3707" s="82" t="s">
        <v>11663</v>
      </c>
      <c r="D3707" s="82" t="s">
        <v>11664</v>
      </c>
      <c r="E3707" s="82">
        <v>628123264621</v>
      </c>
      <c r="F3707" s="92">
        <v>45880</v>
      </c>
      <c r="G3707" s="87">
        <v>837</v>
      </c>
      <c r="H3707" s="88">
        <v>12808.935361216729</v>
      </c>
      <c r="I3707" s="89">
        <v>48</v>
      </c>
      <c r="J3707" s="90">
        <v>13475</v>
      </c>
      <c r="K3707" s="85">
        <v>6</v>
      </c>
      <c r="L3707" s="85">
        <v>41</v>
      </c>
      <c r="M3707" s="85">
        <v>1</v>
      </c>
      <c r="N3707" s="82" t="s">
        <v>11665</v>
      </c>
      <c r="O3707" s="93">
        <v>45881.651689814818</v>
      </c>
    </row>
    <row r="3708" spans="1:15" ht="22.5" customHeight="1">
      <c r="A3708" s="85">
        <v>174904221976312</v>
      </c>
      <c r="B3708" s="82" t="s">
        <v>10651</v>
      </c>
      <c r="C3708" s="82" t="s">
        <v>11636</v>
      </c>
      <c r="D3708" s="82" t="s">
        <v>11637</v>
      </c>
      <c r="E3708" s="82">
        <v>6282154233977</v>
      </c>
      <c r="F3708" s="92">
        <v>45880</v>
      </c>
      <c r="G3708" s="87">
        <v>1108</v>
      </c>
      <c r="H3708" s="88">
        <v>10430.955993930198</v>
      </c>
      <c r="I3708" s="89">
        <v>42</v>
      </c>
      <c r="J3708" s="90">
        <v>13748</v>
      </c>
      <c r="K3708" s="85">
        <v>7</v>
      </c>
      <c r="L3708" s="85">
        <v>383</v>
      </c>
      <c r="M3708" s="85">
        <v>0</v>
      </c>
      <c r="N3708" s="82" t="s">
        <v>11638</v>
      </c>
      <c r="O3708" s="93">
        <v>45881.631018518521</v>
      </c>
    </row>
    <row r="3709" spans="1:15" ht="22.5" customHeight="1">
      <c r="A3709" s="85">
        <v>174904221976312</v>
      </c>
      <c r="B3709" s="82" t="s">
        <v>10651</v>
      </c>
      <c r="C3709" s="82" t="s">
        <v>11535</v>
      </c>
      <c r="D3709" s="82" t="s">
        <v>2969</v>
      </c>
      <c r="E3709" s="82">
        <v>6281286402030</v>
      </c>
      <c r="F3709" s="92">
        <v>45880</v>
      </c>
      <c r="G3709" s="87">
        <v>173</v>
      </c>
      <c r="H3709" s="88">
        <v>64223.880597014926</v>
      </c>
      <c r="I3709" s="89">
        <v>1</v>
      </c>
      <c r="J3709" s="90">
        <v>12909</v>
      </c>
      <c r="K3709" s="85">
        <v>0</v>
      </c>
      <c r="L3709" s="85">
        <v>64</v>
      </c>
      <c r="M3709" s="85">
        <v>0</v>
      </c>
      <c r="N3709" s="82" t="s">
        <v>11536</v>
      </c>
      <c r="O3709" s="93">
        <v>45881.505428240744</v>
      </c>
    </row>
    <row r="3710" spans="1:15" ht="22.5" customHeight="1">
      <c r="A3710" s="85">
        <v>174904221976312</v>
      </c>
      <c r="B3710" s="82" t="s">
        <v>10651</v>
      </c>
      <c r="C3710" s="82" t="s">
        <v>11494</v>
      </c>
      <c r="D3710" s="82" t="s">
        <v>11495</v>
      </c>
      <c r="E3710" s="82">
        <v>6285645050058</v>
      </c>
      <c r="F3710" s="92">
        <v>45880</v>
      </c>
      <c r="G3710" s="87">
        <v>751</v>
      </c>
      <c r="H3710" s="88">
        <v>12618.81188118812</v>
      </c>
      <c r="I3710" s="89">
        <v>36</v>
      </c>
      <c r="J3710" s="90">
        <v>12745</v>
      </c>
      <c r="K3710" s="85">
        <v>2</v>
      </c>
      <c r="L3710" s="85">
        <v>320</v>
      </c>
      <c r="M3710" s="85">
        <v>0</v>
      </c>
      <c r="N3710" s="82" t="s">
        <v>11496</v>
      </c>
      <c r="O3710" s="93">
        <v>45881.568472222221</v>
      </c>
    </row>
    <row r="3711" spans="1:15" ht="22.5" customHeight="1">
      <c r="A3711" s="85">
        <v>174904221976312</v>
      </c>
      <c r="B3711" s="82" t="s">
        <v>10651</v>
      </c>
      <c r="C3711" s="82" t="s">
        <v>11464</v>
      </c>
      <c r="D3711" s="82" t="s">
        <v>11465</v>
      </c>
      <c r="E3711" s="82">
        <v>62816904358</v>
      </c>
      <c r="F3711" s="92">
        <v>45880</v>
      </c>
      <c r="G3711" s="87">
        <v>246</v>
      </c>
      <c r="H3711" s="88">
        <v>49328.571428571428</v>
      </c>
      <c r="I3711" s="89">
        <v>10</v>
      </c>
      <c r="J3711" s="90">
        <v>13812</v>
      </c>
      <c r="K3711" s="85">
        <v>0</v>
      </c>
      <c r="L3711" s="85">
        <v>109</v>
      </c>
      <c r="M3711" s="85">
        <v>1</v>
      </c>
      <c r="N3711" s="82" t="s">
        <v>11466</v>
      </c>
      <c r="O3711" s="93">
        <v>45881.568483796298</v>
      </c>
    </row>
    <row r="3712" spans="1:15" ht="22.5" customHeight="1">
      <c r="A3712" s="85">
        <v>174904221976312</v>
      </c>
      <c r="B3712" s="82" t="s">
        <v>10651</v>
      </c>
      <c r="C3712" s="82" t="s">
        <v>11396</v>
      </c>
      <c r="D3712" s="82" t="s">
        <v>11397</v>
      </c>
      <c r="E3712" s="82">
        <v>6285789446955</v>
      </c>
      <c r="F3712" s="92">
        <v>45880</v>
      </c>
      <c r="G3712" s="87">
        <v>591</v>
      </c>
      <c r="H3712" s="88">
        <v>18007.142857142855</v>
      </c>
      <c r="I3712" s="89">
        <v>16</v>
      </c>
      <c r="J3712" s="90">
        <v>12605</v>
      </c>
      <c r="K3712" s="85">
        <v>1</v>
      </c>
      <c r="L3712" s="85">
        <v>31</v>
      </c>
      <c r="M3712" s="85">
        <v>0</v>
      </c>
      <c r="N3712" s="82" t="s">
        <v>11398</v>
      </c>
      <c r="O3712" s="93">
        <v>45881.631041666667</v>
      </c>
    </row>
    <row r="3713" spans="1:15" ht="22.5" customHeight="1">
      <c r="A3713" s="85">
        <v>174904221976312</v>
      </c>
      <c r="B3713" s="82" t="s">
        <v>10651</v>
      </c>
      <c r="C3713" s="82" t="s">
        <v>11309</v>
      </c>
      <c r="D3713" s="82" t="s">
        <v>11350</v>
      </c>
      <c r="E3713" s="82">
        <v>6281229745253</v>
      </c>
      <c r="F3713" s="92">
        <v>45880</v>
      </c>
      <c r="G3713" s="87">
        <v>186</v>
      </c>
      <c r="H3713" s="88">
        <v>71530.612244897959</v>
      </c>
      <c r="I3713" s="89">
        <v>8</v>
      </c>
      <c r="J3713" s="90">
        <v>14020</v>
      </c>
      <c r="K3713" s="85">
        <v>0</v>
      </c>
      <c r="L3713" s="85">
        <v>36</v>
      </c>
      <c r="M3713" s="85">
        <v>0</v>
      </c>
      <c r="N3713" s="82" t="s">
        <v>11791</v>
      </c>
      <c r="O3713" s="93">
        <v>45881.359675925924</v>
      </c>
    </row>
    <row r="3714" spans="1:15" ht="22.5" customHeight="1">
      <c r="A3714" s="85">
        <v>174904221976312</v>
      </c>
      <c r="B3714" s="82" t="s">
        <v>10651</v>
      </c>
      <c r="C3714" s="82" t="s">
        <v>10853</v>
      </c>
      <c r="D3714" s="82" t="s">
        <v>10854</v>
      </c>
      <c r="E3714" s="82">
        <v>6281393958199</v>
      </c>
      <c r="F3714" s="92">
        <v>45880</v>
      </c>
      <c r="G3714" s="87">
        <v>408</v>
      </c>
      <c r="H3714" s="88">
        <v>27608.22510822511</v>
      </c>
      <c r="I3714" s="89">
        <v>12</v>
      </c>
      <c r="J3714" s="90">
        <v>12755</v>
      </c>
      <c r="K3714" s="85">
        <v>1</v>
      </c>
      <c r="L3714" s="85">
        <v>129</v>
      </c>
      <c r="M3714" s="85">
        <v>1</v>
      </c>
      <c r="N3714" s="82" t="s">
        <v>10855</v>
      </c>
      <c r="O3714" s="93">
        <v>45881.631041666667</v>
      </c>
    </row>
    <row r="3715" spans="1:15" ht="22.5" customHeight="1">
      <c r="A3715" s="85">
        <v>174904221976312</v>
      </c>
      <c r="B3715" s="82" t="s">
        <v>10651</v>
      </c>
      <c r="C3715" s="82" t="s">
        <v>10655</v>
      </c>
      <c r="D3715" s="82" t="s">
        <v>3908</v>
      </c>
      <c r="E3715" s="82">
        <v>6285376667233</v>
      </c>
      <c r="F3715" s="92">
        <v>45880</v>
      </c>
      <c r="G3715" s="87">
        <v>1249</v>
      </c>
      <c r="H3715" s="88">
        <v>9881.7591925018023</v>
      </c>
      <c r="I3715" s="89">
        <v>25</v>
      </c>
      <c r="J3715" s="90">
        <v>13706</v>
      </c>
      <c r="K3715" s="85">
        <v>2</v>
      </c>
      <c r="L3715" s="85">
        <v>423</v>
      </c>
      <c r="M3715" s="85">
        <v>0</v>
      </c>
      <c r="N3715" s="82" t="s">
        <v>10656</v>
      </c>
      <c r="O3715" s="93">
        <v>45881.589236111111</v>
      </c>
    </row>
    <row r="3716" spans="1:15" ht="22.5" customHeight="1">
      <c r="A3716" s="85">
        <v>174904221976312</v>
      </c>
      <c r="B3716" s="82" t="s">
        <v>10651</v>
      </c>
      <c r="C3716" s="82" t="s">
        <v>10657</v>
      </c>
      <c r="D3716" s="82" t="s">
        <v>1239</v>
      </c>
      <c r="E3716" s="82">
        <v>6282172291579</v>
      </c>
      <c r="F3716" s="92">
        <v>45880</v>
      </c>
      <c r="G3716" s="87">
        <v>597</v>
      </c>
      <c r="H3716" s="88">
        <v>18125.523012552301</v>
      </c>
      <c r="I3716" s="89">
        <v>31</v>
      </c>
      <c r="J3716" s="90">
        <v>12996</v>
      </c>
      <c r="K3716" s="85">
        <v>2</v>
      </c>
      <c r="L3716" s="85">
        <v>317</v>
      </c>
      <c r="M3716" s="85">
        <v>0</v>
      </c>
      <c r="N3716" s="82" t="s">
        <v>10658</v>
      </c>
      <c r="O3716" s="93">
        <v>45881.610451388886</v>
      </c>
    </row>
    <row r="3717" spans="1:15" ht="22.5" customHeight="1">
      <c r="A3717" s="85">
        <v>174904221976312</v>
      </c>
      <c r="B3717" s="82" t="s">
        <v>10651</v>
      </c>
      <c r="C3717" s="82" t="s">
        <v>10679</v>
      </c>
      <c r="D3717" s="82" t="s">
        <v>10680</v>
      </c>
      <c r="E3717" s="82">
        <v>6282347206488</v>
      </c>
      <c r="F3717" s="92">
        <v>45880</v>
      </c>
      <c r="G3717" s="87">
        <v>1368</v>
      </c>
      <c r="H3717" s="88">
        <v>8049.411764705882</v>
      </c>
      <c r="I3717" s="89">
        <v>46</v>
      </c>
      <c r="J3717" s="90">
        <v>13684</v>
      </c>
      <c r="K3717" s="85">
        <v>3</v>
      </c>
      <c r="L3717" s="85">
        <v>758</v>
      </c>
      <c r="M3717" s="85">
        <v>0</v>
      </c>
      <c r="N3717" s="82" t="s">
        <v>10681</v>
      </c>
      <c r="O3717" s="93">
        <v>45881.547337962962</v>
      </c>
    </row>
    <row r="3718" spans="1:15" ht="22.5" customHeight="1">
      <c r="A3718" s="85">
        <v>174904221976312</v>
      </c>
      <c r="B3718" s="82" t="s">
        <v>10651</v>
      </c>
      <c r="C3718" s="82" t="s">
        <v>10731</v>
      </c>
      <c r="D3718" s="82" t="s">
        <v>10732</v>
      </c>
      <c r="E3718" s="82">
        <v>6281241440688</v>
      </c>
      <c r="F3718" s="92">
        <v>45880</v>
      </c>
      <c r="G3718" s="87">
        <v>1124</v>
      </c>
      <c r="H3718" s="88">
        <v>10308.15258040389</v>
      </c>
      <c r="I3718" s="89">
        <v>33</v>
      </c>
      <c r="J3718" s="90">
        <v>13782</v>
      </c>
      <c r="K3718" s="85">
        <v>3</v>
      </c>
      <c r="L3718" s="85">
        <v>194</v>
      </c>
      <c r="M3718" s="85">
        <v>1</v>
      </c>
      <c r="N3718" s="82" t="s">
        <v>10733</v>
      </c>
      <c r="O3718" s="93">
        <v>45881.463888888888</v>
      </c>
    </row>
    <row r="3719" spans="1:15" ht="22.5" customHeight="1">
      <c r="A3719" s="85">
        <v>174904221976312</v>
      </c>
      <c r="B3719" s="82" t="s">
        <v>10651</v>
      </c>
      <c r="C3719" s="82" t="s">
        <v>10833</v>
      </c>
      <c r="D3719" s="82" t="s">
        <v>10834</v>
      </c>
      <c r="E3719" s="82">
        <v>6282242925264</v>
      </c>
      <c r="F3719" s="92">
        <v>45880</v>
      </c>
      <c r="G3719" s="87">
        <v>1309</v>
      </c>
      <c r="H3719" s="88">
        <v>9738.7328543435669</v>
      </c>
      <c r="I3719" s="89">
        <v>70</v>
      </c>
      <c r="J3719" s="90">
        <v>14910</v>
      </c>
      <c r="K3719" s="85">
        <v>1</v>
      </c>
      <c r="L3719" s="85">
        <v>471</v>
      </c>
      <c r="M3719" s="85">
        <v>1</v>
      </c>
      <c r="N3719" s="82" t="s">
        <v>10835</v>
      </c>
      <c r="O3719" s="93">
        <v>45881.46371527778</v>
      </c>
    </row>
    <row r="3720" spans="1:15" ht="22.5" customHeight="1">
      <c r="A3720" s="85">
        <v>766589657993298</v>
      </c>
      <c r="B3720" s="82" t="s">
        <v>10688</v>
      </c>
      <c r="C3720" s="82" t="s">
        <v>11853</v>
      </c>
      <c r="D3720" s="82" t="s">
        <v>3793</v>
      </c>
      <c r="E3720" s="82">
        <v>6285100570275</v>
      </c>
      <c r="F3720" s="92">
        <v>45880</v>
      </c>
      <c r="G3720" s="87">
        <v>259</v>
      </c>
      <c r="H3720" s="88">
        <v>52068.259385665529</v>
      </c>
      <c r="I3720" s="89">
        <v>9</v>
      </c>
      <c r="J3720" s="90">
        <v>15256</v>
      </c>
      <c r="K3720" s="85">
        <v>2</v>
      </c>
      <c r="L3720" s="85">
        <v>100</v>
      </c>
      <c r="M3720" s="85">
        <v>0</v>
      </c>
      <c r="N3720" s="82" t="s">
        <v>11854</v>
      </c>
      <c r="O3720" s="93">
        <v>45881.779479166667</v>
      </c>
    </row>
    <row r="3721" spans="1:15" ht="22.5" customHeight="1">
      <c r="A3721" s="85">
        <v>766589657993298</v>
      </c>
      <c r="B3721" s="82" t="s">
        <v>10688</v>
      </c>
      <c r="C3721" s="82" t="s">
        <v>11855</v>
      </c>
      <c r="D3721" s="82" t="s">
        <v>4690</v>
      </c>
      <c r="E3721" s="82">
        <v>6281323291817</v>
      </c>
      <c r="F3721" s="92">
        <v>45880</v>
      </c>
      <c r="G3721" s="87">
        <v>572</v>
      </c>
      <c r="H3721" s="88">
        <v>19902.589395807645</v>
      </c>
      <c r="I3721" s="89">
        <v>56</v>
      </c>
      <c r="J3721" s="90">
        <v>16141</v>
      </c>
      <c r="K3721" s="85">
        <v>5</v>
      </c>
      <c r="L3721" s="85">
        <v>282</v>
      </c>
      <c r="M3721" s="85">
        <v>0</v>
      </c>
      <c r="N3721" s="82" t="s">
        <v>11856</v>
      </c>
      <c r="O3721" s="93">
        <v>45881.612800925926</v>
      </c>
    </row>
    <row r="3722" spans="1:15" ht="22.5" customHeight="1">
      <c r="A3722" s="85">
        <v>766589657993298</v>
      </c>
      <c r="B3722" s="82" t="s">
        <v>10688</v>
      </c>
      <c r="C3722" s="82" t="s">
        <v>11857</v>
      </c>
      <c r="D3722" s="82" t="s">
        <v>739</v>
      </c>
      <c r="E3722" s="82">
        <v>628122102657</v>
      </c>
      <c r="F3722" s="92">
        <v>45880</v>
      </c>
      <c r="G3722" s="87">
        <v>417</v>
      </c>
      <c r="H3722" s="88">
        <v>33172.113289760346</v>
      </c>
      <c r="I3722" s="89">
        <v>8</v>
      </c>
      <c r="J3722" s="90">
        <v>15226</v>
      </c>
      <c r="K3722" s="85">
        <v>1</v>
      </c>
      <c r="L3722" s="85">
        <v>86</v>
      </c>
      <c r="M3722" s="85">
        <v>0</v>
      </c>
      <c r="N3722" s="82" t="s">
        <v>11858</v>
      </c>
      <c r="O3722" s="93">
        <v>45881.471516203703</v>
      </c>
    </row>
    <row r="3723" spans="1:15" ht="22.5" customHeight="1">
      <c r="A3723" s="85">
        <v>766589657993298</v>
      </c>
      <c r="B3723" s="82" t="s">
        <v>10688</v>
      </c>
      <c r="C3723" s="82" t="s">
        <v>11842</v>
      </c>
      <c r="D3723" s="82" t="s">
        <v>11843</v>
      </c>
      <c r="E3723" s="82">
        <v>62895321637812</v>
      </c>
      <c r="F3723" s="92">
        <v>45880</v>
      </c>
      <c r="G3723" s="87">
        <v>433</v>
      </c>
      <c r="H3723" s="88">
        <v>28745.210727969348</v>
      </c>
      <c r="I3723" s="89">
        <v>19</v>
      </c>
      <c r="J3723" s="90">
        <v>15005</v>
      </c>
      <c r="K3723" s="85">
        <v>5</v>
      </c>
      <c r="L3723" s="85">
        <v>127</v>
      </c>
      <c r="M3723" s="85">
        <v>1</v>
      </c>
      <c r="N3723" s="82" t="s">
        <v>11844</v>
      </c>
      <c r="O3723" s="93">
        <v>45881.571145833332</v>
      </c>
    </row>
    <row r="3724" spans="1:15" ht="22.5" customHeight="1">
      <c r="A3724" s="85">
        <v>766589657993298</v>
      </c>
      <c r="B3724" s="82" t="s">
        <v>10688</v>
      </c>
      <c r="C3724" s="82" t="s">
        <v>11845</v>
      </c>
      <c r="D3724" s="82" t="s">
        <v>11846</v>
      </c>
      <c r="E3724" s="82">
        <v>6285814213281</v>
      </c>
      <c r="F3724" s="92">
        <v>45880</v>
      </c>
      <c r="G3724" s="87">
        <v>484</v>
      </c>
      <c r="H3724" s="88">
        <v>31240.366972477066</v>
      </c>
      <c r="I3724" s="89">
        <v>8</v>
      </c>
      <c r="J3724" s="90">
        <v>17026</v>
      </c>
      <c r="K3724" s="85">
        <v>1</v>
      </c>
      <c r="L3724" s="85">
        <v>165</v>
      </c>
      <c r="M3724" s="85">
        <v>0</v>
      </c>
      <c r="N3724" s="82" t="s">
        <v>11847</v>
      </c>
      <c r="O3724" s="93">
        <v>45881.592118055552</v>
      </c>
    </row>
    <row r="3725" spans="1:15" ht="22.5" customHeight="1">
      <c r="A3725" s="85">
        <v>766589657993298</v>
      </c>
      <c r="B3725" s="82" t="s">
        <v>10688</v>
      </c>
      <c r="C3725" s="82" t="s">
        <v>11848</v>
      </c>
      <c r="D3725" s="82" t="s">
        <v>11849</v>
      </c>
      <c r="E3725" s="82">
        <v>6282236053835</v>
      </c>
      <c r="F3725" s="92">
        <v>45880</v>
      </c>
      <c r="G3725" s="87">
        <v>1168</v>
      </c>
      <c r="H3725" s="88">
        <v>11734.724292101342</v>
      </c>
      <c r="I3725" s="89">
        <v>22</v>
      </c>
      <c r="J3725" s="90">
        <v>15748</v>
      </c>
      <c r="K3725" s="85">
        <v>1</v>
      </c>
      <c r="L3725" s="85">
        <v>63</v>
      </c>
      <c r="M3725" s="85">
        <v>0</v>
      </c>
      <c r="N3725" s="82" t="s">
        <v>11850</v>
      </c>
      <c r="O3725" s="93">
        <v>45881.529618055552</v>
      </c>
    </row>
    <row r="3726" spans="1:15" ht="22.5" customHeight="1">
      <c r="A3726" s="85">
        <v>759724529202804</v>
      </c>
      <c r="B3726" s="82" t="s">
        <v>10621</v>
      </c>
      <c r="C3726" s="82" t="s">
        <v>11859</v>
      </c>
      <c r="D3726" s="82" t="s">
        <v>11860</v>
      </c>
      <c r="E3726" s="82">
        <v>6285138380189</v>
      </c>
      <c r="F3726" s="92">
        <v>45881</v>
      </c>
      <c r="G3726" s="87">
        <v>429</v>
      </c>
      <c r="H3726" s="88">
        <v>21418.333333333332</v>
      </c>
      <c r="I3726" s="89">
        <v>17</v>
      </c>
      <c r="J3726" s="90">
        <v>12851</v>
      </c>
      <c r="K3726" s="85">
        <v>1</v>
      </c>
      <c r="L3726" s="85">
        <v>94</v>
      </c>
      <c r="M3726" s="85">
        <v>0</v>
      </c>
      <c r="N3726" s="82" t="s">
        <v>11861</v>
      </c>
      <c r="O3726" s="93">
        <v>45882.735208333332</v>
      </c>
    </row>
    <row r="3727" spans="1:15" ht="22.5" customHeight="1">
      <c r="A3727" s="85">
        <v>759724529202804</v>
      </c>
      <c r="B3727" s="82" t="s">
        <v>10621</v>
      </c>
      <c r="C3727" s="82" t="s">
        <v>11055</v>
      </c>
      <c r="D3727" s="82" t="s">
        <v>1021</v>
      </c>
      <c r="E3727" s="82"/>
      <c r="F3727" s="92">
        <v>45881</v>
      </c>
      <c r="G3727" s="87">
        <v>762</v>
      </c>
      <c r="H3727" s="88">
        <v>35457.997698504034</v>
      </c>
      <c r="I3727" s="89">
        <v>23</v>
      </c>
      <c r="J3727" s="90">
        <v>30813</v>
      </c>
      <c r="K3727" s="85">
        <v>7</v>
      </c>
      <c r="L3727" s="85">
        <v>286</v>
      </c>
      <c r="M3727" s="85">
        <v>0</v>
      </c>
      <c r="N3727" s="82" t="s">
        <v>11056</v>
      </c>
      <c r="O3727" s="93">
        <v>45874.499675925923</v>
      </c>
    </row>
    <row r="3728" spans="1:15" ht="22.5" customHeight="1">
      <c r="A3728" s="85">
        <v>174904221976312</v>
      </c>
      <c r="B3728" s="82" t="s">
        <v>10651</v>
      </c>
      <c r="C3728" s="82" t="s">
        <v>11862</v>
      </c>
      <c r="D3728" s="82" t="s">
        <v>11863</v>
      </c>
      <c r="E3728" s="82">
        <v>6287886480138</v>
      </c>
      <c r="F3728" s="92">
        <v>45881</v>
      </c>
      <c r="G3728" s="87">
        <v>3450</v>
      </c>
      <c r="H3728" s="88">
        <v>2969.6384211979021</v>
      </c>
      <c r="I3728" s="89">
        <v>107</v>
      </c>
      <c r="J3728" s="90">
        <v>10759</v>
      </c>
      <c r="K3728" s="85">
        <v>0</v>
      </c>
      <c r="L3728" s="85">
        <v>581</v>
      </c>
      <c r="M3728" s="85">
        <v>0</v>
      </c>
      <c r="N3728" s="82" t="s">
        <v>11864</v>
      </c>
      <c r="O3728" s="93">
        <v>45882.735173611109</v>
      </c>
    </row>
    <row r="3729" spans="1:15" ht="22.5" customHeight="1">
      <c r="A3729" s="85">
        <v>174904221976312</v>
      </c>
      <c r="B3729" s="82" t="s">
        <v>10651</v>
      </c>
      <c r="C3729" s="82" t="s">
        <v>11865</v>
      </c>
      <c r="D3729" s="82" t="s">
        <v>11403</v>
      </c>
      <c r="E3729" s="82">
        <v>6283870060603</v>
      </c>
      <c r="F3729" s="92">
        <v>45881</v>
      </c>
      <c r="G3729" s="87">
        <v>526</v>
      </c>
      <c r="H3729" s="88">
        <v>14989.110707803993</v>
      </c>
      <c r="I3729" s="89">
        <v>12</v>
      </c>
      <c r="J3729" s="90">
        <v>8259</v>
      </c>
      <c r="K3729" s="85">
        <v>0</v>
      </c>
      <c r="L3729" s="85">
        <v>162</v>
      </c>
      <c r="M3729" s="85">
        <v>0</v>
      </c>
      <c r="N3729" s="82" t="s">
        <v>11866</v>
      </c>
      <c r="O3729" s="93">
        <v>45882.755810185183</v>
      </c>
    </row>
    <row r="3730" spans="1:15" ht="22.5" customHeight="1">
      <c r="A3730" s="85">
        <v>174904221976312</v>
      </c>
      <c r="B3730" s="82" t="s">
        <v>10651</v>
      </c>
      <c r="C3730" s="82" t="s">
        <v>11867</v>
      </c>
      <c r="D3730" s="82" t="s">
        <v>11868</v>
      </c>
      <c r="E3730" s="82">
        <v>6282112042148</v>
      </c>
      <c r="F3730" s="92">
        <v>45881</v>
      </c>
      <c r="G3730" s="87">
        <v>453</v>
      </c>
      <c r="H3730" s="88">
        <v>19894.248608534323</v>
      </c>
      <c r="I3730" s="89">
        <v>9</v>
      </c>
      <c r="J3730" s="90">
        <v>10723</v>
      </c>
      <c r="K3730" s="85">
        <v>1</v>
      </c>
      <c r="L3730" s="85">
        <v>25</v>
      </c>
      <c r="M3730" s="85">
        <v>0</v>
      </c>
      <c r="N3730" s="82" t="s">
        <v>11869</v>
      </c>
      <c r="O3730" s="93">
        <v>45882.651689814818</v>
      </c>
    </row>
    <row r="3731" spans="1:15" ht="22.5" customHeight="1">
      <c r="A3731" s="85">
        <v>174904221976312</v>
      </c>
      <c r="B3731" s="82" t="s">
        <v>10651</v>
      </c>
      <c r="C3731" s="82" t="s">
        <v>11870</v>
      </c>
      <c r="D3731" s="82" t="s">
        <v>11871</v>
      </c>
      <c r="E3731" s="82">
        <v>62817262229</v>
      </c>
      <c r="F3731" s="92">
        <v>45881</v>
      </c>
      <c r="G3731" s="87">
        <v>306</v>
      </c>
      <c r="H3731" s="88">
        <v>35582.446808510642</v>
      </c>
      <c r="I3731" s="89">
        <v>26</v>
      </c>
      <c r="J3731" s="90">
        <v>13379</v>
      </c>
      <c r="K3731" s="85">
        <v>8</v>
      </c>
      <c r="L3731" s="85">
        <v>15</v>
      </c>
      <c r="M3731" s="85">
        <v>0</v>
      </c>
      <c r="N3731" s="82" t="s">
        <v>11872</v>
      </c>
      <c r="O3731" s="93">
        <v>45882.693159722221</v>
      </c>
    </row>
    <row r="3732" spans="1:15" ht="22.5" customHeight="1">
      <c r="A3732" s="85">
        <v>174904221976312</v>
      </c>
      <c r="B3732" s="82" t="s">
        <v>10651</v>
      </c>
      <c r="C3732" s="82" t="s">
        <v>11873</v>
      </c>
      <c r="D3732" s="82" t="s">
        <v>11874</v>
      </c>
      <c r="E3732" s="82">
        <v>6281324481252</v>
      </c>
      <c r="F3732" s="92">
        <v>45881</v>
      </c>
      <c r="G3732" s="87">
        <v>365</v>
      </c>
      <c r="H3732" s="88">
        <v>24970.873786407767</v>
      </c>
      <c r="I3732" s="89">
        <v>8</v>
      </c>
      <c r="J3732" s="90">
        <v>10288</v>
      </c>
      <c r="K3732" s="85">
        <v>1</v>
      </c>
      <c r="L3732" s="85">
        <v>131</v>
      </c>
      <c r="M3732" s="85">
        <v>0</v>
      </c>
      <c r="N3732" s="82" t="s">
        <v>11875</v>
      </c>
      <c r="O3732" s="93">
        <v>45882.735208333332</v>
      </c>
    </row>
    <row r="3733" spans="1:15" ht="22.5" customHeight="1">
      <c r="A3733" s="85">
        <v>174904221976312</v>
      </c>
      <c r="B3733" s="82" t="s">
        <v>10651</v>
      </c>
      <c r="C3733" s="82" t="s">
        <v>11876</v>
      </c>
      <c r="D3733" s="82" t="s">
        <v>11877</v>
      </c>
      <c r="E3733" s="82">
        <v>6285748377961</v>
      </c>
      <c r="F3733" s="92">
        <v>45881</v>
      </c>
      <c r="G3733" s="87">
        <v>875</v>
      </c>
      <c r="H3733" s="88">
        <v>13289.499509322866</v>
      </c>
      <c r="I3733" s="89">
        <v>25</v>
      </c>
      <c r="J3733" s="90">
        <v>13542</v>
      </c>
      <c r="K3733" s="85">
        <v>2</v>
      </c>
      <c r="L3733" s="85">
        <v>30</v>
      </c>
      <c r="M3733" s="85">
        <v>2</v>
      </c>
      <c r="N3733" s="82" t="s">
        <v>11878</v>
      </c>
      <c r="O3733" s="93">
        <v>45882.588703703703</v>
      </c>
    </row>
    <row r="3734" spans="1:15" ht="22.5" customHeight="1">
      <c r="A3734" s="85">
        <v>174904221976312</v>
      </c>
      <c r="B3734" s="82" t="s">
        <v>10651</v>
      </c>
      <c r="C3734" s="82" t="s">
        <v>11879</v>
      </c>
      <c r="D3734" s="82" t="s">
        <v>11877</v>
      </c>
      <c r="E3734" s="82">
        <v>6285748377961</v>
      </c>
      <c r="F3734" s="92">
        <v>45881</v>
      </c>
      <c r="G3734" s="87">
        <v>362</v>
      </c>
      <c r="H3734" s="88">
        <v>25889.952153110047</v>
      </c>
      <c r="I3734" s="89">
        <v>18</v>
      </c>
      <c r="J3734" s="90">
        <v>10822</v>
      </c>
      <c r="K3734" s="85">
        <v>2</v>
      </c>
      <c r="L3734" s="85">
        <v>12</v>
      </c>
      <c r="M3734" s="85">
        <v>0</v>
      </c>
      <c r="N3734" s="82" t="s">
        <v>11878</v>
      </c>
      <c r="O3734" s="93">
        <v>45882.776469907411</v>
      </c>
    </row>
    <row r="3735" spans="1:15" ht="22.5" customHeight="1">
      <c r="A3735" s="85">
        <v>174904221976312</v>
      </c>
      <c r="B3735" s="82" t="s">
        <v>10651</v>
      </c>
      <c r="C3735" s="82" t="s">
        <v>11880</v>
      </c>
      <c r="D3735" s="82" t="s">
        <v>3805</v>
      </c>
      <c r="E3735" s="82">
        <v>6281288245836</v>
      </c>
      <c r="F3735" s="92">
        <v>45881</v>
      </c>
      <c r="G3735" s="87">
        <v>307</v>
      </c>
      <c r="H3735" s="88">
        <v>42956.923076923078</v>
      </c>
      <c r="I3735" s="89">
        <v>4</v>
      </c>
      <c r="J3735" s="90">
        <v>13961</v>
      </c>
      <c r="K3735" s="85">
        <v>0</v>
      </c>
      <c r="L3735" s="85">
        <v>2</v>
      </c>
      <c r="M3735" s="85">
        <v>0</v>
      </c>
      <c r="N3735" s="82" t="s">
        <v>11881</v>
      </c>
      <c r="O3735" s="93">
        <v>45882.693159722221</v>
      </c>
    </row>
    <row r="3736" spans="1:15" ht="22.5" customHeight="1">
      <c r="A3736" s="85">
        <v>174904221976312</v>
      </c>
      <c r="B3736" s="82" t="s">
        <v>10651</v>
      </c>
      <c r="C3736" s="82" t="s">
        <v>11838</v>
      </c>
      <c r="D3736" s="82" t="s">
        <v>11839</v>
      </c>
      <c r="E3736" s="82">
        <v>6287797504113</v>
      </c>
      <c r="F3736" s="92">
        <v>45881</v>
      </c>
      <c r="G3736" s="87">
        <v>178</v>
      </c>
      <c r="H3736" s="88">
        <v>65513.227513227517</v>
      </c>
      <c r="I3736" s="89">
        <v>7</v>
      </c>
      <c r="J3736" s="90">
        <v>12382</v>
      </c>
      <c r="K3736" s="85">
        <v>1</v>
      </c>
      <c r="L3736" s="85">
        <v>0</v>
      </c>
      <c r="M3736" s="85">
        <v>1</v>
      </c>
      <c r="N3736" s="82" t="s">
        <v>11840</v>
      </c>
      <c r="O3736" s="93">
        <v>45882.526574074072</v>
      </c>
    </row>
    <row r="3737" spans="1:15" ht="22.5" customHeight="1">
      <c r="A3737" s="85">
        <v>174904221976312</v>
      </c>
      <c r="B3737" s="82" t="s">
        <v>10651</v>
      </c>
      <c r="C3737" s="82" t="s">
        <v>11811</v>
      </c>
      <c r="D3737" s="82" t="s">
        <v>11812</v>
      </c>
      <c r="E3737" s="82">
        <v>6285328883803</v>
      </c>
      <c r="F3737" s="92">
        <v>45881</v>
      </c>
      <c r="G3737" s="87">
        <v>277</v>
      </c>
      <c r="H3737" s="88">
        <v>38323.333333333328</v>
      </c>
      <c r="I3737" s="89">
        <v>11</v>
      </c>
      <c r="J3737" s="90">
        <v>11497</v>
      </c>
      <c r="K3737" s="85">
        <v>1</v>
      </c>
      <c r="L3737" s="85">
        <v>155</v>
      </c>
      <c r="M3737" s="85">
        <v>0</v>
      </c>
      <c r="N3737" s="82" t="s">
        <v>11813</v>
      </c>
      <c r="O3737" s="93">
        <v>45882.526585648149</v>
      </c>
    </row>
    <row r="3738" spans="1:15" ht="22.5" customHeight="1">
      <c r="A3738" s="85">
        <v>174904221976312</v>
      </c>
      <c r="B3738" s="82" t="s">
        <v>10651</v>
      </c>
      <c r="C3738" s="82" t="s">
        <v>11814</v>
      </c>
      <c r="D3738" s="82" t="s">
        <v>3733</v>
      </c>
      <c r="E3738" s="82">
        <v>62882001438924</v>
      </c>
      <c r="F3738" s="92">
        <v>45881</v>
      </c>
      <c r="G3738" s="87">
        <v>131</v>
      </c>
      <c r="H3738" s="88">
        <v>110547.44525547446</v>
      </c>
      <c r="I3738" s="89">
        <v>7</v>
      </c>
      <c r="J3738" s="90">
        <v>15145</v>
      </c>
      <c r="K3738" s="85">
        <v>1</v>
      </c>
      <c r="L3738" s="85">
        <v>0</v>
      </c>
      <c r="M3738" s="85">
        <v>0</v>
      </c>
      <c r="N3738" s="82" t="s">
        <v>11815</v>
      </c>
      <c r="O3738" s="93">
        <v>45882.215902777774</v>
      </c>
    </row>
    <row r="3739" spans="1:15" ht="22.5" customHeight="1">
      <c r="A3739" s="85">
        <v>174904221976312</v>
      </c>
      <c r="B3739" s="82" t="s">
        <v>10651</v>
      </c>
      <c r="C3739" s="82" t="s">
        <v>11816</v>
      </c>
      <c r="D3739" s="82" t="s">
        <v>3682</v>
      </c>
      <c r="E3739" s="82">
        <v>6285602235226</v>
      </c>
      <c r="F3739" s="92">
        <v>45881</v>
      </c>
      <c r="G3739" s="87">
        <v>401</v>
      </c>
      <c r="H3739" s="88">
        <v>32137.254901960787</v>
      </c>
      <c r="I3739" s="89">
        <v>54</v>
      </c>
      <c r="J3739" s="90">
        <v>14751</v>
      </c>
      <c r="K3739" s="85">
        <v>6</v>
      </c>
      <c r="L3739" s="85">
        <v>183</v>
      </c>
      <c r="M3739" s="85">
        <v>3</v>
      </c>
      <c r="N3739" s="82" t="s">
        <v>11817</v>
      </c>
      <c r="O3739" s="93">
        <v>45882.547592592593</v>
      </c>
    </row>
    <row r="3740" spans="1:15" ht="22.5" customHeight="1">
      <c r="A3740" s="85">
        <v>174904221976312</v>
      </c>
      <c r="B3740" s="82" t="s">
        <v>10651</v>
      </c>
      <c r="C3740" s="82" t="s">
        <v>11818</v>
      </c>
      <c r="D3740" s="82" t="s">
        <v>11819</v>
      </c>
      <c r="E3740" s="82">
        <v>6289515920603</v>
      </c>
      <c r="F3740" s="92">
        <v>45881</v>
      </c>
      <c r="G3740" s="87">
        <v>276</v>
      </c>
      <c r="H3740" s="88">
        <v>54591.065292096217</v>
      </c>
      <c r="I3740" s="89">
        <v>6</v>
      </c>
      <c r="J3740" s="90">
        <v>15886</v>
      </c>
      <c r="K3740" s="85">
        <v>0</v>
      </c>
      <c r="L3740" s="85">
        <v>108</v>
      </c>
      <c r="M3740" s="85">
        <v>0</v>
      </c>
      <c r="N3740" s="82" t="s">
        <v>11820</v>
      </c>
      <c r="O3740" s="93">
        <v>45882.215902777774</v>
      </c>
    </row>
    <row r="3741" spans="1:15" ht="22.5" customHeight="1">
      <c r="A3741" s="85">
        <v>174904221976312</v>
      </c>
      <c r="B3741" s="82" t="s">
        <v>10651</v>
      </c>
      <c r="C3741" s="82" t="s">
        <v>11804</v>
      </c>
      <c r="D3741" s="82" t="s">
        <v>3672</v>
      </c>
      <c r="E3741" s="82">
        <v>628170204528</v>
      </c>
      <c r="F3741" s="92">
        <v>45881</v>
      </c>
      <c r="G3741" s="87">
        <v>420</v>
      </c>
      <c r="H3741" s="88">
        <v>34497.777777777781</v>
      </c>
      <c r="I3741" s="89">
        <v>14</v>
      </c>
      <c r="J3741" s="90">
        <v>15524</v>
      </c>
      <c r="K3741" s="85">
        <v>0</v>
      </c>
      <c r="L3741" s="85">
        <v>33</v>
      </c>
      <c r="M3741" s="85">
        <v>0</v>
      </c>
      <c r="N3741" s="82" t="s">
        <v>11805</v>
      </c>
      <c r="O3741" s="93">
        <v>45882.215902777774</v>
      </c>
    </row>
    <row r="3742" spans="1:15" ht="22.5" customHeight="1">
      <c r="A3742" s="85">
        <v>174904221976312</v>
      </c>
      <c r="B3742" s="82" t="s">
        <v>10651</v>
      </c>
      <c r="C3742" s="82" t="s">
        <v>11797</v>
      </c>
      <c r="D3742" s="82" t="s">
        <v>3616</v>
      </c>
      <c r="E3742" s="82">
        <v>6285299991164</v>
      </c>
      <c r="F3742" s="92">
        <v>45881</v>
      </c>
      <c r="G3742" s="87">
        <v>247</v>
      </c>
      <c r="H3742" s="88">
        <v>44693.811074918565</v>
      </c>
      <c r="I3742" s="89">
        <v>12</v>
      </c>
      <c r="J3742" s="90">
        <v>13721</v>
      </c>
      <c r="K3742" s="85">
        <v>3</v>
      </c>
      <c r="L3742" s="85">
        <v>0</v>
      </c>
      <c r="M3742" s="85">
        <v>0</v>
      </c>
      <c r="N3742" s="82" t="s">
        <v>11798</v>
      </c>
      <c r="O3742" s="93">
        <v>45882.568090277775</v>
      </c>
    </row>
    <row r="3743" spans="1:15" ht="22.5" customHeight="1">
      <c r="A3743" s="85">
        <v>174904221976312</v>
      </c>
      <c r="B3743" s="82" t="s">
        <v>10651</v>
      </c>
      <c r="C3743" s="82" t="s">
        <v>11799</v>
      </c>
      <c r="D3743" s="82" t="s">
        <v>11800</v>
      </c>
      <c r="E3743" s="82">
        <v>6285333751528</v>
      </c>
      <c r="F3743" s="92">
        <v>45881</v>
      </c>
      <c r="G3743" s="87">
        <v>288</v>
      </c>
      <c r="H3743" s="88">
        <v>39278.846153846156</v>
      </c>
      <c r="I3743" s="89">
        <v>7</v>
      </c>
      <c r="J3743" s="90">
        <v>12255</v>
      </c>
      <c r="K3743" s="85">
        <v>1</v>
      </c>
      <c r="L3743" s="85">
        <v>0</v>
      </c>
      <c r="M3743" s="85">
        <v>0</v>
      </c>
      <c r="N3743" s="82" t="s">
        <v>11801</v>
      </c>
      <c r="O3743" s="93">
        <v>45882.609988425924</v>
      </c>
    </row>
    <row r="3744" spans="1:15" ht="22.5" customHeight="1">
      <c r="A3744" s="85">
        <v>174904221976312</v>
      </c>
      <c r="B3744" s="82" t="s">
        <v>10651</v>
      </c>
      <c r="C3744" s="82" t="s">
        <v>11766</v>
      </c>
      <c r="D3744" s="82" t="s">
        <v>11767</v>
      </c>
      <c r="E3744" s="82">
        <v>6281225101319</v>
      </c>
      <c r="F3744" s="92">
        <v>45881</v>
      </c>
      <c r="G3744" s="87">
        <v>253</v>
      </c>
      <c r="H3744" s="88">
        <v>36594.771241830065</v>
      </c>
      <c r="I3744" s="89">
        <v>12</v>
      </c>
      <c r="J3744" s="90">
        <v>11198</v>
      </c>
      <c r="K3744" s="85">
        <v>1</v>
      </c>
      <c r="L3744" s="85">
        <v>2</v>
      </c>
      <c r="M3744" s="85">
        <v>1</v>
      </c>
      <c r="N3744" s="82" t="s">
        <v>11768</v>
      </c>
      <c r="O3744" s="93">
        <v>45882.568067129629</v>
      </c>
    </row>
    <row r="3745" spans="1:15" ht="22.5" customHeight="1">
      <c r="A3745" s="85">
        <v>174904221976312</v>
      </c>
      <c r="B3745" s="82" t="s">
        <v>10651</v>
      </c>
      <c r="C3745" s="82" t="s">
        <v>11777</v>
      </c>
      <c r="D3745" s="82" t="s">
        <v>11778</v>
      </c>
      <c r="E3745" s="82">
        <v>6281374844270</v>
      </c>
      <c r="F3745" s="92">
        <v>45881</v>
      </c>
      <c r="G3745" s="87">
        <v>407</v>
      </c>
      <c r="H3745" s="88">
        <v>32361.363636363636</v>
      </c>
      <c r="I3745" s="89">
        <v>15</v>
      </c>
      <c r="J3745" s="90">
        <v>14239</v>
      </c>
      <c r="K3745" s="85">
        <v>0</v>
      </c>
      <c r="L3745" s="85">
        <v>135</v>
      </c>
      <c r="M3745" s="85">
        <v>0</v>
      </c>
      <c r="N3745" s="82" t="s">
        <v>11779</v>
      </c>
      <c r="O3745" s="93">
        <v>45882.547337962962</v>
      </c>
    </row>
    <row r="3746" spans="1:15" ht="22.5" customHeight="1">
      <c r="A3746" s="85">
        <v>174904221976312</v>
      </c>
      <c r="B3746" s="82" t="s">
        <v>10651</v>
      </c>
      <c r="C3746" s="82" t="s">
        <v>11780</v>
      </c>
      <c r="D3746" s="82" t="s">
        <v>11781</v>
      </c>
      <c r="E3746" s="82">
        <v>6282129364133</v>
      </c>
      <c r="F3746" s="92">
        <v>45881</v>
      </c>
      <c r="G3746" s="87">
        <v>500</v>
      </c>
      <c r="H3746" s="88">
        <v>20953.343701399688</v>
      </c>
      <c r="I3746" s="89">
        <v>12</v>
      </c>
      <c r="J3746" s="90">
        <v>13473</v>
      </c>
      <c r="K3746" s="85">
        <v>0</v>
      </c>
      <c r="L3746" s="85">
        <v>0</v>
      </c>
      <c r="M3746" s="85">
        <v>0</v>
      </c>
      <c r="N3746" s="82" t="s">
        <v>11782</v>
      </c>
      <c r="O3746" s="93">
        <v>45882.610011574077</v>
      </c>
    </row>
    <row r="3747" spans="1:15" ht="22.5" customHeight="1">
      <c r="A3747" s="85">
        <v>174904221976312</v>
      </c>
      <c r="B3747" s="82" t="s">
        <v>10651</v>
      </c>
      <c r="C3747" s="82" t="s">
        <v>11785</v>
      </c>
      <c r="D3747" s="82" t="s">
        <v>11786</v>
      </c>
      <c r="E3747" s="82">
        <v>628557182563</v>
      </c>
      <c r="F3747" s="92">
        <v>45881</v>
      </c>
      <c r="G3747" s="87">
        <v>455</v>
      </c>
      <c r="H3747" s="88">
        <v>24194.23076923077</v>
      </c>
      <c r="I3747" s="89">
        <v>9</v>
      </c>
      <c r="J3747" s="90">
        <v>12581</v>
      </c>
      <c r="K3747" s="85">
        <v>2</v>
      </c>
      <c r="L3747" s="85">
        <v>1</v>
      </c>
      <c r="M3747" s="85">
        <v>0</v>
      </c>
      <c r="N3747" s="82" t="s">
        <v>11787</v>
      </c>
      <c r="O3747" s="93">
        <v>45882.56821759259</v>
      </c>
    </row>
    <row r="3748" spans="1:15" ht="22.5" customHeight="1">
      <c r="A3748" s="85">
        <v>174904221976312</v>
      </c>
      <c r="B3748" s="82" t="s">
        <v>10651</v>
      </c>
      <c r="C3748" s="82" t="s">
        <v>11740</v>
      </c>
      <c r="D3748" s="82" t="s">
        <v>3562</v>
      </c>
      <c r="E3748" s="82">
        <v>6281558225822</v>
      </c>
      <c r="F3748" s="92">
        <v>45881</v>
      </c>
      <c r="G3748" s="87">
        <v>139</v>
      </c>
      <c r="H3748" s="88">
        <v>94980.645161290333</v>
      </c>
      <c r="I3748" s="89">
        <v>9</v>
      </c>
      <c r="J3748" s="90">
        <v>14722</v>
      </c>
      <c r="K3748" s="85">
        <v>2</v>
      </c>
      <c r="L3748" s="85">
        <v>21</v>
      </c>
      <c r="M3748" s="85">
        <v>0</v>
      </c>
      <c r="N3748" s="82" t="s">
        <v>11741</v>
      </c>
      <c r="O3748" s="93">
        <v>45882.422210648147</v>
      </c>
    </row>
    <row r="3749" spans="1:15" ht="22.5" customHeight="1">
      <c r="A3749" s="85">
        <v>174904221976312</v>
      </c>
      <c r="B3749" s="82" t="s">
        <v>10651</v>
      </c>
      <c r="C3749" s="82" t="s">
        <v>11744</v>
      </c>
      <c r="D3749" s="82" t="s">
        <v>11745</v>
      </c>
      <c r="E3749" s="82">
        <v>6287721853921</v>
      </c>
      <c r="F3749" s="92">
        <v>45881</v>
      </c>
      <c r="G3749" s="87">
        <v>1530</v>
      </c>
      <c r="H3749" s="88">
        <v>8065.5172413793107</v>
      </c>
      <c r="I3749" s="89">
        <v>53</v>
      </c>
      <c r="J3749" s="90">
        <v>14034</v>
      </c>
      <c r="K3749" s="85">
        <v>3</v>
      </c>
      <c r="L3749" s="85">
        <v>565</v>
      </c>
      <c r="M3749" s="85">
        <v>0</v>
      </c>
      <c r="N3749" s="82" t="s">
        <v>11746</v>
      </c>
      <c r="O3749" s="93">
        <v>45882.526574074072</v>
      </c>
    </row>
    <row r="3750" spans="1:15" ht="22.5" customHeight="1">
      <c r="A3750" s="85">
        <v>174904221976312</v>
      </c>
      <c r="B3750" s="82" t="s">
        <v>10651</v>
      </c>
      <c r="C3750" s="82" t="s">
        <v>11752</v>
      </c>
      <c r="D3750" s="82" t="s">
        <v>11753</v>
      </c>
      <c r="E3750" s="82">
        <v>6281326757091</v>
      </c>
      <c r="F3750" s="92">
        <v>45881</v>
      </c>
      <c r="G3750" s="87">
        <v>1154</v>
      </c>
      <c r="H3750" s="88">
        <v>10112.903225806453</v>
      </c>
      <c r="I3750" s="89">
        <v>96</v>
      </c>
      <c r="J3750" s="90">
        <v>13794</v>
      </c>
      <c r="K3750" s="85">
        <v>15</v>
      </c>
      <c r="L3750" s="85">
        <v>268</v>
      </c>
      <c r="M3750" s="85">
        <v>1</v>
      </c>
      <c r="N3750" s="82" t="s">
        <v>11754</v>
      </c>
      <c r="O3750" s="93">
        <v>45882.672430555554</v>
      </c>
    </row>
    <row r="3751" spans="1:15" ht="22.5" customHeight="1">
      <c r="A3751" s="85">
        <v>174904221976312</v>
      </c>
      <c r="B3751" s="82" t="s">
        <v>10651</v>
      </c>
      <c r="C3751" s="82" t="s">
        <v>11755</v>
      </c>
      <c r="D3751" s="82" t="s">
        <v>11756</v>
      </c>
      <c r="E3751" s="82">
        <v>6281357754513</v>
      </c>
      <c r="F3751" s="92">
        <v>45881</v>
      </c>
      <c r="G3751" s="87">
        <v>422</v>
      </c>
      <c r="H3751" s="88">
        <v>23898.734177215189</v>
      </c>
      <c r="I3751" s="89">
        <v>15</v>
      </c>
      <c r="J3751" s="90">
        <v>11328</v>
      </c>
      <c r="K3751" s="85">
        <v>1</v>
      </c>
      <c r="L3751" s="85">
        <v>155</v>
      </c>
      <c r="M3751" s="85">
        <v>0</v>
      </c>
      <c r="N3751" s="82" t="s">
        <v>11757</v>
      </c>
      <c r="O3751" s="93">
        <v>45882.588680555556</v>
      </c>
    </row>
    <row r="3752" spans="1:15" ht="22.5" customHeight="1">
      <c r="A3752" s="85">
        <v>174904221976312</v>
      </c>
      <c r="B3752" s="82" t="s">
        <v>10651</v>
      </c>
      <c r="C3752" s="82" t="s">
        <v>11761</v>
      </c>
      <c r="D3752" s="82" t="s">
        <v>3438</v>
      </c>
      <c r="E3752" s="82">
        <v>628154336558</v>
      </c>
      <c r="F3752" s="92">
        <v>45881</v>
      </c>
      <c r="G3752" s="87">
        <v>2313</v>
      </c>
      <c r="H3752" s="88">
        <v>5007.782101167315</v>
      </c>
      <c r="I3752" s="89">
        <v>101</v>
      </c>
      <c r="J3752" s="90">
        <v>12870</v>
      </c>
      <c r="K3752" s="85">
        <v>5</v>
      </c>
      <c r="L3752" s="85">
        <v>908</v>
      </c>
      <c r="M3752" s="85">
        <v>0</v>
      </c>
      <c r="N3752" s="82" t="s">
        <v>11762</v>
      </c>
      <c r="O3752" s="93">
        <v>45882.61</v>
      </c>
    </row>
    <row r="3753" spans="1:15" ht="22.5" customHeight="1">
      <c r="A3753" s="85">
        <v>174904221976312</v>
      </c>
      <c r="B3753" s="82" t="s">
        <v>10651</v>
      </c>
      <c r="C3753" s="82" t="s">
        <v>11763</v>
      </c>
      <c r="D3753" s="82" t="s">
        <v>11764</v>
      </c>
      <c r="E3753" s="82">
        <v>6282384544939</v>
      </c>
      <c r="F3753" s="92">
        <v>45881</v>
      </c>
      <c r="G3753" s="87">
        <v>747</v>
      </c>
      <c r="H3753" s="88">
        <v>16479.518072289156</v>
      </c>
      <c r="I3753" s="89">
        <v>8</v>
      </c>
      <c r="J3753" s="90">
        <v>13678</v>
      </c>
      <c r="K3753" s="85">
        <v>0</v>
      </c>
      <c r="L3753" s="85">
        <v>230</v>
      </c>
      <c r="M3753" s="85">
        <v>0</v>
      </c>
      <c r="N3753" s="82" t="s">
        <v>11765</v>
      </c>
      <c r="O3753" s="93">
        <v>45882.651689814818</v>
      </c>
    </row>
    <row r="3754" spans="1:15" ht="22.5" customHeight="1">
      <c r="A3754" s="85">
        <v>174904221976312</v>
      </c>
      <c r="B3754" s="82" t="s">
        <v>10651</v>
      </c>
      <c r="C3754" s="82" t="s">
        <v>11728</v>
      </c>
      <c r="D3754" s="82" t="s">
        <v>11729</v>
      </c>
      <c r="E3754" s="82">
        <v>628122703083</v>
      </c>
      <c r="F3754" s="92">
        <v>45881</v>
      </c>
      <c r="G3754" s="87">
        <v>190</v>
      </c>
      <c r="H3754" s="88">
        <v>69330.143540669858</v>
      </c>
      <c r="I3754" s="89">
        <v>13</v>
      </c>
      <c r="J3754" s="90">
        <v>14490</v>
      </c>
      <c r="K3754" s="85">
        <v>1</v>
      </c>
      <c r="L3754" s="85">
        <v>5</v>
      </c>
      <c r="M3754" s="85">
        <v>0</v>
      </c>
      <c r="N3754" s="82" t="s">
        <v>11841</v>
      </c>
      <c r="O3754" s="93">
        <v>45882.215914351851</v>
      </c>
    </row>
    <row r="3755" spans="1:15" ht="22.5" customHeight="1">
      <c r="A3755" s="85">
        <v>174904221976312</v>
      </c>
      <c r="B3755" s="82" t="s">
        <v>10651</v>
      </c>
      <c r="C3755" s="82" t="s">
        <v>11733</v>
      </c>
      <c r="D3755" s="82" t="s">
        <v>3479</v>
      </c>
      <c r="E3755" s="82">
        <v>6285780314346</v>
      </c>
      <c r="F3755" s="92">
        <v>45881</v>
      </c>
      <c r="G3755" s="87">
        <v>624</v>
      </c>
      <c r="H3755" s="88">
        <v>16666.666666666668</v>
      </c>
      <c r="I3755" s="89">
        <v>68</v>
      </c>
      <c r="J3755" s="90">
        <v>13450</v>
      </c>
      <c r="K3755" s="85">
        <v>9</v>
      </c>
      <c r="L3755" s="85">
        <v>52</v>
      </c>
      <c r="M3755" s="85">
        <v>0</v>
      </c>
      <c r="N3755" s="82" t="s">
        <v>11734</v>
      </c>
      <c r="O3755" s="93">
        <v>45882.630497685182</v>
      </c>
    </row>
    <row r="3756" spans="1:15" ht="22.5" customHeight="1">
      <c r="A3756" s="85">
        <v>174904221976312</v>
      </c>
      <c r="B3756" s="82" t="s">
        <v>10651</v>
      </c>
      <c r="C3756" s="82" t="s">
        <v>11708</v>
      </c>
      <c r="D3756" s="82" t="s">
        <v>11709</v>
      </c>
      <c r="E3756" s="82">
        <v>6285294617773</v>
      </c>
      <c r="F3756" s="92">
        <v>45881</v>
      </c>
      <c r="G3756" s="87">
        <v>361</v>
      </c>
      <c r="H3756" s="88">
        <v>45511.936339522552</v>
      </c>
      <c r="I3756" s="89">
        <v>16</v>
      </c>
      <c r="J3756" s="90">
        <v>17158</v>
      </c>
      <c r="K3756" s="85">
        <v>0</v>
      </c>
      <c r="L3756" s="85">
        <v>42</v>
      </c>
      <c r="M3756" s="85">
        <v>0</v>
      </c>
      <c r="N3756" s="82" t="s">
        <v>11710</v>
      </c>
      <c r="O3756" s="93">
        <v>45882.651689814818</v>
      </c>
    </row>
    <row r="3757" spans="1:15" ht="22.5" customHeight="1">
      <c r="A3757" s="85">
        <v>174904221976312</v>
      </c>
      <c r="B3757" s="82" t="s">
        <v>10651</v>
      </c>
      <c r="C3757" s="82" t="s">
        <v>11711</v>
      </c>
      <c r="D3757" s="82" t="s">
        <v>11712</v>
      </c>
      <c r="E3757" s="82">
        <v>6285286258400</v>
      </c>
      <c r="F3757" s="92">
        <v>45881</v>
      </c>
      <c r="G3757" s="87">
        <v>288</v>
      </c>
      <c r="H3757" s="88">
        <v>39490.250696378833</v>
      </c>
      <c r="I3757" s="89">
        <v>10</v>
      </c>
      <c r="J3757" s="90">
        <v>14177</v>
      </c>
      <c r="K3757" s="85">
        <v>2</v>
      </c>
      <c r="L3757" s="85">
        <v>52</v>
      </c>
      <c r="M3757" s="85">
        <v>0</v>
      </c>
      <c r="N3757" s="82" t="s">
        <v>11713</v>
      </c>
      <c r="O3757" s="93">
        <v>45882.215914351851</v>
      </c>
    </row>
    <row r="3758" spans="1:15" ht="22.5" customHeight="1">
      <c r="A3758" s="85">
        <v>174904221976312</v>
      </c>
      <c r="B3758" s="82" t="s">
        <v>10651</v>
      </c>
      <c r="C3758" s="82" t="s">
        <v>11663</v>
      </c>
      <c r="D3758" s="82" t="s">
        <v>11664</v>
      </c>
      <c r="E3758" s="82">
        <v>628123264621</v>
      </c>
      <c r="F3758" s="92">
        <v>45881</v>
      </c>
      <c r="G3758" s="87">
        <v>770</v>
      </c>
      <c r="H3758" s="88">
        <v>13858.585858585859</v>
      </c>
      <c r="I3758" s="89">
        <v>39</v>
      </c>
      <c r="J3758" s="90">
        <v>13720</v>
      </c>
      <c r="K3758" s="85">
        <v>4</v>
      </c>
      <c r="L3758" s="85">
        <v>9</v>
      </c>
      <c r="M3758" s="85">
        <v>0</v>
      </c>
      <c r="N3758" s="82" t="s">
        <v>11665</v>
      </c>
      <c r="O3758" s="93">
        <v>45882.651435185187</v>
      </c>
    </row>
    <row r="3759" spans="1:15" ht="22.5" customHeight="1">
      <c r="A3759" s="85">
        <v>174904221976312</v>
      </c>
      <c r="B3759" s="82" t="s">
        <v>10651</v>
      </c>
      <c r="C3759" s="82" t="s">
        <v>11636</v>
      </c>
      <c r="D3759" s="82" t="s">
        <v>11637</v>
      </c>
      <c r="E3759" s="82">
        <v>6282154233977</v>
      </c>
      <c r="F3759" s="92">
        <v>45881</v>
      </c>
      <c r="G3759" s="87">
        <v>1115</v>
      </c>
      <c r="H3759" s="88">
        <v>11055.813953488372</v>
      </c>
      <c r="I3759" s="89">
        <v>61</v>
      </c>
      <c r="J3759" s="90">
        <v>14262</v>
      </c>
      <c r="K3759" s="85">
        <v>4</v>
      </c>
      <c r="L3759" s="85">
        <v>381</v>
      </c>
      <c r="M3759" s="85">
        <v>2</v>
      </c>
      <c r="N3759" s="82" t="s">
        <v>11638</v>
      </c>
      <c r="O3759" s="93">
        <v>45882.463796296295</v>
      </c>
    </row>
    <row r="3760" spans="1:15" ht="22.5" customHeight="1">
      <c r="A3760" s="85">
        <v>174904221976312</v>
      </c>
      <c r="B3760" s="82" t="s">
        <v>10651</v>
      </c>
      <c r="C3760" s="82" t="s">
        <v>11578</v>
      </c>
      <c r="D3760" s="82" t="s">
        <v>1624</v>
      </c>
      <c r="E3760" s="82">
        <v>6281938384000</v>
      </c>
      <c r="F3760" s="92">
        <v>45881</v>
      </c>
      <c r="G3760" s="87">
        <v>737</v>
      </c>
      <c r="H3760" s="88">
        <v>15833.333333333334</v>
      </c>
      <c r="I3760" s="89">
        <v>33</v>
      </c>
      <c r="J3760" s="90">
        <v>13965</v>
      </c>
      <c r="K3760" s="85">
        <v>2</v>
      </c>
      <c r="L3760" s="85">
        <v>63</v>
      </c>
      <c r="M3760" s="85">
        <v>2</v>
      </c>
      <c r="N3760" s="82" t="s">
        <v>11579</v>
      </c>
      <c r="O3760" s="93">
        <v>45882.547337962962</v>
      </c>
    </row>
    <row r="3761" spans="1:15" ht="22.5" customHeight="1">
      <c r="A3761" s="85">
        <v>174904221976312</v>
      </c>
      <c r="B3761" s="82" t="s">
        <v>10651</v>
      </c>
      <c r="C3761" s="82" t="s">
        <v>11535</v>
      </c>
      <c r="D3761" s="82" t="s">
        <v>2969</v>
      </c>
      <c r="E3761" s="82">
        <v>6281286402030</v>
      </c>
      <c r="F3761" s="92">
        <v>45881</v>
      </c>
      <c r="G3761" s="87">
        <v>127</v>
      </c>
      <c r="H3761" s="88">
        <v>91986.111111111109</v>
      </c>
      <c r="I3761" s="89">
        <v>7</v>
      </c>
      <c r="J3761" s="90">
        <v>13246</v>
      </c>
      <c r="K3761" s="85">
        <v>2</v>
      </c>
      <c r="L3761" s="85">
        <v>55</v>
      </c>
      <c r="M3761" s="85">
        <v>0</v>
      </c>
      <c r="N3761" s="82" t="s">
        <v>11536</v>
      </c>
      <c r="O3761" s="93">
        <v>45882.485173611109</v>
      </c>
    </row>
    <row r="3762" spans="1:15" ht="22.5" customHeight="1">
      <c r="A3762" s="85">
        <v>174904221976312</v>
      </c>
      <c r="B3762" s="82" t="s">
        <v>10651</v>
      </c>
      <c r="C3762" s="82" t="s">
        <v>11494</v>
      </c>
      <c r="D3762" s="82" t="s">
        <v>11495</v>
      </c>
      <c r="E3762" s="82">
        <v>6285645050058</v>
      </c>
      <c r="F3762" s="92">
        <v>45881</v>
      </c>
      <c r="G3762" s="87">
        <v>700</v>
      </c>
      <c r="H3762" s="88">
        <v>13453.074433656959</v>
      </c>
      <c r="I3762" s="89">
        <v>33</v>
      </c>
      <c r="J3762" s="90">
        <v>12471</v>
      </c>
      <c r="K3762" s="85">
        <v>1</v>
      </c>
      <c r="L3762" s="85">
        <v>246</v>
      </c>
      <c r="M3762" s="85">
        <v>1</v>
      </c>
      <c r="N3762" s="82" t="s">
        <v>11496</v>
      </c>
      <c r="O3762" s="93">
        <v>45882.651446759257</v>
      </c>
    </row>
    <row r="3763" spans="1:15" ht="22.5" customHeight="1">
      <c r="A3763" s="85">
        <v>174904221976312</v>
      </c>
      <c r="B3763" s="82" t="s">
        <v>10651</v>
      </c>
      <c r="C3763" s="82" t="s">
        <v>11464</v>
      </c>
      <c r="D3763" s="82" t="s">
        <v>11465</v>
      </c>
      <c r="E3763" s="82">
        <v>62816904358</v>
      </c>
      <c r="F3763" s="92">
        <v>45881</v>
      </c>
      <c r="G3763" s="87">
        <v>308</v>
      </c>
      <c r="H3763" s="88">
        <v>30708.55614973262</v>
      </c>
      <c r="I3763" s="89">
        <v>23</v>
      </c>
      <c r="J3763" s="90">
        <v>11485</v>
      </c>
      <c r="K3763" s="85">
        <v>1</v>
      </c>
      <c r="L3763" s="85">
        <v>2</v>
      </c>
      <c r="M3763" s="85">
        <v>0</v>
      </c>
      <c r="N3763" s="82" t="s">
        <v>11466</v>
      </c>
      <c r="O3763" s="93">
        <v>45882.672430555554</v>
      </c>
    </row>
    <row r="3764" spans="1:15" ht="22.5" customHeight="1">
      <c r="A3764" s="85">
        <v>174904221976312</v>
      </c>
      <c r="B3764" s="82" t="s">
        <v>10651</v>
      </c>
      <c r="C3764" s="82" t="s">
        <v>11396</v>
      </c>
      <c r="D3764" s="82" t="s">
        <v>11397</v>
      </c>
      <c r="E3764" s="82">
        <v>6285789446955</v>
      </c>
      <c r="F3764" s="92">
        <v>45881</v>
      </c>
      <c r="G3764" s="87">
        <v>466</v>
      </c>
      <c r="H3764" s="88">
        <v>23677.474402730375</v>
      </c>
      <c r="I3764" s="89">
        <v>6</v>
      </c>
      <c r="J3764" s="90">
        <v>13875</v>
      </c>
      <c r="K3764" s="85">
        <v>0</v>
      </c>
      <c r="L3764" s="85">
        <v>3</v>
      </c>
      <c r="M3764" s="85">
        <v>0</v>
      </c>
      <c r="N3764" s="82" t="s">
        <v>11398</v>
      </c>
      <c r="O3764" s="93">
        <v>45882.588692129626</v>
      </c>
    </row>
    <row r="3765" spans="1:15" ht="22.5" customHeight="1">
      <c r="A3765" s="85">
        <v>174904221976312</v>
      </c>
      <c r="B3765" s="82" t="s">
        <v>10651</v>
      </c>
      <c r="C3765" s="82" t="s">
        <v>11309</v>
      </c>
      <c r="D3765" s="82" t="s">
        <v>11350</v>
      </c>
      <c r="E3765" s="82">
        <v>6281229745253</v>
      </c>
      <c r="F3765" s="92">
        <v>45881</v>
      </c>
      <c r="G3765" s="87">
        <v>181</v>
      </c>
      <c r="H3765" s="88">
        <v>73106.382978723399</v>
      </c>
      <c r="I3765" s="89">
        <v>6</v>
      </c>
      <c r="J3765" s="90">
        <v>13744</v>
      </c>
      <c r="K3765" s="85">
        <v>0</v>
      </c>
      <c r="L3765" s="85">
        <v>41</v>
      </c>
      <c r="M3765" s="85">
        <v>0</v>
      </c>
      <c r="N3765" s="82" t="s">
        <v>11791</v>
      </c>
      <c r="O3765" s="93">
        <v>45882.464120370372</v>
      </c>
    </row>
    <row r="3766" spans="1:15" ht="22.5" customHeight="1">
      <c r="A3766" s="85">
        <v>174904221976312</v>
      </c>
      <c r="B3766" s="82" t="s">
        <v>10651</v>
      </c>
      <c r="C3766" s="82" t="s">
        <v>10853</v>
      </c>
      <c r="D3766" s="82" t="s">
        <v>10854</v>
      </c>
      <c r="E3766" s="82">
        <v>6281393958199</v>
      </c>
      <c r="F3766" s="92">
        <v>45881</v>
      </c>
      <c r="G3766" s="87">
        <v>508</v>
      </c>
      <c r="H3766" s="88">
        <v>21468.75</v>
      </c>
      <c r="I3766" s="89">
        <v>20</v>
      </c>
      <c r="J3766" s="90">
        <v>13053</v>
      </c>
      <c r="K3766" s="85">
        <v>5</v>
      </c>
      <c r="L3766" s="85">
        <v>139</v>
      </c>
      <c r="M3766" s="85">
        <v>0</v>
      </c>
      <c r="N3766" s="82" t="s">
        <v>10855</v>
      </c>
      <c r="O3766" s="93">
        <v>45882.610011574077</v>
      </c>
    </row>
    <row r="3767" spans="1:15" ht="22.5" customHeight="1">
      <c r="A3767" s="85">
        <v>174904221976312</v>
      </c>
      <c r="B3767" s="82" t="s">
        <v>10651</v>
      </c>
      <c r="C3767" s="82" t="s">
        <v>10655</v>
      </c>
      <c r="D3767" s="82" t="s">
        <v>3908</v>
      </c>
      <c r="E3767" s="82">
        <v>6285376667233</v>
      </c>
      <c r="F3767" s="92">
        <v>45881</v>
      </c>
      <c r="G3767" s="87">
        <v>1078</v>
      </c>
      <c r="H3767" s="88">
        <v>11529.850746268658</v>
      </c>
      <c r="I3767" s="89">
        <v>26</v>
      </c>
      <c r="J3767" s="90">
        <v>13905</v>
      </c>
      <c r="K3767" s="85">
        <v>4</v>
      </c>
      <c r="L3767" s="85">
        <v>370</v>
      </c>
      <c r="M3767" s="85">
        <v>1</v>
      </c>
      <c r="N3767" s="82" t="s">
        <v>10656</v>
      </c>
      <c r="O3767" s="93">
        <v>45882.568078703705</v>
      </c>
    </row>
    <row r="3768" spans="1:15" ht="22.5" customHeight="1">
      <c r="A3768" s="85">
        <v>174904221976312</v>
      </c>
      <c r="B3768" s="82" t="s">
        <v>10651</v>
      </c>
      <c r="C3768" s="82" t="s">
        <v>10657</v>
      </c>
      <c r="D3768" s="82" t="s">
        <v>1239</v>
      </c>
      <c r="E3768" s="82">
        <v>6282172291579</v>
      </c>
      <c r="F3768" s="92">
        <v>45881</v>
      </c>
      <c r="G3768" s="87">
        <v>500</v>
      </c>
      <c r="H3768" s="88">
        <v>18333.333333333332</v>
      </c>
      <c r="I3768" s="89">
        <v>23</v>
      </c>
      <c r="J3768" s="90">
        <v>11055</v>
      </c>
      <c r="K3768" s="85">
        <v>1</v>
      </c>
      <c r="L3768" s="85">
        <v>264</v>
      </c>
      <c r="M3768" s="85">
        <v>1</v>
      </c>
      <c r="N3768" s="82" t="s">
        <v>10658</v>
      </c>
      <c r="O3768" s="93">
        <v>45882.610011574077</v>
      </c>
    </row>
    <row r="3769" spans="1:15" ht="22.5" customHeight="1">
      <c r="A3769" s="85">
        <v>174904221976312</v>
      </c>
      <c r="B3769" s="82" t="s">
        <v>10651</v>
      </c>
      <c r="C3769" s="82" t="s">
        <v>10662</v>
      </c>
      <c r="D3769" s="82" t="s">
        <v>10663</v>
      </c>
      <c r="E3769" s="82">
        <v>62882001677470</v>
      </c>
      <c r="F3769" s="92">
        <v>45881</v>
      </c>
      <c r="G3769" s="87">
        <v>595</v>
      </c>
      <c r="H3769" s="88">
        <v>20106.936416184973</v>
      </c>
      <c r="I3769" s="89">
        <v>30</v>
      </c>
      <c r="J3769" s="90">
        <v>13914</v>
      </c>
      <c r="K3769" s="85">
        <v>2</v>
      </c>
      <c r="L3769" s="85">
        <v>318</v>
      </c>
      <c r="M3769" s="85">
        <v>0</v>
      </c>
      <c r="N3769" s="82" t="s">
        <v>10664</v>
      </c>
      <c r="O3769" s="93">
        <v>45882.485439814816</v>
      </c>
    </row>
    <row r="3770" spans="1:15" ht="22.5" customHeight="1">
      <c r="A3770" s="85">
        <v>174904221976312</v>
      </c>
      <c r="B3770" s="82" t="s">
        <v>10651</v>
      </c>
      <c r="C3770" s="82" t="s">
        <v>10679</v>
      </c>
      <c r="D3770" s="82" t="s">
        <v>10680</v>
      </c>
      <c r="E3770" s="82">
        <v>6282347206488</v>
      </c>
      <c r="F3770" s="92">
        <v>45881</v>
      </c>
      <c r="G3770" s="87">
        <v>1357</v>
      </c>
      <c r="H3770" s="88">
        <v>7390.8754623921086</v>
      </c>
      <c r="I3770" s="89">
        <v>34</v>
      </c>
      <c r="J3770" s="90">
        <v>11988</v>
      </c>
      <c r="K3770" s="85">
        <v>1</v>
      </c>
      <c r="L3770" s="85">
        <v>673</v>
      </c>
      <c r="M3770" s="85">
        <v>2</v>
      </c>
      <c r="N3770" s="82" t="s">
        <v>10681</v>
      </c>
      <c r="O3770" s="93">
        <v>45882.443518518521</v>
      </c>
    </row>
    <row r="3771" spans="1:15" ht="22.5" customHeight="1">
      <c r="A3771" s="85">
        <v>174904221976312</v>
      </c>
      <c r="B3771" s="82" t="s">
        <v>10651</v>
      </c>
      <c r="C3771" s="82" t="s">
        <v>10731</v>
      </c>
      <c r="D3771" s="82" t="s">
        <v>10732</v>
      </c>
      <c r="E3771" s="82">
        <v>6281241440688</v>
      </c>
      <c r="F3771" s="92">
        <v>45881</v>
      </c>
      <c r="G3771" s="87">
        <v>1716</v>
      </c>
      <c r="H3771" s="88">
        <v>6083.0397584297943</v>
      </c>
      <c r="I3771" s="89">
        <v>16</v>
      </c>
      <c r="J3771" s="90">
        <v>12087</v>
      </c>
      <c r="K3771" s="85">
        <v>1</v>
      </c>
      <c r="L3771" s="85">
        <v>258</v>
      </c>
      <c r="M3771" s="85">
        <v>0</v>
      </c>
      <c r="N3771" s="82" t="s">
        <v>10733</v>
      </c>
      <c r="O3771" s="93">
        <v>45882.485185185185</v>
      </c>
    </row>
    <row r="3772" spans="1:15" ht="22.5" customHeight="1">
      <c r="A3772" s="85">
        <v>174904221976312</v>
      </c>
      <c r="B3772" s="82" t="s">
        <v>10651</v>
      </c>
      <c r="C3772" s="82" t="s">
        <v>10833</v>
      </c>
      <c r="D3772" s="82" t="s">
        <v>10834</v>
      </c>
      <c r="E3772" s="82">
        <v>6282242925264</v>
      </c>
      <c r="F3772" s="92">
        <v>45881</v>
      </c>
      <c r="G3772" s="87">
        <v>2267</v>
      </c>
      <c r="H3772" s="88">
        <v>5433.6419753086411</v>
      </c>
      <c r="I3772" s="89">
        <v>108</v>
      </c>
      <c r="J3772" s="90">
        <v>14084</v>
      </c>
      <c r="K3772" s="85">
        <v>5</v>
      </c>
      <c r="L3772" s="85">
        <v>714</v>
      </c>
      <c r="M3772" s="85">
        <v>1</v>
      </c>
      <c r="N3772" s="82" t="s">
        <v>10835</v>
      </c>
      <c r="O3772" s="93">
        <v>45882.505891203706</v>
      </c>
    </row>
    <row r="3773" spans="1:15" ht="22.5" customHeight="1">
      <c r="A3773" s="85">
        <v>759724529202804</v>
      </c>
      <c r="B3773" s="82" t="s">
        <v>10621</v>
      </c>
      <c r="C3773" s="82" t="s">
        <v>11859</v>
      </c>
      <c r="D3773" s="82" t="s">
        <v>11860</v>
      </c>
      <c r="E3773" s="82">
        <v>6285138380189</v>
      </c>
      <c r="F3773" s="92">
        <v>45882</v>
      </c>
      <c r="G3773" s="87">
        <v>537</v>
      </c>
      <c r="H3773" s="88">
        <v>21246.438746438744</v>
      </c>
      <c r="I3773" s="89">
        <v>17</v>
      </c>
      <c r="J3773" s="90">
        <v>14915</v>
      </c>
      <c r="K3773" s="85">
        <v>2</v>
      </c>
      <c r="L3773" s="85">
        <v>58</v>
      </c>
      <c r="M3773" s="85">
        <v>0</v>
      </c>
      <c r="N3773" s="82" t="s">
        <v>11861</v>
      </c>
      <c r="O3773" s="93">
        <v>45883.693124999998</v>
      </c>
    </row>
    <row r="3774" spans="1:15" ht="22.5" customHeight="1">
      <c r="A3774" s="85">
        <v>759724529202804</v>
      </c>
      <c r="B3774" s="82" t="s">
        <v>10621</v>
      </c>
      <c r="C3774" s="82" t="s">
        <v>11055</v>
      </c>
      <c r="D3774" s="82" t="s">
        <v>1021</v>
      </c>
      <c r="E3774" s="82"/>
      <c r="F3774" s="92">
        <v>45882</v>
      </c>
      <c r="G3774" s="87">
        <v>581</v>
      </c>
      <c r="H3774" s="88">
        <v>41225.854383358099</v>
      </c>
      <c r="I3774" s="89">
        <v>22</v>
      </c>
      <c r="J3774" s="90">
        <v>27745</v>
      </c>
      <c r="K3774" s="85">
        <v>9</v>
      </c>
      <c r="L3774" s="85">
        <v>187</v>
      </c>
      <c r="M3774" s="85">
        <v>0</v>
      </c>
      <c r="N3774" s="82" t="s">
        <v>11056</v>
      </c>
      <c r="O3774" s="93">
        <v>45883.391041666669</v>
      </c>
    </row>
    <row r="3775" spans="1:15" ht="22.5" customHeight="1">
      <c r="A3775" s="85">
        <v>174904221976312</v>
      </c>
      <c r="B3775" s="82" t="s">
        <v>10651</v>
      </c>
      <c r="C3775" s="82" t="s">
        <v>11882</v>
      </c>
      <c r="D3775" s="82" t="s">
        <v>11883</v>
      </c>
      <c r="E3775" s="82">
        <v>6287701349406</v>
      </c>
      <c r="F3775" s="92">
        <v>45882</v>
      </c>
      <c r="G3775" s="87">
        <v>1428</v>
      </c>
      <c r="H3775" s="88">
        <v>7319.7889182058043</v>
      </c>
      <c r="I3775" s="89">
        <v>51</v>
      </c>
      <c r="J3775" s="90">
        <v>13871</v>
      </c>
      <c r="K3775" s="85">
        <v>5</v>
      </c>
      <c r="L3775" s="85">
        <v>36</v>
      </c>
      <c r="M3775" s="85">
        <v>1</v>
      </c>
      <c r="N3775" s="82" t="s">
        <v>11884</v>
      </c>
      <c r="O3775" s="93">
        <v>45883.609826388885</v>
      </c>
    </row>
    <row r="3776" spans="1:15" ht="22.5" customHeight="1">
      <c r="A3776" s="85">
        <v>174904221976312</v>
      </c>
      <c r="B3776" s="82" t="s">
        <v>10651</v>
      </c>
      <c r="C3776" s="82" t="s">
        <v>11885</v>
      </c>
      <c r="D3776" s="82" t="s">
        <v>11886</v>
      </c>
      <c r="E3776" s="82">
        <v>628179780980</v>
      </c>
      <c r="F3776" s="92">
        <v>45882</v>
      </c>
      <c r="G3776" s="87">
        <v>238</v>
      </c>
      <c r="H3776" s="88">
        <v>47773.234200743493</v>
      </c>
      <c r="I3776" s="89">
        <v>4</v>
      </c>
      <c r="J3776" s="90">
        <v>12851</v>
      </c>
      <c r="K3776" s="85">
        <v>1</v>
      </c>
      <c r="L3776" s="85">
        <v>62</v>
      </c>
      <c r="M3776" s="85">
        <v>0</v>
      </c>
      <c r="N3776" s="82" t="s">
        <v>11887</v>
      </c>
      <c r="O3776" s="93">
        <v>45883.547997685186</v>
      </c>
    </row>
    <row r="3777" spans="1:15" ht="22.5" customHeight="1">
      <c r="A3777" s="85">
        <v>174904221976312</v>
      </c>
      <c r="B3777" s="82" t="s">
        <v>10651</v>
      </c>
      <c r="C3777" s="82" t="s">
        <v>11888</v>
      </c>
      <c r="D3777" s="82" t="s">
        <v>11889</v>
      </c>
      <c r="E3777" s="82">
        <v>628127962347</v>
      </c>
      <c r="F3777" s="92">
        <v>45882</v>
      </c>
      <c r="G3777" s="87">
        <v>560</v>
      </c>
      <c r="H3777" s="88">
        <v>19598.837209302324</v>
      </c>
      <c r="I3777" s="89">
        <v>22</v>
      </c>
      <c r="J3777" s="90">
        <v>13484</v>
      </c>
      <c r="K3777" s="85">
        <v>6</v>
      </c>
      <c r="L3777" s="85">
        <v>8</v>
      </c>
      <c r="M3777" s="85">
        <v>0</v>
      </c>
      <c r="N3777" s="82" t="s">
        <v>11890</v>
      </c>
      <c r="O3777" s="93">
        <v>45883.672407407408</v>
      </c>
    </row>
    <row r="3778" spans="1:15" ht="22.5" customHeight="1">
      <c r="A3778" s="85">
        <v>174904221976312</v>
      </c>
      <c r="B3778" s="82" t="s">
        <v>10651</v>
      </c>
      <c r="C3778" s="82" t="s">
        <v>11891</v>
      </c>
      <c r="D3778" s="82" t="s">
        <v>3873</v>
      </c>
      <c r="E3778" s="82">
        <v>6282241382009</v>
      </c>
      <c r="F3778" s="92">
        <v>45882</v>
      </c>
      <c r="G3778" s="87">
        <v>481</v>
      </c>
      <c r="H3778" s="88">
        <v>21888.495575221237</v>
      </c>
      <c r="I3778" s="89">
        <v>8</v>
      </c>
      <c r="J3778" s="90">
        <v>12367</v>
      </c>
      <c r="K3778" s="85">
        <v>2</v>
      </c>
      <c r="L3778" s="85">
        <v>127</v>
      </c>
      <c r="M3778" s="85">
        <v>0</v>
      </c>
      <c r="N3778" s="82" t="s">
        <v>11892</v>
      </c>
      <c r="O3778" s="93">
        <v>45883.692939814813</v>
      </c>
    </row>
    <row r="3779" spans="1:15" ht="22.5" customHeight="1">
      <c r="A3779" s="85">
        <v>174904221976312</v>
      </c>
      <c r="B3779" s="82" t="s">
        <v>10651</v>
      </c>
      <c r="C3779" s="82" t="s">
        <v>11893</v>
      </c>
      <c r="D3779" s="82" t="s">
        <v>11894</v>
      </c>
      <c r="E3779" s="82">
        <v>6282382535847</v>
      </c>
      <c r="F3779" s="92">
        <v>45882</v>
      </c>
      <c r="G3779" s="87">
        <v>857</v>
      </c>
      <c r="H3779" s="88">
        <v>12496.565260058882</v>
      </c>
      <c r="I3779" s="89">
        <v>17</v>
      </c>
      <c r="J3779" s="90">
        <v>12734</v>
      </c>
      <c r="K3779" s="85">
        <v>1</v>
      </c>
      <c r="L3779" s="85">
        <v>0</v>
      </c>
      <c r="M3779" s="85">
        <v>0</v>
      </c>
      <c r="N3779" s="82" t="s">
        <v>11895</v>
      </c>
      <c r="O3779" s="93">
        <v>45883.568645833337</v>
      </c>
    </row>
    <row r="3780" spans="1:15" ht="22.5" customHeight="1">
      <c r="A3780" s="85">
        <v>174904221976312</v>
      </c>
      <c r="B3780" s="82" t="s">
        <v>10651</v>
      </c>
      <c r="C3780" s="82" t="s">
        <v>11896</v>
      </c>
      <c r="D3780" s="82" t="s">
        <v>11897</v>
      </c>
      <c r="E3780" s="82">
        <v>6282153090123</v>
      </c>
      <c r="F3780" s="92">
        <v>45882</v>
      </c>
      <c r="G3780" s="87">
        <v>678</v>
      </c>
      <c r="H3780" s="88">
        <v>16964</v>
      </c>
      <c r="I3780" s="89">
        <v>20</v>
      </c>
      <c r="J3780" s="90">
        <v>12723</v>
      </c>
      <c r="K3780" s="85">
        <v>0</v>
      </c>
      <c r="L3780" s="85">
        <v>48</v>
      </c>
      <c r="M3780" s="85">
        <v>0</v>
      </c>
      <c r="N3780" s="82" t="s">
        <v>11898</v>
      </c>
      <c r="O3780" s="93">
        <v>45883.506053240744</v>
      </c>
    </row>
    <row r="3781" spans="1:15" ht="22.5" customHeight="1">
      <c r="A3781" s="85">
        <v>174904221976312</v>
      </c>
      <c r="B3781" s="82" t="s">
        <v>10651</v>
      </c>
      <c r="C3781" s="82" t="s">
        <v>11862</v>
      </c>
      <c r="D3781" s="82" t="s">
        <v>11863</v>
      </c>
      <c r="E3781" s="82">
        <v>6287886480138</v>
      </c>
      <c r="F3781" s="92">
        <v>45882</v>
      </c>
      <c r="G3781" s="87">
        <v>13633</v>
      </c>
      <c r="H3781" s="88">
        <v>978.50803198122208</v>
      </c>
      <c r="I3781" s="89">
        <v>159</v>
      </c>
      <c r="J3781" s="90">
        <v>13340</v>
      </c>
      <c r="K3781" s="85">
        <v>1</v>
      </c>
      <c r="L3781" s="85">
        <v>661</v>
      </c>
      <c r="M3781" s="85">
        <v>0</v>
      </c>
      <c r="N3781" s="82" t="s">
        <v>11864</v>
      </c>
      <c r="O3781" s="93">
        <v>45883.672407407408</v>
      </c>
    </row>
    <row r="3782" spans="1:15" ht="22.5" customHeight="1">
      <c r="A3782" s="85">
        <v>174904221976312</v>
      </c>
      <c r="B3782" s="82" t="s">
        <v>10651</v>
      </c>
      <c r="C3782" s="82" t="s">
        <v>11865</v>
      </c>
      <c r="D3782" s="82" t="s">
        <v>11403</v>
      </c>
      <c r="E3782" s="82">
        <v>6283870060603</v>
      </c>
      <c r="F3782" s="92">
        <v>45882</v>
      </c>
      <c r="G3782" s="87">
        <v>1198</v>
      </c>
      <c r="H3782" s="88">
        <v>10260.86956521739</v>
      </c>
      <c r="I3782" s="89">
        <v>33</v>
      </c>
      <c r="J3782" s="90">
        <v>12744</v>
      </c>
      <c r="K3782" s="85">
        <v>0</v>
      </c>
      <c r="L3782" s="85">
        <v>349</v>
      </c>
      <c r="M3782" s="85">
        <v>0</v>
      </c>
      <c r="N3782" s="82" t="s">
        <v>11866</v>
      </c>
      <c r="O3782" s="93">
        <v>45883.69295138889</v>
      </c>
    </row>
    <row r="3783" spans="1:15" ht="22.5" customHeight="1">
      <c r="A3783" s="85">
        <v>174904221976312</v>
      </c>
      <c r="B3783" s="82" t="s">
        <v>10651</v>
      </c>
      <c r="C3783" s="82" t="s">
        <v>11867</v>
      </c>
      <c r="D3783" s="82" t="s">
        <v>11868</v>
      </c>
      <c r="E3783" s="82">
        <v>6282112042148</v>
      </c>
      <c r="F3783" s="92">
        <v>45882</v>
      </c>
      <c r="G3783" s="87">
        <v>678</v>
      </c>
      <c r="H3783" s="88">
        <v>13352.795031055901</v>
      </c>
      <c r="I3783" s="89">
        <v>16</v>
      </c>
      <c r="J3783" s="90">
        <v>10749</v>
      </c>
      <c r="K3783" s="85">
        <v>1</v>
      </c>
      <c r="L3783" s="85">
        <v>295</v>
      </c>
      <c r="M3783" s="85">
        <v>1</v>
      </c>
      <c r="N3783" s="82" t="s">
        <v>11869</v>
      </c>
      <c r="O3783" s="93">
        <v>45883.568668981483</v>
      </c>
    </row>
    <row r="3784" spans="1:15" ht="22.5" customHeight="1">
      <c r="A3784" s="85">
        <v>174904221976312</v>
      </c>
      <c r="B3784" s="82" t="s">
        <v>10651</v>
      </c>
      <c r="C3784" s="82" t="s">
        <v>11870</v>
      </c>
      <c r="D3784" s="82" t="s">
        <v>11871</v>
      </c>
      <c r="E3784" s="82">
        <v>62817262229</v>
      </c>
      <c r="F3784" s="92">
        <v>45882</v>
      </c>
      <c r="G3784" s="87">
        <v>567</v>
      </c>
      <c r="H3784" s="88">
        <v>20445.801526717558</v>
      </c>
      <c r="I3784" s="89">
        <v>34</v>
      </c>
      <c r="J3784" s="90">
        <v>13392</v>
      </c>
      <c r="K3784" s="85">
        <v>11</v>
      </c>
      <c r="L3784" s="85">
        <v>0</v>
      </c>
      <c r="M3784" s="85">
        <v>0</v>
      </c>
      <c r="N3784" s="82" t="s">
        <v>11872</v>
      </c>
      <c r="O3784" s="93">
        <v>45883.609826388885</v>
      </c>
    </row>
    <row r="3785" spans="1:15" ht="22.5" customHeight="1">
      <c r="A3785" s="85">
        <v>174904221976312</v>
      </c>
      <c r="B3785" s="82" t="s">
        <v>10651</v>
      </c>
      <c r="C3785" s="82" t="s">
        <v>11873</v>
      </c>
      <c r="D3785" s="82" t="s">
        <v>11874</v>
      </c>
      <c r="E3785" s="82">
        <v>6281324481252</v>
      </c>
      <c r="F3785" s="92">
        <v>45882</v>
      </c>
      <c r="G3785" s="87">
        <v>595</v>
      </c>
      <c r="H3785" s="88">
        <v>19473.293768545995</v>
      </c>
      <c r="I3785" s="89">
        <v>24</v>
      </c>
      <c r="J3785" s="90">
        <v>13125</v>
      </c>
      <c r="K3785" s="85">
        <v>5</v>
      </c>
      <c r="L3785" s="85">
        <v>17</v>
      </c>
      <c r="M3785" s="85">
        <v>0</v>
      </c>
      <c r="N3785" s="82" t="s">
        <v>11875</v>
      </c>
      <c r="O3785" s="93">
        <v>45883.589444444442</v>
      </c>
    </row>
    <row r="3786" spans="1:15" ht="22.5" customHeight="1">
      <c r="A3786" s="85">
        <v>174904221976312</v>
      </c>
      <c r="B3786" s="82" t="s">
        <v>10651</v>
      </c>
      <c r="C3786" s="82" t="s">
        <v>11876</v>
      </c>
      <c r="D3786" s="82" t="s">
        <v>11877</v>
      </c>
      <c r="E3786" s="82">
        <v>6285748377961</v>
      </c>
      <c r="F3786" s="92">
        <v>45882</v>
      </c>
      <c r="G3786" s="87">
        <v>1290</v>
      </c>
      <c r="H3786" s="88">
        <v>8961.6402116402114</v>
      </c>
      <c r="I3786" s="89">
        <v>38</v>
      </c>
      <c r="J3786" s="90">
        <v>13550</v>
      </c>
      <c r="K3786" s="85">
        <v>5</v>
      </c>
      <c r="L3786" s="85">
        <v>0</v>
      </c>
      <c r="M3786" s="85">
        <v>1</v>
      </c>
      <c r="N3786" s="82" t="s">
        <v>11878</v>
      </c>
      <c r="O3786" s="93">
        <v>45883.505810185183</v>
      </c>
    </row>
    <row r="3787" spans="1:15" ht="22.5" customHeight="1">
      <c r="A3787" s="85">
        <v>174904221976312</v>
      </c>
      <c r="B3787" s="82" t="s">
        <v>10651</v>
      </c>
      <c r="C3787" s="82" t="s">
        <v>11879</v>
      </c>
      <c r="D3787" s="82" t="s">
        <v>11877</v>
      </c>
      <c r="E3787" s="82">
        <v>6285748377961</v>
      </c>
      <c r="F3787" s="92">
        <v>45882</v>
      </c>
      <c r="G3787" s="87">
        <v>588</v>
      </c>
      <c r="H3787" s="88">
        <v>19553.34281650071</v>
      </c>
      <c r="I3787" s="89">
        <v>24</v>
      </c>
      <c r="J3787" s="90">
        <v>13746</v>
      </c>
      <c r="K3787" s="85">
        <v>5</v>
      </c>
      <c r="L3787" s="85">
        <v>157</v>
      </c>
      <c r="M3787" s="85">
        <v>0</v>
      </c>
      <c r="N3787" s="82" t="s">
        <v>11878</v>
      </c>
      <c r="O3787" s="93">
        <v>45883.651759259257</v>
      </c>
    </row>
    <row r="3788" spans="1:15" ht="22.5" customHeight="1">
      <c r="A3788" s="85">
        <v>174904221976312</v>
      </c>
      <c r="B3788" s="82" t="s">
        <v>10651</v>
      </c>
      <c r="C3788" s="82" t="s">
        <v>11880</v>
      </c>
      <c r="D3788" s="82" t="s">
        <v>3805</v>
      </c>
      <c r="E3788" s="82">
        <v>6281288245836</v>
      </c>
      <c r="F3788" s="92">
        <v>45882</v>
      </c>
      <c r="G3788" s="87">
        <v>335</v>
      </c>
      <c r="H3788" s="88">
        <v>38035.519125683059</v>
      </c>
      <c r="I3788" s="89">
        <v>13</v>
      </c>
      <c r="J3788" s="90">
        <v>13921</v>
      </c>
      <c r="K3788" s="85">
        <v>3</v>
      </c>
      <c r="L3788" s="85">
        <v>58</v>
      </c>
      <c r="M3788" s="85">
        <v>0</v>
      </c>
      <c r="N3788" s="82" t="s">
        <v>11881</v>
      </c>
      <c r="O3788" s="93">
        <v>45883.568657407406</v>
      </c>
    </row>
    <row r="3789" spans="1:15" ht="22.5" customHeight="1">
      <c r="A3789" s="85">
        <v>174904221976312</v>
      </c>
      <c r="B3789" s="82" t="s">
        <v>10651</v>
      </c>
      <c r="C3789" s="82" t="s">
        <v>11838</v>
      </c>
      <c r="D3789" s="82" t="s">
        <v>11839</v>
      </c>
      <c r="E3789" s="82">
        <v>6287797504113</v>
      </c>
      <c r="F3789" s="92">
        <v>45882</v>
      </c>
      <c r="G3789" s="87">
        <v>203</v>
      </c>
      <c r="H3789" s="88">
        <v>68180.180180180192</v>
      </c>
      <c r="I3789" s="89">
        <v>26</v>
      </c>
      <c r="J3789" s="90">
        <v>15136</v>
      </c>
      <c r="K3789" s="85">
        <v>4</v>
      </c>
      <c r="L3789" s="85">
        <v>0</v>
      </c>
      <c r="M3789" s="85">
        <v>0</v>
      </c>
      <c r="N3789" s="82" t="s">
        <v>11840</v>
      </c>
      <c r="O3789" s="93">
        <v>45883.505856481483</v>
      </c>
    </row>
    <row r="3790" spans="1:15" ht="22.5" customHeight="1">
      <c r="A3790" s="85">
        <v>174904221976312</v>
      </c>
      <c r="B3790" s="82" t="s">
        <v>10651</v>
      </c>
      <c r="C3790" s="82" t="s">
        <v>11811</v>
      </c>
      <c r="D3790" s="82" t="s">
        <v>11812</v>
      </c>
      <c r="E3790" s="82">
        <v>6285328883803</v>
      </c>
      <c r="F3790" s="92">
        <v>45882</v>
      </c>
      <c r="G3790" s="87">
        <v>338</v>
      </c>
      <c r="H3790" s="88">
        <v>38410.32608695652</v>
      </c>
      <c r="I3790" s="89">
        <v>16</v>
      </c>
      <c r="J3790" s="90">
        <v>14135</v>
      </c>
      <c r="K3790" s="85">
        <v>5</v>
      </c>
      <c r="L3790" s="85">
        <v>153</v>
      </c>
      <c r="M3790" s="85">
        <v>0</v>
      </c>
      <c r="N3790" s="82" t="s">
        <v>11813</v>
      </c>
      <c r="O3790" s="93">
        <v>45883.589155092595</v>
      </c>
    </row>
    <row r="3791" spans="1:15" ht="22.5" customHeight="1">
      <c r="A3791" s="85">
        <v>174904221976312</v>
      </c>
      <c r="B3791" s="82" t="s">
        <v>10651</v>
      </c>
      <c r="C3791" s="82" t="s">
        <v>11816</v>
      </c>
      <c r="D3791" s="82" t="s">
        <v>3682</v>
      </c>
      <c r="E3791" s="82">
        <v>6285602235226</v>
      </c>
      <c r="F3791" s="92">
        <v>45882</v>
      </c>
      <c r="G3791" s="87">
        <v>378</v>
      </c>
      <c r="H3791" s="88">
        <v>26189.814814814814</v>
      </c>
      <c r="I3791" s="89">
        <v>14</v>
      </c>
      <c r="J3791" s="90">
        <v>11314</v>
      </c>
      <c r="K3791" s="85">
        <v>1</v>
      </c>
      <c r="L3791" s="85">
        <v>139</v>
      </c>
      <c r="M3791" s="85">
        <v>0</v>
      </c>
      <c r="N3791" s="82" t="s">
        <v>11817</v>
      </c>
      <c r="O3791" s="93">
        <v>45883.609814814816</v>
      </c>
    </row>
    <row r="3792" spans="1:15" ht="22.5" customHeight="1">
      <c r="A3792" s="85">
        <v>174904221976312</v>
      </c>
      <c r="B3792" s="82" t="s">
        <v>10651</v>
      </c>
      <c r="C3792" s="82" t="s">
        <v>11797</v>
      </c>
      <c r="D3792" s="82" t="s">
        <v>3616</v>
      </c>
      <c r="E3792" s="82">
        <v>6285299991164</v>
      </c>
      <c r="F3792" s="92">
        <v>45882</v>
      </c>
      <c r="G3792" s="87">
        <v>262</v>
      </c>
      <c r="H3792" s="88">
        <v>42507.936507936509</v>
      </c>
      <c r="I3792" s="89">
        <v>9</v>
      </c>
      <c r="J3792" s="90">
        <v>13390</v>
      </c>
      <c r="K3792" s="85">
        <v>0</v>
      </c>
      <c r="L3792" s="85">
        <v>0</v>
      </c>
      <c r="M3792" s="85">
        <v>0</v>
      </c>
      <c r="N3792" s="82" t="s">
        <v>11798</v>
      </c>
      <c r="O3792" s="93">
        <v>45883.526516203703</v>
      </c>
    </row>
    <row r="3793" spans="1:15" ht="22.5" customHeight="1">
      <c r="A3793" s="85">
        <v>174904221976312</v>
      </c>
      <c r="B3793" s="82" t="s">
        <v>10651</v>
      </c>
      <c r="C3793" s="82" t="s">
        <v>11799</v>
      </c>
      <c r="D3793" s="82" t="s">
        <v>11800</v>
      </c>
      <c r="E3793" s="82">
        <v>6285333751528</v>
      </c>
      <c r="F3793" s="92">
        <v>45882</v>
      </c>
      <c r="G3793" s="87">
        <v>713</v>
      </c>
      <c r="H3793" s="88">
        <v>17259.0799031477</v>
      </c>
      <c r="I3793" s="89">
        <v>23</v>
      </c>
      <c r="J3793" s="90">
        <v>14256</v>
      </c>
      <c r="K3793" s="85">
        <v>4</v>
      </c>
      <c r="L3793" s="85">
        <v>0</v>
      </c>
      <c r="M3793" s="85">
        <v>0</v>
      </c>
      <c r="N3793" s="82" t="s">
        <v>11801</v>
      </c>
      <c r="O3793" s="93">
        <v>45883.568657407406</v>
      </c>
    </row>
    <row r="3794" spans="1:15" ht="22.5" customHeight="1">
      <c r="A3794" s="85">
        <v>174904221976312</v>
      </c>
      <c r="B3794" s="82" t="s">
        <v>10651</v>
      </c>
      <c r="C3794" s="82" t="s">
        <v>11766</v>
      </c>
      <c r="D3794" s="82" t="s">
        <v>11767</v>
      </c>
      <c r="E3794" s="82">
        <v>6281225101319</v>
      </c>
      <c r="F3794" s="92">
        <v>45882</v>
      </c>
      <c r="G3794" s="87">
        <v>306</v>
      </c>
      <c r="H3794" s="88">
        <v>34554.089709762535</v>
      </c>
      <c r="I3794" s="89">
        <v>6</v>
      </c>
      <c r="J3794" s="90">
        <v>13096</v>
      </c>
      <c r="K3794" s="85">
        <v>0</v>
      </c>
      <c r="L3794" s="85">
        <v>0</v>
      </c>
      <c r="M3794" s="85">
        <v>0</v>
      </c>
      <c r="N3794" s="82" t="s">
        <v>11768</v>
      </c>
      <c r="O3794" s="93">
        <v>45883.526284722226</v>
      </c>
    </row>
    <row r="3795" spans="1:15" ht="22.5" customHeight="1">
      <c r="A3795" s="85">
        <v>174904221976312</v>
      </c>
      <c r="B3795" s="82" t="s">
        <v>10651</v>
      </c>
      <c r="C3795" s="82" t="s">
        <v>11777</v>
      </c>
      <c r="D3795" s="82" t="s">
        <v>11778</v>
      </c>
      <c r="E3795" s="82">
        <v>6281374844270</v>
      </c>
      <c r="F3795" s="92">
        <v>45882</v>
      </c>
      <c r="G3795" s="87">
        <v>617</v>
      </c>
      <c r="H3795" s="88">
        <v>20488.826815642456</v>
      </c>
      <c r="I3795" s="89">
        <v>16</v>
      </c>
      <c r="J3795" s="90">
        <v>14670</v>
      </c>
      <c r="K3795" s="85">
        <v>0</v>
      </c>
      <c r="L3795" s="85">
        <v>0</v>
      </c>
      <c r="M3795" s="85">
        <v>0</v>
      </c>
      <c r="N3795" s="82" t="s">
        <v>11779</v>
      </c>
      <c r="O3795" s="93">
        <v>45883.443553240744</v>
      </c>
    </row>
    <row r="3796" spans="1:15" ht="22.5" customHeight="1">
      <c r="A3796" s="85">
        <v>174904221976312</v>
      </c>
      <c r="B3796" s="82" t="s">
        <v>10651</v>
      </c>
      <c r="C3796" s="82" t="s">
        <v>11780</v>
      </c>
      <c r="D3796" s="82" t="s">
        <v>11781</v>
      </c>
      <c r="E3796" s="82">
        <v>6282129364133</v>
      </c>
      <c r="F3796" s="92">
        <v>45882</v>
      </c>
      <c r="G3796" s="87">
        <v>631</v>
      </c>
      <c r="H3796" s="88">
        <v>19119.718309859156</v>
      </c>
      <c r="I3796" s="89">
        <v>21</v>
      </c>
      <c r="J3796" s="90">
        <v>13575</v>
      </c>
      <c r="K3796" s="85">
        <v>3</v>
      </c>
      <c r="L3796" s="85">
        <v>0</v>
      </c>
      <c r="M3796" s="85">
        <v>1</v>
      </c>
      <c r="N3796" s="82" t="s">
        <v>11782</v>
      </c>
      <c r="O3796" s="93">
        <v>45883.443553240744</v>
      </c>
    </row>
    <row r="3797" spans="1:15" ht="22.5" customHeight="1">
      <c r="A3797" s="85">
        <v>174904221976312</v>
      </c>
      <c r="B3797" s="82" t="s">
        <v>10651</v>
      </c>
      <c r="C3797" s="82" t="s">
        <v>11785</v>
      </c>
      <c r="D3797" s="82" t="s">
        <v>11786</v>
      </c>
      <c r="E3797" s="82">
        <v>628557182563</v>
      </c>
      <c r="F3797" s="92">
        <v>45882</v>
      </c>
      <c r="G3797" s="87">
        <v>424</v>
      </c>
      <c r="H3797" s="88">
        <v>25956.803455723541</v>
      </c>
      <c r="I3797" s="89">
        <v>5</v>
      </c>
      <c r="J3797" s="90">
        <v>12018</v>
      </c>
      <c r="K3797" s="85">
        <v>2</v>
      </c>
      <c r="L3797" s="85">
        <v>0</v>
      </c>
      <c r="M3797" s="85">
        <v>0</v>
      </c>
      <c r="N3797" s="82" t="s">
        <v>11787</v>
      </c>
      <c r="O3797" s="93">
        <v>45883.547696759262</v>
      </c>
    </row>
    <row r="3798" spans="1:15" ht="22.5" customHeight="1">
      <c r="A3798" s="85">
        <v>174904221976312</v>
      </c>
      <c r="B3798" s="82" t="s">
        <v>10651</v>
      </c>
      <c r="C3798" s="82" t="s">
        <v>11740</v>
      </c>
      <c r="D3798" s="82" t="s">
        <v>3562</v>
      </c>
      <c r="E3798" s="82">
        <v>6281558225822</v>
      </c>
      <c r="F3798" s="92">
        <v>45882</v>
      </c>
      <c r="G3798" s="87">
        <v>83</v>
      </c>
      <c r="H3798" s="88">
        <v>123369.5652173913</v>
      </c>
      <c r="I3798" s="89">
        <v>4</v>
      </c>
      <c r="J3798" s="90">
        <v>11350</v>
      </c>
      <c r="K3798" s="85">
        <v>1</v>
      </c>
      <c r="L3798" s="85">
        <v>3</v>
      </c>
      <c r="M3798" s="85">
        <v>0</v>
      </c>
      <c r="N3798" s="82" t="s">
        <v>11741</v>
      </c>
      <c r="O3798" s="93">
        <v>45883.484884259262</v>
      </c>
    </row>
    <row r="3799" spans="1:15" ht="22.5" customHeight="1">
      <c r="A3799" s="85">
        <v>174904221976312</v>
      </c>
      <c r="B3799" s="82" t="s">
        <v>10651</v>
      </c>
      <c r="C3799" s="82" t="s">
        <v>11744</v>
      </c>
      <c r="D3799" s="82" t="s">
        <v>11745</v>
      </c>
      <c r="E3799" s="82">
        <v>6287721853921</v>
      </c>
      <c r="F3799" s="92">
        <v>45882</v>
      </c>
      <c r="G3799" s="87">
        <v>1725</v>
      </c>
      <c r="H3799" s="88">
        <v>6945.2685421994884</v>
      </c>
      <c r="I3799" s="89">
        <v>41</v>
      </c>
      <c r="J3799" s="90">
        <v>13578</v>
      </c>
      <c r="K3799" s="85">
        <v>3</v>
      </c>
      <c r="L3799" s="85">
        <v>587</v>
      </c>
      <c r="M3799" s="85">
        <v>0</v>
      </c>
      <c r="N3799" s="82" t="s">
        <v>11746</v>
      </c>
      <c r="O3799" s="93">
        <v>45883.217326388891</v>
      </c>
    </row>
    <row r="3800" spans="1:15" ht="22.5" customHeight="1">
      <c r="A3800" s="85">
        <v>174904221976312</v>
      </c>
      <c r="B3800" s="82" t="s">
        <v>10651</v>
      </c>
      <c r="C3800" s="82" t="s">
        <v>11752</v>
      </c>
      <c r="D3800" s="82" t="s">
        <v>11753</v>
      </c>
      <c r="E3800" s="82">
        <v>6281326757091</v>
      </c>
      <c r="F3800" s="92">
        <v>45882</v>
      </c>
      <c r="G3800" s="87">
        <v>1238</v>
      </c>
      <c r="H3800" s="88">
        <v>9779.6610169491523</v>
      </c>
      <c r="I3800" s="89">
        <v>106</v>
      </c>
      <c r="J3800" s="90">
        <v>13848</v>
      </c>
      <c r="K3800" s="85">
        <v>9</v>
      </c>
      <c r="L3800" s="85">
        <v>164</v>
      </c>
      <c r="M3800" s="85">
        <v>2</v>
      </c>
      <c r="N3800" s="82" t="s">
        <v>11754</v>
      </c>
      <c r="O3800" s="93">
        <v>45883.56863425926</v>
      </c>
    </row>
    <row r="3801" spans="1:15" ht="22.5" customHeight="1">
      <c r="A3801" s="85">
        <v>174904221976312</v>
      </c>
      <c r="B3801" s="82" t="s">
        <v>10651</v>
      </c>
      <c r="C3801" s="82" t="s">
        <v>11755</v>
      </c>
      <c r="D3801" s="82" t="s">
        <v>11756</v>
      </c>
      <c r="E3801" s="82">
        <v>6281357754513</v>
      </c>
      <c r="F3801" s="92">
        <v>45882</v>
      </c>
      <c r="G3801" s="87">
        <v>557</v>
      </c>
      <c r="H3801" s="88">
        <v>20810.593900481541</v>
      </c>
      <c r="I3801" s="89">
        <v>11</v>
      </c>
      <c r="J3801" s="90">
        <v>12965</v>
      </c>
      <c r="K3801" s="85">
        <v>3</v>
      </c>
      <c r="L3801" s="85">
        <v>171</v>
      </c>
      <c r="M3801" s="85">
        <v>0</v>
      </c>
      <c r="N3801" s="82" t="s">
        <v>11757</v>
      </c>
      <c r="O3801" s="93">
        <v>45883.506041666667</v>
      </c>
    </row>
    <row r="3802" spans="1:15" ht="22.5" customHeight="1">
      <c r="A3802" s="85">
        <v>174904221976312</v>
      </c>
      <c r="B3802" s="82" t="s">
        <v>10651</v>
      </c>
      <c r="C3802" s="82" t="s">
        <v>11761</v>
      </c>
      <c r="D3802" s="82" t="s">
        <v>3438</v>
      </c>
      <c r="E3802" s="82">
        <v>628154336558</v>
      </c>
      <c r="F3802" s="92">
        <v>45882</v>
      </c>
      <c r="G3802" s="87">
        <v>2715</v>
      </c>
      <c r="H3802" s="88">
        <v>4819.3025713279321</v>
      </c>
      <c r="I3802" s="89">
        <v>133</v>
      </c>
      <c r="J3802" s="90">
        <v>13682</v>
      </c>
      <c r="K3802" s="85">
        <v>7</v>
      </c>
      <c r="L3802" s="85">
        <v>1127</v>
      </c>
      <c r="M3802" s="85">
        <v>4</v>
      </c>
      <c r="N3802" s="82" t="s">
        <v>11762</v>
      </c>
      <c r="O3802" s="93">
        <v>45883.547719907408</v>
      </c>
    </row>
    <row r="3803" spans="1:15" ht="22.5" customHeight="1">
      <c r="A3803" s="85">
        <v>174904221976312</v>
      </c>
      <c r="B3803" s="82" t="s">
        <v>10651</v>
      </c>
      <c r="C3803" s="82" t="s">
        <v>11763</v>
      </c>
      <c r="D3803" s="82" t="s">
        <v>11764</v>
      </c>
      <c r="E3803" s="82">
        <v>6282384544939</v>
      </c>
      <c r="F3803" s="92">
        <v>45882</v>
      </c>
      <c r="G3803" s="87">
        <v>552</v>
      </c>
      <c r="H3803" s="88">
        <v>17723.241590214067</v>
      </c>
      <c r="I3803" s="89">
        <v>10</v>
      </c>
      <c r="J3803" s="90">
        <v>11591</v>
      </c>
      <c r="K3803" s="85">
        <v>2</v>
      </c>
      <c r="L3803" s="85">
        <v>94</v>
      </c>
      <c r="M3803" s="85">
        <v>0</v>
      </c>
      <c r="N3803" s="82" t="s">
        <v>11765</v>
      </c>
      <c r="O3803" s="93">
        <v>45883.50582175926</v>
      </c>
    </row>
    <row r="3804" spans="1:15" ht="22.5" customHeight="1">
      <c r="A3804" s="85">
        <v>174904221976312</v>
      </c>
      <c r="B3804" s="82" t="s">
        <v>10651</v>
      </c>
      <c r="C3804" s="82" t="s">
        <v>11733</v>
      </c>
      <c r="D3804" s="82" t="s">
        <v>3479</v>
      </c>
      <c r="E3804" s="82">
        <v>6285780314346</v>
      </c>
      <c r="F3804" s="92">
        <v>45882</v>
      </c>
      <c r="G3804" s="87">
        <v>631</v>
      </c>
      <c r="H3804" s="88">
        <v>18662.211421628188</v>
      </c>
      <c r="I3804" s="89">
        <v>44</v>
      </c>
      <c r="J3804" s="90">
        <v>15359</v>
      </c>
      <c r="K3804" s="85">
        <v>3</v>
      </c>
      <c r="L3804" s="85">
        <v>192</v>
      </c>
      <c r="M3804" s="85">
        <v>0</v>
      </c>
      <c r="N3804" s="82" t="s">
        <v>11734</v>
      </c>
      <c r="O3804" s="93">
        <v>45883.547719907408</v>
      </c>
    </row>
    <row r="3805" spans="1:15" ht="22.5" customHeight="1">
      <c r="A3805" s="85">
        <v>174904221976312</v>
      </c>
      <c r="B3805" s="82" t="s">
        <v>10651</v>
      </c>
      <c r="C3805" s="82" t="s">
        <v>11708</v>
      </c>
      <c r="D3805" s="82" t="s">
        <v>11709</v>
      </c>
      <c r="E3805" s="82">
        <v>6285294617773</v>
      </c>
      <c r="F3805" s="92">
        <v>45882</v>
      </c>
      <c r="G3805" s="87">
        <v>153</v>
      </c>
      <c r="H3805" s="88">
        <v>64186.74698795181</v>
      </c>
      <c r="I3805" s="89">
        <v>9</v>
      </c>
      <c r="J3805" s="90">
        <v>10655</v>
      </c>
      <c r="K3805" s="85">
        <v>2</v>
      </c>
      <c r="L3805" s="85">
        <v>30</v>
      </c>
      <c r="M3805" s="85">
        <v>1</v>
      </c>
      <c r="N3805" s="82" t="s">
        <v>11710</v>
      </c>
      <c r="O3805" s="93">
        <v>45883.609826388885</v>
      </c>
    </row>
    <row r="3806" spans="1:15" ht="22.5" customHeight="1">
      <c r="A3806" s="85">
        <v>174904221976312</v>
      </c>
      <c r="B3806" s="82" t="s">
        <v>10651</v>
      </c>
      <c r="C3806" s="82" t="s">
        <v>11663</v>
      </c>
      <c r="D3806" s="82" t="s">
        <v>11664</v>
      </c>
      <c r="E3806" s="82">
        <v>628123264621</v>
      </c>
      <c r="F3806" s="92">
        <v>45882</v>
      </c>
      <c r="G3806" s="87">
        <v>643</v>
      </c>
      <c r="H3806" s="88">
        <v>16504.901960784311</v>
      </c>
      <c r="I3806" s="89">
        <v>43</v>
      </c>
      <c r="J3806" s="90">
        <v>13468</v>
      </c>
      <c r="K3806" s="85">
        <v>6</v>
      </c>
      <c r="L3806" s="85">
        <v>17</v>
      </c>
      <c r="M3806" s="85">
        <v>2</v>
      </c>
      <c r="N3806" s="82" t="s">
        <v>11665</v>
      </c>
      <c r="O3806" s="93">
        <v>45883.547719907408</v>
      </c>
    </row>
    <row r="3807" spans="1:15" ht="22.5" customHeight="1">
      <c r="A3807" s="85">
        <v>174904221976312</v>
      </c>
      <c r="B3807" s="82" t="s">
        <v>10651</v>
      </c>
      <c r="C3807" s="82" t="s">
        <v>11636</v>
      </c>
      <c r="D3807" s="82" t="s">
        <v>11637</v>
      </c>
      <c r="E3807" s="82">
        <v>6282154233977</v>
      </c>
      <c r="F3807" s="92">
        <v>45882</v>
      </c>
      <c r="G3807" s="87">
        <v>903</v>
      </c>
      <c r="H3807" s="88">
        <v>13518.207282913165</v>
      </c>
      <c r="I3807" s="89">
        <v>49</v>
      </c>
      <c r="J3807" s="90">
        <v>14478</v>
      </c>
      <c r="K3807" s="85">
        <v>9</v>
      </c>
      <c r="L3807" s="85">
        <v>266</v>
      </c>
      <c r="M3807" s="85">
        <v>1</v>
      </c>
      <c r="N3807" s="82" t="s">
        <v>11638</v>
      </c>
      <c r="O3807" s="93">
        <v>45883.217326388891</v>
      </c>
    </row>
    <row r="3808" spans="1:15" ht="22.5" customHeight="1">
      <c r="A3808" s="85">
        <v>174904221976312</v>
      </c>
      <c r="B3808" s="82" t="s">
        <v>10651</v>
      </c>
      <c r="C3808" s="82" t="s">
        <v>11578</v>
      </c>
      <c r="D3808" s="82" t="s">
        <v>1624</v>
      </c>
      <c r="E3808" s="82">
        <v>6281938384000</v>
      </c>
      <c r="F3808" s="92">
        <v>45882</v>
      </c>
      <c r="G3808" s="87">
        <v>843</v>
      </c>
      <c r="H3808" s="88">
        <v>13578.07652533609</v>
      </c>
      <c r="I3808" s="89">
        <v>18</v>
      </c>
      <c r="J3808" s="90">
        <v>13130</v>
      </c>
      <c r="K3808" s="85">
        <v>0</v>
      </c>
      <c r="L3808" s="85">
        <v>416</v>
      </c>
      <c r="M3808" s="85">
        <v>0</v>
      </c>
      <c r="N3808" s="82" t="s">
        <v>11579</v>
      </c>
      <c r="O3808" s="93">
        <v>45883.526273148149</v>
      </c>
    </row>
    <row r="3809" spans="1:15" ht="22.5" customHeight="1">
      <c r="A3809" s="85">
        <v>174904221976312</v>
      </c>
      <c r="B3809" s="82" t="s">
        <v>10651</v>
      </c>
      <c r="C3809" s="82" t="s">
        <v>11535</v>
      </c>
      <c r="D3809" s="82" t="s">
        <v>2969</v>
      </c>
      <c r="E3809" s="82">
        <v>6281286402030</v>
      </c>
      <c r="F3809" s="92">
        <v>45882</v>
      </c>
      <c r="G3809" s="87">
        <v>214</v>
      </c>
      <c r="H3809" s="88">
        <v>55662.447257383967</v>
      </c>
      <c r="I3809" s="89">
        <v>5</v>
      </c>
      <c r="J3809" s="90">
        <v>13192</v>
      </c>
      <c r="K3809" s="85">
        <v>2</v>
      </c>
      <c r="L3809" s="85">
        <v>87</v>
      </c>
      <c r="M3809" s="85">
        <v>0</v>
      </c>
      <c r="N3809" s="82" t="s">
        <v>11536</v>
      </c>
      <c r="O3809" s="93">
        <v>45883.464444444442</v>
      </c>
    </row>
    <row r="3810" spans="1:15" ht="22.5" customHeight="1">
      <c r="A3810" s="85">
        <v>174904221976312</v>
      </c>
      <c r="B3810" s="82" t="s">
        <v>10651</v>
      </c>
      <c r="C3810" s="82" t="s">
        <v>11494</v>
      </c>
      <c r="D3810" s="82" t="s">
        <v>11495</v>
      </c>
      <c r="E3810" s="82">
        <v>6285645050058</v>
      </c>
      <c r="F3810" s="92">
        <v>45882</v>
      </c>
      <c r="G3810" s="87">
        <v>525</v>
      </c>
      <c r="H3810" s="88">
        <v>15972.154963680387</v>
      </c>
      <c r="I3810" s="89">
        <v>48</v>
      </c>
      <c r="J3810" s="90">
        <v>13193</v>
      </c>
      <c r="K3810" s="85">
        <v>5</v>
      </c>
      <c r="L3810" s="85">
        <v>121</v>
      </c>
      <c r="M3810" s="85">
        <v>0</v>
      </c>
      <c r="N3810" s="82" t="s">
        <v>11496</v>
      </c>
      <c r="O3810" s="93">
        <v>45883.568645833337</v>
      </c>
    </row>
    <row r="3811" spans="1:15" ht="22.5" customHeight="1">
      <c r="A3811" s="85">
        <v>174904221976312</v>
      </c>
      <c r="B3811" s="82" t="s">
        <v>10651</v>
      </c>
      <c r="C3811" s="82" t="s">
        <v>11464</v>
      </c>
      <c r="D3811" s="82" t="s">
        <v>11465</v>
      </c>
      <c r="E3811" s="82">
        <v>62816904358</v>
      </c>
      <c r="F3811" s="92">
        <v>45882</v>
      </c>
      <c r="G3811" s="87">
        <v>313</v>
      </c>
      <c r="H3811" s="88">
        <v>38597.368421052626</v>
      </c>
      <c r="I3811" s="89">
        <v>26</v>
      </c>
      <c r="J3811" s="90">
        <v>14667</v>
      </c>
      <c r="K3811" s="85">
        <v>2</v>
      </c>
      <c r="L3811" s="85">
        <v>5</v>
      </c>
      <c r="M3811" s="85">
        <v>0</v>
      </c>
      <c r="N3811" s="82" t="s">
        <v>11466</v>
      </c>
      <c r="O3811" s="93">
        <v>45883.464629629627</v>
      </c>
    </row>
    <row r="3812" spans="1:15" ht="22.5" customHeight="1">
      <c r="A3812" s="85">
        <v>174904221976312</v>
      </c>
      <c r="B3812" s="82" t="s">
        <v>10651</v>
      </c>
      <c r="C3812" s="82" t="s">
        <v>11396</v>
      </c>
      <c r="D3812" s="82" t="s">
        <v>11397</v>
      </c>
      <c r="E3812" s="82">
        <v>6285789446955</v>
      </c>
      <c r="F3812" s="92">
        <v>45882</v>
      </c>
      <c r="G3812" s="87">
        <v>811</v>
      </c>
      <c r="H3812" s="88">
        <v>13655.601659751037</v>
      </c>
      <c r="I3812" s="89">
        <v>17</v>
      </c>
      <c r="J3812" s="90">
        <v>13164</v>
      </c>
      <c r="K3812" s="85">
        <v>3</v>
      </c>
      <c r="L3812" s="85">
        <v>2</v>
      </c>
      <c r="M3812" s="85">
        <v>0</v>
      </c>
      <c r="N3812" s="82" t="s">
        <v>11398</v>
      </c>
      <c r="O3812" s="93">
        <v>45883.526273148149</v>
      </c>
    </row>
    <row r="3813" spans="1:15" ht="22.5" customHeight="1">
      <c r="A3813" s="85">
        <v>174904221976312</v>
      </c>
      <c r="B3813" s="82" t="s">
        <v>10651</v>
      </c>
      <c r="C3813" s="82" t="s">
        <v>11309</v>
      </c>
      <c r="D3813" s="82" t="s">
        <v>11350</v>
      </c>
      <c r="E3813" s="82">
        <v>6281229745253</v>
      </c>
      <c r="F3813" s="92">
        <v>45882</v>
      </c>
      <c r="G3813" s="87">
        <v>165</v>
      </c>
      <c r="H3813" s="88">
        <v>67940.540540540533</v>
      </c>
      <c r="I3813" s="89">
        <v>10</v>
      </c>
      <c r="J3813" s="90">
        <v>12569</v>
      </c>
      <c r="K3813" s="85">
        <v>2</v>
      </c>
      <c r="L3813" s="85">
        <v>18</v>
      </c>
      <c r="M3813" s="85">
        <v>0</v>
      </c>
      <c r="N3813" s="82" t="s">
        <v>11791</v>
      </c>
      <c r="O3813" s="93">
        <v>45883.217349537037</v>
      </c>
    </row>
    <row r="3814" spans="1:15" ht="22.5" customHeight="1">
      <c r="A3814" s="85">
        <v>174904221976312</v>
      </c>
      <c r="B3814" s="82" t="s">
        <v>10651</v>
      </c>
      <c r="C3814" s="82" t="s">
        <v>10853</v>
      </c>
      <c r="D3814" s="82" t="s">
        <v>10854</v>
      </c>
      <c r="E3814" s="82">
        <v>6281393958199</v>
      </c>
      <c r="F3814" s="92">
        <v>45882</v>
      </c>
      <c r="G3814" s="87">
        <v>433</v>
      </c>
      <c r="H3814" s="88">
        <v>23361.552028218695</v>
      </c>
      <c r="I3814" s="89">
        <v>13</v>
      </c>
      <c r="J3814" s="90">
        <v>13246</v>
      </c>
      <c r="K3814" s="85">
        <v>0</v>
      </c>
      <c r="L3814" s="85">
        <v>147</v>
      </c>
      <c r="M3814" s="85">
        <v>0</v>
      </c>
      <c r="N3814" s="82" t="s">
        <v>10855</v>
      </c>
      <c r="O3814" s="93">
        <v>45883.547708333332</v>
      </c>
    </row>
    <row r="3815" spans="1:15" ht="22.5" customHeight="1">
      <c r="A3815" s="85">
        <v>174904221976312</v>
      </c>
      <c r="B3815" s="82" t="s">
        <v>10651</v>
      </c>
      <c r="C3815" s="82" t="s">
        <v>10655</v>
      </c>
      <c r="D3815" s="82" t="s">
        <v>3908</v>
      </c>
      <c r="E3815" s="82">
        <v>6285376667233</v>
      </c>
      <c r="F3815" s="92">
        <v>45882</v>
      </c>
      <c r="G3815" s="87">
        <v>1178</v>
      </c>
      <c r="H3815" s="88">
        <v>10870.454545454546</v>
      </c>
      <c r="I3815" s="89">
        <v>15</v>
      </c>
      <c r="J3815" s="90">
        <v>14349</v>
      </c>
      <c r="K3815" s="85">
        <v>1</v>
      </c>
      <c r="L3815" s="85">
        <v>392</v>
      </c>
      <c r="M3815" s="85">
        <v>0</v>
      </c>
      <c r="N3815" s="82" t="s">
        <v>10656</v>
      </c>
      <c r="O3815" s="93">
        <v>45883.443553240744</v>
      </c>
    </row>
    <row r="3816" spans="1:15" ht="22.5" customHeight="1">
      <c r="A3816" s="85">
        <v>174904221976312</v>
      </c>
      <c r="B3816" s="82" t="s">
        <v>10651</v>
      </c>
      <c r="C3816" s="82" t="s">
        <v>10657</v>
      </c>
      <c r="D3816" s="82" t="s">
        <v>1239</v>
      </c>
      <c r="E3816" s="82">
        <v>6282172291579</v>
      </c>
      <c r="F3816" s="92">
        <v>45882</v>
      </c>
      <c r="G3816" s="87">
        <v>621</v>
      </c>
      <c r="H3816" s="88">
        <v>18354.581673306773</v>
      </c>
      <c r="I3816" s="89">
        <v>44</v>
      </c>
      <c r="J3816" s="90">
        <v>13821</v>
      </c>
      <c r="K3816" s="85">
        <v>3</v>
      </c>
      <c r="L3816" s="85">
        <v>312</v>
      </c>
      <c r="M3816" s="85">
        <v>2</v>
      </c>
      <c r="N3816" s="82" t="s">
        <v>10658</v>
      </c>
      <c r="O3816" s="93">
        <v>45883.568645833337</v>
      </c>
    </row>
    <row r="3817" spans="1:15" ht="22.5" customHeight="1">
      <c r="A3817" s="85">
        <v>174904221976312</v>
      </c>
      <c r="B3817" s="82" t="s">
        <v>10651</v>
      </c>
      <c r="C3817" s="82" t="s">
        <v>10662</v>
      </c>
      <c r="D3817" s="82" t="s">
        <v>10663</v>
      </c>
      <c r="E3817" s="82">
        <v>62882001677470</v>
      </c>
      <c r="F3817" s="92">
        <v>45882</v>
      </c>
      <c r="G3817" s="87">
        <v>674</v>
      </c>
      <c r="H3817" s="88">
        <v>14689.655172413793</v>
      </c>
      <c r="I3817" s="89">
        <v>14</v>
      </c>
      <c r="J3817" s="90">
        <v>11502</v>
      </c>
      <c r="K3817" s="85">
        <v>1</v>
      </c>
      <c r="L3817" s="85">
        <v>335</v>
      </c>
      <c r="M3817" s="85">
        <v>1</v>
      </c>
      <c r="N3817" s="82" t="s">
        <v>10664</v>
      </c>
      <c r="O3817" s="93">
        <v>45883.484895833331</v>
      </c>
    </row>
    <row r="3818" spans="1:15" ht="22.5" customHeight="1">
      <c r="A3818" s="85">
        <v>174904221976312</v>
      </c>
      <c r="B3818" s="82" t="s">
        <v>10651</v>
      </c>
      <c r="C3818" s="82" t="s">
        <v>10679</v>
      </c>
      <c r="D3818" s="82" t="s">
        <v>10680</v>
      </c>
      <c r="E3818" s="82">
        <v>6282347206488</v>
      </c>
      <c r="F3818" s="92">
        <v>45882</v>
      </c>
      <c r="G3818" s="87">
        <v>1739</v>
      </c>
      <c r="H3818" s="88">
        <v>7620.1201201201202</v>
      </c>
      <c r="I3818" s="89">
        <v>52</v>
      </c>
      <c r="J3818" s="90">
        <v>15225</v>
      </c>
      <c r="K3818" s="85">
        <v>5</v>
      </c>
      <c r="L3818" s="85">
        <v>809</v>
      </c>
      <c r="M3818" s="85">
        <v>1</v>
      </c>
      <c r="N3818" s="82" t="s">
        <v>10681</v>
      </c>
      <c r="O3818" s="93">
        <v>45883.21733796296</v>
      </c>
    </row>
    <row r="3819" spans="1:15" ht="22.5" customHeight="1">
      <c r="A3819" s="85">
        <v>174904221976312</v>
      </c>
      <c r="B3819" s="82" t="s">
        <v>10651</v>
      </c>
      <c r="C3819" s="82" t="s">
        <v>10731</v>
      </c>
      <c r="D3819" s="82" t="s">
        <v>10732</v>
      </c>
      <c r="E3819" s="82">
        <v>6281241440688</v>
      </c>
      <c r="F3819" s="92">
        <v>45882</v>
      </c>
      <c r="G3819" s="87">
        <v>2273</v>
      </c>
      <c r="H3819" s="88">
        <v>5409.4216775181931</v>
      </c>
      <c r="I3819" s="89">
        <v>37</v>
      </c>
      <c r="J3819" s="90">
        <v>14124</v>
      </c>
      <c r="K3819" s="85">
        <v>0</v>
      </c>
      <c r="L3819" s="85">
        <v>320</v>
      </c>
      <c r="M3819" s="85">
        <v>1</v>
      </c>
      <c r="N3819" s="82" t="s">
        <v>10733</v>
      </c>
      <c r="O3819" s="93">
        <v>45883.464618055557</v>
      </c>
    </row>
    <row r="3820" spans="1:15" ht="22.5" customHeight="1">
      <c r="A3820" s="85">
        <v>174904221976312</v>
      </c>
      <c r="B3820" s="82" t="s">
        <v>10651</v>
      </c>
      <c r="C3820" s="82" t="s">
        <v>10833</v>
      </c>
      <c r="D3820" s="82" t="s">
        <v>10834</v>
      </c>
      <c r="E3820" s="82">
        <v>6282242925264</v>
      </c>
      <c r="F3820" s="92">
        <v>45882</v>
      </c>
      <c r="G3820" s="87">
        <v>2104</v>
      </c>
      <c r="H3820" s="88">
        <v>5666.8024439918536</v>
      </c>
      <c r="I3820" s="89">
        <v>90</v>
      </c>
      <c r="J3820" s="90">
        <v>13912</v>
      </c>
      <c r="K3820" s="85">
        <v>6</v>
      </c>
      <c r="L3820" s="85">
        <v>571</v>
      </c>
      <c r="M3820" s="85">
        <v>0</v>
      </c>
      <c r="N3820" s="82" t="s">
        <v>10835</v>
      </c>
      <c r="O3820" s="93">
        <v>45883.484907407408</v>
      </c>
    </row>
    <row r="3821" spans="1:15" ht="22.5" customHeight="1">
      <c r="A3821" s="85">
        <v>759724529202804</v>
      </c>
      <c r="B3821" s="82" t="s">
        <v>10621</v>
      </c>
      <c r="C3821" s="82" t="s">
        <v>11859</v>
      </c>
      <c r="D3821" s="82" t="s">
        <v>11860</v>
      </c>
      <c r="E3821" s="82">
        <v>6285138380189</v>
      </c>
      <c r="F3821" s="92">
        <v>45883</v>
      </c>
      <c r="G3821" s="87">
        <v>583</v>
      </c>
      <c r="H3821" s="88">
        <v>20263.22930800543</v>
      </c>
      <c r="I3821" s="89">
        <v>16</v>
      </c>
      <c r="J3821" s="90">
        <v>14934</v>
      </c>
      <c r="K3821" s="85">
        <v>1</v>
      </c>
      <c r="L3821" s="85">
        <v>50</v>
      </c>
      <c r="M3821" s="85">
        <v>0</v>
      </c>
      <c r="N3821" s="82" t="s">
        <v>11861</v>
      </c>
      <c r="O3821" s="93">
        <v>45884.651701388888</v>
      </c>
    </row>
    <row r="3822" spans="1:15" ht="22.5" customHeight="1">
      <c r="A3822" s="85">
        <v>759724529202804</v>
      </c>
      <c r="B3822" s="82" t="s">
        <v>10621</v>
      </c>
      <c r="C3822" s="82" t="s">
        <v>11055</v>
      </c>
      <c r="D3822" s="82" t="s">
        <v>1021</v>
      </c>
      <c r="E3822" s="82"/>
      <c r="F3822" s="92">
        <v>45883</v>
      </c>
      <c r="G3822" s="87">
        <v>202</v>
      </c>
      <c r="H3822" s="88">
        <v>43418.181818181823</v>
      </c>
      <c r="I3822" s="89">
        <v>9</v>
      </c>
      <c r="J3822" s="90">
        <v>9552</v>
      </c>
      <c r="K3822" s="85">
        <v>3</v>
      </c>
      <c r="L3822" s="85">
        <v>60</v>
      </c>
      <c r="M3822" s="85">
        <v>0</v>
      </c>
      <c r="N3822" s="82" t="s">
        <v>11056</v>
      </c>
      <c r="O3822" s="93">
        <v>45884.44321759259</v>
      </c>
    </row>
    <row r="3823" spans="1:15" ht="22.5" customHeight="1">
      <c r="A3823" s="85">
        <v>174904221976312</v>
      </c>
      <c r="B3823" s="82" t="s">
        <v>10651</v>
      </c>
      <c r="C3823" s="82" t="s">
        <v>11899</v>
      </c>
      <c r="D3823" s="82" t="s">
        <v>11900</v>
      </c>
      <c r="E3823" s="82">
        <v>6283129404339</v>
      </c>
      <c r="F3823" s="92">
        <v>45883</v>
      </c>
      <c r="G3823" s="87">
        <v>613</v>
      </c>
      <c r="H3823" s="88">
        <v>15329.710144927538</v>
      </c>
      <c r="I3823" s="89">
        <v>5</v>
      </c>
      <c r="J3823" s="90">
        <v>12693</v>
      </c>
      <c r="K3823" s="85">
        <v>0</v>
      </c>
      <c r="L3823" s="85">
        <v>0</v>
      </c>
      <c r="M3823" s="85">
        <v>0</v>
      </c>
      <c r="N3823" s="82" t="s">
        <v>11901</v>
      </c>
      <c r="O3823" s="93">
        <v>45884.453877314816</v>
      </c>
    </row>
    <row r="3824" spans="1:15" ht="22.5" customHeight="1">
      <c r="A3824" s="85">
        <v>174904221976312</v>
      </c>
      <c r="B3824" s="82" t="s">
        <v>10651</v>
      </c>
      <c r="C3824" s="82" t="s">
        <v>11902</v>
      </c>
      <c r="D3824" s="82" t="s">
        <v>11903</v>
      </c>
      <c r="E3824" s="82">
        <v>6285361188745</v>
      </c>
      <c r="F3824" s="92">
        <v>45883</v>
      </c>
      <c r="G3824" s="87">
        <v>672</v>
      </c>
      <c r="H3824" s="88">
        <v>13783.930510314874</v>
      </c>
      <c r="I3824" s="89">
        <v>19</v>
      </c>
      <c r="J3824" s="90">
        <v>12695</v>
      </c>
      <c r="K3824" s="85">
        <v>0</v>
      </c>
      <c r="L3824" s="85">
        <v>0</v>
      </c>
      <c r="M3824" s="85">
        <v>0</v>
      </c>
      <c r="N3824" s="82" t="s">
        <v>11904</v>
      </c>
      <c r="O3824" s="93">
        <v>45883.630358796298</v>
      </c>
    </row>
    <row r="3825" spans="1:15" ht="22.5" customHeight="1">
      <c r="A3825" s="85">
        <v>174904221976312</v>
      </c>
      <c r="B3825" s="82" t="s">
        <v>10651</v>
      </c>
      <c r="C3825" s="82" t="s">
        <v>11905</v>
      </c>
      <c r="D3825" s="82" t="s">
        <v>11906</v>
      </c>
      <c r="E3825" s="82">
        <v>6285294617773</v>
      </c>
      <c r="F3825" s="92">
        <v>45883</v>
      </c>
      <c r="G3825" s="87">
        <v>420</v>
      </c>
      <c r="H3825" s="88">
        <v>24544.090056285178</v>
      </c>
      <c r="I3825" s="89">
        <v>81</v>
      </c>
      <c r="J3825" s="90">
        <v>13082</v>
      </c>
      <c r="K3825" s="85">
        <v>12</v>
      </c>
      <c r="L3825" s="85">
        <v>0</v>
      </c>
      <c r="M3825" s="85">
        <v>1</v>
      </c>
      <c r="N3825" s="82" t="s">
        <v>11907</v>
      </c>
      <c r="O3825" s="93">
        <v>45884.714282407411</v>
      </c>
    </row>
    <row r="3826" spans="1:15" ht="22.5" customHeight="1">
      <c r="A3826" s="85">
        <v>174904221976312</v>
      </c>
      <c r="B3826" s="82" t="s">
        <v>10651</v>
      </c>
      <c r="C3826" s="82" t="s">
        <v>11908</v>
      </c>
      <c r="D3826" s="82" t="s">
        <v>3969</v>
      </c>
      <c r="E3826" s="82">
        <v>62881010328220</v>
      </c>
      <c r="F3826" s="92">
        <v>45883</v>
      </c>
      <c r="G3826" s="87">
        <v>228</v>
      </c>
      <c r="H3826" s="88">
        <v>53772.200772200769</v>
      </c>
      <c r="I3826" s="89">
        <v>14</v>
      </c>
      <c r="J3826" s="90">
        <v>13927</v>
      </c>
      <c r="K3826" s="85">
        <v>3</v>
      </c>
      <c r="L3826" s="85">
        <v>39</v>
      </c>
      <c r="M3826" s="85">
        <v>0</v>
      </c>
      <c r="N3826" s="82" t="s">
        <v>11909</v>
      </c>
      <c r="O3826" s="93">
        <v>45884.714282407411</v>
      </c>
    </row>
    <row r="3827" spans="1:15" ht="22.5" customHeight="1">
      <c r="A3827" s="85">
        <v>174904221976312</v>
      </c>
      <c r="B3827" s="82" t="s">
        <v>10651</v>
      </c>
      <c r="C3827" s="82" t="s">
        <v>11882</v>
      </c>
      <c r="D3827" s="82" t="s">
        <v>11883</v>
      </c>
      <c r="E3827" s="82">
        <v>6287701349406</v>
      </c>
      <c r="F3827" s="92">
        <v>45883</v>
      </c>
      <c r="G3827" s="87">
        <v>2025</v>
      </c>
      <c r="H3827" s="88">
        <v>5533.4653465346528</v>
      </c>
      <c r="I3827" s="89">
        <v>67</v>
      </c>
      <c r="J3827" s="90">
        <v>13972</v>
      </c>
      <c r="K3827" s="85">
        <v>4</v>
      </c>
      <c r="L3827" s="85">
        <v>1</v>
      </c>
      <c r="M3827" s="85">
        <v>1</v>
      </c>
      <c r="N3827" s="82" t="s">
        <v>11884</v>
      </c>
      <c r="O3827" s="93">
        <v>45884.651689814818</v>
      </c>
    </row>
    <row r="3828" spans="1:15" ht="22.5" customHeight="1">
      <c r="A3828" s="85">
        <v>174904221976312</v>
      </c>
      <c r="B3828" s="82" t="s">
        <v>10651</v>
      </c>
      <c r="C3828" s="82" t="s">
        <v>11885</v>
      </c>
      <c r="D3828" s="82" t="s">
        <v>11886</v>
      </c>
      <c r="E3828" s="82">
        <v>628179780980</v>
      </c>
      <c r="F3828" s="92">
        <v>45883</v>
      </c>
      <c r="G3828" s="87">
        <v>1018</v>
      </c>
      <c r="H3828" s="88">
        <v>10858.78962536023</v>
      </c>
      <c r="I3828" s="89">
        <v>11</v>
      </c>
      <c r="J3828" s="90">
        <v>11304</v>
      </c>
      <c r="K3828" s="85">
        <v>1</v>
      </c>
      <c r="L3828" s="85">
        <v>1</v>
      </c>
      <c r="M3828" s="85">
        <v>0</v>
      </c>
      <c r="N3828" s="82" t="s">
        <v>11887</v>
      </c>
      <c r="O3828" s="93">
        <v>45884.58898148148</v>
      </c>
    </row>
    <row r="3829" spans="1:15" ht="22.5" customHeight="1">
      <c r="A3829" s="85">
        <v>174904221976312</v>
      </c>
      <c r="B3829" s="82" t="s">
        <v>10651</v>
      </c>
      <c r="C3829" s="82" t="s">
        <v>11888</v>
      </c>
      <c r="D3829" s="82" t="s">
        <v>11889</v>
      </c>
      <c r="E3829" s="82">
        <v>628127962347</v>
      </c>
      <c r="F3829" s="92">
        <v>45883</v>
      </c>
      <c r="G3829" s="87">
        <v>1061</v>
      </c>
      <c r="H3829" s="88">
        <v>13296.264855687607</v>
      </c>
      <c r="I3829" s="89">
        <v>27</v>
      </c>
      <c r="J3829" s="90">
        <v>15663</v>
      </c>
      <c r="K3829" s="85">
        <v>4</v>
      </c>
      <c r="L3829" s="85">
        <v>137</v>
      </c>
      <c r="M3829" s="85">
        <v>1</v>
      </c>
      <c r="N3829" s="82" t="s">
        <v>11890</v>
      </c>
      <c r="O3829" s="93">
        <v>45884.58898148148</v>
      </c>
    </row>
    <row r="3830" spans="1:15" ht="22.5" customHeight="1">
      <c r="A3830" s="85">
        <v>174904221976312</v>
      </c>
      <c r="B3830" s="82" t="s">
        <v>10651</v>
      </c>
      <c r="C3830" s="82" t="s">
        <v>11891</v>
      </c>
      <c r="D3830" s="82" t="s">
        <v>3873</v>
      </c>
      <c r="E3830" s="82">
        <v>6282241382009</v>
      </c>
      <c r="F3830" s="92">
        <v>45883</v>
      </c>
      <c r="G3830" s="87">
        <v>500</v>
      </c>
      <c r="H3830" s="88">
        <v>24212.996389891698</v>
      </c>
      <c r="I3830" s="89">
        <v>28</v>
      </c>
      <c r="J3830" s="90">
        <v>13414</v>
      </c>
      <c r="K3830" s="85">
        <v>2</v>
      </c>
      <c r="L3830" s="85">
        <v>75</v>
      </c>
      <c r="M3830" s="85">
        <v>2</v>
      </c>
      <c r="N3830" s="82" t="s">
        <v>11892</v>
      </c>
      <c r="O3830" s="93">
        <v>45884.610023148147</v>
      </c>
    </row>
    <row r="3831" spans="1:15" ht="22.5" customHeight="1">
      <c r="A3831" s="85">
        <v>174904221976312</v>
      </c>
      <c r="B3831" s="82" t="s">
        <v>10651</v>
      </c>
      <c r="C3831" s="82" t="s">
        <v>11893</v>
      </c>
      <c r="D3831" s="82" t="s">
        <v>11894</v>
      </c>
      <c r="E3831" s="82">
        <v>6282382535847</v>
      </c>
      <c r="F3831" s="92">
        <v>45883</v>
      </c>
      <c r="G3831" s="87">
        <v>811</v>
      </c>
      <c r="H3831" s="88">
        <v>13710.010319917441</v>
      </c>
      <c r="I3831" s="89">
        <v>32</v>
      </c>
      <c r="J3831" s="90">
        <v>13285</v>
      </c>
      <c r="K3831" s="85">
        <v>0</v>
      </c>
      <c r="L3831" s="85">
        <v>441</v>
      </c>
      <c r="M3831" s="85">
        <v>3</v>
      </c>
      <c r="N3831" s="82" t="s">
        <v>11895</v>
      </c>
      <c r="O3831" s="93">
        <v>45884.568657407406</v>
      </c>
    </row>
    <row r="3832" spans="1:15" ht="22.5" customHeight="1">
      <c r="A3832" s="85">
        <v>174904221976312</v>
      </c>
      <c r="B3832" s="82" t="s">
        <v>10651</v>
      </c>
      <c r="C3832" s="82" t="s">
        <v>11896</v>
      </c>
      <c r="D3832" s="82" t="s">
        <v>11897</v>
      </c>
      <c r="E3832" s="82">
        <v>6282153090123</v>
      </c>
      <c r="F3832" s="92">
        <v>45883</v>
      </c>
      <c r="G3832" s="87">
        <v>681</v>
      </c>
      <c r="H3832" s="88">
        <v>14979.643765903309</v>
      </c>
      <c r="I3832" s="89">
        <v>35</v>
      </c>
      <c r="J3832" s="90">
        <v>11774</v>
      </c>
      <c r="K3832" s="85">
        <v>1</v>
      </c>
      <c r="L3832" s="85">
        <v>336</v>
      </c>
      <c r="M3832" s="85">
        <v>0</v>
      </c>
      <c r="N3832" s="82" t="s">
        <v>11898</v>
      </c>
      <c r="O3832" s="93">
        <v>45884.568645833337</v>
      </c>
    </row>
    <row r="3833" spans="1:15" ht="22.5" customHeight="1">
      <c r="A3833" s="85">
        <v>174904221976312</v>
      </c>
      <c r="B3833" s="82" t="s">
        <v>10651</v>
      </c>
      <c r="C3833" s="82" t="s">
        <v>11862</v>
      </c>
      <c r="D3833" s="82" t="s">
        <v>11863</v>
      </c>
      <c r="E3833" s="82">
        <v>6287886480138</v>
      </c>
      <c r="F3833" s="92">
        <v>45883</v>
      </c>
      <c r="G3833" s="87">
        <v>4374</v>
      </c>
      <c r="H3833" s="88">
        <v>3085.8331508649003</v>
      </c>
      <c r="I3833" s="89">
        <v>151</v>
      </c>
      <c r="J3833" s="90">
        <v>14093</v>
      </c>
      <c r="K3833" s="85">
        <v>0</v>
      </c>
      <c r="L3833" s="85">
        <v>816</v>
      </c>
      <c r="M3833" s="85">
        <v>0</v>
      </c>
      <c r="N3833" s="82" t="s">
        <v>11864</v>
      </c>
      <c r="O3833" s="93">
        <v>45884.651701388888</v>
      </c>
    </row>
    <row r="3834" spans="1:15" ht="22.5" customHeight="1">
      <c r="A3834" s="85">
        <v>174904221976312</v>
      </c>
      <c r="B3834" s="82" t="s">
        <v>10651</v>
      </c>
      <c r="C3834" s="82" t="s">
        <v>11865</v>
      </c>
      <c r="D3834" s="82" t="s">
        <v>11403</v>
      </c>
      <c r="E3834" s="82">
        <v>6283870060603</v>
      </c>
      <c r="F3834" s="92">
        <v>45883</v>
      </c>
      <c r="G3834" s="87">
        <v>817</v>
      </c>
      <c r="H3834" s="88">
        <v>15345.036319612591</v>
      </c>
      <c r="I3834" s="89">
        <v>19</v>
      </c>
      <c r="J3834" s="90">
        <v>12675</v>
      </c>
      <c r="K3834" s="85">
        <v>0</v>
      </c>
      <c r="L3834" s="85">
        <v>326</v>
      </c>
      <c r="M3834" s="85">
        <v>0</v>
      </c>
      <c r="N3834" s="82" t="s">
        <v>11866</v>
      </c>
      <c r="O3834" s="93">
        <v>45884.54760416667</v>
      </c>
    </row>
    <row r="3835" spans="1:15" ht="22.5" customHeight="1">
      <c r="A3835" s="85">
        <v>174904221976312</v>
      </c>
      <c r="B3835" s="82" t="s">
        <v>10651</v>
      </c>
      <c r="C3835" s="82" t="s">
        <v>11867</v>
      </c>
      <c r="D3835" s="82" t="s">
        <v>11868</v>
      </c>
      <c r="E3835" s="82">
        <v>6282112042148</v>
      </c>
      <c r="F3835" s="92">
        <v>45883</v>
      </c>
      <c r="G3835" s="87">
        <v>643</v>
      </c>
      <c r="H3835" s="88">
        <v>19468.354430379746</v>
      </c>
      <c r="I3835" s="89">
        <v>16</v>
      </c>
      <c r="J3835" s="90">
        <v>13842</v>
      </c>
      <c r="K3835" s="85">
        <v>3</v>
      </c>
      <c r="L3835" s="85">
        <v>275</v>
      </c>
      <c r="M3835" s="85">
        <v>0</v>
      </c>
      <c r="N3835" s="82" t="s">
        <v>11869</v>
      </c>
      <c r="O3835" s="93">
        <v>45884.485243055555</v>
      </c>
    </row>
    <row r="3836" spans="1:15" ht="22.5" customHeight="1">
      <c r="A3836" s="85">
        <v>174904221976312</v>
      </c>
      <c r="B3836" s="82" t="s">
        <v>10651</v>
      </c>
      <c r="C3836" s="82" t="s">
        <v>11870</v>
      </c>
      <c r="D3836" s="82" t="s">
        <v>11871</v>
      </c>
      <c r="E3836" s="82">
        <v>62817262229</v>
      </c>
      <c r="F3836" s="92">
        <v>45883</v>
      </c>
      <c r="G3836" s="87">
        <v>517</v>
      </c>
      <c r="H3836" s="88">
        <v>22691.927512355851</v>
      </c>
      <c r="I3836" s="89">
        <v>40</v>
      </c>
      <c r="J3836" s="90">
        <v>13774</v>
      </c>
      <c r="K3836" s="85">
        <v>9</v>
      </c>
      <c r="L3836" s="85">
        <v>14</v>
      </c>
      <c r="M3836" s="85">
        <v>0</v>
      </c>
      <c r="N3836" s="82" t="s">
        <v>11872</v>
      </c>
      <c r="O3836" s="93">
        <v>45884.568645833337</v>
      </c>
    </row>
    <row r="3837" spans="1:15" ht="22.5" customHeight="1">
      <c r="A3837" s="85">
        <v>174904221976312</v>
      </c>
      <c r="B3837" s="82" t="s">
        <v>10651</v>
      </c>
      <c r="C3837" s="82" t="s">
        <v>11873</v>
      </c>
      <c r="D3837" s="82" t="s">
        <v>11874</v>
      </c>
      <c r="E3837" s="82">
        <v>6281324481252</v>
      </c>
      <c r="F3837" s="92">
        <v>45883</v>
      </c>
      <c r="G3837" s="87">
        <v>473</v>
      </c>
      <c r="H3837" s="88">
        <v>23725.274725274725</v>
      </c>
      <c r="I3837" s="89">
        <v>14</v>
      </c>
      <c r="J3837" s="90">
        <v>12954</v>
      </c>
      <c r="K3837" s="85">
        <v>1</v>
      </c>
      <c r="L3837" s="85">
        <v>0</v>
      </c>
      <c r="M3837" s="85">
        <v>0</v>
      </c>
      <c r="N3837" s="82" t="s">
        <v>11875</v>
      </c>
      <c r="O3837" s="93">
        <v>45884.568657407406</v>
      </c>
    </row>
    <row r="3838" spans="1:15" ht="22.5" customHeight="1">
      <c r="A3838" s="85">
        <v>174904221976312</v>
      </c>
      <c r="B3838" s="82" t="s">
        <v>10651</v>
      </c>
      <c r="C3838" s="82" t="s">
        <v>11876</v>
      </c>
      <c r="D3838" s="82" t="s">
        <v>11877</v>
      </c>
      <c r="E3838" s="82">
        <v>6285748377961</v>
      </c>
      <c r="F3838" s="92">
        <v>45883</v>
      </c>
      <c r="G3838" s="87">
        <v>1277</v>
      </c>
      <c r="H3838" s="88">
        <v>9311.4406779661022</v>
      </c>
      <c r="I3838" s="89">
        <v>36</v>
      </c>
      <c r="J3838" s="90">
        <v>13185</v>
      </c>
      <c r="K3838" s="85">
        <v>6</v>
      </c>
      <c r="L3838" s="85">
        <v>367</v>
      </c>
      <c r="M3838" s="85">
        <v>0</v>
      </c>
      <c r="N3838" s="82" t="s">
        <v>11878</v>
      </c>
      <c r="O3838" s="93">
        <v>45884.589004629626</v>
      </c>
    </row>
    <row r="3839" spans="1:15" ht="22.5" customHeight="1">
      <c r="A3839" s="85">
        <v>174904221976312</v>
      </c>
      <c r="B3839" s="82" t="s">
        <v>10651</v>
      </c>
      <c r="C3839" s="82" t="s">
        <v>11879</v>
      </c>
      <c r="D3839" s="82" t="s">
        <v>11877</v>
      </c>
      <c r="E3839" s="82">
        <v>6285748377961</v>
      </c>
      <c r="F3839" s="92">
        <v>45883</v>
      </c>
      <c r="G3839" s="87">
        <v>675</v>
      </c>
      <c r="H3839" s="88">
        <v>18652.575957727873</v>
      </c>
      <c r="I3839" s="89">
        <v>13</v>
      </c>
      <c r="J3839" s="90">
        <v>14120</v>
      </c>
      <c r="K3839" s="85">
        <v>3</v>
      </c>
      <c r="L3839" s="85">
        <v>154</v>
      </c>
      <c r="M3839" s="85">
        <v>0</v>
      </c>
      <c r="N3839" s="82" t="s">
        <v>11878</v>
      </c>
      <c r="O3839" s="93">
        <v>45884.568645833337</v>
      </c>
    </row>
    <row r="3840" spans="1:15" ht="22.5" customHeight="1">
      <c r="A3840" s="85">
        <v>174904221976312</v>
      </c>
      <c r="B3840" s="82" t="s">
        <v>10651</v>
      </c>
      <c r="C3840" s="82" t="s">
        <v>11880</v>
      </c>
      <c r="D3840" s="82" t="s">
        <v>3805</v>
      </c>
      <c r="E3840" s="82">
        <v>6281288245836</v>
      </c>
      <c r="F3840" s="92">
        <v>45883</v>
      </c>
      <c r="G3840" s="87">
        <v>352</v>
      </c>
      <c r="H3840" s="88">
        <v>34542.079207920789</v>
      </c>
      <c r="I3840" s="89">
        <v>14</v>
      </c>
      <c r="J3840" s="90">
        <v>13955</v>
      </c>
      <c r="K3840" s="85">
        <v>4</v>
      </c>
      <c r="L3840" s="85">
        <v>4</v>
      </c>
      <c r="M3840" s="85">
        <v>1</v>
      </c>
      <c r="N3840" s="82" t="s">
        <v>11881</v>
      </c>
      <c r="O3840" s="93">
        <v>45884.485231481478</v>
      </c>
    </row>
    <row r="3841" spans="1:15" ht="22.5" customHeight="1">
      <c r="A3841" s="85">
        <v>174904221976312</v>
      </c>
      <c r="B3841" s="82" t="s">
        <v>10651</v>
      </c>
      <c r="C3841" s="82" t="s">
        <v>11838</v>
      </c>
      <c r="D3841" s="82" t="s">
        <v>11839</v>
      </c>
      <c r="E3841" s="82">
        <v>6287797504113</v>
      </c>
      <c r="F3841" s="92">
        <v>45883</v>
      </c>
      <c r="G3841" s="87">
        <v>209</v>
      </c>
      <c r="H3841" s="88">
        <v>58650.655021834064</v>
      </c>
      <c r="I3841" s="89">
        <v>15</v>
      </c>
      <c r="J3841" s="90">
        <v>13431</v>
      </c>
      <c r="K3841" s="85">
        <v>2</v>
      </c>
      <c r="L3841" s="85">
        <v>68</v>
      </c>
      <c r="M3841" s="85">
        <v>0</v>
      </c>
      <c r="N3841" s="82" t="s">
        <v>11840</v>
      </c>
      <c r="O3841" s="93">
        <v>45884.463923611111</v>
      </c>
    </row>
    <row r="3842" spans="1:15" ht="22.5" customHeight="1">
      <c r="A3842" s="85">
        <v>174904221976312</v>
      </c>
      <c r="B3842" s="82" t="s">
        <v>10651</v>
      </c>
      <c r="C3842" s="82" t="s">
        <v>11811</v>
      </c>
      <c r="D3842" s="82" t="s">
        <v>11812</v>
      </c>
      <c r="E3842" s="82">
        <v>6285328883803</v>
      </c>
      <c r="F3842" s="92">
        <v>45883</v>
      </c>
      <c r="G3842" s="87">
        <v>334</v>
      </c>
      <c r="H3842" s="88">
        <v>36183.098591549293</v>
      </c>
      <c r="I3842" s="89">
        <v>14</v>
      </c>
      <c r="J3842" s="90">
        <v>12845</v>
      </c>
      <c r="K3842" s="85">
        <v>5</v>
      </c>
      <c r="L3842" s="85">
        <v>165</v>
      </c>
      <c r="M3842" s="85">
        <v>0</v>
      </c>
      <c r="N3842" s="82" t="s">
        <v>11813</v>
      </c>
      <c r="O3842" s="93">
        <v>45884.526875000003</v>
      </c>
    </row>
    <row r="3843" spans="1:15" ht="22.5" customHeight="1">
      <c r="A3843" s="85">
        <v>174904221976312</v>
      </c>
      <c r="B3843" s="82" t="s">
        <v>10651</v>
      </c>
      <c r="C3843" s="82" t="s">
        <v>11816</v>
      </c>
      <c r="D3843" s="82" t="s">
        <v>3682</v>
      </c>
      <c r="E3843" s="82">
        <v>6285602235226</v>
      </c>
      <c r="F3843" s="92">
        <v>45883</v>
      </c>
      <c r="G3843" s="87">
        <v>479</v>
      </c>
      <c r="H3843" s="88">
        <v>25437.728937728938</v>
      </c>
      <c r="I3843" s="89">
        <v>32</v>
      </c>
      <c r="J3843" s="90">
        <v>13889</v>
      </c>
      <c r="K3843" s="85">
        <v>2</v>
      </c>
      <c r="L3843" s="85">
        <v>196</v>
      </c>
      <c r="M3843" s="85">
        <v>1</v>
      </c>
      <c r="N3843" s="82" t="s">
        <v>11817</v>
      </c>
      <c r="O3843" s="93">
        <v>45884.54760416667</v>
      </c>
    </row>
    <row r="3844" spans="1:15" ht="22.5" customHeight="1">
      <c r="A3844" s="85">
        <v>174904221976312</v>
      </c>
      <c r="B3844" s="82" t="s">
        <v>10651</v>
      </c>
      <c r="C3844" s="82" t="s">
        <v>11797</v>
      </c>
      <c r="D3844" s="82" t="s">
        <v>3616</v>
      </c>
      <c r="E3844" s="82">
        <v>6285299991164</v>
      </c>
      <c r="F3844" s="92">
        <v>45883</v>
      </c>
      <c r="G3844" s="87">
        <v>273</v>
      </c>
      <c r="H3844" s="88">
        <v>39188.67924528302</v>
      </c>
      <c r="I3844" s="89">
        <v>7</v>
      </c>
      <c r="J3844" s="90">
        <v>12462</v>
      </c>
      <c r="K3844" s="85">
        <v>1</v>
      </c>
      <c r="L3844" s="85">
        <v>0</v>
      </c>
      <c r="M3844" s="85">
        <v>0</v>
      </c>
      <c r="N3844" s="82" t="s">
        <v>11798</v>
      </c>
      <c r="O3844" s="93">
        <v>45884.485243055555</v>
      </c>
    </row>
    <row r="3845" spans="1:15" ht="22.5" customHeight="1">
      <c r="A3845" s="85">
        <v>174904221976312</v>
      </c>
      <c r="B3845" s="82" t="s">
        <v>10651</v>
      </c>
      <c r="C3845" s="82" t="s">
        <v>11799</v>
      </c>
      <c r="D3845" s="82" t="s">
        <v>11800</v>
      </c>
      <c r="E3845" s="82">
        <v>6285333751528</v>
      </c>
      <c r="F3845" s="92">
        <v>45883</v>
      </c>
      <c r="G3845" s="87">
        <v>406</v>
      </c>
      <c r="H3845" s="88">
        <v>32850.622406639006</v>
      </c>
      <c r="I3845" s="89">
        <v>14</v>
      </c>
      <c r="J3845" s="90">
        <v>15834</v>
      </c>
      <c r="K3845" s="85">
        <v>2</v>
      </c>
      <c r="L3845" s="85">
        <v>74</v>
      </c>
      <c r="M3845" s="85">
        <v>0</v>
      </c>
      <c r="N3845" s="82" t="s">
        <v>11801</v>
      </c>
      <c r="O3845" s="93">
        <v>45884.505509259259</v>
      </c>
    </row>
    <row r="3846" spans="1:15" ht="22.5" customHeight="1">
      <c r="A3846" s="85">
        <v>174904221976312</v>
      </c>
      <c r="B3846" s="82" t="s">
        <v>10651</v>
      </c>
      <c r="C3846" s="82" t="s">
        <v>11766</v>
      </c>
      <c r="D3846" s="82" t="s">
        <v>11767</v>
      </c>
      <c r="E3846" s="82">
        <v>6281225101319</v>
      </c>
      <c r="F3846" s="92">
        <v>45883</v>
      </c>
      <c r="G3846" s="87">
        <v>315</v>
      </c>
      <c r="H3846" s="88">
        <v>36884.210526315794</v>
      </c>
      <c r="I3846" s="89">
        <v>18</v>
      </c>
      <c r="J3846" s="90">
        <v>14016</v>
      </c>
      <c r="K3846" s="85">
        <v>1</v>
      </c>
      <c r="L3846" s="85">
        <v>1</v>
      </c>
      <c r="M3846" s="85">
        <v>0</v>
      </c>
      <c r="N3846" s="82" t="s">
        <v>11768</v>
      </c>
      <c r="O3846" s="93">
        <v>45884.50571759259</v>
      </c>
    </row>
    <row r="3847" spans="1:15" ht="22.5" customHeight="1">
      <c r="A3847" s="85">
        <v>174904221976312</v>
      </c>
      <c r="B3847" s="82" t="s">
        <v>10651</v>
      </c>
      <c r="C3847" s="82" t="s">
        <v>11777</v>
      </c>
      <c r="D3847" s="82" t="s">
        <v>11778</v>
      </c>
      <c r="E3847" s="82">
        <v>6281374844270</v>
      </c>
      <c r="F3847" s="92">
        <v>45883</v>
      </c>
      <c r="G3847" s="87">
        <v>426</v>
      </c>
      <c r="H3847" s="88">
        <v>27495.833333333332</v>
      </c>
      <c r="I3847" s="89">
        <v>7</v>
      </c>
      <c r="J3847" s="90">
        <v>13198</v>
      </c>
      <c r="K3847" s="85">
        <v>1</v>
      </c>
      <c r="L3847" s="85">
        <v>0</v>
      </c>
      <c r="M3847" s="85">
        <v>0</v>
      </c>
      <c r="N3847" s="82" t="s">
        <v>11779</v>
      </c>
      <c r="O3847" s="93">
        <v>45884.484895833331</v>
      </c>
    </row>
    <row r="3848" spans="1:15" ht="22.5" customHeight="1">
      <c r="A3848" s="85">
        <v>174904221976312</v>
      </c>
      <c r="B3848" s="82" t="s">
        <v>10651</v>
      </c>
      <c r="C3848" s="82" t="s">
        <v>11780</v>
      </c>
      <c r="D3848" s="82" t="s">
        <v>11781</v>
      </c>
      <c r="E3848" s="82">
        <v>6282129364133</v>
      </c>
      <c r="F3848" s="92">
        <v>45883</v>
      </c>
      <c r="G3848" s="87">
        <v>338</v>
      </c>
      <c r="H3848" s="88">
        <v>29642.857142857141</v>
      </c>
      <c r="I3848" s="89">
        <v>6</v>
      </c>
      <c r="J3848" s="90">
        <v>11620</v>
      </c>
      <c r="K3848" s="85">
        <v>1</v>
      </c>
      <c r="L3848" s="85">
        <v>0</v>
      </c>
      <c r="M3848" s="85">
        <v>0</v>
      </c>
      <c r="N3848" s="82" t="s">
        <v>11782</v>
      </c>
      <c r="O3848" s="93">
        <v>45884.338946759257</v>
      </c>
    </row>
    <row r="3849" spans="1:15" ht="22.5" customHeight="1">
      <c r="A3849" s="85">
        <v>174904221976312</v>
      </c>
      <c r="B3849" s="82" t="s">
        <v>10651</v>
      </c>
      <c r="C3849" s="82" t="s">
        <v>11785</v>
      </c>
      <c r="D3849" s="82" t="s">
        <v>11786</v>
      </c>
      <c r="E3849" s="82">
        <v>628557182563</v>
      </c>
      <c r="F3849" s="92">
        <v>45883</v>
      </c>
      <c r="G3849" s="87">
        <v>374</v>
      </c>
      <c r="H3849" s="88">
        <v>31062.801932367151</v>
      </c>
      <c r="I3849" s="89">
        <v>7</v>
      </c>
      <c r="J3849" s="90">
        <v>12860</v>
      </c>
      <c r="K3849" s="85">
        <v>0</v>
      </c>
      <c r="L3849" s="85">
        <v>0</v>
      </c>
      <c r="M3849" s="85">
        <v>0</v>
      </c>
      <c r="N3849" s="82" t="s">
        <v>11787</v>
      </c>
      <c r="O3849" s="93">
        <v>45884.526886574073</v>
      </c>
    </row>
    <row r="3850" spans="1:15" ht="22.5" customHeight="1">
      <c r="A3850" s="85">
        <v>174904221976312</v>
      </c>
      <c r="B3850" s="82" t="s">
        <v>10651</v>
      </c>
      <c r="C3850" s="82" t="s">
        <v>11740</v>
      </c>
      <c r="D3850" s="82" t="s">
        <v>3562</v>
      </c>
      <c r="E3850" s="82">
        <v>6281558225822</v>
      </c>
      <c r="F3850" s="92">
        <v>45883</v>
      </c>
      <c r="G3850" s="87">
        <v>132</v>
      </c>
      <c r="H3850" s="88">
        <v>94271.523178807955</v>
      </c>
      <c r="I3850" s="89">
        <v>5</v>
      </c>
      <c r="J3850" s="90">
        <v>14235</v>
      </c>
      <c r="K3850" s="85">
        <v>0</v>
      </c>
      <c r="L3850" s="85">
        <v>14</v>
      </c>
      <c r="M3850" s="85">
        <v>0</v>
      </c>
      <c r="N3850" s="82" t="s">
        <v>11741</v>
      </c>
      <c r="O3850" s="93">
        <v>45884.463935185187</v>
      </c>
    </row>
    <row r="3851" spans="1:15" ht="22.5" customHeight="1">
      <c r="A3851" s="85">
        <v>174904221976312</v>
      </c>
      <c r="B3851" s="82" t="s">
        <v>10651</v>
      </c>
      <c r="C3851" s="82" t="s">
        <v>11752</v>
      </c>
      <c r="D3851" s="82" t="s">
        <v>11753</v>
      </c>
      <c r="E3851" s="82">
        <v>6281326757091</v>
      </c>
      <c r="F3851" s="92">
        <v>45883</v>
      </c>
      <c r="G3851" s="87">
        <v>1586</v>
      </c>
      <c r="H3851" s="88">
        <v>8567.9639029892842</v>
      </c>
      <c r="I3851" s="89">
        <v>94</v>
      </c>
      <c r="J3851" s="90">
        <v>15191</v>
      </c>
      <c r="K3851" s="85">
        <v>8</v>
      </c>
      <c r="L3851" s="85">
        <v>68</v>
      </c>
      <c r="M3851" s="85">
        <v>1</v>
      </c>
      <c r="N3851" s="82" t="s">
        <v>11754</v>
      </c>
      <c r="O3851" s="93">
        <v>45884.217569444445</v>
      </c>
    </row>
    <row r="3852" spans="1:15" ht="22.5" customHeight="1">
      <c r="A3852" s="85">
        <v>174904221976312</v>
      </c>
      <c r="B3852" s="82" t="s">
        <v>10651</v>
      </c>
      <c r="C3852" s="82" t="s">
        <v>11755</v>
      </c>
      <c r="D3852" s="82" t="s">
        <v>11756</v>
      </c>
      <c r="E3852" s="82">
        <v>6281357754513</v>
      </c>
      <c r="F3852" s="92">
        <v>45883</v>
      </c>
      <c r="G3852" s="87">
        <v>414</v>
      </c>
      <c r="H3852" s="88">
        <v>23153.361344537814</v>
      </c>
      <c r="I3852" s="89">
        <v>8</v>
      </c>
      <c r="J3852" s="90">
        <v>11021</v>
      </c>
      <c r="K3852" s="85">
        <v>1</v>
      </c>
      <c r="L3852" s="85">
        <v>0</v>
      </c>
      <c r="M3852" s="85">
        <v>0</v>
      </c>
      <c r="N3852" s="82" t="s">
        <v>11757</v>
      </c>
      <c r="O3852" s="93">
        <v>45884.463923611111</v>
      </c>
    </row>
    <row r="3853" spans="1:15" ht="22.5" customHeight="1">
      <c r="A3853" s="85">
        <v>174904221976312</v>
      </c>
      <c r="B3853" s="82" t="s">
        <v>10651</v>
      </c>
      <c r="C3853" s="82" t="s">
        <v>11761</v>
      </c>
      <c r="D3853" s="82" t="s">
        <v>3438</v>
      </c>
      <c r="E3853" s="82">
        <v>628154336558</v>
      </c>
      <c r="F3853" s="92">
        <v>45883</v>
      </c>
      <c r="G3853" s="87">
        <v>2249</v>
      </c>
      <c r="H3853" s="88">
        <v>5723.3597994149604</v>
      </c>
      <c r="I3853" s="89">
        <v>124</v>
      </c>
      <c r="J3853" s="90">
        <v>13696</v>
      </c>
      <c r="K3853" s="85">
        <v>11</v>
      </c>
      <c r="L3853" s="85">
        <v>949</v>
      </c>
      <c r="M3853" s="85">
        <v>0</v>
      </c>
      <c r="N3853" s="82" t="s">
        <v>11762</v>
      </c>
      <c r="O3853" s="93">
        <v>45884.464224537034</v>
      </c>
    </row>
    <row r="3854" spans="1:15" ht="22.5" customHeight="1">
      <c r="A3854" s="85">
        <v>174904221976312</v>
      </c>
      <c r="B3854" s="82" t="s">
        <v>10651</v>
      </c>
      <c r="C3854" s="82" t="s">
        <v>11763</v>
      </c>
      <c r="D3854" s="82" t="s">
        <v>11764</v>
      </c>
      <c r="E3854" s="82">
        <v>6282384544939</v>
      </c>
      <c r="F3854" s="92">
        <v>45883</v>
      </c>
      <c r="G3854" s="87">
        <v>571</v>
      </c>
      <c r="H3854" s="88">
        <v>20360.730593607306</v>
      </c>
      <c r="I3854" s="89">
        <v>11</v>
      </c>
      <c r="J3854" s="90">
        <v>13377</v>
      </c>
      <c r="K3854" s="85">
        <v>0</v>
      </c>
      <c r="L3854" s="85">
        <v>178</v>
      </c>
      <c r="M3854" s="85">
        <v>0</v>
      </c>
      <c r="N3854" s="82" t="s">
        <v>11765</v>
      </c>
      <c r="O3854" s="93">
        <v>45884.484907407408</v>
      </c>
    </row>
    <row r="3855" spans="1:15" ht="22.5" customHeight="1">
      <c r="A3855" s="85">
        <v>174904221976312</v>
      </c>
      <c r="B3855" s="82" t="s">
        <v>10651</v>
      </c>
      <c r="C3855" s="82" t="s">
        <v>11733</v>
      </c>
      <c r="D3855" s="82" t="s">
        <v>3479</v>
      </c>
      <c r="E3855" s="82">
        <v>6285780314346</v>
      </c>
      <c r="F3855" s="92">
        <v>45883</v>
      </c>
      <c r="G3855" s="87">
        <v>581</v>
      </c>
      <c r="H3855" s="88">
        <v>19197.513812154695</v>
      </c>
      <c r="I3855" s="89">
        <v>46</v>
      </c>
      <c r="J3855" s="90">
        <v>13899</v>
      </c>
      <c r="K3855" s="85">
        <v>3</v>
      </c>
      <c r="L3855" s="85">
        <v>66</v>
      </c>
      <c r="M3855" s="85">
        <v>0</v>
      </c>
      <c r="N3855" s="82" t="s">
        <v>11734</v>
      </c>
      <c r="O3855" s="93">
        <v>45884.217581018522</v>
      </c>
    </row>
    <row r="3856" spans="1:15" ht="22.5" customHeight="1">
      <c r="A3856" s="85">
        <v>174904221976312</v>
      </c>
      <c r="B3856" s="82" t="s">
        <v>10651</v>
      </c>
      <c r="C3856" s="82" t="s">
        <v>11708</v>
      </c>
      <c r="D3856" s="82" t="s">
        <v>11709</v>
      </c>
      <c r="E3856" s="82">
        <v>6285294617773</v>
      </c>
      <c r="F3856" s="92">
        <v>45883</v>
      </c>
      <c r="G3856" s="87">
        <v>227</v>
      </c>
      <c r="H3856" s="88">
        <v>57078.838174273864</v>
      </c>
      <c r="I3856" s="89">
        <v>27</v>
      </c>
      <c r="J3856" s="90">
        <v>13756</v>
      </c>
      <c r="K3856" s="85">
        <v>7</v>
      </c>
      <c r="L3856" s="85">
        <v>76</v>
      </c>
      <c r="M3856" s="85">
        <v>1</v>
      </c>
      <c r="N3856" s="82" t="s">
        <v>11710</v>
      </c>
      <c r="O3856" s="93">
        <v>45884.568657407406</v>
      </c>
    </row>
    <row r="3857" spans="1:15" ht="22.5" customHeight="1">
      <c r="A3857" s="85">
        <v>174904221976312</v>
      </c>
      <c r="B3857" s="82" t="s">
        <v>10651</v>
      </c>
      <c r="C3857" s="82" t="s">
        <v>11663</v>
      </c>
      <c r="D3857" s="82" t="s">
        <v>11664</v>
      </c>
      <c r="E3857" s="82">
        <v>628123264621</v>
      </c>
      <c r="F3857" s="92">
        <v>45883</v>
      </c>
      <c r="G3857" s="87">
        <v>734</v>
      </c>
      <c r="H3857" s="88">
        <v>16405.21327014218</v>
      </c>
      <c r="I3857" s="89">
        <v>33</v>
      </c>
      <c r="J3857" s="90">
        <v>13846</v>
      </c>
      <c r="K3857" s="85">
        <v>3</v>
      </c>
      <c r="L3857" s="85">
        <v>28</v>
      </c>
      <c r="M3857" s="85">
        <v>0</v>
      </c>
      <c r="N3857" s="82" t="s">
        <v>11665</v>
      </c>
      <c r="O3857" s="93">
        <v>45884.505486111113</v>
      </c>
    </row>
    <row r="3858" spans="1:15" ht="22.5" customHeight="1">
      <c r="A3858" s="85">
        <v>174904221976312</v>
      </c>
      <c r="B3858" s="82" t="s">
        <v>10651</v>
      </c>
      <c r="C3858" s="82" t="s">
        <v>11578</v>
      </c>
      <c r="D3858" s="82" t="s">
        <v>1624</v>
      </c>
      <c r="E3858" s="82">
        <v>6281938384000</v>
      </c>
      <c r="F3858" s="92">
        <v>45883</v>
      </c>
      <c r="G3858" s="87">
        <v>1943</v>
      </c>
      <c r="H3858" s="88">
        <v>6110.7609185051779</v>
      </c>
      <c r="I3858" s="89">
        <v>40</v>
      </c>
      <c r="J3858" s="90">
        <v>13572</v>
      </c>
      <c r="K3858" s="85">
        <v>3</v>
      </c>
      <c r="L3858" s="85">
        <v>183</v>
      </c>
      <c r="M3858" s="85">
        <v>0</v>
      </c>
      <c r="N3858" s="82" t="s">
        <v>11579</v>
      </c>
      <c r="O3858" s="93">
        <v>45884.505706018521</v>
      </c>
    </row>
    <row r="3859" spans="1:15" ht="22.5" customHeight="1">
      <c r="A3859" s="85">
        <v>174904221976312</v>
      </c>
      <c r="B3859" s="82" t="s">
        <v>10651</v>
      </c>
      <c r="C3859" s="82" t="s">
        <v>11545</v>
      </c>
      <c r="D3859" s="82" t="s">
        <v>3140</v>
      </c>
      <c r="E3859" s="82"/>
      <c r="F3859" s="92">
        <v>45883</v>
      </c>
      <c r="G3859" s="87">
        <v>2900</v>
      </c>
      <c r="H3859" s="88">
        <v>3640.2404121350887</v>
      </c>
      <c r="I3859" s="89">
        <v>90</v>
      </c>
      <c r="J3859" s="90">
        <v>12719</v>
      </c>
      <c r="K3859" s="85">
        <v>3</v>
      </c>
      <c r="L3859" s="85">
        <v>612</v>
      </c>
      <c r="M3859" s="85">
        <v>1</v>
      </c>
      <c r="N3859" s="82" t="s">
        <v>10779</v>
      </c>
      <c r="O3859" s="93">
        <v>45884.547592592593</v>
      </c>
    </row>
    <row r="3860" spans="1:15" ht="22.5" customHeight="1">
      <c r="A3860" s="85">
        <v>174904221976312</v>
      </c>
      <c r="B3860" s="82" t="s">
        <v>10651</v>
      </c>
      <c r="C3860" s="82" t="s">
        <v>11535</v>
      </c>
      <c r="D3860" s="82" t="s">
        <v>2969</v>
      </c>
      <c r="E3860" s="82">
        <v>6281286402030</v>
      </c>
      <c r="F3860" s="92">
        <v>45883</v>
      </c>
      <c r="G3860" s="87">
        <v>277</v>
      </c>
      <c r="H3860" s="88">
        <v>46325.65789473684</v>
      </c>
      <c r="I3860" s="89">
        <v>5</v>
      </c>
      <c r="J3860" s="90">
        <v>14083</v>
      </c>
      <c r="K3860" s="85">
        <v>0</v>
      </c>
      <c r="L3860" s="85">
        <v>82</v>
      </c>
      <c r="M3860" s="85">
        <v>0</v>
      </c>
      <c r="N3860" s="82" t="s">
        <v>11536</v>
      </c>
      <c r="O3860" s="93">
        <v>45884.217581018522</v>
      </c>
    </row>
    <row r="3861" spans="1:15" ht="22.5" customHeight="1">
      <c r="A3861" s="85">
        <v>174904221976312</v>
      </c>
      <c r="B3861" s="82" t="s">
        <v>10651</v>
      </c>
      <c r="C3861" s="82" t="s">
        <v>11494</v>
      </c>
      <c r="D3861" s="82" t="s">
        <v>11495</v>
      </c>
      <c r="E3861" s="82">
        <v>6285645050058</v>
      </c>
      <c r="F3861" s="92">
        <v>45883</v>
      </c>
      <c r="G3861" s="87">
        <v>844</v>
      </c>
      <c r="H3861" s="88">
        <v>11357.026143790848</v>
      </c>
      <c r="I3861" s="89">
        <v>29</v>
      </c>
      <c r="J3861" s="90">
        <v>13901</v>
      </c>
      <c r="K3861" s="85">
        <v>5</v>
      </c>
      <c r="L3861" s="85">
        <v>82</v>
      </c>
      <c r="M3861" s="85">
        <v>0</v>
      </c>
      <c r="N3861" s="82" t="s">
        <v>11496</v>
      </c>
      <c r="O3861" s="93">
        <v>45884.464236111111</v>
      </c>
    </row>
    <row r="3862" spans="1:15" ht="22.5" customHeight="1">
      <c r="A3862" s="85">
        <v>174904221976312</v>
      </c>
      <c r="B3862" s="82" t="s">
        <v>10651</v>
      </c>
      <c r="C3862" s="82" t="s">
        <v>11464</v>
      </c>
      <c r="D3862" s="82" t="s">
        <v>11465</v>
      </c>
      <c r="E3862" s="82">
        <v>62816904358</v>
      </c>
      <c r="F3862" s="92">
        <v>45883</v>
      </c>
      <c r="G3862" s="87">
        <v>168</v>
      </c>
      <c r="H3862" s="88">
        <v>59080.402010050253</v>
      </c>
      <c r="I3862" s="89">
        <v>11</v>
      </c>
      <c r="J3862" s="90">
        <v>11757</v>
      </c>
      <c r="K3862" s="85">
        <v>1</v>
      </c>
      <c r="L3862" s="85">
        <v>85</v>
      </c>
      <c r="M3862" s="85">
        <v>0</v>
      </c>
      <c r="N3862" s="82" t="s">
        <v>11466</v>
      </c>
      <c r="O3862" s="93">
        <v>45884.505486111113</v>
      </c>
    </row>
    <row r="3863" spans="1:15" ht="22.5" customHeight="1">
      <c r="A3863" s="85">
        <v>174904221976312</v>
      </c>
      <c r="B3863" s="82" t="s">
        <v>10651</v>
      </c>
      <c r="C3863" s="82" t="s">
        <v>11396</v>
      </c>
      <c r="D3863" s="82" t="s">
        <v>11397</v>
      </c>
      <c r="E3863" s="82">
        <v>6285789446955</v>
      </c>
      <c r="F3863" s="92">
        <v>45883</v>
      </c>
      <c r="G3863" s="87">
        <v>835</v>
      </c>
      <c r="H3863" s="88">
        <v>15992.723492723491</v>
      </c>
      <c r="I3863" s="89">
        <v>13</v>
      </c>
      <c r="J3863" s="90">
        <v>15385</v>
      </c>
      <c r="K3863" s="85">
        <v>0</v>
      </c>
      <c r="L3863" s="85">
        <v>63</v>
      </c>
      <c r="M3863" s="85">
        <v>0</v>
      </c>
      <c r="N3863" s="82" t="s">
        <v>11398</v>
      </c>
      <c r="O3863" s="93">
        <v>45884.463912037034</v>
      </c>
    </row>
    <row r="3864" spans="1:15" ht="22.5" customHeight="1">
      <c r="A3864" s="85">
        <v>174904221976312</v>
      </c>
      <c r="B3864" s="82" t="s">
        <v>10651</v>
      </c>
      <c r="C3864" s="82" t="s">
        <v>10943</v>
      </c>
      <c r="D3864" s="82" t="s">
        <v>10944</v>
      </c>
      <c r="E3864" s="82">
        <v>6285240694097</v>
      </c>
      <c r="F3864" s="92">
        <v>45883</v>
      </c>
      <c r="G3864" s="87">
        <v>687</v>
      </c>
      <c r="H3864" s="88">
        <v>17651.605231866823</v>
      </c>
      <c r="I3864" s="89">
        <v>39</v>
      </c>
      <c r="J3864" s="90">
        <v>14845</v>
      </c>
      <c r="K3864" s="85">
        <v>2</v>
      </c>
      <c r="L3864" s="85">
        <v>135</v>
      </c>
      <c r="M3864" s="85">
        <v>0</v>
      </c>
      <c r="N3864" s="82" t="s">
        <v>11910</v>
      </c>
      <c r="O3864" s="93">
        <v>45884.484918981485</v>
      </c>
    </row>
    <row r="3865" spans="1:15" ht="22.5" customHeight="1">
      <c r="A3865" s="85">
        <v>174904221976312</v>
      </c>
      <c r="B3865" s="82" t="s">
        <v>10651</v>
      </c>
      <c r="C3865" s="82" t="s">
        <v>10853</v>
      </c>
      <c r="D3865" s="82" t="s">
        <v>10854</v>
      </c>
      <c r="E3865" s="82">
        <v>6281393958199</v>
      </c>
      <c r="F3865" s="92">
        <v>45883</v>
      </c>
      <c r="G3865" s="87">
        <v>543</v>
      </c>
      <c r="H3865" s="88">
        <v>22774.583963691377</v>
      </c>
      <c r="I3865" s="89">
        <v>18</v>
      </c>
      <c r="J3865" s="90">
        <v>15054</v>
      </c>
      <c r="K3865" s="85">
        <v>1</v>
      </c>
      <c r="L3865" s="85">
        <v>4</v>
      </c>
      <c r="M3865" s="85">
        <v>0</v>
      </c>
      <c r="N3865" s="82" t="s">
        <v>10855</v>
      </c>
      <c r="O3865" s="93">
        <v>45884.484895833331</v>
      </c>
    </row>
    <row r="3866" spans="1:15" ht="22.5" customHeight="1">
      <c r="A3866" s="85">
        <v>174904221976312</v>
      </c>
      <c r="B3866" s="82" t="s">
        <v>10651</v>
      </c>
      <c r="C3866" s="82" t="s">
        <v>10655</v>
      </c>
      <c r="D3866" s="82" t="s">
        <v>3908</v>
      </c>
      <c r="E3866" s="82">
        <v>6285376667233</v>
      </c>
      <c r="F3866" s="92">
        <v>45883</v>
      </c>
      <c r="G3866" s="87">
        <v>995</v>
      </c>
      <c r="H3866" s="88">
        <v>12773.101555352241</v>
      </c>
      <c r="I3866" s="89">
        <v>15</v>
      </c>
      <c r="J3866" s="90">
        <v>13961</v>
      </c>
      <c r="K3866" s="85">
        <v>1</v>
      </c>
      <c r="L3866" s="85">
        <v>344</v>
      </c>
      <c r="M3866" s="85">
        <v>0</v>
      </c>
      <c r="N3866" s="82" t="s">
        <v>10656</v>
      </c>
      <c r="O3866" s="93">
        <v>45884.422164351854</v>
      </c>
    </row>
    <row r="3867" spans="1:15" ht="22.5" customHeight="1">
      <c r="A3867" s="85">
        <v>174904221976312</v>
      </c>
      <c r="B3867" s="82" t="s">
        <v>10651</v>
      </c>
      <c r="C3867" s="82" t="s">
        <v>10657</v>
      </c>
      <c r="D3867" s="82" t="s">
        <v>1239</v>
      </c>
      <c r="E3867" s="82">
        <v>6282172291579</v>
      </c>
      <c r="F3867" s="92">
        <v>45883</v>
      </c>
      <c r="G3867" s="87">
        <v>704</v>
      </c>
      <c r="H3867" s="88">
        <v>17942.08037825059</v>
      </c>
      <c r="I3867" s="89">
        <v>40</v>
      </c>
      <c r="J3867" s="90">
        <v>15179</v>
      </c>
      <c r="K3867" s="85">
        <v>1</v>
      </c>
      <c r="L3867" s="85">
        <v>316</v>
      </c>
      <c r="M3867" s="85">
        <v>0</v>
      </c>
      <c r="N3867" s="82" t="s">
        <v>10658</v>
      </c>
      <c r="O3867" s="93">
        <v>45884.443090277775</v>
      </c>
    </row>
    <row r="3868" spans="1:15" ht="22.5" customHeight="1">
      <c r="A3868" s="85">
        <v>759724529202804</v>
      </c>
      <c r="B3868" s="82" t="s">
        <v>10621</v>
      </c>
      <c r="C3868" s="82" t="s">
        <v>11859</v>
      </c>
      <c r="D3868" s="82" t="s">
        <v>11860</v>
      </c>
      <c r="E3868" s="82">
        <v>6285138380189</v>
      </c>
      <c r="F3868" s="92">
        <v>45884</v>
      </c>
      <c r="G3868" s="87">
        <v>507</v>
      </c>
      <c r="H3868" s="88">
        <v>23115.78947368421</v>
      </c>
      <c r="I3868" s="89">
        <v>11</v>
      </c>
      <c r="J3868" s="90">
        <v>15372</v>
      </c>
      <c r="K3868" s="85">
        <v>2</v>
      </c>
      <c r="L3868" s="85">
        <v>44</v>
      </c>
      <c r="M3868" s="85">
        <v>0</v>
      </c>
      <c r="N3868" s="82" t="s">
        <v>11861</v>
      </c>
      <c r="O3868" s="93">
        <v>45885.568240740744</v>
      </c>
    </row>
    <row r="3869" spans="1:15" ht="22.5" customHeight="1">
      <c r="A3869" s="85">
        <v>174904221976312</v>
      </c>
      <c r="B3869" s="82" t="s">
        <v>10651</v>
      </c>
      <c r="C3869" s="82" t="s">
        <v>11911</v>
      </c>
      <c r="D3869" s="82" t="s">
        <v>11912</v>
      </c>
      <c r="E3869" s="82">
        <v>6287864812126</v>
      </c>
      <c r="F3869" s="92">
        <v>45884</v>
      </c>
      <c r="G3869" s="87">
        <v>1355</v>
      </c>
      <c r="H3869" s="88">
        <v>7580.7584269662921</v>
      </c>
      <c r="I3869" s="89">
        <v>7</v>
      </c>
      <c r="J3869" s="90">
        <v>10795</v>
      </c>
      <c r="K3869" s="85">
        <v>0</v>
      </c>
      <c r="L3869" s="85">
        <v>767</v>
      </c>
      <c r="M3869" s="85">
        <v>0</v>
      </c>
      <c r="N3869" s="82" t="s">
        <v>11913</v>
      </c>
      <c r="O3869" s="93">
        <v>45885.630335648151</v>
      </c>
    </row>
    <row r="3870" spans="1:15" ht="22.5" customHeight="1">
      <c r="A3870" s="85">
        <v>174904221976312</v>
      </c>
      <c r="B3870" s="82" t="s">
        <v>10651</v>
      </c>
      <c r="C3870" s="82" t="s">
        <v>11914</v>
      </c>
      <c r="D3870" s="82" t="s">
        <v>9010</v>
      </c>
      <c r="E3870" s="82">
        <v>6281320188313</v>
      </c>
      <c r="F3870" s="92">
        <v>45884</v>
      </c>
      <c r="G3870" s="87">
        <v>461</v>
      </c>
      <c r="H3870" s="88">
        <v>19540.209790209788</v>
      </c>
      <c r="I3870" s="89">
        <v>17</v>
      </c>
      <c r="J3870" s="90">
        <v>11177</v>
      </c>
      <c r="K3870" s="85">
        <v>1</v>
      </c>
      <c r="L3870" s="85">
        <v>0</v>
      </c>
      <c r="M3870" s="85">
        <v>0</v>
      </c>
      <c r="N3870" s="82" t="s">
        <v>11915</v>
      </c>
      <c r="O3870" s="93">
        <v>45885.672002314815</v>
      </c>
    </row>
    <row r="3871" spans="1:15" ht="22.5" customHeight="1">
      <c r="A3871" s="85">
        <v>174904221976312</v>
      </c>
      <c r="B3871" s="82" t="s">
        <v>10651</v>
      </c>
      <c r="C3871" s="82" t="s">
        <v>11916</v>
      </c>
      <c r="D3871" s="82" t="s">
        <v>11917</v>
      </c>
      <c r="E3871" s="82">
        <v>6281339823715</v>
      </c>
      <c r="F3871" s="92">
        <v>45884</v>
      </c>
      <c r="G3871" s="87">
        <v>386</v>
      </c>
      <c r="H3871" s="88">
        <v>22825.757575757576</v>
      </c>
      <c r="I3871" s="89">
        <v>17</v>
      </c>
      <c r="J3871" s="90">
        <v>9039</v>
      </c>
      <c r="K3871" s="85">
        <v>0</v>
      </c>
      <c r="L3871" s="85">
        <v>152</v>
      </c>
      <c r="M3871" s="85">
        <v>0</v>
      </c>
      <c r="N3871" s="82" t="s">
        <v>11918</v>
      </c>
      <c r="O3871" s="93">
        <v>45885.734768518516</v>
      </c>
    </row>
    <row r="3872" spans="1:15" ht="22.5" customHeight="1">
      <c r="A3872" s="85">
        <v>174904221976312</v>
      </c>
      <c r="B3872" s="82" t="s">
        <v>10651</v>
      </c>
      <c r="C3872" s="82" t="s">
        <v>11919</v>
      </c>
      <c r="D3872" s="82" t="s">
        <v>11920</v>
      </c>
      <c r="E3872" s="82">
        <v>6282221896658</v>
      </c>
      <c r="F3872" s="92">
        <v>45884</v>
      </c>
      <c r="G3872" s="87">
        <v>263</v>
      </c>
      <c r="H3872" s="88">
        <v>38614.840989399294</v>
      </c>
      <c r="I3872" s="89">
        <v>4</v>
      </c>
      <c r="J3872" s="90">
        <v>10928</v>
      </c>
      <c r="K3872" s="85">
        <v>1</v>
      </c>
      <c r="L3872" s="85">
        <v>8</v>
      </c>
      <c r="M3872" s="85">
        <v>0</v>
      </c>
      <c r="N3872" s="82" t="s">
        <v>11921</v>
      </c>
      <c r="O3872" s="93">
        <v>45885.568136574075</v>
      </c>
    </row>
    <row r="3873" spans="1:15" ht="22.5" customHeight="1">
      <c r="A3873" s="85">
        <v>174904221976312</v>
      </c>
      <c r="B3873" s="82" t="s">
        <v>10651</v>
      </c>
      <c r="C3873" s="82" t="s">
        <v>11922</v>
      </c>
      <c r="D3873" s="82" t="s">
        <v>11923</v>
      </c>
      <c r="E3873" s="82">
        <v>6282390759437</v>
      </c>
      <c r="F3873" s="92">
        <v>45884</v>
      </c>
      <c r="G3873" s="87">
        <v>369</v>
      </c>
      <c r="H3873" s="88">
        <v>30787.654320987655</v>
      </c>
      <c r="I3873" s="89">
        <v>8</v>
      </c>
      <c r="J3873" s="90">
        <v>12469</v>
      </c>
      <c r="K3873" s="85">
        <v>3</v>
      </c>
      <c r="L3873" s="85">
        <v>31</v>
      </c>
      <c r="M3873" s="85">
        <v>0</v>
      </c>
      <c r="N3873" s="82" t="s">
        <v>11924</v>
      </c>
      <c r="O3873" s="93">
        <v>45885.652002314811</v>
      </c>
    </row>
    <row r="3874" spans="1:15" ht="22.5" customHeight="1">
      <c r="A3874" s="85">
        <v>174904221976312</v>
      </c>
      <c r="B3874" s="82" t="s">
        <v>10651</v>
      </c>
      <c r="C3874" s="82" t="s">
        <v>11925</v>
      </c>
      <c r="D3874" s="82" t="s">
        <v>4008</v>
      </c>
      <c r="E3874" s="82">
        <v>6281558225822</v>
      </c>
      <c r="F3874" s="92">
        <v>45884</v>
      </c>
      <c r="G3874" s="87">
        <v>150</v>
      </c>
      <c r="H3874" s="88">
        <v>67772.727272727265</v>
      </c>
      <c r="I3874" s="89">
        <v>6</v>
      </c>
      <c r="J3874" s="90">
        <v>10437</v>
      </c>
      <c r="K3874" s="85">
        <v>1</v>
      </c>
      <c r="L3874" s="85">
        <v>22</v>
      </c>
      <c r="M3874" s="85">
        <v>0</v>
      </c>
      <c r="N3874" s="82" t="s">
        <v>11926</v>
      </c>
      <c r="O3874" s="93">
        <v>45885.589386574073</v>
      </c>
    </row>
    <row r="3875" spans="1:15" ht="22.5" customHeight="1">
      <c r="A3875" s="85">
        <v>174904221976312</v>
      </c>
      <c r="B3875" s="82" t="s">
        <v>10651</v>
      </c>
      <c r="C3875" s="82" t="s">
        <v>11899</v>
      </c>
      <c r="D3875" s="82" t="s">
        <v>11900</v>
      </c>
      <c r="E3875" s="82">
        <v>6283129404339</v>
      </c>
      <c r="F3875" s="92">
        <v>45884</v>
      </c>
      <c r="G3875" s="87">
        <v>605</v>
      </c>
      <c r="H3875" s="88">
        <v>8584.070796460177</v>
      </c>
      <c r="I3875" s="89">
        <v>5</v>
      </c>
      <c r="J3875" s="90">
        <v>5820</v>
      </c>
      <c r="K3875" s="85">
        <v>1</v>
      </c>
      <c r="L3875" s="85">
        <v>114</v>
      </c>
      <c r="M3875" s="85">
        <v>0</v>
      </c>
      <c r="N3875" s="82" t="s">
        <v>11901</v>
      </c>
      <c r="O3875" s="93">
        <v>45884.453877314816</v>
      </c>
    </row>
    <row r="3876" spans="1:15" ht="22.5" customHeight="1">
      <c r="A3876" s="85">
        <v>174904221976312</v>
      </c>
      <c r="B3876" s="82" t="s">
        <v>10651</v>
      </c>
      <c r="C3876" s="82" t="s">
        <v>11905</v>
      </c>
      <c r="D3876" s="82" t="s">
        <v>11906</v>
      </c>
      <c r="E3876" s="82">
        <v>6285294617773</v>
      </c>
      <c r="F3876" s="92">
        <v>45884</v>
      </c>
      <c r="G3876" s="87">
        <v>579</v>
      </c>
      <c r="H3876" s="88">
        <v>18230.876216968009</v>
      </c>
      <c r="I3876" s="89">
        <v>61</v>
      </c>
      <c r="J3876" s="90">
        <v>13108</v>
      </c>
      <c r="K3876" s="85">
        <v>3</v>
      </c>
      <c r="L3876" s="85">
        <v>28</v>
      </c>
      <c r="M3876" s="85">
        <v>4</v>
      </c>
      <c r="N3876" s="82" t="s">
        <v>11907</v>
      </c>
      <c r="O3876" s="93">
        <v>45885.63077546296</v>
      </c>
    </row>
    <row r="3877" spans="1:15" ht="22.5" customHeight="1">
      <c r="A3877" s="85">
        <v>174904221976312</v>
      </c>
      <c r="B3877" s="82" t="s">
        <v>10651</v>
      </c>
      <c r="C3877" s="82" t="s">
        <v>11908</v>
      </c>
      <c r="D3877" s="82" t="s">
        <v>3969</v>
      </c>
      <c r="E3877" s="82">
        <v>62881010328220</v>
      </c>
      <c r="F3877" s="92">
        <v>45884</v>
      </c>
      <c r="G3877" s="87">
        <v>1240</v>
      </c>
      <c r="H3877" s="88">
        <v>10849.170437405732</v>
      </c>
      <c r="I3877" s="89">
        <v>22</v>
      </c>
      <c r="J3877" s="90">
        <v>14386</v>
      </c>
      <c r="K3877" s="85">
        <v>3</v>
      </c>
      <c r="L3877" s="85">
        <v>0</v>
      </c>
      <c r="M3877" s="85">
        <v>0</v>
      </c>
      <c r="N3877" s="82" t="s">
        <v>11909</v>
      </c>
      <c r="O3877" s="93">
        <v>45885.589641203704</v>
      </c>
    </row>
    <row r="3878" spans="1:15" ht="22.5" customHeight="1">
      <c r="A3878" s="85">
        <v>174904221976312</v>
      </c>
      <c r="B3878" s="82" t="s">
        <v>10651</v>
      </c>
      <c r="C3878" s="82" t="s">
        <v>11882</v>
      </c>
      <c r="D3878" s="82" t="s">
        <v>11883</v>
      </c>
      <c r="E3878" s="82">
        <v>6287701349406</v>
      </c>
      <c r="F3878" s="92">
        <v>45884</v>
      </c>
      <c r="G3878" s="87">
        <v>2149</v>
      </c>
      <c r="H3878" s="88">
        <v>4858.2196697774589</v>
      </c>
      <c r="I3878" s="89">
        <v>69</v>
      </c>
      <c r="J3878" s="90">
        <v>13535</v>
      </c>
      <c r="K3878" s="85">
        <v>6</v>
      </c>
      <c r="L3878" s="85">
        <v>67</v>
      </c>
      <c r="M3878" s="85">
        <v>1</v>
      </c>
      <c r="N3878" s="82" t="s">
        <v>11884</v>
      </c>
      <c r="O3878" s="93">
        <v>45885.567858796298</v>
      </c>
    </row>
    <row r="3879" spans="1:15" ht="22.5" customHeight="1">
      <c r="A3879" s="85">
        <v>174904221976312</v>
      </c>
      <c r="B3879" s="82" t="s">
        <v>10651</v>
      </c>
      <c r="C3879" s="82" t="s">
        <v>11885</v>
      </c>
      <c r="D3879" s="82" t="s">
        <v>11886</v>
      </c>
      <c r="E3879" s="82">
        <v>628179780980</v>
      </c>
      <c r="F3879" s="92">
        <v>45884</v>
      </c>
      <c r="G3879" s="87">
        <v>169</v>
      </c>
      <c r="H3879" s="88">
        <v>66964.824120603007</v>
      </c>
      <c r="I3879" s="89">
        <v>13</v>
      </c>
      <c r="J3879" s="90">
        <v>13326</v>
      </c>
      <c r="K3879" s="85">
        <v>0</v>
      </c>
      <c r="L3879" s="85">
        <v>0</v>
      </c>
      <c r="M3879" s="85">
        <v>0</v>
      </c>
      <c r="N3879" s="82" t="s">
        <v>11887</v>
      </c>
      <c r="O3879" s="93">
        <v>45885.422800925924</v>
      </c>
    </row>
    <row r="3880" spans="1:15" ht="22.5" customHeight="1">
      <c r="A3880" s="85">
        <v>174904221976312</v>
      </c>
      <c r="B3880" s="82" t="s">
        <v>10651</v>
      </c>
      <c r="C3880" s="82" t="s">
        <v>11888</v>
      </c>
      <c r="D3880" s="82" t="s">
        <v>11889</v>
      </c>
      <c r="E3880" s="82">
        <v>628127962347</v>
      </c>
      <c r="F3880" s="92">
        <v>45884</v>
      </c>
      <c r="G3880" s="87">
        <v>380</v>
      </c>
      <c r="H3880" s="88">
        <v>28900</v>
      </c>
      <c r="I3880" s="89">
        <v>17</v>
      </c>
      <c r="J3880" s="90">
        <v>12716</v>
      </c>
      <c r="K3880" s="85">
        <v>4</v>
      </c>
      <c r="L3880" s="85">
        <v>4</v>
      </c>
      <c r="M3880" s="85">
        <v>0</v>
      </c>
      <c r="N3880" s="82" t="s">
        <v>11890</v>
      </c>
      <c r="O3880" s="93">
        <v>45885.526458333334</v>
      </c>
    </row>
    <row r="3881" spans="1:15" ht="22.5" customHeight="1">
      <c r="A3881" s="85">
        <v>174904221976312</v>
      </c>
      <c r="B3881" s="82" t="s">
        <v>10651</v>
      </c>
      <c r="C3881" s="82" t="s">
        <v>11891</v>
      </c>
      <c r="D3881" s="82" t="s">
        <v>3873</v>
      </c>
      <c r="E3881" s="82">
        <v>6282241382009</v>
      </c>
      <c r="F3881" s="92">
        <v>45884</v>
      </c>
      <c r="G3881" s="87">
        <v>568</v>
      </c>
      <c r="H3881" s="88">
        <v>20038.575667655783</v>
      </c>
      <c r="I3881" s="89">
        <v>20</v>
      </c>
      <c r="J3881" s="90">
        <v>13506</v>
      </c>
      <c r="K3881" s="85">
        <v>3</v>
      </c>
      <c r="L3881" s="85">
        <v>41</v>
      </c>
      <c r="M3881" s="85">
        <v>1</v>
      </c>
      <c r="N3881" s="82" t="s">
        <v>11892</v>
      </c>
      <c r="O3881" s="93">
        <v>45885.547164351854</v>
      </c>
    </row>
    <row r="3882" spans="1:15" ht="22.5" customHeight="1">
      <c r="A3882" s="85">
        <v>174904221976312</v>
      </c>
      <c r="B3882" s="82" t="s">
        <v>10651</v>
      </c>
      <c r="C3882" s="82" t="s">
        <v>11893</v>
      </c>
      <c r="D3882" s="82" t="s">
        <v>11894</v>
      </c>
      <c r="E3882" s="82">
        <v>6282382535847</v>
      </c>
      <c r="F3882" s="92">
        <v>45884</v>
      </c>
      <c r="G3882" s="87">
        <v>925</v>
      </c>
      <c r="H3882" s="88">
        <v>11887.828162291169</v>
      </c>
      <c r="I3882" s="89">
        <v>29</v>
      </c>
      <c r="J3882" s="90">
        <v>14943</v>
      </c>
      <c r="K3882" s="85">
        <v>5</v>
      </c>
      <c r="L3882" s="85">
        <v>85</v>
      </c>
      <c r="M3882" s="85">
        <v>2</v>
      </c>
      <c r="N3882" s="82" t="s">
        <v>11895</v>
      </c>
      <c r="O3882" s="93">
        <v>45885.485590277778</v>
      </c>
    </row>
    <row r="3883" spans="1:15" ht="22.5" customHeight="1">
      <c r="A3883" s="85">
        <v>174904221976312</v>
      </c>
      <c r="B3883" s="82" t="s">
        <v>10651</v>
      </c>
      <c r="C3883" s="82" t="s">
        <v>11896</v>
      </c>
      <c r="D3883" s="82" t="s">
        <v>11897</v>
      </c>
      <c r="E3883" s="82">
        <v>6282153090123</v>
      </c>
      <c r="F3883" s="92">
        <v>45884</v>
      </c>
      <c r="G3883" s="87">
        <v>565</v>
      </c>
      <c r="H3883" s="88">
        <v>24038.699690402478</v>
      </c>
      <c r="I3883" s="89">
        <v>16</v>
      </c>
      <c r="J3883" s="90">
        <v>15529</v>
      </c>
      <c r="K3883" s="85">
        <v>1</v>
      </c>
      <c r="L3883" s="85">
        <v>66</v>
      </c>
      <c r="M3883" s="85">
        <v>0</v>
      </c>
      <c r="N3883" s="82" t="s">
        <v>11898</v>
      </c>
      <c r="O3883" s="93">
        <v>45885.443703703706</v>
      </c>
    </row>
    <row r="3884" spans="1:15" ht="22.5" customHeight="1">
      <c r="A3884" s="85">
        <v>174904221976312</v>
      </c>
      <c r="B3884" s="82" t="s">
        <v>10651</v>
      </c>
      <c r="C3884" s="82" t="s">
        <v>11862</v>
      </c>
      <c r="D3884" s="82" t="s">
        <v>11863</v>
      </c>
      <c r="E3884" s="82">
        <v>6287886480138</v>
      </c>
      <c r="F3884" s="92">
        <v>45884</v>
      </c>
      <c r="G3884" s="87">
        <v>4275</v>
      </c>
      <c r="H3884" s="88">
        <v>3186.3625892651462</v>
      </c>
      <c r="I3884" s="89">
        <v>111</v>
      </c>
      <c r="J3884" s="90">
        <v>13832</v>
      </c>
      <c r="K3884" s="85">
        <v>0</v>
      </c>
      <c r="L3884" s="85">
        <v>714</v>
      </c>
      <c r="M3884" s="85">
        <v>0</v>
      </c>
      <c r="N3884" s="82" t="s">
        <v>11864</v>
      </c>
      <c r="O3884" s="93">
        <v>45885.630532407406</v>
      </c>
    </row>
    <row r="3885" spans="1:15" ht="22.5" customHeight="1">
      <c r="A3885" s="85">
        <v>174904221976312</v>
      </c>
      <c r="B3885" s="82" t="s">
        <v>10651</v>
      </c>
      <c r="C3885" s="82" t="s">
        <v>11865</v>
      </c>
      <c r="D3885" s="82" t="s">
        <v>11403</v>
      </c>
      <c r="E3885" s="82">
        <v>6283870060603</v>
      </c>
      <c r="F3885" s="92">
        <v>45884</v>
      </c>
      <c r="G3885" s="87">
        <v>860</v>
      </c>
      <c r="H3885" s="88">
        <v>14140.155728587319</v>
      </c>
      <c r="I3885" s="89">
        <v>17</v>
      </c>
      <c r="J3885" s="90">
        <v>12712</v>
      </c>
      <c r="K3885" s="85">
        <v>0</v>
      </c>
      <c r="L3885" s="85">
        <v>347</v>
      </c>
      <c r="M3885" s="85">
        <v>0</v>
      </c>
      <c r="N3885" s="82" t="s">
        <v>11866</v>
      </c>
      <c r="O3885" s="93">
        <v>45885.567881944444</v>
      </c>
    </row>
    <row r="3886" spans="1:15" ht="22.5" customHeight="1">
      <c r="A3886" s="85">
        <v>174904221976312</v>
      </c>
      <c r="B3886" s="82" t="s">
        <v>10651</v>
      </c>
      <c r="C3886" s="82" t="s">
        <v>11867</v>
      </c>
      <c r="D3886" s="82" t="s">
        <v>11868</v>
      </c>
      <c r="E3886" s="82">
        <v>6282112042148</v>
      </c>
      <c r="F3886" s="92">
        <v>45884</v>
      </c>
      <c r="G3886" s="87">
        <v>811</v>
      </c>
      <c r="H3886" s="88">
        <v>15354.385964912281</v>
      </c>
      <c r="I3886" s="89">
        <v>18</v>
      </c>
      <c r="J3886" s="90">
        <v>13128</v>
      </c>
      <c r="K3886" s="85">
        <v>2</v>
      </c>
      <c r="L3886" s="85">
        <v>275</v>
      </c>
      <c r="M3886" s="85">
        <v>0</v>
      </c>
      <c r="N3886" s="82" t="s">
        <v>11869</v>
      </c>
      <c r="O3886" s="93">
        <v>45885.444016203706</v>
      </c>
    </row>
    <row r="3887" spans="1:15" ht="22.5" customHeight="1">
      <c r="A3887" s="85">
        <v>174904221976312</v>
      </c>
      <c r="B3887" s="82" t="s">
        <v>10651</v>
      </c>
      <c r="C3887" s="82" t="s">
        <v>11870</v>
      </c>
      <c r="D3887" s="82" t="s">
        <v>11871</v>
      </c>
      <c r="E3887" s="82">
        <v>62817262229</v>
      </c>
      <c r="F3887" s="92">
        <v>45884</v>
      </c>
      <c r="G3887" s="87">
        <v>552</v>
      </c>
      <c r="H3887" s="88">
        <v>22525.974025974025</v>
      </c>
      <c r="I3887" s="89">
        <v>18</v>
      </c>
      <c r="J3887" s="90">
        <v>13876</v>
      </c>
      <c r="K3887" s="85">
        <v>3</v>
      </c>
      <c r="L3887" s="85">
        <v>0</v>
      </c>
      <c r="M3887" s="85">
        <v>0</v>
      </c>
      <c r="N3887" s="82" t="s">
        <v>11872</v>
      </c>
      <c r="O3887" s="93">
        <v>45885.485601851855</v>
      </c>
    </row>
    <row r="3888" spans="1:15" ht="22.5" customHeight="1">
      <c r="A3888" s="85">
        <v>174904221976312</v>
      </c>
      <c r="B3888" s="82" t="s">
        <v>10651</v>
      </c>
      <c r="C3888" s="82" t="s">
        <v>11873</v>
      </c>
      <c r="D3888" s="82" t="s">
        <v>11874</v>
      </c>
      <c r="E3888" s="82">
        <v>6281324481252</v>
      </c>
      <c r="F3888" s="92">
        <v>45884</v>
      </c>
      <c r="G3888" s="87">
        <v>466</v>
      </c>
      <c r="H3888" s="88">
        <v>27117.1875</v>
      </c>
      <c r="I3888" s="89">
        <v>17</v>
      </c>
      <c r="J3888" s="90">
        <v>13884</v>
      </c>
      <c r="K3888" s="85">
        <v>3</v>
      </c>
      <c r="L3888" s="85">
        <v>0</v>
      </c>
      <c r="M3888" s="85">
        <v>0</v>
      </c>
      <c r="N3888" s="82" t="s">
        <v>11875</v>
      </c>
      <c r="O3888" s="93">
        <v>45885.526458333334</v>
      </c>
    </row>
    <row r="3889" spans="1:15" ht="22.5" customHeight="1">
      <c r="A3889" s="85">
        <v>174904221976312</v>
      </c>
      <c r="B3889" s="82" t="s">
        <v>10651</v>
      </c>
      <c r="C3889" s="82" t="s">
        <v>11876</v>
      </c>
      <c r="D3889" s="82" t="s">
        <v>11877</v>
      </c>
      <c r="E3889" s="82">
        <v>6285748377961</v>
      </c>
      <c r="F3889" s="92">
        <v>45884</v>
      </c>
      <c r="G3889" s="87">
        <v>1452</v>
      </c>
      <c r="H3889" s="88">
        <v>9084.9114233353703</v>
      </c>
      <c r="I3889" s="89">
        <v>37</v>
      </c>
      <c r="J3889" s="90">
        <v>14872</v>
      </c>
      <c r="K3889" s="85">
        <v>1</v>
      </c>
      <c r="L3889" s="85">
        <v>2</v>
      </c>
      <c r="M3889" s="85">
        <v>0</v>
      </c>
      <c r="N3889" s="82" t="s">
        <v>11878</v>
      </c>
      <c r="O3889" s="93">
        <v>45885.505879629629</v>
      </c>
    </row>
    <row r="3890" spans="1:15" ht="22.5" customHeight="1">
      <c r="A3890" s="85">
        <v>174904221976312</v>
      </c>
      <c r="B3890" s="82" t="s">
        <v>10651</v>
      </c>
      <c r="C3890" s="82" t="s">
        <v>11879</v>
      </c>
      <c r="D3890" s="82" t="s">
        <v>11877</v>
      </c>
      <c r="E3890" s="82">
        <v>6285748377961</v>
      </c>
      <c r="F3890" s="92">
        <v>45884</v>
      </c>
      <c r="G3890" s="87">
        <v>658</v>
      </c>
      <c r="H3890" s="88">
        <v>19450.276243093926</v>
      </c>
      <c r="I3890" s="89">
        <v>11</v>
      </c>
      <c r="J3890" s="90">
        <v>14082</v>
      </c>
      <c r="K3890" s="85">
        <v>2</v>
      </c>
      <c r="L3890" s="85">
        <v>56</v>
      </c>
      <c r="M3890" s="85">
        <v>0</v>
      </c>
      <c r="N3890" s="82" t="s">
        <v>11878</v>
      </c>
      <c r="O3890" s="93">
        <v>45885.50613425926</v>
      </c>
    </row>
    <row r="3891" spans="1:15" ht="22.5" customHeight="1">
      <c r="A3891" s="85">
        <v>174904221976312</v>
      </c>
      <c r="B3891" s="82" t="s">
        <v>10651</v>
      </c>
      <c r="C3891" s="82" t="s">
        <v>11880</v>
      </c>
      <c r="D3891" s="82" t="s">
        <v>3805</v>
      </c>
      <c r="E3891" s="82">
        <v>6281288245836</v>
      </c>
      <c r="F3891" s="92">
        <v>45884</v>
      </c>
      <c r="G3891" s="87">
        <v>217</v>
      </c>
      <c r="H3891" s="88">
        <v>48725.663716814161</v>
      </c>
      <c r="I3891" s="89">
        <v>5</v>
      </c>
      <c r="J3891" s="90">
        <v>11012</v>
      </c>
      <c r="K3891" s="85">
        <v>1</v>
      </c>
      <c r="L3891" s="85">
        <v>0</v>
      </c>
      <c r="M3891" s="85">
        <v>0</v>
      </c>
      <c r="N3891" s="82" t="s">
        <v>11881</v>
      </c>
      <c r="O3891" s="93">
        <v>45885.485312500001</v>
      </c>
    </row>
    <row r="3892" spans="1:15" ht="22.5" customHeight="1">
      <c r="A3892" s="85">
        <v>174904221976312</v>
      </c>
      <c r="B3892" s="82" t="s">
        <v>10651</v>
      </c>
      <c r="C3892" s="82" t="s">
        <v>11838</v>
      </c>
      <c r="D3892" s="82" t="s">
        <v>11839</v>
      </c>
      <c r="E3892" s="82">
        <v>6287797504113</v>
      </c>
      <c r="F3892" s="92">
        <v>45884</v>
      </c>
      <c r="G3892" s="87">
        <v>193</v>
      </c>
      <c r="H3892" s="88">
        <v>75863.849765258215</v>
      </c>
      <c r="I3892" s="89">
        <v>14</v>
      </c>
      <c r="J3892" s="90">
        <v>16159</v>
      </c>
      <c r="K3892" s="85">
        <v>0</v>
      </c>
      <c r="L3892" s="85">
        <v>7</v>
      </c>
      <c r="M3892" s="85">
        <v>0</v>
      </c>
      <c r="N3892" s="82" t="s">
        <v>11840</v>
      </c>
      <c r="O3892" s="93">
        <v>45885.444016203706</v>
      </c>
    </row>
    <row r="3893" spans="1:15" ht="22.5" customHeight="1">
      <c r="A3893" s="85">
        <v>174904221976312</v>
      </c>
      <c r="B3893" s="82" t="s">
        <v>10651</v>
      </c>
      <c r="C3893" s="82" t="s">
        <v>11811</v>
      </c>
      <c r="D3893" s="82" t="s">
        <v>11812</v>
      </c>
      <c r="E3893" s="82">
        <v>6285328883803</v>
      </c>
      <c r="F3893" s="92">
        <v>45884</v>
      </c>
      <c r="G3893" s="87">
        <v>406</v>
      </c>
      <c r="H3893" s="88">
        <v>28339.207048458149</v>
      </c>
      <c r="I3893" s="89">
        <v>9</v>
      </c>
      <c r="J3893" s="90">
        <v>12866</v>
      </c>
      <c r="K3893" s="85">
        <v>0</v>
      </c>
      <c r="L3893" s="85">
        <v>20</v>
      </c>
      <c r="M3893" s="85">
        <v>0</v>
      </c>
      <c r="N3893" s="82" t="s">
        <v>11813</v>
      </c>
      <c r="O3893" s="93">
        <v>45885.464687500003</v>
      </c>
    </row>
    <row r="3894" spans="1:15" ht="22.5" customHeight="1">
      <c r="A3894" s="85">
        <v>174904221976312</v>
      </c>
      <c r="B3894" s="82" t="s">
        <v>10651</v>
      </c>
      <c r="C3894" s="82" t="s">
        <v>11816</v>
      </c>
      <c r="D3894" s="82" t="s">
        <v>3682</v>
      </c>
      <c r="E3894" s="82">
        <v>6285602235226</v>
      </c>
      <c r="F3894" s="92">
        <v>45884</v>
      </c>
      <c r="G3894" s="87">
        <v>341</v>
      </c>
      <c r="H3894" s="88">
        <v>35335.820895522389</v>
      </c>
      <c r="I3894" s="89">
        <v>22</v>
      </c>
      <c r="J3894" s="90">
        <v>14205</v>
      </c>
      <c r="K3894" s="85">
        <v>3</v>
      </c>
      <c r="L3894" s="85">
        <v>0</v>
      </c>
      <c r="M3894" s="85">
        <v>0</v>
      </c>
      <c r="N3894" s="82" t="s">
        <v>11817</v>
      </c>
      <c r="O3894" s="93">
        <v>45885.526458333334</v>
      </c>
    </row>
    <row r="3895" spans="1:15" ht="22.5" customHeight="1">
      <c r="A3895" s="85">
        <v>174904221976312</v>
      </c>
      <c r="B3895" s="82" t="s">
        <v>10651</v>
      </c>
      <c r="C3895" s="82" t="s">
        <v>11797</v>
      </c>
      <c r="D3895" s="82" t="s">
        <v>3616</v>
      </c>
      <c r="E3895" s="82">
        <v>6285299991164</v>
      </c>
      <c r="F3895" s="92">
        <v>45884</v>
      </c>
      <c r="G3895" s="87">
        <v>215</v>
      </c>
      <c r="H3895" s="88">
        <v>45988.461538461539</v>
      </c>
      <c r="I3895" s="89">
        <v>8</v>
      </c>
      <c r="J3895" s="90">
        <v>11957</v>
      </c>
      <c r="K3895" s="85">
        <v>2</v>
      </c>
      <c r="L3895" s="85">
        <v>0</v>
      </c>
      <c r="M3895" s="85">
        <v>0</v>
      </c>
      <c r="N3895" s="82" t="s">
        <v>11798</v>
      </c>
      <c r="O3895" s="93">
        <v>45885.215462962966</v>
      </c>
    </row>
    <row r="3896" spans="1:15" ht="22.5" customHeight="1">
      <c r="A3896" s="85">
        <v>174904221976312</v>
      </c>
      <c r="B3896" s="82" t="s">
        <v>10651</v>
      </c>
      <c r="C3896" s="82" t="s">
        <v>11799</v>
      </c>
      <c r="D3896" s="82" t="s">
        <v>11800</v>
      </c>
      <c r="E3896" s="82">
        <v>6285333751528</v>
      </c>
      <c r="F3896" s="92">
        <v>45884</v>
      </c>
      <c r="G3896" s="87">
        <v>438</v>
      </c>
      <c r="H3896" s="88">
        <v>27692</v>
      </c>
      <c r="I3896" s="89">
        <v>16</v>
      </c>
      <c r="J3896" s="90">
        <v>13846</v>
      </c>
      <c r="K3896" s="85">
        <v>3</v>
      </c>
      <c r="L3896" s="85">
        <v>26</v>
      </c>
      <c r="M3896" s="85">
        <v>0</v>
      </c>
      <c r="N3896" s="82" t="s">
        <v>11801</v>
      </c>
      <c r="O3896" s="93">
        <v>45885.485312500001</v>
      </c>
    </row>
    <row r="3897" spans="1:15" ht="22.5" customHeight="1">
      <c r="A3897" s="85">
        <v>174904221976312</v>
      </c>
      <c r="B3897" s="82" t="s">
        <v>10651</v>
      </c>
      <c r="C3897" s="82" t="s">
        <v>11766</v>
      </c>
      <c r="D3897" s="82" t="s">
        <v>11767</v>
      </c>
      <c r="E3897" s="82">
        <v>6281225101319</v>
      </c>
      <c r="F3897" s="92">
        <v>45884</v>
      </c>
      <c r="G3897" s="87">
        <v>254</v>
      </c>
      <c r="H3897" s="88">
        <v>39268.965517241377</v>
      </c>
      <c r="I3897" s="89">
        <v>4</v>
      </c>
      <c r="J3897" s="90">
        <v>11388</v>
      </c>
      <c r="K3897" s="85">
        <v>1</v>
      </c>
      <c r="L3897" s="85">
        <v>1</v>
      </c>
      <c r="M3897" s="85">
        <v>0</v>
      </c>
      <c r="N3897" s="82" t="s">
        <v>11768</v>
      </c>
      <c r="O3897" s="93">
        <v>45885.464432870373</v>
      </c>
    </row>
    <row r="3898" spans="1:15" ht="22.5" customHeight="1">
      <c r="A3898" s="85">
        <v>174904221976312</v>
      </c>
      <c r="B3898" s="82" t="s">
        <v>10651</v>
      </c>
      <c r="C3898" s="82" t="s">
        <v>11777</v>
      </c>
      <c r="D3898" s="82" t="s">
        <v>11778</v>
      </c>
      <c r="E3898" s="82">
        <v>6281374844270</v>
      </c>
      <c r="F3898" s="92">
        <v>45884</v>
      </c>
      <c r="G3898" s="87">
        <v>583</v>
      </c>
      <c r="H3898" s="88">
        <v>23231.017770597737</v>
      </c>
      <c r="I3898" s="89">
        <v>12</v>
      </c>
      <c r="J3898" s="90">
        <v>14380</v>
      </c>
      <c r="K3898" s="85">
        <v>0</v>
      </c>
      <c r="L3898" s="85">
        <v>0</v>
      </c>
      <c r="M3898" s="85">
        <v>0</v>
      </c>
      <c r="N3898" s="82" t="s">
        <v>11779</v>
      </c>
      <c r="O3898" s="93">
        <v>45885.464432870373</v>
      </c>
    </row>
    <row r="3899" spans="1:15" ht="22.5" customHeight="1">
      <c r="A3899" s="85">
        <v>174904221976312</v>
      </c>
      <c r="B3899" s="82" t="s">
        <v>10651</v>
      </c>
      <c r="C3899" s="82" t="s">
        <v>11780</v>
      </c>
      <c r="D3899" s="82" t="s">
        <v>11781</v>
      </c>
      <c r="E3899" s="82">
        <v>6282129364133</v>
      </c>
      <c r="F3899" s="92">
        <v>45884</v>
      </c>
      <c r="G3899" s="87">
        <v>488</v>
      </c>
      <c r="H3899" s="88">
        <v>30658.869395711503</v>
      </c>
      <c r="I3899" s="89">
        <v>9</v>
      </c>
      <c r="J3899" s="90">
        <v>15728</v>
      </c>
      <c r="K3899" s="85">
        <v>0</v>
      </c>
      <c r="L3899" s="85">
        <v>0</v>
      </c>
      <c r="M3899" s="85">
        <v>0</v>
      </c>
      <c r="N3899" s="82" t="s">
        <v>11782</v>
      </c>
      <c r="O3899" s="93">
        <v>45885.215474537035</v>
      </c>
    </row>
    <row r="3900" spans="1:15" ht="22.5" customHeight="1">
      <c r="A3900" s="85">
        <v>174904221976312</v>
      </c>
      <c r="B3900" s="82" t="s">
        <v>10651</v>
      </c>
      <c r="C3900" s="82" t="s">
        <v>11785</v>
      </c>
      <c r="D3900" s="82" t="s">
        <v>11786</v>
      </c>
      <c r="E3900" s="82">
        <v>628557182563</v>
      </c>
      <c r="F3900" s="92">
        <v>45884</v>
      </c>
      <c r="G3900" s="87">
        <v>363</v>
      </c>
      <c r="H3900" s="88">
        <v>32791.962174940898</v>
      </c>
      <c r="I3900" s="89">
        <v>10</v>
      </c>
      <c r="J3900" s="90">
        <v>13871</v>
      </c>
      <c r="K3900" s="85">
        <v>0</v>
      </c>
      <c r="L3900" s="85">
        <v>6</v>
      </c>
      <c r="M3900" s="85">
        <v>0</v>
      </c>
      <c r="N3900" s="82" t="s">
        <v>11787</v>
      </c>
      <c r="O3900" s="93">
        <v>45885.464687500003</v>
      </c>
    </row>
    <row r="3901" spans="1:15" ht="22.5" customHeight="1">
      <c r="A3901" s="85">
        <v>174904221976312</v>
      </c>
      <c r="B3901" s="82" t="s">
        <v>10651</v>
      </c>
      <c r="C3901" s="82" t="s">
        <v>11740</v>
      </c>
      <c r="D3901" s="82" t="s">
        <v>3562</v>
      </c>
      <c r="E3901" s="82">
        <v>6281558225822</v>
      </c>
      <c r="F3901" s="92">
        <v>45884</v>
      </c>
      <c r="G3901" s="87">
        <v>114</v>
      </c>
      <c r="H3901" s="88">
        <v>109275</v>
      </c>
      <c r="I3901" s="89">
        <v>4</v>
      </c>
      <c r="J3901" s="90">
        <v>13113</v>
      </c>
      <c r="K3901" s="85">
        <v>0</v>
      </c>
      <c r="L3901" s="85">
        <v>0</v>
      </c>
      <c r="M3901" s="85">
        <v>0</v>
      </c>
      <c r="N3901" s="82" t="s">
        <v>11741</v>
      </c>
      <c r="O3901" s="93">
        <v>45885.443703703706</v>
      </c>
    </row>
    <row r="3902" spans="1:15" ht="22.5" customHeight="1">
      <c r="A3902" s="85">
        <v>174904221976312</v>
      </c>
      <c r="B3902" s="82" t="s">
        <v>10651</v>
      </c>
      <c r="C3902" s="82" t="s">
        <v>11755</v>
      </c>
      <c r="D3902" s="82" t="s">
        <v>11756</v>
      </c>
      <c r="E3902" s="82">
        <v>6281357754513</v>
      </c>
      <c r="F3902" s="92">
        <v>45884</v>
      </c>
      <c r="G3902" s="87">
        <v>439</v>
      </c>
      <c r="H3902" s="88">
        <v>28716.632443531827</v>
      </c>
      <c r="I3902" s="89">
        <v>6</v>
      </c>
      <c r="J3902" s="90">
        <v>13985</v>
      </c>
      <c r="K3902" s="85">
        <v>2</v>
      </c>
      <c r="L3902" s="85">
        <v>0</v>
      </c>
      <c r="M3902" s="85">
        <v>0</v>
      </c>
      <c r="N3902" s="82" t="s">
        <v>11757</v>
      </c>
      <c r="O3902" s="93">
        <v>45885.444016203706</v>
      </c>
    </row>
    <row r="3903" spans="1:15" ht="22.5" customHeight="1">
      <c r="A3903" s="85">
        <v>174904221976312</v>
      </c>
      <c r="B3903" s="82" t="s">
        <v>10651</v>
      </c>
      <c r="C3903" s="82" t="s">
        <v>11761</v>
      </c>
      <c r="D3903" s="82" t="s">
        <v>3438</v>
      </c>
      <c r="E3903" s="82">
        <v>628154336558</v>
      </c>
      <c r="F3903" s="92">
        <v>45884</v>
      </c>
      <c r="G3903" s="87">
        <v>2107</v>
      </c>
      <c r="H3903" s="88">
        <v>5543.5647943387885</v>
      </c>
      <c r="I3903" s="89">
        <v>81</v>
      </c>
      <c r="J3903" s="90">
        <v>12534</v>
      </c>
      <c r="K3903" s="85">
        <v>3</v>
      </c>
      <c r="L3903" s="85">
        <v>832</v>
      </c>
      <c r="M3903" s="85">
        <v>0</v>
      </c>
      <c r="N3903" s="82" t="s">
        <v>11762</v>
      </c>
      <c r="O3903" s="93">
        <v>45885.464421296296</v>
      </c>
    </row>
    <row r="3904" spans="1:15" ht="22.5" customHeight="1">
      <c r="A3904" s="85">
        <v>174904221976312</v>
      </c>
      <c r="B3904" s="82" t="s">
        <v>10651</v>
      </c>
      <c r="C3904" s="82" t="s">
        <v>11763</v>
      </c>
      <c r="D3904" s="82" t="s">
        <v>11764</v>
      </c>
      <c r="E3904" s="82">
        <v>6282384544939</v>
      </c>
      <c r="F3904" s="92">
        <v>45884</v>
      </c>
      <c r="G3904" s="87">
        <v>555</v>
      </c>
      <c r="H3904" s="88">
        <v>20873.343151693669</v>
      </c>
      <c r="I3904" s="89">
        <v>8</v>
      </c>
      <c r="J3904" s="90">
        <v>14173</v>
      </c>
      <c r="K3904" s="85">
        <v>2</v>
      </c>
      <c r="L3904" s="85">
        <v>0</v>
      </c>
      <c r="M3904" s="85">
        <v>0</v>
      </c>
      <c r="N3904" s="82" t="s">
        <v>11765</v>
      </c>
      <c r="O3904" s="93">
        <v>45885.464421296296</v>
      </c>
    </row>
    <row r="3905" spans="1:15" ht="22.5" customHeight="1">
      <c r="A3905" s="85">
        <v>174904221976312</v>
      </c>
      <c r="B3905" s="82" t="s">
        <v>10651</v>
      </c>
      <c r="C3905" s="82" t="s">
        <v>11708</v>
      </c>
      <c r="D3905" s="82" t="s">
        <v>11709</v>
      </c>
      <c r="E3905" s="82">
        <v>6285294617773</v>
      </c>
      <c r="F3905" s="92">
        <v>45884</v>
      </c>
      <c r="G3905" s="87">
        <v>203</v>
      </c>
      <c r="H3905" s="88">
        <v>62688.311688311689</v>
      </c>
      <c r="I3905" s="89">
        <v>37</v>
      </c>
      <c r="J3905" s="90">
        <v>14481</v>
      </c>
      <c r="K3905" s="85">
        <v>8</v>
      </c>
      <c r="L3905" s="85">
        <v>89</v>
      </c>
      <c r="M3905" s="85">
        <v>0</v>
      </c>
      <c r="N3905" s="82" t="s">
        <v>11710</v>
      </c>
      <c r="O3905" s="93">
        <v>45885.589386574073</v>
      </c>
    </row>
    <row r="3906" spans="1:15" ht="22.5" customHeight="1">
      <c r="A3906" s="85">
        <v>174904221976312</v>
      </c>
      <c r="B3906" s="82" t="s">
        <v>10651</v>
      </c>
      <c r="C3906" s="82" t="s">
        <v>11663</v>
      </c>
      <c r="D3906" s="82" t="s">
        <v>11664</v>
      </c>
      <c r="E3906" s="82">
        <v>628123264621</v>
      </c>
      <c r="F3906" s="92">
        <v>45884</v>
      </c>
      <c r="G3906" s="87">
        <v>762</v>
      </c>
      <c r="H3906" s="88">
        <v>16412.300683371301</v>
      </c>
      <c r="I3906" s="89">
        <v>31</v>
      </c>
      <c r="J3906" s="90">
        <v>14410</v>
      </c>
      <c r="K3906" s="85">
        <v>3</v>
      </c>
      <c r="L3906" s="85">
        <v>0</v>
      </c>
      <c r="M3906" s="85">
        <v>0</v>
      </c>
      <c r="N3906" s="82" t="s">
        <v>11665</v>
      </c>
      <c r="O3906" s="93">
        <v>45885.505891203706</v>
      </c>
    </row>
    <row r="3907" spans="1:15" ht="22.5" customHeight="1">
      <c r="A3907" s="85">
        <v>174904221976312</v>
      </c>
      <c r="B3907" s="82" t="s">
        <v>10651</v>
      </c>
      <c r="C3907" s="82" t="s">
        <v>11643</v>
      </c>
      <c r="D3907" s="82" t="s">
        <v>11644</v>
      </c>
      <c r="E3907" s="82">
        <v>6281330410391</v>
      </c>
      <c r="F3907" s="92">
        <v>45884</v>
      </c>
      <c r="G3907" s="87">
        <v>1434</v>
      </c>
      <c r="H3907" s="88">
        <v>19736.031927023945</v>
      </c>
      <c r="I3907" s="89">
        <v>64</v>
      </c>
      <c r="J3907" s="90">
        <v>34617</v>
      </c>
      <c r="K3907" s="85">
        <v>11</v>
      </c>
      <c r="L3907" s="85">
        <v>245</v>
      </c>
      <c r="M3907" s="85">
        <v>0</v>
      </c>
      <c r="N3907" s="82" t="s">
        <v>11681</v>
      </c>
      <c r="O3907" s="93">
        <v>45884.259074074071</v>
      </c>
    </row>
    <row r="3908" spans="1:15" ht="22.5" customHeight="1">
      <c r="A3908" s="85">
        <v>174904221976312</v>
      </c>
      <c r="B3908" s="82" t="s">
        <v>10651</v>
      </c>
      <c r="C3908" s="82" t="s">
        <v>11578</v>
      </c>
      <c r="D3908" s="82" t="s">
        <v>1624</v>
      </c>
      <c r="E3908" s="82">
        <v>6281938384000</v>
      </c>
      <c r="F3908" s="92">
        <v>45884</v>
      </c>
      <c r="G3908" s="87">
        <v>1337</v>
      </c>
      <c r="H3908" s="88">
        <v>8110.8108108108108</v>
      </c>
      <c r="I3908" s="89">
        <v>23</v>
      </c>
      <c r="J3908" s="90">
        <v>12004</v>
      </c>
      <c r="K3908" s="85">
        <v>1</v>
      </c>
      <c r="L3908" s="85">
        <v>1</v>
      </c>
      <c r="M3908" s="85">
        <v>0</v>
      </c>
      <c r="N3908" s="82" t="s">
        <v>11579</v>
      </c>
      <c r="O3908" s="93">
        <v>45885.422812500001</v>
      </c>
    </row>
    <row r="3909" spans="1:15" ht="22.5" customHeight="1">
      <c r="A3909" s="85">
        <v>174904221976312</v>
      </c>
      <c r="B3909" s="82" t="s">
        <v>10651</v>
      </c>
      <c r="C3909" s="82" t="s">
        <v>11545</v>
      </c>
      <c r="D3909" s="82" t="s">
        <v>3140</v>
      </c>
      <c r="E3909" s="82"/>
      <c r="F3909" s="92">
        <v>45884</v>
      </c>
      <c r="G3909" s="87">
        <v>5903</v>
      </c>
      <c r="H3909" s="88">
        <v>1847.8661562455691</v>
      </c>
      <c r="I3909" s="89">
        <v>94</v>
      </c>
      <c r="J3909" s="90">
        <v>13033</v>
      </c>
      <c r="K3909" s="85">
        <v>3</v>
      </c>
      <c r="L3909" s="85">
        <v>0</v>
      </c>
      <c r="M3909" s="85">
        <v>0</v>
      </c>
      <c r="N3909" s="82" t="s">
        <v>10779</v>
      </c>
      <c r="O3909" s="93">
        <v>45885.485289351855</v>
      </c>
    </row>
    <row r="3910" spans="1:15" ht="22.5" customHeight="1">
      <c r="A3910" s="85">
        <v>174904221976312</v>
      </c>
      <c r="B3910" s="82" t="s">
        <v>10651</v>
      </c>
      <c r="C3910" s="82" t="s">
        <v>11494</v>
      </c>
      <c r="D3910" s="82" t="s">
        <v>11495</v>
      </c>
      <c r="E3910" s="82">
        <v>6285645050058</v>
      </c>
      <c r="F3910" s="92">
        <v>45884</v>
      </c>
      <c r="G3910" s="87">
        <v>792</v>
      </c>
      <c r="H3910" s="88">
        <v>12521.478521478521</v>
      </c>
      <c r="I3910" s="89">
        <v>29</v>
      </c>
      <c r="J3910" s="90">
        <v>12534</v>
      </c>
      <c r="K3910" s="85">
        <v>1</v>
      </c>
      <c r="L3910" s="85">
        <v>128</v>
      </c>
      <c r="M3910" s="85">
        <v>0</v>
      </c>
      <c r="N3910" s="82" t="s">
        <v>11496</v>
      </c>
      <c r="O3910" s="93">
        <v>45885.505868055552</v>
      </c>
    </row>
    <row r="3911" spans="1:15" ht="22.5" customHeight="1">
      <c r="A3911" s="85">
        <v>174904221976312</v>
      </c>
      <c r="B3911" s="82" t="s">
        <v>10651</v>
      </c>
      <c r="C3911" s="82" t="s">
        <v>11464</v>
      </c>
      <c r="D3911" s="82" t="s">
        <v>11465</v>
      </c>
      <c r="E3911" s="82">
        <v>62816904358</v>
      </c>
      <c r="F3911" s="92">
        <v>45884</v>
      </c>
      <c r="G3911" s="87">
        <v>253</v>
      </c>
      <c r="H3911" s="88">
        <v>46205.387205387204</v>
      </c>
      <c r="I3911" s="89">
        <v>9</v>
      </c>
      <c r="J3911" s="90">
        <v>13723</v>
      </c>
      <c r="K3911" s="85">
        <v>0</v>
      </c>
      <c r="L3911" s="85">
        <v>120</v>
      </c>
      <c r="M3911" s="85">
        <v>0</v>
      </c>
      <c r="N3911" s="82" t="s">
        <v>11466</v>
      </c>
      <c r="O3911" s="93">
        <v>45885.464432870373</v>
      </c>
    </row>
    <row r="3912" spans="1:15" ht="22.5" customHeight="1">
      <c r="A3912" s="85">
        <v>174904221976312</v>
      </c>
      <c r="B3912" s="82" t="s">
        <v>10651</v>
      </c>
      <c r="C3912" s="82" t="s">
        <v>11396</v>
      </c>
      <c r="D3912" s="82" t="s">
        <v>11397</v>
      </c>
      <c r="E3912" s="82">
        <v>6285789446955</v>
      </c>
      <c r="F3912" s="92">
        <v>45884</v>
      </c>
      <c r="G3912" s="87">
        <v>707</v>
      </c>
      <c r="H3912" s="88">
        <v>18177.592371871273</v>
      </c>
      <c r="I3912" s="89">
        <v>13</v>
      </c>
      <c r="J3912" s="90">
        <v>15251</v>
      </c>
      <c r="K3912" s="85">
        <v>0</v>
      </c>
      <c r="L3912" s="85">
        <v>0</v>
      </c>
      <c r="M3912" s="85">
        <v>0</v>
      </c>
      <c r="N3912" s="82" t="s">
        <v>11398</v>
      </c>
      <c r="O3912" s="93">
        <v>45885.422453703701</v>
      </c>
    </row>
    <row r="3913" spans="1:15" ht="22.5" customHeight="1">
      <c r="A3913" s="85">
        <v>174904221976312</v>
      </c>
      <c r="B3913" s="82" t="s">
        <v>10651</v>
      </c>
      <c r="C3913" s="82" t="s">
        <v>11193</v>
      </c>
      <c r="D3913" s="82" t="s">
        <v>11194</v>
      </c>
      <c r="E3913" s="82">
        <v>6281779578317</v>
      </c>
      <c r="F3913" s="92">
        <v>45884</v>
      </c>
      <c r="G3913" s="87">
        <v>861</v>
      </c>
      <c r="H3913" s="88">
        <v>13383.838383838383</v>
      </c>
      <c r="I3913" s="89">
        <v>40</v>
      </c>
      <c r="J3913" s="90">
        <v>13250</v>
      </c>
      <c r="K3913" s="85">
        <v>2</v>
      </c>
      <c r="L3913" s="85">
        <v>212</v>
      </c>
      <c r="M3913" s="85">
        <v>0</v>
      </c>
      <c r="N3913" s="82" t="s">
        <v>11195</v>
      </c>
      <c r="O3913" s="93">
        <v>45885.505879629629</v>
      </c>
    </row>
    <row r="3914" spans="1:15" ht="22.5" customHeight="1">
      <c r="A3914" s="85">
        <v>174904221976312</v>
      </c>
      <c r="B3914" s="82" t="s">
        <v>10651</v>
      </c>
      <c r="C3914" s="82" t="s">
        <v>10943</v>
      </c>
      <c r="D3914" s="82" t="s">
        <v>10944</v>
      </c>
      <c r="E3914" s="82">
        <v>6285240694097</v>
      </c>
      <c r="F3914" s="92">
        <v>45884</v>
      </c>
      <c r="G3914" s="87">
        <v>1580</v>
      </c>
      <c r="H3914" s="88">
        <v>8213.0566801619425</v>
      </c>
      <c r="I3914" s="89">
        <v>36</v>
      </c>
      <c r="J3914" s="90">
        <v>16229</v>
      </c>
      <c r="K3914" s="85">
        <v>3</v>
      </c>
      <c r="L3914" s="85">
        <v>204</v>
      </c>
      <c r="M3914" s="85">
        <v>0</v>
      </c>
      <c r="N3914" s="82" t="s">
        <v>11910</v>
      </c>
      <c r="O3914" s="93">
        <v>45885.464421296296</v>
      </c>
    </row>
    <row r="3915" spans="1:15" ht="22.5" customHeight="1">
      <c r="A3915" s="85">
        <v>174904221976312</v>
      </c>
      <c r="B3915" s="82" t="s">
        <v>10651</v>
      </c>
      <c r="C3915" s="82" t="s">
        <v>10853</v>
      </c>
      <c r="D3915" s="82" t="s">
        <v>10854</v>
      </c>
      <c r="E3915" s="82">
        <v>6281393958199</v>
      </c>
      <c r="F3915" s="92">
        <v>45884</v>
      </c>
      <c r="G3915" s="87">
        <v>581</v>
      </c>
      <c r="H3915" s="88">
        <v>22051.908396946565</v>
      </c>
      <c r="I3915" s="89">
        <v>22</v>
      </c>
      <c r="J3915" s="90">
        <v>14444</v>
      </c>
      <c r="K3915" s="85">
        <v>3</v>
      </c>
      <c r="L3915" s="85">
        <v>172</v>
      </c>
      <c r="M3915" s="85">
        <v>0</v>
      </c>
      <c r="N3915" s="82" t="s">
        <v>10855</v>
      </c>
      <c r="O3915" s="93">
        <v>45885.485601851855</v>
      </c>
    </row>
    <row r="3916" spans="1:15" ht="22.5" customHeight="1">
      <c r="A3916" s="85">
        <v>174904221976312</v>
      </c>
      <c r="B3916" s="82" t="s">
        <v>10651</v>
      </c>
      <c r="C3916" s="82" t="s">
        <v>10673</v>
      </c>
      <c r="D3916" s="82" t="s">
        <v>10674</v>
      </c>
      <c r="E3916" s="82">
        <v>6282183184641</v>
      </c>
      <c r="F3916" s="92">
        <v>45884</v>
      </c>
      <c r="G3916" s="87">
        <v>342</v>
      </c>
      <c r="H3916" s="88">
        <v>32994.949494949498</v>
      </c>
      <c r="I3916" s="89">
        <v>11</v>
      </c>
      <c r="J3916" s="90">
        <v>13066</v>
      </c>
      <c r="K3916" s="85">
        <v>1</v>
      </c>
      <c r="L3916" s="85">
        <v>93</v>
      </c>
      <c r="M3916" s="85">
        <v>0</v>
      </c>
      <c r="N3916" s="82" t="s">
        <v>10675</v>
      </c>
      <c r="O3916" s="93">
        <v>45885.464432870373</v>
      </c>
    </row>
    <row r="3917" spans="1:15" ht="22.5" customHeight="1">
      <c r="A3917" s="85">
        <v>174904221976312</v>
      </c>
      <c r="B3917" s="82" t="s">
        <v>10651</v>
      </c>
      <c r="C3917" s="82" t="s">
        <v>10655</v>
      </c>
      <c r="D3917" s="82" t="s">
        <v>3908</v>
      </c>
      <c r="E3917" s="82">
        <v>6285376667233</v>
      </c>
      <c r="F3917" s="92">
        <v>45884</v>
      </c>
      <c r="G3917" s="87">
        <v>764</v>
      </c>
      <c r="H3917" s="88">
        <v>15076.073619631903</v>
      </c>
      <c r="I3917" s="89">
        <v>13</v>
      </c>
      <c r="J3917" s="90">
        <v>12287</v>
      </c>
      <c r="K3917" s="85">
        <v>1</v>
      </c>
      <c r="L3917" s="85">
        <v>244</v>
      </c>
      <c r="M3917" s="85">
        <v>0</v>
      </c>
      <c r="N3917" s="82" t="s">
        <v>10656</v>
      </c>
      <c r="O3917" s="93">
        <v>45885.464699074073</v>
      </c>
    </row>
    <row r="3918" spans="1:15" ht="22.5" customHeight="1">
      <c r="A3918" s="85">
        <v>174904221976312</v>
      </c>
      <c r="B3918" s="82" t="s">
        <v>10651</v>
      </c>
      <c r="C3918" s="82" t="s">
        <v>10657</v>
      </c>
      <c r="D3918" s="82" t="s">
        <v>1239</v>
      </c>
      <c r="E3918" s="82">
        <v>6282172291579</v>
      </c>
      <c r="F3918" s="92">
        <v>45884</v>
      </c>
      <c r="G3918" s="87">
        <v>483</v>
      </c>
      <c r="H3918" s="88">
        <v>26906.854130052725</v>
      </c>
      <c r="I3918" s="89">
        <v>22</v>
      </c>
      <c r="J3918" s="90">
        <v>15310</v>
      </c>
      <c r="K3918" s="85">
        <v>2</v>
      </c>
      <c r="L3918" s="85">
        <v>224</v>
      </c>
      <c r="M3918" s="85">
        <v>0</v>
      </c>
      <c r="N3918" s="82" t="s">
        <v>10658</v>
      </c>
      <c r="O3918" s="93">
        <v>45885.215451388889</v>
      </c>
    </row>
    <row r="3919" spans="1:15" ht="22.5" customHeight="1">
      <c r="A3919" s="85">
        <v>174904221976312</v>
      </c>
      <c r="B3919" s="82" t="s">
        <v>10651</v>
      </c>
      <c r="C3919" s="82" t="s">
        <v>10662</v>
      </c>
      <c r="D3919" s="82" t="s">
        <v>10663</v>
      </c>
      <c r="E3919" s="82">
        <v>62882001677470</v>
      </c>
      <c r="F3919" s="92">
        <v>45884</v>
      </c>
      <c r="G3919" s="87">
        <v>857</v>
      </c>
      <c r="H3919" s="88">
        <v>13219.836400817996</v>
      </c>
      <c r="I3919" s="89">
        <v>27</v>
      </c>
      <c r="J3919" s="90">
        <v>12929</v>
      </c>
      <c r="K3919" s="85">
        <v>3</v>
      </c>
      <c r="L3919" s="85">
        <v>331</v>
      </c>
      <c r="M3919" s="85">
        <v>0</v>
      </c>
      <c r="N3919" s="82" t="s">
        <v>10664</v>
      </c>
      <c r="O3919" s="93">
        <v>45885.443703703706</v>
      </c>
    </row>
    <row r="3920" spans="1:15" ht="22.5" customHeight="1">
      <c r="A3920" s="85">
        <v>174904221976312</v>
      </c>
      <c r="B3920" s="82" t="s">
        <v>10651</v>
      </c>
      <c r="C3920" s="82" t="s">
        <v>10731</v>
      </c>
      <c r="D3920" s="82" t="s">
        <v>10732</v>
      </c>
      <c r="E3920" s="82">
        <v>6281241440688</v>
      </c>
      <c r="F3920" s="92">
        <v>45884</v>
      </c>
      <c r="G3920" s="87">
        <v>1977</v>
      </c>
      <c r="H3920" s="88">
        <v>5973.2924693520135</v>
      </c>
      <c r="I3920" s="89">
        <v>33</v>
      </c>
      <c r="J3920" s="90">
        <v>13643</v>
      </c>
      <c r="K3920" s="85">
        <v>0</v>
      </c>
      <c r="L3920" s="85">
        <v>700</v>
      </c>
      <c r="M3920" s="85">
        <v>0</v>
      </c>
      <c r="N3920" s="82" t="s">
        <v>10733</v>
      </c>
      <c r="O3920" s="93">
        <v>45885.215451388889</v>
      </c>
    </row>
    <row r="3921" spans="1:15" ht="22.5" customHeight="1">
      <c r="A3921" s="85">
        <v>174904221976312</v>
      </c>
      <c r="B3921" s="82" t="s">
        <v>10651</v>
      </c>
      <c r="C3921" s="82" t="s">
        <v>10833</v>
      </c>
      <c r="D3921" s="82" t="s">
        <v>10834</v>
      </c>
      <c r="E3921" s="82">
        <v>6282242925264</v>
      </c>
      <c r="F3921" s="92">
        <v>45884</v>
      </c>
      <c r="G3921" s="87">
        <v>1825</v>
      </c>
      <c r="H3921" s="88">
        <v>7394.6124763705102</v>
      </c>
      <c r="I3921" s="89">
        <v>84</v>
      </c>
      <c r="J3921" s="90">
        <v>15647</v>
      </c>
      <c r="K3921" s="85">
        <v>4</v>
      </c>
      <c r="L3921" s="85">
        <v>574</v>
      </c>
      <c r="M3921" s="85">
        <v>1</v>
      </c>
      <c r="N3921" s="82" t="s">
        <v>10835</v>
      </c>
      <c r="O3921" s="93">
        <v>45885.505868055552</v>
      </c>
    </row>
    <row r="3922" spans="1:15" ht="22.5" customHeight="1">
      <c r="A3922" s="85">
        <v>766589657993298</v>
      </c>
      <c r="B3922" s="82" t="s">
        <v>10688</v>
      </c>
      <c r="C3922" s="82" t="s">
        <v>11927</v>
      </c>
      <c r="D3922" s="82" t="s">
        <v>11928</v>
      </c>
      <c r="E3922" s="82">
        <v>6285217189178</v>
      </c>
      <c r="F3922" s="92">
        <v>45884</v>
      </c>
      <c r="G3922" s="87">
        <v>369</v>
      </c>
      <c r="H3922" s="88">
        <v>35078.947368421053</v>
      </c>
      <c r="I3922" s="89">
        <v>8</v>
      </c>
      <c r="J3922" s="90">
        <v>14663</v>
      </c>
      <c r="K3922" s="85">
        <v>0</v>
      </c>
      <c r="L3922" s="85">
        <v>135</v>
      </c>
      <c r="M3922" s="85">
        <v>0</v>
      </c>
      <c r="N3922" s="82" t="s">
        <v>11929</v>
      </c>
      <c r="O3922" s="93">
        <v>45885.737743055557</v>
      </c>
    </row>
    <row r="3923" spans="1:15" ht="22.5" customHeight="1">
      <c r="A3923" s="85">
        <v>766589657993298</v>
      </c>
      <c r="B3923" s="82" t="s">
        <v>10688</v>
      </c>
      <c r="C3923" s="82" t="s">
        <v>11930</v>
      </c>
      <c r="D3923" s="82" t="s">
        <v>3999</v>
      </c>
      <c r="E3923" s="82">
        <v>6281215552664</v>
      </c>
      <c r="F3923" s="92">
        <v>45884</v>
      </c>
      <c r="G3923" s="87">
        <v>354</v>
      </c>
      <c r="H3923" s="88">
        <v>32745.412844036699</v>
      </c>
      <c r="I3923" s="89">
        <v>18</v>
      </c>
      <c r="J3923" s="90">
        <v>14277</v>
      </c>
      <c r="K3923" s="85">
        <v>2</v>
      </c>
      <c r="L3923" s="85">
        <v>57</v>
      </c>
      <c r="M3923" s="85">
        <v>0</v>
      </c>
      <c r="N3923" s="82" t="s">
        <v>11931</v>
      </c>
      <c r="O3923" s="93">
        <v>45885.758668981478</v>
      </c>
    </row>
    <row r="3924" spans="1:15" ht="22.5" customHeight="1">
      <c r="A3924" s="85">
        <v>766589657993298</v>
      </c>
      <c r="B3924" s="82" t="s">
        <v>10688</v>
      </c>
      <c r="C3924" s="82" t="s">
        <v>11932</v>
      </c>
      <c r="D3924" s="82" t="s">
        <v>11933</v>
      </c>
      <c r="E3924" s="82">
        <v>6283117425214</v>
      </c>
      <c r="F3924" s="92">
        <v>45884</v>
      </c>
      <c r="G3924" s="87">
        <v>921</v>
      </c>
      <c r="H3924" s="88">
        <v>12895.777178796046</v>
      </c>
      <c r="I3924" s="89">
        <v>23</v>
      </c>
      <c r="J3924" s="90">
        <v>14353</v>
      </c>
      <c r="K3924" s="85">
        <v>1</v>
      </c>
      <c r="L3924" s="85">
        <v>60</v>
      </c>
      <c r="M3924" s="85">
        <v>0</v>
      </c>
      <c r="N3924" s="82" t="s">
        <v>11934</v>
      </c>
      <c r="O3924" s="93">
        <v>45885.73773148148</v>
      </c>
    </row>
    <row r="3925" spans="1:15" ht="22.5" customHeight="1">
      <c r="A3925" s="85">
        <v>766589657993298</v>
      </c>
      <c r="B3925" s="82" t="s">
        <v>10688</v>
      </c>
      <c r="C3925" s="82" t="s">
        <v>11935</v>
      </c>
      <c r="D3925" s="82" t="s">
        <v>11693</v>
      </c>
      <c r="E3925" s="82">
        <v>62895635983361</v>
      </c>
      <c r="F3925" s="92">
        <v>45884</v>
      </c>
      <c r="G3925" s="87">
        <v>315</v>
      </c>
      <c r="H3925" s="88">
        <v>35104.513064133018</v>
      </c>
      <c r="I3925" s="89">
        <v>7</v>
      </c>
      <c r="J3925" s="90">
        <v>14779</v>
      </c>
      <c r="K3925" s="85">
        <v>0</v>
      </c>
      <c r="L3925" s="85">
        <v>4</v>
      </c>
      <c r="M3925" s="85">
        <v>0</v>
      </c>
      <c r="N3925" s="82" t="s">
        <v>11936</v>
      </c>
      <c r="O3925" s="93">
        <v>45885.217557870368</v>
      </c>
    </row>
    <row r="3926" spans="1:15" ht="22.5" customHeight="1">
      <c r="A3926" s="85">
        <v>766589657993298</v>
      </c>
      <c r="B3926" s="82" t="s">
        <v>10688</v>
      </c>
      <c r="C3926" s="82" t="s">
        <v>11937</v>
      </c>
      <c r="D3926" s="82" t="s">
        <v>11938</v>
      </c>
      <c r="E3926" s="82">
        <v>6281342202869</v>
      </c>
      <c r="F3926" s="92">
        <v>45884</v>
      </c>
      <c r="G3926" s="87">
        <v>1162</v>
      </c>
      <c r="H3926" s="88">
        <v>9266.7095115681241</v>
      </c>
      <c r="I3926" s="89">
        <v>22</v>
      </c>
      <c r="J3926" s="90">
        <v>14419</v>
      </c>
      <c r="K3926" s="85">
        <v>0</v>
      </c>
      <c r="L3926" s="85">
        <v>232</v>
      </c>
      <c r="M3926" s="85">
        <v>0</v>
      </c>
      <c r="N3926" s="82" t="s">
        <v>11939</v>
      </c>
      <c r="O3926" s="93">
        <v>45885.654178240744</v>
      </c>
    </row>
    <row r="3927" spans="1:15" ht="22.5" customHeight="1">
      <c r="A3927" s="85">
        <v>766589657993298</v>
      </c>
      <c r="B3927" s="82" t="s">
        <v>10688</v>
      </c>
      <c r="C3927" s="82" t="s">
        <v>11940</v>
      </c>
      <c r="D3927" s="82" t="s">
        <v>11941</v>
      </c>
      <c r="E3927" s="82">
        <v>6282328059129</v>
      </c>
      <c r="F3927" s="92">
        <v>45884</v>
      </c>
      <c r="G3927" s="87">
        <v>546</v>
      </c>
      <c r="H3927" s="88">
        <v>23221.682847896438</v>
      </c>
      <c r="I3927" s="89">
        <v>18</v>
      </c>
      <c r="J3927" s="90">
        <v>14351</v>
      </c>
      <c r="K3927" s="85">
        <v>4</v>
      </c>
      <c r="L3927" s="85">
        <v>189</v>
      </c>
      <c r="M3927" s="85">
        <v>1</v>
      </c>
      <c r="N3927" s="82" t="s">
        <v>11942</v>
      </c>
      <c r="O3927" s="93">
        <v>45885.571076388886</v>
      </c>
    </row>
    <row r="3928" spans="1:15" ht="22.5" customHeight="1">
      <c r="A3928" s="85">
        <v>766589657993298</v>
      </c>
      <c r="B3928" s="82" t="s">
        <v>10688</v>
      </c>
      <c r="C3928" s="82" t="s">
        <v>11943</v>
      </c>
      <c r="D3928" s="82" t="s">
        <v>11944</v>
      </c>
      <c r="E3928" s="82">
        <v>6285925102815</v>
      </c>
      <c r="F3928" s="92">
        <v>45884</v>
      </c>
      <c r="G3928" s="87">
        <v>363</v>
      </c>
      <c r="H3928" s="88">
        <v>37531.328320802</v>
      </c>
      <c r="I3928" s="89">
        <v>10</v>
      </c>
      <c r="J3928" s="90">
        <v>14975</v>
      </c>
      <c r="K3928" s="85">
        <v>1</v>
      </c>
      <c r="L3928" s="85">
        <v>0</v>
      </c>
      <c r="M3928" s="85">
        <v>1</v>
      </c>
      <c r="N3928" s="82" t="s">
        <v>11945</v>
      </c>
      <c r="O3928" s="93">
        <v>45885.737743055557</v>
      </c>
    </row>
    <row r="3929" spans="1:15" ht="22.5" customHeight="1">
      <c r="A3929" s="85">
        <v>766589657993298</v>
      </c>
      <c r="B3929" s="82" t="s">
        <v>10688</v>
      </c>
      <c r="C3929" s="82" t="s">
        <v>11946</v>
      </c>
      <c r="D3929" s="82" t="s">
        <v>11947</v>
      </c>
      <c r="E3929" s="82">
        <v>6285268858846</v>
      </c>
      <c r="F3929" s="92">
        <v>45884</v>
      </c>
      <c r="G3929" s="87">
        <v>726</v>
      </c>
      <c r="H3929" s="88">
        <v>17528.935185185186</v>
      </c>
      <c r="I3929" s="89">
        <v>9</v>
      </c>
      <c r="J3929" s="90">
        <v>15145</v>
      </c>
      <c r="K3929" s="85">
        <v>0</v>
      </c>
      <c r="L3929" s="85">
        <v>96</v>
      </c>
      <c r="M3929" s="85">
        <v>0</v>
      </c>
      <c r="N3929" s="82" t="s">
        <v>11948</v>
      </c>
      <c r="O3929" s="93">
        <v>45885.612430555557</v>
      </c>
    </row>
    <row r="3930" spans="1:15" ht="22.5" customHeight="1">
      <c r="A3930" s="85">
        <v>766589657993298</v>
      </c>
      <c r="B3930" s="82" t="s">
        <v>10688</v>
      </c>
      <c r="C3930" s="82" t="s">
        <v>11949</v>
      </c>
      <c r="D3930" s="82" t="s">
        <v>11950</v>
      </c>
      <c r="E3930" s="82">
        <v>628997485901</v>
      </c>
      <c r="F3930" s="92">
        <v>45884</v>
      </c>
      <c r="G3930" s="87">
        <v>767</v>
      </c>
      <c r="H3930" s="88">
        <v>17101.465614430665</v>
      </c>
      <c r="I3930" s="89">
        <v>14</v>
      </c>
      <c r="J3930" s="90">
        <v>15169</v>
      </c>
      <c r="K3930" s="85">
        <v>1</v>
      </c>
      <c r="L3930" s="85">
        <v>202</v>
      </c>
      <c r="M3930" s="85">
        <v>0</v>
      </c>
      <c r="N3930" s="82" t="s">
        <v>11951</v>
      </c>
      <c r="O3930" s="93">
        <v>45885.654189814813</v>
      </c>
    </row>
    <row r="3931" spans="1:15" ht="22.5" customHeight="1">
      <c r="A3931" s="85">
        <v>766589657993298</v>
      </c>
      <c r="B3931" s="82" t="s">
        <v>10688</v>
      </c>
      <c r="C3931" s="82" t="s">
        <v>11952</v>
      </c>
      <c r="D3931" s="82" t="s">
        <v>3917</v>
      </c>
      <c r="E3931" s="82">
        <v>6281231728008</v>
      </c>
      <c r="F3931" s="92">
        <v>45884</v>
      </c>
      <c r="G3931" s="87">
        <v>794</v>
      </c>
      <c r="H3931" s="88">
        <v>17524.027459954232</v>
      </c>
      <c r="I3931" s="89">
        <v>20</v>
      </c>
      <c r="J3931" s="90">
        <v>15316</v>
      </c>
      <c r="K3931" s="85">
        <v>2</v>
      </c>
      <c r="L3931" s="85">
        <v>95</v>
      </c>
      <c r="M3931" s="85">
        <v>0</v>
      </c>
      <c r="N3931" s="82" t="s">
        <v>11953</v>
      </c>
      <c r="O3931" s="93">
        <v>45885.633252314816</v>
      </c>
    </row>
    <row r="3932" spans="1:15" ht="22.5" customHeight="1">
      <c r="A3932" s="85">
        <v>766589657993298</v>
      </c>
      <c r="B3932" s="82" t="s">
        <v>10688</v>
      </c>
      <c r="C3932" s="82" t="s">
        <v>11954</v>
      </c>
      <c r="D3932" s="82" t="s">
        <v>3956</v>
      </c>
      <c r="E3932" s="82">
        <v>628156516849</v>
      </c>
      <c r="F3932" s="92">
        <v>45884</v>
      </c>
      <c r="G3932" s="87">
        <v>526</v>
      </c>
      <c r="H3932" s="88">
        <v>25944.347826086956</v>
      </c>
      <c r="I3932" s="89">
        <v>24</v>
      </c>
      <c r="J3932" s="90">
        <v>14918</v>
      </c>
      <c r="K3932" s="85">
        <v>6</v>
      </c>
      <c r="L3932" s="85">
        <v>143</v>
      </c>
      <c r="M3932" s="85">
        <v>0</v>
      </c>
      <c r="N3932" s="82" t="s">
        <v>11955</v>
      </c>
      <c r="O3932" s="93">
        <v>45885.529652777775</v>
      </c>
    </row>
    <row r="3933" spans="1:15" ht="22.5" customHeight="1">
      <c r="A3933" s="85">
        <v>766589657993298</v>
      </c>
      <c r="B3933" s="82" t="s">
        <v>10688</v>
      </c>
      <c r="C3933" s="82" t="s">
        <v>11956</v>
      </c>
      <c r="D3933" s="82" t="s">
        <v>11957</v>
      </c>
      <c r="E3933" s="82">
        <v>6281243260218</v>
      </c>
      <c r="F3933" s="92">
        <v>45884</v>
      </c>
      <c r="G3933" s="87">
        <v>1571</v>
      </c>
      <c r="H3933" s="88">
        <v>7916.2487462387162</v>
      </c>
      <c r="I3933" s="89">
        <v>52</v>
      </c>
      <c r="J3933" s="90">
        <v>15785</v>
      </c>
      <c r="K3933" s="85">
        <v>3</v>
      </c>
      <c r="L3933" s="85">
        <v>698</v>
      </c>
      <c r="M3933" s="85">
        <v>0</v>
      </c>
      <c r="N3933" s="82" t="s">
        <v>11958</v>
      </c>
      <c r="O3933" s="93">
        <v>45885.508217592593</v>
      </c>
    </row>
    <row r="3934" spans="1:15" ht="22.5" customHeight="1">
      <c r="A3934" s="85">
        <v>766589657993298</v>
      </c>
      <c r="B3934" s="82" t="s">
        <v>10688</v>
      </c>
      <c r="C3934" s="82" t="s">
        <v>11959</v>
      </c>
      <c r="D3934" s="82" t="s">
        <v>350</v>
      </c>
      <c r="E3934" s="82">
        <v>6282184823441</v>
      </c>
      <c r="F3934" s="92">
        <v>45884</v>
      </c>
      <c r="G3934" s="87">
        <v>1948</v>
      </c>
      <c r="H3934" s="88">
        <v>6947.6510067114095</v>
      </c>
      <c r="I3934" s="89">
        <v>41</v>
      </c>
      <c r="J3934" s="90">
        <v>15528</v>
      </c>
      <c r="K3934" s="85">
        <v>2</v>
      </c>
      <c r="L3934" s="85">
        <v>688</v>
      </c>
      <c r="M3934" s="85">
        <v>1</v>
      </c>
      <c r="N3934" s="82" t="s">
        <v>11960</v>
      </c>
      <c r="O3934" s="93">
        <v>45885.571076388886</v>
      </c>
    </row>
    <row r="3935" spans="1:15" ht="22.5" customHeight="1">
      <c r="A3935" s="85">
        <v>766589657993298</v>
      </c>
      <c r="B3935" s="82" t="s">
        <v>10688</v>
      </c>
      <c r="C3935" s="82" t="s">
        <v>11961</v>
      </c>
      <c r="D3935" s="82" t="s">
        <v>11962</v>
      </c>
      <c r="E3935" s="82">
        <v>6283185169816</v>
      </c>
      <c r="F3935" s="92">
        <v>45884</v>
      </c>
      <c r="G3935" s="87">
        <v>915</v>
      </c>
      <c r="H3935" s="88">
        <v>15980.942828485457</v>
      </c>
      <c r="I3935" s="89">
        <v>34</v>
      </c>
      <c r="J3935" s="90">
        <v>15933</v>
      </c>
      <c r="K3935" s="85">
        <v>3</v>
      </c>
      <c r="L3935" s="85">
        <v>342</v>
      </c>
      <c r="M3935" s="85">
        <v>0</v>
      </c>
      <c r="N3935" s="82" t="s">
        <v>11963</v>
      </c>
      <c r="O3935" s="93">
        <v>45885.591574074075</v>
      </c>
    </row>
    <row r="3936" spans="1:15" ht="22.5" customHeight="1">
      <c r="A3936" s="85">
        <v>766589657993298</v>
      </c>
      <c r="B3936" s="82" t="s">
        <v>10688</v>
      </c>
      <c r="C3936" s="82" t="s">
        <v>11964</v>
      </c>
      <c r="D3936" s="82" t="s">
        <v>3822</v>
      </c>
      <c r="E3936" s="82">
        <v>6287768646729</v>
      </c>
      <c r="F3936" s="92">
        <v>45884</v>
      </c>
      <c r="G3936" s="87">
        <v>579</v>
      </c>
      <c r="H3936" s="88">
        <v>21534.950071326675</v>
      </c>
      <c r="I3936" s="89">
        <v>7</v>
      </c>
      <c r="J3936" s="90">
        <v>15096</v>
      </c>
      <c r="K3936" s="85">
        <v>0</v>
      </c>
      <c r="L3936" s="85">
        <v>170</v>
      </c>
      <c r="M3936" s="85">
        <v>0</v>
      </c>
      <c r="N3936" s="82" t="s">
        <v>11965</v>
      </c>
      <c r="O3936" s="93">
        <v>45885.571064814816</v>
      </c>
    </row>
    <row r="3937" spans="1:15" ht="22.5" customHeight="1">
      <c r="A3937" s="85">
        <v>766589657993298</v>
      </c>
      <c r="B3937" s="82" t="s">
        <v>10688</v>
      </c>
      <c r="C3937" s="82" t="s">
        <v>11853</v>
      </c>
      <c r="D3937" s="82" t="s">
        <v>3793</v>
      </c>
      <c r="E3937" s="82">
        <v>6285100570275</v>
      </c>
      <c r="F3937" s="92">
        <v>45884</v>
      </c>
      <c r="G3937" s="87">
        <v>620</v>
      </c>
      <c r="H3937" s="88">
        <v>24939.668174962291</v>
      </c>
      <c r="I3937" s="89">
        <v>12</v>
      </c>
      <c r="J3937" s="90">
        <v>16535</v>
      </c>
      <c r="K3937" s="85">
        <v>1</v>
      </c>
      <c r="L3937" s="85">
        <v>220</v>
      </c>
      <c r="M3937" s="85">
        <v>0</v>
      </c>
      <c r="N3937" s="82" t="s">
        <v>11854</v>
      </c>
      <c r="O3937" s="93">
        <v>45885.217557870368</v>
      </c>
    </row>
    <row r="3938" spans="1:15" ht="22.5" customHeight="1">
      <c r="A3938" s="85">
        <v>766589657993298</v>
      </c>
      <c r="B3938" s="82" t="s">
        <v>10688</v>
      </c>
      <c r="C3938" s="82" t="s">
        <v>11855</v>
      </c>
      <c r="D3938" s="82" t="s">
        <v>4690</v>
      </c>
      <c r="E3938" s="82">
        <v>6281323291817</v>
      </c>
      <c r="F3938" s="92">
        <v>45884</v>
      </c>
      <c r="G3938" s="87">
        <v>3299</v>
      </c>
      <c r="H3938" s="88">
        <v>4607.7768385460695</v>
      </c>
      <c r="I3938" s="89">
        <v>107</v>
      </c>
      <c r="J3938" s="90">
        <v>16353</v>
      </c>
      <c r="K3938" s="85">
        <v>12</v>
      </c>
      <c r="L3938" s="85">
        <v>1245</v>
      </c>
      <c r="M3938" s="85">
        <v>1</v>
      </c>
      <c r="N3938" s="82" t="s">
        <v>11856</v>
      </c>
      <c r="O3938" s="93">
        <v>45885.550347222219</v>
      </c>
    </row>
    <row r="3939" spans="1:15" ht="22.5" customHeight="1">
      <c r="A3939" s="85">
        <v>766589657993298</v>
      </c>
      <c r="B3939" s="82" t="s">
        <v>10688</v>
      </c>
      <c r="C3939" s="82" t="s">
        <v>11829</v>
      </c>
      <c r="D3939" s="82" t="s">
        <v>3503</v>
      </c>
      <c r="E3939" s="82">
        <v>6285767074516</v>
      </c>
      <c r="F3939" s="92">
        <v>45884</v>
      </c>
      <c r="G3939" s="87">
        <v>1655</v>
      </c>
      <c r="H3939" s="88">
        <v>9658.3333333333339</v>
      </c>
      <c r="I3939" s="89">
        <v>51</v>
      </c>
      <c r="J3939" s="90">
        <v>17385</v>
      </c>
      <c r="K3939" s="85">
        <v>4</v>
      </c>
      <c r="L3939" s="85">
        <v>603</v>
      </c>
      <c r="M3939" s="85">
        <v>1</v>
      </c>
      <c r="N3939" s="82" t="s">
        <v>11830</v>
      </c>
      <c r="O3939" s="93">
        <v>45885.508217592593</v>
      </c>
    </row>
    <row r="3940" spans="1:15" ht="22.5" customHeight="1">
      <c r="A3940" s="85">
        <v>766589657993298</v>
      </c>
      <c r="B3940" s="82" t="s">
        <v>10688</v>
      </c>
      <c r="C3940" s="82" t="s">
        <v>11834</v>
      </c>
      <c r="D3940" s="82" t="s">
        <v>11835</v>
      </c>
      <c r="E3940" s="82">
        <v>6285694618282</v>
      </c>
      <c r="F3940" s="92">
        <v>45884</v>
      </c>
      <c r="G3940" s="87">
        <v>593</v>
      </c>
      <c r="H3940" s="88">
        <v>28105.76923076923</v>
      </c>
      <c r="I3940" s="89">
        <v>31</v>
      </c>
      <c r="J3940" s="90">
        <v>17538</v>
      </c>
      <c r="K3940" s="85">
        <v>6</v>
      </c>
      <c r="L3940" s="85">
        <v>280</v>
      </c>
      <c r="M3940" s="85">
        <v>2</v>
      </c>
      <c r="N3940" s="82" t="s">
        <v>11836</v>
      </c>
      <c r="O3940" s="93">
        <v>45885.467013888891</v>
      </c>
    </row>
    <row r="3941" spans="1:15" ht="22.5" customHeight="1">
      <c r="A3941" s="85">
        <v>766589657993298</v>
      </c>
      <c r="B3941" s="82" t="s">
        <v>10688</v>
      </c>
      <c r="C3941" s="82" t="s">
        <v>11616</v>
      </c>
      <c r="D3941" s="82" t="s">
        <v>3187</v>
      </c>
      <c r="E3941" s="82">
        <v>6282164564557</v>
      </c>
      <c r="F3941" s="92">
        <v>45884</v>
      </c>
      <c r="G3941" s="87">
        <v>932</v>
      </c>
      <c r="H3941" s="88">
        <v>14537.852112676055</v>
      </c>
      <c r="I3941" s="89">
        <v>42</v>
      </c>
      <c r="J3941" s="90">
        <v>16515</v>
      </c>
      <c r="K3941" s="85">
        <v>2</v>
      </c>
      <c r="L3941" s="85">
        <v>390</v>
      </c>
      <c r="M3941" s="85">
        <v>1</v>
      </c>
      <c r="N3941" s="82" t="s">
        <v>11617</v>
      </c>
      <c r="O3941" s="93">
        <v>45885.508217592593</v>
      </c>
    </row>
    <row r="3942" spans="1:15" ht="22.5" customHeight="1">
      <c r="A3942" s="85">
        <v>766589657993298</v>
      </c>
      <c r="B3942" s="82" t="s">
        <v>10688</v>
      </c>
      <c r="C3942" s="82" t="s">
        <v>11626</v>
      </c>
      <c r="D3942" s="82" t="s">
        <v>3773</v>
      </c>
      <c r="E3942" s="82">
        <v>6285893658659</v>
      </c>
      <c r="F3942" s="92">
        <v>45884</v>
      </c>
      <c r="G3942" s="87">
        <v>368</v>
      </c>
      <c r="H3942" s="88">
        <v>35535.714285714283</v>
      </c>
      <c r="I3942" s="89">
        <v>16</v>
      </c>
      <c r="J3942" s="90">
        <v>15920</v>
      </c>
      <c r="K3942" s="85">
        <v>4</v>
      </c>
      <c r="L3942" s="85">
        <v>26</v>
      </c>
      <c r="M3942" s="85">
        <v>0</v>
      </c>
      <c r="N3942" s="82" t="s">
        <v>11627</v>
      </c>
      <c r="O3942" s="93">
        <v>45885.508217592593</v>
      </c>
    </row>
    <row r="3943" spans="1:15" ht="22.5" customHeight="1">
      <c r="A3943" s="85">
        <v>759724529202804</v>
      </c>
      <c r="B3943" s="82" t="s">
        <v>10621</v>
      </c>
      <c r="C3943" s="82" t="s">
        <v>11859</v>
      </c>
      <c r="D3943" s="82" t="s">
        <v>11860</v>
      </c>
      <c r="E3943" s="82">
        <v>6285138380189</v>
      </c>
      <c r="F3943" s="92">
        <v>45885</v>
      </c>
      <c r="G3943" s="87">
        <v>601</v>
      </c>
      <c r="H3943" s="88">
        <v>22949.468085106382</v>
      </c>
      <c r="I3943" s="89">
        <v>13</v>
      </c>
      <c r="J3943" s="90">
        <v>17258</v>
      </c>
      <c r="K3943" s="85">
        <v>0</v>
      </c>
      <c r="L3943" s="85">
        <v>64</v>
      </c>
      <c r="M3943" s="85">
        <v>0</v>
      </c>
      <c r="N3943" s="82" t="s">
        <v>11861</v>
      </c>
      <c r="O3943" s="93">
        <v>45886.214317129627</v>
      </c>
    </row>
    <row r="3944" spans="1:15" ht="22.5" customHeight="1">
      <c r="A3944" s="85">
        <v>759724529202804</v>
      </c>
      <c r="B3944" s="82" t="s">
        <v>10621</v>
      </c>
      <c r="C3944" s="82" t="s">
        <v>11037</v>
      </c>
      <c r="D3944" s="82" t="s">
        <v>199</v>
      </c>
      <c r="E3944" s="82">
        <v>6285220903499</v>
      </c>
      <c r="F3944" s="92">
        <v>45885</v>
      </c>
      <c r="G3944" s="87">
        <v>535</v>
      </c>
      <c r="H3944" s="88">
        <v>27103.333333333332</v>
      </c>
      <c r="I3944" s="89">
        <v>13</v>
      </c>
      <c r="J3944" s="90">
        <v>16262</v>
      </c>
      <c r="K3944" s="85">
        <v>3</v>
      </c>
      <c r="L3944" s="85">
        <v>198</v>
      </c>
      <c r="M3944" s="85">
        <v>0</v>
      </c>
      <c r="N3944" s="82" t="s">
        <v>11038</v>
      </c>
      <c r="O3944" s="93">
        <v>45886.609965277778</v>
      </c>
    </row>
    <row r="3945" spans="1:15" ht="22.5" customHeight="1">
      <c r="A3945" s="85">
        <v>174904221976312</v>
      </c>
      <c r="B3945" s="82" t="s">
        <v>10651</v>
      </c>
      <c r="C3945" s="82" t="s">
        <v>11966</v>
      </c>
      <c r="D3945" s="82" t="s">
        <v>11967</v>
      </c>
      <c r="E3945" s="82">
        <v>6285780314346</v>
      </c>
      <c r="F3945" s="92">
        <v>45885</v>
      </c>
      <c r="G3945" s="87">
        <v>361</v>
      </c>
      <c r="H3945" s="88">
        <v>17531.413612565444</v>
      </c>
      <c r="I3945" s="89">
        <v>14</v>
      </c>
      <c r="J3945" s="90">
        <v>6697</v>
      </c>
      <c r="K3945" s="85">
        <v>0</v>
      </c>
      <c r="L3945" s="85">
        <v>39</v>
      </c>
      <c r="M3945" s="85">
        <v>0</v>
      </c>
      <c r="N3945" s="82" t="s">
        <v>11968</v>
      </c>
      <c r="O3945" s="93">
        <v>45886.547800925924</v>
      </c>
    </row>
    <row r="3946" spans="1:15" ht="22.5" customHeight="1">
      <c r="A3946" s="85">
        <v>174904221976312</v>
      </c>
      <c r="B3946" s="82" t="s">
        <v>10651</v>
      </c>
      <c r="C3946" s="82" t="s">
        <v>11969</v>
      </c>
      <c r="D3946" s="82" t="s">
        <v>11970</v>
      </c>
      <c r="E3946" s="82">
        <v>628561302381</v>
      </c>
      <c r="F3946" s="92">
        <v>45885</v>
      </c>
      <c r="G3946" s="87">
        <v>371</v>
      </c>
      <c r="H3946" s="88">
        <v>25873.737373737375</v>
      </c>
      <c r="I3946" s="89">
        <v>7</v>
      </c>
      <c r="J3946" s="90">
        <v>10246</v>
      </c>
      <c r="K3946" s="85">
        <v>1</v>
      </c>
      <c r="L3946" s="85">
        <v>40</v>
      </c>
      <c r="M3946" s="85">
        <v>0</v>
      </c>
      <c r="N3946" s="82" t="s">
        <v>11971</v>
      </c>
      <c r="O3946" s="93">
        <v>45886.755914351852</v>
      </c>
    </row>
    <row r="3947" spans="1:15" ht="22.5" customHeight="1">
      <c r="A3947" s="85">
        <v>174904221976312</v>
      </c>
      <c r="B3947" s="82" t="s">
        <v>10651</v>
      </c>
      <c r="C3947" s="82" t="s">
        <v>11911</v>
      </c>
      <c r="D3947" s="82" t="s">
        <v>11912</v>
      </c>
      <c r="E3947" s="82">
        <v>6287864812126</v>
      </c>
      <c r="F3947" s="92">
        <v>45885</v>
      </c>
      <c r="G3947" s="87">
        <v>1460</v>
      </c>
      <c r="H3947" s="88">
        <v>8554.5938748335557</v>
      </c>
      <c r="I3947" s="89">
        <v>27</v>
      </c>
      <c r="J3947" s="90">
        <v>12849</v>
      </c>
      <c r="K3947" s="85">
        <v>0</v>
      </c>
      <c r="L3947" s="85">
        <v>760</v>
      </c>
      <c r="M3947" s="85">
        <v>0</v>
      </c>
      <c r="N3947" s="82" t="s">
        <v>11913</v>
      </c>
      <c r="O3947" s="93">
        <v>45886.818541666667</v>
      </c>
    </row>
    <row r="3948" spans="1:15" ht="22.5" customHeight="1">
      <c r="A3948" s="85">
        <v>174904221976312</v>
      </c>
      <c r="B3948" s="82" t="s">
        <v>10651</v>
      </c>
      <c r="C3948" s="82" t="s">
        <v>11914</v>
      </c>
      <c r="D3948" s="82" t="s">
        <v>9010</v>
      </c>
      <c r="E3948" s="82">
        <v>6281320188313</v>
      </c>
      <c r="F3948" s="92">
        <v>45885</v>
      </c>
      <c r="G3948" s="87">
        <v>782</v>
      </c>
      <c r="H3948" s="88">
        <v>15178.111587982834</v>
      </c>
      <c r="I3948" s="89">
        <v>17</v>
      </c>
      <c r="J3948" s="90">
        <v>14146</v>
      </c>
      <c r="K3948" s="85">
        <v>4</v>
      </c>
      <c r="L3948" s="85">
        <v>99</v>
      </c>
      <c r="M3948" s="85">
        <v>0</v>
      </c>
      <c r="N3948" s="82" t="s">
        <v>11915</v>
      </c>
      <c r="O3948" s="93">
        <v>45886.67260416667</v>
      </c>
    </row>
    <row r="3949" spans="1:15" ht="22.5" customHeight="1">
      <c r="A3949" s="85">
        <v>174904221976312</v>
      </c>
      <c r="B3949" s="82" t="s">
        <v>10651</v>
      </c>
      <c r="C3949" s="82" t="s">
        <v>11916</v>
      </c>
      <c r="D3949" s="82" t="s">
        <v>11917</v>
      </c>
      <c r="E3949" s="82">
        <v>6281339823715</v>
      </c>
      <c r="F3949" s="92">
        <v>45885</v>
      </c>
      <c r="G3949" s="87">
        <v>1887</v>
      </c>
      <c r="H3949" s="88">
        <v>6634.8651348651347</v>
      </c>
      <c r="I3949" s="89">
        <v>29</v>
      </c>
      <c r="J3949" s="90">
        <v>13283</v>
      </c>
      <c r="K3949" s="85">
        <v>0</v>
      </c>
      <c r="L3949" s="85">
        <v>380</v>
      </c>
      <c r="M3949" s="85">
        <v>0</v>
      </c>
      <c r="N3949" s="82" t="s">
        <v>11918</v>
      </c>
      <c r="O3949" s="93">
        <v>45886.216412037036</v>
      </c>
    </row>
    <row r="3950" spans="1:15" ht="22.5" customHeight="1">
      <c r="A3950" s="85">
        <v>174904221976312</v>
      </c>
      <c r="B3950" s="82" t="s">
        <v>10651</v>
      </c>
      <c r="C3950" s="82" t="s">
        <v>11919</v>
      </c>
      <c r="D3950" s="82" t="s">
        <v>11920</v>
      </c>
      <c r="E3950" s="82">
        <v>6282221896658</v>
      </c>
      <c r="F3950" s="92">
        <v>45885</v>
      </c>
      <c r="G3950" s="87">
        <v>308</v>
      </c>
      <c r="H3950" s="88">
        <v>34449.367088607592</v>
      </c>
      <c r="I3950" s="89">
        <v>16</v>
      </c>
      <c r="J3950" s="90">
        <v>10886</v>
      </c>
      <c r="K3950" s="85">
        <v>1</v>
      </c>
      <c r="L3950" s="85">
        <v>91</v>
      </c>
      <c r="M3950" s="85">
        <v>0</v>
      </c>
      <c r="N3950" s="82" t="s">
        <v>11921</v>
      </c>
      <c r="O3950" s="93">
        <v>45886.693530092591</v>
      </c>
    </row>
    <row r="3951" spans="1:15" ht="22.5" customHeight="1">
      <c r="A3951" s="85">
        <v>174904221976312</v>
      </c>
      <c r="B3951" s="82" t="s">
        <v>10651</v>
      </c>
      <c r="C3951" s="82" t="s">
        <v>11922</v>
      </c>
      <c r="D3951" s="82" t="s">
        <v>11923</v>
      </c>
      <c r="E3951" s="82">
        <v>6282390759437</v>
      </c>
      <c r="F3951" s="92">
        <v>45885</v>
      </c>
      <c r="G3951" s="87">
        <v>444</v>
      </c>
      <c r="H3951" s="88">
        <v>23470.249520153553</v>
      </c>
      <c r="I3951" s="89">
        <v>29</v>
      </c>
      <c r="J3951" s="90">
        <v>12228</v>
      </c>
      <c r="K3951" s="85">
        <v>3</v>
      </c>
      <c r="L3951" s="85">
        <v>223</v>
      </c>
      <c r="M3951" s="85">
        <v>0</v>
      </c>
      <c r="N3951" s="82" t="s">
        <v>11924</v>
      </c>
      <c r="O3951" s="93">
        <v>45886.216423611113</v>
      </c>
    </row>
    <row r="3952" spans="1:15" ht="22.5" customHeight="1">
      <c r="A3952" s="85">
        <v>174904221976312</v>
      </c>
      <c r="B3952" s="82" t="s">
        <v>10651</v>
      </c>
      <c r="C3952" s="82" t="s">
        <v>11925</v>
      </c>
      <c r="D3952" s="82" t="s">
        <v>4008</v>
      </c>
      <c r="E3952" s="82">
        <v>6281558225822</v>
      </c>
      <c r="F3952" s="92">
        <v>45885</v>
      </c>
      <c r="G3952" s="87">
        <v>281</v>
      </c>
      <c r="H3952" s="88">
        <v>43395.189003436426</v>
      </c>
      <c r="I3952" s="89">
        <v>9</v>
      </c>
      <c r="J3952" s="90">
        <v>12628</v>
      </c>
      <c r="K3952" s="85">
        <v>2</v>
      </c>
      <c r="L3952" s="85">
        <v>0</v>
      </c>
      <c r="M3952" s="85">
        <v>0</v>
      </c>
      <c r="N3952" s="82" t="s">
        <v>11926</v>
      </c>
      <c r="O3952" s="93">
        <v>45886.610347222224</v>
      </c>
    </row>
    <row r="3953" spans="1:15" ht="22.5" customHeight="1">
      <c r="A3953" s="85">
        <v>174904221976312</v>
      </c>
      <c r="B3953" s="82" t="s">
        <v>10651</v>
      </c>
      <c r="C3953" s="82" t="s">
        <v>11905</v>
      </c>
      <c r="D3953" s="82" t="s">
        <v>11906</v>
      </c>
      <c r="E3953" s="82">
        <v>6285294617773</v>
      </c>
      <c r="F3953" s="92">
        <v>45885</v>
      </c>
      <c r="G3953" s="87">
        <v>475</v>
      </c>
      <c r="H3953" s="88">
        <v>23456.204379562045</v>
      </c>
      <c r="I3953" s="89">
        <v>45</v>
      </c>
      <c r="J3953" s="90">
        <v>12854</v>
      </c>
      <c r="K3953" s="85">
        <v>1</v>
      </c>
      <c r="L3953" s="85">
        <v>59</v>
      </c>
      <c r="M3953" s="85">
        <v>0</v>
      </c>
      <c r="N3953" s="82" t="s">
        <v>11907</v>
      </c>
      <c r="O3953" s="93">
        <v>45886.216423611113</v>
      </c>
    </row>
    <row r="3954" spans="1:15" ht="22.5" customHeight="1">
      <c r="A3954" s="85">
        <v>174904221976312</v>
      </c>
      <c r="B3954" s="82" t="s">
        <v>10651</v>
      </c>
      <c r="C3954" s="82" t="s">
        <v>11908</v>
      </c>
      <c r="D3954" s="82" t="s">
        <v>3969</v>
      </c>
      <c r="E3954" s="82">
        <v>62881010328220</v>
      </c>
      <c r="F3954" s="92">
        <v>45885</v>
      </c>
      <c r="G3954" s="87">
        <v>228</v>
      </c>
      <c r="H3954" s="88">
        <v>41723.484848484848</v>
      </c>
      <c r="I3954" s="89">
        <v>12</v>
      </c>
      <c r="J3954" s="90">
        <v>11015</v>
      </c>
      <c r="K3954" s="85">
        <v>1</v>
      </c>
      <c r="L3954" s="85">
        <v>0</v>
      </c>
      <c r="M3954" s="85">
        <v>0</v>
      </c>
      <c r="N3954" s="82" t="s">
        <v>11909</v>
      </c>
      <c r="O3954" s="93">
        <v>45886.216423611113</v>
      </c>
    </row>
    <row r="3955" spans="1:15" ht="22.5" customHeight="1">
      <c r="A3955" s="85">
        <v>174904221976312</v>
      </c>
      <c r="B3955" s="82" t="s">
        <v>10651</v>
      </c>
      <c r="C3955" s="82" t="s">
        <v>11882</v>
      </c>
      <c r="D3955" s="82" t="s">
        <v>11883</v>
      </c>
      <c r="E3955" s="82">
        <v>6287701349406</v>
      </c>
      <c r="F3955" s="92">
        <v>45885</v>
      </c>
      <c r="G3955" s="87">
        <v>2609</v>
      </c>
      <c r="H3955" s="88">
        <v>4974.2082925236691</v>
      </c>
      <c r="I3955" s="89">
        <v>65</v>
      </c>
      <c r="J3955" s="90">
        <v>15236</v>
      </c>
      <c r="K3955" s="85">
        <v>1</v>
      </c>
      <c r="L3955" s="85">
        <v>0</v>
      </c>
      <c r="M3955" s="85">
        <v>3</v>
      </c>
      <c r="N3955" s="82" t="s">
        <v>11884</v>
      </c>
      <c r="O3955" s="93">
        <v>45886.589328703703</v>
      </c>
    </row>
    <row r="3956" spans="1:15" ht="22.5" customHeight="1">
      <c r="A3956" s="85">
        <v>174904221976312</v>
      </c>
      <c r="B3956" s="82" t="s">
        <v>10651</v>
      </c>
      <c r="C3956" s="82" t="s">
        <v>11885</v>
      </c>
      <c r="D3956" s="82" t="s">
        <v>11886</v>
      </c>
      <c r="E3956" s="82">
        <v>628179780980</v>
      </c>
      <c r="F3956" s="92">
        <v>45885</v>
      </c>
      <c r="G3956" s="87">
        <v>126</v>
      </c>
      <c r="H3956" s="88">
        <v>87434.782608695663</v>
      </c>
      <c r="I3956" s="89">
        <v>8</v>
      </c>
      <c r="J3956" s="90">
        <v>12066</v>
      </c>
      <c r="K3956" s="85">
        <v>1</v>
      </c>
      <c r="L3956" s="85">
        <v>0</v>
      </c>
      <c r="M3956" s="85">
        <v>0</v>
      </c>
      <c r="N3956" s="82" t="s">
        <v>11887</v>
      </c>
      <c r="O3956" s="93">
        <v>45886.589328703703</v>
      </c>
    </row>
    <row r="3957" spans="1:15" ht="22.5" customHeight="1">
      <c r="A3957" s="85">
        <v>174904221976312</v>
      </c>
      <c r="B3957" s="82" t="s">
        <v>10651</v>
      </c>
      <c r="C3957" s="82" t="s">
        <v>11888</v>
      </c>
      <c r="D3957" s="82" t="s">
        <v>11889</v>
      </c>
      <c r="E3957" s="82">
        <v>628127962347</v>
      </c>
      <c r="F3957" s="92">
        <v>45885</v>
      </c>
      <c r="G3957" s="87">
        <v>547</v>
      </c>
      <c r="H3957" s="88">
        <v>23382.978723404256</v>
      </c>
      <c r="I3957" s="89">
        <v>23</v>
      </c>
      <c r="J3957" s="90">
        <v>14287</v>
      </c>
      <c r="K3957" s="85">
        <v>4</v>
      </c>
      <c r="L3957" s="85">
        <v>2</v>
      </c>
      <c r="M3957" s="85">
        <v>0</v>
      </c>
      <c r="N3957" s="82" t="s">
        <v>11890</v>
      </c>
      <c r="O3957" s="93">
        <v>45886.797129629631</v>
      </c>
    </row>
    <row r="3958" spans="1:15" ht="22.5" customHeight="1">
      <c r="A3958" s="85">
        <v>174904221976312</v>
      </c>
      <c r="B3958" s="82" t="s">
        <v>10651</v>
      </c>
      <c r="C3958" s="82" t="s">
        <v>11891</v>
      </c>
      <c r="D3958" s="82" t="s">
        <v>3873</v>
      </c>
      <c r="E3958" s="82">
        <v>6282241382009</v>
      </c>
      <c r="F3958" s="92">
        <v>45885</v>
      </c>
      <c r="G3958" s="87">
        <v>518</v>
      </c>
      <c r="H3958" s="88">
        <v>23572.17391304348</v>
      </c>
      <c r="I3958" s="89">
        <v>12</v>
      </c>
      <c r="J3958" s="90">
        <v>13554</v>
      </c>
      <c r="K3958" s="85">
        <v>2</v>
      </c>
      <c r="L3958" s="85">
        <v>0</v>
      </c>
      <c r="M3958" s="85">
        <v>0</v>
      </c>
      <c r="N3958" s="82" t="s">
        <v>11892</v>
      </c>
      <c r="O3958" s="93">
        <v>45886.797129629631</v>
      </c>
    </row>
    <row r="3959" spans="1:15" ht="22.5" customHeight="1">
      <c r="A3959" s="85">
        <v>174904221976312</v>
      </c>
      <c r="B3959" s="82" t="s">
        <v>10651</v>
      </c>
      <c r="C3959" s="82" t="s">
        <v>11893</v>
      </c>
      <c r="D3959" s="82" t="s">
        <v>11894</v>
      </c>
      <c r="E3959" s="82">
        <v>6282382535847</v>
      </c>
      <c r="F3959" s="92">
        <v>45885</v>
      </c>
      <c r="G3959" s="87">
        <v>829</v>
      </c>
      <c r="H3959" s="88">
        <v>13681.489141675283</v>
      </c>
      <c r="I3959" s="89">
        <v>31</v>
      </c>
      <c r="J3959" s="90">
        <v>13230</v>
      </c>
      <c r="K3959" s="85">
        <v>1</v>
      </c>
      <c r="L3959" s="85">
        <v>375</v>
      </c>
      <c r="M3959" s="85">
        <v>2</v>
      </c>
      <c r="N3959" s="82" t="s">
        <v>11895</v>
      </c>
      <c r="O3959" s="93">
        <v>45886.714618055557</v>
      </c>
    </row>
    <row r="3960" spans="1:15" ht="22.5" customHeight="1">
      <c r="A3960" s="85">
        <v>174904221976312</v>
      </c>
      <c r="B3960" s="82" t="s">
        <v>10651</v>
      </c>
      <c r="C3960" s="82" t="s">
        <v>11896</v>
      </c>
      <c r="D3960" s="82" t="s">
        <v>11897</v>
      </c>
      <c r="E3960" s="82">
        <v>6282153090123</v>
      </c>
      <c r="F3960" s="92">
        <v>45885</v>
      </c>
      <c r="G3960" s="87">
        <v>740</v>
      </c>
      <c r="H3960" s="88">
        <v>19877.256317689527</v>
      </c>
      <c r="I3960" s="89">
        <v>20</v>
      </c>
      <c r="J3960" s="90">
        <v>16518</v>
      </c>
      <c r="K3960" s="85">
        <v>0</v>
      </c>
      <c r="L3960" s="85">
        <v>4</v>
      </c>
      <c r="M3960" s="85">
        <v>0</v>
      </c>
      <c r="N3960" s="82" t="s">
        <v>11898</v>
      </c>
      <c r="O3960" s="93">
        <v>45886.672488425924</v>
      </c>
    </row>
    <row r="3961" spans="1:15" ht="22.5" customHeight="1">
      <c r="A3961" s="85">
        <v>174904221976312</v>
      </c>
      <c r="B3961" s="82" t="s">
        <v>10651</v>
      </c>
      <c r="C3961" s="82" t="s">
        <v>11862</v>
      </c>
      <c r="D3961" s="82" t="s">
        <v>11863</v>
      </c>
      <c r="E3961" s="82">
        <v>6287886480138</v>
      </c>
      <c r="F3961" s="92">
        <v>45885</v>
      </c>
      <c r="G3961" s="87">
        <v>6815</v>
      </c>
      <c r="H3961" s="88">
        <v>2000.2933411557642</v>
      </c>
      <c r="I3961" s="89">
        <v>137</v>
      </c>
      <c r="J3961" s="90">
        <v>13638</v>
      </c>
      <c r="K3961" s="85">
        <v>0</v>
      </c>
      <c r="L3961" s="85">
        <v>303</v>
      </c>
      <c r="M3961" s="85">
        <v>0</v>
      </c>
      <c r="N3961" s="82" t="s">
        <v>11864</v>
      </c>
      <c r="O3961" s="93">
        <v>45886.216423611113</v>
      </c>
    </row>
    <row r="3962" spans="1:15" ht="22.5" customHeight="1">
      <c r="A3962" s="85">
        <v>174904221976312</v>
      </c>
      <c r="B3962" s="82" t="s">
        <v>10651</v>
      </c>
      <c r="C3962" s="82" t="s">
        <v>11865</v>
      </c>
      <c r="D3962" s="82" t="s">
        <v>11403</v>
      </c>
      <c r="E3962" s="82">
        <v>6283870060603</v>
      </c>
      <c r="F3962" s="92">
        <v>45885</v>
      </c>
      <c r="G3962" s="87">
        <v>823</v>
      </c>
      <c r="H3962" s="88">
        <v>15740.914419695195</v>
      </c>
      <c r="I3962" s="89">
        <v>25</v>
      </c>
      <c r="J3962" s="90">
        <v>13427</v>
      </c>
      <c r="K3962" s="85">
        <v>0</v>
      </c>
      <c r="L3962" s="85">
        <v>350</v>
      </c>
      <c r="M3962" s="85">
        <v>0</v>
      </c>
      <c r="N3962" s="82" t="s">
        <v>11866</v>
      </c>
      <c r="O3962" s="93">
        <v>45886.651400462964</v>
      </c>
    </row>
    <row r="3963" spans="1:15" ht="22.5" customHeight="1">
      <c r="A3963" s="85">
        <v>174904221976312</v>
      </c>
      <c r="B3963" s="82" t="s">
        <v>10651</v>
      </c>
      <c r="C3963" s="82" t="s">
        <v>11867</v>
      </c>
      <c r="D3963" s="82" t="s">
        <v>11868</v>
      </c>
      <c r="E3963" s="82">
        <v>6282112042148</v>
      </c>
      <c r="F3963" s="92">
        <v>45885</v>
      </c>
      <c r="G3963" s="87">
        <v>640</v>
      </c>
      <c r="H3963" s="88">
        <v>19894.187779433683</v>
      </c>
      <c r="I3963" s="89">
        <v>17</v>
      </c>
      <c r="J3963" s="90">
        <v>13349</v>
      </c>
      <c r="K3963" s="85">
        <v>3</v>
      </c>
      <c r="L3963" s="85">
        <v>248</v>
      </c>
      <c r="M3963" s="85">
        <v>0</v>
      </c>
      <c r="N3963" s="82" t="s">
        <v>11869</v>
      </c>
      <c r="O3963" s="93">
        <v>45886.630648148152</v>
      </c>
    </row>
    <row r="3964" spans="1:15" ht="22.5" customHeight="1">
      <c r="A3964" s="85">
        <v>174904221976312</v>
      </c>
      <c r="B3964" s="82" t="s">
        <v>10651</v>
      </c>
      <c r="C3964" s="82" t="s">
        <v>11870</v>
      </c>
      <c r="D3964" s="82" t="s">
        <v>11871</v>
      </c>
      <c r="E3964" s="82">
        <v>62817262229</v>
      </c>
      <c r="F3964" s="92">
        <v>45885</v>
      </c>
      <c r="G3964" s="87">
        <v>480</v>
      </c>
      <c r="H3964" s="88">
        <v>27027.290448343079</v>
      </c>
      <c r="I3964" s="89">
        <v>24</v>
      </c>
      <c r="J3964" s="90">
        <v>13865</v>
      </c>
      <c r="K3964" s="85">
        <v>1</v>
      </c>
      <c r="L3964" s="85">
        <v>0</v>
      </c>
      <c r="M3964" s="85">
        <v>0</v>
      </c>
      <c r="N3964" s="82" t="s">
        <v>11872</v>
      </c>
      <c r="O3964" s="93">
        <v>45886.216423611113</v>
      </c>
    </row>
    <row r="3965" spans="1:15" ht="22.5" customHeight="1">
      <c r="A3965" s="85">
        <v>174904221976312</v>
      </c>
      <c r="B3965" s="82" t="s">
        <v>10651</v>
      </c>
      <c r="C3965" s="82" t="s">
        <v>11873</v>
      </c>
      <c r="D3965" s="82" t="s">
        <v>11874</v>
      </c>
      <c r="E3965" s="82">
        <v>6281324481252</v>
      </c>
      <c r="F3965" s="92">
        <v>45885</v>
      </c>
      <c r="G3965" s="87">
        <v>488</v>
      </c>
      <c r="H3965" s="88">
        <v>27541.589648798519</v>
      </c>
      <c r="I3965" s="89">
        <v>18</v>
      </c>
      <c r="J3965" s="90">
        <v>14900</v>
      </c>
      <c r="K3965" s="85">
        <v>1</v>
      </c>
      <c r="L3965" s="85">
        <v>145</v>
      </c>
      <c r="M3965" s="85">
        <v>0</v>
      </c>
      <c r="N3965" s="82" t="s">
        <v>11875</v>
      </c>
      <c r="O3965" s="93">
        <v>45886.216423611113</v>
      </c>
    </row>
    <row r="3966" spans="1:15" ht="22.5" customHeight="1">
      <c r="A3966" s="85">
        <v>174904221976312</v>
      </c>
      <c r="B3966" s="82" t="s">
        <v>10651</v>
      </c>
      <c r="C3966" s="82" t="s">
        <v>11876</v>
      </c>
      <c r="D3966" s="82" t="s">
        <v>11877</v>
      </c>
      <c r="E3966" s="82">
        <v>6285748377961</v>
      </c>
      <c r="F3966" s="92">
        <v>45885</v>
      </c>
      <c r="G3966" s="87">
        <v>1711</v>
      </c>
      <c r="H3966" s="88">
        <v>8118.356164383561</v>
      </c>
      <c r="I3966" s="89">
        <v>16</v>
      </c>
      <c r="J3966" s="90">
        <v>14816</v>
      </c>
      <c r="K3966" s="85">
        <v>0</v>
      </c>
      <c r="L3966" s="85">
        <v>88</v>
      </c>
      <c r="M3966" s="85">
        <v>1</v>
      </c>
      <c r="N3966" s="82" t="s">
        <v>11878</v>
      </c>
      <c r="O3966" s="93">
        <v>45886.71434027778</v>
      </c>
    </row>
    <row r="3967" spans="1:15" ht="22.5" customHeight="1">
      <c r="A3967" s="85">
        <v>174904221976312</v>
      </c>
      <c r="B3967" s="82" t="s">
        <v>10651</v>
      </c>
      <c r="C3967" s="82" t="s">
        <v>11879</v>
      </c>
      <c r="D3967" s="82" t="s">
        <v>11877</v>
      </c>
      <c r="E3967" s="82">
        <v>6285748377961</v>
      </c>
      <c r="F3967" s="92">
        <v>45885</v>
      </c>
      <c r="G3967" s="87">
        <v>413</v>
      </c>
      <c r="H3967" s="88">
        <v>25506.46551724138</v>
      </c>
      <c r="I3967" s="89">
        <v>3</v>
      </c>
      <c r="J3967" s="90">
        <v>11835</v>
      </c>
      <c r="K3967" s="85">
        <v>1</v>
      </c>
      <c r="L3967" s="85">
        <v>95</v>
      </c>
      <c r="M3967" s="85">
        <v>0</v>
      </c>
      <c r="N3967" s="82" t="s">
        <v>11878</v>
      </c>
      <c r="O3967" s="93">
        <v>45886.651388888888</v>
      </c>
    </row>
    <row r="3968" spans="1:15" ht="22.5" customHeight="1">
      <c r="A3968" s="85">
        <v>174904221976312</v>
      </c>
      <c r="B3968" s="82" t="s">
        <v>10651</v>
      </c>
      <c r="C3968" s="82" t="s">
        <v>11880</v>
      </c>
      <c r="D3968" s="82" t="s">
        <v>3805</v>
      </c>
      <c r="E3968" s="82">
        <v>6281288245836</v>
      </c>
      <c r="F3968" s="92">
        <v>45885</v>
      </c>
      <c r="G3968" s="87">
        <v>236</v>
      </c>
      <c r="H3968" s="88">
        <v>60984</v>
      </c>
      <c r="I3968" s="89">
        <v>13</v>
      </c>
      <c r="J3968" s="90">
        <v>15246</v>
      </c>
      <c r="K3968" s="85">
        <v>1</v>
      </c>
      <c r="L3968" s="85">
        <v>0</v>
      </c>
      <c r="M3968" s="85">
        <v>2</v>
      </c>
      <c r="N3968" s="82" t="s">
        <v>11881</v>
      </c>
      <c r="O3968" s="93">
        <v>45886.589004629626</v>
      </c>
    </row>
    <row r="3969" spans="1:15" ht="22.5" customHeight="1">
      <c r="A3969" s="85">
        <v>174904221976312</v>
      </c>
      <c r="B3969" s="82" t="s">
        <v>10651</v>
      </c>
      <c r="C3969" s="82" t="s">
        <v>11838</v>
      </c>
      <c r="D3969" s="82" t="s">
        <v>11839</v>
      </c>
      <c r="E3969" s="82">
        <v>6287797504113</v>
      </c>
      <c r="F3969" s="92">
        <v>45885</v>
      </c>
      <c r="G3969" s="87">
        <v>178</v>
      </c>
      <c r="H3969" s="88">
        <v>71359.788359788348</v>
      </c>
      <c r="I3969" s="89">
        <v>14</v>
      </c>
      <c r="J3969" s="90">
        <v>13487</v>
      </c>
      <c r="K3969" s="85">
        <v>2</v>
      </c>
      <c r="L3969" s="85">
        <v>8</v>
      </c>
      <c r="M3969" s="85">
        <v>0</v>
      </c>
      <c r="N3969" s="82" t="s">
        <v>11840</v>
      </c>
      <c r="O3969" s="93">
        <v>45886.610601851855</v>
      </c>
    </row>
    <row r="3970" spans="1:15" ht="22.5" customHeight="1">
      <c r="A3970" s="85">
        <v>174904221976312</v>
      </c>
      <c r="B3970" s="82" t="s">
        <v>10651</v>
      </c>
      <c r="C3970" s="82" t="s">
        <v>11811</v>
      </c>
      <c r="D3970" s="82" t="s">
        <v>11812</v>
      </c>
      <c r="E3970" s="82">
        <v>6285328883803</v>
      </c>
      <c r="F3970" s="92">
        <v>45885</v>
      </c>
      <c r="G3970" s="87">
        <v>310</v>
      </c>
      <c r="H3970" s="88">
        <v>36440.340909090904</v>
      </c>
      <c r="I3970" s="89">
        <v>9</v>
      </c>
      <c r="J3970" s="90">
        <v>12827</v>
      </c>
      <c r="K3970" s="85">
        <v>2</v>
      </c>
      <c r="L3970" s="85">
        <v>1</v>
      </c>
      <c r="M3970" s="85">
        <v>0</v>
      </c>
      <c r="N3970" s="82" t="s">
        <v>11813</v>
      </c>
      <c r="O3970" s="93">
        <v>45886.630856481483</v>
      </c>
    </row>
    <row r="3971" spans="1:15" ht="22.5" customHeight="1">
      <c r="A3971" s="85">
        <v>174904221976312</v>
      </c>
      <c r="B3971" s="82" t="s">
        <v>10651</v>
      </c>
      <c r="C3971" s="82" t="s">
        <v>11816</v>
      </c>
      <c r="D3971" s="82" t="s">
        <v>3682</v>
      </c>
      <c r="E3971" s="82">
        <v>6285602235226</v>
      </c>
      <c r="F3971" s="92">
        <v>45885</v>
      </c>
      <c r="G3971" s="87">
        <v>341</v>
      </c>
      <c r="H3971" s="88">
        <v>33183.879093198986</v>
      </c>
      <c r="I3971" s="89">
        <v>18</v>
      </c>
      <c r="J3971" s="90">
        <v>13174</v>
      </c>
      <c r="K3971" s="85">
        <v>3</v>
      </c>
      <c r="L3971" s="85">
        <v>1</v>
      </c>
      <c r="M3971" s="85">
        <v>0</v>
      </c>
      <c r="N3971" s="82" t="s">
        <v>11817</v>
      </c>
      <c r="O3971" s="93">
        <v>45886.755914351852</v>
      </c>
    </row>
    <row r="3972" spans="1:15" ht="22.5" customHeight="1">
      <c r="A3972" s="85">
        <v>174904221976312</v>
      </c>
      <c r="B3972" s="82" t="s">
        <v>10651</v>
      </c>
      <c r="C3972" s="82" t="s">
        <v>11797</v>
      </c>
      <c r="D3972" s="82" t="s">
        <v>3616</v>
      </c>
      <c r="E3972" s="82">
        <v>6285299991164</v>
      </c>
      <c r="F3972" s="92">
        <v>45885</v>
      </c>
      <c r="G3972" s="87">
        <v>236</v>
      </c>
      <c r="H3972" s="88">
        <v>46020.161290322583</v>
      </c>
      <c r="I3972" s="89">
        <v>3</v>
      </c>
      <c r="J3972" s="90">
        <v>11413</v>
      </c>
      <c r="K3972" s="85">
        <v>0</v>
      </c>
      <c r="L3972" s="85">
        <v>0</v>
      </c>
      <c r="M3972" s="85">
        <v>0</v>
      </c>
      <c r="N3972" s="82" t="s">
        <v>11798</v>
      </c>
      <c r="O3972" s="93">
        <v>45886.216412037036</v>
      </c>
    </row>
    <row r="3973" spans="1:15" ht="22.5" customHeight="1">
      <c r="A3973" s="85">
        <v>174904221976312</v>
      </c>
      <c r="B3973" s="82" t="s">
        <v>10651</v>
      </c>
      <c r="C3973" s="82" t="s">
        <v>11799</v>
      </c>
      <c r="D3973" s="82" t="s">
        <v>11800</v>
      </c>
      <c r="E3973" s="82">
        <v>6285333751528</v>
      </c>
      <c r="F3973" s="92">
        <v>45885</v>
      </c>
      <c r="G3973" s="87">
        <v>433</v>
      </c>
      <c r="H3973" s="88">
        <v>27967.611336032387</v>
      </c>
      <c r="I3973" s="89">
        <v>9</v>
      </c>
      <c r="J3973" s="90">
        <v>13816</v>
      </c>
      <c r="K3973" s="85">
        <v>3</v>
      </c>
      <c r="L3973" s="85">
        <v>46</v>
      </c>
      <c r="M3973" s="85">
        <v>0</v>
      </c>
      <c r="N3973" s="82" t="s">
        <v>11801</v>
      </c>
      <c r="O3973" s="93">
        <v>45886.672500000001</v>
      </c>
    </row>
    <row r="3974" spans="1:15" ht="22.5" customHeight="1">
      <c r="A3974" s="85">
        <v>174904221976312</v>
      </c>
      <c r="B3974" s="82" t="s">
        <v>10651</v>
      </c>
      <c r="C3974" s="82" t="s">
        <v>11766</v>
      </c>
      <c r="D3974" s="82" t="s">
        <v>11767</v>
      </c>
      <c r="E3974" s="82">
        <v>6281225101319</v>
      </c>
      <c r="F3974" s="92">
        <v>45885</v>
      </c>
      <c r="G3974" s="87">
        <v>352</v>
      </c>
      <c r="H3974" s="88">
        <v>37231.168831168827</v>
      </c>
      <c r="I3974" s="89">
        <v>8</v>
      </c>
      <c r="J3974" s="90">
        <v>14334</v>
      </c>
      <c r="K3974" s="85">
        <v>0</v>
      </c>
      <c r="L3974" s="85">
        <v>2</v>
      </c>
      <c r="M3974" s="85">
        <v>0</v>
      </c>
      <c r="N3974" s="82" t="s">
        <v>11768</v>
      </c>
      <c r="O3974" s="93">
        <v>45886.693310185183</v>
      </c>
    </row>
    <row r="3975" spans="1:15" ht="22.5" customHeight="1">
      <c r="A3975" s="85">
        <v>174904221976312</v>
      </c>
      <c r="B3975" s="82" t="s">
        <v>10651</v>
      </c>
      <c r="C3975" s="82" t="s">
        <v>11777</v>
      </c>
      <c r="D3975" s="82" t="s">
        <v>11778</v>
      </c>
      <c r="E3975" s="82">
        <v>6281374844270</v>
      </c>
      <c r="F3975" s="92">
        <v>45885</v>
      </c>
      <c r="G3975" s="87">
        <v>1029</v>
      </c>
      <c r="H3975" s="88">
        <v>14279.82062780269</v>
      </c>
      <c r="I3975" s="89">
        <v>17</v>
      </c>
      <c r="J3975" s="90">
        <v>15922</v>
      </c>
      <c r="K3975" s="85">
        <v>0</v>
      </c>
      <c r="L3975" s="85">
        <v>0</v>
      </c>
      <c r="M3975" s="85">
        <v>0</v>
      </c>
      <c r="N3975" s="82" t="s">
        <v>11779</v>
      </c>
      <c r="O3975" s="93">
        <v>45886.484733796293</v>
      </c>
    </row>
    <row r="3976" spans="1:15" ht="22.5" customHeight="1">
      <c r="A3976" s="85">
        <v>174904221976312</v>
      </c>
      <c r="B3976" s="82" t="s">
        <v>10651</v>
      </c>
      <c r="C3976" s="82" t="s">
        <v>11785</v>
      </c>
      <c r="D3976" s="82" t="s">
        <v>11786</v>
      </c>
      <c r="E3976" s="82">
        <v>628557182563</v>
      </c>
      <c r="F3976" s="92">
        <v>45885</v>
      </c>
      <c r="G3976" s="87">
        <v>286</v>
      </c>
      <c r="H3976" s="88">
        <v>39885.24590163934</v>
      </c>
      <c r="I3976" s="89">
        <v>9</v>
      </c>
      <c r="J3976" s="90">
        <v>12165</v>
      </c>
      <c r="K3976" s="85">
        <v>2</v>
      </c>
      <c r="L3976" s="85">
        <v>0</v>
      </c>
      <c r="M3976" s="85">
        <v>0</v>
      </c>
      <c r="N3976" s="82" t="s">
        <v>11787</v>
      </c>
      <c r="O3976" s="93">
        <v>45886.568506944444</v>
      </c>
    </row>
    <row r="3977" spans="1:15" ht="22.5" customHeight="1">
      <c r="A3977" s="85">
        <v>174904221976312</v>
      </c>
      <c r="B3977" s="82" t="s">
        <v>10651</v>
      </c>
      <c r="C3977" s="82" t="s">
        <v>11740</v>
      </c>
      <c r="D3977" s="82" t="s">
        <v>3562</v>
      </c>
      <c r="E3977" s="82">
        <v>6281558225822</v>
      </c>
      <c r="F3977" s="92">
        <v>45885</v>
      </c>
      <c r="G3977" s="87">
        <v>117</v>
      </c>
      <c r="H3977" s="88">
        <v>158711.86440677964</v>
      </c>
      <c r="I3977" s="89">
        <v>5</v>
      </c>
      <c r="J3977" s="90">
        <v>18728</v>
      </c>
      <c r="K3977" s="85">
        <v>0</v>
      </c>
      <c r="L3977" s="85">
        <v>53</v>
      </c>
      <c r="M3977" s="85">
        <v>0</v>
      </c>
      <c r="N3977" s="82" t="s">
        <v>11741</v>
      </c>
      <c r="O3977" s="93">
        <v>45886.7971412037</v>
      </c>
    </row>
    <row r="3978" spans="1:15" ht="22.5" customHeight="1">
      <c r="A3978" s="85">
        <v>174904221976312</v>
      </c>
      <c r="B3978" s="82" t="s">
        <v>10651</v>
      </c>
      <c r="C3978" s="82" t="s">
        <v>11755</v>
      </c>
      <c r="D3978" s="82" t="s">
        <v>11756</v>
      </c>
      <c r="E3978" s="82">
        <v>6281357754513</v>
      </c>
      <c r="F3978" s="92">
        <v>45885</v>
      </c>
      <c r="G3978" s="87">
        <v>547</v>
      </c>
      <c r="H3978" s="88">
        <v>22678.571428571428</v>
      </c>
      <c r="I3978" s="89">
        <v>11</v>
      </c>
      <c r="J3978" s="90">
        <v>13335</v>
      </c>
      <c r="K3978" s="85">
        <v>1</v>
      </c>
      <c r="L3978" s="85">
        <v>202</v>
      </c>
      <c r="M3978" s="85">
        <v>1</v>
      </c>
      <c r="N3978" s="82" t="s">
        <v>11757</v>
      </c>
      <c r="O3978" s="93">
        <v>45886.610613425924</v>
      </c>
    </row>
    <row r="3979" spans="1:15" ht="22.5" customHeight="1">
      <c r="A3979" s="85">
        <v>174904221976312</v>
      </c>
      <c r="B3979" s="82" t="s">
        <v>10651</v>
      </c>
      <c r="C3979" s="82" t="s">
        <v>11761</v>
      </c>
      <c r="D3979" s="82" t="s">
        <v>3438</v>
      </c>
      <c r="E3979" s="82">
        <v>628154336558</v>
      </c>
      <c r="F3979" s="92">
        <v>45885</v>
      </c>
      <c r="G3979" s="87">
        <v>1946</v>
      </c>
      <c r="H3979" s="88">
        <v>6955.6451612903229</v>
      </c>
      <c r="I3979" s="89">
        <v>33</v>
      </c>
      <c r="J3979" s="90">
        <v>15525</v>
      </c>
      <c r="K3979" s="85">
        <v>2</v>
      </c>
      <c r="L3979" s="85">
        <v>4</v>
      </c>
      <c r="M3979" s="85">
        <v>0</v>
      </c>
      <c r="N3979" s="82" t="s">
        <v>11762</v>
      </c>
      <c r="O3979" s="93">
        <v>45886.651388888888</v>
      </c>
    </row>
    <row r="3980" spans="1:15" ht="22.5" customHeight="1">
      <c r="A3980" s="85">
        <v>174904221976312</v>
      </c>
      <c r="B3980" s="82" t="s">
        <v>10651</v>
      </c>
      <c r="C3980" s="82" t="s">
        <v>11763</v>
      </c>
      <c r="D3980" s="82" t="s">
        <v>11764</v>
      </c>
      <c r="E3980" s="82">
        <v>6282384544939</v>
      </c>
      <c r="F3980" s="92">
        <v>45885</v>
      </c>
      <c r="G3980" s="87">
        <v>378</v>
      </c>
      <c r="H3980" s="88">
        <v>29331.786542923433</v>
      </c>
      <c r="I3980" s="89">
        <v>2</v>
      </c>
      <c r="J3980" s="90">
        <v>12642</v>
      </c>
      <c r="K3980" s="85">
        <v>0</v>
      </c>
      <c r="L3980" s="85">
        <v>0</v>
      </c>
      <c r="M3980" s="85">
        <v>0</v>
      </c>
      <c r="N3980" s="82" t="s">
        <v>11765</v>
      </c>
      <c r="O3980" s="93">
        <v>45886.568506944444</v>
      </c>
    </row>
    <row r="3981" spans="1:15" ht="22.5" customHeight="1">
      <c r="A3981" s="85">
        <v>174904221976312</v>
      </c>
      <c r="B3981" s="82" t="s">
        <v>10651</v>
      </c>
      <c r="C3981" s="82" t="s">
        <v>11708</v>
      </c>
      <c r="D3981" s="82" t="s">
        <v>11709</v>
      </c>
      <c r="E3981" s="82">
        <v>6285294617773</v>
      </c>
      <c r="F3981" s="92">
        <v>45885</v>
      </c>
      <c r="G3981" s="87">
        <v>279</v>
      </c>
      <c r="H3981" s="88">
        <v>42699.690402476786</v>
      </c>
      <c r="I3981" s="89">
        <v>39</v>
      </c>
      <c r="J3981" s="90">
        <v>13792</v>
      </c>
      <c r="K3981" s="85">
        <v>2</v>
      </c>
      <c r="L3981" s="85">
        <v>65</v>
      </c>
      <c r="M3981" s="85">
        <v>1</v>
      </c>
      <c r="N3981" s="82" t="s">
        <v>11710</v>
      </c>
      <c r="O3981" s="93">
        <v>45886.216423611113</v>
      </c>
    </row>
    <row r="3982" spans="1:15" ht="22.5" customHeight="1">
      <c r="A3982" s="85">
        <v>174904221976312</v>
      </c>
      <c r="B3982" s="82" t="s">
        <v>10651</v>
      </c>
      <c r="C3982" s="82" t="s">
        <v>11663</v>
      </c>
      <c r="D3982" s="82" t="s">
        <v>11664</v>
      </c>
      <c r="E3982" s="82">
        <v>628123264621</v>
      </c>
      <c r="F3982" s="92">
        <v>45885</v>
      </c>
      <c r="G3982" s="87">
        <v>792</v>
      </c>
      <c r="H3982" s="88">
        <v>15922.558922558923</v>
      </c>
      <c r="I3982" s="89">
        <v>39</v>
      </c>
      <c r="J3982" s="90">
        <v>14187</v>
      </c>
      <c r="K3982" s="85">
        <v>6</v>
      </c>
      <c r="L3982" s="85">
        <v>36</v>
      </c>
      <c r="M3982" s="85">
        <v>0</v>
      </c>
      <c r="N3982" s="82" t="s">
        <v>11665</v>
      </c>
      <c r="O3982" s="93">
        <v>45886.734907407408</v>
      </c>
    </row>
    <row r="3983" spans="1:15" ht="22.5" customHeight="1">
      <c r="A3983" s="85">
        <v>174904221976312</v>
      </c>
      <c r="B3983" s="82" t="s">
        <v>10651</v>
      </c>
      <c r="C3983" s="82" t="s">
        <v>11643</v>
      </c>
      <c r="D3983" s="82" t="s">
        <v>11644</v>
      </c>
      <c r="E3983" s="82">
        <v>6281330410391</v>
      </c>
      <c r="F3983" s="92">
        <v>45885</v>
      </c>
      <c r="G3983" s="87">
        <v>1331</v>
      </c>
      <c r="H3983" s="88">
        <v>19774.273345701917</v>
      </c>
      <c r="I3983" s="89">
        <v>67</v>
      </c>
      <c r="J3983" s="90">
        <v>31975</v>
      </c>
      <c r="K3983" s="85">
        <v>10</v>
      </c>
      <c r="L3983" s="85">
        <v>407</v>
      </c>
      <c r="M3983" s="85">
        <v>2</v>
      </c>
      <c r="N3983" s="82" t="s">
        <v>11681</v>
      </c>
      <c r="O3983" s="93">
        <v>45884.259074074071</v>
      </c>
    </row>
    <row r="3984" spans="1:15" ht="22.5" customHeight="1">
      <c r="A3984" s="85">
        <v>174904221976312</v>
      </c>
      <c r="B3984" s="82" t="s">
        <v>10651</v>
      </c>
      <c r="C3984" s="82" t="s">
        <v>11578</v>
      </c>
      <c r="D3984" s="82" t="s">
        <v>1624</v>
      </c>
      <c r="E3984" s="82">
        <v>6281938384000</v>
      </c>
      <c r="F3984" s="92">
        <v>45885</v>
      </c>
      <c r="G3984" s="87">
        <v>639</v>
      </c>
      <c r="H3984" s="88">
        <v>15750.98814229249</v>
      </c>
      <c r="I3984" s="89">
        <v>23</v>
      </c>
      <c r="J3984" s="90">
        <v>11955</v>
      </c>
      <c r="K3984" s="85">
        <v>1</v>
      </c>
      <c r="L3984" s="85">
        <v>344</v>
      </c>
      <c r="M3984" s="85">
        <v>1</v>
      </c>
      <c r="N3984" s="82" t="s">
        <v>11579</v>
      </c>
      <c r="O3984" s="93">
        <v>45886.216400462959</v>
      </c>
    </row>
    <row r="3985" spans="1:15" ht="22.5" customHeight="1">
      <c r="A3985" s="85">
        <v>174904221976312</v>
      </c>
      <c r="B3985" s="82" t="s">
        <v>10651</v>
      </c>
      <c r="C3985" s="82" t="s">
        <v>11545</v>
      </c>
      <c r="D3985" s="82" t="s">
        <v>3140</v>
      </c>
      <c r="E3985" s="82"/>
      <c r="F3985" s="92">
        <v>45885</v>
      </c>
      <c r="G3985" s="87">
        <v>7212</v>
      </c>
      <c r="H3985" s="88">
        <v>1794.6152013342864</v>
      </c>
      <c r="I3985" s="89">
        <v>117</v>
      </c>
      <c r="J3985" s="90">
        <v>15064</v>
      </c>
      <c r="K3985" s="85">
        <v>3</v>
      </c>
      <c r="L3985" s="85">
        <v>62</v>
      </c>
      <c r="M3985" s="85">
        <v>1</v>
      </c>
      <c r="N3985" s="82" t="s">
        <v>10779</v>
      </c>
      <c r="O3985" s="93">
        <v>45886.776550925926</v>
      </c>
    </row>
    <row r="3986" spans="1:15" ht="22.5" customHeight="1">
      <c r="A3986" s="85">
        <v>174904221976312</v>
      </c>
      <c r="B3986" s="82" t="s">
        <v>10651</v>
      </c>
      <c r="C3986" s="82" t="s">
        <v>11494</v>
      </c>
      <c r="D3986" s="82" t="s">
        <v>11495</v>
      </c>
      <c r="E3986" s="82">
        <v>6285645050058</v>
      </c>
      <c r="F3986" s="92">
        <v>45885</v>
      </c>
      <c r="G3986" s="87">
        <v>1225</v>
      </c>
      <c r="H3986" s="88">
        <v>9557.0512820512813</v>
      </c>
      <c r="I3986" s="89">
        <v>56</v>
      </c>
      <c r="J3986" s="90">
        <v>14909</v>
      </c>
      <c r="K3986" s="85">
        <v>2</v>
      </c>
      <c r="L3986" s="85">
        <v>85</v>
      </c>
      <c r="M3986" s="85">
        <v>1</v>
      </c>
      <c r="N3986" s="82" t="s">
        <v>11496</v>
      </c>
      <c r="O3986" s="93">
        <v>45886.216412037036</v>
      </c>
    </row>
    <row r="3987" spans="1:15" ht="22.5" customHeight="1">
      <c r="A3987" s="85">
        <v>174904221976312</v>
      </c>
      <c r="B3987" s="82" t="s">
        <v>10651</v>
      </c>
      <c r="C3987" s="82" t="s">
        <v>11464</v>
      </c>
      <c r="D3987" s="82" t="s">
        <v>11465</v>
      </c>
      <c r="E3987" s="82">
        <v>62816904358</v>
      </c>
      <c r="F3987" s="92">
        <v>45885</v>
      </c>
      <c r="G3987" s="87">
        <v>343</v>
      </c>
      <c r="H3987" s="88">
        <v>33548.314606741573</v>
      </c>
      <c r="I3987" s="89">
        <v>17</v>
      </c>
      <c r="J3987" s="90">
        <v>14929</v>
      </c>
      <c r="K3987" s="85">
        <v>3</v>
      </c>
      <c r="L3987" s="85">
        <v>0</v>
      </c>
      <c r="M3987" s="85">
        <v>0</v>
      </c>
      <c r="N3987" s="82" t="s">
        <v>11466</v>
      </c>
      <c r="O3987" s="93">
        <v>45886.693310185183</v>
      </c>
    </row>
    <row r="3988" spans="1:15" ht="22.5" customHeight="1">
      <c r="A3988" s="85">
        <v>174904221976312</v>
      </c>
      <c r="B3988" s="82" t="s">
        <v>10651</v>
      </c>
      <c r="C3988" s="82" t="s">
        <v>11396</v>
      </c>
      <c r="D3988" s="82" t="s">
        <v>11397</v>
      </c>
      <c r="E3988" s="82">
        <v>6285789446955</v>
      </c>
      <c r="F3988" s="92">
        <v>45885</v>
      </c>
      <c r="G3988" s="87">
        <v>879</v>
      </c>
      <c r="H3988" s="88">
        <v>14974.103585657371</v>
      </c>
      <c r="I3988" s="89">
        <v>10</v>
      </c>
      <c r="J3988" s="90">
        <v>15034</v>
      </c>
      <c r="K3988" s="85">
        <v>1</v>
      </c>
      <c r="L3988" s="85">
        <v>0</v>
      </c>
      <c r="M3988" s="85">
        <v>1</v>
      </c>
      <c r="N3988" s="82" t="s">
        <v>11398</v>
      </c>
      <c r="O3988" s="93">
        <v>45886.216412037036</v>
      </c>
    </row>
    <row r="3989" spans="1:15" ht="22.5" customHeight="1">
      <c r="A3989" s="85">
        <v>174904221976312</v>
      </c>
      <c r="B3989" s="82" t="s">
        <v>10651</v>
      </c>
      <c r="C3989" s="82" t="s">
        <v>11213</v>
      </c>
      <c r="D3989" s="82" t="s">
        <v>2022</v>
      </c>
      <c r="E3989" s="82">
        <v>6285274759862</v>
      </c>
      <c r="F3989" s="92">
        <v>45885</v>
      </c>
      <c r="G3989" s="87">
        <v>658</v>
      </c>
      <c r="H3989" s="88">
        <v>20422.283356258595</v>
      </c>
      <c r="I3989" s="89">
        <v>13</v>
      </c>
      <c r="J3989" s="90">
        <v>14847</v>
      </c>
      <c r="K3989" s="85">
        <v>1</v>
      </c>
      <c r="L3989" s="85">
        <v>199</v>
      </c>
      <c r="M3989" s="85">
        <v>1</v>
      </c>
      <c r="N3989" s="82" t="s">
        <v>11214</v>
      </c>
      <c r="O3989" s="93">
        <v>45886.651377314818</v>
      </c>
    </row>
    <row r="3990" spans="1:15" ht="22.5" customHeight="1">
      <c r="A3990" s="85">
        <v>174904221976312</v>
      </c>
      <c r="B3990" s="82" t="s">
        <v>10651</v>
      </c>
      <c r="C3990" s="82" t="s">
        <v>11193</v>
      </c>
      <c r="D3990" s="82" t="s">
        <v>11194</v>
      </c>
      <c r="E3990" s="82">
        <v>6281779578317</v>
      </c>
      <c r="F3990" s="92">
        <v>45885</v>
      </c>
      <c r="G3990" s="87">
        <v>785</v>
      </c>
      <c r="H3990" s="88">
        <v>15028.344671201814</v>
      </c>
      <c r="I3990" s="89">
        <v>27</v>
      </c>
      <c r="J3990" s="90">
        <v>13255</v>
      </c>
      <c r="K3990" s="85">
        <v>3</v>
      </c>
      <c r="L3990" s="85">
        <v>196</v>
      </c>
      <c r="M3990" s="85">
        <v>0</v>
      </c>
      <c r="N3990" s="82" t="s">
        <v>11195</v>
      </c>
      <c r="O3990" s="93">
        <v>45886.630648148152</v>
      </c>
    </row>
    <row r="3991" spans="1:15" ht="22.5" customHeight="1">
      <c r="A3991" s="85">
        <v>174904221976312</v>
      </c>
      <c r="B3991" s="82" t="s">
        <v>10651</v>
      </c>
      <c r="C3991" s="82" t="s">
        <v>10943</v>
      </c>
      <c r="D3991" s="82" t="s">
        <v>10944</v>
      </c>
      <c r="E3991" s="82">
        <v>6285240694097</v>
      </c>
      <c r="F3991" s="92">
        <v>45885</v>
      </c>
      <c r="G3991" s="87">
        <v>1659</v>
      </c>
      <c r="H3991" s="88">
        <v>8522.4191866527635</v>
      </c>
      <c r="I3991" s="89">
        <v>40</v>
      </c>
      <c r="J3991" s="90">
        <v>16346</v>
      </c>
      <c r="K3991" s="85">
        <v>3</v>
      </c>
      <c r="L3991" s="85">
        <v>257</v>
      </c>
      <c r="M3991" s="85">
        <v>0</v>
      </c>
      <c r="N3991" s="82" t="s">
        <v>11910</v>
      </c>
      <c r="O3991" s="93">
        <v>45886.71434027778</v>
      </c>
    </row>
    <row r="3992" spans="1:15" ht="22.5" customHeight="1">
      <c r="A3992" s="85">
        <v>174904221976312</v>
      </c>
      <c r="B3992" s="82" t="s">
        <v>10651</v>
      </c>
      <c r="C3992" s="82" t="s">
        <v>10853</v>
      </c>
      <c r="D3992" s="82" t="s">
        <v>10854</v>
      </c>
      <c r="E3992" s="82">
        <v>6281393958199</v>
      </c>
      <c r="F3992" s="92">
        <v>45885</v>
      </c>
      <c r="G3992" s="87">
        <v>476</v>
      </c>
      <c r="H3992" s="88">
        <v>22472.924187725632</v>
      </c>
      <c r="I3992" s="89">
        <v>19</v>
      </c>
      <c r="J3992" s="90">
        <v>12450</v>
      </c>
      <c r="K3992" s="85">
        <v>1</v>
      </c>
      <c r="L3992" s="85">
        <v>134</v>
      </c>
      <c r="M3992" s="85">
        <v>0</v>
      </c>
      <c r="N3992" s="82" t="s">
        <v>10855</v>
      </c>
      <c r="O3992" s="93">
        <v>45886.547789351855</v>
      </c>
    </row>
    <row r="3993" spans="1:15" ht="22.5" customHeight="1">
      <c r="A3993" s="85">
        <v>174904221976312</v>
      </c>
      <c r="B3993" s="82" t="s">
        <v>10651</v>
      </c>
      <c r="C3993" s="82" t="s">
        <v>10673</v>
      </c>
      <c r="D3993" s="82" t="s">
        <v>10674</v>
      </c>
      <c r="E3993" s="82">
        <v>6282183184641</v>
      </c>
      <c r="F3993" s="92">
        <v>45885</v>
      </c>
      <c r="G3993" s="87">
        <v>728</v>
      </c>
      <c r="H3993" s="88">
        <v>17833.530106257378</v>
      </c>
      <c r="I3993" s="89">
        <v>26</v>
      </c>
      <c r="J3993" s="90">
        <v>15105</v>
      </c>
      <c r="K3993" s="85">
        <v>3</v>
      </c>
      <c r="L3993" s="85">
        <v>212</v>
      </c>
      <c r="M3993" s="85">
        <v>0</v>
      </c>
      <c r="N3993" s="82" t="s">
        <v>10675</v>
      </c>
      <c r="O3993" s="93">
        <v>45886.672488425924</v>
      </c>
    </row>
    <row r="3994" spans="1:15" ht="22.5" customHeight="1">
      <c r="A3994" s="85">
        <v>174904221976312</v>
      </c>
      <c r="B3994" s="82" t="s">
        <v>10651</v>
      </c>
      <c r="C3994" s="82" t="s">
        <v>10655</v>
      </c>
      <c r="D3994" s="82" t="s">
        <v>3908</v>
      </c>
      <c r="E3994" s="82">
        <v>6285376667233</v>
      </c>
      <c r="F3994" s="92">
        <v>45885</v>
      </c>
      <c r="G3994" s="87">
        <v>743</v>
      </c>
      <c r="H3994" s="88">
        <v>15312.101910828025</v>
      </c>
      <c r="I3994" s="89">
        <v>13</v>
      </c>
      <c r="J3994" s="90">
        <v>12020</v>
      </c>
      <c r="K3994" s="85">
        <v>1</v>
      </c>
      <c r="L3994" s="85">
        <v>292</v>
      </c>
      <c r="M3994" s="85">
        <v>0</v>
      </c>
      <c r="N3994" s="82" t="s">
        <v>10656</v>
      </c>
      <c r="O3994" s="93">
        <v>45886.216400462959</v>
      </c>
    </row>
    <row r="3995" spans="1:15" ht="22.5" customHeight="1">
      <c r="A3995" s="85">
        <v>174904221976312</v>
      </c>
      <c r="B3995" s="82" t="s">
        <v>10651</v>
      </c>
      <c r="C3995" s="82" t="s">
        <v>10662</v>
      </c>
      <c r="D3995" s="82" t="s">
        <v>10663</v>
      </c>
      <c r="E3995" s="82">
        <v>62882001677470</v>
      </c>
      <c r="F3995" s="92">
        <v>45885</v>
      </c>
      <c r="G3995" s="87">
        <v>330</v>
      </c>
      <c r="H3995" s="88">
        <v>37047.872340425536</v>
      </c>
      <c r="I3995" s="89">
        <v>13</v>
      </c>
      <c r="J3995" s="90">
        <v>13930</v>
      </c>
      <c r="K3995" s="85">
        <v>1</v>
      </c>
      <c r="L3995" s="85">
        <v>121</v>
      </c>
      <c r="M3995" s="85">
        <v>1</v>
      </c>
      <c r="N3995" s="82" t="s">
        <v>10664</v>
      </c>
      <c r="O3995" s="93">
        <v>45886.610613425924</v>
      </c>
    </row>
    <row r="3996" spans="1:15" ht="22.5" customHeight="1">
      <c r="A3996" s="85">
        <v>174904221976312</v>
      </c>
      <c r="B3996" s="82" t="s">
        <v>10651</v>
      </c>
      <c r="C3996" s="82" t="s">
        <v>10833</v>
      </c>
      <c r="D3996" s="82" t="s">
        <v>10834</v>
      </c>
      <c r="E3996" s="82">
        <v>6282242925264</v>
      </c>
      <c r="F3996" s="92">
        <v>45885</v>
      </c>
      <c r="G3996" s="87">
        <v>1818</v>
      </c>
      <c r="H3996" s="88">
        <v>7052.2940305870752</v>
      </c>
      <c r="I3996" s="89">
        <v>61</v>
      </c>
      <c r="J3996" s="90">
        <v>14295</v>
      </c>
      <c r="K3996" s="85">
        <v>1</v>
      </c>
      <c r="L3996" s="85">
        <v>512</v>
      </c>
      <c r="M3996" s="85">
        <v>0</v>
      </c>
      <c r="N3996" s="82" t="s">
        <v>10835</v>
      </c>
      <c r="O3996" s="93">
        <v>45886.630659722221</v>
      </c>
    </row>
    <row r="3997" spans="1:15" ht="22.5" customHeight="1">
      <c r="A3997" s="85">
        <v>766589657993298</v>
      </c>
      <c r="B3997" s="82" t="s">
        <v>10688</v>
      </c>
      <c r="C3997" s="82" t="s">
        <v>11972</v>
      </c>
      <c r="D3997" s="82" t="s">
        <v>11973</v>
      </c>
      <c r="E3997" s="82">
        <v>628971115941</v>
      </c>
      <c r="F3997" s="92">
        <v>45885</v>
      </c>
      <c r="G3997" s="87">
        <v>569</v>
      </c>
      <c r="H3997" s="88">
        <v>17637.62102351314</v>
      </c>
      <c r="I3997" s="89">
        <v>5</v>
      </c>
      <c r="J3997" s="90">
        <v>12752</v>
      </c>
      <c r="K3997" s="85">
        <v>0</v>
      </c>
      <c r="L3997" s="85">
        <v>45</v>
      </c>
      <c r="M3997" s="85">
        <v>0</v>
      </c>
      <c r="N3997" s="82" t="s">
        <v>11974</v>
      </c>
      <c r="O3997" s="93">
        <v>45886.737638888888</v>
      </c>
    </row>
    <row r="3998" spans="1:15" ht="22.5" customHeight="1">
      <c r="A3998" s="85">
        <v>766589657993298</v>
      </c>
      <c r="B3998" s="82" t="s">
        <v>10688</v>
      </c>
      <c r="C3998" s="82" t="s">
        <v>11975</v>
      </c>
      <c r="D3998" s="82" t="s">
        <v>11976</v>
      </c>
      <c r="E3998" s="82">
        <v>6285640123555</v>
      </c>
      <c r="F3998" s="92">
        <v>45885</v>
      </c>
      <c r="G3998" s="87">
        <v>617</v>
      </c>
      <c r="H3998" s="88">
        <v>15867.321867321869</v>
      </c>
      <c r="I3998" s="89">
        <v>20</v>
      </c>
      <c r="J3998" s="90">
        <v>12916</v>
      </c>
      <c r="K3998" s="85">
        <v>1</v>
      </c>
      <c r="L3998" s="85">
        <v>113</v>
      </c>
      <c r="M3998" s="85">
        <v>1</v>
      </c>
      <c r="N3998" s="82" t="s">
        <v>11977</v>
      </c>
      <c r="O3998" s="93">
        <v>45886.737638888888</v>
      </c>
    </row>
    <row r="3999" spans="1:15" ht="22.5" customHeight="1">
      <c r="A3999" s="85">
        <v>766589657993298</v>
      </c>
      <c r="B3999" s="82" t="s">
        <v>10688</v>
      </c>
      <c r="C3999" s="82" t="s">
        <v>11978</v>
      </c>
      <c r="D3999" s="82" t="s">
        <v>11979</v>
      </c>
      <c r="E3999" s="82">
        <v>62882008302847</v>
      </c>
      <c r="F3999" s="92">
        <v>45885</v>
      </c>
      <c r="G3999" s="87">
        <v>422</v>
      </c>
      <c r="H3999" s="88">
        <v>26134.301270417425</v>
      </c>
      <c r="I3999" s="89">
        <v>24</v>
      </c>
      <c r="J3999" s="90">
        <v>14400</v>
      </c>
      <c r="K3999" s="85">
        <v>2</v>
      </c>
      <c r="L3999" s="85">
        <v>29</v>
      </c>
      <c r="M3999" s="85">
        <v>0</v>
      </c>
      <c r="N3999" s="82" t="s">
        <v>11980</v>
      </c>
      <c r="O3999" s="93">
        <v>45886.695949074077</v>
      </c>
    </row>
    <row r="4000" spans="1:15" ht="22.5" customHeight="1">
      <c r="A4000" s="85">
        <v>766589657993298</v>
      </c>
      <c r="B4000" s="82" t="s">
        <v>10688</v>
      </c>
      <c r="C4000" s="82" t="s">
        <v>11927</v>
      </c>
      <c r="D4000" s="82" t="s">
        <v>11928</v>
      </c>
      <c r="E4000" s="82">
        <v>6285217189178</v>
      </c>
      <c r="F4000" s="92">
        <v>45885</v>
      </c>
      <c r="G4000" s="87">
        <v>244</v>
      </c>
      <c r="H4000" s="88">
        <v>60720.149253731346</v>
      </c>
      <c r="I4000" s="89">
        <v>14</v>
      </c>
      <c r="J4000" s="90">
        <v>16273</v>
      </c>
      <c r="K4000" s="85">
        <v>2</v>
      </c>
      <c r="L4000" s="85">
        <v>104</v>
      </c>
      <c r="M4000" s="85">
        <v>0</v>
      </c>
      <c r="N4000" s="82" t="s">
        <v>11929</v>
      </c>
      <c r="O4000" s="93">
        <v>45886.717280092591</v>
      </c>
    </row>
    <row r="4001" spans="1:15" ht="22.5" customHeight="1">
      <c r="A4001" s="85">
        <v>766589657993298</v>
      </c>
      <c r="B4001" s="82" t="s">
        <v>10688</v>
      </c>
      <c r="C4001" s="82" t="s">
        <v>11930</v>
      </c>
      <c r="D4001" s="82" t="s">
        <v>3999</v>
      </c>
      <c r="E4001" s="82">
        <v>6281215552664</v>
      </c>
      <c r="F4001" s="92">
        <v>45885</v>
      </c>
      <c r="G4001" s="87">
        <v>352</v>
      </c>
      <c r="H4001" s="88">
        <v>39028.205128205132</v>
      </c>
      <c r="I4001" s="89">
        <v>13</v>
      </c>
      <c r="J4001" s="90">
        <v>15221</v>
      </c>
      <c r="K4001" s="85">
        <v>4</v>
      </c>
      <c r="L4001" s="85">
        <v>46</v>
      </c>
      <c r="M4001" s="85">
        <v>0</v>
      </c>
      <c r="N4001" s="82" t="s">
        <v>11931</v>
      </c>
      <c r="O4001" s="93">
        <v>45886.737615740742</v>
      </c>
    </row>
    <row r="4002" spans="1:15" ht="22.5" customHeight="1">
      <c r="A4002" s="85">
        <v>766589657993298</v>
      </c>
      <c r="B4002" s="82" t="s">
        <v>10688</v>
      </c>
      <c r="C4002" s="82" t="s">
        <v>11932</v>
      </c>
      <c r="D4002" s="82" t="s">
        <v>11933</v>
      </c>
      <c r="E4002" s="82">
        <v>6283117425214</v>
      </c>
      <c r="F4002" s="92">
        <v>45885</v>
      </c>
      <c r="G4002" s="87">
        <v>1682</v>
      </c>
      <c r="H4002" s="88">
        <v>8556.2098501070668</v>
      </c>
      <c r="I4002" s="89">
        <v>44</v>
      </c>
      <c r="J4002" s="90">
        <v>15983</v>
      </c>
      <c r="K4002" s="85">
        <v>4</v>
      </c>
      <c r="L4002" s="85">
        <v>3</v>
      </c>
      <c r="M4002" s="85">
        <v>0</v>
      </c>
      <c r="N4002" s="82" t="s">
        <v>11934</v>
      </c>
      <c r="O4002" s="93">
        <v>45886.695949074077</v>
      </c>
    </row>
    <row r="4003" spans="1:15" ht="22.5" customHeight="1">
      <c r="A4003" s="85">
        <v>766589657993298</v>
      </c>
      <c r="B4003" s="82" t="s">
        <v>10688</v>
      </c>
      <c r="C4003" s="82" t="s">
        <v>11935</v>
      </c>
      <c r="D4003" s="82" t="s">
        <v>11693</v>
      </c>
      <c r="E4003" s="82">
        <v>62895635983361</v>
      </c>
      <c r="F4003" s="92">
        <v>45885</v>
      </c>
      <c r="G4003" s="87">
        <v>628</v>
      </c>
      <c r="H4003" s="88">
        <v>19419.117647058822</v>
      </c>
      <c r="I4003" s="89">
        <v>14</v>
      </c>
      <c r="J4003" s="90">
        <v>13205</v>
      </c>
      <c r="K4003" s="85">
        <v>4</v>
      </c>
      <c r="L4003" s="85">
        <v>10</v>
      </c>
      <c r="M4003" s="85">
        <v>0</v>
      </c>
      <c r="N4003" s="82" t="s">
        <v>11936</v>
      </c>
      <c r="O4003" s="93">
        <v>45885.217557870368</v>
      </c>
    </row>
    <row r="4004" spans="1:15" ht="22.5" customHeight="1">
      <c r="A4004" s="85">
        <v>766589657993298</v>
      </c>
      <c r="B4004" s="82" t="s">
        <v>10688</v>
      </c>
      <c r="C4004" s="82" t="s">
        <v>11937</v>
      </c>
      <c r="D4004" s="82" t="s">
        <v>11938</v>
      </c>
      <c r="E4004" s="82">
        <v>6281342202869</v>
      </c>
      <c r="F4004" s="92">
        <v>45885</v>
      </c>
      <c r="G4004" s="87">
        <v>1461</v>
      </c>
      <c r="H4004" s="88">
        <v>8962.8820960698686</v>
      </c>
      <c r="I4004" s="89">
        <v>21</v>
      </c>
      <c r="J4004" s="90">
        <v>16420</v>
      </c>
      <c r="K4004" s="85">
        <v>1</v>
      </c>
      <c r="L4004" s="85">
        <v>294</v>
      </c>
      <c r="M4004" s="85">
        <v>0</v>
      </c>
      <c r="N4004" s="82" t="s">
        <v>11939</v>
      </c>
      <c r="O4004" s="93">
        <v>45886.612743055557</v>
      </c>
    </row>
    <row r="4005" spans="1:15" ht="22.5" customHeight="1">
      <c r="A4005" s="85">
        <v>766589657993298</v>
      </c>
      <c r="B4005" s="82" t="s">
        <v>10688</v>
      </c>
      <c r="C4005" s="82" t="s">
        <v>11940</v>
      </c>
      <c r="D4005" s="82" t="s">
        <v>11941</v>
      </c>
      <c r="E4005" s="82">
        <v>6282328059129</v>
      </c>
      <c r="F4005" s="92">
        <v>45885</v>
      </c>
      <c r="G4005" s="87">
        <v>390</v>
      </c>
      <c r="H4005" s="88">
        <v>33489.841986455976</v>
      </c>
      <c r="I4005" s="89">
        <v>6</v>
      </c>
      <c r="J4005" s="90">
        <v>14836</v>
      </c>
      <c r="K4005" s="85">
        <v>1</v>
      </c>
      <c r="L4005" s="85">
        <v>117</v>
      </c>
      <c r="M4005" s="85">
        <v>0</v>
      </c>
      <c r="N4005" s="82" t="s">
        <v>11942</v>
      </c>
      <c r="O4005" s="93">
        <v>45886.737638888888</v>
      </c>
    </row>
    <row r="4006" spans="1:15" ht="22.5" customHeight="1">
      <c r="A4006" s="85">
        <v>766589657993298</v>
      </c>
      <c r="B4006" s="82" t="s">
        <v>10688</v>
      </c>
      <c r="C4006" s="82" t="s">
        <v>11943</v>
      </c>
      <c r="D4006" s="82" t="s">
        <v>11944</v>
      </c>
      <c r="E4006" s="82">
        <v>6285925102815</v>
      </c>
      <c r="F4006" s="92">
        <v>45885</v>
      </c>
      <c r="G4006" s="87">
        <v>374</v>
      </c>
      <c r="H4006" s="88">
        <v>38517.401392111366</v>
      </c>
      <c r="I4006" s="89">
        <v>12</v>
      </c>
      <c r="J4006" s="90">
        <v>16601</v>
      </c>
      <c r="K4006" s="85">
        <v>2</v>
      </c>
      <c r="L4006" s="85">
        <v>72</v>
      </c>
      <c r="M4006" s="85">
        <v>1</v>
      </c>
      <c r="N4006" s="82" t="s">
        <v>11945</v>
      </c>
      <c r="O4006" s="93">
        <v>45886.800428240742</v>
      </c>
    </row>
    <row r="4007" spans="1:15" ht="22.5" customHeight="1">
      <c r="A4007" s="85">
        <v>766589657993298</v>
      </c>
      <c r="B4007" s="82" t="s">
        <v>10688</v>
      </c>
      <c r="C4007" s="82" t="s">
        <v>11946</v>
      </c>
      <c r="D4007" s="82" t="s">
        <v>11947</v>
      </c>
      <c r="E4007" s="82">
        <v>6285268858846</v>
      </c>
      <c r="F4007" s="92">
        <v>45885</v>
      </c>
      <c r="G4007" s="87">
        <v>584</v>
      </c>
      <c r="H4007" s="88">
        <v>23412.103746397694</v>
      </c>
      <c r="I4007" s="89">
        <v>9</v>
      </c>
      <c r="J4007" s="90">
        <v>16248</v>
      </c>
      <c r="K4007" s="85">
        <v>0</v>
      </c>
      <c r="L4007" s="85">
        <v>66</v>
      </c>
      <c r="M4007" s="85">
        <v>0</v>
      </c>
      <c r="N4007" s="82" t="s">
        <v>11948</v>
      </c>
      <c r="O4007" s="93">
        <v>45886.550034722219</v>
      </c>
    </row>
    <row r="4008" spans="1:15" ht="22.5" customHeight="1">
      <c r="A4008" s="85">
        <v>766589657993298</v>
      </c>
      <c r="B4008" s="82" t="s">
        <v>10688</v>
      </c>
      <c r="C4008" s="82" t="s">
        <v>11949</v>
      </c>
      <c r="D4008" s="82" t="s">
        <v>11950</v>
      </c>
      <c r="E4008" s="82">
        <v>628997485901</v>
      </c>
      <c r="F4008" s="92">
        <v>45885</v>
      </c>
      <c r="G4008" s="87">
        <v>636</v>
      </c>
      <c r="H4008" s="88">
        <v>22993.02649930265</v>
      </c>
      <c r="I4008" s="89">
        <v>10</v>
      </c>
      <c r="J4008" s="90">
        <v>16486</v>
      </c>
      <c r="K4008" s="85">
        <v>1</v>
      </c>
      <c r="L4008" s="85">
        <v>104</v>
      </c>
      <c r="M4008" s="85">
        <v>0</v>
      </c>
      <c r="N4008" s="82" t="s">
        <v>11951</v>
      </c>
      <c r="O4008" s="93">
        <v>45886.591956018521</v>
      </c>
    </row>
    <row r="4009" spans="1:15" ht="22.5" customHeight="1">
      <c r="A4009" s="85">
        <v>766589657993298</v>
      </c>
      <c r="B4009" s="82" t="s">
        <v>10688</v>
      </c>
      <c r="C4009" s="82" t="s">
        <v>11952</v>
      </c>
      <c r="D4009" s="82" t="s">
        <v>3917</v>
      </c>
      <c r="E4009" s="82">
        <v>6281231728008</v>
      </c>
      <c r="F4009" s="92">
        <v>45885</v>
      </c>
      <c r="G4009" s="87">
        <v>492</v>
      </c>
      <c r="H4009" s="88">
        <v>28330.373001776199</v>
      </c>
      <c r="I4009" s="89">
        <v>13</v>
      </c>
      <c r="J4009" s="90">
        <v>15950</v>
      </c>
      <c r="K4009" s="85">
        <v>2</v>
      </c>
      <c r="L4009" s="85">
        <v>118</v>
      </c>
      <c r="M4009" s="85">
        <v>0</v>
      </c>
      <c r="N4009" s="82" t="s">
        <v>11953</v>
      </c>
      <c r="O4009" s="93">
        <v>45886.737638888888</v>
      </c>
    </row>
    <row r="4010" spans="1:15" ht="22.5" customHeight="1">
      <c r="A4010" s="85">
        <v>766589657993298</v>
      </c>
      <c r="B4010" s="82" t="s">
        <v>10688</v>
      </c>
      <c r="C4010" s="82" t="s">
        <v>11954</v>
      </c>
      <c r="D4010" s="82" t="s">
        <v>3956</v>
      </c>
      <c r="E4010" s="82">
        <v>628156516849</v>
      </c>
      <c r="F4010" s="92">
        <v>45885</v>
      </c>
      <c r="G4010" s="87">
        <v>397</v>
      </c>
      <c r="H4010" s="88">
        <v>34811.529933481157</v>
      </c>
      <c r="I4010" s="89">
        <v>21</v>
      </c>
      <c r="J4010" s="90">
        <v>15700</v>
      </c>
      <c r="K4010" s="85">
        <v>7</v>
      </c>
      <c r="L4010" s="85">
        <v>123</v>
      </c>
      <c r="M4010" s="85">
        <v>0</v>
      </c>
      <c r="N4010" s="82" t="s">
        <v>11955</v>
      </c>
      <c r="O4010" s="93">
        <v>45886.675358796296</v>
      </c>
    </row>
    <row r="4011" spans="1:15" ht="22.5" customHeight="1">
      <c r="A4011" s="85">
        <v>766589657993298</v>
      </c>
      <c r="B4011" s="82" t="s">
        <v>10688</v>
      </c>
      <c r="C4011" s="82" t="s">
        <v>11956</v>
      </c>
      <c r="D4011" s="82" t="s">
        <v>11957</v>
      </c>
      <c r="E4011" s="82">
        <v>6281243260218</v>
      </c>
      <c r="F4011" s="92">
        <v>45885</v>
      </c>
      <c r="G4011" s="87">
        <v>1347</v>
      </c>
      <c r="H4011" s="88">
        <v>10005.497861942578</v>
      </c>
      <c r="I4011" s="89">
        <v>49</v>
      </c>
      <c r="J4011" s="90">
        <v>16379</v>
      </c>
      <c r="K4011" s="85">
        <v>5</v>
      </c>
      <c r="L4011" s="85">
        <v>568</v>
      </c>
      <c r="M4011" s="85">
        <v>0</v>
      </c>
      <c r="N4011" s="82" t="s">
        <v>11958</v>
      </c>
      <c r="O4011" s="93">
        <v>45886.550034722219</v>
      </c>
    </row>
    <row r="4012" spans="1:15" ht="22.5" customHeight="1">
      <c r="A4012" s="85">
        <v>766589657993298</v>
      </c>
      <c r="B4012" s="82" t="s">
        <v>10688</v>
      </c>
      <c r="C4012" s="82" t="s">
        <v>11959</v>
      </c>
      <c r="D4012" s="82" t="s">
        <v>350</v>
      </c>
      <c r="E4012" s="82">
        <v>6282184823441</v>
      </c>
      <c r="F4012" s="92">
        <v>45885</v>
      </c>
      <c r="G4012" s="87">
        <v>1303</v>
      </c>
      <c r="H4012" s="88">
        <v>10854.281767955801</v>
      </c>
      <c r="I4012" s="89">
        <v>26</v>
      </c>
      <c r="J4012" s="90">
        <v>15717</v>
      </c>
      <c r="K4012" s="85">
        <v>4</v>
      </c>
      <c r="L4012" s="85">
        <v>434</v>
      </c>
      <c r="M4012" s="85">
        <v>0</v>
      </c>
      <c r="N4012" s="82" t="s">
        <v>11960</v>
      </c>
      <c r="O4012" s="93">
        <v>45886.717268518521</v>
      </c>
    </row>
    <row r="4013" spans="1:15" ht="22.5" customHeight="1">
      <c r="A4013" s="85">
        <v>766589657993298</v>
      </c>
      <c r="B4013" s="82" t="s">
        <v>10688</v>
      </c>
      <c r="C4013" s="82" t="s">
        <v>11961</v>
      </c>
      <c r="D4013" s="82" t="s">
        <v>11962</v>
      </c>
      <c r="E4013" s="82">
        <v>6283185169816</v>
      </c>
      <c r="F4013" s="92">
        <v>45885</v>
      </c>
      <c r="G4013" s="87">
        <v>775</v>
      </c>
      <c r="H4013" s="88">
        <v>20029.23264311815</v>
      </c>
      <c r="I4013" s="89">
        <v>16</v>
      </c>
      <c r="J4013" s="90">
        <v>16444</v>
      </c>
      <c r="K4013" s="85">
        <v>0</v>
      </c>
      <c r="L4013" s="85">
        <v>294</v>
      </c>
      <c r="M4013" s="85">
        <v>0</v>
      </c>
      <c r="N4013" s="82" t="s">
        <v>11963</v>
      </c>
      <c r="O4013" s="93">
        <v>45886.779490740744</v>
      </c>
    </row>
    <row r="4014" spans="1:15" ht="22.5" customHeight="1">
      <c r="A4014" s="85">
        <v>766589657993298</v>
      </c>
      <c r="B4014" s="82" t="s">
        <v>10688</v>
      </c>
      <c r="C4014" s="82" t="s">
        <v>11964</v>
      </c>
      <c r="D4014" s="82" t="s">
        <v>3822</v>
      </c>
      <c r="E4014" s="82">
        <v>6287768646729</v>
      </c>
      <c r="F4014" s="92">
        <v>45885</v>
      </c>
      <c r="G4014" s="87">
        <v>538</v>
      </c>
      <c r="H4014" s="88">
        <v>26394.034536891682</v>
      </c>
      <c r="I4014" s="89">
        <v>4</v>
      </c>
      <c r="J4014" s="90">
        <v>16813</v>
      </c>
      <c r="K4014" s="85">
        <v>1</v>
      </c>
      <c r="L4014" s="85">
        <v>145</v>
      </c>
      <c r="M4014" s="85">
        <v>0</v>
      </c>
      <c r="N4014" s="82" t="s">
        <v>11965</v>
      </c>
      <c r="O4014" s="93">
        <v>45886.217210648145</v>
      </c>
    </row>
    <row r="4015" spans="1:15" ht="22.5" customHeight="1">
      <c r="A4015" s="85">
        <v>766589657993298</v>
      </c>
      <c r="B4015" s="82" t="s">
        <v>10688</v>
      </c>
      <c r="C4015" s="82" t="s">
        <v>11855</v>
      </c>
      <c r="D4015" s="82" t="s">
        <v>4690</v>
      </c>
      <c r="E4015" s="82">
        <v>6281323291817</v>
      </c>
      <c r="F4015" s="92">
        <v>45885</v>
      </c>
      <c r="G4015" s="87">
        <v>2470</v>
      </c>
      <c r="H4015" s="88">
        <v>6720</v>
      </c>
      <c r="I4015" s="89">
        <v>81</v>
      </c>
      <c r="J4015" s="90">
        <v>17472</v>
      </c>
      <c r="K4015" s="85">
        <v>9</v>
      </c>
      <c r="L4015" s="85">
        <v>984</v>
      </c>
      <c r="M4015" s="85">
        <v>0</v>
      </c>
      <c r="N4015" s="82" t="s">
        <v>11856</v>
      </c>
      <c r="O4015" s="93">
        <v>45886.717291666668</v>
      </c>
    </row>
    <row r="4016" spans="1:15" ht="22.5" customHeight="1">
      <c r="A4016" s="85">
        <v>766589657993298</v>
      </c>
      <c r="B4016" s="82" t="s">
        <v>10688</v>
      </c>
      <c r="C4016" s="82" t="s">
        <v>11829</v>
      </c>
      <c r="D4016" s="82" t="s">
        <v>3503</v>
      </c>
      <c r="E4016" s="82">
        <v>6285767074516</v>
      </c>
      <c r="F4016" s="92">
        <v>45885</v>
      </c>
      <c r="G4016" s="87">
        <v>1501</v>
      </c>
      <c r="H4016" s="88">
        <v>10204.234122042342</v>
      </c>
      <c r="I4016" s="89">
        <v>25</v>
      </c>
      <c r="J4016" s="90">
        <v>16388</v>
      </c>
      <c r="K4016" s="85">
        <v>2</v>
      </c>
      <c r="L4016" s="85">
        <v>510</v>
      </c>
      <c r="M4016" s="85">
        <v>0</v>
      </c>
      <c r="N4016" s="82" t="s">
        <v>11830</v>
      </c>
      <c r="O4016" s="93">
        <v>45886.737627314818</v>
      </c>
    </row>
    <row r="4017" spans="1:15" ht="22.5" customHeight="1">
      <c r="A4017" s="85">
        <v>766589657993298</v>
      </c>
      <c r="B4017" s="82" t="s">
        <v>10688</v>
      </c>
      <c r="C4017" s="82" t="s">
        <v>11834</v>
      </c>
      <c r="D4017" s="82" t="s">
        <v>11835</v>
      </c>
      <c r="E4017" s="82">
        <v>6285694618282</v>
      </c>
      <c r="F4017" s="92">
        <v>45885</v>
      </c>
      <c r="G4017" s="87">
        <v>576</v>
      </c>
      <c r="H4017" s="88">
        <v>27597.359735973598</v>
      </c>
      <c r="I4017" s="89">
        <v>20</v>
      </c>
      <c r="J4017" s="90">
        <v>16724</v>
      </c>
      <c r="K4017" s="85">
        <v>2</v>
      </c>
      <c r="L4017" s="85">
        <v>262</v>
      </c>
      <c r="M4017" s="85">
        <v>0</v>
      </c>
      <c r="N4017" s="82" t="s">
        <v>11836</v>
      </c>
      <c r="O4017" s="93">
        <v>45886.737638888888</v>
      </c>
    </row>
    <row r="4018" spans="1:15" ht="22.5" customHeight="1">
      <c r="A4018" s="85">
        <v>766589657993298</v>
      </c>
      <c r="B4018" s="82" t="s">
        <v>10688</v>
      </c>
      <c r="C4018" s="82" t="s">
        <v>11616</v>
      </c>
      <c r="D4018" s="82" t="s">
        <v>3187</v>
      </c>
      <c r="E4018" s="82">
        <v>6282164564557</v>
      </c>
      <c r="F4018" s="92">
        <v>45885</v>
      </c>
      <c r="G4018" s="87">
        <v>1855</v>
      </c>
      <c r="H4018" s="88">
        <v>8929.8823529411766</v>
      </c>
      <c r="I4018" s="89">
        <v>55</v>
      </c>
      <c r="J4018" s="90">
        <v>18976</v>
      </c>
      <c r="K4018" s="85">
        <v>3</v>
      </c>
      <c r="L4018" s="85">
        <v>758</v>
      </c>
      <c r="M4018" s="85">
        <v>1</v>
      </c>
      <c r="N4018" s="82" t="s">
        <v>11617</v>
      </c>
      <c r="O4018" s="93">
        <v>45886.737615740742</v>
      </c>
    </row>
    <row r="4019" spans="1:15" ht="22.5" customHeight="1">
      <c r="A4019" s="85">
        <v>759724529202804</v>
      </c>
      <c r="B4019" s="82" t="s">
        <v>10621</v>
      </c>
      <c r="C4019" s="82" t="s">
        <v>11859</v>
      </c>
      <c r="D4019" s="82" t="s">
        <v>11860</v>
      </c>
      <c r="E4019" s="82">
        <v>6285138380189</v>
      </c>
      <c r="F4019" s="92">
        <v>45886</v>
      </c>
      <c r="G4019" s="87">
        <v>313</v>
      </c>
      <c r="H4019" s="88">
        <v>24374.631268436577</v>
      </c>
      <c r="I4019" s="89">
        <v>3</v>
      </c>
      <c r="J4019" s="90">
        <v>8263</v>
      </c>
      <c r="K4019" s="85">
        <v>0</v>
      </c>
      <c r="L4019" s="85">
        <v>30</v>
      </c>
      <c r="M4019" s="85">
        <v>0</v>
      </c>
      <c r="N4019" s="82" t="s">
        <v>11861</v>
      </c>
      <c r="O4019" s="93">
        <v>45887.214999999997</v>
      </c>
    </row>
    <row r="4020" spans="1:15" ht="22.5" customHeight="1">
      <c r="A4020" s="85">
        <v>759724529202804</v>
      </c>
      <c r="B4020" s="82" t="s">
        <v>10621</v>
      </c>
      <c r="C4020" s="82" t="s">
        <v>11037</v>
      </c>
      <c r="D4020" s="82" t="s">
        <v>199</v>
      </c>
      <c r="E4020" s="82">
        <v>6285220903499</v>
      </c>
      <c r="F4020" s="92">
        <v>45886</v>
      </c>
      <c r="G4020" s="87">
        <v>1043</v>
      </c>
      <c r="H4020" s="88">
        <v>12615.191986644408</v>
      </c>
      <c r="I4020" s="89">
        <v>43</v>
      </c>
      <c r="J4020" s="90">
        <v>15113</v>
      </c>
      <c r="K4020" s="85">
        <v>10</v>
      </c>
      <c r="L4020" s="85">
        <v>418</v>
      </c>
      <c r="M4020" s="85">
        <v>1</v>
      </c>
      <c r="N4020" s="82" t="s">
        <v>11038</v>
      </c>
      <c r="O4020" s="93">
        <v>45887.693483796298</v>
      </c>
    </row>
    <row r="4021" spans="1:15" ht="22.5" customHeight="1">
      <c r="A4021" s="85">
        <v>174904221976312</v>
      </c>
      <c r="B4021" s="82" t="s">
        <v>10651</v>
      </c>
      <c r="C4021" s="82" t="s">
        <v>11966</v>
      </c>
      <c r="D4021" s="82" t="s">
        <v>11967</v>
      </c>
      <c r="E4021" s="82">
        <v>6285780314346</v>
      </c>
      <c r="F4021" s="92">
        <v>45886</v>
      </c>
      <c r="G4021" s="87">
        <v>500</v>
      </c>
      <c r="H4021" s="88">
        <v>18063.018242122718</v>
      </c>
      <c r="I4021" s="89">
        <v>23</v>
      </c>
      <c r="J4021" s="90">
        <v>10892</v>
      </c>
      <c r="K4021" s="85">
        <v>1</v>
      </c>
      <c r="L4021" s="85">
        <v>1</v>
      </c>
      <c r="M4021" s="85">
        <v>0</v>
      </c>
      <c r="N4021" s="82" t="s">
        <v>11968</v>
      </c>
      <c r="O4021" s="93">
        <v>45887.776921296296</v>
      </c>
    </row>
    <row r="4022" spans="1:15" ht="22.5" customHeight="1">
      <c r="A4022" s="85">
        <v>174904221976312</v>
      </c>
      <c r="B4022" s="82" t="s">
        <v>10651</v>
      </c>
      <c r="C4022" s="82" t="s">
        <v>11969</v>
      </c>
      <c r="D4022" s="82" t="s">
        <v>11970</v>
      </c>
      <c r="E4022" s="82">
        <v>628561302381</v>
      </c>
      <c r="F4022" s="92">
        <v>45886</v>
      </c>
      <c r="G4022" s="87">
        <v>428</v>
      </c>
      <c r="H4022" s="88">
        <v>27311.688311688311</v>
      </c>
      <c r="I4022" s="89">
        <v>12</v>
      </c>
      <c r="J4022" s="90">
        <v>12618</v>
      </c>
      <c r="K4022" s="85">
        <v>0</v>
      </c>
      <c r="L4022" s="85">
        <v>131</v>
      </c>
      <c r="M4022" s="85">
        <v>0</v>
      </c>
      <c r="N4022" s="82" t="s">
        <v>11971</v>
      </c>
      <c r="O4022" s="93">
        <v>45887.735266203701</v>
      </c>
    </row>
    <row r="4023" spans="1:15" ht="22.5" customHeight="1">
      <c r="A4023" s="85">
        <v>174904221976312</v>
      </c>
      <c r="B4023" s="82" t="s">
        <v>10651</v>
      </c>
      <c r="C4023" s="82" t="s">
        <v>11911</v>
      </c>
      <c r="D4023" s="82" t="s">
        <v>11912</v>
      </c>
      <c r="E4023" s="82">
        <v>6287864812126</v>
      </c>
      <c r="F4023" s="92">
        <v>45886</v>
      </c>
      <c r="G4023" s="87">
        <v>1758</v>
      </c>
      <c r="H4023" s="88">
        <v>6759.3314763231201</v>
      </c>
      <c r="I4023" s="89">
        <v>25</v>
      </c>
      <c r="J4023" s="90">
        <v>12133</v>
      </c>
      <c r="K4023" s="85">
        <v>0</v>
      </c>
      <c r="L4023" s="85">
        <v>940</v>
      </c>
      <c r="M4023" s="85">
        <v>0</v>
      </c>
      <c r="N4023" s="82" t="s">
        <v>11913</v>
      </c>
      <c r="O4023" s="93">
        <v>45887.817789351851</v>
      </c>
    </row>
    <row r="4024" spans="1:15" ht="22.5" customHeight="1">
      <c r="A4024" s="85">
        <v>174904221976312</v>
      </c>
      <c r="B4024" s="82" t="s">
        <v>10651</v>
      </c>
      <c r="C4024" s="82" t="s">
        <v>11914</v>
      </c>
      <c r="D4024" s="82" t="s">
        <v>9010</v>
      </c>
      <c r="E4024" s="82">
        <v>6281320188313</v>
      </c>
      <c r="F4024" s="92">
        <v>45886</v>
      </c>
      <c r="G4024" s="87">
        <v>797</v>
      </c>
      <c r="H4024" s="88">
        <v>12041.019955654103</v>
      </c>
      <c r="I4024" s="89">
        <v>13</v>
      </c>
      <c r="J4024" s="90">
        <v>10861</v>
      </c>
      <c r="K4024" s="85">
        <v>1</v>
      </c>
      <c r="L4024" s="85">
        <v>2</v>
      </c>
      <c r="M4024" s="85">
        <v>0</v>
      </c>
      <c r="N4024" s="82" t="s">
        <v>11915</v>
      </c>
      <c r="O4024" s="93">
        <v>45887.735266203701</v>
      </c>
    </row>
    <row r="4025" spans="1:15" ht="22.5" customHeight="1">
      <c r="A4025" s="85">
        <v>174904221976312</v>
      </c>
      <c r="B4025" s="82" t="s">
        <v>10651</v>
      </c>
      <c r="C4025" s="82" t="s">
        <v>11916</v>
      </c>
      <c r="D4025" s="82" t="s">
        <v>11917</v>
      </c>
      <c r="E4025" s="82">
        <v>6281339823715</v>
      </c>
      <c r="F4025" s="92">
        <v>45886</v>
      </c>
      <c r="G4025" s="87">
        <v>2223</v>
      </c>
      <c r="H4025" s="88">
        <v>5407.6233183856502</v>
      </c>
      <c r="I4025" s="89">
        <v>31</v>
      </c>
      <c r="J4025" s="90">
        <v>12059</v>
      </c>
      <c r="K4025" s="85">
        <v>0</v>
      </c>
      <c r="L4025" s="85">
        <v>326</v>
      </c>
      <c r="M4025" s="85">
        <v>0</v>
      </c>
      <c r="N4025" s="82" t="s">
        <v>11918</v>
      </c>
      <c r="O4025" s="93">
        <v>45887.797129629631</v>
      </c>
    </row>
    <row r="4026" spans="1:15" ht="22.5" customHeight="1">
      <c r="A4026" s="85">
        <v>174904221976312</v>
      </c>
      <c r="B4026" s="82" t="s">
        <v>10651</v>
      </c>
      <c r="C4026" s="82" t="s">
        <v>11919</v>
      </c>
      <c r="D4026" s="82" t="s">
        <v>11920</v>
      </c>
      <c r="E4026" s="82">
        <v>6282221896658</v>
      </c>
      <c r="F4026" s="92">
        <v>45886</v>
      </c>
      <c r="G4026" s="87">
        <v>350</v>
      </c>
      <c r="H4026" s="88">
        <v>32008.086253369271</v>
      </c>
      <c r="I4026" s="89">
        <v>5</v>
      </c>
      <c r="J4026" s="90">
        <v>11875</v>
      </c>
      <c r="K4026" s="85">
        <v>1</v>
      </c>
      <c r="L4026" s="85">
        <v>114</v>
      </c>
      <c r="M4026" s="85">
        <v>0</v>
      </c>
      <c r="N4026" s="82" t="s">
        <v>11921</v>
      </c>
      <c r="O4026" s="93">
        <v>45887.776909722219</v>
      </c>
    </row>
    <row r="4027" spans="1:15" ht="22.5" customHeight="1">
      <c r="A4027" s="85">
        <v>174904221976312</v>
      </c>
      <c r="B4027" s="82" t="s">
        <v>10651</v>
      </c>
      <c r="C4027" s="82" t="s">
        <v>11922</v>
      </c>
      <c r="D4027" s="82" t="s">
        <v>11923</v>
      </c>
      <c r="E4027" s="82">
        <v>6282390759437</v>
      </c>
      <c r="F4027" s="92">
        <v>45886</v>
      </c>
      <c r="G4027" s="87">
        <v>639</v>
      </c>
      <c r="H4027" s="88">
        <v>13685.264663805436</v>
      </c>
      <c r="I4027" s="89">
        <v>27</v>
      </c>
      <c r="J4027" s="90">
        <v>9566</v>
      </c>
      <c r="K4027" s="85">
        <v>2</v>
      </c>
      <c r="L4027" s="85">
        <v>337</v>
      </c>
      <c r="M4027" s="85">
        <v>0</v>
      </c>
      <c r="N4027" s="82" t="s">
        <v>11924</v>
      </c>
      <c r="O4027" s="93">
        <v>45887.21634259259</v>
      </c>
    </row>
    <row r="4028" spans="1:15" ht="22.5" customHeight="1">
      <c r="A4028" s="85">
        <v>174904221976312</v>
      </c>
      <c r="B4028" s="82" t="s">
        <v>10651</v>
      </c>
      <c r="C4028" s="82" t="s">
        <v>11925</v>
      </c>
      <c r="D4028" s="82" t="s">
        <v>4008</v>
      </c>
      <c r="E4028" s="82">
        <v>6281558225822</v>
      </c>
      <c r="F4028" s="92">
        <v>45886</v>
      </c>
      <c r="G4028" s="87">
        <v>98</v>
      </c>
      <c r="H4028" s="88">
        <v>122303.92156862744</v>
      </c>
      <c r="I4028" s="89">
        <v>3</v>
      </c>
      <c r="J4028" s="90">
        <v>12475</v>
      </c>
      <c r="K4028" s="85">
        <v>0</v>
      </c>
      <c r="L4028" s="85">
        <v>27</v>
      </c>
      <c r="M4028" s="85">
        <v>0</v>
      </c>
      <c r="N4028" s="82" t="s">
        <v>11926</v>
      </c>
      <c r="O4028" s="93">
        <v>45887.776886574073</v>
      </c>
    </row>
    <row r="4029" spans="1:15" ht="22.5" customHeight="1">
      <c r="A4029" s="85">
        <v>174904221976312</v>
      </c>
      <c r="B4029" s="82" t="s">
        <v>10651</v>
      </c>
      <c r="C4029" s="82" t="s">
        <v>11905</v>
      </c>
      <c r="D4029" s="82" t="s">
        <v>11906</v>
      </c>
      <c r="E4029" s="82">
        <v>6285294617773</v>
      </c>
      <c r="F4029" s="92">
        <v>45886</v>
      </c>
      <c r="G4029" s="87">
        <v>446</v>
      </c>
      <c r="H4029" s="88">
        <v>19996.415770609317</v>
      </c>
      <c r="I4029" s="89">
        <v>56</v>
      </c>
      <c r="J4029" s="90">
        <v>11158</v>
      </c>
      <c r="K4029" s="85">
        <v>8</v>
      </c>
      <c r="L4029" s="85">
        <v>0</v>
      </c>
      <c r="M4029" s="85">
        <v>0</v>
      </c>
      <c r="N4029" s="82" t="s">
        <v>11907</v>
      </c>
      <c r="O4029" s="93">
        <v>45887.797442129631</v>
      </c>
    </row>
    <row r="4030" spans="1:15" ht="22.5" customHeight="1">
      <c r="A4030" s="85">
        <v>174904221976312</v>
      </c>
      <c r="B4030" s="82" t="s">
        <v>10651</v>
      </c>
      <c r="C4030" s="82" t="s">
        <v>11908</v>
      </c>
      <c r="D4030" s="82" t="s">
        <v>3969</v>
      </c>
      <c r="E4030" s="82">
        <v>62881010328220</v>
      </c>
      <c r="F4030" s="92">
        <v>45886</v>
      </c>
      <c r="G4030" s="87">
        <v>221</v>
      </c>
      <c r="H4030" s="88">
        <v>38795.27559055118</v>
      </c>
      <c r="I4030" s="89">
        <v>4</v>
      </c>
      <c r="J4030" s="90">
        <v>9854</v>
      </c>
      <c r="K4030" s="85">
        <v>0</v>
      </c>
      <c r="L4030" s="85">
        <v>5</v>
      </c>
      <c r="M4030" s="85">
        <v>0</v>
      </c>
      <c r="N4030" s="82" t="s">
        <v>11909</v>
      </c>
      <c r="O4030" s="93">
        <v>45887.714398148149</v>
      </c>
    </row>
    <row r="4031" spans="1:15" ht="22.5" customHeight="1">
      <c r="A4031" s="85">
        <v>174904221976312</v>
      </c>
      <c r="B4031" s="82" t="s">
        <v>10651</v>
      </c>
      <c r="C4031" s="82" t="s">
        <v>11882</v>
      </c>
      <c r="D4031" s="82" t="s">
        <v>11883</v>
      </c>
      <c r="E4031" s="82">
        <v>6287701349406</v>
      </c>
      <c r="F4031" s="92">
        <v>45886</v>
      </c>
      <c r="G4031" s="87">
        <v>1974</v>
      </c>
      <c r="H4031" s="88">
        <v>4813.7254901960778</v>
      </c>
      <c r="I4031" s="89">
        <v>66</v>
      </c>
      <c r="J4031" s="90">
        <v>11293</v>
      </c>
      <c r="K4031" s="85">
        <v>2</v>
      </c>
      <c r="L4031" s="85">
        <v>186</v>
      </c>
      <c r="M4031" s="85">
        <v>2</v>
      </c>
      <c r="N4031" s="82" t="s">
        <v>11884</v>
      </c>
      <c r="O4031" s="93">
        <v>45887.21634259259</v>
      </c>
    </row>
    <row r="4032" spans="1:15" ht="22.5" customHeight="1">
      <c r="A4032" s="85">
        <v>174904221976312</v>
      </c>
      <c r="B4032" s="82" t="s">
        <v>10651</v>
      </c>
      <c r="C4032" s="82" t="s">
        <v>11885</v>
      </c>
      <c r="D4032" s="82" t="s">
        <v>11886</v>
      </c>
      <c r="E4032" s="82">
        <v>628179780980</v>
      </c>
      <c r="F4032" s="92">
        <v>45886</v>
      </c>
      <c r="G4032" s="87">
        <v>160</v>
      </c>
      <c r="H4032" s="88">
        <v>60711.864406779663</v>
      </c>
      <c r="I4032" s="89">
        <v>17</v>
      </c>
      <c r="J4032" s="90">
        <v>10746</v>
      </c>
      <c r="K4032" s="85">
        <v>1</v>
      </c>
      <c r="L4032" s="85">
        <v>81</v>
      </c>
      <c r="M4032" s="85">
        <v>0</v>
      </c>
      <c r="N4032" s="82" t="s">
        <v>11887</v>
      </c>
      <c r="O4032" s="93">
        <v>45887.755462962959</v>
      </c>
    </row>
    <row r="4033" spans="1:15" ht="22.5" customHeight="1">
      <c r="A4033" s="85">
        <v>174904221976312</v>
      </c>
      <c r="B4033" s="82" t="s">
        <v>10651</v>
      </c>
      <c r="C4033" s="82" t="s">
        <v>11888</v>
      </c>
      <c r="D4033" s="82" t="s">
        <v>11889</v>
      </c>
      <c r="E4033" s="82">
        <v>628127962347</v>
      </c>
      <c r="F4033" s="92">
        <v>45886</v>
      </c>
      <c r="G4033" s="87">
        <v>584</v>
      </c>
      <c r="H4033" s="88">
        <v>17546.853146853144</v>
      </c>
      <c r="I4033" s="89">
        <v>18</v>
      </c>
      <c r="J4033" s="90">
        <v>12546</v>
      </c>
      <c r="K4033" s="85">
        <v>3</v>
      </c>
      <c r="L4033" s="85">
        <v>0</v>
      </c>
      <c r="M4033" s="85">
        <v>0</v>
      </c>
      <c r="N4033" s="82" t="s">
        <v>11890</v>
      </c>
      <c r="O4033" s="93">
        <v>45887.797129629631</v>
      </c>
    </row>
    <row r="4034" spans="1:15" ht="22.5" customHeight="1">
      <c r="A4034" s="85">
        <v>174904221976312</v>
      </c>
      <c r="B4034" s="82" t="s">
        <v>10651</v>
      </c>
      <c r="C4034" s="82" t="s">
        <v>11891</v>
      </c>
      <c r="D4034" s="82" t="s">
        <v>3873</v>
      </c>
      <c r="E4034" s="82">
        <v>6282241382009</v>
      </c>
      <c r="F4034" s="92">
        <v>45886</v>
      </c>
      <c r="G4034" s="87">
        <v>511</v>
      </c>
      <c r="H4034" s="88">
        <v>19881.493506493505</v>
      </c>
      <c r="I4034" s="89">
        <v>13</v>
      </c>
      <c r="J4034" s="90">
        <v>12247</v>
      </c>
      <c r="K4034" s="85">
        <v>4</v>
      </c>
      <c r="L4034" s="85">
        <v>0</v>
      </c>
      <c r="M4034" s="85">
        <v>0</v>
      </c>
      <c r="N4034" s="82" t="s">
        <v>11892</v>
      </c>
      <c r="O4034" s="93">
        <v>45887.216331018521</v>
      </c>
    </row>
    <row r="4035" spans="1:15" ht="22.5" customHeight="1">
      <c r="A4035" s="85">
        <v>174904221976312</v>
      </c>
      <c r="B4035" s="82" t="s">
        <v>10651</v>
      </c>
      <c r="C4035" s="82" t="s">
        <v>11893</v>
      </c>
      <c r="D4035" s="82" t="s">
        <v>11894</v>
      </c>
      <c r="E4035" s="82">
        <v>6282382535847</v>
      </c>
      <c r="F4035" s="92">
        <v>45886</v>
      </c>
      <c r="G4035" s="87">
        <v>724</v>
      </c>
      <c r="H4035" s="88">
        <v>11796.192609182532</v>
      </c>
      <c r="I4035" s="89">
        <v>28</v>
      </c>
      <c r="J4035" s="90">
        <v>10534</v>
      </c>
      <c r="K4035" s="85">
        <v>1</v>
      </c>
      <c r="L4035" s="85">
        <v>284</v>
      </c>
      <c r="M4035" s="85">
        <v>0</v>
      </c>
      <c r="N4035" s="82" t="s">
        <v>11895</v>
      </c>
      <c r="O4035" s="93">
        <v>45887.216331018521</v>
      </c>
    </row>
    <row r="4036" spans="1:15" ht="22.5" customHeight="1">
      <c r="A4036" s="85">
        <v>174904221976312</v>
      </c>
      <c r="B4036" s="82" t="s">
        <v>10651</v>
      </c>
      <c r="C4036" s="82" t="s">
        <v>11896</v>
      </c>
      <c r="D4036" s="82" t="s">
        <v>11897</v>
      </c>
      <c r="E4036" s="82">
        <v>6282153090123</v>
      </c>
      <c r="F4036" s="92">
        <v>45886</v>
      </c>
      <c r="G4036" s="87">
        <v>440</v>
      </c>
      <c r="H4036" s="88">
        <v>27348.884381338743</v>
      </c>
      <c r="I4036" s="89">
        <v>35</v>
      </c>
      <c r="J4036" s="90">
        <v>13483</v>
      </c>
      <c r="K4036" s="85">
        <v>1</v>
      </c>
      <c r="L4036" s="85">
        <v>199</v>
      </c>
      <c r="M4036" s="85">
        <v>0</v>
      </c>
      <c r="N4036" s="82" t="s">
        <v>11898</v>
      </c>
      <c r="O4036" s="93">
        <v>45887.735555555555</v>
      </c>
    </row>
    <row r="4037" spans="1:15" ht="22.5" customHeight="1">
      <c r="A4037" s="85">
        <v>174904221976312</v>
      </c>
      <c r="B4037" s="82" t="s">
        <v>10651</v>
      </c>
      <c r="C4037" s="82" t="s">
        <v>11862</v>
      </c>
      <c r="D4037" s="82" t="s">
        <v>11863</v>
      </c>
      <c r="E4037" s="82">
        <v>6287886480138</v>
      </c>
      <c r="F4037" s="92">
        <v>45886</v>
      </c>
      <c r="G4037" s="87">
        <v>4546</v>
      </c>
      <c r="H4037" s="88">
        <v>1761.7685877694678</v>
      </c>
      <c r="I4037" s="89">
        <v>73</v>
      </c>
      <c r="J4037" s="90">
        <v>8009</v>
      </c>
      <c r="K4037" s="85">
        <v>0</v>
      </c>
      <c r="L4037" s="85">
        <v>175</v>
      </c>
      <c r="M4037" s="85">
        <v>0</v>
      </c>
      <c r="N4037" s="82" t="s">
        <v>11864</v>
      </c>
      <c r="O4037" s="93">
        <v>45887.216331018521</v>
      </c>
    </row>
    <row r="4038" spans="1:15" ht="22.5" customHeight="1">
      <c r="A4038" s="85">
        <v>174904221976312</v>
      </c>
      <c r="B4038" s="82" t="s">
        <v>10651</v>
      </c>
      <c r="C4038" s="82" t="s">
        <v>11865</v>
      </c>
      <c r="D4038" s="82" t="s">
        <v>11403</v>
      </c>
      <c r="E4038" s="82">
        <v>6283870060603</v>
      </c>
      <c r="F4038" s="92">
        <v>45886</v>
      </c>
      <c r="G4038" s="87">
        <v>905</v>
      </c>
      <c r="H4038" s="88">
        <v>13572.375690607736</v>
      </c>
      <c r="I4038" s="89">
        <v>23</v>
      </c>
      <c r="J4038" s="90">
        <v>12283</v>
      </c>
      <c r="K4038" s="85">
        <v>0</v>
      </c>
      <c r="L4038" s="85">
        <v>314</v>
      </c>
      <c r="M4038" s="85">
        <v>0</v>
      </c>
      <c r="N4038" s="82" t="s">
        <v>11866</v>
      </c>
      <c r="O4038" s="93">
        <v>45887.216331018521</v>
      </c>
    </row>
    <row r="4039" spans="1:15" ht="22.5" customHeight="1">
      <c r="A4039" s="85">
        <v>174904221976312</v>
      </c>
      <c r="B4039" s="82" t="s">
        <v>10651</v>
      </c>
      <c r="C4039" s="82" t="s">
        <v>11867</v>
      </c>
      <c r="D4039" s="82" t="s">
        <v>11868</v>
      </c>
      <c r="E4039" s="82">
        <v>6282112042148</v>
      </c>
      <c r="F4039" s="92">
        <v>45886</v>
      </c>
      <c r="G4039" s="87">
        <v>900</v>
      </c>
      <c r="H4039" s="88">
        <v>16356.926188068755</v>
      </c>
      <c r="I4039" s="89">
        <v>25</v>
      </c>
      <c r="J4039" s="90">
        <v>16177</v>
      </c>
      <c r="K4039" s="85">
        <v>2</v>
      </c>
      <c r="L4039" s="85">
        <v>279</v>
      </c>
      <c r="M4039" s="85">
        <v>0</v>
      </c>
      <c r="N4039" s="82" t="s">
        <v>11869</v>
      </c>
      <c r="O4039" s="93">
        <v>45887.651458333334</v>
      </c>
    </row>
    <row r="4040" spans="1:15" ht="22.5" customHeight="1">
      <c r="A4040" s="85">
        <v>174904221976312</v>
      </c>
      <c r="B4040" s="82" t="s">
        <v>10651</v>
      </c>
      <c r="C4040" s="82" t="s">
        <v>11870</v>
      </c>
      <c r="D4040" s="82" t="s">
        <v>11871</v>
      </c>
      <c r="E4040" s="82">
        <v>62817262229</v>
      </c>
      <c r="F4040" s="92">
        <v>45886</v>
      </c>
      <c r="G4040" s="87">
        <v>52</v>
      </c>
      <c r="H4040" s="88">
        <v>25222.222222222223</v>
      </c>
      <c r="I4040" s="89">
        <v>4</v>
      </c>
      <c r="J4040" s="90">
        <v>1362</v>
      </c>
      <c r="K4040" s="85">
        <v>0</v>
      </c>
      <c r="L4040" s="85">
        <v>0</v>
      </c>
      <c r="M4040" s="85">
        <v>0</v>
      </c>
      <c r="N4040" s="82" t="s">
        <v>11872</v>
      </c>
      <c r="O4040" s="93">
        <v>45887.216354166667</v>
      </c>
    </row>
    <row r="4041" spans="1:15" ht="22.5" customHeight="1">
      <c r="A4041" s="85">
        <v>174904221976312</v>
      </c>
      <c r="B4041" s="82" t="s">
        <v>10651</v>
      </c>
      <c r="C4041" s="82" t="s">
        <v>11873</v>
      </c>
      <c r="D4041" s="82" t="s">
        <v>11874</v>
      </c>
      <c r="E4041" s="82">
        <v>6281324481252</v>
      </c>
      <c r="F4041" s="92">
        <v>45886</v>
      </c>
      <c r="G4041" s="87">
        <v>275</v>
      </c>
      <c r="H4041" s="88">
        <v>26066.006600660068</v>
      </c>
      <c r="I4041" s="89">
        <v>10</v>
      </c>
      <c r="J4041" s="90">
        <v>7898</v>
      </c>
      <c r="K4041" s="85">
        <v>1</v>
      </c>
      <c r="L4041" s="85">
        <v>62</v>
      </c>
      <c r="M4041" s="85">
        <v>0</v>
      </c>
      <c r="N4041" s="82" t="s">
        <v>11875</v>
      </c>
      <c r="O4041" s="93">
        <v>45887.21634259259</v>
      </c>
    </row>
    <row r="4042" spans="1:15" ht="22.5" customHeight="1">
      <c r="A4042" s="85">
        <v>174904221976312</v>
      </c>
      <c r="B4042" s="82" t="s">
        <v>10651</v>
      </c>
      <c r="C4042" s="82" t="s">
        <v>11876</v>
      </c>
      <c r="D4042" s="82" t="s">
        <v>11877</v>
      </c>
      <c r="E4042" s="82">
        <v>6285748377961</v>
      </c>
      <c r="F4042" s="92">
        <v>45886</v>
      </c>
      <c r="G4042" s="87">
        <v>1610</v>
      </c>
      <c r="H4042" s="88">
        <v>7709.0395480225989</v>
      </c>
      <c r="I4042" s="89">
        <v>26</v>
      </c>
      <c r="J4042" s="90">
        <v>13645</v>
      </c>
      <c r="K4042" s="85">
        <v>1</v>
      </c>
      <c r="L4042" s="85">
        <v>274</v>
      </c>
      <c r="M4042" s="85">
        <v>1</v>
      </c>
      <c r="N4042" s="82" t="s">
        <v>11878</v>
      </c>
      <c r="O4042" s="93">
        <v>45887.776886574073</v>
      </c>
    </row>
    <row r="4043" spans="1:15" ht="22.5" customHeight="1">
      <c r="A4043" s="85">
        <v>174904221976312</v>
      </c>
      <c r="B4043" s="82" t="s">
        <v>10651</v>
      </c>
      <c r="C4043" s="82" t="s">
        <v>11879</v>
      </c>
      <c r="D4043" s="82" t="s">
        <v>11877</v>
      </c>
      <c r="E4043" s="82">
        <v>6285748377961</v>
      </c>
      <c r="F4043" s="92">
        <v>45886</v>
      </c>
      <c r="G4043" s="87">
        <v>567</v>
      </c>
      <c r="H4043" s="88">
        <v>21783.95061728395</v>
      </c>
      <c r="I4043" s="89">
        <v>14</v>
      </c>
      <c r="J4043" s="90">
        <v>14116</v>
      </c>
      <c r="K4043" s="85">
        <v>4</v>
      </c>
      <c r="L4043" s="85">
        <v>86</v>
      </c>
      <c r="M4043" s="85">
        <v>0</v>
      </c>
      <c r="N4043" s="82" t="s">
        <v>11878</v>
      </c>
      <c r="O4043" s="93">
        <v>45887.755798611113</v>
      </c>
    </row>
    <row r="4044" spans="1:15" ht="22.5" customHeight="1">
      <c r="A4044" s="85">
        <v>174904221976312</v>
      </c>
      <c r="B4044" s="82" t="s">
        <v>10651</v>
      </c>
      <c r="C4044" s="82" t="s">
        <v>11880</v>
      </c>
      <c r="D4044" s="82" t="s">
        <v>3805</v>
      </c>
      <c r="E4044" s="82">
        <v>6281288245836</v>
      </c>
      <c r="F4044" s="92">
        <v>45886</v>
      </c>
      <c r="G4044" s="87">
        <v>207</v>
      </c>
      <c r="H4044" s="88">
        <v>56262.222222222219</v>
      </c>
      <c r="I4044" s="89">
        <v>4</v>
      </c>
      <c r="J4044" s="90">
        <v>12659</v>
      </c>
      <c r="K4044" s="85">
        <v>3</v>
      </c>
      <c r="L4044" s="85">
        <v>0</v>
      </c>
      <c r="M4044" s="85">
        <v>0</v>
      </c>
      <c r="N4044" s="82" t="s">
        <v>11881</v>
      </c>
      <c r="O4044" s="93">
        <v>45887.797465277778</v>
      </c>
    </row>
    <row r="4045" spans="1:15" ht="22.5" customHeight="1">
      <c r="A4045" s="85">
        <v>174904221976312</v>
      </c>
      <c r="B4045" s="82" t="s">
        <v>10651</v>
      </c>
      <c r="C4045" s="82" t="s">
        <v>11838</v>
      </c>
      <c r="D4045" s="82" t="s">
        <v>11839</v>
      </c>
      <c r="E4045" s="82">
        <v>6287797504113</v>
      </c>
      <c r="F4045" s="92">
        <v>45886</v>
      </c>
      <c r="G4045" s="87">
        <v>174</v>
      </c>
      <c r="H4045" s="88">
        <v>53927.83505154639</v>
      </c>
      <c r="I4045" s="89">
        <v>12</v>
      </c>
      <c r="J4045" s="90">
        <v>10462</v>
      </c>
      <c r="K4045" s="85">
        <v>1</v>
      </c>
      <c r="L4045" s="85">
        <v>7</v>
      </c>
      <c r="M4045" s="85">
        <v>0</v>
      </c>
      <c r="N4045" s="82" t="s">
        <v>11840</v>
      </c>
      <c r="O4045" s="93">
        <v>45887.651689814818</v>
      </c>
    </row>
    <row r="4046" spans="1:15" ht="22.5" customHeight="1">
      <c r="A4046" s="85">
        <v>174904221976312</v>
      </c>
      <c r="B4046" s="82" t="s">
        <v>10651</v>
      </c>
      <c r="C4046" s="82" t="s">
        <v>11811</v>
      </c>
      <c r="D4046" s="82" t="s">
        <v>11812</v>
      </c>
      <c r="E4046" s="82">
        <v>6285328883803</v>
      </c>
      <c r="F4046" s="92">
        <v>45886</v>
      </c>
      <c r="G4046" s="87">
        <v>438</v>
      </c>
      <c r="H4046" s="88">
        <v>24404.809619238476</v>
      </c>
      <c r="I4046" s="89">
        <v>10</v>
      </c>
      <c r="J4046" s="90">
        <v>12178</v>
      </c>
      <c r="K4046" s="85">
        <v>1</v>
      </c>
      <c r="L4046" s="85">
        <v>43</v>
      </c>
      <c r="M4046" s="85">
        <v>0</v>
      </c>
      <c r="N4046" s="82" t="s">
        <v>11813</v>
      </c>
      <c r="O4046" s="93">
        <v>45887.216331018521</v>
      </c>
    </row>
    <row r="4047" spans="1:15" ht="22.5" customHeight="1">
      <c r="A4047" s="85">
        <v>174904221976312</v>
      </c>
      <c r="B4047" s="82" t="s">
        <v>10651</v>
      </c>
      <c r="C4047" s="82" t="s">
        <v>11816</v>
      </c>
      <c r="D4047" s="82" t="s">
        <v>3682</v>
      </c>
      <c r="E4047" s="82">
        <v>6285602235226</v>
      </c>
      <c r="F4047" s="92">
        <v>45886</v>
      </c>
      <c r="G4047" s="87">
        <v>466</v>
      </c>
      <c r="H4047" s="88">
        <v>24497.316636851523</v>
      </c>
      <c r="I4047" s="89">
        <v>33</v>
      </c>
      <c r="J4047" s="90">
        <v>13694</v>
      </c>
      <c r="K4047" s="85">
        <v>0</v>
      </c>
      <c r="L4047" s="85">
        <v>64</v>
      </c>
      <c r="M4047" s="85">
        <v>1</v>
      </c>
      <c r="N4047" s="82" t="s">
        <v>11817</v>
      </c>
      <c r="O4047" s="93">
        <v>45887.818078703705</v>
      </c>
    </row>
    <row r="4048" spans="1:15" ht="22.5" customHeight="1">
      <c r="A4048" s="85">
        <v>174904221976312</v>
      </c>
      <c r="B4048" s="82" t="s">
        <v>10651</v>
      </c>
      <c r="C4048" s="82" t="s">
        <v>11799</v>
      </c>
      <c r="D4048" s="82" t="s">
        <v>11800</v>
      </c>
      <c r="E4048" s="82">
        <v>6285333751528</v>
      </c>
      <c r="F4048" s="92">
        <v>45886</v>
      </c>
      <c r="G4048" s="87">
        <v>451</v>
      </c>
      <c r="H4048" s="88">
        <v>22682.926829268294</v>
      </c>
      <c r="I4048" s="89">
        <v>12</v>
      </c>
      <c r="J4048" s="90">
        <v>13020</v>
      </c>
      <c r="K4048" s="85">
        <v>0</v>
      </c>
      <c r="L4048" s="85">
        <v>72</v>
      </c>
      <c r="M4048" s="85">
        <v>0</v>
      </c>
      <c r="N4048" s="82" t="s">
        <v>11801</v>
      </c>
      <c r="O4048" s="93">
        <v>45887.672268518516</v>
      </c>
    </row>
    <row r="4049" spans="1:15" ht="22.5" customHeight="1">
      <c r="A4049" s="85">
        <v>174904221976312</v>
      </c>
      <c r="B4049" s="82" t="s">
        <v>10651</v>
      </c>
      <c r="C4049" s="82" t="s">
        <v>11766</v>
      </c>
      <c r="D4049" s="82" t="s">
        <v>11767</v>
      </c>
      <c r="E4049" s="82">
        <v>6281225101319</v>
      </c>
      <c r="F4049" s="92">
        <v>45886</v>
      </c>
      <c r="G4049" s="87">
        <v>231</v>
      </c>
      <c r="H4049" s="88">
        <v>46608.208955223883</v>
      </c>
      <c r="I4049" s="89">
        <v>12</v>
      </c>
      <c r="J4049" s="90">
        <v>12491</v>
      </c>
      <c r="K4049" s="85">
        <v>3</v>
      </c>
      <c r="L4049" s="85">
        <v>0</v>
      </c>
      <c r="M4049" s="85">
        <v>0</v>
      </c>
      <c r="N4049" s="82" t="s">
        <v>11768</v>
      </c>
      <c r="O4049" s="93">
        <v>45887.818078703705</v>
      </c>
    </row>
    <row r="4050" spans="1:15" ht="22.5" customHeight="1">
      <c r="A4050" s="85">
        <v>174904221976312</v>
      </c>
      <c r="B4050" s="82" t="s">
        <v>10651</v>
      </c>
      <c r="C4050" s="82" t="s">
        <v>11777</v>
      </c>
      <c r="D4050" s="82" t="s">
        <v>11778</v>
      </c>
      <c r="E4050" s="82">
        <v>6281374844270</v>
      </c>
      <c r="F4050" s="92">
        <v>45886</v>
      </c>
      <c r="G4050" s="87">
        <v>734</v>
      </c>
      <c r="H4050" s="88">
        <v>15199.733688415447</v>
      </c>
      <c r="I4050" s="89">
        <v>15</v>
      </c>
      <c r="J4050" s="90">
        <v>11415</v>
      </c>
      <c r="K4050" s="85">
        <v>1</v>
      </c>
      <c r="L4050" s="85">
        <v>0</v>
      </c>
      <c r="M4050" s="85">
        <v>0</v>
      </c>
      <c r="N4050" s="82" t="s">
        <v>11779</v>
      </c>
      <c r="O4050" s="93">
        <v>45887.735254629632</v>
      </c>
    </row>
    <row r="4051" spans="1:15" ht="22.5" customHeight="1">
      <c r="A4051" s="85">
        <v>174904221976312</v>
      </c>
      <c r="B4051" s="82" t="s">
        <v>10651</v>
      </c>
      <c r="C4051" s="82" t="s">
        <v>11780</v>
      </c>
      <c r="D4051" s="82" t="s">
        <v>11781</v>
      </c>
      <c r="E4051" s="82">
        <v>6282129364133</v>
      </c>
      <c r="F4051" s="92">
        <v>45886</v>
      </c>
      <c r="G4051" s="87">
        <v>772</v>
      </c>
      <c r="H4051" s="88">
        <v>8603.1746031746025</v>
      </c>
      <c r="I4051" s="89">
        <v>4</v>
      </c>
      <c r="J4051" s="90">
        <v>7046</v>
      </c>
      <c r="K4051" s="85">
        <v>0</v>
      </c>
      <c r="L4051" s="85">
        <v>0</v>
      </c>
      <c r="M4051" s="85">
        <v>0</v>
      </c>
      <c r="N4051" s="82" t="s">
        <v>11782</v>
      </c>
      <c r="O4051" s="93">
        <v>45887.693148148152</v>
      </c>
    </row>
    <row r="4052" spans="1:15" ht="22.5" customHeight="1">
      <c r="A4052" s="85">
        <v>174904221976312</v>
      </c>
      <c r="B4052" s="82" t="s">
        <v>10651</v>
      </c>
      <c r="C4052" s="82" t="s">
        <v>11785</v>
      </c>
      <c r="D4052" s="82" t="s">
        <v>11786</v>
      </c>
      <c r="E4052" s="82">
        <v>628557182563</v>
      </c>
      <c r="F4052" s="92">
        <v>45886</v>
      </c>
      <c r="G4052" s="87">
        <v>281</v>
      </c>
      <c r="H4052" s="88">
        <v>32311.572700296736</v>
      </c>
      <c r="I4052" s="89">
        <v>15</v>
      </c>
      <c r="J4052" s="90">
        <v>10889</v>
      </c>
      <c r="K4052" s="85">
        <v>1</v>
      </c>
      <c r="L4052" s="85">
        <v>0</v>
      </c>
      <c r="M4052" s="85">
        <v>0</v>
      </c>
      <c r="N4052" s="82" t="s">
        <v>11787</v>
      </c>
      <c r="O4052" s="93">
        <v>45887.216354166667</v>
      </c>
    </row>
    <row r="4053" spans="1:15" ht="22.5" customHeight="1">
      <c r="A4053" s="85">
        <v>174904221976312</v>
      </c>
      <c r="B4053" s="82" t="s">
        <v>10651</v>
      </c>
      <c r="C4053" s="82" t="s">
        <v>11740</v>
      </c>
      <c r="D4053" s="82" t="s">
        <v>3562</v>
      </c>
      <c r="E4053" s="82">
        <v>6281558225822</v>
      </c>
      <c r="F4053" s="92">
        <v>45886</v>
      </c>
      <c r="G4053" s="87">
        <v>143</v>
      </c>
      <c r="H4053" s="88">
        <v>83886.666666666672</v>
      </c>
      <c r="I4053" s="89">
        <v>2</v>
      </c>
      <c r="J4053" s="90">
        <v>12583</v>
      </c>
      <c r="K4053" s="85">
        <v>0</v>
      </c>
      <c r="L4053" s="85">
        <v>59</v>
      </c>
      <c r="M4053" s="85">
        <v>0</v>
      </c>
      <c r="N4053" s="82" t="s">
        <v>11741</v>
      </c>
      <c r="O4053" s="93">
        <v>45887.216331018521</v>
      </c>
    </row>
    <row r="4054" spans="1:15" ht="22.5" customHeight="1">
      <c r="A4054" s="85">
        <v>174904221976312</v>
      </c>
      <c r="B4054" s="82" t="s">
        <v>10651</v>
      </c>
      <c r="C4054" s="82" t="s">
        <v>11755</v>
      </c>
      <c r="D4054" s="82" t="s">
        <v>11756</v>
      </c>
      <c r="E4054" s="82">
        <v>6281357754513</v>
      </c>
      <c r="F4054" s="92">
        <v>45886</v>
      </c>
      <c r="G4054" s="87">
        <v>404</v>
      </c>
      <c r="H4054" s="88">
        <v>25293.598233995584</v>
      </c>
      <c r="I4054" s="89">
        <v>12</v>
      </c>
      <c r="J4054" s="90">
        <v>11458</v>
      </c>
      <c r="K4054" s="85">
        <v>3</v>
      </c>
      <c r="L4054" s="85">
        <v>38</v>
      </c>
      <c r="M4054" s="85">
        <v>1</v>
      </c>
      <c r="N4054" s="82" t="s">
        <v>11757</v>
      </c>
      <c r="O4054" s="93">
        <v>45887.7971412037</v>
      </c>
    </row>
    <row r="4055" spans="1:15" ht="22.5" customHeight="1">
      <c r="A4055" s="85">
        <v>174904221976312</v>
      </c>
      <c r="B4055" s="82" t="s">
        <v>10651</v>
      </c>
      <c r="C4055" s="82" t="s">
        <v>11761</v>
      </c>
      <c r="D4055" s="82" t="s">
        <v>3438</v>
      </c>
      <c r="E4055" s="82">
        <v>628154336558</v>
      </c>
      <c r="F4055" s="92">
        <v>45886</v>
      </c>
      <c r="G4055" s="87">
        <v>2045</v>
      </c>
      <c r="H4055" s="88">
        <v>6151.9198664440737</v>
      </c>
      <c r="I4055" s="89">
        <v>47</v>
      </c>
      <c r="J4055" s="90">
        <v>14740</v>
      </c>
      <c r="K4055" s="85">
        <v>2</v>
      </c>
      <c r="L4055" s="85">
        <v>256</v>
      </c>
      <c r="M4055" s="85">
        <v>1</v>
      </c>
      <c r="N4055" s="82" t="s">
        <v>11762</v>
      </c>
      <c r="O4055" s="93">
        <v>45887.609791666669</v>
      </c>
    </row>
    <row r="4056" spans="1:15" ht="22.5" customHeight="1">
      <c r="A4056" s="85">
        <v>174904221976312</v>
      </c>
      <c r="B4056" s="82" t="s">
        <v>10651</v>
      </c>
      <c r="C4056" s="82" t="s">
        <v>11763</v>
      </c>
      <c r="D4056" s="82" t="s">
        <v>11764</v>
      </c>
      <c r="E4056" s="82">
        <v>6282384544939</v>
      </c>
      <c r="F4056" s="92">
        <v>45886</v>
      </c>
      <c r="G4056" s="87">
        <v>252</v>
      </c>
      <c r="H4056" s="88">
        <v>36739.273927392736</v>
      </c>
      <c r="I4056" s="89">
        <v>1</v>
      </c>
      <c r="J4056" s="90">
        <v>11132</v>
      </c>
      <c r="K4056" s="85">
        <v>1</v>
      </c>
      <c r="L4056" s="85">
        <v>0</v>
      </c>
      <c r="M4056" s="85">
        <v>0</v>
      </c>
      <c r="N4056" s="82" t="s">
        <v>11765</v>
      </c>
      <c r="O4056" s="93">
        <v>45887.776898148149</v>
      </c>
    </row>
    <row r="4057" spans="1:15" ht="22.5" customHeight="1">
      <c r="A4057" s="85">
        <v>174904221976312</v>
      </c>
      <c r="B4057" s="82" t="s">
        <v>10651</v>
      </c>
      <c r="C4057" s="82" t="s">
        <v>11708</v>
      </c>
      <c r="D4057" s="82" t="s">
        <v>11709</v>
      </c>
      <c r="E4057" s="82">
        <v>6285294617773</v>
      </c>
      <c r="F4057" s="92">
        <v>45886</v>
      </c>
      <c r="G4057" s="87">
        <v>303</v>
      </c>
      <c r="H4057" s="88">
        <v>34317.415730337081</v>
      </c>
      <c r="I4057" s="89">
        <v>31</v>
      </c>
      <c r="J4057" s="90">
        <v>12217</v>
      </c>
      <c r="K4057" s="85">
        <v>0</v>
      </c>
      <c r="L4057" s="85">
        <v>55</v>
      </c>
      <c r="M4057" s="85">
        <v>0</v>
      </c>
      <c r="N4057" s="82" t="s">
        <v>11710</v>
      </c>
      <c r="O4057" s="93">
        <v>45887.818078703705</v>
      </c>
    </row>
    <row r="4058" spans="1:15" ht="22.5" customHeight="1">
      <c r="A4058" s="85">
        <v>174904221976312</v>
      </c>
      <c r="B4058" s="82" t="s">
        <v>10651</v>
      </c>
      <c r="C4058" s="82" t="s">
        <v>11663</v>
      </c>
      <c r="D4058" s="82" t="s">
        <v>11664</v>
      </c>
      <c r="E4058" s="82">
        <v>628123264621</v>
      </c>
      <c r="F4058" s="92">
        <v>45886</v>
      </c>
      <c r="G4058" s="87">
        <v>840</v>
      </c>
      <c r="H4058" s="88">
        <v>11638.836772983115</v>
      </c>
      <c r="I4058" s="89">
        <v>51</v>
      </c>
      <c r="J4058" s="90">
        <v>12407</v>
      </c>
      <c r="K4058" s="85">
        <v>5</v>
      </c>
      <c r="L4058" s="85">
        <v>1</v>
      </c>
      <c r="M4058" s="85">
        <v>0</v>
      </c>
      <c r="N4058" s="82" t="s">
        <v>11665</v>
      </c>
      <c r="O4058" s="93">
        <v>45887.735555555555</v>
      </c>
    </row>
    <row r="4059" spans="1:15" ht="22.5" customHeight="1">
      <c r="A4059" s="85">
        <v>174904221976312</v>
      </c>
      <c r="B4059" s="82" t="s">
        <v>10651</v>
      </c>
      <c r="C4059" s="82" t="s">
        <v>11643</v>
      </c>
      <c r="D4059" s="82" t="s">
        <v>11644</v>
      </c>
      <c r="E4059" s="82">
        <v>6281330410391</v>
      </c>
      <c r="F4059" s="92">
        <v>45886</v>
      </c>
      <c r="G4059" s="87">
        <v>809</v>
      </c>
      <c r="H4059" s="88">
        <v>15636.645962732919</v>
      </c>
      <c r="I4059" s="89">
        <v>48</v>
      </c>
      <c r="J4059" s="90">
        <v>15105</v>
      </c>
      <c r="K4059" s="85">
        <v>10</v>
      </c>
      <c r="L4059" s="85">
        <v>305</v>
      </c>
      <c r="M4059" s="85">
        <v>1</v>
      </c>
      <c r="N4059" s="82" t="s">
        <v>11681</v>
      </c>
      <c r="O4059" s="93">
        <v>45884.259074074071</v>
      </c>
    </row>
    <row r="4060" spans="1:15" ht="22.5" customHeight="1">
      <c r="A4060" s="85">
        <v>174904221976312</v>
      </c>
      <c r="B4060" s="82" t="s">
        <v>10651</v>
      </c>
      <c r="C4060" s="82" t="s">
        <v>11578</v>
      </c>
      <c r="D4060" s="82" t="s">
        <v>1624</v>
      </c>
      <c r="E4060" s="82">
        <v>6281938384000</v>
      </c>
      <c r="F4060" s="92">
        <v>45886</v>
      </c>
      <c r="G4060" s="87">
        <v>1148</v>
      </c>
      <c r="H4060" s="88">
        <v>8909.0225563909771</v>
      </c>
      <c r="I4060" s="89">
        <v>26</v>
      </c>
      <c r="J4060" s="90">
        <v>11849</v>
      </c>
      <c r="K4060" s="85">
        <v>2</v>
      </c>
      <c r="L4060" s="85">
        <v>453</v>
      </c>
      <c r="M4060" s="85">
        <v>0</v>
      </c>
      <c r="N4060" s="82" t="s">
        <v>11579</v>
      </c>
      <c r="O4060" s="93">
        <v>45887.797129629631</v>
      </c>
    </row>
    <row r="4061" spans="1:15" ht="22.5" customHeight="1">
      <c r="A4061" s="85">
        <v>174904221976312</v>
      </c>
      <c r="B4061" s="82" t="s">
        <v>10651</v>
      </c>
      <c r="C4061" s="82" t="s">
        <v>11545</v>
      </c>
      <c r="D4061" s="82" t="s">
        <v>3140</v>
      </c>
      <c r="E4061" s="82"/>
      <c r="F4061" s="92">
        <v>45886</v>
      </c>
      <c r="G4061" s="87">
        <v>3211</v>
      </c>
      <c r="H4061" s="88">
        <v>3062.2793746848211</v>
      </c>
      <c r="I4061" s="89">
        <v>51</v>
      </c>
      <c r="J4061" s="90">
        <v>12145</v>
      </c>
      <c r="K4061" s="85">
        <v>4</v>
      </c>
      <c r="L4061" s="85">
        <v>0</v>
      </c>
      <c r="M4061" s="85">
        <v>0</v>
      </c>
      <c r="N4061" s="82" t="s">
        <v>10779</v>
      </c>
      <c r="O4061" s="93">
        <v>45887.216354166667</v>
      </c>
    </row>
    <row r="4062" spans="1:15" ht="22.5" customHeight="1">
      <c r="A4062" s="85">
        <v>174904221976312</v>
      </c>
      <c r="B4062" s="82" t="s">
        <v>10651</v>
      </c>
      <c r="C4062" s="82" t="s">
        <v>11464</v>
      </c>
      <c r="D4062" s="82" t="s">
        <v>11465</v>
      </c>
      <c r="E4062" s="82">
        <v>62816904358</v>
      </c>
      <c r="F4062" s="92">
        <v>45886</v>
      </c>
      <c r="G4062" s="87">
        <v>308</v>
      </c>
      <c r="H4062" s="88">
        <v>30995.14563106796</v>
      </c>
      <c r="I4062" s="89">
        <v>21</v>
      </c>
      <c r="J4062" s="90">
        <v>12770</v>
      </c>
      <c r="K4062" s="85">
        <v>1</v>
      </c>
      <c r="L4062" s="85">
        <v>0</v>
      </c>
      <c r="M4062" s="85">
        <v>0</v>
      </c>
      <c r="N4062" s="82" t="s">
        <v>11466</v>
      </c>
      <c r="O4062" s="93">
        <v>45887.776898148149</v>
      </c>
    </row>
    <row r="4063" spans="1:15" ht="22.5" customHeight="1">
      <c r="A4063" s="85">
        <v>174904221976312</v>
      </c>
      <c r="B4063" s="82" t="s">
        <v>10651</v>
      </c>
      <c r="C4063" s="82" t="s">
        <v>11213</v>
      </c>
      <c r="D4063" s="82" t="s">
        <v>2022</v>
      </c>
      <c r="E4063" s="82">
        <v>6285274759862</v>
      </c>
      <c r="F4063" s="92">
        <v>45886</v>
      </c>
      <c r="G4063" s="87">
        <v>355</v>
      </c>
      <c r="H4063" s="88">
        <v>30430.288461538461</v>
      </c>
      <c r="I4063" s="89">
        <v>17</v>
      </c>
      <c r="J4063" s="90">
        <v>12659</v>
      </c>
      <c r="K4063" s="85">
        <v>3</v>
      </c>
      <c r="L4063" s="85">
        <v>89</v>
      </c>
      <c r="M4063" s="85">
        <v>0</v>
      </c>
      <c r="N4063" s="82" t="s">
        <v>11214</v>
      </c>
      <c r="O4063" s="93">
        <v>45887.776898148149</v>
      </c>
    </row>
    <row r="4064" spans="1:15" ht="22.5" customHeight="1">
      <c r="A4064" s="85">
        <v>174904221976312</v>
      </c>
      <c r="B4064" s="82" t="s">
        <v>10651</v>
      </c>
      <c r="C4064" s="82" t="s">
        <v>11193</v>
      </c>
      <c r="D4064" s="82" t="s">
        <v>11194</v>
      </c>
      <c r="E4064" s="82">
        <v>6281779578317</v>
      </c>
      <c r="F4064" s="92">
        <v>45886</v>
      </c>
      <c r="G4064" s="87">
        <v>803</v>
      </c>
      <c r="H4064" s="88">
        <v>13106.427818756587</v>
      </c>
      <c r="I4064" s="89">
        <v>30</v>
      </c>
      <c r="J4064" s="90">
        <v>12438</v>
      </c>
      <c r="K4064" s="85">
        <v>4</v>
      </c>
      <c r="L4064" s="85">
        <v>211</v>
      </c>
      <c r="M4064" s="85">
        <v>0</v>
      </c>
      <c r="N4064" s="82" t="s">
        <v>11195</v>
      </c>
      <c r="O4064" s="93">
        <v>45887.755462962959</v>
      </c>
    </row>
    <row r="4065" spans="1:15" ht="22.5" customHeight="1">
      <c r="A4065" s="85">
        <v>174904221976312</v>
      </c>
      <c r="B4065" s="82" t="s">
        <v>10651</v>
      </c>
      <c r="C4065" s="82" t="s">
        <v>10943</v>
      </c>
      <c r="D4065" s="82" t="s">
        <v>10944</v>
      </c>
      <c r="E4065" s="82">
        <v>6285240694097</v>
      </c>
      <c r="F4065" s="92">
        <v>45886</v>
      </c>
      <c r="G4065" s="87">
        <v>1108</v>
      </c>
      <c r="H4065" s="88">
        <v>9410.3703703703704</v>
      </c>
      <c r="I4065" s="89">
        <v>37</v>
      </c>
      <c r="J4065" s="90">
        <v>12704</v>
      </c>
      <c r="K4065" s="85">
        <v>5</v>
      </c>
      <c r="L4065" s="85">
        <v>154</v>
      </c>
      <c r="M4065" s="85">
        <v>1</v>
      </c>
      <c r="N4065" s="82" t="s">
        <v>11910</v>
      </c>
      <c r="O4065" s="93">
        <v>45887.21634259259</v>
      </c>
    </row>
    <row r="4066" spans="1:15" ht="22.5" customHeight="1">
      <c r="A4066" s="85">
        <v>174904221976312</v>
      </c>
      <c r="B4066" s="82" t="s">
        <v>10651</v>
      </c>
      <c r="C4066" s="82" t="s">
        <v>10853</v>
      </c>
      <c r="D4066" s="82" t="s">
        <v>10854</v>
      </c>
      <c r="E4066" s="82">
        <v>6281393958199</v>
      </c>
      <c r="F4066" s="92">
        <v>45886</v>
      </c>
      <c r="G4066" s="87">
        <v>309</v>
      </c>
      <c r="H4066" s="88">
        <v>29342.541436464089</v>
      </c>
      <c r="I4066" s="89">
        <v>7</v>
      </c>
      <c r="J4066" s="90">
        <v>10622</v>
      </c>
      <c r="K4066" s="85">
        <v>1</v>
      </c>
      <c r="L4066" s="85">
        <v>119</v>
      </c>
      <c r="M4066" s="85">
        <v>0</v>
      </c>
      <c r="N4066" s="82" t="s">
        <v>10855</v>
      </c>
      <c r="O4066" s="93">
        <v>45887.776898148149</v>
      </c>
    </row>
    <row r="4067" spans="1:15" ht="22.5" customHeight="1">
      <c r="A4067" s="85">
        <v>759724529202804</v>
      </c>
      <c r="B4067" s="82" t="s">
        <v>10621</v>
      </c>
      <c r="C4067" s="82" t="s">
        <v>11037</v>
      </c>
      <c r="D4067" s="82" t="s">
        <v>199</v>
      </c>
      <c r="E4067" s="82">
        <v>6285220903499</v>
      </c>
      <c r="F4067" s="92">
        <v>45887</v>
      </c>
      <c r="G4067" s="87">
        <v>757</v>
      </c>
      <c r="H4067" s="88">
        <v>18239.641657334825</v>
      </c>
      <c r="I4067" s="89">
        <v>33</v>
      </c>
      <c r="J4067" s="90">
        <v>16288</v>
      </c>
      <c r="K4067" s="85">
        <v>7</v>
      </c>
      <c r="L4067" s="85">
        <v>260</v>
      </c>
      <c r="M4067" s="85">
        <v>0</v>
      </c>
      <c r="N4067" s="82" t="s">
        <v>11038</v>
      </c>
      <c r="O4067" s="93">
        <v>45888.589398148149</v>
      </c>
    </row>
    <row r="4068" spans="1:15" ht="22.5" customHeight="1">
      <c r="A4068" s="85">
        <v>174904221976312</v>
      </c>
      <c r="B4068" s="82" t="s">
        <v>10651</v>
      </c>
      <c r="C4068" s="82" t="s">
        <v>11981</v>
      </c>
      <c r="D4068" s="82" t="s">
        <v>11982</v>
      </c>
      <c r="E4068" s="82">
        <v>6282112073155</v>
      </c>
      <c r="F4068" s="92">
        <v>45887</v>
      </c>
      <c r="G4068" s="87">
        <v>621</v>
      </c>
      <c r="H4068" s="88">
        <v>16496.420047732699</v>
      </c>
      <c r="I4068" s="89">
        <v>68</v>
      </c>
      <c r="J4068" s="90">
        <v>13824</v>
      </c>
      <c r="K4068" s="85">
        <v>7</v>
      </c>
      <c r="L4068" s="85">
        <v>2</v>
      </c>
      <c r="M4068" s="85">
        <v>4</v>
      </c>
      <c r="N4068" s="82" t="s">
        <v>11983</v>
      </c>
      <c r="O4068" s="93">
        <v>45888.651574074072</v>
      </c>
    </row>
    <row r="4069" spans="1:15" ht="22.5" customHeight="1">
      <c r="A4069" s="85">
        <v>174904221976312</v>
      </c>
      <c r="B4069" s="82" t="s">
        <v>10651</v>
      </c>
      <c r="C4069" s="82" t="s">
        <v>11984</v>
      </c>
      <c r="D4069" s="82" t="s">
        <v>4177</v>
      </c>
      <c r="E4069" s="82">
        <v>6281313889118</v>
      </c>
      <c r="F4069" s="92">
        <v>45887</v>
      </c>
      <c r="G4069" s="87">
        <v>245</v>
      </c>
      <c r="H4069" s="88">
        <v>47645.914396887158</v>
      </c>
      <c r="I4069" s="89">
        <v>3</v>
      </c>
      <c r="J4069" s="90">
        <v>12245</v>
      </c>
      <c r="K4069" s="85">
        <v>1</v>
      </c>
      <c r="L4069" s="85">
        <v>52</v>
      </c>
      <c r="M4069" s="85">
        <v>0</v>
      </c>
      <c r="N4069" s="82" t="s">
        <v>11985</v>
      </c>
      <c r="O4069" s="93">
        <v>45888.651898148149</v>
      </c>
    </row>
    <row r="4070" spans="1:15" ht="22.5" customHeight="1">
      <c r="A4070" s="85">
        <v>174904221976312</v>
      </c>
      <c r="B4070" s="82" t="s">
        <v>10651</v>
      </c>
      <c r="C4070" s="82" t="s">
        <v>11986</v>
      </c>
      <c r="D4070" s="82" t="s">
        <v>11987</v>
      </c>
      <c r="E4070" s="82">
        <v>6285811111804</v>
      </c>
      <c r="F4070" s="92">
        <v>45887</v>
      </c>
      <c r="G4070" s="87">
        <v>500</v>
      </c>
      <c r="H4070" s="88">
        <v>23264.540337711067</v>
      </c>
      <c r="I4070" s="89">
        <v>5</v>
      </c>
      <c r="J4070" s="90">
        <v>12400</v>
      </c>
      <c r="K4070" s="85">
        <v>0</v>
      </c>
      <c r="L4070" s="85">
        <v>27</v>
      </c>
      <c r="M4070" s="85">
        <v>0</v>
      </c>
      <c r="N4070" s="82" t="s">
        <v>11988</v>
      </c>
      <c r="O4070" s="93">
        <v>45888.693194444444</v>
      </c>
    </row>
    <row r="4071" spans="1:15" ht="22.5" customHeight="1">
      <c r="A4071" s="85">
        <v>174904221976312</v>
      </c>
      <c r="B4071" s="82" t="s">
        <v>10651</v>
      </c>
      <c r="C4071" s="82" t="s">
        <v>11989</v>
      </c>
      <c r="D4071" s="82" t="s">
        <v>4150</v>
      </c>
      <c r="E4071" s="82">
        <v>6285189492568</v>
      </c>
      <c r="F4071" s="92">
        <v>45887</v>
      </c>
      <c r="G4071" s="87">
        <v>471</v>
      </c>
      <c r="H4071" s="88">
        <v>18038.016528925622</v>
      </c>
      <c r="I4071" s="89">
        <v>14</v>
      </c>
      <c r="J4071" s="90">
        <v>10913</v>
      </c>
      <c r="K4071" s="85">
        <v>3</v>
      </c>
      <c r="L4071" s="85">
        <v>15</v>
      </c>
      <c r="M4071" s="85">
        <v>0</v>
      </c>
      <c r="N4071" s="82" t="s">
        <v>11990</v>
      </c>
      <c r="O4071" s="93">
        <v>45888.734965277778</v>
      </c>
    </row>
    <row r="4072" spans="1:15" ht="22.5" customHeight="1">
      <c r="A4072" s="85">
        <v>174904221976312</v>
      </c>
      <c r="B4072" s="82" t="s">
        <v>10651</v>
      </c>
      <c r="C4072" s="82" t="s">
        <v>11991</v>
      </c>
      <c r="D4072" s="82" t="s">
        <v>11992</v>
      </c>
      <c r="E4072" s="82">
        <v>6285240194507</v>
      </c>
      <c r="F4072" s="92">
        <v>45887</v>
      </c>
      <c r="G4072" s="87">
        <v>569</v>
      </c>
      <c r="H4072" s="88">
        <v>16182.596291012838</v>
      </c>
      <c r="I4072" s="89">
        <v>17</v>
      </c>
      <c r="J4072" s="90">
        <v>11344</v>
      </c>
      <c r="K4072" s="85">
        <v>3</v>
      </c>
      <c r="L4072" s="85">
        <v>194</v>
      </c>
      <c r="M4072" s="85">
        <v>0</v>
      </c>
      <c r="N4072" s="82" t="s">
        <v>11993</v>
      </c>
      <c r="O4072" s="93">
        <v>45888.630706018521</v>
      </c>
    </row>
    <row r="4073" spans="1:15" ht="22.5" customHeight="1">
      <c r="A4073" s="85">
        <v>174904221976312</v>
      </c>
      <c r="B4073" s="82" t="s">
        <v>10651</v>
      </c>
      <c r="C4073" s="82" t="s">
        <v>11966</v>
      </c>
      <c r="D4073" s="82" t="s">
        <v>11967</v>
      </c>
      <c r="E4073" s="82">
        <v>6285780314346</v>
      </c>
      <c r="F4073" s="92">
        <v>45887</v>
      </c>
      <c r="G4073" s="87">
        <v>929</v>
      </c>
      <c r="H4073" s="88">
        <v>13197.851387645478</v>
      </c>
      <c r="I4073" s="89">
        <v>36</v>
      </c>
      <c r="J4073" s="90">
        <v>14742</v>
      </c>
      <c r="K4073" s="85">
        <v>2</v>
      </c>
      <c r="L4073" s="85">
        <v>0</v>
      </c>
      <c r="M4073" s="85">
        <v>0</v>
      </c>
      <c r="N4073" s="82" t="s">
        <v>11968</v>
      </c>
      <c r="O4073" s="93">
        <v>45888.609861111108</v>
      </c>
    </row>
    <row r="4074" spans="1:15" ht="22.5" customHeight="1">
      <c r="A4074" s="85">
        <v>174904221976312</v>
      </c>
      <c r="B4074" s="82" t="s">
        <v>10651</v>
      </c>
      <c r="C4074" s="82" t="s">
        <v>11969</v>
      </c>
      <c r="D4074" s="82" t="s">
        <v>11970</v>
      </c>
      <c r="E4074" s="82">
        <v>628561302381</v>
      </c>
      <c r="F4074" s="92">
        <v>45887</v>
      </c>
      <c r="G4074" s="87">
        <v>323</v>
      </c>
      <c r="H4074" s="88">
        <v>39218.83656509695</v>
      </c>
      <c r="I4074" s="89">
        <v>8</v>
      </c>
      <c r="J4074" s="90">
        <v>14158</v>
      </c>
      <c r="K4074" s="85">
        <v>1</v>
      </c>
      <c r="L4074" s="85">
        <v>78</v>
      </c>
      <c r="M4074" s="85">
        <v>1</v>
      </c>
      <c r="N4074" s="82" t="s">
        <v>11971</v>
      </c>
      <c r="O4074" s="93">
        <v>45888.443182870367</v>
      </c>
    </row>
    <row r="4075" spans="1:15" ht="22.5" customHeight="1">
      <c r="A4075" s="85">
        <v>174904221976312</v>
      </c>
      <c r="B4075" s="82" t="s">
        <v>10651</v>
      </c>
      <c r="C4075" s="82" t="s">
        <v>11911</v>
      </c>
      <c r="D4075" s="82" t="s">
        <v>11912</v>
      </c>
      <c r="E4075" s="82">
        <v>6287864812126</v>
      </c>
      <c r="F4075" s="92">
        <v>45887</v>
      </c>
      <c r="G4075" s="87">
        <v>1928</v>
      </c>
      <c r="H4075" s="88">
        <v>7089.8760330578507</v>
      </c>
      <c r="I4075" s="89">
        <v>38</v>
      </c>
      <c r="J4075" s="90">
        <v>13726</v>
      </c>
      <c r="K4075" s="85">
        <v>0</v>
      </c>
      <c r="L4075" s="85">
        <v>1122</v>
      </c>
      <c r="M4075" s="85">
        <v>0</v>
      </c>
      <c r="N4075" s="82" t="s">
        <v>11913</v>
      </c>
      <c r="O4075" s="93">
        <v>45888.54724537037</v>
      </c>
    </row>
    <row r="4076" spans="1:15" ht="22.5" customHeight="1">
      <c r="A4076" s="85">
        <v>174904221976312</v>
      </c>
      <c r="B4076" s="82" t="s">
        <v>10651</v>
      </c>
      <c r="C4076" s="82" t="s">
        <v>11914</v>
      </c>
      <c r="D4076" s="82" t="s">
        <v>9010</v>
      </c>
      <c r="E4076" s="82">
        <v>6281320188313</v>
      </c>
      <c r="F4076" s="92">
        <v>45887</v>
      </c>
      <c r="G4076" s="87">
        <v>822</v>
      </c>
      <c r="H4076" s="88">
        <v>16981.380065717414</v>
      </c>
      <c r="I4076" s="89">
        <v>21</v>
      </c>
      <c r="J4076" s="90">
        <v>15504</v>
      </c>
      <c r="K4076" s="85">
        <v>1</v>
      </c>
      <c r="L4076" s="85">
        <v>211</v>
      </c>
      <c r="M4076" s="85">
        <v>0</v>
      </c>
      <c r="N4076" s="82" t="s">
        <v>11915</v>
      </c>
      <c r="O4076" s="93">
        <v>45888.443171296298</v>
      </c>
    </row>
    <row r="4077" spans="1:15" ht="22.5" customHeight="1">
      <c r="A4077" s="85">
        <v>174904221976312</v>
      </c>
      <c r="B4077" s="82" t="s">
        <v>10651</v>
      </c>
      <c r="C4077" s="82" t="s">
        <v>11916</v>
      </c>
      <c r="D4077" s="82" t="s">
        <v>11917</v>
      </c>
      <c r="E4077" s="82">
        <v>6281339823715</v>
      </c>
      <c r="F4077" s="92">
        <v>45887</v>
      </c>
      <c r="G4077" s="87">
        <v>644</v>
      </c>
      <c r="H4077" s="88">
        <v>22744.257274119449</v>
      </c>
      <c r="I4077" s="89">
        <v>32</v>
      </c>
      <c r="J4077" s="90">
        <v>14852</v>
      </c>
      <c r="K4077" s="85">
        <v>0</v>
      </c>
      <c r="L4077" s="85">
        <v>286</v>
      </c>
      <c r="M4077" s="85">
        <v>0</v>
      </c>
      <c r="N4077" s="82" t="s">
        <v>11918</v>
      </c>
      <c r="O4077" s="93">
        <v>45888.776631944442</v>
      </c>
    </row>
    <row r="4078" spans="1:15" ht="22.5" customHeight="1">
      <c r="A4078" s="85">
        <v>174904221976312</v>
      </c>
      <c r="B4078" s="82" t="s">
        <v>10651</v>
      </c>
      <c r="C4078" s="82" t="s">
        <v>11919</v>
      </c>
      <c r="D4078" s="82" t="s">
        <v>11920</v>
      </c>
      <c r="E4078" s="82">
        <v>6282221896658</v>
      </c>
      <c r="F4078" s="92">
        <v>45887</v>
      </c>
      <c r="G4078" s="87">
        <v>127</v>
      </c>
      <c r="H4078" s="88">
        <v>94979.31034482758</v>
      </c>
      <c r="I4078" s="89">
        <v>3</v>
      </c>
      <c r="J4078" s="90">
        <v>13772</v>
      </c>
      <c r="K4078" s="85">
        <v>0</v>
      </c>
      <c r="L4078" s="85">
        <v>44</v>
      </c>
      <c r="M4078" s="85">
        <v>0</v>
      </c>
      <c r="N4078" s="82" t="s">
        <v>11921</v>
      </c>
      <c r="O4078" s="93">
        <v>45888.255497685182</v>
      </c>
    </row>
    <row r="4079" spans="1:15" ht="22.5" customHeight="1">
      <c r="A4079" s="85">
        <v>174904221976312</v>
      </c>
      <c r="B4079" s="82" t="s">
        <v>10651</v>
      </c>
      <c r="C4079" s="82" t="s">
        <v>11922</v>
      </c>
      <c r="D4079" s="82" t="s">
        <v>11923</v>
      </c>
      <c r="E4079" s="82">
        <v>6282390759437</v>
      </c>
      <c r="F4079" s="92">
        <v>45887</v>
      </c>
      <c r="G4079" s="87">
        <v>232</v>
      </c>
      <c r="H4079" s="88">
        <v>45288.38951310861</v>
      </c>
      <c r="I4079" s="89">
        <v>9</v>
      </c>
      <c r="J4079" s="90">
        <v>12092</v>
      </c>
      <c r="K4079" s="85">
        <v>1</v>
      </c>
      <c r="L4079" s="85">
        <v>16</v>
      </c>
      <c r="M4079" s="85">
        <v>1</v>
      </c>
      <c r="N4079" s="82" t="s">
        <v>11924</v>
      </c>
      <c r="O4079" s="93">
        <v>45888.547893518517</v>
      </c>
    </row>
    <row r="4080" spans="1:15" ht="22.5" customHeight="1">
      <c r="A4080" s="85">
        <v>174904221976312</v>
      </c>
      <c r="B4080" s="82" t="s">
        <v>10651</v>
      </c>
      <c r="C4080" s="82" t="s">
        <v>11925</v>
      </c>
      <c r="D4080" s="82" t="s">
        <v>4008</v>
      </c>
      <c r="E4080" s="82">
        <v>6281558225822</v>
      </c>
      <c r="F4080" s="92">
        <v>45887</v>
      </c>
      <c r="G4080" s="87">
        <v>115</v>
      </c>
      <c r="H4080" s="88">
        <v>116504.20168067227</v>
      </c>
      <c r="I4080" s="89">
        <v>6</v>
      </c>
      <c r="J4080" s="90">
        <v>13864</v>
      </c>
      <c r="K4080" s="85">
        <v>0</v>
      </c>
      <c r="L4080" s="85">
        <v>0</v>
      </c>
      <c r="M4080" s="85">
        <v>0</v>
      </c>
      <c r="N4080" s="82" t="s">
        <v>11926</v>
      </c>
      <c r="O4080" s="93">
        <v>45888.568310185183</v>
      </c>
    </row>
    <row r="4081" spans="1:15" ht="22.5" customHeight="1">
      <c r="A4081" s="85">
        <v>174904221976312</v>
      </c>
      <c r="B4081" s="82" t="s">
        <v>10651</v>
      </c>
      <c r="C4081" s="82" t="s">
        <v>11905</v>
      </c>
      <c r="D4081" s="82" t="s">
        <v>11906</v>
      </c>
      <c r="E4081" s="82">
        <v>6285294617773</v>
      </c>
      <c r="F4081" s="92">
        <v>45887</v>
      </c>
      <c r="G4081" s="87">
        <v>424</v>
      </c>
      <c r="H4081" s="88">
        <v>23600</v>
      </c>
      <c r="I4081" s="89">
        <v>27</v>
      </c>
      <c r="J4081" s="90">
        <v>11918</v>
      </c>
      <c r="K4081" s="85">
        <v>1</v>
      </c>
      <c r="L4081" s="85">
        <v>161</v>
      </c>
      <c r="M4081" s="85">
        <v>0</v>
      </c>
      <c r="N4081" s="82" t="s">
        <v>11907</v>
      </c>
      <c r="O4081" s="93">
        <v>45888.58902777778</v>
      </c>
    </row>
    <row r="4082" spans="1:15" ht="22.5" customHeight="1">
      <c r="A4082" s="85">
        <v>174904221976312</v>
      </c>
      <c r="B4082" s="82" t="s">
        <v>10651</v>
      </c>
      <c r="C4082" s="82" t="s">
        <v>11908</v>
      </c>
      <c r="D4082" s="82" t="s">
        <v>3969</v>
      </c>
      <c r="E4082" s="82">
        <v>62881010328220</v>
      </c>
      <c r="F4082" s="92">
        <v>45887</v>
      </c>
      <c r="G4082" s="87">
        <v>249</v>
      </c>
      <c r="H4082" s="88">
        <v>60602.189781021902</v>
      </c>
      <c r="I4082" s="89">
        <v>15</v>
      </c>
      <c r="J4082" s="90">
        <v>16605</v>
      </c>
      <c r="K4082" s="85">
        <v>6</v>
      </c>
      <c r="L4082" s="85">
        <v>0</v>
      </c>
      <c r="M4082" s="85">
        <v>0</v>
      </c>
      <c r="N4082" s="82" t="s">
        <v>11909</v>
      </c>
      <c r="O4082" s="93">
        <v>45888.218495370369</v>
      </c>
    </row>
    <row r="4083" spans="1:15" ht="22.5" customHeight="1">
      <c r="A4083" s="85">
        <v>174904221976312</v>
      </c>
      <c r="B4083" s="82" t="s">
        <v>10651</v>
      </c>
      <c r="C4083" s="82" t="s">
        <v>11882</v>
      </c>
      <c r="D4083" s="82" t="s">
        <v>11883</v>
      </c>
      <c r="E4083" s="82">
        <v>6287701349406</v>
      </c>
      <c r="F4083" s="92">
        <v>45887</v>
      </c>
      <c r="G4083" s="87">
        <v>116</v>
      </c>
      <c r="H4083" s="88">
        <v>3729.3233082706765</v>
      </c>
      <c r="I4083" s="89">
        <v>3</v>
      </c>
      <c r="J4083" s="90">
        <v>496</v>
      </c>
      <c r="K4083" s="85">
        <v>0</v>
      </c>
      <c r="L4083" s="85">
        <v>1</v>
      </c>
      <c r="M4083" s="85">
        <v>0</v>
      </c>
      <c r="N4083" s="82" t="s">
        <v>11884</v>
      </c>
      <c r="O4083" s="93">
        <v>45888.2184837963</v>
      </c>
    </row>
    <row r="4084" spans="1:15" ht="22.5" customHeight="1">
      <c r="A4084" s="85">
        <v>174904221976312</v>
      </c>
      <c r="B4084" s="82" t="s">
        <v>10651</v>
      </c>
      <c r="C4084" s="82" t="s">
        <v>11885</v>
      </c>
      <c r="D4084" s="82" t="s">
        <v>11886</v>
      </c>
      <c r="E4084" s="82">
        <v>628179780980</v>
      </c>
      <c r="F4084" s="92">
        <v>45887</v>
      </c>
      <c r="G4084" s="87">
        <v>316</v>
      </c>
      <c r="H4084" s="88">
        <v>42412.84403669725</v>
      </c>
      <c r="I4084" s="89">
        <v>8</v>
      </c>
      <c r="J4084" s="90">
        <v>13869</v>
      </c>
      <c r="K4084" s="85">
        <v>1</v>
      </c>
      <c r="L4084" s="85">
        <v>156</v>
      </c>
      <c r="M4084" s="85">
        <v>0</v>
      </c>
      <c r="N4084" s="82" t="s">
        <v>11887</v>
      </c>
      <c r="O4084" s="93">
        <v>45888.547581018516</v>
      </c>
    </row>
    <row r="4085" spans="1:15" ht="22.5" customHeight="1">
      <c r="A4085" s="85">
        <v>174904221976312</v>
      </c>
      <c r="B4085" s="82" t="s">
        <v>10651</v>
      </c>
      <c r="C4085" s="82" t="s">
        <v>11888</v>
      </c>
      <c r="D4085" s="82" t="s">
        <v>11889</v>
      </c>
      <c r="E4085" s="82">
        <v>628127962347</v>
      </c>
      <c r="F4085" s="92">
        <v>45887</v>
      </c>
      <c r="G4085" s="87">
        <v>479</v>
      </c>
      <c r="H4085" s="88">
        <v>24981.718464351005</v>
      </c>
      <c r="I4085" s="89">
        <v>15</v>
      </c>
      <c r="J4085" s="90">
        <v>13665</v>
      </c>
      <c r="K4085" s="85">
        <v>4</v>
      </c>
      <c r="L4085" s="85">
        <v>100</v>
      </c>
      <c r="M4085" s="85">
        <v>0</v>
      </c>
      <c r="N4085" s="82" t="s">
        <v>11890</v>
      </c>
      <c r="O4085" s="93">
        <v>45888.484837962962</v>
      </c>
    </row>
    <row r="4086" spans="1:15" ht="22.5" customHeight="1">
      <c r="A4086" s="85">
        <v>174904221976312</v>
      </c>
      <c r="B4086" s="82" t="s">
        <v>10651</v>
      </c>
      <c r="C4086" s="82" t="s">
        <v>11891</v>
      </c>
      <c r="D4086" s="82" t="s">
        <v>3873</v>
      </c>
      <c r="E4086" s="82">
        <v>6282241382009</v>
      </c>
      <c r="F4086" s="92">
        <v>45887</v>
      </c>
      <c r="G4086" s="87">
        <v>16</v>
      </c>
      <c r="H4086" s="88">
        <v>7882.3529411764712</v>
      </c>
      <c r="I4086" s="89">
        <v>1</v>
      </c>
      <c r="J4086" s="90">
        <v>134</v>
      </c>
      <c r="K4086" s="85">
        <v>1</v>
      </c>
      <c r="L4086" s="85">
        <v>0</v>
      </c>
      <c r="M4086" s="85">
        <v>0</v>
      </c>
      <c r="N4086" s="82" t="s">
        <v>11892</v>
      </c>
      <c r="O4086" s="93">
        <v>45888.218495370369</v>
      </c>
    </row>
    <row r="4087" spans="1:15" ht="22.5" customHeight="1">
      <c r="A4087" s="85">
        <v>174904221976312</v>
      </c>
      <c r="B4087" s="82" t="s">
        <v>10651</v>
      </c>
      <c r="C4087" s="82" t="s">
        <v>11896</v>
      </c>
      <c r="D4087" s="82" t="s">
        <v>11897</v>
      </c>
      <c r="E4087" s="82">
        <v>6282153090123</v>
      </c>
      <c r="F4087" s="92">
        <v>45887</v>
      </c>
      <c r="G4087" s="87">
        <v>493</v>
      </c>
      <c r="H4087" s="88">
        <v>25185.546875</v>
      </c>
      <c r="I4087" s="89">
        <v>30</v>
      </c>
      <c r="J4087" s="90">
        <v>12895</v>
      </c>
      <c r="K4087" s="85">
        <v>1</v>
      </c>
      <c r="L4087" s="85">
        <v>212</v>
      </c>
      <c r="M4087" s="85">
        <v>0</v>
      </c>
      <c r="N4087" s="82" t="s">
        <v>11898</v>
      </c>
      <c r="O4087" s="93">
        <v>45888.609606481485</v>
      </c>
    </row>
    <row r="4088" spans="1:15" ht="22.5" customHeight="1">
      <c r="A4088" s="85">
        <v>174904221976312</v>
      </c>
      <c r="B4088" s="82" t="s">
        <v>10651</v>
      </c>
      <c r="C4088" s="82" t="s">
        <v>11865</v>
      </c>
      <c r="D4088" s="82" t="s">
        <v>11403</v>
      </c>
      <c r="E4088" s="82">
        <v>6283870060603</v>
      </c>
      <c r="F4088" s="92">
        <v>45887</v>
      </c>
      <c r="G4088" s="87">
        <v>663</v>
      </c>
      <c r="H4088" s="88">
        <v>16546.130952380954</v>
      </c>
      <c r="I4088" s="89">
        <v>22</v>
      </c>
      <c r="J4088" s="90">
        <v>11119</v>
      </c>
      <c r="K4088" s="85">
        <v>0</v>
      </c>
      <c r="L4088" s="85">
        <v>238</v>
      </c>
      <c r="M4088" s="85">
        <v>0</v>
      </c>
      <c r="N4088" s="82" t="s">
        <v>11866</v>
      </c>
      <c r="O4088" s="93">
        <v>45888.714016203703</v>
      </c>
    </row>
    <row r="4089" spans="1:15" ht="22.5" customHeight="1">
      <c r="A4089" s="85">
        <v>174904221976312</v>
      </c>
      <c r="B4089" s="82" t="s">
        <v>10651</v>
      </c>
      <c r="C4089" s="82" t="s">
        <v>11867</v>
      </c>
      <c r="D4089" s="82" t="s">
        <v>11868</v>
      </c>
      <c r="E4089" s="82">
        <v>6282112042148</v>
      </c>
      <c r="F4089" s="92">
        <v>45887</v>
      </c>
      <c r="G4089" s="87">
        <v>875</v>
      </c>
      <c r="H4089" s="88">
        <v>16859.958506224069</v>
      </c>
      <c r="I4089" s="89">
        <v>32</v>
      </c>
      <c r="J4089" s="90">
        <v>16253</v>
      </c>
      <c r="K4089" s="85">
        <v>1</v>
      </c>
      <c r="L4089" s="85">
        <v>366</v>
      </c>
      <c r="M4089" s="85">
        <v>1</v>
      </c>
      <c r="N4089" s="82" t="s">
        <v>11869</v>
      </c>
      <c r="O4089" s="93">
        <v>45888.401990740742</v>
      </c>
    </row>
    <row r="4090" spans="1:15" ht="22.5" customHeight="1">
      <c r="A4090" s="85">
        <v>174904221976312</v>
      </c>
      <c r="B4090" s="82" t="s">
        <v>10651</v>
      </c>
      <c r="C4090" s="82" t="s">
        <v>11876</v>
      </c>
      <c r="D4090" s="82" t="s">
        <v>11877</v>
      </c>
      <c r="E4090" s="82">
        <v>6285748377961</v>
      </c>
      <c r="F4090" s="92">
        <v>45887</v>
      </c>
      <c r="G4090" s="87">
        <v>1401</v>
      </c>
      <c r="H4090" s="88">
        <v>9148.7603305785124</v>
      </c>
      <c r="I4090" s="89">
        <v>23</v>
      </c>
      <c r="J4090" s="90">
        <v>14391</v>
      </c>
      <c r="K4090" s="85">
        <v>0</v>
      </c>
      <c r="L4090" s="85">
        <v>48</v>
      </c>
      <c r="M4090" s="85">
        <v>0</v>
      </c>
      <c r="N4090" s="82" t="s">
        <v>11878</v>
      </c>
      <c r="O4090" s="93">
        <v>45888.651585648149</v>
      </c>
    </row>
    <row r="4091" spans="1:15" ht="22.5" customHeight="1">
      <c r="A4091" s="85">
        <v>174904221976312</v>
      </c>
      <c r="B4091" s="82" t="s">
        <v>10651</v>
      </c>
      <c r="C4091" s="82" t="s">
        <v>11879</v>
      </c>
      <c r="D4091" s="82" t="s">
        <v>11877</v>
      </c>
      <c r="E4091" s="82">
        <v>6285748377961</v>
      </c>
      <c r="F4091" s="92">
        <v>45887</v>
      </c>
      <c r="G4091" s="87">
        <v>503</v>
      </c>
      <c r="H4091" s="88">
        <v>23634.686346863469</v>
      </c>
      <c r="I4091" s="89">
        <v>6</v>
      </c>
      <c r="J4091" s="90">
        <v>12810</v>
      </c>
      <c r="K4091" s="85">
        <v>1</v>
      </c>
      <c r="L4091" s="85">
        <v>40</v>
      </c>
      <c r="M4091" s="85">
        <v>0</v>
      </c>
      <c r="N4091" s="82" t="s">
        <v>11878</v>
      </c>
      <c r="O4091" s="93">
        <v>45888.568564814814</v>
      </c>
    </row>
    <row r="4092" spans="1:15" ht="22.5" customHeight="1">
      <c r="A4092" s="85">
        <v>174904221976312</v>
      </c>
      <c r="B4092" s="82" t="s">
        <v>10651</v>
      </c>
      <c r="C4092" s="82" t="s">
        <v>11880</v>
      </c>
      <c r="D4092" s="82" t="s">
        <v>3805</v>
      </c>
      <c r="E4092" s="82">
        <v>6281288245836</v>
      </c>
      <c r="F4092" s="92">
        <v>45887</v>
      </c>
      <c r="G4092" s="87">
        <v>250</v>
      </c>
      <c r="H4092" s="88">
        <v>46069.230769230773</v>
      </c>
      <c r="I4092" s="89">
        <v>8</v>
      </c>
      <c r="J4092" s="90">
        <v>11978</v>
      </c>
      <c r="K4092" s="85">
        <v>1</v>
      </c>
      <c r="L4092" s="85">
        <v>0</v>
      </c>
      <c r="M4092" s="85">
        <v>0</v>
      </c>
      <c r="N4092" s="82" t="s">
        <v>11881</v>
      </c>
      <c r="O4092" s="93">
        <v>45888.485173611109</v>
      </c>
    </row>
    <row r="4093" spans="1:15" ht="22.5" customHeight="1">
      <c r="A4093" s="85">
        <v>174904221976312</v>
      </c>
      <c r="B4093" s="82" t="s">
        <v>10651</v>
      </c>
      <c r="C4093" s="82" t="s">
        <v>11838</v>
      </c>
      <c r="D4093" s="82" t="s">
        <v>11839</v>
      </c>
      <c r="E4093" s="82">
        <v>6287797504113</v>
      </c>
      <c r="F4093" s="92">
        <v>45887</v>
      </c>
      <c r="G4093" s="87">
        <v>255</v>
      </c>
      <c r="H4093" s="88">
        <v>48911.877394636016</v>
      </c>
      <c r="I4093" s="89">
        <v>6</v>
      </c>
      <c r="J4093" s="90">
        <v>12766</v>
      </c>
      <c r="K4093" s="85">
        <v>2</v>
      </c>
      <c r="L4093" s="85">
        <v>0</v>
      </c>
      <c r="M4093" s="85">
        <v>0</v>
      </c>
      <c r="N4093" s="82" t="s">
        <v>11840</v>
      </c>
      <c r="O4093" s="93">
        <v>45888.547592592593</v>
      </c>
    </row>
    <row r="4094" spans="1:15" ht="22.5" customHeight="1">
      <c r="A4094" s="85">
        <v>174904221976312</v>
      </c>
      <c r="B4094" s="82" t="s">
        <v>10651</v>
      </c>
      <c r="C4094" s="82" t="s">
        <v>11816</v>
      </c>
      <c r="D4094" s="82" t="s">
        <v>3682</v>
      </c>
      <c r="E4094" s="82">
        <v>6285602235226</v>
      </c>
      <c r="F4094" s="92">
        <v>45887</v>
      </c>
      <c r="G4094" s="87">
        <v>447</v>
      </c>
      <c r="H4094" s="88">
        <v>26954.635108481263</v>
      </c>
      <c r="I4094" s="89">
        <v>38</v>
      </c>
      <c r="J4094" s="90">
        <v>13666</v>
      </c>
      <c r="K4094" s="85">
        <v>9</v>
      </c>
      <c r="L4094" s="85">
        <v>4</v>
      </c>
      <c r="M4094" s="85">
        <v>1</v>
      </c>
      <c r="N4094" s="82" t="s">
        <v>11817</v>
      </c>
      <c r="O4094" s="93">
        <v>45888.630995370368</v>
      </c>
    </row>
    <row r="4095" spans="1:15" ht="22.5" customHeight="1">
      <c r="A4095" s="85">
        <v>174904221976312</v>
      </c>
      <c r="B4095" s="82" t="s">
        <v>10651</v>
      </c>
      <c r="C4095" s="82" t="s">
        <v>11799</v>
      </c>
      <c r="D4095" s="82" t="s">
        <v>11800</v>
      </c>
      <c r="E4095" s="82">
        <v>6285333751528</v>
      </c>
      <c r="F4095" s="92">
        <v>45887</v>
      </c>
      <c r="G4095" s="87">
        <v>886</v>
      </c>
      <c r="H4095" s="88">
        <v>16983.118172790466</v>
      </c>
      <c r="I4095" s="89">
        <v>22</v>
      </c>
      <c r="J4095" s="90">
        <v>17102</v>
      </c>
      <c r="K4095" s="85">
        <v>2</v>
      </c>
      <c r="L4095" s="85">
        <v>7</v>
      </c>
      <c r="M4095" s="85">
        <v>0</v>
      </c>
      <c r="N4095" s="82" t="s">
        <v>11801</v>
      </c>
      <c r="O4095" s="93">
        <v>45888.422291666669</v>
      </c>
    </row>
    <row r="4096" spans="1:15" ht="22.5" customHeight="1">
      <c r="A4096" s="85">
        <v>174904221976312</v>
      </c>
      <c r="B4096" s="82" t="s">
        <v>10651</v>
      </c>
      <c r="C4096" s="82" t="s">
        <v>11766</v>
      </c>
      <c r="D4096" s="82" t="s">
        <v>11767</v>
      </c>
      <c r="E4096" s="82">
        <v>6281225101319</v>
      </c>
      <c r="F4096" s="92">
        <v>45887</v>
      </c>
      <c r="G4096" s="87">
        <v>256</v>
      </c>
      <c r="H4096" s="88">
        <v>45061.688311688311</v>
      </c>
      <c r="I4096" s="89">
        <v>15</v>
      </c>
      <c r="J4096" s="90">
        <v>13879</v>
      </c>
      <c r="K4096" s="85">
        <v>1</v>
      </c>
      <c r="L4096" s="85">
        <v>0</v>
      </c>
      <c r="M4096" s="85">
        <v>0</v>
      </c>
      <c r="N4096" s="82" t="s">
        <v>11768</v>
      </c>
      <c r="O4096" s="93">
        <v>45888.630706018521</v>
      </c>
    </row>
    <row r="4097" spans="1:15" ht="22.5" customHeight="1">
      <c r="A4097" s="85">
        <v>174904221976312</v>
      </c>
      <c r="B4097" s="82" t="s">
        <v>10651</v>
      </c>
      <c r="C4097" s="82" t="s">
        <v>11777</v>
      </c>
      <c r="D4097" s="82" t="s">
        <v>11778</v>
      </c>
      <c r="E4097" s="82">
        <v>6281374844270</v>
      </c>
      <c r="F4097" s="92">
        <v>45887</v>
      </c>
      <c r="G4097" s="87">
        <v>1779</v>
      </c>
      <c r="H4097" s="88">
        <v>8556.2098501070668</v>
      </c>
      <c r="I4097" s="89">
        <v>41</v>
      </c>
      <c r="J4097" s="90">
        <v>15983</v>
      </c>
      <c r="K4097" s="85">
        <v>0</v>
      </c>
      <c r="L4097" s="85">
        <v>0</v>
      </c>
      <c r="M4097" s="85">
        <v>4</v>
      </c>
      <c r="N4097" s="82" t="s">
        <v>11779</v>
      </c>
      <c r="O4097" s="93">
        <v>45888.218506944446</v>
      </c>
    </row>
    <row r="4098" spans="1:15" ht="22.5" customHeight="1">
      <c r="A4098" s="85">
        <v>174904221976312</v>
      </c>
      <c r="B4098" s="82" t="s">
        <v>10651</v>
      </c>
      <c r="C4098" s="82" t="s">
        <v>11780</v>
      </c>
      <c r="D4098" s="82" t="s">
        <v>11781</v>
      </c>
      <c r="E4098" s="82">
        <v>6282129364133</v>
      </c>
      <c r="F4098" s="92">
        <v>45887</v>
      </c>
      <c r="G4098" s="87">
        <v>705</v>
      </c>
      <c r="H4098" s="88">
        <v>15736.975857687421</v>
      </c>
      <c r="I4098" s="89">
        <v>14</v>
      </c>
      <c r="J4098" s="90">
        <v>12385</v>
      </c>
      <c r="K4098" s="85">
        <v>1</v>
      </c>
      <c r="L4098" s="85">
        <v>0</v>
      </c>
      <c r="M4098" s="85">
        <v>0</v>
      </c>
      <c r="N4098" s="82" t="s">
        <v>11782</v>
      </c>
      <c r="O4098" s="93">
        <v>45888.52615740741</v>
      </c>
    </row>
    <row r="4099" spans="1:15" ht="22.5" customHeight="1">
      <c r="A4099" s="85">
        <v>174904221976312</v>
      </c>
      <c r="B4099" s="82" t="s">
        <v>10651</v>
      </c>
      <c r="C4099" s="82" t="s">
        <v>11785</v>
      </c>
      <c r="D4099" s="82" t="s">
        <v>11786</v>
      </c>
      <c r="E4099" s="82">
        <v>628557182563</v>
      </c>
      <c r="F4099" s="92">
        <v>45887</v>
      </c>
      <c r="G4099" s="87">
        <v>227</v>
      </c>
      <c r="H4099" s="88">
        <v>40209.558823529413</v>
      </c>
      <c r="I4099" s="89">
        <v>6</v>
      </c>
      <c r="J4099" s="90">
        <v>10937</v>
      </c>
      <c r="K4099" s="85">
        <v>2</v>
      </c>
      <c r="L4099" s="85">
        <v>0</v>
      </c>
      <c r="M4099" s="85">
        <v>0</v>
      </c>
      <c r="N4099" s="82" t="s">
        <v>11787</v>
      </c>
      <c r="O4099" s="93">
        <v>45888.672384259262</v>
      </c>
    </row>
    <row r="4100" spans="1:15" ht="22.5" customHeight="1">
      <c r="A4100" s="85">
        <v>174904221976312</v>
      </c>
      <c r="B4100" s="82" t="s">
        <v>10651</v>
      </c>
      <c r="C4100" s="82" t="s">
        <v>11755</v>
      </c>
      <c r="D4100" s="82" t="s">
        <v>11756</v>
      </c>
      <c r="E4100" s="82">
        <v>6281357754513</v>
      </c>
      <c r="F4100" s="92">
        <v>45887</v>
      </c>
      <c r="G4100" s="87">
        <v>530</v>
      </c>
      <c r="H4100" s="88">
        <v>22110.223642172525</v>
      </c>
      <c r="I4100" s="89">
        <v>12</v>
      </c>
      <c r="J4100" s="90">
        <v>13841</v>
      </c>
      <c r="K4100" s="85">
        <v>3</v>
      </c>
      <c r="L4100" s="85">
        <v>30</v>
      </c>
      <c r="M4100" s="85">
        <v>0</v>
      </c>
      <c r="N4100" s="82" t="s">
        <v>11757</v>
      </c>
      <c r="O4100" s="93">
        <v>45888.54791666667</v>
      </c>
    </row>
    <row r="4101" spans="1:15" ht="22.5" customHeight="1">
      <c r="A4101" s="85">
        <v>174904221976312</v>
      </c>
      <c r="B4101" s="82" t="s">
        <v>10651</v>
      </c>
      <c r="C4101" s="82" t="s">
        <v>11761</v>
      </c>
      <c r="D4101" s="82" t="s">
        <v>3438</v>
      </c>
      <c r="E4101" s="82">
        <v>628154336558</v>
      </c>
      <c r="F4101" s="92">
        <v>45887</v>
      </c>
      <c r="G4101" s="87">
        <v>1838</v>
      </c>
      <c r="H4101" s="88">
        <v>8237.5867592098239</v>
      </c>
      <c r="I4101" s="89">
        <v>75</v>
      </c>
      <c r="J4101" s="90">
        <v>15429</v>
      </c>
      <c r="K4101" s="85">
        <v>5</v>
      </c>
      <c r="L4101" s="85">
        <v>775</v>
      </c>
      <c r="M4101" s="85">
        <v>2</v>
      </c>
      <c r="N4101" s="82" t="s">
        <v>11762</v>
      </c>
      <c r="O4101" s="93">
        <v>45888.443171296298</v>
      </c>
    </row>
    <row r="4102" spans="1:15" ht="22.5" customHeight="1">
      <c r="A4102" s="85">
        <v>174904221976312</v>
      </c>
      <c r="B4102" s="82" t="s">
        <v>10651</v>
      </c>
      <c r="C4102" s="82" t="s">
        <v>11763</v>
      </c>
      <c r="D4102" s="82" t="s">
        <v>11764</v>
      </c>
      <c r="E4102" s="82">
        <v>6282384544939</v>
      </c>
      <c r="F4102" s="92">
        <v>45887</v>
      </c>
      <c r="G4102" s="87">
        <v>513</v>
      </c>
      <c r="H4102" s="88">
        <v>22475.187969924809</v>
      </c>
      <c r="I4102" s="89">
        <v>13</v>
      </c>
      <c r="J4102" s="90">
        <v>14946</v>
      </c>
      <c r="K4102" s="85">
        <v>2</v>
      </c>
      <c r="L4102" s="85">
        <v>0</v>
      </c>
      <c r="M4102" s="85">
        <v>0</v>
      </c>
      <c r="N4102" s="82" t="s">
        <v>11765</v>
      </c>
      <c r="O4102" s="93">
        <v>45888.56832175926</v>
      </c>
    </row>
    <row r="4103" spans="1:15" ht="22.5" customHeight="1">
      <c r="A4103" s="85">
        <v>174904221976312</v>
      </c>
      <c r="B4103" s="82" t="s">
        <v>10651</v>
      </c>
      <c r="C4103" s="82" t="s">
        <v>11708</v>
      </c>
      <c r="D4103" s="82" t="s">
        <v>11709</v>
      </c>
      <c r="E4103" s="82">
        <v>6285294617773</v>
      </c>
      <c r="F4103" s="92">
        <v>45887</v>
      </c>
      <c r="G4103" s="87">
        <v>251</v>
      </c>
      <c r="H4103" s="88">
        <v>48442.804428044285</v>
      </c>
      <c r="I4103" s="89">
        <v>50</v>
      </c>
      <c r="J4103" s="90">
        <v>13128</v>
      </c>
      <c r="K4103" s="85">
        <v>6</v>
      </c>
      <c r="L4103" s="85">
        <v>86</v>
      </c>
      <c r="M4103" s="85">
        <v>4</v>
      </c>
      <c r="N4103" s="82" t="s">
        <v>11710</v>
      </c>
      <c r="O4103" s="93">
        <v>45888.443368055552</v>
      </c>
    </row>
    <row r="4104" spans="1:15" ht="22.5" customHeight="1">
      <c r="A4104" s="85">
        <v>174904221976312</v>
      </c>
      <c r="B4104" s="82" t="s">
        <v>10651</v>
      </c>
      <c r="C4104" s="82" t="s">
        <v>11663</v>
      </c>
      <c r="D4104" s="82" t="s">
        <v>11664</v>
      </c>
      <c r="E4104" s="82">
        <v>628123264621</v>
      </c>
      <c r="F4104" s="92">
        <v>45887</v>
      </c>
      <c r="G4104" s="87">
        <v>939</v>
      </c>
      <c r="H4104" s="88">
        <v>13698.924731182797</v>
      </c>
      <c r="I4104" s="89">
        <v>28</v>
      </c>
      <c r="J4104" s="90">
        <v>14014</v>
      </c>
      <c r="K4104" s="85">
        <v>2</v>
      </c>
      <c r="L4104" s="85">
        <v>1</v>
      </c>
      <c r="M4104" s="85">
        <v>1</v>
      </c>
      <c r="N4104" s="82" t="s">
        <v>11665</v>
      </c>
      <c r="O4104" s="93">
        <v>45888.568298611113</v>
      </c>
    </row>
    <row r="4105" spans="1:15" ht="22.5" customHeight="1">
      <c r="A4105" s="85">
        <v>174904221976312</v>
      </c>
      <c r="B4105" s="82" t="s">
        <v>10651</v>
      </c>
      <c r="C4105" s="82" t="s">
        <v>11643</v>
      </c>
      <c r="D4105" s="82" t="s">
        <v>11644</v>
      </c>
      <c r="E4105" s="82">
        <v>6281330410391</v>
      </c>
      <c r="F4105" s="92">
        <v>45887</v>
      </c>
      <c r="G4105" s="87">
        <v>1322</v>
      </c>
      <c r="H4105" s="88">
        <v>15248.663101604277</v>
      </c>
      <c r="I4105" s="89">
        <v>65</v>
      </c>
      <c r="J4105" s="90">
        <v>22812</v>
      </c>
      <c r="K4105" s="85">
        <v>13</v>
      </c>
      <c r="L4105" s="85">
        <v>411</v>
      </c>
      <c r="M4105" s="85">
        <v>2</v>
      </c>
      <c r="N4105" s="82" t="s">
        <v>11681</v>
      </c>
      <c r="O4105" s="93">
        <v>45884.259074074071</v>
      </c>
    </row>
    <row r="4106" spans="1:15" ht="22.5" customHeight="1">
      <c r="A4106" s="85">
        <v>174904221976312</v>
      </c>
      <c r="B4106" s="82" t="s">
        <v>10651</v>
      </c>
      <c r="C4106" s="82" t="s">
        <v>11578</v>
      </c>
      <c r="D4106" s="82" t="s">
        <v>1624</v>
      </c>
      <c r="E4106" s="82">
        <v>6281938384000</v>
      </c>
      <c r="F4106" s="92">
        <v>45887</v>
      </c>
      <c r="G4106" s="87">
        <v>1603</v>
      </c>
      <c r="H4106" s="88">
        <v>9153.1680440771361</v>
      </c>
      <c r="I4106" s="89">
        <v>29</v>
      </c>
      <c r="J4106" s="90">
        <v>16613</v>
      </c>
      <c r="K4106" s="85">
        <v>2</v>
      </c>
      <c r="L4106" s="85">
        <v>518</v>
      </c>
      <c r="M4106" s="85">
        <v>0</v>
      </c>
      <c r="N4106" s="82" t="s">
        <v>11579</v>
      </c>
      <c r="O4106" s="93">
        <v>45888.526400462964</v>
      </c>
    </row>
    <row r="4107" spans="1:15" ht="22.5" customHeight="1">
      <c r="A4107" s="85">
        <v>174904221976312</v>
      </c>
      <c r="B4107" s="82" t="s">
        <v>10651</v>
      </c>
      <c r="C4107" s="82" t="s">
        <v>11545</v>
      </c>
      <c r="D4107" s="82" t="s">
        <v>3140</v>
      </c>
      <c r="E4107" s="82"/>
      <c r="F4107" s="92">
        <v>45887</v>
      </c>
      <c r="G4107" s="87">
        <v>4601</v>
      </c>
      <c r="H4107" s="88">
        <v>2131.9172722191165</v>
      </c>
      <c r="I4107" s="89">
        <v>59</v>
      </c>
      <c r="J4107" s="90">
        <v>11442</v>
      </c>
      <c r="K4107" s="85">
        <v>0</v>
      </c>
      <c r="L4107" s="85">
        <v>0</v>
      </c>
      <c r="M4107" s="85">
        <v>0</v>
      </c>
      <c r="N4107" s="82" t="s">
        <v>10779</v>
      </c>
      <c r="O4107" s="93">
        <v>45888.484837962962</v>
      </c>
    </row>
    <row r="4108" spans="1:15" ht="22.5" customHeight="1">
      <c r="A4108" s="85">
        <v>174904221976312</v>
      </c>
      <c r="B4108" s="82" t="s">
        <v>10651</v>
      </c>
      <c r="C4108" s="82" t="s">
        <v>11464</v>
      </c>
      <c r="D4108" s="82" t="s">
        <v>11465</v>
      </c>
      <c r="E4108" s="82">
        <v>62816904358</v>
      </c>
      <c r="F4108" s="92">
        <v>45887</v>
      </c>
      <c r="G4108" s="87">
        <v>367</v>
      </c>
      <c r="H4108" s="88">
        <v>29349.576271186441</v>
      </c>
      <c r="I4108" s="89">
        <v>30</v>
      </c>
      <c r="J4108" s="90">
        <v>13853</v>
      </c>
      <c r="K4108" s="85">
        <v>5</v>
      </c>
      <c r="L4108" s="85">
        <v>0</v>
      </c>
      <c r="M4108" s="85">
        <v>0</v>
      </c>
      <c r="N4108" s="82" t="s">
        <v>11466</v>
      </c>
      <c r="O4108" s="93">
        <v>45888.609606481485</v>
      </c>
    </row>
    <row r="4109" spans="1:15" ht="22.5" customHeight="1">
      <c r="A4109" s="85">
        <v>174904221976312</v>
      </c>
      <c r="B4109" s="82" t="s">
        <v>10651</v>
      </c>
      <c r="C4109" s="82" t="s">
        <v>11213</v>
      </c>
      <c r="D4109" s="82" t="s">
        <v>2022</v>
      </c>
      <c r="E4109" s="82">
        <v>6285274759862</v>
      </c>
      <c r="F4109" s="92">
        <v>45887</v>
      </c>
      <c r="G4109" s="87">
        <v>465</v>
      </c>
      <c r="H4109" s="88">
        <v>25782.287822878228</v>
      </c>
      <c r="I4109" s="89">
        <v>29</v>
      </c>
      <c r="J4109" s="90">
        <v>13974</v>
      </c>
      <c r="K4109" s="85">
        <v>3</v>
      </c>
      <c r="L4109" s="85">
        <v>0</v>
      </c>
      <c r="M4109" s="85">
        <v>0</v>
      </c>
      <c r="N4109" s="82" t="s">
        <v>11214</v>
      </c>
      <c r="O4109" s="93">
        <v>45888.609606481485</v>
      </c>
    </row>
    <row r="4110" spans="1:15" ht="22.5" customHeight="1">
      <c r="A4110" s="85">
        <v>174904221976312</v>
      </c>
      <c r="B4110" s="82" t="s">
        <v>10651</v>
      </c>
      <c r="C4110" s="82" t="s">
        <v>11193</v>
      </c>
      <c r="D4110" s="82" t="s">
        <v>11194</v>
      </c>
      <c r="E4110" s="82">
        <v>6281779578317</v>
      </c>
      <c r="F4110" s="92">
        <v>45887</v>
      </c>
      <c r="G4110" s="87">
        <v>1038</v>
      </c>
      <c r="H4110" s="88">
        <v>12326.825127334467</v>
      </c>
      <c r="I4110" s="89">
        <v>32</v>
      </c>
      <c r="J4110" s="90">
        <v>14521</v>
      </c>
      <c r="K4110" s="85">
        <v>4</v>
      </c>
      <c r="L4110" s="85">
        <v>284</v>
      </c>
      <c r="M4110" s="85">
        <v>0</v>
      </c>
      <c r="N4110" s="82" t="s">
        <v>11195</v>
      </c>
      <c r="O4110" s="93">
        <v>45888.422280092593</v>
      </c>
    </row>
    <row r="4111" spans="1:15" ht="22.5" customHeight="1">
      <c r="A4111" s="85">
        <v>174904221976312</v>
      </c>
      <c r="B4111" s="82" t="s">
        <v>10651</v>
      </c>
      <c r="C4111" s="82" t="s">
        <v>10943</v>
      </c>
      <c r="D4111" s="82" t="s">
        <v>10944</v>
      </c>
      <c r="E4111" s="82">
        <v>6285240694097</v>
      </c>
      <c r="F4111" s="92">
        <v>45887</v>
      </c>
      <c r="G4111" s="87">
        <v>1108</v>
      </c>
      <c r="H4111" s="88">
        <v>10514.851485148516</v>
      </c>
      <c r="I4111" s="89">
        <v>44</v>
      </c>
      <c r="J4111" s="90">
        <v>14868</v>
      </c>
      <c r="K4111" s="85">
        <v>6</v>
      </c>
      <c r="L4111" s="85">
        <v>132</v>
      </c>
      <c r="M4111" s="85">
        <v>0</v>
      </c>
      <c r="N4111" s="82" t="s">
        <v>11910</v>
      </c>
      <c r="O4111" s="93">
        <v>45888.484849537039</v>
      </c>
    </row>
    <row r="4112" spans="1:15" ht="22.5" customHeight="1">
      <c r="A4112" s="85">
        <v>174904221976312</v>
      </c>
      <c r="B4112" s="82" t="s">
        <v>10651</v>
      </c>
      <c r="C4112" s="82" t="s">
        <v>10853</v>
      </c>
      <c r="D4112" s="82" t="s">
        <v>10854</v>
      </c>
      <c r="E4112" s="82">
        <v>6281393958199</v>
      </c>
      <c r="F4112" s="92">
        <v>45887</v>
      </c>
      <c r="G4112" s="87">
        <v>744</v>
      </c>
      <c r="H4112" s="88">
        <v>19664.588528678305</v>
      </c>
      <c r="I4112" s="89">
        <v>18</v>
      </c>
      <c r="J4112" s="90">
        <v>15771</v>
      </c>
      <c r="K4112" s="85">
        <v>1</v>
      </c>
      <c r="L4112" s="85">
        <v>12</v>
      </c>
      <c r="M4112" s="85">
        <v>0</v>
      </c>
      <c r="N4112" s="82" t="s">
        <v>10855</v>
      </c>
      <c r="O4112" s="93">
        <v>45888.568310185183</v>
      </c>
    </row>
    <row r="4113" spans="1:15" ht="22.5" customHeight="1">
      <c r="A4113" s="85">
        <v>174904221976312</v>
      </c>
      <c r="B4113" s="82" t="s">
        <v>10651</v>
      </c>
      <c r="C4113" s="82" t="s">
        <v>10673</v>
      </c>
      <c r="D4113" s="82" t="s">
        <v>10674</v>
      </c>
      <c r="E4113" s="82">
        <v>6282183184641</v>
      </c>
      <c r="F4113" s="92">
        <v>45887</v>
      </c>
      <c r="G4113" s="87">
        <v>924</v>
      </c>
      <c r="H4113" s="88">
        <v>12627.68701633706</v>
      </c>
      <c r="I4113" s="89">
        <v>24</v>
      </c>
      <c r="J4113" s="90">
        <v>14686</v>
      </c>
      <c r="K4113" s="85">
        <v>6</v>
      </c>
      <c r="L4113" s="85">
        <v>283</v>
      </c>
      <c r="M4113" s="85">
        <v>0</v>
      </c>
      <c r="N4113" s="82" t="s">
        <v>10675</v>
      </c>
      <c r="O4113" s="93">
        <v>45888.422303240739</v>
      </c>
    </row>
    <row r="4114" spans="1:15" ht="22.5" customHeight="1">
      <c r="A4114" s="85">
        <v>174904221976312</v>
      </c>
      <c r="B4114" s="82" t="s">
        <v>10651</v>
      </c>
      <c r="C4114" s="82" t="s">
        <v>10662</v>
      </c>
      <c r="D4114" s="82" t="s">
        <v>10663</v>
      </c>
      <c r="E4114" s="82">
        <v>62882001677470</v>
      </c>
      <c r="F4114" s="92">
        <v>45887</v>
      </c>
      <c r="G4114" s="87">
        <v>472</v>
      </c>
      <c r="H4114" s="88">
        <v>21634.146341463413</v>
      </c>
      <c r="I4114" s="89">
        <v>17</v>
      </c>
      <c r="J4114" s="90">
        <v>11531</v>
      </c>
      <c r="K4114" s="85">
        <v>2</v>
      </c>
      <c r="L4114" s="85">
        <v>187</v>
      </c>
      <c r="M4114" s="85">
        <v>0</v>
      </c>
      <c r="N4114" s="82" t="s">
        <v>10664</v>
      </c>
      <c r="O4114" s="93">
        <v>45888.568298611113</v>
      </c>
    </row>
    <row r="4115" spans="1:15" ht="22.5" customHeight="1">
      <c r="A4115" s="85">
        <v>759724529202804</v>
      </c>
      <c r="B4115" s="82" t="s">
        <v>10621</v>
      </c>
      <c r="C4115" s="82" t="s">
        <v>11055</v>
      </c>
      <c r="D4115" s="82" t="s">
        <v>1021</v>
      </c>
      <c r="E4115" s="82"/>
      <c r="F4115" s="92">
        <v>45888</v>
      </c>
      <c r="G4115" s="87">
        <v>633</v>
      </c>
      <c r="H4115" s="88">
        <v>21312.680115273775</v>
      </c>
      <c r="I4115" s="89">
        <v>21</v>
      </c>
      <c r="J4115" s="90">
        <v>14791</v>
      </c>
      <c r="K4115" s="85">
        <v>2</v>
      </c>
      <c r="L4115" s="85">
        <v>170</v>
      </c>
      <c r="M4115" s="85">
        <v>0</v>
      </c>
      <c r="N4115" s="82" t="s">
        <v>11056</v>
      </c>
      <c r="O4115" s="93">
        <v>45889.276006944441</v>
      </c>
    </row>
    <row r="4116" spans="1:15" ht="22.5" customHeight="1">
      <c r="A4116" s="85">
        <v>759724529202804</v>
      </c>
      <c r="B4116" s="82" t="s">
        <v>10621</v>
      </c>
      <c r="C4116" s="82" t="s">
        <v>11037</v>
      </c>
      <c r="D4116" s="82" t="s">
        <v>199</v>
      </c>
      <c r="E4116" s="82">
        <v>6285220903499</v>
      </c>
      <c r="F4116" s="92">
        <v>45888</v>
      </c>
      <c r="G4116" s="87">
        <v>1078</v>
      </c>
      <c r="H4116" s="88">
        <v>12554.216867469879</v>
      </c>
      <c r="I4116" s="89">
        <v>45</v>
      </c>
      <c r="J4116" s="90">
        <v>15630</v>
      </c>
      <c r="K4116" s="85">
        <v>8</v>
      </c>
      <c r="L4116" s="85">
        <v>321</v>
      </c>
      <c r="M4116" s="85">
        <v>0</v>
      </c>
      <c r="N4116" s="82" t="s">
        <v>11038</v>
      </c>
      <c r="O4116" s="93">
        <v>45889.610138888886</v>
      </c>
    </row>
    <row r="4117" spans="1:15" ht="22.5" customHeight="1">
      <c r="A4117" s="85">
        <v>174904221976312</v>
      </c>
      <c r="B4117" s="82" t="s">
        <v>10651</v>
      </c>
      <c r="C4117" s="82" t="s">
        <v>11994</v>
      </c>
      <c r="D4117" s="82" t="s">
        <v>4233</v>
      </c>
      <c r="E4117" s="82">
        <v>6289514176661</v>
      </c>
      <c r="F4117" s="92">
        <v>45888</v>
      </c>
      <c r="G4117" s="87">
        <v>753</v>
      </c>
      <c r="H4117" s="88">
        <v>14429.6788482835</v>
      </c>
      <c r="I4117" s="89">
        <v>11</v>
      </c>
      <c r="J4117" s="90">
        <v>13030</v>
      </c>
      <c r="K4117" s="85">
        <v>0</v>
      </c>
      <c r="L4117" s="85">
        <v>33</v>
      </c>
      <c r="M4117" s="85">
        <v>0</v>
      </c>
      <c r="N4117" s="82" t="s">
        <v>11995</v>
      </c>
      <c r="O4117" s="93">
        <v>45889.609953703701</v>
      </c>
    </row>
    <row r="4118" spans="1:15" ht="22.5" customHeight="1">
      <c r="A4118" s="85">
        <v>174904221976312</v>
      </c>
      <c r="B4118" s="82" t="s">
        <v>10651</v>
      </c>
      <c r="C4118" s="82" t="s">
        <v>11996</v>
      </c>
      <c r="D4118" s="82" t="s">
        <v>4224</v>
      </c>
      <c r="E4118" s="82">
        <v>6285967129366</v>
      </c>
      <c r="F4118" s="92">
        <v>45888</v>
      </c>
      <c r="G4118" s="87">
        <v>347</v>
      </c>
      <c r="H4118" s="88">
        <v>25924.390243902439</v>
      </c>
      <c r="I4118" s="89">
        <v>7</v>
      </c>
      <c r="J4118" s="90">
        <v>10629</v>
      </c>
      <c r="K4118" s="85">
        <v>1</v>
      </c>
      <c r="L4118" s="85">
        <v>10</v>
      </c>
      <c r="M4118" s="85">
        <v>0</v>
      </c>
      <c r="N4118" s="82" t="s">
        <v>11997</v>
      </c>
      <c r="O4118" s="93">
        <v>45889.672326388885</v>
      </c>
    </row>
    <row r="4119" spans="1:15" ht="22.5" customHeight="1">
      <c r="A4119" s="85">
        <v>174904221976312</v>
      </c>
      <c r="B4119" s="82" t="s">
        <v>10651</v>
      </c>
      <c r="C4119" s="82" t="s">
        <v>11998</v>
      </c>
      <c r="D4119" s="82" t="s">
        <v>11999</v>
      </c>
      <c r="E4119" s="82">
        <v>628815361682</v>
      </c>
      <c r="F4119" s="92">
        <v>45888</v>
      </c>
      <c r="G4119" s="87">
        <v>588</v>
      </c>
      <c r="H4119" s="88">
        <v>14470.664928292046</v>
      </c>
      <c r="I4119" s="89">
        <v>20</v>
      </c>
      <c r="J4119" s="90">
        <v>11099</v>
      </c>
      <c r="K4119" s="85">
        <v>1</v>
      </c>
      <c r="L4119" s="85">
        <v>189</v>
      </c>
      <c r="M4119" s="85">
        <v>0</v>
      </c>
      <c r="N4119" s="82" t="s">
        <v>12000</v>
      </c>
      <c r="O4119" s="93">
        <v>45889.693541666667</v>
      </c>
    </row>
    <row r="4120" spans="1:15" ht="22.5" customHeight="1">
      <c r="A4120" s="85">
        <v>174904221976312</v>
      </c>
      <c r="B4120" s="82" t="s">
        <v>10651</v>
      </c>
      <c r="C4120" s="82" t="s">
        <v>12001</v>
      </c>
      <c r="D4120" s="82" t="s">
        <v>4190</v>
      </c>
      <c r="E4120" s="82">
        <v>628195131666</v>
      </c>
      <c r="F4120" s="92">
        <v>45888</v>
      </c>
      <c r="G4120" s="87">
        <v>992</v>
      </c>
      <c r="H4120" s="88">
        <v>10146.263910969794</v>
      </c>
      <c r="I4120" s="89">
        <v>10</v>
      </c>
      <c r="J4120" s="90">
        <v>12764</v>
      </c>
      <c r="K4120" s="85">
        <v>0</v>
      </c>
      <c r="L4120" s="85">
        <v>54</v>
      </c>
      <c r="M4120" s="85">
        <v>0</v>
      </c>
      <c r="N4120" s="82" t="s">
        <v>12002</v>
      </c>
      <c r="O4120" s="93">
        <v>45889.672337962962</v>
      </c>
    </row>
    <row r="4121" spans="1:15" ht="22.5" customHeight="1">
      <c r="A4121" s="85">
        <v>174904221976312</v>
      </c>
      <c r="B4121" s="82" t="s">
        <v>10651</v>
      </c>
      <c r="C4121" s="82" t="s">
        <v>11981</v>
      </c>
      <c r="D4121" s="82" t="s">
        <v>11982</v>
      </c>
      <c r="E4121" s="82">
        <v>6282112073155</v>
      </c>
      <c r="F4121" s="92">
        <v>45888</v>
      </c>
      <c r="G4121" s="87">
        <v>801</v>
      </c>
      <c r="H4121" s="88">
        <v>13348.703170028819</v>
      </c>
      <c r="I4121" s="89">
        <v>61</v>
      </c>
      <c r="J4121" s="90">
        <v>13896</v>
      </c>
      <c r="K4121" s="85">
        <v>9</v>
      </c>
      <c r="L4121" s="85">
        <v>4</v>
      </c>
      <c r="M4121" s="85">
        <v>1</v>
      </c>
      <c r="N4121" s="82" t="s">
        <v>11983</v>
      </c>
      <c r="O4121" s="93">
        <v>45889.672326388885</v>
      </c>
    </row>
    <row r="4122" spans="1:15" ht="22.5" customHeight="1">
      <c r="A4122" s="85">
        <v>174904221976312</v>
      </c>
      <c r="B4122" s="82" t="s">
        <v>10651</v>
      </c>
      <c r="C4122" s="82" t="s">
        <v>11984</v>
      </c>
      <c r="D4122" s="82" t="s">
        <v>4177</v>
      </c>
      <c r="E4122" s="82">
        <v>6281313889118</v>
      </c>
      <c r="F4122" s="92">
        <v>45888</v>
      </c>
      <c r="G4122" s="87">
        <v>328</v>
      </c>
      <c r="H4122" s="88">
        <v>31127.478753541076</v>
      </c>
      <c r="I4122" s="89">
        <v>11</v>
      </c>
      <c r="J4122" s="90">
        <v>10988</v>
      </c>
      <c r="K4122" s="85">
        <v>3</v>
      </c>
      <c r="L4122" s="85">
        <v>89</v>
      </c>
      <c r="M4122" s="85">
        <v>0</v>
      </c>
      <c r="N4122" s="82" t="s">
        <v>11985</v>
      </c>
      <c r="O4122" s="93">
        <v>45889.568761574075</v>
      </c>
    </row>
    <row r="4123" spans="1:15" ht="22.5" customHeight="1">
      <c r="A4123" s="85">
        <v>174904221976312</v>
      </c>
      <c r="B4123" s="82" t="s">
        <v>10651</v>
      </c>
      <c r="C4123" s="82" t="s">
        <v>11986</v>
      </c>
      <c r="D4123" s="82" t="s">
        <v>11987</v>
      </c>
      <c r="E4123" s="82">
        <v>6285811111804</v>
      </c>
      <c r="F4123" s="92">
        <v>45888</v>
      </c>
      <c r="G4123" s="87">
        <v>326</v>
      </c>
      <c r="H4123" s="88">
        <v>31646.907216494845</v>
      </c>
      <c r="I4123" s="89">
        <v>5</v>
      </c>
      <c r="J4123" s="90">
        <v>12279</v>
      </c>
      <c r="K4123" s="85">
        <v>0</v>
      </c>
      <c r="L4123" s="85">
        <v>135</v>
      </c>
      <c r="M4123" s="85">
        <v>0</v>
      </c>
      <c r="N4123" s="82" t="s">
        <v>11988</v>
      </c>
      <c r="O4123" s="93">
        <v>45889.630532407406</v>
      </c>
    </row>
    <row r="4124" spans="1:15" ht="22.5" customHeight="1">
      <c r="A4124" s="85">
        <v>174904221976312</v>
      </c>
      <c r="B4124" s="82" t="s">
        <v>10651</v>
      </c>
      <c r="C4124" s="82" t="s">
        <v>11989</v>
      </c>
      <c r="D4124" s="82" t="s">
        <v>4150</v>
      </c>
      <c r="E4124" s="82">
        <v>6285189492568</v>
      </c>
      <c r="F4124" s="92">
        <v>45888</v>
      </c>
      <c r="G4124" s="87">
        <v>911</v>
      </c>
      <c r="H4124" s="88">
        <v>10766.187050359711</v>
      </c>
      <c r="I4124" s="89">
        <v>24</v>
      </c>
      <c r="J4124" s="90">
        <v>11972</v>
      </c>
      <c r="K4124" s="85">
        <v>4</v>
      </c>
      <c r="L4124" s="85">
        <v>5</v>
      </c>
      <c r="M4124" s="85">
        <v>0</v>
      </c>
      <c r="N4124" s="82" t="s">
        <v>11990</v>
      </c>
      <c r="O4124" s="93">
        <v>45889.526655092595</v>
      </c>
    </row>
    <row r="4125" spans="1:15" ht="22.5" customHeight="1">
      <c r="A4125" s="85">
        <v>174904221976312</v>
      </c>
      <c r="B4125" s="82" t="s">
        <v>10651</v>
      </c>
      <c r="C4125" s="82" t="s">
        <v>11991</v>
      </c>
      <c r="D4125" s="82" t="s">
        <v>11992</v>
      </c>
      <c r="E4125" s="82">
        <v>6285240194507</v>
      </c>
      <c r="F4125" s="92">
        <v>45888</v>
      </c>
      <c r="G4125" s="87">
        <v>818</v>
      </c>
      <c r="H4125" s="88">
        <v>13172.248803827752</v>
      </c>
      <c r="I4125" s="89">
        <v>35</v>
      </c>
      <c r="J4125" s="90">
        <v>13765</v>
      </c>
      <c r="K4125" s="85">
        <v>5</v>
      </c>
      <c r="L4125" s="85">
        <v>297</v>
      </c>
      <c r="M4125" s="85">
        <v>0</v>
      </c>
      <c r="N4125" s="82" t="s">
        <v>11993</v>
      </c>
      <c r="O4125" s="93">
        <v>45889.568576388891</v>
      </c>
    </row>
    <row r="4126" spans="1:15" ht="22.5" customHeight="1">
      <c r="A4126" s="85">
        <v>174904221976312</v>
      </c>
      <c r="B4126" s="82" t="s">
        <v>10651</v>
      </c>
      <c r="C4126" s="82" t="s">
        <v>11966</v>
      </c>
      <c r="D4126" s="82" t="s">
        <v>11967</v>
      </c>
      <c r="E4126" s="82">
        <v>6285780314346</v>
      </c>
      <c r="F4126" s="92">
        <v>45888</v>
      </c>
      <c r="G4126" s="87">
        <v>629</v>
      </c>
      <c r="H4126" s="88">
        <v>14288.359788359789</v>
      </c>
      <c r="I4126" s="89">
        <v>20</v>
      </c>
      <c r="J4126" s="90">
        <v>10802</v>
      </c>
      <c r="K4126" s="85">
        <v>1</v>
      </c>
      <c r="L4126" s="85">
        <v>0</v>
      </c>
      <c r="M4126" s="85">
        <v>0</v>
      </c>
      <c r="N4126" s="82" t="s">
        <v>11968</v>
      </c>
      <c r="O4126" s="93">
        <v>45889.485324074078</v>
      </c>
    </row>
    <row r="4127" spans="1:15" ht="22.5" customHeight="1">
      <c r="A4127" s="85">
        <v>174904221976312</v>
      </c>
      <c r="B4127" s="82" t="s">
        <v>10651</v>
      </c>
      <c r="C4127" s="82" t="s">
        <v>11969</v>
      </c>
      <c r="D4127" s="82" t="s">
        <v>11970</v>
      </c>
      <c r="E4127" s="82">
        <v>628561302381</v>
      </c>
      <c r="F4127" s="92">
        <v>45888</v>
      </c>
      <c r="G4127" s="87">
        <v>195</v>
      </c>
      <c r="H4127" s="88">
        <v>53827.160493827156</v>
      </c>
      <c r="I4127" s="89">
        <v>4</v>
      </c>
      <c r="J4127" s="90">
        <v>13080</v>
      </c>
      <c r="K4127" s="85">
        <v>2</v>
      </c>
      <c r="L4127" s="85">
        <v>0</v>
      </c>
      <c r="M4127" s="85">
        <v>0</v>
      </c>
      <c r="N4127" s="82" t="s">
        <v>11971</v>
      </c>
      <c r="O4127" s="93">
        <v>45889.484965277778</v>
      </c>
    </row>
    <row r="4128" spans="1:15" ht="22.5" customHeight="1">
      <c r="A4128" s="85">
        <v>174904221976312</v>
      </c>
      <c r="B4128" s="82" t="s">
        <v>10651</v>
      </c>
      <c r="C4128" s="82" t="s">
        <v>11911</v>
      </c>
      <c r="D4128" s="82" t="s">
        <v>11912</v>
      </c>
      <c r="E4128" s="82">
        <v>6287864812126</v>
      </c>
      <c r="F4128" s="92">
        <v>45888</v>
      </c>
      <c r="G4128" s="87">
        <v>1834</v>
      </c>
      <c r="H4128" s="88">
        <v>7428.0323450134774</v>
      </c>
      <c r="I4128" s="89">
        <v>61</v>
      </c>
      <c r="J4128" s="90">
        <v>13779</v>
      </c>
      <c r="K4128" s="85">
        <v>0</v>
      </c>
      <c r="L4128" s="85">
        <v>1088</v>
      </c>
      <c r="M4128" s="85">
        <v>0</v>
      </c>
      <c r="N4128" s="82" t="s">
        <v>11913</v>
      </c>
      <c r="O4128" s="93">
        <v>45889.214004629626</v>
      </c>
    </row>
    <row r="4129" spans="1:15" ht="22.5" customHeight="1">
      <c r="A4129" s="85">
        <v>174904221976312</v>
      </c>
      <c r="B4129" s="82" t="s">
        <v>10651</v>
      </c>
      <c r="C4129" s="82" t="s">
        <v>11914</v>
      </c>
      <c r="D4129" s="82" t="s">
        <v>9010</v>
      </c>
      <c r="E4129" s="82">
        <v>6281320188313</v>
      </c>
      <c r="F4129" s="92">
        <v>45888</v>
      </c>
      <c r="G4129" s="87">
        <v>466</v>
      </c>
      <c r="H4129" s="88">
        <v>28764.705882352941</v>
      </c>
      <c r="I4129" s="89">
        <v>24</v>
      </c>
      <c r="J4129" s="90">
        <v>15648</v>
      </c>
      <c r="K4129" s="85">
        <v>4</v>
      </c>
      <c r="L4129" s="85">
        <v>160</v>
      </c>
      <c r="M4129" s="85">
        <v>1</v>
      </c>
      <c r="N4129" s="82" t="s">
        <v>11915</v>
      </c>
      <c r="O4129" s="93">
        <v>45889.216620370367</v>
      </c>
    </row>
    <row r="4130" spans="1:15" ht="22.5" customHeight="1">
      <c r="A4130" s="85">
        <v>174904221976312</v>
      </c>
      <c r="B4130" s="82" t="s">
        <v>10651</v>
      </c>
      <c r="C4130" s="82" t="s">
        <v>11916</v>
      </c>
      <c r="D4130" s="82" t="s">
        <v>11917</v>
      </c>
      <c r="E4130" s="82">
        <v>6281339823715</v>
      </c>
      <c r="F4130" s="92">
        <v>45888</v>
      </c>
      <c r="G4130" s="87">
        <v>654</v>
      </c>
      <c r="H4130" s="88">
        <v>18897.473997028232</v>
      </c>
      <c r="I4130" s="89">
        <v>37</v>
      </c>
      <c r="J4130" s="90">
        <v>12718</v>
      </c>
      <c r="K4130" s="85">
        <v>0</v>
      </c>
      <c r="L4130" s="85">
        <v>317</v>
      </c>
      <c r="M4130" s="85">
        <v>0</v>
      </c>
      <c r="N4130" s="82" t="s">
        <v>11918</v>
      </c>
      <c r="O4130" s="93">
        <v>45889.713773148149</v>
      </c>
    </row>
    <row r="4131" spans="1:15" ht="22.5" customHeight="1">
      <c r="A4131" s="85">
        <v>174904221976312</v>
      </c>
      <c r="B4131" s="82" t="s">
        <v>10651</v>
      </c>
      <c r="C4131" s="82" t="s">
        <v>11919</v>
      </c>
      <c r="D4131" s="82" t="s">
        <v>11920</v>
      </c>
      <c r="E4131" s="82">
        <v>6282221896658</v>
      </c>
      <c r="F4131" s="92">
        <v>45888</v>
      </c>
      <c r="G4131" s="87">
        <v>219</v>
      </c>
      <c r="H4131" s="88">
        <v>83106.837606837595</v>
      </c>
      <c r="I4131" s="89">
        <v>4</v>
      </c>
      <c r="J4131" s="90">
        <v>19447</v>
      </c>
      <c r="K4131" s="85">
        <v>1</v>
      </c>
      <c r="L4131" s="85">
        <v>0</v>
      </c>
      <c r="M4131" s="85">
        <v>0</v>
      </c>
      <c r="N4131" s="82" t="s">
        <v>11921</v>
      </c>
      <c r="O4131" s="93">
        <v>45889.216597222221</v>
      </c>
    </row>
    <row r="4132" spans="1:15" ht="22.5" customHeight="1">
      <c r="A4132" s="85">
        <v>174904221976312</v>
      </c>
      <c r="B4132" s="82" t="s">
        <v>10651</v>
      </c>
      <c r="C4132" s="82" t="s">
        <v>11922</v>
      </c>
      <c r="D4132" s="82" t="s">
        <v>11923</v>
      </c>
      <c r="E4132" s="82">
        <v>6282390759437</v>
      </c>
      <c r="F4132" s="92">
        <v>45888</v>
      </c>
      <c r="G4132" s="87">
        <v>254</v>
      </c>
      <c r="H4132" s="88">
        <v>40920.68965517242</v>
      </c>
      <c r="I4132" s="89">
        <v>6</v>
      </c>
      <c r="J4132" s="90">
        <v>11867</v>
      </c>
      <c r="K4132" s="85">
        <v>2</v>
      </c>
      <c r="L4132" s="85">
        <v>19</v>
      </c>
      <c r="M4132" s="85">
        <v>0</v>
      </c>
      <c r="N4132" s="82" t="s">
        <v>11924</v>
      </c>
      <c r="O4132" s="93">
        <v>45889.216608796298</v>
      </c>
    </row>
    <row r="4133" spans="1:15" ht="22.5" customHeight="1">
      <c r="A4133" s="85">
        <v>174904221976312</v>
      </c>
      <c r="B4133" s="82" t="s">
        <v>10651</v>
      </c>
      <c r="C4133" s="82" t="s">
        <v>11925</v>
      </c>
      <c r="D4133" s="82" t="s">
        <v>4008</v>
      </c>
      <c r="E4133" s="82">
        <v>6281558225822</v>
      </c>
      <c r="F4133" s="92">
        <v>45888</v>
      </c>
      <c r="G4133" s="87">
        <v>117</v>
      </c>
      <c r="H4133" s="88">
        <v>113959.34959349594</v>
      </c>
      <c r="I4133" s="89">
        <v>5</v>
      </c>
      <c r="J4133" s="90">
        <v>14017</v>
      </c>
      <c r="K4133" s="85">
        <v>1</v>
      </c>
      <c r="L4133" s="85">
        <v>0</v>
      </c>
      <c r="M4133" s="85">
        <v>0</v>
      </c>
      <c r="N4133" s="82" t="s">
        <v>11926</v>
      </c>
      <c r="O4133" s="93">
        <v>45889.505439814813</v>
      </c>
    </row>
    <row r="4134" spans="1:15" ht="22.5" customHeight="1">
      <c r="A4134" s="85">
        <v>174904221976312</v>
      </c>
      <c r="B4134" s="82" t="s">
        <v>10651</v>
      </c>
      <c r="C4134" s="82" t="s">
        <v>11905</v>
      </c>
      <c r="D4134" s="82" t="s">
        <v>11906</v>
      </c>
      <c r="E4134" s="82">
        <v>6285294617773</v>
      </c>
      <c r="F4134" s="92">
        <v>45888</v>
      </c>
      <c r="G4134" s="87">
        <v>407</v>
      </c>
      <c r="H4134" s="88">
        <v>23162.447257383967</v>
      </c>
      <c r="I4134" s="89">
        <v>39</v>
      </c>
      <c r="J4134" s="90">
        <v>10979</v>
      </c>
      <c r="K4134" s="85">
        <v>1</v>
      </c>
      <c r="L4134" s="85">
        <v>148</v>
      </c>
      <c r="M4134" s="85">
        <v>0</v>
      </c>
      <c r="N4134" s="82" t="s">
        <v>11907</v>
      </c>
      <c r="O4134" s="93">
        <v>45889.713784722226</v>
      </c>
    </row>
    <row r="4135" spans="1:15" ht="22.5" customHeight="1">
      <c r="A4135" s="85">
        <v>174904221976312</v>
      </c>
      <c r="B4135" s="82" t="s">
        <v>10651</v>
      </c>
      <c r="C4135" s="82" t="s">
        <v>11885</v>
      </c>
      <c r="D4135" s="82" t="s">
        <v>11886</v>
      </c>
      <c r="E4135" s="82">
        <v>628179780980</v>
      </c>
      <c r="F4135" s="92">
        <v>45888</v>
      </c>
      <c r="G4135" s="87">
        <v>128</v>
      </c>
      <c r="H4135" s="88">
        <v>86164.634146341472</v>
      </c>
      <c r="I4135" s="89">
        <v>6</v>
      </c>
      <c r="J4135" s="90">
        <v>14131</v>
      </c>
      <c r="K4135" s="85">
        <v>1</v>
      </c>
      <c r="L4135" s="85">
        <v>1</v>
      </c>
      <c r="M4135" s="85">
        <v>0</v>
      </c>
      <c r="N4135" s="82" t="s">
        <v>11887</v>
      </c>
      <c r="O4135" s="93">
        <v>45889.505601851852</v>
      </c>
    </row>
    <row r="4136" spans="1:15" ht="22.5" customHeight="1">
      <c r="A4136" s="85">
        <v>174904221976312</v>
      </c>
      <c r="B4136" s="82" t="s">
        <v>10651</v>
      </c>
      <c r="C4136" s="82" t="s">
        <v>11888</v>
      </c>
      <c r="D4136" s="82" t="s">
        <v>11889</v>
      </c>
      <c r="E4136" s="82">
        <v>628127962347</v>
      </c>
      <c r="F4136" s="92">
        <v>45888</v>
      </c>
      <c r="G4136" s="87">
        <v>509</v>
      </c>
      <c r="H4136" s="88">
        <v>23816.57848324515</v>
      </c>
      <c r="I4136" s="89">
        <v>13</v>
      </c>
      <c r="J4136" s="90">
        <v>13504</v>
      </c>
      <c r="K4136" s="85">
        <v>6</v>
      </c>
      <c r="L4136" s="85">
        <v>138</v>
      </c>
      <c r="M4136" s="85">
        <v>0</v>
      </c>
      <c r="N4136" s="82" t="s">
        <v>11890</v>
      </c>
      <c r="O4136" s="93">
        <v>45889.484965277778</v>
      </c>
    </row>
    <row r="4137" spans="1:15" ht="22.5" customHeight="1">
      <c r="A4137" s="85">
        <v>174904221976312</v>
      </c>
      <c r="B4137" s="82" t="s">
        <v>10651</v>
      </c>
      <c r="C4137" s="82" t="s">
        <v>11896</v>
      </c>
      <c r="D4137" s="82" t="s">
        <v>11897</v>
      </c>
      <c r="E4137" s="82">
        <v>6282153090123</v>
      </c>
      <c r="F4137" s="92">
        <v>45888</v>
      </c>
      <c r="G4137" s="87">
        <v>481</v>
      </c>
      <c r="H4137" s="88">
        <v>25237.037037037036</v>
      </c>
      <c r="I4137" s="89">
        <v>29</v>
      </c>
      <c r="J4137" s="90">
        <v>13628</v>
      </c>
      <c r="K4137" s="85">
        <v>2</v>
      </c>
      <c r="L4137" s="85">
        <v>216</v>
      </c>
      <c r="M4137" s="85">
        <v>0</v>
      </c>
      <c r="N4137" s="82" t="s">
        <v>11898</v>
      </c>
      <c r="O4137" s="93">
        <v>45889.526631944442</v>
      </c>
    </row>
    <row r="4138" spans="1:15" ht="22.5" customHeight="1">
      <c r="A4138" s="85">
        <v>174904221976312</v>
      </c>
      <c r="B4138" s="82" t="s">
        <v>10651</v>
      </c>
      <c r="C4138" s="82" t="s">
        <v>11865</v>
      </c>
      <c r="D4138" s="82" t="s">
        <v>11403</v>
      </c>
      <c r="E4138" s="82">
        <v>6283870060603</v>
      </c>
      <c r="F4138" s="92">
        <v>45888</v>
      </c>
      <c r="G4138" s="87">
        <v>765</v>
      </c>
      <c r="H4138" s="88">
        <v>16371.356147021548</v>
      </c>
      <c r="I4138" s="89">
        <v>24</v>
      </c>
      <c r="J4138" s="90">
        <v>12917</v>
      </c>
      <c r="K4138" s="85">
        <v>0</v>
      </c>
      <c r="L4138" s="85">
        <v>295</v>
      </c>
      <c r="M4138" s="85">
        <v>0</v>
      </c>
      <c r="N4138" s="82" t="s">
        <v>11866</v>
      </c>
      <c r="O4138" s="93">
        <v>45889.651701388888</v>
      </c>
    </row>
    <row r="4139" spans="1:15" ht="22.5" customHeight="1">
      <c r="A4139" s="85">
        <v>174904221976312</v>
      </c>
      <c r="B4139" s="82" t="s">
        <v>10651</v>
      </c>
      <c r="C4139" s="82" t="s">
        <v>11867</v>
      </c>
      <c r="D4139" s="82" t="s">
        <v>11868</v>
      </c>
      <c r="E4139" s="82">
        <v>6282112042148</v>
      </c>
      <c r="F4139" s="92">
        <v>45888</v>
      </c>
      <c r="G4139" s="87">
        <v>624</v>
      </c>
      <c r="H4139" s="88">
        <v>19418.569254185692</v>
      </c>
      <c r="I4139" s="89">
        <v>19</v>
      </c>
      <c r="J4139" s="90">
        <v>12758</v>
      </c>
      <c r="K4139" s="85">
        <v>1</v>
      </c>
      <c r="L4139" s="85">
        <v>254</v>
      </c>
      <c r="M4139" s="85">
        <v>0</v>
      </c>
      <c r="N4139" s="82" t="s">
        <v>11869</v>
      </c>
      <c r="O4139" s="93">
        <v>45889.464467592596</v>
      </c>
    </row>
    <row r="4140" spans="1:15" ht="22.5" customHeight="1">
      <c r="A4140" s="85">
        <v>174904221976312</v>
      </c>
      <c r="B4140" s="82" t="s">
        <v>10651</v>
      </c>
      <c r="C4140" s="82" t="s">
        <v>11876</v>
      </c>
      <c r="D4140" s="82" t="s">
        <v>11877</v>
      </c>
      <c r="E4140" s="82">
        <v>6285748377961</v>
      </c>
      <c r="F4140" s="92">
        <v>45888</v>
      </c>
      <c r="G4140" s="87">
        <v>1210</v>
      </c>
      <c r="H4140" s="88">
        <v>9651.8572469045885</v>
      </c>
      <c r="I4140" s="89">
        <v>30</v>
      </c>
      <c r="J4140" s="90">
        <v>13252</v>
      </c>
      <c r="K4140" s="85">
        <v>6</v>
      </c>
      <c r="L4140" s="85">
        <v>184</v>
      </c>
      <c r="M4140" s="85">
        <v>0</v>
      </c>
      <c r="N4140" s="82" t="s">
        <v>11878</v>
      </c>
      <c r="O4140" s="93">
        <v>45889.630532407406</v>
      </c>
    </row>
    <row r="4141" spans="1:15" ht="22.5" customHeight="1">
      <c r="A4141" s="85">
        <v>174904221976312</v>
      </c>
      <c r="B4141" s="82" t="s">
        <v>10651</v>
      </c>
      <c r="C4141" s="82" t="s">
        <v>11879</v>
      </c>
      <c r="D4141" s="82" t="s">
        <v>11877</v>
      </c>
      <c r="E4141" s="82">
        <v>6285748377961</v>
      </c>
      <c r="F4141" s="92">
        <v>45888</v>
      </c>
      <c r="G4141" s="87">
        <v>463</v>
      </c>
      <c r="H4141" s="88">
        <v>25116.803278688527</v>
      </c>
      <c r="I4141" s="89">
        <v>15</v>
      </c>
      <c r="J4141" s="90">
        <v>12257</v>
      </c>
      <c r="K4141" s="85">
        <v>2</v>
      </c>
      <c r="L4141" s="85">
        <v>3</v>
      </c>
      <c r="M4141" s="85">
        <v>0</v>
      </c>
      <c r="N4141" s="82" t="s">
        <v>11878</v>
      </c>
      <c r="O4141" s="93">
        <v>45889.526932870373</v>
      </c>
    </row>
    <row r="4142" spans="1:15" ht="22.5" customHeight="1">
      <c r="A4142" s="85">
        <v>174904221976312</v>
      </c>
      <c r="B4142" s="82" t="s">
        <v>10651</v>
      </c>
      <c r="C4142" s="82" t="s">
        <v>11880</v>
      </c>
      <c r="D4142" s="82" t="s">
        <v>3805</v>
      </c>
      <c r="E4142" s="82">
        <v>6281288245836</v>
      </c>
      <c r="F4142" s="92">
        <v>45888</v>
      </c>
      <c r="G4142" s="87">
        <v>156</v>
      </c>
      <c r="H4142" s="88">
        <v>65734.939759036133</v>
      </c>
      <c r="I4142" s="89">
        <v>3</v>
      </c>
      <c r="J4142" s="90">
        <v>10912</v>
      </c>
      <c r="K4142" s="85">
        <v>1</v>
      </c>
      <c r="L4142" s="85">
        <v>0</v>
      </c>
      <c r="M4142" s="85">
        <v>0</v>
      </c>
      <c r="N4142" s="82" t="s">
        <v>11881</v>
      </c>
      <c r="O4142" s="93">
        <v>45889.609953703701</v>
      </c>
    </row>
    <row r="4143" spans="1:15" ht="22.5" customHeight="1">
      <c r="A4143" s="85">
        <v>174904221976312</v>
      </c>
      <c r="B4143" s="82" t="s">
        <v>10651</v>
      </c>
      <c r="C4143" s="82" t="s">
        <v>11838</v>
      </c>
      <c r="D4143" s="82" t="s">
        <v>11839</v>
      </c>
      <c r="E4143" s="82">
        <v>6287797504113</v>
      </c>
      <c r="F4143" s="92">
        <v>45888</v>
      </c>
      <c r="G4143" s="87">
        <v>212</v>
      </c>
      <c r="H4143" s="88">
        <v>51204</v>
      </c>
      <c r="I4143" s="89">
        <v>12</v>
      </c>
      <c r="J4143" s="90">
        <v>12801</v>
      </c>
      <c r="K4143" s="85">
        <v>0</v>
      </c>
      <c r="L4143" s="85">
        <v>0</v>
      </c>
      <c r="M4143" s="85">
        <v>0</v>
      </c>
      <c r="N4143" s="82" t="s">
        <v>11840</v>
      </c>
      <c r="O4143" s="93">
        <v>45889.58934027778</v>
      </c>
    </row>
    <row r="4144" spans="1:15" ht="22.5" customHeight="1">
      <c r="A4144" s="85">
        <v>174904221976312</v>
      </c>
      <c r="B4144" s="82" t="s">
        <v>10651</v>
      </c>
      <c r="C4144" s="82" t="s">
        <v>11816</v>
      </c>
      <c r="D4144" s="82" t="s">
        <v>3682</v>
      </c>
      <c r="E4144" s="82">
        <v>6285602235226</v>
      </c>
      <c r="F4144" s="92">
        <v>45888</v>
      </c>
      <c r="G4144" s="87">
        <v>316</v>
      </c>
      <c r="H4144" s="88">
        <v>30426.592797783931</v>
      </c>
      <c r="I4144" s="89">
        <v>29</v>
      </c>
      <c r="J4144" s="90">
        <v>10984</v>
      </c>
      <c r="K4144" s="85">
        <v>1</v>
      </c>
      <c r="L4144" s="85">
        <v>0</v>
      </c>
      <c r="M4144" s="85">
        <v>1</v>
      </c>
      <c r="N4144" s="82" t="s">
        <v>11817</v>
      </c>
      <c r="O4144" s="93">
        <v>45889.630844907406</v>
      </c>
    </row>
    <row r="4145" spans="1:15" ht="22.5" customHeight="1">
      <c r="A4145" s="85">
        <v>174904221976312</v>
      </c>
      <c r="B4145" s="82" t="s">
        <v>10651</v>
      </c>
      <c r="C4145" s="82" t="s">
        <v>11799</v>
      </c>
      <c r="D4145" s="82" t="s">
        <v>11800</v>
      </c>
      <c r="E4145" s="82">
        <v>6285333751528</v>
      </c>
      <c r="F4145" s="92">
        <v>45888</v>
      </c>
      <c r="G4145" s="87">
        <v>584</v>
      </c>
      <c r="H4145" s="88">
        <v>24060.653188180404</v>
      </c>
      <c r="I4145" s="89">
        <v>17</v>
      </c>
      <c r="J4145" s="90">
        <v>15471</v>
      </c>
      <c r="K4145" s="85">
        <v>2</v>
      </c>
      <c r="L4145" s="85">
        <v>2</v>
      </c>
      <c r="M4145" s="85">
        <v>0</v>
      </c>
      <c r="N4145" s="82" t="s">
        <v>11801</v>
      </c>
      <c r="O4145" s="93">
        <v>45889.547442129631</v>
      </c>
    </row>
    <row r="4146" spans="1:15" ht="22.5" customHeight="1">
      <c r="A4146" s="85">
        <v>174904221976312</v>
      </c>
      <c r="B4146" s="82" t="s">
        <v>10651</v>
      </c>
      <c r="C4146" s="82" t="s">
        <v>11766</v>
      </c>
      <c r="D4146" s="82" t="s">
        <v>11767</v>
      </c>
      <c r="E4146" s="82">
        <v>6281225101319</v>
      </c>
      <c r="F4146" s="92">
        <v>45888</v>
      </c>
      <c r="G4146" s="87">
        <v>408</v>
      </c>
      <c r="H4146" s="88">
        <v>29115.217391304348</v>
      </c>
      <c r="I4146" s="89">
        <v>14</v>
      </c>
      <c r="J4146" s="90">
        <v>13393</v>
      </c>
      <c r="K4146" s="85">
        <v>0</v>
      </c>
      <c r="L4146" s="85">
        <v>0</v>
      </c>
      <c r="M4146" s="85">
        <v>1</v>
      </c>
      <c r="N4146" s="82" t="s">
        <v>11768</v>
      </c>
      <c r="O4146" s="93">
        <v>45889.630532407406</v>
      </c>
    </row>
    <row r="4147" spans="1:15" ht="22.5" customHeight="1">
      <c r="A4147" s="85">
        <v>174904221976312</v>
      </c>
      <c r="B4147" s="82" t="s">
        <v>10651</v>
      </c>
      <c r="C4147" s="82" t="s">
        <v>11780</v>
      </c>
      <c r="D4147" s="82" t="s">
        <v>11781</v>
      </c>
      <c r="E4147" s="82">
        <v>6282129364133</v>
      </c>
      <c r="F4147" s="92">
        <v>45888</v>
      </c>
      <c r="G4147" s="87">
        <v>834</v>
      </c>
      <c r="H4147" s="88">
        <v>14762.105263157895</v>
      </c>
      <c r="I4147" s="89">
        <v>5</v>
      </c>
      <c r="J4147" s="90">
        <v>14024</v>
      </c>
      <c r="K4147" s="85">
        <v>0</v>
      </c>
      <c r="L4147" s="85">
        <v>0</v>
      </c>
      <c r="M4147" s="85">
        <v>0</v>
      </c>
      <c r="N4147" s="82" t="s">
        <v>11782</v>
      </c>
      <c r="O4147" s="93">
        <v>45889.630532407406</v>
      </c>
    </row>
    <row r="4148" spans="1:15" ht="22.5" customHeight="1">
      <c r="A4148" s="85">
        <v>174904221976312</v>
      </c>
      <c r="B4148" s="82" t="s">
        <v>10651</v>
      </c>
      <c r="C4148" s="82" t="s">
        <v>11785</v>
      </c>
      <c r="D4148" s="82" t="s">
        <v>11786</v>
      </c>
      <c r="E4148" s="82">
        <v>628557182563</v>
      </c>
      <c r="F4148" s="92">
        <v>45888</v>
      </c>
      <c r="G4148" s="87">
        <v>280</v>
      </c>
      <c r="H4148" s="88">
        <v>40206.686930091186</v>
      </c>
      <c r="I4148" s="89">
        <v>8</v>
      </c>
      <c r="J4148" s="90">
        <v>13228</v>
      </c>
      <c r="K4148" s="85">
        <v>2</v>
      </c>
      <c r="L4148" s="85">
        <v>0</v>
      </c>
      <c r="M4148" s="85">
        <v>0</v>
      </c>
      <c r="N4148" s="82" t="s">
        <v>11787</v>
      </c>
      <c r="O4148" s="93">
        <v>45889.568576388891</v>
      </c>
    </row>
    <row r="4149" spans="1:15" ht="22.5" customHeight="1">
      <c r="A4149" s="85">
        <v>174904221976312</v>
      </c>
      <c r="B4149" s="82" t="s">
        <v>10651</v>
      </c>
      <c r="C4149" s="82" t="s">
        <v>11755</v>
      </c>
      <c r="D4149" s="82" t="s">
        <v>11756</v>
      </c>
      <c r="E4149" s="82">
        <v>6281357754513</v>
      </c>
      <c r="F4149" s="92">
        <v>45888</v>
      </c>
      <c r="G4149" s="87">
        <v>427</v>
      </c>
      <c r="H4149" s="88">
        <v>22939.834024896263</v>
      </c>
      <c r="I4149" s="89">
        <v>17</v>
      </c>
      <c r="J4149" s="90">
        <v>11057</v>
      </c>
      <c r="K4149" s="85">
        <v>1</v>
      </c>
      <c r="L4149" s="85">
        <v>5</v>
      </c>
      <c r="M4149" s="85">
        <v>0</v>
      </c>
      <c r="N4149" s="82" t="s">
        <v>11757</v>
      </c>
      <c r="O4149" s="93">
        <v>45889.443391203706</v>
      </c>
    </row>
    <row r="4150" spans="1:15" ht="22.5" customHeight="1">
      <c r="A4150" s="85">
        <v>174904221976312</v>
      </c>
      <c r="B4150" s="82" t="s">
        <v>10651</v>
      </c>
      <c r="C4150" s="82" t="s">
        <v>11761</v>
      </c>
      <c r="D4150" s="82" t="s">
        <v>3438</v>
      </c>
      <c r="E4150" s="82">
        <v>628154336558</v>
      </c>
      <c r="F4150" s="92">
        <v>45888</v>
      </c>
      <c r="G4150" s="87">
        <v>1831</v>
      </c>
      <c r="H4150" s="88">
        <v>6854.9039433771486</v>
      </c>
      <c r="I4150" s="89">
        <v>75</v>
      </c>
      <c r="J4150" s="90">
        <v>13559</v>
      </c>
      <c r="K4150" s="85">
        <v>3</v>
      </c>
      <c r="L4150" s="85">
        <v>725</v>
      </c>
      <c r="M4150" s="85">
        <v>0</v>
      </c>
      <c r="N4150" s="82" t="s">
        <v>11762</v>
      </c>
      <c r="O4150" s="93">
        <v>45889.609953703701</v>
      </c>
    </row>
    <row r="4151" spans="1:15" ht="22.5" customHeight="1">
      <c r="A4151" s="85">
        <v>174904221976312</v>
      </c>
      <c r="B4151" s="82" t="s">
        <v>10651</v>
      </c>
      <c r="C4151" s="82" t="s">
        <v>11763</v>
      </c>
      <c r="D4151" s="82" t="s">
        <v>11764</v>
      </c>
      <c r="E4151" s="82">
        <v>6282384544939</v>
      </c>
      <c r="F4151" s="92">
        <v>45888</v>
      </c>
      <c r="G4151" s="87">
        <v>378</v>
      </c>
      <c r="H4151" s="88">
        <v>27307.692307692305</v>
      </c>
      <c r="I4151" s="89">
        <v>8</v>
      </c>
      <c r="J4151" s="90">
        <v>13845</v>
      </c>
      <c r="K4151" s="85">
        <v>3</v>
      </c>
      <c r="L4151" s="85">
        <v>0</v>
      </c>
      <c r="M4151" s="85">
        <v>0</v>
      </c>
      <c r="N4151" s="82" t="s">
        <v>11765</v>
      </c>
      <c r="O4151" s="93">
        <v>45889.547754629632</v>
      </c>
    </row>
    <row r="4152" spans="1:15" ht="22.5" customHeight="1">
      <c r="A4152" s="85">
        <v>174904221976312</v>
      </c>
      <c r="B4152" s="82" t="s">
        <v>10651</v>
      </c>
      <c r="C4152" s="82" t="s">
        <v>11708</v>
      </c>
      <c r="D4152" s="82" t="s">
        <v>11709</v>
      </c>
      <c r="E4152" s="82">
        <v>6285294617773</v>
      </c>
      <c r="F4152" s="92">
        <v>45888</v>
      </c>
      <c r="G4152" s="87">
        <v>180</v>
      </c>
      <c r="H4152" s="88">
        <v>57914.572864321606</v>
      </c>
      <c r="I4152" s="89">
        <v>22</v>
      </c>
      <c r="J4152" s="90">
        <v>11525</v>
      </c>
      <c r="K4152" s="85">
        <v>3</v>
      </c>
      <c r="L4152" s="85">
        <v>73</v>
      </c>
      <c r="M4152" s="85">
        <v>1</v>
      </c>
      <c r="N4152" s="82" t="s">
        <v>11710</v>
      </c>
      <c r="O4152" s="93">
        <v>45889.526620370372</v>
      </c>
    </row>
    <row r="4153" spans="1:15" ht="22.5" customHeight="1">
      <c r="A4153" s="85">
        <v>174904221976312</v>
      </c>
      <c r="B4153" s="82" t="s">
        <v>10651</v>
      </c>
      <c r="C4153" s="82" t="s">
        <v>11663</v>
      </c>
      <c r="D4153" s="82" t="s">
        <v>11664</v>
      </c>
      <c r="E4153" s="82">
        <v>628123264621</v>
      </c>
      <c r="F4153" s="92">
        <v>45888</v>
      </c>
      <c r="G4153" s="87">
        <v>808</v>
      </c>
      <c r="H4153" s="88">
        <v>14884.057971014492</v>
      </c>
      <c r="I4153" s="89">
        <v>27</v>
      </c>
      <c r="J4153" s="90">
        <v>13351</v>
      </c>
      <c r="K4153" s="85">
        <v>3</v>
      </c>
      <c r="L4153" s="85">
        <v>9</v>
      </c>
      <c r="M4153" s="85">
        <v>0</v>
      </c>
      <c r="N4153" s="82" t="s">
        <v>11665</v>
      </c>
      <c r="O4153" s="93">
        <v>45889.443402777775</v>
      </c>
    </row>
    <row r="4154" spans="1:15" ht="22.5" customHeight="1">
      <c r="A4154" s="85">
        <v>174904221976312</v>
      </c>
      <c r="B4154" s="82" t="s">
        <v>10651</v>
      </c>
      <c r="C4154" s="82" t="s">
        <v>11643</v>
      </c>
      <c r="D4154" s="82" t="s">
        <v>11644</v>
      </c>
      <c r="E4154" s="82">
        <v>6281330410391</v>
      </c>
      <c r="F4154" s="92">
        <v>45888</v>
      </c>
      <c r="G4154" s="87">
        <v>1141</v>
      </c>
      <c r="H4154" s="88">
        <v>15284.18640183346</v>
      </c>
      <c r="I4154" s="89">
        <v>68</v>
      </c>
      <c r="J4154" s="90">
        <v>20007</v>
      </c>
      <c r="K4154" s="85">
        <v>4</v>
      </c>
      <c r="L4154" s="85">
        <v>398</v>
      </c>
      <c r="M4154" s="85">
        <v>1</v>
      </c>
      <c r="N4154" s="82" t="s">
        <v>11681</v>
      </c>
      <c r="O4154" s="93">
        <v>45884.259074074071</v>
      </c>
    </row>
    <row r="4155" spans="1:15" ht="22.5" customHeight="1">
      <c r="A4155" s="85">
        <v>174904221976312</v>
      </c>
      <c r="B4155" s="82" t="s">
        <v>10651</v>
      </c>
      <c r="C4155" s="82" t="s">
        <v>11578</v>
      </c>
      <c r="D4155" s="82" t="s">
        <v>1624</v>
      </c>
      <c r="E4155" s="82">
        <v>6281938384000</v>
      </c>
      <c r="F4155" s="92">
        <v>45888</v>
      </c>
      <c r="G4155" s="87">
        <v>1175</v>
      </c>
      <c r="H4155" s="88">
        <v>9187.7897990726433</v>
      </c>
      <c r="I4155" s="89">
        <v>29</v>
      </c>
      <c r="J4155" s="90">
        <v>11889</v>
      </c>
      <c r="K4155" s="85">
        <v>2</v>
      </c>
      <c r="L4155" s="85">
        <v>499</v>
      </c>
      <c r="M4155" s="85">
        <v>1</v>
      </c>
      <c r="N4155" s="82" t="s">
        <v>11579</v>
      </c>
      <c r="O4155" s="93">
        <v>45889.568576388891</v>
      </c>
    </row>
    <row r="4156" spans="1:15" ht="22.5" customHeight="1">
      <c r="A4156" s="85">
        <v>174904221976312</v>
      </c>
      <c r="B4156" s="82" t="s">
        <v>10651</v>
      </c>
      <c r="C4156" s="82" t="s">
        <v>11545</v>
      </c>
      <c r="D4156" s="82" t="s">
        <v>3140</v>
      </c>
      <c r="E4156" s="82"/>
      <c r="F4156" s="92">
        <v>45888</v>
      </c>
      <c r="G4156" s="87">
        <v>6465</v>
      </c>
      <c r="H4156" s="88">
        <v>1738.4615384615386</v>
      </c>
      <c r="I4156" s="89">
        <v>88</v>
      </c>
      <c r="J4156" s="90">
        <v>12995</v>
      </c>
      <c r="K4156" s="85">
        <v>8</v>
      </c>
      <c r="L4156" s="85">
        <v>0</v>
      </c>
      <c r="M4156" s="85">
        <v>0</v>
      </c>
      <c r="N4156" s="82" t="s">
        <v>10779</v>
      </c>
      <c r="O4156" s="93">
        <v>45889.443124999998</v>
      </c>
    </row>
    <row r="4157" spans="1:15" ht="22.5" customHeight="1">
      <c r="A4157" s="85">
        <v>174904221976312</v>
      </c>
      <c r="B4157" s="82" t="s">
        <v>10651</v>
      </c>
      <c r="C4157" s="82" t="s">
        <v>11464</v>
      </c>
      <c r="D4157" s="82" t="s">
        <v>11465</v>
      </c>
      <c r="E4157" s="82">
        <v>62816904358</v>
      </c>
      <c r="F4157" s="92">
        <v>45888</v>
      </c>
      <c r="G4157" s="87">
        <v>312</v>
      </c>
      <c r="H4157" s="88">
        <v>32435.523114355234</v>
      </c>
      <c r="I4157" s="89">
        <v>16</v>
      </c>
      <c r="J4157" s="90">
        <v>13331</v>
      </c>
      <c r="K4157" s="85">
        <v>0</v>
      </c>
      <c r="L4157" s="85">
        <v>0</v>
      </c>
      <c r="M4157" s="85">
        <v>0</v>
      </c>
      <c r="N4157" s="82" t="s">
        <v>11466</v>
      </c>
      <c r="O4157" s="93">
        <v>45889.56858796296</v>
      </c>
    </row>
    <row r="4158" spans="1:15" ht="22.5" customHeight="1">
      <c r="A4158" s="85">
        <v>174904221976312</v>
      </c>
      <c r="B4158" s="82" t="s">
        <v>10651</v>
      </c>
      <c r="C4158" s="82" t="s">
        <v>11213</v>
      </c>
      <c r="D4158" s="82" t="s">
        <v>2022</v>
      </c>
      <c r="E4158" s="82">
        <v>6285274759862</v>
      </c>
      <c r="F4158" s="92">
        <v>45888</v>
      </c>
      <c r="G4158" s="87">
        <v>588</v>
      </c>
      <c r="H4158" s="88">
        <v>22985.185185185182</v>
      </c>
      <c r="I4158" s="89">
        <v>26</v>
      </c>
      <c r="J4158" s="90">
        <v>15515</v>
      </c>
      <c r="K4158" s="85">
        <v>4</v>
      </c>
      <c r="L4158" s="85">
        <v>0</v>
      </c>
      <c r="M4158" s="85">
        <v>0</v>
      </c>
      <c r="N4158" s="82" t="s">
        <v>11214</v>
      </c>
      <c r="O4158" s="93">
        <v>45889.464224537034</v>
      </c>
    </row>
    <row r="4159" spans="1:15" ht="22.5" customHeight="1">
      <c r="A4159" s="85">
        <v>174904221976312</v>
      </c>
      <c r="B4159" s="82" t="s">
        <v>10651</v>
      </c>
      <c r="C4159" s="82" t="s">
        <v>11193</v>
      </c>
      <c r="D4159" s="82" t="s">
        <v>11194</v>
      </c>
      <c r="E4159" s="82">
        <v>6281779578317</v>
      </c>
      <c r="F4159" s="92">
        <v>45888</v>
      </c>
      <c r="G4159" s="87">
        <v>939</v>
      </c>
      <c r="H4159" s="88">
        <v>14595.121951219513</v>
      </c>
      <c r="I4159" s="89">
        <v>24</v>
      </c>
      <c r="J4159" s="90">
        <v>14960</v>
      </c>
      <c r="K4159" s="85">
        <v>3</v>
      </c>
      <c r="L4159" s="85">
        <v>205</v>
      </c>
      <c r="M4159" s="85">
        <v>0</v>
      </c>
      <c r="N4159" s="82" t="s">
        <v>11195</v>
      </c>
      <c r="O4159" s="93">
        <v>45889.216597222221</v>
      </c>
    </row>
    <row r="4160" spans="1:15" ht="22.5" customHeight="1">
      <c r="A4160" s="85">
        <v>759724529202804</v>
      </c>
      <c r="B4160" s="82" t="s">
        <v>10621</v>
      </c>
      <c r="C4160" s="82" t="s">
        <v>12003</v>
      </c>
      <c r="D4160" s="82" t="s">
        <v>4249</v>
      </c>
      <c r="E4160" s="82">
        <v>6287833789401</v>
      </c>
      <c r="F4160" s="92">
        <v>45889</v>
      </c>
      <c r="G4160" s="87">
        <v>775</v>
      </c>
      <c r="H4160" s="88">
        <v>15731.083844580777</v>
      </c>
      <c r="I4160" s="89">
        <v>37</v>
      </c>
      <c r="J4160" s="90">
        <v>15385</v>
      </c>
      <c r="K4160" s="85">
        <v>8</v>
      </c>
      <c r="L4160" s="85">
        <v>227</v>
      </c>
      <c r="M4160" s="85">
        <v>0</v>
      </c>
      <c r="N4160" s="82" t="s">
        <v>12004</v>
      </c>
      <c r="O4160" s="93">
        <v>45890.672418981485</v>
      </c>
    </row>
    <row r="4161" spans="1:15" ht="22.5" customHeight="1">
      <c r="A4161" s="85">
        <v>759724529202804</v>
      </c>
      <c r="B4161" s="82" t="s">
        <v>10621</v>
      </c>
      <c r="C4161" s="82" t="s">
        <v>11055</v>
      </c>
      <c r="D4161" s="82" t="s">
        <v>1021</v>
      </c>
      <c r="E4161" s="82"/>
      <c r="F4161" s="92">
        <v>45889</v>
      </c>
      <c r="G4161" s="87">
        <v>1645</v>
      </c>
      <c r="H4161" s="88">
        <v>26846.275752773377</v>
      </c>
      <c r="I4161" s="89">
        <v>69</v>
      </c>
      <c r="J4161" s="90">
        <v>50820</v>
      </c>
      <c r="K4161" s="85">
        <v>12</v>
      </c>
      <c r="L4161" s="85">
        <v>528</v>
      </c>
      <c r="M4161" s="85">
        <v>0</v>
      </c>
      <c r="N4161" s="82" t="s">
        <v>11056</v>
      </c>
      <c r="O4161" s="93">
        <v>45889.276006944441</v>
      </c>
    </row>
    <row r="4162" spans="1:15" ht="22.5" customHeight="1">
      <c r="A4162" s="85">
        <v>759724529202804</v>
      </c>
      <c r="B4162" s="82" t="s">
        <v>10621</v>
      </c>
      <c r="C4162" s="82" t="s">
        <v>11037</v>
      </c>
      <c r="D4162" s="82" t="s">
        <v>199</v>
      </c>
      <c r="E4162" s="82">
        <v>6285220903499</v>
      </c>
      <c r="F4162" s="92">
        <v>45889</v>
      </c>
      <c r="G4162" s="87">
        <v>1030</v>
      </c>
      <c r="H4162" s="88">
        <v>12466.992665036674</v>
      </c>
      <c r="I4162" s="89">
        <v>42</v>
      </c>
      <c r="J4162" s="90">
        <v>15297</v>
      </c>
      <c r="K4162" s="85">
        <v>3</v>
      </c>
      <c r="L4162" s="85">
        <v>300</v>
      </c>
      <c r="M4162" s="85">
        <v>0</v>
      </c>
      <c r="N4162" s="82" t="s">
        <v>11038</v>
      </c>
      <c r="O4162" s="93">
        <v>45890.609930555554</v>
      </c>
    </row>
    <row r="4163" spans="1:15" ht="22.5" customHeight="1">
      <c r="A4163" s="85">
        <v>174904221976312</v>
      </c>
      <c r="B4163" s="82" t="s">
        <v>10651</v>
      </c>
      <c r="C4163" s="82" t="s">
        <v>12005</v>
      </c>
      <c r="D4163" s="82" t="s">
        <v>3092</v>
      </c>
      <c r="E4163" s="82">
        <v>6287740636181</v>
      </c>
      <c r="F4163" s="92">
        <v>45889</v>
      </c>
      <c r="G4163" s="87">
        <v>553</v>
      </c>
      <c r="H4163" s="88">
        <v>17893.098782138026</v>
      </c>
      <c r="I4163" s="89">
        <v>46</v>
      </c>
      <c r="J4163" s="90">
        <v>13223</v>
      </c>
      <c r="K4163" s="85">
        <v>0</v>
      </c>
      <c r="L4163" s="85">
        <v>7</v>
      </c>
      <c r="M4163" s="85">
        <v>2</v>
      </c>
      <c r="N4163" s="82" t="s">
        <v>12006</v>
      </c>
      <c r="O4163" s="93">
        <v>45890.672314814816</v>
      </c>
    </row>
    <row r="4164" spans="1:15" ht="22.5" customHeight="1">
      <c r="A4164" s="85">
        <v>174904221976312</v>
      </c>
      <c r="B4164" s="82" t="s">
        <v>10651</v>
      </c>
      <c r="C4164" s="82" t="s">
        <v>12007</v>
      </c>
      <c r="D4164" s="82" t="s">
        <v>9010</v>
      </c>
      <c r="E4164" s="82">
        <v>6282160743576</v>
      </c>
      <c r="F4164" s="92">
        <v>45889</v>
      </c>
      <c r="G4164" s="87">
        <v>343</v>
      </c>
      <c r="H4164" s="88">
        <v>28066.666666666668</v>
      </c>
      <c r="I4164" s="89">
        <v>17</v>
      </c>
      <c r="J4164" s="90">
        <v>10946</v>
      </c>
      <c r="K4164" s="85">
        <v>1</v>
      </c>
      <c r="L4164" s="85">
        <v>10</v>
      </c>
      <c r="M4164" s="85">
        <v>0</v>
      </c>
      <c r="N4164" s="82" t="s">
        <v>12008</v>
      </c>
      <c r="O4164" s="93">
        <v>45890.630925925929</v>
      </c>
    </row>
    <row r="4165" spans="1:15" ht="22.5" customHeight="1">
      <c r="A4165" s="85">
        <v>174904221976312</v>
      </c>
      <c r="B4165" s="82" t="s">
        <v>10651</v>
      </c>
      <c r="C4165" s="82" t="s">
        <v>12009</v>
      </c>
      <c r="D4165" s="82" t="s">
        <v>11886</v>
      </c>
      <c r="E4165" s="82">
        <v>628179780980</v>
      </c>
      <c r="F4165" s="92">
        <v>45889</v>
      </c>
      <c r="G4165" s="87">
        <v>326</v>
      </c>
      <c r="H4165" s="88">
        <v>32129.120879120877</v>
      </c>
      <c r="I4165" s="89">
        <v>12</v>
      </c>
      <c r="J4165" s="90">
        <v>11695</v>
      </c>
      <c r="K4165" s="85">
        <v>1</v>
      </c>
      <c r="L4165" s="85">
        <v>20</v>
      </c>
      <c r="M4165" s="85">
        <v>0</v>
      </c>
      <c r="N4165" s="82" t="s">
        <v>12010</v>
      </c>
      <c r="O4165" s="93">
        <v>45890.69321759259</v>
      </c>
    </row>
    <row r="4166" spans="1:15" ht="22.5" customHeight="1">
      <c r="A4166" s="85">
        <v>174904221976312</v>
      </c>
      <c r="B4166" s="82" t="s">
        <v>10651</v>
      </c>
      <c r="C4166" s="82" t="s">
        <v>12011</v>
      </c>
      <c r="D4166" s="82" t="s">
        <v>4264</v>
      </c>
      <c r="E4166" s="82">
        <v>6285702241111</v>
      </c>
      <c r="F4166" s="92">
        <v>45889</v>
      </c>
      <c r="G4166" s="87">
        <v>171</v>
      </c>
      <c r="H4166" s="88">
        <v>67763.005780346823</v>
      </c>
      <c r="I4166" s="89">
        <v>5</v>
      </c>
      <c r="J4166" s="90">
        <v>11723</v>
      </c>
      <c r="K4166" s="85">
        <v>1</v>
      </c>
      <c r="L4166" s="85">
        <v>8</v>
      </c>
      <c r="M4166" s="85">
        <v>0</v>
      </c>
      <c r="N4166" s="82" t="s">
        <v>12012</v>
      </c>
      <c r="O4166" s="93">
        <v>45890.651724537034</v>
      </c>
    </row>
    <row r="4167" spans="1:15" ht="22.5" customHeight="1">
      <c r="A4167" s="85">
        <v>174904221976312</v>
      </c>
      <c r="B4167" s="82" t="s">
        <v>10651</v>
      </c>
      <c r="C4167" s="82" t="s">
        <v>11994</v>
      </c>
      <c r="D4167" s="82" t="s">
        <v>4233</v>
      </c>
      <c r="E4167" s="82">
        <v>6289514176661</v>
      </c>
      <c r="F4167" s="92">
        <v>45889</v>
      </c>
      <c r="G4167" s="87">
        <v>1260</v>
      </c>
      <c r="H4167" s="88">
        <v>9242.8855062872262</v>
      </c>
      <c r="I4167" s="89">
        <v>41</v>
      </c>
      <c r="J4167" s="90">
        <v>13966</v>
      </c>
      <c r="K4167" s="85">
        <v>2</v>
      </c>
      <c r="L4167" s="85">
        <v>223</v>
      </c>
      <c r="M4167" s="85">
        <v>0</v>
      </c>
      <c r="N4167" s="82" t="s">
        <v>11995</v>
      </c>
      <c r="O4167" s="93">
        <v>45890.422662037039</v>
      </c>
    </row>
    <row r="4168" spans="1:15" ht="22.5" customHeight="1">
      <c r="A4168" s="85">
        <v>174904221976312</v>
      </c>
      <c r="B4168" s="82" t="s">
        <v>10651</v>
      </c>
      <c r="C4168" s="82" t="s">
        <v>11996</v>
      </c>
      <c r="D4168" s="82" t="s">
        <v>4224</v>
      </c>
      <c r="E4168" s="82">
        <v>6285967129366</v>
      </c>
      <c r="F4168" s="92">
        <v>45889</v>
      </c>
      <c r="G4168" s="87">
        <v>299</v>
      </c>
      <c r="H4168" s="88">
        <v>38161.67664670659</v>
      </c>
      <c r="I4168" s="89">
        <v>4</v>
      </c>
      <c r="J4168" s="90">
        <v>12746</v>
      </c>
      <c r="K4168" s="85">
        <v>0</v>
      </c>
      <c r="L4168" s="85">
        <v>74</v>
      </c>
      <c r="M4168" s="85">
        <v>0</v>
      </c>
      <c r="N4168" s="82" t="s">
        <v>11997</v>
      </c>
      <c r="O4168" s="93">
        <v>45890.58865740741</v>
      </c>
    </row>
    <row r="4169" spans="1:15" ht="22.5" customHeight="1">
      <c r="A4169" s="85">
        <v>174904221976312</v>
      </c>
      <c r="B4169" s="82" t="s">
        <v>10651</v>
      </c>
      <c r="C4169" s="82" t="s">
        <v>11998</v>
      </c>
      <c r="D4169" s="82" t="s">
        <v>11999</v>
      </c>
      <c r="E4169" s="82">
        <v>628815361682</v>
      </c>
      <c r="F4169" s="92">
        <v>45889</v>
      </c>
      <c r="G4169" s="87">
        <v>1232</v>
      </c>
      <c r="H4169" s="88">
        <v>9038.6029411764703</v>
      </c>
      <c r="I4169" s="89">
        <v>90</v>
      </c>
      <c r="J4169" s="90">
        <v>14751</v>
      </c>
      <c r="K4169" s="85">
        <v>5</v>
      </c>
      <c r="L4169" s="85">
        <v>171</v>
      </c>
      <c r="M4169" s="85">
        <v>1</v>
      </c>
      <c r="N4169" s="82" t="s">
        <v>12000</v>
      </c>
      <c r="O4169" s="93">
        <v>45890.713854166665</v>
      </c>
    </row>
    <row r="4170" spans="1:15" ht="22.5" customHeight="1">
      <c r="A4170" s="85">
        <v>174904221976312</v>
      </c>
      <c r="B4170" s="82" t="s">
        <v>10651</v>
      </c>
      <c r="C4170" s="82" t="s">
        <v>12001</v>
      </c>
      <c r="D4170" s="82" t="s">
        <v>4190</v>
      </c>
      <c r="E4170" s="82">
        <v>628195131666</v>
      </c>
      <c r="F4170" s="92">
        <v>45889</v>
      </c>
      <c r="G4170" s="87">
        <v>1138</v>
      </c>
      <c r="H4170" s="88">
        <v>9267.383512544804</v>
      </c>
      <c r="I4170" s="89">
        <v>15</v>
      </c>
      <c r="J4170" s="90">
        <v>12928</v>
      </c>
      <c r="K4170" s="85">
        <v>0</v>
      </c>
      <c r="L4170" s="85">
        <v>263</v>
      </c>
      <c r="M4170" s="85">
        <v>0</v>
      </c>
      <c r="N4170" s="82" t="s">
        <v>12002</v>
      </c>
      <c r="O4170" s="93">
        <v>45890.547534722224</v>
      </c>
    </row>
    <row r="4171" spans="1:15" ht="22.5" customHeight="1">
      <c r="A4171" s="85">
        <v>174904221976312</v>
      </c>
      <c r="B4171" s="82" t="s">
        <v>10651</v>
      </c>
      <c r="C4171" s="82" t="s">
        <v>11981</v>
      </c>
      <c r="D4171" s="82" t="s">
        <v>11982</v>
      </c>
      <c r="E4171" s="82">
        <v>6282112073155</v>
      </c>
      <c r="F4171" s="92">
        <v>45889</v>
      </c>
      <c r="G4171" s="87">
        <v>1092</v>
      </c>
      <c r="H4171" s="88">
        <v>10291.696750902527</v>
      </c>
      <c r="I4171" s="89">
        <v>61</v>
      </c>
      <c r="J4171" s="90">
        <v>14254</v>
      </c>
      <c r="K4171" s="85">
        <v>7</v>
      </c>
      <c r="L4171" s="85">
        <v>5</v>
      </c>
      <c r="M4171" s="85">
        <v>1</v>
      </c>
      <c r="N4171" s="82" t="s">
        <v>11983</v>
      </c>
      <c r="O4171" s="93">
        <v>45890.547222222223</v>
      </c>
    </row>
    <row r="4172" spans="1:15" ht="22.5" customHeight="1">
      <c r="A4172" s="85">
        <v>174904221976312</v>
      </c>
      <c r="B4172" s="82" t="s">
        <v>10651</v>
      </c>
      <c r="C4172" s="82" t="s">
        <v>11984</v>
      </c>
      <c r="D4172" s="82" t="s">
        <v>4177</v>
      </c>
      <c r="E4172" s="82">
        <v>6281313889118</v>
      </c>
      <c r="F4172" s="92">
        <v>45889</v>
      </c>
      <c r="G4172" s="87">
        <v>251</v>
      </c>
      <c r="H4172" s="88">
        <v>41398.496240601504</v>
      </c>
      <c r="I4172" s="89">
        <v>4</v>
      </c>
      <c r="J4172" s="90">
        <v>11012</v>
      </c>
      <c r="K4172" s="85">
        <v>1</v>
      </c>
      <c r="L4172" s="85">
        <v>74</v>
      </c>
      <c r="M4172" s="85">
        <v>0</v>
      </c>
      <c r="N4172" s="82" t="s">
        <v>11985</v>
      </c>
      <c r="O4172" s="93">
        <v>45890.505787037036</v>
      </c>
    </row>
    <row r="4173" spans="1:15" ht="22.5" customHeight="1">
      <c r="A4173" s="85">
        <v>174904221976312</v>
      </c>
      <c r="B4173" s="82" t="s">
        <v>10651</v>
      </c>
      <c r="C4173" s="82" t="s">
        <v>11986</v>
      </c>
      <c r="D4173" s="82" t="s">
        <v>11987</v>
      </c>
      <c r="E4173" s="82">
        <v>6285811111804</v>
      </c>
      <c r="F4173" s="92">
        <v>45889</v>
      </c>
      <c r="G4173" s="87">
        <v>230</v>
      </c>
      <c r="H4173" s="88">
        <v>48238.267148014442</v>
      </c>
      <c r="I4173" s="89">
        <v>6</v>
      </c>
      <c r="J4173" s="90">
        <v>13362</v>
      </c>
      <c r="K4173" s="85">
        <v>0</v>
      </c>
      <c r="L4173" s="85">
        <v>60</v>
      </c>
      <c r="M4173" s="85">
        <v>0</v>
      </c>
      <c r="N4173" s="82" t="s">
        <v>11988</v>
      </c>
      <c r="O4173" s="93">
        <v>45890.567812499998</v>
      </c>
    </row>
    <row r="4174" spans="1:15" ht="22.5" customHeight="1">
      <c r="A4174" s="85">
        <v>174904221976312</v>
      </c>
      <c r="B4174" s="82" t="s">
        <v>10651</v>
      </c>
      <c r="C4174" s="82" t="s">
        <v>11989</v>
      </c>
      <c r="D4174" s="82" t="s">
        <v>4150</v>
      </c>
      <c r="E4174" s="82">
        <v>6285189492568</v>
      </c>
      <c r="F4174" s="92">
        <v>45889</v>
      </c>
      <c r="G4174" s="87">
        <v>1777</v>
      </c>
      <c r="H4174" s="88">
        <v>6761.330761812922</v>
      </c>
      <c r="I4174" s="89">
        <v>38</v>
      </c>
      <c r="J4174" s="90">
        <v>14023</v>
      </c>
      <c r="K4174" s="85">
        <v>0</v>
      </c>
      <c r="L4174" s="85">
        <v>0</v>
      </c>
      <c r="M4174" s="85">
        <v>0</v>
      </c>
      <c r="N4174" s="82" t="s">
        <v>11990</v>
      </c>
      <c r="O4174" s="93">
        <v>45890.567824074074</v>
      </c>
    </row>
    <row r="4175" spans="1:15" ht="22.5" customHeight="1">
      <c r="A4175" s="85">
        <v>174904221976312</v>
      </c>
      <c r="B4175" s="82" t="s">
        <v>10651</v>
      </c>
      <c r="C4175" s="82" t="s">
        <v>11991</v>
      </c>
      <c r="D4175" s="82" t="s">
        <v>11992</v>
      </c>
      <c r="E4175" s="82">
        <v>6285240194507</v>
      </c>
      <c r="F4175" s="92">
        <v>45889</v>
      </c>
      <c r="G4175" s="87">
        <v>2021</v>
      </c>
      <c r="H4175" s="88">
        <v>5212.121212121212</v>
      </c>
      <c r="I4175" s="89">
        <v>48</v>
      </c>
      <c r="J4175" s="90">
        <v>13416</v>
      </c>
      <c r="K4175" s="85">
        <v>3</v>
      </c>
      <c r="L4175" s="85">
        <v>511</v>
      </c>
      <c r="M4175" s="85">
        <v>0</v>
      </c>
      <c r="N4175" s="82" t="s">
        <v>11993</v>
      </c>
      <c r="O4175" s="93">
        <v>45890.630914351852</v>
      </c>
    </row>
    <row r="4176" spans="1:15" ht="22.5" customHeight="1">
      <c r="A4176" s="85">
        <v>174904221976312</v>
      </c>
      <c r="B4176" s="82" t="s">
        <v>10651</v>
      </c>
      <c r="C4176" s="82" t="s">
        <v>11966</v>
      </c>
      <c r="D4176" s="82" t="s">
        <v>11967</v>
      </c>
      <c r="E4176" s="82">
        <v>6285780314346</v>
      </c>
      <c r="F4176" s="92">
        <v>45889</v>
      </c>
      <c r="G4176" s="87">
        <v>513</v>
      </c>
      <c r="H4176" s="88">
        <v>19717.285945072701</v>
      </c>
      <c r="I4176" s="89">
        <v>16</v>
      </c>
      <c r="J4176" s="90">
        <v>12205</v>
      </c>
      <c r="K4176" s="85">
        <v>1</v>
      </c>
      <c r="L4176" s="85">
        <v>195</v>
      </c>
      <c r="M4176" s="85">
        <v>0</v>
      </c>
      <c r="N4176" s="82" t="s">
        <v>11968</v>
      </c>
      <c r="O4176" s="93">
        <v>45890.506076388891</v>
      </c>
    </row>
    <row r="4177" spans="1:15" ht="22.5" customHeight="1">
      <c r="A4177" s="85">
        <v>174904221976312</v>
      </c>
      <c r="B4177" s="82" t="s">
        <v>10651</v>
      </c>
      <c r="C4177" s="82" t="s">
        <v>11969</v>
      </c>
      <c r="D4177" s="82" t="s">
        <v>11970</v>
      </c>
      <c r="E4177" s="82">
        <v>628561302381</v>
      </c>
      <c r="F4177" s="92">
        <v>45889</v>
      </c>
      <c r="G4177" s="87">
        <v>257</v>
      </c>
      <c r="H4177" s="88">
        <v>48459.930313588848</v>
      </c>
      <c r="I4177" s="89">
        <v>7</v>
      </c>
      <c r="J4177" s="90">
        <v>13908</v>
      </c>
      <c r="K4177" s="85">
        <v>0</v>
      </c>
      <c r="L4177" s="85">
        <v>68</v>
      </c>
      <c r="M4177" s="85">
        <v>0</v>
      </c>
      <c r="N4177" s="82" t="s">
        <v>11971</v>
      </c>
      <c r="O4177" s="93">
        <v>45890.215879629628</v>
      </c>
    </row>
    <row r="4178" spans="1:15" ht="22.5" customHeight="1">
      <c r="A4178" s="85">
        <v>174904221976312</v>
      </c>
      <c r="B4178" s="82" t="s">
        <v>10651</v>
      </c>
      <c r="C4178" s="82" t="s">
        <v>11916</v>
      </c>
      <c r="D4178" s="82" t="s">
        <v>11917</v>
      </c>
      <c r="E4178" s="82">
        <v>6281339823715</v>
      </c>
      <c r="F4178" s="92">
        <v>45889</v>
      </c>
      <c r="G4178" s="87">
        <v>849</v>
      </c>
      <c r="H4178" s="88">
        <v>15672.494172494173</v>
      </c>
      <c r="I4178" s="89">
        <v>21</v>
      </c>
      <c r="J4178" s="90">
        <v>13447</v>
      </c>
      <c r="K4178" s="85">
        <v>0</v>
      </c>
      <c r="L4178" s="85">
        <v>383</v>
      </c>
      <c r="M4178" s="85">
        <v>0</v>
      </c>
      <c r="N4178" s="82" t="s">
        <v>11918</v>
      </c>
      <c r="O4178" s="93">
        <v>45890.672303240739</v>
      </c>
    </row>
    <row r="4179" spans="1:15" ht="22.5" customHeight="1">
      <c r="A4179" s="85">
        <v>174904221976312</v>
      </c>
      <c r="B4179" s="82" t="s">
        <v>10651</v>
      </c>
      <c r="C4179" s="82" t="s">
        <v>11925</v>
      </c>
      <c r="D4179" s="82" t="s">
        <v>4008</v>
      </c>
      <c r="E4179" s="82">
        <v>6281558225822</v>
      </c>
      <c r="F4179" s="92">
        <v>45889</v>
      </c>
      <c r="G4179" s="87">
        <v>134</v>
      </c>
      <c r="H4179" s="88">
        <v>108640.84507042253</v>
      </c>
      <c r="I4179" s="89">
        <v>4</v>
      </c>
      <c r="J4179" s="90">
        <v>15427</v>
      </c>
      <c r="K4179" s="85">
        <v>1</v>
      </c>
      <c r="L4179" s="85">
        <v>0</v>
      </c>
      <c r="M4179" s="85">
        <v>0</v>
      </c>
      <c r="N4179" s="82" t="s">
        <v>11926</v>
      </c>
      <c r="O4179" s="93">
        <v>45890.422662037039</v>
      </c>
    </row>
    <row r="4180" spans="1:15" ht="22.5" customHeight="1">
      <c r="A4180" s="85">
        <v>174904221976312</v>
      </c>
      <c r="B4180" s="82" t="s">
        <v>10651</v>
      </c>
      <c r="C4180" s="82" t="s">
        <v>11905</v>
      </c>
      <c r="D4180" s="82" t="s">
        <v>11906</v>
      </c>
      <c r="E4180" s="82">
        <v>6285294617773</v>
      </c>
      <c r="F4180" s="92">
        <v>45889</v>
      </c>
      <c r="G4180" s="87">
        <v>397</v>
      </c>
      <c r="H4180" s="88">
        <v>28607.569721115538</v>
      </c>
      <c r="I4180" s="89">
        <v>32</v>
      </c>
      <c r="J4180" s="90">
        <v>14361</v>
      </c>
      <c r="K4180" s="85">
        <v>1</v>
      </c>
      <c r="L4180" s="85">
        <v>147</v>
      </c>
      <c r="M4180" s="85">
        <v>0</v>
      </c>
      <c r="N4180" s="82" t="s">
        <v>11907</v>
      </c>
      <c r="O4180" s="93">
        <v>45890.651400462964</v>
      </c>
    </row>
    <row r="4181" spans="1:15" ht="22.5" customHeight="1">
      <c r="A4181" s="85">
        <v>174904221976312</v>
      </c>
      <c r="B4181" s="82" t="s">
        <v>10651</v>
      </c>
      <c r="C4181" s="82" t="s">
        <v>11885</v>
      </c>
      <c r="D4181" s="82" t="s">
        <v>11886</v>
      </c>
      <c r="E4181" s="82">
        <v>628179780980</v>
      </c>
      <c r="F4181" s="92">
        <v>45889</v>
      </c>
      <c r="G4181" s="87">
        <v>140</v>
      </c>
      <c r="H4181" s="88">
        <v>84753.246753246756</v>
      </c>
      <c r="I4181" s="89">
        <v>5</v>
      </c>
      <c r="J4181" s="90">
        <v>13052</v>
      </c>
      <c r="K4181" s="85">
        <v>1</v>
      </c>
      <c r="L4181" s="85">
        <v>54</v>
      </c>
      <c r="M4181" s="85">
        <v>0</v>
      </c>
      <c r="N4181" s="82" t="s">
        <v>11887</v>
      </c>
      <c r="O4181" s="93">
        <v>45890.46435185185</v>
      </c>
    </row>
    <row r="4182" spans="1:15" ht="22.5" customHeight="1">
      <c r="A4182" s="85">
        <v>174904221976312</v>
      </c>
      <c r="B4182" s="82" t="s">
        <v>10651</v>
      </c>
      <c r="C4182" s="82" t="s">
        <v>11888</v>
      </c>
      <c r="D4182" s="82" t="s">
        <v>11889</v>
      </c>
      <c r="E4182" s="82">
        <v>628127962347</v>
      </c>
      <c r="F4182" s="92">
        <v>45889</v>
      </c>
      <c r="G4182" s="87">
        <v>567</v>
      </c>
      <c r="H4182" s="88">
        <v>20726.134585289514</v>
      </c>
      <c r="I4182" s="89">
        <v>13</v>
      </c>
      <c r="J4182" s="90">
        <v>13244</v>
      </c>
      <c r="K4182" s="85">
        <v>4</v>
      </c>
      <c r="L4182" s="85">
        <v>164</v>
      </c>
      <c r="M4182" s="85">
        <v>0</v>
      </c>
      <c r="N4182" s="82" t="s">
        <v>11890</v>
      </c>
      <c r="O4182" s="93">
        <v>45890.505787037036</v>
      </c>
    </row>
    <row r="4183" spans="1:15" ht="22.5" customHeight="1">
      <c r="A4183" s="85">
        <v>174904221976312</v>
      </c>
      <c r="B4183" s="82" t="s">
        <v>10651</v>
      </c>
      <c r="C4183" s="82" t="s">
        <v>11896</v>
      </c>
      <c r="D4183" s="82" t="s">
        <v>11897</v>
      </c>
      <c r="E4183" s="82">
        <v>6282153090123</v>
      </c>
      <c r="F4183" s="92">
        <v>45889</v>
      </c>
      <c r="G4183" s="87">
        <v>428</v>
      </c>
      <c r="H4183" s="88">
        <v>28600.840336134454</v>
      </c>
      <c r="I4183" s="89">
        <v>22</v>
      </c>
      <c r="J4183" s="90">
        <v>13614</v>
      </c>
      <c r="K4183" s="85">
        <v>2</v>
      </c>
      <c r="L4183" s="85">
        <v>195</v>
      </c>
      <c r="M4183" s="85">
        <v>0</v>
      </c>
      <c r="N4183" s="82" t="s">
        <v>11898</v>
      </c>
      <c r="O4183" s="93">
        <v>45890.505787037036</v>
      </c>
    </row>
    <row r="4184" spans="1:15" ht="22.5" customHeight="1">
      <c r="A4184" s="85">
        <v>174904221976312</v>
      </c>
      <c r="B4184" s="82" t="s">
        <v>10651</v>
      </c>
      <c r="C4184" s="82" t="s">
        <v>11865</v>
      </c>
      <c r="D4184" s="82" t="s">
        <v>11403</v>
      </c>
      <c r="E4184" s="82">
        <v>6283870060603</v>
      </c>
      <c r="F4184" s="92">
        <v>45889</v>
      </c>
      <c r="G4184" s="87">
        <v>762</v>
      </c>
      <c r="H4184" s="88">
        <v>19418.635170603677</v>
      </c>
      <c r="I4184" s="89">
        <v>12</v>
      </c>
      <c r="J4184" s="90">
        <v>14797</v>
      </c>
      <c r="K4184" s="85">
        <v>0</v>
      </c>
      <c r="L4184" s="85">
        <v>275</v>
      </c>
      <c r="M4184" s="85">
        <v>0</v>
      </c>
      <c r="N4184" s="82" t="s">
        <v>11866</v>
      </c>
      <c r="O4184" s="93">
        <v>45890.58865740741</v>
      </c>
    </row>
    <row r="4185" spans="1:15" ht="22.5" customHeight="1">
      <c r="A4185" s="85">
        <v>174904221976312</v>
      </c>
      <c r="B4185" s="82" t="s">
        <v>10651</v>
      </c>
      <c r="C4185" s="82" t="s">
        <v>11867</v>
      </c>
      <c r="D4185" s="82" t="s">
        <v>11868</v>
      </c>
      <c r="E4185" s="82">
        <v>6282112042148</v>
      </c>
      <c r="F4185" s="92">
        <v>45889</v>
      </c>
      <c r="G4185" s="87">
        <v>980</v>
      </c>
      <c r="H4185" s="88">
        <v>12796.401515151516</v>
      </c>
      <c r="I4185" s="89">
        <v>34</v>
      </c>
      <c r="J4185" s="90">
        <v>13513</v>
      </c>
      <c r="K4185" s="85">
        <v>1</v>
      </c>
      <c r="L4185" s="85">
        <v>372</v>
      </c>
      <c r="M4185" s="85">
        <v>0</v>
      </c>
      <c r="N4185" s="82" t="s">
        <v>11869</v>
      </c>
      <c r="O4185" s="93">
        <v>45890.443622685183</v>
      </c>
    </row>
    <row r="4186" spans="1:15" ht="22.5" customHeight="1">
      <c r="A4186" s="85">
        <v>174904221976312</v>
      </c>
      <c r="B4186" s="82" t="s">
        <v>10651</v>
      </c>
      <c r="C4186" s="82" t="s">
        <v>11876</v>
      </c>
      <c r="D4186" s="82" t="s">
        <v>11877</v>
      </c>
      <c r="E4186" s="82">
        <v>6285748377961</v>
      </c>
      <c r="F4186" s="92">
        <v>45889</v>
      </c>
      <c r="G4186" s="87">
        <v>1614</v>
      </c>
      <c r="H4186" s="88">
        <v>8881.297046902142</v>
      </c>
      <c r="I4186" s="89">
        <v>43</v>
      </c>
      <c r="J4186" s="90">
        <v>15338</v>
      </c>
      <c r="K4186" s="85">
        <v>4</v>
      </c>
      <c r="L4186" s="85">
        <v>198</v>
      </c>
      <c r="M4186" s="85">
        <v>0</v>
      </c>
      <c r="N4186" s="82" t="s">
        <v>11878</v>
      </c>
      <c r="O4186" s="93">
        <v>45890.567812499998</v>
      </c>
    </row>
    <row r="4187" spans="1:15" ht="22.5" customHeight="1">
      <c r="A4187" s="85">
        <v>174904221976312</v>
      </c>
      <c r="B4187" s="82" t="s">
        <v>10651</v>
      </c>
      <c r="C4187" s="82" t="s">
        <v>11879</v>
      </c>
      <c r="D4187" s="82" t="s">
        <v>11877</v>
      </c>
      <c r="E4187" s="82">
        <v>6285748377961</v>
      </c>
      <c r="F4187" s="92">
        <v>45889</v>
      </c>
      <c r="G4187" s="87">
        <v>539</v>
      </c>
      <c r="H4187" s="88">
        <v>26001.650165016505</v>
      </c>
      <c r="I4187" s="89">
        <v>11</v>
      </c>
      <c r="J4187" s="90">
        <v>15757</v>
      </c>
      <c r="K4187" s="85">
        <v>1</v>
      </c>
      <c r="L4187" s="85">
        <v>2</v>
      </c>
      <c r="M4187" s="85">
        <v>0</v>
      </c>
      <c r="N4187" s="82" t="s">
        <v>11878</v>
      </c>
      <c r="O4187" s="93">
        <v>45890.48505787037</v>
      </c>
    </row>
    <row r="4188" spans="1:15" ht="22.5" customHeight="1">
      <c r="A4188" s="85">
        <v>174904221976312</v>
      </c>
      <c r="B4188" s="82" t="s">
        <v>10651</v>
      </c>
      <c r="C4188" s="82" t="s">
        <v>11880</v>
      </c>
      <c r="D4188" s="82" t="s">
        <v>3805</v>
      </c>
      <c r="E4188" s="82">
        <v>6281288245836</v>
      </c>
      <c r="F4188" s="92">
        <v>45889</v>
      </c>
      <c r="G4188" s="87">
        <v>301</v>
      </c>
      <c r="H4188" s="88">
        <v>38444.444444444445</v>
      </c>
      <c r="I4188" s="89">
        <v>1</v>
      </c>
      <c r="J4188" s="90">
        <v>12456</v>
      </c>
      <c r="K4188" s="85">
        <v>0</v>
      </c>
      <c r="L4188" s="85">
        <v>0</v>
      </c>
      <c r="M4188" s="85">
        <v>0</v>
      </c>
      <c r="N4188" s="82" t="s">
        <v>11881</v>
      </c>
      <c r="O4188" s="93">
        <v>45890.526458333334</v>
      </c>
    </row>
    <row r="4189" spans="1:15" ht="22.5" customHeight="1">
      <c r="A4189" s="85">
        <v>174904221976312</v>
      </c>
      <c r="B4189" s="82" t="s">
        <v>10651</v>
      </c>
      <c r="C4189" s="82" t="s">
        <v>11838</v>
      </c>
      <c r="D4189" s="82" t="s">
        <v>11839</v>
      </c>
      <c r="E4189" s="82">
        <v>6287797504113</v>
      </c>
      <c r="F4189" s="92">
        <v>45889</v>
      </c>
      <c r="G4189" s="87">
        <v>260</v>
      </c>
      <c r="H4189" s="88">
        <v>42520</v>
      </c>
      <c r="I4189" s="89">
        <v>16</v>
      </c>
      <c r="J4189" s="90">
        <v>12756</v>
      </c>
      <c r="K4189" s="85">
        <v>6</v>
      </c>
      <c r="L4189" s="85">
        <v>48</v>
      </c>
      <c r="M4189" s="85">
        <v>1</v>
      </c>
      <c r="N4189" s="82" t="s">
        <v>11840</v>
      </c>
      <c r="O4189" s="93">
        <v>45890.526469907411</v>
      </c>
    </row>
    <row r="4190" spans="1:15" ht="22.5" customHeight="1">
      <c r="A4190" s="85">
        <v>174904221976312</v>
      </c>
      <c r="B4190" s="82" t="s">
        <v>10651</v>
      </c>
      <c r="C4190" s="82" t="s">
        <v>11816</v>
      </c>
      <c r="D4190" s="82" t="s">
        <v>3682</v>
      </c>
      <c r="E4190" s="82">
        <v>6285602235226</v>
      </c>
      <c r="F4190" s="92">
        <v>45889</v>
      </c>
      <c r="G4190" s="87">
        <v>451</v>
      </c>
      <c r="H4190" s="88">
        <v>25155.470249520153</v>
      </c>
      <c r="I4190" s="89">
        <v>29</v>
      </c>
      <c r="J4190" s="90">
        <v>13106</v>
      </c>
      <c r="K4190" s="85">
        <v>1</v>
      </c>
      <c r="L4190" s="85">
        <v>1</v>
      </c>
      <c r="M4190" s="85">
        <v>0</v>
      </c>
      <c r="N4190" s="82" t="s">
        <v>11817</v>
      </c>
      <c r="O4190" s="93">
        <v>45890.568124999998</v>
      </c>
    </row>
    <row r="4191" spans="1:15" ht="22.5" customHeight="1">
      <c r="A4191" s="85">
        <v>174904221976312</v>
      </c>
      <c r="B4191" s="82" t="s">
        <v>10651</v>
      </c>
      <c r="C4191" s="82" t="s">
        <v>11799</v>
      </c>
      <c r="D4191" s="82" t="s">
        <v>11800</v>
      </c>
      <c r="E4191" s="82">
        <v>6285333751528</v>
      </c>
      <c r="F4191" s="92">
        <v>45889</v>
      </c>
      <c r="G4191" s="87">
        <v>939</v>
      </c>
      <c r="H4191" s="88">
        <v>13919.400187441424</v>
      </c>
      <c r="I4191" s="89">
        <v>32</v>
      </c>
      <c r="J4191" s="90">
        <v>14852</v>
      </c>
      <c r="K4191" s="85">
        <v>2</v>
      </c>
      <c r="L4191" s="85">
        <v>1</v>
      </c>
      <c r="M4191" s="85">
        <v>0</v>
      </c>
      <c r="N4191" s="82" t="s">
        <v>11801</v>
      </c>
      <c r="O4191" s="93">
        <v>45890.485405092593</v>
      </c>
    </row>
    <row r="4192" spans="1:15" ht="22.5" customHeight="1">
      <c r="A4192" s="85">
        <v>174904221976312</v>
      </c>
      <c r="B4192" s="82" t="s">
        <v>10651</v>
      </c>
      <c r="C4192" s="82" t="s">
        <v>11766</v>
      </c>
      <c r="D4192" s="82" t="s">
        <v>11767</v>
      </c>
      <c r="E4192" s="82">
        <v>6281225101319</v>
      </c>
      <c r="F4192" s="92">
        <v>45889</v>
      </c>
      <c r="G4192" s="87">
        <v>374</v>
      </c>
      <c r="H4192" s="88">
        <v>34315.035799522673</v>
      </c>
      <c r="I4192" s="89">
        <v>7</v>
      </c>
      <c r="J4192" s="90">
        <v>14378</v>
      </c>
      <c r="K4192" s="85">
        <v>0</v>
      </c>
      <c r="L4192" s="85">
        <v>1</v>
      </c>
      <c r="M4192" s="85">
        <v>0</v>
      </c>
      <c r="N4192" s="82" t="s">
        <v>11768</v>
      </c>
      <c r="O4192" s="93">
        <v>45890.547222222223</v>
      </c>
    </row>
    <row r="4193" spans="1:15" ht="22.5" customHeight="1">
      <c r="A4193" s="85">
        <v>174904221976312</v>
      </c>
      <c r="B4193" s="82" t="s">
        <v>10651</v>
      </c>
      <c r="C4193" s="82" t="s">
        <v>11780</v>
      </c>
      <c r="D4193" s="82" t="s">
        <v>11781</v>
      </c>
      <c r="E4193" s="82">
        <v>6282129364133</v>
      </c>
      <c r="F4193" s="92">
        <v>45889</v>
      </c>
      <c r="G4193" s="87">
        <v>996</v>
      </c>
      <c r="H4193" s="88">
        <v>11813.588850174217</v>
      </c>
      <c r="I4193" s="89">
        <v>19</v>
      </c>
      <c r="J4193" s="90">
        <v>13562</v>
      </c>
      <c r="K4193" s="85">
        <v>3</v>
      </c>
      <c r="L4193" s="85">
        <v>0</v>
      </c>
      <c r="M4193" s="85">
        <v>2</v>
      </c>
      <c r="N4193" s="82" t="s">
        <v>11782</v>
      </c>
      <c r="O4193" s="93">
        <v>45890.526666666665</v>
      </c>
    </row>
    <row r="4194" spans="1:15" ht="22.5" customHeight="1">
      <c r="A4194" s="85">
        <v>174904221976312</v>
      </c>
      <c r="B4194" s="82" t="s">
        <v>10651</v>
      </c>
      <c r="C4194" s="82" t="s">
        <v>11785</v>
      </c>
      <c r="D4194" s="82" t="s">
        <v>11786</v>
      </c>
      <c r="E4194" s="82">
        <v>628557182563</v>
      </c>
      <c r="F4194" s="92">
        <v>45889</v>
      </c>
      <c r="G4194" s="87">
        <v>199</v>
      </c>
      <c r="H4194" s="88">
        <v>56084.070796460175</v>
      </c>
      <c r="I4194" s="89">
        <v>4</v>
      </c>
      <c r="J4194" s="90">
        <v>12675</v>
      </c>
      <c r="K4194" s="85">
        <v>1</v>
      </c>
      <c r="L4194" s="85">
        <v>0</v>
      </c>
      <c r="M4194" s="85">
        <v>0</v>
      </c>
      <c r="N4194" s="82" t="s">
        <v>11787</v>
      </c>
      <c r="O4194" s="93">
        <v>45890.526655092595</v>
      </c>
    </row>
    <row r="4195" spans="1:15" ht="22.5" customHeight="1">
      <c r="A4195" s="85">
        <v>174904221976312</v>
      </c>
      <c r="B4195" s="82" t="s">
        <v>10651</v>
      </c>
      <c r="C4195" s="82" t="s">
        <v>11755</v>
      </c>
      <c r="D4195" s="82" t="s">
        <v>11756</v>
      </c>
      <c r="E4195" s="82">
        <v>6281357754513</v>
      </c>
      <c r="F4195" s="92">
        <v>45889</v>
      </c>
      <c r="G4195" s="87">
        <v>529</v>
      </c>
      <c r="H4195" s="88">
        <v>21625.641025641027</v>
      </c>
      <c r="I4195" s="89">
        <v>5</v>
      </c>
      <c r="J4195" s="90">
        <v>12651</v>
      </c>
      <c r="K4195" s="85">
        <v>1</v>
      </c>
      <c r="L4195" s="85">
        <v>5</v>
      </c>
      <c r="M4195" s="85">
        <v>0</v>
      </c>
      <c r="N4195" s="82" t="s">
        <v>11757</v>
      </c>
      <c r="O4195" s="93">
        <v>45890.526446759257</v>
      </c>
    </row>
    <row r="4196" spans="1:15" ht="22.5" customHeight="1">
      <c r="A4196" s="85">
        <v>174904221976312</v>
      </c>
      <c r="B4196" s="82" t="s">
        <v>10651</v>
      </c>
      <c r="C4196" s="82" t="s">
        <v>11761</v>
      </c>
      <c r="D4196" s="82" t="s">
        <v>3438</v>
      </c>
      <c r="E4196" s="82">
        <v>628154336558</v>
      </c>
      <c r="F4196" s="92">
        <v>45889</v>
      </c>
      <c r="G4196" s="87">
        <v>2376</v>
      </c>
      <c r="H4196" s="88">
        <v>4925.6678281068525</v>
      </c>
      <c r="I4196" s="89">
        <v>85</v>
      </c>
      <c r="J4196" s="90">
        <v>12723</v>
      </c>
      <c r="K4196" s="85">
        <v>7</v>
      </c>
      <c r="L4196" s="85">
        <v>883</v>
      </c>
      <c r="M4196" s="85">
        <v>1</v>
      </c>
      <c r="N4196" s="82" t="s">
        <v>11762</v>
      </c>
      <c r="O4196" s="93">
        <v>45890.547233796293</v>
      </c>
    </row>
    <row r="4197" spans="1:15" ht="22.5" customHeight="1">
      <c r="A4197" s="85">
        <v>174904221976312</v>
      </c>
      <c r="B4197" s="82" t="s">
        <v>10651</v>
      </c>
      <c r="C4197" s="82" t="s">
        <v>11763</v>
      </c>
      <c r="D4197" s="82" t="s">
        <v>11764</v>
      </c>
      <c r="E4197" s="82">
        <v>6282384544939</v>
      </c>
      <c r="F4197" s="92">
        <v>45889</v>
      </c>
      <c r="G4197" s="87">
        <v>349</v>
      </c>
      <c r="H4197" s="88">
        <v>26941.176470588234</v>
      </c>
      <c r="I4197" s="89">
        <v>9</v>
      </c>
      <c r="J4197" s="90">
        <v>11908</v>
      </c>
      <c r="K4197" s="85">
        <v>2</v>
      </c>
      <c r="L4197" s="85">
        <v>0</v>
      </c>
      <c r="M4197" s="85">
        <v>0</v>
      </c>
      <c r="N4197" s="82" t="s">
        <v>11765</v>
      </c>
      <c r="O4197" s="93">
        <v>45890.526469907411</v>
      </c>
    </row>
    <row r="4198" spans="1:15" ht="22.5" customHeight="1">
      <c r="A4198" s="85">
        <v>174904221976312</v>
      </c>
      <c r="B4198" s="82" t="s">
        <v>10651</v>
      </c>
      <c r="C4198" s="82" t="s">
        <v>11701</v>
      </c>
      <c r="D4198" s="82" t="s">
        <v>11702</v>
      </c>
      <c r="E4198" s="82">
        <v>6288802749485</v>
      </c>
      <c r="F4198" s="92">
        <v>45889</v>
      </c>
      <c r="G4198" s="87">
        <v>515</v>
      </c>
      <c r="H4198" s="88">
        <v>23580.589254766033</v>
      </c>
      <c r="I4198" s="89">
        <v>68</v>
      </c>
      <c r="J4198" s="90">
        <v>13606</v>
      </c>
      <c r="K4198" s="85">
        <v>10</v>
      </c>
      <c r="L4198" s="85">
        <v>0</v>
      </c>
      <c r="M4198" s="85">
        <v>2</v>
      </c>
      <c r="N4198" s="82" t="s">
        <v>11703</v>
      </c>
      <c r="O4198" s="93">
        <v>45890.505787037036</v>
      </c>
    </row>
    <row r="4199" spans="1:15" ht="22.5" customHeight="1">
      <c r="A4199" s="85">
        <v>174904221976312</v>
      </c>
      <c r="B4199" s="82" t="s">
        <v>10651</v>
      </c>
      <c r="C4199" s="82" t="s">
        <v>11708</v>
      </c>
      <c r="D4199" s="82" t="s">
        <v>11709</v>
      </c>
      <c r="E4199" s="82">
        <v>6285294617773</v>
      </c>
      <c r="F4199" s="92">
        <v>45889</v>
      </c>
      <c r="G4199" s="87">
        <v>268</v>
      </c>
      <c r="H4199" s="88">
        <v>46283.018867924526</v>
      </c>
      <c r="I4199" s="89">
        <v>33</v>
      </c>
      <c r="J4199" s="90">
        <v>14718</v>
      </c>
      <c r="K4199" s="85">
        <v>5</v>
      </c>
      <c r="L4199" s="85">
        <v>102</v>
      </c>
      <c r="M4199" s="85">
        <v>1</v>
      </c>
      <c r="N4199" s="82" t="s">
        <v>11710</v>
      </c>
      <c r="O4199" s="93">
        <v>45890.505787037036</v>
      </c>
    </row>
    <row r="4200" spans="1:15" ht="22.5" customHeight="1">
      <c r="A4200" s="85">
        <v>174904221976312</v>
      </c>
      <c r="B4200" s="82" t="s">
        <v>10651</v>
      </c>
      <c r="C4200" s="82" t="s">
        <v>11663</v>
      </c>
      <c r="D4200" s="82" t="s">
        <v>11664</v>
      </c>
      <c r="E4200" s="82">
        <v>628123264621</v>
      </c>
      <c r="F4200" s="92">
        <v>45889</v>
      </c>
      <c r="G4200" s="87">
        <v>474</v>
      </c>
      <c r="H4200" s="88">
        <v>20538.461538461539</v>
      </c>
      <c r="I4200" s="89">
        <v>26</v>
      </c>
      <c r="J4200" s="90">
        <v>10413</v>
      </c>
      <c r="K4200" s="85">
        <v>1</v>
      </c>
      <c r="L4200" s="85">
        <v>155</v>
      </c>
      <c r="M4200" s="85">
        <v>1</v>
      </c>
      <c r="N4200" s="82" t="s">
        <v>11665</v>
      </c>
      <c r="O4200" s="93">
        <v>45890.215879629628</v>
      </c>
    </row>
    <row r="4201" spans="1:15" ht="22.5" customHeight="1">
      <c r="A4201" s="85">
        <v>174904221976312</v>
      </c>
      <c r="B4201" s="82" t="s">
        <v>10651</v>
      </c>
      <c r="C4201" s="82" t="s">
        <v>11578</v>
      </c>
      <c r="D4201" s="82" t="s">
        <v>1624</v>
      </c>
      <c r="E4201" s="82">
        <v>6281938384000</v>
      </c>
      <c r="F4201" s="92">
        <v>45889</v>
      </c>
      <c r="G4201" s="87">
        <v>1286</v>
      </c>
      <c r="H4201" s="88">
        <v>9552.6127415891187</v>
      </c>
      <c r="I4201" s="89">
        <v>32</v>
      </c>
      <c r="J4201" s="90">
        <v>13345</v>
      </c>
      <c r="K4201" s="85">
        <v>0</v>
      </c>
      <c r="L4201" s="85">
        <v>520</v>
      </c>
      <c r="M4201" s="85">
        <v>0</v>
      </c>
      <c r="N4201" s="82" t="s">
        <v>11579</v>
      </c>
      <c r="O4201" s="93">
        <v>45890.485081018516</v>
      </c>
    </row>
    <row r="4202" spans="1:15" ht="22.5" customHeight="1">
      <c r="A4202" s="85">
        <v>174904221976312</v>
      </c>
      <c r="B4202" s="82" t="s">
        <v>10651</v>
      </c>
      <c r="C4202" s="82" t="s">
        <v>11580</v>
      </c>
      <c r="D4202" s="82" t="s">
        <v>11581</v>
      </c>
      <c r="E4202" s="82">
        <v>6287790276733</v>
      </c>
      <c r="F4202" s="92">
        <v>45889</v>
      </c>
      <c r="G4202" s="87">
        <v>425</v>
      </c>
      <c r="H4202" s="88">
        <v>26743.346007604563</v>
      </c>
      <c r="I4202" s="89">
        <v>12</v>
      </c>
      <c r="J4202" s="90">
        <v>14067</v>
      </c>
      <c r="K4202" s="85">
        <v>2</v>
      </c>
      <c r="L4202" s="85">
        <v>0</v>
      </c>
      <c r="M4202" s="85">
        <v>1</v>
      </c>
      <c r="N4202" s="82" t="s">
        <v>11582</v>
      </c>
      <c r="O4202" s="93">
        <v>45890.50577546296</v>
      </c>
    </row>
    <row r="4203" spans="1:15" ht="22.5" customHeight="1">
      <c r="A4203" s="85">
        <v>174904221976312</v>
      </c>
      <c r="B4203" s="82" t="s">
        <v>10651</v>
      </c>
      <c r="C4203" s="82" t="s">
        <v>11545</v>
      </c>
      <c r="D4203" s="82" t="s">
        <v>3140</v>
      </c>
      <c r="E4203" s="82"/>
      <c r="F4203" s="92">
        <v>45889</v>
      </c>
      <c r="G4203" s="87">
        <v>4699</v>
      </c>
      <c r="H4203" s="88">
        <v>2454.3109801031687</v>
      </c>
      <c r="I4203" s="89">
        <v>46</v>
      </c>
      <c r="J4203" s="90">
        <v>13322</v>
      </c>
      <c r="K4203" s="85">
        <v>3</v>
      </c>
      <c r="L4203" s="85">
        <v>0</v>
      </c>
      <c r="M4203" s="85">
        <v>0</v>
      </c>
      <c r="N4203" s="82" t="s">
        <v>10779</v>
      </c>
      <c r="O4203" s="93">
        <v>45890.443240740744</v>
      </c>
    </row>
    <row r="4204" spans="1:15" ht="22.5" customHeight="1">
      <c r="A4204" s="85">
        <v>174904221976312</v>
      </c>
      <c r="B4204" s="82" t="s">
        <v>10651</v>
      </c>
      <c r="C4204" s="82" t="s">
        <v>11464</v>
      </c>
      <c r="D4204" s="82" t="s">
        <v>11465</v>
      </c>
      <c r="E4204" s="82">
        <v>62816904358</v>
      </c>
      <c r="F4204" s="92">
        <v>45889</v>
      </c>
      <c r="G4204" s="87">
        <v>419</v>
      </c>
      <c r="H4204" s="88">
        <v>28647.058823529413</v>
      </c>
      <c r="I4204" s="89">
        <v>20</v>
      </c>
      <c r="J4204" s="90">
        <v>15097</v>
      </c>
      <c r="K4204" s="85">
        <v>4</v>
      </c>
      <c r="L4204" s="85">
        <v>0</v>
      </c>
      <c r="M4204" s="85">
        <v>0</v>
      </c>
      <c r="N4204" s="82" t="s">
        <v>11466</v>
      </c>
      <c r="O4204" s="93">
        <v>45890.506076388891</v>
      </c>
    </row>
    <row r="4205" spans="1:15" ht="22.5" customHeight="1">
      <c r="A4205" s="85">
        <v>174904221976312</v>
      </c>
      <c r="B4205" s="82" t="s">
        <v>10651</v>
      </c>
      <c r="C4205" s="82" t="s">
        <v>11213</v>
      </c>
      <c r="D4205" s="82" t="s">
        <v>2022</v>
      </c>
      <c r="E4205" s="82">
        <v>6285274759862</v>
      </c>
      <c r="F4205" s="92">
        <v>45889</v>
      </c>
      <c r="G4205" s="87">
        <v>737</v>
      </c>
      <c r="H4205" s="88">
        <v>20185.006045949216</v>
      </c>
      <c r="I4205" s="89">
        <v>35</v>
      </c>
      <c r="J4205" s="90">
        <v>16693</v>
      </c>
      <c r="K4205" s="85">
        <v>7</v>
      </c>
      <c r="L4205" s="85">
        <v>0</v>
      </c>
      <c r="M4205" s="85">
        <v>2</v>
      </c>
      <c r="N4205" s="82" t="s">
        <v>11214</v>
      </c>
      <c r="O4205" s="93">
        <v>45890.215891203705</v>
      </c>
    </row>
    <row r="4206" spans="1:15" ht="22.5" customHeight="1">
      <c r="A4206" s="85">
        <v>174904221976312</v>
      </c>
      <c r="B4206" s="82" t="s">
        <v>10651</v>
      </c>
      <c r="C4206" s="82" t="s">
        <v>10943</v>
      </c>
      <c r="D4206" s="82" t="s">
        <v>10944</v>
      </c>
      <c r="E4206" s="82">
        <v>6285240694097</v>
      </c>
      <c r="F4206" s="92">
        <v>45889</v>
      </c>
      <c r="G4206" s="87">
        <v>1056</v>
      </c>
      <c r="H4206" s="88">
        <v>10565.610859728507</v>
      </c>
      <c r="I4206" s="89">
        <v>31</v>
      </c>
      <c r="J4206" s="90">
        <v>14010</v>
      </c>
      <c r="K4206" s="85">
        <v>2</v>
      </c>
      <c r="L4206" s="85">
        <v>144</v>
      </c>
      <c r="M4206" s="85">
        <v>0</v>
      </c>
      <c r="N4206" s="82" t="s">
        <v>11910</v>
      </c>
      <c r="O4206" s="93">
        <v>45890.505798611113</v>
      </c>
    </row>
    <row r="4207" spans="1:15" ht="22.5" customHeight="1">
      <c r="A4207" s="85">
        <v>174904221976312</v>
      </c>
      <c r="B4207" s="82" t="s">
        <v>10651</v>
      </c>
      <c r="C4207" s="82" t="s">
        <v>10853</v>
      </c>
      <c r="D4207" s="82" t="s">
        <v>10854</v>
      </c>
      <c r="E4207" s="82">
        <v>6281393958199</v>
      </c>
      <c r="F4207" s="92">
        <v>45889</v>
      </c>
      <c r="G4207" s="87">
        <v>710</v>
      </c>
      <c r="H4207" s="88">
        <v>18440.797186400938</v>
      </c>
      <c r="I4207" s="89">
        <v>15</v>
      </c>
      <c r="J4207" s="90">
        <v>15730</v>
      </c>
      <c r="K4207" s="85">
        <v>2</v>
      </c>
      <c r="L4207" s="85">
        <v>116</v>
      </c>
      <c r="M4207" s="85">
        <v>1</v>
      </c>
      <c r="N4207" s="82" t="s">
        <v>10855</v>
      </c>
      <c r="O4207" s="93">
        <v>45890.50577546296</v>
      </c>
    </row>
    <row r="4208" spans="1:15" ht="22.5" customHeight="1">
      <c r="A4208" s="85">
        <v>174904221976312</v>
      </c>
      <c r="B4208" s="82" t="s">
        <v>10651</v>
      </c>
      <c r="C4208" s="82" t="s">
        <v>63</v>
      </c>
      <c r="D4208" s="82" t="s">
        <v>55</v>
      </c>
      <c r="E4208" s="82">
        <v>6282226594414</v>
      </c>
      <c r="F4208" s="92">
        <v>45889</v>
      </c>
      <c r="G4208" s="87">
        <v>4437</v>
      </c>
      <c r="H4208" s="88">
        <v>2702.8112449799196</v>
      </c>
      <c r="I4208" s="89">
        <v>144</v>
      </c>
      <c r="J4208" s="90">
        <v>14806</v>
      </c>
      <c r="K4208" s="85">
        <v>10</v>
      </c>
      <c r="L4208" s="85">
        <v>1064</v>
      </c>
      <c r="M4208" s="85">
        <v>2</v>
      </c>
      <c r="N4208" s="82" t="s">
        <v>10661</v>
      </c>
      <c r="O4208" s="93">
        <v>45890.464039351849</v>
      </c>
    </row>
    <row r="4209" spans="1:15" ht="22.5" customHeight="1">
      <c r="A4209" s="85">
        <v>174904221976312</v>
      </c>
      <c r="B4209" s="82" t="s">
        <v>10651</v>
      </c>
      <c r="C4209" s="82" t="s">
        <v>10662</v>
      </c>
      <c r="D4209" s="82" t="s">
        <v>10663</v>
      </c>
      <c r="E4209" s="82">
        <v>62882001677470</v>
      </c>
      <c r="F4209" s="92">
        <v>45889</v>
      </c>
      <c r="G4209" s="87">
        <v>556</v>
      </c>
      <c r="H4209" s="88">
        <v>17433.846153846156</v>
      </c>
      <c r="I4209" s="89">
        <v>18</v>
      </c>
      <c r="J4209" s="90">
        <v>11332</v>
      </c>
      <c r="K4209" s="85">
        <v>1</v>
      </c>
      <c r="L4209" s="85">
        <v>267</v>
      </c>
      <c r="M4209" s="85">
        <v>0</v>
      </c>
      <c r="N4209" s="82" t="s">
        <v>10664</v>
      </c>
      <c r="O4209" s="93">
        <v>45890.422673611109</v>
      </c>
    </row>
    <row r="4210" spans="1:15" ht="22.5" customHeight="1">
      <c r="A4210" s="85">
        <v>759724529202804</v>
      </c>
      <c r="B4210" s="82" t="s">
        <v>10621</v>
      </c>
      <c r="C4210" s="82" t="s">
        <v>12003</v>
      </c>
      <c r="D4210" s="82" t="s">
        <v>4249</v>
      </c>
      <c r="E4210" s="82">
        <v>6287833789401</v>
      </c>
      <c r="F4210" s="92">
        <v>45890</v>
      </c>
      <c r="G4210" s="87">
        <v>1171</v>
      </c>
      <c r="H4210" s="88">
        <v>11800.901577761082</v>
      </c>
      <c r="I4210" s="89">
        <v>46</v>
      </c>
      <c r="J4210" s="90">
        <v>15707</v>
      </c>
      <c r="K4210" s="85">
        <v>9</v>
      </c>
      <c r="L4210" s="85">
        <v>292</v>
      </c>
      <c r="M4210" s="85">
        <v>0</v>
      </c>
      <c r="N4210" s="82" t="s">
        <v>12004</v>
      </c>
      <c r="O4210" s="93">
        <v>45891.609837962962</v>
      </c>
    </row>
    <row r="4211" spans="1:15" ht="22.5" customHeight="1">
      <c r="A4211" s="85">
        <v>759724529202804</v>
      </c>
      <c r="B4211" s="82" t="s">
        <v>10621</v>
      </c>
      <c r="C4211" s="82" t="s">
        <v>11055</v>
      </c>
      <c r="D4211" s="82" t="s">
        <v>1021</v>
      </c>
      <c r="E4211" s="82"/>
      <c r="F4211" s="92">
        <v>45890</v>
      </c>
      <c r="G4211" s="87">
        <v>1335</v>
      </c>
      <c r="H4211" s="88">
        <v>31809.202453987731</v>
      </c>
      <c r="I4211" s="89">
        <v>43</v>
      </c>
      <c r="J4211" s="90">
        <v>51849</v>
      </c>
      <c r="K4211" s="85">
        <v>9</v>
      </c>
      <c r="L4211" s="85">
        <v>438</v>
      </c>
      <c r="M4211" s="85">
        <v>0</v>
      </c>
      <c r="N4211" s="82" t="s">
        <v>11056</v>
      </c>
      <c r="O4211" s="93">
        <v>45889.276006944441</v>
      </c>
    </row>
    <row r="4212" spans="1:15" ht="22.5" customHeight="1">
      <c r="A4212" s="85">
        <v>759724529202804</v>
      </c>
      <c r="B4212" s="82" t="s">
        <v>10621</v>
      </c>
      <c r="C4212" s="82" t="s">
        <v>11037</v>
      </c>
      <c r="D4212" s="82" t="s">
        <v>199</v>
      </c>
      <c r="E4212" s="82">
        <v>6285220903499</v>
      </c>
      <c r="F4212" s="92">
        <v>45890</v>
      </c>
      <c r="G4212" s="87">
        <v>938</v>
      </c>
      <c r="H4212" s="88">
        <v>15139.664804469274</v>
      </c>
      <c r="I4212" s="89">
        <v>28</v>
      </c>
      <c r="J4212" s="90">
        <v>16260</v>
      </c>
      <c r="K4212" s="85">
        <v>4</v>
      </c>
      <c r="L4212" s="85">
        <v>269</v>
      </c>
      <c r="M4212" s="85">
        <v>0</v>
      </c>
      <c r="N4212" s="82" t="s">
        <v>11038</v>
      </c>
      <c r="O4212" s="93">
        <v>45891.568078703705</v>
      </c>
    </row>
    <row r="4213" spans="1:15" ht="22.5" customHeight="1">
      <c r="A4213" s="85">
        <v>174904221976312</v>
      </c>
      <c r="B4213" s="82" t="s">
        <v>10651</v>
      </c>
      <c r="C4213" s="82" t="s">
        <v>12013</v>
      </c>
      <c r="D4213" s="82" t="s">
        <v>12014</v>
      </c>
      <c r="E4213" s="82">
        <v>6282154318629</v>
      </c>
      <c r="F4213" s="92">
        <v>45890</v>
      </c>
      <c r="G4213" s="87">
        <v>271</v>
      </c>
      <c r="H4213" s="88">
        <v>42305.369127516773</v>
      </c>
      <c r="I4213" s="89">
        <v>6</v>
      </c>
      <c r="J4213" s="90">
        <v>12607</v>
      </c>
      <c r="K4213" s="85">
        <v>3</v>
      </c>
      <c r="L4213" s="85">
        <v>17</v>
      </c>
      <c r="M4213" s="85">
        <v>0</v>
      </c>
      <c r="N4213" s="82" t="s">
        <v>12015</v>
      </c>
      <c r="O4213" s="93">
        <v>45891.610023148147</v>
      </c>
    </row>
    <row r="4214" spans="1:15" ht="22.5" customHeight="1">
      <c r="A4214" s="85">
        <v>174904221976312</v>
      </c>
      <c r="B4214" s="82" t="s">
        <v>10651</v>
      </c>
      <c r="C4214" s="82" t="s">
        <v>12016</v>
      </c>
      <c r="D4214" s="82" t="s">
        <v>12017</v>
      </c>
      <c r="E4214" s="82">
        <v>6281210801646</v>
      </c>
      <c r="F4214" s="92">
        <v>45890</v>
      </c>
      <c r="G4214" s="87">
        <v>264</v>
      </c>
      <c r="H4214" s="88">
        <v>37895.081967213118</v>
      </c>
      <c r="I4214" s="89">
        <v>8</v>
      </c>
      <c r="J4214" s="90">
        <v>11558</v>
      </c>
      <c r="K4214" s="85">
        <v>1</v>
      </c>
      <c r="L4214" s="85">
        <v>6</v>
      </c>
      <c r="M4214" s="85">
        <v>0</v>
      </c>
      <c r="N4214" s="82" t="s">
        <v>12018</v>
      </c>
      <c r="O4214" s="93">
        <v>45891.568148148152</v>
      </c>
    </row>
    <row r="4215" spans="1:15" ht="22.5" customHeight="1">
      <c r="A4215" s="85">
        <v>174904221976312</v>
      </c>
      <c r="B4215" s="82" t="s">
        <v>10651</v>
      </c>
      <c r="C4215" s="82" t="s">
        <v>12019</v>
      </c>
      <c r="D4215" s="82" t="s">
        <v>12020</v>
      </c>
      <c r="E4215" s="82">
        <v>6287862271550</v>
      </c>
      <c r="F4215" s="92">
        <v>45890</v>
      </c>
      <c r="G4215" s="87">
        <v>496</v>
      </c>
      <c r="H4215" s="88">
        <v>23194.539249146757</v>
      </c>
      <c r="I4215" s="89">
        <v>11</v>
      </c>
      <c r="J4215" s="90">
        <v>13592</v>
      </c>
      <c r="K4215" s="85">
        <v>0</v>
      </c>
      <c r="L4215" s="85">
        <v>22</v>
      </c>
      <c r="M4215" s="85">
        <v>0</v>
      </c>
      <c r="N4215" s="82" t="s">
        <v>12021</v>
      </c>
      <c r="O4215" s="93">
        <v>45891.610034722224</v>
      </c>
    </row>
    <row r="4216" spans="1:15" ht="22.5" customHeight="1">
      <c r="A4216" s="85">
        <v>174904221976312</v>
      </c>
      <c r="B4216" s="82" t="s">
        <v>10651</v>
      </c>
      <c r="C4216" s="82" t="s">
        <v>12022</v>
      </c>
      <c r="D4216" s="82" t="s">
        <v>11483</v>
      </c>
      <c r="E4216" s="82">
        <v>6285255115894</v>
      </c>
      <c r="F4216" s="92">
        <v>45890</v>
      </c>
      <c r="G4216" s="87">
        <v>485</v>
      </c>
      <c r="H4216" s="88">
        <v>18896.890343698855</v>
      </c>
      <c r="I4216" s="89">
        <v>22</v>
      </c>
      <c r="J4216" s="90">
        <v>11546</v>
      </c>
      <c r="K4216" s="85">
        <v>2</v>
      </c>
      <c r="L4216" s="85">
        <v>222</v>
      </c>
      <c r="M4216" s="85">
        <v>1</v>
      </c>
      <c r="N4216" s="82" t="s">
        <v>12023</v>
      </c>
      <c r="O4216" s="93">
        <v>45891.568159722221</v>
      </c>
    </row>
    <row r="4217" spans="1:15" ht="22.5" customHeight="1">
      <c r="A4217" s="85">
        <v>174904221976312</v>
      </c>
      <c r="B4217" s="82" t="s">
        <v>10651</v>
      </c>
      <c r="C4217" s="82" t="s">
        <v>12005</v>
      </c>
      <c r="D4217" s="82" t="s">
        <v>3092</v>
      </c>
      <c r="E4217" s="82">
        <v>6287740636181</v>
      </c>
      <c r="F4217" s="92">
        <v>45890</v>
      </c>
      <c r="G4217" s="87">
        <v>725</v>
      </c>
      <c r="H4217" s="88">
        <v>14348.583877995641</v>
      </c>
      <c r="I4217" s="89">
        <v>48</v>
      </c>
      <c r="J4217" s="90">
        <v>13172</v>
      </c>
      <c r="K4217" s="85">
        <v>10</v>
      </c>
      <c r="L4217" s="85">
        <v>329</v>
      </c>
      <c r="M4217" s="85">
        <v>2</v>
      </c>
      <c r="N4217" s="82" t="s">
        <v>12006</v>
      </c>
      <c r="O4217" s="93">
        <v>45891.526770833334</v>
      </c>
    </row>
    <row r="4218" spans="1:15" ht="22.5" customHeight="1">
      <c r="A4218" s="85">
        <v>174904221976312</v>
      </c>
      <c r="B4218" s="82" t="s">
        <v>10651</v>
      </c>
      <c r="C4218" s="82" t="s">
        <v>12007</v>
      </c>
      <c r="D4218" s="82" t="s">
        <v>9010</v>
      </c>
      <c r="E4218" s="82">
        <v>6282160743576</v>
      </c>
      <c r="F4218" s="92">
        <v>45890</v>
      </c>
      <c r="G4218" s="87">
        <v>517</v>
      </c>
      <c r="H4218" s="88">
        <v>21520.700636942674</v>
      </c>
      <c r="I4218" s="89">
        <v>75</v>
      </c>
      <c r="J4218" s="90">
        <v>13515</v>
      </c>
      <c r="K4218" s="85">
        <v>13</v>
      </c>
      <c r="L4218" s="85">
        <v>327</v>
      </c>
      <c r="M4218" s="85">
        <v>3</v>
      </c>
      <c r="N4218" s="82" t="s">
        <v>12008</v>
      </c>
      <c r="O4218" s="93">
        <v>45891.547233796293</v>
      </c>
    </row>
    <row r="4219" spans="1:15" ht="22.5" customHeight="1">
      <c r="A4219" s="85">
        <v>174904221976312</v>
      </c>
      <c r="B4219" s="82" t="s">
        <v>10651</v>
      </c>
      <c r="C4219" s="82" t="s">
        <v>12009</v>
      </c>
      <c r="D4219" s="82" t="s">
        <v>11886</v>
      </c>
      <c r="E4219" s="82">
        <v>628179780980</v>
      </c>
      <c r="F4219" s="92">
        <v>45890</v>
      </c>
      <c r="G4219" s="87">
        <v>340</v>
      </c>
      <c r="H4219" s="88">
        <v>41558.265582655826</v>
      </c>
      <c r="I4219" s="89">
        <v>7</v>
      </c>
      <c r="J4219" s="90">
        <v>15335</v>
      </c>
      <c r="K4219" s="85">
        <v>1</v>
      </c>
      <c r="L4219" s="85">
        <v>66</v>
      </c>
      <c r="M4219" s="85">
        <v>0</v>
      </c>
      <c r="N4219" s="82" t="s">
        <v>12010</v>
      </c>
      <c r="O4219" s="93">
        <v>45891.588738425926</v>
      </c>
    </row>
    <row r="4220" spans="1:15" ht="22.5" customHeight="1">
      <c r="A4220" s="85">
        <v>174904221976312</v>
      </c>
      <c r="B4220" s="82" t="s">
        <v>10651</v>
      </c>
      <c r="C4220" s="82" t="s">
        <v>12011</v>
      </c>
      <c r="D4220" s="82" t="s">
        <v>4264</v>
      </c>
      <c r="E4220" s="82">
        <v>6285702241111</v>
      </c>
      <c r="F4220" s="92">
        <v>45890</v>
      </c>
      <c r="G4220" s="87">
        <v>329</v>
      </c>
      <c r="H4220" s="88">
        <v>33143.661971830988</v>
      </c>
      <c r="I4220" s="89">
        <v>9</v>
      </c>
      <c r="J4220" s="90">
        <v>11766</v>
      </c>
      <c r="K4220" s="85">
        <v>1</v>
      </c>
      <c r="L4220" s="85">
        <v>112</v>
      </c>
      <c r="M4220" s="85">
        <v>0</v>
      </c>
      <c r="N4220" s="82" t="s">
        <v>12012</v>
      </c>
      <c r="O4220" s="93">
        <v>45891.567962962959</v>
      </c>
    </row>
    <row r="4221" spans="1:15" ht="22.5" customHeight="1">
      <c r="A4221" s="85">
        <v>174904221976312</v>
      </c>
      <c r="B4221" s="82" t="s">
        <v>10651</v>
      </c>
      <c r="C4221" s="82" t="s">
        <v>11994</v>
      </c>
      <c r="D4221" s="82" t="s">
        <v>4233</v>
      </c>
      <c r="E4221" s="82">
        <v>6289514176661</v>
      </c>
      <c r="F4221" s="92">
        <v>45890</v>
      </c>
      <c r="G4221" s="87">
        <v>953</v>
      </c>
      <c r="H4221" s="88">
        <v>13253.938832252086</v>
      </c>
      <c r="I4221" s="89">
        <v>30</v>
      </c>
      <c r="J4221" s="90">
        <v>14301</v>
      </c>
      <c r="K4221" s="85">
        <v>7</v>
      </c>
      <c r="L4221" s="85">
        <v>343</v>
      </c>
      <c r="M4221" s="85">
        <v>0</v>
      </c>
      <c r="N4221" s="82" t="s">
        <v>11995</v>
      </c>
      <c r="O4221" s="93">
        <v>45891.505601851852</v>
      </c>
    </row>
    <row r="4222" spans="1:15" ht="22.5" customHeight="1">
      <c r="A4222" s="85">
        <v>174904221976312</v>
      </c>
      <c r="B4222" s="82" t="s">
        <v>10651</v>
      </c>
      <c r="C4222" s="82" t="s">
        <v>11996</v>
      </c>
      <c r="D4222" s="82" t="s">
        <v>4224</v>
      </c>
      <c r="E4222" s="82">
        <v>6285967129366</v>
      </c>
      <c r="F4222" s="92">
        <v>45890</v>
      </c>
      <c r="G4222" s="87">
        <v>242</v>
      </c>
      <c r="H4222" s="88">
        <v>57115.830115830111</v>
      </c>
      <c r="I4222" s="89">
        <v>8</v>
      </c>
      <c r="J4222" s="90">
        <v>14793</v>
      </c>
      <c r="K4222" s="85">
        <v>2</v>
      </c>
      <c r="L4222" s="85">
        <v>102</v>
      </c>
      <c r="M4222" s="85">
        <v>0</v>
      </c>
      <c r="N4222" s="82" t="s">
        <v>11997</v>
      </c>
      <c r="O4222" s="93">
        <v>45891.464467592596</v>
      </c>
    </row>
    <row r="4223" spans="1:15" ht="22.5" customHeight="1">
      <c r="A4223" s="85">
        <v>174904221976312</v>
      </c>
      <c r="B4223" s="82" t="s">
        <v>10651</v>
      </c>
      <c r="C4223" s="82" t="s">
        <v>11998</v>
      </c>
      <c r="D4223" s="82" t="s">
        <v>11999</v>
      </c>
      <c r="E4223" s="82">
        <v>628815361682</v>
      </c>
      <c r="F4223" s="92">
        <v>45890</v>
      </c>
      <c r="G4223" s="87">
        <v>1676</v>
      </c>
      <c r="H4223" s="88">
        <v>7051.3435700575819</v>
      </c>
      <c r="I4223" s="89">
        <v>90</v>
      </c>
      <c r="J4223" s="90">
        <v>14695</v>
      </c>
      <c r="K4223" s="85">
        <v>7</v>
      </c>
      <c r="L4223" s="85">
        <v>157</v>
      </c>
      <c r="M4223" s="85">
        <v>0</v>
      </c>
      <c r="N4223" s="82" t="s">
        <v>12000</v>
      </c>
      <c r="O4223" s="93">
        <v>45891.672858796293</v>
      </c>
    </row>
    <row r="4224" spans="1:15" ht="22.5" customHeight="1">
      <c r="A4224" s="85">
        <v>174904221976312</v>
      </c>
      <c r="B4224" s="82" t="s">
        <v>10651</v>
      </c>
      <c r="C4224" s="82" t="s">
        <v>12001</v>
      </c>
      <c r="D4224" s="82" t="s">
        <v>4190</v>
      </c>
      <c r="E4224" s="82">
        <v>628195131666</v>
      </c>
      <c r="F4224" s="92">
        <v>45890</v>
      </c>
      <c r="G4224" s="87">
        <v>1026</v>
      </c>
      <c r="H4224" s="88">
        <v>10083.053691275169</v>
      </c>
      <c r="I4224" s="89">
        <v>14</v>
      </c>
      <c r="J4224" s="90">
        <v>12019</v>
      </c>
      <c r="K4224" s="85">
        <v>1</v>
      </c>
      <c r="L4224" s="85">
        <v>340</v>
      </c>
      <c r="M4224" s="85">
        <v>0</v>
      </c>
      <c r="N4224" s="82" t="s">
        <v>12002</v>
      </c>
      <c r="O4224" s="93">
        <v>45891.505370370367</v>
      </c>
    </row>
    <row r="4225" spans="1:15" ht="22.5" customHeight="1">
      <c r="A4225" s="85">
        <v>174904221976312</v>
      </c>
      <c r="B4225" s="82" t="s">
        <v>10651</v>
      </c>
      <c r="C4225" s="82" t="s">
        <v>11981</v>
      </c>
      <c r="D4225" s="82" t="s">
        <v>11982</v>
      </c>
      <c r="E4225" s="82">
        <v>6282112073155</v>
      </c>
      <c r="F4225" s="92">
        <v>45890</v>
      </c>
      <c r="G4225" s="87">
        <v>1314</v>
      </c>
      <c r="H4225" s="88">
        <v>8793.6998147004324</v>
      </c>
      <c r="I4225" s="89">
        <v>75</v>
      </c>
      <c r="J4225" s="90">
        <v>14237</v>
      </c>
      <c r="K4225" s="85">
        <v>8</v>
      </c>
      <c r="L4225" s="85">
        <v>2</v>
      </c>
      <c r="M4225" s="85">
        <v>0</v>
      </c>
      <c r="N4225" s="82" t="s">
        <v>11983</v>
      </c>
      <c r="O4225" s="93">
        <v>45891.526597222219</v>
      </c>
    </row>
    <row r="4226" spans="1:15" ht="22.5" customHeight="1">
      <c r="A4226" s="85">
        <v>174904221976312</v>
      </c>
      <c r="B4226" s="82" t="s">
        <v>10651</v>
      </c>
      <c r="C4226" s="82" t="s">
        <v>11984</v>
      </c>
      <c r="D4226" s="82" t="s">
        <v>4177</v>
      </c>
      <c r="E4226" s="82">
        <v>6281313889118</v>
      </c>
      <c r="F4226" s="92">
        <v>45890</v>
      </c>
      <c r="G4226" s="87">
        <v>178</v>
      </c>
      <c r="H4226" s="88">
        <v>71705</v>
      </c>
      <c r="I4226" s="89">
        <v>4</v>
      </c>
      <c r="J4226" s="90">
        <v>14341</v>
      </c>
      <c r="K4226" s="85">
        <v>1</v>
      </c>
      <c r="L4226" s="85">
        <v>62</v>
      </c>
      <c r="M4226" s="85">
        <v>0</v>
      </c>
      <c r="N4226" s="82" t="s">
        <v>11985</v>
      </c>
      <c r="O4226" s="93">
        <v>45891.485034722224</v>
      </c>
    </row>
    <row r="4227" spans="1:15" ht="22.5" customHeight="1">
      <c r="A4227" s="85">
        <v>174904221976312</v>
      </c>
      <c r="B4227" s="82" t="s">
        <v>10651</v>
      </c>
      <c r="C4227" s="82" t="s">
        <v>11986</v>
      </c>
      <c r="D4227" s="82" t="s">
        <v>11987</v>
      </c>
      <c r="E4227" s="82">
        <v>6285811111804</v>
      </c>
      <c r="F4227" s="92">
        <v>45890</v>
      </c>
      <c r="G4227" s="87">
        <v>219</v>
      </c>
      <c r="H4227" s="88">
        <v>49059.233449477353</v>
      </c>
      <c r="I4227" s="89">
        <v>8</v>
      </c>
      <c r="J4227" s="90">
        <v>14080</v>
      </c>
      <c r="K4227" s="85">
        <v>0</v>
      </c>
      <c r="L4227" s="85">
        <v>29</v>
      </c>
      <c r="M4227" s="85">
        <v>0</v>
      </c>
      <c r="N4227" s="82" t="s">
        <v>11988</v>
      </c>
      <c r="O4227" s="93">
        <v>45891.526585648149</v>
      </c>
    </row>
    <row r="4228" spans="1:15" ht="22.5" customHeight="1">
      <c r="A4228" s="85">
        <v>174904221976312</v>
      </c>
      <c r="B4228" s="82" t="s">
        <v>10651</v>
      </c>
      <c r="C4228" s="82" t="s">
        <v>11989</v>
      </c>
      <c r="D4228" s="82" t="s">
        <v>4150</v>
      </c>
      <c r="E4228" s="82">
        <v>6285189492568</v>
      </c>
      <c r="F4228" s="92">
        <v>45890</v>
      </c>
      <c r="G4228" s="87">
        <v>1587</v>
      </c>
      <c r="H4228" s="88">
        <v>7495.8723170060539</v>
      </c>
      <c r="I4228" s="89">
        <v>16</v>
      </c>
      <c r="J4228" s="90">
        <v>13620</v>
      </c>
      <c r="K4228" s="85">
        <v>3</v>
      </c>
      <c r="L4228" s="85">
        <v>0</v>
      </c>
      <c r="M4228" s="85">
        <v>0</v>
      </c>
      <c r="N4228" s="82" t="s">
        <v>11990</v>
      </c>
      <c r="O4228" s="93">
        <v>45891.505370370367</v>
      </c>
    </row>
    <row r="4229" spans="1:15" ht="22.5" customHeight="1">
      <c r="A4229" s="85">
        <v>174904221976312</v>
      </c>
      <c r="B4229" s="82" t="s">
        <v>10651</v>
      </c>
      <c r="C4229" s="82" t="s">
        <v>11991</v>
      </c>
      <c r="D4229" s="82" t="s">
        <v>11992</v>
      </c>
      <c r="E4229" s="82">
        <v>6285240194507</v>
      </c>
      <c r="F4229" s="92">
        <v>45890</v>
      </c>
      <c r="G4229" s="87">
        <v>1675</v>
      </c>
      <c r="H4229" s="88">
        <v>6873.517786561265</v>
      </c>
      <c r="I4229" s="89">
        <v>38</v>
      </c>
      <c r="J4229" s="90">
        <v>13912</v>
      </c>
      <c r="K4229" s="85">
        <v>4</v>
      </c>
      <c r="L4229" s="85">
        <v>419</v>
      </c>
      <c r="M4229" s="85">
        <v>0</v>
      </c>
      <c r="N4229" s="82" t="s">
        <v>11993</v>
      </c>
      <c r="O4229" s="93">
        <v>45891.567962962959</v>
      </c>
    </row>
    <row r="4230" spans="1:15" ht="22.5" customHeight="1">
      <c r="A4230" s="85">
        <v>174904221976312</v>
      </c>
      <c r="B4230" s="82" t="s">
        <v>10651</v>
      </c>
      <c r="C4230" s="82" t="s">
        <v>11966</v>
      </c>
      <c r="D4230" s="82" t="s">
        <v>11967</v>
      </c>
      <c r="E4230" s="82">
        <v>6285780314346</v>
      </c>
      <c r="F4230" s="92">
        <v>45890</v>
      </c>
      <c r="G4230" s="87">
        <v>446</v>
      </c>
      <c r="H4230" s="88">
        <v>23357.833655705996</v>
      </c>
      <c r="I4230" s="89">
        <v>16</v>
      </c>
      <c r="J4230" s="90">
        <v>12076</v>
      </c>
      <c r="K4230" s="85">
        <v>1</v>
      </c>
      <c r="L4230" s="85">
        <v>157</v>
      </c>
      <c r="M4230" s="85">
        <v>0</v>
      </c>
      <c r="N4230" s="82" t="s">
        <v>11968</v>
      </c>
      <c r="O4230" s="93">
        <v>45891.217187499999</v>
      </c>
    </row>
    <row r="4231" spans="1:15" ht="22.5" customHeight="1">
      <c r="A4231" s="85">
        <v>174904221976312</v>
      </c>
      <c r="B4231" s="82" t="s">
        <v>10651</v>
      </c>
      <c r="C4231" s="82" t="s">
        <v>11969</v>
      </c>
      <c r="D4231" s="82" t="s">
        <v>11970</v>
      </c>
      <c r="E4231" s="82">
        <v>628561302381</v>
      </c>
      <c r="F4231" s="92">
        <v>45890</v>
      </c>
      <c r="G4231" s="87">
        <v>19</v>
      </c>
      <c r="H4231" s="88">
        <v>91368.421052631573</v>
      </c>
      <c r="I4231" s="89">
        <v>0</v>
      </c>
      <c r="J4231" s="90">
        <v>1736</v>
      </c>
      <c r="K4231" s="85">
        <v>0</v>
      </c>
      <c r="L4231" s="85">
        <v>0</v>
      </c>
      <c r="M4231" s="85">
        <v>0</v>
      </c>
      <c r="N4231" s="82" t="s">
        <v>11971</v>
      </c>
      <c r="O4231" s="93">
        <v>45891.217175925929</v>
      </c>
    </row>
    <row r="4232" spans="1:15" ht="22.5" customHeight="1">
      <c r="A4232" s="85">
        <v>174904221976312</v>
      </c>
      <c r="B4232" s="82" t="s">
        <v>10651</v>
      </c>
      <c r="C4232" s="82" t="s">
        <v>11916</v>
      </c>
      <c r="D4232" s="82" t="s">
        <v>11917</v>
      </c>
      <c r="E4232" s="82">
        <v>6281339823715</v>
      </c>
      <c r="F4232" s="92">
        <v>45890</v>
      </c>
      <c r="G4232" s="87">
        <v>1013</v>
      </c>
      <c r="H4232" s="88">
        <v>13054.028436018956</v>
      </c>
      <c r="I4232" s="89">
        <v>38</v>
      </c>
      <c r="J4232" s="90">
        <v>13772</v>
      </c>
      <c r="K4232" s="85">
        <v>0</v>
      </c>
      <c r="L4232" s="85">
        <v>440</v>
      </c>
      <c r="M4232" s="85">
        <v>0</v>
      </c>
      <c r="N4232" s="82" t="s">
        <v>11918</v>
      </c>
      <c r="O4232" s="93">
        <v>45891.547222222223</v>
      </c>
    </row>
    <row r="4233" spans="1:15" ht="22.5" customHeight="1">
      <c r="A4233" s="85">
        <v>174904221976312</v>
      </c>
      <c r="B4233" s="82" t="s">
        <v>10651</v>
      </c>
      <c r="C4233" s="82" t="s">
        <v>11925</v>
      </c>
      <c r="D4233" s="82" t="s">
        <v>4008</v>
      </c>
      <c r="E4233" s="82">
        <v>6281558225822</v>
      </c>
      <c r="F4233" s="92">
        <v>45890</v>
      </c>
      <c r="G4233" s="87">
        <v>114</v>
      </c>
      <c r="H4233" s="88">
        <v>123708.33333333333</v>
      </c>
      <c r="I4233" s="89">
        <v>3</v>
      </c>
      <c r="J4233" s="90">
        <v>14845</v>
      </c>
      <c r="K4233" s="85">
        <v>1</v>
      </c>
      <c r="L4233" s="85">
        <v>0</v>
      </c>
      <c r="M4233" s="85">
        <v>0</v>
      </c>
      <c r="N4233" s="82" t="s">
        <v>11926</v>
      </c>
      <c r="O4233" s="93">
        <v>45891.217175925929</v>
      </c>
    </row>
    <row r="4234" spans="1:15" ht="22.5" customHeight="1">
      <c r="A4234" s="85">
        <v>174904221976312</v>
      </c>
      <c r="B4234" s="82" t="s">
        <v>10651</v>
      </c>
      <c r="C4234" s="82" t="s">
        <v>11905</v>
      </c>
      <c r="D4234" s="82" t="s">
        <v>11906</v>
      </c>
      <c r="E4234" s="82">
        <v>6285294617773</v>
      </c>
      <c r="F4234" s="92">
        <v>45890</v>
      </c>
      <c r="G4234" s="87">
        <v>456</v>
      </c>
      <c r="H4234" s="88">
        <v>28186.770428015563</v>
      </c>
      <c r="I4234" s="89">
        <v>14</v>
      </c>
      <c r="J4234" s="90">
        <v>14488</v>
      </c>
      <c r="K4234" s="85">
        <v>0</v>
      </c>
      <c r="L4234" s="85">
        <v>140</v>
      </c>
      <c r="M4234" s="85">
        <v>0</v>
      </c>
      <c r="N4234" s="82" t="s">
        <v>11907</v>
      </c>
      <c r="O4234" s="93">
        <v>45891.297233796293</v>
      </c>
    </row>
    <row r="4235" spans="1:15" ht="22.5" customHeight="1">
      <c r="A4235" s="85">
        <v>174904221976312</v>
      </c>
      <c r="B4235" s="82" t="s">
        <v>10651</v>
      </c>
      <c r="C4235" s="82" t="s">
        <v>11885</v>
      </c>
      <c r="D4235" s="82" t="s">
        <v>11886</v>
      </c>
      <c r="E4235" s="82">
        <v>628179780980</v>
      </c>
      <c r="F4235" s="92">
        <v>45890</v>
      </c>
      <c r="G4235" s="87">
        <v>171</v>
      </c>
      <c r="H4235" s="88">
        <v>79989.30481283422</v>
      </c>
      <c r="I4235" s="89">
        <v>7</v>
      </c>
      <c r="J4235" s="90">
        <v>14958</v>
      </c>
      <c r="K4235" s="85">
        <v>1</v>
      </c>
      <c r="L4235" s="85">
        <v>63</v>
      </c>
      <c r="M4235" s="85">
        <v>0</v>
      </c>
      <c r="N4235" s="82" t="s">
        <v>11887</v>
      </c>
      <c r="O4235" s="93">
        <v>45891.422280092593</v>
      </c>
    </row>
    <row r="4236" spans="1:15" ht="22.5" customHeight="1">
      <c r="A4236" s="85">
        <v>174904221976312</v>
      </c>
      <c r="B4236" s="82" t="s">
        <v>10651</v>
      </c>
      <c r="C4236" s="82" t="s">
        <v>11888</v>
      </c>
      <c r="D4236" s="82" t="s">
        <v>11889</v>
      </c>
      <c r="E4236" s="82">
        <v>628127962347</v>
      </c>
      <c r="F4236" s="92">
        <v>45890</v>
      </c>
      <c r="G4236" s="87">
        <v>761</v>
      </c>
      <c r="H4236" s="88">
        <v>17227.106227106226</v>
      </c>
      <c r="I4236" s="89">
        <v>14</v>
      </c>
      <c r="J4236" s="90">
        <v>14109</v>
      </c>
      <c r="K4236" s="85">
        <v>4</v>
      </c>
      <c r="L4236" s="85">
        <v>184</v>
      </c>
      <c r="M4236" s="85">
        <v>0</v>
      </c>
      <c r="N4236" s="82" t="s">
        <v>11890</v>
      </c>
      <c r="O4236" s="93">
        <v>45891.484814814816</v>
      </c>
    </row>
    <row r="4237" spans="1:15" ht="22.5" customHeight="1">
      <c r="A4237" s="85">
        <v>174904221976312</v>
      </c>
      <c r="B4237" s="82" t="s">
        <v>10651</v>
      </c>
      <c r="C4237" s="82" t="s">
        <v>11896</v>
      </c>
      <c r="D4237" s="82" t="s">
        <v>11897</v>
      </c>
      <c r="E4237" s="82">
        <v>6282153090123</v>
      </c>
      <c r="F4237" s="92">
        <v>45890</v>
      </c>
      <c r="G4237" s="87">
        <v>413</v>
      </c>
      <c r="H4237" s="88">
        <v>30694.915254237287</v>
      </c>
      <c r="I4237" s="89">
        <v>21</v>
      </c>
      <c r="J4237" s="90">
        <v>14488</v>
      </c>
      <c r="K4237" s="85">
        <v>2</v>
      </c>
      <c r="L4237" s="85">
        <v>187</v>
      </c>
      <c r="M4237" s="85">
        <v>0</v>
      </c>
      <c r="N4237" s="82" t="s">
        <v>11898</v>
      </c>
      <c r="O4237" s="93">
        <v>45891.485034722224</v>
      </c>
    </row>
    <row r="4238" spans="1:15" ht="22.5" customHeight="1">
      <c r="A4238" s="85">
        <v>174904221976312</v>
      </c>
      <c r="B4238" s="82" t="s">
        <v>10651</v>
      </c>
      <c r="C4238" s="82" t="s">
        <v>11865</v>
      </c>
      <c r="D4238" s="82" t="s">
        <v>11403</v>
      </c>
      <c r="E4238" s="82">
        <v>6283870060603</v>
      </c>
      <c r="F4238" s="92">
        <v>45890</v>
      </c>
      <c r="G4238" s="87">
        <v>718</v>
      </c>
      <c r="H4238" s="88">
        <v>19231.404958677685</v>
      </c>
      <c r="I4238" s="89">
        <v>23</v>
      </c>
      <c r="J4238" s="90">
        <v>13962</v>
      </c>
      <c r="K4238" s="85">
        <v>0</v>
      </c>
      <c r="L4238" s="85">
        <v>276</v>
      </c>
      <c r="M4238" s="85">
        <v>0</v>
      </c>
      <c r="N4238" s="82" t="s">
        <v>11866</v>
      </c>
      <c r="O4238" s="93">
        <v>45891.505381944444</v>
      </c>
    </row>
    <row r="4239" spans="1:15" ht="22.5" customHeight="1">
      <c r="A4239" s="85">
        <v>174904221976312</v>
      </c>
      <c r="B4239" s="82" t="s">
        <v>10651</v>
      </c>
      <c r="C4239" s="82" t="s">
        <v>11867</v>
      </c>
      <c r="D4239" s="82" t="s">
        <v>11868</v>
      </c>
      <c r="E4239" s="82">
        <v>6282112042148</v>
      </c>
      <c r="F4239" s="92">
        <v>45890</v>
      </c>
      <c r="G4239" s="87">
        <v>884</v>
      </c>
      <c r="H4239" s="88">
        <v>14821.052631578947</v>
      </c>
      <c r="I4239" s="89">
        <v>24</v>
      </c>
      <c r="J4239" s="90">
        <v>14080</v>
      </c>
      <c r="K4239" s="85">
        <v>1</v>
      </c>
      <c r="L4239" s="85">
        <v>334</v>
      </c>
      <c r="M4239" s="85">
        <v>0</v>
      </c>
      <c r="N4239" s="82" t="s">
        <v>11869</v>
      </c>
      <c r="O4239" s="93">
        <v>45891.217175925929</v>
      </c>
    </row>
    <row r="4240" spans="1:15" ht="22.5" customHeight="1">
      <c r="A4240" s="85">
        <v>174904221976312</v>
      </c>
      <c r="B4240" s="82" t="s">
        <v>10651</v>
      </c>
      <c r="C4240" s="82" t="s">
        <v>11876</v>
      </c>
      <c r="D4240" s="82" t="s">
        <v>11877</v>
      </c>
      <c r="E4240" s="82">
        <v>6285748377961</v>
      </c>
      <c r="F4240" s="92">
        <v>45890</v>
      </c>
      <c r="G4240" s="87">
        <v>1438</v>
      </c>
      <c r="H4240" s="88">
        <v>8982.8680203045678</v>
      </c>
      <c r="I4240" s="89">
        <v>28</v>
      </c>
      <c r="J4240" s="90">
        <v>14157</v>
      </c>
      <c r="K4240" s="85">
        <v>5</v>
      </c>
      <c r="L4240" s="85">
        <v>71</v>
      </c>
      <c r="M4240" s="85">
        <v>0</v>
      </c>
      <c r="N4240" s="82" t="s">
        <v>11878</v>
      </c>
      <c r="O4240" s="93">
        <v>45891.217175925929</v>
      </c>
    </row>
    <row r="4241" spans="1:15" ht="22.5" customHeight="1">
      <c r="A4241" s="85">
        <v>174904221976312</v>
      </c>
      <c r="B4241" s="82" t="s">
        <v>10651</v>
      </c>
      <c r="C4241" s="82" t="s">
        <v>11879</v>
      </c>
      <c r="D4241" s="82" t="s">
        <v>11877</v>
      </c>
      <c r="E4241" s="82">
        <v>6285748377961</v>
      </c>
      <c r="F4241" s="92">
        <v>45890</v>
      </c>
      <c r="G4241" s="87">
        <v>461</v>
      </c>
      <c r="H4241" s="88">
        <v>27921.606118546842</v>
      </c>
      <c r="I4241" s="89">
        <v>15</v>
      </c>
      <c r="J4241" s="90">
        <v>14603</v>
      </c>
      <c r="K4241" s="85">
        <v>2</v>
      </c>
      <c r="L4241" s="85">
        <v>133</v>
      </c>
      <c r="M4241" s="85">
        <v>0</v>
      </c>
      <c r="N4241" s="82" t="s">
        <v>11878</v>
      </c>
      <c r="O4241" s="93">
        <v>45891.381006944444</v>
      </c>
    </row>
    <row r="4242" spans="1:15" ht="22.5" customHeight="1">
      <c r="A4242" s="85">
        <v>174904221976312</v>
      </c>
      <c r="B4242" s="82" t="s">
        <v>10651</v>
      </c>
      <c r="C4242" s="82" t="s">
        <v>11880</v>
      </c>
      <c r="D4242" s="82" t="s">
        <v>3805</v>
      </c>
      <c r="E4242" s="82">
        <v>6281288245836</v>
      </c>
      <c r="F4242" s="92">
        <v>45890</v>
      </c>
      <c r="G4242" s="87">
        <v>173</v>
      </c>
      <c r="H4242" s="88">
        <v>71931.578947368427</v>
      </c>
      <c r="I4242" s="89">
        <v>7</v>
      </c>
      <c r="J4242" s="90">
        <v>13667</v>
      </c>
      <c r="K4242" s="85">
        <v>3</v>
      </c>
      <c r="L4242" s="85">
        <v>0</v>
      </c>
      <c r="M4242" s="85">
        <v>0</v>
      </c>
      <c r="N4242" s="82" t="s">
        <v>11881</v>
      </c>
      <c r="O4242" s="93">
        <v>45891.484814814816</v>
      </c>
    </row>
    <row r="4243" spans="1:15" ht="22.5" customHeight="1">
      <c r="A4243" s="85">
        <v>174904221976312</v>
      </c>
      <c r="B4243" s="82" t="s">
        <v>10651</v>
      </c>
      <c r="C4243" s="82" t="s">
        <v>11838</v>
      </c>
      <c r="D4243" s="82" t="s">
        <v>11839</v>
      </c>
      <c r="E4243" s="82">
        <v>6287797504113</v>
      </c>
      <c r="F4243" s="92">
        <v>45890</v>
      </c>
      <c r="G4243" s="87">
        <v>248</v>
      </c>
      <c r="H4243" s="88">
        <v>53918.727915194344</v>
      </c>
      <c r="I4243" s="89">
        <v>15</v>
      </c>
      <c r="J4243" s="90">
        <v>15259</v>
      </c>
      <c r="K4243" s="85">
        <v>0</v>
      </c>
      <c r="L4243" s="85">
        <v>0</v>
      </c>
      <c r="M4243" s="85">
        <v>1</v>
      </c>
      <c r="N4243" s="82" t="s">
        <v>11840</v>
      </c>
      <c r="O4243" s="93">
        <v>45891.484814814816</v>
      </c>
    </row>
    <row r="4244" spans="1:15" ht="22.5" customHeight="1">
      <c r="A4244" s="85">
        <v>174904221976312</v>
      </c>
      <c r="B4244" s="82" t="s">
        <v>10651</v>
      </c>
      <c r="C4244" s="82" t="s">
        <v>11816</v>
      </c>
      <c r="D4244" s="82" t="s">
        <v>3682</v>
      </c>
      <c r="E4244" s="82">
        <v>6285602235226</v>
      </c>
      <c r="F4244" s="92">
        <v>45890</v>
      </c>
      <c r="G4244" s="87">
        <v>463</v>
      </c>
      <c r="H4244" s="88">
        <v>26221.797323135757</v>
      </c>
      <c r="I4244" s="89">
        <v>17</v>
      </c>
      <c r="J4244" s="90">
        <v>13714</v>
      </c>
      <c r="K4244" s="85">
        <v>2</v>
      </c>
      <c r="L4244" s="85">
        <v>1</v>
      </c>
      <c r="M4244" s="85">
        <v>0</v>
      </c>
      <c r="N4244" s="82" t="s">
        <v>11817</v>
      </c>
      <c r="O4244" s="93">
        <v>45891.484814814816</v>
      </c>
    </row>
    <row r="4245" spans="1:15" ht="22.5" customHeight="1">
      <c r="A4245" s="85">
        <v>174904221976312</v>
      </c>
      <c r="B4245" s="82" t="s">
        <v>10651</v>
      </c>
      <c r="C4245" s="82" t="s">
        <v>11799</v>
      </c>
      <c r="D4245" s="82" t="s">
        <v>11800</v>
      </c>
      <c r="E4245" s="82">
        <v>6285333751528</v>
      </c>
      <c r="F4245" s="92">
        <v>45890</v>
      </c>
      <c r="G4245" s="87">
        <v>918</v>
      </c>
      <c r="H4245" s="88">
        <v>13598.626104023551</v>
      </c>
      <c r="I4245" s="89">
        <v>24</v>
      </c>
      <c r="J4245" s="90">
        <v>13857</v>
      </c>
      <c r="K4245" s="85">
        <v>2</v>
      </c>
      <c r="L4245" s="85">
        <v>0</v>
      </c>
      <c r="M4245" s="85">
        <v>0</v>
      </c>
      <c r="N4245" s="82" t="s">
        <v>11801</v>
      </c>
      <c r="O4245" s="93">
        <v>45891.464467592596</v>
      </c>
    </row>
    <row r="4246" spans="1:15" ht="22.5" customHeight="1">
      <c r="A4246" s="85">
        <v>174904221976312</v>
      </c>
      <c r="B4246" s="82" t="s">
        <v>10651</v>
      </c>
      <c r="C4246" s="82" t="s">
        <v>11766</v>
      </c>
      <c r="D4246" s="82" t="s">
        <v>11767</v>
      </c>
      <c r="E4246" s="82">
        <v>6281225101319</v>
      </c>
      <c r="F4246" s="92">
        <v>45890</v>
      </c>
      <c r="G4246" s="87">
        <v>327</v>
      </c>
      <c r="H4246" s="88">
        <v>37187.165775401067</v>
      </c>
      <c r="I4246" s="89">
        <v>11</v>
      </c>
      <c r="J4246" s="90">
        <v>13908</v>
      </c>
      <c r="K4246" s="85">
        <v>0</v>
      </c>
      <c r="L4246" s="85">
        <v>0</v>
      </c>
      <c r="M4246" s="85">
        <v>0</v>
      </c>
      <c r="N4246" s="82" t="s">
        <v>11768</v>
      </c>
      <c r="O4246" s="93">
        <v>45891.484826388885</v>
      </c>
    </row>
    <row r="4247" spans="1:15" ht="22.5" customHeight="1">
      <c r="A4247" s="85">
        <v>174904221976312</v>
      </c>
      <c r="B4247" s="82" t="s">
        <v>10651</v>
      </c>
      <c r="C4247" s="82" t="s">
        <v>11780</v>
      </c>
      <c r="D4247" s="82" t="s">
        <v>11781</v>
      </c>
      <c r="E4247" s="82">
        <v>6282129364133</v>
      </c>
      <c r="F4247" s="92">
        <v>45890</v>
      </c>
      <c r="G4247" s="87">
        <v>833</v>
      </c>
      <c r="H4247" s="88">
        <v>14823.076923076924</v>
      </c>
      <c r="I4247" s="89">
        <v>10</v>
      </c>
      <c r="J4247" s="90">
        <v>13489</v>
      </c>
      <c r="K4247" s="85">
        <v>0</v>
      </c>
      <c r="L4247" s="85">
        <v>0</v>
      </c>
      <c r="M4247" s="85">
        <v>0</v>
      </c>
      <c r="N4247" s="82" t="s">
        <v>11782</v>
      </c>
      <c r="O4247" s="93">
        <v>45891.505370370367</v>
      </c>
    </row>
    <row r="4248" spans="1:15" ht="22.5" customHeight="1">
      <c r="A4248" s="85">
        <v>174904221976312</v>
      </c>
      <c r="B4248" s="82" t="s">
        <v>10651</v>
      </c>
      <c r="C4248" s="82" t="s">
        <v>11785</v>
      </c>
      <c r="D4248" s="82" t="s">
        <v>11786</v>
      </c>
      <c r="E4248" s="82">
        <v>628557182563</v>
      </c>
      <c r="F4248" s="92">
        <v>45890</v>
      </c>
      <c r="G4248" s="87">
        <v>196</v>
      </c>
      <c r="H4248" s="88">
        <v>47604.34782608696</v>
      </c>
      <c r="I4248" s="89">
        <v>6</v>
      </c>
      <c r="J4248" s="90">
        <v>10949</v>
      </c>
      <c r="K4248" s="85">
        <v>1</v>
      </c>
      <c r="L4248" s="85">
        <v>0</v>
      </c>
      <c r="M4248" s="85">
        <v>0</v>
      </c>
      <c r="N4248" s="82" t="s">
        <v>11787</v>
      </c>
      <c r="O4248" s="93">
        <v>45891.484803240739</v>
      </c>
    </row>
    <row r="4249" spans="1:15" ht="22.5" customHeight="1">
      <c r="A4249" s="85">
        <v>174904221976312</v>
      </c>
      <c r="B4249" s="82" t="s">
        <v>10651</v>
      </c>
      <c r="C4249" s="82" t="s">
        <v>11755</v>
      </c>
      <c r="D4249" s="82" t="s">
        <v>11756</v>
      </c>
      <c r="E4249" s="82">
        <v>6281357754513</v>
      </c>
      <c r="F4249" s="92">
        <v>45890</v>
      </c>
      <c r="G4249" s="87">
        <v>589</v>
      </c>
      <c r="H4249" s="88">
        <v>22367.799113737074</v>
      </c>
      <c r="I4249" s="89">
        <v>13</v>
      </c>
      <c r="J4249" s="90">
        <v>15143</v>
      </c>
      <c r="K4249" s="85">
        <v>0</v>
      </c>
      <c r="L4249" s="85">
        <v>0</v>
      </c>
      <c r="M4249" s="85">
        <v>0</v>
      </c>
      <c r="N4249" s="82" t="s">
        <v>11757</v>
      </c>
      <c r="O4249" s="93">
        <v>45891.443541666667</v>
      </c>
    </row>
    <row r="4250" spans="1:15" ht="22.5" customHeight="1">
      <c r="A4250" s="85">
        <v>174904221976312</v>
      </c>
      <c r="B4250" s="82" t="s">
        <v>10651</v>
      </c>
      <c r="C4250" s="82" t="s">
        <v>11761</v>
      </c>
      <c r="D4250" s="82" t="s">
        <v>3438</v>
      </c>
      <c r="E4250" s="82">
        <v>628154336558</v>
      </c>
      <c r="F4250" s="92">
        <v>45890</v>
      </c>
      <c r="G4250" s="87">
        <v>2089</v>
      </c>
      <c r="H4250" s="88">
        <v>6310.2828917826673</v>
      </c>
      <c r="I4250" s="89">
        <v>85</v>
      </c>
      <c r="J4250" s="90">
        <v>14053</v>
      </c>
      <c r="K4250" s="85">
        <v>2</v>
      </c>
      <c r="L4250" s="85">
        <v>843</v>
      </c>
      <c r="M4250" s="85">
        <v>2</v>
      </c>
      <c r="N4250" s="82" t="s">
        <v>11762</v>
      </c>
      <c r="O4250" s="93">
        <v>45891.505370370367</v>
      </c>
    </row>
    <row r="4251" spans="1:15" ht="22.5" customHeight="1">
      <c r="A4251" s="85">
        <v>174904221976312</v>
      </c>
      <c r="B4251" s="82" t="s">
        <v>10651</v>
      </c>
      <c r="C4251" s="82" t="s">
        <v>11763</v>
      </c>
      <c r="D4251" s="82" t="s">
        <v>11764</v>
      </c>
      <c r="E4251" s="82">
        <v>6282384544939</v>
      </c>
      <c r="F4251" s="92">
        <v>45890</v>
      </c>
      <c r="G4251" s="87">
        <v>444</v>
      </c>
      <c r="H4251" s="88">
        <v>23532.17391304348</v>
      </c>
      <c r="I4251" s="89">
        <v>4</v>
      </c>
      <c r="J4251" s="90">
        <v>13531</v>
      </c>
      <c r="K4251" s="85">
        <v>0</v>
      </c>
      <c r="L4251" s="85">
        <v>0</v>
      </c>
      <c r="M4251" s="85">
        <v>0</v>
      </c>
      <c r="N4251" s="82" t="s">
        <v>11765</v>
      </c>
      <c r="O4251" s="93">
        <v>45891.526597222219</v>
      </c>
    </row>
    <row r="4252" spans="1:15" ht="22.5" customHeight="1">
      <c r="A4252" s="85">
        <v>174904221976312</v>
      </c>
      <c r="B4252" s="82" t="s">
        <v>10651</v>
      </c>
      <c r="C4252" s="82" t="s">
        <v>11701</v>
      </c>
      <c r="D4252" s="82" t="s">
        <v>11702</v>
      </c>
      <c r="E4252" s="82">
        <v>6288802749485</v>
      </c>
      <c r="F4252" s="92">
        <v>45890</v>
      </c>
      <c r="G4252" s="87">
        <v>904</v>
      </c>
      <c r="H4252" s="88">
        <v>14214.638971315528</v>
      </c>
      <c r="I4252" s="89">
        <v>77</v>
      </c>
      <c r="J4252" s="90">
        <v>14371</v>
      </c>
      <c r="K4252" s="85">
        <v>7</v>
      </c>
      <c r="L4252" s="85">
        <v>0</v>
      </c>
      <c r="M4252" s="85">
        <v>1</v>
      </c>
      <c r="N4252" s="82" t="s">
        <v>11703</v>
      </c>
      <c r="O4252" s="93">
        <v>45891.526585648149</v>
      </c>
    </row>
    <row r="4253" spans="1:15" ht="22.5" customHeight="1">
      <c r="A4253" s="85">
        <v>174904221976312</v>
      </c>
      <c r="B4253" s="82" t="s">
        <v>10651</v>
      </c>
      <c r="C4253" s="82" t="s">
        <v>11708</v>
      </c>
      <c r="D4253" s="82" t="s">
        <v>11709</v>
      </c>
      <c r="E4253" s="82">
        <v>6285294617773</v>
      </c>
      <c r="F4253" s="92">
        <v>45890</v>
      </c>
      <c r="G4253" s="87">
        <v>285</v>
      </c>
      <c r="H4253" s="88">
        <v>42380.813953488374</v>
      </c>
      <c r="I4253" s="89">
        <v>42</v>
      </c>
      <c r="J4253" s="90">
        <v>14579</v>
      </c>
      <c r="K4253" s="85">
        <v>3</v>
      </c>
      <c r="L4253" s="85">
        <v>106</v>
      </c>
      <c r="M4253" s="85">
        <v>0</v>
      </c>
      <c r="N4253" s="82" t="s">
        <v>11710</v>
      </c>
      <c r="O4253" s="93">
        <v>45891.526608796295</v>
      </c>
    </row>
    <row r="4254" spans="1:15" ht="22.5" customHeight="1">
      <c r="A4254" s="85">
        <v>174904221976312</v>
      </c>
      <c r="B4254" s="82" t="s">
        <v>10651</v>
      </c>
      <c r="C4254" s="82" t="s">
        <v>11578</v>
      </c>
      <c r="D4254" s="82" t="s">
        <v>1624</v>
      </c>
      <c r="E4254" s="82">
        <v>6281938384000</v>
      </c>
      <c r="F4254" s="92">
        <v>45890</v>
      </c>
      <c r="G4254" s="87">
        <v>1283</v>
      </c>
      <c r="H4254" s="88">
        <v>9813.0193905817177</v>
      </c>
      <c r="I4254" s="89">
        <v>26</v>
      </c>
      <c r="J4254" s="90">
        <v>14170</v>
      </c>
      <c r="K4254" s="85">
        <v>7</v>
      </c>
      <c r="L4254" s="85">
        <v>583</v>
      </c>
      <c r="M4254" s="85">
        <v>0</v>
      </c>
      <c r="N4254" s="82" t="s">
        <v>11579</v>
      </c>
      <c r="O4254" s="93">
        <v>45891.217175925929</v>
      </c>
    </row>
    <row r="4255" spans="1:15" ht="22.5" customHeight="1">
      <c r="A4255" s="85">
        <v>174904221976312</v>
      </c>
      <c r="B4255" s="82" t="s">
        <v>10651</v>
      </c>
      <c r="C4255" s="82" t="s">
        <v>11580</v>
      </c>
      <c r="D4255" s="82" t="s">
        <v>11581</v>
      </c>
      <c r="E4255" s="82">
        <v>6287790276733</v>
      </c>
      <c r="F4255" s="92">
        <v>45890</v>
      </c>
      <c r="G4255" s="87">
        <v>820</v>
      </c>
      <c r="H4255" s="88">
        <v>15084.188911704312</v>
      </c>
      <c r="I4255" s="89">
        <v>16</v>
      </c>
      <c r="J4255" s="90">
        <v>14692</v>
      </c>
      <c r="K4255" s="85">
        <v>2</v>
      </c>
      <c r="L4255" s="85">
        <v>0</v>
      </c>
      <c r="M4255" s="85">
        <v>0</v>
      </c>
      <c r="N4255" s="82" t="s">
        <v>11582</v>
      </c>
      <c r="O4255" s="93">
        <v>45891.505370370367</v>
      </c>
    </row>
    <row r="4256" spans="1:15" ht="22.5" customHeight="1">
      <c r="A4256" s="85">
        <v>174904221976312</v>
      </c>
      <c r="B4256" s="82" t="s">
        <v>10651</v>
      </c>
      <c r="C4256" s="82" t="s">
        <v>11545</v>
      </c>
      <c r="D4256" s="82" t="s">
        <v>3140</v>
      </c>
      <c r="E4256" s="82"/>
      <c r="F4256" s="92">
        <v>45890</v>
      </c>
      <c r="G4256" s="87">
        <v>6050</v>
      </c>
      <c r="H4256" s="88">
        <v>2093.9478721837727</v>
      </c>
      <c r="I4256" s="89">
        <v>49</v>
      </c>
      <c r="J4256" s="90">
        <v>14220</v>
      </c>
      <c r="K4256" s="85">
        <v>7</v>
      </c>
      <c r="L4256" s="85">
        <v>0</v>
      </c>
      <c r="M4256" s="85">
        <v>0</v>
      </c>
      <c r="N4256" s="82" t="s">
        <v>10779</v>
      </c>
      <c r="O4256" s="93">
        <v>45891.422280092593</v>
      </c>
    </row>
    <row r="4257" spans="1:15" ht="22.5" customHeight="1">
      <c r="A4257" s="85">
        <v>174904221976312</v>
      </c>
      <c r="B4257" s="82" t="s">
        <v>10651</v>
      </c>
      <c r="C4257" s="82" t="s">
        <v>11464</v>
      </c>
      <c r="D4257" s="82" t="s">
        <v>11465</v>
      </c>
      <c r="E4257" s="82">
        <v>62816904358</v>
      </c>
      <c r="F4257" s="92">
        <v>45890</v>
      </c>
      <c r="G4257" s="87">
        <v>391</v>
      </c>
      <c r="H4257" s="88">
        <v>25260.521042084169</v>
      </c>
      <c r="I4257" s="89">
        <v>21</v>
      </c>
      <c r="J4257" s="90">
        <v>12605</v>
      </c>
      <c r="K4257" s="85">
        <v>2</v>
      </c>
      <c r="L4257" s="85">
        <v>0</v>
      </c>
      <c r="M4257" s="85">
        <v>0</v>
      </c>
      <c r="N4257" s="82" t="s">
        <v>11466</v>
      </c>
      <c r="O4257" s="93">
        <v>45891.217175925929</v>
      </c>
    </row>
    <row r="4258" spans="1:15" ht="22.5" customHeight="1">
      <c r="A4258" s="85">
        <v>174904221976312</v>
      </c>
      <c r="B4258" s="82" t="s">
        <v>10651</v>
      </c>
      <c r="C4258" s="82" t="s">
        <v>10943</v>
      </c>
      <c r="D4258" s="82" t="s">
        <v>10944</v>
      </c>
      <c r="E4258" s="82">
        <v>6285240694097</v>
      </c>
      <c r="F4258" s="92">
        <v>45890</v>
      </c>
      <c r="G4258" s="87">
        <v>926</v>
      </c>
      <c r="H4258" s="88">
        <v>12905.084745762713</v>
      </c>
      <c r="I4258" s="89">
        <v>27</v>
      </c>
      <c r="J4258" s="90">
        <v>15228</v>
      </c>
      <c r="K4258" s="85">
        <v>2</v>
      </c>
      <c r="L4258" s="85">
        <v>140</v>
      </c>
      <c r="M4258" s="85">
        <v>0</v>
      </c>
      <c r="N4258" s="82" t="s">
        <v>11910</v>
      </c>
      <c r="O4258" s="93">
        <v>45891.464212962965</v>
      </c>
    </row>
    <row r="4259" spans="1:15" ht="22.5" customHeight="1">
      <c r="A4259" s="85">
        <v>759724529202804</v>
      </c>
      <c r="B4259" s="82" t="s">
        <v>10621</v>
      </c>
      <c r="C4259" s="82" t="s">
        <v>12003</v>
      </c>
      <c r="D4259" s="82" t="s">
        <v>4249</v>
      </c>
      <c r="E4259" s="82">
        <v>6287833789401</v>
      </c>
      <c r="F4259" s="92">
        <v>45891</v>
      </c>
      <c r="G4259" s="87">
        <v>1113</v>
      </c>
      <c r="H4259" s="88">
        <v>12247.303543913713</v>
      </c>
      <c r="I4259" s="89">
        <v>44</v>
      </c>
      <c r="J4259" s="90">
        <v>15897</v>
      </c>
      <c r="K4259" s="85">
        <v>7</v>
      </c>
      <c r="L4259" s="85">
        <v>306</v>
      </c>
      <c r="M4259" s="85">
        <v>0</v>
      </c>
      <c r="N4259" s="82" t="s">
        <v>12004</v>
      </c>
      <c r="O4259" s="93">
        <v>45892.589328703703</v>
      </c>
    </row>
    <row r="4260" spans="1:15" ht="22.5" customHeight="1">
      <c r="A4260" s="85">
        <v>759724529202804</v>
      </c>
      <c r="B4260" s="82" t="s">
        <v>10621</v>
      </c>
      <c r="C4260" s="82" t="s">
        <v>11055</v>
      </c>
      <c r="D4260" s="82" t="s">
        <v>1021</v>
      </c>
      <c r="E4260" s="82"/>
      <c r="F4260" s="92">
        <v>45891</v>
      </c>
      <c r="G4260" s="87">
        <v>611</v>
      </c>
      <c r="H4260" s="88">
        <v>40412.386706948637</v>
      </c>
      <c r="I4260" s="89">
        <v>18</v>
      </c>
      <c r="J4260" s="90">
        <v>26753</v>
      </c>
      <c r="K4260" s="85">
        <v>6</v>
      </c>
      <c r="L4260" s="85">
        <v>177</v>
      </c>
      <c r="M4260" s="85">
        <v>0</v>
      </c>
      <c r="N4260" s="82" t="s">
        <v>11056</v>
      </c>
      <c r="O4260" s="93">
        <v>45889.276006944441</v>
      </c>
    </row>
    <row r="4261" spans="1:15" ht="22.5" customHeight="1">
      <c r="A4261" s="85">
        <v>759724529202804</v>
      </c>
      <c r="B4261" s="82" t="s">
        <v>10621</v>
      </c>
      <c r="C4261" s="82" t="s">
        <v>11037</v>
      </c>
      <c r="D4261" s="82" t="s">
        <v>199</v>
      </c>
      <c r="E4261" s="82">
        <v>6285220903499</v>
      </c>
      <c r="F4261" s="92">
        <v>45891</v>
      </c>
      <c r="G4261" s="87">
        <v>814</v>
      </c>
      <c r="H4261" s="88">
        <v>16344.72049689441</v>
      </c>
      <c r="I4261" s="89">
        <v>35</v>
      </c>
      <c r="J4261" s="90">
        <v>15789</v>
      </c>
      <c r="K4261" s="85">
        <v>3</v>
      </c>
      <c r="L4261" s="85">
        <v>267</v>
      </c>
      <c r="M4261" s="85">
        <v>0</v>
      </c>
      <c r="N4261" s="82" t="s">
        <v>11038</v>
      </c>
      <c r="O4261" s="93">
        <v>45892.505891203706</v>
      </c>
    </row>
    <row r="4262" spans="1:15" ht="22.5" customHeight="1">
      <c r="A4262" s="85">
        <v>174904221976312</v>
      </c>
      <c r="B4262" s="82" t="s">
        <v>10651</v>
      </c>
      <c r="C4262" s="82" t="s">
        <v>12024</v>
      </c>
      <c r="D4262" s="82" t="s">
        <v>12025</v>
      </c>
      <c r="E4262" s="82">
        <v>6285166200242</v>
      </c>
      <c r="F4262" s="92">
        <v>45891</v>
      </c>
      <c r="G4262" s="87">
        <v>632</v>
      </c>
      <c r="H4262" s="88">
        <v>17126.315789473683</v>
      </c>
      <c r="I4262" s="89">
        <v>19</v>
      </c>
      <c r="J4262" s="90">
        <v>13016</v>
      </c>
      <c r="K4262" s="85">
        <v>4</v>
      </c>
      <c r="L4262" s="85">
        <v>253</v>
      </c>
      <c r="M4262" s="85">
        <v>0</v>
      </c>
      <c r="N4262" s="82" t="s">
        <v>12026</v>
      </c>
      <c r="O4262" s="93">
        <v>45892.693541666667</v>
      </c>
    </row>
    <row r="4263" spans="1:15" ht="22.5" customHeight="1">
      <c r="A4263" s="85">
        <v>174904221976312</v>
      </c>
      <c r="B4263" s="82" t="s">
        <v>10651</v>
      </c>
      <c r="C4263" s="82" t="s">
        <v>12027</v>
      </c>
      <c r="D4263" s="82" t="s">
        <v>12028</v>
      </c>
      <c r="E4263" s="82">
        <v>6287776264559</v>
      </c>
      <c r="F4263" s="92">
        <v>45891</v>
      </c>
      <c r="G4263" s="87">
        <v>725</v>
      </c>
      <c r="H4263" s="88">
        <v>14827.346465816918</v>
      </c>
      <c r="I4263" s="89">
        <v>22</v>
      </c>
      <c r="J4263" s="90">
        <v>12796</v>
      </c>
      <c r="K4263" s="85">
        <v>2</v>
      </c>
      <c r="L4263" s="85">
        <v>23</v>
      </c>
      <c r="M4263" s="85">
        <v>0</v>
      </c>
      <c r="N4263" s="82" t="s">
        <v>12029</v>
      </c>
      <c r="O4263" s="93">
        <v>45892.672303240739</v>
      </c>
    </row>
    <row r="4264" spans="1:15" ht="22.5" customHeight="1">
      <c r="A4264" s="85">
        <v>174904221976312</v>
      </c>
      <c r="B4264" s="82" t="s">
        <v>10651</v>
      </c>
      <c r="C4264" s="82" t="s">
        <v>12030</v>
      </c>
      <c r="D4264" s="82" t="s">
        <v>12031</v>
      </c>
      <c r="E4264" s="82">
        <v>6289667480162</v>
      </c>
      <c r="F4264" s="92">
        <v>45891</v>
      </c>
      <c r="G4264" s="87">
        <v>1034</v>
      </c>
      <c r="H4264" s="88">
        <v>11383.392226148409</v>
      </c>
      <c r="I4264" s="89">
        <v>73</v>
      </c>
      <c r="J4264" s="90">
        <v>12886</v>
      </c>
      <c r="K4264" s="85">
        <v>10</v>
      </c>
      <c r="L4264" s="85">
        <v>12</v>
      </c>
      <c r="M4264" s="85">
        <v>1</v>
      </c>
      <c r="N4264" s="82" t="s">
        <v>12032</v>
      </c>
      <c r="O4264" s="93">
        <v>45892.610208333332</v>
      </c>
    </row>
    <row r="4265" spans="1:15" ht="22.5" customHeight="1">
      <c r="A4265" s="85">
        <v>174904221976312</v>
      </c>
      <c r="B4265" s="82" t="s">
        <v>10651</v>
      </c>
      <c r="C4265" s="82" t="s">
        <v>12033</v>
      </c>
      <c r="D4265" s="82" t="s">
        <v>12034</v>
      </c>
      <c r="E4265" s="82">
        <v>62082287715351</v>
      </c>
      <c r="F4265" s="92">
        <v>45891</v>
      </c>
      <c r="G4265" s="87">
        <v>543</v>
      </c>
      <c r="H4265" s="88">
        <v>16459.158415841586</v>
      </c>
      <c r="I4265" s="89">
        <v>88</v>
      </c>
      <c r="J4265" s="90">
        <v>13299</v>
      </c>
      <c r="K4265" s="85">
        <v>17</v>
      </c>
      <c r="L4265" s="85">
        <v>178</v>
      </c>
      <c r="M4265" s="85">
        <v>0</v>
      </c>
      <c r="N4265" s="82" t="s">
        <v>12035</v>
      </c>
      <c r="O4265" s="93">
        <v>45892.714050925926</v>
      </c>
    </row>
    <row r="4266" spans="1:15" ht="22.5" customHeight="1">
      <c r="A4266" s="85">
        <v>174904221976312</v>
      </c>
      <c r="B4266" s="82" t="s">
        <v>10651</v>
      </c>
      <c r="C4266" s="82" t="s">
        <v>12013</v>
      </c>
      <c r="D4266" s="82" t="s">
        <v>12014</v>
      </c>
      <c r="E4266" s="82">
        <v>6282154318629</v>
      </c>
      <c r="F4266" s="92">
        <v>45891</v>
      </c>
      <c r="G4266" s="87">
        <v>466</v>
      </c>
      <c r="H4266" s="88">
        <v>30112.871287128713</v>
      </c>
      <c r="I4266" s="89">
        <v>15</v>
      </c>
      <c r="J4266" s="90">
        <v>15207</v>
      </c>
      <c r="K4266" s="85">
        <v>3</v>
      </c>
      <c r="L4266" s="85">
        <v>0</v>
      </c>
      <c r="M4266" s="85">
        <v>0</v>
      </c>
      <c r="N4266" s="82" t="s">
        <v>12015</v>
      </c>
      <c r="O4266" s="93">
        <v>45892.526550925926</v>
      </c>
    </row>
    <row r="4267" spans="1:15" ht="22.5" customHeight="1">
      <c r="A4267" s="85">
        <v>174904221976312</v>
      </c>
      <c r="B4267" s="82" t="s">
        <v>10651</v>
      </c>
      <c r="C4267" s="82" t="s">
        <v>12016</v>
      </c>
      <c r="D4267" s="82" t="s">
        <v>12017</v>
      </c>
      <c r="E4267" s="82">
        <v>6281210801646</v>
      </c>
      <c r="F4267" s="92">
        <v>45891</v>
      </c>
      <c r="G4267" s="87">
        <v>486</v>
      </c>
      <c r="H4267" s="88">
        <v>24598.455598455599</v>
      </c>
      <c r="I4267" s="89">
        <v>13</v>
      </c>
      <c r="J4267" s="90">
        <v>12742</v>
      </c>
      <c r="K4267" s="85">
        <v>1</v>
      </c>
      <c r="L4267" s="85">
        <v>2</v>
      </c>
      <c r="M4267" s="85">
        <v>1</v>
      </c>
      <c r="N4267" s="82" t="s">
        <v>12018</v>
      </c>
      <c r="O4267" s="93">
        <v>45892.547222222223</v>
      </c>
    </row>
    <row r="4268" spans="1:15" ht="22.5" customHeight="1">
      <c r="A4268" s="85">
        <v>174904221976312</v>
      </c>
      <c r="B4268" s="82" t="s">
        <v>10651</v>
      </c>
      <c r="C4268" s="82" t="s">
        <v>12019</v>
      </c>
      <c r="D4268" s="82" t="s">
        <v>12020</v>
      </c>
      <c r="E4268" s="82">
        <v>6287862271550</v>
      </c>
      <c r="F4268" s="92">
        <v>45891</v>
      </c>
      <c r="G4268" s="87">
        <v>1103</v>
      </c>
      <c r="H4268" s="88">
        <v>11580.968280467445</v>
      </c>
      <c r="I4268" s="89">
        <v>21</v>
      </c>
      <c r="J4268" s="90">
        <v>13874</v>
      </c>
      <c r="K4268" s="85">
        <v>0</v>
      </c>
      <c r="L4268" s="85">
        <v>2</v>
      </c>
      <c r="M4268" s="85">
        <v>1</v>
      </c>
      <c r="N4268" s="82" t="s">
        <v>12021</v>
      </c>
      <c r="O4268" s="93">
        <v>45892.464791666665</v>
      </c>
    </row>
    <row r="4269" spans="1:15" ht="22.5" customHeight="1">
      <c r="A4269" s="85">
        <v>174904221976312</v>
      </c>
      <c r="B4269" s="82" t="s">
        <v>10651</v>
      </c>
      <c r="C4269" s="82" t="s">
        <v>12022</v>
      </c>
      <c r="D4269" s="82" t="s">
        <v>11483</v>
      </c>
      <c r="E4269" s="82">
        <v>6285255115894</v>
      </c>
      <c r="F4269" s="92">
        <v>45891</v>
      </c>
      <c r="G4269" s="87">
        <v>693</v>
      </c>
      <c r="H4269" s="88">
        <v>14587.00980392157</v>
      </c>
      <c r="I4269" s="89">
        <v>25</v>
      </c>
      <c r="J4269" s="90">
        <v>11903</v>
      </c>
      <c r="K4269" s="85">
        <v>2</v>
      </c>
      <c r="L4269" s="85">
        <v>275</v>
      </c>
      <c r="M4269" s="85">
        <v>0</v>
      </c>
      <c r="N4269" s="82" t="s">
        <v>12023</v>
      </c>
      <c r="O4269" s="93">
        <v>45892.568101851852</v>
      </c>
    </row>
    <row r="4270" spans="1:15" ht="22.5" customHeight="1">
      <c r="A4270" s="85">
        <v>174904221976312</v>
      </c>
      <c r="B4270" s="82" t="s">
        <v>10651</v>
      </c>
      <c r="C4270" s="82" t="s">
        <v>12005</v>
      </c>
      <c r="D4270" s="82" t="s">
        <v>3092</v>
      </c>
      <c r="E4270" s="82">
        <v>6287740636181</v>
      </c>
      <c r="F4270" s="92">
        <v>45891</v>
      </c>
      <c r="G4270" s="87">
        <v>1020</v>
      </c>
      <c r="H4270" s="88">
        <v>10734.109221128021</v>
      </c>
      <c r="I4270" s="89">
        <v>26</v>
      </c>
      <c r="J4270" s="90">
        <v>11990</v>
      </c>
      <c r="K4270" s="85">
        <v>1</v>
      </c>
      <c r="L4270" s="85">
        <v>0</v>
      </c>
      <c r="M4270" s="85">
        <v>1</v>
      </c>
      <c r="N4270" s="82" t="s">
        <v>12006</v>
      </c>
      <c r="O4270" s="93">
        <v>45892.505729166667</v>
      </c>
    </row>
    <row r="4271" spans="1:15" ht="22.5" customHeight="1">
      <c r="A4271" s="85">
        <v>174904221976312</v>
      </c>
      <c r="B4271" s="82" t="s">
        <v>10651</v>
      </c>
      <c r="C4271" s="82" t="s">
        <v>12007</v>
      </c>
      <c r="D4271" s="82" t="s">
        <v>9010</v>
      </c>
      <c r="E4271" s="82">
        <v>6282160743576</v>
      </c>
      <c r="F4271" s="92">
        <v>45891</v>
      </c>
      <c r="G4271" s="87">
        <v>775</v>
      </c>
      <c r="H4271" s="88">
        <v>15354.279523293608</v>
      </c>
      <c r="I4271" s="89">
        <v>88</v>
      </c>
      <c r="J4271" s="90">
        <v>14172</v>
      </c>
      <c r="K4271" s="85">
        <v>11</v>
      </c>
      <c r="L4271" s="85">
        <v>504</v>
      </c>
      <c r="M4271" s="85">
        <v>2</v>
      </c>
      <c r="N4271" s="82" t="s">
        <v>12008</v>
      </c>
      <c r="O4271" s="93">
        <v>45892.526296296295</v>
      </c>
    </row>
    <row r="4272" spans="1:15" ht="22.5" customHeight="1">
      <c r="A4272" s="85">
        <v>174904221976312</v>
      </c>
      <c r="B4272" s="82" t="s">
        <v>10651</v>
      </c>
      <c r="C4272" s="82" t="s">
        <v>12009</v>
      </c>
      <c r="D4272" s="82" t="s">
        <v>11886</v>
      </c>
      <c r="E4272" s="82">
        <v>628179780980</v>
      </c>
      <c r="F4272" s="92">
        <v>45891</v>
      </c>
      <c r="G4272" s="87">
        <v>254</v>
      </c>
      <c r="H4272" s="88">
        <v>43323.741007194243</v>
      </c>
      <c r="I4272" s="89">
        <v>9</v>
      </c>
      <c r="J4272" s="90">
        <v>12044</v>
      </c>
      <c r="K4272" s="85">
        <v>1</v>
      </c>
      <c r="L4272" s="85">
        <v>7</v>
      </c>
      <c r="M4272" s="85">
        <v>0</v>
      </c>
      <c r="N4272" s="82" t="s">
        <v>12010</v>
      </c>
      <c r="O4272" s="93">
        <v>45892.526296296295</v>
      </c>
    </row>
    <row r="4273" spans="1:15" ht="22.5" customHeight="1">
      <c r="A4273" s="85">
        <v>174904221976312</v>
      </c>
      <c r="B4273" s="82" t="s">
        <v>10651</v>
      </c>
      <c r="C4273" s="82" t="s">
        <v>12011</v>
      </c>
      <c r="D4273" s="82" t="s">
        <v>4264</v>
      </c>
      <c r="E4273" s="82">
        <v>6285702241111</v>
      </c>
      <c r="F4273" s="92">
        <v>45891</v>
      </c>
      <c r="G4273" s="87">
        <v>257</v>
      </c>
      <c r="H4273" s="88">
        <v>52553.030303030304</v>
      </c>
      <c r="I4273" s="89">
        <v>8</v>
      </c>
      <c r="J4273" s="90">
        <v>13874</v>
      </c>
      <c r="K4273" s="85">
        <v>0</v>
      </c>
      <c r="L4273" s="85">
        <v>19</v>
      </c>
      <c r="M4273" s="85">
        <v>1</v>
      </c>
      <c r="N4273" s="82" t="s">
        <v>12012</v>
      </c>
      <c r="O4273" s="93">
        <v>45892.568090277775</v>
      </c>
    </row>
    <row r="4274" spans="1:15" ht="22.5" customHeight="1">
      <c r="A4274" s="85">
        <v>174904221976312</v>
      </c>
      <c r="B4274" s="82" t="s">
        <v>10651</v>
      </c>
      <c r="C4274" s="82" t="s">
        <v>11994</v>
      </c>
      <c r="D4274" s="82" t="s">
        <v>4233</v>
      </c>
      <c r="E4274" s="82">
        <v>6289514176661</v>
      </c>
      <c r="F4274" s="92">
        <v>45891</v>
      </c>
      <c r="G4274" s="87">
        <v>1116</v>
      </c>
      <c r="H4274" s="88">
        <v>9866.6140489344907</v>
      </c>
      <c r="I4274" s="89">
        <v>69</v>
      </c>
      <c r="J4274" s="90">
        <v>12501</v>
      </c>
      <c r="K4274" s="85">
        <v>3</v>
      </c>
      <c r="L4274" s="85">
        <v>496</v>
      </c>
      <c r="M4274" s="85">
        <v>1</v>
      </c>
      <c r="N4274" s="82" t="s">
        <v>11995</v>
      </c>
      <c r="O4274" s="93">
        <v>45892.484675925924</v>
      </c>
    </row>
    <row r="4275" spans="1:15" ht="22.5" customHeight="1">
      <c r="A4275" s="85">
        <v>174904221976312</v>
      </c>
      <c r="B4275" s="82" t="s">
        <v>10651</v>
      </c>
      <c r="C4275" s="82" t="s">
        <v>11996</v>
      </c>
      <c r="D4275" s="82" t="s">
        <v>4224</v>
      </c>
      <c r="E4275" s="82">
        <v>6285967129366</v>
      </c>
      <c r="F4275" s="92">
        <v>45891</v>
      </c>
      <c r="G4275" s="87">
        <v>217</v>
      </c>
      <c r="H4275" s="88">
        <v>57550.218340611355</v>
      </c>
      <c r="I4275" s="89">
        <v>13</v>
      </c>
      <c r="J4275" s="90">
        <v>13179</v>
      </c>
      <c r="K4275" s="85">
        <v>2</v>
      </c>
      <c r="L4275" s="85">
        <v>97</v>
      </c>
      <c r="M4275" s="85">
        <v>1</v>
      </c>
      <c r="N4275" s="82" t="s">
        <v>11997</v>
      </c>
      <c r="O4275" s="93">
        <v>45892.422777777778</v>
      </c>
    </row>
    <row r="4276" spans="1:15" ht="22.5" customHeight="1">
      <c r="A4276" s="85">
        <v>174904221976312</v>
      </c>
      <c r="B4276" s="82" t="s">
        <v>10651</v>
      </c>
      <c r="C4276" s="82" t="s">
        <v>11998</v>
      </c>
      <c r="D4276" s="82" t="s">
        <v>11999</v>
      </c>
      <c r="E4276" s="82">
        <v>628815361682</v>
      </c>
      <c r="F4276" s="92">
        <v>45891</v>
      </c>
      <c r="G4276" s="87">
        <v>2130</v>
      </c>
      <c r="H4276" s="88">
        <v>5519.7132616487461</v>
      </c>
      <c r="I4276" s="89">
        <v>87</v>
      </c>
      <c r="J4276" s="90">
        <v>13860</v>
      </c>
      <c r="K4276" s="85">
        <v>9</v>
      </c>
      <c r="L4276" s="85">
        <v>85</v>
      </c>
      <c r="M4276" s="85">
        <v>0</v>
      </c>
      <c r="N4276" s="82" t="s">
        <v>12000</v>
      </c>
      <c r="O4276" s="93">
        <v>45892.568078703705</v>
      </c>
    </row>
    <row r="4277" spans="1:15" ht="22.5" customHeight="1">
      <c r="A4277" s="85">
        <v>174904221976312</v>
      </c>
      <c r="B4277" s="82" t="s">
        <v>10651</v>
      </c>
      <c r="C4277" s="82" t="s">
        <v>12001</v>
      </c>
      <c r="D4277" s="82" t="s">
        <v>4190</v>
      </c>
      <c r="E4277" s="82">
        <v>628195131666</v>
      </c>
      <c r="F4277" s="92">
        <v>45891</v>
      </c>
      <c r="G4277" s="87">
        <v>1200</v>
      </c>
      <c r="H4277" s="88">
        <v>11271.161048689139</v>
      </c>
      <c r="I4277" s="89">
        <v>17</v>
      </c>
      <c r="J4277" s="90">
        <v>15047</v>
      </c>
      <c r="K4277" s="85">
        <v>0</v>
      </c>
      <c r="L4277" s="85">
        <v>321</v>
      </c>
      <c r="M4277" s="85">
        <v>0</v>
      </c>
      <c r="N4277" s="82" t="s">
        <v>12002</v>
      </c>
      <c r="O4277" s="93">
        <v>45892.484675925924</v>
      </c>
    </row>
    <row r="4278" spans="1:15" ht="22.5" customHeight="1">
      <c r="A4278" s="85">
        <v>174904221976312</v>
      </c>
      <c r="B4278" s="82" t="s">
        <v>10651</v>
      </c>
      <c r="C4278" s="82" t="s">
        <v>11981</v>
      </c>
      <c r="D4278" s="82" t="s">
        <v>11982</v>
      </c>
      <c r="E4278" s="82">
        <v>6282112073155</v>
      </c>
      <c r="F4278" s="92">
        <v>45891</v>
      </c>
      <c r="G4278" s="87">
        <v>1577</v>
      </c>
      <c r="H4278" s="88">
        <v>7899.4207477619793</v>
      </c>
      <c r="I4278" s="89">
        <v>61</v>
      </c>
      <c r="J4278" s="90">
        <v>15001</v>
      </c>
      <c r="K4278" s="85">
        <v>4</v>
      </c>
      <c r="L4278" s="85">
        <v>0</v>
      </c>
      <c r="M4278" s="85">
        <v>2</v>
      </c>
      <c r="N4278" s="82" t="s">
        <v>11983</v>
      </c>
      <c r="O4278" s="93">
        <v>45892.216180555559</v>
      </c>
    </row>
    <row r="4279" spans="1:15" ht="22.5" customHeight="1">
      <c r="A4279" s="85">
        <v>174904221976312</v>
      </c>
      <c r="B4279" s="82" t="s">
        <v>10651</v>
      </c>
      <c r="C4279" s="82" t="s">
        <v>11984</v>
      </c>
      <c r="D4279" s="82" t="s">
        <v>4177</v>
      </c>
      <c r="E4279" s="82">
        <v>6281313889118</v>
      </c>
      <c r="F4279" s="92">
        <v>45891</v>
      </c>
      <c r="G4279" s="87">
        <v>213</v>
      </c>
      <c r="H4279" s="88">
        <v>55814.655172413797</v>
      </c>
      <c r="I4279" s="89">
        <v>3</v>
      </c>
      <c r="J4279" s="90">
        <v>12949</v>
      </c>
      <c r="K4279" s="85">
        <v>2</v>
      </c>
      <c r="L4279" s="85">
        <v>0</v>
      </c>
      <c r="M4279" s="85">
        <v>0</v>
      </c>
      <c r="N4279" s="82" t="s">
        <v>11985</v>
      </c>
      <c r="O4279" s="93">
        <v>45892.216180555559</v>
      </c>
    </row>
    <row r="4280" spans="1:15" ht="22.5" customHeight="1">
      <c r="A4280" s="85">
        <v>174904221976312</v>
      </c>
      <c r="B4280" s="82" t="s">
        <v>10651</v>
      </c>
      <c r="C4280" s="82" t="s">
        <v>11986</v>
      </c>
      <c r="D4280" s="82" t="s">
        <v>11987</v>
      </c>
      <c r="E4280" s="82">
        <v>6285811111804</v>
      </c>
      <c r="F4280" s="92">
        <v>45891</v>
      </c>
      <c r="G4280" s="87">
        <v>457</v>
      </c>
      <c r="H4280" s="88">
        <v>30952.662721893492</v>
      </c>
      <c r="I4280" s="89">
        <v>2</v>
      </c>
      <c r="J4280" s="90">
        <v>15693</v>
      </c>
      <c r="K4280" s="85">
        <v>0</v>
      </c>
      <c r="L4280" s="85">
        <v>71</v>
      </c>
      <c r="M4280" s="85">
        <v>0</v>
      </c>
      <c r="N4280" s="82" t="s">
        <v>11988</v>
      </c>
      <c r="O4280" s="93">
        <v>45892.216192129628</v>
      </c>
    </row>
    <row r="4281" spans="1:15" ht="22.5" customHeight="1">
      <c r="A4281" s="85">
        <v>174904221976312</v>
      </c>
      <c r="B4281" s="82" t="s">
        <v>10651</v>
      </c>
      <c r="C4281" s="82" t="s">
        <v>11989</v>
      </c>
      <c r="D4281" s="82" t="s">
        <v>4150</v>
      </c>
      <c r="E4281" s="82">
        <v>6285189492568</v>
      </c>
      <c r="F4281" s="92">
        <v>45891</v>
      </c>
      <c r="G4281" s="87">
        <v>1170</v>
      </c>
      <c r="H4281" s="88">
        <v>12382.151029748284</v>
      </c>
      <c r="I4281" s="89">
        <v>32</v>
      </c>
      <c r="J4281" s="90">
        <v>16233</v>
      </c>
      <c r="K4281" s="85">
        <v>3</v>
      </c>
      <c r="L4281" s="85">
        <v>327</v>
      </c>
      <c r="M4281" s="85">
        <v>0</v>
      </c>
      <c r="N4281" s="82" t="s">
        <v>11990</v>
      </c>
      <c r="O4281" s="93">
        <v>45892.216192129628</v>
      </c>
    </row>
    <row r="4282" spans="1:15" ht="22.5" customHeight="1">
      <c r="A4282" s="85">
        <v>174904221976312</v>
      </c>
      <c r="B4282" s="82" t="s">
        <v>10651</v>
      </c>
      <c r="C4282" s="82" t="s">
        <v>11991</v>
      </c>
      <c r="D4282" s="82" t="s">
        <v>11992</v>
      </c>
      <c r="E4282" s="82">
        <v>6285240194507</v>
      </c>
      <c r="F4282" s="92">
        <v>45891</v>
      </c>
      <c r="G4282" s="87">
        <v>1503</v>
      </c>
      <c r="H4282" s="88">
        <v>8657.9229122055676</v>
      </c>
      <c r="I4282" s="89">
        <v>32</v>
      </c>
      <c r="J4282" s="90">
        <v>16173</v>
      </c>
      <c r="K4282" s="85">
        <v>2</v>
      </c>
      <c r="L4282" s="85">
        <v>96</v>
      </c>
      <c r="M4282" s="85">
        <v>1</v>
      </c>
      <c r="N4282" s="82" t="s">
        <v>11993</v>
      </c>
      <c r="O4282" s="93">
        <v>45892.216180555559</v>
      </c>
    </row>
    <row r="4283" spans="1:15" ht="22.5" customHeight="1">
      <c r="A4283" s="85">
        <v>174904221976312</v>
      </c>
      <c r="B4283" s="82" t="s">
        <v>10651</v>
      </c>
      <c r="C4283" s="82" t="s">
        <v>11916</v>
      </c>
      <c r="D4283" s="82" t="s">
        <v>11917</v>
      </c>
      <c r="E4283" s="82">
        <v>6281339823715</v>
      </c>
      <c r="F4283" s="92">
        <v>45891</v>
      </c>
      <c r="G4283" s="87">
        <v>855</v>
      </c>
      <c r="H4283" s="88">
        <v>16022.222222222223</v>
      </c>
      <c r="I4283" s="89">
        <v>35</v>
      </c>
      <c r="J4283" s="90">
        <v>13699</v>
      </c>
      <c r="K4283" s="85">
        <v>0</v>
      </c>
      <c r="L4283" s="85">
        <v>358</v>
      </c>
      <c r="M4283" s="85">
        <v>0</v>
      </c>
      <c r="N4283" s="82" t="s">
        <v>11918</v>
      </c>
      <c r="O4283" s="93">
        <v>45892.58898148148</v>
      </c>
    </row>
    <row r="4284" spans="1:15" ht="22.5" customHeight="1">
      <c r="A4284" s="85">
        <v>174904221976312</v>
      </c>
      <c r="B4284" s="82" t="s">
        <v>10651</v>
      </c>
      <c r="C4284" s="82" t="s">
        <v>11905</v>
      </c>
      <c r="D4284" s="82" t="s">
        <v>11906</v>
      </c>
      <c r="E4284" s="82">
        <v>6285294617773</v>
      </c>
      <c r="F4284" s="92">
        <v>45891</v>
      </c>
      <c r="G4284" s="87">
        <v>353</v>
      </c>
      <c r="H4284" s="88">
        <v>31320.197044334975</v>
      </c>
      <c r="I4284" s="89">
        <v>33</v>
      </c>
      <c r="J4284" s="90">
        <v>12716</v>
      </c>
      <c r="K4284" s="85">
        <v>2</v>
      </c>
      <c r="L4284" s="85">
        <v>2</v>
      </c>
      <c r="M4284" s="85">
        <v>0</v>
      </c>
      <c r="N4284" s="82" t="s">
        <v>11907</v>
      </c>
      <c r="O4284" s="93">
        <v>45892.526296296295</v>
      </c>
    </row>
    <row r="4285" spans="1:15" ht="22.5" customHeight="1">
      <c r="A4285" s="85">
        <v>174904221976312</v>
      </c>
      <c r="B4285" s="82" t="s">
        <v>10651</v>
      </c>
      <c r="C4285" s="82" t="s">
        <v>11885</v>
      </c>
      <c r="D4285" s="82" t="s">
        <v>11886</v>
      </c>
      <c r="E4285" s="82">
        <v>628179780980</v>
      </c>
      <c r="F4285" s="92">
        <v>45891</v>
      </c>
      <c r="G4285" s="87">
        <v>266</v>
      </c>
      <c r="H4285" s="88">
        <v>54070.671378091873</v>
      </c>
      <c r="I4285" s="89">
        <v>2</v>
      </c>
      <c r="J4285" s="90">
        <v>15302</v>
      </c>
      <c r="K4285" s="85">
        <v>1</v>
      </c>
      <c r="L4285" s="85">
        <v>2</v>
      </c>
      <c r="M4285" s="85">
        <v>0</v>
      </c>
      <c r="N4285" s="82" t="s">
        <v>11887</v>
      </c>
      <c r="O4285" s="93">
        <v>45892.216192129628</v>
      </c>
    </row>
    <row r="4286" spans="1:15" ht="22.5" customHeight="1">
      <c r="A4286" s="85">
        <v>174904221976312</v>
      </c>
      <c r="B4286" s="82" t="s">
        <v>10651</v>
      </c>
      <c r="C4286" s="82" t="s">
        <v>11888</v>
      </c>
      <c r="D4286" s="82" t="s">
        <v>11889</v>
      </c>
      <c r="E4286" s="82">
        <v>628127962347</v>
      </c>
      <c r="F4286" s="92">
        <v>45891</v>
      </c>
      <c r="G4286" s="87">
        <v>552</v>
      </c>
      <c r="H4286" s="88">
        <v>25161.030595813205</v>
      </c>
      <c r="I4286" s="89">
        <v>31</v>
      </c>
      <c r="J4286" s="90">
        <v>15625</v>
      </c>
      <c r="K4286" s="85">
        <v>3</v>
      </c>
      <c r="L4286" s="85">
        <v>0</v>
      </c>
      <c r="M4286" s="85">
        <v>1</v>
      </c>
      <c r="N4286" s="82" t="s">
        <v>11890</v>
      </c>
      <c r="O4286" s="93">
        <v>45892.380949074075</v>
      </c>
    </row>
    <row r="4287" spans="1:15" ht="22.5" customHeight="1">
      <c r="A4287" s="85">
        <v>174904221976312</v>
      </c>
      <c r="B4287" s="82" t="s">
        <v>10651</v>
      </c>
      <c r="C4287" s="82" t="s">
        <v>11896</v>
      </c>
      <c r="D4287" s="82" t="s">
        <v>11897</v>
      </c>
      <c r="E4287" s="82">
        <v>6282153090123</v>
      </c>
      <c r="F4287" s="92">
        <v>45891</v>
      </c>
      <c r="G4287" s="87">
        <v>435</v>
      </c>
      <c r="H4287" s="88">
        <v>28016.949152542373</v>
      </c>
      <c r="I4287" s="89">
        <v>26</v>
      </c>
      <c r="J4287" s="90">
        <v>13224</v>
      </c>
      <c r="K4287" s="85">
        <v>1</v>
      </c>
      <c r="L4287" s="85">
        <v>181</v>
      </c>
      <c r="M4287" s="85">
        <v>1</v>
      </c>
      <c r="N4287" s="82" t="s">
        <v>11898</v>
      </c>
      <c r="O4287" s="93">
        <v>45892.464375000003</v>
      </c>
    </row>
    <row r="4288" spans="1:15" ht="22.5" customHeight="1">
      <c r="A4288" s="85">
        <v>174904221976312</v>
      </c>
      <c r="B4288" s="82" t="s">
        <v>10651</v>
      </c>
      <c r="C4288" s="82" t="s">
        <v>11865</v>
      </c>
      <c r="D4288" s="82" t="s">
        <v>11403</v>
      </c>
      <c r="E4288" s="82">
        <v>6283870060603</v>
      </c>
      <c r="F4288" s="92">
        <v>45891</v>
      </c>
      <c r="G4288" s="87">
        <v>626</v>
      </c>
      <c r="H4288" s="88">
        <v>21496.17151607963</v>
      </c>
      <c r="I4288" s="89">
        <v>27</v>
      </c>
      <c r="J4288" s="90">
        <v>14037</v>
      </c>
      <c r="K4288" s="85">
        <v>0</v>
      </c>
      <c r="L4288" s="85">
        <v>239</v>
      </c>
      <c r="M4288" s="85">
        <v>0</v>
      </c>
      <c r="N4288" s="82" t="s">
        <v>11866</v>
      </c>
      <c r="O4288" s="93">
        <v>45892.547233796293</v>
      </c>
    </row>
    <row r="4289" spans="1:15" ht="22.5" customHeight="1">
      <c r="A4289" s="85">
        <v>174904221976312</v>
      </c>
      <c r="B4289" s="82" t="s">
        <v>10651</v>
      </c>
      <c r="C4289" s="82" t="s">
        <v>11867</v>
      </c>
      <c r="D4289" s="82" t="s">
        <v>11868</v>
      </c>
      <c r="E4289" s="82">
        <v>6282112042148</v>
      </c>
      <c r="F4289" s="92">
        <v>45891</v>
      </c>
      <c r="G4289" s="87">
        <v>444</v>
      </c>
      <c r="H4289" s="88">
        <v>20511.434511434512</v>
      </c>
      <c r="I4289" s="89">
        <v>22</v>
      </c>
      <c r="J4289" s="90">
        <v>9866</v>
      </c>
      <c r="K4289" s="85">
        <v>1</v>
      </c>
      <c r="L4289" s="85">
        <v>195</v>
      </c>
      <c r="M4289" s="85">
        <v>0</v>
      </c>
      <c r="N4289" s="82" t="s">
        <v>11869</v>
      </c>
      <c r="O4289" s="93">
        <v>45892.216180555559</v>
      </c>
    </row>
    <row r="4290" spans="1:15" ht="22.5" customHeight="1">
      <c r="A4290" s="85">
        <v>174904221976312</v>
      </c>
      <c r="B4290" s="82" t="s">
        <v>10651</v>
      </c>
      <c r="C4290" s="82" t="s">
        <v>11876</v>
      </c>
      <c r="D4290" s="82" t="s">
        <v>11877</v>
      </c>
      <c r="E4290" s="82">
        <v>6285748377961</v>
      </c>
      <c r="F4290" s="92">
        <v>45891</v>
      </c>
      <c r="G4290" s="87">
        <v>780</v>
      </c>
      <c r="H4290" s="88">
        <v>9807.1005917159764</v>
      </c>
      <c r="I4290" s="89">
        <v>10</v>
      </c>
      <c r="J4290" s="90">
        <v>8287</v>
      </c>
      <c r="K4290" s="85">
        <v>0</v>
      </c>
      <c r="L4290" s="85">
        <v>196</v>
      </c>
      <c r="M4290" s="85">
        <v>0</v>
      </c>
      <c r="N4290" s="82" t="s">
        <v>11878</v>
      </c>
      <c r="O4290" s="93">
        <v>45892.216192129628</v>
      </c>
    </row>
    <row r="4291" spans="1:15" ht="22.5" customHeight="1">
      <c r="A4291" s="85">
        <v>174904221976312</v>
      </c>
      <c r="B4291" s="82" t="s">
        <v>10651</v>
      </c>
      <c r="C4291" s="82" t="s">
        <v>11879</v>
      </c>
      <c r="D4291" s="82" t="s">
        <v>11877</v>
      </c>
      <c r="E4291" s="82">
        <v>6285748377961</v>
      </c>
      <c r="F4291" s="92">
        <v>45891</v>
      </c>
      <c r="G4291" s="87">
        <v>377</v>
      </c>
      <c r="H4291" s="88">
        <v>26000</v>
      </c>
      <c r="I4291" s="89">
        <v>7</v>
      </c>
      <c r="J4291" s="90">
        <v>10426</v>
      </c>
      <c r="K4291" s="85">
        <v>1</v>
      </c>
      <c r="L4291" s="85">
        <v>133</v>
      </c>
      <c r="M4291" s="85">
        <v>0</v>
      </c>
      <c r="N4291" s="82" t="s">
        <v>11878</v>
      </c>
      <c r="O4291" s="93">
        <v>45892.216192129628</v>
      </c>
    </row>
    <row r="4292" spans="1:15" ht="22.5" customHeight="1">
      <c r="A4292" s="85">
        <v>174904221976312</v>
      </c>
      <c r="B4292" s="82" t="s">
        <v>10651</v>
      </c>
      <c r="C4292" s="82" t="s">
        <v>11880</v>
      </c>
      <c r="D4292" s="82" t="s">
        <v>3805</v>
      </c>
      <c r="E4292" s="82">
        <v>6281288245836</v>
      </c>
      <c r="F4292" s="92">
        <v>45891</v>
      </c>
      <c r="G4292" s="87">
        <v>214</v>
      </c>
      <c r="H4292" s="88">
        <v>61441.441441441442</v>
      </c>
      <c r="I4292" s="89">
        <v>5</v>
      </c>
      <c r="J4292" s="90">
        <v>13640</v>
      </c>
      <c r="K4292" s="85">
        <v>0</v>
      </c>
      <c r="L4292" s="85">
        <v>54</v>
      </c>
      <c r="M4292" s="85">
        <v>0</v>
      </c>
      <c r="N4292" s="82" t="s">
        <v>11881</v>
      </c>
      <c r="O4292" s="93">
        <v>45892.568078703705</v>
      </c>
    </row>
    <row r="4293" spans="1:15" ht="22.5" customHeight="1">
      <c r="A4293" s="85">
        <v>174904221976312</v>
      </c>
      <c r="B4293" s="82" t="s">
        <v>10651</v>
      </c>
      <c r="C4293" s="82" t="s">
        <v>11838</v>
      </c>
      <c r="D4293" s="82" t="s">
        <v>11839</v>
      </c>
      <c r="E4293" s="82">
        <v>6287797504113</v>
      </c>
      <c r="F4293" s="92">
        <v>45891</v>
      </c>
      <c r="G4293" s="87">
        <v>272</v>
      </c>
      <c r="H4293" s="88">
        <v>53153.0612244898</v>
      </c>
      <c r="I4293" s="89">
        <v>12</v>
      </c>
      <c r="J4293" s="90">
        <v>15627</v>
      </c>
      <c r="K4293" s="85">
        <v>2</v>
      </c>
      <c r="L4293" s="85">
        <v>37</v>
      </c>
      <c r="M4293" s="85">
        <v>0</v>
      </c>
      <c r="N4293" s="82" t="s">
        <v>11840</v>
      </c>
      <c r="O4293" s="93">
        <v>45892.505729166667</v>
      </c>
    </row>
    <row r="4294" spans="1:15" ht="22.5" customHeight="1">
      <c r="A4294" s="85">
        <v>174904221976312</v>
      </c>
      <c r="B4294" s="82" t="s">
        <v>10651</v>
      </c>
      <c r="C4294" s="82" t="s">
        <v>11816</v>
      </c>
      <c r="D4294" s="82" t="s">
        <v>3682</v>
      </c>
      <c r="E4294" s="82">
        <v>6285602235226</v>
      </c>
      <c r="F4294" s="92">
        <v>45891</v>
      </c>
      <c r="G4294" s="87">
        <v>352</v>
      </c>
      <c r="H4294" s="88">
        <v>31543.26923076923</v>
      </c>
      <c r="I4294" s="89">
        <v>22</v>
      </c>
      <c r="J4294" s="90">
        <v>13122</v>
      </c>
      <c r="K4294" s="85">
        <v>3</v>
      </c>
      <c r="L4294" s="85">
        <v>135</v>
      </c>
      <c r="M4294" s="85">
        <v>0</v>
      </c>
      <c r="N4294" s="82" t="s">
        <v>11817</v>
      </c>
      <c r="O4294" s="93">
        <v>45892.444062499999</v>
      </c>
    </row>
    <row r="4295" spans="1:15" ht="22.5" customHeight="1">
      <c r="A4295" s="85">
        <v>174904221976312</v>
      </c>
      <c r="B4295" s="82" t="s">
        <v>10651</v>
      </c>
      <c r="C4295" s="82" t="s">
        <v>11799</v>
      </c>
      <c r="D4295" s="82" t="s">
        <v>11800</v>
      </c>
      <c r="E4295" s="82">
        <v>6285333751528</v>
      </c>
      <c r="F4295" s="92">
        <v>45891</v>
      </c>
      <c r="G4295" s="87">
        <v>1006</v>
      </c>
      <c r="H4295" s="88">
        <v>12605.14233241506</v>
      </c>
      <c r="I4295" s="89">
        <v>16</v>
      </c>
      <c r="J4295" s="90">
        <v>13727</v>
      </c>
      <c r="K4295" s="85">
        <v>1</v>
      </c>
      <c r="L4295" s="85">
        <v>0</v>
      </c>
      <c r="M4295" s="85">
        <v>0</v>
      </c>
      <c r="N4295" s="82" t="s">
        <v>11801</v>
      </c>
      <c r="O4295" s="93">
        <v>45892.4846875</v>
      </c>
    </row>
    <row r="4296" spans="1:15" ht="22.5" customHeight="1">
      <c r="A4296" s="85">
        <v>174904221976312</v>
      </c>
      <c r="B4296" s="82" t="s">
        <v>10651</v>
      </c>
      <c r="C4296" s="82" t="s">
        <v>11766</v>
      </c>
      <c r="D4296" s="82" t="s">
        <v>11767</v>
      </c>
      <c r="E4296" s="82">
        <v>6281225101319</v>
      </c>
      <c r="F4296" s="92">
        <v>45891</v>
      </c>
      <c r="G4296" s="87">
        <v>395</v>
      </c>
      <c r="H4296" s="88">
        <v>34792.122538293217</v>
      </c>
      <c r="I4296" s="89">
        <v>13</v>
      </c>
      <c r="J4296" s="90">
        <v>15900</v>
      </c>
      <c r="K4296" s="85">
        <v>3</v>
      </c>
      <c r="L4296" s="85">
        <v>1</v>
      </c>
      <c r="M4296" s="85">
        <v>0</v>
      </c>
      <c r="N4296" s="82" t="s">
        <v>11768</v>
      </c>
      <c r="O4296" s="93">
        <v>45892.423020833332</v>
      </c>
    </row>
    <row r="4297" spans="1:15" ht="22.5" customHeight="1">
      <c r="A4297" s="85">
        <v>174904221976312</v>
      </c>
      <c r="B4297" s="82" t="s">
        <v>10651</v>
      </c>
      <c r="C4297" s="82" t="s">
        <v>11780</v>
      </c>
      <c r="D4297" s="82" t="s">
        <v>11781</v>
      </c>
      <c r="E4297" s="82">
        <v>6282129364133</v>
      </c>
      <c r="F4297" s="92">
        <v>45891</v>
      </c>
      <c r="G4297" s="87">
        <v>896</v>
      </c>
      <c r="H4297" s="88">
        <v>14406.086044071353</v>
      </c>
      <c r="I4297" s="89">
        <v>12</v>
      </c>
      <c r="J4297" s="90">
        <v>13729</v>
      </c>
      <c r="K4297" s="85">
        <v>0</v>
      </c>
      <c r="L4297" s="85">
        <v>0</v>
      </c>
      <c r="M4297" s="85">
        <v>0</v>
      </c>
      <c r="N4297" s="82" t="s">
        <v>11782</v>
      </c>
      <c r="O4297" s="93">
        <v>45892.505740740744</v>
      </c>
    </row>
    <row r="4298" spans="1:15" ht="22.5" customHeight="1">
      <c r="A4298" s="85">
        <v>174904221976312</v>
      </c>
      <c r="B4298" s="82" t="s">
        <v>10651</v>
      </c>
      <c r="C4298" s="82" t="s">
        <v>11785</v>
      </c>
      <c r="D4298" s="82" t="s">
        <v>11786</v>
      </c>
      <c r="E4298" s="82">
        <v>628557182563</v>
      </c>
      <c r="F4298" s="92">
        <v>45891</v>
      </c>
      <c r="G4298" s="87">
        <v>412</v>
      </c>
      <c r="H4298" s="88">
        <v>37002.21729490022</v>
      </c>
      <c r="I4298" s="89">
        <v>6</v>
      </c>
      <c r="J4298" s="90">
        <v>16688</v>
      </c>
      <c r="K4298" s="85">
        <v>2</v>
      </c>
      <c r="L4298" s="85">
        <v>0</v>
      </c>
      <c r="M4298" s="85">
        <v>0</v>
      </c>
      <c r="N4298" s="82" t="s">
        <v>11787</v>
      </c>
      <c r="O4298" s="93">
        <v>45892.443622685183</v>
      </c>
    </row>
    <row r="4299" spans="1:15" ht="22.5" customHeight="1">
      <c r="A4299" s="85">
        <v>174904221976312</v>
      </c>
      <c r="B4299" s="82" t="s">
        <v>10651</v>
      </c>
      <c r="C4299" s="82" t="s">
        <v>11755</v>
      </c>
      <c r="D4299" s="82" t="s">
        <v>11756</v>
      </c>
      <c r="E4299" s="82">
        <v>6281357754513</v>
      </c>
      <c r="F4299" s="92">
        <v>45891</v>
      </c>
      <c r="G4299" s="87">
        <v>504</v>
      </c>
      <c r="H4299" s="88">
        <v>26974.63768115942</v>
      </c>
      <c r="I4299" s="89">
        <v>24</v>
      </c>
      <c r="J4299" s="90">
        <v>14890</v>
      </c>
      <c r="K4299" s="85">
        <v>3</v>
      </c>
      <c r="L4299" s="85">
        <v>187</v>
      </c>
      <c r="M4299" s="85">
        <v>0</v>
      </c>
      <c r="N4299" s="82" t="s">
        <v>11757</v>
      </c>
      <c r="O4299" s="93">
        <v>45892.568078703705</v>
      </c>
    </row>
    <row r="4300" spans="1:15" ht="22.5" customHeight="1">
      <c r="A4300" s="85">
        <v>174904221976312</v>
      </c>
      <c r="B4300" s="82" t="s">
        <v>10651</v>
      </c>
      <c r="C4300" s="82" t="s">
        <v>11758</v>
      </c>
      <c r="D4300" s="82" t="s">
        <v>11759</v>
      </c>
      <c r="E4300" s="82">
        <v>6285946504405</v>
      </c>
      <c r="F4300" s="92">
        <v>45891</v>
      </c>
      <c r="G4300" s="87">
        <v>334</v>
      </c>
      <c r="H4300" s="88">
        <v>33329.17705735661</v>
      </c>
      <c r="I4300" s="89">
        <v>16</v>
      </c>
      <c r="J4300" s="90">
        <v>13365</v>
      </c>
      <c r="K4300" s="85">
        <v>2</v>
      </c>
      <c r="L4300" s="85">
        <v>90</v>
      </c>
      <c r="M4300" s="85">
        <v>1</v>
      </c>
      <c r="N4300" s="82" t="s">
        <v>11760</v>
      </c>
      <c r="O4300" s="93">
        <v>45892.484907407408</v>
      </c>
    </row>
    <row r="4301" spans="1:15" ht="22.5" customHeight="1">
      <c r="A4301" s="85">
        <v>174904221976312</v>
      </c>
      <c r="B4301" s="82" t="s">
        <v>10651</v>
      </c>
      <c r="C4301" s="82" t="s">
        <v>11761</v>
      </c>
      <c r="D4301" s="82" t="s">
        <v>3438</v>
      </c>
      <c r="E4301" s="82">
        <v>628154336558</v>
      </c>
      <c r="F4301" s="92">
        <v>45891</v>
      </c>
      <c r="G4301" s="87">
        <v>2327</v>
      </c>
      <c r="H4301" s="88">
        <v>6202.8056112224449</v>
      </c>
      <c r="I4301" s="89">
        <v>66</v>
      </c>
      <c r="J4301" s="90">
        <v>15476</v>
      </c>
      <c r="K4301" s="85">
        <v>2</v>
      </c>
      <c r="L4301" s="85">
        <v>988</v>
      </c>
      <c r="M4301" s="85">
        <v>1</v>
      </c>
      <c r="N4301" s="82" t="s">
        <v>11762</v>
      </c>
      <c r="O4301" s="93">
        <v>45892.484664351854</v>
      </c>
    </row>
    <row r="4302" spans="1:15" ht="22.5" customHeight="1">
      <c r="A4302" s="85">
        <v>174904221976312</v>
      </c>
      <c r="B4302" s="82" t="s">
        <v>10651</v>
      </c>
      <c r="C4302" s="82" t="s">
        <v>11763</v>
      </c>
      <c r="D4302" s="82" t="s">
        <v>11764</v>
      </c>
      <c r="E4302" s="82">
        <v>6282384544939</v>
      </c>
      <c r="F4302" s="92">
        <v>45891</v>
      </c>
      <c r="G4302" s="87">
        <v>696</v>
      </c>
      <c r="H4302" s="88">
        <v>18710.045662100456</v>
      </c>
      <c r="I4302" s="89">
        <v>13</v>
      </c>
      <c r="J4302" s="90">
        <v>16390</v>
      </c>
      <c r="K4302" s="85">
        <v>1</v>
      </c>
      <c r="L4302" s="85">
        <v>0</v>
      </c>
      <c r="M4302" s="85">
        <v>0</v>
      </c>
      <c r="N4302" s="82" t="s">
        <v>11765</v>
      </c>
      <c r="O4302" s="93">
        <v>45892.444050925929</v>
      </c>
    </row>
    <row r="4303" spans="1:15" ht="22.5" customHeight="1">
      <c r="A4303" s="85">
        <v>174904221976312</v>
      </c>
      <c r="B4303" s="82" t="s">
        <v>10651</v>
      </c>
      <c r="C4303" s="82" t="s">
        <v>11701</v>
      </c>
      <c r="D4303" s="82" t="s">
        <v>11702</v>
      </c>
      <c r="E4303" s="82">
        <v>6288802749485</v>
      </c>
      <c r="F4303" s="92">
        <v>45891</v>
      </c>
      <c r="G4303" s="87">
        <v>1286</v>
      </c>
      <c r="H4303" s="88">
        <v>10550.522648083623</v>
      </c>
      <c r="I4303" s="89">
        <v>131</v>
      </c>
      <c r="J4303" s="90">
        <v>15140</v>
      </c>
      <c r="K4303" s="85">
        <v>17</v>
      </c>
      <c r="L4303" s="85">
        <v>0</v>
      </c>
      <c r="M4303" s="85">
        <v>4</v>
      </c>
      <c r="N4303" s="82" t="s">
        <v>11703</v>
      </c>
      <c r="O4303" s="93">
        <v>45892.505740740744</v>
      </c>
    </row>
    <row r="4304" spans="1:15" ht="22.5" customHeight="1">
      <c r="A4304" s="85">
        <v>174904221976312</v>
      </c>
      <c r="B4304" s="82" t="s">
        <v>10651</v>
      </c>
      <c r="C4304" s="82" t="s">
        <v>11708</v>
      </c>
      <c r="D4304" s="82" t="s">
        <v>11709</v>
      </c>
      <c r="E4304" s="82">
        <v>6285294617773</v>
      </c>
      <c r="F4304" s="92">
        <v>45891</v>
      </c>
      <c r="G4304" s="87">
        <v>260</v>
      </c>
      <c r="H4304" s="88">
        <v>42507.886435331231</v>
      </c>
      <c r="I4304" s="89">
        <v>34</v>
      </c>
      <c r="J4304" s="90">
        <v>13475</v>
      </c>
      <c r="K4304" s="85">
        <v>6</v>
      </c>
      <c r="L4304" s="85">
        <v>30</v>
      </c>
      <c r="M4304" s="85">
        <v>0</v>
      </c>
      <c r="N4304" s="82" t="s">
        <v>11710</v>
      </c>
      <c r="O4304" s="93">
        <v>45892.216192129628</v>
      </c>
    </row>
    <row r="4305" spans="1:15" ht="22.5" customHeight="1">
      <c r="A4305" s="85">
        <v>174904221976312</v>
      </c>
      <c r="B4305" s="82" t="s">
        <v>10651</v>
      </c>
      <c r="C4305" s="82" t="s">
        <v>11580</v>
      </c>
      <c r="D4305" s="82" t="s">
        <v>11581</v>
      </c>
      <c r="E4305" s="82">
        <v>6287790276733</v>
      </c>
      <c r="F4305" s="92">
        <v>45891</v>
      </c>
      <c r="G4305" s="87">
        <v>975</v>
      </c>
      <c r="H4305" s="88">
        <v>12379.496402877698</v>
      </c>
      <c r="I4305" s="89">
        <v>10</v>
      </c>
      <c r="J4305" s="90">
        <v>13766</v>
      </c>
      <c r="K4305" s="85">
        <v>0</v>
      </c>
      <c r="L4305" s="85">
        <v>0</v>
      </c>
      <c r="M4305" s="85">
        <v>0</v>
      </c>
      <c r="N4305" s="82" t="s">
        <v>11582</v>
      </c>
      <c r="O4305" s="93">
        <v>45892.505740740744</v>
      </c>
    </row>
    <row r="4306" spans="1:15" ht="22.5" customHeight="1">
      <c r="A4306" s="85">
        <v>174904221976312</v>
      </c>
      <c r="B4306" s="82" t="s">
        <v>10651</v>
      </c>
      <c r="C4306" s="82" t="s">
        <v>11545</v>
      </c>
      <c r="D4306" s="82" t="s">
        <v>3140</v>
      </c>
      <c r="E4306" s="82"/>
      <c r="F4306" s="92">
        <v>45891</v>
      </c>
      <c r="G4306" s="87">
        <v>7306</v>
      </c>
      <c r="H4306" s="88">
        <v>1809.5639604914477</v>
      </c>
      <c r="I4306" s="89">
        <v>68</v>
      </c>
      <c r="J4306" s="90">
        <v>15023</v>
      </c>
      <c r="K4306" s="85">
        <v>4</v>
      </c>
      <c r="L4306" s="85">
        <v>0</v>
      </c>
      <c r="M4306" s="85">
        <v>0</v>
      </c>
      <c r="N4306" s="82" t="s">
        <v>10779</v>
      </c>
      <c r="O4306" s="93">
        <v>45892.422777777778</v>
      </c>
    </row>
    <row r="4307" spans="1:15" ht="22.5" customHeight="1">
      <c r="A4307" s="85">
        <v>759724529202804</v>
      </c>
      <c r="B4307" s="82" t="s">
        <v>10621</v>
      </c>
      <c r="C4307" s="82" t="s">
        <v>12003</v>
      </c>
      <c r="D4307" s="82" t="s">
        <v>4249</v>
      </c>
      <c r="E4307" s="82">
        <v>6287833789401</v>
      </c>
      <c r="F4307" s="92">
        <v>45892</v>
      </c>
      <c r="G4307" s="87">
        <v>1006</v>
      </c>
      <c r="H4307" s="88">
        <v>13708.948740225891</v>
      </c>
      <c r="I4307" s="89">
        <v>50</v>
      </c>
      <c r="J4307" s="90">
        <v>15779</v>
      </c>
      <c r="K4307" s="85">
        <v>7</v>
      </c>
      <c r="L4307" s="85">
        <v>185</v>
      </c>
      <c r="M4307" s="85">
        <v>0</v>
      </c>
      <c r="N4307" s="82" t="s">
        <v>12004</v>
      </c>
      <c r="O4307" s="93">
        <v>45893.609652777777</v>
      </c>
    </row>
    <row r="4308" spans="1:15" ht="22.5" customHeight="1">
      <c r="A4308" s="85">
        <v>759724529202804</v>
      </c>
      <c r="B4308" s="82" t="s">
        <v>10621</v>
      </c>
      <c r="C4308" s="82" t="s">
        <v>11037</v>
      </c>
      <c r="D4308" s="82" t="s">
        <v>199</v>
      </c>
      <c r="E4308" s="82">
        <v>6285220903499</v>
      </c>
      <c r="F4308" s="92">
        <v>45892</v>
      </c>
      <c r="G4308" s="87">
        <v>757</v>
      </c>
      <c r="H4308" s="88">
        <v>18376.940133037693</v>
      </c>
      <c r="I4308" s="89">
        <v>23</v>
      </c>
      <c r="J4308" s="90">
        <v>16576</v>
      </c>
      <c r="K4308" s="85">
        <v>1</v>
      </c>
      <c r="L4308" s="85">
        <v>215</v>
      </c>
      <c r="M4308" s="85">
        <v>0</v>
      </c>
      <c r="N4308" s="82" t="s">
        <v>11038</v>
      </c>
      <c r="O4308" s="93">
        <v>45893.651944444442</v>
      </c>
    </row>
    <row r="4309" spans="1:15" ht="22.5" customHeight="1">
      <c r="A4309" s="85">
        <v>174904221976312</v>
      </c>
      <c r="B4309" s="82" t="s">
        <v>10651</v>
      </c>
      <c r="C4309" s="82" t="s">
        <v>12036</v>
      </c>
      <c r="D4309" s="82" t="s">
        <v>12037</v>
      </c>
      <c r="E4309" s="82">
        <v>6281316807185</v>
      </c>
      <c r="F4309" s="92">
        <v>45892</v>
      </c>
      <c r="G4309" s="87">
        <v>184</v>
      </c>
      <c r="H4309" s="88">
        <v>57000</v>
      </c>
      <c r="I4309" s="89">
        <v>5</v>
      </c>
      <c r="J4309" s="90">
        <v>11799</v>
      </c>
      <c r="K4309" s="85">
        <v>1</v>
      </c>
      <c r="L4309" s="85">
        <v>10</v>
      </c>
      <c r="M4309" s="85">
        <v>0</v>
      </c>
      <c r="N4309" s="82" t="s">
        <v>12038</v>
      </c>
      <c r="O4309" s="93">
        <v>45893.547719907408</v>
      </c>
    </row>
    <row r="4310" spans="1:15" ht="22.5" customHeight="1">
      <c r="A4310" s="85">
        <v>174904221976312</v>
      </c>
      <c r="B4310" s="82" t="s">
        <v>10651</v>
      </c>
      <c r="C4310" s="82" t="s">
        <v>12039</v>
      </c>
      <c r="D4310" s="82" t="s">
        <v>12040</v>
      </c>
      <c r="E4310" s="82">
        <v>6281330410391</v>
      </c>
      <c r="F4310" s="92">
        <v>45892</v>
      </c>
      <c r="G4310" s="87">
        <v>651</v>
      </c>
      <c r="H4310" s="88">
        <v>18294.195250659632</v>
      </c>
      <c r="I4310" s="89">
        <v>60</v>
      </c>
      <c r="J4310" s="90">
        <v>13867</v>
      </c>
      <c r="K4310" s="85">
        <v>9</v>
      </c>
      <c r="L4310" s="85">
        <v>13</v>
      </c>
      <c r="M4310" s="85">
        <v>0</v>
      </c>
      <c r="N4310" s="82" t="s">
        <v>12041</v>
      </c>
      <c r="O4310" s="93">
        <v>45893.672627314816</v>
      </c>
    </row>
    <row r="4311" spans="1:15" ht="22.5" customHeight="1">
      <c r="A4311" s="85">
        <v>174904221976312</v>
      </c>
      <c r="B4311" s="82" t="s">
        <v>10651</v>
      </c>
      <c r="C4311" s="82" t="s">
        <v>12042</v>
      </c>
      <c r="D4311" s="91" t="s">
        <v>4468</v>
      </c>
      <c r="E4311" s="82">
        <v>6285710239729</v>
      </c>
      <c r="F4311" s="92">
        <v>45892</v>
      </c>
      <c r="G4311" s="87">
        <v>402</v>
      </c>
      <c r="H4311" s="88">
        <v>25748.201438848919</v>
      </c>
      <c r="I4311" s="89">
        <v>3</v>
      </c>
      <c r="J4311" s="90">
        <v>10737</v>
      </c>
      <c r="K4311" s="85">
        <v>2</v>
      </c>
      <c r="L4311" s="85">
        <v>10</v>
      </c>
      <c r="M4311" s="85">
        <v>0</v>
      </c>
      <c r="N4311" s="82" t="s">
        <v>12043</v>
      </c>
      <c r="O4311" s="93">
        <v>45893.506273148145</v>
      </c>
    </row>
    <row r="4312" spans="1:15" ht="22.5" customHeight="1">
      <c r="A4312" s="85">
        <v>174904221976312</v>
      </c>
      <c r="B4312" s="82" t="s">
        <v>10651</v>
      </c>
      <c r="C4312" s="82" t="s">
        <v>12044</v>
      </c>
      <c r="D4312" s="82" t="s">
        <v>12045</v>
      </c>
      <c r="E4312" s="82">
        <v>6287821734079</v>
      </c>
      <c r="F4312" s="92">
        <v>45892</v>
      </c>
      <c r="G4312" s="87">
        <v>513</v>
      </c>
      <c r="H4312" s="88">
        <v>22660.142348754449</v>
      </c>
      <c r="I4312" s="89">
        <v>8</v>
      </c>
      <c r="J4312" s="90">
        <v>12735</v>
      </c>
      <c r="K4312" s="85">
        <v>0</v>
      </c>
      <c r="L4312" s="85">
        <v>213</v>
      </c>
      <c r="M4312" s="85">
        <v>0</v>
      </c>
      <c r="N4312" s="82" t="s">
        <v>12046</v>
      </c>
      <c r="O4312" s="93">
        <v>45893.69321759259</v>
      </c>
    </row>
    <row r="4313" spans="1:15" ht="22.5" customHeight="1">
      <c r="A4313" s="85">
        <v>174904221976312</v>
      </c>
      <c r="B4313" s="82" t="s">
        <v>10651</v>
      </c>
      <c r="C4313" s="82" t="s">
        <v>12047</v>
      </c>
      <c r="D4313" s="82" t="s">
        <v>4434</v>
      </c>
      <c r="E4313" s="82">
        <v>6281334257715</v>
      </c>
      <c r="F4313" s="92">
        <v>45892</v>
      </c>
      <c r="G4313" s="87">
        <v>191</v>
      </c>
      <c r="H4313" s="88">
        <v>52594.202898550728</v>
      </c>
      <c r="I4313" s="89">
        <v>8</v>
      </c>
      <c r="J4313" s="90">
        <v>10887</v>
      </c>
      <c r="K4313" s="85">
        <v>1</v>
      </c>
      <c r="L4313" s="85">
        <v>14</v>
      </c>
      <c r="M4313" s="85">
        <v>0</v>
      </c>
      <c r="N4313" s="82" t="s">
        <v>12048</v>
      </c>
      <c r="O4313" s="93">
        <v>45893.609837962962</v>
      </c>
    </row>
    <row r="4314" spans="1:15" ht="22.5" customHeight="1">
      <c r="A4314" s="85">
        <v>174904221976312</v>
      </c>
      <c r="B4314" s="82" t="s">
        <v>10651</v>
      </c>
      <c r="C4314" s="82" t="s">
        <v>12024</v>
      </c>
      <c r="D4314" s="82" t="s">
        <v>12025</v>
      </c>
      <c r="E4314" s="82">
        <v>6285166200242</v>
      </c>
      <c r="F4314" s="92">
        <v>45892</v>
      </c>
      <c r="G4314" s="87">
        <v>1171</v>
      </c>
      <c r="H4314" s="88">
        <v>9718.996415770609</v>
      </c>
      <c r="I4314" s="89">
        <v>28</v>
      </c>
      <c r="J4314" s="90">
        <v>13558</v>
      </c>
      <c r="K4314" s="85">
        <v>0</v>
      </c>
      <c r="L4314" s="85">
        <v>114</v>
      </c>
      <c r="M4314" s="85">
        <v>0</v>
      </c>
      <c r="N4314" s="82" t="s">
        <v>12026</v>
      </c>
      <c r="O4314" s="93">
        <v>45893.69321759259</v>
      </c>
    </row>
    <row r="4315" spans="1:15" ht="22.5" customHeight="1">
      <c r="A4315" s="85">
        <v>174904221976312</v>
      </c>
      <c r="B4315" s="82" t="s">
        <v>10651</v>
      </c>
      <c r="C4315" s="82" t="s">
        <v>12027</v>
      </c>
      <c r="D4315" s="82" t="s">
        <v>12028</v>
      </c>
      <c r="E4315" s="82">
        <v>6287776264559</v>
      </c>
      <c r="F4315" s="92">
        <v>45892</v>
      </c>
      <c r="G4315" s="87">
        <v>889</v>
      </c>
      <c r="H4315" s="88">
        <v>13360.254083484573</v>
      </c>
      <c r="I4315" s="89">
        <v>23</v>
      </c>
      <c r="J4315" s="90">
        <v>14723</v>
      </c>
      <c r="K4315" s="85">
        <v>4</v>
      </c>
      <c r="L4315" s="85">
        <v>215</v>
      </c>
      <c r="M4315" s="85">
        <v>1</v>
      </c>
      <c r="N4315" s="82" t="s">
        <v>12029</v>
      </c>
      <c r="O4315" s="93">
        <v>45893.63082175926</v>
      </c>
    </row>
    <row r="4316" spans="1:15" ht="22.5" customHeight="1">
      <c r="A4316" s="85">
        <v>174904221976312</v>
      </c>
      <c r="B4316" s="82" t="s">
        <v>10651</v>
      </c>
      <c r="C4316" s="82" t="s">
        <v>12030</v>
      </c>
      <c r="D4316" s="82" t="s">
        <v>12031</v>
      </c>
      <c r="E4316" s="82">
        <v>6289667480162</v>
      </c>
      <c r="F4316" s="92">
        <v>45892</v>
      </c>
      <c r="G4316" s="87">
        <v>1622</v>
      </c>
      <c r="H4316" s="88">
        <v>7939.0973355084288</v>
      </c>
      <c r="I4316" s="89">
        <v>49</v>
      </c>
      <c r="J4316" s="90">
        <v>14600</v>
      </c>
      <c r="K4316" s="85">
        <v>5</v>
      </c>
      <c r="L4316" s="85">
        <v>290</v>
      </c>
      <c r="M4316" s="85">
        <v>1</v>
      </c>
      <c r="N4316" s="82" t="s">
        <v>12032</v>
      </c>
      <c r="O4316" s="93">
        <v>45893.589155092595</v>
      </c>
    </row>
    <row r="4317" spans="1:15" ht="22.5" customHeight="1">
      <c r="A4317" s="85">
        <v>174904221976312</v>
      </c>
      <c r="B4317" s="82" t="s">
        <v>10651</v>
      </c>
      <c r="C4317" s="82" t="s">
        <v>12033</v>
      </c>
      <c r="D4317" s="82" t="s">
        <v>12034</v>
      </c>
      <c r="E4317" s="82">
        <v>62082287715351</v>
      </c>
      <c r="F4317" s="92">
        <v>45892</v>
      </c>
      <c r="G4317" s="87">
        <v>848</v>
      </c>
      <c r="H4317" s="88">
        <v>12327.793167128346</v>
      </c>
      <c r="I4317" s="89">
        <v>87</v>
      </c>
      <c r="J4317" s="90">
        <v>13351</v>
      </c>
      <c r="K4317" s="85">
        <v>19</v>
      </c>
      <c r="L4317" s="85">
        <v>65</v>
      </c>
      <c r="M4317" s="85">
        <v>0</v>
      </c>
      <c r="N4317" s="82" t="s">
        <v>12035</v>
      </c>
      <c r="O4317" s="93">
        <v>45893.651875000003</v>
      </c>
    </row>
    <row r="4318" spans="1:15" ht="22.5" customHeight="1">
      <c r="A4318" s="85">
        <v>174904221976312</v>
      </c>
      <c r="B4318" s="82" t="s">
        <v>10651</v>
      </c>
      <c r="C4318" s="82" t="s">
        <v>12013</v>
      </c>
      <c r="D4318" s="82" t="s">
        <v>12014</v>
      </c>
      <c r="E4318" s="82">
        <v>6282154318629</v>
      </c>
      <c r="F4318" s="92">
        <v>45892</v>
      </c>
      <c r="G4318" s="87">
        <v>181</v>
      </c>
      <c r="H4318" s="88">
        <v>56577.114427860703</v>
      </c>
      <c r="I4318" s="89">
        <v>11</v>
      </c>
      <c r="J4318" s="90">
        <v>11372</v>
      </c>
      <c r="K4318" s="85">
        <v>1</v>
      </c>
      <c r="L4318" s="85">
        <v>19</v>
      </c>
      <c r="M4318" s="85">
        <v>0</v>
      </c>
      <c r="N4318" s="82" t="s">
        <v>12015</v>
      </c>
      <c r="O4318" s="93">
        <v>45893.609849537039</v>
      </c>
    </row>
    <row r="4319" spans="1:15" ht="22.5" customHeight="1">
      <c r="A4319" s="85">
        <v>174904221976312</v>
      </c>
      <c r="B4319" s="82" t="s">
        <v>10651</v>
      </c>
      <c r="C4319" s="82" t="s">
        <v>12016</v>
      </c>
      <c r="D4319" s="82" t="s">
        <v>12017</v>
      </c>
      <c r="E4319" s="82">
        <v>6281210801646</v>
      </c>
      <c r="F4319" s="92">
        <v>45892</v>
      </c>
      <c r="G4319" s="87">
        <v>372</v>
      </c>
      <c r="H4319" s="88">
        <v>33271.226415094337</v>
      </c>
      <c r="I4319" s="89">
        <v>13</v>
      </c>
      <c r="J4319" s="90">
        <v>14107</v>
      </c>
      <c r="K4319" s="85">
        <v>0</v>
      </c>
      <c r="L4319" s="85">
        <v>2</v>
      </c>
      <c r="M4319" s="85">
        <v>0</v>
      </c>
      <c r="N4319" s="82" t="s">
        <v>12018</v>
      </c>
      <c r="O4319" s="93">
        <v>45893.568159722221</v>
      </c>
    </row>
    <row r="4320" spans="1:15" ht="22.5" customHeight="1">
      <c r="A4320" s="85">
        <v>174904221976312</v>
      </c>
      <c r="B4320" s="82" t="s">
        <v>10651</v>
      </c>
      <c r="C4320" s="82" t="s">
        <v>12019</v>
      </c>
      <c r="D4320" s="82" t="s">
        <v>12020</v>
      </c>
      <c r="E4320" s="82">
        <v>6287862271550</v>
      </c>
      <c r="F4320" s="92">
        <v>45892</v>
      </c>
      <c r="G4320" s="87">
        <v>511</v>
      </c>
      <c r="H4320" s="88">
        <v>20681.281618887017</v>
      </c>
      <c r="I4320" s="89">
        <v>24</v>
      </c>
      <c r="J4320" s="90">
        <v>12264</v>
      </c>
      <c r="K4320" s="85">
        <v>1</v>
      </c>
      <c r="L4320" s="85">
        <v>146</v>
      </c>
      <c r="M4320" s="85">
        <v>1</v>
      </c>
      <c r="N4320" s="82" t="s">
        <v>12021</v>
      </c>
      <c r="O4320" s="93">
        <v>45893.506273148145</v>
      </c>
    </row>
    <row r="4321" spans="1:15" ht="22.5" customHeight="1">
      <c r="A4321" s="85">
        <v>174904221976312</v>
      </c>
      <c r="B4321" s="82" t="s">
        <v>10651</v>
      </c>
      <c r="C4321" s="82" t="s">
        <v>12022</v>
      </c>
      <c r="D4321" s="82" t="s">
        <v>11483</v>
      </c>
      <c r="E4321" s="82">
        <v>6285255115894</v>
      </c>
      <c r="F4321" s="92">
        <v>45892</v>
      </c>
      <c r="G4321" s="87">
        <v>1628</v>
      </c>
      <c r="H4321" s="88">
        <v>7735.3094123764949</v>
      </c>
      <c r="I4321" s="89">
        <v>75</v>
      </c>
      <c r="J4321" s="90">
        <v>14875</v>
      </c>
      <c r="K4321" s="85">
        <v>4</v>
      </c>
      <c r="L4321" s="85">
        <v>670</v>
      </c>
      <c r="M4321" s="85">
        <v>4</v>
      </c>
      <c r="N4321" s="82" t="s">
        <v>12023</v>
      </c>
      <c r="O4321" s="93">
        <v>45893.630833333336</v>
      </c>
    </row>
    <row r="4322" spans="1:15" ht="22.5" customHeight="1">
      <c r="A4322" s="85">
        <v>174904221976312</v>
      </c>
      <c r="B4322" s="82" t="s">
        <v>10651</v>
      </c>
      <c r="C4322" s="82" t="s">
        <v>12005</v>
      </c>
      <c r="D4322" s="82" t="s">
        <v>3092</v>
      </c>
      <c r="E4322" s="82">
        <v>6287740636181</v>
      </c>
      <c r="F4322" s="92">
        <v>45892</v>
      </c>
      <c r="G4322" s="87">
        <v>685</v>
      </c>
      <c r="H4322" s="88">
        <v>16625.32299741602</v>
      </c>
      <c r="I4322" s="89">
        <v>34</v>
      </c>
      <c r="J4322" s="90">
        <v>12868</v>
      </c>
      <c r="K4322" s="85">
        <v>8</v>
      </c>
      <c r="L4322" s="85">
        <v>11</v>
      </c>
      <c r="M4322" s="85">
        <v>1</v>
      </c>
      <c r="N4322" s="82" t="s">
        <v>12006</v>
      </c>
      <c r="O4322" s="93">
        <v>45893.609837962962</v>
      </c>
    </row>
    <row r="4323" spans="1:15" ht="22.5" customHeight="1">
      <c r="A4323" s="85">
        <v>174904221976312</v>
      </c>
      <c r="B4323" s="82" t="s">
        <v>10651</v>
      </c>
      <c r="C4323" s="82" t="s">
        <v>12007</v>
      </c>
      <c r="D4323" s="82" t="s">
        <v>9010</v>
      </c>
      <c r="E4323" s="82">
        <v>6282160743576</v>
      </c>
      <c r="F4323" s="92">
        <v>45892</v>
      </c>
      <c r="G4323" s="87">
        <v>844</v>
      </c>
      <c r="H4323" s="88">
        <v>13843.877551020409</v>
      </c>
      <c r="I4323" s="89">
        <v>100</v>
      </c>
      <c r="J4323" s="90">
        <v>13567</v>
      </c>
      <c r="K4323" s="85">
        <v>14</v>
      </c>
      <c r="L4323" s="85">
        <v>521</v>
      </c>
      <c r="M4323" s="85">
        <v>0</v>
      </c>
      <c r="N4323" s="82" t="s">
        <v>12008</v>
      </c>
      <c r="O4323" s="93">
        <v>45893.651863425926</v>
      </c>
    </row>
    <row r="4324" spans="1:15" ht="22.5" customHeight="1">
      <c r="A4324" s="85">
        <v>174904221976312</v>
      </c>
      <c r="B4324" s="82" t="s">
        <v>10651</v>
      </c>
      <c r="C4324" s="82" t="s">
        <v>12009</v>
      </c>
      <c r="D4324" s="82" t="s">
        <v>11886</v>
      </c>
      <c r="E4324" s="82">
        <v>628179780980</v>
      </c>
      <c r="F4324" s="92">
        <v>45892</v>
      </c>
      <c r="G4324" s="87">
        <v>233</v>
      </c>
      <c r="H4324" s="88">
        <v>59281.746031746028</v>
      </c>
      <c r="I4324" s="89">
        <v>4</v>
      </c>
      <c r="J4324" s="90">
        <v>14939</v>
      </c>
      <c r="K4324" s="85">
        <v>0</v>
      </c>
      <c r="L4324" s="85">
        <v>0</v>
      </c>
      <c r="M4324" s="85">
        <v>0</v>
      </c>
      <c r="N4324" s="82" t="s">
        <v>12010</v>
      </c>
      <c r="O4324" s="93">
        <v>45893.526817129627</v>
      </c>
    </row>
    <row r="4325" spans="1:15" ht="22.5" customHeight="1">
      <c r="A4325" s="85">
        <v>174904221976312</v>
      </c>
      <c r="B4325" s="82" t="s">
        <v>10651</v>
      </c>
      <c r="C4325" s="82" t="s">
        <v>12011</v>
      </c>
      <c r="D4325" s="82" t="s">
        <v>4264</v>
      </c>
      <c r="E4325" s="82">
        <v>6285702241111</v>
      </c>
      <c r="F4325" s="92">
        <v>45892</v>
      </c>
      <c r="G4325" s="87">
        <v>210</v>
      </c>
      <c r="H4325" s="88">
        <v>65961.373390557943</v>
      </c>
      <c r="I4325" s="89">
        <v>7</v>
      </c>
      <c r="J4325" s="90">
        <v>15369</v>
      </c>
      <c r="K4325" s="85">
        <v>2</v>
      </c>
      <c r="L4325" s="85">
        <v>5</v>
      </c>
      <c r="M4325" s="85">
        <v>0</v>
      </c>
      <c r="N4325" s="82" t="s">
        <v>12012</v>
      </c>
      <c r="O4325" s="93">
        <v>45893.589155092595</v>
      </c>
    </row>
    <row r="4326" spans="1:15" ht="22.5" customHeight="1">
      <c r="A4326" s="85">
        <v>174904221976312</v>
      </c>
      <c r="B4326" s="82" t="s">
        <v>10651</v>
      </c>
      <c r="C4326" s="82" t="s">
        <v>11994</v>
      </c>
      <c r="D4326" s="82" t="s">
        <v>4233</v>
      </c>
      <c r="E4326" s="82">
        <v>6289514176661</v>
      </c>
      <c r="F4326" s="92">
        <v>45892</v>
      </c>
      <c r="G4326" s="87">
        <v>1460</v>
      </c>
      <c r="H4326" s="88">
        <v>8643.296432964331</v>
      </c>
      <c r="I4326" s="89">
        <v>47</v>
      </c>
      <c r="J4326" s="90">
        <v>14054</v>
      </c>
      <c r="K4326" s="85">
        <v>3</v>
      </c>
      <c r="L4326" s="85">
        <v>560</v>
      </c>
      <c r="M4326" s="85">
        <v>1</v>
      </c>
      <c r="N4326" s="82" t="s">
        <v>11995</v>
      </c>
      <c r="O4326" s="93">
        <v>45893.214768518519</v>
      </c>
    </row>
    <row r="4327" spans="1:15" ht="22.5" customHeight="1">
      <c r="A4327" s="85">
        <v>174904221976312</v>
      </c>
      <c r="B4327" s="82" t="s">
        <v>10651</v>
      </c>
      <c r="C4327" s="82" t="s">
        <v>11996</v>
      </c>
      <c r="D4327" s="82" t="s">
        <v>4224</v>
      </c>
      <c r="E4327" s="82">
        <v>6285967129366</v>
      </c>
      <c r="F4327" s="92">
        <v>45892</v>
      </c>
      <c r="G4327" s="87">
        <v>324</v>
      </c>
      <c r="H4327" s="88">
        <v>43131.736526946108</v>
      </c>
      <c r="I4327" s="89">
        <v>6</v>
      </c>
      <c r="J4327" s="90">
        <v>14406</v>
      </c>
      <c r="K4327" s="85">
        <v>0</v>
      </c>
      <c r="L4327" s="85">
        <v>102</v>
      </c>
      <c r="M4327" s="85">
        <v>0</v>
      </c>
      <c r="N4327" s="82" t="s">
        <v>11997</v>
      </c>
      <c r="O4327" s="93">
        <v>45893.214780092596</v>
      </c>
    </row>
    <row r="4328" spans="1:15" ht="22.5" customHeight="1">
      <c r="A4328" s="85">
        <v>174904221976312</v>
      </c>
      <c r="B4328" s="82" t="s">
        <v>10651</v>
      </c>
      <c r="C4328" s="82" t="s">
        <v>11998</v>
      </c>
      <c r="D4328" s="82" t="s">
        <v>11999</v>
      </c>
      <c r="E4328" s="82">
        <v>628815361682</v>
      </c>
      <c r="F4328" s="92">
        <v>45892</v>
      </c>
      <c r="G4328" s="87">
        <v>2615</v>
      </c>
      <c r="H4328" s="88">
        <v>5016.022291884361</v>
      </c>
      <c r="I4328" s="89">
        <v>97</v>
      </c>
      <c r="J4328" s="90">
        <v>14401</v>
      </c>
      <c r="K4328" s="85">
        <v>5</v>
      </c>
      <c r="L4328" s="85">
        <v>3</v>
      </c>
      <c r="M4328" s="85">
        <v>1</v>
      </c>
      <c r="N4328" s="82" t="s">
        <v>12000</v>
      </c>
      <c r="O4328" s="93">
        <v>45893.214768518519</v>
      </c>
    </row>
    <row r="4329" spans="1:15" ht="22.5" customHeight="1">
      <c r="A4329" s="85">
        <v>174904221976312</v>
      </c>
      <c r="B4329" s="82" t="s">
        <v>10651</v>
      </c>
      <c r="C4329" s="82" t="s">
        <v>12001</v>
      </c>
      <c r="D4329" s="82" t="s">
        <v>4190</v>
      </c>
      <c r="E4329" s="82">
        <v>628195131666</v>
      </c>
      <c r="F4329" s="92">
        <v>45892</v>
      </c>
      <c r="G4329" s="87">
        <v>953</v>
      </c>
      <c r="H4329" s="88">
        <v>13376.19461337967</v>
      </c>
      <c r="I4329" s="89">
        <v>11</v>
      </c>
      <c r="J4329" s="90">
        <v>15396</v>
      </c>
      <c r="K4329" s="85">
        <v>0</v>
      </c>
      <c r="L4329" s="85">
        <v>0</v>
      </c>
      <c r="M4329" s="85">
        <v>0</v>
      </c>
      <c r="N4329" s="82" t="s">
        <v>12002</v>
      </c>
      <c r="O4329" s="93">
        <v>45893.214768518519</v>
      </c>
    </row>
    <row r="4330" spans="1:15" ht="22.5" customHeight="1">
      <c r="A4330" s="85">
        <v>174904221976312</v>
      </c>
      <c r="B4330" s="82" t="s">
        <v>10651</v>
      </c>
      <c r="C4330" s="82" t="s">
        <v>11916</v>
      </c>
      <c r="D4330" s="82" t="s">
        <v>11917</v>
      </c>
      <c r="E4330" s="82">
        <v>6281339823715</v>
      </c>
      <c r="F4330" s="92">
        <v>45892</v>
      </c>
      <c r="G4330" s="87">
        <v>620</v>
      </c>
      <c r="H4330" s="88">
        <v>22992.076069730585</v>
      </c>
      <c r="I4330" s="89">
        <v>28</v>
      </c>
      <c r="J4330" s="90">
        <v>14508</v>
      </c>
      <c r="K4330" s="85">
        <v>0</v>
      </c>
      <c r="L4330" s="85">
        <v>232</v>
      </c>
      <c r="M4330" s="85">
        <v>0</v>
      </c>
      <c r="N4330" s="82" t="s">
        <v>11918</v>
      </c>
      <c r="O4330" s="93">
        <v>45893.651863425926</v>
      </c>
    </row>
    <row r="4331" spans="1:15" ht="22.5" customHeight="1">
      <c r="A4331" s="85">
        <v>174904221976312</v>
      </c>
      <c r="B4331" s="82" t="s">
        <v>10651</v>
      </c>
      <c r="C4331" s="82" t="s">
        <v>11905</v>
      </c>
      <c r="D4331" s="82" t="s">
        <v>11906</v>
      </c>
      <c r="E4331" s="82">
        <v>6285294617773</v>
      </c>
      <c r="F4331" s="92">
        <v>45892</v>
      </c>
      <c r="G4331" s="87">
        <v>280</v>
      </c>
      <c r="H4331" s="88">
        <v>44967.532467532466</v>
      </c>
      <c r="I4331" s="89">
        <v>13</v>
      </c>
      <c r="J4331" s="90">
        <v>13850</v>
      </c>
      <c r="K4331" s="85">
        <v>3</v>
      </c>
      <c r="L4331" s="85">
        <v>93</v>
      </c>
      <c r="M4331" s="85">
        <v>0</v>
      </c>
      <c r="N4331" s="82" t="s">
        <v>11907</v>
      </c>
      <c r="O4331" s="93">
        <v>45893.693206018521</v>
      </c>
    </row>
    <row r="4332" spans="1:15" ht="22.5" customHeight="1">
      <c r="A4332" s="85">
        <v>174904221976312</v>
      </c>
      <c r="B4332" s="82" t="s">
        <v>10651</v>
      </c>
      <c r="C4332" s="82" t="s">
        <v>11888</v>
      </c>
      <c r="D4332" s="82" t="s">
        <v>11889</v>
      </c>
      <c r="E4332" s="82">
        <v>628127962347</v>
      </c>
      <c r="F4332" s="92">
        <v>45892</v>
      </c>
      <c r="G4332" s="87">
        <v>455</v>
      </c>
      <c r="H4332" s="88">
        <v>29334.012219959266</v>
      </c>
      <c r="I4332" s="89">
        <v>14</v>
      </c>
      <c r="J4332" s="90">
        <v>14403</v>
      </c>
      <c r="K4332" s="85">
        <v>5</v>
      </c>
      <c r="L4332" s="85">
        <v>18</v>
      </c>
      <c r="M4332" s="85">
        <v>0</v>
      </c>
      <c r="N4332" s="82" t="s">
        <v>11890</v>
      </c>
      <c r="O4332" s="93">
        <v>45893.214791666665</v>
      </c>
    </row>
    <row r="4333" spans="1:15" ht="22.5" customHeight="1">
      <c r="A4333" s="85">
        <v>174904221976312</v>
      </c>
      <c r="B4333" s="82" t="s">
        <v>10651</v>
      </c>
      <c r="C4333" s="82" t="s">
        <v>11896</v>
      </c>
      <c r="D4333" s="82" t="s">
        <v>11897</v>
      </c>
      <c r="E4333" s="82">
        <v>6282153090123</v>
      </c>
      <c r="F4333" s="92">
        <v>45892</v>
      </c>
      <c r="G4333" s="87">
        <v>540</v>
      </c>
      <c r="H4333" s="88">
        <v>26549.248747913189</v>
      </c>
      <c r="I4333" s="89">
        <v>37</v>
      </c>
      <c r="J4333" s="90">
        <v>15903</v>
      </c>
      <c r="K4333" s="85">
        <v>3</v>
      </c>
      <c r="L4333" s="85">
        <v>262</v>
      </c>
      <c r="M4333" s="85">
        <v>0</v>
      </c>
      <c r="N4333" s="82" t="s">
        <v>11898</v>
      </c>
      <c r="O4333" s="93">
        <v>45893.609849537039</v>
      </c>
    </row>
    <row r="4334" spans="1:15" ht="22.5" customHeight="1">
      <c r="A4334" s="85">
        <v>174904221976312</v>
      </c>
      <c r="B4334" s="82" t="s">
        <v>10651</v>
      </c>
      <c r="C4334" s="82" t="s">
        <v>11865</v>
      </c>
      <c r="D4334" s="82" t="s">
        <v>11403</v>
      </c>
      <c r="E4334" s="82">
        <v>6283870060603</v>
      </c>
      <c r="F4334" s="92">
        <v>45892</v>
      </c>
      <c r="G4334" s="87">
        <v>552</v>
      </c>
      <c r="H4334" s="88">
        <v>27020.869565217392</v>
      </c>
      <c r="I4334" s="89">
        <v>22</v>
      </c>
      <c r="J4334" s="90">
        <v>15537</v>
      </c>
      <c r="K4334" s="85">
        <v>0</v>
      </c>
      <c r="L4334" s="85">
        <v>214</v>
      </c>
      <c r="M4334" s="85">
        <v>0</v>
      </c>
      <c r="N4334" s="82" t="s">
        <v>11866</v>
      </c>
      <c r="O4334" s="93">
        <v>45893.63082175926</v>
      </c>
    </row>
    <row r="4335" spans="1:15" ht="22.5" customHeight="1">
      <c r="A4335" s="85">
        <v>174904221976312</v>
      </c>
      <c r="B4335" s="82" t="s">
        <v>10651</v>
      </c>
      <c r="C4335" s="82" t="s">
        <v>11880</v>
      </c>
      <c r="D4335" s="82" t="s">
        <v>3805</v>
      </c>
      <c r="E4335" s="82">
        <v>6281288245836</v>
      </c>
      <c r="F4335" s="92">
        <v>45892</v>
      </c>
      <c r="G4335" s="87">
        <v>210</v>
      </c>
      <c r="H4335" s="88">
        <v>59352.17391304348</v>
      </c>
      <c r="I4335" s="89">
        <v>9</v>
      </c>
      <c r="J4335" s="90">
        <v>13651</v>
      </c>
      <c r="K4335" s="85">
        <v>0</v>
      </c>
      <c r="L4335" s="85">
        <v>50</v>
      </c>
      <c r="M4335" s="85">
        <v>0</v>
      </c>
      <c r="N4335" s="82" t="s">
        <v>11881</v>
      </c>
      <c r="O4335" s="93">
        <v>45893.25577546296</v>
      </c>
    </row>
    <row r="4336" spans="1:15" ht="22.5" customHeight="1">
      <c r="A4336" s="85">
        <v>174904221976312</v>
      </c>
      <c r="B4336" s="82" t="s">
        <v>10651</v>
      </c>
      <c r="C4336" s="82" t="s">
        <v>11838</v>
      </c>
      <c r="D4336" s="82" t="s">
        <v>11839</v>
      </c>
      <c r="E4336" s="82">
        <v>6287797504113</v>
      </c>
      <c r="F4336" s="92">
        <v>45892</v>
      </c>
      <c r="G4336" s="87">
        <v>315</v>
      </c>
      <c r="H4336" s="88">
        <v>45702.185792349723</v>
      </c>
      <c r="I4336" s="89">
        <v>10</v>
      </c>
      <c r="J4336" s="90">
        <v>16727</v>
      </c>
      <c r="K4336" s="85">
        <v>3</v>
      </c>
      <c r="L4336" s="85">
        <v>6</v>
      </c>
      <c r="M4336" s="85">
        <v>0</v>
      </c>
      <c r="N4336" s="82" t="s">
        <v>11840</v>
      </c>
      <c r="O4336" s="93">
        <v>45893.568402777775</v>
      </c>
    </row>
    <row r="4337" spans="1:15" ht="22.5" customHeight="1">
      <c r="A4337" s="85">
        <v>174904221976312</v>
      </c>
      <c r="B4337" s="82" t="s">
        <v>10651</v>
      </c>
      <c r="C4337" s="82" t="s">
        <v>11816</v>
      </c>
      <c r="D4337" s="82" t="s">
        <v>3682</v>
      </c>
      <c r="E4337" s="82">
        <v>6285602235226</v>
      </c>
      <c r="F4337" s="92">
        <v>45892</v>
      </c>
      <c r="G4337" s="87">
        <v>294</v>
      </c>
      <c r="H4337" s="88">
        <v>34149.390243902439</v>
      </c>
      <c r="I4337" s="89">
        <v>15</v>
      </c>
      <c r="J4337" s="90">
        <v>11201</v>
      </c>
      <c r="K4337" s="85">
        <v>1</v>
      </c>
      <c r="L4337" s="85">
        <v>115</v>
      </c>
      <c r="M4337" s="85">
        <v>1</v>
      </c>
      <c r="N4337" s="82" t="s">
        <v>11817</v>
      </c>
      <c r="O4337" s="93">
        <v>45893.693472222221</v>
      </c>
    </row>
    <row r="4338" spans="1:15" ht="22.5" customHeight="1">
      <c r="A4338" s="85">
        <v>174904221976312</v>
      </c>
      <c r="B4338" s="82" t="s">
        <v>10651</v>
      </c>
      <c r="C4338" s="82" t="s">
        <v>11799</v>
      </c>
      <c r="D4338" s="82" t="s">
        <v>11800</v>
      </c>
      <c r="E4338" s="82">
        <v>6285333751528</v>
      </c>
      <c r="F4338" s="92">
        <v>45892</v>
      </c>
      <c r="G4338" s="87">
        <v>1026</v>
      </c>
      <c r="H4338" s="88">
        <v>12645.569620253165</v>
      </c>
      <c r="I4338" s="89">
        <v>17</v>
      </c>
      <c r="J4338" s="90">
        <v>14985</v>
      </c>
      <c r="K4338" s="85">
        <v>1</v>
      </c>
      <c r="L4338" s="85">
        <v>0</v>
      </c>
      <c r="M4338" s="85">
        <v>0</v>
      </c>
      <c r="N4338" s="82" t="s">
        <v>11801</v>
      </c>
      <c r="O4338" s="93">
        <v>45893.693229166667</v>
      </c>
    </row>
    <row r="4339" spans="1:15" ht="22.5" customHeight="1">
      <c r="A4339" s="85">
        <v>174904221976312</v>
      </c>
      <c r="B4339" s="82" t="s">
        <v>10651</v>
      </c>
      <c r="C4339" s="82" t="s">
        <v>11766</v>
      </c>
      <c r="D4339" s="82" t="s">
        <v>11767</v>
      </c>
      <c r="E4339" s="82">
        <v>6281225101319</v>
      </c>
      <c r="F4339" s="92">
        <v>45892</v>
      </c>
      <c r="G4339" s="87">
        <v>271</v>
      </c>
      <c r="H4339" s="88">
        <v>43567.656765676569</v>
      </c>
      <c r="I4339" s="89">
        <v>9</v>
      </c>
      <c r="J4339" s="90">
        <v>13201</v>
      </c>
      <c r="K4339" s="85">
        <v>1</v>
      </c>
      <c r="L4339" s="85">
        <v>0</v>
      </c>
      <c r="M4339" s="85">
        <v>1</v>
      </c>
      <c r="N4339" s="82" t="s">
        <v>11768</v>
      </c>
      <c r="O4339" s="93">
        <v>45893.46497685185</v>
      </c>
    </row>
    <row r="4340" spans="1:15" ht="22.5" customHeight="1">
      <c r="A4340" s="85">
        <v>174904221976312</v>
      </c>
      <c r="B4340" s="82" t="s">
        <v>10651</v>
      </c>
      <c r="C4340" s="82" t="s">
        <v>11780</v>
      </c>
      <c r="D4340" s="82" t="s">
        <v>11781</v>
      </c>
      <c r="E4340" s="82">
        <v>6282129364133</v>
      </c>
      <c r="F4340" s="92">
        <v>45892</v>
      </c>
      <c r="G4340" s="87">
        <v>749</v>
      </c>
      <c r="H4340" s="88">
        <v>16993.857493857493</v>
      </c>
      <c r="I4340" s="89">
        <v>10</v>
      </c>
      <c r="J4340" s="90">
        <v>13833</v>
      </c>
      <c r="K4340" s="85">
        <v>0</v>
      </c>
      <c r="L4340" s="85">
        <v>0</v>
      </c>
      <c r="M4340" s="85">
        <v>1</v>
      </c>
      <c r="N4340" s="82" t="s">
        <v>11782</v>
      </c>
      <c r="O4340" s="93">
        <v>45893.547962962963</v>
      </c>
    </row>
    <row r="4341" spans="1:15" ht="22.5" customHeight="1">
      <c r="A4341" s="85">
        <v>174904221976312</v>
      </c>
      <c r="B4341" s="82" t="s">
        <v>10651</v>
      </c>
      <c r="C4341" s="82" t="s">
        <v>11785</v>
      </c>
      <c r="D4341" s="82" t="s">
        <v>11786</v>
      </c>
      <c r="E4341" s="82">
        <v>628557182563</v>
      </c>
      <c r="F4341" s="92">
        <v>45892</v>
      </c>
      <c r="G4341" s="87">
        <v>322</v>
      </c>
      <c r="H4341" s="88">
        <v>43883.190883190888</v>
      </c>
      <c r="I4341" s="89">
        <v>9</v>
      </c>
      <c r="J4341" s="90">
        <v>15403</v>
      </c>
      <c r="K4341" s="85">
        <v>3</v>
      </c>
      <c r="L4341" s="85">
        <v>1</v>
      </c>
      <c r="M4341" s="85">
        <v>0</v>
      </c>
      <c r="N4341" s="82" t="s">
        <v>11787</v>
      </c>
      <c r="O4341" s="93">
        <v>45893.651863425926</v>
      </c>
    </row>
    <row r="4342" spans="1:15" ht="22.5" customHeight="1">
      <c r="A4342" s="85">
        <v>174904221976312</v>
      </c>
      <c r="B4342" s="82" t="s">
        <v>10651</v>
      </c>
      <c r="C4342" s="82" t="s">
        <v>11755</v>
      </c>
      <c r="D4342" s="82" t="s">
        <v>11756</v>
      </c>
      <c r="E4342" s="82">
        <v>6281357754513</v>
      </c>
      <c r="F4342" s="92">
        <v>45892</v>
      </c>
      <c r="G4342" s="87">
        <v>450</v>
      </c>
      <c r="H4342" s="88">
        <v>26659.793814432989</v>
      </c>
      <c r="I4342" s="89">
        <v>13</v>
      </c>
      <c r="J4342" s="90">
        <v>12930</v>
      </c>
      <c r="K4342" s="85">
        <v>1</v>
      </c>
      <c r="L4342" s="85">
        <v>91</v>
      </c>
      <c r="M4342" s="85">
        <v>1</v>
      </c>
      <c r="N4342" s="82" t="s">
        <v>11757</v>
      </c>
      <c r="O4342" s="93">
        <v>45893.672638888886</v>
      </c>
    </row>
    <row r="4343" spans="1:15" ht="22.5" customHeight="1">
      <c r="A4343" s="85">
        <v>174904221976312</v>
      </c>
      <c r="B4343" s="82" t="s">
        <v>10651</v>
      </c>
      <c r="C4343" s="82" t="s">
        <v>11758</v>
      </c>
      <c r="D4343" s="82" t="s">
        <v>11759</v>
      </c>
      <c r="E4343" s="82">
        <v>6285946504405</v>
      </c>
      <c r="F4343" s="92">
        <v>45892</v>
      </c>
      <c r="G4343" s="87">
        <v>439</v>
      </c>
      <c r="H4343" s="88">
        <v>25578.740157480315</v>
      </c>
      <c r="I4343" s="89">
        <v>10</v>
      </c>
      <c r="J4343" s="90">
        <v>12994</v>
      </c>
      <c r="K4343" s="85">
        <v>1</v>
      </c>
      <c r="L4343" s="85">
        <v>0</v>
      </c>
      <c r="M4343" s="85">
        <v>0</v>
      </c>
      <c r="N4343" s="82" t="s">
        <v>11760</v>
      </c>
      <c r="O4343" s="93">
        <v>45893.568159722221</v>
      </c>
    </row>
    <row r="4344" spans="1:15" ht="22.5" customHeight="1">
      <c r="A4344" s="85">
        <v>174904221976312</v>
      </c>
      <c r="B4344" s="82" t="s">
        <v>10651</v>
      </c>
      <c r="C4344" s="82" t="s">
        <v>11761</v>
      </c>
      <c r="D4344" s="82" t="s">
        <v>3438</v>
      </c>
      <c r="E4344" s="82">
        <v>628154336558</v>
      </c>
      <c r="F4344" s="92">
        <v>45892</v>
      </c>
      <c r="G4344" s="87">
        <v>1560</v>
      </c>
      <c r="H4344" s="88">
        <v>7854.3046357615895</v>
      </c>
      <c r="I4344" s="89">
        <v>62</v>
      </c>
      <c r="J4344" s="90">
        <v>13046</v>
      </c>
      <c r="K4344" s="85">
        <v>0</v>
      </c>
      <c r="L4344" s="85">
        <v>611</v>
      </c>
      <c r="M4344" s="85">
        <v>1</v>
      </c>
      <c r="N4344" s="82" t="s">
        <v>11762</v>
      </c>
      <c r="O4344" s="93">
        <v>45893.609849537039</v>
      </c>
    </row>
    <row r="4345" spans="1:15" ht="22.5" customHeight="1">
      <c r="A4345" s="85">
        <v>174904221976312</v>
      </c>
      <c r="B4345" s="82" t="s">
        <v>10651</v>
      </c>
      <c r="C4345" s="82" t="s">
        <v>11763</v>
      </c>
      <c r="D4345" s="82" t="s">
        <v>11764</v>
      </c>
      <c r="E4345" s="82">
        <v>6282384544939</v>
      </c>
      <c r="F4345" s="92">
        <v>45892</v>
      </c>
      <c r="G4345" s="87">
        <v>470</v>
      </c>
      <c r="H4345" s="88">
        <v>26460.076045627375</v>
      </c>
      <c r="I4345" s="89">
        <v>7</v>
      </c>
      <c r="J4345" s="90">
        <v>13918</v>
      </c>
      <c r="K4345" s="85">
        <v>1</v>
      </c>
      <c r="L4345" s="85">
        <v>0</v>
      </c>
      <c r="M4345" s="85">
        <v>0</v>
      </c>
      <c r="N4345" s="82" t="s">
        <v>11765</v>
      </c>
      <c r="O4345" s="93">
        <v>45893.547708333332</v>
      </c>
    </row>
    <row r="4346" spans="1:15" ht="22.5" customHeight="1">
      <c r="A4346" s="85">
        <v>174904221976312</v>
      </c>
      <c r="B4346" s="82" t="s">
        <v>10651</v>
      </c>
      <c r="C4346" s="82" t="s">
        <v>11701</v>
      </c>
      <c r="D4346" s="82" t="s">
        <v>11702</v>
      </c>
      <c r="E4346" s="82">
        <v>6288802749485</v>
      </c>
      <c r="F4346" s="92">
        <v>45892</v>
      </c>
      <c r="G4346" s="87">
        <v>1198</v>
      </c>
      <c r="H4346" s="88">
        <v>10593.679458239278</v>
      </c>
      <c r="I4346" s="89">
        <v>78</v>
      </c>
      <c r="J4346" s="90">
        <v>14079</v>
      </c>
      <c r="K4346" s="85">
        <v>9</v>
      </c>
      <c r="L4346" s="85">
        <v>0</v>
      </c>
      <c r="M4346" s="85">
        <v>2</v>
      </c>
      <c r="N4346" s="82" t="s">
        <v>11703</v>
      </c>
      <c r="O4346" s="93">
        <v>45893.214768518519</v>
      </c>
    </row>
    <row r="4347" spans="1:15" ht="22.5" customHeight="1">
      <c r="A4347" s="85">
        <v>174904221976312</v>
      </c>
      <c r="B4347" s="82" t="s">
        <v>10651</v>
      </c>
      <c r="C4347" s="82" t="s">
        <v>11580</v>
      </c>
      <c r="D4347" s="82" t="s">
        <v>11581</v>
      </c>
      <c r="E4347" s="82">
        <v>6287790276733</v>
      </c>
      <c r="F4347" s="92">
        <v>45892</v>
      </c>
      <c r="G4347" s="87">
        <v>693</v>
      </c>
      <c r="H4347" s="88">
        <v>17063.75</v>
      </c>
      <c r="I4347" s="89">
        <v>10</v>
      </c>
      <c r="J4347" s="90">
        <v>13651</v>
      </c>
      <c r="K4347" s="85">
        <v>1</v>
      </c>
      <c r="L4347" s="85">
        <v>0</v>
      </c>
      <c r="M4347" s="85">
        <v>0</v>
      </c>
      <c r="N4347" s="82" t="s">
        <v>11582</v>
      </c>
      <c r="O4347" s="93">
        <v>45893.609837962962</v>
      </c>
    </row>
    <row r="4348" spans="1:15" ht="22.5" customHeight="1">
      <c r="A4348" s="85">
        <v>174904221976312</v>
      </c>
      <c r="B4348" s="82" t="s">
        <v>10651</v>
      </c>
      <c r="C4348" s="82" t="s">
        <v>11545</v>
      </c>
      <c r="D4348" s="82" t="s">
        <v>3140</v>
      </c>
      <c r="E4348" s="82"/>
      <c r="F4348" s="92">
        <v>45892</v>
      </c>
      <c r="G4348" s="87">
        <v>8217</v>
      </c>
      <c r="H4348" s="88">
        <v>1536.1781076066789</v>
      </c>
      <c r="I4348" s="89">
        <v>70</v>
      </c>
      <c r="J4348" s="90">
        <v>14076</v>
      </c>
      <c r="K4348" s="85">
        <v>4</v>
      </c>
      <c r="L4348" s="85">
        <v>0</v>
      </c>
      <c r="M4348" s="85">
        <v>0</v>
      </c>
      <c r="N4348" s="82" t="s">
        <v>10779</v>
      </c>
      <c r="O4348" s="93">
        <v>45893.526817129627</v>
      </c>
    </row>
    <row r="4349" spans="1:15" ht="22.5" customHeight="1">
      <c r="A4349" s="85">
        <v>174904221976312</v>
      </c>
      <c r="B4349" s="82" t="s">
        <v>10651</v>
      </c>
      <c r="C4349" s="82" t="s">
        <v>10943</v>
      </c>
      <c r="D4349" s="82" t="s">
        <v>10944</v>
      </c>
      <c r="E4349" s="82">
        <v>6285240694097</v>
      </c>
      <c r="F4349" s="92">
        <v>45892</v>
      </c>
      <c r="G4349" s="87">
        <v>911</v>
      </c>
      <c r="H4349" s="88">
        <v>13893.019038984587</v>
      </c>
      <c r="I4349" s="89">
        <v>29</v>
      </c>
      <c r="J4349" s="90">
        <v>15324</v>
      </c>
      <c r="K4349" s="85">
        <v>4</v>
      </c>
      <c r="L4349" s="85">
        <v>185</v>
      </c>
      <c r="M4349" s="85">
        <v>1</v>
      </c>
      <c r="N4349" s="82" t="s">
        <v>11910</v>
      </c>
      <c r="O4349" s="93">
        <v>45893.214803240742</v>
      </c>
    </row>
    <row r="4350" spans="1:15" ht="22.5" customHeight="1">
      <c r="A4350" s="85">
        <v>174904221976312</v>
      </c>
      <c r="B4350" s="82" t="s">
        <v>10651</v>
      </c>
      <c r="C4350" s="82" t="s">
        <v>10853</v>
      </c>
      <c r="D4350" s="82" t="s">
        <v>10854</v>
      </c>
      <c r="E4350" s="82">
        <v>6281393958199</v>
      </c>
      <c r="F4350" s="92">
        <v>45892</v>
      </c>
      <c r="G4350" s="87">
        <v>365</v>
      </c>
      <c r="H4350" s="88">
        <v>34014.01869158879</v>
      </c>
      <c r="I4350" s="89">
        <v>9</v>
      </c>
      <c r="J4350" s="90">
        <v>14558</v>
      </c>
      <c r="K4350" s="85">
        <v>1</v>
      </c>
      <c r="L4350" s="85">
        <v>125</v>
      </c>
      <c r="M4350" s="85">
        <v>0</v>
      </c>
      <c r="N4350" s="82" t="s">
        <v>10855</v>
      </c>
      <c r="O4350" s="93">
        <v>45893.589166666665</v>
      </c>
    </row>
    <row r="4351" spans="1:15" ht="22.5" customHeight="1">
      <c r="A4351" s="85">
        <v>174904221976312</v>
      </c>
      <c r="B4351" s="82" t="s">
        <v>10651</v>
      </c>
      <c r="C4351" s="82" t="s">
        <v>10655</v>
      </c>
      <c r="D4351" s="82" t="s">
        <v>3908</v>
      </c>
      <c r="E4351" s="82">
        <v>6285376667233</v>
      </c>
      <c r="F4351" s="92">
        <v>45892</v>
      </c>
      <c r="G4351" s="87">
        <v>579</v>
      </c>
      <c r="H4351" s="88">
        <v>19979.7507788162</v>
      </c>
      <c r="I4351" s="89">
        <v>14</v>
      </c>
      <c r="J4351" s="90">
        <v>12827</v>
      </c>
      <c r="K4351" s="85">
        <v>1</v>
      </c>
      <c r="L4351" s="85">
        <v>205</v>
      </c>
      <c r="M4351" s="85">
        <v>0</v>
      </c>
      <c r="N4351" s="82" t="s">
        <v>10656</v>
      </c>
      <c r="O4351" s="93">
        <v>45893.652187500003</v>
      </c>
    </row>
    <row r="4352" spans="1:15" ht="22.5" customHeight="1">
      <c r="A4352" s="85">
        <v>174904221976312</v>
      </c>
      <c r="B4352" s="82" t="s">
        <v>10651</v>
      </c>
      <c r="C4352" s="82" t="s">
        <v>63</v>
      </c>
      <c r="D4352" s="82" t="s">
        <v>55</v>
      </c>
      <c r="E4352" s="82">
        <v>6282226594414</v>
      </c>
      <c r="F4352" s="92">
        <v>45892</v>
      </c>
      <c r="G4352" s="87">
        <v>4120</v>
      </c>
      <c r="H4352" s="88">
        <v>3257.8159401144871</v>
      </c>
      <c r="I4352" s="89">
        <v>106</v>
      </c>
      <c r="J4352" s="90">
        <v>14797</v>
      </c>
      <c r="K4352" s="85">
        <v>7</v>
      </c>
      <c r="L4352" s="85">
        <v>826</v>
      </c>
      <c r="M4352" s="85">
        <v>1</v>
      </c>
      <c r="N4352" s="82" t="s">
        <v>10661</v>
      </c>
      <c r="O4352" s="93">
        <v>45893.214780092596</v>
      </c>
    </row>
    <row r="4353" spans="1:15" ht="22.5" customHeight="1">
      <c r="A4353" s="85">
        <v>759724529202804</v>
      </c>
      <c r="B4353" s="82" t="s">
        <v>10621</v>
      </c>
      <c r="C4353" s="82" t="s">
        <v>12003</v>
      </c>
      <c r="D4353" s="82" t="s">
        <v>4249</v>
      </c>
      <c r="E4353" s="82">
        <v>6287833789401</v>
      </c>
      <c r="F4353" s="92">
        <v>45893</v>
      </c>
      <c r="G4353" s="87">
        <v>1013</v>
      </c>
      <c r="H4353" s="88">
        <v>13525.641025641025</v>
      </c>
      <c r="I4353" s="89">
        <v>31</v>
      </c>
      <c r="J4353" s="90">
        <v>15825</v>
      </c>
      <c r="K4353" s="85">
        <v>7</v>
      </c>
      <c r="L4353" s="85">
        <v>219</v>
      </c>
      <c r="M4353" s="85">
        <v>0</v>
      </c>
      <c r="N4353" s="82" t="s">
        <v>12004</v>
      </c>
      <c r="O4353" s="93">
        <v>45894.214745370373</v>
      </c>
    </row>
    <row r="4354" spans="1:15" ht="22.5" customHeight="1">
      <c r="A4354" s="85">
        <v>759724529202804</v>
      </c>
      <c r="B4354" s="82" t="s">
        <v>10621</v>
      </c>
      <c r="C4354" s="82" t="s">
        <v>11037</v>
      </c>
      <c r="D4354" s="82" t="s">
        <v>199</v>
      </c>
      <c r="E4354" s="82">
        <v>6285220903499</v>
      </c>
      <c r="F4354" s="92">
        <v>45893</v>
      </c>
      <c r="G4354" s="87">
        <v>854</v>
      </c>
      <c r="H4354" s="88">
        <v>15281.03277060576</v>
      </c>
      <c r="I4354" s="89">
        <v>37</v>
      </c>
      <c r="J4354" s="90">
        <v>15388</v>
      </c>
      <c r="K4354" s="85">
        <v>3</v>
      </c>
      <c r="L4354" s="85">
        <v>273</v>
      </c>
      <c r="M4354" s="85">
        <v>1</v>
      </c>
      <c r="N4354" s="82" t="s">
        <v>11038</v>
      </c>
      <c r="O4354" s="93">
        <v>45894.484942129631</v>
      </c>
    </row>
    <row r="4355" spans="1:15" ht="22.5" customHeight="1">
      <c r="A4355" s="85">
        <v>174904221976312</v>
      </c>
      <c r="B4355" s="82" t="s">
        <v>10651</v>
      </c>
      <c r="C4355" s="82" t="s">
        <v>12036</v>
      </c>
      <c r="D4355" s="82" t="s">
        <v>12037</v>
      </c>
      <c r="E4355" s="82">
        <v>6281316807185</v>
      </c>
      <c r="F4355" s="92">
        <v>45893</v>
      </c>
      <c r="G4355" s="87">
        <v>220</v>
      </c>
      <c r="H4355" s="88">
        <v>54128.630705394193</v>
      </c>
      <c r="I4355" s="89">
        <v>7</v>
      </c>
      <c r="J4355" s="90">
        <v>13045</v>
      </c>
      <c r="K4355" s="85">
        <v>2</v>
      </c>
      <c r="L4355" s="85">
        <v>69</v>
      </c>
      <c r="M4355" s="85">
        <v>0</v>
      </c>
      <c r="N4355" s="82" t="s">
        <v>12038</v>
      </c>
      <c r="O4355" s="93">
        <v>45894.568749999999</v>
      </c>
    </row>
    <row r="4356" spans="1:15" ht="22.5" customHeight="1">
      <c r="A4356" s="85">
        <v>174904221976312</v>
      </c>
      <c r="B4356" s="82" t="s">
        <v>10651</v>
      </c>
      <c r="C4356" s="82" t="s">
        <v>12039</v>
      </c>
      <c r="D4356" s="82" t="s">
        <v>12040</v>
      </c>
      <c r="E4356" s="82">
        <v>6281330410391</v>
      </c>
      <c r="F4356" s="92">
        <v>45893</v>
      </c>
      <c r="G4356" s="87">
        <v>852</v>
      </c>
      <c r="H4356" s="88">
        <v>13365.095285857573</v>
      </c>
      <c r="I4356" s="89">
        <v>62</v>
      </c>
      <c r="J4356" s="90">
        <v>13325</v>
      </c>
      <c r="K4356" s="85">
        <v>8</v>
      </c>
      <c r="L4356" s="85">
        <v>73</v>
      </c>
      <c r="M4356" s="85">
        <v>3</v>
      </c>
      <c r="N4356" s="82" t="s">
        <v>12041</v>
      </c>
      <c r="O4356" s="93">
        <v>45894.568414351852</v>
      </c>
    </row>
    <row r="4357" spans="1:15" ht="22.5" customHeight="1">
      <c r="A4357" s="85">
        <v>174904221976312</v>
      </c>
      <c r="B4357" s="82" t="s">
        <v>10651</v>
      </c>
      <c r="C4357" s="82" t="s">
        <v>12042</v>
      </c>
      <c r="D4357" s="91" t="s">
        <v>4468</v>
      </c>
      <c r="E4357" s="82">
        <v>6285710239729</v>
      </c>
      <c r="F4357" s="92">
        <v>45893</v>
      </c>
      <c r="G4357" s="87">
        <v>103</v>
      </c>
      <c r="H4357" s="88">
        <v>108269.23076923078</v>
      </c>
      <c r="I4357" s="89">
        <v>3</v>
      </c>
      <c r="J4357" s="90">
        <v>11260</v>
      </c>
      <c r="K4357" s="85">
        <v>1</v>
      </c>
      <c r="L4357" s="85">
        <v>17</v>
      </c>
      <c r="M4357" s="85">
        <v>0</v>
      </c>
      <c r="N4357" s="82" t="s">
        <v>12043</v>
      </c>
      <c r="O4357" s="93">
        <v>45894.505914351852</v>
      </c>
    </row>
    <row r="4358" spans="1:15" ht="22.5" customHeight="1">
      <c r="A4358" s="85">
        <v>174904221976312</v>
      </c>
      <c r="B4358" s="82" t="s">
        <v>10651</v>
      </c>
      <c r="C4358" s="82" t="s">
        <v>12044</v>
      </c>
      <c r="D4358" s="82" t="s">
        <v>12045</v>
      </c>
      <c r="E4358" s="82">
        <v>6287821734079</v>
      </c>
      <c r="F4358" s="92">
        <v>45893</v>
      </c>
      <c r="G4358" s="87">
        <v>788</v>
      </c>
      <c r="H4358" s="88">
        <v>15007.633587786258</v>
      </c>
      <c r="I4358" s="89">
        <v>8</v>
      </c>
      <c r="J4358" s="90">
        <v>13762</v>
      </c>
      <c r="K4358" s="85">
        <v>0</v>
      </c>
      <c r="L4358" s="85">
        <v>0</v>
      </c>
      <c r="M4358" s="85">
        <v>0</v>
      </c>
      <c r="N4358" s="82" t="s">
        <v>12046</v>
      </c>
      <c r="O4358" s="93">
        <v>45894.631099537037</v>
      </c>
    </row>
    <row r="4359" spans="1:15" ht="22.5" customHeight="1">
      <c r="A4359" s="85">
        <v>174904221976312</v>
      </c>
      <c r="B4359" s="82" t="s">
        <v>10651</v>
      </c>
      <c r="C4359" s="82" t="s">
        <v>12047</v>
      </c>
      <c r="D4359" s="82" t="s">
        <v>4434</v>
      </c>
      <c r="E4359" s="82">
        <v>6281334257715</v>
      </c>
      <c r="F4359" s="92">
        <v>45893</v>
      </c>
      <c r="G4359" s="87">
        <v>499</v>
      </c>
      <c r="H4359" s="88">
        <v>25652.323580034423</v>
      </c>
      <c r="I4359" s="89">
        <v>15</v>
      </c>
      <c r="J4359" s="90">
        <v>14904</v>
      </c>
      <c r="K4359" s="85">
        <v>3</v>
      </c>
      <c r="L4359" s="85">
        <v>63</v>
      </c>
      <c r="M4359" s="85">
        <v>0</v>
      </c>
      <c r="N4359" s="82" t="s">
        <v>12048</v>
      </c>
      <c r="O4359" s="93">
        <v>45894.547268518516</v>
      </c>
    </row>
    <row r="4360" spans="1:15" ht="22.5" customHeight="1">
      <c r="A4360" s="85">
        <v>174904221976312</v>
      </c>
      <c r="B4360" s="82" t="s">
        <v>10651</v>
      </c>
      <c r="C4360" s="82" t="s">
        <v>12024</v>
      </c>
      <c r="D4360" s="82" t="s">
        <v>12025</v>
      </c>
      <c r="E4360" s="82">
        <v>6285166200242</v>
      </c>
      <c r="F4360" s="92">
        <v>45893</v>
      </c>
      <c r="G4360" s="87">
        <v>1056</v>
      </c>
      <c r="H4360" s="88">
        <v>10135.338345864662</v>
      </c>
      <c r="I4360" s="89">
        <v>29</v>
      </c>
      <c r="J4360" s="90">
        <v>13480</v>
      </c>
      <c r="K4360" s="85">
        <v>3</v>
      </c>
      <c r="L4360" s="85">
        <v>223</v>
      </c>
      <c r="M4360" s="85">
        <v>0</v>
      </c>
      <c r="N4360" s="82" t="s">
        <v>12026</v>
      </c>
      <c r="O4360" s="93">
        <v>45894.67255787037</v>
      </c>
    </row>
    <row r="4361" spans="1:15" ht="22.5" customHeight="1">
      <c r="A4361" s="85">
        <v>174904221976312</v>
      </c>
      <c r="B4361" s="82" t="s">
        <v>10651</v>
      </c>
      <c r="C4361" s="82" t="s">
        <v>12027</v>
      </c>
      <c r="D4361" s="82" t="s">
        <v>12028</v>
      </c>
      <c r="E4361" s="82">
        <v>6287776264559</v>
      </c>
      <c r="F4361" s="92">
        <v>45893</v>
      </c>
      <c r="G4361" s="87">
        <v>881</v>
      </c>
      <c r="H4361" s="88">
        <v>11961.085972850678</v>
      </c>
      <c r="I4361" s="89">
        <v>29</v>
      </c>
      <c r="J4361" s="90">
        <v>13217</v>
      </c>
      <c r="K4361" s="85">
        <v>4</v>
      </c>
      <c r="L4361" s="85">
        <v>290</v>
      </c>
      <c r="M4361" s="85">
        <v>1</v>
      </c>
      <c r="N4361" s="82" t="s">
        <v>12029</v>
      </c>
      <c r="O4361" s="93">
        <v>45894.589050925926</v>
      </c>
    </row>
    <row r="4362" spans="1:15" ht="22.5" customHeight="1">
      <c r="A4362" s="85">
        <v>174904221976312</v>
      </c>
      <c r="B4362" s="82" t="s">
        <v>10651</v>
      </c>
      <c r="C4362" s="82" t="s">
        <v>12030</v>
      </c>
      <c r="D4362" s="82" t="s">
        <v>12031</v>
      </c>
      <c r="E4362" s="82">
        <v>6289667480162</v>
      </c>
      <c r="F4362" s="92">
        <v>45893</v>
      </c>
      <c r="G4362" s="87">
        <v>1794</v>
      </c>
      <c r="H4362" s="88">
        <v>6447.4081529944642</v>
      </c>
      <c r="I4362" s="89">
        <v>105</v>
      </c>
      <c r="J4362" s="90">
        <v>12811</v>
      </c>
      <c r="K4362" s="85">
        <v>9</v>
      </c>
      <c r="L4362" s="85">
        <v>12</v>
      </c>
      <c r="M4362" s="85">
        <v>0</v>
      </c>
      <c r="N4362" s="82" t="s">
        <v>12032</v>
      </c>
      <c r="O4362" s="93">
        <v>45894.52679398148</v>
      </c>
    </row>
    <row r="4363" spans="1:15" ht="22.5" customHeight="1">
      <c r="A4363" s="85">
        <v>174904221976312</v>
      </c>
      <c r="B4363" s="82" t="s">
        <v>10651</v>
      </c>
      <c r="C4363" s="82" t="s">
        <v>12033</v>
      </c>
      <c r="D4363" s="82" t="s">
        <v>12034</v>
      </c>
      <c r="E4363" s="82">
        <v>62082287715351</v>
      </c>
      <c r="F4363" s="92">
        <v>45893</v>
      </c>
      <c r="G4363" s="87">
        <v>1016</v>
      </c>
      <c r="H4363" s="88">
        <v>10028.766086298258</v>
      </c>
      <c r="I4363" s="89">
        <v>129</v>
      </c>
      <c r="J4363" s="90">
        <v>13248</v>
      </c>
      <c r="K4363" s="85">
        <v>28</v>
      </c>
      <c r="L4363" s="85">
        <v>4</v>
      </c>
      <c r="M4363" s="85">
        <v>1</v>
      </c>
      <c r="N4363" s="82" t="s">
        <v>12035</v>
      </c>
      <c r="O4363" s="93">
        <v>45894.63108796296</v>
      </c>
    </row>
    <row r="4364" spans="1:15" ht="22.5" customHeight="1">
      <c r="A4364" s="85">
        <v>174904221976312</v>
      </c>
      <c r="B4364" s="82" t="s">
        <v>10651</v>
      </c>
      <c r="C4364" s="82" t="s">
        <v>12013</v>
      </c>
      <c r="D4364" s="82" t="s">
        <v>12014</v>
      </c>
      <c r="E4364" s="82">
        <v>6282154318629</v>
      </c>
      <c r="F4364" s="92">
        <v>45893</v>
      </c>
      <c r="G4364" s="87">
        <v>219</v>
      </c>
      <c r="H4364" s="88">
        <v>51574.803149606298</v>
      </c>
      <c r="I4364" s="89">
        <v>8</v>
      </c>
      <c r="J4364" s="90">
        <v>13100</v>
      </c>
      <c r="K4364" s="85">
        <v>2</v>
      </c>
      <c r="L4364" s="85">
        <v>35</v>
      </c>
      <c r="M4364" s="85">
        <v>0</v>
      </c>
      <c r="N4364" s="82" t="s">
        <v>12015</v>
      </c>
      <c r="O4364" s="93">
        <v>45894.547037037039</v>
      </c>
    </row>
    <row r="4365" spans="1:15" ht="22.5" customHeight="1">
      <c r="A4365" s="85">
        <v>174904221976312</v>
      </c>
      <c r="B4365" s="82" t="s">
        <v>10651</v>
      </c>
      <c r="C4365" s="82" t="s">
        <v>12016</v>
      </c>
      <c r="D4365" s="82" t="s">
        <v>12017</v>
      </c>
      <c r="E4365" s="82">
        <v>6281210801646</v>
      </c>
      <c r="F4365" s="92">
        <v>45893</v>
      </c>
      <c r="G4365" s="87">
        <v>296</v>
      </c>
      <c r="H4365" s="88">
        <v>42363.076923076922</v>
      </c>
      <c r="I4365" s="89">
        <v>11</v>
      </c>
      <c r="J4365" s="90">
        <v>13768</v>
      </c>
      <c r="K4365" s="85">
        <v>4</v>
      </c>
      <c r="L4365" s="85">
        <v>132</v>
      </c>
      <c r="M4365" s="85">
        <v>0</v>
      </c>
      <c r="N4365" s="82" t="s">
        <v>12018</v>
      </c>
      <c r="O4365" s="93">
        <v>45894.568749999999</v>
      </c>
    </row>
    <row r="4366" spans="1:15" ht="22.5" customHeight="1">
      <c r="A4366" s="85">
        <v>174904221976312</v>
      </c>
      <c r="B4366" s="82" t="s">
        <v>10651</v>
      </c>
      <c r="C4366" s="82" t="s">
        <v>12019</v>
      </c>
      <c r="D4366" s="82" t="s">
        <v>12020</v>
      </c>
      <c r="E4366" s="82">
        <v>6287862271550</v>
      </c>
      <c r="F4366" s="92">
        <v>45893</v>
      </c>
      <c r="G4366" s="87">
        <v>264</v>
      </c>
      <c r="H4366" s="88">
        <v>35673.13915857605</v>
      </c>
      <c r="I4366" s="89">
        <v>11</v>
      </c>
      <c r="J4366" s="90">
        <v>11023</v>
      </c>
      <c r="K4366" s="85">
        <v>1</v>
      </c>
      <c r="L4366" s="85">
        <v>91</v>
      </c>
      <c r="M4366" s="85">
        <v>0</v>
      </c>
      <c r="N4366" s="82" t="s">
        <v>12021</v>
      </c>
      <c r="O4366" s="93">
        <v>45894.547037037039</v>
      </c>
    </row>
    <row r="4367" spans="1:15" ht="22.5" customHeight="1">
      <c r="A4367" s="85">
        <v>174904221976312</v>
      </c>
      <c r="B4367" s="82" t="s">
        <v>10651</v>
      </c>
      <c r="C4367" s="82" t="s">
        <v>12022</v>
      </c>
      <c r="D4367" s="82" t="s">
        <v>11483</v>
      </c>
      <c r="E4367" s="82">
        <v>6285255115894</v>
      </c>
      <c r="F4367" s="92">
        <v>45893</v>
      </c>
      <c r="G4367" s="87">
        <v>1704</v>
      </c>
      <c r="H4367" s="88">
        <v>6542.0289855072469</v>
      </c>
      <c r="I4367" s="89">
        <v>63</v>
      </c>
      <c r="J4367" s="90">
        <v>13542</v>
      </c>
      <c r="K4367" s="85">
        <v>4</v>
      </c>
      <c r="L4367" s="85">
        <v>649</v>
      </c>
      <c r="M4367" s="85">
        <v>0</v>
      </c>
      <c r="N4367" s="82" t="s">
        <v>12023</v>
      </c>
      <c r="O4367" s="93">
        <v>45894.693599537037</v>
      </c>
    </row>
    <row r="4368" spans="1:15" ht="22.5" customHeight="1">
      <c r="A4368" s="85">
        <v>174904221976312</v>
      </c>
      <c r="B4368" s="82" t="s">
        <v>10651</v>
      </c>
      <c r="C4368" s="82" t="s">
        <v>12005</v>
      </c>
      <c r="D4368" s="82" t="s">
        <v>3092</v>
      </c>
      <c r="E4368" s="82">
        <v>6287740636181</v>
      </c>
      <c r="F4368" s="92">
        <v>45893</v>
      </c>
      <c r="G4368" s="87">
        <v>649</v>
      </c>
      <c r="H4368" s="88">
        <v>15539.109506618532</v>
      </c>
      <c r="I4368" s="89">
        <v>34</v>
      </c>
      <c r="J4368" s="90">
        <v>12913</v>
      </c>
      <c r="K4368" s="85">
        <v>8</v>
      </c>
      <c r="L4368" s="85">
        <v>36</v>
      </c>
      <c r="M4368" s="85">
        <v>0</v>
      </c>
      <c r="N4368" s="82" t="s">
        <v>12006</v>
      </c>
      <c r="O4368" s="93">
        <v>45894.568414351852</v>
      </c>
    </row>
    <row r="4369" spans="1:15" ht="22.5" customHeight="1">
      <c r="A4369" s="85">
        <v>174904221976312</v>
      </c>
      <c r="B4369" s="82" t="s">
        <v>10651</v>
      </c>
      <c r="C4369" s="82" t="s">
        <v>12007</v>
      </c>
      <c r="D4369" s="82" t="s">
        <v>9010</v>
      </c>
      <c r="E4369" s="82">
        <v>6282160743576</v>
      </c>
      <c r="F4369" s="92">
        <v>45893</v>
      </c>
      <c r="G4369" s="87">
        <v>1115</v>
      </c>
      <c r="H4369" s="88">
        <v>11459.70836531082</v>
      </c>
      <c r="I4369" s="89">
        <v>102</v>
      </c>
      <c r="J4369" s="90">
        <v>14932</v>
      </c>
      <c r="K4369" s="85">
        <v>10</v>
      </c>
      <c r="L4369" s="85">
        <v>639</v>
      </c>
      <c r="M4369" s="85">
        <v>1</v>
      </c>
      <c r="N4369" s="82" t="s">
        <v>12008</v>
      </c>
      <c r="O4369" s="93">
        <v>45894.65116898148</v>
      </c>
    </row>
    <row r="4370" spans="1:15" ht="22.5" customHeight="1">
      <c r="A4370" s="85">
        <v>174904221976312</v>
      </c>
      <c r="B4370" s="82" t="s">
        <v>10651</v>
      </c>
      <c r="C4370" s="82" t="s">
        <v>12009</v>
      </c>
      <c r="D4370" s="82" t="s">
        <v>11886</v>
      </c>
      <c r="E4370" s="82">
        <v>628179780980</v>
      </c>
      <c r="F4370" s="92">
        <v>45893</v>
      </c>
      <c r="G4370" s="87">
        <v>196</v>
      </c>
      <c r="H4370" s="88">
        <v>57438.914027149323</v>
      </c>
      <c r="I4370" s="89">
        <v>15</v>
      </c>
      <c r="J4370" s="90">
        <v>12694</v>
      </c>
      <c r="K4370" s="85">
        <v>6</v>
      </c>
      <c r="L4370" s="85">
        <v>1</v>
      </c>
      <c r="M4370" s="85">
        <v>0</v>
      </c>
      <c r="N4370" s="82" t="s">
        <v>12010</v>
      </c>
      <c r="O4370" s="93">
        <v>45894.526979166665</v>
      </c>
    </row>
    <row r="4371" spans="1:15" ht="22.5" customHeight="1">
      <c r="A4371" s="85">
        <v>174904221976312</v>
      </c>
      <c r="B4371" s="82" t="s">
        <v>10651</v>
      </c>
      <c r="C4371" s="82" t="s">
        <v>12011</v>
      </c>
      <c r="D4371" s="82" t="s">
        <v>4264</v>
      </c>
      <c r="E4371" s="82">
        <v>6285702241111</v>
      </c>
      <c r="F4371" s="92">
        <v>45893</v>
      </c>
      <c r="G4371" s="87">
        <v>191</v>
      </c>
      <c r="H4371" s="88">
        <v>62668.269230769234</v>
      </c>
      <c r="I4371" s="89">
        <v>10</v>
      </c>
      <c r="J4371" s="90">
        <v>13035</v>
      </c>
      <c r="K4371" s="85">
        <v>3</v>
      </c>
      <c r="L4371" s="85">
        <v>34</v>
      </c>
      <c r="M4371" s="85">
        <v>0</v>
      </c>
      <c r="N4371" s="82" t="s">
        <v>12012</v>
      </c>
      <c r="O4371" s="93">
        <v>45894.547025462962</v>
      </c>
    </row>
    <row r="4372" spans="1:15" ht="22.5" customHeight="1">
      <c r="A4372" s="85">
        <v>174904221976312</v>
      </c>
      <c r="B4372" s="82" t="s">
        <v>10651</v>
      </c>
      <c r="C4372" s="82" t="s">
        <v>11994</v>
      </c>
      <c r="D4372" s="82" t="s">
        <v>4233</v>
      </c>
      <c r="E4372" s="82">
        <v>6289514176661</v>
      </c>
      <c r="F4372" s="92">
        <v>45893</v>
      </c>
      <c r="G4372" s="87">
        <v>1129</v>
      </c>
      <c r="H4372" s="88">
        <v>8517.0583775587565</v>
      </c>
      <c r="I4372" s="89">
        <v>47</v>
      </c>
      <c r="J4372" s="90">
        <v>11234</v>
      </c>
      <c r="K4372" s="85">
        <v>6</v>
      </c>
      <c r="L4372" s="85">
        <v>431</v>
      </c>
      <c r="M4372" s="85">
        <v>0</v>
      </c>
      <c r="N4372" s="82" t="s">
        <v>11995</v>
      </c>
      <c r="O4372" s="93">
        <v>45894.547013888892</v>
      </c>
    </row>
    <row r="4373" spans="1:15" ht="22.5" customHeight="1">
      <c r="A4373" s="85">
        <v>174904221976312</v>
      </c>
      <c r="B4373" s="82" t="s">
        <v>10651</v>
      </c>
      <c r="C4373" s="82" t="s">
        <v>11996</v>
      </c>
      <c r="D4373" s="82" t="s">
        <v>4224</v>
      </c>
      <c r="E4373" s="82">
        <v>6285967129366</v>
      </c>
      <c r="F4373" s="92">
        <v>45893</v>
      </c>
      <c r="G4373" s="87">
        <v>165</v>
      </c>
      <c r="H4373" s="88">
        <v>43533.707865168537</v>
      </c>
      <c r="I4373" s="89">
        <v>10</v>
      </c>
      <c r="J4373" s="90">
        <v>7749</v>
      </c>
      <c r="K4373" s="85">
        <v>3</v>
      </c>
      <c r="L4373" s="85">
        <v>47</v>
      </c>
      <c r="M4373" s="85">
        <v>0</v>
      </c>
      <c r="N4373" s="82" t="s">
        <v>11997</v>
      </c>
      <c r="O4373" s="93">
        <v>45894.215312499997</v>
      </c>
    </row>
    <row r="4374" spans="1:15" ht="22.5" customHeight="1">
      <c r="A4374" s="85">
        <v>174904221976312</v>
      </c>
      <c r="B4374" s="82" t="s">
        <v>10651</v>
      </c>
      <c r="C4374" s="82" t="s">
        <v>11998</v>
      </c>
      <c r="D4374" s="82" t="s">
        <v>11999</v>
      </c>
      <c r="E4374" s="82">
        <v>628815361682</v>
      </c>
      <c r="F4374" s="92">
        <v>45893</v>
      </c>
      <c r="G4374" s="87">
        <v>1271</v>
      </c>
      <c r="H4374" s="88">
        <v>5748.4450587422252</v>
      </c>
      <c r="I4374" s="89">
        <v>40</v>
      </c>
      <c r="J4374" s="90">
        <v>8318</v>
      </c>
      <c r="K4374" s="85">
        <v>5</v>
      </c>
      <c r="L4374" s="85">
        <v>16</v>
      </c>
      <c r="M4374" s="85">
        <v>0</v>
      </c>
      <c r="N4374" s="82" t="s">
        <v>12000</v>
      </c>
      <c r="O4374" s="93">
        <v>45894.215324074074</v>
      </c>
    </row>
    <row r="4375" spans="1:15" ht="22.5" customHeight="1">
      <c r="A4375" s="85">
        <v>174904221976312</v>
      </c>
      <c r="B4375" s="82" t="s">
        <v>10651</v>
      </c>
      <c r="C4375" s="82" t="s">
        <v>12001</v>
      </c>
      <c r="D4375" s="82" t="s">
        <v>4190</v>
      </c>
      <c r="E4375" s="82">
        <v>628195131666</v>
      </c>
      <c r="F4375" s="92">
        <v>45893</v>
      </c>
      <c r="G4375" s="87">
        <v>87</v>
      </c>
      <c r="H4375" s="88">
        <v>15703.296703296703</v>
      </c>
      <c r="I4375" s="89">
        <v>1</v>
      </c>
      <c r="J4375" s="90">
        <v>1429</v>
      </c>
      <c r="K4375" s="85">
        <v>0</v>
      </c>
      <c r="L4375" s="85">
        <v>0</v>
      </c>
      <c r="M4375" s="85">
        <v>0</v>
      </c>
      <c r="N4375" s="82" t="s">
        <v>12002</v>
      </c>
      <c r="O4375" s="93">
        <v>45894.215312499997</v>
      </c>
    </row>
    <row r="4376" spans="1:15" ht="22.5" customHeight="1">
      <c r="A4376" s="85">
        <v>174904221976312</v>
      </c>
      <c r="B4376" s="82" t="s">
        <v>10651</v>
      </c>
      <c r="C4376" s="82" t="s">
        <v>11916</v>
      </c>
      <c r="D4376" s="82" t="s">
        <v>11917</v>
      </c>
      <c r="E4376" s="82">
        <v>6281339823715</v>
      </c>
      <c r="F4376" s="92">
        <v>45893</v>
      </c>
      <c r="G4376" s="87">
        <v>937</v>
      </c>
      <c r="H4376" s="88">
        <v>13937.113402061856</v>
      </c>
      <c r="I4376" s="89">
        <v>29</v>
      </c>
      <c r="J4376" s="90">
        <v>13519</v>
      </c>
      <c r="K4376" s="85">
        <v>0</v>
      </c>
      <c r="L4376" s="85">
        <v>364</v>
      </c>
      <c r="M4376" s="85">
        <v>0</v>
      </c>
      <c r="N4376" s="82" t="s">
        <v>11918</v>
      </c>
      <c r="O4376" s="93">
        <v>45894.215300925927</v>
      </c>
    </row>
    <row r="4377" spans="1:15" ht="22.5" customHeight="1">
      <c r="A4377" s="85">
        <v>174904221976312</v>
      </c>
      <c r="B4377" s="82" t="s">
        <v>10651</v>
      </c>
      <c r="C4377" s="82" t="s">
        <v>11905</v>
      </c>
      <c r="D4377" s="82" t="s">
        <v>11906</v>
      </c>
      <c r="E4377" s="82">
        <v>6285294617773</v>
      </c>
      <c r="F4377" s="92">
        <v>45893</v>
      </c>
      <c r="G4377" s="87">
        <v>343</v>
      </c>
      <c r="H4377" s="88">
        <v>31757.009345794395</v>
      </c>
      <c r="I4377" s="89">
        <v>23</v>
      </c>
      <c r="J4377" s="90">
        <v>13592</v>
      </c>
      <c r="K4377" s="85">
        <v>0</v>
      </c>
      <c r="L4377" s="85">
        <v>129</v>
      </c>
      <c r="M4377" s="85">
        <v>0</v>
      </c>
      <c r="N4377" s="82" t="s">
        <v>11907</v>
      </c>
      <c r="O4377" s="93">
        <v>45894.297199074077</v>
      </c>
    </row>
    <row r="4378" spans="1:15" ht="22.5" customHeight="1">
      <c r="A4378" s="85">
        <v>174904221976312</v>
      </c>
      <c r="B4378" s="82" t="s">
        <v>10651</v>
      </c>
      <c r="C4378" s="82" t="s">
        <v>11896</v>
      </c>
      <c r="D4378" s="82" t="s">
        <v>11897</v>
      </c>
      <c r="E4378" s="82">
        <v>6282153090123</v>
      </c>
      <c r="F4378" s="92">
        <v>45893</v>
      </c>
      <c r="G4378" s="87">
        <v>433</v>
      </c>
      <c r="H4378" s="88">
        <v>26126.705653021443</v>
      </c>
      <c r="I4378" s="89">
        <v>25</v>
      </c>
      <c r="J4378" s="90">
        <v>13403</v>
      </c>
      <c r="K4378" s="85">
        <v>3</v>
      </c>
      <c r="L4378" s="85">
        <v>212</v>
      </c>
      <c r="M4378" s="85">
        <v>0</v>
      </c>
      <c r="N4378" s="82" t="s">
        <v>11898</v>
      </c>
      <c r="O4378" s="93">
        <v>45894.547025462962</v>
      </c>
    </row>
    <row r="4379" spans="1:15" ht="22.5" customHeight="1">
      <c r="A4379" s="85">
        <v>174904221976312</v>
      </c>
      <c r="B4379" s="82" t="s">
        <v>10651</v>
      </c>
      <c r="C4379" s="82" t="s">
        <v>11865</v>
      </c>
      <c r="D4379" s="82" t="s">
        <v>11403</v>
      </c>
      <c r="E4379" s="82">
        <v>6283870060603</v>
      </c>
      <c r="F4379" s="92">
        <v>45893</v>
      </c>
      <c r="G4379" s="87">
        <v>599</v>
      </c>
      <c r="H4379" s="88">
        <v>22897.858319604613</v>
      </c>
      <c r="I4379" s="89">
        <v>28</v>
      </c>
      <c r="J4379" s="90">
        <v>13899</v>
      </c>
      <c r="K4379" s="85">
        <v>0</v>
      </c>
      <c r="L4379" s="85">
        <v>207</v>
      </c>
      <c r="M4379" s="85">
        <v>0</v>
      </c>
      <c r="N4379" s="82" t="s">
        <v>11866</v>
      </c>
      <c r="O4379" s="93">
        <v>45894.735011574077</v>
      </c>
    </row>
    <row r="4380" spans="1:15" ht="22.5" customHeight="1">
      <c r="A4380" s="85">
        <v>174904221976312</v>
      </c>
      <c r="B4380" s="82" t="s">
        <v>10651</v>
      </c>
      <c r="C4380" s="82" t="s">
        <v>11876</v>
      </c>
      <c r="D4380" s="82" t="s">
        <v>11877</v>
      </c>
      <c r="E4380" s="82">
        <v>6285748377961</v>
      </c>
      <c r="F4380" s="92">
        <v>45893</v>
      </c>
      <c r="G4380" s="87">
        <v>1386</v>
      </c>
      <c r="H4380" s="88">
        <v>9244.4733420026023</v>
      </c>
      <c r="I4380" s="89">
        <v>23</v>
      </c>
      <c r="J4380" s="90">
        <v>14218</v>
      </c>
      <c r="K4380" s="85">
        <v>5</v>
      </c>
      <c r="L4380" s="85">
        <v>349</v>
      </c>
      <c r="M4380" s="85">
        <v>0</v>
      </c>
      <c r="N4380" s="82" t="s">
        <v>11878</v>
      </c>
      <c r="O4380" s="93">
        <v>45894.589236111111</v>
      </c>
    </row>
    <row r="4381" spans="1:15" ht="22.5" customHeight="1">
      <c r="A4381" s="85">
        <v>174904221976312</v>
      </c>
      <c r="B4381" s="82" t="s">
        <v>10651</v>
      </c>
      <c r="C4381" s="82" t="s">
        <v>11879</v>
      </c>
      <c r="D4381" s="82" t="s">
        <v>11877</v>
      </c>
      <c r="E4381" s="82">
        <v>6285748377961</v>
      </c>
      <c r="F4381" s="92">
        <v>45893</v>
      </c>
      <c r="G4381" s="87">
        <v>646</v>
      </c>
      <c r="H4381" s="88">
        <v>17835.971223021585</v>
      </c>
      <c r="I4381" s="89">
        <v>12</v>
      </c>
      <c r="J4381" s="90">
        <v>12396</v>
      </c>
      <c r="K4381" s="85">
        <v>1</v>
      </c>
      <c r="L4381" s="85">
        <v>4</v>
      </c>
      <c r="M4381" s="85">
        <v>0</v>
      </c>
      <c r="N4381" s="82" t="s">
        <v>11878</v>
      </c>
      <c r="O4381" s="93">
        <v>45894.568402777775</v>
      </c>
    </row>
    <row r="4382" spans="1:15" ht="22.5" customHeight="1">
      <c r="A4382" s="85">
        <v>174904221976312</v>
      </c>
      <c r="B4382" s="82" t="s">
        <v>10651</v>
      </c>
      <c r="C4382" s="82" t="s">
        <v>11880</v>
      </c>
      <c r="D4382" s="82" t="s">
        <v>3805</v>
      </c>
      <c r="E4382" s="82">
        <v>6281288245836</v>
      </c>
      <c r="F4382" s="92">
        <v>45893</v>
      </c>
      <c r="G4382" s="87">
        <v>292</v>
      </c>
      <c r="H4382" s="88">
        <v>48716.56050955414</v>
      </c>
      <c r="I4382" s="89">
        <v>3</v>
      </c>
      <c r="J4382" s="90">
        <v>15297</v>
      </c>
      <c r="K4382" s="85">
        <v>0</v>
      </c>
      <c r="L4382" s="85">
        <v>0</v>
      </c>
      <c r="M4382" s="85">
        <v>1</v>
      </c>
      <c r="N4382" s="82" t="s">
        <v>11881</v>
      </c>
      <c r="O4382" s="93">
        <v>45894.21533564815</v>
      </c>
    </row>
    <row r="4383" spans="1:15" ht="22.5" customHeight="1">
      <c r="A4383" s="85">
        <v>174904221976312</v>
      </c>
      <c r="B4383" s="82" t="s">
        <v>10651</v>
      </c>
      <c r="C4383" s="82" t="s">
        <v>11838</v>
      </c>
      <c r="D4383" s="82" t="s">
        <v>11839</v>
      </c>
      <c r="E4383" s="82">
        <v>6287797504113</v>
      </c>
      <c r="F4383" s="92">
        <v>45893</v>
      </c>
      <c r="G4383" s="87">
        <v>227</v>
      </c>
      <c r="H4383" s="88">
        <v>42766.798418972328</v>
      </c>
      <c r="I4383" s="89">
        <v>10</v>
      </c>
      <c r="J4383" s="90">
        <v>10820</v>
      </c>
      <c r="K4383" s="85">
        <v>1</v>
      </c>
      <c r="L4383" s="85">
        <v>12</v>
      </c>
      <c r="M4383" s="85">
        <v>0</v>
      </c>
      <c r="N4383" s="82" t="s">
        <v>11840</v>
      </c>
      <c r="O4383" s="93">
        <v>45894.589062500003</v>
      </c>
    </row>
    <row r="4384" spans="1:15" ht="22.5" customHeight="1">
      <c r="A4384" s="85">
        <v>174904221976312</v>
      </c>
      <c r="B4384" s="82" t="s">
        <v>10651</v>
      </c>
      <c r="C4384" s="82" t="s">
        <v>11816</v>
      </c>
      <c r="D4384" s="82" t="s">
        <v>3682</v>
      </c>
      <c r="E4384" s="82">
        <v>6285602235226</v>
      </c>
      <c r="F4384" s="92">
        <v>45893</v>
      </c>
      <c r="G4384" s="87">
        <v>357</v>
      </c>
      <c r="H4384" s="88">
        <v>30647.61904761905</v>
      </c>
      <c r="I4384" s="89">
        <v>23</v>
      </c>
      <c r="J4384" s="90">
        <v>12872</v>
      </c>
      <c r="K4384" s="85">
        <v>1</v>
      </c>
      <c r="L4384" s="85">
        <v>41</v>
      </c>
      <c r="M4384" s="85">
        <v>0</v>
      </c>
      <c r="N4384" s="82" t="s">
        <v>11817</v>
      </c>
      <c r="O4384" s="93">
        <v>45894.65115740741</v>
      </c>
    </row>
    <row r="4385" spans="1:15" ht="22.5" customHeight="1">
      <c r="A4385" s="85">
        <v>174904221976312</v>
      </c>
      <c r="B4385" s="82" t="s">
        <v>10651</v>
      </c>
      <c r="C4385" s="82" t="s">
        <v>11799</v>
      </c>
      <c r="D4385" s="82" t="s">
        <v>11800</v>
      </c>
      <c r="E4385" s="82">
        <v>6285333751528</v>
      </c>
      <c r="F4385" s="92">
        <v>45893</v>
      </c>
      <c r="G4385" s="87">
        <v>1081</v>
      </c>
      <c r="H4385" s="88">
        <v>13099.173553719009</v>
      </c>
      <c r="I4385" s="89">
        <v>23</v>
      </c>
      <c r="J4385" s="90">
        <v>15850</v>
      </c>
      <c r="K4385" s="85">
        <v>0</v>
      </c>
      <c r="L4385" s="85">
        <v>11</v>
      </c>
      <c r="M4385" s="85">
        <v>0</v>
      </c>
      <c r="N4385" s="82" t="s">
        <v>11801</v>
      </c>
      <c r="O4385" s="93">
        <v>45894.526979166665</v>
      </c>
    </row>
    <row r="4386" spans="1:15" ht="22.5" customHeight="1">
      <c r="A4386" s="85">
        <v>174904221976312</v>
      </c>
      <c r="B4386" s="82" t="s">
        <v>10651</v>
      </c>
      <c r="C4386" s="82" t="s">
        <v>11766</v>
      </c>
      <c r="D4386" s="82" t="s">
        <v>11767</v>
      </c>
      <c r="E4386" s="82">
        <v>6281225101319</v>
      </c>
      <c r="F4386" s="92">
        <v>45893</v>
      </c>
      <c r="G4386" s="87">
        <v>153</v>
      </c>
      <c r="H4386" s="88">
        <v>57709.677419354841</v>
      </c>
      <c r="I4386" s="89">
        <v>3</v>
      </c>
      <c r="J4386" s="90">
        <v>10734</v>
      </c>
      <c r="K4386" s="85">
        <v>1</v>
      </c>
      <c r="L4386" s="85">
        <v>0</v>
      </c>
      <c r="M4386" s="85">
        <v>0</v>
      </c>
      <c r="N4386" s="82" t="s">
        <v>11768</v>
      </c>
      <c r="O4386" s="93">
        <v>45894.484988425924</v>
      </c>
    </row>
    <row r="4387" spans="1:15" ht="22.5" customHeight="1">
      <c r="A4387" s="85">
        <v>174904221976312</v>
      </c>
      <c r="B4387" s="82" t="s">
        <v>10651</v>
      </c>
      <c r="C4387" s="82" t="s">
        <v>11780</v>
      </c>
      <c r="D4387" s="82" t="s">
        <v>11781</v>
      </c>
      <c r="E4387" s="82">
        <v>6282129364133</v>
      </c>
      <c r="F4387" s="92">
        <v>45893</v>
      </c>
      <c r="G4387" s="87">
        <v>595</v>
      </c>
      <c r="H4387" s="88">
        <v>19841.791044776121</v>
      </c>
      <c r="I4387" s="89">
        <v>13</v>
      </c>
      <c r="J4387" s="90">
        <v>13294</v>
      </c>
      <c r="K4387" s="85">
        <v>0</v>
      </c>
      <c r="L4387" s="85">
        <v>0</v>
      </c>
      <c r="M4387" s="85">
        <v>0</v>
      </c>
      <c r="N4387" s="82" t="s">
        <v>11782</v>
      </c>
      <c r="O4387" s="93">
        <v>45894.442916666667</v>
      </c>
    </row>
    <row r="4388" spans="1:15" ht="22.5" customHeight="1">
      <c r="A4388" s="85">
        <v>174904221976312</v>
      </c>
      <c r="B4388" s="82" t="s">
        <v>10651</v>
      </c>
      <c r="C4388" s="82" t="s">
        <v>11785</v>
      </c>
      <c r="D4388" s="82" t="s">
        <v>11786</v>
      </c>
      <c r="E4388" s="82">
        <v>628557182563</v>
      </c>
      <c r="F4388" s="92">
        <v>45893</v>
      </c>
      <c r="G4388" s="87">
        <v>288</v>
      </c>
      <c r="H4388" s="88">
        <v>37200.557103064064</v>
      </c>
      <c r="I4388" s="89">
        <v>10</v>
      </c>
      <c r="J4388" s="90">
        <v>13355</v>
      </c>
      <c r="K4388" s="85">
        <v>0</v>
      </c>
      <c r="L4388" s="85">
        <v>0</v>
      </c>
      <c r="M4388" s="85">
        <v>0</v>
      </c>
      <c r="N4388" s="82" t="s">
        <v>11787</v>
      </c>
      <c r="O4388" s="93">
        <v>45894.215324074074</v>
      </c>
    </row>
    <row r="4389" spans="1:15" ht="22.5" customHeight="1">
      <c r="A4389" s="85">
        <v>174904221976312</v>
      </c>
      <c r="B4389" s="82" t="s">
        <v>10651</v>
      </c>
      <c r="C4389" s="82" t="s">
        <v>11755</v>
      </c>
      <c r="D4389" s="82" t="s">
        <v>11756</v>
      </c>
      <c r="E4389" s="82">
        <v>6281357754513</v>
      </c>
      <c r="F4389" s="92">
        <v>45893</v>
      </c>
      <c r="G4389" s="87">
        <v>415</v>
      </c>
      <c r="H4389" s="88">
        <v>27407.809110629067</v>
      </c>
      <c r="I4389" s="89">
        <v>12</v>
      </c>
      <c r="J4389" s="90">
        <v>12635</v>
      </c>
      <c r="K4389" s="85">
        <v>2</v>
      </c>
      <c r="L4389" s="85">
        <v>125</v>
      </c>
      <c r="M4389" s="85">
        <v>0</v>
      </c>
      <c r="N4389" s="82" t="s">
        <v>11757</v>
      </c>
      <c r="O4389" s="93">
        <v>45894.672581018516</v>
      </c>
    </row>
    <row r="4390" spans="1:15" ht="22.5" customHeight="1">
      <c r="A4390" s="85">
        <v>174904221976312</v>
      </c>
      <c r="B4390" s="82" t="s">
        <v>10651</v>
      </c>
      <c r="C4390" s="82" t="s">
        <v>11758</v>
      </c>
      <c r="D4390" s="82" t="s">
        <v>11759</v>
      </c>
      <c r="E4390" s="82">
        <v>6285946504405</v>
      </c>
      <c r="F4390" s="92">
        <v>45893</v>
      </c>
      <c r="G4390" s="87">
        <v>261</v>
      </c>
      <c r="H4390" s="88">
        <v>40101.538461538461</v>
      </c>
      <c r="I4390" s="89">
        <v>11</v>
      </c>
      <c r="J4390" s="90">
        <v>13033</v>
      </c>
      <c r="K4390" s="85">
        <v>4</v>
      </c>
      <c r="L4390" s="85">
        <v>0</v>
      </c>
      <c r="M4390" s="85">
        <v>0</v>
      </c>
      <c r="N4390" s="82" t="s">
        <v>11760</v>
      </c>
      <c r="O4390" s="93">
        <v>45894.506249999999</v>
      </c>
    </row>
    <row r="4391" spans="1:15" ht="22.5" customHeight="1">
      <c r="A4391" s="85">
        <v>174904221976312</v>
      </c>
      <c r="B4391" s="82" t="s">
        <v>10651</v>
      </c>
      <c r="C4391" s="82" t="s">
        <v>11761</v>
      </c>
      <c r="D4391" s="82" t="s">
        <v>3438</v>
      </c>
      <c r="E4391" s="82">
        <v>628154336558</v>
      </c>
      <c r="F4391" s="92">
        <v>45893</v>
      </c>
      <c r="G4391" s="87">
        <v>1723</v>
      </c>
      <c r="H4391" s="88">
        <v>7084.7268673355629</v>
      </c>
      <c r="I4391" s="89">
        <v>76</v>
      </c>
      <c r="J4391" s="90">
        <v>12710</v>
      </c>
      <c r="K4391" s="85">
        <v>0</v>
      </c>
      <c r="L4391" s="85">
        <v>714</v>
      </c>
      <c r="M4391" s="85">
        <v>0</v>
      </c>
      <c r="N4391" s="82" t="s">
        <v>11762</v>
      </c>
      <c r="O4391" s="93">
        <v>45894.631099537037</v>
      </c>
    </row>
    <row r="4392" spans="1:15" ht="22.5" customHeight="1">
      <c r="A4392" s="85">
        <v>174904221976312</v>
      </c>
      <c r="B4392" s="82" t="s">
        <v>10651</v>
      </c>
      <c r="C4392" s="82" t="s">
        <v>11763</v>
      </c>
      <c r="D4392" s="82" t="s">
        <v>11764</v>
      </c>
      <c r="E4392" s="82">
        <v>6282384544939</v>
      </c>
      <c r="F4392" s="92">
        <v>45893</v>
      </c>
      <c r="G4392" s="87">
        <v>312</v>
      </c>
      <c r="H4392" s="88">
        <v>32388.12785388128</v>
      </c>
      <c r="I4392" s="89">
        <v>5</v>
      </c>
      <c r="J4392" s="90">
        <v>14186</v>
      </c>
      <c r="K4392" s="85">
        <v>2</v>
      </c>
      <c r="L4392" s="85">
        <v>0</v>
      </c>
      <c r="M4392" s="85">
        <v>0</v>
      </c>
      <c r="N4392" s="82" t="s">
        <v>11765</v>
      </c>
      <c r="O4392" s="93">
        <v>45894.526770833334</v>
      </c>
    </row>
    <row r="4393" spans="1:15" ht="22.5" customHeight="1">
      <c r="A4393" s="85">
        <v>174904221976312</v>
      </c>
      <c r="B4393" s="82" t="s">
        <v>10651</v>
      </c>
      <c r="C4393" s="82" t="s">
        <v>11701</v>
      </c>
      <c r="D4393" s="82" t="s">
        <v>11702</v>
      </c>
      <c r="E4393" s="82">
        <v>6288802749485</v>
      </c>
      <c r="F4393" s="92">
        <v>45893</v>
      </c>
      <c r="G4393" s="87">
        <v>1112</v>
      </c>
      <c r="H4393" s="88">
        <v>8264.0728476821187</v>
      </c>
      <c r="I4393" s="89">
        <v>78</v>
      </c>
      <c r="J4393" s="90">
        <v>9983</v>
      </c>
      <c r="K4393" s="85">
        <v>8</v>
      </c>
      <c r="L4393" s="85">
        <v>0</v>
      </c>
      <c r="M4393" s="85">
        <v>1</v>
      </c>
      <c r="N4393" s="82" t="s">
        <v>11703</v>
      </c>
      <c r="O4393" s="93">
        <v>45894.215312499997</v>
      </c>
    </row>
    <row r="4394" spans="1:15" ht="22.5" customHeight="1">
      <c r="A4394" s="85">
        <v>174904221976312</v>
      </c>
      <c r="B4394" s="82" t="s">
        <v>10651</v>
      </c>
      <c r="C4394" s="82" t="s">
        <v>11580</v>
      </c>
      <c r="D4394" s="82" t="s">
        <v>11581</v>
      </c>
      <c r="E4394" s="82">
        <v>6287790276733</v>
      </c>
      <c r="F4394" s="92">
        <v>45893</v>
      </c>
      <c r="G4394" s="87">
        <v>596</v>
      </c>
      <c r="H4394" s="88">
        <v>19598.039215686273</v>
      </c>
      <c r="I4394" s="89">
        <v>11</v>
      </c>
      <c r="J4394" s="90">
        <v>13993</v>
      </c>
      <c r="K4394" s="85">
        <v>2</v>
      </c>
      <c r="L4394" s="85">
        <v>0</v>
      </c>
      <c r="M4394" s="85">
        <v>0</v>
      </c>
      <c r="N4394" s="82" t="s">
        <v>11582</v>
      </c>
      <c r="O4394" s="93">
        <v>45894.52679398148</v>
      </c>
    </row>
    <row r="4395" spans="1:15" ht="22.5" customHeight="1">
      <c r="A4395" s="85">
        <v>174904221976312</v>
      </c>
      <c r="B4395" s="82" t="s">
        <v>10651</v>
      </c>
      <c r="C4395" s="82" t="s">
        <v>11545</v>
      </c>
      <c r="D4395" s="82" t="s">
        <v>3140</v>
      </c>
      <c r="E4395" s="82"/>
      <c r="F4395" s="92">
        <v>45893</v>
      </c>
      <c r="G4395" s="87">
        <v>5605</v>
      </c>
      <c r="H4395" s="88">
        <v>1971.1832338815311</v>
      </c>
      <c r="I4395" s="89">
        <v>56</v>
      </c>
      <c r="J4395" s="90">
        <v>13544</v>
      </c>
      <c r="K4395" s="85">
        <v>8</v>
      </c>
      <c r="L4395" s="85">
        <v>0</v>
      </c>
      <c r="M4395" s="85">
        <v>0</v>
      </c>
      <c r="N4395" s="82" t="s">
        <v>10779</v>
      </c>
      <c r="O4395" s="93">
        <v>45894.505914351852</v>
      </c>
    </row>
    <row r="4396" spans="1:15" ht="22.5" customHeight="1">
      <c r="A4396" s="85">
        <v>174904221976312</v>
      </c>
      <c r="B4396" s="82" t="s">
        <v>10651</v>
      </c>
      <c r="C4396" s="82" t="s">
        <v>11193</v>
      </c>
      <c r="D4396" s="82" t="s">
        <v>11194</v>
      </c>
      <c r="E4396" s="82">
        <v>6281779578317</v>
      </c>
      <c r="F4396" s="92">
        <v>45893</v>
      </c>
      <c r="G4396" s="87">
        <v>792</v>
      </c>
      <c r="H4396" s="88">
        <v>14989.5178197065</v>
      </c>
      <c r="I4396" s="89">
        <v>51</v>
      </c>
      <c r="J4396" s="90">
        <v>14300</v>
      </c>
      <c r="K4396" s="85">
        <v>3</v>
      </c>
      <c r="L4396" s="85">
        <v>250</v>
      </c>
      <c r="M4396" s="85">
        <v>0</v>
      </c>
      <c r="N4396" s="82" t="s">
        <v>11195</v>
      </c>
      <c r="O4396" s="93">
        <v>45894.631099537037</v>
      </c>
    </row>
    <row r="4397" spans="1:15" ht="22.5" customHeight="1">
      <c r="A4397" s="85">
        <v>174904221976312</v>
      </c>
      <c r="B4397" s="82" t="s">
        <v>10651</v>
      </c>
      <c r="C4397" s="82" t="s">
        <v>10943</v>
      </c>
      <c r="D4397" s="82" t="s">
        <v>10944</v>
      </c>
      <c r="E4397" s="82">
        <v>6285240694097</v>
      </c>
      <c r="F4397" s="92">
        <v>45893</v>
      </c>
      <c r="G4397" s="87">
        <v>567</v>
      </c>
      <c r="H4397" s="88">
        <v>14300.1443001443</v>
      </c>
      <c r="I4397" s="89">
        <v>22</v>
      </c>
      <c r="J4397" s="90">
        <v>9910</v>
      </c>
      <c r="K4397" s="85">
        <v>4</v>
      </c>
      <c r="L4397" s="85">
        <v>97</v>
      </c>
      <c r="M4397" s="85">
        <v>1</v>
      </c>
      <c r="N4397" s="82" t="s">
        <v>11910</v>
      </c>
      <c r="O4397" s="93">
        <v>45894.215300925927</v>
      </c>
    </row>
    <row r="4398" spans="1:15" ht="22.5" customHeight="1">
      <c r="A4398" s="85">
        <v>174904221976312</v>
      </c>
      <c r="B4398" s="82" t="s">
        <v>10651</v>
      </c>
      <c r="C4398" s="82" t="s">
        <v>10853</v>
      </c>
      <c r="D4398" s="82" t="s">
        <v>10854</v>
      </c>
      <c r="E4398" s="82">
        <v>6281393958199</v>
      </c>
      <c r="F4398" s="92">
        <v>45893</v>
      </c>
      <c r="G4398" s="87">
        <v>324</v>
      </c>
      <c r="H4398" s="88">
        <v>30982.412060301507</v>
      </c>
      <c r="I4398" s="89">
        <v>11</v>
      </c>
      <c r="J4398" s="90">
        <v>12331</v>
      </c>
      <c r="K4398" s="85">
        <v>2</v>
      </c>
      <c r="L4398" s="85">
        <v>117</v>
      </c>
      <c r="M4398" s="85">
        <v>0</v>
      </c>
      <c r="N4398" s="82" t="s">
        <v>10855</v>
      </c>
      <c r="O4398" s="93">
        <v>45894.693599537037</v>
      </c>
    </row>
    <row r="4399" spans="1:15" ht="22.5" customHeight="1">
      <c r="A4399" s="85">
        <v>759724529202804</v>
      </c>
      <c r="B4399" s="82" t="s">
        <v>10621</v>
      </c>
      <c r="C4399" s="82" t="s">
        <v>12049</v>
      </c>
      <c r="D4399" s="82" t="s">
        <v>12050</v>
      </c>
      <c r="E4399" s="82">
        <v>6282267832085</v>
      </c>
      <c r="F4399" s="92">
        <v>45894</v>
      </c>
      <c r="G4399" s="87">
        <v>828</v>
      </c>
      <c r="H4399" s="88">
        <v>14043.660789252728</v>
      </c>
      <c r="I4399" s="89">
        <v>27</v>
      </c>
      <c r="J4399" s="90">
        <v>16726</v>
      </c>
      <c r="K4399" s="85">
        <v>4</v>
      </c>
      <c r="L4399" s="85">
        <v>254</v>
      </c>
      <c r="M4399" s="85">
        <v>1</v>
      </c>
      <c r="N4399" s="82" t="s">
        <v>12051</v>
      </c>
      <c r="O4399" s="93">
        <v>45895.651631944442</v>
      </c>
    </row>
    <row r="4400" spans="1:15" ht="22.5" customHeight="1">
      <c r="A4400" s="85">
        <v>759724529202804</v>
      </c>
      <c r="B4400" s="82" t="s">
        <v>10621</v>
      </c>
      <c r="C4400" s="82" t="s">
        <v>12003</v>
      </c>
      <c r="D4400" s="82" t="s">
        <v>4249</v>
      </c>
      <c r="E4400" s="82">
        <v>6287833789401</v>
      </c>
      <c r="F4400" s="92">
        <v>45894</v>
      </c>
      <c r="G4400" s="87">
        <v>781</v>
      </c>
      <c r="H4400" s="88">
        <v>15052.009456264776</v>
      </c>
      <c r="I4400" s="89">
        <v>29</v>
      </c>
      <c r="J4400" s="90">
        <v>12734</v>
      </c>
      <c r="K4400" s="85">
        <v>3</v>
      </c>
      <c r="L4400" s="85">
        <v>127</v>
      </c>
      <c r="M4400" s="85">
        <v>0</v>
      </c>
      <c r="N4400" s="82" t="s">
        <v>12004</v>
      </c>
      <c r="O4400" s="93">
        <v>45895.215254629627</v>
      </c>
    </row>
    <row r="4401" spans="1:15" ht="22.5" customHeight="1">
      <c r="A4401" s="85">
        <v>759724529202804</v>
      </c>
      <c r="B4401" s="82" t="s">
        <v>10621</v>
      </c>
      <c r="C4401" s="82" t="s">
        <v>11037</v>
      </c>
      <c r="D4401" s="82" t="s">
        <v>199</v>
      </c>
      <c r="E4401" s="82">
        <v>6285220903499</v>
      </c>
      <c r="F4401" s="92">
        <v>45894</v>
      </c>
      <c r="G4401" s="87">
        <v>719</v>
      </c>
      <c r="H4401" s="88">
        <v>17787.916152897658</v>
      </c>
      <c r="I4401" s="89">
        <v>21</v>
      </c>
      <c r="J4401" s="90">
        <v>14426</v>
      </c>
      <c r="K4401" s="85">
        <v>5</v>
      </c>
      <c r="L4401" s="85">
        <v>214</v>
      </c>
      <c r="M4401" s="85">
        <v>0</v>
      </c>
      <c r="N4401" s="82" t="s">
        <v>11038</v>
      </c>
      <c r="O4401" s="93">
        <v>45895.215254629627</v>
      </c>
    </row>
    <row r="4402" spans="1:15" ht="22.5" customHeight="1">
      <c r="A4402" s="85">
        <v>174904221976312</v>
      </c>
      <c r="B4402" s="82" t="s">
        <v>10651</v>
      </c>
      <c r="C4402" s="82" t="s">
        <v>12052</v>
      </c>
      <c r="D4402" s="82" t="s">
        <v>4366</v>
      </c>
      <c r="E4402" s="82">
        <v>6287842913251</v>
      </c>
      <c r="F4402" s="92">
        <v>45894</v>
      </c>
      <c r="G4402" s="87">
        <v>331</v>
      </c>
      <c r="H4402" s="88">
        <v>33960.563380281688</v>
      </c>
      <c r="I4402" s="89">
        <v>2</v>
      </c>
      <c r="J4402" s="90">
        <v>12056</v>
      </c>
      <c r="K4402" s="85">
        <v>0</v>
      </c>
      <c r="L4402" s="85">
        <v>23</v>
      </c>
      <c r="M4402" s="85">
        <v>0</v>
      </c>
      <c r="N4402" s="82" t="s">
        <v>12053</v>
      </c>
      <c r="O4402" s="93">
        <v>45895.672511574077</v>
      </c>
    </row>
    <row r="4403" spans="1:15" ht="22.5" customHeight="1">
      <c r="A4403" s="85">
        <v>174904221976312</v>
      </c>
      <c r="B4403" s="82" t="s">
        <v>10651</v>
      </c>
      <c r="C4403" s="82" t="s">
        <v>12054</v>
      </c>
      <c r="D4403" s="82" t="s">
        <v>4485</v>
      </c>
      <c r="E4403" s="82">
        <v>6285169730762</v>
      </c>
      <c r="F4403" s="92">
        <v>45894</v>
      </c>
      <c r="G4403" s="87">
        <v>530</v>
      </c>
      <c r="H4403" s="88">
        <v>18241.084165477889</v>
      </c>
      <c r="I4403" s="89">
        <v>73</v>
      </c>
      <c r="J4403" s="90">
        <v>12787</v>
      </c>
      <c r="K4403" s="85">
        <v>10</v>
      </c>
      <c r="L4403" s="85">
        <v>240</v>
      </c>
      <c r="M4403" s="85">
        <v>2</v>
      </c>
      <c r="N4403" s="82" t="s">
        <v>12055</v>
      </c>
      <c r="O4403" s="93">
        <v>45895.755543981482</v>
      </c>
    </row>
    <row r="4404" spans="1:15" ht="22.5" customHeight="1">
      <c r="A4404" s="85">
        <v>174904221976312</v>
      </c>
      <c r="B4404" s="82" t="s">
        <v>10651</v>
      </c>
      <c r="C4404" s="82" t="s">
        <v>12056</v>
      </c>
      <c r="D4404" s="82" t="s">
        <v>4549</v>
      </c>
      <c r="E4404" s="82">
        <v>6282171085542</v>
      </c>
      <c r="F4404" s="92">
        <v>45894</v>
      </c>
      <c r="G4404" s="87">
        <v>509</v>
      </c>
      <c r="H4404" s="88">
        <v>23143.589743589742</v>
      </c>
      <c r="I4404" s="89">
        <v>7</v>
      </c>
      <c r="J4404" s="90">
        <v>13539</v>
      </c>
      <c r="K4404" s="85">
        <v>3</v>
      </c>
      <c r="L4404" s="85">
        <v>36</v>
      </c>
      <c r="M4404" s="85">
        <v>0</v>
      </c>
      <c r="N4404" s="82" t="s">
        <v>12057</v>
      </c>
      <c r="O4404" s="93">
        <v>45895.735138888886</v>
      </c>
    </row>
    <row r="4405" spans="1:15" ht="22.5" customHeight="1">
      <c r="A4405" s="85">
        <v>174904221976312</v>
      </c>
      <c r="B4405" s="82" t="s">
        <v>10651</v>
      </c>
      <c r="C4405" s="82" t="s">
        <v>12058</v>
      </c>
      <c r="D4405" s="82" t="s">
        <v>4516</v>
      </c>
      <c r="E4405" s="82">
        <v>6281315163838</v>
      </c>
      <c r="F4405" s="92">
        <v>45894</v>
      </c>
      <c r="G4405" s="87">
        <v>347</v>
      </c>
      <c r="H4405" s="88">
        <v>33897.435897435898</v>
      </c>
      <c r="I4405" s="89">
        <v>10</v>
      </c>
      <c r="J4405" s="90">
        <v>13220</v>
      </c>
      <c r="K4405" s="85">
        <v>2</v>
      </c>
      <c r="L4405" s="85">
        <v>0</v>
      </c>
      <c r="M4405" s="85">
        <v>0</v>
      </c>
      <c r="N4405" s="82" t="s">
        <v>12059</v>
      </c>
      <c r="O4405" s="93">
        <v>45895.651273148149</v>
      </c>
    </row>
    <row r="4406" spans="1:15" ht="22.5" customHeight="1">
      <c r="A4406" s="85">
        <v>174904221976312</v>
      </c>
      <c r="B4406" s="82" t="s">
        <v>10651</v>
      </c>
      <c r="C4406" s="82" t="s">
        <v>12060</v>
      </c>
      <c r="D4406" s="82" t="s">
        <v>12061</v>
      </c>
      <c r="E4406" s="82">
        <v>628112656686</v>
      </c>
      <c r="F4406" s="92">
        <v>45894</v>
      </c>
      <c r="G4406" s="87">
        <v>226</v>
      </c>
      <c r="H4406" s="88">
        <v>44544.715447154471</v>
      </c>
      <c r="I4406" s="89">
        <v>10</v>
      </c>
      <c r="J4406" s="90">
        <v>10958</v>
      </c>
      <c r="K4406" s="85">
        <v>1</v>
      </c>
      <c r="L4406" s="85">
        <v>90</v>
      </c>
      <c r="M4406" s="85">
        <v>0</v>
      </c>
      <c r="N4406" s="82" t="s">
        <v>12062</v>
      </c>
      <c r="O4406" s="93">
        <v>45895.610243055555</v>
      </c>
    </row>
    <row r="4407" spans="1:15" ht="22.5" customHeight="1">
      <c r="A4407" s="85">
        <v>174904221976312</v>
      </c>
      <c r="B4407" s="82" t="s">
        <v>10651</v>
      </c>
      <c r="C4407" s="82" t="s">
        <v>12063</v>
      </c>
      <c r="D4407" s="82" t="s">
        <v>12064</v>
      </c>
      <c r="E4407" s="82">
        <v>6285741888828</v>
      </c>
      <c r="F4407" s="92">
        <v>45894</v>
      </c>
      <c r="G4407" s="87">
        <v>215</v>
      </c>
      <c r="H4407" s="88">
        <v>57004.385964912282</v>
      </c>
      <c r="I4407" s="89">
        <v>6</v>
      </c>
      <c r="J4407" s="90">
        <v>12997</v>
      </c>
      <c r="K4407" s="85">
        <v>2</v>
      </c>
      <c r="L4407" s="85">
        <v>27</v>
      </c>
      <c r="M4407" s="85">
        <v>0</v>
      </c>
      <c r="N4407" s="82" t="s">
        <v>12065</v>
      </c>
      <c r="O4407" s="93">
        <v>45895.651273148149</v>
      </c>
    </row>
    <row r="4408" spans="1:15" ht="22.5" customHeight="1">
      <c r="A4408" s="85">
        <v>174904221976312</v>
      </c>
      <c r="B4408" s="82" t="s">
        <v>10651</v>
      </c>
      <c r="C4408" s="82" t="s">
        <v>12036</v>
      </c>
      <c r="D4408" s="82" t="s">
        <v>12037</v>
      </c>
      <c r="E4408" s="82">
        <v>6281316807185</v>
      </c>
      <c r="F4408" s="92">
        <v>45894</v>
      </c>
      <c r="G4408" s="87">
        <v>214</v>
      </c>
      <c r="H4408" s="88">
        <v>50122.881355932201</v>
      </c>
      <c r="I4408" s="89">
        <v>3</v>
      </c>
      <c r="J4408" s="90">
        <v>11829</v>
      </c>
      <c r="K4408" s="85">
        <v>1</v>
      </c>
      <c r="L4408" s="85">
        <v>80</v>
      </c>
      <c r="M4408" s="85">
        <v>0</v>
      </c>
      <c r="N4408" s="82" t="s">
        <v>12038</v>
      </c>
      <c r="O4408" s="93">
        <v>45895.505636574075</v>
      </c>
    </row>
    <row r="4409" spans="1:15" ht="22.5" customHeight="1">
      <c r="A4409" s="85">
        <v>174904221976312</v>
      </c>
      <c r="B4409" s="82" t="s">
        <v>10651</v>
      </c>
      <c r="C4409" s="82" t="s">
        <v>12039</v>
      </c>
      <c r="D4409" s="82" t="s">
        <v>12040</v>
      </c>
      <c r="E4409" s="82">
        <v>6281330410391</v>
      </c>
      <c r="F4409" s="92">
        <v>45894</v>
      </c>
      <c r="G4409" s="87">
        <v>727</v>
      </c>
      <c r="H4409" s="88">
        <v>15838.963963963964</v>
      </c>
      <c r="I4409" s="89">
        <v>61</v>
      </c>
      <c r="J4409" s="90">
        <v>14065</v>
      </c>
      <c r="K4409" s="85">
        <v>8</v>
      </c>
      <c r="L4409" s="85">
        <v>200</v>
      </c>
      <c r="M4409" s="85">
        <v>1</v>
      </c>
      <c r="N4409" s="82" t="s">
        <v>12041</v>
      </c>
      <c r="O4409" s="93">
        <v>45895.609930555554</v>
      </c>
    </row>
    <row r="4410" spans="1:15" ht="22.5" customHeight="1">
      <c r="A4410" s="85">
        <v>174904221976312</v>
      </c>
      <c r="B4410" s="82" t="s">
        <v>10651</v>
      </c>
      <c r="C4410" s="82" t="s">
        <v>12042</v>
      </c>
      <c r="D4410" s="91" t="s">
        <v>4468</v>
      </c>
      <c r="E4410" s="82">
        <v>6285710239729</v>
      </c>
      <c r="F4410" s="92">
        <v>45894</v>
      </c>
      <c r="G4410" s="87">
        <v>118</v>
      </c>
      <c r="H4410" s="88">
        <v>106867.76859504133</v>
      </c>
      <c r="I4410" s="89">
        <v>5</v>
      </c>
      <c r="J4410" s="90">
        <v>12931</v>
      </c>
      <c r="K4410" s="85">
        <v>1</v>
      </c>
      <c r="L4410" s="85">
        <v>14</v>
      </c>
      <c r="M4410" s="85">
        <v>0</v>
      </c>
      <c r="N4410" s="82" t="s">
        <v>12043</v>
      </c>
      <c r="O4410" s="93">
        <v>45895.547199074077</v>
      </c>
    </row>
    <row r="4411" spans="1:15" ht="22.5" customHeight="1">
      <c r="A4411" s="85">
        <v>174904221976312</v>
      </c>
      <c r="B4411" s="82" t="s">
        <v>10651</v>
      </c>
      <c r="C4411" s="82" t="s">
        <v>12044</v>
      </c>
      <c r="D4411" s="82" t="s">
        <v>12045</v>
      </c>
      <c r="E4411" s="82">
        <v>6287821734079</v>
      </c>
      <c r="F4411" s="92">
        <v>45894</v>
      </c>
      <c r="G4411" s="87">
        <v>1220</v>
      </c>
      <c r="H4411" s="88">
        <v>9630.5278174037085</v>
      </c>
      <c r="I4411" s="89">
        <v>17</v>
      </c>
      <c r="J4411" s="90">
        <v>13502</v>
      </c>
      <c r="K4411" s="85">
        <v>0</v>
      </c>
      <c r="L4411" s="85">
        <v>0</v>
      </c>
      <c r="M4411" s="85">
        <v>2</v>
      </c>
      <c r="N4411" s="82" t="s">
        <v>12046</v>
      </c>
      <c r="O4411" s="93">
        <v>45895.5471875</v>
      </c>
    </row>
    <row r="4412" spans="1:15" ht="22.5" customHeight="1">
      <c r="A4412" s="85">
        <v>174904221976312</v>
      </c>
      <c r="B4412" s="82" t="s">
        <v>10651</v>
      </c>
      <c r="C4412" s="82" t="s">
        <v>12047</v>
      </c>
      <c r="D4412" s="82" t="s">
        <v>4434</v>
      </c>
      <c r="E4412" s="82">
        <v>6281334257715</v>
      </c>
      <c r="F4412" s="92">
        <v>45894</v>
      </c>
      <c r="G4412" s="87">
        <v>314</v>
      </c>
      <c r="H4412" s="88">
        <v>26946.210268948653</v>
      </c>
      <c r="I4412" s="89">
        <v>17</v>
      </c>
      <c r="J4412" s="90">
        <v>11021</v>
      </c>
      <c r="K4412" s="85">
        <v>1</v>
      </c>
      <c r="L4412" s="85">
        <v>0</v>
      </c>
      <c r="M4412" s="85">
        <v>0</v>
      </c>
      <c r="N4412" s="82" t="s">
        <v>12048</v>
      </c>
      <c r="O4412" s="93">
        <v>45895.567847222221</v>
      </c>
    </row>
    <row r="4413" spans="1:15" ht="22.5" customHeight="1">
      <c r="A4413" s="85">
        <v>174904221976312</v>
      </c>
      <c r="B4413" s="82" t="s">
        <v>10651</v>
      </c>
      <c r="C4413" s="82" t="s">
        <v>12024</v>
      </c>
      <c r="D4413" s="82" t="s">
        <v>12025</v>
      </c>
      <c r="E4413" s="82">
        <v>6285166200242</v>
      </c>
      <c r="F4413" s="92">
        <v>45894</v>
      </c>
      <c r="G4413" s="87">
        <v>786</v>
      </c>
      <c r="H4413" s="88">
        <v>14236.788617886179</v>
      </c>
      <c r="I4413" s="89">
        <v>22</v>
      </c>
      <c r="J4413" s="90">
        <v>14009</v>
      </c>
      <c r="K4413" s="85">
        <v>3</v>
      </c>
      <c r="L4413" s="85">
        <v>261</v>
      </c>
      <c r="M4413" s="85">
        <v>0</v>
      </c>
      <c r="N4413" s="82" t="s">
        <v>12026</v>
      </c>
      <c r="O4413" s="93">
        <v>45895.526250000003</v>
      </c>
    </row>
    <row r="4414" spans="1:15" ht="22.5" customHeight="1">
      <c r="A4414" s="85">
        <v>174904221976312</v>
      </c>
      <c r="B4414" s="82" t="s">
        <v>10651</v>
      </c>
      <c r="C4414" s="82" t="s">
        <v>12027</v>
      </c>
      <c r="D4414" s="82" t="s">
        <v>12028</v>
      </c>
      <c r="E4414" s="82">
        <v>6287776264559</v>
      </c>
      <c r="F4414" s="92">
        <v>45894</v>
      </c>
      <c r="G4414" s="87">
        <v>943</v>
      </c>
      <c r="H4414" s="88">
        <v>12093.892433910665</v>
      </c>
      <c r="I4414" s="89">
        <v>28</v>
      </c>
      <c r="J4414" s="90">
        <v>13267</v>
      </c>
      <c r="K4414" s="85">
        <v>2</v>
      </c>
      <c r="L4414" s="85">
        <v>276</v>
      </c>
      <c r="M4414" s="85">
        <v>0</v>
      </c>
      <c r="N4414" s="82" t="s">
        <v>12029</v>
      </c>
      <c r="O4414" s="93">
        <v>45895.505914351852</v>
      </c>
    </row>
    <row r="4415" spans="1:15" ht="22.5" customHeight="1">
      <c r="A4415" s="85">
        <v>174904221976312</v>
      </c>
      <c r="B4415" s="82" t="s">
        <v>10651</v>
      </c>
      <c r="C4415" s="82" t="s">
        <v>12030</v>
      </c>
      <c r="D4415" s="82" t="s">
        <v>12031</v>
      </c>
      <c r="E4415" s="82">
        <v>6289667480162</v>
      </c>
      <c r="F4415" s="92">
        <v>45894</v>
      </c>
      <c r="G4415" s="87">
        <v>2521</v>
      </c>
      <c r="H4415" s="88">
        <v>5082.545454545454</v>
      </c>
      <c r="I4415" s="89">
        <v>142</v>
      </c>
      <c r="J4415" s="90">
        <v>13977</v>
      </c>
      <c r="K4415" s="85">
        <v>13</v>
      </c>
      <c r="L4415" s="85">
        <v>0</v>
      </c>
      <c r="M4415" s="85">
        <v>0</v>
      </c>
      <c r="N4415" s="82" t="s">
        <v>12032</v>
      </c>
      <c r="O4415" s="93">
        <v>45895.505624999998</v>
      </c>
    </row>
    <row r="4416" spans="1:15" ht="22.5" customHeight="1">
      <c r="A4416" s="85">
        <v>174904221976312</v>
      </c>
      <c r="B4416" s="82" t="s">
        <v>10651</v>
      </c>
      <c r="C4416" s="82" t="s">
        <v>12033</v>
      </c>
      <c r="D4416" s="82" t="s">
        <v>12034</v>
      </c>
      <c r="E4416" s="82">
        <v>62082287715351</v>
      </c>
      <c r="F4416" s="92">
        <v>45894</v>
      </c>
      <c r="G4416" s="87">
        <v>1223</v>
      </c>
      <c r="H4416" s="88">
        <v>9323.8674780256933</v>
      </c>
      <c r="I4416" s="89">
        <v>127</v>
      </c>
      <c r="J4416" s="90">
        <v>13790</v>
      </c>
      <c r="K4416" s="85">
        <v>29</v>
      </c>
      <c r="L4416" s="85">
        <v>0</v>
      </c>
      <c r="M4416" s="85">
        <v>1</v>
      </c>
      <c r="N4416" s="82" t="s">
        <v>12035</v>
      </c>
      <c r="O4416" s="93">
        <v>45895.755543981482</v>
      </c>
    </row>
    <row r="4417" spans="1:15" ht="22.5" customHeight="1">
      <c r="A4417" s="85">
        <v>174904221976312</v>
      </c>
      <c r="B4417" s="82" t="s">
        <v>10651</v>
      </c>
      <c r="C4417" s="82" t="s">
        <v>12013</v>
      </c>
      <c r="D4417" s="82" t="s">
        <v>12014</v>
      </c>
      <c r="E4417" s="82">
        <v>6282154318629</v>
      </c>
      <c r="F4417" s="92">
        <v>45894</v>
      </c>
      <c r="G4417" s="87">
        <v>328</v>
      </c>
      <c r="H4417" s="88">
        <v>42076.923076923078</v>
      </c>
      <c r="I4417" s="89">
        <v>20</v>
      </c>
      <c r="J4417" s="90">
        <v>15316</v>
      </c>
      <c r="K4417" s="85">
        <v>3</v>
      </c>
      <c r="L4417" s="85">
        <v>152</v>
      </c>
      <c r="M4417" s="85">
        <v>0</v>
      </c>
      <c r="N4417" s="82" t="s">
        <v>12015</v>
      </c>
      <c r="O4417" s="93">
        <v>45895.401597222219</v>
      </c>
    </row>
    <row r="4418" spans="1:15" ht="22.5" customHeight="1">
      <c r="A4418" s="85">
        <v>174904221976312</v>
      </c>
      <c r="B4418" s="82" t="s">
        <v>10651</v>
      </c>
      <c r="C4418" s="82" t="s">
        <v>12016</v>
      </c>
      <c r="D4418" s="82" t="s">
        <v>12017</v>
      </c>
      <c r="E4418" s="82">
        <v>6281210801646</v>
      </c>
      <c r="F4418" s="92">
        <v>45894</v>
      </c>
      <c r="G4418" s="87">
        <v>232</v>
      </c>
      <c r="H4418" s="88">
        <v>45992.09486166008</v>
      </c>
      <c r="I4418" s="89">
        <v>10</v>
      </c>
      <c r="J4418" s="90">
        <v>11636</v>
      </c>
      <c r="K4418" s="85">
        <v>2</v>
      </c>
      <c r="L4418" s="85">
        <v>93</v>
      </c>
      <c r="M4418" s="85">
        <v>0</v>
      </c>
      <c r="N4418" s="82" t="s">
        <v>12018</v>
      </c>
      <c r="O4418" s="93">
        <v>45895.609930555554</v>
      </c>
    </row>
    <row r="4419" spans="1:15" ht="22.5" customHeight="1">
      <c r="A4419" s="85">
        <v>174904221976312</v>
      </c>
      <c r="B4419" s="82" t="s">
        <v>10651</v>
      </c>
      <c r="C4419" s="82" t="s">
        <v>12019</v>
      </c>
      <c r="D4419" s="82" t="s">
        <v>12020</v>
      </c>
      <c r="E4419" s="82">
        <v>6287862271550</v>
      </c>
      <c r="F4419" s="92">
        <v>45894</v>
      </c>
      <c r="G4419" s="87">
        <v>507</v>
      </c>
      <c r="H4419" s="88">
        <v>25198.275862068964</v>
      </c>
      <c r="I4419" s="89">
        <v>19</v>
      </c>
      <c r="J4419" s="90">
        <v>14615</v>
      </c>
      <c r="K4419" s="85">
        <v>0</v>
      </c>
      <c r="L4419" s="85">
        <v>194</v>
      </c>
      <c r="M4419" s="85">
        <v>0</v>
      </c>
      <c r="N4419" s="82" t="s">
        <v>12021</v>
      </c>
      <c r="O4419" s="93">
        <v>45895.381041666667</v>
      </c>
    </row>
    <row r="4420" spans="1:15" ht="22.5" customHeight="1">
      <c r="A4420" s="85">
        <v>174904221976312</v>
      </c>
      <c r="B4420" s="82" t="s">
        <v>10651</v>
      </c>
      <c r="C4420" s="82" t="s">
        <v>12022</v>
      </c>
      <c r="D4420" s="82" t="s">
        <v>11483</v>
      </c>
      <c r="E4420" s="82">
        <v>6285255115894</v>
      </c>
      <c r="F4420" s="92">
        <v>45894</v>
      </c>
      <c r="G4420" s="87">
        <v>1666</v>
      </c>
      <c r="H4420" s="88">
        <v>8000.4985044865398</v>
      </c>
      <c r="I4420" s="89">
        <v>53</v>
      </c>
      <c r="J4420" s="90">
        <v>16049</v>
      </c>
      <c r="K4420" s="85">
        <v>7</v>
      </c>
      <c r="L4420" s="85">
        <v>482</v>
      </c>
      <c r="M4420" s="85">
        <v>0</v>
      </c>
      <c r="N4420" s="82" t="s">
        <v>12023</v>
      </c>
      <c r="O4420" s="93">
        <v>45895.588946759257</v>
      </c>
    </row>
    <row r="4421" spans="1:15" ht="22.5" customHeight="1">
      <c r="A4421" s="85">
        <v>174904221976312</v>
      </c>
      <c r="B4421" s="82" t="s">
        <v>10651</v>
      </c>
      <c r="C4421" s="82" t="s">
        <v>12005</v>
      </c>
      <c r="D4421" s="82" t="s">
        <v>3092</v>
      </c>
      <c r="E4421" s="82">
        <v>6287740636181</v>
      </c>
      <c r="F4421" s="92">
        <v>45894</v>
      </c>
      <c r="G4421" s="87">
        <v>792</v>
      </c>
      <c r="H4421" s="88">
        <v>13679.797979797981</v>
      </c>
      <c r="I4421" s="89">
        <v>64</v>
      </c>
      <c r="J4421" s="90">
        <v>13543</v>
      </c>
      <c r="K4421" s="85">
        <v>7</v>
      </c>
      <c r="L4421" s="85">
        <v>449</v>
      </c>
      <c r="M4421" s="85">
        <v>1</v>
      </c>
      <c r="N4421" s="82" t="s">
        <v>12006</v>
      </c>
      <c r="O4421" s="93">
        <v>45895.672500000001</v>
      </c>
    </row>
    <row r="4422" spans="1:15" ht="22.5" customHeight="1">
      <c r="A4422" s="85">
        <v>174904221976312</v>
      </c>
      <c r="B4422" s="82" t="s">
        <v>10651</v>
      </c>
      <c r="C4422" s="82" t="s">
        <v>12007</v>
      </c>
      <c r="D4422" s="82" t="s">
        <v>9010</v>
      </c>
      <c r="E4422" s="82">
        <v>6282160743576</v>
      </c>
      <c r="F4422" s="92">
        <v>45894</v>
      </c>
      <c r="G4422" s="87">
        <v>939</v>
      </c>
      <c r="H4422" s="88">
        <v>13403.738317757008</v>
      </c>
      <c r="I4422" s="89">
        <v>84</v>
      </c>
      <c r="J4422" s="90">
        <v>14342</v>
      </c>
      <c r="K4422" s="85">
        <v>14</v>
      </c>
      <c r="L4422" s="85">
        <v>439</v>
      </c>
      <c r="M4422" s="85">
        <v>1</v>
      </c>
      <c r="N4422" s="82" t="s">
        <v>12008</v>
      </c>
      <c r="O4422" s="93">
        <v>45895.505613425928</v>
      </c>
    </row>
    <row r="4423" spans="1:15" ht="22.5" customHeight="1">
      <c r="A4423" s="85">
        <v>174904221976312</v>
      </c>
      <c r="B4423" s="82" t="s">
        <v>10651</v>
      </c>
      <c r="C4423" s="82" t="s">
        <v>12009</v>
      </c>
      <c r="D4423" s="82" t="s">
        <v>11886</v>
      </c>
      <c r="E4423" s="82">
        <v>628179780980</v>
      </c>
      <c r="F4423" s="92">
        <v>45894</v>
      </c>
      <c r="G4423" s="87">
        <v>238</v>
      </c>
      <c r="H4423" s="88">
        <v>51893.536121673002</v>
      </c>
      <c r="I4423" s="89">
        <v>10</v>
      </c>
      <c r="J4423" s="90">
        <v>13648</v>
      </c>
      <c r="K4423" s="85">
        <v>1</v>
      </c>
      <c r="L4423" s="85">
        <v>71</v>
      </c>
      <c r="M4423" s="85">
        <v>0</v>
      </c>
      <c r="N4423" s="82" t="s">
        <v>12010</v>
      </c>
      <c r="O4423" s="93">
        <v>45895.46429398148</v>
      </c>
    </row>
    <row r="4424" spans="1:15" ht="22.5" customHeight="1">
      <c r="A4424" s="85">
        <v>174904221976312</v>
      </c>
      <c r="B4424" s="82" t="s">
        <v>10651</v>
      </c>
      <c r="C4424" s="82" t="s">
        <v>12011</v>
      </c>
      <c r="D4424" s="82" t="s">
        <v>4264</v>
      </c>
      <c r="E4424" s="82">
        <v>6285702241111</v>
      </c>
      <c r="F4424" s="92">
        <v>45894</v>
      </c>
      <c r="G4424" s="87">
        <v>229</v>
      </c>
      <c r="H4424" s="88">
        <v>49963.114754098366</v>
      </c>
      <c r="I4424" s="89">
        <v>3</v>
      </c>
      <c r="J4424" s="90">
        <v>12191</v>
      </c>
      <c r="K4424" s="85">
        <v>0</v>
      </c>
      <c r="L4424" s="85">
        <v>45</v>
      </c>
      <c r="M4424" s="85">
        <v>0</v>
      </c>
      <c r="N4424" s="82" t="s">
        <v>12012</v>
      </c>
      <c r="O4424" s="93">
        <v>45895.216238425928</v>
      </c>
    </row>
    <row r="4425" spans="1:15" ht="22.5" customHeight="1">
      <c r="A4425" s="85">
        <v>174904221976312</v>
      </c>
      <c r="B4425" s="82" t="s">
        <v>10651</v>
      </c>
      <c r="C4425" s="82" t="s">
        <v>11994</v>
      </c>
      <c r="D4425" s="82" t="s">
        <v>4233</v>
      </c>
      <c r="E4425" s="82">
        <v>6289514176661</v>
      </c>
      <c r="F4425" s="92">
        <v>45894</v>
      </c>
      <c r="G4425" s="87">
        <v>1691</v>
      </c>
      <c r="H4425" s="88">
        <v>7699.0077177508265</v>
      </c>
      <c r="I4425" s="89">
        <v>51</v>
      </c>
      <c r="J4425" s="90">
        <v>13966</v>
      </c>
      <c r="K4425" s="85">
        <v>6</v>
      </c>
      <c r="L4425" s="85">
        <v>595</v>
      </c>
      <c r="M4425" s="85">
        <v>1</v>
      </c>
      <c r="N4425" s="82" t="s">
        <v>11995</v>
      </c>
      <c r="O4425" s="93">
        <v>45895.401597222219</v>
      </c>
    </row>
    <row r="4426" spans="1:15" ht="22.5" customHeight="1">
      <c r="A4426" s="85">
        <v>174904221976312</v>
      </c>
      <c r="B4426" s="82" t="s">
        <v>10651</v>
      </c>
      <c r="C4426" s="82" t="s">
        <v>11905</v>
      </c>
      <c r="D4426" s="82" t="s">
        <v>11906</v>
      </c>
      <c r="E4426" s="82">
        <v>6285294617773</v>
      </c>
      <c r="F4426" s="92">
        <v>45894</v>
      </c>
      <c r="G4426" s="87">
        <v>283</v>
      </c>
      <c r="H4426" s="88">
        <v>43657.492354740061</v>
      </c>
      <c r="I4426" s="89">
        <v>26</v>
      </c>
      <c r="J4426" s="90">
        <v>14276</v>
      </c>
      <c r="K4426" s="85">
        <v>5</v>
      </c>
      <c r="L4426" s="85">
        <v>2</v>
      </c>
      <c r="M4426" s="85">
        <v>0</v>
      </c>
      <c r="N4426" s="82" t="s">
        <v>11907</v>
      </c>
      <c r="O4426" s="93">
        <v>45895.672500000001</v>
      </c>
    </row>
    <row r="4427" spans="1:15" ht="22.5" customHeight="1">
      <c r="A4427" s="85">
        <v>174904221976312</v>
      </c>
      <c r="B4427" s="82" t="s">
        <v>10651</v>
      </c>
      <c r="C4427" s="82" t="s">
        <v>11896</v>
      </c>
      <c r="D4427" s="82" t="s">
        <v>11897</v>
      </c>
      <c r="E4427" s="82">
        <v>6282153090123</v>
      </c>
      <c r="F4427" s="92">
        <v>45894</v>
      </c>
      <c r="G4427" s="87">
        <v>436</v>
      </c>
      <c r="H4427" s="88">
        <v>29909.638554216868</v>
      </c>
      <c r="I4427" s="89">
        <v>31</v>
      </c>
      <c r="J4427" s="90">
        <v>14895</v>
      </c>
      <c r="K4427" s="85">
        <v>3</v>
      </c>
      <c r="L4427" s="85">
        <v>196</v>
      </c>
      <c r="M4427" s="85">
        <v>0</v>
      </c>
      <c r="N4427" s="82" t="s">
        <v>11898</v>
      </c>
      <c r="O4427" s="93">
        <v>45895.526273148149</v>
      </c>
    </row>
    <row r="4428" spans="1:15" ht="22.5" customHeight="1">
      <c r="A4428" s="85">
        <v>174904221976312</v>
      </c>
      <c r="B4428" s="82" t="s">
        <v>10651</v>
      </c>
      <c r="C4428" s="82" t="s">
        <v>11865</v>
      </c>
      <c r="D4428" s="82" t="s">
        <v>11403</v>
      </c>
      <c r="E4428" s="82">
        <v>6283870060603</v>
      </c>
      <c r="F4428" s="92">
        <v>45894</v>
      </c>
      <c r="G4428" s="87">
        <v>628</v>
      </c>
      <c r="H4428" s="88">
        <v>21753.086419753086</v>
      </c>
      <c r="I4428" s="89">
        <v>26</v>
      </c>
      <c r="J4428" s="90">
        <v>14096</v>
      </c>
      <c r="K4428" s="85">
        <v>0</v>
      </c>
      <c r="L4428" s="85">
        <v>189</v>
      </c>
      <c r="M4428" s="85">
        <v>1</v>
      </c>
      <c r="N4428" s="82" t="s">
        <v>11866</v>
      </c>
      <c r="O4428" s="93">
        <v>45895.735115740739</v>
      </c>
    </row>
    <row r="4429" spans="1:15" ht="22.5" customHeight="1">
      <c r="A4429" s="85">
        <v>174904221976312</v>
      </c>
      <c r="B4429" s="82" t="s">
        <v>10651</v>
      </c>
      <c r="C4429" s="82" t="s">
        <v>11876</v>
      </c>
      <c r="D4429" s="82" t="s">
        <v>11877</v>
      </c>
      <c r="E4429" s="82">
        <v>6285748377961</v>
      </c>
      <c r="F4429" s="92">
        <v>45894</v>
      </c>
      <c r="G4429" s="87">
        <v>936</v>
      </c>
      <c r="H4429" s="88">
        <v>11049.671977507029</v>
      </c>
      <c r="I4429" s="89">
        <v>25</v>
      </c>
      <c r="J4429" s="90">
        <v>11790</v>
      </c>
      <c r="K4429" s="85">
        <v>1</v>
      </c>
      <c r="L4429" s="85">
        <v>119</v>
      </c>
      <c r="M4429" s="85">
        <v>0</v>
      </c>
      <c r="N4429" s="82" t="s">
        <v>11878</v>
      </c>
      <c r="O4429" s="93">
        <v>45895.609930555554</v>
      </c>
    </row>
    <row r="4430" spans="1:15" ht="22.5" customHeight="1">
      <c r="A4430" s="85">
        <v>174904221976312</v>
      </c>
      <c r="B4430" s="82" t="s">
        <v>10651</v>
      </c>
      <c r="C4430" s="82" t="s">
        <v>11879</v>
      </c>
      <c r="D4430" s="82" t="s">
        <v>11877</v>
      </c>
      <c r="E4430" s="82">
        <v>6285748377961</v>
      </c>
      <c r="F4430" s="92">
        <v>45894</v>
      </c>
      <c r="G4430" s="87">
        <v>757</v>
      </c>
      <c r="H4430" s="88">
        <v>17657.5682382134</v>
      </c>
      <c r="I4430" s="89">
        <v>11</v>
      </c>
      <c r="J4430" s="90">
        <v>14232</v>
      </c>
      <c r="K4430" s="85">
        <v>0</v>
      </c>
      <c r="L4430" s="85">
        <v>271</v>
      </c>
      <c r="M4430" s="85">
        <v>0</v>
      </c>
      <c r="N4430" s="82" t="s">
        <v>11878</v>
      </c>
      <c r="O4430" s="93">
        <v>45895.588935185187</v>
      </c>
    </row>
    <row r="4431" spans="1:15" ht="22.5" customHeight="1">
      <c r="A4431" s="85">
        <v>174904221976312</v>
      </c>
      <c r="B4431" s="82" t="s">
        <v>10651</v>
      </c>
      <c r="C4431" s="82" t="s">
        <v>11838</v>
      </c>
      <c r="D4431" s="82" t="s">
        <v>11839</v>
      </c>
      <c r="E4431" s="82">
        <v>6287797504113</v>
      </c>
      <c r="F4431" s="92">
        <v>45894</v>
      </c>
      <c r="G4431" s="87">
        <v>307</v>
      </c>
      <c r="H4431" s="88">
        <v>41479.411764705881</v>
      </c>
      <c r="I4431" s="89">
        <v>14</v>
      </c>
      <c r="J4431" s="90">
        <v>14103</v>
      </c>
      <c r="K4431" s="85">
        <v>5</v>
      </c>
      <c r="L4431" s="85">
        <v>5</v>
      </c>
      <c r="M4431" s="85">
        <v>0</v>
      </c>
      <c r="N4431" s="82" t="s">
        <v>11840</v>
      </c>
      <c r="O4431" s="93">
        <v>45895.568043981482</v>
      </c>
    </row>
    <row r="4432" spans="1:15" ht="22.5" customHeight="1">
      <c r="A4432" s="85">
        <v>174904221976312</v>
      </c>
      <c r="B4432" s="82" t="s">
        <v>10651</v>
      </c>
      <c r="C4432" s="82" t="s">
        <v>11816</v>
      </c>
      <c r="D4432" s="82" t="s">
        <v>3682</v>
      </c>
      <c r="E4432" s="82">
        <v>6285602235226</v>
      </c>
      <c r="F4432" s="92">
        <v>45894</v>
      </c>
      <c r="G4432" s="87">
        <v>453</v>
      </c>
      <c r="H4432" s="88">
        <v>25857.685009487668</v>
      </c>
      <c r="I4432" s="89">
        <v>36</v>
      </c>
      <c r="J4432" s="90">
        <v>13627</v>
      </c>
      <c r="K4432" s="85">
        <v>3</v>
      </c>
      <c r="L4432" s="85">
        <v>103</v>
      </c>
      <c r="M4432" s="85">
        <v>1</v>
      </c>
      <c r="N4432" s="82" t="s">
        <v>11817</v>
      </c>
      <c r="O4432" s="93">
        <v>45895.567847222221</v>
      </c>
    </row>
    <row r="4433" spans="1:15" ht="22.5" customHeight="1">
      <c r="A4433" s="85">
        <v>174904221976312</v>
      </c>
      <c r="B4433" s="82" t="s">
        <v>10651</v>
      </c>
      <c r="C4433" s="82" t="s">
        <v>11799</v>
      </c>
      <c r="D4433" s="82" t="s">
        <v>11800</v>
      </c>
      <c r="E4433" s="82">
        <v>6285333751528</v>
      </c>
      <c r="F4433" s="92">
        <v>45894</v>
      </c>
      <c r="G4433" s="87">
        <v>951</v>
      </c>
      <c r="H4433" s="88">
        <v>11428.709055876687</v>
      </c>
      <c r="I4433" s="89">
        <v>18</v>
      </c>
      <c r="J4433" s="90">
        <v>11863</v>
      </c>
      <c r="K4433" s="85">
        <v>2</v>
      </c>
      <c r="L4433" s="85">
        <v>4</v>
      </c>
      <c r="M4433" s="85">
        <v>0</v>
      </c>
      <c r="N4433" s="82" t="s">
        <v>11801</v>
      </c>
      <c r="O4433" s="93">
        <v>45895.464282407411</v>
      </c>
    </row>
    <row r="4434" spans="1:15" ht="22.5" customHeight="1">
      <c r="A4434" s="85">
        <v>174904221976312</v>
      </c>
      <c r="B4434" s="82" t="s">
        <v>10651</v>
      </c>
      <c r="C4434" s="82" t="s">
        <v>11766</v>
      </c>
      <c r="D4434" s="82" t="s">
        <v>11767</v>
      </c>
      <c r="E4434" s="82">
        <v>6281225101319</v>
      </c>
      <c r="F4434" s="92">
        <v>45894</v>
      </c>
      <c r="G4434" s="87">
        <v>199</v>
      </c>
      <c r="H4434" s="88">
        <v>49925.764192139737</v>
      </c>
      <c r="I4434" s="89">
        <v>7</v>
      </c>
      <c r="J4434" s="90">
        <v>11433</v>
      </c>
      <c r="K4434" s="85">
        <v>2</v>
      </c>
      <c r="L4434" s="85">
        <v>0</v>
      </c>
      <c r="M4434" s="85">
        <v>0</v>
      </c>
      <c r="N4434" s="82" t="s">
        <v>11768</v>
      </c>
      <c r="O4434" s="93">
        <v>45895.526261574072</v>
      </c>
    </row>
    <row r="4435" spans="1:15" ht="22.5" customHeight="1">
      <c r="A4435" s="85">
        <v>174904221976312</v>
      </c>
      <c r="B4435" s="82" t="s">
        <v>10651</v>
      </c>
      <c r="C4435" s="82" t="s">
        <v>11780</v>
      </c>
      <c r="D4435" s="82" t="s">
        <v>11781</v>
      </c>
      <c r="E4435" s="82">
        <v>6282129364133</v>
      </c>
      <c r="F4435" s="92">
        <v>45894</v>
      </c>
      <c r="G4435" s="87">
        <v>533</v>
      </c>
      <c r="H4435" s="88">
        <v>20597.063621533445</v>
      </c>
      <c r="I4435" s="89">
        <v>14</v>
      </c>
      <c r="J4435" s="90">
        <v>12626</v>
      </c>
      <c r="K4435" s="85">
        <v>0</v>
      </c>
      <c r="L4435" s="85">
        <v>0</v>
      </c>
      <c r="M4435" s="85">
        <v>0</v>
      </c>
      <c r="N4435" s="82" t="s">
        <v>11782</v>
      </c>
      <c r="O4435" s="93">
        <v>45895.609942129631</v>
      </c>
    </row>
    <row r="4436" spans="1:15" ht="22.5" customHeight="1">
      <c r="A4436" s="85">
        <v>174904221976312</v>
      </c>
      <c r="B4436" s="82" t="s">
        <v>10651</v>
      </c>
      <c r="C4436" s="82" t="s">
        <v>11755</v>
      </c>
      <c r="D4436" s="82" t="s">
        <v>11756</v>
      </c>
      <c r="E4436" s="82">
        <v>6281357754513</v>
      </c>
      <c r="F4436" s="92">
        <v>45894</v>
      </c>
      <c r="G4436" s="87">
        <v>507</v>
      </c>
      <c r="H4436" s="88">
        <v>26400.679117147705</v>
      </c>
      <c r="I4436" s="89">
        <v>17</v>
      </c>
      <c r="J4436" s="90">
        <v>15550</v>
      </c>
      <c r="K4436" s="85">
        <v>0</v>
      </c>
      <c r="L4436" s="85">
        <v>65</v>
      </c>
      <c r="M4436" s="85">
        <v>1</v>
      </c>
      <c r="N4436" s="82" t="s">
        <v>11757</v>
      </c>
      <c r="O4436" s="93">
        <v>45895.735127314816</v>
      </c>
    </row>
    <row r="4437" spans="1:15" ht="22.5" customHeight="1">
      <c r="A4437" s="85">
        <v>174904221976312</v>
      </c>
      <c r="B4437" s="82" t="s">
        <v>10651</v>
      </c>
      <c r="C4437" s="82" t="s">
        <v>11758</v>
      </c>
      <c r="D4437" s="82" t="s">
        <v>11759</v>
      </c>
      <c r="E4437" s="82">
        <v>6285946504405</v>
      </c>
      <c r="F4437" s="92">
        <v>45894</v>
      </c>
      <c r="G4437" s="87">
        <v>284</v>
      </c>
      <c r="H4437" s="88">
        <v>36385.579937304072</v>
      </c>
      <c r="I4437" s="89">
        <v>12</v>
      </c>
      <c r="J4437" s="90">
        <v>11607</v>
      </c>
      <c r="K4437" s="85">
        <v>1</v>
      </c>
      <c r="L4437" s="85">
        <v>0</v>
      </c>
      <c r="M4437" s="85">
        <v>0</v>
      </c>
      <c r="N4437" s="82" t="s">
        <v>11760</v>
      </c>
      <c r="O4437" s="93">
        <v>45895.422546296293</v>
      </c>
    </row>
    <row r="4438" spans="1:15" ht="22.5" customHeight="1">
      <c r="A4438" s="85">
        <v>174904221976312</v>
      </c>
      <c r="B4438" s="82" t="s">
        <v>10651</v>
      </c>
      <c r="C4438" s="82" t="s">
        <v>11761</v>
      </c>
      <c r="D4438" s="82" t="s">
        <v>3438</v>
      </c>
      <c r="E4438" s="82">
        <v>628154336558</v>
      </c>
      <c r="F4438" s="92">
        <v>45894</v>
      </c>
      <c r="G4438" s="87">
        <v>1796</v>
      </c>
      <c r="H4438" s="88">
        <v>6613.5783563042369</v>
      </c>
      <c r="I4438" s="89">
        <v>62</v>
      </c>
      <c r="J4438" s="90">
        <v>12956</v>
      </c>
      <c r="K4438" s="85">
        <v>0</v>
      </c>
      <c r="L4438" s="85">
        <v>786</v>
      </c>
      <c r="M4438" s="85">
        <v>1</v>
      </c>
      <c r="N4438" s="82" t="s">
        <v>11762</v>
      </c>
      <c r="O4438" s="93">
        <v>45895.609930555554</v>
      </c>
    </row>
    <row r="4439" spans="1:15" ht="22.5" customHeight="1">
      <c r="A4439" s="85">
        <v>174904221976312</v>
      </c>
      <c r="B4439" s="82" t="s">
        <v>10651</v>
      </c>
      <c r="C4439" s="82" t="s">
        <v>11763</v>
      </c>
      <c r="D4439" s="82" t="s">
        <v>11764</v>
      </c>
      <c r="E4439" s="82">
        <v>6282384544939</v>
      </c>
      <c r="F4439" s="92">
        <v>45894</v>
      </c>
      <c r="G4439" s="87">
        <v>334</v>
      </c>
      <c r="H4439" s="88">
        <v>34217.494089834516</v>
      </c>
      <c r="I4439" s="89">
        <v>7</v>
      </c>
      <c r="J4439" s="90">
        <v>14474</v>
      </c>
      <c r="K4439" s="85">
        <v>1</v>
      </c>
      <c r="L4439" s="85">
        <v>0</v>
      </c>
      <c r="M4439" s="85">
        <v>0</v>
      </c>
      <c r="N4439" s="82" t="s">
        <v>11765</v>
      </c>
      <c r="O4439" s="93">
        <v>45895.505891203706</v>
      </c>
    </row>
    <row r="4440" spans="1:15" ht="22.5" customHeight="1">
      <c r="A4440" s="85">
        <v>174904221976312</v>
      </c>
      <c r="B4440" s="82" t="s">
        <v>10651</v>
      </c>
      <c r="C4440" s="82" t="s">
        <v>11580</v>
      </c>
      <c r="D4440" s="82" t="s">
        <v>11581</v>
      </c>
      <c r="E4440" s="82">
        <v>6287790276733</v>
      </c>
      <c r="F4440" s="92">
        <v>45894</v>
      </c>
      <c r="G4440" s="87">
        <v>531</v>
      </c>
      <c r="H4440" s="88">
        <v>22898.638426626323</v>
      </c>
      <c r="I4440" s="89">
        <v>4</v>
      </c>
      <c r="J4440" s="90">
        <v>15136</v>
      </c>
      <c r="K4440" s="85">
        <v>0</v>
      </c>
      <c r="L4440" s="85">
        <v>0</v>
      </c>
      <c r="M4440" s="85">
        <v>0</v>
      </c>
      <c r="N4440" s="82" t="s">
        <v>11582</v>
      </c>
      <c r="O4440" s="93">
        <v>45895.547465277778</v>
      </c>
    </row>
    <row r="4441" spans="1:15" ht="22.5" customHeight="1">
      <c r="A4441" s="85">
        <v>174904221976312</v>
      </c>
      <c r="B4441" s="82" t="s">
        <v>10651</v>
      </c>
      <c r="C4441" s="82" t="s">
        <v>11545</v>
      </c>
      <c r="D4441" s="82" t="s">
        <v>3140</v>
      </c>
      <c r="E4441" s="82"/>
      <c r="F4441" s="92">
        <v>45894</v>
      </c>
      <c r="G4441" s="87">
        <v>8419</v>
      </c>
      <c r="H4441" s="88">
        <v>1281.7935833011209</v>
      </c>
      <c r="I4441" s="89">
        <v>80</v>
      </c>
      <c r="J4441" s="90">
        <v>13264</v>
      </c>
      <c r="K4441" s="85">
        <v>7</v>
      </c>
      <c r="L4441" s="85">
        <v>0</v>
      </c>
      <c r="M4441" s="85">
        <v>0</v>
      </c>
      <c r="N4441" s="82" t="s">
        <v>10779</v>
      </c>
      <c r="O4441" s="93">
        <v>45895.484861111108</v>
      </c>
    </row>
    <row r="4442" spans="1:15" ht="22.5" customHeight="1">
      <c r="A4442" s="85">
        <v>174904221976312</v>
      </c>
      <c r="B4442" s="82" t="s">
        <v>10651</v>
      </c>
      <c r="C4442" s="82" t="s">
        <v>11193</v>
      </c>
      <c r="D4442" s="82" t="s">
        <v>11194</v>
      </c>
      <c r="E4442" s="82">
        <v>6281779578317</v>
      </c>
      <c r="F4442" s="92">
        <v>45894</v>
      </c>
      <c r="G4442" s="87">
        <v>950</v>
      </c>
      <c r="H4442" s="88">
        <v>11957.555178268251</v>
      </c>
      <c r="I4442" s="89">
        <v>51</v>
      </c>
      <c r="J4442" s="90">
        <v>14086</v>
      </c>
      <c r="K4442" s="85">
        <v>6</v>
      </c>
      <c r="L4442" s="85">
        <v>253</v>
      </c>
      <c r="M4442" s="85">
        <v>0</v>
      </c>
      <c r="N4442" s="82" t="s">
        <v>11195</v>
      </c>
      <c r="O4442" s="93">
        <v>45895.630856481483</v>
      </c>
    </row>
    <row r="4443" spans="1:15" ht="22.5" customHeight="1">
      <c r="A4443" s="85">
        <v>766589657993298</v>
      </c>
      <c r="B4443" s="82" t="s">
        <v>10688</v>
      </c>
      <c r="C4443" s="82" t="s">
        <v>12066</v>
      </c>
      <c r="D4443" s="82" t="s">
        <v>4538</v>
      </c>
      <c r="E4443" s="82">
        <v>628970060010</v>
      </c>
      <c r="F4443" s="92">
        <v>45894</v>
      </c>
      <c r="G4443" s="87">
        <v>390</v>
      </c>
      <c r="H4443" s="88">
        <v>36893.518518518518</v>
      </c>
      <c r="I4443" s="89">
        <v>13</v>
      </c>
      <c r="J4443" s="90">
        <v>15938</v>
      </c>
      <c r="K4443" s="85">
        <v>2</v>
      </c>
      <c r="L4443" s="85">
        <v>37</v>
      </c>
      <c r="M4443" s="85">
        <v>0</v>
      </c>
      <c r="N4443" s="82" t="s">
        <v>12067</v>
      </c>
      <c r="O4443" s="93">
        <v>45895.42560185185</v>
      </c>
    </row>
    <row r="4444" spans="1:15" ht="22.5" customHeight="1">
      <c r="A4444" s="85">
        <v>766589657993298</v>
      </c>
      <c r="B4444" s="82" t="s">
        <v>10688</v>
      </c>
      <c r="C4444" s="82" t="s">
        <v>12068</v>
      </c>
      <c r="D4444" s="82" t="s">
        <v>4502</v>
      </c>
      <c r="E4444" s="82">
        <v>6289630527354</v>
      </c>
      <c r="F4444" s="92">
        <v>45894</v>
      </c>
      <c r="G4444" s="87">
        <v>212</v>
      </c>
      <c r="H4444" s="88">
        <v>58546.153846153851</v>
      </c>
      <c r="I4444" s="89">
        <v>2</v>
      </c>
      <c r="J4444" s="90">
        <v>15222</v>
      </c>
      <c r="K4444" s="85">
        <v>0</v>
      </c>
      <c r="L4444" s="85">
        <v>48</v>
      </c>
      <c r="M4444" s="85">
        <v>0</v>
      </c>
      <c r="N4444" s="82" t="s">
        <v>12069</v>
      </c>
      <c r="O4444" s="93">
        <v>45895.696053240739</v>
      </c>
    </row>
    <row r="4445" spans="1:15" ht="22.5" customHeight="1">
      <c r="A4445" s="85">
        <v>766589657993298</v>
      </c>
      <c r="B4445" s="82" t="s">
        <v>10688</v>
      </c>
      <c r="C4445" s="82" t="s">
        <v>12070</v>
      </c>
      <c r="D4445" s="82" t="s">
        <v>10965</v>
      </c>
      <c r="E4445" s="82">
        <v>6282365004117</v>
      </c>
      <c r="F4445" s="92">
        <v>45894</v>
      </c>
      <c r="G4445" s="87">
        <v>543</v>
      </c>
      <c r="H4445" s="88">
        <v>25156.146179401992</v>
      </c>
      <c r="I4445" s="89">
        <v>17</v>
      </c>
      <c r="J4445" s="90">
        <v>15144</v>
      </c>
      <c r="K4445" s="85">
        <v>2</v>
      </c>
      <c r="L4445" s="85">
        <v>4</v>
      </c>
      <c r="M4445" s="85">
        <v>0</v>
      </c>
      <c r="N4445" s="82" t="s">
        <v>12071</v>
      </c>
      <c r="O4445" s="93">
        <v>45895.654548611114</v>
      </c>
    </row>
    <row r="4446" spans="1:15" ht="22.5" customHeight="1">
      <c r="A4446" s="85">
        <v>766589657993298</v>
      </c>
      <c r="B4446" s="82" t="s">
        <v>10688</v>
      </c>
      <c r="C4446" s="82" t="s">
        <v>12072</v>
      </c>
      <c r="D4446" s="82" t="s">
        <v>4461</v>
      </c>
      <c r="E4446" s="82">
        <v>6285251757431</v>
      </c>
      <c r="F4446" s="92">
        <v>45894</v>
      </c>
      <c r="G4446" s="87">
        <v>599</v>
      </c>
      <c r="H4446" s="88">
        <v>23939.393939393936</v>
      </c>
      <c r="I4446" s="89">
        <v>18</v>
      </c>
      <c r="J4446" s="90">
        <v>15800</v>
      </c>
      <c r="K4446" s="85">
        <v>2</v>
      </c>
      <c r="L4446" s="85">
        <v>146</v>
      </c>
      <c r="M4446" s="85">
        <v>0</v>
      </c>
      <c r="N4446" s="82" t="s">
        <v>12073</v>
      </c>
      <c r="O4446" s="93">
        <v>45895.613020833334</v>
      </c>
    </row>
    <row r="4447" spans="1:15" ht="22.5" customHeight="1">
      <c r="A4447" s="85">
        <v>766589657993298</v>
      </c>
      <c r="B4447" s="82" t="s">
        <v>10688</v>
      </c>
      <c r="C4447" s="82" t="s">
        <v>12074</v>
      </c>
      <c r="D4447" s="82" t="s">
        <v>12075</v>
      </c>
      <c r="E4447" s="82">
        <v>6282171933337</v>
      </c>
      <c r="F4447" s="92">
        <v>45894</v>
      </c>
      <c r="G4447" s="87">
        <v>1107</v>
      </c>
      <c r="H4447" s="88">
        <v>11995.294117647059</v>
      </c>
      <c r="I4447" s="89">
        <v>21</v>
      </c>
      <c r="J4447" s="90">
        <v>15294</v>
      </c>
      <c r="K4447" s="85">
        <v>1</v>
      </c>
      <c r="L4447" s="85">
        <v>31</v>
      </c>
      <c r="M4447" s="85">
        <v>0</v>
      </c>
      <c r="N4447" s="82" t="s">
        <v>12076</v>
      </c>
      <c r="O4447" s="93">
        <v>45895.550416666665</v>
      </c>
    </row>
    <row r="4448" spans="1:15" ht="22.5" customHeight="1">
      <c r="A4448" s="85">
        <v>766589657993298</v>
      </c>
      <c r="B4448" s="82" t="s">
        <v>10688</v>
      </c>
      <c r="C4448" s="82" t="s">
        <v>12077</v>
      </c>
      <c r="D4448" s="82" t="s">
        <v>12078</v>
      </c>
      <c r="E4448" s="82">
        <v>6282111180648</v>
      </c>
      <c r="F4448" s="92">
        <v>45894</v>
      </c>
      <c r="G4448" s="87">
        <v>356</v>
      </c>
      <c r="H4448" s="88">
        <v>43257.5</v>
      </c>
      <c r="I4448" s="89">
        <v>12</v>
      </c>
      <c r="J4448" s="90">
        <v>17303</v>
      </c>
      <c r="K4448" s="85">
        <v>3</v>
      </c>
      <c r="L4448" s="85">
        <v>65</v>
      </c>
      <c r="M4448" s="85">
        <v>1</v>
      </c>
      <c r="N4448" s="82" t="s">
        <v>12079</v>
      </c>
      <c r="O4448" s="93">
        <v>45895.633576388886</v>
      </c>
    </row>
    <row r="4449" spans="1:15" ht="22.5" customHeight="1">
      <c r="A4449" s="85">
        <v>766589657993298</v>
      </c>
      <c r="B4449" s="82" t="s">
        <v>10688</v>
      </c>
      <c r="C4449" s="82" t="s">
        <v>12080</v>
      </c>
      <c r="D4449" s="82" t="s">
        <v>5011</v>
      </c>
      <c r="E4449" s="82">
        <v>6285100570275</v>
      </c>
      <c r="F4449" s="92">
        <v>45894</v>
      </c>
      <c r="G4449" s="87">
        <v>665</v>
      </c>
      <c r="H4449" s="88">
        <v>22430.499325236167</v>
      </c>
      <c r="I4449" s="89">
        <v>13</v>
      </c>
      <c r="J4449" s="90">
        <v>16621</v>
      </c>
      <c r="K4449" s="85">
        <v>2</v>
      </c>
      <c r="L4449" s="85">
        <v>233</v>
      </c>
      <c r="M4449" s="85">
        <v>0</v>
      </c>
      <c r="N4449" s="82" t="s">
        <v>12081</v>
      </c>
      <c r="O4449" s="93">
        <v>45895.529340277775</v>
      </c>
    </row>
    <row r="4450" spans="1:15" ht="22.5" customHeight="1">
      <c r="A4450" s="85">
        <v>766589657993298</v>
      </c>
      <c r="B4450" s="82" t="s">
        <v>10688</v>
      </c>
      <c r="C4450" s="82" t="s">
        <v>12082</v>
      </c>
      <c r="D4450" s="82" t="s">
        <v>4330</v>
      </c>
      <c r="E4450" s="82">
        <v>6285888452389</v>
      </c>
      <c r="F4450" s="92">
        <v>45894</v>
      </c>
      <c r="G4450" s="87">
        <v>323</v>
      </c>
      <c r="H4450" s="88">
        <v>38948.186528497412</v>
      </c>
      <c r="I4450" s="89">
        <v>4</v>
      </c>
      <c r="J4450" s="90">
        <v>15034</v>
      </c>
      <c r="K4450" s="85">
        <v>1</v>
      </c>
      <c r="L4450" s="85">
        <v>14</v>
      </c>
      <c r="M4450" s="85">
        <v>0</v>
      </c>
      <c r="N4450" s="82" t="s">
        <v>12083</v>
      </c>
      <c r="O4450" s="93">
        <v>45895.717141203706</v>
      </c>
    </row>
    <row r="4451" spans="1:15" ht="22.5" customHeight="1">
      <c r="A4451" s="85">
        <v>766589657993298</v>
      </c>
      <c r="B4451" s="82" t="s">
        <v>10688</v>
      </c>
      <c r="C4451" s="82" t="s">
        <v>12084</v>
      </c>
      <c r="D4451" s="82" t="s">
        <v>4337</v>
      </c>
      <c r="E4451" s="82">
        <v>6285333355756</v>
      </c>
      <c r="F4451" s="92">
        <v>45894</v>
      </c>
      <c r="G4451" s="87">
        <v>1993</v>
      </c>
      <c r="H4451" s="88">
        <v>6665.5157531290461</v>
      </c>
      <c r="I4451" s="89">
        <v>39</v>
      </c>
      <c r="J4451" s="90">
        <v>15444</v>
      </c>
      <c r="K4451" s="85">
        <v>0</v>
      </c>
      <c r="L4451" s="85">
        <v>346</v>
      </c>
      <c r="M4451" s="85">
        <v>0</v>
      </c>
      <c r="N4451" s="82" t="s">
        <v>12085</v>
      </c>
      <c r="O4451" s="93">
        <v>45895.425613425927</v>
      </c>
    </row>
    <row r="4452" spans="1:15" ht="22.5" customHeight="1">
      <c r="A4452" s="85">
        <v>766589657993298</v>
      </c>
      <c r="B4452" s="82" t="s">
        <v>10688</v>
      </c>
      <c r="C4452" s="82" t="s">
        <v>12086</v>
      </c>
      <c r="D4452" s="82" t="s">
        <v>12087</v>
      </c>
      <c r="E4452" s="82">
        <v>6285864637086</v>
      </c>
      <c r="F4452" s="92">
        <v>45894</v>
      </c>
      <c r="G4452" s="87">
        <v>348</v>
      </c>
      <c r="H4452" s="88">
        <v>40881.481481481482</v>
      </c>
      <c r="I4452" s="89">
        <v>12</v>
      </c>
      <c r="J4452" s="90">
        <v>16557</v>
      </c>
      <c r="K4452" s="85">
        <v>0</v>
      </c>
      <c r="L4452" s="85">
        <v>0</v>
      </c>
      <c r="M4452" s="85">
        <v>0</v>
      </c>
      <c r="N4452" s="82" t="s">
        <v>12088</v>
      </c>
      <c r="O4452" s="93">
        <v>45895.487870370373</v>
      </c>
    </row>
    <row r="4453" spans="1:15" ht="22.5" customHeight="1">
      <c r="A4453" s="85">
        <v>766589657993298</v>
      </c>
      <c r="B4453" s="82" t="s">
        <v>10688</v>
      </c>
      <c r="C4453" s="82" t="s">
        <v>12089</v>
      </c>
      <c r="D4453" s="82" t="s">
        <v>12090</v>
      </c>
      <c r="E4453" s="82">
        <v>6281380503300</v>
      </c>
      <c r="F4453" s="92">
        <v>45894</v>
      </c>
      <c r="G4453" s="87">
        <v>443</v>
      </c>
      <c r="H4453" s="88">
        <v>25291.139240506331</v>
      </c>
      <c r="I4453" s="89">
        <v>11</v>
      </c>
      <c r="J4453" s="90">
        <v>11988</v>
      </c>
      <c r="K4453" s="85">
        <v>2</v>
      </c>
      <c r="L4453" s="85">
        <v>22</v>
      </c>
      <c r="M4453" s="85">
        <v>0</v>
      </c>
      <c r="N4453" s="82" t="s">
        <v>12091</v>
      </c>
      <c r="O4453" s="93">
        <v>45894.217418981483</v>
      </c>
    </row>
    <row r="4454" spans="1:15" ht="22.5" customHeight="1">
      <c r="A4454" s="85">
        <v>766589657993298</v>
      </c>
      <c r="B4454" s="82" t="s">
        <v>10688</v>
      </c>
      <c r="C4454" s="82" t="s">
        <v>12092</v>
      </c>
      <c r="D4454" s="82" t="s">
        <v>12093</v>
      </c>
      <c r="E4454" s="82">
        <v>6285854789952</v>
      </c>
      <c r="F4454" s="92">
        <v>45894</v>
      </c>
      <c r="G4454" s="87">
        <v>481</v>
      </c>
      <c r="H4454" s="88">
        <v>24548.323471400396</v>
      </c>
      <c r="I4454" s="89">
        <v>7</v>
      </c>
      <c r="J4454" s="90">
        <v>12446</v>
      </c>
      <c r="K4454" s="85">
        <v>2</v>
      </c>
      <c r="L4454" s="85">
        <v>8</v>
      </c>
      <c r="M4454" s="85">
        <v>0</v>
      </c>
      <c r="N4454" s="82" t="s">
        <v>12094</v>
      </c>
      <c r="O4454" s="93">
        <v>45894.217430555553</v>
      </c>
    </row>
    <row r="4455" spans="1:15" ht="22.5" customHeight="1">
      <c r="A4455" s="85">
        <v>766589657993298</v>
      </c>
      <c r="B4455" s="82" t="s">
        <v>10688</v>
      </c>
      <c r="C4455" s="82" t="s">
        <v>12095</v>
      </c>
      <c r="D4455" s="82" t="s">
        <v>4257</v>
      </c>
      <c r="E4455" s="82">
        <v>6281222788601</v>
      </c>
      <c r="F4455" s="92">
        <v>45894</v>
      </c>
      <c r="G4455" s="87">
        <v>661</v>
      </c>
      <c r="H4455" s="88">
        <v>17662.299854439592</v>
      </c>
      <c r="I4455" s="89">
        <v>7</v>
      </c>
      <c r="J4455" s="90">
        <v>12134</v>
      </c>
      <c r="K4455" s="85">
        <v>0</v>
      </c>
      <c r="L4455" s="85">
        <v>0</v>
      </c>
      <c r="M4455" s="85">
        <v>1</v>
      </c>
      <c r="N4455" s="82" t="s">
        <v>12096</v>
      </c>
      <c r="O4455" s="93">
        <v>45894.217418981483</v>
      </c>
    </row>
    <row r="4456" spans="1:15" ht="22.5" customHeight="1">
      <c r="A4456" s="85">
        <v>766589657993298</v>
      </c>
      <c r="B4456" s="82" t="s">
        <v>10688</v>
      </c>
      <c r="C4456" s="82" t="s">
        <v>12097</v>
      </c>
      <c r="D4456" s="82" t="s">
        <v>12098</v>
      </c>
      <c r="E4456" s="82">
        <v>6281990865975</v>
      </c>
      <c r="F4456" s="92">
        <v>45894</v>
      </c>
      <c r="G4456" s="87">
        <v>419</v>
      </c>
      <c r="H4456" s="88">
        <v>34549.528301886792</v>
      </c>
      <c r="I4456" s="89">
        <v>4</v>
      </c>
      <c r="J4456" s="90">
        <v>14649</v>
      </c>
      <c r="K4456" s="85">
        <v>2</v>
      </c>
      <c r="L4456" s="85">
        <v>230</v>
      </c>
      <c r="M4456" s="85">
        <v>0</v>
      </c>
      <c r="N4456" s="82" t="s">
        <v>12099</v>
      </c>
      <c r="O4456" s="93">
        <v>45895.696064814816</v>
      </c>
    </row>
    <row r="4457" spans="1:15" ht="22.5" customHeight="1">
      <c r="A4457" s="85">
        <v>766589657993298</v>
      </c>
      <c r="B4457" s="82" t="s">
        <v>10688</v>
      </c>
      <c r="C4457" s="82" t="s">
        <v>11943</v>
      </c>
      <c r="D4457" s="82" t="s">
        <v>11944</v>
      </c>
      <c r="E4457" s="82">
        <v>6285925102815</v>
      </c>
      <c r="F4457" s="92">
        <v>45894</v>
      </c>
      <c r="G4457" s="87">
        <v>411</v>
      </c>
      <c r="H4457" s="88">
        <v>56273.584905660377</v>
      </c>
      <c r="I4457" s="89">
        <v>12</v>
      </c>
      <c r="J4457" s="90">
        <v>23860</v>
      </c>
      <c r="K4457" s="85">
        <v>0</v>
      </c>
      <c r="L4457" s="85">
        <v>0</v>
      </c>
      <c r="M4457" s="85">
        <v>0</v>
      </c>
      <c r="N4457" s="82" t="s">
        <v>11945</v>
      </c>
      <c r="O4457" s="93">
        <v>45895.717129629629</v>
      </c>
    </row>
    <row r="4458" spans="1:15" ht="22.5" customHeight="1">
      <c r="A4458" s="85">
        <v>766589657993298</v>
      </c>
      <c r="B4458" s="82" t="s">
        <v>10688</v>
      </c>
      <c r="C4458" s="82" t="s">
        <v>11954</v>
      </c>
      <c r="D4458" s="82" t="s">
        <v>3956</v>
      </c>
      <c r="E4458" s="82">
        <v>628156516849</v>
      </c>
      <c r="F4458" s="92">
        <v>45894</v>
      </c>
      <c r="G4458" s="87">
        <v>448</v>
      </c>
      <c r="H4458" s="88">
        <v>30810</v>
      </c>
      <c r="I4458" s="89">
        <v>21</v>
      </c>
      <c r="J4458" s="90">
        <v>15405</v>
      </c>
      <c r="K4458" s="85">
        <v>2</v>
      </c>
      <c r="L4458" s="85">
        <v>125</v>
      </c>
      <c r="M4458" s="85">
        <v>0</v>
      </c>
      <c r="N4458" s="82" t="s">
        <v>11955</v>
      </c>
      <c r="O4458" s="93">
        <v>45895.529363425929</v>
      </c>
    </row>
    <row r="4459" spans="1:15" ht="22.5" customHeight="1">
      <c r="A4459" s="85">
        <v>759724529202804</v>
      </c>
      <c r="B4459" s="82" t="s">
        <v>10621</v>
      </c>
      <c r="C4459" s="82" t="s">
        <v>12049</v>
      </c>
      <c r="D4459" s="82" t="s">
        <v>12050</v>
      </c>
      <c r="E4459" s="82">
        <v>6282267832085</v>
      </c>
      <c r="F4459" s="92">
        <v>45895</v>
      </c>
      <c r="G4459" s="87">
        <v>1036</v>
      </c>
      <c r="H4459" s="88">
        <v>11323.651452282158</v>
      </c>
      <c r="I4459" s="89">
        <v>29</v>
      </c>
      <c r="J4459" s="90">
        <v>16374</v>
      </c>
      <c r="K4459" s="85">
        <v>2</v>
      </c>
      <c r="L4459" s="85">
        <v>379</v>
      </c>
      <c r="M4459" s="85">
        <v>1</v>
      </c>
      <c r="N4459" s="82" t="s">
        <v>12051</v>
      </c>
      <c r="O4459" s="93">
        <v>45896.77652777778</v>
      </c>
    </row>
    <row r="4460" spans="1:15" ht="22.5" customHeight="1">
      <c r="A4460" s="85">
        <v>174904221976312</v>
      </c>
      <c r="B4460" s="82" t="s">
        <v>10651</v>
      </c>
      <c r="C4460" s="82" t="s">
        <v>12100</v>
      </c>
      <c r="D4460" s="82" t="s">
        <v>6091</v>
      </c>
      <c r="E4460" s="82">
        <v>6281938384000</v>
      </c>
      <c r="F4460" s="92">
        <v>45895</v>
      </c>
      <c r="G4460" s="87">
        <v>551</v>
      </c>
      <c r="H4460" s="88">
        <v>17697.520661157025</v>
      </c>
      <c r="I4460" s="89">
        <v>20</v>
      </c>
      <c r="J4460" s="90">
        <v>10707</v>
      </c>
      <c r="K4460" s="85">
        <v>2</v>
      </c>
      <c r="L4460" s="85">
        <v>307</v>
      </c>
      <c r="M4460" s="85">
        <v>1</v>
      </c>
      <c r="N4460" s="82" t="s">
        <v>12101</v>
      </c>
      <c r="O4460" s="93">
        <v>45896.735127314816</v>
      </c>
    </row>
    <row r="4461" spans="1:15" ht="22.5" customHeight="1">
      <c r="A4461" s="85">
        <v>174904221976312</v>
      </c>
      <c r="B4461" s="82" t="s">
        <v>10651</v>
      </c>
      <c r="C4461" s="82" t="s">
        <v>12102</v>
      </c>
      <c r="D4461" s="82" t="s">
        <v>12103</v>
      </c>
      <c r="E4461" s="82">
        <v>628122577723</v>
      </c>
      <c r="F4461" s="92">
        <v>45895</v>
      </c>
      <c r="G4461" s="87">
        <v>455</v>
      </c>
      <c r="H4461" s="88">
        <v>22235.507246376812</v>
      </c>
      <c r="I4461" s="89">
        <v>6</v>
      </c>
      <c r="J4461" s="90">
        <v>12274</v>
      </c>
      <c r="K4461" s="85">
        <v>0</v>
      </c>
      <c r="L4461" s="85">
        <v>30</v>
      </c>
      <c r="M4461" s="85">
        <v>0</v>
      </c>
      <c r="N4461" s="82" t="s">
        <v>12104</v>
      </c>
      <c r="O4461" s="93">
        <v>45896.609976851854</v>
      </c>
    </row>
    <row r="4462" spans="1:15" ht="22.5" customHeight="1">
      <c r="A4462" s="85">
        <v>174904221976312</v>
      </c>
      <c r="B4462" s="82" t="s">
        <v>10651</v>
      </c>
      <c r="C4462" s="82" t="s">
        <v>12105</v>
      </c>
      <c r="D4462" s="82" t="s">
        <v>4582</v>
      </c>
      <c r="E4462" s="82">
        <v>6287836691500</v>
      </c>
      <c r="F4462" s="92">
        <v>45895</v>
      </c>
      <c r="G4462" s="87">
        <v>344</v>
      </c>
      <c r="H4462" s="88">
        <v>32947.64397905759</v>
      </c>
      <c r="I4462" s="89">
        <v>6</v>
      </c>
      <c r="J4462" s="90">
        <v>12586</v>
      </c>
      <c r="K4462" s="85">
        <v>2</v>
      </c>
      <c r="L4462" s="85">
        <v>22</v>
      </c>
      <c r="M4462" s="85">
        <v>0</v>
      </c>
      <c r="N4462" s="82" t="s">
        <v>12106</v>
      </c>
      <c r="O4462" s="93">
        <v>45896.672881944447</v>
      </c>
    </row>
    <row r="4463" spans="1:15" ht="22.5" customHeight="1">
      <c r="A4463" s="85">
        <v>174904221976312</v>
      </c>
      <c r="B4463" s="82" t="s">
        <v>10651</v>
      </c>
      <c r="C4463" s="82" t="s">
        <v>12107</v>
      </c>
      <c r="D4463" s="82" t="s">
        <v>3465</v>
      </c>
      <c r="E4463" s="82">
        <v>6285920572002</v>
      </c>
      <c r="F4463" s="92">
        <v>45895</v>
      </c>
      <c r="G4463" s="87">
        <v>279</v>
      </c>
      <c r="H4463" s="88">
        <v>35085.443037974685</v>
      </c>
      <c r="I4463" s="89">
        <v>11</v>
      </c>
      <c r="J4463" s="90">
        <v>11087</v>
      </c>
      <c r="K4463" s="85">
        <v>2</v>
      </c>
      <c r="L4463" s="85">
        <v>7</v>
      </c>
      <c r="M4463" s="85">
        <v>0</v>
      </c>
      <c r="N4463" s="82" t="s">
        <v>12108</v>
      </c>
      <c r="O4463" s="93">
        <v>45896.609606481485</v>
      </c>
    </row>
    <row r="4464" spans="1:15" ht="22.5" customHeight="1">
      <c r="A4464" s="85">
        <v>174904221976312</v>
      </c>
      <c r="B4464" s="82" t="s">
        <v>10651</v>
      </c>
      <c r="C4464" s="82" t="s">
        <v>12109</v>
      </c>
      <c r="D4464" s="82" t="s">
        <v>12110</v>
      </c>
      <c r="E4464" s="82">
        <v>6287777304498</v>
      </c>
      <c r="F4464" s="92">
        <v>45895</v>
      </c>
      <c r="G4464" s="87">
        <v>268</v>
      </c>
      <c r="H4464" s="88">
        <v>40800.687285223372</v>
      </c>
      <c r="I4464" s="89">
        <v>12</v>
      </c>
      <c r="J4464" s="90">
        <v>11873</v>
      </c>
      <c r="K4464" s="85">
        <v>0</v>
      </c>
      <c r="L4464" s="85">
        <v>36</v>
      </c>
      <c r="M4464" s="85">
        <v>0</v>
      </c>
      <c r="N4464" s="82" t="s">
        <v>12111</v>
      </c>
      <c r="O4464" s="93">
        <v>45896.568402777775</v>
      </c>
    </row>
    <row r="4465" spans="1:15" ht="22.5" customHeight="1">
      <c r="A4465" s="85">
        <v>174904221976312</v>
      </c>
      <c r="B4465" s="82" t="s">
        <v>10651</v>
      </c>
      <c r="C4465" s="82" t="s">
        <v>12112</v>
      </c>
      <c r="D4465" s="82" t="s">
        <v>12113</v>
      </c>
      <c r="E4465" s="82">
        <v>6285642368174</v>
      </c>
      <c r="F4465" s="92">
        <v>45895</v>
      </c>
      <c r="G4465" s="87">
        <v>863</v>
      </c>
      <c r="H4465" s="88">
        <v>13934.262948207172</v>
      </c>
      <c r="I4465" s="89">
        <v>29</v>
      </c>
      <c r="J4465" s="90">
        <v>13990</v>
      </c>
      <c r="K4465" s="85">
        <v>1</v>
      </c>
      <c r="L4465" s="85">
        <v>12</v>
      </c>
      <c r="M4465" s="85">
        <v>0</v>
      </c>
      <c r="N4465" s="82" t="s">
        <v>12114</v>
      </c>
      <c r="O4465" s="93">
        <v>45896.568124999998</v>
      </c>
    </row>
    <row r="4466" spans="1:15" ht="22.5" customHeight="1">
      <c r="A4466" s="85">
        <v>174904221976312</v>
      </c>
      <c r="B4466" s="82" t="s">
        <v>10651</v>
      </c>
      <c r="C4466" s="82" t="s">
        <v>12115</v>
      </c>
      <c r="D4466" s="82" t="s">
        <v>4295</v>
      </c>
      <c r="E4466" s="82">
        <v>6281513169730</v>
      </c>
      <c r="F4466" s="92">
        <v>45895</v>
      </c>
      <c r="G4466" s="87">
        <v>221</v>
      </c>
      <c r="H4466" s="88">
        <v>60214.592274678114</v>
      </c>
      <c r="I4466" s="89">
        <v>7</v>
      </c>
      <c r="J4466" s="90">
        <v>14030</v>
      </c>
      <c r="K4466" s="85">
        <v>0</v>
      </c>
      <c r="L4466" s="85">
        <v>0</v>
      </c>
      <c r="M4466" s="85">
        <v>0</v>
      </c>
      <c r="N4466" s="82" t="s">
        <v>12116</v>
      </c>
      <c r="O4466" s="93">
        <v>45896.652268518519</v>
      </c>
    </row>
    <row r="4467" spans="1:15" ht="22.5" customHeight="1">
      <c r="A4467" s="85">
        <v>174904221976312</v>
      </c>
      <c r="B4467" s="82" t="s">
        <v>10651</v>
      </c>
      <c r="C4467" s="82" t="s">
        <v>12052</v>
      </c>
      <c r="D4467" s="82" t="s">
        <v>4366</v>
      </c>
      <c r="E4467" s="82">
        <v>6287842913251</v>
      </c>
      <c r="F4467" s="92">
        <v>45895</v>
      </c>
      <c r="G4467" s="87">
        <v>435</v>
      </c>
      <c r="H4467" s="88">
        <v>26997.959183673469</v>
      </c>
      <c r="I4467" s="89">
        <v>5</v>
      </c>
      <c r="J4467" s="90">
        <v>13229</v>
      </c>
      <c r="K4467" s="85">
        <v>0</v>
      </c>
      <c r="L4467" s="85">
        <v>0</v>
      </c>
      <c r="M4467" s="85">
        <v>0</v>
      </c>
      <c r="N4467" s="82" t="s">
        <v>12053</v>
      </c>
      <c r="O4467" s="93">
        <v>45896.505416666667</v>
      </c>
    </row>
    <row r="4468" spans="1:15" ht="22.5" customHeight="1">
      <c r="A4468" s="85">
        <v>174904221976312</v>
      </c>
      <c r="B4468" s="82" t="s">
        <v>10651</v>
      </c>
      <c r="C4468" s="82" t="s">
        <v>12054</v>
      </c>
      <c r="D4468" s="82" t="s">
        <v>4485</v>
      </c>
      <c r="E4468" s="82">
        <v>6285169730762</v>
      </c>
      <c r="F4468" s="92">
        <v>45895</v>
      </c>
      <c r="G4468" s="87">
        <v>1520</v>
      </c>
      <c r="H4468" s="88">
        <v>6947.7296726504755</v>
      </c>
      <c r="I4468" s="89">
        <v>129</v>
      </c>
      <c r="J4468" s="90">
        <v>13159</v>
      </c>
      <c r="K4468" s="85">
        <v>14</v>
      </c>
      <c r="L4468" s="85">
        <v>722</v>
      </c>
      <c r="M4468" s="85">
        <v>7</v>
      </c>
      <c r="N4468" s="82" t="s">
        <v>12055</v>
      </c>
      <c r="O4468" s="93">
        <v>45896.755937499998</v>
      </c>
    </row>
    <row r="4469" spans="1:15" ht="22.5" customHeight="1">
      <c r="A4469" s="85">
        <v>174904221976312</v>
      </c>
      <c r="B4469" s="82" t="s">
        <v>10651</v>
      </c>
      <c r="C4469" s="82" t="s">
        <v>12056</v>
      </c>
      <c r="D4469" s="82" t="s">
        <v>4549</v>
      </c>
      <c r="E4469" s="82">
        <v>6282171085542</v>
      </c>
      <c r="F4469" s="92">
        <v>45895</v>
      </c>
      <c r="G4469" s="87">
        <v>611</v>
      </c>
      <c r="H4469" s="88">
        <v>18787.535410764871</v>
      </c>
      <c r="I4469" s="89">
        <v>15</v>
      </c>
      <c r="J4469" s="90">
        <v>13264</v>
      </c>
      <c r="K4469" s="85">
        <v>1</v>
      </c>
      <c r="L4469" s="85">
        <v>0</v>
      </c>
      <c r="M4469" s="85">
        <v>0</v>
      </c>
      <c r="N4469" s="82" t="s">
        <v>12057</v>
      </c>
      <c r="O4469" s="93">
        <v>45896.568402777775</v>
      </c>
    </row>
    <row r="4470" spans="1:15" ht="22.5" customHeight="1">
      <c r="A4470" s="85">
        <v>174904221976312</v>
      </c>
      <c r="B4470" s="82" t="s">
        <v>10651</v>
      </c>
      <c r="C4470" s="82" t="s">
        <v>12058</v>
      </c>
      <c r="D4470" s="82" t="s">
        <v>4516</v>
      </c>
      <c r="E4470" s="82">
        <v>6281315163838</v>
      </c>
      <c r="F4470" s="92">
        <v>45895</v>
      </c>
      <c r="G4470" s="87">
        <v>612</v>
      </c>
      <c r="H4470" s="88">
        <v>20821.739130434784</v>
      </c>
      <c r="I4470" s="89">
        <v>19</v>
      </c>
      <c r="J4470" s="90">
        <v>14367</v>
      </c>
      <c r="K4470" s="85">
        <v>3</v>
      </c>
      <c r="L4470" s="85">
        <v>252</v>
      </c>
      <c r="M4470" s="85">
        <v>0</v>
      </c>
      <c r="N4470" s="82" t="s">
        <v>12059</v>
      </c>
      <c r="O4470" s="93">
        <v>45896.609618055554</v>
      </c>
    </row>
    <row r="4471" spans="1:15" ht="22.5" customHeight="1">
      <c r="A4471" s="85">
        <v>174904221976312</v>
      </c>
      <c r="B4471" s="82" t="s">
        <v>10651</v>
      </c>
      <c r="C4471" s="82" t="s">
        <v>12060</v>
      </c>
      <c r="D4471" s="82" t="s">
        <v>12061</v>
      </c>
      <c r="E4471" s="82">
        <v>628112656686</v>
      </c>
      <c r="F4471" s="92">
        <v>45895</v>
      </c>
      <c r="G4471" s="87">
        <v>529</v>
      </c>
      <c r="H4471" s="88">
        <v>20334.476843910808</v>
      </c>
      <c r="I4471" s="89">
        <v>11</v>
      </c>
      <c r="J4471" s="90">
        <v>11855</v>
      </c>
      <c r="K4471" s="85">
        <v>1</v>
      </c>
      <c r="L4471" s="85">
        <v>0</v>
      </c>
      <c r="M4471" s="85">
        <v>0</v>
      </c>
      <c r="N4471" s="82" t="s">
        <v>12062</v>
      </c>
      <c r="O4471" s="93">
        <v>45896.631006944444</v>
      </c>
    </row>
    <row r="4472" spans="1:15" ht="22.5" customHeight="1">
      <c r="A4472" s="85">
        <v>174904221976312</v>
      </c>
      <c r="B4472" s="82" t="s">
        <v>10651</v>
      </c>
      <c r="C4472" s="82" t="s">
        <v>12063</v>
      </c>
      <c r="D4472" s="82" t="s">
        <v>12064</v>
      </c>
      <c r="E4472" s="82">
        <v>6285741888828</v>
      </c>
      <c r="F4472" s="92">
        <v>45895</v>
      </c>
      <c r="G4472" s="87">
        <v>346</v>
      </c>
      <c r="H4472" s="88">
        <v>37245.382585751977</v>
      </c>
      <c r="I4472" s="89">
        <v>16</v>
      </c>
      <c r="J4472" s="90">
        <v>14116</v>
      </c>
      <c r="K4472" s="85">
        <v>0</v>
      </c>
      <c r="L4472" s="85">
        <v>133</v>
      </c>
      <c r="M4472" s="85">
        <v>0</v>
      </c>
      <c r="N4472" s="82" t="s">
        <v>12065</v>
      </c>
      <c r="O4472" s="93">
        <v>45896.588865740741</v>
      </c>
    </row>
    <row r="4473" spans="1:15" ht="22.5" customHeight="1">
      <c r="A4473" s="85">
        <v>174904221976312</v>
      </c>
      <c r="B4473" s="82" t="s">
        <v>10651</v>
      </c>
      <c r="C4473" s="82" t="s">
        <v>12036</v>
      </c>
      <c r="D4473" s="82" t="s">
        <v>12037</v>
      </c>
      <c r="E4473" s="82">
        <v>6281316807185</v>
      </c>
      <c r="F4473" s="92">
        <v>45895</v>
      </c>
      <c r="G4473" s="87">
        <v>283</v>
      </c>
      <c r="H4473" s="88">
        <v>41984.076433121016</v>
      </c>
      <c r="I4473" s="89">
        <v>13</v>
      </c>
      <c r="J4473" s="90">
        <v>13183</v>
      </c>
      <c r="K4473" s="85">
        <v>3</v>
      </c>
      <c r="L4473" s="85">
        <v>100</v>
      </c>
      <c r="M4473" s="85">
        <v>1</v>
      </c>
      <c r="N4473" s="82" t="s">
        <v>12038</v>
      </c>
      <c r="O4473" s="93">
        <v>45896.505613425928</v>
      </c>
    </row>
    <row r="4474" spans="1:15" ht="22.5" customHeight="1">
      <c r="A4474" s="85">
        <v>174904221976312</v>
      </c>
      <c r="B4474" s="82" t="s">
        <v>10651</v>
      </c>
      <c r="C4474" s="82" t="s">
        <v>12039</v>
      </c>
      <c r="D4474" s="82" t="s">
        <v>12040</v>
      </c>
      <c r="E4474" s="82">
        <v>6281330410391</v>
      </c>
      <c r="F4474" s="92">
        <v>45895</v>
      </c>
      <c r="G4474" s="87">
        <v>776</v>
      </c>
      <c r="H4474" s="88">
        <v>15872.156013001084</v>
      </c>
      <c r="I4474" s="89">
        <v>61</v>
      </c>
      <c r="J4474" s="90">
        <v>14650</v>
      </c>
      <c r="K4474" s="85">
        <v>9</v>
      </c>
      <c r="L4474" s="85">
        <v>152</v>
      </c>
      <c r="M4474" s="85">
        <v>0</v>
      </c>
      <c r="N4474" s="82" t="s">
        <v>12041</v>
      </c>
      <c r="O4474" s="93">
        <v>45896.609629629631</v>
      </c>
    </row>
    <row r="4475" spans="1:15" ht="22.5" customHeight="1">
      <c r="A4475" s="85">
        <v>174904221976312</v>
      </c>
      <c r="B4475" s="82" t="s">
        <v>10651</v>
      </c>
      <c r="C4475" s="82" t="s">
        <v>12042</v>
      </c>
      <c r="D4475" s="91" t="s">
        <v>4468</v>
      </c>
      <c r="E4475" s="82">
        <v>6285710239729</v>
      </c>
      <c r="F4475" s="92">
        <v>45895</v>
      </c>
      <c r="G4475" s="87">
        <v>133</v>
      </c>
      <c r="H4475" s="88">
        <v>105700.7299270073</v>
      </c>
      <c r="I4475" s="89">
        <v>4</v>
      </c>
      <c r="J4475" s="90">
        <v>14481</v>
      </c>
      <c r="K4475" s="85">
        <v>0</v>
      </c>
      <c r="L4475" s="85">
        <v>41</v>
      </c>
      <c r="M4475" s="85">
        <v>0</v>
      </c>
      <c r="N4475" s="82" t="s">
        <v>12043</v>
      </c>
      <c r="O4475" s="93">
        <v>45896.484733796293</v>
      </c>
    </row>
    <row r="4476" spans="1:15" ht="22.5" customHeight="1">
      <c r="A4476" s="85">
        <v>174904221976312</v>
      </c>
      <c r="B4476" s="82" t="s">
        <v>10651</v>
      </c>
      <c r="C4476" s="82" t="s">
        <v>12044</v>
      </c>
      <c r="D4476" s="82" t="s">
        <v>12045</v>
      </c>
      <c r="E4476" s="82">
        <v>6287821734079</v>
      </c>
      <c r="F4476" s="92">
        <v>45895</v>
      </c>
      <c r="G4476" s="87">
        <v>966</v>
      </c>
      <c r="H4476" s="88">
        <v>12746.268656716418</v>
      </c>
      <c r="I4476" s="89">
        <v>19</v>
      </c>
      <c r="J4476" s="90">
        <v>13664</v>
      </c>
      <c r="K4476" s="85">
        <v>2</v>
      </c>
      <c r="L4476" s="85">
        <v>0</v>
      </c>
      <c r="M4476" s="85">
        <v>0</v>
      </c>
      <c r="N4476" s="82" t="s">
        <v>12046</v>
      </c>
      <c r="O4476" s="93">
        <v>45896.484710648147</v>
      </c>
    </row>
    <row r="4477" spans="1:15" ht="22.5" customHeight="1">
      <c r="A4477" s="85">
        <v>174904221976312</v>
      </c>
      <c r="B4477" s="82" t="s">
        <v>10651</v>
      </c>
      <c r="C4477" s="82" t="s">
        <v>12047</v>
      </c>
      <c r="D4477" s="82" t="s">
        <v>4434</v>
      </c>
      <c r="E4477" s="82">
        <v>6281334257715</v>
      </c>
      <c r="F4477" s="92">
        <v>45895</v>
      </c>
      <c r="G4477" s="87">
        <v>307</v>
      </c>
      <c r="H4477" s="88">
        <v>33262.376237623765</v>
      </c>
      <c r="I4477" s="89">
        <v>6</v>
      </c>
      <c r="J4477" s="90">
        <v>13438</v>
      </c>
      <c r="K4477" s="85">
        <v>0</v>
      </c>
      <c r="L4477" s="85">
        <v>0</v>
      </c>
      <c r="M4477" s="85">
        <v>0</v>
      </c>
      <c r="N4477" s="82" t="s">
        <v>12048</v>
      </c>
      <c r="O4477" s="93">
        <v>45896.588842592595</v>
      </c>
    </row>
    <row r="4478" spans="1:15" ht="22.5" customHeight="1">
      <c r="A4478" s="85">
        <v>174904221976312</v>
      </c>
      <c r="B4478" s="82" t="s">
        <v>10651</v>
      </c>
      <c r="C4478" s="82" t="s">
        <v>12024</v>
      </c>
      <c r="D4478" s="82" t="s">
        <v>12025</v>
      </c>
      <c r="E4478" s="82">
        <v>6285166200242</v>
      </c>
      <c r="F4478" s="92">
        <v>45895</v>
      </c>
      <c r="G4478" s="87">
        <v>909</v>
      </c>
      <c r="H4478" s="88">
        <v>11853.456221198156</v>
      </c>
      <c r="I4478" s="89">
        <v>23</v>
      </c>
      <c r="J4478" s="90">
        <v>12861</v>
      </c>
      <c r="K4478" s="85">
        <v>5</v>
      </c>
      <c r="L4478" s="85">
        <v>0</v>
      </c>
      <c r="M4478" s="85">
        <v>0</v>
      </c>
      <c r="N4478" s="82" t="s">
        <v>12026</v>
      </c>
      <c r="O4478" s="93">
        <v>45896.215648148151</v>
      </c>
    </row>
    <row r="4479" spans="1:15" ht="22.5" customHeight="1">
      <c r="A4479" s="85">
        <v>174904221976312</v>
      </c>
      <c r="B4479" s="82" t="s">
        <v>10651</v>
      </c>
      <c r="C4479" s="82" t="s">
        <v>12027</v>
      </c>
      <c r="D4479" s="82" t="s">
        <v>12028</v>
      </c>
      <c r="E4479" s="82">
        <v>6287776264559</v>
      </c>
      <c r="F4479" s="92">
        <v>45895</v>
      </c>
      <c r="G4479" s="87">
        <v>896</v>
      </c>
      <c r="H4479" s="88">
        <v>12314.779270633398</v>
      </c>
      <c r="I4479" s="89">
        <v>27</v>
      </c>
      <c r="J4479" s="90">
        <v>12832</v>
      </c>
      <c r="K4479" s="85">
        <v>1</v>
      </c>
      <c r="L4479" s="85">
        <v>250</v>
      </c>
      <c r="M4479" s="85">
        <v>0</v>
      </c>
      <c r="N4479" s="82" t="s">
        <v>12029</v>
      </c>
      <c r="O4479" s="93">
        <v>45896.21565972222</v>
      </c>
    </row>
    <row r="4480" spans="1:15" ht="22.5" customHeight="1">
      <c r="A4480" s="85">
        <v>174904221976312</v>
      </c>
      <c r="B4480" s="82" t="s">
        <v>10651</v>
      </c>
      <c r="C4480" s="82" t="s">
        <v>12030</v>
      </c>
      <c r="D4480" s="82" t="s">
        <v>12031</v>
      </c>
      <c r="E4480" s="82">
        <v>6289667480162</v>
      </c>
      <c r="F4480" s="92">
        <v>45895</v>
      </c>
      <c r="G4480" s="87">
        <v>2511</v>
      </c>
      <c r="H4480" s="88">
        <v>5070.8915145005367</v>
      </c>
      <c r="I4480" s="89">
        <v>113</v>
      </c>
      <c r="J4480" s="90">
        <v>14163</v>
      </c>
      <c r="K4480" s="85">
        <v>12</v>
      </c>
      <c r="L4480" s="85">
        <v>0</v>
      </c>
      <c r="M4480" s="85">
        <v>3</v>
      </c>
      <c r="N4480" s="82" t="s">
        <v>12032</v>
      </c>
      <c r="O4480" s="93">
        <v>45896.215648148151</v>
      </c>
    </row>
    <row r="4481" spans="1:15" ht="22.5" customHeight="1">
      <c r="A4481" s="85">
        <v>174904221976312</v>
      </c>
      <c r="B4481" s="82" t="s">
        <v>10651</v>
      </c>
      <c r="C4481" s="82" t="s">
        <v>12033</v>
      </c>
      <c r="D4481" s="82" t="s">
        <v>12034</v>
      </c>
      <c r="E4481" s="82">
        <v>62082287715351</v>
      </c>
      <c r="F4481" s="92">
        <v>45895</v>
      </c>
      <c r="G4481" s="87">
        <v>781</v>
      </c>
      <c r="H4481" s="88">
        <v>13377.358490566039</v>
      </c>
      <c r="I4481" s="89">
        <v>66</v>
      </c>
      <c r="J4481" s="90">
        <v>14180</v>
      </c>
      <c r="K4481" s="85">
        <v>7</v>
      </c>
      <c r="L4481" s="85">
        <v>305</v>
      </c>
      <c r="M4481" s="85">
        <v>1</v>
      </c>
      <c r="N4481" s="82" t="s">
        <v>12035</v>
      </c>
      <c r="O4481" s="93">
        <v>45896.21565972222</v>
      </c>
    </row>
    <row r="4482" spans="1:15" ht="22.5" customHeight="1">
      <c r="A4482" s="85">
        <v>174904221976312</v>
      </c>
      <c r="B4482" s="82" t="s">
        <v>10651</v>
      </c>
      <c r="C4482" s="82" t="s">
        <v>12013</v>
      </c>
      <c r="D4482" s="82" t="s">
        <v>12014</v>
      </c>
      <c r="E4482" s="82">
        <v>6282154318629</v>
      </c>
      <c r="F4482" s="92">
        <v>45895</v>
      </c>
      <c r="G4482" s="87">
        <v>268</v>
      </c>
      <c r="H4482" s="88">
        <v>51879.72508591065</v>
      </c>
      <c r="I4482" s="89">
        <v>9</v>
      </c>
      <c r="J4482" s="90">
        <v>15097</v>
      </c>
      <c r="K4482" s="85">
        <v>4</v>
      </c>
      <c r="L4482" s="85">
        <v>103</v>
      </c>
      <c r="M4482" s="85">
        <v>0</v>
      </c>
      <c r="N4482" s="82" t="s">
        <v>12015</v>
      </c>
      <c r="O4482" s="93">
        <v>45896.547488425924</v>
      </c>
    </row>
    <row r="4483" spans="1:15" ht="22.5" customHeight="1">
      <c r="A4483" s="85">
        <v>174904221976312</v>
      </c>
      <c r="B4483" s="82" t="s">
        <v>10651</v>
      </c>
      <c r="C4483" s="82" t="s">
        <v>12016</v>
      </c>
      <c r="D4483" s="82" t="s">
        <v>12017</v>
      </c>
      <c r="E4483" s="82">
        <v>6281210801646</v>
      </c>
      <c r="F4483" s="92">
        <v>45895</v>
      </c>
      <c r="G4483" s="87">
        <v>414</v>
      </c>
      <c r="H4483" s="88">
        <v>30707.724425887263</v>
      </c>
      <c r="I4483" s="89">
        <v>22</v>
      </c>
      <c r="J4483" s="90">
        <v>14709</v>
      </c>
      <c r="K4483" s="85">
        <v>3</v>
      </c>
      <c r="L4483" s="85">
        <v>178</v>
      </c>
      <c r="M4483" s="85">
        <v>0</v>
      </c>
      <c r="N4483" s="82" t="s">
        <v>12018</v>
      </c>
      <c r="O4483" s="93">
        <v>45896.588865740741</v>
      </c>
    </row>
    <row r="4484" spans="1:15" ht="22.5" customHeight="1">
      <c r="A4484" s="85">
        <v>174904221976312</v>
      </c>
      <c r="B4484" s="82" t="s">
        <v>10651</v>
      </c>
      <c r="C4484" s="82" t="s">
        <v>12019</v>
      </c>
      <c r="D4484" s="82" t="s">
        <v>12020</v>
      </c>
      <c r="E4484" s="82">
        <v>6287862271550</v>
      </c>
      <c r="F4484" s="92">
        <v>45895</v>
      </c>
      <c r="G4484" s="87">
        <v>397</v>
      </c>
      <c r="H4484" s="88">
        <v>33066.666666666672</v>
      </c>
      <c r="I4484" s="89">
        <v>15</v>
      </c>
      <c r="J4484" s="90">
        <v>14384</v>
      </c>
      <c r="K4484" s="85">
        <v>2</v>
      </c>
      <c r="L4484" s="85">
        <v>153</v>
      </c>
      <c r="M4484" s="85">
        <v>0</v>
      </c>
      <c r="N4484" s="82" t="s">
        <v>12021</v>
      </c>
      <c r="O4484" s="93">
        <v>45896.215648148151</v>
      </c>
    </row>
    <row r="4485" spans="1:15" ht="22.5" customHeight="1">
      <c r="A4485" s="85">
        <v>174904221976312</v>
      </c>
      <c r="B4485" s="82" t="s">
        <v>10651</v>
      </c>
      <c r="C4485" s="82" t="s">
        <v>12022</v>
      </c>
      <c r="D4485" s="82" t="s">
        <v>11483</v>
      </c>
      <c r="E4485" s="82">
        <v>6285255115894</v>
      </c>
      <c r="F4485" s="92">
        <v>45895</v>
      </c>
      <c r="G4485" s="87">
        <v>1865</v>
      </c>
      <c r="H4485" s="88">
        <v>6400.568181818182</v>
      </c>
      <c r="I4485" s="89">
        <v>60</v>
      </c>
      <c r="J4485" s="90">
        <v>13518</v>
      </c>
      <c r="K4485" s="85">
        <v>7</v>
      </c>
      <c r="L4485" s="85">
        <v>640</v>
      </c>
      <c r="M4485" s="85">
        <v>4</v>
      </c>
      <c r="N4485" s="82" t="s">
        <v>12023</v>
      </c>
      <c r="O4485" s="93">
        <v>45896.588854166665</v>
      </c>
    </row>
    <row r="4486" spans="1:15" ht="22.5" customHeight="1">
      <c r="A4486" s="85">
        <v>174904221976312</v>
      </c>
      <c r="B4486" s="82" t="s">
        <v>10651</v>
      </c>
      <c r="C4486" s="82" t="s">
        <v>12005</v>
      </c>
      <c r="D4486" s="82" t="s">
        <v>3092</v>
      </c>
      <c r="E4486" s="82">
        <v>6287740636181</v>
      </c>
      <c r="F4486" s="92">
        <v>45895</v>
      </c>
      <c r="G4486" s="87">
        <v>847</v>
      </c>
      <c r="H4486" s="88">
        <v>13072.69338303821</v>
      </c>
      <c r="I4486" s="89">
        <v>52</v>
      </c>
      <c r="J4486" s="90">
        <v>14027</v>
      </c>
      <c r="K4486" s="85">
        <v>7</v>
      </c>
      <c r="L4486" s="85">
        <v>0</v>
      </c>
      <c r="M4486" s="85">
        <v>1</v>
      </c>
      <c r="N4486" s="82" t="s">
        <v>12006</v>
      </c>
      <c r="O4486" s="93">
        <v>45896.568136574075</v>
      </c>
    </row>
    <row r="4487" spans="1:15" ht="22.5" customHeight="1">
      <c r="A4487" s="85">
        <v>174904221976312</v>
      </c>
      <c r="B4487" s="82" t="s">
        <v>10651</v>
      </c>
      <c r="C4487" s="82" t="s">
        <v>12007</v>
      </c>
      <c r="D4487" s="82" t="s">
        <v>9010</v>
      </c>
      <c r="E4487" s="82">
        <v>6282160743576</v>
      </c>
      <c r="F4487" s="92">
        <v>45895</v>
      </c>
      <c r="G4487" s="87">
        <v>829</v>
      </c>
      <c r="H4487" s="88">
        <v>14537.981269510927</v>
      </c>
      <c r="I4487" s="89">
        <v>84</v>
      </c>
      <c r="J4487" s="90">
        <v>13971</v>
      </c>
      <c r="K4487" s="85">
        <v>15</v>
      </c>
      <c r="L4487" s="85">
        <v>491</v>
      </c>
      <c r="M4487" s="85">
        <v>0</v>
      </c>
      <c r="N4487" s="82" t="s">
        <v>12008</v>
      </c>
      <c r="O4487" s="93">
        <v>45896.631006944444</v>
      </c>
    </row>
    <row r="4488" spans="1:15" ht="22.5" customHeight="1">
      <c r="A4488" s="85">
        <v>174904221976312</v>
      </c>
      <c r="B4488" s="82" t="s">
        <v>10651</v>
      </c>
      <c r="C4488" s="82" t="s">
        <v>12009</v>
      </c>
      <c r="D4488" s="82" t="s">
        <v>11886</v>
      </c>
      <c r="E4488" s="82">
        <v>628179780980</v>
      </c>
      <c r="F4488" s="92">
        <v>45895</v>
      </c>
      <c r="G4488" s="87">
        <v>218</v>
      </c>
      <c r="H4488" s="88">
        <v>58936.170212765959</v>
      </c>
      <c r="I4488" s="89">
        <v>11</v>
      </c>
      <c r="J4488" s="90">
        <v>13850</v>
      </c>
      <c r="K4488" s="85">
        <v>3</v>
      </c>
      <c r="L4488" s="85">
        <v>74</v>
      </c>
      <c r="M4488" s="85">
        <v>0</v>
      </c>
      <c r="N4488" s="82" t="s">
        <v>12010</v>
      </c>
      <c r="O4488" s="93">
        <v>45896.588865740741</v>
      </c>
    </row>
    <row r="4489" spans="1:15" ht="22.5" customHeight="1">
      <c r="A4489" s="85">
        <v>174904221976312</v>
      </c>
      <c r="B4489" s="82" t="s">
        <v>10651</v>
      </c>
      <c r="C4489" s="82" t="s">
        <v>11994</v>
      </c>
      <c r="D4489" s="82" t="s">
        <v>4233</v>
      </c>
      <c r="E4489" s="82">
        <v>6289514176661</v>
      </c>
      <c r="F4489" s="92">
        <v>45895</v>
      </c>
      <c r="G4489" s="87">
        <v>1770</v>
      </c>
      <c r="H4489" s="88">
        <v>7646.1785141635492</v>
      </c>
      <c r="I4489" s="89">
        <v>46</v>
      </c>
      <c r="J4489" s="90">
        <v>14306</v>
      </c>
      <c r="K4489" s="85">
        <v>3</v>
      </c>
      <c r="L4489" s="85">
        <v>616</v>
      </c>
      <c r="M4489" s="85">
        <v>1</v>
      </c>
      <c r="N4489" s="82" t="s">
        <v>11995</v>
      </c>
      <c r="O4489" s="93">
        <v>45896.21565972222</v>
      </c>
    </row>
    <row r="4490" spans="1:15" ht="22.5" customHeight="1">
      <c r="A4490" s="85">
        <v>174904221976312</v>
      </c>
      <c r="B4490" s="82" t="s">
        <v>10651</v>
      </c>
      <c r="C4490" s="82" t="s">
        <v>11905</v>
      </c>
      <c r="D4490" s="82" t="s">
        <v>11906</v>
      </c>
      <c r="E4490" s="82">
        <v>6285294617773</v>
      </c>
      <c r="F4490" s="92">
        <v>45895</v>
      </c>
      <c r="G4490" s="87">
        <v>525</v>
      </c>
      <c r="H4490" s="88">
        <v>21030.400000000001</v>
      </c>
      <c r="I4490" s="89">
        <v>41</v>
      </c>
      <c r="J4490" s="90">
        <v>13144</v>
      </c>
      <c r="K4490" s="85">
        <v>2</v>
      </c>
      <c r="L4490" s="85">
        <v>0</v>
      </c>
      <c r="M4490" s="85">
        <v>0</v>
      </c>
      <c r="N4490" s="82" t="s">
        <v>11907</v>
      </c>
      <c r="O4490" s="93">
        <v>45896.652268518519</v>
      </c>
    </row>
    <row r="4491" spans="1:15" ht="22.5" customHeight="1">
      <c r="A4491" s="85">
        <v>174904221976312</v>
      </c>
      <c r="B4491" s="82" t="s">
        <v>10651</v>
      </c>
      <c r="C4491" s="82" t="s">
        <v>11896</v>
      </c>
      <c r="D4491" s="82" t="s">
        <v>11897</v>
      </c>
      <c r="E4491" s="82">
        <v>6282153090123</v>
      </c>
      <c r="F4491" s="92">
        <v>45895</v>
      </c>
      <c r="G4491" s="87">
        <v>494</v>
      </c>
      <c r="H4491" s="88">
        <v>24757.855822550831</v>
      </c>
      <c r="I4491" s="89">
        <v>18</v>
      </c>
      <c r="J4491" s="90">
        <v>13394</v>
      </c>
      <c r="K4491" s="85">
        <v>2</v>
      </c>
      <c r="L4491" s="85">
        <v>227</v>
      </c>
      <c r="M4491" s="85">
        <v>0</v>
      </c>
      <c r="N4491" s="82" t="s">
        <v>11898</v>
      </c>
      <c r="O4491" s="93">
        <v>45896.547743055555</v>
      </c>
    </row>
    <row r="4492" spans="1:15" ht="22.5" customHeight="1">
      <c r="A4492" s="85">
        <v>174904221976312</v>
      </c>
      <c r="B4492" s="82" t="s">
        <v>10651</v>
      </c>
      <c r="C4492" s="82" t="s">
        <v>11865</v>
      </c>
      <c r="D4492" s="82" t="s">
        <v>11403</v>
      </c>
      <c r="E4492" s="82">
        <v>6283870060603</v>
      </c>
      <c r="F4492" s="92">
        <v>45895</v>
      </c>
      <c r="G4492" s="87">
        <v>654</v>
      </c>
      <c r="H4492" s="88">
        <v>19633.040935672514</v>
      </c>
      <c r="I4492" s="89">
        <v>11</v>
      </c>
      <c r="J4492" s="90">
        <v>13429</v>
      </c>
      <c r="K4492" s="85">
        <v>0</v>
      </c>
      <c r="L4492" s="85">
        <v>184</v>
      </c>
      <c r="M4492" s="85">
        <v>0</v>
      </c>
      <c r="N4492" s="82" t="s">
        <v>11866</v>
      </c>
      <c r="O4492" s="93">
        <v>45896.672592592593</v>
      </c>
    </row>
    <row r="4493" spans="1:15" ht="22.5" customHeight="1">
      <c r="A4493" s="85">
        <v>174904221976312</v>
      </c>
      <c r="B4493" s="82" t="s">
        <v>10651</v>
      </c>
      <c r="C4493" s="82" t="s">
        <v>11876</v>
      </c>
      <c r="D4493" s="82" t="s">
        <v>11877</v>
      </c>
      <c r="E4493" s="82">
        <v>6285748377961</v>
      </c>
      <c r="F4493" s="92">
        <v>45895</v>
      </c>
      <c r="G4493" s="87">
        <v>1390</v>
      </c>
      <c r="H4493" s="88">
        <v>9091.8704560475871</v>
      </c>
      <c r="I4493" s="89">
        <v>34</v>
      </c>
      <c r="J4493" s="90">
        <v>13756</v>
      </c>
      <c r="K4493" s="85">
        <v>5</v>
      </c>
      <c r="L4493" s="85">
        <v>418</v>
      </c>
      <c r="M4493" s="85">
        <v>0</v>
      </c>
      <c r="N4493" s="82" t="s">
        <v>11878</v>
      </c>
      <c r="O4493" s="93">
        <v>45896.547743055555</v>
      </c>
    </row>
    <row r="4494" spans="1:15" ht="22.5" customHeight="1">
      <c r="A4494" s="85">
        <v>174904221976312</v>
      </c>
      <c r="B4494" s="82" t="s">
        <v>10651</v>
      </c>
      <c r="C4494" s="82" t="s">
        <v>11879</v>
      </c>
      <c r="D4494" s="82" t="s">
        <v>11877</v>
      </c>
      <c r="E4494" s="82">
        <v>6285748377961</v>
      </c>
      <c r="F4494" s="92">
        <v>45895</v>
      </c>
      <c r="G4494" s="87">
        <v>628</v>
      </c>
      <c r="H4494" s="88">
        <v>19478.64506627393</v>
      </c>
      <c r="I4494" s="89">
        <v>23</v>
      </c>
      <c r="J4494" s="90">
        <v>13226</v>
      </c>
      <c r="K4494" s="85">
        <v>8</v>
      </c>
      <c r="L4494" s="85">
        <v>231</v>
      </c>
      <c r="M4494" s="85">
        <v>0</v>
      </c>
      <c r="N4494" s="82" t="s">
        <v>11878</v>
      </c>
      <c r="O4494" s="93">
        <v>45896.609606481485</v>
      </c>
    </row>
    <row r="4495" spans="1:15" ht="22.5" customHeight="1">
      <c r="A4495" s="85">
        <v>174904221976312</v>
      </c>
      <c r="B4495" s="82" t="s">
        <v>10651</v>
      </c>
      <c r="C4495" s="82" t="s">
        <v>11838</v>
      </c>
      <c r="D4495" s="82" t="s">
        <v>11839</v>
      </c>
      <c r="E4495" s="82">
        <v>6287797504113</v>
      </c>
      <c r="F4495" s="92">
        <v>45895</v>
      </c>
      <c r="G4495" s="87">
        <v>270</v>
      </c>
      <c r="H4495" s="88">
        <v>39282.8947368421</v>
      </c>
      <c r="I4495" s="89">
        <v>15</v>
      </c>
      <c r="J4495" s="90">
        <v>11942</v>
      </c>
      <c r="K4495" s="85">
        <v>1</v>
      </c>
      <c r="L4495" s="85">
        <v>29</v>
      </c>
      <c r="M4495" s="85">
        <v>0</v>
      </c>
      <c r="N4495" s="82" t="s">
        <v>11840</v>
      </c>
      <c r="O4495" s="93">
        <v>45896.547476851854</v>
      </c>
    </row>
    <row r="4496" spans="1:15" ht="22.5" customHeight="1">
      <c r="A4496" s="85">
        <v>174904221976312</v>
      </c>
      <c r="B4496" s="82" t="s">
        <v>10651</v>
      </c>
      <c r="C4496" s="82" t="s">
        <v>11816</v>
      </c>
      <c r="D4496" s="82" t="s">
        <v>3682</v>
      </c>
      <c r="E4496" s="82">
        <v>6285602235226</v>
      </c>
      <c r="F4496" s="92">
        <v>45895</v>
      </c>
      <c r="G4496" s="87">
        <v>348</v>
      </c>
      <c r="H4496" s="88">
        <v>35042.288557213928</v>
      </c>
      <c r="I4496" s="89">
        <v>24</v>
      </c>
      <c r="J4496" s="90">
        <v>14087</v>
      </c>
      <c r="K4496" s="85">
        <v>5</v>
      </c>
      <c r="L4496" s="85">
        <v>135</v>
      </c>
      <c r="M4496" s="85">
        <v>0</v>
      </c>
      <c r="N4496" s="82" t="s">
        <v>11817</v>
      </c>
      <c r="O4496" s="93">
        <v>45896.547731481478</v>
      </c>
    </row>
    <row r="4497" spans="1:15" ht="22.5" customHeight="1">
      <c r="A4497" s="85">
        <v>174904221976312</v>
      </c>
      <c r="B4497" s="82" t="s">
        <v>10651</v>
      </c>
      <c r="C4497" s="82" t="s">
        <v>11792</v>
      </c>
      <c r="D4497" s="82" t="s">
        <v>11793</v>
      </c>
      <c r="E4497" s="82">
        <v>6281915041833</v>
      </c>
      <c r="F4497" s="92">
        <v>45895</v>
      </c>
      <c r="G4497" s="87">
        <v>359</v>
      </c>
      <c r="H4497" s="88">
        <v>28876.543209876545</v>
      </c>
      <c r="I4497" s="89">
        <v>12</v>
      </c>
      <c r="J4497" s="90">
        <v>11695</v>
      </c>
      <c r="K4497" s="85">
        <v>1</v>
      </c>
      <c r="L4497" s="85">
        <v>96</v>
      </c>
      <c r="M4497" s="85">
        <v>0</v>
      </c>
      <c r="N4497" s="82" t="s">
        <v>11794</v>
      </c>
      <c r="O4497" s="93">
        <v>45896.50540509259</v>
      </c>
    </row>
    <row r="4498" spans="1:15" ht="22.5" customHeight="1">
      <c r="A4498" s="85">
        <v>174904221976312</v>
      </c>
      <c r="B4498" s="82" t="s">
        <v>10651</v>
      </c>
      <c r="C4498" s="82" t="s">
        <v>11799</v>
      </c>
      <c r="D4498" s="82" t="s">
        <v>11800</v>
      </c>
      <c r="E4498" s="82">
        <v>6285333751528</v>
      </c>
      <c r="F4498" s="92">
        <v>45895</v>
      </c>
      <c r="G4498" s="87">
        <v>854</v>
      </c>
      <c r="H4498" s="88">
        <v>16060.043668122273</v>
      </c>
      <c r="I4498" s="89">
        <v>26</v>
      </c>
      <c r="J4498" s="90">
        <v>14711</v>
      </c>
      <c r="K4498" s="85">
        <v>6</v>
      </c>
      <c r="L4498" s="85">
        <v>0</v>
      </c>
      <c r="M4498" s="85">
        <v>0</v>
      </c>
      <c r="N4498" s="82" t="s">
        <v>11801</v>
      </c>
      <c r="O4498" s="93">
        <v>45896.526678240742</v>
      </c>
    </row>
    <row r="4499" spans="1:15" ht="22.5" customHeight="1">
      <c r="A4499" s="85">
        <v>174904221976312</v>
      </c>
      <c r="B4499" s="82" t="s">
        <v>10651</v>
      </c>
      <c r="C4499" s="82" t="s">
        <v>11766</v>
      </c>
      <c r="D4499" s="82" t="s">
        <v>11767</v>
      </c>
      <c r="E4499" s="82">
        <v>6281225101319</v>
      </c>
      <c r="F4499" s="92">
        <v>45895</v>
      </c>
      <c r="G4499" s="87">
        <v>240</v>
      </c>
      <c r="H4499" s="88">
        <v>50231.343283582093</v>
      </c>
      <c r="I4499" s="89">
        <v>7</v>
      </c>
      <c r="J4499" s="90">
        <v>13462</v>
      </c>
      <c r="K4499" s="85">
        <v>0</v>
      </c>
      <c r="L4499" s="85">
        <v>0</v>
      </c>
      <c r="M4499" s="85">
        <v>0</v>
      </c>
      <c r="N4499" s="82" t="s">
        <v>11768</v>
      </c>
      <c r="O4499" s="93">
        <v>45896.485034722224</v>
      </c>
    </row>
    <row r="4500" spans="1:15" ht="22.5" customHeight="1">
      <c r="A4500" s="85">
        <v>174904221976312</v>
      </c>
      <c r="B4500" s="82" t="s">
        <v>10651</v>
      </c>
      <c r="C4500" s="82" t="s">
        <v>11780</v>
      </c>
      <c r="D4500" s="82" t="s">
        <v>11781</v>
      </c>
      <c r="E4500" s="82">
        <v>6282129364133</v>
      </c>
      <c r="F4500" s="92">
        <v>45895</v>
      </c>
      <c r="G4500" s="87">
        <v>310</v>
      </c>
      <c r="H4500" s="88">
        <v>33119.897959183676</v>
      </c>
      <c r="I4500" s="89">
        <v>5</v>
      </c>
      <c r="J4500" s="90">
        <v>12983</v>
      </c>
      <c r="K4500" s="85">
        <v>1</v>
      </c>
      <c r="L4500" s="85">
        <v>0</v>
      </c>
      <c r="M4500" s="85">
        <v>0</v>
      </c>
      <c r="N4500" s="82" t="s">
        <v>11782</v>
      </c>
      <c r="O4500" s="93">
        <v>45896.547476851854</v>
      </c>
    </row>
    <row r="4501" spans="1:15" ht="22.5" customHeight="1">
      <c r="A4501" s="85">
        <v>174904221976312</v>
      </c>
      <c r="B4501" s="82" t="s">
        <v>10651</v>
      </c>
      <c r="C4501" s="82" t="s">
        <v>11755</v>
      </c>
      <c r="D4501" s="82" t="s">
        <v>11756</v>
      </c>
      <c r="E4501" s="82">
        <v>6281357754513</v>
      </c>
      <c r="F4501" s="92">
        <v>45895</v>
      </c>
      <c r="G4501" s="87">
        <v>653</v>
      </c>
      <c r="H4501" s="88">
        <v>21428.201811125487</v>
      </c>
      <c r="I4501" s="89">
        <v>15</v>
      </c>
      <c r="J4501" s="90">
        <v>16564</v>
      </c>
      <c r="K4501" s="85">
        <v>0</v>
      </c>
      <c r="L4501" s="85">
        <v>123</v>
      </c>
      <c r="M4501" s="85">
        <v>0</v>
      </c>
      <c r="N4501" s="82" t="s">
        <v>11757</v>
      </c>
      <c r="O4501" s="93">
        <v>45896.50540509259</v>
      </c>
    </row>
    <row r="4502" spans="1:15" ht="22.5" customHeight="1">
      <c r="A4502" s="85">
        <v>174904221976312</v>
      </c>
      <c r="B4502" s="82" t="s">
        <v>10651</v>
      </c>
      <c r="C4502" s="82" t="s">
        <v>11758</v>
      </c>
      <c r="D4502" s="82" t="s">
        <v>11759</v>
      </c>
      <c r="E4502" s="82">
        <v>6285946504405</v>
      </c>
      <c r="F4502" s="92">
        <v>45895</v>
      </c>
      <c r="G4502" s="87">
        <v>280</v>
      </c>
      <c r="H4502" s="88">
        <v>37202.572347266883</v>
      </c>
      <c r="I4502" s="89">
        <v>10</v>
      </c>
      <c r="J4502" s="90">
        <v>11570</v>
      </c>
      <c r="K4502" s="85">
        <v>2</v>
      </c>
      <c r="L4502" s="85">
        <v>107</v>
      </c>
      <c r="M4502" s="85">
        <v>0</v>
      </c>
      <c r="N4502" s="82" t="s">
        <v>11760</v>
      </c>
      <c r="O4502" s="93">
        <v>45896.21565972222</v>
      </c>
    </row>
    <row r="4503" spans="1:15" ht="22.5" customHeight="1">
      <c r="A4503" s="85">
        <v>174904221976312</v>
      </c>
      <c r="B4503" s="82" t="s">
        <v>10651</v>
      </c>
      <c r="C4503" s="82" t="s">
        <v>11761</v>
      </c>
      <c r="D4503" s="82" t="s">
        <v>3438</v>
      </c>
      <c r="E4503" s="82">
        <v>628154336558</v>
      </c>
      <c r="F4503" s="92">
        <v>45895</v>
      </c>
      <c r="G4503" s="87">
        <v>1860</v>
      </c>
      <c r="H4503" s="88">
        <v>6222.6061204343532</v>
      </c>
      <c r="I4503" s="89">
        <v>85</v>
      </c>
      <c r="J4503" s="90">
        <v>12607</v>
      </c>
      <c r="K4503" s="85">
        <v>0</v>
      </c>
      <c r="L4503" s="85">
        <v>807</v>
      </c>
      <c r="M4503" s="85">
        <v>1</v>
      </c>
      <c r="N4503" s="82" t="s">
        <v>11762</v>
      </c>
      <c r="O4503" s="93">
        <v>45896.693344907406</v>
      </c>
    </row>
    <row r="4504" spans="1:15" ht="22.5" customHeight="1">
      <c r="A4504" s="85">
        <v>174904221976312</v>
      </c>
      <c r="B4504" s="82" t="s">
        <v>10651</v>
      </c>
      <c r="C4504" s="82" t="s">
        <v>11763</v>
      </c>
      <c r="D4504" s="82" t="s">
        <v>11764</v>
      </c>
      <c r="E4504" s="82">
        <v>6282384544939</v>
      </c>
      <c r="F4504" s="92">
        <v>45895</v>
      </c>
      <c r="G4504" s="87">
        <v>380</v>
      </c>
      <c r="H4504" s="88">
        <v>27856.828193832596</v>
      </c>
      <c r="I4504" s="89">
        <v>10</v>
      </c>
      <c r="J4504" s="90">
        <v>12647</v>
      </c>
      <c r="K4504" s="85">
        <v>1</v>
      </c>
      <c r="L4504" s="85">
        <v>0</v>
      </c>
      <c r="M4504" s="85">
        <v>0</v>
      </c>
      <c r="N4504" s="82" t="s">
        <v>11765</v>
      </c>
      <c r="O4504" s="93">
        <v>45896.547465277778</v>
      </c>
    </row>
    <row r="4505" spans="1:15" ht="22.5" customHeight="1">
      <c r="A4505" s="85">
        <v>174904221976312</v>
      </c>
      <c r="B4505" s="82" t="s">
        <v>10651</v>
      </c>
      <c r="C4505" s="82" t="s">
        <v>11580</v>
      </c>
      <c r="D4505" s="82" t="s">
        <v>11581</v>
      </c>
      <c r="E4505" s="82">
        <v>6287790276733</v>
      </c>
      <c r="F4505" s="92">
        <v>45895</v>
      </c>
      <c r="G4505" s="87">
        <v>469</v>
      </c>
      <c r="H4505" s="88">
        <v>19073.17073170732</v>
      </c>
      <c r="I4505" s="89">
        <v>7</v>
      </c>
      <c r="J4505" s="90">
        <v>10948</v>
      </c>
      <c r="K4505" s="85">
        <v>1</v>
      </c>
      <c r="L4505" s="85">
        <v>0</v>
      </c>
      <c r="M4505" s="85">
        <v>0</v>
      </c>
      <c r="N4505" s="82" t="s">
        <v>11582</v>
      </c>
      <c r="O4505" s="93">
        <v>45896.547488425924</v>
      </c>
    </row>
    <row r="4506" spans="1:15" ht="22.5" customHeight="1">
      <c r="A4506" s="85">
        <v>174904221976312</v>
      </c>
      <c r="B4506" s="82" t="s">
        <v>10651</v>
      </c>
      <c r="C4506" s="82" t="s">
        <v>11545</v>
      </c>
      <c r="D4506" s="82" t="s">
        <v>3140</v>
      </c>
      <c r="E4506" s="82"/>
      <c r="F4506" s="92">
        <v>45895</v>
      </c>
      <c r="G4506" s="87">
        <v>6567</v>
      </c>
      <c r="H4506" s="88">
        <v>1896.4531635702222</v>
      </c>
      <c r="I4506" s="89">
        <v>60</v>
      </c>
      <c r="J4506" s="90">
        <v>14597</v>
      </c>
      <c r="K4506" s="85">
        <v>3</v>
      </c>
      <c r="L4506" s="85">
        <v>0</v>
      </c>
      <c r="M4506" s="85">
        <v>0</v>
      </c>
      <c r="N4506" s="82" t="s">
        <v>10779</v>
      </c>
      <c r="O4506" s="93">
        <v>45896.484733796293</v>
      </c>
    </row>
    <row r="4507" spans="1:15" ht="22.5" customHeight="1">
      <c r="A4507" s="85">
        <v>174904221976312</v>
      </c>
      <c r="B4507" s="82" t="s">
        <v>10651</v>
      </c>
      <c r="C4507" s="82" t="s">
        <v>11193</v>
      </c>
      <c r="D4507" s="82" t="s">
        <v>11194</v>
      </c>
      <c r="E4507" s="82">
        <v>6281779578317</v>
      </c>
      <c r="F4507" s="92">
        <v>45895</v>
      </c>
      <c r="G4507" s="87">
        <v>928</v>
      </c>
      <c r="H4507" s="88">
        <v>11954.305799648506</v>
      </c>
      <c r="I4507" s="89">
        <v>47</v>
      </c>
      <c r="J4507" s="90">
        <v>13604</v>
      </c>
      <c r="K4507" s="85">
        <v>3</v>
      </c>
      <c r="L4507" s="85">
        <v>277</v>
      </c>
      <c r="M4507" s="85">
        <v>0</v>
      </c>
      <c r="N4507" s="82" t="s">
        <v>11195</v>
      </c>
      <c r="O4507" s="93">
        <v>45896.568148148152</v>
      </c>
    </row>
    <row r="4508" spans="1:15" ht="22.5" customHeight="1">
      <c r="A4508" s="85">
        <v>174904221976312</v>
      </c>
      <c r="B4508" s="82" t="s">
        <v>10651</v>
      </c>
      <c r="C4508" s="82" t="s">
        <v>11165</v>
      </c>
      <c r="D4508" s="82" t="s">
        <v>1759</v>
      </c>
      <c r="E4508" s="82">
        <v>6285311472244</v>
      </c>
      <c r="F4508" s="92">
        <v>45895</v>
      </c>
      <c r="G4508" s="87">
        <v>723</v>
      </c>
      <c r="H4508" s="88">
        <v>15417.350527549823</v>
      </c>
      <c r="I4508" s="89">
        <v>30</v>
      </c>
      <c r="J4508" s="90">
        <v>13151</v>
      </c>
      <c r="K4508" s="85">
        <v>4</v>
      </c>
      <c r="L4508" s="85">
        <v>66</v>
      </c>
      <c r="M4508" s="85">
        <v>1</v>
      </c>
      <c r="N4508" s="82" t="s">
        <v>11166</v>
      </c>
      <c r="O4508" s="93">
        <v>45896.505416666667</v>
      </c>
    </row>
    <row r="4509" spans="1:15" ht="22.5" customHeight="1">
      <c r="A4509" s="85">
        <v>174904221976312</v>
      </c>
      <c r="B4509" s="82" t="s">
        <v>10651</v>
      </c>
      <c r="C4509" s="82" t="s">
        <v>10853</v>
      </c>
      <c r="D4509" s="82" t="s">
        <v>10854</v>
      </c>
      <c r="E4509" s="82">
        <v>6281393958199</v>
      </c>
      <c r="F4509" s="92">
        <v>45895</v>
      </c>
      <c r="G4509" s="87">
        <v>542</v>
      </c>
      <c r="H4509" s="88">
        <v>18750.399999999998</v>
      </c>
      <c r="I4509" s="89">
        <v>17</v>
      </c>
      <c r="J4509" s="90">
        <v>11719</v>
      </c>
      <c r="K4509" s="85">
        <v>1</v>
      </c>
      <c r="L4509" s="85">
        <v>198</v>
      </c>
      <c r="M4509" s="85">
        <v>1</v>
      </c>
      <c r="N4509" s="82" t="s">
        <v>10855</v>
      </c>
      <c r="O4509" s="93">
        <v>45896.609965277778</v>
      </c>
    </row>
    <row r="4510" spans="1:15" ht="22.5" customHeight="1">
      <c r="A4510" s="85">
        <v>174904221976312</v>
      </c>
      <c r="B4510" s="82" t="s">
        <v>10651</v>
      </c>
      <c r="C4510" s="82" t="s">
        <v>10655</v>
      </c>
      <c r="D4510" s="82" t="s">
        <v>3908</v>
      </c>
      <c r="E4510" s="82">
        <v>6285376667233</v>
      </c>
      <c r="F4510" s="92">
        <v>45895</v>
      </c>
      <c r="G4510" s="87">
        <v>518</v>
      </c>
      <c r="H4510" s="88">
        <v>18984.014209591474</v>
      </c>
      <c r="I4510" s="89">
        <v>11</v>
      </c>
      <c r="J4510" s="90">
        <v>10688</v>
      </c>
      <c r="K4510" s="85">
        <v>1</v>
      </c>
      <c r="L4510" s="85">
        <v>169</v>
      </c>
      <c r="M4510" s="85">
        <v>0</v>
      </c>
      <c r="N4510" s="82" t="s">
        <v>10656</v>
      </c>
      <c r="O4510" s="93">
        <v>45896.526678240742</v>
      </c>
    </row>
    <row r="4511" spans="1:15" ht="22.5" customHeight="1">
      <c r="A4511" s="85">
        <v>759724529202804</v>
      </c>
      <c r="B4511" s="82" t="s">
        <v>10621</v>
      </c>
      <c r="C4511" s="82" t="s">
        <v>12049</v>
      </c>
      <c r="D4511" s="82" t="s">
        <v>12050</v>
      </c>
      <c r="E4511" s="82">
        <v>6282267832085</v>
      </c>
      <c r="F4511" s="92">
        <v>45896</v>
      </c>
      <c r="G4511" s="87">
        <v>1115</v>
      </c>
      <c r="H4511" s="88">
        <v>10401.935483870968</v>
      </c>
      <c r="I4511" s="89">
        <v>33</v>
      </c>
      <c r="J4511" s="90">
        <v>16123</v>
      </c>
      <c r="K4511" s="85">
        <v>5</v>
      </c>
      <c r="L4511" s="85">
        <v>407</v>
      </c>
      <c r="M4511" s="85">
        <v>0</v>
      </c>
      <c r="N4511" s="82" t="s">
        <v>12051</v>
      </c>
      <c r="O4511" s="93">
        <v>45897.568611111114</v>
      </c>
    </row>
    <row r="4512" spans="1:15" ht="22.5" customHeight="1">
      <c r="A4512" s="85">
        <v>174904221976312</v>
      </c>
      <c r="B4512" s="82" t="s">
        <v>10651</v>
      </c>
      <c r="C4512" s="82" t="s">
        <v>12117</v>
      </c>
      <c r="D4512" s="82" t="s">
        <v>12118</v>
      </c>
      <c r="E4512" s="82">
        <v>628152343305</v>
      </c>
      <c r="F4512" s="92">
        <v>45896</v>
      </c>
      <c r="G4512" s="87">
        <v>164</v>
      </c>
      <c r="H4512" s="88">
        <v>56937.5</v>
      </c>
      <c r="I4512" s="89">
        <v>6</v>
      </c>
      <c r="J4512" s="90">
        <v>10021</v>
      </c>
      <c r="K4512" s="85">
        <v>1</v>
      </c>
      <c r="L4512" s="85">
        <v>9</v>
      </c>
      <c r="M4512" s="85">
        <v>0</v>
      </c>
      <c r="N4512" s="82" t="s">
        <v>12119</v>
      </c>
      <c r="O4512" s="93">
        <v>45897.651504629626</v>
      </c>
    </row>
    <row r="4513" spans="1:15" ht="22.5" customHeight="1">
      <c r="A4513" s="85">
        <v>174904221976312</v>
      </c>
      <c r="B4513" s="82" t="s">
        <v>10651</v>
      </c>
      <c r="C4513" s="82" t="s">
        <v>12120</v>
      </c>
      <c r="D4513" s="82" t="s">
        <v>4619</v>
      </c>
      <c r="E4513" s="82">
        <v>6281328027701</v>
      </c>
      <c r="F4513" s="92">
        <v>45896</v>
      </c>
      <c r="G4513" s="87">
        <v>195</v>
      </c>
      <c r="H4513" s="88">
        <v>39342.995169082125</v>
      </c>
      <c r="I4513" s="89">
        <v>3</v>
      </c>
      <c r="J4513" s="90">
        <v>8144</v>
      </c>
      <c r="K4513" s="85">
        <v>0</v>
      </c>
      <c r="L4513" s="85">
        <v>81</v>
      </c>
      <c r="M4513" s="85">
        <v>0</v>
      </c>
      <c r="N4513" s="82" t="s">
        <v>12121</v>
      </c>
      <c r="O4513" s="93">
        <v>45897.485578703701</v>
      </c>
    </row>
    <row r="4514" spans="1:15" ht="22.5" customHeight="1">
      <c r="A4514" s="85">
        <v>174904221976312</v>
      </c>
      <c r="B4514" s="82" t="s">
        <v>10651</v>
      </c>
      <c r="C4514" s="82" t="s">
        <v>12122</v>
      </c>
      <c r="D4514" s="82" t="s">
        <v>12123</v>
      </c>
      <c r="E4514" s="82">
        <v>6285720705874</v>
      </c>
      <c r="F4514" s="92">
        <v>45896</v>
      </c>
      <c r="G4514" s="87">
        <v>368</v>
      </c>
      <c r="H4514" s="88">
        <v>17423.076923076922</v>
      </c>
      <c r="I4514" s="89">
        <v>22</v>
      </c>
      <c r="J4514" s="90">
        <v>7701</v>
      </c>
      <c r="K4514" s="85">
        <v>4</v>
      </c>
      <c r="L4514" s="85">
        <v>36</v>
      </c>
      <c r="M4514" s="85">
        <v>0</v>
      </c>
      <c r="N4514" s="82" t="s">
        <v>12124</v>
      </c>
      <c r="O4514" s="93">
        <v>45897.630798611113</v>
      </c>
    </row>
    <row r="4515" spans="1:15" ht="22.5" customHeight="1">
      <c r="A4515" s="85">
        <v>174904221976312</v>
      </c>
      <c r="B4515" s="82" t="s">
        <v>10651</v>
      </c>
      <c r="C4515" s="82" t="s">
        <v>12100</v>
      </c>
      <c r="D4515" s="82" t="s">
        <v>6091</v>
      </c>
      <c r="E4515" s="82">
        <v>6281938384000</v>
      </c>
      <c r="F4515" s="92">
        <v>45896</v>
      </c>
      <c r="G4515" s="87">
        <v>561</v>
      </c>
      <c r="H4515" s="88">
        <v>18939.393939393936</v>
      </c>
      <c r="I4515" s="89">
        <v>12</v>
      </c>
      <c r="J4515" s="90">
        <v>12500</v>
      </c>
      <c r="K4515" s="85">
        <v>2</v>
      </c>
      <c r="L4515" s="85">
        <v>170</v>
      </c>
      <c r="M4515" s="85">
        <v>0</v>
      </c>
      <c r="N4515" s="82" t="s">
        <v>12101</v>
      </c>
      <c r="O4515" s="93">
        <v>45897.568483796298</v>
      </c>
    </row>
    <row r="4516" spans="1:15" ht="22.5" customHeight="1">
      <c r="A4516" s="85">
        <v>174904221976312</v>
      </c>
      <c r="B4516" s="82" t="s">
        <v>10651</v>
      </c>
      <c r="C4516" s="82" t="s">
        <v>12102</v>
      </c>
      <c r="D4516" s="82" t="s">
        <v>12103</v>
      </c>
      <c r="E4516" s="82">
        <v>628122577723</v>
      </c>
      <c r="F4516" s="92">
        <v>45896</v>
      </c>
      <c r="G4516" s="87">
        <v>384</v>
      </c>
      <c r="H4516" s="88">
        <v>25549.88399071926</v>
      </c>
      <c r="I4516" s="89">
        <v>5</v>
      </c>
      <c r="J4516" s="90">
        <v>11012</v>
      </c>
      <c r="K4516" s="85">
        <v>1</v>
      </c>
      <c r="L4516" s="85">
        <v>114</v>
      </c>
      <c r="M4516" s="85">
        <v>0</v>
      </c>
      <c r="N4516" s="82" t="s">
        <v>12104</v>
      </c>
      <c r="O4516" s="93">
        <v>45897.506030092591</v>
      </c>
    </row>
    <row r="4517" spans="1:15" ht="22.5" customHeight="1">
      <c r="A4517" s="85">
        <v>174904221976312</v>
      </c>
      <c r="B4517" s="82" t="s">
        <v>10651</v>
      </c>
      <c r="C4517" s="82" t="s">
        <v>12105</v>
      </c>
      <c r="D4517" s="82" t="s">
        <v>4582</v>
      </c>
      <c r="E4517" s="82">
        <v>6287836691500</v>
      </c>
      <c r="F4517" s="92">
        <v>45896</v>
      </c>
      <c r="G4517" s="87">
        <v>368</v>
      </c>
      <c r="H4517" s="88">
        <v>25734.146341463416</v>
      </c>
      <c r="I4517" s="89">
        <v>7</v>
      </c>
      <c r="J4517" s="90">
        <v>10551</v>
      </c>
      <c r="K4517" s="85">
        <v>1</v>
      </c>
      <c r="L4517" s="85">
        <v>142</v>
      </c>
      <c r="M4517" s="85">
        <v>0</v>
      </c>
      <c r="N4517" s="82" t="s">
        <v>12106</v>
      </c>
      <c r="O4517" s="93">
        <v>45897.506238425929</v>
      </c>
    </row>
    <row r="4518" spans="1:15" ht="22.5" customHeight="1">
      <c r="A4518" s="85">
        <v>174904221976312</v>
      </c>
      <c r="B4518" s="82" t="s">
        <v>10651</v>
      </c>
      <c r="C4518" s="82" t="s">
        <v>12107</v>
      </c>
      <c r="D4518" s="82" t="s">
        <v>3465</v>
      </c>
      <c r="E4518" s="82">
        <v>6285920572002</v>
      </c>
      <c r="F4518" s="92">
        <v>45896</v>
      </c>
      <c r="G4518" s="87">
        <v>414</v>
      </c>
      <c r="H4518" s="88">
        <v>27221.53209109731</v>
      </c>
      <c r="I4518" s="89">
        <v>14</v>
      </c>
      <c r="J4518" s="90">
        <v>13148</v>
      </c>
      <c r="K4518" s="85">
        <v>6</v>
      </c>
      <c r="L4518" s="85">
        <v>152</v>
      </c>
      <c r="M4518" s="85">
        <v>0</v>
      </c>
      <c r="N4518" s="82" t="s">
        <v>12108</v>
      </c>
      <c r="O4518" s="93">
        <v>45897.526493055557</v>
      </c>
    </row>
    <row r="4519" spans="1:15" ht="22.5" customHeight="1">
      <c r="A4519" s="85">
        <v>174904221976312</v>
      </c>
      <c r="B4519" s="82" t="s">
        <v>10651</v>
      </c>
      <c r="C4519" s="82" t="s">
        <v>12109</v>
      </c>
      <c r="D4519" s="82" t="s">
        <v>12110</v>
      </c>
      <c r="E4519" s="82">
        <v>6287777304498</v>
      </c>
      <c r="F4519" s="92">
        <v>45896</v>
      </c>
      <c r="G4519" s="87">
        <v>374</v>
      </c>
      <c r="H4519" s="88">
        <v>26556.675062972292</v>
      </c>
      <c r="I4519" s="89">
        <v>8</v>
      </c>
      <c r="J4519" s="90">
        <v>10543</v>
      </c>
      <c r="K4519" s="85">
        <v>2</v>
      </c>
      <c r="L4519" s="85">
        <v>175</v>
      </c>
      <c r="M4519" s="85">
        <v>0</v>
      </c>
      <c r="N4519" s="82" t="s">
        <v>12111</v>
      </c>
      <c r="O4519" s="93">
        <v>45897.506018518521</v>
      </c>
    </row>
    <row r="4520" spans="1:15" ht="22.5" customHeight="1">
      <c r="A4520" s="85">
        <v>174904221976312</v>
      </c>
      <c r="B4520" s="82" t="s">
        <v>10651</v>
      </c>
      <c r="C4520" s="82" t="s">
        <v>12112</v>
      </c>
      <c r="D4520" s="82" t="s">
        <v>12113</v>
      </c>
      <c r="E4520" s="82">
        <v>6285642368174</v>
      </c>
      <c r="F4520" s="92">
        <v>45896</v>
      </c>
      <c r="G4520" s="87">
        <v>683</v>
      </c>
      <c r="H4520" s="88">
        <v>16970.474967907572</v>
      </c>
      <c r="I4520" s="89">
        <v>22</v>
      </c>
      <c r="J4520" s="90">
        <v>13220</v>
      </c>
      <c r="K4520" s="85">
        <v>6</v>
      </c>
      <c r="L4520" s="85">
        <v>177</v>
      </c>
      <c r="M4520" s="85">
        <v>0</v>
      </c>
      <c r="N4520" s="82" t="s">
        <v>12114</v>
      </c>
      <c r="O4520" s="93">
        <v>45897.651504629626</v>
      </c>
    </row>
    <row r="4521" spans="1:15" ht="22.5" customHeight="1">
      <c r="A4521" s="85">
        <v>174904221976312</v>
      </c>
      <c r="B4521" s="82" t="s">
        <v>10651</v>
      </c>
      <c r="C4521" s="82" t="s">
        <v>12115</v>
      </c>
      <c r="D4521" s="82" t="s">
        <v>4295</v>
      </c>
      <c r="E4521" s="82">
        <v>6281513169730</v>
      </c>
      <c r="F4521" s="92">
        <v>45896</v>
      </c>
      <c r="G4521" s="87">
        <v>251</v>
      </c>
      <c r="H4521" s="88">
        <v>42622.222222222219</v>
      </c>
      <c r="I4521" s="89">
        <v>11</v>
      </c>
      <c r="J4521" s="90">
        <v>11508</v>
      </c>
      <c r="K4521" s="85">
        <v>1</v>
      </c>
      <c r="L4521" s="85">
        <v>0</v>
      </c>
      <c r="M4521" s="85">
        <v>0</v>
      </c>
      <c r="N4521" s="82" t="s">
        <v>12116</v>
      </c>
      <c r="O4521" s="93">
        <v>45897.464039351849</v>
      </c>
    </row>
    <row r="4522" spans="1:15" ht="22.5" customHeight="1">
      <c r="A4522" s="85">
        <v>174904221976312</v>
      </c>
      <c r="B4522" s="82" t="s">
        <v>10651</v>
      </c>
      <c r="C4522" s="82" t="s">
        <v>12052</v>
      </c>
      <c r="D4522" s="82" t="s">
        <v>4366</v>
      </c>
      <c r="E4522" s="82">
        <v>6287842913251</v>
      </c>
      <c r="F4522" s="92">
        <v>45896</v>
      </c>
      <c r="G4522" s="87">
        <v>184</v>
      </c>
      <c r="H4522" s="88">
        <v>70168.367346938787</v>
      </c>
      <c r="I4522" s="89">
        <v>3</v>
      </c>
      <c r="J4522" s="90">
        <v>13753</v>
      </c>
      <c r="K4522" s="85">
        <v>0</v>
      </c>
      <c r="L4522" s="85">
        <v>93</v>
      </c>
      <c r="M4522" s="85">
        <v>0</v>
      </c>
      <c r="N4522" s="82" t="s">
        <v>12053</v>
      </c>
      <c r="O4522" s="93">
        <v>45897.589120370372</v>
      </c>
    </row>
    <row r="4523" spans="1:15" ht="22.5" customHeight="1">
      <c r="A4523" s="85">
        <v>174904221976312</v>
      </c>
      <c r="B4523" s="82" t="s">
        <v>10651</v>
      </c>
      <c r="C4523" s="82" t="s">
        <v>12054</v>
      </c>
      <c r="D4523" s="82" t="s">
        <v>4485</v>
      </c>
      <c r="E4523" s="82">
        <v>6285169730762</v>
      </c>
      <c r="F4523" s="92">
        <v>45896</v>
      </c>
      <c r="G4523" s="87">
        <v>1716</v>
      </c>
      <c r="H4523" s="88">
        <v>7275.8974358974356</v>
      </c>
      <c r="I4523" s="89">
        <v>146</v>
      </c>
      <c r="J4523" s="90">
        <v>14188</v>
      </c>
      <c r="K4523" s="85">
        <v>13</v>
      </c>
      <c r="L4523" s="85">
        <v>364</v>
      </c>
      <c r="M4523" s="85">
        <v>5</v>
      </c>
      <c r="N4523" s="82" t="s">
        <v>12055</v>
      </c>
      <c r="O4523" s="93">
        <v>45897.568472222221</v>
      </c>
    </row>
    <row r="4524" spans="1:15" ht="22.5" customHeight="1">
      <c r="A4524" s="85">
        <v>174904221976312</v>
      </c>
      <c r="B4524" s="82" t="s">
        <v>10651</v>
      </c>
      <c r="C4524" s="82" t="s">
        <v>12056</v>
      </c>
      <c r="D4524" s="82" t="s">
        <v>4549</v>
      </c>
      <c r="E4524" s="82">
        <v>6282171085542</v>
      </c>
      <c r="F4524" s="92">
        <v>45896</v>
      </c>
      <c r="G4524" s="87">
        <v>772</v>
      </c>
      <c r="H4524" s="88">
        <v>14998.831775700934</v>
      </c>
      <c r="I4524" s="89">
        <v>15</v>
      </c>
      <c r="J4524" s="90">
        <v>12839</v>
      </c>
      <c r="K4524" s="85">
        <v>1</v>
      </c>
      <c r="L4524" s="85">
        <v>313</v>
      </c>
      <c r="M4524" s="85">
        <v>1</v>
      </c>
      <c r="N4524" s="82" t="s">
        <v>12057</v>
      </c>
      <c r="O4524" s="93">
        <v>45897.506006944444</v>
      </c>
    </row>
    <row r="4525" spans="1:15" ht="22.5" customHeight="1">
      <c r="A4525" s="85">
        <v>174904221976312</v>
      </c>
      <c r="B4525" s="82" t="s">
        <v>10651</v>
      </c>
      <c r="C4525" s="82" t="s">
        <v>12058</v>
      </c>
      <c r="D4525" s="82" t="s">
        <v>4516</v>
      </c>
      <c r="E4525" s="82">
        <v>6281315163838</v>
      </c>
      <c r="F4525" s="92">
        <v>45896</v>
      </c>
      <c r="G4525" s="87">
        <v>235</v>
      </c>
      <c r="H4525" s="88">
        <v>52204.819277108436</v>
      </c>
      <c r="I4525" s="89">
        <v>14</v>
      </c>
      <c r="J4525" s="90">
        <v>12999</v>
      </c>
      <c r="K4525" s="85">
        <v>0</v>
      </c>
      <c r="L4525" s="85">
        <v>119</v>
      </c>
      <c r="M4525" s="85">
        <v>1</v>
      </c>
      <c r="N4525" s="82" t="s">
        <v>12059</v>
      </c>
      <c r="O4525" s="93">
        <v>45897.568472222221</v>
      </c>
    </row>
    <row r="4526" spans="1:15" ht="22.5" customHeight="1">
      <c r="A4526" s="85">
        <v>174904221976312</v>
      </c>
      <c r="B4526" s="82" t="s">
        <v>10651</v>
      </c>
      <c r="C4526" s="82" t="s">
        <v>12060</v>
      </c>
      <c r="D4526" s="82" t="s">
        <v>12061</v>
      </c>
      <c r="E4526" s="82">
        <v>628112656686</v>
      </c>
      <c r="F4526" s="92">
        <v>45896</v>
      </c>
      <c r="G4526" s="87">
        <v>547</v>
      </c>
      <c r="H4526" s="88">
        <v>24114.922813036021</v>
      </c>
      <c r="I4526" s="89">
        <v>14</v>
      </c>
      <c r="J4526" s="90">
        <v>14059</v>
      </c>
      <c r="K4526" s="85">
        <v>0</v>
      </c>
      <c r="L4526" s="85">
        <v>0</v>
      </c>
      <c r="M4526" s="85">
        <v>0</v>
      </c>
      <c r="N4526" s="82" t="s">
        <v>12062</v>
      </c>
      <c r="O4526" s="93">
        <v>45897.464039351849</v>
      </c>
    </row>
    <row r="4527" spans="1:15" ht="22.5" customHeight="1">
      <c r="A4527" s="85">
        <v>174904221976312</v>
      </c>
      <c r="B4527" s="82" t="s">
        <v>10651</v>
      </c>
      <c r="C4527" s="82" t="s">
        <v>12063</v>
      </c>
      <c r="D4527" s="82" t="s">
        <v>12064</v>
      </c>
      <c r="E4527" s="82">
        <v>6285741888828</v>
      </c>
      <c r="F4527" s="92">
        <v>45896</v>
      </c>
      <c r="G4527" s="87">
        <v>275</v>
      </c>
      <c r="H4527" s="88">
        <v>49587.628865979386</v>
      </c>
      <c r="I4527" s="89">
        <v>11</v>
      </c>
      <c r="J4527" s="90">
        <v>14430</v>
      </c>
      <c r="K4527" s="85">
        <v>1</v>
      </c>
      <c r="L4527" s="85">
        <v>0</v>
      </c>
      <c r="M4527" s="85">
        <v>0</v>
      </c>
      <c r="N4527" s="82" t="s">
        <v>12065</v>
      </c>
      <c r="O4527" s="93">
        <v>45897.464039351849</v>
      </c>
    </row>
    <row r="4528" spans="1:15" ht="22.5" customHeight="1">
      <c r="A4528" s="85">
        <v>174904221976312</v>
      </c>
      <c r="B4528" s="82" t="s">
        <v>10651</v>
      </c>
      <c r="C4528" s="82" t="s">
        <v>12036</v>
      </c>
      <c r="D4528" s="82" t="s">
        <v>12037</v>
      </c>
      <c r="E4528" s="82">
        <v>6281316807185</v>
      </c>
      <c r="F4528" s="92">
        <v>45896</v>
      </c>
      <c r="G4528" s="87">
        <v>272</v>
      </c>
      <c r="H4528" s="88">
        <v>39555.944055944055</v>
      </c>
      <c r="I4528" s="89">
        <v>7</v>
      </c>
      <c r="J4528" s="90">
        <v>11313</v>
      </c>
      <c r="K4528" s="85">
        <v>2</v>
      </c>
      <c r="L4528" s="85">
        <v>70</v>
      </c>
      <c r="M4528" s="85">
        <v>0</v>
      </c>
      <c r="N4528" s="82" t="s">
        <v>12038</v>
      </c>
      <c r="O4528" s="93">
        <v>45897.219884259262</v>
      </c>
    </row>
    <row r="4529" spans="1:15" ht="22.5" customHeight="1">
      <c r="A4529" s="85">
        <v>174904221976312</v>
      </c>
      <c r="B4529" s="82" t="s">
        <v>10651</v>
      </c>
      <c r="C4529" s="82" t="s">
        <v>12039</v>
      </c>
      <c r="D4529" s="82" t="s">
        <v>12040</v>
      </c>
      <c r="E4529" s="82">
        <v>6281330410391</v>
      </c>
      <c r="F4529" s="92">
        <v>45896</v>
      </c>
      <c r="G4529" s="87">
        <v>763</v>
      </c>
      <c r="H4529" s="88">
        <v>16410.143329658214</v>
      </c>
      <c r="I4529" s="89">
        <v>63</v>
      </c>
      <c r="J4529" s="90">
        <v>14884</v>
      </c>
      <c r="K4529" s="85">
        <v>8</v>
      </c>
      <c r="L4529" s="85">
        <v>208</v>
      </c>
      <c r="M4529" s="85">
        <v>1</v>
      </c>
      <c r="N4529" s="82" t="s">
        <v>12041</v>
      </c>
      <c r="O4529" s="93">
        <v>45897.547372685185</v>
      </c>
    </row>
    <row r="4530" spans="1:15" ht="22.5" customHeight="1">
      <c r="A4530" s="85">
        <v>174904221976312</v>
      </c>
      <c r="B4530" s="82" t="s">
        <v>10651</v>
      </c>
      <c r="C4530" s="82" t="s">
        <v>12042</v>
      </c>
      <c r="D4530" s="91" t="s">
        <v>4468</v>
      </c>
      <c r="E4530" s="82">
        <v>6285710239729</v>
      </c>
      <c r="F4530" s="92">
        <v>45896</v>
      </c>
      <c r="G4530" s="87">
        <v>226</v>
      </c>
      <c r="H4530" s="88">
        <v>56811.965811965812</v>
      </c>
      <c r="I4530" s="89">
        <v>5</v>
      </c>
      <c r="J4530" s="90">
        <v>13294</v>
      </c>
      <c r="K4530" s="85">
        <v>1</v>
      </c>
      <c r="L4530" s="85">
        <v>0</v>
      </c>
      <c r="M4530" s="85">
        <v>0</v>
      </c>
      <c r="N4530" s="82" t="s">
        <v>12043</v>
      </c>
      <c r="O4530" s="93">
        <v>45897.402314814812</v>
      </c>
    </row>
    <row r="4531" spans="1:15" ht="22.5" customHeight="1">
      <c r="A4531" s="85">
        <v>174904221976312</v>
      </c>
      <c r="B4531" s="82" t="s">
        <v>10651</v>
      </c>
      <c r="C4531" s="82" t="s">
        <v>12044</v>
      </c>
      <c r="D4531" s="82" t="s">
        <v>12045</v>
      </c>
      <c r="E4531" s="82">
        <v>6287821734079</v>
      </c>
      <c r="F4531" s="92">
        <v>45896</v>
      </c>
      <c r="G4531" s="87">
        <v>764</v>
      </c>
      <c r="H4531" s="88">
        <v>16637.777777777777</v>
      </c>
      <c r="I4531" s="89">
        <v>10</v>
      </c>
      <c r="J4531" s="90">
        <v>14974</v>
      </c>
      <c r="K4531" s="85">
        <v>1</v>
      </c>
      <c r="L4531" s="85">
        <v>0</v>
      </c>
      <c r="M4531" s="85">
        <v>0</v>
      </c>
      <c r="N4531" s="82" t="s">
        <v>12046</v>
      </c>
      <c r="O4531" s="93">
        <v>45897.219872685186</v>
      </c>
    </row>
    <row r="4532" spans="1:15" ht="22.5" customHeight="1">
      <c r="A4532" s="85">
        <v>174904221976312</v>
      </c>
      <c r="B4532" s="82" t="s">
        <v>10651</v>
      </c>
      <c r="C4532" s="82" t="s">
        <v>12047</v>
      </c>
      <c r="D4532" s="82" t="s">
        <v>4434</v>
      </c>
      <c r="E4532" s="82">
        <v>6281334257715</v>
      </c>
      <c r="F4532" s="92">
        <v>45896</v>
      </c>
      <c r="G4532" s="87">
        <v>413</v>
      </c>
      <c r="H4532" s="88">
        <v>29488.142292490116</v>
      </c>
      <c r="I4532" s="89">
        <v>16</v>
      </c>
      <c r="J4532" s="90">
        <v>14921</v>
      </c>
      <c r="K4532" s="85">
        <v>0</v>
      </c>
      <c r="L4532" s="85">
        <v>0</v>
      </c>
      <c r="M4532" s="85">
        <v>0</v>
      </c>
      <c r="N4532" s="82" t="s">
        <v>12048</v>
      </c>
      <c r="O4532" s="93">
        <v>45897.219895833332</v>
      </c>
    </row>
    <row r="4533" spans="1:15" ht="22.5" customHeight="1">
      <c r="A4533" s="85">
        <v>174904221976312</v>
      </c>
      <c r="B4533" s="82" t="s">
        <v>10651</v>
      </c>
      <c r="C4533" s="82" t="s">
        <v>12024</v>
      </c>
      <c r="D4533" s="82" t="s">
        <v>12025</v>
      </c>
      <c r="E4533" s="82">
        <v>6285166200242</v>
      </c>
      <c r="F4533" s="92">
        <v>45896</v>
      </c>
      <c r="G4533" s="87">
        <v>222</v>
      </c>
      <c r="H4533" s="88">
        <v>17760.504201680673</v>
      </c>
      <c r="I4533" s="89">
        <v>5</v>
      </c>
      <c r="J4533" s="90">
        <v>4227</v>
      </c>
      <c r="K4533" s="85">
        <v>0</v>
      </c>
      <c r="L4533" s="85">
        <v>79</v>
      </c>
      <c r="M4533" s="85">
        <v>0</v>
      </c>
      <c r="N4533" s="82" t="s">
        <v>12026</v>
      </c>
      <c r="O4533" s="93">
        <v>45897.219884259262</v>
      </c>
    </row>
    <row r="4534" spans="1:15" ht="22.5" customHeight="1">
      <c r="A4534" s="85">
        <v>174904221976312</v>
      </c>
      <c r="B4534" s="82" t="s">
        <v>10651</v>
      </c>
      <c r="C4534" s="82" t="s">
        <v>12027</v>
      </c>
      <c r="D4534" s="82" t="s">
        <v>12028</v>
      </c>
      <c r="E4534" s="82">
        <v>6287776264559</v>
      </c>
      <c r="F4534" s="92">
        <v>45896</v>
      </c>
      <c r="G4534" s="87">
        <v>271</v>
      </c>
      <c r="H4534" s="88">
        <v>16827.586206896551</v>
      </c>
      <c r="I4534" s="89">
        <v>9</v>
      </c>
      <c r="J4534" s="90">
        <v>4880</v>
      </c>
      <c r="K4534" s="85">
        <v>1</v>
      </c>
      <c r="L4534" s="85">
        <v>74</v>
      </c>
      <c r="M4534" s="85">
        <v>0</v>
      </c>
      <c r="N4534" s="82" t="s">
        <v>12029</v>
      </c>
      <c r="O4534" s="93">
        <v>45897.219872685186</v>
      </c>
    </row>
    <row r="4535" spans="1:15" ht="22.5" customHeight="1">
      <c r="A4535" s="85">
        <v>174904221976312</v>
      </c>
      <c r="B4535" s="82" t="s">
        <v>10651</v>
      </c>
      <c r="C4535" s="82" t="s">
        <v>12030</v>
      </c>
      <c r="D4535" s="82" t="s">
        <v>12031</v>
      </c>
      <c r="E4535" s="82">
        <v>6289667480162</v>
      </c>
      <c r="F4535" s="92">
        <v>45896</v>
      </c>
      <c r="G4535" s="87">
        <v>672</v>
      </c>
      <c r="H4535" s="88">
        <v>6239.2550143266471</v>
      </c>
      <c r="I4535" s="89">
        <v>28</v>
      </c>
      <c r="J4535" s="90">
        <v>4355</v>
      </c>
      <c r="K4535" s="85">
        <v>2</v>
      </c>
      <c r="L4535" s="85">
        <v>7</v>
      </c>
      <c r="M4535" s="85">
        <v>0</v>
      </c>
      <c r="N4535" s="82" t="s">
        <v>12032</v>
      </c>
      <c r="O4535" s="93">
        <v>45897.219884259262</v>
      </c>
    </row>
    <row r="4536" spans="1:15" ht="22.5" customHeight="1">
      <c r="A4536" s="85">
        <v>174904221976312</v>
      </c>
      <c r="B4536" s="82" t="s">
        <v>10651</v>
      </c>
      <c r="C4536" s="82" t="s">
        <v>12033</v>
      </c>
      <c r="D4536" s="82" t="s">
        <v>12034</v>
      </c>
      <c r="E4536" s="82">
        <v>62082287715351</v>
      </c>
      <c r="F4536" s="92">
        <v>45896</v>
      </c>
      <c r="G4536" s="87">
        <v>352</v>
      </c>
      <c r="H4536" s="88">
        <v>14401.459854014598</v>
      </c>
      <c r="I4536" s="89">
        <v>46</v>
      </c>
      <c r="J4536" s="90">
        <v>5919</v>
      </c>
      <c r="K4536" s="85">
        <v>5</v>
      </c>
      <c r="L4536" s="85">
        <v>2</v>
      </c>
      <c r="M4536" s="85">
        <v>1</v>
      </c>
      <c r="N4536" s="82" t="s">
        <v>12035</v>
      </c>
      <c r="O4536" s="93">
        <v>45897.219872685186</v>
      </c>
    </row>
    <row r="4537" spans="1:15" ht="22.5" customHeight="1">
      <c r="A4537" s="85">
        <v>174904221976312</v>
      </c>
      <c r="B4537" s="82" t="s">
        <v>10651</v>
      </c>
      <c r="C4537" s="82" t="s">
        <v>12013</v>
      </c>
      <c r="D4537" s="82" t="s">
        <v>12014</v>
      </c>
      <c r="E4537" s="82">
        <v>6282154318629</v>
      </c>
      <c r="F4537" s="92">
        <v>45896</v>
      </c>
      <c r="G4537" s="87">
        <v>460</v>
      </c>
      <c r="H4537" s="88">
        <v>33557.446808510642</v>
      </c>
      <c r="I4537" s="89">
        <v>16</v>
      </c>
      <c r="J4537" s="90">
        <v>15772</v>
      </c>
      <c r="K4537" s="85">
        <v>2</v>
      </c>
      <c r="L4537" s="85">
        <v>208</v>
      </c>
      <c r="M4537" s="85">
        <v>0</v>
      </c>
      <c r="N4537" s="82" t="s">
        <v>12015</v>
      </c>
      <c r="O4537" s="93">
        <v>45897.464039351849</v>
      </c>
    </row>
    <row r="4538" spans="1:15" ht="22.5" customHeight="1">
      <c r="A4538" s="85">
        <v>174904221976312</v>
      </c>
      <c r="B4538" s="82" t="s">
        <v>10651</v>
      </c>
      <c r="C4538" s="82" t="s">
        <v>12016</v>
      </c>
      <c r="D4538" s="82" t="s">
        <v>12017</v>
      </c>
      <c r="E4538" s="82">
        <v>6281210801646</v>
      </c>
      <c r="F4538" s="92">
        <v>45896</v>
      </c>
      <c r="G4538" s="87">
        <v>347</v>
      </c>
      <c r="H4538" s="88">
        <v>42174.934725848565</v>
      </c>
      <c r="I4538" s="89">
        <v>10</v>
      </c>
      <c r="J4538" s="90">
        <v>16153</v>
      </c>
      <c r="K4538" s="85">
        <v>1</v>
      </c>
      <c r="L4538" s="85">
        <v>126</v>
      </c>
      <c r="M4538" s="85">
        <v>0</v>
      </c>
      <c r="N4538" s="82" t="s">
        <v>12018</v>
      </c>
      <c r="O4538" s="93">
        <v>45897.443425925929</v>
      </c>
    </row>
    <row r="4539" spans="1:15" ht="22.5" customHeight="1">
      <c r="A4539" s="85">
        <v>174904221976312</v>
      </c>
      <c r="B4539" s="82" t="s">
        <v>10651</v>
      </c>
      <c r="C4539" s="82" t="s">
        <v>12022</v>
      </c>
      <c r="D4539" s="82" t="s">
        <v>11483</v>
      </c>
      <c r="E4539" s="82">
        <v>6285255115894</v>
      </c>
      <c r="F4539" s="92">
        <v>45896</v>
      </c>
      <c r="G4539" s="87">
        <v>1828</v>
      </c>
      <c r="H4539" s="88">
        <v>7457.03125</v>
      </c>
      <c r="I4539" s="89">
        <v>61</v>
      </c>
      <c r="J4539" s="90">
        <v>15272</v>
      </c>
      <c r="K4539" s="85">
        <v>5</v>
      </c>
      <c r="L4539" s="85">
        <v>612</v>
      </c>
      <c r="M4539" s="85">
        <v>1</v>
      </c>
      <c r="N4539" s="82" t="s">
        <v>12023</v>
      </c>
      <c r="O4539" s="93">
        <v>45897.485219907408</v>
      </c>
    </row>
    <row r="4540" spans="1:15" ht="22.5" customHeight="1">
      <c r="A4540" s="85">
        <v>174904221976312</v>
      </c>
      <c r="B4540" s="82" t="s">
        <v>10651</v>
      </c>
      <c r="C4540" s="82" t="s">
        <v>12005</v>
      </c>
      <c r="D4540" s="82" t="s">
        <v>3092</v>
      </c>
      <c r="E4540" s="82">
        <v>6287740636181</v>
      </c>
      <c r="F4540" s="92">
        <v>45896</v>
      </c>
      <c r="G4540" s="87">
        <v>1238</v>
      </c>
      <c r="H4540" s="88">
        <v>10196.415770609319</v>
      </c>
      <c r="I4540" s="89">
        <v>64</v>
      </c>
      <c r="J4540" s="90">
        <v>14224</v>
      </c>
      <c r="K4540" s="85">
        <v>7</v>
      </c>
      <c r="L4540" s="85">
        <v>661</v>
      </c>
      <c r="M4540" s="85">
        <v>1</v>
      </c>
      <c r="N4540" s="82" t="s">
        <v>12006</v>
      </c>
      <c r="O4540" s="93">
        <v>45897.506018518521</v>
      </c>
    </row>
    <row r="4541" spans="1:15" ht="22.5" customHeight="1">
      <c r="A4541" s="85">
        <v>174904221976312</v>
      </c>
      <c r="B4541" s="82" t="s">
        <v>10651</v>
      </c>
      <c r="C4541" s="82" t="s">
        <v>12007</v>
      </c>
      <c r="D4541" s="82" t="s">
        <v>9010</v>
      </c>
      <c r="E4541" s="82">
        <v>6282160743576</v>
      </c>
      <c r="F4541" s="92">
        <v>45896</v>
      </c>
      <c r="G4541" s="87">
        <v>1138</v>
      </c>
      <c r="H4541" s="88">
        <v>11649.802371541502</v>
      </c>
      <c r="I4541" s="89">
        <v>70</v>
      </c>
      <c r="J4541" s="90">
        <v>14737</v>
      </c>
      <c r="K4541" s="85">
        <v>6</v>
      </c>
      <c r="L4541" s="85">
        <v>645</v>
      </c>
      <c r="M4541" s="85">
        <v>0</v>
      </c>
      <c r="N4541" s="82" t="s">
        <v>12008</v>
      </c>
      <c r="O4541" s="93">
        <v>45897.547372685185</v>
      </c>
    </row>
    <row r="4542" spans="1:15" ht="22.5" customHeight="1">
      <c r="A4542" s="85">
        <v>174904221976312</v>
      </c>
      <c r="B4542" s="82" t="s">
        <v>10651</v>
      </c>
      <c r="C4542" s="82" t="s">
        <v>12009</v>
      </c>
      <c r="D4542" s="82" t="s">
        <v>11886</v>
      </c>
      <c r="E4542" s="82">
        <v>628179780980</v>
      </c>
      <c r="F4542" s="92">
        <v>45896</v>
      </c>
      <c r="G4542" s="87">
        <v>165</v>
      </c>
      <c r="H4542" s="88">
        <v>70672.131147540975</v>
      </c>
      <c r="I4542" s="89">
        <v>9</v>
      </c>
      <c r="J4542" s="90">
        <v>12933</v>
      </c>
      <c r="K4542" s="85">
        <v>3</v>
      </c>
      <c r="L4542" s="85">
        <v>51</v>
      </c>
      <c r="M4542" s="85">
        <v>0</v>
      </c>
      <c r="N4542" s="82" t="s">
        <v>12010</v>
      </c>
      <c r="O4542" s="93">
        <v>45897.464039351849</v>
      </c>
    </row>
    <row r="4543" spans="1:15" ht="22.5" customHeight="1">
      <c r="A4543" s="85">
        <v>174904221976312</v>
      </c>
      <c r="B4543" s="82" t="s">
        <v>10651</v>
      </c>
      <c r="C4543" s="82" t="s">
        <v>11905</v>
      </c>
      <c r="D4543" s="82" t="s">
        <v>11906</v>
      </c>
      <c r="E4543" s="82">
        <v>6285294617773</v>
      </c>
      <c r="F4543" s="92">
        <v>45896</v>
      </c>
      <c r="G4543" s="87">
        <v>488</v>
      </c>
      <c r="H4543" s="88">
        <v>22059.259259259259</v>
      </c>
      <c r="I4543" s="89">
        <v>25</v>
      </c>
      <c r="J4543" s="90">
        <v>11912</v>
      </c>
      <c r="K4543" s="85">
        <v>1</v>
      </c>
      <c r="L4543" s="85">
        <v>14</v>
      </c>
      <c r="M4543" s="85">
        <v>0</v>
      </c>
      <c r="N4543" s="82" t="s">
        <v>11907</v>
      </c>
      <c r="O4543" s="93">
        <v>45897.485219907408</v>
      </c>
    </row>
    <row r="4544" spans="1:15" ht="22.5" customHeight="1">
      <c r="A4544" s="85">
        <v>174904221976312</v>
      </c>
      <c r="B4544" s="82" t="s">
        <v>10651</v>
      </c>
      <c r="C4544" s="82" t="s">
        <v>11896</v>
      </c>
      <c r="D4544" s="82" t="s">
        <v>11897</v>
      </c>
      <c r="E4544" s="82">
        <v>6282153090123</v>
      </c>
      <c r="F4544" s="92">
        <v>45896</v>
      </c>
      <c r="G4544" s="87">
        <v>483</v>
      </c>
      <c r="H4544" s="88">
        <v>22633.458646616542</v>
      </c>
      <c r="I4544" s="89">
        <v>20</v>
      </c>
      <c r="J4544" s="90">
        <v>12041</v>
      </c>
      <c r="K4544" s="85">
        <v>1</v>
      </c>
      <c r="L4544" s="85">
        <v>198</v>
      </c>
      <c r="M4544" s="85">
        <v>0</v>
      </c>
      <c r="N4544" s="82" t="s">
        <v>11898</v>
      </c>
      <c r="O4544" s="93">
        <v>45897.443206018521</v>
      </c>
    </row>
    <row r="4545" spans="1:15" ht="22.5" customHeight="1">
      <c r="A4545" s="85">
        <v>174904221976312</v>
      </c>
      <c r="B4545" s="82" t="s">
        <v>10651</v>
      </c>
      <c r="C4545" s="82" t="s">
        <v>11865</v>
      </c>
      <c r="D4545" s="82" t="s">
        <v>11403</v>
      </c>
      <c r="E4545" s="82">
        <v>6283870060603</v>
      </c>
      <c r="F4545" s="92">
        <v>45896</v>
      </c>
      <c r="G4545" s="87">
        <v>454</v>
      </c>
      <c r="H4545" s="88">
        <v>30100.213219616206</v>
      </c>
      <c r="I4545" s="89">
        <v>23</v>
      </c>
      <c r="J4545" s="90">
        <v>14117</v>
      </c>
      <c r="K4545" s="85">
        <v>0</v>
      </c>
      <c r="L4545" s="85">
        <v>175</v>
      </c>
      <c r="M4545" s="85">
        <v>0</v>
      </c>
      <c r="N4545" s="82" t="s">
        <v>11866</v>
      </c>
      <c r="O4545" s="93">
        <v>45897.630798611113</v>
      </c>
    </row>
    <row r="4546" spans="1:15" ht="22.5" customHeight="1">
      <c r="A4546" s="85">
        <v>174904221976312</v>
      </c>
      <c r="B4546" s="82" t="s">
        <v>10651</v>
      </c>
      <c r="C4546" s="82" t="s">
        <v>11876</v>
      </c>
      <c r="D4546" s="82" t="s">
        <v>11877</v>
      </c>
      <c r="E4546" s="82">
        <v>6285748377961</v>
      </c>
      <c r="F4546" s="92">
        <v>45896</v>
      </c>
      <c r="G4546" s="87">
        <v>1150</v>
      </c>
      <c r="H4546" s="88">
        <v>10125.816993464052</v>
      </c>
      <c r="I4546" s="89">
        <v>21</v>
      </c>
      <c r="J4546" s="90">
        <v>12394</v>
      </c>
      <c r="K4546" s="85">
        <v>1</v>
      </c>
      <c r="L4546" s="85">
        <v>0</v>
      </c>
      <c r="M4546" s="85">
        <v>0</v>
      </c>
      <c r="N4546" s="82" t="s">
        <v>11878</v>
      </c>
      <c r="O4546" s="93">
        <v>45897.422835648147</v>
      </c>
    </row>
    <row r="4547" spans="1:15" ht="22.5" customHeight="1">
      <c r="A4547" s="85">
        <v>174904221976312</v>
      </c>
      <c r="B4547" s="82" t="s">
        <v>10651</v>
      </c>
      <c r="C4547" s="82" t="s">
        <v>11879</v>
      </c>
      <c r="D4547" s="82" t="s">
        <v>11877</v>
      </c>
      <c r="E4547" s="82">
        <v>6285748377961</v>
      </c>
      <c r="F4547" s="92">
        <v>45896</v>
      </c>
      <c r="G4547" s="87">
        <v>724</v>
      </c>
      <c r="H4547" s="88">
        <v>18073.264781491001</v>
      </c>
      <c r="I4547" s="89">
        <v>27</v>
      </c>
      <c r="J4547" s="90">
        <v>14061</v>
      </c>
      <c r="K4547" s="85">
        <v>5</v>
      </c>
      <c r="L4547" s="85">
        <v>264</v>
      </c>
      <c r="M4547" s="85">
        <v>0</v>
      </c>
      <c r="N4547" s="82" t="s">
        <v>11878</v>
      </c>
      <c r="O4547" s="93">
        <v>45897.464039351849</v>
      </c>
    </row>
    <row r="4548" spans="1:15" ht="22.5" customHeight="1">
      <c r="A4548" s="85">
        <v>174904221976312</v>
      </c>
      <c r="B4548" s="82" t="s">
        <v>10651</v>
      </c>
      <c r="C4548" s="82" t="s">
        <v>11838</v>
      </c>
      <c r="D4548" s="82" t="s">
        <v>11839</v>
      </c>
      <c r="E4548" s="82">
        <v>6287797504113</v>
      </c>
      <c r="F4548" s="92">
        <v>45896</v>
      </c>
      <c r="G4548" s="87">
        <v>264</v>
      </c>
      <c r="H4548" s="88">
        <v>49523.026315789473</v>
      </c>
      <c r="I4548" s="89">
        <v>14</v>
      </c>
      <c r="J4548" s="90">
        <v>15055</v>
      </c>
      <c r="K4548" s="85">
        <v>0</v>
      </c>
      <c r="L4548" s="85">
        <v>5</v>
      </c>
      <c r="M4548" s="85">
        <v>0</v>
      </c>
      <c r="N4548" s="82" t="s">
        <v>11840</v>
      </c>
      <c r="O4548" s="93">
        <v>45897.423136574071</v>
      </c>
    </row>
    <row r="4549" spans="1:15" ht="22.5" customHeight="1">
      <c r="A4549" s="85">
        <v>174904221976312</v>
      </c>
      <c r="B4549" s="82" t="s">
        <v>10651</v>
      </c>
      <c r="C4549" s="82" t="s">
        <v>11816</v>
      </c>
      <c r="D4549" s="82" t="s">
        <v>3682</v>
      </c>
      <c r="E4549" s="82">
        <v>6285602235226</v>
      </c>
      <c r="F4549" s="92">
        <v>45896</v>
      </c>
      <c r="G4549" s="87">
        <v>334</v>
      </c>
      <c r="H4549" s="88">
        <v>34980.555555555555</v>
      </c>
      <c r="I4549" s="89">
        <v>26</v>
      </c>
      <c r="J4549" s="90">
        <v>12593</v>
      </c>
      <c r="K4549" s="85">
        <v>1</v>
      </c>
      <c r="L4549" s="85">
        <v>123</v>
      </c>
      <c r="M4549" s="85">
        <v>0</v>
      </c>
      <c r="N4549" s="82" t="s">
        <v>11817</v>
      </c>
      <c r="O4549" s="93">
        <v>45897.219872685186</v>
      </c>
    </row>
    <row r="4550" spans="1:15" ht="22.5" customHeight="1">
      <c r="A4550" s="85">
        <v>174904221976312</v>
      </c>
      <c r="B4550" s="82" t="s">
        <v>10651</v>
      </c>
      <c r="C4550" s="82" t="s">
        <v>11792</v>
      </c>
      <c r="D4550" s="82" t="s">
        <v>11793</v>
      </c>
      <c r="E4550" s="82">
        <v>6281915041833</v>
      </c>
      <c r="F4550" s="92">
        <v>45896</v>
      </c>
      <c r="G4550" s="87">
        <v>665</v>
      </c>
      <c r="H4550" s="88">
        <v>18988</v>
      </c>
      <c r="I4550" s="89">
        <v>31</v>
      </c>
      <c r="J4550" s="90">
        <v>14241</v>
      </c>
      <c r="K4550" s="85">
        <v>4</v>
      </c>
      <c r="L4550" s="85">
        <v>353</v>
      </c>
      <c r="M4550" s="85">
        <v>0</v>
      </c>
      <c r="N4550" s="82" t="s">
        <v>11794</v>
      </c>
      <c r="O4550" s="93">
        <v>45897.402326388888</v>
      </c>
    </row>
    <row r="4551" spans="1:15" ht="22.5" customHeight="1">
      <c r="A4551" s="85">
        <v>174904221976312</v>
      </c>
      <c r="B4551" s="82" t="s">
        <v>10651</v>
      </c>
      <c r="C4551" s="82" t="s">
        <v>11799</v>
      </c>
      <c r="D4551" s="82" t="s">
        <v>11800</v>
      </c>
      <c r="E4551" s="82">
        <v>6285333751528</v>
      </c>
      <c r="F4551" s="92">
        <v>45896</v>
      </c>
      <c r="G4551" s="87">
        <v>1203</v>
      </c>
      <c r="H4551" s="88">
        <v>11397.157816005983</v>
      </c>
      <c r="I4551" s="89">
        <v>29</v>
      </c>
      <c r="J4551" s="90">
        <v>15238</v>
      </c>
      <c r="K4551" s="85">
        <v>3</v>
      </c>
      <c r="L4551" s="85">
        <v>0</v>
      </c>
      <c r="M4551" s="85">
        <v>0</v>
      </c>
      <c r="N4551" s="82" t="s">
        <v>11801</v>
      </c>
      <c r="O4551" s="93">
        <v>45897.464050925926</v>
      </c>
    </row>
    <row r="4552" spans="1:15" ht="22.5" customHeight="1">
      <c r="A4552" s="85">
        <v>174904221976312</v>
      </c>
      <c r="B4552" s="82" t="s">
        <v>10651</v>
      </c>
      <c r="C4552" s="82" t="s">
        <v>11766</v>
      </c>
      <c r="D4552" s="82" t="s">
        <v>11767</v>
      </c>
      <c r="E4552" s="82">
        <v>6281225101319</v>
      </c>
      <c r="F4552" s="92">
        <v>45896</v>
      </c>
      <c r="G4552" s="87">
        <v>241</v>
      </c>
      <c r="H4552" s="88">
        <v>48468.164794007491</v>
      </c>
      <c r="I4552" s="89">
        <v>10</v>
      </c>
      <c r="J4552" s="90">
        <v>12941</v>
      </c>
      <c r="K4552" s="85">
        <v>1</v>
      </c>
      <c r="L4552" s="85">
        <v>0</v>
      </c>
      <c r="M4552" s="85">
        <v>0</v>
      </c>
      <c r="N4552" s="82" t="s">
        <v>11768</v>
      </c>
      <c r="O4552" s="93">
        <v>45897.485219907408</v>
      </c>
    </row>
    <row r="4553" spans="1:15" ht="22.5" customHeight="1">
      <c r="A4553" s="85">
        <v>174904221976312</v>
      </c>
      <c r="B4553" s="82" t="s">
        <v>10651</v>
      </c>
      <c r="C4553" s="82" t="s">
        <v>11780</v>
      </c>
      <c r="D4553" s="82" t="s">
        <v>11781</v>
      </c>
      <c r="E4553" s="82">
        <v>6282129364133</v>
      </c>
      <c r="F4553" s="92">
        <v>45896</v>
      </c>
      <c r="G4553" s="87">
        <v>422</v>
      </c>
      <c r="H4553" s="88">
        <v>30552.742616033753</v>
      </c>
      <c r="I4553" s="89">
        <v>7</v>
      </c>
      <c r="J4553" s="90">
        <v>14482</v>
      </c>
      <c r="K4553" s="85">
        <v>1</v>
      </c>
      <c r="L4553" s="85">
        <v>1</v>
      </c>
      <c r="M4553" s="85">
        <v>0</v>
      </c>
      <c r="N4553" s="82" t="s">
        <v>11782</v>
      </c>
      <c r="O4553" s="93">
        <v>45897.422835648147</v>
      </c>
    </row>
    <row r="4554" spans="1:15" ht="22.5" customHeight="1">
      <c r="A4554" s="85">
        <v>174904221976312</v>
      </c>
      <c r="B4554" s="82" t="s">
        <v>10651</v>
      </c>
      <c r="C4554" s="82" t="s">
        <v>11755</v>
      </c>
      <c r="D4554" s="82" t="s">
        <v>11756</v>
      </c>
      <c r="E4554" s="82">
        <v>6281357754513</v>
      </c>
      <c r="F4554" s="92">
        <v>45896</v>
      </c>
      <c r="G4554" s="87">
        <v>417</v>
      </c>
      <c r="H4554" s="88">
        <v>29854.910714285714</v>
      </c>
      <c r="I4554" s="89">
        <v>6</v>
      </c>
      <c r="J4554" s="90">
        <v>13375</v>
      </c>
      <c r="K4554" s="85">
        <v>1</v>
      </c>
      <c r="L4554" s="85">
        <v>185</v>
      </c>
      <c r="M4554" s="85">
        <v>0</v>
      </c>
      <c r="N4554" s="82" t="s">
        <v>11757</v>
      </c>
      <c r="O4554" s="93">
        <v>45897.464039351849</v>
      </c>
    </row>
    <row r="4555" spans="1:15" ht="22.5" customHeight="1">
      <c r="A4555" s="85">
        <v>174904221976312</v>
      </c>
      <c r="B4555" s="82" t="s">
        <v>10651</v>
      </c>
      <c r="C4555" s="82" t="s">
        <v>11761</v>
      </c>
      <c r="D4555" s="82" t="s">
        <v>3438</v>
      </c>
      <c r="E4555" s="82">
        <v>628154336558</v>
      </c>
      <c r="F4555" s="92">
        <v>45896</v>
      </c>
      <c r="G4555" s="87">
        <v>1928</v>
      </c>
      <c r="H4555" s="88">
        <v>5599.424815119145</v>
      </c>
      <c r="I4555" s="89">
        <v>37</v>
      </c>
      <c r="J4555" s="90">
        <v>13629</v>
      </c>
      <c r="K4555" s="85">
        <v>0</v>
      </c>
      <c r="L4555" s="85">
        <v>61</v>
      </c>
      <c r="M4555" s="85">
        <v>1</v>
      </c>
      <c r="N4555" s="82" t="s">
        <v>11762</v>
      </c>
      <c r="O4555" s="93">
        <v>45897.506030092591</v>
      </c>
    </row>
    <row r="4556" spans="1:15" ht="22.5" customHeight="1">
      <c r="A4556" s="85">
        <v>174904221976312</v>
      </c>
      <c r="B4556" s="82" t="s">
        <v>10651</v>
      </c>
      <c r="C4556" s="82" t="s">
        <v>11763</v>
      </c>
      <c r="D4556" s="82" t="s">
        <v>11764</v>
      </c>
      <c r="E4556" s="82">
        <v>6282384544939</v>
      </c>
      <c r="F4556" s="92">
        <v>45896</v>
      </c>
      <c r="G4556" s="87">
        <v>743</v>
      </c>
      <c r="H4556" s="88">
        <v>21459.171597633136</v>
      </c>
      <c r="I4556" s="89">
        <v>16</v>
      </c>
      <c r="J4556" s="90">
        <v>18133</v>
      </c>
      <c r="K4556" s="85">
        <v>3</v>
      </c>
      <c r="L4556" s="85">
        <v>0</v>
      </c>
      <c r="M4556" s="85">
        <v>0</v>
      </c>
      <c r="N4556" s="82" t="s">
        <v>11765</v>
      </c>
      <c r="O4556" s="93">
        <v>45897.464039351849</v>
      </c>
    </row>
    <row r="4557" spans="1:15" ht="22.5" customHeight="1">
      <c r="A4557" s="85">
        <v>174904221976312</v>
      </c>
      <c r="B4557" s="82" t="s">
        <v>10651</v>
      </c>
      <c r="C4557" s="82" t="s">
        <v>11580</v>
      </c>
      <c r="D4557" s="82" t="s">
        <v>11581</v>
      </c>
      <c r="E4557" s="82">
        <v>6287790276733</v>
      </c>
      <c r="F4557" s="92">
        <v>45896</v>
      </c>
      <c r="G4557" s="87">
        <v>754</v>
      </c>
      <c r="H4557" s="88">
        <v>15857.619577308122</v>
      </c>
      <c r="I4557" s="89">
        <v>16</v>
      </c>
      <c r="J4557" s="90">
        <v>14256</v>
      </c>
      <c r="K4557" s="85">
        <v>2</v>
      </c>
      <c r="L4557" s="85">
        <v>0</v>
      </c>
      <c r="M4557" s="85">
        <v>0</v>
      </c>
      <c r="N4557" s="82" t="s">
        <v>11582</v>
      </c>
      <c r="O4557" s="93">
        <v>45897.464039351849</v>
      </c>
    </row>
    <row r="4558" spans="1:15" ht="22.5" customHeight="1">
      <c r="A4558" s="85">
        <v>174904221976312</v>
      </c>
      <c r="B4558" s="82" t="s">
        <v>10651</v>
      </c>
      <c r="C4558" s="82" t="s">
        <v>11545</v>
      </c>
      <c r="D4558" s="82" t="s">
        <v>3140</v>
      </c>
      <c r="E4558" s="82"/>
      <c r="F4558" s="92">
        <v>45896</v>
      </c>
      <c r="G4558" s="87">
        <v>8505</v>
      </c>
      <c r="H4558" s="88">
        <v>1907.6374745417515</v>
      </c>
      <c r="I4558" s="89">
        <v>65</v>
      </c>
      <c r="J4558" s="90">
        <v>18733</v>
      </c>
      <c r="K4558" s="85">
        <v>3</v>
      </c>
      <c r="L4558" s="85">
        <v>0</v>
      </c>
      <c r="M4558" s="85">
        <v>0</v>
      </c>
      <c r="N4558" s="82" t="s">
        <v>10779</v>
      </c>
      <c r="O4558" s="93">
        <v>45897.219895833332</v>
      </c>
    </row>
    <row r="4559" spans="1:15" ht="22.5" customHeight="1">
      <c r="A4559" s="85">
        <v>174904221976312</v>
      </c>
      <c r="B4559" s="82" t="s">
        <v>10651</v>
      </c>
      <c r="C4559" s="82" t="s">
        <v>11193</v>
      </c>
      <c r="D4559" s="82" t="s">
        <v>11194</v>
      </c>
      <c r="E4559" s="82">
        <v>6281779578317</v>
      </c>
      <c r="F4559" s="92">
        <v>45896</v>
      </c>
      <c r="G4559" s="87">
        <v>1086</v>
      </c>
      <c r="H4559" s="88">
        <v>11731.587561374796</v>
      </c>
      <c r="I4559" s="89">
        <v>54</v>
      </c>
      <c r="J4559" s="90">
        <v>14336</v>
      </c>
      <c r="K4559" s="85">
        <v>3</v>
      </c>
      <c r="L4559" s="85">
        <v>269</v>
      </c>
      <c r="M4559" s="85">
        <v>0</v>
      </c>
      <c r="N4559" s="82" t="s">
        <v>11195</v>
      </c>
      <c r="O4559" s="93">
        <v>45897.422835648147</v>
      </c>
    </row>
    <row r="4560" spans="1:15" ht="22.5" customHeight="1">
      <c r="A4560" s="85">
        <v>174904221976312</v>
      </c>
      <c r="B4560" s="82" t="s">
        <v>10651</v>
      </c>
      <c r="C4560" s="82" t="s">
        <v>11165</v>
      </c>
      <c r="D4560" s="82" t="s">
        <v>1759</v>
      </c>
      <c r="E4560" s="82">
        <v>6285311472244</v>
      </c>
      <c r="F4560" s="92">
        <v>45896</v>
      </c>
      <c r="G4560" s="87">
        <v>890</v>
      </c>
      <c r="H4560" s="88">
        <v>13767.634854771784</v>
      </c>
      <c r="I4560" s="89">
        <v>41</v>
      </c>
      <c r="J4560" s="90">
        <v>13272</v>
      </c>
      <c r="K4560" s="85">
        <v>8</v>
      </c>
      <c r="L4560" s="85">
        <v>531</v>
      </c>
      <c r="M4560" s="85">
        <v>0</v>
      </c>
      <c r="N4560" s="82" t="s">
        <v>11166</v>
      </c>
      <c r="O4560" s="93">
        <v>45897.485219907408</v>
      </c>
    </row>
    <row r="4561" spans="1:15" ht="22.5" customHeight="1">
      <c r="A4561" s="85">
        <v>174904221976312</v>
      </c>
      <c r="B4561" s="82" t="s">
        <v>10651</v>
      </c>
      <c r="C4561" s="82" t="s">
        <v>10853</v>
      </c>
      <c r="D4561" s="82" t="s">
        <v>10854</v>
      </c>
      <c r="E4561" s="82">
        <v>6281393958199</v>
      </c>
      <c r="F4561" s="92">
        <v>45896</v>
      </c>
      <c r="G4561" s="87">
        <v>515</v>
      </c>
      <c r="H4561" s="88">
        <v>22362.038664323376</v>
      </c>
      <c r="I4561" s="89">
        <v>11</v>
      </c>
      <c r="J4561" s="90">
        <v>12724</v>
      </c>
      <c r="K4561" s="85">
        <v>1</v>
      </c>
      <c r="L4561" s="85">
        <v>177</v>
      </c>
      <c r="M4561" s="85">
        <v>0</v>
      </c>
      <c r="N4561" s="82" t="s">
        <v>10855</v>
      </c>
      <c r="O4561" s="93">
        <v>45897.506018518521</v>
      </c>
    </row>
    <row r="4562" spans="1:15" ht="22.5" customHeight="1">
      <c r="A4562" s="85">
        <v>174904221976312</v>
      </c>
      <c r="B4562" s="82" t="s">
        <v>10651</v>
      </c>
      <c r="C4562" s="82" t="s">
        <v>10655</v>
      </c>
      <c r="D4562" s="82" t="s">
        <v>3908</v>
      </c>
      <c r="E4562" s="82">
        <v>6285376667233</v>
      </c>
      <c r="F4562" s="92">
        <v>45896</v>
      </c>
      <c r="G4562" s="87">
        <v>852</v>
      </c>
      <c r="H4562" s="88">
        <v>15291.925465838511</v>
      </c>
      <c r="I4562" s="89">
        <v>19</v>
      </c>
      <c r="J4562" s="90">
        <v>14772</v>
      </c>
      <c r="K4562" s="85">
        <v>5</v>
      </c>
      <c r="L4562" s="85">
        <v>327</v>
      </c>
      <c r="M4562" s="85">
        <v>0</v>
      </c>
      <c r="N4562" s="82" t="s">
        <v>10656</v>
      </c>
      <c r="O4562" s="93">
        <v>45897.401967592596</v>
      </c>
    </row>
    <row r="4563" spans="1:15" ht="22.5" customHeight="1">
      <c r="A4563" s="85">
        <v>759724529202804</v>
      </c>
      <c r="B4563" s="82" t="s">
        <v>10621</v>
      </c>
      <c r="C4563" s="82" t="s">
        <v>12049</v>
      </c>
      <c r="D4563" s="82" t="s">
        <v>12050</v>
      </c>
      <c r="E4563" s="82">
        <v>6282267832085</v>
      </c>
      <c r="F4563" s="92">
        <v>45897</v>
      </c>
      <c r="G4563" s="87">
        <v>1380</v>
      </c>
      <c r="H4563" s="88">
        <v>9468.5777287761866</v>
      </c>
      <c r="I4563" s="89">
        <v>42</v>
      </c>
      <c r="J4563" s="90">
        <v>17176</v>
      </c>
      <c r="K4563" s="85">
        <v>2</v>
      </c>
      <c r="L4563" s="85">
        <v>430</v>
      </c>
      <c r="M4563" s="85">
        <v>0</v>
      </c>
      <c r="N4563" s="82" t="s">
        <v>12051</v>
      </c>
      <c r="O4563" s="93">
        <v>45898.547685185185</v>
      </c>
    </row>
    <row r="4564" spans="1:15" ht="22.5" customHeight="1">
      <c r="A4564" s="85">
        <v>759724529202804</v>
      </c>
      <c r="B4564" s="82" t="s">
        <v>10621</v>
      </c>
      <c r="C4564" s="82" t="s">
        <v>11055</v>
      </c>
      <c r="D4564" s="82" t="s">
        <v>1021</v>
      </c>
      <c r="E4564" s="82"/>
      <c r="F4564" s="92">
        <v>45897</v>
      </c>
      <c r="G4564" s="87">
        <v>1847</v>
      </c>
      <c r="H4564" s="88">
        <v>24390.404515522107</v>
      </c>
      <c r="I4564" s="89">
        <v>61</v>
      </c>
      <c r="J4564" s="90">
        <v>51854</v>
      </c>
      <c r="K4564" s="85">
        <v>10</v>
      </c>
      <c r="L4564" s="85">
        <v>682</v>
      </c>
      <c r="M4564" s="85">
        <v>0</v>
      </c>
      <c r="N4564" s="82" t="s">
        <v>11056</v>
      </c>
      <c r="O4564" s="93">
        <v>45898.684386574074</v>
      </c>
    </row>
    <row r="4565" spans="1:15" ht="22.5" customHeight="1">
      <c r="A4565" s="85">
        <v>174904221976312</v>
      </c>
      <c r="B4565" s="82" t="s">
        <v>10651</v>
      </c>
      <c r="C4565" s="82" t="s">
        <v>12125</v>
      </c>
      <c r="D4565" s="82" t="s">
        <v>4008</v>
      </c>
      <c r="E4565" s="82">
        <v>6281558225822</v>
      </c>
      <c r="F4565" s="92">
        <v>45897</v>
      </c>
      <c r="G4565" s="87">
        <v>272</v>
      </c>
      <c r="H4565" s="88">
        <v>39985.815602836883</v>
      </c>
      <c r="I4565" s="89">
        <v>7</v>
      </c>
      <c r="J4565" s="90">
        <v>11276</v>
      </c>
      <c r="K4565" s="85">
        <v>0</v>
      </c>
      <c r="L4565" s="85">
        <v>31</v>
      </c>
      <c r="M4565" s="85">
        <v>0</v>
      </c>
      <c r="N4565" s="82" t="s">
        <v>12126</v>
      </c>
      <c r="O4565" s="93">
        <v>45898.52648148148</v>
      </c>
    </row>
    <row r="4566" spans="1:15" ht="22.5" customHeight="1">
      <c r="A4566" s="85">
        <v>174904221976312</v>
      </c>
      <c r="B4566" s="82" t="s">
        <v>10651</v>
      </c>
      <c r="C4566" s="82" t="s">
        <v>12127</v>
      </c>
      <c r="D4566" s="82" t="s">
        <v>12128</v>
      </c>
      <c r="E4566" s="82">
        <v>6281226825253</v>
      </c>
      <c r="F4566" s="92">
        <v>45897</v>
      </c>
      <c r="G4566" s="87">
        <v>7200</v>
      </c>
      <c r="H4566" s="88">
        <v>1742.6538410857822</v>
      </c>
      <c r="I4566" s="89">
        <v>25</v>
      </c>
      <c r="J4566" s="90">
        <v>13225</v>
      </c>
      <c r="K4566" s="85">
        <v>0</v>
      </c>
      <c r="L4566" s="85">
        <v>19</v>
      </c>
      <c r="M4566" s="85">
        <v>0</v>
      </c>
      <c r="N4566" s="82" t="s">
        <v>12129</v>
      </c>
      <c r="O4566" s="93">
        <v>45898.213692129626</v>
      </c>
    </row>
    <row r="4567" spans="1:15" ht="22.5" customHeight="1">
      <c r="A4567" s="85">
        <v>174904221976312</v>
      </c>
      <c r="B4567" s="82" t="s">
        <v>10651</v>
      </c>
      <c r="C4567" s="82" t="s">
        <v>12130</v>
      </c>
      <c r="D4567" s="82" t="s">
        <v>12131</v>
      </c>
      <c r="E4567" s="82">
        <v>6281239004410</v>
      </c>
      <c r="F4567" s="92">
        <v>45897</v>
      </c>
      <c r="G4567" s="87">
        <v>470</v>
      </c>
      <c r="H4567" s="88">
        <v>26133.06451612903</v>
      </c>
      <c r="I4567" s="89">
        <v>6</v>
      </c>
      <c r="J4567" s="90">
        <v>12962</v>
      </c>
      <c r="K4567" s="85">
        <v>3</v>
      </c>
      <c r="L4567" s="85">
        <v>8</v>
      </c>
      <c r="M4567" s="85">
        <v>0</v>
      </c>
      <c r="N4567" s="82" t="s">
        <v>12132</v>
      </c>
      <c r="O4567" s="93">
        <v>45898.567870370367</v>
      </c>
    </row>
    <row r="4568" spans="1:15" ht="22.5" customHeight="1">
      <c r="A4568" s="85">
        <v>174904221976312</v>
      </c>
      <c r="B4568" s="82" t="s">
        <v>10651</v>
      </c>
      <c r="C4568" s="82" t="s">
        <v>12133</v>
      </c>
      <c r="D4568" s="82" t="s">
        <v>12134</v>
      </c>
      <c r="E4568" s="82">
        <v>6285194619788</v>
      </c>
      <c r="F4568" s="92">
        <v>45897</v>
      </c>
      <c r="G4568" s="87">
        <v>1272</v>
      </c>
      <c r="H4568" s="88">
        <v>6597.6744186046508</v>
      </c>
      <c r="I4568" s="89">
        <v>59</v>
      </c>
      <c r="J4568" s="90">
        <v>8511</v>
      </c>
      <c r="K4568" s="85">
        <v>1</v>
      </c>
      <c r="L4568" s="85">
        <v>387</v>
      </c>
      <c r="M4568" s="85">
        <v>0</v>
      </c>
      <c r="N4568" s="82" t="s">
        <v>12135</v>
      </c>
      <c r="O4568" s="93">
        <v>45898.651284722226</v>
      </c>
    </row>
    <row r="4569" spans="1:15" ht="22.5" customHeight="1">
      <c r="A4569" s="85">
        <v>174904221976312</v>
      </c>
      <c r="B4569" s="82" t="s">
        <v>10651</v>
      </c>
      <c r="C4569" s="82" t="s">
        <v>12136</v>
      </c>
      <c r="D4569" s="82" t="s">
        <v>12137</v>
      </c>
      <c r="E4569" s="82">
        <v>6287863509004</v>
      </c>
      <c r="F4569" s="92">
        <v>45897</v>
      </c>
      <c r="G4569" s="87">
        <v>2530</v>
      </c>
      <c r="H4569" s="88">
        <v>3448.2274482274483</v>
      </c>
      <c r="I4569" s="89">
        <v>41</v>
      </c>
      <c r="J4569" s="90">
        <v>9824</v>
      </c>
      <c r="K4569" s="85">
        <v>0</v>
      </c>
      <c r="L4569" s="85">
        <v>97</v>
      </c>
      <c r="M4569" s="85">
        <v>0</v>
      </c>
      <c r="N4569" s="82" t="s">
        <v>12138</v>
      </c>
      <c r="O4569" s="93">
        <v>45898.713842592595</v>
      </c>
    </row>
    <row r="4570" spans="1:15" ht="22.5" customHeight="1">
      <c r="A4570" s="85">
        <v>174904221976312</v>
      </c>
      <c r="B4570" s="82" t="s">
        <v>10651</v>
      </c>
      <c r="C4570" s="82" t="s">
        <v>12139</v>
      </c>
      <c r="D4570" s="82" t="s">
        <v>4605</v>
      </c>
      <c r="E4570" s="82">
        <v>6281359605566</v>
      </c>
      <c r="F4570" s="92">
        <v>45897</v>
      </c>
      <c r="G4570" s="87">
        <v>631</v>
      </c>
      <c r="H4570" s="88">
        <v>13380.653266331658</v>
      </c>
      <c r="I4570" s="89">
        <v>20</v>
      </c>
      <c r="J4570" s="90">
        <v>10651</v>
      </c>
      <c r="K4570" s="85">
        <v>2</v>
      </c>
      <c r="L4570" s="85">
        <v>85</v>
      </c>
      <c r="M4570" s="85">
        <v>0</v>
      </c>
      <c r="N4570" s="82" t="s">
        <v>12140</v>
      </c>
      <c r="O4570" s="93">
        <v>45898.774074074077</v>
      </c>
    </row>
    <row r="4571" spans="1:15" ht="22.5" customHeight="1">
      <c r="A4571" s="85">
        <v>174904221976312</v>
      </c>
      <c r="B4571" s="82" t="s">
        <v>10651</v>
      </c>
      <c r="C4571" s="82" t="s">
        <v>12117</v>
      </c>
      <c r="D4571" s="82" t="s">
        <v>12118</v>
      </c>
      <c r="E4571" s="82">
        <v>628152343305</v>
      </c>
      <c r="F4571" s="92">
        <v>45897</v>
      </c>
      <c r="G4571" s="87">
        <v>290</v>
      </c>
      <c r="H4571" s="88">
        <v>38254.335260115608</v>
      </c>
      <c r="I4571" s="89">
        <v>13</v>
      </c>
      <c r="J4571" s="90">
        <v>13236</v>
      </c>
      <c r="K4571" s="85">
        <v>3</v>
      </c>
      <c r="L4571" s="85">
        <v>34</v>
      </c>
      <c r="M4571" s="85">
        <v>0</v>
      </c>
      <c r="N4571" s="82" t="s">
        <v>12119</v>
      </c>
      <c r="O4571" s="93">
        <v>45898.547465277778</v>
      </c>
    </row>
    <row r="4572" spans="1:15" ht="22.5" customHeight="1">
      <c r="A4572" s="85">
        <v>174904221976312</v>
      </c>
      <c r="B4572" s="82" t="s">
        <v>10651</v>
      </c>
      <c r="C4572" s="82" t="s">
        <v>12120</v>
      </c>
      <c r="D4572" s="82" t="s">
        <v>4619</v>
      </c>
      <c r="E4572" s="82">
        <v>6281328027701</v>
      </c>
      <c r="F4572" s="92">
        <v>45897</v>
      </c>
      <c r="G4572" s="87">
        <v>218</v>
      </c>
      <c r="H4572" s="88">
        <v>47400.843881856541</v>
      </c>
      <c r="I4572" s="89">
        <v>7</v>
      </c>
      <c r="J4572" s="90">
        <v>11234</v>
      </c>
      <c r="K4572" s="85">
        <v>1</v>
      </c>
      <c r="L4572" s="85">
        <v>104</v>
      </c>
      <c r="M4572" s="85">
        <v>0</v>
      </c>
      <c r="N4572" s="82" t="s">
        <v>12141</v>
      </c>
      <c r="O4572" s="93">
        <v>45898.716516203705</v>
      </c>
    </row>
    <row r="4573" spans="1:15" ht="22.5" customHeight="1">
      <c r="A4573" s="85">
        <v>174904221976312</v>
      </c>
      <c r="B4573" s="82" t="s">
        <v>10651</v>
      </c>
      <c r="C4573" s="82" t="s">
        <v>12122</v>
      </c>
      <c r="D4573" s="82" t="s">
        <v>12123</v>
      </c>
      <c r="E4573" s="82">
        <v>6285720705874</v>
      </c>
      <c r="F4573" s="92">
        <v>45897</v>
      </c>
      <c r="G4573" s="87">
        <v>568</v>
      </c>
      <c r="H4573" s="88">
        <v>19523.598820058996</v>
      </c>
      <c r="I4573" s="89">
        <v>24</v>
      </c>
      <c r="J4573" s="90">
        <v>13237</v>
      </c>
      <c r="K4573" s="85">
        <v>8</v>
      </c>
      <c r="L4573" s="85">
        <v>50</v>
      </c>
      <c r="M4573" s="85">
        <v>0</v>
      </c>
      <c r="N4573" s="82" t="s">
        <v>12124</v>
      </c>
      <c r="O4573" s="93">
        <v>45898.567881944444</v>
      </c>
    </row>
    <row r="4574" spans="1:15" ht="22.5" customHeight="1">
      <c r="A4574" s="85">
        <v>174904221976312</v>
      </c>
      <c r="B4574" s="82" t="s">
        <v>10651</v>
      </c>
      <c r="C4574" s="82" t="s">
        <v>12142</v>
      </c>
      <c r="D4574" s="82" t="s">
        <v>4600</v>
      </c>
      <c r="E4574" s="82">
        <v>6281231382365</v>
      </c>
      <c r="F4574" s="92">
        <v>45897</v>
      </c>
      <c r="G4574" s="87">
        <v>439</v>
      </c>
      <c r="H4574" s="88">
        <v>26354.124748490947</v>
      </c>
      <c r="I4574" s="89">
        <v>11</v>
      </c>
      <c r="J4574" s="90">
        <v>13098</v>
      </c>
      <c r="K4574" s="85">
        <v>3</v>
      </c>
      <c r="L4574" s="85">
        <v>39</v>
      </c>
      <c r="M4574" s="85">
        <v>1</v>
      </c>
      <c r="N4574" s="82" t="s">
        <v>12143</v>
      </c>
      <c r="O4574" s="93">
        <v>45898.58935185185</v>
      </c>
    </row>
    <row r="4575" spans="1:15" ht="22.5" customHeight="1">
      <c r="A4575" s="85">
        <v>174904221976312</v>
      </c>
      <c r="B4575" s="82" t="s">
        <v>10651</v>
      </c>
      <c r="C4575" s="82" t="s">
        <v>12100</v>
      </c>
      <c r="D4575" s="82" t="s">
        <v>6091</v>
      </c>
      <c r="E4575" s="82">
        <v>6281938384000</v>
      </c>
      <c r="F4575" s="92">
        <v>45897</v>
      </c>
      <c r="G4575" s="87">
        <v>625</v>
      </c>
      <c r="H4575" s="88">
        <v>20963.963963963961</v>
      </c>
      <c r="I4575" s="89">
        <v>19</v>
      </c>
      <c r="J4575" s="90">
        <v>13962</v>
      </c>
      <c r="K4575" s="85">
        <v>2</v>
      </c>
      <c r="L4575" s="85">
        <v>338</v>
      </c>
      <c r="M4575" s="85">
        <v>0</v>
      </c>
      <c r="N4575" s="82" t="s">
        <v>12101</v>
      </c>
      <c r="O4575" s="93">
        <v>45898.443206018521</v>
      </c>
    </row>
    <row r="4576" spans="1:15" ht="22.5" customHeight="1">
      <c r="A4576" s="85">
        <v>174904221976312</v>
      </c>
      <c r="B4576" s="82" t="s">
        <v>10651</v>
      </c>
      <c r="C4576" s="82" t="s">
        <v>12102</v>
      </c>
      <c r="D4576" s="82" t="s">
        <v>12103</v>
      </c>
      <c r="E4576" s="82">
        <v>628122577723</v>
      </c>
      <c r="F4576" s="92">
        <v>45897</v>
      </c>
      <c r="G4576" s="87">
        <v>576</v>
      </c>
      <c r="H4576" s="88">
        <v>23578.461538461539</v>
      </c>
      <c r="I4576" s="89">
        <v>13</v>
      </c>
      <c r="J4576" s="90">
        <v>15326</v>
      </c>
      <c r="K4576" s="85">
        <v>1</v>
      </c>
      <c r="L4576" s="85">
        <v>228</v>
      </c>
      <c r="M4576" s="85">
        <v>0</v>
      </c>
      <c r="N4576" s="82" t="s">
        <v>12144</v>
      </c>
      <c r="O4576" s="93">
        <v>45898.680266203701</v>
      </c>
    </row>
    <row r="4577" spans="1:15" ht="22.5" customHeight="1">
      <c r="A4577" s="85">
        <v>174904221976312</v>
      </c>
      <c r="B4577" s="82" t="s">
        <v>10651</v>
      </c>
      <c r="C4577" s="82" t="s">
        <v>12105</v>
      </c>
      <c r="D4577" s="82" t="s">
        <v>4582</v>
      </c>
      <c r="E4577" s="82">
        <v>6287836691500</v>
      </c>
      <c r="F4577" s="92">
        <v>45897</v>
      </c>
      <c r="G4577" s="87">
        <v>431</v>
      </c>
      <c r="H4577" s="88">
        <v>26022.964509394573</v>
      </c>
      <c r="I4577" s="89">
        <v>5</v>
      </c>
      <c r="J4577" s="90">
        <v>12465</v>
      </c>
      <c r="K4577" s="85">
        <v>1</v>
      </c>
      <c r="L4577" s="85">
        <v>176</v>
      </c>
      <c r="M4577" s="85">
        <v>0</v>
      </c>
      <c r="N4577" s="82" t="s">
        <v>12145</v>
      </c>
      <c r="O4577" s="93">
        <v>45898.709594907406</v>
      </c>
    </row>
    <row r="4578" spans="1:15" ht="22.5" customHeight="1">
      <c r="A4578" s="85">
        <v>174904221976312</v>
      </c>
      <c r="B4578" s="82" t="s">
        <v>10651</v>
      </c>
      <c r="C4578" s="82" t="s">
        <v>12107</v>
      </c>
      <c r="D4578" s="82" t="s">
        <v>3465</v>
      </c>
      <c r="E4578" s="82">
        <v>6285920572002</v>
      </c>
      <c r="F4578" s="92">
        <v>45897</v>
      </c>
      <c r="G4578" s="87">
        <v>355</v>
      </c>
      <c r="H4578" s="88">
        <v>34513.924050632908</v>
      </c>
      <c r="I4578" s="89">
        <v>12</v>
      </c>
      <c r="J4578" s="90">
        <v>13633</v>
      </c>
      <c r="K4578" s="85">
        <v>3</v>
      </c>
      <c r="L4578" s="85">
        <v>123</v>
      </c>
      <c r="M4578" s="85">
        <v>0</v>
      </c>
      <c r="N4578" s="82" t="s">
        <v>12108</v>
      </c>
      <c r="O4578" s="93">
        <v>45898.484953703701</v>
      </c>
    </row>
    <row r="4579" spans="1:15" ht="22.5" customHeight="1">
      <c r="A4579" s="85">
        <v>174904221976312</v>
      </c>
      <c r="B4579" s="82" t="s">
        <v>10651</v>
      </c>
      <c r="C4579" s="82" t="s">
        <v>12109</v>
      </c>
      <c r="D4579" s="82" t="s">
        <v>12110</v>
      </c>
      <c r="E4579" s="82">
        <v>6287777304498</v>
      </c>
      <c r="F4579" s="92">
        <v>45897</v>
      </c>
      <c r="G4579" s="87">
        <v>281</v>
      </c>
      <c r="H4579" s="88">
        <v>46712.871287128713</v>
      </c>
      <c r="I4579" s="89">
        <v>10</v>
      </c>
      <c r="J4579" s="90">
        <v>14154</v>
      </c>
      <c r="K4579" s="85">
        <v>2</v>
      </c>
      <c r="L4579" s="85">
        <v>170</v>
      </c>
      <c r="M4579" s="85">
        <v>0</v>
      </c>
      <c r="N4579" s="82" t="s">
        <v>12146</v>
      </c>
      <c r="O4579" s="93">
        <v>45898.701319444444</v>
      </c>
    </row>
    <row r="4580" spans="1:15" ht="22.5" customHeight="1">
      <c r="A4580" s="85">
        <v>174904221976312</v>
      </c>
      <c r="B4580" s="82" t="s">
        <v>10651</v>
      </c>
      <c r="C4580" s="82" t="s">
        <v>12112</v>
      </c>
      <c r="D4580" s="82" t="s">
        <v>12113</v>
      </c>
      <c r="E4580" s="82">
        <v>6285642368174</v>
      </c>
      <c r="F4580" s="92">
        <v>45897</v>
      </c>
      <c r="G4580" s="87">
        <v>870</v>
      </c>
      <c r="H4580" s="88">
        <v>13406.867845993756</v>
      </c>
      <c r="I4580" s="89">
        <v>26</v>
      </c>
      <c r="J4580" s="90">
        <v>12884</v>
      </c>
      <c r="K4580" s="85">
        <v>3</v>
      </c>
      <c r="L4580" s="85">
        <v>203</v>
      </c>
      <c r="M4580" s="85">
        <v>0</v>
      </c>
      <c r="N4580" s="82" t="s">
        <v>12114</v>
      </c>
      <c r="O4580" s="93">
        <v>45898.568136574075</v>
      </c>
    </row>
    <row r="4581" spans="1:15" ht="22.5" customHeight="1">
      <c r="A4581" s="85">
        <v>174904221976312</v>
      </c>
      <c r="B4581" s="82" t="s">
        <v>10651</v>
      </c>
      <c r="C4581" s="82" t="s">
        <v>12115</v>
      </c>
      <c r="D4581" s="82" t="s">
        <v>4295</v>
      </c>
      <c r="E4581" s="82">
        <v>6281513169730</v>
      </c>
      <c r="F4581" s="92">
        <v>45897</v>
      </c>
      <c r="G4581" s="87">
        <v>109</v>
      </c>
      <c r="H4581" s="88">
        <v>111686.95652173914</v>
      </c>
      <c r="I4581" s="89">
        <v>6</v>
      </c>
      <c r="J4581" s="90">
        <v>12844</v>
      </c>
      <c r="K4581" s="85">
        <v>0</v>
      </c>
      <c r="L4581" s="85">
        <v>56</v>
      </c>
      <c r="M4581" s="85">
        <v>0</v>
      </c>
      <c r="N4581" s="82" t="s">
        <v>12147</v>
      </c>
      <c r="O4581" s="93">
        <v>45898.690706018519</v>
      </c>
    </row>
    <row r="4582" spans="1:15" ht="22.5" customHeight="1">
      <c r="A4582" s="85">
        <v>174904221976312</v>
      </c>
      <c r="B4582" s="82" t="s">
        <v>10651</v>
      </c>
      <c r="C4582" s="82" t="s">
        <v>12052</v>
      </c>
      <c r="D4582" s="82" t="s">
        <v>4366</v>
      </c>
      <c r="E4582" s="82">
        <v>6287842913251</v>
      </c>
      <c r="F4582" s="92">
        <v>45897</v>
      </c>
      <c r="G4582" s="87">
        <v>247</v>
      </c>
      <c r="H4582" s="88">
        <v>48107.91366906475</v>
      </c>
      <c r="I4582" s="89">
        <v>3</v>
      </c>
      <c r="J4582" s="90">
        <v>13374</v>
      </c>
      <c r="K4582" s="85">
        <v>1</v>
      </c>
      <c r="L4582" s="85">
        <v>0</v>
      </c>
      <c r="M4582" s="85">
        <v>0</v>
      </c>
      <c r="N4582" s="82" t="s">
        <v>12148</v>
      </c>
      <c r="O4582" s="93">
        <v>45898.545972222222</v>
      </c>
    </row>
    <row r="4583" spans="1:15" ht="22.5" customHeight="1">
      <c r="A4583" s="85">
        <v>174904221976312</v>
      </c>
      <c r="B4583" s="82" t="s">
        <v>10651</v>
      </c>
      <c r="C4583" s="82" t="s">
        <v>12054</v>
      </c>
      <c r="D4583" s="82" t="s">
        <v>4485</v>
      </c>
      <c r="E4583" s="82">
        <v>6285169730762</v>
      </c>
      <c r="F4583" s="92">
        <v>45897</v>
      </c>
      <c r="G4583" s="87">
        <v>1464</v>
      </c>
      <c r="H4583" s="88">
        <v>7735.9484777517573</v>
      </c>
      <c r="I4583" s="89">
        <v>108</v>
      </c>
      <c r="J4583" s="90">
        <v>13213</v>
      </c>
      <c r="K4583" s="85">
        <v>13</v>
      </c>
      <c r="L4583" s="85">
        <v>0</v>
      </c>
      <c r="M4583" s="85">
        <v>5</v>
      </c>
      <c r="N4583" s="82" t="s">
        <v>12055</v>
      </c>
      <c r="O4583" s="93">
        <v>45898.567870370367</v>
      </c>
    </row>
    <row r="4584" spans="1:15" ht="22.5" customHeight="1">
      <c r="A4584" s="85">
        <v>174904221976312</v>
      </c>
      <c r="B4584" s="82" t="s">
        <v>10651</v>
      </c>
      <c r="C4584" s="82" t="s">
        <v>12056</v>
      </c>
      <c r="D4584" s="82" t="s">
        <v>4549</v>
      </c>
      <c r="E4584" s="82">
        <v>6282171085542</v>
      </c>
      <c r="F4584" s="92">
        <v>45897</v>
      </c>
      <c r="G4584" s="87">
        <v>1078</v>
      </c>
      <c r="H4584" s="88">
        <v>12729.23588039867</v>
      </c>
      <c r="I4584" s="89">
        <v>16</v>
      </c>
      <c r="J4584" s="90">
        <v>15326</v>
      </c>
      <c r="K4584" s="85">
        <v>0</v>
      </c>
      <c r="L4584" s="85">
        <v>392</v>
      </c>
      <c r="M4584" s="85">
        <v>0</v>
      </c>
      <c r="N4584" s="82" t="s">
        <v>12057</v>
      </c>
      <c r="O4584" s="93">
        <v>45898.464004629626</v>
      </c>
    </row>
    <row r="4585" spans="1:15" ht="22.5" customHeight="1">
      <c r="A4585" s="85">
        <v>174904221976312</v>
      </c>
      <c r="B4585" s="82" t="s">
        <v>10651</v>
      </c>
      <c r="C4585" s="82" t="s">
        <v>12058</v>
      </c>
      <c r="D4585" s="82" t="s">
        <v>4516</v>
      </c>
      <c r="E4585" s="82">
        <v>6281315163838</v>
      </c>
      <c r="F4585" s="92">
        <v>45897</v>
      </c>
      <c r="G4585" s="87">
        <v>264</v>
      </c>
      <c r="H4585" s="88">
        <v>43078.231292517012</v>
      </c>
      <c r="I4585" s="89">
        <v>7</v>
      </c>
      <c r="J4585" s="90">
        <v>12665</v>
      </c>
      <c r="K4585" s="85">
        <v>2</v>
      </c>
      <c r="L4585" s="85">
        <v>132</v>
      </c>
      <c r="M4585" s="85">
        <v>1</v>
      </c>
      <c r="N4585" s="82" t="s">
        <v>12059</v>
      </c>
      <c r="O4585" s="93">
        <v>45898.547465277778</v>
      </c>
    </row>
    <row r="4586" spans="1:15" ht="22.5" customHeight="1">
      <c r="A4586" s="85">
        <v>174904221976312</v>
      </c>
      <c r="B4586" s="82" t="s">
        <v>10651</v>
      </c>
      <c r="C4586" s="82" t="s">
        <v>12060</v>
      </c>
      <c r="D4586" s="82" t="s">
        <v>12061</v>
      </c>
      <c r="E4586" s="82">
        <v>628112656686</v>
      </c>
      <c r="F4586" s="92">
        <v>45897</v>
      </c>
      <c r="G4586" s="87">
        <v>619</v>
      </c>
      <c r="H4586" s="88">
        <v>24277.272727272728</v>
      </c>
      <c r="I4586" s="89">
        <v>18</v>
      </c>
      <c r="J4586" s="90">
        <v>16023</v>
      </c>
      <c r="K4586" s="85">
        <v>0</v>
      </c>
      <c r="L4586" s="85">
        <v>0</v>
      </c>
      <c r="M4586" s="85">
        <v>0</v>
      </c>
      <c r="N4586" s="82" t="s">
        <v>12062</v>
      </c>
      <c r="O4586" s="93">
        <v>45898.402083333334</v>
      </c>
    </row>
    <row r="4587" spans="1:15" ht="22.5" customHeight="1">
      <c r="A4587" s="85">
        <v>174904221976312</v>
      </c>
      <c r="B4587" s="82" t="s">
        <v>10651</v>
      </c>
      <c r="C4587" s="82" t="s">
        <v>12063</v>
      </c>
      <c r="D4587" s="82" t="s">
        <v>12064</v>
      </c>
      <c r="E4587" s="82">
        <v>6285741888828</v>
      </c>
      <c r="F4587" s="92">
        <v>45897</v>
      </c>
      <c r="G4587" s="87">
        <v>407</v>
      </c>
      <c r="H4587" s="88">
        <v>34059.090909090912</v>
      </c>
      <c r="I4587" s="89">
        <v>8</v>
      </c>
      <c r="J4587" s="90">
        <v>14986</v>
      </c>
      <c r="K4587" s="85">
        <v>1</v>
      </c>
      <c r="L4587" s="85">
        <v>0</v>
      </c>
      <c r="M4587" s="85">
        <v>0</v>
      </c>
      <c r="N4587" s="82" t="s">
        <v>12065</v>
      </c>
      <c r="O4587" s="93">
        <v>45898.401979166665</v>
      </c>
    </row>
    <row r="4588" spans="1:15" ht="22.5" customHeight="1">
      <c r="A4588" s="85">
        <v>174904221976312</v>
      </c>
      <c r="B4588" s="82" t="s">
        <v>10651</v>
      </c>
      <c r="C4588" s="82" t="s">
        <v>12039</v>
      </c>
      <c r="D4588" s="82" t="s">
        <v>12040</v>
      </c>
      <c r="E4588" s="82">
        <v>6281330410391</v>
      </c>
      <c r="F4588" s="92">
        <v>45897</v>
      </c>
      <c r="G4588" s="87">
        <v>767</v>
      </c>
      <c r="H4588" s="88">
        <v>15034.782608695652</v>
      </c>
      <c r="I4588" s="89">
        <v>77</v>
      </c>
      <c r="J4588" s="90">
        <v>13832</v>
      </c>
      <c r="K4588" s="85">
        <v>4</v>
      </c>
      <c r="L4588" s="85">
        <v>301</v>
      </c>
      <c r="M4588" s="85">
        <v>4</v>
      </c>
      <c r="N4588" s="82" t="s">
        <v>12041</v>
      </c>
      <c r="O4588" s="93">
        <v>45898.567881944444</v>
      </c>
    </row>
    <row r="4589" spans="1:15" ht="22.5" customHeight="1">
      <c r="A4589" s="85">
        <v>174904221976312</v>
      </c>
      <c r="B4589" s="82" t="s">
        <v>10651</v>
      </c>
      <c r="C4589" s="82" t="s">
        <v>12042</v>
      </c>
      <c r="D4589" s="91" t="s">
        <v>4468</v>
      </c>
      <c r="E4589" s="82">
        <v>6285710239729</v>
      </c>
      <c r="F4589" s="92">
        <v>45897</v>
      </c>
      <c r="G4589" s="87">
        <v>151</v>
      </c>
      <c r="H4589" s="88">
        <v>86220.125786163524</v>
      </c>
      <c r="I4589" s="89">
        <v>2</v>
      </c>
      <c r="J4589" s="90">
        <v>13709</v>
      </c>
      <c r="K4589" s="85">
        <v>1</v>
      </c>
      <c r="L4589" s="85">
        <v>0</v>
      </c>
      <c r="M4589" s="85">
        <v>0</v>
      </c>
      <c r="N4589" s="82" t="s">
        <v>12043</v>
      </c>
      <c r="O4589" s="93">
        <v>45898.401620370372</v>
      </c>
    </row>
    <row r="4590" spans="1:15" ht="22.5" customHeight="1">
      <c r="A4590" s="85">
        <v>174904221976312</v>
      </c>
      <c r="B4590" s="82" t="s">
        <v>10651</v>
      </c>
      <c r="C4590" s="82" t="s">
        <v>12013</v>
      </c>
      <c r="D4590" s="82" t="s">
        <v>12014</v>
      </c>
      <c r="E4590" s="82">
        <v>6282154318629</v>
      </c>
      <c r="F4590" s="92">
        <v>45897</v>
      </c>
      <c r="G4590" s="87">
        <v>623</v>
      </c>
      <c r="H4590" s="88">
        <v>25396.142433234421</v>
      </c>
      <c r="I4590" s="89">
        <v>20</v>
      </c>
      <c r="J4590" s="90">
        <v>17117</v>
      </c>
      <c r="K4590" s="85">
        <v>6</v>
      </c>
      <c r="L4590" s="85">
        <v>259</v>
      </c>
      <c r="M4590" s="85">
        <v>0</v>
      </c>
      <c r="N4590" s="82" t="s">
        <v>12015</v>
      </c>
      <c r="O4590" s="93">
        <v>45898.422662037039</v>
      </c>
    </row>
    <row r="4591" spans="1:15" ht="22.5" customHeight="1">
      <c r="A4591" s="85">
        <v>174904221976312</v>
      </c>
      <c r="B4591" s="82" t="s">
        <v>10651</v>
      </c>
      <c r="C4591" s="82" t="s">
        <v>12016</v>
      </c>
      <c r="D4591" s="82" t="s">
        <v>12017</v>
      </c>
      <c r="E4591" s="82">
        <v>6281210801646</v>
      </c>
      <c r="F4591" s="92">
        <v>45897</v>
      </c>
      <c r="G4591" s="87">
        <v>401</v>
      </c>
      <c r="H4591" s="88">
        <v>29657.635467980297</v>
      </c>
      <c r="I4591" s="89">
        <v>8</v>
      </c>
      <c r="J4591" s="90">
        <v>12041</v>
      </c>
      <c r="K4591" s="85">
        <v>2</v>
      </c>
      <c r="L4591" s="85">
        <v>170</v>
      </c>
      <c r="M4591" s="85">
        <v>0</v>
      </c>
      <c r="N4591" s="82" t="s">
        <v>12018</v>
      </c>
      <c r="O4591" s="93">
        <v>45898.442939814813</v>
      </c>
    </row>
    <row r="4592" spans="1:15" ht="22.5" customHeight="1">
      <c r="A4592" s="85">
        <v>174904221976312</v>
      </c>
      <c r="B4592" s="82" t="s">
        <v>10651</v>
      </c>
      <c r="C4592" s="82" t="s">
        <v>12022</v>
      </c>
      <c r="D4592" s="82" t="s">
        <v>11483</v>
      </c>
      <c r="E4592" s="82">
        <v>6285255115894</v>
      </c>
      <c r="F4592" s="92">
        <v>45897</v>
      </c>
      <c r="G4592" s="87">
        <v>2385</v>
      </c>
      <c r="H4592" s="88">
        <v>5651.2605042016812</v>
      </c>
      <c r="I4592" s="89">
        <v>73</v>
      </c>
      <c r="J4592" s="90">
        <v>14795</v>
      </c>
      <c r="K4592" s="85">
        <v>8</v>
      </c>
      <c r="L4592" s="85">
        <v>837</v>
      </c>
      <c r="M4592" s="85">
        <v>0</v>
      </c>
      <c r="N4592" s="82" t="s">
        <v>12023</v>
      </c>
      <c r="O4592" s="93">
        <v>45898.547453703701</v>
      </c>
    </row>
    <row r="4593" spans="1:15" ht="22.5" customHeight="1">
      <c r="A4593" s="85">
        <v>174904221976312</v>
      </c>
      <c r="B4593" s="82" t="s">
        <v>10651</v>
      </c>
      <c r="C4593" s="82" t="s">
        <v>12005</v>
      </c>
      <c r="D4593" s="82" t="s">
        <v>3092</v>
      </c>
      <c r="E4593" s="82">
        <v>6287740636181</v>
      </c>
      <c r="F4593" s="92">
        <v>45897</v>
      </c>
      <c r="G4593" s="87">
        <v>1014</v>
      </c>
      <c r="H4593" s="88">
        <v>12695.142378559463</v>
      </c>
      <c r="I4593" s="89">
        <v>54</v>
      </c>
      <c r="J4593" s="90">
        <v>15158</v>
      </c>
      <c r="K4593" s="85">
        <v>5</v>
      </c>
      <c r="L4593" s="85">
        <v>524</v>
      </c>
      <c r="M4593" s="85">
        <v>0</v>
      </c>
      <c r="N4593" s="82" t="s">
        <v>12006</v>
      </c>
      <c r="O4593" s="93">
        <v>45898.526493055557</v>
      </c>
    </row>
    <row r="4594" spans="1:15" ht="22.5" customHeight="1">
      <c r="A4594" s="85">
        <v>174904221976312</v>
      </c>
      <c r="B4594" s="82" t="s">
        <v>10651</v>
      </c>
      <c r="C4594" s="82" t="s">
        <v>12007</v>
      </c>
      <c r="D4594" s="82" t="s">
        <v>9010</v>
      </c>
      <c r="E4594" s="82">
        <v>6282160743576</v>
      </c>
      <c r="F4594" s="92">
        <v>45897</v>
      </c>
      <c r="G4594" s="87">
        <v>1016</v>
      </c>
      <c r="H4594" s="88">
        <v>11375.534644995723</v>
      </c>
      <c r="I4594" s="89">
        <v>76</v>
      </c>
      <c r="J4594" s="90">
        <v>13298</v>
      </c>
      <c r="K4594" s="85">
        <v>8</v>
      </c>
      <c r="L4594" s="85">
        <v>629</v>
      </c>
      <c r="M4594" s="85">
        <v>0</v>
      </c>
      <c r="N4594" s="82" t="s">
        <v>12008</v>
      </c>
      <c r="O4594" s="93">
        <v>45898.58934027778</v>
      </c>
    </row>
    <row r="4595" spans="1:15" ht="22.5" customHeight="1">
      <c r="A4595" s="85">
        <v>174904221976312</v>
      </c>
      <c r="B4595" s="82" t="s">
        <v>10651</v>
      </c>
      <c r="C4595" s="82" t="s">
        <v>12009</v>
      </c>
      <c r="D4595" s="82" t="s">
        <v>11886</v>
      </c>
      <c r="E4595" s="82">
        <v>628179780980</v>
      </c>
      <c r="F4595" s="92">
        <v>45897</v>
      </c>
      <c r="G4595" s="87">
        <v>315</v>
      </c>
      <c r="H4595" s="88">
        <v>53773.913043478256</v>
      </c>
      <c r="I4595" s="89">
        <v>19</v>
      </c>
      <c r="J4595" s="90">
        <v>18552</v>
      </c>
      <c r="K4595" s="85">
        <v>3</v>
      </c>
      <c r="L4595" s="85">
        <v>120</v>
      </c>
      <c r="M4595" s="85">
        <v>1</v>
      </c>
      <c r="N4595" s="82" t="s">
        <v>12010</v>
      </c>
      <c r="O4595" s="93">
        <v>45898.401979166665</v>
      </c>
    </row>
    <row r="4596" spans="1:15" ht="22.5" customHeight="1">
      <c r="A4596" s="85">
        <v>174904221976312</v>
      </c>
      <c r="B4596" s="82" t="s">
        <v>10651</v>
      </c>
      <c r="C4596" s="82" t="s">
        <v>11905</v>
      </c>
      <c r="D4596" s="82" t="s">
        <v>11906</v>
      </c>
      <c r="E4596" s="82">
        <v>6285294617773</v>
      </c>
      <c r="F4596" s="92">
        <v>45897</v>
      </c>
      <c r="G4596" s="87">
        <v>537</v>
      </c>
      <c r="H4596" s="88">
        <v>22697.749196141482</v>
      </c>
      <c r="I4596" s="89">
        <v>43</v>
      </c>
      <c r="J4596" s="90">
        <v>14118</v>
      </c>
      <c r="K4596" s="85">
        <v>4</v>
      </c>
      <c r="L4596" s="85">
        <v>0</v>
      </c>
      <c r="M4596" s="85">
        <v>0</v>
      </c>
      <c r="N4596" s="82" t="s">
        <v>11907</v>
      </c>
      <c r="O4596" s="93">
        <v>45898.526770833334</v>
      </c>
    </row>
    <row r="4597" spans="1:15" ht="22.5" customHeight="1">
      <c r="A4597" s="85">
        <v>174904221976312</v>
      </c>
      <c r="B4597" s="82" t="s">
        <v>10651</v>
      </c>
      <c r="C4597" s="82" t="s">
        <v>11896</v>
      </c>
      <c r="D4597" s="82" t="s">
        <v>11897</v>
      </c>
      <c r="E4597" s="82">
        <v>6282153090123</v>
      </c>
      <c r="F4597" s="92">
        <v>45897</v>
      </c>
      <c r="G4597" s="87">
        <v>716</v>
      </c>
      <c r="H4597" s="88">
        <v>19134.831460674155</v>
      </c>
      <c r="I4597" s="89">
        <v>42</v>
      </c>
      <c r="J4597" s="90">
        <v>15327</v>
      </c>
      <c r="K4597" s="85">
        <v>3</v>
      </c>
      <c r="L4597" s="85">
        <v>354</v>
      </c>
      <c r="M4597" s="85">
        <v>0</v>
      </c>
      <c r="N4597" s="82" t="s">
        <v>11898</v>
      </c>
      <c r="O4597" s="93">
        <v>45898.422650462962</v>
      </c>
    </row>
    <row r="4598" spans="1:15" ht="22.5" customHeight="1">
      <c r="A4598" s="85">
        <v>174904221976312</v>
      </c>
      <c r="B4598" s="82" t="s">
        <v>10651</v>
      </c>
      <c r="C4598" s="82" t="s">
        <v>11865</v>
      </c>
      <c r="D4598" s="82" t="s">
        <v>11403</v>
      </c>
      <c r="E4598" s="82">
        <v>6283870060603</v>
      </c>
      <c r="F4598" s="92">
        <v>45897</v>
      </c>
      <c r="G4598" s="87">
        <v>440</v>
      </c>
      <c r="H4598" s="88">
        <v>32447.727272727272</v>
      </c>
      <c r="I4598" s="89">
        <v>27</v>
      </c>
      <c r="J4598" s="90">
        <v>14277</v>
      </c>
      <c r="K4598" s="85">
        <v>0</v>
      </c>
      <c r="L4598" s="85">
        <v>160</v>
      </c>
      <c r="M4598" s="85">
        <v>0</v>
      </c>
      <c r="N4598" s="82" t="s">
        <v>11866</v>
      </c>
      <c r="O4598" s="93">
        <v>45898.609930555554</v>
      </c>
    </row>
    <row r="4599" spans="1:15" ht="22.5" customHeight="1">
      <c r="A4599" s="85">
        <v>174904221976312</v>
      </c>
      <c r="B4599" s="82" t="s">
        <v>10651</v>
      </c>
      <c r="C4599" s="82" t="s">
        <v>11876</v>
      </c>
      <c r="D4599" s="82" t="s">
        <v>11877</v>
      </c>
      <c r="E4599" s="82">
        <v>6285748377961</v>
      </c>
      <c r="F4599" s="92">
        <v>45897</v>
      </c>
      <c r="G4599" s="87">
        <v>1437</v>
      </c>
      <c r="H4599" s="88">
        <v>9940.0544959128056</v>
      </c>
      <c r="I4599" s="89">
        <v>23</v>
      </c>
      <c r="J4599" s="90">
        <v>14592</v>
      </c>
      <c r="K4599" s="85">
        <v>2</v>
      </c>
      <c r="L4599" s="85">
        <v>438</v>
      </c>
      <c r="M4599" s="85">
        <v>0</v>
      </c>
      <c r="N4599" s="82" t="s">
        <v>11878</v>
      </c>
      <c r="O4599" s="93">
        <v>45898.442939814813</v>
      </c>
    </row>
    <row r="4600" spans="1:15" ht="22.5" customHeight="1">
      <c r="A4600" s="85">
        <v>174904221976312</v>
      </c>
      <c r="B4600" s="82" t="s">
        <v>10651</v>
      </c>
      <c r="C4600" s="82" t="s">
        <v>11879</v>
      </c>
      <c r="D4600" s="82" t="s">
        <v>11877</v>
      </c>
      <c r="E4600" s="82">
        <v>6285748377961</v>
      </c>
      <c r="F4600" s="92">
        <v>45897</v>
      </c>
      <c r="G4600" s="87">
        <v>785</v>
      </c>
      <c r="H4600" s="88">
        <v>19478.413068844809</v>
      </c>
      <c r="I4600" s="89">
        <v>27</v>
      </c>
      <c r="J4600" s="90">
        <v>16693</v>
      </c>
      <c r="K4600" s="85">
        <v>5</v>
      </c>
      <c r="L4600" s="85">
        <v>333</v>
      </c>
      <c r="M4600" s="85">
        <v>0</v>
      </c>
      <c r="N4600" s="82" t="s">
        <v>11878</v>
      </c>
      <c r="O4600" s="93">
        <v>45898.463796296295</v>
      </c>
    </row>
    <row r="4601" spans="1:15" ht="22.5" customHeight="1">
      <c r="A4601" s="85">
        <v>174904221976312</v>
      </c>
      <c r="B4601" s="82" t="s">
        <v>10651</v>
      </c>
      <c r="C4601" s="82" t="s">
        <v>11838</v>
      </c>
      <c r="D4601" s="82" t="s">
        <v>11839</v>
      </c>
      <c r="E4601" s="82">
        <v>6287797504113</v>
      </c>
      <c r="F4601" s="92">
        <v>45897</v>
      </c>
      <c r="G4601" s="87">
        <v>226</v>
      </c>
      <c r="H4601" s="88">
        <v>59153.846153846156</v>
      </c>
      <c r="I4601" s="89">
        <v>17</v>
      </c>
      <c r="J4601" s="90">
        <v>15380</v>
      </c>
      <c r="K4601" s="85">
        <v>1</v>
      </c>
      <c r="L4601" s="85">
        <v>20</v>
      </c>
      <c r="M4601" s="85">
        <v>1</v>
      </c>
      <c r="N4601" s="82" t="s">
        <v>12149</v>
      </c>
      <c r="O4601" s="93">
        <v>45898.44295138889</v>
      </c>
    </row>
    <row r="4602" spans="1:15" ht="22.5" customHeight="1">
      <c r="A4602" s="85">
        <v>174904221976312</v>
      </c>
      <c r="B4602" s="82" t="s">
        <v>10651</v>
      </c>
      <c r="C4602" s="82" t="s">
        <v>11792</v>
      </c>
      <c r="D4602" s="82" t="s">
        <v>11793</v>
      </c>
      <c r="E4602" s="82">
        <v>6281915041833</v>
      </c>
      <c r="F4602" s="92">
        <v>45897</v>
      </c>
      <c r="G4602" s="87">
        <v>685</v>
      </c>
      <c r="H4602" s="88">
        <v>14983.460559796438</v>
      </c>
      <c r="I4602" s="89">
        <v>30</v>
      </c>
      <c r="J4602" s="90">
        <v>11777</v>
      </c>
      <c r="K4602" s="85">
        <v>1</v>
      </c>
      <c r="L4602" s="85">
        <v>367</v>
      </c>
      <c r="M4602" s="85">
        <v>0</v>
      </c>
      <c r="N4602" s="82" t="s">
        <v>11794</v>
      </c>
      <c r="O4602" s="93">
        <v>45898.422997685186</v>
      </c>
    </row>
    <row r="4603" spans="1:15" ht="22.5" customHeight="1">
      <c r="A4603" s="85">
        <v>174904221976312</v>
      </c>
      <c r="B4603" s="82" t="s">
        <v>10651</v>
      </c>
      <c r="C4603" s="82" t="s">
        <v>11799</v>
      </c>
      <c r="D4603" s="82" t="s">
        <v>11800</v>
      </c>
      <c r="E4603" s="82">
        <v>6285333751528</v>
      </c>
      <c r="F4603" s="92">
        <v>45897</v>
      </c>
      <c r="G4603" s="87">
        <v>1330</v>
      </c>
      <c r="H4603" s="88">
        <v>10888.813559322034</v>
      </c>
      <c r="I4603" s="89">
        <v>43</v>
      </c>
      <c r="J4603" s="90">
        <v>16061</v>
      </c>
      <c r="K4603" s="85">
        <v>6</v>
      </c>
      <c r="L4603" s="85">
        <v>0</v>
      </c>
      <c r="M4603" s="85">
        <v>0</v>
      </c>
      <c r="N4603" s="82" t="s">
        <v>11801</v>
      </c>
      <c r="O4603" s="93">
        <v>45898.567881944444</v>
      </c>
    </row>
    <row r="4604" spans="1:15" ht="22.5" customHeight="1">
      <c r="A4604" s="85">
        <v>174904221976312</v>
      </c>
      <c r="B4604" s="82" t="s">
        <v>10651</v>
      </c>
      <c r="C4604" s="82" t="s">
        <v>11766</v>
      </c>
      <c r="D4604" s="82" t="s">
        <v>11767</v>
      </c>
      <c r="E4604" s="82">
        <v>6281225101319</v>
      </c>
      <c r="F4604" s="92">
        <v>45897</v>
      </c>
      <c r="G4604" s="87">
        <v>299</v>
      </c>
      <c r="H4604" s="88">
        <v>50636.923076923078</v>
      </c>
      <c r="I4604" s="89">
        <v>9</v>
      </c>
      <c r="J4604" s="90">
        <v>16457</v>
      </c>
      <c r="K4604" s="85">
        <v>2</v>
      </c>
      <c r="L4604" s="85">
        <v>0</v>
      </c>
      <c r="M4604" s="85">
        <v>0</v>
      </c>
      <c r="N4604" s="82" t="s">
        <v>12150</v>
      </c>
      <c r="O4604" s="93">
        <v>45898.468726851854</v>
      </c>
    </row>
    <row r="4605" spans="1:15" ht="22.5" customHeight="1">
      <c r="A4605" s="85">
        <v>174904221976312</v>
      </c>
      <c r="B4605" s="82" t="s">
        <v>10651</v>
      </c>
      <c r="C4605" s="82" t="s">
        <v>11780</v>
      </c>
      <c r="D4605" s="82" t="s">
        <v>11781</v>
      </c>
      <c r="E4605" s="82">
        <v>6282129364133</v>
      </c>
      <c r="F4605" s="92">
        <v>45897</v>
      </c>
      <c r="G4605" s="87">
        <v>380</v>
      </c>
      <c r="H4605" s="88">
        <v>29521.73913043478</v>
      </c>
      <c r="I4605" s="89">
        <v>7</v>
      </c>
      <c r="J4605" s="90">
        <v>13580</v>
      </c>
      <c r="K4605" s="85">
        <v>0</v>
      </c>
      <c r="L4605" s="85">
        <v>0</v>
      </c>
      <c r="M4605" s="85">
        <v>0</v>
      </c>
      <c r="N4605" s="82" t="s">
        <v>11782</v>
      </c>
      <c r="O4605" s="93">
        <v>45898.422650462962</v>
      </c>
    </row>
    <row r="4606" spans="1:15" ht="22.5" customHeight="1">
      <c r="A4606" s="85">
        <v>174904221976312</v>
      </c>
      <c r="B4606" s="82" t="s">
        <v>10651</v>
      </c>
      <c r="C4606" s="82" t="s">
        <v>11755</v>
      </c>
      <c r="D4606" s="82" t="s">
        <v>11756</v>
      </c>
      <c r="E4606" s="82">
        <v>6281357754513</v>
      </c>
      <c r="F4606" s="92">
        <v>45897</v>
      </c>
      <c r="G4606" s="87">
        <v>584</v>
      </c>
      <c r="H4606" s="88">
        <v>24140.243902439026</v>
      </c>
      <c r="I4606" s="89">
        <v>13</v>
      </c>
      <c r="J4606" s="90">
        <v>15836</v>
      </c>
      <c r="K4606" s="85">
        <v>0</v>
      </c>
      <c r="L4606" s="85">
        <v>231</v>
      </c>
      <c r="M4606" s="85">
        <v>0</v>
      </c>
      <c r="N4606" s="82" t="s">
        <v>12151</v>
      </c>
      <c r="O4606" s="93">
        <v>45898.443206018521</v>
      </c>
    </row>
    <row r="4607" spans="1:15" ht="22.5" customHeight="1">
      <c r="A4607" s="85">
        <v>174904221976312</v>
      </c>
      <c r="B4607" s="82" t="s">
        <v>10651</v>
      </c>
      <c r="C4607" s="82" t="s">
        <v>11758</v>
      </c>
      <c r="D4607" s="82" t="s">
        <v>11759</v>
      </c>
      <c r="E4607" s="82">
        <v>6285946504405</v>
      </c>
      <c r="F4607" s="92">
        <v>45897</v>
      </c>
      <c r="G4607" s="87">
        <v>402</v>
      </c>
      <c r="H4607" s="88">
        <v>36699.561403508771</v>
      </c>
      <c r="I4607" s="89">
        <v>10</v>
      </c>
      <c r="J4607" s="90">
        <v>16735</v>
      </c>
      <c r="K4607" s="85">
        <v>3</v>
      </c>
      <c r="L4607" s="85">
        <v>39</v>
      </c>
      <c r="M4607" s="85">
        <v>0</v>
      </c>
      <c r="N4607" s="82" t="s">
        <v>11760</v>
      </c>
      <c r="O4607" s="93">
        <v>45898.401979166665</v>
      </c>
    </row>
    <row r="4608" spans="1:15" ht="22.5" customHeight="1">
      <c r="A4608" s="85">
        <v>174904221976312</v>
      </c>
      <c r="B4608" s="82" t="s">
        <v>10651</v>
      </c>
      <c r="C4608" s="82" t="s">
        <v>11761</v>
      </c>
      <c r="D4608" s="82" t="s">
        <v>3438</v>
      </c>
      <c r="E4608" s="82">
        <v>628154336558</v>
      </c>
      <c r="F4608" s="92">
        <v>45897</v>
      </c>
      <c r="G4608" s="87">
        <v>2033</v>
      </c>
      <c r="H4608" s="88">
        <v>5913.6226901590026</v>
      </c>
      <c r="I4608" s="89">
        <v>22</v>
      </c>
      <c r="J4608" s="90">
        <v>13761</v>
      </c>
      <c r="K4608" s="85">
        <v>0</v>
      </c>
      <c r="L4608" s="85">
        <v>0</v>
      </c>
      <c r="M4608" s="85">
        <v>1</v>
      </c>
      <c r="N4608" s="82" t="s">
        <v>12152</v>
      </c>
      <c r="O4608" s="93">
        <v>45898.467824074076</v>
      </c>
    </row>
    <row r="4609" spans="1:15" ht="22.5" customHeight="1">
      <c r="A4609" s="85">
        <v>174904221976312</v>
      </c>
      <c r="B4609" s="82" t="s">
        <v>10651</v>
      </c>
      <c r="C4609" s="82" t="s">
        <v>11763</v>
      </c>
      <c r="D4609" s="82" t="s">
        <v>11764</v>
      </c>
      <c r="E4609" s="82">
        <v>6282384544939</v>
      </c>
      <c r="F4609" s="92">
        <v>45897</v>
      </c>
      <c r="G4609" s="87">
        <v>576</v>
      </c>
      <c r="H4609" s="88">
        <v>23680.180180180181</v>
      </c>
      <c r="I4609" s="89">
        <v>6</v>
      </c>
      <c r="J4609" s="90">
        <v>15771</v>
      </c>
      <c r="K4609" s="85">
        <v>1</v>
      </c>
      <c r="L4609" s="85">
        <v>0</v>
      </c>
      <c r="M4609" s="85">
        <v>0</v>
      </c>
      <c r="N4609" s="82" t="s">
        <v>12153</v>
      </c>
      <c r="O4609" s="93">
        <v>45898.380706018521</v>
      </c>
    </row>
    <row r="4610" spans="1:15" ht="22.5" customHeight="1">
      <c r="A4610" s="85">
        <v>174904221976312</v>
      </c>
      <c r="B4610" s="82" t="s">
        <v>10651</v>
      </c>
      <c r="C4610" s="82" t="s">
        <v>11578</v>
      </c>
      <c r="D4610" s="82" t="s">
        <v>1624</v>
      </c>
      <c r="E4610" s="82">
        <v>6281938384000</v>
      </c>
      <c r="F4610" s="92">
        <v>45897</v>
      </c>
      <c r="G4610" s="87">
        <v>1355</v>
      </c>
      <c r="H4610" s="88">
        <v>10539.89703989704</v>
      </c>
      <c r="I4610" s="89">
        <v>32</v>
      </c>
      <c r="J4610" s="90">
        <v>16379</v>
      </c>
      <c r="K4610" s="85">
        <v>1</v>
      </c>
      <c r="L4610" s="85">
        <v>0</v>
      </c>
      <c r="M4610" s="85">
        <v>0</v>
      </c>
      <c r="N4610" s="82" t="s">
        <v>12154</v>
      </c>
      <c r="O4610" s="93">
        <v>45898.73265046296</v>
      </c>
    </row>
    <row r="4611" spans="1:15" ht="22.5" customHeight="1">
      <c r="A4611" s="85">
        <v>174904221976312</v>
      </c>
      <c r="B4611" s="82" t="s">
        <v>10651</v>
      </c>
      <c r="C4611" s="82" t="s">
        <v>11580</v>
      </c>
      <c r="D4611" s="82" t="s">
        <v>11581</v>
      </c>
      <c r="E4611" s="82">
        <v>6287790276733</v>
      </c>
      <c r="F4611" s="92">
        <v>45897</v>
      </c>
      <c r="G4611" s="87">
        <v>676</v>
      </c>
      <c r="H4611" s="88">
        <v>19169.597989949751</v>
      </c>
      <c r="I4611" s="89">
        <v>11</v>
      </c>
      <c r="J4611" s="90">
        <v>15259</v>
      </c>
      <c r="K4611" s="85">
        <v>0</v>
      </c>
      <c r="L4611" s="85">
        <v>0</v>
      </c>
      <c r="M4611" s="85">
        <v>1</v>
      </c>
      <c r="N4611" s="82" t="s">
        <v>11582</v>
      </c>
      <c r="O4611" s="93">
        <v>45898.401620370372</v>
      </c>
    </row>
    <row r="4612" spans="1:15" ht="22.5" customHeight="1">
      <c r="A4612" s="85">
        <v>174904221976312</v>
      </c>
      <c r="B4612" s="82" t="s">
        <v>10651</v>
      </c>
      <c r="C4612" s="82" t="s">
        <v>11193</v>
      </c>
      <c r="D4612" s="82" t="s">
        <v>11194</v>
      </c>
      <c r="E4612" s="82">
        <v>6281779578317</v>
      </c>
      <c r="F4612" s="92">
        <v>45897</v>
      </c>
      <c r="G4612" s="87">
        <v>1090</v>
      </c>
      <c r="H4612" s="88">
        <v>12171.979865771811</v>
      </c>
      <c r="I4612" s="89">
        <v>28</v>
      </c>
      <c r="J4612" s="90">
        <v>14509</v>
      </c>
      <c r="K4612" s="85">
        <v>3</v>
      </c>
      <c r="L4612" s="85">
        <v>278</v>
      </c>
      <c r="M4612" s="85">
        <v>0</v>
      </c>
      <c r="N4612" s="82" t="s">
        <v>11195</v>
      </c>
      <c r="O4612" s="93">
        <v>45898.216354166667</v>
      </c>
    </row>
    <row r="4613" spans="1:15" ht="22.5" customHeight="1">
      <c r="A4613" s="85">
        <v>174904221976312</v>
      </c>
      <c r="B4613" s="82" t="s">
        <v>10651</v>
      </c>
      <c r="C4613" s="82" t="s">
        <v>11165</v>
      </c>
      <c r="D4613" s="82" t="s">
        <v>1759</v>
      </c>
      <c r="E4613" s="82">
        <v>6285311472244</v>
      </c>
      <c r="F4613" s="92">
        <v>45897</v>
      </c>
      <c r="G4613" s="87">
        <v>1254</v>
      </c>
      <c r="H4613" s="88">
        <v>9446.8838526912186</v>
      </c>
      <c r="I4613" s="89">
        <v>73</v>
      </c>
      <c r="J4613" s="90">
        <v>13339</v>
      </c>
      <c r="K4613" s="85">
        <v>2</v>
      </c>
      <c r="L4613" s="85">
        <v>679</v>
      </c>
      <c r="M4613" s="85">
        <v>0</v>
      </c>
      <c r="N4613" s="82" t="s">
        <v>11166</v>
      </c>
      <c r="O4613" s="93">
        <v>45898.506041666667</v>
      </c>
    </row>
    <row r="4614" spans="1:15" ht="22.5" customHeight="1">
      <c r="A4614" s="85">
        <v>174904221976312</v>
      </c>
      <c r="B4614" s="82" t="s">
        <v>10651</v>
      </c>
      <c r="C4614" s="82" t="s">
        <v>10853</v>
      </c>
      <c r="D4614" s="82" t="s">
        <v>10854</v>
      </c>
      <c r="E4614" s="82">
        <v>6281393958199</v>
      </c>
      <c r="F4614" s="92">
        <v>45897</v>
      </c>
      <c r="G4614" s="87">
        <v>706</v>
      </c>
      <c r="H4614" s="88">
        <v>18649.758454106279</v>
      </c>
      <c r="I4614" s="89">
        <v>17</v>
      </c>
      <c r="J4614" s="90">
        <v>15442</v>
      </c>
      <c r="K4614" s="85">
        <v>2</v>
      </c>
      <c r="L4614" s="85">
        <v>0</v>
      </c>
      <c r="M4614" s="85">
        <v>1</v>
      </c>
      <c r="N4614" s="82" t="s">
        <v>12155</v>
      </c>
      <c r="O4614" s="93">
        <v>45898.468298611115</v>
      </c>
    </row>
    <row r="4615" spans="1:15" ht="22.5" customHeight="1">
      <c r="A4615" s="85">
        <v>174904221976312</v>
      </c>
      <c r="B4615" s="82" t="s">
        <v>10651</v>
      </c>
      <c r="C4615" s="82" t="s">
        <v>10655</v>
      </c>
      <c r="D4615" s="82" t="s">
        <v>3908</v>
      </c>
      <c r="E4615" s="82">
        <v>6285376667233</v>
      </c>
      <c r="F4615" s="92">
        <v>45897</v>
      </c>
      <c r="G4615" s="87">
        <v>1078</v>
      </c>
      <c r="H4615" s="88">
        <v>14733.333333333332</v>
      </c>
      <c r="I4615" s="89">
        <v>12</v>
      </c>
      <c r="J4615" s="90">
        <v>16575</v>
      </c>
      <c r="K4615" s="85">
        <v>2</v>
      </c>
      <c r="L4615" s="85">
        <v>353</v>
      </c>
      <c r="M4615" s="85">
        <v>0</v>
      </c>
      <c r="N4615" s="82" t="s">
        <v>10656</v>
      </c>
      <c r="O4615" s="93">
        <v>45898.216365740744</v>
      </c>
    </row>
    <row r="4616" spans="1:15" ht="22.5" customHeight="1">
      <c r="A4616" s="85">
        <v>759724529202804</v>
      </c>
      <c r="B4616" s="82" t="s">
        <v>10621</v>
      </c>
      <c r="C4616" s="82" t="s">
        <v>12049</v>
      </c>
      <c r="D4616" s="82" t="s">
        <v>12050</v>
      </c>
      <c r="E4616" s="82">
        <v>6282267832085</v>
      </c>
      <c r="F4616" s="92">
        <v>45898</v>
      </c>
      <c r="G4616" s="87">
        <v>1759</v>
      </c>
      <c r="H4616" s="88">
        <v>7586.5828092243182</v>
      </c>
      <c r="I4616" s="89">
        <v>41</v>
      </c>
      <c r="J4616" s="90">
        <v>18094</v>
      </c>
      <c r="K4616" s="85">
        <v>3</v>
      </c>
      <c r="L4616" s="85">
        <v>503</v>
      </c>
      <c r="M4616" s="85">
        <v>0</v>
      </c>
      <c r="N4616" s="82" t="s">
        <v>12051</v>
      </c>
      <c r="O4616" s="93">
        <v>45899.214386574073</v>
      </c>
    </row>
    <row r="4617" spans="1:15" ht="22.5" customHeight="1">
      <c r="A4617" s="85">
        <v>759724529202804</v>
      </c>
      <c r="B4617" s="82" t="s">
        <v>10621</v>
      </c>
      <c r="C4617" s="82" t="s">
        <v>11055</v>
      </c>
      <c r="D4617" s="82" t="s">
        <v>1021</v>
      </c>
      <c r="E4617" s="82"/>
      <c r="F4617" s="92">
        <v>45898</v>
      </c>
      <c r="G4617" s="87">
        <v>1712</v>
      </c>
      <c r="H4617" s="88">
        <v>34820.538384845466</v>
      </c>
      <c r="I4617" s="89">
        <v>53</v>
      </c>
      <c r="J4617" s="90">
        <v>69850</v>
      </c>
      <c r="K4617" s="85">
        <v>7</v>
      </c>
      <c r="L4617" s="85">
        <v>588</v>
      </c>
      <c r="M4617" s="85">
        <v>1</v>
      </c>
      <c r="N4617" s="82" t="s">
        <v>11056</v>
      </c>
      <c r="O4617" s="93">
        <v>45899.372997685183</v>
      </c>
    </row>
    <row r="4618" spans="1:15" ht="22.5" customHeight="1">
      <c r="A4618" s="85">
        <v>174904221976312</v>
      </c>
      <c r="B4618" s="82" t="s">
        <v>10651</v>
      </c>
      <c r="C4618" s="82" t="s">
        <v>12156</v>
      </c>
      <c r="D4618" s="82" t="s">
        <v>4718</v>
      </c>
      <c r="E4618" s="82">
        <v>62811955059</v>
      </c>
      <c r="F4618" s="92">
        <v>45898</v>
      </c>
      <c r="G4618" s="87">
        <v>401</v>
      </c>
      <c r="H4618" s="88">
        <v>20453.681710213776</v>
      </c>
      <c r="I4618" s="89">
        <v>7</v>
      </c>
      <c r="J4618" s="90">
        <v>8611</v>
      </c>
      <c r="K4618" s="85">
        <v>1</v>
      </c>
      <c r="L4618" s="85">
        <v>20</v>
      </c>
      <c r="M4618" s="85">
        <v>0</v>
      </c>
      <c r="N4618" s="82" t="s">
        <v>12157</v>
      </c>
      <c r="O4618" s="93">
        <v>45899.547430555554</v>
      </c>
    </row>
    <row r="4619" spans="1:15" ht="22.5" customHeight="1">
      <c r="A4619" s="85">
        <v>174904221976312</v>
      </c>
      <c r="B4619" s="82" t="s">
        <v>10651</v>
      </c>
      <c r="C4619" s="82" t="s">
        <v>12158</v>
      </c>
      <c r="D4619" s="82" t="s">
        <v>12159</v>
      </c>
      <c r="E4619" s="82">
        <v>6281545971465</v>
      </c>
      <c r="F4619" s="92">
        <v>45898</v>
      </c>
      <c r="G4619" s="87">
        <v>400</v>
      </c>
      <c r="H4619" s="88">
        <v>22955.607476635512</v>
      </c>
      <c r="I4619" s="89">
        <v>5</v>
      </c>
      <c r="J4619" s="90">
        <v>9825</v>
      </c>
      <c r="K4619" s="85">
        <v>0</v>
      </c>
      <c r="L4619" s="85">
        <v>32</v>
      </c>
      <c r="M4619" s="85">
        <v>0</v>
      </c>
      <c r="N4619" s="82" t="s">
        <v>12160</v>
      </c>
      <c r="O4619" s="93">
        <v>45899.547673611109</v>
      </c>
    </row>
    <row r="4620" spans="1:15" ht="22.5" customHeight="1">
      <c r="A4620" s="85">
        <v>174904221976312</v>
      </c>
      <c r="B4620" s="82" t="s">
        <v>10651</v>
      </c>
      <c r="C4620" s="82" t="s">
        <v>12161</v>
      </c>
      <c r="D4620" s="82" t="s">
        <v>12162</v>
      </c>
      <c r="E4620" s="82">
        <v>6285338058843</v>
      </c>
      <c r="F4620" s="92">
        <v>45898</v>
      </c>
      <c r="G4620" s="87">
        <v>590</v>
      </c>
      <c r="H4620" s="88">
        <v>17532.608695652176</v>
      </c>
      <c r="I4620" s="89">
        <v>13</v>
      </c>
      <c r="J4620" s="90">
        <v>11291</v>
      </c>
      <c r="K4620" s="85">
        <v>0</v>
      </c>
      <c r="L4620" s="85">
        <v>36</v>
      </c>
      <c r="M4620" s="85">
        <v>0</v>
      </c>
      <c r="N4620" s="82" t="s">
        <v>12163</v>
      </c>
      <c r="O4620" s="93">
        <v>45899.526631944442</v>
      </c>
    </row>
    <row r="4621" spans="1:15" ht="22.5" customHeight="1">
      <c r="A4621" s="85">
        <v>174904221976312</v>
      </c>
      <c r="B4621" s="82" t="s">
        <v>10651</v>
      </c>
      <c r="C4621" s="82" t="s">
        <v>12164</v>
      </c>
      <c r="D4621" s="82" t="s">
        <v>12165</v>
      </c>
      <c r="E4621" s="82">
        <v>6285787104091</v>
      </c>
      <c r="F4621" s="92">
        <v>45898</v>
      </c>
      <c r="G4621" s="87">
        <v>741</v>
      </c>
      <c r="H4621" s="88">
        <v>15549.815498154981</v>
      </c>
      <c r="I4621" s="89">
        <v>22</v>
      </c>
      <c r="J4621" s="90">
        <v>12642</v>
      </c>
      <c r="K4621" s="85">
        <v>1</v>
      </c>
      <c r="L4621" s="85">
        <v>74</v>
      </c>
      <c r="M4621" s="85">
        <v>0</v>
      </c>
      <c r="N4621" s="82" t="s">
        <v>12166</v>
      </c>
      <c r="O4621" s="93">
        <v>45899.547418981485</v>
      </c>
    </row>
    <row r="4622" spans="1:15" ht="22.5" customHeight="1">
      <c r="A4622" s="85">
        <v>174904221976312</v>
      </c>
      <c r="B4622" s="82" t="s">
        <v>10651</v>
      </c>
      <c r="C4622" s="82" t="s">
        <v>12167</v>
      </c>
      <c r="D4622" s="82" t="s">
        <v>6402</v>
      </c>
      <c r="E4622" s="82">
        <v>6285361118289</v>
      </c>
      <c r="F4622" s="92">
        <v>45898</v>
      </c>
      <c r="G4622" s="87">
        <v>350</v>
      </c>
      <c r="H4622" s="88">
        <v>27244.389027431422</v>
      </c>
      <c r="I4622" s="89">
        <v>9</v>
      </c>
      <c r="J4622" s="90">
        <v>10925</v>
      </c>
      <c r="K4622" s="85">
        <v>3</v>
      </c>
      <c r="L4622" s="85">
        <v>20</v>
      </c>
      <c r="M4622" s="85">
        <v>0</v>
      </c>
      <c r="N4622" s="82" t="s">
        <v>12168</v>
      </c>
      <c r="O4622" s="93">
        <v>45899.505925925929</v>
      </c>
    </row>
    <row r="4623" spans="1:15" ht="22.5" customHeight="1">
      <c r="A4623" s="85">
        <v>174904221976312</v>
      </c>
      <c r="B4623" s="82" t="s">
        <v>10651</v>
      </c>
      <c r="C4623" s="82" t="s">
        <v>12169</v>
      </c>
      <c r="D4623" s="82" t="s">
        <v>4755</v>
      </c>
      <c r="E4623" s="82">
        <v>6281381118500</v>
      </c>
      <c r="F4623" s="92">
        <v>45898</v>
      </c>
      <c r="G4623" s="87">
        <v>426</v>
      </c>
      <c r="H4623" s="88">
        <v>28490.605427974948</v>
      </c>
      <c r="I4623" s="89">
        <v>5</v>
      </c>
      <c r="J4623" s="90">
        <v>13647</v>
      </c>
      <c r="K4623" s="85">
        <v>0</v>
      </c>
      <c r="L4623" s="85">
        <v>13</v>
      </c>
      <c r="M4623" s="85">
        <v>0</v>
      </c>
      <c r="N4623" s="82" t="s">
        <v>12170</v>
      </c>
      <c r="O4623" s="93">
        <v>45899.630358796298</v>
      </c>
    </row>
    <row r="4624" spans="1:15" ht="22.5" customHeight="1">
      <c r="A4624" s="85">
        <v>174904221976312</v>
      </c>
      <c r="B4624" s="82" t="s">
        <v>10651</v>
      </c>
      <c r="C4624" s="82" t="s">
        <v>12171</v>
      </c>
      <c r="D4624" s="82" t="s">
        <v>4386</v>
      </c>
      <c r="E4624" s="82">
        <v>62818533354</v>
      </c>
      <c r="F4624" s="92">
        <v>45898</v>
      </c>
      <c r="G4624" s="87">
        <v>522</v>
      </c>
      <c r="H4624" s="88">
        <v>20917.609046849757</v>
      </c>
      <c r="I4624" s="89">
        <v>12</v>
      </c>
      <c r="J4624" s="90">
        <v>12948</v>
      </c>
      <c r="K4624" s="85">
        <v>3</v>
      </c>
      <c r="L4624" s="85">
        <v>28</v>
      </c>
      <c r="M4624" s="85">
        <v>0</v>
      </c>
      <c r="N4624" s="82" t="s">
        <v>12172</v>
      </c>
      <c r="O4624" s="93">
        <v>45899.526631944442</v>
      </c>
    </row>
    <row r="4625" spans="1:15" ht="22.5" customHeight="1">
      <c r="A4625" s="85">
        <v>174904221976312</v>
      </c>
      <c r="B4625" s="82" t="s">
        <v>10651</v>
      </c>
      <c r="C4625" s="82" t="s">
        <v>12173</v>
      </c>
      <c r="D4625" s="82" t="s">
        <v>3489</v>
      </c>
      <c r="E4625" s="82">
        <v>6285214612372</v>
      </c>
      <c r="F4625" s="92">
        <v>45898</v>
      </c>
      <c r="G4625" s="87">
        <v>736</v>
      </c>
      <c r="H4625" s="88">
        <v>14686.965811965812</v>
      </c>
      <c r="I4625" s="89">
        <v>20</v>
      </c>
      <c r="J4625" s="90">
        <v>13747</v>
      </c>
      <c r="K4625" s="85">
        <v>0</v>
      </c>
      <c r="L4625" s="85">
        <v>12</v>
      </c>
      <c r="M4625" s="85">
        <v>0</v>
      </c>
      <c r="N4625" s="82" t="s">
        <v>12174</v>
      </c>
      <c r="O4625" s="93">
        <v>45899.505671296298</v>
      </c>
    </row>
    <row r="4626" spans="1:15" ht="22.5" customHeight="1">
      <c r="A4626" s="85">
        <v>174904221976312</v>
      </c>
      <c r="B4626" s="82" t="s">
        <v>10651</v>
      </c>
      <c r="C4626" s="82" t="s">
        <v>12125</v>
      </c>
      <c r="D4626" s="82" t="s">
        <v>4008</v>
      </c>
      <c r="E4626" s="82">
        <v>6281558225822</v>
      </c>
      <c r="F4626" s="92">
        <v>45898</v>
      </c>
      <c r="G4626" s="87">
        <v>87</v>
      </c>
      <c r="H4626" s="88">
        <v>145771.73913043478</v>
      </c>
      <c r="I4626" s="89">
        <v>2</v>
      </c>
      <c r="J4626" s="90">
        <v>13411</v>
      </c>
      <c r="K4626" s="85">
        <v>1</v>
      </c>
      <c r="L4626" s="85">
        <v>31</v>
      </c>
      <c r="M4626" s="85">
        <v>0</v>
      </c>
      <c r="N4626" s="82" t="s">
        <v>12126</v>
      </c>
      <c r="O4626" s="93">
        <v>45899.526388888888</v>
      </c>
    </row>
    <row r="4627" spans="1:15" ht="22.5" customHeight="1">
      <c r="A4627" s="85">
        <v>174904221976312</v>
      </c>
      <c r="B4627" s="82" t="s">
        <v>10651</v>
      </c>
      <c r="C4627" s="82" t="s">
        <v>12127</v>
      </c>
      <c r="D4627" s="82" t="s">
        <v>12128</v>
      </c>
      <c r="E4627" s="82">
        <v>6281226825253</v>
      </c>
      <c r="F4627" s="92">
        <v>45898</v>
      </c>
      <c r="G4627" s="87">
        <v>6408</v>
      </c>
      <c r="H4627" s="88">
        <v>1706.9446483629422</v>
      </c>
      <c r="I4627" s="89">
        <v>16</v>
      </c>
      <c r="J4627" s="90">
        <v>11626</v>
      </c>
      <c r="K4627" s="85">
        <v>0</v>
      </c>
      <c r="L4627" s="85">
        <v>346</v>
      </c>
      <c r="M4627" s="85">
        <v>0</v>
      </c>
      <c r="N4627" s="82" t="s">
        <v>12129</v>
      </c>
      <c r="O4627" s="93">
        <v>45899.734652777777</v>
      </c>
    </row>
    <row r="4628" spans="1:15" ht="22.5" customHeight="1">
      <c r="A4628" s="85">
        <v>174904221976312</v>
      </c>
      <c r="B4628" s="82" t="s">
        <v>10651</v>
      </c>
      <c r="C4628" s="82" t="s">
        <v>12130</v>
      </c>
      <c r="D4628" s="82" t="s">
        <v>12131</v>
      </c>
      <c r="E4628" s="82">
        <v>6281239004410</v>
      </c>
      <c r="F4628" s="92">
        <v>45898</v>
      </c>
      <c r="G4628" s="87">
        <v>366</v>
      </c>
      <c r="H4628" s="88">
        <v>36047.745358090186</v>
      </c>
      <c r="I4628" s="89">
        <v>13</v>
      </c>
      <c r="J4628" s="90">
        <v>13590</v>
      </c>
      <c r="K4628" s="85">
        <v>1</v>
      </c>
      <c r="L4628" s="85">
        <v>0</v>
      </c>
      <c r="M4628" s="85">
        <v>0</v>
      </c>
      <c r="N4628" s="82" t="s">
        <v>12132</v>
      </c>
      <c r="O4628" s="93">
        <v>45899.567870370367</v>
      </c>
    </row>
    <row r="4629" spans="1:15" ht="22.5" customHeight="1">
      <c r="A4629" s="85">
        <v>174904221976312</v>
      </c>
      <c r="B4629" s="82" t="s">
        <v>10651</v>
      </c>
      <c r="C4629" s="82" t="s">
        <v>12133</v>
      </c>
      <c r="D4629" s="82" t="s">
        <v>12134</v>
      </c>
      <c r="E4629" s="82">
        <v>6285194619788</v>
      </c>
      <c r="F4629" s="92">
        <v>45898</v>
      </c>
      <c r="G4629" s="87">
        <v>2270</v>
      </c>
      <c r="H4629" s="88">
        <v>5841.8502202643167</v>
      </c>
      <c r="I4629" s="89">
        <v>127</v>
      </c>
      <c r="J4629" s="90">
        <v>13261</v>
      </c>
      <c r="K4629" s="85">
        <v>1</v>
      </c>
      <c r="L4629" s="85">
        <v>1037</v>
      </c>
      <c r="M4629" s="85">
        <v>0</v>
      </c>
      <c r="N4629" s="82" t="s">
        <v>12135</v>
      </c>
      <c r="O4629" s="93">
        <v>45899.492280092592</v>
      </c>
    </row>
    <row r="4630" spans="1:15" ht="22.5" customHeight="1">
      <c r="A4630" s="85">
        <v>174904221976312</v>
      </c>
      <c r="B4630" s="82" t="s">
        <v>10651</v>
      </c>
      <c r="C4630" s="82" t="s">
        <v>12136</v>
      </c>
      <c r="D4630" s="82" t="s">
        <v>12137</v>
      </c>
      <c r="E4630" s="82">
        <v>6287863509004</v>
      </c>
      <c r="F4630" s="92">
        <v>45898</v>
      </c>
      <c r="G4630" s="87">
        <v>2012</v>
      </c>
      <c r="H4630" s="88">
        <v>5796.9991173874669</v>
      </c>
      <c r="I4630" s="89">
        <v>50</v>
      </c>
      <c r="J4630" s="90">
        <v>13136</v>
      </c>
      <c r="K4630" s="85">
        <v>1</v>
      </c>
      <c r="L4630" s="85">
        <v>310</v>
      </c>
      <c r="M4630" s="85">
        <v>0</v>
      </c>
      <c r="N4630" s="82" t="s">
        <v>12138</v>
      </c>
      <c r="O4630" s="93">
        <v>45899.492199074077</v>
      </c>
    </row>
    <row r="4631" spans="1:15" ht="22.5" customHeight="1">
      <c r="A4631" s="85">
        <v>174904221976312</v>
      </c>
      <c r="B4631" s="82" t="s">
        <v>10651</v>
      </c>
      <c r="C4631" s="82" t="s">
        <v>12139</v>
      </c>
      <c r="D4631" s="82" t="s">
        <v>4605</v>
      </c>
      <c r="E4631" s="82">
        <v>6281359605566</v>
      </c>
      <c r="F4631" s="92">
        <v>45898</v>
      </c>
      <c r="G4631" s="87">
        <v>1158</v>
      </c>
      <c r="H4631" s="88">
        <v>9865.7024793388427</v>
      </c>
      <c r="I4631" s="89">
        <v>22</v>
      </c>
      <c r="J4631" s="90">
        <v>14325</v>
      </c>
      <c r="K4631" s="85">
        <v>0</v>
      </c>
      <c r="L4631" s="85">
        <v>0</v>
      </c>
      <c r="M4631" s="85">
        <v>0</v>
      </c>
      <c r="N4631" s="82" t="s">
        <v>12140</v>
      </c>
      <c r="O4631" s="93">
        <v>45899.609884259262</v>
      </c>
    </row>
    <row r="4632" spans="1:15" ht="22.5" customHeight="1">
      <c r="A4632" s="85">
        <v>174904221976312</v>
      </c>
      <c r="B4632" s="82" t="s">
        <v>10651</v>
      </c>
      <c r="C4632" s="82" t="s">
        <v>12117</v>
      </c>
      <c r="D4632" s="82" t="s">
        <v>12118</v>
      </c>
      <c r="E4632" s="82">
        <v>628152343305</v>
      </c>
      <c r="F4632" s="92">
        <v>45898</v>
      </c>
      <c r="G4632" s="87">
        <v>285</v>
      </c>
      <c r="H4632" s="88">
        <v>40373.21937321937</v>
      </c>
      <c r="I4632" s="89">
        <v>16</v>
      </c>
      <c r="J4632" s="90">
        <v>14171</v>
      </c>
      <c r="K4632" s="85">
        <v>3</v>
      </c>
      <c r="L4632" s="85">
        <v>83</v>
      </c>
      <c r="M4632" s="85">
        <v>0</v>
      </c>
      <c r="N4632" s="82" t="s">
        <v>12119</v>
      </c>
      <c r="O4632" s="93">
        <v>45899.526377314818</v>
      </c>
    </row>
    <row r="4633" spans="1:15" ht="22.5" customHeight="1">
      <c r="A4633" s="85">
        <v>174904221976312</v>
      </c>
      <c r="B4633" s="82" t="s">
        <v>10651</v>
      </c>
      <c r="C4633" s="82" t="s">
        <v>12120</v>
      </c>
      <c r="D4633" s="82" t="s">
        <v>4619</v>
      </c>
      <c r="E4633" s="82">
        <v>6281328027701</v>
      </c>
      <c r="F4633" s="92">
        <v>45898</v>
      </c>
      <c r="G4633" s="87">
        <v>250</v>
      </c>
      <c r="H4633" s="88">
        <v>50932.624113475176</v>
      </c>
      <c r="I4633" s="89">
        <v>17</v>
      </c>
      <c r="J4633" s="90">
        <v>14363</v>
      </c>
      <c r="K4633" s="85">
        <v>2</v>
      </c>
      <c r="L4633" s="85">
        <v>146</v>
      </c>
      <c r="M4633" s="85">
        <v>1</v>
      </c>
      <c r="N4633" s="82" t="s">
        <v>12141</v>
      </c>
      <c r="O4633" s="93">
        <v>45899.40148148148</v>
      </c>
    </row>
    <row r="4634" spans="1:15" ht="22.5" customHeight="1">
      <c r="A4634" s="85">
        <v>174904221976312</v>
      </c>
      <c r="B4634" s="82" t="s">
        <v>10651</v>
      </c>
      <c r="C4634" s="82" t="s">
        <v>12122</v>
      </c>
      <c r="D4634" s="82" t="s">
        <v>12123</v>
      </c>
      <c r="E4634" s="82">
        <v>6285720705874</v>
      </c>
      <c r="F4634" s="92">
        <v>45898</v>
      </c>
      <c r="G4634" s="87">
        <v>665</v>
      </c>
      <c r="H4634" s="88">
        <v>16953.271028037383</v>
      </c>
      <c r="I4634" s="89">
        <v>38</v>
      </c>
      <c r="J4634" s="90">
        <v>14512</v>
      </c>
      <c r="K4634" s="85">
        <v>7</v>
      </c>
      <c r="L4634" s="85">
        <v>34</v>
      </c>
      <c r="M4634" s="85">
        <v>0</v>
      </c>
      <c r="N4634" s="82" t="s">
        <v>12124</v>
      </c>
      <c r="O4634" s="93">
        <v>45899.526388888888</v>
      </c>
    </row>
    <row r="4635" spans="1:15" ht="22.5" customHeight="1">
      <c r="A4635" s="85">
        <v>174904221976312</v>
      </c>
      <c r="B4635" s="82" t="s">
        <v>10651</v>
      </c>
      <c r="C4635" s="82" t="s">
        <v>12142</v>
      </c>
      <c r="D4635" s="82" t="s">
        <v>4600</v>
      </c>
      <c r="E4635" s="82">
        <v>6281231382365</v>
      </c>
      <c r="F4635" s="92">
        <v>45898</v>
      </c>
      <c r="G4635" s="87">
        <v>638</v>
      </c>
      <c r="H4635" s="88">
        <v>18247.524752475249</v>
      </c>
      <c r="I4635" s="89">
        <v>24</v>
      </c>
      <c r="J4635" s="90">
        <v>14744</v>
      </c>
      <c r="K4635" s="85">
        <v>0</v>
      </c>
      <c r="L4635" s="85">
        <v>32</v>
      </c>
      <c r="M4635" s="85">
        <v>0</v>
      </c>
      <c r="N4635" s="82" t="s">
        <v>12143</v>
      </c>
      <c r="O4635" s="93">
        <v>45899.464282407411</v>
      </c>
    </row>
    <row r="4636" spans="1:15" ht="22.5" customHeight="1">
      <c r="A4636" s="85">
        <v>174904221976312</v>
      </c>
      <c r="B4636" s="82" t="s">
        <v>10651</v>
      </c>
      <c r="C4636" s="82" t="s">
        <v>12100</v>
      </c>
      <c r="D4636" s="82" t="s">
        <v>6091</v>
      </c>
      <c r="E4636" s="82">
        <v>6281938384000</v>
      </c>
      <c r="F4636" s="92">
        <v>45898</v>
      </c>
      <c r="G4636" s="87">
        <v>512</v>
      </c>
      <c r="H4636" s="88">
        <v>23007.421150278293</v>
      </c>
      <c r="I4636" s="89">
        <v>11</v>
      </c>
      <c r="J4636" s="90">
        <v>12401</v>
      </c>
      <c r="K4636" s="85">
        <v>1</v>
      </c>
      <c r="L4636" s="85">
        <v>246</v>
      </c>
      <c r="M4636" s="85">
        <v>0</v>
      </c>
      <c r="N4636" s="82" t="s">
        <v>12101</v>
      </c>
      <c r="O4636" s="93">
        <v>45899.422233796293</v>
      </c>
    </row>
    <row r="4637" spans="1:15" ht="22.5" customHeight="1">
      <c r="A4637" s="85">
        <v>174904221976312</v>
      </c>
      <c r="B4637" s="82" t="s">
        <v>10651</v>
      </c>
      <c r="C4637" s="82" t="s">
        <v>12102</v>
      </c>
      <c r="D4637" s="82" t="s">
        <v>12103</v>
      </c>
      <c r="E4637" s="82">
        <v>628122577723</v>
      </c>
      <c r="F4637" s="92">
        <v>45898</v>
      </c>
      <c r="G4637" s="87">
        <v>573</v>
      </c>
      <c r="H4637" s="88">
        <v>18665.629860031102</v>
      </c>
      <c r="I4637" s="89">
        <v>16</v>
      </c>
      <c r="J4637" s="90">
        <v>12002</v>
      </c>
      <c r="K4637" s="85">
        <v>1</v>
      </c>
      <c r="L4637" s="85">
        <v>215</v>
      </c>
      <c r="M4637" s="85">
        <v>0</v>
      </c>
      <c r="N4637" s="82" t="s">
        <v>12144</v>
      </c>
      <c r="O4637" s="93">
        <v>45899.46429398148</v>
      </c>
    </row>
    <row r="4638" spans="1:15" ht="22.5" customHeight="1">
      <c r="A4638" s="85">
        <v>174904221976312</v>
      </c>
      <c r="B4638" s="82" t="s">
        <v>10651</v>
      </c>
      <c r="C4638" s="82" t="s">
        <v>12105</v>
      </c>
      <c r="D4638" s="82" t="s">
        <v>4582</v>
      </c>
      <c r="E4638" s="82">
        <v>6287836691500</v>
      </c>
      <c r="F4638" s="92">
        <v>45898</v>
      </c>
      <c r="G4638" s="87">
        <v>552</v>
      </c>
      <c r="H4638" s="88">
        <v>25442.906574394463</v>
      </c>
      <c r="I4638" s="89">
        <v>10</v>
      </c>
      <c r="J4638" s="90">
        <v>14706</v>
      </c>
      <c r="K4638" s="85">
        <v>0</v>
      </c>
      <c r="L4638" s="85">
        <v>227</v>
      </c>
      <c r="M4638" s="85">
        <v>0</v>
      </c>
      <c r="N4638" s="82" t="s">
        <v>12145</v>
      </c>
      <c r="O4638" s="93">
        <v>45899.485277777778</v>
      </c>
    </row>
    <row r="4639" spans="1:15" ht="22.5" customHeight="1">
      <c r="A4639" s="85">
        <v>174904221976312</v>
      </c>
      <c r="B4639" s="82" t="s">
        <v>10651</v>
      </c>
      <c r="C4639" s="82" t="s">
        <v>12107</v>
      </c>
      <c r="D4639" s="82" t="s">
        <v>3465</v>
      </c>
      <c r="E4639" s="82">
        <v>6285920572002</v>
      </c>
      <c r="F4639" s="92">
        <v>45898</v>
      </c>
      <c r="G4639" s="87">
        <v>391</v>
      </c>
      <c r="H4639" s="88">
        <v>33873.333333333336</v>
      </c>
      <c r="I4639" s="89">
        <v>12</v>
      </c>
      <c r="J4639" s="90">
        <v>15243</v>
      </c>
      <c r="K4639" s="85">
        <v>3</v>
      </c>
      <c r="L4639" s="85">
        <v>152</v>
      </c>
      <c r="M4639" s="85">
        <v>0</v>
      </c>
      <c r="N4639" s="82" t="s">
        <v>12108</v>
      </c>
      <c r="O4639" s="93">
        <v>45899.443715277775</v>
      </c>
    </row>
    <row r="4640" spans="1:15" ht="22.5" customHeight="1">
      <c r="A4640" s="85">
        <v>174904221976312</v>
      </c>
      <c r="B4640" s="82" t="s">
        <v>10651</v>
      </c>
      <c r="C4640" s="82" t="s">
        <v>12109</v>
      </c>
      <c r="D4640" s="82" t="s">
        <v>12110</v>
      </c>
      <c r="E4640" s="82">
        <v>6287777304498</v>
      </c>
      <c r="F4640" s="92">
        <v>45898</v>
      </c>
      <c r="G4640" s="87">
        <v>195</v>
      </c>
      <c r="H4640" s="88">
        <v>71140.845070422525</v>
      </c>
      <c r="I4640" s="89">
        <v>9</v>
      </c>
      <c r="J4640" s="90">
        <v>15153</v>
      </c>
      <c r="K4640" s="85">
        <v>1</v>
      </c>
      <c r="L4640" s="85">
        <v>116</v>
      </c>
      <c r="M4640" s="85">
        <v>0</v>
      </c>
      <c r="N4640" s="82" t="s">
        <v>12146</v>
      </c>
      <c r="O4640" s="93">
        <v>45899.485289351855</v>
      </c>
    </row>
    <row r="4641" spans="1:15" ht="22.5" customHeight="1">
      <c r="A4641" s="85">
        <v>174904221976312</v>
      </c>
      <c r="B4641" s="82" t="s">
        <v>10651</v>
      </c>
      <c r="C4641" s="82" t="s">
        <v>12112</v>
      </c>
      <c r="D4641" s="82" t="s">
        <v>12113</v>
      </c>
      <c r="E4641" s="82">
        <v>6285642368174</v>
      </c>
      <c r="F4641" s="92">
        <v>45898</v>
      </c>
      <c r="G4641" s="87">
        <v>1124</v>
      </c>
      <c r="H4641" s="88">
        <v>10579.23076923077</v>
      </c>
      <c r="I4641" s="89">
        <v>33</v>
      </c>
      <c r="J4641" s="90">
        <v>13753</v>
      </c>
      <c r="K4641" s="85">
        <v>3</v>
      </c>
      <c r="L4641" s="85">
        <v>49</v>
      </c>
      <c r="M4641" s="85">
        <v>0</v>
      </c>
      <c r="N4641" s="82" t="s">
        <v>12114</v>
      </c>
      <c r="O4641" s="93">
        <v>45899.443726851852</v>
      </c>
    </row>
    <row r="4642" spans="1:15" ht="22.5" customHeight="1">
      <c r="A4642" s="85">
        <v>174904221976312</v>
      </c>
      <c r="B4642" s="82" t="s">
        <v>10651</v>
      </c>
      <c r="C4642" s="82" t="s">
        <v>12115</v>
      </c>
      <c r="D4642" s="82" t="s">
        <v>4295</v>
      </c>
      <c r="E4642" s="82">
        <v>6281513169730</v>
      </c>
      <c r="F4642" s="92">
        <v>45898</v>
      </c>
      <c r="G4642" s="87">
        <v>189</v>
      </c>
      <c r="H4642" s="88">
        <v>66995.14563106795</v>
      </c>
      <c r="I4642" s="89">
        <v>9</v>
      </c>
      <c r="J4642" s="90">
        <v>13801</v>
      </c>
      <c r="K4642" s="85">
        <v>0</v>
      </c>
      <c r="L4642" s="85">
        <v>95</v>
      </c>
      <c r="M4642" s="85">
        <v>0</v>
      </c>
      <c r="N4642" s="82" t="s">
        <v>12147</v>
      </c>
      <c r="O4642" s="93">
        <v>45899.401469907411</v>
      </c>
    </row>
    <row r="4643" spans="1:15" ht="22.5" customHeight="1">
      <c r="A4643" s="85">
        <v>174904221976312</v>
      </c>
      <c r="B4643" s="82" t="s">
        <v>10651</v>
      </c>
      <c r="C4643" s="82" t="s">
        <v>12052</v>
      </c>
      <c r="D4643" s="82" t="s">
        <v>4366</v>
      </c>
      <c r="E4643" s="82">
        <v>6287842913251</v>
      </c>
      <c r="F4643" s="92">
        <v>45898</v>
      </c>
      <c r="G4643" s="87">
        <v>261</v>
      </c>
      <c r="H4643" s="88">
        <v>50444.444444444445</v>
      </c>
      <c r="I4643" s="89">
        <v>10</v>
      </c>
      <c r="J4643" s="90">
        <v>14528</v>
      </c>
      <c r="K4643" s="85">
        <v>0</v>
      </c>
      <c r="L4643" s="85">
        <v>119</v>
      </c>
      <c r="M4643" s="85">
        <v>0</v>
      </c>
      <c r="N4643" s="82" t="s">
        <v>12148</v>
      </c>
      <c r="O4643" s="93">
        <v>45899.505659722221</v>
      </c>
    </row>
    <row r="4644" spans="1:15" ht="22.5" customHeight="1">
      <c r="A4644" s="85">
        <v>174904221976312</v>
      </c>
      <c r="B4644" s="82" t="s">
        <v>10651</v>
      </c>
      <c r="C4644" s="82" t="s">
        <v>12054</v>
      </c>
      <c r="D4644" s="82" t="s">
        <v>4485</v>
      </c>
      <c r="E4644" s="82">
        <v>6285169730762</v>
      </c>
      <c r="F4644" s="92">
        <v>45898</v>
      </c>
      <c r="G4644" s="87">
        <v>1863</v>
      </c>
      <c r="H4644" s="88">
        <v>7238.4507699486703</v>
      </c>
      <c r="I4644" s="89">
        <v>122</v>
      </c>
      <c r="J4644" s="90">
        <v>15512</v>
      </c>
      <c r="K4644" s="85">
        <v>17</v>
      </c>
      <c r="L4644" s="85">
        <v>0</v>
      </c>
      <c r="M4644" s="85">
        <v>1</v>
      </c>
      <c r="N4644" s="82" t="s">
        <v>12055</v>
      </c>
      <c r="O4644" s="93">
        <v>45899.218356481484</v>
      </c>
    </row>
    <row r="4645" spans="1:15" ht="22.5" customHeight="1">
      <c r="A4645" s="85">
        <v>174904221976312</v>
      </c>
      <c r="B4645" s="82" t="s">
        <v>10651</v>
      </c>
      <c r="C4645" s="82" t="s">
        <v>12056</v>
      </c>
      <c r="D4645" s="82" t="s">
        <v>4549</v>
      </c>
      <c r="E4645" s="82">
        <v>6282171085542</v>
      </c>
      <c r="F4645" s="92">
        <v>45898</v>
      </c>
      <c r="G4645" s="87">
        <v>1077</v>
      </c>
      <c r="H4645" s="88">
        <v>11529.262086513994</v>
      </c>
      <c r="I4645" s="89">
        <v>25</v>
      </c>
      <c r="J4645" s="90">
        <v>13593</v>
      </c>
      <c r="K4645" s="85">
        <v>3</v>
      </c>
      <c r="L4645" s="85">
        <v>353</v>
      </c>
      <c r="M4645" s="85">
        <v>0</v>
      </c>
      <c r="N4645" s="82" t="s">
        <v>12057</v>
      </c>
      <c r="O4645" s="93">
        <v>45899.218344907407</v>
      </c>
    </row>
    <row r="4646" spans="1:15" ht="22.5" customHeight="1">
      <c r="A4646" s="85">
        <v>174904221976312</v>
      </c>
      <c r="B4646" s="82" t="s">
        <v>10651</v>
      </c>
      <c r="C4646" s="82" t="s">
        <v>12058</v>
      </c>
      <c r="D4646" s="82" t="s">
        <v>4516</v>
      </c>
      <c r="E4646" s="82">
        <v>6281315163838</v>
      </c>
      <c r="F4646" s="92">
        <v>45898</v>
      </c>
      <c r="G4646" s="87">
        <v>354</v>
      </c>
      <c r="H4646" s="88">
        <v>39400.497512437811</v>
      </c>
      <c r="I4646" s="89">
        <v>14</v>
      </c>
      <c r="J4646" s="90">
        <v>15839</v>
      </c>
      <c r="K4646" s="85">
        <v>2</v>
      </c>
      <c r="L4646" s="85">
        <v>176</v>
      </c>
      <c r="M4646" s="85">
        <v>0</v>
      </c>
      <c r="N4646" s="82" t="s">
        <v>12059</v>
      </c>
      <c r="O4646" s="93">
        <v>45899.443310185183</v>
      </c>
    </row>
    <row r="4647" spans="1:15" ht="22.5" customHeight="1">
      <c r="A4647" s="85">
        <v>174904221976312</v>
      </c>
      <c r="B4647" s="82" t="s">
        <v>10651</v>
      </c>
      <c r="C4647" s="82" t="s">
        <v>12060</v>
      </c>
      <c r="D4647" s="82" t="s">
        <v>12061</v>
      </c>
      <c r="E4647" s="82">
        <v>628112656686</v>
      </c>
      <c r="F4647" s="92">
        <v>45898</v>
      </c>
      <c r="G4647" s="87">
        <v>233</v>
      </c>
      <c r="H4647" s="88">
        <v>58788.23529411765</v>
      </c>
      <c r="I4647" s="89">
        <v>6</v>
      </c>
      <c r="J4647" s="90">
        <v>14991</v>
      </c>
      <c r="K4647" s="85">
        <v>1</v>
      </c>
      <c r="L4647" s="85">
        <v>89</v>
      </c>
      <c r="M4647" s="85">
        <v>1</v>
      </c>
      <c r="N4647" s="82" t="s">
        <v>12062</v>
      </c>
      <c r="O4647" s="93">
        <v>45899.218344907407</v>
      </c>
    </row>
    <row r="4648" spans="1:15" ht="22.5" customHeight="1">
      <c r="A4648" s="85">
        <v>174904221976312</v>
      </c>
      <c r="B4648" s="82" t="s">
        <v>10651</v>
      </c>
      <c r="C4648" s="82" t="s">
        <v>12063</v>
      </c>
      <c r="D4648" s="82" t="s">
        <v>12064</v>
      </c>
      <c r="E4648" s="82">
        <v>6285741888828</v>
      </c>
      <c r="F4648" s="92">
        <v>45898</v>
      </c>
      <c r="G4648" s="87">
        <v>333</v>
      </c>
      <c r="H4648" s="88">
        <v>37671.309192200562</v>
      </c>
      <c r="I4648" s="89">
        <v>6</v>
      </c>
      <c r="J4648" s="90">
        <v>13524</v>
      </c>
      <c r="K4648" s="85">
        <v>1</v>
      </c>
      <c r="L4648" s="85">
        <v>0</v>
      </c>
      <c r="M4648" s="85">
        <v>0</v>
      </c>
      <c r="N4648" s="82" t="s">
        <v>12065</v>
      </c>
      <c r="O4648" s="93">
        <v>45899.218344907407</v>
      </c>
    </row>
    <row r="4649" spans="1:15" ht="22.5" customHeight="1">
      <c r="A4649" s="85">
        <v>174904221976312</v>
      </c>
      <c r="B4649" s="82" t="s">
        <v>10651</v>
      </c>
      <c r="C4649" s="82" t="s">
        <v>12039</v>
      </c>
      <c r="D4649" s="82" t="s">
        <v>12040</v>
      </c>
      <c r="E4649" s="82">
        <v>6281330410391</v>
      </c>
      <c r="F4649" s="92">
        <v>45898</v>
      </c>
      <c r="G4649" s="87">
        <v>701</v>
      </c>
      <c r="H4649" s="88">
        <v>17279.805352798052</v>
      </c>
      <c r="I4649" s="89">
        <v>52</v>
      </c>
      <c r="J4649" s="90">
        <v>14204</v>
      </c>
      <c r="K4649" s="85">
        <v>4</v>
      </c>
      <c r="L4649" s="85">
        <v>238</v>
      </c>
      <c r="M4649" s="85">
        <v>3</v>
      </c>
      <c r="N4649" s="82" t="s">
        <v>12041</v>
      </c>
      <c r="O4649" s="93">
        <v>45899.218333333331</v>
      </c>
    </row>
    <row r="4650" spans="1:15" ht="22.5" customHeight="1">
      <c r="A4650" s="85">
        <v>174904221976312</v>
      </c>
      <c r="B4650" s="82" t="s">
        <v>10651</v>
      </c>
      <c r="C4650" s="82" t="s">
        <v>12042</v>
      </c>
      <c r="D4650" s="91" t="s">
        <v>4468</v>
      </c>
      <c r="E4650" s="82">
        <v>6285710239729</v>
      </c>
      <c r="F4650" s="92">
        <v>45898</v>
      </c>
      <c r="G4650" s="87">
        <v>140</v>
      </c>
      <c r="H4650" s="88">
        <v>147156.46258503399</v>
      </c>
      <c r="I4650" s="89">
        <v>2</v>
      </c>
      <c r="J4650" s="90">
        <v>21632</v>
      </c>
      <c r="K4650" s="85">
        <v>2</v>
      </c>
      <c r="L4650" s="85">
        <v>0</v>
      </c>
      <c r="M4650" s="85">
        <v>0</v>
      </c>
      <c r="N4650" s="82" t="s">
        <v>12043</v>
      </c>
      <c r="O4650" s="93">
        <v>45899.218333333331</v>
      </c>
    </row>
    <row r="4651" spans="1:15" ht="22.5" customHeight="1">
      <c r="A4651" s="85">
        <v>174904221976312</v>
      </c>
      <c r="B4651" s="82" t="s">
        <v>10651</v>
      </c>
      <c r="C4651" s="82" t="s">
        <v>12013</v>
      </c>
      <c r="D4651" s="82" t="s">
        <v>12014</v>
      </c>
      <c r="E4651" s="82">
        <v>6282154318629</v>
      </c>
      <c r="F4651" s="92">
        <v>45898</v>
      </c>
      <c r="G4651" s="87">
        <v>584</v>
      </c>
      <c r="H4651" s="88">
        <v>22463.607594936708</v>
      </c>
      <c r="I4651" s="89">
        <v>15</v>
      </c>
      <c r="J4651" s="90">
        <v>14197</v>
      </c>
      <c r="K4651" s="85">
        <v>5</v>
      </c>
      <c r="L4651" s="85">
        <v>238</v>
      </c>
      <c r="M4651" s="85">
        <v>0</v>
      </c>
      <c r="N4651" s="82" t="s">
        <v>12015</v>
      </c>
      <c r="O4651" s="93">
        <v>45899.318333333336</v>
      </c>
    </row>
    <row r="4652" spans="1:15" ht="22.5" customHeight="1">
      <c r="A4652" s="85">
        <v>174904221976312</v>
      </c>
      <c r="B4652" s="82" t="s">
        <v>10651</v>
      </c>
      <c r="C4652" s="82" t="s">
        <v>12016</v>
      </c>
      <c r="D4652" s="82" t="s">
        <v>12017</v>
      </c>
      <c r="E4652" s="82">
        <v>6281210801646</v>
      </c>
      <c r="F4652" s="92">
        <v>45898</v>
      </c>
      <c r="G4652" s="87">
        <v>435</v>
      </c>
      <c r="H4652" s="88">
        <v>32352.320675105489</v>
      </c>
      <c r="I4652" s="89">
        <v>15</v>
      </c>
      <c r="J4652" s="90">
        <v>15335</v>
      </c>
      <c r="K4652" s="85">
        <v>5</v>
      </c>
      <c r="L4652" s="85">
        <v>165</v>
      </c>
      <c r="M4652" s="85">
        <v>0</v>
      </c>
      <c r="N4652" s="82" t="s">
        <v>12018</v>
      </c>
      <c r="O4652" s="93">
        <v>45899.42255787037</v>
      </c>
    </row>
    <row r="4653" spans="1:15" ht="22.5" customHeight="1">
      <c r="A4653" s="85">
        <v>174904221976312</v>
      </c>
      <c r="B4653" s="82" t="s">
        <v>10651</v>
      </c>
      <c r="C4653" s="82" t="s">
        <v>12022</v>
      </c>
      <c r="D4653" s="82" t="s">
        <v>11483</v>
      </c>
      <c r="E4653" s="82">
        <v>6285255115894</v>
      </c>
      <c r="F4653" s="92">
        <v>45898</v>
      </c>
      <c r="G4653" s="87">
        <v>2232</v>
      </c>
      <c r="H4653" s="88">
        <v>6019.1212367778689</v>
      </c>
      <c r="I4653" s="89">
        <v>59</v>
      </c>
      <c r="J4653" s="90">
        <v>14795</v>
      </c>
      <c r="K4653" s="85">
        <v>3</v>
      </c>
      <c r="L4653" s="85">
        <v>713</v>
      </c>
      <c r="M4653" s="85">
        <v>1</v>
      </c>
      <c r="N4653" s="82" t="s">
        <v>12023</v>
      </c>
      <c r="O4653" s="93">
        <v>45899.589201388888</v>
      </c>
    </row>
    <row r="4654" spans="1:15" ht="22.5" customHeight="1">
      <c r="A4654" s="85">
        <v>174904221976312</v>
      </c>
      <c r="B4654" s="82" t="s">
        <v>10651</v>
      </c>
      <c r="C4654" s="82" t="s">
        <v>12005</v>
      </c>
      <c r="D4654" s="82" t="s">
        <v>3092</v>
      </c>
      <c r="E4654" s="82">
        <v>6287740636181</v>
      </c>
      <c r="F4654" s="92">
        <v>45898</v>
      </c>
      <c r="G4654" s="87">
        <v>928</v>
      </c>
      <c r="H4654" s="88">
        <v>13548.507462686568</v>
      </c>
      <c r="I4654" s="89">
        <v>40</v>
      </c>
      <c r="J4654" s="90">
        <v>14524</v>
      </c>
      <c r="K4654" s="85">
        <v>4</v>
      </c>
      <c r="L4654" s="85">
        <v>489</v>
      </c>
      <c r="M4654" s="85">
        <v>1</v>
      </c>
      <c r="N4654" s="82" t="s">
        <v>12006</v>
      </c>
      <c r="O4654" s="93">
        <v>45899.380879629629</v>
      </c>
    </row>
    <row r="4655" spans="1:15" ht="22.5" customHeight="1">
      <c r="A4655" s="85">
        <v>174904221976312</v>
      </c>
      <c r="B4655" s="82" t="s">
        <v>10651</v>
      </c>
      <c r="C4655" s="82" t="s">
        <v>12007</v>
      </c>
      <c r="D4655" s="82" t="s">
        <v>9010</v>
      </c>
      <c r="E4655" s="82">
        <v>6282160743576</v>
      </c>
      <c r="F4655" s="92">
        <v>45898</v>
      </c>
      <c r="G4655" s="87">
        <v>969</v>
      </c>
      <c r="H4655" s="88">
        <v>14439.895470383275</v>
      </c>
      <c r="I4655" s="89">
        <v>75</v>
      </c>
      <c r="J4655" s="90">
        <v>16577</v>
      </c>
      <c r="K4655" s="85">
        <v>10</v>
      </c>
      <c r="L4655" s="85">
        <v>594</v>
      </c>
      <c r="M4655" s="85">
        <v>2</v>
      </c>
      <c r="N4655" s="82" t="s">
        <v>12008</v>
      </c>
      <c r="O4655" s="93">
        <v>45899.485289351855</v>
      </c>
    </row>
    <row r="4656" spans="1:15" ht="22.5" customHeight="1">
      <c r="A4656" s="85">
        <v>174904221976312</v>
      </c>
      <c r="B4656" s="82" t="s">
        <v>10651</v>
      </c>
      <c r="C4656" s="82" t="s">
        <v>12009</v>
      </c>
      <c r="D4656" s="82" t="s">
        <v>11886</v>
      </c>
      <c r="E4656" s="82">
        <v>628179780980</v>
      </c>
      <c r="F4656" s="92">
        <v>45898</v>
      </c>
      <c r="G4656" s="87">
        <v>207</v>
      </c>
      <c r="H4656" s="88">
        <v>56520.179372197315</v>
      </c>
      <c r="I4656" s="89">
        <v>13</v>
      </c>
      <c r="J4656" s="90">
        <v>12604</v>
      </c>
      <c r="K4656" s="85">
        <v>1</v>
      </c>
      <c r="L4656" s="85">
        <v>72</v>
      </c>
      <c r="M4656" s="85">
        <v>1</v>
      </c>
      <c r="N4656" s="82" t="s">
        <v>12010</v>
      </c>
      <c r="O4656" s="93">
        <v>45899.339409722219</v>
      </c>
    </row>
    <row r="4657" spans="1:15" ht="22.5" customHeight="1">
      <c r="A4657" s="85">
        <v>174904221976312</v>
      </c>
      <c r="B4657" s="82" t="s">
        <v>10651</v>
      </c>
      <c r="C4657" s="82" t="s">
        <v>11905</v>
      </c>
      <c r="D4657" s="82" t="s">
        <v>11906</v>
      </c>
      <c r="E4657" s="82">
        <v>6285294617773</v>
      </c>
      <c r="F4657" s="92">
        <v>45898</v>
      </c>
      <c r="G4657" s="87">
        <v>324</v>
      </c>
      <c r="H4657" s="88">
        <v>35967.391304347831</v>
      </c>
      <c r="I4657" s="89">
        <v>23</v>
      </c>
      <c r="J4657" s="90">
        <v>13236</v>
      </c>
      <c r="K4657" s="85">
        <v>3</v>
      </c>
      <c r="L4657" s="85">
        <v>118</v>
      </c>
      <c r="M4657" s="85">
        <v>0</v>
      </c>
      <c r="N4657" s="82" t="s">
        <v>11907</v>
      </c>
      <c r="O4657" s="93">
        <v>45899.42255787037</v>
      </c>
    </row>
    <row r="4658" spans="1:15" ht="22.5" customHeight="1">
      <c r="A4658" s="85">
        <v>174904221976312</v>
      </c>
      <c r="B4658" s="82" t="s">
        <v>10651</v>
      </c>
      <c r="C4658" s="82" t="s">
        <v>11896</v>
      </c>
      <c r="D4658" s="82" t="s">
        <v>11897</v>
      </c>
      <c r="E4658" s="82">
        <v>6282153090123</v>
      </c>
      <c r="F4658" s="92">
        <v>45898</v>
      </c>
      <c r="G4658" s="87">
        <v>484</v>
      </c>
      <c r="H4658" s="88">
        <v>29968.342644320299</v>
      </c>
      <c r="I4658" s="89">
        <v>31</v>
      </c>
      <c r="J4658" s="90">
        <v>16093</v>
      </c>
      <c r="K4658" s="85">
        <v>5</v>
      </c>
      <c r="L4658" s="85">
        <v>231</v>
      </c>
      <c r="M4658" s="85">
        <v>1</v>
      </c>
      <c r="N4658" s="82" t="s">
        <v>11898</v>
      </c>
      <c r="O4658" s="93">
        <v>45899.42255787037</v>
      </c>
    </row>
    <row r="4659" spans="1:15" ht="22.5" customHeight="1">
      <c r="A4659" s="85">
        <v>174904221976312</v>
      </c>
      <c r="B4659" s="82" t="s">
        <v>10651</v>
      </c>
      <c r="C4659" s="82" t="s">
        <v>11865</v>
      </c>
      <c r="D4659" s="82" t="s">
        <v>11403</v>
      </c>
      <c r="E4659" s="82">
        <v>6283870060603</v>
      </c>
      <c r="F4659" s="92">
        <v>45898</v>
      </c>
      <c r="G4659" s="87">
        <v>408</v>
      </c>
      <c r="H4659" s="88">
        <v>36518.433179723499</v>
      </c>
      <c r="I4659" s="89">
        <v>24</v>
      </c>
      <c r="J4659" s="90">
        <v>15849</v>
      </c>
      <c r="K4659" s="85">
        <v>0</v>
      </c>
      <c r="L4659" s="85">
        <v>155</v>
      </c>
      <c r="M4659" s="85">
        <v>0</v>
      </c>
      <c r="N4659" s="82" t="s">
        <v>11866</v>
      </c>
      <c r="O4659" s="93">
        <v>45899.547418981485</v>
      </c>
    </row>
    <row r="4660" spans="1:15" ht="22.5" customHeight="1">
      <c r="A4660" s="85">
        <v>174904221976312</v>
      </c>
      <c r="B4660" s="82" t="s">
        <v>10651</v>
      </c>
      <c r="C4660" s="82" t="s">
        <v>11876</v>
      </c>
      <c r="D4660" s="82" t="s">
        <v>11877</v>
      </c>
      <c r="E4660" s="82">
        <v>6285748377961</v>
      </c>
      <c r="F4660" s="92">
        <v>45898</v>
      </c>
      <c r="G4660" s="87">
        <v>1468</v>
      </c>
      <c r="H4660" s="88">
        <v>10210.424710424712</v>
      </c>
      <c r="I4660" s="89">
        <v>23</v>
      </c>
      <c r="J4660" s="90">
        <v>15867</v>
      </c>
      <c r="K4660" s="85">
        <v>4</v>
      </c>
      <c r="L4660" s="85">
        <v>0</v>
      </c>
      <c r="M4660" s="85">
        <v>0</v>
      </c>
      <c r="N4660" s="82" t="s">
        <v>11878</v>
      </c>
      <c r="O4660" s="93">
        <v>45899.422222222223</v>
      </c>
    </row>
    <row r="4661" spans="1:15" ht="22.5" customHeight="1">
      <c r="A4661" s="85">
        <v>174904221976312</v>
      </c>
      <c r="B4661" s="82" t="s">
        <v>10651</v>
      </c>
      <c r="C4661" s="82" t="s">
        <v>11879</v>
      </c>
      <c r="D4661" s="82" t="s">
        <v>11877</v>
      </c>
      <c r="E4661" s="82">
        <v>6285748377961</v>
      </c>
      <c r="F4661" s="92">
        <v>45898</v>
      </c>
      <c r="G4661" s="87">
        <v>761</v>
      </c>
      <c r="H4661" s="88">
        <v>17457.07376058041</v>
      </c>
      <c r="I4661" s="89">
        <v>16</v>
      </c>
      <c r="J4661" s="90">
        <v>14437</v>
      </c>
      <c r="K4661" s="85">
        <v>0</v>
      </c>
      <c r="L4661" s="85">
        <v>241</v>
      </c>
      <c r="M4661" s="85">
        <v>0</v>
      </c>
      <c r="N4661" s="82" t="s">
        <v>11878</v>
      </c>
      <c r="O4661" s="93">
        <v>45899.485300925924</v>
      </c>
    </row>
    <row r="4662" spans="1:15" ht="22.5" customHeight="1">
      <c r="A4662" s="85">
        <v>174904221976312</v>
      </c>
      <c r="B4662" s="82" t="s">
        <v>10651</v>
      </c>
      <c r="C4662" s="82" t="s">
        <v>11838</v>
      </c>
      <c r="D4662" s="82" t="s">
        <v>11839</v>
      </c>
      <c r="E4662" s="82">
        <v>6287797504113</v>
      </c>
      <c r="F4662" s="92">
        <v>45898</v>
      </c>
      <c r="G4662" s="87">
        <v>275</v>
      </c>
      <c r="H4662" s="88">
        <v>49915.625</v>
      </c>
      <c r="I4662" s="89">
        <v>11</v>
      </c>
      <c r="J4662" s="90">
        <v>15973</v>
      </c>
      <c r="K4662" s="85">
        <v>0</v>
      </c>
      <c r="L4662" s="85">
        <v>0</v>
      </c>
      <c r="M4662" s="85">
        <v>0</v>
      </c>
      <c r="N4662" s="82" t="s">
        <v>12149</v>
      </c>
      <c r="O4662" s="93">
        <v>45899.401805555557</v>
      </c>
    </row>
    <row r="4663" spans="1:15" ht="22.5" customHeight="1">
      <c r="A4663" s="85">
        <v>174904221976312</v>
      </c>
      <c r="B4663" s="82" t="s">
        <v>10651</v>
      </c>
      <c r="C4663" s="82" t="s">
        <v>11792</v>
      </c>
      <c r="D4663" s="82" t="s">
        <v>11793</v>
      </c>
      <c r="E4663" s="82">
        <v>6281915041833</v>
      </c>
      <c r="F4663" s="92">
        <v>45898</v>
      </c>
      <c r="G4663" s="87">
        <v>720</v>
      </c>
      <c r="H4663" s="88">
        <v>15199.023199023199</v>
      </c>
      <c r="I4663" s="89">
        <v>21</v>
      </c>
      <c r="J4663" s="90">
        <v>12448</v>
      </c>
      <c r="K4663" s="85">
        <v>2</v>
      </c>
      <c r="L4663" s="85">
        <v>352</v>
      </c>
      <c r="M4663" s="85">
        <v>0</v>
      </c>
      <c r="N4663" s="82" t="s">
        <v>11794</v>
      </c>
      <c r="O4663" s="93">
        <v>45899.443298611113</v>
      </c>
    </row>
    <row r="4664" spans="1:15" ht="22.5" customHeight="1">
      <c r="A4664" s="85">
        <v>174904221976312</v>
      </c>
      <c r="B4664" s="82" t="s">
        <v>10651</v>
      </c>
      <c r="C4664" s="82" t="s">
        <v>11799</v>
      </c>
      <c r="D4664" s="82" t="s">
        <v>11800</v>
      </c>
      <c r="E4664" s="82">
        <v>6285333751528</v>
      </c>
      <c r="F4664" s="92">
        <v>45898</v>
      </c>
      <c r="G4664" s="87">
        <v>1059</v>
      </c>
      <c r="H4664" s="88">
        <v>16267.547481420312</v>
      </c>
      <c r="I4664" s="89">
        <v>21</v>
      </c>
      <c r="J4664" s="90">
        <v>19700</v>
      </c>
      <c r="K4664" s="85">
        <v>0</v>
      </c>
      <c r="L4664" s="85">
        <v>55</v>
      </c>
      <c r="M4664" s="85">
        <v>0</v>
      </c>
      <c r="N4664" s="82" t="s">
        <v>11801</v>
      </c>
      <c r="O4664" s="93">
        <v>45899.381215277775</v>
      </c>
    </row>
    <row r="4665" spans="1:15" ht="22.5" customHeight="1">
      <c r="A4665" s="85">
        <v>174904221976312</v>
      </c>
      <c r="B4665" s="82" t="s">
        <v>10651</v>
      </c>
      <c r="C4665" s="82" t="s">
        <v>11766</v>
      </c>
      <c r="D4665" s="82" t="s">
        <v>11767</v>
      </c>
      <c r="E4665" s="82">
        <v>6281225101319</v>
      </c>
      <c r="F4665" s="92">
        <v>45898</v>
      </c>
      <c r="G4665" s="87">
        <v>439</v>
      </c>
      <c r="H4665" s="88">
        <v>36979.591836734689</v>
      </c>
      <c r="I4665" s="89">
        <v>17</v>
      </c>
      <c r="J4665" s="90">
        <v>18120</v>
      </c>
      <c r="K4665" s="85">
        <v>0</v>
      </c>
      <c r="L4665" s="85">
        <v>1</v>
      </c>
      <c r="M4665" s="85">
        <v>1</v>
      </c>
      <c r="N4665" s="82" t="s">
        <v>12150</v>
      </c>
      <c r="O4665" s="93">
        <v>45899.485277777778</v>
      </c>
    </row>
    <row r="4666" spans="1:15" ht="22.5" customHeight="1">
      <c r="A4666" s="85">
        <v>174904221976312</v>
      </c>
      <c r="B4666" s="82" t="s">
        <v>10651</v>
      </c>
      <c r="C4666" s="82" t="s">
        <v>11780</v>
      </c>
      <c r="D4666" s="82" t="s">
        <v>11781</v>
      </c>
      <c r="E4666" s="82">
        <v>6282129364133</v>
      </c>
      <c r="F4666" s="92">
        <v>45898</v>
      </c>
      <c r="G4666" s="87">
        <v>461</v>
      </c>
      <c r="H4666" s="88">
        <v>29504.621072088725</v>
      </c>
      <c r="I4666" s="89">
        <v>6</v>
      </c>
      <c r="J4666" s="90">
        <v>15962</v>
      </c>
      <c r="K4666" s="85">
        <v>0</v>
      </c>
      <c r="L4666" s="85">
        <v>0</v>
      </c>
      <c r="M4666" s="85">
        <v>0</v>
      </c>
      <c r="N4666" s="82" t="s">
        <v>11782</v>
      </c>
      <c r="O4666" s="93">
        <v>45899.672361111108</v>
      </c>
    </row>
    <row r="4667" spans="1:15" ht="22.5" customHeight="1">
      <c r="A4667" s="85">
        <v>174904221976312</v>
      </c>
      <c r="B4667" s="82" t="s">
        <v>10651</v>
      </c>
      <c r="C4667" s="82" t="s">
        <v>11755</v>
      </c>
      <c r="D4667" s="82" t="s">
        <v>11756</v>
      </c>
      <c r="E4667" s="82">
        <v>6281357754513</v>
      </c>
      <c r="F4667" s="92">
        <v>45898</v>
      </c>
      <c r="G4667" s="87">
        <v>402</v>
      </c>
      <c r="H4667" s="88">
        <v>28830.882352941178</v>
      </c>
      <c r="I4667" s="89">
        <v>12</v>
      </c>
      <c r="J4667" s="90">
        <v>15684</v>
      </c>
      <c r="K4667" s="85">
        <v>1</v>
      </c>
      <c r="L4667" s="85">
        <v>0</v>
      </c>
      <c r="M4667" s="85">
        <v>0</v>
      </c>
      <c r="N4667" s="82" t="s">
        <v>12151</v>
      </c>
      <c r="O4667" s="93">
        <v>45899.443298611113</v>
      </c>
    </row>
    <row r="4668" spans="1:15" ht="22.5" customHeight="1">
      <c r="A4668" s="85">
        <v>174904221976312</v>
      </c>
      <c r="B4668" s="82" t="s">
        <v>10651</v>
      </c>
      <c r="C4668" s="82" t="s">
        <v>11758</v>
      </c>
      <c r="D4668" s="82" t="s">
        <v>11759</v>
      </c>
      <c r="E4668" s="82">
        <v>6285946504405</v>
      </c>
      <c r="F4668" s="92">
        <v>45898</v>
      </c>
      <c r="G4668" s="87">
        <v>432</v>
      </c>
      <c r="H4668" s="88">
        <v>27761.316872427982</v>
      </c>
      <c r="I4668" s="89">
        <v>12</v>
      </c>
      <c r="J4668" s="90">
        <v>13492</v>
      </c>
      <c r="K4668" s="85">
        <v>2</v>
      </c>
      <c r="L4668" s="85">
        <v>0</v>
      </c>
      <c r="M4668" s="85">
        <v>0</v>
      </c>
      <c r="N4668" s="82" t="s">
        <v>11760</v>
      </c>
      <c r="O4668" s="93">
        <v>45899.422233796293</v>
      </c>
    </row>
    <row r="4669" spans="1:15" ht="22.5" customHeight="1">
      <c r="A4669" s="85">
        <v>174904221976312</v>
      </c>
      <c r="B4669" s="82" t="s">
        <v>10651</v>
      </c>
      <c r="C4669" s="82" t="s">
        <v>11761</v>
      </c>
      <c r="D4669" s="82" t="s">
        <v>3438</v>
      </c>
      <c r="E4669" s="82">
        <v>628154336558</v>
      </c>
      <c r="F4669" s="92">
        <v>45898</v>
      </c>
      <c r="G4669" s="87">
        <v>2107</v>
      </c>
      <c r="H4669" s="88">
        <v>6473.1925264012998</v>
      </c>
      <c r="I4669" s="89">
        <v>26</v>
      </c>
      <c r="J4669" s="90">
        <v>15937</v>
      </c>
      <c r="K4669" s="85">
        <v>0</v>
      </c>
      <c r="L4669" s="85">
        <v>90</v>
      </c>
      <c r="M4669" s="85">
        <v>1</v>
      </c>
      <c r="N4669" s="82" t="s">
        <v>12152</v>
      </c>
      <c r="O4669" s="93">
        <v>45899.40148148148</v>
      </c>
    </row>
    <row r="4670" spans="1:15" ht="22.5" customHeight="1">
      <c r="A4670" s="85">
        <v>174904221976312</v>
      </c>
      <c r="B4670" s="82" t="s">
        <v>10651</v>
      </c>
      <c r="C4670" s="82" t="s">
        <v>11763</v>
      </c>
      <c r="D4670" s="82" t="s">
        <v>11764</v>
      </c>
      <c r="E4670" s="82">
        <v>6282384544939</v>
      </c>
      <c r="F4670" s="92">
        <v>45898</v>
      </c>
      <c r="G4670" s="87">
        <v>475</v>
      </c>
      <c r="H4670" s="88">
        <v>25041.459369817578</v>
      </c>
      <c r="I4670" s="89">
        <v>8</v>
      </c>
      <c r="J4670" s="90">
        <v>15100</v>
      </c>
      <c r="K4670" s="85">
        <v>2</v>
      </c>
      <c r="L4670" s="85">
        <v>0</v>
      </c>
      <c r="M4670" s="85">
        <v>0</v>
      </c>
      <c r="N4670" s="82" t="s">
        <v>12153</v>
      </c>
      <c r="O4670" s="93">
        <v>45899.485300925924</v>
      </c>
    </row>
    <row r="4671" spans="1:15" ht="22.5" customHeight="1">
      <c r="A4671" s="85">
        <v>174904221976312</v>
      </c>
      <c r="B4671" s="82" t="s">
        <v>10651</v>
      </c>
      <c r="C4671" s="82" t="s">
        <v>11578</v>
      </c>
      <c r="D4671" s="82" t="s">
        <v>1624</v>
      </c>
      <c r="E4671" s="82">
        <v>6281938384000</v>
      </c>
      <c r="F4671" s="92">
        <v>45898</v>
      </c>
      <c r="G4671" s="87">
        <v>964</v>
      </c>
      <c r="H4671" s="88">
        <v>11189.116859946476</v>
      </c>
      <c r="I4671" s="89">
        <v>25</v>
      </c>
      <c r="J4671" s="90">
        <v>12543</v>
      </c>
      <c r="K4671" s="85">
        <v>0</v>
      </c>
      <c r="L4671" s="85">
        <v>462</v>
      </c>
      <c r="M4671" s="85">
        <v>0</v>
      </c>
      <c r="N4671" s="82" t="s">
        <v>12154</v>
      </c>
      <c r="O4671" s="93">
        <v>45899.42255787037</v>
      </c>
    </row>
    <row r="4672" spans="1:15" ht="22.5" customHeight="1">
      <c r="A4672" s="85">
        <v>174904221976312</v>
      </c>
      <c r="B4672" s="82" t="s">
        <v>10651</v>
      </c>
      <c r="C4672" s="82" t="s">
        <v>11580</v>
      </c>
      <c r="D4672" s="82" t="s">
        <v>11581</v>
      </c>
      <c r="E4672" s="82">
        <v>6287790276733</v>
      </c>
      <c r="F4672" s="92">
        <v>45898</v>
      </c>
      <c r="G4672" s="87">
        <v>706</v>
      </c>
      <c r="H4672" s="88">
        <v>19298.20359281437</v>
      </c>
      <c r="I4672" s="89">
        <v>11</v>
      </c>
      <c r="J4672" s="90">
        <v>16114</v>
      </c>
      <c r="K4672" s="85">
        <v>1</v>
      </c>
      <c r="L4672" s="85">
        <v>0</v>
      </c>
      <c r="M4672" s="85">
        <v>0</v>
      </c>
      <c r="N4672" s="82" t="s">
        <v>11582</v>
      </c>
      <c r="O4672" s="93">
        <v>45899.630370370367</v>
      </c>
    </row>
    <row r="4673" spans="1:15" ht="22.5" customHeight="1">
      <c r="A4673" s="85">
        <v>759724529202804</v>
      </c>
      <c r="B4673" s="82" t="s">
        <v>10621</v>
      </c>
      <c r="C4673" s="82" t="s">
        <v>11055</v>
      </c>
      <c r="D4673" s="82" t="s">
        <v>1021</v>
      </c>
      <c r="E4673" s="82"/>
      <c r="F4673" s="92">
        <v>45899</v>
      </c>
      <c r="G4673" s="87">
        <v>1627</v>
      </c>
      <c r="H4673" s="88">
        <v>33873.786407766995</v>
      </c>
      <c r="I4673" s="89">
        <v>43</v>
      </c>
      <c r="J4673" s="90">
        <v>62802</v>
      </c>
      <c r="K4673" s="85">
        <v>14</v>
      </c>
      <c r="L4673" s="85">
        <v>455</v>
      </c>
      <c r="M4673" s="85">
        <v>0</v>
      </c>
      <c r="N4673" s="82" t="s">
        <v>11056</v>
      </c>
      <c r="O4673" s="93">
        <v>45900.425949074073</v>
      </c>
    </row>
    <row r="4674" spans="1:15" ht="22.5" customHeight="1">
      <c r="A4674" s="85">
        <v>174904221976312</v>
      </c>
      <c r="B4674" s="82" t="s">
        <v>10651</v>
      </c>
      <c r="C4674" s="82" t="s">
        <v>12156</v>
      </c>
      <c r="D4674" s="82" t="s">
        <v>4718</v>
      </c>
      <c r="E4674" s="82">
        <v>62811955059</v>
      </c>
      <c r="F4674" s="92">
        <v>45899</v>
      </c>
      <c r="G4674" s="87">
        <v>402</v>
      </c>
      <c r="H4674" s="88">
        <v>32526.55889145497</v>
      </c>
      <c r="I4674" s="89">
        <v>9</v>
      </c>
      <c r="J4674" s="90">
        <v>14084</v>
      </c>
      <c r="K4674" s="85">
        <v>1</v>
      </c>
      <c r="L4674" s="85">
        <v>136</v>
      </c>
      <c r="M4674" s="85">
        <v>0</v>
      </c>
      <c r="N4674" s="82" t="s">
        <v>12157</v>
      </c>
      <c r="O4674" s="93">
        <v>45900.526805555557</v>
      </c>
    </row>
    <row r="4675" spans="1:15" ht="22.5" customHeight="1">
      <c r="A4675" s="85">
        <v>174904221976312</v>
      </c>
      <c r="B4675" s="82" t="s">
        <v>10651</v>
      </c>
      <c r="C4675" s="82" t="s">
        <v>12158</v>
      </c>
      <c r="D4675" s="82" t="s">
        <v>12159</v>
      </c>
      <c r="E4675" s="82">
        <v>6281545971465</v>
      </c>
      <c r="F4675" s="92">
        <v>45899</v>
      </c>
      <c r="G4675" s="87">
        <v>517</v>
      </c>
      <c r="H4675" s="88">
        <v>21043.636363636364</v>
      </c>
      <c r="I4675" s="89">
        <v>7</v>
      </c>
      <c r="J4675" s="90">
        <v>11574</v>
      </c>
      <c r="K4675" s="85">
        <v>1</v>
      </c>
      <c r="L4675" s="85">
        <v>0</v>
      </c>
      <c r="M4675" s="85">
        <v>0</v>
      </c>
      <c r="N4675" s="82" t="s">
        <v>12160</v>
      </c>
      <c r="O4675" s="93">
        <v>45900.588993055557</v>
      </c>
    </row>
    <row r="4676" spans="1:15" ht="22.5" customHeight="1">
      <c r="A4676" s="85">
        <v>174904221976312</v>
      </c>
      <c r="B4676" s="82" t="s">
        <v>10651</v>
      </c>
      <c r="C4676" s="82" t="s">
        <v>12161</v>
      </c>
      <c r="D4676" s="82" t="s">
        <v>12162</v>
      </c>
      <c r="E4676" s="82">
        <v>6285338058843</v>
      </c>
      <c r="F4676" s="92">
        <v>45899</v>
      </c>
      <c r="G4676" s="87">
        <v>719</v>
      </c>
      <c r="H4676" s="88">
        <v>16263.92572944297</v>
      </c>
      <c r="I4676" s="89">
        <v>10</v>
      </c>
      <c r="J4676" s="90">
        <v>12263</v>
      </c>
      <c r="K4676" s="85">
        <v>1</v>
      </c>
      <c r="L4676" s="85">
        <v>168</v>
      </c>
      <c r="M4676" s="85">
        <v>0</v>
      </c>
      <c r="N4676" s="82" t="s">
        <v>12163</v>
      </c>
      <c r="O4676" s="93">
        <v>45900.547418981485</v>
      </c>
    </row>
    <row r="4677" spans="1:15" ht="22.5" customHeight="1">
      <c r="A4677" s="85">
        <v>174904221976312</v>
      </c>
      <c r="B4677" s="82" t="s">
        <v>10651</v>
      </c>
      <c r="C4677" s="82" t="s">
        <v>12164</v>
      </c>
      <c r="D4677" s="82" t="s">
        <v>12165</v>
      </c>
      <c r="E4677" s="82">
        <v>6285787104091</v>
      </c>
      <c r="F4677" s="92">
        <v>45899</v>
      </c>
      <c r="G4677" s="87">
        <v>844</v>
      </c>
      <c r="H4677" s="88">
        <v>14424.43729903537</v>
      </c>
      <c r="I4677" s="89">
        <v>5</v>
      </c>
      <c r="J4677" s="90">
        <v>13458</v>
      </c>
      <c r="K4677" s="85">
        <v>0</v>
      </c>
      <c r="L4677" s="85">
        <v>11</v>
      </c>
      <c r="M4677" s="85">
        <v>0</v>
      </c>
      <c r="N4677" s="82" t="s">
        <v>12166</v>
      </c>
      <c r="O4677" s="93">
        <v>45900.568437499998</v>
      </c>
    </row>
    <row r="4678" spans="1:15" ht="22.5" customHeight="1">
      <c r="A4678" s="85">
        <v>174904221976312</v>
      </c>
      <c r="B4678" s="82" t="s">
        <v>10651</v>
      </c>
      <c r="C4678" s="82" t="s">
        <v>12167</v>
      </c>
      <c r="D4678" s="82" t="s">
        <v>6402</v>
      </c>
      <c r="E4678" s="82">
        <v>6285361118289</v>
      </c>
      <c r="F4678" s="92">
        <v>45899</v>
      </c>
      <c r="G4678" s="87">
        <v>678</v>
      </c>
      <c r="H4678" s="88">
        <v>16222.077922077922</v>
      </c>
      <c r="I4678" s="89">
        <v>20</v>
      </c>
      <c r="J4678" s="90">
        <v>12491</v>
      </c>
      <c r="K4678" s="85">
        <v>1</v>
      </c>
      <c r="L4678" s="85">
        <v>221</v>
      </c>
      <c r="M4678" s="85">
        <v>0</v>
      </c>
      <c r="N4678" s="82" t="s">
        <v>12168</v>
      </c>
      <c r="O4678" s="93">
        <v>45900.609606481485</v>
      </c>
    </row>
    <row r="4679" spans="1:15" ht="22.5" customHeight="1">
      <c r="A4679" s="85">
        <v>174904221976312</v>
      </c>
      <c r="B4679" s="82" t="s">
        <v>10651</v>
      </c>
      <c r="C4679" s="82" t="s">
        <v>12169</v>
      </c>
      <c r="D4679" s="82" t="s">
        <v>4755</v>
      </c>
      <c r="E4679" s="82">
        <v>6281381118500</v>
      </c>
      <c r="F4679" s="92">
        <v>45899</v>
      </c>
      <c r="G4679" s="87">
        <v>335</v>
      </c>
      <c r="H4679" s="88">
        <v>35765.02732240437</v>
      </c>
      <c r="I4679" s="89">
        <v>5</v>
      </c>
      <c r="J4679" s="90">
        <v>13090</v>
      </c>
      <c r="K4679" s="85">
        <v>2</v>
      </c>
      <c r="L4679" s="85">
        <v>61</v>
      </c>
      <c r="M4679" s="85">
        <v>0</v>
      </c>
      <c r="N4679" s="82" t="s">
        <v>12170</v>
      </c>
      <c r="O4679" s="93">
        <v>45900.67260416667</v>
      </c>
    </row>
    <row r="4680" spans="1:15" ht="22.5" customHeight="1">
      <c r="A4680" s="85">
        <v>174904221976312</v>
      </c>
      <c r="B4680" s="82" t="s">
        <v>10651</v>
      </c>
      <c r="C4680" s="82" t="s">
        <v>12171</v>
      </c>
      <c r="D4680" s="82" t="s">
        <v>4386</v>
      </c>
      <c r="E4680" s="82">
        <v>62818533354</v>
      </c>
      <c r="F4680" s="92">
        <v>45899</v>
      </c>
      <c r="G4680" s="87">
        <v>344</v>
      </c>
      <c r="H4680" s="88">
        <v>29766.756032171583</v>
      </c>
      <c r="I4680" s="89">
        <v>11</v>
      </c>
      <c r="J4680" s="90">
        <v>11103</v>
      </c>
      <c r="K4680" s="85">
        <v>1</v>
      </c>
      <c r="L4680" s="85">
        <v>124</v>
      </c>
      <c r="M4680" s="85">
        <v>0</v>
      </c>
      <c r="N4680" s="82" t="s">
        <v>12172</v>
      </c>
      <c r="O4680" s="93">
        <v>45900.610127314816</v>
      </c>
    </row>
    <row r="4681" spans="1:15" ht="22.5" customHeight="1">
      <c r="A4681" s="85">
        <v>174904221976312</v>
      </c>
      <c r="B4681" s="82" t="s">
        <v>10651</v>
      </c>
      <c r="C4681" s="82" t="s">
        <v>12173</v>
      </c>
      <c r="D4681" s="82" t="s">
        <v>3489</v>
      </c>
      <c r="E4681" s="82">
        <v>6285214612372</v>
      </c>
      <c r="F4681" s="92">
        <v>45899</v>
      </c>
      <c r="G4681" s="87">
        <v>509</v>
      </c>
      <c r="H4681" s="88">
        <v>21670.529801324501</v>
      </c>
      <c r="I4681" s="89">
        <v>23</v>
      </c>
      <c r="J4681" s="90">
        <v>13089</v>
      </c>
      <c r="K4681" s="85">
        <v>0</v>
      </c>
      <c r="L4681" s="85">
        <v>187</v>
      </c>
      <c r="M4681" s="85">
        <v>0</v>
      </c>
      <c r="N4681" s="82" t="s">
        <v>12174</v>
      </c>
      <c r="O4681" s="93">
        <v>45900.609618055554</v>
      </c>
    </row>
    <row r="4682" spans="1:15" ht="22.5" customHeight="1">
      <c r="A4682" s="85">
        <v>174904221976312</v>
      </c>
      <c r="B4682" s="82" t="s">
        <v>10651</v>
      </c>
      <c r="C4682" s="82" t="s">
        <v>12125</v>
      </c>
      <c r="D4682" s="82" t="s">
        <v>4008</v>
      </c>
      <c r="E4682" s="82">
        <v>6281558225822</v>
      </c>
      <c r="F4682" s="92">
        <v>45899</v>
      </c>
      <c r="G4682" s="87">
        <v>201</v>
      </c>
      <c r="H4682" s="88">
        <v>62287.67123287671</v>
      </c>
      <c r="I4682" s="89">
        <v>2</v>
      </c>
      <c r="J4682" s="90">
        <v>13641</v>
      </c>
      <c r="K4682" s="85">
        <v>0</v>
      </c>
      <c r="L4682" s="85">
        <v>0</v>
      </c>
      <c r="M4682" s="85">
        <v>0</v>
      </c>
      <c r="N4682" s="82" t="s">
        <v>12126</v>
      </c>
      <c r="O4682" s="93">
        <v>45900.589004629626</v>
      </c>
    </row>
    <row r="4683" spans="1:15" ht="22.5" customHeight="1">
      <c r="A4683" s="85">
        <v>174904221976312</v>
      </c>
      <c r="B4683" s="82" t="s">
        <v>10651</v>
      </c>
      <c r="C4683" s="82" t="s">
        <v>12127</v>
      </c>
      <c r="D4683" s="82" t="s">
        <v>12128</v>
      </c>
      <c r="E4683" s="82">
        <v>6281226825253</v>
      </c>
      <c r="F4683" s="92">
        <v>45899</v>
      </c>
      <c r="G4683" s="87">
        <v>9232</v>
      </c>
      <c r="H4683" s="88">
        <v>1437.6305892185542</v>
      </c>
      <c r="I4683" s="89">
        <v>52</v>
      </c>
      <c r="J4683" s="90">
        <v>13761</v>
      </c>
      <c r="K4683" s="85">
        <v>0</v>
      </c>
      <c r="L4683" s="85">
        <v>129</v>
      </c>
      <c r="M4683" s="85">
        <v>0</v>
      </c>
      <c r="N4683" s="82" t="s">
        <v>12129</v>
      </c>
      <c r="O4683" s="93">
        <v>45900.755486111113</v>
      </c>
    </row>
    <row r="4684" spans="1:15" ht="22.5" customHeight="1">
      <c r="A4684" s="85">
        <v>174904221976312</v>
      </c>
      <c r="B4684" s="82" t="s">
        <v>10651</v>
      </c>
      <c r="C4684" s="82" t="s">
        <v>12130</v>
      </c>
      <c r="D4684" s="82" t="s">
        <v>12131</v>
      </c>
      <c r="E4684" s="82">
        <v>6281239004410</v>
      </c>
      <c r="F4684" s="92">
        <v>45899</v>
      </c>
      <c r="G4684" s="87">
        <v>245</v>
      </c>
      <c r="H4684" s="88">
        <v>57027.34375</v>
      </c>
      <c r="I4684" s="89">
        <v>4</v>
      </c>
      <c r="J4684" s="90">
        <v>14599</v>
      </c>
      <c r="K4684" s="85">
        <v>0</v>
      </c>
      <c r="L4684" s="85">
        <v>63</v>
      </c>
      <c r="M4684" s="85">
        <v>0</v>
      </c>
      <c r="N4684" s="82" t="s">
        <v>12132</v>
      </c>
      <c r="O4684" s="93">
        <v>45900.526805555557</v>
      </c>
    </row>
    <row r="4685" spans="1:15" ht="22.5" customHeight="1">
      <c r="A4685" s="85">
        <v>174904221976312</v>
      </c>
      <c r="B4685" s="82" t="s">
        <v>10651</v>
      </c>
      <c r="C4685" s="82" t="s">
        <v>12136</v>
      </c>
      <c r="D4685" s="82" t="s">
        <v>12137</v>
      </c>
      <c r="E4685" s="82">
        <v>6287863509004</v>
      </c>
      <c r="F4685" s="92">
        <v>45899</v>
      </c>
      <c r="G4685" s="87">
        <v>1091</v>
      </c>
      <c r="H4685" s="88">
        <v>6504.2808219178078</v>
      </c>
      <c r="I4685" s="89">
        <v>14</v>
      </c>
      <c r="J4685" s="90">
        <v>7597</v>
      </c>
      <c r="K4685" s="85">
        <v>0</v>
      </c>
      <c r="L4685" s="85">
        <v>138</v>
      </c>
      <c r="M4685" s="85">
        <v>0</v>
      </c>
      <c r="N4685" s="82" t="s">
        <v>12175</v>
      </c>
      <c r="O4685" s="93">
        <v>45900.351423611108</v>
      </c>
    </row>
    <row r="4686" spans="1:15" ht="22.5" customHeight="1">
      <c r="A4686" s="85">
        <v>174904221976312</v>
      </c>
      <c r="B4686" s="82" t="s">
        <v>10651</v>
      </c>
      <c r="C4686" s="82" t="s">
        <v>12139</v>
      </c>
      <c r="D4686" s="82" t="s">
        <v>4605</v>
      </c>
      <c r="E4686" s="82">
        <v>6281359605566</v>
      </c>
      <c r="F4686" s="92">
        <v>45899</v>
      </c>
      <c r="G4686" s="87">
        <v>1268</v>
      </c>
      <c r="H4686" s="88">
        <v>8959.1315453384414</v>
      </c>
      <c r="I4686" s="89">
        <v>15</v>
      </c>
      <c r="J4686" s="90">
        <v>14030</v>
      </c>
      <c r="K4686" s="85">
        <v>1</v>
      </c>
      <c r="L4686" s="85">
        <v>0</v>
      </c>
      <c r="M4686" s="85">
        <v>0</v>
      </c>
      <c r="N4686" s="82" t="s">
        <v>12140</v>
      </c>
      <c r="O4686" s="93">
        <v>45900.7346875</v>
      </c>
    </row>
    <row r="4687" spans="1:15" ht="22.5" customHeight="1">
      <c r="A4687" s="85">
        <v>174904221976312</v>
      </c>
      <c r="B4687" s="82" t="s">
        <v>10651</v>
      </c>
      <c r="C4687" s="82" t="s">
        <v>12117</v>
      </c>
      <c r="D4687" s="82" t="s">
        <v>12118</v>
      </c>
      <c r="E4687" s="82">
        <v>628152343305</v>
      </c>
      <c r="F4687" s="92">
        <v>45899</v>
      </c>
      <c r="G4687" s="87">
        <v>353</v>
      </c>
      <c r="H4687" s="88">
        <v>37010.025062656649</v>
      </c>
      <c r="I4687" s="89">
        <v>7</v>
      </c>
      <c r="J4687" s="90">
        <v>14767</v>
      </c>
      <c r="K4687" s="85">
        <v>1</v>
      </c>
      <c r="L4687" s="85">
        <v>74</v>
      </c>
      <c r="M4687" s="85">
        <v>1</v>
      </c>
      <c r="N4687" s="82" t="s">
        <v>12119</v>
      </c>
      <c r="O4687" s="93">
        <v>45900.218807870369</v>
      </c>
    </row>
    <row r="4688" spans="1:15" ht="22.5" customHeight="1">
      <c r="A4688" s="85">
        <v>174904221976312</v>
      </c>
      <c r="B4688" s="82" t="s">
        <v>10651</v>
      </c>
      <c r="C4688" s="82" t="s">
        <v>12120</v>
      </c>
      <c r="D4688" s="82" t="s">
        <v>4619</v>
      </c>
      <c r="E4688" s="82">
        <v>6281328027701</v>
      </c>
      <c r="F4688" s="92">
        <v>45899</v>
      </c>
      <c r="G4688" s="87">
        <v>163</v>
      </c>
      <c r="H4688" s="88">
        <v>88595.375722543351</v>
      </c>
      <c r="I4688" s="89">
        <v>5</v>
      </c>
      <c r="J4688" s="90">
        <v>15327</v>
      </c>
      <c r="K4688" s="85">
        <v>1</v>
      </c>
      <c r="L4688" s="85">
        <v>0</v>
      </c>
      <c r="M4688" s="85">
        <v>0</v>
      </c>
      <c r="N4688" s="82" t="s">
        <v>12141</v>
      </c>
      <c r="O4688" s="93">
        <v>45900.218807870369</v>
      </c>
    </row>
    <row r="4689" spans="1:15" ht="22.5" customHeight="1">
      <c r="A4689" s="85">
        <v>174904221976312</v>
      </c>
      <c r="B4689" s="82" t="s">
        <v>10651</v>
      </c>
      <c r="C4689" s="82" t="s">
        <v>12122</v>
      </c>
      <c r="D4689" s="82" t="s">
        <v>12123</v>
      </c>
      <c r="E4689" s="82">
        <v>6285720705874</v>
      </c>
      <c r="F4689" s="92">
        <v>45899</v>
      </c>
      <c r="G4689" s="87">
        <v>509</v>
      </c>
      <c r="H4689" s="88">
        <v>22410.29900332226</v>
      </c>
      <c r="I4689" s="89">
        <v>19</v>
      </c>
      <c r="J4689" s="90">
        <v>13491</v>
      </c>
      <c r="K4689" s="85">
        <v>4</v>
      </c>
      <c r="L4689" s="85">
        <v>38</v>
      </c>
      <c r="M4689" s="85">
        <v>0</v>
      </c>
      <c r="N4689" s="82" t="s">
        <v>12124</v>
      </c>
      <c r="O4689" s="93">
        <v>45900.547118055554</v>
      </c>
    </row>
    <row r="4690" spans="1:15" ht="22.5" customHeight="1">
      <c r="A4690" s="85">
        <v>174904221976312</v>
      </c>
      <c r="B4690" s="82" t="s">
        <v>10651</v>
      </c>
      <c r="C4690" s="82" t="s">
        <v>12142</v>
      </c>
      <c r="D4690" s="82" t="s">
        <v>4600</v>
      </c>
      <c r="E4690" s="82">
        <v>6281231382365</v>
      </c>
      <c r="F4690" s="92">
        <v>45899</v>
      </c>
      <c r="G4690" s="87">
        <v>670</v>
      </c>
      <c r="H4690" s="88">
        <v>19548.517520215632</v>
      </c>
      <c r="I4690" s="89">
        <v>15</v>
      </c>
      <c r="J4690" s="90">
        <v>14505</v>
      </c>
      <c r="K4690" s="85">
        <v>0</v>
      </c>
      <c r="L4690" s="85">
        <v>13</v>
      </c>
      <c r="M4690" s="85">
        <v>0</v>
      </c>
      <c r="N4690" s="82" t="s">
        <v>12143</v>
      </c>
      <c r="O4690" s="93">
        <v>45900.2187962963</v>
      </c>
    </row>
    <row r="4691" spans="1:15" ht="22.5" customHeight="1">
      <c r="A4691" s="85">
        <v>174904221976312</v>
      </c>
      <c r="B4691" s="82" t="s">
        <v>10651</v>
      </c>
      <c r="C4691" s="82" t="s">
        <v>12100</v>
      </c>
      <c r="D4691" s="82" t="s">
        <v>6091</v>
      </c>
      <c r="E4691" s="82">
        <v>6281938384000</v>
      </c>
      <c r="F4691" s="92">
        <v>45899</v>
      </c>
      <c r="G4691" s="87">
        <v>517</v>
      </c>
      <c r="H4691" s="88">
        <v>29166.969147005446</v>
      </c>
      <c r="I4691" s="89">
        <v>8</v>
      </c>
      <c r="J4691" s="90">
        <v>16071</v>
      </c>
      <c r="K4691" s="85">
        <v>0</v>
      </c>
      <c r="L4691" s="85">
        <v>239</v>
      </c>
      <c r="M4691" s="85">
        <v>0</v>
      </c>
      <c r="N4691" s="82" t="s">
        <v>12101</v>
      </c>
      <c r="O4691" s="93">
        <v>45900.505578703705</v>
      </c>
    </row>
    <row r="4692" spans="1:15" ht="22.5" customHeight="1">
      <c r="A4692" s="85">
        <v>174904221976312</v>
      </c>
      <c r="B4692" s="82" t="s">
        <v>10651</v>
      </c>
      <c r="C4692" s="82" t="s">
        <v>12102</v>
      </c>
      <c r="D4692" s="82" t="s">
        <v>12103</v>
      </c>
      <c r="E4692" s="82">
        <v>628122577723</v>
      </c>
      <c r="F4692" s="92">
        <v>45899</v>
      </c>
      <c r="G4692" s="87">
        <v>378</v>
      </c>
      <c r="H4692" s="88">
        <v>31719.827586206899</v>
      </c>
      <c r="I4692" s="89">
        <v>4</v>
      </c>
      <c r="J4692" s="90">
        <v>14718</v>
      </c>
      <c r="K4692" s="85">
        <v>0</v>
      </c>
      <c r="L4692" s="85">
        <v>0</v>
      </c>
      <c r="M4692" s="85">
        <v>0</v>
      </c>
      <c r="N4692" s="82" t="s">
        <v>12144</v>
      </c>
      <c r="O4692" s="93">
        <v>45900.589004629626</v>
      </c>
    </row>
    <row r="4693" spans="1:15" ht="22.5" customHeight="1">
      <c r="A4693" s="85">
        <v>174904221976312</v>
      </c>
      <c r="B4693" s="82" t="s">
        <v>10651</v>
      </c>
      <c r="C4693" s="82" t="s">
        <v>12105</v>
      </c>
      <c r="D4693" s="82" t="s">
        <v>4582</v>
      </c>
      <c r="E4693" s="82">
        <v>6287836691500</v>
      </c>
      <c r="F4693" s="92">
        <v>45899</v>
      </c>
      <c r="G4693" s="87">
        <v>338</v>
      </c>
      <c r="H4693" s="88">
        <v>37312.834224598933</v>
      </c>
      <c r="I4693" s="89">
        <v>3</v>
      </c>
      <c r="J4693" s="90">
        <v>13955</v>
      </c>
      <c r="K4693" s="85">
        <v>0</v>
      </c>
      <c r="L4693" s="85">
        <v>0</v>
      </c>
      <c r="M4693" s="85">
        <v>0</v>
      </c>
      <c r="N4693" s="82" t="s">
        <v>12145</v>
      </c>
      <c r="O4693" s="93">
        <v>45900.568425925929</v>
      </c>
    </row>
    <row r="4694" spans="1:15" ht="22.5" customHeight="1">
      <c r="A4694" s="85">
        <v>174904221976312</v>
      </c>
      <c r="B4694" s="82" t="s">
        <v>10651</v>
      </c>
      <c r="C4694" s="82" t="s">
        <v>12107</v>
      </c>
      <c r="D4694" s="82" t="s">
        <v>3465</v>
      </c>
      <c r="E4694" s="82">
        <v>6285920572002</v>
      </c>
      <c r="F4694" s="92">
        <v>45899</v>
      </c>
      <c r="G4694" s="87">
        <v>281</v>
      </c>
      <c r="H4694" s="88">
        <v>43382.05980066445</v>
      </c>
      <c r="I4694" s="89">
        <v>5</v>
      </c>
      <c r="J4694" s="90">
        <v>13058</v>
      </c>
      <c r="K4694" s="85">
        <v>1</v>
      </c>
      <c r="L4694" s="85">
        <v>0</v>
      </c>
      <c r="M4694" s="85">
        <v>0</v>
      </c>
      <c r="N4694" s="82" t="s">
        <v>12108</v>
      </c>
      <c r="O4694" s="93">
        <v>45900.568738425929</v>
      </c>
    </row>
    <row r="4695" spans="1:15" ht="22.5" customHeight="1">
      <c r="A4695" s="85">
        <v>174904221976312</v>
      </c>
      <c r="B4695" s="82" t="s">
        <v>10651</v>
      </c>
      <c r="C4695" s="82" t="s">
        <v>12109</v>
      </c>
      <c r="D4695" s="82" t="s">
        <v>12110</v>
      </c>
      <c r="E4695" s="82">
        <v>6287777304498</v>
      </c>
      <c r="F4695" s="92">
        <v>45899</v>
      </c>
      <c r="G4695" s="87">
        <v>328</v>
      </c>
      <c r="H4695" s="88">
        <v>43284.900284900279</v>
      </c>
      <c r="I4695" s="89">
        <v>2</v>
      </c>
      <c r="J4695" s="90">
        <v>15193</v>
      </c>
      <c r="K4695" s="85">
        <v>0</v>
      </c>
      <c r="L4695" s="85">
        <v>0</v>
      </c>
      <c r="M4695" s="85">
        <v>0</v>
      </c>
      <c r="N4695" s="82" t="s">
        <v>12146</v>
      </c>
      <c r="O4695" s="93">
        <v>45900.630752314813</v>
      </c>
    </row>
    <row r="4696" spans="1:15" ht="22.5" customHeight="1">
      <c r="A4696" s="85">
        <v>174904221976312</v>
      </c>
      <c r="B4696" s="82" t="s">
        <v>10651</v>
      </c>
      <c r="C4696" s="82" t="s">
        <v>12112</v>
      </c>
      <c r="D4696" s="82" t="s">
        <v>12113</v>
      </c>
      <c r="E4696" s="82">
        <v>6285642368174</v>
      </c>
      <c r="F4696" s="92">
        <v>45899</v>
      </c>
      <c r="G4696" s="87">
        <v>889</v>
      </c>
      <c r="H4696" s="88">
        <v>14856.293359762141</v>
      </c>
      <c r="I4696" s="89">
        <v>19</v>
      </c>
      <c r="J4696" s="90">
        <v>14990</v>
      </c>
      <c r="K4696" s="85">
        <v>1</v>
      </c>
      <c r="L4696" s="85">
        <v>213</v>
      </c>
      <c r="M4696" s="85">
        <v>0</v>
      </c>
      <c r="N4696" s="82" t="s">
        <v>12114</v>
      </c>
      <c r="O4696" s="93">
        <v>45900.589398148149</v>
      </c>
    </row>
    <row r="4697" spans="1:15" ht="22.5" customHeight="1">
      <c r="A4697" s="85">
        <v>174904221976312</v>
      </c>
      <c r="B4697" s="82" t="s">
        <v>10651</v>
      </c>
      <c r="C4697" s="82" t="s">
        <v>12115</v>
      </c>
      <c r="D4697" s="82" t="s">
        <v>4295</v>
      </c>
      <c r="E4697" s="82">
        <v>6281513169730</v>
      </c>
      <c r="F4697" s="92">
        <v>45899</v>
      </c>
      <c r="G4697" s="87">
        <v>116</v>
      </c>
      <c r="H4697" s="88">
        <v>101561.98347107439</v>
      </c>
      <c r="I4697" s="89">
        <v>1</v>
      </c>
      <c r="J4697" s="90">
        <v>12289</v>
      </c>
      <c r="K4697" s="85">
        <v>0</v>
      </c>
      <c r="L4697" s="85">
        <v>0</v>
      </c>
      <c r="M4697" s="85">
        <v>0</v>
      </c>
      <c r="N4697" s="82" t="s">
        <v>12147</v>
      </c>
      <c r="O4697" s="93">
        <v>45900.484872685185</v>
      </c>
    </row>
    <row r="4698" spans="1:15" ht="22.5" customHeight="1">
      <c r="A4698" s="85">
        <v>174904221976312</v>
      </c>
      <c r="B4698" s="82" t="s">
        <v>10651</v>
      </c>
      <c r="C4698" s="82" t="s">
        <v>12052</v>
      </c>
      <c r="D4698" s="82" t="s">
        <v>4366</v>
      </c>
      <c r="E4698" s="82">
        <v>6287842913251</v>
      </c>
      <c r="F4698" s="92">
        <v>45899</v>
      </c>
      <c r="G4698" s="87">
        <v>423</v>
      </c>
      <c r="H4698" s="88">
        <v>29844.580777096115</v>
      </c>
      <c r="I4698" s="89">
        <v>4</v>
      </c>
      <c r="J4698" s="90">
        <v>14594</v>
      </c>
      <c r="K4698" s="85">
        <v>0</v>
      </c>
      <c r="L4698" s="85">
        <v>0</v>
      </c>
      <c r="M4698" s="85">
        <v>0</v>
      </c>
      <c r="N4698" s="82" t="s">
        <v>12148</v>
      </c>
      <c r="O4698" s="93">
        <v>45900.218784722223</v>
      </c>
    </row>
    <row r="4699" spans="1:15" ht="22.5" customHeight="1">
      <c r="A4699" s="85">
        <v>174904221976312</v>
      </c>
      <c r="B4699" s="82" t="s">
        <v>10651</v>
      </c>
      <c r="C4699" s="82" t="s">
        <v>12058</v>
      </c>
      <c r="D4699" s="82" t="s">
        <v>4516</v>
      </c>
      <c r="E4699" s="82">
        <v>6281315163838</v>
      </c>
      <c r="F4699" s="92">
        <v>45899</v>
      </c>
      <c r="G4699" s="87">
        <v>284</v>
      </c>
      <c r="H4699" s="88">
        <v>61706.08108108108</v>
      </c>
      <c r="I4699" s="89">
        <v>11</v>
      </c>
      <c r="J4699" s="90">
        <v>18265</v>
      </c>
      <c r="K4699" s="85">
        <v>4</v>
      </c>
      <c r="L4699" s="85">
        <v>122</v>
      </c>
      <c r="M4699" s="85">
        <v>0</v>
      </c>
      <c r="N4699" s="82" t="s">
        <v>12059</v>
      </c>
      <c r="O4699" s="93">
        <v>45900.526574074072</v>
      </c>
    </row>
    <row r="4700" spans="1:15" ht="22.5" customHeight="1">
      <c r="A4700" s="85">
        <v>174904221976312</v>
      </c>
      <c r="B4700" s="82" t="s">
        <v>10651</v>
      </c>
      <c r="C4700" s="82" t="s">
        <v>12013</v>
      </c>
      <c r="D4700" s="82" t="s">
        <v>12014</v>
      </c>
      <c r="E4700" s="82">
        <v>6282154318629</v>
      </c>
      <c r="F4700" s="92">
        <v>45899</v>
      </c>
      <c r="G4700" s="87">
        <v>613</v>
      </c>
      <c r="H4700" s="88">
        <v>23993.730407523512</v>
      </c>
      <c r="I4700" s="89">
        <v>4</v>
      </c>
      <c r="J4700" s="90">
        <v>15308</v>
      </c>
      <c r="K4700" s="85">
        <v>2</v>
      </c>
      <c r="L4700" s="85">
        <v>178</v>
      </c>
      <c r="M4700" s="85">
        <v>0</v>
      </c>
      <c r="N4700" s="82" t="s">
        <v>12015</v>
      </c>
      <c r="O4700" s="93">
        <v>45900.2187962963</v>
      </c>
    </row>
    <row r="4701" spans="1:15" ht="22.5" customHeight="1">
      <c r="A4701" s="85">
        <v>174904221976312</v>
      </c>
      <c r="B4701" s="82" t="s">
        <v>10651</v>
      </c>
      <c r="C4701" s="82" t="s">
        <v>12016</v>
      </c>
      <c r="D4701" s="82" t="s">
        <v>12017</v>
      </c>
      <c r="E4701" s="82">
        <v>6281210801646</v>
      </c>
      <c r="F4701" s="92">
        <v>45899</v>
      </c>
      <c r="G4701" s="87">
        <v>473</v>
      </c>
      <c r="H4701" s="88">
        <v>24067.729083665337</v>
      </c>
      <c r="I4701" s="89">
        <v>14</v>
      </c>
      <c r="J4701" s="90">
        <v>12082</v>
      </c>
      <c r="K4701" s="85">
        <v>1</v>
      </c>
      <c r="L4701" s="85">
        <v>161</v>
      </c>
      <c r="M4701" s="85">
        <v>0</v>
      </c>
      <c r="N4701" s="82" t="s">
        <v>12018</v>
      </c>
      <c r="O4701" s="93">
        <v>45900.443356481483</v>
      </c>
    </row>
    <row r="4702" spans="1:15" ht="22.5" customHeight="1">
      <c r="A4702" s="85">
        <v>174904221976312</v>
      </c>
      <c r="B4702" s="82" t="s">
        <v>10651</v>
      </c>
      <c r="C4702" s="82" t="s">
        <v>12022</v>
      </c>
      <c r="D4702" s="82" t="s">
        <v>11483</v>
      </c>
      <c r="E4702" s="82">
        <v>6285255115894</v>
      </c>
      <c r="F4702" s="92">
        <v>45899</v>
      </c>
      <c r="G4702" s="87">
        <v>1553</v>
      </c>
      <c r="H4702" s="88">
        <v>8294.6985446985436</v>
      </c>
      <c r="I4702" s="89">
        <v>27</v>
      </c>
      <c r="J4702" s="90">
        <v>15959</v>
      </c>
      <c r="K4702" s="85">
        <v>1</v>
      </c>
      <c r="L4702" s="85">
        <v>196</v>
      </c>
      <c r="M4702" s="85">
        <v>1</v>
      </c>
      <c r="N4702" s="82" t="s">
        <v>12023</v>
      </c>
      <c r="O4702" s="93">
        <v>45900.2187962963</v>
      </c>
    </row>
    <row r="4703" spans="1:15" ht="22.5" customHeight="1">
      <c r="A4703" s="85">
        <v>174904221976312</v>
      </c>
      <c r="B4703" s="82" t="s">
        <v>10651</v>
      </c>
      <c r="C4703" s="82" t="s">
        <v>12005</v>
      </c>
      <c r="D4703" s="82" t="s">
        <v>3092</v>
      </c>
      <c r="E4703" s="82">
        <v>6287740636181</v>
      </c>
      <c r="F4703" s="92">
        <v>45899</v>
      </c>
      <c r="G4703" s="87">
        <v>1203</v>
      </c>
      <c r="H4703" s="88">
        <v>12332.550860719875</v>
      </c>
      <c r="I4703" s="89">
        <v>26</v>
      </c>
      <c r="J4703" s="90">
        <v>15761</v>
      </c>
      <c r="K4703" s="85">
        <v>2</v>
      </c>
      <c r="L4703" s="85">
        <v>519</v>
      </c>
      <c r="M4703" s="85">
        <v>0</v>
      </c>
      <c r="N4703" s="82" t="s">
        <v>12006</v>
      </c>
      <c r="O4703" s="93">
        <v>45900.218807870369</v>
      </c>
    </row>
    <row r="4704" spans="1:15" ht="22.5" customHeight="1">
      <c r="A4704" s="85">
        <v>174904221976312</v>
      </c>
      <c r="B4704" s="82" t="s">
        <v>10651</v>
      </c>
      <c r="C4704" s="82" t="s">
        <v>12007</v>
      </c>
      <c r="D4704" s="82" t="s">
        <v>9010</v>
      </c>
      <c r="E4704" s="82">
        <v>6282160743576</v>
      </c>
      <c r="F4704" s="92">
        <v>45899</v>
      </c>
      <c r="G4704" s="87">
        <v>878</v>
      </c>
      <c r="H4704" s="88">
        <v>17525.531914893614</v>
      </c>
      <c r="I4704" s="89">
        <v>56</v>
      </c>
      <c r="J4704" s="90">
        <v>16474</v>
      </c>
      <c r="K4704" s="85">
        <v>11</v>
      </c>
      <c r="L4704" s="85">
        <v>460</v>
      </c>
      <c r="M4704" s="85">
        <v>2</v>
      </c>
      <c r="N4704" s="82" t="s">
        <v>12008</v>
      </c>
      <c r="O4704" s="93">
        <v>45900.609618055554</v>
      </c>
    </row>
    <row r="4705" spans="1:15" ht="22.5" customHeight="1">
      <c r="A4705" s="85">
        <v>174904221976312</v>
      </c>
      <c r="B4705" s="82" t="s">
        <v>10651</v>
      </c>
      <c r="C4705" s="82" t="s">
        <v>12009</v>
      </c>
      <c r="D4705" s="82" t="s">
        <v>11886</v>
      </c>
      <c r="E4705" s="82">
        <v>628179780980</v>
      </c>
      <c r="F4705" s="92">
        <v>45899</v>
      </c>
      <c r="G4705" s="87">
        <v>301</v>
      </c>
      <c r="H4705" s="88">
        <v>47688.524590163935</v>
      </c>
      <c r="I4705" s="89">
        <v>11</v>
      </c>
      <c r="J4705" s="90">
        <v>14545</v>
      </c>
      <c r="K4705" s="85">
        <v>1</v>
      </c>
      <c r="L4705" s="85">
        <v>88</v>
      </c>
      <c r="M4705" s="85">
        <v>0</v>
      </c>
      <c r="N4705" s="82" t="s">
        <v>12010</v>
      </c>
      <c r="O4705" s="93">
        <v>45900.218807870369</v>
      </c>
    </row>
    <row r="4706" spans="1:15" ht="22.5" customHeight="1">
      <c r="A4706" s="85">
        <v>174904221976312</v>
      </c>
      <c r="B4706" s="82" t="s">
        <v>10651</v>
      </c>
      <c r="C4706" s="82" t="s">
        <v>11905</v>
      </c>
      <c r="D4706" s="82" t="s">
        <v>11906</v>
      </c>
      <c r="E4706" s="82">
        <v>6285294617773</v>
      </c>
      <c r="F4706" s="92">
        <v>45899</v>
      </c>
      <c r="G4706" s="87">
        <v>271</v>
      </c>
      <c r="H4706" s="88">
        <v>39672.413793103442</v>
      </c>
      <c r="I4706" s="89">
        <v>7</v>
      </c>
      <c r="J4706" s="90">
        <v>11505</v>
      </c>
      <c r="K4706" s="85">
        <v>1</v>
      </c>
      <c r="L4706" s="85">
        <v>65</v>
      </c>
      <c r="M4706" s="85">
        <v>0</v>
      </c>
      <c r="N4706" s="82" t="s">
        <v>11907</v>
      </c>
      <c r="O4706" s="93">
        <v>45900.609618055554</v>
      </c>
    </row>
    <row r="4707" spans="1:15" ht="22.5" customHeight="1">
      <c r="A4707" s="85">
        <v>174904221976312</v>
      </c>
      <c r="B4707" s="82" t="s">
        <v>10651</v>
      </c>
      <c r="C4707" s="82" t="s">
        <v>11896</v>
      </c>
      <c r="D4707" s="82" t="s">
        <v>11897</v>
      </c>
      <c r="E4707" s="82">
        <v>6282153090123</v>
      </c>
      <c r="F4707" s="92">
        <v>45899</v>
      </c>
      <c r="G4707" s="87">
        <v>738</v>
      </c>
      <c r="H4707" s="88">
        <v>17923.926380368099</v>
      </c>
      <c r="I4707" s="89">
        <v>23</v>
      </c>
      <c r="J4707" s="90">
        <v>14608</v>
      </c>
      <c r="K4707" s="85">
        <v>1</v>
      </c>
      <c r="L4707" s="85">
        <v>386</v>
      </c>
      <c r="M4707" s="85">
        <v>0</v>
      </c>
      <c r="N4707" s="82" t="s">
        <v>11898</v>
      </c>
      <c r="O4707" s="93">
        <v>45900.464328703703</v>
      </c>
    </row>
    <row r="4708" spans="1:15" ht="22.5" customHeight="1">
      <c r="A4708" s="85">
        <v>174904221976312</v>
      </c>
      <c r="B4708" s="82" t="s">
        <v>10651</v>
      </c>
      <c r="C4708" s="82" t="s">
        <v>11865</v>
      </c>
      <c r="D4708" s="82" t="s">
        <v>11403</v>
      </c>
      <c r="E4708" s="82">
        <v>6283870060603</v>
      </c>
      <c r="F4708" s="92">
        <v>45899</v>
      </c>
      <c r="G4708" s="87">
        <v>403</v>
      </c>
      <c r="H4708" s="88">
        <v>40459.057071960298</v>
      </c>
      <c r="I4708" s="89">
        <v>27</v>
      </c>
      <c r="J4708" s="90">
        <v>16305</v>
      </c>
      <c r="K4708" s="85">
        <v>0</v>
      </c>
      <c r="L4708" s="85">
        <v>168</v>
      </c>
      <c r="M4708" s="85">
        <v>0</v>
      </c>
      <c r="N4708" s="82" t="s">
        <v>11866</v>
      </c>
      <c r="O4708" s="93">
        <v>45900.547129629631</v>
      </c>
    </row>
    <row r="4709" spans="1:15" ht="22.5" customHeight="1">
      <c r="A4709" s="85">
        <v>174904221976312</v>
      </c>
      <c r="B4709" s="82" t="s">
        <v>10651</v>
      </c>
      <c r="C4709" s="82" t="s">
        <v>11876</v>
      </c>
      <c r="D4709" s="82" t="s">
        <v>11877</v>
      </c>
      <c r="E4709" s="82">
        <v>6285748377961</v>
      </c>
      <c r="F4709" s="92">
        <v>45899</v>
      </c>
      <c r="G4709" s="87">
        <v>1533</v>
      </c>
      <c r="H4709" s="88">
        <v>9512.1373593842509</v>
      </c>
      <c r="I4709" s="89">
        <v>18</v>
      </c>
      <c r="J4709" s="90">
        <v>16066</v>
      </c>
      <c r="K4709" s="85">
        <v>0</v>
      </c>
      <c r="L4709" s="85">
        <v>391</v>
      </c>
      <c r="M4709" s="85">
        <v>1</v>
      </c>
      <c r="N4709" s="82" t="s">
        <v>11878</v>
      </c>
      <c r="O4709" s="93">
        <v>45900.630740740744</v>
      </c>
    </row>
    <row r="4710" spans="1:15" ht="22.5" customHeight="1">
      <c r="A4710" s="85">
        <v>174904221976312</v>
      </c>
      <c r="B4710" s="82" t="s">
        <v>10651</v>
      </c>
      <c r="C4710" s="82" t="s">
        <v>11879</v>
      </c>
      <c r="D4710" s="82" t="s">
        <v>11877</v>
      </c>
      <c r="E4710" s="82">
        <v>6285748377961</v>
      </c>
      <c r="F4710" s="92">
        <v>45899</v>
      </c>
      <c r="G4710" s="87">
        <v>792</v>
      </c>
      <c r="H4710" s="88">
        <v>18873.786407766987</v>
      </c>
      <c r="I4710" s="89">
        <v>17</v>
      </c>
      <c r="J4710" s="90">
        <v>15552</v>
      </c>
      <c r="K4710" s="85">
        <v>2</v>
      </c>
      <c r="L4710" s="85">
        <v>237</v>
      </c>
      <c r="M4710" s="85">
        <v>0</v>
      </c>
      <c r="N4710" s="82" t="s">
        <v>11878</v>
      </c>
      <c r="O4710" s="93">
        <v>45900.589004629626</v>
      </c>
    </row>
    <row r="4711" spans="1:15" ht="22.5" customHeight="1">
      <c r="A4711" s="85">
        <v>174904221976312</v>
      </c>
      <c r="B4711" s="82" t="s">
        <v>10651</v>
      </c>
      <c r="C4711" s="82" t="s">
        <v>11838</v>
      </c>
      <c r="D4711" s="82" t="s">
        <v>11839</v>
      </c>
      <c r="E4711" s="82">
        <v>6287797504113</v>
      </c>
      <c r="F4711" s="92">
        <v>45899</v>
      </c>
      <c r="G4711" s="87">
        <v>208</v>
      </c>
      <c r="H4711" s="88">
        <v>66410.256410256407</v>
      </c>
      <c r="I4711" s="89">
        <v>17</v>
      </c>
      <c r="J4711" s="90">
        <v>15540</v>
      </c>
      <c r="K4711" s="85">
        <v>1</v>
      </c>
      <c r="L4711" s="85">
        <v>56</v>
      </c>
      <c r="M4711" s="85">
        <v>0</v>
      </c>
      <c r="N4711" s="82" t="s">
        <v>12149</v>
      </c>
      <c r="O4711" s="93">
        <v>45900.464317129627</v>
      </c>
    </row>
    <row r="4712" spans="1:15" ht="22.5" customHeight="1">
      <c r="A4712" s="85">
        <v>174904221976312</v>
      </c>
      <c r="B4712" s="82" t="s">
        <v>10651</v>
      </c>
      <c r="C4712" s="82" t="s">
        <v>11792</v>
      </c>
      <c r="D4712" s="82" t="s">
        <v>11793</v>
      </c>
      <c r="E4712" s="82">
        <v>6281915041833</v>
      </c>
      <c r="F4712" s="92">
        <v>45899</v>
      </c>
      <c r="G4712" s="87">
        <v>526</v>
      </c>
      <c r="H4712" s="88">
        <v>26342.419080068143</v>
      </c>
      <c r="I4712" s="89">
        <v>8</v>
      </c>
      <c r="J4712" s="90">
        <v>15463</v>
      </c>
      <c r="K4712" s="85">
        <v>0</v>
      </c>
      <c r="L4712" s="85">
        <v>0</v>
      </c>
      <c r="M4712" s="85">
        <v>1</v>
      </c>
      <c r="N4712" s="82" t="s">
        <v>11794</v>
      </c>
      <c r="O4712" s="93">
        <v>45900.422106481485</v>
      </c>
    </row>
    <row r="4713" spans="1:15" ht="22.5" customHeight="1">
      <c r="A4713" s="85">
        <v>174904221976312</v>
      </c>
      <c r="B4713" s="82" t="s">
        <v>10651</v>
      </c>
      <c r="C4713" s="82" t="s">
        <v>11799</v>
      </c>
      <c r="D4713" s="82" t="s">
        <v>11800</v>
      </c>
      <c r="E4713" s="82">
        <v>6285333751528</v>
      </c>
      <c r="F4713" s="92">
        <v>45899</v>
      </c>
      <c r="G4713" s="87">
        <v>890</v>
      </c>
      <c r="H4713" s="88">
        <v>15435.714285714284</v>
      </c>
      <c r="I4713" s="89">
        <v>11</v>
      </c>
      <c r="J4713" s="90">
        <v>15127</v>
      </c>
      <c r="K4713" s="85">
        <v>1</v>
      </c>
      <c r="L4713" s="85">
        <v>0</v>
      </c>
      <c r="M4713" s="85">
        <v>0</v>
      </c>
      <c r="N4713" s="82" t="s">
        <v>11801</v>
      </c>
      <c r="O4713" s="93">
        <v>45900.505578703705</v>
      </c>
    </row>
    <row r="4714" spans="1:15" ht="22.5" customHeight="1">
      <c r="A4714" s="85">
        <v>174904221976312</v>
      </c>
      <c r="B4714" s="82" t="s">
        <v>10651</v>
      </c>
      <c r="C4714" s="82" t="s">
        <v>11766</v>
      </c>
      <c r="D4714" s="82" t="s">
        <v>11767</v>
      </c>
      <c r="E4714" s="82">
        <v>6281225101319</v>
      </c>
      <c r="F4714" s="92">
        <v>45899</v>
      </c>
      <c r="G4714" s="87">
        <v>291</v>
      </c>
      <c r="H4714" s="88">
        <v>46765.060240963852</v>
      </c>
      <c r="I4714" s="89">
        <v>10</v>
      </c>
      <c r="J4714" s="90">
        <v>15526</v>
      </c>
      <c r="K4714" s="85">
        <v>0</v>
      </c>
      <c r="L4714" s="85">
        <v>0</v>
      </c>
      <c r="M4714" s="85">
        <v>0</v>
      </c>
      <c r="N4714" s="82" t="s">
        <v>12150</v>
      </c>
      <c r="O4714" s="93">
        <v>45900.609618055554</v>
      </c>
    </row>
    <row r="4715" spans="1:15" ht="22.5" customHeight="1">
      <c r="A4715" s="85">
        <v>174904221976312</v>
      </c>
      <c r="B4715" s="82" t="s">
        <v>10651</v>
      </c>
      <c r="C4715" s="82" t="s">
        <v>11780</v>
      </c>
      <c r="D4715" s="82" t="s">
        <v>11781</v>
      </c>
      <c r="E4715" s="82">
        <v>6282129364133</v>
      </c>
      <c r="F4715" s="92">
        <v>45899</v>
      </c>
      <c r="G4715" s="87">
        <v>431</v>
      </c>
      <c r="H4715" s="88">
        <v>28733.962264150941</v>
      </c>
      <c r="I4715" s="89">
        <v>13</v>
      </c>
      <c r="J4715" s="90">
        <v>15229</v>
      </c>
      <c r="K4715" s="85">
        <v>0</v>
      </c>
      <c r="L4715" s="85">
        <v>0</v>
      </c>
      <c r="M4715" s="85">
        <v>0</v>
      </c>
      <c r="N4715" s="82" t="s">
        <v>11782</v>
      </c>
      <c r="O4715" s="93">
        <v>45900.484594907408</v>
      </c>
    </row>
    <row r="4716" spans="1:15" ht="22.5" customHeight="1">
      <c r="A4716" s="85">
        <v>174904221976312</v>
      </c>
      <c r="B4716" s="82" t="s">
        <v>10651</v>
      </c>
      <c r="C4716" s="82" t="s">
        <v>11755</v>
      </c>
      <c r="D4716" s="82" t="s">
        <v>11756</v>
      </c>
      <c r="E4716" s="82">
        <v>6281357754513</v>
      </c>
      <c r="F4716" s="92">
        <v>45899</v>
      </c>
      <c r="G4716" s="87">
        <v>422</v>
      </c>
      <c r="H4716" s="88">
        <v>29854.368932038833</v>
      </c>
      <c r="I4716" s="89">
        <v>12</v>
      </c>
      <c r="J4716" s="90">
        <v>15375</v>
      </c>
      <c r="K4716" s="85">
        <v>3</v>
      </c>
      <c r="L4716" s="85">
        <v>0</v>
      </c>
      <c r="M4716" s="85">
        <v>0</v>
      </c>
      <c r="N4716" s="82" t="s">
        <v>12151</v>
      </c>
      <c r="O4716" s="93">
        <v>45900.464328703703</v>
      </c>
    </row>
    <row r="4717" spans="1:15" ht="22.5" customHeight="1">
      <c r="A4717" s="85">
        <v>174904221976312</v>
      </c>
      <c r="B4717" s="82" t="s">
        <v>10651</v>
      </c>
      <c r="C4717" s="82" t="s">
        <v>11758</v>
      </c>
      <c r="D4717" s="82" t="s">
        <v>11759</v>
      </c>
      <c r="E4717" s="82">
        <v>6285946504405</v>
      </c>
      <c r="F4717" s="92">
        <v>45899</v>
      </c>
      <c r="G4717" s="87">
        <v>713</v>
      </c>
      <c r="H4717" s="88">
        <v>19136.304062909567</v>
      </c>
      <c r="I4717" s="89">
        <v>18</v>
      </c>
      <c r="J4717" s="90">
        <v>14601</v>
      </c>
      <c r="K4717" s="85">
        <v>0</v>
      </c>
      <c r="L4717" s="85">
        <v>261</v>
      </c>
      <c r="M4717" s="85">
        <v>0</v>
      </c>
      <c r="N4717" s="82" t="s">
        <v>11760</v>
      </c>
      <c r="O4717" s="93">
        <v>45900.651759259257</v>
      </c>
    </row>
    <row r="4718" spans="1:15" ht="22.5" customHeight="1">
      <c r="A4718" s="85">
        <v>174904221976312</v>
      </c>
      <c r="B4718" s="82" t="s">
        <v>10651</v>
      </c>
      <c r="C4718" s="82" t="s">
        <v>11761</v>
      </c>
      <c r="D4718" s="82" t="s">
        <v>3438</v>
      </c>
      <c r="E4718" s="82">
        <v>628154336558</v>
      </c>
      <c r="F4718" s="92">
        <v>45899</v>
      </c>
      <c r="G4718" s="87">
        <v>1421</v>
      </c>
      <c r="H4718" s="88">
        <v>10633.60560093349</v>
      </c>
      <c r="I4718" s="89">
        <v>20</v>
      </c>
      <c r="J4718" s="90">
        <v>18226</v>
      </c>
      <c r="K4718" s="85">
        <v>0</v>
      </c>
      <c r="L4718" s="85">
        <v>157</v>
      </c>
      <c r="M4718" s="85">
        <v>0</v>
      </c>
      <c r="N4718" s="82" t="s">
        <v>12152</v>
      </c>
      <c r="O4718" s="93">
        <v>45900.401770833334</v>
      </c>
    </row>
    <row r="4719" spans="1:15" ht="22.5" customHeight="1">
      <c r="A4719" s="85">
        <v>174904221976312</v>
      </c>
      <c r="B4719" s="82" t="s">
        <v>10651</v>
      </c>
      <c r="C4719" s="82" t="s">
        <v>11763</v>
      </c>
      <c r="D4719" s="82" t="s">
        <v>11764</v>
      </c>
      <c r="E4719" s="82">
        <v>6282384544939</v>
      </c>
      <c r="F4719" s="92">
        <v>45899</v>
      </c>
      <c r="G4719" s="87">
        <v>651</v>
      </c>
      <c r="H4719" s="88">
        <v>18850.4326328801</v>
      </c>
      <c r="I4719" s="89">
        <v>9</v>
      </c>
      <c r="J4719" s="90">
        <v>15250</v>
      </c>
      <c r="K4719" s="85">
        <v>0</v>
      </c>
      <c r="L4719" s="85">
        <v>0</v>
      </c>
      <c r="M4719" s="85">
        <v>0</v>
      </c>
      <c r="N4719" s="82" t="s">
        <v>12153</v>
      </c>
      <c r="O4719" s="93">
        <v>45900.505578703705</v>
      </c>
    </row>
    <row r="4720" spans="1:15" ht="22.5" customHeight="1">
      <c r="A4720" s="85">
        <v>174904221976312</v>
      </c>
      <c r="B4720" s="82" t="s">
        <v>10651</v>
      </c>
      <c r="C4720" s="82" t="s">
        <v>11578</v>
      </c>
      <c r="D4720" s="82" t="s">
        <v>1624</v>
      </c>
      <c r="E4720" s="82">
        <v>6281938384000</v>
      </c>
      <c r="F4720" s="92">
        <v>45899</v>
      </c>
      <c r="G4720" s="87">
        <v>1339</v>
      </c>
      <c r="H4720" s="88">
        <v>9030.7189542483666</v>
      </c>
      <c r="I4720" s="89">
        <v>23</v>
      </c>
      <c r="J4720" s="90">
        <v>13817</v>
      </c>
      <c r="K4720" s="85">
        <v>1</v>
      </c>
      <c r="L4720" s="85">
        <v>0</v>
      </c>
      <c r="M4720" s="85">
        <v>0</v>
      </c>
      <c r="N4720" s="82" t="s">
        <v>12154</v>
      </c>
      <c r="O4720" s="93">
        <v>45900.630949074075</v>
      </c>
    </row>
    <row r="4721" spans="1:15" ht="22.5" customHeight="1">
      <c r="A4721" s="85">
        <v>174904221976312</v>
      </c>
      <c r="B4721" s="82" t="s">
        <v>10651</v>
      </c>
      <c r="C4721" s="82" t="s">
        <v>11580</v>
      </c>
      <c r="D4721" s="82" t="s">
        <v>11581</v>
      </c>
      <c r="E4721" s="82">
        <v>6287790276733</v>
      </c>
      <c r="F4721" s="92">
        <v>45899</v>
      </c>
      <c r="G4721" s="87">
        <v>727</v>
      </c>
      <c r="H4721" s="88">
        <v>17374.863387978141</v>
      </c>
      <c r="I4721" s="89">
        <v>8</v>
      </c>
      <c r="J4721" s="90">
        <v>15898</v>
      </c>
      <c r="K4721" s="85">
        <v>0</v>
      </c>
      <c r="L4721" s="85">
        <v>0</v>
      </c>
      <c r="M4721" s="85">
        <v>0</v>
      </c>
      <c r="N4721" s="82" t="s">
        <v>11582</v>
      </c>
      <c r="O4721" s="93">
        <v>45900.50582175926</v>
      </c>
    </row>
    <row r="4722" spans="1:15" ht="22.5" customHeight="1">
      <c r="A4722" s="85">
        <v>174904221976312</v>
      </c>
      <c r="B4722" s="82" t="s">
        <v>10651</v>
      </c>
      <c r="C4722" s="82" t="s">
        <v>11165</v>
      </c>
      <c r="D4722" s="82" t="s">
        <v>1759</v>
      </c>
      <c r="E4722" s="82">
        <v>6285311472244</v>
      </c>
      <c r="F4722" s="92">
        <v>45899</v>
      </c>
      <c r="G4722" s="87">
        <v>1341</v>
      </c>
      <c r="H4722" s="88">
        <v>9217.2158708809693</v>
      </c>
      <c r="I4722" s="89">
        <v>24</v>
      </c>
      <c r="J4722" s="90">
        <v>13706</v>
      </c>
      <c r="K4722" s="85">
        <v>1</v>
      </c>
      <c r="L4722" s="85">
        <v>0</v>
      </c>
      <c r="M4722" s="85">
        <v>0</v>
      </c>
      <c r="N4722" s="82" t="s">
        <v>11166</v>
      </c>
      <c r="O4722" s="93">
        <v>45900.63076388889</v>
      </c>
    </row>
    <row r="4723" spans="1:15" ht="22.5" customHeight="1">
      <c r="A4723" s="85">
        <v>174904221976312</v>
      </c>
      <c r="B4723" s="82" t="s">
        <v>10651</v>
      </c>
      <c r="C4723" s="82" t="s">
        <v>10853</v>
      </c>
      <c r="D4723" s="82" t="s">
        <v>10854</v>
      </c>
      <c r="E4723" s="82">
        <v>6281393958199</v>
      </c>
      <c r="F4723" s="92">
        <v>45899</v>
      </c>
      <c r="G4723" s="87">
        <v>403</v>
      </c>
      <c r="H4723" s="88">
        <v>33598.814229249016</v>
      </c>
      <c r="I4723" s="89">
        <v>5</v>
      </c>
      <c r="J4723" s="90">
        <v>17001</v>
      </c>
      <c r="K4723" s="85">
        <v>0</v>
      </c>
      <c r="L4723" s="85">
        <v>0</v>
      </c>
      <c r="M4723" s="85">
        <v>0</v>
      </c>
      <c r="N4723" s="82" t="s">
        <v>12155</v>
      </c>
      <c r="O4723" s="93">
        <v>45900.526574074072</v>
      </c>
    </row>
    <row r="4724" spans="1:15" ht="22.5" customHeight="1">
      <c r="A4724" s="85">
        <v>759724529202804</v>
      </c>
      <c r="B4724" s="82" t="s">
        <v>10621</v>
      </c>
      <c r="C4724" s="82" t="s">
        <v>11055</v>
      </c>
      <c r="D4724" s="82" t="s">
        <v>1021</v>
      </c>
      <c r="E4724" s="82"/>
      <c r="F4724" s="92">
        <v>45900</v>
      </c>
      <c r="G4724" s="87">
        <v>503</v>
      </c>
      <c r="H4724" s="88">
        <v>37480.158730158728</v>
      </c>
      <c r="I4724" s="89">
        <v>7</v>
      </c>
      <c r="J4724" s="90">
        <v>18890</v>
      </c>
      <c r="K4724" s="85">
        <v>3</v>
      </c>
      <c r="L4724" s="85">
        <v>111</v>
      </c>
      <c r="M4724" s="85">
        <v>0</v>
      </c>
      <c r="N4724" s="82" t="s">
        <v>11056</v>
      </c>
      <c r="O4724" s="93">
        <v>45901.227256944447</v>
      </c>
    </row>
    <row r="4725" spans="1:15" ht="22.5" customHeight="1">
      <c r="A4725" s="85">
        <v>174904221976312</v>
      </c>
      <c r="B4725" s="82" t="s">
        <v>10651</v>
      </c>
      <c r="C4725" s="82" t="s">
        <v>12176</v>
      </c>
      <c r="D4725" s="82" t="s">
        <v>12177</v>
      </c>
      <c r="E4725" s="82">
        <v>6285748377961</v>
      </c>
      <c r="F4725" s="92">
        <v>45900</v>
      </c>
      <c r="G4725" s="87">
        <v>109</v>
      </c>
      <c r="H4725" s="88">
        <v>14669.642857142857</v>
      </c>
      <c r="I4725" s="89">
        <v>4</v>
      </c>
      <c r="J4725" s="90">
        <v>1643</v>
      </c>
      <c r="K4725" s="85">
        <v>0</v>
      </c>
      <c r="L4725" s="85">
        <v>0</v>
      </c>
      <c r="M4725" s="85">
        <v>0</v>
      </c>
      <c r="N4725" s="82" t="s">
        <v>12178</v>
      </c>
      <c r="O4725" s="93">
        <v>45901.463935185187</v>
      </c>
    </row>
    <row r="4726" spans="1:15" ht="22.5" customHeight="1">
      <c r="A4726" s="85">
        <v>174904221976312</v>
      </c>
      <c r="B4726" s="82" t="s">
        <v>10651</v>
      </c>
      <c r="C4726" s="82" t="s">
        <v>12179</v>
      </c>
      <c r="D4726" s="82" t="s">
        <v>12180</v>
      </c>
      <c r="E4726" s="82">
        <v>6281222200099</v>
      </c>
      <c r="F4726" s="92">
        <v>45900</v>
      </c>
      <c r="G4726" s="87">
        <v>68</v>
      </c>
      <c r="H4726" s="88">
        <v>25291.666666666668</v>
      </c>
      <c r="I4726" s="89">
        <v>3</v>
      </c>
      <c r="J4726" s="90">
        <v>1821</v>
      </c>
      <c r="K4726" s="85">
        <v>1</v>
      </c>
      <c r="L4726" s="85">
        <v>2</v>
      </c>
      <c r="M4726" s="85">
        <v>0</v>
      </c>
      <c r="N4726" s="82" t="s">
        <v>12181</v>
      </c>
      <c r="O4726" s="93">
        <v>45901.526307870372</v>
      </c>
    </row>
    <row r="4727" spans="1:15" ht="22.5" customHeight="1">
      <c r="A4727" s="85">
        <v>174904221976312</v>
      </c>
      <c r="B4727" s="82" t="s">
        <v>10651</v>
      </c>
      <c r="C4727" s="82" t="s">
        <v>12182</v>
      </c>
      <c r="D4727" s="82" t="s">
        <v>12183</v>
      </c>
      <c r="E4727" s="82">
        <v>6285645712595</v>
      </c>
      <c r="F4727" s="92">
        <v>45900</v>
      </c>
      <c r="G4727" s="87">
        <v>286</v>
      </c>
      <c r="H4727" s="88">
        <v>25323.232323232322</v>
      </c>
      <c r="I4727" s="89">
        <v>3</v>
      </c>
      <c r="J4727" s="90">
        <v>7521</v>
      </c>
      <c r="K4727" s="85">
        <v>1</v>
      </c>
      <c r="L4727" s="85">
        <v>21</v>
      </c>
      <c r="M4727" s="85">
        <v>0</v>
      </c>
      <c r="N4727" s="82" t="s">
        <v>12184</v>
      </c>
      <c r="O4727" s="93">
        <v>45901.464212962965</v>
      </c>
    </row>
    <row r="4728" spans="1:15" ht="22.5" customHeight="1">
      <c r="A4728" s="85">
        <v>174904221976312</v>
      </c>
      <c r="B4728" s="82" t="s">
        <v>10651</v>
      </c>
      <c r="C4728" s="82" t="s">
        <v>12185</v>
      </c>
      <c r="D4728" s="82" t="s">
        <v>12186</v>
      </c>
      <c r="E4728" s="82">
        <v>6285771466144</v>
      </c>
      <c r="F4728" s="92">
        <v>45900</v>
      </c>
      <c r="G4728" s="87">
        <v>833</v>
      </c>
      <c r="H4728" s="88">
        <v>13574.132492113564</v>
      </c>
      <c r="I4728" s="89">
        <v>12</v>
      </c>
      <c r="J4728" s="90">
        <v>12909</v>
      </c>
      <c r="K4728" s="85">
        <v>2</v>
      </c>
      <c r="L4728" s="85">
        <v>62</v>
      </c>
      <c r="M4728" s="85">
        <v>0</v>
      </c>
      <c r="N4728" s="82" t="s">
        <v>12187</v>
      </c>
      <c r="O4728" s="93">
        <v>45901.714166666665</v>
      </c>
    </row>
    <row r="4729" spans="1:15" ht="22.5" customHeight="1">
      <c r="A4729" s="85">
        <v>174904221976312</v>
      </c>
      <c r="B4729" s="82" t="s">
        <v>10651</v>
      </c>
      <c r="C4729" s="82" t="s">
        <v>12188</v>
      </c>
      <c r="D4729" s="82" t="s">
        <v>12189</v>
      </c>
      <c r="E4729" s="82">
        <v>6285864550854</v>
      </c>
      <c r="F4729" s="92">
        <v>45900</v>
      </c>
      <c r="G4729" s="87">
        <v>344</v>
      </c>
      <c r="H4729" s="88">
        <v>30229.268292682929</v>
      </c>
      <c r="I4729" s="89">
        <v>12</v>
      </c>
      <c r="J4729" s="90">
        <v>12394</v>
      </c>
      <c r="K4729" s="85">
        <v>3</v>
      </c>
      <c r="L4729" s="85">
        <v>12</v>
      </c>
      <c r="M4729" s="85">
        <v>0</v>
      </c>
      <c r="N4729" s="82" t="s">
        <v>12190</v>
      </c>
      <c r="O4729" s="93">
        <v>45901.755949074075</v>
      </c>
    </row>
    <row r="4730" spans="1:15" ht="22.5" customHeight="1">
      <c r="A4730" s="85">
        <v>174904221976312</v>
      </c>
      <c r="B4730" s="82" t="s">
        <v>10651</v>
      </c>
      <c r="C4730" s="82" t="s">
        <v>12191</v>
      </c>
      <c r="D4730" s="82" t="s">
        <v>12192</v>
      </c>
      <c r="E4730" s="82">
        <v>6289606523838</v>
      </c>
      <c r="F4730" s="92">
        <v>45900</v>
      </c>
      <c r="G4730" s="87">
        <v>1074</v>
      </c>
      <c r="H4730" s="88">
        <v>8401.6337644656232</v>
      </c>
      <c r="I4730" s="89">
        <v>15</v>
      </c>
      <c r="J4730" s="90">
        <v>12342</v>
      </c>
      <c r="K4730" s="85">
        <v>1</v>
      </c>
      <c r="L4730" s="85">
        <v>12</v>
      </c>
      <c r="M4730" s="85">
        <v>0</v>
      </c>
      <c r="N4730" s="82" t="s">
        <v>12193</v>
      </c>
      <c r="O4730" s="93">
        <v>45901.547997685186</v>
      </c>
    </row>
    <row r="4731" spans="1:15" ht="22.5" customHeight="1">
      <c r="A4731" s="85">
        <v>174904221976312</v>
      </c>
      <c r="B4731" s="82" t="s">
        <v>10651</v>
      </c>
      <c r="C4731" s="82" t="s">
        <v>12194</v>
      </c>
      <c r="D4731" s="82" t="s">
        <v>12137</v>
      </c>
      <c r="E4731" s="82">
        <v>6287863509004</v>
      </c>
      <c r="F4731" s="92">
        <v>45900</v>
      </c>
      <c r="G4731" s="87">
        <v>895</v>
      </c>
      <c r="H4731" s="88">
        <v>9877.6223776223778</v>
      </c>
      <c r="I4731" s="89">
        <v>12</v>
      </c>
      <c r="J4731" s="90">
        <v>11300</v>
      </c>
      <c r="K4731" s="85">
        <v>1</v>
      </c>
      <c r="L4731" s="85">
        <v>58</v>
      </c>
      <c r="M4731" s="85">
        <v>0</v>
      </c>
      <c r="N4731" s="82" t="s">
        <v>12195</v>
      </c>
      <c r="O4731" s="93">
        <v>45901.818379629629</v>
      </c>
    </row>
    <row r="4732" spans="1:15" ht="22.5" customHeight="1">
      <c r="A4732" s="85">
        <v>174904221976312</v>
      </c>
      <c r="B4732" s="82" t="s">
        <v>10651</v>
      </c>
      <c r="C4732" s="82" t="s">
        <v>12196</v>
      </c>
      <c r="D4732" s="82" t="s">
        <v>12134</v>
      </c>
      <c r="E4732" s="82">
        <v>6285194619788</v>
      </c>
      <c r="F4732" s="92">
        <v>45900</v>
      </c>
      <c r="G4732" s="87">
        <v>429</v>
      </c>
      <c r="H4732" s="88">
        <v>27376.984126984127</v>
      </c>
      <c r="I4732" s="89">
        <v>43</v>
      </c>
      <c r="J4732" s="90">
        <v>13798</v>
      </c>
      <c r="K4732" s="85">
        <v>10</v>
      </c>
      <c r="L4732" s="85">
        <v>34</v>
      </c>
      <c r="M4732" s="85">
        <v>1</v>
      </c>
      <c r="N4732" s="82" t="s">
        <v>12135</v>
      </c>
      <c r="O4732" s="93">
        <v>45901.672094907408</v>
      </c>
    </row>
    <row r="4733" spans="1:15" ht="22.5" customHeight="1">
      <c r="A4733" s="85">
        <v>174904221976312</v>
      </c>
      <c r="B4733" s="82" t="s">
        <v>10651</v>
      </c>
      <c r="C4733" s="82" t="s">
        <v>12156</v>
      </c>
      <c r="D4733" s="82" t="s">
        <v>4718</v>
      </c>
      <c r="E4733" s="82">
        <v>62811955059</v>
      </c>
      <c r="F4733" s="92">
        <v>45900</v>
      </c>
      <c r="G4733" s="87">
        <v>324</v>
      </c>
      <c r="H4733" s="88">
        <v>29906.077348066297</v>
      </c>
      <c r="I4733" s="89">
        <v>8</v>
      </c>
      <c r="J4733" s="90">
        <v>10826</v>
      </c>
      <c r="K4733" s="85">
        <v>2</v>
      </c>
      <c r="L4733" s="85">
        <v>117</v>
      </c>
      <c r="M4733" s="85">
        <v>0</v>
      </c>
      <c r="N4733" s="82" t="s">
        <v>12157</v>
      </c>
      <c r="O4733" s="93">
        <v>45901.484861111108</v>
      </c>
    </row>
    <row r="4734" spans="1:15" ht="22.5" customHeight="1">
      <c r="A4734" s="85">
        <v>174904221976312</v>
      </c>
      <c r="B4734" s="82" t="s">
        <v>10651</v>
      </c>
      <c r="C4734" s="82" t="s">
        <v>12158</v>
      </c>
      <c r="D4734" s="82" t="s">
        <v>12159</v>
      </c>
      <c r="E4734" s="82">
        <v>6281545971465</v>
      </c>
      <c r="F4734" s="92">
        <v>45900</v>
      </c>
      <c r="G4734" s="87">
        <v>319</v>
      </c>
      <c r="H4734" s="88">
        <v>41075.581395348832</v>
      </c>
      <c r="I4734" s="89">
        <v>4</v>
      </c>
      <c r="J4734" s="90">
        <v>14130</v>
      </c>
      <c r="K4734" s="85">
        <v>0</v>
      </c>
      <c r="L4734" s="85">
        <v>65</v>
      </c>
      <c r="M4734" s="85">
        <v>0</v>
      </c>
      <c r="N4734" s="82" t="s">
        <v>12160</v>
      </c>
      <c r="O4734" s="93">
        <v>45901.568206018521</v>
      </c>
    </row>
    <row r="4735" spans="1:15" ht="22.5" customHeight="1">
      <c r="A4735" s="85">
        <v>174904221976312</v>
      </c>
      <c r="B4735" s="82" t="s">
        <v>10651</v>
      </c>
      <c r="C4735" s="82" t="s">
        <v>12161</v>
      </c>
      <c r="D4735" s="82" t="s">
        <v>12162</v>
      </c>
      <c r="E4735" s="82">
        <v>6285338058843</v>
      </c>
      <c r="F4735" s="92">
        <v>45900</v>
      </c>
      <c r="G4735" s="87">
        <v>820</v>
      </c>
      <c r="H4735" s="88">
        <v>13657.327586206897</v>
      </c>
      <c r="I4735" s="89">
        <v>15</v>
      </c>
      <c r="J4735" s="90">
        <v>12674</v>
      </c>
      <c r="K4735" s="85">
        <v>2</v>
      </c>
      <c r="L4735" s="85">
        <v>157</v>
      </c>
      <c r="M4735" s="85">
        <v>0</v>
      </c>
      <c r="N4735" s="82" t="s">
        <v>12197</v>
      </c>
      <c r="O4735" s="93">
        <v>45901.698553240742</v>
      </c>
    </row>
    <row r="4736" spans="1:15" ht="22.5" customHeight="1">
      <c r="A4736" s="85">
        <v>174904221976312</v>
      </c>
      <c r="B4736" s="82" t="s">
        <v>10651</v>
      </c>
      <c r="C4736" s="82" t="s">
        <v>12164</v>
      </c>
      <c r="D4736" s="82" t="s">
        <v>12165</v>
      </c>
      <c r="E4736" s="82">
        <v>6285787104091</v>
      </c>
      <c r="F4736" s="92">
        <v>45900</v>
      </c>
      <c r="G4736" s="87">
        <v>906</v>
      </c>
      <c r="H4736" s="88">
        <v>13141.335914811229</v>
      </c>
      <c r="I4736" s="89">
        <v>21</v>
      </c>
      <c r="J4736" s="90">
        <v>13575</v>
      </c>
      <c r="K4736" s="85">
        <v>0</v>
      </c>
      <c r="L4736" s="85">
        <v>0</v>
      </c>
      <c r="M4736" s="85">
        <v>0</v>
      </c>
      <c r="N4736" s="82" t="s">
        <v>12198</v>
      </c>
      <c r="O4736" s="93">
        <v>45901.691793981481</v>
      </c>
    </row>
    <row r="4737" spans="1:15" ht="22.5" customHeight="1">
      <c r="A4737" s="85">
        <v>174904221976312</v>
      </c>
      <c r="B4737" s="82" t="s">
        <v>10651</v>
      </c>
      <c r="C4737" s="82" t="s">
        <v>12167</v>
      </c>
      <c r="D4737" s="82" t="s">
        <v>6402</v>
      </c>
      <c r="E4737" s="82">
        <v>6285361118289</v>
      </c>
      <c r="F4737" s="92">
        <v>45900</v>
      </c>
      <c r="G4737" s="87">
        <v>707</v>
      </c>
      <c r="H4737" s="88">
        <v>16285.175879396984</v>
      </c>
      <c r="I4737" s="89">
        <v>22</v>
      </c>
      <c r="J4737" s="90">
        <v>12963</v>
      </c>
      <c r="K4737" s="85">
        <v>4</v>
      </c>
      <c r="L4737" s="85">
        <v>224</v>
      </c>
      <c r="M4737" s="85">
        <v>0</v>
      </c>
      <c r="N4737" s="82" t="s">
        <v>12168</v>
      </c>
      <c r="O4737" s="93">
        <v>45901.526562500003</v>
      </c>
    </row>
    <row r="4738" spans="1:15" ht="22.5" customHeight="1">
      <c r="A4738" s="85">
        <v>174904221976312</v>
      </c>
      <c r="B4738" s="82" t="s">
        <v>10651</v>
      </c>
      <c r="C4738" s="82" t="s">
        <v>12169</v>
      </c>
      <c r="D4738" s="82" t="s">
        <v>4755</v>
      </c>
      <c r="E4738" s="82">
        <v>6281381118500</v>
      </c>
      <c r="F4738" s="92">
        <v>45900</v>
      </c>
      <c r="G4738" s="87">
        <v>313</v>
      </c>
      <c r="H4738" s="88">
        <v>35290.760869565216</v>
      </c>
      <c r="I4738" s="89">
        <v>4</v>
      </c>
      <c r="J4738" s="90">
        <v>12987</v>
      </c>
      <c r="K4738" s="85">
        <v>3</v>
      </c>
      <c r="L4738" s="85">
        <v>56</v>
      </c>
      <c r="M4738" s="85">
        <v>1</v>
      </c>
      <c r="N4738" s="82" t="s">
        <v>12170</v>
      </c>
      <c r="O4738" s="93">
        <v>45901.526296296295</v>
      </c>
    </row>
    <row r="4739" spans="1:15" ht="22.5" customHeight="1">
      <c r="A4739" s="85">
        <v>174904221976312</v>
      </c>
      <c r="B4739" s="82" t="s">
        <v>10651</v>
      </c>
      <c r="C4739" s="82" t="s">
        <v>12171</v>
      </c>
      <c r="D4739" s="82" t="s">
        <v>4386</v>
      </c>
      <c r="E4739" s="82">
        <v>62818533354</v>
      </c>
      <c r="F4739" s="92">
        <v>45900</v>
      </c>
      <c r="G4739" s="87">
        <v>288</v>
      </c>
      <c r="H4739" s="88">
        <v>35954.954954954956</v>
      </c>
      <c r="I4739" s="89">
        <v>3</v>
      </c>
      <c r="J4739" s="90">
        <v>11973</v>
      </c>
      <c r="K4739" s="85">
        <v>1</v>
      </c>
      <c r="L4739" s="85">
        <v>121</v>
      </c>
      <c r="M4739" s="85">
        <v>0</v>
      </c>
      <c r="N4739" s="82" t="s">
        <v>12172</v>
      </c>
      <c r="O4739" s="93">
        <v>45901.609942129631</v>
      </c>
    </row>
    <row r="4740" spans="1:15" ht="22.5" customHeight="1">
      <c r="A4740" s="85">
        <v>174904221976312</v>
      </c>
      <c r="B4740" s="82" t="s">
        <v>10651</v>
      </c>
      <c r="C4740" s="82" t="s">
        <v>12173</v>
      </c>
      <c r="D4740" s="82" t="s">
        <v>3489</v>
      </c>
      <c r="E4740" s="82">
        <v>6285214612372</v>
      </c>
      <c r="F4740" s="92">
        <v>45900</v>
      </c>
      <c r="G4740" s="87">
        <v>1043</v>
      </c>
      <c r="H4740" s="88">
        <v>10747.183098591549</v>
      </c>
      <c r="I4740" s="89">
        <v>53</v>
      </c>
      <c r="J4740" s="90">
        <v>15261</v>
      </c>
      <c r="K4740" s="85">
        <v>1</v>
      </c>
      <c r="L4740" s="85">
        <v>121</v>
      </c>
      <c r="M4740" s="85">
        <v>1</v>
      </c>
      <c r="N4740" s="82" t="s">
        <v>12199</v>
      </c>
      <c r="O4740" s="93">
        <v>45901.778865740744</v>
      </c>
    </row>
    <row r="4741" spans="1:15" ht="22.5" customHeight="1">
      <c r="A4741" s="85">
        <v>174904221976312</v>
      </c>
      <c r="B4741" s="82" t="s">
        <v>10651</v>
      </c>
      <c r="C4741" s="82" t="s">
        <v>12125</v>
      </c>
      <c r="D4741" s="82" t="s">
        <v>4008</v>
      </c>
      <c r="E4741" s="82">
        <v>6281558225822</v>
      </c>
      <c r="F4741" s="92">
        <v>45900</v>
      </c>
      <c r="G4741" s="87">
        <v>482</v>
      </c>
      <c r="H4741" s="88">
        <v>27416.826003824091</v>
      </c>
      <c r="I4741" s="89">
        <v>13</v>
      </c>
      <c r="J4741" s="90">
        <v>14339</v>
      </c>
      <c r="K4741" s="85">
        <v>5</v>
      </c>
      <c r="L4741" s="85">
        <v>0</v>
      </c>
      <c r="M4741" s="85">
        <v>0</v>
      </c>
      <c r="N4741" s="82" t="s">
        <v>12126</v>
      </c>
      <c r="O4741" s="93">
        <v>45901.651307870372</v>
      </c>
    </row>
    <row r="4742" spans="1:15" ht="22.5" customHeight="1">
      <c r="A4742" s="85">
        <v>174904221976312</v>
      </c>
      <c r="B4742" s="82" t="s">
        <v>10651</v>
      </c>
      <c r="C4742" s="82" t="s">
        <v>12127</v>
      </c>
      <c r="D4742" s="82" t="s">
        <v>12128</v>
      </c>
      <c r="E4742" s="82">
        <v>6281226825253</v>
      </c>
      <c r="F4742" s="92">
        <v>45900</v>
      </c>
      <c r="G4742" s="87">
        <v>10701</v>
      </c>
      <c r="H4742" s="88">
        <v>1144.6153846153845</v>
      </c>
      <c r="I4742" s="89">
        <v>55</v>
      </c>
      <c r="J4742" s="90">
        <v>12276</v>
      </c>
      <c r="K4742" s="85">
        <v>0</v>
      </c>
      <c r="L4742" s="85">
        <v>400</v>
      </c>
      <c r="M4742" s="85">
        <v>0</v>
      </c>
      <c r="N4742" s="82" t="s">
        <v>12129</v>
      </c>
      <c r="O4742" s="93">
        <v>45901.755671296298</v>
      </c>
    </row>
    <row r="4743" spans="1:15" ht="22.5" customHeight="1">
      <c r="A4743" s="85">
        <v>174904221976312</v>
      </c>
      <c r="B4743" s="82" t="s">
        <v>10651</v>
      </c>
      <c r="C4743" s="82" t="s">
        <v>12130</v>
      </c>
      <c r="D4743" s="82" t="s">
        <v>12131</v>
      </c>
      <c r="E4743" s="82">
        <v>6281239004410</v>
      </c>
      <c r="F4743" s="92">
        <v>45900</v>
      </c>
      <c r="G4743" s="87">
        <v>161</v>
      </c>
      <c r="H4743" s="88">
        <v>64257.485029940115</v>
      </c>
      <c r="I4743" s="89">
        <v>2</v>
      </c>
      <c r="J4743" s="90">
        <v>10731</v>
      </c>
      <c r="K4743" s="85">
        <v>1</v>
      </c>
      <c r="L4743" s="85">
        <v>48</v>
      </c>
      <c r="M4743" s="85">
        <v>0</v>
      </c>
      <c r="N4743" s="82" t="s">
        <v>12132</v>
      </c>
      <c r="O4743" s="93">
        <v>45901.63071759259</v>
      </c>
    </row>
    <row r="4744" spans="1:15" ht="22.5" customHeight="1">
      <c r="A4744" s="85">
        <v>174904221976312</v>
      </c>
      <c r="B4744" s="82" t="s">
        <v>10651</v>
      </c>
      <c r="C4744" s="82" t="s">
        <v>12136</v>
      </c>
      <c r="D4744" s="82" t="s">
        <v>12137</v>
      </c>
      <c r="E4744" s="82">
        <v>6287863509004</v>
      </c>
      <c r="F4744" s="92">
        <v>45900</v>
      </c>
      <c r="G4744" s="87">
        <v>1478</v>
      </c>
      <c r="H4744" s="88">
        <v>2768.3322517845554</v>
      </c>
      <c r="I4744" s="89">
        <v>13</v>
      </c>
      <c r="J4744" s="90">
        <v>4266</v>
      </c>
      <c r="K4744" s="85">
        <v>0</v>
      </c>
      <c r="L4744" s="85">
        <v>74</v>
      </c>
      <c r="M4744" s="85">
        <v>0</v>
      </c>
      <c r="N4744" s="82" t="s">
        <v>12175</v>
      </c>
      <c r="O4744" s="93">
        <v>45900.351423611108</v>
      </c>
    </row>
    <row r="4745" spans="1:15" ht="22.5" customHeight="1">
      <c r="A4745" s="85">
        <v>174904221976312</v>
      </c>
      <c r="B4745" s="82" t="s">
        <v>10651</v>
      </c>
      <c r="C4745" s="82" t="s">
        <v>12139</v>
      </c>
      <c r="D4745" s="82" t="s">
        <v>4605</v>
      </c>
      <c r="E4745" s="82">
        <v>6281359605566</v>
      </c>
      <c r="F4745" s="92">
        <v>45900</v>
      </c>
      <c r="G4745" s="87">
        <v>1707</v>
      </c>
      <c r="H4745" s="88">
        <v>7116.925978312117</v>
      </c>
      <c r="I4745" s="89">
        <v>27</v>
      </c>
      <c r="J4745" s="90">
        <v>15095</v>
      </c>
      <c r="K4745" s="85">
        <v>5</v>
      </c>
      <c r="L4745" s="85">
        <v>81</v>
      </c>
      <c r="M4745" s="85">
        <v>0</v>
      </c>
      <c r="N4745" s="82" t="s">
        <v>12140</v>
      </c>
      <c r="O4745" s="93">
        <v>45901.484849537039</v>
      </c>
    </row>
    <row r="4746" spans="1:15" ht="22.5" customHeight="1">
      <c r="A4746" s="85">
        <v>174904221976312</v>
      </c>
      <c r="B4746" s="82" t="s">
        <v>10651</v>
      </c>
      <c r="C4746" s="82" t="s">
        <v>12117</v>
      </c>
      <c r="D4746" s="82" t="s">
        <v>12118</v>
      </c>
      <c r="E4746" s="82">
        <v>628152343305</v>
      </c>
      <c r="F4746" s="92">
        <v>45900</v>
      </c>
      <c r="G4746" s="87">
        <v>340</v>
      </c>
      <c r="H4746" s="88">
        <v>26868.279569892471</v>
      </c>
      <c r="I4746" s="89">
        <v>15</v>
      </c>
      <c r="J4746" s="90">
        <v>9995</v>
      </c>
      <c r="K4746" s="85">
        <v>2</v>
      </c>
      <c r="L4746" s="85">
        <v>79</v>
      </c>
      <c r="M4746" s="85">
        <v>0</v>
      </c>
      <c r="N4746" s="82" t="s">
        <v>12119</v>
      </c>
      <c r="O4746" s="93">
        <v>45901.216921296298</v>
      </c>
    </row>
    <row r="4747" spans="1:15" ht="22.5" customHeight="1">
      <c r="A4747" s="85">
        <v>174904221976312</v>
      </c>
      <c r="B4747" s="82" t="s">
        <v>10651</v>
      </c>
      <c r="C4747" s="82" t="s">
        <v>12120</v>
      </c>
      <c r="D4747" s="82" t="s">
        <v>4619</v>
      </c>
      <c r="E4747" s="82">
        <v>6281328027701</v>
      </c>
      <c r="F4747" s="92">
        <v>45900</v>
      </c>
      <c r="G4747" s="87">
        <v>94</v>
      </c>
      <c r="H4747" s="88">
        <v>87870</v>
      </c>
      <c r="I4747" s="89">
        <v>5</v>
      </c>
      <c r="J4747" s="90">
        <v>8787</v>
      </c>
      <c r="K4747" s="85">
        <v>3</v>
      </c>
      <c r="L4747" s="85">
        <v>0</v>
      </c>
      <c r="M4747" s="85">
        <v>0</v>
      </c>
      <c r="N4747" s="82" t="s">
        <v>12141</v>
      </c>
      <c r="O4747" s="93">
        <v>45901.216932870368</v>
      </c>
    </row>
    <row r="4748" spans="1:15" ht="22.5" customHeight="1">
      <c r="A4748" s="85">
        <v>174904221976312</v>
      </c>
      <c r="B4748" s="82" t="s">
        <v>10651</v>
      </c>
      <c r="C4748" s="82" t="s">
        <v>12122</v>
      </c>
      <c r="D4748" s="82" t="s">
        <v>12123</v>
      </c>
      <c r="E4748" s="82">
        <v>6285720705874</v>
      </c>
      <c r="F4748" s="92">
        <v>45900</v>
      </c>
      <c r="G4748" s="87">
        <v>693</v>
      </c>
      <c r="H4748" s="88">
        <v>17185.276073619632</v>
      </c>
      <c r="I4748" s="89">
        <v>35</v>
      </c>
      <c r="J4748" s="90">
        <v>14006</v>
      </c>
      <c r="K4748" s="85">
        <v>9</v>
      </c>
      <c r="L4748" s="85">
        <v>197</v>
      </c>
      <c r="M4748" s="85">
        <v>1</v>
      </c>
      <c r="N4748" s="82" t="s">
        <v>12124</v>
      </c>
      <c r="O4748" s="93">
        <v>45901.505844907406</v>
      </c>
    </row>
    <row r="4749" spans="1:15" ht="22.5" customHeight="1">
      <c r="A4749" s="85">
        <v>174904221976312</v>
      </c>
      <c r="B4749" s="82" t="s">
        <v>10651</v>
      </c>
      <c r="C4749" s="82" t="s">
        <v>12142</v>
      </c>
      <c r="D4749" s="82" t="s">
        <v>4600</v>
      </c>
      <c r="E4749" s="82">
        <v>6281231382365</v>
      </c>
      <c r="F4749" s="92">
        <v>45900</v>
      </c>
      <c r="G4749" s="87">
        <v>891</v>
      </c>
      <c r="H4749" s="88">
        <v>10405.827263267429</v>
      </c>
      <c r="I4749" s="89">
        <v>14</v>
      </c>
      <c r="J4749" s="90">
        <v>10000</v>
      </c>
      <c r="K4749" s="85">
        <v>1</v>
      </c>
      <c r="L4749" s="85">
        <v>61</v>
      </c>
      <c r="M4749" s="85">
        <v>0</v>
      </c>
      <c r="N4749" s="82" t="s">
        <v>12143</v>
      </c>
      <c r="O4749" s="93">
        <v>45901.216932870368</v>
      </c>
    </row>
    <row r="4750" spans="1:15" ht="22.5" customHeight="1">
      <c r="A4750" s="85">
        <v>174904221976312</v>
      </c>
      <c r="B4750" s="82" t="s">
        <v>10651</v>
      </c>
      <c r="C4750" s="82" t="s">
        <v>12100</v>
      </c>
      <c r="D4750" s="82" t="s">
        <v>6091</v>
      </c>
      <c r="E4750" s="82">
        <v>6281938384000</v>
      </c>
      <c r="F4750" s="92">
        <v>45900</v>
      </c>
      <c r="G4750" s="87">
        <v>483</v>
      </c>
      <c r="H4750" s="88">
        <v>22178.321678321678</v>
      </c>
      <c r="I4750" s="89">
        <v>20</v>
      </c>
      <c r="J4750" s="90">
        <v>12686</v>
      </c>
      <c r="K4750" s="85">
        <v>6</v>
      </c>
      <c r="L4750" s="85">
        <v>0</v>
      </c>
      <c r="M4750" s="85">
        <v>1</v>
      </c>
      <c r="N4750" s="82" t="s">
        <v>12101</v>
      </c>
      <c r="O4750" s="93">
        <v>45901.505833333336</v>
      </c>
    </row>
    <row r="4751" spans="1:15" ht="22.5" customHeight="1">
      <c r="A4751" s="85">
        <v>174904221976312</v>
      </c>
      <c r="B4751" s="82" t="s">
        <v>10651</v>
      </c>
      <c r="C4751" s="82" t="s">
        <v>12102</v>
      </c>
      <c r="D4751" s="82" t="s">
        <v>12103</v>
      </c>
      <c r="E4751" s="82">
        <v>628122577723</v>
      </c>
      <c r="F4751" s="92">
        <v>45900</v>
      </c>
      <c r="G4751" s="87">
        <v>478</v>
      </c>
      <c r="H4751" s="88">
        <v>23901.384083044984</v>
      </c>
      <c r="I4751" s="89">
        <v>10</v>
      </c>
      <c r="J4751" s="90">
        <v>13815</v>
      </c>
      <c r="K4751" s="85">
        <v>3</v>
      </c>
      <c r="L4751" s="85">
        <v>0</v>
      </c>
      <c r="M4751" s="85">
        <v>0</v>
      </c>
      <c r="N4751" s="82" t="s">
        <v>12144</v>
      </c>
      <c r="O4751" s="93">
        <v>45901.651319444441</v>
      </c>
    </row>
    <row r="4752" spans="1:15" ht="22.5" customHeight="1">
      <c r="A4752" s="85">
        <v>174904221976312</v>
      </c>
      <c r="B4752" s="82" t="s">
        <v>10651</v>
      </c>
      <c r="C4752" s="82" t="s">
        <v>12105</v>
      </c>
      <c r="D4752" s="82" t="s">
        <v>4582</v>
      </c>
      <c r="E4752" s="82">
        <v>6287836691500</v>
      </c>
      <c r="F4752" s="92">
        <v>45900</v>
      </c>
      <c r="G4752" s="87">
        <v>350</v>
      </c>
      <c r="H4752" s="88">
        <v>31857.142857142859</v>
      </c>
      <c r="I4752" s="89">
        <v>3</v>
      </c>
      <c r="J4752" s="90">
        <v>12265</v>
      </c>
      <c r="K4752" s="85">
        <v>0</v>
      </c>
      <c r="L4752" s="85">
        <v>0</v>
      </c>
      <c r="M4752" s="85">
        <v>0</v>
      </c>
      <c r="N4752" s="82" t="s">
        <v>12145</v>
      </c>
      <c r="O4752" s="93">
        <v>45901.216921296298</v>
      </c>
    </row>
    <row r="4753" spans="1:15" ht="22.5" customHeight="1">
      <c r="A4753" s="85">
        <v>174904221976312</v>
      </c>
      <c r="B4753" s="82" t="s">
        <v>10651</v>
      </c>
      <c r="C4753" s="82" t="s">
        <v>12107</v>
      </c>
      <c r="D4753" s="82" t="s">
        <v>3465</v>
      </c>
      <c r="E4753" s="82">
        <v>6285920572002</v>
      </c>
      <c r="F4753" s="92">
        <v>45900</v>
      </c>
      <c r="G4753" s="87">
        <v>279</v>
      </c>
      <c r="H4753" s="88">
        <v>37517.915309446253</v>
      </c>
      <c r="I4753" s="89">
        <v>9</v>
      </c>
      <c r="J4753" s="90">
        <v>11518</v>
      </c>
      <c r="K4753" s="85">
        <v>1</v>
      </c>
      <c r="L4753" s="85">
        <v>1</v>
      </c>
      <c r="M4753" s="85">
        <v>0</v>
      </c>
      <c r="N4753" s="82" t="s">
        <v>12108</v>
      </c>
      <c r="O4753" s="93">
        <v>45901.526319444441</v>
      </c>
    </row>
    <row r="4754" spans="1:15" ht="22.5" customHeight="1">
      <c r="A4754" s="85">
        <v>174904221976312</v>
      </c>
      <c r="B4754" s="82" t="s">
        <v>10651</v>
      </c>
      <c r="C4754" s="82" t="s">
        <v>12109</v>
      </c>
      <c r="D4754" s="82" t="s">
        <v>12110</v>
      </c>
      <c r="E4754" s="82">
        <v>6287777304498</v>
      </c>
      <c r="F4754" s="92">
        <v>45900</v>
      </c>
      <c r="G4754" s="87">
        <v>238</v>
      </c>
      <c r="H4754" s="88">
        <v>54171.755725190844</v>
      </c>
      <c r="I4754" s="89">
        <v>6</v>
      </c>
      <c r="J4754" s="90">
        <v>14193</v>
      </c>
      <c r="K4754" s="85">
        <v>1</v>
      </c>
      <c r="L4754" s="85">
        <v>0</v>
      </c>
      <c r="M4754" s="85">
        <v>1</v>
      </c>
      <c r="N4754" s="82" t="s">
        <v>12146</v>
      </c>
      <c r="O4754" s="93">
        <v>45901.505844907406</v>
      </c>
    </row>
    <row r="4755" spans="1:15" ht="22.5" customHeight="1">
      <c r="A4755" s="85">
        <v>174904221976312</v>
      </c>
      <c r="B4755" s="82" t="s">
        <v>10651</v>
      </c>
      <c r="C4755" s="82" t="s">
        <v>12112</v>
      </c>
      <c r="D4755" s="82" t="s">
        <v>12113</v>
      </c>
      <c r="E4755" s="82">
        <v>6285642368174</v>
      </c>
      <c r="F4755" s="92">
        <v>45900</v>
      </c>
      <c r="G4755" s="87">
        <v>789</v>
      </c>
      <c r="H4755" s="88">
        <v>12125.13842746401</v>
      </c>
      <c r="I4755" s="89">
        <v>27</v>
      </c>
      <c r="J4755" s="90">
        <v>10949</v>
      </c>
      <c r="K4755" s="85">
        <v>2</v>
      </c>
      <c r="L4755" s="85">
        <v>189</v>
      </c>
      <c r="M4755" s="85">
        <v>0</v>
      </c>
      <c r="N4755" s="82" t="s">
        <v>12114</v>
      </c>
      <c r="O4755" s="93">
        <v>45901.216921296298</v>
      </c>
    </row>
    <row r="4756" spans="1:15" ht="22.5" customHeight="1">
      <c r="A4756" s="85">
        <v>174904221976312</v>
      </c>
      <c r="B4756" s="82" t="s">
        <v>10651</v>
      </c>
      <c r="C4756" s="82" t="s">
        <v>12115</v>
      </c>
      <c r="D4756" s="82" t="s">
        <v>4295</v>
      </c>
      <c r="E4756" s="82">
        <v>6281513169730</v>
      </c>
      <c r="F4756" s="92">
        <v>45900</v>
      </c>
      <c r="G4756" s="87">
        <v>156</v>
      </c>
      <c r="H4756" s="88">
        <v>67731.707317073175</v>
      </c>
      <c r="I4756" s="89">
        <v>2</v>
      </c>
      <c r="J4756" s="90">
        <v>11108</v>
      </c>
      <c r="K4756" s="85">
        <v>1</v>
      </c>
      <c r="L4756" s="85">
        <v>0</v>
      </c>
      <c r="M4756" s="85">
        <v>0</v>
      </c>
      <c r="N4756" s="82" t="s">
        <v>12147</v>
      </c>
      <c r="O4756" s="93">
        <v>45901.216932870368</v>
      </c>
    </row>
    <row r="4757" spans="1:15" ht="22.5" customHeight="1">
      <c r="A4757" s="85">
        <v>174904221976312</v>
      </c>
      <c r="B4757" s="82" t="s">
        <v>10651</v>
      </c>
      <c r="C4757" s="82" t="s">
        <v>12058</v>
      </c>
      <c r="D4757" s="82" t="s">
        <v>4516</v>
      </c>
      <c r="E4757" s="82">
        <v>6281315163838</v>
      </c>
      <c r="F4757" s="92">
        <v>45900</v>
      </c>
      <c r="G4757" s="87">
        <v>557</v>
      </c>
      <c r="H4757" s="88">
        <v>21453.074433656959</v>
      </c>
      <c r="I4757" s="89">
        <v>11</v>
      </c>
      <c r="J4757" s="90">
        <v>13258</v>
      </c>
      <c r="K4757" s="85">
        <v>2</v>
      </c>
      <c r="L4757" s="85">
        <v>2</v>
      </c>
      <c r="M4757" s="85">
        <v>0</v>
      </c>
      <c r="N4757" s="82" t="s">
        <v>12059</v>
      </c>
      <c r="O4757" s="93">
        <v>45901.464212962965</v>
      </c>
    </row>
    <row r="4758" spans="1:15" ht="22.5" customHeight="1">
      <c r="A4758" s="85">
        <v>174904221976312</v>
      </c>
      <c r="B4758" s="82" t="s">
        <v>10651</v>
      </c>
      <c r="C4758" s="82" t="s">
        <v>12039</v>
      </c>
      <c r="D4758" s="82" t="s">
        <v>12040</v>
      </c>
      <c r="E4758" s="82">
        <v>6281330410391</v>
      </c>
      <c r="F4758" s="92">
        <v>45900</v>
      </c>
      <c r="G4758" s="87">
        <v>921</v>
      </c>
      <c r="H4758" s="88">
        <v>13080</v>
      </c>
      <c r="I4758" s="89">
        <v>42</v>
      </c>
      <c r="J4758" s="90">
        <v>13734</v>
      </c>
      <c r="K4758" s="85">
        <v>4</v>
      </c>
      <c r="L4758" s="85">
        <v>0</v>
      </c>
      <c r="M4758" s="85">
        <v>1</v>
      </c>
      <c r="N4758" s="82" t="s">
        <v>12041</v>
      </c>
      <c r="O4758" s="93">
        <v>45901.568194444444</v>
      </c>
    </row>
    <row r="4759" spans="1:15" ht="22.5" customHeight="1">
      <c r="A4759" s="85">
        <v>174904221976312</v>
      </c>
      <c r="B4759" s="82" t="s">
        <v>10651</v>
      </c>
      <c r="C4759" s="82" t="s">
        <v>12016</v>
      </c>
      <c r="D4759" s="82" t="s">
        <v>12017</v>
      </c>
      <c r="E4759" s="82">
        <v>6281210801646</v>
      </c>
      <c r="F4759" s="92">
        <v>45900</v>
      </c>
      <c r="G4759" s="87">
        <v>349</v>
      </c>
      <c r="H4759" s="88">
        <v>34627.906976744183</v>
      </c>
      <c r="I4759" s="89">
        <v>8</v>
      </c>
      <c r="J4759" s="90">
        <v>13401</v>
      </c>
      <c r="K4759" s="85">
        <v>0</v>
      </c>
      <c r="L4759" s="85">
        <v>144</v>
      </c>
      <c r="M4759" s="85">
        <v>1</v>
      </c>
      <c r="N4759" s="82" t="s">
        <v>12018</v>
      </c>
      <c r="O4759" s="93">
        <v>45901.630706018521</v>
      </c>
    </row>
    <row r="4760" spans="1:15" ht="22.5" customHeight="1">
      <c r="A4760" s="85">
        <v>174904221976312</v>
      </c>
      <c r="B4760" s="82" t="s">
        <v>10651</v>
      </c>
      <c r="C4760" s="82" t="s">
        <v>12022</v>
      </c>
      <c r="D4760" s="82" t="s">
        <v>11483</v>
      </c>
      <c r="E4760" s="82">
        <v>6285255115894</v>
      </c>
      <c r="F4760" s="92">
        <v>45900</v>
      </c>
      <c r="G4760" s="87">
        <v>1054</v>
      </c>
      <c r="H4760" s="88">
        <v>6549.8783454987843</v>
      </c>
      <c r="I4760" s="89">
        <v>14</v>
      </c>
      <c r="J4760" s="90">
        <v>8076</v>
      </c>
      <c r="K4760" s="85">
        <v>1</v>
      </c>
      <c r="L4760" s="85">
        <v>0</v>
      </c>
      <c r="M4760" s="85">
        <v>0</v>
      </c>
      <c r="N4760" s="82" t="s">
        <v>12023</v>
      </c>
      <c r="O4760" s="93">
        <v>45901.216932870368</v>
      </c>
    </row>
    <row r="4761" spans="1:15" ht="22.5" customHeight="1">
      <c r="A4761" s="85">
        <v>174904221976312</v>
      </c>
      <c r="B4761" s="82" t="s">
        <v>10651</v>
      </c>
      <c r="C4761" s="82" t="s">
        <v>12007</v>
      </c>
      <c r="D4761" s="82" t="s">
        <v>9010</v>
      </c>
      <c r="E4761" s="82">
        <v>6282160743576</v>
      </c>
      <c r="F4761" s="92">
        <v>45900</v>
      </c>
      <c r="G4761" s="87">
        <v>1022</v>
      </c>
      <c r="H4761" s="88">
        <v>13054.290718038528</v>
      </c>
      <c r="I4761" s="89">
        <v>59</v>
      </c>
      <c r="J4761" s="90">
        <v>14908</v>
      </c>
      <c r="K4761" s="85">
        <v>8</v>
      </c>
      <c r="L4761" s="85">
        <v>386</v>
      </c>
      <c r="M4761" s="85">
        <v>1</v>
      </c>
      <c r="N4761" s="82" t="s">
        <v>12008</v>
      </c>
      <c r="O4761" s="93">
        <v>45901.463935185187</v>
      </c>
    </row>
    <row r="4762" spans="1:15" ht="22.5" customHeight="1">
      <c r="A4762" s="85">
        <v>174904221976312</v>
      </c>
      <c r="B4762" s="82" t="s">
        <v>10651</v>
      </c>
      <c r="C4762" s="82" t="s">
        <v>11905</v>
      </c>
      <c r="D4762" s="82" t="s">
        <v>11906</v>
      </c>
      <c r="E4762" s="82">
        <v>6285294617773</v>
      </c>
      <c r="F4762" s="92">
        <v>45900</v>
      </c>
      <c r="G4762" s="87">
        <v>389</v>
      </c>
      <c r="H4762" s="88">
        <v>28308.026030368765</v>
      </c>
      <c r="I4762" s="89">
        <v>15</v>
      </c>
      <c r="J4762" s="90">
        <v>13050</v>
      </c>
      <c r="K4762" s="85">
        <v>0</v>
      </c>
      <c r="L4762" s="85">
        <v>117</v>
      </c>
      <c r="M4762" s="85">
        <v>0</v>
      </c>
      <c r="N4762" s="82" t="s">
        <v>11907</v>
      </c>
      <c r="O4762" s="93">
        <v>45901.50582175926</v>
      </c>
    </row>
    <row r="4763" spans="1:15" ht="22.5" customHeight="1">
      <c r="A4763" s="85">
        <v>174904221976312</v>
      </c>
      <c r="B4763" s="82" t="s">
        <v>10651</v>
      </c>
      <c r="C4763" s="82" t="s">
        <v>11896</v>
      </c>
      <c r="D4763" s="82" t="s">
        <v>11897</v>
      </c>
      <c r="E4763" s="82">
        <v>6282153090123</v>
      </c>
      <c r="F4763" s="92">
        <v>45900</v>
      </c>
      <c r="G4763" s="87">
        <v>605</v>
      </c>
      <c r="H4763" s="88">
        <v>20015.128593040845</v>
      </c>
      <c r="I4763" s="89">
        <v>18</v>
      </c>
      <c r="J4763" s="90">
        <v>13230</v>
      </c>
      <c r="K4763" s="85">
        <v>3</v>
      </c>
      <c r="L4763" s="85">
        <v>319</v>
      </c>
      <c r="M4763" s="85">
        <v>1</v>
      </c>
      <c r="N4763" s="82" t="s">
        <v>11898</v>
      </c>
      <c r="O4763" s="93">
        <v>45901.485127314816</v>
      </c>
    </row>
    <row r="4764" spans="1:15" ht="22.5" customHeight="1">
      <c r="A4764" s="85">
        <v>174904221976312</v>
      </c>
      <c r="B4764" s="82" t="s">
        <v>10651</v>
      </c>
      <c r="C4764" s="82" t="s">
        <v>11865</v>
      </c>
      <c r="D4764" s="82" t="s">
        <v>11403</v>
      </c>
      <c r="E4764" s="82">
        <v>6283870060603</v>
      </c>
      <c r="F4764" s="92">
        <v>45900</v>
      </c>
      <c r="G4764" s="87">
        <v>407</v>
      </c>
      <c r="H4764" s="88">
        <v>33587.223587223591</v>
      </c>
      <c r="I4764" s="89">
        <v>26</v>
      </c>
      <c r="J4764" s="90">
        <v>13670</v>
      </c>
      <c r="K4764" s="85">
        <v>0</v>
      </c>
      <c r="L4764" s="85">
        <v>155</v>
      </c>
      <c r="M4764" s="85">
        <v>0</v>
      </c>
      <c r="N4764" s="82" t="s">
        <v>11866</v>
      </c>
      <c r="O4764" s="93">
        <v>45901.422523148147</v>
      </c>
    </row>
    <row r="4765" spans="1:15" ht="22.5" customHeight="1">
      <c r="A4765" s="85">
        <v>174904221976312</v>
      </c>
      <c r="B4765" s="82" t="s">
        <v>10651</v>
      </c>
      <c r="C4765" s="82" t="s">
        <v>11876</v>
      </c>
      <c r="D4765" s="82" t="s">
        <v>11877</v>
      </c>
      <c r="E4765" s="82">
        <v>6285748377961</v>
      </c>
      <c r="F4765" s="92">
        <v>45900</v>
      </c>
      <c r="G4765" s="87">
        <v>1498</v>
      </c>
      <c r="H4765" s="88">
        <v>8739.5009129640894</v>
      </c>
      <c r="I4765" s="89">
        <v>18</v>
      </c>
      <c r="J4765" s="90">
        <v>14359</v>
      </c>
      <c r="K4765" s="85">
        <v>1</v>
      </c>
      <c r="L4765" s="85">
        <v>122</v>
      </c>
      <c r="M4765" s="85">
        <v>0</v>
      </c>
      <c r="N4765" s="82" t="s">
        <v>11878</v>
      </c>
      <c r="O4765" s="93">
        <v>45901.485127314816</v>
      </c>
    </row>
    <row r="4766" spans="1:15" ht="22.5" customHeight="1">
      <c r="A4766" s="85">
        <v>174904221976312</v>
      </c>
      <c r="B4766" s="82" t="s">
        <v>10651</v>
      </c>
      <c r="C4766" s="82" t="s">
        <v>11879</v>
      </c>
      <c r="D4766" s="82" t="s">
        <v>11877</v>
      </c>
      <c r="E4766" s="82">
        <v>6285748377961</v>
      </c>
      <c r="F4766" s="92">
        <v>45900</v>
      </c>
      <c r="G4766" s="87">
        <v>804</v>
      </c>
      <c r="H4766" s="88">
        <v>18423.887587822017</v>
      </c>
      <c r="I4766" s="89">
        <v>18</v>
      </c>
      <c r="J4766" s="90">
        <v>15734</v>
      </c>
      <c r="K4766" s="85">
        <v>4</v>
      </c>
      <c r="L4766" s="85">
        <v>226</v>
      </c>
      <c r="M4766" s="85">
        <v>1</v>
      </c>
      <c r="N4766" s="82" t="s">
        <v>11878</v>
      </c>
      <c r="O4766" s="93">
        <v>45901.485127314816</v>
      </c>
    </row>
    <row r="4767" spans="1:15" ht="22.5" customHeight="1">
      <c r="A4767" s="85">
        <v>174904221976312</v>
      </c>
      <c r="B4767" s="82" t="s">
        <v>10651</v>
      </c>
      <c r="C4767" s="82" t="s">
        <v>11838</v>
      </c>
      <c r="D4767" s="82" t="s">
        <v>11839</v>
      </c>
      <c r="E4767" s="82">
        <v>6287797504113</v>
      </c>
      <c r="F4767" s="92">
        <v>45900</v>
      </c>
      <c r="G4767" s="87">
        <v>332</v>
      </c>
      <c r="H4767" s="88">
        <v>44750.677506775071</v>
      </c>
      <c r="I4767" s="89">
        <v>15</v>
      </c>
      <c r="J4767" s="90">
        <v>16513</v>
      </c>
      <c r="K4767" s="85">
        <v>5</v>
      </c>
      <c r="L4767" s="85">
        <v>0</v>
      </c>
      <c r="M4767" s="85">
        <v>0</v>
      </c>
      <c r="N4767" s="82" t="s">
        <v>12149</v>
      </c>
      <c r="O4767" s="93">
        <v>45901.484849537039</v>
      </c>
    </row>
    <row r="4768" spans="1:15" ht="22.5" customHeight="1">
      <c r="A4768" s="85">
        <v>174904221976312</v>
      </c>
      <c r="B4768" s="82" t="s">
        <v>10651</v>
      </c>
      <c r="C4768" s="82" t="s">
        <v>11792</v>
      </c>
      <c r="D4768" s="82" t="s">
        <v>11793</v>
      </c>
      <c r="E4768" s="82">
        <v>6281915041833</v>
      </c>
      <c r="F4768" s="92">
        <v>45900</v>
      </c>
      <c r="G4768" s="87">
        <v>331</v>
      </c>
      <c r="H4768" s="88">
        <v>33956.989247311823</v>
      </c>
      <c r="I4768" s="89">
        <v>12</v>
      </c>
      <c r="J4768" s="90">
        <v>12632</v>
      </c>
      <c r="K4768" s="85">
        <v>1</v>
      </c>
      <c r="L4768" s="85">
        <v>186</v>
      </c>
      <c r="M4768" s="85">
        <v>0</v>
      </c>
      <c r="N4768" s="82" t="s">
        <v>12200</v>
      </c>
      <c r="O4768" s="93">
        <v>45901.784699074073</v>
      </c>
    </row>
    <row r="4769" spans="1:15" ht="22.5" customHeight="1">
      <c r="A4769" s="85">
        <v>174904221976312</v>
      </c>
      <c r="B4769" s="82" t="s">
        <v>10651</v>
      </c>
      <c r="C4769" s="82" t="s">
        <v>11799</v>
      </c>
      <c r="D4769" s="82" t="s">
        <v>11800</v>
      </c>
      <c r="E4769" s="82">
        <v>6285333751528</v>
      </c>
      <c r="F4769" s="92">
        <v>45900</v>
      </c>
      <c r="G4769" s="87">
        <v>1277</v>
      </c>
      <c r="H4769" s="88">
        <v>9940.6952965235159</v>
      </c>
      <c r="I4769" s="89">
        <v>15</v>
      </c>
      <c r="J4769" s="90">
        <v>14583</v>
      </c>
      <c r="K4769" s="85">
        <v>2</v>
      </c>
      <c r="L4769" s="85">
        <v>0</v>
      </c>
      <c r="M4769" s="85">
        <v>0</v>
      </c>
      <c r="N4769" s="82" t="s">
        <v>12201</v>
      </c>
      <c r="O4769" s="93">
        <v>45901.674189814818</v>
      </c>
    </row>
    <row r="4770" spans="1:15" ht="22.5" customHeight="1">
      <c r="A4770" s="85">
        <v>174904221976312</v>
      </c>
      <c r="B4770" s="82" t="s">
        <v>10651</v>
      </c>
      <c r="C4770" s="82" t="s">
        <v>11766</v>
      </c>
      <c r="D4770" s="82" t="s">
        <v>11767</v>
      </c>
      <c r="E4770" s="82">
        <v>6281225101319</v>
      </c>
      <c r="F4770" s="92">
        <v>45900</v>
      </c>
      <c r="G4770" s="87">
        <v>553</v>
      </c>
      <c r="H4770" s="88">
        <v>20108.864696734061</v>
      </c>
      <c r="I4770" s="89">
        <v>3</v>
      </c>
      <c r="J4770" s="90">
        <v>12930</v>
      </c>
      <c r="K4770" s="85">
        <v>0</v>
      </c>
      <c r="L4770" s="85">
        <v>0</v>
      </c>
      <c r="M4770" s="85">
        <v>0</v>
      </c>
      <c r="N4770" s="82" t="s">
        <v>12150</v>
      </c>
      <c r="O4770" s="93">
        <v>45901.526319444441</v>
      </c>
    </row>
    <row r="4771" spans="1:15" ht="22.5" customHeight="1">
      <c r="A4771" s="85">
        <v>174904221976312</v>
      </c>
      <c r="B4771" s="82" t="s">
        <v>10651</v>
      </c>
      <c r="C4771" s="82" t="s">
        <v>11780</v>
      </c>
      <c r="D4771" s="82" t="s">
        <v>11781</v>
      </c>
      <c r="E4771" s="82">
        <v>6282129364133</v>
      </c>
      <c r="F4771" s="92">
        <v>45900</v>
      </c>
      <c r="G4771" s="87">
        <v>481</v>
      </c>
      <c r="H4771" s="88">
        <v>22552.495697074013</v>
      </c>
      <c r="I4771" s="89">
        <v>7</v>
      </c>
      <c r="J4771" s="90">
        <v>13103</v>
      </c>
      <c r="K4771" s="85">
        <v>2</v>
      </c>
      <c r="L4771" s="85">
        <v>0</v>
      </c>
      <c r="M4771" s="85">
        <v>0</v>
      </c>
      <c r="N4771" s="82" t="s">
        <v>11782</v>
      </c>
      <c r="O4771" s="93">
        <v>45901.50582175926</v>
      </c>
    </row>
    <row r="4772" spans="1:15" ht="22.5" customHeight="1">
      <c r="A4772" s="85">
        <v>174904221976312</v>
      </c>
      <c r="B4772" s="82" t="s">
        <v>10651</v>
      </c>
      <c r="C4772" s="82" t="s">
        <v>11755</v>
      </c>
      <c r="D4772" s="82" t="s">
        <v>11756</v>
      </c>
      <c r="E4772" s="82">
        <v>6281357754513</v>
      </c>
      <c r="F4772" s="92">
        <v>45900</v>
      </c>
      <c r="G4772" s="87">
        <v>513</v>
      </c>
      <c r="H4772" s="88">
        <v>21181.259600614438</v>
      </c>
      <c r="I4772" s="89">
        <v>16</v>
      </c>
      <c r="J4772" s="90">
        <v>13789</v>
      </c>
      <c r="K4772" s="85">
        <v>2</v>
      </c>
      <c r="L4772" s="85">
        <v>0</v>
      </c>
      <c r="M4772" s="85">
        <v>1</v>
      </c>
      <c r="N4772" s="82" t="s">
        <v>12151</v>
      </c>
      <c r="O4772" s="93">
        <v>45901.50582175926</v>
      </c>
    </row>
    <row r="4773" spans="1:15" ht="22.5" customHeight="1">
      <c r="A4773" s="85">
        <v>174904221976312</v>
      </c>
      <c r="B4773" s="82" t="s">
        <v>10651</v>
      </c>
      <c r="C4773" s="82" t="s">
        <v>11758</v>
      </c>
      <c r="D4773" s="82" t="s">
        <v>11759</v>
      </c>
      <c r="E4773" s="82">
        <v>6285946504405</v>
      </c>
      <c r="F4773" s="92">
        <v>45900</v>
      </c>
      <c r="G4773" s="87">
        <v>503</v>
      </c>
      <c r="H4773" s="88">
        <v>21779.48717948718</v>
      </c>
      <c r="I4773" s="89">
        <v>13</v>
      </c>
      <c r="J4773" s="90">
        <v>12741</v>
      </c>
      <c r="K4773" s="85">
        <v>3</v>
      </c>
      <c r="L4773" s="85">
        <v>172</v>
      </c>
      <c r="M4773" s="85">
        <v>0</v>
      </c>
      <c r="N4773" s="82" t="s">
        <v>11760</v>
      </c>
      <c r="O4773" s="93">
        <v>45901.422812500001</v>
      </c>
    </row>
    <row r="4774" spans="1:15" ht="22.5" customHeight="1">
      <c r="A4774" s="85">
        <v>174904221976312</v>
      </c>
      <c r="B4774" s="82" t="s">
        <v>10651</v>
      </c>
      <c r="C4774" s="82" t="s">
        <v>11761</v>
      </c>
      <c r="D4774" s="82" t="s">
        <v>3438</v>
      </c>
      <c r="E4774" s="82">
        <v>628154336558</v>
      </c>
      <c r="F4774" s="92">
        <v>45900</v>
      </c>
      <c r="G4774" s="87">
        <v>966</v>
      </c>
      <c r="H4774" s="88">
        <v>11516.129032258064</v>
      </c>
      <c r="I4774" s="89">
        <v>24</v>
      </c>
      <c r="J4774" s="90">
        <v>12495</v>
      </c>
      <c r="K4774" s="85">
        <v>0</v>
      </c>
      <c r="L4774" s="85">
        <v>263</v>
      </c>
      <c r="M4774" s="85">
        <v>0</v>
      </c>
      <c r="N4774" s="82" t="s">
        <v>12152</v>
      </c>
      <c r="O4774" s="93">
        <v>45901.630694444444</v>
      </c>
    </row>
    <row r="4775" spans="1:15" ht="22.5" customHeight="1">
      <c r="A4775" s="85">
        <v>174904221976312</v>
      </c>
      <c r="B4775" s="82" t="s">
        <v>10651</v>
      </c>
      <c r="C4775" s="82" t="s">
        <v>11763</v>
      </c>
      <c r="D4775" s="82" t="s">
        <v>11764</v>
      </c>
      <c r="E4775" s="82">
        <v>6282384544939</v>
      </c>
      <c r="F4775" s="92">
        <v>45900</v>
      </c>
      <c r="G4775" s="87">
        <v>528</v>
      </c>
      <c r="H4775" s="88">
        <v>20017.467248908295</v>
      </c>
      <c r="I4775" s="89">
        <v>4</v>
      </c>
      <c r="J4775" s="90">
        <v>13752</v>
      </c>
      <c r="K4775" s="85">
        <v>1</v>
      </c>
      <c r="L4775" s="85">
        <v>0</v>
      </c>
      <c r="M4775" s="85">
        <v>0</v>
      </c>
      <c r="N4775" s="82" t="s">
        <v>12153</v>
      </c>
      <c r="O4775" s="93">
        <v>45901.505833333336</v>
      </c>
    </row>
    <row r="4776" spans="1:15" ht="22.5" customHeight="1">
      <c r="A4776" s="85">
        <v>174904221976312</v>
      </c>
      <c r="B4776" s="82" t="s">
        <v>10651</v>
      </c>
      <c r="C4776" s="82" t="s">
        <v>11578</v>
      </c>
      <c r="D4776" s="82" t="s">
        <v>1624</v>
      </c>
      <c r="E4776" s="82">
        <v>6281938384000</v>
      </c>
      <c r="F4776" s="92">
        <v>45900</v>
      </c>
      <c r="G4776" s="87">
        <v>1209</v>
      </c>
      <c r="H4776" s="88">
        <v>8080.7327001356853</v>
      </c>
      <c r="I4776" s="89">
        <v>19</v>
      </c>
      <c r="J4776" s="90">
        <v>11911</v>
      </c>
      <c r="K4776" s="85">
        <v>1</v>
      </c>
      <c r="L4776" s="85">
        <v>0</v>
      </c>
      <c r="M4776" s="85">
        <v>1</v>
      </c>
      <c r="N4776" s="82" t="s">
        <v>12154</v>
      </c>
      <c r="O4776" s="93">
        <v>45901.588958333334</v>
      </c>
    </row>
    <row r="4777" spans="1:15" ht="22.5" customHeight="1">
      <c r="A4777" s="85">
        <v>174904221976312</v>
      </c>
      <c r="B4777" s="82" t="s">
        <v>10651</v>
      </c>
      <c r="C4777" s="82" t="s">
        <v>11580</v>
      </c>
      <c r="D4777" s="82" t="s">
        <v>11581</v>
      </c>
      <c r="E4777" s="82">
        <v>6287790276733</v>
      </c>
      <c r="F4777" s="92">
        <v>45900</v>
      </c>
      <c r="G4777" s="87">
        <v>689</v>
      </c>
      <c r="H4777" s="88">
        <v>13451.233842538191</v>
      </c>
      <c r="I4777" s="89">
        <v>3</v>
      </c>
      <c r="J4777" s="90">
        <v>11447</v>
      </c>
      <c r="K4777" s="85">
        <v>0</v>
      </c>
      <c r="L4777" s="85">
        <v>0</v>
      </c>
      <c r="M4777" s="85">
        <v>0</v>
      </c>
      <c r="N4777" s="82" t="s">
        <v>11582</v>
      </c>
      <c r="O4777" s="93">
        <v>45901.630983796298</v>
      </c>
    </row>
    <row r="4778" spans="1:15" ht="22.5" customHeight="1">
      <c r="A4778" s="85">
        <v>174904221976312</v>
      </c>
      <c r="B4778" s="82" t="s">
        <v>10651</v>
      </c>
      <c r="C4778" s="82" t="s">
        <v>11165</v>
      </c>
      <c r="D4778" s="82" t="s">
        <v>1759</v>
      </c>
      <c r="E4778" s="82">
        <v>6285311472244</v>
      </c>
      <c r="F4778" s="92">
        <v>45900</v>
      </c>
      <c r="G4778" s="87">
        <v>1802</v>
      </c>
      <c r="H4778" s="88">
        <v>7200.838769804287</v>
      </c>
      <c r="I4778" s="89">
        <v>49</v>
      </c>
      <c r="J4778" s="90">
        <v>15453</v>
      </c>
      <c r="K4778" s="85">
        <v>4</v>
      </c>
      <c r="L4778" s="85">
        <v>226</v>
      </c>
      <c r="M4778" s="85">
        <v>3</v>
      </c>
      <c r="N4778" s="82" t="s">
        <v>11166</v>
      </c>
      <c r="O4778" s="93">
        <v>45901.484861111108</v>
      </c>
    </row>
    <row r="4779" spans="1:15" ht="22.5" customHeight="1">
      <c r="A4779" s="85">
        <v>174904221976312</v>
      </c>
      <c r="B4779" s="82" t="s">
        <v>10651</v>
      </c>
      <c r="C4779" s="82" t="s">
        <v>10853</v>
      </c>
      <c r="D4779" s="82" t="s">
        <v>10854</v>
      </c>
      <c r="E4779" s="82">
        <v>6281393958199</v>
      </c>
      <c r="F4779" s="92">
        <v>45900</v>
      </c>
      <c r="G4779" s="87">
        <v>439</v>
      </c>
      <c r="H4779" s="88">
        <v>25472.370766488413</v>
      </c>
      <c r="I4779" s="89">
        <v>1</v>
      </c>
      <c r="J4779" s="90">
        <v>14290</v>
      </c>
      <c r="K4779" s="85">
        <v>0</v>
      </c>
      <c r="L4779" s="85">
        <v>0</v>
      </c>
      <c r="M4779" s="85">
        <v>0</v>
      </c>
      <c r="N4779" s="82" t="s">
        <v>12155</v>
      </c>
      <c r="O4779" s="93">
        <v>45901.526562500003</v>
      </c>
    </row>
    <row r="4780" spans="1:15" ht="22.5" customHeight="1">
      <c r="A4780" s="85">
        <v>759724529202804</v>
      </c>
      <c r="B4780" s="82" t="s">
        <v>10621</v>
      </c>
      <c r="C4780" s="82" t="s">
        <v>11055</v>
      </c>
      <c r="D4780" s="82" t="s">
        <v>1021</v>
      </c>
      <c r="E4780" s="82"/>
      <c r="F4780" s="94">
        <v>45901</v>
      </c>
      <c r="G4780" s="87">
        <v>1956</v>
      </c>
      <c r="H4780" s="88">
        <v>24914.099783080259</v>
      </c>
      <c r="I4780" s="89">
        <v>45</v>
      </c>
      <c r="J4780" s="90">
        <v>57427</v>
      </c>
      <c r="K4780" s="85">
        <v>11</v>
      </c>
      <c r="L4780" s="85">
        <v>616</v>
      </c>
      <c r="M4780" s="85">
        <v>0</v>
      </c>
      <c r="N4780" s="82" t="s">
        <v>11056</v>
      </c>
      <c r="O4780" s="93">
        <v>45901.227256944447</v>
      </c>
    </row>
    <row r="4781" spans="1:15" ht="22.5" customHeight="1">
      <c r="A4781" s="85">
        <v>174904221976312</v>
      </c>
      <c r="B4781" s="82" t="s">
        <v>10651</v>
      </c>
      <c r="C4781" s="82" t="s">
        <v>12202</v>
      </c>
      <c r="D4781" s="82" t="s">
        <v>2370</v>
      </c>
      <c r="E4781" s="82">
        <v>6281317409433</v>
      </c>
      <c r="F4781" s="94">
        <v>45901</v>
      </c>
      <c r="G4781" s="87">
        <v>183</v>
      </c>
      <c r="H4781" s="88">
        <v>29287.804878048781</v>
      </c>
      <c r="I4781" s="89">
        <v>11</v>
      </c>
      <c r="J4781" s="90">
        <v>6004</v>
      </c>
      <c r="K4781" s="85">
        <v>4</v>
      </c>
      <c r="L4781" s="85">
        <v>0</v>
      </c>
      <c r="M4781" s="85">
        <v>1</v>
      </c>
      <c r="N4781" s="82" t="s">
        <v>12203</v>
      </c>
      <c r="O4781" s="93">
        <v>45902.797314814816</v>
      </c>
    </row>
    <row r="4782" spans="1:15" ht="22.5" customHeight="1">
      <c r="A4782" s="85">
        <v>174904221976312</v>
      </c>
      <c r="B4782" s="82" t="s">
        <v>10651</v>
      </c>
      <c r="C4782" s="82" t="s">
        <v>12204</v>
      </c>
      <c r="D4782" s="82" t="s">
        <v>12205</v>
      </c>
      <c r="E4782" s="82">
        <v>6281262080126</v>
      </c>
      <c r="F4782" s="94">
        <v>45901</v>
      </c>
      <c r="G4782" s="87">
        <v>600</v>
      </c>
      <c r="H4782" s="88">
        <v>14556.534508076358</v>
      </c>
      <c r="I4782" s="89">
        <v>11</v>
      </c>
      <c r="J4782" s="90">
        <v>9913</v>
      </c>
      <c r="K4782" s="85">
        <v>1</v>
      </c>
      <c r="L4782" s="85">
        <v>126</v>
      </c>
      <c r="M4782" s="85">
        <v>0</v>
      </c>
      <c r="N4782" s="82" t="s">
        <v>12206</v>
      </c>
      <c r="O4782" s="93">
        <v>45902.714108796295</v>
      </c>
    </row>
    <row r="4783" spans="1:15" ht="22.5" customHeight="1">
      <c r="A4783" s="85">
        <v>174904221976312</v>
      </c>
      <c r="B4783" s="82" t="s">
        <v>10651</v>
      </c>
      <c r="C4783" s="82" t="s">
        <v>12207</v>
      </c>
      <c r="D4783" s="91" t="s">
        <v>4875</v>
      </c>
      <c r="E4783" s="82">
        <v>6285719003688</v>
      </c>
      <c r="F4783" s="94">
        <v>45901</v>
      </c>
      <c r="G4783" s="87">
        <v>180</v>
      </c>
      <c r="H4783" s="88">
        <v>58445</v>
      </c>
      <c r="I4783" s="89">
        <v>2</v>
      </c>
      <c r="J4783" s="90">
        <v>11689</v>
      </c>
      <c r="K4783" s="85">
        <v>1</v>
      </c>
      <c r="L4783" s="85">
        <v>8</v>
      </c>
      <c r="M4783" s="85">
        <v>0</v>
      </c>
      <c r="N4783" s="82" t="s">
        <v>12208</v>
      </c>
      <c r="O4783" s="93">
        <v>45902.672291666669</v>
      </c>
    </row>
    <row r="4784" spans="1:15" ht="22.5" customHeight="1">
      <c r="A4784" s="85">
        <v>174904221976312</v>
      </c>
      <c r="B4784" s="82" t="s">
        <v>10651</v>
      </c>
      <c r="C4784" s="82" t="s">
        <v>12209</v>
      </c>
      <c r="D4784" s="82" t="s">
        <v>12210</v>
      </c>
      <c r="E4784" s="82">
        <v>6282217300224</v>
      </c>
      <c r="F4784" s="94">
        <v>45901</v>
      </c>
      <c r="G4784" s="87">
        <v>378</v>
      </c>
      <c r="H4784" s="88">
        <v>34100.737100737097</v>
      </c>
      <c r="I4784" s="89">
        <v>8</v>
      </c>
      <c r="J4784" s="90">
        <v>13879</v>
      </c>
      <c r="K4784" s="85">
        <v>0</v>
      </c>
      <c r="L4784" s="85">
        <v>65</v>
      </c>
      <c r="M4784" s="85">
        <v>0</v>
      </c>
      <c r="N4784" s="82" t="s">
        <v>12211</v>
      </c>
      <c r="O4784" s="93">
        <v>45902.755393518521</v>
      </c>
    </row>
    <row r="4785" spans="1:15" ht="22.5" customHeight="1">
      <c r="A4785" s="85">
        <v>174904221976312</v>
      </c>
      <c r="B4785" s="82" t="s">
        <v>10651</v>
      </c>
      <c r="C4785" s="82" t="s">
        <v>12176</v>
      </c>
      <c r="D4785" s="82" t="s">
        <v>12177</v>
      </c>
      <c r="E4785" s="82">
        <v>6285748377961</v>
      </c>
      <c r="F4785" s="94">
        <v>45901</v>
      </c>
      <c r="G4785" s="87">
        <v>585</v>
      </c>
      <c r="H4785" s="88">
        <v>21426.710097719868</v>
      </c>
      <c r="I4785" s="89">
        <v>9</v>
      </c>
      <c r="J4785" s="90">
        <v>13156</v>
      </c>
      <c r="K4785" s="85">
        <v>3</v>
      </c>
      <c r="L4785" s="85">
        <v>0</v>
      </c>
      <c r="M4785" s="85">
        <v>0</v>
      </c>
      <c r="N4785" s="82" t="s">
        <v>12178</v>
      </c>
      <c r="O4785" s="93">
        <v>45902.589201388888</v>
      </c>
    </row>
    <row r="4786" spans="1:15" ht="22.5" customHeight="1">
      <c r="A4786" s="85">
        <v>174904221976312</v>
      </c>
      <c r="B4786" s="82" t="s">
        <v>10651</v>
      </c>
      <c r="C4786" s="82" t="s">
        <v>12179</v>
      </c>
      <c r="D4786" s="82" t="s">
        <v>12180</v>
      </c>
      <c r="E4786" s="82">
        <v>6281222200099</v>
      </c>
      <c r="F4786" s="94">
        <v>45901</v>
      </c>
      <c r="G4786" s="87">
        <v>669</v>
      </c>
      <c r="H4786" s="88">
        <v>18586.455331412104</v>
      </c>
      <c r="I4786" s="89">
        <v>9</v>
      </c>
      <c r="J4786" s="90">
        <v>12899</v>
      </c>
      <c r="K4786" s="85">
        <v>0</v>
      </c>
      <c r="L4786" s="85">
        <v>163</v>
      </c>
      <c r="M4786" s="85">
        <v>0</v>
      </c>
      <c r="N4786" s="82" t="s">
        <v>12181</v>
      </c>
      <c r="O4786" s="93">
        <v>45902.568425925929</v>
      </c>
    </row>
    <row r="4787" spans="1:15" ht="22.5" customHeight="1">
      <c r="A4787" s="85">
        <v>174904221976312</v>
      </c>
      <c r="B4787" s="82" t="s">
        <v>10651</v>
      </c>
      <c r="C4787" s="82" t="s">
        <v>12182</v>
      </c>
      <c r="D4787" s="82" t="s">
        <v>12183</v>
      </c>
      <c r="E4787" s="82">
        <v>6285645712595</v>
      </c>
      <c r="F4787" s="94">
        <v>45901</v>
      </c>
      <c r="G4787" s="87">
        <v>346</v>
      </c>
      <c r="H4787" s="88">
        <v>27610.666666666668</v>
      </c>
      <c r="I4787" s="89">
        <v>1</v>
      </c>
      <c r="J4787" s="90">
        <v>10354</v>
      </c>
      <c r="K4787" s="85">
        <v>1</v>
      </c>
      <c r="L4787" s="85">
        <v>0</v>
      </c>
      <c r="M4787" s="85">
        <v>0</v>
      </c>
      <c r="N4787" s="82" t="s">
        <v>12212</v>
      </c>
      <c r="O4787" s="93">
        <v>45902.734895833331</v>
      </c>
    </row>
    <row r="4788" spans="1:15" ht="22.5" customHeight="1">
      <c r="A4788" s="85">
        <v>174904221976312</v>
      </c>
      <c r="B4788" s="82" t="s">
        <v>10651</v>
      </c>
      <c r="C4788" s="82" t="s">
        <v>12185</v>
      </c>
      <c r="D4788" s="82" t="s">
        <v>12186</v>
      </c>
      <c r="E4788" s="82">
        <v>6285771466144</v>
      </c>
      <c r="F4788" s="94">
        <v>45901</v>
      </c>
      <c r="G4788" s="87">
        <v>1162</v>
      </c>
      <c r="H4788" s="88">
        <v>10146.656534954407</v>
      </c>
      <c r="I4788" s="89">
        <v>16</v>
      </c>
      <c r="J4788" s="90">
        <v>13353</v>
      </c>
      <c r="K4788" s="85">
        <v>0</v>
      </c>
      <c r="L4788" s="85">
        <v>1</v>
      </c>
      <c r="M4788" s="85">
        <v>1</v>
      </c>
      <c r="N4788" s="82" t="s">
        <v>12213</v>
      </c>
      <c r="O4788" s="93">
        <v>45902.589201388888</v>
      </c>
    </row>
    <row r="4789" spans="1:15" ht="22.5" customHeight="1">
      <c r="A4789" s="85">
        <v>174904221976312</v>
      </c>
      <c r="B4789" s="82" t="s">
        <v>10651</v>
      </c>
      <c r="C4789" s="82" t="s">
        <v>12188</v>
      </c>
      <c r="D4789" s="82" t="s">
        <v>12189</v>
      </c>
      <c r="E4789" s="82">
        <v>6285864550854</v>
      </c>
      <c r="F4789" s="94">
        <v>45901</v>
      </c>
      <c r="G4789" s="87">
        <v>365</v>
      </c>
      <c r="H4789" s="88">
        <v>31652.912621359224</v>
      </c>
      <c r="I4789" s="89">
        <v>16</v>
      </c>
      <c r="J4789" s="90">
        <v>13041</v>
      </c>
      <c r="K4789" s="85">
        <v>4</v>
      </c>
      <c r="L4789" s="85">
        <v>4</v>
      </c>
      <c r="M4789" s="85">
        <v>0</v>
      </c>
      <c r="N4789" s="82" t="s">
        <v>12190</v>
      </c>
      <c r="O4789" s="93">
        <v>45902.755393518521</v>
      </c>
    </row>
    <row r="4790" spans="1:15" ht="22.5" customHeight="1">
      <c r="A4790" s="85">
        <v>174904221976312</v>
      </c>
      <c r="B4790" s="82" t="s">
        <v>10651</v>
      </c>
      <c r="C4790" s="82" t="s">
        <v>12191</v>
      </c>
      <c r="D4790" s="82" t="s">
        <v>12192</v>
      </c>
      <c r="E4790" s="82">
        <v>6289606523838</v>
      </c>
      <c r="F4790" s="94">
        <v>45901</v>
      </c>
      <c r="G4790" s="87">
        <v>989</v>
      </c>
      <c r="H4790" s="88">
        <v>8359.7464342313797</v>
      </c>
      <c r="I4790" s="89">
        <v>11</v>
      </c>
      <c r="J4790" s="90">
        <v>10550</v>
      </c>
      <c r="K4790" s="85">
        <v>1</v>
      </c>
      <c r="L4790" s="85">
        <v>159</v>
      </c>
      <c r="M4790" s="85">
        <v>0</v>
      </c>
      <c r="N4790" s="82" t="s">
        <v>12214</v>
      </c>
      <c r="O4790" s="93">
        <v>45902.797500000001</v>
      </c>
    </row>
    <row r="4791" spans="1:15" ht="22.5" customHeight="1">
      <c r="A4791" s="85">
        <v>174904221976312</v>
      </c>
      <c r="B4791" s="82" t="s">
        <v>10651</v>
      </c>
      <c r="C4791" s="82" t="s">
        <v>12194</v>
      </c>
      <c r="D4791" s="82" t="s">
        <v>12137</v>
      </c>
      <c r="E4791" s="82">
        <v>6287863509004</v>
      </c>
      <c r="F4791" s="94">
        <v>45901</v>
      </c>
      <c r="G4791" s="87">
        <v>1920</v>
      </c>
      <c r="H4791" s="88">
        <v>4544.3934972905381</v>
      </c>
      <c r="I4791" s="89">
        <v>19</v>
      </c>
      <c r="J4791" s="90">
        <v>10902</v>
      </c>
      <c r="K4791" s="85">
        <v>1</v>
      </c>
      <c r="L4791" s="85">
        <v>0</v>
      </c>
      <c r="M4791" s="85">
        <v>1</v>
      </c>
      <c r="N4791" s="82" t="s">
        <v>12195</v>
      </c>
      <c r="O4791" s="93">
        <v>45902.63077546296</v>
      </c>
    </row>
    <row r="4792" spans="1:15" ht="22.5" customHeight="1">
      <c r="A4792" s="85">
        <v>174904221976312</v>
      </c>
      <c r="B4792" s="82" t="s">
        <v>10651</v>
      </c>
      <c r="C4792" s="82" t="s">
        <v>12196</v>
      </c>
      <c r="D4792" s="82" t="s">
        <v>12134</v>
      </c>
      <c r="E4792" s="82">
        <v>6285194619788</v>
      </c>
      <c r="F4792" s="94">
        <v>45901</v>
      </c>
      <c r="G4792" s="87">
        <v>1873</v>
      </c>
      <c r="H4792" s="88">
        <v>6020.9986000933277</v>
      </c>
      <c r="I4792" s="89">
        <v>58</v>
      </c>
      <c r="J4792" s="90">
        <v>12903</v>
      </c>
      <c r="K4792" s="85">
        <v>11</v>
      </c>
      <c r="L4792" s="85">
        <v>494</v>
      </c>
      <c r="M4792" s="85">
        <v>1</v>
      </c>
      <c r="N4792" s="82" t="s">
        <v>12135</v>
      </c>
      <c r="O4792" s="93">
        <v>45902.693194444444</v>
      </c>
    </row>
    <row r="4793" spans="1:15" ht="22.5" customHeight="1">
      <c r="A4793" s="85">
        <v>174904221976312</v>
      </c>
      <c r="B4793" s="82" t="s">
        <v>10651</v>
      </c>
      <c r="C4793" s="82" t="s">
        <v>12156</v>
      </c>
      <c r="D4793" s="82" t="s">
        <v>4718</v>
      </c>
      <c r="E4793" s="82">
        <v>62811955059</v>
      </c>
      <c r="F4793" s="94">
        <v>45901</v>
      </c>
      <c r="G4793" s="87">
        <v>423</v>
      </c>
      <c r="H4793" s="88">
        <v>33606.666666666672</v>
      </c>
      <c r="I4793" s="89">
        <v>16</v>
      </c>
      <c r="J4793" s="90">
        <v>15123</v>
      </c>
      <c r="K4793" s="85">
        <v>4</v>
      </c>
      <c r="L4793" s="85">
        <v>144</v>
      </c>
      <c r="M4793" s="85">
        <v>0</v>
      </c>
      <c r="N4793" s="82" t="s">
        <v>12215</v>
      </c>
      <c r="O4793" s="93">
        <v>45902.668124999997</v>
      </c>
    </row>
    <row r="4794" spans="1:15" ht="22.5" customHeight="1">
      <c r="A4794" s="85">
        <v>174904221976312</v>
      </c>
      <c r="B4794" s="82" t="s">
        <v>10651</v>
      </c>
      <c r="C4794" s="82" t="s">
        <v>12158</v>
      </c>
      <c r="D4794" s="82" t="s">
        <v>12159</v>
      </c>
      <c r="E4794" s="82">
        <v>6281545971465</v>
      </c>
      <c r="F4794" s="94">
        <v>45901</v>
      </c>
      <c r="G4794" s="87">
        <v>348</v>
      </c>
      <c r="H4794" s="88">
        <v>37092.348284960426</v>
      </c>
      <c r="I4794" s="89">
        <v>4</v>
      </c>
      <c r="J4794" s="90">
        <v>14058</v>
      </c>
      <c r="K4794" s="85">
        <v>0</v>
      </c>
      <c r="L4794" s="85">
        <v>93</v>
      </c>
      <c r="M4794" s="85">
        <v>0</v>
      </c>
      <c r="N4794" s="82" t="s">
        <v>12216</v>
      </c>
      <c r="O4794" s="93">
        <v>45902.676828703705</v>
      </c>
    </row>
    <row r="4795" spans="1:15" ht="22.5" customHeight="1">
      <c r="A4795" s="85">
        <v>174904221976312</v>
      </c>
      <c r="B4795" s="82" t="s">
        <v>10651</v>
      </c>
      <c r="C4795" s="82" t="s">
        <v>12161</v>
      </c>
      <c r="D4795" s="82" t="s">
        <v>12162</v>
      </c>
      <c r="E4795" s="82">
        <v>6285338058843</v>
      </c>
      <c r="F4795" s="94">
        <v>45901</v>
      </c>
      <c r="G4795" s="87">
        <v>951</v>
      </c>
      <c r="H4795" s="88">
        <v>13661.116552399608</v>
      </c>
      <c r="I4795" s="89">
        <v>11</v>
      </c>
      <c r="J4795" s="90">
        <v>13948</v>
      </c>
      <c r="K4795" s="85">
        <v>2</v>
      </c>
      <c r="L4795" s="85">
        <v>221</v>
      </c>
      <c r="M4795" s="85">
        <v>0</v>
      </c>
      <c r="N4795" s="82" t="s">
        <v>12197</v>
      </c>
      <c r="O4795" s="93">
        <v>45902.609907407408</v>
      </c>
    </row>
    <row r="4796" spans="1:15" ht="22.5" customHeight="1">
      <c r="A4796" s="85">
        <v>174904221976312</v>
      </c>
      <c r="B4796" s="82" t="s">
        <v>10651</v>
      </c>
      <c r="C4796" s="82" t="s">
        <v>12164</v>
      </c>
      <c r="D4796" s="82" t="s">
        <v>12165</v>
      </c>
      <c r="E4796" s="82">
        <v>6285787104091</v>
      </c>
      <c r="F4796" s="94">
        <v>45901</v>
      </c>
      <c r="G4796" s="87">
        <v>1302</v>
      </c>
      <c r="H4796" s="88">
        <v>8757.944557133198</v>
      </c>
      <c r="I4796" s="89">
        <v>12</v>
      </c>
      <c r="J4796" s="90">
        <v>12953</v>
      </c>
      <c r="K4796" s="85">
        <v>0</v>
      </c>
      <c r="L4796" s="85">
        <v>1</v>
      </c>
      <c r="M4796" s="85">
        <v>0</v>
      </c>
      <c r="N4796" s="82" t="s">
        <v>12198</v>
      </c>
      <c r="O4796" s="93">
        <v>45902.526956018519</v>
      </c>
    </row>
    <row r="4797" spans="1:15" ht="22.5" customHeight="1">
      <c r="A4797" s="85">
        <v>174904221976312</v>
      </c>
      <c r="B4797" s="82" t="s">
        <v>10651</v>
      </c>
      <c r="C4797" s="82" t="s">
        <v>12167</v>
      </c>
      <c r="D4797" s="82" t="s">
        <v>6402</v>
      </c>
      <c r="E4797" s="82">
        <v>6285361118289</v>
      </c>
      <c r="F4797" s="94">
        <v>45901</v>
      </c>
      <c r="G4797" s="87">
        <v>782</v>
      </c>
      <c r="H4797" s="88">
        <v>12922.462941847205</v>
      </c>
      <c r="I4797" s="89">
        <v>22</v>
      </c>
      <c r="J4797" s="90">
        <v>11333</v>
      </c>
      <c r="K4797" s="85">
        <v>2</v>
      </c>
      <c r="L4797" s="85">
        <v>219</v>
      </c>
      <c r="M4797" s="85">
        <v>0</v>
      </c>
      <c r="N4797" s="82" t="s">
        <v>12168</v>
      </c>
      <c r="O4797" s="93">
        <v>45902.547349537039</v>
      </c>
    </row>
    <row r="4798" spans="1:15" ht="22.5" customHeight="1">
      <c r="A4798" s="85">
        <v>174904221976312</v>
      </c>
      <c r="B4798" s="82" t="s">
        <v>10651</v>
      </c>
      <c r="C4798" s="82" t="s">
        <v>12169</v>
      </c>
      <c r="D4798" s="82" t="s">
        <v>4755</v>
      </c>
      <c r="E4798" s="82">
        <v>6281381118500</v>
      </c>
      <c r="F4798" s="94">
        <v>45901</v>
      </c>
      <c r="G4798" s="87">
        <v>264</v>
      </c>
      <c r="H4798" s="88">
        <v>44740.484429065742</v>
      </c>
      <c r="I4798" s="89">
        <v>6</v>
      </c>
      <c r="J4798" s="90">
        <v>12930</v>
      </c>
      <c r="K4798" s="85">
        <v>0</v>
      </c>
      <c r="L4798" s="85">
        <v>76</v>
      </c>
      <c r="M4798" s="85">
        <v>0</v>
      </c>
      <c r="N4798" s="82" t="s">
        <v>12217</v>
      </c>
      <c r="O4798" s="93">
        <v>45902.704062500001</v>
      </c>
    </row>
    <row r="4799" spans="1:15" ht="22.5" customHeight="1">
      <c r="A4799" s="85">
        <v>174904221976312</v>
      </c>
      <c r="B4799" s="82" t="s">
        <v>10651</v>
      </c>
      <c r="C4799" s="82" t="s">
        <v>12171</v>
      </c>
      <c r="D4799" s="82" t="s">
        <v>4386</v>
      </c>
      <c r="E4799" s="82">
        <v>62818533354</v>
      </c>
      <c r="F4799" s="94">
        <v>45901</v>
      </c>
      <c r="G4799" s="87">
        <v>316</v>
      </c>
      <c r="H4799" s="88">
        <v>36014.204545454544</v>
      </c>
      <c r="I4799" s="89">
        <v>5</v>
      </c>
      <c r="J4799" s="90">
        <v>12677</v>
      </c>
      <c r="K4799" s="85">
        <v>1</v>
      </c>
      <c r="L4799" s="85">
        <v>132</v>
      </c>
      <c r="M4799" s="85">
        <v>0</v>
      </c>
      <c r="N4799" s="82" t="s">
        <v>12218</v>
      </c>
      <c r="O4799" s="93">
        <v>45902.704074074078</v>
      </c>
    </row>
    <row r="4800" spans="1:15" ht="22.5" customHeight="1">
      <c r="A4800" s="85">
        <v>174904221976312</v>
      </c>
      <c r="B4800" s="82" t="s">
        <v>10651</v>
      </c>
      <c r="C4800" s="82" t="s">
        <v>12173</v>
      </c>
      <c r="D4800" s="82" t="s">
        <v>3489</v>
      </c>
      <c r="E4800" s="82">
        <v>6285214612372</v>
      </c>
      <c r="F4800" s="94">
        <v>45901</v>
      </c>
      <c r="G4800" s="87">
        <v>1425</v>
      </c>
      <c r="H4800" s="88">
        <v>7003.0333670374112</v>
      </c>
      <c r="I4800" s="89">
        <v>59</v>
      </c>
      <c r="J4800" s="90">
        <v>13852</v>
      </c>
      <c r="K4800" s="85">
        <v>2</v>
      </c>
      <c r="L4800" s="85">
        <v>14</v>
      </c>
      <c r="M4800" s="85">
        <v>0</v>
      </c>
      <c r="N4800" s="82" t="s">
        <v>12199</v>
      </c>
      <c r="O4800" s="93">
        <v>45902.81821759259</v>
      </c>
    </row>
    <row r="4801" spans="1:15" ht="22.5" customHeight="1">
      <c r="A4801" s="85">
        <v>174904221976312</v>
      </c>
      <c r="B4801" s="82" t="s">
        <v>10651</v>
      </c>
      <c r="C4801" s="82" t="s">
        <v>12125</v>
      </c>
      <c r="D4801" s="82" t="s">
        <v>4008</v>
      </c>
      <c r="E4801" s="82">
        <v>6281558225822</v>
      </c>
      <c r="F4801" s="94">
        <v>45901</v>
      </c>
      <c r="G4801" s="87">
        <v>340</v>
      </c>
      <c r="H4801" s="88">
        <v>34256.267409470755</v>
      </c>
      <c r="I4801" s="89">
        <v>2</v>
      </c>
      <c r="J4801" s="90">
        <v>12298</v>
      </c>
      <c r="K4801" s="85">
        <v>0</v>
      </c>
      <c r="L4801" s="85">
        <v>1</v>
      </c>
      <c r="M4801" s="85">
        <v>0</v>
      </c>
      <c r="N4801" s="82" t="s">
        <v>12219</v>
      </c>
      <c r="O4801" s="93">
        <v>45902.716990740744</v>
      </c>
    </row>
    <row r="4802" spans="1:15" ht="22.5" customHeight="1">
      <c r="A4802" s="85">
        <v>174904221976312</v>
      </c>
      <c r="B4802" s="82" t="s">
        <v>10651</v>
      </c>
      <c r="C4802" s="82" t="s">
        <v>12127</v>
      </c>
      <c r="D4802" s="82" t="s">
        <v>12128</v>
      </c>
      <c r="E4802" s="82">
        <v>6281226825253</v>
      </c>
      <c r="F4802" s="94">
        <v>45901</v>
      </c>
      <c r="G4802" s="87">
        <v>13535</v>
      </c>
      <c r="H4802" s="88">
        <v>914.97200117889781</v>
      </c>
      <c r="I4802" s="89">
        <v>85</v>
      </c>
      <c r="J4802" s="90">
        <v>12418</v>
      </c>
      <c r="K4802" s="85">
        <v>0</v>
      </c>
      <c r="L4802" s="85">
        <v>1147</v>
      </c>
      <c r="M4802" s="85">
        <v>1</v>
      </c>
      <c r="N4802" s="82" t="s">
        <v>12129</v>
      </c>
      <c r="O4802" s="93">
        <v>45902.734571759262</v>
      </c>
    </row>
    <row r="4803" spans="1:15" ht="22.5" customHeight="1">
      <c r="A4803" s="85">
        <v>174904221976312</v>
      </c>
      <c r="B4803" s="82" t="s">
        <v>10651</v>
      </c>
      <c r="C4803" s="82" t="s">
        <v>12130</v>
      </c>
      <c r="D4803" s="82" t="s">
        <v>12131</v>
      </c>
      <c r="E4803" s="82">
        <v>6281239004410</v>
      </c>
      <c r="F4803" s="94">
        <v>45901</v>
      </c>
      <c r="G4803" s="87">
        <v>234</v>
      </c>
      <c r="H4803" s="88">
        <v>55582.375478927206</v>
      </c>
      <c r="I4803" s="89">
        <v>9</v>
      </c>
      <c r="J4803" s="90">
        <v>14507</v>
      </c>
      <c r="K4803" s="85">
        <v>5</v>
      </c>
      <c r="L4803" s="85">
        <v>58</v>
      </c>
      <c r="M4803" s="85">
        <v>0</v>
      </c>
      <c r="N4803" s="82" t="s">
        <v>12220</v>
      </c>
      <c r="O4803" s="93">
        <v>45902.726493055554</v>
      </c>
    </row>
    <row r="4804" spans="1:15" ht="22.5" customHeight="1">
      <c r="A4804" s="85">
        <v>174904221976312</v>
      </c>
      <c r="B4804" s="82" t="s">
        <v>10651</v>
      </c>
      <c r="C4804" s="82" t="s">
        <v>12139</v>
      </c>
      <c r="D4804" s="82" t="s">
        <v>4605</v>
      </c>
      <c r="E4804" s="82">
        <v>6281359605566</v>
      </c>
      <c r="F4804" s="94">
        <v>45901</v>
      </c>
      <c r="G4804" s="87">
        <v>1605</v>
      </c>
      <c r="H4804" s="88">
        <v>7271.1157455683006</v>
      </c>
      <c r="I4804" s="89">
        <v>39</v>
      </c>
      <c r="J4804" s="90">
        <v>13946</v>
      </c>
      <c r="K4804" s="85">
        <v>2</v>
      </c>
      <c r="L4804" s="85">
        <v>689</v>
      </c>
      <c r="M4804" s="85">
        <v>0</v>
      </c>
      <c r="N4804" s="82" t="s">
        <v>12140</v>
      </c>
      <c r="O4804" s="93">
        <v>45902.589016203703</v>
      </c>
    </row>
    <row r="4805" spans="1:15" ht="22.5" customHeight="1">
      <c r="A4805" s="85">
        <v>174904221976312</v>
      </c>
      <c r="B4805" s="82" t="s">
        <v>10651</v>
      </c>
      <c r="C4805" s="82" t="s">
        <v>12122</v>
      </c>
      <c r="D4805" s="82" t="s">
        <v>12123</v>
      </c>
      <c r="E4805" s="82">
        <v>6285720705874</v>
      </c>
      <c r="F4805" s="94">
        <v>45901</v>
      </c>
      <c r="G4805" s="87">
        <v>879</v>
      </c>
      <c r="H4805" s="88">
        <v>13945.973496432211</v>
      </c>
      <c r="I4805" s="89">
        <v>28</v>
      </c>
      <c r="J4805" s="90">
        <v>13681</v>
      </c>
      <c r="K4805" s="85">
        <v>6</v>
      </c>
      <c r="L4805" s="85">
        <v>376</v>
      </c>
      <c r="M4805" s="85">
        <v>2</v>
      </c>
      <c r="N4805" s="82" t="s">
        <v>12124</v>
      </c>
      <c r="O4805" s="93">
        <v>45902.526678240742</v>
      </c>
    </row>
    <row r="4806" spans="1:15" ht="22.5" customHeight="1">
      <c r="A4806" s="85">
        <v>174904221976312</v>
      </c>
      <c r="B4806" s="82" t="s">
        <v>10651</v>
      </c>
      <c r="C4806" s="82" t="s">
        <v>12100</v>
      </c>
      <c r="D4806" s="82" t="s">
        <v>6091</v>
      </c>
      <c r="E4806" s="82">
        <v>6281938384000</v>
      </c>
      <c r="F4806" s="94">
        <v>45901</v>
      </c>
      <c r="G4806" s="87">
        <v>735</v>
      </c>
      <c r="H4806" s="88">
        <v>16707.792207792205</v>
      </c>
      <c r="I4806" s="89">
        <v>15</v>
      </c>
      <c r="J4806" s="90">
        <v>12865</v>
      </c>
      <c r="K4806" s="85">
        <v>0</v>
      </c>
      <c r="L4806" s="85">
        <v>362</v>
      </c>
      <c r="M4806" s="85">
        <v>1</v>
      </c>
      <c r="N4806" s="82" t="s">
        <v>12221</v>
      </c>
      <c r="O4806" s="93">
        <v>45902.484791666669</v>
      </c>
    </row>
    <row r="4807" spans="1:15" ht="22.5" customHeight="1">
      <c r="A4807" s="85">
        <v>174904221976312</v>
      </c>
      <c r="B4807" s="82" t="s">
        <v>10651</v>
      </c>
      <c r="C4807" s="82" t="s">
        <v>12102</v>
      </c>
      <c r="D4807" s="82" t="s">
        <v>12103</v>
      </c>
      <c r="E4807" s="82">
        <v>628122577723</v>
      </c>
      <c r="F4807" s="94">
        <v>45901</v>
      </c>
      <c r="G4807" s="87">
        <v>512</v>
      </c>
      <c r="H4807" s="88">
        <v>19963.949843260187</v>
      </c>
      <c r="I4807" s="89">
        <v>9</v>
      </c>
      <c r="J4807" s="90">
        <v>12737</v>
      </c>
      <c r="K4807" s="85">
        <v>0</v>
      </c>
      <c r="L4807" s="85">
        <v>0</v>
      </c>
      <c r="M4807" s="85">
        <v>1</v>
      </c>
      <c r="N4807" s="82" t="s">
        <v>12144</v>
      </c>
      <c r="O4807" s="93">
        <v>45902.651261574072</v>
      </c>
    </row>
    <row r="4808" spans="1:15" ht="22.5" customHeight="1">
      <c r="A4808" s="85">
        <v>174904221976312</v>
      </c>
      <c r="B4808" s="82" t="s">
        <v>10651</v>
      </c>
      <c r="C4808" s="82" t="s">
        <v>12107</v>
      </c>
      <c r="D4808" s="82" t="s">
        <v>3465</v>
      </c>
      <c r="E4808" s="82">
        <v>6285920572002</v>
      </c>
      <c r="F4808" s="94">
        <v>45901</v>
      </c>
      <c r="G4808" s="87">
        <v>522</v>
      </c>
      <c r="H4808" s="88">
        <v>21998.322147651004</v>
      </c>
      <c r="I4808" s="89">
        <v>11</v>
      </c>
      <c r="J4808" s="90">
        <v>13111</v>
      </c>
      <c r="K4808" s="85">
        <v>3</v>
      </c>
      <c r="L4808" s="85">
        <v>147</v>
      </c>
      <c r="M4808" s="85">
        <v>0</v>
      </c>
      <c r="N4808" s="82" t="s">
        <v>12108</v>
      </c>
      <c r="O4808" s="93">
        <v>45902.505810185183</v>
      </c>
    </row>
    <row r="4809" spans="1:15" ht="22.5" customHeight="1">
      <c r="A4809" s="85">
        <v>174904221976312</v>
      </c>
      <c r="B4809" s="82" t="s">
        <v>10651</v>
      </c>
      <c r="C4809" s="82" t="s">
        <v>12109</v>
      </c>
      <c r="D4809" s="82" t="s">
        <v>12110</v>
      </c>
      <c r="E4809" s="82">
        <v>6287777304498</v>
      </c>
      <c r="F4809" s="94">
        <v>45901</v>
      </c>
      <c r="G4809" s="87">
        <v>223</v>
      </c>
      <c r="H4809" s="88">
        <v>52719.367588932808</v>
      </c>
      <c r="I4809" s="89">
        <v>9</v>
      </c>
      <c r="J4809" s="90">
        <v>13338</v>
      </c>
      <c r="K4809" s="85">
        <v>4</v>
      </c>
      <c r="L4809" s="85">
        <v>0</v>
      </c>
      <c r="M4809" s="85">
        <v>0</v>
      </c>
      <c r="N4809" s="82" t="s">
        <v>12146</v>
      </c>
      <c r="O4809" s="93">
        <v>45902.588993055557</v>
      </c>
    </row>
    <row r="4810" spans="1:15" ht="22.5" customHeight="1">
      <c r="A4810" s="85">
        <v>174904221976312</v>
      </c>
      <c r="B4810" s="82" t="s">
        <v>10651</v>
      </c>
      <c r="C4810" s="82" t="s">
        <v>12058</v>
      </c>
      <c r="D4810" s="82" t="s">
        <v>4516</v>
      </c>
      <c r="E4810" s="82">
        <v>6281315163838</v>
      </c>
      <c r="F4810" s="94">
        <v>45901</v>
      </c>
      <c r="G4810" s="87">
        <v>314</v>
      </c>
      <c r="H4810" s="88">
        <v>34757.83475783476</v>
      </c>
      <c r="I4810" s="89">
        <v>10</v>
      </c>
      <c r="J4810" s="90">
        <v>12200</v>
      </c>
      <c r="K4810" s="85">
        <v>2</v>
      </c>
      <c r="L4810" s="85">
        <v>0</v>
      </c>
      <c r="M4810" s="85">
        <v>0</v>
      </c>
      <c r="N4810" s="82" t="s">
        <v>12222</v>
      </c>
      <c r="O4810" s="93">
        <v>45902.690532407411</v>
      </c>
    </row>
    <row r="4811" spans="1:15" ht="22.5" customHeight="1">
      <c r="A4811" s="85">
        <v>174904221976312</v>
      </c>
      <c r="B4811" s="82" t="s">
        <v>10651</v>
      </c>
      <c r="C4811" s="82" t="s">
        <v>12039</v>
      </c>
      <c r="D4811" s="82" t="s">
        <v>12040</v>
      </c>
      <c r="E4811" s="82">
        <v>6281330410391</v>
      </c>
      <c r="F4811" s="94">
        <v>45901</v>
      </c>
      <c r="G4811" s="87">
        <v>775</v>
      </c>
      <c r="H4811" s="88">
        <v>14407.013815090329</v>
      </c>
      <c r="I4811" s="89">
        <v>52</v>
      </c>
      <c r="J4811" s="90">
        <v>13557</v>
      </c>
      <c r="K4811" s="85">
        <v>4</v>
      </c>
      <c r="L4811" s="85">
        <v>222</v>
      </c>
      <c r="M4811" s="85">
        <v>2</v>
      </c>
      <c r="N4811" s="82" t="s">
        <v>12041</v>
      </c>
      <c r="O4811" s="93">
        <v>45902.609618055554</v>
      </c>
    </row>
    <row r="4812" spans="1:15" ht="22.5" customHeight="1">
      <c r="A4812" s="85">
        <v>174904221976312</v>
      </c>
      <c r="B4812" s="82" t="s">
        <v>10651</v>
      </c>
      <c r="C4812" s="82" t="s">
        <v>12016</v>
      </c>
      <c r="D4812" s="82" t="s">
        <v>12017</v>
      </c>
      <c r="E4812" s="82">
        <v>6281210801646</v>
      </c>
      <c r="F4812" s="94">
        <v>45901</v>
      </c>
      <c r="G4812" s="87">
        <v>408</v>
      </c>
      <c r="H4812" s="88">
        <v>29653.93258426966</v>
      </c>
      <c r="I4812" s="89">
        <v>2</v>
      </c>
      <c r="J4812" s="90">
        <v>13196</v>
      </c>
      <c r="K4812" s="85">
        <v>0</v>
      </c>
      <c r="L4812" s="85">
        <v>146</v>
      </c>
      <c r="M4812" s="85">
        <v>0</v>
      </c>
      <c r="N4812" s="82" t="s">
        <v>12223</v>
      </c>
      <c r="O4812" s="93">
        <v>45902.686296296299</v>
      </c>
    </row>
    <row r="4813" spans="1:15" ht="22.5" customHeight="1">
      <c r="A4813" s="85">
        <v>174904221976312</v>
      </c>
      <c r="B4813" s="82" t="s">
        <v>10651</v>
      </c>
      <c r="C4813" s="82" t="s">
        <v>12007</v>
      </c>
      <c r="D4813" s="82" t="s">
        <v>9010</v>
      </c>
      <c r="E4813" s="82">
        <v>6282160743576</v>
      </c>
      <c r="F4813" s="94">
        <v>45901</v>
      </c>
      <c r="G4813" s="87">
        <v>1039</v>
      </c>
      <c r="H4813" s="88">
        <v>11971.57622739018</v>
      </c>
      <c r="I4813" s="89">
        <v>66</v>
      </c>
      <c r="J4813" s="90">
        <v>13899</v>
      </c>
      <c r="K4813" s="85">
        <v>9</v>
      </c>
      <c r="L4813" s="85">
        <v>598</v>
      </c>
      <c r="M4813" s="85">
        <v>1</v>
      </c>
      <c r="N4813" s="82" t="s">
        <v>12008</v>
      </c>
      <c r="O4813" s="93">
        <v>45902.63077546296</v>
      </c>
    </row>
    <row r="4814" spans="1:15" ht="22.5" customHeight="1">
      <c r="A4814" s="85">
        <v>174904221976312</v>
      </c>
      <c r="B4814" s="82" t="s">
        <v>10651</v>
      </c>
      <c r="C4814" s="82" t="s">
        <v>11905</v>
      </c>
      <c r="D4814" s="82" t="s">
        <v>11906</v>
      </c>
      <c r="E4814" s="82">
        <v>6285294617773</v>
      </c>
      <c r="F4814" s="94">
        <v>45901</v>
      </c>
      <c r="G4814" s="87">
        <v>355</v>
      </c>
      <c r="H4814" s="88">
        <v>33254.278728606361</v>
      </c>
      <c r="I4814" s="89">
        <v>22</v>
      </c>
      <c r="J4814" s="90">
        <v>13601</v>
      </c>
      <c r="K4814" s="85">
        <v>4</v>
      </c>
      <c r="L4814" s="85">
        <v>104</v>
      </c>
      <c r="M4814" s="85">
        <v>0</v>
      </c>
      <c r="N4814" s="82" t="s">
        <v>11907</v>
      </c>
      <c r="O4814" s="93">
        <v>45902.547337962962</v>
      </c>
    </row>
    <row r="4815" spans="1:15" ht="22.5" customHeight="1">
      <c r="A4815" s="85">
        <v>174904221976312</v>
      </c>
      <c r="B4815" s="82" t="s">
        <v>10651</v>
      </c>
      <c r="C4815" s="82" t="s">
        <v>11896</v>
      </c>
      <c r="D4815" s="82" t="s">
        <v>11897</v>
      </c>
      <c r="E4815" s="82">
        <v>6282153090123</v>
      </c>
      <c r="F4815" s="94">
        <v>45901</v>
      </c>
      <c r="G4815" s="87">
        <v>950</v>
      </c>
      <c r="H4815" s="88">
        <v>11404.990403071019</v>
      </c>
      <c r="I4815" s="89">
        <v>30</v>
      </c>
      <c r="J4815" s="90">
        <v>11884</v>
      </c>
      <c r="K4815" s="85">
        <v>1</v>
      </c>
      <c r="L4815" s="85">
        <v>491</v>
      </c>
      <c r="M4815" s="85">
        <v>1</v>
      </c>
      <c r="N4815" s="82" t="s">
        <v>11898</v>
      </c>
      <c r="O4815" s="93">
        <v>45902.215821759259</v>
      </c>
    </row>
    <row r="4816" spans="1:15" ht="22.5" customHeight="1">
      <c r="A4816" s="85">
        <v>174904221976312</v>
      </c>
      <c r="B4816" s="82" t="s">
        <v>10651</v>
      </c>
      <c r="C4816" s="82" t="s">
        <v>11865</v>
      </c>
      <c r="D4816" s="82" t="s">
        <v>11403</v>
      </c>
      <c r="E4816" s="82">
        <v>6283870060603</v>
      </c>
      <c r="F4816" s="94">
        <v>45901</v>
      </c>
      <c r="G4816" s="87">
        <v>518</v>
      </c>
      <c r="H4816" s="88">
        <v>25768.939393939396</v>
      </c>
      <c r="I4816" s="89">
        <v>21</v>
      </c>
      <c r="J4816" s="90">
        <v>13606</v>
      </c>
      <c r="K4816" s="85">
        <v>0</v>
      </c>
      <c r="L4816" s="85">
        <v>198</v>
      </c>
      <c r="M4816" s="85">
        <v>0</v>
      </c>
      <c r="N4816" s="82" t="s">
        <v>11866</v>
      </c>
      <c r="O4816" s="93">
        <v>45902.215821759259</v>
      </c>
    </row>
    <row r="4817" spans="1:15" ht="22.5" customHeight="1">
      <c r="A4817" s="85">
        <v>174904221976312</v>
      </c>
      <c r="B4817" s="82" t="s">
        <v>10651</v>
      </c>
      <c r="C4817" s="82" t="s">
        <v>11876</v>
      </c>
      <c r="D4817" s="82" t="s">
        <v>11877</v>
      </c>
      <c r="E4817" s="82">
        <v>6285748377961</v>
      </c>
      <c r="F4817" s="94">
        <v>45901</v>
      </c>
      <c r="G4817" s="87">
        <v>2078</v>
      </c>
      <c r="H4817" s="88">
        <v>5117.9097811523006</v>
      </c>
      <c r="I4817" s="89">
        <v>35</v>
      </c>
      <c r="J4817" s="90">
        <v>11459</v>
      </c>
      <c r="K4817" s="85">
        <v>3</v>
      </c>
      <c r="L4817" s="85">
        <v>555</v>
      </c>
      <c r="M4817" s="85">
        <v>1</v>
      </c>
      <c r="N4817" s="82" t="s">
        <v>11878</v>
      </c>
      <c r="O4817" s="93">
        <v>45902.443206018521</v>
      </c>
    </row>
    <row r="4818" spans="1:15" ht="22.5" customHeight="1">
      <c r="A4818" s="85">
        <v>174904221976312</v>
      </c>
      <c r="B4818" s="82" t="s">
        <v>10651</v>
      </c>
      <c r="C4818" s="82" t="s">
        <v>11879</v>
      </c>
      <c r="D4818" s="82" t="s">
        <v>11877</v>
      </c>
      <c r="E4818" s="82">
        <v>6285748377961</v>
      </c>
      <c r="F4818" s="94">
        <v>45901</v>
      </c>
      <c r="G4818" s="87">
        <v>741</v>
      </c>
      <c r="H4818" s="88">
        <v>16487.898089171973</v>
      </c>
      <c r="I4818" s="89">
        <v>27</v>
      </c>
      <c r="J4818" s="90">
        <v>12943</v>
      </c>
      <c r="K4818" s="85">
        <v>3</v>
      </c>
      <c r="L4818" s="85">
        <v>241</v>
      </c>
      <c r="M4818" s="85">
        <v>0</v>
      </c>
      <c r="N4818" s="82" t="s">
        <v>11878</v>
      </c>
      <c r="O4818" s="93">
        <v>45902.443206018521</v>
      </c>
    </row>
    <row r="4819" spans="1:15" ht="22.5" customHeight="1">
      <c r="A4819" s="85">
        <v>174904221976312</v>
      </c>
      <c r="B4819" s="82" t="s">
        <v>10651</v>
      </c>
      <c r="C4819" s="82" t="s">
        <v>11838</v>
      </c>
      <c r="D4819" s="82" t="s">
        <v>11839</v>
      </c>
      <c r="E4819" s="82">
        <v>6287797504113</v>
      </c>
      <c r="F4819" s="94">
        <v>45901</v>
      </c>
      <c r="G4819" s="87">
        <v>312</v>
      </c>
      <c r="H4819" s="88">
        <v>44412.256267409466</v>
      </c>
      <c r="I4819" s="89">
        <v>13</v>
      </c>
      <c r="J4819" s="90">
        <v>15944</v>
      </c>
      <c r="K4819" s="85">
        <v>1</v>
      </c>
      <c r="L4819" s="85">
        <v>31</v>
      </c>
      <c r="M4819" s="85">
        <v>0</v>
      </c>
      <c r="N4819" s="82" t="s">
        <v>12149</v>
      </c>
      <c r="O4819" s="93">
        <v>45902.463993055557</v>
      </c>
    </row>
    <row r="4820" spans="1:15" ht="22.5" customHeight="1">
      <c r="A4820" s="85">
        <v>174904221976312</v>
      </c>
      <c r="B4820" s="82" t="s">
        <v>10651</v>
      </c>
      <c r="C4820" s="82" t="s">
        <v>11792</v>
      </c>
      <c r="D4820" s="82" t="s">
        <v>11793</v>
      </c>
      <c r="E4820" s="82">
        <v>6281915041833</v>
      </c>
      <c r="F4820" s="94">
        <v>45901</v>
      </c>
      <c r="G4820" s="87">
        <v>1488</v>
      </c>
      <c r="H4820" s="88">
        <v>8297.2972972972966</v>
      </c>
      <c r="I4820" s="89">
        <v>22</v>
      </c>
      <c r="J4820" s="90">
        <v>13201</v>
      </c>
      <c r="K4820" s="85">
        <v>1</v>
      </c>
      <c r="L4820" s="85">
        <v>4</v>
      </c>
      <c r="M4820" s="85">
        <v>1</v>
      </c>
      <c r="N4820" s="82" t="s">
        <v>12200</v>
      </c>
      <c r="O4820" s="93">
        <v>45902.609918981485</v>
      </c>
    </row>
    <row r="4821" spans="1:15" ht="22.5" customHeight="1">
      <c r="A4821" s="85">
        <v>174904221976312</v>
      </c>
      <c r="B4821" s="82" t="s">
        <v>10651</v>
      </c>
      <c r="C4821" s="82" t="s">
        <v>11799</v>
      </c>
      <c r="D4821" s="82" t="s">
        <v>11800</v>
      </c>
      <c r="E4821" s="82">
        <v>6285333751528</v>
      </c>
      <c r="F4821" s="94">
        <v>45901</v>
      </c>
      <c r="G4821" s="87">
        <v>1545</v>
      </c>
      <c r="H4821" s="88">
        <v>8003.5587188612108</v>
      </c>
      <c r="I4821" s="89">
        <v>23</v>
      </c>
      <c r="J4821" s="90">
        <v>13494</v>
      </c>
      <c r="K4821" s="85">
        <v>2</v>
      </c>
      <c r="L4821" s="85">
        <v>0</v>
      </c>
      <c r="M4821" s="85">
        <v>0</v>
      </c>
      <c r="N4821" s="82" t="s">
        <v>12201</v>
      </c>
      <c r="O4821" s="93">
        <v>45902.734780092593</v>
      </c>
    </row>
    <row r="4822" spans="1:15" ht="22.5" customHeight="1">
      <c r="A4822" s="85">
        <v>174904221976312</v>
      </c>
      <c r="B4822" s="82" t="s">
        <v>10651</v>
      </c>
      <c r="C4822" s="82" t="s">
        <v>11766</v>
      </c>
      <c r="D4822" s="82" t="s">
        <v>11767</v>
      </c>
      <c r="E4822" s="82">
        <v>6281225101319</v>
      </c>
      <c r="F4822" s="94">
        <v>45901</v>
      </c>
      <c r="G4822" s="87">
        <v>393</v>
      </c>
      <c r="H4822" s="88">
        <v>27744.588744588742</v>
      </c>
      <c r="I4822" s="89">
        <v>6</v>
      </c>
      <c r="J4822" s="90">
        <v>12818</v>
      </c>
      <c r="K4822" s="85">
        <v>0</v>
      </c>
      <c r="L4822" s="85">
        <v>0</v>
      </c>
      <c r="M4822" s="85">
        <v>0</v>
      </c>
      <c r="N4822" s="82" t="s">
        <v>12150</v>
      </c>
      <c r="O4822" s="93">
        <v>45902.547349537039</v>
      </c>
    </row>
    <row r="4823" spans="1:15" ht="22.5" customHeight="1">
      <c r="A4823" s="85">
        <v>174904221976312</v>
      </c>
      <c r="B4823" s="82" t="s">
        <v>10651</v>
      </c>
      <c r="C4823" s="82" t="s">
        <v>11780</v>
      </c>
      <c r="D4823" s="82" t="s">
        <v>11781</v>
      </c>
      <c r="E4823" s="82">
        <v>6282129364133</v>
      </c>
      <c r="F4823" s="94">
        <v>45901</v>
      </c>
      <c r="G4823" s="87">
        <v>488</v>
      </c>
      <c r="H4823" s="88">
        <v>24696.245733788393</v>
      </c>
      <c r="I4823" s="89">
        <v>11</v>
      </c>
      <c r="J4823" s="90">
        <v>14472</v>
      </c>
      <c r="K4823" s="85">
        <v>3</v>
      </c>
      <c r="L4823" s="85">
        <v>0</v>
      </c>
      <c r="M4823" s="85">
        <v>0</v>
      </c>
      <c r="N4823" s="82" t="s">
        <v>12224</v>
      </c>
      <c r="O4823" s="93">
        <v>45902.589201388888</v>
      </c>
    </row>
    <row r="4824" spans="1:15" ht="22.5" customHeight="1">
      <c r="A4824" s="85">
        <v>174904221976312</v>
      </c>
      <c r="B4824" s="82" t="s">
        <v>10651</v>
      </c>
      <c r="C4824" s="82" t="s">
        <v>11755</v>
      </c>
      <c r="D4824" s="82" t="s">
        <v>11756</v>
      </c>
      <c r="E4824" s="82">
        <v>6281357754513</v>
      </c>
      <c r="F4824" s="94">
        <v>45901</v>
      </c>
      <c r="G4824" s="87">
        <v>550</v>
      </c>
      <c r="H4824" s="88">
        <v>18087.078651685391</v>
      </c>
      <c r="I4824" s="89">
        <v>15</v>
      </c>
      <c r="J4824" s="90">
        <v>12878</v>
      </c>
      <c r="K4824" s="85">
        <v>6</v>
      </c>
      <c r="L4824" s="85">
        <v>0</v>
      </c>
      <c r="M4824" s="85">
        <v>0</v>
      </c>
      <c r="N4824" s="82" t="s">
        <v>12151</v>
      </c>
      <c r="O4824" s="93">
        <v>45902.484814814816</v>
      </c>
    </row>
    <row r="4825" spans="1:15" ht="22.5" customHeight="1">
      <c r="A4825" s="85">
        <v>174904221976312</v>
      </c>
      <c r="B4825" s="82" t="s">
        <v>10651</v>
      </c>
      <c r="C4825" s="82" t="s">
        <v>11758</v>
      </c>
      <c r="D4825" s="82" t="s">
        <v>11759</v>
      </c>
      <c r="E4825" s="82">
        <v>6285946504405</v>
      </c>
      <c r="F4825" s="94">
        <v>45901</v>
      </c>
      <c r="G4825" s="87">
        <v>777</v>
      </c>
      <c r="H4825" s="88">
        <v>15427.901524032824</v>
      </c>
      <c r="I4825" s="89">
        <v>15</v>
      </c>
      <c r="J4825" s="90">
        <v>13160</v>
      </c>
      <c r="K4825" s="85">
        <v>1</v>
      </c>
      <c r="L4825" s="85">
        <v>292</v>
      </c>
      <c r="M4825" s="85">
        <v>0</v>
      </c>
      <c r="N4825" s="82" t="s">
        <v>11760</v>
      </c>
      <c r="O4825" s="93">
        <v>45902.215833333335</v>
      </c>
    </row>
    <row r="4826" spans="1:15" ht="22.5" customHeight="1">
      <c r="A4826" s="85">
        <v>174904221976312</v>
      </c>
      <c r="B4826" s="82" t="s">
        <v>10651</v>
      </c>
      <c r="C4826" s="82" t="s">
        <v>11761</v>
      </c>
      <c r="D4826" s="82" t="s">
        <v>3438</v>
      </c>
      <c r="E4826" s="82">
        <v>628154336558</v>
      </c>
      <c r="F4826" s="94">
        <v>45901</v>
      </c>
      <c r="G4826" s="87">
        <v>2109</v>
      </c>
      <c r="H4826" s="88">
        <v>4696.6082743197912</v>
      </c>
      <c r="I4826" s="89">
        <v>40</v>
      </c>
      <c r="J4826" s="90">
        <v>12601</v>
      </c>
      <c r="K4826" s="85">
        <v>0</v>
      </c>
      <c r="L4826" s="85">
        <v>297</v>
      </c>
      <c r="M4826" s="85">
        <v>1</v>
      </c>
      <c r="N4826" s="82" t="s">
        <v>12152</v>
      </c>
      <c r="O4826" s="93">
        <v>45902.547349537039</v>
      </c>
    </row>
    <row r="4827" spans="1:15" ht="22.5" customHeight="1">
      <c r="A4827" s="85">
        <v>174904221976312</v>
      </c>
      <c r="B4827" s="82" t="s">
        <v>10651</v>
      </c>
      <c r="C4827" s="82" t="s">
        <v>11763</v>
      </c>
      <c r="D4827" s="82" t="s">
        <v>11764</v>
      </c>
      <c r="E4827" s="82">
        <v>6282384544939</v>
      </c>
      <c r="F4827" s="94">
        <v>45901</v>
      </c>
      <c r="G4827" s="87">
        <v>741</v>
      </c>
      <c r="H4827" s="88">
        <v>15455.86592178771</v>
      </c>
      <c r="I4827" s="89">
        <v>9</v>
      </c>
      <c r="J4827" s="90">
        <v>13833</v>
      </c>
      <c r="K4827" s="85">
        <v>2</v>
      </c>
      <c r="L4827" s="85">
        <v>0</v>
      </c>
      <c r="M4827" s="85">
        <v>0</v>
      </c>
      <c r="N4827" s="82" t="s">
        <v>12153</v>
      </c>
      <c r="O4827" s="93">
        <v>45902.443194444444</v>
      </c>
    </row>
    <row r="4828" spans="1:15" ht="22.5" customHeight="1">
      <c r="A4828" s="85">
        <v>174904221976312</v>
      </c>
      <c r="B4828" s="82" t="s">
        <v>10651</v>
      </c>
      <c r="C4828" s="82" t="s">
        <v>11641</v>
      </c>
      <c r="D4828" s="82" t="s">
        <v>3229</v>
      </c>
      <c r="E4828" s="82">
        <v>6287865111033</v>
      </c>
      <c r="F4828" s="94">
        <v>45901</v>
      </c>
      <c r="G4828" s="87">
        <v>800</v>
      </c>
      <c r="H4828" s="88">
        <v>12032.619775739042</v>
      </c>
      <c r="I4828" s="89">
        <v>22</v>
      </c>
      <c r="J4828" s="90">
        <v>11804</v>
      </c>
      <c r="K4828" s="85">
        <v>1</v>
      </c>
      <c r="L4828" s="85">
        <v>0</v>
      </c>
      <c r="M4828" s="85">
        <v>1</v>
      </c>
      <c r="N4828" s="82" t="s">
        <v>12225</v>
      </c>
      <c r="O4828" s="93">
        <v>45902.547627314816</v>
      </c>
    </row>
    <row r="4829" spans="1:15" ht="22.5" customHeight="1">
      <c r="A4829" s="85">
        <v>174904221976312</v>
      </c>
      <c r="B4829" s="82" t="s">
        <v>10651</v>
      </c>
      <c r="C4829" s="82" t="s">
        <v>11578</v>
      </c>
      <c r="D4829" s="82" t="s">
        <v>1624</v>
      </c>
      <c r="E4829" s="82">
        <v>6281938384000</v>
      </c>
      <c r="F4829" s="94">
        <v>45901</v>
      </c>
      <c r="G4829" s="87">
        <v>2002</v>
      </c>
      <c r="H4829" s="88">
        <v>5482.2990420658061</v>
      </c>
      <c r="I4829" s="89">
        <v>32</v>
      </c>
      <c r="J4829" s="90">
        <v>13163</v>
      </c>
      <c r="K4829" s="85">
        <v>3</v>
      </c>
      <c r="L4829" s="85">
        <v>0</v>
      </c>
      <c r="M4829" s="85">
        <v>1</v>
      </c>
      <c r="N4829" s="82" t="s">
        <v>12154</v>
      </c>
      <c r="O4829" s="93">
        <v>45902.506099537037</v>
      </c>
    </row>
    <row r="4830" spans="1:15" ht="22.5" customHeight="1">
      <c r="A4830" s="85">
        <v>174904221976312</v>
      </c>
      <c r="B4830" s="82" t="s">
        <v>10651</v>
      </c>
      <c r="C4830" s="82" t="s">
        <v>11580</v>
      </c>
      <c r="D4830" s="82" t="s">
        <v>11581</v>
      </c>
      <c r="E4830" s="82">
        <v>6287790276733</v>
      </c>
      <c r="F4830" s="94">
        <v>45901</v>
      </c>
      <c r="G4830" s="87">
        <v>472</v>
      </c>
      <c r="H4830" s="88">
        <v>18414.141414141417</v>
      </c>
      <c r="I4830" s="89">
        <v>7</v>
      </c>
      <c r="J4830" s="90">
        <v>10938</v>
      </c>
      <c r="K4830" s="85">
        <v>1</v>
      </c>
      <c r="L4830" s="85">
        <v>0</v>
      </c>
      <c r="M4830" s="85">
        <v>0</v>
      </c>
      <c r="N4830" s="82" t="s">
        <v>12226</v>
      </c>
      <c r="O4830" s="93">
        <v>45902.506099537037</v>
      </c>
    </row>
    <row r="4831" spans="1:15" ht="22.5" customHeight="1">
      <c r="A4831" s="85">
        <v>174904221976312</v>
      </c>
      <c r="B4831" s="82" t="s">
        <v>10651</v>
      </c>
      <c r="C4831" s="82" t="s">
        <v>11165</v>
      </c>
      <c r="D4831" s="82" t="s">
        <v>1759</v>
      </c>
      <c r="E4831" s="82">
        <v>6285311472244</v>
      </c>
      <c r="F4831" s="94">
        <v>45901</v>
      </c>
      <c r="G4831" s="87">
        <v>1772</v>
      </c>
      <c r="H4831" s="88">
        <v>6806.346243583761</v>
      </c>
      <c r="I4831" s="89">
        <v>71</v>
      </c>
      <c r="J4831" s="90">
        <v>14586</v>
      </c>
      <c r="K4831" s="85">
        <v>8</v>
      </c>
      <c r="L4831" s="85">
        <v>919</v>
      </c>
      <c r="M4831" s="85">
        <v>1</v>
      </c>
      <c r="N4831" s="82" t="s">
        <v>11166</v>
      </c>
      <c r="O4831" s="93">
        <v>45902.630752314813</v>
      </c>
    </row>
    <row r="4832" spans="1:15" ht="22.5" customHeight="1">
      <c r="A4832" s="85">
        <v>174904221976312</v>
      </c>
      <c r="B4832" s="82" t="s">
        <v>10651</v>
      </c>
      <c r="C4832" s="82" t="s">
        <v>10853</v>
      </c>
      <c r="D4832" s="82" t="s">
        <v>10854</v>
      </c>
      <c r="E4832" s="82">
        <v>6281393958199</v>
      </c>
      <c r="F4832" s="94">
        <v>45901</v>
      </c>
      <c r="G4832" s="87">
        <v>485</v>
      </c>
      <c r="H4832" s="88">
        <v>19934.189406099522</v>
      </c>
      <c r="I4832" s="89">
        <v>12</v>
      </c>
      <c r="J4832" s="90">
        <v>12419</v>
      </c>
      <c r="K4832" s="85">
        <v>1</v>
      </c>
      <c r="L4832" s="85">
        <v>0</v>
      </c>
      <c r="M4832" s="85">
        <v>0</v>
      </c>
      <c r="N4832" s="82" t="s">
        <v>12155</v>
      </c>
      <c r="O4832" s="93">
        <v>45902.526689814818</v>
      </c>
    </row>
    <row r="4833" spans="1:15" ht="22.5" customHeight="1">
      <c r="A4833" s="85">
        <v>759724529202804</v>
      </c>
      <c r="B4833" s="82" t="s">
        <v>10621</v>
      </c>
      <c r="C4833" s="82" t="s">
        <v>12227</v>
      </c>
      <c r="D4833" s="82" t="s">
        <v>4938</v>
      </c>
      <c r="E4833" s="82">
        <v>6287835601400</v>
      </c>
      <c r="F4833" s="94">
        <v>45902</v>
      </c>
      <c r="G4833" s="87">
        <v>645</v>
      </c>
      <c r="H4833" s="88">
        <v>18302.949061662199</v>
      </c>
      <c r="I4833" s="89">
        <v>21</v>
      </c>
      <c r="J4833" s="90">
        <v>13654</v>
      </c>
      <c r="K4833" s="85">
        <v>4</v>
      </c>
      <c r="L4833" s="85">
        <v>243</v>
      </c>
      <c r="M4833" s="85">
        <v>0</v>
      </c>
      <c r="N4833" s="82" t="s">
        <v>12228</v>
      </c>
      <c r="O4833" s="93">
        <v>45903.714143518519</v>
      </c>
    </row>
    <row r="4834" spans="1:15" ht="22.5" customHeight="1">
      <c r="A4834" s="85">
        <v>759724529202804</v>
      </c>
      <c r="B4834" s="82" t="s">
        <v>10621</v>
      </c>
      <c r="C4834" s="82" t="s">
        <v>11055</v>
      </c>
      <c r="D4834" s="82" t="s">
        <v>1021</v>
      </c>
      <c r="E4834" s="82"/>
      <c r="F4834" s="94">
        <v>45902</v>
      </c>
      <c r="G4834" s="87">
        <v>2360</v>
      </c>
      <c r="H4834" s="88">
        <v>24217.582417582416</v>
      </c>
      <c r="I4834" s="89">
        <v>55</v>
      </c>
      <c r="J4834" s="90">
        <v>66114</v>
      </c>
      <c r="K4834" s="85">
        <v>14</v>
      </c>
      <c r="L4834" s="85">
        <v>765</v>
      </c>
      <c r="M4834" s="85">
        <v>0</v>
      </c>
      <c r="N4834" s="82" t="s">
        <v>11056</v>
      </c>
      <c r="O4834" s="93">
        <v>45901.227256944447</v>
      </c>
    </row>
    <row r="4835" spans="1:15" ht="22.5" customHeight="1">
      <c r="A4835" s="85">
        <v>759724529202804</v>
      </c>
      <c r="B4835" s="82" t="s">
        <v>10621</v>
      </c>
      <c r="C4835" s="82" t="s">
        <v>10925</v>
      </c>
      <c r="D4835" s="82" t="s">
        <v>10926</v>
      </c>
      <c r="E4835" s="82">
        <v>6281233038880</v>
      </c>
      <c r="F4835" s="94">
        <v>45902</v>
      </c>
      <c r="G4835" s="87">
        <v>459</v>
      </c>
      <c r="H4835" s="88">
        <v>31978.346456692914</v>
      </c>
      <c r="I4835" s="89">
        <v>12</v>
      </c>
      <c r="J4835" s="90">
        <v>16245</v>
      </c>
      <c r="K4835" s="85">
        <v>3</v>
      </c>
      <c r="L4835" s="85">
        <v>47</v>
      </c>
      <c r="M4835" s="85">
        <v>0</v>
      </c>
      <c r="N4835" s="82" t="s">
        <v>10927</v>
      </c>
      <c r="O4835" s="93">
        <v>45903.547210648147</v>
      </c>
    </row>
    <row r="4836" spans="1:15" ht="22.5" customHeight="1">
      <c r="A4836" s="85">
        <v>174904221976312</v>
      </c>
      <c r="B4836" s="82" t="s">
        <v>10651</v>
      </c>
      <c r="C4836" s="82" t="s">
        <v>12229</v>
      </c>
      <c r="D4836" s="82" t="s">
        <v>4794</v>
      </c>
      <c r="E4836" s="82">
        <v>6285655300070</v>
      </c>
      <c r="F4836" s="94">
        <v>45902</v>
      </c>
      <c r="G4836" s="87">
        <v>14270</v>
      </c>
      <c r="H4836" s="88">
        <v>887.82996229002401</v>
      </c>
      <c r="I4836" s="89">
        <v>17</v>
      </c>
      <c r="J4836" s="90">
        <v>12949</v>
      </c>
      <c r="K4836" s="85">
        <v>0</v>
      </c>
      <c r="L4836" s="85">
        <v>62</v>
      </c>
      <c r="M4836" s="85">
        <v>0</v>
      </c>
      <c r="N4836" s="82" t="s">
        <v>12230</v>
      </c>
      <c r="O4836" s="93">
        <v>45903.817800925928</v>
      </c>
    </row>
    <row r="4837" spans="1:15" ht="22.5" customHeight="1">
      <c r="A4837" s="85">
        <v>174904221976312</v>
      </c>
      <c r="B4837" s="82" t="s">
        <v>10651</v>
      </c>
      <c r="C4837" s="82" t="s">
        <v>12202</v>
      </c>
      <c r="D4837" s="82" t="s">
        <v>2370</v>
      </c>
      <c r="E4837" s="82">
        <v>6281317409433</v>
      </c>
      <c r="F4837" s="94">
        <v>45902</v>
      </c>
      <c r="G4837" s="87">
        <v>379</v>
      </c>
      <c r="H4837" s="88">
        <v>26444.680851063829</v>
      </c>
      <c r="I4837" s="89">
        <v>40</v>
      </c>
      <c r="J4837" s="90">
        <v>12429</v>
      </c>
      <c r="K4837" s="85">
        <v>10</v>
      </c>
      <c r="L4837" s="85">
        <v>1</v>
      </c>
      <c r="M4837" s="85">
        <v>0</v>
      </c>
      <c r="N4837" s="82" t="s">
        <v>12203</v>
      </c>
      <c r="O4837" s="93">
        <v>45903.651504629626</v>
      </c>
    </row>
    <row r="4838" spans="1:15" ht="22.5" customHeight="1">
      <c r="A4838" s="85">
        <v>174904221976312</v>
      </c>
      <c r="B4838" s="82" t="s">
        <v>10651</v>
      </c>
      <c r="C4838" s="82" t="s">
        <v>12204</v>
      </c>
      <c r="D4838" s="82" t="s">
        <v>12205</v>
      </c>
      <c r="E4838" s="82">
        <v>6281262080126</v>
      </c>
      <c r="F4838" s="94">
        <v>45902</v>
      </c>
      <c r="G4838" s="87">
        <v>807</v>
      </c>
      <c r="H4838" s="88">
        <v>14958.785249457702</v>
      </c>
      <c r="I4838" s="89">
        <v>18</v>
      </c>
      <c r="J4838" s="90">
        <v>13792</v>
      </c>
      <c r="K4838" s="85">
        <v>2</v>
      </c>
      <c r="L4838" s="85">
        <v>93</v>
      </c>
      <c r="M4838" s="85">
        <v>0</v>
      </c>
      <c r="N4838" s="82" t="s">
        <v>12231</v>
      </c>
      <c r="O4838" s="93">
        <v>45903.788854166669</v>
      </c>
    </row>
    <row r="4839" spans="1:15" ht="22.5" customHeight="1">
      <c r="A4839" s="85">
        <v>174904221976312</v>
      </c>
      <c r="B4839" s="82" t="s">
        <v>10651</v>
      </c>
      <c r="C4839" s="82" t="s">
        <v>12207</v>
      </c>
      <c r="D4839" s="91" t="s">
        <v>4875</v>
      </c>
      <c r="E4839" s="82">
        <v>6285719003688</v>
      </c>
      <c r="F4839" s="94">
        <v>45902</v>
      </c>
      <c r="G4839" s="87">
        <v>153</v>
      </c>
      <c r="H4839" s="88">
        <v>70112.426035502969</v>
      </c>
      <c r="I4839" s="89">
        <v>2</v>
      </c>
      <c r="J4839" s="90">
        <v>11849</v>
      </c>
      <c r="K4839" s="85">
        <v>1</v>
      </c>
      <c r="L4839" s="85">
        <v>18</v>
      </c>
      <c r="M4839" s="85">
        <v>0</v>
      </c>
      <c r="N4839" s="82" t="s">
        <v>12232</v>
      </c>
      <c r="O4839" s="93">
        <v>45903.794953703706</v>
      </c>
    </row>
    <row r="4840" spans="1:15" ht="22.5" customHeight="1">
      <c r="A4840" s="85">
        <v>174904221976312</v>
      </c>
      <c r="B4840" s="82" t="s">
        <v>10651</v>
      </c>
      <c r="C4840" s="82" t="s">
        <v>12209</v>
      </c>
      <c r="D4840" s="82" t="s">
        <v>12210</v>
      </c>
      <c r="E4840" s="82">
        <v>6282217300224</v>
      </c>
      <c r="F4840" s="94">
        <v>45902</v>
      </c>
      <c r="G4840" s="87">
        <v>340</v>
      </c>
      <c r="H4840" s="88">
        <v>32385.204081632652</v>
      </c>
      <c r="I4840" s="89">
        <v>6</v>
      </c>
      <c r="J4840" s="90">
        <v>12695</v>
      </c>
      <c r="K4840" s="85">
        <v>0</v>
      </c>
      <c r="L4840" s="85">
        <v>134</v>
      </c>
      <c r="M4840" s="85">
        <v>1</v>
      </c>
      <c r="N4840" s="82" t="s">
        <v>12233</v>
      </c>
      <c r="O4840" s="93">
        <v>45903.812592592592</v>
      </c>
    </row>
    <row r="4841" spans="1:15" ht="22.5" customHeight="1">
      <c r="A4841" s="85">
        <v>174904221976312</v>
      </c>
      <c r="B4841" s="82" t="s">
        <v>10651</v>
      </c>
      <c r="C4841" s="82" t="s">
        <v>12176</v>
      </c>
      <c r="D4841" s="82" t="s">
        <v>12177</v>
      </c>
      <c r="E4841" s="82">
        <v>6285748377961</v>
      </c>
      <c r="F4841" s="94">
        <v>45902</v>
      </c>
      <c r="G4841" s="87">
        <v>624</v>
      </c>
      <c r="H4841" s="88">
        <v>16251.862891207153</v>
      </c>
      <c r="I4841" s="89">
        <v>12</v>
      </c>
      <c r="J4841" s="90">
        <v>10905</v>
      </c>
      <c r="K4841" s="85">
        <v>2</v>
      </c>
      <c r="L4841" s="85">
        <v>0</v>
      </c>
      <c r="M4841" s="85">
        <v>0</v>
      </c>
      <c r="N4841" s="82" t="s">
        <v>12178</v>
      </c>
      <c r="O4841" s="93">
        <v>45903.547858796293</v>
      </c>
    </row>
    <row r="4842" spans="1:15" ht="22.5" customHeight="1">
      <c r="A4842" s="85">
        <v>174904221976312</v>
      </c>
      <c r="B4842" s="82" t="s">
        <v>10651</v>
      </c>
      <c r="C4842" s="82" t="s">
        <v>12179</v>
      </c>
      <c r="D4842" s="82" t="s">
        <v>12180</v>
      </c>
      <c r="E4842" s="82">
        <v>6281222200099</v>
      </c>
      <c r="F4842" s="94">
        <v>45902</v>
      </c>
      <c r="G4842" s="87">
        <v>549</v>
      </c>
      <c r="H4842" s="88">
        <v>19162.790697674416</v>
      </c>
      <c r="I4842" s="89">
        <v>6</v>
      </c>
      <c r="J4842" s="90">
        <v>10712</v>
      </c>
      <c r="K4842" s="85">
        <v>1</v>
      </c>
      <c r="L4842" s="85">
        <v>149</v>
      </c>
      <c r="M4842" s="85">
        <v>0</v>
      </c>
      <c r="N4842" s="82" t="s">
        <v>12181</v>
      </c>
      <c r="O4842" s="93">
        <v>45903.506157407406</v>
      </c>
    </row>
    <row r="4843" spans="1:15" ht="22.5" customHeight="1">
      <c r="A4843" s="85">
        <v>174904221976312</v>
      </c>
      <c r="B4843" s="82" t="s">
        <v>10651</v>
      </c>
      <c r="C4843" s="82" t="s">
        <v>12182</v>
      </c>
      <c r="D4843" s="82" t="s">
        <v>12183</v>
      </c>
      <c r="E4843" s="82">
        <v>6285645712595</v>
      </c>
      <c r="F4843" s="94">
        <v>45902</v>
      </c>
      <c r="G4843" s="87">
        <v>517</v>
      </c>
      <c r="H4843" s="88">
        <v>26988.074957410561</v>
      </c>
      <c r="I4843" s="89">
        <v>4</v>
      </c>
      <c r="J4843" s="90">
        <v>15842</v>
      </c>
      <c r="K4843" s="85">
        <v>0</v>
      </c>
      <c r="L4843" s="85">
        <v>25</v>
      </c>
      <c r="M4843" s="85">
        <v>0</v>
      </c>
      <c r="N4843" s="82" t="s">
        <v>12212</v>
      </c>
      <c r="O4843" s="93">
        <v>45903.714467592596</v>
      </c>
    </row>
    <row r="4844" spans="1:15" ht="22.5" customHeight="1">
      <c r="A4844" s="85">
        <v>174904221976312</v>
      </c>
      <c r="B4844" s="82" t="s">
        <v>10651</v>
      </c>
      <c r="C4844" s="82" t="s">
        <v>12185</v>
      </c>
      <c r="D4844" s="82" t="s">
        <v>12186</v>
      </c>
      <c r="E4844" s="82">
        <v>6285771466144</v>
      </c>
      <c r="F4844" s="94">
        <v>45902</v>
      </c>
      <c r="G4844" s="87">
        <v>1326</v>
      </c>
      <c r="H4844" s="88">
        <v>7275.0809061488671</v>
      </c>
      <c r="I4844" s="89">
        <v>15</v>
      </c>
      <c r="J4844" s="90">
        <v>11240</v>
      </c>
      <c r="K4844" s="85">
        <v>1</v>
      </c>
      <c r="L4844" s="85">
        <v>1</v>
      </c>
      <c r="M4844" s="85">
        <v>0</v>
      </c>
      <c r="N4844" s="82" t="s">
        <v>12213</v>
      </c>
      <c r="O4844" s="93">
        <v>45903.589039351849</v>
      </c>
    </row>
    <row r="4845" spans="1:15" ht="22.5" customHeight="1">
      <c r="A4845" s="85">
        <v>174904221976312</v>
      </c>
      <c r="B4845" s="82" t="s">
        <v>10651</v>
      </c>
      <c r="C4845" s="82" t="s">
        <v>12188</v>
      </c>
      <c r="D4845" s="82" t="s">
        <v>12189</v>
      </c>
      <c r="E4845" s="82">
        <v>6285864550854</v>
      </c>
      <c r="F4845" s="94">
        <v>45902</v>
      </c>
      <c r="G4845" s="87">
        <v>236</v>
      </c>
      <c r="H4845" s="88">
        <v>48902.985074626864</v>
      </c>
      <c r="I4845" s="89">
        <v>10</v>
      </c>
      <c r="J4845" s="90">
        <v>13106</v>
      </c>
      <c r="K4845" s="85">
        <v>2</v>
      </c>
      <c r="L4845" s="85">
        <v>3</v>
      </c>
      <c r="M4845" s="85">
        <v>0</v>
      </c>
      <c r="N4845" s="82" t="s">
        <v>12190</v>
      </c>
      <c r="O4845" s="93">
        <v>45903.714155092595</v>
      </c>
    </row>
    <row r="4846" spans="1:15" ht="22.5" customHeight="1">
      <c r="A4846" s="85">
        <v>174904221976312</v>
      </c>
      <c r="B4846" s="82" t="s">
        <v>10651</v>
      </c>
      <c r="C4846" s="82" t="s">
        <v>12191</v>
      </c>
      <c r="D4846" s="82" t="s">
        <v>12192</v>
      </c>
      <c r="E4846" s="82">
        <v>6289606523838</v>
      </c>
      <c r="F4846" s="94">
        <v>45902</v>
      </c>
      <c r="G4846" s="87">
        <v>1522</v>
      </c>
      <c r="H4846" s="88">
        <v>6771.0033605376866</v>
      </c>
      <c r="I4846" s="89">
        <v>8</v>
      </c>
      <c r="J4846" s="90">
        <v>14104</v>
      </c>
      <c r="K4846" s="85">
        <v>0</v>
      </c>
      <c r="L4846" s="85">
        <v>138</v>
      </c>
      <c r="M4846" s="85">
        <v>0</v>
      </c>
      <c r="N4846" s="82" t="s">
        <v>12214</v>
      </c>
      <c r="O4846" s="93">
        <v>45903.506157407406</v>
      </c>
    </row>
    <row r="4847" spans="1:15" ht="22.5" customHeight="1">
      <c r="A4847" s="85">
        <v>174904221976312</v>
      </c>
      <c r="B4847" s="82" t="s">
        <v>10651</v>
      </c>
      <c r="C4847" s="82" t="s">
        <v>12194</v>
      </c>
      <c r="D4847" s="82" t="s">
        <v>12137</v>
      </c>
      <c r="E4847" s="82">
        <v>6287863509004</v>
      </c>
      <c r="F4847" s="94">
        <v>45902</v>
      </c>
      <c r="G4847" s="87">
        <v>2908</v>
      </c>
      <c r="H4847" s="88">
        <v>3833.6252189141856</v>
      </c>
      <c r="I4847" s="89">
        <v>22</v>
      </c>
      <c r="J4847" s="90">
        <v>13134</v>
      </c>
      <c r="K4847" s="85">
        <v>0</v>
      </c>
      <c r="L4847" s="85">
        <v>2</v>
      </c>
      <c r="M4847" s="85">
        <v>0</v>
      </c>
      <c r="N4847" s="82" t="s">
        <v>12195</v>
      </c>
      <c r="O4847" s="93">
        <v>45903.52715277778</v>
      </c>
    </row>
    <row r="4848" spans="1:15" ht="22.5" customHeight="1">
      <c r="A4848" s="85">
        <v>174904221976312</v>
      </c>
      <c r="B4848" s="82" t="s">
        <v>10651</v>
      </c>
      <c r="C4848" s="82" t="s">
        <v>12196</v>
      </c>
      <c r="D4848" s="82" t="s">
        <v>12134</v>
      </c>
      <c r="E4848" s="82">
        <v>6285194619788</v>
      </c>
      <c r="F4848" s="94">
        <v>45902</v>
      </c>
      <c r="G4848" s="87">
        <v>403</v>
      </c>
      <c r="H4848" s="88">
        <v>27771.670190274839</v>
      </c>
      <c r="I4848" s="89">
        <v>33</v>
      </c>
      <c r="J4848" s="90">
        <v>13136</v>
      </c>
      <c r="K4848" s="85">
        <v>6</v>
      </c>
      <c r="L4848" s="85">
        <v>0</v>
      </c>
      <c r="M4848" s="85">
        <v>1</v>
      </c>
      <c r="N4848" s="82" t="s">
        <v>12135</v>
      </c>
      <c r="O4848" s="93">
        <v>45903.672615740739</v>
      </c>
    </row>
    <row r="4849" spans="1:15" ht="22.5" customHeight="1">
      <c r="A4849" s="85">
        <v>174904221976312</v>
      </c>
      <c r="B4849" s="82" t="s">
        <v>10651</v>
      </c>
      <c r="C4849" s="82" t="s">
        <v>12156</v>
      </c>
      <c r="D4849" s="82" t="s">
        <v>4718</v>
      </c>
      <c r="E4849" s="82">
        <v>62811955059</v>
      </c>
      <c r="F4849" s="94">
        <v>45902</v>
      </c>
      <c r="G4849" s="87">
        <v>355</v>
      </c>
      <c r="H4849" s="88">
        <v>34071.065989847717</v>
      </c>
      <c r="I4849" s="89">
        <v>8</v>
      </c>
      <c r="J4849" s="90">
        <v>13424</v>
      </c>
      <c r="K4849" s="85">
        <v>0</v>
      </c>
      <c r="L4849" s="85">
        <v>0</v>
      </c>
      <c r="M4849" s="85">
        <v>0</v>
      </c>
      <c r="N4849" s="82" t="s">
        <v>12215</v>
      </c>
      <c r="O4849" s="93">
        <v>45903.463877314818</v>
      </c>
    </row>
    <row r="4850" spans="1:15" ht="22.5" customHeight="1">
      <c r="A4850" s="85">
        <v>174904221976312</v>
      </c>
      <c r="B4850" s="82" t="s">
        <v>10651</v>
      </c>
      <c r="C4850" s="82" t="s">
        <v>12158</v>
      </c>
      <c r="D4850" s="82" t="s">
        <v>12159</v>
      </c>
      <c r="E4850" s="82">
        <v>6281545971465</v>
      </c>
      <c r="F4850" s="94">
        <v>45902</v>
      </c>
      <c r="G4850" s="87">
        <v>319</v>
      </c>
      <c r="H4850" s="88">
        <v>42903.047091412744</v>
      </c>
      <c r="I4850" s="89">
        <v>10</v>
      </c>
      <c r="J4850" s="90">
        <v>15488</v>
      </c>
      <c r="K4850" s="85">
        <v>0</v>
      </c>
      <c r="L4850" s="85">
        <v>77</v>
      </c>
      <c r="M4850" s="85">
        <v>0</v>
      </c>
      <c r="N4850" s="82" t="s">
        <v>12216</v>
      </c>
      <c r="O4850" s="93">
        <v>45903.568333333336</v>
      </c>
    </row>
    <row r="4851" spans="1:15" ht="22.5" customHeight="1">
      <c r="A4851" s="85">
        <v>174904221976312</v>
      </c>
      <c r="B4851" s="82" t="s">
        <v>10651</v>
      </c>
      <c r="C4851" s="82" t="s">
        <v>12161</v>
      </c>
      <c r="D4851" s="82" t="s">
        <v>12162</v>
      </c>
      <c r="E4851" s="82">
        <v>6285338058843</v>
      </c>
      <c r="F4851" s="94">
        <v>45902</v>
      </c>
      <c r="G4851" s="87">
        <v>511</v>
      </c>
      <c r="H4851" s="88">
        <v>18195.3125</v>
      </c>
      <c r="I4851" s="89">
        <v>7</v>
      </c>
      <c r="J4851" s="90">
        <v>11645</v>
      </c>
      <c r="K4851" s="85">
        <v>1</v>
      </c>
      <c r="L4851" s="85">
        <v>0</v>
      </c>
      <c r="M4851" s="85">
        <v>0</v>
      </c>
      <c r="N4851" s="82" t="s">
        <v>12197</v>
      </c>
      <c r="O4851" s="93">
        <v>45903.443495370368</v>
      </c>
    </row>
    <row r="4852" spans="1:15" ht="22.5" customHeight="1">
      <c r="A4852" s="85">
        <v>174904221976312</v>
      </c>
      <c r="B4852" s="82" t="s">
        <v>10651</v>
      </c>
      <c r="C4852" s="82" t="s">
        <v>12164</v>
      </c>
      <c r="D4852" s="82" t="s">
        <v>12165</v>
      </c>
      <c r="E4852" s="82">
        <v>6285787104091</v>
      </c>
      <c r="F4852" s="94">
        <v>45902</v>
      </c>
      <c r="G4852" s="87">
        <v>1178</v>
      </c>
      <c r="H4852" s="88">
        <v>8752.1367521367538</v>
      </c>
      <c r="I4852" s="89">
        <v>15</v>
      </c>
      <c r="J4852" s="90">
        <v>11264</v>
      </c>
      <c r="K4852" s="85">
        <v>1</v>
      </c>
      <c r="L4852" s="85">
        <v>1</v>
      </c>
      <c r="M4852" s="85">
        <v>0</v>
      </c>
      <c r="N4852" s="82" t="s">
        <v>12198</v>
      </c>
      <c r="O4852" s="93">
        <v>45903.484768518516</v>
      </c>
    </row>
    <row r="4853" spans="1:15" ht="22.5" customHeight="1">
      <c r="A4853" s="85">
        <v>174904221976312</v>
      </c>
      <c r="B4853" s="82" t="s">
        <v>10651</v>
      </c>
      <c r="C4853" s="82" t="s">
        <v>12167</v>
      </c>
      <c r="D4853" s="82" t="s">
        <v>6402</v>
      </c>
      <c r="E4853" s="82">
        <v>6285361118289</v>
      </c>
      <c r="F4853" s="94">
        <v>45902</v>
      </c>
      <c r="G4853" s="87">
        <v>555</v>
      </c>
      <c r="H4853" s="88">
        <v>19525.147928994083</v>
      </c>
      <c r="I4853" s="89">
        <v>22</v>
      </c>
      <c r="J4853" s="90">
        <v>13199</v>
      </c>
      <c r="K4853" s="85">
        <v>2</v>
      </c>
      <c r="L4853" s="85">
        <v>3</v>
      </c>
      <c r="M4853" s="85">
        <v>1</v>
      </c>
      <c r="N4853" s="82" t="s">
        <v>12168</v>
      </c>
      <c r="O4853" s="93">
        <v>45903.443506944444</v>
      </c>
    </row>
    <row r="4854" spans="1:15" ht="22.5" customHeight="1">
      <c r="A4854" s="85">
        <v>174904221976312</v>
      </c>
      <c r="B4854" s="82" t="s">
        <v>10651</v>
      </c>
      <c r="C4854" s="82" t="s">
        <v>12169</v>
      </c>
      <c r="D4854" s="82" t="s">
        <v>4755</v>
      </c>
      <c r="E4854" s="82">
        <v>6281381118500</v>
      </c>
      <c r="F4854" s="94">
        <v>45902</v>
      </c>
      <c r="G4854" s="87">
        <v>287</v>
      </c>
      <c r="H4854" s="88">
        <v>42781.25</v>
      </c>
      <c r="I4854" s="89">
        <v>8</v>
      </c>
      <c r="J4854" s="90">
        <v>13690</v>
      </c>
      <c r="K4854" s="85">
        <v>2</v>
      </c>
      <c r="L4854" s="85">
        <v>72</v>
      </c>
      <c r="M4854" s="85">
        <v>0</v>
      </c>
      <c r="N4854" s="82" t="s">
        <v>12217</v>
      </c>
      <c r="O4854" s="93">
        <v>45903.463865740741</v>
      </c>
    </row>
    <row r="4855" spans="1:15" ht="22.5" customHeight="1">
      <c r="A4855" s="85">
        <v>174904221976312</v>
      </c>
      <c r="B4855" s="82" t="s">
        <v>10651</v>
      </c>
      <c r="C4855" s="82" t="s">
        <v>12171</v>
      </c>
      <c r="D4855" s="82" t="s">
        <v>4386</v>
      </c>
      <c r="E4855" s="82">
        <v>62818533354</v>
      </c>
      <c r="F4855" s="94">
        <v>45902</v>
      </c>
      <c r="G4855" s="87">
        <v>225</v>
      </c>
      <c r="H4855" s="88">
        <v>42134.831460674155</v>
      </c>
      <c r="I4855" s="89">
        <v>12</v>
      </c>
      <c r="J4855" s="90">
        <v>11250</v>
      </c>
      <c r="K4855" s="85">
        <v>1</v>
      </c>
      <c r="L4855" s="85">
        <v>97</v>
      </c>
      <c r="M4855" s="85">
        <v>0</v>
      </c>
      <c r="N4855" s="82" t="s">
        <v>12218</v>
      </c>
      <c r="O4855" s="93">
        <v>45903.401736111111</v>
      </c>
    </row>
    <row r="4856" spans="1:15" ht="22.5" customHeight="1">
      <c r="A4856" s="85">
        <v>174904221976312</v>
      </c>
      <c r="B4856" s="82" t="s">
        <v>10651</v>
      </c>
      <c r="C4856" s="82" t="s">
        <v>12173</v>
      </c>
      <c r="D4856" s="82" t="s">
        <v>3489</v>
      </c>
      <c r="E4856" s="82">
        <v>6285214612372</v>
      </c>
      <c r="F4856" s="94">
        <v>45902</v>
      </c>
      <c r="G4856" s="87">
        <v>1126</v>
      </c>
      <c r="H4856" s="88">
        <v>7524.057971014493</v>
      </c>
      <c r="I4856" s="89">
        <v>10</v>
      </c>
      <c r="J4856" s="90">
        <v>12979</v>
      </c>
      <c r="K4856" s="85">
        <v>0</v>
      </c>
      <c r="L4856" s="85">
        <v>0</v>
      </c>
      <c r="M4856" s="85">
        <v>0</v>
      </c>
      <c r="N4856" s="82" t="s">
        <v>12199</v>
      </c>
      <c r="O4856" s="93">
        <v>45903.58902777778</v>
      </c>
    </row>
    <row r="4857" spans="1:15" ht="22.5" customHeight="1">
      <c r="A4857" s="85">
        <v>174904221976312</v>
      </c>
      <c r="B4857" s="82" t="s">
        <v>10651</v>
      </c>
      <c r="C4857" s="82" t="s">
        <v>12125</v>
      </c>
      <c r="D4857" s="82" t="s">
        <v>4008</v>
      </c>
      <c r="E4857" s="82">
        <v>6281558225822</v>
      </c>
      <c r="F4857" s="94">
        <v>45902</v>
      </c>
      <c r="G4857" s="87">
        <v>296</v>
      </c>
      <c r="H4857" s="88">
        <v>45212.218649517687</v>
      </c>
      <c r="I4857" s="89">
        <v>7</v>
      </c>
      <c r="J4857" s="90">
        <v>14061</v>
      </c>
      <c r="K4857" s="85">
        <v>2</v>
      </c>
      <c r="L4857" s="85">
        <v>0</v>
      </c>
      <c r="M4857" s="85">
        <v>0</v>
      </c>
      <c r="N4857" s="82" t="s">
        <v>12219</v>
      </c>
      <c r="O4857" s="93">
        <v>45903.298171296294</v>
      </c>
    </row>
    <row r="4858" spans="1:15" ht="22.5" customHeight="1">
      <c r="A4858" s="85">
        <v>174904221976312</v>
      </c>
      <c r="B4858" s="82" t="s">
        <v>10651</v>
      </c>
      <c r="C4858" s="82" t="s">
        <v>12127</v>
      </c>
      <c r="D4858" s="82" t="s">
        <v>12128</v>
      </c>
      <c r="E4858" s="82">
        <v>6281226825253</v>
      </c>
      <c r="F4858" s="94">
        <v>45902</v>
      </c>
      <c r="G4858" s="87">
        <v>17091</v>
      </c>
      <c r="H4858" s="88">
        <v>800</v>
      </c>
      <c r="I4858" s="89">
        <v>156</v>
      </c>
      <c r="J4858" s="90">
        <v>13904</v>
      </c>
      <c r="K4858" s="85">
        <v>0</v>
      </c>
      <c r="L4858" s="85">
        <v>728</v>
      </c>
      <c r="M4858" s="85">
        <v>1</v>
      </c>
      <c r="N4858" s="82" t="s">
        <v>12129</v>
      </c>
      <c r="O4858" s="93">
        <v>45903.713935185187</v>
      </c>
    </row>
    <row r="4859" spans="1:15" ht="22.5" customHeight="1">
      <c r="A4859" s="85">
        <v>174904221976312</v>
      </c>
      <c r="B4859" s="82" t="s">
        <v>10651</v>
      </c>
      <c r="C4859" s="82" t="s">
        <v>12130</v>
      </c>
      <c r="D4859" s="82" t="s">
        <v>12131</v>
      </c>
      <c r="E4859" s="82">
        <v>6281239004410</v>
      </c>
      <c r="F4859" s="94">
        <v>45902</v>
      </c>
      <c r="G4859" s="87">
        <v>202</v>
      </c>
      <c r="H4859" s="88">
        <v>52490.909090909096</v>
      </c>
      <c r="I4859" s="89">
        <v>9</v>
      </c>
      <c r="J4859" s="90">
        <v>11548</v>
      </c>
      <c r="K4859" s="85">
        <v>1</v>
      </c>
      <c r="L4859" s="85">
        <v>0</v>
      </c>
      <c r="M4859" s="85">
        <v>1</v>
      </c>
      <c r="N4859" s="82" t="s">
        <v>12220</v>
      </c>
      <c r="O4859" s="93">
        <v>45903.58902777778</v>
      </c>
    </row>
    <row r="4860" spans="1:15" ht="22.5" customHeight="1">
      <c r="A4860" s="85">
        <v>174904221976312</v>
      </c>
      <c r="B4860" s="82" t="s">
        <v>10651</v>
      </c>
      <c r="C4860" s="82" t="s">
        <v>12139</v>
      </c>
      <c r="D4860" s="82" t="s">
        <v>4605</v>
      </c>
      <c r="E4860" s="82">
        <v>6281359605566</v>
      </c>
      <c r="F4860" s="94">
        <v>45902</v>
      </c>
      <c r="G4860" s="87">
        <v>2314</v>
      </c>
      <c r="H4860" s="88">
        <v>4877.1995507300635</v>
      </c>
      <c r="I4860" s="89">
        <v>63</v>
      </c>
      <c r="J4860" s="90">
        <v>13027</v>
      </c>
      <c r="K4860" s="85">
        <v>3</v>
      </c>
      <c r="L4860" s="85">
        <v>922</v>
      </c>
      <c r="M4860" s="85">
        <v>0</v>
      </c>
      <c r="N4860" s="82" t="s">
        <v>12140</v>
      </c>
      <c r="O4860" s="93">
        <v>45903.218055555553</v>
      </c>
    </row>
    <row r="4861" spans="1:15" ht="22.5" customHeight="1">
      <c r="A4861" s="85">
        <v>174904221976312</v>
      </c>
      <c r="B4861" s="82" t="s">
        <v>10651</v>
      </c>
      <c r="C4861" s="82" t="s">
        <v>12122</v>
      </c>
      <c r="D4861" s="82" t="s">
        <v>12123</v>
      </c>
      <c r="E4861" s="82">
        <v>6285720705874</v>
      </c>
      <c r="F4861" s="94">
        <v>45902</v>
      </c>
      <c r="G4861" s="87">
        <v>824</v>
      </c>
      <c r="H4861" s="88">
        <v>13605.76923076923</v>
      </c>
      <c r="I4861" s="89">
        <v>36</v>
      </c>
      <c r="J4861" s="90">
        <v>12735</v>
      </c>
      <c r="K4861" s="85">
        <v>9</v>
      </c>
      <c r="L4861" s="85">
        <v>323</v>
      </c>
      <c r="M4861" s="85">
        <v>0</v>
      </c>
      <c r="N4861" s="82" t="s">
        <v>12124</v>
      </c>
      <c r="O4861" s="93">
        <v>45903.505891203706</v>
      </c>
    </row>
    <row r="4862" spans="1:15" ht="22.5" customHeight="1">
      <c r="A4862" s="85">
        <v>174904221976312</v>
      </c>
      <c r="B4862" s="82" t="s">
        <v>10651</v>
      </c>
      <c r="C4862" s="82" t="s">
        <v>12100</v>
      </c>
      <c r="D4862" s="82" t="s">
        <v>6091</v>
      </c>
      <c r="E4862" s="82">
        <v>6281938384000</v>
      </c>
      <c r="F4862" s="94">
        <v>45902</v>
      </c>
      <c r="G4862" s="87">
        <v>543</v>
      </c>
      <c r="H4862" s="88">
        <v>22692.307692307695</v>
      </c>
      <c r="I4862" s="89">
        <v>16</v>
      </c>
      <c r="J4862" s="90">
        <v>14455</v>
      </c>
      <c r="K4862" s="85">
        <v>4</v>
      </c>
      <c r="L4862" s="85">
        <v>0</v>
      </c>
      <c r="M4862" s="85">
        <v>1</v>
      </c>
      <c r="N4862" s="82" t="s">
        <v>12221</v>
      </c>
      <c r="O4862" s="93">
        <v>45903.443182870367</v>
      </c>
    </row>
    <row r="4863" spans="1:15" ht="22.5" customHeight="1">
      <c r="A4863" s="85">
        <v>174904221976312</v>
      </c>
      <c r="B4863" s="82" t="s">
        <v>10651</v>
      </c>
      <c r="C4863" s="82" t="s">
        <v>12102</v>
      </c>
      <c r="D4863" s="82" t="s">
        <v>12103</v>
      </c>
      <c r="E4863" s="82">
        <v>628122577723</v>
      </c>
      <c r="F4863" s="94">
        <v>45902</v>
      </c>
      <c r="G4863" s="87">
        <v>386</v>
      </c>
      <c r="H4863" s="88">
        <v>25738.188976377951</v>
      </c>
      <c r="I4863" s="89">
        <v>12</v>
      </c>
      <c r="J4863" s="90">
        <v>13075</v>
      </c>
      <c r="K4863" s="85">
        <v>0</v>
      </c>
      <c r="L4863" s="85">
        <v>0</v>
      </c>
      <c r="M4863" s="85">
        <v>0</v>
      </c>
      <c r="N4863" s="82" t="s">
        <v>12144</v>
      </c>
      <c r="O4863" s="93">
        <v>45903.58902777778</v>
      </c>
    </row>
    <row r="4864" spans="1:15" ht="22.5" customHeight="1">
      <c r="A4864" s="85">
        <v>174904221976312</v>
      </c>
      <c r="B4864" s="82" t="s">
        <v>10651</v>
      </c>
      <c r="C4864" s="82" t="s">
        <v>12107</v>
      </c>
      <c r="D4864" s="82" t="s">
        <v>3465</v>
      </c>
      <c r="E4864" s="82">
        <v>6285920572002</v>
      </c>
      <c r="F4864" s="94">
        <v>45902</v>
      </c>
      <c r="G4864" s="87">
        <v>508</v>
      </c>
      <c r="H4864" s="88">
        <v>27610.915492957749</v>
      </c>
      <c r="I4864" s="89">
        <v>16</v>
      </c>
      <c r="J4864" s="90">
        <v>15683</v>
      </c>
      <c r="K4864" s="85">
        <v>2</v>
      </c>
      <c r="L4864" s="85">
        <v>131</v>
      </c>
      <c r="M4864" s="85">
        <v>0</v>
      </c>
      <c r="N4864" s="82" t="s">
        <v>12108</v>
      </c>
      <c r="O4864" s="93">
        <v>45903.21802083333</v>
      </c>
    </row>
    <row r="4865" spans="1:15" ht="22.5" customHeight="1">
      <c r="A4865" s="85">
        <v>174904221976312</v>
      </c>
      <c r="B4865" s="82" t="s">
        <v>10651</v>
      </c>
      <c r="C4865" s="82" t="s">
        <v>12109</v>
      </c>
      <c r="D4865" s="82" t="s">
        <v>12110</v>
      </c>
      <c r="E4865" s="82">
        <v>6287777304498</v>
      </c>
      <c r="F4865" s="94">
        <v>45902</v>
      </c>
      <c r="G4865" s="87">
        <v>328</v>
      </c>
      <c r="H4865" s="88">
        <v>40876.963350785336</v>
      </c>
      <c r="I4865" s="89">
        <v>9</v>
      </c>
      <c r="J4865" s="90">
        <v>15615</v>
      </c>
      <c r="K4865" s="85">
        <v>0</v>
      </c>
      <c r="L4865" s="85">
        <v>0</v>
      </c>
      <c r="M4865" s="85">
        <v>0</v>
      </c>
      <c r="N4865" s="82" t="s">
        <v>12146</v>
      </c>
      <c r="O4865" s="93">
        <v>45903.360324074078</v>
      </c>
    </row>
    <row r="4866" spans="1:15" ht="22.5" customHeight="1">
      <c r="A4866" s="85">
        <v>174904221976312</v>
      </c>
      <c r="B4866" s="82" t="s">
        <v>10651</v>
      </c>
      <c r="C4866" s="82" t="s">
        <v>12058</v>
      </c>
      <c r="D4866" s="82" t="s">
        <v>4516</v>
      </c>
      <c r="E4866" s="82">
        <v>6281315163838</v>
      </c>
      <c r="F4866" s="94">
        <v>45902</v>
      </c>
      <c r="G4866" s="87">
        <v>292</v>
      </c>
      <c r="H4866" s="88">
        <v>48743.589743589742</v>
      </c>
      <c r="I4866" s="89">
        <v>16</v>
      </c>
      <c r="J4866" s="90">
        <v>15208</v>
      </c>
      <c r="K4866" s="85">
        <v>1</v>
      </c>
      <c r="L4866" s="85">
        <v>124</v>
      </c>
      <c r="M4866" s="85">
        <v>0</v>
      </c>
      <c r="N4866" s="82" t="s">
        <v>12222</v>
      </c>
      <c r="O4866" s="93">
        <v>45903.318564814814</v>
      </c>
    </row>
    <row r="4867" spans="1:15" ht="22.5" customHeight="1">
      <c r="A4867" s="85">
        <v>174904221976312</v>
      </c>
      <c r="B4867" s="82" t="s">
        <v>10651</v>
      </c>
      <c r="C4867" s="82" t="s">
        <v>12039</v>
      </c>
      <c r="D4867" s="82" t="s">
        <v>12040</v>
      </c>
      <c r="E4867" s="82">
        <v>6281330410391</v>
      </c>
      <c r="F4867" s="94">
        <v>45902</v>
      </c>
      <c r="G4867" s="87">
        <v>795</v>
      </c>
      <c r="H4867" s="88">
        <v>13787.784679089027</v>
      </c>
      <c r="I4867" s="89">
        <v>53</v>
      </c>
      <c r="J4867" s="90">
        <v>13319</v>
      </c>
      <c r="K4867" s="85">
        <v>8</v>
      </c>
      <c r="L4867" s="85">
        <v>223</v>
      </c>
      <c r="M4867" s="85">
        <v>1</v>
      </c>
      <c r="N4867" s="82" t="s">
        <v>12041</v>
      </c>
      <c r="O4867" s="93">
        <v>45903.630868055552</v>
      </c>
    </row>
    <row r="4868" spans="1:15" ht="22.5" customHeight="1">
      <c r="A4868" s="85">
        <v>174904221976312</v>
      </c>
      <c r="B4868" s="82" t="s">
        <v>10651</v>
      </c>
      <c r="C4868" s="82" t="s">
        <v>12016</v>
      </c>
      <c r="D4868" s="82" t="s">
        <v>12017</v>
      </c>
      <c r="E4868" s="82">
        <v>6281210801646</v>
      </c>
      <c r="F4868" s="94">
        <v>45902</v>
      </c>
      <c r="G4868" s="87">
        <v>500</v>
      </c>
      <c r="H4868" s="88">
        <v>25318.600368324125</v>
      </c>
      <c r="I4868" s="89">
        <v>14</v>
      </c>
      <c r="J4868" s="90">
        <v>13748</v>
      </c>
      <c r="K4868" s="85">
        <v>3</v>
      </c>
      <c r="L4868" s="85">
        <v>178</v>
      </c>
      <c r="M4868" s="85">
        <v>0</v>
      </c>
      <c r="N4868" s="82" t="s">
        <v>12223</v>
      </c>
      <c r="O4868" s="93">
        <v>45903.610312500001</v>
      </c>
    </row>
    <row r="4869" spans="1:15" ht="22.5" customHeight="1">
      <c r="A4869" s="85">
        <v>174904221976312</v>
      </c>
      <c r="B4869" s="82" t="s">
        <v>10651</v>
      </c>
      <c r="C4869" s="82" t="s">
        <v>12007</v>
      </c>
      <c r="D4869" s="82" t="s">
        <v>9010</v>
      </c>
      <c r="E4869" s="82">
        <v>6282160743576</v>
      </c>
      <c r="F4869" s="94">
        <v>45902</v>
      </c>
      <c r="G4869" s="87">
        <v>1311</v>
      </c>
      <c r="H4869" s="88">
        <v>9450.5716207128444</v>
      </c>
      <c r="I4869" s="89">
        <v>79</v>
      </c>
      <c r="J4869" s="90">
        <v>14053</v>
      </c>
      <c r="K4869" s="85">
        <v>10</v>
      </c>
      <c r="L4869" s="85">
        <v>714</v>
      </c>
      <c r="M4869" s="85">
        <v>1</v>
      </c>
      <c r="N4869" s="82" t="s">
        <v>12008</v>
      </c>
      <c r="O4869" s="93">
        <v>45903.547858796293</v>
      </c>
    </row>
    <row r="4870" spans="1:15" ht="22.5" customHeight="1">
      <c r="A4870" s="85">
        <v>174904221976312</v>
      </c>
      <c r="B4870" s="82" t="s">
        <v>10651</v>
      </c>
      <c r="C4870" s="82" t="s">
        <v>11905</v>
      </c>
      <c r="D4870" s="82" t="s">
        <v>11906</v>
      </c>
      <c r="E4870" s="82">
        <v>6285294617773</v>
      </c>
      <c r="F4870" s="94">
        <v>45902</v>
      </c>
      <c r="G4870" s="87">
        <v>300</v>
      </c>
      <c r="H4870" s="88">
        <v>38398.203592814367</v>
      </c>
      <c r="I4870" s="89">
        <v>17</v>
      </c>
      <c r="J4870" s="90">
        <v>12825</v>
      </c>
      <c r="K4870" s="85">
        <v>3</v>
      </c>
      <c r="L4870" s="85">
        <v>94</v>
      </c>
      <c r="M4870" s="85">
        <v>0</v>
      </c>
      <c r="N4870" s="82" t="s">
        <v>11907</v>
      </c>
      <c r="O4870" s="93">
        <v>45903.218043981484</v>
      </c>
    </row>
    <row r="4871" spans="1:15" ht="22.5" customHeight="1">
      <c r="A4871" s="85">
        <v>174904221976312</v>
      </c>
      <c r="B4871" s="82" t="s">
        <v>10651</v>
      </c>
      <c r="C4871" s="82" t="s">
        <v>11876</v>
      </c>
      <c r="D4871" s="82" t="s">
        <v>11877</v>
      </c>
      <c r="E4871" s="82">
        <v>6285748377961</v>
      </c>
      <c r="F4871" s="94">
        <v>45902</v>
      </c>
      <c r="G4871" s="87">
        <v>2096</v>
      </c>
      <c r="H4871" s="88">
        <v>6433.7820234476767</v>
      </c>
      <c r="I4871" s="89">
        <v>32</v>
      </c>
      <c r="J4871" s="90">
        <v>14817</v>
      </c>
      <c r="K4871" s="85">
        <v>0</v>
      </c>
      <c r="L4871" s="85">
        <v>0</v>
      </c>
      <c r="M4871" s="85">
        <v>0</v>
      </c>
      <c r="N4871" s="82" t="s">
        <v>11878</v>
      </c>
      <c r="O4871" s="93">
        <v>45903.218043981484</v>
      </c>
    </row>
    <row r="4872" spans="1:15" ht="22.5" customHeight="1">
      <c r="A4872" s="85">
        <v>174904221976312</v>
      </c>
      <c r="B4872" s="82" t="s">
        <v>10651</v>
      </c>
      <c r="C4872" s="82" t="s">
        <v>11879</v>
      </c>
      <c r="D4872" s="82" t="s">
        <v>11877</v>
      </c>
      <c r="E4872" s="82">
        <v>6285748377961</v>
      </c>
      <c r="F4872" s="94">
        <v>45902</v>
      </c>
      <c r="G4872" s="87">
        <v>1079</v>
      </c>
      <c r="H4872" s="88">
        <v>13549.645390070922</v>
      </c>
      <c r="I4872" s="89">
        <v>35</v>
      </c>
      <c r="J4872" s="90">
        <v>15284</v>
      </c>
      <c r="K4872" s="85">
        <v>5</v>
      </c>
      <c r="L4872" s="85">
        <v>348</v>
      </c>
      <c r="M4872" s="85">
        <v>0</v>
      </c>
      <c r="N4872" s="82" t="s">
        <v>11878</v>
      </c>
      <c r="O4872" s="93">
        <v>45903.218043981484</v>
      </c>
    </row>
    <row r="4873" spans="1:15" ht="22.5" customHeight="1">
      <c r="A4873" s="85">
        <v>174904221976312</v>
      </c>
      <c r="B4873" s="82" t="s">
        <v>10651</v>
      </c>
      <c r="C4873" s="82" t="s">
        <v>11838</v>
      </c>
      <c r="D4873" s="82" t="s">
        <v>11839</v>
      </c>
      <c r="E4873" s="82">
        <v>6287797504113</v>
      </c>
      <c r="F4873" s="94">
        <v>45902</v>
      </c>
      <c r="G4873" s="87">
        <v>292</v>
      </c>
      <c r="H4873" s="88">
        <v>45228.658536585361</v>
      </c>
      <c r="I4873" s="89">
        <v>13</v>
      </c>
      <c r="J4873" s="90">
        <v>14835</v>
      </c>
      <c r="K4873" s="85">
        <v>4</v>
      </c>
      <c r="L4873" s="85">
        <v>0</v>
      </c>
      <c r="M4873" s="85">
        <v>0</v>
      </c>
      <c r="N4873" s="82" t="s">
        <v>12149</v>
      </c>
      <c r="O4873" s="93">
        <v>45903.526631944442</v>
      </c>
    </row>
    <row r="4874" spans="1:15" ht="22.5" customHeight="1">
      <c r="A4874" s="85">
        <v>174904221976312</v>
      </c>
      <c r="B4874" s="82" t="s">
        <v>10651</v>
      </c>
      <c r="C4874" s="82" t="s">
        <v>11792</v>
      </c>
      <c r="D4874" s="82" t="s">
        <v>11793</v>
      </c>
      <c r="E4874" s="82">
        <v>6281915041833</v>
      </c>
      <c r="F4874" s="94">
        <v>45902</v>
      </c>
      <c r="G4874" s="87">
        <v>1051</v>
      </c>
      <c r="H4874" s="88">
        <v>10793.797150041912</v>
      </c>
      <c r="I4874" s="89">
        <v>19</v>
      </c>
      <c r="J4874" s="90">
        <v>12877</v>
      </c>
      <c r="K4874" s="85">
        <v>1</v>
      </c>
      <c r="L4874" s="85">
        <v>171</v>
      </c>
      <c r="M4874" s="85">
        <v>0</v>
      </c>
      <c r="N4874" s="82" t="s">
        <v>12200</v>
      </c>
      <c r="O4874" s="93">
        <v>45903.547858796293</v>
      </c>
    </row>
    <row r="4875" spans="1:15" ht="22.5" customHeight="1">
      <c r="A4875" s="85">
        <v>174904221976312</v>
      </c>
      <c r="B4875" s="82" t="s">
        <v>10651</v>
      </c>
      <c r="C4875" s="82" t="s">
        <v>11799</v>
      </c>
      <c r="D4875" s="82" t="s">
        <v>11800</v>
      </c>
      <c r="E4875" s="82">
        <v>6285333751528</v>
      </c>
      <c r="F4875" s="94">
        <v>45902</v>
      </c>
      <c r="G4875" s="87">
        <v>475</v>
      </c>
      <c r="H4875" s="88">
        <v>20903.417533432392</v>
      </c>
      <c r="I4875" s="89">
        <v>22</v>
      </c>
      <c r="J4875" s="90">
        <v>14068</v>
      </c>
      <c r="K4875" s="85">
        <v>1</v>
      </c>
      <c r="L4875" s="85">
        <v>0</v>
      </c>
      <c r="M4875" s="85">
        <v>0</v>
      </c>
      <c r="N4875" s="82" t="s">
        <v>12201</v>
      </c>
      <c r="O4875" s="93">
        <v>45903.547847222224</v>
      </c>
    </row>
    <row r="4876" spans="1:15" ht="22.5" customHeight="1">
      <c r="A4876" s="85">
        <v>174904221976312</v>
      </c>
      <c r="B4876" s="82" t="s">
        <v>10651</v>
      </c>
      <c r="C4876" s="82" t="s">
        <v>11766</v>
      </c>
      <c r="D4876" s="82" t="s">
        <v>11767</v>
      </c>
      <c r="E4876" s="82">
        <v>6281225101319</v>
      </c>
      <c r="F4876" s="94">
        <v>45902</v>
      </c>
      <c r="G4876" s="87">
        <v>333</v>
      </c>
      <c r="H4876" s="88">
        <v>36696.428571428572</v>
      </c>
      <c r="I4876" s="89">
        <v>4</v>
      </c>
      <c r="J4876" s="90">
        <v>14385</v>
      </c>
      <c r="K4876" s="85">
        <v>0</v>
      </c>
      <c r="L4876" s="85">
        <v>0</v>
      </c>
      <c r="M4876" s="85">
        <v>0</v>
      </c>
      <c r="N4876" s="82" t="s">
        <v>12150</v>
      </c>
      <c r="O4876" s="93">
        <v>45903.443182870367</v>
      </c>
    </row>
    <row r="4877" spans="1:15" ht="22.5" customHeight="1">
      <c r="A4877" s="85">
        <v>174904221976312</v>
      </c>
      <c r="B4877" s="82" t="s">
        <v>10651</v>
      </c>
      <c r="C4877" s="82" t="s">
        <v>11780</v>
      </c>
      <c r="D4877" s="82" t="s">
        <v>11781</v>
      </c>
      <c r="E4877" s="82">
        <v>6282129364133</v>
      </c>
      <c r="F4877" s="94">
        <v>45902</v>
      </c>
      <c r="G4877" s="87">
        <v>363</v>
      </c>
      <c r="H4877" s="88">
        <v>23227.083333333332</v>
      </c>
      <c r="I4877" s="89">
        <v>5</v>
      </c>
      <c r="J4877" s="90">
        <v>11149</v>
      </c>
      <c r="K4877" s="85">
        <v>1</v>
      </c>
      <c r="L4877" s="85">
        <v>0</v>
      </c>
      <c r="M4877" s="85">
        <v>1</v>
      </c>
      <c r="N4877" s="82" t="s">
        <v>12224</v>
      </c>
      <c r="O4877" s="93">
        <v>45903.505879629629</v>
      </c>
    </row>
    <row r="4878" spans="1:15" ht="22.5" customHeight="1">
      <c r="A4878" s="85">
        <v>174904221976312</v>
      </c>
      <c r="B4878" s="82" t="s">
        <v>10651</v>
      </c>
      <c r="C4878" s="82" t="s">
        <v>11755</v>
      </c>
      <c r="D4878" s="82" t="s">
        <v>11756</v>
      </c>
      <c r="E4878" s="82">
        <v>6281357754513</v>
      </c>
      <c r="F4878" s="94">
        <v>45902</v>
      </c>
      <c r="G4878" s="87">
        <v>552</v>
      </c>
      <c r="H4878" s="88">
        <v>21523.598820058996</v>
      </c>
      <c r="I4878" s="89">
        <v>22</v>
      </c>
      <c r="J4878" s="90">
        <v>14593</v>
      </c>
      <c r="K4878" s="85">
        <v>5</v>
      </c>
      <c r="L4878" s="85">
        <v>0</v>
      </c>
      <c r="M4878" s="85">
        <v>0</v>
      </c>
      <c r="N4878" s="82" t="s">
        <v>12151</v>
      </c>
      <c r="O4878" s="93">
        <v>45903.218043981484</v>
      </c>
    </row>
    <row r="4879" spans="1:15" ht="22.5" customHeight="1">
      <c r="A4879" s="85">
        <v>174904221976312</v>
      </c>
      <c r="B4879" s="82" t="s">
        <v>10651</v>
      </c>
      <c r="C4879" s="82" t="s">
        <v>11761</v>
      </c>
      <c r="D4879" s="82" t="s">
        <v>3438</v>
      </c>
      <c r="E4879" s="82">
        <v>628154336558</v>
      </c>
      <c r="F4879" s="94">
        <v>45902</v>
      </c>
      <c r="G4879" s="87">
        <v>1941</v>
      </c>
      <c r="H4879" s="88">
        <v>5534.4317701732143</v>
      </c>
      <c r="I4879" s="89">
        <v>39</v>
      </c>
      <c r="J4879" s="90">
        <v>13100</v>
      </c>
      <c r="K4879" s="85">
        <v>0</v>
      </c>
      <c r="L4879" s="85">
        <v>381</v>
      </c>
      <c r="M4879" s="85">
        <v>0</v>
      </c>
      <c r="N4879" s="82" t="s">
        <v>12152</v>
      </c>
      <c r="O4879" s="93">
        <v>45903.218043981484</v>
      </c>
    </row>
    <row r="4880" spans="1:15" ht="22.5" customHeight="1">
      <c r="A4880" s="85">
        <v>174904221976312</v>
      </c>
      <c r="B4880" s="82" t="s">
        <v>10651</v>
      </c>
      <c r="C4880" s="82" t="s">
        <v>11763</v>
      </c>
      <c r="D4880" s="82" t="s">
        <v>11764</v>
      </c>
      <c r="E4880" s="82">
        <v>6282384544939</v>
      </c>
      <c r="F4880" s="94">
        <v>45902</v>
      </c>
      <c r="G4880" s="87">
        <v>781</v>
      </c>
      <c r="H4880" s="88">
        <v>17104.072398190045</v>
      </c>
      <c r="I4880" s="89">
        <v>9</v>
      </c>
      <c r="J4880" s="90">
        <v>15120</v>
      </c>
      <c r="K4880" s="85">
        <v>2</v>
      </c>
      <c r="L4880" s="85">
        <v>0</v>
      </c>
      <c r="M4880" s="85">
        <v>0</v>
      </c>
      <c r="N4880" s="82" t="s">
        <v>12153</v>
      </c>
      <c r="O4880" s="93">
        <v>45903.218043981484</v>
      </c>
    </row>
    <row r="4881" spans="1:15" ht="22.5" customHeight="1">
      <c r="A4881" s="85">
        <v>174904221976312</v>
      </c>
      <c r="B4881" s="82" t="s">
        <v>10651</v>
      </c>
      <c r="C4881" s="82" t="s">
        <v>11641</v>
      </c>
      <c r="D4881" s="82" t="s">
        <v>3229</v>
      </c>
      <c r="E4881" s="82">
        <v>6287865111033</v>
      </c>
      <c r="F4881" s="94">
        <v>45902</v>
      </c>
      <c r="G4881" s="87">
        <v>1164</v>
      </c>
      <c r="H4881" s="88">
        <v>8391.3658881811753</v>
      </c>
      <c r="I4881" s="89">
        <v>34</v>
      </c>
      <c r="J4881" s="90">
        <v>11857</v>
      </c>
      <c r="K4881" s="85">
        <v>2</v>
      </c>
      <c r="L4881" s="85">
        <v>0</v>
      </c>
      <c r="M4881" s="85">
        <v>1</v>
      </c>
      <c r="N4881" s="82" t="s">
        <v>12225</v>
      </c>
      <c r="O4881" s="93">
        <v>45903.526643518519</v>
      </c>
    </row>
    <row r="4882" spans="1:15" ht="22.5" customHeight="1">
      <c r="A4882" s="85">
        <v>174904221976312</v>
      </c>
      <c r="B4882" s="82" t="s">
        <v>10651</v>
      </c>
      <c r="C4882" s="82" t="s">
        <v>11578</v>
      </c>
      <c r="D4882" s="82" t="s">
        <v>1624</v>
      </c>
      <c r="E4882" s="82">
        <v>6281938384000</v>
      </c>
      <c r="F4882" s="94">
        <v>45902</v>
      </c>
      <c r="G4882" s="87">
        <v>1820</v>
      </c>
      <c r="H4882" s="88">
        <v>5953.4774436090229</v>
      </c>
      <c r="I4882" s="89">
        <v>48</v>
      </c>
      <c r="J4882" s="90">
        <v>12669</v>
      </c>
      <c r="K4882" s="85">
        <v>1</v>
      </c>
      <c r="L4882" s="85">
        <v>0</v>
      </c>
      <c r="M4882" s="85">
        <v>0</v>
      </c>
      <c r="N4882" s="82" t="s">
        <v>12154</v>
      </c>
      <c r="O4882" s="93">
        <v>45903.484942129631</v>
      </c>
    </row>
    <row r="4883" spans="1:15" ht="22.5" customHeight="1">
      <c r="A4883" s="85">
        <v>174904221976312</v>
      </c>
      <c r="B4883" s="82" t="s">
        <v>10651</v>
      </c>
      <c r="C4883" s="82" t="s">
        <v>11580</v>
      </c>
      <c r="D4883" s="82" t="s">
        <v>11581</v>
      </c>
      <c r="E4883" s="82">
        <v>6287790276733</v>
      </c>
      <c r="F4883" s="94">
        <v>45902</v>
      </c>
      <c r="G4883" s="87">
        <v>465</v>
      </c>
      <c r="H4883" s="88">
        <v>21284.710017574693</v>
      </c>
      <c r="I4883" s="89">
        <v>5</v>
      </c>
      <c r="J4883" s="90">
        <v>12111</v>
      </c>
      <c r="K4883" s="85">
        <v>1</v>
      </c>
      <c r="L4883" s="85">
        <v>0</v>
      </c>
      <c r="M4883" s="85">
        <v>0</v>
      </c>
      <c r="N4883" s="82" t="s">
        <v>12226</v>
      </c>
      <c r="O4883" s="93">
        <v>45903.547858796293</v>
      </c>
    </row>
    <row r="4884" spans="1:15" ht="22.5" customHeight="1">
      <c r="A4884" s="85">
        <v>759724529202804</v>
      </c>
      <c r="B4884" s="82" t="s">
        <v>10621</v>
      </c>
      <c r="C4884" s="82" t="s">
        <v>12227</v>
      </c>
      <c r="D4884" s="82" t="s">
        <v>4938</v>
      </c>
      <c r="E4884" s="82">
        <v>6287835601400</v>
      </c>
      <c r="F4884" s="94">
        <v>45903</v>
      </c>
      <c r="G4884" s="87">
        <v>832</v>
      </c>
      <c r="H4884" s="88">
        <v>14829.871414441148</v>
      </c>
      <c r="I4884" s="89">
        <v>17</v>
      </c>
      <c r="J4884" s="90">
        <v>14993</v>
      </c>
      <c r="K4884" s="85">
        <v>1</v>
      </c>
      <c r="L4884" s="85">
        <v>296</v>
      </c>
      <c r="M4884" s="85">
        <v>0</v>
      </c>
      <c r="N4884" s="82" t="s">
        <v>12228</v>
      </c>
      <c r="O4884" s="93">
        <v>45904.672754629632</v>
      </c>
    </row>
    <row r="4885" spans="1:15" ht="22.5" customHeight="1">
      <c r="A4885" s="85">
        <v>759724529202804</v>
      </c>
      <c r="B4885" s="82" t="s">
        <v>10621</v>
      </c>
      <c r="C4885" s="82" t="s">
        <v>11055</v>
      </c>
      <c r="D4885" s="82" t="s">
        <v>1021</v>
      </c>
      <c r="E4885" s="82"/>
      <c r="F4885" s="94">
        <v>45903</v>
      </c>
      <c r="G4885" s="87">
        <v>1556</v>
      </c>
      <c r="H4885" s="88">
        <v>34858.479532163743</v>
      </c>
      <c r="I4885" s="89">
        <v>55</v>
      </c>
      <c r="J4885" s="90">
        <v>59608</v>
      </c>
      <c r="K4885" s="85">
        <v>16</v>
      </c>
      <c r="L4885" s="85">
        <v>485</v>
      </c>
      <c r="M4885" s="85">
        <v>1</v>
      </c>
      <c r="N4885" s="82" t="s">
        <v>11056</v>
      </c>
      <c r="O4885" s="93">
        <v>45904.305046296293</v>
      </c>
    </row>
    <row r="4886" spans="1:15" ht="22.5" customHeight="1">
      <c r="A4886" s="85">
        <v>759724529202804</v>
      </c>
      <c r="B4886" s="82" t="s">
        <v>10621</v>
      </c>
      <c r="C4886" s="82" t="s">
        <v>10925</v>
      </c>
      <c r="D4886" s="82" t="s">
        <v>10926</v>
      </c>
      <c r="E4886" s="82">
        <v>6281233038880</v>
      </c>
      <c r="F4886" s="94">
        <v>45903</v>
      </c>
      <c r="G4886" s="87">
        <v>1102</v>
      </c>
      <c r="H4886" s="88">
        <v>13980.198019801981</v>
      </c>
      <c r="I4886" s="89">
        <v>21</v>
      </c>
      <c r="J4886" s="90">
        <v>16944</v>
      </c>
      <c r="K4886" s="85">
        <v>0</v>
      </c>
      <c r="L4886" s="85">
        <v>240</v>
      </c>
      <c r="M4886" s="85">
        <v>0</v>
      </c>
      <c r="N4886" s="82" t="s">
        <v>10927</v>
      </c>
      <c r="O4886" s="93">
        <v>45904.464131944442</v>
      </c>
    </row>
    <row r="4887" spans="1:15" ht="22.5" customHeight="1">
      <c r="A4887" s="85">
        <v>174904221976312</v>
      </c>
      <c r="B4887" s="82" t="s">
        <v>10651</v>
      </c>
      <c r="C4887" s="82" t="s">
        <v>12234</v>
      </c>
      <c r="D4887" s="82" t="s">
        <v>12235</v>
      </c>
      <c r="E4887" s="82">
        <v>6285780314346</v>
      </c>
      <c r="F4887" s="94">
        <v>45903</v>
      </c>
      <c r="G4887" s="87">
        <v>600</v>
      </c>
      <c r="H4887" s="88">
        <v>16071.428571428572</v>
      </c>
      <c r="I4887" s="89">
        <v>62</v>
      </c>
      <c r="J4887" s="90">
        <v>13050</v>
      </c>
      <c r="K4887" s="85">
        <v>7</v>
      </c>
      <c r="L4887" s="85">
        <v>161</v>
      </c>
      <c r="M4887" s="85">
        <v>0</v>
      </c>
      <c r="N4887" s="82" t="s">
        <v>12236</v>
      </c>
      <c r="O4887" s="93">
        <v>45904.735185185185</v>
      </c>
    </row>
    <row r="4888" spans="1:15" ht="22.5" customHeight="1">
      <c r="A4888" s="85">
        <v>174904221976312</v>
      </c>
      <c r="B4888" s="82" t="s">
        <v>10651</v>
      </c>
      <c r="C4888" s="82" t="s">
        <v>12237</v>
      </c>
      <c r="D4888" s="82" t="s">
        <v>12238</v>
      </c>
      <c r="E4888" s="82">
        <v>6287888330007</v>
      </c>
      <c r="F4888" s="94">
        <v>45903</v>
      </c>
      <c r="G4888" s="87">
        <v>596</v>
      </c>
      <c r="H4888" s="88">
        <v>18046.767537826687</v>
      </c>
      <c r="I4888" s="89">
        <v>37</v>
      </c>
      <c r="J4888" s="90">
        <v>13120</v>
      </c>
      <c r="K4888" s="85">
        <v>6</v>
      </c>
      <c r="L4888" s="85">
        <v>26</v>
      </c>
      <c r="M4888" s="85">
        <v>0</v>
      </c>
      <c r="N4888" s="82" t="s">
        <v>12239</v>
      </c>
      <c r="O4888" s="93">
        <v>45904.609918981485</v>
      </c>
    </row>
    <row r="4889" spans="1:15" ht="22.5" customHeight="1">
      <c r="A4889" s="85">
        <v>174904221976312</v>
      </c>
      <c r="B4889" s="82" t="s">
        <v>10651</v>
      </c>
      <c r="C4889" s="82" t="s">
        <v>12240</v>
      </c>
      <c r="D4889" s="82" t="s">
        <v>12241</v>
      </c>
      <c r="E4889" s="82">
        <v>6285600822636</v>
      </c>
      <c r="F4889" s="94">
        <v>45903</v>
      </c>
      <c r="G4889" s="87">
        <v>636</v>
      </c>
      <c r="H4889" s="88">
        <v>19708.860759493669</v>
      </c>
      <c r="I4889" s="89">
        <v>19</v>
      </c>
      <c r="J4889" s="90">
        <v>14013</v>
      </c>
      <c r="K4889" s="85">
        <v>1</v>
      </c>
      <c r="L4889" s="85">
        <v>16</v>
      </c>
      <c r="M4889" s="85">
        <v>0</v>
      </c>
      <c r="N4889" s="82" t="s">
        <v>12242</v>
      </c>
      <c r="O4889" s="93">
        <v>45904.672708333332</v>
      </c>
    </row>
    <row r="4890" spans="1:15" ht="22.5" customHeight="1">
      <c r="A4890" s="85">
        <v>174904221976312</v>
      </c>
      <c r="B4890" s="82" t="s">
        <v>10651</v>
      </c>
      <c r="C4890" s="82" t="s">
        <v>12229</v>
      </c>
      <c r="D4890" s="82" t="s">
        <v>4794</v>
      </c>
      <c r="E4890" s="82">
        <v>6285655300070</v>
      </c>
      <c r="F4890" s="94">
        <v>45903</v>
      </c>
      <c r="G4890" s="87">
        <v>12972</v>
      </c>
      <c r="H4890" s="88">
        <v>1010.5554342287253</v>
      </c>
      <c r="I4890" s="89">
        <v>14</v>
      </c>
      <c r="J4890" s="90">
        <v>13882</v>
      </c>
      <c r="K4890" s="85">
        <v>0</v>
      </c>
      <c r="L4890" s="85">
        <v>235</v>
      </c>
      <c r="M4890" s="85">
        <v>0</v>
      </c>
      <c r="N4890" s="82" t="s">
        <v>12230</v>
      </c>
      <c r="O4890" s="93">
        <v>45904.776134259257</v>
      </c>
    </row>
    <row r="4891" spans="1:15" ht="22.5" customHeight="1">
      <c r="A4891" s="85">
        <v>174904221976312</v>
      </c>
      <c r="B4891" s="82" t="s">
        <v>10651</v>
      </c>
      <c r="C4891" s="82" t="s">
        <v>12202</v>
      </c>
      <c r="D4891" s="82" t="s">
        <v>2370</v>
      </c>
      <c r="E4891" s="82">
        <v>6281317409433</v>
      </c>
      <c r="F4891" s="94">
        <v>45903</v>
      </c>
      <c r="G4891" s="87">
        <v>527</v>
      </c>
      <c r="H4891" s="88">
        <v>19795.795795795799</v>
      </c>
      <c r="I4891" s="89">
        <v>49</v>
      </c>
      <c r="J4891" s="90">
        <v>13184</v>
      </c>
      <c r="K4891" s="85">
        <v>10</v>
      </c>
      <c r="L4891" s="85">
        <v>0</v>
      </c>
      <c r="M4891" s="85">
        <v>0</v>
      </c>
      <c r="N4891" s="82" t="s">
        <v>12203</v>
      </c>
      <c r="O4891" s="93">
        <v>45904.651643518519</v>
      </c>
    </row>
    <row r="4892" spans="1:15" ht="22.5" customHeight="1">
      <c r="A4892" s="85">
        <v>174904221976312</v>
      </c>
      <c r="B4892" s="82" t="s">
        <v>10651</v>
      </c>
      <c r="C4892" s="82" t="s">
        <v>12204</v>
      </c>
      <c r="D4892" s="82" t="s">
        <v>12205</v>
      </c>
      <c r="E4892" s="82">
        <v>6281262080126</v>
      </c>
      <c r="F4892" s="94">
        <v>45903</v>
      </c>
      <c r="G4892" s="87">
        <v>676</v>
      </c>
      <c r="H4892" s="88">
        <v>13589.330024813895</v>
      </c>
      <c r="I4892" s="89">
        <v>9</v>
      </c>
      <c r="J4892" s="90">
        <v>10953</v>
      </c>
      <c r="K4892" s="85">
        <v>1</v>
      </c>
      <c r="L4892" s="85">
        <v>165</v>
      </c>
      <c r="M4892" s="85">
        <v>0</v>
      </c>
      <c r="N4892" s="82" t="s">
        <v>12231</v>
      </c>
      <c r="O4892" s="93">
        <v>45904.630740740744</v>
      </c>
    </row>
    <row r="4893" spans="1:15" ht="22.5" customHeight="1">
      <c r="A4893" s="85">
        <v>174904221976312</v>
      </c>
      <c r="B4893" s="82" t="s">
        <v>10651</v>
      </c>
      <c r="C4893" s="82" t="s">
        <v>12207</v>
      </c>
      <c r="D4893" s="91" t="s">
        <v>4875</v>
      </c>
      <c r="E4893" s="82">
        <v>6285719003688</v>
      </c>
      <c r="F4893" s="94">
        <v>45903</v>
      </c>
      <c r="G4893" s="87">
        <v>183</v>
      </c>
      <c r="H4893" s="88">
        <v>60105.26315789474</v>
      </c>
      <c r="I4893" s="89">
        <v>3</v>
      </c>
      <c r="J4893" s="90">
        <v>12562</v>
      </c>
      <c r="K4893" s="85">
        <v>1</v>
      </c>
      <c r="L4893" s="85">
        <v>0</v>
      </c>
      <c r="M4893" s="85">
        <v>0</v>
      </c>
      <c r="N4893" s="82" t="s">
        <v>12232</v>
      </c>
      <c r="O4893" s="93">
        <v>45904.506342592591</v>
      </c>
    </row>
    <row r="4894" spans="1:15" ht="22.5" customHeight="1">
      <c r="A4894" s="85">
        <v>174904221976312</v>
      </c>
      <c r="B4894" s="82" t="s">
        <v>10651</v>
      </c>
      <c r="C4894" s="82" t="s">
        <v>12209</v>
      </c>
      <c r="D4894" s="82" t="s">
        <v>12210</v>
      </c>
      <c r="E4894" s="82">
        <v>6282217300224</v>
      </c>
      <c r="F4894" s="94">
        <v>45903</v>
      </c>
      <c r="G4894" s="87">
        <v>254</v>
      </c>
      <c r="H4894" s="88">
        <v>50774.545454545456</v>
      </c>
      <c r="I4894" s="89">
        <v>10</v>
      </c>
      <c r="J4894" s="90">
        <v>13963</v>
      </c>
      <c r="K4894" s="85">
        <v>3</v>
      </c>
      <c r="L4894" s="85">
        <v>60</v>
      </c>
      <c r="M4894" s="85">
        <v>0</v>
      </c>
      <c r="N4894" s="82" t="s">
        <v>12233</v>
      </c>
      <c r="O4894" s="93">
        <v>45904.443043981482</v>
      </c>
    </row>
    <row r="4895" spans="1:15" ht="22.5" customHeight="1">
      <c r="A4895" s="85">
        <v>174904221976312</v>
      </c>
      <c r="B4895" s="82" t="s">
        <v>10651</v>
      </c>
      <c r="C4895" s="82" t="s">
        <v>12176</v>
      </c>
      <c r="D4895" s="82" t="s">
        <v>12177</v>
      </c>
      <c r="E4895" s="82">
        <v>6285748377961</v>
      </c>
      <c r="F4895" s="94">
        <v>45903</v>
      </c>
      <c r="G4895" s="87">
        <v>397</v>
      </c>
      <c r="H4895" s="88">
        <v>28236.842105263157</v>
      </c>
      <c r="I4895" s="89">
        <v>16</v>
      </c>
      <c r="J4895" s="90">
        <v>12876</v>
      </c>
      <c r="K4895" s="85">
        <v>2</v>
      </c>
      <c r="L4895" s="85">
        <v>0</v>
      </c>
      <c r="M4895" s="85">
        <v>0</v>
      </c>
      <c r="N4895" s="82" t="s">
        <v>12178</v>
      </c>
      <c r="O4895" s="93">
        <v>45904.506041666667</v>
      </c>
    </row>
    <row r="4896" spans="1:15" ht="22.5" customHeight="1">
      <c r="A4896" s="85">
        <v>174904221976312</v>
      </c>
      <c r="B4896" s="82" t="s">
        <v>10651</v>
      </c>
      <c r="C4896" s="82" t="s">
        <v>12179</v>
      </c>
      <c r="D4896" s="82" t="s">
        <v>12180</v>
      </c>
      <c r="E4896" s="82">
        <v>6281222200099</v>
      </c>
      <c r="F4896" s="94">
        <v>45903</v>
      </c>
      <c r="G4896" s="87">
        <v>313</v>
      </c>
      <c r="H4896" s="88">
        <v>36313.351498637603</v>
      </c>
      <c r="I4896" s="89">
        <v>8</v>
      </c>
      <c r="J4896" s="90">
        <v>13327</v>
      </c>
      <c r="K4896" s="85">
        <v>1</v>
      </c>
      <c r="L4896" s="85">
        <v>101</v>
      </c>
      <c r="M4896" s="85">
        <v>0</v>
      </c>
      <c r="N4896" s="82" t="s">
        <v>12243</v>
      </c>
      <c r="O4896" s="93">
        <v>45904.463946759257</v>
      </c>
    </row>
    <row r="4897" spans="1:15" ht="22.5" customHeight="1">
      <c r="A4897" s="85">
        <v>174904221976312</v>
      </c>
      <c r="B4897" s="82" t="s">
        <v>10651</v>
      </c>
      <c r="C4897" s="82" t="s">
        <v>12182</v>
      </c>
      <c r="D4897" s="82" t="s">
        <v>12183</v>
      </c>
      <c r="E4897" s="82">
        <v>6285645712595</v>
      </c>
      <c r="F4897" s="94">
        <v>45903</v>
      </c>
      <c r="G4897" s="87">
        <v>429</v>
      </c>
      <c r="H4897" s="88">
        <v>24114</v>
      </c>
      <c r="I4897" s="89">
        <v>10</v>
      </c>
      <c r="J4897" s="90">
        <v>12057</v>
      </c>
      <c r="K4897" s="85">
        <v>1</v>
      </c>
      <c r="L4897" s="85">
        <v>0</v>
      </c>
      <c r="M4897" s="85">
        <v>0</v>
      </c>
      <c r="N4897" s="82" t="s">
        <v>12212</v>
      </c>
      <c r="O4897" s="93">
        <v>45904.506041666667</v>
      </c>
    </row>
    <row r="4898" spans="1:15" ht="22.5" customHeight="1">
      <c r="A4898" s="85">
        <v>174904221976312</v>
      </c>
      <c r="B4898" s="82" t="s">
        <v>10651</v>
      </c>
      <c r="C4898" s="82" t="s">
        <v>12185</v>
      </c>
      <c r="D4898" s="82" t="s">
        <v>12186</v>
      </c>
      <c r="E4898" s="82">
        <v>6285771466144</v>
      </c>
      <c r="F4898" s="94">
        <v>45903</v>
      </c>
      <c r="G4898" s="87">
        <v>1121</v>
      </c>
      <c r="H4898" s="88">
        <v>9595</v>
      </c>
      <c r="I4898" s="89">
        <v>30</v>
      </c>
      <c r="J4898" s="90">
        <v>13433</v>
      </c>
      <c r="K4898" s="85">
        <v>3</v>
      </c>
      <c r="L4898" s="85">
        <v>0</v>
      </c>
      <c r="M4898" s="85">
        <v>1</v>
      </c>
      <c r="N4898" s="82" t="s">
        <v>12213</v>
      </c>
      <c r="O4898" s="93">
        <v>45904.63076388889</v>
      </c>
    </row>
    <row r="4899" spans="1:15" ht="22.5" customHeight="1">
      <c r="A4899" s="85">
        <v>174904221976312</v>
      </c>
      <c r="B4899" s="82" t="s">
        <v>10651</v>
      </c>
      <c r="C4899" s="82" t="s">
        <v>12188</v>
      </c>
      <c r="D4899" s="82" t="s">
        <v>12189</v>
      </c>
      <c r="E4899" s="82">
        <v>6285864550854</v>
      </c>
      <c r="F4899" s="94">
        <v>45903</v>
      </c>
      <c r="G4899" s="87">
        <v>231</v>
      </c>
      <c r="H4899" s="88">
        <v>48690.909090909088</v>
      </c>
      <c r="I4899" s="89">
        <v>11</v>
      </c>
      <c r="J4899" s="90">
        <v>13390</v>
      </c>
      <c r="K4899" s="85">
        <v>2</v>
      </c>
      <c r="L4899" s="85">
        <v>0</v>
      </c>
      <c r="M4899" s="85">
        <v>0</v>
      </c>
      <c r="N4899" s="82" t="s">
        <v>12190</v>
      </c>
      <c r="O4899" s="93">
        <v>45904.588900462964</v>
      </c>
    </row>
    <row r="4900" spans="1:15" ht="22.5" customHeight="1">
      <c r="A4900" s="85">
        <v>174904221976312</v>
      </c>
      <c r="B4900" s="82" t="s">
        <v>10651</v>
      </c>
      <c r="C4900" s="82" t="s">
        <v>12191</v>
      </c>
      <c r="D4900" s="82" t="s">
        <v>12192</v>
      </c>
      <c r="E4900" s="82">
        <v>6289606523838</v>
      </c>
      <c r="F4900" s="94">
        <v>45903</v>
      </c>
      <c r="G4900" s="87">
        <v>1098</v>
      </c>
      <c r="H4900" s="88">
        <v>7749.8281786941579</v>
      </c>
      <c r="I4900" s="89">
        <v>14</v>
      </c>
      <c r="J4900" s="90">
        <v>11276</v>
      </c>
      <c r="K4900" s="85">
        <v>1</v>
      </c>
      <c r="L4900" s="85">
        <v>0</v>
      </c>
      <c r="M4900" s="85">
        <v>0</v>
      </c>
      <c r="N4900" s="82" t="s">
        <v>12214</v>
      </c>
      <c r="O4900" s="93">
        <v>45904.588888888888</v>
      </c>
    </row>
    <row r="4901" spans="1:15" ht="22.5" customHeight="1">
      <c r="A4901" s="85">
        <v>174904221976312</v>
      </c>
      <c r="B4901" s="82" t="s">
        <v>10651</v>
      </c>
      <c r="C4901" s="82" t="s">
        <v>12194</v>
      </c>
      <c r="D4901" s="82" t="s">
        <v>12137</v>
      </c>
      <c r="E4901" s="82">
        <v>6287863509004</v>
      </c>
      <c r="F4901" s="94">
        <v>45903</v>
      </c>
      <c r="G4901" s="87">
        <v>2344</v>
      </c>
      <c r="H4901" s="88">
        <v>4112.1223152530038</v>
      </c>
      <c r="I4901" s="89">
        <v>21</v>
      </c>
      <c r="J4901" s="90">
        <v>11296</v>
      </c>
      <c r="K4901" s="85">
        <v>1</v>
      </c>
      <c r="L4901" s="85">
        <v>0</v>
      </c>
      <c r="M4901" s="85">
        <v>0</v>
      </c>
      <c r="N4901" s="82" t="s">
        <v>12195</v>
      </c>
      <c r="O4901" s="93">
        <v>45904.443055555559</v>
      </c>
    </row>
    <row r="4902" spans="1:15" ht="22.5" customHeight="1">
      <c r="A4902" s="85">
        <v>174904221976312</v>
      </c>
      <c r="B4902" s="82" t="s">
        <v>10651</v>
      </c>
      <c r="C4902" s="82" t="s">
        <v>12196</v>
      </c>
      <c r="D4902" s="82" t="s">
        <v>12134</v>
      </c>
      <c r="E4902" s="82">
        <v>6285194619788</v>
      </c>
      <c r="F4902" s="94">
        <v>45903</v>
      </c>
      <c r="G4902" s="87">
        <v>534</v>
      </c>
      <c r="H4902" s="88">
        <v>21355.828220858897</v>
      </c>
      <c r="I4902" s="89">
        <v>57</v>
      </c>
      <c r="J4902" s="90">
        <v>13924</v>
      </c>
      <c r="K4902" s="85">
        <v>8</v>
      </c>
      <c r="L4902" s="85">
        <v>0</v>
      </c>
      <c r="M4902" s="85">
        <v>2</v>
      </c>
      <c r="N4902" s="82" t="s">
        <v>12135</v>
      </c>
      <c r="O4902" s="93">
        <v>45904.547106481485</v>
      </c>
    </row>
    <row r="4903" spans="1:15" ht="22.5" customHeight="1">
      <c r="A4903" s="85">
        <v>174904221976312</v>
      </c>
      <c r="B4903" s="82" t="s">
        <v>10651</v>
      </c>
      <c r="C4903" s="82" t="s">
        <v>12156</v>
      </c>
      <c r="D4903" s="82" t="s">
        <v>4718</v>
      </c>
      <c r="E4903" s="82">
        <v>62811955059</v>
      </c>
      <c r="F4903" s="94">
        <v>45903</v>
      </c>
      <c r="G4903" s="87">
        <v>470</v>
      </c>
      <c r="H4903" s="88">
        <v>27030.476190476191</v>
      </c>
      <c r="I4903" s="89">
        <v>22</v>
      </c>
      <c r="J4903" s="90">
        <v>14191</v>
      </c>
      <c r="K4903" s="85">
        <v>4</v>
      </c>
      <c r="L4903" s="85">
        <v>0</v>
      </c>
      <c r="M4903" s="85">
        <v>0</v>
      </c>
      <c r="N4903" s="82" t="s">
        <v>12215</v>
      </c>
      <c r="O4903" s="93">
        <v>45904.218784722223</v>
      </c>
    </row>
    <row r="4904" spans="1:15" ht="22.5" customHeight="1">
      <c r="A4904" s="85">
        <v>174904221976312</v>
      </c>
      <c r="B4904" s="82" t="s">
        <v>10651</v>
      </c>
      <c r="C4904" s="82" t="s">
        <v>12158</v>
      </c>
      <c r="D4904" s="82" t="s">
        <v>12159</v>
      </c>
      <c r="E4904" s="82">
        <v>6281545971465</v>
      </c>
      <c r="F4904" s="94">
        <v>45903</v>
      </c>
      <c r="G4904" s="87">
        <v>322</v>
      </c>
      <c r="H4904" s="88">
        <v>39238.227146814403</v>
      </c>
      <c r="I4904" s="89">
        <v>6</v>
      </c>
      <c r="J4904" s="90">
        <v>14165</v>
      </c>
      <c r="K4904" s="85">
        <v>0</v>
      </c>
      <c r="L4904" s="85">
        <v>0</v>
      </c>
      <c r="M4904" s="85">
        <v>0</v>
      </c>
      <c r="N4904" s="82" t="s">
        <v>12216</v>
      </c>
      <c r="O4904" s="93">
        <v>45904.218784722223</v>
      </c>
    </row>
    <row r="4905" spans="1:15" ht="22.5" customHeight="1">
      <c r="A4905" s="85">
        <v>174904221976312</v>
      </c>
      <c r="B4905" s="82" t="s">
        <v>10651</v>
      </c>
      <c r="C4905" s="82" t="s">
        <v>12161</v>
      </c>
      <c r="D4905" s="82" t="s">
        <v>12162</v>
      </c>
      <c r="E4905" s="82">
        <v>6285338058843</v>
      </c>
      <c r="F4905" s="94">
        <v>45903</v>
      </c>
      <c r="G4905" s="87">
        <v>535</v>
      </c>
      <c r="H4905" s="88">
        <v>21600.665557404325</v>
      </c>
      <c r="I4905" s="89">
        <v>7</v>
      </c>
      <c r="J4905" s="90">
        <v>12982</v>
      </c>
      <c r="K4905" s="85">
        <v>1</v>
      </c>
      <c r="L4905" s="85">
        <v>0</v>
      </c>
      <c r="M4905" s="85">
        <v>0</v>
      </c>
      <c r="N4905" s="82" t="s">
        <v>12197</v>
      </c>
      <c r="O4905" s="93">
        <v>45904.218773148146</v>
      </c>
    </row>
    <row r="4906" spans="1:15" ht="22.5" customHeight="1">
      <c r="A4906" s="85">
        <v>174904221976312</v>
      </c>
      <c r="B4906" s="82" t="s">
        <v>10651</v>
      </c>
      <c r="C4906" s="82" t="s">
        <v>12164</v>
      </c>
      <c r="D4906" s="82" t="s">
        <v>12165</v>
      </c>
      <c r="E4906" s="82">
        <v>6285787104091</v>
      </c>
      <c r="F4906" s="94">
        <v>45903</v>
      </c>
      <c r="G4906" s="87">
        <v>934</v>
      </c>
      <c r="H4906" s="88">
        <v>13255.399061032866</v>
      </c>
      <c r="I4906" s="89">
        <v>15</v>
      </c>
      <c r="J4906" s="90">
        <v>14117</v>
      </c>
      <c r="K4906" s="85">
        <v>0</v>
      </c>
      <c r="L4906" s="85">
        <v>0</v>
      </c>
      <c r="M4906" s="85">
        <v>0</v>
      </c>
      <c r="N4906" s="82" t="s">
        <v>12198</v>
      </c>
      <c r="O4906" s="93">
        <v>45904.218784722223</v>
      </c>
    </row>
    <row r="4907" spans="1:15" ht="22.5" customHeight="1">
      <c r="A4907" s="85">
        <v>174904221976312</v>
      </c>
      <c r="B4907" s="82" t="s">
        <v>10651</v>
      </c>
      <c r="C4907" s="82" t="s">
        <v>12167</v>
      </c>
      <c r="D4907" s="82" t="s">
        <v>6402</v>
      </c>
      <c r="E4907" s="82">
        <v>6285361118289</v>
      </c>
      <c r="F4907" s="94">
        <v>45903</v>
      </c>
      <c r="G4907" s="87">
        <v>656</v>
      </c>
      <c r="H4907" s="88">
        <v>19080.971659919029</v>
      </c>
      <c r="I4907" s="89">
        <v>14</v>
      </c>
      <c r="J4907" s="90">
        <v>14139</v>
      </c>
      <c r="K4907" s="85">
        <v>1</v>
      </c>
      <c r="L4907" s="85">
        <v>0</v>
      </c>
      <c r="M4907" s="85">
        <v>0</v>
      </c>
      <c r="N4907" s="82" t="s">
        <v>12168</v>
      </c>
      <c r="O4907" s="93">
        <v>45904.2187962963</v>
      </c>
    </row>
    <row r="4908" spans="1:15" ht="22.5" customHeight="1">
      <c r="A4908" s="85">
        <v>174904221976312</v>
      </c>
      <c r="B4908" s="82" t="s">
        <v>10651</v>
      </c>
      <c r="C4908" s="82" t="s">
        <v>12169</v>
      </c>
      <c r="D4908" s="82" t="s">
        <v>4755</v>
      </c>
      <c r="E4908" s="82">
        <v>6281381118500</v>
      </c>
      <c r="F4908" s="94">
        <v>45903</v>
      </c>
      <c r="G4908" s="87">
        <v>231</v>
      </c>
      <c r="H4908" s="88">
        <v>50868.42105263158</v>
      </c>
      <c r="I4908" s="89">
        <v>3</v>
      </c>
      <c r="J4908" s="90">
        <v>13531</v>
      </c>
      <c r="K4908" s="85">
        <v>1</v>
      </c>
      <c r="L4908" s="85">
        <v>0</v>
      </c>
      <c r="M4908" s="85">
        <v>0</v>
      </c>
      <c r="N4908" s="82" t="s">
        <v>12217</v>
      </c>
      <c r="O4908" s="93">
        <v>45904.218784722223</v>
      </c>
    </row>
    <row r="4909" spans="1:15" ht="22.5" customHeight="1">
      <c r="A4909" s="85">
        <v>174904221976312</v>
      </c>
      <c r="B4909" s="82" t="s">
        <v>10651</v>
      </c>
      <c r="C4909" s="82" t="s">
        <v>12171</v>
      </c>
      <c r="D4909" s="82" t="s">
        <v>4386</v>
      </c>
      <c r="E4909" s="82">
        <v>62818533354</v>
      </c>
      <c r="F4909" s="94">
        <v>45903</v>
      </c>
      <c r="G4909" s="87">
        <v>251</v>
      </c>
      <c r="H4909" s="88">
        <v>48679.310344827587</v>
      </c>
      <c r="I4909" s="89">
        <v>13</v>
      </c>
      <c r="J4909" s="90">
        <v>14117</v>
      </c>
      <c r="K4909" s="85">
        <v>2</v>
      </c>
      <c r="L4909" s="85">
        <v>0</v>
      </c>
      <c r="M4909" s="85">
        <v>0</v>
      </c>
      <c r="N4909" s="82" t="s">
        <v>12218</v>
      </c>
      <c r="O4909" s="93">
        <v>45904.485324074078</v>
      </c>
    </row>
    <row r="4910" spans="1:15" ht="22.5" customHeight="1">
      <c r="A4910" s="85">
        <v>174904221976312</v>
      </c>
      <c r="B4910" s="82" t="s">
        <v>10651</v>
      </c>
      <c r="C4910" s="82" t="s">
        <v>12173</v>
      </c>
      <c r="D4910" s="82" t="s">
        <v>3489</v>
      </c>
      <c r="E4910" s="82">
        <v>6285214612372</v>
      </c>
      <c r="F4910" s="94">
        <v>45903</v>
      </c>
      <c r="G4910" s="87">
        <v>1700</v>
      </c>
      <c r="H4910" s="88">
        <v>6205.7684029272486</v>
      </c>
      <c r="I4910" s="89">
        <v>13</v>
      </c>
      <c r="J4910" s="90">
        <v>14416</v>
      </c>
      <c r="K4910" s="85">
        <v>0</v>
      </c>
      <c r="L4910" s="85">
        <v>0</v>
      </c>
      <c r="M4910" s="85">
        <v>0</v>
      </c>
      <c r="N4910" s="82" t="s">
        <v>12199</v>
      </c>
      <c r="O4910" s="93">
        <v>45904.218784722223</v>
      </c>
    </row>
    <row r="4911" spans="1:15" ht="22.5" customHeight="1">
      <c r="A4911" s="85">
        <v>174904221976312</v>
      </c>
      <c r="B4911" s="82" t="s">
        <v>10651</v>
      </c>
      <c r="C4911" s="82" t="s">
        <v>12125</v>
      </c>
      <c r="D4911" s="82" t="s">
        <v>4008</v>
      </c>
      <c r="E4911" s="82">
        <v>6281558225822</v>
      </c>
      <c r="F4911" s="94">
        <v>45903</v>
      </c>
      <c r="G4911" s="87">
        <v>169</v>
      </c>
      <c r="H4911" s="88">
        <v>72231.638418079106</v>
      </c>
      <c r="I4911" s="89">
        <v>4</v>
      </c>
      <c r="J4911" s="90">
        <v>12785</v>
      </c>
      <c r="K4911" s="85">
        <v>1</v>
      </c>
      <c r="L4911" s="85">
        <v>0</v>
      </c>
      <c r="M4911" s="85">
        <v>0</v>
      </c>
      <c r="N4911" s="82" t="s">
        <v>12219</v>
      </c>
      <c r="O4911" s="93">
        <v>45904.526550925926</v>
      </c>
    </row>
    <row r="4912" spans="1:15" ht="22.5" customHeight="1">
      <c r="A4912" s="85">
        <v>174904221976312</v>
      </c>
      <c r="B4912" s="82" t="s">
        <v>10651</v>
      </c>
      <c r="C4912" s="82" t="s">
        <v>12127</v>
      </c>
      <c r="D4912" s="82" t="s">
        <v>12128</v>
      </c>
      <c r="E4912" s="82">
        <v>6281226825253</v>
      </c>
      <c r="F4912" s="94">
        <v>45903</v>
      </c>
      <c r="G4912" s="87">
        <v>14615</v>
      </c>
      <c r="H4912" s="88">
        <v>972.88046340179051</v>
      </c>
      <c r="I4912" s="89">
        <v>114</v>
      </c>
      <c r="J4912" s="90">
        <v>14780</v>
      </c>
      <c r="K4912" s="85">
        <v>0</v>
      </c>
      <c r="L4912" s="85">
        <v>1960</v>
      </c>
      <c r="M4912" s="85">
        <v>0</v>
      </c>
      <c r="N4912" s="82" t="s">
        <v>12129</v>
      </c>
      <c r="O4912" s="93">
        <v>45904.588576388887</v>
      </c>
    </row>
    <row r="4913" spans="1:15" ht="22.5" customHeight="1">
      <c r="A4913" s="85">
        <v>174904221976312</v>
      </c>
      <c r="B4913" s="82" t="s">
        <v>10651</v>
      </c>
      <c r="C4913" s="82" t="s">
        <v>12130</v>
      </c>
      <c r="D4913" s="82" t="s">
        <v>12131</v>
      </c>
      <c r="E4913" s="82">
        <v>6281239004410</v>
      </c>
      <c r="F4913" s="94">
        <v>45903</v>
      </c>
      <c r="G4913" s="87">
        <v>225</v>
      </c>
      <c r="H4913" s="88">
        <v>60792</v>
      </c>
      <c r="I4913" s="89">
        <v>5</v>
      </c>
      <c r="J4913" s="90">
        <v>15198</v>
      </c>
      <c r="K4913" s="85">
        <v>1</v>
      </c>
      <c r="L4913" s="85">
        <v>0</v>
      </c>
      <c r="M4913" s="85">
        <v>0</v>
      </c>
      <c r="N4913" s="82" t="s">
        <v>12220</v>
      </c>
      <c r="O4913" s="93">
        <v>45904.422418981485</v>
      </c>
    </row>
    <row r="4914" spans="1:15" ht="22.5" customHeight="1">
      <c r="A4914" s="85">
        <v>174904221976312</v>
      </c>
      <c r="B4914" s="82" t="s">
        <v>10651</v>
      </c>
      <c r="C4914" s="82" t="s">
        <v>12122</v>
      </c>
      <c r="D4914" s="82" t="s">
        <v>12123</v>
      </c>
      <c r="E4914" s="82">
        <v>6285720705874</v>
      </c>
      <c r="F4914" s="94">
        <v>45903</v>
      </c>
      <c r="G4914" s="87">
        <v>872</v>
      </c>
      <c r="H4914" s="88">
        <v>14032.868525896414</v>
      </c>
      <c r="I4914" s="89">
        <v>36</v>
      </c>
      <c r="J4914" s="90">
        <v>14089</v>
      </c>
      <c r="K4914" s="85">
        <v>6</v>
      </c>
      <c r="L4914" s="85">
        <v>383</v>
      </c>
      <c r="M4914" s="85">
        <v>0</v>
      </c>
      <c r="N4914" s="82" t="s">
        <v>12124</v>
      </c>
      <c r="O4914" s="93">
        <v>45904.485324074078</v>
      </c>
    </row>
    <row r="4915" spans="1:15" ht="22.5" customHeight="1">
      <c r="A4915" s="85">
        <v>174904221976312</v>
      </c>
      <c r="B4915" s="82" t="s">
        <v>10651</v>
      </c>
      <c r="C4915" s="82" t="s">
        <v>12100</v>
      </c>
      <c r="D4915" s="82" t="s">
        <v>6091</v>
      </c>
      <c r="E4915" s="82">
        <v>6281938384000</v>
      </c>
      <c r="F4915" s="94">
        <v>45903</v>
      </c>
      <c r="G4915" s="87">
        <v>446</v>
      </c>
      <c r="H4915" s="88">
        <v>26044.444444444445</v>
      </c>
      <c r="I4915" s="89">
        <v>18</v>
      </c>
      <c r="J4915" s="90">
        <v>14064</v>
      </c>
      <c r="K4915" s="85">
        <v>3</v>
      </c>
      <c r="L4915" s="85">
        <v>0</v>
      </c>
      <c r="M4915" s="85">
        <v>0</v>
      </c>
      <c r="N4915" s="82" t="s">
        <v>12221</v>
      </c>
      <c r="O4915" s="93">
        <v>45904.485312500001</v>
      </c>
    </row>
    <row r="4916" spans="1:15" ht="22.5" customHeight="1">
      <c r="A4916" s="85">
        <v>174904221976312</v>
      </c>
      <c r="B4916" s="82" t="s">
        <v>10651</v>
      </c>
      <c r="C4916" s="82" t="s">
        <v>12102</v>
      </c>
      <c r="D4916" s="82" t="s">
        <v>12103</v>
      </c>
      <c r="E4916" s="82">
        <v>628122577723</v>
      </c>
      <c r="F4916" s="94">
        <v>45903</v>
      </c>
      <c r="G4916" s="87">
        <v>387</v>
      </c>
      <c r="H4916" s="88">
        <v>27336.673346693387</v>
      </c>
      <c r="I4916" s="89">
        <v>11</v>
      </c>
      <c r="J4916" s="90">
        <v>13641</v>
      </c>
      <c r="K4916" s="85">
        <v>2</v>
      </c>
      <c r="L4916" s="85">
        <v>0</v>
      </c>
      <c r="M4916" s="85">
        <v>0</v>
      </c>
      <c r="N4916" s="82" t="s">
        <v>12244</v>
      </c>
      <c r="O4916" s="93">
        <v>45904.638206018521</v>
      </c>
    </row>
    <row r="4917" spans="1:15" ht="22.5" customHeight="1">
      <c r="A4917" s="85">
        <v>174904221976312</v>
      </c>
      <c r="B4917" s="82" t="s">
        <v>10651</v>
      </c>
      <c r="C4917" s="82" t="s">
        <v>12109</v>
      </c>
      <c r="D4917" s="82" t="s">
        <v>12110</v>
      </c>
      <c r="E4917" s="82">
        <v>6287777304498</v>
      </c>
      <c r="F4917" s="94">
        <v>45903</v>
      </c>
      <c r="G4917" s="87">
        <v>246</v>
      </c>
      <c r="H4917" s="88">
        <v>45357.692307692312</v>
      </c>
      <c r="I4917" s="89">
        <v>5</v>
      </c>
      <c r="J4917" s="90">
        <v>11793</v>
      </c>
      <c r="K4917" s="85">
        <v>1</v>
      </c>
      <c r="L4917" s="85">
        <v>0</v>
      </c>
      <c r="M4917" s="85">
        <v>0</v>
      </c>
      <c r="N4917" s="82" t="s">
        <v>12245</v>
      </c>
      <c r="O4917" s="93">
        <v>45904.630752314813</v>
      </c>
    </row>
    <row r="4918" spans="1:15" ht="22.5" customHeight="1">
      <c r="A4918" s="85">
        <v>174904221976312</v>
      </c>
      <c r="B4918" s="82" t="s">
        <v>10651</v>
      </c>
      <c r="C4918" s="82" t="s">
        <v>12058</v>
      </c>
      <c r="D4918" s="82" t="s">
        <v>4516</v>
      </c>
      <c r="E4918" s="82">
        <v>6281315163838</v>
      </c>
      <c r="F4918" s="94">
        <v>45903</v>
      </c>
      <c r="G4918" s="87">
        <v>470</v>
      </c>
      <c r="H4918" s="88">
        <v>32662.213740458013</v>
      </c>
      <c r="I4918" s="89">
        <v>17</v>
      </c>
      <c r="J4918" s="90">
        <v>17115</v>
      </c>
      <c r="K4918" s="85">
        <v>0</v>
      </c>
      <c r="L4918" s="85">
        <v>0</v>
      </c>
      <c r="M4918" s="85">
        <v>0</v>
      </c>
      <c r="N4918" s="82" t="s">
        <v>12222</v>
      </c>
      <c r="O4918" s="93">
        <v>45904.485312500001</v>
      </c>
    </row>
    <row r="4919" spans="1:15" ht="22.5" customHeight="1">
      <c r="A4919" s="85">
        <v>174904221976312</v>
      </c>
      <c r="B4919" s="82" t="s">
        <v>10651</v>
      </c>
      <c r="C4919" s="82" t="s">
        <v>12039</v>
      </c>
      <c r="D4919" s="82" t="s">
        <v>12040</v>
      </c>
      <c r="E4919" s="82">
        <v>6281330410391</v>
      </c>
      <c r="F4919" s="94">
        <v>45903</v>
      </c>
      <c r="G4919" s="87">
        <v>726</v>
      </c>
      <c r="H4919" s="88">
        <v>16097.560975609756</v>
      </c>
      <c r="I4919" s="89">
        <v>45</v>
      </c>
      <c r="J4919" s="90">
        <v>13860</v>
      </c>
      <c r="K4919" s="85">
        <v>6</v>
      </c>
      <c r="L4919" s="85">
        <v>228</v>
      </c>
      <c r="M4919" s="85">
        <v>0</v>
      </c>
      <c r="N4919" s="82" t="s">
        <v>12041</v>
      </c>
      <c r="O4919" s="93">
        <v>45904.630752314813</v>
      </c>
    </row>
    <row r="4920" spans="1:15" ht="22.5" customHeight="1">
      <c r="A4920" s="85">
        <v>174904221976312</v>
      </c>
      <c r="B4920" s="82" t="s">
        <v>10651</v>
      </c>
      <c r="C4920" s="82" t="s">
        <v>12016</v>
      </c>
      <c r="D4920" s="82" t="s">
        <v>12017</v>
      </c>
      <c r="E4920" s="82">
        <v>6281210801646</v>
      </c>
      <c r="F4920" s="94">
        <v>45903</v>
      </c>
      <c r="G4920" s="87">
        <v>275</v>
      </c>
      <c r="H4920" s="88">
        <v>41450.450450450451</v>
      </c>
      <c r="I4920" s="89">
        <v>8</v>
      </c>
      <c r="J4920" s="90">
        <v>13803</v>
      </c>
      <c r="K4920" s="85">
        <v>2</v>
      </c>
      <c r="L4920" s="85">
        <v>0</v>
      </c>
      <c r="M4920" s="85">
        <v>0</v>
      </c>
      <c r="N4920" s="82" t="s">
        <v>12223</v>
      </c>
      <c r="O4920" s="93">
        <v>45904.380937499998</v>
      </c>
    </row>
    <row r="4921" spans="1:15" ht="22.5" customHeight="1">
      <c r="A4921" s="85">
        <v>174904221976312</v>
      </c>
      <c r="B4921" s="82" t="s">
        <v>10651</v>
      </c>
      <c r="C4921" s="82" t="s">
        <v>12019</v>
      </c>
      <c r="D4921" s="82" t="s">
        <v>12020</v>
      </c>
      <c r="E4921" s="82">
        <v>6287862271550</v>
      </c>
      <c r="F4921" s="94">
        <v>45903</v>
      </c>
      <c r="G4921" s="87">
        <v>460</v>
      </c>
      <c r="H4921" s="88">
        <v>25646.586345381525</v>
      </c>
      <c r="I4921" s="89">
        <v>9</v>
      </c>
      <c r="J4921" s="90">
        <v>12772</v>
      </c>
      <c r="K4921" s="85">
        <v>1</v>
      </c>
      <c r="L4921" s="85">
        <v>139</v>
      </c>
      <c r="M4921" s="85">
        <v>0</v>
      </c>
      <c r="N4921" s="82" t="s">
        <v>12246</v>
      </c>
      <c r="O4921" s="93">
        <v>45904.463958333334</v>
      </c>
    </row>
    <row r="4922" spans="1:15" ht="22.5" customHeight="1">
      <c r="A4922" s="85">
        <v>174904221976312</v>
      </c>
      <c r="B4922" s="82" t="s">
        <v>10651</v>
      </c>
      <c r="C4922" s="82" t="s">
        <v>12007</v>
      </c>
      <c r="D4922" s="82" t="s">
        <v>9010</v>
      </c>
      <c r="E4922" s="82">
        <v>6282160743576</v>
      </c>
      <c r="F4922" s="94">
        <v>45903</v>
      </c>
      <c r="G4922" s="87">
        <v>1006</v>
      </c>
      <c r="H4922" s="88">
        <v>11437.340153452686</v>
      </c>
      <c r="I4922" s="89">
        <v>62</v>
      </c>
      <c r="J4922" s="90">
        <v>13416</v>
      </c>
      <c r="K4922" s="85">
        <v>7</v>
      </c>
      <c r="L4922" s="85">
        <v>531</v>
      </c>
      <c r="M4922" s="85">
        <v>2</v>
      </c>
      <c r="N4922" s="82" t="s">
        <v>12008</v>
      </c>
      <c r="O4922" s="93">
        <v>45904.609618055554</v>
      </c>
    </row>
    <row r="4923" spans="1:15" ht="22.5" customHeight="1">
      <c r="A4923" s="85">
        <v>174904221976312</v>
      </c>
      <c r="B4923" s="82" t="s">
        <v>10651</v>
      </c>
      <c r="C4923" s="82" t="s">
        <v>11838</v>
      </c>
      <c r="D4923" s="82" t="s">
        <v>11839</v>
      </c>
      <c r="E4923" s="82">
        <v>6287797504113</v>
      </c>
      <c r="F4923" s="94">
        <v>45903</v>
      </c>
      <c r="G4923" s="87">
        <v>296</v>
      </c>
      <c r="H4923" s="88">
        <v>42082.822085889566</v>
      </c>
      <c r="I4923" s="89">
        <v>15</v>
      </c>
      <c r="J4923" s="90">
        <v>13719</v>
      </c>
      <c r="K4923" s="85">
        <v>2</v>
      </c>
      <c r="L4923" s="85">
        <v>0</v>
      </c>
      <c r="M4923" s="85">
        <v>1</v>
      </c>
      <c r="N4923" s="82" t="s">
        <v>12247</v>
      </c>
      <c r="O4923" s="93">
        <v>45904.659166666665</v>
      </c>
    </row>
    <row r="4924" spans="1:15" ht="22.5" customHeight="1">
      <c r="A4924" s="85">
        <v>174904221976312</v>
      </c>
      <c r="B4924" s="82" t="s">
        <v>10651</v>
      </c>
      <c r="C4924" s="82" t="s">
        <v>11792</v>
      </c>
      <c r="D4924" s="82" t="s">
        <v>11793</v>
      </c>
      <c r="E4924" s="82">
        <v>6281915041833</v>
      </c>
      <c r="F4924" s="94">
        <v>45903</v>
      </c>
      <c r="G4924" s="87">
        <v>1019</v>
      </c>
      <c r="H4924" s="88">
        <v>12740.163934426229</v>
      </c>
      <c r="I4924" s="89">
        <v>23</v>
      </c>
      <c r="J4924" s="90">
        <v>15543</v>
      </c>
      <c r="K4924" s="85">
        <v>0</v>
      </c>
      <c r="L4924" s="85">
        <v>109</v>
      </c>
      <c r="M4924" s="85">
        <v>1</v>
      </c>
      <c r="N4924" s="82" t="s">
        <v>12200</v>
      </c>
      <c r="O4924" s="93">
        <v>45904.218784722223</v>
      </c>
    </row>
    <row r="4925" spans="1:15" ht="22.5" customHeight="1">
      <c r="A4925" s="85">
        <v>174904221976312</v>
      </c>
      <c r="B4925" s="82" t="s">
        <v>10651</v>
      </c>
      <c r="C4925" s="82" t="s">
        <v>11799</v>
      </c>
      <c r="D4925" s="82" t="s">
        <v>11800</v>
      </c>
      <c r="E4925" s="82">
        <v>6285333751528</v>
      </c>
      <c r="F4925" s="94">
        <v>45903</v>
      </c>
      <c r="G4925" s="87">
        <v>560</v>
      </c>
      <c r="H4925" s="88">
        <v>20512.857142857145</v>
      </c>
      <c r="I4925" s="89">
        <v>13</v>
      </c>
      <c r="J4925" s="90">
        <v>14359</v>
      </c>
      <c r="K4925" s="85">
        <v>2</v>
      </c>
      <c r="L4925" s="85">
        <v>0</v>
      </c>
      <c r="M4925" s="85">
        <v>0</v>
      </c>
      <c r="N4925" s="82" t="s">
        <v>12201</v>
      </c>
      <c r="O4925" s="93">
        <v>45904.422719907408</v>
      </c>
    </row>
    <row r="4926" spans="1:15" ht="22.5" customHeight="1">
      <c r="A4926" s="85">
        <v>174904221976312</v>
      </c>
      <c r="B4926" s="82" t="s">
        <v>10651</v>
      </c>
      <c r="C4926" s="82" t="s">
        <v>11766</v>
      </c>
      <c r="D4926" s="82" t="s">
        <v>11767</v>
      </c>
      <c r="E4926" s="82">
        <v>6281225101319</v>
      </c>
      <c r="F4926" s="94">
        <v>45903</v>
      </c>
      <c r="G4926" s="87">
        <v>281</v>
      </c>
      <c r="H4926" s="88">
        <v>67245.398773006134</v>
      </c>
      <c r="I4926" s="89">
        <v>10</v>
      </c>
      <c r="J4926" s="90">
        <v>21922</v>
      </c>
      <c r="K4926" s="85">
        <v>1</v>
      </c>
      <c r="L4926" s="85">
        <v>0</v>
      </c>
      <c r="M4926" s="85">
        <v>0</v>
      </c>
      <c r="N4926" s="82" t="s">
        <v>12150</v>
      </c>
      <c r="O4926" s="93">
        <v>45904.401967592596</v>
      </c>
    </row>
    <row r="4927" spans="1:15" ht="22.5" customHeight="1">
      <c r="A4927" s="85">
        <v>174904221976312</v>
      </c>
      <c r="B4927" s="82" t="s">
        <v>10651</v>
      </c>
      <c r="C4927" s="82" t="s">
        <v>11780</v>
      </c>
      <c r="D4927" s="82" t="s">
        <v>11781</v>
      </c>
      <c r="E4927" s="82">
        <v>6282129364133</v>
      </c>
      <c r="F4927" s="94">
        <v>45903</v>
      </c>
      <c r="G4927" s="87">
        <v>281</v>
      </c>
      <c r="H4927" s="88">
        <v>37044.198895027628</v>
      </c>
      <c r="I4927" s="89">
        <v>4</v>
      </c>
      <c r="J4927" s="90">
        <v>13410</v>
      </c>
      <c r="K4927" s="85">
        <v>0</v>
      </c>
      <c r="L4927" s="85">
        <v>0</v>
      </c>
      <c r="M4927" s="85">
        <v>0</v>
      </c>
      <c r="N4927" s="82" t="s">
        <v>12224</v>
      </c>
      <c r="O4927" s="93">
        <v>45904.485486111109</v>
      </c>
    </row>
    <row r="4928" spans="1:15" ht="22.5" customHeight="1">
      <c r="A4928" s="85">
        <v>174904221976312</v>
      </c>
      <c r="B4928" s="82" t="s">
        <v>10651</v>
      </c>
      <c r="C4928" s="82" t="s">
        <v>11758</v>
      </c>
      <c r="D4928" s="82" t="s">
        <v>11759</v>
      </c>
      <c r="E4928" s="82">
        <v>6285946504405</v>
      </c>
      <c r="F4928" s="94">
        <v>45903</v>
      </c>
      <c r="G4928" s="87">
        <v>483</v>
      </c>
      <c r="H4928" s="88">
        <v>25838.834951456309</v>
      </c>
      <c r="I4928" s="89">
        <v>17</v>
      </c>
      <c r="J4928" s="90">
        <v>13307</v>
      </c>
      <c r="K4928" s="85">
        <v>1</v>
      </c>
      <c r="L4928" s="85">
        <v>140</v>
      </c>
      <c r="M4928" s="85">
        <v>0</v>
      </c>
      <c r="N4928" s="82" t="s">
        <v>12248</v>
      </c>
      <c r="O4928" s="93">
        <v>45904.672638888886</v>
      </c>
    </row>
    <row r="4929" spans="1:15" ht="22.5" customHeight="1">
      <c r="A4929" s="85">
        <v>174904221976312</v>
      </c>
      <c r="B4929" s="82" t="s">
        <v>10651</v>
      </c>
      <c r="C4929" s="82" t="s">
        <v>11641</v>
      </c>
      <c r="D4929" s="82" t="s">
        <v>3229</v>
      </c>
      <c r="E4929" s="82">
        <v>6287865111033</v>
      </c>
      <c r="F4929" s="94">
        <v>45903</v>
      </c>
      <c r="G4929" s="87">
        <v>1652</v>
      </c>
      <c r="H4929" s="88">
        <v>7006.2240663900411</v>
      </c>
      <c r="I4929" s="89">
        <v>36</v>
      </c>
      <c r="J4929" s="90">
        <v>13508</v>
      </c>
      <c r="K4929" s="85">
        <v>2</v>
      </c>
      <c r="L4929" s="85">
        <v>0</v>
      </c>
      <c r="M4929" s="85">
        <v>1</v>
      </c>
      <c r="N4929" s="82" t="s">
        <v>12225</v>
      </c>
      <c r="O4929" s="93">
        <v>45904.443402777775</v>
      </c>
    </row>
    <row r="4930" spans="1:15" ht="22.5" customHeight="1">
      <c r="A4930" s="85">
        <v>174904221976312</v>
      </c>
      <c r="B4930" s="82" t="s">
        <v>10651</v>
      </c>
      <c r="C4930" s="82" t="s">
        <v>11578</v>
      </c>
      <c r="D4930" s="82" t="s">
        <v>1624</v>
      </c>
      <c r="E4930" s="82">
        <v>6281938384000</v>
      </c>
      <c r="F4930" s="94">
        <v>45903</v>
      </c>
      <c r="G4930" s="87">
        <v>1382</v>
      </c>
      <c r="H4930" s="88">
        <v>7222.0125786163526</v>
      </c>
      <c r="I4930" s="89">
        <v>21</v>
      </c>
      <c r="J4930" s="90">
        <v>11483</v>
      </c>
      <c r="K4930" s="85">
        <v>1</v>
      </c>
      <c r="L4930" s="85">
        <v>0</v>
      </c>
      <c r="M4930" s="85">
        <v>0</v>
      </c>
      <c r="N4930" s="82" t="s">
        <v>12154</v>
      </c>
      <c r="O4930" s="93">
        <v>45904.547118055554</v>
      </c>
    </row>
    <row r="4931" spans="1:15" ht="22.5" customHeight="1">
      <c r="A4931" s="85">
        <v>174904221976312</v>
      </c>
      <c r="B4931" s="82" t="s">
        <v>10651</v>
      </c>
      <c r="C4931" s="82" t="s">
        <v>11580</v>
      </c>
      <c r="D4931" s="82" t="s">
        <v>11581</v>
      </c>
      <c r="E4931" s="82">
        <v>6287790276733</v>
      </c>
      <c r="F4931" s="94">
        <v>45903</v>
      </c>
      <c r="G4931" s="87">
        <v>486</v>
      </c>
      <c r="H4931" s="88">
        <v>21878.980891719744</v>
      </c>
      <c r="I4931" s="89">
        <v>9</v>
      </c>
      <c r="J4931" s="90">
        <v>13740</v>
      </c>
      <c r="K4931" s="85">
        <v>1</v>
      </c>
      <c r="L4931" s="85">
        <v>0</v>
      </c>
      <c r="M4931" s="85">
        <v>0</v>
      </c>
      <c r="N4931" s="82" t="s">
        <v>12226</v>
      </c>
      <c r="O4931" s="93">
        <v>45904.422708333332</v>
      </c>
    </row>
    <row r="4932" spans="1:15" ht="22.5" customHeight="1">
      <c r="A4932" s="85">
        <v>759724529202804</v>
      </c>
      <c r="B4932" s="82" t="s">
        <v>10621</v>
      </c>
      <c r="C4932" s="82" t="s">
        <v>12227</v>
      </c>
      <c r="D4932" s="82" t="s">
        <v>4938</v>
      </c>
      <c r="E4932" s="82">
        <v>6287835601400</v>
      </c>
      <c r="F4932" s="94">
        <v>45904</v>
      </c>
      <c r="G4932" s="87">
        <v>750</v>
      </c>
      <c r="H4932" s="88">
        <v>16945.686900958466</v>
      </c>
      <c r="I4932" s="89">
        <v>24</v>
      </c>
      <c r="J4932" s="90">
        <v>15912</v>
      </c>
      <c r="K4932" s="85">
        <v>2</v>
      </c>
      <c r="L4932" s="85">
        <v>231</v>
      </c>
      <c r="M4932" s="85">
        <v>0</v>
      </c>
      <c r="N4932" s="82" t="s">
        <v>12228</v>
      </c>
      <c r="O4932" s="93">
        <v>45905.588958333334</v>
      </c>
    </row>
    <row r="4933" spans="1:15" ht="22.5" customHeight="1">
      <c r="A4933" s="85">
        <v>759724529202804</v>
      </c>
      <c r="B4933" s="82" t="s">
        <v>10621</v>
      </c>
      <c r="C4933" s="82" t="s">
        <v>11055</v>
      </c>
      <c r="D4933" s="82" t="s">
        <v>1021</v>
      </c>
      <c r="E4933" s="82"/>
      <c r="F4933" s="94">
        <v>45904</v>
      </c>
      <c r="G4933" s="87">
        <v>233</v>
      </c>
      <c r="H4933" s="88">
        <v>55076.61290322581</v>
      </c>
      <c r="I4933" s="89">
        <v>11</v>
      </c>
      <c r="J4933" s="90">
        <v>13659</v>
      </c>
      <c r="K4933" s="85">
        <v>2</v>
      </c>
      <c r="L4933" s="85">
        <v>65</v>
      </c>
      <c r="M4933" s="85">
        <v>0</v>
      </c>
      <c r="N4933" s="82" t="s">
        <v>11056</v>
      </c>
      <c r="O4933" s="93">
        <v>45904.305046296293</v>
      </c>
    </row>
    <row r="4934" spans="1:15" ht="22.5" customHeight="1">
      <c r="A4934" s="85">
        <v>174904221976312</v>
      </c>
      <c r="B4934" s="82" t="s">
        <v>10651</v>
      </c>
      <c r="C4934" s="82" t="s">
        <v>12249</v>
      </c>
      <c r="D4934" s="82" t="s">
        <v>12250</v>
      </c>
      <c r="E4934" s="82">
        <v>6285242515222</v>
      </c>
      <c r="F4934" s="94">
        <v>45904</v>
      </c>
      <c r="G4934" s="87">
        <v>493</v>
      </c>
      <c r="H4934" s="88">
        <v>14771.95685670262</v>
      </c>
      <c r="I4934" s="89">
        <v>15</v>
      </c>
      <c r="J4934" s="90">
        <v>9587</v>
      </c>
      <c r="K4934" s="85">
        <v>0</v>
      </c>
      <c r="L4934" s="85">
        <v>97</v>
      </c>
      <c r="M4934" s="85">
        <v>1</v>
      </c>
      <c r="N4934" s="82" t="s">
        <v>12251</v>
      </c>
      <c r="O4934" s="93">
        <v>45905.610092592593</v>
      </c>
    </row>
    <row r="4935" spans="1:15" ht="22.5" customHeight="1">
      <c r="A4935" s="85">
        <v>174904221976312</v>
      </c>
      <c r="B4935" s="82" t="s">
        <v>10651</v>
      </c>
      <c r="C4935" s="82" t="s">
        <v>12234</v>
      </c>
      <c r="D4935" s="82" t="s">
        <v>12235</v>
      </c>
      <c r="E4935" s="82">
        <v>6285780314346</v>
      </c>
      <c r="F4935" s="94">
        <v>45904</v>
      </c>
      <c r="G4935" s="87">
        <v>679</v>
      </c>
      <c r="H4935" s="88">
        <v>14046.718576195772</v>
      </c>
      <c r="I4935" s="89">
        <v>78</v>
      </c>
      <c r="J4935" s="90">
        <v>12628</v>
      </c>
      <c r="K4935" s="85">
        <v>11</v>
      </c>
      <c r="L4935" s="85">
        <v>27</v>
      </c>
      <c r="M4935" s="85">
        <v>1</v>
      </c>
      <c r="N4935" s="82" t="s">
        <v>12236</v>
      </c>
      <c r="O4935" s="93">
        <v>45905.672303240739</v>
      </c>
    </row>
    <row r="4936" spans="1:15" ht="22.5" customHeight="1">
      <c r="A4936" s="85">
        <v>174904221976312</v>
      </c>
      <c r="B4936" s="82" t="s">
        <v>10651</v>
      </c>
      <c r="C4936" s="82" t="s">
        <v>12237</v>
      </c>
      <c r="D4936" s="82" t="s">
        <v>12238</v>
      </c>
      <c r="E4936" s="82">
        <v>6287888330007</v>
      </c>
      <c r="F4936" s="94">
        <v>45904</v>
      </c>
      <c r="G4936" s="87">
        <v>584</v>
      </c>
      <c r="H4936" s="88">
        <v>16175.872093023256</v>
      </c>
      <c r="I4936" s="89">
        <v>29</v>
      </c>
      <c r="J4936" s="90">
        <v>11129</v>
      </c>
      <c r="K4936" s="85">
        <v>1</v>
      </c>
      <c r="L4936" s="85">
        <v>170</v>
      </c>
      <c r="M4936" s="85">
        <v>1</v>
      </c>
      <c r="N4936" s="82" t="s">
        <v>12239</v>
      </c>
      <c r="O4936" s="93">
        <v>45905.58935185185</v>
      </c>
    </row>
    <row r="4937" spans="1:15" ht="22.5" customHeight="1">
      <c r="A4937" s="85">
        <v>174904221976312</v>
      </c>
      <c r="B4937" s="82" t="s">
        <v>10651</v>
      </c>
      <c r="C4937" s="82" t="s">
        <v>12240</v>
      </c>
      <c r="D4937" s="82" t="s">
        <v>12241</v>
      </c>
      <c r="E4937" s="82">
        <v>6285600822636</v>
      </c>
      <c r="F4937" s="94">
        <v>45904</v>
      </c>
      <c r="G4937" s="87">
        <v>1049</v>
      </c>
      <c r="H4937" s="88">
        <v>11773.07366638442</v>
      </c>
      <c r="I4937" s="89">
        <v>19</v>
      </c>
      <c r="J4937" s="90">
        <v>13904</v>
      </c>
      <c r="K4937" s="85">
        <v>2</v>
      </c>
      <c r="L4937" s="85">
        <v>222</v>
      </c>
      <c r="M4937" s="85">
        <v>0</v>
      </c>
      <c r="N4937" s="82" t="s">
        <v>12242</v>
      </c>
      <c r="O4937" s="93">
        <v>45905.610347222224</v>
      </c>
    </row>
    <row r="4938" spans="1:15" ht="22.5" customHeight="1">
      <c r="A4938" s="85">
        <v>174904221976312</v>
      </c>
      <c r="B4938" s="82" t="s">
        <v>10651</v>
      </c>
      <c r="C4938" s="82" t="s">
        <v>12229</v>
      </c>
      <c r="D4938" s="82" t="s">
        <v>4794</v>
      </c>
      <c r="E4938" s="82">
        <v>6285655300070</v>
      </c>
      <c r="F4938" s="94">
        <v>45904</v>
      </c>
      <c r="G4938" s="87">
        <v>13965</v>
      </c>
      <c r="H4938" s="88">
        <v>1002.5100061054202</v>
      </c>
      <c r="I4938" s="89">
        <v>24</v>
      </c>
      <c r="J4938" s="90">
        <v>14778</v>
      </c>
      <c r="K4938" s="85">
        <v>0</v>
      </c>
      <c r="L4938" s="85">
        <v>27</v>
      </c>
      <c r="M4938" s="85">
        <v>0</v>
      </c>
      <c r="N4938" s="82" t="s">
        <v>12230</v>
      </c>
      <c r="O4938" s="93">
        <v>45905.713622685187</v>
      </c>
    </row>
    <row r="4939" spans="1:15" ht="22.5" customHeight="1">
      <c r="A4939" s="85">
        <v>174904221976312</v>
      </c>
      <c r="B4939" s="82" t="s">
        <v>10651</v>
      </c>
      <c r="C4939" s="82" t="s">
        <v>12202</v>
      </c>
      <c r="D4939" s="82" t="s">
        <v>2370</v>
      </c>
      <c r="E4939" s="82">
        <v>6281317409433</v>
      </c>
      <c r="F4939" s="94">
        <v>45904</v>
      </c>
      <c r="G4939" s="87">
        <v>446</v>
      </c>
      <c r="H4939" s="88">
        <v>23780.276816608995</v>
      </c>
      <c r="I4939" s="89">
        <v>40</v>
      </c>
      <c r="J4939" s="90">
        <v>13745</v>
      </c>
      <c r="K4939" s="85">
        <v>8</v>
      </c>
      <c r="L4939" s="85">
        <v>0</v>
      </c>
      <c r="M4939" s="85">
        <v>0</v>
      </c>
      <c r="N4939" s="82" t="s">
        <v>12203</v>
      </c>
      <c r="O4939" s="93">
        <v>45905.672314814816</v>
      </c>
    </row>
    <row r="4940" spans="1:15" ht="22.5" customHeight="1">
      <c r="A4940" s="85">
        <v>174904221976312</v>
      </c>
      <c r="B4940" s="82" t="s">
        <v>10651</v>
      </c>
      <c r="C4940" s="82" t="s">
        <v>12204</v>
      </c>
      <c r="D4940" s="82" t="s">
        <v>12205</v>
      </c>
      <c r="E4940" s="82">
        <v>6281262080126</v>
      </c>
      <c r="F4940" s="94">
        <v>45904</v>
      </c>
      <c r="G4940" s="87">
        <v>736</v>
      </c>
      <c r="H4940" s="88">
        <v>16414.364640883978</v>
      </c>
      <c r="I4940" s="89">
        <v>16</v>
      </c>
      <c r="J4940" s="90">
        <v>14855</v>
      </c>
      <c r="K4940" s="85">
        <v>3</v>
      </c>
      <c r="L4940" s="85">
        <v>0</v>
      </c>
      <c r="M4940" s="85">
        <v>0</v>
      </c>
      <c r="N4940" s="82" t="s">
        <v>12231</v>
      </c>
      <c r="O4940" s="93">
        <v>45905.568124999998</v>
      </c>
    </row>
    <row r="4941" spans="1:15" ht="22.5" customHeight="1">
      <c r="A4941" s="85">
        <v>174904221976312</v>
      </c>
      <c r="B4941" s="82" t="s">
        <v>10651</v>
      </c>
      <c r="C4941" s="82" t="s">
        <v>12207</v>
      </c>
      <c r="D4941" s="91" t="s">
        <v>4875</v>
      </c>
      <c r="E4941" s="82">
        <v>6285719003688</v>
      </c>
      <c r="F4941" s="94">
        <v>45904</v>
      </c>
      <c r="G4941" s="87">
        <v>75</v>
      </c>
      <c r="H4941" s="88">
        <v>159804.87804878049</v>
      </c>
      <c r="I4941" s="89">
        <v>1</v>
      </c>
      <c r="J4941" s="90">
        <v>13104</v>
      </c>
      <c r="K4941" s="85">
        <v>1</v>
      </c>
      <c r="L4941" s="85">
        <v>0</v>
      </c>
      <c r="M4941" s="85">
        <v>0</v>
      </c>
      <c r="N4941" s="82" t="s">
        <v>12232</v>
      </c>
      <c r="O4941" s="93">
        <v>45905.443287037036</v>
      </c>
    </row>
    <row r="4942" spans="1:15" ht="22.5" customHeight="1">
      <c r="A4942" s="85">
        <v>174904221976312</v>
      </c>
      <c r="B4942" s="82" t="s">
        <v>10651</v>
      </c>
      <c r="C4942" s="82" t="s">
        <v>12209</v>
      </c>
      <c r="D4942" s="82" t="s">
        <v>12210</v>
      </c>
      <c r="E4942" s="82">
        <v>6282217300224</v>
      </c>
      <c r="F4942" s="94">
        <v>45904</v>
      </c>
      <c r="G4942" s="87">
        <v>193</v>
      </c>
      <c r="H4942" s="88">
        <v>59518.691588785048</v>
      </c>
      <c r="I4942" s="89">
        <v>6</v>
      </c>
      <c r="J4942" s="90">
        <v>12737</v>
      </c>
      <c r="K4942" s="85">
        <v>3</v>
      </c>
      <c r="L4942" s="85">
        <v>0</v>
      </c>
      <c r="M4942" s="85">
        <v>0</v>
      </c>
      <c r="N4942" s="82" t="s">
        <v>12233</v>
      </c>
      <c r="O4942" s="93">
        <v>45905.506076388891</v>
      </c>
    </row>
    <row r="4943" spans="1:15" ht="22.5" customHeight="1">
      <c r="A4943" s="85">
        <v>174904221976312</v>
      </c>
      <c r="B4943" s="82" t="s">
        <v>10651</v>
      </c>
      <c r="C4943" s="82" t="s">
        <v>12176</v>
      </c>
      <c r="D4943" s="82" t="s">
        <v>12177</v>
      </c>
      <c r="E4943" s="82">
        <v>6285748377961</v>
      </c>
      <c r="F4943" s="94">
        <v>45904</v>
      </c>
      <c r="G4943" s="87">
        <v>535</v>
      </c>
      <c r="H4943" s="88">
        <v>24174.836601307186</v>
      </c>
      <c r="I4943" s="89">
        <v>19</v>
      </c>
      <c r="J4943" s="90">
        <v>14795</v>
      </c>
      <c r="K4943" s="85">
        <v>5</v>
      </c>
      <c r="L4943" s="85">
        <v>0</v>
      </c>
      <c r="M4943" s="85">
        <v>0</v>
      </c>
      <c r="N4943" s="82" t="s">
        <v>12178</v>
      </c>
      <c r="O4943" s="93">
        <v>45905.422500000001</v>
      </c>
    </row>
    <row r="4944" spans="1:15" ht="22.5" customHeight="1">
      <c r="A4944" s="85">
        <v>174904221976312</v>
      </c>
      <c r="B4944" s="82" t="s">
        <v>10651</v>
      </c>
      <c r="C4944" s="82" t="s">
        <v>12179</v>
      </c>
      <c r="D4944" s="82" t="s">
        <v>12180</v>
      </c>
      <c r="E4944" s="82">
        <v>6281222200099</v>
      </c>
      <c r="F4944" s="94">
        <v>45904</v>
      </c>
      <c r="G4944" s="87">
        <v>323</v>
      </c>
      <c r="H4944" s="88">
        <v>36609.022556390977</v>
      </c>
      <c r="I4944" s="89">
        <v>9</v>
      </c>
      <c r="J4944" s="90">
        <v>14607</v>
      </c>
      <c r="K4944" s="85">
        <v>1</v>
      </c>
      <c r="L4944" s="85">
        <v>0</v>
      </c>
      <c r="M4944" s="85">
        <v>0</v>
      </c>
      <c r="N4944" s="82" t="s">
        <v>12243</v>
      </c>
      <c r="O4944" s="93">
        <v>45905.422476851854</v>
      </c>
    </row>
    <row r="4945" spans="1:15" ht="22.5" customHeight="1">
      <c r="A4945" s="85">
        <v>174904221976312</v>
      </c>
      <c r="B4945" s="82" t="s">
        <v>10651</v>
      </c>
      <c r="C4945" s="82" t="s">
        <v>12182</v>
      </c>
      <c r="D4945" s="82" t="s">
        <v>12183</v>
      </c>
      <c r="E4945" s="82">
        <v>6285645712595</v>
      </c>
      <c r="F4945" s="94">
        <v>45904</v>
      </c>
      <c r="G4945" s="87">
        <v>414</v>
      </c>
      <c r="H4945" s="88">
        <v>29221.98731501057</v>
      </c>
      <c r="I4945" s="89">
        <v>5</v>
      </c>
      <c r="J4945" s="90">
        <v>13822</v>
      </c>
      <c r="K4945" s="85">
        <v>0</v>
      </c>
      <c r="L4945" s="85">
        <v>0</v>
      </c>
      <c r="M4945" s="85">
        <v>0</v>
      </c>
      <c r="N4945" s="82" t="s">
        <v>12212</v>
      </c>
      <c r="O4945" s="93">
        <v>45905.442997685182</v>
      </c>
    </row>
    <row r="4946" spans="1:15" ht="22.5" customHeight="1">
      <c r="A4946" s="85">
        <v>174904221976312</v>
      </c>
      <c r="B4946" s="82" t="s">
        <v>10651</v>
      </c>
      <c r="C4946" s="82" t="s">
        <v>12185</v>
      </c>
      <c r="D4946" s="82" t="s">
        <v>12186</v>
      </c>
      <c r="E4946" s="82">
        <v>6285771466144</v>
      </c>
      <c r="F4946" s="94">
        <v>45904</v>
      </c>
      <c r="G4946" s="87">
        <v>951</v>
      </c>
      <c r="H4946" s="88">
        <v>12889.447236180904</v>
      </c>
      <c r="I4946" s="89">
        <v>24</v>
      </c>
      <c r="J4946" s="90">
        <v>15390</v>
      </c>
      <c r="K4946" s="85">
        <v>1</v>
      </c>
      <c r="L4946" s="85">
        <v>139</v>
      </c>
      <c r="M4946" s="85">
        <v>0</v>
      </c>
      <c r="N4946" s="82" t="s">
        <v>12213</v>
      </c>
      <c r="O4946" s="93">
        <v>45905.547500000001</v>
      </c>
    </row>
    <row r="4947" spans="1:15" ht="22.5" customHeight="1">
      <c r="A4947" s="85">
        <v>174904221976312</v>
      </c>
      <c r="B4947" s="82" t="s">
        <v>10651</v>
      </c>
      <c r="C4947" s="82" t="s">
        <v>12188</v>
      </c>
      <c r="D4947" s="82" t="s">
        <v>12189</v>
      </c>
      <c r="E4947" s="82">
        <v>6285864550854</v>
      </c>
      <c r="F4947" s="94">
        <v>45904</v>
      </c>
      <c r="G4947" s="87">
        <v>218</v>
      </c>
      <c r="H4947" s="88">
        <v>55782.101167315173</v>
      </c>
      <c r="I4947" s="89">
        <v>9</v>
      </c>
      <c r="J4947" s="90">
        <v>14336</v>
      </c>
      <c r="K4947" s="85">
        <v>1</v>
      </c>
      <c r="L4947" s="85">
        <v>7</v>
      </c>
      <c r="M4947" s="85">
        <v>0</v>
      </c>
      <c r="N4947" s="82" t="s">
        <v>12190</v>
      </c>
      <c r="O4947" s="93">
        <v>45905.506435185183</v>
      </c>
    </row>
    <row r="4948" spans="1:15" ht="22.5" customHeight="1">
      <c r="A4948" s="85">
        <v>174904221976312</v>
      </c>
      <c r="B4948" s="82" t="s">
        <v>10651</v>
      </c>
      <c r="C4948" s="82" t="s">
        <v>12191</v>
      </c>
      <c r="D4948" s="82" t="s">
        <v>12192</v>
      </c>
      <c r="E4948" s="82">
        <v>6289606523838</v>
      </c>
      <c r="F4948" s="94">
        <v>45904</v>
      </c>
      <c r="G4948" s="87">
        <v>1279</v>
      </c>
      <c r="H4948" s="88">
        <v>8280.0241400120703</v>
      </c>
      <c r="I4948" s="89">
        <v>20</v>
      </c>
      <c r="J4948" s="90">
        <v>13720</v>
      </c>
      <c r="K4948" s="85">
        <v>2</v>
      </c>
      <c r="L4948" s="85">
        <v>0</v>
      </c>
      <c r="M4948" s="85">
        <v>1</v>
      </c>
      <c r="N4948" s="82" t="s">
        <v>12214</v>
      </c>
      <c r="O4948" s="93">
        <v>45905.485000000001</v>
      </c>
    </row>
    <row r="4949" spans="1:15" ht="22.5" customHeight="1">
      <c r="A4949" s="85">
        <v>174904221976312</v>
      </c>
      <c r="B4949" s="82" t="s">
        <v>10651</v>
      </c>
      <c r="C4949" s="82" t="s">
        <v>12194</v>
      </c>
      <c r="D4949" s="82" t="s">
        <v>12137</v>
      </c>
      <c r="E4949" s="82">
        <v>6287863509004</v>
      </c>
      <c r="F4949" s="94">
        <v>45904</v>
      </c>
      <c r="G4949" s="87">
        <v>950</v>
      </c>
      <c r="H4949" s="88">
        <v>12833.333333333334</v>
      </c>
      <c r="I4949" s="89">
        <v>13</v>
      </c>
      <c r="J4949" s="90">
        <v>14014</v>
      </c>
      <c r="K4949" s="85">
        <v>0</v>
      </c>
      <c r="L4949" s="85">
        <v>323</v>
      </c>
      <c r="M4949" s="85">
        <v>0</v>
      </c>
      <c r="N4949" s="82" t="s">
        <v>12195</v>
      </c>
      <c r="O4949" s="93">
        <v>45905.218148148146</v>
      </c>
    </row>
    <row r="4950" spans="1:15" ht="22.5" customHeight="1">
      <c r="A4950" s="85">
        <v>174904221976312</v>
      </c>
      <c r="B4950" s="82" t="s">
        <v>10651</v>
      </c>
      <c r="C4950" s="82" t="s">
        <v>12196</v>
      </c>
      <c r="D4950" s="82" t="s">
        <v>12134</v>
      </c>
      <c r="E4950" s="82">
        <v>6285194619788</v>
      </c>
      <c r="F4950" s="94">
        <v>45904</v>
      </c>
      <c r="G4950" s="87">
        <v>456</v>
      </c>
      <c r="H4950" s="88">
        <v>25472.324723247235</v>
      </c>
      <c r="I4950" s="89">
        <v>41</v>
      </c>
      <c r="J4950" s="90">
        <v>13806</v>
      </c>
      <c r="K4950" s="85">
        <v>10</v>
      </c>
      <c r="L4950" s="85">
        <v>1</v>
      </c>
      <c r="M4950" s="85">
        <v>1</v>
      </c>
      <c r="N4950" s="82" t="s">
        <v>12135</v>
      </c>
      <c r="O4950" s="93">
        <v>45905.218159722222</v>
      </c>
    </row>
    <row r="4951" spans="1:15" ht="22.5" customHeight="1">
      <c r="A4951" s="85">
        <v>174904221976312</v>
      </c>
      <c r="B4951" s="82" t="s">
        <v>10651</v>
      </c>
      <c r="C4951" s="82" t="s">
        <v>12171</v>
      </c>
      <c r="D4951" s="82" t="s">
        <v>4386</v>
      </c>
      <c r="E4951" s="82">
        <v>62818533354</v>
      </c>
      <c r="F4951" s="94">
        <v>45904</v>
      </c>
      <c r="G4951" s="87">
        <v>262</v>
      </c>
      <c r="H4951" s="88">
        <v>39927.051671732523</v>
      </c>
      <c r="I4951" s="89">
        <v>10</v>
      </c>
      <c r="J4951" s="90">
        <v>13136</v>
      </c>
      <c r="K4951" s="85">
        <v>3</v>
      </c>
      <c r="L4951" s="85">
        <v>0</v>
      </c>
      <c r="M4951" s="85">
        <v>0</v>
      </c>
      <c r="N4951" s="82" t="s">
        <v>12218</v>
      </c>
      <c r="O4951" s="93">
        <v>45905.40148148148</v>
      </c>
    </row>
    <row r="4952" spans="1:15" ht="22.5" customHeight="1">
      <c r="A4952" s="85">
        <v>174904221976312</v>
      </c>
      <c r="B4952" s="82" t="s">
        <v>10651</v>
      </c>
      <c r="C4952" s="82" t="s">
        <v>12125</v>
      </c>
      <c r="D4952" s="82" t="s">
        <v>4008</v>
      </c>
      <c r="E4952" s="82">
        <v>6281558225822</v>
      </c>
      <c r="F4952" s="94">
        <v>45904</v>
      </c>
      <c r="G4952" s="87">
        <v>208</v>
      </c>
      <c r="H4952" s="88">
        <v>60560.538116591932</v>
      </c>
      <c r="I4952" s="89">
        <v>7</v>
      </c>
      <c r="J4952" s="90">
        <v>13505</v>
      </c>
      <c r="K4952" s="85">
        <v>0</v>
      </c>
      <c r="L4952" s="85">
        <v>0</v>
      </c>
      <c r="M4952" s="85">
        <v>0</v>
      </c>
      <c r="N4952" s="82" t="s">
        <v>12219</v>
      </c>
      <c r="O4952" s="93">
        <v>45905.218136574076</v>
      </c>
    </row>
    <row r="4953" spans="1:15" ht="22.5" customHeight="1">
      <c r="A4953" s="85">
        <v>174904221976312</v>
      </c>
      <c r="B4953" s="82" t="s">
        <v>10651</v>
      </c>
      <c r="C4953" s="82" t="s">
        <v>12127</v>
      </c>
      <c r="D4953" s="82" t="s">
        <v>12128</v>
      </c>
      <c r="E4953" s="82">
        <v>6281226825253</v>
      </c>
      <c r="F4953" s="94">
        <v>45904</v>
      </c>
      <c r="G4953" s="87">
        <v>12168</v>
      </c>
      <c r="H4953" s="88">
        <v>1026.3260988795737</v>
      </c>
      <c r="I4953" s="89">
        <v>76</v>
      </c>
      <c r="J4953" s="90">
        <v>13099</v>
      </c>
      <c r="K4953" s="85">
        <v>0</v>
      </c>
      <c r="L4953" s="85">
        <v>1699</v>
      </c>
      <c r="M4953" s="85">
        <v>0</v>
      </c>
      <c r="N4953" s="82" t="s">
        <v>12129</v>
      </c>
      <c r="O4953" s="93">
        <v>45905.213854166665</v>
      </c>
    </row>
    <row r="4954" spans="1:15" ht="22.5" customHeight="1">
      <c r="A4954" s="85">
        <v>174904221976312</v>
      </c>
      <c r="B4954" s="82" t="s">
        <v>10651</v>
      </c>
      <c r="C4954" s="82" t="s">
        <v>12130</v>
      </c>
      <c r="D4954" s="82" t="s">
        <v>12131</v>
      </c>
      <c r="E4954" s="82">
        <v>6281239004410</v>
      </c>
      <c r="F4954" s="94">
        <v>45904</v>
      </c>
      <c r="G4954" s="87">
        <v>251</v>
      </c>
      <c r="H4954" s="88">
        <v>50375.438596491229</v>
      </c>
      <c r="I4954" s="89">
        <v>10</v>
      </c>
      <c r="J4954" s="90">
        <v>14357</v>
      </c>
      <c r="K4954" s="85">
        <v>3</v>
      </c>
      <c r="L4954" s="85">
        <v>0</v>
      </c>
      <c r="M4954" s="85">
        <v>0</v>
      </c>
      <c r="N4954" s="82" t="s">
        <v>12220</v>
      </c>
      <c r="O4954" s="93">
        <v>45905.506076388891</v>
      </c>
    </row>
    <row r="4955" spans="1:15" ht="22.5" customHeight="1">
      <c r="A4955" s="85">
        <v>174904221976312</v>
      </c>
      <c r="B4955" s="82" t="s">
        <v>10651</v>
      </c>
      <c r="C4955" s="82" t="s">
        <v>12122</v>
      </c>
      <c r="D4955" s="82" t="s">
        <v>12123</v>
      </c>
      <c r="E4955" s="82">
        <v>6285720705874</v>
      </c>
      <c r="F4955" s="94">
        <v>45904</v>
      </c>
      <c r="G4955" s="87">
        <v>912</v>
      </c>
      <c r="H4955" s="88">
        <v>14104.373757455269</v>
      </c>
      <c r="I4955" s="89">
        <v>43</v>
      </c>
      <c r="J4955" s="90">
        <v>14189</v>
      </c>
      <c r="K4955" s="85">
        <v>6</v>
      </c>
      <c r="L4955" s="85">
        <v>364</v>
      </c>
      <c r="M4955" s="85">
        <v>0</v>
      </c>
      <c r="N4955" s="82" t="s">
        <v>12124</v>
      </c>
      <c r="O4955" s="93">
        <v>45905.422488425924</v>
      </c>
    </row>
    <row r="4956" spans="1:15" ht="22.5" customHeight="1">
      <c r="A4956" s="85">
        <v>174904221976312</v>
      </c>
      <c r="B4956" s="82" t="s">
        <v>10651</v>
      </c>
      <c r="C4956" s="82" t="s">
        <v>12100</v>
      </c>
      <c r="D4956" s="82" t="s">
        <v>6091</v>
      </c>
      <c r="E4956" s="82">
        <v>6281938384000</v>
      </c>
      <c r="F4956" s="94">
        <v>45904</v>
      </c>
      <c r="G4956" s="87">
        <v>350</v>
      </c>
      <c r="H4956" s="88">
        <v>30061.363636363636</v>
      </c>
      <c r="I4956" s="89">
        <v>17</v>
      </c>
      <c r="J4956" s="90">
        <v>13227</v>
      </c>
      <c r="K4956" s="85">
        <v>1</v>
      </c>
      <c r="L4956" s="85">
        <v>0</v>
      </c>
      <c r="M4956" s="85">
        <v>0</v>
      </c>
      <c r="N4956" s="82" t="s">
        <v>12221</v>
      </c>
      <c r="O4956" s="93">
        <v>45905.297314814816</v>
      </c>
    </row>
    <row r="4957" spans="1:15" ht="22.5" customHeight="1">
      <c r="A4957" s="85">
        <v>174904221976312</v>
      </c>
      <c r="B4957" s="82" t="s">
        <v>10651</v>
      </c>
      <c r="C4957" s="82" t="s">
        <v>12102</v>
      </c>
      <c r="D4957" s="82" t="s">
        <v>12103</v>
      </c>
      <c r="E4957" s="82">
        <v>628122577723</v>
      </c>
      <c r="F4957" s="94">
        <v>45904</v>
      </c>
      <c r="G4957" s="87">
        <v>392</v>
      </c>
      <c r="H4957" s="88">
        <v>33260.683760683758</v>
      </c>
      <c r="I4957" s="89">
        <v>12</v>
      </c>
      <c r="J4957" s="90">
        <v>15566</v>
      </c>
      <c r="K4957" s="85">
        <v>2</v>
      </c>
      <c r="L4957" s="85">
        <v>0</v>
      </c>
      <c r="M4957" s="85">
        <v>0</v>
      </c>
      <c r="N4957" s="82" t="s">
        <v>12244</v>
      </c>
      <c r="O4957" s="93">
        <v>45905.485023148147</v>
      </c>
    </row>
    <row r="4958" spans="1:15" ht="22.5" customHeight="1">
      <c r="A4958" s="85">
        <v>174904221976312</v>
      </c>
      <c r="B4958" s="82" t="s">
        <v>10651</v>
      </c>
      <c r="C4958" s="82" t="s">
        <v>12109</v>
      </c>
      <c r="D4958" s="82" t="s">
        <v>12110</v>
      </c>
      <c r="E4958" s="82">
        <v>6287777304498</v>
      </c>
      <c r="F4958" s="94">
        <v>45904</v>
      </c>
      <c r="G4958" s="87">
        <v>178</v>
      </c>
      <c r="H4958" s="88">
        <v>69160.804020100506</v>
      </c>
      <c r="I4958" s="89">
        <v>3</v>
      </c>
      <c r="J4958" s="90">
        <v>13763</v>
      </c>
      <c r="K4958" s="85">
        <v>0</v>
      </c>
      <c r="L4958" s="85">
        <v>0</v>
      </c>
      <c r="M4958" s="85">
        <v>0</v>
      </c>
      <c r="N4958" s="82" t="s">
        <v>12245</v>
      </c>
      <c r="O4958" s="93">
        <v>45905.547500000001</v>
      </c>
    </row>
    <row r="4959" spans="1:15" ht="22.5" customHeight="1">
      <c r="A4959" s="85">
        <v>174904221976312</v>
      </c>
      <c r="B4959" s="82" t="s">
        <v>10651</v>
      </c>
      <c r="C4959" s="82" t="s">
        <v>12058</v>
      </c>
      <c r="D4959" s="82" t="s">
        <v>4516</v>
      </c>
      <c r="E4959" s="82">
        <v>6281315163838</v>
      </c>
      <c r="F4959" s="94">
        <v>45904</v>
      </c>
      <c r="G4959" s="87">
        <v>292</v>
      </c>
      <c r="H4959" s="88">
        <v>42653.125</v>
      </c>
      <c r="I4959" s="89">
        <v>17</v>
      </c>
      <c r="J4959" s="90">
        <v>13649</v>
      </c>
      <c r="K4959" s="85">
        <v>6</v>
      </c>
      <c r="L4959" s="85">
        <v>0</v>
      </c>
      <c r="M4959" s="85">
        <v>0</v>
      </c>
      <c r="N4959" s="82" t="s">
        <v>12222</v>
      </c>
      <c r="O4959" s="93">
        <v>45905.484988425924</v>
      </c>
    </row>
    <row r="4960" spans="1:15" ht="22.5" customHeight="1">
      <c r="A4960" s="85">
        <v>174904221976312</v>
      </c>
      <c r="B4960" s="82" t="s">
        <v>10651</v>
      </c>
      <c r="C4960" s="82" t="s">
        <v>12039</v>
      </c>
      <c r="D4960" s="82" t="s">
        <v>12040</v>
      </c>
      <c r="E4960" s="82">
        <v>6281330410391</v>
      </c>
      <c r="F4960" s="94">
        <v>45904</v>
      </c>
      <c r="G4960" s="87">
        <v>756</v>
      </c>
      <c r="H4960" s="88">
        <v>14953.125</v>
      </c>
      <c r="I4960" s="89">
        <v>56</v>
      </c>
      <c r="J4960" s="90">
        <v>14355</v>
      </c>
      <c r="K4960" s="85">
        <v>9</v>
      </c>
      <c r="L4960" s="85">
        <v>70</v>
      </c>
      <c r="M4960" s="85">
        <v>1</v>
      </c>
      <c r="N4960" s="82" t="s">
        <v>12041</v>
      </c>
      <c r="O4960" s="93">
        <v>45905.547523148147</v>
      </c>
    </row>
    <row r="4961" spans="1:15" ht="22.5" customHeight="1">
      <c r="A4961" s="85">
        <v>174904221976312</v>
      </c>
      <c r="B4961" s="82" t="s">
        <v>10651</v>
      </c>
      <c r="C4961" s="82" t="s">
        <v>12016</v>
      </c>
      <c r="D4961" s="82" t="s">
        <v>12017</v>
      </c>
      <c r="E4961" s="82">
        <v>6281210801646</v>
      </c>
      <c r="F4961" s="94">
        <v>45904</v>
      </c>
      <c r="G4961" s="87">
        <v>360</v>
      </c>
      <c r="H4961" s="88">
        <v>44134.177215189869</v>
      </c>
      <c r="I4961" s="89">
        <v>5</v>
      </c>
      <c r="J4961" s="90">
        <v>17433</v>
      </c>
      <c r="K4961" s="85">
        <v>0</v>
      </c>
      <c r="L4961" s="85">
        <v>0</v>
      </c>
      <c r="M4961" s="85">
        <v>0</v>
      </c>
      <c r="N4961" s="82" t="s">
        <v>12223</v>
      </c>
      <c r="O4961" s="93">
        <v>45905.218148148146</v>
      </c>
    </row>
    <row r="4962" spans="1:15" ht="22.5" customHeight="1">
      <c r="A4962" s="85">
        <v>174904221976312</v>
      </c>
      <c r="B4962" s="82" t="s">
        <v>10651</v>
      </c>
      <c r="C4962" s="82" t="s">
        <v>12019</v>
      </c>
      <c r="D4962" s="82" t="s">
        <v>12020</v>
      </c>
      <c r="E4962" s="82">
        <v>6287862271550</v>
      </c>
      <c r="F4962" s="94">
        <v>45904</v>
      </c>
      <c r="G4962" s="87">
        <v>630</v>
      </c>
      <c r="H4962" s="88">
        <v>22696.148359486448</v>
      </c>
      <c r="I4962" s="89">
        <v>24</v>
      </c>
      <c r="J4962" s="90">
        <v>15910</v>
      </c>
      <c r="K4962" s="85">
        <v>1</v>
      </c>
      <c r="L4962" s="85">
        <v>223</v>
      </c>
      <c r="M4962" s="85">
        <v>0</v>
      </c>
      <c r="N4962" s="82" t="s">
        <v>12246</v>
      </c>
      <c r="O4962" s="93">
        <v>45905.422500000001</v>
      </c>
    </row>
    <row r="4963" spans="1:15" ht="22.5" customHeight="1">
      <c r="A4963" s="85">
        <v>174904221976312</v>
      </c>
      <c r="B4963" s="82" t="s">
        <v>10651</v>
      </c>
      <c r="C4963" s="82" t="s">
        <v>12007</v>
      </c>
      <c r="D4963" s="82" t="s">
        <v>9010</v>
      </c>
      <c r="E4963" s="82">
        <v>6282160743576</v>
      </c>
      <c r="F4963" s="94">
        <v>45904</v>
      </c>
      <c r="G4963" s="87">
        <v>1033</v>
      </c>
      <c r="H4963" s="88">
        <v>12687.5</v>
      </c>
      <c r="I4963" s="89">
        <v>51</v>
      </c>
      <c r="J4963" s="90">
        <v>15225</v>
      </c>
      <c r="K4963" s="85">
        <v>2</v>
      </c>
      <c r="L4963" s="85">
        <v>355</v>
      </c>
      <c r="M4963" s="85">
        <v>0</v>
      </c>
      <c r="N4963" s="82" t="s">
        <v>12008</v>
      </c>
      <c r="O4963" s="93">
        <v>45905.547789351855</v>
      </c>
    </row>
    <row r="4964" spans="1:15" ht="22.5" customHeight="1">
      <c r="A4964" s="85">
        <v>174904221976312</v>
      </c>
      <c r="B4964" s="82" t="s">
        <v>10651</v>
      </c>
      <c r="C4964" s="82" t="s">
        <v>11908</v>
      </c>
      <c r="D4964" s="82" t="s">
        <v>3969</v>
      </c>
      <c r="E4964" s="82">
        <v>62881010328220</v>
      </c>
      <c r="F4964" s="94">
        <v>45904</v>
      </c>
      <c r="G4964" s="87">
        <v>203</v>
      </c>
      <c r="H4964" s="88">
        <v>58110.619469026547</v>
      </c>
      <c r="I4964" s="89">
        <v>8</v>
      </c>
      <c r="J4964" s="90">
        <v>13133</v>
      </c>
      <c r="K4964" s="85">
        <v>1</v>
      </c>
      <c r="L4964" s="85">
        <v>14</v>
      </c>
      <c r="M4964" s="85">
        <v>0</v>
      </c>
      <c r="N4964" s="82" t="s">
        <v>12252</v>
      </c>
      <c r="O4964" s="93">
        <v>45905.422824074078</v>
      </c>
    </row>
    <row r="4965" spans="1:15" ht="22.5" customHeight="1">
      <c r="A4965" s="85">
        <v>174904221976312</v>
      </c>
      <c r="B4965" s="82" t="s">
        <v>10651</v>
      </c>
      <c r="C4965" s="82" t="s">
        <v>11838</v>
      </c>
      <c r="D4965" s="82" t="s">
        <v>11839</v>
      </c>
      <c r="E4965" s="82">
        <v>6287797504113</v>
      </c>
      <c r="F4965" s="94">
        <v>45904</v>
      </c>
      <c r="G4965" s="87">
        <v>194</v>
      </c>
      <c r="H4965" s="88">
        <v>58118.181818181816</v>
      </c>
      <c r="I4965" s="89">
        <v>14</v>
      </c>
      <c r="J4965" s="90">
        <v>12786</v>
      </c>
      <c r="K4965" s="85">
        <v>6</v>
      </c>
      <c r="L4965" s="85">
        <v>0</v>
      </c>
      <c r="M4965" s="85">
        <v>1</v>
      </c>
      <c r="N4965" s="82" t="s">
        <v>12247</v>
      </c>
      <c r="O4965" s="93">
        <v>45905.443009259259</v>
      </c>
    </row>
    <row r="4966" spans="1:15" ht="22.5" customHeight="1">
      <c r="A4966" s="85">
        <v>174904221976312</v>
      </c>
      <c r="B4966" s="82" t="s">
        <v>10651</v>
      </c>
      <c r="C4966" s="82" t="s">
        <v>11799</v>
      </c>
      <c r="D4966" s="82" t="s">
        <v>11800</v>
      </c>
      <c r="E4966" s="82">
        <v>6285333751528</v>
      </c>
      <c r="F4966" s="94">
        <v>45904</v>
      </c>
      <c r="G4966" s="87">
        <v>481</v>
      </c>
      <c r="H4966" s="88">
        <v>23420.677361853832</v>
      </c>
      <c r="I4966" s="89">
        <v>9</v>
      </c>
      <c r="J4966" s="90">
        <v>13139</v>
      </c>
      <c r="K4966" s="85">
        <v>2</v>
      </c>
      <c r="L4966" s="85">
        <v>0</v>
      </c>
      <c r="M4966" s="85">
        <v>0</v>
      </c>
      <c r="N4966" s="82" t="s">
        <v>12201</v>
      </c>
      <c r="O4966" s="93">
        <v>45905.218159722222</v>
      </c>
    </row>
    <row r="4967" spans="1:15" ht="22.5" customHeight="1">
      <c r="A4967" s="85">
        <v>174904221976312</v>
      </c>
      <c r="B4967" s="82" t="s">
        <v>10651</v>
      </c>
      <c r="C4967" s="82" t="s">
        <v>11766</v>
      </c>
      <c r="D4967" s="82" t="s">
        <v>11767</v>
      </c>
      <c r="E4967" s="82">
        <v>6281225101319</v>
      </c>
      <c r="F4967" s="94">
        <v>45904</v>
      </c>
      <c r="G4967" s="87">
        <v>255</v>
      </c>
      <c r="H4967" s="88">
        <v>64713.23529411765</v>
      </c>
      <c r="I4967" s="89">
        <v>6</v>
      </c>
      <c r="J4967" s="90">
        <v>17602</v>
      </c>
      <c r="K4967" s="85">
        <v>1</v>
      </c>
      <c r="L4967" s="85">
        <v>0</v>
      </c>
      <c r="M4967" s="85">
        <v>0</v>
      </c>
      <c r="N4967" s="82" t="s">
        <v>12150</v>
      </c>
      <c r="O4967" s="93">
        <v>45905.218148148146</v>
      </c>
    </row>
    <row r="4968" spans="1:15" ht="22.5" customHeight="1">
      <c r="A4968" s="85">
        <v>174904221976312</v>
      </c>
      <c r="B4968" s="82" t="s">
        <v>10651</v>
      </c>
      <c r="C4968" s="82" t="s">
        <v>11780</v>
      </c>
      <c r="D4968" s="82" t="s">
        <v>11781</v>
      </c>
      <c r="E4968" s="82">
        <v>6282129364133</v>
      </c>
      <c r="F4968" s="94">
        <v>45904</v>
      </c>
      <c r="G4968" s="87">
        <v>309</v>
      </c>
      <c r="H4968" s="88">
        <v>29079.710144927536</v>
      </c>
      <c r="I4968" s="89">
        <v>3</v>
      </c>
      <c r="J4968" s="90">
        <v>12039</v>
      </c>
      <c r="K4968" s="85">
        <v>0</v>
      </c>
      <c r="L4968" s="85">
        <v>0</v>
      </c>
      <c r="M4968" s="85">
        <v>0</v>
      </c>
      <c r="N4968" s="82" t="s">
        <v>12224</v>
      </c>
      <c r="O4968" s="93">
        <v>45905.443298611113</v>
      </c>
    </row>
    <row r="4969" spans="1:15" ht="22.5" customHeight="1">
      <c r="A4969" s="85">
        <v>174904221976312</v>
      </c>
      <c r="B4969" s="82" t="s">
        <v>10651</v>
      </c>
      <c r="C4969" s="82" t="s">
        <v>11758</v>
      </c>
      <c r="D4969" s="82" t="s">
        <v>11759</v>
      </c>
      <c r="E4969" s="82">
        <v>6285946504405</v>
      </c>
      <c r="F4969" s="94">
        <v>45904</v>
      </c>
      <c r="G4969" s="87">
        <v>475</v>
      </c>
      <c r="H4969" s="88">
        <v>30786.982248520711</v>
      </c>
      <c r="I4969" s="89">
        <v>10</v>
      </c>
      <c r="J4969" s="90">
        <v>15609</v>
      </c>
      <c r="K4969" s="85">
        <v>0</v>
      </c>
      <c r="L4969" s="85">
        <v>4</v>
      </c>
      <c r="M4969" s="85">
        <v>1</v>
      </c>
      <c r="N4969" s="82" t="s">
        <v>12248</v>
      </c>
      <c r="O4969" s="93">
        <v>45905.443287037036</v>
      </c>
    </row>
    <row r="4970" spans="1:15" ht="22.5" customHeight="1">
      <c r="A4970" s="85">
        <v>174904221976312</v>
      </c>
      <c r="B4970" s="82" t="s">
        <v>10651</v>
      </c>
      <c r="C4970" s="82" t="s">
        <v>11641</v>
      </c>
      <c r="D4970" s="82" t="s">
        <v>3229</v>
      </c>
      <c r="E4970" s="82">
        <v>6287865111033</v>
      </c>
      <c r="F4970" s="94">
        <v>45904</v>
      </c>
      <c r="G4970" s="87">
        <v>1330</v>
      </c>
      <c r="H4970" s="88">
        <v>8149.2439184746881</v>
      </c>
      <c r="I4970" s="89">
        <v>29</v>
      </c>
      <c r="J4970" s="90">
        <v>12395</v>
      </c>
      <c r="K4970" s="85">
        <v>1</v>
      </c>
      <c r="L4970" s="85">
        <v>0</v>
      </c>
      <c r="M4970" s="85">
        <v>0</v>
      </c>
      <c r="N4970" s="82" t="s">
        <v>12225</v>
      </c>
      <c r="O4970" s="93">
        <v>45905.443287037036</v>
      </c>
    </row>
    <row r="4971" spans="1:15" ht="22.5" customHeight="1">
      <c r="A4971" s="85">
        <v>174904221976312</v>
      </c>
      <c r="B4971" s="82" t="s">
        <v>10651</v>
      </c>
      <c r="C4971" s="82" t="s">
        <v>11578</v>
      </c>
      <c r="D4971" s="82" t="s">
        <v>1624</v>
      </c>
      <c r="E4971" s="82">
        <v>6281938384000</v>
      </c>
      <c r="F4971" s="94">
        <v>45904</v>
      </c>
      <c r="G4971" s="87">
        <v>1110</v>
      </c>
      <c r="H4971" s="88">
        <v>9390.1569186875895</v>
      </c>
      <c r="I4971" s="89">
        <v>31</v>
      </c>
      <c r="J4971" s="90">
        <v>13165</v>
      </c>
      <c r="K4971" s="85">
        <v>1</v>
      </c>
      <c r="L4971" s="85">
        <v>0</v>
      </c>
      <c r="M4971" s="85">
        <v>1</v>
      </c>
      <c r="N4971" s="82" t="s">
        <v>12154</v>
      </c>
      <c r="O4971" s="93">
        <v>45905.442986111113</v>
      </c>
    </row>
    <row r="4972" spans="1:15" ht="22.5" customHeight="1">
      <c r="A4972" s="85">
        <v>174904221976312</v>
      </c>
      <c r="B4972" s="82" t="s">
        <v>10651</v>
      </c>
      <c r="C4972" s="82" t="s">
        <v>11580</v>
      </c>
      <c r="D4972" s="82" t="s">
        <v>11581</v>
      </c>
      <c r="E4972" s="82">
        <v>6287790276733</v>
      </c>
      <c r="F4972" s="94">
        <v>45904</v>
      </c>
      <c r="G4972" s="87">
        <v>443</v>
      </c>
      <c r="H4972" s="88">
        <v>22951.851851851854</v>
      </c>
      <c r="I4972" s="89">
        <v>14</v>
      </c>
      <c r="J4972" s="90">
        <v>12394</v>
      </c>
      <c r="K4972" s="85">
        <v>1</v>
      </c>
      <c r="L4972" s="85">
        <v>0</v>
      </c>
      <c r="M4972" s="85">
        <v>0</v>
      </c>
      <c r="N4972" s="82" t="s">
        <v>12226</v>
      </c>
      <c r="O4972" s="93">
        <v>45905.464189814818</v>
      </c>
    </row>
    <row r="4973" spans="1:15" ht="22.5" customHeight="1">
      <c r="A4973" s="85">
        <v>174904221976312</v>
      </c>
      <c r="B4973" s="82" t="s">
        <v>10651</v>
      </c>
      <c r="C4973" s="82" t="s">
        <v>11165</v>
      </c>
      <c r="D4973" s="82" t="s">
        <v>1759</v>
      </c>
      <c r="E4973" s="82">
        <v>6285311472244</v>
      </c>
      <c r="F4973" s="94">
        <v>45904</v>
      </c>
      <c r="G4973" s="87">
        <v>2316</v>
      </c>
      <c r="H4973" s="88">
        <v>5577.1581359816655</v>
      </c>
      <c r="I4973" s="89">
        <v>70</v>
      </c>
      <c r="J4973" s="90">
        <v>14601</v>
      </c>
      <c r="K4973" s="85">
        <v>4</v>
      </c>
      <c r="L4973" s="85">
        <v>1026</v>
      </c>
      <c r="M4973" s="85">
        <v>1</v>
      </c>
      <c r="N4973" s="82" t="s">
        <v>11166</v>
      </c>
      <c r="O4973" s="93">
        <v>45905.218136574076</v>
      </c>
    </row>
    <row r="4974" spans="1:15" ht="22.5" customHeight="1">
      <c r="A4974" s="85">
        <v>174904221976312</v>
      </c>
      <c r="B4974" s="82" t="s">
        <v>10651</v>
      </c>
      <c r="C4974" s="82" t="s">
        <v>10853</v>
      </c>
      <c r="D4974" s="82" t="s">
        <v>10854</v>
      </c>
      <c r="E4974" s="82">
        <v>6281393958199</v>
      </c>
      <c r="F4974" s="94">
        <v>45904</v>
      </c>
      <c r="G4974" s="87">
        <v>217</v>
      </c>
      <c r="H4974" s="88">
        <v>43973.584905660377</v>
      </c>
      <c r="I4974" s="89">
        <v>4</v>
      </c>
      <c r="J4974" s="90">
        <v>11653</v>
      </c>
      <c r="K4974" s="85">
        <v>1</v>
      </c>
      <c r="L4974" s="85">
        <v>0</v>
      </c>
      <c r="M4974" s="85">
        <v>0</v>
      </c>
      <c r="N4974" s="82" t="s">
        <v>12155</v>
      </c>
      <c r="O4974" s="93">
        <v>45905.442986111113</v>
      </c>
    </row>
    <row r="4975" spans="1:15" ht="22.5" customHeight="1">
      <c r="A4975" s="85">
        <v>174904221976312</v>
      </c>
      <c r="B4975" s="82" t="s">
        <v>10651</v>
      </c>
      <c r="C4975" s="82" t="s">
        <v>8099</v>
      </c>
      <c r="D4975" s="82" t="s">
        <v>2357</v>
      </c>
      <c r="E4975" s="82">
        <v>6281221788919</v>
      </c>
      <c r="F4975" s="94">
        <v>45904</v>
      </c>
      <c r="G4975" s="87">
        <v>695</v>
      </c>
      <c r="H4975" s="88">
        <v>16101.063829787232</v>
      </c>
      <c r="I4975" s="89">
        <v>11</v>
      </c>
      <c r="J4975" s="90">
        <v>12108</v>
      </c>
      <c r="K4975" s="85">
        <v>1</v>
      </c>
      <c r="L4975" s="85">
        <v>249</v>
      </c>
      <c r="M4975" s="85">
        <v>0</v>
      </c>
      <c r="N4975" s="82" t="s">
        <v>10759</v>
      </c>
      <c r="O4975" s="93">
        <v>45905.442997685182</v>
      </c>
    </row>
    <row r="4976" spans="1:15" ht="22.5" customHeight="1">
      <c r="A4976" s="85">
        <v>759724529202804</v>
      </c>
      <c r="B4976" s="82" t="s">
        <v>10621</v>
      </c>
      <c r="C4976" s="82" t="s">
        <v>12227</v>
      </c>
      <c r="D4976" s="82" t="s">
        <v>4938</v>
      </c>
      <c r="E4976" s="82">
        <v>6287835601400</v>
      </c>
      <c r="F4976" s="94">
        <v>45905</v>
      </c>
      <c r="G4976" s="87">
        <v>723</v>
      </c>
      <c r="H4976" s="88">
        <v>18930.180180180181</v>
      </c>
      <c r="I4976" s="89">
        <v>24</v>
      </c>
      <c r="J4976" s="90">
        <v>16810</v>
      </c>
      <c r="K4976" s="85">
        <v>2</v>
      </c>
      <c r="L4976" s="85">
        <v>261</v>
      </c>
      <c r="M4976" s="85">
        <v>0</v>
      </c>
      <c r="N4976" s="82" t="s">
        <v>12228</v>
      </c>
      <c r="O4976" s="93">
        <v>45906.52648148148</v>
      </c>
    </row>
    <row r="4977" spans="1:15" ht="22.5" customHeight="1">
      <c r="A4977" s="85">
        <v>759724529202804</v>
      </c>
      <c r="B4977" s="82" t="s">
        <v>10621</v>
      </c>
      <c r="C4977" s="82" t="s">
        <v>10925</v>
      </c>
      <c r="D4977" s="82" t="s">
        <v>10926</v>
      </c>
      <c r="E4977" s="82">
        <v>6281233038880</v>
      </c>
      <c r="F4977" s="94">
        <v>45905</v>
      </c>
      <c r="G4977" s="87">
        <v>412</v>
      </c>
      <c r="H4977" s="88">
        <v>42975.663716814161</v>
      </c>
      <c r="I4977" s="89">
        <v>10</v>
      </c>
      <c r="J4977" s="90">
        <v>19425</v>
      </c>
      <c r="K4977" s="85">
        <v>1</v>
      </c>
      <c r="L4977" s="85">
        <v>122</v>
      </c>
      <c r="M4977" s="85">
        <v>0</v>
      </c>
      <c r="N4977" s="82" t="s">
        <v>10927</v>
      </c>
      <c r="O4977" s="93">
        <v>45906.505891203706</v>
      </c>
    </row>
    <row r="4978" spans="1:15" ht="22.5" customHeight="1">
      <c r="A4978" s="85">
        <v>174904221976312</v>
      </c>
      <c r="B4978" s="82" t="s">
        <v>10651</v>
      </c>
      <c r="C4978" s="82" t="s">
        <v>12253</v>
      </c>
      <c r="D4978" s="82" t="s">
        <v>12254</v>
      </c>
      <c r="E4978" s="82">
        <v>6287838234518</v>
      </c>
      <c r="F4978" s="94">
        <v>45905</v>
      </c>
      <c r="G4978" s="87">
        <v>513</v>
      </c>
      <c r="H4978" s="88">
        <v>23856.617647058822</v>
      </c>
      <c r="I4978" s="89">
        <v>15</v>
      </c>
      <c r="J4978" s="90">
        <v>12978</v>
      </c>
      <c r="K4978" s="85">
        <v>3</v>
      </c>
      <c r="L4978" s="85">
        <v>106</v>
      </c>
      <c r="M4978" s="85">
        <v>0</v>
      </c>
      <c r="N4978" s="82" t="s">
        <v>12255</v>
      </c>
      <c r="O4978" s="93">
        <v>45906.61</v>
      </c>
    </row>
    <row r="4979" spans="1:15" ht="22.5" customHeight="1">
      <c r="A4979" s="85">
        <v>174904221976312</v>
      </c>
      <c r="B4979" s="82" t="s">
        <v>10651</v>
      </c>
      <c r="C4979" s="82" t="s">
        <v>12256</v>
      </c>
      <c r="D4979" s="82" t="s">
        <v>12257</v>
      </c>
      <c r="E4979" s="82">
        <v>6285384956538</v>
      </c>
      <c r="F4979" s="94">
        <v>45905</v>
      </c>
      <c r="G4979" s="87">
        <v>731</v>
      </c>
      <c r="H4979" s="88">
        <v>12845.771144278608</v>
      </c>
      <c r="I4979" s="89">
        <v>9</v>
      </c>
      <c r="J4979" s="90">
        <v>12910</v>
      </c>
      <c r="K4979" s="85">
        <v>0</v>
      </c>
      <c r="L4979" s="85">
        <v>11</v>
      </c>
      <c r="M4979" s="85">
        <v>0</v>
      </c>
      <c r="N4979" s="82" t="s">
        <v>12258</v>
      </c>
      <c r="O4979" s="93">
        <v>45906.713576388887</v>
      </c>
    </row>
    <row r="4980" spans="1:15" ht="22.5" customHeight="1">
      <c r="A4980" s="85">
        <v>174904221976312</v>
      </c>
      <c r="B4980" s="82" t="s">
        <v>10651</v>
      </c>
      <c r="C4980" s="82" t="s">
        <v>12259</v>
      </c>
      <c r="D4980" s="82" t="s">
        <v>5123</v>
      </c>
      <c r="E4980" s="82">
        <v>6287849856444</v>
      </c>
      <c r="F4980" s="94">
        <v>45905</v>
      </c>
      <c r="G4980" s="87">
        <v>403</v>
      </c>
      <c r="H4980" s="88">
        <v>21363.636363636364</v>
      </c>
      <c r="I4980" s="89">
        <v>21</v>
      </c>
      <c r="J4980" s="90">
        <v>10810</v>
      </c>
      <c r="K4980" s="85">
        <v>4</v>
      </c>
      <c r="L4980" s="85">
        <v>8</v>
      </c>
      <c r="M4980" s="85">
        <v>0</v>
      </c>
      <c r="N4980" s="82" t="s">
        <v>12260</v>
      </c>
      <c r="O4980" s="93">
        <v>45906.63077546296</v>
      </c>
    </row>
    <row r="4981" spans="1:15" ht="22.5" customHeight="1">
      <c r="A4981" s="85">
        <v>174904221976312</v>
      </c>
      <c r="B4981" s="82" t="s">
        <v>10651</v>
      </c>
      <c r="C4981" s="82" t="s">
        <v>12261</v>
      </c>
      <c r="D4981" s="82" t="s">
        <v>5116</v>
      </c>
      <c r="E4981" s="82">
        <v>6285786318640</v>
      </c>
      <c r="F4981" s="94">
        <v>45905</v>
      </c>
      <c r="G4981" s="87">
        <v>292</v>
      </c>
      <c r="H4981" s="88">
        <v>35516.949152542373</v>
      </c>
      <c r="I4981" s="89">
        <v>9</v>
      </c>
      <c r="J4981" s="90">
        <v>12573</v>
      </c>
      <c r="K4981" s="85">
        <v>1</v>
      </c>
      <c r="L4981" s="85">
        <v>20</v>
      </c>
      <c r="M4981" s="85">
        <v>0</v>
      </c>
      <c r="N4981" s="82" t="s">
        <v>12262</v>
      </c>
      <c r="O4981" s="93">
        <v>45906.78087962963</v>
      </c>
    </row>
    <row r="4982" spans="1:15" ht="22.5" customHeight="1">
      <c r="A4982" s="85">
        <v>174904221976312</v>
      </c>
      <c r="B4982" s="82" t="s">
        <v>10651</v>
      </c>
      <c r="C4982" s="82" t="s">
        <v>12263</v>
      </c>
      <c r="D4982" s="82" t="s">
        <v>12264</v>
      </c>
      <c r="E4982" s="82">
        <v>62817308228</v>
      </c>
      <c r="F4982" s="94">
        <v>45905</v>
      </c>
      <c r="G4982" s="87">
        <v>466</v>
      </c>
      <c r="H4982" s="88">
        <v>21206.956521739128</v>
      </c>
      <c r="I4982" s="89">
        <v>21</v>
      </c>
      <c r="J4982" s="90">
        <v>12194</v>
      </c>
      <c r="K4982" s="85">
        <v>4</v>
      </c>
      <c r="L4982" s="85">
        <v>4</v>
      </c>
      <c r="M4982" s="85">
        <v>0</v>
      </c>
      <c r="N4982" s="82" t="s">
        <v>12265</v>
      </c>
      <c r="O4982" s="93">
        <v>45906.672164351854</v>
      </c>
    </row>
    <row r="4983" spans="1:15" ht="22.5" customHeight="1">
      <c r="A4983" s="85">
        <v>174904221976312</v>
      </c>
      <c r="B4983" s="82" t="s">
        <v>10651</v>
      </c>
      <c r="C4983" s="82" t="s">
        <v>12266</v>
      </c>
      <c r="D4983" s="82" t="s">
        <v>12267</v>
      </c>
      <c r="E4983" s="82">
        <v>6282362576312</v>
      </c>
      <c r="F4983" s="94">
        <v>45905</v>
      </c>
      <c r="G4983" s="87">
        <v>218</v>
      </c>
      <c r="H4983" s="88">
        <v>57375.545851528383</v>
      </c>
      <c r="I4983" s="89">
        <v>8</v>
      </c>
      <c r="J4983" s="90">
        <v>13139</v>
      </c>
      <c r="K4983" s="85">
        <v>0</v>
      </c>
      <c r="L4983" s="85">
        <v>42</v>
      </c>
      <c r="M4983" s="85">
        <v>0</v>
      </c>
      <c r="N4983" s="82" t="s">
        <v>12268</v>
      </c>
      <c r="O4983" s="93">
        <v>45906.788969907408</v>
      </c>
    </row>
    <row r="4984" spans="1:15" ht="22.5" customHeight="1">
      <c r="A4984" s="85">
        <v>174904221976312</v>
      </c>
      <c r="B4984" s="82" t="s">
        <v>10651</v>
      </c>
      <c r="C4984" s="82" t="s">
        <v>12269</v>
      </c>
      <c r="D4984" s="82" t="s">
        <v>12270</v>
      </c>
      <c r="E4984" s="82">
        <v>6282229433259</v>
      </c>
      <c r="F4984" s="94">
        <v>45905</v>
      </c>
      <c r="G4984" s="87">
        <v>174</v>
      </c>
      <c r="H4984" s="88">
        <v>61310.160427807488</v>
      </c>
      <c r="I4984" s="89">
        <v>4</v>
      </c>
      <c r="J4984" s="90">
        <v>11465</v>
      </c>
      <c r="K4984" s="85">
        <v>1</v>
      </c>
      <c r="L4984" s="85">
        <v>0</v>
      </c>
      <c r="M4984" s="85">
        <v>0</v>
      </c>
      <c r="N4984" s="82" t="s">
        <v>12271</v>
      </c>
      <c r="O4984" s="93">
        <v>45906.79760416667</v>
      </c>
    </row>
    <row r="4985" spans="1:15" ht="22.5" customHeight="1">
      <c r="A4985" s="85">
        <v>174904221976312</v>
      </c>
      <c r="B4985" s="82" t="s">
        <v>10651</v>
      </c>
      <c r="C4985" s="82" t="s">
        <v>12272</v>
      </c>
      <c r="D4985" s="82" t="s">
        <v>11194</v>
      </c>
      <c r="E4985" s="82">
        <v>62895804080442</v>
      </c>
      <c r="F4985" s="94">
        <v>45905</v>
      </c>
      <c r="G4985" s="87">
        <v>419</v>
      </c>
      <c r="H4985" s="88">
        <v>23659.536541889483</v>
      </c>
      <c r="I4985" s="89">
        <v>25</v>
      </c>
      <c r="J4985" s="90">
        <v>13273</v>
      </c>
      <c r="K4985" s="85">
        <v>7</v>
      </c>
      <c r="L4985" s="85">
        <v>15</v>
      </c>
      <c r="M4985" s="85">
        <v>0</v>
      </c>
      <c r="N4985" s="82" t="s">
        <v>12273</v>
      </c>
      <c r="O4985" s="93">
        <v>45906.63076388889</v>
      </c>
    </row>
    <row r="4986" spans="1:15" ht="22.5" customHeight="1">
      <c r="A4986" s="85">
        <v>174904221976312</v>
      </c>
      <c r="B4986" s="82" t="s">
        <v>10651</v>
      </c>
      <c r="C4986" s="82" t="s">
        <v>12249</v>
      </c>
      <c r="D4986" s="82" t="s">
        <v>12250</v>
      </c>
      <c r="E4986" s="82">
        <v>6285242515222</v>
      </c>
      <c r="F4986" s="94">
        <v>45905</v>
      </c>
      <c r="G4986" s="87">
        <v>873</v>
      </c>
      <c r="H4986" s="88">
        <v>10965.371621621622</v>
      </c>
      <c r="I4986" s="89">
        <v>65</v>
      </c>
      <c r="J4986" s="90">
        <v>12983</v>
      </c>
      <c r="K4986" s="85">
        <v>2</v>
      </c>
      <c r="L4986" s="85">
        <v>0</v>
      </c>
      <c r="M4986" s="85">
        <v>1</v>
      </c>
      <c r="N4986" s="82" t="s">
        <v>12251</v>
      </c>
      <c r="O4986" s="93">
        <v>45906.484953703701</v>
      </c>
    </row>
    <row r="4987" spans="1:15" ht="22.5" customHeight="1">
      <c r="A4987" s="85">
        <v>174904221976312</v>
      </c>
      <c r="B4987" s="82" t="s">
        <v>10651</v>
      </c>
      <c r="C4987" s="82" t="s">
        <v>12234</v>
      </c>
      <c r="D4987" s="82" t="s">
        <v>12235</v>
      </c>
      <c r="E4987" s="82">
        <v>6285780314346</v>
      </c>
      <c r="F4987" s="94">
        <v>45905</v>
      </c>
      <c r="G4987" s="87">
        <v>945</v>
      </c>
      <c r="H4987" s="88">
        <v>10376.996805111821</v>
      </c>
      <c r="I4987" s="89">
        <v>75</v>
      </c>
      <c r="J4987" s="90">
        <v>12992</v>
      </c>
      <c r="K4987" s="85">
        <v>12</v>
      </c>
      <c r="L4987" s="85">
        <v>3</v>
      </c>
      <c r="M4987" s="85">
        <v>0</v>
      </c>
      <c r="N4987" s="82" t="s">
        <v>12236</v>
      </c>
      <c r="O4987" s="93">
        <v>45906.567835648151</v>
      </c>
    </row>
    <row r="4988" spans="1:15" ht="22.5" customHeight="1">
      <c r="A4988" s="85">
        <v>174904221976312</v>
      </c>
      <c r="B4988" s="82" t="s">
        <v>10651</v>
      </c>
      <c r="C4988" s="82" t="s">
        <v>12237</v>
      </c>
      <c r="D4988" s="82" t="s">
        <v>12238</v>
      </c>
      <c r="E4988" s="82">
        <v>6287888330007</v>
      </c>
      <c r="F4988" s="94">
        <v>45905</v>
      </c>
      <c r="G4988" s="87">
        <v>791</v>
      </c>
      <c r="H4988" s="88">
        <v>13603.483606557378</v>
      </c>
      <c r="I4988" s="89">
        <v>53</v>
      </c>
      <c r="J4988" s="90">
        <v>13277</v>
      </c>
      <c r="K4988" s="85">
        <v>7</v>
      </c>
      <c r="L4988" s="85">
        <v>256</v>
      </c>
      <c r="M4988" s="85">
        <v>0</v>
      </c>
      <c r="N4988" s="82" t="s">
        <v>12239</v>
      </c>
      <c r="O4988" s="93">
        <v>45906.526307870372</v>
      </c>
    </row>
    <row r="4989" spans="1:15" ht="22.5" customHeight="1">
      <c r="A4989" s="85">
        <v>174904221976312</v>
      </c>
      <c r="B4989" s="82" t="s">
        <v>10651</v>
      </c>
      <c r="C4989" s="82" t="s">
        <v>12240</v>
      </c>
      <c r="D4989" s="82" t="s">
        <v>12241</v>
      </c>
      <c r="E4989" s="82">
        <v>6285600822636</v>
      </c>
      <c r="F4989" s="94">
        <v>45905</v>
      </c>
      <c r="G4989" s="87">
        <v>797</v>
      </c>
      <c r="H4989" s="88">
        <v>13301.639344262296</v>
      </c>
      <c r="I4989" s="89">
        <v>13</v>
      </c>
      <c r="J4989" s="90">
        <v>12171</v>
      </c>
      <c r="K4989" s="85">
        <v>1</v>
      </c>
      <c r="L4989" s="85">
        <v>188</v>
      </c>
      <c r="M4989" s="85">
        <v>0</v>
      </c>
      <c r="N4989" s="82" t="s">
        <v>12274</v>
      </c>
      <c r="O4989" s="93">
        <v>45906.821076388886</v>
      </c>
    </row>
    <row r="4990" spans="1:15" ht="22.5" customHeight="1">
      <c r="A4990" s="85">
        <v>174904221976312</v>
      </c>
      <c r="B4990" s="82" t="s">
        <v>10651</v>
      </c>
      <c r="C4990" s="82" t="s">
        <v>12229</v>
      </c>
      <c r="D4990" s="82" t="s">
        <v>4794</v>
      </c>
      <c r="E4990" s="82">
        <v>6285655300070</v>
      </c>
      <c r="F4990" s="94">
        <v>45905</v>
      </c>
      <c r="G4990" s="87">
        <v>11785</v>
      </c>
      <c r="H4990" s="88">
        <v>1097.5385130609511</v>
      </c>
      <c r="I4990" s="89">
        <v>14</v>
      </c>
      <c r="J4990" s="90">
        <v>13109</v>
      </c>
      <c r="K4990" s="85">
        <v>0</v>
      </c>
      <c r="L4990" s="85">
        <v>49</v>
      </c>
      <c r="M4990" s="85">
        <v>0</v>
      </c>
      <c r="N4990" s="82" t="s">
        <v>12230</v>
      </c>
      <c r="O4990" s="93">
        <v>45906.630462962959</v>
      </c>
    </row>
    <row r="4991" spans="1:15" ht="22.5" customHeight="1">
      <c r="A4991" s="85">
        <v>174904221976312</v>
      </c>
      <c r="B4991" s="82" t="s">
        <v>10651</v>
      </c>
      <c r="C4991" s="82" t="s">
        <v>12202</v>
      </c>
      <c r="D4991" s="82" t="s">
        <v>2370</v>
      </c>
      <c r="E4991" s="82">
        <v>6281317409433</v>
      </c>
      <c r="F4991" s="94">
        <v>45905</v>
      </c>
      <c r="G4991" s="87">
        <v>431</v>
      </c>
      <c r="H4991" s="88">
        <v>28991.718426501033</v>
      </c>
      <c r="I4991" s="89">
        <v>22</v>
      </c>
      <c r="J4991" s="90">
        <v>14003</v>
      </c>
      <c r="K4991" s="85">
        <v>3</v>
      </c>
      <c r="L4991" s="85">
        <v>4</v>
      </c>
      <c r="M4991" s="85">
        <v>0</v>
      </c>
      <c r="N4991" s="82" t="s">
        <v>12203</v>
      </c>
      <c r="O4991" s="93">
        <v>45906.50582175926</v>
      </c>
    </row>
    <row r="4992" spans="1:15" ht="22.5" customHeight="1">
      <c r="A4992" s="85">
        <v>174904221976312</v>
      </c>
      <c r="B4992" s="82" t="s">
        <v>10651</v>
      </c>
      <c r="C4992" s="82" t="s">
        <v>12204</v>
      </c>
      <c r="D4992" s="82" t="s">
        <v>12205</v>
      </c>
      <c r="E4992" s="82">
        <v>6281262080126</v>
      </c>
      <c r="F4992" s="94">
        <v>45905</v>
      </c>
      <c r="G4992" s="87">
        <v>591</v>
      </c>
      <c r="H4992" s="88">
        <v>19765.02002670227</v>
      </c>
      <c r="I4992" s="89">
        <v>11</v>
      </c>
      <c r="J4992" s="90">
        <v>14804</v>
      </c>
      <c r="K4992" s="85">
        <v>3</v>
      </c>
      <c r="L4992" s="85">
        <v>0</v>
      </c>
      <c r="M4992" s="85">
        <v>0</v>
      </c>
      <c r="N4992" s="82" t="s">
        <v>12231</v>
      </c>
      <c r="O4992" s="93">
        <v>45906.526296296295</v>
      </c>
    </row>
    <row r="4993" spans="1:15" ht="22.5" customHeight="1">
      <c r="A4993" s="85">
        <v>174904221976312</v>
      </c>
      <c r="B4993" s="82" t="s">
        <v>10651</v>
      </c>
      <c r="C4993" s="82" t="s">
        <v>12207</v>
      </c>
      <c r="D4993" s="91" t="s">
        <v>4875</v>
      </c>
      <c r="E4993" s="82">
        <v>6285719003688</v>
      </c>
      <c r="F4993" s="94">
        <v>45905</v>
      </c>
      <c r="G4993" s="87">
        <v>73</v>
      </c>
      <c r="H4993" s="88">
        <v>142096.38554216866</v>
      </c>
      <c r="I4993" s="89">
        <v>3</v>
      </c>
      <c r="J4993" s="90">
        <v>11794</v>
      </c>
      <c r="K4993" s="85">
        <v>1</v>
      </c>
      <c r="L4993" s="85">
        <v>0</v>
      </c>
      <c r="M4993" s="85">
        <v>0</v>
      </c>
      <c r="N4993" s="82" t="s">
        <v>12232</v>
      </c>
      <c r="O4993" s="93">
        <v>45906.380949074075</v>
      </c>
    </row>
    <row r="4994" spans="1:15" ht="22.5" customHeight="1">
      <c r="A4994" s="85">
        <v>174904221976312</v>
      </c>
      <c r="B4994" s="82" t="s">
        <v>10651</v>
      </c>
      <c r="C4994" s="82" t="s">
        <v>12209</v>
      </c>
      <c r="D4994" s="82" t="s">
        <v>12210</v>
      </c>
      <c r="E4994" s="82">
        <v>6282217300224</v>
      </c>
      <c r="F4994" s="94">
        <v>45905</v>
      </c>
      <c r="G4994" s="87">
        <v>181</v>
      </c>
      <c r="H4994" s="88">
        <v>71598.958333333328</v>
      </c>
      <c r="I4994" s="89">
        <v>4</v>
      </c>
      <c r="J4994" s="90">
        <v>13747</v>
      </c>
      <c r="K4994" s="85">
        <v>0</v>
      </c>
      <c r="L4994" s="85">
        <v>0</v>
      </c>
      <c r="M4994" s="85">
        <v>0</v>
      </c>
      <c r="N4994" s="82" t="s">
        <v>12233</v>
      </c>
      <c r="O4994" s="93">
        <v>45906.505844907406</v>
      </c>
    </row>
    <row r="4995" spans="1:15" ht="22.5" customHeight="1">
      <c r="A4995" s="85">
        <v>174904221976312</v>
      </c>
      <c r="B4995" s="82" t="s">
        <v>10651</v>
      </c>
      <c r="C4995" s="82" t="s">
        <v>12176</v>
      </c>
      <c r="D4995" s="82" t="s">
        <v>12177</v>
      </c>
      <c r="E4995" s="82">
        <v>6285748377961</v>
      </c>
      <c r="F4995" s="94">
        <v>45905</v>
      </c>
      <c r="G4995" s="87">
        <v>417</v>
      </c>
      <c r="H4995" s="88">
        <v>31075.268817204302</v>
      </c>
      <c r="I4995" s="89">
        <v>10</v>
      </c>
      <c r="J4995" s="90">
        <v>14450</v>
      </c>
      <c r="K4995" s="85">
        <v>2</v>
      </c>
      <c r="L4995" s="85">
        <v>0</v>
      </c>
      <c r="M4995" s="85">
        <v>0</v>
      </c>
      <c r="N4995" s="82" t="s">
        <v>12178</v>
      </c>
      <c r="O4995" s="93">
        <v>45906.464143518519</v>
      </c>
    </row>
    <row r="4996" spans="1:15" ht="22.5" customHeight="1">
      <c r="A4996" s="85">
        <v>174904221976312</v>
      </c>
      <c r="B4996" s="82" t="s">
        <v>10651</v>
      </c>
      <c r="C4996" s="82" t="s">
        <v>12179</v>
      </c>
      <c r="D4996" s="82" t="s">
        <v>12180</v>
      </c>
      <c r="E4996" s="82">
        <v>6281222200099</v>
      </c>
      <c r="F4996" s="94">
        <v>45905</v>
      </c>
      <c r="G4996" s="87">
        <v>430</v>
      </c>
      <c r="H4996" s="88">
        <v>28269.158878504673</v>
      </c>
      <c r="I4996" s="89">
        <v>26</v>
      </c>
      <c r="J4996" s="90">
        <v>15124</v>
      </c>
      <c r="K4996" s="85">
        <v>8</v>
      </c>
      <c r="L4996" s="85">
        <v>0</v>
      </c>
      <c r="M4996" s="85">
        <v>0</v>
      </c>
      <c r="N4996" s="82" t="s">
        <v>12243</v>
      </c>
      <c r="O4996" s="93">
        <v>45906.2190625</v>
      </c>
    </row>
    <row r="4997" spans="1:15" ht="22.5" customHeight="1">
      <c r="A4997" s="85">
        <v>174904221976312</v>
      </c>
      <c r="B4997" s="82" t="s">
        <v>10651</v>
      </c>
      <c r="C4997" s="82" t="s">
        <v>12182</v>
      </c>
      <c r="D4997" s="82" t="s">
        <v>12183</v>
      </c>
      <c r="E4997" s="82">
        <v>6285645712595</v>
      </c>
      <c r="F4997" s="94">
        <v>45905</v>
      </c>
      <c r="G4997" s="87">
        <v>299</v>
      </c>
      <c r="H4997" s="88">
        <v>37251.381215469613</v>
      </c>
      <c r="I4997" s="89">
        <v>4</v>
      </c>
      <c r="J4997" s="90">
        <v>13485</v>
      </c>
      <c r="K4997" s="85">
        <v>0</v>
      </c>
      <c r="L4997" s="85">
        <v>0</v>
      </c>
      <c r="M4997" s="85">
        <v>0</v>
      </c>
      <c r="N4997" s="82" t="s">
        <v>12212</v>
      </c>
      <c r="O4997" s="93">
        <v>45906.2190625</v>
      </c>
    </row>
    <row r="4998" spans="1:15" ht="22.5" customHeight="1">
      <c r="A4998" s="85">
        <v>174904221976312</v>
      </c>
      <c r="B4998" s="82" t="s">
        <v>10651</v>
      </c>
      <c r="C4998" s="82" t="s">
        <v>12185</v>
      </c>
      <c r="D4998" s="82" t="s">
        <v>12186</v>
      </c>
      <c r="E4998" s="82">
        <v>6285771466144</v>
      </c>
      <c r="F4998" s="94">
        <v>45905</v>
      </c>
      <c r="G4998" s="87">
        <v>717</v>
      </c>
      <c r="H4998" s="88">
        <v>16084.959816303101</v>
      </c>
      <c r="I4998" s="89">
        <v>16</v>
      </c>
      <c r="J4998" s="90">
        <v>14010</v>
      </c>
      <c r="K4998" s="85">
        <v>2</v>
      </c>
      <c r="L4998" s="85">
        <v>219</v>
      </c>
      <c r="M4998" s="85">
        <v>2</v>
      </c>
      <c r="N4998" s="82" t="s">
        <v>12213</v>
      </c>
      <c r="O4998" s="93">
        <v>45906.219050925924</v>
      </c>
    </row>
    <row r="4999" spans="1:15" ht="22.5" customHeight="1">
      <c r="A4999" s="85">
        <v>174904221976312</v>
      </c>
      <c r="B4999" s="82" t="s">
        <v>10651</v>
      </c>
      <c r="C4999" s="82" t="s">
        <v>12188</v>
      </c>
      <c r="D4999" s="82" t="s">
        <v>12189</v>
      </c>
      <c r="E4999" s="82">
        <v>6285864550854</v>
      </c>
      <c r="F4999" s="94">
        <v>45905</v>
      </c>
      <c r="G4999" s="87">
        <v>166</v>
      </c>
      <c r="H4999" s="88">
        <v>65381.443298969076</v>
      </c>
      <c r="I4999" s="89">
        <v>5</v>
      </c>
      <c r="J4999" s="90">
        <v>12684</v>
      </c>
      <c r="K4999" s="85">
        <v>1</v>
      </c>
      <c r="L4999" s="85">
        <v>7</v>
      </c>
      <c r="M4999" s="85">
        <v>0</v>
      </c>
      <c r="N4999" s="82" t="s">
        <v>12190</v>
      </c>
      <c r="O4999" s="93">
        <v>45906.2190625</v>
      </c>
    </row>
    <row r="5000" spans="1:15" ht="22.5" customHeight="1">
      <c r="A5000" s="85">
        <v>174904221976312</v>
      </c>
      <c r="B5000" s="82" t="s">
        <v>10651</v>
      </c>
      <c r="C5000" s="82" t="s">
        <v>12191</v>
      </c>
      <c r="D5000" s="82" t="s">
        <v>12192</v>
      </c>
      <c r="E5000" s="82">
        <v>6289606523838</v>
      </c>
      <c r="F5000" s="94">
        <v>45905</v>
      </c>
      <c r="G5000" s="87">
        <v>1140</v>
      </c>
      <c r="H5000" s="88">
        <v>9747.5083056478416</v>
      </c>
      <c r="I5000" s="89">
        <v>25</v>
      </c>
      <c r="J5000" s="90">
        <v>14670</v>
      </c>
      <c r="K5000" s="85">
        <v>2</v>
      </c>
      <c r="L5000" s="85">
        <v>0</v>
      </c>
      <c r="M5000" s="85">
        <v>0</v>
      </c>
      <c r="N5000" s="82" t="s">
        <v>12214</v>
      </c>
      <c r="O5000" s="93">
        <v>45906.219050925924</v>
      </c>
    </row>
    <row r="5001" spans="1:15" ht="22.5" customHeight="1">
      <c r="A5001" s="85">
        <v>174904221976312</v>
      </c>
      <c r="B5001" s="82" t="s">
        <v>10651</v>
      </c>
      <c r="C5001" s="82" t="s">
        <v>12171</v>
      </c>
      <c r="D5001" s="82" t="s">
        <v>4386</v>
      </c>
      <c r="E5001" s="82">
        <v>62818533354</v>
      </c>
      <c r="F5001" s="94">
        <v>45905</v>
      </c>
      <c r="G5001" s="87">
        <v>275</v>
      </c>
      <c r="H5001" s="88">
        <v>47601.246105919003</v>
      </c>
      <c r="I5001" s="89">
        <v>10</v>
      </c>
      <c r="J5001" s="90">
        <v>15280</v>
      </c>
      <c r="K5001" s="85">
        <v>3</v>
      </c>
      <c r="L5001" s="85">
        <v>0</v>
      </c>
      <c r="M5001" s="85">
        <v>0</v>
      </c>
      <c r="N5001" s="82" t="s">
        <v>12218</v>
      </c>
      <c r="O5001" s="93">
        <v>45906.505833333336</v>
      </c>
    </row>
    <row r="5002" spans="1:15" ht="22.5" customHeight="1">
      <c r="A5002" s="85">
        <v>174904221976312</v>
      </c>
      <c r="B5002" s="82" t="s">
        <v>10651</v>
      </c>
      <c r="C5002" s="82" t="s">
        <v>12130</v>
      </c>
      <c r="D5002" s="82" t="s">
        <v>12131</v>
      </c>
      <c r="E5002" s="82">
        <v>6281239004410</v>
      </c>
      <c r="F5002" s="94">
        <v>45905</v>
      </c>
      <c r="G5002" s="87">
        <v>227</v>
      </c>
      <c r="H5002" s="88">
        <v>61957.983193277309</v>
      </c>
      <c r="I5002" s="89">
        <v>2</v>
      </c>
      <c r="J5002" s="90">
        <v>14746</v>
      </c>
      <c r="K5002" s="85">
        <v>0</v>
      </c>
      <c r="L5002" s="85">
        <v>0</v>
      </c>
      <c r="M5002" s="85">
        <v>0</v>
      </c>
      <c r="N5002" s="82" t="s">
        <v>12220</v>
      </c>
      <c r="O5002" s="93">
        <v>45906.464131944442</v>
      </c>
    </row>
    <row r="5003" spans="1:15" ht="22.5" customHeight="1">
      <c r="A5003" s="85">
        <v>174904221976312</v>
      </c>
      <c r="B5003" s="82" t="s">
        <v>10651</v>
      </c>
      <c r="C5003" s="82" t="s">
        <v>12122</v>
      </c>
      <c r="D5003" s="82" t="s">
        <v>12123</v>
      </c>
      <c r="E5003" s="82">
        <v>6285720705874</v>
      </c>
      <c r="F5003" s="94">
        <v>45905</v>
      </c>
      <c r="G5003" s="87">
        <v>841</v>
      </c>
      <c r="H5003" s="88">
        <v>14436.382754994742</v>
      </c>
      <c r="I5003" s="89">
        <v>40</v>
      </c>
      <c r="J5003" s="90">
        <v>13729</v>
      </c>
      <c r="K5003" s="85">
        <v>7</v>
      </c>
      <c r="L5003" s="85">
        <v>327</v>
      </c>
      <c r="M5003" s="85">
        <v>1</v>
      </c>
      <c r="N5003" s="82" t="s">
        <v>12124</v>
      </c>
      <c r="O5003" s="93">
        <v>45906.219074074077</v>
      </c>
    </row>
    <row r="5004" spans="1:15" ht="22.5" customHeight="1">
      <c r="A5004" s="85">
        <v>174904221976312</v>
      </c>
      <c r="B5004" s="82" t="s">
        <v>10651</v>
      </c>
      <c r="C5004" s="82" t="s">
        <v>12100</v>
      </c>
      <c r="D5004" s="82" t="s">
        <v>6091</v>
      </c>
      <c r="E5004" s="82">
        <v>6281938384000</v>
      </c>
      <c r="F5004" s="94">
        <v>45905</v>
      </c>
      <c r="G5004" s="87">
        <v>287</v>
      </c>
      <c r="H5004" s="88">
        <v>35367.924528301883</v>
      </c>
      <c r="I5004" s="89">
        <v>11</v>
      </c>
      <c r="J5004" s="90">
        <v>11247</v>
      </c>
      <c r="K5004" s="85">
        <v>2</v>
      </c>
      <c r="L5004" s="85">
        <v>0</v>
      </c>
      <c r="M5004" s="85">
        <v>0</v>
      </c>
      <c r="N5004" s="82" t="s">
        <v>12221</v>
      </c>
      <c r="O5004" s="93">
        <v>45906.219074074077</v>
      </c>
    </row>
    <row r="5005" spans="1:15" ht="22.5" customHeight="1">
      <c r="A5005" s="85">
        <v>174904221976312</v>
      </c>
      <c r="B5005" s="82" t="s">
        <v>10651</v>
      </c>
      <c r="C5005" s="82" t="s">
        <v>12102</v>
      </c>
      <c r="D5005" s="82" t="s">
        <v>12103</v>
      </c>
      <c r="E5005" s="82">
        <v>628122577723</v>
      </c>
      <c r="F5005" s="94">
        <v>45905</v>
      </c>
      <c r="G5005" s="87">
        <v>402</v>
      </c>
      <c r="H5005" s="88">
        <v>28722.440944881888</v>
      </c>
      <c r="I5005" s="89">
        <v>10</v>
      </c>
      <c r="J5005" s="90">
        <v>14591</v>
      </c>
      <c r="K5005" s="85">
        <v>3</v>
      </c>
      <c r="L5005" s="85">
        <v>0</v>
      </c>
      <c r="M5005" s="85">
        <v>0</v>
      </c>
      <c r="N5005" s="82" t="s">
        <v>12244</v>
      </c>
      <c r="O5005" s="93">
        <v>45906.443101851852</v>
      </c>
    </row>
    <row r="5006" spans="1:15" ht="22.5" customHeight="1">
      <c r="A5006" s="85">
        <v>174904221976312</v>
      </c>
      <c r="B5006" s="82" t="s">
        <v>10651</v>
      </c>
      <c r="C5006" s="82" t="s">
        <v>12109</v>
      </c>
      <c r="D5006" s="82" t="s">
        <v>12110</v>
      </c>
      <c r="E5006" s="82">
        <v>6287777304498</v>
      </c>
      <c r="F5006" s="94">
        <v>45905</v>
      </c>
      <c r="G5006" s="87">
        <v>132</v>
      </c>
      <c r="H5006" s="88">
        <v>89271.523178807955</v>
      </c>
      <c r="I5006" s="89">
        <v>3</v>
      </c>
      <c r="J5006" s="90">
        <v>13480</v>
      </c>
      <c r="K5006" s="85">
        <v>0</v>
      </c>
      <c r="L5006" s="85">
        <v>0</v>
      </c>
      <c r="M5006" s="85">
        <v>0</v>
      </c>
      <c r="N5006" s="82" t="s">
        <v>12245</v>
      </c>
      <c r="O5006" s="93">
        <v>45906.505810185183</v>
      </c>
    </row>
    <row r="5007" spans="1:15" ht="22.5" customHeight="1">
      <c r="A5007" s="85">
        <v>174904221976312</v>
      </c>
      <c r="B5007" s="82" t="s">
        <v>10651</v>
      </c>
      <c r="C5007" s="82" t="s">
        <v>12058</v>
      </c>
      <c r="D5007" s="82" t="s">
        <v>4516</v>
      </c>
      <c r="E5007" s="82">
        <v>6281315163838</v>
      </c>
      <c r="F5007" s="94">
        <v>45905</v>
      </c>
      <c r="G5007" s="87">
        <v>184</v>
      </c>
      <c r="H5007" s="88">
        <v>75465.686274509804</v>
      </c>
      <c r="I5007" s="89">
        <v>8</v>
      </c>
      <c r="J5007" s="90">
        <v>15395</v>
      </c>
      <c r="K5007" s="85">
        <v>3</v>
      </c>
      <c r="L5007" s="85">
        <v>0</v>
      </c>
      <c r="M5007" s="85">
        <v>0</v>
      </c>
      <c r="N5007" s="82" t="s">
        <v>12222</v>
      </c>
      <c r="O5007" s="93">
        <v>45906.464143518519</v>
      </c>
    </row>
    <row r="5008" spans="1:15" ht="22.5" customHeight="1">
      <c r="A5008" s="85">
        <v>174904221976312</v>
      </c>
      <c r="B5008" s="82" t="s">
        <v>10651</v>
      </c>
      <c r="C5008" s="82" t="s">
        <v>12039</v>
      </c>
      <c r="D5008" s="82" t="s">
        <v>12040</v>
      </c>
      <c r="E5008" s="82">
        <v>6281330410391</v>
      </c>
      <c r="F5008" s="94">
        <v>45905</v>
      </c>
      <c r="G5008" s="87">
        <v>875</v>
      </c>
      <c r="H5008" s="88">
        <v>14705.826170009552</v>
      </c>
      <c r="I5008" s="89">
        <v>55</v>
      </c>
      <c r="J5008" s="90">
        <v>15397</v>
      </c>
      <c r="K5008" s="85">
        <v>4</v>
      </c>
      <c r="L5008" s="85">
        <v>0</v>
      </c>
      <c r="M5008" s="85">
        <v>1</v>
      </c>
      <c r="N5008" s="82" t="s">
        <v>12041</v>
      </c>
      <c r="O5008" s="93">
        <v>45906.54724537037</v>
      </c>
    </row>
    <row r="5009" spans="1:15" ht="22.5" customHeight="1">
      <c r="A5009" s="85">
        <v>174904221976312</v>
      </c>
      <c r="B5009" s="82" t="s">
        <v>10651</v>
      </c>
      <c r="C5009" s="82" t="s">
        <v>12019</v>
      </c>
      <c r="D5009" s="82" t="s">
        <v>12020</v>
      </c>
      <c r="E5009" s="82">
        <v>6287862271550</v>
      </c>
      <c r="F5009" s="94">
        <v>45905</v>
      </c>
      <c r="G5009" s="87">
        <v>647</v>
      </c>
      <c r="H5009" s="88">
        <v>20409.276944065485</v>
      </c>
      <c r="I5009" s="89">
        <v>32</v>
      </c>
      <c r="J5009" s="90">
        <v>14960</v>
      </c>
      <c r="K5009" s="85">
        <v>3</v>
      </c>
      <c r="L5009" s="85">
        <v>260</v>
      </c>
      <c r="M5009" s="85">
        <v>1</v>
      </c>
      <c r="N5009" s="82" t="s">
        <v>12246</v>
      </c>
      <c r="O5009" s="93">
        <v>45906.443101851852</v>
      </c>
    </row>
    <row r="5010" spans="1:15" ht="22.5" customHeight="1">
      <c r="A5010" s="85">
        <v>174904221976312</v>
      </c>
      <c r="B5010" s="82" t="s">
        <v>10651</v>
      </c>
      <c r="C5010" s="82" t="s">
        <v>12007</v>
      </c>
      <c r="D5010" s="82" t="s">
        <v>9010</v>
      </c>
      <c r="E5010" s="82">
        <v>6282160743576</v>
      </c>
      <c r="F5010" s="94">
        <v>45905</v>
      </c>
      <c r="G5010" s="87">
        <v>674</v>
      </c>
      <c r="H5010" s="88">
        <v>14579.25407925408</v>
      </c>
      <c r="I5010" s="89">
        <v>31</v>
      </c>
      <c r="J5010" s="90">
        <v>12509</v>
      </c>
      <c r="K5010" s="85">
        <v>3</v>
      </c>
      <c r="L5010" s="85">
        <v>3</v>
      </c>
      <c r="M5010" s="85">
        <v>1</v>
      </c>
      <c r="N5010" s="82" t="s">
        <v>12008</v>
      </c>
      <c r="O5010" s="93">
        <v>45906.50582175926</v>
      </c>
    </row>
    <row r="5011" spans="1:15" ht="22.5" customHeight="1">
      <c r="A5011" s="85">
        <v>174904221976312</v>
      </c>
      <c r="B5011" s="82" t="s">
        <v>10651</v>
      </c>
      <c r="C5011" s="82" t="s">
        <v>11908</v>
      </c>
      <c r="D5011" s="82" t="s">
        <v>3969</v>
      </c>
      <c r="E5011" s="82">
        <v>62881010328220</v>
      </c>
      <c r="F5011" s="94">
        <v>45905</v>
      </c>
      <c r="G5011" s="87">
        <v>122</v>
      </c>
      <c r="H5011" s="88">
        <v>91676.923076923078</v>
      </c>
      <c r="I5011" s="89">
        <v>2</v>
      </c>
      <c r="J5011" s="90">
        <v>11918</v>
      </c>
      <c r="K5011" s="85">
        <v>1</v>
      </c>
      <c r="L5011" s="85">
        <v>73</v>
      </c>
      <c r="M5011" s="85">
        <v>0</v>
      </c>
      <c r="N5011" s="82" t="s">
        <v>12252</v>
      </c>
      <c r="O5011" s="93">
        <v>45906.443113425928</v>
      </c>
    </row>
    <row r="5012" spans="1:15" ht="22.5" customHeight="1">
      <c r="A5012" s="85">
        <v>174904221976312</v>
      </c>
      <c r="B5012" s="82" t="s">
        <v>10651</v>
      </c>
      <c r="C5012" s="82" t="s">
        <v>11838</v>
      </c>
      <c r="D5012" s="82" t="s">
        <v>11839</v>
      </c>
      <c r="E5012" s="82">
        <v>6287797504113</v>
      </c>
      <c r="F5012" s="94">
        <v>45905</v>
      </c>
      <c r="G5012" s="87">
        <v>244</v>
      </c>
      <c r="H5012" s="88">
        <v>62192.857142857145</v>
      </c>
      <c r="I5012" s="89">
        <v>9</v>
      </c>
      <c r="J5012" s="90">
        <v>17414</v>
      </c>
      <c r="K5012" s="85">
        <v>0</v>
      </c>
      <c r="L5012" s="85">
        <v>0</v>
      </c>
      <c r="M5012" s="85">
        <v>0</v>
      </c>
      <c r="N5012" s="82" t="s">
        <v>12247</v>
      </c>
      <c r="O5012" s="93">
        <v>45906.422303240739</v>
      </c>
    </row>
    <row r="5013" spans="1:15" ht="22.5" customHeight="1">
      <c r="A5013" s="85">
        <v>174904221976312</v>
      </c>
      <c r="B5013" s="82" t="s">
        <v>10651</v>
      </c>
      <c r="C5013" s="82" t="s">
        <v>11806</v>
      </c>
      <c r="D5013" s="82" t="s">
        <v>11807</v>
      </c>
      <c r="E5013" s="82">
        <v>6285338373761</v>
      </c>
      <c r="F5013" s="94">
        <v>45905</v>
      </c>
      <c r="G5013" s="87">
        <v>727</v>
      </c>
      <c r="H5013" s="88">
        <v>19275.061124694374</v>
      </c>
      <c r="I5013" s="89">
        <v>44</v>
      </c>
      <c r="J5013" s="90">
        <v>15767</v>
      </c>
      <c r="K5013" s="85">
        <v>5</v>
      </c>
      <c r="L5013" s="85">
        <v>0</v>
      </c>
      <c r="M5013" s="85">
        <v>0</v>
      </c>
      <c r="N5013" s="82" t="s">
        <v>12275</v>
      </c>
      <c r="O5013" s="93">
        <v>45906.255856481483</v>
      </c>
    </row>
    <row r="5014" spans="1:15" ht="22.5" customHeight="1">
      <c r="A5014" s="85">
        <v>174904221976312</v>
      </c>
      <c r="B5014" s="82" t="s">
        <v>10651</v>
      </c>
      <c r="C5014" s="82" t="s">
        <v>11780</v>
      </c>
      <c r="D5014" s="82" t="s">
        <v>11781</v>
      </c>
      <c r="E5014" s="82">
        <v>6282129364133</v>
      </c>
      <c r="F5014" s="94">
        <v>45905</v>
      </c>
      <c r="G5014" s="87">
        <v>248</v>
      </c>
      <c r="H5014" s="88">
        <v>37162.650602409638</v>
      </c>
      <c r="I5014" s="89">
        <v>5</v>
      </c>
      <c r="J5014" s="90">
        <v>12338</v>
      </c>
      <c r="K5014" s="85">
        <v>1</v>
      </c>
      <c r="L5014" s="85">
        <v>0</v>
      </c>
      <c r="M5014" s="85">
        <v>0</v>
      </c>
      <c r="N5014" s="82" t="s">
        <v>12224</v>
      </c>
      <c r="O5014" s="93">
        <v>45906.443124999998</v>
      </c>
    </row>
    <row r="5015" spans="1:15" ht="22.5" customHeight="1">
      <c r="A5015" s="85">
        <v>174904221976312</v>
      </c>
      <c r="B5015" s="82" t="s">
        <v>10651</v>
      </c>
      <c r="C5015" s="82" t="s">
        <v>11758</v>
      </c>
      <c r="D5015" s="82" t="s">
        <v>11759</v>
      </c>
      <c r="E5015" s="82">
        <v>6285946504405</v>
      </c>
      <c r="F5015" s="94">
        <v>45905</v>
      </c>
      <c r="G5015" s="87">
        <v>155</v>
      </c>
      <c r="H5015" s="88">
        <v>67796.791443850263</v>
      </c>
      <c r="I5015" s="89">
        <v>2</v>
      </c>
      <c r="J5015" s="90">
        <v>12678</v>
      </c>
      <c r="K5015" s="85">
        <v>1</v>
      </c>
      <c r="L5015" s="85">
        <v>0</v>
      </c>
      <c r="M5015" s="85">
        <v>0</v>
      </c>
      <c r="N5015" s="82" t="s">
        <v>12248</v>
      </c>
      <c r="O5015" s="93">
        <v>45906.443113425928</v>
      </c>
    </row>
    <row r="5016" spans="1:15" ht="22.5" customHeight="1">
      <c r="A5016" s="85">
        <v>174904221976312</v>
      </c>
      <c r="B5016" s="82" t="s">
        <v>10651</v>
      </c>
      <c r="C5016" s="82" t="s">
        <v>11641</v>
      </c>
      <c r="D5016" s="82" t="s">
        <v>3229</v>
      </c>
      <c r="E5016" s="82">
        <v>6287865111033</v>
      </c>
      <c r="F5016" s="94">
        <v>45905</v>
      </c>
      <c r="G5016" s="87">
        <v>1078</v>
      </c>
      <c r="H5016" s="88">
        <v>9272.795216741406</v>
      </c>
      <c r="I5016" s="89">
        <v>38</v>
      </c>
      <c r="J5016" s="90">
        <v>12407</v>
      </c>
      <c r="K5016" s="85">
        <v>1</v>
      </c>
      <c r="L5016" s="85">
        <v>444</v>
      </c>
      <c r="M5016" s="85">
        <v>2</v>
      </c>
      <c r="N5016" s="82" t="s">
        <v>12225</v>
      </c>
      <c r="O5016" s="93">
        <v>45906.219074074077</v>
      </c>
    </row>
    <row r="5017" spans="1:15" ht="22.5" customHeight="1">
      <c r="A5017" s="85">
        <v>174904221976312</v>
      </c>
      <c r="B5017" s="82" t="s">
        <v>10651</v>
      </c>
      <c r="C5017" s="82" t="s">
        <v>11578</v>
      </c>
      <c r="D5017" s="82" t="s">
        <v>1624</v>
      </c>
      <c r="E5017" s="82">
        <v>6281938384000</v>
      </c>
      <c r="F5017" s="94">
        <v>45905</v>
      </c>
      <c r="G5017" s="87">
        <v>988</v>
      </c>
      <c r="H5017" s="88">
        <v>12352.791878172589</v>
      </c>
      <c r="I5017" s="89">
        <v>16</v>
      </c>
      <c r="J5017" s="90">
        <v>14601</v>
      </c>
      <c r="K5017" s="85">
        <v>1</v>
      </c>
      <c r="L5017" s="85">
        <v>0</v>
      </c>
      <c r="M5017" s="85">
        <v>0</v>
      </c>
      <c r="N5017" s="82" t="s">
        <v>12154</v>
      </c>
      <c r="O5017" s="93">
        <v>45906.464375000003</v>
      </c>
    </row>
    <row r="5018" spans="1:15" ht="22.5" customHeight="1">
      <c r="A5018" s="85">
        <v>174904221976312</v>
      </c>
      <c r="B5018" s="82" t="s">
        <v>10651</v>
      </c>
      <c r="C5018" s="82" t="s">
        <v>11580</v>
      </c>
      <c r="D5018" s="82" t="s">
        <v>11581</v>
      </c>
      <c r="E5018" s="82">
        <v>6287790276733</v>
      </c>
      <c r="F5018" s="94">
        <v>45905</v>
      </c>
      <c r="G5018" s="87">
        <v>568</v>
      </c>
      <c r="H5018" s="88">
        <v>19458.005249343831</v>
      </c>
      <c r="I5018" s="89">
        <v>15</v>
      </c>
      <c r="J5018" s="90">
        <v>14827</v>
      </c>
      <c r="K5018" s="85">
        <v>0</v>
      </c>
      <c r="L5018" s="85">
        <v>0</v>
      </c>
      <c r="M5018" s="85">
        <v>1</v>
      </c>
      <c r="N5018" s="82" t="s">
        <v>12226</v>
      </c>
      <c r="O5018" s="93">
        <v>45906.484965277778</v>
      </c>
    </row>
    <row r="5019" spans="1:15" ht="22.5" customHeight="1">
      <c r="A5019" s="85">
        <v>759724529202804</v>
      </c>
      <c r="B5019" s="82" t="s">
        <v>10621</v>
      </c>
      <c r="C5019" s="82" t="s">
        <v>12227</v>
      </c>
      <c r="D5019" s="82" t="s">
        <v>4938</v>
      </c>
      <c r="E5019" s="82">
        <v>6287835601400</v>
      </c>
      <c r="F5019" s="94">
        <v>45906</v>
      </c>
      <c r="G5019" s="87">
        <v>681</v>
      </c>
      <c r="H5019" s="88">
        <v>21359.843546284224</v>
      </c>
      <c r="I5019" s="89">
        <v>18</v>
      </c>
      <c r="J5019" s="90">
        <v>16383</v>
      </c>
      <c r="K5019" s="85">
        <v>1</v>
      </c>
      <c r="L5019" s="85">
        <v>246</v>
      </c>
      <c r="M5019" s="85">
        <v>0</v>
      </c>
      <c r="N5019" s="82" t="s">
        <v>12228</v>
      </c>
      <c r="O5019" s="93">
        <v>45907.214201388888</v>
      </c>
    </row>
    <row r="5020" spans="1:15" ht="22.5" customHeight="1">
      <c r="A5020" s="85">
        <v>759724529202804</v>
      </c>
      <c r="B5020" s="82" t="s">
        <v>10621</v>
      </c>
      <c r="C5020" s="82" t="s">
        <v>11055</v>
      </c>
      <c r="D5020" s="82" t="s">
        <v>1021</v>
      </c>
      <c r="E5020" s="82"/>
      <c r="F5020" s="94">
        <v>45906</v>
      </c>
      <c r="G5020" s="87">
        <v>961</v>
      </c>
      <c r="H5020" s="88">
        <v>39953.729933899907</v>
      </c>
      <c r="I5020" s="89">
        <v>21</v>
      </c>
      <c r="J5020" s="90">
        <v>42311</v>
      </c>
      <c r="K5020" s="85">
        <v>3</v>
      </c>
      <c r="L5020" s="85">
        <v>297</v>
      </c>
      <c r="M5020" s="85">
        <v>1</v>
      </c>
      <c r="N5020" s="82" t="s">
        <v>11056</v>
      </c>
      <c r="O5020" s="93">
        <v>45907.367939814816</v>
      </c>
    </row>
    <row r="5021" spans="1:15" ht="22.5" customHeight="1">
      <c r="A5021" s="85">
        <v>759724529202804</v>
      </c>
      <c r="B5021" s="82" t="s">
        <v>10621</v>
      </c>
      <c r="C5021" s="82" t="s">
        <v>10925</v>
      </c>
      <c r="D5021" s="82" t="s">
        <v>10926</v>
      </c>
      <c r="E5021" s="82">
        <v>6281233038880</v>
      </c>
      <c r="F5021" s="94">
        <v>45906</v>
      </c>
      <c r="G5021" s="87">
        <v>239</v>
      </c>
      <c r="H5021" s="88">
        <v>50921.311475409835</v>
      </c>
      <c r="I5021" s="89">
        <v>4</v>
      </c>
      <c r="J5021" s="90">
        <v>15531</v>
      </c>
      <c r="K5021" s="85">
        <v>1</v>
      </c>
      <c r="L5021" s="85">
        <v>0</v>
      </c>
      <c r="M5021" s="85">
        <v>0</v>
      </c>
      <c r="N5021" s="82" t="s">
        <v>10927</v>
      </c>
      <c r="O5021" s="93">
        <v>45907.693379629629</v>
      </c>
    </row>
    <row r="5022" spans="1:15" ht="22.5" customHeight="1">
      <c r="A5022" s="85">
        <v>174904221976312</v>
      </c>
      <c r="B5022" s="82" t="s">
        <v>10651</v>
      </c>
      <c r="C5022" s="82" t="s">
        <v>12276</v>
      </c>
      <c r="D5022" s="82" t="s">
        <v>12277</v>
      </c>
      <c r="E5022" s="82">
        <v>6281558822937</v>
      </c>
      <c r="F5022" s="94">
        <v>45906</v>
      </c>
      <c r="G5022" s="87">
        <v>118</v>
      </c>
      <c r="H5022" s="88">
        <v>92876.923076923078</v>
      </c>
      <c r="I5022" s="89">
        <v>2</v>
      </c>
      <c r="J5022" s="90">
        <v>12074</v>
      </c>
      <c r="K5022" s="85">
        <v>0</v>
      </c>
      <c r="L5022" s="85">
        <v>11</v>
      </c>
      <c r="M5022" s="85">
        <v>0</v>
      </c>
      <c r="N5022" s="82" t="s">
        <v>12278</v>
      </c>
      <c r="O5022" s="93">
        <v>45907.568379629629</v>
      </c>
    </row>
    <row r="5023" spans="1:15" ht="22.5" customHeight="1">
      <c r="A5023" s="85">
        <v>174904221976312</v>
      </c>
      <c r="B5023" s="82" t="s">
        <v>10651</v>
      </c>
      <c r="C5023" s="82" t="s">
        <v>12279</v>
      </c>
      <c r="D5023" s="82" t="s">
        <v>11800</v>
      </c>
      <c r="E5023" s="82">
        <v>6285333751528</v>
      </c>
      <c r="F5023" s="94">
        <v>45906</v>
      </c>
      <c r="G5023" s="87">
        <v>139</v>
      </c>
      <c r="H5023" s="88">
        <v>69324.32432432432</v>
      </c>
      <c r="I5023" s="89">
        <v>7</v>
      </c>
      <c r="J5023" s="90">
        <v>10260</v>
      </c>
      <c r="K5023" s="85">
        <v>2</v>
      </c>
      <c r="L5023" s="85">
        <v>21</v>
      </c>
      <c r="M5023" s="85">
        <v>0</v>
      </c>
      <c r="N5023" s="82" t="s">
        <v>12280</v>
      </c>
      <c r="O5023" s="93">
        <v>45907.568680555552</v>
      </c>
    </row>
    <row r="5024" spans="1:15" ht="22.5" customHeight="1">
      <c r="A5024" s="85">
        <v>174904221976312</v>
      </c>
      <c r="B5024" s="82" t="s">
        <v>10651</v>
      </c>
      <c r="C5024" s="82" t="s">
        <v>12281</v>
      </c>
      <c r="D5024" s="82" t="s">
        <v>12282</v>
      </c>
      <c r="E5024" s="82">
        <v>62895614711817</v>
      </c>
      <c r="F5024" s="94">
        <v>45906</v>
      </c>
      <c r="G5024" s="87">
        <v>702</v>
      </c>
      <c r="H5024" s="88">
        <v>15147.295742232451</v>
      </c>
      <c r="I5024" s="89">
        <v>51</v>
      </c>
      <c r="J5024" s="90">
        <v>13163</v>
      </c>
      <c r="K5024" s="85">
        <v>13</v>
      </c>
      <c r="L5024" s="85">
        <v>45</v>
      </c>
      <c r="M5024" s="85">
        <v>1</v>
      </c>
      <c r="N5024" s="82" t="s">
        <v>12283</v>
      </c>
      <c r="O5024" s="93">
        <v>45907.630868055552</v>
      </c>
    </row>
    <row r="5025" spans="1:15" ht="22.5" customHeight="1">
      <c r="A5025" s="85">
        <v>174904221976312</v>
      </c>
      <c r="B5025" s="82" t="s">
        <v>10651</v>
      </c>
      <c r="C5025" s="82" t="s">
        <v>12284</v>
      </c>
      <c r="D5025" s="82" t="s">
        <v>12285</v>
      </c>
      <c r="E5025" s="82">
        <v>6285921481643</v>
      </c>
      <c r="F5025" s="94">
        <v>45906</v>
      </c>
      <c r="G5025" s="87">
        <v>310</v>
      </c>
      <c r="H5025" s="88">
        <v>35797.10144927536</v>
      </c>
      <c r="I5025" s="89">
        <v>6</v>
      </c>
      <c r="J5025" s="90">
        <v>12350</v>
      </c>
      <c r="K5025" s="85">
        <v>3</v>
      </c>
      <c r="L5025" s="85">
        <v>91</v>
      </c>
      <c r="M5025" s="85">
        <v>0</v>
      </c>
      <c r="N5025" s="82" t="s">
        <v>12286</v>
      </c>
      <c r="O5025" s="93">
        <v>45907.568692129629</v>
      </c>
    </row>
    <row r="5026" spans="1:15" ht="22.5" customHeight="1">
      <c r="A5026" s="85">
        <v>174904221976312</v>
      </c>
      <c r="B5026" s="82" t="s">
        <v>10651</v>
      </c>
      <c r="C5026" s="82" t="s">
        <v>12253</v>
      </c>
      <c r="D5026" s="82" t="s">
        <v>12254</v>
      </c>
      <c r="E5026" s="82">
        <v>6287838234518</v>
      </c>
      <c r="F5026" s="94">
        <v>45906</v>
      </c>
      <c r="G5026" s="87">
        <v>559</v>
      </c>
      <c r="H5026" s="88">
        <v>22488.888888888887</v>
      </c>
      <c r="I5026" s="89">
        <v>32</v>
      </c>
      <c r="J5026" s="90">
        <v>14168</v>
      </c>
      <c r="K5026" s="85">
        <v>4</v>
      </c>
      <c r="L5026" s="85">
        <v>0</v>
      </c>
      <c r="M5026" s="85">
        <v>1</v>
      </c>
      <c r="N5026" s="82" t="s">
        <v>12255</v>
      </c>
      <c r="O5026" s="93">
        <v>45907.630879629629</v>
      </c>
    </row>
    <row r="5027" spans="1:15" ht="22.5" customHeight="1">
      <c r="A5027" s="85">
        <v>174904221976312</v>
      </c>
      <c r="B5027" s="82" t="s">
        <v>10651</v>
      </c>
      <c r="C5027" s="82" t="s">
        <v>12256</v>
      </c>
      <c r="D5027" s="82" t="s">
        <v>12257</v>
      </c>
      <c r="E5027" s="82">
        <v>6285384956538</v>
      </c>
      <c r="F5027" s="94">
        <v>45906</v>
      </c>
      <c r="G5027" s="87">
        <v>860</v>
      </c>
      <c r="H5027" s="88">
        <v>11373.636363636364</v>
      </c>
      <c r="I5027" s="89">
        <v>14</v>
      </c>
      <c r="J5027" s="90">
        <v>12511</v>
      </c>
      <c r="K5027" s="85">
        <v>2</v>
      </c>
      <c r="L5027" s="85">
        <v>99</v>
      </c>
      <c r="M5027" s="85">
        <v>1</v>
      </c>
      <c r="N5027" s="82" t="s">
        <v>12258</v>
      </c>
      <c r="O5027" s="93">
        <v>45907.713912037034</v>
      </c>
    </row>
    <row r="5028" spans="1:15" ht="22.5" customHeight="1">
      <c r="A5028" s="85">
        <v>174904221976312</v>
      </c>
      <c r="B5028" s="82" t="s">
        <v>10651</v>
      </c>
      <c r="C5028" s="82" t="s">
        <v>12259</v>
      </c>
      <c r="D5028" s="82" t="s">
        <v>5123</v>
      </c>
      <c r="E5028" s="82">
        <v>6287849856444</v>
      </c>
      <c r="F5028" s="94">
        <v>45906</v>
      </c>
      <c r="G5028" s="87">
        <v>631</v>
      </c>
      <c r="H5028" s="88">
        <v>18603.328710124828</v>
      </c>
      <c r="I5028" s="89">
        <v>16</v>
      </c>
      <c r="J5028" s="90">
        <v>13413</v>
      </c>
      <c r="K5028" s="85">
        <v>3</v>
      </c>
      <c r="L5028" s="85">
        <v>40</v>
      </c>
      <c r="M5028" s="85">
        <v>0</v>
      </c>
      <c r="N5028" s="82" t="s">
        <v>12260</v>
      </c>
      <c r="O5028" s="93">
        <v>45907.63108796296</v>
      </c>
    </row>
    <row r="5029" spans="1:15" ht="22.5" customHeight="1">
      <c r="A5029" s="85">
        <v>174904221976312</v>
      </c>
      <c r="B5029" s="82" t="s">
        <v>10651</v>
      </c>
      <c r="C5029" s="82" t="s">
        <v>12261</v>
      </c>
      <c r="D5029" s="82" t="s">
        <v>5116</v>
      </c>
      <c r="E5029" s="82">
        <v>6285786318640</v>
      </c>
      <c r="F5029" s="94">
        <v>45906</v>
      </c>
      <c r="G5029" s="87">
        <v>393</v>
      </c>
      <c r="H5029" s="88">
        <v>28689.507494646681</v>
      </c>
      <c r="I5029" s="89">
        <v>5</v>
      </c>
      <c r="J5029" s="90">
        <v>13398</v>
      </c>
      <c r="K5029" s="85">
        <v>0</v>
      </c>
      <c r="L5029" s="85">
        <v>54</v>
      </c>
      <c r="M5029" s="85">
        <v>0</v>
      </c>
      <c r="N5029" s="82" t="s">
        <v>12262</v>
      </c>
      <c r="O5029" s="93">
        <v>45907.506018518521</v>
      </c>
    </row>
    <row r="5030" spans="1:15" ht="22.5" customHeight="1">
      <c r="A5030" s="85">
        <v>174904221976312</v>
      </c>
      <c r="B5030" s="82" t="s">
        <v>10651</v>
      </c>
      <c r="C5030" s="82" t="s">
        <v>12263</v>
      </c>
      <c r="D5030" s="82" t="s">
        <v>12264</v>
      </c>
      <c r="E5030" s="82">
        <v>62817308228</v>
      </c>
      <c r="F5030" s="94">
        <v>45906</v>
      </c>
      <c r="G5030" s="87">
        <v>524</v>
      </c>
      <c r="H5030" s="88">
        <v>22520.338983050849</v>
      </c>
      <c r="I5030" s="89">
        <v>17</v>
      </c>
      <c r="J5030" s="90">
        <v>13287</v>
      </c>
      <c r="K5030" s="85">
        <v>0</v>
      </c>
      <c r="L5030" s="85">
        <v>46</v>
      </c>
      <c r="M5030" s="85">
        <v>0</v>
      </c>
      <c r="N5030" s="82" t="s">
        <v>12265</v>
      </c>
      <c r="O5030" s="93">
        <v>45907.73510416667</v>
      </c>
    </row>
    <row r="5031" spans="1:15" ht="22.5" customHeight="1">
      <c r="A5031" s="85">
        <v>174904221976312</v>
      </c>
      <c r="B5031" s="82" t="s">
        <v>10651</v>
      </c>
      <c r="C5031" s="82" t="s">
        <v>12266</v>
      </c>
      <c r="D5031" s="82" t="s">
        <v>12267</v>
      </c>
      <c r="E5031" s="82">
        <v>6282362576312</v>
      </c>
      <c r="F5031" s="94">
        <v>45906</v>
      </c>
      <c r="G5031" s="87">
        <v>284</v>
      </c>
      <c r="H5031" s="88">
        <v>42568.452380952382</v>
      </c>
      <c r="I5031" s="89">
        <v>11</v>
      </c>
      <c r="J5031" s="90">
        <v>14303</v>
      </c>
      <c r="K5031" s="85">
        <v>3</v>
      </c>
      <c r="L5031" s="85">
        <v>111</v>
      </c>
      <c r="M5031" s="85">
        <v>0</v>
      </c>
      <c r="N5031" s="82" t="s">
        <v>12268</v>
      </c>
      <c r="O5031" s="93">
        <v>45907.610173611109</v>
      </c>
    </row>
    <row r="5032" spans="1:15" ht="22.5" customHeight="1">
      <c r="A5032" s="85">
        <v>174904221976312</v>
      </c>
      <c r="B5032" s="82" t="s">
        <v>10651</v>
      </c>
      <c r="C5032" s="82" t="s">
        <v>12269</v>
      </c>
      <c r="D5032" s="82" t="s">
        <v>12270</v>
      </c>
      <c r="E5032" s="82">
        <v>6282229433259</v>
      </c>
      <c r="F5032" s="94">
        <v>45906</v>
      </c>
      <c r="G5032" s="87">
        <v>222</v>
      </c>
      <c r="H5032" s="88">
        <v>46776.859504132233</v>
      </c>
      <c r="I5032" s="89">
        <v>10</v>
      </c>
      <c r="J5032" s="90">
        <v>11320</v>
      </c>
      <c r="K5032" s="85">
        <v>1</v>
      </c>
      <c r="L5032" s="85">
        <v>102</v>
      </c>
      <c r="M5032" s="85">
        <v>0</v>
      </c>
      <c r="N5032" s="82" t="s">
        <v>12271</v>
      </c>
      <c r="O5032" s="93">
        <v>45907.548032407409</v>
      </c>
    </row>
    <row r="5033" spans="1:15" ht="22.5" customHeight="1">
      <c r="A5033" s="85">
        <v>174904221976312</v>
      </c>
      <c r="B5033" s="82" t="s">
        <v>10651</v>
      </c>
      <c r="C5033" s="82" t="s">
        <v>12272</v>
      </c>
      <c r="D5033" s="82" t="s">
        <v>11194</v>
      </c>
      <c r="E5033" s="82">
        <v>62895804080442</v>
      </c>
      <c r="F5033" s="94">
        <v>45906</v>
      </c>
      <c r="G5033" s="87">
        <v>546</v>
      </c>
      <c r="H5033" s="88">
        <v>20413.010590015128</v>
      </c>
      <c r="I5033" s="89">
        <v>40</v>
      </c>
      <c r="J5033" s="90">
        <v>13493</v>
      </c>
      <c r="K5033" s="85">
        <v>14</v>
      </c>
      <c r="L5033" s="85">
        <v>178</v>
      </c>
      <c r="M5033" s="85">
        <v>1</v>
      </c>
      <c r="N5033" s="82" t="s">
        <v>12273</v>
      </c>
      <c r="O5033" s="93">
        <v>45907.651180555556</v>
      </c>
    </row>
    <row r="5034" spans="1:15" ht="22.5" customHeight="1">
      <c r="A5034" s="85">
        <v>174904221976312</v>
      </c>
      <c r="B5034" s="82" t="s">
        <v>10651</v>
      </c>
      <c r="C5034" s="82" t="s">
        <v>12249</v>
      </c>
      <c r="D5034" s="82" t="s">
        <v>12250</v>
      </c>
      <c r="E5034" s="82">
        <v>6285242515222</v>
      </c>
      <c r="F5034" s="94">
        <v>45906</v>
      </c>
      <c r="G5034" s="87">
        <v>1442</v>
      </c>
      <c r="H5034" s="88">
        <v>8702.5495750708233</v>
      </c>
      <c r="I5034" s="89">
        <v>60</v>
      </c>
      <c r="J5034" s="90">
        <v>15360</v>
      </c>
      <c r="K5034" s="85">
        <v>5</v>
      </c>
      <c r="L5034" s="85">
        <v>0</v>
      </c>
      <c r="M5034" s="85">
        <v>1</v>
      </c>
      <c r="N5034" s="82" t="s">
        <v>12251</v>
      </c>
      <c r="O5034" s="93">
        <v>45907.610162037039</v>
      </c>
    </row>
    <row r="5035" spans="1:15" ht="22.5" customHeight="1">
      <c r="A5035" s="85">
        <v>174904221976312</v>
      </c>
      <c r="B5035" s="82" t="s">
        <v>10651</v>
      </c>
      <c r="C5035" s="82" t="s">
        <v>12234</v>
      </c>
      <c r="D5035" s="82" t="s">
        <v>12235</v>
      </c>
      <c r="E5035" s="82">
        <v>6285780314346</v>
      </c>
      <c r="F5035" s="94">
        <v>45906</v>
      </c>
      <c r="G5035" s="87">
        <v>953</v>
      </c>
      <c r="H5035" s="88">
        <v>11706.136560069144</v>
      </c>
      <c r="I5035" s="89">
        <v>89</v>
      </c>
      <c r="J5035" s="90">
        <v>13544</v>
      </c>
      <c r="K5035" s="85">
        <v>9</v>
      </c>
      <c r="L5035" s="85">
        <v>0</v>
      </c>
      <c r="M5035" s="85">
        <v>2</v>
      </c>
      <c r="N5035" s="82" t="s">
        <v>12236</v>
      </c>
      <c r="O5035" s="93">
        <v>45907.672349537039</v>
      </c>
    </row>
    <row r="5036" spans="1:15" ht="22.5" customHeight="1">
      <c r="A5036" s="85">
        <v>174904221976312</v>
      </c>
      <c r="B5036" s="82" t="s">
        <v>10651</v>
      </c>
      <c r="C5036" s="82" t="s">
        <v>12237</v>
      </c>
      <c r="D5036" s="82" t="s">
        <v>12238</v>
      </c>
      <c r="E5036" s="82">
        <v>6287888330007</v>
      </c>
      <c r="F5036" s="94">
        <v>45906</v>
      </c>
      <c r="G5036" s="87">
        <v>854</v>
      </c>
      <c r="H5036" s="88">
        <v>14542.268041237114</v>
      </c>
      <c r="I5036" s="89">
        <v>38</v>
      </c>
      <c r="J5036" s="90">
        <v>14106</v>
      </c>
      <c r="K5036" s="85">
        <v>4</v>
      </c>
      <c r="L5036" s="85">
        <v>224</v>
      </c>
      <c r="M5036" s="85">
        <v>0</v>
      </c>
      <c r="N5036" s="82" t="s">
        <v>12239</v>
      </c>
      <c r="O5036" s="93">
        <v>45907.69295138889</v>
      </c>
    </row>
    <row r="5037" spans="1:15" ht="22.5" customHeight="1">
      <c r="A5037" s="85">
        <v>174904221976312</v>
      </c>
      <c r="B5037" s="82" t="s">
        <v>10651</v>
      </c>
      <c r="C5037" s="82" t="s">
        <v>12240</v>
      </c>
      <c r="D5037" s="82" t="s">
        <v>12241</v>
      </c>
      <c r="E5037" s="82">
        <v>6285600822636</v>
      </c>
      <c r="F5037" s="94">
        <v>45906</v>
      </c>
      <c r="G5037" s="87">
        <v>747</v>
      </c>
      <c r="H5037" s="88">
        <v>13863.157894736842</v>
      </c>
      <c r="I5037" s="89">
        <v>16</v>
      </c>
      <c r="J5037" s="90">
        <v>11853</v>
      </c>
      <c r="K5037" s="85">
        <v>1</v>
      </c>
      <c r="L5037" s="85">
        <v>21</v>
      </c>
      <c r="M5037" s="85">
        <v>0</v>
      </c>
      <c r="N5037" s="82" t="s">
        <v>12274</v>
      </c>
      <c r="O5037" s="93">
        <v>45907.651180555556</v>
      </c>
    </row>
    <row r="5038" spans="1:15" ht="22.5" customHeight="1">
      <c r="A5038" s="85">
        <v>174904221976312</v>
      </c>
      <c r="B5038" s="82" t="s">
        <v>10651</v>
      </c>
      <c r="C5038" s="82" t="s">
        <v>12229</v>
      </c>
      <c r="D5038" s="82" t="s">
        <v>4794</v>
      </c>
      <c r="E5038" s="82">
        <v>6285655300070</v>
      </c>
      <c r="F5038" s="94">
        <v>45906</v>
      </c>
      <c r="G5038" s="87">
        <v>11099</v>
      </c>
      <c r="H5038" s="88">
        <v>1144.278606965174</v>
      </c>
      <c r="I5038" s="89">
        <v>23</v>
      </c>
      <c r="J5038" s="90">
        <v>13110</v>
      </c>
      <c r="K5038" s="85">
        <v>0</v>
      </c>
      <c r="L5038" s="85">
        <v>136</v>
      </c>
      <c r="M5038" s="85">
        <v>0</v>
      </c>
      <c r="N5038" s="82" t="s">
        <v>12230</v>
      </c>
      <c r="O5038" s="93">
        <v>45907.214039351849</v>
      </c>
    </row>
    <row r="5039" spans="1:15" ht="22.5" customHeight="1">
      <c r="A5039" s="85">
        <v>174904221976312</v>
      </c>
      <c r="B5039" s="82" t="s">
        <v>10651</v>
      </c>
      <c r="C5039" s="82" t="s">
        <v>12202</v>
      </c>
      <c r="D5039" s="82" t="s">
        <v>2370</v>
      </c>
      <c r="E5039" s="82">
        <v>6281317409433</v>
      </c>
      <c r="F5039" s="94">
        <v>45906</v>
      </c>
      <c r="G5039" s="87">
        <v>449</v>
      </c>
      <c r="H5039" s="88">
        <v>27328.125</v>
      </c>
      <c r="I5039" s="89">
        <v>22</v>
      </c>
      <c r="J5039" s="90">
        <v>13992</v>
      </c>
      <c r="K5039" s="85">
        <v>5</v>
      </c>
      <c r="L5039" s="85">
        <v>0</v>
      </c>
      <c r="M5039" s="85">
        <v>0</v>
      </c>
      <c r="N5039" s="82" t="s">
        <v>12203</v>
      </c>
      <c r="O5039" s="93">
        <v>45907.755555555559</v>
      </c>
    </row>
    <row r="5040" spans="1:15" ht="22.5" customHeight="1">
      <c r="A5040" s="85">
        <v>174904221976312</v>
      </c>
      <c r="B5040" s="82" t="s">
        <v>10651</v>
      </c>
      <c r="C5040" s="82" t="s">
        <v>12204</v>
      </c>
      <c r="D5040" s="82" t="s">
        <v>12205</v>
      </c>
      <c r="E5040" s="82">
        <v>6281262080126</v>
      </c>
      <c r="F5040" s="94">
        <v>45906</v>
      </c>
      <c r="G5040" s="87">
        <v>789</v>
      </c>
      <c r="H5040" s="88">
        <v>14916.577540106951</v>
      </c>
      <c r="I5040" s="89">
        <v>20</v>
      </c>
      <c r="J5040" s="90">
        <v>13947</v>
      </c>
      <c r="K5040" s="85">
        <v>3</v>
      </c>
      <c r="L5040" s="85">
        <v>0</v>
      </c>
      <c r="M5040" s="85">
        <v>0</v>
      </c>
      <c r="N5040" s="82" t="s">
        <v>12231</v>
      </c>
      <c r="O5040" s="93">
        <v>45907.218692129631</v>
      </c>
    </row>
    <row r="5041" spans="1:15" ht="22.5" customHeight="1">
      <c r="A5041" s="85">
        <v>174904221976312</v>
      </c>
      <c r="B5041" s="82" t="s">
        <v>10651</v>
      </c>
      <c r="C5041" s="82" t="s">
        <v>12207</v>
      </c>
      <c r="D5041" s="91" t="s">
        <v>4875</v>
      </c>
      <c r="E5041" s="82">
        <v>6285719003688</v>
      </c>
      <c r="F5041" s="94">
        <v>45906</v>
      </c>
      <c r="G5041" s="87">
        <v>181</v>
      </c>
      <c r="H5041" s="88">
        <v>66335.106382978716</v>
      </c>
      <c r="I5041" s="89">
        <v>3</v>
      </c>
      <c r="J5041" s="90">
        <v>12471</v>
      </c>
      <c r="K5041" s="85">
        <v>1</v>
      </c>
      <c r="L5041" s="85">
        <v>40</v>
      </c>
      <c r="M5041" s="85">
        <v>0</v>
      </c>
      <c r="N5041" s="82" t="s">
        <v>12287</v>
      </c>
      <c r="O5041" s="93">
        <v>45907.547638888886</v>
      </c>
    </row>
    <row r="5042" spans="1:15" ht="22.5" customHeight="1">
      <c r="A5042" s="85">
        <v>174904221976312</v>
      </c>
      <c r="B5042" s="82" t="s">
        <v>10651</v>
      </c>
      <c r="C5042" s="82" t="s">
        <v>12209</v>
      </c>
      <c r="D5042" s="82" t="s">
        <v>12210</v>
      </c>
      <c r="E5042" s="82">
        <v>6282217300224</v>
      </c>
      <c r="F5042" s="94">
        <v>45906</v>
      </c>
      <c r="G5042" s="87">
        <v>179</v>
      </c>
      <c r="H5042" s="88">
        <v>61961.165048543691</v>
      </c>
      <c r="I5042" s="89">
        <v>3</v>
      </c>
      <c r="J5042" s="90">
        <v>12764</v>
      </c>
      <c r="K5042" s="85">
        <v>0</v>
      </c>
      <c r="L5042" s="85">
        <v>0</v>
      </c>
      <c r="M5042" s="85">
        <v>0</v>
      </c>
      <c r="N5042" s="82" t="s">
        <v>12233</v>
      </c>
      <c r="O5042" s="93">
        <v>45907.65116898148</v>
      </c>
    </row>
    <row r="5043" spans="1:15" ht="22.5" customHeight="1">
      <c r="A5043" s="85">
        <v>174904221976312</v>
      </c>
      <c r="B5043" s="82" t="s">
        <v>10651</v>
      </c>
      <c r="C5043" s="82" t="s">
        <v>12176</v>
      </c>
      <c r="D5043" s="82" t="s">
        <v>12177</v>
      </c>
      <c r="E5043" s="82">
        <v>6285748377961</v>
      </c>
      <c r="F5043" s="94">
        <v>45906</v>
      </c>
      <c r="G5043" s="87">
        <v>552</v>
      </c>
      <c r="H5043" s="88">
        <v>24657.142857142859</v>
      </c>
      <c r="I5043" s="89">
        <v>19</v>
      </c>
      <c r="J5043" s="90">
        <v>15534</v>
      </c>
      <c r="K5043" s="85">
        <v>4</v>
      </c>
      <c r="L5043" s="85">
        <v>0</v>
      </c>
      <c r="M5043" s="85">
        <v>0</v>
      </c>
      <c r="N5043" s="82" t="s">
        <v>12178</v>
      </c>
      <c r="O5043" s="93">
        <v>45907.568402777775</v>
      </c>
    </row>
    <row r="5044" spans="1:15" ht="22.5" customHeight="1">
      <c r="A5044" s="85">
        <v>174904221976312</v>
      </c>
      <c r="B5044" s="82" t="s">
        <v>10651</v>
      </c>
      <c r="C5044" s="82" t="s">
        <v>12171</v>
      </c>
      <c r="D5044" s="82" t="s">
        <v>4386</v>
      </c>
      <c r="E5044" s="82">
        <v>62818533354</v>
      </c>
      <c r="F5044" s="94">
        <v>45906</v>
      </c>
      <c r="G5044" s="87">
        <v>404</v>
      </c>
      <c r="H5044" s="88">
        <v>35348.314606741573</v>
      </c>
      <c r="I5044" s="89">
        <v>11</v>
      </c>
      <c r="J5044" s="90">
        <v>15730</v>
      </c>
      <c r="K5044" s="85">
        <v>0</v>
      </c>
      <c r="L5044" s="85">
        <v>0</v>
      </c>
      <c r="M5044" s="85">
        <v>0</v>
      </c>
      <c r="N5044" s="82" t="s">
        <v>12218</v>
      </c>
      <c r="O5044" s="93">
        <v>45907.443298611113</v>
      </c>
    </row>
    <row r="5045" spans="1:15" ht="22.5" customHeight="1">
      <c r="A5045" s="85">
        <v>174904221976312</v>
      </c>
      <c r="B5045" s="82" t="s">
        <v>10651</v>
      </c>
      <c r="C5045" s="82" t="s">
        <v>12130</v>
      </c>
      <c r="D5045" s="82" t="s">
        <v>12131</v>
      </c>
      <c r="E5045" s="82">
        <v>6281239004410</v>
      </c>
      <c r="F5045" s="94">
        <v>45906</v>
      </c>
      <c r="G5045" s="87">
        <v>189</v>
      </c>
      <c r="H5045" s="88">
        <v>72117.073170731703</v>
      </c>
      <c r="I5045" s="89">
        <v>5</v>
      </c>
      <c r="J5045" s="90">
        <v>14784</v>
      </c>
      <c r="K5045" s="85">
        <v>0</v>
      </c>
      <c r="L5045" s="85">
        <v>0</v>
      </c>
      <c r="M5045" s="85">
        <v>0</v>
      </c>
      <c r="N5045" s="82" t="s">
        <v>12288</v>
      </c>
      <c r="O5045" s="93">
        <v>45907.422395833331</v>
      </c>
    </row>
    <row r="5046" spans="1:15" ht="22.5" customHeight="1">
      <c r="A5046" s="85">
        <v>174904221976312</v>
      </c>
      <c r="B5046" s="82" t="s">
        <v>10651</v>
      </c>
      <c r="C5046" s="82" t="s">
        <v>12102</v>
      </c>
      <c r="D5046" s="82" t="s">
        <v>12103</v>
      </c>
      <c r="E5046" s="82">
        <v>628122577723</v>
      </c>
      <c r="F5046" s="94">
        <v>45906</v>
      </c>
      <c r="G5046" s="87">
        <v>341</v>
      </c>
      <c r="H5046" s="88">
        <v>32281.81818181818</v>
      </c>
      <c r="I5046" s="89">
        <v>13</v>
      </c>
      <c r="J5046" s="90">
        <v>14204</v>
      </c>
      <c r="K5046" s="85">
        <v>2</v>
      </c>
      <c r="L5046" s="85">
        <v>0</v>
      </c>
      <c r="M5046" s="85">
        <v>0</v>
      </c>
      <c r="N5046" s="82" t="s">
        <v>12244</v>
      </c>
      <c r="O5046" s="93">
        <v>45907.714155092595</v>
      </c>
    </row>
    <row r="5047" spans="1:15" ht="22.5" customHeight="1">
      <c r="A5047" s="85">
        <v>174904221976312</v>
      </c>
      <c r="B5047" s="82" t="s">
        <v>10651</v>
      </c>
      <c r="C5047" s="82" t="s">
        <v>12109</v>
      </c>
      <c r="D5047" s="82" t="s">
        <v>12110</v>
      </c>
      <c r="E5047" s="82">
        <v>6287777304498</v>
      </c>
      <c r="F5047" s="94">
        <v>45906</v>
      </c>
      <c r="G5047" s="87">
        <v>134</v>
      </c>
      <c r="H5047" s="88">
        <v>106294.52054794521</v>
      </c>
      <c r="I5047" s="89">
        <v>5</v>
      </c>
      <c r="J5047" s="90">
        <v>15519</v>
      </c>
      <c r="K5047" s="85">
        <v>2</v>
      </c>
      <c r="L5047" s="85">
        <v>0</v>
      </c>
      <c r="M5047" s="85">
        <v>0</v>
      </c>
      <c r="N5047" s="82" t="s">
        <v>12245</v>
      </c>
      <c r="O5047" s="93">
        <v>45907.672349537039</v>
      </c>
    </row>
    <row r="5048" spans="1:15" ht="22.5" customHeight="1">
      <c r="A5048" s="85">
        <v>174904221976312</v>
      </c>
      <c r="B5048" s="82" t="s">
        <v>10651</v>
      </c>
      <c r="C5048" s="82" t="s">
        <v>12058</v>
      </c>
      <c r="D5048" s="82" t="s">
        <v>4516</v>
      </c>
      <c r="E5048" s="82">
        <v>6281315163838</v>
      </c>
      <c r="F5048" s="94">
        <v>45906</v>
      </c>
      <c r="G5048" s="87">
        <v>233</v>
      </c>
      <c r="H5048" s="88">
        <v>62055.77689243028</v>
      </c>
      <c r="I5048" s="89">
        <v>11</v>
      </c>
      <c r="J5048" s="90">
        <v>15576</v>
      </c>
      <c r="K5048" s="85">
        <v>2</v>
      </c>
      <c r="L5048" s="85">
        <v>93</v>
      </c>
      <c r="M5048" s="85">
        <v>1</v>
      </c>
      <c r="N5048" s="82" t="s">
        <v>12222</v>
      </c>
      <c r="O5048" s="93">
        <v>45907.568402777775</v>
      </c>
    </row>
    <row r="5049" spans="1:15" ht="22.5" customHeight="1">
      <c r="A5049" s="85">
        <v>174904221976312</v>
      </c>
      <c r="B5049" s="82" t="s">
        <v>10651</v>
      </c>
      <c r="C5049" s="82" t="s">
        <v>12039</v>
      </c>
      <c r="D5049" s="82" t="s">
        <v>12040</v>
      </c>
      <c r="E5049" s="82">
        <v>6281330410391</v>
      </c>
      <c r="F5049" s="94">
        <v>45906</v>
      </c>
      <c r="G5049" s="87">
        <v>619</v>
      </c>
      <c r="H5049" s="88">
        <v>17593.175853018372</v>
      </c>
      <c r="I5049" s="89">
        <v>36</v>
      </c>
      <c r="J5049" s="90">
        <v>13406</v>
      </c>
      <c r="K5049" s="85">
        <v>5</v>
      </c>
      <c r="L5049" s="85">
        <v>0</v>
      </c>
      <c r="M5049" s="85">
        <v>1</v>
      </c>
      <c r="N5049" s="82" t="s">
        <v>12041</v>
      </c>
      <c r="O5049" s="93">
        <v>45907.2187037037</v>
      </c>
    </row>
    <row r="5050" spans="1:15" ht="22.5" customHeight="1">
      <c r="A5050" s="85">
        <v>174904221976312</v>
      </c>
      <c r="B5050" s="82" t="s">
        <v>10651</v>
      </c>
      <c r="C5050" s="82" t="s">
        <v>12019</v>
      </c>
      <c r="D5050" s="82" t="s">
        <v>12020</v>
      </c>
      <c r="E5050" s="82">
        <v>6287862271550</v>
      </c>
      <c r="F5050" s="94">
        <v>45906</v>
      </c>
      <c r="G5050" s="87">
        <v>555</v>
      </c>
      <c r="H5050" s="88">
        <v>22888</v>
      </c>
      <c r="I5050" s="89">
        <v>17</v>
      </c>
      <c r="J5050" s="90">
        <v>14305</v>
      </c>
      <c r="K5050" s="85">
        <v>1</v>
      </c>
      <c r="L5050" s="85">
        <v>206</v>
      </c>
      <c r="M5050" s="85">
        <v>0</v>
      </c>
      <c r="N5050" s="82" t="s">
        <v>12289</v>
      </c>
      <c r="O5050" s="93">
        <v>45907.672349537039</v>
      </c>
    </row>
    <row r="5051" spans="1:15" ht="22.5" customHeight="1">
      <c r="A5051" s="85">
        <v>174904221976312</v>
      </c>
      <c r="B5051" s="82" t="s">
        <v>10651</v>
      </c>
      <c r="C5051" s="82" t="s">
        <v>12007</v>
      </c>
      <c r="D5051" s="82" t="s">
        <v>9010</v>
      </c>
      <c r="E5051" s="82">
        <v>6282160743576</v>
      </c>
      <c r="F5051" s="94">
        <v>45906</v>
      </c>
      <c r="G5051" s="87">
        <v>929</v>
      </c>
      <c r="H5051" s="88">
        <v>13827.053140096617</v>
      </c>
      <c r="I5051" s="89">
        <v>48</v>
      </c>
      <c r="J5051" s="90">
        <v>14311</v>
      </c>
      <c r="K5051" s="85">
        <v>7</v>
      </c>
      <c r="L5051" s="85">
        <v>405</v>
      </c>
      <c r="M5051" s="85">
        <v>0</v>
      </c>
      <c r="N5051" s="82" t="s">
        <v>12008</v>
      </c>
      <c r="O5051" s="93">
        <v>45907.693124999998</v>
      </c>
    </row>
    <row r="5052" spans="1:15" ht="22.5" customHeight="1">
      <c r="A5052" s="85">
        <v>174904221976312</v>
      </c>
      <c r="B5052" s="82" t="s">
        <v>10651</v>
      </c>
      <c r="C5052" s="82" t="s">
        <v>11908</v>
      </c>
      <c r="D5052" s="82" t="s">
        <v>3969</v>
      </c>
      <c r="E5052" s="82">
        <v>62881010328220</v>
      </c>
      <c r="F5052" s="94">
        <v>45906</v>
      </c>
      <c r="G5052" s="87">
        <v>207</v>
      </c>
      <c r="H5052" s="88">
        <v>65508.849557522124</v>
      </c>
      <c r="I5052" s="89">
        <v>4</v>
      </c>
      <c r="J5052" s="90">
        <v>14805</v>
      </c>
      <c r="K5052" s="85">
        <v>1</v>
      </c>
      <c r="L5052" s="85">
        <v>139</v>
      </c>
      <c r="M5052" s="85">
        <v>0</v>
      </c>
      <c r="N5052" s="82" t="s">
        <v>12290</v>
      </c>
      <c r="O5052" s="93">
        <v>45907.672337962962</v>
      </c>
    </row>
    <row r="5053" spans="1:15" ht="22.5" customHeight="1">
      <c r="A5053" s="85">
        <v>174904221976312</v>
      </c>
      <c r="B5053" s="82" t="s">
        <v>10651</v>
      </c>
      <c r="C5053" s="82" t="s">
        <v>11838</v>
      </c>
      <c r="D5053" s="82" t="s">
        <v>11839</v>
      </c>
      <c r="E5053" s="82">
        <v>6287797504113</v>
      </c>
      <c r="F5053" s="94">
        <v>45906</v>
      </c>
      <c r="G5053" s="87">
        <v>219</v>
      </c>
      <c r="H5053" s="88">
        <v>58703.252032520322</v>
      </c>
      <c r="I5053" s="89">
        <v>17</v>
      </c>
      <c r="J5053" s="90">
        <v>14441</v>
      </c>
      <c r="K5053" s="85">
        <v>5</v>
      </c>
      <c r="L5053" s="85">
        <v>0</v>
      </c>
      <c r="M5053" s="85">
        <v>1</v>
      </c>
      <c r="N5053" s="82" t="s">
        <v>12247</v>
      </c>
      <c r="O5053" s="93">
        <v>45907.526435185187</v>
      </c>
    </row>
    <row r="5054" spans="1:15" ht="22.5" customHeight="1">
      <c r="A5054" s="85">
        <v>174904221976312</v>
      </c>
      <c r="B5054" s="82" t="s">
        <v>10651</v>
      </c>
      <c r="C5054" s="82" t="s">
        <v>11806</v>
      </c>
      <c r="D5054" s="82" t="s">
        <v>11807</v>
      </c>
      <c r="E5054" s="82">
        <v>6285338373761</v>
      </c>
      <c r="F5054" s="94">
        <v>45906</v>
      </c>
      <c r="G5054" s="87">
        <v>1044</v>
      </c>
      <c r="H5054" s="88">
        <v>16691.736304549675</v>
      </c>
      <c r="I5054" s="89">
        <v>41</v>
      </c>
      <c r="J5054" s="90">
        <v>17977</v>
      </c>
      <c r="K5054" s="85">
        <v>1</v>
      </c>
      <c r="L5054" s="85">
        <v>559</v>
      </c>
      <c r="M5054" s="85">
        <v>0</v>
      </c>
      <c r="N5054" s="82" t="s">
        <v>12275</v>
      </c>
      <c r="O5054" s="93">
        <v>45907.672349537039</v>
      </c>
    </row>
    <row r="5055" spans="1:15" ht="22.5" customHeight="1">
      <c r="A5055" s="85">
        <v>174904221976312</v>
      </c>
      <c r="B5055" s="82" t="s">
        <v>10651</v>
      </c>
      <c r="C5055" s="82" t="s">
        <v>11780</v>
      </c>
      <c r="D5055" s="82" t="s">
        <v>11781</v>
      </c>
      <c r="E5055" s="82">
        <v>6282129364133</v>
      </c>
      <c r="F5055" s="94">
        <v>45906</v>
      </c>
      <c r="G5055" s="87">
        <v>329</v>
      </c>
      <c r="H5055" s="88">
        <v>31644.705882352941</v>
      </c>
      <c r="I5055" s="89">
        <v>6</v>
      </c>
      <c r="J5055" s="90">
        <v>13449</v>
      </c>
      <c r="K5055" s="85">
        <v>0</v>
      </c>
      <c r="L5055" s="85">
        <v>0</v>
      </c>
      <c r="M5055" s="85">
        <v>0</v>
      </c>
      <c r="N5055" s="82" t="s">
        <v>12224</v>
      </c>
      <c r="O5055" s="93">
        <v>45907.2187037037</v>
      </c>
    </row>
    <row r="5056" spans="1:15" ht="22.5" customHeight="1">
      <c r="A5056" s="85">
        <v>174904221976312</v>
      </c>
      <c r="B5056" s="82" t="s">
        <v>10651</v>
      </c>
      <c r="C5056" s="82" t="s">
        <v>11758</v>
      </c>
      <c r="D5056" s="82" t="s">
        <v>11759</v>
      </c>
      <c r="E5056" s="82">
        <v>6285946504405</v>
      </c>
      <c r="F5056" s="94">
        <v>45906</v>
      </c>
      <c r="G5056" s="87">
        <v>359</v>
      </c>
      <c r="H5056" s="88">
        <v>34861.313868613135</v>
      </c>
      <c r="I5056" s="89">
        <v>8</v>
      </c>
      <c r="J5056" s="90">
        <v>14328</v>
      </c>
      <c r="K5056" s="85">
        <v>0</v>
      </c>
      <c r="L5056" s="85">
        <v>0</v>
      </c>
      <c r="M5056" s="85">
        <v>0</v>
      </c>
      <c r="N5056" s="82" t="s">
        <v>12248</v>
      </c>
      <c r="O5056" s="93">
        <v>45907.218680555554</v>
      </c>
    </row>
    <row r="5057" spans="1:15" ht="22.5" customHeight="1">
      <c r="A5057" s="85">
        <v>174904221976312</v>
      </c>
      <c r="B5057" s="82" t="s">
        <v>10651</v>
      </c>
      <c r="C5057" s="82" t="s">
        <v>11578</v>
      </c>
      <c r="D5057" s="82" t="s">
        <v>1624</v>
      </c>
      <c r="E5057" s="82">
        <v>6281938384000</v>
      </c>
      <c r="F5057" s="94">
        <v>45906</v>
      </c>
      <c r="G5057" s="87">
        <v>1010</v>
      </c>
      <c r="H5057" s="88">
        <v>10461.092715231787</v>
      </c>
      <c r="I5057" s="89">
        <v>17</v>
      </c>
      <c r="J5057" s="90">
        <v>12637</v>
      </c>
      <c r="K5057" s="85">
        <v>1</v>
      </c>
      <c r="L5057" s="85">
        <v>0</v>
      </c>
      <c r="M5057" s="85">
        <v>0</v>
      </c>
      <c r="N5057" s="82" t="s">
        <v>12154</v>
      </c>
      <c r="O5057" s="93">
        <v>45907.218680555554</v>
      </c>
    </row>
    <row r="5058" spans="1:15" ht="22.5" customHeight="1">
      <c r="A5058" s="85">
        <v>174904221976312</v>
      </c>
      <c r="B5058" s="82" t="s">
        <v>10651</v>
      </c>
      <c r="C5058" s="82" t="s">
        <v>11580</v>
      </c>
      <c r="D5058" s="82" t="s">
        <v>11581</v>
      </c>
      <c r="E5058" s="82">
        <v>6287790276733</v>
      </c>
      <c r="F5058" s="94">
        <v>45906</v>
      </c>
      <c r="G5058" s="87">
        <v>609</v>
      </c>
      <c r="H5058" s="88">
        <v>18218.791946308724</v>
      </c>
      <c r="I5058" s="89">
        <v>3</v>
      </c>
      <c r="J5058" s="90">
        <v>13573</v>
      </c>
      <c r="K5058" s="85">
        <v>0</v>
      </c>
      <c r="L5058" s="85">
        <v>0</v>
      </c>
      <c r="M5058" s="85">
        <v>0</v>
      </c>
      <c r="N5058" s="82" t="s">
        <v>12226</v>
      </c>
      <c r="O5058" s="93">
        <v>45907.218680555554</v>
      </c>
    </row>
    <row r="5059" spans="1:15" ht="22.5" customHeight="1">
      <c r="A5059" s="85">
        <v>759724529202804</v>
      </c>
      <c r="B5059" s="82" t="s">
        <v>10621</v>
      </c>
      <c r="C5059" s="82" t="s">
        <v>12227</v>
      </c>
      <c r="D5059" s="82" t="s">
        <v>4938</v>
      </c>
      <c r="E5059" s="82">
        <v>6287835601400</v>
      </c>
      <c r="F5059" s="94">
        <v>45907</v>
      </c>
      <c r="G5059" s="87">
        <v>445</v>
      </c>
      <c r="H5059" s="88">
        <v>18153.518123667378</v>
      </c>
      <c r="I5059" s="89">
        <v>7</v>
      </c>
      <c r="J5059" s="90">
        <v>8514</v>
      </c>
      <c r="K5059" s="85">
        <v>1</v>
      </c>
      <c r="L5059" s="85">
        <v>128</v>
      </c>
      <c r="M5059" s="85">
        <v>0</v>
      </c>
      <c r="N5059" s="82" t="s">
        <v>12228</v>
      </c>
      <c r="O5059" s="93">
        <v>45908.215254629627</v>
      </c>
    </row>
    <row r="5060" spans="1:15" ht="22.5" customHeight="1">
      <c r="A5060" s="85">
        <v>759724529202804</v>
      </c>
      <c r="B5060" s="82" t="s">
        <v>10621</v>
      </c>
      <c r="C5060" s="82" t="s">
        <v>11055</v>
      </c>
      <c r="D5060" s="82" t="s">
        <v>1021</v>
      </c>
      <c r="E5060" s="82"/>
      <c r="F5060" s="94">
        <v>45907</v>
      </c>
      <c r="G5060" s="87">
        <v>2031</v>
      </c>
      <c r="H5060" s="88">
        <v>34479.077711357815</v>
      </c>
      <c r="I5060" s="89">
        <v>63</v>
      </c>
      <c r="J5060" s="90">
        <v>80750</v>
      </c>
      <c r="K5060" s="85">
        <v>17</v>
      </c>
      <c r="L5060" s="85">
        <v>659</v>
      </c>
      <c r="M5060" s="85">
        <v>0</v>
      </c>
      <c r="N5060" s="82" t="s">
        <v>11056</v>
      </c>
      <c r="O5060" s="93">
        <v>45907.367939814816</v>
      </c>
    </row>
    <row r="5061" spans="1:15" ht="22.5" customHeight="1">
      <c r="A5061" s="85">
        <v>759724529202804</v>
      </c>
      <c r="B5061" s="82" t="s">
        <v>10621</v>
      </c>
      <c r="C5061" s="82" t="s">
        <v>10925</v>
      </c>
      <c r="D5061" s="82" t="s">
        <v>10926</v>
      </c>
      <c r="E5061" s="82">
        <v>6281233038880</v>
      </c>
      <c r="F5061" s="94">
        <v>45907</v>
      </c>
      <c r="G5061" s="87">
        <v>238</v>
      </c>
      <c r="H5061" s="88">
        <v>55384.083044982704</v>
      </c>
      <c r="I5061" s="89">
        <v>9</v>
      </c>
      <c r="J5061" s="90">
        <v>16006</v>
      </c>
      <c r="K5061" s="85">
        <v>0</v>
      </c>
      <c r="L5061" s="85">
        <v>96</v>
      </c>
      <c r="M5061" s="85">
        <v>0</v>
      </c>
      <c r="N5061" s="82" t="s">
        <v>10927</v>
      </c>
      <c r="O5061" s="93">
        <v>45908.755914351852</v>
      </c>
    </row>
    <row r="5062" spans="1:15" ht="22.5" customHeight="1">
      <c r="A5062" s="85">
        <v>174904221976312</v>
      </c>
      <c r="B5062" s="82" t="s">
        <v>10651</v>
      </c>
      <c r="C5062" s="82" t="s">
        <v>12291</v>
      </c>
      <c r="D5062" s="82" t="s">
        <v>5257</v>
      </c>
      <c r="E5062" s="82">
        <v>6287722264777</v>
      </c>
      <c r="F5062" s="94">
        <v>45907</v>
      </c>
      <c r="G5062" s="87">
        <v>595</v>
      </c>
      <c r="H5062" s="88">
        <v>16935.44137022398</v>
      </c>
      <c r="I5062" s="89">
        <v>12</v>
      </c>
      <c r="J5062" s="90">
        <v>12854</v>
      </c>
      <c r="K5062" s="85">
        <v>6</v>
      </c>
      <c r="L5062" s="85">
        <v>131</v>
      </c>
      <c r="M5062" s="85">
        <v>0</v>
      </c>
      <c r="N5062" s="82" t="s">
        <v>12292</v>
      </c>
      <c r="O5062" s="93">
        <v>45908.588807870372</v>
      </c>
    </row>
    <row r="5063" spans="1:15" ht="22.5" customHeight="1">
      <c r="A5063" s="85">
        <v>174904221976312</v>
      </c>
      <c r="B5063" s="82" t="s">
        <v>10651</v>
      </c>
      <c r="C5063" s="82" t="s">
        <v>12293</v>
      </c>
      <c r="D5063" s="82" t="s">
        <v>12294</v>
      </c>
      <c r="E5063" s="82">
        <v>6285280808856</v>
      </c>
      <c r="F5063" s="94">
        <v>45907</v>
      </c>
      <c r="G5063" s="87">
        <v>829</v>
      </c>
      <c r="H5063" s="88">
        <v>13411.764705882353</v>
      </c>
      <c r="I5063" s="89">
        <v>15</v>
      </c>
      <c r="J5063" s="90">
        <v>11400</v>
      </c>
      <c r="K5063" s="85">
        <v>0</v>
      </c>
      <c r="L5063" s="85">
        <v>22</v>
      </c>
      <c r="M5063" s="85">
        <v>0</v>
      </c>
      <c r="N5063" s="82" t="s">
        <v>12295</v>
      </c>
      <c r="O5063" s="93">
        <v>45908.220625000002</v>
      </c>
    </row>
    <row r="5064" spans="1:15" ht="22.5" customHeight="1">
      <c r="A5064" s="85">
        <v>174904221976312</v>
      </c>
      <c r="B5064" s="82" t="s">
        <v>10651</v>
      </c>
      <c r="C5064" s="82" t="s">
        <v>12296</v>
      </c>
      <c r="D5064" s="82" t="s">
        <v>12297</v>
      </c>
      <c r="E5064" s="82">
        <v>6285600287735</v>
      </c>
      <c r="F5064" s="94">
        <v>45907</v>
      </c>
      <c r="G5064" s="87">
        <v>315</v>
      </c>
      <c r="H5064" s="88">
        <v>31338.164251207731</v>
      </c>
      <c r="I5064" s="89">
        <v>28</v>
      </c>
      <c r="J5064" s="90">
        <v>12974</v>
      </c>
      <c r="K5064" s="85">
        <v>8</v>
      </c>
      <c r="L5064" s="85">
        <v>116</v>
      </c>
      <c r="M5064" s="85">
        <v>1</v>
      </c>
      <c r="N5064" s="82" t="s">
        <v>12298</v>
      </c>
      <c r="O5064" s="93">
        <v>45908.610069444447</v>
      </c>
    </row>
    <row r="5065" spans="1:15" ht="22.5" customHeight="1">
      <c r="A5065" s="85">
        <v>174904221976312</v>
      </c>
      <c r="B5065" s="82" t="s">
        <v>10651</v>
      </c>
      <c r="C5065" s="82" t="s">
        <v>12299</v>
      </c>
      <c r="D5065" s="82" t="s">
        <v>12300</v>
      </c>
      <c r="E5065" s="82">
        <v>6285654251369</v>
      </c>
      <c r="F5065" s="94">
        <v>45907</v>
      </c>
      <c r="G5065" s="87">
        <v>305</v>
      </c>
      <c r="H5065" s="88">
        <v>33293.768545994062</v>
      </c>
      <c r="I5065" s="89">
        <v>8</v>
      </c>
      <c r="J5065" s="90">
        <v>11220</v>
      </c>
      <c r="K5065" s="85">
        <v>1</v>
      </c>
      <c r="L5065" s="85">
        <v>105</v>
      </c>
      <c r="M5065" s="85">
        <v>0</v>
      </c>
      <c r="N5065" s="82" t="s">
        <v>12301</v>
      </c>
      <c r="O5065" s="93">
        <v>45908.52685185185</v>
      </c>
    </row>
    <row r="5066" spans="1:15" ht="22.5" customHeight="1">
      <c r="A5066" s="85">
        <v>174904221976312</v>
      </c>
      <c r="B5066" s="82" t="s">
        <v>10651</v>
      </c>
      <c r="C5066" s="82" t="s">
        <v>12302</v>
      </c>
      <c r="D5066" s="82" t="s">
        <v>7857</v>
      </c>
      <c r="E5066" s="82">
        <v>6283865096870</v>
      </c>
      <c r="F5066" s="94">
        <v>45907</v>
      </c>
      <c r="G5066" s="87">
        <v>728</v>
      </c>
      <c r="H5066" s="88">
        <v>11944.943820224718</v>
      </c>
      <c r="I5066" s="89">
        <v>13</v>
      </c>
      <c r="J5066" s="90">
        <v>10631</v>
      </c>
      <c r="K5066" s="85">
        <v>1</v>
      </c>
      <c r="L5066" s="85">
        <v>0</v>
      </c>
      <c r="M5066" s="85">
        <v>0</v>
      </c>
      <c r="N5066" s="82" t="s">
        <v>12303</v>
      </c>
      <c r="O5066" s="93">
        <v>45908.672118055554</v>
      </c>
    </row>
    <row r="5067" spans="1:15" ht="22.5" customHeight="1">
      <c r="A5067" s="85">
        <v>174904221976312</v>
      </c>
      <c r="B5067" s="82" t="s">
        <v>10651</v>
      </c>
      <c r="C5067" s="82" t="s">
        <v>12304</v>
      </c>
      <c r="D5067" s="82" t="s">
        <v>5179</v>
      </c>
      <c r="E5067" s="82">
        <v>6282286608220</v>
      </c>
      <c r="F5067" s="94">
        <v>45907</v>
      </c>
      <c r="G5067" s="87">
        <v>306</v>
      </c>
      <c r="H5067" s="88">
        <v>37426.592797783931</v>
      </c>
      <c r="I5067" s="89">
        <v>12</v>
      </c>
      <c r="J5067" s="90">
        <v>13511</v>
      </c>
      <c r="K5067" s="85">
        <v>0</v>
      </c>
      <c r="L5067" s="85">
        <v>103</v>
      </c>
      <c r="M5067" s="85">
        <v>0</v>
      </c>
      <c r="N5067" s="82" t="s">
        <v>12305</v>
      </c>
      <c r="O5067" s="93">
        <v>45908.589050925926</v>
      </c>
    </row>
    <row r="5068" spans="1:15" ht="22.5" customHeight="1">
      <c r="A5068" s="85">
        <v>174904221976312</v>
      </c>
      <c r="B5068" s="82" t="s">
        <v>10651</v>
      </c>
      <c r="C5068" s="82" t="s">
        <v>12276</v>
      </c>
      <c r="D5068" s="82" t="s">
        <v>12277</v>
      </c>
      <c r="E5068" s="82">
        <v>6281558822937</v>
      </c>
      <c r="F5068" s="94">
        <v>45907</v>
      </c>
      <c r="G5068" s="87">
        <v>115</v>
      </c>
      <c r="H5068" s="88">
        <v>103040.65040650406</v>
      </c>
      <c r="I5068" s="89">
        <v>2</v>
      </c>
      <c r="J5068" s="90">
        <v>12674</v>
      </c>
      <c r="K5068" s="85">
        <v>0</v>
      </c>
      <c r="L5068" s="85">
        <v>0</v>
      </c>
      <c r="M5068" s="85">
        <v>0</v>
      </c>
      <c r="N5068" s="82" t="s">
        <v>12278</v>
      </c>
      <c r="O5068" s="93">
        <v>45908.463634259257</v>
      </c>
    </row>
    <row r="5069" spans="1:15" ht="22.5" customHeight="1">
      <c r="A5069" s="85">
        <v>174904221976312</v>
      </c>
      <c r="B5069" s="82" t="s">
        <v>10651</v>
      </c>
      <c r="C5069" s="82" t="s">
        <v>12279</v>
      </c>
      <c r="D5069" s="82" t="s">
        <v>11800</v>
      </c>
      <c r="E5069" s="82">
        <v>6285333751528</v>
      </c>
      <c r="F5069" s="94">
        <v>45907</v>
      </c>
      <c r="G5069" s="87">
        <v>220</v>
      </c>
      <c r="H5069" s="88">
        <v>43199.21875</v>
      </c>
      <c r="I5069" s="89">
        <v>5</v>
      </c>
      <c r="J5069" s="90">
        <v>11059</v>
      </c>
      <c r="K5069" s="85">
        <v>1</v>
      </c>
      <c r="L5069" s="85">
        <v>64</v>
      </c>
      <c r="M5069" s="85">
        <v>0</v>
      </c>
      <c r="N5069" s="82" t="s">
        <v>12280</v>
      </c>
      <c r="O5069" s="93">
        <v>45908.547488425924</v>
      </c>
    </row>
    <row r="5070" spans="1:15" ht="22.5" customHeight="1">
      <c r="A5070" s="85">
        <v>174904221976312</v>
      </c>
      <c r="B5070" s="82" t="s">
        <v>10651</v>
      </c>
      <c r="C5070" s="82" t="s">
        <v>12281</v>
      </c>
      <c r="D5070" s="82" t="s">
        <v>12282</v>
      </c>
      <c r="E5070" s="82">
        <v>62895614711817</v>
      </c>
      <c r="F5070" s="94">
        <v>45907</v>
      </c>
      <c r="G5070" s="87">
        <v>1064</v>
      </c>
      <c r="H5070" s="88">
        <v>9882.0960698689942</v>
      </c>
      <c r="I5070" s="89">
        <v>57</v>
      </c>
      <c r="J5070" s="90">
        <v>13578</v>
      </c>
      <c r="K5070" s="85">
        <v>14</v>
      </c>
      <c r="L5070" s="85">
        <v>0</v>
      </c>
      <c r="M5070" s="85">
        <v>0</v>
      </c>
      <c r="N5070" s="82" t="s">
        <v>12283</v>
      </c>
      <c r="O5070" s="93">
        <v>45908.547488425924</v>
      </c>
    </row>
    <row r="5071" spans="1:15" ht="22.5" customHeight="1">
      <c r="A5071" s="85">
        <v>174904221976312</v>
      </c>
      <c r="B5071" s="82" t="s">
        <v>10651</v>
      </c>
      <c r="C5071" s="82" t="s">
        <v>12284</v>
      </c>
      <c r="D5071" s="82" t="s">
        <v>12285</v>
      </c>
      <c r="E5071" s="82">
        <v>6285921481643</v>
      </c>
      <c r="F5071" s="94">
        <v>45907</v>
      </c>
      <c r="G5071" s="87">
        <v>583</v>
      </c>
      <c r="H5071" s="88">
        <v>17512.481644640236</v>
      </c>
      <c r="I5071" s="89">
        <v>16</v>
      </c>
      <c r="J5071" s="90">
        <v>11926</v>
      </c>
      <c r="K5071" s="85">
        <v>4</v>
      </c>
      <c r="L5071" s="85">
        <v>203</v>
      </c>
      <c r="M5071" s="85">
        <v>0</v>
      </c>
      <c r="N5071" s="82" t="s">
        <v>12286</v>
      </c>
      <c r="O5071" s="93">
        <v>45908.547754629632</v>
      </c>
    </row>
    <row r="5072" spans="1:15" ht="22.5" customHeight="1">
      <c r="A5072" s="85">
        <v>174904221976312</v>
      </c>
      <c r="B5072" s="82" t="s">
        <v>10651</v>
      </c>
      <c r="C5072" s="82" t="s">
        <v>12253</v>
      </c>
      <c r="D5072" s="82" t="s">
        <v>12254</v>
      </c>
      <c r="E5072" s="82">
        <v>6287838234518</v>
      </c>
      <c r="F5072" s="94">
        <v>45907</v>
      </c>
      <c r="G5072" s="87">
        <v>373</v>
      </c>
      <c r="H5072" s="88">
        <v>29451.834862385324</v>
      </c>
      <c r="I5072" s="89">
        <v>27</v>
      </c>
      <c r="J5072" s="90">
        <v>12841</v>
      </c>
      <c r="K5072" s="85">
        <v>9</v>
      </c>
      <c r="L5072" s="85">
        <v>4</v>
      </c>
      <c r="M5072" s="85">
        <v>0</v>
      </c>
      <c r="N5072" s="82" t="s">
        <v>12255</v>
      </c>
      <c r="O5072" s="93">
        <v>45908.547511574077</v>
      </c>
    </row>
    <row r="5073" spans="1:15" ht="22.5" customHeight="1">
      <c r="A5073" s="85">
        <v>174904221976312</v>
      </c>
      <c r="B5073" s="82" t="s">
        <v>10651</v>
      </c>
      <c r="C5073" s="82" t="s">
        <v>12256</v>
      </c>
      <c r="D5073" s="82" t="s">
        <v>12257</v>
      </c>
      <c r="E5073" s="82">
        <v>6285384956538</v>
      </c>
      <c r="F5073" s="94">
        <v>45907</v>
      </c>
      <c r="G5073" s="87">
        <v>734</v>
      </c>
      <c r="H5073" s="88">
        <v>13870.062370062371</v>
      </c>
      <c r="I5073" s="89">
        <v>13</v>
      </c>
      <c r="J5073" s="90">
        <v>13343</v>
      </c>
      <c r="K5073" s="85">
        <v>0</v>
      </c>
      <c r="L5073" s="85">
        <v>0</v>
      </c>
      <c r="M5073" s="85">
        <v>0</v>
      </c>
      <c r="N5073" s="82" t="s">
        <v>12258</v>
      </c>
      <c r="O5073" s="93">
        <v>45908.61005787037</v>
      </c>
    </row>
    <row r="5074" spans="1:15" ht="22.5" customHeight="1">
      <c r="A5074" s="85">
        <v>174904221976312</v>
      </c>
      <c r="B5074" s="82" t="s">
        <v>10651</v>
      </c>
      <c r="C5074" s="82" t="s">
        <v>12259</v>
      </c>
      <c r="D5074" s="82" t="s">
        <v>5123</v>
      </c>
      <c r="E5074" s="82">
        <v>6287849856444</v>
      </c>
      <c r="F5074" s="94">
        <v>45907</v>
      </c>
      <c r="G5074" s="87">
        <v>391</v>
      </c>
      <c r="H5074" s="88">
        <v>24061.310782241017</v>
      </c>
      <c r="I5074" s="89">
        <v>12</v>
      </c>
      <c r="J5074" s="90">
        <v>11381</v>
      </c>
      <c r="K5074" s="85">
        <v>1</v>
      </c>
      <c r="L5074" s="85">
        <v>64</v>
      </c>
      <c r="M5074" s="85">
        <v>0</v>
      </c>
      <c r="N5074" s="82" t="s">
        <v>12260</v>
      </c>
      <c r="O5074" s="93">
        <v>45908.61005787037</v>
      </c>
    </row>
    <row r="5075" spans="1:15" ht="22.5" customHeight="1">
      <c r="A5075" s="85">
        <v>174904221976312</v>
      </c>
      <c r="B5075" s="82" t="s">
        <v>10651</v>
      </c>
      <c r="C5075" s="82" t="s">
        <v>12261</v>
      </c>
      <c r="D5075" s="82" t="s">
        <v>5116</v>
      </c>
      <c r="E5075" s="82">
        <v>6285786318640</v>
      </c>
      <c r="F5075" s="94">
        <v>45907</v>
      </c>
      <c r="G5075" s="87">
        <v>301</v>
      </c>
      <c r="H5075" s="88">
        <v>33261.764705882357</v>
      </c>
      <c r="I5075" s="89">
        <v>11</v>
      </c>
      <c r="J5075" s="90">
        <v>11309</v>
      </c>
      <c r="K5075" s="85">
        <v>1</v>
      </c>
      <c r="L5075" s="85">
        <v>0</v>
      </c>
      <c r="M5075" s="85">
        <v>0</v>
      </c>
      <c r="N5075" s="82" t="s">
        <v>12262</v>
      </c>
      <c r="O5075" s="93">
        <v>45908.463634259257</v>
      </c>
    </row>
    <row r="5076" spans="1:15" ht="22.5" customHeight="1">
      <c r="A5076" s="85">
        <v>174904221976312</v>
      </c>
      <c r="B5076" s="82" t="s">
        <v>10651</v>
      </c>
      <c r="C5076" s="82" t="s">
        <v>12263</v>
      </c>
      <c r="D5076" s="82" t="s">
        <v>12264</v>
      </c>
      <c r="E5076" s="82">
        <v>62817308228</v>
      </c>
      <c r="F5076" s="94">
        <v>45907</v>
      </c>
      <c r="G5076" s="87">
        <v>456</v>
      </c>
      <c r="H5076" s="88">
        <v>22495.479204339965</v>
      </c>
      <c r="I5076" s="89">
        <v>18</v>
      </c>
      <c r="J5076" s="90">
        <v>12440</v>
      </c>
      <c r="K5076" s="85">
        <v>6</v>
      </c>
      <c r="L5076" s="85">
        <v>26</v>
      </c>
      <c r="M5076" s="85">
        <v>0</v>
      </c>
      <c r="N5076" s="82" t="s">
        <v>12265</v>
      </c>
      <c r="O5076" s="93">
        <v>45908.568148148152</v>
      </c>
    </row>
    <row r="5077" spans="1:15" ht="22.5" customHeight="1">
      <c r="A5077" s="85">
        <v>174904221976312</v>
      </c>
      <c r="B5077" s="82" t="s">
        <v>10651</v>
      </c>
      <c r="C5077" s="82" t="s">
        <v>12266</v>
      </c>
      <c r="D5077" s="82" t="s">
        <v>12267</v>
      </c>
      <c r="E5077" s="82">
        <v>6282362576312</v>
      </c>
      <c r="F5077" s="94">
        <v>45907</v>
      </c>
      <c r="G5077" s="87">
        <v>122</v>
      </c>
      <c r="H5077" s="88">
        <v>97443.609022556382</v>
      </c>
      <c r="I5077" s="89">
        <v>10</v>
      </c>
      <c r="J5077" s="90">
        <v>12960</v>
      </c>
      <c r="K5077" s="85">
        <v>3</v>
      </c>
      <c r="L5077" s="85">
        <v>14</v>
      </c>
      <c r="M5077" s="85">
        <v>0</v>
      </c>
      <c r="N5077" s="82" t="s">
        <v>12268</v>
      </c>
      <c r="O5077" s="93">
        <v>45908.505798611113</v>
      </c>
    </row>
    <row r="5078" spans="1:15" ht="22.5" customHeight="1">
      <c r="A5078" s="85">
        <v>174904221976312</v>
      </c>
      <c r="B5078" s="82" t="s">
        <v>10651</v>
      </c>
      <c r="C5078" s="82" t="s">
        <v>12269</v>
      </c>
      <c r="D5078" s="82" t="s">
        <v>12270</v>
      </c>
      <c r="E5078" s="82">
        <v>6282229433259</v>
      </c>
      <c r="F5078" s="94">
        <v>45907</v>
      </c>
      <c r="G5078" s="87">
        <v>212</v>
      </c>
      <c r="H5078" s="88">
        <v>49349.344978165936</v>
      </c>
      <c r="I5078" s="89">
        <v>1</v>
      </c>
      <c r="J5078" s="90">
        <v>11301</v>
      </c>
      <c r="K5078" s="85">
        <v>1</v>
      </c>
      <c r="L5078" s="85">
        <v>0</v>
      </c>
      <c r="M5078" s="85">
        <v>0</v>
      </c>
      <c r="N5078" s="82" t="s">
        <v>12271</v>
      </c>
      <c r="O5078" s="93">
        <v>45908.506168981483</v>
      </c>
    </row>
    <row r="5079" spans="1:15" ht="22.5" customHeight="1">
      <c r="A5079" s="85">
        <v>174904221976312</v>
      </c>
      <c r="B5079" s="82" t="s">
        <v>10651</v>
      </c>
      <c r="C5079" s="82" t="s">
        <v>12272</v>
      </c>
      <c r="D5079" s="82" t="s">
        <v>11194</v>
      </c>
      <c r="E5079" s="82">
        <v>62895804080442</v>
      </c>
      <c r="F5079" s="94">
        <v>45907</v>
      </c>
      <c r="G5079" s="87">
        <v>573</v>
      </c>
      <c r="H5079" s="88">
        <v>18586.445366528354</v>
      </c>
      <c r="I5079" s="89">
        <v>33</v>
      </c>
      <c r="J5079" s="90">
        <v>13438</v>
      </c>
      <c r="K5079" s="85">
        <v>7</v>
      </c>
      <c r="L5079" s="85">
        <v>187</v>
      </c>
      <c r="M5079" s="85">
        <v>0</v>
      </c>
      <c r="N5079" s="82" t="s">
        <v>12273</v>
      </c>
      <c r="O5079" s="93">
        <v>45908.568148148152</v>
      </c>
    </row>
    <row r="5080" spans="1:15" ht="22.5" customHeight="1">
      <c r="A5080" s="85">
        <v>174904221976312</v>
      </c>
      <c r="B5080" s="82" t="s">
        <v>10651</v>
      </c>
      <c r="C5080" s="82" t="s">
        <v>12249</v>
      </c>
      <c r="D5080" s="82" t="s">
        <v>12250</v>
      </c>
      <c r="E5080" s="82">
        <v>6285242515222</v>
      </c>
      <c r="F5080" s="94">
        <v>45907</v>
      </c>
      <c r="G5080" s="87">
        <v>1284</v>
      </c>
      <c r="H5080" s="88">
        <v>8349.49132256134</v>
      </c>
      <c r="I5080" s="89">
        <v>58</v>
      </c>
      <c r="J5080" s="90">
        <v>13952</v>
      </c>
      <c r="K5080" s="85">
        <v>4</v>
      </c>
      <c r="L5080" s="85">
        <v>0</v>
      </c>
      <c r="M5080" s="85">
        <v>2</v>
      </c>
      <c r="N5080" s="82" t="s">
        <v>12251</v>
      </c>
      <c r="O5080" s="93">
        <v>45908.568136574075</v>
      </c>
    </row>
    <row r="5081" spans="1:15" ht="22.5" customHeight="1">
      <c r="A5081" s="85">
        <v>174904221976312</v>
      </c>
      <c r="B5081" s="82" t="s">
        <v>10651</v>
      </c>
      <c r="C5081" s="82" t="s">
        <v>12234</v>
      </c>
      <c r="D5081" s="82" t="s">
        <v>12235</v>
      </c>
      <c r="E5081" s="82">
        <v>6285780314346</v>
      </c>
      <c r="F5081" s="94">
        <v>45907</v>
      </c>
      <c r="G5081" s="87">
        <v>1100</v>
      </c>
      <c r="H5081" s="88">
        <v>10245.877061469266</v>
      </c>
      <c r="I5081" s="89">
        <v>88</v>
      </c>
      <c r="J5081" s="90">
        <v>13668</v>
      </c>
      <c r="K5081" s="85">
        <v>12</v>
      </c>
      <c r="L5081" s="85">
        <v>0</v>
      </c>
      <c r="M5081" s="85">
        <v>0</v>
      </c>
      <c r="N5081" s="82" t="s">
        <v>12236</v>
      </c>
      <c r="O5081" s="93">
        <v>45908.402094907404</v>
      </c>
    </row>
    <row r="5082" spans="1:15" ht="22.5" customHeight="1">
      <c r="A5082" s="85">
        <v>174904221976312</v>
      </c>
      <c r="B5082" s="82" t="s">
        <v>10651</v>
      </c>
      <c r="C5082" s="82" t="s">
        <v>12237</v>
      </c>
      <c r="D5082" s="82" t="s">
        <v>12238</v>
      </c>
      <c r="E5082" s="82">
        <v>6287888330007</v>
      </c>
      <c r="F5082" s="94">
        <v>45907</v>
      </c>
      <c r="G5082" s="87">
        <v>608</v>
      </c>
      <c r="H5082" s="88">
        <v>18182.186234817815</v>
      </c>
      <c r="I5082" s="89">
        <v>30</v>
      </c>
      <c r="J5082" s="90">
        <v>13473</v>
      </c>
      <c r="K5082" s="85">
        <v>1</v>
      </c>
      <c r="L5082" s="85">
        <v>215</v>
      </c>
      <c r="M5082" s="85">
        <v>1</v>
      </c>
      <c r="N5082" s="82" t="s">
        <v>12239</v>
      </c>
      <c r="O5082" s="93">
        <v>45908.402106481481</v>
      </c>
    </row>
    <row r="5083" spans="1:15" ht="22.5" customHeight="1">
      <c r="A5083" s="85">
        <v>174904221976312</v>
      </c>
      <c r="B5083" s="82" t="s">
        <v>10651</v>
      </c>
      <c r="C5083" s="82" t="s">
        <v>12240</v>
      </c>
      <c r="D5083" s="82" t="s">
        <v>12241</v>
      </c>
      <c r="E5083" s="82">
        <v>6285600822636</v>
      </c>
      <c r="F5083" s="94">
        <v>45907</v>
      </c>
      <c r="G5083" s="87">
        <v>657</v>
      </c>
      <c r="H5083" s="88">
        <v>18210.455764075068</v>
      </c>
      <c r="I5083" s="89">
        <v>15</v>
      </c>
      <c r="J5083" s="90">
        <v>13585</v>
      </c>
      <c r="K5083" s="85">
        <v>3</v>
      </c>
      <c r="L5083" s="85">
        <v>158</v>
      </c>
      <c r="M5083" s="85">
        <v>0</v>
      </c>
      <c r="N5083" s="82" t="s">
        <v>12274</v>
      </c>
      <c r="O5083" s="93">
        <v>45908.506168981483</v>
      </c>
    </row>
    <row r="5084" spans="1:15" ht="22.5" customHeight="1">
      <c r="A5084" s="85">
        <v>174904221976312</v>
      </c>
      <c r="B5084" s="82" t="s">
        <v>10651</v>
      </c>
      <c r="C5084" s="82" t="s">
        <v>12229</v>
      </c>
      <c r="D5084" s="82" t="s">
        <v>4794</v>
      </c>
      <c r="E5084" s="82">
        <v>6285655300070</v>
      </c>
      <c r="F5084" s="94">
        <v>45907</v>
      </c>
      <c r="G5084" s="87">
        <v>6457</v>
      </c>
      <c r="H5084" s="88">
        <v>1290.5374012699394</v>
      </c>
      <c r="I5084" s="89">
        <v>13</v>
      </c>
      <c r="J5084" s="90">
        <v>8333</v>
      </c>
      <c r="K5084" s="85">
        <v>0</v>
      </c>
      <c r="L5084" s="85">
        <v>580</v>
      </c>
      <c r="M5084" s="85">
        <v>0</v>
      </c>
      <c r="N5084" s="82" t="s">
        <v>12230</v>
      </c>
      <c r="O5084" s="93">
        <v>45908.213993055557</v>
      </c>
    </row>
    <row r="5085" spans="1:15" ht="22.5" customHeight="1">
      <c r="A5085" s="85">
        <v>174904221976312</v>
      </c>
      <c r="B5085" s="82" t="s">
        <v>10651</v>
      </c>
      <c r="C5085" s="82" t="s">
        <v>12202</v>
      </c>
      <c r="D5085" s="82" t="s">
        <v>2370</v>
      </c>
      <c r="E5085" s="82">
        <v>6281317409433</v>
      </c>
      <c r="F5085" s="94">
        <v>45907</v>
      </c>
      <c r="G5085" s="87">
        <v>417</v>
      </c>
      <c r="H5085" s="88">
        <v>28659.959758551311</v>
      </c>
      <c r="I5085" s="89">
        <v>39</v>
      </c>
      <c r="J5085" s="90">
        <v>14244</v>
      </c>
      <c r="K5085" s="85">
        <v>12</v>
      </c>
      <c r="L5085" s="85">
        <v>0</v>
      </c>
      <c r="M5085" s="85">
        <v>0</v>
      </c>
      <c r="N5085" s="82" t="s">
        <v>12203</v>
      </c>
      <c r="O5085" s="93">
        <v>45908.588807870372</v>
      </c>
    </row>
    <row r="5086" spans="1:15" ht="22.5" customHeight="1">
      <c r="A5086" s="85">
        <v>174904221976312</v>
      </c>
      <c r="B5086" s="82" t="s">
        <v>10651</v>
      </c>
      <c r="C5086" s="82" t="s">
        <v>12207</v>
      </c>
      <c r="D5086" s="91" t="s">
        <v>4875</v>
      </c>
      <c r="E5086" s="82">
        <v>6285719003688</v>
      </c>
      <c r="F5086" s="94">
        <v>45907</v>
      </c>
      <c r="G5086" s="87">
        <v>146</v>
      </c>
      <c r="H5086" s="88">
        <v>77271.084337349399</v>
      </c>
      <c r="I5086" s="89">
        <v>6</v>
      </c>
      <c r="J5086" s="90">
        <v>12827</v>
      </c>
      <c r="K5086" s="85">
        <v>2</v>
      </c>
      <c r="L5086" s="85">
        <v>0</v>
      </c>
      <c r="M5086" s="85">
        <v>0</v>
      </c>
      <c r="N5086" s="82" t="s">
        <v>12287</v>
      </c>
      <c r="O5086" s="93">
        <v>45908.52684027778</v>
      </c>
    </row>
    <row r="5087" spans="1:15" ht="22.5" customHeight="1">
      <c r="A5087" s="85">
        <v>174904221976312</v>
      </c>
      <c r="B5087" s="82" t="s">
        <v>10651</v>
      </c>
      <c r="C5087" s="82" t="s">
        <v>12209</v>
      </c>
      <c r="D5087" s="82" t="s">
        <v>12210</v>
      </c>
      <c r="E5087" s="82">
        <v>6282217300224</v>
      </c>
      <c r="F5087" s="94">
        <v>45907</v>
      </c>
      <c r="G5087" s="87">
        <v>165</v>
      </c>
      <c r="H5087" s="88">
        <v>79403.314917127078</v>
      </c>
      <c r="I5087" s="89">
        <v>1</v>
      </c>
      <c r="J5087" s="90">
        <v>14372</v>
      </c>
      <c r="K5087" s="85">
        <v>0</v>
      </c>
      <c r="L5087" s="85">
        <v>0</v>
      </c>
      <c r="M5087" s="85">
        <v>0</v>
      </c>
      <c r="N5087" s="82" t="s">
        <v>12233</v>
      </c>
      <c r="O5087" s="93">
        <v>45908.630682870367</v>
      </c>
    </row>
    <row r="5088" spans="1:15" ht="22.5" customHeight="1">
      <c r="A5088" s="85">
        <v>174904221976312</v>
      </c>
      <c r="B5088" s="82" t="s">
        <v>10651</v>
      </c>
      <c r="C5088" s="82" t="s">
        <v>12176</v>
      </c>
      <c r="D5088" s="82" t="s">
        <v>12177</v>
      </c>
      <c r="E5088" s="82">
        <v>6285748377961</v>
      </c>
      <c r="F5088" s="94">
        <v>45907</v>
      </c>
      <c r="G5088" s="87">
        <v>391</v>
      </c>
      <c r="H5088" s="88">
        <v>27331.223628691983</v>
      </c>
      <c r="I5088" s="89">
        <v>12</v>
      </c>
      <c r="J5088" s="90">
        <v>12955</v>
      </c>
      <c r="K5088" s="85">
        <v>3</v>
      </c>
      <c r="L5088" s="85">
        <v>0</v>
      </c>
      <c r="M5088" s="85">
        <v>0</v>
      </c>
      <c r="N5088" s="82" t="s">
        <v>12178</v>
      </c>
      <c r="O5088" s="93">
        <v>45908.568136574075</v>
      </c>
    </row>
    <row r="5089" spans="1:15" ht="22.5" customHeight="1">
      <c r="A5089" s="85">
        <v>174904221976312</v>
      </c>
      <c r="B5089" s="82" t="s">
        <v>10651</v>
      </c>
      <c r="C5089" s="82" t="s">
        <v>12164</v>
      </c>
      <c r="D5089" s="82" t="s">
        <v>12165</v>
      </c>
      <c r="E5089" s="82">
        <v>6285787104091</v>
      </c>
      <c r="F5089" s="94">
        <v>45907</v>
      </c>
      <c r="G5089" s="87">
        <v>895</v>
      </c>
      <c r="H5089" s="88">
        <v>11996.923076923076</v>
      </c>
      <c r="I5089" s="89">
        <v>28</v>
      </c>
      <c r="J5089" s="90">
        <v>11697</v>
      </c>
      <c r="K5089" s="85">
        <v>1</v>
      </c>
      <c r="L5089" s="85">
        <v>281</v>
      </c>
      <c r="M5089" s="85">
        <v>1</v>
      </c>
      <c r="N5089" s="82" t="s">
        <v>12306</v>
      </c>
      <c r="O5089" s="93">
        <v>45908.547766203701</v>
      </c>
    </row>
    <row r="5090" spans="1:15" ht="22.5" customHeight="1">
      <c r="A5090" s="85">
        <v>174904221976312</v>
      </c>
      <c r="B5090" s="82" t="s">
        <v>10651</v>
      </c>
      <c r="C5090" s="82" t="s">
        <v>12171</v>
      </c>
      <c r="D5090" s="82" t="s">
        <v>4386</v>
      </c>
      <c r="E5090" s="82">
        <v>62818533354</v>
      </c>
      <c r="F5090" s="94">
        <v>45907</v>
      </c>
      <c r="G5090" s="87">
        <v>379</v>
      </c>
      <c r="H5090" s="88">
        <v>35229.828850855745</v>
      </c>
      <c r="I5090" s="89">
        <v>20</v>
      </c>
      <c r="J5090" s="90">
        <v>14409</v>
      </c>
      <c r="K5090" s="85">
        <v>3</v>
      </c>
      <c r="L5090" s="85">
        <v>0</v>
      </c>
      <c r="M5090" s="85">
        <v>0</v>
      </c>
      <c r="N5090" s="82" t="s">
        <v>12218</v>
      </c>
      <c r="O5090" s="93">
        <v>45908.443449074075</v>
      </c>
    </row>
    <row r="5091" spans="1:15" ht="22.5" customHeight="1">
      <c r="A5091" s="85">
        <v>174904221976312</v>
      </c>
      <c r="B5091" s="82" t="s">
        <v>10651</v>
      </c>
      <c r="C5091" s="82" t="s">
        <v>12130</v>
      </c>
      <c r="D5091" s="82" t="s">
        <v>12131</v>
      </c>
      <c r="E5091" s="82">
        <v>6281239004410</v>
      </c>
      <c r="F5091" s="94">
        <v>45907</v>
      </c>
      <c r="G5091" s="87">
        <v>193</v>
      </c>
      <c r="H5091" s="88">
        <v>65523.148148148153</v>
      </c>
      <c r="I5091" s="89">
        <v>6</v>
      </c>
      <c r="J5091" s="90">
        <v>14153</v>
      </c>
      <c r="K5091" s="85">
        <v>2</v>
      </c>
      <c r="L5091" s="85">
        <v>0</v>
      </c>
      <c r="M5091" s="85">
        <v>1</v>
      </c>
      <c r="N5091" s="82" t="s">
        <v>12288</v>
      </c>
      <c r="O5091" s="93">
        <v>45908.734606481485</v>
      </c>
    </row>
    <row r="5092" spans="1:15" ht="22.5" customHeight="1">
      <c r="A5092" s="85">
        <v>174904221976312</v>
      </c>
      <c r="B5092" s="82" t="s">
        <v>10651</v>
      </c>
      <c r="C5092" s="82" t="s">
        <v>12102</v>
      </c>
      <c r="D5092" s="82" t="s">
        <v>12103</v>
      </c>
      <c r="E5092" s="82">
        <v>628122577723</v>
      </c>
      <c r="F5092" s="94">
        <v>45907</v>
      </c>
      <c r="G5092" s="87">
        <v>384</v>
      </c>
      <c r="H5092" s="88">
        <v>23961.538461538461</v>
      </c>
      <c r="I5092" s="89">
        <v>6</v>
      </c>
      <c r="J5092" s="90">
        <v>11214</v>
      </c>
      <c r="K5092" s="85">
        <v>1</v>
      </c>
      <c r="L5092" s="85">
        <v>0</v>
      </c>
      <c r="M5092" s="85">
        <v>0</v>
      </c>
      <c r="N5092" s="82" t="s">
        <v>12244</v>
      </c>
      <c r="O5092" s="93">
        <v>45908.485277777778</v>
      </c>
    </row>
    <row r="5093" spans="1:15" ht="22.5" customHeight="1">
      <c r="A5093" s="85">
        <v>174904221976312</v>
      </c>
      <c r="B5093" s="82" t="s">
        <v>10651</v>
      </c>
      <c r="C5093" s="82" t="s">
        <v>12109</v>
      </c>
      <c r="D5093" s="82" t="s">
        <v>12110</v>
      </c>
      <c r="E5093" s="82">
        <v>6287777304498</v>
      </c>
      <c r="F5093" s="94">
        <v>45907</v>
      </c>
      <c r="G5093" s="87">
        <v>131</v>
      </c>
      <c r="H5093" s="88">
        <v>85924.65753424658</v>
      </c>
      <c r="I5093" s="89">
        <v>1</v>
      </c>
      <c r="J5093" s="90">
        <v>12545</v>
      </c>
      <c r="K5093" s="85">
        <v>0</v>
      </c>
      <c r="L5093" s="85">
        <v>0</v>
      </c>
      <c r="M5093" s="85">
        <v>0</v>
      </c>
      <c r="N5093" s="82" t="s">
        <v>12245</v>
      </c>
      <c r="O5093" s="93">
        <v>45908.630694444444</v>
      </c>
    </row>
    <row r="5094" spans="1:15" ht="22.5" customHeight="1">
      <c r="A5094" s="85">
        <v>174904221976312</v>
      </c>
      <c r="B5094" s="82" t="s">
        <v>10651</v>
      </c>
      <c r="C5094" s="82" t="s">
        <v>12058</v>
      </c>
      <c r="D5094" s="82" t="s">
        <v>4516</v>
      </c>
      <c r="E5094" s="82">
        <v>6281315163838</v>
      </c>
      <c r="F5094" s="94">
        <v>45907</v>
      </c>
      <c r="G5094" s="87">
        <v>260</v>
      </c>
      <c r="H5094" s="88">
        <v>51194.852941176468</v>
      </c>
      <c r="I5094" s="89">
        <v>10</v>
      </c>
      <c r="J5094" s="90">
        <v>13925</v>
      </c>
      <c r="K5094" s="85">
        <v>2</v>
      </c>
      <c r="L5094" s="85">
        <v>0</v>
      </c>
      <c r="M5094" s="85">
        <v>0</v>
      </c>
      <c r="N5094" s="82" t="s">
        <v>12222</v>
      </c>
      <c r="O5094" s="93">
        <v>45908.651689814818</v>
      </c>
    </row>
    <row r="5095" spans="1:15" ht="22.5" customHeight="1">
      <c r="A5095" s="85">
        <v>174904221976312</v>
      </c>
      <c r="B5095" s="82" t="s">
        <v>10651</v>
      </c>
      <c r="C5095" s="82" t="s">
        <v>12019</v>
      </c>
      <c r="D5095" s="82" t="s">
        <v>12020</v>
      </c>
      <c r="E5095" s="82">
        <v>6287862271550</v>
      </c>
      <c r="F5095" s="94">
        <v>45907</v>
      </c>
      <c r="G5095" s="87">
        <v>392</v>
      </c>
      <c r="H5095" s="88">
        <v>28135.254988913526</v>
      </c>
      <c r="I5095" s="89">
        <v>12</v>
      </c>
      <c r="J5095" s="90">
        <v>12689</v>
      </c>
      <c r="K5095" s="85">
        <v>0</v>
      </c>
      <c r="L5095" s="85">
        <v>1</v>
      </c>
      <c r="M5095" s="85">
        <v>0</v>
      </c>
      <c r="N5095" s="82" t="s">
        <v>12289</v>
      </c>
      <c r="O5095" s="93">
        <v>45908.220648148148</v>
      </c>
    </row>
    <row r="5096" spans="1:15" ht="22.5" customHeight="1">
      <c r="A5096" s="85">
        <v>174904221976312</v>
      </c>
      <c r="B5096" s="82" t="s">
        <v>10651</v>
      </c>
      <c r="C5096" s="82" t="s">
        <v>12007</v>
      </c>
      <c r="D5096" s="82" t="s">
        <v>9010</v>
      </c>
      <c r="E5096" s="82">
        <v>6282160743576</v>
      </c>
      <c r="F5096" s="94">
        <v>45907</v>
      </c>
      <c r="G5096" s="87">
        <v>756</v>
      </c>
      <c r="H5096" s="88">
        <v>13263.341067285382</v>
      </c>
      <c r="I5096" s="89">
        <v>38</v>
      </c>
      <c r="J5096" s="90">
        <v>11433</v>
      </c>
      <c r="K5096" s="85">
        <v>2</v>
      </c>
      <c r="L5096" s="85">
        <v>211</v>
      </c>
      <c r="M5096" s="85">
        <v>0</v>
      </c>
      <c r="N5096" s="82" t="s">
        <v>12008</v>
      </c>
      <c r="O5096" s="93">
        <v>45908.505798611113</v>
      </c>
    </row>
    <row r="5097" spans="1:15" ht="22.5" customHeight="1">
      <c r="A5097" s="85">
        <v>174904221976312</v>
      </c>
      <c r="B5097" s="82" t="s">
        <v>10651</v>
      </c>
      <c r="C5097" s="82" t="s">
        <v>11908</v>
      </c>
      <c r="D5097" s="82" t="s">
        <v>3969</v>
      </c>
      <c r="E5097" s="82">
        <v>62881010328220</v>
      </c>
      <c r="F5097" s="94">
        <v>45907</v>
      </c>
      <c r="G5097" s="87">
        <v>155</v>
      </c>
      <c r="H5097" s="88">
        <v>86770.114942528729</v>
      </c>
      <c r="I5097" s="89">
        <v>2</v>
      </c>
      <c r="J5097" s="90">
        <v>15098</v>
      </c>
      <c r="K5097" s="85">
        <v>0</v>
      </c>
      <c r="L5097" s="85">
        <v>0</v>
      </c>
      <c r="M5097" s="85">
        <v>0</v>
      </c>
      <c r="N5097" s="82" t="s">
        <v>12290</v>
      </c>
      <c r="O5097" s="93">
        <v>45908.547500000001</v>
      </c>
    </row>
    <row r="5098" spans="1:15" ht="22.5" customHeight="1">
      <c r="A5098" s="85">
        <v>174904221976312</v>
      </c>
      <c r="B5098" s="82" t="s">
        <v>10651</v>
      </c>
      <c r="C5098" s="82" t="s">
        <v>11838</v>
      </c>
      <c r="D5098" s="82" t="s">
        <v>11839</v>
      </c>
      <c r="E5098" s="82">
        <v>6287797504113</v>
      </c>
      <c r="F5098" s="94">
        <v>45907</v>
      </c>
      <c r="G5098" s="87">
        <v>230</v>
      </c>
      <c r="H5098" s="88">
        <v>43575.875486381323</v>
      </c>
      <c r="I5098" s="89">
        <v>11</v>
      </c>
      <c r="J5098" s="90">
        <v>11199</v>
      </c>
      <c r="K5098" s="85">
        <v>1</v>
      </c>
      <c r="L5098" s="85">
        <v>0</v>
      </c>
      <c r="M5098" s="85">
        <v>0</v>
      </c>
      <c r="N5098" s="82" t="s">
        <v>12247</v>
      </c>
      <c r="O5098" s="93">
        <v>45908.220636574071</v>
      </c>
    </row>
    <row r="5099" spans="1:15" ht="22.5" customHeight="1">
      <c r="A5099" s="85">
        <v>174904221976312</v>
      </c>
      <c r="B5099" s="82" t="s">
        <v>10651</v>
      </c>
      <c r="C5099" s="82" t="s">
        <v>11806</v>
      </c>
      <c r="D5099" s="82" t="s">
        <v>11807</v>
      </c>
      <c r="E5099" s="82">
        <v>6285338373761</v>
      </c>
      <c r="F5099" s="94">
        <v>45907</v>
      </c>
      <c r="G5099" s="87">
        <v>912</v>
      </c>
      <c r="H5099" s="88">
        <v>12366.54478976234</v>
      </c>
      <c r="I5099" s="89">
        <v>66</v>
      </c>
      <c r="J5099" s="90">
        <v>13529</v>
      </c>
      <c r="K5099" s="85">
        <v>5</v>
      </c>
      <c r="L5099" s="85">
        <v>524</v>
      </c>
      <c r="M5099" s="85">
        <v>1</v>
      </c>
      <c r="N5099" s="82" t="s">
        <v>12275</v>
      </c>
      <c r="O5099" s="93">
        <v>45908.61005787037</v>
      </c>
    </row>
    <row r="5100" spans="1:15" ht="22.5" customHeight="1">
      <c r="A5100" s="85">
        <v>174904221976312</v>
      </c>
      <c r="B5100" s="82" t="s">
        <v>10651</v>
      </c>
      <c r="C5100" s="82" t="s">
        <v>11780</v>
      </c>
      <c r="D5100" s="82" t="s">
        <v>11781</v>
      </c>
      <c r="E5100" s="82">
        <v>6282129364133</v>
      </c>
      <c r="F5100" s="94">
        <v>45907</v>
      </c>
      <c r="G5100" s="87">
        <v>363</v>
      </c>
      <c r="H5100" s="88">
        <v>24221.130221130221</v>
      </c>
      <c r="I5100" s="89">
        <v>4</v>
      </c>
      <c r="J5100" s="90">
        <v>9858</v>
      </c>
      <c r="K5100" s="85">
        <v>0</v>
      </c>
      <c r="L5100" s="85">
        <v>0</v>
      </c>
      <c r="M5100" s="85">
        <v>0</v>
      </c>
      <c r="N5100" s="82" t="s">
        <v>12224</v>
      </c>
      <c r="O5100" s="93">
        <v>45908.220648148148</v>
      </c>
    </row>
    <row r="5101" spans="1:15" ht="22.5" customHeight="1">
      <c r="A5101" s="85">
        <v>174904221976312</v>
      </c>
      <c r="B5101" s="82" t="s">
        <v>10651</v>
      </c>
      <c r="C5101" s="82" t="s">
        <v>11758</v>
      </c>
      <c r="D5101" s="82" t="s">
        <v>11759</v>
      </c>
      <c r="E5101" s="82">
        <v>6285946504405</v>
      </c>
      <c r="F5101" s="94">
        <v>45907</v>
      </c>
      <c r="G5101" s="87">
        <v>255</v>
      </c>
      <c r="H5101" s="88">
        <v>35290.322580645159</v>
      </c>
      <c r="I5101" s="89">
        <v>13</v>
      </c>
      <c r="J5101" s="90">
        <v>9846</v>
      </c>
      <c r="K5101" s="85">
        <v>0</v>
      </c>
      <c r="L5101" s="85">
        <v>0</v>
      </c>
      <c r="M5101" s="85">
        <v>0</v>
      </c>
      <c r="N5101" s="82" t="s">
        <v>12248</v>
      </c>
      <c r="O5101" s="93">
        <v>45908.220636574071</v>
      </c>
    </row>
    <row r="5102" spans="1:15" ht="22.5" customHeight="1">
      <c r="A5102" s="85">
        <v>174904221976312</v>
      </c>
      <c r="B5102" s="82" t="s">
        <v>10651</v>
      </c>
      <c r="C5102" s="82" t="s">
        <v>11580</v>
      </c>
      <c r="D5102" s="82" t="s">
        <v>11581</v>
      </c>
      <c r="E5102" s="82">
        <v>6287790276733</v>
      </c>
      <c r="F5102" s="94">
        <v>45907</v>
      </c>
      <c r="G5102" s="87">
        <v>453</v>
      </c>
      <c r="H5102" s="88">
        <v>18092.936802973978</v>
      </c>
      <c r="I5102" s="89">
        <v>4</v>
      </c>
      <c r="J5102" s="90">
        <v>9734</v>
      </c>
      <c r="K5102" s="85">
        <v>0</v>
      </c>
      <c r="L5102" s="85">
        <v>0</v>
      </c>
      <c r="M5102" s="85">
        <v>0</v>
      </c>
      <c r="N5102" s="82" t="s">
        <v>12226</v>
      </c>
      <c r="O5102" s="93">
        <v>45908.734606481485</v>
      </c>
    </row>
    <row r="5103" spans="1:15" ht="22.5" customHeight="1">
      <c r="A5103" s="85">
        <v>759724529202804</v>
      </c>
      <c r="B5103" s="82" t="s">
        <v>10621</v>
      </c>
      <c r="C5103" s="82" t="s">
        <v>11055</v>
      </c>
      <c r="D5103" s="82" t="s">
        <v>1021</v>
      </c>
      <c r="E5103" s="82"/>
      <c r="F5103" s="94">
        <v>45908</v>
      </c>
      <c r="G5103" s="87">
        <v>2931</v>
      </c>
      <c r="H5103" s="88">
        <v>38085.26664658029</v>
      </c>
      <c r="I5103" s="89">
        <v>83</v>
      </c>
      <c r="J5103" s="90">
        <v>126405</v>
      </c>
      <c r="K5103" s="85">
        <v>13</v>
      </c>
      <c r="L5103" s="85">
        <v>971</v>
      </c>
      <c r="M5103" s="85">
        <v>0</v>
      </c>
      <c r="N5103" s="82" t="s">
        <v>11056</v>
      </c>
      <c r="O5103" s="93">
        <v>45907.367939814816</v>
      </c>
    </row>
    <row r="5104" spans="1:15" ht="22.5" customHeight="1">
      <c r="A5104" s="85">
        <v>174904221976312</v>
      </c>
      <c r="B5104" s="82" t="s">
        <v>10651</v>
      </c>
      <c r="C5104" s="82" t="s">
        <v>12307</v>
      </c>
      <c r="D5104" s="82" t="s">
        <v>12308</v>
      </c>
      <c r="E5104" s="82">
        <v>62881022356673</v>
      </c>
      <c r="F5104" s="94">
        <v>45908</v>
      </c>
      <c r="G5104" s="87">
        <v>611</v>
      </c>
      <c r="H5104" s="88">
        <v>19884.992987377282</v>
      </c>
      <c r="I5104" s="89">
        <v>41</v>
      </c>
      <c r="J5104" s="90">
        <v>14178</v>
      </c>
      <c r="K5104" s="85">
        <v>7</v>
      </c>
      <c r="L5104" s="85">
        <v>188</v>
      </c>
      <c r="M5104" s="85">
        <v>0</v>
      </c>
      <c r="N5104" s="82" t="s">
        <v>12309</v>
      </c>
      <c r="O5104" s="93">
        <v>45909.817986111113</v>
      </c>
    </row>
    <row r="5105" spans="1:15" ht="22.5" customHeight="1">
      <c r="A5105" s="85">
        <v>174904221976312</v>
      </c>
      <c r="B5105" s="82" t="s">
        <v>10651</v>
      </c>
      <c r="C5105" s="82" t="s">
        <v>12310</v>
      </c>
      <c r="D5105" s="82" t="s">
        <v>3633</v>
      </c>
      <c r="E5105" s="82">
        <v>6285710003464</v>
      </c>
      <c r="F5105" s="94">
        <v>45908</v>
      </c>
      <c r="G5105" s="87">
        <v>13430</v>
      </c>
      <c r="H5105" s="88">
        <v>778.72903180900676</v>
      </c>
      <c r="I5105" s="89">
        <v>7</v>
      </c>
      <c r="J5105" s="90">
        <v>11188</v>
      </c>
      <c r="K5105" s="85">
        <v>0</v>
      </c>
      <c r="L5105" s="85">
        <v>824</v>
      </c>
      <c r="M5105" s="85">
        <v>0</v>
      </c>
      <c r="N5105" s="82" t="s">
        <v>12311</v>
      </c>
      <c r="O5105" s="93">
        <v>45909.797291666669</v>
      </c>
    </row>
    <row r="5106" spans="1:15" ht="22.5" customHeight="1">
      <c r="A5106" s="85">
        <v>174904221976312</v>
      </c>
      <c r="B5106" s="82" t="s">
        <v>10651</v>
      </c>
      <c r="C5106" s="82" t="s">
        <v>12291</v>
      </c>
      <c r="D5106" s="82" t="s">
        <v>5257</v>
      </c>
      <c r="E5106" s="82">
        <v>6287722264777</v>
      </c>
      <c r="F5106" s="94">
        <v>45908</v>
      </c>
      <c r="G5106" s="87">
        <v>711</v>
      </c>
      <c r="H5106" s="88">
        <v>14270.61310782241</v>
      </c>
      <c r="I5106" s="89">
        <v>23</v>
      </c>
      <c r="J5106" s="90">
        <v>13500</v>
      </c>
      <c r="K5106" s="85">
        <v>3</v>
      </c>
      <c r="L5106" s="85">
        <v>31</v>
      </c>
      <c r="M5106" s="85">
        <v>0</v>
      </c>
      <c r="N5106" s="82" t="s">
        <v>12292</v>
      </c>
      <c r="O5106" s="93">
        <v>45909.672430555554</v>
      </c>
    </row>
    <row r="5107" spans="1:15" ht="22.5" customHeight="1">
      <c r="A5107" s="85">
        <v>174904221976312</v>
      </c>
      <c r="B5107" s="82" t="s">
        <v>10651</v>
      </c>
      <c r="C5107" s="82" t="s">
        <v>12293</v>
      </c>
      <c r="D5107" s="82" t="s">
        <v>12294</v>
      </c>
      <c r="E5107" s="82">
        <v>6285280808856</v>
      </c>
      <c r="F5107" s="94">
        <v>45908</v>
      </c>
      <c r="G5107" s="87">
        <v>914</v>
      </c>
      <c r="H5107" s="88">
        <v>14506.878306878307</v>
      </c>
      <c r="I5107" s="89">
        <v>27</v>
      </c>
      <c r="J5107" s="90">
        <v>13709</v>
      </c>
      <c r="K5107" s="85">
        <v>0</v>
      </c>
      <c r="L5107" s="85">
        <v>133</v>
      </c>
      <c r="M5107" s="85">
        <v>0</v>
      </c>
      <c r="N5107" s="82" t="s">
        <v>12295</v>
      </c>
      <c r="O5107" s="93">
        <v>45909.755370370367</v>
      </c>
    </row>
    <row r="5108" spans="1:15" ht="22.5" customHeight="1">
      <c r="A5108" s="85">
        <v>174904221976312</v>
      </c>
      <c r="B5108" s="82" t="s">
        <v>10651</v>
      </c>
      <c r="C5108" s="82" t="s">
        <v>12296</v>
      </c>
      <c r="D5108" s="82" t="s">
        <v>12297</v>
      </c>
      <c r="E5108" s="82">
        <v>6285600287735</v>
      </c>
      <c r="F5108" s="94">
        <v>45908</v>
      </c>
      <c r="G5108" s="87">
        <v>422</v>
      </c>
      <c r="H5108" s="88">
        <v>24628.366247755836</v>
      </c>
      <c r="I5108" s="89">
        <v>17</v>
      </c>
      <c r="J5108" s="90">
        <v>13718</v>
      </c>
      <c r="K5108" s="85">
        <v>4</v>
      </c>
      <c r="L5108" s="85">
        <v>64</v>
      </c>
      <c r="M5108" s="85">
        <v>0</v>
      </c>
      <c r="N5108" s="82" t="s">
        <v>12298</v>
      </c>
      <c r="O5108" s="93">
        <v>45909.672418981485</v>
      </c>
    </row>
    <row r="5109" spans="1:15" ht="22.5" customHeight="1">
      <c r="A5109" s="85">
        <v>174904221976312</v>
      </c>
      <c r="B5109" s="82" t="s">
        <v>10651</v>
      </c>
      <c r="C5109" s="82" t="s">
        <v>12299</v>
      </c>
      <c r="D5109" s="82" t="s">
        <v>12300</v>
      </c>
      <c r="E5109" s="82">
        <v>6285654251369</v>
      </c>
      <c r="F5109" s="94">
        <v>45908</v>
      </c>
      <c r="G5109" s="87">
        <v>440</v>
      </c>
      <c r="H5109" s="88">
        <v>28772.442588726513</v>
      </c>
      <c r="I5109" s="89">
        <v>7</v>
      </c>
      <c r="J5109" s="90">
        <v>13782</v>
      </c>
      <c r="K5109" s="85">
        <v>0</v>
      </c>
      <c r="L5109" s="85">
        <v>1</v>
      </c>
      <c r="M5109" s="85">
        <v>0</v>
      </c>
      <c r="N5109" s="82" t="s">
        <v>12312</v>
      </c>
      <c r="O5109" s="93">
        <v>45909.654317129629</v>
      </c>
    </row>
    <row r="5110" spans="1:15" ht="22.5" customHeight="1">
      <c r="A5110" s="85">
        <v>174904221976312</v>
      </c>
      <c r="B5110" s="82" t="s">
        <v>10651</v>
      </c>
      <c r="C5110" s="82" t="s">
        <v>12302</v>
      </c>
      <c r="D5110" s="82" t="s">
        <v>7857</v>
      </c>
      <c r="E5110" s="82">
        <v>6283865096870</v>
      </c>
      <c r="F5110" s="94">
        <v>45908</v>
      </c>
      <c r="G5110" s="87">
        <v>929</v>
      </c>
      <c r="H5110" s="88">
        <v>11292.153589315525</v>
      </c>
      <c r="I5110" s="89">
        <v>32</v>
      </c>
      <c r="J5110" s="90">
        <v>13528</v>
      </c>
      <c r="K5110" s="85">
        <v>4</v>
      </c>
      <c r="L5110" s="85">
        <v>345</v>
      </c>
      <c r="M5110" s="85">
        <v>0</v>
      </c>
      <c r="N5110" s="82" t="s">
        <v>12303</v>
      </c>
      <c r="O5110" s="93">
        <v>45909.50582175926</v>
      </c>
    </row>
    <row r="5111" spans="1:15" ht="22.5" customHeight="1">
      <c r="A5111" s="85">
        <v>174904221976312</v>
      </c>
      <c r="B5111" s="82" t="s">
        <v>10651</v>
      </c>
      <c r="C5111" s="82" t="s">
        <v>12304</v>
      </c>
      <c r="D5111" s="82" t="s">
        <v>5179</v>
      </c>
      <c r="E5111" s="82">
        <v>6282286608220</v>
      </c>
      <c r="F5111" s="94">
        <v>45908</v>
      </c>
      <c r="G5111" s="87">
        <v>227</v>
      </c>
      <c r="H5111" s="88">
        <v>39507.19424460431</v>
      </c>
      <c r="I5111" s="89">
        <v>10</v>
      </c>
      <c r="J5111" s="90">
        <v>10983</v>
      </c>
      <c r="K5111" s="85">
        <v>1</v>
      </c>
      <c r="L5111" s="85">
        <v>17</v>
      </c>
      <c r="M5111" s="85">
        <v>0</v>
      </c>
      <c r="N5111" s="82" t="s">
        <v>12313</v>
      </c>
      <c r="O5111" s="93">
        <v>45909.685185185182</v>
      </c>
    </row>
    <row r="5112" spans="1:15" ht="22.5" customHeight="1">
      <c r="A5112" s="85">
        <v>174904221976312</v>
      </c>
      <c r="B5112" s="82" t="s">
        <v>10651</v>
      </c>
      <c r="C5112" s="82" t="s">
        <v>12276</v>
      </c>
      <c r="D5112" s="82" t="s">
        <v>12277</v>
      </c>
      <c r="E5112" s="82">
        <v>6281558822937</v>
      </c>
      <c r="F5112" s="94">
        <v>45908</v>
      </c>
      <c r="G5112" s="87">
        <v>68</v>
      </c>
      <c r="H5112" s="88">
        <v>213805.55555555553</v>
      </c>
      <c r="I5112" s="89">
        <v>0</v>
      </c>
      <c r="J5112" s="90">
        <v>15394</v>
      </c>
      <c r="K5112" s="85">
        <v>0</v>
      </c>
      <c r="L5112" s="85">
        <v>0</v>
      </c>
      <c r="M5112" s="85">
        <v>0</v>
      </c>
      <c r="N5112" s="82" t="s">
        <v>12314</v>
      </c>
      <c r="O5112" s="93">
        <v>45909.668622685182</v>
      </c>
    </row>
    <row r="5113" spans="1:15" ht="22.5" customHeight="1">
      <c r="A5113" s="85">
        <v>174904221976312</v>
      </c>
      <c r="B5113" s="82" t="s">
        <v>10651</v>
      </c>
      <c r="C5113" s="82" t="s">
        <v>12279</v>
      </c>
      <c r="D5113" s="82" t="s">
        <v>11800</v>
      </c>
      <c r="E5113" s="82">
        <v>6285333751528</v>
      </c>
      <c r="F5113" s="94">
        <v>45908</v>
      </c>
      <c r="G5113" s="87">
        <v>123</v>
      </c>
      <c r="H5113" s="88">
        <v>102855.07246376811</v>
      </c>
      <c r="I5113" s="89">
        <v>5</v>
      </c>
      <c r="J5113" s="90">
        <v>14194</v>
      </c>
      <c r="K5113" s="85">
        <v>2</v>
      </c>
      <c r="L5113" s="85">
        <v>43</v>
      </c>
      <c r="M5113" s="85">
        <v>0</v>
      </c>
      <c r="N5113" s="82" t="s">
        <v>12315</v>
      </c>
      <c r="O5113" s="93">
        <v>45909.568159722221</v>
      </c>
    </row>
    <row r="5114" spans="1:15" ht="22.5" customHeight="1">
      <c r="A5114" s="85">
        <v>174904221976312</v>
      </c>
      <c r="B5114" s="82" t="s">
        <v>10651</v>
      </c>
      <c r="C5114" s="82" t="s">
        <v>12281</v>
      </c>
      <c r="D5114" s="82" t="s">
        <v>12282</v>
      </c>
      <c r="E5114" s="82">
        <v>62895614711817</v>
      </c>
      <c r="F5114" s="94">
        <v>45908</v>
      </c>
      <c r="G5114" s="87">
        <v>1273</v>
      </c>
      <c r="H5114" s="88">
        <v>9232.8854766474724</v>
      </c>
      <c r="I5114" s="89">
        <v>51</v>
      </c>
      <c r="J5114" s="90">
        <v>14431</v>
      </c>
      <c r="K5114" s="85">
        <v>11</v>
      </c>
      <c r="L5114" s="85">
        <v>0</v>
      </c>
      <c r="M5114" s="85">
        <v>2</v>
      </c>
      <c r="N5114" s="82" t="s">
        <v>12283</v>
      </c>
      <c r="O5114" s="93">
        <v>45909.651736111111</v>
      </c>
    </row>
    <row r="5115" spans="1:15" ht="22.5" customHeight="1">
      <c r="A5115" s="85">
        <v>174904221976312</v>
      </c>
      <c r="B5115" s="82" t="s">
        <v>10651</v>
      </c>
      <c r="C5115" s="82" t="s">
        <v>12284</v>
      </c>
      <c r="D5115" s="82" t="s">
        <v>12285</v>
      </c>
      <c r="E5115" s="82">
        <v>6285921481643</v>
      </c>
      <c r="F5115" s="94">
        <v>45908</v>
      </c>
      <c r="G5115" s="87">
        <v>295</v>
      </c>
      <c r="H5115" s="88">
        <v>32633.136094674555</v>
      </c>
      <c r="I5115" s="89">
        <v>4</v>
      </c>
      <c r="J5115" s="90">
        <v>11030</v>
      </c>
      <c r="K5115" s="85">
        <v>1</v>
      </c>
      <c r="L5115" s="85">
        <v>119</v>
      </c>
      <c r="M5115" s="85">
        <v>0</v>
      </c>
      <c r="N5115" s="82" t="s">
        <v>12286</v>
      </c>
      <c r="O5115" s="93">
        <v>45909.61005787037</v>
      </c>
    </row>
    <row r="5116" spans="1:15" ht="22.5" customHeight="1">
      <c r="A5116" s="85">
        <v>174904221976312</v>
      </c>
      <c r="B5116" s="82" t="s">
        <v>10651</v>
      </c>
      <c r="C5116" s="82" t="s">
        <v>12253</v>
      </c>
      <c r="D5116" s="82" t="s">
        <v>12254</v>
      </c>
      <c r="E5116" s="82">
        <v>6287838234518</v>
      </c>
      <c r="F5116" s="94">
        <v>45908</v>
      </c>
      <c r="G5116" s="87">
        <v>518</v>
      </c>
      <c r="H5116" s="88">
        <v>21969.599999999999</v>
      </c>
      <c r="I5116" s="89">
        <v>61</v>
      </c>
      <c r="J5116" s="90">
        <v>13731</v>
      </c>
      <c r="K5116" s="85">
        <v>10</v>
      </c>
      <c r="L5116" s="85">
        <v>0</v>
      </c>
      <c r="M5116" s="85">
        <v>2</v>
      </c>
      <c r="N5116" s="82" t="s">
        <v>12255</v>
      </c>
      <c r="O5116" s="93">
        <v>45909.547314814816</v>
      </c>
    </row>
    <row r="5117" spans="1:15" ht="22.5" customHeight="1">
      <c r="A5117" s="85">
        <v>174904221976312</v>
      </c>
      <c r="B5117" s="82" t="s">
        <v>10651</v>
      </c>
      <c r="C5117" s="82" t="s">
        <v>12256</v>
      </c>
      <c r="D5117" s="82" t="s">
        <v>12257</v>
      </c>
      <c r="E5117" s="82">
        <v>6285384956538</v>
      </c>
      <c r="F5117" s="94">
        <v>45908</v>
      </c>
      <c r="G5117" s="87">
        <v>723</v>
      </c>
      <c r="H5117" s="88">
        <v>14066.027689030883</v>
      </c>
      <c r="I5117" s="89">
        <v>7</v>
      </c>
      <c r="J5117" s="90">
        <v>13208</v>
      </c>
      <c r="K5117" s="85">
        <v>0</v>
      </c>
      <c r="L5117" s="85">
        <v>0</v>
      </c>
      <c r="M5117" s="85">
        <v>0</v>
      </c>
      <c r="N5117" s="82" t="s">
        <v>12258</v>
      </c>
      <c r="O5117" s="93">
        <v>45909.589062500003</v>
      </c>
    </row>
    <row r="5118" spans="1:15" ht="22.5" customHeight="1">
      <c r="A5118" s="85">
        <v>174904221976312</v>
      </c>
      <c r="B5118" s="82" t="s">
        <v>10651</v>
      </c>
      <c r="C5118" s="82" t="s">
        <v>12259</v>
      </c>
      <c r="D5118" s="82" t="s">
        <v>5123</v>
      </c>
      <c r="E5118" s="82">
        <v>6287849856444</v>
      </c>
      <c r="F5118" s="94">
        <v>45908</v>
      </c>
      <c r="G5118" s="87">
        <v>450</v>
      </c>
      <c r="H5118" s="88">
        <v>27459.615384615387</v>
      </c>
      <c r="I5118" s="89">
        <v>19</v>
      </c>
      <c r="J5118" s="90">
        <v>14279</v>
      </c>
      <c r="K5118" s="85">
        <v>4</v>
      </c>
      <c r="L5118" s="85">
        <v>86</v>
      </c>
      <c r="M5118" s="85">
        <v>0</v>
      </c>
      <c r="N5118" s="82" t="s">
        <v>12260</v>
      </c>
      <c r="O5118" s="93">
        <v>45909.547037037039</v>
      </c>
    </row>
    <row r="5119" spans="1:15" ht="22.5" customHeight="1">
      <c r="A5119" s="85">
        <v>174904221976312</v>
      </c>
      <c r="B5119" s="82" t="s">
        <v>10651</v>
      </c>
      <c r="C5119" s="82" t="s">
        <v>12261</v>
      </c>
      <c r="D5119" s="82" t="s">
        <v>5116</v>
      </c>
      <c r="E5119" s="82">
        <v>6285786318640</v>
      </c>
      <c r="F5119" s="94">
        <v>45908</v>
      </c>
      <c r="G5119" s="87">
        <v>298</v>
      </c>
      <c r="H5119" s="88">
        <v>40523.952095808381</v>
      </c>
      <c r="I5119" s="89">
        <v>10</v>
      </c>
      <c r="J5119" s="90">
        <v>13535</v>
      </c>
      <c r="K5119" s="85">
        <v>2</v>
      </c>
      <c r="L5119" s="85">
        <v>0</v>
      </c>
      <c r="M5119" s="85">
        <v>0</v>
      </c>
      <c r="N5119" s="82" t="s">
        <v>12262</v>
      </c>
      <c r="O5119" s="93">
        <v>45909.50582175926</v>
      </c>
    </row>
    <row r="5120" spans="1:15" ht="22.5" customHeight="1">
      <c r="A5120" s="85">
        <v>174904221976312</v>
      </c>
      <c r="B5120" s="82" t="s">
        <v>10651</v>
      </c>
      <c r="C5120" s="82" t="s">
        <v>12263</v>
      </c>
      <c r="D5120" s="82" t="s">
        <v>12264</v>
      </c>
      <c r="E5120" s="82">
        <v>62817308228</v>
      </c>
      <c r="F5120" s="94">
        <v>45908</v>
      </c>
      <c r="G5120" s="87">
        <v>552</v>
      </c>
      <c r="H5120" s="88">
        <v>20902.898550724636</v>
      </c>
      <c r="I5120" s="89">
        <v>26</v>
      </c>
      <c r="J5120" s="90">
        <v>14423</v>
      </c>
      <c r="K5120" s="85">
        <v>0</v>
      </c>
      <c r="L5120" s="85">
        <v>0</v>
      </c>
      <c r="M5120" s="85">
        <v>0</v>
      </c>
      <c r="N5120" s="82" t="s">
        <v>12316</v>
      </c>
      <c r="O5120" s="93">
        <v>45909.694803240738</v>
      </c>
    </row>
    <row r="5121" spans="1:15" ht="22.5" customHeight="1">
      <c r="A5121" s="85">
        <v>174904221976312</v>
      </c>
      <c r="B5121" s="82" t="s">
        <v>10651</v>
      </c>
      <c r="C5121" s="82" t="s">
        <v>12266</v>
      </c>
      <c r="D5121" s="82" t="s">
        <v>12267</v>
      </c>
      <c r="E5121" s="82">
        <v>6282362576312</v>
      </c>
      <c r="F5121" s="94">
        <v>45908</v>
      </c>
      <c r="G5121" s="87">
        <v>131</v>
      </c>
      <c r="H5121" s="88">
        <v>96774.834437086101</v>
      </c>
      <c r="I5121" s="89">
        <v>10</v>
      </c>
      <c r="J5121" s="90">
        <v>14613</v>
      </c>
      <c r="K5121" s="85">
        <v>2</v>
      </c>
      <c r="L5121" s="85">
        <v>0</v>
      </c>
      <c r="M5121" s="85">
        <v>0</v>
      </c>
      <c r="N5121" s="82" t="s">
        <v>12268</v>
      </c>
      <c r="O5121" s="93">
        <v>45909.526539351849</v>
      </c>
    </row>
    <row r="5122" spans="1:15" ht="22.5" customHeight="1">
      <c r="A5122" s="85">
        <v>174904221976312</v>
      </c>
      <c r="B5122" s="82" t="s">
        <v>10651</v>
      </c>
      <c r="C5122" s="82" t="s">
        <v>12269</v>
      </c>
      <c r="D5122" s="82" t="s">
        <v>12270</v>
      </c>
      <c r="E5122" s="82">
        <v>6282229433259</v>
      </c>
      <c r="F5122" s="94">
        <v>45908</v>
      </c>
      <c r="G5122" s="87">
        <v>88</v>
      </c>
      <c r="H5122" s="88">
        <v>108316.83168316832</v>
      </c>
      <c r="I5122" s="89">
        <v>6</v>
      </c>
      <c r="J5122" s="90">
        <v>10940</v>
      </c>
      <c r="K5122" s="85">
        <v>1</v>
      </c>
      <c r="L5122" s="85">
        <v>0</v>
      </c>
      <c r="M5122" s="85">
        <v>0</v>
      </c>
      <c r="N5122" s="82" t="s">
        <v>12271</v>
      </c>
      <c r="O5122" s="93">
        <v>45909.422314814816</v>
      </c>
    </row>
    <row r="5123" spans="1:15" ht="22.5" customHeight="1">
      <c r="A5123" s="85">
        <v>174904221976312</v>
      </c>
      <c r="B5123" s="82" t="s">
        <v>10651</v>
      </c>
      <c r="C5123" s="82" t="s">
        <v>12272</v>
      </c>
      <c r="D5123" s="82" t="s">
        <v>11194</v>
      </c>
      <c r="E5123" s="82">
        <v>62895804080442</v>
      </c>
      <c r="F5123" s="94">
        <v>45908</v>
      </c>
      <c r="G5123" s="87">
        <v>579</v>
      </c>
      <c r="H5123" s="88">
        <v>20074.344023323614</v>
      </c>
      <c r="I5123" s="89">
        <v>25</v>
      </c>
      <c r="J5123" s="90">
        <v>13771</v>
      </c>
      <c r="K5123" s="85">
        <v>7</v>
      </c>
      <c r="L5123" s="85">
        <v>188</v>
      </c>
      <c r="M5123" s="85">
        <v>0</v>
      </c>
      <c r="N5123" s="82" t="s">
        <v>12273</v>
      </c>
      <c r="O5123" s="93">
        <v>45909.630590277775</v>
      </c>
    </row>
    <row r="5124" spans="1:15" ht="22.5" customHeight="1">
      <c r="A5124" s="85">
        <v>174904221976312</v>
      </c>
      <c r="B5124" s="82" t="s">
        <v>10651</v>
      </c>
      <c r="C5124" s="82" t="s">
        <v>12249</v>
      </c>
      <c r="D5124" s="82" t="s">
        <v>12250</v>
      </c>
      <c r="E5124" s="82">
        <v>6285242515222</v>
      </c>
      <c r="F5124" s="94">
        <v>45908</v>
      </c>
      <c r="G5124" s="87">
        <v>1458</v>
      </c>
      <c r="H5124" s="88">
        <v>6985.3420195439739</v>
      </c>
      <c r="I5124" s="89">
        <v>62</v>
      </c>
      <c r="J5124" s="90">
        <v>12867</v>
      </c>
      <c r="K5124" s="85">
        <v>7</v>
      </c>
      <c r="L5124" s="85">
        <v>0</v>
      </c>
      <c r="M5124" s="85">
        <v>1</v>
      </c>
      <c r="N5124" s="82" t="s">
        <v>12251</v>
      </c>
      <c r="O5124" s="93">
        <v>45909.464189814818</v>
      </c>
    </row>
    <row r="5125" spans="1:15" ht="22.5" customHeight="1">
      <c r="A5125" s="85">
        <v>174904221976312</v>
      </c>
      <c r="B5125" s="82" t="s">
        <v>10651</v>
      </c>
      <c r="C5125" s="82" t="s">
        <v>12234</v>
      </c>
      <c r="D5125" s="82" t="s">
        <v>12235</v>
      </c>
      <c r="E5125" s="82">
        <v>6285780314346</v>
      </c>
      <c r="F5125" s="94">
        <v>45908</v>
      </c>
      <c r="G5125" s="87">
        <v>921</v>
      </c>
      <c r="H5125" s="88">
        <v>13307.32635585157</v>
      </c>
      <c r="I5125" s="89">
        <v>68</v>
      </c>
      <c r="J5125" s="90">
        <v>13986</v>
      </c>
      <c r="K5125" s="85">
        <v>17</v>
      </c>
      <c r="L5125" s="85">
        <v>0</v>
      </c>
      <c r="M5125" s="85">
        <v>1</v>
      </c>
      <c r="N5125" s="82" t="s">
        <v>12236</v>
      </c>
      <c r="O5125" s="93">
        <v>45909.222615740742</v>
      </c>
    </row>
    <row r="5126" spans="1:15" ht="22.5" customHeight="1">
      <c r="A5126" s="85">
        <v>174904221976312</v>
      </c>
      <c r="B5126" s="82" t="s">
        <v>10651</v>
      </c>
      <c r="C5126" s="82" t="s">
        <v>12237</v>
      </c>
      <c r="D5126" s="82" t="s">
        <v>12238</v>
      </c>
      <c r="E5126" s="82">
        <v>6287888330007</v>
      </c>
      <c r="F5126" s="94">
        <v>45908</v>
      </c>
      <c r="G5126" s="87">
        <v>704</v>
      </c>
      <c r="H5126" s="88">
        <v>18557.011795543909</v>
      </c>
      <c r="I5126" s="89">
        <v>20</v>
      </c>
      <c r="J5126" s="90">
        <v>14159</v>
      </c>
      <c r="K5126" s="85">
        <v>3</v>
      </c>
      <c r="L5126" s="85">
        <v>192</v>
      </c>
      <c r="M5126" s="85">
        <v>0</v>
      </c>
      <c r="N5126" s="82" t="s">
        <v>12239</v>
      </c>
      <c r="O5126" s="93">
        <v>45909.222638888888</v>
      </c>
    </row>
    <row r="5127" spans="1:15" ht="22.5" customHeight="1">
      <c r="A5127" s="85">
        <v>174904221976312</v>
      </c>
      <c r="B5127" s="82" t="s">
        <v>10651</v>
      </c>
      <c r="C5127" s="82" t="s">
        <v>12240</v>
      </c>
      <c r="D5127" s="82" t="s">
        <v>12241</v>
      </c>
      <c r="E5127" s="82">
        <v>6285600822636</v>
      </c>
      <c r="F5127" s="94">
        <v>45908</v>
      </c>
      <c r="G5127" s="87">
        <v>615</v>
      </c>
      <c r="H5127" s="88">
        <v>17284.005979073241</v>
      </c>
      <c r="I5127" s="89">
        <v>12</v>
      </c>
      <c r="J5127" s="90">
        <v>11563</v>
      </c>
      <c r="K5127" s="85">
        <v>1</v>
      </c>
      <c r="L5127" s="85">
        <v>136</v>
      </c>
      <c r="M5127" s="85">
        <v>0</v>
      </c>
      <c r="N5127" s="82" t="s">
        <v>12274</v>
      </c>
      <c r="O5127" s="93">
        <v>45909.56858796296</v>
      </c>
    </row>
    <row r="5128" spans="1:15" ht="22.5" customHeight="1">
      <c r="A5128" s="85">
        <v>174904221976312</v>
      </c>
      <c r="B5128" s="82" t="s">
        <v>10651</v>
      </c>
      <c r="C5128" s="82" t="s">
        <v>12202</v>
      </c>
      <c r="D5128" s="82" t="s">
        <v>2370</v>
      </c>
      <c r="E5128" s="82">
        <v>6281317409433</v>
      </c>
      <c r="F5128" s="94">
        <v>45908</v>
      </c>
      <c r="G5128" s="87">
        <v>349</v>
      </c>
      <c r="H5128" s="88">
        <v>31833.734939759037</v>
      </c>
      <c r="I5128" s="89">
        <v>23</v>
      </c>
      <c r="J5128" s="90">
        <v>13211</v>
      </c>
      <c r="K5128" s="85">
        <v>4</v>
      </c>
      <c r="L5128" s="85">
        <v>0</v>
      </c>
      <c r="M5128" s="85">
        <v>0</v>
      </c>
      <c r="N5128" s="82" t="s">
        <v>12203</v>
      </c>
      <c r="O5128" s="93">
        <v>45909.672430555554</v>
      </c>
    </row>
    <row r="5129" spans="1:15" ht="22.5" customHeight="1">
      <c r="A5129" s="85">
        <v>174904221976312</v>
      </c>
      <c r="B5129" s="82" t="s">
        <v>10651</v>
      </c>
      <c r="C5129" s="82" t="s">
        <v>12207</v>
      </c>
      <c r="D5129" s="91" t="s">
        <v>4875</v>
      </c>
      <c r="E5129" s="82">
        <v>6285719003688</v>
      </c>
      <c r="F5129" s="94">
        <v>45908</v>
      </c>
      <c r="G5129" s="87">
        <v>129</v>
      </c>
      <c r="H5129" s="88">
        <v>99166.666666666672</v>
      </c>
      <c r="I5129" s="89">
        <v>3</v>
      </c>
      <c r="J5129" s="90">
        <v>14875</v>
      </c>
      <c r="K5129" s="85">
        <v>0</v>
      </c>
      <c r="L5129" s="85">
        <v>0</v>
      </c>
      <c r="M5129" s="85">
        <v>0</v>
      </c>
      <c r="N5129" s="82" t="s">
        <v>12287</v>
      </c>
      <c r="O5129" s="93">
        <v>45909.672662037039</v>
      </c>
    </row>
    <row r="5130" spans="1:15" ht="22.5" customHeight="1">
      <c r="A5130" s="85">
        <v>174904221976312</v>
      </c>
      <c r="B5130" s="82" t="s">
        <v>10651</v>
      </c>
      <c r="C5130" s="82" t="s">
        <v>12209</v>
      </c>
      <c r="D5130" s="82" t="s">
        <v>12210</v>
      </c>
      <c r="E5130" s="82">
        <v>6282217300224</v>
      </c>
      <c r="F5130" s="94">
        <v>45908</v>
      </c>
      <c r="G5130" s="87">
        <v>123</v>
      </c>
      <c r="H5130" s="88">
        <v>101906.47482014388</v>
      </c>
      <c r="I5130" s="89">
        <v>4</v>
      </c>
      <c r="J5130" s="90">
        <v>14165</v>
      </c>
      <c r="K5130" s="85">
        <v>0</v>
      </c>
      <c r="L5130" s="85">
        <v>0</v>
      </c>
      <c r="M5130" s="85">
        <v>0</v>
      </c>
      <c r="N5130" s="82" t="s">
        <v>12317</v>
      </c>
      <c r="O5130" s="93">
        <v>45909.318344907406</v>
      </c>
    </row>
    <row r="5131" spans="1:15" ht="22.5" customHeight="1">
      <c r="A5131" s="85">
        <v>174904221976312</v>
      </c>
      <c r="B5131" s="82" t="s">
        <v>10651</v>
      </c>
      <c r="C5131" s="82" t="s">
        <v>12176</v>
      </c>
      <c r="D5131" s="82" t="s">
        <v>12177</v>
      </c>
      <c r="E5131" s="82">
        <v>6285748377961</v>
      </c>
      <c r="F5131" s="94">
        <v>45908</v>
      </c>
      <c r="G5131" s="87">
        <v>623</v>
      </c>
      <c r="H5131" s="88">
        <v>20919.332406119611</v>
      </c>
      <c r="I5131" s="89">
        <v>24</v>
      </c>
      <c r="J5131" s="90">
        <v>15041</v>
      </c>
      <c r="K5131" s="85">
        <v>5</v>
      </c>
      <c r="L5131" s="85">
        <v>0</v>
      </c>
      <c r="M5131" s="85">
        <v>0</v>
      </c>
      <c r="N5131" s="82" t="s">
        <v>12178</v>
      </c>
      <c r="O5131" s="93">
        <v>45909.443240740744</v>
      </c>
    </row>
    <row r="5132" spans="1:15" ht="22.5" customHeight="1">
      <c r="A5132" s="85">
        <v>174904221976312</v>
      </c>
      <c r="B5132" s="82" t="s">
        <v>10651</v>
      </c>
      <c r="C5132" s="82" t="s">
        <v>12164</v>
      </c>
      <c r="D5132" s="82" t="s">
        <v>12165</v>
      </c>
      <c r="E5132" s="82">
        <v>6285787104091</v>
      </c>
      <c r="F5132" s="94">
        <v>45908</v>
      </c>
      <c r="G5132" s="87">
        <v>803</v>
      </c>
      <c r="H5132" s="88">
        <v>14148.694665153234</v>
      </c>
      <c r="I5132" s="89">
        <v>19</v>
      </c>
      <c r="J5132" s="90">
        <v>12465</v>
      </c>
      <c r="K5132" s="85">
        <v>1</v>
      </c>
      <c r="L5132" s="85">
        <v>1</v>
      </c>
      <c r="M5132" s="85">
        <v>0</v>
      </c>
      <c r="N5132" s="82" t="s">
        <v>12318</v>
      </c>
      <c r="O5132" s="93">
        <v>45909.755740740744</v>
      </c>
    </row>
    <row r="5133" spans="1:15" ht="22.5" customHeight="1">
      <c r="A5133" s="85">
        <v>174904221976312</v>
      </c>
      <c r="B5133" s="82" t="s">
        <v>10651</v>
      </c>
      <c r="C5133" s="82" t="s">
        <v>12171</v>
      </c>
      <c r="D5133" s="82" t="s">
        <v>4386</v>
      </c>
      <c r="E5133" s="82">
        <v>62818533354</v>
      </c>
      <c r="F5133" s="94">
        <v>45908</v>
      </c>
      <c r="G5133" s="87">
        <v>189</v>
      </c>
      <c r="H5133" s="88">
        <v>47890.350877192977</v>
      </c>
      <c r="I5133" s="89">
        <v>7</v>
      </c>
      <c r="J5133" s="90">
        <v>10919</v>
      </c>
      <c r="K5133" s="85">
        <v>1</v>
      </c>
      <c r="L5133" s="85">
        <v>0</v>
      </c>
      <c r="M5133" s="85">
        <v>0</v>
      </c>
      <c r="N5133" s="82" t="s">
        <v>12319</v>
      </c>
      <c r="O5133" s="93">
        <v>45909.610034722224</v>
      </c>
    </row>
    <row r="5134" spans="1:15" ht="22.5" customHeight="1">
      <c r="A5134" s="85">
        <v>174904221976312</v>
      </c>
      <c r="B5134" s="82" t="s">
        <v>10651</v>
      </c>
      <c r="C5134" s="82" t="s">
        <v>12130</v>
      </c>
      <c r="D5134" s="82" t="s">
        <v>12131</v>
      </c>
      <c r="E5134" s="82">
        <v>6281239004410</v>
      </c>
      <c r="F5134" s="94">
        <v>45908</v>
      </c>
      <c r="G5134" s="87">
        <v>197</v>
      </c>
      <c r="H5134" s="88">
        <v>55961.206896551725</v>
      </c>
      <c r="I5134" s="89">
        <v>6</v>
      </c>
      <c r="J5134" s="90">
        <v>12983</v>
      </c>
      <c r="K5134" s="85">
        <v>1</v>
      </c>
      <c r="L5134" s="85">
        <v>0</v>
      </c>
      <c r="M5134" s="85">
        <v>0</v>
      </c>
      <c r="N5134" s="82" t="s">
        <v>12288</v>
      </c>
      <c r="O5134" s="93">
        <v>45909.526550925926</v>
      </c>
    </row>
    <row r="5135" spans="1:15" ht="22.5" customHeight="1">
      <c r="A5135" s="85">
        <v>174904221976312</v>
      </c>
      <c r="B5135" s="82" t="s">
        <v>10651</v>
      </c>
      <c r="C5135" s="82" t="s">
        <v>12102</v>
      </c>
      <c r="D5135" s="82" t="s">
        <v>12103</v>
      </c>
      <c r="E5135" s="82">
        <v>628122577723</v>
      </c>
      <c r="F5135" s="94">
        <v>45908</v>
      </c>
      <c r="G5135" s="87">
        <v>328</v>
      </c>
      <c r="H5135" s="88">
        <v>30300.248138957817</v>
      </c>
      <c r="I5135" s="89">
        <v>9</v>
      </c>
      <c r="J5135" s="90">
        <v>12211</v>
      </c>
      <c r="K5135" s="85">
        <v>1</v>
      </c>
      <c r="L5135" s="85">
        <v>0</v>
      </c>
      <c r="M5135" s="85">
        <v>0</v>
      </c>
      <c r="N5135" s="82" t="s">
        <v>12244</v>
      </c>
      <c r="O5135" s="93">
        <v>45909.506076388891</v>
      </c>
    </row>
    <row r="5136" spans="1:15" ht="22.5" customHeight="1">
      <c r="A5136" s="85">
        <v>174904221976312</v>
      </c>
      <c r="B5136" s="82" t="s">
        <v>10651</v>
      </c>
      <c r="C5136" s="82" t="s">
        <v>12109</v>
      </c>
      <c r="D5136" s="82" t="s">
        <v>12110</v>
      </c>
      <c r="E5136" s="82">
        <v>6287777304498</v>
      </c>
      <c r="F5136" s="94">
        <v>45908</v>
      </c>
      <c r="G5136" s="87">
        <v>123</v>
      </c>
      <c r="H5136" s="88">
        <v>103260.56338028169</v>
      </c>
      <c r="I5136" s="89">
        <v>8</v>
      </c>
      <c r="J5136" s="90">
        <v>14663</v>
      </c>
      <c r="K5136" s="85">
        <v>3</v>
      </c>
      <c r="L5136" s="85">
        <v>0</v>
      </c>
      <c r="M5136" s="85">
        <v>0</v>
      </c>
      <c r="N5136" s="82" t="s">
        <v>12245</v>
      </c>
      <c r="O5136" s="93">
        <v>45909.422291666669</v>
      </c>
    </row>
    <row r="5137" spans="1:15" ht="22.5" customHeight="1">
      <c r="A5137" s="85">
        <v>174904221976312</v>
      </c>
      <c r="B5137" s="82" t="s">
        <v>10651</v>
      </c>
      <c r="C5137" s="82" t="s">
        <v>12054</v>
      </c>
      <c r="D5137" s="82" t="s">
        <v>4485</v>
      </c>
      <c r="E5137" s="82">
        <v>6285169730762</v>
      </c>
      <c r="F5137" s="94">
        <v>45908</v>
      </c>
      <c r="G5137" s="87">
        <v>561</v>
      </c>
      <c r="H5137" s="88">
        <v>16418.938307030126</v>
      </c>
      <c r="I5137" s="89">
        <v>48</v>
      </c>
      <c r="J5137" s="90">
        <v>11444</v>
      </c>
      <c r="K5137" s="85">
        <v>3</v>
      </c>
      <c r="L5137" s="85">
        <v>267</v>
      </c>
      <c r="M5137" s="85">
        <v>6</v>
      </c>
      <c r="N5137" s="82" t="s">
        <v>12320</v>
      </c>
      <c r="O5137" s="93">
        <v>45909.568182870367</v>
      </c>
    </row>
    <row r="5138" spans="1:15" ht="22.5" customHeight="1">
      <c r="A5138" s="85">
        <v>174904221976312</v>
      </c>
      <c r="B5138" s="82" t="s">
        <v>10651</v>
      </c>
      <c r="C5138" s="82" t="s">
        <v>12058</v>
      </c>
      <c r="D5138" s="82" t="s">
        <v>4516</v>
      </c>
      <c r="E5138" s="82">
        <v>6281315163838</v>
      </c>
      <c r="F5138" s="94">
        <v>45908</v>
      </c>
      <c r="G5138" s="87">
        <v>265</v>
      </c>
      <c r="H5138" s="88">
        <v>43310.231023102308</v>
      </c>
      <c r="I5138" s="89">
        <v>6</v>
      </c>
      <c r="J5138" s="90">
        <v>13123</v>
      </c>
      <c r="K5138" s="85">
        <v>0</v>
      </c>
      <c r="L5138" s="85">
        <v>5</v>
      </c>
      <c r="M5138" s="85">
        <v>0</v>
      </c>
      <c r="N5138" s="82" t="s">
        <v>12321</v>
      </c>
      <c r="O5138" s="93">
        <v>45909.506076388891</v>
      </c>
    </row>
    <row r="5139" spans="1:15" ht="22.5" customHeight="1">
      <c r="A5139" s="85">
        <v>174904221976312</v>
      </c>
      <c r="B5139" s="82" t="s">
        <v>10651</v>
      </c>
      <c r="C5139" s="82" t="s">
        <v>12007</v>
      </c>
      <c r="D5139" s="82" t="s">
        <v>9010</v>
      </c>
      <c r="E5139" s="82">
        <v>6282160743576</v>
      </c>
      <c r="F5139" s="94">
        <v>45908</v>
      </c>
      <c r="G5139" s="87">
        <v>703</v>
      </c>
      <c r="H5139" s="88">
        <v>18455.483870967742</v>
      </c>
      <c r="I5139" s="89">
        <v>22</v>
      </c>
      <c r="J5139" s="90">
        <v>14303</v>
      </c>
      <c r="K5139" s="85">
        <v>2</v>
      </c>
      <c r="L5139" s="85">
        <v>288</v>
      </c>
      <c r="M5139" s="85">
        <v>0</v>
      </c>
      <c r="N5139" s="82" t="s">
        <v>12008</v>
      </c>
      <c r="O5139" s="93">
        <v>45909.610046296293</v>
      </c>
    </row>
    <row r="5140" spans="1:15" ht="22.5" customHeight="1">
      <c r="A5140" s="85">
        <v>174904221976312</v>
      </c>
      <c r="B5140" s="82" t="s">
        <v>10651</v>
      </c>
      <c r="C5140" s="82" t="s">
        <v>11908</v>
      </c>
      <c r="D5140" s="82" t="s">
        <v>3969</v>
      </c>
      <c r="E5140" s="82">
        <v>62881010328220</v>
      </c>
      <c r="F5140" s="94">
        <v>45908</v>
      </c>
      <c r="G5140" s="87">
        <v>97</v>
      </c>
      <c r="H5140" s="88">
        <v>114116.07142857143</v>
      </c>
      <c r="I5140" s="89">
        <v>3</v>
      </c>
      <c r="J5140" s="90">
        <v>12781</v>
      </c>
      <c r="K5140" s="85">
        <v>0</v>
      </c>
      <c r="L5140" s="85">
        <v>0</v>
      </c>
      <c r="M5140" s="85">
        <v>0</v>
      </c>
      <c r="N5140" s="82" t="s">
        <v>12290</v>
      </c>
      <c r="O5140" s="93">
        <v>45909.222627314812</v>
      </c>
    </row>
    <row r="5141" spans="1:15" ht="22.5" customHeight="1">
      <c r="A5141" s="85">
        <v>174904221976312</v>
      </c>
      <c r="B5141" s="82" t="s">
        <v>10651</v>
      </c>
      <c r="C5141" s="82" t="s">
        <v>11806</v>
      </c>
      <c r="D5141" s="82" t="s">
        <v>11807</v>
      </c>
      <c r="E5141" s="82">
        <v>6285338373761</v>
      </c>
      <c r="F5141" s="94">
        <v>45908</v>
      </c>
      <c r="G5141" s="87">
        <v>828</v>
      </c>
      <c r="H5141" s="88">
        <v>14176.350662589195</v>
      </c>
      <c r="I5141" s="89">
        <v>70</v>
      </c>
      <c r="J5141" s="90">
        <v>13907</v>
      </c>
      <c r="K5141" s="85">
        <v>9</v>
      </c>
      <c r="L5141" s="85">
        <v>419</v>
      </c>
      <c r="M5141" s="85">
        <v>3</v>
      </c>
      <c r="N5141" s="82" t="s">
        <v>12275</v>
      </c>
      <c r="O5141" s="93">
        <v>45909.693553240744</v>
      </c>
    </row>
    <row r="5142" spans="1:15" ht="22.5" customHeight="1">
      <c r="A5142" s="85">
        <v>174904221976312</v>
      </c>
      <c r="B5142" s="82" t="s">
        <v>10651</v>
      </c>
      <c r="C5142" s="82" t="s">
        <v>11580</v>
      </c>
      <c r="D5142" s="82" t="s">
        <v>11581</v>
      </c>
      <c r="E5142" s="82">
        <v>6287790276733</v>
      </c>
      <c r="F5142" s="94">
        <v>45908</v>
      </c>
      <c r="G5142" s="87">
        <v>620</v>
      </c>
      <c r="H5142" s="88">
        <v>18978.932584269663</v>
      </c>
      <c r="I5142" s="89">
        <v>11</v>
      </c>
      <c r="J5142" s="90">
        <v>13513</v>
      </c>
      <c r="K5142" s="85">
        <v>1</v>
      </c>
      <c r="L5142" s="85">
        <v>53</v>
      </c>
      <c r="M5142" s="85">
        <v>0</v>
      </c>
      <c r="N5142" s="82" t="s">
        <v>12226</v>
      </c>
      <c r="O5142" s="93">
        <v>45909.464016203703</v>
      </c>
    </row>
    <row r="5143" spans="1:15" ht="22.5" customHeight="1">
      <c r="A5143" s="85">
        <v>759724529202804</v>
      </c>
      <c r="B5143" s="82" t="s">
        <v>10621</v>
      </c>
      <c r="C5143" s="82" t="s">
        <v>11055</v>
      </c>
      <c r="D5143" s="82" t="s">
        <v>1021</v>
      </c>
      <c r="E5143" s="82"/>
      <c r="F5143" s="94">
        <v>45909</v>
      </c>
      <c r="G5143" s="87">
        <v>1357</v>
      </c>
      <c r="H5143" s="88">
        <v>32274.007682458388</v>
      </c>
      <c r="I5143" s="89">
        <v>35</v>
      </c>
      <c r="J5143" s="90">
        <v>50412</v>
      </c>
      <c r="K5143" s="85">
        <v>12</v>
      </c>
      <c r="L5143" s="85">
        <v>419</v>
      </c>
      <c r="M5143" s="85">
        <v>1</v>
      </c>
      <c r="N5143" s="82" t="s">
        <v>11056</v>
      </c>
      <c r="O5143" s="93">
        <v>45907.367939814816</v>
      </c>
    </row>
    <row r="5144" spans="1:15" ht="22.5" customHeight="1">
      <c r="A5144" s="85">
        <v>759724529202804</v>
      </c>
      <c r="B5144" s="82" t="s">
        <v>10621</v>
      </c>
      <c r="C5144" s="82" t="s">
        <v>10925</v>
      </c>
      <c r="D5144" s="82" t="s">
        <v>10926</v>
      </c>
      <c r="E5144" s="82">
        <v>6281233038880</v>
      </c>
      <c r="F5144" s="94">
        <v>45909</v>
      </c>
      <c r="G5144" s="87">
        <v>20</v>
      </c>
      <c r="H5144" s="88">
        <v>34350</v>
      </c>
      <c r="I5144" s="89">
        <v>0</v>
      </c>
      <c r="J5144" s="90">
        <v>687</v>
      </c>
      <c r="K5144" s="85">
        <v>0</v>
      </c>
      <c r="L5144" s="85">
        <v>0</v>
      </c>
      <c r="M5144" s="85">
        <v>0</v>
      </c>
      <c r="N5144" s="82" t="s">
        <v>10927</v>
      </c>
      <c r="O5144" s="93">
        <v>45910.526423611111</v>
      </c>
    </row>
    <row r="5145" spans="1:15" ht="22.5" customHeight="1">
      <c r="A5145" s="85">
        <v>174904221976312</v>
      </c>
      <c r="B5145" s="82" t="s">
        <v>10651</v>
      </c>
      <c r="C5145" s="82" t="s">
        <v>12322</v>
      </c>
      <c r="D5145" s="82" t="s">
        <v>12323</v>
      </c>
      <c r="E5145" s="82">
        <v>6282280771367</v>
      </c>
      <c r="F5145" s="94">
        <v>45909</v>
      </c>
      <c r="G5145" s="87">
        <v>837</v>
      </c>
      <c r="H5145" s="88">
        <v>11682.553956834532</v>
      </c>
      <c r="I5145" s="89">
        <v>17</v>
      </c>
      <c r="J5145" s="90">
        <v>12991</v>
      </c>
      <c r="K5145" s="85">
        <v>0</v>
      </c>
      <c r="L5145" s="85">
        <v>6</v>
      </c>
      <c r="M5145" s="85">
        <v>0</v>
      </c>
      <c r="N5145" s="82" t="s">
        <v>12324</v>
      </c>
      <c r="O5145" s="93">
        <v>45910.6721875</v>
      </c>
    </row>
    <row r="5146" spans="1:15" ht="22.5" customHeight="1">
      <c r="A5146" s="85">
        <v>174904221976312</v>
      </c>
      <c r="B5146" s="82" t="s">
        <v>10651</v>
      </c>
      <c r="C5146" s="82" t="s">
        <v>12325</v>
      </c>
      <c r="D5146" s="82" t="s">
        <v>5315</v>
      </c>
      <c r="E5146" s="82">
        <v>6281460494182</v>
      </c>
      <c r="F5146" s="94">
        <v>45909</v>
      </c>
      <c r="G5146" s="87">
        <v>653</v>
      </c>
      <c r="H5146" s="88">
        <v>14630.12048192771</v>
      </c>
      <c r="I5146" s="89">
        <v>29</v>
      </c>
      <c r="J5146" s="90">
        <v>12143</v>
      </c>
      <c r="K5146" s="85">
        <v>4</v>
      </c>
      <c r="L5146" s="85">
        <v>45</v>
      </c>
      <c r="M5146" s="85">
        <v>2</v>
      </c>
      <c r="N5146" s="82" t="s">
        <v>12326</v>
      </c>
      <c r="O5146" s="93">
        <v>45910.652002314811</v>
      </c>
    </row>
    <row r="5147" spans="1:15" ht="22.5" customHeight="1">
      <c r="A5147" s="85">
        <v>174904221976312</v>
      </c>
      <c r="B5147" s="82" t="s">
        <v>10651</v>
      </c>
      <c r="C5147" s="82" t="s">
        <v>12327</v>
      </c>
      <c r="D5147" s="82" t="s">
        <v>12328</v>
      </c>
      <c r="E5147" s="82">
        <v>6281249008778</v>
      </c>
      <c r="F5147" s="94">
        <v>45909</v>
      </c>
      <c r="G5147" s="87">
        <v>296</v>
      </c>
      <c r="H5147" s="88">
        <v>39978.193146417449</v>
      </c>
      <c r="I5147" s="89">
        <v>8</v>
      </c>
      <c r="J5147" s="90">
        <v>12833</v>
      </c>
      <c r="K5147" s="85">
        <v>0</v>
      </c>
      <c r="L5147" s="85">
        <v>29</v>
      </c>
      <c r="M5147" s="85">
        <v>0</v>
      </c>
      <c r="N5147" s="82" t="s">
        <v>12329</v>
      </c>
      <c r="O5147" s="93">
        <v>45910.693252314813</v>
      </c>
    </row>
    <row r="5148" spans="1:15" ht="22.5" customHeight="1">
      <c r="A5148" s="85">
        <v>174904221976312</v>
      </c>
      <c r="B5148" s="82" t="s">
        <v>10651</v>
      </c>
      <c r="C5148" s="82" t="s">
        <v>12330</v>
      </c>
      <c r="D5148" s="82" t="s">
        <v>5283</v>
      </c>
      <c r="E5148" s="82">
        <v>6283149477297</v>
      </c>
      <c r="F5148" s="94">
        <v>45909</v>
      </c>
      <c r="G5148" s="87">
        <v>616</v>
      </c>
      <c r="H5148" s="88">
        <v>15210.893854748603</v>
      </c>
      <c r="I5148" s="89">
        <v>14</v>
      </c>
      <c r="J5148" s="90">
        <v>10891</v>
      </c>
      <c r="K5148" s="85">
        <v>1</v>
      </c>
      <c r="L5148" s="85">
        <v>178</v>
      </c>
      <c r="M5148" s="85">
        <v>1</v>
      </c>
      <c r="N5148" s="82" t="s">
        <v>12331</v>
      </c>
      <c r="O5148" s="93">
        <v>45910.672199074077</v>
      </c>
    </row>
    <row r="5149" spans="1:15" ht="22.5" customHeight="1">
      <c r="A5149" s="85">
        <v>174904221976312</v>
      </c>
      <c r="B5149" s="82" t="s">
        <v>10651</v>
      </c>
      <c r="C5149" s="82" t="s">
        <v>12332</v>
      </c>
      <c r="D5149" s="82" t="s">
        <v>12333</v>
      </c>
      <c r="E5149" s="82">
        <v>6282391199993</v>
      </c>
      <c r="F5149" s="94">
        <v>45909</v>
      </c>
      <c r="G5149" s="87">
        <v>627</v>
      </c>
      <c r="H5149" s="88">
        <v>17179.084967320261</v>
      </c>
      <c r="I5149" s="89">
        <v>20</v>
      </c>
      <c r="J5149" s="90">
        <v>13142</v>
      </c>
      <c r="K5149" s="85">
        <v>3</v>
      </c>
      <c r="L5149" s="85">
        <v>15</v>
      </c>
      <c r="M5149" s="85">
        <v>0</v>
      </c>
      <c r="N5149" s="82" t="s">
        <v>12334</v>
      </c>
      <c r="O5149" s="93">
        <v>45910.630879629629</v>
      </c>
    </row>
    <row r="5150" spans="1:15" ht="22.5" customHeight="1">
      <c r="A5150" s="85">
        <v>174904221976312</v>
      </c>
      <c r="B5150" s="82" t="s">
        <v>10651</v>
      </c>
      <c r="C5150" s="82" t="s">
        <v>12335</v>
      </c>
      <c r="D5150" s="82" t="s">
        <v>5046</v>
      </c>
      <c r="E5150" s="82">
        <v>6282266469686</v>
      </c>
      <c r="F5150" s="94">
        <v>45909</v>
      </c>
      <c r="G5150" s="87">
        <v>444</v>
      </c>
      <c r="H5150" s="88">
        <v>25277.34375</v>
      </c>
      <c r="I5150" s="89">
        <v>10</v>
      </c>
      <c r="J5150" s="90">
        <v>12942</v>
      </c>
      <c r="K5150" s="85">
        <v>0</v>
      </c>
      <c r="L5150" s="85">
        <v>11</v>
      </c>
      <c r="M5150" s="85">
        <v>0</v>
      </c>
      <c r="N5150" s="82" t="s">
        <v>12336</v>
      </c>
      <c r="O5150" s="93">
        <v>45910.693229166667</v>
      </c>
    </row>
    <row r="5151" spans="1:15" ht="22.5" customHeight="1">
      <c r="A5151" s="85">
        <v>174904221976312</v>
      </c>
      <c r="B5151" s="82" t="s">
        <v>10651</v>
      </c>
      <c r="C5151" s="82" t="s">
        <v>12307</v>
      </c>
      <c r="D5151" s="82" t="s">
        <v>12308</v>
      </c>
      <c r="E5151" s="82">
        <v>62881022356673</v>
      </c>
      <c r="F5151" s="94">
        <v>45909</v>
      </c>
      <c r="G5151" s="87">
        <v>1127</v>
      </c>
      <c r="H5151" s="88">
        <v>9792.9133858267724</v>
      </c>
      <c r="I5151" s="89">
        <v>71</v>
      </c>
      <c r="J5151" s="90">
        <v>12437</v>
      </c>
      <c r="K5151" s="85">
        <v>9</v>
      </c>
      <c r="L5151" s="85">
        <v>101</v>
      </c>
      <c r="M5151" s="85">
        <v>2</v>
      </c>
      <c r="N5151" s="82" t="s">
        <v>12309</v>
      </c>
      <c r="O5151" s="93">
        <v>45910.755844907406</v>
      </c>
    </row>
    <row r="5152" spans="1:15" ht="22.5" customHeight="1">
      <c r="A5152" s="85">
        <v>174904221976312</v>
      </c>
      <c r="B5152" s="82" t="s">
        <v>10651</v>
      </c>
      <c r="C5152" s="82" t="s">
        <v>12310</v>
      </c>
      <c r="D5152" s="82" t="s">
        <v>3633</v>
      </c>
      <c r="E5152" s="82">
        <v>6285710003464</v>
      </c>
      <c r="F5152" s="94">
        <v>45909</v>
      </c>
      <c r="G5152" s="87">
        <v>13093</v>
      </c>
      <c r="H5152" s="88">
        <v>938.98843275119066</v>
      </c>
      <c r="I5152" s="89">
        <v>16</v>
      </c>
      <c r="J5152" s="90">
        <v>12420</v>
      </c>
      <c r="K5152" s="85">
        <v>0</v>
      </c>
      <c r="L5152" s="85">
        <v>590</v>
      </c>
      <c r="M5152" s="85">
        <v>0</v>
      </c>
      <c r="N5152" s="82" t="s">
        <v>12311</v>
      </c>
      <c r="O5152" s="93">
        <v>45910.734652777777</v>
      </c>
    </row>
    <row r="5153" spans="1:15" ht="22.5" customHeight="1">
      <c r="A5153" s="85">
        <v>174904221976312</v>
      </c>
      <c r="B5153" s="82" t="s">
        <v>10651</v>
      </c>
      <c r="C5153" s="82" t="s">
        <v>12291</v>
      </c>
      <c r="D5153" s="82" t="s">
        <v>5257</v>
      </c>
      <c r="E5153" s="82">
        <v>6287722264777</v>
      </c>
      <c r="F5153" s="94">
        <v>45909</v>
      </c>
      <c r="G5153" s="87">
        <v>959</v>
      </c>
      <c r="H5153" s="88">
        <v>11608.514190317195</v>
      </c>
      <c r="I5153" s="89">
        <v>33</v>
      </c>
      <c r="J5153" s="90">
        <v>13907</v>
      </c>
      <c r="K5153" s="85">
        <v>6</v>
      </c>
      <c r="L5153" s="85">
        <v>35</v>
      </c>
      <c r="M5153" s="85">
        <v>1</v>
      </c>
      <c r="N5153" s="82" t="s">
        <v>12292</v>
      </c>
      <c r="O5153" s="93">
        <v>45910.672199074077</v>
      </c>
    </row>
    <row r="5154" spans="1:15" ht="22.5" customHeight="1">
      <c r="A5154" s="85">
        <v>174904221976312</v>
      </c>
      <c r="B5154" s="82" t="s">
        <v>10651</v>
      </c>
      <c r="C5154" s="82" t="s">
        <v>12293</v>
      </c>
      <c r="D5154" s="82" t="s">
        <v>12294</v>
      </c>
      <c r="E5154" s="82">
        <v>6285280808856</v>
      </c>
      <c r="F5154" s="94">
        <v>45909</v>
      </c>
      <c r="G5154" s="87">
        <v>795</v>
      </c>
      <c r="H5154" s="88">
        <v>16692.682926829268</v>
      </c>
      <c r="I5154" s="89">
        <v>13</v>
      </c>
      <c r="J5154" s="90">
        <v>13688</v>
      </c>
      <c r="K5154" s="85">
        <v>0</v>
      </c>
      <c r="L5154" s="85">
        <v>115</v>
      </c>
      <c r="M5154" s="85">
        <v>0</v>
      </c>
      <c r="N5154" s="82" t="s">
        <v>12295</v>
      </c>
      <c r="O5154" s="93">
        <v>45910.734965277778</v>
      </c>
    </row>
    <row r="5155" spans="1:15" ht="22.5" customHeight="1">
      <c r="A5155" s="85">
        <v>174904221976312</v>
      </c>
      <c r="B5155" s="82" t="s">
        <v>10651</v>
      </c>
      <c r="C5155" s="82" t="s">
        <v>12296</v>
      </c>
      <c r="D5155" s="82" t="s">
        <v>12297</v>
      </c>
      <c r="E5155" s="82">
        <v>6285600287735</v>
      </c>
      <c r="F5155" s="94">
        <v>45909</v>
      </c>
      <c r="G5155" s="87">
        <v>385</v>
      </c>
      <c r="H5155" s="88">
        <v>24487.22986247544</v>
      </c>
      <c r="I5155" s="89">
        <v>31</v>
      </c>
      <c r="J5155" s="90">
        <v>12464</v>
      </c>
      <c r="K5155" s="85">
        <v>4</v>
      </c>
      <c r="L5155" s="85">
        <v>170</v>
      </c>
      <c r="M5155" s="85">
        <v>1</v>
      </c>
      <c r="N5155" s="82" t="s">
        <v>12298</v>
      </c>
      <c r="O5155" s="93">
        <v>45910.693240740744</v>
      </c>
    </row>
    <row r="5156" spans="1:15" ht="22.5" customHeight="1">
      <c r="A5156" s="85">
        <v>174904221976312</v>
      </c>
      <c r="B5156" s="82" t="s">
        <v>10651</v>
      </c>
      <c r="C5156" s="82" t="s">
        <v>12299</v>
      </c>
      <c r="D5156" s="82" t="s">
        <v>12300</v>
      </c>
      <c r="E5156" s="82">
        <v>6285654251369</v>
      </c>
      <c r="F5156" s="94">
        <v>45909</v>
      </c>
      <c r="G5156" s="87">
        <v>636</v>
      </c>
      <c r="H5156" s="88">
        <v>19277.854195323245</v>
      </c>
      <c r="I5156" s="89">
        <v>10</v>
      </c>
      <c r="J5156" s="90">
        <v>14015</v>
      </c>
      <c r="K5156" s="85">
        <v>0</v>
      </c>
      <c r="L5156" s="85">
        <v>0</v>
      </c>
      <c r="M5156" s="85">
        <v>0</v>
      </c>
      <c r="N5156" s="82" t="s">
        <v>12312</v>
      </c>
      <c r="O5156" s="93">
        <v>45910.526365740741</v>
      </c>
    </row>
    <row r="5157" spans="1:15" ht="22.5" customHeight="1">
      <c r="A5157" s="85">
        <v>174904221976312</v>
      </c>
      <c r="B5157" s="82" t="s">
        <v>10651</v>
      </c>
      <c r="C5157" s="82" t="s">
        <v>12302</v>
      </c>
      <c r="D5157" s="82" t="s">
        <v>7857</v>
      </c>
      <c r="E5157" s="82">
        <v>6283865096870</v>
      </c>
      <c r="F5157" s="94">
        <v>45909</v>
      </c>
      <c r="G5157" s="87">
        <v>1036</v>
      </c>
      <c r="H5157" s="88">
        <v>10770.67977067977</v>
      </c>
      <c r="I5157" s="89">
        <v>31</v>
      </c>
      <c r="J5157" s="90">
        <v>13151</v>
      </c>
      <c r="K5157" s="85">
        <v>5</v>
      </c>
      <c r="L5157" s="85">
        <v>463</v>
      </c>
      <c r="M5157" s="85">
        <v>0</v>
      </c>
      <c r="N5157" s="82" t="s">
        <v>12303</v>
      </c>
      <c r="O5157" s="93">
        <v>45910.589525462965</v>
      </c>
    </row>
    <row r="5158" spans="1:15" ht="22.5" customHeight="1">
      <c r="A5158" s="85">
        <v>174904221976312</v>
      </c>
      <c r="B5158" s="82" t="s">
        <v>10651</v>
      </c>
      <c r="C5158" s="82" t="s">
        <v>12304</v>
      </c>
      <c r="D5158" s="82" t="s">
        <v>5179</v>
      </c>
      <c r="E5158" s="82">
        <v>6282286608220</v>
      </c>
      <c r="F5158" s="94">
        <v>45909</v>
      </c>
      <c r="G5158" s="87">
        <v>306</v>
      </c>
      <c r="H5158" s="88">
        <v>33642.857142857145</v>
      </c>
      <c r="I5158" s="89">
        <v>20</v>
      </c>
      <c r="J5158" s="90">
        <v>13659</v>
      </c>
      <c r="K5158" s="85">
        <v>3</v>
      </c>
      <c r="L5158" s="85">
        <v>0</v>
      </c>
      <c r="M5158" s="85">
        <v>0</v>
      </c>
      <c r="N5158" s="82" t="s">
        <v>12313</v>
      </c>
      <c r="O5158" s="93">
        <v>45910.610324074078</v>
      </c>
    </row>
    <row r="5159" spans="1:15" ht="22.5" customHeight="1">
      <c r="A5159" s="85">
        <v>174904221976312</v>
      </c>
      <c r="B5159" s="82" t="s">
        <v>10651</v>
      </c>
      <c r="C5159" s="82" t="s">
        <v>12276</v>
      </c>
      <c r="D5159" s="82" t="s">
        <v>12277</v>
      </c>
      <c r="E5159" s="82">
        <v>6281558822937</v>
      </c>
      <c r="F5159" s="94">
        <v>45909</v>
      </c>
      <c r="G5159" s="87">
        <v>68</v>
      </c>
      <c r="H5159" s="88">
        <v>147475</v>
      </c>
      <c r="I5159" s="89">
        <v>3</v>
      </c>
      <c r="J5159" s="90">
        <v>11798</v>
      </c>
      <c r="K5159" s="85">
        <v>1</v>
      </c>
      <c r="L5159" s="85">
        <v>24</v>
      </c>
      <c r="M5159" s="85">
        <v>0</v>
      </c>
      <c r="N5159" s="82" t="s">
        <v>12314</v>
      </c>
      <c r="O5159" s="93">
        <v>45910.651817129627</v>
      </c>
    </row>
    <row r="5160" spans="1:15" ht="22.5" customHeight="1">
      <c r="A5160" s="85">
        <v>174904221976312</v>
      </c>
      <c r="B5160" s="82" t="s">
        <v>10651</v>
      </c>
      <c r="C5160" s="82" t="s">
        <v>12279</v>
      </c>
      <c r="D5160" s="82" t="s">
        <v>11800</v>
      </c>
      <c r="E5160" s="82">
        <v>6285333751528</v>
      </c>
      <c r="F5160" s="94">
        <v>45909</v>
      </c>
      <c r="G5160" s="87">
        <v>128</v>
      </c>
      <c r="H5160" s="88">
        <v>85392.405063291139</v>
      </c>
      <c r="I5160" s="89">
        <v>3</v>
      </c>
      <c r="J5160" s="90">
        <v>13492</v>
      </c>
      <c r="K5160" s="85">
        <v>0</v>
      </c>
      <c r="L5160" s="85">
        <v>1</v>
      </c>
      <c r="M5160" s="85">
        <v>0</v>
      </c>
      <c r="N5160" s="82" t="s">
        <v>12337</v>
      </c>
      <c r="O5160" s="93">
        <v>45910.623749999999</v>
      </c>
    </row>
    <row r="5161" spans="1:15" ht="22.5" customHeight="1">
      <c r="A5161" s="85">
        <v>174904221976312</v>
      </c>
      <c r="B5161" s="82" t="s">
        <v>10651</v>
      </c>
      <c r="C5161" s="82" t="s">
        <v>12281</v>
      </c>
      <c r="D5161" s="82" t="s">
        <v>12282</v>
      </c>
      <c r="E5161" s="82">
        <v>62895614711817</v>
      </c>
      <c r="F5161" s="94">
        <v>45909</v>
      </c>
      <c r="G5161" s="87">
        <v>1054</v>
      </c>
      <c r="H5161" s="88">
        <v>9956.6929133858266</v>
      </c>
      <c r="I5161" s="89">
        <v>55</v>
      </c>
      <c r="J5161" s="90">
        <v>12645</v>
      </c>
      <c r="K5161" s="85">
        <v>8</v>
      </c>
      <c r="L5161" s="85">
        <v>24</v>
      </c>
      <c r="M5161" s="85">
        <v>3</v>
      </c>
      <c r="N5161" s="82" t="s">
        <v>12283</v>
      </c>
      <c r="O5161" s="93">
        <v>45910.547708333332</v>
      </c>
    </row>
    <row r="5162" spans="1:15" ht="22.5" customHeight="1">
      <c r="A5162" s="85">
        <v>174904221976312</v>
      </c>
      <c r="B5162" s="82" t="s">
        <v>10651</v>
      </c>
      <c r="C5162" s="82" t="s">
        <v>12284</v>
      </c>
      <c r="D5162" s="82" t="s">
        <v>12285</v>
      </c>
      <c r="E5162" s="82">
        <v>6285921481643</v>
      </c>
      <c r="F5162" s="94">
        <v>45909</v>
      </c>
      <c r="G5162" s="87">
        <v>334</v>
      </c>
      <c r="H5162" s="88">
        <v>38512.396694214876</v>
      </c>
      <c r="I5162" s="89">
        <v>8</v>
      </c>
      <c r="J5162" s="90">
        <v>13980</v>
      </c>
      <c r="K5162" s="85">
        <v>0</v>
      </c>
      <c r="L5162" s="85">
        <v>137</v>
      </c>
      <c r="M5162" s="85">
        <v>1</v>
      </c>
      <c r="N5162" s="82" t="s">
        <v>12338</v>
      </c>
      <c r="O5162" s="93">
        <v>45910.629710648151</v>
      </c>
    </row>
    <row r="5163" spans="1:15" ht="22.5" customHeight="1">
      <c r="A5163" s="85">
        <v>174904221976312</v>
      </c>
      <c r="B5163" s="82" t="s">
        <v>10651</v>
      </c>
      <c r="C5163" s="82" t="s">
        <v>12253</v>
      </c>
      <c r="D5163" s="82" t="s">
        <v>12254</v>
      </c>
      <c r="E5163" s="82">
        <v>6287838234518</v>
      </c>
      <c r="F5163" s="94">
        <v>45909</v>
      </c>
      <c r="G5163" s="87">
        <v>293</v>
      </c>
      <c r="H5163" s="88">
        <v>35990.740740740737</v>
      </c>
      <c r="I5163" s="89">
        <v>10</v>
      </c>
      <c r="J5163" s="90">
        <v>11661</v>
      </c>
      <c r="K5163" s="85">
        <v>2</v>
      </c>
      <c r="L5163" s="85">
        <v>102</v>
      </c>
      <c r="M5163" s="85">
        <v>0</v>
      </c>
      <c r="N5163" s="82" t="s">
        <v>12255</v>
      </c>
      <c r="O5163" s="93">
        <v>45910.443078703705</v>
      </c>
    </row>
    <row r="5164" spans="1:15" ht="22.5" customHeight="1">
      <c r="A5164" s="85">
        <v>174904221976312</v>
      </c>
      <c r="B5164" s="82" t="s">
        <v>10651</v>
      </c>
      <c r="C5164" s="82" t="s">
        <v>12256</v>
      </c>
      <c r="D5164" s="82" t="s">
        <v>12257</v>
      </c>
      <c r="E5164" s="82">
        <v>6285384956538</v>
      </c>
      <c r="F5164" s="94">
        <v>45909</v>
      </c>
      <c r="G5164" s="87">
        <v>675</v>
      </c>
      <c r="H5164" s="88">
        <v>14342.760180995474</v>
      </c>
      <c r="I5164" s="89">
        <v>11</v>
      </c>
      <c r="J5164" s="90">
        <v>12679</v>
      </c>
      <c r="K5164" s="85">
        <v>0</v>
      </c>
      <c r="L5164" s="85">
        <v>0</v>
      </c>
      <c r="M5164" s="85">
        <v>0</v>
      </c>
      <c r="N5164" s="82" t="s">
        <v>12258</v>
      </c>
      <c r="O5164" s="93">
        <v>45910.443078703705</v>
      </c>
    </row>
    <row r="5165" spans="1:15" ht="22.5" customHeight="1">
      <c r="A5165" s="85">
        <v>174904221976312</v>
      </c>
      <c r="B5165" s="82" t="s">
        <v>10651</v>
      </c>
      <c r="C5165" s="82" t="s">
        <v>12259</v>
      </c>
      <c r="D5165" s="82" t="s">
        <v>5123</v>
      </c>
      <c r="E5165" s="82">
        <v>6287849856444</v>
      </c>
      <c r="F5165" s="94">
        <v>45909</v>
      </c>
      <c r="G5165" s="87">
        <v>411</v>
      </c>
      <c r="H5165" s="88">
        <v>29184.21052631579</v>
      </c>
      <c r="I5165" s="89">
        <v>19</v>
      </c>
      <c r="J5165" s="90">
        <v>13308</v>
      </c>
      <c r="K5165" s="85">
        <v>3</v>
      </c>
      <c r="L5165" s="85">
        <v>104</v>
      </c>
      <c r="M5165" s="85">
        <v>0</v>
      </c>
      <c r="N5165" s="82" t="s">
        <v>12260</v>
      </c>
      <c r="O5165" s="93">
        <v>45910.443078703705</v>
      </c>
    </row>
    <row r="5166" spans="1:15" ht="22.5" customHeight="1">
      <c r="A5166" s="85">
        <v>174904221976312</v>
      </c>
      <c r="B5166" s="82" t="s">
        <v>10651</v>
      </c>
      <c r="C5166" s="82" t="s">
        <v>12261</v>
      </c>
      <c r="D5166" s="82" t="s">
        <v>5116</v>
      </c>
      <c r="E5166" s="82">
        <v>6285786318640</v>
      </c>
      <c r="F5166" s="94">
        <v>45909</v>
      </c>
      <c r="G5166" s="87">
        <v>312</v>
      </c>
      <c r="H5166" s="88">
        <v>39110.817941952504</v>
      </c>
      <c r="I5166" s="89">
        <v>8</v>
      </c>
      <c r="J5166" s="90">
        <v>14823</v>
      </c>
      <c r="K5166" s="85">
        <v>0</v>
      </c>
      <c r="L5166" s="85">
        <v>0</v>
      </c>
      <c r="M5166" s="85">
        <v>0</v>
      </c>
      <c r="N5166" s="82" t="s">
        <v>12262</v>
      </c>
      <c r="O5166" s="93">
        <v>45910.380590277775</v>
      </c>
    </row>
    <row r="5167" spans="1:15" ht="22.5" customHeight="1">
      <c r="A5167" s="85">
        <v>174904221976312</v>
      </c>
      <c r="B5167" s="82" t="s">
        <v>10651</v>
      </c>
      <c r="C5167" s="82" t="s">
        <v>12263</v>
      </c>
      <c r="D5167" s="82" t="s">
        <v>12264</v>
      </c>
      <c r="E5167" s="82">
        <v>62817308228</v>
      </c>
      <c r="F5167" s="94">
        <v>45909</v>
      </c>
      <c r="G5167" s="87">
        <v>465</v>
      </c>
      <c r="H5167" s="88">
        <v>18942.307692307695</v>
      </c>
      <c r="I5167" s="89">
        <v>20</v>
      </c>
      <c r="J5167" s="90">
        <v>10835</v>
      </c>
      <c r="K5167" s="85">
        <v>2</v>
      </c>
      <c r="L5167" s="85">
        <v>0</v>
      </c>
      <c r="M5167" s="85">
        <v>0</v>
      </c>
      <c r="N5167" s="82" t="s">
        <v>12316</v>
      </c>
      <c r="O5167" s="93">
        <v>45910.568483796298</v>
      </c>
    </row>
    <row r="5168" spans="1:15" ht="22.5" customHeight="1">
      <c r="A5168" s="85">
        <v>174904221976312</v>
      </c>
      <c r="B5168" s="82" t="s">
        <v>10651</v>
      </c>
      <c r="C5168" s="82" t="s">
        <v>12266</v>
      </c>
      <c r="D5168" s="82" t="s">
        <v>12267</v>
      </c>
      <c r="E5168" s="82">
        <v>6282362576312</v>
      </c>
      <c r="F5168" s="94">
        <v>45909</v>
      </c>
      <c r="G5168" s="87">
        <v>140</v>
      </c>
      <c r="H5168" s="88">
        <v>75892.215568862273</v>
      </c>
      <c r="I5168" s="89">
        <v>4</v>
      </c>
      <c r="J5168" s="90">
        <v>12674</v>
      </c>
      <c r="K5168" s="85">
        <v>0</v>
      </c>
      <c r="L5168" s="85">
        <v>0</v>
      </c>
      <c r="M5168" s="85">
        <v>0</v>
      </c>
      <c r="N5168" s="82" t="s">
        <v>12268</v>
      </c>
      <c r="O5168" s="93">
        <v>45910.401724537034</v>
      </c>
    </row>
    <row r="5169" spans="1:15" ht="22.5" customHeight="1">
      <c r="A5169" s="85">
        <v>174904221976312</v>
      </c>
      <c r="B5169" s="82" t="s">
        <v>10651</v>
      </c>
      <c r="C5169" s="82" t="s">
        <v>12269</v>
      </c>
      <c r="D5169" s="82" t="s">
        <v>12270</v>
      </c>
      <c r="E5169" s="82">
        <v>6282229433259</v>
      </c>
      <c r="F5169" s="94">
        <v>45909</v>
      </c>
      <c r="G5169" s="87">
        <v>159</v>
      </c>
      <c r="H5169" s="88">
        <v>82994.152046783624</v>
      </c>
      <c r="I5169" s="89">
        <v>2</v>
      </c>
      <c r="J5169" s="90">
        <v>14192</v>
      </c>
      <c r="K5169" s="85">
        <v>0</v>
      </c>
      <c r="L5169" s="85">
        <v>0</v>
      </c>
      <c r="M5169" s="85">
        <v>0</v>
      </c>
      <c r="N5169" s="82" t="s">
        <v>12339</v>
      </c>
      <c r="O5169" s="93">
        <v>45910.339166666665</v>
      </c>
    </row>
    <row r="5170" spans="1:15" ht="22.5" customHeight="1">
      <c r="A5170" s="85">
        <v>174904221976312</v>
      </c>
      <c r="B5170" s="82" t="s">
        <v>10651</v>
      </c>
      <c r="C5170" s="82" t="s">
        <v>12272</v>
      </c>
      <c r="D5170" s="82" t="s">
        <v>11194</v>
      </c>
      <c r="E5170" s="82">
        <v>62895804080442</v>
      </c>
      <c r="F5170" s="94">
        <v>45909</v>
      </c>
      <c r="G5170" s="87">
        <v>495</v>
      </c>
      <c r="H5170" s="88">
        <v>22749.190938511325</v>
      </c>
      <c r="I5170" s="89">
        <v>24</v>
      </c>
      <c r="J5170" s="90">
        <v>14059</v>
      </c>
      <c r="K5170" s="85">
        <v>3</v>
      </c>
      <c r="L5170" s="85">
        <v>212</v>
      </c>
      <c r="M5170" s="85">
        <v>2</v>
      </c>
      <c r="N5170" s="82" t="s">
        <v>12273</v>
      </c>
      <c r="O5170" s="93">
        <v>45910.422534722224</v>
      </c>
    </row>
    <row r="5171" spans="1:15" ht="22.5" customHeight="1">
      <c r="A5171" s="85">
        <v>174904221976312</v>
      </c>
      <c r="B5171" s="82" t="s">
        <v>10651</v>
      </c>
      <c r="C5171" s="82" t="s">
        <v>12249</v>
      </c>
      <c r="D5171" s="82" t="s">
        <v>12250</v>
      </c>
      <c r="E5171" s="82">
        <v>6285242515222</v>
      </c>
      <c r="F5171" s="94">
        <v>45909</v>
      </c>
      <c r="G5171" s="87">
        <v>840</v>
      </c>
      <c r="H5171" s="88">
        <v>12392.513368983957</v>
      </c>
      <c r="I5171" s="89">
        <v>9</v>
      </c>
      <c r="J5171" s="90">
        <v>11587</v>
      </c>
      <c r="K5171" s="85">
        <v>1</v>
      </c>
      <c r="L5171" s="85">
        <v>114</v>
      </c>
      <c r="M5171" s="85">
        <v>0</v>
      </c>
      <c r="N5171" s="82" t="s">
        <v>12251</v>
      </c>
      <c r="O5171" s="93">
        <v>45910.218310185184</v>
      </c>
    </row>
    <row r="5172" spans="1:15" ht="22.5" customHeight="1">
      <c r="A5172" s="85">
        <v>174904221976312</v>
      </c>
      <c r="B5172" s="82" t="s">
        <v>10651</v>
      </c>
      <c r="C5172" s="82" t="s">
        <v>12240</v>
      </c>
      <c r="D5172" s="82" t="s">
        <v>12241</v>
      </c>
      <c r="E5172" s="82">
        <v>6285600822636</v>
      </c>
      <c r="F5172" s="94">
        <v>45909</v>
      </c>
      <c r="G5172" s="87">
        <v>499</v>
      </c>
      <c r="H5172" s="88">
        <v>18432.565789473683</v>
      </c>
      <c r="I5172" s="89">
        <v>12</v>
      </c>
      <c r="J5172" s="90">
        <v>11207</v>
      </c>
      <c r="K5172" s="85">
        <v>1</v>
      </c>
      <c r="L5172" s="85">
        <v>12</v>
      </c>
      <c r="M5172" s="85">
        <v>0</v>
      </c>
      <c r="N5172" s="82" t="s">
        <v>12274</v>
      </c>
      <c r="O5172" s="93">
        <v>45910.589525462965</v>
      </c>
    </row>
    <row r="5173" spans="1:15" ht="22.5" customHeight="1">
      <c r="A5173" s="85">
        <v>174904221976312</v>
      </c>
      <c r="B5173" s="82" t="s">
        <v>10651</v>
      </c>
      <c r="C5173" s="82" t="s">
        <v>12202</v>
      </c>
      <c r="D5173" s="82" t="s">
        <v>2370</v>
      </c>
      <c r="E5173" s="82">
        <v>6281317409433</v>
      </c>
      <c r="F5173" s="94">
        <v>45909</v>
      </c>
      <c r="G5173" s="87">
        <v>454</v>
      </c>
      <c r="H5173" s="88">
        <v>32105.675146771035</v>
      </c>
      <c r="I5173" s="89">
        <v>40</v>
      </c>
      <c r="J5173" s="90">
        <v>16406</v>
      </c>
      <c r="K5173" s="85">
        <v>7</v>
      </c>
      <c r="L5173" s="85">
        <v>1</v>
      </c>
      <c r="M5173" s="85">
        <v>0</v>
      </c>
      <c r="N5173" s="82" t="s">
        <v>12203</v>
      </c>
      <c r="O5173" s="93">
        <v>45910.526377314818</v>
      </c>
    </row>
    <row r="5174" spans="1:15" ht="22.5" customHeight="1">
      <c r="A5174" s="85">
        <v>174904221976312</v>
      </c>
      <c r="B5174" s="82" t="s">
        <v>10651</v>
      </c>
      <c r="C5174" s="82" t="s">
        <v>12207</v>
      </c>
      <c r="D5174" s="91" t="s">
        <v>4875</v>
      </c>
      <c r="E5174" s="82">
        <v>6285719003688</v>
      </c>
      <c r="F5174" s="94">
        <v>45909</v>
      </c>
      <c r="G5174" s="87">
        <v>153</v>
      </c>
      <c r="H5174" s="88">
        <v>57663.043478260865</v>
      </c>
      <c r="I5174" s="89">
        <v>5</v>
      </c>
      <c r="J5174" s="90">
        <v>10610</v>
      </c>
      <c r="K5174" s="85">
        <v>1</v>
      </c>
      <c r="L5174" s="85">
        <v>0</v>
      </c>
      <c r="M5174" s="85">
        <v>0</v>
      </c>
      <c r="N5174" s="82" t="s">
        <v>12287</v>
      </c>
      <c r="O5174" s="93">
        <v>45910.568472222221</v>
      </c>
    </row>
    <row r="5175" spans="1:15" ht="22.5" customHeight="1">
      <c r="A5175" s="85">
        <v>174904221976312</v>
      </c>
      <c r="B5175" s="82" t="s">
        <v>10651</v>
      </c>
      <c r="C5175" s="82" t="s">
        <v>12209</v>
      </c>
      <c r="D5175" s="82" t="s">
        <v>12210</v>
      </c>
      <c r="E5175" s="82">
        <v>6282217300224</v>
      </c>
      <c r="F5175" s="94">
        <v>45909</v>
      </c>
      <c r="G5175" s="87">
        <v>270</v>
      </c>
      <c r="H5175" s="88">
        <v>61336.84210526316</v>
      </c>
      <c r="I5175" s="89">
        <v>9</v>
      </c>
      <c r="J5175" s="90">
        <v>17481</v>
      </c>
      <c r="K5175" s="85">
        <v>0</v>
      </c>
      <c r="L5175" s="85">
        <v>0</v>
      </c>
      <c r="M5175" s="85">
        <v>1</v>
      </c>
      <c r="N5175" s="82" t="s">
        <v>12317</v>
      </c>
      <c r="O5175" s="93">
        <v>45910.651805555557</v>
      </c>
    </row>
    <row r="5176" spans="1:15" ht="22.5" customHeight="1">
      <c r="A5176" s="85">
        <v>174904221976312</v>
      </c>
      <c r="B5176" s="82" t="s">
        <v>10651</v>
      </c>
      <c r="C5176" s="82" t="s">
        <v>12176</v>
      </c>
      <c r="D5176" s="82" t="s">
        <v>12340</v>
      </c>
      <c r="E5176" s="82">
        <v>6285748377961</v>
      </c>
      <c r="F5176" s="94">
        <v>45909</v>
      </c>
      <c r="G5176" s="87">
        <v>503</v>
      </c>
      <c r="H5176" s="88">
        <v>22005.172413793105</v>
      </c>
      <c r="I5176" s="89">
        <v>13</v>
      </c>
      <c r="J5176" s="90">
        <v>12763</v>
      </c>
      <c r="K5176" s="85">
        <v>1</v>
      </c>
      <c r="L5176" s="85">
        <v>0</v>
      </c>
      <c r="M5176" s="85">
        <v>0</v>
      </c>
      <c r="N5176" s="82" t="s">
        <v>12341</v>
      </c>
      <c r="O5176" s="93">
        <v>45910.516863425924</v>
      </c>
    </row>
    <row r="5177" spans="1:15" ht="22.5" customHeight="1">
      <c r="A5177" s="85">
        <v>174904221976312</v>
      </c>
      <c r="B5177" s="82" t="s">
        <v>10651</v>
      </c>
      <c r="C5177" s="82" t="s">
        <v>12164</v>
      </c>
      <c r="D5177" s="82" t="s">
        <v>12165</v>
      </c>
      <c r="E5177" s="82">
        <v>6285787104091</v>
      </c>
      <c r="F5177" s="94">
        <v>45909</v>
      </c>
      <c r="G5177" s="87">
        <v>693</v>
      </c>
      <c r="H5177" s="88">
        <v>14914.572864321608</v>
      </c>
      <c r="I5177" s="89">
        <v>18</v>
      </c>
      <c r="J5177" s="90">
        <v>11872</v>
      </c>
      <c r="K5177" s="85">
        <v>1</v>
      </c>
      <c r="L5177" s="85">
        <v>0</v>
      </c>
      <c r="M5177" s="85">
        <v>0</v>
      </c>
      <c r="N5177" s="82" t="s">
        <v>12318</v>
      </c>
      <c r="O5177" s="93">
        <v>45910.568784722222</v>
      </c>
    </row>
    <row r="5178" spans="1:15" ht="22.5" customHeight="1">
      <c r="A5178" s="85">
        <v>174904221976312</v>
      </c>
      <c r="B5178" s="82" t="s">
        <v>10651</v>
      </c>
      <c r="C5178" s="82" t="s">
        <v>12171</v>
      </c>
      <c r="D5178" s="82" t="s">
        <v>4386</v>
      </c>
      <c r="E5178" s="82">
        <v>62818533354</v>
      </c>
      <c r="F5178" s="94">
        <v>45909</v>
      </c>
      <c r="G5178" s="87">
        <v>221</v>
      </c>
      <c r="H5178" s="88">
        <v>55424.354243542439</v>
      </c>
      <c r="I5178" s="89">
        <v>9</v>
      </c>
      <c r="J5178" s="90">
        <v>15020</v>
      </c>
      <c r="K5178" s="85">
        <v>1</v>
      </c>
      <c r="L5178" s="85">
        <v>0</v>
      </c>
      <c r="M5178" s="85">
        <v>0</v>
      </c>
      <c r="N5178" s="82" t="s">
        <v>12319</v>
      </c>
      <c r="O5178" s="93">
        <v>45910.652013888888</v>
      </c>
    </row>
    <row r="5179" spans="1:15" ht="22.5" customHeight="1">
      <c r="A5179" s="85">
        <v>174904221976312</v>
      </c>
      <c r="B5179" s="82" t="s">
        <v>10651</v>
      </c>
      <c r="C5179" s="82" t="s">
        <v>12130</v>
      </c>
      <c r="D5179" s="82" t="s">
        <v>12131</v>
      </c>
      <c r="E5179" s="82">
        <v>6281239004410</v>
      </c>
      <c r="F5179" s="94">
        <v>45909</v>
      </c>
      <c r="G5179" s="87">
        <v>241</v>
      </c>
      <c r="H5179" s="88">
        <v>48252.747252747256</v>
      </c>
      <c r="I5179" s="89">
        <v>5</v>
      </c>
      <c r="J5179" s="90">
        <v>13173</v>
      </c>
      <c r="K5179" s="85">
        <v>1</v>
      </c>
      <c r="L5179" s="85">
        <v>0</v>
      </c>
      <c r="M5179" s="85">
        <v>0</v>
      </c>
      <c r="N5179" s="82" t="s">
        <v>12288</v>
      </c>
      <c r="O5179" s="93">
        <v>45910.526643518519</v>
      </c>
    </row>
    <row r="5180" spans="1:15" ht="22.5" customHeight="1">
      <c r="A5180" s="85">
        <v>174904221976312</v>
      </c>
      <c r="B5180" s="82" t="s">
        <v>10651</v>
      </c>
      <c r="C5180" s="82" t="s">
        <v>12102</v>
      </c>
      <c r="D5180" s="82" t="s">
        <v>12103</v>
      </c>
      <c r="E5180" s="82">
        <v>628122577723</v>
      </c>
      <c r="F5180" s="94">
        <v>45909</v>
      </c>
      <c r="G5180" s="87">
        <v>396</v>
      </c>
      <c r="H5180" s="88">
        <v>27634.146341463413</v>
      </c>
      <c r="I5180" s="89">
        <v>8</v>
      </c>
      <c r="J5180" s="90">
        <v>12463</v>
      </c>
      <c r="K5180" s="85">
        <v>1</v>
      </c>
      <c r="L5180" s="85">
        <v>0</v>
      </c>
      <c r="M5180" s="85">
        <v>0</v>
      </c>
      <c r="N5180" s="82" t="s">
        <v>12244</v>
      </c>
      <c r="O5180" s="93">
        <v>45910.547974537039</v>
      </c>
    </row>
    <row r="5181" spans="1:15" ht="22.5" customHeight="1">
      <c r="A5181" s="85">
        <v>174904221976312</v>
      </c>
      <c r="B5181" s="82" t="s">
        <v>10651</v>
      </c>
      <c r="C5181" s="82" t="s">
        <v>12109</v>
      </c>
      <c r="D5181" s="82" t="s">
        <v>12110</v>
      </c>
      <c r="E5181" s="82">
        <v>6287777304498</v>
      </c>
      <c r="F5181" s="94">
        <v>45909</v>
      </c>
      <c r="G5181" s="87">
        <v>193</v>
      </c>
      <c r="H5181" s="88">
        <v>73341.232227488144</v>
      </c>
      <c r="I5181" s="89">
        <v>6</v>
      </c>
      <c r="J5181" s="90">
        <v>15475</v>
      </c>
      <c r="K5181" s="85">
        <v>1</v>
      </c>
      <c r="L5181" s="85">
        <v>0</v>
      </c>
      <c r="M5181" s="85">
        <v>0</v>
      </c>
      <c r="N5181" s="82" t="s">
        <v>12245</v>
      </c>
      <c r="O5181" s="93">
        <v>45910.218310185184</v>
      </c>
    </row>
    <row r="5182" spans="1:15" ht="22.5" customHeight="1">
      <c r="A5182" s="85">
        <v>174904221976312</v>
      </c>
      <c r="B5182" s="82" t="s">
        <v>10651</v>
      </c>
      <c r="C5182" s="82" t="s">
        <v>12054</v>
      </c>
      <c r="D5182" s="82" t="s">
        <v>4485</v>
      </c>
      <c r="E5182" s="82">
        <v>6285169730762</v>
      </c>
      <c r="F5182" s="94">
        <v>45909</v>
      </c>
      <c r="G5182" s="87">
        <v>1191</v>
      </c>
      <c r="H5182" s="88">
        <v>9074.6685275645486</v>
      </c>
      <c r="I5182" s="89">
        <v>82</v>
      </c>
      <c r="J5182" s="90">
        <v>13004</v>
      </c>
      <c r="K5182" s="85">
        <v>13</v>
      </c>
      <c r="L5182" s="85">
        <v>7</v>
      </c>
      <c r="M5182" s="85">
        <v>3</v>
      </c>
      <c r="N5182" s="82" t="s">
        <v>12320</v>
      </c>
      <c r="O5182" s="93">
        <v>45910.610046296293</v>
      </c>
    </row>
    <row r="5183" spans="1:15" ht="22.5" customHeight="1">
      <c r="A5183" s="85">
        <v>174904221976312</v>
      </c>
      <c r="B5183" s="82" t="s">
        <v>10651</v>
      </c>
      <c r="C5183" s="82" t="s">
        <v>12058</v>
      </c>
      <c r="D5183" s="82" t="s">
        <v>4516</v>
      </c>
      <c r="E5183" s="82">
        <v>6281315163838</v>
      </c>
      <c r="F5183" s="94">
        <v>45909</v>
      </c>
      <c r="G5183" s="87">
        <v>288</v>
      </c>
      <c r="H5183" s="88">
        <v>42215.384615384617</v>
      </c>
      <c r="I5183" s="89">
        <v>10</v>
      </c>
      <c r="J5183" s="90">
        <v>13720</v>
      </c>
      <c r="K5183" s="85">
        <v>1</v>
      </c>
      <c r="L5183" s="85">
        <v>10</v>
      </c>
      <c r="M5183" s="85">
        <v>0</v>
      </c>
      <c r="N5183" s="82" t="s">
        <v>12321</v>
      </c>
      <c r="O5183" s="93">
        <v>45910.610034722224</v>
      </c>
    </row>
    <row r="5184" spans="1:15" ht="22.5" customHeight="1">
      <c r="A5184" s="85">
        <v>174904221976312</v>
      </c>
      <c r="B5184" s="82" t="s">
        <v>10651</v>
      </c>
      <c r="C5184" s="82" t="s">
        <v>12007</v>
      </c>
      <c r="D5184" s="82" t="s">
        <v>9010</v>
      </c>
      <c r="E5184" s="82">
        <v>6282160743576</v>
      </c>
      <c r="F5184" s="94">
        <v>45909</v>
      </c>
      <c r="G5184" s="87">
        <v>763</v>
      </c>
      <c r="H5184" s="88">
        <v>15986.746987951808</v>
      </c>
      <c r="I5184" s="89">
        <v>34</v>
      </c>
      <c r="J5184" s="90">
        <v>13269</v>
      </c>
      <c r="K5184" s="85">
        <v>3</v>
      </c>
      <c r="L5184" s="85">
        <v>312</v>
      </c>
      <c r="M5184" s="85">
        <v>0</v>
      </c>
      <c r="N5184" s="82" t="s">
        <v>12008</v>
      </c>
      <c r="O5184" s="93">
        <v>45910.630868055552</v>
      </c>
    </row>
    <row r="5185" spans="1:15" ht="22.5" customHeight="1">
      <c r="A5185" s="85">
        <v>174904221976312</v>
      </c>
      <c r="B5185" s="82" t="s">
        <v>10651</v>
      </c>
      <c r="C5185" s="82" t="s">
        <v>11806</v>
      </c>
      <c r="D5185" s="82" t="s">
        <v>11807</v>
      </c>
      <c r="E5185" s="82">
        <v>6285338373761</v>
      </c>
      <c r="F5185" s="94">
        <v>45909</v>
      </c>
      <c r="G5185" s="87">
        <v>1005</v>
      </c>
      <c r="H5185" s="88">
        <v>12464.349376114082</v>
      </c>
      <c r="I5185" s="89">
        <v>59</v>
      </c>
      <c r="J5185" s="90">
        <v>13985</v>
      </c>
      <c r="K5185" s="85">
        <v>10</v>
      </c>
      <c r="L5185" s="85">
        <v>611</v>
      </c>
      <c r="M5185" s="85">
        <v>1</v>
      </c>
      <c r="N5185" s="82" t="s">
        <v>12275</v>
      </c>
      <c r="O5185" s="93">
        <v>45910.713912037034</v>
      </c>
    </row>
    <row r="5186" spans="1:15" ht="22.5" customHeight="1">
      <c r="A5186" s="85">
        <v>174904221976312</v>
      </c>
      <c r="B5186" s="82" t="s">
        <v>10651</v>
      </c>
      <c r="C5186" s="82" t="s">
        <v>11769</v>
      </c>
      <c r="D5186" s="82" t="s">
        <v>3610</v>
      </c>
      <c r="E5186" s="82">
        <v>6285821233475</v>
      </c>
      <c r="F5186" s="94">
        <v>45909</v>
      </c>
      <c r="G5186" s="87">
        <v>611</v>
      </c>
      <c r="H5186" s="88">
        <v>18426.345609065156</v>
      </c>
      <c r="I5186" s="89">
        <v>22</v>
      </c>
      <c r="J5186" s="90">
        <v>13009</v>
      </c>
      <c r="K5186" s="85">
        <v>3</v>
      </c>
      <c r="L5186" s="85">
        <v>36</v>
      </c>
      <c r="M5186" s="85">
        <v>0</v>
      </c>
      <c r="N5186" s="82" t="s">
        <v>11770</v>
      </c>
      <c r="O5186" s="93">
        <v>45910.485150462962</v>
      </c>
    </row>
    <row r="5187" spans="1:15" ht="22.5" customHeight="1">
      <c r="A5187" s="85">
        <v>174904221976312</v>
      </c>
      <c r="B5187" s="82" t="s">
        <v>10651</v>
      </c>
      <c r="C5187" s="82" t="s">
        <v>11613</v>
      </c>
      <c r="D5187" s="82" t="s">
        <v>11614</v>
      </c>
      <c r="E5187" s="82">
        <v>6282186829904</v>
      </c>
      <c r="F5187" s="94">
        <v>45909</v>
      </c>
      <c r="G5187" s="87">
        <v>125</v>
      </c>
      <c r="H5187" s="88">
        <v>96107.142857142855</v>
      </c>
      <c r="I5187" s="89">
        <v>1</v>
      </c>
      <c r="J5187" s="90">
        <v>13455</v>
      </c>
      <c r="K5187" s="85">
        <v>0</v>
      </c>
      <c r="L5187" s="85">
        <v>23</v>
      </c>
      <c r="M5187" s="85">
        <v>0</v>
      </c>
      <c r="N5187" s="82" t="s">
        <v>12342</v>
      </c>
      <c r="O5187" s="93">
        <v>45910.588796296295</v>
      </c>
    </row>
    <row r="5188" spans="1:15" ht="22.5" customHeight="1">
      <c r="A5188" s="85">
        <v>174904221976312</v>
      </c>
      <c r="B5188" s="82" t="s">
        <v>10651</v>
      </c>
      <c r="C5188" s="82" t="s">
        <v>11580</v>
      </c>
      <c r="D5188" s="82" t="s">
        <v>11581</v>
      </c>
      <c r="E5188" s="82">
        <v>6287790276733</v>
      </c>
      <c r="F5188" s="94">
        <v>45909</v>
      </c>
      <c r="G5188" s="87">
        <v>593</v>
      </c>
      <c r="H5188" s="88">
        <v>18404.401650618984</v>
      </c>
      <c r="I5188" s="89">
        <v>6</v>
      </c>
      <c r="J5188" s="90">
        <v>13380</v>
      </c>
      <c r="K5188" s="85">
        <v>0</v>
      </c>
      <c r="L5188" s="85">
        <v>151</v>
      </c>
      <c r="M5188" s="85">
        <v>0</v>
      </c>
      <c r="N5188" s="82" t="s">
        <v>12343</v>
      </c>
      <c r="O5188" s="93">
        <v>45910.580358796295</v>
      </c>
    </row>
    <row r="5189" spans="1:15" ht="22.5" customHeight="1">
      <c r="A5189" s="85">
        <v>759724529202804</v>
      </c>
      <c r="B5189" s="82" t="s">
        <v>10621</v>
      </c>
      <c r="C5189" s="82" t="s">
        <v>10925</v>
      </c>
      <c r="D5189" s="82" t="s">
        <v>10926</v>
      </c>
      <c r="E5189" s="82">
        <v>6281233038880</v>
      </c>
      <c r="F5189" s="92">
        <v>45910</v>
      </c>
      <c r="G5189" s="87">
        <v>290</v>
      </c>
      <c r="H5189" s="88">
        <v>51479.041916167669</v>
      </c>
      <c r="I5189" s="89">
        <v>5</v>
      </c>
      <c r="J5189" s="90">
        <v>17194</v>
      </c>
      <c r="K5189" s="85">
        <v>1</v>
      </c>
      <c r="L5189" s="85">
        <v>0</v>
      </c>
      <c r="M5189" s="85">
        <v>0</v>
      </c>
      <c r="N5189" s="82" t="s">
        <v>10927</v>
      </c>
      <c r="O5189" s="93">
        <v>45911.485208333332</v>
      </c>
    </row>
    <row r="5190" spans="1:15" ht="22.5" customHeight="1">
      <c r="A5190" s="85">
        <v>174904221976312</v>
      </c>
      <c r="B5190" s="82" t="s">
        <v>10651</v>
      </c>
      <c r="C5190" s="82" t="s">
        <v>12344</v>
      </c>
      <c r="D5190" s="82" t="s">
        <v>5213</v>
      </c>
      <c r="E5190" s="82">
        <v>6281341637566</v>
      </c>
      <c r="F5190" s="92">
        <v>45910</v>
      </c>
      <c r="G5190" s="87">
        <v>306</v>
      </c>
      <c r="H5190" s="88">
        <v>29670.984455958551</v>
      </c>
      <c r="I5190" s="89">
        <v>28</v>
      </c>
      <c r="J5190" s="90">
        <v>11453</v>
      </c>
      <c r="K5190" s="85">
        <v>4</v>
      </c>
      <c r="L5190" s="85">
        <v>19</v>
      </c>
      <c r="M5190" s="85">
        <v>1</v>
      </c>
      <c r="N5190" s="82" t="s">
        <v>12345</v>
      </c>
      <c r="O5190" s="93">
        <v>45911.692754629628</v>
      </c>
    </row>
    <row r="5191" spans="1:15" ht="22.5" customHeight="1">
      <c r="A5191" s="85">
        <v>174904221976312</v>
      </c>
      <c r="B5191" s="82" t="s">
        <v>10651</v>
      </c>
      <c r="C5191" s="82" t="s">
        <v>12346</v>
      </c>
      <c r="D5191" s="82" t="s">
        <v>5399</v>
      </c>
      <c r="E5191" s="82">
        <v>6282220945171</v>
      </c>
      <c r="F5191" s="92">
        <v>45910</v>
      </c>
      <c r="G5191" s="87">
        <v>551</v>
      </c>
      <c r="H5191" s="88">
        <v>18807.57575757576</v>
      </c>
      <c r="I5191" s="89">
        <v>32</v>
      </c>
      <c r="J5191" s="90">
        <v>12413</v>
      </c>
      <c r="K5191" s="85">
        <v>9</v>
      </c>
      <c r="L5191" s="85">
        <v>8</v>
      </c>
      <c r="M5191" s="85">
        <v>0</v>
      </c>
      <c r="N5191" s="82" t="s">
        <v>12347</v>
      </c>
      <c r="O5191" s="93">
        <v>45911.630972222221</v>
      </c>
    </row>
    <row r="5192" spans="1:15" ht="22.5" customHeight="1">
      <c r="A5192" s="85">
        <v>174904221976312</v>
      </c>
      <c r="B5192" s="82" t="s">
        <v>10651</v>
      </c>
      <c r="C5192" s="82" t="s">
        <v>12348</v>
      </c>
      <c r="D5192" s="82" t="s">
        <v>12349</v>
      </c>
      <c r="E5192" s="82">
        <v>6281348215665</v>
      </c>
      <c r="F5192" s="92">
        <v>45910</v>
      </c>
      <c r="G5192" s="87">
        <v>553</v>
      </c>
      <c r="H5192" s="88">
        <v>19972.392638036807</v>
      </c>
      <c r="I5192" s="89">
        <v>18</v>
      </c>
      <c r="J5192" s="90">
        <v>13022</v>
      </c>
      <c r="K5192" s="85">
        <v>0</v>
      </c>
      <c r="L5192" s="85">
        <v>249</v>
      </c>
      <c r="M5192" s="85">
        <v>0</v>
      </c>
      <c r="N5192" s="82" t="s">
        <v>12350</v>
      </c>
      <c r="O5192" s="93">
        <v>45911.630983796298</v>
      </c>
    </row>
    <row r="5193" spans="1:15" ht="22.5" customHeight="1">
      <c r="A5193" s="85">
        <v>174904221976312</v>
      </c>
      <c r="B5193" s="82" t="s">
        <v>10651</v>
      </c>
      <c r="C5193" s="82" t="s">
        <v>12351</v>
      </c>
      <c r="D5193" s="82" t="s">
        <v>5339</v>
      </c>
      <c r="E5193" s="82">
        <v>6282220371971</v>
      </c>
      <c r="F5193" s="92">
        <v>45910</v>
      </c>
      <c r="G5193" s="87">
        <v>307</v>
      </c>
      <c r="H5193" s="88">
        <v>31857.894736842107</v>
      </c>
      <c r="I5193" s="89">
        <v>29</v>
      </c>
      <c r="J5193" s="90">
        <v>12106</v>
      </c>
      <c r="K5193" s="85">
        <v>14</v>
      </c>
      <c r="L5193" s="85">
        <v>5</v>
      </c>
      <c r="M5193" s="85">
        <v>0</v>
      </c>
      <c r="N5193" s="82" t="s">
        <v>12352</v>
      </c>
      <c r="O5193" s="93">
        <v>45911.734895833331</v>
      </c>
    </row>
    <row r="5194" spans="1:15" ht="22.5" customHeight="1">
      <c r="A5194" s="85">
        <v>174904221976312</v>
      </c>
      <c r="B5194" s="82" t="s">
        <v>10651</v>
      </c>
      <c r="C5194" s="82" t="s">
        <v>12353</v>
      </c>
      <c r="D5194" s="82" t="s">
        <v>12354</v>
      </c>
      <c r="E5194" s="82">
        <v>6281355662725</v>
      </c>
      <c r="F5194" s="92">
        <v>45910</v>
      </c>
      <c r="G5194" s="87">
        <v>320</v>
      </c>
      <c r="H5194" s="88">
        <v>32792.284866468843</v>
      </c>
      <c r="I5194" s="89">
        <v>17</v>
      </c>
      <c r="J5194" s="90">
        <v>11051</v>
      </c>
      <c r="K5194" s="85">
        <v>1</v>
      </c>
      <c r="L5194" s="85">
        <v>92</v>
      </c>
      <c r="M5194" s="85">
        <v>0</v>
      </c>
      <c r="N5194" s="82" t="s">
        <v>12355</v>
      </c>
      <c r="O5194" s="93">
        <v>45911.576770833337</v>
      </c>
    </row>
    <row r="5195" spans="1:15" ht="22.5" customHeight="1">
      <c r="A5195" s="85">
        <v>174904221976312</v>
      </c>
      <c r="B5195" s="82" t="s">
        <v>10651</v>
      </c>
      <c r="C5195" s="82" t="s">
        <v>12356</v>
      </c>
      <c r="D5195" s="82" t="s">
        <v>2202</v>
      </c>
      <c r="E5195" s="82">
        <v>62895374644456</v>
      </c>
      <c r="F5195" s="92">
        <v>45910</v>
      </c>
      <c r="G5195" s="87">
        <v>600</v>
      </c>
      <c r="H5195" s="88">
        <v>17201.581027667984</v>
      </c>
      <c r="I5195" s="89">
        <v>34</v>
      </c>
      <c r="J5195" s="90">
        <v>13056</v>
      </c>
      <c r="K5195" s="85">
        <v>3</v>
      </c>
      <c r="L5195" s="85">
        <v>33</v>
      </c>
      <c r="M5195" s="85">
        <v>1</v>
      </c>
      <c r="N5195" s="82" t="s">
        <v>12357</v>
      </c>
      <c r="O5195" s="93">
        <v>45911.610011574077</v>
      </c>
    </row>
    <row r="5196" spans="1:15" ht="22.5" customHeight="1">
      <c r="A5196" s="85">
        <v>174904221976312</v>
      </c>
      <c r="B5196" s="82" t="s">
        <v>10651</v>
      </c>
      <c r="C5196" s="82" t="s">
        <v>12322</v>
      </c>
      <c r="D5196" s="82" t="s">
        <v>12323</v>
      </c>
      <c r="E5196" s="82">
        <v>6282280771367</v>
      </c>
      <c r="F5196" s="92">
        <v>45910</v>
      </c>
      <c r="G5196" s="87">
        <v>884</v>
      </c>
      <c r="H5196" s="88">
        <v>11739.13043478261</v>
      </c>
      <c r="I5196" s="89">
        <v>9</v>
      </c>
      <c r="J5196" s="90">
        <v>12960</v>
      </c>
      <c r="K5196" s="85">
        <v>0</v>
      </c>
      <c r="L5196" s="85">
        <v>98</v>
      </c>
      <c r="M5196" s="85">
        <v>0</v>
      </c>
      <c r="N5196" s="82" t="s">
        <v>12324</v>
      </c>
      <c r="O5196" s="93">
        <v>45911.630972222221</v>
      </c>
    </row>
    <row r="5197" spans="1:15" ht="22.5" customHeight="1">
      <c r="A5197" s="85">
        <v>174904221976312</v>
      </c>
      <c r="B5197" s="82" t="s">
        <v>10651</v>
      </c>
      <c r="C5197" s="82" t="s">
        <v>12325</v>
      </c>
      <c r="D5197" s="82" t="s">
        <v>5315</v>
      </c>
      <c r="E5197" s="82">
        <v>6281460494182</v>
      </c>
      <c r="F5197" s="92">
        <v>45910</v>
      </c>
      <c r="G5197" s="87">
        <v>736</v>
      </c>
      <c r="H5197" s="88">
        <v>12609.534619750282</v>
      </c>
      <c r="I5197" s="89">
        <v>20</v>
      </c>
      <c r="J5197" s="90">
        <v>11109</v>
      </c>
      <c r="K5197" s="85">
        <v>1</v>
      </c>
      <c r="L5197" s="85">
        <v>175</v>
      </c>
      <c r="M5197" s="85">
        <v>0</v>
      </c>
      <c r="N5197" s="82" t="s">
        <v>12326</v>
      </c>
      <c r="O5197" s="93">
        <v>45911.526747685188</v>
      </c>
    </row>
    <row r="5198" spans="1:15" ht="22.5" customHeight="1">
      <c r="A5198" s="85">
        <v>174904221976312</v>
      </c>
      <c r="B5198" s="82" t="s">
        <v>10651</v>
      </c>
      <c r="C5198" s="82" t="s">
        <v>12327</v>
      </c>
      <c r="D5198" s="82" t="s">
        <v>12328</v>
      </c>
      <c r="E5198" s="82">
        <v>6281249008778</v>
      </c>
      <c r="F5198" s="92">
        <v>45910</v>
      </c>
      <c r="G5198" s="87">
        <v>315</v>
      </c>
      <c r="H5198" s="88">
        <v>36116.477272727272</v>
      </c>
      <c r="I5198" s="89">
        <v>10</v>
      </c>
      <c r="J5198" s="90">
        <v>12713</v>
      </c>
      <c r="K5198" s="85">
        <v>0</v>
      </c>
      <c r="L5198" s="85">
        <v>90</v>
      </c>
      <c r="M5198" s="85">
        <v>0</v>
      </c>
      <c r="N5198" s="82" t="s">
        <v>12358</v>
      </c>
      <c r="O5198" s="93">
        <v>45911.592858796299</v>
      </c>
    </row>
    <row r="5199" spans="1:15" ht="22.5" customHeight="1">
      <c r="A5199" s="85">
        <v>174904221976312</v>
      </c>
      <c r="B5199" s="82" t="s">
        <v>10651</v>
      </c>
      <c r="C5199" s="82" t="s">
        <v>12330</v>
      </c>
      <c r="D5199" s="82" t="s">
        <v>5283</v>
      </c>
      <c r="E5199" s="82">
        <v>6283149477297</v>
      </c>
      <c r="F5199" s="92">
        <v>45910</v>
      </c>
      <c r="G5199" s="87">
        <v>1108</v>
      </c>
      <c r="H5199" s="88">
        <v>12184.867394695788</v>
      </c>
      <c r="I5199" s="89">
        <v>35</v>
      </c>
      <c r="J5199" s="90">
        <v>15621</v>
      </c>
      <c r="K5199" s="85">
        <v>4</v>
      </c>
      <c r="L5199" s="85">
        <v>47</v>
      </c>
      <c r="M5199" s="85">
        <v>0</v>
      </c>
      <c r="N5199" s="82" t="s">
        <v>12331</v>
      </c>
      <c r="O5199" s="93">
        <v>45911.526550925926</v>
      </c>
    </row>
    <row r="5200" spans="1:15" ht="22.5" customHeight="1">
      <c r="A5200" s="85">
        <v>174904221976312</v>
      </c>
      <c r="B5200" s="82" t="s">
        <v>10651</v>
      </c>
      <c r="C5200" s="82" t="s">
        <v>12332</v>
      </c>
      <c r="D5200" s="82" t="s">
        <v>12333</v>
      </c>
      <c r="E5200" s="82">
        <v>6282391199993</v>
      </c>
      <c r="F5200" s="92">
        <v>45910</v>
      </c>
      <c r="G5200" s="87">
        <v>873</v>
      </c>
      <c r="H5200" s="88">
        <v>13814.524043179588</v>
      </c>
      <c r="I5200" s="89">
        <v>14</v>
      </c>
      <c r="J5200" s="90">
        <v>14077</v>
      </c>
      <c r="K5200" s="85">
        <v>2</v>
      </c>
      <c r="L5200" s="85">
        <v>117</v>
      </c>
      <c r="M5200" s="85">
        <v>0</v>
      </c>
      <c r="N5200" s="82" t="s">
        <v>12334</v>
      </c>
      <c r="O5200" s="93">
        <v>45911.505520833336</v>
      </c>
    </row>
    <row r="5201" spans="1:15" ht="22.5" customHeight="1">
      <c r="A5201" s="85">
        <v>174904221976312</v>
      </c>
      <c r="B5201" s="82" t="s">
        <v>10651</v>
      </c>
      <c r="C5201" s="82" t="s">
        <v>12335</v>
      </c>
      <c r="D5201" s="82" t="s">
        <v>5046</v>
      </c>
      <c r="E5201" s="82">
        <v>6282266469686</v>
      </c>
      <c r="F5201" s="92">
        <v>45910</v>
      </c>
      <c r="G5201" s="87">
        <v>465</v>
      </c>
      <c r="H5201" s="88">
        <v>25407.265774378586</v>
      </c>
      <c r="I5201" s="89">
        <v>13</v>
      </c>
      <c r="J5201" s="90">
        <v>13288</v>
      </c>
      <c r="K5201" s="85">
        <v>0</v>
      </c>
      <c r="L5201" s="85">
        <v>151</v>
      </c>
      <c r="M5201" s="85">
        <v>0</v>
      </c>
      <c r="N5201" s="82" t="s">
        <v>12336</v>
      </c>
      <c r="O5201" s="93">
        <v>45911.547210648147</v>
      </c>
    </row>
    <row r="5202" spans="1:15" ht="22.5" customHeight="1">
      <c r="A5202" s="85">
        <v>174904221976312</v>
      </c>
      <c r="B5202" s="82" t="s">
        <v>10651</v>
      </c>
      <c r="C5202" s="82" t="s">
        <v>12307</v>
      </c>
      <c r="D5202" s="82" t="s">
        <v>12308</v>
      </c>
      <c r="E5202" s="82">
        <v>62881022356673</v>
      </c>
      <c r="F5202" s="92">
        <v>45910</v>
      </c>
      <c r="G5202" s="87">
        <v>553</v>
      </c>
      <c r="H5202" s="88">
        <v>20254.716981132078</v>
      </c>
      <c r="I5202" s="89">
        <v>25</v>
      </c>
      <c r="J5202" s="90">
        <v>12882</v>
      </c>
      <c r="K5202" s="85">
        <v>6</v>
      </c>
      <c r="L5202" s="85">
        <v>35</v>
      </c>
      <c r="M5202" s="85">
        <v>0</v>
      </c>
      <c r="N5202" s="82" t="s">
        <v>12309</v>
      </c>
      <c r="O5202" s="93">
        <v>45911.443333333336</v>
      </c>
    </row>
    <row r="5203" spans="1:15" ht="22.5" customHeight="1">
      <c r="A5203" s="85">
        <v>174904221976312</v>
      </c>
      <c r="B5203" s="82" t="s">
        <v>10651</v>
      </c>
      <c r="C5203" s="82" t="s">
        <v>12310</v>
      </c>
      <c r="D5203" s="82" t="s">
        <v>3633</v>
      </c>
      <c r="E5203" s="82">
        <v>6285710003464</v>
      </c>
      <c r="F5203" s="92">
        <v>45910</v>
      </c>
      <c r="G5203" s="87">
        <v>12767</v>
      </c>
      <c r="H5203" s="88">
        <v>943.30174870965254</v>
      </c>
      <c r="I5203" s="89">
        <v>8</v>
      </c>
      <c r="J5203" s="90">
        <v>12245</v>
      </c>
      <c r="K5203" s="85">
        <v>0</v>
      </c>
      <c r="L5203" s="85">
        <v>656</v>
      </c>
      <c r="M5203" s="85">
        <v>0</v>
      </c>
      <c r="N5203" s="82" t="s">
        <v>12311</v>
      </c>
      <c r="O5203" s="93">
        <v>45911.672071759262</v>
      </c>
    </row>
    <row r="5204" spans="1:15" ht="22.5" customHeight="1">
      <c r="A5204" s="85">
        <v>174904221976312</v>
      </c>
      <c r="B5204" s="82" t="s">
        <v>10651</v>
      </c>
      <c r="C5204" s="82" t="s">
        <v>12291</v>
      </c>
      <c r="D5204" s="82" t="s">
        <v>5257</v>
      </c>
      <c r="E5204" s="82">
        <v>6287722264777</v>
      </c>
      <c r="F5204" s="92">
        <v>45910</v>
      </c>
      <c r="G5204" s="87">
        <v>1114</v>
      </c>
      <c r="H5204" s="88">
        <v>10134.863701578191</v>
      </c>
      <c r="I5204" s="89">
        <v>35</v>
      </c>
      <c r="J5204" s="90">
        <v>14128</v>
      </c>
      <c r="K5204" s="85">
        <v>8</v>
      </c>
      <c r="L5204" s="85">
        <v>62</v>
      </c>
      <c r="M5204" s="85">
        <v>1</v>
      </c>
      <c r="N5204" s="82" t="s">
        <v>12292</v>
      </c>
      <c r="O5204" s="93">
        <v>45911.526539351849</v>
      </c>
    </row>
    <row r="5205" spans="1:15" ht="22.5" customHeight="1">
      <c r="A5205" s="85">
        <v>174904221976312</v>
      </c>
      <c r="B5205" s="82" t="s">
        <v>10651</v>
      </c>
      <c r="C5205" s="82" t="s">
        <v>12293</v>
      </c>
      <c r="D5205" s="82" t="s">
        <v>12294</v>
      </c>
      <c r="E5205" s="82">
        <v>6285280808856</v>
      </c>
      <c r="F5205" s="92">
        <v>45910</v>
      </c>
      <c r="G5205" s="87">
        <v>882</v>
      </c>
      <c r="H5205" s="88">
        <v>15099.773242630386</v>
      </c>
      <c r="I5205" s="89">
        <v>17</v>
      </c>
      <c r="J5205" s="90">
        <v>13318</v>
      </c>
      <c r="K5205" s="85">
        <v>1</v>
      </c>
      <c r="L5205" s="85">
        <v>84</v>
      </c>
      <c r="M5205" s="85">
        <v>0</v>
      </c>
      <c r="N5205" s="82" t="s">
        <v>12295</v>
      </c>
      <c r="O5205" s="93">
        <v>45911.588993055557</v>
      </c>
    </row>
    <row r="5206" spans="1:15" ht="22.5" customHeight="1">
      <c r="A5206" s="85">
        <v>174904221976312</v>
      </c>
      <c r="B5206" s="82" t="s">
        <v>10651</v>
      </c>
      <c r="C5206" s="82" t="s">
        <v>12296</v>
      </c>
      <c r="D5206" s="82" t="s">
        <v>12297</v>
      </c>
      <c r="E5206" s="82">
        <v>6285600287735</v>
      </c>
      <c r="F5206" s="92">
        <v>45910</v>
      </c>
      <c r="G5206" s="87">
        <v>386</v>
      </c>
      <c r="H5206" s="88">
        <v>29344.467640918581</v>
      </c>
      <c r="I5206" s="89">
        <v>18</v>
      </c>
      <c r="J5206" s="90">
        <v>14056</v>
      </c>
      <c r="K5206" s="85">
        <v>5</v>
      </c>
      <c r="L5206" s="85">
        <v>149</v>
      </c>
      <c r="M5206" s="85">
        <v>1</v>
      </c>
      <c r="N5206" s="82" t="s">
        <v>12298</v>
      </c>
      <c r="O5206" s="93">
        <v>45911.464837962965</v>
      </c>
    </row>
    <row r="5207" spans="1:15" ht="22.5" customHeight="1">
      <c r="A5207" s="85">
        <v>174904221976312</v>
      </c>
      <c r="B5207" s="82" t="s">
        <v>10651</v>
      </c>
      <c r="C5207" s="82" t="s">
        <v>12299</v>
      </c>
      <c r="D5207" s="82" t="s">
        <v>12300</v>
      </c>
      <c r="E5207" s="82">
        <v>6285654251369</v>
      </c>
      <c r="F5207" s="92">
        <v>45910</v>
      </c>
      <c r="G5207" s="87">
        <v>547</v>
      </c>
      <c r="H5207" s="88">
        <v>21955.342902711323</v>
      </c>
      <c r="I5207" s="89">
        <v>10</v>
      </c>
      <c r="J5207" s="90">
        <v>13766</v>
      </c>
      <c r="K5207" s="85">
        <v>0</v>
      </c>
      <c r="L5207" s="85">
        <v>0</v>
      </c>
      <c r="M5207" s="85">
        <v>0</v>
      </c>
      <c r="N5207" s="82" t="s">
        <v>12312</v>
      </c>
      <c r="O5207" s="93">
        <v>45911.44332175926</v>
      </c>
    </row>
    <row r="5208" spans="1:15" ht="22.5" customHeight="1">
      <c r="A5208" s="85">
        <v>174904221976312</v>
      </c>
      <c r="B5208" s="82" t="s">
        <v>10651</v>
      </c>
      <c r="C5208" s="82" t="s">
        <v>12302</v>
      </c>
      <c r="D5208" s="82" t="s">
        <v>7857</v>
      </c>
      <c r="E5208" s="82">
        <v>6283865096870</v>
      </c>
      <c r="F5208" s="92">
        <v>45910</v>
      </c>
      <c r="G5208" s="87">
        <v>1205</v>
      </c>
      <c r="H5208" s="88">
        <v>7475.6348661633492</v>
      </c>
      <c r="I5208" s="89">
        <v>22</v>
      </c>
      <c r="J5208" s="90">
        <v>10892</v>
      </c>
      <c r="K5208" s="85">
        <v>1</v>
      </c>
      <c r="L5208" s="85">
        <v>33</v>
      </c>
      <c r="M5208" s="85">
        <v>1</v>
      </c>
      <c r="N5208" s="82" t="s">
        <v>12303</v>
      </c>
      <c r="O5208" s="93">
        <v>45911.484930555554</v>
      </c>
    </row>
    <row r="5209" spans="1:15" ht="22.5" customHeight="1">
      <c r="A5209" s="85">
        <v>174904221976312</v>
      </c>
      <c r="B5209" s="82" t="s">
        <v>10651</v>
      </c>
      <c r="C5209" s="82" t="s">
        <v>12304</v>
      </c>
      <c r="D5209" s="82" t="s">
        <v>5179</v>
      </c>
      <c r="E5209" s="82">
        <v>6282286608220</v>
      </c>
      <c r="F5209" s="92">
        <v>45910</v>
      </c>
      <c r="G5209" s="87">
        <v>194</v>
      </c>
      <c r="H5209" s="88">
        <v>44550.943396226416</v>
      </c>
      <c r="I5209" s="89">
        <v>6</v>
      </c>
      <c r="J5209" s="90">
        <v>11806</v>
      </c>
      <c r="K5209" s="85">
        <v>1</v>
      </c>
      <c r="L5209" s="85">
        <v>0</v>
      </c>
      <c r="M5209" s="85">
        <v>0</v>
      </c>
      <c r="N5209" s="82" t="s">
        <v>12313</v>
      </c>
      <c r="O5209" s="93">
        <v>45911.443564814814</v>
      </c>
    </row>
    <row r="5210" spans="1:15" ht="22.5" customHeight="1">
      <c r="A5210" s="85">
        <v>174904221976312</v>
      </c>
      <c r="B5210" s="82" t="s">
        <v>10651</v>
      </c>
      <c r="C5210" s="82" t="s">
        <v>12276</v>
      </c>
      <c r="D5210" s="82" t="s">
        <v>12277</v>
      </c>
      <c r="E5210" s="82">
        <v>6281558822937</v>
      </c>
      <c r="F5210" s="92">
        <v>45910</v>
      </c>
      <c r="G5210" s="87">
        <v>110</v>
      </c>
      <c r="H5210" s="88">
        <v>95097.744360902259</v>
      </c>
      <c r="I5210" s="89">
        <v>0</v>
      </c>
      <c r="J5210" s="90">
        <v>12648</v>
      </c>
      <c r="K5210" s="85">
        <v>0</v>
      </c>
      <c r="L5210" s="85">
        <v>0</v>
      </c>
      <c r="M5210" s="85">
        <v>0</v>
      </c>
      <c r="N5210" s="82" t="s">
        <v>12314</v>
      </c>
      <c r="O5210" s="93">
        <v>45911.443553240744</v>
      </c>
    </row>
    <row r="5211" spans="1:15" ht="22.5" customHeight="1">
      <c r="A5211" s="85">
        <v>174904221976312</v>
      </c>
      <c r="B5211" s="82" t="s">
        <v>10651</v>
      </c>
      <c r="C5211" s="82" t="s">
        <v>12279</v>
      </c>
      <c r="D5211" s="82" t="s">
        <v>11800</v>
      </c>
      <c r="E5211" s="82">
        <v>6285333751528</v>
      </c>
      <c r="F5211" s="92">
        <v>45910</v>
      </c>
      <c r="G5211" s="87">
        <v>96</v>
      </c>
      <c r="H5211" s="88">
        <v>98486.956521739135</v>
      </c>
      <c r="I5211" s="89">
        <v>5</v>
      </c>
      <c r="J5211" s="90">
        <v>11326</v>
      </c>
      <c r="K5211" s="85">
        <v>1</v>
      </c>
      <c r="L5211" s="85">
        <v>0</v>
      </c>
      <c r="M5211" s="85">
        <v>0</v>
      </c>
      <c r="N5211" s="82" t="s">
        <v>12337</v>
      </c>
      <c r="O5211" s="93">
        <v>45911.443553240744</v>
      </c>
    </row>
    <row r="5212" spans="1:15" ht="22.5" customHeight="1">
      <c r="A5212" s="85">
        <v>174904221976312</v>
      </c>
      <c r="B5212" s="82" t="s">
        <v>10651</v>
      </c>
      <c r="C5212" s="82" t="s">
        <v>12281</v>
      </c>
      <c r="D5212" s="82" t="s">
        <v>12282</v>
      </c>
      <c r="E5212" s="82">
        <v>62895614711817</v>
      </c>
      <c r="F5212" s="92">
        <v>45910</v>
      </c>
      <c r="G5212" s="87">
        <v>875</v>
      </c>
      <c r="H5212" s="88">
        <v>12383.392226148409</v>
      </c>
      <c r="I5212" s="89">
        <v>63</v>
      </c>
      <c r="J5212" s="90">
        <v>14018</v>
      </c>
      <c r="K5212" s="85">
        <v>7</v>
      </c>
      <c r="L5212" s="85">
        <v>340</v>
      </c>
      <c r="M5212" s="85">
        <v>0</v>
      </c>
      <c r="N5212" s="82" t="s">
        <v>12283</v>
      </c>
      <c r="O5212" s="93">
        <v>45911.402025462965</v>
      </c>
    </row>
    <row r="5213" spans="1:15" ht="22.5" customHeight="1">
      <c r="A5213" s="85">
        <v>174904221976312</v>
      </c>
      <c r="B5213" s="82" t="s">
        <v>10651</v>
      </c>
      <c r="C5213" s="82" t="s">
        <v>12284</v>
      </c>
      <c r="D5213" s="82" t="s">
        <v>12285</v>
      </c>
      <c r="E5213" s="82">
        <v>6285921481643</v>
      </c>
      <c r="F5213" s="92">
        <v>45910</v>
      </c>
      <c r="G5213" s="87">
        <v>267</v>
      </c>
      <c r="H5213" s="88">
        <v>37661.631419939571</v>
      </c>
      <c r="I5213" s="89">
        <v>7</v>
      </c>
      <c r="J5213" s="90">
        <v>12466</v>
      </c>
      <c r="K5213" s="85">
        <v>2</v>
      </c>
      <c r="L5213" s="85">
        <v>3</v>
      </c>
      <c r="M5213" s="85">
        <v>0</v>
      </c>
      <c r="N5213" s="82" t="s">
        <v>12338</v>
      </c>
      <c r="O5213" s="93">
        <v>45911.422303240739</v>
      </c>
    </row>
    <row r="5214" spans="1:15" ht="22.5" customHeight="1">
      <c r="A5214" s="85">
        <v>174904221976312</v>
      </c>
      <c r="B5214" s="82" t="s">
        <v>10651</v>
      </c>
      <c r="C5214" s="82" t="s">
        <v>12253</v>
      </c>
      <c r="D5214" s="82" t="s">
        <v>12254</v>
      </c>
      <c r="E5214" s="82">
        <v>6287838234518</v>
      </c>
      <c r="F5214" s="92">
        <v>45910</v>
      </c>
      <c r="G5214" s="87">
        <v>417</v>
      </c>
      <c r="H5214" s="88">
        <v>33979.775280898881</v>
      </c>
      <c r="I5214" s="89">
        <v>16</v>
      </c>
      <c r="J5214" s="90">
        <v>15121</v>
      </c>
      <c r="K5214" s="85">
        <v>5</v>
      </c>
      <c r="L5214" s="85">
        <v>123</v>
      </c>
      <c r="M5214" s="85">
        <v>0</v>
      </c>
      <c r="N5214" s="82" t="s">
        <v>12255</v>
      </c>
      <c r="O5214" s="93">
        <v>45911.217268518521</v>
      </c>
    </row>
    <row r="5215" spans="1:15" ht="22.5" customHeight="1">
      <c r="A5215" s="85">
        <v>174904221976312</v>
      </c>
      <c r="B5215" s="82" t="s">
        <v>10651</v>
      </c>
      <c r="C5215" s="82" t="s">
        <v>12256</v>
      </c>
      <c r="D5215" s="82" t="s">
        <v>12257</v>
      </c>
      <c r="E5215" s="82">
        <v>6285384956538</v>
      </c>
      <c r="F5215" s="92">
        <v>45910</v>
      </c>
      <c r="G5215" s="87">
        <v>857</v>
      </c>
      <c r="H5215" s="88">
        <v>12605.555555555557</v>
      </c>
      <c r="I5215" s="89">
        <v>13</v>
      </c>
      <c r="J5215" s="90">
        <v>13614</v>
      </c>
      <c r="K5215" s="85">
        <v>3</v>
      </c>
      <c r="L5215" s="85">
        <v>0</v>
      </c>
      <c r="M5215" s="85">
        <v>0</v>
      </c>
      <c r="N5215" s="82" t="s">
        <v>12258</v>
      </c>
      <c r="O5215" s="93">
        <v>45911.217280092591</v>
      </c>
    </row>
    <row r="5216" spans="1:15" ht="22.5" customHeight="1">
      <c r="A5216" s="85">
        <v>174904221976312</v>
      </c>
      <c r="B5216" s="82" t="s">
        <v>10651</v>
      </c>
      <c r="C5216" s="82" t="s">
        <v>12259</v>
      </c>
      <c r="D5216" s="82" t="s">
        <v>5123</v>
      </c>
      <c r="E5216" s="82">
        <v>6287849856444</v>
      </c>
      <c r="F5216" s="92">
        <v>45910</v>
      </c>
      <c r="G5216" s="87">
        <v>607</v>
      </c>
      <c r="H5216" s="88">
        <v>20296.081277213354</v>
      </c>
      <c r="I5216" s="89">
        <v>15</v>
      </c>
      <c r="J5216" s="90">
        <v>13984</v>
      </c>
      <c r="K5216" s="85">
        <v>2</v>
      </c>
      <c r="L5216" s="85">
        <v>0</v>
      </c>
      <c r="M5216" s="85">
        <v>0</v>
      </c>
      <c r="N5216" s="82" t="s">
        <v>12260</v>
      </c>
      <c r="O5216" s="93">
        <v>45911.217280092591</v>
      </c>
    </row>
    <row r="5217" spans="1:15" ht="22.5" customHeight="1">
      <c r="A5217" s="85">
        <v>174904221976312</v>
      </c>
      <c r="B5217" s="82" t="s">
        <v>10651</v>
      </c>
      <c r="C5217" s="82" t="s">
        <v>12261</v>
      </c>
      <c r="D5217" s="82" t="s">
        <v>5116</v>
      </c>
      <c r="E5217" s="82">
        <v>6285786318640</v>
      </c>
      <c r="F5217" s="92">
        <v>45910</v>
      </c>
      <c r="G5217" s="87">
        <v>404</v>
      </c>
      <c r="H5217" s="88">
        <v>32634.311512415352</v>
      </c>
      <c r="I5217" s="89">
        <v>4</v>
      </c>
      <c r="J5217" s="90">
        <v>14457</v>
      </c>
      <c r="K5217" s="85">
        <v>1</v>
      </c>
      <c r="L5217" s="85">
        <v>0</v>
      </c>
      <c r="M5217" s="85">
        <v>0</v>
      </c>
      <c r="N5217" s="82" t="s">
        <v>12262</v>
      </c>
      <c r="O5217" s="93">
        <v>45911.217280092591</v>
      </c>
    </row>
    <row r="5218" spans="1:15" ht="22.5" customHeight="1">
      <c r="A5218" s="85">
        <v>174904221976312</v>
      </c>
      <c r="B5218" s="82" t="s">
        <v>10651</v>
      </c>
      <c r="C5218" s="82" t="s">
        <v>12263</v>
      </c>
      <c r="D5218" s="82" t="s">
        <v>12264</v>
      </c>
      <c r="E5218" s="82">
        <v>62817308228</v>
      </c>
      <c r="F5218" s="92">
        <v>45910</v>
      </c>
      <c r="G5218" s="87">
        <v>435</v>
      </c>
      <c r="H5218" s="88">
        <v>25530.214424951268</v>
      </c>
      <c r="I5218" s="89">
        <v>22</v>
      </c>
      <c r="J5218" s="90">
        <v>13097</v>
      </c>
      <c r="K5218" s="85">
        <v>7</v>
      </c>
      <c r="L5218" s="85">
        <v>0</v>
      </c>
      <c r="M5218" s="85">
        <v>0</v>
      </c>
      <c r="N5218" s="82" t="s">
        <v>12316</v>
      </c>
      <c r="O5218" s="93">
        <v>45911.5471875</v>
      </c>
    </row>
    <row r="5219" spans="1:15" ht="22.5" customHeight="1">
      <c r="A5219" s="85">
        <v>174904221976312</v>
      </c>
      <c r="B5219" s="82" t="s">
        <v>10651</v>
      </c>
      <c r="C5219" s="82" t="s">
        <v>12266</v>
      </c>
      <c r="D5219" s="82" t="s">
        <v>12267</v>
      </c>
      <c r="E5219" s="82">
        <v>6282362576312</v>
      </c>
      <c r="F5219" s="92">
        <v>45910</v>
      </c>
      <c r="G5219" s="87">
        <v>222</v>
      </c>
      <c r="H5219" s="88">
        <v>66491.525423728817</v>
      </c>
      <c r="I5219" s="89">
        <v>13</v>
      </c>
      <c r="J5219" s="90">
        <v>15692</v>
      </c>
      <c r="K5219" s="85">
        <v>2</v>
      </c>
      <c r="L5219" s="85">
        <v>92</v>
      </c>
      <c r="M5219" s="85">
        <v>0</v>
      </c>
      <c r="N5219" s="82" t="s">
        <v>12268</v>
      </c>
      <c r="O5219" s="93">
        <v>45911.217280092591</v>
      </c>
    </row>
    <row r="5220" spans="1:15" ht="22.5" customHeight="1">
      <c r="A5220" s="85">
        <v>174904221976312</v>
      </c>
      <c r="B5220" s="82" t="s">
        <v>10651</v>
      </c>
      <c r="C5220" s="82" t="s">
        <v>12269</v>
      </c>
      <c r="D5220" s="82" t="s">
        <v>12270</v>
      </c>
      <c r="E5220" s="82">
        <v>6282229433259</v>
      </c>
      <c r="F5220" s="92">
        <v>45910</v>
      </c>
      <c r="G5220" s="87">
        <v>131</v>
      </c>
      <c r="H5220" s="88">
        <v>94226.277372262775</v>
      </c>
      <c r="I5220" s="89">
        <v>9</v>
      </c>
      <c r="J5220" s="90">
        <v>12909</v>
      </c>
      <c r="K5220" s="85">
        <v>2</v>
      </c>
      <c r="L5220" s="85">
        <v>48</v>
      </c>
      <c r="M5220" s="85">
        <v>0</v>
      </c>
      <c r="N5220" s="82" t="s">
        <v>12339</v>
      </c>
      <c r="O5220" s="93">
        <v>45911.464502314811</v>
      </c>
    </row>
    <row r="5221" spans="1:15" ht="22.5" customHeight="1">
      <c r="A5221" s="85">
        <v>174904221976312</v>
      </c>
      <c r="B5221" s="82" t="s">
        <v>10651</v>
      </c>
      <c r="C5221" s="82" t="s">
        <v>12272</v>
      </c>
      <c r="D5221" s="82" t="s">
        <v>11194</v>
      </c>
      <c r="E5221" s="82">
        <v>62895804080442</v>
      </c>
      <c r="F5221" s="92">
        <v>45910</v>
      </c>
      <c r="G5221" s="87">
        <v>481</v>
      </c>
      <c r="H5221" s="88">
        <v>25336.34719710669</v>
      </c>
      <c r="I5221" s="89">
        <v>23</v>
      </c>
      <c r="J5221" s="90">
        <v>14011</v>
      </c>
      <c r="K5221" s="85">
        <v>2</v>
      </c>
      <c r="L5221" s="85">
        <v>0</v>
      </c>
      <c r="M5221" s="85">
        <v>0</v>
      </c>
      <c r="N5221" s="82" t="s">
        <v>12273</v>
      </c>
      <c r="O5221" s="93">
        <v>45911.217280092591</v>
      </c>
    </row>
    <row r="5222" spans="1:15" ht="22.5" customHeight="1">
      <c r="A5222" s="85">
        <v>174904221976312</v>
      </c>
      <c r="B5222" s="82" t="s">
        <v>10651</v>
      </c>
      <c r="C5222" s="82" t="s">
        <v>12237</v>
      </c>
      <c r="D5222" s="82" t="s">
        <v>12238</v>
      </c>
      <c r="E5222" s="82">
        <v>6287888330007</v>
      </c>
      <c r="F5222" s="92">
        <v>45910</v>
      </c>
      <c r="G5222" s="87">
        <v>524</v>
      </c>
      <c r="H5222" s="88">
        <v>19320</v>
      </c>
      <c r="I5222" s="89">
        <v>22</v>
      </c>
      <c r="J5222" s="90">
        <v>11592</v>
      </c>
      <c r="K5222" s="85">
        <v>1</v>
      </c>
      <c r="L5222" s="85">
        <v>0</v>
      </c>
      <c r="M5222" s="85">
        <v>1</v>
      </c>
      <c r="N5222" s="82" t="s">
        <v>12359</v>
      </c>
      <c r="O5222" s="93">
        <v>45911.464502314811</v>
      </c>
    </row>
    <row r="5223" spans="1:15" ht="22.5" customHeight="1">
      <c r="A5223" s="85">
        <v>174904221976312</v>
      </c>
      <c r="B5223" s="82" t="s">
        <v>10651</v>
      </c>
      <c r="C5223" s="82" t="s">
        <v>12240</v>
      </c>
      <c r="D5223" s="82" t="s">
        <v>12241</v>
      </c>
      <c r="E5223" s="82">
        <v>6285600822636</v>
      </c>
      <c r="F5223" s="92">
        <v>45910</v>
      </c>
      <c r="G5223" s="87">
        <v>657</v>
      </c>
      <c r="H5223" s="88">
        <v>15922.974767596281</v>
      </c>
      <c r="I5223" s="89">
        <v>6</v>
      </c>
      <c r="J5223" s="90">
        <v>11990</v>
      </c>
      <c r="K5223" s="85">
        <v>1</v>
      </c>
      <c r="L5223" s="85">
        <v>10</v>
      </c>
      <c r="M5223" s="85">
        <v>0</v>
      </c>
      <c r="N5223" s="82" t="s">
        <v>12274</v>
      </c>
      <c r="O5223" s="93">
        <v>45911.484930555554</v>
      </c>
    </row>
    <row r="5224" spans="1:15" ht="22.5" customHeight="1">
      <c r="A5224" s="85">
        <v>174904221976312</v>
      </c>
      <c r="B5224" s="82" t="s">
        <v>10651</v>
      </c>
      <c r="C5224" s="82" t="s">
        <v>12202</v>
      </c>
      <c r="D5224" s="82" t="s">
        <v>2370</v>
      </c>
      <c r="E5224" s="82">
        <v>6281317409433</v>
      </c>
      <c r="F5224" s="92">
        <v>45910</v>
      </c>
      <c r="G5224" s="87">
        <v>407</v>
      </c>
      <c r="H5224" s="88">
        <v>28246.346555323591</v>
      </c>
      <c r="I5224" s="89">
        <v>22</v>
      </c>
      <c r="J5224" s="90">
        <v>13530</v>
      </c>
      <c r="K5224" s="85">
        <v>5</v>
      </c>
      <c r="L5224" s="85">
        <v>0</v>
      </c>
      <c r="M5224" s="85">
        <v>0</v>
      </c>
      <c r="N5224" s="82" t="s">
        <v>12203</v>
      </c>
      <c r="O5224" s="93">
        <v>45911.526539351849</v>
      </c>
    </row>
    <row r="5225" spans="1:15" ht="22.5" customHeight="1">
      <c r="A5225" s="85">
        <v>174904221976312</v>
      </c>
      <c r="B5225" s="82" t="s">
        <v>10651</v>
      </c>
      <c r="C5225" s="82" t="s">
        <v>12207</v>
      </c>
      <c r="D5225" s="91" t="s">
        <v>4875</v>
      </c>
      <c r="E5225" s="82">
        <v>6285719003688</v>
      </c>
      <c r="F5225" s="92">
        <v>45910</v>
      </c>
      <c r="G5225" s="87">
        <v>169</v>
      </c>
      <c r="H5225" s="88">
        <v>65211.640211640217</v>
      </c>
      <c r="I5225" s="89">
        <v>4</v>
      </c>
      <c r="J5225" s="90">
        <v>12325</v>
      </c>
      <c r="K5225" s="85">
        <v>0</v>
      </c>
      <c r="L5225" s="85">
        <v>0</v>
      </c>
      <c r="M5225" s="85">
        <v>0</v>
      </c>
      <c r="N5225" s="82" t="s">
        <v>12287</v>
      </c>
      <c r="O5225" s="93">
        <v>45911.484513888892</v>
      </c>
    </row>
    <row r="5226" spans="1:15" ht="22.5" customHeight="1">
      <c r="A5226" s="85">
        <v>174904221976312</v>
      </c>
      <c r="B5226" s="82" t="s">
        <v>10651</v>
      </c>
      <c r="C5226" s="82" t="s">
        <v>12209</v>
      </c>
      <c r="D5226" s="82" t="s">
        <v>12210</v>
      </c>
      <c r="E5226" s="82">
        <v>6282217300224</v>
      </c>
      <c r="F5226" s="92">
        <v>45910</v>
      </c>
      <c r="G5226" s="87">
        <v>195</v>
      </c>
      <c r="H5226" s="88">
        <v>64264.573991031386</v>
      </c>
      <c r="I5226" s="89">
        <v>4</v>
      </c>
      <c r="J5226" s="90">
        <v>14331</v>
      </c>
      <c r="K5226" s="85">
        <v>0</v>
      </c>
      <c r="L5226" s="85">
        <v>0</v>
      </c>
      <c r="M5226" s="85">
        <v>0</v>
      </c>
      <c r="N5226" s="82" t="s">
        <v>12317</v>
      </c>
      <c r="O5226" s="93">
        <v>45911.484513888892</v>
      </c>
    </row>
    <row r="5227" spans="1:15" ht="22.5" customHeight="1">
      <c r="A5227" s="85">
        <v>174904221976312</v>
      </c>
      <c r="B5227" s="82" t="s">
        <v>10651</v>
      </c>
      <c r="C5227" s="82" t="s">
        <v>12176</v>
      </c>
      <c r="D5227" s="82" t="s">
        <v>12340</v>
      </c>
      <c r="E5227" s="82">
        <v>6285748377961</v>
      </c>
      <c r="F5227" s="92">
        <v>45910</v>
      </c>
      <c r="G5227" s="87">
        <v>585</v>
      </c>
      <c r="H5227" s="88">
        <v>22001.479289940828</v>
      </c>
      <c r="I5227" s="89">
        <v>15</v>
      </c>
      <c r="J5227" s="90">
        <v>14873</v>
      </c>
      <c r="K5227" s="85">
        <v>3</v>
      </c>
      <c r="L5227" s="85">
        <v>0</v>
      </c>
      <c r="M5227" s="85">
        <v>0</v>
      </c>
      <c r="N5227" s="82" t="s">
        <v>12341</v>
      </c>
      <c r="O5227" s="93">
        <v>45911.217268518521</v>
      </c>
    </row>
    <row r="5228" spans="1:15" ht="22.5" customHeight="1">
      <c r="A5228" s="85">
        <v>174904221976312</v>
      </c>
      <c r="B5228" s="82" t="s">
        <v>10651</v>
      </c>
      <c r="C5228" s="82" t="s">
        <v>12164</v>
      </c>
      <c r="D5228" s="82" t="s">
        <v>12165</v>
      </c>
      <c r="E5228" s="82">
        <v>6285787104091</v>
      </c>
      <c r="F5228" s="92">
        <v>45910</v>
      </c>
      <c r="G5228" s="87">
        <v>662</v>
      </c>
      <c r="H5228" s="88">
        <v>17132.484076433124</v>
      </c>
      <c r="I5228" s="89">
        <v>27</v>
      </c>
      <c r="J5228" s="90">
        <v>13449</v>
      </c>
      <c r="K5228" s="85">
        <v>2</v>
      </c>
      <c r="L5228" s="85">
        <v>0</v>
      </c>
      <c r="M5228" s="85">
        <v>0</v>
      </c>
      <c r="N5228" s="82" t="s">
        <v>12318</v>
      </c>
      <c r="O5228" s="93">
        <v>45911.381273148145</v>
      </c>
    </row>
    <row r="5229" spans="1:15" ht="22.5" customHeight="1">
      <c r="A5229" s="85">
        <v>174904221976312</v>
      </c>
      <c r="B5229" s="82" t="s">
        <v>10651</v>
      </c>
      <c r="C5229" s="82" t="s">
        <v>12171</v>
      </c>
      <c r="D5229" s="82" t="s">
        <v>4386</v>
      </c>
      <c r="E5229" s="82">
        <v>62818533354</v>
      </c>
      <c r="F5229" s="92">
        <v>45910</v>
      </c>
      <c r="G5229" s="87">
        <v>218</v>
      </c>
      <c r="H5229" s="88">
        <v>46996.108949416339</v>
      </c>
      <c r="I5229" s="89">
        <v>9</v>
      </c>
      <c r="J5229" s="90">
        <v>12078</v>
      </c>
      <c r="K5229" s="85">
        <v>2</v>
      </c>
      <c r="L5229" s="85">
        <v>0</v>
      </c>
      <c r="M5229" s="85">
        <v>0</v>
      </c>
      <c r="N5229" s="82" t="s">
        <v>12319</v>
      </c>
      <c r="O5229" s="93">
        <v>45911.484942129631</v>
      </c>
    </row>
    <row r="5230" spans="1:15" ht="22.5" customHeight="1">
      <c r="A5230" s="85">
        <v>174904221976312</v>
      </c>
      <c r="B5230" s="82" t="s">
        <v>10651</v>
      </c>
      <c r="C5230" s="82" t="s">
        <v>12130</v>
      </c>
      <c r="D5230" s="82" t="s">
        <v>12131</v>
      </c>
      <c r="E5230" s="82">
        <v>6281239004410</v>
      </c>
      <c r="F5230" s="92">
        <v>45910</v>
      </c>
      <c r="G5230" s="87">
        <v>277</v>
      </c>
      <c r="H5230" s="88">
        <v>39779.552715654951</v>
      </c>
      <c r="I5230" s="89">
        <v>7</v>
      </c>
      <c r="J5230" s="90">
        <v>12451</v>
      </c>
      <c r="K5230" s="85">
        <v>1</v>
      </c>
      <c r="L5230" s="85">
        <v>0</v>
      </c>
      <c r="M5230" s="85">
        <v>0</v>
      </c>
      <c r="N5230" s="82" t="s">
        <v>12288</v>
      </c>
      <c r="O5230" s="93">
        <v>45911.547199074077</v>
      </c>
    </row>
    <row r="5231" spans="1:15" ht="22.5" customHeight="1">
      <c r="A5231" s="85">
        <v>174904221976312</v>
      </c>
      <c r="B5231" s="82" t="s">
        <v>10651</v>
      </c>
      <c r="C5231" s="82" t="s">
        <v>12102</v>
      </c>
      <c r="D5231" s="82" t="s">
        <v>12103</v>
      </c>
      <c r="E5231" s="82">
        <v>628122577723</v>
      </c>
      <c r="F5231" s="92">
        <v>45910</v>
      </c>
      <c r="G5231" s="87">
        <v>435</v>
      </c>
      <c r="H5231" s="88">
        <v>25385.068762278981</v>
      </c>
      <c r="I5231" s="89">
        <v>12</v>
      </c>
      <c r="J5231" s="90">
        <v>12921</v>
      </c>
      <c r="K5231" s="85">
        <v>1</v>
      </c>
      <c r="L5231" s="85">
        <v>0</v>
      </c>
      <c r="M5231" s="85">
        <v>0</v>
      </c>
      <c r="N5231" s="82" t="s">
        <v>12244</v>
      </c>
      <c r="O5231" s="93">
        <v>45911.484513888892</v>
      </c>
    </row>
    <row r="5232" spans="1:15" ht="22.5" customHeight="1">
      <c r="A5232" s="85">
        <v>174904221976312</v>
      </c>
      <c r="B5232" s="82" t="s">
        <v>10651</v>
      </c>
      <c r="C5232" s="82" t="s">
        <v>12054</v>
      </c>
      <c r="D5232" s="82" t="s">
        <v>4485</v>
      </c>
      <c r="E5232" s="82">
        <v>6285169730762</v>
      </c>
      <c r="F5232" s="92">
        <v>45910</v>
      </c>
      <c r="G5232" s="87">
        <v>1483</v>
      </c>
      <c r="H5232" s="88">
        <v>7895.8214081282194</v>
      </c>
      <c r="I5232" s="89">
        <v>103</v>
      </c>
      <c r="J5232" s="90">
        <v>13794</v>
      </c>
      <c r="K5232" s="85">
        <v>17</v>
      </c>
      <c r="L5232" s="85">
        <v>0</v>
      </c>
      <c r="M5232" s="85">
        <v>5</v>
      </c>
      <c r="N5232" s="82" t="s">
        <v>12320</v>
      </c>
      <c r="O5232" s="93">
        <v>45911.5471875</v>
      </c>
    </row>
    <row r="5233" spans="1:15" ht="22.5" customHeight="1">
      <c r="A5233" s="85">
        <v>174904221976312</v>
      </c>
      <c r="B5233" s="82" t="s">
        <v>10651</v>
      </c>
      <c r="C5233" s="82" t="s">
        <v>12058</v>
      </c>
      <c r="D5233" s="82" t="s">
        <v>4516</v>
      </c>
      <c r="E5233" s="82">
        <v>6281315163838</v>
      </c>
      <c r="F5233" s="92">
        <v>45910</v>
      </c>
      <c r="G5233" s="87">
        <v>430</v>
      </c>
      <c r="H5233" s="88">
        <v>24791.015625</v>
      </c>
      <c r="I5233" s="89">
        <v>4</v>
      </c>
      <c r="J5233" s="90">
        <v>12693</v>
      </c>
      <c r="K5233" s="85">
        <v>2</v>
      </c>
      <c r="L5233" s="85">
        <v>0</v>
      </c>
      <c r="M5233" s="85">
        <v>0</v>
      </c>
      <c r="N5233" s="82" t="s">
        <v>12321</v>
      </c>
      <c r="O5233" s="93">
        <v>45911.464502314811</v>
      </c>
    </row>
    <row r="5234" spans="1:15" ht="22.5" customHeight="1">
      <c r="A5234" s="85">
        <v>174904221976312</v>
      </c>
      <c r="B5234" s="82" t="s">
        <v>10651</v>
      </c>
      <c r="C5234" s="82" t="s">
        <v>12007</v>
      </c>
      <c r="D5234" s="82" t="s">
        <v>9010</v>
      </c>
      <c r="E5234" s="82">
        <v>6282160743576</v>
      </c>
      <c r="F5234" s="92">
        <v>45910</v>
      </c>
      <c r="G5234" s="87">
        <v>786</v>
      </c>
      <c r="H5234" s="88">
        <v>14828.633405639912</v>
      </c>
      <c r="I5234" s="89">
        <v>37</v>
      </c>
      <c r="J5234" s="90">
        <v>13672</v>
      </c>
      <c r="K5234" s="85">
        <v>5</v>
      </c>
      <c r="L5234" s="85">
        <v>374</v>
      </c>
      <c r="M5234" s="85">
        <v>1</v>
      </c>
      <c r="N5234" s="82" t="s">
        <v>12008</v>
      </c>
      <c r="O5234" s="93">
        <v>45911.630972222221</v>
      </c>
    </row>
    <row r="5235" spans="1:15" ht="22.5" customHeight="1">
      <c r="A5235" s="85">
        <v>174904221976312</v>
      </c>
      <c r="B5235" s="82" t="s">
        <v>10651</v>
      </c>
      <c r="C5235" s="82" t="s">
        <v>11806</v>
      </c>
      <c r="D5235" s="82" t="s">
        <v>11807</v>
      </c>
      <c r="E5235" s="82">
        <v>6285338373761</v>
      </c>
      <c r="F5235" s="92">
        <v>45910</v>
      </c>
      <c r="G5235" s="87">
        <v>1251</v>
      </c>
      <c r="H5235" s="88">
        <v>9822.7401129943501</v>
      </c>
      <c r="I5235" s="89">
        <v>93</v>
      </c>
      <c r="J5235" s="90">
        <v>13909</v>
      </c>
      <c r="K5235" s="85">
        <v>9</v>
      </c>
      <c r="L5235" s="85">
        <v>434</v>
      </c>
      <c r="M5235" s="85">
        <v>5</v>
      </c>
      <c r="N5235" s="82" t="s">
        <v>12275</v>
      </c>
      <c r="O5235" s="93">
        <v>45911.526574074072</v>
      </c>
    </row>
    <row r="5236" spans="1:15" ht="22.5" customHeight="1">
      <c r="A5236" s="85">
        <v>174904221976312</v>
      </c>
      <c r="B5236" s="82" t="s">
        <v>10651</v>
      </c>
      <c r="C5236" s="82" t="s">
        <v>11769</v>
      </c>
      <c r="D5236" s="82" t="s">
        <v>3610</v>
      </c>
      <c r="E5236" s="82">
        <v>6285821233475</v>
      </c>
      <c r="F5236" s="92">
        <v>45910</v>
      </c>
      <c r="G5236" s="87">
        <v>1227</v>
      </c>
      <c r="H5236" s="88">
        <v>10626.855123674912</v>
      </c>
      <c r="I5236" s="89">
        <v>80</v>
      </c>
      <c r="J5236" s="90">
        <v>15037</v>
      </c>
      <c r="K5236" s="85">
        <v>11</v>
      </c>
      <c r="L5236" s="85">
        <v>468</v>
      </c>
      <c r="M5236" s="85">
        <v>0</v>
      </c>
      <c r="N5236" s="82" t="s">
        <v>11770</v>
      </c>
      <c r="O5236" s="93">
        <v>45911.526562500003</v>
      </c>
    </row>
    <row r="5237" spans="1:15" ht="22.5" customHeight="1">
      <c r="A5237" s="85">
        <v>174904221976312</v>
      </c>
      <c r="B5237" s="82" t="s">
        <v>10651</v>
      </c>
      <c r="C5237" s="82" t="s">
        <v>11613</v>
      </c>
      <c r="D5237" s="82" t="s">
        <v>11614</v>
      </c>
      <c r="E5237" s="82">
        <v>6282186829904</v>
      </c>
      <c r="F5237" s="92">
        <v>45910</v>
      </c>
      <c r="G5237" s="87">
        <v>133</v>
      </c>
      <c r="H5237" s="88">
        <v>107937.06293706293</v>
      </c>
      <c r="I5237" s="89">
        <v>1</v>
      </c>
      <c r="J5237" s="90">
        <v>15435</v>
      </c>
      <c r="K5237" s="85">
        <v>0</v>
      </c>
      <c r="L5237" s="85">
        <v>0</v>
      </c>
      <c r="M5237" s="85">
        <v>0</v>
      </c>
      <c r="N5237" s="82" t="s">
        <v>12342</v>
      </c>
      <c r="O5237" s="93">
        <v>45911.381064814814</v>
      </c>
    </row>
    <row r="5238" spans="1:15" ht="22.5" customHeight="1">
      <c r="A5238" s="85">
        <v>174904221976312</v>
      </c>
      <c r="B5238" s="82" t="s">
        <v>10651</v>
      </c>
      <c r="C5238" s="82" t="s">
        <v>11580</v>
      </c>
      <c r="D5238" s="82" t="s">
        <v>11581</v>
      </c>
      <c r="E5238" s="82">
        <v>6287790276733</v>
      </c>
      <c r="F5238" s="92">
        <v>45910</v>
      </c>
      <c r="G5238" s="87">
        <v>619</v>
      </c>
      <c r="H5238" s="88">
        <v>23033.195020746887</v>
      </c>
      <c r="I5238" s="89">
        <v>6</v>
      </c>
      <c r="J5238" s="90">
        <v>16653</v>
      </c>
      <c r="K5238" s="85">
        <v>0</v>
      </c>
      <c r="L5238" s="85">
        <v>67</v>
      </c>
      <c r="M5238" s="85">
        <v>0</v>
      </c>
      <c r="N5238" s="82" t="s">
        <v>12343</v>
      </c>
      <c r="O5238" s="93">
        <v>45911.658576388887</v>
      </c>
    </row>
    <row r="5239" spans="1:15" ht="22.5" customHeight="1">
      <c r="A5239" s="85">
        <v>759724529202804</v>
      </c>
      <c r="B5239" s="82" t="s">
        <v>10621</v>
      </c>
      <c r="C5239" s="82" t="s">
        <v>10925</v>
      </c>
      <c r="D5239" s="82" t="s">
        <v>10926</v>
      </c>
      <c r="E5239" s="82">
        <v>6281233038880</v>
      </c>
      <c r="F5239" s="92">
        <v>45911</v>
      </c>
      <c r="G5239" s="87">
        <v>248</v>
      </c>
      <c r="H5239" s="88">
        <v>62996.3768115942</v>
      </c>
      <c r="I5239" s="89">
        <v>9</v>
      </c>
      <c r="J5239" s="90">
        <v>17387</v>
      </c>
      <c r="K5239" s="85">
        <v>1</v>
      </c>
      <c r="L5239" s="85">
        <v>0</v>
      </c>
      <c r="M5239" s="85">
        <v>0</v>
      </c>
      <c r="N5239" s="82" t="s">
        <v>10927</v>
      </c>
      <c r="O5239" s="93">
        <v>45912.214398148149</v>
      </c>
    </row>
    <row r="5240" spans="1:15" ht="22.5" customHeight="1">
      <c r="A5240" s="85">
        <v>174904221976312</v>
      </c>
      <c r="B5240" s="82" t="s">
        <v>10651</v>
      </c>
      <c r="C5240" s="82" t="s">
        <v>12360</v>
      </c>
      <c r="D5240" s="82" t="s">
        <v>12361</v>
      </c>
      <c r="E5240" s="82">
        <v>6285213857442</v>
      </c>
      <c r="F5240" s="92">
        <v>45911</v>
      </c>
      <c r="G5240" s="87">
        <v>444</v>
      </c>
      <c r="H5240" s="88">
        <v>21602.209944751379</v>
      </c>
      <c r="I5240" s="89">
        <v>21</v>
      </c>
      <c r="J5240" s="90">
        <v>11730</v>
      </c>
      <c r="K5240" s="85">
        <v>2</v>
      </c>
      <c r="L5240" s="85">
        <v>17</v>
      </c>
      <c r="M5240" s="85">
        <v>2</v>
      </c>
      <c r="N5240" s="82" t="s">
        <v>12362</v>
      </c>
      <c r="O5240" s="93">
        <v>45912.584351851852</v>
      </c>
    </row>
    <row r="5241" spans="1:15" ht="22.5" customHeight="1">
      <c r="A5241" s="85">
        <v>174904221976312</v>
      </c>
      <c r="B5241" s="82" t="s">
        <v>10651</v>
      </c>
      <c r="C5241" s="82" t="s">
        <v>12363</v>
      </c>
      <c r="D5241" s="82" t="s">
        <v>5371</v>
      </c>
      <c r="E5241" s="82">
        <v>6282135496939</v>
      </c>
      <c r="F5241" s="92">
        <v>45911</v>
      </c>
      <c r="G5241" s="87">
        <v>254</v>
      </c>
      <c r="H5241" s="88">
        <v>47459.363957597176</v>
      </c>
      <c r="I5241" s="89">
        <v>8</v>
      </c>
      <c r="J5241" s="90">
        <v>13431</v>
      </c>
      <c r="K5241" s="85">
        <v>2</v>
      </c>
      <c r="L5241" s="85">
        <v>29</v>
      </c>
      <c r="M5241" s="85">
        <v>0</v>
      </c>
      <c r="N5241" s="82" t="s">
        <v>12364</v>
      </c>
      <c r="O5241" s="93">
        <v>45912.672592592593</v>
      </c>
    </row>
    <row r="5242" spans="1:15" ht="22.5" customHeight="1">
      <c r="A5242" s="85">
        <v>174904221976312</v>
      </c>
      <c r="B5242" s="82" t="s">
        <v>10651</v>
      </c>
      <c r="C5242" s="82" t="s">
        <v>12344</v>
      </c>
      <c r="D5242" s="82" t="s">
        <v>5213</v>
      </c>
      <c r="E5242" s="82">
        <v>6281341637566</v>
      </c>
      <c r="F5242" s="92">
        <v>45911</v>
      </c>
      <c r="G5242" s="87">
        <v>486</v>
      </c>
      <c r="H5242" s="88">
        <v>22540.362438220756</v>
      </c>
      <c r="I5242" s="89">
        <v>28</v>
      </c>
      <c r="J5242" s="90">
        <v>13682</v>
      </c>
      <c r="K5242" s="85">
        <v>4</v>
      </c>
      <c r="L5242" s="85">
        <v>112</v>
      </c>
      <c r="M5242" s="85">
        <v>2</v>
      </c>
      <c r="N5242" s="82" t="s">
        <v>12345</v>
      </c>
      <c r="O5242" s="93">
        <v>45912.713738425926</v>
      </c>
    </row>
    <row r="5243" spans="1:15" ht="22.5" customHeight="1">
      <c r="A5243" s="85">
        <v>174904221976312</v>
      </c>
      <c r="B5243" s="82" t="s">
        <v>10651</v>
      </c>
      <c r="C5243" s="82" t="s">
        <v>12346</v>
      </c>
      <c r="D5243" s="82" t="s">
        <v>5399</v>
      </c>
      <c r="E5243" s="82">
        <v>6282220945171</v>
      </c>
      <c r="F5243" s="92">
        <v>45911</v>
      </c>
      <c r="G5243" s="87">
        <v>469</v>
      </c>
      <c r="H5243" s="88">
        <v>24971.014492753624</v>
      </c>
      <c r="I5243" s="89">
        <v>33</v>
      </c>
      <c r="J5243" s="90">
        <v>13784</v>
      </c>
      <c r="K5243" s="85">
        <v>7</v>
      </c>
      <c r="L5243" s="85">
        <v>56</v>
      </c>
      <c r="M5243" s="85">
        <v>0</v>
      </c>
      <c r="N5243" s="82" t="s">
        <v>12347</v>
      </c>
      <c r="O5243" s="93">
        <v>45912.609618055554</v>
      </c>
    </row>
    <row r="5244" spans="1:15" ht="22.5" customHeight="1">
      <c r="A5244" s="85">
        <v>174904221976312</v>
      </c>
      <c r="B5244" s="82" t="s">
        <v>10651</v>
      </c>
      <c r="C5244" s="82" t="s">
        <v>12348</v>
      </c>
      <c r="D5244" s="82" t="s">
        <v>12349</v>
      </c>
      <c r="E5244" s="82">
        <v>6281348215665</v>
      </c>
      <c r="F5244" s="92">
        <v>45911</v>
      </c>
      <c r="G5244" s="87">
        <v>428</v>
      </c>
      <c r="H5244" s="88">
        <v>29786.885245901642</v>
      </c>
      <c r="I5244" s="89">
        <v>9</v>
      </c>
      <c r="J5244" s="90">
        <v>14536</v>
      </c>
      <c r="K5244" s="85">
        <v>2</v>
      </c>
      <c r="L5244" s="85">
        <v>21</v>
      </c>
      <c r="M5244" s="85">
        <v>0</v>
      </c>
      <c r="N5244" s="82" t="s">
        <v>12350</v>
      </c>
      <c r="O5244" s="93">
        <v>45912.61</v>
      </c>
    </row>
    <row r="5245" spans="1:15" ht="22.5" customHeight="1">
      <c r="A5245" s="85">
        <v>174904221976312</v>
      </c>
      <c r="B5245" s="82" t="s">
        <v>10651</v>
      </c>
      <c r="C5245" s="82" t="s">
        <v>12351</v>
      </c>
      <c r="D5245" s="82" t="s">
        <v>5339</v>
      </c>
      <c r="E5245" s="82">
        <v>6282220371971</v>
      </c>
      <c r="F5245" s="92">
        <v>45911</v>
      </c>
      <c r="G5245" s="87">
        <v>479</v>
      </c>
      <c r="H5245" s="88">
        <v>21346.469622331693</v>
      </c>
      <c r="I5245" s="89">
        <v>31</v>
      </c>
      <c r="J5245" s="90">
        <v>13000</v>
      </c>
      <c r="K5245" s="85">
        <v>12</v>
      </c>
      <c r="L5245" s="85">
        <v>0</v>
      </c>
      <c r="M5245" s="85">
        <v>1</v>
      </c>
      <c r="N5245" s="82" t="s">
        <v>12352</v>
      </c>
      <c r="O5245" s="93">
        <v>45912.67260416667</v>
      </c>
    </row>
    <row r="5246" spans="1:15" ht="22.5" customHeight="1">
      <c r="A5246" s="85">
        <v>174904221976312</v>
      </c>
      <c r="B5246" s="82" t="s">
        <v>10651</v>
      </c>
      <c r="C5246" s="82" t="s">
        <v>12353</v>
      </c>
      <c r="D5246" s="82" t="s">
        <v>12354</v>
      </c>
      <c r="E5246" s="82">
        <v>6281355662725</v>
      </c>
      <c r="F5246" s="92">
        <v>45911</v>
      </c>
      <c r="G5246" s="87">
        <v>678</v>
      </c>
      <c r="H5246" s="88">
        <v>18201.117318435754</v>
      </c>
      <c r="I5246" s="89">
        <v>8</v>
      </c>
      <c r="J5246" s="90">
        <v>13032</v>
      </c>
      <c r="K5246" s="85">
        <v>0</v>
      </c>
      <c r="L5246" s="85">
        <v>6</v>
      </c>
      <c r="M5246" s="85">
        <v>0</v>
      </c>
      <c r="N5246" s="82" t="s">
        <v>12355</v>
      </c>
      <c r="O5246" s="93">
        <v>45912.589155092595</v>
      </c>
    </row>
    <row r="5247" spans="1:15" ht="22.5" customHeight="1">
      <c r="A5247" s="85">
        <v>174904221976312</v>
      </c>
      <c r="B5247" s="82" t="s">
        <v>10651</v>
      </c>
      <c r="C5247" s="82" t="s">
        <v>12356</v>
      </c>
      <c r="D5247" s="82" t="s">
        <v>2202</v>
      </c>
      <c r="E5247" s="82">
        <v>62895374644456</v>
      </c>
      <c r="F5247" s="92">
        <v>45911</v>
      </c>
      <c r="G5247" s="87">
        <v>939</v>
      </c>
      <c r="H5247" s="88">
        <v>12738.309352517985</v>
      </c>
      <c r="I5247" s="89">
        <v>36</v>
      </c>
      <c r="J5247" s="90">
        <v>14165</v>
      </c>
      <c r="K5247" s="85">
        <v>5</v>
      </c>
      <c r="L5247" s="85">
        <v>88</v>
      </c>
      <c r="M5247" s="85">
        <v>0</v>
      </c>
      <c r="N5247" s="82" t="s">
        <v>12357</v>
      </c>
      <c r="O5247" s="93">
        <v>45912.401134259257</v>
      </c>
    </row>
    <row r="5248" spans="1:15" ht="22.5" customHeight="1">
      <c r="A5248" s="85">
        <v>174904221976312</v>
      </c>
      <c r="B5248" s="82" t="s">
        <v>10651</v>
      </c>
      <c r="C5248" s="82" t="s">
        <v>12322</v>
      </c>
      <c r="D5248" s="82" t="s">
        <v>12323</v>
      </c>
      <c r="E5248" s="82">
        <v>6282280771367</v>
      </c>
      <c r="F5248" s="92">
        <v>45911</v>
      </c>
      <c r="G5248" s="87">
        <v>731</v>
      </c>
      <c r="H5248" s="88">
        <v>14861.814345991561</v>
      </c>
      <c r="I5248" s="89">
        <v>13</v>
      </c>
      <c r="J5248" s="90">
        <v>14089</v>
      </c>
      <c r="K5248" s="85">
        <v>4</v>
      </c>
      <c r="L5248" s="85">
        <v>0</v>
      </c>
      <c r="M5248" s="85">
        <v>1</v>
      </c>
      <c r="N5248" s="82" t="s">
        <v>12324</v>
      </c>
      <c r="O5248" s="93">
        <v>45912.630555555559</v>
      </c>
    </row>
    <row r="5249" spans="1:15" ht="22.5" customHeight="1">
      <c r="A5249" s="85">
        <v>174904221976312</v>
      </c>
      <c r="B5249" s="82" t="s">
        <v>10651</v>
      </c>
      <c r="C5249" s="82" t="s">
        <v>12325</v>
      </c>
      <c r="D5249" s="82" t="s">
        <v>5315</v>
      </c>
      <c r="E5249" s="82">
        <v>6281460494182</v>
      </c>
      <c r="F5249" s="92">
        <v>45911</v>
      </c>
      <c r="G5249" s="87">
        <v>607</v>
      </c>
      <c r="H5249" s="88">
        <v>16164.238410596028</v>
      </c>
      <c r="I5249" s="89">
        <v>25</v>
      </c>
      <c r="J5249" s="90">
        <v>12204</v>
      </c>
      <c r="K5249" s="85">
        <v>1</v>
      </c>
      <c r="L5249" s="85">
        <v>0</v>
      </c>
      <c r="M5249" s="85">
        <v>0</v>
      </c>
      <c r="N5249" s="82" t="s">
        <v>12365</v>
      </c>
      <c r="O5249" s="93">
        <v>45912.594525462962</v>
      </c>
    </row>
    <row r="5250" spans="1:15" ht="22.5" customHeight="1">
      <c r="A5250" s="85">
        <v>174904221976312</v>
      </c>
      <c r="B5250" s="82" t="s">
        <v>10651</v>
      </c>
      <c r="C5250" s="82" t="s">
        <v>12327</v>
      </c>
      <c r="D5250" s="82" t="s">
        <v>12328</v>
      </c>
      <c r="E5250" s="82">
        <v>6281249008778</v>
      </c>
      <c r="F5250" s="92">
        <v>45911</v>
      </c>
      <c r="G5250" s="87">
        <v>279</v>
      </c>
      <c r="H5250" s="88">
        <v>42345.911949685535</v>
      </c>
      <c r="I5250" s="89">
        <v>6</v>
      </c>
      <c r="J5250" s="90">
        <v>13466</v>
      </c>
      <c r="K5250" s="85">
        <v>0</v>
      </c>
      <c r="L5250" s="85">
        <v>122</v>
      </c>
      <c r="M5250" s="85">
        <v>0</v>
      </c>
      <c r="N5250" s="82" t="s">
        <v>12358</v>
      </c>
      <c r="O5250" s="93">
        <v>45912.422777777778</v>
      </c>
    </row>
    <row r="5251" spans="1:15" ht="22.5" customHeight="1">
      <c r="A5251" s="85">
        <v>174904221976312</v>
      </c>
      <c r="B5251" s="82" t="s">
        <v>10651</v>
      </c>
      <c r="C5251" s="82" t="s">
        <v>12330</v>
      </c>
      <c r="D5251" s="82" t="s">
        <v>5283</v>
      </c>
      <c r="E5251" s="82">
        <v>6283149477297</v>
      </c>
      <c r="F5251" s="92">
        <v>45911</v>
      </c>
      <c r="G5251" s="87">
        <v>829</v>
      </c>
      <c r="H5251" s="88">
        <v>14638.388123011666</v>
      </c>
      <c r="I5251" s="89">
        <v>56</v>
      </c>
      <c r="J5251" s="90">
        <v>13804</v>
      </c>
      <c r="K5251" s="85">
        <v>6</v>
      </c>
      <c r="L5251" s="85">
        <v>0</v>
      </c>
      <c r="M5251" s="85">
        <v>4</v>
      </c>
      <c r="N5251" s="82" t="s">
        <v>12331</v>
      </c>
      <c r="O5251" s="93">
        <v>45912.651701388888</v>
      </c>
    </row>
    <row r="5252" spans="1:15" ht="22.5" customHeight="1">
      <c r="A5252" s="85">
        <v>174904221976312</v>
      </c>
      <c r="B5252" s="82" t="s">
        <v>10651</v>
      </c>
      <c r="C5252" s="82" t="s">
        <v>12332</v>
      </c>
      <c r="D5252" s="82" t="s">
        <v>12333</v>
      </c>
      <c r="E5252" s="82">
        <v>6282391199993</v>
      </c>
      <c r="F5252" s="92">
        <v>45911</v>
      </c>
      <c r="G5252" s="87">
        <v>1155</v>
      </c>
      <c r="H5252" s="88">
        <v>10214.45042275173</v>
      </c>
      <c r="I5252" s="89">
        <v>23</v>
      </c>
      <c r="J5252" s="90">
        <v>13289</v>
      </c>
      <c r="K5252" s="85">
        <v>4</v>
      </c>
      <c r="L5252" s="85">
        <v>3</v>
      </c>
      <c r="M5252" s="85">
        <v>0</v>
      </c>
      <c r="N5252" s="82" t="s">
        <v>12334</v>
      </c>
      <c r="O5252" s="93">
        <v>45912.505578703705</v>
      </c>
    </row>
    <row r="5253" spans="1:15" ht="22.5" customHeight="1">
      <c r="A5253" s="85">
        <v>174904221976312</v>
      </c>
      <c r="B5253" s="82" t="s">
        <v>10651</v>
      </c>
      <c r="C5253" s="82" t="s">
        <v>12335</v>
      </c>
      <c r="D5253" s="82" t="s">
        <v>5046</v>
      </c>
      <c r="E5253" s="82">
        <v>6282266469686</v>
      </c>
      <c r="F5253" s="92">
        <v>45911</v>
      </c>
      <c r="G5253" s="87">
        <v>396</v>
      </c>
      <c r="H5253" s="88">
        <v>29445.16129032258</v>
      </c>
      <c r="I5253" s="89">
        <v>13</v>
      </c>
      <c r="J5253" s="90">
        <v>13692</v>
      </c>
      <c r="K5253" s="85">
        <v>1</v>
      </c>
      <c r="L5253" s="85">
        <v>170</v>
      </c>
      <c r="M5253" s="85">
        <v>0</v>
      </c>
      <c r="N5253" s="82" t="s">
        <v>12336</v>
      </c>
      <c r="O5253" s="93">
        <v>45912.567939814813</v>
      </c>
    </row>
    <row r="5254" spans="1:15" ht="22.5" customHeight="1">
      <c r="A5254" s="85">
        <v>174904221976312</v>
      </c>
      <c r="B5254" s="82" t="s">
        <v>10651</v>
      </c>
      <c r="C5254" s="82" t="s">
        <v>12307</v>
      </c>
      <c r="D5254" s="82" t="s">
        <v>12308</v>
      </c>
      <c r="E5254" s="82">
        <v>62881022356673</v>
      </c>
      <c r="F5254" s="92">
        <v>45911</v>
      </c>
      <c r="G5254" s="87">
        <v>512</v>
      </c>
      <c r="H5254" s="88">
        <v>25104.056437389772</v>
      </c>
      <c r="I5254" s="89">
        <v>40</v>
      </c>
      <c r="J5254" s="90">
        <v>14234</v>
      </c>
      <c r="K5254" s="85">
        <v>5</v>
      </c>
      <c r="L5254" s="85">
        <v>0</v>
      </c>
      <c r="M5254" s="85">
        <v>0</v>
      </c>
      <c r="N5254" s="82" t="s">
        <v>12309</v>
      </c>
      <c r="O5254" s="93">
        <v>45912.463969907411</v>
      </c>
    </row>
    <row r="5255" spans="1:15" ht="22.5" customHeight="1">
      <c r="A5255" s="85">
        <v>174904221976312</v>
      </c>
      <c r="B5255" s="82" t="s">
        <v>10651</v>
      </c>
      <c r="C5255" s="82" t="s">
        <v>12310</v>
      </c>
      <c r="D5255" s="82" t="s">
        <v>3633</v>
      </c>
      <c r="E5255" s="82">
        <v>6285710003464</v>
      </c>
      <c r="F5255" s="92">
        <v>45911</v>
      </c>
      <c r="G5255" s="87">
        <v>10621</v>
      </c>
      <c r="H5255" s="88">
        <v>1121.8112244897959</v>
      </c>
      <c r="I5255" s="89">
        <v>10</v>
      </c>
      <c r="J5255" s="90">
        <v>12313</v>
      </c>
      <c r="K5255" s="85">
        <v>0</v>
      </c>
      <c r="L5255" s="85">
        <v>928</v>
      </c>
      <c r="M5255" s="85">
        <v>0</v>
      </c>
      <c r="N5255" s="82" t="s">
        <v>12311</v>
      </c>
      <c r="O5255" s="93">
        <v>45912.609444444446</v>
      </c>
    </row>
    <row r="5256" spans="1:15" ht="22.5" customHeight="1">
      <c r="A5256" s="85">
        <v>174904221976312</v>
      </c>
      <c r="B5256" s="82" t="s">
        <v>10651</v>
      </c>
      <c r="C5256" s="82" t="s">
        <v>12291</v>
      </c>
      <c r="D5256" s="82" t="s">
        <v>5257</v>
      </c>
      <c r="E5256" s="82">
        <v>6287722264777</v>
      </c>
      <c r="F5256" s="92">
        <v>45911</v>
      </c>
      <c r="G5256" s="87">
        <v>807</v>
      </c>
      <c r="H5256" s="88">
        <v>13786.868686868687</v>
      </c>
      <c r="I5256" s="89">
        <v>15</v>
      </c>
      <c r="J5256" s="90">
        <v>13649</v>
      </c>
      <c r="K5256" s="85">
        <v>0</v>
      </c>
      <c r="L5256" s="85">
        <v>164</v>
      </c>
      <c r="M5256" s="85">
        <v>0</v>
      </c>
      <c r="N5256" s="82" t="s">
        <v>12292</v>
      </c>
      <c r="O5256" s="93">
        <v>45912.221076388887</v>
      </c>
    </row>
    <row r="5257" spans="1:15" ht="22.5" customHeight="1">
      <c r="A5257" s="85">
        <v>174904221976312</v>
      </c>
      <c r="B5257" s="82" t="s">
        <v>10651</v>
      </c>
      <c r="C5257" s="82" t="s">
        <v>12293</v>
      </c>
      <c r="D5257" s="82" t="s">
        <v>12294</v>
      </c>
      <c r="E5257" s="82">
        <v>6285280808856</v>
      </c>
      <c r="F5257" s="92">
        <v>45911</v>
      </c>
      <c r="G5257" s="87">
        <v>1112</v>
      </c>
      <c r="H5257" s="88">
        <v>12518.843120070114</v>
      </c>
      <c r="I5257" s="89">
        <v>20</v>
      </c>
      <c r="J5257" s="90">
        <v>14284</v>
      </c>
      <c r="K5257" s="85">
        <v>0</v>
      </c>
      <c r="L5257" s="85">
        <v>34</v>
      </c>
      <c r="M5257" s="85">
        <v>0</v>
      </c>
      <c r="N5257" s="82" t="s">
        <v>12295</v>
      </c>
      <c r="O5257" s="93">
        <v>45912.221053240741</v>
      </c>
    </row>
    <row r="5258" spans="1:15" ht="22.5" customHeight="1">
      <c r="A5258" s="85">
        <v>174904221976312</v>
      </c>
      <c r="B5258" s="82" t="s">
        <v>10651</v>
      </c>
      <c r="C5258" s="82" t="s">
        <v>12296</v>
      </c>
      <c r="D5258" s="82" t="s">
        <v>12297</v>
      </c>
      <c r="E5258" s="82">
        <v>6285600287735</v>
      </c>
      <c r="F5258" s="92">
        <v>45911</v>
      </c>
      <c r="G5258" s="87">
        <v>305</v>
      </c>
      <c r="H5258" s="88">
        <v>35541.778975741239</v>
      </c>
      <c r="I5258" s="89">
        <v>18</v>
      </c>
      <c r="J5258" s="90">
        <v>13186</v>
      </c>
      <c r="K5258" s="85">
        <v>3</v>
      </c>
      <c r="L5258" s="85">
        <v>110</v>
      </c>
      <c r="M5258" s="85">
        <v>1</v>
      </c>
      <c r="N5258" s="82" t="s">
        <v>12298</v>
      </c>
      <c r="O5258" s="93">
        <v>45912.221053240741</v>
      </c>
    </row>
    <row r="5259" spans="1:15" ht="22.5" customHeight="1">
      <c r="A5259" s="85">
        <v>174904221976312</v>
      </c>
      <c r="B5259" s="82" t="s">
        <v>10651</v>
      </c>
      <c r="C5259" s="82" t="s">
        <v>12299</v>
      </c>
      <c r="D5259" s="82" t="s">
        <v>12300</v>
      </c>
      <c r="E5259" s="82">
        <v>6285654251369</v>
      </c>
      <c r="F5259" s="92">
        <v>45911</v>
      </c>
      <c r="G5259" s="87">
        <v>543</v>
      </c>
      <c r="H5259" s="88">
        <v>25125.850340136054</v>
      </c>
      <c r="I5259" s="89">
        <v>8</v>
      </c>
      <c r="J5259" s="90">
        <v>14774</v>
      </c>
      <c r="K5259" s="85">
        <v>0</v>
      </c>
      <c r="L5259" s="85">
        <v>0</v>
      </c>
      <c r="M5259" s="85">
        <v>0</v>
      </c>
      <c r="N5259" s="82" t="s">
        <v>12312</v>
      </c>
      <c r="O5259" s="93">
        <v>45912.221076388887</v>
      </c>
    </row>
    <row r="5260" spans="1:15" ht="22.5" customHeight="1">
      <c r="A5260" s="85">
        <v>174904221976312</v>
      </c>
      <c r="B5260" s="82" t="s">
        <v>10651</v>
      </c>
      <c r="C5260" s="82" t="s">
        <v>12302</v>
      </c>
      <c r="D5260" s="82" t="s">
        <v>7857</v>
      </c>
      <c r="E5260" s="82">
        <v>6283865096870</v>
      </c>
      <c r="F5260" s="92">
        <v>45911</v>
      </c>
      <c r="G5260" s="87">
        <v>1438</v>
      </c>
      <c r="H5260" s="88">
        <v>7847.839318320146</v>
      </c>
      <c r="I5260" s="89">
        <v>20</v>
      </c>
      <c r="J5260" s="90">
        <v>12894</v>
      </c>
      <c r="K5260" s="85">
        <v>2</v>
      </c>
      <c r="L5260" s="85">
        <v>0</v>
      </c>
      <c r="M5260" s="85">
        <v>0</v>
      </c>
      <c r="N5260" s="82" t="s">
        <v>12303</v>
      </c>
      <c r="O5260" s="93">
        <v>45912.221064814818</v>
      </c>
    </row>
    <row r="5261" spans="1:15" ht="22.5" customHeight="1">
      <c r="A5261" s="85">
        <v>174904221976312</v>
      </c>
      <c r="B5261" s="82" t="s">
        <v>10651</v>
      </c>
      <c r="C5261" s="82" t="s">
        <v>12304</v>
      </c>
      <c r="D5261" s="82" t="s">
        <v>5179</v>
      </c>
      <c r="E5261" s="82">
        <v>6282286608220</v>
      </c>
      <c r="F5261" s="92">
        <v>45911</v>
      </c>
      <c r="G5261" s="87">
        <v>263</v>
      </c>
      <c r="H5261" s="88">
        <v>47575.079872204478</v>
      </c>
      <c r="I5261" s="89">
        <v>13</v>
      </c>
      <c r="J5261" s="90">
        <v>14891</v>
      </c>
      <c r="K5261" s="85">
        <v>2</v>
      </c>
      <c r="L5261" s="85">
        <v>0</v>
      </c>
      <c r="M5261" s="85">
        <v>0</v>
      </c>
      <c r="N5261" s="82" t="s">
        <v>12313</v>
      </c>
      <c r="O5261" s="93">
        <v>45912.221053240741</v>
      </c>
    </row>
    <row r="5262" spans="1:15" ht="22.5" customHeight="1">
      <c r="A5262" s="85">
        <v>174904221976312</v>
      </c>
      <c r="B5262" s="82" t="s">
        <v>10651</v>
      </c>
      <c r="C5262" s="82" t="s">
        <v>12276</v>
      </c>
      <c r="D5262" s="82" t="s">
        <v>12277</v>
      </c>
      <c r="E5262" s="82">
        <v>6281558822937</v>
      </c>
      <c r="F5262" s="92">
        <v>45911</v>
      </c>
      <c r="G5262" s="87">
        <v>70</v>
      </c>
      <c r="H5262" s="88">
        <v>142941.8604651163</v>
      </c>
      <c r="I5262" s="89">
        <v>5</v>
      </c>
      <c r="J5262" s="90">
        <v>12293</v>
      </c>
      <c r="K5262" s="85">
        <v>1</v>
      </c>
      <c r="L5262" s="85">
        <v>0</v>
      </c>
      <c r="M5262" s="85">
        <v>0</v>
      </c>
      <c r="N5262" s="82" t="s">
        <v>12314</v>
      </c>
      <c r="O5262" s="93">
        <v>45912.443090277775</v>
      </c>
    </row>
    <row r="5263" spans="1:15" ht="22.5" customHeight="1">
      <c r="A5263" s="85">
        <v>174904221976312</v>
      </c>
      <c r="B5263" s="82" t="s">
        <v>10651</v>
      </c>
      <c r="C5263" s="82" t="s">
        <v>12279</v>
      </c>
      <c r="D5263" s="82" t="s">
        <v>11800</v>
      </c>
      <c r="E5263" s="82">
        <v>6285333751528</v>
      </c>
      <c r="F5263" s="92">
        <v>45911</v>
      </c>
      <c r="G5263" s="87">
        <v>140</v>
      </c>
      <c r="H5263" s="88">
        <v>89238.709677419349</v>
      </c>
      <c r="I5263" s="89">
        <v>8</v>
      </c>
      <c r="J5263" s="90">
        <v>13832</v>
      </c>
      <c r="K5263" s="85">
        <v>1</v>
      </c>
      <c r="L5263" s="85">
        <v>0</v>
      </c>
      <c r="M5263" s="85">
        <v>0</v>
      </c>
      <c r="N5263" s="82" t="s">
        <v>12337</v>
      </c>
      <c r="O5263" s="93">
        <v>45912.422789351855</v>
      </c>
    </row>
    <row r="5264" spans="1:15" ht="22.5" customHeight="1">
      <c r="A5264" s="85">
        <v>174904221976312</v>
      </c>
      <c r="B5264" s="82" t="s">
        <v>10651</v>
      </c>
      <c r="C5264" s="82" t="s">
        <v>12281</v>
      </c>
      <c r="D5264" s="82" t="s">
        <v>12282</v>
      </c>
      <c r="E5264" s="82">
        <v>62895614711817</v>
      </c>
      <c r="F5264" s="92">
        <v>45911</v>
      </c>
      <c r="G5264" s="87">
        <v>1028</v>
      </c>
      <c r="H5264" s="88">
        <v>12052.761747732893</v>
      </c>
      <c r="I5264" s="89">
        <v>53</v>
      </c>
      <c r="J5264" s="90">
        <v>14620</v>
      </c>
      <c r="K5264" s="85">
        <v>9</v>
      </c>
      <c r="L5264" s="85">
        <v>343</v>
      </c>
      <c r="M5264" s="85">
        <v>4</v>
      </c>
      <c r="N5264" s="82" t="s">
        <v>12283</v>
      </c>
      <c r="O5264" s="93">
        <v>45912.221064814818</v>
      </c>
    </row>
    <row r="5265" spans="1:15" ht="22.5" customHeight="1">
      <c r="A5265" s="85">
        <v>174904221976312</v>
      </c>
      <c r="B5265" s="82" t="s">
        <v>10651</v>
      </c>
      <c r="C5265" s="82" t="s">
        <v>12284</v>
      </c>
      <c r="D5265" s="82" t="s">
        <v>12285</v>
      </c>
      <c r="E5265" s="82">
        <v>6285921481643</v>
      </c>
      <c r="F5265" s="92">
        <v>45911</v>
      </c>
      <c r="G5265" s="87">
        <v>245</v>
      </c>
      <c r="H5265" s="88">
        <v>44526.845637583887</v>
      </c>
      <c r="I5265" s="89">
        <v>9</v>
      </c>
      <c r="J5265" s="90">
        <v>13269</v>
      </c>
      <c r="K5265" s="85">
        <v>2</v>
      </c>
      <c r="L5265" s="85">
        <v>0</v>
      </c>
      <c r="M5265" s="85">
        <v>0</v>
      </c>
      <c r="N5265" s="82" t="s">
        <v>12338</v>
      </c>
      <c r="O5265" s="93">
        <v>45912.443090277775</v>
      </c>
    </row>
    <row r="5266" spans="1:15" ht="22.5" customHeight="1">
      <c r="A5266" s="85">
        <v>174904221976312</v>
      </c>
      <c r="B5266" s="82" t="s">
        <v>10651</v>
      </c>
      <c r="C5266" s="82" t="s">
        <v>12263</v>
      </c>
      <c r="D5266" s="82" t="s">
        <v>12264</v>
      </c>
      <c r="E5266" s="82">
        <v>62817308228</v>
      </c>
      <c r="F5266" s="92">
        <v>45911</v>
      </c>
      <c r="G5266" s="87">
        <v>444</v>
      </c>
      <c r="H5266" s="88">
        <v>30278.455284552845</v>
      </c>
      <c r="I5266" s="89">
        <v>19</v>
      </c>
      <c r="J5266" s="90">
        <v>14897</v>
      </c>
      <c r="K5266" s="85">
        <v>4</v>
      </c>
      <c r="L5266" s="85">
        <v>0</v>
      </c>
      <c r="M5266" s="85">
        <v>0</v>
      </c>
      <c r="N5266" s="82" t="s">
        <v>12316</v>
      </c>
      <c r="O5266" s="93">
        <v>45912.401539351849</v>
      </c>
    </row>
    <row r="5267" spans="1:15" ht="22.5" customHeight="1">
      <c r="A5267" s="85">
        <v>174904221976312</v>
      </c>
      <c r="B5267" s="82" t="s">
        <v>10651</v>
      </c>
      <c r="C5267" s="82" t="s">
        <v>12269</v>
      </c>
      <c r="D5267" s="82" t="s">
        <v>12270</v>
      </c>
      <c r="E5267" s="82">
        <v>6282229433259</v>
      </c>
      <c r="F5267" s="92">
        <v>45911</v>
      </c>
      <c r="G5267" s="87">
        <v>253</v>
      </c>
      <c r="H5267" s="88">
        <v>52140.151515151512</v>
      </c>
      <c r="I5267" s="89">
        <v>18</v>
      </c>
      <c r="J5267" s="90">
        <v>13765</v>
      </c>
      <c r="K5267" s="85">
        <v>5</v>
      </c>
      <c r="L5267" s="85">
        <v>144</v>
      </c>
      <c r="M5267" s="85">
        <v>0</v>
      </c>
      <c r="N5267" s="82" t="s">
        <v>12339</v>
      </c>
      <c r="O5267" s="93">
        <v>45912.464247685188</v>
      </c>
    </row>
    <row r="5268" spans="1:15" ht="22.5" customHeight="1">
      <c r="A5268" s="85">
        <v>174904221976312</v>
      </c>
      <c r="B5268" s="82" t="s">
        <v>10651</v>
      </c>
      <c r="C5268" s="82" t="s">
        <v>12237</v>
      </c>
      <c r="D5268" s="82" t="s">
        <v>12238</v>
      </c>
      <c r="E5268" s="82">
        <v>6287888330007</v>
      </c>
      <c r="F5268" s="92">
        <v>45911</v>
      </c>
      <c r="G5268" s="87">
        <v>759</v>
      </c>
      <c r="H5268" s="88">
        <v>17597.505668934238</v>
      </c>
      <c r="I5268" s="89">
        <v>40</v>
      </c>
      <c r="J5268" s="90">
        <v>15521</v>
      </c>
      <c r="K5268" s="85">
        <v>9</v>
      </c>
      <c r="L5268" s="85">
        <v>0</v>
      </c>
      <c r="M5268" s="85">
        <v>1</v>
      </c>
      <c r="N5268" s="82" t="s">
        <v>12359</v>
      </c>
      <c r="O5268" s="93">
        <v>45912.547060185185</v>
      </c>
    </row>
    <row r="5269" spans="1:15" ht="22.5" customHeight="1">
      <c r="A5269" s="85">
        <v>174904221976312</v>
      </c>
      <c r="B5269" s="82" t="s">
        <v>10651</v>
      </c>
      <c r="C5269" s="82" t="s">
        <v>12240</v>
      </c>
      <c r="D5269" s="82" t="s">
        <v>12241</v>
      </c>
      <c r="E5269" s="82">
        <v>6285600822636</v>
      </c>
      <c r="F5269" s="92">
        <v>45911</v>
      </c>
      <c r="G5269" s="87">
        <v>685</v>
      </c>
      <c r="H5269" s="88">
        <v>16328.068043742405</v>
      </c>
      <c r="I5269" s="89">
        <v>15</v>
      </c>
      <c r="J5269" s="90">
        <v>13438</v>
      </c>
      <c r="K5269" s="85">
        <v>1</v>
      </c>
      <c r="L5269" s="85">
        <v>0</v>
      </c>
      <c r="M5269" s="85">
        <v>0</v>
      </c>
      <c r="N5269" s="82" t="s">
        <v>12274</v>
      </c>
      <c r="O5269" s="93">
        <v>45912.443101851852</v>
      </c>
    </row>
    <row r="5270" spans="1:15" ht="22.5" customHeight="1">
      <c r="A5270" s="85">
        <v>174904221976312</v>
      </c>
      <c r="B5270" s="82" t="s">
        <v>10651</v>
      </c>
      <c r="C5270" s="82" t="s">
        <v>12202</v>
      </c>
      <c r="D5270" s="82" t="s">
        <v>2370</v>
      </c>
      <c r="E5270" s="82">
        <v>6281317409433</v>
      </c>
      <c r="F5270" s="92">
        <v>45911</v>
      </c>
      <c r="G5270" s="87">
        <v>309</v>
      </c>
      <c r="H5270" s="88">
        <v>38831.062670299732</v>
      </c>
      <c r="I5270" s="89">
        <v>18</v>
      </c>
      <c r="J5270" s="90">
        <v>14251</v>
      </c>
      <c r="K5270" s="85">
        <v>5</v>
      </c>
      <c r="L5270" s="85">
        <v>0</v>
      </c>
      <c r="M5270" s="85">
        <v>1</v>
      </c>
      <c r="N5270" s="82" t="s">
        <v>12203</v>
      </c>
      <c r="O5270" s="93">
        <v>45912.221064814818</v>
      </c>
    </row>
    <row r="5271" spans="1:15" ht="22.5" customHeight="1">
      <c r="A5271" s="85">
        <v>174904221976312</v>
      </c>
      <c r="B5271" s="82" t="s">
        <v>10651</v>
      </c>
      <c r="C5271" s="82" t="s">
        <v>12207</v>
      </c>
      <c r="D5271" s="91" t="s">
        <v>4875</v>
      </c>
      <c r="E5271" s="82">
        <v>6285719003688</v>
      </c>
      <c r="F5271" s="92">
        <v>45911</v>
      </c>
      <c r="G5271" s="87">
        <v>156</v>
      </c>
      <c r="H5271" s="88">
        <v>84867.052023121389</v>
      </c>
      <c r="I5271" s="89">
        <v>4</v>
      </c>
      <c r="J5271" s="90">
        <v>14682</v>
      </c>
      <c r="K5271" s="85">
        <v>2</v>
      </c>
      <c r="L5271" s="85">
        <v>0</v>
      </c>
      <c r="M5271" s="85">
        <v>0</v>
      </c>
      <c r="N5271" s="82" t="s">
        <v>12287</v>
      </c>
      <c r="O5271" s="93">
        <v>45912.463969907411</v>
      </c>
    </row>
    <row r="5272" spans="1:15" ht="22.5" customHeight="1">
      <c r="A5272" s="85">
        <v>174904221976312</v>
      </c>
      <c r="B5272" s="82" t="s">
        <v>10651</v>
      </c>
      <c r="C5272" s="82" t="s">
        <v>12209</v>
      </c>
      <c r="D5272" s="82" t="s">
        <v>12210</v>
      </c>
      <c r="E5272" s="82">
        <v>6282217300224</v>
      </c>
      <c r="F5272" s="92">
        <v>45911</v>
      </c>
      <c r="G5272" s="87">
        <v>138</v>
      </c>
      <c r="H5272" s="88">
        <v>105608.10810810811</v>
      </c>
      <c r="I5272" s="89">
        <v>4</v>
      </c>
      <c r="J5272" s="90">
        <v>15630</v>
      </c>
      <c r="K5272" s="85">
        <v>0</v>
      </c>
      <c r="L5272" s="85">
        <v>0</v>
      </c>
      <c r="M5272" s="85">
        <v>0</v>
      </c>
      <c r="N5272" s="82" t="s">
        <v>12317</v>
      </c>
      <c r="O5272" s="93">
        <v>45912.484618055554</v>
      </c>
    </row>
    <row r="5273" spans="1:15" ht="22.5" customHeight="1">
      <c r="A5273" s="85">
        <v>174904221976312</v>
      </c>
      <c r="B5273" s="82" t="s">
        <v>10651</v>
      </c>
      <c r="C5273" s="82" t="s">
        <v>12164</v>
      </c>
      <c r="D5273" s="82" t="s">
        <v>12165</v>
      </c>
      <c r="E5273" s="82">
        <v>6285787104091</v>
      </c>
      <c r="F5273" s="92">
        <v>45911</v>
      </c>
      <c r="G5273" s="87">
        <v>589</v>
      </c>
      <c r="H5273" s="88">
        <v>19447.004608294934</v>
      </c>
      <c r="I5273" s="89">
        <v>16</v>
      </c>
      <c r="J5273" s="90">
        <v>12660</v>
      </c>
      <c r="K5273" s="85">
        <v>1</v>
      </c>
      <c r="L5273" s="85">
        <v>0</v>
      </c>
      <c r="M5273" s="85">
        <v>0</v>
      </c>
      <c r="N5273" s="82" t="s">
        <v>12318</v>
      </c>
      <c r="O5273" s="93">
        <v>45912.496342592596</v>
      </c>
    </row>
    <row r="5274" spans="1:15" ht="22.5" customHeight="1">
      <c r="A5274" s="85">
        <v>174904221976312</v>
      </c>
      <c r="B5274" s="82" t="s">
        <v>10651</v>
      </c>
      <c r="C5274" s="82" t="s">
        <v>12171</v>
      </c>
      <c r="D5274" s="82" t="s">
        <v>4386</v>
      </c>
      <c r="E5274" s="82">
        <v>62818533354</v>
      </c>
      <c r="F5274" s="92">
        <v>45911</v>
      </c>
      <c r="G5274" s="87">
        <v>199</v>
      </c>
      <c r="H5274" s="88">
        <v>63236.607142857145</v>
      </c>
      <c r="I5274" s="89">
        <v>4</v>
      </c>
      <c r="J5274" s="90">
        <v>14165</v>
      </c>
      <c r="K5274" s="85">
        <v>1</v>
      </c>
      <c r="L5274" s="85">
        <v>0</v>
      </c>
      <c r="M5274" s="85">
        <v>0</v>
      </c>
      <c r="N5274" s="82" t="s">
        <v>12319</v>
      </c>
      <c r="O5274" s="93">
        <v>45912.463969907411</v>
      </c>
    </row>
    <row r="5275" spans="1:15" ht="22.5" customHeight="1">
      <c r="A5275" s="85">
        <v>174904221976312</v>
      </c>
      <c r="B5275" s="82" t="s">
        <v>10651</v>
      </c>
      <c r="C5275" s="82" t="s">
        <v>12130</v>
      </c>
      <c r="D5275" s="82" t="s">
        <v>12131</v>
      </c>
      <c r="E5275" s="82">
        <v>6281239004410</v>
      </c>
      <c r="F5275" s="92">
        <v>45911</v>
      </c>
      <c r="G5275" s="87">
        <v>232</v>
      </c>
      <c r="H5275" s="88">
        <v>60878.32699619772</v>
      </c>
      <c r="I5275" s="89">
        <v>12</v>
      </c>
      <c r="J5275" s="90">
        <v>16011</v>
      </c>
      <c r="K5275" s="85">
        <v>3</v>
      </c>
      <c r="L5275" s="85">
        <v>0</v>
      </c>
      <c r="M5275" s="85">
        <v>1</v>
      </c>
      <c r="N5275" s="82" t="s">
        <v>12288</v>
      </c>
      <c r="O5275" s="93">
        <v>45912.443101851852</v>
      </c>
    </row>
    <row r="5276" spans="1:15" ht="22.5" customHeight="1">
      <c r="A5276" s="85">
        <v>174904221976312</v>
      </c>
      <c r="B5276" s="82" t="s">
        <v>10651</v>
      </c>
      <c r="C5276" s="82" t="s">
        <v>12102</v>
      </c>
      <c r="D5276" s="82" t="s">
        <v>12103</v>
      </c>
      <c r="E5276" s="82">
        <v>628122577723</v>
      </c>
      <c r="F5276" s="92">
        <v>45911</v>
      </c>
      <c r="G5276" s="87">
        <v>460</v>
      </c>
      <c r="H5276" s="88">
        <v>31594.488188976378</v>
      </c>
      <c r="I5276" s="89">
        <v>18</v>
      </c>
      <c r="J5276" s="90">
        <v>16050</v>
      </c>
      <c r="K5276" s="85">
        <v>2</v>
      </c>
      <c r="L5276" s="85">
        <v>0</v>
      </c>
      <c r="M5276" s="85">
        <v>0</v>
      </c>
      <c r="N5276" s="82" t="s">
        <v>12244</v>
      </c>
      <c r="O5276" s="93">
        <v>45912.422395833331</v>
      </c>
    </row>
    <row r="5277" spans="1:15" ht="22.5" customHeight="1">
      <c r="A5277" s="85">
        <v>174904221976312</v>
      </c>
      <c r="B5277" s="82" t="s">
        <v>10651</v>
      </c>
      <c r="C5277" s="82" t="s">
        <v>12054</v>
      </c>
      <c r="D5277" s="82" t="s">
        <v>4485</v>
      </c>
      <c r="E5277" s="82">
        <v>6285169730762</v>
      </c>
      <c r="F5277" s="92">
        <v>45911</v>
      </c>
      <c r="G5277" s="87">
        <v>1512</v>
      </c>
      <c r="H5277" s="88">
        <v>8479.420289855072</v>
      </c>
      <c r="I5277" s="89">
        <v>106</v>
      </c>
      <c r="J5277" s="90">
        <v>14627</v>
      </c>
      <c r="K5277" s="85">
        <v>12</v>
      </c>
      <c r="L5277" s="85">
        <v>0</v>
      </c>
      <c r="M5277" s="85">
        <v>1</v>
      </c>
      <c r="N5277" s="82" t="s">
        <v>12320</v>
      </c>
      <c r="O5277" s="93">
        <v>45912.6096412037</v>
      </c>
    </row>
    <row r="5278" spans="1:15" ht="22.5" customHeight="1">
      <c r="A5278" s="85">
        <v>174904221976312</v>
      </c>
      <c r="B5278" s="82" t="s">
        <v>10651</v>
      </c>
      <c r="C5278" s="82" t="s">
        <v>12058</v>
      </c>
      <c r="D5278" s="82" t="s">
        <v>4516</v>
      </c>
      <c r="E5278" s="82">
        <v>6281315163838</v>
      </c>
      <c r="F5278" s="92">
        <v>45911</v>
      </c>
      <c r="G5278" s="87">
        <v>173</v>
      </c>
      <c r="H5278" s="88">
        <v>67851.282051282062</v>
      </c>
      <c r="I5278" s="89">
        <v>9</v>
      </c>
      <c r="J5278" s="90">
        <v>13231</v>
      </c>
      <c r="K5278" s="85">
        <v>3</v>
      </c>
      <c r="L5278" s="85">
        <v>0</v>
      </c>
      <c r="M5278" s="85">
        <v>0</v>
      </c>
      <c r="N5278" s="82" t="s">
        <v>12321</v>
      </c>
      <c r="O5278" s="93">
        <v>45912.401539351849</v>
      </c>
    </row>
    <row r="5279" spans="1:15" ht="22.5" customHeight="1">
      <c r="A5279" s="85">
        <v>174904221976312</v>
      </c>
      <c r="B5279" s="82" t="s">
        <v>10651</v>
      </c>
      <c r="C5279" s="82" t="s">
        <v>12007</v>
      </c>
      <c r="D5279" s="82" t="s">
        <v>9010</v>
      </c>
      <c r="E5279" s="82">
        <v>6282160743576</v>
      </c>
      <c r="F5279" s="92">
        <v>45911</v>
      </c>
      <c r="G5279" s="87">
        <v>879</v>
      </c>
      <c r="H5279" s="88">
        <v>15504.570383912249</v>
      </c>
      <c r="I5279" s="89">
        <v>43</v>
      </c>
      <c r="J5279" s="90">
        <v>16962</v>
      </c>
      <c r="K5279" s="85">
        <v>2</v>
      </c>
      <c r="L5279" s="85">
        <v>189</v>
      </c>
      <c r="M5279" s="85">
        <v>0</v>
      </c>
      <c r="N5279" s="82" t="s">
        <v>12008</v>
      </c>
      <c r="O5279" s="93">
        <v>45912.547071759262</v>
      </c>
    </row>
    <row r="5280" spans="1:15" ht="22.5" customHeight="1">
      <c r="A5280" s="85">
        <v>766589657993298</v>
      </c>
      <c r="B5280" s="82" t="s">
        <v>10688</v>
      </c>
      <c r="C5280" s="82" t="s">
        <v>12366</v>
      </c>
      <c r="D5280" s="82" t="s">
        <v>5406</v>
      </c>
      <c r="E5280" s="82">
        <v>6285161653332</v>
      </c>
      <c r="F5280" s="92">
        <v>45911</v>
      </c>
      <c r="G5280" s="87">
        <v>392</v>
      </c>
      <c r="H5280" s="88">
        <v>35217.494089834516</v>
      </c>
      <c r="I5280" s="89">
        <v>11</v>
      </c>
      <c r="J5280" s="90">
        <v>14897</v>
      </c>
      <c r="K5280" s="85">
        <v>2</v>
      </c>
      <c r="L5280" s="85">
        <v>136</v>
      </c>
      <c r="M5280" s="85">
        <v>0</v>
      </c>
      <c r="N5280" s="82" t="s">
        <v>12367</v>
      </c>
      <c r="O5280" s="93">
        <v>45912.591863425929</v>
      </c>
    </row>
    <row r="5281" spans="1:15" ht="22.5" customHeight="1">
      <c r="A5281" s="85">
        <v>766589657993298</v>
      </c>
      <c r="B5281" s="82" t="s">
        <v>10688</v>
      </c>
      <c r="C5281" s="82" t="s">
        <v>12368</v>
      </c>
      <c r="D5281" s="82" t="s">
        <v>5366</v>
      </c>
      <c r="E5281" s="82">
        <v>6282111518881</v>
      </c>
      <c r="F5281" s="92">
        <v>45911</v>
      </c>
      <c r="G5281" s="87">
        <v>238</v>
      </c>
      <c r="H5281" s="88">
        <v>49541.538461538461</v>
      </c>
      <c r="I5281" s="89">
        <v>22</v>
      </c>
      <c r="J5281" s="90">
        <v>16101</v>
      </c>
      <c r="K5281" s="85">
        <v>4</v>
      </c>
      <c r="L5281" s="85">
        <v>77</v>
      </c>
      <c r="M5281" s="85">
        <v>0</v>
      </c>
      <c r="N5281" s="82" t="s">
        <v>12369</v>
      </c>
      <c r="O5281" s="93">
        <v>45912.696030092593</v>
      </c>
    </row>
    <row r="5282" spans="1:15" ht="22.5" customHeight="1">
      <c r="A5282" s="85">
        <v>766589657993298</v>
      </c>
      <c r="B5282" s="82" t="s">
        <v>10688</v>
      </c>
      <c r="C5282" s="82" t="s">
        <v>12370</v>
      </c>
      <c r="D5282" s="82" t="s">
        <v>12371</v>
      </c>
      <c r="E5282" s="82">
        <v>6282364480929</v>
      </c>
      <c r="F5282" s="92">
        <v>45911</v>
      </c>
      <c r="G5282" s="87">
        <v>575</v>
      </c>
      <c r="H5282" s="88">
        <v>19893.506493506495</v>
      </c>
      <c r="I5282" s="89">
        <v>21</v>
      </c>
      <c r="J5282" s="90">
        <v>15318</v>
      </c>
      <c r="K5282" s="85">
        <v>2</v>
      </c>
      <c r="L5282" s="85">
        <v>132</v>
      </c>
      <c r="M5282" s="85">
        <v>1</v>
      </c>
      <c r="N5282" s="82" t="s">
        <v>12372</v>
      </c>
      <c r="O5282" s="93">
        <v>45912.654456018521</v>
      </c>
    </row>
    <row r="5283" spans="1:15" ht="22.5" customHeight="1">
      <c r="A5283" s="85">
        <v>766589657993298</v>
      </c>
      <c r="B5283" s="82" t="s">
        <v>10688</v>
      </c>
      <c r="C5283" s="82" t="s">
        <v>12373</v>
      </c>
      <c r="D5283" s="82" t="s">
        <v>12374</v>
      </c>
      <c r="E5283" s="82">
        <v>6282195508557</v>
      </c>
      <c r="F5283" s="92">
        <v>45911</v>
      </c>
      <c r="G5283" s="87">
        <v>478</v>
      </c>
      <c r="H5283" s="88">
        <v>26511.711711711712</v>
      </c>
      <c r="I5283" s="89">
        <v>15</v>
      </c>
      <c r="J5283" s="90">
        <v>14714</v>
      </c>
      <c r="K5283" s="85">
        <v>1</v>
      </c>
      <c r="L5283" s="85">
        <v>171</v>
      </c>
      <c r="M5283" s="85">
        <v>0</v>
      </c>
      <c r="N5283" s="82" t="s">
        <v>12375</v>
      </c>
      <c r="O5283" s="93">
        <v>45912.550381944442</v>
      </c>
    </row>
    <row r="5284" spans="1:15" ht="22.5" customHeight="1">
      <c r="A5284" s="85">
        <v>766589657993298</v>
      </c>
      <c r="B5284" s="82" t="s">
        <v>10688</v>
      </c>
      <c r="C5284" s="82" t="s">
        <v>12376</v>
      </c>
      <c r="D5284" s="82" t="s">
        <v>5249</v>
      </c>
      <c r="E5284" s="82">
        <v>6285602235618</v>
      </c>
      <c r="F5284" s="92">
        <v>45911</v>
      </c>
      <c r="G5284" s="87">
        <v>352</v>
      </c>
      <c r="H5284" s="88">
        <v>33910.569105691058</v>
      </c>
      <c r="I5284" s="89">
        <v>6</v>
      </c>
      <c r="J5284" s="90">
        <v>16684</v>
      </c>
      <c r="K5284" s="85">
        <v>0</v>
      </c>
      <c r="L5284" s="85">
        <v>5</v>
      </c>
      <c r="M5284" s="85">
        <v>0</v>
      </c>
      <c r="N5284" s="82" t="s">
        <v>12377</v>
      </c>
      <c r="O5284" s="93">
        <v>45912.46733796296</v>
      </c>
    </row>
    <row r="5285" spans="1:15" ht="22.5" customHeight="1">
      <c r="A5285" s="85">
        <v>766589657993298</v>
      </c>
      <c r="B5285" s="82" t="s">
        <v>10688</v>
      </c>
      <c r="C5285" s="82" t="s">
        <v>12378</v>
      </c>
      <c r="D5285" s="82" t="s">
        <v>12379</v>
      </c>
      <c r="E5285" s="82">
        <v>6283188945188</v>
      </c>
      <c r="F5285" s="92">
        <v>45911</v>
      </c>
      <c r="G5285" s="87">
        <v>720</v>
      </c>
      <c r="H5285" s="88">
        <v>19012.443438914026</v>
      </c>
      <c r="I5285" s="89">
        <v>13</v>
      </c>
      <c r="J5285" s="90">
        <v>16807</v>
      </c>
      <c r="K5285" s="85">
        <v>2</v>
      </c>
      <c r="L5285" s="85">
        <v>289</v>
      </c>
      <c r="M5285" s="85">
        <v>0</v>
      </c>
      <c r="N5285" s="82" t="s">
        <v>12380</v>
      </c>
      <c r="O5285" s="93">
        <v>45912.591886574075</v>
      </c>
    </row>
    <row r="5286" spans="1:15" ht="22.5" customHeight="1">
      <c r="A5286" s="85">
        <v>766589657993298</v>
      </c>
      <c r="B5286" s="82" t="s">
        <v>10688</v>
      </c>
      <c r="C5286" s="82" t="s">
        <v>12381</v>
      </c>
      <c r="D5286" s="82" t="s">
        <v>5141</v>
      </c>
      <c r="E5286" s="82">
        <v>6287871214170</v>
      </c>
      <c r="F5286" s="92">
        <v>45911</v>
      </c>
      <c r="G5286" s="87">
        <v>754</v>
      </c>
      <c r="H5286" s="88">
        <v>19094.31818181818</v>
      </c>
      <c r="I5286" s="89">
        <v>19</v>
      </c>
      <c r="J5286" s="90">
        <v>16803</v>
      </c>
      <c r="K5286" s="85">
        <v>2</v>
      </c>
      <c r="L5286" s="85">
        <v>0</v>
      </c>
      <c r="M5286" s="85">
        <v>0</v>
      </c>
      <c r="N5286" s="82" t="s">
        <v>12382</v>
      </c>
      <c r="O5286" s="93">
        <v>45912.217465277776</v>
      </c>
    </row>
    <row r="5287" spans="1:15" ht="22.5" customHeight="1">
      <c r="A5287" s="85">
        <v>766589657993298</v>
      </c>
      <c r="B5287" s="82" t="s">
        <v>10688</v>
      </c>
      <c r="C5287" s="82" t="s">
        <v>12383</v>
      </c>
      <c r="D5287" s="82" t="s">
        <v>12384</v>
      </c>
      <c r="E5287" s="82">
        <v>62895420142524</v>
      </c>
      <c r="F5287" s="92">
        <v>45911</v>
      </c>
      <c r="G5287" s="87">
        <v>230</v>
      </c>
      <c r="H5287" s="88">
        <v>52202.749140893473</v>
      </c>
      <c r="I5287" s="89">
        <v>6</v>
      </c>
      <c r="J5287" s="90">
        <v>15191</v>
      </c>
      <c r="K5287" s="85">
        <v>1</v>
      </c>
      <c r="L5287" s="85">
        <v>0</v>
      </c>
      <c r="M5287" s="85">
        <v>0</v>
      </c>
      <c r="N5287" s="82" t="s">
        <v>12385</v>
      </c>
      <c r="O5287" s="93">
        <v>45912.46733796296</v>
      </c>
    </row>
    <row r="5288" spans="1:15" ht="22.5" customHeight="1">
      <c r="A5288" s="85">
        <v>766589657993298</v>
      </c>
      <c r="B5288" s="82" t="s">
        <v>10688</v>
      </c>
      <c r="C5288" s="82" t="s">
        <v>12386</v>
      </c>
      <c r="D5288" s="82" t="s">
        <v>12387</v>
      </c>
      <c r="E5288" s="82">
        <v>6285272737979</v>
      </c>
      <c r="F5288" s="92">
        <v>45911</v>
      </c>
      <c r="G5288" s="87">
        <v>1765</v>
      </c>
      <c r="H5288" s="88">
        <v>7832.7491236855285</v>
      </c>
      <c r="I5288" s="89">
        <v>37</v>
      </c>
      <c r="J5288" s="90">
        <v>15642</v>
      </c>
      <c r="K5288" s="85">
        <v>6</v>
      </c>
      <c r="L5288" s="85">
        <v>605</v>
      </c>
      <c r="M5288" s="85">
        <v>0</v>
      </c>
      <c r="N5288" s="82" t="s">
        <v>12388</v>
      </c>
      <c r="O5288" s="93">
        <v>45912.487638888888</v>
      </c>
    </row>
    <row r="5289" spans="1:15" ht="22.5" customHeight="1">
      <c r="A5289" s="85">
        <v>766589657993298</v>
      </c>
      <c r="B5289" s="82" t="s">
        <v>10688</v>
      </c>
      <c r="C5289" s="82" t="s">
        <v>12389</v>
      </c>
      <c r="D5289" s="82" t="s">
        <v>12390</v>
      </c>
      <c r="E5289" s="82">
        <v>6283890485123</v>
      </c>
      <c r="F5289" s="92">
        <v>45911</v>
      </c>
      <c r="G5289" s="87">
        <v>459</v>
      </c>
      <c r="H5289" s="88">
        <v>30966.666666666664</v>
      </c>
      <c r="I5289" s="89">
        <v>14</v>
      </c>
      <c r="J5289" s="90">
        <v>15793</v>
      </c>
      <c r="K5289" s="85">
        <v>1</v>
      </c>
      <c r="L5289" s="85">
        <v>199</v>
      </c>
      <c r="M5289" s="85">
        <v>0</v>
      </c>
      <c r="N5289" s="82" t="s">
        <v>12391</v>
      </c>
      <c r="O5289" s="93">
        <v>45912.487638888888</v>
      </c>
    </row>
    <row r="5290" spans="1:15" ht="22.5" customHeight="1">
      <c r="A5290" s="85">
        <v>766589657993298</v>
      </c>
      <c r="B5290" s="82" t="s">
        <v>10688</v>
      </c>
      <c r="C5290" s="82" t="s">
        <v>12392</v>
      </c>
      <c r="D5290" s="82" t="s">
        <v>4690</v>
      </c>
      <c r="E5290" s="82">
        <v>6281323291817</v>
      </c>
      <c r="F5290" s="92">
        <v>45911</v>
      </c>
      <c r="G5290" s="87">
        <v>1560</v>
      </c>
      <c r="H5290" s="88">
        <v>9595.4861111111113</v>
      </c>
      <c r="I5290" s="89">
        <v>70</v>
      </c>
      <c r="J5290" s="90">
        <v>16581</v>
      </c>
      <c r="K5290" s="85">
        <v>7</v>
      </c>
      <c r="L5290" s="85">
        <v>636</v>
      </c>
      <c r="M5290" s="85">
        <v>0</v>
      </c>
      <c r="N5290" s="82" t="s">
        <v>12393</v>
      </c>
      <c r="O5290" s="93">
        <v>45912.467326388891</v>
      </c>
    </row>
    <row r="5291" spans="1:15" ht="22.5" customHeight="1">
      <c r="A5291" s="85">
        <v>766589657993298</v>
      </c>
      <c r="B5291" s="82" t="s">
        <v>10688</v>
      </c>
      <c r="C5291" s="82" t="s">
        <v>12394</v>
      </c>
      <c r="D5291" s="82" t="s">
        <v>12395</v>
      </c>
      <c r="E5291" s="82">
        <v>6282318568540</v>
      </c>
      <c r="F5291" s="92">
        <v>45911</v>
      </c>
      <c r="G5291" s="87">
        <v>599</v>
      </c>
      <c r="H5291" s="88">
        <v>25703.030303030304</v>
      </c>
      <c r="I5291" s="89">
        <v>6</v>
      </c>
      <c r="J5291" s="90">
        <v>16964</v>
      </c>
      <c r="K5291" s="85">
        <v>1</v>
      </c>
      <c r="L5291" s="85">
        <v>1</v>
      </c>
      <c r="M5291" s="85">
        <v>0</v>
      </c>
      <c r="N5291" s="82" t="s">
        <v>12396</v>
      </c>
      <c r="O5291" s="93">
        <v>45912.217442129629</v>
      </c>
    </row>
    <row r="5292" spans="1:15" ht="22.5" customHeight="1">
      <c r="A5292" s="85">
        <v>766589657993298</v>
      </c>
      <c r="B5292" s="82" t="s">
        <v>10688</v>
      </c>
      <c r="C5292" s="82" t="s">
        <v>12397</v>
      </c>
      <c r="D5292" s="82" t="s">
        <v>12398</v>
      </c>
      <c r="E5292" s="82">
        <v>6282399721881</v>
      </c>
      <c r="F5292" s="92">
        <v>45911</v>
      </c>
      <c r="G5292" s="87">
        <v>3196</v>
      </c>
      <c r="H5292" s="88">
        <v>4705.3466509988248</v>
      </c>
      <c r="I5292" s="89">
        <v>142</v>
      </c>
      <c r="J5292" s="90">
        <v>16017</v>
      </c>
      <c r="K5292" s="85">
        <v>14</v>
      </c>
      <c r="L5292" s="85">
        <v>1619</v>
      </c>
      <c r="M5292" s="85">
        <v>1</v>
      </c>
      <c r="N5292" s="82" t="s">
        <v>12399</v>
      </c>
      <c r="O5292" s="93">
        <v>45912.50849537037</v>
      </c>
    </row>
    <row r="5293" spans="1:15" ht="22.5" customHeight="1">
      <c r="A5293" s="85">
        <v>766589657993298</v>
      </c>
      <c r="B5293" s="82" t="s">
        <v>10688</v>
      </c>
      <c r="C5293" s="82" t="s">
        <v>12400</v>
      </c>
      <c r="D5293" s="82" t="s">
        <v>12401</v>
      </c>
      <c r="E5293" s="82">
        <v>6281323207611</v>
      </c>
      <c r="F5293" s="92">
        <v>45911</v>
      </c>
      <c r="G5293" s="87">
        <v>551</v>
      </c>
      <c r="H5293" s="88">
        <v>23605.301914580268</v>
      </c>
      <c r="I5293" s="89">
        <v>9</v>
      </c>
      <c r="J5293" s="90">
        <v>16028</v>
      </c>
      <c r="K5293" s="85">
        <v>0</v>
      </c>
      <c r="L5293" s="85">
        <v>7</v>
      </c>
      <c r="M5293" s="85">
        <v>0</v>
      </c>
      <c r="N5293" s="82" t="s">
        <v>12402</v>
      </c>
      <c r="O5293" s="93">
        <v>45912.46733796296</v>
      </c>
    </row>
    <row r="5294" spans="1:15" ht="22.5" customHeight="1">
      <c r="A5294" s="85">
        <v>766589657993298</v>
      </c>
      <c r="B5294" s="82" t="s">
        <v>10688</v>
      </c>
      <c r="C5294" s="82" t="s">
        <v>12403</v>
      </c>
      <c r="D5294" s="91" t="s">
        <v>1915</v>
      </c>
      <c r="E5294" s="82">
        <v>6281239874761</v>
      </c>
      <c r="F5294" s="92">
        <v>45911</v>
      </c>
      <c r="G5294" s="87">
        <v>374</v>
      </c>
      <c r="H5294" s="88">
        <v>35619.256017505468</v>
      </c>
      <c r="I5294" s="89">
        <v>2</v>
      </c>
      <c r="J5294" s="90">
        <v>16278</v>
      </c>
      <c r="K5294" s="85">
        <v>1</v>
      </c>
      <c r="L5294" s="85">
        <v>31</v>
      </c>
      <c r="M5294" s="85">
        <v>0</v>
      </c>
      <c r="N5294" s="82" t="s">
        <v>12404</v>
      </c>
      <c r="O5294" s="93">
        <v>45912.446319444447</v>
      </c>
    </row>
    <row r="5295" spans="1:15" ht="22.5" customHeight="1">
      <c r="A5295" s="85">
        <v>766589657993298</v>
      </c>
      <c r="B5295" s="82" t="s">
        <v>10688</v>
      </c>
      <c r="C5295" s="82" t="s">
        <v>12405</v>
      </c>
      <c r="D5295" s="82" t="s">
        <v>12406</v>
      </c>
      <c r="E5295" s="82">
        <v>6281543128320</v>
      </c>
      <c r="F5295" s="92">
        <v>45911</v>
      </c>
      <c r="G5295" s="87">
        <v>2130</v>
      </c>
      <c r="H5295" s="88">
        <v>7594.343791427309</v>
      </c>
      <c r="I5295" s="89">
        <v>74</v>
      </c>
      <c r="J5295" s="90">
        <v>17186</v>
      </c>
      <c r="K5295" s="85">
        <v>5</v>
      </c>
      <c r="L5295" s="85">
        <v>958</v>
      </c>
      <c r="M5295" s="85">
        <v>0</v>
      </c>
      <c r="N5295" s="82" t="s">
        <v>12407</v>
      </c>
      <c r="O5295" s="93">
        <v>45912.217453703706</v>
      </c>
    </row>
    <row r="5296" spans="1:15" ht="22.5" customHeight="1">
      <c r="A5296" s="85">
        <v>766589657993298</v>
      </c>
      <c r="B5296" s="82" t="s">
        <v>10688</v>
      </c>
      <c r="C5296" s="82" t="s">
        <v>12408</v>
      </c>
      <c r="D5296" s="82" t="s">
        <v>4973</v>
      </c>
      <c r="E5296" s="82">
        <v>6281351572278</v>
      </c>
      <c r="F5296" s="92">
        <v>45911</v>
      </c>
      <c r="G5296" s="87">
        <v>506</v>
      </c>
      <c r="H5296" s="88">
        <v>28942.56756756757</v>
      </c>
      <c r="I5296" s="89">
        <v>7</v>
      </c>
      <c r="J5296" s="90">
        <v>17134</v>
      </c>
      <c r="K5296" s="85">
        <v>0</v>
      </c>
      <c r="L5296" s="85">
        <v>2</v>
      </c>
      <c r="M5296" s="85">
        <v>0</v>
      </c>
      <c r="N5296" s="82" t="s">
        <v>12409</v>
      </c>
      <c r="O5296" s="93">
        <v>45912.44630787037</v>
      </c>
    </row>
    <row r="5297" spans="1:15" ht="22.5" customHeight="1">
      <c r="A5297" s="85">
        <v>766589657993298</v>
      </c>
      <c r="B5297" s="82" t="s">
        <v>10688</v>
      </c>
      <c r="C5297" s="82" t="s">
        <v>12410</v>
      </c>
      <c r="D5297" s="82" t="s">
        <v>764</v>
      </c>
      <c r="E5297" s="82">
        <v>6287778562681</v>
      </c>
      <c r="F5297" s="92">
        <v>45911</v>
      </c>
      <c r="G5297" s="87">
        <v>417</v>
      </c>
      <c r="H5297" s="88">
        <v>34209.775967413443</v>
      </c>
      <c r="I5297" s="89">
        <v>6</v>
      </c>
      <c r="J5297" s="90">
        <v>16797</v>
      </c>
      <c r="K5297" s="85">
        <v>1</v>
      </c>
      <c r="L5297" s="85">
        <v>0</v>
      </c>
      <c r="M5297" s="85">
        <v>0</v>
      </c>
      <c r="N5297" s="82" t="s">
        <v>12411</v>
      </c>
      <c r="O5297" s="93">
        <v>45912.217476851853</v>
      </c>
    </row>
    <row r="5298" spans="1:15" ht="22.5" customHeight="1">
      <c r="A5298" s="85">
        <v>766589657993298</v>
      </c>
      <c r="B5298" s="82" t="s">
        <v>10688</v>
      </c>
      <c r="C5298" s="82" t="s">
        <v>12412</v>
      </c>
      <c r="D5298" s="82" t="s">
        <v>12413</v>
      </c>
      <c r="E5298" s="82">
        <v>6281283204192</v>
      </c>
      <c r="F5298" s="92">
        <v>45911</v>
      </c>
      <c r="G5298" s="87">
        <v>843</v>
      </c>
      <c r="H5298" s="88">
        <v>17319.690265486726</v>
      </c>
      <c r="I5298" s="89">
        <v>15</v>
      </c>
      <c r="J5298" s="90">
        <v>15657</v>
      </c>
      <c r="K5298" s="85">
        <v>4</v>
      </c>
      <c r="L5298" s="85">
        <v>403</v>
      </c>
      <c r="M5298" s="85">
        <v>1</v>
      </c>
      <c r="N5298" s="82" t="s">
        <v>12414</v>
      </c>
      <c r="O5298" s="93">
        <v>45912.487650462965</v>
      </c>
    </row>
    <row r="5299" spans="1:15" ht="22.5" customHeight="1">
      <c r="A5299" s="85">
        <v>766589657993298</v>
      </c>
      <c r="B5299" s="82" t="s">
        <v>10688</v>
      </c>
      <c r="C5299" s="82" t="s">
        <v>12415</v>
      </c>
      <c r="D5299" s="82" t="s">
        <v>12416</v>
      </c>
      <c r="E5299" s="82">
        <v>6281328881949</v>
      </c>
      <c r="F5299" s="92">
        <v>45911</v>
      </c>
      <c r="G5299" s="87">
        <v>1818</v>
      </c>
      <c r="H5299" s="88">
        <v>8309.2988562904029</v>
      </c>
      <c r="I5299" s="89">
        <v>24</v>
      </c>
      <c r="J5299" s="90">
        <v>16710</v>
      </c>
      <c r="K5299" s="85">
        <v>4</v>
      </c>
      <c r="L5299" s="85">
        <v>25</v>
      </c>
      <c r="M5299" s="85">
        <v>0</v>
      </c>
      <c r="N5299" s="82" t="s">
        <v>12417</v>
      </c>
      <c r="O5299" s="93">
        <v>45912.217442129629</v>
      </c>
    </row>
    <row r="5300" spans="1:15" ht="22.5" customHeight="1">
      <c r="A5300" s="85">
        <v>766589657993298</v>
      </c>
      <c r="B5300" s="82" t="s">
        <v>10688</v>
      </c>
      <c r="C5300" s="82" t="s">
        <v>12418</v>
      </c>
      <c r="D5300" s="82" t="s">
        <v>4863</v>
      </c>
      <c r="E5300" s="82">
        <v>6285225512004</v>
      </c>
      <c r="F5300" s="92">
        <v>45911</v>
      </c>
      <c r="G5300" s="87">
        <v>580</v>
      </c>
      <c r="H5300" s="88">
        <v>23409.711684370257</v>
      </c>
      <c r="I5300" s="89">
        <v>14</v>
      </c>
      <c r="J5300" s="90">
        <v>15427</v>
      </c>
      <c r="K5300" s="85">
        <v>2</v>
      </c>
      <c r="L5300" s="85">
        <v>10</v>
      </c>
      <c r="M5300" s="85">
        <v>0</v>
      </c>
      <c r="N5300" s="82" t="s">
        <v>12419</v>
      </c>
      <c r="O5300" s="93">
        <v>45912.467361111114</v>
      </c>
    </row>
    <row r="5301" spans="1:15" ht="22.5" customHeight="1">
      <c r="A5301" s="85">
        <v>766589657993298</v>
      </c>
      <c r="B5301" s="82" t="s">
        <v>10688</v>
      </c>
      <c r="C5301" s="82" t="s">
        <v>12420</v>
      </c>
      <c r="D5301" s="82" t="s">
        <v>4563</v>
      </c>
      <c r="E5301" s="82">
        <v>6289508681093</v>
      </c>
      <c r="F5301" s="92">
        <v>45911</v>
      </c>
      <c r="G5301" s="87">
        <v>474</v>
      </c>
      <c r="H5301" s="88">
        <v>32546.413502109706</v>
      </c>
      <c r="I5301" s="89">
        <v>5</v>
      </c>
      <c r="J5301" s="90">
        <v>15427</v>
      </c>
      <c r="K5301" s="85">
        <v>1</v>
      </c>
      <c r="L5301" s="85">
        <v>50</v>
      </c>
      <c r="M5301" s="85">
        <v>0</v>
      </c>
      <c r="N5301" s="82" t="s">
        <v>12421</v>
      </c>
      <c r="O5301" s="93">
        <v>45912.363182870373</v>
      </c>
    </row>
    <row r="5302" spans="1:15" ht="22.5" customHeight="1">
      <c r="A5302" s="85">
        <v>766589657993298</v>
      </c>
      <c r="B5302" s="82" t="s">
        <v>10688</v>
      </c>
      <c r="C5302" s="82" t="s">
        <v>12082</v>
      </c>
      <c r="D5302" s="82" t="s">
        <v>4330</v>
      </c>
      <c r="E5302" s="82">
        <v>6285888452389</v>
      </c>
      <c r="F5302" s="92">
        <v>45911</v>
      </c>
      <c r="G5302" s="87">
        <v>235</v>
      </c>
      <c r="H5302" s="88">
        <v>64126.530612244889</v>
      </c>
      <c r="I5302" s="89">
        <v>4</v>
      </c>
      <c r="J5302" s="90">
        <v>15711</v>
      </c>
      <c r="K5302" s="85">
        <v>2</v>
      </c>
      <c r="L5302" s="85">
        <v>101</v>
      </c>
      <c r="M5302" s="85">
        <v>0</v>
      </c>
      <c r="N5302" s="82" t="s">
        <v>12422</v>
      </c>
      <c r="O5302" s="93">
        <v>45912.696018518516</v>
      </c>
    </row>
    <row r="5303" spans="1:15" ht="22.5" customHeight="1">
      <c r="A5303" s="85">
        <v>766589657993298</v>
      </c>
      <c r="B5303" s="82" t="s">
        <v>10688</v>
      </c>
      <c r="C5303" s="82" t="s">
        <v>12084</v>
      </c>
      <c r="D5303" s="82" t="s">
        <v>4337</v>
      </c>
      <c r="E5303" s="82">
        <v>6285333355756</v>
      </c>
      <c r="F5303" s="92">
        <v>45911</v>
      </c>
      <c r="G5303" s="87">
        <v>2164</v>
      </c>
      <c r="H5303" s="88">
        <v>6134.2539317222863</v>
      </c>
      <c r="I5303" s="89">
        <v>28</v>
      </c>
      <c r="J5303" s="90">
        <v>15992</v>
      </c>
      <c r="K5303" s="85">
        <v>2</v>
      </c>
      <c r="L5303" s="85">
        <v>7</v>
      </c>
      <c r="M5303" s="85">
        <v>0</v>
      </c>
      <c r="N5303" s="82" t="s">
        <v>12423</v>
      </c>
      <c r="O5303" s="93">
        <v>45912.217442129629</v>
      </c>
    </row>
    <row r="5304" spans="1:15" ht="22.5" customHeight="1">
      <c r="A5304" s="85">
        <v>766589657993298</v>
      </c>
      <c r="B5304" s="82" t="s">
        <v>10688</v>
      </c>
      <c r="C5304" s="82" t="s">
        <v>12097</v>
      </c>
      <c r="D5304" s="82" t="s">
        <v>12098</v>
      </c>
      <c r="E5304" s="82">
        <v>6281990865975</v>
      </c>
      <c r="F5304" s="92">
        <v>45911</v>
      </c>
      <c r="G5304" s="87">
        <v>192</v>
      </c>
      <c r="H5304" s="88">
        <v>73399.061032863858</v>
      </c>
      <c r="I5304" s="89">
        <v>7</v>
      </c>
      <c r="J5304" s="90">
        <v>15634</v>
      </c>
      <c r="K5304" s="85">
        <v>2</v>
      </c>
      <c r="L5304" s="85">
        <v>0</v>
      </c>
      <c r="M5304" s="85">
        <v>0</v>
      </c>
      <c r="N5304" s="82" t="s">
        <v>12424</v>
      </c>
      <c r="O5304" s="93">
        <v>45912.217453703706</v>
      </c>
    </row>
    <row r="5305" spans="1:15" ht="22.5" customHeight="1">
      <c r="A5305" s="85">
        <v>766589657993298</v>
      </c>
      <c r="B5305" s="82" t="s">
        <v>10688</v>
      </c>
      <c r="C5305" s="82" t="s">
        <v>11943</v>
      </c>
      <c r="D5305" s="82" t="s">
        <v>11944</v>
      </c>
      <c r="E5305" s="82">
        <v>6285925102815</v>
      </c>
      <c r="F5305" s="92">
        <v>45911</v>
      </c>
      <c r="G5305" s="87">
        <v>284</v>
      </c>
      <c r="H5305" s="88">
        <v>51719.354838709674</v>
      </c>
      <c r="I5305" s="89">
        <v>8</v>
      </c>
      <c r="J5305" s="90">
        <v>16033</v>
      </c>
      <c r="K5305" s="85">
        <v>1</v>
      </c>
      <c r="L5305" s="85">
        <v>0</v>
      </c>
      <c r="M5305" s="85">
        <v>0</v>
      </c>
      <c r="N5305" s="82" t="s">
        <v>12425</v>
      </c>
      <c r="O5305" s="93">
        <v>45912.487627314818</v>
      </c>
    </row>
    <row r="5306" spans="1:15" ht="22.5" customHeight="1">
      <c r="A5306" s="85">
        <v>766589657993298</v>
      </c>
      <c r="B5306" s="82" t="s">
        <v>10688</v>
      </c>
      <c r="C5306" s="82" t="s">
        <v>11855</v>
      </c>
      <c r="D5306" s="82" t="s">
        <v>4690</v>
      </c>
      <c r="E5306" s="82">
        <v>6281323291817</v>
      </c>
      <c r="F5306" s="92">
        <v>45911</v>
      </c>
      <c r="G5306" s="87">
        <v>1466</v>
      </c>
      <c r="H5306" s="88">
        <v>9620.6102475532534</v>
      </c>
      <c r="I5306" s="89">
        <v>47</v>
      </c>
      <c r="J5306" s="90">
        <v>16711</v>
      </c>
      <c r="K5306" s="85">
        <v>2</v>
      </c>
      <c r="L5306" s="85">
        <v>0</v>
      </c>
      <c r="M5306" s="85">
        <v>0</v>
      </c>
      <c r="N5306" s="82" t="s">
        <v>12426</v>
      </c>
      <c r="O5306" s="93">
        <v>45912.487638888888</v>
      </c>
    </row>
    <row r="5307" spans="1:15" ht="22.5" customHeight="1">
      <c r="A5307" s="85">
        <v>766589657993298</v>
      </c>
      <c r="B5307" s="82" t="s">
        <v>10688</v>
      </c>
      <c r="C5307" s="82" t="s">
        <v>11626</v>
      </c>
      <c r="D5307" s="82" t="s">
        <v>3773</v>
      </c>
      <c r="E5307" s="82">
        <v>6285893658659</v>
      </c>
      <c r="F5307" s="92">
        <v>45911</v>
      </c>
      <c r="G5307" s="87">
        <v>330</v>
      </c>
      <c r="H5307" s="88">
        <v>43664.850136239787</v>
      </c>
      <c r="I5307" s="89">
        <v>8</v>
      </c>
      <c r="J5307" s="90">
        <v>16025</v>
      </c>
      <c r="K5307" s="85">
        <v>1</v>
      </c>
      <c r="L5307" s="85">
        <v>115</v>
      </c>
      <c r="M5307" s="85">
        <v>0</v>
      </c>
      <c r="N5307" s="82" t="s">
        <v>12427</v>
      </c>
      <c r="O5307" s="93">
        <v>45912.217453703706</v>
      </c>
    </row>
    <row r="5308" spans="1:15" ht="22.5" customHeight="1">
      <c r="A5308" s="85">
        <v>766589657993298</v>
      </c>
      <c r="B5308" s="82" t="s">
        <v>10688</v>
      </c>
      <c r="C5308" s="82" t="s">
        <v>11413</v>
      </c>
      <c r="D5308" s="82" t="s">
        <v>5697</v>
      </c>
      <c r="E5308" s="82">
        <v>6281385001244</v>
      </c>
      <c r="F5308" s="92">
        <v>45911</v>
      </c>
      <c r="G5308" s="87">
        <v>668</v>
      </c>
      <c r="H5308" s="88">
        <v>20182.608695652176</v>
      </c>
      <c r="I5308" s="89">
        <v>27</v>
      </c>
      <c r="J5308" s="90">
        <v>16247</v>
      </c>
      <c r="K5308" s="85">
        <v>4</v>
      </c>
      <c r="L5308" s="85">
        <v>1</v>
      </c>
      <c r="M5308" s="85">
        <v>1</v>
      </c>
      <c r="N5308" s="82" t="s">
        <v>12428</v>
      </c>
      <c r="O5308" s="93">
        <v>45912.446319444447</v>
      </c>
    </row>
    <row r="5309" spans="1:15" ht="22.5" customHeight="1">
      <c r="A5309" s="85">
        <v>766589657993298</v>
      </c>
      <c r="B5309" s="82" t="s">
        <v>10688</v>
      </c>
      <c r="C5309" s="82" t="s">
        <v>11418</v>
      </c>
      <c r="D5309" s="82" t="s">
        <v>2480</v>
      </c>
      <c r="E5309" s="82">
        <v>6287856230745</v>
      </c>
      <c r="F5309" s="92">
        <v>45911</v>
      </c>
      <c r="G5309" s="87">
        <v>972</v>
      </c>
      <c r="H5309" s="88">
        <v>14594.827586206897</v>
      </c>
      <c r="I5309" s="89">
        <v>22</v>
      </c>
      <c r="J5309" s="90">
        <v>16930</v>
      </c>
      <c r="K5309" s="85">
        <v>1</v>
      </c>
      <c r="L5309" s="85">
        <v>1</v>
      </c>
      <c r="M5309" s="85">
        <v>0</v>
      </c>
      <c r="N5309" s="82" t="s">
        <v>12429</v>
      </c>
      <c r="O5309" s="93">
        <v>45912.467361111114</v>
      </c>
    </row>
    <row r="5310" spans="1:15" ht="22.5" customHeight="1">
      <c r="A5310" s="85">
        <v>766589657993298</v>
      </c>
      <c r="B5310" s="82" t="s">
        <v>10688</v>
      </c>
      <c r="C5310" s="82" t="s">
        <v>11383</v>
      </c>
      <c r="D5310" s="82" t="s">
        <v>11384</v>
      </c>
      <c r="E5310" s="82">
        <v>62881038177010</v>
      </c>
      <c r="F5310" s="92">
        <v>45911</v>
      </c>
      <c r="G5310" s="87">
        <v>369</v>
      </c>
      <c r="H5310" s="88">
        <v>38351.111111111109</v>
      </c>
      <c r="I5310" s="89">
        <v>9</v>
      </c>
      <c r="J5310" s="90">
        <v>17258</v>
      </c>
      <c r="K5310" s="85">
        <v>1</v>
      </c>
      <c r="L5310" s="85">
        <v>13</v>
      </c>
      <c r="M5310" s="85">
        <v>0</v>
      </c>
      <c r="N5310" s="82" t="s">
        <v>12430</v>
      </c>
      <c r="O5310" s="93">
        <v>45912.217465277776</v>
      </c>
    </row>
    <row r="5311" spans="1:15" ht="22.5" customHeight="1">
      <c r="A5311" s="85">
        <v>766589657993298</v>
      </c>
      <c r="B5311" s="82" t="s">
        <v>10688</v>
      </c>
      <c r="C5311" s="82" t="s">
        <v>11318</v>
      </c>
      <c r="D5311" s="82" t="s">
        <v>11365</v>
      </c>
      <c r="E5311" s="82">
        <v>6282310465999</v>
      </c>
      <c r="F5311" s="92">
        <v>45911</v>
      </c>
      <c r="G5311" s="87">
        <v>1136</v>
      </c>
      <c r="H5311" s="88">
        <v>20740.300870942199</v>
      </c>
      <c r="I5311" s="89">
        <v>24</v>
      </c>
      <c r="J5311" s="90">
        <v>26195</v>
      </c>
      <c r="K5311" s="85">
        <v>2</v>
      </c>
      <c r="L5311" s="85">
        <v>0</v>
      </c>
      <c r="M5311" s="85">
        <v>0</v>
      </c>
      <c r="N5311" s="82" t="s">
        <v>12431</v>
      </c>
      <c r="O5311" s="93">
        <v>45912.306180555555</v>
      </c>
    </row>
    <row r="5312" spans="1:15" ht="22.5" customHeight="1">
      <c r="A5312" s="85">
        <v>766589657993298</v>
      </c>
      <c r="B5312" s="82" t="s">
        <v>10688</v>
      </c>
      <c r="C5312" s="82" t="s">
        <v>11262</v>
      </c>
      <c r="D5312" s="82" t="s">
        <v>350</v>
      </c>
      <c r="E5312" s="82">
        <v>6281394618785</v>
      </c>
      <c r="F5312" s="92">
        <v>45911</v>
      </c>
      <c r="G5312" s="87">
        <v>838</v>
      </c>
      <c r="H5312" s="88">
        <v>18510.526315789473</v>
      </c>
      <c r="I5312" s="89">
        <v>34</v>
      </c>
      <c r="J5312" s="90">
        <v>17585</v>
      </c>
      <c r="K5312" s="85">
        <v>3</v>
      </c>
      <c r="L5312" s="85">
        <v>0</v>
      </c>
      <c r="M5312" s="85">
        <v>0</v>
      </c>
      <c r="N5312" s="82" t="s">
        <v>11263</v>
      </c>
      <c r="O5312" s="93">
        <v>45912.487638888888</v>
      </c>
    </row>
    <row r="5313" spans="1:15" ht="22.5" customHeight="1">
      <c r="A5313" s="85">
        <v>174904221976312</v>
      </c>
      <c r="B5313" s="82" t="s">
        <v>10651</v>
      </c>
      <c r="C5313" s="82" t="s">
        <v>12432</v>
      </c>
      <c r="D5313" s="82" t="s">
        <v>3518</v>
      </c>
      <c r="E5313" s="82">
        <v>6285657238556</v>
      </c>
      <c r="F5313" s="92">
        <v>45912</v>
      </c>
      <c r="G5313" s="87">
        <v>337</v>
      </c>
      <c r="H5313" s="88">
        <v>34050.279329608944</v>
      </c>
      <c r="I5313" s="89">
        <v>7</v>
      </c>
      <c r="J5313" s="90">
        <v>12190</v>
      </c>
      <c r="K5313" s="85">
        <v>2</v>
      </c>
      <c r="L5313" s="85">
        <v>0</v>
      </c>
      <c r="M5313" s="85">
        <v>0</v>
      </c>
      <c r="N5313" s="82" t="s">
        <v>12433</v>
      </c>
      <c r="O5313" s="93">
        <v>45913.464722222219</v>
      </c>
    </row>
    <row r="5314" spans="1:15" ht="22.5" customHeight="1">
      <c r="A5314" s="85">
        <v>174904221976312</v>
      </c>
      <c r="B5314" s="82" t="s">
        <v>10651</v>
      </c>
      <c r="C5314" s="82" t="s">
        <v>12360</v>
      </c>
      <c r="D5314" s="82" t="s">
        <v>12361</v>
      </c>
      <c r="E5314" s="82">
        <v>6285213857442</v>
      </c>
      <c r="F5314" s="92">
        <v>45912</v>
      </c>
      <c r="G5314" s="87">
        <v>819</v>
      </c>
      <c r="H5314" s="88">
        <v>12966.101694915254</v>
      </c>
      <c r="I5314" s="89">
        <v>23</v>
      </c>
      <c r="J5314" s="90">
        <v>12240</v>
      </c>
      <c r="K5314" s="85">
        <v>1</v>
      </c>
      <c r="L5314" s="85">
        <v>0</v>
      </c>
      <c r="M5314" s="85">
        <v>0</v>
      </c>
      <c r="N5314" s="82" t="s">
        <v>12362</v>
      </c>
      <c r="O5314" s="93">
        <v>45913.589050925926</v>
      </c>
    </row>
    <row r="5315" spans="1:15" ht="22.5" customHeight="1">
      <c r="A5315" s="85">
        <v>174904221976312</v>
      </c>
      <c r="B5315" s="82" t="s">
        <v>10651</v>
      </c>
      <c r="C5315" s="82" t="s">
        <v>12363</v>
      </c>
      <c r="D5315" s="82" t="s">
        <v>5371</v>
      </c>
      <c r="E5315" s="82">
        <v>6282135496939</v>
      </c>
      <c r="F5315" s="92">
        <v>45912</v>
      </c>
      <c r="G5315" s="87">
        <v>460</v>
      </c>
      <c r="H5315" s="88">
        <v>27072.314049586777</v>
      </c>
      <c r="I5315" s="89">
        <v>7</v>
      </c>
      <c r="J5315" s="90">
        <v>13103</v>
      </c>
      <c r="K5315" s="85">
        <v>2</v>
      </c>
      <c r="L5315" s="85">
        <v>1</v>
      </c>
      <c r="M5315" s="85">
        <v>0</v>
      </c>
      <c r="N5315" s="82" t="s">
        <v>12364</v>
      </c>
      <c r="O5315" s="93">
        <v>45913.547372685185</v>
      </c>
    </row>
    <row r="5316" spans="1:15" ht="22.5" customHeight="1">
      <c r="A5316" s="85">
        <v>174904221976312</v>
      </c>
      <c r="B5316" s="82" t="s">
        <v>10651</v>
      </c>
      <c r="C5316" s="82" t="s">
        <v>12344</v>
      </c>
      <c r="D5316" s="82" t="s">
        <v>5213</v>
      </c>
      <c r="E5316" s="82">
        <v>6281341637566</v>
      </c>
      <c r="F5316" s="92">
        <v>45912</v>
      </c>
      <c r="G5316" s="87">
        <v>298</v>
      </c>
      <c r="H5316" s="88">
        <v>35213.888888888891</v>
      </c>
      <c r="I5316" s="89">
        <v>20</v>
      </c>
      <c r="J5316" s="90">
        <v>12677</v>
      </c>
      <c r="K5316" s="85">
        <v>7</v>
      </c>
      <c r="L5316" s="85">
        <v>55</v>
      </c>
      <c r="M5316" s="85">
        <v>0</v>
      </c>
      <c r="N5316" s="82" t="s">
        <v>12345</v>
      </c>
      <c r="O5316" s="93">
        <v>45913.506203703706</v>
      </c>
    </row>
    <row r="5317" spans="1:15" ht="22.5" customHeight="1">
      <c r="A5317" s="85">
        <v>174904221976312</v>
      </c>
      <c r="B5317" s="82" t="s">
        <v>10651</v>
      </c>
      <c r="C5317" s="82" t="s">
        <v>12346</v>
      </c>
      <c r="D5317" s="82" t="s">
        <v>5399</v>
      </c>
      <c r="E5317" s="82">
        <v>6282220945171</v>
      </c>
      <c r="F5317" s="92">
        <v>45912</v>
      </c>
      <c r="G5317" s="87">
        <v>569</v>
      </c>
      <c r="H5317" s="88">
        <v>22048.338368580062</v>
      </c>
      <c r="I5317" s="89">
        <v>25</v>
      </c>
      <c r="J5317" s="90">
        <v>14596</v>
      </c>
      <c r="K5317" s="85">
        <v>5</v>
      </c>
      <c r="L5317" s="85">
        <v>78</v>
      </c>
      <c r="M5317" s="85">
        <v>0</v>
      </c>
      <c r="N5317" s="82" t="s">
        <v>12347</v>
      </c>
      <c r="O5317" s="93">
        <v>45913.547372685185</v>
      </c>
    </row>
    <row r="5318" spans="1:15" ht="22.5" customHeight="1">
      <c r="A5318" s="85">
        <v>174904221976312</v>
      </c>
      <c r="B5318" s="82" t="s">
        <v>10651</v>
      </c>
      <c r="C5318" s="82" t="s">
        <v>12348</v>
      </c>
      <c r="D5318" s="82" t="s">
        <v>12349</v>
      </c>
      <c r="E5318" s="82">
        <v>6281348215665</v>
      </c>
      <c r="F5318" s="92">
        <v>45912</v>
      </c>
      <c r="G5318" s="87">
        <v>362</v>
      </c>
      <c r="H5318" s="88">
        <v>33472.422062350117</v>
      </c>
      <c r="I5318" s="89">
        <v>6</v>
      </c>
      <c r="J5318" s="90">
        <v>13958</v>
      </c>
      <c r="K5318" s="85">
        <v>1</v>
      </c>
      <c r="L5318" s="85">
        <v>0</v>
      </c>
      <c r="M5318" s="85">
        <v>0</v>
      </c>
      <c r="N5318" s="82" t="s">
        <v>12350</v>
      </c>
      <c r="O5318" s="93">
        <v>45913.464375000003</v>
      </c>
    </row>
    <row r="5319" spans="1:15" ht="22.5" customHeight="1">
      <c r="A5319" s="85">
        <v>174904221976312</v>
      </c>
      <c r="B5319" s="82" t="s">
        <v>10651</v>
      </c>
      <c r="C5319" s="82" t="s">
        <v>12351</v>
      </c>
      <c r="D5319" s="82" t="s">
        <v>5339</v>
      </c>
      <c r="E5319" s="82">
        <v>6282220371971</v>
      </c>
      <c r="F5319" s="92">
        <v>45912</v>
      </c>
      <c r="G5319" s="87">
        <v>419</v>
      </c>
      <c r="H5319" s="88">
        <v>29417.849898580123</v>
      </c>
      <c r="I5319" s="89">
        <v>36</v>
      </c>
      <c r="J5319" s="90">
        <v>14503</v>
      </c>
      <c r="K5319" s="85">
        <v>11</v>
      </c>
      <c r="L5319" s="85">
        <v>30</v>
      </c>
      <c r="M5319" s="85">
        <v>1</v>
      </c>
      <c r="N5319" s="82" t="s">
        <v>12352</v>
      </c>
      <c r="O5319" s="93">
        <v>45913.568518518521</v>
      </c>
    </row>
    <row r="5320" spans="1:15" ht="22.5" customHeight="1">
      <c r="A5320" s="85">
        <v>174904221976312</v>
      </c>
      <c r="B5320" s="82" t="s">
        <v>10651</v>
      </c>
      <c r="C5320" s="82" t="s">
        <v>12353</v>
      </c>
      <c r="D5320" s="82" t="s">
        <v>12354</v>
      </c>
      <c r="E5320" s="82">
        <v>6281355662725</v>
      </c>
      <c r="F5320" s="92">
        <v>45912</v>
      </c>
      <c r="G5320" s="87">
        <v>369</v>
      </c>
      <c r="H5320" s="88">
        <v>33082.70676691729</v>
      </c>
      <c r="I5320" s="89">
        <v>16</v>
      </c>
      <c r="J5320" s="90">
        <v>13200</v>
      </c>
      <c r="K5320" s="85">
        <v>0</v>
      </c>
      <c r="L5320" s="85">
        <v>143</v>
      </c>
      <c r="M5320" s="85">
        <v>1</v>
      </c>
      <c r="N5320" s="82" t="s">
        <v>12355</v>
      </c>
      <c r="O5320" s="93">
        <v>45913.505879629629</v>
      </c>
    </row>
    <row r="5321" spans="1:15" ht="22.5" customHeight="1">
      <c r="A5321" s="85">
        <v>174904221976312</v>
      </c>
      <c r="B5321" s="82" t="s">
        <v>10651</v>
      </c>
      <c r="C5321" s="82" t="s">
        <v>12356</v>
      </c>
      <c r="D5321" s="82" t="s">
        <v>2202</v>
      </c>
      <c r="E5321" s="82">
        <v>62895374644456</v>
      </c>
      <c r="F5321" s="92">
        <v>45912</v>
      </c>
      <c r="G5321" s="87">
        <v>550</v>
      </c>
      <c r="H5321" s="88">
        <v>21652.713178294573</v>
      </c>
      <c r="I5321" s="89">
        <v>53</v>
      </c>
      <c r="J5321" s="90">
        <v>13966</v>
      </c>
      <c r="K5321" s="85">
        <v>10</v>
      </c>
      <c r="L5321" s="85">
        <v>337</v>
      </c>
      <c r="M5321" s="85">
        <v>1</v>
      </c>
      <c r="N5321" s="82" t="s">
        <v>12357</v>
      </c>
      <c r="O5321" s="93">
        <v>45913.568506944444</v>
      </c>
    </row>
    <row r="5322" spans="1:15" ht="22.5" customHeight="1">
      <c r="A5322" s="85">
        <v>174904221976312</v>
      </c>
      <c r="B5322" s="82" t="s">
        <v>10651</v>
      </c>
      <c r="C5322" s="82" t="s">
        <v>12322</v>
      </c>
      <c r="D5322" s="82" t="s">
        <v>12323</v>
      </c>
      <c r="E5322" s="82">
        <v>6282280771367</v>
      </c>
      <c r="F5322" s="92">
        <v>45912</v>
      </c>
      <c r="G5322" s="87">
        <v>783</v>
      </c>
      <c r="H5322" s="88">
        <v>14145.610278372591</v>
      </c>
      <c r="I5322" s="89">
        <v>7</v>
      </c>
      <c r="J5322" s="90">
        <v>13212</v>
      </c>
      <c r="K5322" s="85">
        <v>0</v>
      </c>
      <c r="L5322" s="85">
        <v>136</v>
      </c>
      <c r="M5322" s="85">
        <v>0</v>
      </c>
      <c r="N5322" s="82" t="s">
        <v>12324</v>
      </c>
      <c r="O5322" s="93">
        <v>45913.464722222219</v>
      </c>
    </row>
    <row r="5323" spans="1:15" ht="22.5" customHeight="1">
      <c r="A5323" s="85">
        <v>174904221976312</v>
      </c>
      <c r="B5323" s="82" t="s">
        <v>10651</v>
      </c>
      <c r="C5323" s="82" t="s">
        <v>12325</v>
      </c>
      <c r="D5323" s="82" t="s">
        <v>5315</v>
      </c>
      <c r="E5323" s="82">
        <v>6281460494182</v>
      </c>
      <c r="F5323" s="92">
        <v>45912</v>
      </c>
      <c r="G5323" s="87">
        <v>654</v>
      </c>
      <c r="H5323" s="88">
        <v>16357.733175914995</v>
      </c>
      <c r="I5323" s="89">
        <v>26</v>
      </c>
      <c r="J5323" s="90">
        <v>13855</v>
      </c>
      <c r="K5323" s="85">
        <v>4</v>
      </c>
      <c r="L5323" s="85">
        <v>0</v>
      </c>
      <c r="M5323" s="85">
        <v>0</v>
      </c>
      <c r="N5323" s="82" t="s">
        <v>12365</v>
      </c>
      <c r="O5323" s="93">
        <v>45913.505879629629</v>
      </c>
    </row>
    <row r="5324" spans="1:15" ht="22.5" customHeight="1">
      <c r="A5324" s="85">
        <v>174904221976312</v>
      </c>
      <c r="B5324" s="82" t="s">
        <v>10651</v>
      </c>
      <c r="C5324" s="82" t="s">
        <v>12327</v>
      </c>
      <c r="D5324" s="82" t="s">
        <v>12328</v>
      </c>
      <c r="E5324" s="82">
        <v>6281249008778</v>
      </c>
      <c r="F5324" s="92">
        <v>45912</v>
      </c>
      <c r="G5324" s="87">
        <v>326</v>
      </c>
      <c r="H5324" s="88">
        <v>34534.031413612567</v>
      </c>
      <c r="I5324" s="89">
        <v>20</v>
      </c>
      <c r="J5324" s="90">
        <v>13192</v>
      </c>
      <c r="K5324" s="85">
        <v>3</v>
      </c>
      <c r="L5324" s="85">
        <v>0</v>
      </c>
      <c r="M5324" s="85">
        <v>0</v>
      </c>
      <c r="N5324" s="82" t="s">
        <v>12358</v>
      </c>
      <c r="O5324" s="93">
        <v>45913.442974537036</v>
      </c>
    </row>
    <row r="5325" spans="1:15" ht="22.5" customHeight="1">
      <c r="A5325" s="85">
        <v>174904221976312</v>
      </c>
      <c r="B5325" s="82" t="s">
        <v>10651</v>
      </c>
      <c r="C5325" s="82" t="s">
        <v>12330</v>
      </c>
      <c r="D5325" s="82" t="s">
        <v>5283</v>
      </c>
      <c r="E5325" s="82">
        <v>6283149477297</v>
      </c>
      <c r="F5325" s="92">
        <v>45912</v>
      </c>
      <c r="G5325" s="87">
        <v>803</v>
      </c>
      <c r="H5325" s="88">
        <v>13473.029045643154</v>
      </c>
      <c r="I5325" s="89">
        <v>39</v>
      </c>
      <c r="J5325" s="90">
        <v>12988</v>
      </c>
      <c r="K5325" s="85">
        <v>6</v>
      </c>
      <c r="L5325" s="85">
        <v>0</v>
      </c>
      <c r="M5325" s="85">
        <v>1</v>
      </c>
      <c r="N5325" s="82" t="s">
        <v>12331</v>
      </c>
      <c r="O5325" s="93">
        <v>45913.610185185185</v>
      </c>
    </row>
    <row r="5326" spans="1:15" ht="22.5" customHeight="1">
      <c r="A5326" s="85">
        <v>174904221976312</v>
      </c>
      <c r="B5326" s="82" t="s">
        <v>10651</v>
      </c>
      <c r="C5326" s="82" t="s">
        <v>12332</v>
      </c>
      <c r="D5326" s="82" t="s">
        <v>12333</v>
      </c>
      <c r="E5326" s="82">
        <v>6282391199993</v>
      </c>
      <c r="F5326" s="92">
        <v>45912</v>
      </c>
      <c r="G5326" s="87">
        <v>1088</v>
      </c>
      <c r="H5326" s="88">
        <v>10460.061443932413</v>
      </c>
      <c r="I5326" s="89">
        <v>20</v>
      </c>
      <c r="J5326" s="90">
        <v>13619</v>
      </c>
      <c r="K5326" s="85">
        <v>3</v>
      </c>
      <c r="L5326" s="85">
        <v>0</v>
      </c>
      <c r="M5326" s="85">
        <v>0</v>
      </c>
      <c r="N5326" s="82" t="s">
        <v>12334</v>
      </c>
      <c r="O5326" s="93">
        <v>45913.442962962959</v>
      </c>
    </row>
    <row r="5327" spans="1:15" ht="22.5" customHeight="1">
      <c r="A5327" s="85">
        <v>174904221976312</v>
      </c>
      <c r="B5327" s="82" t="s">
        <v>10651</v>
      </c>
      <c r="C5327" s="82" t="s">
        <v>12335</v>
      </c>
      <c r="D5327" s="82" t="s">
        <v>5046</v>
      </c>
      <c r="E5327" s="82">
        <v>6282266469686</v>
      </c>
      <c r="F5327" s="92">
        <v>45912</v>
      </c>
      <c r="G5327" s="87">
        <v>457</v>
      </c>
      <c r="H5327" s="88">
        <v>28499.0366088632</v>
      </c>
      <c r="I5327" s="89">
        <v>14</v>
      </c>
      <c r="J5327" s="90">
        <v>14791</v>
      </c>
      <c r="K5327" s="85">
        <v>2</v>
      </c>
      <c r="L5327" s="85">
        <v>190</v>
      </c>
      <c r="M5327" s="85">
        <v>0</v>
      </c>
      <c r="N5327" s="82" t="s">
        <v>12336</v>
      </c>
      <c r="O5327" s="93">
        <v>45913.44295138889</v>
      </c>
    </row>
    <row r="5328" spans="1:15" ht="22.5" customHeight="1">
      <c r="A5328" s="85">
        <v>174904221976312</v>
      </c>
      <c r="B5328" s="82" t="s">
        <v>10651</v>
      </c>
      <c r="C5328" s="82" t="s">
        <v>12307</v>
      </c>
      <c r="D5328" s="82" t="s">
        <v>12308</v>
      </c>
      <c r="E5328" s="82">
        <v>62881022356673</v>
      </c>
      <c r="F5328" s="92">
        <v>45912</v>
      </c>
      <c r="G5328" s="87">
        <v>564</v>
      </c>
      <c r="H5328" s="88">
        <v>25515.822784810127</v>
      </c>
      <c r="I5328" s="89">
        <v>38</v>
      </c>
      <c r="J5328" s="90">
        <v>16126</v>
      </c>
      <c r="K5328" s="85">
        <v>9</v>
      </c>
      <c r="L5328" s="85">
        <v>0</v>
      </c>
      <c r="M5328" s="85">
        <v>0</v>
      </c>
      <c r="N5328" s="82" t="s">
        <v>12309</v>
      </c>
      <c r="O5328" s="93">
        <v>45913.381006944444</v>
      </c>
    </row>
    <row r="5329" spans="1:15" ht="22.5" customHeight="1">
      <c r="A5329" s="85">
        <v>174904221976312</v>
      </c>
      <c r="B5329" s="82" t="s">
        <v>10651</v>
      </c>
      <c r="C5329" s="82" t="s">
        <v>12310</v>
      </c>
      <c r="D5329" s="82" t="s">
        <v>3633</v>
      </c>
      <c r="E5329" s="82">
        <v>6285710003464</v>
      </c>
      <c r="F5329" s="92">
        <v>45912</v>
      </c>
      <c r="G5329" s="87">
        <v>11199</v>
      </c>
      <c r="H5329" s="88">
        <v>1125.3683364586125</v>
      </c>
      <c r="I5329" s="89">
        <v>18</v>
      </c>
      <c r="J5329" s="90">
        <v>12603</v>
      </c>
      <c r="K5329" s="85">
        <v>0</v>
      </c>
      <c r="L5329" s="85">
        <v>930</v>
      </c>
      <c r="M5329" s="85">
        <v>0</v>
      </c>
      <c r="N5329" s="82" t="s">
        <v>12311</v>
      </c>
      <c r="O5329" s="93">
        <v>45913.276597222219</v>
      </c>
    </row>
    <row r="5330" spans="1:15" ht="22.5" customHeight="1">
      <c r="A5330" s="85">
        <v>174904221976312</v>
      </c>
      <c r="B5330" s="82" t="s">
        <v>10651</v>
      </c>
      <c r="C5330" s="82" t="s">
        <v>12276</v>
      </c>
      <c r="D5330" s="82" t="s">
        <v>12277</v>
      </c>
      <c r="E5330" s="82">
        <v>6281558822937</v>
      </c>
      <c r="F5330" s="92">
        <v>45912</v>
      </c>
      <c r="G5330" s="87">
        <v>123</v>
      </c>
      <c r="H5330" s="88">
        <v>100980.26315789473</v>
      </c>
      <c r="I5330" s="89">
        <v>4</v>
      </c>
      <c r="J5330" s="90">
        <v>15349</v>
      </c>
      <c r="K5330" s="85">
        <v>2</v>
      </c>
      <c r="L5330" s="85">
        <v>0</v>
      </c>
      <c r="M5330" s="85">
        <v>0</v>
      </c>
      <c r="N5330" s="82" t="s">
        <v>12314</v>
      </c>
      <c r="O5330" s="93">
        <v>45913.422060185185</v>
      </c>
    </row>
    <row r="5331" spans="1:15" ht="22.5" customHeight="1">
      <c r="A5331" s="85">
        <v>174904221976312</v>
      </c>
      <c r="B5331" s="82" t="s">
        <v>10651</v>
      </c>
      <c r="C5331" s="82" t="s">
        <v>12279</v>
      </c>
      <c r="D5331" s="82" t="s">
        <v>11800</v>
      </c>
      <c r="E5331" s="82">
        <v>6285333751528</v>
      </c>
      <c r="F5331" s="92">
        <v>45912</v>
      </c>
      <c r="G5331" s="87">
        <v>89</v>
      </c>
      <c r="H5331" s="88">
        <v>111247.61904761905</v>
      </c>
      <c r="I5331" s="89">
        <v>4</v>
      </c>
      <c r="J5331" s="90">
        <v>11681</v>
      </c>
      <c r="K5331" s="85">
        <v>1</v>
      </c>
      <c r="L5331" s="85">
        <v>0</v>
      </c>
      <c r="M5331" s="85">
        <v>0</v>
      </c>
      <c r="N5331" s="82" t="s">
        <v>12337</v>
      </c>
      <c r="O5331" s="93">
        <v>45913.401574074072</v>
      </c>
    </row>
    <row r="5332" spans="1:15" ht="22.5" customHeight="1">
      <c r="A5332" s="85">
        <v>174904221976312</v>
      </c>
      <c r="B5332" s="82" t="s">
        <v>10651</v>
      </c>
      <c r="C5332" s="82" t="s">
        <v>12284</v>
      </c>
      <c r="D5332" s="82" t="s">
        <v>12285</v>
      </c>
      <c r="E5332" s="82">
        <v>6285921481643</v>
      </c>
      <c r="F5332" s="92">
        <v>45912</v>
      </c>
      <c r="G5332" s="87">
        <v>357</v>
      </c>
      <c r="H5332" s="88">
        <v>36627.314814814818</v>
      </c>
      <c r="I5332" s="89">
        <v>8</v>
      </c>
      <c r="J5332" s="90">
        <v>15823</v>
      </c>
      <c r="K5332" s="85">
        <v>2</v>
      </c>
      <c r="L5332" s="85">
        <v>0</v>
      </c>
      <c r="M5332" s="85">
        <v>0</v>
      </c>
      <c r="N5332" s="82" t="s">
        <v>12338</v>
      </c>
      <c r="O5332" s="93">
        <v>45913.44295138889</v>
      </c>
    </row>
    <row r="5333" spans="1:15" ht="22.5" customHeight="1">
      <c r="A5333" s="85">
        <v>174904221976312</v>
      </c>
      <c r="B5333" s="82" t="s">
        <v>10651</v>
      </c>
      <c r="C5333" s="82" t="s">
        <v>12263</v>
      </c>
      <c r="D5333" s="82" t="s">
        <v>12264</v>
      </c>
      <c r="E5333" s="82">
        <v>62817308228</v>
      </c>
      <c r="F5333" s="92">
        <v>45912</v>
      </c>
      <c r="G5333" s="87">
        <v>373</v>
      </c>
      <c r="H5333" s="88">
        <v>27086.124401913876</v>
      </c>
      <c r="I5333" s="89">
        <v>16</v>
      </c>
      <c r="J5333" s="90">
        <v>11322</v>
      </c>
      <c r="K5333" s="85">
        <v>2</v>
      </c>
      <c r="L5333" s="85">
        <v>0</v>
      </c>
      <c r="M5333" s="85">
        <v>0</v>
      </c>
      <c r="N5333" s="82" t="s">
        <v>12316</v>
      </c>
      <c r="O5333" s="93">
        <v>45913.216990740744</v>
      </c>
    </row>
    <row r="5334" spans="1:15" ht="22.5" customHeight="1">
      <c r="A5334" s="85">
        <v>174904221976312</v>
      </c>
      <c r="B5334" s="82" t="s">
        <v>10651</v>
      </c>
      <c r="C5334" s="82" t="s">
        <v>12269</v>
      </c>
      <c r="D5334" s="82" t="s">
        <v>12270</v>
      </c>
      <c r="E5334" s="82">
        <v>6282229433259</v>
      </c>
      <c r="F5334" s="92">
        <v>45912</v>
      </c>
      <c r="G5334" s="87">
        <v>157</v>
      </c>
      <c r="H5334" s="88">
        <v>74981.707317073175</v>
      </c>
      <c r="I5334" s="89">
        <v>5</v>
      </c>
      <c r="J5334" s="90">
        <v>12297</v>
      </c>
      <c r="K5334" s="85">
        <v>1</v>
      </c>
      <c r="L5334" s="85">
        <v>0</v>
      </c>
      <c r="M5334" s="85">
        <v>0</v>
      </c>
      <c r="N5334" s="82" t="s">
        <v>12339</v>
      </c>
      <c r="O5334" s="93">
        <v>45913.422071759262</v>
      </c>
    </row>
    <row r="5335" spans="1:15" ht="22.5" customHeight="1">
      <c r="A5335" s="85">
        <v>174904221976312</v>
      </c>
      <c r="B5335" s="82" t="s">
        <v>10651</v>
      </c>
      <c r="C5335" s="82" t="s">
        <v>12234</v>
      </c>
      <c r="D5335" s="82" t="s">
        <v>12235</v>
      </c>
      <c r="E5335" s="82">
        <v>6285780314346</v>
      </c>
      <c r="F5335" s="92">
        <v>45912</v>
      </c>
      <c r="G5335" s="87">
        <v>665</v>
      </c>
      <c r="H5335" s="88">
        <v>17639.024390243903</v>
      </c>
      <c r="I5335" s="89">
        <v>47</v>
      </c>
      <c r="J5335" s="90">
        <v>14464</v>
      </c>
      <c r="K5335" s="85">
        <v>2</v>
      </c>
      <c r="L5335" s="85">
        <v>156</v>
      </c>
      <c r="M5335" s="85">
        <v>0</v>
      </c>
      <c r="N5335" s="82" t="s">
        <v>12434</v>
      </c>
      <c r="O5335" s="93">
        <v>45913.484722222223</v>
      </c>
    </row>
    <row r="5336" spans="1:15" ht="22.5" customHeight="1">
      <c r="A5336" s="85">
        <v>174904221976312</v>
      </c>
      <c r="B5336" s="82" t="s">
        <v>10651</v>
      </c>
      <c r="C5336" s="82" t="s">
        <v>12237</v>
      </c>
      <c r="D5336" s="82" t="s">
        <v>12238</v>
      </c>
      <c r="E5336" s="82">
        <v>6287888330007</v>
      </c>
      <c r="F5336" s="92">
        <v>45912</v>
      </c>
      <c r="G5336" s="87">
        <v>640</v>
      </c>
      <c r="H5336" s="88">
        <v>20316.735822959887</v>
      </c>
      <c r="I5336" s="89">
        <v>21</v>
      </c>
      <c r="J5336" s="90">
        <v>14689</v>
      </c>
      <c r="K5336" s="85">
        <v>4</v>
      </c>
      <c r="L5336" s="85">
        <v>47</v>
      </c>
      <c r="M5336" s="85">
        <v>0</v>
      </c>
      <c r="N5336" s="82" t="s">
        <v>12359</v>
      </c>
      <c r="O5336" s="93">
        <v>45913.422071759262</v>
      </c>
    </row>
    <row r="5337" spans="1:15" ht="22.5" customHeight="1">
      <c r="A5337" s="85">
        <v>174904221976312</v>
      </c>
      <c r="B5337" s="82" t="s">
        <v>10651</v>
      </c>
      <c r="C5337" s="82" t="s">
        <v>12240</v>
      </c>
      <c r="D5337" s="82" t="s">
        <v>12241</v>
      </c>
      <c r="E5337" s="82">
        <v>6285600822636</v>
      </c>
      <c r="F5337" s="92">
        <v>45912</v>
      </c>
      <c r="G5337" s="87">
        <v>685</v>
      </c>
      <c r="H5337" s="88">
        <v>20178.663239074547</v>
      </c>
      <c r="I5337" s="89">
        <v>10</v>
      </c>
      <c r="J5337" s="90">
        <v>15699</v>
      </c>
      <c r="K5337" s="85">
        <v>2</v>
      </c>
      <c r="L5337" s="85">
        <v>0</v>
      </c>
      <c r="M5337" s="85">
        <v>0</v>
      </c>
      <c r="N5337" s="82" t="s">
        <v>12274</v>
      </c>
      <c r="O5337" s="93">
        <v>45913.380752314813</v>
      </c>
    </row>
    <row r="5338" spans="1:15" ht="22.5" customHeight="1">
      <c r="A5338" s="85">
        <v>174904221976312</v>
      </c>
      <c r="B5338" s="82" t="s">
        <v>10651</v>
      </c>
      <c r="C5338" s="82" t="s">
        <v>12207</v>
      </c>
      <c r="D5338" s="91" t="s">
        <v>4875</v>
      </c>
      <c r="E5338" s="82">
        <v>6285719003688</v>
      </c>
      <c r="F5338" s="92">
        <v>45912</v>
      </c>
      <c r="G5338" s="87">
        <v>145</v>
      </c>
      <c r="H5338" s="88">
        <v>92296.296296296292</v>
      </c>
      <c r="I5338" s="89">
        <v>2</v>
      </c>
      <c r="J5338" s="90">
        <v>14952</v>
      </c>
      <c r="K5338" s="85">
        <v>0</v>
      </c>
      <c r="L5338" s="85">
        <v>0</v>
      </c>
      <c r="M5338" s="85">
        <v>0</v>
      </c>
      <c r="N5338" s="82" t="s">
        <v>12287</v>
      </c>
      <c r="O5338" s="93">
        <v>45913.505879629629</v>
      </c>
    </row>
    <row r="5339" spans="1:15" ht="22.5" customHeight="1">
      <c r="A5339" s="85">
        <v>174904221976312</v>
      </c>
      <c r="B5339" s="82" t="s">
        <v>10651</v>
      </c>
      <c r="C5339" s="82" t="s">
        <v>12209</v>
      </c>
      <c r="D5339" s="82" t="s">
        <v>12210</v>
      </c>
      <c r="E5339" s="82">
        <v>6282217300224</v>
      </c>
      <c r="F5339" s="92">
        <v>45912</v>
      </c>
      <c r="G5339" s="87">
        <v>172</v>
      </c>
      <c r="H5339" s="88">
        <v>66063.829787234048</v>
      </c>
      <c r="I5339" s="89">
        <v>1</v>
      </c>
      <c r="J5339" s="90">
        <v>12420</v>
      </c>
      <c r="K5339" s="85">
        <v>0</v>
      </c>
      <c r="L5339" s="85">
        <v>0</v>
      </c>
      <c r="M5339" s="85">
        <v>0</v>
      </c>
      <c r="N5339" s="82" t="s">
        <v>12317</v>
      </c>
      <c r="O5339" s="93">
        <v>45913.464375000003</v>
      </c>
    </row>
    <row r="5340" spans="1:15" ht="22.5" customHeight="1">
      <c r="A5340" s="85">
        <v>174904221976312</v>
      </c>
      <c r="B5340" s="82" t="s">
        <v>10651</v>
      </c>
      <c r="C5340" s="82" t="s">
        <v>12164</v>
      </c>
      <c r="D5340" s="82" t="s">
        <v>12165</v>
      </c>
      <c r="E5340" s="82">
        <v>6285787104091</v>
      </c>
      <c r="F5340" s="92">
        <v>45912</v>
      </c>
      <c r="G5340" s="87">
        <v>893</v>
      </c>
      <c r="H5340" s="88">
        <v>16927.582534611291</v>
      </c>
      <c r="I5340" s="89">
        <v>28</v>
      </c>
      <c r="J5340" s="90">
        <v>15895</v>
      </c>
      <c r="K5340" s="85">
        <v>1</v>
      </c>
      <c r="L5340" s="85">
        <v>0</v>
      </c>
      <c r="M5340" s="85">
        <v>1</v>
      </c>
      <c r="N5340" s="82" t="s">
        <v>12318</v>
      </c>
      <c r="O5340" s="93">
        <v>45913.422071759262</v>
      </c>
    </row>
    <row r="5341" spans="1:15" ht="22.5" customHeight="1">
      <c r="A5341" s="85">
        <v>174904221976312</v>
      </c>
      <c r="B5341" s="82" t="s">
        <v>10651</v>
      </c>
      <c r="C5341" s="82" t="s">
        <v>12171</v>
      </c>
      <c r="D5341" s="82" t="s">
        <v>4386</v>
      </c>
      <c r="E5341" s="82">
        <v>62818533354</v>
      </c>
      <c r="F5341" s="92">
        <v>45912</v>
      </c>
      <c r="G5341" s="87">
        <v>328</v>
      </c>
      <c r="H5341" s="88">
        <v>40849.206349206346</v>
      </c>
      <c r="I5341" s="89">
        <v>6</v>
      </c>
      <c r="J5341" s="90">
        <v>15441</v>
      </c>
      <c r="K5341" s="85">
        <v>2</v>
      </c>
      <c r="L5341" s="85">
        <v>0</v>
      </c>
      <c r="M5341" s="85">
        <v>0</v>
      </c>
      <c r="N5341" s="82" t="s">
        <v>12319</v>
      </c>
      <c r="O5341" s="93">
        <v>45913.422384259262</v>
      </c>
    </row>
    <row r="5342" spans="1:15" ht="22.5" customHeight="1">
      <c r="A5342" s="85">
        <v>174904221976312</v>
      </c>
      <c r="B5342" s="82" t="s">
        <v>10651</v>
      </c>
      <c r="C5342" s="82" t="s">
        <v>12130</v>
      </c>
      <c r="D5342" s="82" t="s">
        <v>12131</v>
      </c>
      <c r="E5342" s="82">
        <v>6281239004410</v>
      </c>
      <c r="F5342" s="92">
        <v>45912</v>
      </c>
      <c r="G5342" s="87">
        <v>316</v>
      </c>
      <c r="H5342" s="88">
        <v>43403.508771929824</v>
      </c>
      <c r="I5342" s="89">
        <v>6</v>
      </c>
      <c r="J5342" s="90">
        <v>14844</v>
      </c>
      <c r="K5342" s="85">
        <v>0</v>
      </c>
      <c r="L5342" s="85">
        <v>0</v>
      </c>
      <c r="M5342" s="85">
        <v>0</v>
      </c>
      <c r="N5342" s="82" t="s">
        <v>12288</v>
      </c>
      <c r="O5342" s="93">
        <v>45913.464363425926</v>
      </c>
    </row>
    <row r="5343" spans="1:15" ht="22.5" customHeight="1">
      <c r="A5343" s="85">
        <v>174904221976312</v>
      </c>
      <c r="B5343" s="82" t="s">
        <v>10651</v>
      </c>
      <c r="C5343" s="82" t="s">
        <v>12102</v>
      </c>
      <c r="D5343" s="82" t="s">
        <v>12103</v>
      </c>
      <c r="E5343" s="82">
        <v>628122577723</v>
      </c>
      <c r="F5343" s="92">
        <v>45912</v>
      </c>
      <c r="G5343" s="87">
        <v>422</v>
      </c>
      <c r="H5343" s="88">
        <v>39140.31180400891</v>
      </c>
      <c r="I5343" s="89">
        <v>13</v>
      </c>
      <c r="J5343" s="90">
        <v>17574</v>
      </c>
      <c r="K5343" s="85">
        <v>0</v>
      </c>
      <c r="L5343" s="85">
        <v>0</v>
      </c>
      <c r="M5343" s="85">
        <v>0</v>
      </c>
      <c r="N5343" s="82" t="s">
        <v>12244</v>
      </c>
      <c r="O5343" s="93">
        <v>45913.464386574073</v>
      </c>
    </row>
    <row r="5344" spans="1:15" ht="22.5" customHeight="1">
      <c r="A5344" s="85">
        <v>174904221976312</v>
      </c>
      <c r="B5344" s="82" t="s">
        <v>10651</v>
      </c>
      <c r="C5344" s="82" t="s">
        <v>12054</v>
      </c>
      <c r="D5344" s="82" t="s">
        <v>4485</v>
      </c>
      <c r="E5344" s="82">
        <v>6285169730762</v>
      </c>
      <c r="F5344" s="92">
        <v>45912</v>
      </c>
      <c r="G5344" s="87">
        <v>925</v>
      </c>
      <c r="H5344" s="88">
        <v>11424.528301886792</v>
      </c>
      <c r="I5344" s="89">
        <v>83</v>
      </c>
      <c r="J5344" s="90">
        <v>13321</v>
      </c>
      <c r="K5344" s="85">
        <v>5</v>
      </c>
      <c r="L5344" s="85">
        <v>472</v>
      </c>
      <c r="M5344" s="85">
        <v>3</v>
      </c>
      <c r="N5344" s="82" t="s">
        <v>12320</v>
      </c>
      <c r="O5344" s="93">
        <v>45913.216990740744</v>
      </c>
    </row>
    <row r="5345" spans="1:15" ht="22.5" customHeight="1">
      <c r="A5345" s="85">
        <v>174904221976312</v>
      </c>
      <c r="B5345" s="82" t="s">
        <v>10651</v>
      </c>
      <c r="C5345" s="82" t="s">
        <v>12058</v>
      </c>
      <c r="D5345" s="82" t="s">
        <v>4516</v>
      </c>
      <c r="E5345" s="82">
        <v>6281315163838</v>
      </c>
      <c r="F5345" s="92">
        <v>45912</v>
      </c>
      <c r="G5345" s="87">
        <v>205</v>
      </c>
      <c r="H5345" s="88">
        <v>52202.7027027027</v>
      </c>
      <c r="I5345" s="89">
        <v>8</v>
      </c>
      <c r="J5345" s="90">
        <v>11589</v>
      </c>
      <c r="K5345" s="85">
        <v>1</v>
      </c>
      <c r="L5345" s="85">
        <v>0</v>
      </c>
      <c r="M5345" s="85">
        <v>0</v>
      </c>
      <c r="N5345" s="82" t="s">
        <v>12321</v>
      </c>
      <c r="O5345" s="93">
        <v>45913.44295138889</v>
      </c>
    </row>
    <row r="5346" spans="1:15" ht="22.5" customHeight="1">
      <c r="A5346" s="85">
        <v>174904221976312</v>
      </c>
      <c r="B5346" s="82" t="s">
        <v>10651</v>
      </c>
      <c r="C5346" s="82" t="s">
        <v>12039</v>
      </c>
      <c r="D5346" s="82" t="s">
        <v>12040</v>
      </c>
      <c r="E5346" s="82">
        <v>6281330410391</v>
      </c>
      <c r="F5346" s="92">
        <v>45912</v>
      </c>
      <c r="G5346" s="87">
        <v>619</v>
      </c>
      <c r="H5346" s="88">
        <v>29391.171993911717</v>
      </c>
      <c r="I5346" s="89">
        <v>38</v>
      </c>
      <c r="J5346" s="90">
        <v>19310</v>
      </c>
      <c r="K5346" s="85">
        <v>6</v>
      </c>
      <c r="L5346" s="85">
        <v>52</v>
      </c>
      <c r="M5346" s="85">
        <v>0</v>
      </c>
      <c r="N5346" s="82" t="s">
        <v>12435</v>
      </c>
      <c r="O5346" s="93">
        <v>45913.38076388889</v>
      </c>
    </row>
    <row r="5347" spans="1:15" ht="22.5" customHeight="1">
      <c r="A5347" s="85">
        <v>174904221976312</v>
      </c>
      <c r="B5347" s="82" t="s">
        <v>10651</v>
      </c>
      <c r="C5347" s="82" t="s">
        <v>12007</v>
      </c>
      <c r="D5347" s="82" t="s">
        <v>9010</v>
      </c>
      <c r="E5347" s="82">
        <v>6282160743576</v>
      </c>
      <c r="F5347" s="92">
        <v>45912</v>
      </c>
      <c r="G5347" s="87">
        <v>664</v>
      </c>
      <c r="H5347" s="88">
        <v>17098.339719029376</v>
      </c>
      <c r="I5347" s="89">
        <v>30</v>
      </c>
      <c r="J5347" s="90">
        <v>13388</v>
      </c>
      <c r="K5347" s="85">
        <v>4</v>
      </c>
      <c r="L5347" s="85">
        <v>96</v>
      </c>
      <c r="M5347" s="85">
        <v>1</v>
      </c>
      <c r="N5347" s="82" t="s">
        <v>12008</v>
      </c>
      <c r="O5347" s="93">
        <v>45913.506215277775</v>
      </c>
    </row>
    <row r="5348" spans="1:15" ht="22.5" customHeight="1">
      <c r="A5348" s="85">
        <v>174904221976312</v>
      </c>
      <c r="B5348" s="82" t="s">
        <v>10651</v>
      </c>
      <c r="C5348" s="82" t="s">
        <v>11806</v>
      </c>
      <c r="D5348" s="82" t="s">
        <v>11807</v>
      </c>
      <c r="E5348" s="82">
        <v>6285338373761</v>
      </c>
      <c r="F5348" s="92">
        <v>45912</v>
      </c>
      <c r="G5348" s="87">
        <v>1454</v>
      </c>
      <c r="H5348" s="88">
        <v>8001.1918951132302</v>
      </c>
      <c r="I5348" s="89">
        <v>69</v>
      </c>
      <c r="J5348" s="90">
        <v>13426</v>
      </c>
      <c r="K5348" s="85">
        <v>8</v>
      </c>
      <c r="L5348" s="85">
        <v>0</v>
      </c>
      <c r="M5348" s="85">
        <v>1</v>
      </c>
      <c r="N5348" s="82" t="s">
        <v>12275</v>
      </c>
      <c r="O5348" s="93">
        <v>45913.547384259262</v>
      </c>
    </row>
    <row r="5349" spans="1:15" ht="22.5" customHeight="1">
      <c r="A5349" s="85">
        <v>174904221976312</v>
      </c>
      <c r="B5349" s="82" t="s">
        <v>10651</v>
      </c>
      <c r="C5349" s="82" t="s">
        <v>11769</v>
      </c>
      <c r="D5349" s="82" t="s">
        <v>3610</v>
      </c>
      <c r="E5349" s="82">
        <v>6285821233475</v>
      </c>
      <c r="F5349" s="92">
        <v>45912</v>
      </c>
      <c r="G5349" s="87">
        <v>1038</v>
      </c>
      <c r="H5349" s="88">
        <v>12275.066548358474</v>
      </c>
      <c r="I5349" s="89">
        <v>52</v>
      </c>
      <c r="J5349" s="90">
        <v>13834</v>
      </c>
      <c r="K5349" s="85">
        <v>6</v>
      </c>
      <c r="L5349" s="85">
        <v>375</v>
      </c>
      <c r="M5349" s="85">
        <v>0</v>
      </c>
      <c r="N5349" s="82" t="s">
        <v>11770</v>
      </c>
      <c r="O5349" s="93">
        <v>45913.547384259262</v>
      </c>
    </row>
    <row r="5350" spans="1:15" ht="22.5" customHeight="1">
      <c r="A5350" s="85">
        <v>174904221976312</v>
      </c>
      <c r="B5350" s="82" t="s">
        <v>10651</v>
      </c>
      <c r="C5350" s="82" t="s">
        <v>11613</v>
      </c>
      <c r="D5350" s="82" t="s">
        <v>11614</v>
      </c>
      <c r="E5350" s="82">
        <v>6282186829904</v>
      </c>
      <c r="F5350" s="92">
        <v>45912</v>
      </c>
      <c r="G5350" s="87">
        <v>196</v>
      </c>
      <c r="H5350" s="88">
        <v>64378.854625550659</v>
      </c>
      <c r="I5350" s="89">
        <v>8</v>
      </c>
      <c r="J5350" s="90">
        <v>14614</v>
      </c>
      <c r="K5350" s="85">
        <v>0</v>
      </c>
      <c r="L5350" s="85">
        <v>16</v>
      </c>
      <c r="M5350" s="85">
        <v>0</v>
      </c>
      <c r="N5350" s="82" t="s">
        <v>12342</v>
      </c>
      <c r="O5350" s="93">
        <v>45913.422060185185</v>
      </c>
    </row>
    <row r="5351" spans="1:15" ht="22.5" customHeight="1">
      <c r="A5351" s="85">
        <v>174904221976312</v>
      </c>
      <c r="B5351" s="82" t="s">
        <v>10651</v>
      </c>
      <c r="C5351" s="82" t="s">
        <v>11580</v>
      </c>
      <c r="D5351" s="82" t="s">
        <v>11581</v>
      </c>
      <c r="E5351" s="82">
        <v>6287790276733</v>
      </c>
      <c r="F5351" s="92">
        <v>45912</v>
      </c>
      <c r="G5351" s="87">
        <v>825</v>
      </c>
      <c r="H5351" s="88">
        <v>18053.134962805525</v>
      </c>
      <c r="I5351" s="89">
        <v>5</v>
      </c>
      <c r="J5351" s="90">
        <v>16988</v>
      </c>
      <c r="K5351" s="85">
        <v>0</v>
      </c>
      <c r="L5351" s="85">
        <v>159</v>
      </c>
      <c r="M5351" s="85">
        <v>0</v>
      </c>
      <c r="N5351" s="82" t="s">
        <v>12343</v>
      </c>
      <c r="O5351" s="93">
        <v>45913.422384259262</v>
      </c>
    </row>
    <row r="5352" spans="1:15" ht="22.5" customHeight="1">
      <c r="A5352" s="85">
        <v>174904221976312</v>
      </c>
      <c r="B5352" s="82" t="s">
        <v>10651</v>
      </c>
      <c r="C5352" s="82" t="s">
        <v>12436</v>
      </c>
      <c r="D5352" s="82" t="s">
        <v>5483</v>
      </c>
      <c r="E5352" s="82">
        <v>6282225676438</v>
      </c>
      <c r="F5352" s="92">
        <v>45913</v>
      </c>
      <c r="G5352" s="87">
        <v>341</v>
      </c>
      <c r="H5352" s="88">
        <v>33322.666666666672</v>
      </c>
      <c r="I5352" s="89">
        <v>9</v>
      </c>
      <c r="J5352" s="90">
        <v>12496</v>
      </c>
      <c r="K5352" s="85">
        <v>2</v>
      </c>
      <c r="L5352" s="85">
        <v>19</v>
      </c>
      <c r="M5352" s="85">
        <v>0</v>
      </c>
      <c r="N5352" s="82" t="s">
        <v>12437</v>
      </c>
      <c r="O5352" s="93">
        <v>45914.547986111109</v>
      </c>
    </row>
    <row r="5353" spans="1:15" ht="22.5" customHeight="1">
      <c r="A5353" s="85">
        <v>174904221976312</v>
      </c>
      <c r="B5353" s="82" t="s">
        <v>10651</v>
      </c>
      <c r="C5353" s="82" t="s">
        <v>12438</v>
      </c>
      <c r="D5353" s="82" t="s">
        <v>3479</v>
      </c>
      <c r="E5353" s="82">
        <v>6282249145533</v>
      </c>
      <c r="F5353" s="92">
        <v>45913</v>
      </c>
      <c r="G5353" s="87">
        <v>640</v>
      </c>
      <c r="H5353" s="88">
        <v>18284.923928077453</v>
      </c>
      <c r="I5353" s="89">
        <v>23</v>
      </c>
      <c r="J5353" s="90">
        <v>13220</v>
      </c>
      <c r="K5353" s="85">
        <v>4</v>
      </c>
      <c r="L5353" s="85">
        <v>19</v>
      </c>
      <c r="M5353" s="85">
        <v>0</v>
      </c>
      <c r="N5353" s="82" t="s">
        <v>12439</v>
      </c>
      <c r="O5353" s="93">
        <v>45914.58934027778</v>
      </c>
    </row>
    <row r="5354" spans="1:15" ht="22.5" customHeight="1">
      <c r="A5354" s="85">
        <v>174904221976312</v>
      </c>
      <c r="B5354" s="82" t="s">
        <v>10651</v>
      </c>
      <c r="C5354" s="82" t="s">
        <v>12440</v>
      </c>
      <c r="D5354" s="82" t="s">
        <v>5469</v>
      </c>
      <c r="E5354" s="82">
        <v>6285750574301</v>
      </c>
      <c r="F5354" s="92">
        <v>45913</v>
      </c>
      <c r="G5354" s="87">
        <v>201</v>
      </c>
      <c r="H5354" s="88">
        <v>51434.389140271494</v>
      </c>
      <c r="I5354" s="89">
        <v>5</v>
      </c>
      <c r="J5354" s="90">
        <v>11367</v>
      </c>
      <c r="K5354" s="85">
        <v>1</v>
      </c>
      <c r="L5354" s="85">
        <v>63</v>
      </c>
      <c r="M5354" s="85">
        <v>0</v>
      </c>
      <c r="N5354" s="82" t="s">
        <v>12441</v>
      </c>
      <c r="O5354" s="93">
        <v>45914.401261574072</v>
      </c>
    </row>
    <row r="5355" spans="1:15" ht="22.5" customHeight="1">
      <c r="A5355" s="85">
        <v>174904221976312</v>
      </c>
      <c r="B5355" s="82" t="s">
        <v>10651</v>
      </c>
      <c r="C5355" s="82" t="s">
        <v>12442</v>
      </c>
      <c r="D5355" s="82" t="s">
        <v>12443</v>
      </c>
      <c r="E5355" s="82">
        <v>6281232743716</v>
      </c>
      <c r="F5355" s="92">
        <v>45913</v>
      </c>
      <c r="G5355" s="87">
        <v>488</v>
      </c>
      <c r="H5355" s="88">
        <v>24481.335952848724</v>
      </c>
      <c r="I5355" s="89">
        <v>9</v>
      </c>
      <c r="J5355" s="90">
        <v>12461</v>
      </c>
      <c r="K5355" s="85">
        <v>1</v>
      </c>
      <c r="L5355" s="85">
        <v>0</v>
      </c>
      <c r="M5355" s="85">
        <v>0</v>
      </c>
      <c r="N5355" s="82" t="s">
        <v>12444</v>
      </c>
      <c r="O5355" s="93">
        <v>45914.630914351852</v>
      </c>
    </row>
    <row r="5356" spans="1:15" ht="22.5" customHeight="1">
      <c r="A5356" s="85">
        <v>174904221976312</v>
      </c>
      <c r="B5356" s="82" t="s">
        <v>10651</v>
      </c>
      <c r="C5356" s="82" t="s">
        <v>12445</v>
      </c>
      <c r="D5356" s="82" t="s">
        <v>12446</v>
      </c>
      <c r="E5356" s="82">
        <v>6281338383022</v>
      </c>
      <c r="F5356" s="92">
        <v>45913</v>
      </c>
      <c r="G5356" s="87">
        <v>369</v>
      </c>
      <c r="H5356" s="88">
        <v>30956.626506024098</v>
      </c>
      <c r="I5356" s="89">
        <v>31</v>
      </c>
      <c r="J5356" s="90">
        <v>12847</v>
      </c>
      <c r="K5356" s="85">
        <v>10</v>
      </c>
      <c r="L5356" s="85">
        <v>19</v>
      </c>
      <c r="M5356" s="85">
        <v>0</v>
      </c>
      <c r="N5356" s="82" t="s">
        <v>12447</v>
      </c>
      <c r="O5356" s="93">
        <v>45914.713773148149</v>
      </c>
    </row>
    <row r="5357" spans="1:15" ht="22.5" customHeight="1">
      <c r="A5357" s="85">
        <v>174904221976312</v>
      </c>
      <c r="B5357" s="82" t="s">
        <v>10651</v>
      </c>
      <c r="C5357" s="82" t="s">
        <v>12432</v>
      </c>
      <c r="D5357" s="82" t="s">
        <v>3518</v>
      </c>
      <c r="E5357" s="82">
        <v>6285657238556</v>
      </c>
      <c r="F5357" s="92">
        <v>45913</v>
      </c>
      <c r="G5357" s="87">
        <v>392</v>
      </c>
      <c r="H5357" s="88">
        <v>27236.144578313255</v>
      </c>
      <c r="I5357" s="89">
        <v>6</v>
      </c>
      <c r="J5357" s="90">
        <v>11303</v>
      </c>
      <c r="K5357" s="85">
        <v>1</v>
      </c>
      <c r="L5357" s="85">
        <v>71</v>
      </c>
      <c r="M5357" s="85">
        <v>0</v>
      </c>
      <c r="N5357" s="82" t="s">
        <v>12433</v>
      </c>
      <c r="O5357" s="93">
        <v>45914.484780092593</v>
      </c>
    </row>
    <row r="5358" spans="1:15" ht="22.5" customHeight="1">
      <c r="A5358" s="85">
        <v>174904221976312</v>
      </c>
      <c r="B5358" s="82" t="s">
        <v>10651</v>
      </c>
      <c r="C5358" s="82" t="s">
        <v>12360</v>
      </c>
      <c r="D5358" s="82" t="s">
        <v>12361</v>
      </c>
      <c r="E5358" s="82">
        <v>6285213857442</v>
      </c>
      <c r="F5358" s="92">
        <v>45913</v>
      </c>
      <c r="G5358" s="87">
        <v>756</v>
      </c>
      <c r="H5358" s="88">
        <v>16769.987699876998</v>
      </c>
      <c r="I5358" s="89">
        <v>22</v>
      </c>
      <c r="J5358" s="90">
        <v>13634</v>
      </c>
      <c r="K5358" s="85">
        <v>1</v>
      </c>
      <c r="L5358" s="85">
        <v>222</v>
      </c>
      <c r="M5358" s="85">
        <v>0</v>
      </c>
      <c r="N5358" s="82" t="s">
        <v>12362</v>
      </c>
      <c r="O5358" s="93">
        <v>45914.735092592593</v>
      </c>
    </row>
    <row r="5359" spans="1:15" ht="22.5" customHeight="1">
      <c r="A5359" s="85">
        <v>174904221976312</v>
      </c>
      <c r="B5359" s="82" t="s">
        <v>10651</v>
      </c>
      <c r="C5359" s="82" t="s">
        <v>12363</v>
      </c>
      <c r="D5359" s="82" t="s">
        <v>5371</v>
      </c>
      <c r="E5359" s="82">
        <v>6282135496939</v>
      </c>
      <c r="F5359" s="92">
        <v>45913</v>
      </c>
      <c r="G5359" s="87">
        <v>395</v>
      </c>
      <c r="H5359" s="88">
        <v>28856.823266219242</v>
      </c>
      <c r="I5359" s="89">
        <v>6</v>
      </c>
      <c r="J5359" s="90">
        <v>12899</v>
      </c>
      <c r="K5359" s="85">
        <v>2</v>
      </c>
      <c r="L5359" s="85">
        <v>0</v>
      </c>
      <c r="M5359" s="85">
        <v>0</v>
      </c>
      <c r="N5359" s="82" t="s">
        <v>12364</v>
      </c>
      <c r="O5359" s="93">
        <v>45914.630925925929</v>
      </c>
    </row>
    <row r="5360" spans="1:15" ht="22.5" customHeight="1">
      <c r="A5360" s="85">
        <v>174904221976312</v>
      </c>
      <c r="B5360" s="82" t="s">
        <v>10651</v>
      </c>
      <c r="C5360" s="82" t="s">
        <v>12344</v>
      </c>
      <c r="D5360" s="82" t="s">
        <v>5213</v>
      </c>
      <c r="E5360" s="82">
        <v>6281341637566</v>
      </c>
      <c r="F5360" s="92">
        <v>45913</v>
      </c>
      <c r="G5360" s="87">
        <v>277</v>
      </c>
      <c r="H5360" s="88">
        <v>38491.803278688523</v>
      </c>
      <c r="I5360" s="89">
        <v>6</v>
      </c>
      <c r="J5360" s="90">
        <v>11740</v>
      </c>
      <c r="K5360" s="85">
        <v>3</v>
      </c>
      <c r="L5360" s="85">
        <v>66</v>
      </c>
      <c r="M5360" s="85">
        <v>0</v>
      </c>
      <c r="N5360" s="82" t="s">
        <v>12345</v>
      </c>
      <c r="O5360" s="93">
        <v>45914.735092592593</v>
      </c>
    </row>
    <row r="5361" spans="1:15" ht="22.5" customHeight="1">
      <c r="A5361" s="85">
        <v>174904221976312</v>
      </c>
      <c r="B5361" s="82" t="s">
        <v>10651</v>
      </c>
      <c r="C5361" s="82" t="s">
        <v>12346</v>
      </c>
      <c r="D5361" s="82" t="s">
        <v>5399</v>
      </c>
      <c r="E5361" s="82">
        <v>6282220945171</v>
      </c>
      <c r="F5361" s="92">
        <v>45913</v>
      </c>
      <c r="G5361" s="87">
        <v>449</v>
      </c>
      <c r="H5361" s="88">
        <v>30887.128712871287</v>
      </c>
      <c r="I5361" s="89">
        <v>20</v>
      </c>
      <c r="J5361" s="90">
        <v>15598</v>
      </c>
      <c r="K5361" s="85">
        <v>2</v>
      </c>
      <c r="L5361" s="85">
        <v>72</v>
      </c>
      <c r="M5361" s="85">
        <v>0</v>
      </c>
      <c r="N5361" s="82" t="s">
        <v>12347</v>
      </c>
      <c r="O5361" s="93">
        <v>45914.609594907408</v>
      </c>
    </row>
    <row r="5362" spans="1:15" ht="22.5" customHeight="1">
      <c r="A5362" s="85">
        <v>174904221976312</v>
      </c>
      <c r="B5362" s="82" t="s">
        <v>10651</v>
      </c>
      <c r="C5362" s="82" t="s">
        <v>12348</v>
      </c>
      <c r="D5362" s="82" t="s">
        <v>12349</v>
      </c>
      <c r="E5362" s="82">
        <v>6281348215665</v>
      </c>
      <c r="F5362" s="92">
        <v>45913</v>
      </c>
      <c r="G5362" s="87">
        <v>387</v>
      </c>
      <c r="H5362" s="88">
        <v>33894.859813084113</v>
      </c>
      <c r="I5362" s="89">
        <v>10</v>
      </c>
      <c r="J5362" s="90">
        <v>14507</v>
      </c>
      <c r="K5362" s="85">
        <v>0</v>
      </c>
      <c r="L5362" s="85">
        <v>0</v>
      </c>
      <c r="M5362" s="85">
        <v>0</v>
      </c>
      <c r="N5362" s="82" t="s">
        <v>12350</v>
      </c>
      <c r="O5362" s="93">
        <v>45914.630925925929</v>
      </c>
    </row>
    <row r="5363" spans="1:15" ht="22.5" customHeight="1">
      <c r="A5363" s="85">
        <v>174904221976312</v>
      </c>
      <c r="B5363" s="82" t="s">
        <v>10651</v>
      </c>
      <c r="C5363" s="82" t="s">
        <v>12351</v>
      </c>
      <c r="D5363" s="82" t="s">
        <v>5339</v>
      </c>
      <c r="E5363" s="82">
        <v>6282220371971</v>
      </c>
      <c r="F5363" s="92">
        <v>45913</v>
      </c>
      <c r="G5363" s="87">
        <v>375</v>
      </c>
      <c r="H5363" s="88">
        <v>28208.067940552017</v>
      </c>
      <c r="I5363" s="89">
        <v>39</v>
      </c>
      <c r="J5363" s="90">
        <v>13286</v>
      </c>
      <c r="K5363" s="85">
        <v>5</v>
      </c>
      <c r="L5363" s="85">
        <v>0</v>
      </c>
      <c r="M5363" s="85">
        <v>0</v>
      </c>
      <c r="N5363" s="82" t="s">
        <v>12352</v>
      </c>
      <c r="O5363" s="93">
        <v>45914.220300925925</v>
      </c>
    </row>
    <row r="5364" spans="1:15" ht="22.5" customHeight="1">
      <c r="A5364" s="85">
        <v>174904221976312</v>
      </c>
      <c r="B5364" s="82" t="s">
        <v>10651</v>
      </c>
      <c r="C5364" s="82" t="s">
        <v>12353</v>
      </c>
      <c r="D5364" s="82" t="s">
        <v>12354</v>
      </c>
      <c r="E5364" s="82">
        <v>6281355662725</v>
      </c>
      <c r="F5364" s="92">
        <v>45913</v>
      </c>
      <c r="G5364" s="87">
        <v>337</v>
      </c>
      <c r="H5364" s="88">
        <v>42255.434782608696</v>
      </c>
      <c r="I5364" s="89">
        <v>6</v>
      </c>
      <c r="J5364" s="90">
        <v>15550</v>
      </c>
      <c r="K5364" s="85">
        <v>0</v>
      </c>
      <c r="L5364" s="85">
        <v>144</v>
      </c>
      <c r="M5364" s="85">
        <v>0</v>
      </c>
      <c r="N5364" s="82" t="s">
        <v>12355</v>
      </c>
      <c r="O5364" s="93">
        <v>45914.568368055552</v>
      </c>
    </row>
    <row r="5365" spans="1:15" ht="22.5" customHeight="1">
      <c r="A5365" s="85">
        <v>174904221976312</v>
      </c>
      <c r="B5365" s="82" t="s">
        <v>10651</v>
      </c>
      <c r="C5365" s="82" t="s">
        <v>12356</v>
      </c>
      <c r="D5365" s="82" t="s">
        <v>2202</v>
      </c>
      <c r="E5365" s="82">
        <v>62895374644456</v>
      </c>
      <c r="F5365" s="92">
        <v>45913</v>
      </c>
      <c r="G5365" s="87">
        <v>781</v>
      </c>
      <c r="H5365" s="88">
        <v>20821.686746987951</v>
      </c>
      <c r="I5365" s="89">
        <v>22</v>
      </c>
      <c r="J5365" s="90">
        <v>17282</v>
      </c>
      <c r="K5365" s="85">
        <v>3</v>
      </c>
      <c r="L5365" s="85">
        <v>125</v>
      </c>
      <c r="M5365" s="85">
        <v>2</v>
      </c>
      <c r="N5365" s="82" t="s">
        <v>12357</v>
      </c>
      <c r="O5365" s="93">
        <v>45914.27621527778</v>
      </c>
    </row>
    <row r="5366" spans="1:15" ht="22.5" customHeight="1">
      <c r="A5366" s="85">
        <v>174904221976312</v>
      </c>
      <c r="B5366" s="82" t="s">
        <v>10651</v>
      </c>
      <c r="C5366" s="82" t="s">
        <v>12322</v>
      </c>
      <c r="D5366" s="82" t="s">
        <v>12323</v>
      </c>
      <c r="E5366" s="82">
        <v>6282280771367</v>
      </c>
      <c r="F5366" s="92">
        <v>45913</v>
      </c>
      <c r="G5366" s="87">
        <v>654</v>
      </c>
      <c r="H5366" s="88">
        <v>15971.938775510203</v>
      </c>
      <c r="I5366" s="89">
        <v>17</v>
      </c>
      <c r="J5366" s="90">
        <v>12522</v>
      </c>
      <c r="K5366" s="85">
        <v>1</v>
      </c>
      <c r="L5366" s="85">
        <v>152</v>
      </c>
      <c r="M5366" s="85">
        <v>1</v>
      </c>
      <c r="N5366" s="82" t="s">
        <v>12324</v>
      </c>
      <c r="O5366" s="93">
        <v>45914.220324074071</v>
      </c>
    </row>
    <row r="5367" spans="1:15" ht="22.5" customHeight="1">
      <c r="A5367" s="85">
        <v>174904221976312</v>
      </c>
      <c r="B5367" s="82" t="s">
        <v>10651</v>
      </c>
      <c r="C5367" s="82" t="s">
        <v>12325</v>
      </c>
      <c r="D5367" s="82" t="s">
        <v>5315</v>
      </c>
      <c r="E5367" s="82">
        <v>6281460494182</v>
      </c>
      <c r="F5367" s="92">
        <v>45913</v>
      </c>
      <c r="G5367" s="87">
        <v>455</v>
      </c>
      <c r="H5367" s="88">
        <v>25850.987432675043</v>
      </c>
      <c r="I5367" s="89">
        <v>30</v>
      </c>
      <c r="J5367" s="90">
        <v>14399</v>
      </c>
      <c r="K5367" s="85">
        <v>4</v>
      </c>
      <c r="L5367" s="85">
        <v>0</v>
      </c>
      <c r="M5367" s="85">
        <v>0</v>
      </c>
      <c r="N5367" s="82" t="s">
        <v>12365</v>
      </c>
      <c r="O5367" s="93">
        <v>45914.220300925925</v>
      </c>
    </row>
    <row r="5368" spans="1:15" ht="22.5" customHeight="1">
      <c r="A5368" s="85">
        <v>174904221976312</v>
      </c>
      <c r="B5368" s="82" t="s">
        <v>10651</v>
      </c>
      <c r="C5368" s="82" t="s">
        <v>12327</v>
      </c>
      <c r="D5368" s="82" t="s">
        <v>12328</v>
      </c>
      <c r="E5368" s="82">
        <v>6281249008778</v>
      </c>
      <c r="F5368" s="92">
        <v>45913</v>
      </c>
      <c r="G5368" s="87">
        <v>390</v>
      </c>
      <c r="H5368" s="88">
        <v>36033.407572383076</v>
      </c>
      <c r="I5368" s="89">
        <v>25</v>
      </c>
      <c r="J5368" s="90">
        <v>16179</v>
      </c>
      <c r="K5368" s="85">
        <v>0</v>
      </c>
      <c r="L5368" s="85">
        <v>0</v>
      </c>
      <c r="M5368" s="85">
        <v>1</v>
      </c>
      <c r="N5368" s="82" t="s">
        <v>12358</v>
      </c>
      <c r="O5368" s="93">
        <v>45914.464108796295</v>
      </c>
    </row>
    <row r="5369" spans="1:15" ht="22.5" customHeight="1">
      <c r="A5369" s="85">
        <v>174904221976312</v>
      </c>
      <c r="B5369" s="82" t="s">
        <v>10651</v>
      </c>
      <c r="C5369" s="82" t="s">
        <v>12330</v>
      </c>
      <c r="D5369" s="82" t="s">
        <v>5283</v>
      </c>
      <c r="E5369" s="82">
        <v>6283149477297</v>
      </c>
      <c r="F5369" s="92">
        <v>45913</v>
      </c>
      <c r="G5369" s="87">
        <v>846</v>
      </c>
      <c r="H5369" s="88">
        <v>13725.567620927937</v>
      </c>
      <c r="I5369" s="89">
        <v>30</v>
      </c>
      <c r="J5369" s="90">
        <v>13904</v>
      </c>
      <c r="K5369" s="85">
        <v>4</v>
      </c>
      <c r="L5369" s="85">
        <v>0</v>
      </c>
      <c r="M5369" s="85">
        <v>1</v>
      </c>
      <c r="N5369" s="82" t="s">
        <v>12331</v>
      </c>
      <c r="O5369" s="93">
        <v>45914.220300925925</v>
      </c>
    </row>
    <row r="5370" spans="1:15" ht="22.5" customHeight="1">
      <c r="A5370" s="85">
        <v>174904221976312</v>
      </c>
      <c r="B5370" s="82" t="s">
        <v>10651</v>
      </c>
      <c r="C5370" s="82" t="s">
        <v>12332</v>
      </c>
      <c r="D5370" s="82" t="s">
        <v>12333</v>
      </c>
      <c r="E5370" s="82">
        <v>6282391199993</v>
      </c>
      <c r="F5370" s="92">
        <v>45913</v>
      </c>
      <c r="G5370" s="87">
        <v>1148</v>
      </c>
      <c r="H5370" s="88">
        <v>11692.733017377566</v>
      </c>
      <c r="I5370" s="89">
        <v>28</v>
      </c>
      <c r="J5370" s="90">
        <v>14803</v>
      </c>
      <c r="K5370" s="85">
        <v>7</v>
      </c>
      <c r="L5370" s="85">
        <v>0</v>
      </c>
      <c r="M5370" s="85">
        <v>0</v>
      </c>
      <c r="N5370" s="82" t="s">
        <v>12334</v>
      </c>
      <c r="O5370" s="93">
        <v>45914.220312500001</v>
      </c>
    </row>
    <row r="5371" spans="1:15" ht="22.5" customHeight="1">
      <c r="A5371" s="85">
        <v>174904221976312</v>
      </c>
      <c r="B5371" s="82" t="s">
        <v>10651</v>
      </c>
      <c r="C5371" s="82" t="s">
        <v>12335</v>
      </c>
      <c r="D5371" s="82" t="s">
        <v>5046</v>
      </c>
      <c r="E5371" s="82">
        <v>6282266469686</v>
      </c>
      <c r="F5371" s="92">
        <v>45913</v>
      </c>
      <c r="G5371" s="87">
        <v>312</v>
      </c>
      <c r="H5371" s="88">
        <v>40268.656716417907</v>
      </c>
      <c r="I5371" s="89">
        <v>4</v>
      </c>
      <c r="J5371" s="90">
        <v>13490</v>
      </c>
      <c r="K5371" s="85">
        <v>0</v>
      </c>
      <c r="L5371" s="85">
        <v>125</v>
      </c>
      <c r="M5371" s="85">
        <v>0</v>
      </c>
      <c r="N5371" s="82" t="s">
        <v>12336</v>
      </c>
      <c r="O5371" s="93">
        <v>45914.220312500001</v>
      </c>
    </row>
    <row r="5372" spans="1:15" ht="22.5" customHeight="1">
      <c r="A5372" s="85">
        <v>174904221976312</v>
      </c>
      <c r="B5372" s="82" t="s">
        <v>10651</v>
      </c>
      <c r="C5372" s="82" t="s">
        <v>12307</v>
      </c>
      <c r="D5372" s="82" t="s">
        <v>12308</v>
      </c>
      <c r="E5372" s="82">
        <v>62881022356673</v>
      </c>
      <c r="F5372" s="92">
        <v>45913</v>
      </c>
      <c r="G5372" s="87">
        <v>423</v>
      </c>
      <c r="H5372" s="88">
        <v>29545.243619489556</v>
      </c>
      <c r="I5372" s="89">
        <v>16</v>
      </c>
      <c r="J5372" s="90">
        <v>12734</v>
      </c>
      <c r="K5372" s="85">
        <v>1</v>
      </c>
      <c r="L5372" s="85">
        <v>119</v>
      </c>
      <c r="M5372" s="85">
        <v>0</v>
      </c>
      <c r="N5372" s="82" t="s">
        <v>12309</v>
      </c>
      <c r="O5372" s="93">
        <v>45914.220324074071</v>
      </c>
    </row>
    <row r="5373" spans="1:15" ht="22.5" customHeight="1">
      <c r="A5373" s="85">
        <v>174904221976312</v>
      </c>
      <c r="B5373" s="82" t="s">
        <v>10651</v>
      </c>
      <c r="C5373" s="82" t="s">
        <v>12310</v>
      </c>
      <c r="D5373" s="82" t="s">
        <v>3633</v>
      </c>
      <c r="E5373" s="82">
        <v>6285710003464</v>
      </c>
      <c r="F5373" s="92">
        <v>45913</v>
      </c>
      <c r="G5373" s="87">
        <v>19884</v>
      </c>
      <c r="H5373" s="88">
        <v>752.88166917951457</v>
      </c>
      <c r="I5373" s="89">
        <v>0</v>
      </c>
      <c r="J5373" s="90">
        <v>15480</v>
      </c>
      <c r="K5373" s="85">
        <v>0</v>
      </c>
      <c r="L5373" s="85">
        <v>0</v>
      </c>
      <c r="M5373" s="85">
        <v>0</v>
      </c>
      <c r="N5373" s="82" t="s">
        <v>12311</v>
      </c>
      <c r="O5373" s="93">
        <v>45914.21435185185</v>
      </c>
    </row>
    <row r="5374" spans="1:15" ht="22.5" customHeight="1">
      <c r="A5374" s="85">
        <v>174904221976312</v>
      </c>
      <c r="B5374" s="82" t="s">
        <v>10651</v>
      </c>
      <c r="C5374" s="82" t="s">
        <v>12296</v>
      </c>
      <c r="D5374" s="82" t="s">
        <v>12297</v>
      </c>
      <c r="E5374" s="82">
        <v>6285600287735</v>
      </c>
      <c r="F5374" s="92">
        <v>45913</v>
      </c>
      <c r="G5374" s="87">
        <v>500</v>
      </c>
      <c r="H5374" s="88">
        <v>33015.296367112809</v>
      </c>
      <c r="I5374" s="89">
        <v>15</v>
      </c>
      <c r="J5374" s="90">
        <v>17267</v>
      </c>
      <c r="K5374" s="85">
        <v>0</v>
      </c>
      <c r="L5374" s="85">
        <v>0</v>
      </c>
      <c r="M5374" s="85">
        <v>1</v>
      </c>
      <c r="N5374" s="82" t="s">
        <v>12448</v>
      </c>
      <c r="O5374" s="93">
        <v>45914.422962962963</v>
      </c>
    </row>
    <row r="5375" spans="1:15" ht="22.5" customHeight="1">
      <c r="A5375" s="85">
        <v>174904221976312</v>
      </c>
      <c r="B5375" s="82" t="s">
        <v>10651</v>
      </c>
      <c r="C5375" s="82" t="s">
        <v>12276</v>
      </c>
      <c r="D5375" s="82" t="s">
        <v>12277</v>
      </c>
      <c r="E5375" s="82">
        <v>6281558822937</v>
      </c>
      <c r="F5375" s="92">
        <v>45913</v>
      </c>
      <c r="G5375" s="87">
        <v>109</v>
      </c>
      <c r="H5375" s="88">
        <v>117008</v>
      </c>
      <c r="I5375" s="89">
        <v>1</v>
      </c>
      <c r="J5375" s="90">
        <v>14626</v>
      </c>
      <c r="K5375" s="85">
        <v>0</v>
      </c>
      <c r="L5375" s="85">
        <v>0</v>
      </c>
      <c r="M5375" s="85">
        <v>0</v>
      </c>
      <c r="N5375" s="82" t="s">
        <v>12314</v>
      </c>
      <c r="O5375" s="93">
        <v>45914.526689814818</v>
      </c>
    </row>
    <row r="5376" spans="1:15" ht="22.5" customHeight="1">
      <c r="A5376" s="85">
        <v>174904221976312</v>
      </c>
      <c r="B5376" s="82" t="s">
        <v>10651</v>
      </c>
      <c r="C5376" s="82" t="s">
        <v>12279</v>
      </c>
      <c r="D5376" s="82" t="s">
        <v>11800</v>
      </c>
      <c r="E5376" s="82">
        <v>6285333751528</v>
      </c>
      <c r="F5376" s="92">
        <v>45913</v>
      </c>
      <c r="G5376" s="87">
        <v>150</v>
      </c>
      <c r="H5376" s="88">
        <v>96617.647058823539</v>
      </c>
      <c r="I5376" s="89">
        <v>12</v>
      </c>
      <c r="J5376" s="90">
        <v>16425</v>
      </c>
      <c r="K5376" s="85">
        <v>6</v>
      </c>
      <c r="L5376" s="85">
        <v>72</v>
      </c>
      <c r="M5376" s="85">
        <v>0</v>
      </c>
      <c r="N5376" s="82" t="s">
        <v>12337</v>
      </c>
      <c r="O5376" s="93">
        <v>45914.672337962962</v>
      </c>
    </row>
    <row r="5377" spans="1:15" ht="22.5" customHeight="1">
      <c r="A5377" s="85">
        <v>174904221976312</v>
      </c>
      <c r="B5377" s="82" t="s">
        <v>10651</v>
      </c>
      <c r="C5377" s="82" t="s">
        <v>12284</v>
      </c>
      <c r="D5377" s="82" t="s">
        <v>12285</v>
      </c>
      <c r="E5377" s="82">
        <v>6285921481643</v>
      </c>
      <c r="F5377" s="92">
        <v>45913</v>
      </c>
      <c r="G5377" s="87">
        <v>385</v>
      </c>
      <c r="H5377" s="88">
        <v>37399.113082039912</v>
      </c>
      <c r="I5377" s="89">
        <v>18</v>
      </c>
      <c r="J5377" s="90">
        <v>16867</v>
      </c>
      <c r="K5377" s="85">
        <v>3</v>
      </c>
      <c r="L5377" s="85">
        <v>0</v>
      </c>
      <c r="M5377" s="85">
        <v>0</v>
      </c>
      <c r="N5377" s="82" t="s">
        <v>12338</v>
      </c>
      <c r="O5377" s="93">
        <v>45914.713761574072</v>
      </c>
    </row>
    <row r="5378" spans="1:15" ht="22.5" customHeight="1">
      <c r="A5378" s="85">
        <v>174904221976312</v>
      </c>
      <c r="B5378" s="82" t="s">
        <v>10651</v>
      </c>
      <c r="C5378" s="82" t="s">
        <v>12269</v>
      </c>
      <c r="D5378" s="82" t="s">
        <v>12270</v>
      </c>
      <c r="E5378" s="82">
        <v>6282229433259</v>
      </c>
      <c r="F5378" s="92">
        <v>45913</v>
      </c>
      <c r="G5378" s="87">
        <v>211</v>
      </c>
      <c r="H5378" s="88">
        <v>62700.460829493088</v>
      </c>
      <c r="I5378" s="89">
        <v>1</v>
      </c>
      <c r="J5378" s="90">
        <v>13606</v>
      </c>
      <c r="K5378" s="85">
        <v>0</v>
      </c>
      <c r="L5378" s="85">
        <v>13</v>
      </c>
      <c r="M5378" s="85">
        <v>0</v>
      </c>
      <c r="N5378" s="82" t="s">
        <v>12339</v>
      </c>
      <c r="O5378" s="93">
        <v>45914.568356481483</v>
      </c>
    </row>
    <row r="5379" spans="1:15" ht="22.5" customHeight="1">
      <c r="A5379" s="85">
        <v>174904221976312</v>
      </c>
      <c r="B5379" s="82" t="s">
        <v>10651</v>
      </c>
      <c r="C5379" s="82" t="s">
        <v>12234</v>
      </c>
      <c r="D5379" s="82" t="s">
        <v>12235</v>
      </c>
      <c r="E5379" s="82">
        <v>6285780314346</v>
      </c>
      <c r="F5379" s="92">
        <v>45913</v>
      </c>
      <c r="G5379" s="87">
        <v>689</v>
      </c>
      <c r="H5379" s="88">
        <v>19709.163346613546</v>
      </c>
      <c r="I5379" s="89">
        <v>29</v>
      </c>
      <c r="J5379" s="90">
        <v>14841</v>
      </c>
      <c r="K5379" s="85">
        <v>4</v>
      </c>
      <c r="L5379" s="85">
        <v>141</v>
      </c>
      <c r="M5379" s="85">
        <v>0</v>
      </c>
      <c r="N5379" s="82" t="s">
        <v>12434</v>
      </c>
      <c r="O5379" s="93">
        <v>45914.568356481483</v>
      </c>
    </row>
    <row r="5380" spans="1:15" ht="22.5" customHeight="1">
      <c r="A5380" s="85">
        <v>174904221976312</v>
      </c>
      <c r="B5380" s="82" t="s">
        <v>10651</v>
      </c>
      <c r="C5380" s="82" t="s">
        <v>12237</v>
      </c>
      <c r="D5380" s="82" t="s">
        <v>12238</v>
      </c>
      <c r="E5380" s="82">
        <v>6287888330007</v>
      </c>
      <c r="F5380" s="92">
        <v>45913</v>
      </c>
      <c r="G5380" s="87">
        <v>378</v>
      </c>
      <c r="H5380" s="88">
        <v>32825.775656324578</v>
      </c>
      <c r="I5380" s="89">
        <v>22</v>
      </c>
      <c r="J5380" s="90">
        <v>13754</v>
      </c>
      <c r="K5380" s="85">
        <v>3</v>
      </c>
      <c r="L5380" s="85">
        <v>127</v>
      </c>
      <c r="M5380" s="85">
        <v>0</v>
      </c>
      <c r="N5380" s="82" t="s">
        <v>12359</v>
      </c>
      <c r="O5380" s="93">
        <v>45914.672314814816</v>
      </c>
    </row>
    <row r="5381" spans="1:15" ht="22.5" customHeight="1">
      <c r="A5381" s="85">
        <v>174904221976312</v>
      </c>
      <c r="B5381" s="82" t="s">
        <v>10651</v>
      </c>
      <c r="C5381" s="82" t="s">
        <v>12240</v>
      </c>
      <c r="D5381" s="82" t="s">
        <v>12241</v>
      </c>
      <c r="E5381" s="82">
        <v>6285600822636</v>
      </c>
      <c r="F5381" s="92">
        <v>45913</v>
      </c>
      <c r="G5381" s="87">
        <v>631</v>
      </c>
      <c r="H5381" s="88">
        <v>22068.914956011733</v>
      </c>
      <c r="I5381" s="89">
        <v>16</v>
      </c>
      <c r="J5381" s="90">
        <v>15051</v>
      </c>
      <c r="K5381" s="85">
        <v>3</v>
      </c>
      <c r="L5381" s="85">
        <v>173</v>
      </c>
      <c r="M5381" s="85">
        <v>0</v>
      </c>
      <c r="N5381" s="82" t="s">
        <v>12274</v>
      </c>
      <c r="O5381" s="93">
        <v>45914.220324074071</v>
      </c>
    </row>
    <row r="5382" spans="1:15" ht="22.5" customHeight="1">
      <c r="A5382" s="85">
        <v>174904221976312</v>
      </c>
      <c r="B5382" s="82" t="s">
        <v>10651</v>
      </c>
      <c r="C5382" s="82" t="s">
        <v>12207</v>
      </c>
      <c r="D5382" s="91" t="s">
        <v>4875</v>
      </c>
      <c r="E5382" s="82">
        <v>6285719003688</v>
      </c>
      <c r="F5382" s="92">
        <v>45913</v>
      </c>
      <c r="G5382" s="87">
        <v>136</v>
      </c>
      <c r="H5382" s="88">
        <v>89506.849315068495</v>
      </c>
      <c r="I5382" s="89">
        <v>5</v>
      </c>
      <c r="J5382" s="90">
        <v>13068</v>
      </c>
      <c r="K5382" s="85">
        <v>0</v>
      </c>
      <c r="L5382" s="85">
        <v>0</v>
      </c>
      <c r="M5382" s="85">
        <v>0</v>
      </c>
      <c r="N5382" s="82" t="s">
        <v>12287</v>
      </c>
      <c r="O5382" s="93">
        <v>45914.526701388888</v>
      </c>
    </row>
    <row r="5383" spans="1:15" ht="22.5" customHeight="1">
      <c r="A5383" s="85">
        <v>174904221976312</v>
      </c>
      <c r="B5383" s="82" t="s">
        <v>10651</v>
      </c>
      <c r="C5383" s="82" t="s">
        <v>12209</v>
      </c>
      <c r="D5383" s="82" t="s">
        <v>12210</v>
      </c>
      <c r="E5383" s="82">
        <v>6282217300224</v>
      </c>
      <c r="F5383" s="92">
        <v>45913</v>
      </c>
      <c r="G5383" s="87">
        <v>130</v>
      </c>
      <c r="H5383" s="88">
        <v>103800</v>
      </c>
      <c r="I5383" s="89">
        <v>9</v>
      </c>
      <c r="J5383" s="90">
        <v>14532</v>
      </c>
      <c r="K5383" s="85">
        <v>0</v>
      </c>
      <c r="L5383" s="85">
        <v>0</v>
      </c>
      <c r="M5383" s="85">
        <v>0</v>
      </c>
      <c r="N5383" s="82" t="s">
        <v>12317</v>
      </c>
      <c r="O5383" s="93">
        <v>45914.484791666669</v>
      </c>
    </row>
    <row r="5384" spans="1:15" ht="22.5" customHeight="1">
      <c r="A5384" s="85">
        <v>174904221976312</v>
      </c>
      <c r="B5384" s="82" t="s">
        <v>10651</v>
      </c>
      <c r="C5384" s="82" t="s">
        <v>12164</v>
      </c>
      <c r="D5384" s="82" t="s">
        <v>12165</v>
      </c>
      <c r="E5384" s="82">
        <v>6285787104091</v>
      </c>
      <c r="F5384" s="92">
        <v>45913</v>
      </c>
      <c r="G5384" s="87">
        <v>770</v>
      </c>
      <c r="H5384" s="88">
        <v>20327.586206896551</v>
      </c>
      <c r="I5384" s="89">
        <v>19</v>
      </c>
      <c r="J5384" s="90">
        <v>16506</v>
      </c>
      <c r="K5384" s="85">
        <v>1</v>
      </c>
      <c r="L5384" s="85">
        <v>0</v>
      </c>
      <c r="M5384" s="85">
        <v>0</v>
      </c>
      <c r="N5384" s="82" t="s">
        <v>12318</v>
      </c>
      <c r="O5384" s="93">
        <v>45914.630937499998</v>
      </c>
    </row>
    <row r="5385" spans="1:15" ht="22.5" customHeight="1">
      <c r="A5385" s="85">
        <v>174904221976312</v>
      </c>
      <c r="B5385" s="82" t="s">
        <v>10651</v>
      </c>
      <c r="C5385" s="82" t="s">
        <v>12171</v>
      </c>
      <c r="D5385" s="82" t="s">
        <v>4386</v>
      </c>
      <c r="E5385" s="82">
        <v>62818533354</v>
      </c>
      <c r="F5385" s="92">
        <v>45913</v>
      </c>
      <c r="G5385" s="87">
        <v>249</v>
      </c>
      <c r="H5385" s="88">
        <v>51542.12454212454</v>
      </c>
      <c r="I5385" s="89">
        <v>14</v>
      </c>
      <c r="J5385" s="90">
        <v>14071</v>
      </c>
      <c r="K5385" s="85">
        <v>3</v>
      </c>
      <c r="L5385" s="85">
        <v>0</v>
      </c>
      <c r="M5385" s="85">
        <v>0</v>
      </c>
      <c r="N5385" s="82" t="s">
        <v>12319</v>
      </c>
      <c r="O5385" s="93">
        <v>45914.589745370373</v>
      </c>
    </row>
    <row r="5386" spans="1:15" ht="22.5" customHeight="1">
      <c r="A5386" s="85">
        <v>174904221976312</v>
      </c>
      <c r="B5386" s="82" t="s">
        <v>10651</v>
      </c>
      <c r="C5386" s="82" t="s">
        <v>12130</v>
      </c>
      <c r="D5386" s="82" t="s">
        <v>12131</v>
      </c>
      <c r="E5386" s="82">
        <v>6281239004410</v>
      </c>
      <c r="F5386" s="92">
        <v>45913</v>
      </c>
      <c r="G5386" s="87">
        <v>238</v>
      </c>
      <c r="H5386" s="88">
        <v>57594.890510948906</v>
      </c>
      <c r="I5386" s="89">
        <v>3</v>
      </c>
      <c r="J5386" s="90">
        <v>15781</v>
      </c>
      <c r="K5386" s="85">
        <v>0</v>
      </c>
      <c r="L5386" s="85">
        <v>0</v>
      </c>
      <c r="M5386" s="85">
        <v>0</v>
      </c>
      <c r="N5386" s="82" t="s">
        <v>12288</v>
      </c>
      <c r="O5386" s="93">
        <v>45914.651504629626</v>
      </c>
    </row>
    <row r="5387" spans="1:15" ht="22.5" customHeight="1">
      <c r="A5387" s="85">
        <v>174904221976312</v>
      </c>
      <c r="B5387" s="82" t="s">
        <v>10651</v>
      </c>
      <c r="C5387" s="82" t="s">
        <v>12102</v>
      </c>
      <c r="D5387" s="82" t="s">
        <v>12103</v>
      </c>
      <c r="E5387" s="82">
        <v>628122577723</v>
      </c>
      <c r="F5387" s="92">
        <v>45913</v>
      </c>
      <c r="G5387" s="87">
        <v>473</v>
      </c>
      <c r="H5387" s="88">
        <v>29892.452830188682</v>
      </c>
      <c r="I5387" s="89">
        <v>23</v>
      </c>
      <c r="J5387" s="90">
        <v>15843</v>
      </c>
      <c r="K5387" s="85">
        <v>3</v>
      </c>
      <c r="L5387" s="85">
        <v>0</v>
      </c>
      <c r="M5387" s="85">
        <v>0</v>
      </c>
      <c r="N5387" s="82" t="s">
        <v>12244</v>
      </c>
      <c r="O5387" s="93">
        <v>45914.735092592593</v>
      </c>
    </row>
    <row r="5388" spans="1:15" ht="22.5" customHeight="1">
      <c r="A5388" s="85">
        <v>174904221976312</v>
      </c>
      <c r="B5388" s="82" t="s">
        <v>10651</v>
      </c>
      <c r="C5388" s="82" t="s">
        <v>12058</v>
      </c>
      <c r="D5388" s="82" t="s">
        <v>4516</v>
      </c>
      <c r="E5388" s="82">
        <v>6281315163838</v>
      </c>
      <c r="F5388" s="92">
        <v>45913</v>
      </c>
      <c r="G5388" s="87">
        <v>201</v>
      </c>
      <c r="H5388" s="88">
        <v>72413.145539906094</v>
      </c>
      <c r="I5388" s="89">
        <v>6</v>
      </c>
      <c r="J5388" s="90">
        <v>15424</v>
      </c>
      <c r="K5388" s="85">
        <v>0</v>
      </c>
      <c r="L5388" s="85">
        <v>0</v>
      </c>
      <c r="M5388" s="85">
        <v>0</v>
      </c>
      <c r="N5388" s="82" t="s">
        <v>12321</v>
      </c>
      <c r="O5388" s="93">
        <v>45914.672511574077</v>
      </c>
    </row>
    <row r="5389" spans="1:15" ht="22.5" customHeight="1">
      <c r="A5389" s="85">
        <v>174904221976312</v>
      </c>
      <c r="B5389" s="82" t="s">
        <v>10651</v>
      </c>
      <c r="C5389" s="82" t="s">
        <v>12039</v>
      </c>
      <c r="D5389" s="82" t="s">
        <v>12040</v>
      </c>
      <c r="E5389" s="82">
        <v>6281330410391</v>
      </c>
      <c r="F5389" s="92">
        <v>45913</v>
      </c>
      <c r="G5389" s="87">
        <v>700</v>
      </c>
      <c r="H5389" s="88">
        <v>21511.288180610889</v>
      </c>
      <c r="I5389" s="89">
        <v>35</v>
      </c>
      <c r="J5389" s="90">
        <v>16198</v>
      </c>
      <c r="K5389" s="85">
        <v>5</v>
      </c>
      <c r="L5389" s="85">
        <v>0</v>
      </c>
      <c r="M5389" s="85">
        <v>0</v>
      </c>
      <c r="N5389" s="82" t="s">
        <v>12435</v>
      </c>
      <c r="O5389" s="93">
        <v>45914.672314814816</v>
      </c>
    </row>
    <row r="5390" spans="1:15" ht="22.5" customHeight="1">
      <c r="A5390" s="85">
        <v>174904221976312</v>
      </c>
      <c r="B5390" s="82" t="s">
        <v>10651</v>
      </c>
      <c r="C5390" s="82" t="s">
        <v>12007</v>
      </c>
      <c r="D5390" s="82" t="s">
        <v>9010</v>
      </c>
      <c r="E5390" s="82">
        <v>6282160743576</v>
      </c>
      <c r="F5390" s="92">
        <v>45913</v>
      </c>
      <c r="G5390" s="87">
        <v>560</v>
      </c>
      <c r="H5390" s="88">
        <v>18783.018867924529</v>
      </c>
      <c r="I5390" s="89">
        <v>17</v>
      </c>
      <c r="J5390" s="90">
        <v>11946</v>
      </c>
      <c r="K5390" s="85">
        <v>1</v>
      </c>
      <c r="L5390" s="85">
        <v>108</v>
      </c>
      <c r="M5390" s="85">
        <v>0</v>
      </c>
      <c r="N5390" s="82" t="s">
        <v>12008</v>
      </c>
      <c r="O5390" s="93">
        <v>45914.672314814816</v>
      </c>
    </row>
    <row r="5391" spans="1:15" ht="22.5" customHeight="1">
      <c r="A5391" s="85">
        <v>174904221976312</v>
      </c>
      <c r="B5391" s="82" t="s">
        <v>10651</v>
      </c>
      <c r="C5391" s="82" t="s">
        <v>11806</v>
      </c>
      <c r="D5391" s="82" t="s">
        <v>11807</v>
      </c>
      <c r="E5391" s="82">
        <v>6285338373761</v>
      </c>
      <c r="F5391" s="92">
        <v>45913</v>
      </c>
      <c r="G5391" s="87">
        <v>1452</v>
      </c>
      <c r="H5391" s="88">
        <v>8926.4978381717119</v>
      </c>
      <c r="I5391" s="89">
        <v>59</v>
      </c>
      <c r="J5391" s="90">
        <v>14452</v>
      </c>
      <c r="K5391" s="85">
        <v>6</v>
      </c>
      <c r="L5391" s="85">
        <v>0</v>
      </c>
      <c r="M5391" s="85">
        <v>1</v>
      </c>
      <c r="N5391" s="82" t="s">
        <v>12275</v>
      </c>
      <c r="O5391" s="93">
        <v>45914.713761574072</v>
      </c>
    </row>
    <row r="5392" spans="1:15" ht="22.5" customHeight="1">
      <c r="A5392" s="85">
        <v>174904221976312</v>
      </c>
      <c r="B5392" s="82" t="s">
        <v>10651</v>
      </c>
      <c r="C5392" s="82" t="s">
        <v>11769</v>
      </c>
      <c r="D5392" s="82" t="s">
        <v>3610</v>
      </c>
      <c r="E5392" s="82">
        <v>6285821233475</v>
      </c>
      <c r="F5392" s="92">
        <v>45913</v>
      </c>
      <c r="G5392" s="87">
        <v>816</v>
      </c>
      <c r="H5392" s="88">
        <v>15922.818791946309</v>
      </c>
      <c r="I5392" s="89">
        <v>22</v>
      </c>
      <c r="J5392" s="90">
        <v>14235</v>
      </c>
      <c r="K5392" s="85">
        <v>0</v>
      </c>
      <c r="L5392" s="85">
        <v>11</v>
      </c>
      <c r="M5392" s="85">
        <v>0</v>
      </c>
      <c r="N5392" s="82" t="s">
        <v>11770</v>
      </c>
      <c r="O5392" s="93">
        <v>45914.297615740739</v>
      </c>
    </row>
    <row r="5393" spans="1:15" ht="22.5" customHeight="1">
      <c r="A5393" s="85">
        <v>174904221976312</v>
      </c>
      <c r="B5393" s="82" t="s">
        <v>10651</v>
      </c>
      <c r="C5393" s="82" t="s">
        <v>11613</v>
      </c>
      <c r="D5393" s="82" t="s">
        <v>11614</v>
      </c>
      <c r="E5393" s="82">
        <v>6282186829904</v>
      </c>
      <c r="F5393" s="92">
        <v>45913</v>
      </c>
      <c r="G5393" s="87">
        <v>226</v>
      </c>
      <c r="H5393" s="88">
        <v>63514.644351464434</v>
      </c>
      <c r="I5393" s="89">
        <v>5</v>
      </c>
      <c r="J5393" s="90">
        <v>15180</v>
      </c>
      <c r="K5393" s="85">
        <v>0</v>
      </c>
      <c r="L5393" s="85">
        <v>0</v>
      </c>
      <c r="M5393" s="85">
        <v>1</v>
      </c>
      <c r="N5393" s="82" t="s">
        <v>12342</v>
      </c>
      <c r="O5393" s="93">
        <v>45914.547974537039</v>
      </c>
    </row>
    <row r="5394" spans="1:15" ht="22.5" customHeight="1">
      <c r="A5394" s="85">
        <v>174904221976312</v>
      </c>
      <c r="B5394" s="82" t="s">
        <v>10651</v>
      </c>
      <c r="C5394" s="82" t="s">
        <v>11580</v>
      </c>
      <c r="D5394" s="82" t="s">
        <v>11581</v>
      </c>
      <c r="E5394" s="82">
        <v>6287790276733</v>
      </c>
      <c r="F5394" s="92">
        <v>45913</v>
      </c>
      <c r="G5394" s="87">
        <v>451</v>
      </c>
      <c r="H5394" s="88">
        <v>22150.870406189555</v>
      </c>
      <c r="I5394" s="89">
        <v>8</v>
      </c>
      <c r="J5394" s="90">
        <v>11452</v>
      </c>
      <c r="K5394" s="85">
        <v>1</v>
      </c>
      <c r="L5394" s="85">
        <v>96</v>
      </c>
      <c r="M5394" s="85">
        <v>0</v>
      </c>
      <c r="N5394" s="82" t="s">
        <v>12343</v>
      </c>
      <c r="O5394" s="93">
        <v>45914.506018518521</v>
      </c>
    </row>
    <row r="5395" spans="1:15" ht="22.5" customHeight="1">
      <c r="A5395" s="85">
        <v>174904221976312</v>
      </c>
      <c r="B5395" s="82" t="s">
        <v>10651</v>
      </c>
      <c r="C5395" s="82" t="s">
        <v>12449</v>
      </c>
      <c r="D5395" s="82" t="s">
        <v>11483</v>
      </c>
      <c r="E5395" s="82">
        <v>62817164567</v>
      </c>
      <c r="F5395" s="92">
        <v>45914</v>
      </c>
      <c r="G5395" s="87">
        <v>385</v>
      </c>
      <c r="H5395" s="88">
        <v>25062.906724511929</v>
      </c>
      <c r="I5395" s="89">
        <v>11</v>
      </c>
      <c r="J5395" s="90">
        <v>11554</v>
      </c>
      <c r="K5395" s="85">
        <v>1</v>
      </c>
      <c r="L5395" s="85">
        <v>50</v>
      </c>
      <c r="M5395" s="85">
        <v>0</v>
      </c>
      <c r="N5395" s="82" t="s">
        <v>12450</v>
      </c>
      <c r="O5395" s="93">
        <v>45915.548171296294</v>
      </c>
    </row>
    <row r="5396" spans="1:15" ht="22.5" customHeight="1">
      <c r="A5396" s="85">
        <v>174904221976312</v>
      </c>
      <c r="B5396" s="82" t="s">
        <v>10651</v>
      </c>
      <c r="C5396" s="82" t="s">
        <v>12451</v>
      </c>
      <c r="D5396" s="82" t="s">
        <v>12452</v>
      </c>
      <c r="E5396" s="82">
        <v>6281224628935</v>
      </c>
      <c r="F5396" s="92">
        <v>45914</v>
      </c>
      <c r="G5396" s="87">
        <v>277</v>
      </c>
      <c r="H5396" s="88">
        <v>36707.520891364904</v>
      </c>
      <c r="I5396" s="89">
        <v>12</v>
      </c>
      <c r="J5396" s="90">
        <v>13178</v>
      </c>
      <c r="K5396" s="85">
        <v>2</v>
      </c>
      <c r="L5396" s="85">
        <v>22</v>
      </c>
      <c r="M5396" s="85">
        <v>0</v>
      </c>
      <c r="N5396" s="82" t="s">
        <v>12453</v>
      </c>
      <c r="O5396" s="93">
        <v>45915.589548611111</v>
      </c>
    </row>
    <row r="5397" spans="1:15" ht="22.5" customHeight="1">
      <c r="A5397" s="85">
        <v>174904221976312</v>
      </c>
      <c r="B5397" s="82" t="s">
        <v>10651</v>
      </c>
      <c r="C5397" s="82" t="s">
        <v>12454</v>
      </c>
      <c r="D5397" s="82" t="s">
        <v>5522</v>
      </c>
      <c r="E5397" s="82">
        <v>6287822292311</v>
      </c>
      <c r="F5397" s="92">
        <v>45914</v>
      </c>
      <c r="G5397" s="87">
        <v>498</v>
      </c>
      <c r="H5397" s="88">
        <v>23471.66361974406</v>
      </c>
      <c r="I5397" s="89">
        <v>5</v>
      </c>
      <c r="J5397" s="90">
        <v>12839</v>
      </c>
      <c r="K5397" s="85">
        <v>0</v>
      </c>
      <c r="L5397" s="85">
        <v>158</v>
      </c>
      <c r="M5397" s="85">
        <v>0</v>
      </c>
      <c r="N5397" s="82" t="s">
        <v>12455</v>
      </c>
      <c r="O5397" s="93">
        <v>45915.589016203703</v>
      </c>
    </row>
    <row r="5398" spans="1:15" ht="22.5" customHeight="1">
      <c r="A5398" s="85">
        <v>174904221976312</v>
      </c>
      <c r="B5398" s="82" t="s">
        <v>10651</v>
      </c>
      <c r="C5398" s="82" t="s">
        <v>12456</v>
      </c>
      <c r="D5398" s="82" t="s">
        <v>11483</v>
      </c>
      <c r="E5398" s="82">
        <v>6285255115894</v>
      </c>
      <c r="F5398" s="92">
        <v>45914</v>
      </c>
      <c r="G5398" s="87">
        <v>600</v>
      </c>
      <c r="H5398" s="88">
        <v>20143.928035982008</v>
      </c>
      <c r="I5398" s="89">
        <v>14</v>
      </c>
      <c r="J5398" s="90">
        <v>13436</v>
      </c>
      <c r="K5398" s="85">
        <v>0</v>
      </c>
      <c r="L5398" s="85">
        <v>253</v>
      </c>
      <c r="M5398" s="85">
        <v>0</v>
      </c>
      <c r="N5398" s="82" t="s">
        <v>12457</v>
      </c>
      <c r="O5398" s="93">
        <v>45915.630960648145</v>
      </c>
    </row>
    <row r="5399" spans="1:15" ht="22.5" customHeight="1">
      <c r="A5399" s="85">
        <v>174904221976312</v>
      </c>
      <c r="B5399" s="82" t="s">
        <v>10651</v>
      </c>
      <c r="C5399" s="82" t="s">
        <v>12458</v>
      </c>
      <c r="D5399" s="82" t="s">
        <v>5515</v>
      </c>
      <c r="E5399" s="82">
        <v>6285245301996</v>
      </c>
      <c r="F5399" s="92">
        <v>45914</v>
      </c>
      <c r="G5399" s="87">
        <v>800</v>
      </c>
      <c r="H5399" s="88">
        <v>14992.273730684326</v>
      </c>
      <c r="I5399" s="89">
        <v>10</v>
      </c>
      <c r="J5399" s="90">
        <v>13583</v>
      </c>
      <c r="K5399" s="85">
        <v>0</v>
      </c>
      <c r="L5399" s="85">
        <v>0</v>
      </c>
      <c r="M5399" s="85">
        <v>0</v>
      </c>
      <c r="N5399" s="82" t="s">
        <v>12459</v>
      </c>
      <c r="O5399" s="93">
        <v>45915.568124999998</v>
      </c>
    </row>
    <row r="5400" spans="1:15" ht="22.5" customHeight="1">
      <c r="A5400" s="85">
        <v>174904221976312</v>
      </c>
      <c r="B5400" s="82" t="s">
        <v>10651</v>
      </c>
      <c r="C5400" s="82" t="s">
        <v>12436</v>
      </c>
      <c r="D5400" s="82" t="s">
        <v>5483</v>
      </c>
      <c r="E5400" s="82">
        <v>6282225676438</v>
      </c>
      <c r="F5400" s="92">
        <v>45914</v>
      </c>
      <c r="G5400" s="87">
        <v>478</v>
      </c>
      <c r="H5400" s="88">
        <v>19879.844961240309</v>
      </c>
      <c r="I5400" s="89">
        <v>8</v>
      </c>
      <c r="J5400" s="90">
        <v>10258</v>
      </c>
      <c r="K5400" s="85">
        <v>1</v>
      </c>
      <c r="L5400" s="85">
        <v>0</v>
      </c>
      <c r="M5400" s="85">
        <v>0</v>
      </c>
      <c r="N5400" s="82" t="s">
        <v>12437</v>
      </c>
      <c r="O5400" s="93">
        <v>45915.610150462962</v>
      </c>
    </row>
    <row r="5401" spans="1:15" ht="22.5" customHeight="1">
      <c r="A5401" s="85">
        <v>174904221976312</v>
      </c>
      <c r="B5401" s="82" t="s">
        <v>10651</v>
      </c>
      <c r="C5401" s="82" t="s">
        <v>12438</v>
      </c>
      <c r="D5401" s="82" t="s">
        <v>3479</v>
      </c>
      <c r="E5401" s="82">
        <v>6282249145533</v>
      </c>
      <c r="F5401" s="92">
        <v>45914</v>
      </c>
      <c r="G5401" s="87">
        <v>838</v>
      </c>
      <c r="H5401" s="88">
        <v>13918.756268806419</v>
      </c>
      <c r="I5401" s="89">
        <v>18</v>
      </c>
      <c r="J5401" s="90">
        <v>13877</v>
      </c>
      <c r="K5401" s="85">
        <v>4</v>
      </c>
      <c r="L5401" s="85">
        <v>76</v>
      </c>
      <c r="M5401" s="85">
        <v>0</v>
      </c>
      <c r="N5401" s="82" t="s">
        <v>12439</v>
      </c>
      <c r="O5401" s="93">
        <v>45915.547766203701</v>
      </c>
    </row>
    <row r="5402" spans="1:15" ht="22.5" customHeight="1">
      <c r="A5402" s="85">
        <v>174904221976312</v>
      </c>
      <c r="B5402" s="82" t="s">
        <v>10651</v>
      </c>
      <c r="C5402" s="82" t="s">
        <v>12440</v>
      </c>
      <c r="D5402" s="82" t="s">
        <v>5469</v>
      </c>
      <c r="E5402" s="82">
        <v>6285750574301</v>
      </c>
      <c r="F5402" s="92">
        <v>45914</v>
      </c>
      <c r="G5402" s="87">
        <v>464</v>
      </c>
      <c r="H5402" s="88">
        <v>23287.21174004193</v>
      </c>
      <c r="I5402" s="89">
        <v>10</v>
      </c>
      <c r="J5402" s="90">
        <v>11108</v>
      </c>
      <c r="K5402" s="85">
        <v>1</v>
      </c>
      <c r="L5402" s="85">
        <v>0</v>
      </c>
      <c r="M5402" s="85">
        <v>0</v>
      </c>
      <c r="N5402" s="82" t="s">
        <v>12441</v>
      </c>
      <c r="O5402" s="93">
        <v>45915.485532407409</v>
      </c>
    </row>
    <row r="5403" spans="1:15" ht="22.5" customHeight="1">
      <c r="A5403" s="85">
        <v>174904221976312</v>
      </c>
      <c r="B5403" s="82" t="s">
        <v>10651</v>
      </c>
      <c r="C5403" s="82" t="s">
        <v>12442</v>
      </c>
      <c r="D5403" s="82" t="s">
        <v>12443</v>
      </c>
      <c r="E5403" s="82">
        <v>6281232743716</v>
      </c>
      <c r="F5403" s="92">
        <v>45914</v>
      </c>
      <c r="G5403" s="87">
        <v>621</v>
      </c>
      <c r="H5403" s="88">
        <v>19519.696969696968</v>
      </c>
      <c r="I5403" s="89">
        <v>7</v>
      </c>
      <c r="J5403" s="90">
        <v>12883</v>
      </c>
      <c r="K5403" s="85">
        <v>0</v>
      </c>
      <c r="L5403" s="85">
        <v>3</v>
      </c>
      <c r="M5403" s="85">
        <v>0</v>
      </c>
      <c r="N5403" s="82" t="s">
        <v>12444</v>
      </c>
      <c r="O5403" s="93">
        <v>45915.526655092595</v>
      </c>
    </row>
    <row r="5404" spans="1:15" ht="22.5" customHeight="1">
      <c r="A5404" s="85">
        <v>174904221976312</v>
      </c>
      <c r="B5404" s="82" t="s">
        <v>10651</v>
      </c>
      <c r="C5404" s="82" t="s">
        <v>12445</v>
      </c>
      <c r="D5404" s="82" t="s">
        <v>12446</v>
      </c>
      <c r="E5404" s="82">
        <v>6281338383022</v>
      </c>
      <c r="F5404" s="92">
        <v>45914</v>
      </c>
      <c r="G5404" s="87">
        <v>1021</v>
      </c>
      <c r="H5404" s="88">
        <v>12685.816876122082</v>
      </c>
      <c r="I5404" s="89">
        <v>52</v>
      </c>
      <c r="J5404" s="90">
        <v>14132</v>
      </c>
      <c r="K5404" s="85">
        <v>10</v>
      </c>
      <c r="L5404" s="85">
        <v>47</v>
      </c>
      <c r="M5404" s="85">
        <v>0</v>
      </c>
      <c r="N5404" s="82" t="s">
        <v>12447</v>
      </c>
      <c r="O5404" s="93">
        <v>45915.630972222221</v>
      </c>
    </row>
    <row r="5405" spans="1:15" ht="22.5" customHeight="1">
      <c r="A5405" s="85">
        <v>174904221976312</v>
      </c>
      <c r="B5405" s="82" t="s">
        <v>10651</v>
      </c>
      <c r="C5405" s="82" t="s">
        <v>12432</v>
      </c>
      <c r="D5405" s="82" t="s">
        <v>3518</v>
      </c>
      <c r="E5405" s="82">
        <v>6285657238556</v>
      </c>
      <c r="F5405" s="92">
        <v>45914</v>
      </c>
      <c r="G5405" s="87">
        <v>589</v>
      </c>
      <c r="H5405" s="88">
        <v>16856.230031948882</v>
      </c>
      <c r="I5405" s="89">
        <v>19</v>
      </c>
      <c r="J5405" s="90">
        <v>10552</v>
      </c>
      <c r="K5405" s="85">
        <v>1</v>
      </c>
      <c r="L5405" s="85">
        <v>0</v>
      </c>
      <c r="M5405" s="85">
        <v>0</v>
      </c>
      <c r="N5405" s="82" t="s">
        <v>12433</v>
      </c>
      <c r="O5405" s="93">
        <v>45915.568124999998</v>
      </c>
    </row>
    <row r="5406" spans="1:15" ht="22.5" customHeight="1">
      <c r="A5406" s="85">
        <v>174904221976312</v>
      </c>
      <c r="B5406" s="82" t="s">
        <v>10651</v>
      </c>
      <c r="C5406" s="82" t="s">
        <v>12360</v>
      </c>
      <c r="D5406" s="82" t="s">
        <v>12361</v>
      </c>
      <c r="E5406" s="82">
        <v>6285213857442</v>
      </c>
      <c r="F5406" s="92">
        <v>45914</v>
      </c>
      <c r="G5406" s="87">
        <v>596</v>
      </c>
      <c r="H5406" s="88">
        <v>22007.267441860462</v>
      </c>
      <c r="I5406" s="89">
        <v>25</v>
      </c>
      <c r="J5406" s="90">
        <v>15141</v>
      </c>
      <c r="K5406" s="85">
        <v>4</v>
      </c>
      <c r="L5406" s="85">
        <v>156</v>
      </c>
      <c r="M5406" s="85">
        <v>1</v>
      </c>
      <c r="N5406" s="82" t="s">
        <v>12362</v>
      </c>
      <c r="O5406" s="93">
        <v>45915.505960648145</v>
      </c>
    </row>
    <row r="5407" spans="1:15" ht="22.5" customHeight="1">
      <c r="A5407" s="85">
        <v>174904221976312</v>
      </c>
      <c r="B5407" s="82" t="s">
        <v>10651</v>
      </c>
      <c r="C5407" s="82" t="s">
        <v>12363</v>
      </c>
      <c r="D5407" s="82" t="s">
        <v>5371</v>
      </c>
      <c r="E5407" s="82">
        <v>6282135496939</v>
      </c>
      <c r="F5407" s="92">
        <v>45914</v>
      </c>
      <c r="G5407" s="87">
        <v>277</v>
      </c>
      <c r="H5407" s="88">
        <v>41041.533546325882</v>
      </c>
      <c r="I5407" s="89">
        <v>12</v>
      </c>
      <c r="J5407" s="90">
        <v>12846</v>
      </c>
      <c r="K5407" s="85">
        <v>3</v>
      </c>
      <c r="L5407" s="85">
        <v>3</v>
      </c>
      <c r="M5407" s="85">
        <v>0</v>
      </c>
      <c r="N5407" s="82" t="s">
        <v>12364</v>
      </c>
      <c r="O5407" s="93">
        <v>45915.526655092595</v>
      </c>
    </row>
    <row r="5408" spans="1:15" ht="22.5" customHeight="1">
      <c r="A5408" s="85">
        <v>174904221976312</v>
      </c>
      <c r="B5408" s="82" t="s">
        <v>10651</v>
      </c>
      <c r="C5408" s="82" t="s">
        <v>12344</v>
      </c>
      <c r="D5408" s="82" t="s">
        <v>5213</v>
      </c>
      <c r="E5408" s="82">
        <v>6281341637566</v>
      </c>
      <c r="F5408" s="92">
        <v>45914</v>
      </c>
      <c r="G5408" s="87">
        <v>267</v>
      </c>
      <c r="H5408" s="88">
        <v>45986.84210526316</v>
      </c>
      <c r="I5408" s="89">
        <v>19</v>
      </c>
      <c r="J5408" s="90">
        <v>13980</v>
      </c>
      <c r="K5408" s="85">
        <v>3</v>
      </c>
      <c r="L5408" s="85">
        <v>47</v>
      </c>
      <c r="M5408" s="85">
        <v>0</v>
      </c>
      <c r="N5408" s="82" t="s">
        <v>12345</v>
      </c>
      <c r="O5408" s="93">
        <v>45915.422685185185</v>
      </c>
    </row>
    <row r="5409" spans="1:15" ht="22.5" customHeight="1">
      <c r="A5409" s="85">
        <v>174904221976312</v>
      </c>
      <c r="B5409" s="82" t="s">
        <v>10651</v>
      </c>
      <c r="C5409" s="82" t="s">
        <v>12346</v>
      </c>
      <c r="D5409" s="82" t="s">
        <v>5399</v>
      </c>
      <c r="E5409" s="82">
        <v>6282220945171</v>
      </c>
      <c r="F5409" s="92">
        <v>45914</v>
      </c>
      <c r="G5409" s="87">
        <v>406</v>
      </c>
      <c r="H5409" s="88">
        <v>27019.607843137255</v>
      </c>
      <c r="I5409" s="89">
        <v>38</v>
      </c>
      <c r="J5409" s="90">
        <v>12402</v>
      </c>
      <c r="K5409" s="85">
        <v>10</v>
      </c>
      <c r="L5409" s="85">
        <v>0</v>
      </c>
      <c r="M5409" s="85">
        <v>1</v>
      </c>
      <c r="N5409" s="82" t="s">
        <v>12347</v>
      </c>
      <c r="O5409" s="93">
        <v>45915.485219907408</v>
      </c>
    </row>
    <row r="5410" spans="1:15" ht="22.5" customHeight="1">
      <c r="A5410" s="85">
        <v>174904221976312</v>
      </c>
      <c r="B5410" s="82" t="s">
        <v>10651</v>
      </c>
      <c r="C5410" s="82" t="s">
        <v>12348</v>
      </c>
      <c r="D5410" s="82" t="s">
        <v>12349</v>
      </c>
      <c r="E5410" s="82">
        <v>6281348215665</v>
      </c>
      <c r="F5410" s="92">
        <v>45914</v>
      </c>
      <c r="G5410" s="87">
        <v>381</v>
      </c>
      <c r="H5410" s="88">
        <v>37640.096618357493</v>
      </c>
      <c r="I5410" s="89">
        <v>10</v>
      </c>
      <c r="J5410" s="90">
        <v>15583</v>
      </c>
      <c r="K5410" s="85">
        <v>0</v>
      </c>
      <c r="L5410" s="85">
        <v>0</v>
      </c>
      <c r="M5410" s="85">
        <v>0</v>
      </c>
      <c r="N5410" s="82" t="s">
        <v>12350</v>
      </c>
      <c r="O5410" s="93">
        <v>45915.568113425928</v>
      </c>
    </row>
    <row r="5411" spans="1:15" ht="22.5" customHeight="1">
      <c r="A5411" s="85">
        <v>174904221976312</v>
      </c>
      <c r="B5411" s="82" t="s">
        <v>10651</v>
      </c>
      <c r="C5411" s="82" t="s">
        <v>12351</v>
      </c>
      <c r="D5411" s="82" t="s">
        <v>5339</v>
      </c>
      <c r="E5411" s="82">
        <v>6282220371971</v>
      </c>
      <c r="F5411" s="92">
        <v>45914</v>
      </c>
      <c r="G5411" s="87">
        <v>322</v>
      </c>
      <c r="H5411" s="88">
        <v>32675.392670157067</v>
      </c>
      <c r="I5411" s="89">
        <v>29</v>
      </c>
      <c r="J5411" s="90">
        <v>12482</v>
      </c>
      <c r="K5411" s="85">
        <v>9</v>
      </c>
      <c r="L5411" s="85">
        <v>58</v>
      </c>
      <c r="M5411" s="85">
        <v>0</v>
      </c>
      <c r="N5411" s="82" t="s">
        <v>12352</v>
      </c>
      <c r="O5411" s="93">
        <v>45915.693032407406</v>
      </c>
    </row>
    <row r="5412" spans="1:15" ht="22.5" customHeight="1">
      <c r="A5412" s="85">
        <v>174904221976312</v>
      </c>
      <c r="B5412" s="82" t="s">
        <v>10651</v>
      </c>
      <c r="C5412" s="82" t="s">
        <v>12353</v>
      </c>
      <c r="D5412" s="82" t="s">
        <v>12354</v>
      </c>
      <c r="E5412" s="82">
        <v>6281355662725</v>
      </c>
      <c r="F5412" s="92">
        <v>45914</v>
      </c>
      <c r="G5412" s="87">
        <v>287</v>
      </c>
      <c r="H5412" s="88">
        <v>43453.074433656955</v>
      </c>
      <c r="I5412" s="89">
        <v>15</v>
      </c>
      <c r="J5412" s="90">
        <v>13427</v>
      </c>
      <c r="K5412" s="85">
        <v>3</v>
      </c>
      <c r="L5412" s="85">
        <v>125</v>
      </c>
      <c r="M5412" s="85">
        <v>0</v>
      </c>
      <c r="N5412" s="82" t="s">
        <v>12355</v>
      </c>
      <c r="O5412" s="93">
        <v>45915.58902777778</v>
      </c>
    </row>
    <row r="5413" spans="1:15" ht="22.5" customHeight="1">
      <c r="A5413" s="85">
        <v>174904221976312</v>
      </c>
      <c r="B5413" s="82" t="s">
        <v>10651</v>
      </c>
      <c r="C5413" s="82" t="s">
        <v>12356</v>
      </c>
      <c r="D5413" s="82" t="s">
        <v>2202</v>
      </c>
      <c r="E5413" s="82">
        <v>62895374644456</v>
      </c>
      <c r="F5413" s="92">
        <v>45914</v>
      </c>
      <c r="G5413" s="87">
        <v>782</v>
      </c>
      <c r="H5413" s="88">
        <v>21455.062571103525</v>
      </c>
      <c r="I5413" s="89">
        <v>40</v>
      </c>
      <c r="J5413" s="90">
        <v>18859</v>
      </c>
      <c r="K5413" s="85">
        <v>8</v>
      </c>
      <c r="L5413" s="85">
        <v>437</v>
      </c>
      <c r="M5413" s="85">
        <v>1</v>
      </c>
      <c r="N5413" s="82" t="s">
        <v>12357</v>
      </c>
      <c r="O5413" s="93">
        <v>45915.21707175926</v>
      </c>
    </row>
    <row r="5414" spans="1:15" ht="22.5" customHeight="1">
      <c r="A5414" s="85">
        <v>174904221976312</v>
      </c>
      <c r="B5414" s="82" t="s">
        <v>10651</v>
      </c>
      <c r="C5414" s="82" t="s">
        <v>12322</v>
      </c>
      <c r="D5414" s="82" t="s">
        <v>12323</v>
      </c>
      <c r="E5414" s="82">
        <v>6282280771367</v>
      </c>
      <c r="F5414" s="92">
        <v>45914</v>
      </c>
      <c r="G5414" s="87">
        <v>654</v>
      </c>
      <c r="H5414" s="88">
        <v>13595.918367346938</v>
      </c>
      <c r="I5414" s="89">
        <v>10</v>
      </c>
      <c r="J5414" s="90">
        <v>9993</v>
      </c>
      <c r="K5414" s="85">
        <v>1</v>
      </c>
      <c r="L5414" s="85">
        <v>117</v>
      </c>
      <c r="M5414" s="85">
        <v>0</v>
      </c>
      <c r="N5414" s="82" t="s">
        <v>12324</v>
      </c>
      <c r="O5414" s="93">
        <v>45915.217060185183</v>
      </c>
    </row>
    <row r="5415" spans="1:15" ht="22.5" customHeight="1">
      <c r="A5415" s="85">
        <v>174904221976312</v>
      </c>
      <c r="B5415" s="82" t="s">
        <v>10651</v>
      </c>
      <c r="C5415" s="82" t="s">
        <v>12325</v>
      </c>
      <c r="D5415" s="82" t="s">
        <v>5315</v>
      </c>
      <c r="E5415" s="82">
        <v>6281460494182</v>
      </c>
      <c r="F5415" s="92">
        <v>45914</v>
      </c>
      <c r="G5415" s="87">
        <v>542</v>
      </c>
      <c r="H5415" s="88">
        <v>16142.164781906298</v>
      </c>
      <c r="I5415" s="89">
        <v>23</v>
      </c>
      <c r="J5415" s="90">
        <v>9992</v>
      </c>
      <c r="K5415" s="85">
        <v>3</v>
      </c>
      <c r="L5415" s="85">
        <v>0</v>
      </c>
      <c r="M5415" s="85">
        <v>1</v>
      </c>
      <c r="N5415" s="82" t="s">
        <v>12365</v>
      </c>
      <c r="O5415" s="93">
        <v>45915.21707175926</v>
      </c>
    </row>
    <row r="5416" spans="1:15" ht="22.5" customHeight="1">
      <c r="A5416" s="85">
        <v>174904221976312</v>
      </c>
      <c r="B5416" s="82" t="s">
        <v>10651</v>
      </c>
      <c r="C5416" s="82" t="s">
        <v>12327</v>
      </c>
      <c r="D5416" s="82" t="s">
        <v>12328</v>
      </c>
      <c r="E5416" s="82">
        <v>6281249008778</v>
      </c>
      <c r="F5416" s="92">
        <v>45914</v>
      </c>
      <c r="G5416" s="87">
        <v>349</v>
      </c>
      <c r="H5416" s="88">
        <v>32494.736842105263</v>
      </c>
      <c r="I5416" s="89">
        <v>12</v>
      </c>
      <c r="J5416" s="90">
        <v>12348</v>
      </c>
      <c r="K5416" s="85">
        <v>1</v>
      </c>
      <c r="L5416" s="85">
        <v>0</v>
      </c>
      <c r="M5416" s="85">
        <v>0</v>
      </c>
      <c r="N5416" s="82" t="s">
        <v>12358</v>
      </c>
      <c r="O5416" s="93">
        <v>45915.67224537037</v>
      </c>
    </row>
    <row r="5417" spans="1:15" ht="22.5" customHeight="1">
      <c r="A5417" s="85">
        <v>174904221976312</v>
      </c>
      <c r="B5417" s="82" t="s">
        <v>10651</v>
      </c>
      <c r="C5417" s="82" t="s">
        <v>12330</v>
      </c>
      <c r="D5417" s="82" t="s">
        <v>5283</v>
      </c>
      <c r="E5417" s="82">
        <v>6283149477297</v>
      </c>
      <c r="F5417" s="92">
        <v>45914</v>
      </c>
      <c r="G5417" s="87">
        <v>506</v>
      </c>
      <c r="H5417" s="88">
        <v>17836.363636363636</v>
      </c>
      <c r="I5417" s="89">
        <v>8</v>
      </c>
      <c r="J5417" s="90">
        <v>9810</v>
      </c>
      <c r="K5417" s="85">
        <v>1</v>
      </c>
      <c r="L5417" s="85">
        <v>0</v>
      </c>
      <c r="M5417" s="85">
        <v>0</v>
      </c>
      <c r="N5417" s="82" t="s">
        <v>12331</v>
      </c>
      <c r="O5417" s="93">
        <v>45915.217060185183</v>
      </c>
    </row>
    <row r="5418" spans="1:15" ht="22.5" customHeight="1">
      <c r="A5418" s="85">
        <v>174904221976312</v>
      </c>
      <c r="B5418" s="82" t="s">
        <v>10651</v>
      </c>
      <c r="C5418" s="82" t="s">
        <v>12332</v>
      </c>
      <c r="D5418" s="82" t="s">
        <v>12333</v>
      </c>
      <c r="E5418" s="82">
        <v>6282391199993</v>
      </c>
      <c r="F5418" s="92">
        <v>45914</v>
      </c>
      <c r="G5418" s="87">
        <v>893</v>
      </c>
      <c r="H5418" s="88">
        <v>10255.958549222798</v>
      </c>
      <c r="I5418" s="89">
        <v>17</v>
      </c>
      <c r="J5418" s="90">
        <v>9897</v>
      </c>
      <c r="K5418" s="85">
        <v>0</v>
      </c>
      <c r="L5418" s="85">
        <v>0</v>
      </c>
      <c r="M5418" s="85">
        <v>0</v>
      </c>
      <c r="N5418" s="82" t="s">
        <v>12334</v>
      </c>
      <c r="O5418" s="93">
        <v>45915.217060185183</v>
      </c>
    </row>
    <row r="5419" spans="1:15" ht="22.5" customHeight="1">
      <c r="A5419" s="85">
        <v>174904221976312</v>
      </c>
      <c r="B5419" s="82" t="s">
        <v>10651</v>
      </c>
      <c r="C5419" s="82" t="s">
        <v>12335</v>
      </c>
      <c r="D5419" s="82" t="s">
        <v>5046</v>
      </c>
      <c r="E5419" s="82">
        <v>6282266469686</v>
      </c>
      <c r="F5419" s="92">
        <v>45914</v>
      </c>
      <c r="G5419" s="87">
        <v>340</v>
      </c>
      <c r="H5419" s="88">
        <v>27220.708446866487</v>
      </c>
      <c r="I5419" s="89">
        <v>8</v>
      </c>
      <c r="J5419" s="90">
        <v>9990</v>
      </c>
      <c r="K5419" s="85">
        <v>1</v>
      </c>
      <c r="L5419" s="85">
        <v>0</v>
      </c>
      <c r="M5419" s="85">
        <v>0</v>
      </c>
      <c r="N5419" s="82" t="s">
        <v>12336</v>
      </c>
      <c r="O5419" s="93">
        <v>45915.21707175926</v>
      </c>
    </row>
    <row r="5420" spans="1:15" ht="22.5" customHeight="1">
      <c r="A5420" s="85">
        <v>174904221976312</v>
      </c>
      <c r="B5420" s="82" t="s">
        <v>10651</v>
      </c>
      <c r="C5420" s="82" t="s">
        <v>12296</v>
      </c>
      <c r="D5420" s="82" t="s">
        <v>12297</v>
      </c>
      <c r="E5420" s="82">
        <v>6285600287735</v>
      </c>
      <c r="F5420" s="92">
        <v>45914</v>
      </c>
      <c r="G5420" s="87">
        <v>446</v>
      </c>
      <c r="H5420" s="88">
        <v>22743.697478991595</v>
      </c>
      <c r="I5420" s="89">
        <v>8</v>
      </c>
      <c r="J5420" s="90">
        <v>10826</v>
      </c>
      <c r="K5420" s="85">
        <v>1</v>
      </c>
      <c r="L5420" s="85">
        <v>0</v>
      </c>
      <c r="M5420" s="85">
        <v>0</v>
      </c>
      <c r="N5420" s="82" t="s">
        <v>12448</v>
      </c>
      <c r="O5420" s="93">
        <v>45915.651724537034</v>
      </c>
    </row>
    <row r="5421" spans="1:15" ht="22.5" customHeight="1">
      <c r="A5421" s="85">
        <v>174904221976312</v>
      </c>
      <c r="B5421" s="82" t="s">
        <v>10651</v>
      </c>
      <c r="C5421" s="82" t="s">
        <v>12276</v>
      </c>
      <c r="D5421" s="82" t="s">
        <v>12277</v>
      </c>
      <c r="E5421" s="82">
        <v>6281558822937</v>
      </c>
      <c r="F5421" s="92">
        <v>45914</v>
      </c>
      <c r="G5421" s="87">
        <v>91</v>
      </c>
      <c r="H5421" s="88">
        <v>156618.55670103093</v>
      </c>
      <c r="I5421" s="89">
        <v>2</v>
      </c>
      <c r="J5421" s="90">
        <v>15192</v>
      </c>
      <c r="K5421" s="85">
        <v>2</v>
      </c>
      <c r="L5421" s="85">
        <v>0</v>
      </c>
      <c r="M5421" s="85">
        <v>0</v>
      </c>
      <c r="N5421" s="82" t="s">
        <v>12314</v>
      </c>
      <c r="O5421" s="93">
        <v>45915.547754629632</v>
      </c>
    </row>
    <row r="5422" spans="1:15" ht="22.5" customHeight="1">
      <c r="A5422" s="85">
        <v>174904221976312</v>
      </c>
      <c r="B5422" s="82" t="s">
        <v>10651</v>
      </c>
      <c r="C5422" s="82" t="s">
        <v>12279</v>
      </c>
      <c r="D5422" s="82" t="s">
        <v>11800</v>
      </c>
      <c r="E5422" s="82">
        <v>6285333751528</v>
      </c>
      <c r="F5422" s="92">
        <v>45914</v>
      </c>
      <c r="G5422" s="87">
        <v>203</v>
      </c>
      <c r="H5422" s="88">
        <v>70284.444444444453</v>
      </c>
      <c r="I5422" s="89">
        <v>7</v>
      </c>
      <c r="J5422" s="90">
        <v>15814</v>
      </c>
      <c r="K5422" s="85">
        <v>0</v>
      </c>
      <c r="L5422" s="85">
        <v>1</v>
      </c>
      <c r="M5422" s="85">
        <v>0</v>
      </c>
      <c r="N5422" s="82" t="s">
        <v>12337</v>
      </c>
      <c r="O5422" s="93">
        <v>45915.276458333334</v>
      </c>
    </row>
    <row r="5423" spans="1:15" ht="22.5" customHeight="1">
      <c r="A5423" s="85">
        <v>174904221976312</v>
      </c>
      <c r="B5423" s="82" t="s">
        <v>10651</v>
      </c>
      <c r="C5423" s="82" t="s">
        <v>12284</v>
      </c>
      <c r="D5423" s="82" t="s">
        <v>12285</v>
      </c>
      <c r="E5423" s="82">
        <v>6285921481643</v>
      </c>
      <c r="F5423" s="92">
        <v>45914</v>
      </c>
      <c r="G5423" s="87">
        <v>314</v>
      </c>
      <c r="H5423" s="88">
        <v>36855.97826086956</v>
      </c>
      <c r="I5423" s="89">
        <v>8</v>
      </c>
      <c r="J5423" s="90">
        <v>13563</v>
      </c>
      <c r="K5423" s="85">
        <v>0</v>
      </c>
      <c r="L5423" s="85">
        <v>0</v>
      </c>
      <c r="M5423" s="85">
        <v>0</v>
      </c>
      <c r="N5423" s="82" t="s">
        <v>12338</v>
      </c>
      <c r="O5423" s="93">
        <v>45915.568113425928</v>
      </c>
    </row>
    <row r="5424" spans="1:15" ht="22.5" customHeight="1">
      <c r="A5424" s="85">
        <v>174904221976312</v>
      </c>
      <c r="B5424" s="82" t="s">
        <v>10651</v>
      </c>
      <c r="C5424" s="82" t="s">
        <v>12269</v>
      </c>
      <c r="D5424" s="82" t="s">
        <v>12270</v>
      </c>
      <c r="E5424" s="82">
        <v>6282229433259</v>
      </c>
      <c r="F5424" s="92">
        <v>45914</v>
      </c>
      <c r="G5424" s="87">
        <v>88</v>
      </c>
      <c r="H5424" s="88">
        <v>151933.33333333334</v>
      </c>
      <c r="I5424" s="89">
        <v>8</v>
      </c>
      <c r="J5424" s="90">
        <v>13674</v>
      </c>
      <c r="K5424" s="85">
        <v>0</v>
      </c>
      <c r="L5424" s="85">
        <v>0</v>
      </c>
      <c r="M5424" s="85">
        <v>0</v>
      </c>
      <c r="N5424" s="82" t="s">
        <v>12339</v>
      </c>
      <c r="O5424" s="93">
        <v>45915.402002314811</v>
      </c>
    </row>
    <row r="5425" spans="1:15" ht="22.5" customHeight="1">
      <c r="A5425" s="85">
        <v>174904221976312</v>
      </c>
      <c r="B5425" s="82" t="s">
        <v>10651</v>
      </c>
      <c r="C5425" s="82" t="s">
        <v>12234</v>
      </c>
      <c r="D5425" s="82" t="s">
        <v>12235</v>
      </c>
      <c r="E5425" s="82">
        <v>6285780314346</v>
      </c>
      <c r="F5425" s="92">
        <v>45914</v>
      </c>
      <c r="G5425" s="87">
        <v>377</v>
      </c>
      <c r="H5425" s="88">
        <v>30766.109785202865</v>
      </c>
      <c r="I5425" s="89">
        <v>20</v>
      </c>
      <c r="J5425" s="90">
        <v>12891</v>
      </c>
      <c r="K5425" s="85">
        <v>2</v>
      </c>
      <c r="L5425" s="85">
        <v>84</v>
      </c>
      <c r="M5425" s="85">
        <v>0</v>
      </c>
      <c r="N5425" s="82" t="s">
        <v>12434</v>
      </c>
      <c r="O5425" s="93">
        <v>45915.630972222221</v>
      </c>
    </row>
    <row r="5426" spans="1:15" ht="22.5" customHeight="1">
      <c r="A5426" s="85">
        <v>174904221976312</v>
      </c>
      <c r="B5426" s="82" t="s">
        <v>10651</v>
      </c>
      <c r="C5426" s="82" t="s">
        <v>12237</v>
      </c>
      <c r="D5426" s="82" t="s">
        <v>12238</v>
      </c>
      <c r="E5426" s="82">
        <v>6287888330007</v>
      </c>
      <c r="F5426" s="92">
        <v>45914</v>
      </c>
      <c r="G5426" s="87">
        <v>579</v>
      </c>
      <c r="H5426" s="88">
        <v>21850.76923076923</v>
      </c>
      <c r="I5426" s="89">
        <v>23</v>
      </c>
      <c r="J5426" s="90">
        <v>14203</v>
      </c>
      <c r="K5426" s="85">
        <v>2</v>
      </c>
      <c r="L5426" s="85">
        <v>0</v>
      </c>
      <c r="M5426" s="85">
        <v>0</v>
      </c>
      <c r="N5426" s="82" t="s">
        <v>12359</v>
      </c>
      <c r="O5426" s="93">
        <v>45915.217060185183</v>
      </c>
    </row>
    <row r="5427" spans="1:15" ht="22.5" customHeight="1">
      <c r="A5427" s="85">
        <v>174904221976312</v>
      </c>
      <c r="B5427" s="82" t="s">
        <v>10651</v>
      </c>
      <c r="C5427" s="82" t="s">
        <v>12207</v>
      </c>
      <c r="D5427" s="91" t="s">
        <v>4875</v>
      </c>
      <c r="E5427" s="82">
        <v>6285719003688</v>
      </c>
      <c r="F5427" s="92">
        <v>45914</v>
      </c>
      <c r="G5427" s="87">
        <v>116</v>
      </c>
      <c r="H5427" s="88">
        <v>97039.0625</v>
      </c>
      <c r="I5427" s="89">
        <v>3</v>
      </c>
      <c r="J5427" s="90">
        <v>12421</v>
      </c>
      <c r="K5427" s="85">
        <v>0</v>
      </c>
      <c r="L5427" s="85">
        <v>0</v>
      </c>
      <c r="M5427" s="85">
        <v>0</v>
      </c>
      <c r="N5427" s="82" t="s">
        <v>12287</v>
      </c>
      <c r="O5427" s="93">
        <v>45915.21707175926</v>
      </c>
    </row>
    <row r="5428" spans="1:15" ht="22.5" customHeight="1">
      <c r="A5428" s="85">
        <v>174904221976312</v>
      </c>
      <c r="B5428" s="82" t="s">
        <v>10651</v>
      </c>
      <c r="C5428" s="82" t="s">
        <v>12209</v>
      </c>
      <c r="D5428" s="82" t="s">
        <v>12210</v>
      </c>
      <c r="E5428" s="82">
        <v>6282217300224</v>
      </c>
      <c r="F5428" s="92">
        <v>45914</v>
      </c>
      <c r="G5428" s="87">
        <v>107</v>
      </c>
      <c r="H5428" s="88">
        <v>99413.223140495873</v>
      </c>
      <c r="I5428" s="89">
        <v>1</v>
      </c>
      <c r="J5428" s="90">
        <v>12029</v>
      </c>
      <c r="K5428" s="85">
        <v>1</v>
      </c>
      <c r="L5428" s="85">
        <v>0</v>
      </c>
      <c r="M5428" s="85">
        <v>0</v>
      </c>
      <c r="N5428" s="82" t="s">
        <v>12317</v>
      </c>
      <c r="O5428" s="93">
        <v>45915.506226851852</v>
      </c>
    </row>
    <row r="5429" spans="1:15" ht="22.5" customHeight="1">
      <c r="A5429" s="85">
        <v>174904221976312</v>
      </c>
      <c r="B5429" s="82" t="s">
        <v>10651</v>
      </c>
      <c r="C5429" s="82" t="s">
        <v>12164</v>
      </c>
      <c r="D5429" s="82" t="s">
        <v>12165</v>
      </c>
      <c r="E5429" s="82">
        <v>6285787104091</v>
      </c>
      <c r="F5429" s="92">
        <v>45914</v>
      </c>
      <c r="G5429" s="87">
        <v>692</v>
      </c>
      <c r="H5429" s="88">
        <v>17582.57477243173</v>
      </c>
      <c r="I5429" s="89">
        <v>21</v>
      </c>
      <c r="J5429" s="90">
        <v>13521</v>
      </c>
      <c r="K5429" s="85">
        <v>0</v>
      </c>
      <c r="L5429" s="85">
        <v>0</v>
      </c>
      <c r="M5429" s="85">
        <v>2</v>
      </c>
      <c r="N5429" s="82" t="s">
        <v>12318</v>
      </c>
      <c r="O5429" s="93">
        <v>45915.443182870367</v>
      </c>
    </row>
    <row r="5430" spans="1:15" ht="22.5" customHeight="1">
      <c r="A5430" s="85">
        <v>174904221976312</v>
      </c>
      <c r="B5430" s="82" t="s">
        <v>10651</v>
      </c>
      <c r="C5430" s="82" t="s">
        <v>12171</v>
      </c>
      <c r="D5430" s="82" t="s">
        <v>4386</v>
      </c>
      <c r="E5430" s="82">
        <v>62818533354</v>
      </c>
      <c r="F5430" s="92">
        <v>45914</v>
      </c>
      <c r="G5430" s="87">
        <v>217</v>
      </c>
      <c r="H5430" s="88">
        <v>46292</v>
      </c>
      <c r="I5430" s="89">
        <v>5</v>
      </c>
      <c r="J5430" s="90">
        <v>11573</v>
      </c>
      <c r="K5430" s="85">
        <v>1</v>
      </c>
      <c r="L5430" s="85">
        <v>0</v>
      </c>
      <c r="M5430" s="85">
        <v>0</v>
      </c>
      <c r="N5430" s="82" t="s">
        <v>12319</v>
      </c>
      <c r="O5430" s="93">
        <v>45915.610138888886</v>
      </c>
    </row>
    <row r="5431" spans="1:15" ht="22.5" customHeight="1">
      <c r="A5431" s="85">
        <v>174904221976312</v>
      </c>
      <c r="B5431" s="82" t="s">
        <v>10651</v>
      </c>
      <c r="C5431" s="82" t="s">
        <v>12130</v>
      </c>
      <c r="D5431" s="82" t="s">
        <v>12131</v>
      </c>
      <c r="E5431" s="82">
        <v>6281239004410</v>
      </c>
      <c r="F5431" s="92">
        <v>45914</v>
      </c>
      <c r="G5431" s="87">
        <v>135</v>
      </c>
      <c r="H5431" s="88">
        <v>79291.139240506323</v>
      </c>
      <c r="I5431" s="89">
        <v>5</v>
      </c>
      <c r="J5431" s="90">
        <v>12528</v>
      </c>
      <c r="K5431" s="85">
        <v>0</v>
      </c>
      <c r="L5431" s="85">
        <v>0</v>
      </c>
      <c r="M5431" s="85">
        <v>0</v>
      </c>
      <c r="N5431" s="82" t="s">
        <v>12288</v>
      </c>
      <c r="O5431" s="93">
        <v>45915.526643518519</v>
      </c>
    </row>
    <row r="5432" spans="1:15" ht="22.5" customHeight="1">
      <c r="A5432" s="85">
        <v>174904221976312</v>
      </c>
      <c r="B5432" s="82" t="s">
        <v>10651</v>
      </c>
      <c r="C5432" s="82" t="s">
        <v>12102</v>
      </c>
      <c r="D5432" s="82" t="s">
        <v>12103</v>
      </c>
      <c r="E5432" s="82">
        <v>628122577723</v>
      </c>
      <c r="F5432" s="92">
        <v>45914</v>
      </c>
      <c r="G5432" s="87">
        <v>373</v>
      </c>
      <c r="H5432" s="88">
        <v>30947.136563876651</v>
      </c>
      <c r="I5432" s="89">
        <v>13</v>
      </c>
      <c r="J5432" s="90">
        <v>14050</v>
      </c>
      <c r="K5432" s="85">
        <v>0</v>
      </c>
      <c r="L5432" s="85">
        <v>0</v>
      </c>
      <c r="M5432" s="85">
        <v>0</v>
      </c>
      <c r="N5432" s="82" t="s">
        <v>12244</v>
      </c>
      <c r="O5432" s="93">
        <v>45915.505972222221</v>
      </c>
    </row>
    <row r="5433" spans="1:15" ht="22.5" customHeight="1">
      <c r="A5433" s="85">
        <v>174904221976312</v>
      </c>
      <c r="B5433" s="82" t="s">
        <v>10651</v>
      </c>
      <c r="C5433" s="82" t="s">
        <v>12058</v>
      </c>
      <c r="D5433" s="82" t="s">
        <v>4516</v>
      </c>
      <c r="E5433" s="82">
        <v>6281315163838</v>
      </c>
      <c r="F5433" s="92">
        <v>45914</v>
      </c>
      <c r="G5433" s="87">
        <v>313</v>
      </c>
      <c r="H5433" s="88">
        <v>32729.729729729726</v>
      </c>
      <c r="I5433" s="89">
        <v>6</v>
      </c>
      <c r="J5433" s="90">
        <v>12110</v>
      </c>
      <c r="K5433" s="85">
        <v>1</v>
      </c>
      <c r="L5433" s="85">
        <v>0</v>
      </c>
      <c r="M5433" s="85">
        <v>0</v>
      </c>
      <c r="N5433" s="82" t="s">
        <v>12321</v>
      </c>
      <c r="O5433" s="93">
        <v>45915.693020833336</v>
      </c>
    </row>
    <row r="5434" spans="1:15" ht="22.5" customHeight="1">
      <c r="A5434" s="85">
        <v>174904221976312</v>
      </c>
      <c r="B5434" s="82" t="s">
        <v>10651</v>
      </c>
      <c r="C5434" s="82" t="s">
        <v>12039</v>
      </c>
      <c r="D5434" s="82" t="s">
        <v>12040</v>
      </c>
      <c r="E5434" s="82">
        <v>6281330410391</v>
      </c>
      <c r="F5434" s="92">
        <v>45914</v>
      </c>
      <c r="G5434" s="87">
        <v>469</v>
      </c>
      <c r="H5434" s="88">
        <v>24657.407407407409</v>
      </c>
      <c r="I5434" s="89">
        <v>36</v>
      </c>
      <c r="J5434" s="90">
        <v>13315</v>
      </c>
      <c r="K5434" s="85">
        <v>7</v>
      </c>
      <c r="L5434" s="85">
        <v>26</v>
      </c>
      <c r="M5434" s="85">
        <v>0</v>
      </c>
      <c r="N5434" s="82" t="s">
        <v>12435</v>
      </c>
      <c r="O5434" s="93">
        <v>45915.651736111111</v>
      </c>
    </row>
    <row r="5435" spans="1:15" ht="22.5" customHeight="1">
      <c r="A5435" s="85">
        <v>174904221976312</v>
      </c>
      <c r="B5435" s="82" t="s">
        <v>10651</v>
      </c>
      <c r="C5435" s="82" t="s">
        <v>12007</v>
      </c>
      <c r="D5435" s="82" t="s">
        <v>9010</v>
      </c>
      <c r="E5435" s="82">
        <v>6282160743576</v>
      </c>
      <c r="F5435" s="92">
        <v>45914</v>
      </c>
      <c r="G5435" s="87">
        <v>671</v>
      </c>
      <c r="H5435" s="88">
        <v>15997.607655502392</v>
      </c>
      <c r="I5435" s="89">
        <v>36</v>
      </c>
      <c r="J5435" s="90">
        <v>13374</v>
      </c>
      <c r="K5435" s="85">
        <v>2</v>
      </c>
      <c r="L5435" s="85">
        <v>25</v>
      </c>
      <c r="M5435" s="85">
        <v>0</v>
      </c>
      <c r="N5435" s="82" t="s">
        <v>12008</v>
      </c>
      <c r="O5435" s="93">
        <v>45915.589548611111</v>
      </c>
    </row>
    <row r="5436" spans="1:15" ht="22.5" customHeight="1">
      <c r="A5436" s="85">
        <v>174904221976312</v>
      </c>
      <c r="B5436" s="82" t="s">
        <v>10651</v>
      </c>
      <c r="C5436" s="82" t="s">
        <v>11806</v>
      </c>
      <c r="D5436" s="82" t="s">
        <v>11807</v>
      </c>
      <c r="E5436" s="82">
        <v>6285338373761</v>
      </c>
      <c r="F5436" s="92">
        <v>45914</v>
      </c>
      <c r="G5436" s="87">
        <v>873</v>
      </c>
      <c r="H5436" s="88">
        <v>13246.254681647941</v>
      </c>
      <c r="I5436" s="89">
        <v>69</v>
      </c>
      <c r="J5436" s="90">
        <v>14147</v>
      </c>
      <c r="K5436" s="85">
        <v>5</v>
      </c>
      <c r="L5436" s="85">
        <v>367</v>
      </c>
      <c r="M5436" s="85">
        <v>1</v>
      </c>
      <c r="N5436" s="82" t="s">
        <v>12275</v>
      </c>
      <c r="O5436" s="93">
        <v>45915.217094907406</v>
      </c>
    </row>
    <row r="5437" spans="1:15" ht="22.5" customHeight="1">
      <c r="A5437" s="85">
        <v>174904221976312</v>
      </c>
      <c r="B5437" s="82" t="s">
        <v>10651</v>
      </c>
      <c r="C5437" s="82" t="s">
        <v>11769</v>
      </c>
      <c r="D5437" s="82" t="s">
        <v>3610</v>
      </c>
      <c r="E5437" s="82">
        <v>6285821233475</v>
      </c>
      <c r="F5437" s="92">
        <v>45914</v>
      </c>
      <c r="G5437" s="87">
        <v>1061</v>
      </c>
      <c r="H5437" s="88">
        <v>14269.827586206895</v>
      </c>
      <c r="I5437" s="89">
        <v>56</v>
      </c>
      <c r="J5437" s="90">
        <v>16553</v>
      </c>
      <c r="K5437" s="85">
        <v>4</v>
      </c>
      <c r="L5437" s="85">
        <v>391</v>
      </c>
      <c r="M5437" s="85">
        <v>0</v>
      </c>
      <c r="N5437" s="82" t="s">
        <v>11770</v>
      </c>
      <c r="O5437" s="93">
        <v>45915.58902777778</v>
      </c>
    </row>
    <row r="5438" spans="1:15" ht="22.5" customHeight="1">
      <c r="A5438" s="85">
        <v>174904221976312</v>
      </c>
      <c r="B5438" s="82" t="s">
        <v>10651</v>
      </c>
      <c r="C5438" s="82" t="s">
        <v>11613</v>
      </c>
      <c r="D5438" s="82" t="s">
        <v>11614</v>
      </c>
      <c r="E5438" s="82">
        <v>6282186829904</v>
      </c>
      <c r="F5438" s="92">
        <v>45914</v>
      </c>
      <c r="G5438" s="87">
        <v>139</v>
      </c>
      <c r="H5438" s="88">
        <v>76465.277777777766</v>
      </c>
      <c r="I5438" s="89">
        <v>4</v>
      </c>
      <c r="J5438" s="90">
        <v>11011</v>
      </c>
      <c r="K5438" s="85">
        <v>1</v>
      </c>
      <c r="L5438" s="85">
        <v>0</v>
      </c>
      <c r="M5438" s="85">
        <v>0</v>
      </c>
      <c r="N5438" s="82" t="s">
        <v>12342</v>
      </c>
      <c r="O5438" s="93">
        <v>45915.568136574075</v>
      </c>
    </row>
    <row r="5439" spans="1:15" ht="22.5" customHeight="1">
      <c r="A5439" s="85">
        <v>174904221976312</v>
      </c>
      <c r="B5439" s="82" t="s">
        <v>10651</v>
      </c>
      <c r="C5439" s="82" t="s">
        <v>11580</v>
      </c>
      <c r="D5439" s="82" t="s">
        <v>11581</v>
      </c>
      <c r="E5439" s="82">
        <v>6287790276733</v>
      </c>
      <c r="F5439" s="92">
        <v>45914</v>
      </c>
      <c r="G5439" s="87">
        <v>320</v>
      </c>
      <c r="H5439" s="88">
        <v>32026.737967914436</v>
      </c>
      <c r="I5439" s="89">
        <v>9</v>
      </c>
      <c r="J5439" s="90">
        <v>11978</v>
      </c>
      <c r="K5439" s="85">
        <v>1</v>
      </c>
      <c r="L5439" s="85">
        <v>59</v>
      </c>
      <c r="M5439" s="85">
        <v>0</v>
      </c>
      <c r="N5439" s="82" t="s">
        <v>12343</v>
      </c>
      <c r="O5439" s="93">
        <v>45915.464363425926</v>
      </c>
    </row>
    <row r="5440" spans="1:15" ht="22.5" customHeight="1">
      <c r="A5440" s="85">
        <v>174904221976312</v>
      </c>
      <c r="B5440" s="82" t="s">
        <v>10651</v>
      </c>
      <c r="C5440" s="82" t="s">
        <v>12460</v>
      </c>
      <c r="D5440" s="82" t="s">
        <v>12461</v>
      </c>
      <c r="E5440" s="82">
        <v>6285357908485</v>
      </c>
      <c r="F5440" s="92">
        <v>45915</v>
      </c>
      <c r="G5440" s="87">
        <v>264</v>
      </c>
      <c r="H5440" s="88">
        <v>45884.210526315794</v>
      </c>
      <c r="I5440" s="89">
        <v>17</v>
      </c>
      <c r="J5440" s="90">
        <v>13077</v>
      </c>
      <c r="K5440" s="85">
        <v>6</v>
      </c>
      <c r="L5440" s="85">
        <v>12</v>
      </c>
      <c r="M5440" s="85">
        <v>0</v>
      </c>
      <c r="N5440" s="82" t="s">
        <v>12462</v>
      </c>
      <c r="O5440" s="93">
        <v>45916.672719907408</v>
      </c>
    </row>
    <row r="5441" spans="1:15" ht="22.5" customHeight="1">
      <c r="A5441" s="85">
        <v>174904221976312</v>
      </c>
      <c r="B5441" s="82" t="s">
        <v>10651</v>
      </c>
      <c r="C5441" s="82" t="s">
        <v>12449</v>
      </c>
      <c r="D5441" s="82" t="s">
        <v>11483</v>
      </c>
      <c r="E5441" s="82">
        <v>62817164567</v>
      </c>
      <c r="F5441" s="92">
        <v>45915</v>
      </c>
      <c r="G5441" s="87">
        <v>676</v>
      </c>
      <c r="H5441" s="88">
        <v>16134.760705289673</v>
      </c>
      <c r="I5441" s="89">
        <v>16</v>
      </c>
      <c r="J5441" s="90">
        <v>12811</v>
      </c>
      <c r="K5441" s="85">
        <v>1</v>
      </c>
      <c r="L5441" s="85">
        <v>0</v>
      </c>
      <c r="M5441" s="85">
        <v>0</v>
      </c>
      <c r="N5441" s="82" t="s">
        <v>12450</v>
      </c>
      <c r="O5441" s="93">
        <v>45916.484560185185</v>
      </c>
    </row>
    <row r="5442" spans="1:15" ht="22.5" customHeight="1">
      <c r="A5442" s="85">
        <v>174904221976312</v>
      </c>
      <c r="B5442" s="82" t="s">
        <v>10651</v>
      </c>
      <c r="C5442" s="82" t="s">
        <v>12451</v>
      </c>
      <c r="D5442" s="82" t="s">
        <v>12452</v>
      </c>
      <c r="E5442" s="82">
        <v>6281224628935</v>
      </c>
      <c r="F5442" s="92">
        <v>45915</v>
      </c>
      <c r="G5442" s="87">
        <v>569</v>
      </c>
      <c r="H5442" s="88">
        <v>18607.305936073062</v>
      </c>
      <c r="I5442" s="89">
        <v>9</v>
      </c>
      <c r="J5442" s="90">
        <v>12225</v>
      </c>
      <c r="K5442" s="85">
        <v>1</v>
      </c>
      <c r="L5442" s="85">
        <v>20</v>
      </c>
      <c r="M5442" s="85">
        <v>1</v>
      </c>
      <c r="N5442" s="82" t="s">
        <v>12453</v>
      </c>
      <c r="O5442" s="93">
        <v>45916.505439814813</v>
      </c>
    </row>
    <row r="5443" spans="1:15" ht="22.5" customHeight="1">
      <c r="A5443" s="85">
        <v>174904221976312</v>
      </c>
      <c r="B5443" s="82" t="s">
        <v>10651</v>
      </c>
      <c r="C5443" s="82" t="s">
        <v>12454</v>
      </c>
      <c r="D5443" s="82" t="s">
        <v>5522</v>
      </c>
      <c r="E5443" s="82">
        <v>6287822292311</v>
      </c>
      <c r="F5443" s="92">
        <v>45915</v>
      </c>
      <c r="G5443" s="87">
        <v>569</v>
      </c>
      <c r="H5443" s="88">
        <v>19575.384615384613</v>
      </c>
      <c r="I5443" s="89">
        <v>2</v>
      </c>
      <c r="J5443" s="90">
        <v>12724</v>
      </c>
      <c r="K5443" s="85">
        <v>0</v>
      </c>
      <c r="L5443" s="85">
        <v>4</v>
      </c>
      <c r="M5443" s="85">
        <v>0</v>
      </c>
      <c r="N5443" s="82" t="s">
        <v>12455</v>
      </c>
      <c r="O5443" s="93">
        <v>45916.5471875</v>
      </c>
    </row>
    <row r="5444" spans="1:15" ht="22.5" customHeight="1">
      <c r="A5444" s="85">
        <v>174904221976312</v>
      </c>
      <c r="B5444" s="82" t="s">
        <v>10651</v>
      </c>
      <c r="C5444" s="82" t="s">
        <v>12456</v>
      </c>
      <c r="D5444" s="82" t="s">
        <v>11483</v>
      </c>
      <c r="E5444" s="82">
        <v>6285255115894</v>
      </c>
      <c r="F5444" s="92">
        <v>45915</v>
      </c>
      <c r="G5444" s="87">
        <v>926</v>
      </c>
      <c r="H5444" s="88">
        <v>13636.826042726349</v>
      </c>
      <c r="I5444" s="89">
        <v>15</v>
      </c>
      <c r="J5444" s="90">
        <v>13405</v>
      </c>
      <c r="K5444" s="85">
        <v>3</v>
      </c>
      <c r="L5444" s="85">
        <v>35</v>
      </c>
      <c r="M5444" s="85">
        <v>0</v>
      </c>
      <c r="N5444" s="82" t="s">
        <v>12457</v>
      </c>
      <c r="O5444" s="93">
        <v>45916.547199074077</v>
      </c>
    </row>
    <row r="5445" spans="1:15" ht="22.5" customHeight="1">
      <c r="A5445" s="85">
        <v>174904221976312</v>
      </c>
      <c r="B5445" s="82" t="s">
        <v>10651</v>
      </c>
      <c r="C5445" s="82" t="s">
        <v>12458</v>
      </c>
      <c r="D5445" s="82" t="s">
        <v>5515</v>
      </c>
      <c r="E5445" s="82">
        <v>6285245301996</v>
      </c>
      <c r="F5445" s="92">
        <v>45915</v>
      </c>
      <c r="G5445" s="87">
        <v>895</v>
      </c>
      <c r="H5445" s="88">
        <v>13476.85185185185</v>
      </c>
      <c r="I5445" s="89">
        <v>15</v>
      </c>
      <c r="J5445" s="90">
        <v>14555</v>
      </c>
      <c r="K5445" s="85">
        <v>0</v>
      </c>
      <c r="L5445" s="85">
        <v>294</v>
      </c>
      <c r="M5445" s="85">
        <v>0</v>
      </c>
      <c r="N5445" s="82" t="s">
        <v>12463</v>
      </c>
      <c r="O5445" s="93">
        <v>45916.784490740742</v>
      </c>
    </row>
    <row r="5446" spans="1:15" ht="22.5" customHeight="1">
      <c r="A5446" s="85">
        <v>174904221976312</v>
      </c>
      <c r="B5446" s="82" t="s">
        <v>10651</v>
      </c>
      <c r="C5446" s="82" t="s">
        <v>12436</v>
      </c>
      <c r="D5446" s="82" t="s">
        <v>5483</v>
      </c>
      <c r="E5446" s="82">
        <v>6282225676438</v>
      </c>
      <c r="F5446" s="92">
        <v>45915</v>
      </c>
      <c r="G5446" s="87">
        <v>303</v>
      </c>
      <c r="H5446" s="88">
        <v>41717.579250720461</v>
      </c>
      <c r="I5446" s="89">
        <v>11</v>
      </c>
      <c r="J5446" s="90">
        <v>14476</v>
      </c>
      <c r="K5446" s="85">
        <v>6</v>
      </c>
      <c r="L5446" s="85">
        <v>0</v>
      </c>
      <c r="M5446" s="85">
        <v>0</v>
      </c>
      <c r="N5446" s="82" t="s">
        <v>12437</v>
      </c>
      <c r="O5446" s="93">
        <v>45916.484756944446</v>
      </c>
    </row>
    <row r="5447" spans="1:15" ht="22.5" customHeight="1">
      <c r="A5447" s="85">
        <v>174904221976312</v>
      </c>
      <c r="B5447" s="82" t="s">
        <v>10651</v>
      </c>
      <c r="C5447" s="82" t="s">
        <v>12438</v>
      </c>
      <c r="D5447" s="82" t="s">
        <v>3479</v>
      </c>
      <c r="E5447" s="82">
        <v>6282249145533</v>
      </c>
      <c r="F5447" s="92">
        <v>45915</v>
      </c>
      <c r="G5447" s="87">
        <v>890</v>
      </c>
      <c r="H5447" s="88">
        <v>12565.217391304348</v>
      </c>
      <c r="I5447" s="89">
        <v>31</v>
      </c>
      <c r="J5447" s="90">
        <v>13294</v>
      </c>
      <c r="K5447" s="85">
        <v>5</v>
      </c>
      <c r="L5447" s="85">
        <v>354</v>
      </c>
      <c r="M5447" s="85">
        <v>1</v>
      </c>
      <c r="N5447" s="82" t="s">
        <v>12439</v>
      </c>
      <c r="O5447" s="93">
        <v>45916.484548611108</v>
      </c>
    </row>
    <row r="5448" spans="1:15" ht="22.5" customHeight="1">
      <c r="A5448" s="85">
        <v>174904221976312</v>
      </c>
      <c r="B5448" s="82" t="s">
        <v>10651</v>
      </c>
      <c r="C5448" s="82" t="s">
        <v>12440</v>
      </c>
      <c r="D5448" s="82" t="s">
        <v>5469</v>
      </c>
      <c r="E5448" s="82">
        <v>6285750574301</v>
      </c>
      <c r="F5448" s="92">
        <v>45915</v>
      </c>
      <c r="G5448" s="87">
        <v>403</v>
      </c>
      <c r="H5448" s="88">
        <v>26020.408163265303</v>
      </c>
      <c r="I5448" s="89">
        <v>7</v>
      </c>
      <c r="J5448" s="90">
        <v>11475</v>
      </c>
      <c r="K5448" s="85">
        <v>1</v>
      </c>
      <c r="L5448" s="85">
        <v>93</v>
      </c>
      <c r="M5448" s="85">
        <v>0</v>
      </c>
      <c r="N5448" s="82" t="s">
        <v>12441</v>
      </c>
      <c r="O5448" s="93">
        <v>45916.547199074077</v>
      </c>
    </row>
    <row r="5449" spans="1:15" ht="22.5" customHeight="1">
      <c r="A5449" s="85">
        <v>174904221976312</v>
      </c>
      <c r="B5449" s="82" t="s">
        <v>10651</v>
      </c>
      <c r="C5449" s="82" t="s">
        <v>12442</v>
      </c>
      <c r="D5449" s="82" t="s">
        <v>12443</v>
      </c>
      <c r="E5449" s="82">
        <v>6281232743716</v>
      </c>
      <c r="F5449" s="92">
        <v>45915</v>
      </c>
      <c r="G5449" s="87">
        <v>628</v>
      </c>
      <c r="H5449" s="88">
        <v>20169.296987087517</v>
      </c>
      <c r="I5449" s="89">
        <v>24</v>
      </c>
      <c r="J5449" s="90">
        <v>14058</v>
      </c>
      <c r="K5449" s="85">
        <v>0</v>
      </c>
      <c r="L5449" s="85">
        <v>290</v>
      </c>
      <c r="M5449" s="85">
        <v>0</v>
      </c>
      <c r="N5449" s="82" t="s">
        <v>12444</v>
      </c>
      <c r="O5449" s="93">
        <v>45916.318703703706</v>
      </c>
    </row>
    <row r="5450" spans="1:15" ht="22.5" customHeight="1">
      <c r="A5450" s="85">
        <v>174904221976312</v>
      </c>
      <c r="B5450" s="82" t="s">
        <v>10651</v>
      </c>
      <c r="C5450" s="82" t="s">
        <v>12445</v>
      </c>
      <c r="D5450" s="82" t="s">
        <v>12446</v>
      </c>
      <c r="E5450" s="82">
        <v>6281338383022</v>
      </c>
      <c r="F5450" s="92">
        <v>45915</v>
      </c>
      <c r="G5450" s="87">
        <v>407</v>
      </c>
      <c r="H5450" s="88">
        <v>29607.142857142859</v>
      </c>
      <c r="I5450" s="89">
        <v>34</v>
      </c>
      <c r="J5450" s="90">
        <v>13264</v>
      </c>
      <c r="K5450" s="85">
        <v>14</v>
      </c>
      <c r="L5450" s="85">
        <v>250</v>
      </c>
      <c r="M5450" s="85">
        <v>0</v>
      </c>
      <c r="N5450" s="82" t="s">
        <v>12447</v>
      </c>
      <c r="O5450" s="93">
        <v>45916.339120370372</v>
      </c>
    </row>
    <row r="5451" spans="1:15" ht="22.5" customHeight="1">
      <c r="A5451" s="85">
        <v>174904221976312</v>
      </c>
      <c r="B5451" s="82" t="s">
        <v>10651</v>
      </c>
      <c r="C5451" s="82" t="s">
        <v>12432</v>
      </c>
      <c r="D5451" s="82" t="s">
        <v>3518</v>
      </c>
      <c r="E5451" s="82">
        <v>6285657238556</v>
      </c>
      <c r="F5451" s="92">
        <v>45915</v>
      </c>
      <c r="G5451" s="87">
        <v>454</v>
      </c>
      <c r="H5451" s="88">
        <v>24051.823416506719</v>
      </c>
      <c r="I5451" s="89">
        <v>19</v>
      </c>
      <c r="J5451" s="90">
        <v>12531</v>
      </c>
      <c r="K5451" s="85">
        <v>0</v>
      </c>
      <c r="L5451" s="85">
        <v>0</v>
      </c>
      <c r="M5451" s="85">
        <v>0</v>
      </c>
      <c r="N5451" s="82" t="s">
        <v>12433</v>
      </c>
      <c r="O5451" s="93">
        <v>45916.463831018518</v>
      </c>
    </row>
    <row r="5452" spans="1:15" ht="22.5" customHeight="1">
      <c r="A5452" s="85">
        <v>174904221976312</v>
      </c>
      <c r="B5452" s="82" t="s">
        <v>10651</v>
      </c>
      <c r="C5452" s="82" t="s">
        <v>12360</v>
      </c>
      <c r="D5452" s="82" t="s">
        <v>12361</v>
      </c>
      <c r="E5452" s="82">
        <v>6285213857442</v>
      </c>
      <c r="F5452" s="92">
        <v>45915</v>
      </c>
      <c r="G5452" s="87">
        <v>829</v>
      </c>
      <c r="H5452" s="88">
        <v>17182.194616977224</v>
      </c>
      <c r="I5452" s="89">
        <v>37</v>
      </c>
      <c r="J5452" s="90">
        <v>16598</v>
      </c>
      <c r="K5452" s="85">
        <v>4</v>
      </c>
      <c r="L5452" s="85">
        <v>365</v>
      </c>
      <c r="M5452" s="85">
        <v>0</v>
      </c>
      <c r="N5452" s="82" t="s">
        <v>12362</v>
      </c>
      <c r="O5452" s="93">
        <v>45916.380682870367</v>
      </c>
    </row>
    <row r="5453" spans="1:15" ht="22.5" customHeight="1">
      <c r="A5453" s="85">
        <v>174904221976312</v>
      </c>
      <c r="B5453" s="82" t="s">
        <v>10651</v>
      </c>
      <c r="C5453" s="82" t="s">
        <v>12363</v>
      </c>
      <c r="D5453" s="82" t="s">
        <v>5371</v>
      </c>
      <c r="E5453" s="82">
        <v>6282135496939</v>
      </c>
      <c r="F5453" s="92">
        <v>45915</v>
      </c>
      <c r="G5453" s="87">
        <v>279</v>
      </c>
      <c r="H5453" s="88">
        <v>43584.717607973427</v>
      </c>
      <c r="I5453" s="89">
        <v>7</v>
      </c>
      <c r="J5453" s="90">
        <v>13119</v>
      </c>
      <c r="K5453" s="85">
        <v>0</v>
      </c>
      <c r="L5453" s="85">
        <v>114</v>
      </c>
      <c r="M5453" s="85">
        <v>0</v>
      </c>
      <c r="N5453" s="82" t="s">
        <v>12364</v>
      </c>
      <c r="O5453" s="93">
        <v>45916.380694444444</v>
      </c>
    </row>
    <row r="5454" spans="1:15" ht="22.5" customHeight="1">
      <c r="A5454" s="85">
        <v>174904221976312</v>
      </c>
      <c r="B5454" s="82" t="s">
        <v>10651</v>
      </c>
      <c r="C5454" s="82" t="s">
        <v>12344</v>
      </c>
      <c r="D5454" s="82" t="s">
        <v>5213</v>
      </c>
      <c r="E5454" s="82">
        <v>6281341637566</v>
      </c>
      <c r="F5454" s="92">
        <v>45915</v>
      </c>
      <c r="G5454" s="87">
        <v>246</v>
      </c>
      <c r="H5454" s="88">
        <v>47349.442379182161</v>
      </c>
      <c r="I5454" s="89">
        <v>6</v>
      </c>
      <c r="J5454" s="90">
        <v>12737</v>
      </c>
      <c r="K5454" s="85">
        <v>1</v>
      </c>
      <c r="L5454" s="85">
        <v>65</v>
      </c>
      <c r="M5454" s="85">
        <v>1</v>
      </c>
      <c r="N5454" s="82" t="s">
        <v>12345</v>
      </c>
      <c r="O5454" s="93">
        <v>45916.219155092593</v>
      </c>
    </row>
    <row r="5455" spans="1:15" ht="22.5" customHeight="1">
      <c r="A5455" s="85">
        <v>174904221976312</v>
      </c>
      <c r="B5455" s="82" t="s">
        <v>10651</v>
      </c>
      <c r="C5455" s="82" t="s">
        <v>12346</v>
      </c>
      <c r="D5455" s="82" t="s">
        <v>5399</v>
      </c>
      <c r="E5455" s="82">
        <v>6282220945171</v>
      </c>
      <c r="F5455" s="92">
        <v>45915</v>
      </c>
      <c r="G5455" s="87">
        <v>478</v>
      </c>
      <c r="H5455" s="88">
        <v>30148.727984344423</v>
      </c>
      <c r="I5455" s="89">
        <v>14</v>
      </c>
      <c r="J5455" s="90">
        <v>15406</v>
      </c>
      <c r="K5455" s="85">
        <v>0</v>
      </c>
      <c r="L5455" s="85">
        <v>131</v>
      </c>
      <c r="M5455" s="85">
        <v>0</v>
      </c>
      <c r="N5455" s="82" t="s">
        <v>12347</v>
      </c>
      <c r="O5455" s="93">
        <v>45916.219166666669</v>
      </c>
    </row>
    <row r="5456" spans="1:15" ht="22.5" customHeight="1">
      <c r="A5456" s="85">
        <v>174904221976312</v>
      </c>
      <c r="B5456" s="82" t="s">
        <v>10651</v>
      </c>
      <c r="C5456" s="82" t="s">
        <v>12348</v>
      </c>
      <c r="D5456" s="82" t="s">
        <v>12349</v>
      </c>
      <c r="E5456" s="82">
        <v>6281348215665</v>
      </c>
      <c r="F5456" s="92">
        <v>45915</v>
      </c>
      <c r="G5456" s="87">
        <v>386</v>
      </c>
      <c r="H5456" s="88">
        <v>35523.584905660377</v>
      </c>
      <c r="I5456" s="89">
        <v>7</v>
      </c>
      <c r="J5456" s="90">
        <v>15062</v>
      </c>
      <c r="K5456" s="85">
        <v>2</v>
      </c>
      <c r="L5456" s="85">
        <v>0</v>
      </c>
      <c r="M5456" s="85">
        <v>0</v>
      </c>
      <c r="N5456" s="82" t="s">
        <v>12464</v>
      </c>
      <c r="O5456" s="93">
        <v>45916.797708333332</v>
      </c>
    </row>
    <row r="5457" spans="1:15" ht="22.5" customHeight="1">
      <c r="A5457" s="85">
        <v>174904221976312</v>
      </c>
      <c r="B5457" s="82" t="s">
        <v>10651</v>
      </c>
      <c r="C5457" s="82" t="s">
        <v>12351</v>
      </c>
      <c r="D5457" s="82" t="s">
        <v>5339</v>
      </c>
      <c r="E5457" s="82">
        <v>6282220371971</v>
      </c>
      <c r="F5457" s="92">
        <v>45915</v>
      </c>
      <c r="G5457" s="87">
        <v>434</v>
      </c>
      <c r="H5457" s="88">
        <v>27069.364161849713</v>
      </c>
      <c r="I5457" s="89">
        <v>46</v>
      </c>
      <c r="J5457" s="90">
        <v>14049</v>
      </c>
      <c r="K5457" s="85">
        <v>13</v>
      </c>
      <c r="L5457" s="85">
        <v>77</v>
      </c>
      <c r="M5457" s="85">
        <v>0</v>
      </c>
      <c r="N5457" s="82" t="s">
        <v>12352</v>
      </c>
      <c r="O5457" s="93">
        <v>45916.484560185185</v>
      </c>
    </row>
    <row r="5458" spans="1:15" ht="22.5" customHeight="1">
      <c r="A5458" s="85">
        <v>174904221976312</v>
      </c>
      <c r="B5458" s="82" t="s">
        <v>10651</v>
      </c>
      <c r="C5458" s="82" t="s">
        <v>12353</v>
      </c>
      <c r="D5458" s="82" t="s">
        <v>12354</v>
      </c>
      <c r="E5458" s="82">
        <v>6281355662725</v>
      </c>
      <c r="F5458" s="92">
        <v>45915</v>
      </c>
      <c r="G5458" s="87">
        <v>333</v>
      </c>
      <c r="H5458" s="88">
        <v>39076.294277929155</v>
      </c>
      <c r="I5458" s="89">
        <v>14</v>
      </c>
      <c r="J5458" s="90">
        <v>14341</v>
      </c>
      <c r="K5458" s="85">
        <v>2</v>
      </c>
      <c r="L5458" s="85">
        <v>144</v>
      </c>
      <c r="M5458" s="85">
        <v>0</v>
      </c>
      <c r="N5458" s="82" t="s">
        <v>12355</v>
      </c>
      <c r="O5458" s="93">
        <v>45916.505439814813</v>
      </c>
    </row>
    <row r="5459" spans="1:15" ht="22.5" customHeight="1">
      <c r="A5459" s="85">
        <v>174904221976312</v>
      </c>
      <c r="B5459" s="82" t="s">
        <v>10651</v>
      </c>
      <c r="C5459" s="82" t="s">
        <v>12356</v>
      </c>
      <c r="D5459" s="82" t="s">
        <v>2202</v>
      </c>
      <c r="E5459" s="82">
        <v>62895374644456</v>
      </c>
      <c r="F5459" s="92">
        <v>45915</v>
      </c>
      <c r="G5459" s="87">
        <v>757</v>
      </c>
      <c r="H5459" s="88">
        <v>13148.14814814815</v>
      </c>
      <c r="I5459" s="89">
        <v>28</v>
      </c>
      <c r="J5459" s="90">
        <v>10295</v>
      </c>
      <c r="K5459" s="85">
        <v>4</v>
      </c>
      <c r="L5459" s="85">
        <v>133</v>
      </c>
      <c r="M5459" s="85">
        <v>0</v>
      </c>
      <c r="N5459" s="82" t="s">
        <v>12357</v>
      </c>
      <c r="O5459" s="93">
        <v>45916.219166666669</v>
      </c>
    </row>
    <row r="5460" spans="1:15" ht="22.5" customHeight="1">
      <c r="A5460" s="85">
        <v>174904221976312</v>
      </c>
      <c r="B5460" s="82" t="s">
        <v>10651</v>
      </c>
      <c r="C5460" s="82" t="s">
        <v>12327</v>
      </c>
      <c r="D5460" s="82" t="s">
        <v>12328</v>
      </c>
      <c r="E5460" s="82">
        <v>6281249008778</v>
      </c>
      <c r="F5460" s="92">
        <v>45915</v>
      </c>
      <c r="G5460" s="87">
        <v>384</v>
      </c>
      <c r="H5460" s="88">
        <v>32417.410714285714</v>
      </c>
      <c r="I5460" s="89">
        <v>23</v>
      </c>
      <c r="J5460" s="90">
        <v>14523</v>
      </c>
      <c r="K5460" s="85">
        <v>2</v>
      </c>
      <c r="L5460" s="85">
        <v>0</v>
      </c>
      <c r="M5460" s="85">
        <v>0</v>
      </c>
      <c r="N5460" s="82" t="s">
        <v>12358</v>
      </c>
      <c r="O5460" s="93">
        <v>45916.505682870367</v>
      </c>
    </row>
    <row r="5461" spans="1:15" ht="22.5" customHeight="1">
      <c r="A5461" s="85">
        <v>174904221976312</v>
      </c>
      <c r="B5461" s="82" t="s">
        <v>10651</v>
      </c>
      <c r="C5461" s="82" t="s">
        <v>12296</v>
      </c>
      <c r="D5461" s="82" t="s">
        <v>12297</v>
      </c>
      <c r="E5461" s="82">
        <v>6285600287735</v>
      </c>
      <c r="F5461" s="92">
        <v>45915</v>
      </c>
      <c r="G5461" s="87">
        <v>389</v>
      </c>
      <c r="H5461" s="88">
        <v>29592.342342342341</v>
      </c>
      <c r="I5461" s="89">
        <v>19</v>
      </c>
      <c r="J5461" s="90">
        <v>13139</v>
      </c>
      <c r="K5461" s="85">
        <v>4</v>
      </c>
      <c r="L5461" s="85">
        <v>124</v>
      </c>
      <c r="M5461" s="85">
        <v>0</v>
      </c>
      <c r="N5461" s="82" t="s">
        <v>12448</v>
      </c>
      <c r="O5461" s="93">
        <v>45916.464016203703</v>
      </c>
    </row>
    <row r="5462" spans="1:15" ht="22.5" customHeight="1">
      <c r="A5462" s="85">
        <v>174904221976312</v>
      </c>
      <c r="B5462" s="82" t="s">
        <v>10651</v>
      </c>
      <c r="C5462" s="82" t="s">
        <v>12276</v>
      </c>
      <c r="D5462" s="82" t="s">
        <v>12277</v>
      </c>
      <c r="E5462" s="82">
        <v>6281558822937</v>
      </c>
      <c r="F5462" s="92">
        <v>45915</v>
      </c>
      <c r="G5462" s="87">
        <v>108</v>
      </c>
      <c r="H5462" s="88">
        <v>112232.55813953489</v>
      </c>
      <c r="I5462" s="89">
        <v>1</v>
      </c>
      <c r="J5462" s="90">
        <v>14478</v>
      </c>
      <c r="K5462" s="85">
        <v>0</v>
      </c>
      <c r="L5462" s="85">
        <v>0</v>
      </c>
      <c r="M5462" s="85">
        <v>0</v>
      </c>
      <c r="N5462" s="82" t="s">
        <v>12314</v>
      </c>
      <c r="O5462" s="93">
        <v>45916.380879629629</v>
      </c>
    </row>
    <row r="5463" spans="1:15" ht="22.5" customHeight="1">
      <c r="A5463" s="85">
        <v>174904221976312</v>
      </c>
      <c r="B5463" s="82" t="s">
        <v>10651</v>
      </c>
      <c r="C5463" s="82" t="s">
        <v>12279</v>
      </c>
      <c r="D5463" s="82" t="s">
        <v>11800</v>
      </c>
      <c r="E5463" s="82">
        <v>6285333751528</v>
      </c>
      <c r="F5463" s="92">
        <v>45915</v>
      </c>
      <c r="G5463" s="87">
        <v>225</v>
      </c>
      <c r="H5463" s="88">
        <v>70723.140495867774</v>
      </c>
      <c r="I5463" s="89">
        <v>12</v>
      </c>
      <c r="J5463" s="90">
        <v>17115</v>
      </c>
      <c r="K5463" s="85">
        <v>4</v>
      </c>
      <c r="L5463" s="85">
        <v>91</v>
      </c>
      <c r="M5463" s="85">
        <v>0</v>
      </c>
      <c r="N5463" s="82" t="s">
        <v>12337</v>
      </c>
      <c r="O5463" s="93">
        <v>45916.484768518516</v>
      </c>
    </row>
    <row r="5464" spans="1:15" ht="22.5" customHeight="1">
      <c r="A5464" s="85">
        <v>174904221976312</v>
      </c>
      <c r="B5464" s="82" t="s">
        <v>10651</v>
      </c>
      <c r="C5464" s="82" t="s">
        <v>12284</v>
      </c>
      <c r="D5464" s="82" t="s">
        <v>12285</v>
      </c>
      <c r="E5464" s="82">
        <v>6285921481643</v>
      </c>
      <c r="F5464" s="92">
        <v>45915</v>
      </c>
      <c r="G5464" s="87">
        <v>335</v>
      </c>
      <c r="H5464" s="88">
        <v>35633.333333333336</v>
      </c>
      <c r="I5464" s="89">
        <v>11</v>
      </c>
      <c r="J5464" s="90">
        <v>13897</v>
      </c>
      <c r="K5464" s="85">
        <v>3</v>
      </c>
      <c r="L5464" s="85">
        <v>0</v>
      </c>
      <c r="M5464" s="85">
        <v>0</v>
      </c>
      <c r="N5464" s="82" t="s">
        <v>12465</v>
      </c>
      <c r="O5464" s="93">
        <v>45916.725289351853</v>
      </c>
    </row>
    <row r="5465" spans="1:15" ht="22.5" customHeight="1">
      <c r="A5465" s="85">
        <v>174904221976312</v>
      </c>
      <c r="B5465" s="82" t="s">
        <v>10651</v>
      </c>
      <c r="C5465" s="82" t="s">
        <v>12269</v>
      </c>
      <c r="D5465" s="82" t="s">
        <v>12270</v>
      </c>
      <c r="E5465" s="82">
        <v>6282229433259</v>
      </c>
      <c r="F5465" s="92">
        <v>45915</v>
      </c>
      <c r="G5465" s="87">
        <v>184</v>
      </c>
      <c r="H5465" s="88">
        <v>57312.820512820515</v>
      </c>
      <c r="I5465" s="89">
        <v>12</v>
      </c>
      <c r="J5465" s="90">
        <v>11176</v>
      </c>
      <c r="K5465" s="85">
        <v>1</v>
      </c>
      <c r="L5465" s="85">
        <v>101</v>
      </c>
      <c r="M5465" s="85">
        <v>0</v>
      </c>
      <c r="N5465" s="82" t="s">
        <v>12339</v>
      </c>
      <c r="O5465" s="93">
        <v>45916.651701388888</v>
      </c>
    </row>
    <row r="5466" spans="1:15" ht="22.5" customHeight="1">
      <c r="A5466" s="85">
        <v>174904221976312</v>
      </c>
      <c r="B5466" s="82" t="s">
        <v>10651</v>
      </c>
      <c r="C5466" s="82" t="s">
        <v>12234</v>
      </c>
      <c r="D5466" s="82" t="s">
        <v>12235</v>
      </c>
      <c r="E5466" s="82">
        <v>6285780314346</v>
      </c>
      <c r="F5466" s="92">
        <v>45915</v>
      </c>
      <c r="G5466" s="87">
        <v>583</v>
      </c>
      <c r="H5466" s="88">
        <v>21879.120879120881</v>
      </c>
      <c r="I5466" s="89">
        <v>46</v>
      </c>
      <c r="J5466" s="90">
        <v>15928</v>
      </c>
      <c r="K5466" s="85">
        <v>3</v>
      </c>
      <c r="L5466" s="85">
        <v>138</v>
      </c>
      <c r="M5466" s="85">
        <v>0</v>
      </c>
      <c r="N5466" s="82" t="s">
        <v>12434</v>
      </c>
      <c r="O5466" s="93">
        <v>45916.484548611108</v>
      </c>
    </row>
    <row r="5467" spans="1:15" ht="22.5" customHeight="1">
      <c r="A5467" s="85">
        <v>174904221976312</v>
      </c>
      <c r="B5467" s="82" t="s">
        <v>10651</v>
      </c>
      <c r="C5467" s="82" t="s">
        <v>12209</v>
      </c>
      <c r="D5467" s="82" t="s">
        <v>12210</v>
      </c>
      <c r="E5467" s="82">
        <v>6282217300224</v>
      </c>
      <c r="F5467" s="92">
        <v>45915</v>
      </c>
      <c r="G5467" s="87">
        <v>76</v>
      </c>
      <c r="H5467" s="88">
        <v>135296.70329670329</v>
      </c>
      <c r="I5467" s="89">
        <v>7</v>
      </c>
      <c r="J5467" s="90">
        <v>12312</v>
      </c>
      <c r="K5467" s="85">
        <v>1</v>
      </c>
      <c r="L5467" s="85">
        <v>0</v>
      </c>
      <c r="M5467" s="85">
        <v>0</v>
      </c>
      <c r="N5467" s="82" t="s">
        <v>12317</v>
      </c>
      <c r="O5467" s="93">
        <v>45916.505694444444</v>
      </c>
    </row>
    <row r="5468" spans="1:15" ht="22.5" customHeight="1">
      <c r="A5468" s="85">
        <v>174904221976312</v>
      </c>
      <c r="B5468" s="82" t="s">
        <v>10651</v>
      </c>
      <c r="C5468" s="82" t="s">
        <v>12164</v>
      </c>
      <c r="D5468" s="82" t="s">
        <v>12165</v>
      </c>
      <c r="E5468" s="82">
        <v>6285787104091</v>
      </c>
      <c r="F5468" s="92">
        <v>45915</v>
      </c>
      <c r="G5468" s="87">
        <v>714</v>
      </c>
      <c r="H5468" s="88">
        <v>19072.890025575445</v>
      </c>
      <c r="I5468" s="89">
        <v>21</v>
      </c>
      <c r="J5468" s="90">
        <v>14915</v>
      </c>
      <c r="K5468" s="85">
        <v>0</v>
      </c>
      <c r="L5468" s="85">
        <v>0</v>
      </c>
      <c r="M5468" s="85">
        <v>1</v>
      </c>
      <c r="N5468" s="82" t="s">
        <v>12318</v>
      </c>
      <c r="O5468" s="93">
        <v>45916.219166666669</v>
      </c>
    </row>
    <row r="5469" spans="1:15" ht="22.5" customHeight="1">
      <c r="A5469" s="85">
        <v>174904221976312</v>
      </c>
      <c r="B5469" s="82" t="s">
        <v>10651</v>
      </c>
      <c r="C5469" s="82" t="s">
        <v>12171</v>
      </c>
      <c r="D5469" s="82" t="s">
        <v>4386</v>
      </c>
      <c r="E5469" s="82">
        <v>62818533354</v>
      </c>
      <c r="F5469" s="92">
        <v>45915</v>
      </c>
      <c r="G5469" s="87">
        <v>265</v>
      </c>
      <c r="H5469" s="88">
        <v>40738.60182370821</v>
      </c>
      <c r="I5469" s="89">
        <v>8</v>
      </c>
      <c r="J5469" s="90">
        <v>13403</v>
      </c>
      <c r="K5469" s="85">
        <v>2</v>
      </c>
      <c r="L5469" s="85">
        <v>0</v>
      </c>
      <c r="M5469" s="85">
        <v>0</v>
      </c>
      <c r="N5469" s="82" t="s">
        <v>12319</v>
      </c>
      <c r="O5469" s="93">
        <v>45916.380682870367</v>
      </c>
    </row>
    <row r="5470" spans="1:15" ht="22.5" customHeight="1">
      <c r="A5470" s="85">
        <v>174904221976312</v>
      </c>
      <c r="B5470" s="82" t="s">
        <v>10651</v>
      </c>
      <c r="C5470" s="82" t="s">
        <v>12130</v>
      </c>
      <c r="D5470" s="82" t="s">
        <v>12131</v>
      </c>
      <c r="E5470" s="82">
        <v>6281239004410</v>
      </c>
      <c r="F5470" s="92">
        <v>45915</v>
      </c>
      <c r="G5470" s="87">
        <v>146</v>
      </c>
      <c r="H5470" s="88">
        <v>82773.584905660377</v>
      </c>
      <c r="I5470" s="89">
        <v>7</v>
      </c>
      <c r="J5470" s="90">
        <v>13161</v>
      </c>
      <c r="K5470" s="85">
        <v>2</v>
      </c>
      <c r="L5470" s="85">
        <v>0</v>
      </c>
      <c r="M5470" s="85">
        <v>0</v>
      </c>
      <c r="N5470" s="82" t="s">
        <v>12288</v>
      </c>
      <c r="O5470" s="93">
        <v>45916.568402777775</v>
      </c>
    </row>
    <row r="5471" spans="1:15" ht="22.5" customHeight="1">
      <c r="A5471" s="85">
        <v>174904221976312</v>
      </c>
      <c r="B5471" s="82" t="s">
        <v>10651</v>
      </c>
      <c r="C5471" s="82" t="s">
        <v>12102</v>
      </c>
      <c r="D5471" s="82" t="s">
        <v>12103</v>
      </c>
      <c r="E5471" s="82">
        <v>628122577723</v>
      </c>
      <c r="F5471" s="92">
        <v>45915</v>
      </c>
      <c r="G5471" s="87">
        <v>520</v>
      </c>
      <c r="H5471" s="88">
        <v>27779.513888888891</v>
      </c>
      <c r="I5471" s="89">
        <v>25</v>
      </c>
      <c r="J5471" s="90">
        <v>16001</v>
      </c>
      <c r="K5471" s="85">
        <v>2</v>
      </c>
      <c r="L5471" s="85">
        <v>0</v>
      </c>
      <c r="M5471" s="85">
        <v>0</v>
      </c>
      <c r="N5471" s="82" t="s">
        <v>12244</v>
      </c>
      <c r="O5471" s="93">
        <v>45916.219166666669</v>
      </c>
    </row>
    <row r="5472" spans="1:15" ht="22.5" customHeight="1">
      <c r="A5472" s="85">
        <v>174904221976312</v>
      </c>
      <c r="B5472" s="82" t="s">
        <v>10651</v>
      </c>
      <c r="C5472" s="82" t="s">
        <v>12058</v>
      </c>
      <c r="D5472" s="82" t="s">
        <v>4516</v>
      </c>
      <c r="E5472" s="82">
        <v>6281315163838</v>
      </c>
      <c r="F5472" s="92">
        <v>45915</v>
      </c>
      <c r="G5472" s="87">
        <v>428</v>
      </c>
      <c r="H5472" s="88">
        <v>28601.577909270214</v>
      </c>
      <c r="I5472" s="89">
        <v>7</v>
      </c>
      <c r="J5472" s="90">
        <v>14501</v>
      </c>
      <c r="K5472" s="85">
        <v>0</v>
      </c>
      <c r="L5472" s="85">
        <v>0</v>
      </c>
      <c r="M5472" s="85">
        <v>0</v>
      </c>
      <c r="N5472" s="82" t="s">
        <v>12321</v>
      </c>
      <c r="O5472" s="93">
        <v>45916.527129629627</v>
      </c>
    </row>
    <row r="5473" spans="1:15" ht="22.5" customHeight="1">
      <c r="A5473" s="85">
        <v>174904221976312</v>
      </c>
      <c r="B5473" s="82" t="s">
        <v>10651</v>
      </c>
      <c r="C5473" s="82" t="s">
        <v>12039</v>
      </c>
      <c r="D5473" s="82" t="s">
        <v>12040</v>
      </c>
      <c r="E5473" s="82">
        <v>6281330410391</v>
      </c>
      <c r="F5473" s="92">
        <v>45915</v>
      </c>
      <c r="G5473" s="87">
        <v>630</v>
      </c>
      <c r="H5473" s="88">
        <v>18367.1679197995</v>
      </c>
      <c r="I5473" s="89">
        <v>57</v>
      </c>
      <c r="J5473" s="90">
        <v>14657</v>
      </c>
      <c r="K5473" s="85">
        <v>6</v>
      </c>
      <c r="L5473" s="85">
        <v>0</v>
      </c>
      <c r="M5473" s="85">
        <v>0</v>
      </c>
      <c r="N5473" s="82" t="s">
        <v>12435</v>
      </c>
      <c r="O5473" s="93">
        <v>45916.609884259262</v>
      </c>
    </row>
    <row r="5474" spans="1:15" ht="22.5" customHeight="1">
      <c r="A5474" s="85">
        <v>174904221976312</v>
      </c>
      <c r="B5474" s="82" t="s">
        <v>10651</v>
      </c>
      <c r="C5474" s="82" t="s">
        <v>12007</v>
      </c>
      <c r="D5474" s="82" t="s">
        <v>9010</v>
      </c>
      <c r="E5474" s="82">
        <v>6282160743576</v>
      </c>
      <c r="F5474" s="92">
        <v>45915</v>
      </c>
      <c r="G5474" s="87">
        <v>738</v>
      </c>
      <c r="H5474" s="88">
        <v>13083.792723263507</v>
      </c>
      <c r="I5474" s="89">
        <v>22</v>
      </c>
      <c r="J5474" s="90">
        <v>11867</v>
      </c>
      <c r="K5474" s="85">
        <v>1</v>
      </c>
      <c r="L5474" s="85">
        <v>0</v>
      </c>
      <c r="M5474" s="85">
        <v>0</v>
      </c>
      <c r="N5474" s="82" t="s">
        <v>12008</v>
      </c>
      <c r="O5474" s="93">
        <v>45916.422037037039</v>
      </c>
    </row>
    <row r="5475" spans="1:15" ht="22.5" customHeight="1">
      <c r="A5475" s="85">
        <v>174904221976312</v>
      </c>
      <c r="B5475" s="82" t="s">
        <v>10651</v>
      </c>
      <c r="C5475" s="82" t="s">
        <v>11769</v>
      </c>
      <c r="D5475" s="82" t="s">
        <v>3610</v>
      </c>
      <c r="E5475" s="82">
        <v>6285821233475</v>
      </c>
      <c r="F5475" s="92">
        <v>45915</v>
      </c>
      <c r="G5475" s="87">
        <v>766</v>
      </c>
      <c r="H5475" s="88">
        <v>15872.389791183296</v>
      </c>
      <c r="I5475" s="89">
        <v>26</v>
      </c>
      <c r="J5475" s="90">
        <v>13682</v>
      </c>
      <c r="K5475" s="85">
        <v>1</v>
      </c>
      <c r="L5475" s="85">
        <v>176</v>
      </c>
      <c r="M5475" s="85">
        <v>0</v>
      </c>
      <c r="N5475" s="82" t="s">
        <v>11770</v>
      </c>
      <c r="O5475" s="93">
        <v>45916.255798611113</v>
      </c>
    </row>
    <row r="5476" spans="1:15" ht="22.5" customHeight="1">
      <c r="A5476" s="85">
        <v>174904221976312</v>
      </c>
      <c r="B5476" s="82" t="s">
        <v>10651</v>
      </c>
      <c r="C5476" s="82" t="s">
        <v>11613</v>
      </c>
      <c r="D5476" s="82" t="s">
        <v>11614</v>
      </c>
      <c r="E5476" s="82">
        <v>6282186829904</v>
      </c>
      <c r="F5476" s="92">
        <v>45915</v>
      </c>
      <c r="G5476" s="87">
        <v>116</v>
      </c>
      <c r="H5476" s="88">
        <v>102515.38461538462</v>
      </c>
      <c r="I5476" s="89">
        <v>7</v>
      </c>
      <c r="J5476" s="90">
        <v>13327</v>
      </c>
      <c r="K5476" s="85">
        <v>2</v>
      </c>
      <c r="L5476" s="85">
        <v>0</v>
      </c>
      <c r="M5476" s="85">
        <v>0</v>
      </c>
      <c r="N5476" s="82" t="s">
        <v>12466</v>
      </c>
      <c r="O5476" s="93">
        <v>45916.719849537039</v>
      </c>
    </row>
    <row r="5477" spans="1:15" ht="22.5" customHeight="1">
      <c r="A5477" s="85">
        <v>174904221976312</v>
      </c>
      <c r="B5477" s="82" t="s">
        <v>10651</v>
      </c>
      <c r="C5477" s="82" t="s">
        <v>11580</v>
      </c>
      <c r="D5477" s="82" t="s">
        <v>11581</v>
      </c>
      <c r="E5477" s="82">
        <v>6287790276733</v>
      </c>
      <c r="F5477" s="92">
        <v>45915</v>
      </c>
      <c r="G5477" s="87">
        <v>617</v>
      </c>
      <c r="H5477" s="88">
        <v>21590.410958904107</v>
      </c>
      <c r="I5477" s="89">
        <v>28</v>
      </c>
      <c r="J5477" s="90">
        <v>15761</v>
      </c>
      <c r="K5477" s="85">
        <v>3</v>
      </c>
      <c r="L5477" s="85">
        <v>0</v>
      </c>
      <c r="M5477" s="85">
        <v>0</v>
      </c>
      <c r="N5477" s="82" t="s">
        <v>12343</v>
      </c>
      <c r="O5477" s="93">
        <v>45916.568773148145</v>
      </c>
    </row>
    <row r="5478" spans="1:15" ht="22.5" customHeight="1">
      <c r="A5478" s="85">
        <v>174904221976312</v>
      </c>
      <c r="B5478" s="82" t="s">
        <v>10651</v>
      </c>
      <c r="C5478" s="82" t="s">
        <v>12467</v>
      </c>
      <c r="D5478" s="82" t="s">
        <v>5668</v>
      </c>
      <c r="E5478" s="82">
        <v>6287777144455</v>
      </c>
      <c r="F5478" s="92">
        <v>45916</v>
      </c>
      <c r="G5478" s="87">
        <v>307</v>
      </c>
      <c r="H5478" s="88">
        <v>31655.462184873952</v>
      </c>
      <c r="I5478" s="89">
        <v>7</v>
      </c>
      <c r="J5478" s="90">
        <v>11301</v>
      </c>
      <c r="K5478" s="85">
        <v>1</v>
      </c>
      <c r="L5478" s="85">
        <v>36</v>
      </c>
      <c r="M5478" s="85">
        <v>0</v>
      </c>
      <c r="N5478" s="82" t="s">
        <v>12468</v>
      </c>
      <c r="O5478" s="93">
        <v>45917.693414351852</v>
      </c>
    </row>
    <row r="5479" spans="1:15" ht="22.5" customHeight="1">
      <c r="A5479" s="85">
        <v>174904221976312</v>
      </c>
      <c r="B5479" s="82" t="s">
        <v>10651</v>
      </c>
      <c r="C5479" s="82" t="s">
        <v>12469</v>
      </c>
      <c r="D5479" s="82" t="s">
        <v>12470</v>
      </c>
      <c r="E5479" s="82">
        <v>6287751068360</v>
      </c>
      <c r="F5479" s="92">
        <v>45916</v>
      </c>
      <c r="G5479" s="87">
        <v>404</v>
      </c>
      <c r="H5479" s="88">
        <v>27172.340425531915</v>
      </c>
      <c r="I5479" s="89">
        <v>4</v>
      </c>
      <c r="J5479" s="90">
        <v>12771</v>
      </c>
      <c r="K5479" s="85">
        <v>0</v>
      </c>
      <c r="L5479" s="85">
        <v>14</v>
      </c>
      <c r="M5479" s="85">
        <v>0</v>
      </c>
      <c r="N5479" s="82" t="s">
        <v>12471</v>
      </c>
      <c r="O5479" s="93">
        <v>45917.651180555556</v>
      </c>
    </row>
    <row r="5480" spans="1:15" ht="22.5" customHeight="1">
      <c r="A5480" s="85">
        <v>174904221976312</v>
      </c>
      <c r="B5480" s="82" t="s">
        <v>10651</v>
      </c>
      <c r="C5480" s="82" t="s">
        <v>12460</v>
      </c>
      <c r="D5480" s="82" t="s">
        <v>12461</v>
      </c>
      <c r="E5480" s="82">
        <v>6285357908485</v>
      </c>
      <c r="F5480" s="92">
        <v>45916</v>
      </c>
      <c r="G5480" s="87">
        <v>294</v>
      </c>
      <c r="H5480" s="88">
        <v>35097.058823529405</v>
      </c>
      <c r="I5480" s="89">
        <v>9</v>
      </c>
      <c r="J5480" s="90">
        <v>11933</v>
      </c>
      <c r="K5480" s="85">
        <v>1</v>
      </c>
      <c r="L5480" s="85">
        <v>61</v>
      </c>
      <c r="M5480" s="85">
        <v>0</v>
      </c>
      <c r="N5480" s="82" t="s">
        <v>12462</v>
      </c>
      <c r="O5480" s="93">
        <v>45917.630868055552</v>
      </c>
    </row>
    <row r="5481" spans="1:15" ht="22.5" customHeight="1">
      <c r="A5481" s="85">
        <v>174904221976312</v>
      </c>
      <c r="B5481" s="82" t="s">
        <v>10651</v>
      </c>
      <c r="C5481" s="82" t="s">
        <v>12449</v>
      </c>
      <c r="D5481" s="82" t="s">
        <v>11483</v>
      </c>
      <c r="E5481" s="82">
        <v>62817164567</v>
      </c>
      <c r="F5481" s="92">
        <v>45916</v>
      </c>
      <c r="G5481" s="87">
        <v>811</v>
      </c>
      <c r="H5481" s="88">
        <v>14976.856316297011</v>
      </c>
      <c r="I5481" s="89">
        <v>18</v>
      </c>
      <c r="J5481" s="90">
        <v>15531</v>
      </c>
      <c r="K5481" s="85">
        <v>2</v>
      </c>
      <c r="L5481" s="85">
        <v>15</v>
      </c>
      <c r="M5481" s="85">
        <v>0</v>
      </c>
      <c r="N5481" s="82" t="s">
        <v>12450</v>
      </c>
      <c r="O5481" s="93">
        <v>45917.464432870373</v>
      </c>
    </row>
    <row r="5482" spans="1:15" ht="22.5" customHeight="1">
      <c r="A5482" s="85">
        <v>174904221976312</v>
      </c>
      <c r="B5482" s="82" t="s">
        <v>10651</v>
      </c>
      <c r="C5482" s="82" t="s">
        <v>12451</v>
      </c>
      <c r="D5482" s="82" t="s">
        <v>12452</v>
      </c>
      <c r="E5482" s="82">
        <v>6281224628935</v>
      </c>
      <c r="F5482" s="92">
        <v>45916</v>
      </c>
      <c r="G5482" s="87">
        <v>213</v>
      </c>
      <c r="H5482" s="88">
        <v>55913.223140495866</v>
      </c>
      <c r="I5482" s="89">
        <v>9</v>
      </c>
      <c r="J5482" s="90">
        <v>13531</v>
      </c>
      <c r="K5482" s="85">
        <v>0</v>
      </c>
      <c r="L5482" s="85">
        <v>64</v>
      </c>
      <c r="M5482" s="85">
        <v>0</v>
      </c>
      <c r="N5482" s="82" t="s">
        <v>12453</v>
      </c>
      <c r="O5482" s="93">
        <v>45917.526678240742</v>
      </c>
    </row>
    <row r="5483" spans="1:15" ht="22.5" customHeight="1">
      <c r="A5483" s="85">
        <v>174904221976312</v>
      </c>
      <c r="B5483" s="82" t="s">
        <v>10651</v>
      </c>
      <c r="C5483" s="82" t="s">
        <v>12454</v>
      </c>
      <c r="D5483" s="82" t="s">
        <v>5522</v>
      </c>
      <c r="E5483" s="82">
        <v>6287822292311</v>
      </c>
      <c r="F5483" s="92">
        <v>45916</v>
      </c>
      <c r="G5483" s="87">
        <v>608</v>
      </c>
      <c r="H5483" s="88">
        <v>18495.867768595039</v>
      </c>
      <c r="I5483" s="89">
        <v>12</v>
      </c>
      <c r="J5483" s="90">
        <v>13428</v>
      </c>
      <c r="K5483" s="85">
        <v>0</v>
      </c>
      <c r="L5483" s="85">
        <v>0</v>
      </c>
      <c r="M5483" s="85">
        <v>0</v>
      </c>
      <c r="N5483" s="82" t="s">
        <v>12455</v>
      </c>
      <c r="O5483" s="93">
        <v>45917.56821759259</v>
      </c>
    </row>
    <row r="5484" spans="1:15" ht="22.5" customHeight="1">
      <c r="A5484" s="85">
        <v>174904221976312</v>
      </c>
      <c r="B5484" s="82" t="s">
        <v>10651</v>
      </c>
      <c r="C5484" s="82" t="s">
        <v>12456</v>
      </c>
      <c r="D5484" s="82" t="s">
        <v>11483</v>
      </c>
      <c r="E5484" s="82">
        <v>6285255115894</v>
      </c>
      <c r="F5484" s="92">
        <v>45916</v>
      </c>
      <c r="G5484" s="87">
        <v>401</v>
      </c>
      <c r="H5484" s="88">
        <v>30623.015873015873</v>
      </c>
      <c r="I5484" s="89">
        <v>17</v>
      </c>
      <c r="J5484" s="90">
        <v>15434</v>
      </c>
      <c r="K5484" s="85">
        <v>3</v>
      </c>
      <c r="L5484" s="85">
        <v>1</v>
      </c>
      <c r="M5484" s="85">
        <v>0</v>
      </c>
      <c r="N5484" s="82" t="s">
        <v>12457</v>
      </c>
      <c r="O5484" s="93">
        <v>45917.547314814816</v>
      </c>
    </row>
    <row r="5485" spans="1:15" ht="22.5" customHeight="1">
      <c r="A5485" s="85">
        <v>174904221976312</v>
      </c>
      <c r="B5485" s="82" t="s">
        <v>10651</v>
      </c>
      <c r="C5485" s="82" t="s">
        <v>12458</v>
      </c>
      <c r="D5485" s="82" t="s">
        <v>5515</v>
      </c>
      <c r="E5485" s="82">
        <v>6285245301996</v>
      </c>
      <c r="F5485" s="92">
        <v>45916</v>
      </c>
      <c r="G5485" s="87">
        <v>881</v>
      </c>
      <c r="H5485" s="88">
        <v>13091.509433962263</v>
      </c>
      <c r="I5485" s="89">
        <v>14</v>
      </c>
      <c r="J5485" s="90">
        <v>13877</v>
      </c>
      <c r="K5485" s="85">
        <v>0</v>
      </c>
      <c r="L5485" s="85">
        <v>0</v>
      </c>
      <c r="M5485" s="85">
        <v>0</v>
      </c>
      <c r="N5485" s="82" t="s">
        <v>12463</v>
      </c>
      <c r="O5485" s="93">
        <v>45917.526909722219</v>
      </c>
    </row>
    <row r="5486" spans="1:15" ht="22.5" customHeight="1">
      <c r="A5486" s="85">
        <v>174904221976312</v>
      </c>
      <c r="B5486" s="82" t="s">
        <v>10651</v>
      </c>
      <c r="C5486" s="82" t="s">
        <v>12436</v>
      </c>
      <c r="D5486" s="82" t="s">
        <v>5483</v>
      </c>
      <c r="E5486" s="82">
        <v>6282225676438</v>
      </c>
      <c r="F5486" s="92">
        <v>45916</v>
      </c>
      <c r="G5486" s="87">
        <v>244</v>
      </c>
      <c r="H5486" s="88">
        <v>43127.272727272728</v>
      </c>
      <c r="I5486" s="89">
        <v>9</v>
      </c>
      <c r="J5486" s="90">
        <v>11860</v>
      </c>
      <c r="K5486" s="85">
        <v>2</v>
      </c>
      <c r="L5486" s="85">
        <v>0</v>
      </c>
      <c r="M5486" s="85">
        <v>0</v>
      </c>
      <c r="N5486" s="82" t="s">
        <v>12437</v>
      </c>
      <c r="O5486" s="93">
        <v>45917.568194444444</v>
      </c>
    </row>
    <row r="5487" spans="1:15" ht="22.5" customHeight="1">
      <c r="A5487" s="85">
        <v>174904221976312</v>
      </c>
      <c r="B5487" s="82" t="s">
        <v>10651</v>
      </c>
      <c r="C5487" s="82" t="s">
        <v>12438</v>
      </c>
      <c r="D5487" s="82" t="s">
        <v>3479</v>
      </c>
      <c r="E5487" s="82">
        <v>6282249145533</v>
      </c>
      <c r="F5487" s="92">
        <v>45916</v>
      </c>
      <c r="G5487" s="87">
        <v>1245</v>
      </c>
      <c r="H5487" s="88">
        <v>10177.489177489177</v>
      </c>
      <c r="I5487" s="89">
        <v>59</v>
      </c>
      <c r="J5487" s="90">
        <v>14106</v>
      </c>
      <c r="K5487" s="85">
        <v>11</v>
      </c>
      <c r="L5487" s="85">
        <v>477</v>
      </c>
      <c r="M5487" s="85">
        <v>1</v>
      </c>
      <c r="N5487" s="82" t="s">
        <v>12439</v>
      </c>
      <c r="O5487" s="93">
        <v>45917.526689814818</v>
      </c>
    </row>
    <row r="5488" spans="1:15" ht="22.5" customHeight="1">
      <c r="A5488" s="85">
        <v>174904221976312</v>
      </c>
      <c r="B5488" s="82" t="s">
        <v>10651</v>
      </c>
      <c r="C5488" s="82" t="s">
        <v>12440</v>
      </c>
      <c r="D5488" s="82" t="s">
        <v>5469</v>
      </c>
      <c r="E5488" s="82">
        <v>6285750574301</v>
      </c>
      <c r="F5488" s="92">
        <v>45916</v>
      </c>
      <c r="G5488" s="87">
        <v>526</v>
      </c>
      <c r="H5488" s="88">
        <v>22461.290322580644</v>
      </c>
      <c r="I5488" s="89">
        <v>10</v>
      </c>
      <c r="J5488" s="90">
        <v>13926</v>
      </c>
      <c r="K5488" s="85">
        <v>0</v>
      </c>
      <c r="L5488" s="85">
        <v>143</v>
      </c>
      <c r="M5488" s="85">
        <v>0</v>
      </c>
      <c r="N5488" s="82" t="s">
        <v>12441</v>
      </c>
      <c r="O5488" s="93">
        <v>45917.443136574075</v>
      </c>
    </row>
    <row r="5489" spans="1:15" ht="22.5" customHeight="1">
      <c r="A5489" s="85">
        <v>174904221976312</v>
      </c>
      <c r="B5489" s="82" t="s">
        <v>10651</v>
      </c>
      <c r="C5489" s="82" t="s">
        <v>12442</v>
      </c>
      <c r="D5489" s="82" t="s">
        <v>12443</v>
      </c>
      <c r="E5489" s="82">
        <v>6281232743716</v>
      </c>
      <c r="F5489" s="92">
        <v>45916</v>
      </c>
      <c r="G5489" s="87">
        <v>407</v>
      </c>
      <c r="H5489" s="88">
        <v>25031.460674157304</v>
      </c>
      <c r="I5489" s="89">
        <v>16</v>
      </c>
      <c r="J5489" s="90">
        <v>11139</v>
      </c>
      <c r="K5489" s="85">
        <v>2</v>
      </c>
      <c r="L5489" s="85">
        <v>203</v>
      </c>
      <c r="M5489" s="85">
        <v>0</v>
      </c>
      <c r="N5489" s="82" t="s">
        <v>12444</v>
      </c>
      <c r="O5489" s="93">
        <v>45917.464155092595</v>
      </c>
    </row>
    <row r="5490" spans="1:15" ht="22.5" customHeight="1">
      <c r="A5490" s="85">
        <v>174904221976312</v>
      </c>
      <c r="B5490" s="82" t="s">
        <v>10651</v>
      </c>
      <c r="C5490" s="82" t="s">
        <v>12445</v>
      </c>
      <c r="D5490" s="82" t="s">
        <v>12446</v>
      </c>
      <c r="E5490" s="82">
        <v>6281338383022</v>
      </c>
      <c r="F5490" s="92">
        <v>45916</v>
      </c>
      <c r="G5490" s="87">
        <v>440</v>
      </c>
      <c r="H5490" s="88">
        <v>25484.21052631579</v>
      </c>
      <c r="I5490" s="89">
        <v>28</v>
      </c>
      <c r="J5490" s="90">
        <v>12105</v>
      </c>
      <c r="K5490" s="85">
        <v>7</v>
      </c>
      <c r="L5490" s="85">
        <v>304</v>
      </c>
      <c r="M5490" s="85">
        <v>0</v>
      </c>
      <c r="N5490" s="82" t="s">
        <v>12447</v>
      </c>
      <c r="O5490" s="93">
        <v>45917.526701388888</v>
      </c>
    </row>
    <row r="5491" spans="1:15" ht="22.5" customHeight="1">
      <c r="A5491" s="85">
        <v>174904221976312</v>
      </c>
      <c r="B5491" s="82" t="s">
        <v>10651</v>
      </c>
      <c r="C5491" s="82" t="s">
        <v>12432</v>
      </c>
      <c r="D5491" s="82" t="s">
        <v>3518</v>
      </c>
      <c r="E5491" s="82">
        <v>6285657238556</v>
      </c>
      <c r="F5491" s="92">
        <v>45916</v>
      </c>
      <c r="G5491" s="87">
        <v>409</v>
      </c>
      <c r="H5491" s="88">
        <v>31511.764705882353</v>
      </c>
      <c r="I5491" s="89">
        <v>26</v>
      </c>
      <c r="J5491" s="90">
        <v>16071</v>
      </c>
      <c r="K5491" s="85">
        <v>5</v>
      </c>
      <c r="L5491" s="85">
        <v>0</v>
      </c>
      <c r="M5491" s="85">
        <v>0</v>
      </c>
      <c r="N5491" s="82" t="s">
        <v>12433</v>
      </c>
      <c r="O5491" s="93">
        <v>45917.44295138889</v>
      </c>
    </row>
    <row r="5492" spans="1:15" ht="22.5" customHeight="1">
      <c r="A5492" s="85">
        <v>174904221976312</v>
      </c>
      <c r="B5492" s="82" t="s">
        <v>10651</v>
      </c>
      <c r="C5492" s="82" t="s">
        <v>12360</v>
      </c>
      <c r="D5492" s="82" t="s">
        <v>12361</v>
      </c>
      <c r="E5492" s="82">
        <v>6285213857442</v>
      </c>
      <c r="F5492" s="92">
        <v>45916</v>
      </c>
      <c r="G5492" s="87">
        <v>964</v>
      </c>
      <c r="H5492" s="88">
        <v>13195.02487562189</v>
      </c>
      <c r="I5492" s="89">
        <v>34</v>
      </c>
      <c r="J5492" s="90">
        <v>13261</v>
      </c>
      <c r="K5492" s="85">
        <v>4</v>
      </c>
      <c r="L5492" s="85">
        <v>436</v>
      </c>
      <c r="M5492" s="85">
        <v>1</v>
      </c>
      <c r="N5492" s="82" t="s">
        <v>12362</v>
      </c>
      <c r="O5492" s="93">
        <v>45917.216597222221</v>
      </c>
    </row>
    <row r="5493" spans="1:15" ht="22.5" customHeight="1">
      <c r="A5493" s="85">
        <v>174904221976312</v>
      </c>
      <c r="B5493" s="82" t="s">
        <v>10651</v>
      </c>
      <c r="C5493" s="82" t="s">
        <v>12363</v>
      </c>
      <c r="D5493" s="82" t="s">
        <v>5371</v>
      </c>
      <c r="E5493" s="82">
        <v>6282135496939</v>
      </c>
      <c r="F5493" s="92">
        <v>45916</v>
      </c>
      <c r="G5493" s="87">
        <v>336</v>
      </c>
      <c r="H5493" s="88">
        <v>38743.24324324324</v>
      </c>
      <c r="I5493" s="89">
        <v>17</v>
      </c>
      <c r="J5493" s="90">
        <v>14335</v>
      </c>
      <c r="K5493" s="85">
        <v>2</v>
      </c>
      <c r="L5493" s="85">
        <v>134</v>
      </c>
      <c r="M5493" s="85">
        <v>0</v>
      </c>
      <c r="N5493" s="82" t="s">
        <v>12364</v>
      </c>
      <c r="O5493" s="93">
        <v>45917.216597222221</v>
      </c>
    </row>
    <row r="5494" spans="1:15" ht="22.5" customHeight="1">
      <c r="A5494" s="85">
        <v>174904221976312</v>
      </c>
      <c r="B5494" s="82" t="s">
        <v>10651</v>
      </c>
      <c r="C5494" s="82" t="s">
        <v>12348</v>
      </c>
      <c r="D5494" s="82" t="s">
        <v>12349</v>
      </c>
      <c r="E5494" s="82">
        <v>6281348215665</v>
      </c>
      <c r="F5494" s="92">
        <v>45916</v>
      </c>
      <c r="G5494" s="87">
        <v>457</v>
      </c>
      <c r="H5494" s="88">
        <v>28403.345724907063</v>
      </c>
      <c r="I5494" s="89">
        <v>8</v>
      </c>
      <c r="J5494" s="90">
        <v>15281</v>
      </c>
      <c r="K5494" s="85">
        <v>0</v>
      </c>
      <c r="L5494" s="85">
        <v>0</v>
      </c>
      <c r="M5494" s="85">
        <v>0</v>
      </c>
      <c r="N5494" s="82" t="s">
        <v>12464</v>
      </c>
      <c r="O5494" s="93">
        <v>45917.505972222221</v>
      </c>
    </row>
    <row r="5495" spans="1:15" ht="22.5" customHeight="1">
      <c r="A5495" s="85">
        <v>174904221976312</v>
      </c>
      <c r="B5495" s="82" t="s">
        <v>10651</v>
      </c>
      <c r="C5495" s="82" t="s">
        <v>12351</v>
      </c>
      <c r="D5495" s="82" t="s">
        <v>5339</v>
      </c>
      <c r="E5495" s="82">
        <v>6282220371971</v>
      </c>
      <c r="F5495" s="92">
        <v>45916</v>
      </c>
      <c r="G5495" s="87">
        <v>556</v>
      </c>
      <c r="H5495" s="88">
        <v>22712.121212121212</v>
      </c>
      <c r="I5495" s="89">
        <v>54</v>
      </c>
      <c r="J5495" s="90">
        <v>14990</v>
      </c>
      <c r="K5495" s="85">
        <v>19</v>
      </c>
      <c r="L5495" s="85">
        <v>205</v>
      </c>
      <c r="M5495" s="85">
        <v>2</v>
      </c>
      <c r="N5495" s="82" t="s">
        <v>12352</v>
      </c>
      <c r="O5495" s="93">
        <v>45917.526678240742</v>
      </c>
    </row>
    <row r="5496" spans="1:15" ht="22.5" customHeight="1">
      <c r="A5496" s="85">
        <v>174904221976312</v>
      </c>
      <c r="B5496" s="82" t="s">
        <v>10651</v>
      </c>
      <c r="C5496" s="82" t="s">
        <v>12353</v>
      </c>
      <c r="D5496" s="82" t="s">
        <v>12354</v>
      </c>
      <c r="E5496" s="82">
        <v>6281355662725</v>
      </c>
      <c r="F5496" s="92">
        <v>45916</v>
      </c>
      <c r="G5496" s="87">
        <v>341</v>
      </c>
      <c r="H5496" s="88">
        <v>36568.783068783072</v>
      </c>
      <c r="I5496" s="89">
        <v>12</v>
      </c>
      <c r="J5496" s="90">
        <v>13823</v>
      </c>
      <c r="K5496" s="85">
        <v>0</v>
      </c>
      <c r="L5496" s="85">
        <v>7</v>
      </c>
      <c r="M5496" s="85">
        <v>0</v>
      </c>
      <c r="N5496" s="82" t="s">
        <v>12355</v>
      </c>
      <c r="O5496" s="93">
        <v>45917.547314814816</v>
      </c>
    </row>
    <row r="5497" spans="1:15" ht="22.5" customHeight="1">
      <c r="A5497" s="85">
        <v>174904221976312</v>
      </c>
      <c r="B5497" s="82" t="s">
        <v>10651</v>
      </c>
      <c r="C5497" s="82" t="s">
        <v>12327</v>
      </c>
      <c r="D5497" s="82" t="s">
        <v>12328</v>
      </c>
      <c r="E5497" s="82">
        <v>6281249008778</v>
      </c>
      <c r="F5497" s="92">
        <v>45916</v>
      </c>
      <c r="G5497" s="87">
        <v>387</v>
      </c>
      <c r="H5497" s="88">
        <v>26258.215962441314</v>
      </c>
      <c r="I5497" s="89">
        <v>17</v>
      </c>
      <c r="J5497" s="90">
        <v>11186</v>
      </c>
      <c r="K5497" s="85">
        <v>1</v>
      </c>
      <c r="L5497" s="85">
        <v>0</v>
      </c>
      <c r="M5497" s="85">
        <v>0</v>
      </c>
      <c r="N5497" s="82" t="s">
        <v>12358</v>
      </c>
      <c r="O5497" s="93">
        <v>45917.464421296296</v>
      </c>
    </row>
    <row r="5498" spans="1:15" ht="22.5" customHeight="1">
      <c r="A5498" s="85">
        <v>174904221976312</v>
      </c>
      <c r="B5498" s="82" t="s">
        <v>10651</v>
      </c>
      <c r="C5498" s="82" t="s">
        <v>12296</v>
      </c>
      <c r="D5498" s="82" t="s">
        <v>12297</v>
      </c>
      <c r="E5498" s="82">
        <v>6285600287735</v>
      </c>
      <c r="F5498" s="92">
        <v>45916</v>
      </c>
      <c r="G5498" s="87">
        <v>285</v>
      </c>
      <c r="H5498" s="88">
        <v>37069.696969696968</v>
      </c>
      <c r="I5498" s="89">
        <v>14</v>
      </c>
      <c r="J5498" s="90">
        <v>12233</v>
      </c>
      <c r="K5498" s="85">
        <v>1</v>
      </c>
      <c r="L5498" s="85">
        <v>0</v>
      </c>
      <c r="M5498" s="85">
        <v>0</v>
      </c>
      <c r="N5498" s="82" t="s">
        <v>12448</v>
      </c>
      <c r="O5498" s="93">
        <v>45917.464131944442</v>
      </c>
    </row>
    <row r="5499" spans="1:15" ht="22.5" customHeight="1">
      <c r="A5499" s="85">
        <v>174904221976312</v>
      </c>
      <c r="B5499" s="82" t="s">
        <v>10651</v>
      </c>
      <c r="C5499" s="82" t="s">
        <v>12276</v>
      </c>
      <c r="D5499" s="82" t="s">
        <v>12277</v>
      </c>
      <c r="E5499" s="82">
        <v>6281558822937</v>
      </c>
      <c r="F5499" s="92">
        <v>45916</v>
      </c>
      <c r="G5499" s="87">
        <v>73</v>
      </c>
      <c r="H5499" s="88">
        <v>155727.27272727271</v>
      </c>
      <c r="I5499" s="89">
        <v>4</v>
      </c>
      <c r="J5499" s="90">
        <v>11991</v>
      </c>
      <c r="K5499" s="85">
        <v>1</v>
      </c>
      <c r="L5499" s="85">
        <v>0</v>
      </c>
      <c r="M5499" s="85">
        <v>0</v>
      </c>
      <c r="N5499" s="82" t="s">
        <v>12314</v>
      </c>
      <c r="O5499" s="93">
        <v>45917.216608796298</v>
      </c>
    </row>
    <row r="5500" spans="1:15" ht="22.5" customHeight="1">
      <c r="A5500" s="85">
        <v>174904221976312</v>
      </c>
      <c r="B5500" s="82" t="s">
        <v>10651</v>
      </c>
      <c r="C5500" s="82" t="s">
        <v>12279</v>
      </c>
      <c r="D5500" s="82" t="s">
        <v>11800</v>
      </c>
      <c r="E5500" s="82">
        <v>6285333751528</v>
      </c>
      <c r="F5500" s="92">
        <v>45916</v>
      </c>
      <c r="G5500" s="87">
        <v>173</v>
      </c>
      <c r="H5500" s="88">
        <v>62532.258064516129</v>
      </c>
      <c r="I5500" s="89">
        <v>7</v>
      </c>
      <c r="J5500" s="90">
        <v>11631</v>
      </c>
      <c r="K5500" s="85">
        <v>2</v>
      </c>
      <c r="L5500" s="85">
        <v>25</v>
      </c>
      <c r="M5500" s="85">
        <v>0</v>
      </c>
      <c r="N5500" s="82" t="s">
        <v>12337</v>
      </c>
      <c r="O5500" s="93">
        <v>45917.547337962962</v>
      </c>
    </row>
    <row r="5501" spans="1:15" ht="22.5" customHeight="1">
      <c r="A5501" s="85">
        <v>174904221976312</v>
      </c>
      <c r="B5501" s="82" t="s">
        <v>10651</v>
      </c>
      <c r="C5501" s="82" t="s">
        <v>12284</v>
      </c>
      <c r="D5501" s="82" t="s">
        <v>12285</v>
      </c>
      <c r="E5501" s="82">
        <v>6285921481643</v>
      </c>
      <c r="F5501" s="92">
        <v>45916</v>
      </c>
      <c r="G5501" s="87">
        <v>363</v>
      </c>
      <c r="H5501" s="88">
        <v>32720.620842572062</v>
      </c>
      <c r="I5501" s="89">
        <v>13</v>
      </c>
      <c r="J5501" s="90">
        <v>14757</v>
      </c>
      <c r="K5501" s="85">
        <v>2</v>
      </c>
      <c r="L5501" s="85">
        <v>0</v>
      </c>
      <c r="M5501" s="85">
        <v>0</v>
      </c>
      <c r="N5501" s="82" t="s">
        <v>12465</v>
      </c>
      <c r="O5501" s="93">
        <v>45917.297395833331</v>
      </c>
    </row>
    <row r="5502" spans="1:15" ht="22.5" customHeight="1">
      <c r="A5502" s="85">
        <v>174904221976312</v>
      </c>
      <c r="B5502" s="82" t="s">
        <v>10651</v>
      </c>
      <c r="C5502" s="82" t="s">
        <v>12269</v>
      </c>
      <c r="D5502" s="82" t="s">
        <v>12270</v>
      </c>
      <c r="E5502" s="82">
        <v>6282229433259</v>
      </c>
      <c r="F5502" s="92">
        <v>45916</v>
      </c>
      <c r="G5502" s="87">
        <v>210</v>
      </c>
      <c r="H5502" s="88">
        <v>60433.789954337895</v>
      </c>
      <c r="I5502" s="89">
        <v>7</v>
      </c>
      <c r="J5502" s="90">
        <v>13235</v>
      </c>
      <c r="K5502" s="85">
        <v>0</v>
      </c>
      <c r="L5502" s="85">
        <v>2</v>
      </c>
      <c r="M5502" s="85">
        <v>0</v>
      </c>
      <c r="N5502" s="82" t="s">
        <v>12339</v>
      </c>
      <c r="O5502" s="93">
        <v>45917.526909722219</v>
      </c>
    </row>
    <row r="5503" spans="1:15" ht="22.5" customHeight="1">
      <c r="A5503" s="85">
        <v>174904221976312</v>
      </c>
      <c r="B5503" s="82" t="s">
        <v>10651</v>
      </c>
      <c r="C5503" s="82" t="s">
        <v>12234</v>
      </c>
      <c r="D5503" s="82" t="s">
        <v>12235</v>
      </c>
      <c r="E5503" s="82">
        <v>6285780314346</v>
      </c>
      <c r="F5503" s="92">
        <v>45916</v>
      </c>
      <c r="G5503" s="87">
        <v>747</v>
      </c>
      <c r="H5503" s="88">
        <v>16448.051948051947</v>
      </c>
      <c r="I5503" s="89">
        <v>85</v>
      </c>
      <c r="J5503" s="90">
        <v>15198</v>
      </c>
      <c r="K5503" s="85">
        <v>15</v>
      </c>
      <c r="L5503" s="85">
        <v>0</v>
      </c>
      <c r="M5503" s="85">
        <v>2</v>
      </c>
      <c r="N5503" s="82" t="s">
        <v>12434</v>
      </c>
      <c r="O5503" s="93">
        <v>45917.216608796298</v>
      </c>
    </row>
    <row r="5504" spans="1:15" ht="22.5" customHeight="1">
      <c r="A5504" s="85">
        <v>174904221976312</v>
      </c>
      <c r="B5504" s="82" t="s">
        <v>10651</v>
      </c>
      <c r="C5504" s="82" t="s">
        <v>12209</v>
      </c>
      <c r="D5504" s="82" t="s">
        <v>12210</v>
      </c>
      <c r="E5504" s="82">
        <v>6282217300224</v>
      </c>
      <c r="F5504" s="92">
        <v>45916</v>
      </c>
      <c r="G5504" s="87">
        <v>127</v>
      </c>
      <c r="H5504" s="88">
        <v>91784.722222222234</v>
      </c>
      <c r="I5504" s="89">
        <v>3</v>
      </c>
      <c r="J5504" s="90">
        <v>13217</v>
      </c>
      <c r="K5504" s="85">
        <v>2</v>
      </c>
      <c r="L5504" s="85">
        <v>0</v>
      </c>
      <c r="M5504" s="85">
        <v>0</v>
      </c>
      <c r="N5504" s="82" t="s">
        <v>12317</v>
      </c>
      <c r="O5504" s="93">
        <v>45917.464131944442</v>
      </c>
    </row>
    <row r="5505" spans="1:15" ht="22.5" customHeight="1">
      <c r="A5505" s="85">
        <v>174904221976312</v>
      </c>
      <c r="B5505" s="82" t="s">
        <v>10651</v>
      </c>
      <c r="C5505" s="82" t="s">
        <v>12171</v>
      </c>
      <c r="D5505" s="82" t="s">
        <v>4386</v>
      </c>
      <c r="E5505" s="82">
        <v>62818533354</v>
      </c>
      <c r="F5505" s="92">
        <v>45916</v>
      </c>
      <c r="G5505" s="87">
        <v>298</v>
      </c>
      <c r="H5505" s="88">
        <v>44298.136645962739</v>
      </c>
      <c r="I5505" s="89">
        <v>10</v>
      </c>
      <c r="J5505" s="90">
        <v>14264</v>
      </c>
      <c r="K5505" s="85">
        <v>3</v>
      </c>
      <c r="L5505" s="85">
        <v>0</v>
      </c>
      <c r="M5505" s="85">
        <v>0</v>
      </c>
      <c r="N5505" s="82" t="s">
        <v>12319</v>
      </c>
      <c r="O5505" s="93">
        <v>45917.505659722221</v>
      </c>
    </row>
    <row r="5506" spans="1:15" ht="22.5" customHeight="1">
      <c r="A5506" s="85">
        <v>174904221976312</v>
      </c>
      <c r="B5506" s="82" t="s">
        <v>10651</v>
      </c>
      <c r="C5506" s="82" t="s">
        <v>12130</v>
      </c>
      <c r="D5506" s="82" t="s">
        <v>12131</v>
      </c>
      <c r="E5506" s="82">
        <v>6281239004410</v>
      </c>
      <c r="F5506" s="92">
        <v>45916</v>
      </c>
      <c r="G5506" s="87">
        <v>164</v>
      </c>
      <c r="H5506" s="88">
        <v>79610.169491525419</v>
      </c>
      <c r="I5506" s="89">
        <v>5</v>
      </c>
      <c r="J5506" s="90">
        <v>14091</v>
      </c>
      <c r="K5506" s="85">
        <v>1</v>
      </c>
      <c r="L5506" s="85">
        <v>0</v>
      </c>
      <c r="M5506" s="85">
        <v>0</v>
      </c>
      <c r="N5506" s="82" t="s">
        <v>12288</v>
      </c>
      <c r="O5506" s="93">
        <v>45917.422754629632</v>
      </c>
    </row>
    <row r="5507" spans="1:15" ht="22.5" customHeight="1">
      <c r="A5507" s="85">
        <v>174904221976312</v>
      </c>
      <c r="B5507" s="82" t="s">
        <v>10651</v>
      </c>
      <c r="C5507" s="82" t="s">
        <v>12122</v>
      </c>
      <c r="D5507" s="82" t="s">
        <v>12123</v>
      </c>
      <c r="E5507" s="82">
        <v>6285720705874</v>
      </c>
      <c r="F5507" s="92">
        <v>45916</v>
      </c>
      <c r="G5507" s="87">
        <v>791</v>
      </c>
      <c r="H5507" s="88">
        <v>13053.40909090909</v>
      </c>
      <c r="I5507" s="89">
        <v>26</v>
      </c>
      <c r="J5507" s="90">
        <v>11487</v>
      </c>
      <c r="K5507" s="85">
        <v>1</v>
      </c>
      <c r="L5507" s="85">
        <v>331</v>
      </c>
      <c r="M5507" s="85">
        <v>1</v>
      </c>
      <c r="N5507" s="82" t="s">
        <v>12472</v>
      </c>
      <c r="O5507" s="93">
        <v>45917.505648148152</v>
      </c>
    </row>
    <row r="5508" spans="1:15" ht="22.5" customHeight="1">
      <c r="A5508" s="85">
        <v>174904221976312</v>
      </c>
      <c r="B5508" s="82" t="s">
        <v>10651</v>
      </c>
      <c r="C5508" s="82" t="s">
        <v>12058</v>
      </c>
      <c r="D5508" s="82" t="s">
        <v>4516</v>
      </c>
      <c r="E5508" s="82">
        <v>6281315163838</v>
      </c>
      <c r="F5508" s="92">
        <v>45916</v>
      </c>
      <c r="G5508" s="87">
        <v>387</v>
      </c>
      <c r="H5508" s="88">
        <v>24087.79443254818</v>
      </c>
      <c r="I5508" s="89">
        <v>8</v>
      </c>
      <c r="J5508" s="90">
        <v>11249</v>
      </c>
      <c r="K5508" s="85">
        <v>1</v>
      </c>
      <c r="L5508" s="85">
        <v>0</v>
      </c>
      <c r="M5508" s="85">
        <v>0</v>
      </c>
      <c r="N5508" s="82" t="s">
        <v>12321</v>
      </c>
      <c r="O5508" s="93">
        <v>45917.297581018516</v>
      </c>
    </row>
    <row r="5509" spans="1:15" ht="22.5" customHeight="1">
      <c r="A5509" s="85">
        <v>174904221976312</v>
      </c>
      <c r="B5509" s="82" t="s">
        <v>10651</v>
      </c>
      <c r="C5509" s="82" t="s">
        <v>12039</v>
      </c>
      <c r="D5509" s="82" t="s">
        <v>12040</v>
      </c>
      <c r="E5509" s="82">
        <v>6281330410391</v>
      </c>
      <c r="F5509" s="92">
        <v>45916</v>
      </c>
      <c r="G5509" s="87">
        <v>738</v>
      </c>
      <c r="H5509" s="88">
        <v>15291.26213592233</v>
      </c>
      <c r="I5509" s="89">
        <v>78</v>
      </c>
      <c r="J5509" s="90">
        <v>14175</v>
      </c>
      <c r="K5509" s="85">
        <v>9</v>
      </c>
      <c r="L5509" s="85">
        <v>0</v>
      </c>
      <c r="M5509" s="85">
        <v>0</v>
      </c>
      <c r="N5509" s="82" t="s">
        <v>12435</v>
      </c>
      <c r="O5509" s="93">
        <v>45917.547337962962</v>
      </c>
    </row>
    <row r="5510" spans="1:15" ht="22.5" customHeight="1">
      <c r="A5510" s="85">
        <v>174904221976312</v>
      </c>
      <c r="B5510" s="82" t="s">
        <v>10651</v>
      </c>
      <c r="C5510" s="82" t="s">
        <v>12007</v>
      </c>
      <c r="D5510" s="82" t="s">
        <v>9010</v>
      </c>
      <c r="E5510" s="82">
        <v>6282160743576</v>
      </c>
      <c r="F5510" s="92">
        <v>45916</v>
      </c>
      <c r="G5510" s="87">
        <v>772</v>
      </c>
      <c r="H5510" s="88">
        <v>17073.809523809523</v>
      </c>
      <c r="I5510" s="89">
        <v>49</v>
      </c>
      <c r="J5510" s="90">
        <v>14342</v>
      </c>
      <c r="K5510" s="85">
        <v>4</v>
      </c>
      <c r="L5510" s="85">
        <v>365</v>
      </c>
      <c r="M5510" s="85">
        <v>2</v>
      </c>
      <c r="N5510" s="82" t="s">
        <v>12008</v>
      </c>
      <c r="O5510" s="93">
        <v>45917.505636574075</v>
      </c>
    </row>
    <row r="5511" spans="1:15" ht="22.5" customHeight="1">
      <c r="A5511" s="85">
        <v>174904221976312</v>
      </c>
      <c r="B5511" s="82" t="s">
        <v>10651</v>
      </c>
      <c r="C5511" s="82" t="s">
        <v>12473</v>
      </c>
      <c r="D5511" s="82" t="s">
        <v>12474</v>
      </c>
      <c r="E5511" s="82">
        <v>6282320232344</v>
      </c>
      <c r="F5511" s="92">
        <v>45917</v>
      </c>
      <c r="G5511" s="87">
        <v>10072</v>
      </c>
      <c r="H5511" s="88">
        <v>1184.8110736999627</v>
      </c>
      <c r="I5511" s="89">
        <v>10</v>
      </c>
      <c r="J5511" s="90">
        <v>12668</v>
      </c>
      <c r="K5511" s="85">
        <v>0</v>
      </c>
      <c r="L5511" s="85">
        <v>45</v>
      </c>
      <c r="M5511" s="85">
        <v>0</v>
      </c>
      <c r="N5511" s="82" t="s">
        <v>12475</v>
      </c>
      <c r="O5511" s="93">
        <v>45918.776261574072</v>
      </c>
    </row>
    <row r="5512" spans="1:15" ht="22.5" customHeight="1">
      <c r="A5512" s="85">
        <v>174904221976312</v>
      </c>
      <c r="B5512" s="82" t="s">
        <v>10651</v>
      </c>
      <c r="C5512" s="82" t="s">
        <v>12476</v>
      </c>
      <c r="D5512" s="82" t="s">
        <v>9010</v>
      </c>
      <c r="E5512" s="82">
        <v>6281316122975</v>
      </c>
      <c r="F5512" s="92">
        <v>45917</v>
      </c>
      <c r="G5512" s="87">
        <v>485</v>
      </c>
      <c r="H5512" s="88">
        <v>18958.271236959761</v>
      </c>
      <c r="I5512" s="89">
        <v>29</v>
      </c>
      <c r="J5512" s="90">
        <v>12721</v>
      </c>
      <c r="K5512" s="85">
        <v>6</v>
      </c>
      <c r="L5512" s="85">
        <v>131</v>
      </c>
      <c r="M5512" s="85">
        <v>1</v>
      </c>
      <c r="N5512" s="82" t="s">
        <v>12477</v>
      </c>
      <c r="O5512" s="93">
        <v>45918.58934027778</v>
      </c>
    </row>
    <row r="5513" spans="1:15" ht="22.5" customHeight="1">
      <c r="A5513" s="85">
        <v>174904221976312</v>
      </c>
      <c r="B5513" s="82" t="s">
        <v>10651</v>
      </c>
      <c r="C5513" s="82" t="s">
        <v>12478</v>
      </c>
      <c r="D5513" s="82" t="s">
        <v>5677</v>
      </c>
      <c r="E5513" s="82">
        <v>6285255550388</v>
      </c>
      <c r="F5513" s="92">
        <v>45917</v>
      </c>
      <c r="G5513" s="87">
        <v>341</v>
      </c>
      <c r="H5513" s="88">
        <v>30730.964467005077</v>
      </c>
      <c r="I5513" s="89">
        <v>12</v>
      </c>
      <c r="J5513" s="90">
        <v>12108</v>
      </c>
      <c r="K5513" s="85">
        <v>1</v>
      </c>
      <c r="L5513" s="85">
        <v>19</v>
      </c>
      <c r="M5513" s="85">
        <v>0</v>
      </c>
      <c r="N5513" s="82" t="s">
        <v>12479</v>
      </c>
      <c r="O5513" s="93">
        <v>45918.60974537037</v>
      </c>
    </row>
    <row r="5514" spans="1:15" ht="22.5" customHeight="1">
      <c r="A5514" s="85">
        <v>174904221976312</v>
      </c>
      <c r="B5514" s="82" t="s">
        <v>10651</v>
      </c>
      <c r="C5514" s="82" t="s">
        <v>12480</v>
      </c>
      <c r="D5514" s="82" t="s">
        <v>5687</v>
      </c>
      <c r="E5514" s="82">
        <v>6281990022760</v>
      </c>
      <c r="F5514" s="92">
        <v>45917</v>
      </c>
      <c r="G5514" s="87">
        <v>291</v>
      </c>
      <c r="H5514" s="88">
        <v>37830.903790087461</v>
      </c>
      <c r="I5514" s="89">
        <v>22</v>
      </c>
      <c r="J5514" s="90">
        <v>12976</v>
      </c>
      <c r="K5514" s="85">
        <v>6</v>
      </c>
      <c r="L5514" s="85">
        <v>86</v>
      </c>
      <c r="M5514" s="85">
        <v>1</v>
      </c>
      <c r="N5514" s="82" t="s">
        <v>12481</v>
      </c>
      <c r="O5514" s="93">
        <v>45918.692812499998</v>
      </c>
    </row>
    <row r="5515" spans="1:15" ht="22.5" customHeight="1">
      <c r="A5515" s="85">
        <v>174904221976312</v>
      </c>
      <c r="B5515" s="82" t="s">
        <v>10651</v>
      </c>
      <c r="C5515" s="82" t="s">
        <v>12467</v>
      </c>
      <c r="D5515" s="82" t="s">
        <v>5668</v>
      </c>
      <c r="E5515" s="82">
        <v>6287777144455</v>
      </c>
      <c r="F5515" s="92">
        <v>45917</v>
      </c>
      <c r="G5515" s="87">
        <v>561</v>
      </c>
      <c r="H5515" s="88">
        <v>19843.410852713176</v>
      </c>
      <c r="I5515" s="89">
        <v>5</v>
      </c>
      <c r="J5515" s="90">
        <v>12799</v>
      </c>
      <c r="K5515" s="85">
        <v>0</v>
      </c>
      <c r="L5515" s="85">
        <v>199</v>
      </c>
      <c r="M5515" s="85">
        <v>0</v>
      </c>
      <c r="N5515" s="82" t="s">
        <v>12482</v>
      </c>
      <c r="O5515" s="93">
        <v>45918.672418981485</v>
      </c>
    </row>
    <row r="5516" spans="1:15" ht="22.5" customHeight="1">
      <c r="A5516" s="85">
        <v>174904221976312</v>
      </c>
      <c r="B5516" s="82" t="s">
        <v>10651</v>
      </c>
      <c r="C5516" s="82" t="s">
        <v>12469</v>
      </c>
      <c r="D5516" s="82" t="s">
        <v>12470</v>
      </c>
      <c r="E5516" s="82">
        <v>6287751068360</v>
      </c>
      <c r="F5516" s="92">
        <v>45917</v>
      </c>
      <c r="G5516" s="87">
        <v>362</v>
      </c>
      <c r="H5516" s="88">
        <v>29859.447004608297</v>
      </c>
      <c r="I5516" s="89">
        <v>11</v>
      </c>
      <c r="J5516" s="90">
        <v>12959</v>
      </c>
      <c r="K5516" s="85">
        <v>2</v>
      </c>
      <c r="L5516" s="85">
        <v>138</v>
      </c>
      <c r="M5516" s="85">
        <v>0</v>
      </c>
      <c r="N5516" s="82" t="s">
        <v>12471</v>
      </c>
      <c r="O5516" s="93">
        <v>45918.547569444447</v>
      </c>
    </row>
    <row r="5517" spans="1:15" ht="22.5" customHeight="1">
      <c r="A5517" s="85">
        <v>174904221976312</v>
      </c>
      <c r="B5517" s="82" t="s">
        <v>10651</v>
      </c>
      <c r="C5517" s="82" t="s">
        <v>12460</v>
      </c>
      <c r="D5517" s="82" t="s">
        <v>12461</v>
      </c>
      <c r="E5517" s="82">
        <v>6285357908485</v>
      </c>
      <c r="F5517" s="92">
        <v>45917</v>
      </c>
      <c r="G5517" s="87">
        <v>280</v>
      </c>
      <c r="H5517" s="88">
        <v>41174.193548387091</v>
      </c>
      <c r="I5517" s="89">
        <v>12</v>
      </c>
      <c r="J5517" s="90">
        <v>12764</v>
      </c>
      <c r="K5517" s="85">
        <v>5</v>
      </c>
      <c r="L5517" s="85">
        <v>0</v>
      </c>
      <c r="M5517" s="85">
        <v>0</v>
      </c>
      <c r="N5517" s="82" t="s">
        <v>12462</v>
      </c>
      <c r="O5517" s="93">
        <v>45918.588912037034</v>
      </c>
    </row>
    <row r="5518" spans="1:15" ht="22.5" customHeight="1">
      <c r="A5518" s="85">
        <v>174904221976312</v>
      </c>
      <c r="B5518" s="82" t="s">
        <v>10651</v>
      </c>
      <c r="C5518" s="82" t="s">
        <v>12449</v>
      </c>
      <c r="D5518" s="82" t="s">
        <v>11483</v>
      </c>
      <c r="E5518" s="82">
        <v>62817164567</v>
      </c>
      <c r="F5518" s="92">
        <v>45917</v>
      </c>
      <c r="G5518" s="87">
        <v>717</v>
      </c>
      <c r="H5518" s="88">
        <v>14951.970443349754</v>
      </c>
      <c r="I5518" s="89">
        <v>16</v>
      </c>
      <c r="J5518" s="90">
        <v>12141</v>
      </c>
      <c r="K5518" s="85">
        <v>1</v>
      </c>
      <c r="L5518" s="85">
        <v>0</v>
      </c>
      <c r="M5518" s="85">
        <v>0</v>
      </c>
      <c r="N5518" s="82" t="s">
        <v>12450</v>
      </c>
      <c r="O5518" s="93">
        <v>45918.381168981483</v>
      </c>
    </row>
    <row r="5519" spans="1:15" ht="22.5" customHeight="1">
      <c r="A5519" s="85">
        <v>174904221976312</v>
      </c>
      <c r="B5519" s="82" t="s">
        <v>10651</v>
      </c>
      <c r="C5519" s="82" t="s">
        <v>12451</v>
      </c>
      <c r="D5519" s="82" t="s">
        <v>12452</v>
      </c>
      <c r="E5519" s="82">
        <v>6281224628935</v>
      </c>
      <c r="F5519" s="92">
        <v>45917</v>
      </c>
      <c r="G5519" s="87">
        <v>320</v>
      </c>
      <c r="H5519" s="88">
        <v>37707.042253521126</v>
      </c>
      <c r="I5519" s="89">
        <v>13</v>
      </c>
      <c r="J5519" s="90">
        <v>13386</v>
      </c>
      <c r="K5519" s="85">
        <v>1</v>
      </c>
      <c r="L5519" s="85">
        <v>92</v>
      </c>
      <c r="M5519" s="85">
        <v>0</v>
      </c>
      <c r="N5519" s="82" t="s">
        <v>12483</v>
      </c>
      <c r="O5519" s="93">
        <v>45918.588923611111</v>
      </c>
    </row>
    <row r="5520" spans="1:15" ht="22.5" customHeight="1">
      <c r="A5520" s="85">
        <v>174904221976312</v>
      </c>
      <c r="B5520" s="82" t="s">
        <v>10651</v>
      </c>
      <c r="C5520" s="82" t="s">
        <v>12454</v>
      </c>
      <c r="D5520" s="82" t="s">
        <v>5522</v>
      </c>
      <c r="E5520" s="82">
        <v>6287822292311</v>
      </c>
      <c r="F5520" s="92">
        <v>45917</v>
      </c>
      <c r="G5520" s="87">
        <v>767</v>
      </c>
      <c r="H5520" s="88">
        <v>15424.208144796379</v>
      </c>
      <c r="I5520" s="89">
        <v>8</v>
      </c>
      <c r="J5520" s="90">
        <v>13635</v>
      </c>
      <c r="K5520" s="85">
        <v>0</v>
      </c>
      <c r="L5520" s="85">
        <v>0</v>
      </c>
      <c r="M5520" s="85">
        <v>0</v>
      </c>
      <c r="N5520" s="82" t="s">
        <v>12484</v>
      </c>
      <c r="O5520" s="93">
        <v>45918.526828703703</v>
      </c>
    </row>
    <row r="5521" spans="1:15" ht="22.5" customHeight="1">
      <c r="A5521" s="85">
        <v>174904221976312</v>
      </c>
      <c r="B5521" s="82" t="s">
        <v>10651</v>
      </c>
      <c r="C5521" s="82" t="s">
        <v>12456</v>
      </c>
      <c r="D5521" s="82" t="s">
        <v>11483</v>
      </c>
      <c r="E5521" s="82">
        <v>6285255115894</v>
      </c>
      <c r="F5521" s="92">
        <v>45917</v>
      </c>
      <c r="G5521" s="87">
        <v>408</v>
      </c>
      <c r="H5521" s="88">
        <v>26747.881355932204</v>
      </c>
      <c r="I5521" s="89">
        <v>13</v>
      </c>
      <c r="J5521" s="90">
        <v>12625</v>
      </c>
      <c r="K5521" s="85">
        <v>1</v>
      </c>
      <c r="L5521" s="85">
        <v>0</v>
      </c>
      <c r="M5521" s="85">
        <v>0</v>
      </c>
      <c r="N5521" s="82" t="s">
        <v>12457</v>
      </c>
      <c r="O5521" s="93">
        <v>45918.505810185183</v>
      </c>
    </row>
    <row r="5522" spans="1:15" ht="22.5" customHeight="1">
      <c r="A5522" s="85">
        <v>174904221976312</v>
      </c>
      <c r="B5522" s="82" t="s">
        <v>10651</v>
      </c>
      <c r="C5522" s="82" t="s">
        <v>12458</v>
      </c>
      <c r="D5522" s="82" t="s">
        <v>5515</v>
      </c>
      <c r="E5522" s="82">
        <v>6285245301996</v>
      </c>
      <c r="F5522" s="92">
        <v>45917</v>
      </c>
      <c r="G5522" s="87">
        <v>959</v>
      </c>
      <c r="H5522" s="88">
        <v>11205.45609548167</v>
      </c>
      <c r="I5522" s="89">
        <v>21</v>
      </c>
      <c r="J5522" s="90">
        <v>13144</v>
      </c>
      <c r="K5522" s="85">
        <v>1</v>
      </c>
      <c r="L5522" s="85">
        <v>312</v>
      </c>
      <c r="M5522" s="85">
        <v>0</v>
      </c>
      <c r="N5522" s="82" t="s">
        <v>12485</v>
      </c>
      <c r="O5522" s="93">
        <v>45918.588900462964</v>
      </c>
    </row>
    <row r="5523" spans="1:15" ht="22.5" customHeight="1">
      <c r="A5523" s="85">
        <v>174904221976312</v>
      </c>
      <c r="B5523" s="82" t="s">
        <v>10651</v>
      </c>
      <c r="C5523" s="82" t="s">
        <v>12436</v>
      </c>
      <c r="D5523" s="82" t="s">
        <v>5483</v>
      </c>
      <c r="E5523" s="82">
        <v>6282225676438</v>
      </c>
      <c r="F5523" s="92">
        <v>45917</v>
      </c>
      <c r="G5523" s="87">
        <v>349</v>
      </c>
      <c r="H5523" s="88">
        <v>33415</v>
      </c>
      <c r="I5523" s="89">
        <v>11</v>
      </c>
      <c r="J5523" s="90">
        <v>13366</v>
      </c>
      <c r="K5523" s="85">
        <v>0</v>
      </c>
      <c r="L5523" s="85">
        <v>165</v>
      </c>
      <c r="M5523" s="85">
        <v>0</v>
      </c>
      <c r="N5523" s="82" t="s">
        <v>12437</v>
      </c>
      <c r="O5523" s="93">
        <v>45918.443611111114</v>
      </c>
    </row>
    <row r="5524" spans="1:15" ht="22.5" customHeight="1">
      <c r="A5524" s="85">
        <v>174904221976312</v>
      </c>
      <c r="B5524" s="82" t="s">
        <v>10651</v>
      </c>
      <c r="C5524" s="82" t="s">
        <v>12438</v>
      </c>
      <c r="D5524" s="82" t="s">
        <v>3479</v>
      </c>
      <c r="E5524" s="82">
        <v>6282249145533</v>
      </c>
      <c r="F5524" s="92">
        <v>45917</v>
      </c>
      <c r="G5524" s="87">
        <v>1312</v>
      </c>
      <c r="H5524" s="88">
        <v>9993.0795847750869</v>
      </c>
      <c r="I5524" s="89">
        <v>54</v>
      </c>
      <c r="J5524" s="90">
        <v>14440</v>
      </c>
      <c r="K5524" s="85">
        <v>9</v>
      </c>
      <c r="L5524" s="85">
        <v>452</v>
      </c>
      <c r="M5524" s="85">
        <v>1</v>
      </c>
      <c r="N5524" s="82" t="s">
        <v>12439</v>
      </c>
      <c r="O5524" s="93">
        <v>45918.421979166669</v>
      </c>
    </row>
    <row r="5525" spans="1:15" ht="22.5" customHeight="1">
      <c r="A5525" s="85">
        <v>174904221976312</v>
      </c>
      <c r="B5525" s="82" t="s">
        <v>10651</v>
      </c>
      <c r="C5525" s="82" t="s">
        <v>12440</v>
      </c>
      <c r="D5525" s="82" t="s">
        <v>5469</v>
      </c>
      <c r="E5525" s="82">
        <v>6285750574301</v>
      </c>
      <c r="F5525" s="92">
        <v>45917</v>
      </c>
      <c r="G5525" s="87">
        <v>667</v>
      </c>
      <c r="H5525" s="88">
        <v>19011.58301158301</v>
      </c>
      <c r="I5525" s="89">
        <v>16</v>
      </c>
      <c r="J5525" s="90">
        <v>14772</v>
      </c>
      <c r="K5525" s="85">
        <v>1</v>
      </c>
      <c r="L5525" s="85">
        <v>0</v>
      </c>
      <c r="M5525" s="85">
        <v>0</v>
      </c>
      <c r="N5525" s="82" t="s">
        <v>12441</v>
      </c>
      <c r="O5525" s="93">
        <v>45918.380833333336</v>
      </c>
    </row>
    <row r="5526" spans="1:15" ht="22.5" customHeight="1">
      <c r="A5526" s="85">
        <v>174904221976312</v>
      </c>
      <c r="B5526" s="82" t="s">
        <v>10651</v>
      </c>
      <c r="C5526" s="82" t="s">
        <v>12442</v>
      </c>
      <c r="D5526" s="82" t="s">
        <v>12443</v>
      </c>
      <c r="E5526" s="82">
        <v>6281232743716</v>
      </c>
      <c r="F5526" s="92">
        <v>45917</v>
      </c>
      <c r="G5526" s="87">
        <v>797</v>
      </c>
      <c r="H5526" s="88">
        <v>19486.643437862949</v>
      </c>
      <c r="I5526" s="89">
        <v>24</v>
      </c>
      <c r="J5526" s="90">
        <v>16778</v>
      </c>
      <c r="K5526" s="85">
        <v>2</v>
      </c>
      <c r="L5526" s="85">
        <v>389</v>
      </c>
      <c r="M5526" s="85">
        <v>0</v>
      </c>
      <c r="N5526" s="82" t="s">
        <v>12444</v>
      </c>
      <c r="O5526" s="93">
        <v>45918.381168981483</v>
      </c>
    </row>
    <row r="5527" spans="1:15" ht="22.5" customHeight="1">
      <c r="A5527" s="85">
        <v>174904221976312</v>
      </c>
      <c r="B5527" s="82" t="s">
        <v>10651</v>
      </c>
      <c r="C5527" s="82" t="s">
        <v>12445</v>
      </c>
      <c r="D5527" s="82" t="s">
        <v>12446</v>
      </c>
      <c r="E5527" s="82">
        <v>6281338383022</v>
      </c>
      <c r="F5527" s="92">
        <v>45917</v>
      </c>
      <c r="G5527" s="87">
        <v>627</v>
      </c>
      <c r="H5527" s="88">
        <v>19887.323943661973</v>
      </c>
      <c r="I5527" s="89">
        <v>41</v>
      </c>
      <c r="J5527" s="90">
        <v>14120</v>
      </c>
      <c r="K5527" s="85">
        <v>10</v>
      </c>
      <c r="L5527" s="85">
        <v>425</v>
      </c>
      <c r="M5527" s="85">
        <v>0</v>
      </c>
      <c r="N5527" s="82" t="s">
        <v>12447</v>
      </c>
      <c r="O5527" s="93">
        <v>45918.421990740739</v>
      </c>
    </row>
    <row r="5528" spans="1:15" ht="22.5" customHeight="1">
      <c r="A5528" s="85">
        <v>174904221976312</v>
      </c>
      <c r="B5528" s="82" t="s">
        <v>10651</v>
      </c>
      <c r="C5528" s="82" t="s">
        <v>12432</v>
      </c>
      <c r="D5528" s="82" t="s">
        <v>3518</v>
      </c>
      <c r="E5528" s="82">
        <v>6285657238556</v>
      </c>
      <c r="F5528" s="92">
        <v>45917</v>
      </c>
      <c r="G5528" s="87">
        <v>517</v>
      </c>
      <c r="H5528" s="88">
        <v>24977.011494252874</v>
      </c>
      <c r="I5528" s="89">
        <v>23</v>
      </c>
      <c r="J5528" s="90">
        <v>15211</v>
      </c>
      <c r="K5528" s="85">
        <v>4</v>
      </c>
      <c r="L5528" s="85">
        <v>160</v>
      </c>
      <c r="M5528" s="85">
        <v>0</v>
      </c>
      <c r="N5528" s="82" t="s">
        <v>12433</v>
      </c>
      <c r="O5528" s="93">
        <v>45918.223611111112</v>
      </c>
    </row>
    <row r="5529" spans="1:15" ht="22.5" customHeight="1">
      <c r="A5529" s="85">
        <v>174904221976312</v>
      </c>
      <c r="B5529" s="82" t="s">
        <v>10651</v>
      </c>
      <c r="C5529" s="82" t="s">
        <v>12348</v>
      </c>
      <c r="D5529" s="82" t="s">
        <v>12349</v>
      </c>
      <c r="E5529" s="82">
        <v>6281348215665</v>
      </c>
      <c r="F5529" s="92">
        <v>45917</v>
      </c>
      <c r="G5529" s="87">
        <v>287</v>
      </c>
      <c r="H5529" s="88">
        <v>38043.343653250769</v>
      </c>
      <c r="I5529" s="89">
        <v>7</v>
      </c>
      <c r="J5529" s="90">
        <v>12288</v>
      </c>
      <c r="K5529" s="85">
        <v>1</v>
      </c>
      <c r="L5529" s="85">
        <v>0</v>
      </c>
      <c r="M5529" s="85">
        <v>1</v>
      </c>
      <c r="N5529" s="82" t="s">
        <v>12464</v>
      </c>
      <c r="O5529" s="93">
        <v>45918.547256944446</v>
      </c>
    </row>
    <row r="5530" spans="1:15" ht="22.5" customHeight="1">
      <c r="A5530" s="85">
        <v>174904221976312</v>
      </c>
      <c r="B5530" s="82" t="s">
        <v>10651</v>
      </c>
      <c r="C5530" s="82" t="s">
        <v>12351</v>
      </c>
      <c r="D5530" s="82" t="s">
        <v>5339</v>
      </c>
      <c r="E5530" s="82">
        <v>6282220371971</v>
      </c>
      <c r="F5530" s="92">
        <v>45917</v>
      </c>
      <c r="G5530" s="87">
        <v>464</v>
      </c>
      <c r="H5530" s="88">
        <v>25946.869070208726</v>
      </c>
      <c r="I5530" s="89">
        <v>49</v>
      </c>
      <c r="J5530" s="90">
        <v>13674</v>
      </c>
      <c r="K5530" s="85">
        <v>23</v>
      </c>
      <c r="L5530" s="85">
        <v>161</v>
      </c>
      <c r="M5530" s="85">
        <v>0</v>
      </c>
      <c r="N5530" s="82" t="s">
        <v>12352</v>
      </c>
      <c r="O5530" s="93">
        <v>45918.714155092595</v>
      </c>
    </row>
    <row r="5531" spans="1:15" ht="22.5" customHeight="1">
      <c r="A5531" s="85">
        <v>174904221976312</v>
      </c>
      <c r="B5531" s="82" t="s">
        <v>10651</v>
      </c>
      <c r="C5531" s="82" t="s">
        <v>12353</v>
      </c>
      <c r="D5531" s="82" t="s">
        <v>12354</v>
      </c>
      <c r="E5531" s="82">
        <v>6281355662725</v>
      </c>
      <c r="F5531" s="92">
        <v>45917</v>
      </c>
      <c r="G5531" s="87">
        <v>219</v>
      </c>
      <c r="H5531" s="88">
        <v>53391.791044776117</v>
      </c>
      <c r="I5531" s="89">
        <v>17</v>
      </c>
      <c r="J5531" s="90">
        <v>14309</v>
      </c>
      <c r="K5531" s="85">
        <v>2</v>
      </c>
      <c r="L5531" s="85">
        <v>115</v>
      </c>
      <c r="M5531" s="85">
        <v>1</v>
      </c>
      <c r="N5531" s="82" t="s">
        <v>12355</v>
      </c>
      <c r="O5531" s="93">
        <v>45918.631365740737</v>
      </c>
    </row>
    <row r="5532" spans="1:15" ht="22.5" customHeight="1">
      <c r="A5532" s="85">
        <v>174904221976312</v>
      </c>
      <c r="B5532" s="82" t="s">
        <v>10651</v>
      </c>
      <c r="C5532" s="82" t="s">
        <v>12327</v>
      </c>
      <c r="D5532" s="82" t="s">
        <v>12328</v>
      </c>
      <c r="E5532" s="82">
        <v>6281249008778</v>
      </c>
      <c r="F5532" s="92">
        <v>45917</v>
      </c>
      <c r="G5532" s="87">
        <v>443</v>
      </c>
      <c r="H5532" s="88">
        <v>28418.891170431212</v>
      </c>
      <c r="I5532" s="89">
        <v>25</v>
      </c>
      <c r="J5532" s="90">
        <v>13840</v>
      </c>
      <c r="K5532" s="85">
        <v>1</v>
      </c>
      <c r="L5532" s="85">
        <v>0</v>
      </c>
      <c r="M5532" s="85">
        <v>1</v>
      </c>
      <c r="N5532" s="82" t="s">
        <v>12358</v>
      </c>
      <c r="O5532" s="93">
        <v>45918.401944444442</v>
      </c>
    </row>
    <row r="5533" spans="1:15" ht="22.5" customHeight="1">
      <c r="A5533" s="85">
        <v>174904221976312</v>
      </c>
      <c r="B5533" s="82" t="s">
        <v>10651</v>
      </c>
      <c r="C5533" s="82" t="s">
        <v>12296</v>
      </c>
      <c r="D5533" s="82" t="s">
        <v>12297</v>
      </c>
      <c r="E5533" s="82">
        <v>6285600287735</v>
      </c>
      <c r="F5533" s="92">
        <v>45917</v>
      </c>
      <c r="G5533" s="87">
        <v>327</v>
      </c>
      <c r="H5533" s="88">
        <v>35202.531645569623</v>
      </c>
      <c r="I5533" s="89">
        <v>17</v>
      </c>
      <c r="J5533" s="90">
        <v>13905</v>
      </c>
      <c r="K5533" s="85">
        <v>4</v>
      </c>
      <c r="L5533" s="85">
        <v>124</v>
      </c>
      <c r="M5533" s="85">
        <v>0</v>
      </c>
      <c r="N5533" s="82" t="s">
        <v>12448</v>
      </c>
      <c r="O5533" s="93">
        <v>45918.223611111112</v>
      </c>
    </row>
    <row r="5534" spans="1:15" ht="22.5" customHeight="1">
      <c r="A5534" s="85">
        <v>174904221976312</v>
      </c>
      <c r="B5534" s="82" t="s">
        <v>10651</v>
      </c>
      <c r="C5534" s="82" t="s">
        <v>12279</v>
      </c>
      <c r="D5534" s="82" t="s">
        <v>11800</v>
      </c>
      <c r="E5534" s="82">
        <v>6285333751528</v>
      </c>
      <c r="F5534" s="92">
        <v>45917</v>
      </c>
      <c r="G5534" s="87">
        <v>354</v>
      </c>
      <c r="H5534" s="88">
        <v>38269.129287598946</v>
      </c>
      <c r="I5534" s="89">
        <v>14</v>
      </c>
      <c r="J5534" s="90">
        <v>14504</v>
      </c>
      <c r="K5534" s="85">
        <v>4</v>
      </c>
      <c r="L5534" s="85">
        <v>136</v>
      </c>
      <c r="M5534" s="85">
        <v>0</v>
      </c>
      <c r="N5534" s="82" t="s">
        <v>12337</v>
      </c>
      <c r="O5534" s="93">
        <v>45918.609768518516</v>
      </c>
    </row>
    <row r="5535" spans="1:15" ht="22.5" customHeight="1">
      <c r="A5535" s="85">
        <v>174904221976312</v>
      </c>
      <c r="B5535" s="82" t="s">
        <v>10651</v>
      </c>
      <c r="C5535" s="82" t="s">
        <v>12284</v>
      </c>
      <c r="D5535" s="82" t="s">
        <v>12285</v>
      </c>
      <c r="E5535" s="82">
        <v>6285921481643</v>
      </c>
      <c r="F5535" s="92">
        <v>45917</v>
      </c>
      <c r="G5535" s="87">
        <v>423</v>
      </c>
      <c r="H5535" s="88">
        <v>36959.745762711864</v>
      </c>
      <c r="I5535" s="89">
        <v>19</v>
      </c>
      <c r="J5535" s="90">
        <v>17445</v>
      </c>
      <c r="K5535" s="85">
        <v>0</v>
      </c>
      <c r="L5535" s="85">
        <v>0</v>
      </c>
      <c r="M5535" s="85">
        <v>0</v>
      </c>
      <c r="N5535" s="82" t="s">
        <v>12465</v>
      </c>
      <c r="O5535" s="93">
        <v>45918.443611111114</v>
      </c>
    </row>
    <row r="5536" spans="1:15" ht="22.5" customHeight="1">
      <c r="A5536" s="85">
        <v>174904221976312</v>
      </c>
      <c r="B5536" s="82" t="s">
        <v>10651</v>
      </c>
      <c r="C5536" s="82" t="s">
        <v>12269</v>
      </c>
      <c r="D5536" s="82" t="s">
        <v>12270</v>
      </c>
      <c r="E5536" s="82">
        <v>6282229433259</v>
      </c>
      <c r="F5536" s="92">
        <v>45917</v>
      </c>
      <c r="G5536" s="87">
        <v>171</v>
      </c>
      <c r="H5536" s="88">
        <v>68880.208333333328</v>
      </c>
      <c r="I5536" s="89">
        <v>10</v>
      </c>
      <c r="J5536" s="90">
        <v>13225</v>
      </c>
      <c r="K5536" s="85">
        <v>1</v>
      </c>
      <c r="L5536" s="85">
        <v>11</v>
      </c>
      <c r="M5536" s="85">
        <v>0</v>
      </c>
      <c r="N5536" s="82" t="s">
        <v>12339</v>
      </c>
      <c r="O5536" s="93">
        <v>45918.359583333331</v>
      </c>
    </row>
    <row r="5537" spans="1:15" ht="22.5" customHeight="1">
      <c r="A5537" s="85">
        <v>174904221976312</v>
      </c>
      <c r="B5537" s="82" t="s">
        <v>10651</v>
      </c>
      <c r="C5537" s="82" t="s">
        <v>12209</v>
      </c>
      <c r="D5537" s="82" t="s">
        <v>12210</v>
      </c>
      <c r="E5537" s="82">
        <v>6282217300224</v>
      </c>
      <c r="F5537" s="92">
        <v>45917</v>
      </c>
      <c r="G5537" s="87">
        <v>158</v>
      </c>
      <c r="H5537" s="88">
        <v>88551.724137931029</v>
      </c>
      <c r="I5537" s="89">
        <v>6</v>
      </c>
      <c r="J5537" s="90">
        <v>15408</v>
      </c>
      <c r="K5537" s="85">
        <v>0</v>
      </c>
      <c r="L5537" s="85">
        <v>0</v>
      </c>
      <c r="M5537" s="85">
        <v>0</v>
      </c>
      <c r="N5537" s="82" t="s">
        <v>12317</v>
      </c>
      <c r="O5537" s="93">
        <v>45918.547233796293</v>
      </c>
    </row>
    <row r="5538" spans="1:15" ht="22.5" customHeight="1">
      <c r="A5538" s="85">
        <v>174904221976312</v>
      </c>
      <c r="B5538" s="82" t="s">
        <v>10651</v>
      </c>
      <c r="C5538" s="82" t="s">
        <v>12171</v>
      </c>
      <c r="D5538" s="82" t="s">
        <v>4386</v>
      </c>
      <c r="E5538" s="82">
        <v>62818533354</v>
      </c>
      <c r="F5538" s="92">
        <v>45917</v>
      </c>
      <c r="G5538" s="87">
        <v>329</v>
      </c>
      <c r="H5538" s="88">
        <v>37390.50131926121</v>
      </c>
      <c r="I5538" s="89">
        <v>14</v>
      </c>
      <c r="J5538" s="90">
        <v>14171</v>
      </c>
      <c r="K5538" s="85">
        <v>0</v>
      </c>
      <c r="L5538" s="85">
        <v>0</v>
      </c>
      <c r="M5538" s="85">
        <v>2</v>
      </c>
      <c r="N5538" s="82" t="s">
        <v>12319</v>
      </c>
      <c r="O5538" s="93">
        <v>45918.630868055552</v>
      </c>
    </row>
    <row r="5539" spans="1:15" ht="22.5" customHeight="1">
      <c r="A5539" s="85">
        <v>174904221976312</v>
      </c>
      <c r="B5539" s="82" t="s">
        <v>10651</v>
      </c>
      <c r="C5539" s="82" t="s">
        <v>12130</v>
      </c>
      <c r="D5539" s="82" t="s">
        <v>12131</v>
      </c>
      <c r="E5539" s="82">
        <v>6281239004410</v>
      </c>
      <c r="F5539" s="92">
        <v>45917</v>
      </c>
      <c r="G5539" s="87">
        <v>138</v>
      </c>
      <c r="H5539" s="88">
        <v>76662.16216216216</v>
      </c>
      <c r="I5539" s="89">
        <v>4</v>
      </c>
      <c r="J5539" s="90">
        <v>11346</v>
      </c>
      <c r="K5539" s="85">
        <v>1</v>
      </c>
      <c r="L5539" s="85">
        <v>0</v>
      </c>
      <c r="M5539" s="85">
        <v>0</v>
      </c>
      <c r="N5539" s="82" t="s">
        <v>12288</v>
      </c>
      <c r="O5539" s="93">
        <v>45918.223611111112</v>
      </c>
    </row>
    <row r="5540" spans="1:15" ht="22.5" customHeight="1">
      <c r="A5540" s="85">
        <v>174904221976312</v>
      </c>
      <c r="B5540" s="82" t="s">
        <v>10651</v>
      </c>
      <c r="C5540" s="82" t="s">
        <v>12122</v>
      </c>
      <c r="D5540" s="82" t="s">
        <v>12123</v>
      </c>
      <c r="E5540" s="82">
        <v>6285720705874</v>
      </c>
      <c r="F5540" s="92">
        <v>45917</v>
      </c>
      <c r="G5540" s="87">
        <v>1386</v>
      </c>
      <c r="H5540" s="88">
        <v>7617.6631925397696</v>
      </c>
      <c r="I5540" s="89">
        <v>34</v>
      </c>
      <c r="J5540" s="90">
        <v>13887</v>
      </c>
      <c r="K5540" s="85">
        <v>7</v>
      </c>
      <c r="L5540" s="85">
        <v>397</v>
      </c>
      <c r="M5540" s="85">
        <v>1</v>
      </c>
      <c r="N5540" s="82" t="s">
        <v>12472</v>
      </c>
      <c r="O5540" s="93">
        <v>45918.444004629629</v>
      </c>
    </row>
    <row r="5541" spans="1:15" ht="22.5" customHeight="1">
      <c r="A5541" s="85">
        <v>174904221976312</v>
      </c>
      <c r="B5541" s="82" t="s">
        <v>10651</v>
      </c>
      <c r="C5541" s="82" t="s">
        <v>12058</v>
      </c>
      <c r="D5541" s="82" t="s">
        <v>4516</v>
      </c>
      <c r="E5541" s="82">
        <v>6281315163838</v>
      </c>
      <c r="F5541" s="92">
        <v>45917</v>
      </c>
      <c r="G5541" s="87">
        <v>131</v>
      </c>
      <c r="H5541" s="88">
        <v>92856.164383561641</v>
      </c>
      <c r="I5541" s="89">
        <v>7</v>
      </c>
      <c r="J5541" s="90">
        <v>13557</v>
      </c>
      <c r="K5541" s="85">
        <v>2</v>
      </c>
      <c r="L5541" s="85">
        <v>0</v>
      </c>
      <c r="M5541" s="85">
        <v>0</v>
      </c>
      <c r="N5541" s="82" t="s">
        <v>12321</v>
      </c>
      <c r="O5541" s="93">
        <v>45918.505798611113</v>
      </c>
    </row>
    <row r="5542" spans="1:15" ht="22.5" customHeight="1">
      <c r="A5542" s="85">
        <v>174904221976312</v>
      </c>
      <c r="B5542" s="82" t="s">
        <v>10651</v>
      </c>
      <c r="C5542" s="82" t="s">
        <v>12039</v>
      </c>
      <c r="D5542" s="82" t="s">
        <v>12040</v>
      </c>
      <c r="E5542" s="82">
        <v>6281330410391</v>
      </c>
      <c r="F5542" s="92">
        <v>45917</v>
      </c>
      <c r="G5542" s="87">
        <v>584</v>
      </c>
      <c r="H5542" s="88">
        <v>17946.405228758169</v>
      </c>
      <c r="I5542" s="89">
        <v>58</v>
      </c>
      <c r="J5542" s="90">
        <v>13729</v>
      </c>
      <c r="K5542" s="85">
        <v>6</v>
      </c>
      <c r="L5542" s="85">
        <v>235</v>
      </c>
      <c r="M5542" s="85">
        <v>2</v>
      </c>
      <c r="N5542" s="82" t="s">
        <v>12435</v>
      </c>
      <c r="O5542" s="93">
        <v>45918.505798611113</v>
      </c>
    </row>
    <row r="5543" spans="1:15" ht="22.5" customHeight="1">
      <c r="A5543" s="85">
        <v>174904221976312</v>
      </c>
      <c r="B5543" s="82" t="s">
        <v>10651</v>
      </c>
      <c r="C5543" s="82" t="s">
        <v>12007</v>
      </c>
      <c r="D5543" s="82" t="s">
        <v>9010</v>
      </c>
      <c r="E5543" s="82">
        <v>6282160743576</v>
      </c>
      <c r="F5543" s="92">
        <v>45917</v>
      </c>
      <c r="G5543" s="87">
        <v>791</v>
      </c>
      <c r="H5543" s="88">
        <v>16583.783783783783</v>
      </c>
      <c r="I5543" s="89">
        <v>28</v>
      </c>
      <c r="J5543" s="90">
        <v>15340</v>
      </c>
      <c r="K5543" s="85">
        <v>0</v>
      </c>
      <c r="L5543" s="85">
        <v>332</v>
      </c>
      <c r="M5543" s="85">
        <v>0</v>
      </c>
      <c r="N5543" s="82" t="s">
        <v>12008</v>
      </c>
      <c r="O5543" s="93">
        <v>45918.443611111114</v>
      </c>
    </row>
    <row r="5544" spans="1:15" ht="22.5" customHeight="1">
      <c r="A5544" s="85">
        <v>174904221976312</v>
      </c>
      <c r="B5544" s="82" t="s">
        <v>10651</v>
      </c>
      <c r="C5544" s="82" t="s">
        <v>11769</v>
      </c>
      <c r="D5544" s="82" t="s">
        <v>3610</v>
      </c>
      <c r="E5544" s="82">
        <v>6285821233475</v>
      </c>
      <c r="F5544" s="92">
        <v>45917</v>
      </c>
      <c r="G5544" s="87">
        <v>1185</v>
      </c>
      <c r="H5544" s="88">
        <v>9462.3733719247466</v>
      </c>
      <c r="I5544" s="89">
        <v>64</v>
      </c>
      <c r="J5544" s="90">
        <v>13077</v>
      </c>
      <c r="K5544" s="85">
        <v>5</v>
      </c>
      <c r="L5544" s="85">
        <v>466</v>
      </c>
      <c r="M5544" s="85">
        <v>0</v>
      </c>
      <c r="N5544" s="82" t="s">
        <v>11770</v>
      </c>
      <c r="O5544" s="93">
        <v>45918.505798611113</v>
      </c>
    </row>
    <row r="5545" spans="1:15" ht="22.5" customHeight="1">
      <c r="A5545" s="85">
        <v>174904221976312</v>
      </c>
      <c r="B5545" s="82" t="s">
        <v>10651</v>
      </c>
      <c r="C5545" s="82" t="s">
        <v>11613</v>
      </c>
      <c r="D5545" s="82" t="s">
        <v>11614</v>
      </c>
      <c r="E5545" s="82">
        <v>6282186829904</v>
      </c>
      <c r="F5545" s="92">
        <v>45917</v>
      </c>
      <c r="G5545" s="87">
        <v>139</v>
      </c>
      <c r="H5545" s="88">
        <v>97525.974025974021</v>
      </c>
      <c r="I5545" s="89">
        <v>8</v>
      </c>
      <c r="J5545" s="90">
        <v>15019</v>
      </c>
      <c r="K5545" s="85">
        <v>0</v>
      </c>
      <c r="L5545" s="85">
        <v>0</v>
      </c>
      <c r="M5545" s="85">
        <v>0</v>
      </c>
      <c r="N5545" s="82" t="s">
        <v>12466</v>
      </c>
      <c r="O5545" s="93">
        <v>45918.526828703703</v>
      </c>
    </row>
    <row r="5546" spans="1:15" ht="22.5" customHeight="1">
      <c r="A5546" s="85">
        <v>174904221976312</v>
      </c>
      <c r="B5546" s="82" t="s">
        <v>10651</v>
      </c>
      <c r="C5546" s="82" t="s">
        <v>11580</v>
      </c>
      <c r="D5546" s="82" t="s">
        <v>11581</v>
      </c>
      <c r="E5546" s="82">
        <v>6287790276733</v>
      </c>
      <c r="F5546" s="92">
        <v>45917</v>
      </c>
      <c r="G5546" s="87">
        <v>653</v>
      </c>
      <c r="H5546" s="88">
        <v>16810.344827586207</v>
      </c>
      <c r="I5546" s="89">
        <v>21</v>
      </c>
      <c r="J5546" s="90">
        <v>13650</v>
      </c>
      <c r="K5546" s="85">
        <v>1</v>
      </c>
      <c r="L5546" s="85">
        <v>0</v>
      </c>
      <c r="M5546" s="85">
        <v>0</v>
      </c>
      <c r="N5546" s="82" t="s">
        <v>12343</v>
      </c>
      <c r="O5546" s="93">
        <v>45918.547546296293</v>
      </c>
    </row>
    <row r="5547" spans="1:15" ht="22.5" customHeight="1">
      <c r="A5547" s="85">
        <v>174904221976312</v>
      </c>
      <c r="B5547" s="82" t="s">
        <v>10651</v>
      </c>
      <c r="C5547" s="82" t="s">
        <v>12486</v>
      </c>
      <c r="D5547" s="82" t="s">
        <v>12487</v>
      </c>
      <c r="E5547" s="82">
        <v>6281318819599</v>
      </c>
      <c r="F5547" s="92">
        <v>45918</v>
      </c>
      <c r="G5547" s="87">
        <v>284</v>
      </c>
      <c r="H5547" s="88">
        <v>43481.355932203391</v>
      </c>
      <c r="I5547" s="89">
        <v>7</v>
      </c>
      <c r="J5547" s="90">
        <v>12827</v>
      </c>
      <c r="K5547" s="85">
        <v>0</v>
      </c>
      <c r="L5547" s="85">
        <v>15</v>
      </c>
      <c r="M5547" s="85">
        <v>0</v>
      </c>
      <c r="N5547" s="82" t="s">
        <v>12488</v>
      </c>
      <c r="O5547" s="93">
        <v>45919.526342592595</v>
      </c>
    </row>
    <row r="5548" spans="1:15" ht="22.5" customHeight="1">
      <c r="A5548" s="85">
        <v>174904221976312</v>
      </c>
      <c r="B5548" s="82" t="s">
        <v>10651</v>
      </c>
      <c r="C5548" s="82" t="s">
        <v>12489</v>
      </c>
      <c r="D5548" s="82" t="s">
        <v>11483</v>
      </c>
      <c r="E5548" s="82">
        <v>6283107086952</v>
      </c>
      <c r="F5548" s="92">
        <v>45918</v>
      </c>
      <c r="G5548" s="87">
        <v>627</v>
      </c>
      <c r="H5548" s="88">
        <v>22227.138643067847</v>
      </c>
      <c r="I5548" s="89">
        <v>12</v>
      </c>
      <c r="J5548" s="90">
        <v>15070</v>
      </c>
      <c r="K5548" s="85">
        <v>0</v>
      </c>
      <c r="L5548" s="85">
        <v>35</v>
      </c>
      <c r="M5548" s="85">
        <v>0</v>
      </c>
      <c r="N5548" s="82" t="s">
        <v>12490</v>
      </c>
      <c r="O5548" s="93">
        <v>45919.584143518521</v>
      </c>
    </row>
    <row r="5549" spans="1:15" ht="22.5" customHeight="1">
      <c r="A5549" s="85">
        <v>174904221976312</v>
      </c>
      <c r="B5549" s="82" t="s">
        <v>10651</v>
      </c>
      <c r="C5549" s="82" t="s">
        <v>12473</v>
      </c>
      <c r="D5549" s="82" t="s">
        <v>12474</v>
      </c>
      <c r="E5549" s="82">
        <v>6282320232344</v>
      </c>
      <c r="F5549" s="92">
        <v>45918</v>
      </c>
      <c r="G5549" s="87">
        <v>9439</v>
      </c>
      <c r="H5549" s="88">
        <v>1295.852534562212</v>
      </c>
      <c r="I5549" s="89">
        <v>12</v>
      </c>
      <c r="J5549" s="90">
        <v>12654</v>
      </c>
      <c r="K5549" s="85">
        <v>0</v>
      </c>
      <c r="L5549" s="85">
        <v>940</v>
      </c>
      <c r="M5549" s="85">
        <v>0</v>
      </c>
      <c r="N5549" s="82" t="s">
        <v>12475</v>
      </c>
      <c r="O5549" s="93">
        <v>45919.713888888888</v>
      </c>
    </row>
    <row r="5550" spans="1:15" ht="22.5" customHeight="1">
      <c r="A5550" s="85">
        <v>174904221976312</v>
      </c>
      <c r="B5550" s="82" t="s">
        <v>10651</v>
      </c>
      <c r="C5550" s="82" t="s">
        <v>12476</v>
      </c>
      <c r="D5550" s="82" t="s">
        <v>9010</v>
      </c>
      <c r="E5550" s="82">
        <v>6281316122975</v>
      </c>
      <c r="F5550" s="92">
        <v>45918</v>
      </c>
      <c r="G5550" s="87">
        <v>507</v>
      </c>
      <c r="H5550" s="88">
        <v>19585.365853658535</v>
      </c>
      <c r="I5550" s="89">
        <v>12</v>
      </c>
      <c r="J5550" s="90">
        <v>12045</v>
      </c>
      <c r="K5550" s="85">
        <v>1</v>
      </c>
      <c r="L5550" s="85">
        <v>130</v>
      </c>
      <c r="M5550" s="85">
        <v>1</v>
      </c>
      <c r="N5550" s="82" t="s">
        <v>12477</v>
      </c>
      <c r="O5550" s="93">
        <v>45919.589224537034</v>
      </c>
    </row>
    <row r="5551" spans="1:15" ht="22.5" customHeight="1">
      <c r="A5551" s="85">
        <v>174904221976312</v>
      </c>
      <c r="B5551" s="82" t="s">
        <v>10651</v>
      </c>
      <c r="C5551" s="82" t="s">
        <v>12478</v>
      </c>
      <c r="D5551" s="82" t="s">
        <v>5677</v>
      </c>
      <c r="E5551" s="82">
        <v>6285255550388</v>
      </c>
      <c r="F5551" s="92">
        <v>45918</v>
      </c>
      <c r="G5551" s="87">
        <v>403</v>
      </c>
      <c r="H5551" s="88">
        <v>27880.952380952378</v>
      </c>
      <c r="I5551" s="89">
        <v>15</v>
      </c>
      <c r="J5551" s="90">
        <v>12881</v>
      </c>
      <c r="K5551" s="85">
        <v>3</v>
      </c>
      <c r="L5551" s="85">
        <v>0</v>
      </c>
      <c r="M5551" s="85">
        <v>1</v>
      </c>
      <c r="N5551" s="82" t="s">
        <v>12491</v>
      </c>
      <c r="O5551" s="93">
        <v>45919.59175925926</v>
      </c>
    </row>
    <row r="5552" spans="1:15" ht="22.5" customHeight="1">
      <c r="A5552" s="85">
        <v>174904221976312</v>
      </c>
      <c r="B5552" s="82" t="s">
        <v>10651</v>
      </c>
      <c r="C5552" s="82" t="s">
        <v>12480</v>
      </c>
      <c r="D5552" s="82" t="s">
        <v>5687</v>
      </c>
      <c r="E5552" s="82">
        <v>6281990022760</v>
      </c>
      <c r="F5552" s="92">
        <v>45918</v>
      </c>
      <c r="G5552" s="87">
        <v>220</v>
      </c>
      <c r="H5552" s="88">
        <v>54378.600823045264</v>
      </c>
      <c r="I5552" s="89">
        <v>14</v>
      </c>
      <c r="J5552" s="90">
        <v>13214</v>
      </c>
      <c r="K5552" s="85">
        <v>7</v>
      </c>
      <c r="L5552" s="85">
        <v>4</v>
      </c>
      <c r="M5552" s="85">
        <v>0</v>
      </c>
      <c r="N5552" s="82" t="s">
        <v>12481</v>
      </c>
      <c r="O5552" s="93">
        <v>45919.672766203701</v>
      </c>
    </row>
    <row r="5553" spans="1:15" ht="22.5" customHeight="1">
      <c r="A5553" s="85">
        <v>174904221976312</v>
      </c>
      <c r="B5553" s="82" t="s">
        <v>10651</v>
      </c>
      <c r="C5553" s="82" t="s">
        <v>12467</v>
      </c>
      <c r="D5553" s="82" t="s">
        <v>5668</v>
      </c>
      <c r="E5553" s="82">
        <v>6287777144455</v>
      </c>
      <c r="F5553" s="92">
        <v>45918</v>
      </c>
      <c r="G5553" s="87">
        <v>627</v>
      </c>
      <c r="H5553" s="88">
        <v>20892.529488859764</v>
      </c>
      <c r="I5553" s="89">
        <v>12</v>
      </c>
      <c r="J5553" s="90">
        <v>15941</v>
      </c>
      <c r="K5553" s="85">
        <v>0</v>
      </c>
      <c r="L5553" s="85">
        <v>58</v>
      </c>
      <c r="M5553" s="85">
        <v>0</v>
      </c>
      <c r="N5553" s="82" t="s">
        <v>12482</v>
      </c>
      <c r="O5553" s="93">
        <v>45919.422256944446</v>
      </c>
    </row>
    <row r="5554" spans="1:15" ht="22.5" customHeight="1">
      <c r="A5554" s="85">
        <v>174904221976312</v>
      </c>
      <c r="B5554" s="82" t="s">
        <v>10651</v>
      </c>
      <c r="C5554" s="82" t="s">
        <v>12469</v>
      </c>
      <c r="D5554" s="82" t="s">
        <v>12470</v>
      </c>
      <c r="E5554" s="82">
        <v>6287751068360</v>
      </c>
      <c r="F5554" s="92">
        <v>45918</v>
      </c>
      <c r="G5554" s="87">
        <v>371</v>
      </c>
      <c r="H5554" s="88">
        <v>27525.423728813559</v>
      </c>
      <c r="I5554" s="89">
        <v>8</v>
      </c>
      <c r="J5554" s="90">
        <v>11368</v>
      </c>
      <c r="K5554" s="85">
        <v>1</v>
      </c>
      <c r="L5554" s="85">
        <v>0</v>
      </c>
      <c r="M5554" s="85">
        <v>0</v>
      </c>
      <c r="N5554" s="82" t="s">
        <v>12492</v>
      </c>
      <c r="O5554" s="93">
        <v>45919.598541666666</v>
      </c>
    </row>
    <row r="5555" spans="1:15" ht="22.5" customHeight="1">
      <c r="A5555" s="85">
        <v>174904221976312</v>
      </c>
      <c r="B5555" s="82" t="s">
        <v>10651</v>
      </c>
      <c r="C5555" s="82" t="s">
        <v>12460</v>
      </c>
      <c r="D5555" s="82" t="s">
        <v>12461</v>
      </c>
      <c r="E5555" s="82">
        <v>6285357908485</v>
      </c>
      <c r="F5555" s="92">
        <v>45918</v>
      </c>
      <c r="G5555" s="87">
        <v>287</v>
      </c>
      <c r="H5555" s="88">
        <v>41258.566978193143</v>
      </c>
      <c r="I5555" s="89">
        <v>10</v>
      </c>
      <c r="J5555" s="90">
        <v>13244</v>
      </c>
      <c r="K5555" s="85">
        <v>3</v>
      </c>
      <c r="L5555" s="85">
        <v>0</v>
      </c>
      <c r="M5555" s="85">
        <v>0</v>
      </c>
      <c r="N5555" s="82" t="s">
        <v>12462</v>
      </c>
      <c r="O5555" s="93">
        <v>45919.443240740744</v>
      </c>
    </row>
    <row r="5556" spans="1:15" ht="22.5" customHeight="1">
      <c r="A5556" s="85">
        <v>174904221976312</v>
      </c>
      <c r="B5556" s="82" t="s">
        <v>10651</v>
      </c>
      <c r="C5556" s="82" t="s">
        <v>12449</v>
      </c>
      <c r="D5556" s="82" t="s">
        <v>11483</v>
      </c>
      <c r="E5556" s="82">
        <v>62817164567</v>
      </c>
      <c r="F5556" s="92">
        <v>45918</v>
      </c>
      <c r="G5556" s="87">
        <v>1157</v>
      </c>
      <c r="H5556" s="88">
        <v>14248</v>
      </c>
      <c r="I5556" s="89">
        <v>33</v>
      </c>
      <c r="J5556" s="90">
        <v>17810</v>
      </c>
      <c r="K5556" s="85">
        <v>2</v>
      </c>
      <c r="L5556" s="85">
        <v>422</v>
      </c>
      <c r="M5556" s="85">
        <v>0</v>
      </c>
      <c r="N5556" s="82" t="s">
        <v>12450</v>
      </c>
      <c r="O5556" s="93">
        <v>45919.359583333331</v>
      </c>
    </row>
    <row r="5557" spans="1:15" ht="22.5" customHeight="1">
      <c r="A5557" s="85">
        <v>174904221976312</v>
      </c>
      <c r="B5557" s="82" t="s">
        <v>10651</v>
      </c>
      <c r="C5557" s="82" t="s">
        <v>12451</v>
      </c>
      <c r="D5557" s="82" t="s">
        <v>12452</v>
      </c>
      <c r="E5557" s="82">
        <v>6281224628935</v>
      </c>
      <c r="F5557" s="92">
        <v>45918</v>
      </c>
      <c r="G5557" s="87">
        <v>374</v>
      </c>
      <c r="H5557" s="88">
        <v>38002.409638554222</v>
      </c>
      <c r="I5557" s="89">
        <v>11</v>
      </c>
      <c r="J5557" s="90">
        <v>15771</v>
      </c>
      <c r="K5557" s="85">
        <v>2</v>
      </c>
      <c r="L5557" s="85">
        <v>0</v>
      </c>
      <c r="M5557" s="85">
        <v>0</v>
      </c>
      <c r="N5557" s="82" t="s">
        <v>12483</v>
      </c>
      <c r="O5557" s="93">
        <v>45919.380925925929</v>
      </c>
    </row>
    <row r="5558" spans="1:15" ht="22.5" customHeight="1">
      <c r="A5558" s="85">
        <v>174904221976312</v>
      </c>
      <c r="B5558" s="82" t="s">
        <v>10651</v>
      </c>
      <c r="C5558" s="82" t="s">
        <v>12454</v>
      </c>
      <c r="D5558" s="82" t="s">
        <v>5522</v>
      </c>
      <c r="E5558" s="82">
        <v>6287822292311</v>
      </c>
      <c r="F5558" s="92">
        <v>45918</v>
      </c>
      <c r="G5558" s="87">
        <v>669</v>
      </c>
      <c r="H5558" s="88">
        <v>21350.649350649353</v>
      </c>
      <c r="I5558" s="89">
        <v>3</v>
      </c>
      <c r="J5558" s="90">
        <v>14796</v>
      </c>
      <c r="K5558" s="85">
        <v>0</v>
      </c>
      <c r="L5558" s="85">
        <v>36</v>
      </c>
      <c r="M5558" s="85">
        <v>0</v>
      </c>
      <c r="N5558" s="82" t="s">
        <v>12484</v>
      </c>
      <c r="O5558" s="93">
        <v>45919.401446759257</v>
      </c>
    </row>
    <row r="5559" spans="1:15" ht="22.5" customHeight="1">
      <c r="A5559" s="85">
        <v>174904221976312</v>
      </c>
      <c r="B5559" s="82" t="s">
        <v>10651</v>
      </c>
      <c r="C5559" s="82" t="s">
        <v>12456</v>
      </c>
      <c r="D5559" s="82" t="s">
        <v>11483</v>
      </c>
      <c r="E5559" s="82">
        <v>6285255115894</v>
      </c>
      <c r="F5559" s="92">
        <v>45918</v>
      </c>
      <c r="G5559" s="87">
        <v>397</v>
      </c>
      <c r="H5559" s="88">
        <v>30179.775280898877</v>
      </c>
      <c r="I5559" s="89">
        <v>11</v>
      </c>
      <c r="J5559" s="90">
        <v>13430</v>
      </c>
      <c r="K5559" s="85">
        <v>0</v>
      </c>
      <c r="L5559" s="85">
        <v>162</v>
      </c>
      <c r="M5559" s="85">
        <v>1</v>
      </c>
      <c r="N5559" s="82" t="s">
        <v>12457</v>
      </c>
      <c r="O5559" s="93">
        <v>45919.380925925929</v>
      </c>
    </row>
    <row r="5560" spans="1:15" ht="22.5" customHeight="1">
      <c r="A5560" s="85">
        <v>174904221976312</v>
      </c>
      <c r="B5560" s="82" t="s">
        <v>10651</v>
      </c>
      <c r="C5560" s="82" t="s">
        <v>12458</v>
      </c>
      <c r="D5560" s="82" t="s">
        <v>5515</v>
      </c>
      <c r="E5560" s="82">
        <v>6285245301996</v>
      </c>
      <c r="F5560" s="92">
        <v>45918</v>
      </c>
      <c r="G5560" s="87">
        <v>840</v>
      </c>
      <c r="H5560" s="88">
        <v>14229.083665338645</v>
      </c>
      <c r="I5560" s="89">
        <v>35</v>
      </c>
      <c r="J5560" s="90">
        <v>14286</v>
      </c>
      <c r="K5560" s="85">
        <v>5</v>
      </c>
      <c r="L5560" s="85">
        <v>0</v>
      </c>
      <c r="M5560" s="85">
        <v>0</v>
      </c>
      <c r="N5560" s="82" t="s">
        <v>12485</v>
      </c>
      <c r="O5560" s="93">
        <v>45919.380914351852</v>
      </c>
    </row>
    <row r="5561" spans="1:15" ht="22.5" customHeight="1">
      <c r="A5561" s="85">
        <v>174904221976312</v>
      </c>
      <c r="B5561" s="82" t="s">
        <v>10651</v>
      </c>
      <c r="C5561" s="82" t="s">
        <v>12436</v>
      </c>
      <c r="D5561" s="82" t="s">
        <v>5483</v>
      </c>
      <c r="E5561" s="82">
        <v>6282225676438</v>
      </c>
      <c r="F5561" s="92">
        <v>45918</v>
      </c>
      <c r="G5561" s="87">
        <v>246</v>
      </c>
      <c r="H5561" s="88">
        <v>62587.548638132299</v>
      </c>
      <c r="I5561" s="89">
        <v>11</v>
      </c>
      <c r="J5561" s="90">
        <v>16085</v>
      </c>
      <c r="K5561" s="85">
        <v>0</v>
      </c>
      <c r="L5561" s="85">
        <v>125</v>
      </c>
      <c r="M5561" s="85">
        <v>0</v>
      </c>
      <c r="N5561" s="82" t="s">
        <v>12493</v>
      </c>
      <c r="O5561" s="93">
        <v>45919.609131944446</v>
      </c>
    </row>
    <row r="5562" spans="1:15" ht="22.5" customHeight="1">
      <c r="A5562" s="85">
        <v>174904221976312</v>
      </c>
      <c r="B5562" s="82" t="s">
        <v>10651</v>
      </c>
      <c r="C5562" s="82" t="s">
        <v>12438</v>
      </c>
      <c r="D5562" s="82" t="s">
        <v>3479</v>
      </c>
      <c r="E5562" s="82">
        <v>6282249145533</v>
      </c>
      <c r="F5562" s="92">
        <v>45918</v>
      </c>
      <c r="G5562" s="87">
        <v>1147</v>
      </c>
      <c r="H5562" s="88">
        <v>12465.732087227414</v>
      </c>
      <c r="I5562" s="89">
        <v>21</v>
      </c>
      <c r="J5562" s="90">
        <v>16006</v>
      </c>
      <c r="K5562" s="85">
        <v>3</v>
      </c>
      <c r="L5562" s="85">
        <v>0</v>
      </c>
      <c r="M5562" s="85">
        <v>0</v>
      </c>
      <c r="N5562" s="82" t="s">
        <v>12439</v>
      </c>
      <c r="O5562" s="93">
        <v>45919.216423611113</v>
      </c>
    </row>
    <row r="5563" spans="1:15" ht="22.5" customHeight="1">
      <c r="A5563" s="85">
        <v>174904221976312</v>
      </c>
      <c r="B5563" s="82" t="s">
        <v>10651</v>
      </c>
      <c r="C5563" s="82" t="s">
        <v>12440</v>
      </c>
      <c r="D5563" s="82" t="s">
        <v>5469</v>
      </c>
      <c r="E5563" s="82">
        <v>6285750574301</v>
      </c>
      <c r="F5563" s="92">
        <v>45918</v>
      </c>
      <c r="G5563" s="87">
        <v>420</v>
      </c>
      <c r="H5563" s="88">
        <v>39993.039443155452</v>
      </c>
      <c r="I5563" s="89">
        <v>3</v>
      </c>
      <c r="J5563" s="90">
        <v>17237</v>
      </c>
      <c r="K5563" s="85">
        <v>0</v>
      </c>
      <c r="L5563" s="85">
        <v>0</v>
      </c>
      <c r="M5563" s="85">
        <v>0</v>
      </c>
      <c r="N5563" s="82" t="s">
        <v>12441</v>
      </c>
      <c r="O5563" s="93">
        <v>45919.216423611113</v>
      </c>
    </row>
    <row r="5564" spans="1:15" ht="22.5" customHeight="1">
      <c r="A5564" s="85">
        <v>174904221976312</v>
      </c>
      <c r="B5564" s="82" t="s">
        <v>10651</v>
      </c>
      <c r="C5564" s="82" t="s">
        <v>12442</v>
      </c>
      <c r="D5564" s="82" t="s">
        <v>12443</v>
      </c>
      <c r="E5564" s="82">
        <v>6281232743716</v>
      </c>
      <c r="F5564" s="92">
        <v>45918</v>
      </c>
      <c r="G5564" s="87">
        <v>632</v>
      </c>
      <c r="H5564" s="88">
        <v>25408.68263473054</v>
      </c>
      <c r="I5564" s="89">
        <v>13</v>
      </c>
      <c r="J5564" s="90">
        <v>16973</v>
      </c>
      <c r="K5564" s="85">
        <v>1</v>
      </c>
      <c r="L5564" s="85">
        <v>0</v>
      </c>
      <c r="M5564" s="85">
        <v>0</v>
      </c>
      <c r="N5564" s="82" t="s">
        <v>12444</v>
      </c>
      <c r="O5564" s="93">
        <v>45919.216412037036</v>
      </c>
    </row>
    <row r="5565" spans="1:15" ht="22.5" customHeight="1">
      <c r="A5565" s="85">
        <v>174904221976312</v>
      </c>
      <c r="B5565" s="82" t="s">
        <v>10651</v>
      </c>
      <c r="C5565" s="82" t="s">
        <v>12445</v>
      </c>
      <c r="D5565" s="82" t="s">
        <v>12446</v>
      </c>
      <c r="E5565" s="82">
        <v>6281338383022</v>
      </c>
      <c r="F5565" s="92">
        <v>45918</v>
      </c>
      <c r="G5565" s="87">
        <v>340</v>
      </c>
      <c r="H5565" s="88">
        <v>39320.413436692506</v>
      </c>
      <c r="I5565" s="89">
        <v>34</v>
      </c>
      <c r="J5565" s="90">
        <v>15217</v>
      </c>
      <c r="K5565" s="85">
        <v>10</v>
      </c>
      <c r="L5565" s="85">
        <v>0</v>
      </c>
      <c r="M5565" s="85">
        <v>1</v>
      </c>
      <c r="N5565" s="82" t="s">
        <v>12447</v>
      </c>
      <c r="O5565" s="93">
        <v>45919.216412037036</v>
      </c>
    </row>
    <row r="5566" spans="1:15" ht="22.5" customHeight="1">
      <c r="A5566" s="85">
        <v>174904221976312</v>
      </c>
      <c r="B5566" s="82" t="s">
        <v>10651</v>
      </c>
      <c r="C5566" s="82" t="s">
        <v>12348</v>
      </c>
      <c r="D5566" s="82" t="s">
        <v>12349</v>
      </c>
      <c r="E5566" s="82">
        <v>6281348215665</v>
      </c>
      <c r="F5566" s="92">
        <v>45918</v>
      </c>
      <c r="G5566" s="87">
        <v>445</v>
      </c>
      <c r="H5566" s="88">
        <v>29402.922755741125</v>
      </c>
      <c r="I5566" s="89">
        <v>9</v>
      </c>
      <c r="J5566" s="90">
        <v>14084</v>
      </c>
      <c r="K5566" s="85">
        <v>0</v>
      </c>
      <c r="L5566" s="85">
        <v>0</v>
      </c>
      <c r="M5566" s="85">
        <v>0</v>
      </c>
      <c r="N5566" s="82" t="s">
        <v>12464</v>
      </c>
      <c r="O5566" s="93">
        <v>45919.443229166667</v>
      </c>
    </row>
    <row r="5567" spans="1:15" ht="22.5" customHeight="1">
      <c r="A5567" s="85">
        <v>174904221976312</v>
      </c>
      <c r="B5567" s="82" t="s">
        <v>10651</v>
      </c>
      <c r="C5567" s="82" t="s">
        <v>12351</v>
      </c>
      <c r="D5567" s="82" t="s">
        <v>5339</v>
      </c>
      <c r="E5567" s="82">
        <v>6282220371971</v>
      </c>
      <c r="F5567" s="92">
        <v>45918</v>
      </c>
      <c r="G5567" s="87">
        <v>366</v>
      </c>
      <c r="H5567" s="88">
        <v>28808.463251670379</v>
      </c>
      <c r="I5567" s="89">
        <v>46</v>
      </c>
      <c r="J5567" s="90">
        <v>12935</v>
      </c>
      <c r="K5567" s="85">
        <v>16</v>
      </c>
      <c r="L5567" s="85">
        <v>0</v>
      </c>
      <c r="M5567" s="85">
        <v>1</v>
      </c>
      <c r="N5567" s="82" t="s">
        <v>12352</v>
      </c>
      <c r="O5567" s="93">
        <v>45919.65185185185</v>
      </c>
    </row>
    <row r="5568" spans="1:15" ht="22.5" customHeight="1">
      <c r="A5568" s="85">
        <v>174904221976312</v>
      </c>
      <c r="B5568" s="82" t="s">
        <v>10651</v>
      </c>
      <c r="C5568" s="82" t="s">
        <v>12353</v>
      </c>
      <c r="D5568" s="82" t="s">
        <v>12354</v>
      </c>
      <c r="E5568" s="82">
        <v>6281355662725</v>
      </c>
      <c r="F5568" s="92">
        <v>45918</v>
      </c>
      <c r="G5568" s="87">
        <v>264</v>
      </c>
      <c r="H5568" s="88">
        <v>37753.472222222219</v>
      </c>
      <c r="I5568" s="89">
        <v>9</v>
      </c>
      <c r="J5568" s="90">
        <v>10873</v>
      </c>
      <c r="K5568" s="85">
        <v>1</v>
      </c>
      <c r="L5568" s="85">
        <v>47</v>
      </c>
      <c r="M5568" s="85">
        <v>0</v>
      </c>
      <c r="N5568" s="82" t="s">
        <v>12494</v>
      </c>
      <c r="O5568" s="93">
        <v>45919.568599537037</v>
      </c>
    </row>
    <row r="5569" spans="1:15" ht="22.5" customHeight="1">
      <c r="A5569" s="85">
        <v>174904221976312</v>
      </c>
      <c r="B5569" s="82" t="s">
        <v>10651</v>
      </c>
      <c r="C5569" s="82" t="s">
        <v>12356</v>
      </c>
      <c r="D5569" s="82" t="s">
        <v>2202</v>
      </c>
      <c r="E5569" s="82">
        <v>62895374644456</v>
      </c>
      <c r="F5569" s="92">
        <v>45918</v>
      </c>
      <c r="G5569" s="87">
        <v>1209</v>
      </c>
      <c r="H5569" s="88">
        <v>11283.307810107199</v>
      </c>
      <c r="I5569" s="89">
        <v>42</v>
      </c>
      <c r="J5569" s="90">
        <v>14736</v>
      </c>
      <c r="K5569" s="85">
        <v>4</v>
      </c>
      <c r="L5569" s="85">
        <v>371</v>
      </c>
      <c r="M5569" s="85">
        <v>0</v>
      </c>
      <c r="N5569" s="82" t="s">
        <v>12357</v>
      </c>
      <c r="O5569" s="93">
        <v>45919.401446759257</v>
      </c>
    </row>
    <row r="5570" spans="1:15" ht="22.5" customHeight="1">
      <c r="A5570" s="85">
        <v>174904221976312</v>
      </c>
      <c r="B5570" s="82" t="s">
        <v>10651</v>
      </c>
      <c r="C5570" s="82" t="s">
        <v>12327</v>
      </c>
      <c r="D5570" s="82" t="s">
        <v>12328</v>
      </c>
      <c r="E5570" s="82">
        <v>6281249008778</v>
      </c>
      <c r="F5570" s="92">
        <v>45918</v>
      </c>
      <c r="G5570" s="87">
        <v>242</v>
      </c>
      <c r="H5570" s="88">
        <v>51608.208955223883</v>
      </c>
      <c r="I5570" s="89">
        <v>4</v>
      </c>
      <c r="J5570" s="90">
        <v>13831</v>
      </c>
      <c r="K5570" s="85">
        <v>1</v>
      </c>
      <c r="L5570" s="85">
        <v>0</v>
      </c>
      <c r="M5570" s="85">
        <v>0</v>
      </c>
      <c r="N5570" s="82" t="s">
        <v>12358</v>
      </c>
      <c r="O5570" s="93">
        <v>45919.359583333331</v>
      </c>
    </row>
    <row r="5571" spans="1:15" ht="22.5" customHeight="1">
      <c r="A5571" s="85">
        <v>174904221976312</v>
      </c>
      <c r="B5571" s="82" t="s">
        <v>10651</v>
      </c>
      <c r="C5571" s="82" t="s">
        <v>12279</v>
      </c>
      <c r="D5571" s="82" t="s">
        <v>11800</v>
      </c>
      <c r="E5571" s="82">
        <v>6285333751528</v>
      </c>
      <c r="F5571" s="92">
        <v>45918</v>
      </c>
      <c r="G5571" s="87">
        <v>115</v>
      </c>
      <c r="H5571" s="88">
        <v>103269.84126984127</v>
      </c>
      <c r="I5571" s="89">
        <v>0</v>
      </c>
      <c r="J5571" s="90">
        <v>13012</v>
      </c>
      <c r="K5571" s="85">
        <v>0</v>
      </c>
      <c r="L5571" s="85">
        <v>0</v>
      </c>
      <c r="M5571" s="85">
        <v>0</v>
      </c>
      <c r="N5571" s="82" t="s">
        <v>12337</v>
      </c>
      <c r="O5571" s="93">
        <v>45919.443518518521</v>
      </c>
    </row>
    <row r="5572" spans="1:15" ht="22.5" customHeight="1">
      <c r="A5572" s="85">
        <v>174904221976312</v>
      </c>
      <c r="B5572" s="82" t="s">
        <v>10651</v>
      </c>
      <c r="C5572" s="82" t="s">
        <v>12284</v>
      </c>
      <c r="D5572" s="82" t="s">
        <v>12285</v>
      </c>
      <c r="E5572" s="82">
        <v>6285921481643</v>
      </c>
      <c r="F5572" s="92">
        <v>45918</v>
      </c>
      <c r="G5572" s="87">
        <v>440</v>
      </c>
      <c r="H5572" s="88">
        <v>31589.494163424126</v>
      </c>
      <c r="I5572" s="89">
        <v>22</v>
      </c>
      <c r="J5572" s="90">
        <v>16237</v>
      </c>
      <c r="K5572" s="85">
        <v>1</v>
      </c>
      <c r="L5572" s="85">
        <v>0</v>
      </c>
      <c r="M5572" s="85">
        <v>0</v>
      </c>
      <c r="N5572" s="82" t="s">
        <v>12465</v>
      </c>
      <c r="O5572" s="93">
        <v>45919.65184027778</v>
      </c>
    </row>
    <row r="5573" spans="1:15" ht="22.5" customHeight="1">
      <c r="A5573" s="85">
        <v>174904221976312</v>
      </c>
      <c r="B5573" s="82" t="s">
        <v>10651</v>
      </c>
      <c r="C5573" s="82" t="s">
        <v>12269</v>
      </c>
      <c r="D5573" s="82" t="s">
        <v>12270</v>
      </c>
      <c r="E5573" s="82">
        <v>6282229433259</v>
      </c>
      <c r="F5573" s="92">
        <v>45918</v>
      </c>
      <c r="G5573" s="87">
        <v>464</v>
      </c>
      <c r="H5573" s="88">
        <v>63679.01234567901</v>
      </c>
      <c r="I5573" s="89">
        <v>22</v>
      </c>
      <c r="J5573" s="90">
        <v>30948</v>
      </c>
      <c r="K5573" s="85">
        <v>2</v>
      </c>
      <c r="L5573" s="85">
        <v>267</v>
      </c>
      <c r="M5573" s="85">
        <v>0</v>
      </c>
      <c r="N5573" s="82" t="s">
        <v>12339</v>
      </c>
      <c r="O5573" s="93">
        <v>45919.33902777778</v>
      </c>
    </row>
    <row r="5574" spans="1:15" ht="22.5" customHeight="1">
      <c r="A5574" s="85">
        <v>174904221976312</v>
      </c>
      <c r="B5574" s="82" t="s">
        <v>10651</v>
      </c>
      <c r="C5574" s="82" t="s">
        <v>12237</v>
      </c>
      <c r="D5574" s="82" t="s">
        <v>12238</v>
      </c>
      <c r="E5574" s="82">
        <v>6287888330007</v>
      </c>
      <c r="F5574" s="92">
        <v>45918</v>
      </c>
      <c r="G5574" s="87">
        <v>1005</v>
      </c>
      <c r="H5574" s="88">
        <v>14680.793507664563</v>
      </c>
      <c r="I5574" s="89">
        <v>36</v>
      </c>
      <c r="J5574" s="90">
        <v>16281</v>
      </c>
      <c r="K5574" s="85">
        <v>3</v>
      </c>
      <c r="L5574" s="85">
        <v>63</v>
      </c>
      <c r="M5574" s="85">
        <v>0</v>
      </c>
      <c r="N5574" s="82" t="s">
        <v>12495</v>
      </c>
      <c r="O5574" s="93">
        <v>45919.46398148148</v>
      </c>
    </row>
    <row r="5575" spans="1:15" ht="22.5" customHeight="1">
      <c r="A5575" s="85">
        <v>174904221976312</v>
      </c>
      <c r="B5575" s="82" t="s">
        <v>10651</v>
      </c>
      <c r="C5575" s="82" t="s">
        <v>12209</v>
      </c>
      <c r="D5575" s="82" t="s">
        <v>12210</v>
      </c>
      <c r="E5575" s="82">
        <v>6282217300224</v>
      </c>
      <c r="F5575" s="92">
        <v>45918</v>
      </c>
      <c r="G5575" s="87">
        <v>184</v>
      </c>
      <c r="H5575" s="88">
        <v>88308.080808080806</v>
      </c>
      <c r="I5575" s="89">
        <v>7</v>
      </c>
      <c r="J5575" s="90">
        <v>17485</v>
      </c>
      <c r="K5575" s="85">
        <v>1</v>
      </c>
      <c r="L5575" s="85">
        <v>0</v>
      </c>
      <c r="M5575" s="85">
        <v>0</v>
      </c>
      <c r="N5575" s="82" t="s">
        <v>12317</v>
      </c>
      <c r="O5575" s="93">
        <v>45919.443530092591</v>
      </c>
    </row>
    <row r="5576" spans="1:15" ht="22.5" customHeight="1">
      <c r="A5576" s="85">
        <v>174904221976312</v>
      </c>
      <c r="B5576" s="82" t="s">
        <v>10651</v>
      </c>
      <c r="C5576" s="82" t="s">
        <v>12171</v>
      </c>
      <c r="D5576" s="82" t="s">
        <v>4386</v>
      </c>
      <c r="E5576" s="82">
        <v>62818533354</v>
      </c>
      <c r="F5576" s="92">
        <v>45918</v>
      </c>
      <c r="G5576" s="87">
        <v>353</v>
      </c>
      <c r="H5576" s="88">
        <v>31503.529411764706</v>
      </c>
      <c r="I5576" s="89">
        <v>11</v>
      </c>
      <c r="J5576" s="90">
        <v>13389</v>
      </c>
      <c r="K5576" s="85">
        <v>0</v>
      </c>
      <c r="L5576" s="85">
        <v>0</v>
      </c>
      <c r="M5576" s="85">
        <v>0</v>
      </c>
      <c r="N5576" s="82" t="s">
        <v>12319</v>
      </c>
      <c r="O5576" s="93">
        <v>45919.484895833331</v>
      </c>
    </row>
    <row r="5577" spans="1:15" ht="22.5" customHeight="1">
      <c r="A5577" s="85">
        <v>174904221976312</v>
      </c>
      <c r="B5577" s="82" t="s">
        <v>10651</v>
      </c>
      <c r="C5577" s="82" t="s">
        <v>12122</v>
      </c>
      <c r="D5577" s="82" t="s">
        <v>12123</v>
      </c>
      <c r="E5577" s="82">
        <v>6285720705874</v>
      </c>
      <c r="F5577" s="92">
        <v>45918</v>
      </c>
      <c r="G5577" s="87">
        <v>1134</v>
      </c>
      <c r="H5577" s="88">
        <v>9873.0512249443218</v>
      </c>
      <c r="I5577" s="89">
        <v>31</v>
      </c>
      <c r="J5577" s="90">
        <v>13299</v>
      </c>
      <c r="K5577" s="85">
        <v>3</v>
      </c>
      <c r="L5577" s="85">
        <v>329</v>
      </c>
      <c r="M5577" s="85">
        <v>0</v>
      </c>
      <c r="N5577" s="82" t="s">
        <v>12472</v>
      </c>
      <c r="O5577" s="93">
        <v>45919.443229166667</v>
      </c>
    </row>
    <row r="5578" spans="1:15" ht="22.5" customHeight="1">
      <c r="A5578" s="85">
        <v>174904221976312</v>
      </c>
      <c r="B5578" s="82" t="s">
        <v>10651</v>
      </c>
      <c r="C5578" s="82" t="s">
        <v>12058</v>
      </c>
      <c r="D5578" s="82" t="s">
        <v>4516</v>
      </c>
      <c r="E5578" s="82">
        <v>6281315163838</v>
      </c>
      <c r="F5578" s="92">
        <v>45918</v>
      </c>
      <c r="G5578" s="87">
        <v>301</v>
      </c>
      <c r="H5578" s="88">
        <v>39724.928366762178</v>
      </c>
      <c r="I5578" s="89">
        <v>3</v>
      </c>
      <c r="J5578" s="90">
        <v>13864</v>
      </c>
      <c r="K5578" s="85">
        <v>0</v>
      </c>
      <c r="L5578" s="85">
        <v>0</v>
      </c>
      <c r="M5578" s="85">
        <v>0</v>
      </c>
      <c r="N5578" s="82" t="s">
        <v>12321</v>
      </c>
      <c r="O5578" s="93">
        <v>45919.46398148148</v>
      </c>
    </row>
    <row r="5579" spans="1:15" ht="22.5" customHeight="1">
      <c r="A5579" s="85">
        <v>174904221976312</v>
      </c>
      <c r="B5579" s="82" t="s">
        <v>10651</v>
      </c>
      <c r="C5579" s="82" t="s">
        <v>12039</v>
      </c>
      <c r="D5579" s="82" t="s">
        <v>12040</v>
      </c>
      <c r="E5579" s="82">
        <v>6281330410391</v>
      </c>
      <c r="F5579" s="92">
        <v>45918</v>
      </c>
      <c r="G5579" s="87">
        <v>628</v>
      </c>
      <c r="H5579" s="88">
        <v>19861.975642760488</v>
      </c>
      <c r="I5579" s="89">
        <v>52</v>
      </c>
      <c r="J5579" s="90">
        <v>14678</v>
      </c>
      <c r="K5579" s="85">
        <v>5</v>
      </c>
      <c r="L5579" s="85">
        <v>218</v>
      </c>
      <c r="M5579" s="85">
        <v>0</v>
      </c>
      <c r="N5579" s="82" t="s">
        <v>12435</v>
      </c>
      <c r="O5579" s="93">
        <v>45919.216435185182</v>
      </c>
    </row>
    <row r="5580" spans="1:15" ht="22.5" customHeight="1">
      <c r="A5580" s="85">
        <v>174904221976312</v>
      </c>
      <c r="B5580" s="82" t="s">
        <v>10651</v>
      </c>
      <c r="C5580" s="82" t="s">
        <v>12007</v>
      </c>
      <c r="D5580" s="82" t="s">
        <v>9010</v>
      </c>
      <c r="E5580" s="82">
        <v>6282160743576</v>
      </c>
      <c r="F5580" s="92">
        <v>45918</v>
      </c>
      <c r="G5580" s="87">
        <v>892</v>
      </c>
      <c r="H5580" s="88">
        <v>18295.116772823778</v>
      </c>
      <c r="I5580" s="89">
        <v>34</v>
      </c>
      <c r="J5580" s="90">
        <v>17234</v>
      </c>
      <c r="K5580" s="85">
        <v>2</v>
      </c>
      <c r="L5580" s="85">
        <v>344</v>
      </c>
      <c r="M5580" s="85">
        <v>0</v>
      </c>
      <c r="N5580" s="82" t="s">
        <v>12008</v>
      </c>
      <c r="O5580" s="93">
        <v>45919.380925925929</v>
      </c>
    </row>
    <row r="5581" spans="1:15" ht="22.5" customHeight="1">
      <c r="A5581" s="85">
        <v>174904221976312</v>
      </c>
      <c r="B5581" s="82" t="s">
        <v>10651</v>
      </c>
      <c r="C5581" s="82" t="s">
        <v>11769</v>
      </c>
      <c r="D5581" s="82" t="s">
        <v>3610</v>
      </c>
      <c r="E5581" s="82">
        <v>6285821233475</v>
      </c>
      <c r="F5581" s="92">
        <v>45918</v>
      </c>
      <c r="G5581" s="87">
        <v>1428</v>
      </c>
      <c r="H5581" s="88">
        <v>9850.8934072704869</v>
      </c>
      <c r="I5581" s="89">
        <v>70</v>
      </c>
      <c r="J5581" s="90">
        <v>15988</v>
      </c>
      <c r="K5581" s="85">
        <v>3</v>
      </c>
      <c r="L5581" s="85">
        <v>535</v>
      </c>
      <c r="M5581" s="85">
        <v>1</v>
      </c>
      <c r="N5581" s="82" t="s">
        <v>11770</v>
      </c>
      <c r="O5581" s="93">
        <v>45919.216423611113</v>
      </c>
    </row>
    <row r="5582" spans="1:15" ht="22.5" customHeight="1">
      <c r="A5582" s="85">
        <v>174904221976312</v>
      </c>
      <c r="B5582" s="82" t="s">
        <v>10651</v>
      </c>
      <c r="C5582" s="82" t="s">
        <v>11613</v>
      </c>
      <c r="D5582" s="82" t="s">
        <v>11614</v>
      </c>
      <c r="E5582" s="82">
        <v>6282186829904</v>
      </c>
      <c r="F5582" s="92">
        <v>45918</v>
      </c>
      <c r="G5582" s="87">
        <v>143</v>
      </c>
      <c r="H5582" s="88">
        <v>90050</v>
      </c>
      <c r="I5582" s="89">
        <v>7</v>
      </c>
      <c r="J5582" s="90">
        <v>14408</v>
      </c>
      <c r="K5582" s="85">
        <v>2</v>
      </c>
      <c r="L5582" s="85">
        <v>0</v>
      </c>
      <c r="M5582" s="85">
        <v>0</v>
      </c>
      <c r="N5582" s="82" t="s">
        <v>12466</v>
      </c>
      <c r="O5582" s="93">
        <v>45919.380925925929</v>
      </c>
    </row>
    <row r="5583" spans="1:15" ht="22.5" customHeight="1">
      <c r="A5583" s="85">
        <v>174904221976312</v>
      </c>
      <c r="B5583" s="82" t="s">
        <v>10651</v>
      </c>
      <c r="C5583" s="82" t="s">
        <v>11580</v>
      </c>
      <c r="D5583" s="82" t="s">
        <v>11581</v>
      </c>
      <c r="E5583" s="82">
        <v>6287790276733</v>
      </c>
      <c r="F5583" s="92">
        <v>45918</v>
      </c>
      <c r="G5583" s="87">
        <v>509</v>
      </c>
      <c r="H5583" s="88">
        <v>19137.285491419658</v>
      </c>
      <c r="I5583" s="89">
        <v>16</v>
      </c>
      <c r="J5583" s="90">
        <v>12267</v>
      </c>
      <c r="K5583" s="85">
        <v>1</v>
      </c>
      <c r="L5583" s="85">
        <v>128</v>
      </c>
      <c r="M5583" s="85">
        <v>0</v>
      </c>
      <c r="N5583" s="82" t="s">
        <v>12343</v>
      </c>
      <c r="O5583" s="93">
        <v>45919.485543981478</v>
      </c>
    </row>
    <row r="5584" spans="1:15" ht="22.5" customHeight="1">
      <c r="A5584" s="85">
        <v>174904221976312</v>
      </c>
      <c r="B5584" s="82" t="s">
        <v>10651</v>
      </c>
      <c r="C5584" s="82" t="s">
        <v>12496</v>
      </c>
      <c r="D5584" s="82" t="s">
        <v>12497</v>
      </c>
      <c r="E5584" s="82">
        <v>6285233857272</v>
      </c>
      <c r="F5584" s="92">
        <v>45919</v>
      </c>
      <c r="G5584" s="87">
        <v>568</v>
      </c>
      <c r="H5584" s="88">
        <v>19336.065573770491</v>
      </c>
      <c r="I5584" s="89">
        <v>19</v>
      </c>
      <c r="J5584" s="90">
        <v>11795</v>
      </c>
      <c r="K5584" s="85">
        <v>2</v>
      </c>
      <c r="L5584" s="85">
        <v>51</v>
      </c>
      <c r="M5584" s="85">
        <v>1</v>
      </c>
      <c r="N5584" s="82" t="s">
        <v>12498</v>
      </c>
      <c r="O5584" s="93">
        <v>45920.651620370372</v>
      </c>
    </row>
    <row r="5585" spans="1:15" ht="22.5" customHeight="1">
      <c r="A5585" s="85">
        <v>174904221976312</v>
      </c>
      <c r="B5585" s="82" t="s">
        <v>10651</v>
      </c>
      <c r="C5585" s="82" t="s">
        <v>12499</v>
      </c>
      <c r="D5585" s="82" t="s">
        <v>5802</v>
      </c>
      <c r="E5585" s="82">
        <v>6281220005953</v>
      </c>
      <c r="F5585" s="92">
        <v>45919</v>
      </c>
      <c r="G5585" s="87">
        <v>257</v>
      </c>
      <c r="H5585" s="88">
        <v>49882.352941176468</v>
      </c>
      <c r="I5585" s="89">
        <v>6</v>
      </c>
      <c r="J5585" s="90">
        <v>13568</v>
      </c>
      <c r="K5585" s="85">
        <v>0</v>
      </c>
      <c r="L5585" s="85">
        <v>5</v>
      </c>
      <c r="M5585" s="85">
        <v>1</v>
      </c>
      <c r="N5585" s="82" t="s">
        <v>12500</v>
      </c>
      <c r="O5585" s="93">
        <v>45920.58898148148</v>
      </c>
    </row>
    <row r="5586" spans="1:15" ht="22.5" customHeight="1">
      <c r="A5586" s="85">
        <v>174904221976312</v>
      </c>
      <c r="B5586" s="82" t="s">
        <v>10651</v>
      </c>
      <c r="C5586" s="82" t="s">
        <v>12501</v>
      </c>
      <c r="D5586" s="82" t="s">
        <v>5761</v>
      </c>
      <c r="E5586" s="82">
        <v>6281389082618</v>
      </c>
      <c r="F5586" s="92">
        <v>45919</v>
      </c>
      <c r="G5586" s="87">
        <v>148</v>
      </c>
      <c r="H5586" s="88">
        <v>78500</v>
      </c>
      <c r="I5586" s="89">
        <v>2</v>
      </c>
      <c r="J5586" s="90">
        <v>12089</v>
      </c>
      <c r="K5586" s="85">
        <v>0</v>
      </c>
      <c r="L5586" s="85">
        <v>9</v>
      </c>
      <c r="M5586" s="85">
        <v>0</v>
      </c>
      <c r="N5586" s="82" t="s">
        <v>12502</v>
      </c>
      <c r="O5586" s="93">
        <v>45920.505462962959</v>
      </c>
    </row>
    <row r="5587" spans="1:15" ht="22.5" customHeight="1">
      <c r="A5587" s="85">
        <v>174904221976312</v>
      </c>
      <c r="B5587" s="82" t="s">
        <v>10651</v>
      </c>
      <c r="C5587" s="82" t="s">
        <v>12486</v>
      </c>
      <c r="D5587" s="82" t="s">
        <v>12487</v>
      </c>
      <c r="E5587" s="82">
        <v>6281318819599</v>
      </c>
      <c r="F5587" s="92">
        <v>45919</v>
      </c>
      <c r="G5587" s="87">
        <v>527</v>
      </c>
      <c r="H5587" s="88">
        <v>24009.310986964618</v>
      </c>
      <c r="I5587" s="89">
        <v>10</v>
      </c>
      <c r="J5587" s="90">
        <v>12893</v>
      </c>
      <c r="K5587" s="85">
        <v>0</v>
      </c>
      <c r="L5587" s="85">
        <v>13</v>
      </c>
      <c r="M5587" s="85">
        <v>0</v>
      </c>
      <c r="N5587" s="82" t="s">
        <v>12488</v>
      </c>
      <c r="O5587" s="93">
        <v>45920.484652777777</v>
      </c>
    </row>
    <row r="5588" spans="1:15" ht="22.5" customHeight="1">
      <c r="A5588" s="85">
        <v>174904221976312</v>
      </c>
      <c r="B5588" s="82" t="s">
        <v>10651</v>
      </c>
      <c r="C5588" s="82" t="s">
        <v>12489</v>
      </c>
      <c r="D5588" s="82" t="s">
        <v>11483</v>
      </c>
      <c r="E5588" s="82">
        <v>6283107086952</v>
      </c>
      <c r="F5588" s="92">
        <v>45919</v>
      </c>
      <c r="G5588" s="87">
        <v>647</v>
      </c>
      <c r="H5588" s="88">
        <v>17442.857142857141</v>
      </c>
      <c r="I5588" s="89">
        <v>15</v>
      </c>
      <c r="J5588" s="90">
        <v>12210</v>
      </c>
      <c r="K5588" s="85">
        <v>2</v>
      </c>
      <c r="L5588" s="85">
        <v>55</v>
      </c>
      <c r="M5588" s="85">
        <v>1</v>
      </c>
      <c r="N5588" s="82" t="s">
        <v>12490</v>
      </c>
      <c r="O5588" s="93">
        <v>45920.484930555554</v>
      </c>
    </row>
    <row r="5589" spans="1:15" ht="22.5" customHeight="1">
      <c r="A5589" s="85">
        <v>174904221976312</v>
      </c>
      <c r="B5589" s="82" t="s">
        <v>10651</v>
      </c>
      <c r="C5589" s="82" t="s">
        <v>12473</v>
      </c>
      <c r="D5589" s="82" t="s">
        <v>12474</v>
      </c>
      <c r="E5589" s="82">
        <v>6282320232344</v>
      </c>
      <c r="F5589" s="92">
        <v>45919</v>
      </c>
      <c r="G5589" s="87">
        <v>10437</v>
      </c>
      <c r="H5589" s="88">
        <v>1232.569154982948</v>
      </c>
      <c r="I5589" s="89">
        <v>15</v>
      </c>
      <c r="J5589" s="90">
        <v>13011</v>
      </c>
      <c r="K5589" s="85">
        <v>0</v>
      </c>
      <c r="L5589" s="85">
        <v>416</v>
      </c>
      <c r="M5589" s="85">
        <v>0</v>
      </c>
      <c r="N5589" s="82" t="s">
        <v>12475</v>
      </c>
      <c r="O5589" s="93">
        <v>45920.567974537036</v>
      </c>
    </row>
    <row r="5590" spans="1:15" ht="22.5" customHeight="1">
      <c r="A5590" s="85">
        <v>174904221976312</v>
      </c>
      <c r="B5590" s="82" t="s">
        <v>10651</v>
      </c>
      <c r="C5590" s="82" t="s">
        <v>12476</v>
      </c>
      <c r="D5590" s="82" t="s">
        <v>9010</v>
      </c>
      <c r="E5590" s="82">
        <v>6281316122975</v>
      </c>
      <c r="F5590" s="92">
        <v>45919</v>
      </c>
      <c r="G5590" s="87">
        <v>546</v>
      </c>
      <c r="H5590" s="88">
        <v>22848.780487804877</v>
      </c>
      <c r="I5590" s="89">
        <v>13</v>
      </c>
      <c r="J5590" s="90">
        <v>14052</v>
      </c>
      <c r="K5590" s="85">
        <v>0</v>
      </c>
      <c r="L5590" s="85">
        <v>36</v>
      </c>
      <c r="M5590" s="85">
        <v>0</v>
      </c>
      <c r="N5590" s="82" t="s">
        <v>12477</v>
      </c>
      <c r="O5590" s="93">
        <v>45920.547465277778</v>
      </c>
    </row>
    <row r="5591" spans="1:15" ht="22.5" customHeight="1">
      <c r="A5591" s="85">
        <v>174904221976312</v>
      </c>
      <c r="B5591" s="82" t="s">
        <v>10651</v>
      </c>
      <c r="C5591" s="82" t="s">
        <v>12478</v>
      </c>
      <c r="D5591" s="82" t="s">
        <v>5677</v>
      </c>
      <c r="E5591" s="82">
        <v>6285255550388</v>
      </c>
      <c r="F5591" s="92">
        <v>45919</v>
      </c>
      <c r="G5591" s="87">
        <v>697</v>
      </c>
      <c r="H5591" s="88">
        <v>19461.428571428569</v>
      </c>
      <c r="I5591" s="89">
        <v>12</v>
      </c>
      <c r="J5591" s="90">
        <v>13623</v>
      </c>
      <c r="K5591" s="85">
        <v>1</v>
      </c>
      <c r="L5591" s="85">
        <v>0</v>
      </c>
      <c r="M5591" s="85">
        <v>0</v>
      </c>
      <c r="N5591" s="82" t="s">
        <v>12491</v>
      </c>
      <c r="O5591" s="93">
        <v>45920.463946759257</v>
      </c>
    </row>
    <row r="5592" spans="1:15" ht="22.5" customHeight="1">
      <c r="A5592" s="85">
        <v>174904221976312</v>
      </c>
      <c r="B5592" s="82" t="s">
        <v>10651</v>
      </c>
      <c r="C5592" s="82" t="s">
        <v>12480</v>
      </c>
      <c r="D5592" s="82" t="s">
        <v>5687</v>
      </c>
      <c r="E5592" s="82">
        <v>6281990022760</v>
      </c>
      <c r="F5592" s="92">
        <v>45919</v>
      </c>
      <c r="G5592" s="87">
        <v>344</v>
      </c>
      <c r="H5592" s="88">
        <v>35311.85567010309</v>
      </c>
      <c r="I5592" s="89">
        <v>11</v>
      </c>
      <c r="J5592" s="90">
        <v>13701</v>
      </c>
      <c r="K5592" s="85">
        <v>6</v>
      </c>
      <c r="L5592" s="85">
        <v>0</v>
      </c>
      <c r="M5592" s="85">
        <v>0</v>
      </c>
      <c r="N5592" s="82" t="s">
        <v>12481</v>
      </c>
      <c r="O5592" s="93">
        <v>45920.526817129627</v>
      </c>
    </row>
    <row r="5593" spans="1:15" ht="22.5" customHeight="1">
      <c r="A5593" s="85">
        <v>174904221976312</v>
      </c>
      <c r="B5593" s="82" t="s">
        <v>10651</v>
      </c>
      <c r="C5593" s="82" t="s">
        <v>12467</v>
      </c>
      <c r="D5593" s="82" t="s">
        <v>5668</v>
      </c>
      <c r="E5593" s="82">
        <v>6287777144455</v>
      </c>
      <c r="F5593" s="92">
        <v>45919</v>
      </c>
      <c r="G5593" s="87">
        <v>372</v>
      </c>
      <c r="H5593" s="88">
        <v>37098.280098280098</v>
      </c>
      <c r="I5593" s="89">
        <v>3</v>
      </c>
      <c r="J5593" s="90">
        <v>15099</v>
      </c>
      <c r="K5593" s="85">
        <v>0</v>
      </c>
      <c r="L5593" s="85">
        <v>0</v>
      </c>
      <c r="M5593" s="85">
        <v>0</v>
      </c>
      <c r="N5593" s="82" t="s">
        <v>12482</v>
      </c>
      <c r="O5593" s="93">
        <v>45920.297766203701</v>
      </c>
    </row>
    <row r="5594" spans="1:15" ht="22.5" customHeight="1">
      <c r="A5594" s="85">
        <v>174904221976312</v>
      </c>
      <c r="B5594" s="82" t="s">
        <v>10651</v>
      </c>
      <c r="C5594" s="82" t="s">
        <v>12469</v>
      </c>
      <c r="D5594" s="82" t="s">
        <v>12470</v>
      </c>
      <c r="E5594" s="82">
        <v>6287751068360</v>
      </c>
      <c r="F5594" s="92">
        <v>45919</v>
      </c>
      <c r="G5594" s="87">
        <v>478</v>
      </c>
      <c r="H5594" s="88">
        <v>28973.076923076926</v>
      </c>
      <c r="I5594" s="89">
        <v>8</v>
      </c>
      <c r="J5594" s="90">
        <v>15066</v>
      </c>
      <c r="K5594" s="85">
        <v>2</v>
      </c>
      <c r="L5594" s="85">
        <v>0</v>
      </c>
      <c r="M5594" s="85">
        <v>0</v>
      </c>
      <c r="N5594" s="82" t="s">
        <v>12492</v>
      </c>
      <c r="O5594" s="93">
        <v>45920.401238425926</v>
      </c>
    </row>
    <row r="5595" spans="1:15" ht="22.5" customHeight="1">
      <c r="A5595" s="85">
        <v>174904221976312</v>
      </c>
      <c r="B5595" s="82" t="s">
        <v>10651</v>
      </c>
      <c r="C5595" s="82" t="s">
        <v>12460</v>
      </c>
      <c r="D5595" s="82" t="s">
        <v>12461</v>
      </c>
      <c r="E5595" s="82">
        <v>6285357908485</v>
      </c>
      <c r="F5595" s="92">
        <v>45919</v>
      </c>
      <c r="G5595" s="87">
        <v>223</v>
      </c>
      <c r="H5595" s="88">
        <v>58323.770491803283</v>
      </c>
      <c r="I5595" s="89">
        <v>10</v>
      </c>
      <c r="J5595" s="90">
        <v>14231</v>
      </c>
      <c r="K5595" s="85">
        <v>5</v>
      </c>
      <c r="L5595" s="85">
        <v>0</v>
      </c>
      <c r="M5595" s="85">
        <v>0</v>
      </c>
      <c r="N5595" s="82" t="s">
        <v>12462</v>
      </c>
      <c r="O5595" s="93">
        <v>45920.401238425926</v>
      </c>
    </row>
    <row r="5596" spans="1:15" ht="22.5" customHeight="1">
      <c r="A5596" s="85">
        <v>174904221976312</v>
      </c>
      <c r="B5596" s="82" t="s">
        <v>10651</v>
      </c>
      <c r="C5596" s="82" t="s">
        <v>12449</v>
      </c>
      <c r="D5596" s="82" t="s">
        <v>11483</v>
      </c>
      <c r="E5596" s="82">
        <v>62817164567</v>
      </c>
      <c r="F5596" s="92">
        <v>45919</v>
      </c>
      <c r="G5596" s="87">
        <v>1203</v>
      </c>
      <c r="H5596" s="88">
        <v>15126.09736632083</v>
      </c>
      <c r="I5596" s="89">
        <v>16</v>
      </c>
      <c r="J5596" s="90">
        <v>18953</v>
      </c>
      <c r="K5596" s="85">
        <v>0</v>
      </c>
      <c r="L5596" s="85">
        <v>437</v>
      </c>
      <c r="M5596" s="85">
        <v>0</v>
      </c>
      <c r="N5596" s="82" t="s">
        <v>12450</v>
      </c>
      <c r="O5596" s="93">
        <v>45920.217974537038</v>
      </c>
    </row>
    <row r="5597" spans="1:15" ht="22.5" customHeight="1">
      <c r="A5597" s="85">
        <v>174904221976312</v>
      </c>
      <c r="B5597" s="82" t="s">
        <v>10651</v>
      </c>
      <c r="C5597" s="82" t="s">
        <v>12451</v>
      </c>
      <c r="D5597" s="82" t="s">
        <v>12452</v>
      </c>
      <c r="E5597" s="82">
        <v>6281224628935</v>
      </c>
      <c r="F5597" s="92">
        <v>45919</v>
      </c>
      <c r="G5597" s="87">
        <v>498</v>
      </c>
      <c r="H5597" s="88">
        <v>29129.158512720158</v>
      </c>
      <c r="I5597" s="89">
        <v>2</v>
      </c>
      <c r="J5597" s="90">
        <v>14885</v>
      </c>
      <c r="K5597" s="85">
        <v>0</v>
      </c>
      <c r="L5597" s="85">
        <v>0</v>
      </c>
      <c r="M5597" s="85">
        <v>0</v>
      </c>
      <c r="N5597" s="82" t="s">
        <v>12483</v>
      </c>
      <c r="O5597" s="93">
        <v>45920.217974537038</v>
      </c>
    </row>
    <row r="5598" spans="1:15" ht="22.5" customHeight="1">
      <c r="A5598" s="85">
        <v>174904221976312</v>
      </c>
      <c r="B5598" s="82" t="s">
        <v>10651</v>
      </c>
      <c r="C5598" s="82" t="s">
        <v>12454</v>
      </c>
      <c r="D5598" s="82" t="s">
        <v>5522</v>
      </c>
      <c r="E5598" s="82">
        <v>6287822292311</v>
      </c>
      <c r="F5598" s="92">
        <v>45919</v>
      </c>
      <c r="G5598" s="87">
        <v>377</v>
      </c>
      <c r="H5598" s="88">
        <v>34180.722891566264</v>
      </c>
      <c r="I5598" s="89">
        <v>10</v>
      </c>
      <c r="J5598" s="90">
        <v>14185</v>
      </c>
      <c r="K5598" s="85">
        <v>1</v>
      </c>
      <c r="L5598" s="85">
        <v>170</v>
      </c>
      <c r="M5598" s="85">
        <v>0</v>
      </c>
      <c r="N5598" s="82" t="s">
        <v>12484</v>
      </c>
      <c r="O5598" s="93">
        <v>45920.277384259258</v>
      </c>
    </row>
    <row r="5599" spans="1:15" ht="22.5" customHeight="1">
      <c r="A5599" s="85">
        <v>174904221976312</v>
      </c>
      <c r="B5599" s="82" t="s">
        <v>10651</v>
      </c>
      <c r="C5599" s="82" t="s">
        <v>12456</v>
      </c>
      <c r="D5599" s="82" t="s">
        <v>11483</v>
      </c>
      <c r="E5599" s="82">
        <v>6285255115894</v>
      </c>
      <c r="F5599" s="92">
        <v>45919</v>
      </c>
      <c r="G5599" s="87">
        <v>631</v>
      </c>
      <c r="H5599" s="88">
        <v>30197.204968944101</v>
      </c>
      <c r="I5599" s="89">
        <v>8</v>
      </c>
      <c r="J5599" s="90">
        <v>19447</v>
      </c>
      <c r="K5599" s="85">
        <v>0</v>
      </c>
      <c r="L5599" s="85">
        <v>221</v>
      </c>
      <c r="M5599" s="85">
        <v>0</v>
      </c>
      <c r="N5599" s="82" t="s">
        <v>12457</v>
      </c>
      <c r="O5599" s="93">
        <v>45920.217974537038</v>
      </c>
    </row>
    <row r="5600" spans="1:15" ht="22.5" customHeight="1">
      <c r="A5600" s="85">
        <v>174904221976312</v>
      </c>
      <c r="B5600" s="82" t="s">
        <v>10651</v>
      </c>
      <c r="C5600" s="82" t="s">
        <v>12458</v>
      </c>
      <c r="D5600" s="82" t="s">
        <v>5515</v>
      </c>
      <c r="E5600" s="82">
        <v>6285245301996</v>
      </c>
      <c r="F5600" s="92">
        <v>45919</v>
      </c>
      <c r="G5600" s="87">
        <v>1079</v>
      </c>
      <c r="H5600" s="88">
        <v>13232.53903040263</v>
      </c>
      <c r="I5600" s="89">
        <v>13</v>
      </c>
      <c r="J5600" s="90">
        <v>16104</v>
      </c>
      <c r="K5600" s="85">
        <v>0</v>
      </c>
      <c r="L5600" s="85">
        <v>0</v>
      </c>
      <c r="M5600" s="85">
        <v>0</v>
      </c>
      <c r="N5600" s="82" t="s">
        <v>12485</v>
      </c>
      <c r="O5600" s="93">
        <v>45920.318194444444</v>
      </c>
    </row>
    <row r="5601" spans="1:15" ht="22.5" customHeight="1">
      <c r="A5601" s="85">
        <v>174904221976312</v>
      </c>
      <c r="B5601" s="82" t="s">
        <v>10651</v>
      </c>
      <c r="C5601" s="82" t="s">
        <v>12436</v>
      </c>
      <c r="D5601" s="82" t="s">
        <v>5483</v>
      </c>
      <c r="E5601" s="82">
        <v>6282225676438</v>
      </c>
      <c r="F5601" s="92">
        <v>45919</v>
      </c>
      <c r="G5601" s="87">
        <v>251</v>
      </c>
      <c r="H5601" s="88">
        <v>56257.692307692312</v>
      </c>
      <c r="I5601" s="89">
        <v>4</v>
      </c>
      <c r="J5601" s="90">
        <v>14627</v>
      </c>
      <c r="K5601" s="85">
        <v>0</v>
      </c>
      <c r="L5601" s="85">
        <v>110</v>
      </c>
      <c r="M5601" s="85">
        <v>0</v>
      </c>
      <c r="N5601" s="82" t="s">
        <v>12493</v>
      </c>
      <c r="O5601" s="93">
        <v>45920.38076388889</v>
      </c>
    </row>
    <row r="5602" spans="1:15" ht="22.5" customHeight="1">
      <c r="A5602" s="85">
        <v>174904221976312</v>
      </c>
      <c r="B5602" s="82" t="s">
        <v>10651</v>
      </c>
      <c r="C5602" s="82" t="s">
        <v>12348</v>
      </c>
      <c r="D5602" s="82" t="s">
        <v>12349</v>
      </c>
      <c r="E5602" s="82">
        <v>6281348215665</v>
      </c>
      <c r="F5602" s="92">
        <v>45919</v>
      </c>
      <c r="G5602" s="87">
        <v>1085</v>
      </c>
      <c r="H5602" s="88">
        <v>15876.424189307625</v>
      </c>
      <c r="I5602" s="89">
        <v>15</v>
      </c>
      <c r="J5602" s="90">
        <v>18115</v>
      </c>
      <c r="K5602" s="85">
        <v>0</v>
      </c>
      <c r="L5602" s="85">
        <v>0</v>
      </c>
      <c r="M5602" s="85">
        <v>0</v>
      </c>
      <c r="N5602" s="82" t="s">
        <v>12464</v>
      </c>
      <c r="O5602" s="93">
        <v>45920.401250000003</v>
      </c>
    </row>
    <row r="5603" spans="1:15" ht="22.5" customHeight="1">
      <c r="A5603" s="85">
        <v>174904221976312</v>
      </c>
      <c r="B5603" s="82" t="s">
        <v>10651</v>
      </c>
      <c r="C5603" s="82" t="s">
        <v>12351</v>
      </c>
      <c r="D5603" s="82" t="s">
        <v>5339</v>
      </c>
      <c r="E5603" s="82">
        <v>6282220371971</v>
      </c>
      <c r="F5603" s="92">
        <v>45919</v>
      </c>
      <c r="G5603" s="87">
        <v>420</v>
      </c>
      <c r="H5603" s="88">
        <v>27977.035490605427</v>
      </c>
      <c r="I5603" s="89">
        <v>29</v>
      </c>
      <c r="J5603" s="90">
        <v>13401</v>
      </c>
      <c r="K5603" s="85">
        <v>6</v>
      </c>
      <c r="L5603" s="85">
        <v>17</v>
      </c>
      <c r="M5603" s="85">
        <v>0</v>
      </c>
      <c r="N5603" s="82" t="s">
        <v>12352</v>
      </c>
      <c r="O5603" s="93">
        <v>45920.422233796293</v>
      </c>
    </row>
    <row r="5604" spans="1:15" ht="22.5" customHeight="1">
      <c r="A5604" s="85">
        <v>174904221976312</v>
      </c>
      <c r="B5604" s="82" t="s">
        <v>10651</v>
      </c>
      <c r="C5604" s="82" t="s">
        <v>12353</v>
      </c>
      <c r="D5604" s="82" t="s">
        <v>12354</v>
      </c>
      <c r="E5604" s="82">
        <v>6281355662725</v>
      </c>
      <c r="F5604" s="92">
        <v>45919</v>
      </c>
      <c r="G5604" s="87">
        <v>592</v>
      </c>
      <c r="H5604" s="88">
        <v>21944</v>
      </c>
      <c r="I5604" s="89">
        <v>11</v>
      </c>
      <c r="J5604" s="90">
        <v>13715</v>
      </c>
      <c r="K5604" s="85">
        <v>1</v>
      </c>
      <c r="L5604" s="85">
        <v>0</v>
      </c>
      <c r="M5604" s="85">
        <v>0</v>
      </c>
      <c r="N5604" s="82" t="s">
        <v>12494</v>
      </c>
      <c r="O5604" s="93">
        <v>45920.318194444444</v>
      </c>
    </row>
    <row r="5605" spans="1:15" ht="22.5" customHeight="1">
      <c r="A5605" s="85">
        <v>174904221976312</v>
      </c>
      <c r="B5605" s="82" t="s">
        <v>10651</v>
      </c>
      <c r="C5605" s="82" t="s">
        <v>12356</v>
      </c>
      <c r="D5605" s="82" t="s">
        <v>2202</v>
      </c>
      <c r="E5605" s="82">
        <v>62895374644456</v>
      </c>
      <c r="F5605" s="92">
        <v>45919</v>
      </c>
      <c r="G5605" s="87">
        <v>577</v>
      </c>
      <c r="H5605" s="88">
        <v>22725.363489499192</v>
      </c>
      <c r="I5605" s="89">
        <v>26</v>
      </c>
      <c r="J5605" s="90">
        <v>14067</v>
      </c>
      <c r="K5605" s="85">
        <v>6</v>
      </c>
      <c r="L5605" s="85">
        <v>270</v>
      </c>
      <c r="M5605" s="85">
        <v>0</v>
      </c>
      <c r="N5605" s="82" t="s">
        <v>12357</v>
      </c>
      <c r="O5605" s="93">
        <v>45920.443819444445</v>
      </c>
    </row>
    <row r="5606" spans="1:15" ht="22.5" customHeight="1">
      <c r="A5606" s="85">
        <v>174904221976312</v>
      </c>
      <c r="B5606" s="82" t="s">
        <v>10651</v>
      </c>
      <c r="C5606" s="82" t="s">
        <v>12327</v>
      </c>
      <c r="D5606" s="82" t="s">
        <v>12328</v>
      </c>
      <c r="E5606" s="82">
        <v>6281249008778</v>
      </c>
      <c r="F5606" s="92">
        <v>45919</v>
      </c>
      <c r="G5606" s="87">
        <v>445</v>
      </c>
      <c r="H5606" s="88">
        <v>38141.327623126337</v>
      </c>
      <c r="I5606" s="89">
        <v>13</v>
      </c>
      <c r="J5606" s="90">
        <v>17812</v>
      </c>
      <c r="K5606" s="85">
        <v>2</v>
      </c>
      <c r="L5606" s="85">
        <v>0</v>
      </c>
      <c r="M5606" s="85">
        <v>0</v>
      </c>
      <c r="N5606" s="82" t="s">
        <v>12358</v>
      </c>
      <c r="O5606" s="93">
        <v>45920.217962962961</v>
      </c>
    </row>
    <row r="5607" spans="1:15" ht="22.5" customHeight="1">
      <c r="A5607" s="85">
        <v>174904221976312</v>
      </c>
      <c r="B5607" s="82" t="s">
        <v>10651</v>
      </c>
      <c r="C5607" s="82" t="s">
        <v>12279</v>
      </c>
      <c r="D5607" s="82" t="s">
        <v>11800</v>
      </c>
      <c r="E5607" s="82">
        <v>6285333751528</v>
      </c>
      <c r="F5607" s="92">
        <v>45919</v>
      </c>
      <c r="G5607" s="87">
        <v>271</v>
      </c>
      <c r="H5607" s="88">
        <v>56295.774647887323</v>
      </c>
      <c r="I5607" s="89">
        <v>8</v>
      </c>
      <c r="J5607" s="90">
        <v>15988</v>
      </c>
      <c r="K5607" s="85">
        <v>1</v>
      </c>
      <c r="L5607" s="85">
        <v>0</v>
      </c>
      <c r="M5607" s="85">
        <v>0</v>
      </c>
      <c r="N5607" s="82" t="s">
        <v>12337</v>
      </c>
      <c r="O5607" s="93">
        <v>45920.422430555554</v>
      </c>
    </row>
    <row r="5608" spans="1:15" ht="22.5" customHeight="1">
      <c r="A5608" s="85">
        <v>174904221976312</v>
      </c>
      <c r="B5608" s="82" t="s">
        <v>10651</v>
      </c>
      <c r="C5608" s="82" t="s">
        <v>12284</v>
      </c>
      <c r="D5608" s="82" t="s">
        <v>12285</v>
      </c>
      <c r="E5608" s="82">
        <v>6285921481643</v>
      </c>
      <c r="F5608" s="92">
        <v>45919</v>
      </c>
      <c r="G5608" s="87">
        <v>520</v>
      </c>
      <c r="H5608" s="88">
        <v>31346.358792184725</v>
      </c>
      <c r="I5608" s="89">
        <v>9</v>
      </c>
      <c r="J5608" s="90">
        <v>17648</v>
      </c>
      <c r="K5608" s="85">
        <v>0</v>
      </c>
      <c r="L5608" s="85">
        <v>0</v>
      </c>
      <c r="M5608" s="85">
        <v>0</v>
      </c>
      <c r="N5608" s="82" t="s">
        <v>12465</v>
      </c>
      <c r="O5608" s="93">
        <v>45920.276990740742</v>
      </c>
    </row>
    <row r="5609" spans="1:15" ht="22.5" customHeight="1">
      <c r="A5609" s="85">
        <v>174904221976312</v>
      </c>
      <c r="B5609" s="82" t="s">
        <v>10651</v>
      </c>
      <c r="C5609" s="82" t="s">
        <v>12269</v>
      </c>
      <c r="D5609" s="82" t="s">
        <v>12270</v>
      </c>
      <c r="E5609" s="82">
        <v>6282229433259</v>
      </c>
      <c r="F5609" s="92">
        <v>45919</v>
      </c>
      <c r="G5609" s="87">
        <v>402</v>
      </c>
      <c r="H5609" s="88">
        <v>46608.801955990224</v>
      </c>
      <c r="I5609" s="89">
        <v>13</v>
      </c>
      <c r="J5609" s="90">
        <v>19063</v>
      </c>
      <c r="K5609" s="85">
        <v>0</v>
      </c>
      <c r="L5609" s="85">
        <v>178</v>
      </c>
      <c r="M5609" s="85">
        <v>0</v>
      </c>
      <c r="N5609" s="82" t="s">
        <v>12339</v>
      </c>
      <c r="O5609" s="93">
        <v>45920.298113425924</v>
      </c>
    </row>
    <row r="5610" spans="1:15" ht="22.5" customHeight="1">
      <c r="A5610" s="85">
        <v>174904221976312</v>
      </c>
      <c r="B5610" s="82" t="s">
        <v>10651</v>
      </c>
      <c r="C5610" s="82" t="s">
        <v>12237</v>
      </c>
      <c r="D5610" s="82" t="s">
        <v>12238</v>
      </c>
      <c r="E5610" s="82">
        <v>6287888330007</v>
      </c>
      <c r="F5610" s="92">
        <v>45919</v>
      </c>
      <c r="G5610" s="87">
        <v>778</v>
      </c>
      <c r="H5610" s="88">
        <v>16922.107674684994</v>
      </c>
      <c r="I5610" s="89">
        <v>38</v>
      </c>
      <c r="J5610" s="90">
        <v>14773</v>
      </c>
      <c r="K5610" s="85">
        <v>4</v>
      </c>
      <c r="L5610" s="85">
        <v>253</v>
      </c>
      <c r="M5610" s="85">
        <v>1</v>
      </c>
      <c r="N5610" s="82" t="s">
        <v>12495</v>
      </c>
      <c r="O5610" s="93">
        <v>45920.505462962959</v>
      </c>
    </row>
    <row r="5611" spans="1:15" ht="22.5" customHeight="1">
      <c r="A5611" s="85">
        <v>174904221976312</v>
      </c>
      <c r="B5611" s="82" t="s">
        <v>10651</v>
      </c>
      <c r="C5611" s="82" t="s">
        <v>12209</v>
      </c>
      <c r="D5611" s="82" t="s">
        <v>12210</v>
      </c>
      <c r="E5611" s="82">
        <v>6282217300224</v>
      </c>
      <c r="F5611" s="92">
        <v>45919</v>
      </c>
      <c r="G5611" s="87">
        <v>112</v>
      </c>
      <c r="H5611" s="88">
        <v>113129.31034482759</v>
      </c>
      <c r="I5611" s="89">
        <v>1</v>
      </c>
      <c r="J5611" s="90">
        <v>13123</v>
      </c>
      <c r="K5611" s="85">
        <v>1</v>
      </c>
      <c r="L5611" s="85">
        <v>0</v>
      </c>
      <c r="M5611" s="85">
        <v>0</v>
      </c>
      <c r="N5611" s="82" t="s">
        <v>12317</v>
      </c>
      <c r="O5611" s="93">
        <v>45920.255578703705</v>
      </c>
    </row>
    <row r="5612" spans="1:15" ht="22.5" customHeight="1">
      <c r="A5612" s="85">
        <v>174904221976312</v>
      </c>
      <c r="B5612" s="82" t="s">
        <v>10651</v>
      </c>
      <c r="C5612" s="82" t="s">
        <v>12171</v>
      </c>
      <c r="D5612" s="82" t="s">
        <v>4386</v>
      </c>
      <c r="E5612" s="82">
        <v>62818533354</v>
      </c>
      <c r="F5612" s="92">
        <v>45919</v>
      </c>
      <c r="G5612" s="87">
        <v>390</v>
      </c>
      <c r="H5612" s="88">
        <v>35607.798165137618</v>
      </c>
      <c r="I5612" s="89">
        <v>11</v>
      </c>
      <c r="J5612" s="90">
        <v>15525</v>
      </c>
      <c r="K5612" s="85">
        <v>1</v>
      </c>
      <c r="L5612" s="85">
        <v>0</v>
      </c>
      <c r="M5612" s="85">
        <v>1</v>
      </c>
      <c r="N5612" s="82" t="s">
        <v>12319</v>
      </c>
      <c r="O5612" s="93">
        <v>45920.42224537037</v>
      </c>
    </row>
    <row r="5613" spans="1:15" ht="22.5" customHeight="1">
      <c r="A5613" s="85">
        <v>174904221976312</v>
      </c>
      <c r="B5613" s="82" t="s">
        <v>10651</v>
      </c>
      <c r="C5613" s="82" t="s">
        <v>12122</v>
      </c>
      <c r="D5613" s="82" t="s">
        <v>12123</v>
      </c>
      <c r="E5613" s="82">
        <v>6285720705874</v>
      </c>
      <c r="F5613" s="92">
        <v>45919</v>
      </c>
      <c r="G5613" s="87">
        <v>1343</v>
      </c>
      <c r="H5613" s="88">
        <v>10242.444593687038</v>
      </c>
      <c r="I5613" s="89">
        <v>38</v>
      </c>
      <c r="J5613" s="90">
        <v>15251</v>
      </c>
      <c r="K5613" s="85">
        <v>2</v>
      </c>
      <c r="L5613" s="85">
        <v>478</v>
      </c>
      <c r="M5613" s="85">
        <v>3</v>
      </c>
      <c r="N5613" s="82" t="s">
        <v>12472</v>
      </c>
      <c r="O5613" s="93">
        <v>45920.443541666667</v>
      </c>
    </row>
    <row r="5614" spans="1:15" ht="22.5" customHeight="1">
      <c r="A5614" s="85">
        <v>174904221976312</v>
      </c>
      <c r="B5614" s="82" t="s">
        <v>10651</v>
      </c>
      <c r="C5614" s="82" t="s">
        <v>12058</v>
      </c>
      <c r="D5614" s="82" t="s">
        <v>4516</v>
      </c>
      <c r="E5614" s="82">
        <v>6281315163838</v>
      </c>
      <c r="F5614" s="92">
        <v>45919</v>
      </c>
      <c r="G5614" s="87">
        <v>392</v>
      </c>
      <c r="H5614" s="88">
        <v>36545.454545454544</v>
      </c>
      <c r="I5614" s="89">
        <v>9</v>
      </c>
      <c r="J5614" s="90">
        <v>15276</v>
      </c>
      <c r="K5614" s="85">
        <v>0</v>
      </c>
      <c r="L5614" s="85">
        <v>0</v>
      </c>
      <c r="M5614" s="85">
        <v>0</v>
      </c>
      <c r="N5614" s="82" t="s">
        <v>12321</v>
      </c>
      <c r="O5614" s="93">
        <v>45920.380995370368</v>
      </c>
    </row>
    <row r="5615" spans="1:15" ht="22.5" customHeight="1">
      <c r="A5615" s="85">
        <v>174904221976312</v>
      </c>
      <c r="B5615" s="82" t="s">
        <v>10651</v>
      </c>
      <c r="C5615" s="82" t="s">
        <v>12007</v>
      </c>
      <c r="D5615" s="82" t="s">
        <v>9010</v>
      </c>
      <c r="E5615" s="82">
        <v>6282160743576</v>
      </c>
      <c r="F5615" s="92">
        <v>45919</v>
      </c>
      <c r="G5615" s="87">
        <v>692</v>
      </c>
      <c r="H5615" s="88">
        <v>23814.147018030515</v>
      </c>
      <c r="I5615" s="89">
        <v>16</v>
      </c>
      <c r="J5615" s="90">
        <v>17170</v>
      </c>
      <c r="K5615" s="85">
        <v>0</v>
      </c>
      <c r="L5615" s="85">
        <v>0</v>
      </c>
      <c r="M5615" s="85">
        <v>0</v>
      </c>
      <c r="N5615" s="82" t="s">
        <v>12008</v>
      </c>
      <c r="O5615" s="93">
        <v>45920.217974537038</v>
      </c>
    </row>
    <row r="5616" spans="1:15" ht="22.5" customHeight="1">
      <c r="A5616" s="85">
        <v>174904221976312</v>
      </c>
      <c r="B5616" s="82" t="s">
        <v>10651</v>
      </c>
      <c r="C5616" s="82" t="s">
        <v>11613</v>
      </c>
      <c r="D5616" s="82" t="s">
        <v>11614</v>
      </c>
      <c r="E5616" s="82">
        <v>6282186829904</v>
      </c>
      <c r="F5616" s="92">
        <v>45919</v>
      </c>
      <c r="G5616" s="87">
        <v>206</v>
      </c>
      <c r="H5616" s="88">
        <v>82986.238532110088</v>
      </c>
      <c r="I5616" s="89">
        <v>3</v>
      </c>
      <c r="J5616" s="90">
        <v>18091</v>
      </c>
      <c r="K5616" s="85">
        <v>1</v>
      </c>
      <c r="L5616" s="85">
        <v>0</v>
      </c>
      <c r="M5616" s="85">
        <v>0</v>
      </c>
      <c r="N5616" s="82" t="s">
        <v>12466</v>
      </c>
      <c r="O5616" s="93">
        <v>45920.401493055557</v>
      </c>
    </row>
    <row r="5617" spans="1:15" ht="22.5" customHeight="1">
      <c r="A5617" s="85">
        <v>174904221976312</v>
      </c>
      <c r="B5617" s="82" t="s">
        <v>10651</v>
      </c>
      <c r="C5617" s="82" t="s">
        <v>11580</v>
      </c>
      <c r="D5617" s="82" t="s">
        <v>11581</v>
      </c>
      <c r="E5617" s="82">
        <v>6287790276733</v>
      </c>
      <c r="F5617" s="92">
        <v>45919</v>
      </c>
      <c r="G5617" s="87">
        <v>511</v>
      </c>
      <c r="H5617" s="88">
        <v>19170.247933884297</v>
      </c>
      <c r="I5617" s="89">
        <v>23</v>
      </c>
      <c r="J5617" s="90">
        <v>11598</v>
      </c>
      <c r="K5617" s="85">
        <v>1</v>
      </c>
      <c r="L5617" s="85">
        <v>125</v>
      </c>
      <c r="M5617" s="85">
        <v>0</v>
      </c>
      <c r="N5617" s="82" t="s">
        <v>12343</v>
      </c>
      <c r="O5617" s="93">
        <v>45920.443553240744</v>
      </c>
    </row>
    <row r="5618" spans="1:15" ht="22.5" customHeight="1">
      <c r="A5618" s="85">
        <v>174904221976312</v>
      </c>
      <c r="B5618" s="82" t="s">
        <v>10651</v>
      </c>
      <c r="C5618" s="82" t="s">
        <v>11193</v>
      </c>
      <c r="D5618" s="82" t="s">
        <v>11194</v>
      </c>
      <c r="E5618" s="82">
        <v>6281779578317</v>
      </c>
      <c r="F5618" s="92">
        <v>45919</v>
      </c>
      <c r="G5618" s="87">
        <v>1058</v>
      </c>
      <c r="H5618" s="88">
        <v>9331.1948676824377</v>
      </c>
      <c r="I5618" s="89">
        <v>48</v>
      </c>
      <c r="J5618" s="90">
        <v>11636</v>
      </c>
      <c r="K5618" s="85">
        <v>1</v>
      </c>
      <c r="L5618" s="85">
        <v>306</v>
      </c>
      <c r="M5618" s="85">
        <v>1</v>
      </c>
      <c r="N5618" s="82" t="s">
        <v>11195</v>
      </c>
      <c r="O5618" s="93">
        <v>45920.443541666667</v>
      </c>
    </row>
    <row r="5619" spans="1:15" ht="22.5" customHeight="1">
      <c r="A5619" s="85">
        <v>174904221976312</v>
      </c>
      <c r="B5619" s="82" t="s">
        <v>10651</v>
      </c>
      <c r="C5619" s="82" t="s">
        <v>12503</v>
      </c>
      <c r="D5619" s="82" t="s">
        <v>12504</v>
      </c>
      <c r="E5619" s="82">
        <v>6282311906512</v>
      </c>
      <c r="F5619" s="92">
        <v>45920</v>
      </c>
      <c r="G5619" s="87">
        <v>617</v>
      </c>
      <c r="H5619" s="88">
        <v>17669.354838709674</v>
      </c>
      <c r="I5619" s="89">
        <v>13</v>
      </c>
      <c r="J5619" s="90">
        <v>13146</v>
      </c>
      <c r="K5619" s="85">
        <v>0</v>
      </c>
      <c r="L5619" s="85">
        <v>38</v>
      </c>
      <c r="M5619" s="85">
        <v>0</v>
      </c>
      <c r="N5619" s="82" t="s">
        <v>12505</v>
      </c>
      <c r="O5619" s="93">
        <v>45921.65152777778</v>
      </c>
    </row>
    <row r="5620" spans="1:15" ht="22.5" customHeight="1">
      <c r="A5620" s="85">
        <v>174904221976312</v>
      </c>
      <c r="B5620" s="82" t="s">
        <v>10651</v>
      </c>
      <c r="C5620" s="82" t="s">
        <v>12496</v>
      </c>
      <c r="D5620" s="82" t="s">
        <v>12497</v>
      </c>
      <c r="E5620" s="82">
        <v>6285233857272</v>
      </c>
      <c r="F5620" s="92">
        <v>45920</v>
      </c>
      <c r="G5620" s="87">
        <v>749</v>
      </c>
      <c r="H5620" s="88">
        <v>15884.023668639053</v>
      </c>
      <c r="I5620" s="89">
        <v>28</v>
      </c>
      <c r="J5620" s="90">
        <v>13422</v>
      </c>
      <c r="K5620" s="85">
        <v>3</v>
      </c>
      <c r="L5620" s="85">
        <v>80</v>
      </c>
      <c r="M5620" s="85">
        <v>0</v>
      </c>
      <c r="N5620" s="82" t="s">
        <v>12498</v>
      </c>
      <c r="O5620" s="93">
        <v>45921.651539351849</v>
      </c>
    </row>
    <row r="5621" spans="1:15" ht="22.5" customHeight="1">
      <c r="A5621" s="85">
        <v>174904221976312</v>
      </c>
      <c r="B5621" s="82" t="s">
        <v>10651</v>
      </c>
      <c r="C5621" s="82" t="s">
        <v>12499</v>
      </c>
      <c r="D5621" s="82" t="s">
        <v>5802</v>
      </c>
      <c r="E5621" s="82">
        <v>6281220005953</v>
      </c>
      <c r="F5621" s="92">
        <v>45920</v>
      </c>
      <c r="G5621" s="87">
        <v>627</v>
      </c>
      <c r="H5621" s="88">
        <v>15822.320117474303</v>
      </c>
      <c r="I5621" s="89">
        <v>7</v>
      </c>
      <c r="J5621" s="90">
        <v>10775</v>
      </c>
      <c r="K5621" s="85">
        <v>1</v>
      </c>
      <c r="L5621" s="85">
        <v>2</v>
      </c>
      <c r="M5621" s="85">
        <v>0</v>
      </c>
      <c r="N5621" s="82" t="s">
        <v>12506</v>
      </c>
      <c r="O5621" s="93">
        <v>45921.672650462962</v>
      </c>
    </row>
    <row r="5622" spans="1:15" ht="22.5" customHeight="1">
      <c r="A5622" s="85">
        <v>174904221976312</v>
      </c>
      <c r="B5622" s="82" t="s">
        <v>10651</v>
      </c>
      <c r="C5622" s="82" t="s">
        <v>12501</v>
      </c>
      <c r="D5622" s="82" t="s">
        <v>5761</v>
      </c>
      <c r="E5622" s="82">
        <v>6281389082618</v>
      </c>
      <c r="F5622" s="92">
        <v>45920</v>
      </c>
      <c r="G5622" s="87">
        <v>159</v>
      </c>
      <c r="H5622" s="88">
        <v>81393.939393939392</v>
      </c>
      <c r="I5622" s="89">
        <v>5</v>
      </c>
      <c r="J5622" s="90">
        <v>13430</v>
      </c>
      <c r="K5622" s="85">
        <v>0</v>
      </c>
      <c r="L5622" s="85">
        <v>8</v>
      </c>
      <c r="M5622" s="85">
        <v>0</v>
      </c>
      <c r="N5622" s="82" t="s">
        <v>12502</v>
      </c>
      <c r="O5622" s="93">
        <v>45921.443020833336</v>
      </c>
    </row>
    <row r="5623" spans="1:15" ht="22.5" customHeight="1">
      <c r="A5623" s="85">
        <v>174904221976312</v>
      </c>
      <c r="B5623" s="82" t="s">
        <v>10651</v>
      </c>
      <c r="C5623" s="82" t="s">
        <v>12486</v>
      </c>
      <c r="D5623" s="82" t="s">
        <v>12487</v>
      </c>
      <c r="E5623" s="82">
        <v>6281318819599</v>
      </c>
      <c r="F5623" s="92">
        <v>45920</v>
      </c>
      <c r="G5623" s="87">
        <v>517</v>
      </c>
      <c r="H5623" s="88">
        <v>25432.122370936901</v>
      </c>
      <c r="I5623" s="89">
        <v>21</v>
      </c>
      <c r="J5623" s="90">
        <v>13301</v>
      </c>
      <c r="K5623" s="85">
        <v>0</v>
      </c>
      <c r="L5623" s="85">
        <v>35</v>
      </c>
      <c r="M5623" s="85">
        <v>0</v>
      </c>
      <c r="N5623" s="82" t="s">
        <v>12488</v>
      </c>
      <c r="O5623" s="93">
        <v>45921.672719907408</v>
      </c>
    </row>
    <row r="5624" spans="1:15" ht="22.5" customHeight="1">
      <c r="A5624" s="85">
        <v>174904221976312</v>
      </c>
      <c r="B5624" s="82" t="s">
        <v>10651</v>
      </c>
      <c r="C5624" s="82" t="s">
        <v>12489</v>
      </c>
      <c r="D5624" s="82" t="s">
        <v>11483</v>
      </c>
      <c r="E5624" s="82">
        <v>6283107086952</v>
      </c>
      <c r="F5624" s="92">
        <v>45920</v>
      </c>
      <c r="G5624" s="87">
        <v>490</v>
      </c>
      <c r="H5624" s="88">
        <v>21221.804511278198</v>
      </c>
      <c r="I5624" s="89">
        <v>20</v>
      </c>
      <c r="J5624" s="90">
        <v>11290</v>
      </c>
      <c r="K5624" s="85">
        <v>2</v>
      </c>
      <c r="L5624" s="85">
        <v>115</v>
      </c>
      <c r="M5624" s="85">
        <v>0</v>
      </c>
      <c r="N5624" s="82" t="s">
        <v>12490</v>
      </c>
      <c r="O5624" s="93">
        <v>45921.63108796296</v>
      </c>
    </row>
    <row r="5625" spans="1:15" ht="22.5" customHeight="1">
      <c r="A5625" s="85">
        <v>174904221976312</v>
      </c>
      <c r="B5625" s="82" t="s">
        <v>10651</v>
      </c>
      <c r="C5625" s="82" t="s">
        <v>12473</v>
      </c>
      <c r="D5625" s="82" t="s">
        <v>12474</v>
      </c>
      <c r="E5625" s="82">
        <v>6282320232344</v>
      </c>
      <c r="F5625" s="92">
        <v>45920</v>
      </c>
      <c r="G5625" s="87">
        <v>12871</v>
      </c>
      <c r="H5625" s="88">
        <v>1013.6741511926035</v>
      </c>
      <c r="I5625" s="89">
        <v>23</v>
      </c>
      <c r="J5625" s="90">
        <v>13047</v>
      </c>
      <c r="K5625" s="85">
        <v>0</v>
      </c>
      <c r="L5625" s="85">
        <v>0</v>
      </c>
      <c r="M5625" s="85">
        <v>0</v>
      </c>
      <c r="N5625" s="82" t="s">
        <v>12475</v>
      </c>
      <c r="O5625" s="93">
        <v>45921.796782407408</v>
      </c>
    </row>
    <row r="5626" spans="1:15" ht="22.5" customHeight="1">
      <c r="A5626" s="85">
        <v>174904221976312</v>
      </c>
      <c r="B5626" s="82" t="s">
        <v>10651</v>
      </c>
      <c r="C5626" s="82" t="s">
        <v>12476</v>
      </c>
      <c r="D5626" s="82" t="s">
        <v>9010</v>
      </c>
      <c r="E5626" s="82">
        <v>6281316122975</v>
      </c>
      <c r="F5626" s="92">
        <v>45920</v>
      </c>
      <c r="G5626" s="87">
        <v>533</v>
      </c>
      <c r="H5626" s="88">
        <v>23659.154929577464</v>
      </c>
      <c r="I5626" s="89">
        <v>33</v>
      </c>
      <c r="J5626" s="90">
        <v>16798</v>
      </c>
      <c r="K5626" s="85">
        <v>3</v>
      </c>
      <c r="L5626" s="85">
        <v>0</v>
      </c>
      <c r="M5626" s="85">
        <v>0</v>
      </c>
      <c r="N5626" s="82" t="s">
        <v>12507</v>
      </c>
      <c r="O5626" s="93">
        <v>45921.672650462962</v>
      </c>
    </row>
    <row r="5627" spans="1:15" ht="22.5" customHeight="1">
      <c r="A5627" s="85">
        <v>174904221976312</v>
      </c>
      <c r="B5627" s="82" t="s">
        <v>10651</v>
      </c>
      <c r="C5627" s="82" t="s">
        <v>12478</v>
      </c>
      <c r="D5627" s="82" t="s">
        <v>5677</v>
      </c>
      <c r="E5627" s="82">
        <v>6285255550388</v>
      </c>
      <c r="F5627" s="92">
        <v>45920</v>
      </c>
      <c r="G5627" s="87">
        <v>321</v>
      </c>
      <c r="H5627" s="88">
        <v>43534.743202416917</v>
      </c>
      <c r="I5627" s="89">
        <v>8</v>
      </c>
      <c r="J5627" s="90">
        <v>14410</v>
      </c>
      <c r="K5627" s="85">
        <v>0</v>
      </c>
      <c r="L5627" s="85">
        <v>86</v>
      </c>
      <c r="M5627" s="85">
        <v>0</v>
      </c>
      <c r="N5627" s="82" t="s">
        <v>12491</v>
      </c>
      <c r="O5627" s="93">
        <v>45921.526886574073</v>
      </c>
    </row>
    <row r="5628" spans="1:15" ht="22.5" customHeight="1">
      <c r="A5628" s="85">
        <v>174904221976312</v>
      </c>
      <c r="B5628" s="82" t="s">
        <v>10651</v>
      </c>
      <c r="C5628" s="82" t="s">
        <v>12480</v>
      </c>
      <c r="D5628" s="82" t="s">
        <v>5687</v>
      </c>
      <c r="E5628" s="82">
        <v>6281990022760</v>
      </c>
      <c r="F5628" s="92">
        <v>45920</v>
      </c>
      <c r="G5628" s="87">
        <v>312</v>
      </c>
      <c r="H5628" s="88">
        <v>38997.297297297293</v>
      </c>
      <c r="I5628" s="89">
        <v>25</v>
      </c>
      <c r="J5628" s="90">
        <v>14429</v>
      </c>
      <c r="K5628" s="85">
        <v>9</v>
      </c>
      <c r="L5628" s="85">
        <v>0</v>
      </c>
      <c r="M5628" s="85">
        <v>0</v>
      </c>
      <c r="N5628" s="82" t="s">
        <v>12481</v>
      </c>
      <c r="O5628" s="93">
        <v>45921.609861111108</v>
      </c>
    </row>
    <row r="5629" spans="1:15" ht="22.5" customHeight="1">
      <c r="A5629" s="85">
        <v>174904221976312</v>
      </c>
      <c r="B5629" s="82" t="s">
        <v>10651</v>
      </c>
      <c r="C5629" s="82" t="s">
        <v>12467</v>
      </c>
      <c r="D5629" s="82" t="s">
        <v>5668</v>
      </c>
      <c r="E5629" s="82">
        <v>6287777144455</v>
      </c>
      <c r="F5629" s="92">
        <v>45920</v>
      </c>
      <c r="G5629" s="87">
        <v>268</v>
      </c>
      <c r="H5629" s="88">
        <v>52214.788732394365</v>
      </c>
      <c r="I5629" s="89">
        <v>8</v>
      </c>
      <c r="J5629" s="90">
        <v>14829</v>
      </c>
      <c r="K5629" s="85">
        <v>0</v>
      </c>
      <c r="L5629" s="85">
        <v>0</v>
      </c>
      <c r="M5629" s="85">
        <v>0</v>
      </c>
      <c r="N5629" s="82" t="s">
        <v>12482</v>
      </c>
      <c r="O5629" s="93">
        <v>45921.526631944442</v>
      </c>
    </row>
    <row r="5630" spans="1:15" ht="22.5" customHeight="1">
      <c r="A5630" s="85">
        <v>174904221976312</v>
      </c>
      <c r="B5630" s="82" t="s">
        <v>10651</v>
      </c>
      <c r="C5630" s="82" t="s">
        <v>12469</v>
      </c>
      <c r="D5630" s="82" t="s">
        <v>12470</v>
      </c>
      <c r="E5630" s="82">
        <v>6287751068360</v>
      </c>
      <c r="F5630" s="92">
        <v>45920</v>
      </c>
      <c r="G5630" s="87">
        <v>308</v>
      </c>
      <c r="H5630" s="88">
        <v>41418.879056047197</v>
      </c>
      <c r="I5630" s="89">
        <v>7</v>
      </c>
      <c r="J5630" s="90">
        <v>14041</v>
      </c>
      <c r="K5630" s="85">
        <v>0</v>
      </c>
      <c r="L5630" s="85">
        <v>144</v>
      </c>
      <c r="M5630" s="85">
        <v>0</v>
      </c>
      <c r="N5630" s="82" t="s">
        <v>12492</v>
      </c>
      <c r="O5630" s="93">
        <v>45921.215717592589</v>
      </c>
    </row>
    <row r="5631" spans="1:15" ht="22.5" customHeight="1">
      <c r="A5631" s="85">
        <v>174904221976312</v>
      </c>
      <c r="B5631" s="82" t="s">
        <v>10651</v>
      </c>
      <c r="C5631" s="82" t="s">
        <v>12460</v>
      </c>
      <c r="D5631" s="82" t="s">
        <v>12461</v>
      </c>
      <c r="E5631" s="82">
        <v>6285357908485</v>
      </c>
      <c r="F5631" s="92">
        <v>45920</v>
      </c>
      <c r="G5631" s="87">
        <v>240</v>
      </c>
      <c r="H5631" s="88">
        <v>51921.348314606737</v>
      </c>
      <c r="I5631" s="89">
        <v>8</v>
      </c>
      <c r="J5631" s="90">
        <v>13863</v>
      </c>
      <c r="K5631" s="85">
        <v>4</v>
      </c>
      <c r="L5631" s="85">
        <v>86</v>
      </c>
      <c r="M5631" s="85">
        <v>0</v>
      </c>
      <c r="N5631" s="82" t="s">
        <v>12462</v>
      </c>
      <c r="O5631" s="93">
        <v>45921.215729166666</v>
      </c>
    </row>
    <row r="5632" spans="1:15" ht="22.5" customHeight="1">
      <c r="A5632" s="85">
        <v>174904221976312</v>
      </c>
      <c r="B5632" s="82" t="s">
        <v>10651</v>
      </c>
      <c r="C5632" s="82" t="s">
        <v>12454</v>
      </c>
      <c r="D5632" s="82" t="s">
        <v>5522</v>
      </c>
      <c r="E5632" s="82">
        <v>6287822292311</v>
      </c>
      <c r="F5632" s="92">
        <v>45920</v>
      </c>
      <c r="G5632" s="87">
        <v>204</v>
      </c>
      <c r="H5632" s="88">
        <v>56653.153153153158</v>
      </c>
      <c r="I5632" s="89">
        <v>4</v>
      </c>
      <c r="J5632" s="90">
        <v>12577</v>
      </c>
      <c r="K5632" s="85">
        <v>1</v>
      </c>
      <c r="L5632" s="85">
        <v>0</v>
      </c>
      <c r="M5632" s="85">
        <v>0</v>
      </c>
      <c r="N5632" s="82" t="s">
        <v>12484</v>
      </c>
      <c r="O5632" s="93">
        <v>45921.568807870368</v>
      </c>
    </row>
    <row r="5633" spans="1:15" ht="22.5" customHeight="1">
      <c r="A5633" s="85">
        <v>174904221976312</v>
      </c>
      <c r="B5633" s="82" t="s">
        <v>10651</v>
      </c>
      <c r="C5633" s="82" t="s">
        <v>12458</v>
      </c>
      <c r="D5633" s="82" t="s">
        <v>5515</v>
      </c>
      <c r="E5633" s="82">
        <v>6285245301996</v>
      </c>
      <c r="F5633" s="92">
        <v>45920</v>
      </c>
      <c r="G5633" s="87">
        <v>1041</v>
      </c>
      <c r="H5633" s="88">
        <v>14026.244343891403</v>
      </c>
      <c r="I5633" s="89">
        <v>16</v>
      </c>
      <c r="J5633" s="90">
        <v>15499</v>
      </c>
      <c r="K5633" s="85">
        <v>0</v>
      </c>
      <c r="L5633" s="85">
        <v>0</v>
      </c>
      <c r="M5633" s="85">
        <v>0</v>
      </c>
      <c r="N5633" s="82" t="s">
        <v>12485</v>
      </c>
      <c r="O5633" s="93">
        <v>45921.215729166666</v>
      </c>
    </row>
    <row r="5634" spans="1:15" ht="22.5" customHeight="1">
      <c r="A5634" s="85">
        <v>174904221976312</v>
      </c>
      <c r="B5634" s="82" t="s">
        <v>10651</v>
      </c>
      <c r="C5634" s="82" t="s">
        <v>12436</v>
      </c>
      <c r="D5634" s="82" t="s">
        <v>5483</v>
      </c>
      <c r="E5634" s="82">
        <v>6282225676438</v>
      </c>
      <c r="F5634" s="92">
        <v>45920</v>
      </c>
      <c r="G5634" s="87">
        <v>180</v>
      </c>
      <c r="H5634" s="88">
        <v>98134.020618556708</v>
      </c>
      <c r="I5634" s="89">
        <v>4</v>
      </c>
      <c r="J5634" s="90">
        <v>19038</v>
      </c>
      <c r="K5634" s="85">
        <v>2</v>
      </c>
      <c r="L5634" s="85">
        <v>0</v>
      </c>
      <c r="M5634" s="85">
        <v>0</v>
      </c>
      <c r="N5634" s="82" t="s">
        <v>12493</v>
      </c>
      <c r="O5634" s="93">
        <v>45921.215717592589</v>
      </c>
    </row>
    <row r="5635" spans="1:15" ht="22.5" customHeight="1">
      <c r="A5635" s="85">
        <v>174904221976312</v>
      </c>
      <c r="B5635" s="82" t="s">
        <v>10651</v>
      </c>
      <c r="C5635" s="82" t="s">
        <v>12348</v>
      </c>
      <c r="D5635" s="82" t="s">
        <v>12349</v>
      </c>
      <c r="E5635" s="82">
        <v>6281348215665</v>
      </c>
      <c r="F5635" s="92">
        <v>45920</v>
      </c>
      <c r="G5635" s="87">
        <v>556</v>
      </c>
      <c r="H5635" s="88">
        <v>24000</v>
      </c>
      <c r="I5635" s="89">
        <v>8</v>
      </c>
      <c r="J5635" s="90">
        <v>14736</v>
      </c>
      <c r="K5635" s="85">
        <v>0</v>
      </c>
      <c r="L5635" s="85">
        <v>0</v>
      </c>
      <c r="M5635" s="85">
        <v>0</v>
      </c>
      <c r="N5635" s="82" t="s">
        <v>12464</v>
      </c>
      <c r="O5635" s="93">
        <v>45921.215729166666</v>
      </c>
    </row>
    <row r="5636" spans="1:15" ht="22.5" customHeight="1">
      <c r="A5636" s="85">
        <v>174904221976312</v>
      </c>
      <c r="B5636" s="82" t="s">
        <v>10651</v>
      </c>
      <c r="C5636" s="82" t="s">
        <v>12351</v>
      </c>
      <c r="D5636" s="82" t="s">
        <v>5339</v>
      </c>
      <c r="E5636" s="82">
        <v>6282220371971</v>
      </c>
      <c r="F5636" s="92">
        <v>45920</v>
      </c>
      <c r="G5636" s="87">
        <v>465</v>
      </c>
      <c r="H5636" s="88">
        <v>29283.524904214559</v>
      </c>
      <c r="I5636" s="89">
        <v>46</v>
      </c>
      <c r="J5636" s="90">
        <v>15286</v>
      </c>
      <c r="K5636" s="85">
        <v>19</v>
      </c>
      <c r="L5636" s="85">
        <v>164</v>
      </c>
      <c r="M5636" s="85">
        <v>0</v>
      </c>
      <c r="N5636" s="82" t="s">
        <v>12352</v>
      </c>
      <c r="O5636" s="93">
        <v>45921.215740740743</v>
      </c>
    </row>
    <row r="5637" spans="1:15" ht="22.5" customHeight="1">
      <c r="A5637" s="85">
        <v>174904221976312</v>
      </c>
      <c r="B5637" s="82" t="s">
        <v>10651</v>
      </c>
      <c r="C5637" s="82" t="s">
        <v>12353</v>
      </c>
      <c r="D5637" s="82" t="s">
        <v>12354</v>
      </c>
      <c r="E5637" s="82">
        <v>6281355662725</v>
      </c>
      <c r="F5637" s="92">
        <v>45920</v>
      </c>
      <c r="G5637" s="87">
        <v>201</v>
      </c>
      <c r="H5637" s="88">
        <v>60665.23605150215</v>
      </c>
      <c r="I5637" s="89">
        <v>4</v>
      </c>
      <c r="J5637" s="90">
        <v>14135</v>
      </c>
      <c r="K5637" s="85">
        <v>0</v>
      </c>
      <c r="L5637" s="85">
        <v>0</v>
      </c>
      <c r="M5637" s="85">
        <v>0</v>
      </c>
      <c r="N5637" s="82" t="s">
        <v>12494</v>
      </c>
      <c r="O5637" s="93">
        <v>45921.568819444445</v>
      </c>
    </row>
    <row r="5638" spans="1:15" ht="22.5" customHeight="1">
      <c r="A5638" s="85">
        <v>174904221976312</v>
      </c>
      <c r="B5638" s="82" t="s">
        <v>10651</v>
      </c>
      <c r="C5638" s="82" t="s">
        <v>12356</v>
      </c>
      <c r="D5638" s="82" t="s">
        <v>2202</v>
      </c>
      <c r="E5638" s="82">
        <v>62895374644456</v>
      </c>
      <c r="F5638" s="92">
        <v>45920</v>
      </c>
      <c r="G5638" s="87">
        <v>588</v>
      </c>
      <c r="H5638" s="88">
        <v>17907.120743034058</v>
      </c>
      <c r="I5638" s="89">
        <v>22</v>
      </c>
      <c r="J5638" s="90">
        <v>11568</v>
      </c>
      <c r="K5638" s="85">
        <v>1</v>
      </c>
      <c r="L5638" s="85">
        <v>4</v>
      </c>
      <c r="M5638" s="85">
        <v>0</v>
      </c>
      <c r="N5638" s="82" t="s">
        <v>12357</v>
      </c>
      <c r="O5638" s="93">
        <v>45921.693229166667</v>
      </c>
    </row>
    <row r="5639" spans="1:15" ht="22.5" customHeight="1">
      <c r="A5639" s="85">
        <v>174904221976312</v>
      </c>
      <c r="B5639" s="82" t="s">
        <v>10651</v>
      </c>
      <c r="C5639" s="82" t="s">
        <v>12279</v>
      </c>
      <c r="D5639" s="82" t="s">
        <v>11800</v>
      </c>
      <c r="E5639" s="82">
        <v>6285333751528</v>
      </c>
      <c r="F5639" s="92">
        <v>45920</v>
      </c>
      <c r="G5639" s="87">
        <v>123</v>
      </c>
      <c r="H5639" s="88">
        <v>84293.233082706764</v>
      </c>
      <c r="I5639" s="89">
        <v>5</v>
      </c>
      <c r="J5639" s="90">
        <v>11211</v>
      </c>
      <c r="K5639" s="85">
        <v>1</v>
      </c>
      <c r="L5639" s="85">
        <v>0</v>
      </c>
      <c r="M5639" s="85">
        <v>0</v>
      </c>
      <c r="N5639" s="82" t="s">
        <v>12337</v>
      </c>
      <c r="O5639" s="93">
        <v>45921.484456018516</v>
      </c>
    </row>
    <row r="5640" spans="1:15" ht="22.5" customHeight="1">
      <c r="A5640" s="85">
        <v>174904221976312</v>
      </c>
      <c r="B5640" s="82" t="s">
        <v>10651</v>
      </c>
      <c r="C5640" s="82" t="s">
        <v>12284</v>
      </c>
      <c r="D5640" s="82" t="s">
        <v>12285</v>
      </c>
      <c r="E5640" s="82">
        <v>6285921481643</v>
      </c>
      <c r="F5640" s="92">
        <v>45920</v>
      </c>
      <c r="G5640" s="87">
        <v>456</v>
      </c>
      <c r="H5640" s="88">
        <v>36030.612244897959</v>
      </c>
      <c r="I5640" s="89">
        <v>25</v>
      </c>
      <c r="J5640" s="90">
        <v>17655</v>
      </c>
      <c r="K5640" s="85">
        <v>2</v>
      </c>
      <c r="L5640" s="85">
        <v>0</v>
      </c>
      <c r="M5640" s="85">
        <v>0</v>
      </c>
      <c r="N5640" s="82" t="s">
        <v>12465</v>
      </c>
      <c r="O5640" s="93">
        <v>45921.672743055555</v>
      </c>
    </row>
    <row r="5641" spans="1:15" ht="22.5" customHeight="1">
      <c r="A5641" s="85">
        <v>174904221976312</v>
      </c>
      <c r="B5641" s="82" t="s">
        <v>10651</v>
      </c>
      <c r="C5641" s="82" t="s">
        <v>12269</v>
      </c>
      <c r="D5641" s="82" t="s">
        <v>12270</v>
      </c>
      <c r="E5641" s="82">
        <v>6282229433259</v>
      </c>
      <c r="F5641" s="92">
        <v>45920</v>
      </c>
      <c r="G5641" s="87">
        <v>188</v>
      </c>
      <c r="H5641" s="88">
        <v>64829.015544041453</v>
      </c>
      <c r="I5641" s="89">
        <v>12</v>
      </c>
      <c r="J5641" s="90">
        <v>12512</v>
      </c>
      <c r="K5641" s="85">
        <v>1</v>
      </c>
      <c r="L5641" s="85">
        <v>114</v>
      </c>
      <c r="M5641" s="85">
        <v>1</v>
      </c>
      <c r="N5641" s="82" t="s">
        <v>12339</v>
      </c>
      <c r="O5641" s="93">
        <v>45921.714479166665</v>
      </c>
    </row>
    <row r="5642" spans="1:15" ht="22.5" customHeight="1">
      <c r="A5642" s="85">
        <v>174904221976312</v>
      </c>
      <c r="B5642" s="82" t="s">
        <v>10651</v>
      </c>
      <c r="C5642" s="82" t="s">
        <v>12237</v>
      </c>
      <c r="D5642" s="82" t="s">
        <v>12238</v>
      </c>
      <c r="E5642" s="82">
        <v>6287888330007</v>
      </c>
      <c r="F5642" s="92">
        <v>45920</v>
      </c>
      <c r="G5642" s="87">
        <v>320</v>
      </c>
      <c r="H5642" s="88">
        <v>35532.99492385787</v>
      </c>
      <c r="I5642" s="89">
        <v>19</v>
      </c>
      <c r="J5642" s="90">
        <v>14000</v>
      </c>
      <c r="K5642" s="85">
        <v>3</v>
      </c>
      <c r="L5642" s="85">
        <v>1</v>
      </c>
      <c r="M5642" s="85">
        <v>0</v>
      </c>
      <c r="N5642" s="82" t="s">
        <v>12495</v>
      </c>
      <c r="O5642" s="93">
        <v>45921.672743055555</v>
      </c>
    </row>
    <row r="5643" spans="1:15" ht="22.5" customHeight="1">
      <c r="A5643" s="85">
        <v>174904221976312</v>
      </c>
      <c r="B5643" s="82" t="s">
        <v>10651</v>
      </c>
      <c r="C5643" s="82" t="s">
        <v>12209</v>
      </c>
      <c r="D5643" s="82" t="s">
        <v>12210</v>
      </c>
      <c r="E5643" s="82">
        <v>6282217300224</v>
      </c>
      <c r="F5643" s="92">
        <v>45920</v>
      </c>
      <c r="G5643" s="87">
        <v>84</v>
      </c>
      <c r="H5643" s="88">
        <v>152120.87912087914</v>
      </c>
      <c r="I5643" s="89">
        <v>3</v>
      </c>
      <c r="J5643" s="90">
        <v>13843</v>
      </c>
      <c r="K5643" s="85">
        <v>0</v>
      </c>
      <c r="L5643" s="85">
        <v>0</v>
      </c>
      <c r="M5643" s="85">
        <v>0</v>
      </c>
      <c r="N5643" s="82" t="s">
        <v>12317</v>
      </c>
      <c r="O5643" s="93">
        <v>45921.672743055555</v>
      </c>
    </row>
    <row r="5644" spans="1:15" ht="22.5" customHeight="1">
      <c r="A5644" s="85">
        <v>174904221976312</v>
      </c>
      <c r="B5644" s="82" t="s">
        <v>10651</v>
      </c>
      <c r="C5644" s="82" t="s">
        <v>12171</v>
      </c>
      <c r="D5644" s="82" t="s">
        <v>4386</v>
      </c>
      <c r="E5644" s="82">
        <v>62818533354</v>
      </c>
      <c r="F5644" s="92">
        <v>45920</v>
      </c>
      <c r="G5644" s="87">
        <v>333</v>
      </c>
      <c r="H5644" s="88">
        <v>38340.050377833752</v>
      </c>
      <c r="I5644" s="89">
        <v>3</v>
      </c>
      <c r="J5644" s="90">
        <v>15221</v>
      </c>
      <c r="K5644" s="85">
        <v>0</v>
      </c>
      <c r="L5644" s="85">
        <v>0</v>
      </c>
      <c r="M5644" s="85">
        <v>0</v>
      </c>
      <c r="N5644" s="82" t="s">
        <v>12319</v>
      </c>
      <c r="O5644" s="93">
        <v>45921.547361111108</v>
      </c>
    </row>
    <row r="5645" spans="1:15" ht="22.5" customHeight="1">
      <c r="A5645" s="85">
        <v>174904221976312</v>
      </c>
      <c r="B5645" s="82" t="s">
        <v>10651</v>
      </c>
      <c r="C5645" s="82" t="s">
        <v>12122</v>
      </c>
      <c r="D5645" s="82" t="s">
        <v>12123</v>
      </c>
      <c r="E5645" s="82">
        <v>6285720705874</v>
      </c>
      <c r="F5645" s="92">
        <v>45920</v>
      </c>
      <c r="G5645" s="87">
        <v>974</v>
      </c>
      <c r="H5645" s="88">
        <v>11781.756180733164</v>
      </c>
      <c r="I5645" s="89">
        <v>42</v>
      </c>
      <c r="J5645" s="90">
        <v>13820</v>
      </c>
      <c r="K5645" s="85">
        <v>2</v>
      </c>
      <c r="L5645" s="85">
        <v>486</v>
      </c>
      <c r="M5645" s="85">
        <v>0</v>
      </c>
      <c r="N5645" s="82" t="s">
        <v>12472</v>
      </c>
      <c r="O5645" s="93">
        <v>45921.568460648145</v>
      </c>
    </row>
    <row r="5646" spans="1:15" ht="22.5" customHeight="1">
      <c r="A5646" s="85">
        <v>174904221976312</v>
      </c>
      <c r="B5646" s="82" t="s">
        <v>10651</v>
      </c>
      <c r="C5646" s="82" t="s">
        <v>12058</v>
      </c>
      <c r="D5646" s="82" t="s">
        <v>4516</v>
      </c>
      <c r="E5646" s="82">
        <v>6281315163838</v>
      </c>
      <c r="F5646" s="92">
        <v>45920</v>
      </c>
      <c r="G5646" s="87">
        <v>334</v>
      </c>
      <c r="H5646" s="88">
        <v>31390.957446808512</v>
      </c>
      <c r="I5646" s="89">
        <v>8</v>
      </c>
      <c r="J5646" s="90">
        <v>11803</v>
      </c>
      <c r="K5646" s="85">
        <v>0</v>
      </c>
      <c r="L5646" s="85">
        <v>0</v>
      </c>
      <c r="M5646" s="85">
        <v>0</v>
      </c>
      <c r="N5646" s="82" t="s">
        <v>12321</v>
      </c>
      <c r="O5646" s="93">
        <v>45921.506006944444</v>
      </c>
    </row>
    <row r="5647" spans="1:15" ht="22.5" customHeight="1">
      <c r="A5647" s="85">
        <v>174904221976312</v>
      </c>
      <c r="B5647" s="82" t="s">
        <v>10651</v>
      </c>
      <c r="C5647" s="82" t="s">
        <v>12039</v>
      </c>
      <c r="D5647" s="82" t="s">
        <v>12040</v>
      </c>
      <c r="E5647" s="82">
        <v>6281330410391</v>
      </c>
      <c r="F5647" s="92">
        <v>45920</v>
      </c>
      <c r="G5647" s="87">
        <v>635</v>
      </c>
      <c r="H5647" s="88">
        <v>19718.446601941745</v>
      </c>
      <c r="I5647" s="89">
        <v>40</v>
      </c>
      <c r="J5647" s="90">
        <v>14217</v>
      </c>
      <c r="K5647" s="85">
        <v>3</v>
      </c>
      <c r="L5647" s="85">
        <v>143</v>
      </c>
      <c r="M5647" s="85">
        <v>0</v>
      </c>
      <c r="N5647" s="82" t="s">
        <v>12435</v>
      </c>
      <c r="O5647" s="93">
        <v>45921.63108796296</v>
      </c>
    </row>
    <row r="5648" spans="1:15" ht="22.5" customHeight="1">
      <c r="A5648" s="85">
        <v>174904221976312</v>
      </c>
      <c r="B5648" s="82" t="s">
        <v>10651</v>
      </c>
      <c r="C5648" s="82" t="s">
        <v>11641</v>
      </c>
      <c r="D5648" s="82" t="s">
        <v>3229</v>
      </c>
      <c r="E5648" s="82">
        <v>6287865111033</v>
      </c>
      <c r="F5648" s="92">
        <v>45920</v>
      </c>
      <c r="G5648" s="87">
        <v>724</v>
      </c>
      <c r="H5648" s="88">
        <v>19322.247706422018</v>
      </c>
      <c r="I5648" s="89">
        <v>20</v>
      </c>
      <c r="J5648" s="90">
        <v>16849</v>
      </c>
      <c r="K5648" s="85">
        <v>6</v>
      </c>
      <c r="L5648" s="85">
        <v>87</v>
      </c>
      <c r="M5648" s="85">
        <v>0</v>
      </c>
      <c r="N5648" s="82" t="s">
        <v>12225</v>
      </c>
      <c r="O5648" s="93">
        <v>45921.568460648145</v>
      </c>
    </row>
    <row r="5649" spans="1:15" ht="22.5" customHeight="1">
      <c r="A5649" s="85">
        <v>174904221976312</v>
      </c>
      <c r="B5649" s="82" t="s">
        <v>10651</v>
      </c>
      <c r="C5649" s="82" t="s">
        <v>11613</v>
      </c>
      <c r="D5649" s="82" t="s">
        <v>11614</v>
      </c>
      <c r="E5649" s="82">
        <v>6282186829904</v>
      </c>
      <c r="F5649" s="92">
        <v>45920</v>
      </c>
      <c r="G5649" s="87">
        <v>121</v>
      </c>
      <c r="H5649" s="88">
        <v>95465.648854961823</v>
      </c>
      <c r="I5649" s="89">
        <v>8</v>
      </c>
      <c r="J5649" s="90">
        <v>12506</v>
      </c>
      <c r="K5649" s="85">
        <v>1</v>
      </c>
      <c r="L5649" s="85">
        <v>0</v>
      </c>
      <c r="M5649" s="85">
        <v>0</v>
      </c>
      <c r="N5649" s="82" t="s">
        <v>12466</v>
      </c>
      <c r="O5649" s="93">
        <v>45921.631076388891</v>
      </c>
    </row>
    <row r="5650" spans="1:15" ht="22.5" customHeight="1">
      <c r="A5650" s="85">
        <v>174904221976312</v>
      </c>
      <c r="B5650" s="82" t="s">
        <v>10651</v>
      </c>
      <c r="C5650" s="82" t="s">
        <v>11580</v>
      </c>
      <c r="D5650" s="82" t="s">
        <v>11581</v>
      </c>
      <c r="E5650" s="82">
        <v>6287790276733</v>
      </c>
      <c r="F5650" s="92">
        <v>45920</v>
      </c>
      <c r="G5650" s="87">
        <v>593</v>
      </c>
      <c r="H5650" s="88">
        <v>21525.787965616048</v>
      </c>
      <c r="I5650" s="89">
        <v>15</v>
      </c>
      <c r="J5650" s="90">
        <v>15025</v>
      </c>
      <c r="K5650" s="85">
        <v>3</v>
      </c>
      <c r="L5650" s="85">
        <v>169</v>
      </c>
      <c r="M5650" s="85">
        <v>0</v>
      </c>
      <c r="N5650" s="82" t="s">
        <v>12343</v>
      </c>
      <c r="O5650" s="93">
        <v>45921.547361111108</v>
      </c>
    </row>
    <row r="5651" spans="1:15" ht="22.5" customHeight="1">
      <c r="A5651" s="85">
        <v>174904221976312</v>
      </c>
      <c r="B5651" s="82" t="s">
        <v>10651</v>
      </c>
      <c r="C5651" s="82" t="s">
        <v>11193</v>
      </c>
      <c r="D5651" s="82" t="s">
        <v>11194</v>
      </c>
      <c r="E5651" s="82">
        <v>6281779578317</v>
      </c>
      <c r="F5651" s="92">
        <v>45920</v>
      </c>
      <c r="G5651" s="87">
        <v>1333</v>
      </c>
      <c r="H5651" s="88">
        <v>9294.474393530998</v>
      </c>
      <c r="I5651" s="89">
        <v>42</v>
      </c>
      <c r="J5651" s="90">
        <v>13793</v>
      </c>
      <c r="K5651" s="85">
        <v>7</v>
      </c>
      <c r="L5651" s="85">
        <v>330</v>
      </c>
      <c r="M5651" s="85">
        <v>1</v>
      </c>
      <c r="N5651" s="82" t="s">
        <v>11195</v>
      </c>
      <c r="O5651" s="93">
        <v>45921.215717592589</v>
      </c>
    </row>
    <row r="5652" spans="1:15" ht="22.5" customHeight="1">
      <c r="A5652" s="85">
        <v>174904221976312</v>
      </c>
      <c r="B5652" s="82" t="s">
        <v>10651</v>
      </c>
      <c r="C5652" s="82" t="s">
        <v>10853</v>
      </c>
      <c r="D5652" s="82" t="s">
        <v>10854</v>
      </c>
      <c r="E5652" s="82">
        <v>6281393958199</v>
      </c>
      <c r="F5652" s="92">
        <v>45920</v>
      </c>
      <c r="G5652" s="87">
        <v>465</v>
      </c>
      <c r="H5652" s="88">
        <v>26964.143426294821</v>
      </c>
      <c r="I5652" s="89">
        <v>14</v>
      </c>
      <c r="J5652" s="90">
        <v>13536</v>
      </c>
      <c r="K5652" s="85">
        <v>0</v>
      </c>
      <c r="L5652" s="85">
        <v>145</v>
      </c>
      <c r="M5652" s="85">
        <v>0</v>
      </c>
      <c r="N5652" s="82" t="s">
        <v>12508</v>
      </c>
      <c r="O5652" s="93">
        <v>45921.714467592596</v>
      </c>
    </row>
    <row r="5653" spans="1:15" ht="22.5" customHeight="1">
      <c r="A5653" s="85">
        <v>174904221976312</v>
      </c>
      <c r="B5653" s="82" t="s">
        <v>10651</v>
      </c>
      <c r="C5653" s="82" t="s">
        <v>5917</v>
      </c>
      <c r="D5653" s="82" t="s">
        <v>5914</v>
      </c>
      <c r="E5653" s="82">
        <v>62881022322099</v>
      </c>
      <c r="F5653" s="92">
        <v>45921</v>
      </c>
      <c r="G5653" s="87">
        <v>402</v>
      </c>
      <c r="H5653" s="88">
        <v>24519.69981238274</v>
      </c>
      <c r="I5653" s="89">
        <v>37</v>
      </c>
      <c r="J5653" s="90">
        <v>13069</v>
      </c>
      <c r="K5653" s="85">
        <v>10</v>
      </c>
      <c r="L5653" s="85">
        <v>255</v>
      </c>
      <c r="M5653" s="85">
        <v>1</v>
      </c>
      <c r="N5653" s="82" t="s">
        <v>12509</v>
      </c>
      <c r="O5653" s="93">
        <v>45922.588784722226</v>
      </c>
    </row>
    <row r="5654" spans="1:15" ht="22.5" customHeight="1">
      <c r="A5654" s="85">
        <v>174904221976312</v>
      </c>
      <c r="B5654" s="82" t="s">
        <v>10651</v>
      </c>
      <c r="C5654" s="82" t="s">
        <v>5880</v>
      </c>
      <c r="D5654" s="82" t="s">
        <v>5876</v>
      </c>
      <c r="E5654" s="82">
        <v>62823332108583</v>
      </c>
      <c r="F5654" s="92">
        <v>45921</v>
      </c>
      <c r="G5654" s="87">
        <v>887</v>
      </c>
      <c r="H5654" s="88">
        <v>16502</v>
      </c>
      <c r="I5654" s="89">
        <v>16</v>
      </c>
      <c r="J5654" s="90">
        <v>16502</v>
      </c>
      <c r="K5654" s="85">
        <v>2</v>
      </c>
      <c r="L5654" s="85">
        <v>143</v>
      </c>
      <c r="M5654" s="85">
        <v>0</v>
      </c>
      <c r="N5654" s="82" t="s">
        <v>12510</v>
      </c>
      <c r="O5654" s="93">
        <v>45922.588784722226</v>
      </c>
    </row>
    <row r="5655" spans="1:15" ht="22.5" customHeight="1">
      <c r="A5655" s="85">
        <v>174904221976312</v>
      </c>
      <c r="B5655" s="82" t="s">
        <v>10651</v>
      </c>
      <c r="C5655" s="82" t="s">
        <v>12503</v>
      </c>
      <c r="D5655" s="82" t="s">
        <v>12504</v>
      </c>
      <c r="E5655" s="82">
        <v>6282311906512</v>
      </c>
      <c r="F5655" s="92">
        <v>45921</v>
      </c>
      <c r="G5655" s="87">
        <v>819</v>
      </c>
      <c r="H5655" s="88">
        <v>13636.269430051812</v>
      </c>
      <c r="I5655" s="89">
        <v>20</v>
      </c>
      <c r="J5655" s="90">
        <v>13159</v>
      </c>
      <c r="K5655" s="85">
        <v>0</v>
      </c>
      <c r="L5655" s="85">
        <v>0</v>
      </c>
      <c r="M5655" s="85">
        <v>0</v>
      </c>
      <c r="N5655" s="82" t="s">
        <v>12511</v>
      </c>
      <c r="O5655" s="93">
        <v>45922.609502314815</v>
      </c>
    </row>
    <row r="5656" spans="1:15" ht="22.5" customHeight="1">
      <c r="A5656" s="85">
        <v>174904221976312</v>
      </c>
      <c r="B5656" s="82" t="s">
        <v>10651</v>
      </c>
      <c r="C5656" s="82" t="s">
        <v>12496</v>
      </c>
      <c r="D5656" s="82" t="s">
        <v>12497</v>
      </c>
      <c r="E5656" s="82">
        <v>6285233857272</v>
      </c>
      <c r="F5656" s="92">
        <v>45921</v>
      </c>
      <c r="G5656" s="87">
        <v>645</v>
      </c>
      <c r="H5656" s="88">
        <v>15408.333333333334</v>
      </c>
      <c r="I5656" s="89">
        <v>36</v>
      </c>
      <c r="J5656" s="90">
        <v>12943</v>
      </c>
      <c r="K5656" s="85">
        <v>5</v>
      </c>
      <c r="L5656" s="85">
        <v>20</v>
      </c>
      <c r="M5656" s="85">
        <v>0</v>
      </c>
      <c r="N5656" s="82" t="s">
        <v>12498</v>
      </c>
      <c r="O5656" s="93">
        <v>45922.651539351849</v>
      </c>
    </row>
    <row r="5657" spans="1:15" ht="22.5" customHeight="1">
      <c r="A5657" s="85">
        <v>174904221976312</v>
      </c>
      <c r="B5657" s="82" t="s">
        <v>10651</v>
      </c>
      <c r="C5657" s="82" t="s">
        <v>12499</v>
      </c>
      <c r="D5657" s="82" t="s">
        <v>5802</v>
      </c>
      <c r="E5657" s="82">
        <v>6281220005953</v>
      </c>
      <c r="F5657" s="92">
        <v>45921</v>
      </c>
      <c r="G5657" s="87">
        <v>375</v>
      </c>
      <c r="H5657" s="88">
        <v>32093.896713615024</v>
      </c>
      <c r="I5657" s="89">
        <v>9</v>
      </c>
      <c r="J5657" s="90">
        <v>13672</v>
      </c>
      <c r="K5657" s="85">
        <v>0</v>
      </c>
      <c r="L5657" s="85">
        <v>3</v>
      </c>
      <c r="M5657" s="85">
        <v>0</v>
      </c>
      <c r="N5657" s="82" t="s">
        <v>12506</v>
      </c>
      <c r="O5657" s="93">
        <v>45922.735231481478</v>
      </c>
    </row>
    <row r="5658" spans="1:15" ht="22.5" customHeight="1">
      <c r="A5658" s="85">
        <v>174904221976312</v>
      </c>
      <c r="B5658" s="82" t="s">
        <v>10651</v>
      </c>
      <c r="C5658" s="82" t="s">
        <v>12501</v>
      </c>
      <c r="D5658" s="82" t="s">
        <v>5761</v>
      </c>
      <c r="E5658" s="82">
        <v>6281389082618</v>
      </c>
      <c r="F5658" s="92">
        <v>45921</v>
      </c>
      <c r="G5658" s="87">
        <v>53</v>
      </c>
      <c r="H5658" s="88">
        <v>233909.09090909091</v>
      </c>
      <c r="I5658" s="89">
        <v>0</v>
      </c>
      <c r="J5658" s="90">
        <v>12865</v>
      </c>
      <c r="K5658" s="85">
        <v>0</v>
      </c>
      <c r="L5658" s="85">
        <v>3</v>
      </c>
      <c r="M5658" s="85">
        <v>0</v>
      </c>
      <c r="N5658" s="82" t="s">
        <v>12512</v>
      </c>
      <c r="O5658" s="93">
        <v>45922.579733796294</v>
      </c>
    </row>
    <row r="5659" spans="1:15" ht="22.5" customHeight="1">
      <c r="A5659" s="85">
        <v>174904221976312</v>
      </c>
      <c r="B5659" s="82" t="s">
        <v>10651</v>
      </c>
      <c r="C5659" s="82" t="s">
        <v>12486</v>
      </c>
      <c r="D5659" s="82" t="s">
        <v>12487</v>
      </c>
      <c r="E5659" s="82">
        <v>6281318819599</v>
      </c>
      <c r="F5659" s="92">
        <v>45921</v>
      </c>
      <c r="G5659" s="87">
        <v>559</v>
      </c>
      <c r="H5659" s="88">
        <v>20844.517184942717</v>
      </c>
      <c r="I5659" s="89">
        <v>17</v>
      </c>
      <c r="J5659" s="90">
        <v>12736</v>
      </c>
      <c r="K5659" s="85">
        <v>0</v>
      </c>
      <c r="L5659" s="85">
        <v>41</v>
      </c>
      <c r="M5659" s="85">
        <v>0</v>
      </c>
      <c r="N5659" s="82" t="s">
        <v>12488</v>
      </c>
      <c r="O5659" s="93">
        <v>45922.588784722226</v>
      </c>
    </row>
    <row r="5660" spans="1:15" ht="22.5" customHeight="1">
      <c r="A5660" s="85">
        <v>174904221976312</v>
      </c>
      <c r="B5660" s="82" t="s">
        <v>10651</v>
      </c>
      <c r="C5660" s="82" t="s">
        <v>12489</v>
      </c>
      <c r="D5660" s="82" t="s">
        <v>11483</v>
      </c>
      <c r="E5660" s="82">
        <v>6283107086952</v>
      </c>
      <c r="F5660" s="92">
        <v>45921</v>
      </c>
      <c r="G5660" s="87">
        <v>423</v>
      </c>
      <c r="H5660" s="88">
        <v>24444.253859348199</v>
      </c>
      <c r="I5660" s="89">
        <v>41</v>
      </c>
      <c r="J5660" s="90">
        <v>14251</v>
      </c>
      <c r="K5660" s="85">
        <v>6</v>
      </c>
      <c r="L5660" s="85">
        <v>132</v>
      </c>
      <c r="M5660" s="85">
        <v>2</v>
      </c>
      <c r="N5660" s="82" t="s">
        <v>12490</v>
      </c>
      <c r="O5660" s="93">
        <v>45922.506122685183</v>
      </c>
    </row>
    <row r="5661" spans="1:15" ht="22.5" customHeight="1">
      <c r="A5661" s="85">
        <v>174904221976312</v>
      </c>
      <c r="B5661" s="82" t="s">
        <v>10651</v>
      </c>
      <c r="C5661" s="82" t="s">
        <v>12473</v>
      </c>
      <c r="D5661" s="82" t="s">
        <v>12474</v>
      </c>
      <c r="E5661" s="82">
        <v>6282320232344</v>
      </c>
      <c r="F5661" s="92">
        <v>45921</v>
      </c>
      <c r="G5661" s="87">
        <v>14309</v>
      </c>
      <c r="H5661" s="88">
        <v>1032.7302297214883</v>
      </c>
      <c r="I5661" s="89">
        <v>25</v>
      </c>
      <c r="J5661" s="90">
        <v>15240</v>
      </c>
      <c r="K5661" s="85">
        <v>0</v>
      </c>
      <c r="L5661" s="85">
        <v>0</v>
      </c>
      <c r="M5661" s="85">
        <v>0</v>
      </c>
      <c r="N5661" s="82" t="s">
        <v>12475</v>
      </c>
      <c r="O5661" s="93">
        <v>45922.421967592592</v>
      </c>
    </row>
    <row r="5662" spans="1:15" ht="22.5" customHeight="1">
      <c r="A5662" s="85">
        <v>174904221976312</v>
      </c>
      <c r="B5662" s="82" t="s">
        <v>10651</v>
      </c>
      <c r="C5662" s="82" t="s">
        <v>12476</v>
      </c>
      <c r="D5662" s="82" t="s">
        <v>9010</v>
      </c>
      <c r="E5662" s="82">
        <v>6281316122975</v>
      </c>
      <c r="F5662" s="92">
        <v>45921</v>
      </c>
      <c r="G5662" s="87">
        <v>561</v>
      </c>
      <c r="H5662" s="88">
        <v>18525</v>
      </c>
      <c r="I5662" s="89">
        <v>25</v>
      </c>
      <c r="J5662" s="90">
        <v>14079</v>
      </c>
      <c r="K5662" s="85">
        <v>5</v>
      </c>
      <c r="L5662" s="85">
        <v>0</v>
      </c>
      <c r="M5662" s="85">
        <v>0</v>
      </c>
      <c r="N5662" s="82" t="s">
        <v>12507</v>
      </c>
      <c r="O5662" s="93">
        <v>45922.401689814818</v>
      </c>
    </row>
    <row r="5663" spans="1:15" ht="22.5" customHeight="1">
      <c r="A5663" s="85">
        <v>174904221976312</v>
      </c>
      <c r="B5663" s="82" t="s">
        <v>10651</v>
      </c>
      <c r="C5663" s="82" t="s">
        <v>12478</v>
      </c>
      <c r="D5663" s="82" t="s">
        <v>5677</v>
      </c>
      <c r="E5663" s="82">
        <v>6285255550388</v>
      </c>
      <c r="F5663" s="92">
        <v>45921</v>
      </c>
      <c r="G5663" s="87">
        <v>225</v>
      </c>
      <c r="H5663" s="88">
        <v>47468.75</v>
      </c>
      <c r="I5663" s="89">
        <v>10</v>
      </c>
      <c r="J5663" s="90">
        <v>12152</v>
      </c>
      <c r="K5663" s="85">
        <v>1</v>
      </c>
      <c r="L5663" s="85">
        <v>48</v>
      </c>
      <c r="M5663" s="85">
        <v>0</v>
      </c>
      <c r="N5663" s="82" t="s">
        <v>12491</v>
      </c>
      <c r="O5663" s="93">
        <v>45922.401701388888</v>
      </c>
    </row>
    <row r="5664" spans="1:15" ht="22.5" customHeight="1">
      <c r="A5664" s="85">
        <v>174904221976312</v>
      </c>
      <c r="B5664" s="82" t="s">
        <v>10651</v>
      </c>
      <c r="C5664" s="82" t="s">
        <v>12480</v>
      </c>
      <c r="D5664" s="82" t="s">
        <v>5687</v>
      </c>
      <c r="E5664" s="82">
        <v>6281990022760</v>
      </c>
      <c r="F5664" s="92">
        <v>45921</v>
      </c>
      <c r="G5664" s="87">
        <v>365</v>
      </c>
      <c r="H5664" s="88">
        <v>28064.876957494405</v>
      </c>
      <c r="I5664" s="89">
        <v>14</v>
      </c>
      <c r="J5664" s="90">
        <v>12545</v>
      </c>
      <c r="K5664" s="85">
        <v>5</v>
      </c>
      <c r="L5664" s="85">
        <v>0</v>
      </c>
      <c r="M5664" s="85">
        <v>0</v>
      </c>
      <c r="N5664" s="82" t="s">
        <v>12481</v>
      </c>
      <c r="O5664" s="93">
        <v>45922.422199074077</v>
      </c>
    </row>
    <row r="5665" spans="1:15" ht="22.5" customHeight="1">
      <c r="A5665" s="85">
        <v>174904221976312</v>
      </c>
      <c r="B5665" s="82" t="s">
        <v>10651</v>
      </c>
      <c r="C5665" s="82" t="s">
        <v>12467</v>
      </c>
      <c r="D5665" s="82" t="s">
        <v>5668</v>
      </c>
      <c r="E5665" s="82">
        <v>6287777144455</v>
      </c>
      <c r="F5665" s="92">
        <v>45921</v>
      </c>
      <c r="G5665" s="87">
        <v>406</v>
      </c>
      <c r="H5665" s="88">
        <v>33303.493449781665</v>
      </c>
      <c r="I5665" s="89">
        <v>23</v>
      </c>
      <c r="J5665" s="90">
        <v>15253</v>
      </c>
      <c r="K5665" s="85">
        <v>4</v>
      </c>
      <c r="L5665" s="85">
        <v>0</v>
      </c>
      <c r="M5665" s="85">
        <v>1</v>
      </c>
      <c r="N5665" s="82" t="s">
        <v>12482</v>
      </c>
      <c r="O5665" s="93">
        <v>45922.589108796295</v>
      </c>
    </row>
    <row r="5666" spans="1:15" ht="22.5" customHeight="1">
      <c r="A5666" s="85">
        <v>174904221976312</v>
      </c>
      <c r="B5666" s="82" t="s">
        <v>10651</v>
      </c>
      <c r="C5666" s="82" t="s">
        <v>12469</v>
      </c>
      <c r="D5666" s="82" t="s">
        <v>12470</v>
      </c>
      <c r="E5666" s="82">
        <v>6287751068360</v>
      </c>
      <c r="F5666" s="92">
        <v>45921</v>
      </c>
      <c r="G5666" s="87">
        <v>196</v>
      </c>
      <c r="H5666" s="88">
        <v>39946.341463414632</v>
      </c>
      <c r="I5666" s="89">
        <v>5</v>
      </c>
      <c r="J5666" s="90">
        <v>8189</v>
      </c>
      <c r="K5666" s="85">
        <v>0</v>
      </c>
      <c r="L5666" s="85">
        <v>76</v>
      </c>
      <c r="M5666" s="85">
        <v>1</v>
      </c>
      <c r="N5666" s="82" t="s">
        <v>12492</v>
      </c>
      <c r="O5666" s="93">
        <v>45922.216666666667</v>
      </c>
    </row>
    <row r="5667" spans="1:15" ht="22.5" customHeight="1">
      <c r="A5667" s="85">
        <v>174904221976312</v>
      </c>
      <c r="B5667" s="82" t="s">
        <v>10651</v>
      </c>
      <c r="C5667" s="82" t="s">
        <v>12454</v>
      </c>
      <c r="D5667" s="82" t="s">
        <v>5522</v>
      </c>
      <c r="E5667" s="82">
        <v>6287822292311</v>
      </c>
      <c r="F5667" s="92">
        <v>45921</v>
      </c>
      <c r="G5667" s="87">
        <v>400</v>
      </c>
      <c r="H5667" s="88">
        <v>24640.1766004415</v>
      </c>
      <c r="I5667" s="89">
        <v>8</v>
      </c>
      <c r="J5667" s="90">
        <v>11162</v>
      </c>
      <c r="K5667" s="85">
        <v>1</v>
      </c>
      <c r="L5667" s="85">
        <v>0</v>
      </c>
      <c r="M5667" s="85">
        <v>0</v>
      </c>
      <c r="N5667" s="82" t="s">
        <v>12484</v>
      </c>
      <c r="O5667" s="93">
        <v>45922.568032407406</v>
      </c>
    </row>
    <row r="5668" spans="1:15" ht="22.5" customHeight="1">
      <c r="A5668" s="85">
        <v>174904221976312</v>
      </c>
      <c r="B5668" s="82" t="s">
        <v>10651</v>
      </c>
      <c r="C5668" s="82" t="s">
        <v>12458</v>
      </c>
      <c r="D5668" s="82" t="s">
        <v>5515</v>
      </c>
      <c r="E5668" s="82">
        <v>6285245301996</v>
      </c>
      <c r="F5668" s="92">
        <v>45921</v>
      </c>
      <c r="G5668" s="87">
        <v>730</v>
      </c>
      <c r="H5668" s="88">
        <v>10038.647342995169</v>
      </c>
      <c r="I5668" s="89">
        <v>21</v>
      </c>
      <c r="J5668" s="90">
        <v>8312</v>
      </c>
      <c r="K5668" s="85">
        <v>2</v>
      </c>
      <c r="L5668" s="85">
        <v>0</v>
      </c>
      <c r="M5668" s="85">
        <v>0</v>
      </c>
      <c r="N5668" s="82" t="s">
        <v>12485</v>
      </c>
      <c r="O5668" s="93">
        <v>45922.21665509259</v>
      </c>
    </row>
    <row r="5669" spans="1:15" ht="22.5" customHeight="1">
      <c r="A5669" s="85">
        <v>174904221976312</v>
      </c>
      <c r="B5669" s="82" t="s">
        <v>10651</v>
      </c>
      <c r="C5669" s="82" t="s">
        <v>12353</v>
      </c>
      <c r="D5669" s="82" t="s">
        <v>12354</v>
      </c>
      <c r="E5669" s="82">
        <v>6281355662725</v>
      </c>
      <c r="F5669" s="92">
        <v>45921</v>
      </c>
      <c r="G5669" s="87">
        <v>202</v>
      </c>
      <c r="H5669" s="88">
        <v>46983.539094650201</v>
      </c>
      <c r="I5669" s="89">
        <v>11</v>
      </c>
      <c r="J5669" s="90">
        <v>11417</v>
      </c>
      <c r="K5669" s="85">
        <v>2</v>
      </c>
      <c r="L5669" s="85">
        <v>0</v>
      </c>
      <c r="M5669" s="85">
        <v>0</v>
      </c>
      <c r="N5669" s="82" t="s">
        <v>12494</v>
      </c>
      <c r="O5669" s="93">
        <v>45922.506111111114</v>
      </c>
    </row>
    <row r="5670" spans="1:15" ht="22.5" customHeight="1">
      <c r="A5670" s="85">
        <v>174904221976312</v>
      </c>
      <c r="B5670" s="82" t="s">
        <v>10651</v>
      </c>
      <c r="C5670" s="82" t="s">
        <v>12356</v>
      </c>
      <c r="D5670" s="82" t="s">
        <v>2202</v>
      </c>
      <c r="E5670" s="82">
        <v>62895374644456</v>
      </c>
      <c r="F5670" s="92">
        <v>45921</v>
      </c>
      <c r="G5670" s="87">
        <v>788</v>
      </c>
      <c r="H5670" s="88">
        <v>14795.090715048027</v>
      </c>
      <c r="I5670" s="89">
        <v>29</v>
      </c>
      <c r="J5670" s="90">
        <v>13863</v>
      </c>
      <c r="K5670" s="85">
        <v>4</v>
      </c>
      <c r="L5670" s="85">
        <v>4</v>
      </c>
      <c r="M5670" s="85">
        <v>0</v>
      </c>
      <c r="N5670" s="82" t="s">
        <v>12357</v>
      </c>
      <c r="O5670" s="93">
        <v>45922.609502314815</v>
      </c>
    </row>
    <row r="5671" spans="1:15" ht="22.5" customHeight="1">
      <c r="A5671" s="85">
        <v>174904221976312</v>
      </c>
      <c r="B5671" s="82" t="s">
        <v>10651</v>
      </c>
      <c r="C5671" s="82" t="s">
        <v>12279</v>
      </c>
      <c r="D5671" s="82" t="s">
        <v>11800</v>
      </c>
      <c r="E5671" s="82">
        <v>6285333751528</v>
      </c>
      <c r="F5671" s="92">
        <v>45921</v>
      </c>
      <c r="G5671" s="87">
        <v>121</v>
      </c>
      <c r="H5671" s="88">
        <v>109233.57664233576</v>
      </c>
      <c r="I5671" s="89">
        <v>7</v>
      </c>
      <c r="J5671" s="90">
        <v>14965</v>
      </c>
      <c r="K5671" s="85">
        <v>2</v>
      </c>
      <c r="L5671" s="85">
        <v>0</v>
      </c>
      <c r="M5671" s="85">
        <v>0</v>
      </c>
      <c r="N5671" s="82" t="s">
        <v>12337</v>
      </c>
      <c r="O5671" s="93">
        <v>45922.465208333335</v>
      </c>
    </row>
    <row r="5672" spans="1:15" ht="22.5" customHeight="1">
      <c r="A5672" s="85">
        <v>174904221976312</v>
      </c>
      <c r="B5672" s="82" t="s">
        <v>10651</v>
      </c>
      <c r="C5672" s="82" t="s">
        <v>12284</v>
      </c>
      <c r="D5672" s="82" t="s">
        <v>12285</v>
      </c>
      <c r="E5672" s="82">
        <v>6285921481643</v>
      </c>
      <c r="F5672" s="92">
        <v>45921</v>
      </c>
      <c r="G5672" s="87">
        <v>343</v>
      </c>
      <c r="H5672" s="88">
        <v>32946.153846153851</v>
      </c>
      <c r="I5672" s="89">
        <v>16</v>
      </c>
      <c r="J5672" s="90">
        <v>12849</v>
      </c>
      <c r="K5672" s="85">
        <v>1</v>
      </c>
      <c r="L5672" s="85">
        <v>0</v>
      </c>
      <c r="M5672" s="85">
        <v>0</v>
      </c>
      <c r="N5672" s="82" t="s">
        <v>12465</v>
      </c>
      <c r="O5672" s="93">
        <v>45922.651539351849</v>
      </c>
    </row>
    <row r="5673" spans="1:15" ht="22.5" customHeight="1">
      <c r="A5673" s="85">
        <v>174904221976312</v>
      </c>
      <c r="B5673" s="82" t="s">
        <v>10651</v>
      </c>
      <c r="C5673" s="82" t="s">
        <v>12269</v>
      </c>
      <c r="D5673" s="82" t="s">
        <v>12270</v>
      </c>
      <c r="E5673" s="82">
        <v>6282229433259</v>
      </c>
      <c r="F5673" s="92">
        <v>45921</v>
      </c>
      <c r="G5673" s="87">
        <v>234</v>
      </c>
      <c r="H5673" s="88">
        <v>56133.603238866403</v>
      </c>
      <c r="I5673" s="89">
        <v>8</v>
      </c>
      <c r="J5673" s="90">
        <v>13865</v>
      </c>
      <c r="K5673" s="85">
        <v>2</v>
      </c>
      <c r="L5673" s="85">
        <v>131</v>
      </c>
      <c r="M5673" s="85">
        <v>0</v>
      </c>
      <c r="N5673" s="82" t="s">
        <v>12339</v>
      </c>
      <c r="O5673" s="93">
        <v>45922.651539351849</v>
      </c>
    </row>
    <row r="5674" spans="1:15" ht="22.5" customHeight="1">
      <c r="A5674" s="85">
        <v>174904221976312</v>
      </c>
      <c r="B5674" s="82" t="s">
        <v>10651</v>
      </c>
      <c r="C5674" s="82" t="s">
        <v>12237</v>
      </c>
      <c r="D5674" s="82" t="s">
        <v>12238</v>
      </c>
      <c r="E5674" s="82">
        <v>6287888330007</v>
      </c>
      <c r="F5674" s="92">
        <v>45921</v>
      </c>
      <c r="G5674" s="87">
        <v>485</v>
      </c>
      <c r="H5674" s="88">
        <v>21950.819672131147</v>
      </c>
      <c r="I5674" s="89">
        <v>28</v>
      </c>
      <c r="J5674" s="90">
        <v>13390</v>
      </c>
      <c r="K5674" s="85">
        <v>0</v>
      </c>
      <c r="L5674" s="85">
        <v>0</v>
      </c>
      <c r="M5674" s="85">
        <v>0</v>
      </c>
      <c r="N5674" s="82" t="s">
        <v>12495</v>
      </c>
      <c r="O5674" s="93">
        <v>45922.526539351849</v>
      </c>
    </row>
    <row r="5675" spans="1:15" ht="22.5" customHeight="1">
      <c r="A5675" s="85">
        <v>174904221976312</v>
      </c>
      <c r="B5675" s="82" t="s">
        <v>10651</v>
      </c>
      <c r="C5675" s="82" t="s">
        <v>12209</v>
      </c>
      <c r="D5675" s="82" t="s">
        <v>12210</v>
      </c>
      <c r="E5675" s="82">
        <v>6282217300224</v>
      </c>
      <c r="F5675" s="92">
        <v>45921</v>
      </c>
      <c r="G5675" s="87">
        <v>154</v>
      </c>
      <c r="H5675" s="88">
        <v>79621.951219512193</v>
      </c>
      <c r="I5675" s="89">
        <v>3</v>
      </c>
      <c r="J5675" s="90">
        <v>13058</v>
      </c>
      <c r="K5675" s="85">
        <v>2</v>
      </c>
      <c r="L5675" s="85">
        <v>0</v>
      </c>
      <c r="M5675" s="85">
        <v>0</v>
      </c>
      <c r="N5675" s="82" t="s">
        <v>12317</v>
      </c>
      <c r="O5675" s="93">
        <v>45922.65152777778</v>
      </c>
    </row>
    <row r="5676" spans="1:15" ht="22.5" customHeight="1">
      <c r="A5676" s="85">
        <v>174904221976312</v>
      </c>
      <c r="B5676" s="82" t="s">
        <v>10651</v>
      </c>
      <c r="C5676" s="82" t="s">
        <v>12171</v>
      </c>
      <c r="D5676" s="82" t="s">
        <v>4386</v>
      </c>
      <c r="E5676" s="82">
        <v>62818533354</v>
      </c>
      <c r="F5676" s="92">
        <v>45921</v>
      </c>
      <c r="G5676" s="87">
        <v>269</v>
      </c>
      <c r="H5676" s="88">
        <v>29466.292134831459</v>
      </c>
      <c r="I5676" s="89">
        <v>6</v>
      </c>
      <c r="J5676" s="90">
        <v>10490</v>
      </c>
      <c r="K5676" s="85">
        <v>1</v>
      </c>
      <c r="L5676" s="85">
        <v>0</v>
      </c>
      <c r="M5676" s="85">
        <v>0</v>
      </c>
      <c r="N5676" s="82" t="s">
        <v>12319</v>
      </c>
      <c r="O5676" s="93">
        <v>45922.630810185183</v>
      </c>
    </row>
    <row r="5677" spans="1:15" ht="22.5" customHeight="1">
      <c r="A5677" s="85">
        <v>174904221976312</v>
      </c>
      <c r="B5677" s="82" t="s">
        <v>10651</v>
      </c>
      <c r="C5677" s="82" t="s">
        <v>12122</v>
      </c>
      <c r="D5677" s="82" t="s">
        <v>12123</v>
      </c>
      <c r="E5677" s="82">
        <v>6285720705874</v>
      </c>
      <c r="F5677" s="92">
        <v>45921</v>
      </c>
      <c r="G5677" s="87">
        <v>996</v>
      </c>
      <c r="H5677" s="88">
        <v>10425</v>
      </c>
      <c r="I5677" s="89">
        <v>62</v>
      </c>
      <c r="J5677" s="90">
        <v>12927</v>
      </c>
      <c r="K5677" s="85">
        <v>2</v>
      </c>
      <c r="L5677" s="85">
        <v>489</v>
      </c>
      <c r="M5677" s="85">
        <v>1</v>
      </c>
      <c r="N5677" s="82" t="s">
        <v>12472</v>
      </c>
      <c r="O5677" s="93">
        <v>45922.609502314815</v>
      </c>
    </row>
    <row r="5678" spans="1:15" ht="22.5" customHeight="1">
      <c r="A5678" s="85">
        <v>174904221976312</v>
      </c>
      <c r="B5678" s="82" t="s">
        <v>10651</v>
      </c>
      <c r="C5678" s="82" t="s">
        <v>12058</v>
      </c>
      <c r="D5678" s="82" t="s">
        <v>4516</v>
      </c>
      <c r="E5678" s="82">
        <v>6281315163838</v>
      </c>
      <c r="F5678" s="92">
        <v>45921</v>
      </c>
      <c r="G5678" s="87">
        <v>384</v>
      </c>
      <c r="H5678" s="88">
        <v>41964.705882352937</v>
      </c>
      <c r="I5678" s="89">
        <v>8</v>
      </c>
      <c r="J5678" s="90">
        <v>17835</v>
      </c>
      <c r="K5678" s="85">
        <v>0</v>
      </c>
      <c r="L5678" s="85">
        <v>73</v>
      </c>
      <c r="M5678" s="85">
        <v>0</v>
      </c>
      <c r="N5678" s="82" t="s">
        <v>12321</v>
      </c>
      <c r="O5678" s="93">
        <v>45922.401689814818</v>
      </c>
    </row>
    <row r="5679" spans="1:15" ht="22.5" customHeight="1">
      <c r="A5679" s="85">
        <v>174904221976312</v>
      </c>
      <c r="B5679" s="82" t="s">
        <v>10651</v>
      </c>
      <c r="C5679" s="82" t="s">
        <v>12039</v>
      </c>
      <c r="D5679" s="82" t="s">
        <v>12040</v>
      </c>
      <c r="E5679" s="82">
        <v>6281330410391</v>
      </c>
      <c r="F5679" s="92">
        <v>45921</v>
      </c>
      <c r="G5679" s="87">
        <v>530</v>
      </c>
      <c r="H5679" s="88">
        <v>19922.492401215804</v>
      </c>
      <c r="I5679" s="89">
        <v>45</v>
      </c>
      <c r="J5679" s="90">
        <v>13109</v>
      </c>
      <c r="K5679" s="85">
        <v>4</v>
      </c>
      <c r="L5679" s="85">
        <v>0</v>
      </c>
      <c r="M5679" s="85">
        <v>0</v>
      </c>
      <c r="N5679" s="82" t="s">
        <v>12435</v>
      </c>
      <c r="O5679" s="93">
        <v>45922.630787037036</v>
      </c>
    </row>
    <row r="5680" spans="1:15" ht="22.5" customHeight="1">
      <c r="A5680" s="85">
        <v>174904221976312</v>
      </c>
      <c r="B5680" s="82" t="s">
        <v>10651</v>
      </c>
      <c r="C5680" s="82" t="s">
        <v>11641</v>
      </c>
      <c r="D5680" s="82" t="s">
        <v>3229</v>
      </c>
      <c r="E5680" s="82">
        <v>6287865111033</v>
      </c>
      <c r="F5680" s="92">
        <v>45921</v>
      </c>
      <c r="G5680" s="87">
        <v>971</v>
      </c>
      <c r="H5680" s="88">
        <v>14024.844720496894</v>
      </c>
      <c r="I5680" s="89">
        <v>27</v>
      </c>
      <c r="J5680" s="90">
        <v>15806</v>
      </c>
      <c r="K5680" s="85">
        <v>7</v>
      </c>
      <c r="L5680" s="85">
        <v>57</v>
      </c>
      <c r="M5680" s="85">
        <v>0</v>
      </c>
      <c r="N5680" s="82" t="s">
        <v>12225</v>
      </c>
      <c r="O5680" s="93">
        <v>45922.568009259259</v>
      </c>
    </row>
    <row r="5681" spans="1:15" ht="22.5" customHeight="1">
      <c r="A5681" s="85">
        <v>174904221976312</v>
      </c>
      <c r="B5681" s="82" t="s">
        <v>10651</v>
      </c>
      <c r="C5681" s="82" t="s">
        <v>11613</v>
      </c>
      <c r="D5681" s="82" t="s">
        <v>11614</v>
      </c>
      <c r="E5681" s="82">
        <v>6282186829904</v>
      </c>
      <c r="F5681" s="92">
        <v>45921</v>
      </c>
      <c r="G5681" s="87">
        <v>139</v>
      </c>
      <c r="H5681" s="88">
        <v>75256.25</v>
      </c>
      <c r="I5681" s="89">
        <v>5</v>
      </c>
      <c r="J5681" s="90">
        <v>12041</v>
      </c>
      <c r="K5681" s="85">
        <v>0</v>
      </c>
      <c r="L5681" s="85">
        <v>0</v>
      </c>
      <c r="M5681" s="85">
        <v>0</v>
      </c>
      <c r="N5681" s="82" t="s">
        <v>12466</v>
      </c>
      <c r="O5681" s="93">
        <v>45922.588784722226</v>
      </c>
    </row>
    <row r="5682" spans="1:15" ht="22.5" customHeight="1">
      <c r="A5682" s="85">
        <v>174904221976312</v>
      </c>
      <c r="B5682" s="82" t="s">
        <v>10651</v>
      </c>
      <c r="C5682" s="82" t="s">
        <v>11580</v>
      </c>
      <c r="D5682" s="82" t="s">
        <v>11581</v>
      </c>
      <c r="E5682" s="82">
        <v>6287790276733</v>
      </c>
      <c r="F5682" s="92">
        <v>45921</v>
      </c>
      <c r="G5682" s="87">
        <v>479</v>
      </c>
      <c r="H5682" s="88">
        <v>20383.537653239931</v>
      </c>
      <c r="I5682" s="89">
        <v>17</v>
      </c>
      <c r="J5682" s="90">
        <v>11639</v>
      </c>
      <c r="K5682" s="85">
        <v>1</v>
      </c>
      <c r="L5682" s="85">
        <v>133</v>
      </c>
      <c r="M5682" s="85">
        <v>1</v>
      </c>
      <c r="N5682" s="82" t="s">
        <v>12343</v>
      </c>
      <c r="O5682" s="93">
        <v>45922.547118055554</v>
      </c>
    </row>
    <row r="5683" spans="1:15" ht="22.5" customHeight="1">
      <c r="A5683" s="85">
        <v>759724529202804</v>
      </c>
      <c r="B5683" s="82" t="s">
        <v>10621</v>
      </c>
      <c r="C5683" s="82" t="s">
        <v>11055</v>
      </c>
      <c r="D5683" s="82" t="s">
        <v>1021</v>
      </c>
      <c r="E5683" s="82"/>
      <c r="F5683" s="92">
        <v>45922</v>
      </c>
      <c r="G5683" s="87">
        <v>1813</v>
      </c>
      <c r="H5683" s="88">
        <v>32362.657931679925</v>
      </c>
      <c r="I5683" s="89">
        <v>44</v>
      </c>
      <c r="J5683" s="90">
        <v>69159</v>
      </c>
      <c r="K5683" s="85">
        <v>7</v>
      </c>
      <c r="L5683" s="85">
        <v>671</v>
      </c>
      <c r="M5683" s="85">
        <v>0</v>
      </c>
      <c r="N5683" s="82" t="s">
        <v>11056</v>
      </c>
      <c r="O5683" s="93">
        <v>45922.701157407406</v>
      </c>
    </row>
    <row r="5684" spans="1:15" ht="22.5" customHeight="1">
      <c r="A5684" s="85">
        <v>759724529202804</v>
      </c>
      <c r="B5684" s="82" t="s">
        <v>10621</v>
      </c>
      <c r="C5684" s="82" t="s">
        <v>10850</v>
      </c>
      <c r="D5684" s="82" t="s">
        <v>10851</v>
      </c>
      <c r="E5684" s="82">
        <v>6282125465047</v>
      </c>
      <c r="F5684" s="92">
        <v>45922</v>
      </c>
      <c r="G5684" s="87">
        <v>480</v>
      </c>
      <c r="H5684" s="88">
        <v>28888.686131386861</v>
      </c>
      <c r="I5684" s="89">
        <v>27</v>
      </c>
      <c r="J5684" s="90">
        <v>15831</v>
      </c>
      <c r="K5684" s="85">
        <v>9</v>
      </c>
      <c r="L5684" s="85">
        <v>15</v>
      </c>
      <c r="M5684" s="85">
        <v>1</v>
      </c>
      <c r="N5684" s="82" t="s">
        <v>10852</v>
      </c>
      <c r="O5684" s="93">
        <v>45923.589108796295</v>
      </c>
    </row>
    <row r="5685" spans="1:15" ht="22.5" customHeight="1">
      <c r="A5685" s="85">
        <v>174904221976312</v>
      </c>
      <c r="B5685" s="82" t="s">
        <v>10651</v>
      </c>
      <c r="C5685" s="82" t="s">
        <v>5931</v>
      </c>
      <c r="D5685" s="82" t="s">
        <v>12513</v>
      </c>
      <c r="E5685" s="82">
        <v>6282110222282</v>
      </c>
      <c r="F5685" s="92">
        <v>45922</v>
      </c>
      <c r="G5685" s="87">
        <v>344</v>
      </c>
      <c r="H5685" s="88">
        <v>25365.795724465559</v>
      </c>
      <c r="I5685" s="89">
        <v>7</v>
      </c>
      <c r="J5685" s="90">
        <v>10679</v>
      </c>
      <c r="K5685" s="85">
        <v>1</v>
      </c>
      <c r="L5685" s="85">
        <v>77</v>
      </c>
      <c r="M5685" s="85">
        <v>0</v>
      </c>
      <c r="N5685" s="82" t="s">
        <v>12514</v>
      </c>
      <c r="O5685" s="93">
        <v>45923.67454861111</v>
      </c>
    </row>
    <row r="5686" spans="1:15" ht="22.5" customHeight="1">
      <c r="A5686" s="85">
        <v>174904221976312</v>
      </c>
      <c r="B5686" s="82" t="s">
        <v>10651</v>
      </c>
      <c r="C5686" s="82" t="s">
        <v>5923</v>
      </c>
      <c r="D5686" s="82" t="s">
        <v>12515</v>
      </c>
      <c r="E5686" s="82">
        <v>6282225676546</v>
      </c>
      <c r="F5686" s="92">
        <v>45922</v>
      </c>
      <c r="G5686" s="87">
        <v>415</v>
      </c>
      <c r="H5686" s="88">
        <v>28820.083682008368</v>
      </c>
      <c r="I5686" s="89">
        <v>15</v>
      </c>
      <c r="J5686" s="90">
        <v>13776</v>
      </c>
      <c r="K5686" s="85">
        <v>4</v>
      </c>
      <c r="L5686" s="85">
        <v>146</v>
      </c>
      <c r="M5686" s="85">
        <v>0</v>
      </c>
      <c r="N5686" s="82" t="s">
        <v>12516</v>
      </c>
      <c r="O5686" s="93">
        <v>45923.568831018521</v>
      </c>
    </row>
    <row r="5687" spans="1:15" ht="22.5" customHeight="1">
      <c r="A5687" s="85">
        <v>174904221976312</v>
      </c>
      <c r="B5687" s="82" t="s">
        <v>10651</v>
      </c>
      <c r="C5687" s="82" t="s">
        <v>5917</v>
      </c>
      <c r="D5687" s="82" t="s">
        <v>5914</v>
      </c>
      <c r="E5687" s="82">
        <v>62881022322099</v>
      </c>
      <c r="F5687" s="92">
        <v>45922</v>
      </c>
      <c r="G5687" s="87">
        <v>589</v>
      </c>
      <c r="H5687" s="88">
        <v>18046.38472032742</v>
      </c>
      <c r="I5687" s="89">
        <v>45</v>
      </c>
      <c r="J5687" s="90">
        <v>13228</v>
      </c>
      <c r="K5687" s="85">
        <v>15</v>
      </c>
      <c r="L5687" s="85">
        <v>344</v>
      </c>
      <c r="M5687" s="85">
        <v>1</v>
      </c>
      <c r="N5687" s="82" t="s">
        <v>12509</v>
      </c>
      <c r="O5687" s="93">
        <v>45923.631018518521</v>
      </c>
    </row>
    <row r="5688" spans="1:15" ht="22.5" customHeight="1">
      <c r="A5688" s="85">
        <v>174904221976312</v>
      </c>
      <c r="B5688" s="82" t="s">
        <v>10651</v>
      </c>
      <c r="C5688" s="82" t="s">
        <v>5880</v>
      </c>
      <c r="D5688" s="82" t="s">
        <v>5876</v>
      </c>
      <c r="E5688" s="82">
        <v>62823332108583</v>
      </c>
      <c r="F5688" s="92">
        <v>45922</v>
      </c>
      <c r="G5688" s="87">
        <v>872</v>
      </c>
      <c r="H5688" s="88">
        <v>13772.316950852557</v>
      </c>
      <c r="I5688" s="89">
        <v>17</v>
      </c>
      <c r="J5688" s="90">
        <v>13731</v>
      </c>
      <c r="K5688" s="85">
        <v>2</v>
      </c>
      <c r="L5688" s="85">
        <v>3</v>
      </c>
      <c r="M5688" s="85">
        <v>0</v>
      </c>
      <c r="N5688" s="82" t="s">
        <v>12517</v>
      </c>
      <c r="O5688" s="93">
        <v>45923.724143518521</v>
      </c>
    </row>
    <row r="5689" spans="1:15" ht="22.5" customHeight="1">
      <c r="A5689" s="85">
        <v>174904221976312</v>
      </c>
      <c r="B5689" s="82" t="s">
        <v>10651</v>
      </c>
      <c r="C5689" s="82" t="s">
        <v>12503</v>
      </c>
      <c r="D5689" s="82" t="s">
        <v>12504</v>
      </c>
      <c r="E5689" s="82">
        <v>6282311906512</v>
      </c>
      <c r="F5689" s="92">
        <v>45922</v>
      </c>
      <c r="G5689" s="87">
        <v>1011</v>
      </c>
      <c r="H5689" s="88">
        <v>13956.779661016948</v>
      </c>
      <c r="I5689" s="89">
        <v>20</v>
      </c>
      <c r="J5689" s="90">
        <v>16469</v>
      </c>
      <c r="K5689" s="85">
        <v>1</v>
      </c>
      <c r="L5689" s="85">
        <v>70</v>
      </c>
      <c r="M5689" s="85">
        <v>0</v>
      </c>
      <c r="N5689" s="82" t="s">
        <v>12511</v>
      </c>
      <c r="O5689" s="93">
        <v>45923.443148148152</v>
      </c>
    </row>
    <row r="5690" spans="1:15" ht="22.5" customHeight="1">
      <c r="A5690" s="85">
        <v>174904221976312</v>
      </c>
      <c r="B5690" s="82" t="s">
        <v>10651</v>
      </c>
      <c r="C5690" s="82" t="s">
        <v>12496</v>
      </c>
      <c r="D5690" s="82" t="s">
        <v>12497</v>
      </c>
      <c r="E5690" s="82">
        <v>6285233857272</v>
      </c>
      <c r="F5690" s="92">
        <v>45922</v>
      </c>
      <c r="G5690" s="87">
        <v>726</v>
      </c>
      <c r="H5690" s="88">
        <v>15298.05615550756</v>
      </c>
      <c r="I5690" s="89">
        <v>33</v>
      </c>
      <c r="J5690" s="90">
        <v>14166</v>
      </c>
      <c r="K5690" s="85">
        <v>6</v>
      </c>
      <c r="L5690" s="85">
        <v>29</v>
      </c>
      <c r="M5690" s="85">
        <v>0</v>
      </c>
      <c r="N5690" s="82" t="s">
        <v>12498</v>
      </c>
      <c r="O5690" s="93">
        <v>45923.526296296295</v>
      </c>
    </row>
    <row r="5691" spans="1:15" ht="22.5" customHeight="1">
      <c r="A5691" s="85">
        <v>174904221976312</v>
      </c>
      <c r="B5691" s="82" t="s">
        <v>10651</v>
      </c>
      <c r="C5691" s="82" t="s">
        <v>12499</v>
      </c>
      <c r="D5691" s="82" t="s">
        <v>5802</v>
      </c>
      <c r="E5691" s="82">
        <v>6281220005953</v>
      </c>
      <c r="F5691" s="92">
        <v>45922</v>
      </c>
      <c r="G5691" s="87">
        <v>175</v>
      </c>
      <c r="H5691" s="88">
        <v>68818.181818181809</v>
      </c>
      <c r="I5691" s="89">
        <v>8</v>
      </c>
      <c r="J5691" s="90">
        <v>12869</v>
      </c>
      <c r="K5691" s="85">
        <v>0</v>
      </c>
      <c r="L5691" s="85">
        <v>20</v>
      </c>
      <c r="M5691" s="85">
        <v>0</v>
      </c>
      <c r="N5691" s="82" t="s">
        <v>12506</v>
      </c>
      <c r="O5691" s="93">
        <v>45923.547256944446</v>
      </c>
    </row>
    <row r="5692" spans="1:15" ht="22.5" customHeight="1">
      <c r="A5692" s="85">
        <v>174904221976312</v>
      </c>
      <c r="B5692" s="82" t="s">
        <v>10651</v>
      </c>
      <c r="C5692" s="82" t="s">
        <v>12501</v>
      </c>
      <c r="D5692" s="82" t="s">
        <v>5761</v>
      </c>
      <c r="E5692" s="82">
        <v>6281389082618</v>
      </c>
      <c r="F5692" s="92">
        <v>45922</v>
      </c>
      <c r="G5692" s="87">
        <v>79</v>
      </c>
      <c r="H5692" s="88">
        <v>189137.5</v>
      </c>
      <c r="I5692" s="89">
        <v>4</v>
      </c>
      <c r="J5692" s="90">
        <v>15131</v>
      </c>
      <c r="K5692" s="85">
        <v>0</v>
      </c>
      <c r="L5692" s="85">
        <v>5</v>
      </c>
      <c r="M5692" s="85">
        <v>0</v>
      </c>
      <c r="N5692" s="82" t="s">
        <v>12512</v>
      </c>
      <c r="O5692" s="93">
        <v>45923.422384259262</v>
      </c>
    </row>
    <row r="5693" spans="1:15" ht="22.5" customHeight="1">
      <c r="A5693" s="85">
        <v>174904221976312</v>
      </c>
      <c r="B5693" s="82" t="s">
        <v>10651</v>
      </c>
      <c r="C5693" s="82" t="s">
        <v>12486</v>
      </c>
      <c r="D5693" s="82" t="s">
        <v>12487</v>
      </c>
      <c r="E5693" s="82">
        <v>6281318819599</v>
      </c>
      <c r="F5693" s="92">
        <v>45922</v>
      </c>
      <c r="G5693" s="87">
        <v>719</v>
      </c>
      <c r="H5693" s="88">
        <v>15935.323383084578</v>
      </c>
      <c r="I5693" s="89">
        <v>18</v>
      </c>
      <c r="J5693" s="90">
        <v>12812</v>
      </c>
      <c r="K5693" s="85">
        <v>0</v>
      </c>
      <c r="L5693" s="85">
        <v>23</v>
      </c>
      <c r="M5693" s="85">
        <v>0</v>
      </c>
      <c r="N5693" s="82" t="s">
        <v>12488</v>
      </c>
      <c r="O5693" s="93">
        <v>45923.38082175926</v>
      </c>
    </row>
    <row r="5694" spans="1:15" ht="22.5" customHeight="1">
      <c r="A5694" s="85">
        <v>174904221976312</v>
      </c>
      <c r="B5694" s="82" t="s">
        <v>10651</v>
      </c>
      <c r="C5694" s="82" t="s">
        <v>12489</v>
      </c>
      <c r="D5694" s="82" t="s">
        <v>11483</v>
      </c>
      <c r="E5694" s="82">
        <v>6283107086952</v>
      </c>
      <c r="F5694" s="92">
        <v>45922</v>
      </c>
      <c r="G5694" s="87">
        <v>518</v>
      </c>
      <c r="H5694" s="88">
        <v>19458.786936236393</v>
      </c>
      <c r="I5694" s="89">
        <v>32</v>
      </c>
      <c r="J5694" s="90">
        <v>12512</v>
      </c>
      <c r="K5694" s="85">
        <v>1</v>
      </c>
      <c r="L5694" s="85">
        <v>181</v>
      </c>
      <c r="M5694" s="85">
        <v>0</v>
      </c>
      <c r="N5694" s="82" t="s">
        <v>12490</v>
      </c>
      <c r="O5694" s="93">
        <v>45923.401631944442</v>
      </c>
    </row>
    <row r="5695" spans="1:15" ht="22.5" customHeight="1">
      <c r="A5695" s="85">
        <v>174904221976312</v>
      </c>
      <c r="B5695" s="82" t="s">
        <v>10651</v>
      </c>
      <c r="C5695" s="82" t="s">
        <v>12473</v>
      </c>
      <c r="D5695" s="82" t="s">
        <v>12474</v>
      </c>
      <c r="E5695" s="82">
        <v>6282320232344</v>
      </c>
      <c r="F5695" s="92">
        <v>45922</v>
      </c>
      <c r="G5695" s="87">
        <v>11966</v>
      </c>
      <c r="H5695" s="88">
        <v>1080.8155852732375</v>
      </c>
      <c r="I5695" s="89">
        <v>20</v>
      </c>
      <c r="J5695" s="90">
        <v>13093</v>
      </c>
      <c r="K5695" s="85">
        <v>0</v>
      </c>
      <c r="L5695" s="85">
        <v>0</v>
      </c>
      <c r="M5695" s="85">
        <v>0</v>
      </c>
      <c r="N5695" s="82" t="s">
        <v>12475</v>
      </c>
      <c r="O5695" s="93">
        <v>45923.213622685187</v>
      </c>
    </row>
    <row r="5696" spans="1:15" ht="22.5" customHeight="1">
      <c r="A5696" s="85">
        <v>174904221976312</v>
      </c>
      <c r="B5696" s="82" t="s">
        <v>10651</v>
      </c>
      <c r="C5696" s="82" t="s">
        <v>12476</v>
      </c>
      <c r="D5696" s="82" t="s">
        <v>9010</v>
      </c>
      <c r="E5696" s="82">
        <v>6281316122975</v>
      </c>
      <c r="F5696" s="92">
        <v>45922</v>
      </c>
      <c r="G5696" s="87">
        <v>887</v>
      </c>
      <c r="H5696" s="88">
        <v>12947.619047619048</v>
      </c>
      <c r="I5696" s="89">
        <v>44</v>
      </c>
      <c r="J5696" s="90">
        <v>13595</v>
      </c>
      <c r="K5696" s="85">
        <v>9</v>
      </c>
      <c r="L5696" s="85">
        <v>0</v>
      </c>
      <c r="M5696" s="85">
        <v>1</v>
      </c>
      <c r="N5696" s="82" t="s">
        <v>12507</v>
      </c>
      <c r="O5696" s="93">
        <v>45923.214861111112</v>
      </c>
    </row>
    <row r="5697" spans="1:15" ht="22.5" customHeight="1">
      <c r="A5697" s="85">
        <v>174904221976312</v>
      </c>
      <c r="B5697" s="82" t="s">
        <v>10651</v>
      </c>
      <c r="C5697" s="82" t="s">
        <v>12478</v>
      </c>
      <c r="D5697" s="82" t="s">
        <v>5677</v>
      </c>
      <c r="E5697" s="82">
        <v>6285255550388</v>
      </c>
      <c r="F5697" s="92">
        <v>45922</v>
      </c>
      <c r="G5697" s="87">
        <v>360</v>
      </c>
      <c r="H5697" s="88">
        <v>33886.649874055416</v>
      </c>
      <c r="I5697" s="89">
        <v>9</v>
      </c>
      <c r="J5697" s="90">
        <v>13453</v>
      </c>
      <c r="K5697" s="85">
        <v>3</v>
      </c>
      <c r="L5697" s="85">
        <v>0</v>
      </c>
      <c r="M5697" s="85">
        <v>0</v>
      </c>
      <c r="N5697" s="82" t="s">
        <v>12491</v>
      </c>
      <c r="O5697" s="93">
        <v>45923.214849537035</v>
      </c>
    </row>
    <row r="5698" spans="1:15" ht="22.5" customHeight="1">
      <c r="A5698" s="85">
        <v>174904221976312</v>
      </c>
      <c r="B5698" s="82" t="s">
        <v>10651</v>
      </c>
      <c r="C5698" s="82" t="s">
        <v>12480</v>
      </c>
      <c r="D5698" s="82" t="s">
        <v>5687</v>
      </c>
      <c r="E5698" s="82">
        <v>6281990022760</v>
      </c>
      <c r="F5698" s="92">
        <v>45922</v>
      </c>
      <c r="G5698" s="87">
        <v>392</v>
      </c>
      <c r="H5698" s="88">
        <v>32022.573363431151</v>
      </c>
      <c r="I5698" s="89">
        <v>15</v>
      </c>
      <c r="J5698" s="90">
        <v>14186</v>
      </c>
      <c r="K5698" s="85">
        <v>4</v>
      </c>
      <c r="L5698" s="85">
        <v>0</v>
      </c>
      <c r="M5698" s="85">
        <v>0</v>
      </c>
      <c r="N5698" s="82" t="s">
        <v>12481</v>
      </c>
      <c r="O5698" s="93">
        <v>45923.214861111112</v>
      </c>
    </row>
    <row r="5699" spans="1:15" ht="22.5" customHeight="1">
      <c r="A5699" s="85">
        <v>174904221976312</v>
      </c>
      <c r="B5699" s="82" t="s">
        <v>10651</v>
      </c>
      <c r="C5699" s="82" t="s">
        <v>12467</v>
      </c>
      <c r="D5699" s="82" t="s">
        <v>5668</v>
      </c>
      <c r="E5699" s="82">
        <v>6287777144455</v>
      </c>
      <c r="F5699" s="92">
        <v>45922</v>
      </c>
      <c r="G5699" s="87">
        <v>279</v>
      </c>
      <c r="H5699" s="88">
        <v>42362.776025236592</v>
      </c>
      <c r="I5699" s="89">
        <v>8</v>
      </c>
      <c r="J5699" s="90">
        <v>13429</v>
      </c>
      <c r="K5699" s="85">
        <v>1</v>
      </c>
      <c r="L5699" s="85">
        <v>0</v>
      </c>
      <c r="M5699" s="85">
        <v>0</v>
      </c>
      <c r="N5699" s="82" t="s">
        <v>12482</v>
      </c>
      <c r="O5699" s="93">
        <v>45923.631331018521</v>
      </c>
    </row>
    <row r="5700" spans="1:15" ht="22.5" customHeight="1">
      <c r="A5700" s="85">
        <v>174904221976312</v>
      </c>
      <c r="B5700" s="82" t="s">
        <v>10651</v>
      </c>
      <c r="C5700" s="82" t="s">
        <v>12454</v>
      </c>
      <c r="D5700" s="82" t="s">
        <v>5522</v>
      </c>
      <c r="E5700" s="82">
        <v>6287822292311</v>
      </c>
      <c r="F5700" s="92">
        <v>45922</v>
      </c>
      <c r="G5700" s="87">
        <v>461</v>
      </c>
      <c r="H5700" s="88">
        <v>24761.996161228406</v>
      </c>
      <c r="I5700" s="89">
        <v>4</v>
      </c>
      <c r="J5700" s="90">
        <v>12901</v>
      </c>
      <c r="K5700" s="85">
        <v>1</v>
      </c>
      <c r="L5700" s="85">
        <v>0</v>
      </c>
      <c r="M5700" s="85">
        <v>0</v>
      </c>
      <c r="N5700" s="82" t="s">
        <v>12484</v>
      </c>
      <c r="O5700" s="93">
        <v>45923.484733796293</v>
      </c>
    </row>
    <row r="5701" spans="1:15" ht="22.5" customHeight="1">
      <c r="A5701" s="85">
        <v>174904221976312</v>
      </c>
      <c r="B5701" s="82" t="s">
        <v>10651</v>
      </c>
      <c r="C5701" s="82" t="s">
        <v>12353</v>
      </c>
      <c r="D5701" s="82" t="s">
        <v>12354</v>
      </c>
      <c r="E5701" s="82">
        <v>6281355662725</v>
      </c>
      <c r="F5701" s="92">
        <v>45922</v>
      </c>
      <c r="G5701" s="87">
        <v>201</v>
      </c>
      <c r="H5701" s="88">
        <v>45995.833333333328</v>
      </c>
      <c r="I5701" s="89">
        <v>8</v>
      </c>
      <c r="J5701" s="90">
        <v>11039</v>
      </c>
      <c r="K5701" s="85">
        <v>1</v>
      </c>
      <c r="L5701" s="85">
        <v>0</v>
      </c>
      <c r="M5701" s="85">
        <v>0</v>
      </c>
      <c r="N5701" s="82" t="s">
        <v>12494</v>
      </c>
      <c r="O5701" s="93">
        <v>45923.443136574075</v>
      </c>
    </row>
    <row r="5702" spans="1:15" ht="22.5" customHeight="1">
      <c r="A5702" s="85">
        <v>174904221976312</v>
      </c>
      <c r="B5702" s="82" t="s">
        <v>10651</v>
      </c>
      <c r="C5702" s="82" t="s">
        <v>12356</v>
      </c>
      <c r="D5702" s="82" t="s">
        <v>2202</v>
      </c>
      <c r="E5702" s="82">
        <v>62895374644456</v>
      </c>
      <c r="F5702" s="92">
        <v>45922</v>
      </c>
      <c r="G5702" s="87">
        <v>733</v>
      </c>
      <c r="H5702" s="88">
        <v>16349.243306169963</v>
      </c>
      <c r="I5702" s="89">
        <v>29</v>
      </c>
      <c r="J5702" s="90">
        <v>14044</v>
      </c>
      <c r="K5702" s="85">
        <v>4</v>
      </c>
      <c r="L5702" s="85">
        <v>4</v>
      </c>
      <c r="M5702" s="85">
        <v>0</v>
      </c>
      <c r="N5702" s="82" t="s">
        <v>12357</v>
      </c>
      <c r="O5702" s="93">
        <v>45923.235196759262</v>
      </c>
    </row>
    <row r="5703" spans="1:15" ht="22.5" customHeight="1">
      <c r="A5703" s="85">
        <v>174904221976312</v>
      </c>
      <c r="B5703" s="82" t="s">
        <v>10651</v>
      </c>
      <c r="C5703" s="82" t="s">
        <v>12279</v>
      </c>
      <c r="D5703" s="82" t="s">
        <v>11800</v>
      </c>
      <c r="E5703" s="82">
        <v>6285333751528</v>
      </c>
      <c r="F5703" s="92">
        <v>45922</v>
      </c>
      <c r="G5703" s="87">
        <v>139</v>
      </c>
      <c r="H5703" s="88">
        <v>72858.974358974359</v>
      </c>
      <c r="I5703" s="89">
        <v>6</v>
      </c>
      <c r="J5703" s="90">
        <v>11366</v>
      </c>
      <c r="K5703" s="85">
        <v>1</v>
      </c>
      <c r="L5703" s="85">
        <v>0</v>
      </c>
      <c r="M5703" s="85">
        <v>0</v>
      </c>
      <c r="N5703" s="82" t="s">
        <v>12337</v>
      </c>
      <c r="O5703" s="93">
        <v>45923.526655092595</v>
      </c>
    </row>
    <row r="5704" spans="1:15" ht="22.5" customHeight="1">
      <c r="A5704" s="85">
        <v>174904221976312</v>
      </c>
      <c r="B5704" s="82" t="s">
        <v>10651</v>
      </c>
      <c r="C5704" s="82" t="s">
        <v>12284</v>
      </c>
      <c r="D5704" s="82" t="s">
        <v>12285</v>
      </c>
      <c r="E5704" s="82">
        <v>6285921481643</v>
      </c>
      <c r="F5704" s="92">
        <v>45922</v>
      </c>
      <c r="G5704" s="87">
        <v>466</v>
      </c>
      <c r="H5704" s="88">
        <v>24021.73913043478</v>
      </c>
      <c r="I5704" s="89">
        <v>9</v>
      </c>
      <c r="J5704" s="90">
        <v>13260</v>
      </c>
      <c r="K5704" s="85">
        <v>0</v>
      </c>
      <c r="L5704" s="85">
        <v>0</v>
      </c>
      <c r="M5704" s="85">
        <v>0</v>
      </c>
      <c r="N5704" s="82" t="s">
        <v>12465</v>
      </c>
      <c r="O5704" s="93">
        <v>45923.672256944446</v>
      </c>
    </row>
    <row r="5705" spans="1:15" ht="22.5" customHeight="1">
      <c r="A5705" s="85">
        <v>174904221976312</v>
      </c>
      <c r="B5705" s="82" t="s">
        <v>10651</v>
      </c>
      <c r="C5705" s="82" t="s">
        <v>12269</v>
      </c>
      <c r="D5705" s="82" t="s">
        <v>12270</v>
      </c>
      <c r="E5705" s="82">
        <v>6282229433259</v>
      </c>
      <c r="F5705" s="92">
        <v>45922</v>
      </c>
      <c r="G5705" s="87">
        <v>248</v>
      </c>
      <c r="H5705" s="88">
        <v>45113.475177304965</v>
      </c>
      <c r="I5705" s="89">
        <v>15</v>
      </c>
      <c r="J5705" s="90">
        <v>12722</v>
      </c>
      <c r="K5705" s="85">
        <v>0</v>
      </c>
      <c r="L5705" s="85">
        <v>125</v>
      </c>
      <c r="M5705" s="85">
        <v>0</v>
      </c>
      <c r="N5705" s="82" t="s">
        <v>12339</v>
      </c>
      <c r="O5705" s="93">
        <v>45923.318055555559</v>
      </c>
    </row>
    <row r="5706" spans="1:15" ht="22.5" customHeight="1">
      <c r="A5706" s="85">
        <v>174904221976312</v>
      </c>
      <c r="B5706" s="82" t="s">
        <v>10651</v>
      </c>
      <c r="C5706" s="82" t="s">
        <v>12237</v>
      </c>
      <c r="D5706" s="82" t="s">
        <v>12238</v>
      </c>
      <c r="E5706" s="82">
        <v>6287888330007</v>
      </c>
      <c r="F5706" s="92">
        <v>45922</v>
      </c>
      <c r="G5706" s="87">
        <v>466</v>
      </c>
      <c r="H5706" s="88">
        <v>25489.719626168226</v>
      </c>
      <c r="I5706" s="89">
        <v>32</v>
      </c>
      <c r="J5706" s="90">
        <v>13637</v>
      </c>
      <c r="K5706" s="85">
        <v>7</v>
      </c>
      <c r="L5706" s="85">
        <v>0</v>
      </c>
      <c r="M5706" s="85">
        <v>1</v>
      </c>
      <c r="N5706" s="82" t="s">
        <v>12495</v>
      </c>
      <c r="O5706" s="93">
        <v>45923.214837962965</v>
      </c>
    </row>
    <row r="5707" spans="1:15" ht="22.5" customHeight="1">
      <c r="A5707" s="85">
        <v>174904221976312</v>
      </c>
      <c r="B5707" s="82" t="s">
        <v>10651</v>
      </c>
      <c r="C5707" s="82" t="s">
        <v>12209</v>
      </c>
      <c r="D5707" s="82" t="s">
        <v>12210</v>
      </c>
      <c r="E5707" s="82">
        <v>6282217300224</v>
      </c>
      <c r="F5707" s="92">
        <v>45922</v>
      </c>
      <c r="G5707" s="87">
        <v>130</v>
      </c>
      <c r="H5707" s="88">
        <v>92244.604316546756</v>
      </c>
      <c r="I5707" s="89">
        <v>0</v>
      </c>
      <c r="J5707" s="90">
        <v>12822</v>
      </c>
      <c r="K5707" s="85">
        <v>0</v>
      </c>
      <c r="L5707" s="85">
        <v>0</v>
      </c>
      <c r="M5707" s="85">
        <v>0</v>
      </c>
      <c r="N5707" s="82" t="s">
        <v>12317</v>
      </c>
      <c r="O5707" s="93">
        <v>45923.631018518521</v>
      </c>
    </row>
    <row r="5708" spans="1:15" ht="22.5" customHeight="1">
      <c r="A5708" s="85">
        <v>174904221976312</v>
      </c>
      <c r="B5708" s="82" t="s">
        <v>10651</v>
      </c>
      <c r="C5708" s="82" t="s">
        <v>12171</v>
      </c>
      <c r="D5708" s="82" t="s">
        <v>4386</v>
      </c>
      <c r="E5708" s="82">
        <v>62818533354</v>
      </c>
      <c r="F5708" s="92">
        <v>45922</v>
      </c>
      <c r="G5708" s="87">
        <v>331</v>
      </c>
      <c r="H5708" s="88">
        <v>28669.662921348314</v>
      </c>
      <c r="I5708" s="89">
        <v>9</v>
      </c>
      <c r="J5708" s="90">
        <v>12758</v>
      </c>
      <c r="K5708" s="85">
        <v>2</v>
      </c>
      <c r="L5708" s="85">
        <v>0</v>
      </c>
      <c r="M5708" s="85">
        <v>0</v>
      </c>
      <c r="N5708" s="82" t="s">
        <v>12319</v>
      </c>
      <c r="O5708" s="93">
        <v>45923.464004629626</v>
      </c>
    </row>
    <row r="5709" spans="1:15" ht="22.5" customHeight="1">
      <c r="A5709" s="85">
        <v>174904221976312</v>
      </c>
      <c r="B5709" s="82" t="s">
        <v>10651</v>
      </c>
      <c r="C5709" s="82" t="s">
        <v>12122</v>
      </c>
      <c r="D5709" s="82" t="s">
        <v>12123</v>
      </c>
      <c r="E5709" s="82">
        <v>6285720705874</v>
      </c>
      <c r="F5709" s="92">
        <v>45922</v>
      </c>
      <c r="G5709" s="87">
        <v>1243</v>
      </c>
      <c r="H5709" s="88">
        <v>8783.3668678739105</v>
      </c>
      <c r="I5709" s="89">
        <v>52</v>
      </c>
      <c r="J5709" s="90">
        <v>13096</v>
      </c>
      <c r="K5709" s="85">
        <v>4</v>
      </c>
      <c r="L5709" s="85">
        <v>515</v>
      </c>
      <c r="M5709" s="85">
        <v>1</v>
      </c>
      <c r="N5709" s="82" t="s">
        <v>12472</v>
      </c>
      <c r="O5709" s="93">
        <v>45923.651331018518</v>
      </c>
    </row>
    <row r="5710" spans="1:15" ht="22.5" customHeight="1">
      <c r="A5710" s="85">
        <v>174904221976312</v>
      </c>
      <c r="B5710" s="82" t="s">
        <v>10651</v>
      </c>
      <c r="C5710" s="82" t="s">
        <v>12058</v>
      </c>
      <c r="D5710" s="82" t="s">
        <v>4516</v>
      </c>
      <c r="E5710" s="82">
        <v>6281315163838</v>
      </c>
      <c r="F5710" s="92">
        <v>45922</v>
      </c>
      <c r="G5710" s="87">
        <v>317</v>
      </c>
      <c r="H5710" s="88">
        <v>39428.169014084509</v>
      </c>
      <c r="I5710" s="89">
        <v>20</v>
      </c>
      <c r="J5710" s="90">
        <v>13997</v>
      </c>
      <c r="K5710" s="85">
        <v>7</v>
      </c>
      <c r="L5710" s="85">
        <v>159</v>
      </c>
      <c r="M5710" s="85">
        <v>1</v>
      </c>
      <c r="N5710" s="82" t="s">
        <v>12321</v>
      </c>
      <c r="O5710" s="93">
        <v>45923.547256944446</v>
      </c>
    </row>
    <row r="5711" spans="1:15" ht="22.5" customHeight="1">
      <c r="A5711" s="85">
        <v>174904221976312</v>
      </c>
      <c r="B5711" s="82" t="s">
        <v>10651</v>
      </c>
      <c r="C5711" s="82" t="s">
        <v>12039</v>
      </c>
      <c r="D5711" s="82" t="s">
        <v>12040</v>
      </c>
      <c r="E5711" s="82">
        <v>6281330410391</v>
      </c>
      <c r="F5711" s="92">
        <v>45922</v>
      </c>
      <c r="G5711" s="87">
        <v>773</v>
      </c>
      <c r="H5711" s="88">
        <v>13861.884368308351</v>
      </c>
      <c r="I5711" s="89">
        <v>68</v>
      </c>
      <c r="J5711" s="90">
        <v>12947</v>
      </c>
      <c r="K5711" s="85">
        <v>7</v>
      </c>
      <c r="L5711" s="85">
        <v>0</v>
      </c>
      <c r="M5711" s="85">
        <v>0</v>
      </c>
      <c r="N5711" s="82" t="s">
        <v>12435</v>
      </c>
      <c r="O5711" s="93">
        <v>45923.714212962965</v>
      </c>
    </row>
    <row r="5712" spans="1:15" ht="22.5" customHeight="1">
      <c r="A5712" s="85">
        <v>174904221976312</v>
      </c>
      <c r="B5712" s="82" t="s">
        <v>10651</v>
      </c>
      <c r="C5712" s="82" t="s">
        <v>11641</v>
      </c>
      <c r="D5712" s="82" t="s">
        <v>3229</v>
      </c>
      <c r="E5712" s="82">
        <v>6287865111033</v>
      </c>
      <c r="F5712" s="92">
        <v>45922</v>
      </c>
      <c r="G5712" s="87">
        <v>969</v>
      </c>
      <c r="H5712" s="88">
        <v>13233.082706766916</v>
      </c>
      <c r="I5712" s="89">
        <v>31</v>
      </c>
      <c r="J5712" s="90">
        <v>15840</v>
      </c>
      <c r="K5712" s="85">
        <v>5</v>
      </c>
      <c r="L5712" s="85">
        <v>133</v>
      </c>
      <c r="M5712" s="85">
        <v>0</v>
      </c>
      <c r="N5712" s="82" t="s">
        <v>12225</v>
      </c>
      <c r="O5712" s="93">
        <v>45923.38082175926</v>
      </c>
    </row>
    <row r="5713" spans="1:15" ht="22.5" customHeight="1">
      <c r="A5713" s="85">
        <v>174904221976312</v>
      </c>
      <c r="B5713" s="82" t="s">
        <v>10651</v>
      </c>
      <c r="C5713" s="82" t="s">
        <v>11613</v>
      </c>
      <c r="D5713" s="82" t="s">
        <v>11614</v>
      </c>
      <c r="E5713" s="82">
        <v>6282186829904</v>
      </c>
      <c r="F5713" s="92">
        <v>45922</v>
      </c>
      <c r="G5713" s="87">
        <v>131</v>
      </c>
      <c r="H5713" s="88">
        <v>102546.76258992805</v>
      </c>
      <c r="I5713" s="89">
        <v>9</v>
      </c>
      <c r="J5713" s="90">
        <v>14254</v>
      </c>
      <c r="K5713" s="85">
        <v>2</v>
      </c>
      <c r="L5713" s="85">
        <v>0</v>
      </c>
      <c r="M5713" s="85">
        <v>0</v>
      </c>
      <c r="N5713" s="82" t="s">
        <v>12466</v>
      </c>
      <c r="O5713" s="93">
        <v>45923.339282407411</v>
      </c>
    </row>
    <row r="5714" spans="1:15" ht="22.5" customHeight="1">
      <c r="A5714" s="85">
        <v>174904221976312</v>
      </c>
      <c r="B5714" s="82" t="s">
        <v>10651</v>
      </c>
      <c r="C5714" s="82" t="s">
        <v>11580</v>
      </c>
      <c r="D5714" s="82" t="s">
        <v>11581</v>
      </c>
      <c r="E5714" s="82">
        <v>6287790276733</v>
      </c>
      <c r="F5714" s="92">
        <v>45922</v>
      </c>
      <c r="G5714" s="87">
        <v>685</v>
      </c>
      <c r="H5714" s="88">
        <v>15994.054696789537</v>
      </c>
      <c r="I5714" s="89">
        <v>23</v>
      </c>
      <c r="J5714" s="90">
        <v>13451</v>
      </c>
      <c r="K5714" s="85">
        <v>3</v>
      </c>
      <c r="L5714" s="85">
        <v>157</v>
      </c>
      <c r="M5714" s="85">
        <v>0</v>
      </c>
      <c r="N5714" s="82" t="s">
        <v>12343</v>
      </c>
      <c r="O5714" s="93">
        <v>45923.526296296295</v>
      </c>
    </row>
    <row r="5715" spans="1:15" ht="22.5" customHeight="1">
      <c r="A5715" s="85">
        <v>759724529202804</v>
      </c>
      <c r="B5715" s="82" t="s">
        <v>10621</v>
      </c>
      <c r="C5715" s="82" t="s">
        <v>10850</v>
      </c>
      <c r="D5715" s="82" t="s">
        <v>10851</v>
      </c>
      <c r="E5715" s="82">
        <v>6282125465047</v>
      </c>
      <c r="F5715" s="92">
        <v>45923</v>
      </c>
      <c r="G5715" s="87">
        <v>349</v>
      </c>
      <c r="H5715" s="88">
        <v>38387.434554973821</v>
      </c>
      <c r="I5715" s="89">
        <v>18</v>
      </c>
      <c r="J5715" s="90">
        <v>14664</v>
      </c>
      <c r="K5715" s="85">
        <v>2</v>
      </c>
      <c r="L5715" s="85">
        <v>5</v>
      </c>
      <c r="M5715" s="85">
        <v>2</v>
      </c>
      <c r="N5715" s="82" t="s">
        <v>10852</v>
      </c>
      <c r="O5715" s="93">
        <v>45924.422407407408</v>
      </c>
    </row>
    <row r="5716" spans="1:15" ht="22.5" customHeight="1">
      <c r="A5716" s="85">
        <v>174904221976312</v>
      </c>
      <c r="B5716" s="82" t="s">
        <v>10651</v>
      </c>
      <c r="C5716" s="82" t="s">
        <v>5975</v>
      </c>
      <c r="D5716" s="82" t="s">
        <v>12518</v>
      </c>
      <c r="E5716" s="82">
        <v>6282219980006</v>
      </c>
      <c r="F5716" s="92">
        <v>45923</v>
      </c>
      <c r="G5716" s="87">
        <v>271</v>
      </c>
      <c r="H5716" s="88">
        <v>38195.335276967933</v>
      </c>
      <c r="I5716" s="89">
        <v>9</v>
      </c>
      <c r="J5716" s="90">
        <v>13101</v>
      </c>
      <c r="K5716" s="85">
        <v>2</v>
      </c>
      <c r="L5716" s="85">
        <v>1</v>
      </c>
      <c r="M5716" s="85">
        <v>0</v>
      </c>
      <c r="N5716" s="82" t="s">
        <v>12519</v>
      </c>
      <c r="O5716" s="93">
        <v>45924.609953703701</v>
      </c>
    </row>
    <row r="5717" spans="1:15" ht="22.5" customHeight="1">
      <c r="A5717" s="85">
        <v>174904221976312</v>
      </c>
      <c r="B5717" s="82" t="s">
        <v>10651</v>
      </c>
      <c r="C5717" s="82" t="s">
        <v>5931</v>
      </c>
      <c r="D5717" s="82" t="s">
        <v>12513</v>
      </c>
      <c r="E5717" s="82">
        <v>6282110222282</v>
      </c>
      <c r="F5717" s="92">
        <v>45923</v>
      </c>
      <c r="G5717" s="87">
        <v>334</v>
      </c>
      <c r="H5717" s="88">
        <v>32096.534653465347</v>
      </c>
      <c r="I5717" s="89">
        <v>5</v>
      </c>
      <c r="J5717" s="90">
        <v>12967</v>
      </c>
      <c r="K5717" s="85">
        <v>0</v>
      </c>
      <c r="L5717" s="85">
        <v>77</v>
      </c>
      <c r="M5717" s="85">
        <v>0</v>
      </c>
      <c r="N5717" s="82" t="s">
        <v>12514</v>
      </c>
      <c r="O5717" s="93">
        <v>45924.567812499998</v>
      </c>
    </row>
    <row r="5718" spans="1:15" ht="22.5" customHeight="1">
      <c r="A5718" s="85">
        <v>174904221976312</v>
      </c>
      <c r="B5718" s="82" t="s">
        <v>10651</v>
      </c>
      <c r="C5718" s="82" t="s">
        <v>5923</v>
      </c>
      <c r="D5718" s="82" t="s">
        <v>12515</v>
      </c>
      <c r="E5718" s="82">
        <v>6282225676546</v>
      </c>
      <c r="F5718" s="92">
        <v>45923</v>
      </c>
      <c r="G5718" s="87">
        <v>324</v>
      </c>
      <c r="H5718" s="88">
        <v>29537.433155080216</v>
      </c>
      <c r="I5718" s="89">
        <v>10</v>
      </c>
      <c r="J5718" s="90">
        <v>11047</v>
      </c>
      <c r="K5718" s="85">
        <v>1</v>
      </c>
      <c r="L5718" s="85">
        <v>1</v>
      </c>
      <c r="M5718" s="85">
        <v>0</v>
      </c>
      <c r="N5718" s="82" t="s">
        <v>12516</v>
      </c>
      <c r="O5718" s="93">
        <v>45924.567812499998</v>
      </c>
    </row>
    <row r="5719" spans="1:15" ht="22.5" customHeight="1">
      <c r="A5719" s="85">
        <v>174904221976312</v>
      </c>
      <c r="B5719" s="82" t="s">
        <v>10651</v>
      </c>
      <c r="C5719" s="82" t="s">
        <v>5917</v>
      </c>
      <c r="D5719" s="82" t="s">
        <v>5914</v>
      </c>
      <c r="E5719" s="82">
        <v>62881022322099</v>
      </c>
      <c r="F5719" s="92">
        <v>45923</v>
      </c>
      <c r="G5719" s="87">
        <v>737</v>
      </c>
      <c r="H5719" s="88">
        <v>15029.511918274688</v>
      </c>
      <c r="I5719" s="89">
        <v>46</v>
      </c>
      <c r="J5719" s="90">
        <v>13241</v>
      </c>
      <c r="K5719" s="85">
        <v>7</v>
      </c>
      <c r="L5719" s="85">
        <v>369</v>
      </c>
      <c r="M5719" s="85">
        <v>0</v>
      </c>
      <c r="N5719" s="82" t="s">
        <v>12509</v>
      </c>
      <c r="O5719" s="93">
        <v>45924.630972222221</v>
      </c>
    </row>
    <row r="5720" spans="1:15" ht="22.5" customHeight="1">
      <c r="A5720" s="85">
        <v>174904221976312</v>
      </c>
      <c r="B5720" s="82" t="s">
        <v>10651</v>
      </c>
      <c r="C5720" s="82" t="s">
        <v>5880</v>
      </c>
      <c r="D5720" s="82" t="s">
        <v>5876</v>
      </c>
      <c r="E5720" s="82">
        <v>62823332108583</v>
      </c>
      <c r="F5720" s="92">
        <v>45923</v>
      </c>
      <c r="G5720" s="87">
        <v>760</v>
      </c>
      <c r="H5720" s="88">
        <v>13873.068432671082</v>
      </c>
      <c r="I5720" s="89">
        <v>6</v>
      </c>
      <c r="J5720" s="90">
        <v>12569</v>
      </c>
      <c r="K5720" s="85">
        <v>0</v>
      </c>
      <c r="L5720" s="85">
        <v>1</v>
      </c>
      <c r="M5720" s="85">
        <v>0</v>
      </c>
      <c r="N5720" s="82" t="s">
        <v>12517</v>
      </c>
      <c r="O5720" s="93">
        <v>45924.317997685182</v>
      </c>
    </row>
    <row r="5721" spans="1:15" ht="22.5" customHeight="1">
      <c r="A5721" s="85">
        <v>174904221976312</v>
      </c>
      <c r="B5721" s="82" t="s">
        <v>10651</v>
      </c>
      <c r="C5721" s="82" t="s">
        <v>12503</v>
      </c>
      <c r="D5721" s="82" t="s">
        <v>12504</v>
      </c>
      <c r="E5721" s="82">
        <v>6282311906512</v>
      </c>
      <c r="F5721" s="92">
        <v>45923</v>
      </c>
      <c r="G5721" s="87">
        <v>657</v>
      </c>
      <c r="H5721" s="88">
        <v>19337.365591397847</v>
      </c>
      <c r="I5721" s="89">
        <v>28</v>
      </c>
      <c r="J5721" s="90">
        <v>14387</v>
      </c>
      <c r="K5721" s="85">
        <v>0</v>
      </c>
      <c r="L5721" s="85">
        <v>235</v>
      </c>
      <c r="M5721" s="85">
        <v>0</v>
      </c>
      <c r="N5721" s="82" t="s">
        <v>12511</v>
      </c>
      <c r="O5721" s="93">
        <v>45924.464421296296</v>
      </c>
    </row>
    <row r="5722" spans="1:15" ht="22.5" customHeight="1">
      <c r="A5722" s="85">
        <v>174904221976312</v>
      </c>
      <c r="B5722" s="82" t="s">
        <v>10651</v>
      </c>
      <c r="C5722" s="82" t="s">
        <v>12496</v>
      </c>
      <c r="D5722" s="82" t="s">
        <v>12497</v>
      </c>
      <c r="E5722" s="82">
        <v>6285233857272</v>
      </c>
      <c r="F5722" s="92">
        <v>45923</v>
      </c>
      <c r="G5722" s="87">
        <v>608</v>
      </c>
      <c r="H5722" s="88">
        <v>17701.846965699209</v>
      </c>
      <c r="I5722" s="89">
        <v>24</v>
      </c>
      <c r="J5722" s="90">
        <v>13418</v>
      </c>
      <c r="K5722" s="85">
        <v>3</v>
      </c>
      <c r="L5722" s="85">
        <v>40</v>
      </c>
      <c r="M5722" s="85">
        <v>0</v>
      </c>
      <c r="N5722" s="82" t="s">
        <v>12498</v>
      </c>
      <c r="O5722" s="93">
        <v>45924.401458333334</v>
      </c>
    </row>
    <row r="5723" spans="1:15" ht="22.5" customHeight="1">
      <c r="A5723" s="85">
        <v>174904221976312</v>
      </c>
      <c r="B5723" s="82" t="s">
        <v>10651</v>
      </c>
      <c r="C5723" s="82" t="s">
        <v>12499</v>
      </c>
      <c r="D5723" s="82" t="s">
        <v>5802</v>
      </c>
      <c r="E5723" s="82">
        <v>6281220005953</v>
      </c>
      <c r="F5723" s="92">
        <v>45923</v>
      </c>
      <c r="G5723" s="87">
        <v>215</v>
      </c>
      <c r="H5723" s="88">
        <v>49304.526748971191</v>
      </c>
      <c r="I5723" s="89">
        <v>15</v>
      </c>
      <c r="J5723" s="90">
        <v>11981</v>
      </c>
      <c r="K5723" s="85">
        <v>1</v>
      </c>
      <c r="L5723" s="85">
        <v>60</v>
      </c>
      <c r="M5723" s="85">
        <v>0</v>
      </c>
      <c r="N5723" s="82" t="s">
        <v>12506</v>
      </c>
      <c r="O5723" s="93">
        <v>45924.526469907411</v>
      </c>
    </row>
    <row r="5724" spans="1:15" ht="22.5" customHeight="1">
      <c r="A5724" s="85">
        <v>174904221976312</v>
      </c>
      <c r="B5724" s="82" t="s">
        <v>10651</v>
      </c>
      <c r="C5724" s="82" t="s">
        <v>12501</v>
      </c>
      <c r="D5724" s="82" t="s">
        <v>5761</v>
      </c>
      <c r="E5724" s="82">
        <v>6281389082618</v>
      </c>
      <c r="F5724" s="92">
        <v>45923</v>
      </c>
      <c r="G5724" s="87">
        <v>81</v>
      </c>
      <c r="H5724" s="88">
        <v>183726.19047619047</v>
      </c>
      <c r="I5724" s="89">
        <v>5</v>
      </c>
      <c r="J5724" s="90">
        <v>15433</v>
      </c>
      <c r="K5724" s="85">
        <v>0</v>
      </c>
      <c r="L5724" s="85">
        <v>29</v>
      </c>
      <c r="M5724" s="85">
        <v>0</v>
      </c>
      <c r="N5724" s="82" t="s">
        <v>12512</v>
      </c>
      <c r="O5724" s="93">
        <v>45924.276875000003</v>
      </c>
    </row>
    <row r="5725" spans="1:15" ht="22.5" customHeight="1">
      <c r="A5725" s="85">
        <v>174904221976312</v>
      </c>
      <c r="B5725" s="82" t="s">
        <v>10651</v>
      </c>
      <c r="C5725" s="82" t="s">
        <v>12486</v>
      </c>
      <c r="D5725" s="82" t="s">
        <v>12487</v>
      </c>
      <c r="E5725" s="82">
        <v>6281318819599</v>
      </c>
      <c r="F5725" s="92">
        <v>45923</v>
      </c>
      <c r="G5725" s="87">
        <v>995</v>
      </c>
      <c r="H5725" s="88">
        <v>12909.604519774011</v>
      </c>
      <c r="I5725" s="89">
        <v>19</v>
      </c>
      <c r="J5725" s="90">
        <v>13710</v>
      </c>
      <c r="K5725" s="85">
        <v>0</v>
      </c>
      <c r="L5725" s="85">
        <v>12</v>
      </c>
      <c r="M5725" s="85">
        <v>0</v>
      </c>
      <c r="N5725" s="82" t="s">
        <v>12488</v>
      </c>
      <c r="O5725" s="93">
        <v>45924.217488425929</v>
      </c>
    </row>
    <row r="5726" spans="1:15" ht="22.5" customHeight="1">
      <c r="A5726" s="85">
        <v>174904221976312</v>
      </c>
      <c r="B5726" s="82" t="s">
        <v>10651</v>
      </c>
      <c r="C5726" s="82" t="s">
        <v>12489</v>
      </c>
      <c r="D5726" s="82" t="s">
        <v>11483</v>
      </c>
      <c r="E5726" s="82">
        <v>6283107086952</v>
      </c>
      <c r="F5726" s="92">
        <v>45923</v>
      </c>
      <c r="G5726" s="87">
        <v>599</v>
      </c>
      <c r="H5726" s="88">
        <v>20492.795389048992</v>
      </c>
      <c r="I5726" s="89">
        <v>28</v>
      </c>
      <c r="J5726" s="90">
        <v>14222</v>
      </c>
      <c r="K5726" s="85">
        <v>3</v>
      </c>
      <c r="L5726" s="85">
        <v>179</v>
      </c>
      <c r="M5726" s="85">
        <v>0</v>
      </c>
      <c r="N5726" s="82" t="s">
        <v>12490</v>
      </c>
      <c r="O5726" s="93">
        <v>45924.217488425929</v>
      </c>
    </row>
    <row r="5727" spans="1:15" ht="22.5" customHeight="1">
      <c r="A5727" s="85">
        <v>174904221976312</v>
      </c>
      <c r="B5727" s="82" t="s">
        <v>10651</v>
      </c>
      <c r="C5727" s="82" t="s">
        <v>12467</v>
      </c>
      <c r="D5727" s="82" t="s">
        <v>5668</v>
      </c>
      <c r="E5727" s="82">
        <v>6287777144455</v>
      </c>
      <c r="F5727" s="92">
        <v>45923</v>
      </c>
      <c r="G5727" s="87">
        <v>227</v>
      </c>
      <c r="H5727" s="88">
        <v>44758.992805755399</v>
      </c>
      <c r="I5727" s="89">
        <v>14</v>
      </c>
      <c r="J5727" s="90">
        <v>12443</v>
      </c>
      <c r="K5727" s="85">
        <v>1</v>
      </c>
      <c r="L5727" s="85">
        <v>0</v>
      </c>
      <c r="M5727" s="85">
        <v>0</v>
      </c>
      <c r="N5727" s="82" t="s">
        <v>12482</v>
      </c>
      <c r="O5727" s="93">
        <v>45924.568159722221</v>
      </c>
    </row>
    <row r="5728" spans="1:15" ht="22.5" customHeight="1">
      <c r="A5728" s="85">
        <v>174904221976312</v>
      </c>
      <c r="B5728" s="82" t="s">
        <v>10651</v>
      </c>
      <c r="C5728" s="82" t="s">
        <v>12454</v>
      </c>
      <c r="D5728" s="82" t="s">
        <v>5522</v>
      </c>
      <c r="E5728" s="82">
        <v>6287822292311</v>
      </c>
      <c r="F5728" s="92">
        <v>45923</v>
      </c>
      <c r="G5728" s="87">
        <v>241</v>
      </c>
      <c r="H5728" s="88">
        <v>51330.769230769227</v>
      </c>
      <c r="I5728" s="89">
        <v>2</v>
      </c>
      <c r="J5728" s="90">
        <v>13346</v>
      </c>
      <c r="K5728" s="85">
        <v>0</v>
      </c>
      <c r="L5728" s="85">
        <v>118</v>
      </c>
      <c r="M5728" s="85">
        <v>0</v>
      </c>
      <c r="N5728" s="82" t="s">
        <v>12484</v>
      </c>
      <c r="O5728" s="93">
        <v>45924.505358796298</v>
      </c>
    </row>
    <row r="5729" spans="1:15" ht="22.5" customHeight="1">
      <c r="A5729" s="85">
        <v>174904221976312</v>
      </c>
      <c r="B5729" s="82" t="s">
        <v>10651</v>
      </c>
      <c r="C5729" s="82" t="s">
        <v>12353</v>
      </c>
      <c r="D5729" s="82" t="s">
        <v>12354</v>
      </c>
      <c r="E5729" s="82">
        <v>6281355662725</v>
      </c>
      <c r="F5729" s="92">
        <v>45923</v>
      </c>
      <c r="G5729" s="87">
        <v>185</v>
      </c>
      <c r="H5729" s="88">
        <v>61584.11214953271</v>
      </c>
      <c r="I5729" s="89">
        <v>4</v>
      </c>
      <c r="J5729" s="90">
        <v>13179</v>
      </c>
      <c r="K5729" s="85">
        <v>1</v>
      </c>
      <c r="L5729" s="85">
        <v>0</v>
      </c>
      <c r="M5729" s="85">
        <v>0</v>
      </c>
      <c r="N5729" s="82" t="s">
        <v>12494</v>
      </c>
      <c r="O5729" s="93">
        <v>45924.52648148148</v>
      </c>
    </row>
    <row r="5730" spans="1:15" ht="22.5" customHeight="1">
      <c r="A5730" s="85">
        <v>174904221976312</v>
      </c>
      <c r="B5730" s="82" t="s">
        <v>10651</v>
      </c>
      <c r="C5730" s="82" t="s">
        <v>12356</v>
      </c>
      <c r="D5730" s="82" t="s">
        <v>2202</v>
      </c>
      <c r="E5730" s="82">
        <v>62895374644456</v>
      </c>
      <c r="F5730" s="92">
        <v>45923</v>
      </c>
      <c r="G5730" s="87">
        <v>925</v>
      </c>
      <c r="H5730" s="88">
        <v>30381.390593047032</v>
      </c>
      <c r="I5730" s="89">
        <v>67</v>
      </c>
      <c r="J5730" s="90">
        <v>29713</v>
      </c>
      <c r="K5730" s="85">
        <v>7</v>
      </c>
      <c r="L5730" s="85">
        <v>518</v>
      </c>
      <c r="M5730" s="85">
        <v>3</v>
      </c>
      <c r="N5730" s="82" t="s">
        <v>12357</v>
      </c>
      <c r="O5730" s="93">
        <v>45924.652106481481</v>
      </c>
    </row>
    <row r="5731" spans="1:15" ht="22.5" customHeight="1">
      <c r="A5731" s="85">
        <v>174904221976312</v>
      </c>
      <c r="B5731" s="82" t="s">
        <v>10651</v>
      </c>
      <c r="C5731" s="82" t="s">
        <v>12279</v>
      </c>
      <c r="D5731" s="82" t="s">
        <v>11800</v>
      </c>
      <c r="E5731" s="82">
        <v>6285333751528</v>
      </c>
      <c r="F5731" s="92">
        <v>45923</v>
      </c>
      <c r="G5731" s="87">
        <v>113</v>
      </c>
      <c r="H5731" s="88">
        <v>86801.587301587308</v>
      </c>
      <c r="I5731" s="89">
        <v>8</v>
      </c>
      <c r="J5731" s="90">
        <v>10937</v>
      </c>
      <c r="K5731" s="85">
        <v>4</v>
      </c>
      <c r="L5731" s="85">
        <v>0</v>
      </c>
      <c r="M5731" s="85">
        <v>0</v>
      </c>
      <c r="N5731" s="82" t="s">
        <v>12337</v>
      </c>
      <c r="O5731" s="93">
        <v>45924.4846875</v>
      </c>
    </row>
    <row r="5732" spans="1:15" ht="22.5" customHeight="1">
      <c r="A5732" s="85">
        <v>174904221976312</v>
      </c>
      <c r="B5732" s="82" t="s">
        <v>10651</v>
      </c>
      <c r="C5732" s="82" t="s">
        <v>12284</v>
      </c>
      <c r="D5732" s="82" t="s">
        <v>12285</v>
      </c>
      <c r="E5732" s="82">
        <v>6285921481643</v>
      </c>
      <c r="F5732" s="92">
        <v>45923</v>
      </c>
      <c r="G5732" s="87">
        <v>463</v>
      </c>
      <c r="H5732" s="88">
        <v>28685.039370078739</v>
      </c>
      <c r="I5732" s="89">
        <v>10</v>
      </c>
      <c r="J5732" s="90">
        <v>14572</v>
      </c>
      <c r="K5732" s="85">
        <v>1</v>
      </c>
      <c r="L5732" s="85">
        <v>0</v>
      </c>
      <c r="M5732" s="85">
        <v>0</v>
      </c>
      <c r="N5732" s="82" t="s">
        <v>12465</v>
      </c>
      <c r="O5732" s="93">
        <v>45924.464409722219</v>
      </c>
    </row>
    <row r="5733" spans="1:15" ht="22.5" customHeight="1">
      <c r="A5733" s="85">
        <v>174904221976312</v>
      </c>
      <c r="B5733" s="82" t="s">
        <v>10651</v>
      </c>
      <c r="C5733" s="82" t="s">
        <v>12269</v>
      </c>
      <c r="D5733" s="82" t="s">
        <v>12270</v>
      </c>
      <c r="E5733" s="82">
        <v>6282229433259</v>
      </c>
      <c r="F5733" s="92">
        <v>45923</v>
      </c>
      <c r="G5733" s="87">
        <v>212</v>
      </c>
      <c r="H5733" s="88">
        <v>58136.986301369863</v>
      </c>
      <c r="I5733" s="89">
        <v>18</v>
      </c>
      <c r="J5733" s="90">
        <v>12732</v>
      </c>
      <c r="K5733" s="85">
        <v>5</v>
      </c>
      <c r="L5733" s="85">
        <v>122</v>
      </c>
      <c r="M5733" s="85">
        <v>0</v>
      </c>
      <c r="N5733" s="82" t="s">
        <v>12339</v>
      </c>
      <c r="O5733" s="93">
        <v>45924.443449074075</v>
      </c>
    </row>
    <row r="5734" spans="1:15" ht="22.5" customHeight="1">
      <c r="A5734" s="85">
        <v>174904221976312</v>
      </c>
      <c r="B5734" s="82" t="s">
        <v>10651</v>
      </c>
      <c r="C5734" s="82" t="s">
        <v>12209</v>
      </c>
      <c r="D5734" s="82" t="s">
        <v>12210</v>
      </c>
      <c r="E5734" s="82">
        <v>6282217300224</v>
      </c>
      <c r="F5734" s="92">
        <v>45923</v>
      </c>
      <c r="G5734" s="87">
        <v>123</v>
      </c>
      <c r="H5734" s="88">
        <v>93253.623188405792</v>
      </c>
      <c r="I5734" s="89">
        <v>1</v>
      </c>
      <c r="J5734" s="90">
        <v>12869</v>
      </c>
      <c r="K5734" s="85">
        <v>0</v>
      </c>
      <c r="L5734" s="85">
        <v>0</v>
      </c>
      <c r="M5734" s="85">
        <v>0</v>
      </c>
      <c r="N5734" s="82" t="s">
        <v>12317</v>
      </c>
      <c r="O5734" s="93">
        <v>45924.568182870367</v>
      </c>
    </row>
    <row r="5735" spans="1:15" ht="22.5" customHeight="1">
      <c r="A5735" s="85">
        <v>174904221976312</v>
      </c>
      <c r="B5735" s="82" t="s">
        <v>10651</v>
      </c>
      <c r="C5735" s="82" t="s">
        <v>12171</v>
      </c>
      <c r="D5735" s="82" t="s">
        <v>4386</v>
      </c>
      <c r="E5735" s="82">
        <v>62818533354</v>
      </c>
      <c r="F5735" s="92">
        <v>45923</v>
      </c>
      <c r="G5735" s="87">
        <v>285</v>
      </c>
      <c r="H5735" s="88">
        <v>44973.856209150326</v>
      </c>
      <c r="I5735" s="89">
        <v>6</v>
      </c>
      <c r="J5735" s="90">
        <v>13762</v>
      </c>
      <c r="K5735" s="85">
        <v>1</v>
      </c>
      <c r="L5735" s="85">
        <v>0</v>
      </c>
      <c r="M5735" s="85">
        <v>0</v>
      </c>
      <c r="N5735" s="82" t="s">
        <v>12319</v>
      </c>
      <c r="O5735" s="93">
        <v>45924.527233796296</v>
      </c>
    </row>
    <row r="5736" spans="1:15" ht="22.5" customHeight="1">
      <c r="A5736" s="85">
        <v>174904221976312</v>
      </c>
      <c r="B5736" s="82" t="s">
        <v>10651</v>
      </c>
      <c r="C5736" s="82" t="s">
        <v>12122</v>
      </c>
      <c r="D5736" s="82" t="s">
        <v>12123</v>
      </c>
      <c r="E5736" s="82">
        <v>6285720705874</v>
      </c>
      <c r="F5736" s="92">
        <v>45923</v>
      </c>
      <c r="G5736" s="87">
        <v>1129</v>
      </c>
      <c r="H5736" s="88">
        <v>10218.63536316948</v>
      </c>
      <c r="I5736" s="89">
        <v>58</v>
      </c>
      <c r="J5736" s="90">
        <v>13928</v>
      </c>
      <c r="K5736" s="85">
        <v>6</v>
      </c>
      <c r="L5736" s="85">
        <v>392</v>
      </c>
      <c r="M5736" s="85">
        <v>1</v>
      </c>
      <c r="N5736" s="82" t="s">
        <v>12472</v>
      </c>
      <c r="O5736" s="93">
        <v>45924.505358796298</v>
      </c>
    </row>
    <row r="5737" spans="1:15" ht="22.5" customHeight="1">
      <c r="A5737" s="85">
        <v>174904221976312</v>
      </c>
      <c r="B5737" s="82" t="s">
        <v>10651</v>
      </c>
      <c r="C5737" s="82" t="s">
        <v>12058</v>
      </c>
      <c r="D5737" s="82" t="s">
        <v>4516</v>
      </c>
      <c r="E5737" s="82">
        <v>6281315163838</v>
      </c>
      <c r="F5737" s="92">
        <v>45923</v>
      </c>
      <c r="G5737" s="87">
        <v>195</v>
      </c>
      <c r="H5737" s="88">
        <v>55956.331877729252</v>
      </c>
      <c r="I5737" s="89">
        <v>5</v>
      </c>
      <c r="J5737" s="90">
        <v>12814</v>
      </c>
      <c r="K5737" s="85">
        <v>1</v>
      </c>
      <c r="L5737" s="85">
        <v>0</v>
      </c>
      <c r="M5737" s="85">
        <v>0</v>
      </c>
      <c r="N5737" s="82" t="s">
        <v>12321</v>
      </c>
      <c r="O5737" s="93">
        <v>45924.422222222223</v>
      </c>
    </row>
    <row r="5738" spans="1:15" ht="22.5" customHeight="1">
      <c r="A5738" s="85">
        <v>174904221976312</v>
      </c>
      <c r="B5738" s="82" t="s">
        <v>10651</v>
      </c>
      <c r="C5738" s="82" t="s">
        <v>12039</v>
      </c>
      <c r="D5738" s="82" t="s">
        <v>12040</v>
      </c>
      <c r="E5738" s="82">
        <v>6281330410391</v>
      </c>
      <c r="F5738" s="92">
        <v>45923</v>
      </c>
      <c r="G5738" s="87">
        <v>616</v>
      </c>
      <c r="H5738" s="88">
        <v>19123.456790123455</v>
      </c>
      <c r="I5738" s="89">
        <v>43</v>
      </c>
      <c r="J5738" s="90">
        <v>13941</v>
      </c>
      <c r="K5738" s="85">
        <v>3</v>
      </c>
      <c r="L5738" s="85">
        <v>153</v>
      </c>
      <c r="M5738" s="85">
        <v>0</v>
      </c>
      <c r="N5738" s="82" t="s">
        <v>12435</v>
      </c>
      <c r="O5738" s="93">
        <v>45924.651805555557</v>
      </c>
    </row>
    <row r="5739" spans="1:15" ht="22.5" customHeight="1">
      <c r="A5739" s="85">
        <v>174904221976312</v>
      </c>
      <c r="B5739" s="82" t="s">
        <v>10651</v>
      </c>
      <c r="C5739" s="82" t="s">
        <v>11758</v>
      </c>
      <c r="D5739" s="82" t="s">
        <v>11759</v>
      </c>
      <c r="E5739" s="82">
        <v>6285946504405</v>
      </c>
      <c r="F5739" s="92">
        <v>45923</v>
      </c>
      <c r="G5739" s="87">
        <v>258</v>
      </c>
      <c r="H5739" s="88">
        <v>53490.625</v>
      </c>
      <c r="I5739" s="89">
        <v>12</v>
      </c>
      <c r="J5739" s="90">
        <v>17117</v>
      </c>
      <c r="K5739" s="85">
        <v>5</v>
      </c>
      <c r="L5739" s="85">
        <v>0</v>
      </c>
      <c r="M5739" s="85">
        <v>0</v>
      </c>
      <c r="N5739" s="82" t="s">
        <v>12520</v>
      </c>
      <c r="O5739" s="93">
        <v>45924.422210648147</v>
      </c>
    </row>
    <row r="5740" spans="1:15" ht="22.5" customHeight="1">
      <c r="A5740" s="85">
        <v>174904221976312</v>
      </c>
      <c r="B5740" s="82" t="s">
        <v>10651</v>
      </c>
      <c r="C5740" s="82" t="s">
        <v>11641</v>
      </c>
      <c r="D5740" s="82" t="s">
        <v>3229</v>
      </c>
      <c r="E5740" s="82">
        <v>6287865111033</v>
      </c>
      <c r="F5740" s="92">
        <v>45923</v>
      </c>
      <c r="G5740" s="87">
        <v>772</v>
      </c>
      <c r="H5740" s="88">
        <v>17345.434543454347</v>
      </c>
      <c r="I5740" s="89">
        <v>34</v>
      </c>
      <c r="J5740" s="90">
        <v>15767</v>
      </c>
      <c r="K5740" s="85">
        <v>4</v>
      </c>
      <c r="L5740" s="85">
        <v>326</v>
      </c>
      <c r="M5740" s="85">
        <v>0</v>
      </c>
      <c r="N5740" s="82" t="s">
        <v>12225</v>
      </c>
      <c r="O5740" s="93">
        <v>45924.527233796296</v>
      </c>
    </row>
    <row r="5741" spans="1:15" ht="22.5" customHeight="1">
      <c r="A5741" s="85">
        <v>174904221976312</v>
      </c>
      <c r="B5741" s="82" t="s">
        <v>10651</v>
      </c>
      <c r="C5741" s="82" t="s">
        <v>11613</v>
      </c>
      <c r="D5741" s="82" t="s">
        <v>11614</v>
      </c>
      <c r="E5741" s="82">
        <v>6282186829904</v>
      </c>
      <c r="F5741" s="92">
        <v>45923</v>
      </c>
      <c r="G5741" s="87">
        <v>171</v>
      </c>
      <c r="H5741" s="88">
        <v>76209.677419354834</v>
      </c>
      <c r="I5741" s="89">
        <v>7</v>
      </c>
      <c r="J5741" s="90">
        <v>14175</v>
      </c>
      <c r="K5741" s="85">
        <v>1</v>
      </c>
      <c r="L5741" s="85">
        <v>0</v>
      </c>
      <c r="M5741" s="85">
        <v>0</v>
      </c>
      <c r="N5741" s="82" t="s">
        <v>12466</v>
      </c>
      <c r="O5741" s="93">
        <v>45924.547118055554</v>
      </c>
    </row>
    <row r="5742" spans="1:15" ht="22.5" customHeight="1">
      <c r="A5742" s="85">
        <v>174904221976312</v>
      </c>
      <c r="B5742" s="82" t="s">
        <v>10651</v>
      </c>
      <c r="C5742" s="82" t="s">
        <v>11580</v>
      </c>
      <c r="D5742" s="82" t="s">
        <v>11581</v>
      </c>
      <c r="E5742" s="82">
        <v>6287790276733</v>
      </c>
      <c r="F5742" s="92">
        <v>45923</v>
      </c>
      <c r="G5742" s="87">
        <v>607</v>
      </c>
      <c r="H5742" s="88">
        <v>18916.890080428951</v>
      </c>
      <c r="I5742" s="89">
        <v>16</v>
      </c>
      <c r="J5742" s="90">
        <v>14112</v>
      </c>
      <c r="K5742" s="85">
        <v>3</v>
      </c>
      <c r="L5742" s="85">
        <v>0</v>
      </c>
      <c r="M5742" s="85">
        <v>0</v>
      </c>
      <c r="N5742" s="82" t="s">
        <v>12343</v>
      </c>
      <c r="O5742" s="93">
        <v>45924.505624999998</v>
      </c>
    </row>
    <row r="5743" spans="1:15" ht="22.5" customHeight="1">
      <c r="A5743" s="85">
        <v>759724529202804</v>
      </c>
      <c r="B5743" s="82" t="s">
        <v>10621</v>
      </c>
      <c r="C5743" s="82" t="s">
        <v>11055</v>
      </c>
      <c r="D5743" s="82" t="s">
        <v>1021</v>
      </c>
      <c r="E5743" s="82"/>
      <c r="F5743" s="92">
        <v>45924</v>
      </c>
      <c r="G5743" s="87">
        <v>2167</v>
      </c>
      <c r="H5743" s="88">
        <v>28349.143084894378</v>
      </c>
      <c r="I5743" s="89">
        <v>67</v>
      </c>
      <c r="J5743" s="90">
        <v>71128</v>
      </c>
      <c r="K5743" s="85">
        <v>11</v>
      </c>
      <c r="L5743" s="85">
        <v>717</v>
      </c>
      <c r="M5743" s="85">
        <v>0</v>
      </c>
      <c r="N5743" s="82" t="s">
        <v>11056</v>
      </c>
      <c r="O5743" s="93">
        <v>45924.573206018518</v>
      </c>
    </row>
    <row r="5744" spans="1:15" ht="22.5" customHeight="1">
      <c r="A5744" s="85">
        <v>759724529202804</v>
      </c>
      <c r="B5744" s="82" t="s">
        <v>10621</v>
      </c>
      <c r="C5744" s="82" t="s">
        <v>10850</v>
      </c>
      <c r="D5744" s="82" t="s">
        <v>10851</v>
      </c>
      <c r="E5744" s="82">
        <v>6282125465047</v>
      </c>
      <c r="F5744" s="92">
        <v>45924</v>
      </c>
      <c r="G5744" s="87">
        <v>466</v>
      </c>
      <c r="H5744" s="88">
        <v>31806.451612903224</v>
      </c>
      <c r="I5744" s="89">
        <v>32</v>
      </c>
      <c r="J5744" s="90">
        <v>16762</v>
      </c>
      <c r="K5744" s="85">
        <v>7</v>
      </c>
      <c r="L5744" s="85">
        <v>221</v>
      </c>
      <c r="M5744" s="85">
        <v>1</v>
      </c>
      <c r="N5744" s="82" t="s">
        <v>10852</v>
      </c>
      <c r="O5744" s="93">
        <v>45925.526469907411</v>
      </c>
    </row>
    <row r="5745" spans="1:15" ht="22.5" customHeight="1">
      <c r="A5745" s="85">
        <v>174904221976312</v>
      </c>
      <c r="B5745" s="82" t="s">
        <v>10651</v>
      </c>
      <c r="C5745" s="82" t="s">
        <v>6003</v>
      </c>
      <c r="D5745" s="82" t="s">
        <v>6002</v>
      </c>
      <c r="E5745" s="82">
        <v>6285737244570</v>
      </c>
      <c r="F5745" s="92">
        <v>45924</v>
      </c>
      <c r="G5745" s="87">
        <v>417</v>
      </c>
      <c r="H5745" s="88">
        <v>21589.898989898989</v>
      </c>
      <c r="I5745" s="89">
        <v>9</v>
      </c>
      <c r="J5745" s="90">
        <v>10687</v>
      </c>
      <c r="K5745" s="85">
        <v>1</v>
      </c>
      <c r="L5745" s="85">
        <v>1</v>
      </c>
      <c r="M5745" s="85">
        <v>0</v>
      </c>
      <c r="N5745" s="82" t="s">
        <v>12521</v>
      </c>
      <c r="O5745" s="93">
        <v>45925.551203703704</v>
      </c>
    </row>
    <row r="5746" spans="1:15" ht="22.5" customHeight="1">
      <c r="A5746" s="85">
        <v>174904221976312</v>
      </c>
      <c r="B5746" s="82" t="s">
        <v>10651</v>
      </c>
      <c r="C5746" s="82" t="s">
        <v>5975</v>
      </c>
      <c r="D5746" s="82" t="s">
        <v>12518</v>
      </c>
      <c r="E5746" s="82">
        <v>6282219980006</v>
      </c>
      <c r="F5746" s="92">
        <v>45924</v>
      </c>
      <c r="G5746" s="87">
        <v>285</v>
      </c>
      <c r="H5746" s="88">
        <v>30317.647058823528</v>
      </c>
      <c r="I5746" s="89">
        <v>10</v>
      </c>
      <c r="J5746" s="90">
        <v>10308</v>
      </c>
      <c r="K5746" s="85">
        <v>1</v>
      </c>
      <c r="L5746" s="85">
        <v>63</v>
      </c>
      <c r="M5746" s="85">
        <v>0</v>
      </c>
      <c r="N5746" s="82" t="s">
        <v>12522</v>
      </c>
      <c r="O5746" s="93">
        <v>45925.651261574072</v>
      </c>
    </row>
    <row r="5747" spans="1:15" ht="22.5" customHeight="1">
      <c r="A5747" s="85">
        <v>174904221976312</v>
      </c>
      <c r="B5747" s="82" t="s">
        <v>10651</v>
      </c>
      <c r="C5747" s="82" t="s">
        <v>5931</v>
      </c>
      <c r="D5747" s="82" t="s">
        <v>12513</v>
      </c>
      <c r="E5747" s="82">
        <v>6282110222282</v>
      </c>
      <c r="F5747" s="92">
        <v>45924</v>
      </c>
      <c r="G5747" s="87">
        <v>251</v>
      </c>
      <c r="H5747" s="88">
        <v>42712.460063897764</v>
      </c>
      <c r="I5747" s="89">
        <v>9</v>
      </c>
      <c r="J5747" s="90">
        <v>13369</v>
      </c>
      <c r="K5747" s="85">
        <v>1</v>
      </c>
      <c r="L5747" s="85">
        <v>0</v>
      </c>
      <c r="M5747" s="85">
        <v>2</v>
      </c>
      <c r="N5747" s="82" t="s">
        <v>12514</v>
      </c>
      <c r="O5747" s="93">
        <v>45925.485335648147</v>
      </c>
    </row>
    <row r="5748" spans="1:15" ht="22.5" customHeight="1">
      <c r="A5748" s="85">
        <v>174904221976312</v>
      </c>
      <c r="B5748" s="82" t="s">
        <v>10651</v>
      </c>
      <c r="C5748" s="82" t="s">
        <v>5923</v>
      </c>
      <c r="D5748" s="82" t="s">
        <v>12515</v>
      </c>
      <c r="E5748" s="82">
        <v>6282225676546</v>
      </c>
      <c r="F5748" s="92">
        <v>45924</v>
      </c>
      <c r="G5748" s="87">
        <v>406</v>
      </c>
      <c r="H5748" s="88">
        <v>28417.01244813278</v>
      </c>
      <c r="I5748" s="89">
        <v>15</v>
      </c>
      <c r="J5748" s="90">
        <v>13697</v>
      </c>
      <c r="K5748" s="85">
        <v>0</v>
      </c>
      <c r="L5748" s="85">
        <v>1</v>
      </c>
      <c r="M5748" s="85">
        <v>0</v>
      </c>
      <c r="N5748" s="82" t="s">
        <v>12516</v>
      </c>
      <c r="O5748" s="93">
        <v>45925.589594907404</v>
      </c>
    </row>
    <row r="5749" spans="1:15" ht="22.5" customHeight="1">
      <c r="A5749" s="85">
        <v>174904221976312</v>
      </c>
      <c r="B5749" s="82" t="s">
        <v>10651</v>
      </c>
      <c r="C5749" s="82" t="s">
        <v>5917</v>
      </c>
      <c r="D5749" s="82" t="s">
        <v>5914</v>
      </c>
      <c r="E5749" s="82">
        <v>62881022322099</v>
      </c>
      <c r="F5749" s="92">
        <v>45924</v>
      </c>
      <c r="G5749" s="87">
        <v>775</v>
      </c>
      <c r="H5749" s="88">
        <v>14734.273318872018</v>
      </c>
      <c r="I5749" s="89">
        <v>45</v>
      </c>
      <c r="J5749" s="90">
        <v>13585</v>
      </c>
      <c r="K5749" s="85">
        <v>11</v>
      </c>
      <c r="L5749" s="85">
        <v>372</v>
      </c>
      <c r="M5749" s="85">
        <v>1</v>
      </c>
      <c r="N5749" s="82" t="s">
        <v>12509</v>
      </c>
      <c r="O5749" s="93">
        <v>45925.58934027778</v>
      </c>
    </row>
    <row r="5750" spans="1:15" ht="22.5" customHeight="1">
      <c r="A5750" s="85">
        <v>174904221976312</v>
      </c>
      <c r="B5750" s="82" t="s">
        <v>10651</v>
      </c>
      <c r="C5750" s="82" t="s">
        <v>5880</v>
      </c>
      <c r="D5750" s="82" t="s">
        <v>5876</v>
      </c>
      <c r="E5750" s="82">
        <v>62823332108583</v>
      </c>
      <c r="F5750" s="92">
        <v>45924</v>
      </c>
      <c r="G5750" s="87">
        <v>1209</v>
      </c>
      <c r="H5750" s="88">
        <v>10400</v>
      </c>
      <c r="I5750" s="89">
        <v>21</v>
      </c>
      <c r="J5750" s="90">
        <v>14248</v>
      </c>
      <c r="K5750" s="85">
        <v>2</v>
      </c>
      <c r="L5750" s="85">
        <v>156</v>
      </c>
      <c r="M5750" s="85">
        <v>1</v>
      </c>
      <c r="N5750" s="82" t="s">
        <v>12517</v>
      </c>
      <c r="O5750" s="93">
        <v>45925.422523148147</v>
      </c>
    </row>
    <row r="5751" spans="1:15" ht="22.5" customHeight="1">
      <c r="A5751" s="85">
        <v>174904221976312</v>
      </c>
      <c r="B5751" s="82" t="s">
        <v>10651</v>
      </c>
      <c r="C5751" s="82" t="s">
        <v>12503</v>
      </c>
      <c r="D5751" s="82" t="s">
        <v>12504</v>
      </c>
      <c r="E5751" s="82">
        <v>6282311906512</v>
      </c>
      <c r="F5751" s="92">
        <v>45924</v>
      </c>
      <c r="G5751" s="87">
        <v>646</v>
      </c>
      <c r="H5751" s="88">
        <v>17673.360107095046</v>
      </c>
      <c r="I5751" s="89">
        <v>29</v>
      </c>
      <c r="J5751" s="90">
        <v>13202</v>
      </c>
      <c r="K5751" s="85">
        <v>1</v>
      </c>
      <c r="L5751" s="85">
        <v>177</v>
      </c>
      <c r="M5751" s="85">
        <v>1</v>
      </c>
      <c r="N5751" s="82" t="s">
        <v>12511</v>
      </c>
      <c r="O5751" s="93">
        <v>45925.380798611113</v>
      </c>
    </row>
    <row r="5752" spans="1:15" ht="22.5" customHeight="1">
      <c r="A5752" s="85">
        <v>174904221976312</v>
      </c>
      <c r="B5752" s="82" t="s">
        <v>10651</v>
      </c>
      <c r="C5752" s="82" t="s">
        <v>12496</v>
      </c>
      <c r="D5752" s="82" t="s">
        <v>12497</v>
      </c>
      <c r="E5752" s="82">
        <v>6285233857272</v>
      </c>
      <c r="F5752" s="92">
        <v>45924</v>
      </c>
      <c r="G5752" s="87">
        <v>616</v>
      </c>
      <c r="H5752" s="88">
        <v>19013.297872340427</v>
      </c>
      <c r="I5752" s="89">
        <v>33</v>
      </c>
      <c r="J5752" s="90">
        <v>14298</v>
      </c>
      <c r="K5752" s="85">
        <v>4</v>
      </c>
      <c r="L5752" s="85">
        <v>61</v>
      </c>
      <c r="M5752" s="85">
        <v>0</v>
      </c>
      <c r="N5752" s="82" t="s">
        <v>12498</v>
      </c>
      <c r="O5752" s="93">
        <v>45925.216689814813</v>
      </c>
    </row>
    <row r="5753" spans="1:15" ht="22.5" customHeight="1">
      <c r="A5753" s="85">
        <v>174904221976312</v>
      </c>
      <c r="B5753" s="82" t="s">
        <v>10651</v>
      </c>
      <c r="C5753" s="82" t="s">
        <v>12499</v>
      </c>
      <c r="D5753" s="82" t="s">
        <v>5802</v>
      </c>
      <c r="E5753" s="82">
        <v>6281220005953</v>
      </c>
      <c r="F5753" s="92">
        <v>45924</v>
      </c>
      <c r="G5753" s="87">
        <v>271</v>
      </c>
      <c r="H5753" s="88">
        <v>50325.259515570935</v>
      </c>
      <c r="I5753" s="89">
        <v>10</v>
      </c>
      <c r="J5753" s="90">
        <v>14544</v>
      </c>
      <c r="K5753" s="85">
        <v>0</v>
      </c>
      <c r="L5753" s="85">
        <v>74</v>
      </c>
      <c r="M5753" s="85">
        <v>1</v>
      </c>
      <c r="N5753" s="82" t="s">
        <v>12506</v>
      </c>
      <c r="O5753" s="93">
        <v>45925.547650462962</v>
      </c>
    </row>
    <row r="5754" spans="1:15" ht="22.5" customHeight="1">
      <c r="A5754" s="85">
        <v>174904221976312</v>
      </c>
      <c r="B5754" s="82" t="s">
        <v>10651</v>
      </c>
      <c r="C5754" s="82" t="s">
        <v>12501</v>
      </c>
      <c r="D5754" s="82" t="s">
        <v>5761</v>
      </c>
      <c r="E5754" s="82">
        <v>6281389082618</v>
      </c>
      <c r="F5754" s="92">
        <v>45924</v>
      </c>
      <c r="G5754" s="87">
        <v>47</v>
      </c>
      <c r="H5754" s="88">
        <v>234040</v>
      </c>
      <c r="I5754" s="89">
        <v>0</v>
      </c>
      <c r="J5754" s="90">
        <v>11702</v>
      </c>
      <c r="K5754" s="85">
        <v>1</v>
      </c>
      <c r="L5754" s="85">
        <v>0</v>
      </c>
      <c r="M5754" s="85">
        <v>0</v>
      </c>
      <c r="N5754" s="82" t="s">
        <v>12512</v>
      </c>
      <c r="O5754" s="93">
        <v>45925.21671296296</v>
      </c>
    </row>
    <row r="5755" spans="1:15" ht="22.5" customHeight="1">
      <c r="A5755" s="85">
        <v>174904221976312</v>
      </c>
      <c r="B5755" s="82" t="s">
        <v>10651</v>
      </c>
      <c r="C5755" s="82" t="s">
        <v>12467</v>
      </c>
      <c r="D5755" s="82" t="s">
        <v>5668</v>
      </c>
      <c r="E5755" s="82">
        <v>6287777144455</v>
      </c>
      <c r="F5755" s="92">
        <v>45924</v>
      </c>
      <c r="G5755" s="87">
        <v>366</v>
      </c>
      <c r="H5755" s="88">
        <v>26646.370023419204</v>
      </c>
      <c r="I5755" s="89">
        <v>7</v>
      </c>
      <c r="J5755" s="90">
        <v>11378</v>
      </c>
      <c r="K5755" s="85">
        <v>1</v>
      </c>
      <c r="L5755" s="85">
        <v>0</v>
      </c>
      <c r="M5755" s="85">
        <v>0</v>
      </c>
      <c r="N5755" s="82" t="s">
        <v>12482</v>
      </c>
      <c r="O5755" s="93">
        <v>45925.464756944442</v>
      </c>
    </row>
    <row r="5756" spans="1:15" ht="22.5" customHeight="1">
      <c r="A5756" s="85">
        <v>174904221976312</v>
      </c>
      <c r="B5756" s="82" t="s">
        <v>10651</v>
      </c>
      <c r="C5756" s="82" t="s">
        <v>12454</v>
      </c>
      <c r="D5756" s="82" t="s">
        <v>5522</v>
      </c>
      <c r="E5756" s="82">
        <v>6287822292311</v>
      </c>
      <c r="F5756" s="92">
        <v>45924</v>
      </c>
      <c r="G5756" s="87">
        <v>275</v>
      </c>
      <c r="H5756" s="88">
        <v>43428.115015974443</v>
      </c>
      <c r="I5756" s="89">
        <v>11</v>
      </c>
      <c r="J5756" s="90">
        <v>13593</v>
      </c>
      <c r="K5756" s="85">
        <v>0</v>
      </c>
      <c r="L5756" s="85">
        <v>104</v>
      </c>
      <c r="M5756" s="85">
        <v>0</v>
      </c>
      <c r="N5756" s="82" t="s">
        <v>12484</v>
      </c>
      <c r="O5756" s="93">
        <v>45925.547349537039</v>
      </c>
    </row>
    <row r="5757" spans="1:15" ht="22.5" customHeight="1">
      <c r="A5757" s="85">
        <v>174904221976312</v>
      </c>
      <c r="B5757" s="82" t="s">
        <v>10651</v>
      </c>
      <c r="C5757" s="82" t="s">
        <v>12353</v>
      </c>
      <c r="D5757" s="82" t="s">
        <v>12354</v>
      </c>
      <c r="E5757" s="82">
        <v>6281355662725</v>
      </c>
      <c r="F5757" s="92">
        <v>45924</v>
      </c>
      <c r="G5757" s="87">
        <v>271</v>
      </c>
      <c r="H5757" s="88">
        <v>40075</v>
      </c>
      <c r="I5757" s="89">
        <v>8</v>
      </c>
      <c r="J5757" s="90">
        <v>12824</v>
      </c>
      <c r="K5757" s="85">
        <v>0</v>
      </c>
      <c r="L5757" s="85">
        <v>0</v>
      </c>
      <c r="M5757" s="85">
        <v>0</v>
      </c>
      <c r="N5757" s="82" t="s">
        <v>12494</v>
      </c>
      <c r="O5757" s="93">
        <v>45925.48505787037</v>
      </c>
    </row>
    <row r="5758" spans="1:15" ht="22.5" customHeight="1">
      <c r="A5758" s="85">
        <v>174904221976312</v>
      </c>
      <c r="B5758" s="82" t="s">
        <v>10651</v>
      </c>
      <c r="C5758" s="82" t="s">
        <v>12356</v>
      </c>
      <c r="D5758" s="82" t="s">
        <v>2202</v>
      </c>
      <c r="E5758" s="82">
        <v>62895374644456</v>
      </c>
      <c r="F5758" s="92">
        <v>45924</v>
      </c>
      <c r="G5758" s="87">
        <v>402</v>
      </c>
      <c r="H5758" s="88">
        <v>25223.004694835679</v>
      </c>
      <c r="I5758" s="89">
        <v>17</v>
      </c>
      <c r="J5758" s="90">
        <v>10745</v>
      </c>
      <c r="K5758" s="85">
        <v>1</v>
      </c>
      <c r="L5758" s="85">
        <v>182</v>
      </c>
      <c r="M5758" s="85">
        <v>0</v>
      </c>
      <c r="N5758" s="82" t="s">
        <v>12357</v>
      </c>
      <c r="O5758" s="93">
        <v>45925.609826388885</v>
      </c>
    </row>
    <row r="5759" spans="1:15" ht="22.5" customHeight="1">
      <c r="A5759" s="85">
        <v>174904221976312</v>
      </c>
      <c r="B5759" s="82" t="s">
        <v>10651</v>
      </c>
      <c r="C5759" s="82" t="s">
        <v>12279</v>
      </c>
      <c r="D5759" s="82" t="s">
        <v>11800</v>
      </c>
      <c r="E5759" s="82">
        <v>6285333751528</v>
      </c>
      <c r="F5759" s="92">
        <v>45924</v>
      </c>
      <c r="G5759" s="87">
        <v>220</v>
      </c>
      <c r="H5759" s="88">
        <v>57650.406504065038</v>
      </c>
      <c r="I5759" s="89">
        <v>11</v>
      </c>
      <c r="J5759" s="90">
        <v>14182</v>
      </c>
      <c r="K5759" s="85">
        <v>2</v>
      </c>
      <c r="L5759" s="85">
        <v>77</v>
      </c>
      <c r="M5759" s="85">
        <v>0</v>
      </c>
      <c r="N5759" s="82" t="s">
        <v>12337</v>
      </c>
      <c r="O5759" s="93">
        <v>45925.443113425928</v>
      </c>
    </row>
    <row r="5760" spans="1:15" ht="22.5" customHeight="1">
      <c r="A5760" s="85">
        <v>174904221976312</v>
      </c>
      <c r="B5760" s="82" t="s">
        <v>10651</v>
      </c>
      <c r="C5760" s="82" t="s">
        <v>12284</v>
      </c>
      <c r="D5760" s="82" t="s">
        <v>12285</v>
      </c>
      <c r="E5760" s="82">
        <v>6285921481643</v>
      </c>
      <c r="F5760" s="92">
        <v>45924</v>
      </c>
      <c r="G5760" s="87">
        <v>369</v>
      </c>
      <c r="H5760" s="88">
        <v>28632.183908045976</v>
      </c>
      <c r="I5760" s="89">
        <v>14</v>
      </c>
      <c r="J5760" s="90">
        <v>12455</v>
      </c>
      <c r="K5760" s="85">
        <v>1</v>
      </c>
      <c r="L5760" s="85">
        <v>0</v>
      </c>
      <c r="M5760" s="85">
        <v>0</v>
      </c>
      <c r="N5760" s="82" t="s">
        <v>12465</v>
      </c>
      <c r="O5760" s="93">
        <v>45925.735196759262</v>
      </c>
    </row>
    <row r="5761" spans="1:15" ht="22.5" customHeight="1">
      <c r="A5761" s="85">
        <v>174904221976312</v>
      </c>
      <c r="B5761" s="82" t="s">
        <v>10651</v>
      </c>
      <c r="C5761" s="82" t="s">
        <v>12269</v>
      </c>
      <c r="D5761" s="82" t="s">
        <v>12270</v>
      </c>
      <c r="E5761" s="82">
        <v>6282229433259</v>
      </c>
      <c r="F5761" s="92">
        <v>45924</v>
      </c>
      <c r="G5761" s="87">
        <v>237</v>
      </c>
      <c r="H5761" s="88">
        <v>60104.417670682727</v>
      </c>
      <c r="I5761" s="89">
        <v>19</v>
      </c>
      <c r="J5761" s="90">
        <v>14966</v>
      </c>
      <c r="K5761" s="85">
        <v>3</v>
      </c>
      <c r="L5761" s="85">
        <v>145</v>
      </c>
      <c r="M5761" s="85">
        <v>1</v>
      </c>
      <c r="N5761" s="82" t="s">
        <v>12339</v>
      </c>
      <c r="O5761" s="93">
        <v>45925.464456018519</v>
      </c>
    </row>
    <row r="5762" spans="1:15" ht="22.5" customHeight="1">
      <c r="A5762" s="85">
        <v>174904221976312</v>
      </c>
      <c r="B5762" s="82" t="s">
        <v>10651</v>
      </c>
      <c r="C5762" s="82" t="s">
        <v>12209</v>
      </c>
      <c r="D5762" s="82" t="s">
        <v>12210</v>
      </c>
      <c r="E5762" s="82">
        <v>6282217300224</v>
      </c>
      <c r="F5762" s="92">
        <v>45924</v>
      </c>
      <c r="G5762" s="87">
        <v>124</v>
      </c>
      <c r="H5762" s="88">
        <v>91265.15151515152</v>
      </c>
      <c r="I5762" s="89">
        <v>4</v>
      </c>
      <c r="J5762" s="90">
        <v>12047</v>
      </c>
      <c r="K5762" s="85">
        <v>1</v>
      </c>
      <c r="L5762" s="85">
        <v>0</v>
      </c>
      <c r="M5762" s="85">
        <v>0</v>
      </c>
      <c r="N5762" s="82" t="s">
        <v>12317</v>
      </c>
      <c r="O5762" s="93">
        <v>45925.505798611113</v>
      </c>
    </row>
    <row r="5763" spans="1:15" ht="22.5" customHeight="1">
      <c r="A5763" s="85">
        <v>174904221976312</v>
      </c>
      <c r="B5763" s="82" t="s">
        <v>10651</v>
      </c>
      <c r="C5763" s="82" t="s">
        <v>12171</v>
      </c>
      <c r="D5763" s="82" t="s">
        <v>4386</v>
      </c>
      <c r="E5763" s="82">
        <v>62818533354</v>
      </c>
      <c r="F5763" s="92">
        <v>45924</v>
      </c>
      <c r="G5763" s="87">
        <v>254</v>
      </c>
      <c r="H5763" s="88">
        <v>39111.111111111117</v>
      </c>
      <c r="I5763" s="89">
        <v>8</v>
      </c>
      <c r="J5763" s="90">
        <v>11616</v>
      </c>
      <c r="K5763" s="85">
        <v>1</v>
      </c>
      <c r="L5763" s="85">
        <v>0</v>
      </c>
      <c r="M5763" s="85">
        <v>0</v>
      </c>
      <c r="N5763" s="82" t="s">
        <v>12319</v>
      </c>
      <c r="O5763" s="93">
        <v>45925.464456018519</v>
      </c>
    </row>
    <row r="5764" spans="1:15" ht="22.5" customHeight="1">
      <c r="A5764" s="85">
        <v>174904221976312</v>
      </c>
      <c r="B5764" s="82" t="s">
        <v>10651</v>
      </c>
      <c r="C5764" s="82" t="s">
        <v>12122</v>
      </c>
      <c r="D5764" s="82" t="s">
        <v>12123</v>
      </c>
      <c r="E5764" s="82">
        <v>6285720705874</v>
      </c>
      <c r="F5764" s="92">
        <v>45924</v>
      </c>
      <c r="G5764" s="87">
        <v>1155</v>
      </c>
      <c r="H5764" s="88">
        <v>10592.290585618977</v>
      </c>
      <c r="I5764" s="89">
        <v>40</v>
      </c>
      <c r="J5764" s="90">
        <v>14289</v>
      </c>
      <c r="K5764" s="85">
        <v>2</v>
      </c>
      <c r="L5764" s="85">
        <v>400</v>
      </c>
      <c r="M5764" s="85">
        <v>0</v>
      </c>
      <c r="N5764" s="82" t="s">
        <v>12472</v>
      </c>
      <c r="O5764" s="93">
        <v>45925.422303240739</v>
      </c>
    </row>
    <row r="5765" spans="1:15" ht="22.5" customHeight="1">
      <c r="A5765" s="85">
        <v>174904221976312</v>
      </c>
      <c r="B5765" s="82" t="s">
        <v>10651</v>
      </c>
      <c r="C5765" s="82" t="s">
        <v>12058</v>
      </c>
      <c r="D5765" s="82" t="s">
        <v>4516</v>
      </c>
      <c r="E5765" s="82">
        <v>6281315163838</v>
      </c>
      <c r="F5765" s="92">
        <v>45924</v>
      </c>
      <c r="G5765" s="87">
        <v>230</v>
      </c>
      <c r="H5765" s="88">
        <v>57390.625</v>
      </c>
      <c r="I5765" s="89">
        <v>7</v>
      </c>
      <c r="J5765" s="90">
        <v>14692</v>
      </c>
      <c r="K5765" s="85">
        <v>0</v>
      </c>
      <c r="L5765" s="85">
        <v>0</v>
      </c>
      <c r="M5765" s="85">
        <v>0</v>
      </c>
      <c r="N5765" s="82" t="s">
        <v>12321</v>
      </c>
      <c r="O5765" s="93">
        <v>45925.21670138889</v>
      </c>
    </row>
    <row r="5766" spans="1:15" ht="22.5" customHeight="1">
      <c r="A5766" s="85">
        <v>174904221976312</v>
      </c>
      <c r="B5766" s="82" t="s">
        <v>10651</v>
      </c>
      <c r="C5766" s="82" t="s">
        <v>12039</v>
      </c>
      <c r="D5766" s="82" t="s">
        <v>12040</v>
      </c>
      <c r="E5766" s="82">
        <v>6281330410391</v>
      </c>
      <c r="F5766" s="92">
        <v>45924</v>
      </c>
      <c r="G5766" s="87">
        <v>612</v>
      </c>
      <c r="H5766" s="88">
        <v>18004.109589041098</v>
      </c>
      <c r="I5766" s="89">
        <v>49</v>
      </c>
      <c r="J5766" s="90">
        <v>13143</v>
      </c>
      <c r="K5766" s="85">
        <v>9</v>
      </c>
      <c r="L5766" s="85">
        <v>0</v>
      </c>
      <c r="M5766" s="85">
        <v>1</v>
      </c>
      <c r="N5766" s="82" t="s">
        <v>12435</v>
      </c>
      <c r="O5766" s="93">
        <v>45925.589328703703</v>
      </c>
    </row>
    <row r="5767" spans="1:15" ht="22.5" customHeight="1">
      <c r="A5767" s="85">
        <v>174904221976312</v>
      </c>
      <c r="B5767" s="82" t="s">
        <v>10651</v>
      </c>
      <c r="C5767" s="82" t="s">
        <v>11758</v>
      </c>
      <c r="D5767" s="82" t="s">
        <v>11759</v>
      </c>
      <c r="E5767" s="82">
        <v>6285946504405</v>
      </c>
      <c r="F5767" s="92">
        <v>45924</v>
      </c>
      <c r="G5767" s="87">
        <v>371</v>
      </c>
      <c r="H5767" s="88">
        <v>36122.352941176476</v>
      </c>
      <c r="I5767" s="89">
        <v>11</v>
      </c>
      <c r="J5767" s="90">
        <v>15352</v>
      </c>
      <c r="K5767" s="85">
        <v>5</v>
      </c>
      <c r="L5767" s="85">
        <v>0</v>
      </c>
      <c r="M5767" s="85">
        <v>0</v>
      </c>
      <c r="N5767" s="82" t="s">
        <v>12520</v>
      </c>
      <c r="O5767" s="93">
        <v>45925.464456018519</v>
      </c>
    </row>
    <row r="5768" spans="1:15" ht="22.5" customHeight="1">
      <c r="A5768" s="85">
        <v>174904221976312</v>
      </c>
      <c r="B5768" s="82" t="s">
        <v>10651</v>
      </c>
      <c r="C5768" s="82" t="s">
        <v>11641</v>
      </c>
      <c r="D5768" s="82" t="s">
        <v>3229</v>
      </c>
      <c r="E5768" s="82">
        <v>6287865111033</v>
      </c>
      <c r="F5768" s="92">
        <v>45924</v>
      </c>
      <c r="G5768" s="87">
        <v>1242</v>
      </c>
      <c r="H5768" s="88">
        <v>7772.4049000644745</v>
      </c>
      <c r="I5768" s="89">
        <v>26</v>
      </c>
      <c r="J5768" s="90">
        <v>12055</v>
      </c>
      <c r="K5768" s="85">
        <v>2</v>
      </c>
      <c r="L5768" s="85">
        <v>0</v>
      </c>
      <c r="M5768" s="85">
        <v>0</v>
      </c>
      <c r="N5768" s="82" t="s">
        <v>12225</v>
      </c>
      <c r="O5768" s="93">
        <v>45925.21670138889</v>
      </c>
    </row>
    <row r="5769" spans="1:15" ht="22.5" customHeight="1">
      <c r="A5769" s="85">
        <v>174904221976312</v>
      </c>
      <c r="B5769" s="82" t="s">
        <v>10651</v>
      </c>
      <c r="C5769" s="82" t="s">
        <v>11613</v>
      </c>
      <c r="D5769" s="82" t="s">
        <v>11614</v>
      </c>
      <c r="E5769" s="82">
        <v>6282186829904</v>
      </c>
      <c r="F5769" s="92">
        <v>45924</v>
      </c>
      <c r="G5769" s="87">
        <v>152</v>
      </c>
      <c r="H5769" s="88">
        <v>79911.111111111109</v>
      </c>
      <c r="I5769" s="89">
        <v>11</v>
      </c>
      <c r="J5769" s="90">
        <v>14384</v>
      </c>
      <c r="K5769" s="85">
        <v>0</v>
      </c>
      <c r="L5769" s="85">
        <v>0</v>
      </c>
      <c r="M5769" s="85">
        <v>1</v>
      </c>
      <c r="N5769" s="82" t="s">
        <v>12466</v>
      </c>
      <c r="O5769" s="93">
        <v>45925.526550925926</v>
      </c>
    </row>
    <row r="5770" spans="1:15" ht="22.5" customHeight="1">
      <c r="A5770" s="85">
        <v>174904221976312</v>
      </c>
      <c r="B5770" s="82" t="s">
        <v>10651</v>
      </c>
      <c r="C5770" s="82" t="s">
        <v>11580</v>
      </c>
      <c r="D5770" s="82" t="s">
        <v>11581</v>
      </c>
      <c r="E5770" s="82">
        <v>6287790276733</v>
      </c>
      <c r="F5770" s="92">
        <v>45924</v>
      </c>
      <c r="G5770" s="87">
        <v>449</v>
      </c>
      <c r="H5770" s="88">
        <v>20319.343065693432</v>
      </c>
      <c r="I5770" s="89">
        <v>19</v>
      </c>
      <c r="J5770" s="90">
        <v>11135</v>
      </c>
      <c r="K5770" s="85">
        <v>1</v>
      </c>
      <c r="L5770" s="85">
        <v>0</v>
      </c>
      <c r="M5770" s="85">
        <v>0</v>
      </c>
      <c r="N5770" s="82" t="s">
        <v>12343</v>
      </c>
      <c r="O5770" s="93">
        <v>45925.609849537039</v>
      </c>
    </row>
    <row r="5771" spans="1:15" ht="22.5" customHeight="1">
      <c r="A5771" s="85">
        <v>759724529202804</v>
      </c>
      <c r="B5771" s="82" t="s">
        <v>10621</v>
      </c>
      <c r="C5771" s="82" t="s">
        <v>11055</v>
      </c>
      <c r="D5771" s="82" t="s">
        <v>1021</v>
      </c>
      <c r="E5771" s="82"/>
      <c r="F5771" s="92">
        <v>45926</v>
      </c>
      <c r="G5771" s="87">
        <v>5082</v>
      </c>
      <c r="H5771" s="88">
        <v>21035.387741280054</v>
      </c>
      <c r="I5771" s="89">
        <v>115</v>
      </c>
      <c r="J5771" s="90">
        <v>124235</v>
      </c>
      <c r="K5771" s="85">
        <v>23</v>
      </c>
      <c r="L5771" s="85">
        <v>1684</v>
      </c>
      <c r="M5771" s="85">
        <v>1</v>
      </c>
      <c r="N5771" s="82" t="s">
        <v>11056</v>
      </c>
      <c r="O5771" s="93">
        <v>45926.576516203706</v>
      </c>
    </row>
    <row r="5772" spans="1:15" ht="22.5" customHeight="1">
      <c r="A5772" s="85">
        <v>759724529202804</v>
      </c>
      <c r="B5772" s="82" t="s">
        <v>10621</v>
      </c>
      <c r="C5772" s="82" t="s">
        <v>10850</v>
      </c>
      <c r="D5772" s="82" t="s">
        <v>10851</v>
      </c>
      <c r="E5772" s="82">
        <v>6282125465047</v>
      </c>
      <c r="F5772" s="92">
        <v>45926</v>
      </c>
      <c r="G5772" s="87">
        <v>517</v>
      </c>
      <c r="H5772" s="88">
        <v>27711.985688729874</v>
      </c>
      <c r="I5772" s="89">
        <v>31</v>
      </c>
      <c r="J5772" s="90">
        <v>15491</v>
      </c>
      <c r="K5772" s="85">
        <v>2</v>
      </c>
      <c r="L5772" s="85">
        <v>252</v>
      </c>
      <c r="M5772" s="85">
        <v>0</v>
      </c>
      <c r="N5772" s="82" t="s">
        <v>10852</v>
      </c>
      <c r="O5772" s="93">
        <v>45927.214756944442</v>
      </c>
    </row>
    <row r="5773" spans="1:15" ht="22.5" customHeight="1">
      <c r="A5773" s="85">
        <v>174904221976312</v>
      </c>
      <c r="B5773" s="82" t="s">
        <v>10651</v>
      </c>
      <c r="C5773" s="82" t="s">
        <v>5628</v>
      </c>
      <c r="D5773" s="82" t="s">
        <v>5625</v>
      </c>
      <c r="E5773" s="82">
        <v>628179231111</v>
      </c>
      <c r="F5773" s="92">
        <v>45926</v>
      </c>
      <c r="G5773" s="87">
        <v>252</v>
      </c>
      <c r="H5773" s="88">
        <v>55023.076923076922</v>
      </c>
      <c r="I5773" s="89">
        <v>10</v>
      </c>
      <c r="J5773" s="90">
        <v>14306</v>
      </c>
      <c r="K5773" s="85">
        <v>0</v>
      </c>
      <c r="L5773" s="85">
        <v>95</v>
      </c>
      <c r="M5773" s="85">
        <v>0</v>
      </c>
      <c r="N5773" s="82" t="s">
        <v>12523</v>
      </c>
      <c r="O5773" s="93">
        <v>45927.568101851852</v>
      </c>
    </row>
    <row r="5774" spans="1:15" ht="22.5" customHeight="1">
      <c r="A5774" s="85">
        <v>174904221976312</v>
      </c>
      <c r="B5774" s="82" t="s">
        <v>10651</v>
      </c>
      <c r="C5774" s="82" t="s">
        <v>6043</v>
      </c>
      <c r="D5774" s="82" t="s">
        <v>6039</v>
      </c>
      <c r="E5774" s="82">
        <v>6282241290026</v>
      </c>
      <c r="F5774" s="92">
        <v>45926</v>
      </c>
      <c r="G5774" s="87">
        <v>350</v>
      </c>
      <c r="H5774" s="88">
        <v>32221.393034825873</v>
      </c>
      <c r="I5774" s="89">
        <v>16</v>
      </c>
      <c r="J5774" s="90">
        <v>12953</v>
      </c>
      <c r="K5774" s="85">
        <v>3</v>
      </c>
      <c r="L5774" s="85">
        <v>2</v>
      </c>
      <c r="M5774" s="85">
        <v>0</v>
      </c>
      <c r="N5774" s="82" t="s">
        <v>12524</v>
      </c>
      <c r="O5774" s="93">
        <v>45927.485046296293</v>
      </c>
    </row>
    <row r="5775" spans="1:15" ht="22.5" customHeight="1">
      <c r="A5775" s="85">
        <v>174904221976312</v>
      </c>
      <c r="B5775" s="82" t="s">
        <v>10651</v>
      </c>
      <c r="C5775" s="82" t="s">
        <v>6013</v>
      </c>
      <c r="D5775" s="82" t="s">
        <v>12525</v>
      </c>
      <c r="E5775" s="82">
        <v>6281230656664</v>
      </c>
      <c r="F5775" s="92">
        <v>45926</v>
      </c>
      <c r="G5775" s="87">
        <v>649</v>
      </c>
      <c r="H5775" s="88">
        <v>14254.876462938881</v>
      </c>
      <c r="I5775" s="89">
        <v>18</v>
      </c>
      <c r="J5775" s="90">
        <v>10962</v>
      </c>
      <c r="K5775" s="85">
        <v>2</v>
      </c>
      <c r="L5775" s="85">
        <v>15</v>
      </c>
      <c r="M5775" s="85">
        <v>0</v>
      </c>
      <c r="N5775" s="82" t="s">
        <v>12526</v>
      </c>
      <c r="O5775" s="93">
        <v>45927.506018518521</v>
      </c>
    </row>
    <row r="5776" spans="1:15" ht="22.5" customHeight="1">
      <c r="A5776" s="85">
        <v>174904221976312</v>
      </c>
      <c r="B5776" s="82" t="s">
        <v>10651</v>
      </c>
      <c r="C5776" s="82" t="s">
        <v>6021</v>
      </c>
      <c r="D5776" s="82" t="s">
        <v>12527</v>
      </c>
      <c r="E5776" s="82">
        <v>6281390669379</v>
      </c>
      <c r="F5776" s="92">
        <v>45926</v>
      </c>
      <c r="G5776" s="87">
        <v>719</v>
      </c>
      <c r="H5776" s="88">
        <v>14764.471057884231</v>
      </c>
      <c r="I5776" s="89">
        <v>40</v>
      </c>
      <c r="J5776" s="90">
        <v>14794</v>
      </c>
      <c r="K5776" s="85">
        <v>4</v>
      </c>
      <c r="L5776" s="85">
        <v>325</v>
      </c>
      <c r="M5776" s="85">
        <v>0</v>
      </c>
      <c r="N5776" s="82" t="s">
        <v>12528</v>
      </c>
      <c r="O5776" s="93">
        <v>45927.547164351854</v>
      </c>
    </row>
    <row r="5777" spans="1:15" ht="22.5" customHeight="1">
      <c r="A5777" s="85">
        <v>174904221976312</v>
      </c>
      <c r="B5777" s="82" t="s">
        <v>10651</v>
      </c>
      <c r="C5777" s="82" t="s">
        <v>6003</v>
      </c>
      <c r="D5777" s="82" t="s">
        <v>6002</v>
      </c>
      <c r="E5777" s="82">
        <v>6285737244570</v>
      </c>
      <c r="F5777" s="92">
        <v>45926</v>
      </c>
      <c r="G5777" s="87">
        <v>603</v>
      </c>
      <c r="H5777" s="88">
        <v>20429.945054945056</v>
      </c>
      <c r="I5777" s="89">
        <v>16</v>
      </c>
      <c r="J5777" s="90">
        <v>14873</v>
      </c>
      <c r="K5777" s="85">
        <v>2</v>
      </c>
      <c r="L5777" s="85">
        <v>0</v>
      </c>
      <c r="M5777" s="85">
        <v>0</v>
      </c>
      <c r="N5777" s="82" t="s">
        <v>12521</v>
      </c>
      <c r="O5777" s="93">
        <v>45927.444004629629</v>
      </c>
    </row>
    <row r="5778" spans="1:15" ht="22.5" customHeight="1">
      <c r="A5778" s="85">
        <v>174904221976312</v>
      </c>
      <c r="B5778" s="82" t="s">
        <v>10651</v>
      </c>
      <c r="C5778" s="82" t="s">
        <v>5975</v>
      </c>
      <c r="D5778" s="82" t="s">
        <v>12518</v>
      </c>
      <c r="E5778" s="82">
        <v>6282219980006</v>
      </c>
      <c r="F5778" s="92">
        <v>45926</v>
      </c>
      <c r="G5778" s="87">
        <v>393</v>
      </c>
      <c r="H5778" s="88">
        <v>29226.452905811624</v>
      </c>
      <c r="I5778" s="89">
        <v>8</v>
      </c>
      <c r="J5778" s="90">
        <v>14584</v>
      </c>
      <c r="K5778" s="85">
        <v>0</v>
      </c>
      <c r="L5778" s="85">
        <v>0</v>
      </c>
      <c r="M5778" s="85">
        <v>0</v>
      </c>
      <c r="N5778" s="82" t="s">
        <v>12522</v>
      </c>
      <c r="O5778" s="93">
        <v>45927.443738425929</v>
      </c>
    </row>
    <row r="5779" spans="1:15" ht="22.5" customHeight="1">
      <c r="A5779" s="85">
        <v>174904221976312</v>
      </c>
      <c r="B5779" s="82" t="s">
        <v>10651</v>
      </c>
      <c r="C5779" s="82" t="s">
        <v>5931</v>
      </c>
      <c r="D5779" s="82" t="s">
        <v>12513</v>
      </c>
      <c r="E5779" s="82">
        <v>6282110222282</v>
      </c>
      <c r="F5779" s="92">
        <v>45926</v>
      </c>
      <c r="G5779" s="87">
        <v>262</v>
      </c>
      <c r="H5779" s="88">
        <v>47186.666666666664</v>
      </c>
      <c r="I5779" s="89">
        <v>12</v>
      </c>
      <c r="J5779" s="90">
        <v>14156</v>
      </c>
      <c r="K5779" s="85">
        <v>3</v>
      </c>
      <c r="L5779" s="85">
        <v>0</v>
      </c>
      <c r="M5779" s="85">
        <v>0</v>
      </c>
      <c r="N5779" s="82" t="s">
        <v>12514</v>
      </c>
      <c r="O5779" s="93">
        <v>45927.317997685182</v>
      </c>
    </row>
    <row r="5780" spans="1:15" ht="22.5" customHeight="1">
      <c r="A5780" s="85">
        <v>174904221976312</v>
      </c>
      <c r="B5780" s="82" t="s">
        <v>10651</v>
      </c>
      <c r="C5780" s="82" t="s">
        <v>5923</v>
      </c>
      <c r="D5780" s="82" t="s">
        <v>12515</v>
      </c>
      <c r="E5780" s="82">
        <v>6282225676546</v>
      </c>
      <c r="F5780" s="92">
        <v>45926</v>
      </c>
      <c r="G5780" s="87">
        <v>307</v>
      </c>
      <c r="H5780" s="88">
        <v>48851.190476190473</v>
      </c>
      <c r="I5780" s="89">
        <v>8</v>
      </c>
      <c r="J5780" s="90">
        <v>16414</v>
      </c>
      <c r="K5780" s="85">
        <v>1</v>
      </c>
      <c r="L5780" s="85">
        <v>110</v>
      </c>
      <c r="M5780" s="85">
        <v>0</v>
      </c>
      <c r="N5780" s="82" t="s">
        <v>12529</v>
      </c>
      <c r="O5780" s="93">
        <v>45927.484768518516</v>
      </c>
    </row>
    <row r="5781" spans="1:15" ht="22.5" customHeight="1">
      <c r="A5781" s="85">
        <v>174904221976312</v>
      </c>
      <c r="B5781" s="82" t="s">
        <v>10651</v>
      </c>
      <c r="C5781" s="82" t="s">
        <v>5917</v>
      </c>
      <c r="D5781" s="82" t="s">
        <v>5914</v>
      </c>
      <c r="E5781" s="82">
        <v>62881022322099</v>
      </c>
      <c r="F5781" s="92">
        <v>45926</v>
      </c>
      <c r="G5781" s="87">
        <v>366</v>
      </c>
      <c r="H5781" s="88">
        <v>24581.218274111674</v>
      </c>
      <c r="I5781" s="89">
        <v>17</v>
      </c>
      <c r="J5781" s="90">
        <v>9685</v>
      </c>
      <c r="K5781" s="85">
        <v>4</v>
      </c>
      <c r="L5781" s="85">
        <v>179</v>
      </c>
      <c r="M5781" s="85">
        <v>0</v>
      </c>
      <c r="N5781" s="82" t="s">
        <v>12509</v>
      </c>
      <c r="O5781" s="93">
        <v>45927.218912037039</v>
      </c>
    </row>
    <row r="5782" spans="1:15" ht="22.5" customHeight="1">
      <c r="A5782" s="85">
        <v>174904221976312</v>
      </c>
      <c r="B5782" s="82" t="s">
        <v>10651</v>
      </c>
      <c r="C5782" s="82" t="s">
        <v>5880</v>
      </c>
      <c r="D5782" s="82" t="s">
        <v>5876</v>
      </c>
      <c r="E5782" s="82">
        <v>62823332108583</v>
      </c>
      <c r="F5782" s="92">
        <v>45926</v>
      </c>
      <c r="G5782" s="87">
        <v>720</v>
      </c>
      <c r="H5782" s="88">
        <v>14141.119221411191</v>
      </c>
      <c r="I5782" s="89">
        <v>29</v>
      </c>
      <c r="J5782" s="90">
        <v>11624</v>
      </c>
      <c r="K5782" s="85">
        <v>3</v>
      </c>
      <c r="L5782" s="85">
        <v>262</v>
      </c>
      <c r="M5782" s="85">
        <v>1</v>
      </c>
      <c r="N5782" s="82" t="s">
        <v>12517</v>
      </c>
      <c r="O5782" s="93">
        <v>45927.218900462962</v>
      </c>
    </row>
    <row r="5783" spans="1:15" ht="22.5" customHeight="1">
      <c r="A5783" s="85">
        <v>174904221976312</v>
      </c>
      <c r="B5783" s="82" t="s">
        <v>10651</v>
      </c>
      <c r="C5783" s="82" t="s">
        <v>12499</v>
      </c>
      <c r="D5783" s="82" t="s">
        <v>5802</v>
      </c>
      <c r="E5783" s="82">
        <v>6281220005953</v>
      </c>
      <c r="F5783" s="92">
        <v>45926</v>
      </c>
      <c r="G5783" s="87">
        <v>164</v>
      </c>
      <c r="H5783" s="88">
        <v>94795.454545454544</v>
      </c>
      <c r="I5783" s="89">
        <v>5</v>
      </c>
      <c r="J5783" s="90">
        <v>16684</v>
      </c>
      <c r="K5783" s="85">
        <v>0</v>
      </c>
      <c r="L5783" s="85">
        <v>32</v>
      </c>
      <c r="M5783" s="85">
        <v>0</v>
      </c>
      <c r="N5783" s="82" t="s">
        <v>12506</v>
      </c>
      <c r="O5783" s="93">
        <v>45927.380613425928</v>
      </c>
    </row>
    <row r="5784" spans="1:15" ht="22.5" customHeight="1">
      <c r="A5784" s="85">
        <v>174904221976312</v>
      </c>
      <c r="B5784" s="82" t="s">
        <v>10651</v>
      </c>
      <c r="C5784" s="82" t="s">
        <v>12476</v>
      </c>
      <c r="D5784" s="82" t="s">
        <v>9010</v>
      </c>
      <c r="E5784" s="82">
        <v>6281316122975</v>
      </c>
      <c r="F5784" s="92">
        <v>45926</v>
      </c>
      <c r="G5784" s="87">
        <v>998</v>
      </c>
      <c r="H5784" s="88">
        <v>22099.502487562189</v>
      </c>
      <c r="I5784" s="89">
        <v>17</v>
      </c>
      <c r="J5784" s="90">
        <v>22210</v>
      </c>
      <c r="K5784" s="85">
        <v>0</v>
      </c>
      <c r="L5784" s="85">
        <v>50</v>
      </c>
      <c r="M5784" s="85">
        <v>0</v>
      </c>
      <c r="N5784" s="82" t="s">
        <v>12507</v>
      </c>
      <c r="O5784" s="93">
        <v>45927.443749999999</v>
      </c>
    </row>
    <row r="5785" spans="1:15" ht="22.5" customHeight="1">
      <c r="A5785" s="85">
        <v>174904221976312</v>
      </c>
      <c r="B5785" s="82" t="s">
        <v>10651</v>
      </c>
      <c r="C5785" s="82" t="s">
        <v>12467</v>
      </c>
      <c r="D5785" s="82" t="s">
        <v>5668</v>
      </c>
      <c r="E5785" s="82">
        <v>6287777144455</v>
      </c>
      <c r="F5785" s="92">
        <v>45926</v>
      </c>
      <c r="G5785" s="87">
        <v>201</v>
      </c>
      <c r="H5785" s="88">
        <v>60280</v>
      </c>
      <c r="I5785" s="89">
        <v>5</v>
      </c>
      <c r="J5785" s="90">
        <v>13563</v>
      </c>
      <c r="K5785" s="85">
        <v>0</v>
      </c>
      <c r="L5785" s="85">
        <v>0</v>
      </c>
      <c r="M5785" s="85">
        <v>0</v>
      </c>
      <c r="N5785" s="82" t="s">
        <v>12482</v>
      </c>
      <c r="O5785" s="93">
        <v>45927.218912037039</v>
      </c>
    </row>
    <row r="5786" spans="1:15" ht="22.5" customHeight="1">
      <c r="A5786" s="85">
        <v>174904221976312</v>
      </c>
      <c r="B5786" s="82" t="s">
        <v>10651</v>
      </c>
      <c r="C5786" s="82" t="s">
        <v>12454</v>
      </c>
      <c r="D5786" s="82" t="s">
        <v>5522</v>
      </c>
      <c r="E5786" s="82">
        <v>6287822292311</v>
      </c>
      <c r="F5786" s="92">
        <v>45926</v>
      </c>
      <c r="G5786" s="87">
        <v>300</v>
      </c>
      <c r="H5786" s="88">
        <v>43959.016393442624</v>
      </c>
      <c r="I5786" s="89">
        <v>7</v>
      </c>
      <c r="J5786" s="90">
        <v>16089</v>
      </c>
      <c r="K5786" s="85">
        <v>1</v>
      </c>
      <c r="L5786" s="85">
        <v>0</v>
      </c>
      <c r="M5786" s="85">
        <v>0</v>
      </c>
      <c r="N5786" s="82" t="s">
        <v>12530</v>
      </c>
      <c r="O5786" s="93">
        <v>45927.317986111113</v>
      </c>
    </row>
    <row r="5787" spans="1:15" ht="22.5" customHeight="1">
      <c r="A5787" s="85">
        <v>174904221976312</v>
      </c>
      <c r="B5787" s="82" t="s">
        <v>10651</v>
      </c>
      <c r="C5787" s="82" t="s">
        <v>12458</v>
      </c>
      <c r="D5787" s="82" t="s">
        <v>5515</v>
      </c>
      <c r="E5787" s="82">
        <v>6285245301996</v>
      </c>
      <c r="F5787" s="92">
        <v>45926</v>
      </c>
      <c r="G5787" s="87">
        <v>1117</v>
      </c>
      <c r="H5787" s="88">
        <v>22676.150627615061</v>
      </c>
      <c r="I5787" s="89">
        <v>17</v>
      </c>
      <c r="J5787" s="90">
        <v>27098</v>
      </c>
      <c r="K5787" s="85">
        <v>2</v>
      </c>
      <c r="L5787" s="85">
        <v>0</v>
      </c>
      <c r="M5787" s="85">
        <v>0</v>
      </c>
      <c r="N5787" s="82" t="s">
        <v>12531</v>
      </c>
      <c r="O5787" s="93">
        <v>45927.443738425929</v>
      </c>
    </row>
    <row r="5788" spans="1:15" ht="22.5" customHeight="1">
      <c r="A5788" s="85">
        <v>174904221976312</v>
      </c>
      <c r="B5788" s="82" t="s">
        <v>10651</v>
      </c>
      <c r="C5788" s="82" t="s">
        <v>12353</v>
      </c>
      <c r="D5788" s="82" t="s">
        <v>12354</v>
      </c>
      <c r="E5788" s="82">
        <v>6281355662725</v>
      </c>
      <c r="F5788" s="92">
        <v>45926</v>
      </c>
      <c r="G5788" s="87">
        <v>172</v>
      </c>
      <c r="H5788" s="88">
        <v>56976.525821596246</v>
      </c>
      <c r="I5788" s="89">
        <v>5</v>
      </c>
      <c r="J5788" s="90">
        <v>12136</v>
      </c>
      <c r="K5788" s="85">
        <v>1</v>
      </c>
      <c r="L5788" s="85">
        <v>0</v>
      </c>
      <c r="M5788" s="85">
        <v>0</v>
      </c>
      <c r="N5788" s="82" t="s">
        <v>12494</v>
      </c>
      <c r="O5788" s="93">
        <v>45927.443726851852</v>
      </c>
    </row>
    <row r="5789" spans="1:15" ht="22.5" customHeight="1">
      <c r="A5789" s="85">
        <v>174904221976312</v>
      </c>
      <c r="B5789" s="82" t="s">
        <v>10651</v>
      </c>
      <c r="C5789" s="82" t="s">
        <v>12356</v>
      </c>
      <c r="D5789" s="82" t="s">
        <v>2202</v>
      </c>
      <c r="E5789" s="82">
        <v>62895374644456</v>
      </c>
      <c r="F5789" s="92">
        <v>45926</v>
      </c>
      <c r="G5789" s="87">
        <v>634</v>
      </c>
      <c r="H5789" s="88">
        <v>19102.013422818793</v>
      </c>
      <c r="I5789" s="89">
        <v>20</v>
      </c>
      <c r="J5789" s="90">
        <v>14231</v>
      </c>
      <c r="K5789" s="85">
        <v>1</v>
      </c>
      <c r="L5789" s="85">
        <v>0</v>
      </c>
      <c r="M5789" s="85">
        <v>0</v>
      </c>
      <c r="N5789" s="82" t="s">
        <v>12532</v>
      </c>
      <c r="O5789" s="93">
        <v>45927.422326388885</v>
      </c>
    </row>
    <row r="5790" spans="1:15" ht="22.5" customHeight="1">
      <c r="A5790" s="85">
        <v>174904221976312</v>
      </c>
      <c r="B5790" s="82" t="s">
        <v>10651</v>
      </c>
      <c r="C5790" s="82" t="s">
        <v>12279</v>
      </c>
      <c r="D5790" s="82" t="s">
        <v>11800</v>
      </c>
      <c r="E5790" s="82">
        <v>6285333751528</v>
      </c>
      <c r="F5790" s="92">
        <v>45926</v>
      </c>
      <c r="G5790" s="87">
        <v>175</v>
      </c>
      <c r="H5790" s="88">
        <v>79570.707070707067</v>
      </c>
      <c r="I5790" s="89">
        <v>14</v>
      </c>
      <c r="J5790" s="90">
        <v>15755</v>
      </c>
      <c r="K5790" s="85">
        <v>6</v>
      </c>
      <c r="L5790" s="85">
        <v>0</v>
      </c>
      <c r="M5790" s="85">
        <v>0</v>
      </c>
      <c r="N5790" s="82" t="s">
        <v>12337</v>
      </c>
      <c r="O5790" s="93">
        <v>45927.401516203703</v>
      </c>
    </row>
    <row r="5791" spans="1:15" ht="22.5" customHeight="1">
      <c r="A5791" s="85">
        <v>174904221976312</v>
      </c>
      <c r="B5791" s="82" t="s">
        <v>10651</v>
      </c>
      <c r="C5791" s="82" t="s">
        <v>12284</v>
      </c>
      <c r="D5791" s="82" t="s">
        <v>12285</v>
      </c>
      <c r="E5791" s="82">
        <v>6285921481643</v>
      </c>
      <c r="F5791" s="92">
        <v>45926</v>
      </c>
      <c r="G5791" s="87">
        <v>269</v>
      </c>
      <c r="H5791" s="88">
        <v>47242.990654205605</v>
      </c>
      <c r="I5791" s="89">
        <v>16</v>
      </c>
      <c r="J5791" s="90">
        <v>15165</v>
      </c>
      <c r="K5791" s="85">
        <v>3</v>
      </c>
      <c r="L5791" s="85">
        <v>0</v>
      </c>
      <c r="M5791" s="85">
        <v>0</v>
      </c>
      <c r="N5791" s="82" t="s">
        <v>12465</v>
      </c>
      <c r="O5791" s="93">
        <v>45927.443726851852</v>
      </c>
    </row>
    <row r="5792" spans="1:15" ht="22.5" customHeight="1">
      <c r="A5792" s="85">
        <v>174904221976312</v>
      </c>
      <c r="B5792" s="82" t="s">
        <v>10651</v>
      </c>
      <c r="C5792" s="82" t="s">
        <v>12269</v>
      </c>
      <c r="D5792" s="82" t="s">
        <v>12270</v>
      </c>
      <c r="E5792" s="82">
        <v>6282229433259</v>
      </c>
      <c r="F5792" s="92">
        <v>45926</v>
      </c>
      <c r="G5792" s="87">
        <v>225</v>
      </c>
      <c r="H5792" s="88">
        <v>57114.624505928849</v>
      </c>
      <c r="I5792" s="89">
        <v>6</v>
      </c>
      <c r="J5792" s="90">
        <v>14450</v>
      </c>
      <c r="K5792" s="85">
        <v>0</v>
      </c>
      <c r="L5792" s="85">
        <v>118</v>
      </c>
      <c r="M5792" s="85">
        <v>0</v>
      </c>
      <c r="N5792" s="82" t="s">
        <v>12339</v>
      </c>
      <c r="O5792" s="93">
        <v>45927.46402777778</v>
      </c>
    </row>
    <row r="5793" spans="1:15" ht="22.5" customHeight="1">
      <c r="A5793" s="85">
        <v>174904221976312</v>
      </c>
      <c r="B5793" s="82" t="s">
        <v>10651</v>
      </c>
      <c r="C5793" s="82" t="s">
        <v>12209</v>
      </c>
      <c r="D5793" s="82" t="s">
        <v>12210</v>
      </c>
      <c r="E5793" s="82">
        <v>6282217300224</v>
      </c>
      <c r="F5793" s="92">
        <v>45926</v>
      </c>
      <c r="G5793" s="87">
        <v>78</v>
      </c>
      <c r="H5793" s="88">
        <v>154395.06172839506</v>
      </c>
      <c r="I5793" s="89">
        <v>2</v>
      </c>
      <c r="J5793" s="90">
        <v>12506</v>
      </c>
      <c r="K5793" s="85">
        <v>0</v>
      </c>
      <c r="L5793" s="85">
        <v>0</v>
      </c>
      <c r="M5793" s="85">
        <v>0</v>
      </c>
      <c r="N5793" s="82" t="s">
        <v>12317</v>
      </c>
      <c r="O5793" s="93">
        <v>45927.443738425929</v>
      </c>
    </row>
    <row r="5794" spans="1:15" ht="22.5" customHeight="1">
      <c r="A5794" s="85">
        <v>174904221976312</v>
      </c>
      <c r="B5794" s="82" t="s">
        <v>10651</v>
      </c>
      <c r="C5794" s="82" t="s">
        <v>12171</v>
      </c>
      <c r="D5794" s="82" t="s">
        <v>4386</v>
      </c>
      <c r="E5794" s="82">
        <v>62818533354</v>
      </c>
      <c r="F5794" s="92">
        <v>45926</v>
      </c>
      <c r="G5794" s="87">
        <v>336</v>
      </c>
      <c r="H5794" s="88">
        <v>39820.105820105826</v>
      </c>
      <c r="I5794" s="89">
        <v>11</v>
      </c>
      <c r="J5794" s="90">
        <v>15052</v>
      </c>
      <c r="K5794" s="85">
        <v>1</v>
      </c>
      <c r="L5794" s="85">
        <v>0</v>
      </c>
      <c r="M5794" s="85">
        <v>0</v>
      </c>
      <c r="N5794" s="82" t="s">
        <v>12319</v>
      </c>
      <c r="O5794" s="93">
        <v>45927.422326388885</v>
      </c>
    </row>
    <row r="5795" spans="1:15" ht="22.5" customHeight="1">
      <c r="A5795" s="85">
        <v>174904221976312</v>
      </c>
      <c r="B5795" s="82" t="s">
        <v>10651</v>
      </c>
      <c r="C5795" s="82" t="s">
        <v>12122</v>
      </c>
      <c r="D5795" s="82" t="s">
        <v>12123</v>
      </c>
      <c r="E5795" s="82">
        <v>6285720705874</v>
      </c>
      <c r="F5795" s="92">
        <v>45926</v>
      </c>
      <c r="G5795" s="87">
        <v>909</v>
      </c>
      <c r="H5795" s="88">
        <v>14803.061224489795</v>
      </c>
      <c r="I5795" s="89">
        <v>24</v>
      </c>
      <c r="J5795" s="90">
        <v>14507</v>
      </c>
      <c r="K5795" s="85">
        <v>4</v>
      </c>
      <c r="L5795" s="85">
        <v>171</v>
      </c>
      <c r="M5795" s="85">
        <v>1</v>
      </c>
      <c r="N5795" s="82" t="s">
        <v>12472</v>
      </c>
      <c r="O5795" s="93">
        <v>45927.464270833334</v>
      </c>
    </row>
    <row r="5796" spans="1:15" ht="22.5" customHeight="1">
      <c r="A5796" s="85">
        <v>174904221976312</v>
      </c>
      <c r="B5796" s="82" t="s">
        <v>10651</v>
      </c>
      <c r="C5796" s="82" t="s">
        <v>12039</v>
      </c>
      <c r="D5796" s="82" t="s">
        <v>12040</v>
      </c>
      <c r="E5796" s="82">
        <v>6281330410391</v>
      </c>
      <c r="F5796" s="92">
        <v>45926</v>
      </c>
      <c r="G5796" s="87">
        <v>747</v>
      </c>
      <c r="H5796" s="88">
        <v>18345.707656612529</v>
      </c>
      <c r="I5796" s="89">
        <v>49</v>
      </c>
      <c r="J5796" s="90">
        <v>15814</v>
      </c>
      <c r="K5796" s="85">
        <v>3</v>
      </c>
      <c r="L5796" s="85">
        <v>0</v>
      </c>
      <c r="M5796" s="85">
        <v>2</v>
      </c>
      <c r="N5796" s="82" t="s">
        <v>12435</v>
      </c>
      <c r="O5796" s="93">
        <v>45927.568113425928</v>
      </c>
    </row>
    <row r="5797" spans="1:15" ht="22.5" customHeight="1">
      <c r="A5797" s="85">
        <v>174904221976312</v>
      </c>
      <c r="B5797" s="82" t="s">
        <v>10651</v>
      </c>
      <c r="C5797" s="82" t="s">
        <v>11758</v>
      </c>
      <c r="D5797" s="82" t="s">
        <v>11759</v>
      </c>
      <c r="E5797" s="82">
        <v>6285946504405</v>
      </c>
      <c r="F5797" s="92">
        <v>45926</v>
      </c>
      <c r="G5797" s="87">
        <v>383</v>
      </c>
      <c r="H5797" s="88">
        <v>35736.84210526316</v>
      </c>
      <c r="I5797" s="89">
        <v>9</v>
      </c>
      <c r="J5797" s="90">
        <v>15617</v>
      </c>
      <c r="K5797" s="85">
        <v>1</v>
      </c>
      <c r="L5797" s="85">
        <v>0</v>
      </c>
      <c r="M5797" s="85">
        <v>0</v>
      </c>
      <c r="N5797" s="82" t="s">
        <v>12520</v>
      </c>
      <c r="O5797" s="93">
        <v>45927.505497685182</v>
      </c>
    </row>
    <row r="5798" spans="1:15" ht="22.5" customHeight="1">
      <c r="A5798" s="85">
        <v>174904221976312</v>
      </c>
      <c r="B5798" s="82" t="s">
        <v>10651</v>
      </c>
      <c r="C5798" s="82" t="s">
        <v>11613</v>
      </c>
      <c r="D5798" s="82" t="s">
        <v>11614</v>
      </c>
      <c r="E5798" s="82">
        <v>6282186829904</v>
      </c>
      <c r="F5798" s="92">
        <v>45926</v>
      </c>
      <c r="G5798" s="87">
        <v>197</v>
      </c>
      <c r="H5798" s="88">
        <v>87566.371681415927</v>
      </c>
      <c r="I5798" s="89">
        <v>8</v>
      </c>
      <c r="J5798" s="90">
        <v>19790</v>
      </c>
      <c r="K5798" s="85">
        <v>0</v>
      </c>
      <c r="L5798" s="85">
        <v>0</v>
      </c>
      <c r="M5798" s="85">
        <v>0</v>
      </c>
      <c r="N5798" s="82" t="s">
        <v>12466</v>
      </c>
      <c r="O5798" s="93">
        <v>45927.484768518516</v>
      </c>
    </row>
    <row r="5799" spans="1:15" ht="22.5" customHeight="1">
      <c r="A5799" s="85">
        <v>174904221976312</v>
      </c>
      <c r="B5799" s="82" t="s">
        <v>10651</v>
      </c>
      <c r="C5799" s="82" t="s">
        <v>11580</v>
      </c>
      <c r="D5799" s="82" t="s">
        <v>11581</v>
      </c>
      <c r="E5799" s="82">
        <v>6287790276733</v>
      </c>
      <c r="F5799" s="92">
        <v>45926</v>
      </c>
      <c r="G5799" s="87">
        <v>671</v>
      </c>
      <c r="H5799" s="88">
        <v>20810.077519379847</v>
      </c>
      <c r="I5799" s="89">
        <v>13</v>
      </c>
      <c r="J5799" s="90">
        <v>16107</v>
      </c>
      <c r="K5799" s="85">
        <v>4</v>
      </c>
      <c r="L5799" s="85">
        <v>162</v>
      </c>
      <c r="M5799" s="85">
        <v>0</v>
      </c>
      <c r="N5799" s="82" t="s">
        <v>12343</v>
      </c>
      <c r="O5799" s="93">
        <v>45927.484768518516</v>
      </c>
    </row>
    <row r="5800" spans="1:15" ht="22.5" customHeight="1">
      <c r="A5800" s="85">
        <v>759724529202804</v>
      </c>
      <c r="B5800" s="82" t="s">
        <v>10621</v>
      </c>
      <c r="C5800" s="82" t="s">
        <v>12227</v>
      </c>
      <c r="D5800" s="82" t="s">
        <v>4938</v>
      </c>
      <c r="E5800" s="82">
        <v>6287835601400</v>
      </c>
      <c r="F5800" s="92">
        <v>45927</v>
      </c>
      <c r="G5800" s="87">
        <v>319</v>
      </c>
      <c r="H5800" s="88">
        <v>46872.282608695648</v>
      </c>
      <c r="I5800" s="89">
        <v>4</v>
      </c>
      <c r="J5800" s="90">
        <v>17249</v>
      </c>
      <c r="K5800" s="85">
        <v>0</v>
      </c>
      <c r="L5800" s="85">
        <v>0</v>
      </c>
      <c r="M5800" s="85">
        <v>0</v>
      </c>
      <c r="N5800" s="82" t="s">
        <v>12533</v>
      </c>
      <c r="O5800" s="93">
        <v>45928.505509259259</v>
      </c>
    </row>
    <row r="5801" spans="1:15" ht="22.5" customHeight="1">
      <c r="A5801" s="85">
        <v>759724529202804</v>
      </c>
      <c r="B5801" s="82" t="s">
        <v>10621</v>
      </c>
      <c r="C5801" s="82" t="s">
        <v>11055</v>
      </c>
      <c r="D5801" s="82" t="s">
        <v>1021</v>
      </c>
      <c r="E5801" s="82"/>
      <c r="F5801" s="92">
        <v>45927</v>
      </c>
      <c r="G5801" s="87">
        <v>3848</v>
      </c>
      <c r="H5801" s="88">
        <v>29962.931937172776</v>
      </c>
      <c r="I5801" s="89">
        <v>132</v>
      </c>
      <c r="J5801" s="90">
        <v>143073</v>
      </c>
      <c r="K5801" s="85">
        <v>31</v>
      </c>
      <c r="L5801" s="85">
        <v>1337</v>
      </c>
      <c r="M5801" s="85">
        <v>1</v>
      </c>
      <c r="N5801" s="82" t="s">
        <v>11056</v>
      </c>
      <c r="O5801" s="93">
        <v>45927.831076388888</v>
      </c>
    </row>
    <row r="5802" spans="1:15" ht="22.5" customHeight="1">
      <c r="A5802" s="85">
        <v>174904221976312</v>
      </c>
      <c r="B5802" s="82" t="s">
        <v>10651</v>
      </c>
      <c r="C5802" s="82" t="s">
        <v>6057</v>
      </c>
      <c r="D5802" s="82" t="s">
        <v>12534</v>
      </c>
      <c r="E5802" s="82">
        <v>6283196194949</v>
      </c>
      <c r="F5802" s="92">
        <v>45927</v>
      </c>
      <c r="G5802" s="87">
        <v>423</v>
      </c>
      <c r="H5802" s="88">
        <v>24768.115942028984</v>
      </c>
      <c r="I5802" s="89">
        <v>9</v>
      </c>
      <c r="J5802" s="90">
        <v>11963</v>
      </c>
      <c r="K5802" s="85">
        <v>2</v>
      </c>
      <c r="L5802" s="85">
        <v>2</v>
      </c>
      <c r="M5802" s="85">
        <v>0</v>
      </c>
      <c r="N5802" s="82" t="s">
        <v>12535</v>
      </c>
      <c r="O5802" s="93">
        <v>45928.589085648149</v>
      </c>
    </row>
    <row r="5803" spans="1:15" ht="22.5" customHeight="1">
      <c r="A5803" s="85">
        <v>174904221976312</v>
      </c>
      <c r="B5803" s="82" t="s">
        <v>10651</v>
      </c>
      <c r="C5803" s="82" t="s">
        <v>5628</v>
      </c>
      <c r="D5803" s="82" t="s">
        <v>5625</v>
      </c>
      <c r="E5803" s="82">
        <v>628179231111</v>
      </c>
      <c r="F5803" s="92">
        <v>45927</v>
      </c>
      <c r="G5803" s="87">
        <v>177</v>
      </c>
      <c r="H5803" s="88">
        <v>69884.816753926701</v>
      </c>
      <c r="I5803" s="89">
        <v>2</v>
      </c>
      <c r="J5803" s="90">
        <v>13348</v>
      </c>
      <c r="K5803" s="85">
        <v>0</v>
      </c>
      <c r="L5803" s="85">
        <v>0</v>
      </c>
      <c r="M5803" s="85">
        <v>0</v>
      </c>
      <c r="N5803" s="82" t="s">
        <v>12523</v>
      </c>
      <c r="O5803" s="93">
        <v>45928.651516203703</v>
      </c>
    </row>
    <row r="5804" spans="1:15" ht="22.5" customHeight="1">
      <c r="A5804" s="85">
        <v>174904221976312</v>
      </c>
      <c r="B5804" s="82" t="s">
        <v>10651</v>
      </c>
      <c r="C5804" s="82" t="s">
        <v>6043</v>
      </c>
      <c r="D5804" s="82" t="s">
        <v>6039</v>
      </c>
      <c r="E5804" s="82">
        <v>6282241290026</v>
      </c>
      <c r="F5804" s="92">
        <v>45927</v>
      </c>
      <c r="G5804" s="87">
        <v>292</v>
      </c>
      <c r="H5804" s="88">
        <v>40290.123456790127</v>
      </c>
      <c r="I5804" s="89">
        <v>10</v>
      </c>
      <c r="J5804" s="90">
        <v>13054</v>
      </c>
      <c r="K5804" s="85">
        <v>1</v>
      </c>
      <c r="L5804" s="85">
        <v>3</v>
      </c>
      <c r="M5804" s="85">
        <v>0</v>
      </c>
      <c r="N5804" s="82" t="s">
        <v>12536</v>
      </c>
      <c r="O5804" s="93">
        <v>45928.600173611114</v>
      </c>
    </row>
    <row r="5805" spans="1:15" ht="22.5" customHeight="1">
      <c r="A5805" s="85">
        <v>174904221976312</v>
      </c>
      <c r="B5805" s="82" t="s">
        <v>10651</v>
      </c>
      <c r="C5805" s="82" t="s">
        <v>6013</v>
      </c>
      <c r="D5805" s="82" t="s">
        <v>12525</v>
      </c>
      <c r="E5805" s="82">
        <v>6281230656664</v>
      </c>
      <c r="F5805" s="92">
        <v>45927</v>
      </c>
      <c r="G5805" s="87">
        <v>340</v>
      </c>
      <c r="H5805" s="88">
        <v>37160.857908847182</v>
      </c>
      <c r="I5805" s="89">
        <v>10</v>
      </c>
      <c r="J5805" s="90">
        <v>13861</v>
      </c>
      <c r="K5805" s="85">
        <v>1</v>
      </c>
      <c r="L5805" s="85">
        <v>123</v>
      </c>
      <c r="M5805" s="85">
        <v>1</v>
      </c>
      <c r="N5805" s="82" t="s">
        <v>12526</v>
      </c>
      <c r="O5805" s="93">
        <v>45928.63076388889</v>
      </c>
    </row>
    <row r="5806" spans="1:15" ht="22.5" customHeight="1">
      <c r="A5806" s="85">
        <v>174904221976312</v>
      </c>
      <c r="B5806" s="82" t="s">
        <v>10651</v>
      </c>
      <c r="C5806" s="82" t="s">
        <v>6021</v>
      </c>
      <c r="D5806" s="82" t="s">
        <v>12527</v>
      </c>
      <c r="E5806" s="82">
        <v>6281390669379</v>
      </c>
      <c r="F5806" s="92">
        <v>45927</v>
      </c>
      <c r="G5806" s="87">
        <v>890</v>
      </c>
      <c r="H5806" s="88">
        <v>12033.333333333334</v>
      </c>
      <c r="I5806" s="89">
        <v>19</v>
      </c>
      <c r="J5806" s="90">
        <v>12635</v>
      </c>
      <c r="K5806" s="85">
        <v>1</v>
      </c>
      <c r="L5806" s="85">
        <v>357</v>
      </c>
      <c r="M5806" s="85">
        <v>0</v>
      </c>
      <c r="N5806" s="82" t="s">
        <v>12528</v>
      </c>
      <c r="O5806" s="93">
        <v>45928.568402777775</v>
      </c>
    </row>
    <row r="5807" spans="1:15" ht="22.5" customHeight="1">
      <c r="A5807" s="85">
        <v>174904221976312</v>
      </c>
      <c r="B5807" s="82" t="s">
        <v>10651</v>
      </c>
      <c r="C5807" s="82" t="s">
        <v>6003</v>
      </c>
      <c r="D5807" s="82" t="s">
        <v>6002</v>
      </c>
      <c r="E5807" s="82">
        <v>6285737244570</v>
      </c>
      <c r="F5807" s="92">
        <v>45927</v>
      </c>
      <c r="G5807" s="87">
        <v>621</v>
      </c>
      <c r="H5807" s="88">
        <v>20603.975535168196</v>
      </c>
      <c r="I5807" s="89">
        <v>12</v>
      </c>
      <c r="J5807" s="90">
        <v>13475</v>
      </c>
      <c r="K5807" s="85">
        <v>3</v>
      </c>
      <c r="L5807" s="85">
        <v>0</v>
      </c>
      <c r="M5807" s="85">
        <v>0</v>
      </c>
      <c r="N5807" s="82" t="s">
        <v>12521</v>
      </c>
      <c r="O5807" s="93">
        <v>45928.526620370372</v>
      </c>
    </row>
    <row r="5808" spans="1:15" ht="22.5" customHeight="1">
      <c r="A5808" s="85">
        <v>174904221976312</v>
      </c>
      <c r="B5808" s="82" t="s">
        <v>10651</v>
      </c>
      <c r="C5808" s="82" t="s">
        <v>5975</v>
      </c>
      <c r="D5808" s="82" t="s">
        <v>12518</v>
      </c>
      <c r="E5808" s="82">
        <v>6282219980006</v>
      </c>
      <c r="F5808" s="92">
        <v>45927</v>
      </c>
      <c r="G5808" s="87">
        <v>446</v>
      </c>
      <c r="H5808" s="88">
        <v>30400</v>
      </c>
      <c r="I5808" s="89">
        <v>10</v>
      </c>
      <c r="J5808" s="90">
        <v>15960</v>
      </c>
      <c r="K5808" s="85">
        <v>1</v>
      </c>
      <c r="L5808" s="85">
        <v>0</v>
      </c>
      <c r="M5808" s="85">
        <v>0</v>
      </c>
      <c r="N5808" s="82" t="s">
        <v>12522</v>
      </c>
      <c r="O5808" s="93">
        <v>45928.21675925926</v>
      </c>
    </row>
    <row r="5809" spans="1:15" ht="22.5" customHeight="1">
      <c r="A5809" s="85">
        <v>174904221976312</v>
      </c>
      <c r="B5809" s="82" t="s">
        <v>10651</v>
      </c>
      <c r="C5809" s="82" t="s">
        <v>5931</v>
      </c>
      <c r="D5809" s="82" t="s">
        <v>12513</v>
      </c>
      <c r="E5809" s="82">
        <v>6282110222282</v>
      </c>
      <c r="F5809" s="92">
        <v>45927</v>
      </c>
      <c r="G5809" s="87">
        <v>208</v>
      </c>
      <c r="H5809" s="88">
        <v>57515.418502202643</v>
      </c>
      <c r="I5809" s="89">
        <v>3</v>
      </c>
      <c r="J5809" s="90">
        <v>13056</v>
      </c>
      <c r="K5809" s="85">
        <v>0</v>
      </c>
      <c r="L5809" s="85">
        <v>0</v>
      </c>
      <c r="M5809" s="85">
        <v>0</v>
      </c>
      <c r="N5809" s="82" t="s">
        <v>12514</v>
      </c>
      <c r="O5809" s="93">
        <v>45928.216747685183</v>
      </c>
    </row>
    <row r="5810" spans="1:15" ht="22.5" customHeight="1">
      <c r="A5810" s="85">
        <v>174904221976312</v>
      </c>
      <c r="B5810" s="82" t="s">
        <v>10651</v>
      </c>
      <c r="C5810" s="82" t="s">
        <v>5923</v>
      </c>
      <c r="D5810" s="82" t="s">
        <v>12515</v>
      </c>
      <c r="E5810" s="82">
        <v>6282225676546</v>
      </c>
      <c r="F5810" s="92">
        <v>45927</v>
      </c>
      <c r="G5810" s="87">
        <v>233</v>
      </c>
      <c r="H5810" s="88">
        <v>49659.836065573771</v>
      </c>
      <c r="I5810" s="89">
        <v>3</v>
      </c>
      <c r="J5810" s="90">
        <v>12117</v>
      </c>
      <c r="K5810" s="85">
        <v>0</v>
      </c>
      <c r="L5810" s="85">
        <v>0</v>
      </c>
      <c r="M5810" s="85">
        <v>0</v>
      </c>
      <c r="N5810" s="82" t="s">
        <v>12529</v>
      </c>
      <c r="O5810" s="93">
        <v>45928.216782407406</v>
      </c>
    </row>
    <row r="5811" spans="1:15" ht="22.5" customHeight="1">
      <c r="A5811" s="85">
        <v>174904221976312</v>
      </c>
      <c r="B5811" s="82" t="s">
        <v>10651</v>
      </c>
      <c r="C5811" s="82" t="s">
        <v>12499</v>
      </c>
      <c r="D5811" s="82" t="s">
        <v>5802</v>
      </c>
      <c r="E5811" s="82">
        <v>6281220005953</v>
      </c>
      <c r="F5811" s="92">
        <v>45927</v>
      </c>
      <c r="G5811" s="87">
        <v>80</v>
      </c>
      <c r="H5811" s="88">
        <v>169678.16091954024</v>
      </c>
      <c r="I5811" s="89">
        <v>6</v>
      </c>
      <c r="J5811" s="90">
        <v>14762</v>
      </c>
      <c r="K5811" s="85">
        <v>2</v>
      </c>
      <c r="L5811" s="85">
        <v>18</v>
      </c>
      <c r="M5811" s="85">
        <v>0</v>
      </c>
      <c r="N5811" s="82" t="s">
        <v>12506</v>
      </c>
      <c r="O5811" s="93">
        <v>45928.52685185185</v>
      </c>
    </row>
    <row r="5812" spans="1:15" ht="22.5" customHeight="1">
      <c r="A5812" s="85">
        <v>174904221976312</v>
      </c>
      <c r="B5812" s="82" t="s">
        <v>10651</v>
      </c>
      <c r="C5812" s="82" t="s">
        <v>12476</v>
      </c>
      <c r="D5812" s="82" t="s">
        <v>9010</v>
      </c>
      <c r="E5812" s="82">
        <v>6281316122975</v>
      </c>
      <c r="F5812" s="92">
        <v>45927</v>
      </c>
      <c r="G5812" s="87">
        <v>657</v>
      </c>
      <c r="H5812" s="88">
        <v>20147.410358565736</v>
      </c>
      <c r="I5812" s="89">
        <v>35</v>
      </c>
      <c r="J5812" s="90">
        <v>15171</v>
      </c>
      <c r="K5812" s="85">
        <v>7</v>
      </c>
      <c r="L5812" s="85">
        <v>3</v>
      </c>
      <c r="M5812" s="85">
        <v>0</v>
      </c>
      <c r="N5812" s="82" t="s">
        <v>12507</v>
      </c>
      <c r="O5812" s="93">
        <v>45928.568402777775</v>
      </c>
    </row>
    <row r="5813" spans="1:15" ht="22.5" customHeight="1">
      <c r="A5813" s="85">
        <v>174904221976312</v>
      </c>
      <c r="B5813" s="82" t="s">
        <v>10651</v>
      </c>
      <c r="C5813" s="82" t="s">
        <v>12454</v>
      </c>
      <c r="D5813" s="82" t="s">
        <v>5522</v>
      </c>
      <c r="E5813" s="82">
        <v>6287822292311</v>
      </c>
      <c r="F5813" s="92">
        <v>45927</v>
      </c>
      <c r="G5813" s="87">
        <v>187</v>
      </c>
      <c r="H5813" s="88">
        <v>88464.28571428571</v>
      </c>
      <c r="I5813" s="89">
        <v>1</v>
      </c>
      <c r="J5813" s="90">
        <v>17339</v>
      </c>
      <c r="K5813" s="85">
        <v>0</v>
      </c>
      <c r="L5813" s="85">
        <v>89</v>
      </c>
      <c r="M5813" s="85">
        <v>0</v>
      </c>
      <c r="N5813" s="82" t="s">
        <v>12530</v>
      </c>
      <c r="O5813" s="93">
        <v>45928.276944444442</v>
      </c>
    </row>
    <row r="5814" spans="1:15" ht="22.5" customHeight="1">
      <c r="A5814" s="85">
        <v>174904221976312</v>
      </c>
      <c r="B5814" s="82" t="s">
        <v>10651</v>
      </c>
      <c r="C5814" s="82" t="s">
        <v>12458</v>
      </c>
      <c r="D5814" s="82" t="s">
        <v>5515</v>
      </c>
      <c r="E5814" s="82">
        <v>6285245301996</v>
      </c>
      <c r="F5814" s="92">
        <v>45927</v>
      </c>
      <c r="G5814" s="87">
        <v>724</v>
      </c>
      <c r="H5814" s="88">
        <v>16186.666666666668</v>
      </c>
      <c r="I5814" s="89">
        <v>18</v>
      </c>
      <c r="J5814" s="90">
        <v>14568</v>
      </c>
      <c r="K5814" s="85">
        <v>2</v>
      </c>
      <c r="L5814" s="85">
        <v>0</v>
      </c>
      <c r="M5814" s="85">
        <v>0</v>
      </c>
      <c r="N5814" s="82" t="s">
        <v>12531</v>
      </c>
      <c r="O5814" s="93">
        <v>45928.568391203706</v>
      </c>
    </row>
    <row r="5815" spans="1:15" ht="22.5" customHeight="1">
      <c r="A5815" s="85">
        <v>174904221976312</v>
      </c>
      <c r="B5815" s="82" t="s">
        <v>10651</v>
      </c>
      <c r="C5815" s="82" t="s">
        <v>12353</v>
      </c>
      <c r="D5815" s="82" t="s">
        <v>12354</v>
      </c>
      <c r="E5815" s="82">
        <v>6281355662725</v>
      </c>
      <c r="F5815" s="92">
        <v>45927</v>
      </c>
      <c r="G5815" s="87">
        <v>244</v>
      </c>
      <c r="H5815" s="88">
        <v>55016.835016835015</v>
      </c>
      <c r="I5815" s="89">
        <v>4</v>
      </c>
      <c r="J5815" s="90">
        <v>16340</v>
      </c>
      <c r="K5815" s="85">
        <v>0</v>
      </c>
      <c r="L5815" s="85">
        <v>0</v>
      </c>
      <c r="M5815" s="85">
        <v>0</v>
      </c>
      <c r="N5815" s="82" t="s">
        <v>12494</v>
      </c>
      <c r="O5815" s="93">
        <v>45928.484837962962</v>
      </c>
    </row>
    <row r="5816" spans="1:15" ht="22.5" customHeight="1">
      <c r="A5816" s="85">
        <v>174904221976312</v>
      </c>
      <c r="B5816" s="82" t="s">
        <v>10651</v>
      </c>
      <c r="C5816" s="82" t="s">
        <v>12356</v>
      </c>
      <c r="D5816" s="82" t="s">
        <v>2202</v>
      </c>
      <c r="E5816" s="82">
        <v>62895374644456</v>
      </c>
      <c r="F5816" s="92">
        <v>45927</v>
      </c>
      <c r="G5816" s="87">
        <v>495</v>
      </c>
      <c r="H5816" s="88">
        <v>27311.808118081182</v>
      </c>
      <c r="I5816" s="89">
        <v>23</v>
      </c>
      <c r="J5816" s="90">
        <v>14803</v>
      </c>
      <c r="K5816" s="85">
        <v>3</v>
      </c>
      <c r="L5816" s="85">
        <v>214</v>
      </c>
      <c r="M5816" s="85">
        <v>1</v>
      </c>
      <c r="N5816" s="82" t="s">
        <v>12532</v>
      </c>
      <c r="O5816" s="93">
        <v>45928.216747685183</v>
      </c>
    </row>
    <row r="5817" spans="1:15" ht="22.5" customHeight="1">
      <c r="A5817" s="85">
        <v>174904221976312</v>
      </c>
      <c r="B5817" s="82" t="s">
        <v>10651</v>
      </c>
      <c r="C5817" s="82" t="s">
        <v>12279</v>
      </c>
      <c r="D5817" s="82" t="s">
        <v>11800</v>
      </c>
      <c r="E5817" s="82">
        <v>6285333751528</v>
      </c>
      <c r="F5817" s="92">
        <v>45927</v>
      </c>
      <c r="G5817" s="87">
        <v>166</v>
      </c>
      <c r="H5817" s="88">
        <v>75357.142857142855</v>
      </c>
      <c r="I5817" s="89">
        <v>9</v>
      </c>
      <c r="J5817" s="90">
        <v>13715</v>
      </c>
      <c r="K5817" s="85">
        <v>2</v>
      </c>
      <c r="L5817" s="85">
        <v>0</v>
      </c>
      <c r="M5817" s="85">
        <v>0</v>
      </c>
      <c r="N5817" s="82" t="s">
        <v>12337</v>
      </c>
      <c r="O5817" s="93">
        <v>45928.526620370372</v>
      </c>
    </row>
    <row r="5818" spans="1:15" ht="22.5" customHeight="1">
      <c r="A5818" s="85">
        <v>174904221976312</v>
      </c>
      <c r="B5818" s="82" t="s">
        <v>10651</v>
      </c>
      <c r="C5818" s="82" t="s">
        <v>12284</v>
      </c>
      <c r="D5818" s="82" t="s">
        <v>12285</v>
      </c>
      <c r="E5818" s="82">
        <v>6285921481643</v>
      </c>
      <c r="F5818" s="92">
        <v>45927</v>
      </c>
      <c r="G5818" s="87">
        <v>285</v>
      </c>
      <c r="H5818" s="88">
        <v>42784.375</v>
      </c>
      <c r="I5818" s="89">
        <v>10</v>
      </c>
      <c r="J5818" s="90">
        <v>13691</v>
      </c>
      <c r="K5818" s="85">
        <v>0</v>
      </c>
      <c r="L5818" s="85">
        <v>0</v>
      </c>
      <c r="M5818" s="85">
        <v>0</v>
      </c>
      <c r="N5818" s="82" t="s">
        <v>12465</v>
      </c>
      <c r="O5818" s="93">
        <v>45928.588831018518</v>
      </c>
    </row>
    <row r="5819" spans="1:15" ht="22.5" customHeight="1">
      <c r="A5819" s="85">
        <v>174904221976312</v>
      </c>
      <c r="B5819" s="82" t="s">
        <v>10651</v>
      </c>
      <c r="C5819" s="82" t="s">
        <v>12269</v>
      </c>
      <c r="D5819" s="82" t="s">
        <v>12270</v>
      </c>
      <c r="E5819" s="82">
        <v>6282229433259</v>
      </c>
      <c r="F5819" s="92">
        <v>45927</v>
      </c>
      <c r="G5819" s="87">
        <v>176</v>
      </c>
      <c r="H5819" s="88">
        <v>88435.897435897437</v>
      </c>
      <c r="I5819" s="89">
        <v>3</v>
      </c>
      <c r="J5819" s="90">
        <v>17245</v>
      </c>
      <c r="K5819" s="85">
        <v>0</v>
      </c>
      <c r="L5819" s="85">
        <v>71</v>
      </c>
      <c r="M5819" s="85">
        <v>0</v>
      </c>
      <c r="N5819" s="82" t="s">
        <v>12339</v>
      </c>
      <c r="O5819" s="93">
        <v>45928.568379629629</v>
      </c>
    </row>
    <row r="5820" spans="1:15" ht="22.5" customHeight="1">
      <c r="A5820" s="85">
        <v>174904221976312</v>
      </c>
      <c r="B5820" s="82" t="s">
        <v>10651</v>
      </c>
      <c r="C5820" s="82" t="s">
        <v>12237</v>
      </c>
      <c r="D5820" s="82" t="s">
        <v>12238</v>
      </c>
      <c r="E5820" s="82">
        <v>6287888330007</v>
      </c>
      <c r="F5820" s="92">
        <v>45927</v>
      </c>
      <c r="G5820" s="87">
        <v>520</v>
      </c>
      <c r="H5820" s="88">
        <v>24343.485617597293</v>
      </c>
      <c r="I5820" s="89">
        <v>28</v>
      </c>
      <c r="J5820" s="90">
        <v>14387</v>
      </c>
      <c r="K5820" s="85">
        <v>4</v>
      </c>
      <c r="L5820" s="85">
        <v>123</v>
      </c>
      <c r="M5820" s="85">
        <v>0</v>
      </c>
      <c r="N5820" s="82" t="s">
        <v>12537</v>
      </c>
      <c r="O5820" s="93">
        <v>45928.630486111113</v>
      </c>
    </row>
    <row r="5821" spans="1:15" ht="22.5" customHeight="1">
      <c r="A5821" s="85">
        <v>174904221976312</v>
      </c>
      <c r="B5821" s="82" t="s">
        <v>10651</v>
      </c>
      <c r="C5821" s="82" t="s">
        <v>12209</v>
      </c>
      <c r="D5821" s="82" t="s">
        <v>12210</v>
      </c>
      <c r="E5821" s="82">
        <v>6282217300224</v>
      </c>
      <c r="F5821" s="92">
        <v>45927</v>
      </c>
      <c r="G5821" s="87">
        <v>108</v>
      </c>
      <c r="H5821" s="88">
        <v>122639.63963963964</v>
      </c>
      <c r="I5821" s="89">
        <v>2</v>
      </c>
      <c r="J5821" s="90">
        <v>13613</v>
      </c>
      <c r="K5821" s="85">
        <v>0</v>
      </c>
      <c r="L5821" s="85">
        <v>0</v>
      </c>
      <c r="M5821" s="85">
        <v>0</v>
      </c>
      <c r="N5821" s="82" t="s">
        <v>12317</v>
      </c>
      <c r="O5821" s="93">
        <v>45928.547199074077</v>
      </c>
    </row>
    <row r="5822" spans="1:15" ht="22.5" customHeight="1">
      <c r="A5822" s="85">
        <v>174904221976312</v>
      </c>
      <c r="B5822" s="82" t="s">
        <v>10651</v>
      </c>
      <c r="C5822" s="82" t="s">
        <v>12171</v>
      </c>
      <c r="D5822" s="82" t="s">
        <v>4386</v>
      </c>
      <c r="E5822" s="82">
        <v>62818533354</v>
      </c>
      <c r="F5822" s="92">
        <v>45927</v>
      </c>
      <c r="G5822" s="87">
        <v>321</v>
      </c>
      <c r="H5822" s="88">
        <v>45774.011299435035</v>
      </c>
      <c r="I5822" s="89">
        <v>12</v>
      </c>
      <c r="J5822" s="90">
        <v>16204</v>
      </c>
      <c r="K5822" s="85">
        <v>1</v>
      </c>
      <c r="L5822" s="85">
        <v>0</v>
      </c>
      <c r="M5822" s="85">
        <v>0</v>
      </c>
      <c r="N5822" s="82" t="s">
        <v>12319</v>
      </c>
      <c r="O5822" s="93">
        <v>45928.506226851852</v>
      </c>
    </row>
    <row r="5823" spans="1:15" ht="22.5" customHeight="1">
      <c r="A5823" s="85">
        <v>174904221976312</v>
      </c>
      <c r="B5823" s="82" t="s">
        <v>10651</v>
      </c>
      <c r="C5823" s="82" t="s">
        <v>12122</v>
      </c>
      <c r="D5823" s="82" t="s">
        <v>12123</v>
      </c>
      <c r="E5823" s="82">
        <v>6285720705874</v>
      </c>
      <c r="F5823" s="92">
        <v>45927</v>
      </c>
      <c r="G5823" s="87">
        <v>589</v>
      </c>
      <c r="H5823" s="88">
        <v>19894.50867052023</v>
      </c>
      <c r="I5823" s="89">
        <v>37</v>
      </c>
      <c r="J5823" s="90">
        <v>13767</v>
      </c>
      <c r="K5823" s="85">
        <v>4</v>
      </c>
      <c r="L5823" s="85">
        <v>254</v>
      </c>
      <c r="M5823" s="85">
        <v>0</v>
      </c>
      <c r="N5823" s="82" t="s">
        <v>12472</v>
      </c>
      <c r="O5823" s="93">
        <v>45928.21675925926</v>
      </c>
    </row>
    <row r="5824" spans="1:15" ht="22.5" customHeight="1">
      <c r="A5824" s="85">
        <v>174904221976312</v>
      </c>
      <c r="B5824" s="82" t="s">
        <v>10651</v>
      </c>
      <c r="C5824" s="82" t="s">
        <v>12100</v>
      </c>
      <c r="D5824" s="82" t="s">
        <v>6091</v>
      </c>
      <c r="E5824" s="82">
        <v>6281938384000</v>
      </c>
      <c r="F5824" s="92">
        <v>45927</v>
      </c>
      <c r="G5824" s="87">
        <v>429</v>
      </c>
      <c r="H5824" s="88">
        <v>27514.545454545456</v>
      </c>
      <c r="I5824" s="89">
        <v>10</v>
      </c>
      <c r="J5824" s="90">
        <v>15133</v>
      </c>
      <c r="K5824" s="85">
        <v>0</v>
      </c>
      <c r="L5824" s="85">
        <v>0</v>
      </c>
      <c r="M5824" s="85">
        <v>1</v>
      </c>
      <c r="N5824" s="82" t="s">
        <v>12538</v>
      </c>
      <c r="O5824" s="93">
        <v>45928.443113425928</v>
      </c>
    </row>
    <row r="5825" spans="1:15" ht="22.5" customHeight="1">
      <c r="A5825" s="85">
        <v>174904221976312</v>
      </c>
      <c r="B5825" s="82" t="s">
        <v>10651</v>
      </c>
      <c r="C5825" s="82" t="s">
        <v>12054</v>
      </c>
      <c r="D5825" s="82" t="s">
        <v>4485</v>
      </c>
      <c r="E5825" s="82">
        <v>6285169730762</v>
      </c>
      <c r="F5825" s="92">
        <v>45927</v>
      </c>
      <c r="G5825" s="87">
        <v>488</v>
      </c>
      <c r="H5825" s="88">
        <v>27179.584120982989</v>
      </c>
      <c r="I5825" s="89">
        <v>19</v>
      </c>
      <c r="J5825" s="90">
        <v>14378</v>
      </c>
      <c r="K5825" s="85">
        <v>2</v>
      </c>
      <c r="L5825" s="85">
        <v>208</v>
      </c>
      <c r="M5825" s="85">
        <v>1</v>
      </c>
      <c r="N5825" s="82" t="s">
        <v>12539</v>
      </c>
      <c r="O5825" s="93">
        <v>45928.401689814818</v>
      </c>
    </row>
    <row r="5826" spans="1:15" ht="22.5" customHeight="1">
      <c r="A5826" s="85">
        <v>174904221976312</v>
      </c>
      <c r="B5826" s="82" t="s">
        <v>10651</v>
      </c>
      <c r="C5826" s="82" t="s">
        <v>12039</v>
      </c>
      <c r="D5826" s="82" t="s">
        <v>12040</v>
      </c>
      <c r="E5826" s="82">
        <v>6281330410391</v>
      </c>
      <c r="F5826" s="92">
        <v>45927</v>
      </c>
      <c r="G5826" s="87">
        <v>685</v>
      </c>
      <c r="H5826" s="88">
        <v>18534.567901234568</v>
      </c>
      <c r="I5826" s="89">
        <v>34</v>
      </c>
      <c r="J5826" s="90">
        <v>15013</v>
      </c>
      <c r="K5826" s="85">
        <v>6</v>
      </c>
      <c r="L5826" s="85">
        <v>0</v>
      </c>
      <c r="M5826" s="85">
        <v>0</v>
      </c>
      <c r="N5826" s="82" t="s">
        <v>12435</v>
      </c>
      <c r="O5826" s="93">
        <v>45928.693194444444</v>
      </c>
    </row>
    <row r="5827" spans="1:15" ht="22.5" customHeight="1">
      <c r="A5827" s="85">
        <v>174904221976312</v>
      </c>
      <c r="B5827" s="82" t="s">
        <v>10651</v>
      </c>
      <c r="C5827" s="82" t="s">
        <v>11758</v>
      </c>
      <c r="D5827" s="82" t="s">
        <v>11759</v>
      </c>
      <c r="E5827" s="82">
        <v>6285946504405</v>
      </c>
      <c r="F5827" s="92">
        <v>45927</v>
      </c>
      <c r="G5827" s="87">
        <v>292</v>
      </c>
      <c r="H5827" s="88">
        <v>52877.192982456138</v>
      </c>
      <c r="I5827" s="89">
        <v>3</v>
      </c>
      <c r="J5827" s="90">
        <v>18084</v>
      </c>
      <c r="K5827" s="85">
        <v>0</v>
      </c>
      <c r="L5827" s="85">
        <v>0</v>
      </c>
      <c r="M5827" s="85">
        <v>0</v>
      </c>
      <c r="N5827" s="82" t="s">
        <v>12520</v>
      </c>
      <c r="O5827" s="93">
        <v>45928.484837962962</v>
      </c>
    </row>
    <row r="5828" spans="1:15" ht="22.5" customHeight="1">
      <c r="A5828" s="85">
        <v>174904221976312</v>
      </c>
      <c r="B5828" s="82" t="s">
        <v>10651</v>
      </c>
      <c r="C5828" s="82" t="s">
        <v>11613</v>
      </c>
      <c r="D5828" s="82" t="s">
        <v>11614</v>
      </c>
      <c r="E5828" s="82">
        <v>6282186829904</v>
      </c>
      <c r="F5828" s="92">
        <v>45927</v>
      </c>
      <c r="G5828" s="87">
        <v>153</v>
      </c>
      <c r="H5828" s="88">
        <v>99251.42857142858</v>
      </c>
      <c r="I5828" s="89">
        <v>5</v>
      </c>
      <c r="J5828" s="90">
        <v>17369</v>
      </c>
      <c r="K5828" s="85">
        <v>1</v>
      </c>
      <c r="L5828" s="85">
        <v>0</v>
      </c>
      <c r="M5828" s="85">
        <v>0</v>
      </c>
      <c r="N5828" s="82" t="s">
        <v>12466</v>
      </c>
      <c r="O5828" s="93">
        <v>45928.526631944442</v>
      </c>
    </row>
    <row r="5829" spans="1:15" ht="22.5" customHeight="1">
      <c r="A5829" s="85">
        <v>174904221976312</v>
      </c>
      <c r="B5829" s="82" t="s">
        <v>10651</v>
      </c>
      <c r="C5829" s="82" t="s">
        <v>11580</v>
      </c>
      <c r="D5829" s="82" t="s">
        <v>11581</v>
      </c>
      <c r="E5829" s="82">
        <v>6287790276733</v>
      </c>
      <c r="F5829" s="92">
        <v>45927</v>
      </c>
      <c r="G5829" s="87">
        <v>720</v>
      </c>
      <c r="H5829" s="88">
        <v>18426.63378545006</v>
      </c>
      <c r="I5829" s="89">
        <v>10</v>
      </c>
      <c r="J5829" s="90">
        <v>14944</v>
      </c>
      <c r="K5829" s="85">
        <v>0</v>
      </c>
      <c r="L5829" s="85">
        <v>154</v>
      </c>
      <c r="M5829" s="85">
        <v>0</v>
      </c>
      <c r="N5829" s="82" t="s">
        <v>12343</v>
      </c>
      <c r="O5829" s="93">
        <v>45928.505925925929</v>
      </c>
    </row>
    <row r="5830" spans="1:15" ht="22.5" customHeight="1">
      <c r="A5830" s="85"/>
      <c r="B5830" s="82"/>
      <c r="C5830" s="82"/>
      <c r="D5830" s="82"/>
      <c r="E5830" s="82"/>
      <c r="F5830" s="92"/>
      <c r="G5830" s="87"/>
      <c r="H5830" s="88"/>
      <c r="I5830" s="89"/>
      <c r="J5830" s="90"/>
      <c r="K5830" s="85"/>
      <c r="L5830" s="85"/>
      <c r="M5830" s="85"/>
      <c r="N5830" s="82"/>
      <c r="O5830" s="93"/>
    </row>
    <row r="5831" spans="1:15" ht="22.5" customHeight="1">
      <c r="A5831" s="85"/>
      <c r="B5831" s="82"/>
      <c r="C5831" s="82"/>
      <c r="D5831" s="82"/>
      <c r="E5831" s="82"/>
      <c r="F5831" s="92"/>
      <c r="G5831" s="87"/>
      <c r="H5831" s="88"/>
      <c r="I5831" s="89"/>
      <c r="J5831" s="90"/>
      <c r="K5831" s="85"/>
      <c r="L5831" s="85"/>
      <c r="M5831" s="85"/>
      <c r="N5831" s="82"/>
      <c r="O5831" s="93"/>
    </row>
    <row r="5832" spans="1:15" ht="22.5" customHeight="1">
      <c r="A5832" s="85"/>
      <c r="B5832" s="82"/>
      <c r="C5832" s="82"/>
      <c r="D5832" s="82"/>
      <c r="E5832" s="82"/>
      <c r="F5832" s="92"/>
      <c r="G5832" s="87"/>
      <c r="H5832" s="88"/>
      <c r="I5832" s="89"/>
      <c r="J5832" s="90"/>
      <c r="K5832" s="85"/>
      <c r="L5832" s="85"/>
      <c r="M5832" s="85"/>
      <c r="N5832" s="82"/>
      <c r="O5832" s="93"/>
    </row>
    <row r="5833" spans="1:15" ht="22.5" customHeight="1">
      <c r="A5833" s="85"/>
      <c r="B5833" s="82"/>
      <c r="C5833" s="82"/>
      <c r="D5833" s="82"/>
      <c r="E5833" s="82"/>
      <c r="F5833" s="92"/>
      <c r="G5833" s="87"/>
      <c r="H5833" s="88"/>
      <c r="I5833" s="89"/>
      <c r="J5833" s="90"/>
      <c r="K5833" s="85"/>
      <c r="L5833" s="85"/>
      <c r="M5833" s="85"/>
      <c r="N5833" s="82"/>
      <c r="O5833" s="93"/>
    </row>
    <row r="5834" spans="1:15" ht="22.5" customHeight="1">
      <c r="A5834" s="85"/>
      <c r="B5834" s="82"/>
      <c r="C5834" s="82"/>
      <c r="D5834" s="82"/>
      <c r="E5834" s="82"/>
      <c r="F5834" s="92"/>
      <c r="G5834" s="87"/>
      <c r="H5834" s="88"/>
      <c r="I5834" s="89"/>
      <c r="J5834" s="90"/>
      <c r="K5834" s="85"/>
      <c r="L5834" s="85"/>
      <c r="M5834" s="85"/>
      <c r="N5834" s="82"/>
      <c r="O5834" s="93"/>
    </row>
    <row r="5835" spans="1:15" ht="22.5" customHeight="1">
      <c r="A5835" s="85"/>
      <c r="B5835" s="82"/>
      <c r="C5835" s="82"/>
      <c r="D5835" s="82"/>
      <c r="E5835" s="82"/>
      <c r="F5835" s="92"/>
      <c r="G5835" s="87"/>
      <c r="H5835" s="88"/>
      <c r="I5835" s="89"/>
      <c r="J5835" s="90"/>
      <c r="K5835" s="85"/>
      <c r="L5835" s="85"/>
      <c r="M5835" s="85"/>
      <c r="N5835" s="82"/>
      <c r="O5835" s="93"/>
    </row>
    <row r="5836" spans="1:15" ht="22.5" customHeight="1">
      <c r="A5836" s="85"/>
      <c r="B5836" s="82"/>
      <c r="C5836" s="82"/>
      <c r="D5836" s="82"/>
      <c r="E5836" s="82"/>
      <c r="F5836" s="92"/>
      <c r="G5836" s="87"/>
      <c r="H5836" s="88"/>
      <c r="I5836" s="89"/>
      <c r="J5836" s="90"/>
      <c r="K5836" s="85"/>
      <c r="L5836" s="85"/>
      <c r="M5836" s="85"/>
      <c r="N5836" s="82"/>
      <c r="O5836" s="93"/>
    </row>
    <row r="5837" spans="1:15" ht="22.5" customHeight="1">
      <c r="A5837" s="85"/>
      <c r="B5837" s="82"/>
      <c r="C5837" s="82"/>
      <c r="D5837" s="82"/>
      <c r="E5837" s="82"/>
      <c r="F5837" s="92"/>
      <c r="G5837" s="87"/>
      <c r="H5837" s="88"/>
      <c r="I5837" s="89"/>
      <c r="J5837" s="90"/>
      <c r="K5837" s="85"/>
      <c r="L5837" s="85"/>
      <c r="M5837" s="85"/>
      <c r="N5837" s="82"/>
      <c r="O5837" s="93"/>
    </row>
    <row r="5838" spans="1:15" ht="22.5" customHeight="1">
      <c r="A5838" s="85"/>
      <c r="B5838" s="82"/>
      <c r="C5838" s="82"/>
      <c r="D5838" s="82"/>
      <c r="E5838" s="82"/>
      <c r="F5838" s="92"/>
      <c r="G5838" s="87"/>
      <c r="H5838" s="88"/>
      <c r="I5838" s="89"/>
      <c r="J5838" s="90"/>
      <c r="K5838" s="85"/>
      <c r="L5838" s="85"/>
      <c r="M5838" s="85"/>
      <c r="N5838" s="82"/>
      <c r="O5838" s="93"/>
    </row>
    <row r="5839" spans="1:15" ht="22.5" customHeight="1">
      <c r="A5839" s="85"/>
      <c r="B5839" s="82"/>
      <c r="C5839" s="82"/>
      <c r="D5839" s="82"/>
      <c r="E5839" s="82"/>
      <c r="F5839" s="92"/>
      <c r="G5839" s="87"/>
      <c r="H5839" s="88"/>
      <c r="I5839" s="89"/>
      <c r="J5839" s="90"/>
      <c r="K5839" s="85"/>
      <c r="L5839" s="85"/>
      <c r="M5839" s="85"/>
      <c r="N5839" s="82"/>
      <c r="O5839" s="93"/>
    </row>
    <row r="5840" spans="1:15" ht="22.5" customHeight="1">
      <c r="A5840" s="85"/>
      <c r="B5840" s="82"/>
      <c r="C5840" s="82"/>
      <c r="D5840" s="82"/>
      <c r="E5840" s="82"/>
      <c r="F5840" s="92"/>
      <c r="G5840" s="87"/>
      <c r="H5840" s="88"/>
      <c r="I5840" s="89"/>
      <c r="J5840" s="90"/>
      <c r="K5840" s="85"/>
      <c r="L5840" s="85"/>
      <c r="M5840" s="85"/>
      <c r="N5840" s="82"/>
      <c r="O5840" s="93"/>
    </row>
    <row r="5841" spans="1:15" ht="22.5" customHeight="1">
      <c r="A5841" s="85"/>
      <c r="B5841" s="82"/>
      <c r="C5841" s="82"/>
      <c r="D5841" s="82"/>
      <c r="E5841" s="82"/>
      <c r="F5841" s="92"/>
      <c r="G5841" s="87"/>
      <c r="H5841" s="88"/>
      <c r="I5841" s="89"/>
      <c r="J5841" s="90"/>
      <c r="K5841" s="85"/>
      <c r="L5841" s="85"/>
      <c r="M5841" s="85"/>
      <c r="N5841" s="82"/>
      <c r="O5841" s="93"/>
    </row>
    <row r="5842" spans="1:15" ht="22.5" customHeight="1">
      <c r="A5842" s="85"/>
      <c r="B5842" s="82"/>
      <c r="C5842" s="82"/>
      <c r="D5842" s="82"/>
      <c r="E5842" s="82"/>
      <c r="F5842" s="92"/>
      <c r="G5842" s="87"/>
      <c r="H5842" s="88"/>
      <c r="I5842" s="89"/>
      <c r="J5842" s="90"/>
      <c r="K5842" s="85"/>
      <c r="L5842" s="85"/>
      <c r="M5842" s="85"/>
      <c r="N5842" s="82"/>
      <c r="O5842" s="93"/>
    </row>
    <row r="5843" spans="1:15" ht="22.5" customHeight="1">
      <c r="A5843" s="85"/>
      <c r="B5843" s="82"/>
      <c r="C5843" s="82"/>
      <c r="D5843" s="82"/>
      <c r="E5843" s="82"/>
      <c r="F5843" s="92"/>
      <c r="G5843" s="87"/>
      <c r="H5843" s="88"/>
      <c r="I5843" s="89"/>
      <c r="J5843" s="90"/>
      <c r="K5843" s="85"/>
      <c r="L5843" s="85"/>
      <c r="M5843" s="85"/>
      <c r="N5843" s="82"/>
      <c r="O5843" s="93"/>
    </row>
    <row r="5844" spans="1:15" ht="22.5" customHeight="1">
      <c r="A5844" s="85"/>
      <c r="B5844" s="82"/>
      <c r="C5844" s="82"/>
      <c r="D5844" s="82"/>
      <c r="E5844" s="82"/>
      <c r="F5844" s="92"/>
      <c r="G5844" s="87"/>
      <c r="H5844" s="88"/>
      <c r="I5844" s="89"/>
      <c r="J5844" s="90"/>
      <c r="K5844" s="85"/>
      <c r="L5844" s="85"/>
      <c r="M5844" s="85"/>
      <c r="N5844" s="82"/>
      <c r="O5844" s="93"/>
    </row>
    <row r="5845" spans="1:15" ht="22.5" customHeight="1">
      <c r="A5845" s="85"/>
      <c r="B5845" s="82"/>
      <c r="C5845" s="82"/>
      <c r="D5845" s="82"/>
      <c r="E5845" s="82"/>
      <c r="F5845" s="92"/>
      <c r="G5845" s="87"/>
      <c r="H5845" s="88"/>
      <c r="I5845" s="89"/>
      <c r="J5845" s="90"/>
      <c r="K5845" s="85"/>
      <c r="L5845" s="85"/>
      <c r="M5845" s="85"/>
      <c r="N5845" s="82"/>
      <c r="O5845" s="93"/>
    </row>
    <row r="5846" spans="1:15" ht="22.5" customHeight="1">
      <c r="A5846" s="85"/>
      <c r="B5846" s="82"/>
      <c r="C5846" s="82"/>
      <c r="D5846" s="82"/>
      <c r="E5846" s="82"/>
      <c r="F5846" s="92"/>
      <c r="G5846" s="87"/>
      <c r="H5846" s="88"/>
      <c r="I5846" s="89"/>
      <c r="J5846" s="90"/>
      <c r="K5846" s="85"/>
      <c r="L5846" s="85"/>
      <c r="M5846" s="85"/>
      <c r="N5846" s="82"/>
      <c r="O5846" s="93"/>
    </row>
    <row r="5847" spans="1:15" ht="22.5" customHeight="1">
      <c r="A5847" s="85"/>
      <c r="B5847" s="82"/>
      <c r="C5847" s="82"/>
      <c r="D5847" s="82"/>
      <c r="E5847" s="82"/>
      <c r="F5847" s="92"/>
      <c r="G5847" s="87"/>
      <c r="H5847" s="88"/>
      <c r="I5847" s="89"/>
      <c r="J5847" s="90"/>
      <c r="K5847" s="85"/>
      <c r="L5847" s="85"/>
      <c r="M5847" s="85"/>
      <c r="N5847" s="82"/>
      <c r="O5847" s="93"/>
    </row>
    <row r="5848" spans="1:15" ht="22.5" customHeight="1">
      <c r="A5848" s="85"/>
      <c r="B5848" s="82"/>
      <c r="C5848" s="82"/>
      <c r="D5848" s="82"/>
      <c r="E5848" s="82"/>
      <c r="F5848" s="92"/>
      <c r="G5848" s="87"/>
      <c r="H5848" s="88"/>
      <c r="I5848" s="89"/>
      <c r="J5848" s="90"/>
      <c r="K5848" s="85"/>
      <c r="L5848" s="85"/>
      <c r="M5848" s="85"/>
      <c r="N5848" s="82"/>
      <c r="O5848" s="93"/>
    </row>
    <row r="5849" spans="1:15" ht="22.5" customHeight="1">
      <c r="A5849" s="85"/>
      <c r="B5849" s="82"/>
      <c r="C5849" s="82"/>
      <c r="D5849" s="82"/>
      <c r="E5849" s="82"/>
      <c r="F5849" s="92"/>
      <c r="G5849" s="87"/>
      <c r="H5849" s="88"/>
      <c r="I5849" s="89"/>
      <c r="J5849" s="90"/>
      <c r="K5849" s="85"/>
      <c r="L5849" s="85"/>
      <c r="M5849" s="85"/>
      <c r="N5849" s="82"/>
      <c r="O5849" s="93"/>
    </row>
    <row r="5850" spans="1:15" ht="22.5" customHeight="1">
      <c r="A5850" s="85"/>
      <c r="B5850" s="82"/>
      <c r="C5850" s="82"/>
      <c r="D5850" s="82"/>
      <c r="E5850" s="82"/>
      <c r="F5850" s="92"/>
      <c r="G5850" s="87"/>
      <c r="H5850" s="88"/>
      <c r="I5850" s="89"/>
      <c r="J5850" s="90"/>
      <c r="K5850" s="85"/>
      <c r="L5850" s="85"/>
      <c r="M5850" s="85"/>
      <c r="N5850" s="82"/>
      <c r="O5850" s="93"/>
    </row>
    <row r="5851" spans="1:15" ht="22.5" customHeight="1">
      <c r="A5851" s="85"/>
      <c r="B5851" s="82"/>
      <c r="C5851" s="82"/>
      <c r="D5851" s="82"/>
      <c r="E5851" s="82"/>
      <c r="F5851" s="92"/>
      <c r="G5851" s="87"/>
      <c r="H5851" s="88"/>
      <c r="I5851" s="89"/>
      <c r="J5851" s="90"/>
      <c r="K5851" s="85"/>
      <c r="L5851" s="85"/>
      <c r="M5851" s="85"/>
      <c r="N5851" s="82"/>
      <c r="O5851" s="93"/>
    </row>
    <row r="5852" spans="1:15" ht="22.5" customHeight="1">
      <c r="A5852" s="85"/>
      <c r="B5852" s="82"/>
      <c r="C5852" s="82"/>
      <c r="D5852" s="82"/>
      <c r="E5852" s="82"/>
      <c r="F5852" s="92"/>
      <c r="G5852" s="87"/>
      <c r="H5852" s="88"/>
      <c r="I5852" s="89"/>
      <c r="J5852" s="90"/>
      <c r="K5852" s="85"/>
      <c r="L5852" s="85"/>
      <c r="M5852" s="85"/>
      <c r="N5852" s="82"/>
      <c r="O5852" s="93"/>
    </row>
    <row r="5853" spans="1:15" ht="22.5" customHeight="1">
      <c r="A5853" s="85"/>
      <c r="B5853" s="82"/>
      <c r="C5853" s="82"/>
      <c r="D5853" s="82"/>
      <c r="E5853" s="82"/>
      <c r="F5853" s="92"/>
      <c r="G5853" s="87"/>
      <c r="H5853" s="88"/>
      <c r="I5853" s="89"/>
      <c r="J5853" s="90"/>
      <c r="K5853" s="85"/>
      <c r="L5853" s="85"/>
      <c r="M5853" s="85"/>
      <c r="N5853" s="82"/>
      <c r="O5853" s="93"/>
    </row>
    <row r="5854" spans="1:15" ht="22.5" customHeight="1">
      <c r="A5854" s="85"/>
      <c r="B5854" s="82"/>
      <c r="C5854" s="82"/>
      <c r="D5854" s="82"/>
      <c r="E5854" s="82"/>
      <c r="F5854" s="92"/>
      <c r="G5854" s="87"/>
      <c r="H5854" s="88"/>
      <c r="I5854" s="89"/>
      <c r="J5854" s="90"/>
      <c r="K5854" s="85"/>
      <c r="L5854" s="85"/>
      <c r="M5854" s="85"/>
      <c r="N5854" s="82"/>
      <c r="O5854" s="93"/>
    </row>
    <row r="5855" spans="1:15" ht="22.5" customHeight="1">
      <c r="A5855" s="85"/>
      <c r="B5855" s="82"/>
      <c r="C5855" s="82"/>
      <c r="D5855" s="82"/>
      <c r="E5855" s="82"/>
      <c r="F5855" s="92"/>
      <c r="G5855" s="87"/>
      <c r="H5855" s="88"/>
      <c r="I5855" s="89"/>
      <c r="J5855" s="90"/>
      <c r="K5855" s="85"/>
      <c r="L5855" s="85"/>
      <c r="M5855" s="85"/>
      <c r="N5855" s="82"/>
      <c r="O5855" s="93"/>
    </row>
    <row r="5856" spans="1:15" ht="22.5" customHeight="1">
      <c r="A5856" s="85"/>
      <c r="B5856" s="82"/>
      <c r="C5856" s="82"/>
      <c r="D5856" s="82"/>
      <c r="E5856" s="82"/>
      <c r="F5856" s="92"/>
      <c r="G5856" s="87"/>
      <c r="H5856" s="88"/>
      <c r="I5856" s="89"/>
      <c r="J5856" s="90"/>
      <c r="K5856" s="85"/>
      <c r="L5856" s="85"/>
      <c r="M5856" s="85"/>
      <c r="N5856" s="82"/>
      <c r="O5856" s="93"/>
    </row>
    <row r="5857" spans="1:15" ht="22.5" customHeight="1">
      <c r="A5857" s="85"/>
      <c r="B5857" s="82"/>
      <c r="C5857" s="82"/>
      <c r="D5857" s="82"/>
      <c r="E5857" s="82"/>
      <c r="F5857" s="92"/>
      <c r="G5857" s="87"/>
      <c r="H5857" s="88"/>
      <c r="I5857" s="89"/>
      <c r="J5857" s="90"/>
      <c r="K5857" s="85"/>
      <c r="L5857" s="85"/>
      <c r="M5857" s="85"/>
      <c r="N5857" s="82"/>
      <c r="O5857" s="93"/>
    </row>
    <row r="5858" spans="1:15" ht="22.5" customHeight="1">
      <c r="A5858" s="85"/>
      <c r="B5858" s="82"/>
      <c r="C5858" s="82"/>
      <c r="D5858" s="82"/>
      <c r="E5858" s="82"/>
      <c r="F5858" s="92"/>
      <c r="G5858" s="87"/>
      <c r="H5858" s="88"/>
      <c r="I5858" s="89"/>
      <c r="J5858" s="90"/>
      <c r="K5858" s="85"/>
      <c r="L5858" s="85"/>
      <c r="M5858" s="85"/>
      <c r="N5858" s="82"/>
      <c r="O5858" s="93"/>
    </row>
    <row r="5859" spans="1:15" ht="22.5" customHeight="1">
      <c r="A5859" s="85"/>
      <c r="B5859" s="82"/>
      <c r="C5859" s="82"/>
      <c r="D5859" s="82"/>
      <c r="E5859" s="82"/>
      <c r="F5859" s="92"/>
      <c r="G5859" s="87"/>
      <c r="H5859" s="88"/>
      <c r="I5859" s="89"/>
      <c r="J5859" s="90"/>
      <c r="K5859" s="85"/>
      <c r="L5859" s="85"/>
      <c r="M5859" s="85"/>
      <c r="N5859" s="82"/>
      <c r="O5859" s="93"/>
    </row>
    <row r="5860" spans="1:15" ht="22.5" customHeight="1">
      <c r="A5860" s="85"/>
      <c r="B5860" s="82"/>
      <c r="C5860" s="82"/>
      <c r="D5860" s="82"/>
      <c r="E5860" s="82"/>
      <c r="F5860" s="92"/>
      <c r="G5860" s="87"/>
      <c r="H5860" s="88"/>
      <c r="I5860" s="89"/>
      <c r="J5860" s="90"/>
      <c r="K5860" s="85"/>
      <c r="L5860" s="85"/>
      <c r="M5860" s="85"/>
      <c r="N5860" s="82"/>
      <c r="O5860" s="93"/>
    </row>
    <row r="5861" spans="1:15" ht="22.5" customHeight="1">
      <c r="A5861" s="85"/>
      <c r="B5861" s="82"/>
      <c r="C5861" s="82"/>
      <c r="D5861" s="82"/>
      <c r="E5861" s="82"/>
      <c r="F5861" s="92"/>
      <c r="G5861" s="87"/>
      <c r="H5861" s="88"/>
      <c r="I5861" s="89"/>
      <c r="J5861" s="90"/>
      <c r="K5861" s="85"/>
      <c r="L5861" s="85"/>
      <c r="M5861" s="85"/>
      <c r="N5861" s="82"/>
      <c r="O5861" s="93"/>
    </row>
    <row r="5862" spans="1:15" ht="22.5" customHeight="1">
      <c r="A5862" s="85"/>
      <c r="B5862" s="82"/>
      <c r="C5862" s="82"/>
      <c r="D5862" s="82"/>
      <c r="E5862" s="82"/>
      <c r="F5862" s="92"/>
      <c r="G5862" s="87"/>
      <c r="H5862" s="88"/>
      <c r="I5862" s="89"/>
      <c r="J5862" s="90"/>
      <c r="K5862" s="85"/>
      <c r="L5862" s="85"/>
      <c r="M5862" s="85"/>
      <c r="N5862" s="82"/>
      <c r="O5862" s="93"/>
    </row>
    <row r="5863" spans="1:15" ht="22.5" customHeight="1">
      <c r="A5863" s="85"/>
      <c r="B5863" s="82"/>
      <c r="C5863" s="82"/>
      <c r="D5863" s="82"/>
      <c r="E5863" s="82"/>
      <c r="F5863" s="92"/>
      <c r="G5863" s="87"/>
      <c r="H5863" s="88"/>
      <c r="I5863" s="89"/>
      <c r="J5863" s="90"/>
      <c r="K5863" s="85"/>
      <c r="L5863" s="85"/>
      <c r="M5863" s="85"/>
      <c r="N5863" s="82"/>
      <c r="O5863" s="93"/>
    </row>
    <row r="5864" spans="1:15" ht="22.5" customHeight="1">
      <c r="A5864" s="85"/>
      <c r="B5864" s="82"/>
      <c r="C5864" s="82"/>
      <c r="D5864" s="82"/>
      <c r="E5864" s="82"/>
      <c r="F5864" s="92"/>
      <c r="G5864" s="87"/>
      <c r="H5864" s="88"/>
      <c r="I5864" s="89"/>
      <c r="J5864" s="90"/>
      <c r="K5864" s="85"/>
      <c r="L5864" s="85"/>
      <c r="M5864" s="85"/>
      <c r="N5864" s="82"/>
      <c r="O5864" s="93"/>
    </row>
    <row r="5865" spans="1:15" ht="22.5" customHeight="1">
      <c r="A5865" s="85"/>
      <c r="B5865" s="82"/>
      <c r="C5865" s="82"/>
      <c r="D5865" s="82"/>
      <c r="E5865" s="82"/>
      <c r="F5865" s="92"/>
      <c r="G5865" s="87"/>
      <c r="H5865" s="88"/>
      <c r="I5865" s="89"/>
      <c r="J5865" s="90"/>
      <c r="K5865" s="85"/>
      <c r="L5865" s="85"/>
      <c r="M5865" s="85"/>
      <c r="N5865" s="82"/>
      <c r="O5865" s="93"/>
    </row>
    <row r="5866" spans="1:15" ht="22.5" customHeight="1">
      <c r="A5866" s="85"/>
      <c r="B5866" s="82"/>
      <c r="C5866" s="82"/>
      <c r="D5866" s="82"/>
      <c r="E5866" s="82"/>
      <c r="F5866" s="92"/>
      <c r="G5866" s="87"/>
      <c r="H5866" s="88"/>
      <c r="I5866" s="89"/>
      <c r="J5866" s="90"/>
      <c r="K5866" s="85"/>
      <c r="L5866" s="85"/>
      <c r="M5866" s="85"/>
      <c r="N5866" s="82"/>
      <c r="O5866" s="93"/>
    </row>
    <row r="5867" spans="1:15" ht="22.5" customHeight="1">
      <c r="A5867" s="85"/>
      <c r="B5867" s="82"/>
      <c r="C5867" s="82"/>
      <c r="D5867" s="82"/>
      <c r="E5867" s="82"/>
      <c r="F5867" s="92"/>
      <c r="G5867" s="87"/>
      <c r="H5867" s="88"/>
      <c r="I5867" s="89"/>
      <c r="J5867" s="90"/>
      <c r="K5867" s="85"/>
      <c r="L5867" s="85"/>
      <c r="M5867" s="85"/>
      <c r="N5867" s="82"/>
      <c r="O5867" s="93"/>
    </row>
    <row r="5868" spans="1:15" ht="22.5" customHeight="1">
      <c r="A5868" s="85"/>
      <c r="B5868" s="82"/>
      <c r="C5868" s="82"/>
      <c r="D5868" s="82"/>
      <c r="E5868" s="82"/>
      <c r="F5868" s="92"/>
      <c r="G5868" s="87"/>
      <c r="H5868" s="88"/>
      <c r="I5868" s="89"/>
      <c r="J5868" s="90"/>
      <c r="K5868" s="85"/>
      <c r="L5868" s="85"/>
      <c r="M5868" s="85"/>
      <c r="N5868" s="82"/>
      <c r="O5868" s="93"/>
    </row>
    <row r="5869" spans="1:15" ht="22.5" customHeight="1">
      <c r="A5869" s="85"/>
      <c r="B5869" s="82"/>
      <c r="C5869" s="82"/>
      <c r="D5869" s="82"/>
      <c r="E5869" s="82"/>
      <c r="F5869" s="92"/>
      <c r="G5869" s="87"/>
      <c r="H5869" s="88"/>
      <c r="I5869" s="89"/>
      <c r="J5869" s="90"/>
      <c r="K5869" s="85"/>
      <c r="L5869" s="85"/>
      <c r="M5869" s="85"/>
      <c r="N5869" s="82"/>
      <c r="O5869" s="93"/>
    </row>
    <row r="5870" spans="1:15" ht="22.5" customHeight="1">
      <c r="A5870" s="85"/>
      <c r="B5870" s="82"/>
      <c r="C5870" s="82"/>
      <c r="D5870" s="82"/>
      <c r="E5870" s="82"/>
      <c r="F5870" s="92"/>
      <c r="G5870" s="87"/>
      <c r="H5870" s="88"/>
      <c r="I5870" s="89"/>
      <c r="J5870" s="90"/>
      <c r="K5870" s="85"/>
      <c r="L5870" s="85"/>
      <c r="M5870" s="85"/>
      <c r="N5870" s="82"/>
      <c r="O5870" s="93"/>
    </row>
    <row r="5871" spans="1:15" ht="22.5" customHeight="1">
      <c r="A5871" s="85"/>
      <c r="B5871" s="82"/>
      <c r="C5871" s="82"/>
      <c r="D5871" s="82"/>
      <c r="E5871" s="82"/>
      <c r="F5871" s="92"/>
      <c r="G5871" s="87"/>
      <c r="H5871" s="88"/>
      <c r="I5871" s="89"/>
      <c r="J5871" s="90"/>
      <c r="K5871" s="85"/>
      <c r="L5871" s="85"/>
      <c r="M5871" s="85"/>
      <c r="N5871" s="82"/>
      <c r="O5871" s="93"/>
    </row>
    <row r="5872" spans="1:15" ht="22.5" customHeight="1">
      <c r="A5872" s="85"/>
      <c r="B5872" s="82"/>
      <c r="C5872" s="82"/>
      <c r="D5872" s="82"/>
      <c r="E5872" s="82"/>
      <c r="F5872" s="92"/>
      <c r="G5872" s="87"/>
      <c r="H5872" s="88"/>
      <c r="I5872" s="89"/>
      <c r="J5872" s="90"/>
      <c r="K5872" s="85"/>
      <c r="L5872" s="85"/>
      <c r="M5872" s="85"/>
      <c r="N5872" s="82"/>
      <c r="O5872" s="93"/>
    </row>
    <row r="5873" spans="1:15" ht="22.5" customHeight="1">
      <c r="A5873" s="85"/>
      <c r="B5873" s="82"/>
      <c r="C5873" s="82"/>
      <c r="D5873" s="82"/>
      <c r="E5873" s="82"/>
      <c r="F5873" s="92"/>
      <c r="G5873" s="87"/>
      <c r="H5873" s="88"/>
      <c r="I5873" s="89"/>
      <c r="J5873" s="90"/>
      <c r="K5873" s="85"/>
      <c r="L5873" s="85"/>
      <c r="M5873" s="85"/>
      <c r="N5873" s="82"/>
      <c r="O5873" s="93"/>
    </row>
    <row r="5874" spans="1:15" ht="22.5" customHeight="1">
      <c r="A5874" s="85"/>
      <c r="B5874" s="82"/>
      <c r="C5874" s="82"/>
      <c r="D5874" s="82"/>
      <c r="E5874" s="82"/>
      <c r="F5874" s="92"/>
      <c r="G5874" s="87"/>
      <c r="H5874" s="88"/>
      <c r="I5874" s="89"/>
      <c r="J5874" s="90"/>
      <c r="K5874" s="85"/>
      <c r="L5874" s="85"/>
      <c r="M5874" s="85"/>
      <c r="N5874" s="82"/>
      <c r="O5874" s="93"/>
    </row>
    <row r="5875" spans="1:15" ht="22.5" customHeight="1">
      <c r="A5875" s="85"/>
      <c r="B5875" s="82"/>
      <c r="C5875" s="82"/>
      <c r="D5875" s="82"/>
      <c r="E5875" s="82"/>
      <c r="F5875" s="92"/>
      <c r="G5875" s="87"/>
      <c r="H5875" s="88"/>
      <c r="I5875" s="89"/>
      <c r="J5875" s="90"/>
      <c r="K5875" s="85"/>
      <c r="L5875" s="85"/>
      <c r="M5875" s="85"/>
      <c r="N5875" s="82"/>
      <c r="O5875" s="93"/>
    </row>
    <row r="5876" spans="1:15" ht="22.5" customHeight="1">
      <c r="A5876" s="85"/>
      <c r="B5876" s="82"/>
      <c r="C5876" s="82"/>
      <c r="D5876" s="82"/>
      <c r="E5876" s="82"/>
      <c r="F5876" s="92"/>
      <c r="G5876" s="87"/>
      <c r="H5876" s="88"/>
      <c r="I5876" s="89"/>
      <c r="J5876" s="90"/>
      <c r="K5876" s="85"/>
      <c r="L5876" s="85"/>
      <c r="M5876" s="85"/>
      <c r="N5876" s="82"/>
      <c r="O5876" s="93"/>
    </row>
    <row r="5877" spans="1:15" ht="22.5" customHeight="1">
      <c r="A5877" s="85"/>
      <c r="B5877" s="82"/>
      <c r="C5877" s="82"/>
      <c r="D5877" s="82"/>
      <c r="E5877" s="82"/>
      <c r="F5877" s="92"/>
      <c r="G5877" s="87"/>
      <c r="H5877" s="88"/>
      <c r="I5877" s="89"/>
      <c r="J5877" s="90"/>
      <c r="K5877" s="85"/>
      <c r="L5877" s="85"/>
      <c r="M5877" s="85"/>
      <c r="N5877" s="82"/>
      <c r="O5877" s="93"/>
    </row>
    <row r="5878" spans="1:15" ht="22.5" customHeight="1">
      <c r="A5878" s="85"/>
      <c r="B5878" s="82"/>
      <c r="C5878" s="82"/>
      <c r="D5878" s="82"/>
      <c r="E5878" s="82"/>
      <c r="F5878" s="92"/>
      <c r="G5878" s="87"/>
      <c r="H5878" s="88"/>
      <c r="I5878" s="89"/>
      <c r="J5878" s="90"/>
      <c r="K5878" s="85"/>
      <c r="L5878" s="85"/>
      <c r="M5878" s="85"/>
      <c r="N5878" s="82"/>
      <c r="O5878" s="93"/>
    </row>
    <row r="5879" spans="1:15" ht="22.5" customHeight="1">
      <c r="A5879" s="85"/>
      <c r="B5879" s="82"/>
      <c r="C5879" s="82"/>
      <c r="D5879" s="82"/>
      <c r="E5879" s="82"/>
      <c r="F5879" s="92"/>
      <c r="G5879" s="87"/>
      <c r="H5879" s="88"/>
      <c r="I5879" s="89"/>
      <c r="J5879" s="90"/>
      <c r="K5879" s="85"/>
      <c r="L5879" s="85"/>
      <c r="M5879" s="85"/>
      <c r="N5879" s="82"/>
      <c r="O5879" s="93"/>
    </row>
    <row r="5880" spans="1:15" ht="22.5" customHeight="1">
      <c r="A5880" s="85"/>
      <c r="B5880" s="82"/>
      <c r="C5880" s="82"/>
      <c r="D5880" s="82"/>
      <c r="E5880" s="82"/>
      <c r="F5880" s="92"/>
      <c r="G5880" s="87"/>
      <c r="H5880" s="88"/>
      <c r="I5880" s="89"/>
      <c r="J5880" s="90"/>
      <c r="K5880" s="85"/>
      <c r="L5880" s="85"/>
      <c r="M5880" s="85"/>
      <c r="N5880" s="82"/>
      <c r="O5880" s="93"/>
    </row>
    <row r="5881" spans="1:15" ht="22.5" customHeight="1">
      <c r="A5881" s="85"/>
      <c r="B5881" s="82"/>
      <c r="C5881" s="82"/>
      <c r="D5881" s="82"/>
      <c r="E5881" s="82"/>
      <c r="F5881" s="92"/>
      <c r="G5881" s="87"/>
      <c r="H5881" s="88"/>
      <c r="I5881" s="89"/>
      <c r="J5881" s="90"/>
      <c r="K5881" s="85"/>
      <c r="L5881" s="85"/>
      <c r="M5881" s="85"/>
      <c r="N5881" s="82"/>
      <c r="O5881" s="93"/>
    </row>
    <row r="5882" spans="1:15" ht="22.5" customHeight="1">
      <c r="A5882" s="85"/>
      <c r="B5882" s="82"/>
      <c r="C5882" s="82"/>
      <c r="D5882" s="82"/>
      <c r="E5882" s="82"/>
      <c r="F5882" s="92"/>
      <c r="G5882" s="87"/>
      <c r="H5882" s="88"/>
      <c r="I5882" s="89"/>
      <c r="J5882" s="90"/>
      <c r="K5882" s="85"/>
      <c r="L5882" s="85"/>
      <c r="M5882" s="85"/>
      <c r="N5882" s="82"/>
      <c r="O5882" s="93"/>
    </row>
    <row r="5883" spans="1:15" ht="22.5" customHeight="1">
      <c r="A5883" s="85"/>
      <c r="B5883" s="82"/>
      <c r="C5883" s="82"/>
      <c r="D5883" s="82"/>
      <c r="E5883" s="82"/>
      <c r="F5883" s="92"/>
      <c r="G5883" s="87"/>
      <c r="H5883" s="88"/>
      <c r="I5883" s="89"/>
      <c r="J5883" s="90"/>
      <c r="K5883" s="85"/>
      <c r="L5883" s="85"/>
      <c r="M5883" s="85"/>
      <c r="N5883" s="82"/>
      <c r="O5883" s="93"/>
    </row>
    <row r="5884" spans="1:15" ht="22.5" customHeight="1">
      <c r="A5884" s="85"/>
      <c r="B5884" s="82"/>
      <c r="C5884" s="82"/>
      <c r="D5884" s="82"/>
      <c r="E5884" s="82"/>
      <c r="F5884" s="92"/>
      <c r="G5884" s="87"/>
      <c r="H5884" s="88"/>
      <c r="I5884" s="89"/>
      <c r="J5884" s="90"/>
      <c r="K5884" s="85"/>
      <c r="L5884" s="85"/>
      <c r="M5884" s="85"/>
      <c r="N5884" s="82"/>
      <c r="O5884" s="93"/>
    </row>
    <row r="5885" spans="1:15" ht="22.5" customHeight="1">
      <c r="A5885" s="85"/>
      <c r="B5885" s="82"/>
      <c r="C5885" s="82"/>
      <c r="D5885" s="82"/>
      <c r="E5885" s="82"/>
      <c r="F5885" s="92"/>
      <c r="G5885" s="87"/>
      <c r="H5885" s="88"/>
      <c r="I5885" s="89"/>
      <c r="J5885" s="90"/>
      <c r="K5885" s="85"/>
      <c r="L5885" s="85"/>
      <c r="M5885" s="85"/>
      <c r="N5885" s="82"/>
      <c r="O5885" s="93"/>
    </row>
    <row r="5886" spans="1:15" ht="22.5" customHeight="1">
      <c r="A5886" s="85"/>
      <c r="B5886" s="82"/>
      <c r="C5886" s="82"/>
      <c r="D5886" s="82"/>
      <c r="E5886" s="82"/>
      <c r="F5886" s="92"/>
      <c r="G5886" s="87"/>
      <c r="H5886" s="88"/>
      <c r="I5886" s="89"/>
      <c r="J5886" s="90"/>
      <c r="K5886" s="85"/>
      <c r="L5886" s="85"/>
      <c r="M5886" s="85"/>
      <c r="N5886" s="82"/>
      <c r="O5886" s="93"/>
    </row>
    <row r="5887" spans="1:15" ht="22.5" customHeight="1">
      <c r="A5887" s="85"/>
      <c r="B5887" s="82"/>
      <c r="C5887" s="82"/>
      <c r="D5887" s="82"/>
      <c r="E5887" s="82"/>
      <c r="F5887" s="92"/>
      <c r="G5887" s="87"/>
      <c r="H5887" s="88"/>
      <c r="I5887" s="89"/>
      <c r="J5887" s="90"/>
      <c r="K5887" s="85"/>
      <c r="L5887" s="85"/>
      <c r="M5887" s="85"/>
      <c r="N5887" s="82"/>
      <c r="O5887" s="93"/>
    </row>
    <row r="5888" spans="1:15" ht="22.5" customHeight="1">
      <c r="A5888" s="85"/>
      <c r="B5888" s="82"/>
      <c r="C5888" s="82"/>
      <c r="D5888" s="82"/>
      <c r="E5888" s="82"/>
      <c r="F5888" s="92"/>
      <c r="G5888" s="87"/>
      <c r="H5888" s="88"/>
      <c r="I5888" s="89"/>
      <c r="J5888" s="90"/>
      <c r="K5888" s="85"/>
      <c r="L5888" s="85"/>
      <c r="M5888" s="85"/>
      <c r="N5888" s="82"/>
      <c r="O5888" s="93"/>
    </row>
    <row r="5889" spans="1:15" ht="22.5" customHeight="1">
      <c r="A5889" s="85"/>
      <c r="B5889" s="82"/>
      <c r="C5889" s="82"/>
      <c r="D5889" s="82"/>
      <c r="E5889" s="82"/>
      <c r="F5889" s="92"/>
      <c r="G5889" s="87"/>
      <c r="H5889" s="88"/>
      <c r="I5889" s="89"/>
      <c r="J5889" s="90"/>
      <c r="K5889" s="85"/>
      <c r="L5889" s="85"/>
      <c r="M5889" s="85"/>
      <c r="N5889" s="82"/>
      <c r="O5889" s="93"/>
    </row>
    <row r="5890" spans="1:15" ht="22.5" customHeight="1">
      <c r="A5890" s="85"/>
      <c r="B5890" s="82"/>
      <c r="C5890" s="82"/>
      <c r="D5890" s="82"/>
      <c r="E5890" s="82"/>
      <c r="F5890" s="92"/>
      <c r="G5890" s="87"/>
      <c r="H5890" s="88"/>
      <c r="I5890" s="89"/>
      <c r="J5890" s="90"/>
      <c r="K5890" s="85"/>
      <c r="L5890" s="85"/>
      <c r="M5890" s="85"/>
      <c r="N5890" s="82"/>
      <c r="O5890" s="93"/>
    </row>
    <row r="5891" spans="1:15" ht="22.5" customHeight="1">
      <c r="A5891" s="85"/>
      <c r="B5891" s="82"/>
      <c r="C5891" s="82"/>
      <c r="D5891" s="82"/>
      <c r="E5891" s="82"/>
      <c r="F5891" s="92"/>
      <c r="G5891" s="87"/>
      <c r="H5891" s="88"/>
      <c r="I5891" s="89"/>
      <c r="J5891" s="90"/>
      <c r="K5891" s="85"/>
      <c r="L5891" s="85"/>
      <c r="M5891" s="85"/>
      <c r="N5891" s="82"/>
      <c r="O5891" s="93"/>
    </row>
    <row r="5892" spans="1:15" ht="22.5" customHeight="1">
      <c r="A5892" s="85"/>
      <c r="B5892" s="82"/>
      <c r="C5892" s="82"/>
      <c r="D5892" s="82"/>
      <c r="E5892" s="82"/>
      <c r="F5892" s="92"/>
      <c r="G5892" s="87"/>
      <c r="H5892" s="88"/>
      <c r="I5892" s="89"/>
      <c r="J5892" s="90"/>
      <c r="K5892" s="85"/>
      <c r="L5892" s="85"/>
      <c r="M5892" s="85"/>
      <c r="N5892" s="82"/>
      <c r="O5892" s="93"/>
    </row>
    <row r="5893" spans="1:15" ht="22.5" customHeight="1">
      <c r="A5893" s="85"/>
      <c r="B5893" s="82"/>
      <c r="C5893" s="82"/>
      <c r="D5893" s="82"/>
      <c r="E5893" s="82"/>
      <c r="F5893" s="92"/>
      <c r="G5893" s="87"/>
      <c r="H5893" s="88"/>
      <c r="I5893" s="89"/>
      <c r="J5893" s="90"/>
      <c r="K5893" s="85"/>
      <c r="L5893" s="85"/>
      <c r="M5893" s="85"/>
      <c r="N5893" s="82"/>
      <c r="O5893" s="93"/>
    </row>
    <row r="5894" spans="1:15" ht="22.5" customHeight="1">
      <c r="A5894" s="85"/>
      <c r="B5894" s="82"/>
      <c r="C5894" s="82"/>
      <c r="D5894" s="82"/>
      <c r="E5894" s="82"/>
      <c r="F5894" s="92"/>
      <c r="G5894" s="87"/>
      <c r="H5894" s="88"/>
      <c r="I5894" s="89"/>
      <c r="J5894" s="90"/>
      <c r="K5894" s="85"/>
      <c r="L5894" s="85"/>
      <c r="M5894" s="85"/>
      <c r="N5894" s="82"/>
      <c r="O5894" s="93"/>
    </row>
    <row r="5895" spans="1:15" ht="22.5" customHeight="1">
      <c r="A5895" s="85"/>
      <c r="B5895" s="82"/>
      <c r="C5895" s="82"/>
      <c r="D5895" s="82"/>
      <c r="E5895" s="82"/>
      <c r="F5895" s="92"/>
      <c r="G5895" s="87"/>
      <c r="H5895" s="88"/>
      <c r="I5895" s="89"/>
      <c r="J5895" s="90"/>
      <c r="K5895" s="85"/>
      <c r="L5895" s="85"/>
      <c r="M5895" s="85"/>
      <c r="N5895" s="82"/>
      <c r="O5895" s="93"/>
    </row>
    <row r="5896" spans="1:15" ht="22.5" customHeight="1">
      <c r="A5896" s="85"/>
      <c r="B5896" s="82"/>
      <c r="C5896" s="82"/>
      <c r="D5896" s="82"/>
      <c r="E5896" s="82"/>
      <c r="F5896" s="92"/>
      <c r="G5896" s="87"/>
      <c r="H5896" s="88"/>
      <c r="I5896" s="89"/>
      <c r="J5896" s="90"/>
      <c r="K5896" s="85"/>
      <c r="L5896" s="85"/>
      <c r="M5896" s="85"/>
      <c r="N5896" s="82"/>
      <c r="O5896" s="93"/>
    </row>
    <row r="5897" spans="1:15" ht="22.5" customHeight="1">
      <c r="A5897" s="85"/>
      <c r="B5897" s="82"/>
      <c r="C5897" s="82"/>
      <c r="D5897" s="82"/>
      <c r="E5897" s="82"/>
      <c r="F5897" s="92"/>
      <c r="G5897" s="87"/>
      <c r="H5897" s="88"/>
      <c r="I5897" s="89"/>
      <c r="J5897" s="90"/>
      <c r="K5897" s="85"/>
      <c r="L5897" s="85"/>
      <c r="M5897" s="85"/>
      <c r="N5897" s="82"/>
      <c r="O5897" s="93"/>
    </row>
    <row r="5898" spans="1:15" ht="22.5" customHeight="1">
      <c r="A5898" s="85"/>
      <c r="B5898" s="82"/>
      <c r="C5898" s="82"/>
      <c r="D5898" s="82"/>
      <c r="E5898" s="82"/>
      <c r="F5898" s="92"/>
      <c r="G5898" s="87"/>
      <c r="H5898" s="88"/>
      <c r="I5898" s="89"/>
      <c r="J5898" s="90"/>
      <c r="K5898" s="85"/>
      <c r="L5898" s="85"/>
      <c r="M5898" s="85"/>
      <c r="N5898" s="82"/>
      <c r="O5898" s="93"/>
    </row>
    <row r="5899" spans="1:15" ht="22.5" customHeight="1">
      <c r="A5899" s="85"/>
      <c r="B5899" s="82"/>
      <c r="C5899" s="82"/>
      <c r="D5899" s="82"/>
      <c r="E5899" s="82"/>
      <c r="F5899" s="92"/>
      <c r="G5899" s="87"/>
      <c r="H5899" s="88"/>
      <c r="I5899" s="89"/>
      <c r="J5899" s="90"/>
      <c r="K5899" s="85"/>
      <c r="L5899" s="85"/>
      <c r="M5899" s="85"/>
      <c r="N5899" s="82"/>
      <c r="O5899" s="93"/>
    </row>
    <row r="5900" spans="1:15" ht="22.5" customHeight="1">
      <c r="A5900" s="85"/>
      <c r="B5900" s="82"/>
      <c r="C5900" s="82"/>
      <c r="D5900" s="82"/>
      <c r="E5900" s="82"/>
      <c r="F5900" s="92"/>
      <c r="G5900" s="87"/>
      <c r="H5900" s="88"/>
      <c r="I5900" s="89"/>
      <c r="J5900" s="90"/>
      <c r="K5900" s="85"/>
      <c r="L5900" s="85"/>
      <c r="M5900" s="85"/>
      <c r="N5900" s="82"/>
      <c r="O5900" s="93"/>
    </row>
    <row r="5901" spans="1:15" ht="22.5" customHeight="1">
      <c r="A5901" s="85"/>
      <c r="B5901" s="82"/>
      <c r="C5901" s="82"/>
      <c r="D5901" s="82"/>
      <c r="E5901" s="82"/>
      <c r="F5901" s="92"/>
      <c r="G5901" s="87"/>
      <c r="H5901" s="88"/>
      <c r="I5901" s="89"/>
      <c r="J5901" s="90"/>
      <c r="K5901" s="85"/>
      <c r="L5901" s="85"/>
      <c r="M5901" s="85"/>
      <c r="N5901" s="82"/>
      <c r="O5901" s="93"/>
    </row>
    <row r="5902" spans="1:15" ht="22.5" customHeight="1">
      <c r="A5902" s="85"/>
      <c r="B5902" s="82"/>
      <c r="C5902" s="82"/>
      <c r="D5902" s="82"/>
      <c r="E5902" s="82"/>
      <c r="F5902" s="92"/>
      <c r="G5902" s="87"/>
      <c r="H5902" s="88"/>
      <c r="I5902" s="89"/>
      <c r="J5902" s="90"/>
      <c r="K5902" s="85"/>
      <c r="L5902" s="85"/>
      <c r="M5902" s="85"/>
      <c r="N5902" s="82"/>
      <c r="O5902" s="93"/>
    </row>
    <row r="5903" spans="1:15" ht="22.5" customHeight="1">
      <c r="A5903" s="85"/>
      <c r="B5903" s="82"/>
      <c r="C5903" s="82"/>
      <c r="D5903" s="82"/>
      <c r="E5903" s="82"/>
      <c r="F5903" s="92"/>
      <c r="G5903" s="87"/>
      <c r="H5903" s="88"/>
      <c r="I5903" s="89"/>
      <c r="J5903" s="90"/>
      <c r="K5903" s="85"/>
      <c r="L5903" s="85"/>
      <c r="M5903" s="85"/>
      <c r="N5903" s="82"/>
      <c r="O5903" s="93"/>
    </row>
    <row r="5904" spans="1:15" ht="22.5" customHeight="1">
      <c r="A5904" s="85"/>
      <c r="B5904" s="82"/>
      <c r="C5904" s="82"/>
      <c r="D5904" s="82"/>
      <c r="E5904" s="82"/>
      <c r="F5904" s="92"/>
      <c r="G5904" s="87"/>
      <c r="H5904" s="88"/>
      <c r="I5904" s="89"/>
      <c r="J5904" s="90"/>
      <c r="K5904" s="85"/>
      <c r="L5904" s="85"/>
      <c r="M5904" s="85"/>
      <c r="N5904" s="82"/>
      <c r="O5904" s="93"/>
    </row>
    <row r="5905" spans="1:15" ht="22.5" customHeight="1">
      <c r="A5905" s="85"/>
      <c r="B5905" s="82"/>
      <c r="C5905" s="82"/>
      <c r="D5905" s="82"/>
      <c r="E5905" s="82"/>
      <c r="F5905" s="92"/>
      <c r="G5905" s="87"/>
      <c r="H5905" s="88"/>
      <c r="I5905" s="89"/>
      <c r="J5905" s="90"/>
      <c r="K5905" s="85"/>
      <c r="L5905" s="85"/>
      <c r="M5905" s="85"/>
      <c r="N5905" s="82"/>
      <c r="O5905" s="93"/>
    </row>
    <row r="5906" spans="1:15" ht="22.5" customHeight="1">
      <c r="A5906" s="85"/>
      <c r="B5906" s="82"/>
      <c r="C5906" s="82"/>
      <c r="D5906" s="82"/>
      <c r="E5906" s="82"/>
      <c r="F5906" s="92"/>
      <c r="G5906" s="87"/>
      <c r="H5906" s="88"/>
      <c r="I5906" s="89"/>
      <c r="J5906" s="90"/>
      <c r="K5906" s="85"/>
      <c r="L5906" s="85"/>
      <c r="M5906" s="85"/>
      <c r="N5906" s="82"/>
      <c r="O5906" s="93"/>
    </row>
    <row r="5907" spans="1:15" ht="22.5" customHeight="1">
      <c r="A5907" s="85"/>
      <c r="B5907" s="82"/>
      <c r="C5907" s="82"/>
      <c r="D5907" s="82"/>
      <c r="E5907" s="82"/>
      <c r="F5907" s="92"/>
      <c r="G5907" s="87"/>
      <c r="H5907" s="88"/>
      <c r="I5907" s="89"/>
      <c r="J5907" s="90"/>
      <c r="K5907" s="85"/>
      <c r="L5907" s="85"/>
      <c r="M5907" s="85"/>
      <c r="N5907" s="82"/>
      <c r="O5907" s="93"/>
    </row>
    <row r="5908" spans="1:15" ht="22.5" customHeight="1">
      <c r="A5908" s="85"/>
      <c r="B5908" s="82"/>
      <c r="C5908" s="82"/>
      <c r="D5908" s="82"/>
      <c r="E5908" s="82"/>
      <c r="F5908" s="92"/>
      <c r="G5908" s="87"/>
      <c r="H5908" s="88"/>
      <c r="I5908" s="89"/>
      <c r="J5908" s="90"/>
      <c r="K5908" s="85"/>
      <c r="L5908" s="85"/>
      <c r="M5908" s="85"/>
      <c r="N5908" s="82"/>
      <c r="O5908" s="93"/>
    </row>
    <row r="5909" spans="1:15" ht="22.5" customHeight="1">
      <c r="A5909" s="85"/>
      <c r="B5909" s="82"/>
      <c r="C5909" s="82"/>
      <c r="D5909" s="82"/>
      <c r="E5909" s="82"/>
      <c r="F5909" s="92"/>
      <c r="G5909" s="87"/>
      <c r="H5909" s="88"/>
      <c r="I5909" s="89"/>
      <c r="J5909" s="90"/>
      <c r="K5909" s="85"/>
      <c r="L5909" s="85"/>
      <c r="M5909" s="85"/>
      <c r="N5909" s="82"/>
      <c r="O5909" s="93"/>
    </row>
    <row r="5910" spans="1:15" ht="22.5" customHeight="1">
      <c r="A5910" s="85"/>
      <c r="B5910" s="82"/>
      <c r="C5910" s="82"/>
      <c r="D5910" s="82"/>
      <c r="E5910" s="82"/>
      <c r="F5910" s="92"/>
      <c r="G5910" s="87"/>
      <c r="H5910" s="88"/>
      <c r="I5910" s="89"/>
      <c r="J5910" s="90"/>
      <c r="K5910" s="85"/>
      <c r="L5910" s="85"/>
      <c r="M5910" s="85"/>
      <c r="N5910" s="82"/>
      <c r="O5910" s="93"/>
    </row>
    <row r="5911" spans="1:15" ht="22.5" customHeight="1">
      <c r="A5911" s="85"/>
      <c r="B5911" s="82"/>
      <c r="C5911" s="82"/>
      <c r="D5911" s="82"/>
      <c r="E5911" s="82"/>
      <c r="F5911" s="92"/>
      <c r="G5911" s="87"/>
      <c r="H5911" s="88"/>
      <c r="I5911" s="89"/>
      <c r="J5911" s="90"/>
      <c r="K5911" s="85"/>
      <c r="L5911" s="85"/>
      <c r="M5911" s="85"/>
      <c r="N5911" s="82"/>
      <c r="O5911" s="93"/>
    </row>
    <row r="5912" spans="1:15" ht="22.5" customHeight="1">
      <c r="A5912" s="85"/>
      <c r="B5912" s="82"/>
      <c r="C5912" s="82"/>
      <c r="D5912" s="82"/>
      <c r="E5912" s="82"/>
      <c r="F5912" s="92"/>
      <c r="G5912" s="87"/>
      <c r="H5912" s="88"/>
      <c r="I5912" s="89"/>
      <c r="J5912" s="90"/>
      <c r="K5912" s="85"/>
      <c r="L5912" s="85"/>
      <c r="M5912" s="85"/>
      <c r="N5912" s="82"/>
      <c r="O5912" s="93"/>
    </row>
    <row r="5913" spans="1:15" ht="22.5" customHeight="1">
      <c r="A5913" s="85"/>
      <c r="B5913" s="82"/>
      <c r="C5913" s="82"/>
      <c r="D5913" s="82"/>
      <c r="E5913" s="82"/>
      <c r="F5913" s="92"/>
      <c r="G5913" s="87"/>
      <c r="H5913" s="88"/>
      <c r="I5913" s="89"/>
      <c r="J5913" s="90"/>
      <c r="K5913" s="85"/>
      <c r="L5913" s="85"/>
      <c r="M5913" s="85"/>
      <c r="N5913" s="82"/>
      <c r="O5913" s="93"/>
    </row>
    <row r="5914" spans="1:15" ht="22.5" customHeight="1">
      <c r="A5914" s="85"/>
      <c r="B5914" s="82"/>
      <c r="C5914" s="82"/>
      <c r="D5914" s="82"/>
      <c r="E5914" s="82"/>
      <c r="F5914" s="92"/>
      <c r="G5914" s="87"/>
      <c r="H5914" s="88"/>
      <c r="I5914" s="89"/>
      <c r="J5914" s="90"/>
      <c r="K5914" s="85"/>
      <c r="L5914" s="85"/>
      <c r="M5914" s="85"/>
      <c r="N5914" s="82"/>
      <c r="O5914" s="93"/>
    </row>
    <row r="5915" spans="1:15" ht="22.5" customHeight="1">
      <c r="A5915" s="85"/>
      <c r="B5915" s="82"/>
      <c r="C5915" s="82"/>
      <c r="D5915" s="82"/>
      <c r="E5915" s="82"/>
      <c r="F5915" s="92"/>
      <c r="G5915" s="87"/>
      <c r="H5915" s="88"/>
      <c r="I5915" s="89"/>
      <c r="J5915" s="90"/>
      <c r="K5915" s="85"/>
      <c r="L5915" s="85"/>
      <c r="M5915" s="85"/>
      <c r="N5915" s="82"/>
      <c r="O5915" s="93"/>
    </row>
    <row r="5916" spans="1:15" ht="22.5" customHeight="1">
      <c r="A5916" s="85"/>
      <c r="B5916" s="82"/>
      <c r="C5916" s="82"/>
      <c r="D5916" s="82"/>
      <c r="E5916" s="82"/>
      <c r="F5916" s="92"/>
      <c r="G5916" s="87"/>
      <c r="H5916" s="88"/>
      <c r="I5916" s="89"/>
      <c r="J5916" s="90"/>
      <c r="K5916" s="85"/>
      <c r="L5916" s="85"/>
      <c r="M5916" s="85"/>
      <c r="N5916" s="82"/>
      <c r="O5916" s="93"/>
    </row>
    <row r="5917" spans="1:15" ht="22.5" customHeight="1">
      <c r="A5917" s="85"/>
      <c r="B5917" s="82"/>
      <c r="C5917" s="82"/>
      <c r="D5917" s="82"/>
      <c r="E5917" s="82"/>
      <c r="F5917" s="92"/>
      <c r="G5917" s="87"/>
      <c r="H5917" s="88"/>
      <c r="I5917" s="89"/>
      <c r="J5917" s="90"/>
      <c r="K5917" s="85"/>
      <c r="L5917" s="85"/>
      <c r="M5917" s="85"/>
      <c r="N5917" s="82"/>
      <c r="O5917" s="93"/>
    </row>
    <row r="5918" spans="1:15" ht="22.5" customHeight="1">
      <c r="A5918" s="85"/>
      <c r="B5918" s="82"/>
      <c r="C5918" s="82"/>
      <c r="D5918" s="82"/>
      <c r="E5918" s="82"/>
      <c r="F5918" s="92"/>
      <c r="G5918" s="87"/>
      <c r="H5918" s="88"/>
      <c r="I5918" s="89"/>
      <c r="J5918" s="90"/>
      <c r="K5918" s="85"/>
      <c r="L5918" s="85"/>
      <c r="M5918" s="85"/>
      <c r="N5918" s="82"/>
      <c r="O5918" s="93"/>
    </row>
    <row r="5919" spans="1:15" ht="22.5" customHeight="1">
      <c r="A5919" s="85"/>
      <c r="B5919" s="82"/>
      <c r="C5919" s="82"/>
      <c r="D5919" s="82"/>
      <c r="E5919" s="82"/>
      <c r="F5919" s="92"/>
      <c r="G5919" s="87"/>
      <c r="H5919" s="88"/>
      <c r="I5919" s="89"/>
      <c r="J5919" s="90"/>
      <c r="K5919" s="85"/>
      <c r="L5919" s="85"/>
      <c r="M5919" s="85"/>
      <c r="N5919" s="82"/>
      <c r="O5919" s="93"/>
    </row>
    <row r="5920" spans="1:15" ht="22.5" customHeight="1">
      <c r="A5920" s="85"/>
      <c r="B5920" s="82"/>
      <c r="C5920" s="82"/>
      <c r="D5920" s="82"/>
      <c r="E5920" s="82"/>
      <c r="F5920" s="92"/>
      <c r="G5920" s="87"/>
      <c r="H5920" s="88"/>
      <c r="I5920" s="89"/>
      <c r="J5920" s="90"/>
      <c r="K5920" s="85"/>
      <c r="L5920" s="85"/>
      <c r="M5920" s="85"/>
      <c r="N5920" s="82"/>
      <c r="O5920" s="93"/>
    </row>
    <row r="5921" spans="1:15" ht="22.5" customHeight="1">
      <c r="A5921" s="85"/>
      <c r="B5921" s="82"/>
      <c r="C5921" s="82"/>
      <c r="D5921" s="82"/>
      <c r="E5921" s="82"/>
      <c r="F5921" s="92"/>
      <c r="G5921" s="87"/>
      <c r="H5921" s="88"/>
      <c r="I5921" s="89"/>
      <c r="J5921" s="90"/>
      <c r="K5921" s="85"/>
      <c r="L5921" s="85"/>
      <c r="M5921" s="85"/>
      <c r="N5921" s="82"/>
      <c r="O5921" s="93"/>
    </row>
    <row r="5922" spans="1:15" ht="22.5" customHeight="1">
      <c r="A5922" s="85"/>
      <c r="B5922" s="82"/>
      <c r="C5922" s="82"/>
      <c r="D5922" s="82"/>
      <c r="E5922" s="82"/>
      <c r="F5922" s="92"/>
      <c r="G5922" s="87"/>
      <c r="H5922" s="88"/>
      <c r="I5922" s="89"/>
      <c r="J5922" s="90"/>
      <c r="K5922" s="85"/>
      <c r="L5922" s="85"/>
      <c r="M5922" s="85"/>
      <c r="N5922" s="82"/>
      <c r="O5922" s="93"/>
    </row>
    <row r="5923" spans="1:15" ht="22.5" customHeight="1">
      <c r="A5923" s="85"/>
      <c r="B5923" s="82"/>
      <c r="C5923" s="82"/>
      <c r="D5923" s="82"/>
      <c r="E5923" s="82"/>
      <c r="F5923" s="92"/>
      <c r="G5923" s="87"/>
      <c r="H5923" s="88"/>
      <c r="I5923" s="89"/>
      <c r="J5923" s="90"/>
      <c r="K5923" s="85"/>
      <c r="L5923" s="85"/>
      <c r="M5923" s="85"/>
      <c r="N5923" s="82"/>
      <c r="O5923" s="93"/>
    </row>
    <row r="5924" spans="1:15" ht="22.5" customHeight="1">
      <c r="A5924" s="85"/>
      <c r="B5924" s="82"/>
      <c r="C5924" s="82"/>
      <c r="D5924" s="82"/>
      <c r="E5924" s="82"/>
      <c r="F5924" s="92"/>
      <c r="G5924" s="87"/>
      <c r="H5924" s="88"/>
      <c r="I5924" s="89"/>
      <c r="J5924" s="90"/>
      <c r="K5924" s="85"/>
      <c r="L5924" s="85"/>
      <c r="M5924" s="85"/>
      <c r="N5924" s="82"/>
      <c r="O5924" s="93"/>
    </row>
    <row r="5925" spans="1:15" ht="22.5" customHeight="1">
      <c r="A5925" s="85"/>
      <c r="B5925" s="82"/>
      <c r="C5925" s="82"/>
      <c r="D5925" s="82"/>
      <c r="E5925" s="82"/>
      <c r="F5925" s="92"/>
      <c r="G5925" s="87"/>
      <c r="H5925" s="88"/>
      <c r="I5925" s="89"/>
      <c r="J5925" s="90"/>
      <c r="K5925" s="85"/>
      <c r="L5925" s="85"/>
      <c r="M5925" s="85"/>
      <c r="N5925" s="82"/>
      <c r="O5925" s="93"/>
    </row>
    <row r="5926" spans="1:15" ht="22.5" customHeight="1">
      <c r="A5926" s="85"/>
      <c r="B5926" s="82"/>
      <c r="C5926" s="82"/>
      <c r="D5926" s="82"/>
      <c r="E5926" s="82"/>
      <c r="F5926" s="92"/>
      <c r="G5926" s="87"/>
      <c r="H5926" s="88"/>
      <c r="I5926" s="89"/>
      <c r="J5926" s="90"/>
      <c r="K5926" s="85"/>
      <c r="L5926" s="85"/>
      <c r="M5926" s="85"/>
      <c r="N5926" s="82"/>
      <c r="O5926" s="93"/>
    </row>
    <row r="5927" spans="1:15" ht="22.5" customHeight="1">
      <c r="A5927" s="85"/>
      <c r="B5927" s="82"/>
      <c r="C5927" s="82"/>
      <c r="D5927" s="82"/>
      <c r="E5927" s="82"/>
      <c r="F5927" s="92"/>
      <c r="G5927" s="87"/>
      <c r="H5927" s="88"/>
      <c r="I5927" s="89"/>
      <c r="J5927" s="90"/>
      <c r="K5927" s="85"/>
      <c r="L5927" s="85"/>
      <c r="M5927" s="85"/>
      <c r="N5927" s="82"/>
      <c r="O5927" s="93"/>
    </row>
    <row r="5928" spans="1:15" ht="22.5" customHeight="1">
      <c r="A5928" s="85"/>
      <c r="B5928" s="82"/>
      <c r="C5928" s="82"/>
      <c r="D5928" s="82"/>
      <c r="E5928" s="82"/>
      <c r="F5928" s="92"/>
      <c r="G5928" s="87"/>
      <c r="H5928" s="88"/>
      <c r="I5928" s="89"/>
      <c r="J5928" s="90"/>
      <c r="K5928" s="85"/>
      <c r="L5928" s="85"/>
      <c r="M5928" s="85"/>
      <c r="N5928" s="82"/>
      <c r="O5928" s="93"/>
    </row>
    <row r="5929" spans="1:15" ht="22.5" customHeight="1">
      <c r="A5929" s="85"/>
      <c r="B5929" s="82"/>
      <c r="C5929" s="82"/>
      <c r="D5929" s="82"/>
      <c r="E5929" s="82"/>
      <c r="F5929" s="92"/>
      <c r="G5929" s="87"/>
      <c r="H5929" s="88"/>
      <c r="I5929" s="89"/>
      <c r="J5929" s="90"/>
      <c r="K5929" s="85"/>
      <c r="L5929" s="85"/>
      <c r="M5929" s="85"/>
      <c r="N5929" s="82"/>
      <c r="O5929" s="93"/>
    </row>
    <row r="5930" spans="1:15" ht="22.5" customHeight="1">
      <c r="A5930" s="85"/>
      <c r="B5930" s="82"/>
      <c r="C5930" s="82"/>
      <c r="D5930" s="82"/>
      <c r="E5930" s="82"/>
      <c r="F5930" s="92"/>
      <c r="G5930" s="87"/>
      <c r="H5930" s="88"/>
      <c r="I5930" s="89"/>
      <c r="J5930" s="90"/>
      <c r="K5930" s="85"/>
      <c r="L5930" s="85"/>
      <c r="M5930" s="85"/>
      <c r="N5930" s="82"/>
      <c r="O5930" s="93"/>
    </row>
    <row r="5931" spans="1:15" ht="22.5" customHeight="1">
      <c r="A5931" s="85"/>
      <c r="B5931" s="82"/>
      <c r="C5931" s="82"/>
      <c r="D5931" s="82"/>
      <c r="E5931" s="82"/>
      <c r="F5931" s="92"/>
      <c r="G5931" s="87"/>
      <c r="H5931" s="88"/>
      <c r="I5931" s="89"/>
      <c r="J5931" s="90"/>
      <c r="K5931" s="85"/>
      <c r="L5931" s="85"/>
      <c r="M5931" s="85"/>
      <c r="N5931" s="82"/>
      <c r="O5931" s="93"/>
    </row>
    <row r="5932" spans="1:15" ht="22.5" customHeight="1">
      <c r="A5932" s="85"/>
      <c r="B5932" s="82"/>
      <c r="C5932" s="82"/>
      <c r="D5932" s="82"/>
      <c r="E5932" s="82"/>
      <c r="F5932" s="92"/>
      <c r="G5932" s="87"/>
      <c r="H5932" s="88"/>
      <c r="I5932" s="89"/>
      <c r="J5932" s="90"/>
      <c r="K5932" s="85"/>
      <c r="L5932" s="85"/>
      <c r="M5932" s="85"/>
      <c r="N5932" s="82"/>
      <c r="O5932" s="93"/>
    </row>
    <row r="5933" spans="1:15" ht="22.5" customHeight="1">
      <c r="A5933" s="85"/>
      <c r="B5933" s="82"/>
      <c r="C5933" s="82"/>
      <c r="D5933" s="82"/>
      <c r="E5933" s="82"/>
      <c r="F5933" s="92"/>
      <c r="G5933" s="87"/>
      <c r="H5933" s="88"/>
      <c r="I5933" s="89"/>
      <c r="J5933" s="90"/>
      <c r="K5933" s="85"/>
      <c r="L5933" s="85"/>
      <c r="M5933" s="85"/>
      <c r="N5933" s="82"/>
      <c r="O5933" s="93"/>
    </row>
    <row r="5934" spans="1:15" ht="22.5" customHeight="1">
      <c r="A5934" s="85"/>
      <c r="B5934" s="82"/>
      <c r="C5934" s="82"/>
      <c r="D5934" s="82"/>
      <c r="E5934" s="82"/>
      <c r="F5934" s="92"/>
      <c r="G5934" s="87"/>
      <c r="H5934" s="88"/>
      <c r="I5934" s="89"/>
      <c r="J5934" s="90"/>
      <c r="K5934" s="85"/>
      <c r="L5934" s="85"/>
      <c r="M5934" s="85"/>
      <c r="N5934" s="82"/>
      <c r="O5934" s="93"/>
    </row>
    <row r="5935" spans="1:15" ht="22.5" customHeight="1">
      <c r="A5935" s="85"/>
      <c r="B5935" s="82"/>
      <c r="C5935" s="82"/>
      <c r="D5935" s="82"/>
      <c r="E5935" s="82"/>
      <c r="F5935" s="92"/>
      <c r="G5935" s="87"/>
      <c r="H5935" s="88"/>
      <c r="I5935" s="89"/>
      <c r="J5935" s="90"/>
      <c r="K5935" s="85"/>
      <c r="L5935" s="85"/>
      <c r="M5935" s="85"/>
      <c r="N5935" s="82"/>
      <c r="O5935" s="93"/>
    </row>
    <row r="5936" spans="1:15" ht="22.5" customHeight="1">
      <c r="A5936" s="85"/>
      <c r="B5936" s="82"/>
      <c r="C5936" s="82"/>
      <c r="D5936" s="82"/>
      <c r="E5936" s="82"/>
      <c r="F5936" s="92"/>
      <c r="G5936" s="87"/>
      <c r="H5936" s="88"/>
      <c r="I5936" s="89"/>
      <c r="J5936" s="90"/>
      <c r="K5936" s="85"/>
      <c r="L5936" s="85"/>
      <c r="M5936" s="85"/>
      <c r="N5936" s="82"/>
      <c r="O5936" s="93"/>
    </row>
    <row r="5937" spans="1:15" ht="22.5" customHeight="1">
      <c r="A5937" s="85"/>
      <c r="B5937" s="82"/>
      <c r="C5937" s="82"/>
      <c r="D5937" s="82"/>
      <c r="E5937" s="82"/>
      <c r="F5937" s="92"/>
      <c r="G5937" s="87"/>
      <c r="H5937" s="88"/>
      <c r="I5937" s="89"/>
      <c r="J5937" s="90"/>
      <c r="K5937" s="85"/>
      <c r="L5937" s="85"/>
      <c r="M5937" s="85"/>
      <c r="N5937" s="82"/>
      <c r="O5937" s="93"/>
    </row>
    <row r="5938" spans="1:15" ht="22.5" customHeight="1">
      <c r="A5938" s="85"/>
      <c r="B5938" s="82"/>
      <c r="C5938" s="82"/>
      <c r="D5938" s="82"/>
      <c r="E5938" s="82"/>
      <c r="F5938" s="92"/>
      <c r="G5938" s="87"/>
      <c r="H5938" s="88"/>
      <c r="I5938" s="89"/>
      <c r="J5938" s="90"/>
      <c r="K5938" s="85"/>
      <c r="L5938" s="85"/>
      <c r="M5938" s="85"/>
      <c r="N5938" s="82"/>
      <c r="O5938" s="93"/>
    </row>
    <row r="5939" spans="1:15" ht="22.5" customHeight="1">
      <c r="A5939" s="85"/>
      <c r="B5939" s="82"/>
      <c r="C5939" s="82"/>
      <c r="D5939" s="82"/>
      <c r="E5939" s="82"/>
      <c r="F5939" s="92"/>
      <c r="G5939" s="87"/>
      <c r="H5939" s="88"/>
      <c r="I5939" s="89"/>
      <c r="J5939" s="90"/>
      <c r="K5939" s="85"/>
      <c r="L5939" s="85"/>
      <c r="M5939" s="85"/>
      <c r="N5939" s="82"/>
      <c r="O5939" s="93"/>
    </row>
    <row r="5940" spans="1:15" ht="22.5" customHeight="1">
      <c r="A5940" s="85"/>
      <c r="B5940" s="82"/>
      <c r="C5940" s="82"/>
      <c r="D5940" s="82"/>
      <c r="E5940" s="82"/>
      <c r="F5940" s="92"/>
      <c r="G5940" s="87"/>
      <c r="H5940" s="88"/>
      <c r="I5940" s="89"/>
      <c r="J5940" s="90"/>
      <c r="K5940" s="85"/>
      <c r="L5940" s="85"/>
      <c r="M5940" s="85"/>
      <c r="N5940" s="82"/>
      <c r="O5940" s="93"/>
    </row>
    <row r="5941" spans="1:15" ht="22.5" customHeight="1">
      <c r="A5941" s="85"/>
      <c r="B5941" s="82"/>
      <c r="C5941" s="82"/>
      <c r="D5941" s="82"/>
      <c r="E5941" s="82"/>
      <c r="F5941" s="92"/>
      <c r="G5941" s="87"/>
      <c r="H5941" s="88"/>
      <c r="I5941" s="89"/>
      <c r="J5941" s="90"/>
      <c r="K5941" s="85"/>
      <c r="L5941" s="85"/>
      <c r="M5941" s="85"/>
      <c r="N5941" s="82"/>
      <c r="O5941" s="93"/>
    </row>
    <row r="5942" spans="1:15" ht="22.5" customHeight="1">
      <c r="A5942" s="85"/>
      <c r="B5942" s="82"/>
      <c r="C5942" s="82"/>
      <c r="D5942" s="82"/>
      <c r="E5942" s="82"/>
      <c r="F5942" s="92"/>
      <c r="G5942" s="87"/>
      <c r="H5942" s="88"/>
      <c r="I5942" s="89"/>
      <c r="J5942" s="90"/>
      <c r="K5942" s="85"/>
      <c r="L5942" s="85"/>
      <c r="M5942" s="85"/>
      <c r="N5942" s="82"/>
      <c r="O5942" s="93"/>
    </row>
    <row r="5943" spans="1:15" ht="22.5" customHeight="1">
      <c r="A5943" s="85"/>
      <c r="B5943" s="82"/>
      <c r="C5943" s="82"/>
      <c r="D5943" s="82"/>
      <c r="E5943" s="82"/>
      <c r="F5943" s="92"/>
      <c r="G5943" s="87"/>
      <c r="H5943" s="88"/>
      <c r="I5943" s="89"/>
      <c r="J5943" s="90"/>
      <c r="K5943" s="85"/>
      <c r="L5943" s="85"/>
      <c r="M5943" s="85"/>
      <c r="N5943" s="82"/>
      <c r="O5943" s="93"/>
    </row>
    <row r="5944" spans="1:15" ht="22.5" customHeight="1">
      <c r="A5944" s="85"/>
      <c r="B5944" s="82"/>
      <c r="C5944" s="82"/>
      <c r="D5944" s="82"/>
      <c r="E5944" s="82"/>
      <c r="F5944" s="92"/>
      <c r="G5944" s="87"/>
      <c r="H5944" s="88"/>
      <c r="I5944" s="89"/>
      <c r="J5944" s="90"/>
      <c r="K5944" s="85"/>
      <c r="L5944" s="85"/>
      <c r="M5944" s="85"/>
      <c r="N5944" s="82"/>
      <c r="O5944" s="93"/>
    </row>
    <row r="5945" spans="1:15" ht="22.5" customHeight="1">
      <c r="A5945" s="85"/>
      <c r="B5945" s="82"/>
      <c r="C5945" s="82"/>
      <c r="D5945" s="82"/>
      <c r="E5945" s="82"/>
      <c r="F5945" s="92"/>
      <c r="G5945" s="87"/>
      <c r="H5945" s="88"/>
      <c r="I5945" s="89"/>
      <c r="J5945" s="90"/>
      <c r="K5945" s="85"/>
      <c r="L5945" s="85"/>
      <c r="M5945" s="85"/>
      <c r="N5945" s="82"/>
      <c r="O5945" s="93"/>
    </row>
    <row r="5946" spans="1:15" ht="22.5" customHeight="1">
      <c r="A5946" s="85"/>
      <c r="B5946" s="82"/>
      <c r="C5946" s="82"/>
      <c r="D5946" s="82"/>
      <c r="E5946" s="82"/>
      <c r="F5946" s="92"/>
      <c r="G5946" s="87"/>
      <c r="H5946" s="88"/>
      <c r="I5946" s="89"/>
      <c r="J5946" s="90"/>
      <c r="K5946" s="85"/>
      <c r="L5946" s="85"/>
      <c r="M5946" s="85"/>
      <c r="N5946" s="82"/>
      <c r="O5946" s="93"/>
    </row>
    <row r="5947" spans="1:15" ht="22.5" customHeight="1">
      <c r="A5947" s="85"/>
      <c r="B5947" s="82"/>
      <c r="C5947" s="82"/>
      <c r="D5947" s="82"/>
      <c r="E5947" s="82"/>
      <c r="F5947" s="92"/>
      <c r="G5947" s="87"/>
      <c r="H5947" s="88"/>
      <c r="I5947" s="89"/>
      <c r="J5947" s="90"/>
      <c r="K5947" s="85"/>
      <c r="L5947" s="85"/>
      <c r="M5947" s="85"/>
      <c r="N5947" s="82"/>
      <c r="O5947" s="93"/>
    </row>
    <row r="5948" spans="1:15" ht="22.5" customHeight="1">
      <c r="A5948" s="85"/>
      <c r="B5948" s="82"/>
      <c r="C5948" s="82"/>
      <c r="D5948" s="82"/>
      <c r="E5948" s="82"/>
      <c r="F5948" s="92"/>
      <c r="G5948" s="87"/>
      <c r="H5948" s="88"/>
      <c r="I5948" s="89"/>
      <c r="J5948" s="90"/>
      <c r="K5948" s="85"/>
      <c r="L5948" s="85"/>
      <c r="M5948" s="85"/>
      <c r="N5948" s="82"/>
      <c r="O5948" s="93"/>
    </row>
    <row r="5949" spans="1:15" ht="22.5" customHeight="1">
      <c r="A5949" s="85"/>
      <c r="B5949" s="82"/>
      <c r="C5949" s="82"/>
      <c r="D5949" s="82"/>
      <c r="E5949" s="82"/>
      <c r="F5949" s="92"/>
      <c r="G5949" s="87"/>
      <c r="H5949" s="88"/>
      <c r="I5949" s="89"/>
      <c r="J5949" s="90"/>
      <c r="K5949" s="85"/>
      <c r="L5949" s="85"/>
      <c r="M5949" s="85"/>
      <c r="N5949" s="82"/>
      <c r="O5949" s="93"/>
    </row>
    <row r="5950" spans="1:15" ht="22.5" customHeight="1">
      <c r="A5950" s="85"/>
      <c r="B5950" s="82"/>
      <c r="C5950" s="82"/>
      <c r="D5950" s="82"/>
      <c r="E5950" s="82"/>
      <c r="F5950" s="92"/>
      <c r="G5950" s="87"/>
      <c r="H5950" s="88"/>
      <c r="I5950" s="89"/>
      <c r="J5950" s="90"/>
      <c r="K5950" s="85"/>
      <c r="L5950" s="85"/>
      <c r="M5950" s="85"/>
      <c r="N5950" s="82"/>
      <c r="O5950" s="93"/>
    </row>
    <row r="5951" spans="1:15" ht="22.5" customHeight="1">
      <c r="A5951" s="85"/>
      <c r="B5951" s="82"/>
      <c r="C5951" s="82"/>
      <c r="D5951" s="82"/>
      <c r="E5951" s="82"/>
      <c r="F5951" s="92"/>
      <c r="G5951" s="87"/>
      <c r="H5951" s="88"/>
      <c r="I5951" s="89"/>
      <c r="J5951" s="90"/>
      <c r="K5951" s="85"/>
      <c r="L5951" s="85"/>
      <c r="M5951" s="85"/>
      <c r="N5951" s="82"/>
      <c r="O5951" s="93"/>
    </row>
    <row r="5952" spans="1:15" ht="22.5" customHeight="1">
      <c r="A5952" s="85"/>
      <c r="B5952" s="82"/>
      <c r="C5952" s="82"/>
      <c r="D5952" s="82"/>
      <c r="E5952" s="82"/>
      <c r="F5952" s="92"/>
      <c r="G5952" s="87"/>
      <c r="H5952" s="88"/>
      <c r="I5952" s="89"/>
      <c r="J5952" s="90"/>
      <c r="K5952" s="85"/>
      <c r="L5952" s="85"/>
      <c r="M5952" s="85"/>
      <c r="N5952" s="82"/>
      <c r="O5952" s="93"/>
    </row>
    <row r="5953" spans="1:15" ht="22.5" customHeight="1">
      <c r="A5953" s="85"/>
      <c r="B5953" s="82"/>
      <c r="C5953" s="82"/>
      <c r="D5953" s="82"/>
      <c r="E5953" s="82"/>
      <c r="F5953" s="92"/>
      <c r="G5953" s="87"/>
      <c r="H5953" s="88"/>
      <c r="I5953" s="89"/>
      <c r="J5953" s="90"/>
      <c r="K5953" s="85"/>
      <c r="L5953" s="85"/>
      <c r="M5953" s="85"/>
      <c r="N5953" s="82"/>
      <c r="O5953" s="93"/>
    </row>
    <row r="5954" spans="1:15" ht="22.5" customHeight="1">
      <c r="A5954" s="85"/>
      <c r="B5954" s="82"/>
      <c r="C5954" s="82"/>
      <c r="D5954" s="82"/>
      <c r="E5954" s="82"/>
      <c r="F5954" s="92"/>
      <c r="G5954" s="87"/>
      <c r="H5954" s="88"/>
      <c r="I5954" s="89"/>
      <c r="J5954" s="90"/>
      <c r="K5954" s="85"/>
      <c r="L5954" s="85"/>
      <c r="M5954" s="85"/>
      <c r="N5954" s="82"/>
      <c r="O5954" s="93"/>
    </row>
    <row r="5955" spans="1:15" ht="22.5" customHeight="1">
      <c r="A5955" s="85"/>
      <c r="B5955" s="82"/>
      <c r="C5955" s="82"/>
      <c r="D5955" s="82"/>
      <c r="E5955" s="82"/>
      <c r="F5955" s="92"/>
      <c r="G5955" s="87"/>
      <c r="H5955" s="88"/>
      <c r="I5955" s="89"/>
      <c r="J5955" s="90"/>
      <c r="K5955" s="85"/>
      <c r="L5955" s="85"/>
      <c r="M5955" s="85"/>
      <c r="N5955" s="82"/>
      <c r="O5955" s="93"/>
    </row>
    <row r="5956" spans="1:15" ht="22.5" customHeight="1">
      <c r="A5956" s="85"/>
      <c r="B5956" s="82"/>
      <c r="C5956" s="82"/>
      <c r="D5956" s="82"/>
      <c r="E5956" s="82"/>
      <c r="F5956" s="92"/>
      <c r="G5956" s="87"/>
      <c r="H5956" s="88"/>
      <c r="I5956" s="89"/>
      <c r="J5956" s="90"/>
      <c r="K5956" s="85"/>
      <c r="L5956" s="85"/>
      <c r="M5956" s="85"/>
      <c r="N5956" s="82"/>
      <c r="O5956" s="93"/>
    </row>
    <row r="5957" spans="1:15" ht="22.5" customHeight="1">
      <c r="A5957" s="85"/>
      <c r="B5957" s="82"/>
      <c r="C5957" s="82"/>
      <c r="D5957" s="82"/>
      <c r="E5957" s="82"/>
      <c r="F5957" s="92"/>
      <c r="G5957" s="87"/>
      <c r="H5957" s="88"/>
      <c r="I5957" s="89"/>
      <c r="J5957" s="90"/>
      <c r="K5957" s="85"/>
      <c r="L5957" s="85"/>
      <c r="M5957" s="85"/>
      <c r="N5957" s="82"/>
      <c r="O5957" s="93"/>
    </row>
    <row r="5958" spans="1:15" ht="22.5" customHeight="1">
      <c r="A5958" s="85"/>
      <c r="B5958" s="82"/>
      <c r="C5958" s="82"/>
      <c r="D5958" s="82"/>
      <c r="E5958" s="82"/>
      <c r="F5958" s="92"/>
      <c r="G5958" s="87"/>
      <c r="H5958" s="88"/>
      <c r="I5958" s="89"/>
      <c r="J5958" s="90"/>
      <c r="K5958" s="85"/>
      <c r="L5958" s="85"/>
      <c r="M5958" s="85"/>
      <c r="N5958" s="82"/>
      <c r="O5958" s="93"/>
    </row>
    <row r="5959" spans="1:15" ht="22.5" customHeight="1">
      <c r="A5959" s="85"/>
      <c r="B5959" s="82"/>
      <c r="C5959" s="82"/>
      <c r="D5959" s="82"/>
      <c r="E5959" s="82"/>
      <c r="F5959" s="92"/>
      <c r="G5959" s="87"/>
      <c r="H5959" s="88"/>
      <c r="I5959" s="89"/>
      <c r="J5959" s="90"/>
      <c r="K5959" s="85"/>
      <c r="L5959" s="85"/>
      <c r="M5959" s="85"/>
      <c r="N5959" s="82"/>
      <c r="O5959" s="93"/>
    </row>
    <row r="5960" spans="1:15" ht="22.5" customHeight="1">
      <c r="A5960" s="85"/>
      <c r="B5960" s="82"/>
      <c r="C5960" s="82"/>
      <c r="D5960" s="82"/>
      <c r="E5960" s="82"/>
      <c r="F5960" s="92"/>
      <c r="G5960" s="87"/>
      <c r="H5960" s="88"/>
      <c r="I5960" s="89"/>
      <c r="J5960" s="90"/>
      <c r="K5960" s="85"/>
      <c r="L5960" s="85"/>
      <c r="M5960" s="85"/>
      <c r="N5960" s="82"/>
      <c r="O5960" s="93"/>
    </row>
    <row r="5961" spans="1:15" ht="22.5" customHeight="1">
      <c r="A5961" s="85"/>
      <c r="B5961" s="82"/>
      <c r="C5961" s="82"/>
      <c r="D5961" s="82"/>
      <c r="E5961" s="82"/>
      <c r="F5961" s="92"/>
      <c r="G5961" s="87"/>
      <c r="H5961" s="88"/>
      <c r="I5961" s="89"/>
      <c r="J5961" s="90"/>
      <c r="K5961" s="85"/>
      <c r="L5961" s="85"/>
      <c r="M5961" s="85"/>
      <c r="N5961" s="82"/>
      <c r="O5961" s="93"/>
    </row>
    <row r="5962" spans="1:15" ht="22.5" customHeight="1">
      <c r="A5962" s="85"/>
      <c r="B5962" s="82"/>
      <c r="C5962" s="82"/>
      <c r="D5962" s="82"/>
      <c r="E5962" s="82"/>
      <c r="F5962" s="92"/>
      <c r="G5962" s="87"/>
      <c r="H5962" s="88"/>
      <c r="I5962" s="89"/>
      <c r="J5962" s="90"/>
      <c r="K5962" s="85"/>
      <c r="L5962" s="85"/>
      <c r="M5962" s="85"/>
      <c r="N5962" s="82"/>
      <c r="O5962" s="93"/>
    </row>
    <row r="5963" spans="1:15" ht="22.5" customHeight="1">
      <c r="A5963" s="85"/>
      <c r="B5963" s="82"/>
      <c r="C5963" s="82"/>
      <c r="D5963" s="82"/>
      <c r="E5963" s="82"/>
      <c r="F5963" s="92"/>
      <c r="G5963" s="87"/>
      <c r="H5963" s="88"/>
      <c r="I5963" s="89"/>
      <c r="J5963" s="90"/>
      <c r="K5963" s="85"/>
      <c r="L5963" s="85"/>
      <c r="M5963" s="85"/>
      <c r="N5963" s="82"/>
      <c r="O5963" s="93"/>
    </row>
    <row r="5964" spans="1:15" ht="22.5" customHeight="1">
      <c r="A5964" s="85"/>
      <c r="B5964" s="82"/>
      <c r="C5964" s="82"/>
      <c r="D5964" s="82"/>
      <c r="E5964" s="82"/>
      <c r="F5964" s="92"/>
      <c r="G5964" s="87"/>
      <c r="H5964" s="88"/>
      <c r="I5964" s="89"/>
      <c r="J5964" s="90"/>
      <c r="K5964" s="85"/>
      <c r="L5964" s="85"/>
      <c r="M5964" s="85"/>
      <c r="N5964" s="82"/>
      <c r="O5964" s="93"/>
    </row>
    <row r="5965" spans="1:15" ht="22.5" customHeight="1">
      <c r="A5965" s="85"/>
      <c r="B5965" s="82"/>
      <c r="C5965" s="82"/>
      <c r="D5965" s="82"/>
      <c r="E5965" s="82"/>
      <c r="F5965" s="92"/>
      <c r="G5965" s="87"/>
      <c r="H5965" s="88"/>
      <c r="I5965" s="89"/>
      <c r="J5965" s="90"/>
      <c r="K5965" s="85"/>
      <c r="L5965" s="85"/>
      <c r="M5965" s="85"/>
      <c r="N5965" s="82"/>
      <c r="O5965" s="93"/>
    </row>
    <row r="5966" spans="1:15" ht="22.5" customHeight="1">
      <c r="A5966" s="85"/>
      <c r="B5966" s="82"/>
      <c r="C5966" s="82"/>
      <c r="D5966" s="82"/>
      <c r="E5966" s="82"/>
      <c r="F5966" s="92"/>
      <c r="G5966" s="87"/>
      <c r="H5966" s="88"/>
      <c r="I5966" s="89"/>
      <c r="J5966" s="90"/>
      <c r="K5966" s="85"/>
      <c r="L5966" s="85"/>
      <c r="M5966" s="85"/>
      <c r="N5966" s="82"/>
      <c r="O5966" s="93"/>
    </row>
    <row r="5967" spans="1:15" ht="22.5" customHeight="1">
      <c r="A5967" s="85"/>
      <c r="B5967" s="82"/>
      <c r="C5967" s="82"/>
      <c r="D5967" s="82"/>
      <c r="E5967" s="82"/>
      <c r="F5967" s="92"/>
      <c r="G5967" s="87"/>
      <c r="H5967" s="88"/>
      <c r="I5967" s="89"/>
      <c r="J5967" s="90"/>
      <c r="K5967" s="85"/>
      <c r="L5967" s="85"/>
      <c r="M5967" s="85"/>
      <c r="N5967" s="82"/>
      <c r="O5967" s="93"/>
    </row>
    <row r="5968" spans="1:15" ht="22.5" customHeight="1">
      <c r="A5968" s="85"/>
      <c r="B5968" s="82"/>
      <c r="C5968" s="82"/>
      <c r="D5968" s="82"/>
      <c r="E5968" s="82"/>
      <c r="F5968" s="92"/>
      <c r="G5968" s="87"/>
      <c r="H5968" s="88"/>
      <c r="I5968" s="89"/>
      <c r="J5968" s="90"/>
      <c r="K5968" s="85"/>
      <c r="L5968" s="85"/>
      <c r="M5968" s="85"/>
      <c r="N5968" s="82"/>
      <c r="O5968" s="93"/>
    </row>
    <row r="5969" spans="1:15" ht="22.5" customHeight="1">
      <c r="A5969" s="85"/>
      <c r="B5969" s="82"/>
      <c r="C5969" s="82"/>
      <c r="D5969" s="82"/>
      <c r="E5969" s="82"/>
      <c r="F5969" s="92"/>
      <c r="G5969" s="87"/>
      <c r="H5969" s="88"/>
      <c r="I5969" s="89"/>
      <c r="J5969" s="90"/>
      <c r="K5969" s="85"/>
      <c r="L5969" s="85"/>
      <c r="M5969" s="85"/>
      <c r="N5969" s="82"/>
      <c r="O5969" s="93"/>
    </row>
    <row r="5970" spans="1:15" ht="22.5" customHeight="1">
      <c r="A5970" s="85"/>
      <c r="B5970" s="82"/>
      <c r="C5970" s="82"/>
      <c r="D5970" s="82"/>
      <c r="E5970" s="82"/>
      <c r="F5970" s="92"/>
      <c r="G5970" s="87"/>
      <c r="H5970" s="88"/>
      <c r="I5970" s="89"/>
      <c r="J5970" s="90"/>
      <c r="K5970" s="85"/>
      <c r="L5970" s="85"/>
      <c r="M5970" s="85"/>
      <c r="N5970" s="82"/>
      <c r="O5970" s="93"/>
    </row>
    <row r="5971" spans="1:15" ht="22.5" customHeight="1">
      <c r="A5971" s="85"/>
      <c r="B5971" s="82"/>
      <c r="C5971" s="82"/>
      <c r="D5971" s="82"/>
      <c r="E5971" s="82"/>
      <c r="F5971" s="92"/>
      <c r="G5971" s="87"/>
      <c r="H5971" s="88"/>
      <c r="I5971" s="89"/>
      <c r="J5971" s="90"/>
      <c r="K5971" s="85"/>
      <c r="L5971" s="85"/>
      <c r="M5971" s="85"/>
      <c r="N5971" s="82"/>
      <c r="O5971" s="93"/>
    </row>
    <row r="5972" spans="1:15" ht="22.5" customHeight="1">
      <c r="A5972" s="85"/>
      <c r="B5972" s="82"/>
      <c r="C5972" s="82"/>
      <c r="D5972" s="82"/>
      <c r="E5972" s="82"/>
      <c r="F5972" s="92"/>
      <c r="G5972" s="87"/>
      <c r="H5972" s="88"/>
      <c r="I5972" s="89"/>
      <c r="J5972" s="90"/>
      <c r="K5972" s="85"/>
      <c r="L5972" s="85"/>
      <c r="M5972" s="85"/>
      <c r="N5972" s="82"/>
      <c r="O5972" s="93"/>
    </row>
    <row r="5973" spans="1:15" ht="22.5" customHeight="1">
      <c r="A5973" s="85"/>
      <c r="B5973" s="82"/>
      <c r="C5973" s="82"/>
      <c r="D5973" s="82"/>
      <c r="E5973" s="82"/>
      <c r="F5973" s="92"/>
      <c r="G5973" s="87"/>
      <c r="H5973" s="88"/>
      <c r="I5973" s="89"/>
      <c r="J5973" s="90"/>
      <c r="K5973" s="85"/>
      <c r="L5973" s="85"/>
      <c r="M5973" s="85"/>
      <c r="N5973" s="82"/>
      <c r="O5973" s="93"/>
    </row>
    <row r="5974" spans="1:15" ht="22.5" customHeight="1">
      <c r="A5974" s="85"/>
      <c r="B5974" s="82"/>
      <c r="C5974" s="82"/>
      <c r="D5974" s="82"/>
      <c r="E5974" s="82"/>
      <c r="F5974" s="92"/>
      <c r="G5974" s="87"/>
      <c r="H5974" s="88"/>
      <c r="I5974" s="89"/>
      <c r="J5974" s="90"/>
      <c r="K5974" s="85"/>
      <c r="L5974" s="85"/>
      <c r="M5974" s="85"/>
      <c r="N5974" s="82"/>
      <c r="O5974" s="93"/>
    </row>
    <row r="5975" spans="1:15" ht="22.5" customHeight="1">
      <c r="A5975" s="85"/>
      <c r="B5975" s="82"/>
      <c r="C5975" s="82"/>
      <c r="D5975" s="82"/>
      <c r="E5975" s="82"/>
      <c r="F5975" s="92"/>
      <c r="G5975" s="87"/>
      <c r="H5975" s="88"/>
      <c r="I5975" s="89"/>
      <c r="J5975" s="90"/>
      <c r="K5975" s="85"/>
      <c r="L5975" s="85"/>
      <c r="M5975" s="85"/>
      <c r="N5975" s="82"/>
      <c r="O5975" s="93"/>
    </row>
    <row r="5976" spans="1:15" ht="22.5" customHeight="1">
      <c r="A5976" s="85"/>
      <c r="B5976" s="82"/>
      <c r="C5976" s="82"/>
      <c r="D5976" s="82"/>
      <c r="E5976" s="82"/>
      <c r="F5976" s="92"/>
      <c r="G5976" s="87"/>
      <c r="H5976" s="88"/>
      <c r="I5976" s="89"/>
      <c r="J5976" s="90"/>
      <c r="K5976" s="85"/>
      <c r="L5976" s="85"/>
      <c r="M5976" s="85"/>
      <c r="N5976" s="82"/>
      <c r="O5976" s="93"/>
    </row>
    <row r="5977" spans="1:15" ht="22.5" customHeight="1">
      <c r="A5977" s="85"/>
      <c r="B5977" s="82"/>
      <c r="C5977" s="82"/>
      <c r="D5977" s="82"/>
      <c r="E5977" s="82"/>
      <c r="F5977" s="92"/>
      <c r="G5977" s="87"/>
      <c r="H5977" s="88"/>
      <c r="I5977" s="89"/>
      <c r="J5977" s="90"/>
      <c r="K5977" s="85"/>
      <c r="L5977" s="85"/>
      <c r="M5977" s="85"/>
      <c r="N5977" s="82"/>
      <c r="O5977" s="93"/>
    </row>
    <row r="5978" spans="1:15" ht="22.5" customHeight="1">
      <c r="A5978" s="85"/>
      <c r="B5978" s="82"/>
      <c r="C5978" s="82"/>
      <c r="D5978" s="82"/>
      <c r="E5978" s="82"/>
      <c r="F5978" s="92"/>
      <c r="G5978" s="87"/>
      <c r="H5978" s="88"/>
      <c r="I5978" s="89"/>
      <c r="J5978" s="90"/>
      <c r="K5978" s="85"/>
      <c r="L5978" s="85"/>
      <c r="M5978" s="85"/>
      <c r="N5978" s="82"/>
      <c r="O5978" s="93"/>
    </row>
    <row r="5979" spans="1:15" ht="22.5" customHeight="1">
      <c r="A5979" s="85"/>
      <c r="B5979" s="82"/>
      <c r="C5979" s="82"/>
      <c r="D5979" s="82"/>
      <c r="E5979" s="82"/>
      <c r="F5979" s="92"/>
      <c r="G5979" s="87"/>
      <c r="H5979" s="88"/>
      <c r="I5979" s="89"/>
      <c r="J5979" s="90"/>
      <c r="K5979" s="85"/>
      <c r="L5979" s="85"/>
      <c r="M5979" s="85"/>
      <c r="N5979" s="82"/>
      <c r="O5979" s="93"/>
    </row>
    <row r="5980" spans="1:15" ht="22.5" customHeight="1">
      <c r="A5980" s="85"/>
      <c r="B5980" s="82"/>
      <c r="C5980" s="82"/>
      <c r="D5980" s="82"/>
      <c r="E5980" s="82"/>
      <c r="F5980" s="92"/>
      <c r="G5980" s="87"/>
      <c r="H5980" s="88"/>
      <c r="I5980" s="89"/>
      <c r="J5980" s="90"/>
      <c r="K5980" s="85"/>
      <c r="L5980" s="85"/>
      <c r="M5980" s="85"/>
      <c r="N5980" s="82"/>
      <c r="O5980" s="93"/>
    </row>
    <row r="5981" spans="1:15" ht="22.5" customHeight="1">
      <c r="A5981" s="85"/>
      <c r="B5981" s="82"/>
      <c r="C5981" s="82"/>
      <c r="D5981" s="82"/>
      <c r="E5981" s="82"/>
      <c r="F5981" s="92"/>
      <c r="G5981" s="87"/>
      <c r="H5981" s="88"/>
      <c r="I5981" s="89"/>
      <c r="J5981" s="90"/>
      <c r="K5981" s="85"/>
      <c r="L5981" s="85"/>
      <c r="M5981" s="85"/>
      <c r="N5981" s="82"/>
      <c r="O5981" s="93"/>
    </row>
    <row r="5982" spans="1:15" ht="22.5" customHeight="1">
      <c r="A5982" s="85"/>
      <c r="B5982" s="82"/>
      <c r="C5982" s="82"/>
      <c r="D5982" s="82"/>
      <c r="E5982" s="82"/>
      <c r="F5982" s="92"/>
      <c r="G5982" s="87"/>
      <c r="H5982" s="88"/>
      <c r="I5982" s="89"/>
      <c r="J5982" s="90"/>
      <c r="K5982" s="85"/>
      <c r="L5982" s="85"/>
      <c r="M5982" s="85"/>
      <c r="N5982" s="82"/>
      <c r="O5982" s="93"/>
    </row>
    <row r="5983" spans="1:15" ht="22.5" customHeight="1">
      <c r="A5983" s="85"/>
      <c r="B5983" s="82"/>
      <c r="C5983" s="82"/>
      <c r="D5983" s="82"/>
      <c r="E5983" s="82"/>
      <c r="F5983" s="92"/>
      <c r="G5983" s="87"/>
      <c r="H5983" s="88"/>
      <c r="I5983" s="89"/>
      <c r="J5983" s="90"/>
      <c r="K5983" s="85"/>
      <c r="L5983" s="85"/>
      <c r="M5983" s="85"/>
      <c r="N5983" s="82"/>
      <c r="O5983" s="93"/>
    </row>
    <row r="5984" spans="1:15" ht="22.5" customHeight="1">
      <c r="A5984" s="85"/>
      <c r="B5984" s="82"/>
      <c r="C5984" s="82"/>
      <c r="D5984" s="82"/>
      <c r="E5984" s="82"/>
      <c r="F5984" s="92"/>
      <c r="G5984" s="87"/>
      <c r="H5984" s="88"/>
      <c r="I5984" s="89"/>
      <c r="J5984" s="90"/>
      <c r="K5984" s="85"/>
      <c r="L5984" s="85"/>
      <c r="M5984" s="85"/>
      <c r="N5984" s="82"/>
      <c r="O5984" s="93"/>
    </row>
    <row r="5985" spans="1:15" ht="22.5" customHeight="1">
      <c r="A5985" s="85"/>
      <c r="B5985" s="82"/>
      <c r="C5985" s="82"/>
      <c r="D5985" s="82"/>
      <c r="E5985" s="82"/>
      <c r="F5985" s="92"/>
      <c r="G5985" s="87"/>
      <c r="H5985" s="88"/>
      <c r="I5985" s="89"/>
      <c r="J5985" s="90"/>
      <c r="K5985" s="85"/>
      <c r="L5985" s="85"/>
      <c r="M5985" s="85"/>
      <c r="N5985" s="82"/>
      <c r="O5985" s="93"/>
    </row>
    <row r="5986" spans="1:15" ht="22.5" customHeight="1">
      <c r="A5986" s="85"/>
      <c r="B5986" s="82"/>
      <c r="C5986" s="82"/>
      <c r="D5986" s="82"/>
      <c r="E5986" s="82"/>
      <c r="F5986" s="92"/>
      <c r="G5986" s="87"/>
      <c r="H5986" s="88"/>
      <c r="I5986" s="89"/>
      <c r="J5986" s="90"/>
      <c r="K5986" s="85"/>
      <c r="L5986" s="85"/>
      <c r="M5986" s="85"/>
      <c r="N5986" s="82"/>
      <c r="O5986" s="93"/>
    </row>
    <row r="5987" spans="1:15" ht="22.5" customHeight="1">
      <c r="A5987" s="85"/>
      <c r="B5987" s="82"/>
      <c r="C5987" s="82"/>
      <c r="D5987" s="82"/>
      <c r="E5987" s="82"/>
      <c r="F5987" s="92"/>
      <c r="G5987" s="87"/>
      <c r="H5987" s="88"/>
      <c r="I5987" s="89"/>
      <c r="J5987" s="90"/>
      <c r="K5987" s="85"/>
      <c r="L5987" s="85"/>
      <c r="M5987" s="85"/>
      <c r="N5987" s="82"/>
      <c r="O5987" s="93"/>
    </row>
    <row r="5988" spans="1:15" ht="22.5" customHeight="1">
      <c r="A5988" s="85"/>
      <c r="B5988" s="82"/>
      <c r="C5988" s="82"/>
      <c r="D5988" s="82"/>
      <c r="E5988" s="82"/>
      <c r="F5988" s="92"/>
      <c r="G5988" s="87"/>
      <c r="H5988" s="88"/>
      <c r="I5988" s="89"/>
      <c r="J5988" s="90"/>
      <c r="K5988" s="85"/>
      <c r="L5988" s="85"/>
      <c r="M5988" s="85"/>
      <c r="N5988" s="82"/>
      <c r="O5988" s="93"/>
    </row>
    <row r="5989" spans="1:15" ht="22.5" customHeight="1">
      <c r="A5989" s="85"/>
      <c r="B5989" s="82"/>
      <c r="C5989" s="82"/>
      <c r="D5989" s="82"/>
      <c r="E5989" s="82"/>
      <c r="F5989" s="92"/>
      <c r="G5989" s="87"/>
      <c r="H5989" s="88"/>
      <c r="I5989" s="89"/>
      <c r="J5989" s="90"/>
      <c r="K5989" s="85"/>
      <c r="L5989" s="85"/>
      <c r="M5989" s="85"/>
      <c r="N5989" s="82"/>
      <c r="O5989" s="93"/>
    </row>
    <row r="5990" spans="1:15" ht="22.5" customHeight="1">
      <c r="A5990" s="85"/>
      <c r="B5990" s="82"/>
      <c r="C5990" s="82"/>
      <c r="D5990" s="82"/>
      <c r="E5990" s="82"/>
      <c r="F5990" s="92"/>
      <c r="G5990" s="87"/>
      <c r="H5990" s="88"/>
      <c r="I5990" s="89"/>
      <c r="J5990" s="90"/>
      <c r="K5990" s="85"/>
      <c r="L5990" s="85"/>
      <c r="M5990" s="85"/>
      <c r="N5990" s="82"/>
      <c r="O5990" s="93"/>
    </row>
    <row r="5991" spans="1:15" ht="22.5" customHeight="1">
      <c r="A5991" s="85"/>
      <c r="B5991" s="82"/>
      <c r="C5991" s="82"/>
      <c r="D5991" s="82"/>
      <c r="E5991" s="82"/>
      <c r="F5991" s="92"/>
      <c r="G5991" s="87"/>
      <c r="H5991" s="88"/>
      <c r="I5991" s="89"/>
      <c r="J5991" s="90"/>
      <c r="K5991" s="85"/>
      <c r="L5991" s="85"/>
      <c r="M5991" s="85"/>
      <c r="N5991" s="82"/>
      <c r="O5991" s="93"/>
    </row>
    <row r="5992" spans="1:15" ht="22.5" customHeight="1">
      <c r="A5992" s="85"/>
      <c r="B5992" s="82"/>
      <c r="C5992" s="82"/>
      <c r="D5992" s="82"/>
      <c r="E5992" s="82"/>
      <c r="F5992" s="92"/>
      <c r="G5992" s="87"/>
      <c r="H5992" s="88"/>
      <c r="I5992" s="89"/>
      <c r="J5992" s="90"/>
      <c r="K5992" s="85"/>
      <c r="L5992" s="85"/>
      <c r="M5992" s="85"/>
      <c r="N5992" s="82"/>
      <c r="O5992" s="93"/>
    </row>
    <row r="5993" spans="1:15" ht="22.5" customHeight="1">
      <c r="A5993" s="85"/>
      <c r="B5993" s="82"/>
      <c r="C5993" s="82"/>
      <c r="D5993" s="82"/>
      <c r="E5993" s="82"/>
      <c r="F5993" s="92"/>
      <c r="G5993" s="87"/>
      <c r="H5993" s="88"/>
      <c r="I5993" s="89"/>
      <c r="J5993" s="90"/>
      <c r="K5993" s="85"/>
      <c r="L5993" s="85"/>
      <c r="M5993" s="85"/>
      <c r="N5993" s="82"/>
      <c r="O5993" s="93"/>
    </row>
    <row r="5994" spans="1:15" ht="22.5" customHeight="1">
      <c r="A5994" s="85"/>
      <c r="B5994" s="82"/>
      <c r="C5994" s="82"/>
      <c r="D5994" s="82"/>
      <c r="E5994" s="82"/>
      <c r="F5994" s="92"/>
      <c r="G5994" s="87"/>
      <c r="H5994" s="88"/>
      <c r="I5994" s="89"/>
      <c r="J5994" s="90"/>
      <c r="K5994" s="85"/>
      <c r="L5994" s="85"/>
      <c r="M5994" s="85"/>
      <c r="N5994" s="82"/>
      <c r="O5994" s="93"/>
    </row>
    <row r="5995" spans="1:15" ht="22.5" customHeight="1">
      <c r="A5995" s="85"/>
      <c r="B5995" s="82"/>
      <c r="C5995" s="82"/>
      <c r="D5995" s="82"/>
      <c r="E5995" s="82"/>
      <c r="F5995" s="92"/>
      <c r="G5995" s="87"/>
      <c r="H5995" s="88"/>
      <c r="I5995" s="89"/>
      <c r="J5995" s="90"/>
      <c r="K5995" s="85"/>
      <c r="L5995" s="85"/>
      <c r="M5995" s="85"/>
      <c r="N5995" s="82"/>
      <c r="O5995" s="93"/>
    </row>
    <row r="5996" spans="1:15" ht="22.5" customHeight="1">
      <c r="A5996" s="85"/>
      <c r="B5996" s="82"/>
      <c r="C5996" s="82"/>
      <c r="D5996" s="82"/>
      <c r="E5996" s="82"/>
      <c r="F5996" s="92"/>
      <c r="G5996" s="87"/>
      <c r="H5996" s="88"/>
      <c r="I5996" s="89"/>
      <c r="J5996" s="90"/>
      <c r="K5996" s="85"/>
      <c r="L5996" s="85"/>
      <c r="M5996" s="85"/>
      <c r="N5996" s="82"/>
      <c r="O5996" s="93"/>
    </row>
    <row r="5997" spans="1:15" ht="22.5" customHeight="1">
      <c r="A5997" s="85"/>
      <c r="B5997" s="82"/>
      <c r="C5997" s="82"/>
      <c r="D5997" s="82"/>
      <c r="E5997" s="82"/>
      <c r="F5997" s="92"/>
      <c r="G5997" s="87"/>
      <c r="H5997" s="88"/>
      <c r="I5997" s="89"/>
      <c r="J5997" s="90"/>
      <c r="K5997" s="85"/>
      <c r="L5997" s="85"/>
      <c r="M5997" s="85"/>
      <c r="N5997" s="82"/>
      <c r="O5997" s="93"/>
    </row>
    <row r="5998" spans="1:15" ht="22.5" customHeight="1">
      <c r="A5998" s="85"/>
      <c r="B5998" s="82"/>
      <c r="C5998" s="82"/>
      <c r="D5998" s="82"/>
      <c r="E5998" s="82"/>
      <c r="F5998" s="92"/>
      <c r="G5998" s="87"/>
      <c r="H5998" s="88"/>
      <c r="I5998" s="89"/>
      <c r="J5998" s="90"/>
      <c r="K5998" s="85"/>
      <c r="L5998" s="85"/>
      <c r="M5998" s="85"/>
      <c r="N5998" s="82"/>
      <c r="O5998" s="93"/>
    </row>
    <row r="5999" spans="1:15" ht="22.5" customHeight="1">
      <c r="A5999" s="85"/>
      <c r="B5999" s="82"/>
      <c r="C5999" s="82"/>
      <c r="D5999" s="82"/>
      <c r="E5999" s="82"/>
      <c r="F5999" s="92"/>
      <c r="G5999" s="87"/>
      <c r="H5999" s="88"/>
      <c r="I5999" s="89"/>
      <c r="J5999" s="90"/>
      <c r="K5999" s="85"/>
      <c r="L5999" s="85"/>
      <c r="M5999" s="85"/>
      <c r="N5999" s="82"/>
      <c r="O5999" s="93"/>
    </row>
    <row r="6000" spans="1:15" ht="22.5" customHeight="1">
      <c r="A6000" s="85"/>
      <c r="B6000" s="82"/>
      <c r="C6000" s="82"/>
      <c r="D6000" s="82"/>
      <c r="E6000" s="82"/>
      <c r="F6000" s="92"/>
      <c r="G6000" s="87"/>
      <c r="H6000" s="88"/>
      <c r="I6000" s="89"/>
      <c r="J6000" s="90"/>
      <c r="K6000" s="85"/>
      <c r="L6000" s="85"/>
      <c r="M6000" s="85"/>
      <c r="N6000" s="82"/>
      <c r="O6000" s="93"/>
    </row>
    <row r="6001" spans="1:15" ht="22.5" customHeight="1">
      <c r="A6001" s="85"/>
      <c r="B6001" s="82"/>
      <c r="C6001" s="82"/>
      <c r="D6001" s="82"/>
      <c r="E6001" s="82"/>
      <c r="F6001" s="92"/>
      <c r="G6001" s="87"/>
      <c r="H6001" s="88"/>
      <c r="I6001" s="89"/>
      <c r="J6001" s="90"/>
      <c r="K6001" s="85"/>
      <c r="L6001" s="85"/>
      <c r="M6001" s="85"/>
      <c r="N6001" s="82"/>
      <c r="O6001" s="93"/>
    </row>
    <row r="6002" spans="1:15" ht="22.5" customHeight="1">
      <c r="A6002" s="85"/>
      <c r="B6002" s="82"/>
      <c r="C6002" s="82"/>
      <c r="D6002" s="82"/>
      <c r="E6002" s="82"/>
      <c r="F6002" s="92"/>
      <c r="G6002" s="87"/>
      <c r="H6002" s="88"/>
      <c r="I6002" s="89"/>
      <c r="J6002" s="90"/>
      <c r="K6002" s="85"/>
      <c r="L6002" s="85"/>
      <c r="M6002" s="85"/>
      <c r="N6002" s="82"/>
      <c r="O6002" s="93"/>
    </row>
    <row r="6003" spans="1:15" ht="22.5" customHeight="1">
      <c r="A6003" s="85"/>
      <c r="B6003" s="82"/>
      <c r="C6003" s="82"/>
      <c r="D6003" s="82"/>
      <c r="E6003" s="82"/>
      <c r="F6003" s="92"/>
      <c r="G6003" s="87"/>
      <c r="H6003" s="88"/>
      <c r="I6003" s="89"/>
      <c r="J6003" s="90"/>
      <c r="K6003" s="85"/>
      <c r="L6003" s="85"/>
      <c r="M6003" s="85"/>
      <c r="N6003" s="82"/>
      <c r="O6003" s="93"/>
    </row>
    <row r="6004" spans="1:15" ht="22.5" customHeight="1">
      <c r="A6004" s="85"/>
      <c r="B6004" s="82"/>
      <c r="C6004" s="82"/>
      <c r="D6004" s="82"/>
      <c r="E6004" s="82"/>
      <c r="F6004" s="92"/>
      <c r="G6004" s="87"/>
      <c r="H6004" s="88"/>
      <c r="I6004" s="89"/>
      <c r="J6004" s="90"/>
      <c r="K6004" s="85"/>
      <c r="L6004" s="85"/>
      <c r="M6004" s="85"/>
      <c r="N6004" s="82"/>
      <c r="O6004" s="93"/>
    </row>
    <row r="6005" spans="1:15" ht="22.5" customHeight="1">
      <c r="A6005" s="85"/>
      <c r="B6005" s="82"/>
      <c r="C6005" s="82"/>
      <c r="D6005" s="82"/>
      <c r="E6005" s="82"/>
      <c r="F6005" s="92"/>
      <c r="G6005" s="87"/>
      <c r="H6005" s="88"/>
      <c r="I6005" s="89"/>
      <c r="J6005" s="90"/>
      <c r="K6005" s="85"/>
      <c r="L6005" s="85"/>
      <c r="M6005" s="85"/>
      <c r="N6005" s="82"/>
      <c r="O6005" s="93"/>
    </row>
    <row r="6006" spans="1:15" ht="22.5" customHeight="1">
      <c r="A6006" s="85"/>
      <c r="B6006" s="82"/>
      <c r="C6006" s="82"/>
      <c r="D6006" s="82"/>
      <c r="E6006" s="82"/>
      <c r="F6006" s="92"/>
      <c r="G6006" s="87"/>
      <c r="H6006" s="88"/>
      <c r="I6006" s="89"/>
      <c r="J6006" s="90"/>
      <c r="K6006" s="85"/>
      <c r="L6006" s="85"/>
      <c r="M6006" s="85"/>
      <c r="N6006" s="82"/>
      <c r="O6006" s="93"/>
    </row>
    <row r="6007" spans="1:15" ht="22.5" customHeight="1">
      <c r="A6007" s="85"/>
      <c r="B6007" s="82"/>
      <c r="C6007" s="82"/>
      <c r="D6007" s="82"/>
      <c r="E6007" s="82"/>
      <c r="F6007" s="92"/>
      <c r="G6007" s="87"/>
      <c r="H6007" s="88"/>
      <c r="I6007" s="89"/>
      <c r="J6007" s="90"/>
      <c r="K6007" s="85"/>
      <c r="L6007" s="85"/>
      <c r="M6007" s="85"/>
      <c r="N6007" s="82"/>
      <c r="O6007" s="93"/>
    </row>
    <row r="6008" spans="1:15" ht="22.5" customHeight="1">
      <c r="A6008" s="85"/>
      <c r="B6008" s="82"/>
      <c r="C6008" s="82"/>
      <c r="D6008" s="82"/>
      <c r="E6008" s="82"/>
      <c r="F6008" s="92"/>
      <c r="G6008" s="87"/>
      <c r="H6008" s="88"/>
      <c r="I6008" s="89"/>
      <c r="J6008" s="90"/>
      <c r="K6008" s="85"/>
      <c r="L6008" s="85"/>
      <c r="M6008" s="85"/>
      <c r="N6008" s="82"/>
      <c r="O6008" s="93"/>
    </row>
    <row r="6009" spans="1:15" ht="22.5" customHeight="1">
      <c r="A6009" s="85"/>
      <c r="B6009" s="82"/>
      <c r="C6009" s="82"/>
      <c r="D6009" s="82"/>
      <c r="E6009" s="82"/>
      <c r="F6009" s="92"/>
      <c r="G6009" s="87"/>
      <c r="H6009" s="88"/>
      <c r="I6009" s="89"/>
      <c r="J6009" s="90"/>
      <c r="K6009" s="85"/>
      <c r="L6009" s="85"/>
      <c r="M6009" s="85"/>
      <c r="N6009" s="82"/>
      <c r="O6009" s="93"/>
    </row>
    <row r="6010" spans="1:15" ht="22.5" customHeight="1">
      <c r="A6010" s="85"/>
      <c r="B6010" s="82"/>
      <c r="C6010" s="82"/>
      <c r="D6010" s="82"/>
      <c r="E6010" s="82"/>
      <c r="F6010" s="92"/>
      <c r="G6010" s="87"/>
      <c r="H6010" s="88"/>
      <c r="I6010" s="89"/>
      <c r="J6010" s="90"/>
      <c r="K6010" s="85"/>
      <c r="L6010" s="85"/>
      <c r="M6010" s="85"/>
      <c r="N6010" s="82"/>
      <c r="O6010" s="93"/>
    </row>
    <row r="6011" spans="1:15" ht="22.5" customHeight="1">
      <c r="A6011" s="85"/>
      <c r="B6011" s="82"/>
      <c r="C6011" s="82"/>
      <c r="D6011" s="82"/>
      <c r="E6011" s="82"/>
      <c r="F6011" s="92"/>
      <c r="G6011" s="87"/>
      <c r="H6011" s="88"/>
      <c r="I6011" s="89"/>
      <c r="J6011" s="90"/>
      <c r="K6011" s="85"/>
      <c r="L6011" s="85"/>
      <c r="M6011" s="85"/>
      <c r="N6011" s="82"/>
      <c r="O6011" s="93"/>
    </row>
    <row r="6012" spans="1:15" ht="22.5" customHeight="1">
      <c r="A6012" s="85"/>
      <c r="B6012" s="82"/>
      <c r="C6012" s="82"/>
      <c r="D6012" s="82"/>
      <c r="E6012" s="82"/>
      <c r="F6012" s="92"/>
      <c r="G6012" s="87"/>
      <c r="H6012" s="88"/>
      <c r="I6012" s="89"/>
      <c r="J6012" s="90"/>
      <c r="K6012" s="85"/>
      <c r="L6012" s="85"/>
      <c r="M6012" s="85"/>
      <c r="N6012" s="82"/>
      <c r="O6012" s="93"/>
    </row>
    <row r="6013" spans="1:15" ht="22.5" customHeight="1">
      <c r="A6013" s="85"/>
      <c r="B6013" s="82"/>
      <c r="C6013" s="82"/>
      <c r="D6013" s="82"/>
      <c r="E6013" s="82"/>
      <c r="F6013" s="92"/>
      <c r="G6013" s="87"/>
      <c r="H6013" s="88"/>
      <c r="I6013" s="89"/>
      <c r="J6013" s="90"/>
      <c r="K6013" s="85"/>
      <c r="L6013" s="85"/>
      <c r="M6013" s="85"/>
      <c r="N6013" s="82"/>
      <c r="O6013" s="93"/>
    </row>
    <row r="6014" spans="1:15" ht="22.5" customHeight="1">
      <c r="A6014" s="85"/>
      <c r="B6014" s="82"/>
      <c r="C6014" s="82"/>
      <c r="D6014" s="82"/>
      <c r="E6014" s="82"/>
      <c r="F6014" s="92"/>
      <c r="G6014" s="87"/>
      <c r="H6014" s="88"/>
      <c r="I6014" s="89"/>
      <c r="J6014" s="90"/>
      <c r="K6014" s="85"/>
      <c r="L6014" s="85"/>
      <c r="M6014" s="85"/>
      <c r="N6014" s="82"/>
      <c r="O6014" s="93"/>
    </row>
    <row r="6015" spans="1:15" ht="22.5" customHeight="1">
      <c r="A6015" s="85"/>
      <c r="B6015" s="82"/>
      <c r="C6015" s="82"/>
      <c r="D6015" s="82"/>
      <c r="E6015" s="82"/>
      <c r="F6015" s="92"/>
      <c r="G6015" s="87"/>
      <c r="H6015" s="88"/>
      <c r="I6015" s="89"/>
      <c r="J6015" s="90"/>
      <c r="K6015" s="85"/>
      <c r="L6015" s="85"/>
      <c r="M6015" s="85"/>
      <c r="N6015" s="82"/>
      <c r="O6015" s="93"/>
    </row>
    <row r="6016" spans="1:15" ht="22.5" customHeight="1">
      <c r="A6016" s="85"/>
      <c r="B6016" s="82"/>
      <c r="C6016" s="82"/>
      <c r="D6016" s="82"/>
      <c r="E6016" s="82"/>
      <c r="F6016" s="92"/>
      <c r="G6016" s="87"/>
      <c r="H6016" s="88"/>
      <c r="I6016" s="89"/>
      <c r="J6016" s="90"/>
      <c r="K6016" s="85"/>
      <c r="L6016" s="85"/>
      <c r="M6016" s="85"/>
      <c r="N6016" s="82"/>
      <c r="O6016" s="93"/>
    </row>
    <row r="6017" spans="1:15" ht="22.5" customHeight="1">
      <c r="A6017" s="85"/>
      <c r="B6017" s="82"/>
      <c r="C6017" s="82"/>
      <c r="D6017" s="82"/>
      <c r="E6017" s="82"/>
      <c r="F6017" s="92"/>
      <c r="G6017" s="87"/>
      <c r="H6017" s="88"/>
      <c r="I6017" s="89"/>
      <c r="J6017" s="90"/>
      <c r="K6017" s="85"/>
      <c r="L6017" s="85"/>
      <c r="M6017" s="85"/>
      <c r="N6017" s="82"/>
      <c r="O6017" s="93"/>
    </row>
    <row r="6018" spans="1:15" ht="22.5" customHeight="1">
      <c r="A6018" s="85"/>
      <c r="B6018" s="82"/>
      <c r="C6018" s="82"/>
      <c r="D6018" s="82"/>
      <c r="E6018" s="82"/>
      <c r="F6018" s="92"/>
      <c r="G6018" s="87"/>
      <c r="H6018" s="88"/>
      <c r="I6018" s="89"/>
      <c r="J6018" s="90"/>
      <c r="K6018" s="85"/>
      <c r="L6018" s="85"/>
      <c r="M6018" s="85"/>
      <c r="N6018" s="82"/>
      <c r="O6018" s="93"/>
    </row>
    <row r="6019" spans="1:15" ht="22.5" customHeight="1">
      <c r="A6019" s="85"/>
      <c r="B6019" s="82"/>
      <c r="C6019" s="82"/>
      <c r="D6019" s="82"/>
      <c r="E6019" s="82"/>
      <c r="F6019" s="92"/>
      <c r="G6019" s="87"/>
      <c r="H6019" s="88"/>
      <c r="I6019" s="89"/>
      <c r="J6019" s="90"/>
      <c r="K6019" s="85"/>
      <c r="L6019" s="85"/>
      <c r="M6019" s="85"/>
      <c r="N6019" s="82"/>
      <c r="O6019" s="93"/>
    </row>
    <row r="6020" spans="1:15" ht="22.5" customHeight="1">
      <c r="A6020" s="85"/>
      <c r="B6020" s="82"/>
      <c r="C6020" s="82"/>
      <c r="D6020" s="82"/>
      <c r="E6020" s="82"/>
      <c r="F6020" s="92"/>
      <c r="G6020" s="87"/>
      <c r="H6020" s="88"/>
      <c r="I6020" s="89"/>
      <c r="J6020" s="90"/>
      <c r="K6020" s="85"/>
      <c r="L6020" s="85"/>
      <c r="M6020" s="85"/>
      <c r="N6020" s="82"/>
      <c r="O6020" s="93"/>
    </row>
    <row r="6021" spans="1:15" ht="22.5" customHeight="1">
      <c r="A6021" s="85"/>
      <c r="B6021" s="82"/>
      <c r="C6021" s="82"/>
      <c r="D6021" s="82"/>
      <c r="E6021" s="82"/>
      <c r="F6021" s="92"/>
      <c r="G6021" s="87"/>
      <c r="H6021" s="88"/>
      <c r="I6021" s="89"/>
      <c r="J6021" s="90"/>
      <c r="K6021" s="85"/>
      <c r="L6021" s="85"/>
      <c r="M6021" s="85"/>
      <c r="N6021" s="82"/>
      <c r="O6021" s="93"/>
    </row>
    <row r="6022" spans="1:15" ht="22.5" customHeight="1">
      <c r="A6022" s="85"/>
      <c r="B6022" s="82"/>
      <c r="C6022" s="82"/>
      <c r="D6022" s="82"/>
      <c r="E6022" s="82"/>
      <c r="F6022" s="92"/>
      <c r="G6022" s="87"/>
      <c r="H6022" s="88"/>
      <c r="I6022" s="89"/>
      <c r="J6022" s="90"/>
      <c r="K6022" s="85"/>
      <c r="L6022" s="85"/>
      <c r="M6022" s="85"/>
      <c r="N6022" s="82"/>
      <c r="O6022" s="93"/>
    </row>
    <row r="6023" spans="1:15" ht="22.5" customHeight="1">
      <c r="A6023" s="85"/>
      <c r="B6023" s="82"/>
      <c r="C6023" s="82"/>
      <c r="D6023" s="82"/>
      <c r="E6023" s="82"/>
      <c r="F6023" s="92"/>
      <c r="G6023" s="87"/>
      <c r="H6023" s="88"/>
      <c r="I6023" s="89"/>
      <c r="J6023" s="90"/>
      <c r="K6023" s="85"/>
      <c r="L6023" s="85"/>
      <c r="M6023" s="85"/>
      <c r="N6023" s="82"/>
      <c r="O6023" s="93"/>
    </row>
    <row r="6024" spans="1:15" ht="22.5" customHeight="1">
      <c r="A6024" s="85"/>
      <c r="B6024" s="82"/>
      <c r="C6024" s="82"/>
      <c r="D6024" s="82"/>
      <c r="E6024" s="82"/>
      <c r="F6024" s="92"/>
      <c r="G6024" s="87"/>
      <c r="H6024" s="88"/>
      <c r="I6024" s="89"/>
      <c r="J6024" s="90"/>
      <c r="K6024" s="85"/>
      <c r="L6024" s="85"/>
      <c r="M6024" s="85"/>
      <c r="N6024" s="82"/>
      <c r="O6024" s="93"/>
    </row>
    <row r="6025" spans="1:15" ht="22.5" customHeight="1">
      <c r="A6025" s="85"/>
      <c r="B6025" s="82"/>
      <c r="C6025" s="82"/>
      <c r="D6025" s="82"/>
      <c r="E6025" s="82"/>
      <c r="F6025" s="92"/>
      <c r="G6025" s="87"/>
      <c r="H6025" s="88"/>
      <c r="I6025" s="89"/>
      <c r="J6025" s="90"/>
      <c r="K6025" s="85"/>
      <c r="L6025" s="85"/>
      <c r="M6025" s="85"/>
      <c r="N6025" s="82"/>
      <c r="O6025" s="93"/>
    </row>
    <row r="6026" spans="1:15" ht="22.5" customHeight="1">
      <c r="A6026" s="85"/>
      <c r="B6026" s="82"/>
      <c r="C6026" s="82"/>
      <c r="D6026" s="82"/>
      <c r="E6026" s="82"/>
      <c r="F6026" s="92"/>
      <c r="G6026" s="87"/>
      <c r="H6026" s="88"/>
      <c r="I6026" s="89"/>
      <c r="J6026" s="90"/>
      <c r="K6026" s="85"/>
      <c r="L6026" s="85"/>
      <c r="M6026" s="85"/>
      <c r="N6026" s="82"/>
      <c r="O6026" s="93"/>
    </row>
    <row r="6027" spans="1:15" ht="22.5" customHeight="1">
      <c r="A6027" s="85"/>
      <c r="B6027" s="82"/>
      <c r="C6027" s="82"/>
      <c r="D6027" s="82"/>
      <c r="E6027" s="82"/>
      <c r="F6027" s="92"/>
      <c r="G6027" s="87"/>
      <c r="H6027" s="88"/>
      <c r="I6027" s="89"/>
      <c r="J6027" s="90"/>
      <c r="K6027" s="85"/>
      <c r="L6027" s="85"/>
      <c r="M6027" s="85"/>
      <c r="N6027" s="82"/>
      <c r="O6027" s="93"/>
    </row>
    <row r="6028" spans="1:15" ht="22.5" customHeight="1">
      <c r="A6028" s="85"/>
      <c r="B6028" s="82"/>
      <c r="C6028" s="82"/>
      <c r="D6028" s="82"/>
      <c r="E6028" s="82"/>
      <c r="F6028" s="92"/>
      <c r="G6028" s="87"/>
      <c r="H6028" s="88"/>
      <c r="I6028" s="89"/>
      <c r="J6028" s="90"/>
      <c r="K6028" s="85"/>
      <c r="L6028" s="85"/>
      <c r="M6028" s="85"/>
      <c r="N6028" s="82"/>
      <c r="O6028" s="93"/>
    </row>
    <row r="6029" spans="1:15" ht="22.5" customHeight="1">
      <c r="A6029" s="85"/>
      <c r="B6029" s="82"/>
      <c r="C6029" s="82"/>
      <c r="D6029" s="82"/>
      <c r="E6029" s="82"/>
      <c r="F6029" s="92"/>
      <c r="G6029" s="87"/>
      <c r="H6029" s="88"/>
      <c r="I6029" s="89"/>
      <c r="J6029" s="90"/>
      <c r="K6029" s="85"/>
      <c r="L6029" s="85"/>
      <c r="M6029" s="85"/>
      <c r="N6029" s="82"/>
      <c r="O6029" s="93"/>
    </row>
    <row r="6030" spans="1:15" ht="22.5" customHeight="1">
      <c r="A6030" s="85"/>
      <c r="B6030" s="82"/>
      <c r="C6030" s="82"/>
      <c r="D6030" s="82"/>
      <c r="E6030" s="82"/>
      <c r="F6030" s="92"/>
      <c r="G6030" s="87"/>
      <c r="H6030" s="88"/>
      <c r="I6030" s="89"/>
      <c r="J6030" s="90"/>
      <c r="K6030" s="85"/>
      <c r="L6030" s="85"/>
      <c r="M6030" s="85"/>
      <c r="N6030" s="82"/>
      <c r="O6030" s="93"/>
    </row>
    <row r="6031" spans="1:15" ht="22.5" customHeight="1">
      <c r="A6031" s="85"/>
      <c r="B6031" s="82"/>
      <c r="C6031" s="82"/>
      <c r="D6031" s="82"/>
      <c r="E6031" s="82"/>
      <c r="F6031" s="92"/>
      <c r="G6031" s="87"/>
      <c r="H6031" s="88"/>
      <c r="I6031" s="89"/>
      <c r="J6031" s="90"/>
      <c r="K6031" s="85"/>
      <c r="L6031" s="85"/>
      <c r="M6031" s="85"/>
      <c r="N6031" s="82"/>
      <c r="O6031" s="93"/>
    </row>
    <row r="6032" spans="1:15" ht="22.5" customHeight="1">
      <c r="A6032" s="85"/>
      <c r="B6032" s="82"/>
      <c r="C6032" s="82"/>
      <c r="D6032" s="82"/>
      <c r="E6032" s="82"/>
      <c r="F6032" s="92"/>
      <c r="G6032" s="87"/>
      <c r="H6032" s="88"/>
      <c r="I6032" s="89"/>
      <c r="J6032" s="90"/>
      <c r="K6032" s="85"/>
      <c r="L6032" s="85"/>
      <c r="M6032" s="85"/>
      <c r="N6032" s="82"/>
      <c r="O6032" s="93"/>
    </row>
    <row r="6033" spans="1:15" ht="22.5" customHeight="1">
      <c r="A6033" s="85"/>
      <c r="B6033" s="82"/>
      <c r="C6033" s="82"/>
      <c r="D6033" s="82"/>
      <c r="E6033" s="82"/>
      <c r="F6033" s="92"/>
      <c r="G6033" s="87"/>
      <c r="H6033" s="88"/>
      <c r="I6033" s="89"/>
      <c r="J6033" s="90"/>
      <c r="K6033" s="85"/>
      <c r="L6033" s="85"/>
      <c r="M6033" s="85"/>
      <c r="N6033" s="82"/>
      <c r="O6033" s="93"/>
    </row>
    <row r="6034" spans="1:15" ht="22.5" customHeight="1">
      <c r="A6034" s="85"/>
      <c r="B6034" s="82"/>
      <c r="C6034" s="82"/>
      <c r="D6034" s="82"/>
      <c r="E6034" s="82"/>
      <c r="F6034" s="92"/>
      <c r="G6034" s="87"/>
      <c r="H6034" s="88"/>
      <c r="I6034" s="89"/>
      <c r="J6034" s="90"/>
      <c r="K6034" s="85"/>
      <c r="L6034" s="85"/>
      <c r="M6034" s="85"/>
      <c r="N6034" s="82"/>
      <c r="O6034" s="93"/>
    </row>
    <row r="6035" spans="1:15" ht="22.5" customHeight="1">
      <c r="A6035" s="85"/>
      <c r="B6035" s="82"/>
      <c r="C6035" s="82"/>
      <c r="D6035" s="82"/>
      <c r="E6035" s="82"/>
      <c r="F6035" s="92"/>
      <c r="G6035" s="87"/>
      <c r="H6035" s="88"/>
      <c r="I6035" s="89"/>
      <c r="J6035" s="90"/>
      <c r="K6035" s="85"/>
      <c r="L6035" s="85"/>
      <c r="M6035" s="85"/>
      <c r="N6035" s="82"/>
      <c r="O6035" s="93"/>
    </row>
    <row r="6036" spans="1:15" ht="22.5" customHeight="1">
      <c r="A6036" s="85"/>
      <c r="B6036" s="82"/>
      <c r="C6036" s="82"/>
      <c r="D6036" s="82"/>
      <c r="E6036" s="82"/>
      <c r="F6036" s="92"/>
      <c r="G6036" s="87"/>
      <c r="H6036" s="88"/>
      <c r="I6036" s="89"/>
      <c r="J6036" s="90"/>
      <c r="K6036" s="85"/>
      <c r="L6036" s="85"/>
      <c r="M6036" s="85"/>
      <c r="N6036" s="82"/>
      <c r="O6036" s="93"/>
    </row>
    <row r="6037" spans="1:15" ht="22.5" customHeight="1">
      <c r="A6037" s="85"/>
      <c r="B6037" s="82"/>
      <c r="C6037" s="82"/>
      <c r="D6037" s="82"/>
      <c r="E6037" s="82"/>
      <c r="F6037" s="92"/>
      <c r="G6037" s="87"/>
      <c r="H6037" s="88"/>
      <c r="I6037" s="89"/>
      <c r="J6037" s="90"/>
      <c r="K6037" s="85"/>
      <c r="L6037" s="85"/>
      <c r="M6037" s="85"/>
      <c r="N6037" s="82"/>
      <c r="O6037" s="93"/>
    </row>
    <row r="6038" spans="1:15" ht="22.5" customHeight="1">
      <c r="A6038" s="85"/>
      <c r="B6038" s="82"/>
      <c r="C6038" s="82"/>
      <c r="D6038" s="82"/>
      <c r="E6038" s="82"/>
      <c r="F6038" s="92"/>
      <c r="G6038" s="87"/>
      <c r="H6038" s="88"/>
      <c r="I6038" s="89"/>
      <c r="J6038" s="90"/>
      <c r="K6038" s="85"/>
      <c r="L6038" s="85"/>
      <c r="M6038" s="85"/>
      <c r="N6038" s="82"/>
      <c r="O6038" s="93"/>
    </row>
    <row r="6039" spans="1:15" ht="22.5" customHeight="1">
      <c r="A6039" s="85"/>
      <c r="B6039" s="82"/>
      <c r="C6039" s="82"/>
      <c r="D6039" s="82"/>
      <c r="E6039" s="82"/>
      <c r="F6039" s="92"/>
      <c r="G6039" s="87"/>
      <c r="H6039" s="88"/>
      <c r="I6039" s="89"/>
      <c r="J6039" s="90"/>
      <c r="K6039" s="85"/>
      <c r="L6039" s="85"/>
      <c r="M6039" s="85"/>
      <c r="N6039" s="82"/>
      <c r="O6039" s="93"/>
    </row>
    <row r="6040" spans="1:15" ht="22.5" customHeight="1">
      <c r="A6040" s="85"/>
      <c r="B6040" s="82"/>
      <c r="C6040" s="82"/>
      <c r="D6040" s="82"/>
      <c r="E6040" s="82"/>
      <c r="F6040" s="92"/>
      <c r="G6040" s="87"/>
      <c r="H6040" s="88"/>
      <c r="I6040" s="89"/>
      <c r="J6040" s="90"/>
      <c r="K6040" s="85"/>
      <c r="L6040" s="85"/>
      <c r="M6040" s="85"/>
      <c r="N6040" s="82"/>
      <c r="O6040" s="93"/>
    </row>
    <row r="6041" spans="1:15" ht="22.5" customHeight="1">
      <c r="A6041" s="85"/>
      <c r="B6041" s="82"/>
      <c r="C6041" s="82"/>
      <c r="D6041" s="82"/>
      <c r="E6041" s="82"/>
      <c r="F6041" s="92"/>
      <c r="G6041" s="87"/>
      <c r="H6041" s="88"/>
      <c r="I6041" s="89"/>
      <c r="J6041" s="90"/>
      <c r="K6041" s="85"/>
      <c r="L6041" s="85"/>
      <c r="M6041" s="85"/>
      <c r="N6041" s="82"/>
      <c r="O6041" s="93"/>
    </row>
    <row r="6042" spans="1:15" ht="22.5" customHeight="1">
      <c r="A6042" s="85"/>
      <c r="B6042" s="82"/>
      <c r="C6042" s="82"/>
      <c r="D6042" s="82"/>
      <c r="E6042" s="82"/>
      <c r="F6042" s="92"/>
      <c r="G6042" s="87"/>
      <c r="H6042" s="88"/>
      <c r="I6042" s="89"/>
      <c r="J6042" s="90"/>
      <c r="K6042" s="85"/>
      <c r="L6042" s="85"/>
      <c r="M6042" s="85"/>
      <c r="N6042" s="82"/>
      <c r="O6042" s="93"/>
    </row>
    <row r="6043" spans="1:15" ht="22.5" customHeight="1">
      <c r="A6043" s="85"/>
      <c r="B6043" s="82"/>
      <c r="C6043" s="82"/>
      <c r="D6043" s="82"/>
      <c r="E6043" s="82"/>
      <c r="F6043" s="92"/>
      <c r="G6043" s="87"/>
      <c r="H6043" s="88"/>
      <c r="I6043" s="89"/>
      <c r="J6043" s="90"/>
      <c r="K6043" s="85"/>
      <c r="L6043" s="85"/>
      <c r="M6043" s="85"/>
      <c r="N6043" s="82"/>
      <c r="O6043" s="93"/>
    </row>
    <row r="6044" spans="1:15" ht="22.5" customHeight="1">
      <c r="A6044" s="85"/>
      <c r="B6044" s="82"/>
      <c r="C6044" s="82"/>
      <c r="D6044" s="82"/>
      <c r="E6044" s="82"/>
      <c r="F6044" s="92"/>
      <c r="G6044" s="87"/>
      <c r="H6044" s="88"/>
      <c r="I6044" s="89"/>
      <c r="J6044" s="90"/>
      <c r="K6044" s="85"/>
      <c r="L6044" s="85"/>
      <c r="M6044" s="85"/>
      <c r="N6044" s="82"/>
      <c r="O6044" s="93"/>
    </row>
    <row r="6045" spans="1:15" ht="22.5" customHeight="1">
      <c r="A6045" s="85"/>
      <c r="B6045" s="82"/>
      <c r="C6045" s="82"/>
      <c r="D6045" s="82"/>
      <c r="E6045" s="82"/>
      <c r="F6045" s="92"/>
      <c r="G6045" s="87"/>
      <c r="H6045" s="88"/>
      <c r="I6045" s="89"/>
      <c r="J6045" s="90"/>
      <c r="K6045" s="85"/>
      <c r="L6045" s="85"/>
      <c r="M6045" s="85"/>
      <c r="N6045" s="82"/>
      <c r="O6045" s="93"/>
    </row>
    <row r="6046" spans="1:15" ht="22.5" customHeight="1">
      <c r="A6046" s="85"/>
      <c r="B6046" s="82"/>
      <c r="C6046" s="82"/>
      <c r="D6046" s="82"/>
      <c r="E6046" s="82"/>
      <c r="F6046" s="92"/>
      <c r="G6046" s="87"/>
      <c r="H6046" s="88"/>
      <c r="I6046" s="89"/>
      <c r="J6046" s="90"/>
      <c r="K6046" s="85"/>
      <c r="L6046" s="85"/>
      <c r="M6046" s="85"/>
      <c r="N6046" s="82"/>
      <c r="O6046" s="93"/>
    </row>
    <row r="6047" spans="1:15" ht="22.5" customHeight="1">
      <c r="A6047" s="85"/>
      <c r="B6047" s="82"/>
      <c r="C6047" s="82"/>
      <c r="D6047" s="82"/>
      <c r="E6047" s="82"/>
      <c r="F6047" s="92"/>
      <c r="G6047" s="87"/>
      <c r="H6047" s="88"/>
      <c r="I6047" s="89"/>
      <c r="J6047" s="90"/>
      <c r="K6047" s="85"/>
      <c r="L6047" s="85"/>
      <c r="M6047" s="85"/>
      <c r="N6047" s="82"/>
      <c r="O6047" s="93"/>
    </row>
    <row r="6048" spans="1:15" ht="22.5" customHeight="1">
      <c r="A6048" s="85"/>
      <c r="B6048" s="82"/>
      <c r="C6048" s="82"/>
      <c r="D6048" s="82"/>
      <c r="E6048" s="82"/>
      <c r="F6048" s="92"/>
      <c r="G6048" s="87"/>
      <c r="H6048" s="88"/>
      <c r="I6048" s="89"/>
      <c r="J6048" s="90"/>
      <c r="K6048" s="85"/>
      <c r="L6048" s="85"/>
      <c r="M6048" s="85"/>
      <c r="N6048" s="82"/>
      <c r="O6048" s="93"/>
    </row>
    <row r="6049" spans="1:15" ht="22.5" customHeight="1">
      <c r="A6049" s="85"/>
      <c r="B6049" s="82"/>
      <c r="C6049" s="82"/>
      <c r="D6049" s="82"/>
      <c r="E6049" s="82"/>
      <c r="F6049" s="92"/>
      <c r="G6049" s="87"/>
      <c r="H6049" s="88"/>
      <c r="I6049" s="89"/>
      <c r="J6049" s="90"/>
      <c r="K6049" s="85"/>
      <c r="L6049" s="85"/>
      <c r="M6049" s="85"/>
      <c r="N6049" s="82"/>
      <c r="O6049" s="93"/>
    </row>
    <row r="6050" spans="1:15" ht="22.5" customHeight="1">
      <c r="A6050" s="85"/>
      <c r="B6050" s="82"/>
      <c r="C6050" s="82"/>
      <c r="D6050" s="82"/>
      <c r="E6050" s="82"/>
      <c r="F6050" s="92"/>
      <c r="G6050" s="87"/>
      <c r="H6050" s="88"/>
      <c r="I6050" s="89"/>
      <c r="J6050" s="90"/>
      <c r="K6050" s="85"/>
      <c r="L6050" s="85"/>
      <c r="M6050" s="85"/>
      <c r="N6050" s="82"/>
      <c r="O6050" s="93"/>
    </row>
    <row r="6051" spans="1:15" ht="22.5" customHeight="1">
      <c r="A6051" s="85"/>
      <c r="B6051" s="82"/>
      <c r="C6051" s="82"/>
      <c r="D6051" s="82"/>
      <c r="E6051" s="82"/>
      <c r="F6051" s="92"/>
      <c r="G6051" s="87"/>
      <c r="H6051" s="88"/>
      <c r="I6051" s="89"/>
      <c r="J6051" s="90"/>
      <c r="K6051" s="85"/>
      <c r="L6051" s="85"/>
      <c r="M6051" s="85"/>
      <c r="N6051" s="82"/>
      <c r="O6051" s="93"/>
    </row>
    <row r="6052" spans="1:15" ht="22.5" customHeight="1">
      <c r="A6052" s="85"/>
      <c r="B6052" s="82"/>
      <c r="C6052" s="82"/>
      <c r="D6052" s="82"/>
      <c r="E6052" s="82"/>
      <c r="F6052" s="92"/>
      <c r="G6052" s="87"/>
      <c r="H6052" s="88"/>
      <c r="I6052" s="89"/>
      <c r="J6052" s="90"/>
      <c r="K6052" s="85"/>
      <c r="L6052" s="85"/>
      <c r="M6052" s="85"/>
      <c r="N6052" s="82"/>
      <c r="O6052" s="93"/>
    </row>
    <row r="6053" spans="1:15" ht="22.5" customHeight="1">
      <c r="A6053" s="85"/>
      <c r="B6053" s="82"/>
      <c r="C6053" s="82"/>
      <c r="D6053" s="82"/>
      <c r="E6053" s="82"/>
      <c r="F6053" s="92"/>
      <c r="G6053" s="87"/>
      <c r="H6053" s="88"/>
      <c r="I6053" s="89"/>
      <c r="J6053" s="90"/>
      <c r="K6053" s="85"/>
      <c r="L6053" s="85"/>
      <c r="M6053" s="85"/>
      <c r="N6053" s="82"/>
      <c r="O6053" s="93"/>
    </row>
    <row r="6054" spans="1:15" ht="22.5" customHeight="1">
      <c r="A6054" s="85"/>
      <c r="B6054" s="82"/>
      <c r="C6054" s="82"/>
      <c r="D6054" s="82"/>
      <c r="E6054" s="82"/>
      <c r="F6054" s="92"/>
      <c r="G6054" s="87"/>
      <c r="H6054" s="88"/>
      <c r="I6054" s="89"/>
      <c r="J6054" s="90"/>
      <c r="K6054" s="85"/>
      <c r="L6054" s="85"/>
      <c r="M6054" s="85"/>
      <c r="N6054" s="82"/>
      <c r="O6054" s="93"/>
    </row>
    <row r="6055" spans="1:15" ht="22.5" customHeight="1">
      <c r="A6055" s="85"/>
      <c r="B6055" s="82"/>
      <c r="C6055" s="82"/>
      <c r="D6055" s="82"/>
      <c r="E6055" s="82"/>
      <c r="F6055" s="92"/>
      <c r="G6055" s="87"/>
      <c r="H6055" s="88"/>
      <c r="I6055" s="89"/>
      <c r="J6055" s="90"/>
      <c r="K6055" s="85"/>
      <c r="L6055" s="85"/>
      <c r="M6055" s="85"/>
      <c r="N6055" s="82"/>
      <c r="O6055" s="93"/>
    </row>
    <row r="6056" spans="1:15" ht="22.5" customHeight="1">
      <c r="A6056" s="85"/>
      <c r="B6056" s="82"/>
      <c r="C6056" s="82"/>
      <c r="D6056" s="82"/>
      <c r="E6056" s="82"/>
      <c r="F6056" s="92"/>
      <c r="G6056" s="87"/>
      <c r="H6056" s="88"/>
      <c r="I6056" s="89"/>
      <c r="J6056" s="90"/>
      <c r="K6056" s="85"/>
      <c r="L6056" s="85"/>
      <c r="M6056" s="85"/>
      <c r="N6056" s="82"/>
      <c r="O6056" s="93"/>
    </row>
    <row r="6057" spans="1:15" ht="22.5" customHeight="1">
      <c r="A6057" s="85"/>
      <c r="B6057" s="82"/>
      <c r="C6057" s="82"/>
      <c r="D6057" s="82"/>
      <c r="E6057" s="82"/>
      <c r="F6057" s="92"/>
      <c r="G6057" s="87"/>
      <c r="H6057" s="88"/>
      <c r="I6057" s="89"/>
      <c r="J6057" s="90"/>
      <c r="K6057" s="85"/>
      <c r="L6057" s="85"/>
      <c r="M6057" s="85"/>
      <c r="N6057" s="82"/>
      <c r="O6057" s="93"/>
    </row>
    <row r="6058" spans="1:15" ht="22.5" customHeight="1">
      <c r="A6058" s="85"/>
      <c r="B6058" s="82"/>
      <c r="C6058" s="82"/>
      <c r="D6058" s="82"/>
      <c r="E6058" s="82"/>
      <c r="F6058" s="92"/>
      <c r="G6058" s="87"/>
      <c r="H6058" s="88"/>
      <c r="I6058" s="89"/>
      <c r="J6058" s="90"/>
      <c r="K6058" s="85"/>
      <c r="L6058" s="85"/>
      <c r="M6058" s="85"/>
      <c r="N6058" s="82"/>
      <c r="O6058" s="93"/>
    </row>
    <row r="6059" spans="1:15" ht="22.5" customHeight="1">
      <c r="A6059" s="85"/>
      <c r="B6059" s="82"/>
      <c r="C6059" s="82"/>
      <c r="D6059" s="82"/>
      <c r="E6059" s="82"/>
      <c r="F6059" s="92"/>
      <c r="G6059" s="87"/>
      <c r="H6059" s="88"/>
      <c r="I6059" s="89"/>
      <c r="J6059" s="90"/>
      <c r="K6059" s="85"/>
      <c r="L6059" s="85"/>
      <c r="M6059" s="85"/>
      <c r="N6059" s="82"/>
      <c r="O6059" s="93"/>
    </row>
    <row r="6060" spans="1:15" ht="22.5" customHeight="1">
      <c r="A6060" s="85"/>
      <c r="B6060" s="82"/>
      <c r="C6060" s="82"/>
      <c r="D6060" s="82"/>
      <c r="E6060" s="82"/>
      <c r="F6060" s="92"/>
      <c r="G6060" s="87"/>
      <c r="H6060" s="88"/>
      <c r="I6060" s="89"/>
      <c r="J6060" s="90"/>
      <c r="K6060" s="85"/>
      <c r="L6060" s="85"/>
      <c r="M6060" s="85"/>
      <c r="N6060" s="82"/>
      <c r="O6060" s="93"/>
    </row>
    <row r="6061" spans="1:15" ht="22.5" customHeight="1">
      <c r="A6061" s="85"/>
      <c r="B6061" s="82"/>
      <c r="C6061" s="82"/>
      <c r="D6061" s="82"/>
      <c r="E6061" s="82"/>
      <c r="F6061" s="92"/>
      <c r="G6061" s="87"/>
      <c r="H6061" s="88"/>
      <c r="I6061" s="89"/>
      <c r="J6061" s="90"/>
      <c r="K6061" s="85"/>
      <c r="L6061" s="85"/>
      <c r="M6061" s="85"/>
      <c r="N6061" s="82"/>
      <c r="O6061" s="93"/>
    </row>
    <row r="6062" spans="1:15" ht="22.5" customHeight="1">
      <c r="A6062" s="85"/>
      <c r="B6062" s="82"/>
      <c r="C6062" s="82"/>
      <c r="D6062" s="82"/>
      <c r="E6062" s="82"/>
      <c r="F6062" s="92"/>
      <c r="G6062" s="87"/>
      <c r="H6062" s="88"/>
      <c r="I6062" s="89"/>
      <c r="J6062" s="90"/>
      <c r="K6062" s="85"/>
      <c r="L6062" s="85"/>
      <c r="M6062" s="85"/>
      <c r="N6062" s="82"/>
      <c r="O6062" s="93"/>
    </row>
    <row r="6063" spans="1:15" ht="22.5" customHeight="1">
      <c r="A6063" s="85"/>
      <c r="B6063" s="82"/>
      <c r="C6063" s="82"/>
      <c r="D6063" s="82"/>
      <c r="E6063" s="82"/>
      <c r="F6063" s="92"/>
      <c r="G6063" s="87"/>
      <c r="H6063" s="88"/>
      <c r="I6063" s="89"/>
      <c r="J6063" s="90"/>
      <c r="K6063" s="85"/>
      <c r="L6063" s="85"/>
      <c r="M6063" s="85"/>
      <c r="N6063" s="82"/>
      <c r="O6063" s="93"/>
    </row>
    <row r="6064" spans="1:15" ht="22.5" customHeight="1">
      <c r="A6064" s="85"/>
      <c r="B6064" s="82"/>
      <c r="C6064" s="82"/>
      <c r="D6064" s="82"/>
      <c r="E6064" s="82"/>
      <c r="F6064" s="92"/>
      <c r="G6064" s="87"/>
      <c r="H6064" s="88"/>
      <c r="I6064" s="89"/>
      <c r="J6064" s="90"/>
      <c r="K6064" s="85"/>
      <c r="L6064" s="85"/>
      <c r="M6064" s="85"/>
      <c r="N6064" s="82"/>
      <c r="O6064" s="93"/>
    </row>
    <row r="6065" spans="1:15" ht="22.5" customHeight="1">
      <c r="A6065" s="85"/>
      <c r="B6065" s="82"/>
      <c r="C6065" s="82"/>
      <c r="D6065" s="82"/>
      <c r="E6065" s="82"/>
      <c r="F6065" s="92"/>
      <c r="G6065" s="87"/>
      <c r="H6065" s="88"/>
      <c r="I6065" s="89"/>
      <c r="J6065" s="90"/>
      <c r="K6065" s="85"/>
      <c r="L6065" s="85"/>
      <c r="M6065" s="85"/>
      <c r="N6065" s="82"/>
      <c r="O6065" s="93"/>
    </row>
    <row r="6066" spans="1:15" ht="22.5" customHeight="1">
      <c r="A6066" s="85"/>
      <c r="B6066" s="82"/>
      <c r="C6066" s="82"/>
      <c r="D6066" s="82"/>
      <c r="E6066" s="82"/>
      <c r="F6066" s="92"/>
      <c r="G6066" s="87"/>
      <c r="H6066" s="88"/>
      <c r="I6066" s="89"/>
      <c r="J6066" s="90"/>
      <c r="K6066" s="85"/>
      <c r="L6066" s="85"/>
      <c r="M6066" s="85"/>
      <c r="N6066" s="82"/>
      <c r="O6066" s="93"/>
    </row>
    <row r="6067" spans="1:15" ht="22.5" customHeight="1">
      <c r="A6067" s="85"/>
      <c r="B6067" s="82"/>
      <c r="C6067" s="82"/>
      <c r="D6067" s="82"/>
      <c r="E6067" s="82"/>
      <c r="F6067" s="92"/>
      <c r="G6067" s="87"/>
      <c r="H6067" s="88"/>
      <c r="I6067" s="89"/>
      <c r="J6067" s="90"/>
      <c r="K6067" s="85"/>
      <c r="L6067" s="85"/>
      <c r="M6067" s="85"/>
      <c r="N6067" s="82"/>
      <c r="O6067" s="93"/>
    </row>
    <row r="6068" spans="1:15" ht="22.5" customHeight="1">
      <c r="A6068" s="85"/>
      <c r="B6068" s="82"/>
      <c r="C6068" s="82"/>
      <c r="D6068" s="82"/>
      <c r="E6068" s="82"/>
      <c r="F6068" s="92"/>
      <c r="G6068" s="87"/>
      <c r="H6068" s="88"/>
      <c r="I6068" s="89"/>
      <c r="J6068" s="90"/>
      <c r="K6068" s="85"/>
      <c r="L6068" s="85"/>
      <c r="M6068" s="85"/>
      <c r="N6068" s="82"/>
      <c r="O6068" s="93"/>
    </row>
    <row r="6069" spans="1:15" ht="22.5" customHeight="1">
      <c r="A6069" s="85"/>
      <c r="B6069" s="82"/>
      <c r="C6069" s="82"/>
      <c r="D6069" s="82"/>
      <c r="E6069" s="82"/>
      <c r="F6069" s="92"/>
      <c r="G6069" s="87"/>
      <c r="H6069" s="88"/>
      <c r="I6069" s="89"/>
      <c r="J6069" s="90"/>
      <c r="K6069" s="85"/>
      <c r="L6069" s="85"/>
      <c r="M6069" s="85"/>
      <c r="N6069" s="82"/>
      <c r="O6069" s="93"/>
    </row>
    <row r="6070" spans="1:15" ht="22.5" customHeight="1">
      <c r="A6070" s="85"/>
      <c r="B6070" s="82"/>
      <c r="C6070" s="82"/>
      <c r="D6070" s="82"/>
      <c r="E6070" s="82"/>
      <c r="F6070" s="92"/>
      <c r="G6070" s="87"/>
      <c r="H6070" s="88"/>
      <c r="I6070" s="89"/>
      <c r="J6070" s="90"/>
      <c r="K6070" s="85"/>
      <c r="L6070" s="85"/>
      <c r="M6070" s="85"/>
      <c r="N6070" s="82"/>
      <c r="O6070" s="93"/>
    </row>
    <row r="6071" spans="1:15" ht="22.5" customHeight="1">
      <c r="A6071" s="85"/>
      <c r="B6071" s="82"/>
      <c r="C6071" s="82"/>
      <c r="D6071" s="82"/>
      <c r="E6071" s="82"/>
      <c r="F6071" s="92"/>
      <c r="G6071" s="87"/>
      <c r="H6071" s="88"/>
      <c r="I6071" s="89"/>
      <c r="J6071" s="90"/>
      <c r="K6071" s="85"/>
      <c r="L6071" s="85"/>
      <c r="M6071" s="85"/>
      <c r="N6071" s="82"/>
      <c r="O6071" s="93"/>
    </row>
    <row r="6072" spans="1:15" ht="22.5" customHeight="1">
      <c r="A6072" s="85"/>
      <c r="B6072" s="82"/>
      <c r="C6072" s="82"/>
      <c r="D6072" s="82"/>
      <c r="E6072" s="82"/>
      <c r="F6072" s="92"/>
      <c r="G6072" s="87"/>
      <c r="H6072" s="88"/>
      <c r="I6072" s="89"/>
      <c r="J6072" s="90"/>
      <c r="K6072" s="85"/>
      <c r="L6072" s="85"/>
      <c r="M6072" s="85"/>
      <c r="N6072" s="82"/>
      <c r="O6072" s="93"/>
    </row>
    <row r="6073" spans="1:15" ht="22.5" customHeight="1">
      <c r="A6073" s="85"/>
      <c r="B6073" s="82"/>
      <c r="C6073" s="82"/>
      <c r="D6073" s="82"/>
      <c r="E6073" s="82"/>
      <c r="F6073" s="92"/>
      <c r="G6073" s="87"/>
      <c r="H6073" s="88"/>
      <c r="I6073" s="89"/>
      <c r="J6073" s="90"/>
      <c r="K6073" s="85"/>
      <c r="L6073" s="85"/>
      <c r="M6073" s="85"/>
      <c r="N6073" s="82"/>
      <c r="O6073" s="93"/>
    </row>
    <row r="6074" spans="1:15" ht="22.5" customHeight="1">
      <c r="A6074" s="85"/>
      <c r="B6074" s="82"/>
      <c r="C6074" s="82"/>
      <c r="D6074" s="82"/>
      <c r="E6074" s="82"/>
      <c r="F6074" s="92"/>
      <c r="G6074" s="87"/>
      <c r="H6074" s="88"/>
      <c r="I6074" s="89"/>
      <c r="J6074" s="90"/>
      <c r="K6074" s="85"/>
      <c r="L6074" s="85"/>
      <c r="M6074" s="85"/>
      <c r="N6074" s="82"/>
      <c r="O6074" s="93"/>
    </row>
    <row r="6075" spans="1:15" ht="22.5" customHeight="1">
      <c r="A6075" s="85"/>
      <c r="B6075" s="82"/>
      <c r="C6075" s="82"/>
      <c r="D6075" s="82"/>
      <c r="E6075" s="82"/>
      <c r="F6075" s="92"/>
      <c r="G6075" s="87"/>
      <c r="H6075" s="88"/>
      <c r="I6075" s="89"/>
      <c r="J6075" s="90"/>
      <c r="K6075" s="85"/>
      <c r="L6075" s="85"/>
      <c r="M6075" s="85"/>
      <c r="N6075" s="82"/>
      <c r="O6075" s="93"/>
    </row>
    <row r="6076" spans="1:15" ht="22.5" customHeight="1">
      <c r="A6076" s="85"/>
      <c r="B6076" s="82"/>
      <c r="C6076" s="82"/>
      <c r="D6076" s="82"/>
      <c r="E6076" s="82"/>
      <c r="F6076" s="92"/>
      <c r="G6076" s="87"/>
      <c r="H6076" s="88"/>
      <c r="I6076" s="89"/>
      <c r="J6076" s="90"/>
      <c r="K6076" s="85"/>
      <c r="L6076" s="85"/>
      <c r="M6076" s="85"/>
      <c r="N6076" s="82"/>
      <c r="O6076" s="93"/>
    </row>
    <row r="6077" spans="1:15" ht="22.5" customHeight="1">
      <c r="A6077" s="85"/>
      <c r="B6077" s="82"/>
      <c r="C6077" s="82"/>
      <c r="D6077" s="82"/>
      <c r="E6077" s="82"/>
      <c r="F6077" s="92"/>
      <c r="G6077" s="87"/>
      <c r="H6077" s="88"/>
      <c r="I6077" s="89"/>
      <c r="J6077" s="90"/>
      <c r="K6077" s="85"/>
      <c r="L6077" s="85"/>
      <c r="M6077" s="85"/>
      <c r="N6077" s="82"/>
      <c r="O6077" s="93"/>
    </row>
    <row r="6078" spans="1:15" ht="22.5" customHeight="1">
      <c r="A6078" s="85"/>
      <c r="B6078" s="82"/>
      <c r="C6078" s="82"/>
      <c r="D6078" s="82"/>
      <c r="E6078" s="82"/>
      <c r="F6078" s="92"/>
      <c r="G6078" s="87"/>
      <c r="H6078" s="88"/>
      <c r="I6078" s="89"/>
      <c r="J6078" s="90"/>
      <c r="K6078" s="85"/>
      <c r="L6078" s="85"/>
      <c r="M6078" s="85"/>
      <c r="N6078" s="82"/>
      <c r="O6078" s="93"/>
    </row>
    <row r="6079" spans="1:15" ht="22.5" customHeight="1">
      <c r="A6079" s="85"/>
      <c r="B6079" s="82"/>
      <c r="C6079" s="82"/>
      <c r="D6079" s="82"/>
      <c r="E6079" s="82"/>
      <c r="F6079" s="92"/>
      <c r="G6079" s="87"/>
      <c r="H6079" s="88"/>
      <c r="I6079" s="89"/>
      <c r="J6079" s="90"/>
      <c r="K6079" s="85"/>
      <c r="L6079" s="85"/>
      <c r="M6079" s="85"/>
      <c r="N6079" s="82"/>
      <c r="O6079" s="93"/>
    </row>
    <row r="6080" spans="1:15" ht="22.5" customHeight="1">
      <c r="A6080" s="85"/>
      <c r="B6080" s="82"/>
      <c r="C6080" s="82"/>
      <c r="D6080" s="82"/>
      <c r="E6080" s="82"/>
      <c r="F6080" s="92"/>
      <c r="G6080" s="87"/>
      <c r="H6080" s="88"/>
      <c r="I6080" s="89"/>
      <c r="J6080" s="90"/>
      <c r="K6080" s="85"/>
      <c r="L6080" s="85"/>
      <c r="M6080" s="85"/>
      <c r="N6080" s="82"/>
      <c r="O6080" s="93"/>
    </row>
    <row r="6081" spans="1:15" ht="22.5" customHeight="1">
      <c r="A6081" s="85"/>
      <c r="B6081" s="82"/>
      <c r="C6081" s="82"/>
      <c r="D6081" s="82"/>
      <c r="E6081" s="82"/>
      <c r="F6081" s="92"/>
      <c r="G6081" s="87"/>
      <c r="H6081" s="88"/>
      <c r="I6081" s="89"/>
      <c r="J6081" s="90"/>
      <c r="K6081" s="85"/>
      <c r="L6081" s="85"/>
      <c r="M6081" s="85"/>
      <c r="N6081" s="82"/>
      <c r="O6081" s="93"/>
    </row>
    <row r="6082" spans="1:15" ht="22.5" customHeight="1">
      <c r="A6082" s="85"/>
      <c r="B6082" s="82"/>
      <c r="C6082" s="82"/>
      <c r="D6082" s="82"/>
      <c r="E6082" s="82"/>
      <c r="F6082" s="92"/>
      <c r="G6082" s="87"/>
      <c r="H6082" s="88"/>
      <c r="I6082" s="89"/>
      <c r="J6082" s="90"/>
      <c r="K6082" s="85"/>
      <c r="L6082" s="85"/>
      <c r="M6082" s="85"/>
      <c r="N6082" s="82"/>
      <c r="O6082" s="93"/>
    </row>
    <row r="6083" spans="1:15" ht="22.5" customHeight="1">
      <c r="A6083" s="85"/>
      <c r="B6083" s="82"/>
      <c r="C6083" s="82"/>
      <c r="D6083" s="82"/>
      <c r="E6083" s="82"/>
      <c r="F6083" s="92"/>
      <c r="G6083" s="87"/>
      <c r="H6083" s="88"/>
      <c r="I6083" s="89"/>
      <c r="J6083" s="90"/>
      <c r="K6083" s="85"/>
      <c r="L6083" s="85"/>
      <c r="M6083" s="85"/>
      <c r="N6083" s="82"/>
      <c r="O6083" s="93"/>
    </row>
    <row r="6084" spans="1:15" ht="22.5" customHeight="1">
      <c r="A6084" s="85"/>
      <c r="B6084" s="82"/>
      <c r="C6084" s="82"/>
      <c r="D6084" s="82"/>
      <c r="E6084" s="82"/>
      <c r="F6084" s="92"/>
      <c r="G6084" s="87"/>
      <c r="H6084" s="88"/>
      <c r="I6084" s="89"/>
      <c r="J6084" s="90"/>
      <c r="K6084" s="85"/>
      <c r="L6084" s="85"/>
      <c r="M6084" s="85"/>
      <c r="N6084" s="82"/>
      <c r="O6084" s="93"/>
    </row>
    <row r="6085" spans="1:15" ht="22.5" customHeight="1">
      <c r="A6085" s="85"/>
      <c r="B6085" s="82"/>
      <c r="C6085" s="82"/>
      <c r="D6085" s="82"/>
      <c r="E6085" s="82"/>
      <c r="F6085" s="92"/>
      <c r="G6085" s="87"/>
      <c r="H6085" s="88"/>
      <c r="I6085" s="89"/>
      <c r="J6085" s="90"/>
      <c r="K6085" s="85"/>
      <c r="L6085" s="85"/>
      <c r="M6085" s="85"/>
      <c r="N6085" s="82"/>
      <c r="O6085" s="93"/>
    </row>
    <row r="6086" spans="1:15" ht="22.5" customHeight="1">
      <c r="A6086" s="85"/>
      <c r="B6086" s="82"/>
      <c r="C6086" s="82"/>
      <c r="D6086" s="82"/>
      <c r="E6086" s="82"/>
      <c r="F6086" s="92"/>
      <c r="G6086" s="87"/>
      <c r="H6086" s="88"/>
      <c r="I6086" s="89"/>
      <c r="J6086" s="90"/>
      <c r="K6086" s="85"/>
      <c r="L6086" s="85"/>
      <c r="M6086" s="85"/>
      <c r="N6086" s="82"/>
      <c r="O6086" s="93"/>
    </row>
    <row r="6087" spans="1:15" ht="22.5" customHeight="1">
      <c r="A6087" s="85"/>
      <c r="B6087" s="82"/>
      <c r="C6087" s="82"/>
      <c r="D6087" s="82"/>
      <c r="E6087" s="82"/>
      <c r="F6087" s="92"/>
      <c r="G6087" s="87"/>
      <c r="H6087" s="88"/>
      <c r="I6087" s="89"/>
      <c r="J6087" s="90"/>
      <c r="K6087" s="85"/>
      <c r="L6087" s="85"/>
      <c r="M6087" s="85"/>
      <c r="N6087" s="82"/>
      <c r="O6087" s="93"/>
    </row>
    <row r="6088" spans="1:15" ht="22.5" customHeight="1">
      <c r="A6088" s="85"/>
      <c r="B6088" s="82"/>
      <c r="C6088" s="82"/>
      <c r="D6088" s="82"/>
      <c r="E6088" s="82"/>
      <c r="F6088" s="92"/>
      <c r="G6088" s="87"/>
      <c r="H6088" s="88"/>
      <c r="I6088" s="89"/>
      <c r="J6088" s="90"/>
      <c r="K6088" s="85"/>
      <c r="L6088" s="85"/>
      <c r="M6088" s="85"/>
      <c r="N6088" s="82"/>
      <c r="O6088" s="93"/>
    </row>
    <row r="6089" spans="1:15" ht="22.5" customHeight="1">
      <c r="A6089" s="85"/>
      <c r="B6089" s="82"/>
      <c r="C6089" s="82"/>
      <c r="D6089" s="82"/>
      <c r="E6089" s="82"/>
      <c r="F6089" s="92"/>
      <c r="G6089" s="87"/>
      <c r="H6089" s="88"/>
      <c r="I6089" s="89"/>
      <c r="J6089" s="90"/>
      <c r="K6089" s="85"/>
      <c r="L6089" s="85"/>
      <c r="M6089" s="85"/>
      <c r="N6089" s="82"/>
      <c r="O6089" s="93"/>
    </row>
    <row r="6090" spans="1:15" ht="22.5" customHeight="1">
      <c r="A6090" s="85"/>
      <c r="B6090" s="82"/>
      <c r="C6090" s="82"/>
      <c r="D6090" s="82"/>
      <c r="E6090" s="82"/>
      <c r="F6090" s="92"/>
      <c r="G6090" s="87"/>
      <c r="H6090" s="88"/>
      <c r="I6090" s="89"/>
      <c r="J6090" s="90"/>
      <c r="K6090" s="85"/>
      <c r="L6090" s="85"/>
      <c r="M6090" s="85"/>
      <c r="N6090" s="82"/>
      <c r="O6090" s="93"/>
    </row>
    <row r="6091" spans="1:15" ht="22.5" customHeight="1">
      <c r="A6091" s="85"/>
      <c r="B6091" s="82"/>
      <c r="C6091" s="82"/>
      <c r="D6091" s="82"/>
      <c r="E6091" s="82"/>
      <c r="F6091" s="92"/>
      <c r="G6091" s="87"/>
      <c r="H6091" s="88"/>
      <c r="I6091" s="89"/>
      <c r="J6091" s="90"/>
      <c r="K6091" s="85"/>
      <c r="L6091" s="85"/>
      <c r="M6091" s="85"/>
      <c r="N6091" s="82"/>
      <c r="O6091" s="93"/>
    </row>
    <row r="6092" spans="1:15" ht="22.5" customHeight="1">
      <c r="A6092" s="85"/>
      <c r="B6092" s="82"/>
      <c r="C6092" s="82"/>
      <c r="D6092" s="82"/>
      <c r="E6092" s="82"/>
      <c r="F6092" s="92"/>
      <c r="G6092" s="87"/>
      <c r="H6092" s="88"/>
      <c r="I6092" s="89"/>
      <c r="J6092" s="90"/>
      <c r="K6092" s="85"/>
      <c r="L6092" s="85"/>
      <c r="M6092" s="85"/>
      <c r="N6092" s="82"/>
      <c r="O6092" s="93"/>
    </row>
    <row r="6093" spans="1:15" ht="22.5" customHeight="1">
      <c r="A6093" s="85"/>
      <c r="B6093" s="82"/>
      <c r="C6093" s="82"/>
      <c r="D6093" s="82"/>
      <c r="E6093" s="82"/>
      <c r="F6093" s="92"/>
      <c r="G6093" s="87"/>
      <c r="H6093" s="88"/>
      <c r="I6093" s="89"/>
      <c r="J6093" s="90"/>
      <c r="K6093" s="85"/>
      <c r="L6093" s="85"/>
      <c r="M6093" s="85"/>
      <c r="N6093" s="82"/>
      <c r="O6093" s="93"/>
    </row>
    <row r="6094" spans="1:15" ht="22.5" customHeight="1">
      <c r="A6094" s="85"/>
      <c r="B6094" s="82"/>
      <c r="C6094" s="82"/>
      <c r="D6094" s="82"/>
      <c r="E6094" s="82"/>
      <c r="F6094" s="92"/>
      <c r="G6094" s="87"/>
      <c r="H6094" s="88"/>
      <c r="I6094" s="89"/>
      <c r="J6094" s="90"/>
      <c r="K6094" s="85"/>
      <c r="L6094" s="85"/>
      <c r="M6094" s="85"/>
      <c r="N6094" s="82"/>
      <c r="O6094" s="93"/>
    </row>
    <row r="6095" spans="1:15" ht="22.5" customHeight="1">
      <c r="A6095" s="85"/>
      <c r="B6095" s="82"/>
      <c r="C6095" s="82"/>
      <c r="D6095" s="82"/>
      <c r="E6095" s="82"/>
      <c r="F6095" s="92"/>
      <c r="G6095" s="87"/>
      <c r="H6095" s="88"/>
      <c r="I6095" s="89"/>
      <c r="J6095" s="90"/>
      <c r="K6095" s="85"/>
      <c r="L6095" s="85"/>
      <c r="M6095" s="85"/>
      <c r="N6095" s="82"/>
      <c r="O6095" s="93"/>
    </row>
    <row r="6096" spans="1:15" ht="22.5" customHeight="1">
      <c r="A6096" s="85"/>
      <c r="B6096" s="82"/>
      <c r="C6096" s="82"/>
      <c r="D6096" s="82"/>
      <c r="E6096" s="82"/>
      <c r="F6096" s="92"/>
      <c r="G6096" s="87"/>
      <c r="H6096" s="88"/>
      <c r="I6096" s="89"/>
      <c r="J6096" s="90"/>
      <c r="K6096" s="85"/>
      <c r="L6096" s="85"/>
      <c r="M6096" s="85"/>
      <c r="N6096" s="82"/>
      <c r="O6096" s="93"/>
    </row>
    <row r="6097" spans="1:15" ht="22.5" customHeight="1">
      <c r="A6097" s="85"/>
      <c r="B6097" s="82"/>
      <c r="C6097" s="82"/>
      <c r="D6097" s="82"/>
      <c r="E6097" s="82"/>
      <c r="F6097" s="92"/>
      <c r="G6097" s="87"/>
      <c r="H6097" s="88"/>
      <c r="I6097" s="89"/>
      <c r="J6097" s="90"/>
      <c r="K6097" s="85"/>
      <c r="L6097" s="85"/>
      <c r="M6097" s="85"/>
      <c r="N6097" s="82"/>
      <c r="O6097" s="93"/>
    </row>
    <row r="6098" spans="1:15" ht="22.5" customHeight="1">
      <c r="A6098" s="85"/>
      <c r="B6098" s="82"/>
      <c r="C6098" s="82"/>
      <c r="D6098" s="82"/>
      <c r="E6098" s="82"/>
      <c r="F6098" s="92"/>
      <c r="G6098" s="87"/>
      <c r="H6098" s="88"/>
      <c r="I6098" s="89"/>
      <c r="J6098" s="90"/>
      <c r="K6098" s="85"/>
      <c r="L6098" s="85"/>
      <c r="M6098" s="85"/>
      <c r="N6098" s="82"/>
      <c r="O6098" s="93"/>
    </row>
    <row r="6099" spans="1:15" ht="22.5" customHeight="1">
      <c r="A6099" s="85"/>
      <c r="B6099" s="82"/>
      <c r="C6099" s="82"/>
      <c r="D6099" s="82"/>
      <c r="E6099" s="82"/>
      <c r="F6099" s="92"/>
      <c r="G6099" s="87"/>
      <c r="H6099" s="88"/>
      <c r="I6099" s="89"/>
      <c r="J6099" s="90"/>
      <c r="K6099" s="85"/>
      <c r="L6099" s="85"/>
      <c r="M6099" s="85"/>
      <c r="N6099" s="82"/>
      <c r="O6099" s="93"/>
    </row>
    <row r="6100" spans="1:15" ht="22.5" customHeight="1">
      <c r="A6100" s="85"/>
      <c r="B6100" s="82"/>
      <c r="C6100" s="82"/>
      <c r="D6100" s="82"/>
      <c r="E6100" s="82"/>
      <c r="F6100" s="92"/>
      <c r="G6100" s="87"/>
      <c r="H6100" s="88"/>
      <c r="I6100" s="89"/>
      <c r="J6100" s="90"/>
      <c r="K6100" s="85"/>
      <c r="L6100" s="85"/>
      <c r="M6100" s="85"/>
      <c r="N6100" s="82"/>
      <c r="O6100" s="93"/>
    </row>
    <row r="6101" spans="1:15" ht="22.5" customHeight="1">
      <c r="A6101" s="85"/>
      <c r="B6101" s="82"/>
      <c r="C6101" s="82"/>
      <c r="D6101" s="82"/>
      <c r="E6101" s="82"/>
      <c r="F6101" s="92"/>
      <c r="G6101" s="87"/>
      <c r="H6101" s="88"/>
      <c r="I6101" s="89"/>
      <c r="J6101" s="90"/>
      <c r="K6101" s="85"/>
      <c r="L6101" s="85"/>
      <c r="M6101" s="85"/>
      <c r="N6101" s="82"/>
      <c r="O6101" s="93"/>
    </row>
    <row r="6102" spans="1:15" ht="22.5" customHeight="1">
      <c r="A6102" s="85"/>
      <c r="B6102" s="82"/>
      <c r="C6102" s="82"/>
      <c r="D6102" s="82"/>
      <c r="E6102" s="82"/>
      <c r="F6102" s="92"/>
      <c r="G6102" s="87"/>
      <c r="H6102" s="88"/>
      <c r="I6102" s="89"/>
      <c r="J6102" s="90"/>
      <c r="K6102" s="85"/>
      <c r="L6102" s="85"/>
      <c r="M6102" s="85"/>
      <c r="N6102" s="82"/>
      <c r="O6102" s="93"/>
    </row>
    <row r="6103" spans="1:15" ht="22.5" customHeight="1">
      <c r="A6103" s="85"/>
      <c r="B6103" s="82"/>
      <c r="C6103" s="82"/>
      <c r="D6103" s="82"/>
      <c r="E6103" s="82"/>
      <c r="F6103" s="92"/>
      <c r="G6103" s="87"/>
      <c r="H6103" s="88"/>
      <c r="I6103" s="89"/>
      <c r="J6103" s="90"/>
      <c r="K6103" s="85"/>
      <c r="L6103" s="85"/>
      <c r="M6103" s="85"/>
      <c r="N6103" s="82"/>
      <c r="O6103" s="93"/>
    </row>
    <row r="6104" spans="1:15" ht="22.5" customHeight="1">
      <c r="A6104" s="85"/>
      <c r="B6104" s="82"/>
      <c r="C6104" s="82"/>
      <c r="D6104" s="82"/>
      <c r="E6104" s="82"/>
      <c r="F6104" s="92"/>
      <c r="G6104" s="87"/>
      <c r="H6104" s="88"/>
      <c r="I6104" s="89"/>
      <c r="J6104" s="90"/>
      <c r="K6104" s="85"/>
      <c r="L6104" s="85"/>
      <c r="M6104" s="85"/>
      <c r="N6104" s="82"/>
      <c r="O6104" s="93"/>
    </row>
    <row r="6105" spans="1:15" ht="22.5" customHeight="1">
      <c r="A6105" s="85"/>
      <c r="B6105" s="82"/>
      <c r="C6105" s="82"/>
      <c r="D6105" s="82"/>
      <c r="E6105" s="82"/>
      <c r="F6105" s="92"/>
      <c r="G6105" s="87"/>
      <c r="H6105" s="88"/>
      <c r="I6105" s="89"/>
      <c r="J6105" s="90"/>
      <c r="K6105" s="85"/>
      <c r="L6105" s="85"/>
      <c r="M6105" s="85"/>
      <c r="N6105" s="82"/>
      <c r="O6105" s="93"/>
    </row>
    <row r="6106" spans="1:15" ht="22.5" customHeight="1">
      <c r="A6106" s="85"/>
      <c r="B6106" s="82"/>
      <c r="C6106" s="82"/>
      <c r="D6106" s="82"/>
      <c r="E6106" s="82"/>
      <c r="F6106" s="92"/>
      <c r="G6106" s="87"/>
      <c r="H6106" s="88"/>
      <c r="I6106" s="89"/>
      <c r="J6106" s="90"/>
      <c r="K6106" s="85"/>
      <c r="L6106" s="85"/>
      <c r="M6106" s="85"/>
      <c r="N6106" s="82"/>
      <c r="O6106" s="93"/>
    </row>
    <row r="6107" spans="1:15" ht="22.5" customHeight="1">
      <c r="A6107" s="85"/>
      <c r="B6107" s="82"/>
      <c r="C6107" s="82"/>
      <c r="D6107" s="82"/>
      <c r="E6107" s="82"/>
      <c r="F6107" s="92"/>
      <c r="G6107" s="87"/>
      <c r="H6107" s="88"/>
      <c r="I6107" s="89"/>
      <c r="J6107" s="90"/>
      <c r="K6107" s="85"/>
      <c r="L6107" s="85"/>
      <c r="M6107" s="85"/>
      <c r="N6107" s="82"/>
      <c r="O6107" s="93"/>
    </row>
    <row r="6108" spans="1:15" ht="22.5" customHeight="1">
      <c r="A6108" s="85"/>
      <c r="B6108" s="82"/>
      <c r="C6108" s="82"/>
      <c r="D6108" s="82"/>
      <c r="E6108" s="82"/>
      <c r="F6108" s="92"/>
      <c r="G6108" s="87"/>
      <c r="H6108" s="88"/>
      <c r="I6108" s="89"/>
      <c r="J6108" s="90"/>
      <c r="K6108" s="85"/>
      <c r="L6108" s="85"/>
      <c r="M6108" s="85"/>
      <c r="N6108" s="82"/>
      <c r="O6108" s="93"/>
    </row>
    <row r="6109" spans="1:15" ht="22.5" customHeight="1">
      <c r="A6109" s="85"/>
      <c r="B6109" s="82"/>
      <c r="C6109" s="82"/>
      <c r="D6109" s="82"/>
      <c r="E6109" s="82"/>
      <c r="F6109" s="92"/>
      <c r="G6109" s="87"/>
      <c r="H6109" s="88"/>
      <c r="I6109" s="89"/>
      <c r="J6109" s="90"/>
      <c r="K6109" s="85"/>
      <c r="L6109" s="85"/>
      <c r="M6109" s="85"/>
      <c r="N6109" s="82"/>
      <c r="O6109" s="93"/>
    </row>
    <row r="6110" spans="1:15" ht="22.5" customHeight="1">
      <c r="A6110" s="85"/>
      <c r="B6110" s="82"/>
      <c r="C6110" s="82"/>
      <c r="D6110" s="82"/>
      <c r="E6110" s="82"/>
      <c r="F6110" s="92"/>
      <c r="G6110" s="87"/>
      <c r="H6110" s="88"/>
      <c r="I6110" s="89"/>
      <c r="J6110" s="90"/>
      <c r="K6110" s="85"/>
      <c r="L6110" s="85"/>
      <c r="M6110" s="85"/>
      <c r="N6110" s="82"/>
      <c r="O6110" s="93"/>
    </row>
    <row r="6111" spans="1:15" ht="22.5" customHeight="1">
      <c r="A6111" s="85"/>
      <c r="B6111" s="82"/>
      <c r="C6111" s="82"/>
      <c r="D6111" s="82"/>
      <c r="E6111" s="82"/>
      <c r="F6111" s="92"/>
      <c r="G6111" s="87"/>
      <c r="H6111" s="88"/>
      <c r="I6111" s="89"/>
      <c r="J6111" s="90"/>
      <c r="K6111" s="85"/>
      <c r="L6111" s="85"/>
      <c r="M6111" s="85"/>
      <c r="N6111" s="82"/>
      <c r="O6111" s="93"/>
    </row>
    <row r="6112" spans="1:15" ht="22.5" customHeight="1">
      <c r="A6112" s="85"/>
      <c r="B6112" s="82"/>
      <c r="C6112" s="82"/>
      <c r="D6112" s="82"/>
      <c r="E6112" s="82"/>
      <c r="F6112" s="92"/>
      <c r="G6112" s="87"/>
      <c r="H6112" s="88"/>
      <c r="I6112" s="89"/>
      <c r="J6112" s="90"/>
      <c r="K6112" s="85"/>
      <c r="L6112" s="85"/>
      <c r="M6112" s="85"/>
      <c r="N6112" s="82"/>
      <c r="O6112" s="93"/>
    </row>
    <row r="6113" spans="1:15" ht="22.5" customHeight="1">
      <c r="A6113" s="85"/>
      <c r="B6113" s="82"/>
      <c r="C6113" s="82"/>
      <c r="D6113" s="82"/>
      <c r="E6113" s="82"/>
      <c r="F6113" s="92"/>
      <c r="G6113" s="87"/>
      <c r="H6113" s="88"/>
      <c r="I6113" s="89"/>
      <c r="J6113" s="90"/>
      <c r="K6113" s="85"/>
      <c r="L6113" s="85"/>
      <c r="M6113" s="85"/>
      <c r="N6113" s="82"/>
      <c r="O6113" s="93"/>
    </row>
    <row r="6114" spans="1:15" ht="22.5" customHeight="1">
      <c r="A6114" s="85"/>
      <c r="B6114" s="82"/>
      <c r="C6114" s="82"/>
      <c r="D6114" s="82"/>
      <c r="E6114" s="82"/>
      <c r="F6114" s="92"/>
      <c r="G6114" s="87"/>
      <c r="H6114" s="88"/>
      <c r="I6114" s="89"/>
      <c r="J6114" s="90"/>
      <c r="K6114" s="85"/>
      <c r="L6114" s="85"/>
      <c r="M6114" s="85"/>
      <c r="N6114" s="82"/>
      <c r="O6114" s="93"/>
    </row>
    <row r="6115" spans="1:15" ht="22.5" customHeight="1">
      <c r="A6115" s="85"/>
      <c r="B6115" s="82"/>
      <c r="C6115" s="82"/>
      <c r="D6115" s="82"/>
      <c r="E6115" s="82"/>
      <c r="F6115" s="92"/>
      <c r="G6115" s="87"/>
      <c r="H6115" s="88"/>
      <c r="I6115" s="89"/>
      <c r="J6115" s="90"/>
      <c r="K6115" s="85"/>
      <c r="L6115" s="85"/>
      <c r="M6115" s="85"/>
      <c r="N6115" s="82"/>
      <c r="O6115" s="93"/>
    </row>
    <row r="6116" spans="1:15" ht="22.5" customHeight="1">
      <c r="A6116" s="85"/>
      <c r="B6116" s="82"/>
      <c r="C6116" s="82"/>
      <c r="D6116" s="82"/>
      <c r="E6116" s="82"/>
      <c r="F6116" s="92"/>
      <c r="G6116" s="87"/>
      <c r="H6116" s="88"/>
      <c r="I6116" s="89"/>
      <c r="J6116" s="90"/>
      <c r="K6116" s="85"/>
      <c r="L6116" s="85"/>
      <c r="M6116" s="85"/>
      <c r="N6116" s="82"/>
      <c r="O6116" s="93"/>
    </row>
    <row r="6117" spans="1:15" ht="22.5" customHeight="1">
      <c r="A6117" s="85"/>
      <c r="B6117" s="82"/>
      <c r="C6117" s="82"/>
      <c r="D6117" s="82"/>
      <c r="E6117" s="82"/>
      <c r="F6117" s="92"/>
      <c r="G6117" s="87"/>
      <c r="H6117" s="88"/>
      <c r="I6117" s="89"/>
      <c r="J6117" s="90"/>
      <c r="K6117" s="85"/>
      <c r="L6117" s="85"/>
      <c r="M6117" s="85"/>
      <c r="N6117" s="82"/>
      <c r="O6117" s="93"/>
    </row>
    <row r="6118" spans="1:15" ht="22.5" customHeight="1">
      <c r="A6118" s="85"/>
      <c r="B6118" s="82"/>
      <c r="C6118" s="82"/>
      <c r="D6118" s="82"/>
      <c r="E6118" s="82"/>
      <c r="F6118" s="92"/>
      <c r="G6118" s="87"/>
      <c r="H6118" s="88"/>
      <c r="I6118" s="89"/>
      <c r="J6118" s="90"/>
      <c r="K6118" s="85"/>
      <c r="L6118" s="85"/>
      <c r="M6118" s="85"/>
      <c r="N6118" s="82"/>
      <c r="O6118" s="93"/>
    </row>
    <row r="6119" spans="1:15" ht="22.5" customHeight="1">
      <c r="A6119" s="85"/>
      <c r="B6119" s="82"/>
      <c r="C6119" s="82"/>
      <c r="D6119" s="82"/>
      <c r="E6119" s="82"/>
      <c r="F6119" s="92"/>
      <c r="G6119" s="87"/>
      <c r="H6119" s="88"/>
      <c r="I6119" s="89"/>
      <c r="J6119" s="90"/>
      <c r="K6119" s="85"/>
      <c r="L6119" s="85"/>
      <c r="M6119" s="85"/>
      <c r="N6119" s="82"/>
      <c r="O6119" s="93"/>
    </row>
    <row r="6120" spans="1:15" ht="22.5" customHeight="1">
      <c r="A6120" s="85"/>
      <c r="B6120" s="82"/>
      <c r="C6120" s="82"/>
      <c r="D6120" s="82"/>
      <c r="E6120" s="82"/>
      <c r="F6120" s="92"/>
      <c r="G6120" s="87"/>
      <c r="H6120" s="88"/>
      <c r="I6120" s="89"/>
      <c r="J6120" s="90"/>
      <c r="K6120" s="85"/>
      <c r="L6120" s="85"/>
      <c r="M6120" s="85"/>
      <c r="N6120" s="82"/>
      <c r="O6120" s="93"/>
    </row>
    <row r="6121" spans="1:15" ht="22.5" customHeight="1">
      <c r="A6121" s="85"/>
      <c r="B6121" s="82"/>
      <c r="C6121" s="82"/>
      <c r="D6121" s="82"/>
      <c r="E6121" s="82"/>
      <c r="F6121" s="92"/>
      <c r="G6121" s="87"/>
      <c r="H6121" s="88"/>
      <c r="I6121" s="89"/>
      <c r="J6121" s="90"/>
      <c r="K6121" s="85"/>
      <c r="L6121" s="85"/>
      <c r="M6121" s="85"/>
      <c r="N6121" s="82"/>
      <c r="O6121" s="93"/>
    </row>
    <row r="6122" spans="1:15" ht="22.5" customHeight="1">
      <c r="A6122" s="85"/>
      <c r="B6122" s="82"/>
      <c r="C6122" s="82"/>
      <c r="D6122" s="82"/>
      <c r="E6122" s="82"/>
      <c r="F6122" s="92"/>
      <c r="G6122" s="87"/>
      <c r="H6122" s="88"/>
      <c r="I6122" s="89"/>
      <c r="J6122" s="90"/>
      <c r="K6122" s="85"/>
      <c r="L6122" s="85"/>
      <c r="M6122" s="85"/>
      <c r="N6122" s="82"/>
      <c r="O6122" s="93"/>
    </row>
    <row r="6123" spans="1:15" ht="22.5" customHeight="1">
      <c r="A6123" s="85"/>
      <c r="B6123" s="82"/>
      <c r="C6123" s="82"/>
      <c r="D6123" s="82"/>
      <c r="E6123" s="82"/>
      <c r="F6123" s="92"/>
      <c r="G6123" s="87"/>
      <c r="H6123" s="88"/>
      <c r="I6123" s="89"/>
      <c r="J6123" s="90"/>
      <c r="K6123" s="85"/>
      <c r="L6123" s="85"/>
      <c r="M6123" s="85"/>
      <c r="N6123" s="82"/>
      <c r="O6123" s="93"/>
    </row>
    <row r="6124" spans="1:15" ht="22.5" customHeight="1">
      <c r="A6124" s="85"/>
      <c r="B6124" s="82"/>
      <c r="C6124" s="82"/>
      <c r="D6124" s="82"/>
      <c r="E6124" s="82"/>
      <c r="F6124" s="92"/>
      <c r="G6124" s="87"/>
      <c r="H6124" s="88"/>
      <c r="I6124" s="89"/>
      <c r="J6124" s="90"/>
      <c r="K6124" s="85"/>
      <c r="L6124" s="85"/>
      <c r="M6124" s="85"/>
      <c r="N6124" s="82"/>
      <c r="O6124" s="93"/>
    </row>
    <row r="6125" spans="1:15" ht="22.5" customHeight="1">
      <c r="A6125" s="85"/>
      <c r="B6125" s="82"/>
      <c r="C6125" s="82"/>
      <c r="D6125" s="82"/>
      <c r="E6125" s="82"/>
      <c r="F6125" s="92"/>
      <c r="G6125" s="87"/>
      <c r="H6125" s="88"/>
      <c r="I6125" s="89"/>
      <c r="J6125" s="90"/>
      <c r="K6125" s="85"/>
      <c r="L6125" s="85"/>
      <c r="M6125" s="85"/>
      <c r="N6125" s="82"/>
      <c r="O6125" s="93"/>
    </row>
    <row r="6126" spans="1:15" ht="22.5" customHeight="1">
      <c r="A6126" s="85"/>
      <c r="B6126" s="82"/>
      <c r="C6126" s="82"/>
      <c r="D6126" s="82"/>
      <c r="E6126" s="82"/>
      <c r="F6126" s="92"/>
      <c r="G6126" s="87"/>
      <c r="H6126" s="88"/>
      <c r="I6126" s="89"/>
      <c r="J6126" s="90"/>
      <c r="K6126" s="85"/>
      <c r="L6126" s="85"/>
      <c r="M6126" s="85"/>
      <c r="N6126" s="82"/>
      <c r="O6126" s="93"/>
    </row>
    <row r="6127" spans="1:15" ht="22.5" customHeight="1">
      <c r="A6127" s="85"/>
      <c r="B6127" s="82"/>
      <c r="C6127" s="82"/>
      <c r="D6127" s="82"/>
      <c r="E6127" s="82"/>
      <c r="F6127" s="92"/>
      <c r="G6127" s="87"/>
      <c r="H6127" s="88"/>
      <c r="I6127" s="89"/>
      <c r="J6127" s="90"/>
      <c r="K6127" s="85"/>
      <c r="L6127" s="85"/>
      <c r="M6127" s="85"/>
      <c r="N6127" s="82"/>
      <c r="O6127" s="93"/>
    </row>
    <row r="6128" spans="1:15" ht="22.5" customHeight="1">
      <c r="A6128" s="85"/>
      <c r="B6128" s="82"/>
      <c r="C6128" s="82"/>
      <c r="D6128" s="82"/>
      <c r="E6128" s="82"/>
      <c r="F6128" s="92"/>
      <c r="G6128" s="87"/>
      <c r="H6128" s="88"/>
      <c r="I6128" s="89"/>
      <c r="J6128" s="90"/>
      <c r="K6128" s="85"/>
      <c r="L6128" s="85"/>
      <c r="M6128" s="85"/>
      <c r="N6128" s="82"/>
      <c r="O6128" s="93"/>
    </row>
    <row r="6129" spans="1:15" ht="22.5" customHeight="1">
      <c r="A6129" s="85"/>
      <c r="B6129" s="82"/>
      <c r="C6129" s="82"/>
      <c r="D6129" s="82"/>
      <c r="E6129" s="82"/>
      <c r="F6129" s="92"/>
      <c r="G6129" s="87"/>
      <c r="H6129" s="88"/>
      <c r="I6129" s="89"/>
      <c r="J6129" s="90"/>
      <c r="K6129" s="85"/>
      <c r="L6129" s="85"/>
      <c r="M6129" s="85"/>
      <c r="N6129" s="82"/>
      <c r="O6129" s="93"/>
    </row>
    <row r="6130" spans="1:15" ht="22.5" customHeight="1">
      <c r="A6130" s="85"/>
      <c r="B6130" s="82"/>
      <c r="C6130" s="82"/>
      <c r="D6130" s="82"/>
      <c r="E6130" s="82"/>
      <c r="F6130" s="92"/>
      <c r="G6130" s="87"/>
      <c r="H6130" s="88"/>
      <c r="I6130" s="89"/>
      <c r="J6130" s="90"/>
      <c r="K6130" s="85"/>
      <c r="L6130" s="85"/>
      <c r="M6130" s="85"/>
      <c r="N6130" s="82"/>
      <c r="O6130" s="93"/>
    </row>
    <row r="6131" spans="1:15" ht="22.5" customHeight="1">
      <c r="A6131" s="85"/>
      <c r="B6131" s="82"/>
      <c r="C6131" s="82"/>
      <c r="D6131" s="82"/>
      <c r="E6131" s="82"/>
      <c r="F6131" s="92"/>
      <c r="G6131" s="87"/>
      <c r="H6131" s="88"/>
      <c r="I6131" s="89"/>
      <c r="J6131" s="90"/>
      <c r="K6131" s="85"/>
      <c r="L6131" s="85"/>
      <c r="M6131" s="85"/>
      <c r="N6131" s="82"/>
      <c r="O6131" s="93"/>
    </row>
    <row r="6132" spans="1:15" ht="22.5" customHeight="1">
      <c r="A6132" s="85"/>
      <c r="B6132" s="82"/>
      <c r="C6132" s="82"/>
      <c r="D6132" s="82"/>
      <c r="E6132" s="82"/>
      <c r="F6132" s="92"/>
      <c r="G6132" s="87"/>
      <c r="H6132" s="88"/>
      <c r="I6132" s="89"/>
      <c r="J6132" s="90"/>
      <c r="K6132" s="85"/>
      <c r="L6132" s="85"/>
      <c r="M6132" s="85"/>
      <c r="N6132" s="82"/>
      <c r="O6132" s="93"/>
    </row>
    <row r="6133" spans="1:15" ht="22.5" customHeight="1">
      <c r="A6133" s="85"/>
      <c r="B6133" s="82"/>
      <c r="C6133" s="82"/>
      <c r="D6133" s="82"/>
      <c r="E6133" s="82"/>
      <c r="F6133" s="92"/>
      <c r="G6133" s="87"/>
      <c r="H6133" s="88"/>
      <c r="I6133" s="89"/>
      <c r="J6133" s="90"/>
      <c r="K6133" s="85"/>
      <c r="L6133" s="85"/>
      <c r="M6133" s="85"/>
      <c r="N6133" s="82"/>
      <c r="O6133" s="93"/>
    </row>
    <row r="6134" spans="1:15" ht="22.5" customHeight="1">
      <c r="A6134" s="85"/>
      <c r="B6134" s="82"/>
      <c r="C6134" s="82"/>
      <c r="D6134" s="82"/>
      <c r="E6134" s="82"/>
      <c r="F6134" s="92"/>
      <c r="G6134" s="87"/>
      <c r="H6134" s="88"/>
      <c r="I6134" s="89"/>
      <c r="J6134" s="90"/>
      <c r="K6134" s="85"/>
      <c r="L6134" s="85"/>
      <c r="M6134" s="85"/>
      <c r="N6134" s="82"/>
      <c r="O6134" s="93"/>
    </row>
    <row r="6135" spans="1:15" ht="22.5" customHeight="1">
      <c r="A6135" s="85"/>
      <c r="B6135" s="82"/>
      <c r="C6135" s="82"/>
      <c r="D6135" s="82"/>
      <c r="E6135" s="82"/>
      <c r="F6135" s="92"/>
      <c r="G6135" s="87"/>
      <c r="H6135" s="88"/>
      <c r="I6135" s="89"/>
      <c r="J6135" s="90"/>
      <c r="K6135" s="85"/>
      <c r="L6135" s="85"/>
      <c r="M6135" s="85"/>
      <c r="N6135" s="82"/>
      <c r="O6135" s="93"/>
    </row>
    <row r="6136" spans="1:15" ht="22.5" customHeight="1">
      <c r="A6136" s="85"/>
      <c r="B6136" s="82"/>
      <c r="C6136" s="82"/>
      <c r="D6136" s="82"/>
      <c r="E6136" s="82"/>
      <c r="F6136" s="92"/>
      <c r="G6136" s="87"/>
      <c r="H6136" s="88"/>
      <c r="I6136" s="89"/>
      <c r="J6136" s="90"/>
      <c r="K6136" s="85"/>
      <c r="L6136" s="85"/>
      <c r="M6136" s="85"/>
      <c r="N6136" s="82"/>
      <c r="O6136" s="93"/>
    </row>
    <row r="6137" spans="1:15" ht="22.5" customHeight="1">
      <c r="A6137" s="85"/>
      <c r="B6137" s="82"/>
      <c r="C6137" s="82"/>
      <c r="D6137" s="82"/>
      <c r="E6137" s="82"/>
      <c r="F6137" s="92"/>
      <c r="G6137" s="87"/>
      <c r="H6137" s="88"/>
      <c r="I6137" s="89"/>
      <c r="J6137" s="90"/>
      <c r="K6137" s="85"/>
      <c r="L6137" s="85"/>
      <c r="M6137" s="85"/>
      <c r="N6137" s="82"/>
      <c r="O6137" s="93"/>
    </row>
    <row r="6138" spans="1:15" ht="22.5" customHeight="1">
      <c r="A6138" s="85"/>
      <c r="B6138" s="82"/>
      <c r="C6138" s="82"/>
      <c r="D6138" s="82"/>
      <c r="E6138" s="82"/>
      <c r="F6138" s="92"/>
      <c r="G6138" s="87"/>
      <c r="H6138" s="88"/>
      <c r="I6138" s="89"/>
      <c r="J6138" s="90"/>
      <c r="K6138" s="85"/>
      <c r="L6138" s="85"/>
      <c r="M6138" s="85"/>
      <c r="N6138" s="82"/>
      <c r="O6138" s="93"/>
    </row>
    <row r="6139" spans="1:15" ht="22.5" customHeight="1">
      <c r="A6139" s="85"/>
      <c r="B6139" s="82"/>
      <c r="C6139" s="82"/>
      <c r="D6139" s="82"/>
      <c r="E6139" s="82"/>
      <c r="F6139" s="92"/>
      <c r="G6139" s="87"/>
      <c r="H6139" s="88"/>
      <c r="I6139" s="89"/>
      <c r="J6139" s="90"/>
      <c r="K6139" s="85"/>
      <c r="L6139" s="85"/>
      <c r="M6139" s="85"/>
      <c r="N6139" s="82"/>
      <c r="O6139" s="93"/>
    </row>
    <row r="6140" spans="1:15" ht="22.5" customHeight="1">
      <c r="A6140" s="85"/>
      <c r="B6140" s="82"/>
      <c r="C6140" s="82"/>
      <c r="D6140" s="82"/>
      <c r="E6140" s="82"/>
      <c r="F6140" s="92"/>
      <c r="G6140" s="87"/>
      <c r="H6140" s="88"/>
      <c r="I6140" s="89"/>
      <c r="J6140" s="90"/>
      <c r="K6140" s="85"/>
      <c r="L6140" s="85"/>
      <c r="M6140" s="85"/>
      <c r="N6140" s="82"/>
      <c r="O6140" s="93"/>
    </row>
    <row r="6141" spans="1:15" ht="22.5" customHeight="1">
      <c r="A6141" s="85"/>
      <c r="B6141" s="82"/>
      <c r="C6141" s="82"/>
      <c r="D6141" s="82"/>
      <c r="E6141" s="82"/>
      <c r="F6141" s="92"/>
      <c r="G6141" s="87"/>
      <c r="H6141" s="88"/>
      <c r="I6141" s="89"/>
      <c r="J6141" s="90"/>
      <c r="K6141" s="85"/>
      <c r="L6141" s="85"/>
      <c r="M6141" s="85"/>
      <c r="N6141" s="82"/>
      <c r="O6141" s="93"/>
    </row>
    <row r="6142" spans="1:15" ht="22.5" customHeight="1">
      <c r="A6142" s="85"/>
      <c r="B6142" s="82"/>
      <c r="C6142" s="82"/>
      <c r="D6142" s="82"/>
      <c r="E6142" s="82"/>
      <c r="F6142" s="92"/>
      <c r="G6142" s="87"/>
      <c r="H6142" s="88"/>
      <c r="I6142" s="89"/>
      <c r="J6142" s="90"/>
      <c r="K6142" s="85"/>
      <c r="L6142" s="85"/>
      <c r="M6142" s="85"/>
      <c r="N6142" s="82"/>
      <c r="O6142" s="93"/>
    </row>
    <row r="6143" spans="1:15" ht="22.5" customHeight="1">
      <c r="A6143" s="85"/>
      <c r="B6143" s="82"/>
      <c r="C6143" s="82"/>
      <c r="D6143" s="82"/>
      <c r="E6143" s="82"/>
      <c r="F6143" s="92"/>
      <c r="G6143" s="87"/>
      <c r="H6143" s="88"/>
      <c r="I6143" s="89"/>
      <c r="J6143" s="90"/>
      <c r="K6143" s="85"/>
      <c r="L6143" s="85"/>
      <c r="M6143" s="85"/>
      <c r="N6143" s="82"/>
      <c r="O6143" s="93"/>
    </row>
    <row r="6144" spans="1:15" ht="22.5" customHeight="1">
      <c r="A6144" s="85"/>
      <c r="B6144" s="82"/>
      <c r="C6144" s="82"/>
      <c r="D6144" s="82"/>
      <c r="E6144" s="82"/>
      <c r="F6144" s="92"/>
      <c r="G6144" s="87"/>
      <c r="H6144" s="88"/>
      <c r="I6144" s="89"/>
      <c r="J6144" s="90"/>
      <c r="K6144" s="85"/>
      <c r="L6144" s="85"/>
      <c r="M6144" s="85"/>
      <c r="N6144" s="82"/>
      <c r="O6144" s="93"/>
    </row>
    <row r="6145" spans="1:15" ht="22.5" customHeight="1">
      <c r="A6145" s="85"/>
      <c r="B6145" s="82"/>
      <c r="C6145" s="82"/>
      <c r="D6145" s="82"/>
      <c r="E6145" s="82"/>
      <c r="F6145" s="92"/>
      <c r="G6145" s="87"/>
      <c r="H6145" s="88"/>
      <c r="I6145" s="89"/>
      <c r="J6145" s="90"/>
      <c r="K6145" s="85"/>
      <c r="L6145" s="85"/>
      <c r="M6145" s="85"/>
      <c r="N6145" s="82"/>
      <c r="O6145" s="93"/>
    </row>
    <row r="6146" spans="1:15" ht="22.5" customHeight="1">
      <c r="A6146" s="85"/>
      <c r="B6146" s="82"/>
      <c r="C6146" s="82"/>
      <c r="D6146" s="82"/>
      <c r="E6146" s="82"/>
      <c r="F6146" s="92"/>
      <c r="G6146" s="87"/>
      <c r="H6146" s="88"/>
      <c r="I6146" s="89"/>
      <c r="J6146" s="90"/>
      <c r="K6146" s="85"/>
      <c r="L6146" s="85"/>
      <c r="M6146" s="85"/>
      <c r="N6146" s="82"/>
      <c r="O6146" s="93"/>
    </row>
    <row r="6147" spans="1:15" ht="22.5" customHeight="1">
      <c r="A6147" s="85"/>
      <c r="B6147" s="82"/>
      <c r="C6147" s="82"/>
      <c r="D6147" s="82"/>
      <c r="E6147" s="82"/>
      <c r="F6147" s="92"/>
      <c r="G6147" s="87"/>
      <c r="H6147" s="88"/>
      <c r="I6147" s="89"/>
      <c r="J6147" s="90"/>
      <c r="K6147" s="85"/>
      <c r="L6147" s="85"/>
      <c r="M6147" s="85"/>
      <c r="N6147" s="82"/>
      <c r="O6147" s="93"/>
    </row>
    <row r="6148" spans="1:15" ht="22.5" customHeight="1">
      <c r="A6148" s="85"/>
      <c r="B6148" s="82"/>
      <c r="C6148" s="82"/>
      <c r="D6148" s="82"/>
      <c r="E6148" s="82"/>
      <c r="F6148" s="92"/>
      <c r="G6148" s="87"/>
      <c r="H6148" s="88"/>
      <c r="I6148" s="89"/>
      <c r="J6148" s="90"/>
      <c r="K6148" s="85"/>
      <c r="L6148" s="85"/>
      <c r="M6148" s="85"/>
      <c r="N6148" s="82"/>
      <c r="O6148" s="93"/>
    </row>
    <row r="6149" spans="1:15" ht="22.5" customHeight="1">
      <c r="A6149" s="85"/>
      <c r="B6149" s="82"/>
      <c r="C6149" s="82"/>
      <c r="D6149" s="82"/>
      <c r="E6149" s="82"/>
      <c r="F6149" s="92"/>
      <c r="G6149" s="87"/>
      <c r="H6149" s="88"/>
      <c r="I6149" s="89"/>
      <c r="J6149" s="90"/>
      <c r="K6149" s="85"/>
      <c r="L6149" s="85"/>
      <c r="M6149" s="85"/>
      <c r="N6149" s="82"/>
      <c r="O6149" s="93"/>
    </row>
    <row r="6150" spans="1:15" ht="22.5" customHeight="1">
      <c r="A6150" s="85"/>
      <c r="B6150" s="82"/>
      <c r="C6150" s="82"/>
      <c r="D6150" s="82"/>
      <c r="E6150" s="82"/>
      <c r="F6150" s="92"/>
      <c r="G6150" s="87"/>
      <c r="H6150" s="88"/>
      <c r="I6150" s="89"/>
      <c r="J6150" s="90"/>
      <c r="K6150" s="85"/>
      <c r="L6150" s="85"/>
      <c r="M6150" s="85"/>
      <c r="N6150" s="82"/>
      <c r="O6150" s="93"/>
    </row>
    <row r="6151" spans="1:15" ht="22.5" customHeight="1">
      <c r="A6151" s="85"/>
      <c r="B6151" s="82"/>
      <c r="C6151" s="82"/>
      <c r="D6151" s="82"/>
      <c r="E6151" s="82"/>
      <c r="F6151" s="92"/>
      <c r="G6151" s="87"/>
      <c r="H6151" s="88"/>
      <c r="I6151" s="89"/>
      <c r="J6151" s="90"/>
      <c r="K6151" s="85"/>
      <c r="L6151" s="85"/>
      <c r="M6151" s="85"/>
      <c r="N6151" s="82"/>
      <c r="O6151" s="93"/>
    </row>
    <row r="6152" spans="1:15" ht="22.5" customHeight="1">
      <c r="A6152" s="85"/>
      <c r="B6152" s="82"/>
      <c r="C6152" s="82"/>
      <c r="D6152" s="82"/>
      <c r="E6152" s="82"/>
      <c r="F6152" s="92"/>
      <c r="G6152" s="87"/>
      <c r="H6152" s="88"/>
      <c r="I6152" s="89"/>
      <c r="J6152" s="90"/>
      <c r="K6152" s="85"/>
      <c r="L6152" s="85"/>
      <c r="M6152" s="85"/>
      <c r="N6152" s="82"/>
      <c r="O6152" s="93"/>
    </row>
    <row r="6153" spans="1:15" ht="22.5" customHeight="1">
      <c r="A6153" s="85"/>
      <c r="B6153" s="82"/>
      <c r="C6153" s="82"/>
      <c r="D6153" s="82"/>
      <c r="E6153" s="82"/>
      <c r="F6153" s="92"/>
      <c r="G6153" s="87"/>
      <c r="H6153" s="88"/>
      <c r="I6153" s="89"/>
      <c r="J6153" s="90"/>
      <c r="K6153" s="85"/>
      <c r="L6153" s="85"/>
      <c r="M6153" s="85"/>
      <c r="N6153" s="82"/>
      <c r="O6153" s="93"/>
    </row>
    <row r="6154" spans="1:15" ht="22.5" customHeight="1">
      <c r="A6154" s="85"/>
      <c r="B6154" s="82"/>
      <c r="C6154" s="82"/>
      <c r="D6154" s="82"/>
      <c r="E6154" s="82"/>
      <c r="F6154" s="92"/>
      <c r="G6154" s="87"/>
      <c r="H6154" s="88"/>
      <c r="I6154" s="89"/>
      <c r="J6154" s="90"/>
      <c r="K6154" s="85"/>
      <c r="L6154" s="85"/>
      <c r="M6154" s="85"/>
      <c r="N6154" s="82"/>
      <c r="O6154" s="93"/>
    </row>
    <row r="6155" spans="1:15" ht="22.5" customHeight="1">
      <c r="A6155" s="85"/>
      <c r="B6155" s="82"/>
      <c r="C6155" s="82"/>
      <c r="D6155" s="82"/>
      <c r="E6155" s="82"/>
      <c r="F6155" s="92"/>
      <c r="G6155" s="87"/>
      <c r="H6155" s="88"/>
      <c r="I6155" s="89"/>
      <c r="J6155" s="90"/>
      <c r="K6155" s="85"/>
      <c r="L6155" s="85"/>
      <c r="M6155" s="85"/>
      <c r="N6155" s="82"/>
      <c r="O6155" s="93"/>
    </row>
    <row r="6156" spans="1:15" ht="22.5" customHeight="1">
      <c r="A6156" s="85"/>
      <c r="B6156" s="82"/>
      <c r="C6156" s="82"/>
      <c r="D6156" s="82"/>
      <c r="E6156" s="82"/>
      <c r="F6156" s="92"/>
      <c r="G6156" s="87"/>
      <c r="H6156" s="88"/>
      <c r="I6156" s="89"/>
      <c r="J6156" s="90"/>
      <c r="K6156" s="85"/>
      <c r="L6156" s="85"/>
      <c r="M6156" s="85"/>
      <c r="N6156" s="82"/>
      <c r="O6156" s="93"/>
    </row>
    <row r="6157" spans="1:15" ht="22.5" customHeight="1">
      <c r="A6157" s="85"/>
      <c r="B6157" s="82"/>
      <c r="C6157" s="82"/>
      <c r="D6157" s="82"/>
      <c r="E6157" s="82"/>
      <c r="F6157" s="92"/>
      <c r="G6157" s="87"/>
      <c r="H6157" s="88"/>
      <c r="I6157" s="89"/>
      <c r="J6157" s="90"/>
      <c r="K6157" s="85"/>
      <c r="L6157" s="85"/>
      <c r="M6157" s="85"/>
      <c r="N6157" s="82"/>
      <c r="O6157" s="93"/>
    </row>
    <row r="6158" spans="1:15" ht="22.5" customHeight="1">
      <c r="A6158" s="85"/>
      <c r="B6158" s="82"/>
      <c r="C6158" s="82"/>
      <c r="D6158" s="82"/>
      <c r="E6158" s="82"/>
      <c r="F6158" s="92"/>
      <c r="G6158" s="87"/>
      <c r="H6158" s="88"/>
      <c r="I6158" s="89"/>
      <c r="J6158" s="90"/>
      <c r="K6158" s="85"/>
      <c r="L6158" s="85"/>
      <c r="M6158" s="85"/>
      <c r="N6158" s="82"/>
      <c r="O6158" s="93"/>
    </row>
    <row r="6159" spans="1:15" ht="22.5" customHeight="1">
      <c r="A6159" s="85"/>
      <c r="B6159" s="82"/>
      <c r="C6159" s="82"/>
      <c r="D6159" s="82"/>
      <c r="E6159" s="82"/>
      <c r="F6159" s="92"/>
      <c r="G6159" s="87"/>
      <c r="H6159" s="88"/>
      <c r="I6159" s="89"/>
      <c r="J6159" s="90"/>
      <c r="K6159" s="85"/>
      <c r="L6159" s="85"/>
      <c r="M6159" s="85"/>
      <c r="N6159" s="82"/>
      <c r="O6159" s="93"/>
    </row>
    <row r="6160" spans="1:15" ht="22.5" customHeight="1">
      <c r="A6160" s="85"/>
      <c r="B6160" s="82"/>
      <c r="C6160" s="82"/>
      <c r="D6160" s="82"/>
      <c r="E6160" s="82"/>
      <c r="F6160" s="92"/>
      <c r="G6160" s="87"/>
      <c r="H6160" s="88"/>
      <c r="I6160" s="89"/>
      <c r="J6160" s="90"/>
      <c r="K6160" s="85"/>
      <c r="L6160" s="85"/>
      <c r="M6160" s="85"/>
      <c r="N6160" s="82"/>
      <c r="O6160" s="93"/>
    </row>
    <row r="6161" spans="1:15" ht="22.5" customHeight="1">
      <c r="A6161" s="85"/>
      <c r="B6161" s="82"/>
      <c r="C6161" s="82"/>
      <c r="D6161" s="82"/>
      <c r="E6161" s="82"/>
      <c r="F6161" s="92"/>
      <c r="G6161" s="87"/>
      <c r="H6161" s="88"/>
      <c r="I6161" s="89"/>
      <c r="J6161" s="90"/>
      <c r="K6161" s="85"/>
      <c r="L6161" s="85"/>
      <c r="M6161" s="85"/>
      <c r="N6161" s="82"/>
      <c r="O6161" s="93"/>
    </row>
    <row r="6162" spans="1:15" ht="22.5" customHeight="1">
      <c r="A6162" s="85"/>
      <c r="B6162" s="82"/>
      <c r="C6162" s="82"/>
      <c r="D6162" s="82"/>
      <c r="E6162" s="82"/>
      <c r="F6162" s="92"/>
      <c r="G6162" s="87"/>
      <c r="H6162" s="88"/>
      <c r="I6162" s="89"/>
      <c r="J6162" s="90"/>
      <c r="K6162" s="85"/>
      <c r="L6162" s="85"/>
      <c r="M6162" s="85"/>
      <c r="N6162" s="82"/>
      <c r="O6162" s="93"/>
    </row>
    <row r="6163" spans="1:15" ht="22.5" customHeight="1">
      <c r="A6163" s="85"/>
      <c r="B6163" s="82"/>
      <c r="C6163" s="82"/>
      <c r="D6163" s="82"/>
      <c r="E6163" s="82"/>
      <c r="F6163" s="92"/>
      <c r="G6163" s="87"/>
      <c r="H6163" s="88"/>
      <c r="I6163" s="89"/>
      <c r="J6163" s="90"/>
      <c r="K6163" s="85"/>
      <c r="L6163" s="85"/>
      <c r="M6163" s="85"/>
      <c r="N6163" s="82"/>
      <c r="O6163" s="93"/>
    </row>
    <row r="6164" spans="1:15" ht="22.5" customHeight="1">
      <c r="A6164" s="85"/>
      <c r="B6164" s="82"/>
      <c r="C6164" s="82"/>
      <c r="D6164" s="82"/>
      <c r="E6164" s="82"/>
      <c r="F6164" s="92"/>
      <c r="G6164" s="87"/>
      <c r="H6164" s="88"/>
      <c r="I6164" s="89"/>
      <c r="J6164" s="90"/>
      <c r="K6164" s="85"/>
      <c r="L6164" s="85"/>
      <c r="M6164" s="85"/>
      <c r="N6164" s="82"/>
      <c r="O6164" s="93"/>
    </row>
    <row r="6165" spans="1:15" ht="22.5" customHeight="1">
      <c r="A6165" s="85"/>
      <c r="B6165" s="82"/>
      <c r="C6165" s="82"/>
      <c r="D6165" s="82"/>
      <c r="E6165" s="82"/>
      <c r="F6165" s="92"/>
      <c r="G6165" s="87"/>
      <c r="H6165" s="88"/>
      <c r="I6165" s="89"/>
      <c r="J6165" s="90"/>
      <c r="K6165" s="85"/>
      <c r="L6165" s="85"/>
      <c r="M6165" s="85"/>
      <c r="N6165" s="82"/>
      <c r="O6165" s="93"/>
    </row>
    <row r="6166" spans="1:15" ht="22.5" customHeight="1">
      <c r="A6166" s="85"/>
      <c r="B6166" s="82"/>
      <c r="C6166" s="82"/>
      <c r="D6166" s="82"/>
      <c r="E6166" s="82"/>
      <c r="F6166" s="92"/>
      <c r="G6166" s="87"/>
      <c r="H6166" s="88"/>
      <c r="I6166" s="89"/>
      <c r="J6166" s="90"/>
      <c r="K6166" s="85"/>
      <c r="L6166" s="85"/>
      <c r="M6166" s="85"/>
      <c r="N6166" s="82"/>
      <c r="O6166" s="93"/>
    </row>
    <row r="6167" spans="1:15" ht="22.5" customHeight="1">
      <c r="A6167" s="85"/>
      <c r="B6167" s="82"/>
      <c r="C6167" s="82"/>
      <c r="D6167" s="82"/>
      <c r="E6167" s="82"/>
      <c r="F6167" s="92"/>
      <c r="G6167" s="87"/>
      <c r="H6167" s="88"/>
      <c r="I6167" s="89"/>
      <c r="J6167" s="90"/>
      <c r="K6167" s="85"/>
      <c r="L6167" s="85"/>
      <c r="M6167" s="85"/>
      <c r="N6167" s="82"/>
      <c r="O6167" s="93"/>
    </row>
    <row r="6168" spans="1:15" ht="22.5" customHeight="1">
      <c r="A6168" s="85"/>
      <c r="B6168" s="82"/>
      <c r="C6168" s="82"/>
      <c r="D6168" s="82"/>
      <c r="E6168" s="82"/>
      <c r="F6168" s="92"/>
      <c r="G6168" s="87"/>
      <c r="H6168" s="88"/>
      <c r="I6168" s="89"/>
      <c r="J6168" s="90"/>
      <c r="K6168" s="85"/>
      <c r="L6168" s="85"/>
      <c r="M6168" s="85"/>
      <c r="N6168" s="82"/>
      <c r="O6168" s="93"/>
    </row>
    <row r="6169" spans="1:15" ht="22.5" customHeight="1">
      <c r="A6169" s="85"/>
      <c r="B6169" s="82"/>
      <c r="C6169" s="82"/>
      <c r="D6169" s="82"/>
      <c r="E6169" s="82"/>
      <c r="F6169" s="92"/>
      <c r="G6169" s="87"/>
      <c r="H6169" s="88"/>
      <c r="I6169" s="89"/>
      <c r="J6169" s="90"/>
      <c r="K6169" s="85"/>
      <c r="L6169" s="85"/>
      <c r="M6169" s="85"/>
      <c r="N6169" s="82"/>
      <c r="O6169" s="93"/>
    </row>
    <row r="6170" spans="1:15" ht="22.5" customHeight="1">
      <c r="A6170" s="85"/>
      <c r="B6170" s="82"/>
      <c r="C6170" s="82"/>
      <c r="D6170" s="82"/>
      <c r="E6170" s="82"/>
      <c r="F6170" s="92"/>
      <c r="G6170" s="87"/>
      <c r="H6170" s="88"/>
      <c r="I6170" s="89"/>
      <c r="J6170" s="90"/>
      <c r="K6170" s="85"/>
      <c r="L6170" s="85"/>
      <c r="M6170" s="85"/>
      <c r="N6170" s="82"/>
      <c r="O6170" s="93"/>
    </row>
    <row r="6171" spans="1:15" ht="22.5" customHeight="1">
      <c r="A6171" s="85"/>
      <c r="B6171" s="82"/>
      <c r="C6171" s="82"/>
      <c r="D6171" s="82"/>
      <c r="E6171" s="82"/>
      <c r="F6171" s="92"/>
      <c r="G6171" s="87"/>
      <c r="H6171" s="88"/>
      <c r="I6171" s="89"/>
      <c r="J6171" s="90"/>
      <c r="K6171" s="85"/>
      <c r="L6171" s="85"/>
      <c r="M6171" s="85"/>
      <c r="N6171" s="82"/>
      <c r="O6171" s="93"/>
    </row>
    <row r="6172" spans="1:15" ht="22.5" customHeight="1">
      <c r="A6172" s="85"/>
      <c r="B6172" s="82"/>
      <c r="C6172" s="82"/>
      <c r="D6172" s="82"/>
      <c r="E6172" s="82"/>
      <c r="F6172" s="92"/>
      <c r="G6172" s="87"/>
      <c r="H6172" s="88"/>
      <c r="I6172" s="89"/>
      <c r="J6172" s="90"/>
      <c r="K6172" s="85"/>
      <c r="L6172" s="85"/>
      <c r="M6172" s="85"/>
      <c r="N6172" s="82"/>
      <c r="O6172" s="93"/>
    </row>
    <row r="6173" spans="1:15" ht="22.5" customHeight="1">
      <c r="A6173" s="85"/>
      <c r="B6173" s="82"/>
      <c r="C6173" s="82"/>
      <c r="D6173" s="82"/>
      <c r="E6173" s="82"/>
      <c r="F6173" s="92"/>
      <c r="G6173" s="87"/>
      <c r="H6173" s="88"/>
      <c r="I6173" s="89"/>
      <c r="J6173" s="90"/>
      <c r="K6173" s="85"/>
      <c r="L6173" s="85"/>
      <c r="M6173" s="85"/>
      <c r="N6173" s="82"/>
      <c r="O6173" s="93"/>
    </row>
    <row r="6174" spans="1:15" ht="22.5" customHeight="1">
      <c r="A6174" s="85"/>
      <c r="B6174" s="82"/>
      <c r="C6174" s="82"/>
      <c r="D6174" s="82"/>
      <c r="E6174" s="82"/>
      <c r="F6174" s="92"/>
      <c r="G6174" s="87"/>
      <c r="H6174" s="88"/>
      <c r="I6174" s="89"/>
      <c r="J6174" s="90"/>
      <c r="K6174" s="85"/>
      <c r="L6174" s="85"/>
      <c r="M6174" s="85"/>
      <c r="N6174" s="82"/>
      <c r="O6174" s="93"/>
    </row>
    <row r="6175" spans="1:15" ht="22.5" customHeight="1">
      <c r="A6175" s="85"/>
      <c r="B6175" s="82"/>
      <c r="C6175" s="82"/>
      <c r="D6175" s="82"/>
      <c r="E6175" s="82"/>
      <c r="F6175" s="92"/>
      <c r="G6175" s="87"/>
      <c r="H6175" s="88"/>
      <c r="I6175" s="89"/>
      <c r="J6175" s="90"/>
      <c r="K6175" s="85"/>
      <c r="L6175" s="85"/>
      <c r="M6175" s="85"/>
      <c r="N6175" s="82"/>
      <c r="O6175" s="93"/>
    </row>
    <row r="6176" spans="1:15" ht="22.5" customHeight="1">
      <c r="A6176" s="85"/>
      <c r="B6176" s="82"/>
      <c r="C6176" s="82"/>
      <c r="D6176" s="82"/>
      <c r="E6176" s="82"/>
      <c r="F6176" s="92"/>
      <c r="G6176" s="87"/>
      <c r="H6176" s="88"/>
      <c r="I6176" s="89"/>
      <c r="J6176" s="90"/>
      <c r="K6176" s="85"/>
      <c r="L6176" s="85"/>
      <c r="M6176" s="85"/>
      <c r="N6176" s="82"/>
      <c r="O6176" s="93"/>
    </row>
    <row r="6177" spans="1:15" ht="22.5" customHeight="1">
      <c r="A6177" s="85"/>
      <c r="B6177" s="82"/>
      <c r="C6177" s="82"/>
      <c r="D6177" s="82"/>
      <c r="E6177" s="82"/>
      <c r="F6177" s="92"/>
      <c r="G6177" s="87"/>
      <c r="H6177" s="88"/>
      <c r="I6177" s="89"/>
      <c r="J6177" s="90"/>
      <c r="K6177" s="85"/>
      <c r="L6177" s="85"/>
      <c r="M6177" s="85"/>
      <c r="N6177" s="82"/>
      <c r="O6177" s="93"/>
    </row>
    <row r="6178" spans="1:15" ht="22.5" customHeight="1">
      <c r="A6178" s="85"/>
      <c r="B6178" s="82"/>
      <c r="C6178" s="82"/>
      <c r="D6178" s="82"/>
      <c r="E6178" s="82"/>
      <c r="F6178" s="92"/>
      <c r="G6178" s="87"/>
      <c r="H6178" s="88"/>
      <c r="I6178" s="89"/>
      <c r="J6178" s="90"/>
      <c r="K6178" s="85"/>
      <c r="L6178" s="85"/>
      <c r="M6178" s="85"/>
      <c r="N6178" s="82"/>
      <c r="O6178" s="93"/>
    </row>
    <row r="6179" spans="1:15" ht="22.5" customHeight="1">
      <c r="A6179" s="85"/>
      <c r="B6179" s="82"/>
      <c r="C6179" s="82"/>
      <c r="D6179" s="82"/>
      <c r="E6179" s="82"/>
      <c r="F6179" s="92"/>
      <c r="G6179" s="87"/>
      <c r="H6179" s="88"/>
      <c r="I6179" s="89"/>
      <c r="J6179" s="90"/>
      <c r="K6179" s="85"/>
      <c r="L6179" s="85"/>
      <c r="M6179" s="85"/>
      <c r="N6179" s="82"/>
      <c r="O6179" s="93"/>
    </row>
    <row r="6180" spans="1:15" ht="22.5" customHeight="1">
      <c r="A6180" s="85"/>
      <c r="B6180" s="82"/>
      <c r="C6180" s="82"/>
      <c r="D6180" s="82"/>
      <c r="E6180" s="82"/>
      <c r="F6180" s="92"/>
      <c r="G6180" s="87"/>
      <c r="H6180" s="88"/>
      <c r="I6180" s="89"/>
      <c r="J6180" s="90"/>
      <c r="K6180" s="85"/>
      <c r="L6180" s="85"/>
      <c r="M6180" s="85"/>
      <c r="N6180" s="82"/>
      <c r="O6180" s="93"/>
    </row>
    <row r="6181" spans="1:15" ht="22.5" customHeight="1">
      <c r="A6181" s="85"/>
      <c r="B6181" s="82"/>
      <c r="C6181" s="82"/>
      <c r="D6181" s="82"/>
      <c r="E6181" s="82"/>
      <c r="F6181" s="92"/>
      <c r="G6181" s="87"/>
      <c r="H6181" s="88"/>
      <c r="I6181" s="89"/>
      <c r="J6181" s="90"/>
      <c r="K6181" s="85"/>
      <c r="L6181" s="85"/>
      <c r="M6181" s="85"/>
      <c r="N6181" s="82"/>
      <c r="O6181" s="93"/>
    </row>
    <row r="6182" spans="1:15" ht="22.5" customHeight="1">
      <c r="A6182" s="85"/>
      <c r="B6182" s="82"/>
      <c r="C6182" s="82"/>
      <c r="D6182" s="82"/>
      <c r="E6182" s="82"/>
      <c r="F6182" s="92"/>
      <c r="G6182" s="87"/>
      <c r="H6182" s="88"/>
      <c r="I6182" s="89"/>
      <c r="J6182" s="90"/>
      <c r="K6182" s="85"/>
      <c r="L6182" s="85"/>
      <c r="M6182" s="85"/>
      <c r="N6182" s="82"/>
      <c r="O6182" s="93"/>
    </row>
    <row r="6183" spans="1:15" ht="22.5" customHeight="1">
      <c r="A6183" s="85"/>
      <c r="B6183" s="82"/>
      <c r="C6183" s="82"/>
      <c r="D6183" s="82"/>
      <c r="E6183" s="82"/>
      <c r="F6183" s="92"/>
      <c r="G6183" s="87"/>
      <c r="H6183" s="88"/>
      <c r="I6183" s="89"/>
      <c r="J6183" s="90"/>
      <c r="K6183" s="85"/>
      <c r="L6183" s="85"/>
      <c r="M6183" s="85"/>
      <c r="N6183" s="82"/>
      <c r="O6183" s="93"/>
    </row>
    <row r="6184" spans="1:15" ht="22.5" customHeight="1">
      <c r="A6184" s="85"/>
      <c r="B6184" s="82"/>
      <c r="C6184" s="82"/>
      <c r="D6184" s="82"/>
      <c r="E6184" s="82"/>
      <c r="F6184" s="92"/>
      <c r="G6184" s="87"/>
      <c r="H6184" s="88"/>
      <c r="I6184" s="89"/>
      <c r="J6184" s="90"/>
      <c r="K6184" s="85"/>
      <c r="L6184" s="85"/>
      <c r="M6184" s="85"/>
      <c r="N6184" s="82"/>
      <c r="O6184" s="93"/>
    </row>
    <row r="6185" spans="1:15" ht="22.5" customHeight="1">
      <c r="A6185" s="85"/>
      <c r="B6185" s="82"/>
      <c r="C6185" s="82"/>
      <c r="D6185" s="82"/>
      <c r="E6185" s="82"/>
      <c r="F6185" s="92"/>
      <c r="G6185" s="87"/>
      <c r="H6185" s="88"/>
      <c r="I6185" s="89"/>
      <c r="J6185" s="90"/>
      <c r="K6185" s="85"/>
      <c r="L6185" s="85"/>
      <c r="M6185" s="85"/>
      <c r="N6185" s="82"/>
      <c r="O6185" s="93"/>
    </row>
    <row r="6186" spans="1:15" ht="22.5" customHeight="1">
      <c r="A6186" s="85"/>
      <c r="B6186" s="82"/>
      <c r="C6186" s="82"/>
      <c r="D6186" s="82"/>
      <c r="E6186" s="82"/>
      <c r="F6186" s="92"/>
      <c r="G6186" s="87"/>
      <c r="H6186" s="88"/>
      <c r="I6186" s="89"/>
      <c r="J6186" s="90"/>
      <c r="K6186" s="85"/>
      <c r="L6186" s="85"/>
      <c r="M6186" s="85"/>
      <c r="N6186" s="82"/>
      <c r="O6186" s="93"/>
    </row>
    <row r="6187" spans="1:15" ht="22.5" customHeight="1">
      <c r="A6187" s="85"/>
      <c r="B6187" s="82"/>
      <c r="C6187" s="82"/>
      <c r="D6187" s="82"/>
      <c r="E6187" s="82"/>
      <c r="F6187" s="92"/>
      <c r="G6187" s="87"/>
      <c r="H6187" s="88"/>
      <c r="I6187" s="89"/>
      <c r="J6187" s="90"/>
      <c r="K6187" s="85"/>
      <c r="L6187" s="85"/>
      <c r="M6187" s="85"/>
      <c r="N6187" s="82"/>
      <c r="O6187" s="93"/>
    </row>
    <row r="6188" spans="1:15" ht="22.5" customHeight="1">
      <c r="A6188" s="85"/>
      <c r="B6188" s="82"/>
      <c r="C6188" s="82"/>
      <c r="D6188" s="82"/>
      <c r="E6188" s="82"/>
      <c r="F6188" s="92"/>
      <c r="G6188" s="87"/>
      <c r="H6188" s="88"/>
      <c r="I6188" s="89"/>
      <c r="J6188" s="90"/>
      <c r="K6188" s="85"/>
      <c r="L6188" s="85"/>
      <c r="M6188" s="85"/>
      <c r="N6188" s="82"/>
      <c r="O6188" s="93"/>
    </row>
    <row r="6189" spans="1:15" ht="22.5" customHeight="1">
      <c r="A6189" s="85"/>
      <c r="B6189" s="82"/>
      <c r="C6189" s="82"/>
      <c r="D6189" s="82"/>
      <c r="E6189" s="82"/>
      <c r="F6189" s="92"/>
      <c r="G6189" s="87"/>
      <c r="H6189" s="88"/>
      <c r="I6189" s="89"/>
      <c r="J6189" s="90"/>
      <c r="K6189" s="85"/>
      <c r="L6189" s="85"/>
      <c r="M6189" s="85"/>
      <c r="N6189" s="82"/>
      <c r="O6189" s="93"/>
    </row>
    <row r="6190" spans="1:15" ht="22.5" customHeight="1">
      <c r="A6190" s="85"/>
      <c r="B6190" s="82"/>
      <c r="C6190" s="82"/>
      <c r="D6190" s="82"/>
      <c r="E6190" s="82"/>
      <c r="F6190" s="92"/>
      <c r="G6190" s="87"/>
      <c r="H6190" s="88"/>
      <c r="I6190" s="89"/>
      <c r="J6190" s="90"/>
      <c r="K6190" s="85"/>
      <c r="L6190" s="85"/>
      <c r="M6190" s="85"/>
      <c r="N6190" s="82"/>
      <c r="O6190" s="93"/>
    </row>
    <row r="6191" spans="1:15" ht="22.5" customHeight="1">
      <c r="A6191" s="85"/>
      <c r="B6191" s="82"/>
      <c r="C6191" s="82"/>
      <c r="D6191" s="82"/>
      <c r="E6191" s="82"/>
      <c r="F6191" s="92"/>
      <c r="G6191" s="87"/>
      <c r="H6191" s="88"/>
      <c r="I6191" s="89"/>
      <c r="J6191" s="90"/>
      <c r="K6191" s="85"/>
      <c r="L6191" s="85"/>
      <c r="M6191" s="85"/>
      <c r="N6191" s="82"/>
      <c r="O6191" s="93"/>
    </row>
    <row r="6192" spans="1:15" ht="22.5" customHeight="1">
      <c r="A6192" s="85"/>
      <c r="B6192" s="82"/>
      <c r="C6192" s="82"/>
      <c r="D6192" s="82"/>
      <c r="E6192" s="82"/>
      <c r="F6192" s="92"/>
      <c r="G6192" s="87"/>
      <c r="H6192" s="88"/>
      <c r="I6192" s="89"/>
      <c r="J6192" s="90"/>
      <c r="K6192" s="85"/>
      <c r="L6192" s="85"/>
      <c r="M6192" s="85"/>
      <c r="N6192" s="82"/>
      <c r="O6192" s="93"/>
    </row>
    <row r="6193" spans="1:15" ht="22.5" customHeight="1">
      <c r="A6193" s="85"/>
      <c r="B6193" s="82"/>
      <c r="C6193" s="82"/>
      <c r="D6193" s="82"/>
      <c r="E6193" s="82"/>
      <c r="F6193" s="92"/>
      <c r="G6193" s="87"/>
      <c r="H6193" s="88"/>
      <c r="I6193" s="89"/>
      <c r="J6193" s="90"/>
      <c r="K6193" s="85"/>
      <c r="L6193" s="85"/>
      <c r="M6193" s="85"/>
      <c r="N6193" s="82"/>
      <c r="O6193" s="93"/>
    </row>
    <row r="6194" spans="1:15" ht="22.5" customHeight="1">
      <c r="A6194" s="85"/>
      <c r="B6194" s="82"/>
      <c r="C6194" s="82"/>
      <c r="D6194" s="82"/>
      <c r="E6194" s="82"/>
      <c r="F6194" s="92"/>
      <c r="G6194" s="87"/>
      <c r="H6194" s="88"/>
      <c r="I6194" s="89"/>
      <c r="J6194" s="90"/>
      <c r="K6194" s="85"/>
      <c r="L6194" s="85"/>
      <c r="M6194" s="85"/>
      <c r="N6194" s="82"/>
      <c r="O6194" s="93"/>
    </row>
    <row r="6195" spans="1:15" ht="22.5" customHeight="1">
      <c r="A6195" s="85"/>
      <c r="B6195" s="82"/>
      <c r="C6195" s="82"/>
      <c r="D6195" s="82"/>
      <c r="E6195" s="82"/>
      <c r="F6195" s="92"/>
      <c r="G6195" s="87"/>
      <c r="H6195" s="88"/>
      <c r="I6195" s="89"/>
      <c r="J6195" s="90"/>
      <c r="K6195" s="85"/>
      <c r="L6195" s="85"/>
      <c r="M6195" s="85"/>
      <c r="N6195" s="82"/>
      <c r="O6195" s="93"/>
    </row>
    <row r="6196" spans="1:15" ht="22.5" customHeight="1">
      <c r="A6196" s="85"/>
      <c r="B6196" s="82"/>
      <c r="C6196" s="82"/>
      <c r="D6196" s="82"/>
      <c r="E6196" s="82"/>
      <c r="F6196" s="92"/>
      <c r="G6196" s="87"/>
      <c r="H6196" s="88"/>
      <c r="I6196" s="89"/>
      <c r="J6196" s="90"/>
      <c r="K6196" s="85"/>
      <c r="L6196" s="85"/>
      <c r="M6196" s="85"/>
      <c r="N6196" s="82"/>
      <c r="O6196" s="93"/>
    </row>
    <row r="6197" spans="1:15" ht="22.5" customHeight="1">
      <c r="A6197" s="85"/>
      <c r="B6197" s="82"/>
      <c r="C6197" s="82"/>
      <c r="D6197" s="82"/>
      <c r="E6197" s="82"/>
      <c r="F6197" s="92"/>
      <c r="G6197" s="87"/>
      <c r="H6197" s="88"/>
      <c r="I6197" s="89"/>
      <c r="J6197" s="90"/>
      <c r="K6197" s="85"/>
      <c r="L6197" s="85"/>
      <c r="M6197" s="85"/>
      <c r="N6197" s="82"/>
      <c r="O6197" s="93"/>
    </row>
    <row r="6198" spans="1:15" ht="22.5" customHeight="1">
      <c r="A6198" s="85"/>
      <c r="B6198" s="82"/>
      <c r="C6198" s="82"/>
      <c r="D6198" s="82"/>
      <c r="E6198" s="82"/>
      <c r="F6198" s="92"/>
      <c r="G6198" s="87"/>
      <c r="H6198" s="88"/>
      <c r="I6198" s="89"/>
      <c r="J6198" s="90"/>
      <c r="K6198" s="85"/>
      <c r="L6198" s="85"/>
      <c r="M6198" s="85"/>
      <c r="N6198" s="82"/>
      <c r="O6198" s="93"/>
    </row>
    <row r="6199" spans="1:15" ht="22.5" customHeight="1">
      <c r="A6199" s="85"/>
      <c r="B6199" s="82"/>
      <c r="C6199" s="82"/>
      <c r="D6199" s="82"/>
      <c r="E6199" s="82"/>
      <c r="F6199" s="92"/>
      <c r="G6199" s="87"/>
      <c r="H6199" s="88"/>
      <c r="I6199" s="89"/>
      <c r="J6199" s="90"/>
      <c r="K6199" s="85"/>
      <c r="L6199" s="85"/>
      <c r="M6199" s="85"/>
      <c r="N6199" s="82"/>
      <c r="O6199" s="93"/>
    </row>
    <row r="6200" spans="1:15" ht="22.5" customHeight="1">
      <c r="A6200" s="85"/>
      <c r="B6200" s="82"/>
      <c r="C6200" s="82"/>
      <c r="D6200" s="82"/>
      <c r="E6200" s="82"/>
      <c r="F6200" s="92"/>
      <c r="G6200" s="87"/>
      <c r="H6200" s="88"/>
      <c r="I6200" s="89"/>
      <c r="J6200" s="90"/>
      <c r="K6200" s="85"/>
      <c r="L6200" s="85"/>
      <c r="M6200" s="85"/>
      <c r="N6200" s="82"/>
      <c r="O6200" s="93"/>
    </row>
    <row r="6201" spans="1:15" ht="22.5" customHeight="1">
      <c r="A6201" s="85"/>
      <c r="B6201" s="82"/>
      <c r="C6201" s="82"/>
      <c r="D6201" s="82"/>
      <c r="E6201" s="82"/>
      <c r="F6201" s="92"/>
      <c r="G6201" s="87"/>
      <c r="H6201" s="88"/>
      <c r="I6201" s="89"/>
      <c r="J6201" s="90"/>
      <c r="K6201" s="85"/>
      <c r="L6201" s="85"/>
      <c r="M6201" s="85"/>
      <c r="N6201" s="82"/>
      <c r="O6201" s="93"/>
    </row>
    <row r="6202" spans="1:15" ht="22.5" customHeight="1">
      <c r="A6202" s="85"/>
      <c r="B6202" s="82"/>
      <c r="C6202" s="82"/>
      <c r="D6202" s="82"/>
      <c r="E6202" s="82"/>
      <c r="F6202" s="92"/>
      <c r="G6202" s="87"/>
      <c r="H6202" s="88"/>
      <c r="I6202" s="89"/>
      <c r="J6202" s="90"/>
      <c r="K6202" s="85"/>
      <c r="L6202" s="85"/>
      <c r="M6202" s="85"/>
      <c r="N6202" s="82"/>
      <c r="O6202" s="93"/>
    </row>
    <row r="6203" spans="1:15" ht="22.5" customHeight="1">
      <c r="A6203" s="85"/>
      <c r="B6203" s="82"/>
      <c r="C6203" s="82"/>
      <c r="D6203" s="82"/>
      <c r="E6203" s="82"/>
      <c r="F6203" s="92"/>
      <c r="G6203" s="87"/>
      <c r="H6203" s="88"/>
      <c r="I6203" s="89"/>
      <c r="J6203" s="90"/>
      <c r="K6203" s="85"/>
      <c r="L6203" s="85"/>
      <c r="M6203" s="85"/>
      <c r="N6203" s="82"/>
      <c r="O6203" s="93"/>
    </row>
    <row r="6204" spans="1:15" ht="22.5" customHeight="1">
      <c r="A6204" s="85"/>
      <c r="B6204" s="82"/>
      <c r="C6204" s="82"/>
      <c r="D6204" s="82"/>
      <c r="E6204" s="82"/>
      <c r="F6204" s="92"/>
      <c r="G6204" s="87"/>
      <c r="H6204" s="88"/>
      <c r="I6204" s="89"/>
      <c r="J6204" s="90"/>
      <c r="K6204" s="85"/>
      <c r="L6204" s="85"/>
      <c r="M6204" s="85"/>
      <c r="N6204" s="82"/>
      <c r="O6204" s="93"/>
    </row>
    <row r="6205" spans="1:15" ht="22.5" customHeight="1">
      <c r="A6205" s="85"/>
      <c r="B6205" s="82"/>
      <c r="C6205" s="82"/>
      <c r="D6205" s="82"/>
      <c r="E6205" s="82"/>
      <c r="F6205" s="92"/>
      <c r="G6205" s="87"/>
      <c r="H6205" s="88"/>
      <c r="I6205" s="89"/>
      <c r="J6205" s="90"/>
      <c r="K6205" s="85"/>
      <c r="L6205" s="85"/>
      <c r="M6205" s="85"/>
      <c r="N6205" s="82"/>
      <c r="O6205" s="93"/>
    </row>
    <row r="6206" spans="1:15" ht="22.5" customHeight="1">
      <c r="A6206" s="85"/>
      <c r="B6206" s="82"/>
      <c r="C6206" s="82"/>
      <c r="D6206" s="82"/>
      <c r="E6206" s="82"/>
      <c r="F6206" s="92"/>
      <c r="G6206" s="87"/>
      <c r="H6206" s="88"/>
      <c r="I6206" s="89"/>
      <c r="J6206" s="90"/>
      <c r="K6206" s="85"/>
      <c r="L6206" s="85"/>
      <c r="M6206" s="85"/>
      <c r="N6206" s="82"/>
      <c r="O6206" s="93"/>
    </row>
    <row r="6207" spans="1:15" ht="22.5" customHeight="1">
      <c r="A6207" s="85"/>
      <c r="B6207" s="82"/>
      <c r="C6207" s="82"/>
      <c r="D6207" s="82"/>
      <c r="E6207" s="82"/>
      <c r="F6207" s="92"/>
      <c r="G6207" s="87"/>
      <c r="H6207" s="88"/>
      <c r="I6207" s="89"/>
      <c r="J6207" s="90"/>
      <c r="K6207" s="85"/>
      <c r="L6207" s="85"/>
      <c r="M6207" s="85"/>
      <c r="N6207" s="82"/>
      <c r="O6207" s="93"/>
    </row>
    <row r="6208" spans="1:15" ht="22.5" customHeight="1">
      <c r="A6208" s="85"/>
      <c r="B6208" s="82"/>
      <c r="C6208" s="82"/>
      <c r="D6208" s="82"/>
      <c r="E6208" s="82"/>
      <c r="F6208" s="92"/>
      <c r="G6208" s="87"/>
      <c r="H6208" s="88"/>
      <c r="I6208" s="89"/>
      <c r="J6208" s="90"/>
      <c r="K6208" s="85"/>
      <c r="L6208" s="85"/>
      <c r="M6208" s="85"/>
      <c r="N6208" s="82"/>
      <c r="O6208" s="93"/>
    </row>
    <row r="6209" spans="1:15" ht="22.5" customHeight="1">
      <c r="A6209" s="85"/>
      <c r="B6209" s="82"/>
      <c r="C6209" s="82"/>
      <c r="D6209" s="82"/>
      <c r="E6209" s="82"/>
      <c r="F6209" s="92"/>
      <c r="G6209" s="87"/>
      <c r="H6209" s="88"/>
      <c r="I6209" s="89"/>
      <c r="J6209" s="90"/>
      <c r="K6209" s="85"/>
      <c r="L6209" s="85"/>
      <c r="M6209" s="85"/>
      <c r="N6209" s="82"/>
      <c r="O6209" s="93"/>
    </row>
    <row r="6210" spans="1:15" ht="22.5" customHeight="1">
      <c r="A6210" s="85"/>
      <c r="B6210" s="82"/>
      <c r="C6210" s="82"/>
      <c r="D6210" s="82"/>
      <c r="E6210" s="82"/>
      <c r="F6210" s="92"/>
      <c r="G6210" s="87"/>
      <c r="H6210" s="88"/>
      <c r="I6210" s="89"/>
      <c r="J6210" s="90"/>
      <c r="K6210" s="85"/>
      <c r="L6210" s="85"/>
      <c r="M6210" s="85"/>
      <c r="N6210" s="82"/>
      <c r="O6210" s="93"/>
    </row>
    <row r="6211" spans="1:15" ht="22.5" customHeight="1">
      <c r="A6211" s="85"/>
      <c r="B6211" s="82"/>
      <c r="C6211" s="82"/>
      <c r="D6211" s="82"/>
      <c r="E6211" s="82"/>
      <c r="F6211" s="92"/>
      <c r="G6211" s="87"/>
      <c r="H6211" s="88"/>
      <c r="I6211" s="89"/>
      <c r="J6211" s="90"/>
      <c r="K6211" s="85"/>
      <c r="L6211" s="85"/>
      <c r="M6211" s="85"/>
      <c r="N6211" s="82"/>
      <c r="O6211" s="93"/>
    </row>
    <row r="6212" spans="1:15" ht="22.5" customHeight="1">
      <c r="A6212" s="85"/>
      <c r="B6212" s="82"/>
      <c r="C6212" s="82"/>
      <c r="D6212" s="82"/>
      <c r="E6212" s="82"/>
      <c r="F6212" s="92"/>
      <c r="G6212" s="87"/>
      <c r="H6212" s="88"/>
      <c r="I6212" s="89"/>
      <c r="J6212" s="90"/>
      <c r="K6212" s="85"/>
      <c r="L6212" s="85"/>
      <c r="M6212" s="85"/>
      <c r="N6212" s="82"/>
      <c r="O6212" s="93"/>
    </row>
    <row r="6213" spans="1:15" ht="22.5" customHeight="1">
      <c r="A6213" s="85"/>
      <c r="B6213" s="82"/>
      <c r="C6213" s="82"/>
      <c r="D6213" s="82"/>
      <c r="E6213" s="82"/>
      <c r="F6213" s="92"/>
      <c r="G6213" s="87"/>
      <c r="H6213" s="88"/>
      <c r="I6213" s="89"/>
      <c r="J6213" s="90"/>
      <c r="K6213" s="85"/>
      <c r="L6213" s="85"/>
      <c r="M6213" s="85"/>
      <c r="N6213" s="82"/>
      <c r="O6213" s="93"/>
    </row>
    <row r="6214" spans="1:15" ht="22.5" customHeight="1">
      <c r="A6214" s="85"/>
      <c r="B6214" s="82"/>
      <c r="C6214" s="82"/>
      <c r="D6214" s="82"/>
      <c r="E6214" s="82"/>
      <c r="F6214" s="92"/>
      <c r="G6214" s="87"/>
      <c r="H6214" s="88"/>
      <c r="I6214" s="89"/>
      <c r="J6214" s="90"/>
      <c r="K6214" s="85"/>
      <c r="L6214" s="85"/>
      <c r="M6214" s="85"/>
      <c r="N6214" s="82"/>
      <c r="O6214" s="93"/>
    </row>
    <row r="6215" spans="1:15" ht="22.5" customHeight="1">
      <c r="A6215" s="85"/>
      <c r="B6215" s="82"/>
      <c r="C6215" s="82"/>
      <c r="D6215" s="82"/>
      <c r="E6215" s="82"/>
      <c r="F6215" s="92"/>
      <c r="G6215" s="87"/>
      <c r="H6215" s="88"/>
      <c r="I6215" s="89"/>
      <c r="J6215" s="90"/>
      <c r="K6215" s="85"/>
      <c r="L6215" s="85"/>
      <c r="M6215" s="85"/>
      <c r="N6215" s="82"/>
      <c r="O6215" s="93"/>
    </row>
    <row r="6216" spans="1:15" ht="22.5" customHeight="1">
      <c r="A6216" s="85"/>
      <c r="B6216" s="82"/>
      <c r="C6216" s="82"/>
      <c r="D6216" s="82"/>
      <c r="E6216" s="82"/>
      <c r="F6216" s="92"/>
      <c r="G6216" s="87"/>
      <c r="H6216" s="88"/>
      <c r="I6216" s="89"/>
      <c r="J6216" s="90"/>
      <c r="K6216" s="85"/>
      <c r="L6216" s="85"/>
      <c r="M6216" s="85"/>
      <c r="N6216" s="82"/>
      <c r="O6216" s="93"/>
    </row>
    <row r="6217" spans="1:15" ht="22.5" customHeight="1">
      <c r="A6217" s="85"/>
      <c r="B6217" s="82"/>
      <c r="C6217" s="82"/>
      <c r="D6217" s="82"/>
      <c r="E6217" s="82"/>
      <c r="F6217" s="92"/>
      <c r="G6217" s="87"/>
      <c r="H6217" s="88"/>
      <c r="I6217" s="89"/>
      <c r="J6217" s="90"/>
      <c r="K6217" s="85"/>
      <c r="L6217" s="85"/>
      <c r="M6217" s="85"/>
      <c r="N6217" s="82"/>
      <c r="O6217" s="93"/>
    </row>
    <row r="6218" spans="1:15" ht="22.5" customHeight="1">
      <c r="A6218" s="85"/>
      <c r="B6218" s="82"/>
      <c r="C6218" s="82"/>
      <c r="D6218" s="82"/>
      <c r="E6218" s="82"/>
      <c r="F6218" s="92"/>
      <c r="G6218" s="87"/>
      <c r="H6218" s="88"/>
      <c r="I6218" s="89"/>
      <c r="J6218" s="90"/>
      <c r="K6218" s="85"/>
      <c r="L6218" s="85"/>
      <c r="M6218" s="85"/>
      <c r="N6218" s="82"/>
      <c r="O6218" s="93"/>
    </row>
    <row r="6219" spans="1:15" ht="22.5" customHeight="1">
      <c r="A6219" s="85"/>
      <c r="B6219" s="82"/>
      <c r="C6219" s="82"/>
      <c r="D6219" s="82"/>
      <c r="E6219" s="82"/>
      <c r="F6219" s="92"/>
      <c r="G6219" s="87"/>
      <c r="H6219" s="88"/>
      <c r="I6219" s="89"/>
      <c r="J6219" s="90"/>
      <c r="K6219" s="85"/>
      <c r="L6219" s="85"/>
      <c r="M6219" s="85"/>
      <c r="N6219" s="82"/>
      <c r="O6219" s="93"/>
    </row>
    <row r="6220" spans="1:15" ht="22.5" customHeight="1">
      <c r="A6220" s="85"/>
      <c r="B6220" s="82"/>
      <c r="C6220" s="82"/>
      <c r="D6220" s="82"/>
      <c r="E6220" s="82"/>
      <c r="F6220" s="92"/>
      <c r="G6220" s="87"/>
      <c r="H6220" s="88"/>
      <c r="I6220" s="89"/>
      <c r="J6220" s="90"/>
      <c r="K6220" s="85"/>
      <c r="L6220" s="85"/>
      <c r="M6220" s="85"/>
      <c r="N6220" s="82"/>
      <c r="O6220" s="93"/>
    </row>
    <row r="6221" spans="1:15" ht="22.5" customHeight="1">
      <c r="A6221" s="85"/>
      <c r="B6221" s="82"/>
      <c r="C6221" s="82"/>
      <c r="D6221" s="82"/>
      <c r="E6221" s="82"/>
      <c r="F6221" s="92"/>
      <c r="G6221" s="87"/>
      <c r="H6221" s="88"/>
      <c r="I6221" s="89"/>
      <c r="J6221" s="90"/>
      <c r="K6221" s="85"/>
      <c r="L6221" s="85"/>
      <c r="M6221" s="85"/>
      <c r="N6221" s="82"/>
      <c r="O6221" s="93"/>
    </row>
    <row r="6222" spans="1:15" ht="22.5" customHeight="1">
      <c r="A6222" s="85"/>
      <c r="B6222" s="82"/>
      <c r="C6222" s="82"/>
      <c r="D6222" s="82"/>
      <c r="E6222" s="82"/>
      <c r="F6222" s="92"/>
      <c r="G6222" s="87"/>
      <c r="H6222" s="88"/>
      <c r="I6222" s="89"/>
      <c r="J6222" s="90"/>
      <c r="K6222" s="85"/>
      <c r="L6222" s="85"/>
      <c r="M6222" s="85"/>
      <c r="N6222" s="82"/>
      <c r="O6222" s="93"/>
    </row>
    <row r="6223" spans="1:15" ht="22.5" customHeight="1">
      <c r="A6223" s="85"/>
      <c r="B6223" s="82"/>
      <c r="C6223" s="82"/>
      <c r="D6223" s="82"/>
      <c r="E6223" s="82"/>
      <c r="F6223" s="92"/>
      <c r="G6223" s="87"/>
      <c r="H6223" s="88"/>
      <c r="I6223" s="89"/>
      <c r="J6223" s="90"/>
      <c r="K6223" s="85"/>
      <c r="L6223" s="85"/>
      <c r="M6223" s="85"/>
      <c r="N6223" s="82"/>
      <c r="O6223" s="93"/>
    </row>
    <row r="6224" spans="1:15" ht="22.5" customHeight="1">
      <c r="A6224" s="85"/>
      <c r="B6224" s="82"/>
      <c r="C6224" s="82"/>
      <c r="D6224" s="82"/>
      <c r="E6224" s="82"/>
      <c r="F6224" s="92"/>
      <c r="G6224" s="87"/>
      <c r="H6224" s="88"/>
      <c r="I6224" s="89"/>
      <c r="J6224" s="90"/>
      <c r="K6224" s="85"/>
      <c r="L6224" s="85"/>
      <c r="M6224" s="85"/>
      <c r="N6224" s="82"/>
      <c r="O6224" s="93"/>
    </row>
    <row r="6225" spans="1:15" ht="22.5" customHeight="1">
      <c r="A6225" s="85"/>
      <c r="B6225" s="82"/>
      <c r="C6225" s="82"/>
      <c r="D6225" s="82"/>
      <c r="E6225" s="82"/>
      <c r="F6225" s="92"/>
      <c r="G6225" s="87"/>
      <c r="H6225" s="88"/>
      <c r="I6225" s="89"/>
      <c r="J6225" s="90"/>
      <c r="K6225" s="85"/>
      <c r="L6225" s="85"/>
      <c r="M6225" s="85"/>
      <c r="N6225" s="82"/>
      <c r="O6225" s="93"/>
    </row>
    <row r="6226" spans="1:15" ht="22.5" customHeight="1">
      <c r="A6226" s="85"/>
      <c r="B6226" s="82"/>
      <c r="C6226" s="82"/>
      <c r="D6226" s="82"/>
      <c r="E6226" s="82"/>
      <c r="F6226" s="92"/>
      <c r="G6226" s="87"/>
      <c r="H6226" s="88"/>
      <c r="I6226" s="89"/>
      <c r="J6226" s="90"/>
      <c r="K6226" s="85"/>
      <c r="L6226" s="85"/>
      <c r="M6226" s="85"/>
      <c r="N6226" s="82"/>
      <c r="O6226" s="93"/>
    </row>
    <row r="6227" spans="1:15" ht="22.5" customHeight="1">
      <c r="A6227" s="85"/>
      <c r="B6227" s="82"/>
      <c r="C6227" s="82"/>
      <c r="D6227" s="82"/>
      <c r="E6227" s="82"/>
      <c r="F6227" s="92"/>
      <c r="G6227" s="87"/>
      <c r="H6227" s="88"/>
      <c r="I6227" s="89"/>
      <c r="J6227" s="90"/>
      <c r="K6227" s="85"/>
      <c r="L6227" s="85"/>
      <c r="M6227" s="85"/>
      <c r="N6227" s="82"/>
      <c r="O6227" s="93"/>
    </row>
    <row r="6228" spans="1:15" ht="22.5" customHeight="1">
      <c r="A6228" s="85"/>
      <c r="B6228" s="82"/>
      <c r="C6228" s="82"/>
      <c r="D6228" s="82"/>
      <c r="E6228" s="82"/>
      <c r="F6228" s="92"/>
      <c r="G6228" s="87"/>
      <c r="H6228" s="88"/>
      <c r="I6228" s="89"/>
      <c r="J6228" s="90"/>
      <c r="K6228" s="85"/>
      <c r="L6228" s="85"/>
      <c r="M6228" s="85"/>
      <c r="N6228" s="82"/>
      <c r="O6228" s="93"/>
    </row>
    <row r="6229" spans="1:15" ht="22.5" customHeight="1">
      <c r="A6229" s="85"/>
      <c r="B6229" s="82"/>
      <c r="C6229" s="82"/>
      <c r="D6229" s="82"/>
      <c r="E6229" s="82"/>
      <c r="F6229" s="92"/>
      <c r="G6229" s="87"/>
      <c r="H6229" s="88"/>
      <c r="I6229" s="89"/>
      <c r="J6229" s="90"/>
      <c r="K6229" s="85"/>
      <c r="L6229" s="85"/>
      <c r="M6229" s="85"/>
      <c r="N6229" s="82"/>
      <c r="O6229" s="93"/>
    </row>
    <row r="6230" spans="1:15" ht="22.5" customHeight="1">
      <c r="A6230" s="85"/>
      <c r="B6230" s="82"/>
      <c r="C6230" s="82"/>
      <c r="D6230" s="82"/>
      <c r="E6230" s="82"/>
      <c r="F6230" s="92"/>
      <c r="G6230" s="87"/>
      <c r="H6230" s="88"/>
      <c r="I6230" s="89"/>
      <c r="J6230" s="90"/>
      <c r="K6230" s="85"/>
      <c r="L6230" s="85"/>
      <c r="M6230" s="85"/>
      <c r="N6230" s="82"/>
      <c r="O6230" s="93"/>
    </row>
    <row r="6231" spans="1:15" ht="22.5" customHeight="1">
      <c r="A6231" s="85"/>
      <c r="B6231" s="82"/>
      <c r="C6231" s="82"/>
      <c r="D6231" s="82"/>
      <c r="E6231" s="82"/>
      <c r="F6231" s="92"/>
      <c r="G6231" s="87"/>
      <c r="H6231" s="88"/>
      <c r="I6231" s="89"/>
      <c r="J6231" s="90"/>
      <c r="K6231" s="85"/>
      <c r="L6231" s="85"/>
      <c r="M6231" s="85"/>
      <c r="N6231" s="82"/>
      <c r="O6231" s="93"/>
    </row>
    <row r="6232" spans="1:15" ht="22.5" customHeight="1">
      <c r="A6232" s="85"/>
      <c r="B6232" s="82"/>
      <c r="C6232" s="82"/>
      <c r="D6232" s="82"/>
      <c r="E6232" s="82"/>
      <c r="F6232" s="92"/>
      <c r="G6232" s="87"/>
      <c r="H6232" s="88"/>
      <c r="I6232" s="89"/>
      <c r="J6232" s="90"/>
      <c r="K6232" s="85"/>
      <c r="L6232" s="85"/>
      <c r="M6232" s="85"/>
      <c r="N6232" s="82"/>
      <c r="O6232" s="93"/>
    </row>
    <row r="6233" spans="1:15" ht="22.5" customHeight="1">
      <c r="A6233" s="85"/>
      <c r="B6233" s="82"/>
      <c r="C6233" s="82"/>
      <c r="D6233" s="82"/>
      <c r="E6233" s="82"/>
      <c r="F6233" s="92"/>
      <c r="G6233" s="87"/>
      <c r="H6233" s="88"/>
      <c r="I6233" s="89"/>
      <c r="J6233" s="90"/>
      <c r="K6233" s="85"/>
      <c r="L6233" s="85"/>
      <c r="M6233" s="85"/>
      <c r="N6233" s="82"/>
      <c r="O6233" s="93"/>
    </row>
    <row r="6234" spans="1:15" ht="22.5" customHeight="1">
      <c r="A6234" s="85"/>
      <c r="B6234" s="82"/>
      <c r="C6234" s="82"/>
      <c r="D6234" s="82"/>
      <c r="E6234" s="82"/>
      <c r="F6234" s="92"/>
      <c r="G6234" s="87"/>
      <c r="H6234" s="88"/>
      <c r="I6234" s="89"/>
      <c r="J6234" s="90"/>
      <c r="K6234" s="85"/>
      <c r="L6234" s="85"/>
      <c r="M6234" s="85"/>
      <c r="N6234" s="82"/>
      <c r="O6234" s="93"/>
    </row>
    <row r="6235" spans="1:15" ht="22.5" customHeight="1">
      <c r="A6235" s="85"/>
      <c r="B6235" s="82"/>
      <c r="C6235" s="82"/>
      <c r="D6235" s="82"/>
      <c r="E6235" s="82"/>
      <c r="F6235" s="92"/>
      <c r="G6235" s="87"/>
      <c r="H6235" s="88"/>
      <c r="I6235" s="89"/>
      <c r="J6235" s="90"/>
      <c r="K6235" s="85"/>
      <c r="L6235" s="85"/>
      <c r="M6235" s="85"/>
      <c r="N6235" s="82"/>
      <c r="O6235" s="93"/>
    </row>
    <row r="6236" spans="1:15" ht="22.5" customHeight="1">
      <c r="A6236" s="85"/>
      <c r="B6236" s="82"/>
      <c r="C6236" s="82"/>
      <c r="D6236" s="82"/>
      <c r="E6236" s="82"/>
      <c r="F6236" s="92"/>
      <c r="G6236" s="87"/>
      <c r="H6236" s="88"/>
      <c r="I6236" s="89"/>
      <c r="J6236" s="90"/>
      <c r="K6236" s="85"/>
      <c r="L6236" s="85"/>
      <c r="M6236" s="85"/>
      <c r="N6236" s="82"/>
      <c r="O6236" s="93"/>
    </row>
    <row r="6237" spans="1:15" ht="22.5" customHeight="1">
      <c r="A6237" s="85"/>
      <c r="B6237" s="82"/>
      <c r="C6237" s="82"/>
      <c r="D6237" s="82"/>
      <c r="E6237" s="82"/>
      <c r="F6237" s="92"/>
      <c r="G6237" s="87"/>
      <c r="H6237" s="88"/>
      <c r="I6237" s="89"/>
      <c r="J6237" s="90"/>
      <c r="K6237" s="85"/>
      <c r="L6237" s="85"/>
      <c r="M6237" s="85"/>
      <c r="N6237" s="82"/>
      <c r="O6237" s="93"/>
    </row>
    <row r="6238" spans="1:15" ht="22.5" customHeight="1">
      <c r="A6238" s="85"/>
      <c r="B6238" s="82"/>
      <c r="C6238" s="82"/>
      <c r="D6238" s="82"/>
      <c r="E6238" s="82"/>
      <c r="F6238" s="92"/>
      <c r="G6238" s="87"/>
      <c r="H6238" s="88"/>
      <c r="I6238" s="89"/>
      <c r="J6238" s="90"/>
      <c r="K6238" s="85"/>
      <c r="L6238" s="85"/>
      <c r="M6238" s="85"/>
      <c r="N6238" s="82"/>
      <c r="O6238" s="93"/>
    </row>
    <row r="6239" spans="1:15" ht="22.5" customHeight="1">
      <c r="A6239" s="85"/>
      <c r="B6239" s="82"/>
      <c r="C6239" s="82"/>
      <c r="D6239" s="82"/>
      <c r="E6239" s="82"/>
      <c r="F6239" s="92"/>
      <c r="G6239" s="87"/>
      <c r="H6239" s="88"/>
      <c r="I6239" s="89"/>
      <c r="J6239" s="90"/>
      <c r="K6239" s="85"/>
      <c r="L6239" s="85"/>
      <c r="M6239" s="85"/>
      <c r="N6239" s="82"/>
      <c r="O6239" s="93"/>
    </row>
    <row r="6240" spans="1:15" ht="22.5" customHeight="1">
      <c r="A6240" s="85"/>
      <c r="B6240" s="82"/>
      <c r="C6240" s="82"/>
      <c r="D6240" s="82"/>
      <c r="E6240" s="82"/>
      <c r="F6240" s="92"/>
      <c r="G6240" s="87"/>
      <c r="H6240" s="88"/>
      <c r="I6240" s="89"/>
      <c r="J6240" s="90"/>
      <c r="K6240" s="85"/>
      <c r="L6240" s="85"/>
      <c r="M6240" s="85"/>
      <c r="N6240" s="82"/>
      <c r="O6240" s="93"/>
    </row>
    <row r="6241" spans="1:15" ht="22.5" customHeight="1">
      <c r="A6241" s="85"/>
      <c r="B6241" s="82"/>
      <c r="C6241" s="82"/>
      <c r="D6241" s="82"/>
      <c r="E6241" s="82"/>
      <c r="F6241" s="92"/>
      <c r="G6241" s="87"/>
      <c r="H6241" s="88"/>
      <c r="I6241" s="89"/>
      <c r="J6241" s="90"/>
      <c r="K6241" s="85"/>
      <c r="L6241" s="85"/>
      <c r="M6241" s="85"/>
      <c r="N6241" s="82"/>
      <c r="O6241" s="93"/>
    </row>
    <row r="6242" spans="1:15" ht="22.5" customHeight="1">
      <c r="A6242" s="85"/>
      <c r="B6242" s="82"/>
      <c r="C6242" s="82"/>
      <c r="D6242" s="82"/>
      <c r="E6242" s="82"/>
      <c r="F6242" s="92"/>
      <c r="G6242" s="87"/>
      <c r="H6242" s="88"/>
      <c r="I6242" s="89"/>
      <c r="J6242" s="90"/>
      <c r="K6242" s="85"/>
      <c r="L6242" s="85"/>
      <c r="M6242" s="85"/>
      <c r="N6242" s="82"/>
      <c r="O6242" s="93"/>
    </row>
    <row r="6243" spans="1:15" ht="22.5" customHeight="1">
      <c r="A6243" s="85"/>
      <c r="B6243" s="82"/>
      <c r="C6243" s="82"/>
      <c r="D6243" s="82"/>
      <c r="E6243" s="82"/>
      <c r="F6243" s="92"/>
      <c r="G6243" s="87"/>
      <c r="H6243" s="88"/>
      <c r="I6243" s="89"/>
      <c r="J6243" s="90"/>
      <c r="K6243" s="85"/>
      <c r="L6243" s="85"/>
      <c r="M6243" s="85"/>
      <c r="N6243" s="82"/>
      <c r="O6243" s="93"/>
    </row>
    <row r="6244" spans="1:15" ht="22.5" customHeight="1">
      <c r="A6244" s="85"/>
      <c r="B6244" s="82"/>
      <c r="C6244" s="82"/>
      <c r="D6244" s="82"/>
      <c r="E6244" s="82"/>
      <c r="F6244" s="92"/>
      <c r="G6244" s="87"/>
      <c r="H6244" s="88"/>
      <c r="I6244" s="89"/>
      <c r="J6244" s="90"/>
      <c r="K6244" s="85"/>
      <c r="L6244" s="85"/>
      <c r="M6244" s="85"/>
      <c r="N6244" s="82"/>
      <c r="O6244" s="93"/>
    </row>
    <row r="6245" spans="1:15" ht="22.5" customHeight="1">
      <c r="A6245" s="85"/>
      <c r="B6245" s="82"/>
      <c r="C6245" s="82"/>
      <c r="D6245" s="82"/>
      <c r="E6245" s="82"/>
      <c r="F6245" s="92"/>
      <c r="G6245" s="87"/>
      <c r="H6245" s="88"/>
      <c r="I6245" s="89"/>
      <c r="J6245" s="90"/>
      <c r="K6245" s="85"/>
      <c r="L6245" s="85"/>
      <c r="M6245" s="85"/>
      <c r="N6245" s="82"/>
      <c r="O6245" s="93"/>
    </row>
    <row r="6246" spans="1:15" ht="22.5" customHeight="1">
      <c r="A6246" s="85"/>
      <c r="B6246" s="82"/>
      <c r="C6246" s="82"/>
      <c r="D6246" s="82"/>
      <c r="E6246" s="82"/>
      <c r="F6246" s="92"/>
      <c r="G6246" s="87"/>
      <c r="H6246" s="88"/>
      <c r="I6246" s="89"/>
      <c r="J6246" s="90"/>
      <c r="K6246" s="85"/>
      <c r="L6246" s="85"/>
      <c r="M6246" s="85"/>
      <c r="N6246" s="82"/>
      <c r="O6246" s="93"/>
    </row>
    <row r="6247" spans="1:15" ht="22.5" customHeight="1">
      <c r="A6247" s="85"/>
      <c r="B6247" s="82"/>
      <c r="C6247" s="82"/>
      <c r="D6247" s="82"/>
      <c r="E6247" s="82"/>
      <c r="F6247" s="92"/>
      <c r="G6247" s="87"/>
      <c r="H6247" s="88"/>
      <c r="I6247" s="89"/>
      <c r="J6247" s="90"/>
      <c r="K6247" s="85"/>
      <c r="L6247" s="85"/>
      <c r="M6247" s="85"/>
      <c r="N6247" s="82"/>
      <c r="O6247" s="93"/>
    </row>
    <row r="6248" spans="1:15" ht="22.5" customHeight="1">
      <c r="A6248" s="85"/>
      <c r="B6248" s="82"/>
      <c r="C6248" s="82"/>
      <c r="D6248" s="82"/>
      <c r="E6248" s="82"/>
      <c r="F6248" s="92"/>
      <c r="G6248" s="87"/>
      <c r="H6248" s="88"/>
      <c r="I6248" s="89"/>
      <c r="J6248" s="90"/>
      <c r="K6248" s="85"/>
      <c r="L6248" s="85"/>
      <c r="M6248" s="85"/>
      <c r="N6248" s="82"/>
      <c r="O6248" s="93"/>
    </row>
    <row r="6249" spans="1:15" ht="22.5" customHeight="1">
      <c r="A6249" s="85"/>
      <c r="B6249" s="82"/>
      <c r="C6249" s="82"/>
      <c r="D6249" s="82"/>
      <c r="E6249" s="82"/>
      <c r="F6249" s="92"/>
      <c r="G6249" s="87"/>
      <c r="H6249" s="88"/>
      <c r="I6249" s="89"/>
      <c r="J6249" s="90"/>
      <c r="K6249" s="85"/>
      <c r="L6249" s="85"/>
      <c r="M6249" s="85"/>
      <c r="N6249" s="82"/>
      <c r="O6249" s="93"/>
    </row>
    <row r="6250" spans="1:15" ht="22.5" customHeight="1">
      <c r="A6250" s="85"/>
      <c r="B6250" s="82"/>
      <c r="C6250" s="82"/>
      <c r="D6250" s="82"/>
      <c r="E6250" s="82"/>
      <c r="F6250" s="92"/>
      <c r="G6250" s="87"/>
      <c r="H6250" s="88"/>
      <c r="I6250" s="89"/>
      <c r="J6250" s="90"/>
      <c r="K6250" s="85"/>
      <c r="L6250" s="85"/>
      <c r="M6250" s="85"/>
      <c r="N6250" s="82"/>
      <c r="O6250" s="93"/>
    </row>
    <row r="6251" spans="1:15" ht="22.5" customHeight="1">
      <c r="A6251" s="85"/>
      <c r="B6251" s="82"/>
      <c r="C6251" s="82"/>
      <c r="D6251" s="82"/>
      <c r="E6251" s="82"/>
      <c r="F6251" s="92"/>
      <c r="G6251" s="87"/>
      <c r="H6251" s="88"/>
      <c r="I6251" s="89"/>
      <c r="J6251" s="90"/>
      <c r="K6251" s="85"/>
      <c r="L6251" s="85"/>
      <c r="M6251" s="85"/>
      <c r="N6251" s="82"/>
      <c r="O6251" s="93"/>
    </row>
    <row r="6252" spans="1:15" ht="22.5" customHeight="1">
      <c r="A6252" s="85"/>
      <c r="B6252" s="82"/>
      <c r="C6252" s="82"/>
      <c r="D6252" s="82"/>
      <c r="E6252" s="82"/>
      <c r="F6252" s="92"/>
      <c r="G6252" s="87"/>
      <c r="H6252" s="88"/>
      <c r="I6252" s="89"/>
      <c r="J6252" s="90"/>
      <c r="K6252" s="85"/>
      <c r="L6252" s="85"/>
      <c r="M6252" s="85"/>
      <c r="N6252" s="82"/>
      <c r="O6252" s="93"/>
    </row>
    <row r="6253" spans="1:15" ht="22.5" customHeight="1">
      <c r="A6253" s="85"/>
      <c r="B6253" s="82"/>
      <c r="C6253" s="82"/>
      <c r="D6253" s="82"/>
      <c r="E6253" s="82"/>
      <c r="F6253" s="92"/>
      <c r="G6253" s="87"/>
      <c r="H6253" s="88"/>
      <c r="I6253" s="89"/>
      <c r="J6253" s="90"/>
      <c r="K6253" s="85"/>
      <c r="L6253" s="85"/>
      <c r="M6253" s="85"/>
      <c r="N6253" s="82"/>
      <c r="O6253" s="93"/>
    </row>
    <row r="6254" spans="1:15" ht="22.5" customHeight="1">
      <c r="A6254" s="85"/>
      <c r="B6254" s="82"/>
      <c r="C6254" s="82"/>
      <c r="D6254" s="82"/>
      <c r="E6254" s="82"/>
      <c r="F6254" s="92"/>
      <c r="G6254" s="87"/>
      <c r="H6254" s="88"/>
      <c r="I6254" s="89"/>
      <c r="J6254" s="90"/>
      <c r="K6254" s="85"/>
      <c r="L6254" s="85"/>
      <c r="M6254" s="85"/>
      <c r="N6254" s="82"/>
      <c r="O6254" s="93"/>
    </row>
    <row r="6255" spans="1:15" ht="22.5" customHeight="1">
      <c r="A6255" s="85"/>
      <c r="B6255" s="82"/>
      <c r="C6255" s="82"/>
      <c r="D6255" s="82"/>
      <c r="E6255" s="82"/>
      <c r="F6255" s="92"/>
      <c r="G6255" s="87"/>
      <c r="H6255" s="88"/>
      <c r="I6255" s="89"/>
      <c r="J6255" s="90"/>
      <c r="K6255" s="85"/>
      <c r="L6255" s="85"/>
      <c r="M6255" s="85"/>
      <c r="N6255" s="82"/>
      <c r="O6255" s="93"/>
    </row>
    <row r="6256" spans="1:15" ht="22.5" customHeight="1">
      <c r="A6256" s="85"/>
      <c r="B6256" s="82"/>
      <c r="C6256" s="82"/>
      <c r="D6256" s="82"/>
      <c r="E6256" s="82"/>
      <c r="F6256" s="92"/>
      <c r="G6256" s="87"/>
      <c r="H6256" s="88"/>
      <c r="I6256" s="89"/>
      <c r="J6256" s="90"/>
      <c r="K6256" s="85"/>
      <c r="L6256" s="85"/>
      <c r="M6256" s="85"/>
      <c r="N6256" s="82"/>
      <c r="O6256" s="93"/>
    </row>
    <row r="6257" spans="1:15" ht="22.5" customHeight="1">
      <c r="A6257" s="85"/>
      <c r="B6257" s="82"/>
      <c r="C6257" s="82"/>
      <c r="D6257" s="82"/>
      <c r="E6257" s="82"/>
      <c r="F6257" s="92"/>
      <c r="G6257" s="87"/>
      <c r="H6257" s="88"/>
      <c r="I6257" s="89"/>
      <c r="J6257" s="90"/>
      <c r="K6257" s="85"/>
      <c r="L6257" s="85"/>
      <c r="M6257" s="85"/>
      <c r="N6257" s="82"/>
      <c r="O6257" s="93"/>
    </row>
    <row r="6258" spans="1:15" ht="22.5" customHeight="1">
      <c r="A6258" s="85"/>
      <c r="B6258" s="82"/>
      <c r="C6258" s="82"/>
      <c r="D6258" s="82"/>
      <c r="E6258" s="82"/>
      <c r="F6258" s="92"/>
      <c r="G6258" s="87"/>
      <c r="H6258" s="88"/>
      <c r="I6258" s="89"/>
      <c r="J6258" s="90"/>
      <c r="K6258" s="85"/>
      <c r="L6258" s="85"/>
      <c r="M6258" s="85"/>
      <c r="N6258" s="82"/>
      <c r="O6258" s="93"/>
    </row>
    <row r="6259" spans="1:15" ht="22.5" customHeight="1">
      <c r="A6259" s="85"/>
      <c r="B6259" s="82"/>
      <c r="C6259" s="82"/>
      <c r="D6259" s="82"/>
      <c r="E6259" s="82"/>
      <c r="F6259" s="92"/>
      <c r="G6259" s="87"/>
      <c r="H6259" s="88"/>
      <c r="I6259" s="89"/>
      <c r="J6259" s="90"/>
      <c r="K6259" s="85"/>
      <c r="L6259" s="85"/>
      <c r="M6259" s="85"/>
      <c r="N6259" s="82"/>
      <c r="O6259" s="93"/>
    </row>
    <row r="6260" spans="1:15" ht="22.5" customHeight="1">
      <c r="A6260" s="85"/>
      <c r="B6260" s="82"/>
      <c r="C6260" s="82"/>
      <c r="D6260" s="82"/>
      <c r="E6260" s="82"/>
      <c r="F6260" s="92"/>
      <c r="G6260" s="87"/>
      <c r="H6260" s="88"/>
      <c r="I6260" s="89"/>
      <c r="J6260" s="90"/>
      <c r="K6260" s="85"/>
      <c r="L6260" s="85"/>
      <c r="M6260" s="85"/>
      <c r="N6260" s="82"/>
      <c r="O6260" s="93"/>
    </row>
    <row r="6261" spans="1:15" ht="22.5" customHeight="1">
      <c r="A6261" s="85"/>
      <c r="B6261" s="82"/>
      <c r="C6261" s="82"/>
      <c r="D6261" s="82"/>
      <c r="E6261" s="82"/>
      <c r="F6261" s="92"/>
      <c r="G6261" s="87"/>
      <c r="H6261" s="88"/>
      <c r="I6261" s="89"/>
      <c r="J6261" s="90"/>
      <c r="K6261" s="85"/>
      <c r="L6261" s="85"/>
      <c r="M6261" s="85"/>
      <c r="N6261" s="82"/>
      <c r="O6261" s="93"/>
    </row>
    <row r="6262" spans="1:15" ht="22.5" customHeight="1">
      <c r="A6262" s="85"/>
      <c r="B6262" s="82"/>
      <c r="C6262" s="82"/>
      <c r="D6262" s="82"/>
      <c r="E6262" s="82"/>
      <c r="F6262" s="92"/>
      <c r="G6262" s="87"/>
      <c r="H6262" s="88"/>
      <c r="I6262" s="89"/>
      <c r="J6262" s="90"/>
      <c r="K6262" s="85"/>
      <c r="L6262" s="85"/>
      <c r="M6262" s="85"/>
      <c r="N6262" s="82"/>
      <c r="O6262" s="93"/>
    </row>
    <row r="6263" spans="1:15" ht="22.5" customHeight="1">
      <c r="A6263" s="85"/>
      <c r="B6263" s="82"/>
      <c r="C6263" s="82"/>
      <c r="D6263" s="82"/>
      <c r="E6263" s="82"/>
      <c r="F6263" s="92"/>
      <c r="G6263" s="87"/>
      <c r="H6263" s="88"/>
      <c r="I6263" s="89"/>
      <c r="J6263" s="90"/>
      <c r="K6263" s="85"/>
      <c r="L6263" s="85"/>
      <c r="M6263" s="85"/>
      <c r="N6263" s="82"/>
      <c r="O6263" s="93"/>
    </row>
    <row r="6264" spans="1:15" ht="22.5" customHeight="1">
      <c r="A6264" s="85"/>
      <c r="B6264" s="82"/>
      <c r="C6264" s="82"/>
      <c r="D6264" s="82"/>
      <c r="E6264" s="82"/>
      <c r="F6264" s="92"/>
      <c r="G6264" s="87"/>
      <c r="H6264" s="88"/>
      <c r="I6264" s="89"/>
      <c r="J6264" s="90"/>
      <c r="K6264" s="85"/>
      <c r="L6264" s="85"/>
      <c r="M6264" s="85"/>
      <c r="N6264" s="82"/>
      <c r="O6264" s="93"/>
    </row>
    <row r="6265" spans="1:15" ht="22.5" customHeight="1">
      <c r="A6265" s="85"/>
      <c r="B6265" s="82"/>
      <c r="C6265" s="82"/>
      <c r="D6265" s="82"/>
      <c r="E6265" s="82"/>
      <c r="F6265" s="92"/>
      <c r="G6265" s="87"/>
      <c r="H6265" s="88"/>
      <c r="I6265" s="89"/>
      <c r="J6265" s="90"/>
      <c r="K6265" s="85"/>
      <c r="L6265" s="85"/>
      <c r="M6265" s="85"/>
      <c r="N6265" s="82"/>
      <c r="O6265" s="93"/>
    </row>
    <row r="6266" spans="1:15" ht="22.5" customHeight="1">
      <c r="A6266" s="85"/>
      <c r="B6266" s="82"/>
      <c r="C6266" s="82"/>
      <c r="D6266" s="82"/>
      <c r="E6266" s="82"/>
      <c r="F6266" s="92"/>
      <c r="G6266" s="87"/>
      <c r="H6266" s="88"/>
      <c r="I6266" s="89"/>
      <c r="J6266" s="90"/>
      <c r="K6266" s="85"/>
      <c r="L6266" s="85"/>
      <c r="M6266" s="85"/>
      <c r="N6266" s="82"/>
      <c r="O6266" s="93"/>
    </row>
    <row r="6267" spans="1:15" ht="22.5" customHeight="1">
      <c r="A6267" s="85"/>
      <c r="B6267" s="82"/>
      <c r="C6267" s="82"/>
      <c r="D6267" s="82"/>
      <c r="E6267" s="82"/>
      <c r="F6267" s="92"/>
      <c r="G6267" s="87"/>
      <c r="H6267" s="88"/>
      <c r="I6267" s="89"/>
      <c r="J6267" s="90"/>
      <c r="K6267" s="85"/>
      <c r="L6267" s="85"/>
      <c r="M6267" s="85"/>
      <c r="N6267" s="82"/>
      <c r="O6267" s="93"/>
    </row>
    <row r="6268" spans="1:15" ht="22.5" customHeight="1">
      <c r="A6268" s="85"/>
      <c r="B6268" s="82"/>
      <c r="C6268" s="82"/>
      <c r="D6268" s="82"/>
      <c r="E6268" s="82"/>
      <c r="F6268" s="92"/>
      <c r="G6268" s="87"/>
      <c r="H6268" s="88"/>
      <c r="I6268" s="89"/>
      <c r="J6268" s="90"/>
      <c r="K6268" s="85"/>
      <c r="L6268" s="85"/>
      <c r="M6268" s="85"/>
      <c r="N6268" s="82"/>
      <c r="O6268" s="93"/>
    </row>
    <row r="6269" spans="1:15" ht="22.5" customHeight="1">
      <c r="A6269" s="85"/>
      <c r="B6269" s="82"/>
      <c r="C6269" s="82"/>
      <c r="D6269" s="82"/>
      <c r="E6269" s="82"/>
      <c r="F6269" s="92"/>
      <c r="G6269" s="87"/>
      <c r="H6269" s="88"/>
      <c r="I6269" s="89"/>
      <c r="J6269" s="90"/>
      <c r="K6269" s="85"/>
      <c r="L6269" s="85"/>
      <c r="M6269" s="85"/>
      <c r="N6269" s="82"/>
      <c r="O6269" s="93"/>
    </row>
    <row r="6270" spans="1:15" ht="22.5" customHeight="1">
      <c r="A6270" s="85"/>
      <c r="B6270" s="82"/>
      <c r="C6270" s="82"/>
      <c r="D6270" s="82"/>
      <c r="E6270" s="82"/>
      <c r="F6270" s="92"/>
      <c r="G6270" s="87"/>
      <c r="H6270" s="88"/>
      <c r="I6270" s="89"/>
      <c r="J6270" s="90"/>
      <c r="K6270" s="85"/>
      <c r="L6270" s="85"/>
      <c r="M6270" s="85"/>
      <c r="N6270" s="82"/>
      <c r="O6270" s="93"/>
    </row>
    <row r="6271" spans="1:15" ht="22.5" customHeight="1">
      <c r="A6271" s="85"/>
      <c r="B6271" s="82"/>
      <c r="C6271" s="82"/>
      <c r="D6271" s="82"/>
      <c r="E6271" s="82"/>
      <c r="F6271" s="92"/>
      <c r="G6271" s="87"/>
      <c r="H6271" s="88"/>
      <c r="I6271" s="89"/>
      <c r="J6271" s="90"/>
      <c r="K6271" s="85"/>
      <c r="L6271" s="85"/>
      <c r="M6271" s="85"/>
      <c r="N6271" s="82"/>
      <c r="O6271" s="93"/>
    </row>
    <row r="6272" spans="1:15" ht="22.5" customHeight="1">
      <c r="A6272" s="85"/>
      <c r="B6272" s="82"/>
      <c r="C6272" s="82"/>
      <c r="D6272" s="82"/>
      <c r="E6272" s="82"/>
      <c r="F6272" s="92"/>
      <c r="G6272" s="87"/>
      <c r="H6272" s="88"/>
      <c r="I6272" s="89"/>
      <c r="J6272" s="90"/>
      <c r="K6272" s="85"/>
      <c r="L6272" s="85"/>
      <c r="M6272" s="85"/>
      <c r="N6272" s="82"/>
      <c r="O6272" s="93"/>
    </row>
    <row r="6273" spans="1:15" ht="22.5" customHeight="1">
      <c r="A6273" s="85"/>
      <c r="B6273" s="82"/>
      <c r="C6273" s="82"/>
      <c r="D6273" s="82"/>
      <c r="E6273" s="82"/>
      <c r="F6273" s="92"/>
      <c r="G6273" s="87"/>
      <c r="H6273" s="88"/>
      <c r="I6273" s="89"/>
      <c r="J6273" s="90"/>
      <c r="K6273" s="85"/>
      <c r="L6273" s="85"/>
      <c r="M6273" s="85"/>
      <c r="N6273" s="82"/>
      <c r="O6273" s="93"/>
    </row>
    <row r="6274" spans="1:15" ht="22.5" customHeight="1">
      <c r="A6274" s="85"/>
      <c r="B6274" s="82"/>
      <c r="C6274" s="82"/>
      <c r="D6274" s="82"/>
      <c r="E6274" s="82"/>
      <c r="F6274" s="92"/>
      <c r="G6274" s="87"/>
      <c r="H6274" s="88"/>
      <c r="I6274" s="89"/>
      <c r="J6274" s="90"/>
      <c r="K6274" s="85"/>
      <c r="L6274" s="85"/>
      <c r="M6274" s="85"/>
      <c r="N6274" s="82"/>
      <c r="O6274" s="93"/>
    </row>
    <row r="6275" spans="1:15" ht="22.5" customHeight="1">
      <c r="A6275" s="85"/>
      <c r="B6275" s="82"/>
      <c r="C6275" s="82"/>
      <c r="D6275" s="82"/>
      <c r="E6275" s="82"/>
      <c r="F6275" s="92"/>
      <c r="G6275" s="87"/>
      <c r="H6275" s="88"/>
      <c r="I6275" s="89"/>
      <c r="J6275" s="90"/>
      <c r="K6275" s="85"/>
      <c r="L6275" s="85"/>
      <c r="M6275" s="85"/>
      <c r="N6275" s="82"/>
      <c r="O6275" s="93"/>
    </row>
    <row r="6276" spans="1:15" ht="22.5" customHeight="1">
      <c r="A6276" s="85"/>
      <c r="B6276" s="82"/>
      <c r="C6276" s="82"/>
      <c r="D6276" s="82"/>
      <c r="E6276" s="82"/>
      <c r="F6276" s="92"/>
      <c r="G6276" s="87"/>
      <c r="H6276" s="88"/>
      <c r="I6276" s="89"/>
      <c r="J6276" s="90"/>
      <c r="K6276" s="85"/>
      <c r="L6276" s="85"/>
      <c r="M6276" s="85"/>
      <c r="N6276" s="82"/>
      <c r="O6276" s="93"/>
    </row>
    <row r="6277" spans="1:15" ht="22.5" customHeight="1">
      <c r="A6277" s="85"/>
      <c r="B6277" s="82"/>
      <c r="C6277" s="82"/>
      <c r="D6277" s="82"/>
      <c r="E6277" s="82"/>
      <c r="F6277" s="92"/>
      <c r="G6277" s="87"/>
      <c r="H6277" s="88"/>
      <c r="I6277" s="89"/>
      <c r="J6277" s="90"/>
      <c r="K6277" s="85"/>
      <c r="L6277" s="85"/>
      <c r="M6277" s="85"/>
      <c r="N6277" s="82"/>
      <c r="O6277" s="93"/>
    </row>
    <row r="6278" spans="1:15" ht="22.5" customHeight="1">
      <c r="A6278" s="85"/>
      <c r="B6278" s="82"/>
      <c r="C6278" s="82"/>
      <c r="D6278" s="82"/>
      <c r="E6278" s="82"/>
      <c r="F6278" s="92"/>
      <c r="G6278" s="87"/>
      <c r="H6278" s="88"/>
      <c r="I6278" s="89"/>
      <c r="J6278" s="90"/>
      <c r="K6278" s="85"/>
      <c r="L6278" s="85"/>
      <c r="M6278" s="85"/>
      <c r="N6278" s="82"/>
      <c r="O6278" s="93"/>
    </row>
    <row r="6279" spans="1:15" ht="22.5" customHeight="1">
      <c r="A6279" s="85"/>
      <c r="B6279" s="82"/>
      <c r="C6279" s="82"/>
      <c r="D6279" s="82"/>
      <c r="E6279" s="82"/>
      <c r="F6279" s="92"/>
      <c r="G6279" s="87"/>
      <c r="H6279" s="88"/>
      <c r="I6279" s="89"/>
      <c r="J6279" s="90"/>
      <c r="K6279" s="85"/>
      <c r="L6279" s="85"/>
      <c r="M6279" s="85"/>
      <c r="N6279" s="82"/>
      <c r="O6279" s="93"/>
    </row>
    <row r="6280" spans="1:15" ht="22.5" customHeight="1">
      <c r="A6280" s="85"/>
      <c r="B6280" s="82"/>
      <c r="C6280" s="82"/>
      <c r="D6280" s="82"/>
      <c r="E6280" s="82"/>
      <c r="F6280" s="92"/>
      <c r="G6280" s="87"/>
      <c r="H6280" s="88"/>
      <c r="I6280" s="89"/>
      <c r="J6280" s="90"/>
      <c r="K6280" s="85"/>
      <c r="L6280" s="85"/>
      <c r="M6280" s="85"/>
      <c r="N6280" s="82"/>
      <c r="O6280" s="93"/>
    </row>
    <row r="6281" spans="1:15" ht="22.5" customHeight="1">
      <c r="A6281" s="85"/>
      <c r="B6281" s="82"/>
      <c r="C6281" s="82"/>
      <c r="D6281" s="82"/>
      <c r="E6281" s="82"/>
      <c r="F6281" s="92"/>
      <c r="G6281" s="87"/>
      <c r="H6281" s="88"/>
      <c r="I6281" s="89"/>
      <c r="J6281" s="90"/>
      <c r="K6281" s="85"/>
      <c r="L6281" s="85"/>
      <c r="M6281" s="85"/>
      <c r="N6281" s="82"/>
      <c r="O6281" s="93"/>
    </row>
    <row r="6282" spans="1:15" ht="22.5" customHeight="1">
      <c r="A6282" s="85"/>
      <c r="B6282" s="82"/>
      <c r="C6282" s="82"/>
      <c r="D6282" s="82"/>
      <c r="E6282" s="82"/>
      <c r="F6282" s="92"/>
      <c r="G6282" s="87"/>
      <c r="H6282" s="88"/>
      <c r="I6282" s="89"/>
      <c r="J6282" s="90"/>
      <c r="K6282" s="85"/>
      <c r="L6282" s="85"/>
      <c r="M6282" s="85"/>
      <c r="N6282" s="82"/>
      <c r="O6282" s="93"/>
    </row>
    <row r="6283" spans="1:15" ht="22.5" customHeight="1">
      <c r="A6283" s="85"/>
      <c r="B6283" s="82"/>
      <c r="C6283" s="82"/>
      <c r="D6283" s="82"/>
      <c r="E6283" s="82"/>
      <c r="F6283" s="92"/>
      <c r="G6283" s="87"/>
      <c r="H6283" s="88"/>
      <c r="I6283" s="89"/>
      <c r="J6283" s="90"/>
      <c r="K6283" s="85"/>
      <c r="L6283" s="85"/>
      <c r="M6283" s="85"/>
      <c r="N6283" s="82"/>
      <c r="O6283" s="93"/>
    </row>
    <row r="6284" spans="1:15" ht="22.5" customHeight="1">
      <c r="A6284" s="85"/>
      <c r="B6284" s="82"/>
      <c r="C6284" s="82"/>
      <c r="D6284" s="82"/>
      <c r="E6284" s="82"/>
      <c r="F6284" s="92"/>
      <c r="G6284" s="87"/>
      <c r="H6284" s="88"/>
      <c r="I6284" s="89"/>
      <c r="J6284" s="90"/>
      <c r="K6284" s="85"/>
      <c r="L6284" s="85"/>
      <c r="M6284" s="85"/>
      <c r="N6284" s="82"/>
      <c r="O6284" s="93"/>
    </row>
    <row r="6285" spans="1:15" ht="22.5" customHeight="1">
      <c r="A6285" s="85"/>
      <c r="B6285" s="82"/>
      <c r="C6285" s="82"/>
      <c r="D6285" s="82"/>
      <c r="E6285" s="82"/>
      <c r="F6285" s="92"/>
      <c r="G6285" s="87"/>
      <c r="H6285" s="88"/>
      <c r="I6285" s="89"/>
      <c r="J6285" s="90"/>
      <c r="K6285" s="85"/>
      <c r="L6285" s="85"/>
      <c r="M6285" s="85"/>
      <c r="N6285" s="82"/>
      <c r="O6285" s="93"/>
    </row>
    <row r="6286" spans="1:15" ht="22.5" customHeight="1">
      <c r="A6286" s="85"/>
      <c r="B6286" s="82"/>
      <c r="C6286" s="82"/>
      <c r="D6286" s="82"/>
      <c r="E6286" s="82"/>
      <c r="F6286" s="92"/>
      <c r="G6286" s="87"/>
      <c r="H6286" s="88"/>
      <c r="I6286" s="89"/>
      <c r="J6286" s="90"/>
      <c r="K6286" s="85"/>
      <c r="L6286" s="85"/>
      <c r="M6286" s="85"/>
      <c r="N6286" s="82"/>
      <c r="O6286" s="93"/>
    </row>
    <row r="6287" spans="1:15" ht="22.5" customHeight="1">
      <c r="A6287" s="85"/>
      <c r="B6287" s="82"/>
      <c r="C6287" s="82"/>
      <c r="D6287" s="82"/>
      <c r="E6287" s="82"/>
      <c r="F6287" s="92"/>
      <c r="G6287" s="87"/>
      <c r="H6287" s="88"/>
      <c r="I6287" s="89"/>
      <c r="J6287" s="90"/>
      <c r="K6287" s="85"/>
      <c r="L6287" s="85"/>
      <c r="M6287" s="85"/>
      <c r="N6287" s="82"/>
      <c r="O6287" s="93"/>
    </row>
    <row r="6288" spans="1:15" ht="22.5" customHeight="1">
      <c r="A6288" s="85"/>
      <c r="B6288" s="82"/>
      <c r="C6288" s="82"/>
      <c r="D6288" s="82"/>
      <c r="E6288" s="82"/>
      <c r="F6288" s="92"/>
      <c r="G6288" s="87"/>
      <c r="H6288" s="88"/>
      <c r="I6288" s="89"/>
      <c r="J6288" s="90"/>
      <c r="K6288" s="85"/>
      <c r="L6288" s="85"/>
      <c r="M6288" s="85"/>
      <c r="N6288" s="82"/>
      <c r="O6288" s="93"/>
    </row>
    <row r="6289" spans="1:15" ht="22.5" customHeight="1">
      <c r="A6289" s="85"/>
      <c r="B6289" s="82"/>
      <c r="C6289" s="82"/>
      <c r="D6289" s="82"/>
      <c r="E6289" s="82"/>
      <c r="F6289" s="92"/>
      <c r="G6289" s="87"/>
      <c r="H6289" s="88"/>
      <c r="I6289" s="89"/>
      <c r="J6289" s="90"/>
      <c r="K6289" s="85"/>
      <c r="L6289" s="85"/>
      <c r="M6289" s="85"/>
      <c r="N6289" s="82"/>
      <c r="O6289" s="93"/>
    </row>
    <row r="6290" spans="1:15" ht="22.5" customHeight="1">
      <c r="A6290" s="85"/>
      <c r="B6290" s="82"/>
      <c r="C6290" s="82"/>
      <c r="D6290" s="82"/>
      <c r="E6290" s="82"/>
      <c r="F6290" s="92"/>
      <c r="G6290" s="87"/>
      <c r="H6290" s="88"/>
      <c r="I6290" s="89"/>
      <c r="J6290" s="90"/>
      <c r="K6290" s="85"/>
      <c r="L6290" s="85"/>
      <c r="M6290" s="85"/>
      <c r="N6290" s="82"/>
      <c r="O6290" s="93"/>
    </row>
    <row r="6291" spans="1:15" ht="22.5" customHeight="1">
      <c r="A6291" s="85"/>
      <c r="B6291" s="82"/>
      <c r="C6291" s="82"/>
      <c r="D6291" s="82"/>
      <c r="E6291" s="82"/>
      <c r="F6291" s="92"/>
      <c r="G6291" s="87"/>
      <c r="H6291" s="88"/>
      <c r="I6291" s="89"/>
      <c r="J6291" s="90"/>
      <c r="K6291" s="85"/>
      <c r="L6291" s="85"/>
      <c r="M6291" s="85"/>
      <c r="N6291" s="82"/>
      <c r="O6291" s="93"/>
    </row>
    <row r="6292" spans="1:15" ht="22.5" customHeight="1">
      <c r="A6292" s="85"/>
      <c r="B6292" s="82"/>
      <c r="C6292" s="82"/>
      <c r="D6292" s="82"/>
      <c r="E6292" s="82"/>
      <c r="F6292" s="92"/>
      <c r="G6292" s="87"/>
      <c r="H6292" s="88"/>
      <c r="I6292" s="89"/>
      <c r="J6292" s="90"/>
      <c r="K6292" s="85"/>
      <c r="L6292" s="85"/>
      <c r="M6292" s="85"/>
      <c r="N6292" s="82"/>
      <c r="O6292" s="93"/>
    </row>
    <row r="6293" spans="1:15" ht="22.5" customHeight="1">
      <c r="A6293" s="85"/>
      <c r="B6293" s="82"/>
      <c r="C6293" s="82"/>
      <c r="D6293" s="82"/>
      <c r="E6293" s="82"/>
      <c r="F6293" s="92"/>
      <c r="G6293" s="87"/>
      <c r="H6293" s="88"/>
      <c r="I6293" s="89"/>
      <c r="J6293" s="90"/>
      <c r="K6293" s="85"/>
      <c r="L6293" s="85"/>
      <c r="M6293" s="85"/>
      <c r="N6293" s="82"/>
      <c r="O6293" s="93"/>
    </row>
    <row r="6294" spans="1:15" ht="22.5" customHeight="1">
      <c r="A6294" s="85"/>
      <c r="B6294" s="82"/>
      <c r="C6294" s="82"/>
      <c r="D6294" s="82"/>
      <c r="E6294" s="82"/>
      <c r="F6294" s="92"/>
      <c r="G6294" s="87"/>
      <c r="H6294" s="88"/>
      <c r="I6294" s="89"/>
      <c r="J6294" s="90"/>
      <c r="K6294" s="85"/>
      <c r="L6294" s="85"/>
      <c r="M6294" s="85"/>
      <c r="N6294" s="82"/>
      <c r="O6294" s="93"/>
    </row>
    <row r="6295" spans="1:15" ht="22.5" customHeight="1">
      <c r="A6295" s="85"/>
      <c r="B6295" s="82"/>
      <c r="C6295" s="82"/>
      <c r="D6295" s="82"/>
      <c r="E6295" s="82"/>
      <c r="F6295" s="92"/>
      <c r="G6295" s="87"/>
      <c r="H6295" s="88"/>
      <c r="I6295" s="89"/>
      <c r="J6295" s="90"/>
      <c r="K6295" s="85"/>
      <c r="L6295" s="85"/>
      <c r="M6295" s="85"/>
      <c r="N6295" s="82"/>
      <c r="O6295" s="93"/>
    </row>
    <row r="6296" spans="1:15" ht="22.5" customHeight="1">
      <c r="A6296" s="85"/>
      <c r="B6296" s="82"/>
      <c r="C6296" s="82"/>
      <c r="D6296" s="82"/>
      <c r="E6296" s="82"/>
      <c r="F6296" s="92"/>
      <c r="G6296" s="87"/>
      <c r="H6296" s="88"/>
      <c r="I6296" s="89"/>
      <c r="J6296" s="90"/>
      <c r="K6296" s="85"/>
      <c r="L6296" s="85"/>
      <c r="M6296" s="85"/>
      <c r="N6296" s="82"/>
      <c r="O6296" s="93"/>
    </row>
    <row r="6297" spans="1:15" ht="22.5" customHeight="1">
      <c r="A6297" s="85"/>
      <c r="B6297" s="82"/>
      <c r="C6297" s="82"/>
      <c r="D6297" s="82"/>
      <c r="E6297" s="82"/>
      <c r="F6297" s="92"/>
      <c r="G6297" s="87"/>
      <c r="H6297" s="88"/>
      <c r="I6297" s="89"/>
      <c r="J6297" s="90"/>
      <c r="K6297" s="85"/>
      <c r="L6297" s="85"/>
      <c r="M6297" s="85"/>
      <c r="N6297" s="82"/>
      <c r="O6297" s="93"/>
    </row>
    <row r="6298" spans="1:15" ht="22.5" customHeight="1">
      <c r="A6298" s="85"/>
      <c r="B6298" s="82"/>
      <c r="C6298" s="82"/>
      <c r="D6298" s="82"/>
      <c r="E6298" s="82"/>
      <c r="F6298" s="92"/>
      <c r="G6298" s="87"/>
      <c r="H6298" s="88"/>
      <c r="I6298" s="89"/>
      <c r="J6298" s="90"/>
      <c r="K6298" s="85"/>
      <c r="L6298" s="85"/>
      <c r="M6298" s="85"/>
      <c r="N6298" s="82"/>
      <c r="O6298" s="93"/>
    </row>
    <row r="6299" spans="1:15" ht="22.5" customHeight="1">
      <c r="A6299" s="85"/>
      <c r="B6299" s="82"/>
      <c r="C6299" s="82"/>
      <c r="D6299" s="82"/>
      <c r="E6299" s="82"/>
      <c r="F6299" s="92"/>
      <c r="G6299" s="87"/>
      <c r="H6299" s="88"/>
      <c r="I6299" s="89"/>
      <c r="J6299" s="90"/>
      <c r="K6299" s="85"/>
      <c r="L6299" s="85"/>
      <c r="M6299" s="85"/>
      <c r="N6299" s="82"/>
      <c r="O6299" s="93"/>
    </row>
    <row r="6300" spans="1:15" ht="22.5" customHeight="1">
      <c r="A6300" s="85"/>
      <c r="B6300" s="82"/>
      <c r="C6300" s="82"/>
      <c r="D6300" s="82"/>
      <c r="E6300" s="82"/>
      <c r="F6300" s="92"/>
      <c r="G6300" s="87"/>
      <c r="H6300" s="88"/>
      <c r="I6300" s="89"/>
      <c r="J6300" s="90"/>
      <c r="K6300" s="85"/>
      <c r="L6300" s="85"/>
      <c r="M6300" s="85"/>
      <c r="N6300" s="82"/>
      <c r="O6300" s="93"/>
    </row>
    <row r="6301" spans="1:15" ht="22.5" customHeight="1">
      <c r="A6301" s="85"/>
      <c r="B6301" s="82"/>
      <c r="C6301" s="82"/>
      <c r="D6301" s="82"/>
      <c r="E6301" s="82"/>
      <c r="F6301" s="92"/>
      <c r="G6301" s="87"/>
      <c r="H6301" s="88"/>
      <c r="I6301" s="89"/>
      <c r="J6301" s="90"/>
      <c r="K6301" s="85"/>
      <c r="L6301" s="85"/>
      <c r="M6301" s="85"/>
      <c r="N6301" s="82"/>
      <c r="O6301" s="93"/>
    </row>
    <row r="6302" spans="1:15" ht="22.5" customHeight="1">
      <c r="A6302" s="85"/>
      <c r="B6302" s="82"/>
      <c r="C6302" s="82"/>
      <c r="D6302" s="82"/>
      <c r="E6302" s="82"/>
      <c r="F6302" s="92"/>
      <c r="G6302" s="87"/>
      <c r="H6302" s="88"/>
      <c r="I6302" s="89"/>
      <c r="J6302" s="90"/>
      <c r="K6302" s="85"/>
      <c r="L6302" s="85"/>
      <c r="M6302" s="85"/>
      <c r="N6302" s="82"/>
      <c r="O6302" s="93"/>
    </row>
    <row r="6303" spans="1:15" ht="22.5" customHeight="1">
      <c r="A6303" s="85"/>
      <c r="B6303" s="82"/>
      <c r="C6303" s="82"/>
      <c r="D6303" s="82"/>
      <c r="E6303" s="82"/>
      <c r="F6303" s="92"/>
      <c r="G6303" s="87"/>
      <c r="H6303" s="88"/>
      <c r="I6303" s="89"/>
      <c r="J6303" s="90"/>
      <c r="K6303" s="85"/>
      <c r="L6303" s="85"/>
      <c r="M6303" s="85"/>
      <c r="N6303" s="82"/>
      <c r="O6303" s="93"/>
    </row>
    <row r="6304" spans="1:15" ht="22.5" customHeight="1">
      <c r="A6304" s="85"/>
      <c r="B6304" s="82"/>
      <c r="C6304" s="82"/>
      <c r="D6304" s="82"/>
      <c r="E6304" s="82"/>
      <c r="F6304" s="92"/>
      <c r="G6304" s="87"/>
      <c r="H6304" s="88"/>
      <c r="I6304" s="89"/>
      <c r="J6304" s="90"/>
      <c r="K6304" s="85"/>
      <c r="L6304" s="85"/>
      <c r="M6304" s="85"/>
      <c r="N6304" s="82"/>
      <c r="O6304" s="93"/>
    </row>
    <row r="6305" spans="1:15" ht="22.5" customHeight="1">
      <c r="A6305" s="85"/>
      <c r="B6305" s="82"/>
      <c r="C6305" s="82"/>
      <c r="D6305" s="82"/>
      <c r="E6305" s="82"/>
      <c r="F6305" s="92"/>
      <c r="G6305" s="87"/>
      <c r="H6305" s="88"/>
      <c r="I6305" s="89"/>
      <c r="J6305" s="90"/>
      <c r="K6305" s="85"/>
      <c r="L6305" s="85"/>
      <c r="M6305" s="85"/>
      <c r="N6305" s="82"/>
      <c r="O6305" s="93"/>
    </row>
    <row r="6306" spans="1:15" ht="22.5" customHeight="1">
      <c r="A6306" s="85"/>
      <c r="B6306" s="82"/>
      <c r="C6306" s="82"/>
      <c r="D6306" s="82"/>
      <c r="E6306" s="82"/>
      <c r="F6306" s="92"/>
      <c r="G6306" s="87"/>
      <c r="H6306" s="88"/>
      <c r="I6306" s="89"/>
      <c r="J6306" s="90"/>
      <c r="K6306" s="85"/>
      <c r="L6306" s="85"/>
      <c r="M6306" s="85"/>
      <c r="N6306" s="82"/>
      <c r="O6306" s="93"/>
    </row>
    <row r="6307" spans="1:15" ht="22.5" customHeight="1">
      <c r="A6307" s="85"/>
      <c r="B6307" s="82"/>
      <c r="C6307" s="82"/>
      <c r="D6307" s="82"/>
      <c r="E6307" s="82"/>
      <c r="F6307" s="92"/>
      <c r="G6307" s="87"/>
      <c r="H6307" s="88"/>
      <c r="I6307" s="89"/>
      <c r="J6307" s="90"/>
      <c r="K6307" s="85"/>
      <c r="L6307" s="85"/>
      <c r="M6307" s="85"/>
      <c r="N6307" s="82"/>
      <c r="O6307" s="93"/>
    </row>
    <row r="6308" spans="1:15" ht="22.5" customHeight="1">
      <c r="A6308" s="85"/>
      <c r="B6308" s="82"/>
      <c r="C6308" s="82"/>
      <c r="D6308" s="82"/>
      <c r="E6308" s="82"/>
      <c r="F6308" s="92"/>
      <c r="G6308" s="87"/>
      <c r="H6308" s="88"/>
      <c r="I6308" s="89"/>
      <c r="J6308" s="90"/>
      <c r="K6308" s="85"/>
      <c r="L6308" s="85"/>
      <c r="M6308" s="85"/>
      <c r="N6308" s="82"/>
      <c r="O6308" s="93"/>
    </row>
    <row r="6309" spans="1:15" ht="22.5" customHeight="1">
      <c r="A6309" s="85"/>
      <c r="B6309" s="82"/>
      <c r="C6309" s="82"/>
      <c r="D6309" s="82"/>
      <c r="E6309" s="82"/>
      <c r="F6309" s="92"/>
      <c r="G6309" s="87"/>
      <c r="H6309" s="88"/>
      <c r="I6309" s="89"/>
      <c r="J6309" s="90"/>
      <c r="K6309" s="85"/>
      <c r="L6309" s="85"/>
      <c r="M6309" s="85"/>
      <c r="N6309" s="82"/>
      <c r="O6309" s="93"/>
    </row>
    <row r="6310" spans="1:15" ht="22.5" customHeight="1">
      <c r="A6310" s="85"/>
      <c r="B6310" s="82"/>
      <c r="C6310" s="82"/>
      <c r="D6310" s="82"/>
      <c r="E6310" s="82"/>
      <c r="F6310" s="92"/>
      <c r="G6310" s="87"/>
      <c r="H6310" s="88"/>
      <c r="I6310" s="89"/>
      <c r="J6310" s="90"/>
      <c r="K6310" s="85"/>
      <c r="L6310" s="85"/>
      <c r="M6310" s="85"/>
      <c r="N6310" s="82"/>
      <c r="O6310" s="93"/>
    </row>
    <row r="6311" spans="1:15" ht="22.5" customHeight="1">
      <c r="A6311" s="85"/>
      <c r="B6311" s="82"/>
      <c r="C6311" s="82"/>
      <c r="D6311" s="82"/>
      <c r="E6311" s="82"/>
      <c r="F6311" s="92"/>
      <c r="G6311" s="87"/>
      <c r="H6311" s="88"/>
      <c r="I6311" s="89"/>
      <c r="J6311" s="90"/>
      <c r="K6311" s="85"/>
      <c r="L6311" s="85"/>
      <c r="M6311" s="85"/>
      <c r="N6311" s="82"/>
      <c r="O6311" s="93"/>
    </row>
    <row r="6312" spans="1:15" ht="22.5" customHeight="1">
      <c r="A6312" s="85"/>
      <c r="B6312" s="82"/>
      <c r="C6312" s="82"/>
      <c r="D6312" s="82"/>
      <c r="E6312" s="82"/>
      <c r="F6312" s="92"/>
      <c r="G6312" s="87"/>
      <c r="H6312" s="88"/>
      <c r="I6312" s="89"/>
      <c r="J6312" s="90"/>
      <c r="K6312" s="85"/>
      <c r="L6312" s="85"/>
      <c r="M6312" s="85"/>
      <c r="N6312" s="82"/>
      <c r="O6312" s="93"/>
    </row>
    <row r="6313" spans="1:15" ht="22.5" customHeight="1">
      <c r="A6313" s="85"/>
      <c r="B6313" s="82"/>
      <c r="C6313" s="82"/>
      <c r="D6313" s="82"/>
      <c r="E6313" s="82"/>
      <c r="F6313" s="92"/>
      <c r="G6313" s="87"/>
      <c r="H6313" s="88"/>
      <c r="I6313" s="89"/>
      <c r="J6313" s="90"/>
      <c r="K6313" s="85"/>
      <c r="L6313" s="85"/>
      <c r="M6313" s="85"/>
      <c r="N6313" s="82"/>
      <c r="O6313" s="93"/>
    </row>
    <row r="6314" spans="1:15" ht="22.5" customHeight="1">
      <c r="A6314" s="85"/>
      <c r="B6314" s="82"/>
      <c r="C6314" s="82"/>
      <c r="D6314" s="82"/>
      <c r="E6314" s="82"/>
      <c r="F6314" s="92"/>
      <c r="G6314" s="87"/>
      <c r="H6314" s="88"/>
      <c r="I6314" s="89"/>
      <c r="J6314" s="90"/>
      <c r="K6314" s="85"/>
      <c r="L6314" s="85"/>
      <c r="M6314" s="85"/>
      <c r="N6314" s="82"/>
      <c r="O6314" s="93"/>
    </row>
    <row r="6315" spans="1:15" ht="22.5" customHeight="1">
      <c r="A6315" s="85"/>
      <c r="B6315" s="82"/>
      <c r="C6315" s="82"/>
      <c r="D6315" s="82"/>
      <c r="E6315" s="82"/>
      <c r="F6315" s="92"/>
      <c r="G6315" s="87"/>
      <c r="H6315" s="88"/>
      <c r="I6315" s="89"/>
      <c r="J6315" s="90"/>
      <c r="K6315" s="85"/>
      <c r="L6315" s="85"/>
      <c r="M6315" s="85"/>
      <c r="N6315" s="82"/>
      <c r="O6315" s="93"/>
    </row>
    <row r="6316" spans="1:15" ht="22.5" customHeight="1">
      <c r="A6316" s="85"/>
      <c r="B6316" s="82"/>
      <c r="C6316" s="82"/>
      <c r="D6316" s="82"/>
      <c r="E6316" s="82"/>
      <c r="F6316" s="92"/>
      <c r="G6316" s="87"/>
      <c r="H6316" s="88"/>
      <c r="I6316" s="89"/>
      <c r="J6316" s="90"/>
      <c r="K6316" s="85"/>
      <c r="L6316" s="85"/>
      <c r="M6316" s="85"/>
      <c r="N6316" s="82"/>
      <c r="O6316" s="93"/>
    </row>
    <row r="6317" spans="1:15" ht="22.5" customHeight="1">
      <c r="A6317" s="85"/>
      <c r="B6317" s="82"/>
      <c r="C6317" s="82"/>
      <c r="D6317" s="82"/>
      <c r="E6317" s="82"/>
      <c r="F6317" s="92"/>
      <c r="G6317" s="87"/>
      <c r="H6317" s="88"/>
      <c r="I6317" s="89"/>
      <c r="J6317" s="90"/>
      <c r="K6317" s="85"/>
      <c r="L6317" s="85"/>
      <c r="M6317" s="85"/>
      <c r="N6317" s="82"/>
      <c r="O6317" s="93"/>
    </row>
    <row r="6318" spans="1:15" ht="22.5" customHeight="1">
      <c r="A6318" s="85"/>
      <c r="B6318" s="82"/>
      <c r="C6318" s="82"/>
      <c r="D6318" s="82"/>
      <c r="E6318" s="82"/>
      <c r="F6318" s="92"/>
      <c r="G6318" s="87"/>
      <c r="H6318" s="88"/>
      <c r="I6318" s="89"/>
      <c r="J6318" s="90"/>
      <c r="K6318" s="85"/>
      <c r="L6318" s="85"/>
      <c r="M6318" s="85"/>
      <c r="N6318" s="82"/>
      <c r="O6318" s="93"/>
    </row>
    <row r="6319" spans="1:15" ht="22.5" customHeight="1">
      <c r="A6319" s="85"/>
      <c r="B6319" s="82"/>
      <c r="C6319" s="82"/>
      <c r="D6319" s="82"/>
      <c r="E6319" s="82"/>
      <c r="F6319" s="92"/>
      <c r="G6319" s="87"/>
      <c r="H6319" s="88"/>
      <c r="I6319" s="89"/>
      <c r="J6319" s="90"/>
      <c r="K6319" s="85"/>
      <c r="L6319" s="85"/>
      <c r="M6319" s="85"/>
      <c r="N6319" s="82"/>
      <c r="O6319" s="93"/>
    </row>
    <row r="6320" spans="1:15" ht="22.5" customHeight="1">
      <c r="A6320" s="85"/>
      <c r="B6320" s="82"/>
      <c r="C6320" s="82"/>
      <c r="D6320" s="82"/>
      <c r="E6320" s="82"/>
      <c r="F6320" s="92"/>
      <c r="G6320" s="87"/>
      <c r="H6320" s="88"/>
      <c r="I6320" s="89"/>
      <c r="J6320" s="90"/>
      <c r="K6320" s="85"/>
      <c r="L6320" s="85"/>
      <c r="M6320" s="85"/>
      <c r="N6320" s="82"/>
      <c r="O6320" s="93"/>
    </row>
    <row r="6321" spans="1:15" ht="22.5" customHeight="1">
      <c r="A6321" s="85"/>
      <c r="B6321" s="82"/>
      <c r="C6321" s="82"/>
      <c r="D6321" s="82"/>
      <c r="E6321" s="82"/>
      <c r="F6321" s="92"/>
      <c r="G6321" s="87"/>
      <c r="H6321" s="88"/>
      <c r="I6321" s="89"/>
      <c r="J6321" s="90"/>
      <c r="K6321" s="85"/>
      <c r="L6321" s="85"/>
      <c r="M6321" s="85"/>
      <c r="N6321" s="82"/>
      <c r="O6321" s="93"/>
    </row>
    <row r="6322" spans="1:15" ht="22.5" customHeight="1">
      <c r="A6322" s="85"/>
      <c r="B6322" s="82"/>
      <c r="C6322" s="82"/>
      <c r="D6322" s="82"/>
      <c r="E6322" s="82"/>
      <c r="F6322" s="92"/>
      <c r="G6322" s="87"/>
      <c r="H6322" s="88"/>
      <c r="I6322" s="89"/>
      <c r="J6322" s="90"/>
      <c r="K6322" s="85"/>
      <c r="L6322" s="85"/>
      <c r="M6322" s="85"/>
      <c r="N6322" s="82"/>
      <c r="O6322" s="93"/>
    </row>
    <row r="6323" spans="1:15" ht="22.5" customHeight="1">
      <c r="A6323" s="85"/>
      <c r="B6323" s="82"/>
      <c r="C6323" s="82"/>
      <c r="D6323" s="82"/>
      <c r="E6323" s="82"/>
      <c r="F6323" s="92"/>
      <c r="G6323" s="87"/>
      <c r="H6323" s="88"/>
      <c r="I6323" s="89"/>
      <c r="J6323" s="90"/>
      <c r="K6323" s="85"/>
      <c r="L6323" s="85"/>
      <c r="M6323" s="85"/>
      <c r="N6323" s="82"/>
      <c r="O6323" s="93"/>
    </row>
    <row r="6324" spans="1:15" ht="22.5" customHeight="1">
      <c r="A6324" s="85"/>
      <c r="B6324" s="82"/>
      <c r="C6324" s="82"/>
      <c r="D6324" s="82"/>
      <c r="E6324" s="82"/>
      <c r="F6324" s="92"/>
      <c r="G6324" s="87"/>
      <c r="H6324" s="88"/>
      <c r="I6324" s="89"/>
      <c r="J6324" s="90"/>
      <c r="K6324" s="85"/>
      <c r="L6324" s="85"/>
      <c r="M6324" s="85"/>
      <c r="N6324" s="82"/>
      <c r="O6324" s="93"/>
    </row>
    <row r="6325" spans="1:15" ht="22.5" customHeight="1">
      <c r="A6325" s="85"/>
      <c r="B6325" s="82"/>
      <c r="C6325" s="82"/>
      <c r="D6325" s="82"/>
      <c r="E6325" s="82"/>
      <c r="F6325" s="92"/>
      <c r="G6325" s="87"/>
      <c r="H6325" s="88"/>
      <c r="I6325" s="89"/>
      <c r="J6325" s="90"/>
      <c r="K6325" s="85"/>
      <c r="L6325" s="85"/>
      <c r="M6325" s="85"/>
      <c r="N6325" s="82"/>
      <c r="O6325" s="93"/>
    </row>
    <row r="6326" spans="1:15" ht="22.5" customHeight="1">
      <c r="A6326" s="85"/>
      <c r="B6326" s="82"/>
      <c r="C6326" s="82"/>
      <c r="D6326" s="82"/>
      <c r="E6326" s="82"/>
      <c r="F6326" s="92"/>
      <c r="G6326" s="87"/>
      <c r="H6326" s="88"/>
      <c r="I6326" s="89"/>
      <c r="J6326" s="90"/>
      <c r="K6326" s="85"/>
      <c r="L6326" s="85"/>
      <c r="M6326" s="85"/>
      <c r="N6326" s="82"/>
      <c r="O6326" s="93"/>
    </row>
    <row r="6327" spans="1:15" ht="22.5" customHeight="1">
      <c r="A6327" s="85"/>
      <c r="B6327" s="82"/>
      <c r="C6327" s="82"/>
      <c r="D6327" s="82"/>
      <c r="E6327" s="82"/>
      <c r="F6327" s="92"/>
      <c r="G6327" s="87"/>
      <c r="H6327" s="88"/>
      <c r="I6327" s="89"/>
      <c r="J6327" s="90"/>
      <c r="K6327" s="85"/>
      <c r="L6327" s="85"/>
      <c r="M6327" s="85"/>
      <c r="N6327" s="82"/>
      <c r="O6327" s="93"/>
    </row>
    <row r="6328" spans="1:15" ht="22.5" customHeight="1">
      <c r="A6328" s="85"/>
      <c r="B6328" s="82"/>
      <c r="C6328" s="82"/>
      <c r="D6328" s="82"/>
      <c r="E6328" s="82"/>
      <c r="F6328" s="92"/>
      <c r="G6328" s="87"/>
      <c r="H6328" s="88"/>
      <c r="I6328" s="89"/>
      <c r="J6328" s="90"/>
      <c r="K6328" s="85"/>
      <c r="L6328" s="85"/>
      <c r="M6328" s="85"/>
      <c r="N6328" s="82"/>
      <c r="O6328" s="93"/>
    </row>
    <row r="6329" spans="1:15" ht="22.5" customHeight="1">
      <c r="A6329" s="85"/>
      <c r="B6329" s="82"/>
      <c r="C6329" s="82"/>
      <c r="D6329" s="82"/>
      <c r="E6329" s="82"/>
      <c r="F6329" s="92"/>
      <c r="G6329" s="87"/>
      <c r="H6329" s="88"/>
      <c r="I6329" s="89"/>
      <c r="J6329" s="90"/>
      <c r="K6329" s="85"/>
      <c r="L6329" s="85"/>
      <c r="M6329" s="85"/>
      <c r="N6329" s="82"/>
      <c r="O6329" s="93"/>
    </row>
    <row r="6330" spans="1:15" ht="22.5" customHeight="1">
      <c r="A6330" s="85"/>
      <c r="B6330" s="82"/>
      <c r="C6330" s="82"/>
      <c r="D6330" s="82"/>
      <c r="E6330" s="82"/>
      <c r="F6330" s="92"/>
      <c r="G6330" s="87"/>
      <c r="H6330" s="88"/>
      <c r="I6330" s="89"/>
      <c r="J6330" s="90"/>
      <c r="K6330" s="85"/>
      <c r="L6330" s="85"/>
      <c r="M6330" s="85"/>
      <c r="N6330" s="82"/>
      <c r="O6330" s="93"/>
    </row>
    <row r="6331" spans="1:15" ht="22.5" customHeight="1">
      <c r="A6331" s="85"/>
      <c r="B6331" s="82"/>
      <c r="C6331" s="82"/>
      <c r="D6331" s="82"/>
      <c r="E6331" s="82"/>
      <c r="F6331" s="92"/>
      <c r="G6331" s="87"/>
      <c r="H6331" s="88"/>
      <c r="I6331" s="89"/>
      <c r="J6331" s="90"/>
      <c r="K6331" s="85"/>
      <c r="L6331" s="85"/>
      <c r="M6331" s="85"/>
      <c r="N6331" s="82"/>
      <c r="O6331" s="93"/>
    </row>
    <row r="6332" spans="1:15" ht="22.5" customHeight="1">
      <c r="A6332" s="85"/>
      <c r="B6332" s="82"/>
      <c r="C6332" s="82"/>
      <c r="D6332" s="82"/>
      <c r="E6332" s="82"/>
      <c r="F6332" s="92"/>
      <c r="G6332" s="87"/>
      <c r="H6332" s="88"/>
      <c r="I6332" s="89"/>
      <c r="J6332" s="90"/>
      <c r="K6332" s="85"/>
      <c r="L6332" s="85"/>
      <c r="M6332" s="85"/>
      <c r="N6332" s="82"/>
      <c r="O6332" s="93"/>
    </row>
    <row r="6333" spans="1:15" ht="22.5" customHeight="1">
      <c r="A6333" s="85"/>
      <c r="B6333" s="82"/>
      <c r="C6333" s="82"/>
      <c r="D6333" s="82"/>
      <c r="E6333" s="82"/>
      <c r="F6333" s="92"/>
      <c r="G6333" s="87"/>
      <c r="H6333" s="88"/>
      <c r="I6333" s="89"/>
      <c r="J6333" s="90"/>
      <c r="K6333" s="85"/>
      <c r="L6333" s="85"/>
      <c r="M6333" s="85"/>
      <c r="N6333" s="82"/>
      <c r="O6333" s="93"/>
    </row>
    <row r="6334" spans="1:15" ht="22.5" customHeight="1">
      <c r="A6334" s="85"/>
      <c r="B6334" s="82"/>
      <c r="C6334" s="82"/>
      <c r="D6334" s="82"/>
      <c r="E6334" s="82"/>
      <c r="F6334" s="92"/>
      <c r="G6334" s="87"/>
      <c r="H6334" s="88"/>
      <c r="I6334" s="89"/>
      <c r="J6334" s="90"/>
      <c r="K6334" s="85"/>
      <c r="L6334" s="85"/>
      <c r="M6334" s="85"/>
      <c r="N6334" s="82"/>
      <c r="O6334" s="93"/>
    </row>
    <row r="6335" spans="1:15" ht="22.5" customHeight="1">
      <c r="A6335" s="85"/>
      <c r="B6335" s="82"/>
      <c r="C6335" s="82"/>
      <c r="D6335" s="82"/>
      <c r="E6335" s="82"/>
      <c r="F6335" s="92"/>
      <c r="G6335" s="87"/>
      <c r="H6335" s="88"/>
      <c r="I6335" s="89"/>
      <c r="J6335" s="90"/>
      <c r="K6335" s="85"/>
      <c r="L6335" s="85"/>
      <c r="M6335" s="85"/>
      <c r="N6335" s="82"/>
      <c r="O6335" s="93"/>
    </row>
    <row r="6336" spans="1:15" ht="22.5" customHeight="1">
      <c r="A6336" s="85"/>
      <c r="B6336" s="82"/>
      <c r="C6336" s="82"/>
      <c r="D6336" s="82"/>
      <c r="E6336" s="82"/>
      <c r="F6336" s="92"/>
      <c r="G6336" s="87"/>
      <c r="H6336" s="88"/>
      <c r="I6336" s="89"/>
      <c r="J6336" s="90"/>
      <c r="K6336" s="85"/>
      <c r="L6336" s="85"/>
      <c r="M6336" s="85"/>
      <c r="N6336" s="82"/>
      <c r="O6336" s="93"/>
    </row>
    <row r="6337" spans="1:15" ht="22.5" customHeight="1">
      <c r="A6337" s="85"/>
      <c r="B6337" s="82"/>
      <c r="C6337" s="82"/>
      <c r="D6337" s="82"/>
      <c r="E6337" s="82"/>
      <c r="F6337" s="92"/>
      <c r="G6337" s="87"/>
      <c r="H6337" s="88"/>
      <c r="I6337" s="89"/>
      <c r="J6337" s="90"/>
      <c r="K6337" s="85"/>
      <c r="L6337" s="85"/>
      <c r="M6337" s="85"/>
      <c r="N6337" s="82"/>
      <c r="O6337" s="93"/>
    </row>
    <row r="6338" spans="1:15" ht="22.5" customHeight="1">
      <c r="A6338" s="85"/>
      <c r="B6338" s="82"/>
      <c r="C6338" s="82"/>
      <c r="D6338" s="82"/>
      <c r="E6338" s="82"/>
      <c r="F6338" s="92"/>
      <c r="G6338" s="87"/>
      <c r="H6338" s="88"/>
      <c r="I6338" s="89"/>
      <c r="J6338" s="90"/>
      <c r="K6338" s="85"/>
      <c r="L6338" s="85"/>
      <c r="M6338" s="85"/>
      <c r="N6338" s="82"/>
      <c r="O6338" s="93"/>
    </row>
    <row r="6339" spans="1:15" ht="22.5" customHeight="1">
      <c r="A6339" s="85"/>
      <c r="B6339" s="82"/>
      <c r="C6339" s="82"/>
      <c r="D6339" s="82"/>
      <c r="E6339" s="82"/>
      <c r="F6339" s="92"/>
      <c r="G6339" s="87"/>
      <c r="H6339" s="88"/>
      <c r="I6339" s="89"/>
      <c r="J6339" s="90"/>
      <c r="K6339" s="85"/>
      <c r="L6339" s="85"/>
      <c r="M6339" s="85"/>
      <c r="N6339" s="82"/>
      <c r="O6339" s="93"/>
    </row>
    <row r="6340" spans="1:15" ht="22.5" customHeight="1">
      <c r="A6340" s="85"/>
      <c r="B6340" s="82"/>
      <c r="C6340" s="82"/>
      <c r="D6340" s="82"/>
      <c r="E6340" s="82"/>
      <c r="F6340" s="92"/>
      <c r="G6340" s="87"/>
      <c r="H6340" s="88"/>
      <c r="I6340" s="89"/>
      <c r="J6340" s="90"/>
      <c r="K6340" s="85"/>
      <c r="L6340" s="85"/>
      <c r="M6340" s="85"/>
      <c r="N6340" s="82"/>
      <c r="O6340" s="93"/>
    </row>
    <row r="6341" spans="1:15" ht="22.5" customHeight="1">
      <c r="A6341" s="85"/>
      <c r="B6341" s="82"/>
      <c r="C6341" s="82"/>
      <c r="D6341" s="82"/>
      <c r="E6341" s="82"/>
      <c r="F6341" s="92"/>
      <c r="G6341" s="87"/>
      <c r="H6341" s="88"/>
      <c r="I6341" s="89"/>
      <c r="J6341" s="90"/>
      <c r="K6341" s="85"/>
      <c r="L6341" s="85"/>
      <c r="M6341" s="85"/>
      <c r="N6341" s="82"/>
      <c r="O6341" s="93"/>
    </row>
    <row r="6342" spans="1:15" ht="22.5" customHeight="1">
      <c r="A6342" s="85"/>
      <c r="B6342" s="82"/>
      <c r="C6342" s="82"/>
      <c r="D6342" s="82"/>
      <c r="E6342" s="82"/>
      <c r="F6342" s="92"/>
      <c r="G6342" s="87"/>
      <c r="H6342" s="88"/>
      <c r="I6342" s="89"/>
      <c r="J6342" s="90"/>
      <c r="K6342" s="85"/>
      <c r="L6342" s="85"/>
      <c r="M6342" s="85"/>
      <c r="N6342" s="82"/>
      <c r="O6342" s="93"/>
    </row>
    <row r="6343" spans="1:15" ht="22.5" customHeight="1">
      <c r="A6343" s="85"/>
      <c r="B6343" s="82"/>
      <c r="C6343" s="82"/>
      <c r="D6343" s="82"/>
      <c r="E6343" s="82"/>
      <c r="F6343" s="92"/>
      <c r="G6343" s="87"/>
      <c r="H6343" s="88"/>
      <c r="I6343" s="89"/>
      <c r="J6343" s="90"/>
      <c r="K6343" s="85"/>
      <c r="L6343" s="85"/>
      <c r="M6343" s="85"/>
      <c r="N6343" s="82"/>
      <c r="O6343" s="93"/>
    </row>
    <row r="6344" spans="1:15" ht="22.5" customHeight="1">
      <c r="A6344" s="85"/>
      <c r="B6344" s="82"/>
      <c r="C6344" s="82"/>
      <c r="D6344" s="82"/>
      <c r="E6344" s="82"/>
      <c r="F6344" s="92"/>
      <c r="G6344" s="87"/>
      <c r="H6344" s="88"/>
      <c r="I6344" s="89"/>
      <c r="J6344" s="90"/>
      <c r="K6344" s="85"/>
      <c r="L6344" s="85"/>
      <c r="M6344" s="85"/>
      <c r="N6344" s="82"/>
      <c r="O6344" s="93"/>
    </row>
    <row r="6345" spans="1:15" ht="22.5" customHeight="1">
      <c r="A6345" s="85"/>
      <c r="B6345" s="82"/>
      <c r="C6345" s="82"/>
      <c r="D6345" s="82"/>
      <c r="E6345" s="82"/>
      <c r="F6345" s="92"/>
      <c r="G6345" s="87"/>
      <c r="H6345" s="88"/>
      <c r="I6345" s="89"/>
      <c r="J6345" s="90"/>
      <c r="K6345" s="85"/>
      <c r="L6345" s="85"/>
      <c r="M6345" s="85"/>
      <c r="N6345" s="82"/>
      <c r="O6345" s="93"/>
    </row>
    <row r="6346" spans="1:15" ht="22.5" customHeight="1">
      <c r="A6346" s="85"/>
      <c r="B6346" s="82"/>
      <c r="C6346" s="82"/>
      <c r="D6346" s="82"/>
      <c r="E6346" s="82"/>
      <c r="F6346" s="92"/>
      <c r="G6346" s="87"/>
      <c r="H6346" s="88"/>
      <c r="I6346" s="89"/>
      <c r="J6346" s="90"/>
      <c r="K6346" s="85"/>
      <c r="L6346" s="85"/>
      <c r="M6346" s="85"/>
      <c r="N6346" s="82"/>
      <c r="O6346" s="93"/>
    </row>
    <row r="6347" spans="1:15" ht="22.5" customHeight="1">
      <c r="A6347" s="85"/>
      <c r="B6347" s="82"/>
      <c r="C6347" s="82"/>
      <c r="D6347" s="82"/>
      <c r="E6347" s="82"/>
      <c r="F6347" s="92"/>
      <c r="G6347" s="87"/>
      <c r="H6347" s="88"/>
      <c r="I6347" s="89"/>
      <c r="J6347" s="90"/>
      <c r="K6347" s="85"/>
      <c r="L6347" s="85"/>
      <c r="M6347" s="85"/>
      <c r="N6347" s="82"/>
      <c r="O6347" s="93"/>
    </row>
    <row r="6348" spans="1:15" ht="22.5" customHeight="1">
      <c r="A6348" s="85"/>
      <c r="B6348" s="82"/>
      <c r="C6348" s="82"/>
      <c r="D6348" s="82"/>
      <c r="E6348" s="82"/>
      <c r="F6348" s="92"/>
      <c r="G6348" s="87"/>
      <c r="H6348" s="88"/>
      <c r="I6348" s="89"/>
      <c r="J6348" s="90"/>
      <c r="K6348" s="85"/>
      <c r="L6348" s="85"/>
      <c r="M6348" s="85"/>
      <c r="N6348" s="82"/>
      <c r="O6348" s="93"/>
    </row>
    <row r="6349" spans="1:15" ht="22.5" customHeight="1">
      <c r="A6349" s="85"/>
      <c r="B6349" s="82"/>
      <c r="C6349" s="82"/>
      <c r="D6349" s="82"/>
      <c r="E6349" s="82"/>
      <c r="F6349" s="92"/>
      <c r="G6349" s="87"/>
      <c r="H6349" s="88"/>
      <c r="I6349" s="89"/>
      <c r="J6349" s="90"/>
      <c r="K6349" s="85"/>
      <c r="L6349" s="85"/>
      <c r="M6349" s="85"/>
      <c r="N6349" s="82"/>
      <c r="O6349" s="93"/>
    </row>
    <row r="6350" spans="1:15" ht="22.5" customHeight="1">
      <c r="A6350" s="85"/>
      <c r="B6350" s="82"/>
      <c r="C6350" s="82"/>
      <c r="D6350" s="82"/>
      <c r="E6350" s="82"/>
      <c r="F6350" s="92"/>
      <c r="G6350" s="87"/>
      <c r="H6350" s="88"/>
      <c r="I6350" s="89"/>
      <c r="J6350" s="90"/>
      <c r="K6350" s="85"/>
      <c r="L6350" s="85"/>
      <c r="M6350" s="85"/>
      <c r="N6350" s="82"/>
      <c r="O6350" s="93"/>
    </row>
    <row r="6351" spans="1:15" ht="22.5" customHeight="1">
      <c r="A6351" s="85"/>
      <c r="B6351" s="82"/>
      <c r="C6351" s="82"/>
      <c r="D6351" s="82"/>
      <c r="E6351" s="82"/>
      <c r="F6351" s="92"/>
      <c r="G6351" s="87"/>
      <c r="H6351" s="88"/>
      <c r="I6351" s="89"/>
      <c r="J6351" s="90"/>
      <c r="K6351" s="85"/>
      <c r="L6351" s="85"/>
      <c r="M6351" s="85"/>
      <c r="N6351" s="82"/>
      <c r="O6351" s="93"/>
    </row>
    <row r="6352" spans="1:15" ht="22.5" customHeight="1">
      <c r="A6352" s="85"/>
      <c r="B6352" s="82"/>
      <c r="C6352" s="82"/>
      <c r="D6352" s="82"/>
      <c r="E6352" s="82"/>
      <c r="F6352" s="92"/>
      <c r="G6352" s="87"/>
      <c r="H6352" s="88"/>
      <c r="I6352" s="89"/>
      <c r="J6352" s="90"/>
      <c r="K6352" s="85"/>
      <c r="L6352" s="85"/>
      <c r="M6352" s="85"/>
      <c r="N6352" s="82"/>
      <c r="O6352" s="93"/>
    </row>
    <row r="6353" spans="1:15" ht="22.5" customHeight="1">
      <c r="A6353" s="85"/>
      <c r="B6353" s="82"/>
      <c r="C6353" s="82"/>
      <c r="D6353" s="82"/>
      <c r="E6353" s="82"/>
      <c r="F6353" s="92"/>
      <c r="G6353" s="87"/>
      <c r="H6353" s="88"/>
      <c r="I6353" s="89"/>
      <c r="J6353" s="90"/>
      <c r="K6353" s="85"/>
      <c r="L6353" s="85"/>
      <c r="M6353" s="85"/>
      <c r="N6353" s="82"/>
      <c r="O6353" s="93"/>
    </row>
    <row r="6354" spans="1:15" ht="22.5" customHeight="1">
      <c r="A6354" s="85"/>
      <c r="B6354" s="82"/>
      <c r="C6354" s="82"/>
      <c r="D6354" s="82"/>
      <c r="E6354" s="82"/>
      <c r="F6354" s="92"/>
      <c r="G6354" s="87"/>
      <c r="H6354" s="88"/>
      <c r="I6354" s="89"/>
      <c r="J6354" s="90"/>
      <c r="K6354" s="85"/>
      <c r="L6354" s="85"/>
      <c r="M6354" s="85"/>
      <c r="N6354" s="82"/>
      <c r="O6354" s="93"/>
    </row>
    <row r="6355" spans="1:15" ht="22.5" customHeight="1">
      <c r="A6355" s="85"/>
      <c r="B6355" s="82"/>
      <c r="C6355" s="82"/>
      <c r="D6355" s="82"/>
      <c r="E6355" s="82"/>
      <c r="F6355" s="92"/>
      <c r="G6355" s="87"/>
      <c r="H6355" s="88"/>
      <c r="I6355" s="89"/>
      <c r="J6355" s="90"/>
      <c r="K6355" s="85"/>
      <c r="L6355" s="85"/>
      <c r="M6355" s="85"/>
      <c r="N6355" s="82"/>
      <c r="O6355" s="93"/>
    </row>
    <row r="6356" spans="1:15" ht="22.5" customHeight="1">
      <c r="A6356" s="85"/>
      <c r="B6356" s="82"/>
      <c r="C6356" s="82"/>
      <c r="D6356" s="82"/>
      <c r="E6356" s="82"/>
      <c r="F6356" s="92"/>
      <c r="G6356" s="87"/>
      <c r="H6356" s="88"/>
      <c r="I6356" s="89"/>
      <c r="J6356" s="90"/>
      <c r="K6356" s="85"/>
      <c r="L6356" s="85"/>
      <c r="M6356" s="85"/>
      <c r="N6356" s="82"/>
      <c r="O6356" s="93"/>
    </row>
    <row r="6357" spans="1:15" ht="22.5" customHeight="1">
      <c r="A6357" s="85"/>
      <c r="B6357" s="82"/>
      <c r="C6357" s="82"/>
      <c r="D6357" s="82"/>
      <c r="E6357" s="82"/>
      <c r="F6357" s="92"/>
      <c r="G6357" s="87"/>
      <c r="H6357" s="88"/>
      <c r="I6357" s="89"/>
      <c r="J6357" s="90"/>
      <c r="K6357" s="85"/>
      <c r="L6357" s="85"/>
      <c r="M6357" s="85"/>
      <c r="N6357" s="82"/>
      <c r="O6357" s="93"/>
    </row>
    <row r="6358" spans="1:15" ht="22.5" customHeight="1">
      <c r="A6358" s="85"/>
      <c r="B6358" s="82"/>
      <c r="C6358" s="82"/>
      <c r="D6358" s="82"/>
      <c r="E6358" s="82"/>
      <c r="F6358" s="92"/>
      <c r="G6358" s="87"/>
      <c r="H6358" s="88"/>
      <c r="I6358" s="89"/>
      <c r="J6358" s="90"/>
      <c r="K6358" s="85"/>
      <c r="L6358" s="85"/>
      <c r="M6358" s="85"/>
      <c r="N6358" s="82"/>
      <c r="O6358" s="93"/>
    </row>
    <row r="6359" spans="1:15" ht="22.5" customHeight="1">
      <c r="A6359" s="85"/>
      <c r="B6359" s="82"/>
      <c r="C6359" s="82"/>
      <c r="D6359" s="82"/>
      <c r="E6359" s="82"/>
      <c r="F6359" s="92"/>
      <c r="G6359" s="87"/>
      <c r="H6359" s="88"/>
      <c r="I6359" s="89"/>
      <c r="J6359" s="90"/>
      <c r="K6359" s="85"/>
      <c r="L6359" s="85"/>
      <c r="M6359" s="85"/>
      <c r="N6359" s="82"/>
      <c r="O6359" s="93"/>
    </row>
    <row r="6360" spans="1:15" ht="22.5" customHeight="1">
      <c r="A6360" s="85"/>
      <c r="B6360" s="82"/>
      <c r="C6360" s="82"/>
      <c r="D6360" s="82"/>
      <c r="E6360" s="82"/>
      <c r="F6360" s="92"/>
      <c r="G6360" s="87"/>
      <c r="H6360" s="88"/>
      <c r="I6360" s="89"/>
      <c r="J6360" s="90"/>
      <c r="K6360" s="85"/>
      <c r="L6360" s="85"/>
      <c r="M6360" s="85"/>
      <c r="N6360" s="82"/>
      <c r="O6360" s="93"/>
    </row>
    <row r="6361" spans="1:15" ht="22.5" customHeight="1">
      <c r="A6361" s="85"/>
      <c r="B6361" s="82"/>
      <c r="C6361" s="82"/>
      <c r="D6361" s="82"/>
      <c r="E6361" s="82"/>
      <c r="F6361" s="92"/>
      <c r="G6361" s="87"/>
      <c r="H6361" s="88"/>
      <c r="I6361" s="89"/>
      <c r="J6361" s="90"/>
      <c r="K6361" s="85"/>
      <c r="L6361" s="85"/>
      <c r="M6361" s="85"/>
      <c r="N6361" s="82"/>
      <c r="O6361" s="93"/>
    </row>
    <row r="6362" spans="1:15" ht="22.5" customHeight="1">
      <c r="A6362" s="85"/>
      <c r="B6362" s="82"/>
      <c r="C6362" s="82"/>
      <c r="D6362" s="82"/>
      <c r="E6362" s="82"/>
      <c r="F6362" s="92"/>
      <c r="G6362" s="87"/>
      <c r="H6362" s="88"/>
      <c r="I6362" s="89"/>
      <c r="J6362" s="90"/>
      <c r="K6362" s="85"/>
      <c r="L6362" s="85"/>
      <c r="M6362" s="85"/>
      <c r="N6362" s="82"/>
      <c r="O6362" s="93"/>
    </row>
    <row r="6363" spans="1:15" ht="22.5" customHeight="1">
      <c r="A6363" s="85"/>
      <c r="B6363" s="82"/>
      <c r="C6363" s="82"/>
      <c r="D6363" s="82"/>
      <c r="E6363" s="82"/>
      <c r="F6363" s="92"/>
      <c r="G6363" s="87"/>
      <c r="H6363" s="88"/>
      <c r="I6363" s="89"/>
      <c r="J6363" s="90"/>
      <c r="K6363" s="85"/>
      <c r="L6363" s="85"/>
      <c r="M6363" s="85"/>
      <c r="N6363" s="82"/>
      <c r="O6363" s="93"/>
    </row>
    <row r="6364" spans="1:15" ht="22.5" customHeight="1">
      <c r="A6364" s="85"/>
      <c r="B6364" s="82"/>
      <c r="C6364" s="82"/>
      <c r="D6364" s="82"/>
      <c r="E6364" s="82"/>
      <c r="F6364" s="92"/>
      <c r="G6364" s="87"/>
      <c r="H6364" s="88"/>
      <c r="I6364" s="89"/>
      <c r="J6364" s="90"/>
      <c r="K6364" s="85"/>
      <c r="L6364" s="85"/>
      <c r="M6364" s="85"/>
      <c r="N6364" s="82"/>
      <c r="O6364" s="93"/>
    </row>
    <row r="6365" spans="1:15" ht="22.5" customHeight="1">
      <c r="A6365" s="85"/>
      <c r="B6365" s="82"/>
      <c r="C6365" s="82"/>
      <c r="D6365" s="82"/>
      <c r="E6365" s="82"/>
      <c r="F6365" s="92"/>
      <c r="G6365" s="87"/>
      <c r="H6365" s="88"/>
      <c r="I6365" s="89"/>
      <c r="J6365" s="90"/>
      <c r="K6365" s="85"/>
      <c r="L6365" s="85"/>
      <c r="M6365" s="85"/>
      <c r="N6365" s="82"/>
      <c r="O6365" s="93"/>
    </row>
    <row r="6366" spans="1:15" ht="22.5" customHeight="1">
      <c r="A6366" s="85"/>
      <c r="B6366" s="82"/>
      <c r="C6366" s="82"/>
      <c r="D6366" s="82"/>
      <c r="E6366" s="82"/>
      <c r="F6366" s="92"/>
      <c r="G6366" s="87"/>
      <c r="H6366" s="88"/>
      <c r="I6366" s="89"/>
      <c r="J6366" s="90"/>
      <c r="K6366" s="85"/>
      <c r="L6366" s="85"/>
      <c r="M6366" s="85"/>
      <c r="N6366" s="82"/>
      <c r="O6366" s="93"/>
    </row>
    <row r="6367" spans="1:15" ht="22.5" customHeight="1">
      <c r="A6367" s="85"/>
      <c r="B6367" s="82"/>
      <c r="C6367" s="82"/>
      <c r="D6367" s="82"/>
      <c r="E6367" s="82"/>
      <c r="F6367" s="92"/>
      <c r="G6367" s="87"/>
      <c r="H6367" s="88"/>
      <c r="I6367" s="89"/>
      <c r="J6367" s="90"/>
      <c r="K6367" s="85"/>
      <c r="L6367" s="85"/>
      <c r="M6367" s="85"/>
      <c r="N6367" s="82"/>
      <c r="O6367" s="93"/>
    </row>
    <row r="6368" spans="1:15" ht="22.5" customHeight="1">
      <c r="A6368" s="85"/>
      <c r="B6368" s="82"/>
      <c r="C6368" s="82"/>
      <c r="D6368" s="82"/>
      <c r="E6368" s="82"/>
      <c r="F6368" s="92"/>
      <c r="G6368" s="87"/>
      <c r="H6368" s="88"/>
      <c r="I6368" s="89"/>
      <c r="J6368" s="90"/>
      <c r="K6368" s="85"/>
      <c r="L6368" s="85"/>
      <c r="M6368" s="85"/>
      <c r="N6368" s="82"/>
      <c r="O6368" s="93"/>
    </row>
    <row r="6369" spans="1:15" ht="22.5" customHeight="1">
      <c r="A6369" s="85"/>
      <c r="B6369" s="82"/>
      <c r="C6369" s="82"/>
      <c r="D6369" s="82"/>
      <c r="E6369" s="82"/>
      <c r="F6369" s="92"/>
      <c r="G6369" s="87"/>
      <c r="H6369" s="88"/>
      <c r="I6369" s="89"/>
      <c r="J6369" s="90"/>
      <c r="K6369" s="85"/>
      <c r="L6369" s="85"/>
      <c r="M6369" s="85"/>
      <c r="N6369" s="82"/>
      <c r="O6369" s="93"/>
    </row>
    <row r="6370" spans="1:15" ht="22.5" customHeight="1">
      <c r="A6370" s="85"/>
      <c r="B6370" s="82"/>
      <c r="C6370" s="82"/>
      <c r="D6370" s="82"/>
      <c r="E6370" s="82"/>
      <c r="F6370" s="92"/>
      <c r="G6370" s="87"/>
      <c r="H6370" s="88"/>
      <c r="I6370" s="89"/>
      <c r="J6370" s="90"/>
      <c r="K6370" s="85"/>
      <c r="L6370" s="85"/>
      <c r="M6370" s="85"/>
      <c r="N6370" s="82"/>
      <c r="O6370" s="93"/>
    </row>
    <row r="6371" spans="1:15" ht="22.5" customHeight="1">
      <c r="A6371" s="85"/>
      <c r="B6371" s="82"/>
      <c r="C6371" s="82"/>
      <c r="D6371" s="82"/>
      <c r="E6371" s="82"/>
      <c r="F6371" s="92"/>
      <c r="G6371" s="87"/>
      <c r="H6371" s="88"/>
      <c r="I6371" s="89"/>
      <c r="J6371" s="90"/>
      <c r="K6371" s="85"/>
      <c r="L6371" s="85"/>
      <c r="M6371" s="85"/>
      <c r="N6371" s="82"/>
      <c r="O6371" s="93"/>
    </row>
    <row r="6372" spans="1:15" ht="22.5" customHeight="1">
      <c r="A6372" s="85"/>
      <c r="B6372" s="82"/>
      <c r="C6372" s="82"/>
      <c r="D6372" s="82"/>
      <c r="E6372" s="82"/>
      <c r="F6372" s="92"/>
      <c r="G6372" s="87"/>
      <c r="H6372" s="88"/>
      <c r="I6372" s="89"/>
      <c r="J6372" s="90"/>
      <c r="K6372" s="85"/>
      <c r="L6372" s="85"/>
      <c r="M6372" s="85"/>
      <c r="N6372" s="82"/>
      <c r="O6372" s="93"/>
    </row>
    <row r="6373" spans="1:15" ht="22.5" customHeight="1">
      <c r="A6373" s="85"/>
      <c r="B6373" s="82"/>
      <c r="C6373" s="82"/>
      <c r="D6373" s="82"/>
      <c r="E6373" s="82"/>
      <c r="F6373" s="92"/>
      <c r="G6373" s="87"/>
      <c r="H6373" s="88"/>
      <c r="I6373" s="89"/>
      <c r="J6373" s="90"/>
      <c r="K6373" s="85"/>
      <c r="L6373" s="85"/>
      <c r="M6373" s="85"/>
      <c r="N6373" s="82"/>
      <c r="O6373" s="93"/>
    </row>
    <row r="6374" spans="1:15" ht="22.5" customHeight="1">
      <c r="A6374" s="85"/>
      <c r="B6374" s="82"/>
      <c r="C6374" s="82"/>
      <c r="D6374" s="82"/>
      <c r="E6374" s="82"/>
      <c r="F6374" s="92"/>
      <c r="G6374" s="87"/>
      <c r="H6374" s="88"/>
      <c r="I6374" s="89"/>
      <c r="J6374" s="90"/>
      <c r="K6374" s="85"/>
      <c r="L6374" s="85"/>
      <c r="M6374" s="85"/>
      <c r="N6374" s="82"/>
      <c r="O6374" s="93"/>
    </row>
    <row r="6375" spans="1:15" ht="22.5" customHeight="1">
      <c r="A6375" s="85"/>
      <c r="B6375" s="82"/>
      <c r="C6375" s="82"/>
      <c r="D6375" s="82"/>
      <c r="E6375" s="82"/>
      <c r="F6375" s="92"/>
      <c r="G6375" s="87"/>
      <c r="H6375" s="88"/>
      <c r="I6375" s="89"/>
      <c r="J6375" s="90"/>
      <c r="K6375" s="85"/>
      <c r="L6375" s="85"/>
      <c r="M6375" s="85"/>
      <c r="N6375" s="82"/>
      <c r="O6375" s="93"/>
    </row>
    <row r="6376" spans="1:15" ht="22.5" customHeight="1">
      <c r="A6376" s="85"/>
      <c r="B6376" s="82"/>
      <c r="C6376" s="82"/>
      <c r="D6376" s="82"/>
      <c r="E6376" s="82"/>
      <c r="F6376" s="92"/>
      <c r="G6376" s="87"/>
      <c r="H6376" s="88"/>
      <c r="I6376" s="89"/>
      <c r="J6376" s="90"/>
      <c r="K6376" s="85"/>
      <c r="L6376" s="85"/>
      <c r="M6376" s="85"/>
      <c r="N6376" s="82"/>
      <c r="O6376" s="93"/>
    </row>
    <row r="6377" spans="1:15" ht="22.5" customHeight="1">
      <c r="A6377" s="85"/>
      <c r="B6377" s="82"/>
      <c r="C6377" s="82"/>
      <c r="D6377" s="82"/>
      <c r="E6377" s="82"/>
      <c r="F6377" s="92"/>
      <c r="G6377" s="87"/>
      <c r="H6377" s="88"/>
      <c r="I6377" s="89"/>
      <c r="J6377" s="90"/>
      <c r="K6377" s="85"/>
      <c r="L6377" s="85"/>
      <c r="M6377" s="85"/>
      <c r="N6377" s="82"/>
      <c r="O6377" s="93"/>
    </row>
    <row r="6378" spans="1:15" ht="22.5" customHeight="1">
      <c r="A6378" s="85"/>
      <c r="B6378" s="82"/>
      <c r="C6378" s="82"/>
      <c r="D6378" s="82"/>
      <c r="E6378" s="82"/>
      <c r="F6378" s="92"/>
      <c r="G6378" s="87"/>
      <c r="H6378" s="88"/>
      <c r="I6378" s="89"/>
      <c r="J6378" s="90"/>
      <c r="K6378" s="85"/>
      <c r="L6378" s="85"/>
      <c r="M6378" s="85"/>
      <c r="N6378" s="82"/>
      <c r="O6378" s="93"/>
    </row>
    <row r="6379" spans="1:15" ht="22.5" customHeight="1">
      <c r="A6379" s="85"/>
      <c r="B6379" s="82"/>
      <c r="C6379" s="82"/>
      <c r="D6379" s="82"/>
      <c r="E6379" s="82"/>
      <c r="F6379" s="92"/>
      <c r="G6379" s="87"/>
      <c r="H6379" s="88"/>
      <c r="I6379" s="89"/>
      <c r="J6379" s="90"/>
      <c r="K6379" s="85"/>
      <c r="L6379" s="85"/>
      <c r="M6379" s="85"/>
      <c r="N6379" s="82"/>
      <c r="O6379" s="93"/>
    </row>
    <row r="6380" spans="1:15" ht="22.5" customHeight="1">
      <c r="A6380" s="85"/>
      <c r="B6380" s="82"/>
      <c r="C6380" s="82"/>
      <c r="D6380" s="82"/>
      <c r="E6380" s="82"/>
      <c r="F6380" s="92"/>
      <c r="G6380" s="87"/>
      <c r="H6380" s="88"/>
      <c r="I6380" s="89"/>
      <c r="J6380" s="90"/>
      <c r="K6380" s="85"/>
      <c r="L6380" s="85"/>
      <c r="M6380" s="85"/>
      <c r="N6380" s="82"/>
      <c r="O6380" s="93"/>
    </row>
    <row r="6381" spans="1:15" ht="22.5" customHeight="1">
      <c r="A6381" s="85"/>
      <c r="B6381" s="82"/>
      <c r="C6381" s="82"/>
      <c r="D6381" s="82"/>
      <c r="E6381" s="82"/>
      <c r="F6381" s="92"/>
      <c r="G6381" s="87"/>
      <c r="H6381" s="88"/>
      <c r="I6381" s="89"/>
      <c r="J6381" s="90"/>
      <c r="K6381" s="85"/>
      <c r="L6381" s="85"/>
      <c r="M6381" s="85"/>
      <c r="N6381" s="82"/>
      <c r="O6381" s="93"/>
    </row>
    <row r="6382" spans="1:15" ht="22.5" customHeight="1">
      <c r="A6382" s="85"/>
      <c r="B6382" s="82"/>
      <c r="C6382" s="82"/>
      <c r="D6382" s="82"/>
      <c r="E6382" s="82"/>
      <c r="F6382" s="92"/>
      <c r="G6382" s="87"/>
      <c r="H6382" s="88"/>
      <c r="I6382" s="89"/>
      <c r="J6382" s="90"/>
      <c r="K6382" s="85"/>
      <c r="L6382" s="85"/>
      <c r="M6382" s="85"/>
      <c r="N6382" s="82"/>
      <c r="O6382" s="93"/>
    </row>
    <row r="6383" spans="1:15" ht="22.5" customHeight="1">
      <c r="A6383" s="85"/>
      <c r="B6383" s="82"/>
      <c r="C6383" s="82"/>
      <c r="D6383" s="82"/>
      <c r="E6383" s="82"/>
      <c r="F6383" s="92"/>
      <c r="G6383" s="87"/>
      <c r="H6383" s="88"/>
      <c r="I6383" s="89"/>
      <c r="J6383" s="90"/>
      <c r="K6383" s="85"/>
      <c r="L6383" s="85"/>
      <c r="M6383" s="85"/>
      <c r="N6383" s="82"/>
      <c r="O6383" s="93"/>
    </row>
    <row r="6384" spans="1:15" ht="22.5" customHeight="1">
      <c r="A6384" s="85"/>
      <c r="B6384" s="82"/>
      <c r="C6384" s="82"/>
      <c r="D6384" s="82"/>
      <c r="E6384" s="82"/>
      <c r="F6384" s="92"/>
      <c r="G6384" s="87"/>
      <c r="H6384" s="88"/>
      <c r="I6384" s="89"/>
      <c r="J6384" s="90"/>
      <c r="K6384" s="85"/>
      <c r="L6384" s="85"/>
      <c r="M6384" s="85"/>
      <c r="N6384" s="82"/>
      <c r="O6384" s="93"/>
    </row>
    <row r="6385" spans="1:15" ht="22.5" customHeight="1">
      <c r="A6385" s="85"/>
      <c r="B6385" s="82"/>
      <c r="C6385" s="82"/>
      <c r="D6385" s="82"/>
      <c r="E6385" s="82"/>
      <c r="F6385" s="92"/>
      <c r="G6385" s="87"/>
      <c r="H6385" s="88"/>
      <c r="I6385" s="89"/>
      <c r="J6385" s="90"/>
      <c r="K6385" s="85"/>
      <c r="L6385" s="85"/>
      <c r="M6385" s="85"/>
      <c r="N6385" s="82"/>
      <c r="O6385" s="93"/>
    </row>
    <row r="6386" spans="1:15" ht="22.5" customHeight="1">
      <c r="A6386" s="85"/>
      <c r="B6386" s="82"/>
      <c r="C6386" s="82"/>
      <c r="D6386" s="82"/>
      <c r="E6386" s="82"/>
      <c r="F6386" s="92"/>
      <c r="G6386" s="87"/>
      <c r="H6386" s="88"/>
      <c r="I6386" s="89"/>
      <c r="J6386" s="90"/>
      <c r="K6386" s="85"/>
      <c r="L6386" s="85"/>
      <c r="M6386" s="85"/>
      <c r="N6386" s="82"/>
      <c r="O6386" s="93"/>
    </row>
    <row r="6387" spans="1:15" ht="22.5" customHeight="1">
      <c r="A6387" s="85"/>
      <c r="B6387" s="82"/>
      <c r="C6387" s="82"/>
      <c r="D6387" s="82"/>
      <c r="E6387" s="82"/>
      <c r="F6387" s="92"/>
      <c r="G6387" s="87"/>
      <c r="H6387" s="88"/>
      <c r="I6387" s="89"/>
      <c r="J6387" s="90"/>
      <c r="K6387" s="85"/>
      <c r="L6387" s="85"/>
      <c r="M6387" s="85"/>
      <c r="N6387" s="82"/>
      <c r="O6387" s="93"/>
    </row>
    <row r="6388" spans="1:15" ht="22.5" customHeight="1">
      <c r="A6388" s="85"/>
      <c r="B6388" s="82"/>
      <c r="C6388" s="82"/>
      <c r="D6388" s="82"/>
      <c r="E6388" s="82"/>
      <c r="F6388" s="92"/>
      <c r="G6388" s="87"/>
      <c r="H6388" s="88"/>
      <c r="I6388" s="89"/>
      <c r="J6388" s="90"/>
      <c r="K6388" s="85"/>
      <c r="L6388" s="85"/>
      <c r="M6388" s="85"/>
      <c r="N6388" s="82"/>
      <c r="O6388" s="93"/>
    </row>
    <row r="6389" spans="1:15" ht="22.5" customHeight="1">
      <c r="A6389" s="85"/>
      <c r="B6389" s="82"/>
      <c r="C6389" s="82"/>
      <c r="D6389" s="82"/>
      <c r="E6389" s="82"/>
      <c r="F6389" s="92"/>
      <c r="G6389" s="87"/>
      <c r="H6389" s="88"/>
      <c r="I6389" s="89"/>
      <c r="J6389" s="90"/>
      <c r="K6389" s="85"/>
      <c r="L6389" s="85"/>
      <c r="M6389" s="85"/>
      <c r="N6389" s="82"/>
      <c r="O6389" s="93"/>
    </row>
    <row r="6390" spans="1:15" ht="22.5" customHeight="1">
      <c r="A6390" s="85"/>
      <c r="B6390" s="82"/>
      <c r="C6390" s="82"/>
      <c r="D6390" s="82"/>
      <c r="E6390" s="82"/>
      <c r="F6390" s="92"/>
      <c r="G6390" s="87"/>
      <c r="H6390" s="88"/>
      <c r="I6390" s="89"/>
      <c r="J6390" s="90"/>
      <c r="K6390" s="85"/>
      <c r="L6390" s="85"/>
      <c r="M6390" s="85"/>
      <c r="N6390" s="82"/>
      <c r="O6390" s="93"/>
    </row>
    <row r="6391" spans="1:15" ht="22.5" customHeight="1">
      <c r="A6391" s="85"/>
      <c r="B6391" s="82"/>
      <c r="C6391" s="82"/>
      <c r="D6391" s="82"/>
      <c r="E6391" s="82"/>
      <c r="F6391" s="92"/>
      <c r="G6391" s="87"/>
      <c r="H6391" s="88"/>
      <c r="I6391" s="89"/>
      <c r="J6391" s="90"/>
      <c r="K6391" s="85"/>
      <c r="L6391" s="85"/>
      <c r="M6391" s="85"/>
      <c r="N6391" s="82"/>
      <c r="O6391" s="93"/>
    </row>
    <row r="6392" spans="1:15" ht="22.5" customHeight="1">
      <c r="A6392" s="85"/>
      <c r="B6392" s="82"/>
      <c r="C6392" s="82"/>
      <c r="D6392" s="82"/>
      <c r="E6392" s="82"/>
      <c r="F6392" s="92"/>
      <c r="G6392" s="87"/>
      <c r="H6392" s="88"/>
      <c r="I6392" s="89"/>
      <c r="J6392" s="90"/>
      <c r="K6392" s="85"/>
      <c r="L6392" s="85"/>
      <c r="M6392" s="85"/>
      <c r="N6392" s="82"/>
      <c r="O6392" s="93"/>
    </row>
    <row r="6393" spans="1:15" ht="22.5" customHeight="1">
      <c r="A6393" s="85"/>
      <c r="B6393" s="82"/>
      <c r="C6393" s="82"/>
      <c r="D6393" s="82"/>
      <c r="E6393" s="82"/>
      <c r="F6393" s="92"/>
      <c r="G6393" s="87"/>
      <c r="H6393" s="88"/>
      <c r="I6393" s="89"/>
      <c r="J6393" s="90"/>
      <c r="K6393" s="85"/>
      <c r="L6393" s="85"/>
      <c r="M6393" s="85"/>
      <c r="N6393" s="82"/>
      <c r="O6393" s="93"/>
    </row>
    <row r="6394" spans="1:15" ht="22.5" customHeight="1">
      <c r="A6394" s="85"/>
      <c r="B6394" s="82"/>
      <c r="C6394" s="82"/>
      <c r="D6394" s="82"/>
      <c r="E6394" s="82"/>
      <c r="F6394" s="92"/>
      <c r="G6394" s="87"/>
      <c r="H6394" s="88"/>
      <c r="I6394" s="89"/>
      <c r="J6394" s="90"/>
      <c r="K6394" s="85"/>
      <c r="L6394" s="85"/>
      <c r="M6394" s="85"/>
      <c r="N6394" s="82"/>
      <c r="O6394" s="93"/>
    </row>
    <row r="6395" spans="1:15" ht="22.5" customHeight="1">
      <c r="A6395" s="85"/>
      <c r="B6395" s="82"/>
      <c r="C6395" s="82"/>
      <c r="D6395" s="82"/>
      <c r="E6395" s="82"/>
      <c r="F6395" s="92"/>
      <c r="G6395" s="87"/>
      <c r="H6395" s="88"/>
      <c r="I6395" s="89"/>
      <c r="J6395" s="90"/>
      <c r="K6395" s="85"/>
      <c r="L6395" s="85"/>
      <c r="M6395" s="85"/>
      <c r="N6395" s="82"/>
      <c r="O6395" s="93"/>
    </row>
    <row r="6396" spans="1:15" ht="22.5" customHeight="1">
      <c r="A6396" s="85"/>
      <c r="B6396" s="82"/>
      <c r="C6396" s="82"/>
      <c r="D6396" s="82"/>
      <c r="E6396" s="82"/>
      <c r="F6396" s="92"/>
      <c r="G6396" s="87"/>
      <c r="H6396" s="88"/>
      <c r="I6396" s="89"/>
      <c r="J6396" s="90"/>
      <c r="K6396" s="85"/>
      <c r="L6396" s="85"/>
      <c r="M6396" s="85"/>
      <c r="N6396" s="82"/>
      <c r="O6396" s="93"/>
    </row>
    <row r="6397" spans="1:15" ht="22.5" customHeight="1">
      <c r="A6397" s="85"/>
      <c r="B6397" s="82"/>
      <c r="C6397" s="82"/>
      <c r="D6397" s="82"/>
      <c r="E6397" s="82"/>
      <c r="F6397" s="92"/>
      <c r="G6397" s="87"/>
      <c r="H6397" s="88"/>
      <c r="I6397" s="89"/>
      <c r="J6397" s="90"/>
      <c r="K6397" s="85"/>
      <c r="L6397" s="85"/>
      <c r="M6397" s="85"/>
      <c r="N6397" s="82"/>
      <c r="O6397" s="93"/>
    </row>
    <row r="6398" spans="1:15" ht="22.5" customHeight="1">
      <c r="A6398" s="85"/>
      <c r="B6398" s="82"/>
      <c r="C6398" s="82"/>
      <c r="D6398" s="82"/>
      <c r="E6398" s="82"/>
      <c r="F6398" s="92"/>
      <c r="G6398" s="87"/>
      <c r="H6398" s="88"/>
      <c r="I6398" s="89"/>
      <c r="J6398" s="90"/>
      <c r="K6398" s="85"/>
      <c r="L6398" s="85"/>
      <c r="M6398" s="85"/>
      <c r="N6398" s="82"/>
      <c r="O6398" s="93"/>
    </row>
    <row r="6399" spans="1:15" ht="22.5" customHeight="1">
      <c r="A6399" s="85"/>
      <c r="B6399" s="82"/>
      <c r="C6399" s="82"/>
      <c r="D6399" s="82"/>
      <c r="E6399" s="82"/>
      <c r="F6399" s="92"/>
      <c r="G6399" s="87"/>
      <c r="H6399" s="88"/>
      <c r="I6399" s="89"/>
      <c r="J6399" s="90"/>
      <c r="K6399" s="85"/>
      <c r="L6399" s="85"/>
      <c r="M6399" s="85"/>
      <c r="N6399" s="82"/>
      <c r="O6399" s="93"/>
    </row>
    <row r="6400" spans="1:15" ht="22.5" customHeight="1">
      <c r="A6400" s="85"/>
      <c r="B6400" s="82"/>
      <c r="C6400" s="82"/>
      <c r="D6400" s="82"/>
      <c r="E6400" s="82"/>
      <c r="F6400" s="92"/>
      <c r="G6400" s="87"/>
      <c r="H6400" s="88"/>
      <c r="I6400" s="89"/>
      <c r="J6400" s="90"/>
      <c r="K6400" s="85"/>
      <c r="L6400" s="85"/>
      <c r="M6400" s="85"/>
      <c r="N6400" s="82"/>
      <c r="O6400" s="93"/>
    </row>
    <row r="6401" spans="1:15" ht="22.5" customHeight="1">
      <c r="A6401" s="85"/>
      <c r="B6401" s="82"/>
      <c r="C6401" s="82"/>
      <c r="D6401" s="82"/>
      <c r="E6401" s="82"/>
      <c r="F6401" s="92"/>
      <c r="G6401" s="87"/>
      <c r="H6401" s="88"/>
      <c r="I6401" s="89"/>
      <c r="J6401" s="90"/>
      <c r="K6401" s="85"/>
      <c r="L6401" s="85"/>
      <c r="M6401" s="85"/>
      <c r="N6401" s="82"/>
      <c r="O6401" s="93"/>
    </row>
    <row r="6402" spans="1:15" ht="22.5" customHeight="1">
      <c r="A6402" s="85"/>
      <c r="B6402" s="82"/>
      <c r="C6402" s="82"/>
      <c r="D6402" s="82"/>
      <c r="E6402" s="82"/>
      <c r="F6402" s="92"/>
      <c r="G6402" s="87"/>
      <c r="H6402" s="88"/>
      <c r="I6402" s="89"/>
      <c r="J6402" s="90"/>
      <c r="K6402" s="85"/>
      <c r="L6402" s="85"/>
      <c r="M6402" s="85"/>
      <c r="N6402" s="82"/>
      <c r="O6402" s="93"/>
    </row>
    <row r="6403" spans="1:15" ht="22.5" customHeight="1">
      <c r="A6403" s="85"/>
      <c r="B6403" s="82"/>
      <c r="C6403" s="82"/>
      <c r="D6403" s="82"/>
      <c r="E6403" s="82"/>
      <c r="F6403" s="92"/>
      <c r="G6403" s="87"/>
      <c r="H6403" s="88"/>
      <c r="I6403" s="89"/>
      <c r="J6403" s="90"/>
      <c r="K6403" s="85"/>
      <c r="L6403" s="85"/>
      <c r="M6403" s="85"/>
      <c r="N6403" s="82"/>
      <c r="O6403" s="93"/>
    </row>
    <row r="6404" spans="1:15" ht="22.5" customHeight="1">
      <c r="A6404" s="85"/>
      <c r="B6404" s="82"/>
      <c r="C6404" s="82"/>
      <c r="D6404" s="82"/>
      <c r="E6404" s="82"/>
      <c r="F6404" s="92"/>
      <c r="G6404" s="87"/>
      <c r="H6404" s="88"/>
      <c r="I6404" s="89"/>
      <c r="J6404" s="90"/>
      <c r="K6404" s="85"/>
      <c r="L6404" s="85"/>
      <c r="M6404" s="85"/>
      <c r="N6404" s="82"/>
      <c r="O6404" s="93"/>
    </row>
    <row r="6405" spans="1:15" ht="22.5" customHeight="1">
      <c r="A6405" s="85"/>
      <c r="B6405" s="82"/>
      <c r="C6405" s="82"/>
      <c r="D6405" s="82"/>
      <c r="E6405" s="82"/>
      <c r="F6405" s="92"/>
      <c r="G6405" s="87"/>
      <c r="H6405" s="88"/>
      <c r="I6405" s="89"/>
      <c r="J6405" s="90"/>
      <c r="K6405" s="85"/>
      <c r="L6405" s="85"/>
      <c r="M6405" s="85"/>
      <c r="N6405" s="82"/>
      <c r="O6405" s="93"/>
    </row>
    <row r="6406" spans="1:15" ht="22.5" customHeight="1">
      <c r="A6406" s="85"/>
      <c r="B6406" s="82"/>
      <c r="C6406" s="82"/>
      <c r="D6406" s="82"/>
      <c r="E6406" s="82"/>
      <c r="F6406" s="92"/>
      <c r="G6406" s="87"/>
      <c r="H6406" s="88"/>
      <c r="I6406" s="89"/>
      <c r="J6406" s="90"/>
      <c r="K6406" s="85"/>
      <c r="L6406" s="85"/>
      <c r="M6406" s="85"/>
      <c r="N6406" s="82"/>
      <c r="O6406" s="93"/>
    </row>
    <row r="6407" spans="1:15" ht="22.5" customHeight="1">
      <c r="A6407" s="85"/>
      <c r="B6407" s="82"/>
      <c r="C6407" s="82"/>
      <c r="D6407" s="82"/>
      <c r="E6407" s="82"/>
      <c r="F6407" s="92"/>
      <c r="G6407" s="87"/>
      <c r="H6407" s="88"/>
      <c r="I6407" s="89"/>
      <c r="J6407" s="90"/>
      <c r="K6407" s="85"/>
      <c r="L6407" s="85"/>
      <c r="M6407" s="85"/>
      <c r="N6407" s="82"/>
      <c r="O6407" s="93"/>
    </row>
    <row r="6408" spans="1:15" ht="22.5" customHeight="1">
      <c r="A6408" s="85"/>
      <c r="B6408" s="82"/>
      <c r="C6408" s="82"/>
      <c r="D6408" s="82"/>
      <c r="E6408" s="82"/>
      <c r="F6408" s="92"/>
      <c r="G6408" s="87"/>
      <c r="H6408" s="88"/>
      <c r="I6408" s="89"/>
      <c r="J6408" s="90"/>
      <c r="K6408" s="85"/>
      <c r="L6408" s="85"/>
      <c r="M6408" s="85"/>
      <c r="N6408" s="82"/>
      <c r="O6408" s="93"/>
    </row>
    <row r="6409" spans="1:15" ht="22.5" customHeight="1">
      <c r="A6409" s="85"/>
      <c r="B6409" s="82"/>
      <c r="C6409" s="82"/>
      <c r="D6409" s="82"/>
      <c r="E6409" s="82"/>
      <c r="F6409" s="92"/>
      <c r="G6409" s="87"/>
      <c r="H6409" s="88"/>
      <c r="I6409" s="89"/>
      <c r="J6409" s="90"/>
      <c r="K6409" s="85"/>
      <c r="L6409" s="85"/>
      <c r="M6409" s="85"/>
      <c r="N6409" s="82"/>
      <c r="O6409" s="93"/>
    </row>
    <row r="6410" spans="1:15" ht="22.5" customHeight="1">
      <c r="A6410" s="85"/>
      <c r="B6410" s="82"/>
      <c r="C6410" s="82"/>
      <c r="D6410" s="82"/>
      <c r="E6410" s="82"/>
      <c r="F6410" s="92"/>
      <c r="G6410" s="87"/>
      <c r="H6410" s="88"/>
      <c r="I6410" s="89"/>
      <c r="J6410" s="90"/>
      <c r="K6410" s="85"/>
      <c r="L6410" s="85"/>
      <c r="M6410" s="85"/>
      <c r="N6410" s="82"/>
      <c r="O6410" s="93"/>
    </row>
    <row r="6411" spans="1:15" ht="22.5" customHeight="1">
      <c r="A6411" s="85"/>
      <c r="B6411" s="82"/>
      <c r="C6411" s="82"/>
      <c r="D6411" s="82"/>
      <c r="E6411" s="82"/>
      <c r="F6411" s="92"/>
      <c r="G6411" s="87"/>
      <c r="H6411" s="88"/>
      <c r="I6411" s="89"/>
      <c r="J6411" s="90"/>
      <c r="K6411" s="85"/>
      <c r="L6411" s="85"/>
      <c r="M6411" s="85"/>
      <c r="N6411" s="82"/>
      <c r="O6411" s="93"/>
    </row>
    <row r="6412" spans="1:15" ht="22.5" customHeight="1">
      <c r="A6412" s="85"/>
      <c r="B6412" s="82"/>
      <c r="C6412" s="82"/>
      <c r="D6412" s="82"/>
      <c r="E6412" s="82"/>
      <c r="F6412" s="92"/>
      <c r="G6412" s="87"/>
      <c r="H6412" s="88"/>
      <c r="I6412" s="89"/>
      <c r="J6412" s="90"/>
      <c r="K6412" s="85"/>
      <c r="L6412" s="85"/>
      <c r="M6412" s="85"/>
      <c r="N6412" s="82"/>
      <c r="O6412" s="93"/>
    </row>
    <row r="6413" spans="1:15" ht="22.5" customHeight="1">
      <c r="A6413" s="85"/>
      <c r="B6413" s="82"/>
      <c r="C6413" s="82"/>
      <c r="D6413" s="82"/>
      <c r="E6413" s="82"/>
      <c r="F6413" s="92"/>
      <c r="G6413" s="87"/>
      <c r="H6413" s="88"/>
      <c r="I6413" s="89"/>
      <c r="J6413" s="90"/>
      <c r="K6413" s="85"/>
      <c r="L6413" s="85"/>
      <c r="M6413" s="85"/>
      <c r="N6413" s="82"/>
      <c r="O6413" s="93"/>
    </row>
    <row r="6414" spans="1:15" ht="22.5" customHeight="1">
      <c r="A6414" s="85"/>
      <c r="B6414" s="82"/>
      <c r="C6414" s="82"/>
      <c r="D6414" s="82"/>
      <c r="E6414" s="82"/>
      <c r="F6414" s="92"/>
      <c r="G6414" s="87"/>
      <c r="H6414" s="88"/>
      <c r="I6414" s="89"/>
      <c r="J6414" s="90"/>
      <c r="K6414" s="85"/>
      <c r="L6414" s="85"/>
      <c r="M6414" s="85"/>
      <c r="N6414" s="82"/>
      <c r="O6414" s="93"/>
    </row>
    <row r="6415" spans="1:15" ht="22.5" customHeight="1">
      <c r="A6415" s="85"/>
      <c r="B6415" s="82"/>
      <c r="C6415" s="82"/>
      <c r="D6415" s="82"/>
      <c r="E6415" s="82"/>
      <c r="F6415" s="92"/>
      <c r="G6415" s="87"/>
      <c r="H6415" s="88"/>
      <c r="I6415" s="89"/>
      <c r="J6415" s="90"/>
      <c r="K6415" s="85"/>
      <c r="L6415" s="85"/>
      <c r="M6415" s="85"/>
      <c r="N6415" s="82"/>
      <c r="O6415" s="93"/>
    </row>
    <row r="6416" spans="1:15" ht="22.5" customHeight="1">
      <c r="A6416" s="85"/>
      <c r="B6416" s="82"/>
      <c r="C6416" s="82"/>
      <c r="D6416" s="82"/>
      <c r="E6416" s="82"/>
      <c r="F6416" s="92"/>
      <c r="G6416" s="87"/>
      <c r="H6416" s="88"/>
      <c r="I6416" s="89"/>
      <c r="J6416" s="90"/>
      <c r="K6416" s="85"/>
      <c r="L6416" s="85"/>
      <c r="M6416" s="85"/>
      <c r="N6416" s="82"/>
      <c r="O6416" s="93"/>
    </row>
    <row r="6417" spans="1:15" ht="22.5" customHeight="1">
      <c r="A6417" s="85"/>
      <c r="B6417" s="82"/>
      <c r="C6417" s="82"/>
      <c r="D6417" s="82"/>
      <c r="E6417" s="82"/>
      <c r="F6417" s="92"/>
      <c r="G6417" s="87"/>
      <c r="H6417" s="88"/>
      <c r="I6417" s="89"/>
      <c r="J6417" s="90"/>
      <c r="K6417" s="85"/>
      <c r="L6417" s="85"/>
      <c r="M6417" s="85"/>
      <c r="N6417" s="82"/>
      <c r="O6417" s="93"/>
    </row>
    <row r="6418" spans="1:15" ht="22.5" customHeight="1">
      <c r="A6418" s="85"/>
      <c r="B6418" s="82"/>
      <c r="C6418" s="82"/>
      <c r="D6418" s="82"/>
      <c r="E6418" s="82"/>
      <c r="F6418" s="92"/>
      <c r="G6418" s="87"/>
      <c r="H6418" s="88"/>
      <c r="I6418" s="89"/>
      <c r="J6418" s="90"/>
      <c r="K6418" s="85"/>
      <c r="L6418" s="85"/>
      <c r="M6418" s="85"/>
      <c r="N6418" s="82"/>
      <c r="O6418" s="93"/>
    </row>
    <row r="6419" spans="1:15" ht="22.5" customHeight="1">
      <c r="A6419" s="85"/>
      <c r="B6419" s="82"/>
      <c r="C6419" s="82"/>
      <c r="D6419" s="82"/>
      <c r="E6419" s="82"/>
      <c r="F6419" s="92"/>
      <c r="G6419" s="87"/>
      <c r="H6419" s="88"/>
      <c r="I6419" s="89"/>
      <c r="J6419" s="90"/>
      <c r="K6419" s="85"/>
      <c r="L6419" s="85"/>
      <c r="M6419" s="85"/>
      <c r="N6419" s="82"/>
      <c r="O6419" s="93"/>
    </row>
    <row r="6420" spans="1:15" ht="22.5" customHeight="1">
      <c r="A6420" s="85"/>
      <c r="B6420" s="82"/>
      <c r="C6420" s="82"/>
      <c r="D6420" s="82"/>
      <c r="E6420" s="82"/>
      <c r="F6420" s="92"/>
      <c r="G6420" s="87"/>
      <c r="H6420" s="88"/>
      <c r="I6420" s="89"/>
      <c r="J6420" s="90"/>
      <c r="K6420" s="85"/>
      <c r="L6420" s="85"/>
      <c r="M6420" s="85"/>
      <c r="N6420" s="82"/>
      <c r="O6420" s="93"/>
    </row>
    <row r="6421" spans="1:15" ht="22.5" customHeight="1">
      <c r="A6421" s="85"/>
      <c r="B6421" s="82"/>
      <c r="C6421" s="82"/>
      <c r="D6421" s="82"/>
      <c r="E6421" s="82"/>
      <c r="F6421" s="92"/>
      <c r="G6421" s="87"/>
      <c r="H6421" s="88"/>
      <c r="I6421" s="89"/>
      <c r="J6421" s="90"/>
      <c r="K6421" s="85"/>
      <c r="L6421" s="85"/>
      <c r="M6421" s="85"/>
      <c r="N6421" s="82"/>
      <c r="O6421" s="93"/>
    </row>
    <row r="6422" spans="1:15" ht="22.5" customHeight="1">
      <c r="A6422" s="85"/>
      <c r="B6422" s="82"/>
      <c r="C6422" s="82"/>
      <c r="D6422" s="82"/>
      <c r="E6422" s="82"/>
      <c r="F6422" s="92"/>
      <c r="G6422" s="87"/>
      <c r="H6422" s="88"/>
      <c r="I6422" s="89"/>
      <c r="J6422" s="90"/>
      <c r="K6422" s="85"/>
      <c r="L6422" s="85"/>
      <c r="M6422" s="85"/>
      <c r="N6422" s="82"/>
      <c r="O6422" s="93"/>
    </row>
    <row r="6423" spans="1:15" ht="22.5" customHeight="1">
      <c r="A6423" s="85"/>
      <c r="B6423" s="82"/>
      <c r="C6423" s="82"/>
      <c r="D6423" s="82"/>
      <c r="E6423" s="82"/>
      <c r="F6423" s="92"/>
      <c r="G6423" s="87"/>
      <c r="H6423" s="88"/>
      <c r="I6423" s="89"/>
      <c r="J6423" s="90"/>
      <c r="K6423" s="85"/>
      <c r="L6423" s="85"/>
      <c r="M6423" s="85"/>
      <c r="N6423" s="82"/>
      <c r="O6423" s="93"/>
    </row>
    <row r="6424" spans="1:15" ht="22.5" customHeight="1">
      <c r="A6424" s="85"/>
      <c r="B6424" s="82"/>
      <c r="C6424" s="82"/>
      <c r="D6424" s="82"/>
      <c r="E6424" s="82"/>
      <c r="F6424" s="92"/>
      <c r="G6424" s="87"/>
      <c r="H6424" s="88"/>
      <c r="I6424" s="89"/>
      <c r="J6424" s="90"/>
      <c r="K6424" s="85"/>
      <c r="L6424" s="85"/>
      <c r="M6424" s="85"/>
      <c r="N6424" s="82"/>
      <c r="O6424" s="93"/>
    </row>
    <row r="6425" spans="1:15" ht="22.5" customHeight="1">
      <c r="A6425" s="85"/>
      <c r="B6425" s="82"/>
      <c r="C6425" s="82"/>
      <c r="D6425" s="82"/>
      <c r="E6425" s="82"/>
      <c r="F6425" s="92"/>
      <c r="G6425" s="87"/>
      <c r="H6425" s="88"/>
      <c r="I6425" s="89"/>
      <c r="J6425" s="90"/>
      <c r="K6425" s="85"/>
      <c r="L6425" s="85"/>
      <c r="M6425" s="85"/>
      <c r="N6425" s="82"/>
      <c r="O6425" s="93"/>
    </row>
    <row r="6426" spans="1:15" ht="22.5" customHeight="1">
      <c r="A6426" s="85"/>
      <c r="B6426" s="82"/>
      <c r="C6426" s="82"/>
      <c r="D6426" s="82"/>
      <c r="E6426" s="82"/>
      <c r="F6426" s="92"/>
      <c r="G6426" s="87"/>
      <c r="H6426" s="88"/>
      <c r="I6426" s="89"/>
      <c r="J6426" s="90"/>
      <c r="K6426" s="85"/>
      <c r="L6426" s="85"/>
      <c r="M6426" s="85"/>
      <c r="N6426" s="82"/>
      <c r="O6426" s="93"/>
    </row>
    <row r="6427" spans="1:15" ht="22.5" customHeight="1">
      <c r="A6427" s="85"/>
      <c r="B6427" s="82"/>
      <c r="C6427" s="82"/>
      <c r="D6427" s="82"/>
      <c r="E6427" s="82"/>
      <c r="F6427" s="92"/>
      <c r="G6427" s="87"/>
      <c r="H6427" s="88"/>
      <c r="I6427" s="89"/>
      <c r="J6427" s="90"/>
      <c r="K6427" s="85"/>
      <c r="L6427" s="85"/>
      <c r="M6427" s="85"/>
      <c r="N6427" s="82"/>
      <c r="O6427" s="93"/>
    </row>
    <row r="6428" spans="1:15" ht="22.5" customHeight="1">
      <c r="A6428" s="85"/>
      <c r="B6428" s="82"/>
      <c r="C6428" s="82"/>
      <c r="D6428" s="82"/>
      <c r="E6428" s="82"/>
      <c r="F6428" s="92"/>
      <c r="G6428" s="87"/>
      <c r="H6428" s="88"/>
      <c r="I6428" s="89"/>
      <c r="J6428" s="90"/>
      <c r="K6428" s="85"/>
      <c r="L6428" s="85"/>
      <c r="M6428" s="85"/>
      <c r="N6428" s="82"/>
      <c r="O6428" s="93"/>
    </row>
    <row r="6429" spans="1:15" ht="22.5" customHeight="1">
      <c r="A6429" s="85"/>
      <c r="B6429" s="82"/>
      <c r="C6429" s="82"/>
      <c r="D6429" s="82"/>
      <c r="E6429" s="82"/>
      <c r="F6429" s="92"/>
      <c r="G6429" s="87"/>
      <c r="H6429" s="88"/>
      <c r="I6429" s="89"/>
      <c r="J6429" s="90"/>
      <c r="K6429" s="85"/>
      <c r="L6429" s="85"/>
      <c r="M6429" s="85"/>
      <c r="N6429" s="82"/>
      <c r="O6429" s="93"/>
    </row>
    <row r="6430" spans="1:15" ht="22.5" customHeight="1">
      <c r="A6430" s="85"/>
      <c r="B6430" s="82"/>
      <c r="C6430" s="82"/>
      <c r="D6430" s="82"/>
      <c r="E6430" s="82"/>
      <c r="F6430" s="92"/>
      <c r="G6430" s="87"/>
      <c r="H6430" s="88"/>
      <c r="I6430" s="89"/>
      <c r="J6430" s="90"/>
      <c r="K6430" s="85"/>
      <c r="L6430" s="85"/>
      <c r="M6430" s="85"/>
      <c r="N6430" s="82"/>
      <c r="O6430" s="93"/>
    </row>
    <row r="6431" spans="1:15" ht="22.5" customHeight="1">
      <c r="A6431" s="85"/>
      <c r="B6431" s="82"/>
      <c r="C6431" s="82"/>
      <c r="D6431" s="82"/>
      <c r="E6431" s="82"/>
      <c r="F6431" s="92"/>
      <c r="G6431" s="87"/>
      <c r="H6431" s="88"/>
      <c r="I6431" s="89"/>
      <c r="J6431" s="90"/>
      <c r="K6431" s="85"/>
      <c r="L6431" s="85"/>
      <c r="M6431" s="85"/>
      <c r="N6431" s="82"/>
      <c r="O6431" s="93"/>
    </row>
    <row r="6432" spans="1:15" ht="22.5" customHeight="1">
      <c r="A6432" s="85"/>
      <c r="B6432" s="82"/>
      <c r="C6432" s="82"/>
      <c r="D6432" s="82"/>
      <c r="E6432" s="82"/>
      <c r="F6432" s="92"/>
      <c r="G6432" s="87"/>
      <c r="H6432" s="88"/>
      <c r="I6432" s="89"/>
      <c r="J6432" s="90"/>
      <c r="K6432" s="85"/>
      <c r="L6432" s="85"/>
      <c r="M6432" s="85"/>
      <c r="N6432" s="82"/>
      <c r="O6432" s="93"/>
    </row>
    <row r="6433" spans="1:15" ht="22.5" customHeight="1">
      <c r="A6433" s="85"/>
      <c r="B6433" s="82"/>
      <c r="C6433" s="82"/>
      <c r="D6433" s="82"/>
      <c r="E6433" s="82"/>
      <c r="F6433" s="92"/>
      <c r="G6433" s="87"/>
      <c r="H6433" s="88"/>
      <c r="I6433" s="89"/>
      <c r="J6433" s="90"/>
      <c r="K6433" s="85"/>
      <c r="L6433" s="85"/>
      <c r="M6433" s="85"/>
      <c r="N6433" s="82"/>
      <c r="O6433" s="93"/>
    </row>
    <row r="6434" spans="1:15" ht="22.5" customHeight="1">
      <c r="A6434" s="85"/>
      <c r="B6434" s="82"/>
      <c r="C6434" s="82"/>
      <c r="D6434" s="82"/>
      <c r="E6434" s="82"/>
      <c r="F6434" s="92"/>
      <c r="G6434" s="87"/>
      <c r="H6434" s="88"/>
      <c r="I6434" s="89"/>
      <c r="J6434" s="90"/>
      <c r="K6434" s="85"/>
      <c r="L6434" s="85"/>
      <c r="M6434" s="85"/>
      <c r="N6434" s="82"/>
      <c r="O6434" s="93"/>
    </row>
    <row r="6435" spans="1:15" ht="22.5" customHeight="1">
      <c r="A6435" s="85"/>
      <c r="B6435" s="82"/>
      <c r="C6435" s="82"/>
      <c r="D6435" s="82"/>
      <c r="E6435" s="82"/>
      <c r="F6435" s="92"/>
      <c r="G6435" s="87"/>
      <c r="H6435" s="88"/>
      <c r="I6435" s="89"/>
      <c r="J6435" s="90"/>
      <c r="K6435" s="85"/>
      <c r="L6435" s="85"/>
      <c r="M6435" s="85"/>
      <c r="N6435" s="82"/>
      <c r="O6435" s="93"/>
    </row>
    <row r="6436" spans="1:15" ht="22.5" customHeight="1">
      <c r="A6436" s="85"/>
      <c r="B6436" s="82"/>
      <c r="C6436" s="82"/>
      <c r="D6436" s="82"/>
      <c r="E6436" s="82"/>
      <c r="F6436" s="92"/>
      <c r="G6436" s="87"/>
      <c r="H6436" s="88"/>
      <c r="I6436" s="89"/>
      <c r="J6436" s="90"/>
      <c r="K6436" s="85"/>
      <c r="L6436" s="85"/>
      <c r="M6436" s="85"/>
      <c r="N6436" s="82"/>
      <c r="O6436" s="93"/>
    </row>
    <row r="6437" spans="1:15" ht="22.5" customHeight="1">
      <c r="A6437" s="85"/>
      <c r="B6437" s="82"/>
      <c r="C6437" s="82"/>
      <c r="D6437" s="82"/>
      <c r="E6437" s="82"/>
      <c r="F6437" s="92"/>
      <c r="G6437" s="87"/>
      <c r="H6437" s="88"/>
      <c r="I6437" s="89"/>
      <c r="J6437" s="90"/>
      <c r="K6437" s="85"/>
      <c r="L6437" s="85"/>
      <c r="M6437" s="85"/>
      <c r="N6437" s="82"/>
      <c r="O6437" s="93"/>
    </row>
    <row r="6438" spans="1:15" ht="22.5" customHeight="1">
      <c r="A6438" s="85"/>
      <c r="B6438" s="82"/>
      <c r="C6438" s="82"/>
      <c r="D6438" s="82"/>
      <c r="E6438" s="82"/>
      <c r="F6438" s="92"/>
      <c r="G6438" s="87"/>
      <c r="H6438" s="88"/>
      <c r="I6438" s="89"/>
      <c r="J6438" s="90"/>
      <c r="K6438" s="85"/>
      <c r="L6438" s="85"/>
      <c r="M6438" s="85"/>
      <c r="N6438" s="82"/>
      <c r="O6438" s="93"/>
    </row>
    <row r="6439" spans="1:15" ht="22.5" customHeight="1">
      <c r="A6439" s="85"/>
      <c r="B6439" s="82"/>
      <c r="C6439" s="82"/>
      <c r="D6439" s="82"/>
      <c r="E6439" s="82"/>
      <c r="F6439" s="92"/>
      <c r="G6439" s="87"/>
      <c r="H6439" s="88"/>
      <c r="I6439" s="89"/>
      <c r="J6439" s="90"/>
      <c r="K6439" s="85"/>
      <c r="L6439" s="85"/>
      <c r="M6439" s="85"/>
      <c r="N6439" s="82"/>
      <c r="O6439" s="93"/>
    </row>
    <row r="6440" spans="1:15" ht="22.5" customHeight="1">
      <c r="A6440" s="85"/>
      <c r="B6440" s="82"/>
      <c r="C6440" s="82"/>
      <c r="D6440" s="82"/>
      <c r="E6440" s="82"/>
      <c r="F6440" s="92"/>
      <c r="G6440" s="87"/>
      <c r="H6440" s="88"/>
      <c r="I6440" s="89"/>
      <c r="J6440" s="90"/>
      <c r="K6440" s="85"/>
      <c r="L6440" s="85"/>
      <c r="M6440" s="85"/>
      <c r="N6440" s="82"/>
      <c r="O6440" s="93"/>
    </row>
    <row r="6441" spans="1:15" ht="22.5" customHeight="1">
      <c r="A6441" s="85"/>
      <c r="B6441" s="82"/>
      <c r="C6441" s="82"/>
      <c r="D6441" s="82"/>
      <c r="E6441" s="82"/>
      <c r="F6441" s="92"/>
      <c r="G6441" s="87"/>
      <c r="H6441" s="88"/>
      <c r="I6441" s="89"/>
      <c r="J6441" s="90"/>
      <c r="K6441" s="85"/>
      <c r="L6441" s="85"/>
      <c r="M6441" s="85"/>
      <c r="N6441" s="82"/>
      <c r="O6441" s="93"/>
    </row>
    <row r="6442" spans="1:15" ht="22.5" customHeight="1">
      <c r="A6442" s="85"/>
      <c r="B6442" s="82"/>
      <c r="C6442" s="82"/>
      <c r="D6442" s="82"/>
      <c r="E6442" s="82"/>
      <c r="F6442" s="92"/>
      <c r="G6442" s="87"/>
      <c r="H6442" s="88"/>
      <c r="I6442" s="89"/>
      <c r="J6442" s="90"/>
      <c r="K6442" s="85"/>
      <c r="L6442" s="85"/>
      <c r="M6442" s="85"/>
      <c r="N6442" s="82"/>
      <c r="O6442" s="93"/>
    </row>
    <row r="6443" spans="1:15" ht="22.5" customHeight="1">
      <c r="A6443" s="85"/>
      <c r="B6443" s="82"/>
      <c r="C6443" s="82"/>
      <c r="D6443" s="82"/>
      <c r="E6443" s="82"/>
      <c r="F6443" s="92"/>
      <c r="G6443" s="87"/>
      <c r="H6443" s="88"/>
      <c r="I6443" s="89"/>
      <c r="J6443" s="90"/>
      <c r="K6443" s="85"/>
      <c r="L6443" s="85"/>
      <c r="M6443" s="85"/>
      <c r="N6443" s="82"/>
      <c r="O6443" s="93"/>
    </row>
    <row r="6444" spans="1:15" ht="22.5" customHeight="1">
      <c r="A6444" s="85"/>
      <c r="B6444" s="82"/>
      <c r="C6444" s="82"/>
      <c r="D6444" s="82"/>
      <c r="E6444" s="82"/>
      <c r="F6444" s="92"/>
      <c r="G6444" s="87"/>
      <c r="H6444" s="88"/>
      <c r="I6444" s="89"/>
      <c r="J6444" s="90"/>
      <c r="K6444" s="85"/>
      <c r="L6444" s="85"/>
      <c r="M6444" s="85"/>
      <c r="N6444" s="82"/>
      <c r="O6444" s="93"/>
    </row>
    <row r="6445" spans="1:15" ht="22.5" customHeight="1">
      <c r="A6445" s="85"/>
      <c r="B6445" s="82"/>
      <c r="C6445" s="82"/>
      <c r="D6445" s="82"/>
      <c r="E6445" s="82"/>
      <c r="F6445" s="92"/>
      <c r="G6445" s="87"/>
      <c r="H6445" s="88"/>
      <c r="I6445" s="89"/>
      <c r="J6445" s="90"/>
      <c r="K6445" s="85"/>
      <c r="L6445" s="85"/>
      <c r="M6445" s="85"/>
      <c r="N6445" s="82"/>
      <c r="O6445" s="93"/>
    </row>
    <row r="6446" spans="1:15" ht="22.5" customHeight="1">
      <c r="A6446" s="85"/>
      <c r="B6446" s="82"/>
      <c r="C6446" s="82"/>
      <c r="D6446" s="82"/>
      <c r="E6446" s="82"/>
      <c r="F6446" s="92"/>
      <c r="G6446" s="87"/>
      <c r="H6446" s="88"/>
      <c r="I6446" s="89"/>
      <c r="J6446" s="90"/>
      <c r="K6446" s="85"/>
      <c r="L6446" s="85"/>
      <c r="M6446" s="85"/>
      <c r="N6446" s="82"/>
      <c r="O6446" s="93"/>
    </row>
    <row r="6447" spans="1:15" ht="22.5" customHeight="1">
      <c r="A6447" s="85"/>
      <c r="B6447" s="82"/>
      <c r="C6447" s="82"/>
      <c r="D6447" s="82"/>
      <c r="E6447" s="82"/>
      <c r="F6447" s="92"/>
      <c r="G6447" s="87"/>
      <c r="H6447" s="88"/>
      <c r="I6447" s="89"/>
      <c r="J6447" s="90"/>
      <c r="K6447" s="85"/>
      <c r="L6447" s="85"/>
      <c r="M6447" s="85"/>
      <c r="N6447" s="82"/>
      <c r="O6447" s="93"/>
    </row>
    <row r="6448" spans="1:15" ht="22.5" customHeight="1">
      <c r="A6448" s="85"/>
      <c r="B6448" s="82"/>
      <c r="C6448" s="82"/>
      <c r="D6448" s="82"/>
      <c r="E6448" s="82"/>
      <c r="F6448" s="92"/>
      <c r="G6448" s="87"/>
      <c r="H6448" s="88"/>
      <c r="I6448" s="89"/>
      <c r="J6448" s="90"/>
      <c r="K6448" s="85"/>
      <c r="L6448" s="85"/>
      <c r="M6448" s="85"/>
      <c r="N6448" s="82"/>
      <c r="O6448" s="93"/>
    </row>
    <row r="6449" spans="1:15" ht="22.5" customHeight="1">
      <c r="A6449" s="85"/>
      <c r="B6449" s="82"/>
      <c r="C6449" s="82"/>
      <c r="D6449" s="82"/>
      <c r="E6449" s="82"/>
      <c r="F6449" s="92"/>
      <c r="G6449" s="87"/>
      <c r="H6449" s="88"/>
      <c r="I6449" s="89"/>
      <c r="J6449" s="90"/>
      <c r="K6449" s="85"/>
      <c r="L6449" s="85"/>
      <c r="M6449" s="85"/>
      <c r="N6449" s="82"/>
      <c r="O6449" s="93"/>
    </row>
    <row r="6450" spans="1:15" ht="22.5" customHeight="1">
      <c r="A6450" s="85"/>
      <c r="B6450" s="82"/>
      <c r="C6450" s="82"/>
      <c r="D6450" s="82"/>
      <c r="E6450" s="82"/>
      <c r="F6450" s="92"/>
      <c r="G6450" s="87"/>
      <c r="H6450" s="88"/>
      <c r="I6450" s="89"/>
      <c r="J6450" s="90"/>
      <c r="K6450" s="85"/>
      <c r="L6450" s="85"/>
      <c r="M6450" s="85"/>
      <c r="N6450" s="82"/>
      <c r="O6450" s="93"/>
    </row>
    <row r="6451" spans="1:15" ht="22.5" customHeight="1">
      <c r="A6451" s="85"/>
      <c r="B6451" s="82"/>
      <c r="C6451" s="82"/>
      <c r="D6451" s="82"/>
      <c r="E6451" s="82"/>
      <c r="F6451" s="92"/>
      <c r="G6451" s="87"/>
      <c r="H6451" s="88"/>
      <c r="I6451" s="89"/>
      <c r="J6451" s="90"/>
      <c r="K6451" s="85"/>
      <c r="L6451" s="85"/>
      <c r="M6451" s="85"/>
      <c r="N6451" s="82"/>
      <c r="O6451" s="93"/>
    </row>
    <row r="6452" spans="1:15" ht="22.5" customHeight="1">
      <c r="A6452" s="85"/>
      <c r="B6452" s="82"/>
      <c r="C6452" s="82"/>
      <c r="D6452" s="82"/>
      <c r="E6452" s="82"/>
      <c r="F6452" s="92"/>
      <c r="G6452" s="87"/>
      <c r="H6452" s="88"/>
      <c r="I6452" s="89"/>
      <c r="J6452" s="90"/>
      <c r="K6452" s="85"/>
      <c r="L6452" s="85"/>
      <c r="M6452" s="85"/>
      <c r="N6452" s="82"/>
      <c r="O6452" s="93"/>
    </row>
    <row r="6453" spans="1:15" ht="22.5" customHeight="1">
      <c r="A6453" s="85"/>
      <c r="B6453" s="82"/>
      <c r="C6453" s="82"/>
      <c r="D6453" s="82"/>
      <c r="E6453" s="82"/>
      <c r="F6453" s="92"/>
      <c r="G6453" s="87"/>
      <c r="H6453" s="88"/>
      <c r="I6453" s="89"/>
      <c r="J6453" s="90"/>
      <c r="K6453" s="85"/>
      <c r="L6453" s="85"/>
      <c r="M6453" s="85"/>
      <c r="N6453" s="82"/>
      <c r="O6453" s="93"/>
    </row>
    <row r="6454" spans="1:15" ht="22.5" customHeight="1">
      <c r="A6454" s="85"/>
      <c r="B6454" s="82"/>
      <c r="C6454" s="82"/>
      <c r="D6454" s="82"/>
      <c r="E6454" s="82"/>
      <c r="F6454" s="92"/>
      <c r="G6454" s="87"/>
      <c r="H6454" s="88"/>
      <c r="I6454" s="89"/>
      <c r="J6454" s="90"/>
      <c r="K6454" s="85"/>
      <c r="L6454" s="85"/>
      <c r="M6454" s="85"/>
      <c r="N6454" s="82"/>
      <c r="O6454" s="93"/>
    </row>
    <row r="6455" spans="1:15" ht="22.5" customHeight="1">
      <c r="A6455" s="85"/>
      <c r="B6455" s="82"/>
      <c r="C6455" s="82"/>
      <c r="D6455" s="82"/>
      <c r="E6455" s="82"/>
      <c r="F6455" s="92"/>
      <c r="G6455" s="87"/>
      <c r="H6455" s="88"/>
      <c r="I6455" s="89"/>
      <c r="J6455" s="90"/>
      <c r="K6455" s="85"/>
      <c r="L6455" s="85"/>
      <c r="M6455" s="85"/>
      <c r="N6455" s="82"/>
      <c r="O6455" s="93"/>
    </row>
    <row r="6456" spans="1:15" ht="22.5" customHeight="1">
      <c r="A6456" s="85"/>
      <c r="B6456" s="82"/>
      <c r="C6456" s="82"/>
      <c r="D6456" s="82"/>
      <c r="E6456" s="82"/>
      <c r="F6456" s="92"/>
      <c r="G6456" s="87"/>
      <c r="H6456" s="88"/>
      <c r="I6456" s="89"/>
      <c r="J6456" s="90"/>
      <c r="K6456" s="85"/>
      <c r="L6456" s="85"/>
      <c r="M6456" s="85"/>
      <c r="N6456" s="82"/>
      <c r="O6456" s="93"/>
    </row>
    <row r="6457" spans="1:15" ht="22.5" customHeight="1">
      <c r="A6457" s="85"/>
      <c r="B6457" s="82"/>
      <c r="C6457" s="82"/>
      <c r="D6457" s="82"/>
      <c r="E6457" s="82"/>
      <c r="F6457" s="92"/>
      <c r="G6457" s="87"/>
      <c r="H6457" s="88"/>
      <c r="I6457" s="89"/>
      <c r="J6457" s="90"/>
      <c r="K6457" s="85"/>
      <c r="L6457" s="85"/>
      <c r="M6457" s="85"/>
      <c r="N6457" s="82"/>
      <c r="O6457" s="93"/>
    </row>
    <row r="6458" spans="1:15" ht="22.5" customHeight="1">
      <c r="A6458" s="85"/>
      <c r="B6458" s="82"/>
      <c r="C6458" s="82"/>
      <c r="D6458" s="82"/>
      <c r="E6458" s="82"/>
      <c r="F6458" s="92"/>
      <c r="G6458" s="87"/>
      <c r="H6458" s="88"/>
      <c r="I6458" s="89"/>
      <c r="J6458" s="90"/>
      <c r="K6458" s="85"/>
      <c r="L6458" s="85"/>
      <c r="M6458" s="85"/>
      <c r="N6458" s="82"/>
      <c r="O6458" s="93"/>
    </row>
    <row r="6459" spans="1:15" ht="22.5" customHeight="1">
      <c r="A6459" s="85"/>
      <c r="B6459" s="82"/>
      <c r="C6459" s="82"/>
      <c r="D6459" s="82"/>
      <c r="E6459" s="82"/>
      <c r="F6459" s="92"/>
      <c r="G6459" s="87"/>
      <c r="H6459" s="88"/>
      <c r="I6459" s="89"/>
      <c r="J6459" s="90"/>
      <c r="K6459" s="85"/>
      <c r="L6459" s="85"/>
      <c r="M6459" s="85"/>
      <c r="N6459" s="82"/>
      <c r="O6459" s="93"/>
    </row>
    <row r="6460" spans="1:15" ht="22.5" customHeight="1">
      <c r="A6460" s="85"/>
      <c r="B6460" s="82"/>
      <c r="C6460" s="82"/>
      <c r="D6460" s="82"/>
      <c r="E6460" s="82"/>
      <c r="F6460" s="92"/>
      <c r="G6460" s="87"/>
      <c r="H6460" s="88"/>
      <c r="I6460" s="89"/>
      <c r="J6460" s="90"/>
      <c r="K6460" s="85"/>
      <c r="L6460" s="85"/>
      <c r="M6460" s="85"/>
      <c r="N6460" s="82"/>
      <c r="O6460" s="93"/>
    </row>
    <row r="6461" spans="1:15" ht="22.5" customHeight="1">
      <c r="A6461" s="85"/>
      <c r="B6461" s="82"/>
      <c r="C6461" s="82"/>
      <c r="D6461" s="82"/>
      <c r="E6461" s="82"/>
      <c r="F6461" s="92"/>
      <c r="G6461" s="87"/>
      <c r="H6461" s="88"/>
      <c r="I6461" s="89"/>
      <c r="J6461" s="90"/>
      <c r="K6461" s="85"/>
      <c r="L6461" s="85"/>
      <c r="M6461" s="85"/>
      <c r="N6461" s="82"/>
      <c r="O6461" s="93"/>
    </row>
    <row r="6462" spans="1:15" ht="22.5" customHeight="1">
      <c r="A6462" s="85"/>
      <c r="B6462" s="82"/>
      <c r="C6462" s="82"/>
      <c r="D6462" s="82"/>
      <c r="E6462" s="82"/>
      <c r="F6462" s="92"/>
      <c r="G6462" s="87"/>
      <c r="H6462" s="88"/>
      <c r="I6462" s="89"/>
      <c r="J6462" s="90"/>
      <c r="K6462" s="85"/>
      <c r="L6462" s="85"/>
      <c r="M6462" s="85"/>
      <c r="N6462" s="82"/>
      <c r="O6462" s="93"/>
    </row>
    <row r="6463" spans="1:15" ht="22.5" customHeight="1">
      <c r="A6463" s="85"/>
      <c r="B6463" s="82"/>
      <c r="C6463" s="82"/>
      <c r="D6463" s="82"/>
      <c r="E6463" s="82"/>
      <c r="F6463" s="92"/>
      <c r="G6463" s="87"/>
      <c r="H6463" s="88"/>
      <c r="I6463" s="89"/>
      <c r="J6463" s="90"/>
      <c r="K6463" s="85"/>
      <c r="L6463" s="85"/>
      <c r="M6463" s="85"/>
      <c r="N6463" s="82"/>
      <c r="O6463" s="93"/>
    </row>
    <row r="6464" spans="1:15" ht="22.5" customHeight="1">
      <c r="A6464" s="85"/>
      <c r="B6464" s="82"/>
      <c r="C6464" s="82"/>
      <c r="D6464" s="82"/>
      <c r="E6464" s="82"/>
      <c r="F6464" s="92"/>
      <c r="G6464" s="87"/>
      <c r="H6464" s="88"/>
      <c r="I6464" s="89"/>
      <c r="J6464" s="90"/>
      <c r="K6464" s="85"/>
      <c r="L6464" s="85"/>
      <c r="M6464" s="85"/>
      <c r="N6464" s="82"/>
      <c r="O6464" s="93"/>
    </row>
    <row r="6465" spans="1:15" ht="22.5" customHeight="1">
      <c r="A6465" s="85"/>
      <c r="B6465" s="82"/>
      <c r="C6465" s="82"/>
      <c r="D6465" s="82"/>
      <c r="E6465" s="82"/>
      <c r="F6465" s="92"/>
      <c r="G6465" s="87"/>
      <c r="H6465" s="88"/>
      <c r="I6465" s="89"/>
      <c r="J6465" s="90"/>
      <c r="K6465" s="85"/>
      <c r="L6465" s="85"/>
      <c r="M6465" s="85"/>
      <c r="N6465" s="82"/>
      <c r="O6465" s="93"/>
    </row>
    <row r="6466" spans="1:15" ht="22.5" customHeight="1">
      <c r="A6466" s="85"/>
      <c r="B6466" s="82"/>
      <c r="C6466" s="82"/>
      <c r="D6466" s="82"/>
      <c r="E6466" s="82"/>
      <c r="F6466" s="92"/>
      <c r="G6466" s="87"/>
      <c r="H6466" s="88"/>
      <c r="I6466" s="89"/>
      <c r="J6466" s="90"/>
      <c r="K6466" s="85"/>
      <c r="L6466" s="85"/>
      <c r="M6466" s="85"/>
      <c r="N6466" s="82"/>
      <c r="O6466" s="93"/>
    </row>
    <row r="6467" spans="1:15" ht="22.5" customHeight="1">
      <c r="A6467" s="85"/>
      <c r="B6467" s="82"/>
      <c r="C6467" s="82"/>
      <c r="D6467" s="82"/>
      <c r="E6467" s="82"/>
      <c r="F6467" s="92"/>
      <c r="G6467" s="87"/>
      <c r="H6467" s="88"/>
      <c r="I6467" s="89"/>
      <c r="J6467" s="90"/>
      <c r="K6467" s="85"/>
      <c r="L6467" s="85"/>
      <c r="M6467" s="85"/>
      <c r="N6467" s="82"/>
      <c r="O6467" s="93"/>
    </row>
    <row r="6468" spans="1:15" ht="22.5" customHeight="1">
      <c r="A6468" s="85"/>
      <c r="B6468" s="82"/>
      <c r="C6468" s="82"/>
      <c r="D6468" s="82"/>
      <c r="E6468" s="82"/>
      <c r="F6468" s="92"/>
      <c r="G6468" s="87"/>
      <c r="H6468" s="88"/>
      <c r="I6468" s="89"/>
      <c r="J6468" s="90"/>
      <c r="K6468" s="85"/>
      <c r="L6468" s="85"/>
      <c r="M6468" s="85"/>
      <c r="N6468" s="82"/>
      <c r="O6468" s="93"/>
    </row>
    <row r="6469" spans="1:15" ht="22.5" customHeight="1">
      <c r="A6469" s="85"/>
      <c r="B6469" s="82"/>
      <c r="C6469" s="82"/>
      <c r="D6469" s="82"/>
      <c r="E6469" s="82"/>
      <c r="F6469" s="92"/>
      <c r="G6469" s="87"/>
      <c r="H6469" s="88"/>
      <c r="I6469" s="89"/>
      <c r="J6469" s="90"/>
      <c r="K6469" s="85"/>
      <c r="L6469" s="85"/>
      <c r="M6469" s="85"/>
      <c r="N6469" s="82"/>
      <c r="O6469" s="93"/>
    </row>
    <row r="6470" spans="1:15" ht="22.5" customHeight="1">
      <c r="A6470" s="85"/>
      <c r="B6470" s="82"/>
      <c r="C6470" s="82"/>
      <c r="D6470" s="82"/>
      <c r="E6470" s="82"/>
      <c r="F6470" s="92"/>
      <c r="G6470" s="87"/>
      <c r="H6470" s="88"/>
      <c r="I6470" s="89"/>
      <c r="J6470" s="90"/>
      <c r="K6470" s="85"/>
      <c r="L6470" s="85"/>
      <c r="M6470" s="85"/>
      <c r="N6470" s="82"/>
      <c r="O6470" s="93"/>
    </row>
    <row r="6471" spans="1:15" ht="22.5" customHeight="1">
      <c r="A6471" s="85"/>
      <c r="B6471" s="82"/>
      <c r="C6471" s="82"/>
      <c r="D6471" s="82"/>
      <c r="E6471" s="82"/>
      <c r="F6471" s="92"/>
      <c r="G6471" s="87"/>
      <c r="H6471" s="88"/>
      <c r="I6471" s="89"/>
      <c r="J6471" s="90"/>
      <c r="K6471" s="85"/>
      <c r="L6471" s="85"/>
      <c r="M6471" s="85"/>
      <c r="N6471" s="82"/>
      <c r="O6471" s="93"/>
    </row>
    <row r="6472" spans="1:15" ht="22.5" customHeight="1">
      <c r="A6472" s="85"/>
      <c r="B6472" s="82"/>
      <c r="C6472" s="82"/>
      <c r="D6472" s="82"/>
      <c r="E6472" s="82"/>
      <c r="F6472" s="92"/>
      <c r="G6472" s="87"/>
      <c r="H6472" s="88"/>
      <c r="I6472" s="89"/>
      <c r="J6472" s="90"/>
      <c r="K6472" s="85"/>
      <c r="L6472" s="85"/>
      <c r="M6472" s="85"/>
      <c r="N6472" s="82"/>
      <c r="O6472" s="93"/>
    </row>
    <row r="6473" spans="1:15" ht="22.5" customHeight="1">
      <c r="A6473" s="85"/>
      <c r="B6473" s="82"/>
      <c r="C6473" s="82"/>
      <c r="D6473" s="82"/>
      <c r="E6473" s="82"/>
      <c r="F6473" s="92"/>
      <c r="G6473" s="87"/>
      <c r="H6473" s="88"/>
      <c r="I6473" s="89"/>
      <c r="J6473" s="90"/>
      <c r="K6473" s="85"/>
      <c r="L6473" s="85"/>
      <c r="M6473" s="85"/>
      <c r="N6473" s="82"/>
      <c r="O6473" s="93"/>
    </row>
    <row r="6474" spans="1:15" ht="22.5" customHeight="1">
      <c r="A6474" s="85"/>
      <c r="B6474" s="82"/>
      <c r="C6474" s="82"/>
      <c r="D6474" s="82"/>
      <c r="E6474" s="82"/>
      <c r="F6474" s="92"/>
      <c r="G6474" s="87"/>
      <c r="H6474" s="88"/>
      <c r="I6474" s="89"/>
      <c r="J6474" s="90"/>
      <c r="K6474" s="85"/>
      <c r="L6474" s="85"/>
      <c r="M6474" s="85"/>
      <c r="N6474" s="82"/>
      <c r="O6474" s="93"/>
    </row>
    <row r="6475" spans="1:15" ht="22.5" customHeight="1">
      <c r="A6475" s="85"/>
      <c r="B6475" s="82"/>
      <c r="C6475" s="82"/>
      <c r="D6475" s="82"/>
      <c r="E6475" s="82"/>
      <c r="F6475" s="92"/>
      <c r="G6475" s="87"/>
      <c r="H6475" s="88"/>
      <c r="I6475" s="89"/>
      <c r="J6475" s="90"/>
      <c r="K6475" s="85"/>
      <c r="L6475" s="85"/>
      <c r="M6475" s="85"/>
      <c r="N6475" s="82"/>
      <c r="O6475" s="93"/>
    </row>
    <row r="6476" spans="1:15" ht="22.5" customHeight="1">
      <c r="A6476" s="85"/>
      <c r="B6476" s="82"/>
      <c r="C6476" s="82"/>
      <c r="D6476" s="82"/>
      <c r="E6476" s="82"/>
      <c r="F6476" s="92"/>
      <c r="G6476" s="87"/>
      <c r="H6476" s="88"/>
      <c r="I6476" s="89"/>
      <c r="J6476" s="90"/>
      <c r="K6476" s="85"/>
      <c r="L6476" s="85"/>
      <c r="M6476" s="85"/>
      <c r="N6476" s="82"/>
      <c r="O6476" s="93"/>
    </row>
    <row r="6477" spans="1:15" ht="22.5" customHeight="1">
      <c r="A6477" s="85"/>
      <c r="B6477" s="82"/>
      <c r="C6477" s="82"/>
      <c r="D6477" s="82"/>
      <c r="E6477" s="82"/>
      <c r="F6477" s="92"/>
      <c r="G6477" s="87"/>
      <c r="H6477" s="88"/>
      <c r="I6477" s="89"/>
      <c r="J6477" s="90"/>
      <c r="K6477" s="85"/>
      <c r="L6477" s="85"/>
      <c r="M6477" s="85"/>
      <c r="N6477" s="82"/>
      <c r="O6477" s="93"/>
    </row>
    <row r="6478" spans="1:15" ht="22.5" customHeight="1">
      <c r="A6478" s="85"/>
      <c r="B6478" s="82"/>
      <c r="C6478" s="82"/>
      <c r="D6478" s="82"/>
      <c r="E6478" s="82"/>
      <c r="F6478" s="92"/>
      <c r="G6478" s="87"/>
      <c r="H6478" s="88"/>
      <c r="I6478" s="89"/>
      <c r="J6478" s="90"/>
      <c r="K6478" s="85"/>
      <c r="L6478" s="85"/>
      <c r="M6478" s="85"/>
      <c r="N6478" s="82"/>
      <c r="O6478" s="93"/>
    </row>
    <row r="6479" spans="1:15" ht="22.5" customHeight="1">
      <c r="A6479" s="85"/>
      <c r="B6479" s="82"/>
      <c r="C6479" s="82"/>
      <c r="D6479" s="82"/>
      <c r="E6479" s="82"/>
      <c r="F6479" s="92"/>
      <c r="G6479" s="87"/>
      <c r="H6479" s="88"/>
      <c r="I6479" s="89"/>
      <c r="J6479" s="90"/>
      <c r="K6479" s="85"/>
      <c r="L6479" s="85"/>
      <c r="M6479" s="85"/>
      <c r="N6479" s="82"/>
      <c r="O6479" s="93"/>
    </row>
    <row r="6480" spans="1:15" ht="22.5" customHeight="1">
      <c r="A6480" s="85"/>
      <c r="B6480" s="82"/>
      <c r="C6480" s="82"/>
      <c r="D6480" s="82"/>
      <c r="E6480" s="82"/>
      <c r="F6480" s="92"/>
      <c r="G6480" s="87"/>
      <c r="H6480" s="88"/>
      <c r="I6480" s="89"/>
      <c r="J6480" s="90"/>
      <c r="K6480" s="85"/>
      <c r="L6480" s="85"/>
      <c r="M6480" s="85"/>
      <c r="N6480" s="82"/>
      <c r="O6480" s="93"/>
    </row>
    <row r="6481" spans="1:15" ht="22.5" customHeight="1">
      <c r="A6481" s="85"/>
      <c r="B6481" s="82"/>
      <c r="C6481" s="82"/>
      <c r="D6481" s="82"/>
      <c r="E6481" s="82"/>
      <c r="F6481" s="92"/>
      <c r="G6481" s="87"/>
      <c r="H6481" s="88"/>
      <c r="I6481" s="89"/>
      <c r="J6481" s="90"/>
      <c r="K6481" s="85"/>
      <c r="L6481" s="85"/>
      <c r="M6481" s="85"/>
      <c r="N6481" s="82"/>
      <c r="O6481" s="93"/>
    </row>
    <row r="6482" spans="1:15" ht="22.5" customHeight="1">
      <c r="A6482" s="85"/>
      <c r="B6482" s="82"/>
      <c r="C6482" s="82"/>
      <c r="D6482" s="82"/>
      <c r="E6482" s="82"/>
      <c r="F6482" s="92"/>
      <c r="G6482" s="87"/>
      <c r="H6482" s="88"/>
      <c r="I6482" s="89"/>
      <c r="J6482" s="90"/>
      <c r="K6482" s="85"/>
      <c r="L6482" s="85"/>
      <c r="M6482" s="85"/>
      <c r="N6482" s="82"/>
      <c r="O6482" s="93"/>
    </row>
    <row r="6483" spans="1:15" ht="22.5" customHeight="1">
      <c r="A6483" s="85"/>
      <c r="B6483" s="82"/>
      <c r="C6483" s="82"/>
      <c r="D6483" s="82"/>
      <c r="E6483" s="82"/>
      <c r="F6483" s="92"/>
      <c r="G6483" s="87"/>
      <c r="H6483" s="88"/>
      <c r="I6483" s="89"/>
      <c r="J6483" s="90"/>
      <c r="K6483" s="85"/>
      <c r="L6483" s="85"/>
      <c r="M6483" s="85"/>
      <c r="N6483" s="82"/>
      <c r="O6483" s="93"/>
    </row>
    <row r="6484" spans="1:15" ht="22.5" customHeight="1">
      <c r="A6484" s="85"/>
      <c r="B6484" s="82"/>
      <c r="C6484" s="82"/>
      <c r="D6484" s="82"/>
      <c r="E6484" s="82"/>
      <c r="F6484" s="92"/>
      <c r="G6484" s="87"/>
      <c r="H6484" s="88"/>
      <c r="I6484" s="89"/>
      <c r="J6484" s="90"/>
      <c r="K6484" s="85"/>
      <c r="L6484" s="85"/>
      <c r="M6484" s="85"/>
      <c r="N6484" s="82"/>
      <c r="O6484" s="93"/>
    </row>
    <row r="6485" spans="1:15" ht="22.5" customHeight="1">
      <c r="A6485" s="85"/>
      <c r="B6485" s="82"/>
      <c r="C6485" s="82"/>
      <c r="D6485" s="82"/>
      <c r="E6485" s="82"/>
      <c r="F6485" s="92"/>
      <c r="G6485" s="87"/>
      <c r="H6485" s="88"/>
      <c r="I6485" s="89"/>
      <c r="J6485" s="90"/>
      <c r="K6485" s="85"/>
      <c r="L6485" s="85"/>
      <c r="M6485" s="85"/>
      <c r="N6485" s="82"/>
      <c r="O6485" s="93"/>
    </row>
    <row r="6486" spans="1:15" ht="22.5" customHeight="1">
      <c r="A6486" s="85"/>
      <c r="B6486" s="82"/>
      <c r="C6486" s="82"/>
      <c r="D6486" s="82"/>
      <c r="E6486" s="82"/>
      <c r="F6486" s="92"/>
      <c r="G6486" s="87"/>
      <c r="H6486" s="88"/>
      <c r="I6486" s="89"/>
      <c r="J6486" s="90"/>
      <c r="K6486" s="85"/>
      <c r="L6486" s="85"/>
      <c r="M6486" s="85"/>
      <c r="N6486" s="82"/>
      <c r="O6486" s="93"/>
    </row>
    <row r="6487" spans="1:15" ht="22.5" customHeight="1">
      <c r="A6487" s="85"/>
      <c r="B6487" s="82"/>
      <c r="C6487" s="82"/>
      <c r="D6487" s="82"/>
      <c r="E6487" s="82"/>
      <c r="F6487" s="92"/>
      <c r="G6487" s="87"/>
      <c r="H6487" s="88"/>
      <c r="I6487" s="89"/>
      <c r="J6487" s="90"/>
      <c r="K6487" s="85"/>
      <c r="L6487" s="85"/>
      <c r="M6487" s="85"/>
      <c r="N6487" s="82"/>
      <c r="O6487" s="93"/>
    </row>
    <row r="6488" spans="1:15" ht="22.5" customHeight="1">
      <c r="A6488" s="85"/>
      <c r="B6488" s="82"/>
      <c r="C6488" s="82"/>
      <c r="D6488" s="82"/>
      <c r="E6488" s="82"/>
      <c r="F6488" s="92"/>
      <c r="G6488" s="87"/>
      <c r="H6488" s="88"/>
      <c r="I6488" s="89"/>
      <c r="J6488" s="90"/>
      <c r="K6488" s="85"/>
      <c r="L6488" s="85"/>
      <c r="M6488" s="85"/>
      <c r="N6488" s="82"/>
      <c r="O6488" s="93"/>
    </row>
    <row r="6489" spans="1:15" ht="22.5" customHeight="1">
      <c r="A6489" s="85"/>
      <c r="B6489" s="82"/>
      <c r="C6489" s="82"/>
      <c r="D6489" s="82"/>
      <c r="E6489" s="82"/>
      <c r="F6489" s="92"/>
      <c r="G6489" s="87"/>
      <c r="H6489" s="88"/>
      <c r="I6489" s="89"/>
      <c r="J6489" s="90"/>
      <c r="K6489" s="85"/>
      <c r="L6489" s="85"/>
      <c r="M6489" s="85"/>
      <c r="N6489" s="82"/>
      <c r="O6489" s="93"/>
    </row>
    <row r="6490" spans="1:15" ht="22.5" customHeight="1">
      <c r="A6490" s="85"/>
      <c r="B6490" s="82"/>
      <c r="C6490" s="82"/>
      <c r="D6490" s="82"/>
      <c r="E6490" s="82"/>
      <c r="F6490" s="92"/>
      <c r="G6490" s="87"/>
      <c r="H6490" s="88"/>
      <c r="I6490" s="89"/>
      <c r="J6490" s="90"/>
      <c r="K6490" s="85"/>
      <c r="L6490" s="85"/>
      <c r="M6490" s="85"/>
      <c r="N6490" s="82"/>
      <c r="O6490" s="93"/>
    </row>
    <row r="6491" spans="1:15" ht="22.5" customHeight="1">
      <c r="A6491" s="85"/>
      <c r="B6491" s="82"/>
      <c r="C6491" s="82"/>
      <c r="D6491" s="82"/>
      <c r="E6491" s="82"/>
      <c r="F6491" s="92"/>
      <c r="G6491" s="87"/>
      <c r="H6491" s="88"/>
      <c r="I6491" s="89"/>
      <c r="J6491" s="90"/>
      <c r="K6491" s="85"/>
      <c r="L6491" s="85"/>
      <c r="M6491" s="85"/>
      <c r="N6491" s="82"/>
      <c r="O6491" s="93"/>
    </row>
    <row r="6492" spans="1:15" ht="22.5" customHeight="1">
      <c r="A6492" s="85"/>
      <c r="B6492" s="82"/>
      <c r="C6492" s="82"/>
      <c r="D6492" s="82"/>
      <c r="E6492" s="82"/>
      <c r="F6492" s="92"/>
      <c r="G6492" s="87"/>
      <c r="H6492" s="88"/>
      <c r="I6492" s="89"/>
      <c r="J6492" s="90"/>
      <c r="K6492" s="85"/>
      <c r="L6492" s="85"/>
      <c r="M6492" s="85"/>
      <c r="N6492" s="82"/>
      <c r="O6492" s="93"/>
    </row>
    <row r="6493" spans="1:15" ht="22.5" customHeight="1">
      <c r="A6493" s="85"/>
      <c r="B6493" s="82"/>
      <c r="C6493" s="82"/>
      <c r="D6493" s="82"/>
      <c r="E6493" s="82"/>
      <c r="F6493" s="92"/>
      <c r="G6493" s="87"/>
      <c r="H6493" s="88"/>
      <c r="I6493" s="89"/>
      <c r="J6493" s="90"/>
      <c r="K6493" s="85"/>
      <c r="L6493" s="85"/>
      <c r="M6493" s="85"/>
      <c r="N6493" s="82"/>
      <c r="O6493" s="93"/>
    </row>
    <row r="6494" spans="1:15" ht="22.5" customHeight="1">
      <c r="A6494" s="85"/>
      <c r="B6494" s="82"/>
      <c r="C6494" s="82"/>
      <c r="D6494" s="82"/>
      <c r="E6494" s="82"/>
      <c r="F6494" s="92"/>
      <c r="G6494" s="87"/>
      <c r="H6494" s="88"/>
      <c r="I6494" s="89"/>
      <c r="J6494" s="90"/>
      <c r="K6494" s="85"/>
      <c r="L6494" s="85"/>
      <c r="M6494" s="85"/>
      <c r="N6494" s="82"/>
      <c r="O6494" s="93"/>
    </row>
    <row r="6495" spans="1:15" ht="22.5" customHeight="1">
      <c r="A6495" s="85"/>
      <c r="B6495" s="82"/>
      <c r="C6495" s="82"/>
      <c r="D6495" s="82"/>
      <c r="E6495" s="82"/>
      <c r="F6495" s="92"/>
      <c r="G6495" s="87"/>
      <c r="H6495" s="88"/>
      <c r="I6495" s="89"/>
      <c r="J6495" s="90"/>
      <c r="K6495" s="85"/>
      <c r="L6495" s="85"/>
      <c r="M6495" s="85"/>
      <c r="N6495" s="82"/>
      <c r="O6495" s="93"/>
    </row>
    <row r="6496" spans="1:15" ht="22.5" customHeight="1">
      <c r="A6496" s="85"/>
      <c r="B6496" s="82"/>
      <c r="C6496" s="82"/>
      <c r="D6496" s="82"/>
      <c r="E6496" s="82"/>
      <c r="F6496" s="92"/>
      <c r="G6496" s="87"/>
      <c r="H6496" s="88"/>
      <c r="I6496" s="89"/>
      <c r="J6496" s="90"/>
      <c r="K6496" s="85"/>
      <c r="L6496" s="85"/>
      <c r="M6496" s="85"/>
      <c r="N6496" s="82"/>
      <c r="O6496" s="93"/>
    </row>
    <row r="6497" spans="1:15" ht="22.5" customHeight="1">
      <c r="A6497" s="85"/>
      <c r="B6497" s="82"/>
      <c r="C6497" s="82"/>
      <c r="D6497" s="82"/>
      <c r="E6497" s="82"/>
      <c r="F6497" s="92"/>
      <c r="G6497" s="87"/>
      <c r="H6497" s="88"/>
      <c r="I6497" s="89"/>
      <c r="J6497" s="90"/>
      <c r="K6497" s="85"/>
      <c r="L6497" s="85"/>
      <c r="M6497" s="85"/>
      <c r="N6497" s="82"/>
      <c r="O6497" s="93"/>
    </row>
    <row r="6498" spans="1:15" ht="22.5" customHeight="1">
      <c r="A6498" s="85"/>
      <c r="B6498" s="82"/>
      <c r="C6498" s="82"/>
      <c r="D6498" s="82"/>
      <c r="E6498" s="82"/>
      <c r="F6498" s="92"/>
      <c r="G6498" s="87"/>
      <c r="H6498" s="88"/>
      <c r="I6498" s="89"/>
      <c r="J6498" s="90"/>
      <c r="K6498" s="85"/>
      <c r="L6498" s="85"/>
      <c r="M6498" s="85"/>
      <c r="N6498" s="82"/>
      <c r="O6498" s="93"/>
    </row>
    <row r="6499" spans="1:15" ht="22.5" customHeight="1">
      <c r="A6499" s="85"/>
      <c r="B6499" s="82"/>
      <c r="C6499" s="82"/>
      <c r="D6499" s="82"/>
      <c r="E6499" s="82"/>
      <c r="F6499" s="92"/>
      <c r="G6499" s="87"/>
      <c r="H6499" s="88"/>
      <c r="I6499" s="89"/>
      <c r="J6499" s="90"/>
      <c r="K6499" s="85"/>
      <c r="L6499" s="85"/>
      <c r="M6499" s="85"/>
      <c r="N6499" s="82"/>
      <c r="O6499" s="93"/>
    </row>
    <row r="6500" spans="1:15" ht="22.5" customHeight="1">
      <c r="A6500" s="85"/>
      <c r="B6500" s="82"/>
      <c r="C6500" s="82"/>
      <c r="D6500" s="82"/>
      <c r="E6500" s="82"/>
      <c r="F6500" s="92"/>
      <c r="G6500" s="87"/>
      <c r="H6500" s="88"/>
      <c r="I6500" s="89"/>
      <c r="J6500" s="90"/>
      <c r="K6500" s="85"/>
      <c r="L6500" s="85"/>
      <c r="M6500" s="85"/>
      <c r="N6500" s="82"/>
      <c r="O6500" s="93"/>
    </row>
    <row r="6501" spans="1:15" ht="22.5" customHeight="1">
      <c r="A6501" s="85"/>
      <c r="B6501" s="82"/>
      <c r="C6501" s="82"/>
      <c r="D6501" s="82"/>
      <c r="E6501" s="82"/>
      <c r="F6501" s="92"/>
      <c r="G6501" s="87"/>
      <c r="H6501" s="88"/>
      <c r="I6501" s="89"/>
      <c r="J6501" s="90"/>
      <c r="K6501" s="85"/>
      <c r="L6501" s="85"/>
      <c r="M6501" s="85"/>
      <c r="N6501" s="82"/>
      <c r="O6501" s="93"/>
    </row>
    <row r="6502" spans="1:15" ht="22.5" customHeight="1">
      <c r="A6502" s="85"/>
      <c r="B6502" s="82"/>
      <c r="C6502" s="82"/>
      <c r="D6502" s="82"/>
      <c r="E6502" s="82"/>
      <c r="F6502" s="92"/>
      <c r="G6502" s="87"/>
      <c r="H6502" s="88"/>
      <c r="I6502" s="89"/>
      <c r="J6502" s="90"/>
      <c r="K6502" s="85"/>
      <c r="L6502" s="85"/>
      <c r="M6502" s="85"/>
      <c r="N6502" s="82"/>
      <c r="O6502" s="93"/>
    </row>
    <row r="6503" spans="1:15" ht="22.5" customHeight="1">
      <c r="A6503" s="85"/>
      <c r="B6503" s="82"/>
      <c r="C6503" s="82"/>
      <c r="D6503" s="82"/>
      <c r="E6503" s="82"/>
      <c r="F6503" s="92"/>
      <c r="G6503" s="87"/>
      <c r="H6503" s="88"/>
      <c r="I6503" s="89"/>
      <c r="J6503" s="90"/>
      <c r="K6503" s="85"/>
      <c r="L6503" s="85"/>
      <c r="M6503" s="85"/>
      <c r="N6503" s="82"/>
      <c r="O6503" s="93"/>
    </row>
    <row r="6504" spans="1:15" ht="22.5" customHeight="1">
      <c r="A6504" s="85"/>
      <c r="B6504" s="82"/>
      <c r="C6504" s="82"/>
      <c r="D6504" s="82"/>
      <c r="E6504" s="82"/>
      <c r="F6504" s="92"/>
      <c r="G6504" s="87"/>
      <c r="H6504" s="88"/>
      <c r="I6504" s="89"/>
      <c r="J6504" s="90"/>
      <c r="K6504" s="85"/>
      <c r="L6504" s="85"/>
      <c r="M6504" s="85"/>
      <c r="N6504" s="82"/>
      <c r="O6504" s="93"/>
    </row>
    <row r="6505" spans="1:15" ht="22.5" customHeight="1">
      <c r="A6505" s="85"/>
      <c r="B6505" s="82"/>
      <c r="C6505" s="82"/>
      <c r="D6505" s="82"/>
      <c r="E6505" s="82"/>
      <c r="F6505" s="92"/>
      <c r="G6505" s="87"/>
      <c r="H6505" s="88"/>
      <c r="I6505" s="89"/>
      <c r="J6505" s="90"/>
      <c r="K6505" s="85"/>
      <c r="L6505" s="85"/>
      <c r="M6505" s="85"/>
      <c r="N6505" s="82"/>
      <c r="O6505" s="93"/>
    </row>
    <row r="6506" spans="1:15" ht="22.5" customHeight="1">
      <c r="A6506" s="85"/>
      <c r="B6506" s="82"/>
      <c r="C6506" s="82"/>
      <c r="D6506" s="82"/>
      <c r="E6506" s="82"/>
      <c r="F6506" s="92"/>
      <c r="G6506" s="87"/>
      <c r="H6506" s="88"/>
      <c r="I6506" s="89"/>
      <c r="J6506" s="90"/>
      <c r="K6506" s="85"/>
      <c r="L6506" s="85"/>
      <c r="M6506" s="85"/>
      <c r="N6506" s="82"/>
      <c r="O6506" s="93"/>
    </row>
    <row r="6507" spans="1:15" ht="22.5" customHeight="1">
      <c r="A6507" s="85"/>
      <c r="B6507" s="82"/>
      <c r="C6507" s="82"/>
      <c r="D6507" s="82"/>
      <c r="E6507" s="82"/>
      <c r="F6507" s="92"/>
      <c r="G6507" s="87"/>
      <c r="H6507" s="88"/>
      <c r="I6507" s="89"/>
      <c r="J6507" s="90"/>
      <c r="K6507" s="85"/>
      <c r="L6507" s="85"/>
      <c r="M6507" s="85"/>
      <c r="N6507" s="82"/>
      <c r="O6507" s="93"/>
    </row>
    <row r="6508" spans="1:15" ht="22.5" customHeight="1">
      <c r="A6508" s="85"/>
      <c r="B6508" s="82"/>
      <c r="C6508" s="82"/>
      <c r="D6508" s="82"/>
      <c r="E6508" s="82"/>
      <c r="F6508" s="92"/>
      <c r="G6508" s="87"/>
      <c r="H6508" s="88"/>
      <c r="I6508" s="89"/>
      <c r="J6508" s="90"/>
      <c r="K6508" s="85"/>
      <c r="L6508" s="85"/>
      <c r="M6508" s="85"/>
      <c r="N6508" s="82"/>
      <c r="O6508" s="93"/>
    </row>
    <row r="6509" spans="1:15" ht="22.5" customHeight="1">
      <c r="A6509" s="85"/>
      <c r="B6509" s="82"/>
      <c r="C6509" s="82"/>
      <c r="D6509" s="82"/>
      <c r="E6509" s="82"/>
      <c r="F6509" s="92"/>
      <c r="G6509" s="87"/>
      <c r="H6509" s="88"/>
      <c r="I6509" s="89"/>
      <c r="J6509" s="90"/>
      <c r="K6509" s="85"/>
      <c r="L6509" s="85"/>
      <c r="M6509" s="85"/>
      <c r="N6509" s="82"/>
      <c r="O6509" s="93"/>
    </row>
    <row r="6510" spans="1:15" ht="22.5" customHeight="1">
      <c r="A6510" s="85"/>
      <c r="B6510" s="82"/>
      <c r="C6510" s="82"/>
      <c r="D6510" s="82"/>
      <c r="E6510" s="82"/>
      <c r="F6510" s="92"/>
      <c r="G6510" s="87"/>
      <c r="H6510" s="88"/>
      <c r="I6510" s="89"/>
      <c r="J6510" s="90"/>
      <c r="K6510" s="85"/>
      <c r="L6510" s="85"/>
      <c r="M6510" s="85"/>
      <c r="N6510" s="82"/>
      <c r="O6510" s="93"/>
    </row>
    <row r="6511" spans="1:15" ht="22.5" customHeight="1">
      <c r="A6511" s="85"/>
      <c r="B6511" s="82"/>
      <c r="C6511" s="82"/>
      <c r="D6511" s="82"/>
      <c r="E6511" s="82"/>
      <c r="F6511" s="92"/>
      <c r="G6511" s="87"/>
      <c r="H6511" s="88"/>
      <c r="I6511" s="89"/>
      <c r="J6511" s="90"/>
      <c r="K6511" s="85"/>
      <c r="L6511" s="85"/>
      <c r="M6511" s="85"/>
      <c r="N6511" s="82"/>
      <c r="O6511" s="93"/>
    </row>
    <row r="6512" spans="1:15" ht="22.5" customHeight="1">
      <c r="A6512" s="85"/>
      <c r="B6512" s="82"/>
      <c r="C6512" s="82"/>
      <c r="D6512" s="82"/>
      <c r="E6512" s="82"/>
      <c r="F6512" s="92"/>
      <c r="G6512" s="87"/>
      <c r="H6512" s="88"/>
      <c r="I6512" s="89"/>
      <c r="J6512" s="90"/>
      <c r="K6512" s="85"/>
      <c r="L6512" s="85"/>
      <c r="M6512" s="85"/>
      <c r="N6512" s="82"/>
      <c r="O6512" s="93"/>
    </row>
    <row r="6513" spans="1:15" ht="22.5" customHeight="1">
      <c r="A6513" s="85"/>
      <c r="B6513" s="82"/>
      <c r="C6513" s="82"/>
      <c r="D6513" s="82"/>
      <c r="E6513" s="82"/>
      <c r="F6513" s="92"/>
      <c r="G6513" s="87"/>
      <c r="H6513" s="88"/>
      <c r="I6513" s="89"/>
      <c r="J6513" s="90"/>
      <c r="K6513" s="85"/>
      <c r="L6513" s="85"/>
      <c r="M6513" s="85"/>
      <c r="N6513" s="82"/>
      <c r="O6513" s="93"/>
    </row>
    <row r="6514" spans="1:15" ht="22.5" customHeight="1">
      <c r="A6514" s="85"/>
      <c r="B6514" s="82"/>
      <c r="C6514" s="82"/>
      <c r="D6514" s="82"/>
      <c r="E6514" s="82"/>
      <c r="F6514" s="92"/>
      <c r="G6514" s="87"/>
      <c r="H6514" s="88"/>
      <c r="I6514" s="89"/>
      <c r="J6514" s="90"/>
      <c r="K6514" s="85"/>
      <c r="L6514" s="85"/>
      <c r="M6514" s="85"/>
      <c r="N6514" s="82"/>
      <c r="O6514" s="93"/>
    </row>
    <row r="6515" spans="1:15" ht="22.5" customHeight="1">
      <c r="A6515" s="85"/>
      <c r="B6515" s="82"/>
      <c r="C6515" s="82"/>
      <c r="D6515" s="82"/>
      <c r="E6515" s="82"/>
      <c r="F6515" s="92"/>
      <c r="G6515" s="87"/>
      <c r="H6515" s="88"/>
      <c r="I6515" s="89"/>
      <c r="J6515" s="90"/>
      <c r="K6515" s="85"/>
      <c r="L6515" s="85"/>
      <c r="M6515" s="85"/>
      <c r="N6515" s="82"/>
      <c r="O6515" s="93"/>
    </row>
    <row r="6516" spans="1:15" ht="22.5" customHeight="1">
      <c r="A6516" s="85"/>
      <c r="B6516" s="82"/>
      <c r="C6516" s="82"/>
      <c r="D6516" s="82"/>
      <c r="E6516" s="82"/>
      <c r="F6516" s="92"/>
      <c r="G6516" s="87"/>
      <c r="H6516" s="88"/>
      <c r="I6516" s="89"/>
      <c r="J6516" s="90"/>
      <c r="K6516" s="85"/>
      <c r="L6516" s="85"/>
      <c r="M6516" s="85"/>
      <c r="N6516" s="82"/>
      <c r="O6516" s="93"/>
    </row>
    <row r="6517" spans="1:15" ht="22.5" customHeight="1">
      <c r="A6517" s="85"/>
      <c r="B6517" s="82"/>
      <c r="C6517" s="82"/>
      <c r="D6517" s="82"/>
      <c r="E6517" s="82"/>
      <c r="F6517" s="92"/>
      <c r="G6517" s="87"/>
      <c r="H6517" s="88"/>
      <c r="I6517" s="89"/>
      <c r="J6517" s="90"/>
      <c r="K6517" s="85"/>
      <c r="L6517" s="85"/>
      <c r="M6517" s="85"/>
      <c r="N6517" s="82"/>
      <c r="O6517" s="93"/>
    </row>
    <row r="6518" spans="1:15" ht="22.5" customHeight="1">
      <c r="A6518" s="85"/>
      <c r="B6518" s="82"/>
      <c r="C6518" s="82"/>
      <c r="D6518" s="82"/>
      <c r="E6518" s="82"/>
      <c r="F6518" s="92"/>
      <c r="G6518" s="87"/>
      <c r="H6518" s="88"/>
      <c r="I6518" s="89"/>
      <c r="J6518" s="90"/>
      <c r="K6518" s="85"/>
      <c r="L6518" s="85"/>
      <c r="M6518" s="85"/>
      <c r="N6518" s="82"/>
      <c r="O6518" s="93"/>
    </row>
    <row r="6519" spans="1:15" ht="22.5" customHeight="1">
      <c r="A6519" s="85"/>
      <c r="B6519" s="82"/>
      <c r="C6519" s="82"/>
      <c r="D6519" s="82"/>
      <c r="E6519" s="82"/>
      <c r="F6519" s="92"/>
      <c r="G6519" s="87"/>
      <c r="H6519" s="88"/>
      <c r="I6519" s="89"/>
      <c r="J6519" s="90"/>
      <c r="K6519" s="85"/>
      <c r="L6519" s="85"/>
      <c r="M6519" s="85"/>
      <c r="N6519" s="82"/>
      <c r="O6519" s="93"/>
    </row>
    <row r="6520" spans="1:15" ht="22.5" customHeight="1">
      <c r="A6520" s="85"/>
      <c r="B6520" s="82"/>
      <c r="C6520" s="82"/>
      <c r="D6520" s="82"/>
      <c r="E6520" s="82"/>
      <c r="F6520" s="92"/>
      <c r="G6520" s="87"/>
      <c r="H6520" s="88"/>
      <c r="I6520" s="89"/>
      <c r="J6520" s="90"/>
      <c r="K6520" s="85"/>
      <c r="L6520" s="85"/>
      <c r="M6520" s="85"/>
      <c r="N6520" s="82"/>
      <c r="O6520" s="93"/>
    </row>
    <row r="6521" spans="1:15" ht="22.5" customHeight="1">
      <c r="A6521" s="85"/>
      <c r="B6521" s="82"/>
      <c r="C6521" s="82"/>
      <c r="D6521" s="82"/>
      <c r="E6521" s="82"/>
      <c r="F6521" s="92"/>
      <c r="G6521" s="87"/>
      <c r="H6521" s="88"/>
      <c r="I6521" s="89"/>
      <c r="J6521" s="90"/>
      <c r="K6521" s="85"/>
      <c r="L6521" s="85"/>
      <c r="M6521" s="85"/>
      <c r="N6521" s="82"/>
      <c r="O6521" s="93"/>
    </row>
    <row r="6522" spans="1:15" ht="22.5" customHeight="1">
      <c r="A6522" s="85"/>
      <c r="B6522" s="82"/>
      <c r="C6522" s="82"/>
      <c r="D6522" s="82"/>
      <c r="E6522" s="82"/>
      <c r="F6522" s="92"/>
      <c r="G6522" s="87"/>
      <c r="H6522" s="88"/>
      <c r="I6522" s="89"/>
      <c r="J6522" s="90"/>
      <c r="K6522" s="85"/>
      <c r="L6522" s="85"/>
      <c r="M6522" s="85"/>
      <c r="N6522" s="82"/>
      <c r="O6522" s="93"/>
    </row>
    <row r="6523" spans="1:15" ht="22.5" customHeight="1">
      <c r="A6523" s="85"/>
      <c r="B6523" s="82"/>
      <c r="C6523" s="82"/>
      <c r="D6523" s="82"/>
      <c r="E6523" s="82"/>
      <c r="F6523" s="92"/>
      <c r="G6523" s="87"/>
      <c r="H6523" s="88"/>
      <c r="I6523" s="89"/>
      <c r="J6523" s="90"/>
      <c r="K6523" s="85"/>
      <c r="L6523" s="85"/>
      <c r="M6523" s="85"/>
      <c r="N6523" s="82"/>
      <c r="O6523" s="93"/>
    </row>
    <row r="6524" spans="1:15" ht="22.5" customHeight="1">
      <c r="A6524" s="85"/>
      <c r="B6524" s="82"/>
      <c r="C6524" s="82"/>
      <c r="D6524" s="82"/>
      <c r="E6524" s="82"/>
      <c r="F6524" s="92"/>
      <c r="G6524" s="87"/>
      <c r="H6524" s="88"/>
      <c r="I6524" s="89"/>
      <c r="J6524" s="90"/>
      <c r="K6524" s="85"/>
      <c r="L6524" s="85"/>
      <c r="M6524" s="85"/>
      <c r="N6524" s="82"/>
      <c r="O6524" s="93"/>
    </row>
    <row r="6525" spans="1:15" ht="22.5" customHeight="1">
      <c r="A6525" s="85"/>
      <c r="B6525" s="82"/>
      <c r="C6525" s="82"/>
      <c r="D6525" s="82"/>
      <c r="E6525" s="82"/>
      <c r="F6525" s="92"/>
      <c r="G6525" s="87"/>
      <c r="H6525" s="88"/>
      <c r="I6525" s="89"/>
      <c r="J6525" s="90"/>
      <c r="K6525" s="85"/>
      <c r="L6525" s="85"/>
      <c r="M6525" s="85"/>
      <c r="N6525" s="82"/>
      <c r="O6525" s="93"/>
    </row>
    <row r="6526" spans="1:15" ht="22.5" customHeight="1">
      <c r="A6526" s="85"/>
      <c r="B6526" s="82"/>
      <c r="C6526" s="82"/>
      <c r="D6526" s="82"/>
      <c r="E6526" s="82"/>
      <c r="F6526" s="92"/>
      <c r="G6526" s="87"/>
      <c r="H6526" s="88"/>
      <c r="I6526" s="89"/>
      <c r="J6526" s="90"/>
      <c r="K6526" s="85"/>
      <c r="L6526" s="85"/>
      <c r="M6526" s="85"/>
      <c r="N6526" s="82"/>
      <c r="O6526" s="93"/>
    </row>
    <row r="6527" spans="1:15" ht="22.5" customHeight="1">
      <c r="A6527" s="85"/>
      <c r="B6527" s="82"/>
      <c r="C6527" s="82"/>
      <c r="D6527" s="82"/>
      <c r="E6527" s="82"/>
      <c r="F6527" s="92"/>
      <c r="G6527" s="87"/>
      <c r="H6527" s="88"/>
      <c r="I6527" s="89"/>
      <c r="J6527" s="90"/>
      <c r="K6527" s="85"/>
      <c r="L6527" s="85"/>
      <c r="M6527" s="85"/>
      <c r="N6527" s="82"/>
      <c r="O6527" s="93"/>
    </row>
    <row r="6528" spans="1:15" ht="22.5" customHeight="1">
      <c r="A6528" s="85"/>
      <c r="B6528" s="82"/>
      <c r="C6528" s="82"/>
      <c r="D6528" s="82"/>
      <c r="E6528" s="82"/>
      <c r="F6528" s="92"/>
      <c r="G6528" s="87"/>
      <c r="H6528" s="88"/>
      <c r="I6528" s="89"/>
      <c r="J6528" s="90"/>
      <c r="K6528" s="85"/>
      <c r="L6528" s="85"/>
      <c r="M6528" s="85"/>
      <c r="N6528" s="82"/>
      <c r="O6528" s="93"/>
    </row>
    <row r="6529" spans="1:15" ht="22.5" customHeight="1">
      <c r="A6529" s="85"/>
      <c r="B6529" s="82"/>
      <c r="C6529" s="82"/>
      <c r="D6529" s="82"/>
      <c r="E6529" s="82"/>
      <c r="F6529" s="92"/>
      <c r="G6529" s="87"/>
      <c r="H6529" s="88"/>
      <c r="I6529" s="89"/>
      <c r="J6529" s="90"/>
      <c r="K6529" s="85"/>
      <c r="L6529" s="85"/>
      <c r="M6529" s="85"/>
      <c r="N6529" s="82"/>
      <c r="O6529" s="93"/>
    </row>
    <row r="6530" spans="1:15" ht="22.5" customHeight="1">
      <c r="A6530" s="85"/>
      <c r="B6530" s="82"/>
      <c r="C6530" s="82"/>
      <c r="D6530" s="82"/>
      <c r="E6530" s="82"/>
      <c r="F6530" s="92"/>
      <c r="G6530" s="87"/>
      <c r="H6530" s="88"/>
      <c r="I6530" s="89"/>
      <c r="J6530" s="90"/>
      <c r="K6530" s="85"/>
      <c r="L6530" s="85"/>
      <c r="M6530" s="85"/>
      <c r="N6530" s="82"/>
      <c r="O6530" s="93"/>
    </row>
    <row r="6531" spans="1:15" ht="22.5" customHeight="1">
      <c r="A6531" s="85"/>
      <c r="B6531" s="82"/>
      <c r="C6531" s="82"/>
      <c r="D6531" s="82"/>
      <c r="E6531" s="82"/>
      <c r="F6531" s="92"/>
      <c r="G6531" s="87"/>
      <c r="H6531" s="88"/>
      <c r="I6531" s="89"/>
      <c r="J6531" s="90"/>
      <c r="K6531" s="85"/>
      <c r="L6531" s="85"/>
      <c r="M6531" s="85"/>
      <c r="N6531" s="82"/>
      <c r="O6531" s="93"/>
    </row>
    <row r="6532" spans="1:15" ht="22.5" customHeight="1">
      <c r="A6532" s="85"/>
      <c r="B6532" s="82"/>
      <c r="C6532" s="82"/>
      <c r="D6532" s="82"/>
      <c r="E6532" s="82"/>
      <c r="F6532" s="92"/>
      <c r="G6532" s="87"/>
      <c r="H6532" s="88"/>
      <c r="I6532" s="89"/>
      <c r="J6532" s="90"/>
      <c r="K6532" s="85"/>
      <c r="L6532" s="85"/>
      <c r="M6532" s="85"/>
      <c r="N6532" s="82"/>
      <c r="O6532" s="93"/>
    </row>
    <row r="6533" spans="1:15" ht="22.5" customHeight="1">
      <c r="A6533" s="85"/>
      <c r="B6533" s="82"/>
      <c r="C6533" s="82"/>
      <c r="D6533" s="82"/>
      <c r="E6533" s="82"/>
      <c r="F6533" s="92"/>
      <c r="G6533" s="87"/>
      <c r="H6533" s="88"/>
      <c r="I6533" s="89"/>
      <c r="J6533" s="90"/>
      <c r="K6533" s="85"/>
      <c r="L6533" s="85"/>
      <c r="M6533" s="85"/>
      <c r="N6533" s="82"/>
      <c r="O6533" s="93"/>
    </row>
    <row r="6534" spans="1:15" ht="22.5" customHeight="1">
      <c r="A6534" s="85"/>
      <c r="B6534" s="82"/>
      <c r="C6534" s="82"/>
      <c r="D6534" s="82"/>
      <c r="E6534" s="82"/>
      <c r="F6534" s="92"/>
      <c r="G6534" s="87"/>
      <c r="H6534" s="88"/>
      <c r="I6534" s="89"/>
      <c r="J6534" s="90"/>
      <c r="K6534" s="85"/>
      <c r="L6534" s="85"/>
      <c r="M6534" s="85"/>
      <c r="N6534" s="82"/>
      <c r="O6534" s="93"/>
    </row>
    <row r="6535" spans="1:15" ht="22.5" customHeight="1">
      <c r="A6535" s="85"/>
      <c r="B6535" s="82"/>
      <c r="C6535" s="82"/>
      <c r="D6535" s="82"/>
      <c r="E6535" s="82"/>
      <c r="F6535" s="92"/>
      <c r="G6535" s="87"/>
      <c r="H6535" s="88"/>
      <c r="I6535" s="89"/>
      <c r="J6535" s="90"/>
      <c r="K6535" s="85"/>
      <c r="L6535" s="85"/>
      <c r="M6535" s="85"/>
      <c r="N6535" s="82"/>
      <c r="O6535" s="93"/>
    </row>
    <row r="6536" spans="1:15" ht="22.5" customHeight="1">
      <c r="A6536" s="85"/>
      <c r="B6536" s="82"/>
      <c r="C6536" s="82"/>
      <c r="D6536" s="82"/>
      <c r="E6536" s="82"/>
      <c r="F6536" s="92"/>
      <c r="G6536" s="87"/>
      <c r="H6536" s="88"/>
      <c r="I6536" s="89"/>
      <c r="J6536" s="90"/>
      <c r="K6536" s="85"/>
      <c r="L6536" s="85"/>
      <c r="M6536" s="85"/>
      <c r="N6536" s="82"/>
      <c r="O6536" s="93"/>
    </row>
    <row r="6537" spans="1:15" ht="22.5" customHeight="1">
      <c r="A6537" s="85"/>
      <c r="B6537" s="82"/>
      <c r="C6537" s="82"/>
      <c r="D6537" s="82"/>
      <c r="E6537" s="82"/>
      <c r="F6537" s="92"/>
      <c r="G6537" s="87"/>
      <c r="H6537" s="88"/>
      <c r="I6537" s="89"/>
      <c r="J6537" s="90"/>
      <c r="K6537" s="85"/>
      <c r="L6537" s="85"/>
      <c r="M6537" s="85"/>
      <c r="N6537" s="82"/>
      <c r="O6537" s="93"/>
    </row>
    <row r="6538" spans="1:15" ht="22.5" customHeight="1">
      <c r="A6538" s="85"/>
      <c r="B6538" s="82"/>
      <c r="C6538" s="82"/>
      <c r="D6538" s="82"/>
      <c r="E6538" s="82"/>
      <c r="F6538" s="92"/>
      <c r="G6538" s="87"/>
      <c r="H6538" s="88"/>
      <c r="I6538" s="89"/>
      <c r="J6538" s="90"/>
      <c r="K6538" s="85"/>
      <c r="L6538" s="85"/>
      <c r="M6538" s="85"/>
      <c r="N6538" s="82"/>
      <c r="O6538" s="93"/>
    </row>
    <row r="6539" spans="1:15" ht="22.5" customHeight="1">
      <c r="A6539" s="85"/>
      <c r="B6539" s="82"/>
      <c r="C6539" s="82"/>
      <c r="D6539" s="82"/>
      <c r="E6539" s="82"/>
      <c r="F6539" s="92"/>
      <c r="G6539" s="87"/>
      <c r="H6539" s="88"/>
      <c r="I6539" s="89"/>
      <c r="J6539" s="90"/>
      <c r="K6539" s="85"/>
      <c r="L6539" s="85"/>
      <c r="M6539" s="85"/>
      <c r="N6539" s="82"/>
      <c r="O6539" s="93"/>
    </row>
    <row r="6540" spans="1:15" ht="22.5" customHeight="1">
      <c r="A6540" s="85"/>
      <c r="B6540" s="82"/>
      <c r="C6540" s="82"/>
      <c r="D6540" s="82"/>
      <c r="E6540" s="82"/>
      <c r="F6540" s="92"/>
      <c r="G6540" s="87"/>
      <c r="H6540" s="88"/>
      <c r="I6540" s="89"/>
      <c r="J6540" s="90"/>
      <c r="K6540" s="85"/>
      <c r="L6540" s="85"/>
      <c r="M6540" s="85"/>
      <c r="N6540" s="82"/>
      <c r="O6540" s="93"/>
    </row>
    <row r="6541" spans="1:15" ht="22.5" customHeight="1">
      <c r="A6541" s="85"/>
      <c r="B6541" s="82"/>
      <c r="C6541" s="82"/>
      <c r="D6541" s="82"/>
      <c r="E6541" s="82"/>
      <c r="F6541" s="92"/>
      <c r="G6541" s="87"/>
      <c r="H6541" s="88"/>
      <c r="I6541" s="89"/>
      <c r="J6541" s="90"/>
      <c r="K6541" s="85"/>
      <c r="L6541" s="85"/>
      <c r="M6541" s="85"/>
      <c r="N6541" s="82"/>
      <c r="O6541" s="93"/>
    </row>
    <row r="6542" spans="1:15" ht="22.5" customHeight="1">
      <c r="A6542" s="85"/>
      <c r="B6542" s="82"/>
      <c r="C6542" s="82"/>
      <c r="D6542" s="82"/>
      <c r="E6542" s="82"/>
      <c r="F6542" s="92"/>
      <c r="G6542" s="87"/>
      <c r="H6542" s="88"/>
      <c r="I6542" s="89"/>
      <c r="J6542" s="90"/>
      <c r="K6542" s="85"/>
      <c r="L6542" s="85"/>
      <c r="M6542" s="85"/>
      <c r="N6542" s="82"/>
      <c r="O6542" s="93"/>
    </row>
    <row r="6543" spans="1:15" ht="22.5" customHeight="1">
      <c r="A6543" s="85"/>
      <c r="B6543" s="82"/>
      <c r="C6543" s="82"/>
      <c r="D6543" s="82"/>
      <c r="E6543" s="82"/>
      <c r="F6543" s="92"/>
      <c r="G6543" s="87"/>
      <c r="H6543" s="88"/>
      <c r="I6543" s="89"/>
      <c r="J6543" s="90"/>
      <c r="K6543" s="85"/>
      <c r="L6543" s="85"/>
      <c r="M6543" s="85"/>
      <c r="N6543" s="82"/>
      <c r="O6543" s="93"/>
    </row>
    <row r="6544" spans="1:15" ht="22.5" customHeight="1">
      <c r="A6544" s="85"/>
      <c r="B6544" s="82"/>
      <c r="C6544" s="82"/>
      <c r="D6544" s="82"/>
      <c r="E6544" s="82"/>
      <c r="F6544" s="92"/>
      <c r="G6544" s="87"/>
      <c r="H6544" s="88"/>
      <c r="I6544" s="89"/>
      <c r="J6544" s="90"/>
      <c r="K6544" s="85"/>
      <c r="L6544" s="85"/>
      <c r="M6544" s="85"/>
      <c r="N6544" s="82"/>
      <c r="O6544" s="93"/>
    </row>
    <row r="6545" spans="1:15" ht="22.5" customHeight="1">
      <c r="A6545" s="85"/>
      <c r="B6545" s="82"/>
      <c r="C6545" s="82"/>
      <c r="D6545" s="82"/>
      <c r="E6545" s="82"/>
      <c r="F6545" s="92"/>
      <c r="G6545" s="87"/>
      <c r="H6545" s="88"/>
      <c r="I6545" s="89"/>
      <c r="J6545" s="90"/>
      <c r="K6545" s="85"/>
      <c r="L6545" s="85"/>
      <c r="M6545" s="85"/>
      <c r="N6545" s="82"/>
      <c r="O6545" s="93"/>
    </row>
    <row r="6546" spans="1:15" ht="22.5" customHeight="1">
      <c r="A6546" s="85"/>
      <c r="B6546" s="82"/>
      <c r="C6546" s="82"/>
      <c r="D6546" s="82"/>
      <c r="E6546" s="82"/>
      <c r="F6546" s="92"/>
      <c r="G6546" s="87"/>
      <c r="H6546" s="88"/>
      <c r="I6546" s="89"/>
      <c r="J6546" s="90"/>
      <c r="K6546" s="85"/>
      <c r="L6546" s="85"/>
      <c r="M6546" s="85"/>
      <c r="N6546" s="82"/>
      <c r="O6546" s="93"/>
    </row>
    <row r="6547" spans="1:15" ht="22.5" customHeight="1">
      <c r="A6547" s="85"/>
      <c r="B6547" s="82"/>
      <c r="C6547" s="82"/>
      <c r="D6547" s="82"/>
      <c r="E6547" s="82"/>
      <c r="F6547" s="92"/>
      <c r="G6547" s="87"/>
      <c r="H6547" s="88"/>
      <c r="I6547" s="89"/>
      <c r="J6547" s="90"/>
      <c r="K6547" s="85"/>
      <c r="L6547" s="85"/>
      <c r="M6547" s="85"/>
      <c r="N6547" s="82"/>
      <c r="O6547" s="93"/>
    </row>
    <row r="6548" spans="1:15" ht="22.5" customHeight="1">
      <c r="A6548" s="85"/>
      <c r="B6548" s="82"/>
      <c r="C6548" s="82"/>
      <c r="D6548" s="82"/>
      <c r="E6548" s="82"/>
      <c r="F6548" s="92"/>
      <c r="G6548" s="87"/>
      <c r="H6548" s="88"/>
      <c r="I6548" s="89"/>
      <c r="J6548" s="90"/>
      <c r="K6548" s="85"/>
      <c r="L6548" s="85"/>
      <c r="M6548" s="85"/>
      <c r="N6548" s="82"/>
      <c r="O6548" s="93"/>
    </row>
    <row r="6549" spans="1:15" ht="22.5" customHeight="1">
      <c r="A6549" s="85"/>
      <c r="B6549" s="82"/>
      <c r="C6549" s="82"/>
      <c r="D6549" s="82"/>
      <c r="E6549" s="82"/>
      <c r="F6549" s="92"/>
      <c r="G6549" s="87"/>
      <c r="H6549" s="88"/>
      <c r="I6549" s="89"/>
      <c r="J6549" s="90"/>
      <c r="K6549" s="85"/>
      <c r="L6549" s="85"/>
      <c r="M6549" s="85"/>
      <c r="N6549" s="82"/>
      <c r="O6549" s="93"/>
    </row>
    <row r="6550" spans="1:15" ht="22.5" customHeight="1">
      <c r="A6550" s="85"/>
      <c r="B6550" s="82"/>
      <c r="C6550" s="82"/>
      <c r="D6550" s="82"/>
      <c r="E6550" s="82"/>
      <c r="F6550" s="92"/>
      <c r="G6550" s="87"/>
      <c r="H6550" s="88"/>
      <c r="I6550" s="89"/>
      <c r="J6550" s="90"/>
      <c r="K6550" s="85"/>
      <c r="L6550" s="85"/>
      <c r="M6550" s="85"/>
      <c r="N6550" s="82"/>
      <c r="O6550" s="93"/>
    </row>
    <row r="6551" spans="1:15" ht="22.5" customHeight="1">
      <c r="A6551" s="85"/>
      <c r="B6551" s="82"/>
      <c r="C6551" s="82"/>
      <c r="D6551" s="82"/>
      <c r="E6551" s="82"/>
      <c r="F6551" s="92"/>
      <c r="G6551" s="87"/>
      <c r="H6551" s="88"/>
      <c r="I6551" s="89"/>
      <c r="J6551" s="90"/>
      <c r="K6551" s="85"/>
      <c r="L6551" s="85"/>
      <c r="M6551" s="85"/>
      <c r="N6551" s="82"/>
      <c r="O6551" s="93"/>
    </row>
    <row r="6552" spans="1:15" ht="22.5" customHeight="1">
      <c r="A6552" s="85"/>
      <c r="B6552" s="82"/>
      <c r="C6552" s="82"/>
      <c r="D6552" s="82"/>
      <c r="E6552" s="82"/>
      <c r="F6552" s="92"/>
      <c r="G6552" s="87"/>
      <c r="H6552" s="88"/>
      <c r="I6552" s="89"/>
      <c r="J6552" s="90"/>
      <c r="K6552" s="85"/>
      <c r="L6552" s="85"/>
      <c r="M6552" s="85"/>
      <c r="N6552" s="82"/>
      <c r="O6552" s="93"/>
    </row>
    <row r="6553" spans="1:15" ht="22.5" customHeight="1">
      <c r="A6553" s="85"/>
      <c r="B6553" s="82"/>
      <c r="C6553" s="82"/>
      <c r="D6553" s="82"/>
      <c r="E6553" s="82"/>
      <c r="F6553" s="92"/>
      <c r="G6553" s="87"/>
      <c r="H6553" s="88"/>
      <c r="I6553" s="89"/>
      <c r="J6553" s="90"/>
      <c r="K6553" s="85"/>
      <c r="L6553" s="85"/>
      <c r="M6553" s="85"/>
      <c r="N6553" s="82"/>
      <c r="O6553" s="93"/>
    </row>
    <row r="6554" spans="1:15" ht="22.5" customHeight="1">
      <c r="A6554" s="85"/>
      <c r="B6554" s="82"/>
      <c r="C6554" s="82"/>
      <c r="D6554" s="82"/>
      <c r="E6554" s="82"/>
      <c r="F6554" s="92"/>
      <c r="G6554" s="87"/>
      <c r="H6554" s="88"/>
      <c r="I6554" s="89"/>
      <c r="J6554" s="90"/>
      <c r="K6554" s="85"/>
      <c r="L6554" s="85"/>
      <c r="M6554" s="85"/>
      <c r="N6554" s="82"/>
      <c r="O6554" s="93"/>
    </row>
    <row r="6555" spans="1:15" ht="22.5" customHeight="1">
      <c r="A6555" s="85"/>
      <c r="B6555" s="82"/>
      <c r="C6555" s="82"/>
      <c r="D6555" s="82"/>
      <c r="E6555" s="82"/>
      <c r="F6555" s="92"/>
      <c r="G6555" s="87"/>
      <c r="H6555" s="88"/>
      <c r="I6555" s="89"/>
      <c r="J6555" s="90"/>
      <c r="K6555" s="85"/>
      <c r="L6555" s="85"/>
      <c r="M6555" s="85"/>
      <c r="N6555" s="82"/>
      <c r="O6555" s="93"/>
    </row>
    <row r="6556" spans="1:15" ht="22.5" customHeight="1">
      <c r="A6556" s="85"/>
      <c r="B6556" s="82"/>
      <c r="C6556" s="82"/>
      <c r="D6556" s="82"/>
      <c r="E6556" s="82"/>
      <c r="F6556" s="92"/>
      <c r="G6556" s="87"/>
      <c r="H6556" s="88"/>
      <c r="I6556" s="89"/>
      <c r="J6556" s="90"/>
      <c r="K6556" s="85"/>
      <c r="L6556" s="85"/>
      <c r="M6556" s="85"/>
      <c r="N6556" s="82"/>
      <c r="O6556" s="93"/>
    </row>
    <row r="6557" spans="1:15" ht="22.5" customHeight="1">
      <c r="A6557" s="85"/>
      <c r="B6557" s="82"/>
      <c r="C6557" s="82"/>
      <c r="D6557" s="82"/>
      <c r="E6557" s="82"/>
      <c r="F6557" s="92"/>
      <c r="G6557" s="87"/>
      <c r="H6557" s="88"/>
      <c r="I6557" s="89"/>
      <c r="J6557" s="90"/>
      <c r="K6557" s="85"/>
      <c r="L6557" s="85"/>
      <c r="M6557" s="85"/>
      <c r="N6557" s="82"/>
      <c r="O6557" s="93"/>
    </row>
    <row r="6558" spans="1:15" ht="22.5" customHeight="1">
      <c r="A6558" s="85"/>
      <c r="B6558" s="82"/>
      <c r="C6558" s="82"/>
      <c r="D6558" s="82"/>
      <c r="E6558" s="82"/>
      <c r="F6558" s="92"/>
      <c r="G6558" s="87"/>
      <c r="H6558" s="88"/>
      <c r="I6558" s="89"/>
      <c r="J6558" s="90"/>
      <c r="K6558" s="85"/>
      <c r="L6558" s="85"/>
      <c r="M6558" s="85"/>
      <c r="N6558" s="82"/>
      <c r="O6558" s="93"/>
    </row>
    <row r="6559" spans="1:15" ht="22.5" customHeight="1">
      <c r="A6559" s="85"/>
      <c r="B6559" s="82"/>
      <c r="C6559" s="82"/>
      <c r="D6559" s="82"/>
      <c r="E6559" s="82"/>
      <c r="F6559" s="92"/>
      <c r="G6559" s="87"/>
      <c r="H6559" s="88"/>
      <c r="I6559" s="89"/>
      <c r="J6559" s="90"/>
      <c r="K6559" s="85"/>
      <c r="L6559" s="85"/>
      <c r="M6559" s="85"/>
      <c r="N6559" s="82"/>
      <c r="O6559" s="93"/>
    </row>
    <row r="6560" spans="1:15" ht="22.5" customHeight="1">
      <c r="A6560" s="85"/>
      <c r="B6560" s="82"/>
      <c r="C6560" s="82"/>
      <c r="D6560" s="82"/>
      <c r="E6560" s="82"/>
      <c r="F6560" s="92"/>
      <c r="G6560" s="87"/>
      <c r="H6560" s="88"/>
      <c r="I6560" s="89"/>
      <c r="J6560" s="90"/>
      <c r="K6560" s="85"/>
      <c r="L6560" s="85"/>
      <c r="M6560" s="85"/>
      <c r="N6560" s="82"/>
      <c r="O6560" s="93"/>
    </row>
    <row r="6561" spans="1:15" ht="22.5" customHeight="1">
      <c r="A6561" s="85"/>
      <c r="B6561" s="82"/>
      <c r="C6561" s="82"/>
      <c r="D6561" s="82"/>
      <c r="E6561" s="82"/>
      <c r="F6561" s="92"/>
      <c r="G6561" s="87"/>
      <c r="H6561" s="88"/>
      <c r="I6561" s="89"/>
      <c r="J6561" s="90"/>
      <c r="K6561" s="85"/>
      <c r="L6561" s="85"/>
      <c r="M6561" s="85"/>
      <c r="N6561" s="82"/>
      <c r="O6561" s="93"/>
    </row>
    <row r="6562" spans="1:15" ht="22.5" customHeight="1">
      <c r="A6562" s="85"/>
      <c r="B6562" s="82"/>
      <c r="C6562" s="82"/>
      <c r="D6562" s="82"/>
      <c r="E6562" s="82"/>
      <c r="F6562" s="92"/>
      <c r="G6562" s="87"/>
      <c r="H6562" s="88"/>
      <c r="I6562" s="89"/>
      <c r="J6562" s="90"/>
      <c r="K6562" s="85"/>
      <c r="L6562" s="85"/>
      <c r="M6562" s="85"/>
      <c r="N6562" s="82"/>
      <c r="O6562" s="93"/>
    </row>
    <row r="6563" spans="1:15" ht="22.5" customHeight="1">
      <c r="A6563" s="85"/>
      <c r="B6563" s="82"/>
      <c r="C6563" s="82"/>
      <c r="D6563" s="82"/>
      <c r="E6563" s="82"/>
      <c r="F6563" s="92"/>
      <c r="G6563" s="87"/>
      <c r="H6563" s="88"/>
      <c r="I6563" s="89"/>
      <c r="J6563" s="90"/>
      <c r="K6563" s="85"/>
      <c r="L6563" s="85"/>
      <c r="M6563" s="85"/>
      <c r="N6563" s="82"/>
      <c r="O6563" s="93"/>
    </row>
    <row r="6564" spans="1:15" ht="22.5" customHeight="1">
      <c r="A6564" s="85"/>
      <c r="B6564" s="82"/>
      <c r="C6564" s="82"/>
      <c r="D6564" s="82"/>
      <c r="E6564" s="82"/>
      <c r="F6564" s="92"/>
      <c r="G6564" s="87"/>
      <c r="H6564" s="88"/>
      <c r="I6564" s="89"/>
      <c r="J6564" s="90"/>
      <c r="K6564" s="85"/>
      <c r="L6564" s="85"/>
      <c r="M6564" s="85"/>
      <c r="N6564" s="82"/>
      <c r="O6564" s="93"/>
    </row>
    <row r="6565" spans="1:15" ht="22.5" customHeight="1">
      <c r="A6565" s="85"/>
      <c r="B6565" s="82"/>
      <c r="C6565" s="82"/>
      <c r="D6565" s="82"/>
      <c r="E6565" s="82"/>
      <c r="F6565" s="92"/>
      <c r="G6565" s="87"/>
      <c r="H6565" s="88"/>
      <c r="I6565" s="89"/>
      <c r="J6565" s="90"/>
      <c r="K6565" s="85"/>
      <c r="L6565" s="85"/>
      <c r="M6565" s="85"/>
      <c r="N6565" s="82"/>
      <c r="O6565" s="93"/>
    </row>
    <row r="6566" spans="1:15" ht="22.5" customHeight="1">
      <c r="A6566" s="85"/>
      <c r="B6566" s="82"/>
      <c r="C6566" s="82"/>
      <c r="D6566" s="82"/>
      <c r="E6566" s="82"/>
      <c r="F6566" s="92"/>
      <c r="G6566" s="87"/>
      <c r="H6566" s="88"/>
      <c r="I6566" s="89"/>
      <c r="J6566" s="90"/>
      <c r="K6566" s="85"/>
      <c r="L6566" s="85"/>
      <c r="M6566" s="85"/>
      <c r="N6566" s="82"/>
      <c r="O6566" s="93"/>
    </row>
    <row r="6567" spans="1:15" ht="22.5" customHeight="1">
      <c r="A6567" s="85"/>
      <c r="B6567" s="82"/>
      <c r="C6567" s="82"/>
      <c r="D6567" s="82"/>
      <c r="E6567" s="82"/>
      <c r="F6567" s="92"/>
      <c r="G6567" s="87"/>
      <c r="H6567" s="88"/>
      <c r="I6567" s="89"/>
      <c r="J6567" s="90"/>
      <c r="K6567" s="85"/>
      <c r="L6567" s="85"/>
      <c r="M6567" s="85"/>
      <c r="N6567" s="82"/>
      <c r="O6567" s="93"/>
    </row>
    <row r="6568" spans="1:15" ht="22.5" customHeight="1">
      <c r="A6568" s="85"/>
      <c r="B6568" s="82"/>
      <c r="C6568" s="82"/>
      <c r="D6568" s="82"/>
      <c r="E6568" s="82"/>
      <c r="F6568" s="92"/>
      <c r="G6568" s="87"/>
      <c r="H6568" s="88"/>
      <c r="I6568" s="89"/>
      <c r="J6568" s="90"/>
      <c r="K6568" s="85"/>
      <c r="L6568" s="85"/>
      <c r="M6568" s="85"/>
      <c r="N6568" s="82"/>
      <c r="O6568" s="93"/>
    </row>
    <row r="6569" spans="1:15" ht="22.5" customHeight="1">
      <c r="A6569" s="85"/>
      <c r="B6569" s="82"/>
      <c r="C6569" s="82"/>
      <c r="D6569" s="82"/>
      <c r="E6569" s="82"/>
      <c r="F6569" s="92"/>
      <c r="G6569" s="87"/>
      <c r="H6569" s="88"/>
      <c r="I6569" s="89"/>
      <c r="J6569" s="90"/>
      <c r="K6569" s="85"/>
      <c r="L6569" s="85"/>
      <c r="M6569" s="85"/>
      <c r="N6569" s="82"/>
      <c r="O6569" s="93"/>
    </row>
    <row r="6570" spans="1:15" ht="22.5" customHeight="1">
      <c r="A6570" s="85"/>
      <c r="B6570" s="82"/>
      <c r="C6570" s="82"/>
      <c r="D6570" s="82"/>
      <c r="E6570" s="82"/>
      <c r="F6570" s="92"/>
      <c r="G6570" s="87"/>
      <c r="H6570" s="88"/>
      <c r="I6570" s="89"/>
      <c r="J6570" s="90"/>
      <c r="K6570" s="85"/>
      <c r="L6570" s="85"/>
      <c r="M6570" s="85"/>
      <c r="N6570" s="82"/>
      <c r="O6570" s="93"/>
    </row>
    <row r="6571" spans="1:15" ht="22.5" customHeight="1">
      <c r="A6571" s="85"/>
      <c r="B6571" s="82"/>
      <c r="C6571" s="82"/>
      <c r="D6571" s="82"/>
      <c r="E6571" s="82"/>
      <c r="F6571" s="92"/>
      <c r="G6571" s="87"/>
      <c r="H6571" s="88"/>
      <c r="I6571" s="89"/>
      <c r="J6571" s="90"/>
      <c r="K6571" s="85"/>
      <c r="L6571" s="85"/>
      <c r="M6571" s="85"/>
      <c r="N6571" s="82"/>
      <c r="O6571" s="93"/>
    </row>
    <row r="6572" spans="1:15" ht="22.5" customHeight="1">
      <c r="A6572" s="85"/>
      <c r="B6572" s="82"/>
      <c r="C6572" s="82"/>
      <c r="D6572" s="82"/>
      <c r="E6572" s="82"/>
      <c r="F6572" s="92"/>
      <c r="G6572" s="87"/>
      <c r="H6572" s="88"/>
      <c r="I6572" s="89"/>
      <c r="J6572" s="90"/>
      <c r="K6572" s="85"/>
      <c r="L6572" s="85"/>
      <c r="M6572" s="85"/>
      <c r="N6572" s="82"/>
      <c r="O6572" s="93"/>
    </row>
    <row r="6573" spans="1:15" ht="22.5" customHeight="1">
      <c r="A6573" s="85"/>
      <c r="B6573" s="82"/>
      <c r="C6573" s="82"/>
      <c r="D6573" s="82"/>
      <c r="E6573" s="82"/>
      <c r="F6573" s="92"/>
      <c r="G6573" s="87"/>
      <c r="H6573" s="88"/>
      <c r="I6573" s="89"/>
      <c r="J6573" s="90"/>
      <c r="K6573" s="85"/>
      <c r="L6573" s="85"/>
      <c r="M6573" s="85"/>
      <c r="N6573" s="82"/>
      <c r="O6573" s="93"/>
    </row>
    <row r="6574" spans="1:15" ht="22.5" customHeight="1">
      <c r="A6574" s="85"/>
      <c r="B6574" s="82"/>
      <c r="C6574" s="82"/>
      <c r="D6574" s="82"/>
      <c r="E6574" s="82"/>
      <c r="F6574" s="92"/>
      <c r="G6574" s="87"/>
      <c r="H6574" s="88"/>
      <c r="I6574" s="89"/>
      <c r="J6574" s="90"/>
      <c r="K6574" s="85"/>
      <c r="L6574" s="85"/>
      <c r="M6574" s="85"/>
      <c r="N6574" s="82"/>
      <c r="O6574" s="93"/>
    </row>
    <row r="6575" spans="1:15" ht="22.5" customHeight="1">
      <c r="A6575" s="85"/>
      <c r="B6575" s="82"/>
      <c r="C6575" s="82"/>
      <c r="D6575" s="82"/>
      <c r="E6575" s="82"/>
      <c r="F6575" s="92"/>
      <c r="G6575" s="87"/>
      <c r="H6575" s="88"/>
      <c r="I6575" s="89"/>
      <c r="J6575" s="90"/>
      <c r="K6575" s="85"/>
      <c r="L6575" s="85"/>
      <c r="M6575" s="85"/>
      <c r="N6575" s="82"/>
      <c r="O6575" s="93"/>
    </row>
    <row r="6576" spans="1:15" ht="22.5" customHeight="1">
      <c r="A6576" s="85"/>
      <c r="B6576" s="82"/>
      <c r="C6576" s="82"/>
      <c r="D6576" s="82"/>
      <c r="E6576" s="82"/>
      <c r="F6576" s="92"/>
      <c r="G6576" s="87"/>
      <c r="H6576" s="88"/>
      <c r="I6576" s="89"/>
      <c r="J6576" s="90"/>
      <c r="K6576" s="85"/>
      <c r="L6576" s="85"/>
      <c r="M6576" s="85"/>
      <c r="N6576" s="82"/>
      <c r="O6576" s="93"/>
    </row>
    <row r="6577" spans="1:15" ht="22.5" customHeight="1">
      <c r="A6577" s="85"/>
      <c r="B6577" s="82"/>
      <c r="C6577" s="82"/>
      <c r="D6577" s="82"/>
      <c r="E6577" s="82"/>
      <c r="F6577" s="92"/>
      <c r="G6577" s="87"/>
      <c r="H6577" s="88"/>
      <c r="I6577" s="89"/>
      <c r="J6577" s="90"/>
      <c r="K6577" s="85"/>
      <c r="L6577" s="85"/>
      <c r="M6577" s="85"/>
      <c r="N6577" s="82"/>
      <c r="O6577" s="93"/>
    </row>
    <row r="6578" spans="1:15" ht="22.5" customHeight="1">
      <c r="A6578" s="85"/>
      <c r="B6578" s="82"/>
      <c r="C6578" s="82"/>
      <c r="D6578" s="82"/>
      <c r="E6578" s="82"/>
      <c r="F6578" s="92"/>
      <c r="G6578" s="87"/>
      <c r="H6578" s="88"/>
      <c r="I6578" s="89"/>
      <c r="J6578" s="90"/>
      <c r="K6578" s="85"/>
      <c r="L6578" s="85"/>
      <c r="M6578" s="85"/>
      <c r="N6578" s="82"/>
      <c r="O6578" s="93"/>
    </row>
    <row r="6579" spans="1:15" ht="22.5" customHeight="1">
      <c r="A6579" s="85"/>
      <c r="B6579" s="82"/>
      <c r="C6579" s="82"/>
      <c r="D6579" s="82"/>
      <c r="E6579" s="82"/>
      <c r="F6579" s="92"/>
      <c r="G6579" s="87"/>
      <c r="H6579" s="88"/>
      <c r="I6579" s="89"/>
      <c r="J6579" s="90"/>
      <c r="K6579" s="85"/>
      <c r="L6579" s="85"/>
      <c r="M6579" s="85"/>
      <c r="N6579" s="82"/>
      <c r="O6579" s="93"/>
    </row>
    <row r="6580" spans="1:15" ht="22.5" customHeight="1">
      <c r="A6580" s="85"/>
      <c r="B6580" s="82"/>
      <c r="C6580" s="82"/>
      <c r="D6580" s="82"/>
      <c r="E6580" s="82"/>
      <c r="F6580" s="92"/>
      <c r="G6580" s="87"/>
      <c r="H6580" s="88"/>
      <c r="I6580" s="89"/>
      <c r="J6580" s="90"/>
      <c r="K6580" s="85"/>
      <c r="L6580" s="85"/>
      <c r="M6580" s="85"/>
      <c r="N6580" s="82"/>
      <c r="O6580" s="93"/>
    </row>
    <row r="6581" spans="1:15" ht="22.5" customHeight="1">
      <c r="A6581" s="85"/>
      <c r="B6581" s="82"/>
      <c r="C6581" s="82"/>
      <c r="D6581" s="82"/>
      <c r="E6581" s="82"/>
      <c r="F6581" s="92"/>
      <c r="G6581" s="87"/>
      <c r="H6581" s="88"/>
      <c r="I6581" s="89"/>
      <c r="J6581" s="90"/>
      <c r="K6581" s="85"/>
      <c r="L6581" s="85"/>
      <c r="M6581" s="85"/>
      <c r="N6581" s="82"/>
      <c r="O6581" s="93"/>
    </row>
    <row r="6582" spans="1:15" ht="22.5" customHeight="1">
      <c r="A6582" s="85"/>
      <c r="B6582" s="82"/>
      <c r="C6582" s="82"/>
      <c r="D6582" s="82"/>
      <c r="E6582" s="82"/>
      <c r="F6582" s="92"/>
      <c r="G6582" s="87"/>
      <c r="H6582" s="88"/>
      <c r="I6582" s="89"/>
      <c r="J6582" s="90"/>
      <c r="K6582" s="85"/>
      <c r="L6582" s="85"/>
      <c r="M6582" s="85"/>
      <c r="N6582" s="82"/>
      <c r="O6582" s="93"/>
    </row>
    <row r="6583" spans="1:15" ht="22.5" customHeight="1">
      <c r="A6583" s="85"/>
      <c r="B6583" s="82"/>
      <c r="C6583" s="82"/>
      <c r="D6583" s="82"/>
      <c r="E6583" s="82"/>
      <c r="F6583" s="92"/>
      <c r="G6583" s="87"/>
      <c r="H6583" s="88"/>
      <c r="I6583" s="89"/>
      <c r="J6583" s="90"/>
      <c r="K6583" s="85"/>
      <c r="L6583" s="85"/>
      <c r="M6583" s="85"/>
      <c r="N6583" s="82"/>
      <c r="O6583" s="93"/>
    </row>
    <row r="6584" spans="1:15" ht="22.5" customHeight="1">
      <c r="A6584" s="85"/>
      <c r="B6584" s="82"/>
      <c r="C6584" s="82"/>
      <c r="D6584" s="82"/>
      <c r="E6584" s="82"/>
      <c r="F6584" s="92"/>
      <c r="G6584" s="87"/>
      <c r="H6584" s="88"/>
      <c r="I6584" s="89"/>
      <c r="J6584" s="90"/>
      <c r="K6584" s="85"/>
      <c r="L6584" s="85"/>
      <c r="M6584" s="85"/>
      <c r="N6584" s="82"/>
      <c r="O6584" s="93"/>
    </row>
    <row r="6585" spans="1:15" ht="22.5" customHeight="1">
      <c r="A6585" s="85"/>
      <c r="B6585" s="82"/>
      <c r="C6585" s="82"/>
      <c r="D6585" s="82"/>
      <c r="E6585" s="82"/>
      <c r="F6585" s="92"/>
      <c r="G6585" s="87"/>
      <c r="H6585" s="88"/>
      <c r="I6585" s="89"/>
      <c r="J6585" s="90"/>
      <c r="K6585" s="85"/>
      <c r="L6585" s="85"/>
      <c r="M6585" s="85"/>
      <c r="N6585" s="82"/>
      <c r="O6585" s="93"/>
    </row>
    <row r="6586" spans="1:15" ht="22.5" customHeight="1">
      <c r="A6586" s="85"/>
      <c r="B6586" s="82"/>
      <c r="C6586" s="82"/>
      <c r="D6586" s="82"/>
      <c r="E6586" s="82"/>
      <c r="F6586" s="92"/>
      <c r="G6586" s="87"/>
      <c r="H6586" s="88"/>
      <c r="I6586" s="89"/>
      <c r="J6586" s="90"/>
      <c r="K6586" s="85"/>
      <c r="L6586" s="85"/>
      <c r="M6586" s="85"/>
      <c r="N6586" s="82"/>
      <c r="O6586" s="93"/>
    </row>
    <row r="6587" spans="1:15" ht="22.5" customHeight="1">
      <c r="A6587" s="85"/>
      <c r="B6587" s="82"/>
      <c r="C6587" s="82"/>
      <c r="D6587" s="82"/>
      <c r="E6587" s="82"/>
      <c r="F6587" s="92"/>
      <c r="G6587" s="87"/>
      <c r="H6587" s="88"/>
      <c r="I6587" s="89"/>
      <c r="J6587" s="90"/>
      <c r="K6587" s="85"/>
      <c r="L6587" s="85"/>
      <c r="M6587" s="85"/>
      <c r="N6587" s="82"/>
      <c r="O6587" s="93"/>
    </row>
    <row r="6588" spans="1:15" ht="22.5" customHeight="1">
      <c r="A6588" s="85"/>
      <c r="B6588" s="82"/>
      <c r="C6588" s="82"/>
      <c r="D6588" s="82"/>
      <c r="E6588" s="82"/>
      <c r="F6588" s="92"/>
      <c r="G6588" s="87"/>
      <c r="H6588" s="88"/>
      <c r="I6588" s="89"/>
      <c r="J6588" s="90"/>
      <c r="K6588" s="85"/>
      <c r="L6588" s="85"/>
      <c r="M6588" s="85"/>
      <c r="N6588" s="82"/>
      <c r="O6588" s="93"/>
    </row>
    <row r="6589" spans="1:15" ht="22.5" customHeight="1">
      <c r="A6589" s="85"/>
      <c r="B6589" s="82"/>
      <c r="C6589" s="82"/>
      <c r="D6589" s="82"/>
      <c r="E6589" s="82"/>
      <c r="F6589" s="92"/>
      <c r="G6589" s="87"/>
      <c r="H6589" s="88"/>
      <c r="I6589" s="89"/>
      <c r="J6589" s="90"/>
      <c r="K6589" s="85"/>
      <c r="L6589" s="85"/>
      <c r="M6589" s="85"/>
      <c r="N6589" s="82"/>
      <c r="O6589" s="93"/>
    </row>
    <row r="6590" spans="1:15" ht="22.5" customHeight="1">
      <c r="A6590" s="85"/>
      <c r="B6590" s="82"/>
      <c r="C6590" s="82"/>
      <c r="D6590" s="82"/>
      <c r="E6590" s="82"/>
      <c r="F6590" s="92"/>
      <c r="G6590" s="87"/>
      <c r="H6590" s="88"/>
      <c r="I6590" s="89"/>
      <c r="J6590" s="90"/>
      <c r="K6590" s="85"/>
      <c r="L6590" s="85"/>
      <c r="M6590" s="85"/>
      <c r="N6590" s="82"/>
      <c r="O6590" s="93"/>
    </row>
    <row r="6591" spans="1:15" ht="22.5" customHeight="1">
      <c r="A6591" s="85"/>
      <c r="B6591" s="82"/>
      <c r="C6591" s="82"/>
      <c r="D6591" s="82"/>
      <c r="E6591" s="82"/>
      <c r="F6591" s="92"/>
      <c r="G6591" s="87"/>
      <c r="H6591" s="88"/>
      <c r="I6591" s="89"/>
      <c r="J6591" s="90"/>
      <c r="K6591" s="85"/>
      <c r="L6591" s="85"/>
      <c r="M6591" s="85"/>
      <c r="N6591" s="82"/>
      <c r="O6591" s="93"/>
    </row>
    <row r="6592" spans="1:15" ht="22.5" customHeight="1">
      <c r="A6592" s="85"/>
      <c r="B6592" s="82"/>
      <c r="C6592" s="82"/>
      <c r="D6592" s="82"/>
      <c r="E6592" s="82"/>
      <c r="F6592" s="92"/>
      <c r="G6592" s="87"/>
      <c r="H6592" s="88"/>
      <c r="I6592" s="89"/>
      <c r="J6592" s="90"/>
      <c r="K6592" s="85"/>
      <c r="L6592" s="85"/>
      <c r="M6592" s="85"/>
      <c r="N6592" s="82"/>
      <c r="O6592" s="93"/>
    </row>
    <row r="6593" spans="1:15" ht="22.5" customHeight="1">
      <c r="A6593" s="85"/>
      <c r="B6593" s="82"/>
      <c r="C6593" s="82"/>
      <c r="D6593" s="82"/>
      <c r="E6593" s="82"/>
      <c r="F6593" s="92"/>
      <c r="G6593" s="87"/>
      <c r="H6593" s="88"/>
      <c r="I6593" s="89"/>
      <c r="J6593" s="90"/>
      <c r="K6593" s="85"/>
      <c r="L6593" s="85"/>
      <c r="M6593" s="85"/>
      <c r="N6593" s="82"/>
      <c r="O6593" s="93"/>
    </row>
    <row r="6594" spans="1:15" ht="22.5" customHeight="1">
      <c r="A6594" s="85"/>
      <c r="B6594" s="82"/>
      <c r="C6594" s="82"/>
      <c r="D6594" s="82"/>
      <c r="E6594" s="82"/>
      <c r="F6594" s="92"/>
      <c r="G6594" s="87"/>
      <c r="H6594" s="88"/>
      <c r="I6594" s="89"/>
      <c r="J6594" s="90"/>
      <c r="K6594" s="85"/>
      <c r="L6594" s="85"/>
      <c r="M6594" s="85"/>
      <c r="N6594" s="82"/>
      <c r="O6594" s="93"/>
    </row>
    <row r="6595" spans="1:15" ht="22.5" customHeight="1">
      <c r="A6595" s="85"/>
      <c r="B6595" s="82"/>
      <c r="C6595" s="82"/>
      <c r="D6595" s="82"/>
      <c r="E6595" s="82"/>
      <c r="F6595" s="92"/>
      <c r="G6595" s="87"/>
      <c r="H6595" s="88"/>
      <c r="I6595" s="89"/>
      <c r="J6595" s="90"/>
      <c r="K6595" s="85"/>
      <c r="L6595" s="85"/>
      <c r="M6595" s="85"/>
      <c r="N6595" s="82"/>
      <c r="O6595" s="93"/>
    </row>
    <row r="6596" spans="1:15" ht="22.5" customHeight="1">
      <c r="A6596" s="85"/>
      <c r="B6596" s="82"/>
      <c r="C6596" s="82"/>
      <c r="D6596" s="82"/>
      <c r="E6596" s="82"/>
      <c r="F6596" s="92"/>
      <c r="G6596" s="87"/>
      <c r="H6596" s="88"/>
      <c r="I6596" s="89"/>
      <c r="J6596" s="90"/>
      <c r="K6596" s="85"/>
      <c r="L6596" s="85"/>
      <c r="M6596" s="85"/>
      <c r="N6596" s="82"/>
      <c r="O6596" s="93"/>
    </row>
    <row r="6597" spans="1:15" ht="22.5" customHeight="1">
      <c r="A6597" s="85"/>
      <c r="B6597" s="82"/>
      <c r="C6597" s="82"/>
      <c r="D6597" s="82"/>
      <c r="E6597" s="82"/>
      <c r="F6597" s="92"/>
      <c r="G6597" s="87"/>
      <c r="H6597" s="88"/>
      <c r="I6597" s="89"/>
      <c r="J6597" s="90"/>
      <c r="K6597" s="85"/>
      <c r="L6597" s="85"/>
      <c r="M6597" s="85"/>
      <c r="N6597" s="82"/>
      <c r="O6597" s="93"/>
    </row>
    <row r="6598" spans="1:15" ht="22.5" customHeight="1">
      <c r="A6598" s="85"/>
      <c r="B6598" s="82"/>
      <c r="C6598" s="82"/>
      <c r="D6598" s="82"/>
      <c r="E6598" s="82"/>
      <c r="F6598" s="92"/>
      <c r="G6598" s="87"/>
      <c r="H6598" s="88"/>
      <c r="I6598" s="89"/>
      <c r="J6598" s="90"/>
      <c r="K6598" s="85"/>
      <c r="L6598" s="85"/>
      <c r="M6598" s="85"/>
      <c r="N6598" s="82"/>
      <c r="O6598" s="93"/>
    </row>
    <row r="6599" spans="1:15" ht="22.5" customHeight="1">
      <c r="A6599" s="85"/>
      <c r="B6599" s="82"/>
      <c r="C6599" s="82"/>
      <c r="D6599" s="82"/>
      <c r="E6599" s="82"/>
      <c r="F6599" s="92"/>
      <c r="G6599" s="87"/>
      <c r="H6599" s="88"/>
      <c r="I6599" s="89"/>
      <c r="J6599" s="90"/>
      <c r="K6599" s="85"/>
      <c r="L6599" s="85"/>
      <c r="M6599" s="85"/>
      <c r="N6599" s="82"/>
      <c r="O6599" s="93"/>
    </row>
    <row r="6600" spans="1:15" ht="22.5" customHeight="1">
      <c r="A6600" s="85"/>
      <c r="B6600" s="82"/>
      <c r="C6600" s="82"/>
      <c r="D6600" s="82"/>
      <c r="E6600" s="82"/>
      <c r="F6600" s="92"/>
      <c r="G6600" s="87"/>
      <c r="H6600" s="88"/>
      <c r="I6600" s="89"/>
      <c r="J6600" s="90"/>
      <c r="K6600" s="85"/>
      <c r="L6600" s="85"/>
      <c r="M6600" s="85"/>
      <c r="N6600" s="82"/>
      <c r="O6600" s="93"/>
    </row>
    <row r="6601" spans="1:15" ht="22.5" customHeight="1">
      <c r="A6601" s="85"/>
      <c r="B6601" s="82"/>
      <c r="C6601" s="82"/>
      <c r="D6601" s="82"/>
      <c r="E6601" s="82"/>
      <c r="F6601" s="92"/>
      <c r="G6601" s="87"/>
      <c r="H6601" s="88"/>
      <c r="I6601" s="89"/>
      <c r="J6601" s="90"/>
      <c r="K6601" s="85"/>
      <c r="L6601" s="85"/>
      <c r="M6601" s="85"/>
      <c r="N6601" s="82"/>
      <c r="O6601" s="93"/>
    </row>
    <row r="6602" spans="1:15" ht="22.5" customHeight="1">
      <c r="A6602" s="85"/>
      <c r="B6602" s="82"/>
      <c r="C6602" s="82"/>
      <c r="D6602" s="82"/>
      <c r="E6602" s="82"/>
      <c r="F6602" s="92"/>
      <c r="G6602" s="87"/>
      <c r="H6602" s="88"/>
      <c r="I6602" s="89"/>
      <c r="J6602" s="90"/>
      <c r="K6602" s="85"/>
      <c r="L6602" s="85"/>
      <c r="M6602" s="85"/>
      <c r="N6602" s="82"/>
      <c r="O6602" s="93"/>
    </row>
    <row r="6603" spans="1:15" ht="22.5" customHeight="1">
      <c r="A6603" s="85"/>
      <c r="B6603" s="82"/>
      <c r="C6603" s="82"/>
      <c r="D6603" s="82"/>
      <c r="E6603" s="82"/>
      <c r="F6603" s="92"/>
      <c r="G6603" s="87"/>
      <c r="H6603" s="88"/>
      <c r="I6603" s="89"/>
      <c r="J6603" s="90"/>
      <c r="K6603" s="85"/>
      <c r="L6603" s="85"/>
      <c r="M6603" s="85"/>
      <c r="N6603" s="82"/>
      <c r="O6603" s="93"/>
    </row>
    <row r="6604" spans="1:15" ht="22.5" customHeight="1">
      <c r="A6604" s="85"/>
      <c r="B6604" s="82"/>
      <c r="C6604" s="82"/>
      <c r="D6604" s="82"/>
      <c r="E6604" s="82"/>
      <c r="F6604" s="92"/>
      <c r="G6604" s="87"/>
      <c r="H6604" s="88"/>
      <c r="I6604" s="89"/>
      <c r="J6604" s="90"/>
      <c r="K6604" s="85"/>
      <c r="L6604" s="85"/>
      <c r="M6604" s="85"/>
      <c r="N6604" s="82"/>
      <c r="O6604" s="93"/>
    </row>
    <row r="6605" spans="1:15" ht="22.5" customHeight="1">
      <c r="A6605" s="85"/>
      <c r="B6605" s="82"/>
      <c r="C6605" s="82"/>
      <c r="D6605" s="82"/>
      <c r="E6605" s="82"/>
      <c r="F6605" s="92"/>
      <c r="G6605" s="87"/>
      <c r="H6605" s="88"/>
      <c r="I6605" s="89"/>
      <c r="J6605" s="90"/>
      <c r="K6605" s="85"/>
      <c r="L6605" s="85"/>
      <c r="M6605" s="85"/>
      <c r="N6605" s="82"/>
      <c r="O6605" s="93"/>
    </row>
    <row r="6606" spans="1:15" ht="22.5" customHeight="1">
      <c r="A6606" s="85"/>
      <c r="B6606" s="82"/>
      <c r="C6606" s="82"/>
      <c r="D6606" s="82"/>
      <c r="E6606" s="82"/>
      <c r="F6606" s="92"/>
      <c r="G6606" s="87"/>
      <c r="H6606" s="88"/>
      <c r="I6606" s="89"/>
      <c r="J6606" s="90"/>
      <c r="K6606" s="85"/>
      <c r="L6606" s="85"/>
      <c r="M6606" s="85"/>
      <c r="N6606" s="82"/>
      <c r="O6606" s="93"/>
    </row>
    <row r="6607" spans="1:15" ht="22.5" customHeight="1">
      <c r="A6607" s="85"/>
      <c r="B6607" s="82"/>
      <c r="C6607" s="82"/>
      <c r="D6607" s="82"/>
      <c r="E6607" s="82"/>
      <c r="F6607" s="92"/>
      <c r="G6607" s="87"/>
      <c r="H6607" s="88"/>
      <c r="I6607" s="89"/>
      <c r="J6607" s="90"/>
      <c r="K6607" s="85"/>
      <c r="L6607" s="85"/>
      <c r="M6607" s="85"/>
      <c r="N6607" s="82"/>
      <c r="O6607" s="93"/>
    </row>
    <row r="6608" spans="1:15" ht="22.5" customHeight="1">
      <c r="A6608" s="85"/>
      <c r="B6608" s="82"/>
      <c r="C6608" s="82"/>
      <c r="D6608" s="82"/>
      <c r="E6608" s="82"/>
      <c r="F6608" s="92"/>
      <c r="G6608" s="87"/>
      <c r="H6608" s="88"/>
      <c r="I6608" s="89"/>
      <c r="J6608" s="90"/>
      <c r="K6608" s="85"/>
      <c r="L6608" s="85"/>
      <c r="M6608" s="85"/>
      <c r="N6608" s="82"/>
      <c r="O6608" s="93"/>
    </row>
    <row r="6609" spans="1:15" ht="22.5" customHeight="1">
      <c r="A6609" s="85"/>
      <c r="B6609" s="82"/>
      <c r="C6609" s="82"/>
      <c r="D6609" s="82"/>
      <c r="E6609" s="82"/>
      <c r="F6609" s="92"/>
      <c r="G6609" s="87"/>
      <c r="H6609" s="88"/>
      <c r="I6609" s="89"/>
      <c r="J6609" s="90"/>
      <c r="K6609" s="85"/>
      <c r="L6609" s="85"/>
      <c r="M6609" s="85"/>
      <c r="N6609" s="82"/>
      <c r="O6609" s="93"/>
    </row>
    <row r="6610" spans="1:15" ht="22.5" customHeight="1">
      <c r="A6610" s="85"/>
      <c r="B6610" s="82"/>
      <c r="C6610" s="82"/>
      <c r="D6610" s="82"/>
      <c r="E6610" s="82"/>
      <c r="F6610" s="92"/>
      <c r="G6610" s="87"/>
      <c r="H6610" s="88"/>
      <c r="I6610" s="89"/>
      <c r="J6610" s="90"/>
      <c r="K6610" s="85"/>
      <c r="L6610" s="85"/>
      <c r="M6610" s="85"/>
      <c r="N6610" s="82"/>
      <c r="O6610" s="93"/>
    </row>
    <row r="6611" spans="1:15" ht="22.5" customHeight="1">
      <c r="A6611" s="85"/>
      <c r="B6611" s="82"/>
      <c r="C6611" s="82"/>
      <c r="D6611" s="82"/>
      <c r="E6611" s="82"/>
      <c r="F6611" s="92"/>
      <c r="G6611" s="87"/>
      <c r="H6611" s="88"/>
      <c r="I6611" s="89"/>
      <c r="J6611" s="90"/>
      <c r="K6611" s="85"/>
      <c r="L6611" s="85"/>
      <c r="M6611" s="85"/>
      <c r="N6611" s="82"/>
      <c r="O6611" s="93"/>
    </row>
    <row r="6612" spans="1:15" ht="22.5" customHeight="1">
      <c r="A6612" s="85"/>
      <c r="B6612" s="82"/>
      <c r="C6612" s="82"/>
      <c r="D6612" s="82"/>
      <c r="E6612" s="82"/>
      <c r="F6612" s="92"/>
      <c r="G6612" s="87"/>
      <c r="H6612" s="88"/>
      <c r="I6612" s="89"/>
      <c r="J6612" s="90"/>
      <c r="K6612" s="85"/>
      <c r="L6612" s="85"/>
      <c r="M6612" s="85"/>
      <c r="N6612" s="82"/>
      <c r="O6612" s="93"/>
    </row>
    <row r="6613" spans="1:15" ht="22.5" customHeight="1">
      <c r="A6613" s="85"/>
      <c r="B6613" s="82"/>
      <c r="C6613" s="82"/>
      <c r="D6613" s="82"/>
      <c r="E6613" s="82"/>
      <c r="F6613" s="92"/>
      <c r="G6613" s="87"/>
      <c r="H6613" s="88"/>
      <c r="I6613" s="89"/>
      <c r="J6613" s="90"/>
      <c r="K6613" s="85"/>
      <c r="L6613" s="85"/>
      <c r="M6613" s="85"/>
      <c r="N6613" s="82"/>
      <c r="O6613" s="93"/>
    </row>
    <row r="6614" spans="1:15" ht="22.5" customHeight="1">
      <c r="A6614" s="85"/>
      <c r="B6614" s="82"/>
      <c r="C6614" s="82"/>
      <c r="D6614" s="82"/>
      <c r="E6614" s="82"/>
      <c r="F6614" s="92"/>
      <c r="G6614" s="87"/>
      <c r="H6614" s="88"/>
      <c r="I6614" s="89"/>
      <c r="J6614" s="90"/>
      <c r="K6614" s="85"/>
      <c r="L6614" s="85"/>
      <c r="M6614" s="85"/>
      <c r="N6614" s="82"/>
      <c r="O6614" s="93"/>
    </row>
    <row r="6615" spans="1:15" ht="22.5" customHeight="1">
      <c r="A6615" s="85"/>
      <c r="B6615" s="82"/>
      <c r="C6615" s="82"/>
      <c r="D6615" s="82"/>
      <c r="E6615" s="82"/>
      <c r="F6615" s="92"/>
      <c r="G6615" s="87"/>
      <c r="H6615" s="88"/>
      <c r="I6615" s="89"/>
      <c r="J6615" s="90"/>
      <c r="K6615" s="85"/>
      <c r="L6615" s="85"/>
      <c r="M6615" s="85"/>
      <c r="N6615" s="82"/>
      <c r="O6615" s="93"/>
    </row>
    <row r="6616" spans="1:15" ht="22.5" customHeight="1">
      <c r="A6616" s="85"/>
      <c r="B6616" s="82"/>
      <c r="C6616" s="82"/>
      <c r="D6616" s="82"/>
      <c r="E6616" s="82"/>
      <c r="F6616" s="92"/>
      <c r="G6616" s="87"/>
      <c r="H6616" s="88"/>
      <c r="I6616" s="89"/>
      <c r="J6616" s="90"/>
      <c r="K6616" s="85"/>
      <c r="L6616" s="85"/>
      <c r="M6616" s="85"/>
      <c r="N6616" s="82"/>
      <c r="O6616" s="93"/>
    </row>
    <row r="6617" spans="1:15" ht="22.5" customHeight="1">
      <c r="A6617" s="85"/>
      <c r="B6617" s="82"/>
      <c r="C6617" s="82"/>
      <c r="D6617" s="82"/>
      <c r="E6617" s="82"/>
      <c r="F6617" s="92"/>
      <c r="G6617" s="87"/>
      <c r="H6617" s="88"/>
      <c r="I6617" s="89"/>
      <c r="J6617" s="90"/>
      <c r="K6617" s="85"/>
      <c r="L6617" s="85"/>
      <c r="M6617" s="85"/>
      <c r="N6617" s="82"/>
      <c r="O6617" s="93"/>
    </row>
    <row r="6618" spans="1:15" ht="22.5" customHeight="1">
      <c r="A6618" s="85"/>
      <c r="B6618" s="82"/>
      <c r="C6618" s="82"/>
      <c r="D6618" s="82"/>
      <c r="E6618" s="82"/>
      <c r="F6618" s="92"/>
      <c r="G6618" s="87"/>
      <c r="H6618" s="88"/>
      <c r="I6618" s="89"/>
      <c r="J6618" s="90"/>
      <c r="K6618" s="85"/>
      <c r="L6618" s="85"/>
      <c r="M6618" s="85"/>
      <c r="N6618" s="82"/>
      <c r="O6618" s="93"/>
    </row>
    <row r="6619" spans="1:15" ht="22.5" customHeight="1">
      <c r="A6619" s="85"/>
      <c r="B6619" s="82"/>
      <c r="C6619" s="82"/>
      <c r="D6619" s="82"/>
      <c r="E6619" s="82"/>
      <c r="F6619" s="92"/>
      <c r="G6619" s="87"/>
      <c r="H6619" s="88"/>
      <c r="I6619" s="89"/>
      <c r="J6619" s="90"/>
      <c r="K6619" s="85"/>
      <c r="L6619" s="85"/>
      <c r="M6619" s="85"/>
      <c r="N6619" s="82"/>
      <c r="O6619" s="93"/>
    </row>
    <row r="6620" spans="1:15" ht="22.5" customHeight="1">
      <c r="A6620" s="85"/>
      <c r="B6620" s="82"/>
      <c r="C6620" s="82"/>
      <c r="D6620" s="82"/>
      <c r="E6620" s="82"/>
      <c r="F6620" s="92"/>
      <c r="G6620" s="87"/>
      <c r="H6620" s="88"/>
      <c r="I6620" s="89"/>
      <c r="J6620" s="90"/>
      <c r="K6620" s="85"/>
      <c r="L6620" s="85"/>
      <c r="M6620" s="85"/>
      <c r="N6620" s="82"/>
      <c r="O6620" s="93"/>
    </row>
    <row r="6621" spans="1:15" ht="22.5" customHeight="1">
      <c r="A6621" s="85"/>
      <c r="B6621" s="82"/>
      <c r="C6621" s="82"/>
      <c r="D6621" s="82"/>
      <c r="E6621" s="82"/>
      <c r="F6621" s="92"/>
      <c r="G6621" s="87"/>
      <c r="H6621" s="88"/>
      <c r="I6621" s="89"/>
      <c r="J6621" s="90"/>
      <c r="K6621" s="85"/>
      <c r="L6621" s="85"/>
      <c r="M6621" s="85"/>
      <c r="N6621" s="82"/>
      <c r="O6621" s="93"/>
    </row>
    <row r="6622" spans="1:15" ht="22.5" customHeight="1">
      <c r="A6622" s="85"/>
      <c r="B6622" s="82"/>
      <c r="C6622" s="82"/>
      <c r="D6622" s="82"/>
      <c r="E6622" s="82"/>
      <c r="F6622" s="92"/>
      <c r="G6622" s="87"/>
      <c r="H6622" s="88"/>
      <c r="I6622" s="89"/>
      <c r="J6622" s="90"/>
      <c r="K6622" s="85"/>
      <c r="L6622" s="85"/>
      <c r="M6622" s="85"/>
      <c r="N6622" s="82"/>
      <c r="O6622" s="93"/>
    </row>
    <row r="6623" spans="1:15" ht="22.5" customHeight="1">
      <c r="A6623" s="85"/>
      <c r="B6623" s="82"/>
      <c r="C6623" s="82"/>
      <c r="D6623" s="82"/>
      <c r="E6623" s="82"/>
      <c r="F6623" s="92"/>
      <c r="G6623" s="87"/>
      <c r="H6623" s="88"/>
      <c r="I6623" s="89"/>
      <c r="J6623" s="90"/>
      <c r="K6623" s="85"/>
      <c r="L6623" s="85"/>
      <c r="M6623" s="85"/>
      <c r="N6623" s="82"/>
      <c r="O6623" s="93"/>
    </row>
    <row r="6624" spans="1:15" ht="22.5" customHeight="1">
      <c r="A6624" s="85"/>
      <c r="B6624" s="82"/>
      <c r="C6624" s="82"/>
      <c r="D6624" s="82"/>
      <c r="E6624" s="82"/>
      <c r="F6624" s="92"/>
      <c r="G6624" s="87"/>
      <c r="H6624" s="88"/>
      <c r="I6624" s="89"/>
      <c r="J6624" s="90"/>
      <c r="K6624" s="85"/>
      <c r="L6624" s="85"/>
      <c r="M6624" s="85"/>
      <c r="N6624" s="82"/>
      <c r="O6624" s="93"/>
    </row>
    <row r="6625" spans="1:15" ht="22.5" customHeight="1">
      <c r="A6625" s="85"/>
      <c r="B6625" s="82"/>
      <c r="C6625" s="82"/>
      <c r="D6625" s="82"/>
      <c r="E6625" s="82"/>
      <c r="F6625" s="92"/>
      <c r="G6625" s="87"/>
      <c r="H6625" s="88"/>
      <c r="I6625" s="89"/>
      <c r="J6625" s="90"/>
      <c r="K6625" s="85"/>
      <c r="L6625" s="85"/>
      <c r="M6625" s="85"/>
      <c r="N6625" s="82"/>
      <c r="O6625" s="93"/>
    </row>
    <row r="6626" spans="1:15" ht="22.5" customHeight="1">
      <c r="A6626" s="85"/>
      <c r="B6626" s="82"/>
      <c r="C6626" s="82"/>
      <c r="D6626" s="82"/>
      <c r="E6626" s="82"/>
      <c r="F6626" s="92"/>
      <c r="G6626" s="87"/>
      <c r="H6626" s="88"/>
      <c r="I6626" s="89"/>
      <c r="J6626" s="90"/>
      <c r="K6626" s="85"/>
      <c r="L6626" s="85"/>
      <c r="M6626" s="85"/>
      <c r="N6626" s="82"/>
      <c r="O6626" s="93"/>
    </row>
    <row r="6627" spans="1:15" ht="22.5" customHeight="1">
      <c r="A6627" s="85"/>
      <c r="B6627" s="82"/>
      <c r="C6627" s="82"/>
      <c r="D6627" s="82"/>
      <c r="E6627" s="82"/>
      <c r="F6627" s="92"/>
      <c r="G6627" s="87"/>
      <c r="H6627" s="88"/>
      <c r="I6627" s="89"/>
      <c r="J6627" s="90"/>
      <c r="K6627" s="85"/>
      <c r="L6627" s="85"/>
      <c r="M6627" s="85"/>
      <c r="N6627" s="82"/>
      <c r="O6627" s="93"/>
    </row>
    <row r="6628" spans="1:15" ht="22.5" customHeight="1">
      <c r="A6628" s="85"/>
      <c r="B6628" s="82"/>
      <c r="C6628" s="82"/>
      <c r="D6628" s="82"/>
      <c r="E6628" s="82"/>
      <c r="F6628" s="92"/>
      <c r="G6628" s="87"/>
      <c r="H6628" s="88"/>
      <c r="I6628" s="89"/>
      <c r="J6628" s="90"/>
      <c r="K6628" s="85"/>
      <c r="L6628" s="85"/>
      <c r="M6628" s="85"/>
      <c r="N6628" s="82"/>
      <c r="O6628" s="93"/>
    </row>
    <row r="6629" spans="1:15" ht="22.5" customHeight="1">
      <c r="A6629" s="85"/>
      <c r="B6629" s="82"/>
      <c r="C6629" s="82"/>
      <c r="D6629" s="82"/>
      <c r="E6629" s="82"/>
      <c r="F6629" s="92"/>
      <c r="G6629" s="87"/>
      <c r="H6629" s="88"/>
      <c r="I6629" s="89"/>
      <c r="J6629" s="90"/>
      <c r="K6629" s="85"/>
      <c r="L6629" s="85"/>
      <c r="M6629" s="85"/>
      <c r="N6629" s="82"/>
      <c r="O6629" s="93"/>
    </row>
    <row r="6630" spans="1:15" ht="22.5" customHeight="1">
      <c r="A6630" s="85"/>
      <c r="B6630" s="82"/>
      <c r="C6630" s="82"/>
      <c r="D6630" s="82"/>
      <c r="E6630" s="82"/>
      <c r="F6630" s="92"/>
      <c r="G6630" s="87"/>
      <c r="H6630" s="88"/>
      <c r="I6630" s="89"/>
      <c r="J6630" s="90"/>
      <c r="K6630" s="85"/>
      <c r="L6630" s="85"/>
      <c r="M6630" s="85"/>
      <c r="N6630" s="82"/>
      <c r="O6630" s="93"/>
    </row>
    <row r="6631" spans="1:15" ht="22.5" customHeight="1">
      <c r="A6631" s="85"/>
      <c r="B6631" s="82"/>
      <c r="C6631" s="82"/>
      <c r="D6631" s="82"/>
      <c r="E6631" s="82"/>
      <c r="F6631" s="92"/>
      <c r="G6631" s="87"/>
      <c r="H6631" s="88"/>
      <c r="I6631" s="89"/>
      <c r="J6631" s="90"/>
      <c r="K6631" s="85"/>
      <c r="L6631" s="85"/>
      <c r="M6631" s="85"/>
      <c r="N6631" s="82"/>
      <c r="O6631" s="93"/>
    </row>
    <row r="6632" spans="1:15" ht="22.5" customHeight="1">
      <c r="A6632" s="85"/>
      <c r="B6632" s="82"/>
      <c r="C6632" s="82"/>
      <c r="D6632" s="82"/>
      <c r="E6632" s="82"/>
      <c r="F6632" s="92"/>
      <c r="G6632" s="87"/>
      <c r="H6632" s="88"/>
      <c r="I6632" s="89"/>
      <c r="J6632" s="90"/>
      <c r="K6632" s="85"/>
      <c r="L6632" s="85"/>
      <c r="M6632" s="85"/>
      <c r="N6632" s="82"/>
      <c r="O6632" s="93"/>
    </row>
    <row r="6633" spans="1:15" ht="22.5" customHeight="1">
      <c r="A6633" s="85"/>
      <c r="B6633" s="82"/>
      <c r="C6633" s="82"/>
      <c r="D6633" s="82"/>
      <c r="E6633" s="82"/>
      <c r="F6633" s="92"/>
      <c r="G6633" s="87"/>
      <c r="H6633" s="88"/>
      <c r="I6633" s="89"/>
      <c r="J6633" s="90"/>
      <c r="K6633" s="85"/>
      <c r="L6633" s="85"/>
      <c r="M6633" s="85"/>
      <c r="N6633" s="82"/>
      <c r="O6633" s="93"/>
    </row>
    <row r="6634" spans="1:15" ht="22.5" customHeight="1">
      <c r="A6634" s="85"/>
      <c r="B6634" s="82"/>
      <c r="C6634" s="82"/>
      <c r="D6634" s="82"/>
      <c r="E6634" s="82"/>
      <c r="F6634" s="92"/>
      <c r="G6634" s="87"/>
      <c r="H6634" s="88"/>
      <c r="I6634" s="89"/>
      <c r="J6634" s="90"/>
      <c r="K6634" s="85"/>
      <c r="L6634" s="85"/>
      <c r="M6634" s="85"/>
      <c r="N6634" s="82"/>
      <c r="O6634" s="93"/>
    </row>
    <row r="6635" spans="1:15" ht="22.5" customHeight="1">
      <c r="A6635" s="85"/>
      <c r="B6635" s="82"/>
      <c r="C6635" s="82"/>
      <c r="D6635" s="82"/>
      <c r="E6635" s="82"/>
      <c r="F6635" s="92"/>
      <c r="G6635" s="87"/>
      <c r="H6635" s="88"/>
      <c r="I6635" s="89"/>
      <c r="J6635" s="90"/>
      <c r="K6635" s="85"/>
      <c r="L6635" s="85"/>
      <c r="M6635" s="85"/>
      <c r="N6635" s="82"/>
      <c r="O6635" s="93"/>
    </row>
    <row r="6636" spans="1:15" ht="22.5" customHeight="1">
      <c r="A6636" s="85"/>
      <c r="B6636" s="82"/>
      <c r="C6636" s="82"/>
      <c r="D6636" s="82"/>
      <c r="E6636" s="82"/>
      <c r="F6636" s="92"/>
      <c r="G6636" s="87"/>
      <c r="H6636" s="88"/>
      <c r="I6636" s="89"/>
      <c r="J6636" s="90"/>
      <c r="K6636" s="85"/>
      <c r="L6636" s="85"/>
      <c r="M6636" s="85"/>
      <c r="N6636" s="82"/>
      <c r="O6636" s="93"/>
    </row>
    <row r="6637" spans="1:15" ht="22.5" customHeight="1">
      <c r="A6637" s="85"/>
      <c r="B6637" s="82"/>
      <c r="C6637" s="82"/>
      <c r="D6637" s="82"/>
      <c r="E6637" s="82"/>
      <c r="F6637" s="92"/>
      <c r="G6637" s="87"/>
      <c r="H6637" s="88"/>
      <c r="I6637" s="89"/>
      <c r="J6637" s="90"/>
      <c r="K6637" s="85"/>
      <c r="L6637" s="85"/>
      <c r="M6637" s="85"/>
      <c r="N6637" s="82"/>
      <c r="O6637" s="93"/>
    </row>
    <row r="6638" spans="1:15" ht="22.5" customHeight="1">
      <c r="A6638" s="85"/>
      <c r="B6638" s="82"/>
      <c r="C6638" s="82"/>
      <c r="D6638" s="82"/>
      <c r="E6638" s="82"/>
      <c r="F6638" s="92"/>
      <c r="G6638" s="87"/>
      <c r="H6638" s="88"/>
      <c r="I6638" s="89"/>
      <c r="J6638" s="90"/>
      <c r="K6638" s="85"/>
      <c r="L6638" s="85"/>
      <c r="M6638" s="85"/>
      <c r="N6638" s="82"/>
      <c r="O6638" s="93"/>
    </row>
    <row r="6639" spans="1:15" ht="22.5" customHeight="1">
      <c r="A6639" s="85"/>
      <c r="B6639" s="82"/>
      <c r="C6639" s="82"/>
      <c r="D6639" s="82"/>
      <c r="E6639" s="82"/>
      <c r="F6639" s="92"/>
      <c r="G6639" s="87"/>
      <c r="H6639" s="88"/>
      <c r="I6639" s="89"/>
      <c r="J6639" s="90"/>
      <c r="K6639" s="85"/>
      <c r="L6639" s="85"/>
      <c r="M6639" s="85"/>
      <c r="N6639" s="82"/>
      <c r="O6639" s="93"/>
    </row>
    <row r="6640" spans="1:15" ht="22.5" customHeight="1">
      <c r="A6640" s="85"/>
      <c r="B6640" s="82"/>
      <c r="C6640" s="82"/>
      <c r="D6640" s="82"/>
      <c r="E6640" s="82"/>
      <c r="F6640" s="92"/>
      <c r="G6640" s="87"/>
      <c r="H6640" s="88"/>
      <c r="I6640" s="89"/>
      <c r="J6640" s="90"/>
      <c r="K6640" s="85"/>
      <c r="L6640" s="85"/>
      <c r="M6640" s="85"/>
      <c r="N6640" s="82"/>
      <c r="O6640" s="93"/>
    </row>
    <row r="6641" spans="1:15" ht="22.5" customHeight="1">
      <c r="A6641" s="85"/>
      <c r="B6641" s="82"/>
      <c r="C6641" s="82"/>
      <c r="D6641" s="82"/>
      <c r="E6641" s="82"/>
      <c r="F6641" s="92"/>
      <c r="G6641" s="87"/>
      <c r="H6641" s="88"/>
      <c r="I6641" s="89"/>
      <c r="J6641" s="90"/>
      <c r="K6641" s="85"/>
      <c r="L6641" s="85"/>
      <c r="M6641" s="85"/>
      <c r="N6641" s="82"/>
      <c r="O6641" s="93"/>
    </row>
    <row r="6642" spans="1:15" ht="22.5" customHeight="1">
      <c r="A6642" s="85"/>
      <c r="B6642" s="82"/>
      <c r="C6642" s="82"/>
      <c r="D6642" s="82"/>
      <c r="E6642" s="82"/>
      <c r="F6642" s="92"/>
      <c r="G6642" s="87"/>
      <c r="H6642" s="88"/>
      <c r="I6642" s="89"/>
      <c r="J6642" s="90"/>
      <c r="K6642" s="85"/>
      <c r="L6642" s="85"/>
      <c r="M6642" s="85"/>
      <c r="N6642" s="82"/>
      <c r="O6642" s="93"/>
    </row>
    <row r="6643" spans="1:15" ht="22.5" customHeight="1">
      <c r="A6643" s="85"/>
      <c r="B6643" s="82"/>
      <c r="C6643" s="82"/>
      <c r="D6643" s="82"/>
      <c r="E6643" s="82"/>
      <c r="F6643" s="92"/>
      <c r="G6643" s="87"/>
      <c r="H6643" s="88"/>
      <c r="I6643" s="89"/>
      <c r="J6643" s="90"/>
      <c r="K6643" s="85"/>
      <c r="L6643" s="85"/>
      <c r="M6643" s="85"/>
      <c r="N6643" s="82"/>
      <c r="O6643" s="93"/>
    </row>
    <row r="6644" spans="1:15" ht="22.5" customHeight="1">
      <c r="A6644" s="85"/>
      <c r="B6644" s="82"/>
      <c r="C6644" s="82"/>
      <c r="D6644" s="82"/>
      <c r="E6644" s="82"/>
      <c r="F6644" s="92"/>
      <c r="G6644" s="87"/>
      <c r="H6644" s="88"/>
      <c r="I6644" s="89"/>
      <c r="J6644" s="90"/>
      <c r="K6644" s="85"/>
      <c r="L6644" s="85"/>
      <c r="M6644" s="85"/>
      <c r="N6644" s="82"/>
      <c r="O6644" s="93"/>
    </row>
    <row r="6645" spans="1:15" ht="22.5" customHeight="1">
      <c r="A6645" s="85"/>
      <c r="B6645" s="82"/>
      <c r="C6645" s="82"/>
      <c r="D6645" s="82"/>
      <c r="E6645" s="82"/>
      <c r="F6645" s="92"/>
      <c r="G6645" s="87"/>
      <c r="H6645" s="88"/>
      <c r="I6645" s="89"/>
      <c r="J6645" s="90"/>
      <c r="K6645" s="85"/>
      <c r="L6645" s="85"/>
      <c r="M6645" s="85"/>
      <c r="N6645" s="82"/>
      <c r="O6645" s="93"/>
    </row>
    <row r="6646" spans="1:15" ht="22.5" customHeight="1">
      <c r="A6646" s="85"/>
      <c r="B6646" s="82"/>
      <c r="C6646" s="82"/>
      <c r="D6646" s="82"/>
      <c r="E6646" s="82"/>
      <c r="F6646" s="92"/>
      <c r="G6646" s="87"/>
      <c r="H6646" s="88"/>
      <c r="I6646" s="89"/>
      <c r="J6646" s="90"/>
      <c r="K6646" s="85"/>
      <c r="L6646" s="85"/>
      <c r="M6646" s="85"/>
      <c r="N6646" s="82"/>
      <c r="O6646" s="93"/>
    </row>
    <row r="6647" spans="1:15" ht="22.5" customHeight="1">
      <c r="A6647" s="85"/>
      <c r="B6647" s="82"/>
      <c r="C6647" s="82"/>
      <c r="D6647" s="82"/>
      <c r="E6647" s="82"/>
      <c r="F6647" s="92"/>
      <c r="G6647" s="87"/>
      <c r="H6647" s="88"/>
      <c r="I6647" s="89"/>
      <c r="J6647" s="90"/>
      <c r="K6647" s="85"/>
      <c r="L6647" s="85"/>
      <c r="M6647" s="85"/>
      <c r="N6647" s="82"/>
      <c r="O6647" s="93"/>
    </row>
    <row r="6648" spans="1:15" ht="22.5" customHeight="1">
      <c r="A6648" s="85"/>
      <c r="B6648" s="82"/>
      <c r="C6648" s="82"/>
      <c r="D6648" s="82"/>
      <c r="E6648" s="82"/>
      <c r="F6648" s="92"/>
      <c r="G6648" s="87"/>
      <c r="H6648" s="88"/>
      <c r="I6648" s="89"/>
      <c r="J6648" s="90"/>
      <c r="K6648" s="85"/>
      <c r="L6648" s="85"/>
      <c r="M6648" s="85"/>
      <c r="N6648" s="82"/>
      <c r="O6648" s="93"/>
    </row>
    <row r="6649" spans="1:15" ht="22.5" customHeight="1">
      <c r="A6649" s="85"/>
      <c r="B6649" s="82"/>
      <c r="C6649" s="82"/>
      <c r="D6649" s="82"/>
      <c r="E6649" s="82"/>
      <c r="F6649" s="92"/>
      <c r="G6649" s="87"/>
      <c r="H6649" s="88"/>
      <c r="I6649" s="89"/>
      <c r="J6649" s="90"/>
      <c r="K6649" s="85"/>
      <c r="L6649" s="85"/>
      <c r="M6649" s="85"/>
      <c r="N6649" s="82"/>
      <c r="O6649" s="93"/>
    </row>
    <row r="6650" spans="1:15" ht="22.5" customHeight="1">
      <c r="A6650" s="85"/>
      <c r="B6650" s="82"/>
      <c r="C6650" s="82"/>
      <c r="D6650" s="82"/>
      <c r="E6650" s="82"/>
      <c r="F6650" s="92"/>
      <c r="G6650" s="87"/>
      <c r="H6650" s="88"/>
      <c r="I6650" s="89"/>
      <c r="J6650" s="90"/>
      <c r="K6650" s="85"/>
      <c r="L6650" s="85"/>
      <c r="M6650" s="85"/>
      <c r="N6650" s="82"/>
      <c r="O6650" s="93"/>
    </row>
    <row r="6651" spans="1:15" ht="22.5" customHeight="1">
      <c r="A6651" s="85"/>
      <c r="B6651" s="82"/>
      <c r="C6651" s="82"/>
      <c r="D6651" s="82"/>
      <c r="E6651" s="82"/>
      <c r="F6651" s="92"/>
      <c r="G6651" s="87"/>
      <c r="H6651" s="88"/>
      <c r="I6651" s="89"/>
      <c r="J6651" s="90"/>
      <c r="K6651" s="85"/>
      <c r="L6651" s="85"/>
      <c r="M6651" s="85"/>
      <c r="N6651" s="82"/>
      <c r="O6651" s="93"/>
    </row>
    <row r="6652" spans="1:15" ht="22.5" customHeight="1">
      <c r="A6652" s="85"/>
      <c r="B6652" s="82"/>
      <c r="C6652" s="82"/>
      <c r="D6652" s="82"/>
      <c r="E6652" s="82"/>
      <c r="F6652" s="92"/>
      <c r="G6652" s="87"/>
      <c r="H6652" s="88"/>
      <c r="I6652" s="89"/>
      <c r="J6652" s="90"/>
      <c r="K6652" s="85"/>
      <c r="L6652" s="85"/>
      <c r="M6652" s="85"/>
      <c r="N6652" s="82"/>
      <c r="O6652" s="93"/>
    </row>
    <row r="6653" spans="1:15" ht="22.5" customHeight="1">
      <c r="A6653" s="85"/>
      <c r="B6653" s="82"/>
      <c r="C6653" s="82"/>
      <c r="D6653" s="82"/>
      <c r="E6653" s="82"/>
      <c r="F6653" s="92"/>
      <c r="G6653" s="87"/>
      <c r="H6653" s="88"/>
      <c r="I6653" s="89"/>
      <c r="J6653" s="90"/>
      <c r="K6653" s="85"/>
      <c r="L6653" s="85"/>
      <c r="M6653" s="85"/>
      <c r="N6653" s="82"/>
      <c r="O6653" s="93"/>
    </row>
    <row r="6654" spans="1:15" ht="22.5" customHeight="1">
      <c r="A6654" s="85"/>
      <c r="B6654" s="82"/>
      <c r="C6654" s="82"/>
      <c r="D6654" s="82"/>
      <c r="E6654" s="82"/>
      <c r="F6654" s="92"/>
      <c r="G6654" s="87"/>
      <c r="H6654" s="88"/>
      <c r="I6654" s="89"/>
      <c r="J6654" s="90"/>
      <c r="K6654" s="85"/>
      <c r="L6654" s="85"/>
      <c r="M6654" s="85"/>
      <c r="N6654" s="82"/>
      <c r="O6654" s="93"/>
    </row>
    <row r="6655" spans="1:15" ht="22.5" customHeight="1">
      <c r="A6655" s="85"/>
      <c r="B6655" s="82"/>
      <c r="C6655" s="82"/>
      <c r="D6655" s="82"/>
      <c r="E6655" s="82"/>
      <c r="F6655" s="92"/>
      <c r="G6655" s="87"/>
      <c r="H6655" s="88"/>
      <c r="I6655" s="89"/>
      <c r="J6655" s="90"/>
      <c r="K6655" s="85"/>
      <c r="L6655" s="85"/>
      <c r="M6655" s="85"/>
      <c r="N6655" s="82"/>
      <c r="O6655" s="93"/>
    </row>
    <row r="6656" spans="1:15" ht="22.5" customHeight="1">
      <c r="A6656" s="85"/>
      <c r="B6656" s="82"/>
      <c r="C6656" s="82"/>
      <c r="D6656" s="82"/>
      <c r="E6656" s="82"/>
      <c r="F6656" s="92"/>
      <c r="G6656" s="87"/>
      <c r="H6656" s="88"/>
      <c r="I6656" s="89"/>
      <c r="J6656" s="90"/>
      <c r="K6656" s="85"/>
      <c r="L6656" s="85"/>
      <c r="M6656" s="85"/>
      <c r="N6656" s="82"/>
      <c r="O6656" s="93"/>
    </row>
    <row r="6657" spans="1:15" ht="22.5" customHeight="1">
      <c r="A6657" s="85"/>
      <c r="B6657" s="82"/>
      <c r="C6657" s="82"/>
      <c r="D6657" s="82"/>
      <c r="E6657" s="82"/>
      <c r="F6657" s="92"/>
      <c r="G6657" s="87"/>
      <c r="H6657" s="88"/>
      <c r="I6657" s="89"/>
      <c r="J6657" s="90"/>
      <c r="K6657" s="85"/>
      <c r="L6657" s="85"/>
      <c r="M6657" s="85"/>
      <c r="N6657" s="82"/>
      <c r="O6657" s="93"/>
    </row>
    <row r="6658" spans="1:15" ht="22.5" customHeight="1">
      <c r="A6658" s="85"/>
      <c r="B6658" s="82"/>
      <c r="C6658" s="82"/>
      <c r="D6658" s="82"/>
      <c r="E6658" s="82"/>
      <c r="F6658" s="92"/>
      <c r="G6658" s="87"/>
      <c r="H6658" s="88"/>
      <c r="I6658" s="89"/>
      <c r="J6658" s="90"/>
      <c r="K6658" s="85"/>
      <c r="L6658" s="85"/>
      <c r="M6658" s="85"/>
      <c r="N6658" s="82"/>
      <c r="O6658" s="93"/>
    </row>
    <row r="6659" spans="1:15" ht="22.5" customHeight="1">
      <c r="A6659" s="85"/>
      <c r="B6659" s="82"/>
      <c r="C6659" s="82"/>
      <c r="D6659" s="82"/>
      <c r="E6659" s="82"/>
      <c r="F6659" s="92"/>
      <c r="G6659" s="87"/>
      <c r="H6659" s="88"/>
      <c r="I6659" s="89"/>
      <c r="J6659" s="90"/>
      <c r="K6659" s="85"/>
      <c r="L6659" s="85"/>
      <c r="M6659" s="85"/>
      <c r="N6659" s="82"/>
      <c r="O6659" s="93"/>
    </row>
    <row r="6660" spans="1:15" ht="22.5" customHeight="1">
      <c r="A6660" s="85"/>
      <c r="B6660" s="82"/>
      <c r="C6660" s="82"/>
      <c r="D6660" s="82"/>
      <c r="E6660" s="82"/>
      <c r="F6660" s="92"/>
      <c r="G6660" s="87"/>
      <c r="H6660" s="88"/>
      <c r="I6660" s="89"/>
      <c r="J6660" s="90"/>
      <c r="K6660" s="85"/>
      <c r="L6660" s="85"/>
      <c r="M6660" s="85"/>
      <c r="N6660" s="82"/>
      <c r="O6660" s="93"/>
    </row>
    <row r="6661" spans="1:15" ht="22.5" customHeight="1">
      <c r="A6661" s="85"/>
      <c r="B6661" s="82"/>
      <c r="C6661" s="82"/>
      <c r="D6661" s="82"/>
      <c r="E6661" s="82"/>
      <c r="F6661" s="92"/>
      <c r="G6661" s="87"/>
      <c r="H6661" s="88"/>
      <c r="I6661" s="89"/>
      <c r="J6661" s="90"/>
      <c r="K6661" s="85"/>
      <c r="L6661" s="85"/>
      <c r="M6661" s="85"/>
      <c r="N6661" s="82"/>
      <c r="O6661" s="93"/>
    </row>
    <row r="6662" spans="1:15" ht="22.5" customHeight="1">
      <c r="A6662" s="85"/>
      <c r="B6662" s="82"/>
      <c r="C6662" s="82"/>
      <c r="D6662" s="82"/>
      <c r="E6662" s="82"/>
      <c r="F6662" s="92"/>
      <c r="G6662" s="87"/>
      <c r="H6662" s="88"/>
      <c r="I6662" s="89"/>
      <c r="J6662" s="90"/>
      <c r="K6662" s="85"/>
      <c r="L6662" s="85"/>
      <c r="M6662" s="85"/>
      <c r="N6662" s="82"/>
      <c r="O6662" s="93"/>
    </row>
    <row r="6663" spans="1:15" ht="22.5" customHeight="1">
      <c r="A6663" s="85"/>
      <c r="B6663" s="82"/>
      <c r="C6663" s="82"/>
      <c r="D6663" s="82"/>
      <c r="E6663" s="82"/>
      <c r="F6663" s="92"/>
      <c r="G6663" s="87"/>
      <c r="H6663" s="88"/>
      <c r="I6663" s="89"/>
      <c r="J6663" s="90"/>
      <c r="K6663" s="85"/>
      <c r="L6663" s="85"/>
      <c r="M6663" s="85"/>
      <c r="N6663" s="82"/>
      <c r="O6663" s="93"/>
    </row>
    <row r="6664" spans="1:15" ht="22.5" customHeight="1">
      <c r="A6664" s="85"/>
      <c r="B6664" s="82"/>
      <c r="C6664" s="82"/>
      <c r="D6664" s="82"/>
      <c r="E6664" s="82"/>
      <c r="F6664" s="92"/>
      <c r="G6664" s="87"/>
      <c r="H6664" s="88"/>
      <c r="I6664" s="89"/>
      <c r="J6664" s="90"/>
      <c r="K6664" s="85"/>
      <c r="L6664" s="85"/>
      <c r="M6664" s="85"/>
      <c r="N6664" s="82"/>
      <c r="O6664" s="93"/>
    </row>
    <row r="6665" spans="1:15" ht="22.5" customHeight="1">
      <c r="A6665" s="85"/>
      <c r="B6665" s="82"/>
      <c r="C6665" s="82"/>
      <c r="D6665" s="82"/>
      <c r="E6665" s="82"/>
      <c r="F6665" s="92"/>
      <c r="G6665" s="87"/>
      <c r="H6665" s="88"/>
      <c r="I6665" s="89"/>
      <c r="J6665" s="90"/>
      <c r="K6665" s="85"/>
      <c r="L6665" s="85"/>
      <c r="M6665" s="85"/>
      <c r="N6665" s="82"/>
      <c r="O6665" s="93"/>
    </row>
    <row r="6666" spans="1:15" ht="22.5" customHeight="1">
      <c r="A6666" s="85"/>
      <c r="B6666" s="82"/>
      <c r="C6666" s="82"/>
      <c r="D6666" s="82"/>
      <c r="E6666" s="82"/>
      <c r="F6666" s="92"/>
      <c r="G6666" s="87"/>
      <c r="H6666" s="88"/>
      <c r="I6666" s="89"/>
      <c r="J6666" s="90"/>
      <c r="K6666" s="85"/>
      <c r="L6666" s="85"/>
      <c r="M6666" s="85"/>
      <c r="N6666" s="82"/>
      <c r="O6666" s="93"/>
    </row>
    <row r="6667" spans="1:15" ht="22.5" customHeight="1">
      <c r="A6667" s="85"/>
      <c r="B6667" s="82"/>
      <c r="C6667" s="82"/>
      <c r="D6667" s="82"/>
      <c r="E6667" s="82"/>
      <c r="F6667" s="92"/>
      <c r="G6667" s="87"/>
      <c r="H6667" s="88"/>
      <c r="I6667" s="89"/>
      <c r="J6667" s="90"/>
      <c r="K6667" s="85"/>
      <c r="L6667" s="85"/>
      <c r="M6667" s="85"/>
      <c r="N6667" s="82"/>
      <c r="O6667" s="93"/>
    </row>
    <row r="6668" spans="1:15" ht="22.5" customHeight="1">
      <c r="A6668" s="85"/>
      <c r="B6668" s="82"/>
      <c r="C6668" s="82"/>
      <c r="D6668" s="82"/>
      <c r="E6668" s="82"/>
      <c r="F6668" s="92"/>
      <c r="G6668" s="87"/>
      <c r="H6668" s="88"/>
      <c r="I6668" s="89"/>
      <c r="J6668" s="90"/>
      <c r="K6668" s="85"/>
      <c r="L6668" s="85"/>
      <c r="M6668" s="85"/>
      <c r="N6668" s="82"/>
      <c r="O6668" s="93"/>
    </row>
    <row r="6669" spans="1:15" ht="22.5" customHeight="1">
      <c r="A6669" s="85"/>
      <c r="B6669" s="82"/>
      <c r="C6669" s="82"/>
      <c r="D6669" s="82"/>
      <c r="E6669" s="82"/>
      <c r="F6669" s="92"/>
      <c r="G6669" s="87"/>
      <c r="H6669" s="88"/>
      <c r="I6669" s="89"/>
      <c r="J6669" s="90"/>
      <c r="K6669" s="85"/>
      <c r="L6669" s="85"/>
      <c r="M6669" s="85"/>
      <c r="N6669" s="82"/>
      <c r="O6669" s="93"/>
    </row>
    <row r="6670" spans="1:15" ht="22.5" customHeight="1">
      <c r="A6670" s="85"/>
      <c r="B6670" s="82"/>
      <c r="C6670" s="82"/>
      <c r="D6670" s="82"/>
      <c r="E6670" s="82"/>
      <c r="F6670" s="92"/>
      <c r="G6670" s="87"/>
      <c r="H6670" s="88"/>
      <c r="I6670" s="89"/>
      <c r="J6670" s="90"/>
      <c r="K6670" s="85"/>
      <c r="L6670" s="85"/>
      <c r="M6670" s="85"/>
      <c r="N6670" s="82"/>
      <c r="O6670" s="93"/>
    </row>
    <row r="6671" spans="1:15" ht="22.5" customHeight="1">
      <c r="A6671" s="85"/>
      <c r="B6671" s="82"/>
      <c r="C6671" s="82"/>
      <c r="D6671" s="82"/>
      <c r="E6671" s="82"/>
      <c r="F6671" s="92"/>
      <c r="G6671" s="87"/>
      <c r="H6671" s="88"/>
      <c r="I6671" s="89"/>
      <c r="J6671" s="90"/>
      <c r="K6671" s="85"/>
      <c r="L6671" s="85"/>
      <c r="M6671" s="85"/>
      <c r="N6671" s="82"/>
      <c r="O6671" s="93"/>
    </row>
    <row r="6672" spans="1:15" ht="22.5" customHeight="1">
      <c r="A6672" s="85"/>
      <c r="B6672" s="82"/>
      <c r="C6672" s="82"/>
      <c r="D6672" s="82"/>
      <c r="E6672" s="82"/>
      <c r="F6672" s="92"/>
      <c r="G6672" s="87"/>
      <c r="H6672" s="88"/>
      <c r="I6672" s="89"/>
      <c r="J6672" s="90"/>
      <c r="K6672" s="85"/>
      <c r="L6672" s="85"/>
      <c r="M6672" s="85"/>
      <c r="N6672" s="82"/>
      <c r="O6672" s="93"/>
    </row>
    <row r="6673" spans="1:15" ht="22.5" customHeight="1">
      <c r="A6673" s="85"/>
      <c r="B6673" s="82"/>
      <c r="C6673" s="82"/>
      <c r="D6673" s="82"/>
      <c r="E6673" s="82"/>
      <c r="F6673" s="92"/>
      <c r="G6673" s="87"/>
      <c r="H6673" s="88"/>
      <c r="I6673" s="89"/>
      <c r="J6673" s="90"/>
      <c r="K6673" s="85"/>
      <c r="L6673" s="85"/>
      <c r="M6673" s="85"/>
      <c r="N6673" s="82"/>
      <c r="O6673" s="93"/>
    </row>
    <row r="6674" spans="1:15" ht="22.5" customHeight="1">
      <c r="A6674" s="85"/>
      <c r="B6674" s="82"/>
      <c r="C6674" s="82"/>
      <c r="D6674" s="82"/>
      <c r="E6674" s="82"/>
      <c r="F6674" s="92"/>
      <c r="G6674" s="87"/>
      <c r="H6674" s="88"/>
      <c r="I6674" s="89"/>
      <c r="J6674" s="90"/>
      <c r="K6674" s="85"/>
      <c r="L6674" s="85"/>
      <c r="M6674" s="85"/>
      <c r="N6674" s="82"/>
      <c r="O6674" s="93"/>
    </row>
    <row r="6675" spans="1:15" ht="22.5" customHeight="1">
      <c r="A6675" s="85"/>
      <c r="B6675" s="82"/>
      <c r="C6675" s="82"/>
      <c r="D6675" s="82"/>
      <c r="E6675" s="82"/>
      <c r="F6675" s="92"/>
      <c r="G6675" s="87"/>
      <c r="H6675" s="88"/>
      <c r="I6675" s="89"/>
      <c r="J6675" s="90"/>
      <c r="K6675" s="85"/>
      <c r="L6675" s="85"/>
      <c r="M6675" s="85"/>
      <c r="N6675" s="82"/>
      <c r="O6675" s="93"/>
    </row>
    <row r="6676" spans="1:15" ht="22.5" customHeight="1">
      <c r="A6676" s="85"/>
      <c r="B6676" s="82"/>
      <c r="C6676" s="82"/>
      <c r="D6676" s="82"/>
      <c r="E6676" s="82"/>
      <c r="F6676" s="92"/>
      <c r="G6676" s="87"/>
      <c r="H6676" s="88"/>
      <c r="I6676" s="89"/>
      <c r="J6676" s="90"/>
      <c r="K6676" s="85"/>
      <c r="L6676" s="85"/>
      <c r="M6676" s="85"/>
      <c r="N6676" s="82"/>
      <c r="O6676" s="93"/>
    </row>
    <row r="6677" spans="1:15" ht="22.5" customHeight="1">
      <c r="A6677" s="85"/>
      <c r="B6677" s="82"/>
      <c r="C6677" s="82"/>
      <c r="D6677" s="82"/>
      <c r="E6677" s="82"/>
      <c r="F6677" s="92"/>
      <c r="G6677" s="87"/>
      <c r="H6677" s="88"/>
      <c r="I6677" s="89"/>
      <c r="J6677" s="90"/>
      <c r="K6677" s="85"/>
      <c r="L6677" s="85"/>
      <c r="M6677" s="85"/>
      <c r="N6677" s="82"/>
      <c r="O6677" s="93"/>
    </row>
    <row r="6678" spans="1:15" ht="22.5" customHeight="1">
      <c r="A6678" s="85"/>
      <c r="B6678" s="82"/>
      <c r="C6678" s="82"/>
      <c r="D6678" s="82"/>
      <c r="E6678" s="82"/>
      <c r="F6678" s="92"/>
      <c r="G6678" s="87"/>
      <c r="H6678" s="88"/>
      <c r="I6678" s="89"/>
      <c r="J6678" s="90"/>
      <c r="K6678" s="85"/>
      <c r="L6678" s="85"/>
      <c r="M6678" s="85"/>
      <c r="N6678" s="82"/>
      <c r="O6678" s="93"/>
    </row>
    <row r="6679" spans="1:15" ht="22.5" customHeight="1">
      <c r="A6679" s="85"/>
      <c r="B6679" s="82"/>
      <c r="C6679" s="82"/>
      <c r="D6679" s="82"/>
      <c r="E6679" s="82"/>
      <c r="F6679" s="92"/>
      <c r="G6679" s="87"/>
      <c r="H6679" s="88"/>
      <c r="I6679" s="89"/>
      <c r="J6679" s="90"/>
      <c r="K6679" s="85"/>
      <c r="L6679" s="85"/>
      <c r="M6679" s="85"/>
      <c r="N6679" s="82"/>
      <c r="O6679" s="93"/>
    </row>
    <row r="6680" spans="1:15" ht="22.5" customHeight="1">
      <c r="A6680" s="85"/>
      <c r="B6680" s="82"/>
      <c r="C6680" s="82"/>
      <c r="D6680" s="82"/>
      <c r="E6680" s="82"/>
      <c r="F6680" s="92"/>
      <c r="G6680" s="87"/>
      <c r="H6680" s="88"/>
      <c r="I6680" s="89"/>
      <c r="J6680" s="90"/>
      <c r="K6680" s="85"/>
      <c r="L6680" s="85"/>
      <c r="M6680" s="85"/>
      <c r="N6680" s="82"/>
      <c r="O6680" s="93"/>
    </row>
    <row r="6681" spans="1:15" ht="22.5" customHeight="1">
      <c r="A6681" s="85"/>
      <c r="B6681" s="82"/>
      <c r="C6681" s="82"/>
      <c r="D6681" s="82"/>
      <c r="E6681" s="82"/>
      <c r="F6681" s="92"/>
      <c r="G6681" s="87"/>
      <c r="H6681" s="88"/>
      <c r="I6681" s="89"/>
      <c r="J6681" s="90"/>
      <c r="K6681" s="85"/>
      <c r="L6681" s="85"/>
      <c r="M6681" s="85"/>
      <c r="N6681" s="82"/>
      <c r="O6681" s="93"/>
    </row>
    <row r="6682" spans="1:15" ht="22.5" customHeight="1">
      <c r="A6682" s="85"/>
      <c r="B6682" s="82"/>
      <c r="C6682" s="82"/>
      <c r="D6682" s="82"/>
      <c r="E6682" s="82"/>
      <c r="F6682" s="92"/>
      <c r="G6682" s="87"/>
      <c r="H6682" s="88"/>
      <c r="I6682" s="89"/>
      <c r="J6682" s="90"/>
      <c r="K6682" s="85"/>
      <c r="L6682" s="85"/>
      <c r="M6682" s="85"/>
      <c r="N6682" s="82"/>
      <c r="O6682" s="93"/>
    </row>
    <row r="6683" spans="1:15" ht="22.5" customHeight="1">
      <c r="A6683" s="85"/>
      <c r="B6683" s="82"/>
      <c r="C6683" s="82"/>
      <c r="D6683" s="82"/>
      <c r="E6683" s="82"/>
      <c r="F6683" s="92"/>
      <c r="G6683" s="87"/>
      <c r="H6683" s="88"/>
      <c r="I6683" s="89"/>
      <c r="J6683" s="90"/>
      <c r="K6683" s="85"/>
      <c r="L6683" s="85"/>
      <c r="M6683" s="85"/>
      <c r="N6683" s="82"/>
      <c r="O6683" s="93"/>
    </row>
    <row r="6684" spans="1:15" ht="22.5" customHeight="1">
      <c r="A6684" s="85"/>
      <c r="B6684" s="82"/>
      <c r="C6684" s="82"/>
      <c r="D6684" s="82"/>
      <c r="E6684" s="82"/>
      <c r="F6684" s="92"/>
      <c r="G6684" s="87"/>
      <c r="H6684" s="88"/>
      <c r="I6684" s="89"/>
      <c r="J6684" s="90"/>
      <c r="K6684" s="85"/>
      <c r="L6684" s="85"/>
      <c r="M6684" s="85"/>
      <c r="N6684" s="82"/>
      <c r="O6684" s="93"/>
    </row>
    <row r="6685" spans="1:15" ht="22.5" customHeight="1">
      <c r="A6685" s="85"/>
      <c r="B6685" s="82"/>
      <c r="C6685" s="82"/>
      <c r="D6685" s="82"/>
      <c r="E6685" s="82"/>
      <c r="F6685" s="92"/>
      <c r="G6685" s="87"/>
      <c r="H6685" s="88"/>
      <c r="I6685" s="89"/>
      <c r="J6685" s="90"/>
      <c r="K6685" s="85"/>
      <c r="L6685" s="85"/>
      <c r="M6685" s="85"/>
      <c r="N6685" s="82"/>
      <c r="O6685" s="93"/>
    </row>
    <row r="6686" spans="1:15" ht="22.5" customHeight="1">
      <c r="A6686" s="85"/>
      <c r="B6686" s="82"/>
      <c r="C6686" s="82"/>
      <c r="D6686" s="82"/>
      <c r="E6686" s="82"/>
      <c r="F6686" s="92"/>
      <c r="G6686" s="87"/>
      <c r="H6686" s="88"/>
      <c r="I6686" s="89"/>
      <c r="J6686" s="90"/>
      <c r="K6686" s="85"/>
      <c r="L6686" s="85"/>
      <c r="M6686" s="85"/>
      <c r="N6686" s="82"/>
      <c r="O6686" s="93"/>
    </row>
    <row r="6687" spans="1:15" ht="22.5" customHeight="1">
      <c r="A6687" s="85"/>
      <c r="B6687" s="82"/>
      <c r="C6687" s="82"/>
      <c r="D6687" s="82"/>
      <c r="E6687" s="82"/>
      <c r="F6687" s="92"/>
      <c r="G6687" s="87"/>
      <c r="H6687" s="88"/>
      <c r="I6687" s="89"/>
      <c r="J6687" s="90"/>
      <c r="K6687" s="85"/>
      <c r="L6687" s="85"/>
      <c r="M6687" s="85"/>
      <c r="N6687" s="82"/>
      <c r="O6687" s="93"/>
    </row>
    <row r="6688" spans="1:15" ht="22.5" customHeight="1">
      <c r="A6688" s="85"/>
      <c r="B6688" s="82"/>
      <c r="C6688" s="82"/>
      <c r="D6688" s="82"/>
      <c r="E6688" s="82"/>
      <c r="F6688" s="92"/>
      <c r="G6688" s="87"/>
      <c r="H6688" s="88"/>
      <c r="I6688" s="89"/>
      <c r="J6688" s="90"/>
      <c r="K6688" s="85"/>
      <c r="L6688" s="85"/>
      <c r="M6688" s="85"/>
      <c r="N6688" s="82"/>
      <c r="O6688" s="93"/>
    </row>
    <row r="6689" spans="1:15" ht="22.5" customHeight="1">
      <c r="A6689" s="85"/>
      <c r="B6689" s="82"/>
      <c r="C6689" s="82"/>
      <c r="D6689" s="82"/>
      <c r="E6689" s="82"/>
      <c r="F6689" s="92"/>
      <c r="G6689" s="87"/>
      <c r="H6689" s="88"/>
      <c r="I6689" s="89"/>
      <c r="J6689" s="90"/>
      <c r="K6689" s="85"/>
      <c r="L6689" s="85"/>
      <c r="M6689" s="85"/>
      <c r="N6689" s="82"/>
      <c r="O6689" s="93"/>
    </row>
    <row r="6690" spans="1:15" ht="22.5" customHeight="1">
      <c r="A6690" s="85"/>
      <c r="B6690" s="82"/>
      <c r="C6690" s="82"/>
      <c r="D6690" s="82"/>
      <c r="E6690" s="82"/>
      <c r="F6690" s="92"/>
      <c r="G6690" s="87"/>
      <c r="H6690" s="88"/>
      <c r="I6690" s="89"/>
      <c r="J6690" s="90"/>
      <c r="K6690" s="85"/>
      <c r="L6690" s="85"/>
      <c r="M6690" s="85"/>
      <c r="N6690" s="82"/>
      <c r="O6690" s="93"/>
    </row>
    <row r="6691" spans="1:15" ht="22.5" customHeight="1">
      <c r="A6691" s="85"/>
      <c r="B6691" s="82"/>
      <c r="C6691" s="82"/>
      <c r="D6691" s="82"/>
      <c r="E6691" s="82"/>
      <c r="F6691" s="92"/>
      <c r="G6691" s="87"/>
      <c r="H6691" s="88"/>
      <c r="I6691" s="89"/>
      <c r="J6691" s="90"/>
      <c r="K6691" s="85"/>
      <c r="L6691" s="85"/>
      <c r="M6691" s="85"/>
      <c r="N6691" s="82"/>
      <c r="O6691" s="93"/>
    </row>
    <row r="6692" spans="1:15" ht="22.5" customHeight="1">
      <c r="A6692" s="85"/>
      <c r="B6692" s="82"/>
      <c r="C6692" s="82"/>
      <c r="D6692" s="82"/>
      <c r="E6692" s="82"/>
      <c r="F6692" s="92"/>
      <c r="G6692" s="87"/>
      <c r="H6692" s="88"/>
      <c r="I6692" s="89"/>
      <c r="J6692" s="90"/>
      <c r="K6692" s="85"/>
      <c r="L6692" s="85"/>
      <c r="M6692" s="85"/>
      <c r="N6692" s="82"/>
      <c r="O6692" s="93"/>
    </row>
    <row r="6693" spans="1:15" ht="22.5" customHeight="1">
      <c r="A6693" s="85"/>
      <c r="B6693" s="82"/>
      <c r="C6693" s="82"/>
      <c r="D6693" s="82"/>
      <c r="E6693" s="82"/>
      <c r="F6693" s="92"/>
      <c r="G6693" s="87"/>
      <c r="H6693" s="88"/>
      <c r="I6693" s="89"/>
      <c r="J6693" s="90"/>
      <c r="K6693" s="85"/>
      <c r="L6693" s="85"/>
      <c r="M6693" s="85"/>
      <c r="N6693" s="82"/>
      <c r="O6693" s="93"/>
    </row>
    <row r="6694" spans="1:15" ht="22.5" customHeight="1">
      <c r="A6694" s="85"/>
      <c r="B6694" s="82"/>
      <c r="C6694" s="82"/>
      <c r="D6694" s="82"/>
      <c r="E6694" s="82"/>
      <c r="F6694" s="92"/>
      <c r="G6694" s="87"/>
      <c r="H6694" s="88"/>
      <c r="I6694" s="89"/>
      <c r="J6694" s="90"/>
      <c r="K6694" s="85"/>
      <c r="L6694" s="85"/>
      <c r="M6694" s="85"/>
      <c r="N6694" s="82"/>
      <c r="O6694" s="93"/>
    </row>
    <row r="6695" spans="1:15" ht="22.5" customHeight="1">
      <c r="A6695" s="85"/>
      <c r="B6695" s="82"/>
      <c r="C6695" s="82"/>
      <c r="D6695" s="82"/>
      <c r="E6695" s="82"/>
      <c r="F6695" s="92"/>
      <c r="G6695" s="87"/>
      <c r="H6695" s="88"/>
      <c r="I6695" s="89"/>
      <c r="J6695" s="90"/>
      <c r="K6695" s="85"/>
      <c r="L6695" s="85"/>
      <c r="M6695" s="85"/>
      <c r="N6695" s="82"/>
      <c r="O6695" s="93"/>
    </row>
    <row r="6696" spans="1:15" ht="22.5" customHeight="1">
      <c r="A6696" s="85"/>
      <c r="B6696" s="82"/>
      <c r="C6696" s="82"/>
      <c r="D6696" s="82"/>
      <c r="E6696" s="82"/>
      <c r="F6696" s="92"/>
      <c r="G6696" s="87"/>
      <c r="H6696" s="88"/>
      <c r="I6696" s="89"/>
      <c r="J6696" s="90"/>
      <c r="K6696" s="85"/>
      <c r="L6696" s="85"/>
      <c r="M6696" s="85"/>
      <c r="N6696" s="82"/>
      <c r="O6696" s="93"/>
    </row>
    <row r="6697" spans="1:15" ht="22.5" customHeight="1">
      <c r="A6697" s="85"/>
      <c r="B6697" s="82"/>
      <c r="C6697" s="82"/>
      <c r="D6697" s="82"/>
      <c r="E6697" s="82"/>
      <c r="F6697" s="92"/>
      <c r="G6697" s="87"/>
      <c r="H6697" s="88"/>
      <c r="I6697" s="89"/>
      <c r="J6697" s="90"/>
      <c r="K6697" s="85"/>
      <c r="L6697" s="85"/>
      <c r="M6697" s="85"/>
      <c r="N6697" s="82"/>
      <c r="O6697" s="93"/>
    </row>
    <row r="6698" spans="1:15" ht="22.5" customHeight="1">
      <c r="A6698" s="85"/>
      <c r="B6698" s="82"/>
      <c r="C6698" s="82"/>
      <c r="D6698" s="82"/>
      <c r="E6698" s="82"/>
      <c r="F6698" s="92"/>
      <c r="G6698" s="87"/>
      <c r="H6698" s="88"/>
      <c r="I6698" s="89"/>
      <c r="J6698" s="90"/>
      <c r="K6698" s="85"/>
      <c r="L6698" s="85"/>
      <c r="M6698" s="85"/>
      <c r="N6698" s="82"/>
      <c r="O6698" s="93"/>
    </row>
    <row r="6699" spans="1:15" ht="22.5" customHeight="1">
      <c r="A6699" s="85"/>
      <c r="B6699" s="82"/>
      <c r="C6699" s="82"/>
      <c r="D6699" s="82"/>
      <c r="E6699" s="82"/>
      <c r="F6699" s="92"/>
      <c r="G6699" s="87"/>
      <c r="H6699" s="88"/>
      <c r="I6699" s="89"/>
      <c r="J6699" s="90"/>
      <c r="K6699" s="85"/>
      <c r="L6699" s="85"/>
      <c r="M6699" s="85"/>
      <c r="N6699" s="82"/>
      <c r="O6699" s="93"/>
    </row>
    <row r="6700" spans="1:15" ht="22.5" customHeight="1">
      <c r="A6700" s="85"/>
      <c r="B6700" s="82"/>
      <c r="C6700" s="82"/>
      <c r="D6700" s="82"/>
      <c r="E6700" s="82"/>
      <c r="F6700" s="92"/>
      <c r="G6700" s="87"/>
      <c r="H6700" s="88"/>
      <c r="I6700" s="89"/>
      <c r="J6700" s="90"/>
      <c r="K6700" s="85"/>
      <c r="L6700" s="85"/>
      <c r="M6700" s="85"/>
      <c r="N6700" s="82"/>
      <c r="O6700" s="93"/>
    </row>
    <row r="6701" spans="1:15" ht="22.5" customHeight="1">
      <c r="A6701" s="85"/>
      <c r="B6701" s="82"/>
      <c r="C6701" s="82"/>
      <c r="D6701" s="82"/>
      <c r="E6701" s="82"/>
      <c r="F6701" s="92"/>
      <c r="G6701" s="87"/>
      <c r="H6701" s="88"/>
      <c r="I6701" s="89"/>
      <c r="J6701" s="90"/>
      <c r="K6701" s="85"/>
      <c r="L6701" s="85"/>
      <c r="M6701" s="85"/>
      <c r="N6701" s="82"/>
      <c r="O6701" s="93"/>
    </row>
    <row r="6702" spans="1:15" ht="22.5" customHeight="1">
      <c r="A6702" s="85"/>
      <c r="B6702" s="82"/>
      <c r="C6702" s="82"/>
      <c r="D6702" s="82"/>
      <c r="E6702" s="82"/>
      <c r="F6702" s="92"/>
      <c r="G6702" s="87"/>
      <c r="H6702" s="88"/>
      <c r="I6702" s="89"/>
      <c r="J6702" s="90"/>
      <c r="K6702" s="85"/>
      <c r="L6702" s="85"/>
      <c r="M6702" s="85"/>
      <c r="N6702" s="82"/>
      <c r="O6702" s="93"/>
    </row>
    <row r="6703" spans="1:15" ht="22.5" customHeight="1">
      <c r="A6703" s="85"/>
      <c r="B6703" s="82"/>
      <c r="C6703" s="82"/>
      <c r="D6703" s="82"/>
      <c r="E6703" s="82"/>
      <c r="F6703" s="92"/>
      <c r="G6703" s="87"/>
      <c r="H6703" s="88"/>
      <c r="I6703" s="89"/>
      <c r="J6703" s="90"/>
      <c r="K6703" s="85"/>
      <c r="L6703" s="85"/>
      <c r="M6703" s="85"/>
      <c r="N6703" s="82"/>
      <c r="O6703" s="93"/>
    </row>
    <row r="6704" spans="1:15" ht="22.5" customHeight="1">
      <c r="A6704" s="85"/>
      <c r="B6704" s="82"/>
      <c r="C6704" s="82"/>
      <c r="D6704" s="82"/>
      <c r="E6704" s="82"/>
      <c r="F6704" s="92"/>
      <c r="G6704" s="87"/>
      <c r="H6704" s="88"/>
      <c r="I6704" s="89"/>
      <c r="J6704" s="90"/>
      <c r="K6704" s="85"/>
      <c r="L6704" s="85"/>
      <c r="M6704" s="85"/>
      <c r="N6704" s="82"/>
      <c r="O6704" s="93"/>
    </row>
    <row r="6705" spans="1:15" ht="22.5" customHeight="1">
      <c r="A6705" s="85"/>
      <c r="B6705" s="82"/>
      <c r="C6705" s="82"/>
      <c r="D6705" s="82"/>
      <c r="E6705" s="82"/>
      <c r="F6705" s="92"/>
      <c r="G6705" s="87"/>
      <c r="H6705" s="88"/>
      <c r="I6705" s="89"/>
      <c r="J6705" s="90"/>
      <c r="K6705" s="85"/>
      <c r="L6705" s="85"/>
      <c r="M6705" s="85"/>
      <c r="N6705" s="82"/>
      <c r="O6705" s="93"/>
    </row>
    <row r="6706" spans="1:15" ht="22.5" customHeight="1">
      <c r="A6706" s="85"/>
      <c r="B6706" s="82"/>
      <c r="C6706" s="82"/>
      <c r="D6706" s="82"/>
      <c r="E6706" s="82"/>
      <c r="F6706" s="92"/>
      <c r="G6706" s="87"/>
      <c r="H6706" s="88"/>
      <c r="I6706" s="89"/>
      <c r="J6706" s="90"/>
      <c r="K6706" s="85"/>
      <c r="L6706" s="85"/>
      <c r="M6706" s="85"/>
      <c r="N6706" s="82"/>
      <c r="O6706" s="93"/>
    </row>
    <row r="6707" spans="1:15" ht="22.5" customHeight="1">
      <c r="A6707" s="85"/>
      <c r="B6707" s="82"/>
      <c r="C6707" s="82"/>
      <c r="D6707" s="82"/>
      <c r="E6707" s="82"/>
      <c r="F6707" s="92"/>
      <c r="G6707" s="87"/>
      <c r="H6707" s="88"/>
      <c r="I6707" s="89"/>
      <c r="J6707" s="90"/>
      <c r="K6707" s="85"/>
      <c r="L6707" s="85"/>
      <c r="M6707" s="85"/>
      <c r="N6707" s="82"/>
      <c r="O6707" s="93"/>
    </row>
    <row r="6708" spans="1:15" ht="22.5" customHeight="1">
      <c r="A6708" s="85"/>
      <c r="B6708" s="82"/>
      <c r="C6708" s="82"/>
      <c r="D6708" s="82"/>
      <c r="E6708" s="82"/>
      <c r="F6708" s="92"/>
      <c r="G6708" s="87"/>
      <c r="H6708" s="88"/>
      <c r="I6708" s="89"/>
      <c r="J6708" s="90"/>
      <c r="K6708" s="85"/>
      <c r="L6708" s="85"/>
      <c r="M6708" s="85"/>
      <c r="N6708" s="82"/>
      <c r="O6708" s="93"/>
    </row>
    <row r="6709" spans="1:15" ht="22.5" customHeight="1">
      <c r="A6709" s="85"/>
      <c r="B6709" s="82"/>
      <c r="C6709" s="82"/>
      <c r="D6709" s="82"/>
      <c r="E6709" s="82"/>
      <c r="F6709" s="92"/>
      <c r="G6709" s="87"/>
      <c r="H6709" s="88"/>
      <c r="I6709" s="89"/>
      <c r="J6709" s="90"/>
      <c r="K6709" s="85"/>
      <c r="L6709" s="85"/>
      <c r="M6709" s="85"/>
      <c r="N6709" s="82"/>
      <c r="O6709" s="93"/>
    </row>
    <row r="6710" spans="1:15" ht="22.5" customHeight="1">
      <c r="A6710" s="85"/>
      <c r="B6710" s="82"/>
      <c r="C6710" s="82"/>
      <c r="D6710" s="82"/>
      <c r="E6710" s="82"/>
      <c r="F6710" s="92"/>
      <c r="G6710" s="87"/>
      <c r="H6710" s="88"/>
      <c r="I6710" s="89"/>
      <c r="J6710" s="90"/>
      <c r="K6710" s="85"/>
      <c r="L6710" s="85"/>
      <c r="M6710" s="85"/>
      <c r="N6710" s="82"/>
      <c r="O6710" s="93"/>
    </row>
    <row r="6711" spans="1:15" ht="22.5" customHeight="1">
      <c r="A6711" s="85"/>
      <c r="B6711" s="82"/>
      <c r="C6711" s="82"/>
      <c r="D6711" s="82"/>
      <c r="E6711" s="82"/>
      <c r="F6711" s="92"/>
      <c r="G6711" s="87"/>
      <c r="H6711" s="88"/>
      <c r="I6711" s="89"/>
      <c r="J6711" s="90"/>
      <c r="K6711" s="85"/>
      <c r="L6711" s="85"/>
      <c r="M6711" s="85"/>
      <c r="N6711" s="82"/>
      <c r="O6711" s="93"/>
    </row>
    <row r="6712" spans="1:15" ht="22.5" customHeight="1">
      <c r="A6712" s="85"/>
      <c r="B6712" s="82"/>
      <c r="C6712" s="82"/>
      <c r="D6712" s="82"/>
      <c r="E6712" s="82"/>
      <c r="F6712" s="92"/>
      <c r="G6712" s="87"/>
      <c r="H6712" s="88"/>
      <c r="I6712" s="89"/>
      <c r="J6712" s="90"/>
      <c r="K6712" s="85"/>
      <c r="L6712" s="85"/>
      <c r="M6712" s="85"/>
      <c r="N6712" s="82"/>
      <c r="O6712" s="93"/>
    </row>
    <row r="6713" spans="1:15" ht="22.5" customHeight="1">
      <c r="A6713" s="85"/>
      <c r="B6713" s="82"/>
      <c r="C6713" s="82"/>
      <c r="D6713" s="82"/>
      <c r="E6713" s="82"/>
      <c r="F6713" s="92"/>
      <c r="G6713" s="87"/>
      <c r="H6713" s="88"/>
      <c r="I6713" s="89"/>
      <c r="J6713" s="90"/>
      <c r="K6713" s="85"/>
      <c r="L6713" s="85"/>
      <c r="M6713" s="85"/>
      <c r="N6713" s="82"/>
      <c r="O6713" s="93"/>
    </row>
    <row r="6714" spans="1:15" ht="22.5" customHeight="1">
      <c r="A6714" s="85"/>
      <c r="B6714" s="82"/>
      <c r="C6714" s="82"/>
      <c r="D6714" s="82"/>
      <c r="E6714" s="82"/>
      <c r="F6714" s="92"/>
      <c r="G6714" s="87"/>
      <c r="H6714" s="88"/>
      <c r="I6714" s="89"/>
      <c r="J6714" s="90"/>
      <c r="K6714" s="85"/>
      <c r="L6714" s="85"/>
      <c r="M6714" s="85"/>
      <c r="N6714" s="82"/>
      <c r="O6714" s="93"/>
    </row>
    <row r="6715" spans="1:15" ht="22.5" customHeight="1">
      <c r="A6715" s="85"/>
      <c r="B6715" s="82"/>
      <c r="C6715" s="82"/>
      <c r="D6715" s="82"/>
      <c r="E6715" s="82"/>
      <c r="F6715" s="92"/>
      <c r="G6715" s="87"/>
      <c r="H6715" s="88"/>
      <c r="I6715" s="89"/>
      <c r="J6715" s="90"/>
      <c r="K6715" s="85"/>
      <c r="L6715" s="85"/>
      <c r="M6715" s="85"/>
      <c r="N6715" s="82"/>
      <c r="O6715" s="93"/>
    </row>
    <row r="6716" spans="1:15" ht="22.5" customHeight="1">
      <c r="A6716" s="85"/>
      <c r="B6716" s="82"/>
      <c r="C6716" s="82"/>
      <c r="D6716" s="82"/>
      <c r="E6716" s="82"/>
      <c r="F6716" s="92"/>
      <c r="G6716" s="87"/>
      <c r="H6716" s="88"/>
      <c r="I6716" s="89"/>
      <c r="J6716" s="90"/>
      <c r="K6716" s="85"/>
      <c r="L6716" s="85"/>
      <c r="M6716" s="85"/>
      <c r="N6716" s="82"/>
      <c r="O6716" s="93"/>
    </row>
    <row r="6717" spans="1:15" ht="22.5" customHeight="1">
      <c r="A6717" s="85"/>
      <c r="B6717" s="82"/>
      <c r="C6717" s="82"/>
      <c r="D6717" s="82"/>
      <c r="E6717" s="82"/>
      <c r="F6717" s="92"/>
      <c r="G6717" s="87"/>
      <c r="H6717" s="88"/>
      <c r="I6717" s="89"/>
      <c r="J6717" s="90"/>
      <c r="K6717" s="85"/>
      <c r="L6717" s="85"/>
      <c r="M6717" s="85"/>
      <c r="N6717" s="82"/>
      <c r="O6717" s="93"/>
    </row>
    <row r="6718" spans="1:15" ht="22.5" customHeight="1">
      <c r="A6718" s="85"/>
      <c r="B6718" s="82"/>
      <c r="C6718" s="82"/>
      <c r="D6718" s="82"/>
      <c r="E6718" s="82"/>
      <c r="F6718" s="92"/>
      <c r="G6718" s="87"/>
      <c r="H6718" s="88"/>
      <c r="I6718" s="89"/>
      <c r="J6718" s="90"/>
      <c r="K6718" s="85"/>
      <c r="L6718" s="85"/>
      <c r="M6718" s="85"/>
      <c r="N6718" s="82"/>
      <c r="O6718" s="93"/>
    </row>
    <row r="6719" spans="1:15" ht="22.5" customHeight="1">
      <c r="A6719" s="85"/>
      <c r="B6719" s="82"/>
      <c r="C6719" s="82"/>
      <c r="D6719" s="82"/>
      <c r="E6719" s="82"/>
      <c r="F6719" s="92"/>
      <c r="G6719" s="87"/>
      <c r="H6719" s="88"/>
      <c r="I6719" s="89"/>
      <c r="J6719" s="90"/>
      <c r="K6719" s="85"/>
      <c r="L6719" s="85"/>
      <c r="M6719" s="85"/>
      <c r="N6719" s="82"/>
      <c r="O6719" s="93"/>
    </row>
    <row r="6720" spans="1:15" ht="22.5" customHeight="1">
      <c r="A6720" s="85"/>
      <c r="B6720" s="82"/>
      <c r="C6720" s="82"/>
      <c r="D6720" s="82"/>
      <c r="E6720" s="82"/>
      <c r="F6720" s="92"/>
      <c r="G6720" s="87"/>
      <c r="H6720" s="88"/>
      <c r="I6720" s="89"/>
      <c r="J6720" s="90"/>
      <c r="K6720" s="85"/>
      <c r="L6720" s="85"/>
      <c r="M6720" s="85"/>
      <c r="N6720" s="82"/>
      <c r="O6720" s="93"/>
    </row>
    <row r="6721" spans="1:15" ht="22.5" customHeight="1">
      <c r="A6721" s="85"/>
      <c r="B6721" s="82"/>
      <c r="C6721" s="82"/>
      <c r="D6721" s="82"/>
      <c r="E6721" s="82"/>
      <c r="F6721" s="92"/>
      <c r="G6721" s="87"/>
      <c r="H6721" s="88"/>
      <c r="I6721" s="89"/>
      <c r="J6721" s="90"/>
      <c r="K6721" s="85"/>
      <c r="L6721" s="85"/>
      <c r="M6721" s="85"/>
      <c r="N6721" s="82"/>
      <c r="O6721" s="93"/>
    </row>
    <row r="6722" spans="1:15" ht="22.5" customHeight="1">
      <c r="A6722" s="85"/>
      <c r="B6722" s="82"/>
      <c r="C6722" s="82"/>
      <c r="D6722" s="82"/>
      <c r="E6722" s="82"/>
      <c r="F6722" s="92"/>
      <c r="G6722" s="87"/>
      <c r="H6722" s="88"/>
      <c r="I6722" s="89"/>
      <c r="J6722" s="90"/>
      <c r="K6722" s="85"/>
      <c r="L6722" s="85"/>
      <c r="M6722" s="85"/>
      <c r="N6722" s="82"/>
      <c r="O6722" s="93"/>
    </row>
    <row r="6723" spans="1:15" ht="22.5" customHeight="1">
      <c r="A6723" s="85"/>
      <c r="B6723" s="82"/>
      <c r="C6723" s="82"/>
      <c r="D6723" s="82"/>
      <c r="E6723" s="82"/>
      <c r="F6723" s="92"/>
      <c r="G6723" s="87"/>
      <c r="H6723" s="88"/>
      <c r="I6723" s="89"/>
      <c r="J6723" s="90"/>
      <c r="K6723" s="85"/>
      <c r="L6723" s="85"/>
      <c r="M6723" s="85"/>
      <c r="N6723" s="82"/>
      <c r="O6723" s="93"/>
    </row>
    <row r="6724" spans="1:15" ht="22.5" customHeight="1">
      <c r="A6724" s="85"/>
      <c r="B6724" s="82"/>
      <c r="C6724" s="82"/>
      <c r="D6724" s="82"/>
      <c r="E6724" s="82"/>
      <c r="F6724" s="92"/>
      <c r="G6724" s="87"/>
      <c r="H6724" s="88"/>
      <c r="I6724" s="89"/>
      <c r="J6724" s="90"/>
      <c r="K6724" s="85"/>
      <c r="L6724" s="85"/>
      <c r="M6724" s="85"/>
      <c r="N6724" s="82"/>
      <c r="O6724" s="93"/>
    </row>
    <row r="6725" spans="1:15" ht="22.5" customHeight="1">
      <c r="A6725" s="85"/>
      <c r="B6725" s="82"/>
      <c r="C6725" s="82"/>
      <c r="D6725" s="82"/>
      <c r="E6725" s="82"/>
      <c r="F6725" s="92"/>
      <c r="G6725" s="87"/>
      <c r="H6725" s="88"/>
      <c r="I6725" s="89"/>
      <c r="J6725" s="90"/>
      <c r="K6725" s="85"/>
      <c r="L6725" s="85"/>
      <c r="M6725" s="85"/>
      <c r="N6725" s="82"/>
      <c r="O6725" s="93"/>
    </row>
    <row r="6726" spans="1:15" ht="22.5" customHeight="1">
      <c r="A6726" s="85"/>
      <c r="B6726" s="82"/>
      <c r="C6726" s="82"/>
      <c r="D6726" s="82"/>
      <c r="E6726" s="82"/>
      <c r="F6726" s="92"/>
      <c r="G6726" s="87"/>
      <c r="H6726" s="88"/>
      <c r="I6726" s="89"/>
      <c r="J6726" s="90"/>
      <c r="K6726" s="85"/>
      <c r="L6726" s="85"/>
      <c r="M6726" s="85"/>
      <c r="N6726" s="82"/>
      <c r="O6726" s="93"/>
    </row>
    <row r="6727" spans="1:15" ht="22.5" customHeight="1">
      <c r="A6727" s="85"/>
      <c r="B6727" s="82"/>
      <c r="C6727" s="82"/>
      <c r="D6727" s="82"/>
      <c r="E6727" s="82"/>
      <c r="F6727" s="92"/>
      <c r="G6727" s="87"/>
      <c r="H6727" s="88"/>
      <c r="I6727" s="89"/>
      <c r="J6727" s="90"/>
      <c r="K6727" s="85"/>
      <c r="L6727" s="85"/>
      <c r="M6727" s="85"/>
      <c r="N6727" s="82"/>
      <c r="O6727" s="93"/>
    </row>
    <row r="6728" spans="1:15" ht="22.5" customHeight="1">
      <c r="A6728" s="85"/>
      <c r="B6728" s="82"/>
      <c r="C6728" s="82"/>
      <c r="D6728" s="82"/>
      <c r="E6728" s="82"/>
      <c r="F6728" s="92"/>
      <c r="G6728" s="87"/>
      <c r="H6728" s="88"/>
      <c r="I6728" s="89"/>
      <c r="J6728" s="90"/>
      <c r="K6728" s="85"/>
      <c r="L6728" s="85"/>
      <c r="M6728" s="85"/>
      <c r="N6728" s="82"/>
      <c r="O6728" s="93"/>
    </row>
    <row r="6729" spans="1:15" ht="22.5" customHeight="1">
      <c r="A6729" s="85"/>
      <c r="B6729" s="82"/>
      <c r="C6729" s="82"/>
      <c r="D6729" s="82"/>
      <c r="E6729" s="82"/>
      <c r="F6729" s="92"/>
      <c r="G6729" s="87"/>
      <c r="H6729" s="88"/>
      <c r="I6729" s="89"/>
      <c r="J6729" s="90"/>
      <c r="K6729" s="85"/>
      <c r="L6729" s="85"/>
      <c r="M6729" s="85"/>
      <c r="N6729" s="82"/>
      <c r="O6729" s="93"/>
    </row>
    <row r="6730" spans="1:15" ht="22.5" customHeight="1">
      <c r="A6730" s="85"/>
      <c r="B6730" s="82"/>
      <c r="C6730" s="82"/>
      <c r="D6730" s="82"/>
      <c r="E6730" s="82"/>
      <c r="F6730" s="92"/>
      <c r="G6730" s="87"/>
      <c r="H6730" s="88"/>
      <c r="I6730" s="89"/>
      <c r="J6730" s="90"/>
      <c r="K6730" s="85"/>
      <c r="L6730" s="85"/>
      <c r="M6730" s="85"/>
      <c r="N6730" s="82"/>
      <c r="O6730" s="93"/>
    </row>
    <row r="6731" spans="1:15" ht="22.5" customHeight="1">
      <c r="A6731" s="85"/>
      <c r="B6731" s="82"/>
      <c r="C6731" s="82"/>
      <c r="D6731" s="82"/>
      <c r="E6731" s="82"/>
      <c r="F6731" s="92"/>
      <c r="G6731" s="87"/>
      <c r="H6731" s="88"/>
      <c r="I6731" s="89"/>
      <c r="J6731" s="90"/>
      <c r="K6731" s="85"/>
      <c r="L6731" s="85"/>
      <c r="M6731" s="85"/>
      <c r="N6731" s="82"/>
      <c r="O6731" s="93"/>
    </row>
    <row r="6732" spans="1:15" ht="22.5" customHeight="1">
      <c r="A6732" s="85"/>
      <c r="B6732" s="82"/>
      <c r="C6732" s="82"/>
      <c r="D6732" s="82"/>
      <c r="E6732" s="82"/>
      <c r="F6732" s="92"/>
      <c r="G6732" s="87"/>
      <c r="H6732" s="88"/>
      <c r="I6732" s="89"/>
      <c r="J6732" s="90"/>
      <c r="K6732" s="85"/>
      <c r="L6732" s="85"/>
      <c r="M6732" s="85"/>
      <c r="N6732" s="82"/>
      <c r="O6732" s="93"/>
    </row>
    <row r="6733" spans="1:15" ht="22.5" customHeight="1">
      <c r="A6733" s="85"/>
      <c r="B6733" s="82"/>
      <c r="C6733" s="82"/>
      <c r="D6733" s="82"/>
      <c r="E6733" s="82"/>
      <c r="F6733" s="92"/>
      <c r="G6733" s="87"/>
      <c r="H6733" s="88"/>
      <c r="I6733" s="89"/>
      <c r="J6733" s="90"/>
      <c r="K6733" s="85"/>
      <c r="L6733" s="85"/>
      <c r="M6733" s="85"/>
      <c r="N6733" s="82"/>
      <c r="O6733" s="93"/>
    </row>
    <row r="6734" spans="1:15" ht="22.5" customHeight="1">
      <c r="A6734" s="85"/>
      <c r="B6734" s="82"/>
      <c r="C6734" s="82"/>
      <c r="D6734" s="82"/>
      <c r="E6734" s="82"/>
      <c r="F6734" s="92"/>
      <c r="G6734" s="87"/>
      <c r="H6734" s="88"/>
      <c r="I6734" s="89"/>
      <c r="J6734" s="90"/>
      <c r="K6734" s="85"/>
      <c r="L6734" s="85"/>
      <c r="M6734" s="85"/>
      <c r="N6734" s="82"/>
      <c r="O6734" s="93"/>
    </row>
    <row r="6735" spans="1:15" ht="22.5" customHeight="1">
      <c r="A6735" s="85"/>
      <c r="B6735" s="82"/>
      <c r="C6735" s="82"/>
      <c r="D6735" s="82"/>
      <c r="E6735" s="82"/>
      <c r="F6735" s="92"/>
      <c r="G6735" s="87"/>
      <c r="H6735" s="88"/>
      <c r="I6735" s="89"/>
      <c r="J6735" s="90"/>
      <c r="K6735" s="85"/>
      <c r="L6735" s="85"/>
      <c r="M6735" s="85"/>
      <c r="N6735" s="82"/>
      <c r="O6735" s="93"/>
    </row>
    <row r="6736" spans="1:15" ht="22.5" customHeight="1">
      <c r="A6736" s="85"/>
      <c r="B6736" s="82"/>
      <c r="C6736" s="82"/>
      <c r="D6736" s="82"/>
      <c r="E6736" s="82"/>
      <c r="F6736" s="92"/>
      <c r="G6736" s="87"/>
      <c r="H6736" s="88"/>
      <c r="I6736" s="89"/>
      <c r="J6736" s="90"/>
      <c r="K6736" s="85"/>
      <c r="L6736" s="85"/>
      <c r="M6736" s="85"/>
      <c r="N6736" s="82"/>
      <c r="O6736" s="93"/>
    </row>
    <row r="6737" spans="1:15" ht="22.5" customHeight="1">
      <c r="A6737" s="85"/>
      <c r="B6737" s="82"/>
      <c r="C6737" s="82"/>
      <c r="D6737" s="82"/>
      <c r="E6737" s="82"/>
      <c r="F6737" s="92"/>
      <c r="G6737" s="87"/>
      <c r="H6737" s="88"/>
      <c r="I6737" s="89"/>
      <c r="J6737" s="90"/>
      <c r="K6737" s="85"/>
      <c r="L6737" s="85"/>
      <c r="M6737" s="85"/>
      <c r="N6737" s="82"/>
      <c r="O6737" s="93"/>
    </row>
    <row r="6738" spans="1:15" ht="22.5" customHeight="1">
      <c r="A6738" s="85"/>
      <c r="B6738" s="82"/>
      <c r="C6738" s="82"/>
      <c r="D6738" s="82"/>
      <c r="E6738" s="82"/>
      <c r="F6738" s="92"/>
      <c r="G6738" s="87"/>
      <c r="H6738" s="88"/>
      <c r="I6738" s="89"/>
      <c r="J6738" s="90"/>
      <c r="K6738" s="85"/>
      <c r="L6738" s="85"/>
      <c r="M6738" s="85"/>
      <c r="N6738" s="82"/>
      <c r="O6738" s="93"/>
    </row>
    <row r="6739" spans="1:15" ht="22.5" customHeight="1">
      <c r="A6739" s="85"/>
      <c r="B6739" s="82"/>
      <c r="C6739" s="82"/>
      <c r="D6739" s="82"/>
      <c r="E6739" s="82"/>
      <c r="F6739" s="92"/>
      <c r="G6739" s="87"/>
      <c r="H6739" s="88"/>
      <c r="I6739" s="89"/>
      <c r="J6739" s="90"/>
      <c r="K6739" s="85"/>
      <c r="L6739" s="85"/>
      <c r="M6739" s="85"/>
      <c r="N6739" s="82"/>
      <c r="O6739" s="93"/>
    </row>
    <row r="6740" spans="1:15" ht="22.5" customHeight="1">
      <c r="A6740" s="85"/>
      <c r="B6740" s="82"/>
      <c r="C6740" s="82"/>
      <c r="D6740" s="82"/>
      <c r="E6740" s="82"/>
      <c r="F6740" s="92"/>
      <c r="G6740" s="87"/>
      <c r="H6740" s="88"/>
      <c r="I6740" s="89"/>
      <c r="J6740" s="90"/>
      <c r="K6740" s="85"/>
      <c r="L6740" s="85"/>
      <c r="M6740" s="85"/>
      <c r="N6740" s="82"/>
      <c r="O6740" s="93"/>
    </row>
    <row r="6741" spans="1:15" ht="22.5" customHeight="1">
      <c r="A6741" s="85"/>
      <c r="B6741" s="82"/>
      <c r="C6741" s="82"/>
      <c r="D6741" s="82"/>
      <c r="E6741" s="82"/>
      <c r="F6741" s="92"/>
      <c r="G6741" s="87"/>
      <c r="H6741" s="88"/>
      <c r="I6741" s="89"/>
      <c r="J6741" s="90"/>
      <c r="K6741" s="85"/>
      <c r="L6741" s="85"/>
      <c r="M6741" s="85"/>
      <c r="N6741" s="82"/>
      <c r="O6741" s="93"/>
    </row>
    <row r="6742" spans="1:15" ht="22.5" customHeight="1">
      <c r="A6742" s="85"/>
      <c r="B6742" s="82"/>
      <c r="C6742" s="82"/>
      <c r="D6742" s="82"/>
      <c r="E6742" s="82"/>
      <c r="F6742" s="92"/>
      <c r="G6742" s="87"/>
      <c r="H6742" s="88"/>
      <c r="I6742" s="89"/>
      <c r="J6742" s="90"/>
      <c r="K6742" s="85"/>
      <c r="L6742" s="85"/>
      <c r="M6742" s="85"/>
      <c r="N6742" s="82"/>
      <c r="O6742" s="93"/>
    </row>
    <row r="6743" spans="1:15" ht="22.5" customHeight="1">
      <c r="A6743" s="85"/>
      <c r="B6743" s="82"/>
      <c r="C6743" s="82"/>
      <c r="D6743" s="82"/>
      <c r="E6743" s="82"/>
      <c r="F6743" s="92"/>
      <c r="G6743" s="87"/>
      <c r="H6743" s="88"/>
      <c r="I6743" s="89"/>
      <c r="J6743" s="90"/>
      <c r="K6743" s="85"/>
      <c r="L6743" s="85"/>
      <c r="M6743" s="85"/>
      <c r="N6743" s="82"/>
      <c r="O6743" s="93"/>
    </row>
    <row r="6744" spans="1:15" ht="22.5" customHeight="1">
      <c r="A6744" s="85"/>
      <c r="B6744" s="82"/>
      <c r="C6744" s="82"/>
      <c r="D6744" s="82"/>
      <c r="E6744" s="82"/>
      <c r="F6744" s="92"/>
      <c r="G6744" s="87"/>
      <c r="H6744" s="88"/>
      <c r="I6744" s="89"/>
      <c r="J6744" s="90"/>
      <c r="K6744" s="85"/>
      <c r="L6744" s="85"/>
      <c r="M6744" s="85"/>
      <c r="N6744" s="82"/>
      <c r="O6744" s="93"/>
    </row>
    <row r="6745" spans="1:15" ht="22.5" customHeight="1">
      <c r="A6745" s="85"/>
      <c r="B6745" s="82"/>
      <c r="C6745" s="82"/>
      <c r="D6745" s="82"/>
      <c r="E6745" s="82"/>
      <c r="F6745" s="92"/>
      <c r="G6745" s="87"/>
      <c r="H6745" s="88"/>
      <c r="I6745" s="89"/>
      <c r="J6745" s="90"/>
      <c r="K6745" s="85"/>
      <c r="L6745" s="85"/>
      <c r="M6745" s="85"/>
      <c r="N6745" s="82"/>
      <c r="O6745" s="93"/>
    </row>
    <row r="6746" spans="1:15" ht="22.5" customHeight="1">
      <c r="A6746" s="85"/>
      <c r="B6746" s="82"/>
      <c r="C6746" s="82"/>
      <c r="D6746" s="82"/>
      <c r="E6746" s="82"/>
      <c r="F6746" s="92"/>
      <c r="G6746" s="87"/>
      <c r="H6746" s="88"/>
      <c r="I6746" s="89"/>
      <c r="J6746" s="90"/>
      <c r="K6746" s="85"/>
      <c r="L6746" s="85"/>
      <c r="M6746" s="85"/>
      <c r="N6746" s="82"/>
      <c r="O6746" s="93"/>
    </row>
    <row r="6747" spans="1:15" ht="22.5" customHeight="1">
      <c r="A6747" s="85"/>
      <c r="B6747" s="82"/>
      <c r="C6747" s="82"/>
      <c r="D6747" s="82"/>
      <c r="E6747" s="82"/>
      <c r="F6747" s="92"/>
      <c r="G6747" s="87"/>
      <c r="H6747" s="88"/>
      <c r="I6747" s="89"/>
      <c r="J6747" s="90"/>
      <c r="K6747" s="85"/>
      <c r="L6747" s="85"/>
      <c r="M6747" s="85"/>
      <c r="N6747" s="82"/>
      <c r="O6747" s="93"/>
    </row>
    <row r="6748" spans="1:15" ht="22.5" customHeight="1">
      <c r="A6748" s="85"/>
      <c r="B6748" s="82"/>
      <c r="C6748" s="82"/>
      <c r="D6748" s="82"/>
      <c r="E6748" s="82"/>
      <c r="F6748" s="92"/>
      <c r="G6748" s="87"/>
      <c r="H6748" s="88"/>
      <c r="I6748" s="89"/>
      <c r="J6748" s="90"/>
      <c r="K6748" s="85"/>
      <c r="L6748" s="85"/>
      <c r="M6748" s="85"/>
      <c r="N6748" s="82"/>
      <c r="O6748" s="93"/>
    </row>
    <row r="6749" spans="1:15" ht="22.5" customHeight="1">
      <c r="A6749" s="85"/>
      <c r="B6749" s="82"/>
      <c r="C6749" s="82"/>
      <c r="D6749" s="82"/>
      <c r="E6749" s="82"/>
      <c r="F6749" s="92"/>
      <c r="G6749" s="87"/>
      <c r="H6749" s="88"/>
      <c r="I6749" s="89"/>
      <c r="J6749" s="90"/>
      <c r="K6749" s="85"/>
      <c r="L6749" s="85"/>
      <c r="M6749" s="85"/>
      <c r="N6749" s="82"/>
      <c r="O6749" s="93"/>
    </row>
    <row r="6750" spans="1:15" ht="22.5" customHeight="1">
      <c r="A6750" s="85"/>
      <c r="B6750" s="82"/>
      <c r="C6750" s="82"/>
      <c r="D6750" s="82"/>
      <c r="E6750" s="82"/>
      <c r="F6750" s="92"/>
      <c r="G6750" s="87"/>
      <c r="H6750" s="88"/>
      <c r="I6750" s="89"/>
      <c r="J6750" s="90"/>
      <c r="K6750" s="85"/>
      <c r="L6750" s="85"/>
      <c r="M6750" s="85"/>
      <c r="N6750" s="82"/>
      <c r="O6750" s="93"/>
    </row>
    <row r="6751" spans="1:15" ht="22.5" customHeight="1">
      <c r="A6751" s="85"/>
      <c r="B6751" s="82"/>
      <c r="C6751" s="82"/>
      <c r="D6751" s="82"/>
      <c r="E6751" s="82"/>
      <c r="F6751" s="92"/>
      <c r="G6751" s="87"/>
      <c r="H6751" s="88"/>
      <c r="I6751" s="89"/>
      <c r="J6751" s="90"/>
      <c r="K6751" s="85"/>
      <c r="L6751" s="85"/>
      <c r="M6751" s="85"/>
      <c r="N6751" s="82"/>
      <c r="O6751" s="93"/>
    </row>
    <row r="6752" spans="1:15" ht="22.5" customHeight="1">
      <c r="A6752" s="85"/>
      <c r="B6752" s="82"/>
      <c r="C6752" s="82"/>
      <c r="D6752" s="82"/>
      <c r="E6752" s="82"/>
      <c r="F6752" s="92"/>
      <c r="G6752" s="87"/>
      <c r="H6752" s="88"/>
      <c r="I6752" s="89"/>
      <c r="J6752" s="90"/>
      <c r="K6752" s="85"/>
      <c r="L6752" s="85"/>
      <c r="M6752" s="85"/>
      <c r="N6752" s="82"/>
      <c r="O6752" s="93"/>
    </row>
    <row r="6753" spans="1:15" ht="22.5" customHeight="1">
      <c r="A6753" s="85"/>
      <c r="B6753" s="82"/>
      <c r="C6753" s="82"/>
      <c r="D6753" s="82"/>
      <c r="E6753" s="82"/>
      <c r="F6753" s="92"/>
      <c r="G6753" s="87"/>
      <c r="H6753" s="88"/>
      <c r="I6753" s="89"/>
      <c r="J6753" s="90"/>
      <c r="K6753" s="85"/>
      <c r="L6753" s="85"/>
      <c r="M6753" s="85"/>
      <c r="N6753" s="82"/>
      <c r="O6753" s="93"/>
    </row>
    <row r="6754" spans="1:15" ht="22.5" customHeight="1">
      <c r="A6754" s="85"/>
      <c r="B6754" s="82"/>
      <c r="C6754" s="82"/>
      <c r="D6754" s="82"/>
      <c r="E6754" s="82"/>
      <c r="F6754" s="92"/>
      <c r="G6754" s="87"/>
      <c r="H6754" s="88"/>
      <c r="I6754" s="89"/>
      <c r="J6754" s="90"/>
      <c r="K6754" s="85"/>
      <c r="L6754" s="85"/>
      <c r="M6754" s="85"/>
      <c r="N6754" s="82"/>
      <c r="O6754" s="93"/>
    </row>
    <row r="6755" spans="1:15" ht="22.5" customHeight="1">
      <c r="A6755" s="85"/>
      <c r="B6755" s="82"/>
      <c r="C6755" s="82"/>
      <c r="D6755" s="82"/>
      <c r="E6755" s="82"/>
      <c r="F6755" s="92"/>
      <c r="G6755" s="87"/>
      <c r="H6755" s="88"/>
      <c r="I6755" s="89"/>
      <c r="J6755" s="90"/>
      <c r="K6755" s="85"/>
      <c r="L6755" s="85"/>
      <c r="M6755" s="85"/>
      <c r="N6755" s="82"/>
      <c r="O6755" s="93"/>
    </row>
    <row r="6756" spans="1:15" ht="22.5" customHeight="1">
      <c r="A6756" s="85"/>
      <c r="B6756" s="82"/>
      <c r="C6756" s="82"/>
      <c r="D6756" s="82"/>
      <c r="E6756" s="82"/>
      <c r="F6756" s="92"/>
      <c r="G6756" s="87"/>
      <c r="H6756" s="88"/>
      <c r="I6756" s="89"/>
      <c r="J6756" s="90"/>
      <c r="K6756" s="85"/>
      <c r="L6756" s="85"/>
      <c r="M6756" s="85"/>
      <c r="N6756" s="82"/>
      <c r="O6756" s="93"/>
    </row>
    <row r="6757" spans="1:15" ht="22.5" customHeight="1">
      <c r="A6757" s="85"/>
      <c r="B6757" s="82"/>
      <c r="C6757" s="82"/>
      <c r="D6757" s="82"/>
      <c r="E6757" s="82"/>
      <c r="F6757" s="92"/>
      <c r="G6757" s="87"/>
      <c r="H6757" s="88"/>
      <c r="I6757" s="89"/>
      <c r="J6757" s="90"/>
      <c r="K6757" s="85"/>
      <c r="L6757" s="85"/>
      <c r="M6757" s="85"/>
      <c r="N6757" s="82"/>
      <c r="O6757" s="93"/>
    </row>
    <row r="6758" spans="1:15" ht="22.5" customHeight="1">
      <c r="A6758" s="85"/>
      <c r="B6758" s="82"/>
      <c r="C6758" s="82"/>
      <c r="D6758" s="82"/>
      <c r="E6758" s="82"/>
      <c r="F6758" s="92"/>
      <c r="G6758" s="87"/>
      <c r="H6758" s="88"/>
      <c r="I6758" s="89"/>
      <c r="J6758" s="90"/>
      <c r="K6758" s="85"/>
      <c r="L6758" s="85"/>
      <c r="M6758" s="85"/>
      <c r="N6758" s="82"/>
      <c r="O6758" s="93"/>
    </row>
    <row r="6759" spans="1:15" ht="22.5" customHeight="1">
      <c r="A6759" s="85"/>
      <c r="B6759" s="82"/>
      <c r="C6759" s="82"/>
      <c r="D6759" s="82"/>
      <c r="E6759" s="82"/>
      <c r="F6759" s="92"/>
      <c r="G6759" s="87"/>
      <c r="H6759" s="88"/>
      <c r="I6759" s="89"/>
      <c r="J6759" s="90"/>
      <c r="K6759" s="85"/>
      <c r="L6759" s="85"/>
      <c r="M6759" s="85"/>
      <c r="N6759" s="82"/>
      <c r="O6759" s="93"/>
    </row>
    <row r="6760" spans="1:15" ht="22.5" customHeight="1">
      <c r="A6760" s="85"/>
      <c r="B6760" s="82"/>
      <c r="C6760" s="82"/>
      <c r="D6760" s="82"/>
      <c r="E6760" s="82"/>
      <c r="F6760" s="92"/>
      <c r="G6760" s="87"/>
      <c r="H6760" s="88"/>
      <c r="I6760" s="89"/>
      <c r="J6760" s="90"/>
      <c r="K6760" s="85"/>
      <c r="L6760" s="85"/>
      <c r="M6760" s="85"/>
      <c r="N6760" s="82"/>
      <c r="O6760" s="93"/>
    </row>
    <row r="6761" spans="1:15" ht="22.5" customHeight="1">
      <c r="A6761" s="85"/>
      <c r="B6761" s="82"/>
      <c r="C6761" s="82"/>
      <c r="D6761" s="82"/>
      <c r="E6761" s="82"/>
      <c r="F6761" s="92"/>
      <c r="G6761" s="87"/>
      <c r="H6761" s="88"/>
      <c r="I6761" s="89"/>
      <c r="J6761" s="90"/>
      <c r="K6761" s="85"/>
      <c r="L6761" s="85"/>
      <c r="M6761" s="85"/>
      <c r="N6761" s="82"/>
      <c r="O6761" s="93"/>
    </row>
    <row r="6762" spans="1:15" ht="22.5" customHeight="1">
      <c r="A6762" s="85"/>
      <c r="B6762" s="82"/>
      <c r="C6762" s="82"/>
      <c r="D6762" s="82"/>
      <c r="E6762" s="82"/>
      <c r="F6762" s="92"/>
      <c r="G6762" s="87"/>
      <c r="H6762" s="88"/>
      <c r="I6762" s="89"/>
      <c r="J6762" s="90"/>
      <c r="K6762" s="85"/>
      <c r="L6762" s="85"/>
      <c r="M6762" s="85"/>
      <c r="N6762" s="82"/>
      <c r="O6762" s="93"/>
    </row>
    <row r="6763" spans="1:15" ht="22.5" customHeight="1">
      <c r="A6763" s="85"/>
      <c r="B6763" s="82"/>
      <c r="C6763" s="82"/>
      <c r="D6763" s="82"/>
      <c r="E6763" s="82"/>
      <c r="F6763" s="92"/>
      <c r="G6763" s="87"/>
      <c r="H6763" s="88"/>
      <c r="I6763" s="89"/>
      <c r="J6763" s="90"/>
      <c r="K6763" s="85"/>
      <c r="L6763" s="85"/>
      <c r="M6763" s="85"/>
      <c r="N6763" s="82"/>
      <c r="O6763" s="93"/>
    </row>
    <row r="6764" spans="1:15" ht="22.5" customHeight="1">
      <c r="A6764" s="85"/>
      <c r="B6764" s="82"/>
      <c r="C6764" s="82"/>
      <c r="D6764" s="82"/>
      <c r="E6764" s="82"/>
      <c r="F6764" s="92"/>
      <c r="G6764" s="87"/>
      <c r="H6764" s="88"/>
      <c r="I6764" s="89"/>
      <c r="J6764" s="90"/>
      <c r="K6764" s="85"/>
      <c r="L6764" s="85"/>
      <c r="M6764" s="85"/>
      <c r="N6764" s="82"/>
      <c r="O6764" s="93"/>
    </row>
    <row r="6765" spans="1:15" ht="22.5" customHeight="1">
      <c r="A6765" s="85"/>
      <c r="B6765" s="82"/>
      <c r="C6765" s="82"/>
      <c r="D6765" s="82"/>
      <c r="E6765" s="82"/>
      <c r="F6765" s="92"/>
      <c r="G6765" s="87"/>
      <c r="H6765" s="88"/>
      <c r="I6765" s="89"/>
      <c r="J6765" s="90"/>
      <c r="K6765" s="85"/>
      <c r="L6765" s="85"/>
      <c r="M6765" s="85"/>
      <c r="N6765" s="82"/>
      <c r="O6765" s="93"/>
    </row>
    <row r="6766" spans="1:15" ht="22.5" customHeight="1">
      <c r="A6766" s="85"/>
      <c r="B6766" s="82"/>
      <c r="C6766" s="82"/>
      <c r="D6766" s="82"/>
      <c r="E6766" s="82"/>
      <c r="F6766" s="92"/>
      <c r="G6766" s="87"/>
      <c r="H6766" s="88"/>
      <c r="I6766" s="89"/>
      <c r="J6766" s="90"/>
      <c r="K6766" s="85"/>
      <c r="L6766" s="85"/>
      <c r="M6766" s="85"/>
      <c r="N6766" s="82"/>
      <c r="O6766" s="93"/>
    </row>
    <row r="6767" spans="1:15" ht="22.5" customHeight="1">
      <c r="A6767" s="85"/>
      <c r="B6767" s="82"/>
      <c r="C6767" s="82"/>
      <c r="D6767" s="82"/>
      <c r="E6767" s="82"/>
      <c r="F6767" s="92"/>
      <c r="G6767" s="87"/>
      <c r="H6767" s="88"/>
      <c r="I6767" s="89"/>
      <c r="J6767" s="90"/>
      <c r="K6767" s="85"/>
      <c r="L6767" s="85"/>
      <c r="M6767" s="85"/>
      <c r="N6767" s="82"/>
      <c r="O6767" s="93"/>
    </row>
    <row r="6768" spans="1:15" ht="22.5" customHeight="1">
      <c r="A6768" s="85"/>
      <c r="B6768" s="82"/>
      <c r="C6768" s="82"/>
      <c r="D6768" s="82"/>
      <c r="E6768" s="82"/>
      <c r="F6768" s="92"/>
      <c r="G6768" s="87"/>
      <c r="H6768" s="88"/>
      <c r="I6768" s="89"/>
      <c r="J6768" s="90"/>
      <c r="K6768" s="85"/>
      <c r="L6768" s="85"/>
      <c r="M6768" s="85"/>
      <c r="N6768" s="82"/>
      <c r="O6768" s="93"/>
    </row>
    <row r="6769" spans="1:15" ht="22.5" customHeight="1">
      <c r="A6769" s="85"/>
      <c r="B6769" s="82"/>
      <c r="C6769" s="82"/>
      <c r="D6769" s="82"/>
      <c r="E6769" s="82"/>
      <c r="F6769" s="92"/>
      <c r="G6769" s="87"/>
      <c r="H6769" s="88"/>
      <c r="I6769" s="89"/>
      <c r="J6769" s="90"/>
      <c r="K6769" s="85"/>
      <c r="L6769" s="85"/>
      <c r="M6769" s="85"/>
      <c r="N6769" s="82"/>
      <c r="O6769" s="93"/>
    </row>
    <row r="6770" spans="1:15" ht="22.5" customHeight="1">
      <c r="A6770" s="85"/>
      <c r="B6770" s="82"/>
      <c r="C6770" s="82"/>
      <c r="D6770" s="82"/>
      <c r="E6770" s="82"/>
      <c r="F6770" s="92"/>
      <c r="G6770" s="87"/>
      <c r="H6770" s="88"/>
      <c r="I6770" s="89"/>
      <c r="J6770" s="90"/>
      <c r="K6770" s="85"/>
      <c r="L6770" s="85"/>
      <c r="M6770" s="85"/>
      <c r="N6770" s="82"/>
      <c r="O6770" s="93"/>
    </row>
    <row r="6771" spans="1:15" ht="22.5" customHeight="1">
      <c r="A6771" s="85"/>
      <c r="B6771" s="82"/>
      <c r="C6771" s="82"/>
      <c r="D6771" s="82"/>
      <c r="E6771" s="82"/>
      <c r="F6771" s="92"/>
      <c r="G6771" s="87"/>
      <c r="H6771" s="88"/>
      <c r="I6771" s="89"/>
      <c r="J6771" s="90"/>
      <c r="K6771" s="85"/>
      <c r="L6771" s="85"/>
      <c r="M6771" s="85"/>
      <c r="N6771" s="82"/>
      <c r="O6771" s="93"/>
    </row>
    <row r="6772" spans="1:15" ht="22.5" customHeight="1">
      <c r="A6772" s="85"/>
      <c r="B6772" s="82"/>
      <c r="C6772" s="82"/>
      <c r="D6772" s="82"/>
      <c r="E6772" s="82"/>
      <c r="F6772" s="92"/>
      <c r="G6772" s="87"/>
      <c r="H6772" s="88"/>
      <c r="I6772" s="89"/>
      <c r="J6772" s="90"/>
      <c r="K6772" s="85"/>
      <c r="L6772" s="85"/>
      <c r="M6772" s="85"/>
      <c r="N6772" s="82"/>
      <c r="O6772" s="93"/>
    </row>
    <row r="6773" spans="1:15" ht="22.5" customHeight="1">
      <c r="A6773" s="85"/>
      <c r="B6773" s="82"/>
      <c r="C6773" s="82"/>
      <c r="D6773" s="82"/>
      <c r="E6773" s="82"/>
      <c r="F6773" s="92"/>
      <c r="G6773" s="87"/>
      <c r="H6773" s="88"/>
      <c r="I6773" s="89"/>
      <c r="J6773" s="90"/>
      <c r="K6773" s="85"/>
      <c r="L6773" s="85"/>
      <c r="M6773" s="85"/>
      <c r="N6773" s="82"/>
      <c r="O6773" s="93"/>
    </row>
    <row r="6774" spans="1:15" ht="22.5" customHeight="1">
      <c r="A6774" s="85"/>
      <c r="B6774" s="82"/>
      <c r="C6774" s="82"/>
      <c r="D6774" s="82"/>
      <c r="E6774" s="82"/>
      <c r="F6774" s="92"/>
      <c r="G6774" s="87"/>
      <c r="H6774" s="88"/>
      <c r="I6774" s="89"/>
      <c r="J6774" s="90"/>
      <c r="K6774" s="85"/>
      <c r="L6774" s="85"/>
      <c r="M6774" s="85"/>
      <c r="N6774" s="82"/>
      <c r="O6774" s="93"/>
    </row>
    <row r="6775" spans="1:15" ht="22.5" customHeight="1">
      <c r="A6775" s="85"/>
      <c r="B6775" s="82"/>
      <c r="C6775" s="82"/>
      <c r="D6775" s="82"/>
      <c r="E6775" s="82"/>
      <c r="F6775" s="92"/>
      <c r="G6775" s="87"/>
      <c r="H6775" s="88"/>
      <c r="I6775" s="89"/>
      <c r="J6775" s="90"/>
      <c r="K6775" s="85"/>
      <c r="L6775" s="85"/>
      <c r="M6775" s="85"/>
      <c r="N6775" s="82"/>
      <c r="O6775" s="93"/>
    </row>
    <row r="6776" spans="1:15" ht="22.5" customHeight="1">
      <c r="A6776" s="85"/>
      <c r="B6776" s="82"/>
      <c r="C6776" s="82"/>
      <c r="D6776" s="82"/>
      <c r="E6776" s="82"/>
      <c r="F6776" s="92"/>
      <c r="G6776" s="87"/>
      <c r="H6776" s="88"/>
      <c r="I6776" s="89"/>
      <c r="J6776" s="90"/>
      <c r="K6776" s="85"/>
      <c r="L6776" s="85"/>
      <c r="M6776" s="85"/>
      <c r="N6776" s="82"/>
      <c r="O6776" s="93"/>
    </row>
    <row r="6777" spans="1:15" ht="22.5" customHeight="1">
      <c r="A6777" s="85"/>
      <c r="B6777" s="82"/>
      <c r="C6777" s="82"/>
      <c r="D6777" s="82"/>
      <c r="E6777" s="82"/>
      <c r="F6777" s="92"/>
      <c r="G6777" s="87"/>
      <c r="H6777" s="88"/>
      <c r="I6777" s="89"/>
      <c r="J6777" s="90"/>
      <c r="K6777" s="85"/>
      <c r="L6777" s="85"/>
      <c r="M6777" s="85"/>
      <c r="N6777" s="82"/>
      <c r="O6777" s="93"/>
    </row>
    <row r="6778" spans="1:15" ht="22.5" customHeight="1">
      <c r="A6778" s="85"/>
      <c r="B6778" s="82"/>
      <c r="C6778" s="82"/>
      <c r="D6778" s="82"/>
      <c r="E6778" s="82"/>
      <c r="F6778" s="92"/>
      <c r="G6778" s="87"/>
      <c r="H6778" s="88"/>
      <c r="I6778" s="89"/>
      <c r="J6778" s="90"/>
      <c r="K6778" s="85"/>
      <c r="L6778" s="85"/>
      <c r="M6778" s="85"/>
      <c r="N6778" s="82"/>
      <c r="O6778" s="93"/>
    </row>
    <row r="6779" spans="1:15" ht="22.5" customHeight="1">
      <c r="A6779" s="85"/>
      <c r="B6779" s="82"/>
      <c r="C6779" s="82"/>
      <c r="D6779" s="82"/>
      <c r="E6779" s="82"/>
      <c r="F6779" s="92"/>
      <c r="G6779" s="87"/>
      <c r="H6779" s="88"/>
      <c r="I6779" s="89"/>
      <c r="J6779" s="90"/>
      <c r="K6779" s="85"/>
      <c r="L6779" s="85"/>
      <c r="M6779" s="85"/>
      <c r="N6779" s="82"/>
      <c r="O6779" s="93"/>
    </row>
    <row r="6780" spans="1:15" ht="22.5" customHeight="1">
      <c r="A6780" s="85"/>
      <c r="B6780" s="82"/>
      <c r="C6780" s="82"/>
      <c r="D6780" s="82"/>
      <c r="E6780" s="82"/>
      <c r="F6780" s="92"/>
      <c r="G6780" s="87"/>
      <c r="H6780" s="88"/>
      <c r="I6780" s="89"/>
      <c r="J6780" s="90"/>
      <c r="K6780" s="85"/>
      <c r="L6780" s="85"/>
      <c r="M6780" s="85"/>
      <c r="N6780" s="82"/>
      <c r="O6780" s="93"/>
    </row>
    <row r="6781" spans="1:15" ht="22.5" customHeight="1">
      <c r="A6781" s="85"/>
      <c r="B6781" s="82"/>
      <c r="C6781" s="82"/>
      <c r="D6781" s="82"/>
      <c r="E6781" s="82"/>
      <c r="F6781" s="92"/>
      <c r="G6781" s="87"/>
      <c r="H6781" s="88"/>
      <c r="I6781" s="89"/>
      <c r="J6781" s="90"/>
      <c r="K6781" s="85"/>
      <c r="L6781" s="85"/>
      <c r="M6781" s="85"/>
      <c r="N6781" s="82"/>
      <c r="O6781" s="93"/>
    </row>
    <row r="6782" spans="1:15" ht="22.5" customHeight="1">
      <c r="A6782" s="85"/>
      <c r="B6782" s="82"/>
      <c r="C6782" s="82"/>
      <c r="D6782" s="82"/>
      <c r="E6782" s="82"/>
      <c r="F6782" s="92"/>
      <c r="G6782" s="87"/>
      <c r="H6782" s="88"/>
      <c r="I6782" s="89"/>
      <c r="J6782" s="90"/>
      <c r="K6782" s="85"/>
      <c r="L6782" s="85"/>
      <c r="M6782" s="85"/>
      <c r="N6782" s="82"/>
      <c r="O6782" s="93"/>
    </row>
    <row r="6783" spans="1:15" ht="22.5" customHeight="1">
      <c r="A6783" s="85"/>
      <c r="B6783" s="82"/>
      <c r="C6783" s="82"/>
      <c r="D6783" s="82"/>
      <c r="E6783" s="82"/>
      <c r="F6783" s="92"/>
      <c r="G6783" s="87"/>
      <c r="H6783" s="88"/>
      <c r="I6783" s="89"/>
      <c r="J6783" s="90"/>
      <c r="K6783" s="85"/>
      <c r="L6783" s="85"/>
      <c r="M6783" s="85"/>
      <c r="N6783" s="82"/>
      <c r="O6783" s="93"/>
    </row>
    <row r="6784" spans="1:15" ht="22.5" customHeight="1">
      <c r="A6784" s="85"/>
      <c r="B6784" s="82"/>
      <c r="C6784" s="82"/>
      <c r="D6784" s="82"/>
      <c r="E6784" s="82"/>
      <c r="F6784" s="92"/>
      <c r="G6784" s="87"/>
      <c r="H6784" s="88"/>
      <c r="I6784" s="89"/>
      <c r="J6784" s="90"/>
      <c r="K6784" s="85"/>
      <c r="L6784" s="85"/>
      <c r="M6784" s="85"/>
      <c r="N6784" s="82"/>
      <c r="O6784" s="93"/>
    </row>
    <row r="6785" spans="1:15" ht="22.5" customHeight="1">
      <c r="A6785" s="85"/>
      <c r="B6785" s="82"/>
      <c r="C6785" s="82"/>
      <c r="D6785" s="82"/>
      <c r="E6785" s="82"/>
      <c r="F6785" s="92"/>
      <c r="G6785" s="87"/>
      <c r="H6785" s="88"/>
      <c r="I6785" s="89"/>
      <c r="J6785" s="90"/>
      <c r="K6785" s="85"/>
      <c r="L6785" s="85"/>
      <c r="M6785" s="85"/>
      <c r="N6785" s="82"/>
      <c r="O6785" s="93"/>
    </row>
    <row r="6786" spans="1:15" ht="22.5" customHeight="1">
      <c r="A6786" s="85"/>
      <c r="B6786" s="82"/>
      <c r="C6786" s="82"/>
      <c r="D6786" s="82"/>
      <c r="E6786" s="82"/>
      <c r="F6786" s="92"/>
      <c r="G6786" s="87"/>
      <c r="H6786" s="88"/>
      <c r="I6786" s="89"/>
      <c r="J6786" s="90"/>
      <c r="K6786" s="85"/>
      <c r="L6786" s="85"/>
      <c r="M6786" s="85"/>
      <c r="N6786" s="82"/>
      <c r="O6786" s="93"/>
    </row>
    <row r="6787" spans="1:15" ht="22.5" customHeight="1">
      <c r="A6787" s="85"/>
      <c r="B6787" s="82"/>
      <c r="C6787" s="82"/>
      <c r="D6787" s="82"/>
      <c r="E6787" s="82"/>
      <c r="F6787" s="92"/>
      <c r="G6787" s="87"/>
      <c r="H6787" s="88"/>
      <c r="I6787" s="89"/>
      <c r="J6787" s="90"/>
      <c r="K6787" s="85"/>
      <c r="L6787" s="85"/>
      <c r="M6787" s="85"/>
      <c r="N6787" s="82"/>
      <c r="O6787" s="93"/>
    </row>
    <row r="6788" spans="1:15" ht="22.5" customHeight="1">
      <c r="A6788" s="85"/>
      <c r="B6788" s="82"/>
      <c r="C6788" s="82"/>
      <c r="D6788" s="82"/>
      <c r="E6788" s="82"/>
      <c r="F6788" s="92"/>
      <c r="G6788" s="87"/>
      <c r="H6788" s="88"/>
      <c r="I6788" s="89"/>
      <c r="J6788" s="90"/>
      <c r="K6788" s="85"/>
      <c r="L6788" s="85"/>
      <c r="M6788" s="85"/>
      <c r="N6788" s="82"/>
      <c r="O6788" s="93"/>
    </row>
    <row r="6789" spans="1:15" ht="22.5" customHeight="1">
      <c r="A6789" s="85"/>
      <c r="B6789" s="82"/>
      <c r="C6789" s="82"/>
      <c r="D6789" s="82"/>
      <c r="E6789" s="82"/>
      <c r="F6789" s="92"/>
      <c r="G6789" s="87"/>
      <c r="H6789" s="88"/>
      <c r="I6789" s="89"/>
      <c r="J6789" s="90"/>
      <c r="K6789" s="85"/>
      <c r="L6789" s="85"/>
      <c r="M6789" s="85"/>
      <c r="N6789" s="82"/>
      <c r="O6789" s="93"/>
    </row>
    <row r="6790" spans="1:15" ht="22.5" customHeight="1">
      <c r="A6790" s="85"/>
      <c r="B6790" s="82"/>
      <c r="C6790" s="82"/>
      <c r="D6790" s="82"/>
      <c r="E6790" s="82"/>
      <c r="F6790" s="92"/>
      <c r="G6790" s="87"/>
      <c r="H6790" s="88"/>
      <c r="I6790" s="89"/>
      <c r="J6790" s="90"/>
      <c r="K6790" s="85"/>
      <c r="L6790" s="85"/>
      <c r="M6790" s="85"/>
      <c r="N6790" s="82"/>
      <c r="O6790" s="93"/>
    </row>
    <row r="6791" spans="1:15" ht="22.5" customHeight="1">
      <c r="A6791" s="85"/>
      <c r="B6791" s="82"/>
      <c r="C6791" s="82"/>
      <c r="D6791" s="82"/>
      <c r="E6791" s="82"/>
      <c r="F6791" s="92"/>
      <c r="G6791" s="87"/>
      <c r="H6791" s="88"/>
      <c r="I6791" s="89"/>
      <c r="J6791" s="90"/>
      <c r="K6791" s="85"/>
      <c r="L6791" s="85"/>
      <c r="M6791" s="85"/>
      <c r="N6791" s="82"/>
      <c r="O6791" s="93"/>
    </row>
    <row r="6792" spans="1:15" ht="22.5" customHeight="1">
      <c r="A6792" s="85"/>
      <c r="B6792" s="82"/>
      <c r="C6792" s="82"/>
      <c r="D6792" s="82"/>
      <c r="E6792" s="82"/>
      <c r="F6792" s="92"/>
      <c r="G6792" s="87"/>
      <c r="H6792" s="88"/>
      <c r="I6792" s="89"/>
      <c r="J6792" s="90"/>
      <c r="K6792" s="85"/>
      <c r="L6792" s="85"/>
      <c r="M6792" s="85"/>
      <c r="N6792" s="82"/>
      <c r="O6792" s="93"/>
    </row>
    <row r="6793" spans="1:15" ht="22.5" customHeight="1">
      <c r="A6793" s="85"/>
      <c r="B6793" s="82"/>
      <c r="C6793" s="82"/>
      <c r="D6793" s="82"/>
      <c r="E6793" s="82"/>
      <c r="F6793" s="92"/>
      <c r="G6793" s="87"/>
      <c r="H6793" s="88"/>
      <c r="I6793" s="89"/>
      <c r="J6793" s="90"/>
      <c r="K6793" s="85"/>
      <c r="L6793" s="85"/>
      <c r="M6793" s="85"/>
      <c r="N6793" s="82"/>
      <c r="O6793" s="93"/>
    </row>
    <row r="6794" spans="1:15" ht="22.5" customHeight="1">
      <c r="A6794" s="85"/>
      <c r="B6794" s="82"/>
      <c r="C6794" s="82"/>
      <c r="D6794" s="82"/>
      <c r="E6794" s="82"/>
      <c r="F6794" s="92"/>
      <c r="G6794" s="87"/>
      <c r="H6794" s="88"/>
      <c r="I6794" s="89"/>
      <c r="J6794" s="90"/>
      <c r="K6794" s="85"/>
      <c r="L6794" s="85"/>
      <c r="M6794" s="85"/>
      <c r="N6794" s="82"/>
      <c r="O6794" s="93"/>
    </row>
    <row r="6795" spans="1:15" ht="22.5" customHeight="1">
      <c r="A6795" s="85"/>
      <c r="B6795" s="82"/>
      <c r="C6795" s="82"/>
      <c r="D6795" s="82"/>
      <c r="E6795" s="82"/>
      <c r="F6795" s="92"/>
      <c r="G6795" s="87"/>
      <c r="H6795" s="88"/>
      <c r="I6795" s="89"/>
      <c r="J6795" s="90"/>
      <c r="K6795" s="85"/>
      <c r="L6795" s="85"/>
      <c r="M6795" s="85"/>
      <c r="N6795" s="82"/>
      <c r="O6795" s="93"/>
    </row>
    <row r="6796" spans="1:15" ht="22.5" customHeight="1">
      <c r="A6796" s="85"/>
      <c r="B6796" s="82"/>
      <c r="C6796" s="82"/>
      <c r="D6796" s="82"/>
      <c r="E6796" s="82"/>
      <c r="F6796" s="92"/>
      <c r="G6796" s="87"/>
      <c r="H6796" s="88"/>
      <c r="I6796" s="89"/>
      <c r="J6796" s="90"/>
      <c r="K6796" s="85"/>
      <c r="L6796" s="85"/>
      <c r="M6796" s="85"/>
      <c r="N6796" s="82"/>
      <c r="O6796" s="93"/>
    </row>
    <row r="6797" spans="1:15" ht="22.5" customHeight="1">
      <c r="A6797" s="85"/>
      <c r="B6797" s="82"/>
      <c r="C6797" s="82"/>
      <c r="D6797" s="82"/>
      <c r="E6797" s="82"/>
      <c r="F6797" s="92"/>
      <c r="G6797" s="87"/>
      <c r="H6797" s="88"/>
      <c r="I6797" s="89"/>
      <c r="J6797" s="90"/>
      <c r="K6797" s="85"/>
      <c r="L6797" s="85"/>
      <c r="M6797" s="85"/>
      <c r="N6797" s="82"/>
      <c r="O6797" s="93"/>
    </row>
    <row r="6798" spans="1:15" ht="22.5" customHeight="1">
      <c r="A6798" s="85"/>
      <c r="B6798" s="82"/>
      <c r="C6798" s="82"/>
      <c r="D6798" s="82"/>
      <c r="E6798" s="82"/>
      <c r="F6798" s="92"/>
      <c r="G6798" s="87"/>
      <c r="H6798" s="88"/>
      <c r="I6798" s="89"/>
      <c r="J6798" s="90"/>
      <c r="K6798" s="85"/>
      <c r="L6798" s="85"/>
      <c r="M6798" s="85"/>
      <c r="N6798" s="82"/>
      <c r="O6798" s="93"/>
    </row>
    <row r="6799" spans="1:15" ht="22.5" customHeight="1">
      <c r="A6799" s="85"/>
      <c r="B6799" s="82"/>
      <c r="C6799" s="82"/>
      <c r="D6799" s="82"/>
      <c r="E6799" s="82"/>
      <c r="F6799" s="92"/>
      <c r="G6799" s="87"/>
      <c r="H6799" s="88"/>
      <c r="I6799" s="89"/>
      <c r="J6799" s="90"/>
      <c r="K6799" s="85"/>
      <c r="L6799" s="85"/>
      <c r="M6799" s="85"/>
      <c r="N6799" s="82"/>
      <c r="O6799" s="93"/>
    </row>
    <row r="6800" spans="1:15" ht="22.5" customHeight="1">
      <c r="A6800" s="85"/>
      <c r="B6800" s="82"/>
      <c r="C6800" s="82"/>
      <c r="D6800" s="82"/>
      <c r="E6800" s="82"/>
      <c r="F6800" s="92"/>
      <c r="G6800" s="87"/>
      <c r="H6800" s="88"/>
      <c r="I6800" s="89"/>
      <c r="J6800" s="90"/>
      <c r="K6800" s="85"/>
      <c r="L6800" s="85"/>
      <c r="M6800" s="85"/>
      <c r="N6800" s="82"/>
      <c r="O6800" s="93"/>
    </row>
    <row r="6801" spans="1:15" ht="22.5" customHeight="1">
      <c r="A6801" s="85"/>
      <c r="B6801" s="82"/>
      <c r="C6801" s="82"/>
      <c r="D6801" s="82"/>
      <c r="E6801" s="82"/>
      <c r="F6801" s="92"/>
      <c r="G6801" s="87"/>
      <c r="H6801" s="88"/>
      <c r="I6801" s="89"/>
      <c r="J6801" s="90"/>
      <c r="K6801" s="85"/>
      <c r="L6801" s="85"/>
      <c r="M6801" s="85"/>
      <c r="N6801" s="82"/>
      <c r="O6801" s="93"/>
    </row>
    <row r="6802" spans="1:15" ht="22.5" customHeight="1">
      <c r="A6802" s="85"/>
      <c r="B6802" s="82"/>
      <c r="C6802" s="82"/>
      <c r="D6802" s="82"/>
      <c r="E6802" s="82"/>
      <c r="F6802" s="92"/>
      <c r="G6802" s="87"/>
      <c r="H6802" s="88"/>
      <c r="I6802" s="89"/>
      <c r="J6802" s="90"/>
      <c r="K6802" s="85"/>
      <c r="L6802" s="85"/>
      <c r="M6802" s="85"/>
      <c r="N6802" s="82"/>
      <c r="O6802" s="93"/>
    </row>
    <row r="6803" spans="1:15" ht="22.5" customHeight="1">
      <c r="A6803" s="85"/>
      <c r="B6803" s="82"/>
      <c r="C6803" s="82"/>
      <c r="D6803" s="82"/>
      <c r="E6803" s="82"/>
      <c r="F6803" s="92"/>
      <c r="G6803" s="87"/>
      <c r="H6803" s="88"/>
      <c r="I6803" s="89"/>
      <c r="J6803" s="90"/>
      <c r="K6803" s="85"/>
      <c r="L6803" s="85"/>
      <c r="M6803" s="85"/>
      <c r="N6803" s="82"/>
      <c r="O6803" s="93"/>
    </row>
    <row r="6804" spans="1:15" ht="22.5" customHeight="1">
      <c r="A6804" s="85"/>
      <c r="B6804" s="82"/>
      <c r="C6804" s="82"/>
      <c r="D6804" s="82"/>
      <c r="E6804" s="82"/>
      <c r="F6804" s="92"/>
      <c r="G6804" s="87"/>
      <c r="H6804" s="88"/>
      <c r="I6804" s="89"/>
      <c r="J6804" s="90"/>
      <c r="K6804" s="85"/>
      <c r="L6804" s="85"/>
      <c r="M6804" s="85"/>
      <c r="N6804" s="82"/>
      <c r="O6804" s="93"/>
    </row>
    <row r="6805" spans="1:15" ht="22.5" customHeight="1">
      <c r="A6805" s="85"/>
      <c r="B6805" s="82"/>
      <c r="C6805" s="82"/>
      <c r="D6805" s="82"/>
      <c r="E6805" s="82"/>
      <c r="F6805" s="92"/>
      <c r="G6805" s="87"/>
      <c r="H6805" s="88"/>
      <c r="I6805" s="89"/>
      <c r="J6805" s="90"/>
      <c r="K6805" s="85"/>
      <c r="L6805" s="85"/>
      <c r="M6805" s="85"/>
      <c r="N6805" s="82"/>
      <c r="O6805" s="93"/>
    </row>
    <row r="6806" spans="1:15" ht="22.5" customHeight="1">
      <c r="A6806" s="85"/>
      <c r="B6806" s="82"/>
      <c r="C6806" s="82"/>
      <c r="D6806" s="82"/>
      <c r="E6806" s="82"/>
      <c r="F6806" s="92"/>
      <c r="G6806" s="87"/>
      <c r="H6806" s="88"/>
      <c r="I6806" s="89"/>
      <c r="J6806" s="90"/>
      <c r="K6806" s="85"/>
      <c r="L6806" s="85"/>
      <c r="M6806" s="85"/>
      <c r="N6806" s="82"/>
      <c r="O6806" s="93"/>
    </row>
    <row r="6807" spans="1:15" ht="22.5" customHeight="1">
      <c r="A6807" s="85"/>
      <c r="B6807" s="82"/>
      <c r="C6807" s="82"/>
      <c r="D6807" s="82"/>
      <c r="E6807" s="82"/>
      <c r="F6807" s="92"/>
      <c r="G6807" s="87"/>
      <c r="H6807" s="88"/>
      <c r="I6807" s="89"/>
      <c r="J6807" s="90"/>
      <c r="K6807" s="85"/>
      <c r="L6807" s="85"/>
      <c r="M6807" s="85"/>
      <c r="N6807" s="82"/>
      <c r="O6807" s="93"/>
    </row>
    <row r="6808" spans="1:15" ht="22.5" customHeight="1">
      <c r="A6808" s="85"/>
      <c r="B6808" s="82"/>
      <c r="C6808" s="82"/>
      <c r="D6808" s="82"/>
      <c r="E6808" s="82"/>
      <c r="F6808" s="92"/>
      <c r="G6808" s="87"/>
      <c r="H6808" s="88"/>
      <c r="I6808" s="89"/>
      <c r="J6808" s="90"/>
      <c r="K6808" s="85"/>
      <c r="L6808" s="85"/>
      <c r="M6808" s="85"/>
      <c r="N6808" s="82"/>
      <c r="O6808" s="93"/>
    </row>
    <row r="6809" spans="1:15" ht="22.5" customHeight="1">
      <c r="A6809" s="85"/>
      <c r="B6809" s="82"/>
      <c r="C6809" s="82"/>
      <c r="D6809" s="82"/>
      <c r="E6809" s="82"/>
      <c r="F6809" s="92"/>
      <c r="G6809" s="87"/>
      <c r="H6809" s="88"/>
      <c r="I6809" s="89"/>
      <c r="J6809" s="90"/>
      <c r="K6809" s="85"/>
      <c r="L6809" s="85"/>
      <c r="M6809" s="85"/>
      <c r="N6809" s="82"/>
      <c r="O6809" s="93"/>
    </row>
    <row r="6810" spans="1:15" ht="22.5" customHeight="1">
      <c r="A6810" s="85"/>
      <c r="B6810" s="82"/>
      <c r="C6810" s="82"/>
      <c r="D6810" s="82"/>
      <c r="E6810" s="82"/>
      <c r="F6810" s="92"/>
      <c r="G6810" s="87"/>
      <c r="H6810" s="88"/>
      <c r="I6810" s="89"/>
      <c r="J6810" s="90"/>
      <c r="K6810" s="85"/>
      <c r="L6810" s="85"/>
      <c r="M6810" s="85"/>
      <c r="N6810" s="82"/>
      <c r="O6810" s="93"/>
    </row>
    <row r="6811" spans="1:15" ht="22.5" customHeight="1">
      <c r="A6811" s="85"/>
      <c r="B6811" s="82"/>
      <c r="C6811" s="82"/>
      <c r="D6811" s="82"/>
      <c r="E6811" s="82"/>
      <c r="F6811" s="92"/>
      <c r="G6811" s="87"/>
      <c r="H6811" s="88"/>
      <c r="I6811" s="89"/>
      <c r="J6811" s="90"/>
      <c r="K6811" s="85"/>
      <c r="L6811" s="85"/>
      <c r="M6811" s="85"/>
      <c r="N6811" s="82"/>
      <c r="O6811" s="93"/>
    </row>
    <row r="6812" spans="1:15" ht="22.5" customHeight="1">
      <c r="A6812" s="85"/>
      <c r="B6812" s="82"/>
      <c r="C6812" s="82"/>
      <c r="D6812" s="82"/>
      <c r="E6812" s="82"/>
      <c r="F6812" s="92"/>
      <c r="G6812" s="87"/>
      <c r="H6812" s="88"/>
      <c r="I6812" s="89"/>
      <c r="J6812" s="90"/>
      <c r="K6812" s="85"/>
      <c r="L6812" s="85"/>
      <c r="M6812" s="85"/>
      <c r="N6812" s="82"/>
      <c r="O6812" s="93"/>
    </row>
    <row r="6813" spans="1:15" ht="22.5" customHeight="1">
      <c r="A6813" s="85"/>
      <c r="B6813" s="82"/>
      <c r="C6813" s="82"/>
      <c r="D6813" s="82"/>
      <c r="E6813" s="82"/>
      <c r="F6813" s="92"/>
      <c r="G6813" s="87"/>
      <c r="H6813" s="88"/>
      <c r="I6813" s="89"/>
      <c r="J6813" s="90"/>
      <c r="K6813" s="85"/>
      <c r="L6813" s="85"/>
      <c r="M6813" s="85"/>
      <c r="N6813" s="82"/>
      <c r="O6813" s="93"/>
    </row>
    <row r="6814" spans="1:15" ht="22.5" customHeight="1">
      <c r="A6814" s="85"/>
      <c r="B6814" s="82"/>
      <c r="C6814" s="82"/>
      <c r="D6814" s="82"/>
      <c r="E6814" s="82"/>
      <c r="F6814" s="92"/>
      <c r="G6814" s="87"/>
      <c r="H6814" s="88"/>
      <c r="I6814" s="89"/>
      <c r="J6814" s="90"/>
      <c r="K6814" s="85"/>
      <c r="L6814" s="85"/>
      <c r="M6814" s="85"/>
      <c r="N6814" s="82"/>
      <c r="O6814" s="93"/>
    </row>
    <row r="6815" spans="1:15" ht="22.5" customHeight="1">
      <c r="A6815" s="85"/>
      <c r="B6815" s="82"/>
      <c r="C6815" s="82"/>
      <c r="D6815" s="82"/>
      <c r="E6815" s="82"/>
      <c r="F6815" s="92"/>
      <c r="G6815" s="87"/>
      <c r="H6815" s="88"/>
      <c r="I6815" s="89"/>
      <c r="J6815" s="90"/>
      <c r="K6815" s="85"/>
      <c r="L6815" s="85"/>
      <c r="M6815" s="85"/>
      <c r="N6815" s="82"/>
      <c r="O6815" s="93"/>
    </row>
    <row r="6816" spans="1:15" ht="22.5" customHeight="1">
      <c r="A6816" s="85"/>
      <c r="B6816" s="82"/>
      <c r="C6816" s="82"/>
      <c r="D6816" s="82"/>
      <c r="E6816" s="82"/>
      <c r="F6816" s="92"/>
      <c r="G6816" s="87"/>
      <c r="H6816" s="88"/>
      <c r="I6816" s="89"/>
      <c r="J6816" s="90"/>
      <c r="K6816" s="85"/>
      <c r="L6816" s="85"/>
      <c r="M6816" s="85"/>
      <c r="N6816" s="82"/>
      <c r="O6816" s="93"/>
    </row>
    <row r="6817" spans="1:15" ht="22.5" customHeight="1">
      <c r="A6817" s="85"/>
      <c r="B6817" s="82"/>
      <c r="C6817" s="82"/>
      <c r="D6817" s="82"/>
      <c r="E6817" s="82"/>
      <c r="F6817" s="92"/>
      <c r="G6817" s="87"/>
      <c r="H6817" s="88"/>
      <c r="I6817" s="89"/>
      <c r="J6817" s="90"/>
      <c r="K6817" s="85"/>
      <c r="L6817" s="85"/>
      <c r="M6817" s="85"/>
      <c r="N6817" s="82"/>
      <c r="O6817" s="93"/>
    </row>
    <row r="6818" spans="1:15" ht="22.5" customHeight="1">
      <c r="A6818" s="85"/>
      <c r="B6818" s="82"/>
      <c r="C6818" s="82"/>
      <c r="D6818" s="82"/>
      <c r="E6818" s="82"/>
      <c r="F6818" s="92"/>
      <c r="G6818" s="87"/>
      <c r="H6818" s="88"/>
      <c r="I6818" s="89"/>
      <c r="J6818" s="90"/>
      <c r="K6818" s="85"/>
      <c r="L6818" s="85"/>
      <c r="M6818" s="85"/>
      <c r="N6818" s="82"/>
      <c r="O6818" s="93"/>
    </row>
    <row r="6819" spans="1:15" ht="22.5" customHeight="1">
      <c r="A6819" s="85"/>
      <c r="B6819" s="82"/>
      <c r="C6819" s="82"/>
      <c r="D6819" s="82"/>
      <c r="E6819" s="82"/>
      <c r="F6819" s="92"/>
      <c r="G6819" s="87"/>
      <c r="H6819" s="88"/>
      <c r="I6819" s="89"/>
      <c r="J6819" s="90"/>
      <c r="K6819" s="85"/>
      <c r="L6819" s="85"/>
      <c r="M6819" s="85"/>
      <c r="N6819" s="82"/>
      <c r="O6819" s="93"/>
    </row>
    <row r="6820" spans="1:15" ht="22.5" customHeight="1">
      <c r="A6820" s="85"/>
      <c r="B6820" s="82"/>
      <c r="C6820" s="82"/>
      <c r="D6820" s="82"/>
      <c r="E6820" s="82"/>
      <c r="F6820" s="92"/>
      <c r="G6820" s="87"/>
      <c r="H6820" s="88"/>
      <c r="I6820" s="89"/>
      <c r="J6820" s="90"/>
      <c r="K6820" s="85"/>
      <c r="L6820" s="85"/>
      <c r="M6820" s="85"/>
      <c r="N6820" s="82"/>
      <c r="O6820" s="93"/>
    </row>
    <row r="6821" spans="1:15" ht="22.5" customHeight="1">
      <c r="A6821" s="85"/>
      <c r="B6821" s="82"/>
      <c r="C6821" s="82"/>
      <c r="D6821" s="82"/>
      <c r="E6821" s="82"/>
      <c r="F6821" s="92"/>
      <c r="G6821" s="87"/>
      <c r="H6821" s="88"/>
      <c r="I6821" s="89"/>
      <c r="J6821" s="90"/>
      <c r="K6821" s="85"/>
      <c r="L6821" s="85"/>
      <c r="M6821" s="85"/>
      <c r="N6821" s="82"/>
      <c r="O6821" s="93"/>
    </row>
    <row r="6822" spans="1:15" ht="22.5" customHeight="1">
      <c r="A6822" s="85"/>
      <c r="B6822" s="82"/>
      <c r="C6822" s="82"/>
      <c r="D6822" s="82"/>
      <c r="E6822" s="82"/>
      <c r="F6822" s="92"/>
      <c r="G6822" s="87"/>
      <c r="H6822" s="88"/>
      <c r="I6822" s="89"/>
      <c r="J6822" s="90"/>
      <c r="K6822" s="85"/>
      <c r="L6822" s="85"/>
      <c r="M6822" s="85"/>
      <c r="N6822" s="82"/>
      <c r="O6822" s="93"/>
    </row>
    <row r="6823" spans="1:15" ht="22.5" customHeight="1">
      <c r="A6823" s="85"/>
      <c r="B6823" s="82"/>
      <c r="C6823" s="82"/>
      <c r="D6823" s="82"/>
      <c r="E6823" s="82"/>
      <c r="F6823" s="92"/>
      <c r="G6823" s="87"/>
      <c r="H6823" s="88"/>
      <c r="I6823" s="89"/>
      <c r="J6823" s="90"/>
      <c r="K6823" s="85"/>
      <c r="L6823" s="85"/>
      <c r="M6823" s="85"/>
      <c r="N6823" s="82"/>
      <c r="O6823" s="93"/>
    </row>
    <row r="6824" spans="1:15" ht="22.5" customHeight="1">
      <c r="A6824" s="85"/>
      <c r="B6824" s="82"/>
      <c r="C6824" s="82"/>
      <c r="D6824" s="82"/>
      <c r="E6824" s="82"/>
      <c r="F6824" s="92"/>
      <c r="G6824" s="87"/>
      <c r="H6824" s="88"/>
      <c r="I6824" s="89"/>
      <c r="J6824" s="90"/>
      <c r="K6824" s="85"/>
      <c r="L6824" s="85"/>
      <c r="M6824" s="85"/>
      <c r="N6824" s="82"/>
      <c r="O6824" s="93"/>
    </row>
    <row r="6825" spans="1:15" ht="22.5" customHeight="1">
      <c r="A6825" s="85"/>
      <c r="B6825" s="82"/>
      <c r="C6825" s="82"/>
      <c r="D6825" s="82"/>
      <c r="E6825" s="82"/>
      <c r="F6825" s="92"/>
      <c r="G6825" s="87"/>
      <c r="H6825" s="88"/>
      <c r="I6825" s="89"/>
      <c r="J6825" s="90"/>
      <c r="K6825" s="85"/>
      <c r="L6825" s="85"/>
      <c r="M6825" s="85"/>
      <c r="N6825" s="82"/>
      <c r="O6825" s="93"/>
    </row>
    <row r="6826" spans="1:15" ht="22.5" customHeight="1">
      <c r="A6826" s="85"/>
      <c r="B6826" s="82"/>
      <c r="C6826" s="82"/>
      <c r="D6826" s="82"/>
      <c r="E6826" s="82"/>
      <c r="F6826" s="92"/>
      <c r="G6826" s="87"/>
      <c r="H6826" s="88"/>
      <c r="I6826" s="89"/>
      <c r="J6826" s="90"/>
      <c r="K6826" s="85"/>
      <c r="L6826" s="85"/>
      <c r="M6826" s="85"/>
      <c r="N6826" s="82"/>
      <c r="O6826" s="93"/>
    </row>
    <row r="6827" spans="1:15" ht="22.5" customHeight="1">
      <c r="A6827" s="85"/>
      <c r="B6827" s="82"/>
      <c r="C6827" s="82"/>
      <c r="D6827" s="82"/>
      <c r="E6827" s="82"/>
      <c r="F6827" s="92"/>
      <c r="G6827" s="87"/>
      <c r="H6827" s="88"/>
      <c r="I6827" s="89"/>
      <c r="J6827" s="90"/>
      <c r="K6827" s="85"/>
      <c r="L6827" s="85"/>
      <c r="M6827" s="85"/>
      <c r="N6827" s="82"/>
      <c r="O6827" s="93"/>
    </row>
    <row r="6828" spans="1:15" ht="22.5" customHeight="1">
      <c r="A6828" s="85"/>
      <c r="B6828" s="82"/>
      <c r="C6828" s="82"/>
      <c r="D6828" s="82"/>
      <c r="E6828" s="82"/>
      <c r="F6828" s="92"/>
      <c r="G6828" s="87"/>
      <c r="H6828" s="88"/>
      <c r="I6828" s="89"/>
      <c r="J6828" s="90"/>
      <c r="K6828" s="85"/>
      <c r="L6828" s="85"/>
      <c r="M6828" s="85"/>
      <c r="N6828" s="82"/>
      <c r="O6828" s="93"/>
    </row>
    <row r="6829" spans="1:15" ht="22.5" customHeight="1">
      <c r="A6829" s="85"/>
      <c r="B6829" s="82"/>
      <c r="C6829" s="82"/>
      <c r="D6829" s="82"/>
      <c r="E6829" s="82"/>
      <c r="F6829" s="92"/>
      <c r="G6829" s="87"/>
      <c r="H6829" s="88"/>
      <c r="I6829" s="89"/>
      <c r="J6829" s="90"/>
      <c r="K6829" s="85"/>
      <c r="L6829" s="85"/>
      <c r="M6829" s="85"/>
      <c r="N6829" s="82"/>
      <c r="O6829" s="93"/>
    </row>
  </sheetData>
  <conditionalFormatting sqref="K1:K6829">
    <cfRule type="cellIs" dxfId="7" priority="1" operator="lessThan">
      <formula>1</formula>
    </cfRule>
  </conditionalFormatting>
  <dataValidations count="2">
    <dataValidation type="custom" allowBlank="1" showDropDown="1" sqref="O2:O6829" xr:uid="{00000000-0002-0000-0200-000000000000}">
      <formula1>OR(NOT(ISERROR(DATEVALUE(O2))), AND(ISNUMBER(O2), LEFT(CELL("format", O2))="D"))</formula1>
    </dataValidation>
    <dataValidation type="custom" allowBlank="1" showDropDown="1" sqref="H2:H6829" xr:uid="{00000000-0002-0000-0200-000001000000}">
      <formula1>AND(ISNUMBER(H2),(NOT(OR(NOT(ISERROR(DATEVALUE(H2))), AND(ISNUMBER(H2), LEFT(CELL("format", H2))="D")))))</formula1>
    </dataValidation>
  </dataValidations>
  <hyperlinks>
    <hyperlink ref="D1877" r:id="rId1" xr:uid="{00000000-0004-0000-0200-000000000000}"/>
    <hyperlink ref="D1963" r:id="rId2" xr:uid="{00000000-0004-0000-0200-000001000000}"/>
    <hyperlink ref="D2031" r:id="rId3" xr:uid="{00000000-0004-0000-0200-000002000000}"/>
    <hyperlink ref="D2105" r:id="rId4" xr:uid="{00000000-0004-0000-0200-000003000000}"/>
    <hyperlink ref="D2167" r:id="rId5" xr:uid="{00000000-0004-0000-0200-000004000000}"/>
    <hyperlink ref="D2276" r:id="rId6" xr:uid="{00000000-0004-0000-0200-000005000000}"/>
    <hyperlink ref="D2359" r:id="rId7" xr:uid="{00000000-0004-0000-0200-000006000000}"/>
    <hyperlink ref="D2431" r:id="rId8" xr:uid="{00000000-0004-0000-0200-000007000000}"/>
    <hyperlink ref="D2622" r:id="rId9" xr:uid="{00000000-0004-0000-0200-000008000000}"/>
    <hyperlink ref="D2669" r:id="rId10" xr:uid="{00000000-0004-0000-0200-000009000000}"/>
    <hyperlink ref="D2690" r:id="rId11" xr:uid="{00000000-0004-0000-0200-00000A000000}"/>
    <hyperlink ref="D2744" r:id="rId12" xr:uid="{00000000-0004-0000-0200-00000B000000}"/>
    <hyperlink ref="D2761" r:id="rId13" xr:uid="{00000000-0004-0000-0200-00000C000000}"/>
    <hyperlink ref="D2817" r:id="rId14" xr:uid="{00000000-0004-0000-0200-00000D000000}"/>
    <hyperlink ref="D2834" r:id="rId15" xr:uid="{00000000-0004-0000-0200-00000E000000}"/>
    <hyperlink ref="D3181" r:id="rId16" xr:uid="{00000000-0004-0000-0200-00000F000000}"/>
    <hyperlink ref="D3230" r:id="rId17" xr:uid="{00000000-0004-0000-0200-000010000000}"/>
    <hyperlink ref="D4311" r:id="rId18" xr:uid="{00000000-0004-0000-0200-000011000000}"/>
    <hyperlink ref="D4357" r:id="rId19" xr:uid="{00000000-0004-0000-0200-000012000000}"/>
    <hyperlink ref="D4410" r:id="rId20" xr:uid="{00000000-0004-0000-0200-000013000000}"/>
    <hyperlink ref="D4475" r:id="rId21" xr:uid="{00000000-0004-0000-0200-000014000000}"/>
    <hyperlink ref="D4530" r:id="rId22" xr:uid="{00000000-0004-0000-0200-000015000000}"/>
    <hyperlink ref="D4589" r:id="rId23" xr:uid="{00000000-0004-0000-0200-000016000000}"/>
    <hyperlink ref="D4650" r:id="rId24" xr:uid="{00000000-0004-0000-0200-000017000000}"/>
    <hyperlink ref="D4783" r:id="rId25" xr:uid="{00000000-0004-0000-0200-000018000000}"/>
    <hyperlink ref="D4839" r:id="rId26" xr:uid="{00000000-0004-0000-0200-000019000000}"/>
    <hyperlink ref="D4893" r:id="rId27" xr:uid="{00000000-0004-0000-0200-00001A000000}"/>
    <hyperlink ref="D4941" r:id="rId28" xr:uid="{00000000-0004-0000-0200-00001B000000}"/>
    <hyperlink ref="D4993" r:id="rId29" xr:uid="{00000000-0004-0000-0200-00001C000000}"/>
    <hyperlink ref="D5041" r:id="rId30" xr:uid="{00000000-0004-0000-0200-00001D000000}"/>
    <hyperlink ref="D5086" r:id="rId31" xr:uid="{00000000-0004-0000-0200-00001E000000}"/>
    <hyperlink ref="D5129" r:id="rId32" xr:uid="{00000000-0004-0000-0200-00001F000000}"/>
    <hyperlink ref="D5174" r:id="rId33" xr:uid="{00000000-0004-0000-0200-000020000000}"/>
    <hyperlink ref="D5225" r:id="rId34" xr:uid="{00000000-0004-0000-0200-000021000000}"/>
    <hyperlink ref="D5271" r:id="rId35" xr:uid="{00000000-0004-0000-0200-000022000000}"/>
    <hyperlink ref="D5294" r:id="rId36" xr:uid="{00000000-0004-0000-0200-000023000000}"/>
    <hyperlink ref="D5338" r:id="rId37" xr:uid="{00000000-0004-0000-0200-000024000000}"/>
    <hyperlink ref="D5382" r:id="rId38" xr:uid="{00000000-0004-0000-0200-000025000000}"/>
    <hyperlink ref="D5427" r:id="rId39" xr:uid="{00000000-0004-0000-0200-000026000000}"/>
  </hyperlinks>
  <pageMargins left="0.7" right="0.7" top="0.75" bottom="0.75" header="0.3" footer="0.3"/>
  <tableParts count="1">
    <tablePart r:id="rId4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770"/>
  <sheetViews>
    <sheetView workbookViewId="0"/>
  </sheetViews>
  <sheetFormatPr defaultColWidth="12.5703125" defaultRowHeight="15.75" customHeight="1"/>
  <cols>
    <col min="1" max="3" width="17.5703125" customWidth="1"/>
    <col min="4" max="4" width="56.7109375" customWidth="1"/>
    <col min="15" max="15" width="91.42578125" customWidth="1"/>
    <col min="16" max="16" width="72.7109375" customWidth="1"/>
  </cols>
  <sheetData>
    <row r="1" spans="1:17">
      <c r="A1" s="49" t="s">
        <v>10609</v>
      </c>
      <c r="B1" s="49" t="s">
        <v>10610</v>
      </c>
      <c r="C1" s="49" t="s">
        <v>27</v>
      </c>
      <c r="D1" s="49" t="s">
        <v>12540</v>
      </c>
      <c r="E1" s="49" t="s">
        <v>3</v>
      </c>
      <c r="F1" s="49" t="s">
        <v>10612</v>
      </c>
      <c r="G1" s="49" t="s">
        <v>10613</v>
      </c>
      <c r="H1" s="49" t="s">
        <v>10614</v>
      </c>
      <c r="I1" s="49" t="s">
        <v>12541</v>
      </c>
      <c r="J1" s="49" t="s">
        <v>12542</v>
      </c>
      <c r="K1" s="49" t="s">
        <v>10617</v>
      </c>
      <c r="L1" s="49" t="s">
        <v>10618</v>
      </c>
      <c r="M1" s="49" t="s">
        <v>12543</v>
      </c>
      <c r="N1" s="49" t="s">
        <v>12544</v>
      </c>
      <c r="O1" s="49" t="s">
        <v>12545</v>
      </c>
      <c r="Q1" s="49"/>
    </row>
    <row r="2" spans="1:17">
      <c r="A2" s="95">
        <v>759724529202804</v>
      </c>
      <c r="B2" s="49" t="s">
        <v>10621</v>
      </c>
      <c r="C2" s="49" t="s">
        <v>12546</v>
      </c>
      <c r="D2" s="49" t="s">
        <v>12547</v>
      </c>
      <c r="E2" s="96">
        <v>46072</v>
      </c>
      <c r="F2" s="95">
        <v>1162</v>
      </c>
      <c r="G2" s="97">
        <v>37772.896500372299</v>
      </c>
      <c r="H2" s="95">
        <v>44</v>
      </c>
      <c r="I2" s="95">
        <v>50729</v>
      </c>
      <c r="J2" s="95">
        <v>7</v>
      </c>
      <c r="K2" s="95">
        <v>451</v>
      </c>
      <c r="L2" s="95">
        <v>0</v>
      </c>
      <c r="M2" s="49" t="s">
        <v>1021</v>
      </c>
      <c r="N2" s="49"/>
      <c r="O2" s="49" t="s">
        <v>12548</v>
      </c>
      <c r="P2" s="49" t="s">
        <v>12549</v>
      </c>
    </row>
    <row r="3" spans="1:17">
      <c r="A3" s="95">
        <v>174904221976312</v>
      </c>
      <c r="B3" s="49" t="s">
        <v>10651</v>
      </c>
      <c r="C3" s="49" t="s">
        <v>11755</v>
      </c>
      <c r="D3" s="49" t="s">
        <v>12550</v>
      </c>
      <c r="E3" s="96">
        <v>46072</v>
      </c>
      <c r="F3" s="95">
        <v>445</v>
      </c>
      <c r="G3" s="97">
        <v>28713.541666666668</v>
      </c>
      <c r="H3" s="95">
        <v>14</v>
      </c>
      <c r="I3" s="95">
        <v>16539</v>
      </c>
      <c r="J3" s="95">
        <v>3</v>
      </c>
      <c r="K3" s="95">
        <v>1</v>
      </c>
      <c r="L3" s="95">
        <v>0</v>
      </c>
      <c r="M3" s="49" t="s">
        <v>11756</v>
      </c>
      <c r="N3" s="49">
        <v>6281357754513</v>
      </c>
      <c r="O3" s="49" t="s">
        <v>12551</v>
      </c>
      <c r="P3" s="49" t="s">
        <v>12552</v>
      </c>
    </row>
    <row r="4" spans="1:17">
      <c r="A4" s="95">
        <v>174904221976312</v>
      </c>
      <c r="B4" s="49" t="s">
        <v>10651</v>
      </c>
      <c r="C4" s="49" t="s">
        <v>11882</v>
      </c>
      <c r="D4" s="49" t="s">
        <v>12553</v>
      </c>
      <c r="E4" s="96">
        <v>46072</v>
      </c>
      <c r="F4" s="95">
        <v>2546</v>
      </c>
      <c r="G4" s="97">
        <v>5107.1060762100924</v>
      </c>
      <c r="H4" s="95">
        <v>89</v>
      </c>
      <c r="I4" s="95">
        <v>14877</v>
      </c>
      <c r="J4" s="95">
        <v>0</v>
      </c>
      <c r="K4" s="95">
        <v>100</v>
      </c>
      <c r="L4" s="95">
        <v>0</v>
      </c>
      <c r="M4" s="49" t="s">
        <v>11883</v>
      </c>
      <c r="N4" s="49">
        <v>6287701349406</v>
      </c>
      <c r="O4" s="49" t="s">
        <v>12554</v>
      </c>
      <c r="P4" s="49" t="s">
        <v>12552</v>
      </c>
    </row>
    <row r="5" spans="1:17">
      <c r="A5" s="95">
        <v>174904221976312</v>
      </c>
      <c r="B5" s="49" t="s">
        <v>10651</v>
      </c>
      <c r="C5" s="49" t="s">
        <v>12007</v>
      </c>
      <c r="D5" s="49" t="s">
        <v>12555</v>
      </c>
      <c r="E5" s="96">
        <v>46072</v>
      </c>
      <c r="F5" s="95">
        <v>720</v>
      </c>
      <c r="G5" s="97">
        <v>18311.688311688311</v>
      </c>
      <c r="H5" s="95">
        <v>42</v>
      </c>
      <c r="I5" s="95">
        <v>15510</v>
      </c>
      <c r="J5" s="95">
        <v>8</v>
      </c>
      <c r="K5" s="95">
        <v>333</v>
      </c>
      <c r="L5" s="95">
        <v>0</v>
      </c>
      <c r="M5" s="49" t="s">
        <v>9010</v>
      </c>
      <c r="N5" s="49">
        <v>6282166986254</v>
      </c>
      <c r="O5" s="49" t="s">
        <v>12556</v>
      </c>
      <c r="P5" s="49" t="s">
        <v>12552</v>
      </c>
    </row>
    <row r="6" spans="1:17">
      <c r="A6" s="95">
        <v>174904221976312</v>
      </c>
      <c r="B6" s="49" t="s">
        <v>10651</v>
      </c>
      <c r="C6" s="49" t="s">
        <v>12167</v>
      </c>
      <c r="D6" s="49" t="s">
        <v>12557</v>
      </c>
      <c r="E6" s="96">
        <v>46072</v>
      </c>
      <c r="F6" s="95">
        <v>776</v>
      </c>
      <c r="G6" s="97">
        <v>18846.52278177458</v>
      </c>
      <c r="H6" s="95">
        <v>26</v>
      </c>
      <c r="I6" s="95">
        <v>15718</v>
      </c>
      <c r="J6" s="95">
        <v>1</v>
      </c>
      <c r="K6" s="95">
        <v>12</v>
      </c>
      <c r="L6" s="95">
        <v>0</v>
      </c>
      <c r="M6" s="49" t="s">
        <v>6402</v>
      </c>
      <c r="N6" s="49">
        <v>6285361118289</v>
      </c>
      <c r="O6" s="49" t="s">
        <v>12558</v>
      </c>
      <c r="P6" s="49" t="s">
        <v>12552</v>
      </c>
    </row>
    <row r="7" spans="1:17">
      <c r="A7" s="95">
        <v>174904221976312</v>
      </c>
      <c r="B7" s="49" t="s">
        <v>10651</v>
      </c>
      <c r="C7" s="49" t="s">
        <v>12476</v>
      </c>
      <c r="D7" s="49" t="s">
        <v>12559</v>
      </c>
      <c r="E7" s="96">
        <v>46072</v>
      </c>
      <c r="F7" s="95">
        <v>642</v>
      </c>
      <c r="G7" s="97">
        <v>18053.061224489797</v>
      </c>
      <c r="H7" s="95">
        <v>17</v>
      </c>
      <c r="I7" s="95">
        <v>13269</v>
      </c>
      <c r="J7" s="95">
        <v>2</v>
      </c>
      <c r="K7" s="95">
        <v>219</v>
      </c>
      <c r="L7" s="95">
        <v>0</v>
      </c>
      <c r="M7" s="49" t="s">
        <v>9010</v>
      </c>
      <c r="N7" s="49">
        <v>6281316122975</v>
      </c>
      <c r="O7" s="49" t="s">
        <v>12560</v>
      </c>
      <c r="P7" s="49" t="s">
        <v>12552</v>
      </c>
    </row>
    <row r="8" spans="1:17">
      <c r="A8" s="95">
        <v>174904221976312</v>
      </c>
      <c r="B8" s="49" t="s">
        <v>10651</v>
      </c>
      <c r="C8" s="49" t="s">
        <v>6861</v>
      </c>
      <c r="D8" s="49" t="s">
        <v>12561</v>
      </c>
      <c r="E8" s="96">
        <v>46072</v>
      </c>
      <c r="F8" s="95">
        <v>531</v>
      </c>
      <c r="G8" s="97">
        <v>26602.564102564102</v>
      </c>
      <c r="H8" s="95">
        <v>29</v>
      </c>
      <c r="I8" s="95">
        <v>16600</v>
      </c>
      <c r="J8" s="95">
        <v>4</v>
      </c>
      <c r="K8" s="95">
        <v>178</v>
      </c>
      <c r="L8" s="95">
        <v>0</v>
      </c>
      <c r="M8" s="49" t="s">
        <v>6858</v>
      </c>
      <c r="N8" s="49">
        <v>6281246072868</v>
      </c>
      <c r="O8" s="49" t="s">
        <v>12562</v>
      </c>
      <c r="P8" s="49" t="s">
        <v>12552</v>
      </c>
    </row>
    <row r="9" spans="1:17">
      <c r="A9" s="95">
        <v>174904221976312</v>
      </c>
      <c r="B9" s="49" t="s">
        <v>10651</v>
      </c>
      <c r="C9" s="49" t="s">
        <v>12563</v>
      </c>
      <c r="D9" s="49" t="s">
        <v>12564</v>
      </c>
      <c r="E9" s="96">
        <v>46072</v>
      </c>
      <c r="F9" s="95">
        <v>599</v>
      </c>
      <c r="G9" s="97">
        <v>18508.527131782943</v>
      </c>
      <c r="H9" s="95">
        <v>9</v>
      </c>
      <c r="I9" s="95">
        <v>11938</v>
      </c>
      <c r="J9" s="95">
        <v>0</v>
      </c>
      <c r="K9" s="95">
        <v>0</v>
      </c>
      <c r="L9" s="95">
        <v>0</v>
      </c>
      <c r="M9" s="49" t="s">
        <v>8134</v>
      </c>
      <c r="N9" s="49">
        <v>6285292365257</v>
      </c>
      <c r="O9" s="49" t="s">
        <v>12565</v>
      </c>
      <c r="P9" s="49" t="s">
        <v>12552</v>
      </c>
    </row>
    <row r="10" spans="1:17">
      <c r="A10" s="95">
        <v>174904221976312</v>
      </c>
      <c r="B10" s="49" t="s">
        <v>10651</v>
      </c>
      <c r="C10" s="49" t="s">
        <v>8776</v>
      </c>
      <c r="D10" s="49" t="s">
        <v>12566</v>
      </c>
      <c r="E10" s="96">
        <v>46072</v>
      </c>
      <c r="F10" s="95">
        <v>300</v>
      </c>
      <c r="G10" s="97">
        <v>59108.910891089108</v>
      </c>
      <c r="H10" s="95">
        <v>8</v>
      </c>
      <c r="I10" s="95">
        <v>17910</v>
      </c>
      <c r="J10" s="95">
        <v>2</v>
      </c>
      <c r="K10" s="95">
        <v>0</v>
      </c>
      <c r="L10" s="95">
        <v>0</v>
      </c>
      <c r="M10" s="49" t="s">
        <v>12567</v>
      </c>
      <c r="N10" s="49">
        <v>6282261184459</v>
      </c>
      <c r="O10" s="49" t="s">
        <v>12568</v>
      </c>
      <c r="P10" s="49" t="s">
        <v>12552</v>
      </c>
    </row>
    <row r="11" spans="1:17">
      <c r="A11" s="95">
        <v>174904221976312</v>
      </c>
      <c r="B11" s="49" t="s">
        <v>10651</v>
      </c>
      <c r="C11" s="49" t="s">
        <v>8834</v>
      </c>
      <c r="D11" s="49" t="s">
        <v>12569</v>
      </c>
      <c r="E11" s="96">
        <v>46072</v>
      </c>
      <c r="F11" s="95">
        <v>730</v>
      </c>
      <c r="G11" s="97">
        <v>17933.40380549683</v>
      </c>
      <c r="H11" s="95">
        <v>47</v>
      </c>
      <c r="I11" s="95">
        <v>16965</v>
      </c>
      <c r="J11" s="95">
        <v>7</v>
      </c>
      <c r="K11" s="95">
        <v>183</v>
      </c>
      <c r="L11" s="95">
        <v>0</v>
      </c>
      <c r="M11" s="49" t="s">
        <v>12570</v>
      </c>
      <c r="N11" s="49">
        <v>6282286712200</v>
      </c>
      <c r="O11" s="49" t="s">
        <v>12571</v>
      </c>
      <c r="P11" s="49" t="s">
        <v>12552</v>
      </c>
    </row>
    <row r="12" spans="1:17">
      <c r="A12" s="95">
        <v>174904221976312</v>
      </c>
      <c r="B12" s="49" t="s">
        <v>10651</v>
      </c>
      <c r="C12" s="49" t="s">
        <v>8861</v>
      </c>
      <c r="D12" s="49" t="s">
        <v>12572</v>
      </c>
      <c r="E12" s="96">
        <v>46072</v>
      </c>
      <c r="F12" s="95">
        <v>1011</v>
      </c>
      <c r="G12" s="97">
        <v>14898.998330550919</v>
      </c>
      <c r="H12" s="95">
        <v>43</v>
      </c>
      <c r="I12" s="95">
        <v>17849</v>
      </c>
      <c r="J12" s="95">
        <v>0</v>
      </c>
      <c r="K12" s="95">
        <v>439</v>
      </c>
      <c r="L12" s="95">
        <v>0</v>
      </c>
      <c r="M12" s="49" t="s">
        <v>12573</v>
      </c>
      <c r="N12" s="49">
        <v>62895603690686</v>
      </c>
      <c r="O12" s="49" t="s">
        <v>12574</v>
      </c>
      <c r="P12" s="49" t="s">
        <v>12552</v>
      </c>
    </row>
    <row r="13" spans="1:17">
      <c r="A13" s="95">
        <v>174904221976312</v>
      </c>
      <c r="B13" s="49" t="s">
        <v>10651</v>
      </c>
      <c r="C13" s="49" t="s">
        <v>8910</v>
      </c>
      <c r="D13" s="49" t="s">
        <v>12575</v>
      </c>
      <c r="E13" s="96">
        <v>46072</v>
      </c>
      <c r="F13" s="95">
        <v>714</v>
      </c>
      <c r="G13" s="97">
        <v>20434.620174346201</v>
      </c>
      <c r="H13" s="95">
        <v>63</v>
      </c>
      <c r="I13" s="95">
        <v>16409</v>
      </c>
      <c r="J13" s="95">
        <v>11</v>
      </c>
      <c r="K13" s="95">
        <v>2</v>
      </c>
      <c r="L13" s="95">
        <v>3</v>
      </c>
      <c r="M13" s="49" t="s">
        <v>8908</v>
      </c>
      <c r="N13" s="49">
        <v>6287861389777</v>
      </c>
      <c r="O13" s="49" t="s">
        <v>12576</v>
      </c>
      <c r="P13" s="49" t="s">
        <v>12552</v>
      </c>
    </row>
    <row r="14" spans="1:17">
      <c r="A14" s="95">
        <v>174904221976312</v>
      </c>
      <c r="B14" s="49" t="s">
        <v>10651</v>
      </c>
      <c r="C14" s="49" t="s">
        <v>8915</v>
      </c>
      <c r="D14" s="49" t="s">
        <v>12577</v>
      </c>
      <c r="E14" s="96">
        <v>46072</v>
      </c>
      <c r="F14" s="95">
        <v>617</v>
      </c>
      <c r="G14" s="97">
        <v>18818.316100443131</v>
      </c>
      <c r="H14" s="95">
        <v>22</v>
      </c>
      <c r="I14" s="95">
        <v>12740</v>
      </c>
      <c r="J14" s="95">
        <v>2</v>
      </c>
      <c r="K14" s="95">
        <v>0</v>
      </c>
      <c r="L14" s="95">
        <v>0</v>
      </c>
      <c r="M14" s="49" t="s">
        <v>12578</v>
      </c>
      <c r="N14" s="49">
        <v>6281904501876</v>
      </c>
      <c r="O14" s="49" t="s">
        <v>12579</v>
      </c>
      <c r="P14" s="49" t="s">
        <v>12552</v>
      </c>
    </row>
    <row r="15" spans="1:17">
      <c r="A15" s="95">
        <v>174904221976312</v>
      </c>
      <c r="B15" s="49" t="s">
        <v>10651</v>
      </c>
      <c r="C15" s="49" t="s">
        <v>12580</v>
      </c>
      <c r="D15" s="49" t="s">
        <v>12581</v>
      </c>
      <c r="E15" s="96">
        <v>46072</v>
      </c>
      <c r="F15" s="95">
        <v>1150</v>
      </c>
      <c r="G15" s="97">
        <v>10297.231270358307</v>
      </c>
      <c r="H15" s="95">
        <v>20</v>
      </c>
      <c r="I15" s="95">
        <v>12645</v>
      </c>
      <c r="J15" s="95">
        <v>1</v>
      </c>
      <c r="K15" s="95">
        <v>0</v>
      </c>
      <c r="L15" s="95">
        <v>0</v>
      </c>
      <c r="M15" s="49" t="s">
        <v>12582</v>
      </c>
      <c r="N15" s="49">
        <v>6285946504405</v>
      </c>
      <c r="O15" s="49" t="s">
        <v>12583</v>
      </c>
      <c r="P15" s="49" t="s">
        <v>12552</v>
      </c>
    </row>
    <row r="16" spans="1:17">
      <c r="A16" s="95">
        <v>174904221976312</v>
      </c>
      <c r="B16" s="49" t="s">
        <v>10651</v>
      </c>
      <c r="C16" s="49" t="s">
        <v>8959</v>
      </c>
      <c r="D16" s="49" t="s">
        <v>12584</v>
      </c>
      <c r="E16" s="96">
        <v>46072</v>
      </c>
      <c r="F16" s="95">
        <v>368</v>
      </c>
      <c r="G16" s="97">
        <v>2578.9473684210525</v>
      </c>
      <c r="H16" s="95">
        <v>240</v>
      </c>
      <c r="I16" s="95">
        <v>13671</v>
      </c>
      <c r="J16" s="95">
        <v>0</v>
      </c>
      <c r="K16" s="95">
        <v>0</v>
      </c>
      <c r="L16" s="95">
        <v>0</v>
      </c>
      <c r="M16" s="49" t="s">
        <v>12585</v>
      </c>
      <c r="N16" s="49">
        <v>6287873636555</v>
      </c>
      <c r="O16" s="49" t="s">
        <v>12586</v>
      </c>
      <c r="P16" s="49" t="s">
        <v>12552</v>
      </c>
    </row>
    <row r="17" spans="1:16">
      <c r="A17" s="95">
        <v>174904221976312</v>
      </c>
      <c r="B17" s="49" t="s">
        <v>10651</v>
      </c>
      <c r="C17" s="49" t="s">
        <v>8989</v>
      </c>
      <c r="D17" s="49" t="s">
        <v>12587</v>
      </c>
      <c r="E17" s="96">
        <v>46072</v>
      </c>
      <c r="F17" s="95">
        <v>966</v>
      </c>
      <c r="G17" s="97">
        <v>7409.1110128261826</v>
      </c>
      <c r="H17" s="95">
        <v>24</v>
      </c>
      <c r="I17" s="95">
        <v>16752</v>
      </c>
      <c r="J17" s="95">
        <v>1</v>
      </c>
      <c r="K17" s="95">
        <v>282</v>
      </c>
      <c r="L17" s="95">
        <v>0</v>
      </c>
      <c r="M17" s="49" t="s">
        <v>12588</v>
      </c>
      <c r="N17" s="49">
        <v>6289648416177</v>
      </c>
      <c r="O17" s="49" t="s">
        <v>12589</v>
      </c>
      <c r="P17" s="49" t="s">
        <v>12552</v>
      </c>
    </row>
    <row r="18" spans="1:16">
      <c r="A18" s="95">
        <v>174904221976312</v>
      </c>
      <c r="B18" s="49" t="s">
        <v>10651</v>
      </c>
      <c r="C18" s="49" t="s">
        <v>9007</v>
      </c>
      <c r="D18" s="49" t="s">
        <v>12590</v>
      </c>
      <c r="E18" s="96">
        <v>46072</v>
      </c>
      <c r="F18" s="95">
        <v>281</v>
      </c>
      <c r="G18" s="97">
        <v>43501.607717041799</v>
      </c>
      <c r="H18" s="95">
        <v>13</v>
      </c>
      <c r="I18" s="95">
        <v>13529</v>
      </c>
      <c r="J18" s="95">
        <v>1</v>
      </c>
      <c r="K18" s="95">
        <v>0</v>
      </c>
      <c r="L18" s="95">
        <v>1</v>
      </c>
      <c r="M18" s="49" t="s">
        <v>12591</v>
      </c>
      <c r="N18" s="49">
        <v>6281228061933</v>
      </c>
      <c r="O18" s="49" t="s">
        <v>12592</v>
      </c>
      <c r="P18" s="49" t="s">
        <v>12552</v>
      </c>
    </row>
    <row r="19" spans="1:16">
      <c r="A19" s="95">
        <v>174904221976312</v>
      </c>
      <c r="B19" s="49" t="s">
        <v>10651</v>
      </c>
      <c r="C19" s="49" t="s">
        <v>9017</v>
      </c>
      <c r="D19" s="49" t="s">
        <v>12593</v>
      </c>
      <c r="E19" s="96">
        <v>46072</v>
      </c>
      <c r="F19" s="95">
        <v>350</v>
      </c>
      <c r="G19" s="97">
        <v>47307.888040712467</v>
      </c>
      <c r="H19" s="95">
        <v>11</v>
      </c>
      <c r="I19" s="95">
        <v>18592</v>
      </c>
      <c r="J19" s="95">
        <v>3</v>
      </c>
      <c r="K19" s="95">
        <v>0</v>
      </c>
      <c r="L19" s="95">
        <v>0</v>
      </c>
      <c r="M19" s="49" t="s">
        <v>9015</v>
      </c>
      <c r="N19" s="49">
        <v>6287782749624</v>
      </c>
      <c r="O19" s="49" t="s">
        <v>12594</v>
      </c>
      <c r="P19" s="49" t="s">
        <v>12552</v>
      </c>
    </row>
    <row r="20" spans="1:16">
      <c r="A20" s="95">
        <v>174904221976312</v>
      </c>
      <c r="B20" s="49" t="s">
        <v>10651</v>
      </c>
      <c r="C20" s="49" t="s">
        <v>9062</v>
      </c>
      <c r="D20" s="49" t="s">
        <v>12595</v>
      </c>
      <c r="E20" s="96">
        <v>46072</v>
      </c>
      <c r="F20" s="95">
        <v>967</v>
      </c>
      <c r="G20" s="97">
        <v>11970.121381886089</v>
      </c>
      <c r="H20" s="95">
        <v>31</v>
      </c>
      <c r="I20" s="95">
        <v>12820</v>
      </c>
      <c r="J20" s="95">
        <v>1</v>
      </c>
      <c r="K20" s="95">
        <v>420</v>
      </c>
      <c r="L20" s="95">
        <v>1</v>
      </c>
      <c r="M20" s="49" t="s">
        <v>12596</v>
      </c>
      <c r="N20" s="49">
        <v>628135084276</v>
      </c>
      <c r="O20" s="49" t="s">
        <v>12597</v>
      </c>
      <c r="P20" s="49" t="s">
        <v>12552</v>
      </c>
    </row>
    <row r="21" spans="1:16">
      <c r="A21" s="95">
        <v>174904221976312</v>
      </c>
      <c r="B21" s="49" t="s">
        <v>10651</v>
      </c>
      <c r="C21" s="49" t="s">
        <v>9039</v>
      </c>
      <c r="D21" s="49" t="s">
        <v>12598</v>
      </c>
      <c r="E21" s="96">
        <v>46072</v>
      </c>
      <c r="F21" s="95">
        <v>375</v>
      </c>
      <c r="G21" s="97">
        <v>26610.983981693364</v>
      </c>
      <c r="H21" s="95">
        <v>6</v>
      </c>
      <c r="I21" s="95">
        <v>11629</v>
      </c>
      <c r="J21" s="95">
        <v>1</v>
      </c>
      <c r="K21" s="95">
        <v>104</v>
      </c>
      <c r="L21" s="95">
        <v>0</v>
      </c>
      <c r="M21" s="49" t="s">
        <v>12599</v>
      </c>
      <c r="N21" s="49">
        <v>6285888105671</v>
      </c>
      <c r="O21" s="49" t="s">
        <v>12600</v>
      </c>
      <c r="P21" s="49" t="s">
        <v>12552</v>
      </c>
    </row>
    <row r="22" spans="1:16">
      <c r="A22" s="95">
        <v>174904221976312</v>
      </c>
      <c r="B22" s="49" t="s">
        <v>10651</v>
      </c>
      <c r="C22" s="49" t="s">
        <v>9069</v>
      </c>
      <c r="D22" s="49" t="s">
        <v>12601</v>
      </c>
      <c r="E22" s="96">
        <v>46072</v>
      </c>
      <c r="F22" s="95">
        <v>579</v>
      </c>
      <c r="G22" s="97">
        <v>18004.392386530013</v>
      </c>
      <c r="H22" s="95">
        <v>12</v>
      </c>
      <c r="I22" s="95">
        <v>12297</v>
      </c>
      <c r="J22" s="95">
        <v>1</v>
      </c>
      <c r="K22" s="95">
        <v>0</v>
      </c>
      <c r="L22" s="95">
        <v>0</v>
      </c>
      <c r="M22" s="49" t="s">
        <v>9065</v>
      </c>
      <c r="N22" s="49">
        <v>6282318574594</v>
      </c>
      <c r="O22" s="49" t="s">
        <v>12602</v>
      </c>
      <c r="P22" s="49" t="s">
        <v>12552</v>
      </c>
    </row>
    <row r="23" spans="1:16">
      <c r="A23" s="95">
        <v>766589657993298</v>
      </c>
      <c r="B23" s="49" t="s">
        <v>10688</v>
      </c>
      <c r="C23" s="49" t="s">
        <v>10780</v>
      </c>
      <c r="D23" s="49" t="s">
        <v>12603</v>
      </c>
      <c r="E23" s="96">
        <v>46072</v>
      </c>
      <c r="F23" s="95">
        <v>867</v>
      </c>
      <c r="G23" s="97">
        <v>14039.823008849558</v>
      </c>
      <c r="H23" s="95">
        <v>16</v>
      </c>
      <c r="I23" s="95">
        <v>15865</v>
      </c>
      <c r="J23" s="95">
        <v>1</v>
      </c>
      <c r="K23" s="95">
        <v>14</v>
      </c>
      <c r="L23" s="95">
        <v>0</v>
      </c>
      <c r="M23" s="49" t="s">
        <v>10781</v>
      </c>
      <c r="N23" s="49">
        <v>6281338789995</v>
      </c>
      <c r="O23" s="49" t="s">
        <v>12604</v>
      </c>
      <c r="P23" s="49" t="s">
        <v>12552</v>
      </c>
    </row>
    <row r="24" spans="1:16">
      <c r="A24" s="95">
        <v>766589657993298</v>
      </c>
      <c r="B24" s="49" t="s">
        <v>10688</v>
      </c>
      <c r="C24" s="49" t="s">
        <v>11418</v>
      </c>
      <c r="D24" s="49" t="s">
        <v>12605</v>
      </c>
      <c r="E24" s="96">
        <v>46072</v>
      </c>
      <c r="F24" s="95">
        <v>366</v>
      </c>
      <c r="G24" s="97">
        <v>34628.062360801785</v>
      </c>
      <c r="H24" s="95">
        <v>6</v>
      </c>
      <c r="I24" s="95">
        <v>15548</v>
      </c>
      <c r="J24" s="95">
        <v>0</v>
      </c>
      <c r="K24" s="95">
        <v>0</v>
      </c>
      <c r="L24" s="95">
        <v>0</v>
      </c>
      <c r="M24" s="49" t="s">
        <v>2480</v>
      </c>
      <c r="N24" s="49">
        <v>6287856230745</v>
      </c>
      <c r="O24" s="49" t="s">
        <v>12606</v>
      </c>
      <c r="P24" s="49" t="s">
        <v>12552</v>
      </c>
    </row>
    <row r="25" spans="1:16">
      <c r="A25" s="95">
        <v>766589657993298</v>
      </c>
      <c r="B25" s="49" t="s">
        <v>10688</v>
      </c>
      <c r="C25" s="49" t="s">
        <v>11604</v>
      </c>
      <c r="D25" s="49" t="s">
        <v>12607</v>
      </c>
      <c r="E25" s="96">
        <v>46072</v>
      </c>
      <c r="F25" s="95">
        <v>542</v>
      </c>
      <c r="G25" s="97">
        <v>30853.615520282186</v>
      </c>
      <c r="H25" s="95">
        <v>22</v>
      </c>
      <c r="I25" s="95">
        <v>17494</v>
      </c>
      <c r="J25" s="95">
        <v>4</v>
      </c>
      <c r="K25" s="95">
        <v>272</v>
      </c>
      <c r="L25" s="95">
        <v>0</v>
      </c>
      <c r="M25" s="49" t="s">
        <v>2835</v>
      </c>
      <c r="N25" s="49">
        <v>62895632627969</v>
      </c>
      <c r="O25" s="49" t="s">
        <v>12608</v>
      </c>
      <c r="P25" s="49" t="s">
        <v>12552</v>
      </c>
    </row>
    <row r="26" spans="1:16">
      <c r="A26" s="95">
        <v>766589657993298</v>
      </c>
      <c r="B26" s="49" t="s">
        <v>10688</v>
      </c>
      <c r="C26" s="49" t="s">
        <v>11626</v>
      </c>
      <c r="D26" s="49" t="s">
        <v>12609</v>
      </c>
      <c r="E26" s="96">
        <v>46072</v>
      </c>
      <c r="F26" s="95">
        <v>459</v>
      </c>
      <c r="G26" s="97">
        <v>33836.66061705989</v>
      </c>
      <c r="H26" s="95">
        <v>10</v>
      </c>
      <c r="I26" s="95">
        <v>18644</v>
      </c>
      <c r="J26" s="95">
        <v>1</v>
      </c>
      <c r="K26" s="95">
        <v>1</v>
      </c>
      <c r="L26" s="95">
        <v>0</v>
      </c>
      <c r="M26" s="49" t="s">
        <v>3773</v>
      </c>
      <c r="N26" s="49">
        <v>6285893658659</v>
      </c>
      <c r="O26" s="49" t="s">
        <v>12610</v>
      </c>
      <c r="P26" s="49" t="s">
        <v>12552</v>
      </c>
    </row>
    <row r="27" spans="1:16">
      <c r="A27" s="95">
        <v>766589657993298</v>
      </c>
      <c r="B27" s="49" t="s">
        <v>10688</v>
      </c>
      <c r="C27" s="49" t="s">
        <v>12611</v>
      </c>
      <c r="D27" s="49" t="s">
        <v>12612</v>
      </c>
      <c r="E27" s="96">
        <v>46072</v>
      </c>
      <c r="F27" s="95">
        <v>423</v>
      </c>
      <c r="G27" s="97">
        <v>49480.369515011545</v>
      </c>
      <c r="H27" s="95">
        <v>12</v>
      </c>
      <c r="I27" s="95">
        <v>21425</v>
      </c>
      <c r="J27" s="95">
        <v>0</v>
      </c>
      <c r="K27" s="95">
        <v>169</v>
      </c>
      <c r="L27" s="95">
        <v>0</v>
      </c>
      <c r="M27" s="49" t="s">
        <v>4981</v>
      </c>
      <c r="N27" s="49">
        <v>6282125057012</v>
      </c>
      <c r="O27" s="49" t="s">
        <v>12613</v>
      </c>
      <c r="P27" s="49" t="s">
        <v>12552</v>
      </c>
    </row>
    <row r="28" spans="1:16">
      <c r="A28" s="95">
        <v>766589657993298</v>
      </c>
      <c r="B28" s="49" t="s">
        <v>10688</v>
      </c>
      <c r="C28" s="49" t="s">
        <v>12392</v>
      </c>
      <c r="D28" s="49" t="s">
        <v>12614</v>
      </c>
      <c r="E28" s="96">
        <v>46072</v>
      </c>
      <c r="F28" s="95">
        <v>1859</v>
      </c>
      <c r="G28" s="97">
        <v>7603.2448377581122</v>
      </c>
      <c r="H28" s="95">
        <v>59</v>
      </c>
      <c r="I28" s="95">
        <v>15465</v>
      </c>
      <c r="J28" s="95">
        <v>3</v>
      </c>
      <c r="K28" s="95">
        <v>661</v>
      </c>
      <c r="L28" s="95">
        <v>1</v>
      </c>
      <c r="M28" s="49" t="s">
        <v>4690</v>
      </c>
      <c r="N28" s="49">
        <v>6281323291817</v>
      </c>
      <c r="O28" s="49" t="s">
        <v>12615</v>
      </c>
      <c r="P28" s="49" t="s">
        <v>12552</v>
      </c>
    </row>
    <row r="29" spans="1:16">
      <c r="A29" s="95">
        <v>766589657993298</v>
      </c>
      <c r="B29" s="49" t="s">
        <v>10688</v>
      </c>
      <c r="C29" s="49" t="s">
        <v>12386</v>
      </c>
      <c r="D29" s="49" t="s">
        <v>12616</v>
      </c>
      <c r="E29" s="96">
        <v>46072</v>
      </c>
      <c r="F29" s="95">
        <v>1200</v>
      </c>
      <c r="G29" s="97">
        <v>13298.496240601504</v>
      </c>
      <c r="H29" s="95">
        <v>19</v>
      </c>
      <c r="I29" s="95">
        <v>17687</v>
      </c>
      <c r="J29" s="95">
        <v>1</v>
      </c>
      <c r="K29" s="95">
        <v>443</v>
      </c>
      <c r="L29" s="95">
        <v>0</v>
      </c>
      <c r="M29" s="49" t="s">
        <v>12387</v>
      </c>
      <c r="N29" s="49">
        <v>6285272737979</v>
      </c>
      <c r="O29" s="49" t="s">
        <v>12617</v>
      </c>
      <c r="P29" s="49" t="s">
        <v>12552</v>
      </c>
    </row>
    <row r="30" spans="1:16">
      <c r="A30" s="95">
        <v>766589657993298</v>
      </c>
      <c r="B30" s="49" t="s">
        <v>10688</v>
      </c>
      <c r="C30" s="49" t="s">
        <v>12618</v>
      </c>
      <c r="D30" s="49" t="s">
        <v>12619</v>
      </c>
      <c r="E30" s="96">
        <v>46072</v>
      </c>
      <c r="F30" s="95">
        <v>354</v>
      </c>
      <c r="G30" s="97">
        <v>44780.548628428922</v>
      </c>
      <c r="H30" s="95">
        <v>12</v>
      </c>
      <c r="I30" s="95">
        <v>17957</v>
      </c>
      <c r="J30" s="95">
        <v>1</v>
      </c>
      <c r="K30" s="95">
        <v>42</v>
      </c>
      <c r="L30" s="95">
        <v>0</v>
      </c>
      <c r="M30" s="49" t="s">
        <v>5602</v>
      </c>
      <c r="N30" s="49">
        <v>6283824541579</v>
      </c>
      <c r="O30" s="49" t="s">
        <v>12620</v>
      </c>
      <c r="P30" s="49" t="s">
        <v>12552</v>
      </c>
    </row>
    <row r="31" spans="1:16">
      <c r="A31" s="95">
        <v>766589657993298</v>
      </c>
      <c r="B31" s="49" t="s">
        <v>10688</v>
      </c>
      <c r="C31" s="49" t="s">
        <v>12621</v>
      </c>
      <c r="D31" s="49" t="s">
        <v>12622</v>
      </c>
      <c r="E31" s="96">
        <v>46072</v>
      </c>
      <c r="F31" s="95">
        <v>455</v>
      </c>
      <c r="G31" s="97">
        <v>30199.3006993007</v>
      </c>
      <c r="H31" s="95">
        <v>12</v>
      </c>
      <c r="I31" s="95">
        <v>17274</v>
      </c>
      <c r="J31" s="95">
        <v>2</v>
      </c>
      <c r="K31" s="95">
        <v>17</v>
      </c>
      <c r="L31" s="95">
        <v>0</v>
      </c>
      <c r="M31" s="49" t="s">
        <v>5631</v>
      </c>
      <c r="N31" s="49">
        <v>6289678497690</v>
      </c>
      <c r="O31" s="49" t="s">
        <v>12623</v>
      </c>
      <c r="P31" s="49" t="s">
        <v>12552</v>
      </c>
    </row>
    <row r="32" spans="1:16">
      <c r="A32" s="95">
        <v>766589657993298</v>
      </c>
      <c r="B32" s="49" t="s">
        <v>10688</v>
      </c>
      <c r="C32" s="49" t="s">
        <v>12624</v>
      </c>
      <c r="D32" s="49" t="s">
        <v>12625</v>
      </c>
      <c r="E32" s="96">
        <v>46072</v>
      </c>
      <c r="F32" s="95">
        <v>426</v>
      </c>
      <c r="G32" s="97">
        <v>30000</v>
      </c>
      <c r="H32" s="95">
        <v>8</v>
      </c>
      <c r="I32" s="95">
        <v>15840</v>
      </c>
      <c r="J32" s="95">
        <v>0</v>
      </c>
      <c r="K32" s="95">
        <v>0</v>
      </c>
      <c r="L32" s="95">
        <v>0</v>
      </c>
      <c r="M32" s="49" t="s">
        <v>11365</v>
      </c>
      <c r="N32" s="49">
        <v>6282310465999</v>
      </c>
      <c r="O32" s="49" t="s">
        <v>12626</v>
      </c>
      <c r="P32" s="49" t="s">
        <v>12552</v>
      </c>
    </row>
    <row r="33" spans="1:16">
      <c r="A33" s="95">
        <v>766589657993298</v>
      </c>
      <c r="B33" s="49" t="s">
        <v>10688</v>
      </c>
      <c r="C33" s="49" t="s">
        <v>7700</v>
      </c>
      <c r="D33" s="49" t="s">
        <v>12627</v>
      </c>
      <c r="E33" s="96">
        <v>46072</v>
      </c>
      <c r="F33" s="95">
        <v>507</v>
      </c>
      <c r="G33" s="97">
        <v>26303.839732888147</v>
      </c>
      <c r="H33" s="95">
        <v>25</v>
      </c>
      <c r="I33" s="95">
        <v>15756</v>
      </c>
      <c r="J33" s="95">
        <v>1</v>
      </c>
      <c r="K33" s="95">
        <v>7</v>
      </c>
      <c r="L33" s="95">
        <v>0</v>
      </c>
      <c r="M33" s="49" t="s">
        <v>12628</v>
      </c>
      <c r="N33" s="49">
        <v>62818752345</v>
      </c>
      <c r="O33" s="49" t="s">
        <v>12629</v>
      </c>
      <c r="P33" s="49" t="s">
        <v>12552</v>
      </c>
    </row>
    <row r="34" spans="1:16">
      <c r="A34" s="95">
        <v>766589657993298</v>
      </c>
      <c r="B34" s="49" t="s">
        <v>10688</v>
      </c>
      <c r="C34" s="49" t="s">
        <v>12630</v>
      </c>
      <c r="D34" s="49" t="s">
        <v>12631</v>
      </c>
      <c r="E34" s="96">
        <v>46072</v>
      </c>
      <c r="F34" s="95">
        <v>360</v>
      </c>
      <c r="G34" s="97">
        <v>40126.213592233005</v>
      </c>
      <c r="H34" s="95">
        <v>5</v>
      </c>
      <c r="I34" s="95">
        <v>16532</v>
      </c>
      <c r="J34" s="95">
        <v>1</v>
      </c>
      <c r="K34" s="95">
        <v>0</v>
      </c>
      <c r="L34" s="95">
        <v>0</v>
      </c>
      <c r="M34" s="49" t="s">
        <v>11029</v>
      </c>
      <c r="N34" s="49">
        <v>6282338171577</v>
      </c>
      <c r="O34" s="49" t="s">
        <v>12632</v>
      </c>
      <c r="P34" s="49" t="s">
        <v>12552</v>
      </c>
    </row>
    <row r="35" spans="1:16">
      <c r="A35" s="95">
        <v>766589657993298</v>
      </c>
      <c r="B35" s="49" t="s">
        <v>10688</v>
      </c>
      <c r="C35" s="49" t="s">
        <v>12633</v>
      </c>
      <c r="D35" s="49" t="s">
        <v>12634</v>
      </c>
      <c r="E35" s="96">
        <v>46072</v>
      </c>
      <c r="F35" s="95">
        <v>538</v>
      </c>
      <c r="G35" s="97">
        <v>28179.661016949151</v>
      </c>
      <c r="H35" s="95">
        <v>13</v>
      </c>
      <c r="I35" s="95">
        <v>16626</v>
      </c>
      <c r="J35" s="95">
        <v>1</v>
      </c>
      <c r="K35" s="95">
        <v>123</v>
      </c>
      <c r="L35" s="95">
        <v>0</v>
      </c>
      <c r="M35" s="49" t="s">
        <v>12635</v>
      </c>
      <c r="N35" s="49">
        <v>628179859231</v>
      </c>
      <c r="O35" s="49" t="s">
        <v>12636</v>
      </c>
      <c r="P35" s="49" t="s">
        <v>12552</v>
      </c>
    </row>
    <row r="36" spans="1:16">
      <c r="A36" s="95">
        <v>766589657993298</v>
      </c>
      <c r="B36" s="49" t="s">
        <v>10688</v>
      </c>
      <c r="C36" s="49" t="s">
        <v>12637</v>
      </c>
      <c r="D36" s="49" t="s">
        <v>12638</v>
      </c>
      <c r="E36" s="96">
        <v>46072</v>
      </c>
      <c r="F36" s="95">
        <v>903</v>
      </c>
      <c r="G36" s="97">
        <v>15340.468909276249</v>
      </c>
      <c r="H36" s="95">
        <v>31</v>
      </c>
      <c r="I36" s="95">
        <v>15049</v>
      </c>
      <c r="J36" s="95">
        <v>6</v>
      </c>
      <c r="K36" s="95">
        <v>397</v>
      </c>
      <c r="L36" s="95">
        <v>0</v>
      </c>
      <c r="M36" s="49" t="s">
        <v>8199</v>
      </c>
      <c r="N36" s="49">
        <v>6282160932266</v>
      </c>
      <c r="O36" s="49" t="s">
        <v>12639</v>
      </c>
      <c r="P36" s="49" t="s">
        <v>12552</v>
      </c>
    </row>
    <row r="37" spans="1:16">
      <c r="A37" s="95">
        <v>766589657993298</v>
      </c>
      <c r="B37" s="49" t="s">
        <v>10688</v>
      </c>
      <c r="C37" s="49" t="s">
        <v>12640</v>
      </c>
      <c r="D37" s="49" t="s">
        <v>12641</v>
      </c>
      <c r="E37" s="96">
        <v>46072</v>
      </c>
      <c r="F37" s="95">
        <v>240</v>
      </c>
      <c r="G37" s="97">
        <v>61735.507246376816</v>
      </c>
      <c r="H37" s="95">
        <v>32</v>
      </c>
      <c r="I37" s="95">
        <v>17039</v>
      </c>
      <c r="J37" s="95">
        <v>6</v>
      </c>
      <c r="K37" s="95">
        <v>0</v>
      </c>
      <c r="L37" s="95">
        <v>0</v>
      </c>
      <c r="M37" s="49" t="s">
        <v>12642</v>
      </c>
      <c r="N37" s="49">
        <v>6282121160054</v>
      </c>
      <c r="O37" s="49" t="s">
        <v>12643</v>
      </c>
      <c r="P37" s="49" t="s">
        <v>12552</v>
      </c>
    </row>
    <row r="38" spans="1:16">
      <c r="A38" s="95">
        <v>766589657993298</v>
      </c>
      <c r="B38" s="49" t="s">
        <v>10688</v>
      </c>
      <c r="C38" s="49" t="s">
        <v>12644</v>
      </c>
      <c r="D38" s="49" t="s">
        <v>12645</v>
      </c>
      <c r="E38" s="96">
        <v>46072</v>
      </c>
      <c r="F38" s="95">
        <v>1507</v>
      </c>
      <c r="G38" s="97">
        <v>7696.6740576496668</v>
      </c>
      <c r="H38" s="95">
        <v>102</v>
      </c>
      <c r="I38" s="95">
        <v>17356</v>
      </c>
      <c r="J38" s="95">
        <v>7</v>
      </c>
      <c r="K38" s="95">
        <v>50</v>
      </c>
      <c r="L38" s="95">
        <v>2</v>
      </c>
      <c r="M38" s="49" t="s">
        <v>12646</v>
      </c>
      <c r="N38" s="49">
        <v>6282288320550</v>
      </c>
      <c r="O38" s="49" t="s">
        <v>12647</v>
      </c>
      <c r="P38" s="49" t="s">
        <v>12552</v>
      </c>
    </row>
    <row r="39" spans="1:16">
      <c r="A39" s="95">
        <v>766589657993298</v>
      </c>
      <c r="B39" s="49" t="s">
        <v>10688</v>
      </c>
      <c r="C39" s="49" t="s">
        <v>9001</v>
      </c>
      <c r="D39" s="49" t="s">
        <v>12648</v>
      </c>
      <c r="E39" s="96">
        <v>46072</v>
      </c>
      <c r="F39" s="95">
        <v>191</v>
      </c>
      <c r="G39" s="97">
        <v>68342.342342342352</v>
      </c>
      <c r="H39" s="95">
        <v>6</v>
      </c>
      <c r="I39" s="95">
        <v>15172</v>
      </c>
      <c r="J39" s="95">
        <v>0</v>
      </c>
      <c r="K39" s="95">
        <v>0</v>
      </c>
      <c r="L39" s="95">
        <v>0</v>
      </c>
      <c r="M39" s="49" t="s">
        <v>350</v>
      </c>
      <c r="N39" s="49">
        <v>628131428282</v>
      </c>
      <c r="O39" s="49" t="s">
        <v>12649</v>
      </c>
      <c r="P39" s="49" t="s">
        <v>12552</v>
      </c>
    </row>
    <row r="40" spans="1:16">
      <c r="A40" s="95">
        <v>766589657993298</v>
      </c>
      <c r="B40" s="49" t="s">
        <v>10688</v>
      </c>
      <c r="C40" s="49" t="s">
        <v>12650</v>
      </c>
      <c r="D40" s="49" t="s">
        <v>12651</v>
      </c>
      <c r="E40" s="96">
        <v>46072</v>
      </c>
      <c r="F40" s="95">
        <v>1483</v>
      </c>
      <c r="G40" s="97">
        <v>8916.6666666666661</v>
      </c>
      <c r="H40" s="95">
        <v>58</v>
      </c>
      <c r="I40" s="95">
        <v>15729</v>
      </c>
      <c r="J40" s="95">
        <v>9</v>
      </c>
      <c r="K40" s="95">
        <v>617</v>
      </c>
      <c r="L40" s="95">
        <v>0</v>
      </c>
      <c r="M40" s="49" t="s">
        <v>4690</v>
      </c>
      <c r="N40" s="49">
        <v>6281323291817</v>
      </c>
      <c r="O40" s="49" t="s">
        <v>12652</v>
      </c>
      <c r="P40" s="49" t="s">
        <v>12552</v>
      </c>
    </row>
    <row r="41" spans="1:16">
      <c r="A41" s="95">
        <v>766589657993298</v>
      </c>
      <c r="B41" s="49" t="s">
        <v>10688</v>
      </c>
      <c r="C41" s="49" t="s">
        <v>9050</v>
      </c>
      <c r="D41" s="49" t="s">
        <v>12653</v>
      </c>
      <c r="E41" s="96">
        <v>46072</v>
      </c>
      <c r="F41" s="95">
        <v>826</v>
      </c>
      <c r="G41" s="97">
        <v>15200</v>
      </c>
      <c r="H41" s="95">
        <v>25</v>
      </c>
      <c r="I41" s="95">
        <v>14744</v>
      </c>
      <c r="J41" s="95">
        <v>1</v>
      </c>
      <c r="K41" s="95">
        <v>6</v>
      </c>
      <c r="L41" s="95">
        <v>0</v>
      </c>
      <c r="M41" s="49" t="s">
        <v>9047</v>
      </c>
      <c r="N41" s="49">
        <v>6281515661112</v>
      </c>
      <c r="O41" s="49" t="s">
        <v>12654</v>
      </c>
      <c r="P41" s="49" t="s">
        <v>12552</v>
      </c>
    </row>
    <row r="42" spans="1:16">
      <c r="A42" s="95">
        <v>766589657993298</v>
      </c>
      <c r="B42" s="49" t="s">
        <v>10688</v>
      </c>
      <c r="C42" s="49" t="s">
        <v>9055</v>
      </c>
      <c r="D42" s="49" t="s">
        <v>12655</v>
      </c>
      <c r="E42" s="96">
        <v>46072</v>
      </c>
      <c r="F42" s="95">
        <v>542</v>
      </c>
      <c r="G42" s="97">
        <v>26929.530201342281</v>
      </c>
      <c r="H42" s="95">
        <v>12</v>
      </c>
      <c r="I42" s="95">
        <v>16050</v>
      </c>
      <c r="J42" s="95">
        <v>2</v>
      </c>
      <c r="K42" s="95">
        <v>8</v>
      </c>
      <c r="L42" s="95">
        <v>0</v>
      </c>
      <c r="M42" s="49" t="s">
        <v>9053</v>
      </c>
      <c r="N42" s="49">
        <v>62895326008269</v>
      </c>
      <c r="O42" s="49" t="s">
        <v>12656</v>
      </c>
      <c r="P42" s="49" t="s">
        <v>12552</v>
      </c>
    </row>
    <row r="43" spans="1:16">
      <c r="A43" s="95">
        <v>766589657993298</v>
      </c>
      <c r="B43" s="49" t="s">
        <v>10688</v>
      </c>
      <c r="C43" s="49" t="s">
        <v>9044</v>
      </c>
      <c r="D43" s="49" t="s">
        <v>12657</v>
      </c>
      <c r="E43" s="96">
        <v>46072</v>
      </c>
      <c r="F43" s="95">
        <v>241</v>
      </c>
      <c r="G43" s="97">
        <v>53503.401360544216</v>
      </c>
      <c r="H43" s="95">
        <v>16</v>
      </c>
      <c r="I43" s="95">
        <v>15730</v>
      </c>
      <c r="J43" s="95">
        <v>1</v>
      </c>
      <c r="K43" s="95">
        <v>43</v>
      </c>
      <c r="L43" s="95">
        <v>0</v>
      </c>
      <c r="M43" s="49" t="s">
        <v>12658</v>
      </c>
      <c r="N43" s="49">
        <v>6285871503571</v>
      </c>
      <c r="O43" s="49" t="s">
        <v>12659</v>
      </c>
      <c r="P43" s="49" t="s">
        <v>12552</v>
      </c>
    </row>
    <row r="44" spans="1:16">
      <c r="A44" s="95">
        <v>206726568613432</v>
      </c>
      <c r="B44" s="49" t="s">
        <v>10900</v>
      </c>
      <c r="C44" s="49" t="s">
        <v>12660</v>
      </c>
      <c r="D44" s="49" t="s">
        <v>12661</v>
      </c>
      <c r="E44" s="96">
        <v>46072</v>
      </c>
      <c r="F44" s="95">
        <v>661</v>
      </c>
      <c r="G44" s="97">
        <v>18889.807162534435</v>
      </c>
      <c r="H44" s="95">
        <v>15</v>
      </c>
      <c r="I44" s="95">
        <v>13714</v>
      </c>
      <c r="J44" s="95">
        <v>0</v>
      </c>
      <c r="K44" s="95">
        <v>79</v>
      </c>
      <c r="L44" s="95">
        <v>0</v>
      </c>
      <c r="M44" s="49" t="s">
        <v>12662</v>
      </c>
      <c r="N44" s="49">
        <v>6281246763143</v>
      </c>
      <c r="O44" s="49" t="s">
        <v>12663</v>
      </c>
      <c r="P44" s="49" t="s">
        <v>12552</v>
      </c>
    </row>
    <row r="45" spans="1:16">
      <c r="A45" s="95">
        <v>206726568613432</v>
      </c>
      <c r="B45" s="49" t="s">
        <v>10900</v>
      </c>
      <c r="C45" s="49" t="s">
        <v>12664</v>
      </c>
      <c r="D45" s="49" t="s">
        <v>12665</v>
      </c>
      <c r="E45" s="96">
        <v>46072</v>
      </c>
      <c r="F45" s="95">
        <v>2133</v>
      </c>
      <c r="G45" s="97">
        <v>7280.5194805194806</v>
      </c>
      <c r="H45" s="95">
        <v>75</v>
      </c>
      <c r="I45" s="95">
        <v>16818</v>
      </c>
      <c r="J45" s="95">
        <v>1</v>
      </c>
      <c r="K45" s="95">
        <v>687</v>
      </c>
      <c r="L45" s="95">
        <v>0</v>
      </c>
      <c r="M45" s="49" t="s">
        <v>10834</v>
      </c>
      <c r="N45" s="49">
        <v>6282242925264</v>
      </c>
      <c r="O45" s="49" t="s">
        <v>12666</v>
      </c>
      <c r="P45" s="49" t="s">
        <v>12552</v>
      </c>
    </row>
    <row r="46" spans="1:16">
      <c r="A46" s="95"/>
      <c r="B46" s="49"/>
      <c r="C46" s="49"/>
      <c r="D46" s="49"/>
      <c r="E46" s="96"/>
      <c r="F46" s="95"/>
      <c r="G46" s="97"/>
      <c r="H46" s="95"/>
      <c r="I46" s="95"/>
      <c r="J46" s="95"/>
      <c r="K46" s="95"/>
      <c r="L46" s="95"/>
      <c r="M46" s="49"/>
      <c r="N46" s="49"/>
      <c r="O46" s="49"/>
      <c r="P46" s="49"/>
    </row>
    <row r="47" spans="1:16">
      <c r="A47" s="95"/>
      <c r="B47" s="49"/>
      <c r="C47" s="49"/>
      <c r="D47" s="49"/>
      <c r="E47" s="96"/>
      <c r="F47" s="95"/>
      <c r="G47" s="97"/>
      <c r="H47" s="95"/>
      <c r="I47" s="95"/>
      <c r="J47" s="95"/>
      <c r="K47" s="95"/>
      <c r="L47" s="95"/>
      <c r="M47" s="49"/>
      <c r="N47" s="49"/>
      <c r="O47" s="49"/>
      <c r="P47" s="49"/>
    </row>
    <row r="48" spans="1:16">
      <c r="A48" s="95"/>
      <c r="B48" s="49"/>
      <c r="C48" s="49"/>
      <c r="D48" s="49"/>
      <c r="E48" s="96"/>
      <c r="F48" s="95"/>
      <c r="G48" s="97"/>
      <c r="H48" s="95"/>
      <c r="I48" s="95"/>
      <c r="J48" s="95"/>
      <c r="K48" s="95"/>
      <c r="L48" s="95"/>
      <c r="M48" s="49"/>
      <c r="N48" s="49"/>
      <c r="O48" s="49"/>
      <c r="P48" s="49"/>
    </row>
    <row r="49" spans="1:16">
      <c r="A49" s="95"/>
      <c r="B49" s="49"/>
      <c r="C49" s="49"/>
      <c r="D49" s="49"/>
      <c r="E49" s="96"/>
      <c r="F49" s="95"/>
      <c r="G49" s="97"/>
      <c r="H49" s="95"/>
      <c r="I49" s="95"/>
      <c r="J49" s="95"/>
      <c r="K49" s="95"/>
      <c r="L49" s="95"/>
      <c r="M49" s="49"/>
      <c r="N49" s="49"/>
      <c r="O49" s="49"/>
      <c r="P49" s="49"/>
    </row>
    <row r="50" spans="1:16">
      <c r="A50" s="95"/>
      <c r="B50" s="49"/>
      <c r="C50" s="49"/>
      <c r="D50" s="49"/>
      <c r="E50" s="96"/>
      <c r="F50" s="95"/>
      <c r="G50" s="97"/>
      <c r="H50" s="95"/>
      <c r="I50" s="95"/>
      <c r="J50" s="95"/>
      <c r="K50" s="95"/>
      <c r="L50" s="95"/>
      <c r="M50" s="49"/>
      <c r="N50" s="49"/>
      <c r="O50" s="49"/>
      <c r="P50" s="49"/>
    </row>
    <row r="51" spans="1:16">
      <c r="A51" s="95"/>
      <c r="B51" s="49"/>
      <c r="C51" s="49"/>
      <c r="D51" s="49"/>
      <c r="E51" s="96"/>
      <c r="F51" s="95"/>
      <c r="G51" s="97"/>
      <c r="H51" s="95"/>
      <c r="I51" s="95"/>
      <c r="J51" s="95"/>
      <c r="K51" s="95"/>
      <c r="L51" s="95"/>
      <c r="M51" s="49"/>
      <c r="N51" s="49"/>
      <c r="O51" s="49"/>
      <c r="P51" s="49"/>
    </row>
    <row r="52" spans="1:16">
      <c r="A52" s="95"/>
      <c r="B52" s="49"/>
      <c r="C52" s="49"/>
      <c r="D52" s="49"/>
      <c r="E52" s="96"/>
      <c r="F52" s="95"/>
      <c r="G52" s="97"/>
      <c r="H52" s="95"/>
      <c r="I52" s="95"/>
      <c r="J52" s="95"/>
      <c r="K52" s="95"/>
      <c r="L52" s="95"/>
      <c r="M52" s="49"/>
      <c r="N52" s="49"/>
      <c r="O52" s="49"/>
      <c r="P52" s="49"/>
    </row>
    <row r="53" spans="1:16">
      <c r="A53" s="95"/>
      <c r="B53" s="49"/>
      <c r="C53" s="49"/>
      <c r="D53" s="49"/>
      <c r="E53" s="96"/>
      <c r="F53" s="95"/>
      <c r="G53" s="97"/>
      <c r="H53" s="95"/>
      <c r="I53" s="95"/>
      <c r="J53" s="95"/>
      <c r="K53" s="95"/>
      <c r="L53" s="95"/>
      <c r="M53" s="49"/>
      <c r="N53" s="49"/>
      <c r="O53" s="49"/>
      <c r="P53" s="49"/>
    </row>
    <row r="54" spans="1:16">
      <c r="A54" s="95"/>
      <c r="B54" s="49"/>
      <c r="C54" s="49"/>
      <c r="D54" s="49"/>
      <c r="E54" s="96"/>
      <c r="F54" s="95"/>
      <c r="G54" s="97"/>
      <c r="H54" s="95"/>
      <c r="I54" s="95"/>
      <c r="J54" s="95"/>
      <c r="K54" s="95"/>
      <c r="L54" s="95"/>
      <c r="M54" s="49"/>
      <c r="N54" s="49"/>
      <c r="O54" s="49"/>
      <c r="P54" s="49"/>
    </row>
    <row r="55" spans="1:16">
      <c r="A55" s="95"/>
      <c r="B55" s="49"/>
      <c r="C55" s="49"/>
      <c r="D55" s="49"/>
      <c r="E55" s="96"/>
      <c r="F55" s="95"/>
      <c r="G55" s="97"/>
      <c r="H55" s="95"/>
      <c r="I55" s="95"/>
      <c r="J55" s="95"/>
      <c r="K55" s="95"/>
      <c r="L55" s="95"/>
      <c r="M55" s="49"/>
      <c r="N55" s="49"/>
      <c r="O55" s="49"/>
      <c r="P55" s="49"/>
    </row>
    <row r="56" spans="1:16">
      <c r="A56" s="95"/>
      <c r="B56" s="49"/>
      <c r="C56" s="49"/>
      <c r="D56" s="49"/>
      <c r="E56" s="96"/>
      <c r="F56" s="95"/>
      <c r="G56" s="97"/>
      <c r="H56" s="95"/>
      <c r="I56" s="95"/>
      <c r="J56" s="95"/>
      <c r="K56" s="95"/>
      <c r="L56" s="95"/>
      <c r="M56" s="49"/>
      <c r="N56" s="49"/>
      <c r="O56" s="49"/>
      <c r="P56" s="49"/>
    </row>
    <row r="57" spans="1:16">
      <c r="A57" s="95"/>
      <c r="B57" s="49"/>
      <c r="C57" s="49"/>
      <c r="D57" s="49"/>
      <c r="E57" s="96"/>
      <c r="F57" s="95"/>
      <c r="G57" s="97"/>
      <c r="H57" s="95"/>
      <c r="I57" s="95"/>
      <c r="J57" s="95"/>
      <c r="K57" s="95"/>
      <c r="L57" s="95"/>
      <c r="M57" s="49"/>
      <c r="N57" s="49"/>
      <c r="O57" s="49"/>
      <c r="P57" s="49"/>
    </row>
    <row r="58" spans="1:16">
      <c r="A58" s="95"/>
      <c r="B58" s="49"/>
      <c r="C58" s="49"/>
      <c r="D58" s="49"/>
      <c r="E58" s="96"/>
      <c r="F58" s="95"/>
      <c r="G58" s="97"/>
      <c r="H58" s="95"/>
      <c r="I58" s="95"/>
      <c r="J58" s="95"/>
      <c r="K58" s="95"/>
      <c r="L58" s="95"/>
      <c r="M58" s="49"/>
      <c r="N58" s="49"/>
      <c r="O58" s="49"/>
      <c r="P58" s="49"/>
    </row>
    <row r="59" spans="1:16">
      <c r="A59" s="95"/>
      <c r="B59" s="49"/>
      <c r="C59" s="49"/>
      <c r="D59" s="49"/>
      <c r="E59" s="96"/>
      <c r="F59" s="95"/>
      <c r="G59" s="97"/>
      <c r="H59" s="95"/>
      <c r="I59" s="95"/>
      <c r="J59" s="95"/>
      <c r="K59" s="95"/>
      <c r="L59" s="95"/>
      <c r="M59" s="49"/>
      <c r="N59" s="49"/>
      <c r="O59" s="49"/>
      <c r="P59" s="49"/>
    </row>
    <row r="60" spans="1:16">
      <c r="A60" s="95"/>
      <c r="B60" s="49"/>
      <c r="C60" s="49"/>
      <c r="D60" s="49"/>
      <c r="E60" s="96"/>
      <c r="F60" s="95"/>
      <c r="G60" s="97"/>
      <c r="H60" s="95"/>
      <c r="I60" s="95"/>
      <c r="J60" s="95"/>
      <c r="K60" s="95"/>
      <c r="L60" s="95"/>
      <c r="M60" s="49"/>
      <c r="N60" s="49"/>
      <c r="O60" s="49"/>
      <c r="P60" s="49"/>
    </row>
    <row r="61" spans="1:16">
      <c r="A61" s="95"/>
      <c r="B61" s="49"/>
      <c r="C61" s="49"/>
      <c r="D61" s="49"/>
      <c r="E61" s="96"/>
      <c r="F61" s="95"/>
      <c r="G61" s="97"/>
      <c r="H61" s="95"/>
      <c r="I61" s="95"/>
      <c r="J61" s="95"/>
      <c r="K61" s="95"/>
      <c r="L61" s="95"/>
      <c r="M61" s="49"/>
      <c r="N61" s="49"/>
      <c r="O61" s="49"/>
      <c r="P61" s="49"/>
    </row>
    <row r="62" spans="1:16">
      <c r="A62" s="95"/>
      <c r="B62" s="49"/>
      <c r="C62" s="49"/>
      <c r="D62" s="49"/>
      <c r="E62" s="96"/>
      <c r="F62" s="95"/>
      <c r="G62" s="97"/>
      <c r="H62" s="95"/>
      <c r="I62" s="95"/>
      <c r="J62" s="95"/>
      <c r="K62" s="95"/>
      <c r="L62" s="95"/>
      <c r="M62" s="49"/>
      <c r="N62" s="49"/>
      <c r="O62" s="49"/>
      <c r="P62" s="49"/>
    </row>
    <row r="63" spans="1:16">
      <c r="A63" s="95"/>
      <c r="B63" s="49"/>
      <c r="C63" s="49"/>
      <c r="D63" s="49"/>
      <c r="E63" s="96"/>
      <c r="F63" s="95"/>
      <c r="G63" s="97"/>
      <c r="H63" s="95"/>
      <c r="I63" s="95"/>
      <c r="J63" s="95"/>
      <c r="K63" s="95"/>
      <c r="L63" s="95"/>
      <c r="M63" s="49"/>
      <c r="N63" s="49"/>
      <c r="O63" s="49"/>
      <c r="P63" s="49"/>
    </row>
    <row r="64" spans="1:16">
      <c r="A64" s="95"/>
      <c r="B64" s="49"/>
      <c r="C64" s="49"/>
      <c r="D64" s="49"/>
      <c r="E64" s="96"/>
      <c r="F64" s="95"/>
      <c r="G64" s="97"/>
      <c r="H64" s="95"/>
      <c r="I64" s="95"/>
      <c r="J64" s="95"/>
      <c r="K64" s="95"/>
      <c r="L64" s="95"/>
      <c r="M64" s="49"/>
      <c r="N64" s="49"/>
      <c r="O64" s="49"/>
      <c r="P64" s="49"/>
    </row>
    <row r="65" spans="1:16">
      <c r="A65" s="95"/>
      <c r="B65" s="49"/>
      <c r="C65" s="49"/>
      <c r="D65" s="49"/>
      <c r="E65" s="96"/>
      <c r="F65" s="95"/>
      <c r="G65" s="97"/>
      <c r="H65" s="95"/>
      <c r="I65" s="95"/>
      <c r="J65" s="95"/>
      <c r="K65" s="95"/>
      <c r="L65" s="95"/>
      <c r="M65" s="49"/>
      <c r="N65" s="49"/>
      <c r="O65" s="49"/>
      <c r="P65" s="49"/>
    </row>
    <row r="66" spans="1:16">
      <c r="A66" s="95"/>
      <c r="B66" s="49"/>
      <c r="C66" s="49"/>
      <c r="D66" s="49"/>
      <c r="E66" s="96"/>
      <c r="F66" s="95"/>
      <c r="G66" s="97"/>
      <c r="H66" s="95"/>
      <c r="I66" s="95"/>
      <c r="J66" s="95"/>
      <c r="K66" s="95"/>
      <c r="L66" s="95"/>
      <c r="M66" s="49"/>
      <c r="N66" s="49"/>
      <c r="O66" s="49"/>
      <c r="P66" s="49"/>
    </row>
    <row r="67" spans="1:16">
      <c r="A67" s="95"/>
      <c r="B67" s="49"/>
      <c r="C67" s="49"/>
      <c r="D67" s="49"/>
      <c r="E67" s="96"/>
      <c r="F67" s="95"/>
      <c r="G67" s="97"/>
      <c r="H67" s="95"/>
      <c r="I67" s="95"/>
      <c r="J67" s="95"/>
      <c r="K67" s="95"/>
      <c r="L67" s="95"/>
      <c r="M67" s="49"/>
      <c r="N67" s="49"/>
      <c r="O67" s="49"/>
      <c r="P67" s="49"/>
    </row>
    <row r="68" spans="1:16">
      <c r="A68" s="95"/>
      <c r="B68" s="49"/>
      <c r="C68" s="49"/>
      <c r="D68" s="49"/>
      <c r="E68" s="96"/>
      <c r="F68" s="95"/>
      <c r="G68" s="97"/>
      <c r="H68" s="95"/>
      <c r="I68" s="95"/>
      <c r="J68" s="95"/>
      <c r="K68" s="95"/>
      <c r="L68" s="95"/>
      <c r="M68" s="49"/>
      <c r="N68" s="49"/>
      <c r="O68" s="49"/>
      <c r="P68" s="49"/>
    </row>
    <row r="69" spans="1:16">
      <c r="A69" s="95"/>
      <c r="B69" s="49"/>
      <c r="C69" s="49"/>
      <c r="D69" s="49"/>
      <c r="E69" s="96"/>
      <c r="F69" s="95"/>
      <c r="G69" s="97"/>
      <c r="H69" s="95"/>
      <c r="I69" s="95"/>
      <c r="J69" s="95"/>
      <c r="K69" s="95"/>
      <c r="L69" s="95"/>
      <c r="M69" s="49"/>
      <c r="N69" s="49"/>
      <c r="O69" s="49"/>
      <c r="P69" s="49"/>
    </row>
    <row r="70" spans="1:16">
      <c r="A70" s="95"/>
      <c r="B70" s="49"/>
      <c r="C70" s="49"/>
      <c r="D70" s="49"/>
      <c r="E70" s="96"/>
      <c r="F70" s="95"/>
      <c r="G70" s="97"/>
      <c r="H70" s="95"/>
      <c r="I70" s="95"/>
      <c r="J70" s="95"/>
      <c r="K70" s="95"/>
      <c r="L70" s="95"/>
      <c r="M70" s="49"/>
      <c r="N70" s="49"/>
      <c r="O70" s="49"/>
      <c r="P70" s="49"/>
    </row>
    <row r="71" spans="1:16">
      <c r="A71" s="95"/>
      <c r="B71" s="49"/>
      <c r="C71" s="49"/>
      <c r="D71" s="49"/>
      <c r="E71" s="96"/>
      <c r="F71" s="95"/>
      <c r="G71" s="97"/>
      <c r="H71" s="95"/>
      <c r="I71" s="95"/>
      <c r="J71" s="95"/>
      <c r="K71" s="95"/>
      <c r="L71" s="95"/>
      <c r="M71" s="49"/>
      <c r="N71" s="49"/>
      <c r="O71" s="49"/>
      <c r="P71" s="49"/>
    </row>
    <row r="72" spans="1:16">
      <c r="A72" s="95"/>
      <c r="B72" s="49"/>
      <c r="C72" s="49"/>
      <c r="D72" s="49"/>
      <c r="E72" s="96"/>
      <c r="F72" s="95"/>
      <c r="G72" s="97"/>
      <c r="H72" s="95"/>
      <c r="I72" s="95"/>
      <c r="J72" s="95"/>
      <c r="K72" s="95"/>
      <c r="L72" s="95"/>
      <c r="M72" s="49"/>
      <c r="N72" s="49"/>
      <c r="O72" s="49"/>
      <c r="P72" s="49"/>
    </row>
    <row r="73" spans="1:16">
      <c r="A73" s="95"/>
      <c r="B73" s="49"/>
      <c r="C73" s="49"/>
      <c r="D73" s="49"/>
      <c r="E73" s="96"/>
      <c r="F73" s="95"/>
      <c r="G73" s="97"/>
      <c r="H73" s="95"/>
      <c r="I73" s="95"/>
      <c r="J73" s="95"/>
      <c r="K73" s="95"/>
      <c r="L73" s="95"/>
      <c r="M73" s="49"/>
      <c r="N73" s="49"/>
      <c r="O73" s="49"/>
      <c r="P73" s="49"/>
    </row>
    <row r="74" spans="1:16">
      <c r="A74" s="95"/>
      <c r="B74" s="49"/>
      <c r="C74" s="49"/>
      <c r="D74" s="49"/>
      <c r="E74" s="96"/>
      <c r="F74" s="95"/>
      <c r="G74" s="97"/>
      <c r="H74" s="95"/>
      <c r="I74" s="95"/>
      <c r="J74" s="95"/>
      <c r="K74" s="95"/>
      <c r="L74" s="95"/>
      <c r="M74" s="49"/>
      <c r="N74" s="49"/>
      <c r="O74" s="49"/>
      <c r="P74" s="49"/>
    </row>
    <row r="75" spans="1:16">
      <c r="A75" s="95"/>
      <c r="B75" s="49"/>
      <c r="C75" s="49"/>
      <c r="D75" s="49"/>
      <c r="E75" s="96"/>
      <c r="F75" s="95"/>
      <c r="G75" s="97"/>
      <c r="H75" s="95"/>
      <c r="I75" s="95"/>
      <c r="J75" s="95"/>
      <c r="K75" s="95"/>
      <c r="L75" s="95"/>
      <c r="M75" s="49"/>
      <c r="N75" s="49"/>
      <c r="O75" s="49"/>
      <c r="P75" s="49"/>
    </row>
    <row r="76" spans="1:16">
      <c r="A76" s="95"/>
      <c r="B76" s="49"/>
      <c r="C76" s="49"/>
      <c r="D76" s="49"/>
      <c r="E76" s="96"/>
      <c r="F76" s="95"/>
      <c r="G76" s="97"/>
      <c r="H76" s="95"/>
      <c r="I76" s="95"/>
      <c r="J76" s="95"/>
      <c r="K76" s="95"/>
      <c r="L76" s="95"/>
      <c r="M76" s="49"/>
      <c r="N76" s="49"/>
      <c r="O76" s="49"/>
      <c r="P76" s="49"/>
    </row>
    <row r="77" spans="1:16">
      <c r="A77" s="95"/>
      <c r="B77" s="49"/>
      <c r="C77" s="49"/>
      <c r="D77" s="49"/>
      <c r="E77" s="96"/>
      <c r="F77" s="95"/>
      <c r="G77" s="97"/>
      <c r="H77" s="95"/>
      <c r="I77" s="95"/>
      <c r="J77" s="95"/>
      <c r="K77" s="95"/>
      <c r="L77" s="95"/>
      <c r="M77" s="49"/>
      <c r="N77" s="49"/>
      <c r="O77" s="49"/>
      <c r="P77" s="49"/>
    </row>
    <row r="78" spans="1:16">
      <c r="A78" s="95"/>
      <c r="B78" s="49"/>
      <c r="C78" s="49"/>
      <c r="D78" s="49"/>
      <c r="E78" s="96"/>
      <c r="F78" s="95"/>
      <c r="G78" s="97"/>
      <c r="H78" s="95"/>
      <c r="I78" s="95"/>
      <c r="J78" s="95"/>
      <c r="K78" s="95"/>
      <c r="L78" s="95"/>
      <c r="M78" s="49"/>
      <c r="N78" s="49"/>
      <c r="O78" s="49"/>
      <c r="P78" s="49"/>
    </row>
    <row r="79" spans="1:16">
      <c r="A79" s="95"/>
      <c r="B79" s="49"/>
      <c r="C79" s="49"/>
      <c r="D79" s="49"/>
      <c r="E79" s="96"/>
      <c r="F79" s="95"/>
      <c r="G79" s="97"/>
      <c r="H79" s="95"/>
      <c r="I79" s="95"/>
      <c r="J79" s="95"/>
      <c r="K79" s="95"/>
      <c r="L79" s="95"/>
      <c r="M79" s="49"/>
      <c r="N79" s="49"/>
      <c r="O79" s="49"/>
      <c r="P79" s="49"/>
    </row>
    <row r="80" spans="1:16">
      <c r="A80" s="95"/>
      <c r="B80" s="49"/>
      <c r="C80" s="49"/>
      <c r="D80" s="49"/>
      <c r="E80" s="96"/>
      <c r="F80" s="95"/>
      <c r="G80" s="97"/>
      <c r="H80" s="95"/>
      <c r="I80" s="95"/>
      <c r="J80" s="95"/>
      <c r="K80" s="95"/>
      <c r="L80" s="95"/>
      <c r="M80" s="49"/>
      <c r="N80" s="49"/>
      <c r="O80" s="49"/>
      <c r="P80" s="49"/>
    </row>
    <row r="81" spans="1:16">
      <c r="A81" s="95"/>
      <c r="B81" s="49"/>
      <c r="C81" s="49"/>
      <c r="D81" s="49"/>
      <c r="E81" s="96"/>
      <c r="F81" s="95"/>
      <c r="G81" s="97"/>
      <c r="H81" s="95"/>
      <c r="I81" s="95"/>
      <c r="J81" s="95"/>
      <c r="K81" s="95"/>
      <c r="L81" s="95"/>
      <c r="M81" s="49"/>
      <c r="N81" s="49"/>
      <c r="O81" s="49"/>
      <c r="P81" s="49"/>
    </row>
    <row r="82" spans="1:16">
      <c r="A82" s="95"/>
      <c r="B82" s="49"/>
      <c r="C82" s="49"/>
      <c r="D82" s="49"/>
      <c r="E82" s="96"/>
      <c r="F82" s="95"/>
      <c r="G82" s="97"/>
      <c r="H82" s="95"/>
      <c r="I82" s="95"/>
      <c r="J82" s="95"/>
      <c r="K82" s="95"/>
      <c r="L82" s="95"/>
      <c r="M82" s="49"/>
      <c r="N82" s="49"/>
      <c r="O82" s="49"/>
      <c r="P82" s="49"/>
    </row>
    <row r="83" spans="1:16">
      <c r="A83" s="95"/>
      <c r="B83" s="49"/>
      <c r="C83" s="49"/>
      <c r="D83" s="49"/>
      <c r="E83" s="96"/>
      <c r="F83" s="95"/>
      <c r="G83" s="97"/>
      <c r="H83" s="95"/>
      <c r="I83" s="95"/>
      <c r="J83" s="95"/>
      <c r="K83" s="95"/>
      <c r="L83" s="95"/>
      <c r="M83" s="49"/>
      <c r="N83" s="49"/>
      <c r="O83" s="49"/>
      <c r="P83" s="49"/>
    </row>
    <row r="84" spans="1:16">
      <c r="A84" s="95"/>
      <c r="B84" s="49"/>
      <c r="C84" s="49"/>
      <c r="D84" s="49"/>
      <c r="E84" s="96"/>
      <c r="F84" s="95"/>
      <c r="G84" s="97"/>
      <c r="H84" s="95"/>
      <c r="I84" s="95"/>
      <c r="J84" s="95"/>
      <c r="K84" s="95"/>
      <c r="L84" s="95"/>
      <c r="M84" s="49"/>
      <c r="N84" s="49"/>
      <c r="O84" s="49"/>
      <c r="P84" s="49"/>
    </row>
    <row r="85" spans="1:16">
      <c r="A85" s="95"/>
      <c r="B85" s="49"/>
      <c r="C85" s="49"/>
      <c r="D85" s="49"/>
      <c r="E85" s="96"/>
      <c r="F85" s="95"/>
      <c r="G85" s="97"/>
      <c r="H85" s="95"/>
      <c r="I85" s="95"/>
      <c r="J85" s="95"/>
      <c r="K85" s="95"/>
      <c r="L85" s="95"/>
      <c r="M85" s="49"/>
      <c r="N85" s="49"/>
      <c r="O85" s="49"/>
    </row>
    <row r="86" spans="1:16">
      <c r="A86" s="95"/>
      <c r="B86" s="49"/>
      <c r="C86" s="49"/>
      <c r="D86" s="49"/>
      <c r="E86" s="96"/>
      <c r="F86" s="95"/>
      <c r="G86" s="97"/>
      <c r="H86" s="95"/>
      <c r="I86" s="95"/>
      <c r="J86" s="95"/>
      <c r="K86" s="95"/>
      <c r="L86" s="95"/>
      <c r="M86" s="49"/>
      <c r="N86" s="49"/>
      <c r="O86" s="49"/>
    </row>
    <row r="87" spans="1:16">
      <c r="A87" s="95"/>
      <c r="B87" s="49"/>
      <c r="C87" s="49"/>
      <c r="D87" s="49"/>
      <c r="E87" s="96"/>
      <c r="F87" s="95"/>
      <c r="G87" s="97"/>
      <c r="H87" s="95"/>
      <c r="I87" s="95"/>
      <c r="J87" s="95"/>
      <c r="K87" s="95"/>
      <c r="L87" s="95"/>
      <c r="M87" s="49"/>
      <c r="N87" s="49"/>
      <c r="O87" s="49"/>
    </row>
    <row r="88" spans="1:16">
      <c r="G88" s="98"/>
    </row>
    <row r="89" spans="1:16">
      <c r="G89" s="98"/>
    </row>
    <row r="90" spans="1:16">
      <c r="G90" s="98"/>
    </row>
    <row r="91" spans="1:16">
      <c r="G91" s="98"/>
    </row>
    <row r="92" spans="1:16">
      <c r="G92" s="98"/>
    </row>
    <row r="93" spans="1:16">
      <c r="G93" s="98"/>
    </row>
    <row r="94" spans="1:16">
      <c r="G94" s="98"/>
    </row>
    <row r="95" spans="1:16">
      <c r="G95" s="98"/>
    </row>
    <row r="96" spans="1:16">
      <c r="G96" s="98"/>
    </row>
    <row r="97" spans="7:7">
      <c r="G97" s="98"/>
    </row>
    <row r="98" spans="7:7">
      <c r="G98" s="98"/>
    </row>
    <row r="99" spans="7:7">
      <c r="G99" s="98"/>
    </row>
    <row r="100" spans="7:7">
      <c r="G100" s="98"/>
    </row>
    <row r="101" spans="7:7">
      <c r="G101" s="98"/>
    </row>
    <row r="102" spans="7:7">
      <c r="G102" s="98"/>
    </row>
    <row r="103" spans="7:7">
      <c r="G103" s="98"/>
    </row>
    <row r="104" spans="7:7">
      <c r="G104" s="98"/>
    </row>
    <row r="105" spans="7:7">
      <c r="G105" s="98"/>
    </row>
    <row r="106" spans="7:7">
      <c r="G106" s="98"/>
    </row>
    <row r="107" spans="7:7">
      <c r="G107" s="98"/>
    </row>
    <row r="108" spans="7:7">
      <c r="G108" s="98"/>
    </row>
    <row r="109" spans="7:7">
      <c r="G109" s="98"/>
    </row>
    <row r="110" spans="7:7">
      <c r="G110" s="98"/>
    </row>
    <row r="111" spans="7:7">
      <c r="G111" s="98"/>
    </row>
    <row r="112" spans="7:7">
      <c r="G112" s="98"/>
    </row>
    <row r="113" spans="7:7">
      <c r="G113" s="98"/>
    </row>
    <row r="114" spans="7:7">
      <c r="G114" s="98"/>
    </row>
    <row r="115" spans="7:7">
      <c r="G115" s="98"/>
    </row>
    <row r="116" spans="7:7">
      <c r="G116" s="98"/>
    </row>
    <row r="117" spans="7:7">
      <c r="G117" s="98"/>
    </row>
    <row r="118" spans="7:7">
      <c r="G118" s="98"/>
    </row>
    <row r="119" spans="7:7">
      <c r="G119" s="98"/>
    </row>
    <row r="120" spans="7:7">
      <c r="G120" s="98"/>
    </row>
    <row r="121" spans="7:7">
      <c r="G121" s="98"/>
    </row>
    <row r="122" spans="7:7">
      <c r="G122" s="98"/>
    </row>
    <row r="123" spans="7:7">
      <c r="G123" s="98"/>
    </row>
    <row r="124" spans="7:7">
      <c r="G124" s="98"/>
    </row>
    <row r="125" spans="7:7">
      <c r="G125" s="98"/>
    </row>
    <row r="126" spans="7:7">
      <c r="G126" s="98"/>
    </row>
    <row r="127" spans="7:7">
      <c r="G127" s="98"/>
    </row>
    <row r="128" spans="7:7">
      <c r="G128" s="98"/>
    </row>
    <row r="129" spans="7:7">
      <c r="G129" s="98"/>
    </row>
    <row r="130" spans="7:7">
      <c r="G130" s="98"/>
    </row>
    <row r="131" spans="7:7">
      <c r="G131" s="98"/>
    </row>
    <row r="132" spans="7:7">
      <c r="G132" s="98"/>
    </row>
    <row r="133" spans="7:7">
      <c r="G133" s="98"/>
    </row>
    <row r="134" spans="7:7">
      <c r="G134" s="98"/>
    </row>
    <row r="135" spans="7:7">
      <c r="G135" s="98"/>
    </row>
    <row r="136" spans="7:7">
      <c r="G136" s="98"/>
    </row>
    <row r="137" spans="7:7">
      <c r="G137" s="98"/>
    </row>
    <row r="138" spans="7:7">
      <c r="G138" s="98"/>
    </row>
    <row r="139" spans="7:7">
      <c r="G139" s="98"/>
    </row>
    <row r="140" spans="7:7">
      <c r="G140" s="98"/>
    </row>
    <row r="141" spans="7:7">
      <c r="G141" s="98"/>
    </row>
    <row r="142" spans="7:7">
      <c r="G142" s="98"/>
    </row>
    <row r="143" spans="7:7">
      <c r="G143" s="98"/>
    </row>
    <row r="144" spans="7:7">
      <c r="G144" s="98"/>
    </row>
    <row r="145" spans="7:7">
      <c r="G145" s="98"/>
    </row>
    <row r="146" spans="7:7">
      <c r="G146" s="98"/>
    </row>
    <row r="147" spans="7:7">
      <c r="G147" s="98"/>
    </row>
    <row r="148" spans="7:7">
      <c r="G148" s="98"/>
    </row>
    <row r="149" spans="7:7">
      <c r="G149" s="98"/>
    </row>
    <row r="150" spans="7:7">
      <c r="G150" s="98"/>
    </row>
    <row r="151" spans="7:7">
      <c r="G151" s="98"/>
    </row>
    <row r="152" spans="7:7">
      <c r="G152" s="98"/>
    </row>
    <row r="153" spans="7:7">
      <c r="G153" s="98"/>
    </row>
    <row r="154" spans="7:7">
      <c r="G154" s="98"/>
    </row>
    <row r="155" spans="7:7">
      <c r="G155" s="98"/>
    </row>
    <row r="156" spans="7:7">
      <c r="G156" s="98"/>
    </row>
    <row r="157" spans="7:7">
      <c r="G157" s="98"/>
    </row>
    <row r="158" spans="7:7">
      <c r="G158" s="98"/>
    </row>
    <row r="159" spans="7:7">
      <c r="G159" s="98"/>
    </row>
    <row r="160" spans="7:7">
      <c r="G160" s="98"/>
    </row>
    <row r="161" spans="7:7">
      <c r="G161" s="98"/>
    </row>
    <row r="162" spans="7:7">
      <c r="G162" s="98"/>
    </row>
    <row r="163" spans="7:7">
      <c r="G163" s="98"/>
    </row>
    <row r="164" spans="7:7">
      <c r="G164" s="98"/>
    </row>
    <row r="165" spans="7:7">
      <c r="G165" s="98"/>
    </row>
    <row r="166" spans="7:7">
      <c r="G166" s="98"/>
    </row>
    <row r="167" spans="7:7">
      <c r="G167" s="98"/>
    </row>
    <row r="168" spans="7:7">
      <c r="G168" s="98"/>
    </row>
    <row r="169" spans="7:7">
      <c r="G169" s="98"/>
    </row>
    <row r="170" spans="7:7">
      <c r="G170" s="98"/>
    </row>
    <row r="171" spans="7:7">
      <c r="G171" s="98"/>
    </row>
    <row r="172" spans="7:7">
      <c r="G172" s="98"/>
    </row>
    <row r="173" spans="7:7">
      <c r="G173" s="98"/>
    </row>
    <row r="174" spans="7:7">
      <c r="G174" s="98"/>
    </row>
    <row r="175" spans="7:7">
      <c r="G175" s="98"/>
    </row>
    <row r="176" spans="7:7">
      <c r="G176" s="98"/>
    </row>
    <row r="177" spans="7:7">
      <c r="G177" s="98"/>
    </row>
    <row r="178" spans="7:7">
      <c r="G178" s="98"/>
    </row>
    <row r="179" spans="7:7">
      <c r="G179" s="98"/>
    </row>
    <row r="180" spans="7:7">
      <c r="G180" s="98"/>
    </row>
    <row r="181" spans="7:7">
      <c r="G181" s="98"/>
    </row>
    <row r="182" spans="7:7">
      <c r="G182" s="98"/>
    </row>
    <row r="183" spans="7:7">
      <c r="G183" s="98"/>
    </row>
    <row r="184" spans="7:7">
      <c r="G184" s="98"/>
    </row>
    <row r="185" spans="7:7">
      <c r="G185" s="98"/>
    </row>
    <row r="186" spans="7:7">
      <c r="G186" s="98"/>
    </row>
    <row r="187" spans="7:7">
      <c r="G187" s="98"/>
    </row>
    <row r="188" spans="7:7">
      <c r="G188" s="98"/>
    </row>
    <row r="189" spans="7:7">
      <c r="G189" s="98"/>
    </row>
    <row r="190" spans="7:7">
      <c r="G190" s="98"/>
    </row>
    <row r="191" spans="7:7">
      <c r="G191" s="98"/>
    </row>
    <row r="192" spans="7:7">
      <c r="G192" s="98"/>
    </row>
    <row r="193" spans="7:7">
      <c r="G193" s="98"/>
    </row>
    <row r="194" spans="7:7">
      <c r="G194" s="98"/>
    </row>
    <row r="195" spans="7:7">
      <c r="G195" s="98"/>
    </row>
    <row r="196" spans="7:7">
      <c r="G196" s="98"/>
    </row>
    <row r="197" spans="7:7">
      <c r="G197" s="98"/>
    </row>
    <row r="198" spans="7:7">
      <c r="G198" s="98"/>
    </row>
    <row r="199" spans="7:7">
      <c r="G199" s="98"/>
    </row>
    <row r="200" spans="7:7">
      <c r="G200" s="98"/>
    </row>
    <row r="201" spans="7:7">
      <c r="G201" s="98"/>
    </row>
    <row r="202" spans="7:7">
      <c r="G202" s="98"/>
    </row>
    <row r="203" spans="7:7">
      <c r="G203" s="98"/>
    </row>
    <row r="204" spans="7:7">
      <c r="G204" s="98"/>
    </row>
    <row r="205" spans="7:7">
      <c r="G205" s="98"/>
    </row>
    <row r="206" spans="7:7">
      <c r="G206" s="98"/>
    </row>
    <row r="207" spans="7:7">
      <c r="G207" s="98"/>
    </row>
    <row r="208" spans="7:7">
      <c r="G208" s="98"/>
    </row>
    <row r="209" spans="7:7">
      <c r="G209" s="98"/>
    </row>
    <row r="210" spans="7:7">
      <c r="G210" s="98"/>
    </row>
    <row r="211" spans="7:7">
      <c r="G211" s="98"/>
    </row>
    <row r="212" spans="7:7">
      <c r="G212" s="98"/>
    </row>
    <row r="213" spans="7:7">
      <c r="G213" s="98"/>
    </row>
    <row r="214" spans="7:7">
      <c r="G214" s="98"/>
    </row>
    <row r="215" spans="7:7">
      <c r="G215" s="98"/>
    </row>
    <row r="216" spans="7:7">
      <c r="G216" s="98"/>
    </row>
    <row r="217" spans="7:7">
      <c r="G217" s="98"/>
    </row>
    <row r="218" spans="7:7">
      <c r="G218" s="98"/>
    </row>
    <row r="219" spans="7:7">
      <c r="G219" s="98"/>
    </row>
    <row r="220" spans="7:7">
      <c r="G220" s="98"/>
    </row>
    <row r="221" spans="7:7">
      <c r="G221" s="98"/>
    </row>
    <row r="222" spans="7:7">
      <c r="G222" s="98"/>
    </row>
    <row r="223" spans="7:7">
      <c r="G223" s="98"/>
    </row>
    <row r="224" spans="7:7">
      <c r="G224" s="98"/>
    </row>
    <row r="225" spans="7:7">
      <c r="G225" s="98"/>
    </row>
    <row r="226" spans="7:7">
      <c r="G226" s="98"/>
    </row>
    <row r="227" spans="7:7">
      <c r="G227" s="98"/>
    </row>
    <row r="228" spans="7:7">
      <c r="G228" s="98"/>
    </row>
    <row r="229" spans="7:7">
      <c r="G229" s="98"/>
    </row>
    <row r="230" spans="7:7">
      <c r="G230" s="98"/>
    </row>
    <row r="231" spans="7:7">
      <c r="G231" s="98"/>
    </row>
    <row r="232" spans="7:7">
      <c r="G232" s="98"/>
    </row>
    <row r="233" spans="7:7">
      <c r="G233" s="98"/>
    </row>
    <row r="234" spans="7:7">
      <c r="G234" s="98"/>
    </row>
    <row r="235" spans="7:7">
      <c r="G235" s="98"/>
    </row>
    <row r="236" spans="7:7">
      <c r="G236" s="98"/>
    </row>
    <row r="237" spans="7:7">
      <c r="G237" s="98"/>
    </row>
    <row r="238" spans="7:7">
      <c r="G238" s="98"/>
    </row>
    <row r="239" spans="7:7">
      <c r="G239" s="98"/>
    </row>
    <row r="240" spans="7:7">
      <c r="G240" s="98"/>
    </row>
    <row r="241" spans="7:7">
      <c r="G241" s="98"/>
    </row>
    <row r="242" spans="7:7">
      <c r="G242" s="98"/>
    </row>
    <row r="243" spans="7:7">
      <c r="G243" s="98"/>
    </row>
    <row r="244" spans="7:7">
      <c r="G244" s="98"/>
    </row>
    <row r="245" spans="7:7">
      <c r="G245" s="98"/>
    </row>
    <row r="246" spans="7:7">
      <c r="G246" s="98"/>
    </row>
    <row r="247" spans="7:7">
      <c r="G247" s="98"/>
    </row>
    <row r="248" spans="7:7">
      <c r="G248" s="98"/>
    </row>
    <row r="249" spans="7:7">
      <c r="G249" s="98"/>
    </row>
    <row r="250" spans="7:7">
      <c r="G250" s="98"/>
    </row>
    <row r="251" spans="7:7">
      <c r="G251" s="98"/>
    </row>
    <row r="252" spans="7:7">
      <c r="G252" s="98"/>
    </row>
    <row r="253" spans="7:7">
      <c r="G253" s="98"/>
    </row>
    <row r="254" spans="7:7">
      <c r="G254" s="98"/>
    </row>
    <row r="255" spans="7:7">
      <c r="G255" s="98"/>
    </row>
    <row r="256" spans="7:7">
      <c r="G256" s="98"/>
    </row>
    <row r="257" spans="7:7">
      <c r="G257" s="98"/>
    </row>
    <row r="258" spans="7:7">
      <c r="G258" s="98"/>
    </row>
    <row r="259" spans="7:7">
      <c r="G259" s="98"/>
    </row>
    <row r="260" spans="7:7">
      <c r="G260" s="98"/>
    </row>
    <row r="261" spans="7:7">
      <c r="G261" s="98"/>
    </row>
    <row r="262" spans="7:7">
      <c r="G262" s="98"/>
    </row>
    <row r="263" spans="7:7">
      <c r="G263" s="98"/>
    </row>
    <row r="264" spans="7:7">
      <c r="G264" s="98"/>
    </row>
    <row r="265" spans="7:7">
      <c r="G265" s="98"/>
    </row>
    <row r="266" spans="7:7">
      <c r="G266" s="98"/>
    </row>
    <row r="267" spans="7:7">
      <c r="G267" s="98"/>
    </row>
    <row r="268" spans="7:7">
      <c r="G268" s="98"/>
    </row>
    <row r="269" spans="7:7">
      <c r="G269" s="98"/>
    </row>
    <row r="270" spans="7:7">
      <c r="G270" s="98"/>
    </row>
    <row r="271" spans="7:7">
      <c r="G271" s="98"/>
    </row>
    <row r="272" spans="7:7">
      <c r="G272" s="98"/>
    </row>
    <row r="273" spans="7:7">
      <c r="G273" s="98"/>
    </row>
    <row r="274" spans="7:7">
      <c r="G274" s="98"/>
    </row>
    <row r="275" spans="7:7">
      <c r="G275" s="98"/>
    </row>
    <row r="276" spans="7:7">
      <c r="G276" s="98"/>
    </row>
    <row r="277" spans="7:7">
      <c r="G277" s="98"/>
    </row>
    <row r="278" spans="7:7">
      <c r="G278" s="98"/>
    </row>
    <row r="279" spans="7:7">
      <c r="G279" s="98"/>
    </row>
    <row r="280" spans="7:7">
      <c r="G280" s="98"/>
    </row>
    <row r="281" spans="7:7">
      <c r="G281" s="98"/>
    </row>
    <row r="282" spans="7:7">
      <c r="G282" s="98"/>
    </row>
    <row r="283" spans="7:7">
      <c r="G283" s="98"/>
    </row>
    <row r="284" spans="7:7">
      <c r="G284" s="98"/>
    </row>
    <row r="285" spans="7:7">
      <c r="G285" s="98"/>
    </row>
    <row r="286" spans="7:7">
      <c r="G286" s="98"/>
    </row>
    <row r="287" spans="7:7">
      <c r="G287" s="98"/>
    </row>
    <row r="288" spans="7:7">
      <c r="G288" s="98"/>
    </row>
    <row r="289" spans="7:7">
      <c r="G289" s="98"/>
    </row>
    <row r="290" spans="7:7">
      <c r="G290" s="98"/>
    </row>
    <row r="291" spans="7:7">
      <c r="G291" s="98"/>
    </row>
    <row r="292" spans="7:7">
      <c r="G292" s="98"/>
    </row>
    <row r="293" spans="7:7">
      <c r="G293" s="98"/>
    </row>
    <row r="294" spans="7:7">
      <c r="G294" s="98"/>
    </row>
    <row r="295" spans="7:7">
      <c r="G295" s="98"/>
    </row>
    <row r="296" spans="7:7">
      <c r="G296" s="98"/>
    </row>
    <row r="297" spans="7:7">
      <c r="G297" s="98"/>
    </row>
    <row r="298" spans="7:7">
      <c r="G298" s="98"/>
    </row>
    <row r="299" spans="7:7">
      <c r="G299" s="98"/>
    </row>
    <row r="300" spans="7:7">
      <c r="G300" s="98"/>
    </row>
    <row r="301" spans="7:7">
      <c r="G301" s="98"/>
    </row>
    <row r="302" spans="7:7">
      <c r="G302" s="98"/>
    </row>
    <row r="303" spans="7:7">
      <c r="G303" s="98"/>
    </row>
    <row r="304" spans="7:7">
      <c r="G304" s="98"/>
    </row>
    <row r="305" spans="7:7">
      <c r="G305" s="98"/>
    </row>
    <row r="306" spans="7:7">
      <c r="G306" s="98"/>
    </row>
    <row r="307" spans="7:7">
      <c r="G307" s="98"/>
    </row>
    <row r="308" spans="7:7">
      <c r="G308" s="98"/>
    </row>
    <row r="309" spans="7:7">
      <c r="G309" s="98"/>
    </row>
    <row r="310" spans="7:7">
      <c r="G310" s="98"/>
    </row>
    <row r="311" spans="7:7">
      <c r="G311" s="98"/>
    </row>
    <row r="312" spans="7:7">
      <c r="G312" s="98"/>
    </row>
    <row r="313" spans="7:7">
      <c r="G313" s="98"/>
    </row>
    <row r="314" spans="7:7">
      <c r="G314" s="98"/>
    </row>
    <row r="315" spans="7:7">
      <c r="G315" s="98"/>
    </row>
    <row r="316" spans="7:7">
      <c r="G316" s="98"/>
    </row>
    <row r="317" spans="7:7">
      <c r="G317" s="98"/>
    </row>
    <row r="318" spans="7:7">
      <c r="G318" s="98"/>
    </row>
    <row r="319" spans="7:7">
      <c r="G319" s="98"/>
    </row>
    <row r="320" spans="7:7">
      <c r="G320" s="98"/>
    </row>
    <row r="321" spans="7:7">
      <c r="G321" s="98"/>
    </row>
    <row r="322" spans="7:7">
      <c r="G322" s="98"/>
    </row>
    <row r="323" spans="7:7">
      <c r="G323" s="98"/>
    </row>
    <row r="324" spans="7:7">
      <c r="G324" s="98"/>
    </row>
    <row r="325" spans="7:7">
      <c r="G325" s="98"/>
    </row>
    <row r="326" spans="7:7">
      <c r="G326" s="98"/>
    </row>
    <row r="327" spans="7:7">
      <c r="G327" s="98"/>
    </row>
    <row r="328" spans="7:7">
      <c r="G328" s="98"/>
    </row>
    <row r="329" spans="7:7">
      <c r="G329" s="98"/>
    </row>
    <row r="330" spans="7:7">
      <c r="G330" s="98"/>
    </row>
    <row r="331" spans="7:7">
      <c r="G331" s="98"/>
    </row>
    <row r="332" spans="7:7">
      <c r="G332" s="98"/>
    </row>
    <row r="333" spans="7:7">
      <c r="G333" s="98"/>
    </row>
    <row r="334" spans="7:7">
      <c r="G334" s="98"/>
    </row>
    <row r="335" spans="7:7">
      <c r="G335" s="98"/>
    </row>
    <row r="336" spans="7:7">
      <c r="G336" s="98"/>
    </row>
    <row r="337" spans="7:7">
      <c r="G337" s="98"/>
    </row>
    <row r="338" spans="7:7">
      <c r="G338" s="98"/>
    </row>
    <row r="339" spans="7:7">
      <c r="G339" s="98"/>
    </row>
    <row r="340" spans="7:7">
      <c r="G340" s="98"/>
    </row>
    <row r="341" spans="7:7">
      <c r="G341" s="98"/>
    </row>
    <row r="342" spans="7:7">
      <c r="G342" s="98"/>
    </row>
    <row r="343" spans="7:7">
      <c r="G343" s="98"/>
    </row>
    <row r="344" spans="7:7">
      <c r="G344" s="98"/>
    </row>
    <row r="345" spans="7:7">
      <c r="G345" s="98"/>
    </row>
    <row r="346" spans="7:7">
      <c r="G346" s="98"/>
    </row>
    <row r="347" spans="7:7">
      <c r="G347" s="98"/>
    </row>
    <row r="348" spans="7:7">
      <c r="G348" s="98"/>
    </row>
    <row r="349" spans="7:7">
      <c r="G349" s="98"/>
    </row>
    <row r="350" spans="7:7">
      <c r="G350" s="98"/>
    </row>
    <row r="351" spans="7:7">
      <c r="G351" s="98"/>
    </row>
    <row r="352" spans="7:7">
      <c r="G352" s="98"/>
    </row>
    <row r="353" spans="7:7">
      <c r="G353" s="98"/>
    </row>
    <row r="354" spans="7:7">
      <c r="G354" s="98"/>
    </row>
    <row r="355" spans="7:7">
      <c r="G355" s="98"/>
    </row>
    <row r="356" spans="7:7">
      <c r="G356" s="98"/>
    </row>
    <row r="357" spans="7:7">
      <c r="G357" s="98"/>
    </row>
    <row r="358" spans="7:7">
      <c r="G358" s="98"/>
    </row>
    <row r="359" spans="7:7">
      <c r="G359" s="98"/>
    </row>
    <row r="360" spans="7:7">
      <c r="G360" s="98"/>
    </row>
    <row r="361" spans="7:7">
      <c r="G361" s="98"/>
    </row>
    <row r="362" spans="7:7">
      <c r="G362" s="98"/>
    </row>
    <row r="363" spans="7:7">
      <c r="G363" s="98"/>
    </row>
    <row r="364" spans="7:7">
      <c r="G364" s="98"/>
    </row>
    <row r="365" spans="7:7">
      <c r="G365" s="98"/>
    </row>
    <row r="366" spans="7:7">
      <c r="G366" s="98"/>
    </row>
    <row r="367" spans="7:7">
      <c r="G367" s="98"/>
    </row>
    <row r="368" spans="7:7">
      <c r="G368" s="98"/>
    </row>
    <row r="369" spans="7:7">
      <c r="G369" s="98"/>
    </row>
    <row r="370" spans="7:7">
      <c r="G370" s="98"/>
    </row>
    <row r="371" spans="7:7">
      <c r="G371" s="98"/>
    </row>
    <row r="372" spans="7:7">
      <c r="G372" s="98"/>
    </row>
    <row r="373" spans="7:7">
      <c r="G373" s="98"/>
    </row>
    <row r="374" spans="7:7">
      <c r="G374" s="98"/>
    </row>
    <row r="375" spans="7:7">
      <c r="G375" s="98"/>
    </row>
    <row r="376" spans="7:7">
      <c r="G376" s="98"/>
    </row>
    <row r="377" spans="7:7">
      <c r="G377" s="98"/>
    </row>
    <row r="378" spans="7:7">
      <c r="G378" s="98"/>
    </row>
    <row r="379" spans="7:7">
      <c r="G379" s="98"/>
    </row>
    <row r="380" spans="7:7">
      <c r="G380" s="98"/>
    </row>
    <row r="381" spans="7:7">
      <c r="G381" s="98"/>
    </row>
    <row r="382" spans="7:7">
      <c r="G382" s="98"/>
    </row>
    <row r="383" spans="7:7">
      <c r="G383" s="98"/>
    </row>
    <row r="384" spans="7:7">
      <c r="G384" s="98"/>
    </row>
    <row r="385" spans="7:7">
      <c r="G385" s="98"/>
    </row>
    <row r="386" spans="7:7">
      <c r="G386" s="98"/>
    </row>
    <row r="387" spans="7:7">
      <c r="G387" s="98"/>
    </row>
    <row r="388" spans="7:7">
      <c r="G388" s="98"/>
    </row>
    <row r="389" spans="7:7">
      <c r="G389" s="98"/>
    </row>
    <row r="390" spans="7:7">
      <c r="G390" s="98"/>
    </row>
    <row r="391" spans="7:7">
      <c r="G391" s="98"/>
    </row>
    <row r="392" spans="7:7">
      <c r="G392" s="98"/>
    </row>
    <row r="393" spans="7:7">
      <c r="G393" s="98"/>
    </row>
    <row r="394" spans="7:7">
      <c r="G394" s="98"/>
    </row>
    <row r="395" spans="7:7">
      <c r="G395" s="98"/>
    </row>
    <row r="396" spans="7:7">
      <c r="G396" s="98"/>
    </row>
    <row r="397" spans="7:7">
      <c r="G397" s="98"/>
    </row>
    <row r="398" spans="7:7">
      <c r="G398" s="98"/>
    </row>
    <row r="399" spans="7:7">
      <c r="G399" s="98"/>
    </row>
    <row r="400" spans="7:7">
      <c r="G400" s="98"/>
    </row>
    <row r="401" spans="7:7">
      <c r="G401" s="98"/>
    </row>
    <row r="402" spans="7:7">
      <c r="G402" s="98"/>
    </row>
    <row r="403" spans="7:7">
      <c r="G403" s="98"/>
    </row>
    <row r="404" spans="7:7">
      <c r="G404" s="98"/>
    </row>
    <row r="405" spans="7:7">
      <c r="G405" s="98"/>
    </row>
    <row r="406" spans="7:7">
      <c r="G406" s="98"/>
    </row>
    <row r="407" spans="7:7">
      <c r="G407" s="98"/>
    </row>
    <row r="408" spans="7:7">
      <c r="G408" s="98"/>
    </row>
    <row r="409" spans="7:7">
      <c r="G409" s="98"/>
    </row>
    <row r="410" spans="7:7">
      <c r="G410" s="98"/>
    </row>
    <row r="411" spans="7:7">
      <c r="G411" s="98"/>
    </row>
    <row r="412" spans="7:7">
      <c r="G412" s="98"/>
    </row>
    <row r="413" spans="7:7">
      <c r="G413" s="98"/>
    </row>
    <row r="414" spans="7:7">
      <c r="G414" s="98"/>
    </row>
    <row r="415" spans="7:7">
      <c r="G415" s="98"/>
    </row>
    <row r="416" spans="7:7">
      <c r="G416" s="98"/>
    </row>
    <row r="417" spans="7:7">
      <c r="G417" s="98"/>
    </row>
    <row r="418" spans="7:7">
      <c r="G418" s="98"/>
    </row>
    <row r="419" spans="7:7">
      <c r="G419" s="98"/>
    </row>
    <row r="420" spans="7:7">
      <c r="G420" s="98"/>
    </row>
    <row r="421" spans="7:7">
      <c r="G421" s="98"/>
    </row>
    <row r="422" spans="7:7">
      <c r="G422" s="98"/>
    </row>
    <row r="423" spans="7:7">
      <c r="G423" s="98"/>
    </row>
    <row r="424" spans="7:7">
      <c r="G424" s="98"/>
    </row>
    <row r="425" spans="7:7">
      <c r="G425" s="98"/>
    </row>
    <row r="426" spans="7:7">
      <c r="G426" s="98"/>
    </row>
    <row r="427" spans="7:7">
      <c r="G427" s="98"/>
    </row>
    <row r="428" spans="7:7">
      <c r="G428" s="98"/>
    </row>
    <row r="429" spans="7:7">
      <c r="G429" s="98"/>
    </row>
    <row r="430" spans="7:7">
      <c r="G430" s="98"/>
    </row>
    <row r="431" spans="7:7">
      <c r="G431" s="98"/>
    </row>
    <row r="432" spans="7:7">
      <c r="G432" s="98"/>
    </row>
    <row r="433" spans="7:7">
      <c r="G433" s="98"/>
    </row>
    <row r="434" spans="7:7">
      <c r="G434" s="98"/>
    </row>
    <row r="435" spans="7:7">
      <c r="G435" s="98"/>
    </row>
    <row r="436" spans="7:7">
      <c r="G436" s="98"/>
    </row>
    <row r="437" spans="7:7">
      <c r="G437" s="98"/>
    </row>
    <row r="438" spans="7:7">
      <c r="G438" s="98"/>
    </row>
    <row r="439" spans="7:7">
      <c r="G439" s="98"/>
    </row>
    <row r="440" spans="7:7">
      <c r="G440" s="98"/>
    </row>
    <row r="441" spans="7:7">
      <c r="G441" s="98"/>
    </row>
    <row r="442" spans="7:7">
      <c r="G442" s="98"/>
    </row>
    <row r="443" spans="7:7">
      <c r="G443" s="98"/>
    </row>
    <row r="444" spans="7:7">
      <c r="G444" s="98"/>
    </row>
    <row r="445" spans="7:7">
      <c r="G445" s="98"/>
    </row>
    <row r="446" spans="7:7">
      <c r="G446" s="98"/>
    </row>
    <row r="447" spans="7:7">
      <c r="G447" s="98"/>
    </row>
    <row r="448" spans="7:7">
      <c r="G448" s="98"/>
    </row>
    <row r="449" spans="7:7">
      <c r="G449" s="98"/>
    </row>
    <row r="450" spans="7:7">
      <c r="G450" s="98"/>
    </row>
    <row r="451" spans="7:7">
      <c r="G451" s="98"/>
    </row>
    <row r="452" spans="7:7">
      <c r="G452" s="98"/>
    </row>
    <row r="453" spans="7:7">
      <c r="G453" s="98"/>
    </row>
    <row r="454" spans="7:7">
      <c r="G454" s="98"/>
    </row>
    <row r="455" spans="7:7">
      <c r="G455" s="98"/>
    </row>
    <row r="456" spans="7:7">
      <c r="G456" s="98"/>
    </row>
    <row r="457" spans="7:7">
      <c r="G457" s="98"/>
    </row>
    <row r="458" spans="7:7">
      <c r="G458" s="98"/>
    </row>
    <row r="459" spans="7:7">
      <c r="G459" s="98"/>
    </row>
    <row r="460" spans="7:7">
      <c r="G460" s="98"/>
    </row>
    <row r="461" spans="7:7">
      <c r="G461" s="98"/>
    </row>
    <row r="462" spans="7:7">
      <c r="G462" s="98"/>
    </row>
    <row r="463" spans="7:7">
      <c r="G463" s="98"/>
    </row>
    <row r="464" spans="7:7">
      <c r="G464" s="98"/>
    </row>
    <row r="465" spans="7:7">
      <c r="G465" s="98"/>
    </row>
    <row r="466" spans="7:7">
      <c r="G466" s="98"/>
    </row>
    <row r="467" spans="7:7">
      <c r="G467" s="98"/>
    </row>
    <row r="468" spans="7:7">
      <c r="G468" s="98"/>
    </row>
    <row r="469" spans="7:7">
      <c r="G469" s="98"/>
    </row>
    <row r="470" spans="7:7">
      <c r="G470" s="98"/>
    </row>
    <row r="471" spans="7:7">
      <c r="G471" s="98"/>
    </row>
    <row r="472" spans="7:7">
      <c r="G472" s="98"/>
    </row>
    <row r="473" spans="7:7">
      <c r="G473" s="98"/>
    </row>
    <row r="474" spans="7:7">
      <c r="G474" s="98"/>
    </row>
    <row r="475" spans="7:7">
      <c r="G475" s="98"/>
    </row>
    <row r="476" spans="7:7">
      <c r="G476" s="98"/>
    </row>
    <row r="477" spans="7:7">
      <c r="G477" s="98"/>
    </row>
    <row r="478" spans="7:7">
      <c r="G478" s="98"/>
    </row>
    <row r="479" spans="7:7">
      <c r="G479" s="98"/>
    </row>
    <row r="480" spans="7:7">
      <c r="G480" s="98"/>
    </row>
    <row r="481" spans="7:7">
      <c r="G481" s="98"/>
    </row>
    <row r="482" spans="7:7">
      <c r="G482" s="98"/>
    </row>
    <row r="483" spans="7:7">
      <c r="G483" s="98"/>
    </row>
    <row r="484" spans="7:7">
      <c r="G484" s="98"/>
    </row>
    <row r="485" spans="7:7">
      <c r="G485" s="98"/>
    </row>
    <row r="486" spans="7:7">
      <c r="G486" s="98"/>
    </row>
    <row r="487" spans="7:7">
      <c r="G487" s="98"/>
    </row>
    <row r="488" spans="7:7">
      <c r="G488" s="98"/>
    </row>
    <row r="489" spans="7:7">
      <c r="G489" s="98"/>
    </row>
    <row r="490" spans="7:7">
      <c r="G490" s="98"/>
    </row>
    <row r="491" spans="7:7">
      <c r="G491" s="98"/>
    </row>
    <row r="492" spans="7:7">
      <c r="G492" s="98"/>
    </row>
    <row r="493" spans="7:7">
      <c r="G493" s="98"/>
    </row>
    <row r="494" spans="7:7">
      <c r="G494" s="98"/>
    </row>
    <row r="495" spans="7:7">
      <c r="G495" s="98"/>
    </row>
    <row r="496" spans="7:7">
      <c r="G496" s="98"/>
    </row>
    <row r="497" spans="7:7">
      <c r="G497" s="98"/>
    </row>
    <row r="498" spans="7:7">
      <c r="G498" s="98"/>
    </row>
    <row r="499" spans="7:7">
      <c r="G499" s="98"/>
    </row>
    <row r="500" spans="7:7">
      <c r="G500" s="98"/>
    </row>
    <row r="501" spans="7:7">
      <c r="G501" s="98"/>
    </row>
    <row r="502" spans="7:7">
      <c r="G502" s="98"/>
    </row>
    <row r="503" spans="7:7">
      <c r="G503" s="98"/>
    </row>
    <row r="504" spans="7:7">
      <c r="G504" s="98"/>
    </row>
    <row r="505" spans="7:7">
      <c r="G505" s="98"/>
    </row>
    <row r="506" spans="7:7">
      <c r="G506" s="98"/>
    </row>
    <row r="507" spans="7:7">
      <c r="G507" s="98"/>
    </row>
    <row r="508" spans="7:7">
      <c r="G508" s="98"/>
    </row>
    <row r="509" spans="7:7">
      <c r="G509" s="98"/>
    </row>
    <row r="510" spans="7:7">
      <c r="G510" s="98"/>
    </row>
    <row r="511" spans="7:7">
      <c r="G511" s="98"/>
    </row>
    <row r="512" spans="7:7">
      <c r="G512" s="98"/>
    </row>
    <row r="513" spans="7:7">
      <c r="G513" s="98"/>
    </row>
    <row r="514" spans="7:7">
      <c r="G514" s="98"/>
    </row>
    <row r="515" spans="7:7">
      <c r="G515" s="98"/>
    </row>
    <row r="516" spans="7:7">
      <c r="G516" s="98"/>
    </row>
    <row r="517" spans="7:7">
      <c r="G517" s="98"/>
    </row>
    <row r="518" spans="7:7">
      <c r="G518" s="98"/>
    </row>
    <row r="519" spans="7:7">
      <c r="G519" s="98"/>
    </row>
    <row r="520" spans="7:7">
      <c r="G520" s="98"/>
    </row>
    <row r="521" spans="7:7">
      <c r="G521" s="98"/>
    </row>
    <row r="522" spans="7:7">
      <c r="G522" s="98"/>
    </row>
    <row r="523" spans="7:7">
      <c r="G523" s="98"/>
    </row>
    <row r="524" spans="7:7">
      <c r="G524" s="98"/>
    </row>
    <row r="525" spans="7:7">
      <c r="G525" s="98"/>
    </row>
    <row r="526" spans="7:7">
      <c r="G526" s="98"/>
    </row>
    <row r="527" spans="7:7">
      <c r="G527" s="98"/>
    </row>
    <row r="528" spans="7:7">
      <c r="G528" s="98"/>
    </row>
    <row r="529" spans="7:7">
      <c r="G529" s="98"/>
    </row>
    <row r="530" spans="7:7">
      <c r="G530" s="98"/>
    </row>
    <row r="531" spans="7:7">
      <c r="G531" s="98"/>
    </row>
    <row r="532" spans="7:7">
      <c r="G532" s="98"/>
    </row>
    <row r="533" spans="7:7">
      <c r="G533" s="98"/>
    </row>
    <row r="534" spans="7:7">
      <c r="G534" s="98"/>
    </row>
    <row r="535" spans="7:7">
      <c r="G535" s="98"/>
    </row>
    <row r="536" spans="7:7">
      <c r="G536" s="98"/>
    </row>
    <row r="537" spans="7:7">
      <c r="G537" s="98"/>
    </row>
    <row r="538" spans="7:7">
      <c r="G538" s="98"/>
    </row>
    <row r="539" spans="7:7">
      <c r="G539" s="98"/>
    </row>
    <row r="540" spans="7:7">
      <c r="G540" s="98"/>
    </row>
    <row r="541" spans="7:7">
      <c r="G541" s="98"/>
    </row>
    <row r="542" spans="7:7">
      <c r="G542" s="98"/>
    </row>
    <row r="543" spans="7:7">
      <c r="G543" s="98"/>
    </row>
    <row r="544" spans="7:7">
      <c r="G544" s="98"/>
    </row>
    <row r="545" spans="7:7">
      <c r="G545" s="98"/>
    </row>
    <row r="546" spans="7:7">
      <c r="G546" s="98"/>
    </row>
    <row r="547" spans="7:7">
      <c r="G547" s="98"/>
    </row>
    <row r="548" spans="7:7">
      <c r="G548" s="98"/>
    </row>
    <row r="549" spans="7:7">
      <c r="G549" s="98"/>
    </row>
    <row r="550" spans="7:7">
      <c r="G550" s="98"/>
    </row>
    <row r="551" spans="7:7">
      <c r="G551" s="98"/>
    </row>
    <row r="552" spans="7:7">
      <c r="G552" s="98"/>
    </row>
    <row r="553" spans="7:7">
      <c r="G553" s="98"/>
    </row>
    <row r="554" spans="7:7">
      <c r="G554" s="98"/>
    </row>
    <row r="555" spans="7:7">
      <c r="G555" s="98"/>
    </row>
    <row r="556" spans="7:7">
      <c r="G556" s="98"/>
    </row>
    <row r="557" spans="7:7">
      <c r="G557" s="98"/>
    </row>
    <row r="558" spans="7:7">
      <c r="G558" s="98"/>
    </row>
    <row r="559" spans="7:7">
      <c r="G559" s="98"/>
    </row>
    <row r="560" spans="7:7">
      <c r="G560" s="98"/>
    </row>
    <row r="561" spans="7:7">
      <c r="G561" s="98"/>
    </row>
    <row r="562" spans="7:7">
      <c r="G562" s="98"/>
    </row>
    <row r="563" spans="7:7">
      <c r="G563" s="98"/>
    </row>
    <row r="564" spans="7:7">
      <c r="G564" s="98"/>
    </row>
    <row r="565" spans="7:7">
      <c r="G565" s="98"/>
    </row>
    <row r="566" spans="7:7">
      <c r="G566" s="98"/>
    </row>
    <row r="567" spans="7:7">
      <c r="G567" s="98"/>
    </row>
    <row r="568" spans="7:7">
      <c r="G568" s="98"/>
    </row>
    <row r="569" spans="7:7">
      <c r="G569" s="98"/>
    </row>
    <row r="570" spans="7:7">
      <c r="G570" s="98"/>
    </row>
    <row r="571" spans="7:7">
      <c r="G571" s="98"/>
    </row>
    <row r="572" spans="7:7">
      <c r="G572" s="98"/>
    </row>
    <row r="573" spans="7:7">
      <c r="G573" s="98"/>
    </row>
    <row r="574" spans="7:7">
      <c r="G574" s="98"/>
    </row>
    <row r="575" spans="7:7">
      <c r="G575" s="98"/>
    </row>
    <row r="576" spans="7:7">
      <c r="G576" s="98"/>
    </row>
    <row r="577" spans="7:7">
      <c r="G577" s="98"/>
    </row>
    <row r="578" spans="7:7">
      <c r="G578" s="98"/>
    </row>
    <row r="579" spans="7:7">
      <c r="G579" s="98"/>
    </row>
    <row r="580" spans="7:7">
      <c r="G580" s="98"/>
    </row>
    <row r="581" spans="7:7">
      <c r="G581" s="98"/>
    </row>
    <row r="582" spans="7:7">
      <c r="G582" s="98"/>
    </row>
    <row r="583" spans="7:7">
      <c r="G583" s="98"/>
    </row>
    <row r="584" spans="7:7">
      <c r="G584" s="98"/>
    </row>
    <row r="585" spans="7:7">
      <c r="G585" s="98"/>
    </row>
    <row r="586" spans="7:7">
      <c r="G586" s="98"/>
    </row>
    <row r="587" spans="7:7">
      <c r="G587" s="98"/>
    </row>
    <row r="588" spans="7:7">
      <c r="G588" s="98"/>
    </row>
    <row r="589" spans="7:7">
      <c r="G589" s="98"/>
    </row>
    <row r="590" spans="7:7">
      <c r="G590" s="98"/>
    </row>
    <row r="591" spans="7:7">
      <c r="G591" s="98"/>
    </row>
    <row r="592" spans="7:7">
      <c r="G592" s="98"/>
    </row>
    <row r="593" spans="7:7">
      <c r="G593" s="98"/>
    </row>
    <row r="594" spans="7:7">
      <c r="G594" s="98"/>
    </row>
    <row r="595" spans="7:7">
      <c r="G595" s="98"/>
    </row>
    <row r="596" spans="7:7">
      <c r="G596" s="98"/>
    </row>
    <row r="597" spans="7:7">
      <c r="G597" s="98"/>
    </row>
    <row r="598" spans="7:7">
      <c r="G598" s="98"/>
    </row>
    <row r="599" spans="7:7">
      <c r="G599" s="98"/>
    </row>
    <row r="600" spans="7:7">
      <c r="G600" s="98"/>
    </row>
    <row r="601" spans="7:7">
      <c r="G601" s="98"/>
    </row>
    <row r="602" spans="7:7">
      <c r="G602" s="98"/>
    </row>
    <row r="603" spans="7:7">
      <c r="G603" s="98"/>
    </row>
    <row r="604" spans="7:7">
      <c r="G604" s="98"/>
    </row>
    <row r="605" spans="7:7">
      <c r="G605" s="98"/>
    </row>
    <row r="606" spans="7:7">
      <c r="G606" s="98"/>
    </row>
    <row r="607" spans="7:7">
      <c r="G607" s="98"/>
    </row>
    <row r="608" spans="7:7">
      <c r="G608" s="98"/>
    </row>
    <row r="609" spans="7:7">
      <c r="G609" s="98"/>
    </row>
    <row r="610" spans="7:7">
      <c r="G610" s="98"/>
    </row>
    <row r="611" spans="7:7">
      <c r="G611" s="98"/>
    </row>
    <row r="612" spans="7:7">
      <c r="G612" s="98"/>
    </row>
    <row r="613" spans="7:7">
      <c r="G613" s="98"/>
    </row>
    <row r="614" spans="7:7">
      <c r="G614" s="98"/>
    </row>
    <row r="615" spans="7:7">
      <c r="G615" s="98"/>
    </row>
    <row r="616" spans="7:7">
      <c r="G616" s="98"/>
    </row>
    <row r="617" spans="7:7">
      <c r="G617" s="98"/>
    </row>
    <row r="618" spans="7:7">
      <c r="G618" s="98"/>
    </row>
    <row r="619" spans="7:7">
      <c r="G619" s="98"/>
    </row>
    <row r="620" spans="7:7">
      <c r="G620" s="98"/>
    </row>
    <row r="621" spans="7:7">
      <c r="G621" s="98"/>
    </row>
    <row r="622" spans="7:7">
      <c r="G622" s="98"/>
    </row>
    <row r="623" spans="7:7">
      <c r="G623" s="98"/>
    </row>
    <row r="624" spans="7:7">
      <c r="G624" s="98"/>
    </row>
    <row r="625" spans="7:7">
      <c r="G625" s="98"/>
    </row>
    <row r="626" spans="7:7">
      <c r="G626" s="98"/>
    </row>
    <row r="627" spans="7:7">
      <c r="G627" s="98"/>
    </row>
    <row r="628" spans="7:7">
      <c r="G628" s="98"/>
    </row>
    <row r="629" spans="7:7">
      <c r="G629" s="98"/>
    </row>
    <row r="630" spans="7:7">
      <c r="G630" s="98"/>
    </row>
    <row r="631" spans="7:7">
      <c r="G631" s="98"/>
    </row>
    <row r="632" spans="7:7">
      <c r="G632" s="98"/>
    </row>
    <row r="633" spans="7:7">
      <c r="G633" s="98"/>
    </row>
    <row r="634" spans="7:7">
      <c r="G634" s="98"/>
    </row>
    <row r="635" spans="7:7">
      <c r="G635" s="98"/>
    </row>
    <row r="636" spans="7:7">
      <c r="G636" s="98"/>
    </row>
    <row r="637" spans="7:7">
      <c r="G637" s="98"/>
    </row>
    <row r="638" spans="7:7">
      <c r="G638" s="98"/>
    </row>
    <row r="639" spans="7:7">
      <c r="G639" s="98"/>
    </row>
    <row r="640" spans="7:7">
      <c r="G640" s="98"/>
    </row>
    <row r="641" spans="7:7">
      <c r="G641" s="98"/>
    </row>
    <row r="642" spans="7:7">
      <c r="G642" s="98"/>
    </row>
    <row r="643" spans="7:7">
      <c r="G643" s="98"/>
    </row>
    <row r="644" spans="7:7">
      <c r="G644" s="98"/>
    </row>
    <row r="645" spans="7:7">
      <c r="G645" s="98"/>
    </row>
    <row r="646" spans="7:7">
      <c r="G646" s="98"/>
    </row>
    <row r="647" spans="7:7">
      <c r="G647" s="98"/>
    </row>
    <row r="648" spans="7:7">
      <c r="G648" s="98"/>
    </row>
    <row r="649" spans="7:7">
      <c r="G649" s="98"/>
    </row>
    <row r="650" spans="7:7">
      <c r="G650" s="98"/>
    </row>
    <row r="651" spans="7:7">
      <c r="G651" s="98"/>
    </row>
    <row r="652" spans="7:7">
      <c r="G652" s="98"/>
    </row>
    <row r="653" spans="7:7">
      <c r="G653" s="98"/>
    </row>
    <row r="654" spans="7:7">
      <c r="G654" s="98"/>
    </row>
    <row r="655" spans="7:7">
      <c r="G655" s="98"/>
    </row>
    <row r="656" spans="7:7">
      <c r="G656" s="98"/>
    </row>
    <row r="657" spans="7:7">
      <c r="G657" s="98"/>
    </row>
    <row r="658" spans="7:7">
      <c r="G658" s="98"/>
    </row>
    <row r="659" spans="7:7">
      <c r="G659" s="98"/>
    </row>
    <row r="660" spans="7:7">
      <c r="G660" s="98"/>
    </row>
    <row r="661" spans="7:7">
      <c r="G661" s="98"/>
    </row>
    <row r="662" spans="7:7">
      <c r="G662" s="98"/>
    </row>
    <row r="663" spans="7:7">
      <c r="G663" s="98"/>
    </row>
    <row r="664" spans="7:7">
      <c r="G664" s="98"/>
    </row>
    <row r="665" spans="7:7">
      <c r="G665" s="98"/>
    </row>
    <row r="666" spans="7:7">
      <c r="G666" s="98"/>
    </row>
    <row r="667" spans="7:7">
      <c r="G667" s="98"/>
    </row>
    <row r="668" spans="7:7">
      <c r="G668" s="98"/>
    </row>
    <row r="669" spans="7:7">
      <c r="G669" s="98"/>
    </row>
    <row r="670" spans="7:7">
      <c r="G670" s="98"/>
    </row>
    <row r="671" spans="7:7">
      <c r="G671" s="98"/>
    </row>
    <row r="672" spans="7:7">
      <c r="G672" s="98"/>
    </row>
    <row r="673" spans="7:7">
      <c r="G673" s="98"/>
    </row>
    <row r="674" spans="7:7">
      <c r="G674" s="98"/>
    </row>
    <row r="675" spans="7:7">
      <c r="G675" s="98"/>
    </row>
    <row r="676" spans="7:7">
      <c r="G676" s="98"/>
    </row>
    <row r="677" spans="7:7">
      <c r="G677" s="98"/>
    </row>
    <row r="678" spans="7:7">
      <c r="G678" s="98"/>
    </row>
    <row r="679" spans="7:7">
      <c r="G679" s="98"/>
    </row>
    <row r="680" spans="7:7">
      <c r="G680" s="98"/>
    </row>
    <row r="681" spans="7:7">
      <c r="G681" s="98"/>
    </row>
    <row r="682" spans="7:7">
      <c r="G682" s="98"/>
    </row>
    <row r="683" spans="7:7">
      <c r="G683" s="98"/>
    </row>
    <row r="684" spans="7:7">
      <c r="G684" s="98"/>
    </row>
    <row r="685" spans="7:7">
      <c r="G685" s="98"/>
    </row>
    <row r="686" spans="7:7">
      <c r="G686" s="98"/>
    </row>
    <row r="687" spans="7:7">
      <c r="G687" s="98"/>
    </row>
    <row r="688" spans="7:7">
      <c r="G688" s="98"/>
    </row>
    <row r="689" spans="7:7">
      <c r="G689" s="98"/>
    </row>
    <row r="690" spans="7:7">
      <c r="G690" s="98"/>
    </row>
    <row r="691" spans="7:7">
      <c r="G691" s="98"/>
    </row>
    <row r="692" spans="7:7">
      <c r="G692" s="98"/>
    </row>
    <row r="693" spans="7:7">
      <c r="G693" s="98"/>
    </row>
    <row r="694" spans="7:7">
      <c r="G694" s="98"/>
    </row>
    <row r="695" spans="7:7">
      <c r="G695" s="98"/>
    </row>
    <row r="696" spans="7:7">
      <c r="G696" s="98"/>
    </row>
    <row r="697" spans="7:7">
      <c r="G697" s="98"/>
    </row>
    <row r="698" spans="7:7">
      <c r="G698" s="98"/>
    </row>
    <row r="699" spans="7:7">
      <c r="G699" s="98"/>
    </row>
    <row r="700" spans="7:7">
      <c r="G700" s="98"/>
    </row>
    <row r="701" spans="7:7">
      <c r="G701" s="98"/>
    </row>
    <row r="702" spans="7:7">
      <c r="G702" s="98"/>
    </row>
    <row r="703" spans="7:7">
      <c r="G703" s="98"/>
    </row>
    <row r="704" spans="7:7">
      <c r="G704" s="98"/>
    </row>
    <row r="705" spans="7:7">
      <c r="G705" s="98"/>
    </row>
    <row r="706" spans="7:7">
      <c r="G706" s="98"/>
    </row>
    <row r="707" spans="7:7">
      <c r="G707" s="98"/>
    </row>
    <row r="708" spans="7:7">
      <c r="G708" s="98"/>
    </row>
    <row r="709" spans="7:7">
      <c r="G709" s="98"/>
    </row>
    <row r="710" spans="7:7">
      <c r="G710" s="98"/>
    </row>
    <row r="711" spans="7:7">
      <c r="G711" s="98"/>
    </row>
    <row r="712" spans="7:7">
      <c r="G712" s="98"/>
    </row>
    <row r="713" spans="7:7">
      <c r="G713" s="98"/>
    </row>
    <row r="714" spans="7:7">
      <c r="G714" s="98"/>
    </row>
    <row r="715" spans="7:7">
      <c r="G715" s="98"/>
    </row>
    <row r="716" spans="7:7">
      <c r="G716" s="98"/>
    </row>
    <row r="717" spans="7:7">
      <c r="G717" s="98"/>
    </row>
    <row r="718" spans="7:7">
      <c r="G718" s="98"/>
    </row>
    <row r="719" spans="7:7">
      <c r="G719" s="98"/>
    </row>
    <row r="720" spans="7:7">
      <c r="G720" s="98"/>
    </row>
    <row r="721" spans="7:7">
      <c r="G721" s="98"/>
    </row>
    <row r="722" spans="7:7">
      <c r="G722" s="98"/>
    </row>
    <row r="723" spans="7:7">
      <c r="G723" s="98"/>
    </row>
    <row r="724" spans="7:7">
      <c r="G724" s="98"/>
    </row>
    <row r="725" spans="7:7">
      <c r="G725" s="98"/>
    </row>
    <row r="726" spans="7:7">
      <c r="G726" s="98"/>
    </row>
    <row r="727" spans="7:7">
      <c r="G727" s="98"/>
    </row>
    <row r="728" spans="7:7">
      <c r="G728" s="98"/>
    </row>
    <row r="729" spans="7:7">
      <c r="G729" s="98"/>
    </row>
    <row r="730" spans="7:7">
      <c r="G730" s="98"/>
    </row>
    <row r="731" spans="7:7">
      <c r="G731" s="98"/>
    </row>
    <row r="732" spans="7:7">
      <c r="G732" s="98"/>
    </row>
    <row r="733" spans="7:7">
      <c r="G733" s="98"/>
    </row>
    <row r="734" spans="7:7">
      <c r="G734" s="98"/>
    </row>
    <row r="735" spans="7:7">
      <c r="G735" s="98"/>
    </row>
    <row r="736" spans="7:7">
      <c r="G736" s="98"/>
    </row>
    <row r="737" spans="7:7">
      <c r="G737" s="98"/>
    </row>
    <row r="738" spans="7:7">
      <c r="G738" s="98"/>
    </row>
    <row r="739" spans="7:7">
      <c r="G739" s="98"/>
    </row>
    <row r="740" spans="7:7">
      <c r="G740" s="98"/>
    </row>
    <row r="741" spans="7:7">
      <c r="G741" s="98"/>
    </row>
    <row r="742" spans="7:7">
      <c r="G742" s="98"/>
    </row>
    <row r="743" spans="7:7">
      <c r="G743" s="98"/>
    </row>
    <row r="744" spans="7:7">
      <c r="G744" s="98"/>
    </row>
    <row r="745" spans="7:7">
      <c r="G745" s="98"/>
    </row>
    <row r="746" spans="7:7">
      <c r="G746" s="98"/>
    </row>
    <row r="747" spans="7:7">
      <c r="G747" s="98"/>
    </row>
    <row r="748" spans="7:7">
      <c r="G748" s="98"/>
    </row>
    <row r="749" spans="7:7">
      <c r="G749" s="98"/>
    </row>
    <row r="750" spans="7:7">
      <c r="G750" s="98"/>
    </row>
    <row r="751" spans="7:7">
      <c r="G751" s="98"/>
    </row>
    <row r="752" spans="7:7">
      <c r="G752" s="98"/>
    </row>
    <row r="753" spans="7:7">
      <c r="G753" s="98"/>
    </row>
    <row r="754" spans="7:7">
      <c r="G754" s="98"/>
    </row>
    <row r="755" spans="7:7">
      <c r="G755" s="98"/>
    </row>
    <row r="756" spans="7:7">
      <c r="G756" s="98"/>
    </row>
    <row r="757" spans="7:7">
      <c r="G757" s="98"/>
    </row>
    <row r="758" spans="7:7">
      <c r="G758" s="98"/>
    </row>
    <row r="759" spans="7:7">
      <c r="G759" s="98"/>
    </row>
    <row r="760" spans="7:7">
      <c r="G760" s="98"/>
    </row>
    <row r="761" spans="7:7">
      <c r="G761" s="98"/>
    </row>
    <row r="762" spans="7:7">
      <c r="G762" s="98"/>
    </row>
    <row r="763" spans="7:7">
      <c r="G763" s="98"/>
    </row>
    <row r="764" spans="7:7">
      <c r="G764" s="98"/>
    </row>
    <row r="765" spans="7:7">
      <c r="G765" s="98"/>
    </row>
    <row r="766" spans="7:7">
      <c r="G766" s="98"/>
    </row>
    <row r="767" spans="7:7">
      <c r="G767" s="98"/>
    </row>
    <row r="768" spans="7:7">
      <c r="G768" s="98"/>
    </row>
    <row r="769" spans="7:7">
      <c r="G769" s="98"/>
    </row>
    <row r="770" spans="7:7">
      <c r="G770" s="9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49"/>
  <sheetViews>
    <sheetView workbookViewId="0"/>
  </sheetViews>
  <sheetFormatPr defaultColWidth="12.5703125" defaultRowHeight="15.75" customHeight="1"/>
  <sheetData>
    <row r="1" spans="1:1">
      <c r="A1" s="49" t="s">
        <v>26</v>
      </c>
    </row>
    <row r="2" spans="1:1">
      <c r="A2" s="99" t="e">
        <f ca="1">HYPERLINK(
  "https://wa.me/"&amp;
  'Performa Iklan'!N1&amp;
  "?text="&amp;
  _xludf.ENCODEURL('Performa Iklan'!O1),
  "Kirim WhatsApp"
)</f>
        <v>#NAME?</v>
      </c>
    </row>
    <row r="3" spans="1:1">
      <c r="A3" s="99" t="e">
        <f ca="1">HYPERLINK(
  "https://wa.me/"&amp;
  'Performa Iklan'!N2&amp;
  "?text="&amp;
  _xludf.ENCODEURL('Performa Iklan'!O2),
  "Kirim WhatsApp"
)</f>
        <v>#NAME?</v>
      </c>
    </row>
    <row r="4" spans="1:1">
      <c r="A4" s="99" t="e">
        <f ca="1">HYPERLINK(
  "https://wa.me/"&amp;
  'Performa Iklan'!N2&amp;
  "?text="&amp;
  _xludf.ENCODEURL('Performa Iklan'!O2),
  "Kirim WhatsApp"
)</f>
        <v>#NAME?</v>
      </c>
    </row>
    <row r="5" spans="1:1">
      <c r="A5" s="99" t="e">
        <f ca="1">HYPERLINK(
  "https://wa.me/"&amp;
  'Performa Iklan'!N3&amp;
  "?text="&amp;
  _xludf.ENCODEURL('Performa Iklan'!O3),
  "Kirim WhatsApp"
)</f>
        <v>#NAME?</v>
      </c>
    </row>
    <row r="6" spans="1:1">
      <c r="A6" s="99" t="e">
        <f ca="1">HYPERLINK(
  "https://wa.me/"&amp;
  'Performa Iklan'!N4&amp;
  "?text="&amp;
  _xludf.ENCODEURL('Performa Iklan'!O4),
  "Kirim WhatsApp"
)</f>
        <v>#NAME?</v>
      </c>
    </row>
    <row r="7" spans="1:1">
      <c r="A7" s="99" t="e">
        <f ca="1">HYPERLINK(
  "https://wa.me/"&amp;
  'Performa Iklan'!N5&amp;
  "?text="&amp;
  _xludf.ENCODEURL('Performa Iklan'!O5),
  "Kirim WhatsApp"
)</f>
        <v>#NAME?</v>
      </c>
    </row>
    <row r="8" spans="1:1">
      <c r="A8" s="99" t="e">
        <f ca="1">HYPERLINK(
  "https://wa.me/"&amp;
  'Performa Iklan'!N6&amp;
  "?text="&amp;
  _xludf.ENCODEURL('Performa Iklan'!O6),
  "Kirim WhatsApp"
)</f>
        <v>#NAME?</v>
      </c>
    </row>
    <row r="9" spans="1:1">
      <c r="A9" s="99" t="e">
        <f ca="1">HYPERLINK(
  "https://wa.me/"&amp;
  'Performa Iklan'!N7&amp;
  "?text="&amp;
  _xludf.ENCODEURL('Performa Iklan'!O7),
  "Kirim WhatsApp"
)</f>
        <v>#NAME?</v>
      </c>
    </row>
    <row r="10" spans="1:1">
      <c r="A10" s="99" t="e">
        <f ca="1">HYPERLINK(
  "https://wa.me/"&amp;
  'Performa Iklan'!N8&amp;
  "?text="&amp;
  _xludf.ENCODEURL('Performa Iklan'!O8),
  "Kirim WhatsApp"
)</f>
        <v>#NAME?</v>
      </c>
    </row>
    <row r="11" spans="1:1">
      <c r="A11" s="99" t="e">
        <f ca="1">HYPERLINK(
  "https://wa.me/"&amp;
  'Performa Iklan'!N9&amp;
  "?text="&amp;
  _xludf.ENCODEURL('Performa Iklan'!O9),
  "Kirim WhatsApp"
)</f>
        <v>#NAME?</v>
      </c>
    </row>
    <row r="12" spans="1:1">
      <c r="A12" s="99" t="e">
        <f ca="1">HYPERLINK(
  "https://wa.me/"&amp;
  'Performa Iklan'!N10&amp;
  "?text="&amp;
  _xludf.ENCODEURL('Performa Iklan'!O10),
  "Kirim WhatsApp"
)</f>
        <v>#NAME?</v>
      </c>
    </row>
    <row r="13" spans="1:1">
      <c r="A13" s="99" t="e">
        <f ca="1">HYPERLINK(
  "https://wa.me/"&amp;
  'Performa Iklan'!N11&amp;
  "?text="&amp;
  _xludf.ENCODEURL('Performa Iklan'!O11),
  "Kirim WhatsApp"
)</f>
        <v>#NAME?</v>
      </c>
    </row>
    <row r="14" spans="1:1">
      <c r="A14" s="99" t="e">
        <f ca="1">HYPERLINK(
  "https://wa.me/"&amp;
  'Performa Iklan'!N12&amp;
  "?text="&amp;
  _xludf.ENCODEURL('Performa Iklan'!O12),
  "Kirim WhatsApp"
)</f>
        <v>#NAME?</v>
      </c>
    </row>
    <row r="15" spans="1:1">
      <c r="A15" s="99" t="e">
        <f ca="1">HYPERLINK(
  "https://wa.me/"&amp;
  'Performa Iklan'!N13&amp;
  "?text="&amp;
  _xludf.ENCODEURL('Performa Iklan'!O13),
  "Kirim WhatsApp"
)</f>
        <v>#NAME?</v>
      </c>
    </row>
    <row r="16" spans="1:1">
      <c r="A16" s="99" t="e">
        <f ca="1">HYPERLINK(
  "https://wa.me/"&amp;
  'Performa Iklan'!N14&amp;
  "?text="&amp;
  _xludf.ENCODEURL('Performa Iklan'!O14),
  "Kirim WhatsApp"
)</f>
        <v>#NAME?</v>
      </c>
    </row>
    <row r="17" spans="1:1">
      <c r="A17" s="99" t="e">
        <f ca="1">HYPERLINK(
  "https://wa.me/"&amp;
  'Performa Iklan'!N15&amp;
  "?text="&amp;
  _xludf.ENCODEURL('Performa Iklan'!O15),
  "Kirim WhatsApp"
)</f>
        <v>#NAME?</v>
      </c>
    </row>
    <row r="18" spans="1:1">
      <c r="A18" s="99" t="e">
        <f ca="1">HYPERLINK(
  "https://wa.me/"&amp;
  'Performa Iklan'!N16&amp;
  "?text="&amp;
  _xludf.ENCODEURL('Performa Iklan'!O16),
  "Kirim WhatsApp"
)</f>
        <v>#NAME?</v>
      </c>
    </row>
    <row r="19" spans="1:1">
      <c r="A19" s="99" t="e">
        <f ca="1">HYPERLINK(
  "https://wa.me/"&amp;
  'Performa Iklan'!N17&amp;
  "?text="&amp;
  _xludf.ENCODEURL('Performa Iklan'!O17),
  "Kirim WhatsApp"
)</f>
        <v>#NAME?</v>
      </c>
    </row>
    <row r="20" spans="1:1">
      <c r="A20" s="99" t="e">
        <f ca="1">HYPERLINK(
  "https://wa.me/"&amp;
  'Performa Iklan'!N18&amp;
  "?text="&amp;
  _xludf.ENCODEURL('Performa Iklan'!O18),
  "Kirim WhatsApp"
)</f>
        <v>#NAME?</v>
      </c>
    </row>
    <row r="21" spans="1:1">
      <c r="A21" s="99" t="e">
        <f ca="1">HYPERLINK(
  "https://wa.me/"&amp;
  'Performa Iklan'!N19&amp;
  "?text="&amp;
  _xludf.ENCODEURL('Performa Iklan'!O19),
  "Kirim WhatsApp"
)</f>
        <v>#NAME?</v>
      </c>
    </row>
    <row r="22" spans="1:1">
      <c r="A22" s="99" t="e">
        <f ca="1">HYPERLINK(
  "https://wa.me/"&amp;
  'Performa Iklan'!N20&amp;
  "?text="&amp;
  _xludf.ENCODEURL('Performa Iklan'!O20),
  "Kirim WhatsApp"
)</f>
        <v>#NAME?</v>
      </c>
    </row>
    <row r="23" spans="1:1">
      <c r="A23" s="99" t="e">
        <f ca="1">HYPERLINK(
  "https://wa.me/"&amp;
  'Performa Iklan'!N21&amp;
  "?text="&amp;
  _xludf.ENCODEURL('Performa Iklan'!O21),
  "Kirim WhatsApp"
)</f>
        <v>#NAME?</v>
      </c>
    </row>
    <row r="24" spans="1:1">
      <c r="A24" s="99" t="e">
        <f ca="1">HYPERLINK(
  "https://wa.me/"&amp;
  'Performa Iklan'!N22&amp;
  "?text="&amp;
  _xludf.ENCODEURL('Performa Iklan'!O22),
  "Kirim WhatsApp"
)</f>
        <v>#NAME?</v>
      </c>
    </row>
    <row r="25" spans="1:1">
      <c r="A25" s="99" t="e">
        <f ca="1">HYPERLINK(
  "https://wa.me/"&amp;
  'Performa Iklan'!N23&amp;
  "?text="&amp;
  _xludf.ENCODEURL('Performa Iklan'!O23),
  "Kirim WhatsApp"
)</f>
        <v>#NAME?</v>
      </c>
    </row>
    <row r="26" spans="1:1">
      <c r="A26" s="99" t="e">
        <f ca="1">HYPERLINK(
  "https://wa.me/"&amp;
  'Performa Iklan'!N24&amp;
  "?text="&amp;
  _xludf.ENCODEURL('Performa Iklan'!O24),
  "Kirim WhatsApp"
)</f>
        <v>#NAME?</v>
      </c>
    </row>
    <row r="27" spans="1:1">
      <c r="A27" s="99" t="e">
        <f ca="1">HYPERLINK(
  "https://wa.me/"&amp;
  'Performa Iklan'!N25&amp;
  "?text="&amp;
  _xludf.ENCODEURL('Performa Iklan'!O25),
  "Kirim WhatsApp"
)</f>
        <v>#NAME?</v>
      </c>
    </row>
    <row r="28" spans="1:1">
      <c r="A28" s="99" t="e">
        <f ca="1">HYPERLINK(
  "https://wa.me/"&amp;
  'Performa Iklan'!N26&amp;
  "?text="&amp;
  _xludf.ENCODEURL('Performa Iklan'!O26),
  "Kirim WhatsApp"
)</f>
        <v>#NAME?</v>
      </c>
    </row>
    <row r="29" spans="1:1">
      <c r="A29" s="99" t="e">
        <f ca="1">HYPERLINK(
  "https://wa.me/"&amp;
  'Performa Iklan'!N27&amp;
  "?text="&amp;
  _xludf.ENCODEURL('Performa Iklan'!O27),
  "Kirim WhatsApp"
)</f>
        <v>#NAME?</v>
      </c>
    </row>
    <row r="30" spans="1:1">
      <c r="A30" s="99" t="e">
        <f ca="1">HYPERLINK(
  "https://wa.me/"&amp;
  'Performa Iklan'!N28&amp;
  "?text="&amp;
  _xludf.ENCODEURL('Performa Iklan'!O28),
  "Kirim WhatsApp"
)</f>
        <v>#NAME?</v>
      </c>
    </row>
    <row r="31" spans="1:1">
      <c r="A31" s="99" t="e">
        <f ca="1">HYPERLINK(
  "https://wa.me/"&amp;
  'Performa Iklan'!N29&amp;
  "?text="&amp;
  _xludf.ENCODEURL('Performa Iklan'!O29),
  "Kirim WhatsApp"
)</f>
        <v>#NAME?</v>
      </c>
    </row>
    <row r="32" spans="1:1">
      <c r="A32" s="99" t="e">
        <f ca="1">HYPERLINK(
  "https://wa.me/"&amp;
  'Performa Iklan'!N30&amp;
  "?text="&amp;
  _xludf.ENCODEURL('Performa Iklan'!O30),
  "Kirim WhatsApp"
)</f>
        <v>#NAME?</v>
      </c>
    </row>
    <row r="33" spans="1:1">
      <c r="A33" s="99" t="e">
        <f ca="1">HYPERLINK(
  "https://wa.me/"&amp;
  'Performa Iklan'!N31&amp;
  "?text="&amp;
  _xludf.ENCODEURL('Performa Iklan'!O31),
  "Kirim WhatsApp"
)</f>
        <v>#NAME?</v>
      </c>
    </row>
    <row r="34" spans="1:1">
      <c r="A34" s="99" t="e">
        <f ca="1">HYPERLINK(
  "https://wa.me/"&amp;
  'Performa Iklan'!N32&amp;
  "?text="&amp;
  _xludf.ENCODEURL('Performa Iklan'!O32),
  "Kirim WhatsApp"
)</f>
        <v>#NAME?</v>
      </c>
    </row>
    <row r="35" spans="1:1">
      <c r="A35" s="99" t="e">
        <f ca="1">HYPERLINK(
  "https://wa.me/"&amp;
  'Performa Iklan'!N33&amp;
  "?text="&amp;
  _xludf.ENCODEURL('Performa Iklan'!O33),
  "Kirim WhatsApp"
)</f>
        <v>#NAME?</v>
      </c>
    </row>
    <row r="36" spans="1:1">
      <c r="A36" s="99" t="e">
        <f ca="1">HYPERLINK(
  "https://wa.me/"&amp;
  'Performa Iklan'!N34&amp;
  "?text="&amp;
  _xludf.ENCODEURL('Performa Iklan'!O34),
  "Kirim WhatsApp"
)</f>
        <v>#NAME?</v>
      </c>
    </row>
    <row r="37" spans="1:1">
      <c r="A37" s="99" t="e">
        <f ca="1">HYPERLINK(
  "https://wa.me/"&amp;
  'Performa Iklan'!N35&amp;
  "?text="&amp;
  _xludf.ENCODEURL('Performa Iklan'!O35),
  "Kirim WhatsApp"
)</f>
        <v>#NAME?</v>
      </c>
    </row>
    <row r="38" spans="1:1">
      <c r="A38" s="99" t="e">
        <f ca="1">HYPERLINK(
  "https://wa.me/"&amp;
  'Performa Iklan'!N36&amp;
  "?text="&amp;
  _xludf.ENCODEURL('Performa Iklan'!O36),
  "Kirim WhatsApp"
)</f>
        <v>#NAME?</v>
      </c>
    </row>
    <row r="39" spans="1:1">
      <c r="A39" s="99" t="e">
        <f ca="1">HYPERLINK(
  "https://wa.me/"&amp;
  'Performa Iklan'!N37&amp;
  "?text="&amp;
  _xludf.ENCODEURL('Performa Iklan'!O37),
  "Kirim WhatsApp"
)</f>
        <v>#NAME?</v>
      </c>
    </row>
    <row r="40" spans="1:1">
      <c r="A40" s="99" t="e">
        <f ca="1">HYPERLINK(
  "https://wa.me/"&amp;
  'Performa Iklan'!N38&amp;
  "?text="&amp;
  _xludf.ENCODEURL('Performa Iklan'!O38),
  "Kirim WhatsApp"
)</f>
        <v>#NAME?</v>
      </c>
    </row>
    <row r="41" spans="1:1">
      <c r="A41" s="99" t="e">
        <f ca="1">HYPERLINK(
  "https://wa.me/"&amp;
  'Performa Iklan'!N39&amp;
  "?text="&amp;
  _xludf.ENCODEURL('Performa Iklan'!O39),
  "Kirim WhatsApp"
)</f>
        <v>#NAME?</v>
      </c>
    </row>
    <row r="42" spans="1:1">
      <c r="A42" s="99" t="e">
        <f ca="1">HYPERLINK(
  "https://wa.me/"&amp;
  'Performa Iklan'!N40&amp;
  "?text="&amp;
  _xludf.ENCODEURL('Performa Iklan'!O40),
  "Kirim WhatsApp"
)</f>
        <v>#NAME?</v>
      </c>
    </row>
    <row r="43" spans="1:1">
      <c r="A43" s="99" t="e">
        <f ca="1">HYPERLINK(
  "https://wa.me/"&amp;
  'Performa Iklan'!N41&amp;
  "?text="&amp;
  _xludf.ENCODEURL('Performa Iklan'!O41),
  "Kirim WhatsApp"
)</f>
        <v>#NAME?</v>
      </c>
    </row>
    <row r="44" spans="1:1">
      <c r="A44" s="99" t="e">
        <f ca="1">HYPERLINK(
  "https://wa.me/"&amp;
  'Performa Iklan'!N42&amp;
  "?text="&amp;
  _xludf.ENCODEURL('Performa Iklan'!O42),
  "Kirim WhatsApp"
)</f>
        <v>#NAME?</v>
      </c>
    </row>
    <row r="45" spans="1:1">
      <c r="A45" s="99" t="e">
        <f ca="1">HYPERLINK(
  "https://wa.me/"&amp;
  'Performa Iklan'!N43&amp;
  "?text="&amp;
  _xludf.ENCODEURL('Performa Iklan'!O43),
  "Kirim WhatsApp"
)</f>
        <v>#NAME?</v>
      </c>
    </row>
    <row r="46" spans="1:1">
      <c r="A46" s="99" t="e">
        <f ca="1">HYPERLINK(
  "https://wa.me/"&amp;
  'Performa Iklan'!N44&amp;
  "?text="&amp;
  _xludf.ENCODEURL('Performa Iklan'!O44),
  "Kirim WhatsApp"
)</f>
        <v>#NAME?</v>
      </c>
    </row>
    <row r="47" spans="1:1">
      <c r="A47" s="99" t="e">
        <f ca="1">HYPERLINK(
  "https://wa.me/"&amp;
  'Performa Iklan'!N45&amp;
  "?text="&amp;
  _xludf.ENCODEURL('Performa Iklan'!O45),
  "Kirim WhatsApp"
)</f>
        <v>#NAME?</v>
      </c>
    </row>
    <row r="48" spans="1:1">
      <c r="A48" s="99" t="e">
        <f ca="1">HYPERLINK(
  "https://wa.me/"&amp;
  'Performa Iklan'!N46&amp;
  "?text="&amp;
  _xludf.ENCODEURL('Performa Iklan'!O46),
  "Kirim WhatsApp"
)</f>
        <v>#NAME?</v>
      </c>
    </row>
    <row r="49" spans="1:1">
      <c r="A49" s="99" t="e">
        <f ca="1">HYPERLINK(
  "https://wa.me/"&amp;
  'Performa Iklan'!N47&amp;
  "?text="&amp;
  _xludf.ENCODEURL('Performa Iklan'!O47),
  "Kirim WhatsApp"
)</f>
        <v>#NAME?</v>
      </c>
    </row>
    <row r="50" spans="1:1">
      <c r="A50" s="99" t="e">
        <f ca="1">HYPERLINK(
  "https://wa.me/"&amp;
  'Performa Iklan'!N48&amp;
  "?text="&amp;
  _xludf.ENCODEURL('Performa Iklan'!O48),
  "Kirim WhatsApp"
)</f>
        <v>#NAME?</v>
      </c>
    </row>
    <row r="51" spans="1:1">
      <c r="A51" s="99" t="e">
        <f ca="1">HYPERLINK(
  "https://wa.me/"&amp;
  'Performa Iklan'!N49&amp;
  "?text="&amp;
  _xludf.ENCODEURL('Performa Iklan'!O49),
  "Kirim WhatsApp"
)</f>
        <v>#NAME?</v>
      </c>
    </row>
    <row r="52" spans="1:1">
      <c r="A52" s="99" t="e">
        <f ca="1">HYPERLINK(
  "https://wa.me/"&amp;
  'Performa Iklan'!N50&amp;
  "?text="&amp;
  _xludf.ENCODEURL('Performa Iklan'!O50),
  "Kirim WhatsApp"
)</f>
        <v>#NAME?</v>
      </c>
    </row>
    <row r="53" spans="1:1">
      <c r="A53" s="99" t="e">
        <f ca="1">HYPERLINK(
  "https://wa.me/"&amp;
  'Performa Iklan'!N51&amp;
  "?text="&amp;
  _xludf.ENCODEURL('Performa Iklan'!O51),
  "Kirim WhatsApp"
)</f>
        <v>#NAME?</v>
      </c>
    </row>
    <row r="54" spans="1:1">
      <c r="A54" s="99" t="e">
        <f ca="1">HYPERLINK(
  "https://wa.me/"&amp;
  'Performa Iklan'!N52&amp;
  "?text="&amp;
  _xludf.ENCODEURL('Performa Iklan'!O52),
  "Kirim WhatsApp"
)</f>
        <v>#NAME?</v>
      </c>
    </row>
    <row r="55" spans="1:1">
      <c r="A55" s="99" t="e">
        <f ca="1">HYPERLINK(
  "https://wa.me/"&amp;
  'Performa Iklan'!N53&amp;
  "?text="&amp;
  _xludf.ENCODEURL('Performa Iklan'!O53),
  "Kirim WhatsApp"
)</f>
        <v>#NAME?</v>
      </c>
    </row>
    <row r="56" spans="1:1">
      <c r="A56" s="99" t="e">
        <f ca="1">HYPERLINK(
  "https://wa.me/"&amp;
  'Performa Iklan'!N54&amp;
  "?text="&amp;
  _xludf.ENCODEURL('Performa Iklan'!O54),
  "Kirim WhatsApp"
)</f>
        <v>#NAME?</v>
      </c>
    </row>
    <row r="57" spans="1:1">
      <c r="A57" s="99" t="e">
        <f ca="1">HYPERLINK(
  "https://wa.me/"&amp;
  'Performa Iklan'!N55&amp;
  "?text="&amp;
  _xludf.ENCODEURL('Performa Iklan'!O55),
  "Kirim WhatsApp"
)</f>
        <v>#NAME?</v>
      </c>
    </row>
    <row r="58" spans="1:1">
      <c r="A58" s="99" t="e">
        <f ca="1">HYPERLINK(
  "https://wa.me/"&amp;
  'Performa Iklan'!N56&amp;
  "?text="&amp;
  _xludf.ENCODEURL('Performa Iklan'!O56),
  "Kirim WhatsApp"
)</f>
        <v>#NAME?</v>
      </c>
    </row>
    <row r="59" spans="1:1">
      <c r="A59" s="99" t="e">
        <f ca="1">HYPERLINK(
  "https://wa.me/"&amp;
  'Performa Iklan'!N57&amp;
  "?text="&amp;
  _xludf.ENCODEURL('Performa Iklan'!O57),
  "Kirim WhatsApp"
)</f>
        <v>#NAME?</v>
      </c>
    </row>
    <row r="60" spans="1:1">
      <c r="A60" s="99" t="e">
        <f ca="1">HYPERLINK(
  "https://wa.me/"&amp;
  'Performa Iklan'!N58&amp;
  "?text="&amp;
  _xludf.ENCODEURL('Performa Iklan'!O58),
  "Kirim WhatsApp"
)</f>
        <v>#NAME?</v>
      </c>
    </row>
    <row r="61" spans="1:1">
      <c r="A61" s="99" t="e">
        <f ca="1">HYPERLINK(
  "https://wa.me/"&amp;
  'Performa Iklan'!N59&amp;
  "?text="&amp;
  _xludf.ENCODEURL('Performa Iklan'!O59),
  "Kirim WhatsApp"
)</f>
        <v>#NAME?</v>
      </c>
    </row>
    <row r="62" spans="1:1">
      <c r="A62" s="99" t="e">
        <f ca="1">HYPERLINK(
  "https://wa.me/"&amp;
  'Performa Iklan'!N60&amp;
  "?text="&amp;
  _xludf.ENCODEURL('Performa Iklan'!O60),
  "Kirim WhatsApp"
)</f>
        <v>#NAME?</v>
      </c>
    </row>
    <row r="63" spans="1:1">
      <c r="A63" s="99" t="e">
        <f ca="1">HYPERLINK(
  "https://wa.me/"&amp;
  'Performa Iklan'!N61&amp;
  "?text="&amp;
  _xludf.ENCODEURL('Performa Iklan'!O61),
  "Kirim WhatsApp"
)</f>
        <v>#NAME?</v>
      </c>
    </row>
    <row r="64" spans="1:1">
      <c r="A64" s="99" t="e">
        <f ca="1">HYPERLINK(
  "https://wa.me/"&amp;
  'Performa Iklan'!N62&amp;
  "?text="&amp;
  _xludf.ENCODEURL('Performa Iklan'!O62),
  "Kirim WhatsApp"
)</f>
        <v>#NAME?</v>
      </c>
    </row>
    <row r="65" spans="1:1">
      <c r="A65" s="99" t="e">
        <f ca="1">HYPERLINK(
  "https://wa.me/"&amp;
  'Performa Iklan'!N63&amp;
  "?text="&amp;
  _xludf.ENCODEURL('Performa Iklan'!O63),
  "Kirim WhatsApp"
)</f>
        <v>#NAME?</v>
      </c>
    </row>
    <row r="66" spans="1:1">
      <c r="A66" s="99" t="e">
        <f ca="1">HYPERLINK(
  "https://wa.me/"&amp;
  'Performa Iklan'!N64&amp;
  "?text="&amp;
  _xludf.ENCODEURL('Performa Iklan'!O64),
  "Kirim WhatsApp"
)</f>
        <v>#NAME?</v>
      </c>
    </row>
    <row r="67" spans="1:1">
      <c r="A67" s="99" t="e">
        <f ca="1">HYPERLINK(
  "https://wa.me/"&amp;
  'Performa Iklan'!N65&amp;
  "?text="&amp;
  _xludf.ENCODEURL('Performa Iklan'!O65),
  "Kirim WhatsApp"
)</f>
        <v>#NAME?</v>
      </c>
    </row>
    <row r="68" spans="1:1">
      <c r="A68" s="99" t="e">
        <f ca="1">HYPERLINK(
  "https://wa.me/"&amp;
  'Performa Iklan'!N66&amp;
  "?text="&amp;
  _xludf.ENCODEURL('Performa Iklan'!O66),
  "Kirim WhatsApp"
)</f>
        <v>#NAME?</v>
      </c>
    </row>
    <row r="69" spans="1:1">
      <c r="A69" s="99" t="e">
        <f ca="1">HYPERLINK(
  "https://wa.me/"&amp;
  'Performa Iklan'!N67&amp;
  "?text="&amp;
  _xludf.ENCODEURL('Performa Iklan'!O67),
  "Kirim WhatsApp"
)</f>
        <v>#NAME?</v>
      </c>
    </row>
    <row r="70" spans="1:1">
      <c r="A70" s="99" t="e">
        <f ca="1">HYPERLINK(
  "https://wa.me/"&amp;
  'Performa Iklan'!N68&amp;
  "?text="&amp;
  _xludf.ENCODEURL('Performa Iklan'!O68),
  "Kirim WhatsApp"
)</f>
        <v>#NAME?</v>
      </c>
    </row>
    <row r="71" spans="1:1">
      <c r="A71" s="99" t="e">
        <f ca="1">HYPERLINK(
  "https://wa.me/"&amp;
  'Performa Iklan'!N69&amp;
  "?text="&amp;
  _xludf.ENCODEURL('Performa Iklan'!O69),
  "Kirim WhatsApp"
)</f>
        <v>#NAME?</v>
      </c>
    </row>
    <row r="72" spans="1:1">
      <c r="A72" s="99" t="e">
        <f ca="1">HYPERLINK(
  "https://wa.me/"&amp;
  'Performa Iklan'!N70&amp;
  "?text="&amp;
  _xludf.ENCODEURL('Performa Iklan'!O70),
  "Kirim WhatsApp"
)</f>
        <v>#NAME?</v>
      </c>
    </row>
    <row r="73" spans="1:1">
      <c r="A73" s="99" t="e">
        <f ca="1">HYPERLINK(
  "https://wa.me/"&amp;
  'Performa Iklan'!N71&amp;
  "?text="&amp;
  _xludf.ENCODEURL('Performa Iklan'!O71),
  "Kirim WhatsApp"
)</f>
        <v>#NAME?</v>
      </c>
    </row>
    <row r="74" spans="1:1">
      <c r="A74" s="99" t="e">
        <f ca="1">HYPERLINK(
  "https://wa.me/"&amp;
  'Performa Iklan'!N72&amp;
  "?text="&amp;
  _xludf.ENCODEURL('Performa Iklan'!O72),
  "Kirim WhatsApp"
)</f>
        <v>#NAME?</v>
      </c>
    </row>
    <row r="75" spans="1:1">
      <c r="A75" s="99" t="e">
        <f ca="1">HYPERLINK(
  "https://wa.me/"&amp;
  'Performa Iklan'!N73&amp;
  "?text="&amp;
  _xludf.ENCODEURL('Performa Iklan'!O73),
  "Kirim WhatsApp"
)</f>
        <v>#NAME?</v>
      </c>
    </row>
    <row r="76" spans="1:1">
      <c r="A76" s="99" t="e">
        <f ca="1">HYPERLINK(
  "https://wa.me/"&amp;
  'Performa Iklan'!N74&amp;
  "?text="&amp;
  _xludf.ENCODEURL('Performa Iklan'!O74),
  "Kirim WhatsApp"
)</f>
        <v>#NAME?</v>
      </c>
    </row>
    <row r="77" spans="1:1">
      <c r="A77" s="99" t="e">
        <f ca="1">HYPERLINK(
  "https://wa.me/"&amp;
  'Performa Iklan'!N75&amp;
  "?text="&amp;
  _xludf.ENCODEURL('Performa Iklan'!O75),
  "Kirim WhatsApp"
)</f>
        <v>#NAME?</v>
      </c>
    </row>
    <row r="78" spans="1:1">
      <c r="A78" s="99" t="e">
        <f ca="1">HYPERLINK(
  "https://wa.me/"&amp;
  'Performa Iklan'!N76&amp;
  "?text="&amp;
  _xludf.ENCODEURL('Performa Iklan'!O76),
  "Kirim WhatsApp"
)</f>
        <v>#NAME?</v>
      </c>
    </row>
    <row r="79" spans="1:1">
      <c r="A79" s="99" t="e">
        <f ca="1">HYPERLINK(
  "https://wa.me/"&amp;
  'Performa Iklan'!N77&amp;
  "?text="&amp;
  _xludf.ENCODEURL('Performa Iklan'!O77),
  "Kirim WhatsApp"
)</f>
        <v>#NAME?</v>
      </c>
    </row>
    <row r="80" spans="1:1">
      <c r="A80" s="99" t="e">
        <f ca="1">HYPERLINK(
  "https://wa.me/"&amp;
  'Performa Iklan'!N78&amp;
  "?text="&amp;
  _xludf.ENCODEURL('Performa Iklan'!O78),
  "Kirim WhatsApp"
)</f>
        <v>#NAME?</v>
      </c>
    </row>
    <row r="81" spans="1:1">
      <c r="A81" s="99" t="e">
        <f ca="1">HYPERLINK(
  "https://wa.me/"&amp;
  'Performa Iklan'!N79&amp;
  "?text="&amp;
  _xludf.ENCODEURL('Performa Iklan'!O79),
  "Kirim WhatsApp"
)</f>
        <v>#NAME?</v>
      </c>
    </row>
    <row r="82" spans="1:1">
      <c r="A82" s="99" t="e">
        <f ca="1">HYPERLINK(
  "https://wa.me/"&amp;
  'Performa Iklan'!N80&amp;
  "?text="&amp;
  _xludf.ENCODEURL('Performa Iklan'!O80),
  "Kirim WhatsApp"
)</f>
        <v>#NAME?</v>
      </c>
    </row>
    <row r="83" spans="1:1">
      <c r="A83" s="99" t="e">
        <f ca="1">HYPERLINK(
  "https://wa.me/"&amp;
  'Performa Iklan'!N81&amp;
  "?text="&amp;
  _xludf.ENCODEURL('Performa Iklan'!O81),
  "Kirim WhatsApp"
)</f>
        <v>#NAME?</v>
      </c>
    </row>
    <row r="84" spans="1:1">
      <c r="A84" s="99" t="e">
        <f ca="1">HYPERLINK(
  "https://wa.me/"&amp;
  'Performa Iklan'!N82&amp;
  "?text="&amp;
  _xludf.ENCODEURL('Performa Iklan'!O82),
  "Kirim WhatsApp"
)</f>
        <v>#NAME?</v>
      </c>
    </row>
    <row r="85" spans="1:1">
      <c r="A85" s="99" t="e">
        <f ca="1">HYPERLINK(
  "https://wa.me/"&amp;
  'Performa Iklan'!N83&amp;
  "?text="&amp;
  _xludf.ENCODEURL('Performa Iklan'!O83),
  "Kirim WhatsApp"
)</f>
        <v>#NAME?</v>
      </c>
    </row>
    <row r="86" spans="1:1">
      <c r="A86" s="99" t="e">
        <f ca="1">HYPERLINK(
  "https://wa.me/"&amp;
  'Performa Iklan'!N84&amp;
  "?text="&amp;
  _xludf.ENCODEURL('Performa Iklan'!O84),
  "Kirim WhatsApp"
)</f>
        <v>#NAME?</v>
      </c>
    </row>
    <row r="87" spans="1:1">
      <c r="A87" s="99" t="e">
        <f ca="1">HYPERLINK(
  "https://wa.me/"&amp;
  'Performa Iklan'!N85&amp;
  "?text="&amp;
  _xludf.ENCODEURL('Performa Iklan'!O85),
  "Kirim WhatsApp"
)</f>
        <v>#NAME?</v>
      </c>
    </row>
    <row r="88" spans="1:1">
      <c r="A88" s="99" t="e">
        <f ca="1">HYPERLINK(
  "https://wa.me/"&amp;
  'Performa Iklan'!N86&amp;
  "?text="&amp;
  _xludf.ENCODEURL('Performa Iklan'!O86),
  "Kirim WhatsApp"
)</f>
        <v>#NAME?</v>
      </c>
    </row>
    <row r="89" spans="1:1">
      <c r="A89" s="99" t="e">
        <f ca="1">HYPERLINK(
  "https://wa.me/"&amp;
  'Performa Iklan'!N87&amp;
  "?text="&amp;
  _xludf.ENCODEURL('Performa Iklan'!O87),
  "Kirim WhatsApp"
)</f>
        <v>#NAME?</v>
      </c>
    </row>
    <row r="90" spans="1:1">
      <c r="A90" s="99" t="e">
        <f ca="1">HYPERLINK(
  "https://wa.me/"&amp;
  'Performa Iklan'!N88&amp;
  "?text="&amp;
  _xludf.ENCODEURL('Performa Iklan'!O88),
  "Kirim WhatsApp"
)</f>
        <v>#NAME?</v>
      </c>
    </row>
    <row r="91" spans="1:1">
      <c r="A91" s="99" t="e">
        <f ca="1">HYPERLINK(
  "https://wa.me/"&amp;
  'Performa Iklan'!N89&amp;
  "?text="&amp;
  _xludf.ENCODEURL('Performa Iklan'!O89),
  "Kirim WhatsApp"
)</f>
        <v>#NAME?</v>
      </c>
    </row>
    <row r="92" spans="1:1">
      <c r="A92" s="99" t="e">
        <f ca="1">HYPERLINK(
  "https://wa.me/"&amp;
  'Performa Iklan'!N90&amp;
  "?text="&amp;
  _xludf.ENCODEURL('Performa Iklan'!O90),
  "Kirim WhatsApp"
)</f>
        <v>#NAME?</v>
      </c>
    </row>
    <row r="93" spans="1:1">
      <c r="A93" s="99" t="e">
        <f ca="1">HYPERLINK(
  "https://wa.me/"&amp;
  'Performa Iklan'!N91&amp;
  "?text="&amp;
  _xludf.ENCODEURL('Performa Iklan'!O91),
  "Kirim WhatsApp"
)</f>
        <v>#NAME?</v>
      </c>
    </row>
    <row r="94" spans="1:1">
      <c r="A94" s="99" t="e">
        <f ca="1">HYPERLINK(
  "https://wa.me/"&amp;
  'Performa Iklan'!N92&amp;
  "?text="&amp;
  _xludf.ENCODEURL('Performa Iklan'!O92),
  "Kirim WhatsApp"
)</f>
        <v>#NAME?</v>
      </c>
    </row>
    <row r="95" spans="1:1">
      <c r="A95" s="99" t="e">
        <f ca="1">HYPERLINK(
  "https://wa.me/"&amp;
  'Performa Iklan'!N93&amp;
  "?text="&amp;
  _xludf.ENCODEURL('Performa Iklan'!O93),
  "Kirim WhatsApp"
)</f>
        <v>#NAME?</v>
      </c>
    </row>
    <row r="96" spans="1:1">
      <c r="A96" s="99" t="e">
        <f ca="1">HYPERLINK(
  "https://wa.me/"&amp;
  'Performa Iklan'!N94&amp;
  "?text="&amp;
  _xludf.ENCODEURL('Performa Iklan'!O94),
  "Kirim WhatsApp"
)</f>
        <v>#NAME?</v>
      </c>
    </row>
    <row r="97" spans="1:1">
      <c r="A97" s="99" t="e">
        <f ca="1">HYPERLINK(
  "https://wa.me/"&amp;
  'Performa Iklan'!N95&amp;
  "?text="&amp;
  _xludf.ENCODEURL('Performa Iklan'!O95),
  "Kirim WhatsApp"
)</f>
        <v>#NAME?</v>
      </c>
    </row>
    <row r="98" spans="1:1">
      <c r="A98" s="99" t="e">
        <f ca="1">HYPERLINK(
  "https://wa.me/"&amp;
  'Performa Iklan'!N96&amp;
  "?text="&amp;
  _xludf.ENCODEURL('Performa Iklan'!O96),
  "Kirim WhatsApp"
)</f>
        <v>#NAME?</v>
      </c>
    </row>
    <row r="99" spans="1:1">
      <c r="A99" s="99" t="e">
        <f ca="1">HYPERLINK(
  "https://wa.me/"&amp;
  'Performa Iklan'!N97&amp;
  "?text="&amp;
  _xludf.ENCODEURL('Performa Iklan'!O97),
  "Kirim WhatsApp"
)</f>
        <v>#NAME?</v>
      </c>
    </row>
    <row r="100" spans="1:1">
      <c r="A100" s="99" t="e">
        <f ca="1">HYPERLINK(
  "https://wa.me/"&amp;
  'Performa Iklan'!N98&amp;
  "?text="&amp;
  _xludf.ENCODEURL('Performa Iklan'!O98),
  "Kirim WhatsApp"
)</f>
        <v>#NAME?</v>
      </c>
    </row>
    <row r="101" spans="1:1">
      <c r="A101" s="99" t="e">
        <f ca="1">HYPERLINK(
  "https://wa.me/"&amp;
  'Performa Iklan'!N99&amp;
  "?text="&amp;
  _xludf.ENCODEURL('Performa Iklan'!O99),
  "Kirim WhatsApp"
)</f>
        <v>#NAME?</v>
      </c>
    </row>
    <row r="102" spans="1:1">
      <c r="A102" s="99" t="e">
        <f ca="1">HYPERLINK(
  "https://wa.me/"&amp;
  'Performa Iklan'!N100&amp;
  "?text="&amp;
  _xludf.ENCODEURL('Performa Iklan'!O100),
  "Kirim WhatsApp"
)</f>
        <v>#NAME?</v>
      </c>
    </row>
    <row r="103" spans="1:1">
      <c r="A103" s="99" t="e">
        <f ca="1">HYPERLINK(
  "https://wa.me/"&amp;
  'Performa Iklan'!N101&amp;
  "?text="&amp;
  _xludf.ENCODEURL('Performa Iklan'!O101),
  "Kirim WhatsApp"
)</f>
        <v>#NAME?</v>
      </c>
    </row>
    <row r="104" spans="1:1">
      <c r="A104" s="99" t="e">
        <f ca="1">HYPERLINK(
  "https://wa.me/"&amp;
  'Performa Iklan'!N102&amp;
  "?text="&amp;
  _xludf.ENCODEURL('Performa Iklan'!O102),
  "Kirim WhatsApp"
)</f>
        <v>#NAME?</v>
      </c>
    </row>
    <row r="105" spans="1:1">
      <c r="A105" s="99" t="e">
        <f ca="1">HYPERLINK(
  "https://wa.me/"&amp;
  'Performa Iklan'!N103&amp;
  "?text="&amp;
  _xludf.ENCODEURL('Performa Iklan'!O103),
  "Kirim WhatsApp"
)</f>
        <v>#NAME?</v>
      </c>
    </row>
    <row r="106" spans="1:1">
      <c r="A106" s="99" t="e">
        <f ca="1">HYPERLINK(
  "https://wa.me/"&amp;
  'Performa Iklan'!N104&amp;
  "?text="&amp;
  _xludf.ENCODEURL('Performa Iklan'!O104),
  "Kirim WhatsApp"
)</f>
        <v>#NAME?</v>
      </c>
    </row>
    <row r="107" spans="1:1">
      <c r="A107" s="99" t="e">
        <f ca="1">HYPERLINK(
  "https://wa.me/"&amp;
  'Performa Iklan'!N105&amp;
  "?text="&amp;
  _xludf.ENCODEURL('Performa Iklan'!O105),
  "Kirim WhatsApp"
)</f>
        <v>#NAME?</v>
      </c>
    </row>
    <row r="108" spans="1:1">
      <c r="A108" s="99" t="e">
        <f ca="1">HYPERLINK(
  "https://wa.me/"&amp;
  'Performa Iklan'!N106&amp;
  "?text="&amp;
  _xludf.ENCODEURL('Performa Iklan'!O106),
  "Kirim WhatsApp"
)</f>
        <v>#NAME?</v>
      </c>
    </row>
    <row r="109" spans="1:1">
      <c r="A109" s="99" t="e">
        <f ca="1">HYPERLINK(
  "https://wa.me/"&amp;
  'Performa Iklan'!N107&amp;
  "?text="&amp;
  _xludf.ENCODEURL('Performa Iklan'!O107),
  "Kirim WhatsApp"
)</f>
        <v>#NAME?</v>
      </c>
    </row>
    <row r="110" spans="1:1">
      <c r="A110" s="99" t="e">
        <f ca="1">HYPERLINK(
  "https://wa.me/"&amp;
  'Performa Iklan'!N108&amp;
  "?text="&amp;
  _xludf.ENCODEURL('Performa Iklan'!O108),
  "Kirim WhatsApp"
)</f>
        <v>#NAME?</v>
      </c>
    </row>
    <row r="111" spans="1:1">
      <c r="A111" s="99" t="e">
        <f ca="1">HYPERLINK(
  "https://wa.me/"&amp;
  'Performa Iklan'!N109&amp;
  "?text="&amp;
  _xludf.ENCODEURL('Performa Iklan'!O109),
  "Kirim WhatsApp"
)</f>
        <v>#NAME?</v>
      </c>
    </row>
    <row r="112" spans="1:1">
      <c r="A112" s="99" t="e">
        <f ca="1">HYPERLINK(
  "https://wa.me/"&amp;
  'Performa Iklan'!N110&amp;
  "?text="&amp;
  _xludf.ENCODEURL('Performa Iklan'!O110),
  "Kirim WhatsApp"
)</f>
        <v>#NAME?</v>
      </c>
    </row>
    <row r="113" spans="1:1">
      <c r="A113" s="99" t="e">
        <f ca="1">HYPERLINK(
  "https://wa.me/"&amp;
  'Performa Iklan'!N111&amp;
  "?text="&amp;
  _xludf.ENCODEURL('Performa Iklan'!O111),
  "Kirim WhatsApp"
)</f>
        <v>#NAME?</v>
      </c>
    </row>
    <row r="114" spans="1:1">
      <c r="A114" s="99" t="e">
        <f ca="1">HYPERLINK(
  "https://wa.me/"&amp;
  'Performa Iklan'!N112&amp;
  "?text="&amp;
  _xludf.ENCODEURL('Performa Iklan'!O112),
  "Kirim WhatsApp"
)</f>
        <v>#NAME?</v>
      </c>
    </row>
    <row r="115" spans="1:1">
      <c r="A115" s="99" t="e">
        <f ca="1">HYPERLINK(
  "https://wa.me/"&amp;
  'Performa Iklan'!N113&amp;
  "?text="&amp;
  _xludf.ENCODEURL('Performa Iklan'!O113),
  "Kirim WhatsApp"
)</f>
        <v>#NAME?</v>
      </c>
    </row>
    <row r="116" spans="1:1">
      <c r="A116" s="99" t="e">
        <f ca="1">HYPERLINK(
  "https://wa.me/"&amp;
  'Performa Iklan'!N114&amp;
  "?text="&amp;
  _xludf.ENCODEURL('Performa Iklan'!O114),
  "Kirim WhatsApp"
)</f>
        <v>#NAME?</v>
      </c>
    </row>
    <row r="117" spans="1:1">
      <c r="A117" s="99" t="e">
        <f ca="1">HYPERLINK(
  "https://wa.me/"&amp;
  'Performa Iklan'!N115&amp;
  "?text="&amp;
  _xludf.ENCODEURL('Performa Iklan'!O115),
  "Kirim WhatsApp"
)</f>
        <v>#NAME?</v>
      </c>
    </row>
    <row r="118" spans="1:1">
      <c r="A118" s="99" t="e">
        <f ca="1">HYPERLINK(
  "https://wa.me/"&amp;
  'Performa Iklan'!N116&amp;
  "?text="&amp;
  _xludf.ENCODEURL('Performa Iklan'!O116),
  "Kirim WhatsApp"
)</f>
        <v>#NAME?</v>
      </c>
    </row>
    <row r="119" spans="1:1">
      <c r="A119" s="99" t="e">
        <f ca="1">HYPERLINK(
  "https://wa.me/"&amp;
  'Performa Iklan'!N117&amp;
  "?text="&amp;
  _xludf.ENCODEURL('Performa Iklan'!O117),
  "Kirim WhatsApp"
)</f>
        <v>#NAME?</v>
      </c>
    </row>
    <row r="120" spans="1:1">
      <c r="A120" s="99" t="e">
        <f ca="1">HYPERLINK(
  "https://wa.me/"&amp;
  'Performa Iklan'!N118&amp;
  "?text="&amp;
  _xludf.ENCODEURL('Performa Iklan'!O118),
  "Kirim WhatsApp"
)</f>
        <v>#NAME?</v>
      </c>
    </row>
    <row r="121" spans="1:1">
      <c r="A121" s="99" t="e">
        <f ca="1">HYPERLINK(
  "https://wa.me/"&amp;
  'Performa Iklan'!N119&amp;
  "?text="&amp;
  _xludf.ENCODEURL('Performa Iklan'!O119),
  "Kirim WhatsApp"
)</f>
        <v>#NAME?</v>
      </c>
    </row>
    <row r="122" spans="1:1">
      <c r="A122" s="99" t="e">
        <f ca="1">HYPERLINK(
  "https://wa.me/"&amp;
  'Performa Iklan'!N120&amp;
  "?text="&amp;
  _xludf.ENCODEURL('Performa Iklan'!O120),
  "Kirim WhatsApp"
)</f>
        <v>#NAME?</v>
      </c>
    </row>
    <row r="123" spans="1:1">
      <c r="A123" s="99" t="e">
        <f ca="1">HYPERLINK(
  "https://wa.me/"&amp;
  'Performa Iklan'!N121&amp;
  "?text="&amp;
  _xludf.ENCODEURL('Performa Iklan'!O121),
  "Kirim WhatsApp"
)</f>
        <v>#NAME?</v>
      </c>
    </row>
    <row r="124" spans="1:1">
      <c r="A124" s="99" t="e">
        <f ca="1">HYPERLINK(
  "https://wa.me/"&amp;
  'Performa Iklan'!N122&amp;
  "?text="&amp;
  _xludf.ENCODEURL('Performa Iklan'!O122),
  "Kirim WhatsApp"
)</f>
        <v>#NAME?</v>
      </c>
    </row>
    <row r="125" spans="1:1">
      <c r="A125" s="99" t="e">
        <f ca="1">HYPERLINK(
  "https://wa.me/"&amp;
  'Performa Iklan'!N123&amp;
  "?text="&amp;
  _xludf.ENCODEURL('Performa Iklan'!O123),
  "Kirim WhatsApp"
)</f>
        <v>#NAME?</v>
      </c>
    </row>
    <row r="126" spans="1:1">
      <c r="A126" s="99" t="e">
        <f ca="1">HYPERLINK(
  "https://wa.me/"&amp;
  'Performa Iklan'!N124&amp;
  "?text="&amp;
  _xludf.ENCODEURL('Performa Iklan'!O124),
  "Kirim WhatsApp"
)</f>
        <v>#NAME?</v>
      </c>
    </row>
    <row r="127" spans="1:1">
      <c r="A127" s="99" t="e">
        <f ca="1">HYPERLINK(
  "https://wa.me/"&amp;
  'Performa Iklan'!N125&amp;
  "?text="&amp;
  _xludf.ENCODEURL('Performa Iklan'!O125),
  "Kirim WhatsApp"
)</f>
        <v>#NAME?</v>
      </c>
    </row>
    <row r="128" spans="1:1">
      <c r="A128" s="99" t="e">
        <f ca="1">HYPERLINK(
  "https://wa.me/"&amp;
  'Performa Iklan'!N126&amp;
  "?text="&amp;
  _xludf.ENCODEURL('Performa Iklan'!O126),
  "Kirim WhatsApp"
)</f>
        <v>#NAME?</v>
      </c>
    </row>
    <row r="129" spans="1:1">
      <c r="A129" s="99" t="e">
        <f ca="1">HYPERLINK(
  "https://wa.me/"&amp;
  'Performa Iklan'!N127&amp;
  "?text="&amp;
  _xludf.ENCODEURL('Performa Iklan'!O127),
  "Kirim WhatsApp"
)</f>
        <v>#NAME?</v>
      </c>
    </row>
    <row r="130" spans="1:1">
      <c r="A130" s="99" t="e">
        <f ca="1">HYPERLINK(
  "https://wa.me/"&amp;
  'Performa Iklan'!N128&amp;
  "?text="&amp;
  _xludf.ENCODEURL('Performa Iklan'!O128),
  "Kirim WhatsApp"
)</f>
        <v>#NAME?</v>
      </c>
    </row>
    <row r="131" spans="1:1">
      <c r="A131" s="99" t="e">
        <f ca="1">HYPERLINK(
  "https://wa.me/"&amp;
  'Performa Iklan'!N129&amp;
  "?text="&amp;
  _xludf.ENCODEURL('Performa Iklan'!O129),
  "Kirim WhatsApp"
)</f>
        <v>#NAME?</v>
      </c>
    </row>
    <row r="132" spans="1:1">
      <c r="A132" s="99" t="e">
        <f ca="1">HYPERLINK(
  "https://wa.me/"&amp;
  'Performa Iklan'!N130&amp;
  "?text="&amp;
  _xludf.ENCODEURL('Performa Iklan'!O130),
  "Kirim WhatsApp"
)</f>
        <v>#NAME?</v>
      </c>
    </row>
    <row r="133" spans="1:1">
      <c r="A133" s="99" t="e">
        <f ca="1">HYPERLINK(
  "https://wa.me/"&amp;
  'Performa Iklan'!N131&amp;
  "?text="&amp;
  _xludf.ENCODEURL('Performa Iklan'!O131),
  "Kirim WhatsApp"
)</f>
        <v>#NAME?</v>
      </c>
    </row>
    <row r="134" spans="1:1">
      <c r="A134" s="99" t="e">
        <f ca="1">HYPERLINK(
  "https://wa.me/"&amp;
  'Performa Iklan'!N132&amp;
  "?text="&amp;
  _xludf.ENCODEURL('Performa Iklan'!O132),
  "Kirim WhatsApp"
)</f>
        <v>#NAME?</v>
      </c>
    </row>
    <row r="135" spans="1:1">
      <c r="A135" s="99" t="e">
        <f ca="1">HYPERLINK(
  "https://wa.me/"&amp;
  'Performa Iklan'!N133&amp;
  "?text="&amp;
  _xludf.ENCODEURL('Performa Iklan'!O133),
  "Kirim WhatsApp"
)</f>
        <v>#NAME?</v>
      </c>
    </row>
    <row r="136" spans="1:1">
      <c r="A136" s="99" t="e">
        <f ca="1">HYPERLINK(
  "https://wa.me/"&amp;
  'Performa Iklan'!N134&amp;
  "?text="&amp;
  _xludf.ENCODEURL('Performa Iklan'!O134),
  "Kirim WhatsApp"
)</f>
        <v>#NAME?</v>
      </c>
    </row>
    <row r="137" spans="1:1">
      <c r="A137" s="99" t="e">
        <f ca="1">HYPERLINK(
  "https://wa.me/"&amp;
  'Performa Iklan'!N135&amp;
  "?text="&amp;
  _xludf.ENCODEURL('Performa Iklan'!O135),
  "Kirim WhatsApp"
)</f>
        <v>#NAME?</v>
      </c>
    </row>
    <row r="138" spans="1:1">
      <c r="A138" s="99" t="e">
        <f ca="1">HYPERLINK(
  "https://wa.me/"&amp;
  'Performa Iklan'!N136&amp;
  "?text="&amp;
  _xludf.ENCODEURL('Performa Iklan'!O136),
  "Kirim WhatsApp"
)</f>
        <v>#NAME?</v>
      </c>
    </row>
    <row r="139" spans="1:1">
      <c r="A139" s="99" t="e">
        <f ca="1">HYPERLINK(
  "https://wa.me/"&amp;
  'Performa Iklan'!N137&amp;
  "?text="&amp;
  _xludf.ENCODEURL('Performa Iklan'!O137),
  "Kirim WhatsApp"
)</f>
        <v>#NAME?</v>
      </c>
    </row>
    <row r="140" spans="1:1">
      <c r="A140" s="99" t="e">
        <f ca="1">HYPERLINK(
  "https://wa.me/"&amp;
  'Performa Iklan'!N138&amp;
  "?text="&amp;
  _xludf.ENCODEURL('Performa Iklan'!O138),
  "Kirim WhatsApp"
)</f>
        <v>#NAME?</v>
      </c>
    </row>
    <row r="141" spans="1:1">
      <c r="A141" s="99" t="e">
        <f ca="1">HYPERLINK(
  "https://wa.me/"&amp;
  'Performa Iklan'!N139&amp;
  "?text="&amp;
  _xludf.ENCODEURL('Performa Iklan'!O139),
  "Kirim WhatsApp"
)</f>
        <v>#NAME?</v>
      </c>
    </row>
    <row r="142" spans="1:1">
      <c r="A142" s="99" t="e">
        <f ca="1">HYPERLINK(
  "https://wa.me/"&amp;
  'Performa Iklan'!N140&amp;
  "?text="&amp;
  _xludf.ENCODEURL('Performa Iklan'!O140),
  "Kirim WhatsApp"
)</f>
        <v>#NAME?</v>
      </c>
    </row>
    <row r="143" spans="1:1">
      <c r="A143" s="99" t="e">
        <f ca="1">HYPERLINK(
  "https://wa.me/"&amp;
  'Performa Iklan'!N141&amp;
  "?text="&amp;
  _xludf.ENCODEURL('Performa Iklan'!O141),
  "Kirim WhatsApp"
)</f>
        <v>#NAME?</v>
      </c>
    </row>
    <row r="144" spans="1:1">
      <c r="A144" s="99" t="e">
        <f ca="1">HYPERLINK(
  "https://wa.me/"&amp;
  'Performa Iklan'!N142&amp;
  "?text="&amp;
  _xludf.ENCODEURL('Performa Iklan'!O142),
  "Kirim WhatsApp"
)</f>
        <v>#NAME?</v>
      </c>
    </row>
    <row r="145" spans="1:1">
      <c r="A145" s="99" t="e">
        <f ca="1">HYPERLINK(
  "https://wa.me/"&amp;
  'Performa Iklan'!N143&amp;
  "?text="&amp;
  _xludf.ENCODEURL('Performa Iklan'!O143),
  "Kirim WhatsApp"
)</f>
        <v>#NAME?</v>
      </c>
    </row>
    <row r="146" spans="1:1">
      <c r="A146" s="99" t="e">
        <f ca="1">HYPERLINK(
  "https://wa.me/"&amp;
  'Performa Iklan'!N144&amp;
  "?text="&amp;
  _xludf.ENCODEURL('Performa Iklan'!O144),
  "Kirim WhatsApp"
)</f>
        <v>#NAME?</v>
      </c>
    </row>
    <row r="147" spans="1:1">
      <c r="A147" s="99" t="e">
        <f ca="1">HYPERLINK(
  "https://wa.me/"&amp;
  'Performa Iklan'!N145&amp;
  "?text="&amp;
  _xludf.ENCODEURL('Performa Iklan'!O145),
  "Kirim WhatsApp"
)</f>
        <v>#NAME?</v>
      </c>
    </row>
    <row r="148" spans="1:1">
      <c r="A148" s="99" t="e">
        <f ca="1">HYPERLINK(
  "https://wa.me/"&amp;
  'Performa Iklan'!N146&amp;
  "?text="&amp;
  _xludf.ENCODEURL('Performa Iklan'!O146),
  "Kirim WhatsApp"
)</f>
        <v>#NAME?</v>
      </c>
    </row>
    <row r="149" spans="1:1">
      <c r="A149" s="99" t="e">
        <f ca="1">HYPERLINK(
  "https://wa.me/"&amp;
  'Performa Iklan'!N147&amp;
  "?text="&amp;
  _xludf.ENCODEURL('Performa Iklan'!O147),
  "Kirim WhatsApp"
)</f>
        <v>#NAME?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846"/>
  <sheetViews>
    <sheetView workbookViewId="0"/>
  </sheetViews>
  <sheetFormatPr defaultColWidth="12.5703125" defaultRowHeight="15.75" customHeight="1"/>
  <sheetData>
    <row r="1" spans="1:15">
      <c r="A1" s="49" t="s">
        <v>10609</v>
      </c>
      <c r="B1" s="49" t="s">
        <v>10610</v>
      </c>
      <c r="C1" s="49" t="s">
        <v>27</v>
      </c>
      <c r="D1" s="49" t="s">
        <v>6</v>
      </c>
      <c r="E1" s="49" t="s">
        <v>10611</v>
      </c>
      <c r="F1" s="97" t="s">
        <v>3</v>
      </c>
      <c r="G1" s="97" t="s">
        <v>10612</v>
      </c>
      <c r="H1" s="100" t="s">
        <v>11</v>
      </c>
      <c r="I1" s="97" t="s">
        <v>10613</v>
      </c>
      <c r="J1" s="101" t="s">
        <v>10614</v>
      </c>
      <c r="K1" s="102" t="s">
        <v>10615</v>
      </c>
      <c r="L1" s="49" t="s">
        <v>10616</v>
      </c>
      <c r="M1" s="49" t="s">
        <v>10617</v>
      </c>
      <c r="N1" s="49" t="s">
        <v>10618</v>
      </c>
      <c r="O1" s="49" t="s">
        <v>10619</v>
      </c>
    </row>
    <row r="2" spans="1:15">
      <c r="A2" s="95">
        <v>759724529202804</v>
      </c>
      <c r="B2" s="49" t="s">
        <v>10621</v>
      </c>
      <c r="C2" s="49" t="s">
        <v>10904</v>
      </c>
      <c r="D2" s="49" t="s">
        <v>10905</v>
      </c>
      <c r="E2" s="49">
        <v>6285711667433</v>
      </c>
      <c r="F2" s="96">
        <v>45832</v>
      </c>
      <c r="G2" s="95">
        <v>52</v>
      </c>
      <c r="H2" s="49" t="s">
        <v>12667</v>
      </c>
      <c r="I2" s="97">
        <v>9283.3333333333339</v>
      </c>
      <c r="J2" s="95">
        <v>1</v>
      </c>
      <c r="K2" s="102">
        <v>557</v>
      </c>
      <c r="L2" s="95">
        <v>0</v>
      </c>
      <c r="M2" s="95">
        <v>0</v>
      </c>
      <c r="N2" s="95">
        <v>0</v>
      </c>
      <c r="O2" s="49" t="s">
        <v>10906</v>
      </c>
    </row>
    <row r="3" spans="1:15">
      <c r="A3" s="95">
        <v>759724529202804</v>
      </c>
      <c r="B3" s="49" t="s">
        <v>10621</v>
      </c>
      <c r="C3" s="49" t="s">
        <v>10904</v>
      </c>
      <c r="D3" s="49" t="s">
        <v>10905</v>
      </c>
      <c r="E3" s="49">
        <v>6285711667433</v>
      </c>
      <c r="F3" s="96">
        <v>45832</v>
      </c>
      <c r="G3" s="95">
        <v>217</v>
      </c>
      <c r="H3" s="49" t="s">
        <v>12668</v>
      </c>
      <c r="I3" s="97">
        <v>9277.1084337349403</v>
      </c>
      <c r="J3" s="95">
        <v>4</v>
      </c>
      <c r="K3" s="102">
        <v>2310</v>
      </c>
      <c r="L3" s="95">
        <v>0</v>
      </c>
      <c r="M3" s="95">
        <v>0</v>
      </c>
      <c r="N3" s="95">
        <v>0</v>
      </c>
      <c r="O3" s="49" t="s">
        <v>10906</v>
      </c>
    </row>
    <row r="4" spans="1:15">
      <c r="A4" s="95">
        <v>759724529202804</v>
      </c>
      <c r="B4" s="49" t="s">
        <v>10621</v>
      </c>
      <c r="C4" s="49" t="s">
        <v>10904</v>
      </c>
      <c r="D4" s="49" t="s">
        <v>10905</v>
      </c>
      <c r="E4" s="49">
        <v>6285711667433</v>
      </c>
      <c r="F4" s="96">
        <v>45832</v>
      </c>
      <c r="G4" s="95">
        <v>328</v>
      </c>
      <c r="H4" s="49" t="s">
        <v>12669</v>
      </c>
      <c r="I4" s="97">
        <v>10936.986301369863</v>
      </c>
      <c r="J4" s="95">
        <v>3</v>
      </c>
      <c r="K4" s="102">
        <v>3992</v>
      </c>
      <c r="L4" s="95">
        <v>0</v>
      </c>
      <c r="M4" s="95">
        <v>0</v>
      </c>
      <c r="N4" s="95">
        <v>0</v>
      </c>
      <c r="O4" s="49" t="s">
        <v>10906</v>
      </c>
    </row>
    <row r="5" spans="1:15">
      <c r="A5" s="95">
        <v>759724529202804</v>
      </c>
      <c r="B5" s="49" t="s">
        <v>10621</v>
      </c>
      <c r="C5" s="49" t="s">
        <v>10904</v>
      </c>
      <c r="D5" s="49" t="s">
        <v>10905</v>
      </c>
      <c r="E5" s="49">
        <v>6285711667433</v>
      </c>
      <c r="F5" s="96">
        <v>45832</v>
      </c>
      <c r="G5" s="95">
        <v>252</v>
      </c>
      <c r="H5" s="49" t="s">
        <v>12670</v>
      </c>
      <c r="I5" s="97">
        <v>11962.837837837838</v>
      </c>
      <c r="J5" s="95">
        <v>6</v>
      </c>
      <c r="K5" s="102">
        <v>3541</v>
      </c>
      <c r="L5" s="95">
        <v>1</v>
      </c>
      <c r="M5" s="95">
        <v>0</v>
      </c>
      <c r="N5" s="95">
        <v>0</v>
      </c>
      <c r="O5" s="49" t="s">
        <v>10906</v>
      </c>
    </row>
    <row r="6" spans="1:15">
      <c r="A6" s="95">
        <v>759724529202804</v>
      </c>
      <c r="B6" s="49" t="s">
        <v>10621</v>
      </c>
      <c r="C6" s="49" t="s">
        <v>10904</v>
      </c>
      <c r="D6" s="49" t="s">
        <v>10905</v>
      </c>
      <c r="E6" s="49">
        <v>6285711667433</v>
      </c>
      <c r="F6" s="96">
        <v>45832</v>
      </c>
      <c r="G6" s="95">
        <v>47</v>
      </c>
      <c r="H6" s="49" t="s">
        <v>12671</v>
      </c>
      <c r="I6" s="97">
        <v>15775.510204081633</v>
      </c>
      <c r="J6" s="95">
        <v>1</v>
      </c>
      <c r="K6" s="102">
        <v>773</v>
      </c>
      <c r="L6" s="95">
        <v>0</v>
      </c>
      <c r="M6" s="95">
        <v>0</v>
      </c>
      <c r="N6" s="95">
        <v>0</v>
      </c>
      <c r="O6" s="49" t="s">
        <v>10906</v>
      </c>
    </row>
    <row r="7" spans="1:15">
      <c r="A7" s="95">
        <v>759724529202804</v>
      </c>
      <c r="B7" s="49" t="s">
        <v>10621</v>
      </c>
      <c r="C7" s="49" t="s">
        <v>10904</v>
      </c>
      <c r="D7" s="49" t="s">
        <v>10905</v>
      </c>
      <c r="E7" s="49">
        <v>6285711667433</v>
      </c>
      <c r="F7" s="96">
        <v>45832</v>
      </c>
      <c r="G7" s="95">
        <v>11</v>
      </c>
      <c r="H7" s="49" t="s">
        <v>12672</v>
      </c>
      <c r="I7" s="97">
        <v>6545.454545454546</v>
      </c>
      <c r="J7" s="95">
        <v>0</v>
      </c>
      <c r="K7" s="102">
        <v>72</v>
      </c>
      <c r="L7" s="95">
        <v>0</v>
      </c>
      <c r="M7" s="95">
        <v>0</v>
      </c>
      <c r="N7" s="95">
        <v>0</v>
      </c>
      <c r="O7" s="49" t="s">
        <v>10906</v>
      </c>
    </row>
    <row r="8" spans="1:15">
      <c r="A8" s="95">
        <v>759724529202804</v>
      </c>
      <c r="B8" s="49" t="s">
        <v>10621</v>
      </c>
      <c r="C8" s="49" t="s">
        <v>10907</v>
      </c>
      <c r="D8" s="49" t="s">
        <v>943</v>
      </c>
      <c r="E8" s="49">
        <v>6285775986977</v>
      </c>
      <c r="F8" s="96">
        <v>45832</v>
      </c>
      <c r="G8" s="95">
        <v>41</v>
      </c>
      <c r="H8" s="49" t="s">
        <v>12667</v>
      </c>
      <c r="I8" s="97">
        <v>13304.347826086958</v>
      </c>
      <c r="J8" s="95">
        <v>0</v>
      </c>
      <c r="K8" s="102">
        <v>612</v>
      </c>
      <c r="L8" s="95">
        <v>0</v>
      </c>
      <c r="M8" s="95">
        <v>0</v>
      </c>
      <c r="N8" s="95">
        <v>0</v>
      </c>
      <c r="O8" s="49" t="s">
        <v>10908</v>
      </c>
    </row>
    <row r="9" spans="1:15">
      <c r="A9" s="95">
        <v>759724529202804</v>
      </c>
      <c r="B9" s="49" t="s">
        <v>10621</v>
      </c>
      <c r="C9" s="49" t="s">
        <v>10907</v>
      </c>
      <c r="D9" s="49" t="s">
        <v>943</v>
      </c>
      <c r="E9" s="49">
        <v>6285775986977</v>
      </c>
      <c r="F9" s="96">
        <v>45832</v>
      </c>
      <c r="G9" s="95">
        <v>57</v>
      </c>
      <c r="H9" s="49" t="s">
        <v>12668</v>
      </c>
      <c r="I9" s="97">
        <v>62578.125</v>
      </c>
      <c r="J9" s="95">
        <v>0</v>
      </c>
      <c r="K9" s="102">
        <v>4005</v>
      </c>
      <c r="L9" s="95">
        <v>0</v>
      </c>
      <c r="M9" s="95">
        <v>0</v>
      </c>
      <c r="N9" s="95">
        <v>0</v>
      </c>
      <c r="O9" s="49" t="s">
        <v>10908</v>
      </c>
    </row>
    <row r="10" spans="1:15">
      <c r="A10" s="95">
        <v>759724529202804</v>
      </c>
      <c r="B10" s="49" t="s">
        <v>10621</v>
      </c>
      <c r="C10" s="49" t="s">
        <v>10907</v>
      </c>
      <c r="D10" s="49" t="s">
        <v>943</v>
      </c>
      <c r="E10" s="49">
        <v>6285775986977</v>
      </c>
      <c r="F10" s="96">
        <v>45832</v>
      </c>
      <c r="G10" s="95">
        <v>75</v>
      </c>
      <c r="H10" s="49" t="s">
        <v>12669</v>
      </c>
      <c r="I10" s="97">
        <v>54269.66292134831</v>
      </c>
      <c r="J10" s="95">
        <v>2</v>
      </c>
      <c r="K10" s="102">
        <v>4830</v>
      </c>
      <c r="L10" s="95">
        <v>0</v>
      </c>
      <c r="M10" s="95">
        <v>0</v>
      </c>
      <c r="N10" s="95">
        <v>0</v>
      </c>
      <c r="O10" s="49" t="s">
        <v>10908</v>
      </c>
    </row>
    <row r="11" spans="1:15">
      <c r="A11" s="95">
        <v>759724529202804</v>
      </c>
      <c r="B11" s="49" t="s">
        <v>10621</v>
      </c>
      <c r="C11" s="49" t="s">
        <v>10907</v>
      </c>
      <c r="D11" s="49" t="s">
        <v>943</v>
      </c>
      <c r="E11" s="49">
        <v>6285775986977</v>
      </c>
      <c r="F11" s="96">
        <v>45832</v>
      </c>
      <c r="G11" s="95">
        <v>38</v>
      </c>
      <c r="H11" s="49" t="s">
        <v>12670</v>
      </c>
      <c r="I11" s="97">
        <v>41878.048780487799</v>
      </c>
      <c r="J11" s="95">
        <v>0</v>
      </c>
      <c r="K11" s="102">
        <v>1717</v>
      </c>
      <c r="L11" s="95">
        <v>0</v>
      </c>
      <c r="M11" s="95">
        <v>0</v>
      </c>
      <c r="N11" s="95">
        <v>0</v>
      </c>
      <c r="O11" s="49" t="s">
        <v>10908</v>
      </c>
    </row>
    <row r="12" spans="1:15">
      <c r="A12" s="95">
        <v>759724529202804</v>
      </c>
      <c r="B12" s="49" t="s">
        <v>10621</v>
      </c>
      <c r="C12" s="49" t="s">
        <v>10907</v>
      </c>
      <c r="D12" s="49" t="s">
        <v>943</v>
      </c>
      <c r="E12" s="49">
        <v>6285775986977</v>
      </c>
      <c r="F12" s="96">
        <v>45832</v>
      </c>
      <c r="G12" s="95">
        <v>26</v>
      </c>
      <c r="H12" s="49" t="s">
        <v>12671</v>
      </c>
      <c r="I12" s="97">
        <v>51428.571428571428</v>
      </c>
      <c r="J12" s="95">
        <v>1</v>
      </c>
      <c r="K12" s="102">
        <v>1440</v>
      </c>
      <c r="L12" s="95">
        <v>0</v>
      </c>
      <c r="M12" s="95">
        <v>0</v>
      </c>
      <c r="N12" s="95">
        <v>0</v>
      </c>
      <c r="O12" s="49" t="s">
        <v>10908</v>
      </c>
    </row>
    <row r="13" spans="1:15">
      <c r="A13" s="95">
        <v>759724529202804</v>
      </c>
      <c r="B13" s="49" t="s">
        <v>10621</v>
      </c>
      <c r="C13" s="49" t="s">
        <v>10907</v>
      </c>
      <c r="D13" s="49" t="s">
        <v>943</v>
      </c>
      <c r="E13" s="49">
        <v>6285775986977</v>
      </c>
      <c r="F13" s="96">
        <v>45832</v>
      </c>
      <c r="G13" s="95">
        <v>18</v>
      </c>
      <c r="H13" s="49" t="s">
        <v>12672</v>
      </c>
      <c r="I13" s="97">
        <v>77105.263157894733</v>
      </c>
      <c r="J13" s="95">
        <v>0</v>
      </c>
      <c r="K13" s="102">
        <v>1465</v>
      </c>
      <c r="L13" s="95">
        <v>0</v>
      </c>
      <c r="M13" s="95">
        <v>0</v>
      </c>
      <c r="N13" s="95">
        <v>0</v>
      </c>
      <c r="O13" s="49" t="s">
        <v>10908</v>
      </c>
    </row>
    <row r="14" spans="1:15">
      <c r="A14" s="95">
        <v>759724529202804</v>
      </c>
      <c r="B14" s="49" t="s">
        <v>10621</v>
      </c>
      <c r="C14" s="49" t="s">
        <v>10909</v>
      </c>
      <c r="D14" s="49" t="s">
        <v>10910</v>
      </c>
      <c r="E14" s="49">
        <v>6281904501876</v>
      </c>
      <c r="F14" s="96">
        <v>45832</v>
      </c>
      <c r="G14" s="95">
        <v>426</v>
      </c>
      <c r="H14" s="49" t="s">
        <v>12667</v>
      </c>
      <c r="I14" s="97">
        <v>9147.0085470085469</v>
      </c>
      <c r="J14" s="95">
        <v>3</v>
      </c>
      <c r="K14" s="102">
        <v>5351</v>
      </c>
      <c r="L14" s="95">
        <v>0</v>
      </c>
      <c r="M14" s="95">
        <v>1</v>
      </c>
      <c r="N14" s="95">
        <v>0</v>
      </c>
      <c r="O14" s="49" t="s">
        <v>10911</v>
      </c>
    </row>
    <row r="15" spans="1:15">
      <c r="A15" s="95">
        <v>759724529202804</v>
      </c>
      <c r="B15" s="49" t="s">
        <v>10621</v>
      </c>
      <c r="C15" s="49" t="s">
        <v>10909</v>
      </c>
      <c r="D15" s="49" t="s">
        <v>10910</v>
      </c>
      <c r="E15" s="49">
        <v>6281904501876</v>
      </c>
      <c r="F15" s="96">
        <v>45832</v>
      </c>
      <c r="G15" s="95">
        <v>439</v>
      </c>
      <c r="H15" s="49" t="s">
        <v>12668</v>
      </c>
      <c r="I15" s="97">
        <v>9253.3783783783783</v>
      </c>
      <c r="J15" s="95">
        <v>5</v>
      </c>
      <c r="K15" s="102">
        <v>5478</v>
      </c>
      <c r="L15" s="95">
        <v>0</v>
      </c>
      <c r="M15" s="95">
        <v>0</v>
      </c>
      <c r="N15" s="95">
        <v>0</v>
      </c>
      <c r="O15" s="49" t="s">
        <v>10911</v>
      </c>
    </row>
    <row r="16" spans="1:15">
      <c r="A16" s="95">
        <v>759724529202804</v>
      </c>
      <c r="B16" s="49" t="s">
        <v>10621</v>
      </c>
      <c r="C16" s="49" t="s">
        <v>10909</v>
      </c>
      <c r="D16" s="49" t="s">
        <v>10910</v>
      </c>
      <c r="E16" s="49">
        <v>6281904501876</v>
      </c>
      <c r="F16" s="96">
        <v>45832</v>
      </c>
      <c r="G16" s="95">
        <v>87</v>
      </c>
      <c r="H16" s="49" t="s">
        <v>12669</v>
      </c>
      <c r="I16" s="97">
        <v>10147.368421052632</v>
      </c>
      <c r="J16" s="95">
        <v>1</v>
      </c>
      <c r="K16" s="102">
        <v>964</v>
      </c>
      <c r="L16" s="95">
        <v>0</v>
      </c>
      <c r="M16" s="95">
        <v>0</v>
      </c>
      <c r="N16" s="95">
        <v>0</v>
      </c>
      <c r="O16" s="49" t="s">
        <v>10911</v>
      </c>
    </row>
    <row r="17" spans="1:15">
      <c r="A17" s="95">
        <v>759724529202804</v>
      </c>
      <c r="B17" s="49" t="s">
        <v>10621</v>
      </c>
      <c r="C17" s="49" t="s">
        <v>10909</v>
      </c>
      <c r="D17" s="49" t="s">
        <v>10910</v>
      </c>
      <c r="E17" s="49">
        <v>6281904501876</v>
      </c>
      <c r="F17" s="96">
        <v>45832</v>
      </c>
      <c r="G17" s="95">
        <v>33</v>
      </c>
      <c r="H17" s="49" t="s">
        <v>12670</v>
      </c>
      <c r="I17" s="97">
        <v>14894.736842105263</v>
      </c>
      <c r="J17" s="95">
        <v>1</v>
      </c>
      <c r="K17" s="102">
        <v>566</v>
      </c>
      <c r="L17" s="95">
        <v>0</v>
      </c>
      <c r="M17" s="95">
        <v>0</v>
      </c>
      <c r="N17" s="95">
        <v>0</v>
      </c>
      <c r="O17" s="49" t="s">
        <v>10911</v>
      </c>
    </row>
    <row r="18" spans="1:15">
      <c r="A18" s="95">
        <v>759724529202804</v>
      </c>
      <c r="B18" s="49" t="s">
        <v>10621</v>
      </c>
      <c r="C18" s="49" t="s">
        <v>10909</v>
      </c>
      <c r="D18" s="49" t="s">
        <v>10910</v>
      </c>
      <c r="E18" s="49">
        <v>6281904501876</v>
      </c>
      <c r="F18" s="96">
        <v>45832</v>
      </c>
      <c r="G18" s="95">
        <v>5</v>
      </c>
      <c r="H18" s="49" t="s">
        <v>12671</v>
      </c>
      <c r="I18" s="97">
        <v>5600</v>
      </c>
      <c r="J18" s="95">
        <v>0</v>
      </c>
      <c r="K18" s="102">
        <v>28</v>
      </c>
      <c r="L18" s="95">
        <v>0</v>
      </c>
      <c r="M18" s="95">
        <v>0</v>
      </c>
      <c r="N18" s="95">
        <v>0</v>
      </c>
      <c r="O18" s="49" t="s">
        <v>10911</v>
      </c>
    </row>
    <row r="19" spans="1:15">
      <c r="A19" s="95">
        <v>759724529202804</v>
      </c>
      <c r="B19" s="49" t="s">
        <v>10621</v>
      </c>
      <c r="C19" s="49" t="s">
        <v>10909</v>
      </c>
      <c r="D19" s="49" t="s">
        <v>10910</v>
      </c>
      <c r="E19" s="49">
        <v>6281904501876</v>
      </c>
      <c r="F19" s="96">
        <v>45832</v>
      </c>
      <c r="G19" s="95">
        <v>5</v>
      </c>
      <c r="H19" s="49" t="s">
        <v>12672</v>
      </c>
      <c r="I19" s="97">
        <v>6166.666666666667</v>
      </c>
      <c r="J19" s="95">
        <v>0</v>
      </c>
      <c r="K19" s="102">
        <v>37</v>
      </c>
      <c r="L19" s="95">
        <v>0</v>
      </c>
      <c r="M19" s="95">
        <v>0</v>
      </c>
      <c r="N19" s="95">
        <v>0</v>
      </c>
      <c r="O19" s="49" t="s">
        <v>10911</v>
      </c>
    </row>
    <row r="20" spans="1:15">
      <c r="A20" s="95">
        <v>759724529202804</v>
      </c>
      <c r="B20" s="49" t="s">
        <v>10621</v>
      </c>
      <c r="C20" s="49" t="s">
        <v>10912</v>
      </c>
      <c r="D20" s="49" t="s">
        <v>1029</v>
      </c>
      <c r="E20" s="49">
        <v>6281253792753</v>
      </c>
      <c r="F20" s="96">
        <v>45832</v>
      </c>
      <c r="G20" s="95">
        <v>21</v>
      </c>
      <c r="H20" s="49" t="s">
        <v>12667</v>
      </c>
      <c r="I20" s="97">
        <v>19037.037037037036</v>
      </c>
      <c r="J20" s="95">
        <v>0</v>
      </c>
      <c r="K20" s="102">
        <v>514</v>
      </c>
      <c r="L20" s="95">
        <v>0</v>
      </c>
      <c r="M20" s="95">
        <v>0</v>
      </c>
      <c r="N20" s="95">
        <v>0</v>
      </c>
      <c r="O20" s="49" t="s">
        <v>10913</v>
      </c>
    </row>
    <row r="21" spans="1:15">
      <c r="A21" s="95">
        <v>759724529202804</v>
      </c>
      <c r="B21" s="49" t="s">
        <v>10621</v>
      </c>
      <c r="C21" s="49" t="s">
        <v>10912</v>
      </c>
      <c r="D21" s="49" t="s">
        <v>1029</v>
      </c>
      <c r="E21" s="49">
        <v>6281253792753</v>
      </c>
      <c r="F21" s="96">
        <v>45832</v>
      </c>
      <c r="G21" s="95">
        <v>172</v>
      </c>
      <c r="H21" s="49" t="s">
        <v>12668</v>
      </c>
      <c r="I21" s="97">
        <v>10379.446640316206</v>
      </c>
      <c r="J21" s="95">
        <v>6</v>
      </c>
      <c r="K21" s="102">
        <v>2626</v>
      </c>
      <c r="L21" s="95">
        <v>0</v>
      </c>
      <c r="M21" s="95">
        <v>0</v>
      </c>
      <c r="N21" s="95">
        <v>0</v>
      </c>
      <c r="O21" s="49" t="s">
        <v>10913</v>
      </c>
    </row>
    <row r="22" spans="1:15">
      <c r="A22" s="95">
        <v>759724529202804</v>
      </c>
      <c r="B22" s="49" t="s">
        <v>10621</v>
      </c>
      <c r="C22" s="49" t="s">
        <v>10912</v>
      </c>
      <c r="D22" s="49" t="s">
        <v>1029</v>
      </c>
      <c r="E22" s="49">
        <v>6281253792753</v>
      </c>
      <c r="F22" s="96">
        <v>45832</v>
      </c>
      <c r="G22" s="95">
        <v>262</v>
      </c>
      <c r="H22" s="49" t="s">
        <v>12669</v>
      </c>
      <c r="I22" s="97">
        <v>13587.743732590528</v>
      </c>
      <c r="J22" s="95">
        <v>4</v>
      </c>
      <c r="K22" s="102">
        <v>4878</v>
      </c>
      <c r="L22" s="95">
        <v>1</v>
      </c>
      <c r="M22" s="95">
        <v>0</v>
      </c>
      <c r="N22" s="95">
        <v>0</v>
      </c>
      <c r="O22" s="49" t="s">
        <v>10913</v>
      </c>
    </row>
    <row r="23" spans="1:15">
      <c r="A23" s="95">
        <v>759724529202804</v>
      </c>
      <c r="B23" s="49" t="s">
        <v>10621</v>
      </c>
      <c r="C23" s="49" t="s">
        <v>10912</v>
      </c>
      <c r="D23" s="49" t="s">
        <v>1029</v>
      </c>
      <c r="E23" s="49">
        <v>6281253792753</v>
      </c>
      <c r="F23" s="96">
        <v>45832</v>
      </c>
      <c r="G23" s="95">
        <v>162</v>
      </c>
      <c r="H23" s="49" t="s">
        <v>12670</v>
      </c>
      <c r="I23" s="97">
        <v>16941.747572815533</v>
      </c>
      <c r="J23" s="95">
        <v>4</v>
      </c>
      <c r="K23" s="102">
        <v>3490</v>
      </c>
      <c r="L23" s="95">
        <v>0</v>
      </c>
      <c r="M23" s="95">
        <v>0</v>
      </c>
      <c r="N23" s="95">
        <v>0</v>
      </c>
      <c r="O23" s="49" t="s">
        <v>10913</v>
      </c>
    </row>
    <row r="24" spans="1:15">
      <c r="A24" s="95">
        <v>759724529202804</v>
      </c>
      <c r="B24" s="49" t="s">
        <v>10621</v>
      </c>
      <c r="C24" s="49" t="s">
        <v>10912</v>
      </c>
      <c r="D24" s="49" t="s">
        <v>1029</v>
      </c>
      <c r="E24" s="49">
        <v>6281253792753</v>
      </c>
      <c r="F24" s="96">
        <v>45832</v>
      </c>
      <c r="G24" s="95">
        <v>45</v>
      </c>
      <c r="H24" s="49" t="s">
        <v>12671</v>
      </c>
      <c r="I24" s="97">
        <v>13701.492537313432</v>
      </c>
      <c r="J24" s="95">
        <v>0</v>
      </c>
      <c r="K24" s="102">
        <v>918</v>
      </c>
      <c r="L24" s="95">
        <v>0</v>
      </c>
      <c r="M24" s="95">
        <v>0</v>
      </c>
      <c r="N24" s="95">
        <v>0</v>
      </c>
      <c r="O24" s="49" t="s">
        <v>10913</v>
      </c>
    </row>
    <row r="25" spans="1:15">
      <c r="A25" s="95">
        <v>759724529202804</v>
      </c>
      <c r="B25" s="49" t="s">
        <v>10621</v>
      </c>
      <c r="C25" s="49" t="s">
        <v>10912</v>
      </c>
      <c r="D25" s="49" t="s">
        <v>1029</v>
      </c>
      <c r="E25" s="49">
        <v>6281253792753</v>
      </c>
      <c r="F25" s="96">
        <v>45832</v>
      </c>
      <c r="G25" s="95">
        <v>4</v>
      </c>
      <c r="H25" s="49" t="s">
        <v>12672</v>
      </c>
      <c r="I25" s="97">
        <v>34000</v>
      </c>
      <c r="J25" s="95">
        <v>0</v>
      </c>
      <c r="K25" s="102">
        <v>136</v>
      </c>
      <c r="L25" s="95">
        <v>0</v>
      </c>
      <c r="M25" s="95">
        <v>0</v>
      </c>
      <c r="N25" s="95">
        <v>0</v>
      </c>
      <c r="O25" s="49" t="s">
        <v>10913</v>
      </c>
    </row>
    <row r="26" spans="1:15">
      <c r="A26" s="95">
        <v>759724529202804</v>
      </c>
      <c r="B26" s="49" t="s">
        <v>10621</v>
      </c>
      <c r="C26" s="49" t="s">
        <v>10922</v>
      </c>
      <c r="D26" s="49" t="s">
        <v>1021</v>
      </c>
      <c r="E26" s="49">
        <v>6282122880328</v>
      </c>
      <c r="F26" s="96">
        <v>45832</v>
      </c>
      <c r="G26" s="95">
        <v>16</v>
      </c>
      <c r="H26" s="49" t="s">
        <v>12667</v>
      </c>
      <c r="I26" s="97">
        <v>59222.222222222219</v>
      </c>
      <c r="J26" s="95">
        <v>2</v>
      </c>
      <c r="K26" s="102">
        <v>1066</v>
      </c>
      <c r="L26" s="95">
        <v>0</v>
      </c>
      <c r="M26" s="95">
        <v>0</v>
      </c>
      <c r="N26" s="95">
        <v>0</v>
      </c>
      <c r="O26" s="49" t="s">
        <v>10914</v>
      </c>
    </row>
    <row r="27" spans="1:15">
      <c r="A27" s="95">
        <v>759724529202804</v>
      </c>
      <c r="B27" s="49" t="s">
        <v>10621</v>
      </c>
      <c r="C27" s="49" t="s">
        <v>10922</v>
      </c>
      <c r="D27" s="49" t="s">
        <v>1021</v>
      </c>
      <c r="E27" s="49">
        <v>6282122880328</v>
      </c>
      <c r="F27" s="96">
        <v>45832</v>
      </c>
      <c r="G27" s="95">
        <v>44</v>
      </c>
      <c r="H27" s="49" t="s">
        <v>12668</v>
      </c>
      <c r="I27" s="97">
        <v>49869.565217391304</v>
      </c>
      <c r="J27" s="95">
        <v>3</v>
      </c>
      <c r="K27" s="102">
        <v>2294</v>
      </c>
      <c r="L27" s="95">
        <v>1</v>
      </c>
      <c r="M27" s="95">
        <v>0</v>
      </c>
      <c r="N27" s="95">
        <v>0</v>
      </c>
      <c r="O27" s="49" t="s">
        <v>10914</v>
      </c>
    </row>
    <row r="28" spans="1:15">
      <c r="A28" s="95">
        <v>759724529202804</v>
      </c>
      <c r="B28" s="49" t="s">
        <v>10621</v>
      </c>
      <c r="C28" s="49" t="s">
        <v>10922</v>
      </c>
      <c r="D28" s="49" t="s">
        <v>1021</v>
      </c>
      <c r="E28" s="49">
        <v>6282122880328</v>
      </c>
      <c r="F28" s="96">
        <v>45832</v>
      </c>
      <c r="G28" s="95">
        <v>66</v>
      </c>
      <c r="H28" s="49" t="s">
        <v>12669</v>
      </c>
      <c r="I28" s="97">
        <v>62202.7027027027</v>
      </c>
      <c r="J28" s="95">
        <v>3</v>
      </c>
      <c r="K28" s="102">
        <v>4603</v>
      </c>
      <c r="L28" s="95">
        <v>0</v>
      </c>
      <c r="M28" s="95">
        <v>0</v>
      </c>
      <c r="N28" s="95">
        <v>0</v>
      </c>
      <c r="O28" s="49" t="s">
        <v>10914</v>
      </c>
    </row>
    <row r="29" spans="1:15">
      <c r="A29" s="95">
        <v>759724529202804</v>
      </c>
      <c r="B29" s="49" t="s">
        <v>10621</v>
      </c>
      <c r="C29" s="49" t="s">
        <v>10922</v>
      </c>
      <c r="D29" s="49" t="s">
        <v>1021</v>
      </c>
      <c r="E29" s="49">
        <v>6282122880328</v>
      </c>
      <c r="F29" s="96">
        <v>45832</v>
      </c>
      <c r="G29" s="95">
        <v>63</v>
      </c>
      <c r="H29" s="49" t="s">
        <v>12670</v>
      </c>
      <c r="I29" s="97">
        <v>89746.26865671642</v>
      </c>
      <c r="J29" s="95">
        <v>3</v>
      </c>
      <c r="K29" s="102">
        <v>6013</v>
      </c>
      <c r="L29" s="95">
        <v>0</v>
      </c>
      <c r="M29" s="95">
        <v>0</v>
      </c>
      <c r="N29" s="95">
        <v>0</v>
      </c>
      <c r="O29" s="49" t="s">
        <v>10914</v>
      </c>
    </row>
    <row r="30" spans="1:15">
      <c r="A30" s="95">
        <v>759724529202804</v>
      </c>
      <c r="B30" s="49" t="s">
        <v>10621</v>
      </c>
      <c r="C30" s="49" t="s">
        <v>10922</v>
      </c>
      <c r="D30" s="49" t="s">
        <v>1021</v>
      </c>
      <c r="E30" s="49">
        <v>6282122880328</v>
      </c>
      <c r="F30" s="96">
        <v>45832</v>
      </c>
      <c r="G30" s="95">
        <v>9</v>
      </c>
      <c r="H30" s="49" t="s">
        <v>12671</v>
      </c>
      <c r="I30" s="97">
        <v>49444.444444444445</v>
      </c>
      <c r="J30" s="95">
        <v>0</v>
      </c>
      <c r="K30" s="102">
        <v>445</v>
      </c>
      <c r="L30" s="95">
        <v>0</v>
      </c>
      <c r="M30" s="95">
        <v>0</v>
      </c>
      <c r="N30" s="95">
        <v>0</v>
      </c>
      <c r="O30" s="49" t="s">
        <v>10914</v>
      </c>
    </row>
    <row r="31" spans="1:15">
      <c r="A31" s="95">
        <v>759724529202804</v>
      </c>
      <c r="B31" s="49" t="s">
        <v>10621</v>
      </c>
      <c r="C31" s="49" t="s">
        <v>10922</v>
      </c>
      <c r="D31" s="49" t="s">
        <v>1021</v>
      </c>
      <c r="E31" s="49">
        <v>6282122880328</v>
      </c>
      <c r="F31" s="96">
        <v>45832</v>
      </c>
      <c r="G31" s="95">
        <v>4</v>
      </c>
      <c r="H31" s="49" t="s">
        <v>12672</v>
      </c>
      <c r="I31" s="97">
        <v>18000</v>
      </c>
      <c r="J31" s="95">
        <v>0</v>
      </c>
      <c r="K31" s="102">
        <v>72</v>
      </c>
      <c r="L31" s="95">
        <v>0</v>
      </c>
      <c r="M31" s="95">
        <v>0</v>
      </c>
      <c r="N31" s="95">
        <v>0</v>
      </c>
      <c r="O31" s="49" t="s">
        <v>10914</v>
      </c>
    </row>
    <row r="32" spans="1:15">
      <c r="A32" s="95">
        <v>759724529202804</v>
      </c>
      <c r="B32" s="49" t="s">
        <v>10621</v>
      </c>
      <c r="C32" s="49" t="s">
        <v>10863</v>
      </c>
      <c r="D32" s="49" t="s">
        <v>10864</v>
      </c>
      <c r="E32" s="49">
        <v>6285180805171</v>
      </c>
      <c r="F32" s="96">
        <v>45832</v>
      </c>
      <c r="G32" s="95">
        <v>115</v>
      </c>
      <c r="H32" s="49" t="s">
        <v>12667</v>
      </c>
      <c r="I32" s="97">
        <v>9679.3893129770986</v>
      </c>
      <c r="J32" s="95">
        <v>5</v>
      </c>
      <c r="K32" s="102">
        <v>1268</v>
      </c>
      <c r="L32" s="95">
        <v>0</v>
      </c>
      <c r="M32" s="95">
        <v>32</v>
      </c>
      <c r="N32" s="95">
        <v>0</v>
      </c>
      <c r="O32" s="49" t="s">
        <v>10865</v>
      </c>
    </row>
    <row r="33" spans="1:15">
      <c r="A33" s="95">
        <v>759724529202804</v>
      </c>
      <c r="B33" s="49" t="s">
        <v>10621</v>
      </c>
      <c r="C33" s="49" t="s">
        <v>10863</v>
      </c>
      <c r="D33" s="49" t="s">
        <v>10864</v>
      </c>
      <c r="E33" s="49">
        <v>6285180805171</v>
      </c>
      <c r="F33" s="96">
        <v>45832</v>
      </c>
      <c r="G33" s="95">
        <v>385</v>
      </c>
      <c r="H33" s="49" t="s">
        <v>12668</v>
      </c>
      <c r="I33" s="97">
        <v>8912.6637554585159</v>
      </c>
      <c r="J33" s="95">
        <v>8</v>
      </c>
      <c r="K33" s="102">
        <v>4082</v>
      </c>
      <c r="L33" s="95">
        <v>1</v>
      </c>
      <c r="M33" s="95">
        <v>96</v>
      </c>
      <c r="N33" s="95">
        <v>0</v>
      </c>
      <c r="O33" s="49" t="s">
        <v>10865</v>
      </c>
    </row>
    <row r="34" spans="1:15">
      <c r="A34" s="95">
        <v>759724529202804</v>
      </c>
      <c r="B34" s="49" t="s">
        <v>10621</v>
      </c>
      <c r="C34" s="49" t="s">
        <v>10863</v>
      </c>
      <c r="D34" s="49" t="s">
        <v>10864</v>
      </c>
      <c r="E34" s="49">
        <v>6285180805171</v>
      </c>
      <c r="F34" s="96">
        <v>45832</v>
      </c>
      <c r="G34" s="95">
        <v>393</v>
      </c>
      <c r="H34" s="49" t="s">
        <v>12669</v>
      </c>
      <c r="I34" s="97">
        <v>9344.3708609271525</v>
      </c>
      <c r="J34" s="95">
        <v>8</v>
      </c>
      <c r="K34" s="102">
        <v>4233</v>
      </c>
      <c r="L34" s="95">
        <v>0</v>
      </c>
      <c r="M34" s="95">
        <v>148</v>
      </c>
      <c r="N34" s="95">
        <v>0</v>
      </c>
      <c r="O34" s="49" t="s">
        <v>10865</v>
      </c>
    </row>
    <row r="35" spans="1:15">
      <c r="A35" s="95">
        <v>759724529202804</v>
      </c>
      <c r="B35" s="49" t="s">
        <v>10621</v>
      </c>
      <c r="C35" s="49" t="s">
        <v>10863</v>
      </c>
      <c r="D35" s="49" t="s">
        <v>10864</v>
      </c>
      <c r="E35" s="49">
        <v>6285180805171</v>
      </c>
      <c r="F35" s="96">
        <v>45832</v>
      </c>
      <c r="G35" s="95">
        <v>252</v>
      </c>
      <c r="H35" s="49" t="s">
        <v>12670</v>
      </c>
      <c r="I35" s="97">
        <v>14064.74820143885</v>
      </c>
      <c r="J35" s="95">
        <v>3</v>
      </c>
      <c r="K35" s="102">
        <v>3910</v>
      </c>
      <c r="L35" s="95">
        <v>0</v>
      </c>
      <c r="M35" s="95">
        <v>97</v>
      </c>
      <c r="N35" s="95">
        <v>0</v>
      </c>
      <c r="O35" s="49" t="s">
        <v>10865</v>
      </c>
    </row>
    <row r="36" spans="1:15">
      <c r="A36" s="95">
        <v>759724529202804</v>
      </c>
      <c r="B36" s="49" t="s">
        <v>10621</v>
      </c>
      <c r="C36" s="49" t="s">
        <v>10863</v>
      </c>
      <c r="D36" s="49" t="s">
        <v>10864</v>
      </c>
      <c r="E36" s="49">
        <v>6285180805171</v>
      </c>
      <c r="F36" s="96">
        <v>45832</v>
      </c>
      <c r="G36" s="95">
        <v>74</v>
      </c>
      <c r="H36" s="49" t="s">
        <v>12671</v>
      </c>
      <c r="I36" s="97">
        <v>17375</v>
      </c>
      <c r="J36" s="95">
        <v>0</v>
      </c>
      <c r="K36" s="102">
        <v>1529</v>
      </c>
      <c r="L36" s="95">
        <v>0</v>
      </c>
      <c r="M36" s="95">
        <v>32</v>
      </c>
      <c r="N36" s="95">
        <v>0</v>
      </c>
      <c r="O36" s="49" t="s">
        <v>10865</v>
      </c>
    </row>
    <row r="37" spans="1:15">
      <c r="A37" s="95">
        <v>759724529202804</v>
      </c>
      <c r="B37" s="49" t="s">
        <v>10621</v>
      </c>
      <c r="C37" s="49" t="s">
        <v>10863</v>
      </c>
      <c r="D37" s="49" t="s">
        <v>10864</v>
      </c>
      <c r="E37" s="49">
        <v>6285180805171</v>
      </c>
      <c r="F37" s="96">
        <v>45832</v>
      </c>
      <c r="G37" s="95">
        <v>26</v>
      </c>
      <c r="H37" s="49" t="s">
        <v>12672</v>
      </c>
      <c r="I37" s="97">
        <v>13965.51724137931</v>
      </c>
      <c r="J37" s="95">
        <v>2</v>
      </c>
      <c r="K37" s="102">
        <v>405</v>
      </c>
      <c r="L37" s="95">
        <v>0</v>
      </c>
      <c r="M37" s="95">
        <v>11</v>
      </c>
      <c r="N37" s="95">
        <v>0</v>
      </c>
      <c r="O37" s="49" t="s">
        <v>10865</v>
      </c>
    </row>
    <row r="38" spans="1:15">
      <c r="A38" s="95">
        <v>759724529202804</v>
      </c>
      <c r="B38" s="49" t="s">
        <v>10621</v>
      </c>
      <c r="C38" s="49" t="s">
        <v>10850</v>
      </c>
      <c r="D38" s="49" t="s">
        <v>10851</v>
      </c>
      <c r="E38" s="49">
        <v>6282125465047</v>
      </c>
      <c r="F38" s="96">
        <v>45832</v>
      </c>
      <c r="G38" s="95">
        <v>17</v>
      </c>
      <c r="H38" s="49" t="s">
        <v>12667</v>
      </c>
      <c r="I38" s="97">
        <v>7684.2105263157891</v>
      </c>
      <c r="J38" s="95">
        <v>0</v>
      </c>
      <c r="K38" s="102">
        <v>146</v>
      </c>
      <c r="L38" s="95">
        <v>0</v>
      </c>
      <c r="M38" s="95">
        <v>6</v>
      </c>
      <c r="N38" s="95">
        <v>0</v>
      </c>
      <c r="O38" s="49" t="s">
        <v>10852</v>
      </c>
    </row>
    <row r="39" spans="1:15">
      <c r="A39" s="95">
        <v>759724529202804</v>
      </c>
      <c r="B39" s="49" t="s">
        <v>10621</v>
      </c>
      <c r="C39" s="49" t="s">
        <v>10850</v>
      </c>
      <c r="D39" s="49" t="s">
        <v>10851</v>
      </c>
      <c r="E39" s="49">
        <v>6282125465047</v>
      </c>
      <c r="F39" s="96">
        <v>45832</v>
      </c>
      <c r="G39" s="95">
        <v>60</v>
      </c>
      <c r="H39" s="49" t="s">
        <v>12668</v>
      </c>
      <c r="I39" s="97">
        <v>13731.343283582089</v>
      </c>
      <c r="J39" s="95">
        <v>0</v>
      </c>
      <c r="K39" s="102">
        <v>920</v>
      </c>
      <c r="L39" s="95">
        <v>0</v>
      </c>
      <c r="M39" s="95">
        <v>16</v>
      </c>
      <c r="N39" s="95">
        <v>0</v>
      </c>
      <c r="O39" s="49" t="s">
        <v>10852</v>
      </c>
    </row>
    <row r="40" spans="1:15">
      <c r="A40" s="95">
        <v>759724529202804</v>
      </c>
      <c r="B40" s="49" t="s">
        <v>10621</v>
      </c>
      <c r="C40" s="49" t="s">
        <v>10850</v>
      </c>
      <c r="D40" s="49" t="s">
        <v>10851</v>
      </c>
      <c r="E40" s="49">
        <v>6282125465047</v>
      </c>
      <c r="F40" s="96">
        <v>45832</v>
      </c>
      <c r="G40" s="95">
        <v>112</v>
      </c>
      <c r="H40" s="49" t="s">
        <v>12669</v>
      </c>
      <c r="I40" s="97">
        <v>8991.5966386554628</v>
      </c>
      <c r="J40" s="95">
        <v>4</v>
      </c>
      <c r="K40" s="102">
        <v>1070</v>
      </c>
      <c r="L40" s="95">
        <v>1</v>
      </c>
      <c r="M40" s="95">
        <v>32</v>
      </c>
      <c r="N40" s="95">
        <v>0</v>
      </c>
      <c r="O40" s="49" t="s">
        <v>10852</v>
      </c>
    </row>
    <row r="41" spans="1:15">
      <c r="A41" s="95">
        <v>759724529202804</v>
      </c>
      <c r="B41" s="49" t="s">
        <v>10621</v>
      </c>
      <c r="C41" s="49" t="s">
        <v>10850</v>
      </c>
      <c r="D41" s="49" t="s">
        <v>10851</v>
      </c>
      <c r="E41" s="49">
        <v>6282125465047</v>
      </c>
      <c r="F41" s="96">
        <v>45832</v>
      </c>
      <c r="G41" s="95">
        <v>205</v>
      </c>
      <c r="H41" s="49" t="s">
        <v>12670</v>
      </c>
      <c r="I41" s="97">
        <v>14040.358744394618</v>
      </c>
      <c r="J41" s="95">
        <v>13</v>
      </c>
      <c r="K41" s="102">
        <v>3131</v>
      </c>
      <c r="L41" s="95">
        <v>3</v>
      </c>
      <c r="M41" s="95">
        <v>72</v>
      </c>
      <c r="N41" s="95">
        <v>0</v>
      </c>
      <c r="O41" s="49" t="s">
        <v>10852</v>
      </c>
    </row>
    <row r="42" spans="1:15">
      <c r="A42" s="95">
        <v>759724529202804</v>
      </c>
      <c r="B42" s="49" t="s">
        <v>10621</v>
      </c>
      <c r="C42" s="49" t="s">
        <v>10850</v>
      </c>
      <c r="D42" s="49" t="s">
        <v>10851</v>
      </c>
      <c r="E42" s="49">
        <v>6282125465047</v>
      </c>
      <c r="F42" s="96">
        <v>45832</v>
      </c>
      <c r="G42" s="95">
        <v>236</v>
      </c>
      <c r="H42" s="49" t="s">
        <v>12671</v>
      </c>
      <c r="I42" s="97">
        <v>22264.150943396227</v>
      </c>
      <c r="J42" s="95">
        <v>15</v>
      </c>
      <c r="K42" s="102">
        <v>5900</v>
      </c>
      <c r="L42" s="95">
        <v>4</v>
      </c>
      <c r="M42" s="95">
        <v>88</v>
      </c>
      <c r="N42" s="95">
        <v>0</v>
      </c>
      <c r="O42" s="49" t="s">
        <v>10852</v>
      </c>
    </row>
    <row r="43" spans="1:15">
      <c r="A43" s="95">
        <v>759724529202804</v>
      </c>
      <c r="B43" s="49" t="s">
        <v>10621</v>
      </c>
      <c r="C43" s="49" t="s">
        <v>10850</v>
      </c>
      <c r="D43" s="49" t="s">
        <v>10851</v>
      </c>
      <c r="E43" s="49">
        <v>6282125465047</v>
      </c>
      <c r="F43" s="96">
        <v>45832</v>
      </c>
      <c r="G43" s="95">
        <v>162</v>
      </c>
      <c r="H43" s="49" t="s">
        <v>12672</v>
      </c>
      <c r="I43" s="97">
        <v>25136.84210526316</v>
      </c>
      <c r="J43" s="95">
        <v>14</v>
      </c>
      <c r="K43" s="102">
        <v>4776</v>
      </c>
      <c r="L43" s="95">
        <v>1</v>
      </c>
      <c r="M43" s="95">
        <v>72</v>
      </c>
      <c r="N43" s="95">
        <v>2</v>
      </c>
      <c r="O43" s="49" t="s">
        <v>10852</v>
      </c>
    </row>
    <row r="44" spans="1:15">
      <c r="A44" s="95">
        <v>759724529202804</v>
      </c>
      <c r="B44" s="49" t="s">
        <v>10621</v>
      </c>
      <c r="C44" s="49" t="s">
        <v>10890</v>
      </c>
      <c r="D44" s="49" t="s">
        <v>450</v>
      </c>
      <c r="E44" s="49">
        <v>62895401448273</v>
      </c>
      <c r="F44" s="96">
        <v>45832</v>
      </c>
      <c r="G44" s="95">
        <v>53</v>
      </c>
      <c r="H44" s="49" t="s">
        <v>12667</v>
      </c>
      <c r="I44" s="97">
        <v>15716.216216216215</v>
      </c>
      <c r="J44" s="95">
        <v>2</v>
      </c>
      <c r="K44" s="102">
        <v>1163</v>
      </c>
      <c r="L44" s="95">
        <v>0</v>
      </c>
      <c r="M44" s="95">
        <v>0</v>
      </c>
      <c r="N44" s="95">
        <v>0</v>
      </c>
      <c r="O44" s="49" t="s">
        <v>10891</v>
      </c>
    </row>
    <row r="45" spans="1:15">
      <c r="A45" s="95">
        <v>759724529202804</v>
      </c>
      <c r="B45" s="49" t="s">
        <v>10621</v>
      </c>
      <c r="C45" s="49" t="s">
        <v>10890</v>
      </c>
      <c r="D45" s="49" t="s">
        <v>450</v>
      </c>
      <c r="E45" s="49">
        <v>62895401448273</v>
      </c>
      <c r="F45" s="96">
        <v>45832</v>
      </c>
      <c r="G45" s="95">
        <v>173</v>
      </c>
      <c r="H45" s="49" t="s">
        <v>12668</v>
      </c>
      <c r="I45" s="97">
        <v>18126.08695652174</v>
      </c>
      <c r="J45" s="95">
        <v>4</v>
      </c>
      <c r="K45" s="102">
        <v>4169</v>
      </c>
      <c r="L45" s="95">
        <v>0</v>
      </c>
      <c r="M45" s="95">
        <v>0</v>
      </c>
      <c r="N45" s="95">
        <v>0</v>
      </c>
      <c r="O45" s="49" t="s">
        <v>10891</v>
      </c>
    </row>
    <row r="46" spans="1:15">
      <c r="A46" s="95">
        <v>759724529202804</v>
      </c>
      <c r="B46" s="49" t="s">
        <v>10621</v>
      </c>
      <c r="C46" s="49" t="s">
        <v>10890</v>
      </c>
      <c r="D46" s="49" t="s">
        <v>450</v>
      </c>
      <c r="E46" s="49">
        <v>62895401448273</v>
      </c>
      <c r="F46" s="96">
        <v>45832</v>
      </c>
      <c r="G46" s="95">
        <v>181</v>
      </c>
      <c r="H46" s="49" t="s">
        <v>12669</v>
      </c>
      <c r="I46" s="97">
        <v>23403.846153846152</v>
      </c>
      <c r="J46" s="95">
        <v>9</v>
      </c>
      <c r="K46" s="102">
        <v>6085</v>
      </c>
      <c r="L46" s="95">
        <v>1</v>
      </c>
      <c r="M46" s="95">
        <v>0</v>
      </c>
      <c r="N46" s="95">
        <v>0</v>
      </c>
      <c r="O46" s="49" t="s">
        <v>10891</v>
      </c>
    </row>
    <row r="47" spans="1:15">
      <c r="A47" s="95">
        <v>759724529202804</v>
      </c>
      <c r="B47" s="49" t="s">
        <v>10621</v>
      </c>
      <c r="C47" s="49" t="s">
        <v>10890</v>
      </c>
      <c r="D47" s="49" t="s">
        <v>450</v>
      </c>
      <c r="E47" s="49">
        <v>62895401448273</v>
      </c>
      <c r="F47" s="96">
        <v>45832</v>
      </c>
      <c r="G47" s="95">
        <v>93</v>
      </c>
      <c r="H47" s="49" t="s">
        <v>12670</v>
      </c>
      <c r="I47" s="97">
        <v>30296.875</v>
      </c>
      <c r="J47" s="95">
        <v>7</v>
      </c>
      <c r="K47" s="102">
        <v>3878</v>
      </c>
      <c r="L47" s="95">
        <v>0</v>
      </c>
      <c r="M47" s="95">
        <v>0</v>
      </c>
      <c r="N47" s="95">
        <v>0</v>
      </c>
      <c r="O47" s="49" t="s">
        <v>10891</v>
      </c>
    </row>
    <row r="48" spans="1:15">
      <c r="A48" s="95">
        <v>759724529202804</v>
      </c>
      <c r="B48" s="49" t="s">
        <v>10621</v>
      </c>
      <c r="C48" s="49" t="s">
        <v>10890</v>
      </c>
      <c r="D48" s="49" t="s">
        <v>450</v>
      </c>
      <c r="E48" s="49">
        <v>62895401448273</v>
      </c>
      <c r="F48" s="96">
        <v>45832</v>
      </c>
      <c r="G48" s="95">
        <v>31</v>
      </c>
      <c r="H48" s="49" t="s">
        <v>12671</v>
      </c>
      <c r="I48" s="97">
        <v>26735.294117647059</v>
      </c>
      <c r="J48" s="95">
        <v>2</v>
      </c>
      <c r="K48" s="102">
        <v>909</v>
      </c>
      <c r="L48" s="95">
        <v>0</v>
      </c>
      <c r="M48" s="95">
        <v>0</v>
      </c>
      <c r="N48" s="95">
        <v>0</v>
      </c>
      <c r="O48" s="49" t="s">
        <v>10891</v>
      </c>
    </row>
    <row r="49" spans="1:15">
      <c r="A49" s="95">
        <v>759724529202804</v>
      </c>
      <c r="B49" s="49" t="s">
        <v>10621</v>
      </c>
      <c r="C49" s="49" t="s">
        <v>10890</v>
      </c>
      <c r="D49" s="49" t="s">
        <v>450</v>
      </c>
      <c r="E49" s="49">
        <v>62895401448273</v>
      </c>
      <c r="F49" s="96">
        <v>45832</v>
      </c>
      <c r="G49" s="95">
        <v>14</v>
      </c>
      <c r="H49" s="49" t="s">
        <v>12672</v>
      </c>
      <c r="I49" s="97">
        <v>15650</v>
      </c>
      <c r="J49" s="95">
        <v>0</v>
      </c>
      <c r="K49" s="102">
        <v>313</v>
      </c>
      <c r="L49" s="95">
        <v>0</v>
      </c>
      <c r="M49" s="95">
        <v>0</v>
      </c>
      <c r="N49" s="95">
        <v>0</v>
      </c>
      <c r="O49" s="49" t="s">
        <v>10891</v>
      </c>
    </row>
    <row r="50" spans="1:15">
      <c r="A50" s="95">
        <v>759724529202804</v>
      </c>
      <c r="B50" s="49" t="s">
        <v>10621</v>
      </c>
      <c r="C50" s="49" t="s">
        <v>332</v>
      </c>
      <c r="D50" s="49" t="s">
        <v>10708</v>
      </c>
      <c r="E50" s="49">
        <v>6282350524788</v>
      </c>
      <c r="F50" s="96">
        <v>45832</v>
      </c>
      <c r="G50" s="95">
        <v>43</v>
      </c>
      <c r="H50" s="49" t="s">
        <v>12667</v>
      </c>
      <c r="I50" s="97">
        <v>17350.877192982454</v>
      </c>
      <c r="J50" s="95">
        <v>2</v>
      </c>
      <c r="K50" s="102">
        <v>989</v>
      </c>
      <c r="L50" s="95">
        <v>0</v>
      </c>
      <c r="M50" s="95">
        <v>0</v>
      </c>
      <c r="N50" s="95">
        <v>0</v>
      </c>
      <c r="O50" s="49" t="s">
        <v>10709</v>
      </c>
    </row>
    <row r="51" spans="1:15">
      <c r="A51" s="95">
        <v>759724529202804</v>
      </c>
      <c r="B51" s="49" t="s">
        <v>10621</v>
      </c>
      <c r="C51" s="49" t="s">
        <v>332</v>
      </c>
      <c r="D51" s="49" t="s">
        <v>10708</v>
      </c>
      <c r="E51" s="49">
        <v>6282350524788</v>
      </c>
      <c r="F51" s="96">
        <v>45832</v>
      </c>
      <c r="G51" s="95">
        <v>240</v>
      </c>
      <c r="H51" s="49" t="s">
        <v>12668</v>
      </c>
      <c r="I51" s="97">
        <v>12717.607973421927</v>
      </c>
      <c r="J51" s="95">
        <v>17</v>
      </c>
      <c r="K51" s="102">
        <v>3828</v>
      </c>
      <c r="L51" s="95">
        <v>1</v>
      </c>
      <c r="M51" s="95">
        <v>3</v>
      </c>
      <c r="N51" s="95">
        <v>0</v>
      </c>
      <c r="O51" s="49" t="s">
        <v>10709</v>
      </c>
    </row>
    <row r="52" spans="1:15">
      <c r="A52" s="95">
        <v>759724529202804</v>
      </c>
      <c r="B52" s="49" t="s">
        <v>10621</v>
      </c>
      <c r="C52" s="49" t="s">
        <v>332</v>
      </c>
      <c r="D52" s="49" t="s">
        <v>10708</v>
      </c>
      <c r="E52" s="49">
        <v>6282350524788</v>
      </c>
      <c r="F52" s="96">
        <v>45832</v>
      </c>
      <c r="G52" s="95">
        <v>223</v>
      </c>
      <c r="H52" s="49" t="s">
        <v>12669</v>
      </c>
      <c r="I52" s="97">
        <v>15433.962264150943</v>
      </c>
      <c r="J52" s="95">
        <v>9</v>
      </c>
      <c r="K52" s="102">
        <v>4090</v>
      </c>
      <c r="L52" s="95">
        <v>2</v>
      </c>
      <c r="M52" s="95">
        <v>0</v>
      </c>
      <c r="N52" s="95">
        <v>0</v>
      </c>
      <c r="O52" s="49" t="s">
        <v>10709</v>
      </c>
    </row>
    <row r="53" spans="1:15">
      <c r="A53" s="95">
        <v>759724529202804</v>
      </c>
      <c r="B53" s="49" t="s">
        <v>10621</v>
      </c>
      <c r="C53" s="49" t="s">
        <v>332</v>
      </c>
      <c r="D53" s="49" t="s">
        <v>10708</v>
      </c>
      <c r="E53" s="49">
        <v>6282350524788</v>
      </c>
      <c r="F53" s="96">
        <v>45832</v>
      </c>
      <c r="G53" s="95">
        <v>173</v>
      </c>
      <c r="H53" s="49" t="s">
        <v>12670</v>
      </c>
      <c r="I53" s="97">
        <v>16945.205479452055</v>
      </c>
      <c r="J53" s="95">
        <v>7</v>
      </c>
      <c r="K53" s="102">
        <v>3711</v>
      </c>
      <c r="L53" s="95">
        <v>0</v>
      </c>
      <c r="M53" s="95">
        <v>1</v>
      </c>
      <c r="N53" s="95">
        <v>0</v>
      </c>
      <c r="O53" s="49" t="s">
        <v>10709</v>
      </c>
    </row>
    <row r="54" spans="1:15">
      <c r="A54" s="95">
        <v>759724529202804</v>
      </c>
      <c r="B54" s="49" t="s">
        <v>10621</v>
      </c>
      <c r="C54" s="49" t="s">
        <v>332</v>
      </c>
      <c r="D54" s="49" t="s">
        <v>10708</v>
      </c>
      <c r="E54" s="49">
        <v>6282350524788</v>
      </c>
      <c r="F54" s="96">
        <v>45832</v>
      </c>
      <c r="G54" s="95">
        <v>64</v>
      </c>
      <c r="H54" s="49" t="s">
        <v>12671</v>
      </c>
      <c r="I54" s="97">
        <v>21779.220779220777</v>
      </c>
      <c r="J54" s="95">
        <v>2</v>
      </c>
      <c r="K54" s="102">
        <v>1677</v>
      </c>
      <c r="L54" s="95">
        <v>1</v>
      </c>
      <c r="M54" s="95">
        <v>1</v>
      </c>
      <c r="N54" s="95">
        <v>0</v>
      </c>
      <c r="O54" s="49" t="s">
        <v>10709</v>
      </c>
    </row>
    <row r="55" spans="1:15">
      <c r="A55" s="95">
        <v>759724529202804</v>
      </c>
      <c r="B55" s="49" t="s">
        <v>10621</v>
      </c>
      <c r="C55" s="49" t="s">
        <v>332</v>
      </c>
      <c r="D55" s="49" t="s">
        <v>10708</v>
      </c>
      <c r="E55" s="49">
        <v>6282350524788</v>
      </c>
      <c r="F55" s="96">
        <v>45832</v>
      </c>
      <c r="G55" s="95">
        <v>20</v>
      </c>
      <c r="H55" s="49" t="s">
        <v>12672</v>
      </c>
      <c r="I55" s="97">
        <v>13904.761904761905</v>
      </c>
      <c r="J55" s="95">
        <v>1</v>
      </c>
      <c r="K55" s="102">
        <v>292</v>
      </c>
      <c r="L55" s="95">
        <v>0</v>
      </c>
      <c r="M55" s="95">
        <v>0</v>
      </c>
      <c r="N55" s="95">
        <v>0</v>
      </c>
      <c r="O55" s="49" t="s">
        <v>10709</v>
      </c>
    </row>
    <row r="56" spans="1:15">
      <c r="A56" s="95">
        <v>759724529202804</v>
      </c>
      <c r="B56" s="49" t="s">
        <v>10621</v>
      </c>
      <c r="C56" s="49" t="s">
        <v>665</v>
      </c>
      <c r="D56" s="49" t="s">
        <v>659</v>
      </c>
      <c r="E56" s="49">
        <v>6285757057088</v>
      </c>
      <c r="F56" s="96">
        <v>45832</v>
      </c>
      <c r="G56" s="95">
        <v>235</v>
      </c>
      <c r="H56" s="49" t="s">
        <v>12668</v>
      </c>
      <c r="I56" s="97">
        <v>13012.94498381877</v>
      </c>
      <c r="J56" s="95">
        <v>9</v>
      </c>
      <c r="K56" s="102">
        <v>4021</v>
      </c>
      <c r="L56" s="95">
        <v>0</v>
      </c>
      <c r="M56" s="95">
        <v>0</v>
      </c>
      <c r="N56" s="95">
        <v>0</v>
      </c>
      <c r="O56" s="49" t="s">
        <v>10636</v>
      </c>
    </row>
    <row r="57" spans="1:15">
      <c r="A57" s="95">
        <v>759724529202804</v>
      </c>
      <c r="B57" s="49" t="s">
        <v>10621</v>
      </c>
      <c r="C57" s="49" t="s">
        <v>665</v>
      </c>
      <c r="D57" s="49" t="s">
        <v>659</v>
      </c>
      <c r="E57" s="49">
        <v>6285757057088</v>
      </c>
      <c r="F57" s="96">
        <v>45832</v>
      </c>
      <c r="G57" s="95">
        <v>245</v>
      </c>
      <c r="H57" s="49" t="s">
        <v>12669</v>
      </c>
      <c r="I57" s="97">
        <v>19125</v>
      </c>
      <c r="J57" s="95">
        <v>9</v>
      </c>
      <c r="K57" s="102">
        <v>5661</v>
      </c>
      <c r="L57" s="95">
        <v>0</v>
      </c>
      <c r="M57" s="95">
        <v>0</v>
      </c>
      <c r="N57" s="95">
        <v>1</v>
      </c>
      <c r="O57" s="49" t="s">
        <v>10636</v>
      </c>
    </row>
    <row r="58" spans="1:15">
      <c r="A58" s="95">
        <v>759724529202804</v>
      </c>
      <c r="B58" s="49" t="s">
        <v>10621</v>
      </c>
      <c r="C58" s="49" t="s">
        <v>665</v>
      </c>
      <c r="D58" s="49" t="s">
        <v>659</v>
      </c>
      <c r="E58" s="49">
        <v>6285757057088</v>
      </c>
      <c r="F58" s="96">
        <v>45832</v>
      </c>
      <c r="G58" s="95">
        <v>130</v>
      </c>
      <c r="H58" s="49" t="s">
        <v>12670</v>
      </c>
      <c r="I58" s="97">
        <v>24513.157894736843</v>
      </c>
      <c r="J58" s="95">
        <v>6</v>
      </c>
      <c r="K58" s="102">
        <v>3726</v>
      </c>
      <c r="L58" s="95">
        <v>1</v>
      </c>
      <c r="M58" s="95">
        <v>0</v>
      </c>
      <c r="N58" s="95">
        <v>0</v>
      </c>
      <c r="O58" s="49" t="s">
        <v>10636</v>
      </c>
    </row>
    <row r="59" spans="1:15">
      <c r="A59" s="95">
        <v>759724529202804</v>
      </c>
      <c r="B59" s="49" t="s">
        <v>10621</v>
      </c>
      <c r="C59" s="49" t="s">
        <v>665</v>
      </c>
      <c r="D59" s="49" t="s">
        <v>659</v>
      </c>
      <c r="E59" s="49">
        <v>6285757057088</v>
      </c>
      <c r="F59" s="96">
        <v>45832</v>
      </c>
      <c r="G59" s="95">
        <v>36</v>
      </c>
      <c r="H59" s="49" t="s">
        <v>12671</v>
      </c>
      <c r="I59" s="97">
        <v>23720.930232558138</v>
      </c>
      <c r="J59" s="95">
        <v>0</v>
      </c>
      <c r="K59" s="102">
        <v>1020</v>
      </c>
      <c r="L59" s="95">
        <v>0</v>
      </c>
      <c r="M59" s="95">
        <v>0</v>
      </c>
      <c r="N59" s="95">
        <v>0</v>
      </c>
      <c r="O59" s="49" t="s">
        <v>10636</v>
      </c>
    </row>
    <row r="60" spans="1:15">
      <c r="A60" s="95">
        <v>759724529202804</v>
      </c>
      <c r="B60" s="49" t="s">
        <v>10621</v>
      </c>
      <c r="C60" s="49" t="s">
        <v>665</v>
      </c>
      <c r="D60" s="49" t="s">
        <v>659</v>
      </c>
      <c r="E60" s="49">
        <v>6285757057088</v>
      </c>
      <c r="F60" s="96">
        <v>45832</v>
      </c>
      <c r="G60" s="95">
        <v>16</v>
      </c>
      <c r="H60" s="49" t="s">
        <v>12672</v>
      </c>
      <c r="I60" s="97">
        <v>25333.333333333332</v>
      </c>
      <c r="J60" s="95">
        <v>0</v>
      </c>
      <c r="K60" s="102">
        <v>532</v>
      </c>
      <c r="L60" s="95">
        <v>0</v>
      </c>
      <c r="M60" s="95">
        <v>0</v>
      </c>
      <c r="N60" s="95">
        <v>0</v>
      </c>
      <c r="O60" s="49" t="s">
        <v>10636</v>
      </c>
    </row>
    <row r="61" spans="1:15">
      <c r="A61" s="95">
        <v>174904221976312</v>
      </c>
      <c r="B61" s="49" t="s">
        <v>10651</v>
      </c>
      <c r="C61" s="49" t="s">
        <v>10915</v>
      </c>
      <c r="D61" s="49" t="s">
        <v>10674</v>
      </c>
      <c r="E61" s="49">
        <v>6282183184641</v>
      </c>
      <c r="F61" s="96">
        <v>45832</v>
      </c>
      <c r="G61" s="95">
        <v>1</v>
      </c>
      <c r="H61" s="49" t="s">
        <v>12667</v>
      </c>
      <c r="I61" s="97">
        <v>9000</v>
      </c>
      <c r="J61" s="95">
        <v>0</v>
      </c>
      <c r="K61" s="102">
        <v>9</v>
      </c>
      <c r="L61" s="95">
        <v>0</v>
      </c>
      <c r="M61" s="95">
        <v>0</v>
      </c>
      <c r="N61" s="95">
        <v>0</v>
      </c>
      <c r="O61" s="49" t="s">
        <v>10675</v>
      </c>
    </row>
    <row r="62" spans="1:15">
      <c r="A62" s="95">
        <v>174904221976312</v>
      </c>
      <c r="B62" s="49" t="s">
        <v>10651</v>
      </c>
      <c r="C62" s="49" t="s">
        <v>10915</v>
      </c>
      <c r="D62" s="49" t="s">
        <v>10674</v>
      </c>
      <c r="E62" s="49">
        <v>6282183184641</v>
      </c>
      <c r="F62" s="96">
        <v>45832</v>
      </c>
      <c r="G62" s="95">
        <v>75</v>
      </c>
      <c r="H62" s="49" t="s">
        <v>12668</v>
      </c>
      <c r="I62" s="97">
        <v>12903.614457831325</v>
      </c>
      <c r="J62" s="95">
        <v>2</v>
      </c>
      <c r="K62" s="102">
        <v>1071</v>
      </c>
      <c r="L62" s="95">
        <v>1</v>
      </c>
      <c r="M62" s="95">
        <v>17</v>
      </c>
      <c r="N62" s="95">
        <v>0</v>
      </c>
      <c r="O62" s="49" t="s">
        <v>10675</v>
      </c>
    </row>
    <row r="63" spans="1:15">
      <c r="A63" s="95">
        <v>174904221976312</v>
      </c>
      <c r="B63" s="49" t="s">
        <v>10651</v>
      </c>
      <c r="C63" s="49" t="s">
        <v>10915</v>
      </c>
      <c r="D63" s="49" t="s">
        <v>10674</v>
      </c>
      <c r="E63" s="49">
        <v>6282183184641</v>
      </c>
      <c r="F63" s="96">
        <v>45832</v>
      </c>
      <c r="G63" s="95">
        <v>88</v>
      </c>
      <c r="H63" s="49" t="s">
        <v>12669</v>
      </c>
      <c r="I63" s="97">
        <v>10989.36170212766</v>
      </c>
      <c r="J63" s="95">
        <v>1</v>
      </c>
      <c r="K63" s="102">
        <v>1033</v>
      </c>
      <c r="L63" s="95">
        <v>0</v>
      </c>
      <c r="M63" s="95">
        <v>13</v>
      </c>
      <c r="N63" s="95">
        <v>0</v>
      </c>
      <c r="O63" s="49" t="s">
        <v>10675</v>
      </c>
    </row>
    <row r="64" spans="1:15">
      <c r="A64" s="95">
        <v>174904221976312</v>
      </c>
      <c r="B64" s="49" t="s">
        <v>10651</v>
      </c>
      <c r="C64" s="49" t="s">
        <v>10915</v>
      </c>
      <c r="D64" s="49" t="s">
        <v>10674</v>
      </c>
      <c r="E64" s="49">
        <v>6282183184641</v>
      </c>
      <c r="F64" s="96">
        <v>45832</v>
      </c>
      <c r="G64" s="95">
        <v>71</v>
      </c>
      <c r="H64" s="49" t="s">
        <v>12670</v>
      </c>
      <c r="I64" s="97">
        <v>20253.521126760563</v>
      </c>
      <c r="J64" s="95">
        <v>0</v>
      </c>
      <c r="K64" s="102">
        <v>1438</v>
      </c>
      <c r="L64" s="95">
        <v>0</v>
      </c>
      <c r="M64" s="95">
        <v>21</v>
      </c>
      <c r="N64" s="95">
        <v>0</v>
      </c>
      <c r="O64" s="49" t="s">
        <v>10675</v>
      </c>
    </row>
    <row r="65" spans="1:15">
      <c r="A65" s="95">
        <v>174904221976312</v>
      </c>
      <c r="B65" s="49" t="s">
        <v>10651</v>
      </c>
      <c r="C65" s="49" t="s">
        <v>10915</v>
      </c>
      <c r="D65" s="49" t="s">
        <v>10674</v>
      </c>
      <c r="E65" s="49">
        <v>6282183184641</v>
      </c>
      <c r="F65" s="96">
        <v>45832</v>
      </c>
      <c r="G65" s="95">
        <v>8</v>
      </c>
      <c r="H65" s="49" t="s">
        <v>12671</v>
      </c>
      <c r="I65" s="97">
        <v>30000</v>
      </c>
      <c r="J65" s="95">
        <v>1</v>
      </c>
      <c r="K65" s="102">
        <v>240</v>
      </c>
      <c r="L65" s="95">
        <v>0</v>
      </c>
      <c r="M65" s="95">
        <v>1</v>
      </c>
      <c r="N65" s="95">
        <v>0</v>
      </c>
      <c r="O65" s="49" t="s">
        <v>10675</v>
      </c>
    </row>
    <row r="66" spans="1:15">
      <c r="A66" s="95">
        <v>174904221976312</v>
      </c>
      <c r="B66" s="49" t="s">
        <v>10651</v>
      </c>
      <c r="C66" s="49" t="s">
        <v>10915</v>
      </c>
      <c r="D66" s="49" t="s">
        <v>10674</v>
      </c>
      <c r="E66" s="49">
        <v>6282183184641</v>
      </c>
      <c r="F66" s="96">
        <v>45832</v>
      </c>
      <c r="G66" s="95">
        <v>1</v>
      </c>
      <c r="H66" s="49" t="s">
        <v>12672</v>
      </c>
      <c r="I66" s="97">
        <v>65000</v>
      </c>
      <c r="J66" s="95">
        <v>0</v>
      </c>
      <c r="K66" s="102">
        <v>65</v>
      </c>
      <c r="L66" s="95">
        <v>0</v>
      </c>
      <c r="M66" s="95">
        <v>1</v>
      </c>
      <c r="N66" s="95">
        <v>0</v>
      </c>
      <c r="O66" s="49" t="s">
        <v>10675</v>
      </c>
    </row>
    <row r="67" spans="1:15">
      <c r="A67" s="95">
        <v>174904221976312</v>
      </c>
      <c r="B67" s="49" t="s">
        <v>10651</v>
      </c>
      <c r="C67" s="49" t="s">
        <v>10892</v>
      </c>
      <c r="D67" s="49" t="s">
        <v>10893</v>
      </c>
      <c r="E67" s="49">
        <v>6282399721881</v>
      </c>
      <c r="F67" s="96">
        <v>45832</v>
      </c>
      <c r="G67" s="95">
        <v>32</v>
      </c>
      <c r="H67" s="49" t="s">
        <v>12667</v>
      </c>
      <c r="I67" s="97">
        <v>6411.7647058823532</v>
      </c>
      <c r="J67" s="95">
        <v>0</v>
      </c>
      <c r="K67" s="102">
        <v>218</v>
      </c>
      <c r="L67" s="95">
        <v>0</v>
      </c>
      <c r="M67" s="95">
        <v>11</v>
      </c>
      <c r="N67" s="95">
        <v>0</v>
      </c>
      <c r="O67" s="49" t="s">
        <v>10894</v>
      </c>
    </row>
    <row r="68" spans="1:15">
      <c r="A68" s="95">
        <v>174904221976312</v>
      </c>
      <c r="B68" s="49" t="s">
        <v>10651</v>
      </c>
      <c r="C68" s="49" t="s">
        <v>10892</v>
      </c>
      <c r="D68" s="49" t="s">
        <v>10893</v>
      </c>
      <c r="E68" s="49">
        <v>6282399721881</v>
      </c>
      <c r="F68" s="96">
        <v>45832</v>
      </c>
      <c r="G68" s="95">
        <v>152</v>
      </c>
      <c r="H68" s="49" t="s">
        <v>12668</v>
      </c>
      <c r="I68" s="97">
        <v>10597.087378640777</v>
      </c>
      <c r="J68" s="95">
        <v>3</v>
      </c>
      <c r="K68" s="102">
        <v>2183</v>
      </c>
      <c r="L68" s="95">
        <v>0</v>
      </c>
      <c r="M68" s="95">
        <v>56</v>
      </c>
      <c r="N68" s="95">
        <v>0</v>
      </c>
      <c r="O68" s="49" t="s">
        <v>10894</v>
      </c>
    </row>
    <row r="69" spans="1:15">
      <c r="A69" s="95">
        <v>174904221976312</v>
      </c>
      <c r="B69" s="49" t="s">
        <v>10651</v>
      </c>
      <c r="C69" s="49" t="s">
        <v>10892</v>
      </c>
      <c r="D69" s="49" t="s">
        <v>10893</v>
      </c>
      <c r="E69" s="49">
        <v>6282399721881</v>
      </c>
      <c r="F69" s="96">
        <v>45832</v>
      </c>
      <c r="G69" s="95">
        <v>254</v>
      </c>
      <c r="H69" s="49" t="s">
        <v>12669</v>
      </c>
      <c r="I69" s="97">
        <v>8396.3414634146338</v>
      </c>
      <c r="J69" s="95">
        <v>4</v>
      </c>
      <c r="K69" s="102">
        <v>2754</v>
      </c>
      <c r="L69" s="95">
        <v>0</v>
      </c>
      <c r="M69" s="95">
        <v>96</v>
      </c>
      <c r="N69" s="95">
        <v>0</v>
      </c>
      <c r="O69" s="49" t="s">
        <v>10894</v>
      </c>
    </row>
    <row r="70" spans="1:15">
      <c r="A70" s="95">
        <v>174904221976312</v>
      </c>
      <c r="B70" s="49" t="s">
        <v>10651</v>
      </c>
      <c r="C70" s="49" t="s">
        <v>10892</v>
      </c>
      <c r="D70" s="49" t="s">
        <v>10893</v>
      </c>
      <c r="E70" s="49">
        <v>6282399721881</v>
      </c>
      <c r="F70" s="96">
        <v>45832</v>
      </c>
      <c r="G70" s="95">
        <v>229</v>
      </c>
      <c r="H70" s="49" t="s">
        <v>12670</v>
      </c>
      <c r="I70" s="97">
        <v>13250</v>
      </c>
      <c r="J70" s="95">
        <v>4</v>
      </c>
      <c r="K70" s="102">
        <v>3816</v>
      </c>
      <c r="L70" s="95">
        <v>0</v>
      </c>
      <c r="M70" s="95">
        <v>123</v>
      </c>
      <c r="N70" s="95">
        <v>0</v>
      </c>
      <c r="O70" s="49" t="s">
        <v>10894</v>
      </c>
    </row>
    <row r="71" spans="1:15">
      <c r="A71" s="95">
        <v>174904221976312</v>
      </c>
      <c r="B71" s="49" t="s">
        <v>10651</v>
      </c>
      <c r="C71" s="49" t="s">
        <v>10892</v>
      </c>
      <c r="D71" s="49" t="s">
        <v>10893</v>
      </c>
      <c r="E71" s="49">
        <v>6282399721881</v>
      </c>
      <c r="F71" s="96">
        <v>45832</v>
      </c>
      <c r="G71" s="95">
        <v>137</v>
      </c>
      <c r="H71" s="49" t="s">
        <v>12671</v>
      </c>
      <c r="I71" s="97">
        <v>11030.12048192771</v>
      </c>
      <c r="J71" s="95">
        <v>4</v>
      </c>
      <c r="K71" s="102">
        <v>1831</v>
      </c>
      <c r="L71" s="95">
        <v>0</v>
      </c>
      <c r="M71" s="95">
        <v>72</v>
      </c>
      <c r="N71" s="95">
        <v>0</v>
      </c>
      <c r="O71" s="49" t="s">
        <v>10894</v>
      </c>
    </row>
    <row r="72" spans="1:15">
      <c r="A72" s="95">
        <v>174904221976312</v>
      </c>
      <c r="B72" s="49" t="s">
        <v>10651</v>
      </c>
      <c r="C72" s="49" t="s">
        <v>10892</v>
      </c>
      <c r="D72" s="49" t="s">
        <v>10893</v>
      </c>
      <c r="E72" s="49">
        <v>6282399721881</v>
      </c>
      <c r="F72" s="96">
        <v>45832</v>
      </c>
      <c r="G72" s="95">
        <v>23</v>
      </c>
      <c r="H72" s="49" t="s">
        <v>12672</v>
      </c>
      <c r="I72" s="97">
        <v>16360</v>
      </c>
      <c r="J72" s="95">
        <v>0</v>
      </c>
      <c r="K72" s="102">
        <v>409</v>
      </c>
      <c r="L72" s="95">
        <v>0</v>
      </c>
      <c r="M72" s="95">
        <v>13</v>
      </c>
      <c r="N72" s="95">
        <v>0</v>
      </c>
      <c r="O72" s="49" t="s">
        <v>10894</v>
      </c>
    </row>
    <row r="73" spans="1:15">
      <c r="A73" s="95">
        <v>174904221976312</v>
      </c>
      <c r="B73" s="49" t="s">
        <v>10651</v>
      </c>
      <c r="C73" s="49" t="s">
        <v>10895</v>
      </c>
      <c r="D73" s="49" t="s">
        <v>10896</v>
      </c>
      <c r="E73" s="49">
        <v>6281299907533</v>
      </c>
      <c r="F73" s="96">
        <v>45832</v>
      </c>
      <c r="G73" s="95">
        <v>16</v>
      </c>
      <c r="H73" s="49" t="s">
        <v>12667</v>
      </c>
      <c r="I73" s="97">
        <v>29777.777777777777</v>
      </c>
      <c r="J73" s="95">
        <v>0</v>
      </c>
      <c r="K73" s="102">
        <v>536</v>
      </c>
      <c r="L73" s="95">
        <v>0</v>
      </c>
      <c r="M73" s="95">
        <v>8</v>
      </c>
      <c r="N73" s="95">
        <v>0</v>
      </c>
      <c r="O73" s="49" t="s">
        <v>10897</v>
      </c>
    </row>
    <row r="74" spans="1:15">
      <c r="A74" s="95">
        <v>174904221976312</v>
      </c>
      <c r="B74" s="49" t="s">
        <v>10651</v>
      </c>
      <c r="C74" s="49" t="s">
        <v>10895</v>
      </c>
      <c r="D74" s="49" t="s">
        <v>10896</v>
      </c>
      <c r="E74" s="49">
        <v>6281299907533</v>
      </c>
      <c r="F74" s="96">
        <v>45832</v>
      </c>
      <c r="G74" s="95">
        <v>41</v>
      </c>
      <c r="H74" s="49" t="s">
        <v>12668</v>
      </c>
      <c r="I74" s="97">
        <v>16183.673469387755</v>
      </c>
      <c r="J74" s="95">
        <v>2</v>
      </c>
      <c r="K74" s="102">
        <v>793</v>
      </c>
      <c r="L74" s="95">
        <v>0</v>
      </c>
      <c r="M74" s="95">
        <v>10</v>
      </c>
      <c r="N74" s="95">
        <v>0</v>
      </c>
      <c r="O74" s="49" t="s">
        <v>10897</v>
      </c>
    </row>
    <row r="75" spans="1:15">
      <c r="A75" s="95">
        <v>174904221976312</v>
      </c>
      <c r="B75" s="49" t="s">
        <v>10651</v>
      </c>
      <c r="C75" s="49" t="s">
        <v>10895</v>
      </c>
      <c r="D75" s="49" t="s">
        <v>10896</v>
      </c>
      <c r="E75" s="49">
        <v>6281299907533</v>
      </c>
      <c r="F75" s="96">
        <v>45832</v>
      </c>
      <c r="G75" s="95">
        <v>72</v>
      </c>
      <c r="H75" s="49" t="s">
        <v>12669</v>
      </c>
      <c r="I75" s="97">
        <v>26350.649350649353</v>
      </c>
      <c r="J75" s="95">
        <v>2</v>
      </c>
      <c r="K75" s="102">
        <v>2029</v>
      </c>
      <c r="L75" s="95">
        <v>0</v>
      </c>
      <c r="M75" s="95">
        <v>28</v>
      </c>
      <c r="N75" s="95">
        <v>0</v>
      </c>
      <c r="O75" s="49" t="s">
        <v>10897</v>
      </c>
    </row>
    <row r="76" spans="1:15">
      <c r="A76" s="95">
        <v>174904221976312</v>
      </c>
      <c r="B76" s="49" t="s">
        <v>10651</v>
      </c>
      <c r="C76" s="49" t="s">
        <v>10895</v>
      </c>
      <c r="D76" s="49" t="s">
        <v>10896</v>
      </c>
      <c r="E76" s="49">
        <v>6281299907533</v>
      </c>
      <c r="F76" s="96">
        <v>45832</v>
      </c>
      <c r="G76" s="95">
        <v>138</v>
      </c>
      <c r="H76" s="49" t="s">
        <v>12670</v>
      </c>
      <c r="I76" s="97">
        <v>19980.891719745225</v>
      </c>
      <c r="J76" s="95">
        <v>7</v>
      </c>
      <c r="K76" s="102">
        <v>3137</v>
      </c>
      <c r="L76" s="95">
        <v>1</v>
      </c>
      <c r="M76" s="95">
        <v>68</v>
      </c>
      <c r="N76" s="95">
        <v>0</v>
      </c>
      <c r="O76" s="49" t="s">
        <v>10897</v>
      </c>
    </row>
    <row r="77" spans="1:15">
      <c r="A77" s="95">
        <v>174904221976312</v>
      </c>
      <c r="B77" s="49" t="s">
        <v>10651</v>
      </c>
      <c r="C77" s="49" t="s">
        <v>10895</v>
      </c>
      <c r="D77" s="49" t="s">
        <v>10896</v>
      </c>
      <c r="E77" s="49">
        <v>6281299907533</v>
      </c>
      <c r="F77" s="96">
        <v>45832</v>
      </c>
      <c r="G77" s="95">
        <v>100</v>
      </c>
      <c r="H77" s="49" t="s">
        <v>12671</v>
      </c>
      <c r="I77" s="97">
        <v>36224.137931034486</v>
      </c>
      <c r="J77" s="95">
        <v>4</v>
      </c>
      <c r="K77" s="102">
        <v>4202</v>
      </c>
      <c r="L77" s="95">
        <v>0</v>
      </c>
      <c r="M77" s="95">
        <v>49</v>
      </c>
      <c r="N77" s="95">
        <v>0</v>
      </c>
      <c r="O77" s="49" t="s">
        <v>10897</v>
      </c>
    </row>
    <row r="78" spans="1:15">
      <c r="A78" s="95">
        <v>174904221976312</v>
      </c>
      <c r="B78" s="49" t="s">
        <v>10651</v>
      </c>
      <c r="C78" s="49" t="s">
        <v>10895</v>
      </c>
      <c r="D78" s="49" t="s">
        <v>10896</v>
      </c>
      <c r="E78" s="49">
        <v>6281299907533</v>
      </c>
      <c r="F78" s="96">
        <v>45832</v>
      </c>
      <c r="G78" s="95">
        <v>28</v>
      </c>
      <c r="H78" s="49" t="s">
        <v>12672</v>
      </c>
      <c r="I78" s="97">
        <v>46437.5</v>
      </c>
      <c r="J78" s="95">
        <v>3</v>
      </c>
      <c r="K78" s="102">
        <v>1486</v>
      </c>
      <c r="L78" s="95">
        <v>0</v>
      </c>
      <c r="M78" s="95">
        <v>16</v>
      </c>
      <c r="N78" s="95">
        <v>0</v>
      </c>
      <c r="O78" s="49" t="s">
        <v>10897</v>
      </c>
    </row>
    <row r="79" spans="1:15">
      <c r="A79" s="95">
        <v>174904221976312</v>
      </c>
      <c r="B79" s="49" t="s">
        <v>10651</v>
      </c>
      <c r="C79" s="49" t="s">
        <v>10866</v>
      </c>
      <c r="D79" s="49" t="s">
        <v>878</v>
      </c>
      <c r="E79" s="49">
        <v>6285733774700</v>
      </c>
      <c r="F79" s="96">
        <v>45832</v>
      </c>
      <c r="G79" s="95">
        <v>43</v>
      </c>
      <c r="H79" s="49" t="s">
        <v>12667</v>
      </c>
      <c r="I79" s="97">
        <v>17580</v>
      </c>
      <c r="J79" s="95">
        <v>1</v>
      </c>
      <c r="K79" s="102">
        <v>879</v>
      </c>
      <c r="L79" s="95">
        <v>0</v>
      </c>
      <c r="M79" s="95">
        <v>13</v>
      </c>
      <c r="N79" s="95">
        <v>0</v>
      </c>
      <c r="O79" s="49" t="s">
        <v>10867</v>
      </c>
    </row>
    <row r="80" spans="1:15">
      <c r="A80" s="95">
        <v>174904221976312</v>
      </c>
      <c r="B80" s="49" t="s">
        <v>10651</v>
      </c>
      <c r="C80" s="49" t="s">
        <v>10866</v>
      </c>
      <c r="D80" s="49" t="s">
        <v>878</v>
      </c>
      <c r="E80" s="49">
        <v>6285733774700</v>
      </c>
      <c r="F80" s="96">
        <v>45832</v>
      </c>
      <c r="G80" s="95">
        <v>235</v>
      </c>
      <c r="H80" s="49" t="s">
        <v>12668</v>
      </c>
      <c r="I80" s="97">
        <v>13555.14705882353</v>
      </c>
      <c r="J80" s="95">
        <v>8</v>
      </c>
      <c r="K80" s="102">
        <v>3687</v>
      </c>
      <c r="L80" s="95">
        <v>2</v>
      </c>
      <c r="M80" s="95">
        <v>47</v>
      </c>
      <c r="N80" s="95">
        <v>0</v>
      </c>
      <c r="O80" s="49" t="s">
        <v>10867</v>
      </c>
    </row>
    <row r="81" spans="1:15">
      <c r="A81" s="95">
        <v>174904221976312</v>
      </c>
      <c r="B81" s="49" t="s">
        <v>10651</v>
      </c>
      <c r="C81" s="49" t="s">
        <v>10866</v>
      </c>
      <c r="D81" s="49" t="s">
        <v>878</v>
      </c>
      <c r="E81" s="49">
        <v>6285733774700</v>
      </c>
      <c r="F81" s="96">
        <v>45832</v>
      </c>
      <c r="G81" s="95">
        <v>191</v>
      </c>
      <c r="H81" s="49" t="s">
        <v>12669</v>
      </c>
      <c r="I81" s="97">
        <v>15098.214285714286</v>
      </c>
      <c r="J81" s="95">
        <v>8</v>
      </c>
      <c r="K81" s="102">
        <v>3382</v>
      </c>
      <c r="L81" s="95">
        <v>1</v>
      </c>
      <c r="M81" s="95">
        <v>50</v>
      </c>
      <c r="N81" s="95">
        <v>0</v>
      </c>
      <c r="O81" s="49" t="s">
        <v>10867</v>
      </c>
    </row>
    <row r="82" spans="1:15">
      <c r="A82" s="95">
        <v>174904221976312</v>
      </c>
      <c r="B82" s="49" t="s">
        <v>10651</v>
      </c>
      <c r="C82" s="49" t="s">
        <v>10866</v>
      </c>
      <c r="D82" s="49" t="s">
        <v>878</v>
      </c>
      <c r="E82" s="49">
        <v>6285733774700</v>
      </c>
      <c r="F82" s="96">
        <v>45832</v>
      </c>
      <c r="G82" s="95">
        <v>113</v>
      </c>
      <c r="H82" s="49" t="s">
        <v>12670</v>
      </c>
      <c r="I82" s="97">
        <v>23661.654135338344</v>
      </c>
      <c r="J82" s="95">
        <v>5</v>
      </c>
      <c r="K82" s="102">
        <v>3147</v>
      </c>
      <c r="L82" s="95">
        <v>1</v>
      </c>
      <c r="M82" s="95">
        <v>40</v>
      </c>
      <c r="N82" s="95">
        <v>1</v>
      </c>
      <c r="O82" s="49" t="s">
        <v>10867</v>
      </c>
    </row>
    <row r="83" spans="1:15">
      <c r="A83" s="95">
        <v>174904221976312</v>
      </c>
      <c r="B83" s="49" t="s">
        <v>10651</v>
      </c>
      <c r="C83" s="49" t="s">
        <v>10866</v>
      </c>
      <c r="D83" s="49" t="s">
        <v>878</v>
      </c>
      <c r="E83" s="49">
        <v>6285733774700</v>
      </c>
      <c r="F83" s="96">
        <v>45832</v>
      </c>
      <c r="G83" s="95">
        <v>46</v>
      </c>
      <c r="H83" s="49" t="s">
        <v>12671</v>
      </c>
      <c r="I83" s="97">
        <v>14134.615384615385</v>
      </c>
      <c r="J83" s="95">
        <v>1</v>
      </c>
      <c r="K83" s="102">
        <v>735</v>
      </c>
      <c r="L83" s="95">
        <v>0</v>
      </c>
      <c r="M83" s="95">
        <v>16</v>
      </c>
      <c r="N83" s="95">
        <v>0</v>
      </c>
      <c r="O83" s="49" t="s">
        <v>10867</v>
      </c>
    </row>
    <row r="84" spans="1:15">
      <c r="A84" s="95">
        <v>174904221976312</v>
      </c>
      <c r="B84" s="49" t="s">
        <v>10651</v>
      </c>
      <c r="C84" s="49" t="s">
        <v>10866</v>
      </c>
      <c r="D84" s="49" t="s">
        <v>878</v>
      </c>
      <c r="E84" s="49">
        <v>6285733774700</v>
      </c>
      <c r="F84" s="96">
        <v>45832</v>
      </c>
      <c r="G84" s="95">
        <v>27</v>
      </c>
      <c r="H84" s="49" t="s">
        <v>12672</v>
      </c>
      <c r="I84" s="97">
        <v>51066.666666666672</v>
      </c>
      <c r="J84" s="95">
        <v>2</v>
      </c>
      <c r="K84" s="102">
        <v>1532</v>
      </c>
      <c r="L84" s="95">
        <v>1</v>
      </c>
      <c r="M84" s="95">
        <v>5</v>
      </c>
      <c r="N84" s="95">
        <v>0</v>
      </c>
      <c r="O84" s="49" t="s">
        <v>10867</v>
      </c>
    </row>
    <row r="85" spans="1:15">
      <c r="A85" s="95">
        <v>174904221976312</v>
      </c>
      <c r="B85" s="49" t="s">
        <v>10651</v>
      </c>
      <c r="C85" s="49" t="s">
        <v>10853</v>
      </c>
      <c r="D85" s="49" t="s">
        <v>10854</v>
      </c>
      <c r="E85" s="49">
        <v>6281393958199</v>
      </c>
      <c r="F85" s="96">
        <v>45832</v>
      </c>
      <c r="G85" s="95">
        <v>24</v>
      </c>
      <c r="H85" s="49" t="s">
        <v>12667</v>
      </c>
      <c r="I85" s="97">
        <v>9892.8571428571431</v>
      </c>
      <c r="J85" s="95">
        <v>0</v>
      </c>
      <c r="K85" s="102">
        <v>277</v>
      </c>
      <c r="L85" s="95">
        <v>0</v>
      </c>
      <c r="M85" s="95">
        <v>4</v>
      </c>
      <c r="N85" s="95">
        <v>0</v>
      </c>
      <c r="O85" s="49" t="s">
        <v>10855</v>
      </c>
    </row>
    <row r="86" spans="1:15">
      <c r="A86" s="95">
        <v>174904221976312</v>
      </c>
      <c r="B86" s="49" t="s">
        <v>10651</v>
      </c>
      <c r="C86" s="49" t="s">
        <v>10853</v>
      </c>
      <c r="D86" s="49" t="s">
        <v>10854</v>
      </c>
      <c r="E86" s="49">
        <v>6281393958199</v>
      </c>
      <c r="F86" s="96">
        <v>45832</v>
      </c>
      <c r="G86" s="95">
        <v>247</v>
      </c>
      <c r="H86" s="49" t="s">
        <v>12668</v>
      </c>
      <c r="I86" s="97">
        <v>13735.395189003435</v>
      </c>
      <c r="J86" s="95">
        <v>11</v>
      </c>
      <c r="K86" s="102">
        <v>3997</v>
      </c>
      <c r="L86" s="95">
        <v>2</v>
      </c>
      <c r="M86" s="95">
        <v>66</v>
      </c>
      <c r="N86" s="95">
        <v>0</v>
      </c>
      <c r="O86" s="49" t="s">
        <v>10855</v>
      </c>
    </row>
    <row r="87" spans="1:15">
      <c r="A87" s="95">
        <v>174904221976312</v>
      </c>
      <c r="B87" s="49" t="s">
        <v>10651</v>
      </c>
      <c r="C87" s="49" t="s">
        <v>10853</v>
      </c>
      <c r="D87" s="49" t="s">
        <v>10854</v>
      </c>
      <c r="E87" s="49">
        <v>6281393958199</v>
      </c>
      <c r="F87" s="96">
        <v>45832</v>
      </c>
      <c r="G87" s="95">
        <v>208</v>
      </c>
      <c r="H87" s="49" t="s">
        <v>12669</v>
      </c>
      <c r="I87" s="97">
        <v>14374.468085106382</v>
      </c>
      <c r="J87" s="95">
        <v>7</v>
      </c>
      <c r="K87" s="102">
        <v>3378</v>
      </c>
      <c r="L87" s="95">
        <v>2</v>
      </c>
      <c r="M87" s="95">
        <v>67</v>
      </c>
      <c r="N87" s="95">
        <v>0</v>
      </c>
      <c r="O87" s="49" t="s">
        <v>10855</v>
      </c>
    </row>
    <row r="88" spans="1:15">
      <c r="A88" s="95">
        <v>174904221976312</v>
      </c>
      <c r="B88" s="49" t="s">
        <v>10651</v>
      </c>
      <c r="C88" s="49" t="s">
        <v>10853</v>
      </c>
      <c r="D88" s="49" t="s">
        <v>10854</v>
      </c>
      <c r="E88" s="49">
        <v>6281393958199</v>
      </c>
      <c r="F88" s="96">
        <v>45832</v>
      </c>
      <c r="G88" s="95">
        <v>113</v>
      </c>
      <c r="H88" s="49" t="s">
        <v>12670</v>
      </c>
      <c r="I88" s="97">
        <v>23549.618320610687</v>
      </c>
      <c r="J88" s="95">
        <v>7</v>
      </c>
      <c r="K88" s="102">
        <v>3085</v>
      </c>
      <c r="L88" s="95">
        <v>2</v>
      </c>
      <c r="M88" s="95">
        <v>43</v>
      </c>
      <c r="N88" s="95">
        <v>0</v>
      </c>
      <c r="O88" s="49" t="s">
        <v>10855</v>
      </c>
    </row>
    <row r="89" spans="1:15">
      <c r="A89" s="95">
        <v>174904221976312</v>
      </c>
      <c r="B89" s="49" t="s">
        <v>10651</v>
      </c>
      <c r="C89" s="49" t="s">
        <v>10853</v>
      </c>
      <c r="D89" s="49" t="s">
        <v>10854</v>
      </c>
      <c r="E89" s="49">
        <v>6281393958199</v>
      </c>
      <c r="F89" s="96">
        <v>45832</v>
      </c>
      <c r="G89" s="95">
        <v>34</v>
      </c>
      <c r="H89" s="49" t="s">
        <v>12671</v>
      </c>
      <c r="I89" s="97">
        <v>29421.05263157895</v>
      </c>
      <c r="J89" s="95">
        <v>2</v>
      </c>
      <c r="K89" s="102">
        <v>1118</v>
      </c>
      <c r="L89" s="95">
        <v>1</v>
      </c>
      <c r="M89" s="95">
        <v>20</v>
      </c>
      <c r="N89" s="95">
        <v>0</v>
      </c>
      <c r="O89" s="49" t="s">
        <v>10855</v>
      </c>
    </row>
    <row r="90" spans="1:15">
      <c r="A90" s="95">
        <v>174904221976312</v>
      </c>
      <c r="B90" s="49" t="s">
        <v>10651</v>
      </c>
      <c r="C90" s="49" t="s">
        <v>10853</v>
      </c>
      <c r="D90" s="49" t="s">
        <v>10854</v>
      </c>
      <c r="E90" s="49">
        <v>6281393958199</v>
      </c>
      <c r="F90" s="96">
        <v>45832</v>
      </c>
      <c r="G90" s="95">
        <v>26</v>
      </c>
      <c r="H90" s="49" t="s">
        <v>12672</v>
      </c>
      <c r="I90" s="97">
        <v>26366.666666666668</v>
      </c>
      <c r="J90" s="95">
        <v>1</v>
      </c>
      <c r="K90" s="102">
        <v>791</v>
      </c>
      <c r="L90" s="95">
        <v>0</v>
      </c>
      <c r="M90" s="95">
        <v>13</v>
      </c>
      <c r="N90" s="95">
        <v>0</v>
      </c>
      <c r="O90" s="49" t="s">
        <v>10855</v>
      </c>
    </row>
    <row r="91" spans="1:15">
      <c r="A91" s="95">
        <v>174904221976312</v>
      </c>
      <c r="B91" s="49" t="s">
        <v>10651</v>
      </c>
      <c r="C91" s="49" t="s">
        <v>10856</v>
      </c>
      <c r="D91" s="49" t="s">
        <v>829</v>
      </c>
      <c r="E91" s="49">
        <v>6285725492572</v>
      </c>
      <c r="F91" s="96">
        <v>45832</v>
      </c>
      <c r="G91" s="95">
        <v>12</v>
      </c>
      <c r="H91" s="49" t="s">
        <v>12667</v>
      </c>
      <c r="I91" s="97">
        <v>22461.538461538461</v>
      </c>
      <c r="J91" s="95">
        <v>0</v>
      </c>
      <c r="K91" s="102">
        <v>292</v>
      </c>
      <c r="L91" s="95">
        <v>0</v>
      </c>
      <c r="M91" s="95">
        <v>5</v>
      </c>
      <c r="N91" s="95">
        <v>0</v>
      </c>
      <c r="O91" s="49" t="s">
        <v>10857</v>
      </c>
    </row>
    <row r="92" spans="1:15">
      <c r="A92" s="95">
        <v>174904221976312</v>
      </c>
      <c r="B92" s="49" t="s">
        <v>10651</v>
      </c>
      <c r="C92" s="49" t="s">
        <v>10856</v>
      </c>
      <c r="D92" s="49" t="s">
        <v>829</v>
      </c>
      <c r="E92" s="49">
        <v>6285725492572</v>
      </c>
      <c r="F92" s="96">
        <v>45832</v>
      </c>
      <c r="G92" s="95">
        <v>56</v>
      </c>
      <c r="H92" s="49" t="s">
        <v>12668</v>
      </c>
      <c r="I92" s="97">
        <v>11430.555555555555</v>
      </c>
      <c r="J92" s="95">
        <v>3</v>
      </c>
      <c r="K92" s="102">
        <v>823</v>
      </c>
      <c r="L92" s="95">
        <v>0</v>
      </c>
      <c r="M92" s="95">
        <v>24</v>
      </c>
      <c r="N92" s="95">
        <v>1</v>
      </c>
      <c r="O92" s="49" t="s">
        <v>10857</v>
      </c>
    </row>
    <row r="93" spans="1:15">
      <c r="A93" s="95">
        <v>174904221976312</v>
      </c>
      <c r="B93" s="49" t="s">
        <v>10651</v>
      </c>
      <c r="C93" s="49" t="s">
        <v>10856</v>
      </c>
      <c r="D93" s="49" t="s">
        <v>829</v>
      </c>
      <c r="E93" s="49">
        <v>6285725492572</v>
      </c>
      <c r="F93" s="96">
        <v>45832</v>
      </c>
      <c r="G93" s="95">
        <v>108</v>
      </c>
      <c r="H93" s="49" t="s">
        <v>12669</v>
      </c>
      <c r="I93" s="97">
        <v>15689.0756302521</v>
      </c>
      <c r="J93" s="95">
        <v>3</v>
      </c>
      <c r="K93" s="102">
        <v>1867</v>
      </c>
      <c r="L93" s="95">
        <v>0</v>
      </c>
      <c r="M93" s="95">
        <v>35</v>
      </c>
      <c r="N93" s="95">
        <v>0</v>
      </c>
      <c r="O93" s="49" t="s">
        <v>10857</v>
      </c>
    </row>
    <row r="94" spans="1:15">
      <c r="A94" s="95">
        <v>174904221976312</v>
      </c>
      <c r="B94" s="49" t="s">
        <v>10651</v>
      </c>
      <c r="C94" s="49" t="s">
        <v>10856</v>
      </c>
      <c r="D94" s="49" t="s">
        <v>829</v>
      </c>
      <c r="E94" s="49">
        <v>6285725492572</v>
      </c>
      <c r="F94" s="96">
        <v>45832</v>
      </c>
      <c r="G94" s="95">
        <v>134</v>
      </c>
      <c r="H94" s="49" t="s">
        <v>12670</v>
      </c>
      <c r="I94" s="97">
        <v>20469.798657718122</v>
      </c>
      <c r="J94" s="95">
        <v>2</v>
      </c>
      <c r="K94" s="102">
        <v>3050</v>
      </c>
      <c r="L94" s="95">
        <v>0</v>
      </c>
      <c r="M94" s="95">
        <v>46</v>
      </c>
      <c r="N94" s="95">
        <v>0</v>
      </c>
      <c r="O94" s="49" t="s">
        <v>10857</v>
      </c>
    </row>
    <row r="95" spans="1:15">
      <c r="A95" s="95">
        <v>174904221976312</v>
      </c>
      <c r="B95" s="49" t="s">
        <v>10651</v>
      </c>
      <c r="C95" s="49" t="s">
        <v>10856</v>
      </c>
      <c r="D95" s="49" t="s">
        <v>829</v>
      </c>
      <c r="E95" s="49">
        <v>6285725492572</v>
      </c>
      <c r="F95" s="96">
        <v>45832</v>
      </c>
      <c r="G95" s="95">
        <v>134</v>
      </c>
      <c r="H95" s="49" t="s">
        <v>12671</v>
      </c>
      <c r="I95" s="97">
        <v>43055.900621118017</v>
      </c>
      <c r="J95" s="95">
        <v>8</v>
      </c>
      <c r="K95" s="102">
        <v>6932</v>
      </c>
      <c r="L95" s="95">
        <v>3</v>
      </c>
      <c r="M95" s="95">
        <v>66</v>
      </c>
      <c r="N95" s="95">
        <v>1</v>
      </c>
      <c r="O95" s="49" t="s">
        <v>10857</v>
      </c>
    </row>
    <row r="96" spans="1:15">
      <c r="A96" s="95">
        <v>174904221976312</v>
      </c>
      <c r="B96" s="49" t="s">
        <v>10651</v>
      </c>
      <c r="C96" s="49" t="s">
        <v>10856</v>
      </c>
      <c r="D96" s="49" t="s">
        <v>829</v>
      </c>
      <c r="E96" s="49">
        <v>6285725492572</v>
      </c>
      <c r="F96" s="96">
        <v>45832</v>
      </c>
      <c r="G96" s="95">
        <v>37</v>
      </c>
      <c r="H96" s="49" t="s">
        <v>12672</v>
      </c>
      <c r="I96" s="97">
        <v>36100</v>
      </c>
      <c r="J96" s="95">
        <v>7</v>
      </c>
      <c r="K96" s="102">
        <v>1444</v>
      </c>
      <c r="L96" s="95">
        <v>1</v>
      </c>
      <c r="M96" s="95">
        <v>15</v>
      </c>
      <c r="N96" s="95">
        <v>0</v>
      </c>
      <c r="O96" s="49" t="s">
        <v>10857</v>
      </c>
    </row>
    <row r="97" spans="1:15">
      <c r="A97" s="95">
        <v>174904221976312</v>
      </c>
      <c r="B97" s="49" t="s">
        <v>10651</v>
      </c>
      <c r="C97" s="49" t="s">
        <v>10858</v>
      </c>
      <c r="D97" s="49" t="s">
        <v>10859</v>
      </c>
      <c r="E97" s="49">
        <v>6285227384634</v>
      </c>
      <c r="F97" s="96">
        <v>45832</v>
      </c>
      <c r="G97" s="95">
        <v>36</v>
      </c>
      <c r="H97" s="49" t="s">
        <v>12667</v>
      </c>
      <c r="I97" s="97">
        <v>8047.6190476190477</v>
      </c>
      <c r="J97" s="95">
        <v>0</v>
      </c>
      <c r="K97" s="102">
        <v>338</v>
      </c>
      <c r="L97" s="95">
        <v>0</v>
      </c>
      <c r="M97" s="95">
        <v>0</v>
      </c>
      <c r="N97" s="95">
        <v>0</v>
      </c>
      <c r="O97" s="49" t="s">
        <v>10860</v>
      </c>
    </row>
    <row r="98" spans="1:15">
      <c r="A98" s="95">
        <v>174904221976312</v>
      </c>
      <c r="B98" s="49" t="s">
        <v>10651</v>
      </c>
      <c r="C98" s="49" t="s">
        <v>10858</v>
      </c>
      <c r="D98" s="49" t="s">
        <v>10859</v>
      </c>
      <c r="E98" s="49">
        <v>6285227384634</v>
      </c>
      <c r="F98" s="96">
        <v>45832</v>
      </c>
      <c r="G98" s="95">
        <v>113</v>
      </c>
      <c r="H98" s="49" t="s">
        <v>12668</v>
      </c>
      <c r="I98" s="97">
        <v>15478.260869565216</v>
      </c>
      <c r="J98" s="95">
        <v>0</v>
      </c>
      <c r="K98" s="102">
        <v>2136</v>
      </c>
      <c r="L98" s="95">
        <v>0</v>
      </c>
      <c r="M98" s="95">
        <v>0</v>
      </c>
      <c r="N98" s="95">
        <v>0</v>
      </c>
      <c r="O98" s="49" t="s">
        <v>10860</v>
      </c>
    </row>
    <row r="99" spans="1:15">
      <c r="A99" s="95">
        <v>174904221976312</v>
      </c>
      <c r="B99" s="49" t="s">
        <v>10651</v>
      </c>
      <c r="C99" s="49" t="s">
        <v>10858</v>
      </c>
      <c r="D99" s="49" t="s">
        <v>10859</v>
      </c>
      <c r="E99" s="49">
        <v>6285227384634</v>
      </c>
      <c r="F99" s="96">
        <v>45832</v>
      </c>
      <c r="G99" s="95">
        <v>92</v>
      </c>
      <c r="H99" s="49" t="s">
        <v>12669</v>
      </c>
      <c r="I99" s="97">
        <v>15049.019607843136</v>
      </c>
      <c r="J99" s="95">
        <v>6</v>
      </c>
      <c r="K99" s="102">
        <v>1535</v>
      </c>
      <c r="L99" s="95">
        <v>1</v>
      </c>
      <c r="M99" s="95">
        <v>0</v>
      </c>
      <c r="N99" s="95">
        <v>0</v>
      </c>
      <c r="O99" s="49" t="s">
        <v>10860</v>
      </c>
    </row>
    <row r="100" spans="1:15">
      <c r="A100" s="95">
        <v>174904221976312</v>
      </c>
      <c r="B100" s="49" t="s">
        <v>10651</v>
      </c>
      <c r="C100" s="49" t="s">
        <v>10858</v>
      </c>
      <c r="D100" s="49" t="s">
        <v>10859</v>
      </c>
      <c r="E100" s="49">
        <v>6285227384634</v>
      </c>
      <c r="F100" s="96">
        <v>45832</v>
      </c>
      <c r="G100" s="95">
        <v>84</v>
      </c>
      <c r="H100" s="49" t="s">
        <v>12670</v>
      </c>
      <c r="I100" s="97">
        <v>32354.545454545452</v>
      </c>
      <c r="J100" s="95">
        <v>3</v>
      </c>
      <c r="K100" s="102">
        <v>3559</v>
      </c>
      <c r="L100" s="95">
        <v>1</v>
      </c>
      <c r="M100" s="95">
        <v>0</v>
      </c>
      <c r="N100" s="95">
        <v>0</v>
      </c>
      <c r="O100" s="49" t="s">
        <v>10860</v>
      </c>
    </row>
    <row r="101" spans="1:15">
      <c r="A101" s="95">
        <v>174904221976312</v>
      </c>
      <c r="B101" s="49" t="s">
        <v>10651</v>
      </c>
      <c r="C101" s="49" t="s">
        <v>10858</v>
      </c>
      <c r="D101" s="49" t="s">
        <v>10859</v>
      </c>
      <c r="E101" s="49">
        <v>6285227384634</v>
      </c>
      <c r="F101" s="96">
        <v>45832</v>
      </c>
      <c r="G101" s="95">
        <v>85</v>
      </c>
      <c r="H101" s="49" t="s">
        <v>12671</v>
      </c>
      <c r="I101" s="97">
        <v>26250</v>
      </c>
      <c r="J101" s="95">
        <v>5</v>
      </c>
      <c r="K101" s="102">
        <v>2730</v>
      </c>
      <c r="L101" s="95">
        <v>3</v>
      </c>
      <c r="M101" s="95">
        <v>0</v>
      </c>
      <c r="N101" s="95">
        <v>0</v>
      </c>
      <c r="O101" s="49" t="s">
        <v>10860</v>
      </c>
    </row>
    <row r="102" spans="1:15">
      <c r="A102" s="95">
        <v>174904221976312</v>
      </c>
      <c r="B102" s="49" t="s">
        <v>10651</v>
      </c>
      <c r="C102" s="49" t="s">
        <v>10858</v>
      </c>
      <c r="D102" s="49" t="s">
        <v>10859</v>
      </c>
      <c r="E102" s="49">
        <v>6285227384634</v>
      </c>
      <c r="F102" s="96">
        <v>45832</v>
      </c>
      <c r="G102" s="95">
        <v>36</v>
      </c>
      <c r="H102" s="49" t="s">
        <v>12672</v>
      </c>
      <c r="I102" s="97">
        <v>40423.076923076922</v>
      </c>
      <c r="J102" s="95">
        <v>5</v>
      </c>
      <c r="K102" s="102">
        <v>2102</v>
      </c>
      <c r="L102" s="95">
        <v>0</v>
      </c>
      <c r="M102" s="95">
        <v>0</v>
      </c>
      <c r="N102" s="95">
        <v>0</v>
      </c>
      <c r="O102" s="49" t="s">
        <v>10860</v>
      </c>
    </row>
    <row r="103" spans="1:15">
      <c r="A103" s="95">
        <v>174904221976312</v>
      </c>
      <c r="B103" s="49" t="s">
        <v>10651</v>
      </c>
      <c r="C103" s="49" t="s">
        <v>818</v>
      </c>
      <c r="D103" s="49" t="s">
        <v>812</v>
      </c>
      <c r="E103" s="49">
        <v>6287858585808</v>
      </c>
      <c r="F103" s="96">
        <v>45832</v>
      </c>
      <c r="G103" s="95">
        <v>36</v>
      </c>
      <c r="H103" s="49" t="s">
        <v>12667</v>
      </c>
      <c r="I103" s="97">
        <v>9714.2857142857138</v>
      </c>
      <c r="J103" s="95">
        <v>2</v>
      </c>
      <c r="K103" s="102">
        <v>476</v>
      </c>
      <c r="L103" s="95">
        <v>0</v>
      </c>
      <c r="M103" s="95">
        <v>13</v>
      </c>
      <c r="N103" s="95">
        <v>0</v>
      </c>
      <c r="O103" s="49" t="s">
        <v>10831</v>
      </c>
    </row>
    <row r="104" spans="1:15">
      <c r="A104" s="95">
        <v>174904221976312</v>
      </c>
      <c r="B104" s="49" t="s">
        <v>10651</v>
      </c>
      <c r="C104" s="49" t="s">
        <v>818</v>
      </c>
      <c r="D104" s="49" t="s">
        <v>812</v>
      </c>
      <c r="E104" s="49">
        <v>6287858585808</v>
      </c>
      <c r="F104" s="96">
        <v>45832</v>
      </c>
      <c r="G104" s="95">
        <v>182</v>
      </c>
      <c r="H104" s="49" t="s">
        <v>12668</v>
      </c>
      <c r="I104" s="97">
        <v>9638.0090497737547</v>
      </c>
      <c r="J104" s="95">
        <v>7</v>
      </c>
      <c r="K104" s="102">
        <v>2130</v>
      </c>
      <c r="L104" s="95">
        <v>1</v>
      </c>
      <c r="M104" s="95">
        <v>49</v>
      </c>
      <c r="N104" s="95">
        <v>2</v>
      </c>
      <c r="O104" s="49" t="s">
        <v>10831</v>
      </c>
    </row>
    <row r="105" spans="1:15">
      <c r="A105" s="95">
        <v>174904221976312</v>
      </c>
      <c r="B105" s="49" t="s">
        <v>10651</v>
      </c>
      <c r="C105" s="49" t="s">
        <v>818</v>
      </c>
      <c r="D105" s="49" t="s">
        <v>812</v>
      </c>
      <c r="E105" s="49">
        <v>6287858585808</v>
      </c>
      <c r="F105" s="96">
        <v>45832</v>
      </c>
      <c r="G105" s="95">
        <v>217</v>
      </c>
      <c r="H105" s="49" t="s">
        <v>12669</v>
      </c>
      <c r="I105" s="97">
        <v>8486.3813229571988</v>
      </c>
      <c r="J105" s="95">
        <v>4</v>
      </c>
      <c r="K105" s="102">
        <v>2181</v>
      </c>
      <c r="L105" s="95">
        <v>0</v>
      </c>
      <c r="M105" s="95">
        <v>57</v>
      </c>
      <c r="N105" s="95">
        <v>0</v>
      </c>
      <c r="O105" s="49" t="s">
        <v>10831</v>
      </c>
    </row>
    <row r="106" spans="1:15">
      <c r="A106" s="95">
        <v>174904221976312</v>
      </c>
      <c r="B106" s="49" t="s">
        <v>10651</v>
      </c>
      <c r="C106" s="49" t="s">
        <v>818</v>
      </c>
      <c r="D106" s="49" t="s">
        <v>812</v>
      </c>
      <c r="E106" s="49">
        <v>6287858585808</v>
      </c>
      <c r="F106" s="96">
        <v>45832</v>
      </c>
      <c r="G106" s="95">
        <v>212</v>
      </c>
      <c r="H106" s="49" t="s">
        <v>12670</v>
      </c>
      <c r="I106" s="97">
        <v>14262.5</v>
      </c>
      <c r="J106" s="95">
        <v>9</v>
      </c>
      <c r="K106" s="102">
        <v>3423</v>
      </c>
      <c r="L106" s="95">
        <v>0</v>
      </c>
      <c r="M106" s="95">
        <v>76</v>
      </c>
      <c r="N106" s="95">
        <v>0</v>
      </c>
      <c r="O106" s="49" t="s">
        <v>10831</v>
      </c>
    </row>
    <row r="107" spans="1:15">
      <c r="A107" s="95">
        <v>174904221976312</v>
      </c>
      <c r="B107" s="49" t="s">
        <v>10651</v>
      </c>
      <c r="C107" s="49" t="s">
        <v>818</v>
      </c>
      <c r="D107" s="49" t="s">
        <v>812</v>
      </c>
      <c r="E107" s="49">
        <v>6287858585808</v>
      </c>
      <c r="F107" s="96">
        <v>45832</v>
      </c>
      <c r="G107" s="95">
        <v>165</v>
      </c>
      <c r="H107" s="49" t="s">
        <v>12671</v>
      </c>
      <c r="I107" s="97">
        <v>13741.463414634147</v>
      </c>
      <c r="J107" s="95">
        <v>10</v>
      </c>
      <c r="K107" s="102">
        <v>2817</v>
      </c>
      <c r="L107" s="95">
        <v>1</v>
      </c>
      <c r="M107" s="95">
        <v>81</v>
      </c>
      <c r="N107" s="95">
        <v>0</v>
      </c>
      <c r="O107" s="49" t="s">
        <v>10831</v>
      </c>
    </row>
    <row r="108" spans="1:15">
      <c r="A108" s="95">
        <v>174904221976312</v>
      </c>
      <c r="B108" s="49" t="s">
        <v>10651</v>
      </c>
      <c r="C108" s="49" t="s">
        <v>818</v>
      </c>
      <c r="D108" s="49" t="s">
        <v>812</v>
      </c>
      <c r="E108" s="49">
        <v>6287858585808</v>
      </c>
      <c r="F108" s="96">
        <v>45832</v>
      </c>
      <c r="G108" s="95">
        <v>40</v>
      </c>
      <c r="H108" s="49" t="s">
        <v>12672</v>
      </c>
      <c r="I108" s="97">
        <v>11822.222222222223</v>
      </c>
      <c r="J108" s="95">
        <v>0</v>
      </c>
      <c r="K108" s="102">
        <v>532</v>
      </c>
      <c r="L108" s="95">
        <v>0</v>
      </c>
      <c r="M108" s="95">
        <v>15</v>
      </c>
      <c r="N108" s="95">
        <v>0</v>
      </c>
      <c r="O108" s="49" t="s">
        <v>10831</v>
      </c>
    </row>
    <row r="109" spans="1:15">
      <c r="A109" s="95">
        <v>174904221976312</v>
      </c>
      <c r="B109" s="49" t="s">
        <v>10651</v>
      </c>
      <c r="C109" s="49" t="s">
        <v>10806</v>
      </c>
      <c r="D109" s="49" t="s">
        <v>10807</v>
      </c>
      <c r="E109" s="49">
        <v>628127962347</v>
      </c>
      <c r="F109" s="96">
        <v>45832</v>
      </c>
      <c r="G109" s="95">
        <v>58</v>
      </c>
      <c r="H109" s="49" t="s">
        <v>12667</v>
      </c>
      <c r="I109" s="97">
        <v>62238.805970149253</v>
      </c>
      <c r="J109" s="95">
        <v>6</v>
      </c>
      <c r="K109" s="102">
        <v>4170</v>
      </c>
      <c r="L109" s="95">
        <v>1</v>
      </c>
      <c r="M109" s="95">
        <v>8</v>
      </c>
      <c r="N109" s="95">
        <v>0</v>
      </c>
      <c r="O109" s="49" t="s">
        <v>10808</v>
      </c>
    </row>
    <row r="110" spans="1:15">
      <c r="A110" s="95">
        <v>174904221976312</v>
      </c>
      <c r="B110" s="49" t="s">
        <v>10651</v>
      </c>
      <c r="C110" s="49" t="s">
        <v>10806</v>
      </c>
      <c r="D110" s="49" t="s">
        <v>10807</v>
      </c>
      <c r="E110" s="49">
        <v>628127962347</v>
      </c>
      <c r="F110" s="96">
        <v>45832</v>
      </c>
      <c r="G110" s="95">
        <v>43</v>
      </c>
      <c r="H110" s="49" t="s">
        <v>12668</v>
      </c>
      <c r="I110" s="97">
        <v>108617.02127659575</v>
      </c>
      <c r="J110" s="95">
        <v>7</v>
      </c>
      <c r="K110" s="102">
        <v>5105</v>
      </c>
      <c r="L110" s="95">
        <v>4</v>
      </c>
      <c r="M110" s="95">
        <v>8</v>
      </c>
      <c r="N110" s="95">
        <v>0</v>
      </c>
      <c r="O110" s="49" t="s">
        <v>10808</v>
      </c>
    </row>
    <row r="111" spans="1:15">
      <c r="A111" s="95">
        <v>174904221976312</v>
      </c>
      <c r="B111" s="49" t="s">
        <v>10651</v>
      </c>
      <c r="C111" s="49" t="s">
        <v>10806</v>
      </c>
      <c r="D111" s="49" t="s">
        <v>10807</v>
      </c>
      <c r="E111" s="49">
        <v>628127962347</v>
      </c>
      <c r="F111" s="96">
        <v>45832</v>
      </c>
      <c r="G111" s="95">
        <v>20</v>
      </c>
      <c r="H111" s="49" t="s">
        <v>12669</v>
      </c>
      <c r="I111" s="97">
        <v>75850</v>
      </c>
      <c r="J111" s="95">
        <v>1</v>
      </c>
      <c r="K111" s="102">
        <v>1517</v>
      </c>
      <c r="L111" s="95">
        <v>0</v>
      </c>
      <c r="M111" s="95">
        <v>1</v>
      </c>
      <c r="N111" s="95">
        <v>0</v>
      </c>
      <c r="O111" s="49" t="s">
        <v>10808</v>
      </c>
    </row>
    <row r="112" spans="1:15">
      <c r="A112" s="95">
        <v>174904221976312</v>
      </c>
      <c r="B112" s="49" t="s">
        <v>10651</v>
      </c>
      <c r="C112" s="49" t="s">
        <v>10806</v>
      </c>
      <c r="D112" s="49" t="s">
        <v>10807</v>
      </c>
      <c r="E112" s="49">
        <v>628127962347</v>
      </c>
      <c r="F112" s="96">
        <v>45832</v>
      </c>
      <c r="G112" s="95">
        <v>16</v>
      </c>
      <c r="H112" s="49" t="s">
        <v>12670</v>
      </c>
      <c r="I112" s="97">
        <v>69062.5</v>
      </c>
      <c r="J112" s="95">
        <v>0</v>
      </c>
      <c r="K112" s="102">
        <v>1105</v>
      </c>
      <c r="L112" s="95">
        <v>0</v>
      </c>
      <c r="M112" s="95">
        <v>8</v>
      </c>
      <c r="N112" s="95">
        <v>0</v>
      </c>
      <c r="O112" s="49" t="s">
        <v>10808</v>
      </c>
    </row>
    <row r="113" spans="1:15">
      <c r="A113" s="95">
        <v>174904221976312</v>
      </c>
      <c r="B113" s="49" t="s">
        <v>10651</v>
      </c>
      <c r="C113" s="49" t="s">
        <v>10806</v>
      </c>
      <c r="D113" s="49" t="s">
        <v>10807</v>
      </c>
      <c r="E113" s="49">
        <v>628127962347</v>
      </c>
      <c r="F113" s="96">
        <v>45832</v>
      </c>
      <c r="G113" s="95">
        <v>8</v>
      </c>
      <c r="H113" s="49" t="s">
        <v>12671</v>
      </c>
      <c r="I113" s="97">
        <v>82375</v>
      </c>
      <c r="J113" s="95">
        <v>0</v>
      </c>
      <c r="K113" s="102">
        <v>659</v>
      </c>
      <c r="L113" s="95">
        <v>0</v>
      </c>
      <c r="M113" s="95">
        <v>1</v>
      </c>
      <c r="N113" s="95">
        <v>0</v>
      </c>
      <c r="O113" s="49" t="s">
        <v>10808</v>
      </c>
    </row>
    <row r="114" spans="1:15">
      <c r="A114" s="95">
        <v>174904221976312</v>
      </c>
      <c r="B114" s="49" t="s">
        <v>10651</v>
      </c>
      <c r="C114" s="49" t="s">
        <v>10806</v>
      </c>
      <c r="D114" s="49" t="s">
        <v>10807</v>
      </c>
      <c r="E114" s="49">
        <v>628127962347</v>
      </c>
      <c r="F114" s="96">
        <v>45832</v>
      </c>
      <c r="G114" s="95">
        <v>4</v>
      </c>
      <c r="H114" s="49" t="s">
        <v>12672</v>
      </c>
      <c r="I114" s="97">
        <v>62000</v>
      </c>
      <c r="J114" s="95">
        <v>2</v>
      </c>
      <c r="K114" s="102">
        <v>248</v>
      </c>
      <c r="L114" s="95">
        <v>1</v>
      </c>
      <c r="M114" s="95">
        <v>1</v>
      </c>
      <c r="N114" s="95">
        <v>0</v>
      </c>
      <c r="O114" s="49" t="s">
        <v>10808</v>
      </c>
    </row>
    <row r="115" spans="1:15">
      <c r="A115" s="95">
        <v>174904221976312</v>
      </c>
      <c r="B115" s="49" t="s">
        <v>10651</v>
      </c>
      <c r="C115" s="49" t="s">
        <v>10815</v>
      </c>
      <c r="D115" s="49" t="s">
        <v>651</v>
      </c>
      <c r="E115" s="49">
        <v>6281905836259</v>
      </c>
      <c r="F115" s="96">
        <v>45832</v>
      </c>
      <c r="G115" s="95">
        <v>20</v>
      </c>
      <c r="H115" s="49" t="s">
        <v>12667</v>
      </c>
      <c r="I115" s="97">
        <v>20800</v>
      </c>
      <c r="J115" s="95">
        <v>0</v>
      </c>
      <c r="K115" s="102">
        <v>416</v>
      </c>
      <c r="L115" s="95">
        <v>0</v>
      </c>
      <c r="M115" s="95">
        <v>0</v>
      </c>
      <c r="N115" s="95">
        <v>0</v>
      </c>
      <c r="O115" s="49" t="s">
        <v>10816</v>
      </c>
    </row>
    <row r="116" spans="1:15">
      <c r="A116" s="95">
        <v>174904221976312</v>
      </c>
      <c r="B116" s="49" t="s">
        <v>10651</v>
      </c>
      <c r="C116" s="49" t="s">
        <v>10815</v>
      </c>
      <c r="D116" s="49" t="s">
        <v>651</v>
      </c>
      <c r="E116" s="49">
        <v>6281905836259</v>
      </c>
      <c r="F116" s="96">
        <v>45832</v>
      </c>
      <c r="G116" s="95">
        <v>70</v>
      </c>
      <c r="H116" s="49" t="s">
        <v>12668</v>
      </c>
      <c r="I116" s="97">
        <v>14421.052631578947</v>
      </c>
      <c r="J116" s="95">
        <v>1</v>
      </c>
      <c r="K116" s="102">
        <v>1096</v>
      </c>
      <c r="L116" s="95">
        <v>0</v>
      </c>
      <c r="M116" s="95">
        <v>0</v>
      </c>
      <c r="N116" s="95">
        <v>0</v>
      </c>
      <c r="O116" s="49" t="s">
        <v>10816</v>
      </c>
    </row>
    <row r="117" spans="1:15">
      <c r="A117" s="95">
        <v>174904221976312</v>
      </c>
      <c r="B117" s="49" t="s">
        <v>10651</v>
      </c>
      <c r="C117" s="49" t="s">
        <v>10815</v>
      </c>
      <c r="D117" s="49" t="s">
        <v>651</v>
      </c>
      <c r="E117" s="49">
        <v>6281905836259</v>
      </c>
      <c r="F117" s="96">
        <v>45832</v>
      </c>
      <c r="G117" s="95">
        <v>91</v>
      </c>
      <c r="H117" s="49" t="s">
        <v>12669</v>
      </c>
      <c r="I117" s="97">
        <v>30288.659793814433</v>
      </c>
      <c r="J117" s="95">
        <v>2</v>
      </c>
      <c r="K117" s="102">
        <v>2938</v>
      </c>
      <c r="L117" s="95">
        <v>0</v>
      </c>
      <c r="M117" s="95">
        <v>0</v>
      </c>
      <c r="N117" s="95">
        <v>0</v>
      </c>
      <c r="O117" s="49" t="s">
        <v>10816</v>
      </c>
    </row>
    <row r="118" spans="1:15">
      <c r="A118" s="95">
        <v>174904221976312</v>
      </c>
      <c r="B118" s="49" t="s">
        <v>10651</v>
      </c>
      <c r="C118" s="49" t="s">
        <v>10815</v>
      </c>
      <c r="D118" s="49" t="s">
        <v>651</v>
      </c>
      <c r="E118" s="49">
        <v>6281905836259</v>
      </c>
      <c r="F118" s="96">
        <v>45832</v>
      </c>
      <c r="G118" s="95">
        <v>69</v>
      </c>
      <c r="H118" s="49" t="s">
        <v>12670</v>
      </c>
      <c r="I118" s="97">
        <v>27519.480519480519</v>
      </c>
      <c r="J118" s="95">
        <v>1</v>
      </c>
      <c r="K118" s="102">
        <v>2119</v>
      </c>
      <c r="L118" s="95">
        <v>0</v>
      </c>
      <c r="M118" s="95">
        <v>0</v>
      </c>
      <c r="N118" s="95">
        <v>0</v>
      </c>
      <c r="O118" s="49" t="s">
        <v>10816</v>
      </c>
    </row>
    <row r="119" spans="1:15">
      <c r="A119" s="95">
        <v>174904221976312</v>
      </c>
      <c r="B119" s="49" t="s">
        <v>10651</v>
      </c>
      <c r="C119" s="49" t="s">
        <v>10815</v>
      </c>
      <c r="D119" s="49" t="s">
        <v>651</v>
      </c>
      <c r="E119" s="49">
        <v>6281905836259</v>
      </c>
      <c r="F119" s="96">
        <v>45832</v>
      </c>
      <c r="G119" s="95">
        <v>84</v>
      </c>
      <c r="H119" s="49" t="s">
        <v>12671</v>
      </c>
      <c r="I119" s="97">
        <v>46827.956989247316</v>
      </c>
      <c r="J119" s="95">
        <v>1</v>
      </c>
      <c r="K119" s="102">
        <v>4355</v>
      </c>
      <c r="L119" s="95">
        <v>0</v>
      </c>
      <c r="M119" s="95">
        <v>0</v>
      </c>
      <c r="N119" s="95">
        <v>0</v>
      </c>
      <c r="O119" s="49" t="s">
        <v>10816</v>
      </c>
    </row>
    <row r="120" spans="1:15">
      <c r="A120" s="95">
        <v>174904221976312</v>
      </c>
      <c r="B120" s="49" t="s">
        <v>10651</v>
      </c>
      <c r="C120" s="49" t="s">
        <v>10815</v>
      </c>
      <c r="D120" s="49" t="s">
        <v>651</v>
      </c>
      <c r="E120" s="49">
        <v>6281905836259</v>
      </c>
      <c r="F120" s="96">
        <v>45832</v>
      </c>
      <c r="G120" s="95">
        <v>70</v>
      </c>
      <c r="H120" s="49" t="s">
        <v>12672</v>
      </c>
      <c r="I120" s="97">
        <v>35000</v>
      </c>
      <c r="J120" s="95">
        <v>5</v>
      </c>
      <c r="K120" s="102">
        <v>2625</v>
      </c>
      <c r="L120" s="95">
        <v>0</v>
      </c>
      <c r="M120" s="95">
        <v>0</v>
      </c>
      <c r="N120" s="95">
        <v>0</v>
      </c>
      <c r="O120" s="49" t="s">
        <v>10816</v>
      </c>
    </row>
    <row r="121" spans="1:15">
      <c r="A121" s="95">
        <v>174904221976312</v>
      </c>
      <c r="B121" s="49" t="s">
        <v>10651</v>
      </c>
      <c r="C121" s="49" t="s">
        <v>8099</v>
      </c>
      <c r="D121" s="49" t="s">
        <v>2357</v>
      </c>
      <c r="E121" s="49">
        <v>6281221788919</v>
      </c>
      <c r="F121" s="96">
        <v>45832</v>
      </c>
      <c r="G121" s="95">
        <v>86</v>
      </c>
      <c r="H121" s="49" t="s">
        <v>12667</v>
      </c>
      <c r="I121" s="97">
        <v>6235.2941176470586</v>
      </c>
      <c r="J121" s="95">
        <v>4</v>
      </c>
      <c r="K121" s="102">
        <v>636</v>
      </c>
      <c r="L121" s="95">
        <v>0</v>
      </c>
      <c r="M121" s="95">
        <v>34</v>
      </c>
      <c r="N121" s="95">
        <v>0</v>
      </c>
      <c r="O121" s="49" t="s">
        <v>10759</v>
      </c>
    </row>
    <row r="122" spans="1:15">
      <c r="A122" s="95">
        <v>174904221976312</v>
      </c>
      <c r="B122" s="49" t="s">
        <v>10651</v>
      </c>
      <c r="C122" s="49" t="s">
        <v>8099</v>
      </c>
      <c r="D122" s="49" t="s">
        <v>2357</v>
      </c>
      <c r="E122" s="49">
        <v>6281221788919</v>
      </c>
      <c r="F122" s="96">
        <v>45832</v>
      </c>
      <c r="G122" s="95">
        <v>406</v>
      </c>
      <c r="H122" s="49" t="s">
        <v>12668</v>
      </c>
      <c r="I122" s="97">
        <v>7474.2647058823532</v>
      </c>
      <c r="J122" s="95">
        <v>8</v>
      </c>
      <c r="K122" s="102">
        <v>4066</v>
      </c>
      <c r="L122" s="95">
        <v>0</v>
      </c>
      <c r="M122" s="95">
        <v>124</v>
      </c>
      <c r="N122" s="95">
        <v>0</v>
      </c>
      <c r="O122" s="49" t="s">
        <v>10759</v>
      </c>
    </row>
    <row r="123" spans="1:15">
      <c r="A123" s="95">
        <v>174904221976312</v>
      </c>
      <c r="B123" s="49" t="s">
        <v>10651</v>
      </c>
      <c r="C123" s="49" t="s">
        <v>8099</v>
      </c>
      <c r="D123" s="49" t="s">
        <v>2357</v>
      </c>
      <c r="E123" s="49">
        <v>6281221788919</v>
      </c>
      <c r="F123" s="96">
        <v>45832</v>
      </c>
      <c r="G123" s="95">
        <v>361</v>
      </c>
      <c r="H123" s="49" t="s">
        <v>12669</v>
      </c>
      <c r="I123" s="97">
        <v>8698.9247311827967</v>
      </c>
      <c r="J123" s="95">
        <v>9</v>
      </c>
      <c r="K123" s="102">
        <v>4045</v>
      </c>
      <c r="L123" s="95">
        <v>0</v>
      </c>
      <c r="M123" s="95">
        <v>128</v>
      </c>
      <c r="N123" s="95">
        <v>0</v>
      </c>
      <c r="O123" s="49" t="s">
        <v>10759</v>
      </c>
    </row>
    <row r="124" spans="1:15">
      <c r="A124" s="95">
        <v>174904221976312</v>
      </c>
      <c r="B124" s="49" t="s">
        <v>10651</v>
      </c>
      <c r="C124" s="49" t="s">
        <v>8099</v>
      </c>
      <c r="D124" s="49" t="s">
        <v>2357</v>
      </c>
      <c r="E124" s="49">
        <v>6281221788919</v>
      </c>
      <c r="F124" s="96">
        <v>45832</v>
      </c>
      <c r="G124" s="95">
        <v>179</v>
      </c>
      <c r="H124" s="49" t="s">
        <v>12670</v>
      </c>
      <c r="I124" s="97">
        <v>11417.391304347826</v>
      </c>
      <c r="J124" s="95">
        <v>3</v>
      </c>
      <c r="K124" s="102">
        <v>2626</v>
      </c>
      <c r="L124" s="95">
        <v>0</v>
      </c>
      <c r="M124" s="95">
        <v>82</v>
      </c>
      <c r="N124" s="95">
        <v>0</v>
      </c>
      <c r="O124" s="49" t="s">
        <v>10759</v>
      </c>
    </row>
    <row r="125" spans="1:15">
      <c r="A125" s="95">
        <v>174904221976312</v>
      </c>
      <c r="B125" s="49" t="s">
        <v>10651</v>
      </c>
      <c r="C125" s="49" t="s">
        <v>8099</v>
      </c>
      <c r="D125" s="49" t="s">
        <v>2357</v>
      </c>
      <c r="E125" s="49">
        <v>6281221788919</v>
      </c>
      <c r="F125" s="96">
        <v>45832</v>
      </c>
      <c r="G125" s="95">
        <v>31</v>
      </c>
      <c r="H125" s="49" t="s">
        <v>12671</v>
      </c>
      <c r="I125" s="97">
        <v>12566.037735849057</v>
      </c>
      <c r="J125" s="95">
        <v>1</v>
      </c>
      <c r="K125" s="102">
        <v>666</v>
      </c>
      <c r="L125" s="95">
        <v>0</v>
      </c>
      <c r="M125" s="95">
        <v>18</v>
      </c>
      <c r="N125" s="95">
        <v>0</v>
      </c>
      <c r="O125" s="49" t="s">
        <v>10759</v>
      </c>
    </row>
    <row r="126" spans="1:15">
      <c r="A126" s="95">
        <v>174904221976312</v>
      </c>
      <c r="B126" s="49" t="s">
        <v>10651</v>
      </c>
      <c r="C126" s="49" t="s">
        <v>8099</v>
      </c>
      <c r="D126" s="49" t="s">
        <v>2357</v>
      </c>
      <c r="E126" s="49">
        <v>6281221788919</v>
      </c>
      <c r="F126" s="96">
        <v>45832</v>
      </c>
      <c r="G126" s="95">
        <v>11</v>
      </c>
      <c r="H126" s="49" t="s">
        <v>12672</v>
      </c>
      <c r="I126" s="97">
        <v>8230.7692307692305</v>
      </c>
      <c r="J126" s="95">
        <v>0</v>
      </c>
      <c r="K126" s="102">
        <v>107</v>
      </c>
      <c r="L126" s="95">
        <v>0</v>
      </c>
      <c r="M126" s="95">
        <v>7</v>
      </c>
      <c r="N126" s="95">
        <v>0</v>
      </c>
      <c r="O126" s="49" t="s">
        <v>10759</v>
      </c>
    </row>
    <row r="127" spans="1:15">
      <c r="A127" s="95">
        <v>174904221976312</v>
      </c>
      <c r="B127" s="49" t="s">
        <v>10651</v>
      </c>
      <c r="C127" s="49" t="s">
        <v>311</v>
      </c>
      <c r="D127" s="49" t="s">
        <v>10737</v>
      </c>
      <c r="E127" s="49">
        <v>628988759290</v>
      </c>
      <c r="F127" s="96">
        <v>45832</v>
      </c>
      <c r="G127" s="95">
        <v>168</v>
      </c>
      <c r="H127" s="49" t="s">
        <v>12667</v>
      </c>
      <c r="I127" s="97">
        <v>7535.2697095435688</v>
      </c>
      <c r="J127" s="95">
        <v>4</v>
      </c>
      <c r="K127" s="102">
        <v>1816</v>
      </c>
      <c r="L127" s="95">
        <v>0</v>
      </c>
      <c r="M127" s="95">
        <v>5</v>
      </c>
      <c r="N127" s="95">
        <v>0</v>
      </c>
      <c r="O127" s="49" t="s">
        <v>10738</v>
      </c>
    </row>
    <row r="128" spans="1:15">
      <c r="A128" s="95">
        <v>174904221976312</v>
      </c>
      <c r="B128" s="49" t="s">
        <v>10651</v>
      </c>
      <c r="C128" s="49" t="s">
        <v>311</v>
      </c>
      <c r="D128" s="49" t="s">
        <v>10737</v>
      </c>
      <c r="E128" s="49">
        <v>628988759290</v>
      </c>
      <c r="F128" s="96">
        <v>45832</v>
      </c>
      <c r="G128" s="95">
        <v>255</v>
      </c>
      <c r="H128" s="49" t="s">
        <v>12668</v>
      </c>
      <c r="I128" s="97">
        <v>10765.536723163843</v>
      </c>
      <c r="J128" s="95">
        <v>17</v>
      </c>
      <c r="K128" s="102">
        <v>3811</v>
      </c>
      <c r="L128" s="95">
        <v>1</v>
      </c>
      <c r="M128" s="95">
        <v>10</v>
      </c>
      <c r="N128" s="95">
        <v>0</v>
      </c>
      <c r="O128" s="49" t="s">
        <v>10738</v>
      </c>
    </row>
    <row r="129" spans="1:15">
      <c r="A129" s="95">
        <v>174904221976312</v>
      </c>
      <c r="B129" s="49" t="s">
        <v>10651</v>
      </c>
      <c r="C129" s="49" t="s">
        <v>311</v>
      </c>
      <c r="D129" s="49" t="s">
        <v>10737</v>
      </c>
      <c r="E129" s="49">
        <v>628988759290</v>
      </c>
      <c r="F129" s="96">
        <v>45832</v>
      </c>
      <c r="G129" s="95">
        <v>173</v>
      </c>
      <c r="H129" s="49" t="s">
        <v>12669</v>
      </c>
      <c r="I129" s="97">
        <v>13558.441558441558</v>
      </c>
      <c r="J129" s="95">
        <v>10</v>
      </c>
      <c r="K129" s="102">
        <v>3132</v>
      </c>
      <c r="L129" s="95">
        <v>0</v>
      </c>
      <c r="M129" s="95">
        <v>14</v>
      </c>
      <c r="N129" s="95">
        <v>0</v>
      </c>
      <c r="O129" s="49" t="s">
        <v>10738</v>
      </c>
    </row>
    <row r="130" spans="1:15">
      <c r="A130" s="95">
        <v>174904221976312</v>
      </c>
      <c r="B130" s="49" t="s">
        <v>10651</v>
      </c>
      <c r="C130" s="49" t="s">
        <v>311</v>
      </c>
      <c r="D130" s="49" t="s">
        <v>10737</v>
      </c>
      <c r="E130" s="49">
        <v>628988759290</v>
      </c>
      <c r="F130" s="96">
        <v>45832</v>
      </c>
      <c r="G130" s="95">
        <v>141</v>
      </c>
      <c r="H130" s="49" t="s">
        <v>12670</v>
      </c>
      <c r="I130" s="97">
        <v>16261.363636363636</v>
      </c>
      <c r="J130" s="95">
        <v>5</v>
      </c>
      <c r="K130" s="102">
        <v>2862</v>
      </c>
      <c r="L130" s="95">
        <v>1</v>
      </c>
      <c r="M130" s="95">
        <v>22</v>
      </c>
      <c r="N130" s="95">
        <v>0</v>
      </c>
      <c r="O130" s="49" t="s">
        <v>10738</v>
      </c>
    </row>
    <row r="131" spans="1:15">
      <c r="A131" s="95">
        <v>174904221976312</v>
      </c>
      <c r="B131" s="49" t="s">
        <v>10651</v>
      </c>
      <c r="C131" s="49" t="s">
        <v>311</v>
      </c>
      <c r="D131" s="49" t="s">
        <v>10737</v>
      </c>
      <c r="E131" s="49">
        <v>628988759290</v>
      </c>
      <c r="F131" s="96">
        <v>45832</v>
      </c>
      <c r="G131" s="95">
        <v>38</v>
      </c>
      <c r="H131" s="49" t="s">
        <v>12671</v>
      </c>
      <c r="I131" s="97">
        <v>18048.780487804877</v>
      </c>
      <c r="J131" s="95">
        <v>2</v>
      </c>
      <c r="K131" s="102">
        <v>740</v>
      </c>
      <c r="L131" s="95">
        <v>0</v>
      </c>
      <c r="M131" s="95">
        <v>8</v>
      </c>
      <c r="N131" s="95">
        <v>0</v>
      </c>
      <c r="O131" s="49" t="s">
        <v>10738</v>
      </c>
    </row>
    <row r="132" spans="1:15">
      <c r="A132" s="95">
        <v>174904221976312</v>
      </c>
      <c r="B132" s="49" t="s">
        <v>10651</v>
      </c>
      <c r="C132" s="49" t="s">
        <v>311</v>
      </c>
      <c r="D132" s="49" t="s">
        <v>10737</v>
      </c>
      <c r="E132" s="49">
        <v>628988759290</v>
      </c>
      <c r="F132" s="96">
        <v>45832</v>
      </c>
      <c r="G132" s="95">
        <v>20</v>
      </c>
      <c r="H132" s="49" t="s">
        <v>12672</v>
      </c>
      <c r="I132" s="97">
        <v>33230.769230769234</v>
      </c>
      <c r="J132" s="95">
        <v>4</v>
      </c>
      <c r="K132" s="102">
        <v>864</v>
      </c>
      <c r="L132" s="95">
        <v>0</v>
      </c>
      <c r="M132" s="95">
        <v>3</v>
      </c>
      <c r="N132" s="95">
        <v>0</v>
      </c>
      <c r="O132" s="49" t="s">
        <v>10738</v>
      </c>
    </row>
    <row r="133" spans="1:15">
      <c r="A133" s="95">
        <v>174904221976312</v>
      </c>
      <c r="B133" s="49" t="s">
        <v>10651</v>
      </c>
      <c r="C133" s="49" t="s">
        <v>10778</v>
      </c>
      <c r="D133" s="49" t="s">
        <v>3140</v>
      </c>
      <c r="F133" s="96">
        <v>45832</v>
      </c>
      <c r="G133" s="95">
        <v>1428</v>
      </c>
      <c r="H133" s="49" t="s">
        <v>12667</v>
      </c>
      <c r="I133" s="97">
        <v>1319.9728260869565</v>
      </c>
      <c r="J133" s="95">
        <v>18</v>
      </c>
      <c r="K133" s="102">
        <v>1943</v>
      </c>
      <c r="L133" s="95">
        <v>0</v>
      </c>
      <c r="M133" s="95">
        <v>84</v>
      </c>
      <c r="N133" s="95">
        <v>0</v>
      </c>
      <c r="O133" s="49" t="s">
        <v>10779</v>
      </c>
    </row>
    <row r="134" spans="1:15">
      <c r="A134" s="95">
        <v>174904221976312</v>
      </c>
      <c r="B134" s="49" t="s">
        <v>10651</v>
      </c>
      <c r="C134" s="49" t="s">
        <v>10778</v>
      </c>
      <c r="D134" s="49" t="s">
        <v>3140</v>
      </c>
      <c r="F134" s="96">
        <v>45832</v>
      </c>
      <c r="G134" s="95">
        <v>1600</v>
      </c>
      <c r="H134" s="49" t="s">
        <v>12668</v>
      </c>
      <c r="I134" s="97">
        <v>1786.6666666666665</v>
      </c>
      <c r="J134" s="95">
        <v>23</v>
      </c>
      <c r="K134" s="102">
        <v>3082</v>
      </c>
      <c r="L134" s="95">
        <v>0</v>
      </c>
      <c r="M134" s="95">
        <v>148</v>
      </c>
      <c r="N134" s="95">
        <v>0</v>
      </c>
      <c r="O134" s="49" t="s">
        <v>10779</v>
      </c>
    </row>
    <row r="135" spans="1:15">
      <c r="A135" s="95">
        <v>174904221976312</v>
      </c>
      <c r="B135" s="49" t="s">
        <v>10651</v>
      </c>
      <c r="C135" s="49" t="s">
        <v>10778</v>
      </c>
      <c r="D135" s="49" t="s">
        <v>3140</v>
      </c>
      <c r="F135" s="96">
        <v>45832</v>
      </c>
      <c r="G135" s="95">
        <v>1416</v>
      </c>
      <c r="H135" s="49" t="s">
        <v>12669</v>
      </c>
      <c r="I135" s="97">
        <v>2511.7574257425745</v>
      </c>
      <c r="J135" s="95">
        <v>26</v>
      </c>
      <c r="K135" s="102">
        <v>4059</v>
      </c>
      <c r="L135" s="95">
        <v>0</v>
      </c>
      <c r="M135" s="95">
        <v>205</v>
      </c>
      <c r="N135" s="95">
        <v>0</v>
      </c>
      <c r="O135" s="49" t="s">
        <v>10779</v>
      </c>
    </row>
    <row r="136" spans="1:15">
      <c r="A136" s="95">
        <v>174904221976312</v>
      </c>
      <c r="B136" s="49" t="s">
        <v>10651</v>
      </c>
      <c r="C136" s="49" t="s">
        <v>10778</v>
      </c>
      <c r="D136" s="49" t="s">
        <v>3140</v>
      </c>
      <c r="F136" s="96">
        <v>45832</v>
      </c>
      <c r="G136" s="95">
        <v>552</v>
      </c>
      <c r="H136" s="49" t="s">
        <v>12670</v>
      </c>
      <c r="I136" s="97">
        <v>3138.3855024711697</v>
      </c>
      <c r="J136" s="95">
        <v>9</v>
      </c>
      <c r="K136" s="102">
        <v>1905</v>
      </c>
      <c r="L136" s="95">
        <v>0</v>
      </c>
      <c r="M136" s="95">
        <v>62</v>
      </c>
      <c r="N136" s="95">
        <v>0</v>
      </c>
      <c r="O136" s="49" t="s">
        <v>10779</v>
      </c>
    </row>
    <row r="137" spans="1:15">
      <c r="A137" s="95">
        <v>174904221976312</v>
      </c>
      <c r="B137" s="49" t="s">
        <v>10651</v>
      </c>
      <c r="C137" s="49" t="s">
        <v>10778</v>
      </c>
      <c r="D137" s="49" t="s">
        <v>3140</v>
      </c>
      <c r="F137" s="96">
        <v>45832</v>
      </c>
      <c r="G137" s="95">
        <v>120</v>
      </c>
      <c r="H137" s="49" t="s">
        <v>12671</v>
      </c>
      <c r="I137" s="97">
        <v>3176.87074829932</v>
      </c>
      <c r="J137" s="95">
        <v>5</v>
      </c>
      <c r="K137" s="102">
        <v>467</v>
      </c>
      <c r="L137" s="95">
        <v>0</v>
      </c>
      <c r="M137" s="95">
        <v>13</v>
      </c>
      <c r="N137" s="95">
        <v>0</v>
      </c>
      <c r="O137" s="49" t="s">
        <v>10779</v>
      </c>
    </row>
    <row r="138" spans="1:15">
      <c r="A138" s="95">
        <v>174904221976312</v>
      </c>
      <c r="B138" s="49" t="s">
        <v>10651</v>
      </c>
      <c r="C138" s="49" t="s">
        <v>10778</v>
      </c>
      <c r="D138" s="49" t="s">
        <v>3140</v>
      </c>
      <c r="F138" s="96">
        <v>45832</v>
      </c>
      <c r="G138" s="95">
        <v>94</v>
      </c>
      <c r="H138" s="49" t="s">
        <v>12672</v>
      </c>
      <c r="I138" s="97">
        <v>2410.7142857142858</v>
      </c>
      <c r="J138" s="95">
        <v>3</v>
      </c>
      <c r="K138" s="102">
        <v>270</v>
      </c>
      <c r="L138" s="95">
        <v>0</v>
      </c>
      <c r="M138" s="95">
        <v>9</v>
      </c>
      <c r="N138" s="95">
        <v>0</v>
      </c>
      <c r="O138" s="49" t="s">
        <v>10779</v>
      </c>
    </row>
    <row r="139" spans="1:15">
      <c r="A139" s="95">
        <v>174904221976312</v>
      </c>
      <c r="B139" s="49" t="s">
        <v>10651</v>
      </c>
      <c r="C139" s="49" t="s">
        <v>10673</v>
      </c>
      <c r="D139" s="49" t="s">
        <v>10674</v>
      </c>
      <c r="E139" s="49">
        <v>6282183184641</v>
      </c>
      <c r="F139" s="96">
        <v>45832</v>
      </c>
      <c r="G139" s="95">
        <v>15</v>
      </c>
      <c r="H139" s="49" t="s">
        <v>12667</v>
      </c>
      <c r="I139" s="97">
        <v>9533.3333333333339</v>
      </c>
      <c r="J139" s="95">
        <v>0</v>
      </c>
      <c r="K139" s="102">
        <v>143</v>
      </c>
      <c r="L139" s="95">
        <v>0</v>
      </c>
      <c r="M139" s="95">
        <v>0</v>
      </c>
      <c r="N139" s="95">
        <v>0</v>
      </c>
      <c r="O139" s="49" t="s">
        <v>10916</v>
      </c>
    </row>
    <row r="140" spans="1:15">
      <c r="A140" s="95">
        <v>174904221976312</v>
      </c>
      <c r="B140" s="49" t="s">
        <v>10651</v>
      </c>
      <c r="C140" s="49" t="s">
        <v>10673</v>
      </c>
      <c r="D140" s="49" t="s">
        <v>10674</v>
      </c>
      <c r="E140" s="49">
        <v>6282183184641</v>
      </c>
      <c r="F140" s="96">
        <v>45832</v>
      </c>
      <c r="G140" s="95">
        <v>100</v>
      </c>
      <c r="H140" s="49" t="s">
        <v>12668</v>
      </c>
      <c r="I140" s="97">
        <v>20194.244604316547</v>
      </c>
      <c r="J140" s="95">
        <v>0</v>
      </c>
      <c r="K140" s="102">
        <v>2807</v>
      </c>
      <c r="L140" s="95">
        <v>0</v>
      </c>
      <c r="M140" s="95">
        <v>0</v>
      </c>
      <c r="N140" s="95">
        <v>0</v>
      </c>
      <c r="O140" s="49" t="s">
        <v>10916</v>
      </c>
    </row>
    <row r="141" spans="1:15">
      <c r="A141" s="95">
        <v>174904221976312</v>
      </c>
      <c r="B141" s="49" t="s">
        <v>10651</v>
      </c>
      <c r="C141" s="49" t="s">
        <v>10673</v>
      </c>
      <c r="D141" s="49" t="s">
        <v>10674</v>
      </c>
      <c r="E141" s="49">
        <v>6282183184641</v>
      </c>
      <c r="F141" s="96">
        <v>45832</v>
      </c>
      <c r="G141" s="95">
        <v>112</v>
      </c>
      <c r="H141" s="49" t="s">
        <v>12669</v>
      </c>
      <c r="I141" s="97">
        <v>18987.654320987655</v>
      </c>
      <c r="J141" s="95">
        <v>3</v>
      </c>
      <c r="K141" s="102">
        <v>3076</v>
      </c>
      <c r="L141" s="95">
        <v>0</v>
      </c>
      <c r="M141" s="95">
        <v>0</v>
      </c>
      <c r="N141" s="95">
        <v>0</v>
      </c>
      <c r="O141" s="49" t="s">
        <v>10916</v>
      </c>
    </row>
    <row r="142" spans="1:15">
      <c r="A142" s="95">
        <v>174904221976312</v>
      </c>
      <c r="B142" s="49" t="s">
        <v>10651</v>
      </c>
      <c r="C142" s="49" t="s">
        <v>10673</v>
      </c>
      <c r="D142" s="49" t="s">
        <v>10674</v>
      </c>
      <c r="E142" s="49">
        <v>6282183184641</v>
      </c>
      <c r="F142" s="96">
        <v>45832</v>
      </c>
      <c r="G142" s="95">
        <v>89</v>
      </c>
      <c r="H142" s="49" t="s">
        <v>12670</v>
      </c>
      <c r="I142" s="97">
        <v>36603.448275862072</v>
      </c>
      <c r="J142" s="95">
        <v>7</v>
      </c>
      <c r="K142" s="102">
        <v>4246</v>
      </c>
      <c r="L142" s="95">
        <v>0</v>
      </c>
      <c r="M142" s="95">
        <v>1</v>
      </c>
      <c r="N142" s="95">
        <v>0</v>
      </c>
      <c r="O142" s="49" t="s">
        <v>10916</v>
      </c>
    </row>
    <row r="143" spans="1:15">
      <c r="A143" s="95">
        <v>174904221976312</v>
      </c>
      <c r="B143" s="49" t="s">
        <v>10651</v>
      </c>
      <c r="C143" s="49" t="s">
        <v>10673</v>
      </c>
      <c r="D143" s="49" t="s">
        <v>10674</v>
      </c>
      <c r="E143" s="49">
        <v>6282183184641</v>
      </c>
      <c r="F143" s="96">
        <v>45832</v>
      </c>
      <c r="G143" s="95">
        <v>41</v>
      </c>
      <c r="H143" s="49" t="s">
        <v>12671</v>
      </c>
      <c r="I143" s="97">
        <v>34695.652173913048</v>
      </c>
      <c r="J143" s="95">
        <v>5</v>
      </c>
      <c r="K143" s="102">
        <v>1596</v>
      </c>
      <c r="L143" s="95">
        <v>0</v>
      </c>
      <c r="M143" s="95">
        <v>0</v>
      </c>
      <c r="N143" s="95">
        <v>0</v>
      </c>
      <c r="O143" s="49" t="s">
        <v>10916</v>
      </c>
    </row>
    <row r="144" spans="1:15">
      <c r="A144" s="95">
        <v>174904221976312</v>
      </c>
      <c r="B144" s="49" t="s">
        <v>10651</v>
      </c>
      <c r="C144" s="49" t="s">
        <v>10673</v>
      </c>
      <c r="D144" s="49" t="s">
        <v>10674</v>
      </c>
      <c r="E144" s="49">
        <v>6282183184641</v>
      </c>
      <c r="F144" s="96">
        <v>45832</v>
      </c>
      <c r="G144" s="95">
        <v>8</v>
      </c>
      <c r="H144" s="49" t="s">
        <v>12672</v>
      </c>
      <c r="I144" s="97">
        <v>10888.888888888889</v>
      </c>
      <c r="J144" s="95">
        <v>0</v>
      </c>
      <c r="K144" s="102">
        <v>98</v>
      </c>
      <c r="L144" s="95">
        <v>0</v>
      </c>
      <c r="M144" s="95">
        <v>0</v>
      </c>
      <c r="N144" s="95">
        <v>0</v>
      </c>
      <c r="O144" s="49" t="s">
        <v>10916</v>
      </c>
    </row>
    <row r="145" spans="1:15">
      <c r="A145" s="95">
        <v>174904221976312</v>
      </c>
      <c r="B145" s="49" t="s">
        <v>10651</v>
      </c>
      <c r="C145" s="49" t="s">
        <v>10652</v>
      </c>
      <c r="D145" s="49" t="s">
        <v>10653</v>
      </c>
      <c r="E145" s="49">
        <v>6281348555887</v>
      </c>
      <c r="F145" s="96">
        <v>45832</v>
      </c>
      <c r="G145" s="95">
        <v>137</v>
      </c>
      <c r="H145" s="49" t="s">
        <v>12668</v>
      </c>
      <c r="I145" s="97">
        <v>9556.9620253164558</v>
      </c>
      <c r="J145" s="95">
        <v>6</v>
      </c>
      <c r="K145" s="102">
        <v>1510</v>
      </c>
      <c r="L145" s="95">
        <v>0</v>
      </c>
      <c r="M145" s="95">
        <v>35</v>
      </c>
      <c r="N145" s="95">
        <v>0</v>
      </c>
      <c r="O145" s="49" t="s">
        <v>10654</v>
      </c>
    </row>
    <row r="146" spans="1:15">
      <c r="A146" s="95">
        <v>174904221976312</v>
      </c>
      <c r="B146" s="49" t="s">
        <v>10651</v>
      </c>
      <c r="C146" s="49" t="s">
        <v>10652</v>
      </c>
      <c r="D146" s="49" t="s">
        <v>10653</v>
      </c>
      <c r="E146" s="49">
        <v>6281348555887</v>
      </c>
      <c r="F146" s="96">
        <v>45832</v>
      </c>
      <c r="G146" s="95">
        <v>464</v>
      </c>
      <c r="H146" s="49" t="s">
        <v>12669</v>
      </c>
      <c r="I146" s="97">
        <v>12599.634369287021</v>
      </c>
      <c r="J146" s="95">
        <v>17</v>
      </c>
      <c r="K146" s="102">
        <v>6892</v>
      </c>
      <c r="L146" s="95">
        <v>0</v>
      </c>
      <c r="M146" s="95">
        <v>151</v>
      </c>
      <c r="N146" s="95">
        <v>0</v>
      </c>
      <c r="O146" s="49" t="s">
        <v>10654</v>
      </c>
    </row>
    <row r="147" spans="1:15">
      <c r="A147" s="95">
        <v>174904221976312</v>
      </c>
      <c r="B147" s="49" t="s">
        <v>10651</v>
      </c>
      <c r="C147" s="49" t="s">
        <v>10652</v>
      </c>
      <c r="D147" s="49" t="s">
        <v>10653</v>
      </c>
      <c r="E147" s="49">
        <v>6281348555887</v>
      </c>
      <c r="F147" s="96">
        <v>45832</v>
      </c>
      <c r="G147" s="95">
        <v>164</v>
      </c>
      <c r="H147" s="49" t="s">
        <v>12670</v>
      </c>
      <c r="I147" s="97">
        <v>18453.608247422679</v>
      </c>
      <c r="J147" s="95">
        <v>5</v>
      </c>
      <c r="K147" s="102">
        <v>3580</v>
      </c>
      <c r="L147" s="95">
        <v>0</v>
      </c>
      <c r="M147" s="95">
        <v>58</v>
      </c>
      <c r="N147" s="95">
        <v>0</v>
      </c>
      <c r="O147" s="49" t="s">
        <v>10654</v>
      </c>
    </row>
    <row r="148" spans="1:15">
      <c r="A148" s="95">
        <v>174904221976312</v>
      </c>
      <c r="B148" s="49" t="s">
        <v>10651</v>
      </c>
      <c r="C148" s="49" t="s">
        <v>10652</v>
      </c>
      <c r="D148" s="49" t="s">
        <v>10653</v>
      </c>
      <c r="E148" s="49">
        <v>6281348555887</v>
      </c>
      <c r="F148" s="96">
        <v>45832</v>
      </c>
      <c r="G148" s="95">
        <v>10</v>
      </c>
      <c r="H148" s="49" t="s">
        <v>12671</v>
      </c>
      <c r="I148" s="97">
        <v>85833.333333333328</v>
      </c>
      <c r="J148" s="95">
        <v>1</v>
      </c>
      <c r="K148" s="102">
        <v>1030</v>
      </c>
      <c r="L148" s="95">
        <v>0</v>
      </c>
      <c r="M148" s="95">
        <v>5</v>
      </c>
      <c r="N148" s="95">
        <v>0</v>
      </c>
      <c r="O148" s="49" t="s">
        <v>10654</v>
      </c>
    </row>
    <row r="149" spans="1:15">
      <c r="A149" s="95">
        <v>174904221976312</v>
      </c>
      <c r="B149" s="49" t="s">
        <v>10651</v>
      </c>
      <c r="C149" s="49" t="s">
        <v>10652</v>
      </c>
      <c r="D149" s="49" t="s">
        <v>10653</v>
      </c>
      <c r="E149" s="49">
        <v>6281348555887</v>
      </c>
      <c r="F149" s="96">
        <v>45832</v>
      </c>
      <c r="G149" s="95">
        <v>12</v>
      </c>
      <c r="H149" s="49" t="s">
        <v>12672</v>
      </c>
      <c r="I149" s="97">
        <v>5875</v>
      </c>
      <c r="J149" s="95">
        <v>3</v>
      </c>
      <c r="K149" s="102">
        <v>94</v>
      </c>
      <c r="L149" s="95">
        <v>0</v>
      </c>
      <c r="M149" s="95">
        <v>4</v>
      </c>
      <c r="N149" s="95">
        <v>0</v>
      </c>
      <c r="O149" s="49" t="s">
        <v>10654</v>
      </c>
    </row>
    <row r="150" spans="1:15">
      <c r="A150" s="95">
        <v>174904221976312</v>
      </c>
      <c r="B150" s="49" t="s">
        <v>10651</v>
      </c>
      <c r="C150" s="49" t="s">
        <v>10659</v>
      </c>
      <c r="D150" s="49" t="s">
        <v>1044</v>
      </c>
      <c r="E150" s="49">
        <v>6281263113266</v>
      </c>
      <c r="F150" s="96">
        <v>45832</v>
      </c>
      <c r="G150" s="95">
        <v>39</v>
      </c>
      <c r="H150" s="49" t="s">
        <v>12667</v>
      </c>
      <c r="I150" s="97">
        <v>6375</v>
      </c>
      <c r="J150" s="95">
        <v>2</v>
      </c>
      <c r="K150" s="102">
        <v>306</v>
      </c>
      <c r="L150" s="95">
        <v>0</v>
      </c>
      <c r="M150" s="95">
        <v>0</v>
      </c>
      <c r="N150" s="95">
        <v>1</v>
      </c>
      <c r="O150" s="49" t="s">
        <v>10660</v>
      </c>
    </row>
    <row r="151" spans="1:15">
      <c r="A151" s="95">
        <v>174904221976312</v>
      </c>
      <c r="B151" s="49" t="s">
        <v>10651</v>
      </c>
      <c r="C151" s="49" t="s">
        <v>10659</v>
      </c>
      <c r="D151" s="49" t="s">
        <v>1044</v>
      </c>
      <c r="E151" s="49">
        <v>6281263113266</v>
      </c>
      <c r="F151" s="96">
        <v>45832</v>
      </c>
      <c r="G151" s="95">
        <v>370</v>
      </c>
      <c r="H151" s="49" t="s">
        <v>12668</v>
      </c>
      <c r="I151" s="97">
        <v>7776.572668112799</v>
      </c>
      <c r="J151" s="95">
        <v>10</v>
      </c>
      <c r="K151" s="102">
        <v>3585</v>
      </c>
      <c r="L151" s="95">
        <v>0</v>
      </c>
      <c r="M151" s="95">
        <v>0</v>
      </c>
      <c r="N151" s="95">
        <v>0</v>
      </c>
      <c r="O151" s="49" t="s">
        <v>10660</v>
      </c>
    </row>
    <row r="152" spans="1:15">
      <c r="A152" s="95">
        <v>174904221976312</v>
      </c>
      <c r="B152" s="49" t="s">
        <v>10651</v>
      </c>
      <c r="C152" s="49" t="s">
        <v>10659</v>
      </c>
      <c r="D152" s="49" t="s">
        <v>1044</v>
      </c>
      <c r="E152" s="49">
        <v>6281263113266</v>
      </c>
      <c r="F152" s="96">
        <v>45832</v>
      </c>
      <c r="G152" s="95">
        <v>385</v>
      </c>
      <c r="H152" s="49" t="s">
        <v>12669</v>
      </c>
      <c r="I152" s="97">
        <v>9311.5468409586065</v>
      </c>
      <c r="J152" s="95">
        <v>24</v>
      </c>
      <c r="K152" s="102">
        <v>4274</v>
      </c>
      <c r="L152" s="95">
        <v>2</v>
      </c>
      <c r="M152" s="95">
        <v>0</v>
      </c>
      <c r="N152" s="95">
        <v>0</v>
      </c>
      <c r="O152" s="49" t="s">
        <v>10660</v>
      </c>
    </row>
    <row r="153" spans="1:15">
      <c r="A153" s="95">
        <v>174904221976312</v>
      </c>
      <c r="B153" s="49" t="s">
        <v>10651</v>
      </c>
      <c r="C153" s="49" t="s">
        <v>10659</v>
      </c>
      <c r="D153" s="49" t="s">
        <v>1044</v>
      </c>
      <c r="E153" s="49">
        <v>6281263113266</v>
      </c>
      <c r="F153" s="96">
        <v>45832</v>
      </c>
      <c r="G153" s="95">
        <v>296</v>
      </c>
      <c r="H153" s="49" t="s">
        <v>12670</v>
      </c>
      <c r="I153" s="97">
        <v>10722.222222222221</v>
      </c>
      <c r="J153" s="95">
        <v>15</v>
      </c>
      <c r="K153" s="102">
        <v>3667</v>
      </c>
      <c r="L153" s="95">
        <v>1</v>
      </c>
      <c r="M153" s="95">
        <v>0</v>
      </c>
      <c r="N153" s="95">
        <v>0</v>
      </c>
      <c r="O153" s="49" t="s">
        <v>10660</v>
      </c>
    </row>
    <row r="154" spans="1:15">
      <c r="A154" s="95">
        <v>174904221976312</v>
      </c>
      <c r="B154" s="49" t="s">
        <v>10651</v>
      </c>
      <c r="C154" s="49" t="s">
        <v>10659</v>
      </c>
      <c r="D154" s="49" t="s">
        <v>1044</v>
      </c>
      <c r="E154" s="49">
        <v>6281263113266</v>
      </c>
      <c r="F154" s="96">
        <v>45832</v>
      </c>
      <c r="G154" s="95">
        <v>118</v>
      </c>
      <c r="H154" s="49" t="s">
        <v>12671</v>
      </c>
      <c r="I154" s="97">
        <v>13909.090909090908</v>
      </c>
      <c r="J154" s="95">
        <v>9</v>
      </c>
      <c r="K154" s="102">
        <v>1836</v>
      </c>
      <c r="L154" s="95">
        <v>2</v>
      </c>
      <c r="M154" s="95">
        <v>0</v>
      </c>
      <c r="N154" s="95">
        <v>0</v>
      </c>
      <c r="O154" s="49" t="s">
        <v>10660</v>
      </c>
    </row>
    <row r="155" spans="1:15">
      <c r="A155" s="95">
        <v>174904221976312</v>
      </c>
      <c r="B155" s="49" t="s">
        <v>10651</v>
      </c>
      <c r="C155" s="49" t="s">
        <v>10659</v>
      </c>
      <c r="D155" s="49" t="s">
        <v>1044</v>
      </c>
      <c r="E155" s="49">
        <v>6281263113266</v>
      </c>
      <c r="F155" s="96">
        <v>45832</v>
      </c>
      <c r="G155" s="95">
        <v>42</v>
      </c>
      <c r="H155" s="49" t="s">
        <v>12672</v>
      </c>
      <c r="I155" s="97">
        <v>8470.5882352941171</v>
      </c>
      <c r="J155" s="95">
        <v>1</v>
      </c>
      <c r="K155" s="102">
        <v>432</v>
      </c>
      <c r="L155" s="95">
        <v>0</v>
      </c>
      <c r="M155" s="95">
        <v>0</v>
      </c>
      <c r="N155" s="95">
        <v>0</v>
      </c>
      <c r="O155" s="49" t="s">
        <v>10660</v>
      </c>
    </row>
    <row r="156" spans="1:15">
      <c r="A156" s="95">
        <v>759724529202804</v>
      </c>
      <c r="B156" s="49" t="s">
        <v>10621</v>
      </c>
      <c r="C156" s="49" t="s">
        <v>10904</v>
      </c>
      <c r="D156" s="49" t="s">
        <v>10905</v>
      </c>
      <c r="E156" s="49">
        <v>6285711667433</v>
      </c>
      <c r="F156" s="96">
        <v>45832</v>
      </c>
      <c r="G156" s="95">
        <v>64</v>
      </c>
      <c r="H156" s="49" t="s">
        <v>12667</v>
      </c>
      <c r="I156" s="97">
        <v>9376.6233766233763</v>
      </c>
      <c r="J156" s="95">
        <v>1</v>
      </c>
      <c r="K156" s="102">
        <v>722</v>
      </c>
      <c r="L156" s="95">
        <v>0</v>
      </c>
      <c r="M156" s="95">
        <v>0</v>
      </c>
      <c r="N156" s="95">
        <v>0</v>
      </c>
      <c r="O156" s="49" t="s">
        <v>10906</v>
      </c>
    </row>
    <row r="157" spans="1:15">
      <c r="A157" s="95">
        <v>759724529202804</v>
      </c>
      <c r="B157" s="49" t="s">
        <v>10621</v>
      </c>
      <c r="C157" s="49" t="s">
        <v>10904</v>
      </c>
      <c r="D157" s="49" t="s">
        <v>10905</v>
      </c>
      <c r="E157" s="49">
        <v>6285711667433</v>
      </c>
      <c r="F157" s="96">
        <v>45832</v>
      </c>
      <c r="G157" s="95">
        <v>261</v>
      </c>
      <c r="H157" s="49" t="s">
        <v>12668</v>
      </c>
      <c r="I157" s="97">
        <v>9142.3948220064722</v>
      </c>
      <c r="J157" s="95">
        <v>4</v>
      </c>
      <c r="K157" s="102">
        <v>2825</v>
      </c>
      <c r="L157" s="95">
        <v>0</v>
      </c>
      <c r="M157" s="95">
        <v>0</v>
      </c>
      <c r="N157" s="95">
        <v>0</v>
      </c>
      <c r="O157" s="49" t="s">
        <v>10906</v>
      </c>
    </row>
    <row r="158" spans="1:15">
      <c r="A158" s="95">
        <v>759724529202804</v>
      </c>
      <c r="B158" s="49" t="s">
        <v>10621</v>
      </c>
      <c r="C158" s="49" t="s">
        <v>10904</v>
      </c>
      <c r="D158" s="49" t="s">
        <v>10905</v>
      </c>
      <c r="E158" s="49">
        <v>6285711667433</v>
      </c>
      <c r="F158" s="96">
        <v>45832</v>
      </c>
      <c r="G158" s="95">
        <v>407</v>
      </c>
      <c r="H158" s="49" t="s">
        <v>12669</v>
      </c>
      <c r="I158" s="97">
        <v>10495.780590717299</v>
      </c>
      <c r="J158" s="95">
        <v>6</v>
      </c>
      <c r="K158" s="102">
        <v>4975</v>
      </c>
      <c r="L158" s="95">
        <v>1</v>
      </c>
      <c r="M158" s="95">
        <v>0</v>
      </c>
      <c r="N158" s="95">
        <v>0</v>
      </c>
      <c r="O158" s="49" t="s">
        <v>10906</v>
      </c>
    </row>
    <row r="159" spans="1:15">
      <c r="A159" s="95">
        <v>759724529202804</v>
      </c>
      <c r="B159" s="49" t="s">
        <v>10621</v>
      </c>
      <c r="C159" s="49" t="s">
        <v>10904</v>
      </c>
      <c r="D159" s="49" t="s">
        <v>10905</v>
      </c>
      <c r="E159" s="49">
        <v>6285711667433</v>
      </c>
      <c r="F159" s="96">
        <v>45832</v>
      </c>
      <c r="G159" s="95">
        <v>300</v>
      </c>
      <c r="H159" s="49" t="s">
        <v>12670</v>
      </c>
      <c r="I159" s="97">
        <v>11758.241758241758</v>
      </c>
      <c r="J159" s="95">
        <v>6</v>
      </c>
      <c r="K159" s="102">
        <v>4280</v>
      </c>
      <c r="L159" s="95">
        <v>1</v>
      </c>
      <c r="M159" s="95">
        <v>0</v>
      </c>
      <c r="N159" s="95">
        <v>0</v>
      </c>
      <c r="O159" s="49" t="s">
        <v>10906</v>
      </c>
    </row>
    <row r="160" spans="1:15">
      <c r="A160" s="95">
        <v>759724529202804</v>
      </c>
      <c r="B160" s="49" t="s">
        <v>10621</v>
      </c>
      <c r="C160" s="49" t="s">
        <v>10904</v>
      </c>
      <c r="D160" s="49" t="s">
        <v>10905</v>
      </c>
      <c r="E160" s="49">
        <v>6285711667433</v>
      </c>
      <c r="F160" s="96">
        <v>45832</v>
      </c>
      <c r="G160" s="95">
        <v>56</v>
      </c>
      <c r="H160" s="49" t="s">
        <v>12671</v>
      </c>
      <c r="I160" s="97">
        <v>16440.677966101695</v>
      </c>
      <c r="J160" s="95">
        <v>1</v>
      </c>
      <c r="K160" s="102">
        <v>970</v>
      </c>
      <c r="L160" s="95">
        <v>0</v>
      </c>
      <c r="M160" s="95">
        <v>0</v>
      </c>
      <c r="N160" s="95">
        <v>0</v>
      </c>
      <c r="O160" s="49" t="s">
        <v>10906</v>
      </c>
    </row>
    <row r="161" spans="1:15">
      <c r="A161" s="95">
        <v>759724529202804</v>
      </c>
      <c r="B161" s="49" t="s">
        <v>10621</v>
      </c>
      <c r="C161" s="49" t="s">
        <v>10904</v>
      </c>
      <c r="D161" s="49" t="s">
        <v>10905</v>
      </c>
      <c r="E161" s="49">
        <v>6285711667433</v>
      </c>
      <c r="F161" s="96">
        <v>45832</v>
      </c>
      <c r="G161" s="95">
        <v>15</v>
      </c>
      <c r="H161" s="49" t="s">
        <v>12672</v>
      </c>
      <c r="I161" s="97">
        <v>7062.5</v>
      </c>
      <c r="J161" s="95">
        <v>0</v>
      </c>
      <c r="K161" s="102">
        <v>113</v>
      </c>
      <c r="L161" s="95">
        <v>0</v>
      </c>
      <c r="M161" s="95">
        <v>0</v>
      </c>
      <c r="N161" s="95">
        <v>0</v>
      </c>
      <c r="O161" s="49" t="s">
        <v>10906</v>
      </c>
    </row>
    <row r="162" spans="1:15">
      <c r="A162" s="95">
        <v>759724529202804</v>
      </c>
      <c r="B162" s="49" t="s">
        <v>10621</v>
      </c>
      <c r="C162" s="49" t="s">
        <v>10907</v>
      </c>
      <c r="D162" s="49" t="s">
        <v>943</v>
      </c>
      <c r="E162" s="49">
        <v>6285775986977</v>
      </c>
      <c r="F162" s="96">
        <v>45832</v>
      </c>
      <c r="G162" s="95">
        <v>42</v>
      </c>
      <c r="H162" s="49" t="s">
        <v>12667</v>
      </c>
      <c r="I162" s="97">
        <v>13106.382978723404</v>
      </c>
      <c r="J162" s="95">
        <v>0</v>
      </c>
      <c r="K162" s="102">
        <v>616</v>
      </c>
      <c r="L162" s="95">
        <v>0</v>
      </c>
      <c r="M162" s="95">
        <v>0</v>
      </c>
      <c r="N162" s="95">
        <v>0</v>
      </c>
      <c r="O162" s="49" t="s">
        <v>10908</v>
      </c>
    </row>
    <row r="163" spans="1:15">
      <c r="A163" s="95">
        <v>759724529202804</v>
      </c>
      <c r="B163" s="49" t="s">
        <v>10621</v>
      </c>
      <c r="C163" s="49" t="s">
        <v>10907</v>
      </c>
      <c r="D163" s="49" t="s">
        <v>943</v>
      </c>
      <c r="E163" s="49">
        <v>6285775986977</v>
      </c>
      <c r="F163" s="96">
        <v>45832</v>
      </c>
      <c r="G163" s="95">
        <v>57</v>
      </c>
      <c r="H163" s="49" t="s">
        <v>12668</v>
      </c>
      <c r="I163" s="97">
        <v>62578.125</v>
      </c>
      <c r="J163" s="95">
        <v>0</v>
      </c>
      <c r="K163" s="102">
        <v>4005</v>
      </c>
      <c r="L163" s="95">
        <v>0</v>
      </c>
      <c r="M163" s="95">
        <v>0</v>
      </c>
      <c r="N163" s="95">
        <v>0</v>
      </c>
      <c r="O163" s="49" t="s">
        <v>10908</v>
      </c>
    </row>
    <row r="164" spans="1:15">
      <c r="A164" s="95">
        <v>759724529202804</v>
      </c>
      <c r="B164" s="49" t="s">
        <v>10621</v>
      </c>
      <c r="C164" s="49" t="s">
        <v>10907</v>
      </c>
      <c r="D164" s="49" t="s">
        <v>943</v>
      </c>
      <c r="E164" s="49">
        <v>6285775986977</v>
      </c>
      <c r="F164" s="96">
        <v>45832</v>
      </c>
      <c r="G164" s="95">
        <v>75</v>
      </c>
      <c r="H164" s="49" t="s">
        <v>12669</v>
      </c>
      <c r="I164" s="97">
        <v>54269.66292134831</v>
      </c>
      <c r="J164" s="95">
        <v>2</v>
      </c>
      <c r="K164" s="102">
        <v>4830</v>
      </c>
      <c r="L164" s="95">
        <v>0</v>
      </c>
      <c r="M164" s="95">
        <v>0</v>
      </c>
      <c r="N164" s="95">
        <v>0</v>
      </c>
      <c r="O164" s="49" t="s">
        <v>10908</v>
      </c>
    </row>
    <row r="165" spans="1:15">
      <c r="A165" s="95">
        <v>759724529202804</v>
      </c>
      <c r="B165" s="49" t="s">
        <v>10621</v>
      </c>
      <c r="C165" s="49" t="s">
        <v>10907</v>
      </c>
      <c r="D165" s="49" t="s">
        <v>943</v>
      </c>
      <c r="E165" s="49">
        <v>6285775986977</v>
      </c>
      <c r="F165" s="96">
        <v>45832</v>
      </c>
      <c r="G165" s="95">
        <v>40</v>
      </c>
      <c r="H165" s="49" t="s">
        <v>12670</v>
      </c>
      <c r="I165" s="97">
        <v>41418.604651162786</v>
      </c>
      <c r="J165" s="95">
        <v>0</v>
      </c>
      <c r="K165" s="102">
        <v>1781</v>
      </c>
      <c r="L165" s="95">
        <v>0</v>
      </c>
      <c r="M165" s="95">
        <v>0</v>
      </c>
      <c r="N165" s="95">
        <v>0</v>
      </c>
      <c r="O165" s="49" t="s">
        <v>10908</v>
      </c>
    </row>
    <row r="166" spans="1:15">
      <c r="A166" s="95">
        <v>759724529202804</v>
      </c>
      <c r="B166" s="49" t="s">
        <v>10621</v>
      </c>
      <c r="C166" s="49" t="s">
        <v>10907</v>
      </c>
      <c r="D166" s="49" t="s">
        <v>943</v>
      </c>
      <c r="E166" s="49">
        <v>6285775986977</v>
      </c>
      <c r="F166" s="96">
        <v>45832</v>
      </c>
      <c r="G166" s="95">
        <v>26</v>
      </c>
      <c r="H166" s="49" t="s">
        <v>12671</v>
      </c>
      <c r="I166" s="97">
        <v>51428.571428571428</v>
      </c>
      <c r="J166" s="95">
        <v>1</v>
      </c>
      <c r="K166" s="102">
        <v>1440</v>
      </c>
      <c r="L166" s="95">
        <v>0</v>
      </c>
      <c r="M166" s="95">
        <v>0</v>
      </c>
      <c r="N166" s="95">
        <v>0</v>
      </c>
      <c r="O166" s="49" t="s">
        <v>10908</v>
      </c>
    </row>
    <row r="167" spans="1:15">
      <c r="A167" s="95">
        <v>759724529202804</v>
      </c>
      <c r="B167" s="49" t="s">
        <v>10621</v>
      </c>
      <c r="C167" s="49" t="s">
        <v>10907</v>
      </c>
      <c r="D167" s="49" t="s">
        <v>943</v>
      </c>
      <c r="E167" s="49">
        <v>6285775986977</v>
      </c>
      <c r="F167" s="96">
        <v>45832</v>
      </c>
      <c r="G167" s="95">
        <v>18</v>
      </c>
      <c r="H167" s="49" t="s">
        <v>12672</v>
      </c>
      <c r="I167" s="97">
        <v>77105.263157894733</v>
      </c>
      <c r="J167" s="95">
        <v>0</v>
      </c>
      <c r="K167" s="102">
        <v>1465</v>
      </c>
      <c r="L167" s="95">
        <v>0</v>
      </c>
      <c r="M167" s="95">
        <v>0</v>
      </c>
      <c r="N167" s="95">
        <v>0</v>
      </c>
      <c r="O167" s="49" t="s">
        <v>10908</v>
      </c>
    </row>
    <row r="168" spans="1:15">
      <c r="A168" s="95">
        <v>759724529202804</v>
      </c>
      <c r="B168" s="49" t="s">
        <v>10621</v>
      </c>
      <c r="C168" s="49" t="s">
        <v>10909</v>
      </c>
      <c r="D168" s="49" t="s">
        <v>10910</v>
      </c>
      <c r="E168" s="49">
        <v>6281904501876</v>
      </c>
      <c r="F168" s="96">
        <v>45832</v>
      </c>
      <c r="G168" s="95">
        <v>484</v>
      </c>
      <c r="H168" s="49" t="s">
        <v>12667</v>
      </c>
      <c r="I168" s="97">
        <v>9334.3195266272196</v>
      </c>
      <c r="J168" s="95">
        <v>4</v>
      </c>
      <c r="K168" s="102">
        <v>6310</v>
      </c>
      <c r="L168" s="95">
        <v>0</v>
      </c>
      <c r="M168" s="95">
        <v>1</v>
      </c>
      <c r="N168" s="95">
        <v>0</v>
      </c>
      <c r="O168" s="49" t="s">
        <v>10911</v>
      </c>
    </row>
    <row r="169" spans="1:15">
      <c r="A169" s="95">
        <v>759724529202804</v>
      </c>
      <c r="B169" s="49" t="s">
        <v>10621</v>
      </c>
      <c r="C169" s="49" t="s">
        <v>10909</v>
      </c>
      <c r="D169" s="49" t="s">
        <v>10910</v>
      </c>
      <c r="E169" s="49">
        <v>6281904501876</v>
      </c>
      <c r="F169" s="96">
        <v>45832</v>
      </c>
      <c r="G169" s="95">
        <v>494</v>
      </c>
      <c r="H169" s="49" t="s">
        <v>12668</v>
      </c>
      <c r="I169" s="97">
        <v>9430.7004470938882</v>
      </c>
      <c r="J169" s="95">
        <v>5</v>
      </c>
      <c r="K169" s="102">
        <v>6328</v>
      </c>
      <c r="L169" s="95">
        <v>0</v>
      </c>
      <c r="M169" s="95">
        <v>0</v>
      </c>
      <c r="N169" s="95">
        <v>0</v>
      </c>
      <c r="O169" s="49" t="s">
        <v>10911</v>
      </c>
    </row>
    <row r="170" spans="1:15">
      <c r="A170" s="95">
        <v>759724529202804</v>
      </c>
      <c r="B170" s="49" t="s">
        <v>10621</v>
      </c>
      <c r="C170" s="49" t="s">
        <v>10909</v>
      </c>
      <c r="D170" s="49" t="s">
        <v>10910</v>
      </c>
      <c r="E170" s="49">
        <v>6281904501876</v>
      </c>
      <c r="F170" s="96">
        <v>45832</v>
      </c>
      <c r="G170" s="95">
        <v>104</v>
      </c>
      <c r="H170" s="49" t="s">
        <v>12669</v>
      </c>
      <c r="I170" s="97">
        <v>10431.034482758621</v>
      </c>
      <c r="J170" s="95">
        <v>2</v>
      </c>
      <c r="K170" s="102">
        <v>1210</v>
      </c>
      <c r="L170" s="95">
        <v>0</v>
      </c>
      <c r="M170" s="95">
        <v>0</v>
      </c>
      <c r="N170" s="95">
        <v>0</v>
      </c>
      <c r="O170" s="49" t="s">
        <v>10911</v>
      </c>
    </row>
    <row r="171" spans="1:15">
      <c r="A171" s="95">
        <v>759724529202804</v>
      </c>
      <c r="B171" s="49" t="s">
        <v>10621</v>
      </c>
      <c r="C171" s="49" t="s">
        <v>10909</v>
      </c>
      <c r="D171" s="49" t="s">
        <v>10910</v>
      </c>
      <c r="E171" s="49">
        <v>6281904501876</v>
      </c>
      <c r="F171" s="96">
        <v>45832</v>
      </c>
      <c r="G171" s="95">
        <v>37</v>
      </c>
      <c r="H171" s="49" t="s">
        <v>12670</v>
      </c>
      <c r="I171" s="97">
        <v>14261.904761904763</v>
      </c>
      <c r="J171" s="95">
        <v>1</v>
      </c>
      <c r="K171" s="102">
        <v>599</v>
      </c>
      <c r="L171" s="95">
        <v>0</v>
      </c>
      <c r="M171" s="95">
        <v>0</v>
      </c>
      <c r="N171" s="95">
        <v>0</v>
      </c>
      <c r="O171" s="49" t="s">
        <v>10911</v>
      </c>
    </row>
    <row r="172" spans="1:15">
      <c r="A172" s="95">
        <v>759724529202804</v>
      </c>
      <c r="B172" s="49" t="s">
        <v>10621</v>
      </c>
      <c r="C172" s="49" t="s">
        <v>10909</v>
      </c>
      <c r="D172" s="49" t="s">
        <v>10910</v>
      </c>
      <c r="E172" s="49">
        <v>6281904501876</v>
      </c>
      <c r="F172" s="96">
        <v>45832</v>
      </c>
      <c r="G172" s="95">
        <v>9</v>
      </c>
      <c r="H172" s="49" t="s">
        <v>12671</v>
      </c>
      <c r="I172" s="97">
        <v>10666.666666666666</v>
      </c>
      <c r="J172" s="95">
        <v>0</v>
      </c>
      <c r="K172" s="102">
        <v>96</v>
      </c>
      <c r="L172" s="95">
        <v>0</v>
      </c>
      <c r="M172" s="95">
        <v>0</v>
      </c>
      <c r="N172" s="95">
        <v>0</v>
      </c>
      <c r="O172" s="49" t="s">
        <v>10911</v>
      </c>
    </row>
    <row r="173" spans="1:15">
      <c r="A173" s="95">
        <v>759724529202804</v>
      </c>
      <c r="B173" s="49" t="s">
        <v>10621</v>
      </c>
      <c r="C173" s="49" t="s">
        <v>10909</v>
      </c>
      <c r="D173" s="49" t="s">
        <v>10910</v>
      </c>
      <c r="E173" s="49">
        <v>6281904501876</v>
      </c>
      <c r="F173" s="96">
        <v>45832</v>
      </c>
      <c r="G173" s="95">
        <v>7</v>
      </c>
      <c r="H173" s="49" t="s">
        <v>12672</v>
      </c>
      <c r="I173" s="97">
        <v>5375</v>
      </c>
      <c r="J173" s="95">
        <v>0</v>
      </c>
      <c r="K173" s="102">
        <v>43</v>
      </c>
      <c r="L173" s="95">
        <v>0</v>
      </c>
      <c r="M173" s="95">
        <v>0</v>
      </c>
      <c r="N173" s="95">
        <v>0</v>
      </c>
      <c r="O173" s="49" t="s">
        <v>10911</v>
      </c>
    </row>
    <row r="174" spans="1:15">
      <c r="A174" s="95">
        <v>759724529202804</v>
      </c>
      <c r="B174" s="49" t="s">
        <v>10621</v>
      </c>
      <c r="C174" s="49" t="s">
        <v>10912</v>
      </c>
      <c r="D174" s="49" t="s">
        <v>1029</v>
      </c>
      <c r="E174" s="49">
        <v>6281253792753</v>
      </c>
      <c r="F174" s="96">
        <v>45832</v>
      </c>
      <c r="G174" s="95">
        <v>24</v>
      </c>
      <c r="H174" s="49" t="s">
        <v>12667</v>
      </c>
      <c r="I174" s="97">
        <v>19093.75</v>
      </c>
      <c r="J174" s="95">
        <v>0</v>
      </c>
      <c r="K174" s="102">
        <v>611</v>
      </c>
      <c r="L174" s="95">
        <v>0</v>
      </c>
      <c r="M174" s="95">
        <v>0</v>
      </c>
      <c r="N174" s="95">
        <v>0</v>
      </c>
      <c r="O174" s="49" t="s">
        <v>10913</v>
      </c>
    </row>
    <row r="175" spans="1:15">
      <c r="A175" s="95">
        <v>759724529202804</v>
      </c>
      <c r="B175" s="49" t="s">
        <v>10621</v>
      </c>
      <c r="C175" s="49" t="s">
        <v>10912</v>
      </c>
      <c r="D175" s="49" t="s">
        <v>1029</v>
      </c>
      <c r="E175" s="49">
        <v>6281253792753</v>
      </c>
      <c r="F175" s="96">
        <v>45832</v>
      </c>
      <c r="G175" s="95">
        <v>216</v>
      </c>
      <c r="H175" s="49" t="s">
        <v>12668</v>
      </c>
      <c r="I175" s="97">
        <v>9645.1612903225796</v>
      </c>
      <c r="J175" s="95">
        <v>7</v>
      </c>
      <c r="K175" s="102">
        <v>2990</v>
      </c>
      <c r="L175" s="95">
        <v>0</v>
      </c>
      <c r="M175" s="95">
        <v>0</v>
      </c>
      <c r="N175" s="95">
        <v>0</v>
      </c>
      <c r="O175" s="49" t="s">
        <v>10913</v>
      </c>
    </row>
    <row r="176" spans="1:15">
      <c r="A176" s="95">
        <v>759724529202804</v>
      </c>
      <c r="B176" s="49" t="s">
        <v>10621</v>
      </c>
      <c r="C176" s="49" t="s">
        <v>10912</v>
      </c>
      <c r="D176" s="49" t="s">
        <v>1029</v>
      </c>
      <c r="E176" s="49">
        <v>6281253792753</v>
      </c>
      <c r="F176" s="96">
        <v>45832</v>
      </c>
      <c r="G176" s="95">
        <v>302</v>
      </c>
      <c r="H176" s="49" t="s">
        <v>12669</v>
      </c>
      <c r="I176" s="97">
        <v>13033.492822966506</v>
      </c>
      <c r="J176" s="95">
        <v>5</v>
      </c>
      <c r="K176" s="102">
        <v>5448</v>
      </c>
      <c r="L176" s="95">
        <v>1</v>
      </c>
      <c r="M176" s="95">
        <v>0</v>
      </c>
      <c r="N176" s="95">
        <v>0</v>
      </c>
      <c r="O176" s="49" t="s">
        <v>10913</v>
      </c>
    </row>
    <row r="177" spans="1:15">
      <c r="A177" s="95">
        <v>759724529202804</v>
      </c>
      <c r="B177" s="49" t="s">
        <v>10621</v>
      </c>
      <c r="C177" s="49" t="s">
        <v>10912</v>
      </c>
      <c r="D177" s="49" t="s">
        <v>1029</v>
      </c>
      <c r="E177" s="49">
        <v>6281253792753</v>
      </c>
      <c r="F177" s="96">
        <v>45832</v>
      </c>
      <c r="G177" s="95">
        <v>193</v>
      </c>
      <c r="H177" s="49" t="s">
        <v>12670</v>
      </c>
      <c r="I177" s="97">
        <v>15912.350597609562</v>
      </c>
      <c r="J177" s="95">
        <v>4</v>
      </c>
      <c r="K177" s="102">
        <v>3994</v>
      </c>
      <c r="L177" s="95">
        <v>0</v>
      </c>
      <c r="M177" s="95">
        <v>0</v>
      </c>
      <c r="N177" s="95">
        <v>0</v>
      </c>
      <c r="O177" s="49" t="s">
        <v>10913</v>
      </c>
    </row>
    <row r="178" spans="1:15">
      <c r="A178" s="95">
        <v>759724529202804</v>
      </c>
      <c r="B178" s="49" t="s">
        <v>10621</v>
      </c>
      <c r="C178" s="49" t="s">
        <v>10912</v>
      </c>
      <c r="D178" s="49" t="s">
        <v>1029</v>
      </c>
      <c r="E178" s="49">
        <v>6281253792753</v>
      </c>
      <c r="F178" s="96">
        <v>45832</v>
      </c>
      <c r="G178" s="95">
        <v>60</v>
      </c>
      <c r="H178" s="49" t="s">
        <v>12671</v>
      </c>
      <c r="I178" s="97">
        <v>13277.777777777779</v>
      </c>
      <c r="J178" s="95">
        <v>0</v>
      </c>
      <c r="K178" s="102">
        <v>1195</v>
      </c>
      <c r="L178" s="95">
        <v>0</v>
      </c>
      <c r="M178" s="95">
        <v>0</v>
      </c>
      <c r="N178" s="95">
        <v>0</v>
      </c>
      <c r="O178" s="49" t="s">
        <v>10913</v>
      </c>
    </row>
    <row r="179" spans="1:15">
      <c r="A179" s="95">
        <v>759724529202804</v>
      </c>
      <c r="B179" s="49" t="s">
        <v>10621</v>
      </c>
      <c r="C179" s="49" t="s">
        <v>10912</v>
      </c>
      <c r="D179" s="49" t="s">
        <v>1029</v>
      </c>
      <c r="E179" s="49">
        <v>6281253792753</v>
      </c>
      <c r="F179" s="96">
        <v>45832</v>
      </c>
      <c r="G179" s="95">
        <v>5</v>
      </c>
      <c r="H179" s="49" t="s">
        <v>12672</v>
      </c>
      <c r="I179" s="97">
        <v>27000</v>
      </c>
      <c r="J179" s="95">
        <v>0</v>
      </c>
      <c r="K179" s="102">
        <v>135</v>
      </c>
      <c r="L179" s="95">
        <v>0</v>
      </c>
      <c r="M179" s="95">
        <v>0</v>
      </c>
      <c r="N179" s="95">
        <v>0</v>
      </c>
      <c r="O179" s="49" t="s">
        <v>10913</v>
      </c>
    </row>
    <row r="180" spans="1:15">
      <c r="A180" s="95">
        <v>759724529202804</v>
      </c>
      <c r="B180" s="49" t="s">
        <v>10621</v>
      </c>
      <c r="C180" s="49" t="s">
        <v>10922</v>
      </c>
      <c r="D180" s="49" t="s">
        <v>1021</v>
      </c>
      <c r="E180" s="49">
        <v>6282122880328</v>
      </c>
      <c r="F180" s="96">
        <v>45832</v>
      </c>
      <c r="G180" s="95">
        <v>16</v>
      </c>
      <c r="H180" s="49" t="s">
        <v>12667</v>
      </c>
      <c r="I180" s="97">
        <v>59222.222222222219</v>
      </c>
      <c r="J180" s="95">
        <v>2</v>
      </c>
      <c r="K180" s="102">
        <v>1066</v>
      </c>
      <c r="L180" s="95">
        <v>0</v>
      </c>
      <c r="M180" s="95">
        <v>0</v>
      </c>
      <c r="N180" s="95">
        <v>0</v>
      </c>
      <c r="O180" s="49" t="s">
        <v>10914</v>
      </c>
    </row>
    <row r="181" spans="1:15">
      <c r="A181" s="95">
        <v>759724529202804</v>
      </c>
      <c r="B181" s="49" t="s">
        <v>10621</v>
      </c>
      <c r="C181" s="49" t="s">
        <v>10922</v>
      </c>
      <c r="D181" s="49" t="s">
        <v>1021</v>
      </c>
      <c r="E181" s="49">
        <v>6282122880328</v>
      </c>
      <c r="F181" s="96">
        <v>45832</v>
      </c>
      <c r="G181" s="95">
        <v>46</v>
      </c>
      <c r="H181" s="49" t="s">
        <v>12668</v>
      </c>
      <c r="I181" s="97">
        <v>48437.5</v>
      </c>
      <c r="J181" s="95">
        <v>3</v>
      </c>
      <c r="K181" s="102">
        <v>2325</v>
      </c>
      <c r="L181" s="95">
        <v>1</v>
      </c>
      <c r="M181" s="95">
        <v>0</v>
      </c>
      <c r="N181" s="95">
        <v>0</v>
      </c>
      <c r="O181" s="49" t="s">
        <v>10914</v>
      </c>
    </row>
    <row r="182" spans="1:15">
      <c r="A182" s="95">
        <v>759724529202804</v>
      </c>
      <c r="B182" s="49" t="s">
        <v>10621</v>
      </c>
      <c r="C182" s="49" t="s">
        <v>10922</v>
      </c>
      <c r="D182" s="49" t="s">
        <v>1021</v>
      </c>
      <c r="E182" s="49">
        <v>6282122880328</v>
      </c>
      <c r="F182" s="96">
        <v>45832</v>
      </c>
      <c r="G182" s="95">
        <v>67</v>
      </c>
      <c r="H182" s="49" t="s">
        <v>12669</v>
      </c>
      <c r="I182" s="97">
        <v>62333.333333333336</v>
      </c>
      <c r="J182" s="95">
        <v>4</v>
      </c>
      <c r="K182" s="102">
        <v>4675</v>
      </c>
      <c r="L182" s="95">
        <v>0</v>
      </c>
      <c r="M182" s="95">
        <v>0</v>
      </c>
      <c r="N182" s="95">
        <v>0</v>
      </c>
      <c r="O182" s="49" t="s">
        <v>10914</v>
      </c>
    </row>
    <row r="183" spans="1:15">
      <c r="A183" s="95">
        <v>759724529202804</v>
      </c>
      <c r="B183" s="49" t="s">
        <v>10621</v>
      </c>
      <c r="C183" s="49" t="s">
        <v>10922</v>
      </c>
      <c r="D183" s="49" t="s">
        <v>1021</v>
      </c>
      <c r="E183" s="49">
        <v>6282122880328</v>
      </c>
      <c r="F183" s="96">
        <v>45832</v>
      </c>
      <c r="G183" s="95">
        <v>64</v>
      </c>
      <c r="H183" s="49" t="s">
        <v>12670</v>
      </c>
      <c r="I183" s="97">
        <v>88632.352941176461</v>
      </c>
      <c r="J183" s="95">
        <v>3</v>
      </c>
      <c r="K183" s="102">
        <v>6027</v>
      </c>
      <c r="L183" s="95">
        <v>0</v>
      </c>
      <c r="M183" s="95">
        <v>0</v>
      </c>
      <c r="N183" s="95">
        <v>0</v>
      </c>
      <c r="O183" s="49" t="s">
        <v>10914</v>
      </c>
    </row>
    <row r="184" spans="1:15">
      <c r="A184" s="95">
        <v>759724529202804</v>
      </c>
      <c r="B184" s="49" t="s">
        <v>10621</v>
      </c>
      <c r="C184" s="49" t="s">
        <v>10922</v>
      </c>
      <c r="D184" s="49" t="s">
        <v>1021</v>
      </c>
      <c r="E184" s="49">
        <v>6282122880328</v>
      </c>
      <c r="F184" s="96">
        <v>45832</v>
      </c>
      <c r="G184" s="95">
        <v>10</v>
      </c>
      <c r="H184" s="49" t="s">
        <v>12671</v>
      </c>
      <c r="I184" s="97">
        <v>45500</v>
      </c>
      <c r="J184" s="95">
        <v>0</v>
      </c>
      <c r="K184" s="102">
        <v>455</v>
      </c>
      <c r="L184" s="95">
        <v>0</v>
      </c>
      <c r="M184" s="95">
        <v>0</v>
      </c>
      <c r="N184" s="95">
        <v>0</v>
      </c>
      <c r="O184" s="49" t="s">
        <v>10914</v>
      </c>
    </row>
    <row r="185" spans="1:15">
      <c r="A185" s="95">
        <v>759724529202804</v>
      </c>
      <c r="B185" s="49" t="s">
        <v>10621</v>
      </c>
      <c r="C185" s="49" t="s">
        <v>10922</v>
      </c>
      <c r="D185" s="49" t="s">
        <v>1021</v>
      </c>
      <c r="E185" s="49">
        <v>6282122880328</v>
      </c>
      <c r="F185" s="96">
        <v>45832</v>
      </c>
      <c r="G185" s="95">
        <v>4</v>
      </c>
      <c r="H185" s="49" t="s">
        <v>12672</v>
      </c>
      <c r="I185" s="97">
        <v>18000</v>
      </c>
      <c r="J185" s="95">
        <v>0</v>
      </c>
      <c r="K185" s="102">
        <v>72</v>
      </c>
      <c r="L185" s="95">
        <v>0</v>
      </c>
      <c r="M185" s="95">
        <v>0</v>
      </c>
      <c r="N185" s="95">
        <v>0</v>
      </c>
      <c r="O185" s="49" t="s">
        <v>10914</v>
      </c>
    </row>
    <row r="186" spans="1:15">
      <c r="A186" s="95">
        <v>759724529202804</v>
      </c>
      <c r="B186" s="49" t="s">
        <v>10621</v>
      </c>
      <c r="C186" s="49" t="s">
        <v>10863</v>
      </c>
      <c r="D186" s="49" t="s">
        <v>10864</v>
      </c>
      <c r="E186" s="49">
        <v>6285180805171</v>
      </c>
      <c r="F186" s="96">
        <v>45832</v>
      </c>
      <c r="G186" s="95">
        <v>115</v>
      </c>
      <c r="H186" s="49" t="s">
        <v>12667</v>
      </c>
      <c r="I186" s="97">
        <v>9687.022900763357</v>
      </c>
      <c r="J186" s="95">
        <v>5</v>
      </c>
      <c r="K186" s="102">
        <v>1269</v>
      </c>
      <c r="L186" s="95">
        <v>0</v>
      </c>
      <c r="M186" s="95">
        <v>32</v>
      </c>
      <c r="N186" s="95">
        <v>0</v>
      </c>
      <c r="O186" s="49" t="s">
        <v>10865</v>
      </c>
    </row>
    <row r="187" spans="1:15">
      <c r="A187" s="95">
        <v>759724529202804</v>
      </c>
      <c r="B187" s="49" t="s">
        <v>10621</v>
      </c>
      <c r="C187" s="49" t="s">
        <v>10863</v>
      </c>
      <c r="D187" s="49" t="s">
        <v>10864</v>
      </c>
      <c r="E187" s="49">
        <v>6285180805171</v>
      </c>
      <c r="F187" s="96">
        <v>45832</v>
      </c>
      <c r="G187" s="95">
        <v>386</v>
      </c>
      <c r="H187" s="49" t="s">
        <v>12668</v>
      </c>
      <c r="I187" s="97">
        <v>8884.782608695652</v>
      </c>
      <c r="J187" s="95">
        <v>8</v>
      </c>
      <c r="K187" s="102">
        <v>4087</v>
      </c>
      <c r="L187" s="95">
        <v>1</v>
      </c>
      <c r="M187" s="95">
        <v>97</v>
      </c>
      <c r="N187" s="95">
        <v>0</v>
      </c>
      <c r="O187" s="49" t="s">
        <v>10865</v>
      </c>
    </row>
    <row r="188" spans="1:15">
      <c r="A188" s="95">
        <v>759724529202804</v>
      </c>
      <c r="B188" s="49" t="s">
        <v>10621</v>
      </c>
      <c r="C188" s="49" t="s">
        <v>10863</v>
      </c>
      <c r="D188" s="49" t="s">
        <v>10864</v>
      </c>
      <c r="E188" s="49">
        <v>6285180805171</v>
      </c>
      <c r="F188" s="96">
        <v>45832</v>
      </c>
      <c r="G188" s="95">
        <v>396</v>
      </c>
      <c r="H188" s="49" t="s">
        <v>12669</v>
      </c>
      <c r="I188" s="97">
        <v>9345.7330415754932</v>
      </c>
      <c r="J188" s="95">
        <v>8</v>
      </c>
      <c r="K188" s="102">
        <v>4271</v>
      </c>
      <c r="L188" s="95">
        <v>0</v>
      </c>
      <c r="M188" s="95">
        <v>149</v>
      </c>
      <c r="N188" s="95">
        <v>0</v>
      </c>
      <c r="O188" s="49" t="s">
        <v>10865</v>
      </c>
    </row>
    <row r="189" spans="1:15">
      <c r="A189" s="95">
        <v>759724529202804</v>
      </c>
      <c r="B189" s="49" t="s">
        <v>10621</v>
      </c>
      <c r="C189" s="49" t="s">
        <v>10863</v>
      </c>
      <c r="D189" s="49" t="s">
        <v>10864</v>
      </c>
      <c r="E189" s="49">
        <v>6285180805171</v>
      </c>
      <c r="F189" s="96">
        <v>45832</v>
      </c>
      <c r="G189" s="95">
        <v>258</v>
      </c>
      <c r="H189" s="49" t="s">
        <v>12670</v>
      </c>
      <c r="I189" s="97">
        <v>14207.017543859649</v>
      </c>
      <c r="J189" s="95">
        <v>3</v>
      </c>
      <c r="K189" s="102">
        <v>4049</v>
      </c>
      <c r="L189" s="95">
        <v>0</v>
      </c>
      <c r="M189" s="95">
        <v>102</v>
      </c>
      <c r="N189" s="95">
        <v>0</v>
      </c>
      <c r="O189" s="49" t="s">
        <v>10865</v>
      </c>
    </row>
    <row r="190" spans="1:15">
      <c r="A190" s="95">
        <v>759724529202804</v>
      </c>
      <c r="B190" s="49" t="s">
        <v>10621</v>
      </c>
      <c r="C190" s="49" t="s">
        <v>10863</v>
      </c>
      <c r="D190" s="49" t="s">
        <v>10864</v>
      </c>
      <c r="E190" s="49">
        <v>6285180805171</v>
      </c>
      <c r="F190" s="96">
        <v>45832</v>
      </c>
      <c r="G190" s="95">
        <v>74</v>
      </c>
      <c r="H190" s="49" t="s">
        <v>12671</v>
      </c>
      <c r="I190" s="97">
        <v>17386.363636363636</v>
      </c>
      <c r="J190" s="95">
        <v>0</v>
      </c>
      <c r="K190" s="102">
        <v>1530</v>
      </c>
      <c r="L190" s="95">
        <v>0</v>
      </c>
      <c r="M190" s="95">
        <v>32</v>
      </c>
      <c r="N190" s="95">
        <v>0</v>
      </c>
      <c r="O190" s="49" t="s">
        <v>10865</v>
      </c>
    </row>
    <row r="191" spans="1:15">
      <c r="A191" s="95">
        <v>759724529202804</v>
      </c>
      <c r="B191" s="49" t="s">
        <v>10621</v>
      </c>
      <c r="C191" s="49" t="s">
        <v>10863</v>
      </c>
      <c r="D191" s="49" t="s">
        <v>10864</v>
      </c>
      <c r="E191" s="49">
        <v>6285180805171</v>
      </c>
      <c r="F191" s="96">
        <v>45832</v>
      </c>
      <c r="G191" s="95">
        <v>27</v>
      </c>
      <c r="H191" s="49" t="s">
        <v>12672</v>
      </c>
      <c r="I191" s="97">
        <v>14566.666666666666</v>
      </c>
      <c r="J191" s="95">
        <v>2</v>
      </c>
      <c r="K191" s="102">
        <v>437</v>
      </c>
      <c r="L191" s="95">
        <v>0</v>
      </c>
      <c r="M191" s="95">
        <v>11</v>
      </c>
      <c r="N191" s="95">
        <v>0</v>
      </c>
      <c r="O191" s="49" t="s">
        <v>10865</v>
      </c>
    </row>
    <row r="192" spans="1:15">
      <c r="A192" s="95">
        <v>759724529202804</v>
      </c>
      <c r="B192" s="49" t="s">
        <v>10621</v>
      </c>
      <c r="C192" s="49" t="s">
        <v>10850</v>
      </c>
      <c r="D192" s="49" t="s">
        <v>10851</v>
      </c>
      <c r="E192" s="49">
        <v>6282125465047</v>
      </c>
      <c r="F192" s="96">
        <v>45832</v>
      </c>
      <c r="G192" s="95">
        <v>17</v>
      </c>
      <c r="H192" s="49" t="s">
        <v>12667</v>
      </c>
      <c r="I192" s="97">
        <v>7684.2105263157891</v>
      </c>
      <c r="J192" s="95">
        <v>0</v>
      </c>
      <c r="K192" s="102">
        <v>146</v>
      </c>
      <c r="L192" s="95">
        <v>0</v>
      </c>
      <c r="M192" s="95">
        <v>6</v>
      </c>
      <c r="N192" s="95">
        <v>0</v>
      </c>
      <c r="O192" s="49" t="s">
        <v>10852</v>
      </c>
    </row>
    <row r="193" spans="1:15">
      <c r="A193" s="95">
        <v>759724529202804</v>
      </c>
      <c r="B193" s="49" t="s">
        <v>10621</v>
      </c>
      <c r="C193" s="49" t="s">
        <v>10850</v>
      </c>
      <c r="D193" s="49" t="s">
        <v>10851</v>
      </c>
      <c r="E193" s="49">
        <v>6282125465047</v>
      </c>
      <c r="F193" s="96">
        <v>45832</v>
      </c>
      <c r="G193" s="95">
        <v>60</v>
      </c>
      <c r="H193" s="49" t="s">
        <v>12668</v>
      </c>
      <c r="I193" s="97">
        <v>13701.492537313432</v>
      </c>
      <c r="J193" s="95">
        <v>0</v>
      </c>
      <c r="K193" s="102">
        <v>918</v>
      </c>
      <c r="L193" s="95">
        <v>0</v>
      </c>
      <c r="M193" s="95">
        <v>16</v>
      </c>
      <c r="N193" s="95">
        <v>0</v>
      </c>
      <c r="O193" s="49" t="s">
        <v>10852</v>
      </c>
    </row>
    <row r="194" spans="1:15">
      <c r="A194" s="95">
        <v>759724529202804</v>
      </c>
      <c r="B194" s="49" t="s">
        <v>10621</v>
      </c>
      <c r="C194" s="49" t="s">
        <v>10850</v>
      </c>
      <c r="D194" s="49" t="s">
        <v>10851</v>
      </c>
      <c r="E194" s="49">
        <v>6282125465047</v>
      </c>
      <c r="F194" s="96">
        <v>45832</v>
      </c>
      <c r="G194" s="95">
        <v>114</v>
      </c>
      <c r="H194" s="49" t="s">
        <v>12669</v>
      </c>
      <c r="I194" s="97">
        <v>8925.6198347107438</v>
      </c>
      <c r="J194" s="95">
        <v>4</v>
      </c>
      <c r="K194" s="102">
        <v>1080</v>
      </c>
      <c r="L194" s="95">
        <v>1</v>
      </c>
      <c r="M194" s="95">
        <v>32</v>
      </c>
      <c r="N194" s="95">
        <v>0</v>
      </c>
      <c r="O194" s="49" t="s">
        <v>10852</v>
      </c>
    </row>
    <row r="195" spans="1:15">
      <c r="A195" s="95">
        <v>759724529202804</v>
      </c>
      <c r="B195" s="49" t="s">
        <v>10621</v>
      </c>
      <c r="C195" s="49" t="s">
        <v>10850</v>
      </c>
      <c r="D195" s="49" t="s">
        <v>10851</v>
      </c>
      <c r="E195" s="49">
        <v>6282125465047</v>
      </c>
      <c r="F195" s="96">
        <v>45832</v>
      </c>
      <c r="G195" s="95">
        <v>208</v>
      </c>
      <c r="H195" s="49" t="s">
        <v>12670</v>
      </c>
      <c r="I195" s="97">
        <v>14352.422907488986</v>
      </c>
      <c r="J195" s="95">
        <v>13</v>
      </c>
      <c r="K195" s="102">
        <v>3258</v>
      </c>
      <c r="L195" s="95">
        <v>3</v>
      </c>
      <c r="M195" s="95">
        <v>76</v>
      </c>
      <c r="N195" s="95">
        <v>0</v>
      </c>
      <c r="O195" s="49" t="s">
        <v>10852</v>
      </c>
    </row>
    <row r="196" spans="1:15">
      <c r="A196" s="95">
        <v>759724529202804</v>
      </c>
      <c r="B196" s="49" t="s">
        <v>10621</v>
      </c>
      <c r="C196" s="49" t="s">
        <v>10850</v>
      </c>
      <c r="D196" s="49" t="s">
        <v>10851</v>
      </c>
      <c r="E196" s="49">
        <v>6282125465047</v>
      </c>
      <c r="F196" s="96">
        <v>45832</v>
      </c>
      <c r="G196" s="95">
        <v>236</v>
      </c>
      <c r="H196" s="49" t="s">
        <v>12671</v>
      </c>
      <c r="I196" s="97">
        <v>22078.358208955222</v>
      </c>
      <c r="J196" s="95">
        <v>15</v>
      </c>
      <c r="K196" s="102">
        <v>5917</v>
      </c>
      <c r="L196" s="95">
        <v>4</v>
      </c>
      <c r="M196" s="95">
        <v>89</v>
      </c>
      <c r="N196" s="95">
        <v>0</v>
      </c>
      <c r="O196" s="49" t="s">
        <v>10852</v>
      </c>
    </row>
    <row r="197" spans="1:15">
      <c r="A197" s="95">
        <v>759724529202804</v>
      </c>
      <c r="B197" s="49" t="s">
        <v>10621</v>
      </c>
      <c r="C197" s="49" t="s">
        <v>10850</v>
      </c>
      <c r="D197" s="49" t="s">
        <v>10851</v>
      </c>
      <c r="E197" s="49">
        <v>6282125465047</v>
      </c>
      <c r="F197" s="96">
        <v>45832</v>
      </c>
      <c r="G197" s="95">
        <v>165</v>
      </c>
      <c r="H197" s="49" t="s">
        <v>12672</v>
      </c>
      <c r="I197" s="97">
        <v>25145.077720207253</v>
      </c>
      <c r="J197" s="95">
        <v>14</v>
      </c>
      <c r="K197" s="102">
        <v>4853</v>
      </c>
      <c r="L197" s="95">
        <v>1</v>
      </c>
      <c r="M197" s="95">
        <v>74</v>
      </c>
      <c r="N197" s="95">
        <v>2</v>
      </c>
      <c r="O197" s="49" t="s">
        <v>10852</v>
      </c>
    </row>
    <row r="198" spans="1:15">
      <c r="A198" s="95">
        <v>759724529202804</v>
      </c>
      <c r="B198" s="49" t="s">
        <v>10621</v>
      </c>
      <c r="C198" s="49" t="s">
        <v>10890</v>
      </c>
      <c r="D198" s="49" t="s">
        <v>450</v>
      </c>
      <c r="E198" s="49">
        <v>62895401448273</v>
      </c>
      <c r="F198" s="96">
        <v>45832</v>
      </c>
      <c r="G198" s="95">
        <v>53</v>
      </c>
      <c r="H198" s="49" t="s">
        <v>12667</v>
      </c>
      <c r="I198" s="97">
        <v>15716.216216216215</v>
      </c>
      <c r="J198" s="95">
        <v>2</v>
      </c>
      <c r="K198" s="102">
        <v>1163</v>
      </c>
      <c r="L198" s="95">
        <v>0</v>
      </c>
      <c r="M198" s="95">
        <v>0</v>
      </c>
      <c r="N198" s="95">
        <v>0</v>
      </c>
      <c r="O198" s="49" t="s">
        <v>10891</v>
      </c>
    </row>
    <row r="199" spans="1:15">
      <c r="A199" s="95">
        <v>759724529202804</v>
      </c>
      <c r="B199" s="49" t="s">
        <v>10621</v>
      </c>
      <c r="C199" s="49" t="s">
        <v>10890</v>
      </c>
      <c r="D199" s="49" t="s">
        <v>450</v>
      </c>
      <c r="E199" s="49">
        <v>62895401448273</v>
      </c>
      <c r="F199" s="96">
        <v>45832</v>
      </c>
      <c r="G199" s="95">
        <v>174</v>
      </c>
      <c r="H199" s="49" t="s">
        <v>12668</v>
      </c>
      <c r="I199" s="97">
        <v>18215.517241379308</v>
      </c>
      <c r="J199" s="95">
        <v>4</v>
      </c>
      <c r="K199" s="102">
        <v>4226</v>
      </c>
      <c r="L199" s="95">
        <v>0</v>
      </c>
      <c r="M199" s="95">
        <v>0</v>
      </c>
      <c r="N199" s="95">
        <v>0</v>
      </c>
      <c r="O199" s="49" t="s">
        <v>10891</v>
      </c>
    </row>
    <row r="200" spans="1:15">
      <c r="A200" s="95">
        <v>759724529202804</v>
      </c>
      <c r="B200" s="49" t="s">
        <v>10621</v>
      </c>
      <c r="C200" s="49" t="s">
        <v>10890</v>
      </c>
      <c r="D200" s="49" t="s">
        <v>450</v>
      </c>
      <c r="E200" s="49">
        <v>62895401448273</v>
      </c>
      <c r="F200" s="96">
        <v>45832</v>
      </c>
      <c r="G200" s="95">
        <v>182</v>
      </c>
      <c r="H200" s="49" t="s">
        <v>12669</v>
      </c>
      <c r="I200" s="97">
        <v>23456.603773584906</v>
      </c>
      <c r="J200" s="95">
        <v>9</v>
      </c>
      <c r="K200" s="102">
        <v>6216</v>
      </c>
      <c r="L200" s="95">
        <v>1</v>
      </c>
      <c r="M200" s="95">
        <v>0</v>
      </c>
      <c r="N200" s="95">
        <v>0</v>
      </c>
      <c r="O200" s="49" t="s">
        <v>10891</v>
      </c>
    </row>
    <row r="201" spans="1:15">
      <c r="A201" s="95">
        <v>759724529202804</v>
      </c>
      <c r="B201" s="49" t="s">
        <v>10621</v>
      </c>
      <c r="C201" s="49" t="s">
        <v>10890</v>
      </c>
      <c r="D201" s="49" t="s">
        <v>450</v>
      </c>
      <c r="E201" s="49">
        <v>62895401448273</v>
      </c>
      <c r="F201" s="96">
        <v>45832</v>
      </c>
      <c r="G201" s="95">
        <v>94</v>
      </c>
      <c r="H201" s="49" t="s">
        <v>12670</v>
      </c>
      <c r="I201" s="97">
        <v>30592.307692307691</v>
      </c>
      <c r="J201" s="95">
        <v>7</v>
      </c>
      <c r="K201" s="102">
        <v>3977</v>
      </c>
      <c r="L201" s="95">
        <v>0</v>
      </c>
      <c r="M201" s="95">
        <v>0</v>
      </c>
      <c r="N201" s="95">
        <v>0</v>
      </c>
      <c r="O201" s="49" t="s">
        <v>10891</v>
      </c>
    </row>
    <row r="202" spans="1:15">
      <c r="A202" s="95">
        <v>759724529202804</v>
      </c>
      <c r="B202" s="49" t="s">
        <v>10621</v>
      </c>
      <c r="C202" s="49" t="s">
        <v>10890</v>
      </c>
      <c r="D202" s="49" t="s">
        <v>450</v>
      </c>
      <c r="E202" s="49">
        <v>62895401448273</v>
      </c>
      <c r="F202" s="96">
        <v>45832</v>
      </c>
      <c r="G202" s="95">
        <v>31</v>
      </c>
      <c r="H202" s="49" t="s">
        <v>12671</v>
      </c>
      <c r="I202" s="97">
        <v>26735.294117647059</v>
      </c>
      <c r="J202" s="95">
        <v>2</v>
      </c>
      <c r="K202" s="102">
        <v>909</v>
      </c>
      <c r="L202" s="95">
        <v>0</v>
      </c>
      <c r="M202" s="95">
        <v>0</v>
      </c>
      <c r="N202" s="95">
        <v>0</v>
      </c>
      <c r="O202" s="49" t="s">
        <v>10891</v>
      </c>
    </row>
    <row r="203" spans="1:15">
      <c r="A203" s="95">
        <v>759724529202804</v>
      </c>
      <c r="B203" s="49" t="s">
        <v>10621</v>
      </c>
      <c r="C203" s="49" t="s">
        <v>10890</v>
      </c>
      <c r="D203" s="49" t="s">
        <v>450</v>
      </c>
      <c r="E203" s="49">
        <v>62895401448273</v>
      </c>
      <c r="F203" s="96">
        <v>45832</v>
      </c>
      <c r="G203" s="95">
        <v>14</v>
      </c>
      <c r="H203" s="49" t="s">
        <v>12672</v>
      </c>
      <c r="I203" s="97">
        <v>15650</v>
      </c>
      <c r="J203" s="95">
        <v>0</v>
      </c>
      <c r="K203" s="102">
        <v>313</v>
      </c>
      <c r="L203" s="95">
        <v>0</v>
      </c>
      <c r="M203" s="95">
        <v>0</v>
      </c>
      <c r="N203" s="95">
        <v>0</v>
      </c>
      <c r="O203" s="49" t="s">
        <v>10891</v>
      </c>
    </row>
    <row r="204" spans="1:15">
      <c r="A204" s="95">
        <v>759724529202804</v>
      </c>
      <c r="B204" s="49" t="s">
        <v>10621</v>
      </c>
      <c r="C204" s="49" t="s">
        <v>332</v>
      </c>
      <c r="D204" s="49" t="s">
        <v>10708</v>
      </c>
      <c r="E204" s="49">
        <v>6282350524788</v>
      </c>
      <c r="F204" s="96">
        <v>45832</v>
      </c>
      <c r="G204" s="95">
        <v>43</v>
      </c>
      <c r="H204" s="49" t="s">
        <v>12667</v>
      </c>
      <c r="I204" s="97">
        <v>17350.877192982454</v>
      </c>
      <c r="J204" s="95">
        <v>2</v>
      </c>
      <c r="K204" s="102">
        <v>989</v>
      </c>
      <c r="L204" s="95">
        <v>0</v>
      </c>
      <c r="M204" s="95">
        <v>0</v>
      </c>
      <c r="N204" s="95">
        <v>0</v>
      </c>
      <c r="O204" s="49" t="s">
        <v>10709</v>
      </c>
    </row>
    <row r="205" spans="1:15">
      <c r="A205" s="95">
        <v>759724529202804</v>
      </c>
      <c r="B205" s="49" t="s">
        <v>10621</v>
      </c>
      <c r="C205" s="49" t="s">
        <v>332</v>
      </c>
      <c r="D205" s="49" t="s">
        <v>10708</v>
      </c>
      <c r="E205" s="49">
        <v>6282350524788</v>
      </c>
      <c r="F205" s="96">
        <v>45832</v>
      </c>
      <c r="G205" s="95">
        <v>243</v>
      </c>
      <c r="H205" s="49" t="s">
        <v>12668</v>
      </c>
      <c r="I205" s="97">
        <v>12832.786885245901</v>
      </c>
      <c r="J205" s="95">
        <v>17</v>
      </c>
      <c r="K205" s="102">
        <v>3914</v>
      </c>
      <c r="L205" s="95">
        <v>1</v>
      </c>
      <c r="M205" s="95">
        <v>3</v>
      </c>
      <c r="N205" s="95">
        <v>0</v>
      </c>
      <c r="O205" s="49" t="s">
        <v>10709</v>
      </c>
    </row>
    <row r="206" spans="1:15">
      <c r="A206" s="95">
        <v>759724529202804</v>
      </c>
      <c r="B206" s="49" t="s">
        <v>10621</v>
      </c>
      <c r="C206" s="49" t="s">
        <v>332</v>
      </c>
      <c r="D206" s="49" t="s">
        <v>10708</v>
      </c>
      <c r="E206" s="49">
        <v>6282350524788</v>
      </c>
      <c r="F206" s="96">
        <v>45832</v>
      </c>
      <c r="G206" s="95">
        <v>235</v>
      </c>
      <c r="H206" s="49" t="s">
        <v>12669</v>
      </c>
      <c r="I206" s="97">
        <v>15474.820143884892</v>
      </c>
      <c r="J206" s="95">
        <v>10</v>
      </c>
      <c r="K206" s="102">
        <v>4302</v>
      </c>
      <c r="L206" s="95">
        <v>2</v>
      </c>
      <c r="M206" s="95">
        <v>0</v>
      </c>
      <c r="N206" s="95">
        <v>0</v>
      </c>
      <c r="O206" s="49" t="s">
        <v>10709</v>
      </c>
    </row>
    <row r="207" spans="1:15">
      <c r="A207" s="95">
        <v>759724529202804</v>
      </c>
      <c r="B207" s="49" t="s">
        <v>10621</v>
      </c>
      <c r="C207" s="49" t="s">
        <v>332</v>
      </c>
      <c r="D207" s="49" t="s">
        <v>10708</v>
      </c>
      <c r="E207" s="49">
        <v>6282350524788</v>
      </c>
      <c r="F207" s="96">
        <v>45832</v>
      </c>
      <c r="G207" s="95">
        <v>176</v>
      </c>
      <c r="H207" s="49" t="s">
        <v>12670</v>
      </c>
      <c r="I207" s="97">
        <v>16820.627802690586</v>
      </c>
      <c r="J207" s="95">
        <v>7</v>
      </c>
      <c r="K207" s="102">
        <v>3751</v>
      </c>
      <c r="L207" s="95">
        <v>0</v>
      </c>
      <c r="M207" s="95">
        <v>1</v>
      </c>
      <c r="N207" s="95">
        <v>0</v>
      </c>
      <c r="O207" s="49" t="s">
        <v>10709</v>
      </c>
    </row>
    <row r="208" spans="1:15">
      <c r="A208" s="95">
        <v>759724529202804</v>
      </c>
      <c r="B208" s="49" t="s">
        <v>10621</v>
      </c>
      <c r="C208" s="49" t="s">
        <v>332</v>
      </c>
      <c r="D208" s="49" t="s">
        <v>10708</v>
      </c>
      <c r="E208" s="49">
        <v>6282350524788</v>
      </c>
      <c r="F208" s="96">
        <v>45832</v>
      </c>
      <c r="G208" s="95">
        <v>64</v>
      </c>
      <c r="H208" s="49" t="s">
        <v>12671</v>
      </c>
      <c r="I208" s="97">
        <v>21779.220779220777</v>
      </c>
      <c r="J208" s="95">
        <v>2</v>
      </c>
      <c r="K208" s="102">
        <v>1677</v>
      </c>
      <c r="L208" s="95">
        <v>1</v>
      </c>
      <c r="M208" s="95">
        <v>1</v>
      </c>
      <c r="N208" s="95">
        <v>0</v>
      </c>
      <c r="O208" s="49" t="s">
        <v>10709</v>
      </c>
    </row>
    <row r="209" spans="1:15">
      <c r="A209" s="95">
        <v>759724529202804</v>
      </c>
      <c r="B209" s="49" t="s">
        <v>10621</v>
      </c>
      <c r="C209" s="49" t="s">
        <v>332</v>
      </c>
      <c r="D209" s="49" t="s">
        <v>10708</v>
      </c>
      <c r="E209" s="49">
        <v>6282350524788</v>
      </c>
      <c r="F209" s="96">
        <v>45832</v>
      </c>
      <c r="G209" s="95">
        <v>20</v>
      </c>
      <c r="H209" s="49" t="s">
        <v>12672</v>
      </c>
      <c r="I209" s="97">
        <v>13904.761904761905</v>
      </c>
      <c r="J209" s="95">
        <v>1</v>
      </c>
      <c r="K209" s="102">
        <v>292</v>
      </c>
      <c r="L209" s="95">
        <v>0</v>
      </c>
      <c r="M209" s="95">
        <v>0</v>
      </c>
      <c r="N209" s="95">
        <v>0</v>
      </c>
      <c r="O209" s="49" t="s">
        <v>10709</v>
      </c>
    </row>
    <row r="210" spans="1:15">
      <c r="A210" s="95">
        <v>759724529202804</v>
      </c>
      <c r="B210" s="49" t="s">
        <v>10621</v>
      </c>
      <c r="C210" s="49" t="s">
        <v>665</v>
      </c>
      <c r="D210" s="49" t="s">
        <v>659</v>
      </c>
      <c r="E210" s="49">
        <v>6285757057088</v>
      </c>
      <c r="F210" s="96">
        <v>45832</v>
      </c>
      <c r="G210" s="95">
        <v>238</v>
      </c>
      <c r="H210" s="49" t="s">
        <v>12668</v>
      </c>
      <c r="I210" s="97">
        <v>13140.575079872206</v>
      </c>
      <c r="J210" s="95">
        <v>10</v>
      </c>
      <c r="K210" s="102">
        <v>4113</v>
      </c>
      <c r="L210" s="95">
        <v>0</v>
      </c>
      <c r="M210" s="95">
        <v>0</v>
      </c>
      <c r="N210" s="95">
        <v>0</v>
      </c>
      <c r="O210" s="49" t="s">
        <v>10636</v>
      </c>
    </row>
    <row r="211" spans="1:15">
      <c r="A211" s="95">
        <v>759724529202804</v>
      </c>
      <c r="B211" s="49" t="s">
        <v>10621</v>
      </c>
      <c r="C211" s="49" t="s">
        <v>665</v>
      </c>
      <c r="D211" s="49" t="s">
        <v>659</v>
      </c>
      <c r="E211" s="49">
        <v>6285757057088</v>
      </c>
      <c r="F211" s="96">
        <v>45832</v>
      </c>
      <c r="G211" s="95">
        <v>248</v>
      </c>
      <c r="H211" s="49" t="s">
        <v>12669</v>
      </c>
      <c r="I211" s="97">
        <v>19033.333333333336</v>
      </c>
      <c r="J211" s="95">
        <v>9</v>
      </c>
      <c r="K211" s="102">
        <v>5710</v>
      </c>
      <c r="L211" s="95">
        <v>0</v>
      </c>
      <c r="M211" s="95">
        <v>0</v>
      </c>
      <c r="N211" s="95">
        <v>1</v>
      </c>
      <c r="O211" s="49" t="s">
        <v>10636</v>
      </c>
    </row>
    <row r="212" spans="1:15">
      <c r="A212" s="95">
        <v>759724529202804</v>
      </c>
      <c r="B212" s="49" t="s">
        <v>10621</v>
      </c>
      <c r="C212" s="49" t="s">
        <v>665</v>
      </c>
      <c r="D212" s="49" t="s">
        <v>659</v>
      </c>
      <c r="E212" s="49">
        <v>6285757057088</v>
      </c>
      <c r="F212" s="96">
        <v>45832</v>
      </c>
      <c r="G212" s="95">
        <v>130</v>
      </c>
      <c r="H212" s="49" t="s">
        <v>12670</v>
      </c>
      <c r="I212" s="97">
        <v>24487.012987012989</v>
      </c>
      <c r="J212" s="95">
        <v>6</v>
      </c>
      <c r="K212" s="102">
        <v>3771</v>
      </c>
      <c r="L212" s="95">
        <v>1</v>
      </c>
      <c r="M212" s="95">
        <v>0</v>
      </c>
      <c r="N212" s="95">
        <v>0</v>
      </c>
      <c r="O212" s="49" t="s">
        <v>10636</v>
      </c>
    </row>
    <row r="213" spans="1:15">
      <c r="A213" s="95">
        <v>759724529202804</v>
      </c>
      <c r="B213" s="49" t="s">
        <v>10621</v>
      </c>
      <c r="C213" s="49" t="s">
        <v>665</v>
      </c>
      <c r="D213" s="49" t="s">
        <v>659</v>
      </c>
      <c r="E213" s="49">
        <v>6285757057088</v>
      </c>
      <c r="F213" s="96">
        <v>45832</v>
      </c>
      <c r="G213" s="95">
        <v>37</v>
      </c>
      <c r="H213" s="49" t="s">
        <v>12671</v>
      </c>
      <c r="I213" s="97">
        <v>23181.818181818184</v>
      </c>
      <c r="J213" s="95">
        <v>0</v>
      </c>
      <c r="K213" s="102">
        <v>1020</v>
      </c>
      <c r="L213" s="95">
        <v>0</v>
      </c>
      <c r="M213" s="95">
        <v>0</v>
      </c>
      <c r="N213" s="95">
        <v>0</v>
      </c>
      <c r="O213" s="49" t="s">
        <v>10636</v>
      </c>
    </row>
    <row r="214" spans="1:15">
      <c r="A214" s="95">
        <v>759724529202804</v>
      </c>
      <c r="B214" s="49" t="s">
        <v>10621</v>
      </c>
      <c r="C214" s="49" t="s">
        <v>665</v>
      </c>
      <c r="D214" s="49" t="s">
        <v>659</v>
      </c>
      <c r="E214" s="49">
        <v>6285757057088</v>
      </c>
      <c r="F214" s="96">
        <v>45832</v>
      </c>
      <c r="G214" s="95">
        <v>16</v>
      </c>
      <c r="H214" s="49" t="s">
        <v>12672</v>
      </c>
      <c r="I214" s="97">
        <v>25285.714285714286</v>
      </c>
      <c r="J214" s="95">
        <v>0</v>
      </c>
      <c r="K214" s="102">
        <v>531</v>
      </c>
      <c r="L214" s="95">
        <v>0</v>
      </c>
      <c r="M214" s="95">
        <v>0</v>
      </c>
      <c r="N214" s="95">
        <v>0</v>
      </c>
      <c r="O214" s="49" t="s">
        <v>10636</v>
      </c>
    </row>
    <row r="215" spans="1:15">
      <c r="A215" s="95">
        <v>174904221976312</v>
      </c>
      <c r="B215" s="49" t="s">
        <v>10651</v>
      </c>
      <c r="C215" s="49" t="s">
        <v>10915</v>
      </c>
      <c r="D215" s="49" t="s">
        <v>10674</v>
      </c>
      <c r="E215" s="49">
        <v>6282183184641</v>
      </c>
      <c r="F215" s="96">
        <v>45832</v>
      </c>
      <c r="G215" s="95">
        <v>3</v>
      </c>
      <c r="H215" s="49" t="s">
        <v>12667</v>
      </c>
      <c r="I215" s="97">
        <v>7000</v>
      </c>
      <c r="J215" s="95">
        <v>0</v>
      </c>
      <c r="K215" s="102">
        <v>21</v>
      </c>
      <c r="L215" s="95">
        <v>0</v>
      </c>
      <c r="M215" s="95">
        <v>0</v>
      </c>
      <c r="N215" s="95">
        <v>0</v>
      </c>
      <c r="O215" s="49" t="s">
        <v>10675</v>
      </c>
    </row>
    <row r="216" spans="1:15">
      <c r="A216" s="95">
        <v>174904221976312</v>
      </c>
      <c r="B216" s="49" t="s">
        <v>10651</v>
      </c>
      <c r="C216" s="49" t="s">
        <v>10915</v>
      </c>
      <c r="D216" s="49" t="s">
        <v>10674</v>
      </c>
      <c r="E216" s="49">
        <v>6282183184641</v>
      </c>
      <c r="F216" s="96">
        <v>45832</v>
      </c>
      <c r="G216" s="95">
        <v>116</v>
      </c>
      <c r="H216" s="49" t="s">
        <v>12668</v>
      </c>
      <c r="I216" s="97">
        <v>14216</v>
      </c>
      <c r="J216" s="95">
        <v>2</v>
      </c>
      <c r="K216" s="102">
        <v>1777</v>
      </c>
      <c r="L216" s="95">
        <v>1</v>
      </c>
      <c r="M216" s="95">
        <v>17</v>
      </c>
      <c r="N216" s="95">
        <v>0</v>
      </c>
      <c r="O216" s="49" t="s">
        <v>10675</v>
      </c>
    </row>
    <row r="217" spans="1:15">
      <c r="A217" s="95">
        <v>174904221976312</v>
      </c>
      <c r="B217" s="49" t="s">
        <v>10651</v>
      </c>
      <c r="C217" s="49" t="s">
        <v>10915</v>
      </c>
      <c r="D217" s="49" t="s">
        <v>10674</v>
      </c>
      <c r="E217" s="49">
        <v>6282183184641</v>
      </c>
      <c r="F217" s="96">
        <v>45832</v>
      </c>
      <c r="G217" s="95">
        <v>134</v>
      </c>
      <c r="H217" s="49" t="s">
        <v>12669</v>
      </c>
      <c r="I217" s="97">
        <v>12797.297297297297</v>
      </c>
      <c r="J217" s="95">
        <v>3</v>
      </c>
      <c r="K217" s="102">
        <v>1894</v>
      </c>
      <c r="L217" s="95">
        <v>1</v>
      </c>
      <c r="M217" s="95">
        <v>17</v>
      </c>
      <c r="N217" s="95">
        <v>0</v>
      </c>
      <c r="O217" s="49" t="s">
        <v>10675</v>
      </c>
    </row>
    <row r="218" spans="1:15">
      <c r="A218" s="95">
        <v>174904221976312</v>
      </c>
      <c r="B218" s="49" t="s">
        <v>10651</v>
      </c>
      <c r="C218" s="49" t="s">
        <v>10915</v>
      </c>
      <c r="D218" s="49" t="s">
        <v>10674</v>
      </c>
      <c r="E218" s="49">
        <v>6282183184641</v>
      </c>
      <c r="F218" s="96">
        <v>45832</v>
      </c>
      <c r="G218" s="95">
        <v>113</v>
      </c>
      <c r="H218" s="49" t="s">
        <v>12670</v>
      </c>
      <c r="I218" s="97">
        <v>20823.529411764706</v>
      </c>
      <c r="J218" s="95">
        <v>2</v>
      </c>
      <c r="K218" s="102">
        <v>2478</v>
      </c>
      <c r="L218" s="95">
        <v>0</v>
      </c>
      <c r="M218" s="95">
        <v>23</v>
      </c>
      <c r="N218" s="95">
        <v>0</v>
      </c>
      <c r="O218" s="49" t="s">
        <v>10675</v>
      </c>
    </row>
    <row r="219" spans="1:15">
      <c r="A219" s="95">
        <v>174904221976312</v>
      </c>
      <c r="B219" s="49" t="s">
        <v>10651</v>
      </c>
      <c r="C219" s="49" t="s">
        <v>10915</v>
      </c>
      <c r="D219" s="49" t="s">
        <v>10674</v>
      </c>
      <c r="E219" s="49">
        <v>6282183184641</v>
      </c>
      <c r="F219" s="96">
        <v>45832</v>
      </c>
      <c r="G219" s="95">
        <v>17</v>
      </c>
      <c r="H219" s="49" t="s">
        <v>12671</v>
      </c>
      <c r="I219" s="97">
        <v>25882.352941176472</v>
      </c>
      <c r="J219" s="95">
        <v>1</v>
      </c>
      <c r="K219" s="102">
        <v>440</v>
      </c>
      <c r="L219" s="95">
        <v>0</v>
      </c>
      <c r="M219" s="95">
        <v>3</v>
      </c>
      <c r="N219" s="95">
        <v>0</v>
      </c>
      <c r="O219" s="49" t="s">
        <v>10675</v>
      </c>
    </row>
    <row r="220" spans="1:15">
      <c r="A220" s="95">
        <v>174904221976312</v>
      </c>
      <c r="B220" s="49" t="s">
        <v>10651</v>
      </c>
      <c r="C220" s="49" t="s">
        <v>10915</v>
      </c>
      <c r="D220" s="49" t="s">
        <v>10674</v>
      </c>
      <c r="E220" s="49">
        <v>6282183184641</v>
      </c>
      <c r="F220" s="96">
        <v>45832</v>
      </c>
      <c r="G220" s="95">
        <v>2</v>
      </c>
      <c r="H220" s="49" t="s">
        <v>12672</v>
      </c>
      <c r="I220" s="97">
        <v>61500</v>
      </c>
      <c r="J220" s="95">
        <v>0</v>
      </c>
      <c r="K220" s="102">
        <v>123</v>
      </c>
      <c r="L220" s="95">
        <v>0</v>
      </c>
      <c r="M220" s="95">
        <v>1</v>
      </c>
      <c r="N220" s="95">
        <v>0</v>
      </c>
      <c r="O220" s="49" t="s">
        <v>10675</v>
      </c>
    </row>
    <row r="221" spans="1:15">
      <c r="A221" s="95">
        <v>174904221976312</v>
      </c>
      <c r="B221" s="49" t="s">
        <v>10651</v>
      </c>
      <c r="C221" s="49" t="s">
        <v>10892</v>
      </c>
      <c r="D221" s="49" t="s">
        <v>10893</v>
      </c>
      <c r="E221" s="49">
        <v>6282399721881</v>
      </c>
      <c r="F221" s="96">
        <v>45832</v>
      </c>
      <c r="G221" s="95">
        <v>39</v>
      </c>
      <c r="H221" s="49" t="s">
        <v>12667</v>
      </c>
      <c r="I221" s="97">
        <v>6682.9268292682927</v>
      </c>
      <c r="J221" s="95">
        <v>0</v>
      </c>
      <c r="K221" s="102">
        <v>274</v>
      </c>
      <c r="L221" s="95">
        <v>0</v>
      </c>
      <c r="M221" s="95">
        <v>13</v>
      </c>
      <c r="N221" s="95">
        <v>0</v>
      </c>
      <c r="O221" s="49" t="s">
        <v>10894</v>
      </c>
    </row>
    <row r="222" spans="1:15">
      <c r="A222" s="95">
        <v>174904221976312</v>
      </c>
      <c r="B222" s="49" t="s">
        <v>10651</v>
      </c>
      <c r="C222" s="49" t="s">
        <v>10892</v>
      </c>
      <c r="D222" s="49" t="s">
        <v>10893</v>
      </c>
      <c r="E222" s="49">
        <v>6282399721881</v>
      </c>
      <c r="F222" s="96">
        <v>45832</v>
      </c>
      <c r="G222" s="95">
        <v>181</v>
      </c>
      <c r="H222" s="49" t="s">
        <v>12668</v>
      </c>
      <c r="I222" s="97">
        <v>9909.4650205761318</v>
      </c>
      <c r="J222" s="95">
        <v>3</v>
      </c>
      <c r="K222" s="102">
        <v>2408</v>
      </c>
      <c r="L222" s="95">
        <v>0</v>
      </c>
      <c r="M222" s="95">
        <v>67</v>
      </c>
      <c r="N222" s="95">
        <v>0</v>
      </c>
      <c r="O222" s="49" t="s">
        <v>10894</v>
      </c>
    </row>
    <row r="223" spans="1:15">
      <c r="A223" s="95">
        <v>174904221976312</v>
      </c>
      <c r="B223" s="49" t="s">
        <v>10651</v>
      </c>
      <c r="C223" s="49" t="s">
        <v>10892</v>
      </c>
      <c r="D223" s="49" t="s">
        <v>10893</v>
      </c>
      <c r="E223" s="49">
        <v>6282399721881</v>
      </c>
      <c r="F223" s="96">
        <v>45832</v>
      </c>
      <c r="G223" s="95">
        <v>289</v>
      </c>
      <c r="H223" s="49" t="s">
        <v>12669</v>
      </c>
      <c r="I223" s="97">
        <v>8397.3684210526317</v>
      </c>
      <c r="J223" s="95">
        <v>6</v>
      </c>
      <c r="K223" s="102">
        <v>3191</v>
      </c>
      <c r="L223" s="95">
        <v>0</v>
      </c>
      <c r="M223" s="95">
        <v>110</v>
      </c>
      <c r="N223" s="95">
        <v>0</v>
      </c>
      <c r="O223" s="49" t="s">
        <v>10894</v>
      </c>
    </row>
    <row r="224" spans="1:15">
      <c r="A224" s="95">
        <v>174904221976312</v>
      </c>
      <c r="B224" s="49" t="s">
        <v>10651</v>
      </c>
      <c r="C224" s="49" t="s">
        <v>10892</v>
      </c>
      <c r="D224" s="49" t="s">
        <v>10893</v>
      </c>
      <c r="E224" s="49">
        <v>6282399721881</v>
      </c>
      <c r="F224" s="96">
        <v>45832</v>
      </c>
      <c r="G224" s="95">
        <v>260</v>
      </c>
      <c r="H224" s="49" t="s">
        <v>12670</v>
      </c>
      <c r="I224" s="97">
        <v>12560.60606060606</v>
      </c>
      <c r="J224" s="95">
        <v>5</v>
      </c>
      <c r="K224" s="102">
        <v>4145</v>
      </c>
      <c r="L224" s="95">
        <v>0</v>
      </c>
      <c r="M224" s="95">
        <v>152</v>
      </c>
      <c r="N224" s="95">
        <v>0</v>
      </c>
      <c r="O224" s="49" t="s">
        <v>10894</v>
      </c>
    </row>
    <row r="225" spans="1:15">
      <c r="A225" s="95">
        <v>174904221976312</v>
      </c>
      <c r="B225" s="49" t="s">
        <v>10651</v>
      </c>
      <c r="C225" s="49" t="s">
        <v>10892</v>
      </c>
      <c r="D225" s="49" t="s">
        <v>10893</v>
      </c>
      <c r="E225" s="49">
        <v>6282399721881</v>
      </c>
      <c r="F225" s="96">
        <v>45832</v>
      </c>
      <c r="G225" s="95">
        <v>160</v>
      </c>
      <c r="H225" s="49" t="s">
        <v>12671</v>
      </c>
      <c r="I225" s="97">
        <v>11257.575757575758</v>
      </c>
      <c r="J225" s="95">
        <v>4</v>
      </c>
      <c r="K225" s="102">
        <v>2229</v>
      </c>
      <c r="L225" s="95">
        <v>0</v>
      </c>
      <c r="M225" s="95">
        <v>88</v>
      </c>
      <c r="N225" s="95">
        <v>0</v>
      </c>
      <c r="O225" s="49" t="s">
        <v>10894</v>
      </c>
    </row>
    <row r="226" spans="1:15">
      <c r="A226" s="95">
        <v>174904221976312</v>
      </c>
      <c r="B226" s="49" t="s">
        <v>10651</v>
      </c>
      <c r="C226" s="49" t="s">
        <v>10892</v>
      </c>
      <c r="D226" s="49" t="s">
        <v>10893</v>
      </c>
      <c r="E226" s="49">
        <v>6282399721881</v>
      </c>
      <c r="F226" s="96">
        <v>45832</v>
      </c>
      <c r="G226" s="95">
        <v>27</v>
      </c>
      <c r="H226" s="49" t="s">
        <v>12672</v>
      </c>
      <c r="I226" s="97">
        <v>16242.424242424242</v>
      </c>
      <c r="J226" s="95">
        <v>0</v>
      </c>
      <c r="K226" s="102">
        <v>536</v>
      </c>
      <c r="L226" s="95">
        <v>0</v>
      </c>
      <c r="M226" s="95">
        <v>17</v>
      </c>
      <c r="N226" s="95">
        <v>0</v>
      </c>
      <c r="O226" s="49" t="s">
        <v>10894</v>
      </c>
    </row>
    <row r="227" spans="1:15">
      <c r="A227" s="95">
        <v>174904221976312</v>
      </c>
      <c r="B227" s="49" t="s">
        <v>10651</v>
      </c>
      <c r="C227" s="49" t="s">
        <v>10895</v>
      </c>
      <c r="D227" s="49" t="s">
        <v>10896</v>
      </c>
      <c r="E227" s="49">
        <v>6281299907533</v>
      </c>
      <c r="F227" s="96">
        <v>45832</v>
      </c>
      <c r="G227" s="95">
        <v>16</v>
      </c>
      <c r="H227" s="49" t="s">
        <v>12667</v>
      </c>
      <c r="I227" s="97">
        <v>29777.777777777777</v>
      </c>
      <c r="J227" s="95">
        <v>0</v>
      </c>
      <c r="K227" s="102">
        <v>536</v>
      </c>
      <c r="L227" s="95">
        <v>0</v>
      </c>
      <c r="M227" s="95">
        <v>8</v>
      </c>
      <c r="N227" s="95">
        <v>0</v>
      </c>
      <c r="O227" s="49" t="s">
        <v>10897</v>
      </c>
    </row>
    <row r="228" spans="1:15">
      <c r="A228" s="95">
        <v>174904221976312</v>
      </c>
      <c r="B228" s="49" t="s">
        <v>10651</v>
      </c>
      <c r="C228" s="49" t="s">
        <v>10895</v>
      </c>
      <c r="D228" s="49" t="s">
        <v>10896</v>
      </c>
      <c r="E228" s="49">
        <v>6281299907533</v>
      </c>
      <c r="F228" s="96">
        <v>45832</v>
      </c>
      <c r="G228" s="95">
        <v>41</v>
      </c>
      <c r="H228" s="49" t="s">
        <v>12668</v>
      </c>
      <c r="I228" s="97">
        <v>16183.673469387755</v>
      </c>
      <c r="J228" s="95">
        <v>2</v>
      </c>
      <c r="K228" s="102">
        <v>793</v>
      </c>
      <c r="L228" s="95">
        <v>0</v>
      </c>
      <c r="M228" s="95">
        <v>10</v>
      </c>
      <c r="N228" s="95">
        <v>0</v>
      </c>
      <c r="O228" s="49" t="s">
        <v>10897</v>
      </c>
    </row>
    <row r="229" spans="1:15">
      <c r="A229" s="95">
        <v>174904221976312</v>
      </c>
      <c r="B229" s="49" t="s">
        <v>10651</v>
      </c>
      <c r="C229" s="49" t="s">
        <v>10895</v>
      </c>
      <c r="D229" s="49" t="s">
        <v>10896</v>
      </c>
      <c r="E229" s="49">
        <v>6281299907533</v>
      </c>
      <c r="F229" s="96">
        <v>45832</v>
      </c>
      <c r="G229" s="95">
        <v>73</v>
      </c>
      <c r="H229" s="49" t="s">
        <v>12669</v>
      </c>
      <c r="I229" s="97">
        <v>26538.461538461539</v>
      </c>
      <c r="J229" s="95">
        <v>2</v>
      </c>
      <c r="K229" s="102">
        <v>2070</v>
      </c>
      <c r="L229" s="95">
        <v>0</v>
      </c>
      <c r="M229" s="95">
        <v>31</v>
      </c>
      <c r="N229" s="95">
        <v>0</v>
      </c>
      <c r="O229" s="49" t="s">
        <v>10897</v>
      </c>
    </row>
    <row r="230" spans="1:15">
      <c r="A230" s="95">
        <v>174904221976312</v>
      </c>
      <c r="B230" s="49" t="s">
        <v>10651</v>
      </c>
      <c r="C230" s="49" t="s">
        <v>10895</v>
      </c>
      <c r="D230" s="49" t="s">
        <v>10896</v>
      </c>
      <c r="E230" s="49">
        <v>6281299907533</v>
      </c>
      <c r="F230" s="96">
        <v>45832</v>
      </c>
      <c r="G230" s="95">
        <v>138</v>
      </c>
      <c r="H230" s="49" t="s">
        <v>12670</v>
      </c>
      <c r="I230" s="97">
        <v>19980.891719745225</v>
      </c>
      <c r="J230" s="95">
        <v>7</v>
      </c>
      <c r="K230" s="102">
        <v>3137</v>
      </c>
      <c r="L230" s="95">
        <v>1</v>
      </c>
      <c r="M230" s="95">
        <v>68</v>
      </c>
      <c r="N230" s="95">
        <v>0</v>
      </c>
      <c r="O230" s="49" t="s">
        <v>10897</v>
      </c>
    </row>
    <row r="231" spans="1:15">
      <c r="A231" s="95">
        <v>174904221976312</v>
      </c>
      <c r="B231" s="49" t="s">
        <v>10651</v>
      </c>
      <c r="C231" s="49" t="s">
        <v>10895</v>
      </c>
      <c r="D231" s="49" t="s">
        <v>10896</v>
      </c>
      <c r="E231" s="49">
        <v>6281299907533</v>
      </c>
      <c r="F231" s="96">
        <v>45832</v>
      </c>
      <c r="G231" s="95">
        <v>101</v>
      </c>
      <c r="H231" s="49" t="s">
        <v>12671</v>
      </c>
      <c r="I231" s="97">
        <v>36313.5593220339</v>
      </c>
      <c r="J231" s="95">
        <v>4</v>
      </c>
      <c r="K231" s="102">
        <v>4285</v>
      </c>
      <c r="L231" s="95">
        <v>0</v>
      </c>
      <c r="M231" s="95">
        <v>51</v>
      </c>
      <c r="N231" s="95">
        <v>0</v>
      </c>
      <c r="O231" s="49" t="s">
        <v>10897</v>
      </c>
    </row>
    <row r="232" spans="1:15">
      <c r="A232" s="95">
        <v>174904221976312</v>
      </c>
      <c r="B232" s="49" t="s">
        <v>10651</v>
      </c>
      <c r="C232" s="49" t="s">
        <v>10895</v>
      </c>
      <c r="D232" s="49" t="s">
        <v>10896</v>
      </c>
      <c r="E232" s="49">
        <v>6281299907533</v>
      </c>
      <c r="F232" s="96">
        <v>45832</v>
      </c>
      <c r="G232" s="95">
        <v>29</v>
      </c>
      <c r="H232" s="49" t="s">
        <v>12672</v>
      </c>
      <c r="I232" s="97">
        <v>46575.757575757576</v>
      </c>
      <c r="J232" s="95">
        <v>3</v>
      </c>
      <c r="K232" s="102">
        <v>1537</v>
      </c>
      <c r="L232" s="95">
        <v>0</v>
      </c>
      <c r="M232" s="95">
        <v>17</v>
      </c>
      <c r="N232" s="95">
        <v>0</v>
      </c>
      <c r="O232" s="49" t="s">
        <v>10897</v>
      </c>
    </row>
    <row r="233" spans="1:15">
      <c r="A233" s="95">
        <v>174904221976312</v>
      </c>
      <c r="B233" s="49" t="s">
        <v>10651</v>
      </c>
      <c r="C233" s="49" t="s">
        <v>10866</v>
      </c>
      <c r="D233" s="49" t="s">
        <v>878</v>
      </c>
      <c r="E233" s="49">
        <v>6285733774700</v>
      </c>
      <c r="F233" s="96">
        <v>45832</v>
      </c>
      <c r="G233" s="95">
        <v>44</v>
      </c>
      <c r="H233" s="49" t="s">
        <v>12667</v>
      </c>
      <c r="I233" s="97">
        <v>17764.705882352941</v>
      </c>
      <c r="J233" s="95">
        <v>1</v>
      </c>
      <c r="K233" s="102">
        <v>906</v>
      </c>
      <c r="L233" s="95">
        <v>0</v>
      </c>
      <c r="M233" s="95">
        <v>13</v>
      </c>
      <c r="N233" s="95">
        <v>0</v>
      </c>
      <c r="O233" s="49" t="s">
        <v>10867</v>
      </c>
    </row>
    <row r="234" spans="1:15">
      <c r="A234" s="95">
        <v>174904221976312</v>
      </c>
      <c r="B234" s="49" t="s">
        <v>10651</v>
      </c>
      <c r="C234" s="49" t="s">
        <v>10866</v>
      </c>
      <c r="D234" s="49" t="s">
        <v>878</v>
      </c>
      <c r="E234" s="49">
        <v>6285733774700</v>
      </c>
      <c r="F234" s="96">
        <v>45832</v>
      </c>
      <c r="G234" s="95">
        <v>237</v>
      </c>
      <c r="H234" s="49" t="s">
        <v>12668</v>
      </c>
      <c r="I234" s="97">
        <v>13507.299270072994</v>
      </c>
      <c r="J234" s="95">
        <v>8</v>
      </c>
      <c r="K234" s="102">
        <v>3701</v>
      </c>
      <c r="L234" s="95">
        <v>2</v>
      </c>
      <c r="M234" s="95">
        <v>47</v>
      </c>
      <c r="N234" s="95">
        <v>0</v>
      </c>
      <c r="O234" s="49" t="s">
        <v>10867</v>
      </c>
    </row>
    <row r="235" spans="1:15">
      <c r="A235" s="95">
        <v>174904221976312</v>
      </c>
      <c r="B235" s="49" t="s">
        <v>10651</v>
      </c>
      <c r="C235" s="49" t="s">
        <v>10866</v>
      </c>
      <c r="D235" s="49" t="s">
        <v>878</v>
      </c>
      <c r="E235" s="49">
        <v>6285733774700</v>
      </c>
      <c r="F235" s="96">
        <v>45832</v>
      </c>
      <c r="G235" s="95">
        <v>193</v>
      </c>
      <c r="H235" s="49" t="s">
        <v>12669</v>
      </c>
      <c r="I235" s="97">
        <v>15495.614035087719</v>
      </c>
      <c r="J235" s="95">
        <v>8</v>
      </c>
      <c r="K235" s="102">
        <v>3533</v>
      </c>
      <c r="L235" s="95">
        <v>1</v>
      </c>
      <c r="M235" s="95">
        <v>50</v>
      </c>
      <c r="N235" s="95">
        <v>0</v>
      </c>
      <c r="O235" s="49" t="s">
        <v>10867</v>
      </c>
    </row>
    <row r="236" spans="1:15">
      <c r="A236" s="95">
        <v>174904221976312</v>
      </c>
      <c r="B236" s="49" t="s">
        <v>10651</v>
      </c>
      <c r="C236" s="49" t="s">
        <v>10866</v>
      </c>
      <c r="D236" s="49" t="s">
        <v>878</v>
      </c>
      <c r="E236" s="49">
        <v>6285733774700</v>
      </c>
      <c r="F236" s="96">
        <v>45832</v>
      </c>
      <c r="G236" s="95">
        <v>118</v>
      </c>
      <c r="H236" s="49" t="s">
        <v>12670</v>
      </c>
      <c r="I236" s="97">
        <v>23239.130434782608</v>
      </c>
      <c r="J236" s="95">
        <v>5</v>
      </c>
      <c r="K236" s="102">
        <v>3207</v>
      </c>
      <c r="L236" s="95">
        <v>1</v>
      </c>
      <c r="M236" s="95">
        <v>41</v>
      </c>
      <c r="N236" s="95">
        <v>1</v>
      </c>
      <c r="O236" s="49" t="s">
        <v>10867</v>
      </c>
    </row>
    <row r="237" spans="1:15">
      <c r="A237" s="95">
        <v>174904221976312</v>
      </c>
      <c r="B237" s="49" t="s">
        <v>10651</v>
      </c>
      <c r="C237" s="49" t="s">
        <v>10866</v>
      </c>
      <c r="D237" s="49" t="s">
        <v>878</v>
      </c>
      <c r="E237" s="49">
        <v>6285733774700</v>
      </c>
      <c r="F237" s="96">
        <v>45832</v>
      </c>
      <c r="G237" s="95">
        <v>47</v>
      </c>
      <c r="H237" s="49" t="s">
        <v>12671</v>
      </c>
      <c r="I237" s="97">
        <v>13833.333333333334</v>
      </c>
      <c r="J237" s="95">
        <v>1</v>
      </c>
      <c r="K237" s="102">
        <v>747</v>
      </c>
      <c r="L237" s="95">
        <v>0</v>
      </c>
      <c r="M237" s="95">
        <v>16</v>
      </c>
      <c r="N237" s="95">
        <v>0</v>
      </c>
      <c r="O237" s="49" t="s">
        <v>10867</v>
      </c>
    </row>
    <row r="238" spans="1:15">
      <c r="A238" s="95">
        <v>174904221976312</v>
      </c>
      <c r="B238" s="49" t="s">
        <v>10651</v>
      </c>
      <c r="C238" s="49" t="s">
        <v>10866</v>
      </c>
      <c r="D238" s="49" t="s">
        <v>878</v>
      </c>
      <c r="E238" s="49">
        <v>6285733774700</v>
      </c>
      <c r="F238" s="96">
        <v>45832</v>
      </c>
      <c r="G238" s="95">
        <v>27</v>
      </c>
      <c r="H238" s="49" t="s">
        <v>12672</v>
      </c>
      <c r="I238" s="97">
        <v>51066.666666666672</v>
      </c>
      <c r="J238" s="95">
        <v>2</v>
      </c>
      <c r="K238" s="102">
        <v>1532</v>
      </c>
      <c r="L238" s="95">
        <v>1</v>
      </c>
      <c r="M238" s="95">
        <v>5</v>
      </c>
      <c r="N238" s="95">
        <v>0</v>
      </c>
      <c r="O238" s="49" t="s">
        <v>10867</v>
      </c>
    </row>
    <row r="239" spans="1:15">
      <c r="A239" s="95">
        <v>174904221976312</v>
      </c>
      <c r="B239" s="49" t="s">
        <v>10651</v>
      </c>
      <c r="C239" s="49" t="s">
        <v>10853</v>
      </c>
      <c r="D239" s="49" t="s">
        <v>10854</v>
      </c>
      <c r="E239" s="49">
        <v>6281393958199</v>
      </c>
      <c r="F239" s="96">
        <v>45832</v>
      </c>
      <c r="G239" s="95">
        <v>26</v>
      </c>
      <c r="H239" s="49" t="s">
        <v>12667</v>
      </c>
      <c r="I239" s="97">
        <v>10166.666666666666</v>
      </c>
      <c r="J239" s="95">
        <v>0</v>
      </c>
      <c r="K239" s="102">
        <v>305</v>
      </c>
      <c r="L239" s="95">
        <v>0</v>
      </c>
      <c r="M239" s="95">
        <v>4</v>
      </c>
      <c r="N239" s="95">
        <v>0</v>
      </c>
      <c r="O239" s="49" t="s">
        <v>10855</v>
      </c>
    </row>
    <row r="240" spans="1:15">
      <c r="A240" s="95">
        <v>174904221976312</v>
      </c>
      <c r="B240" s="49" t="s">
        <v>10651</v>
      </c>
      <c r="C240" s="49" t="s">
        <v>10853</v>
      </c>
      <c r="D240" s="49" t="s">
        <v>10854</v>
      </c>
      <c r="E240" s="49">
        <v>6281393958199</v>
      </c>
      <c r="F240" s="96">
        <v>45832</v>
      </c>
      <c r="G240" s="95">
        <v>248</v>
      </c>
      <c r="H240" s="49" t="s">
        <v>12668</v>
      </c>
      <c r="I240" s="97">
        <v>13666.666666666666</v>
      </c>
      <c r="J240" s="95">
        <v>11</v>
      </c>
      <c r="K240" s="102">
        <v>4018</v>
      </c>
      <c r="L240" s="95">
        <v>2</v>
      </c>
      <c r="M240" s="95">
        <v>66</v>
      </c>
      <c r="N240" s="95">
        <v>0</v>
      </c>
      <c r="O240" s="49" t="s">
        <v>10855</v>
      </c>
    </row>
    <row r="241" spans="1:15">
      <c r="A241" s="95">
        <v>174904221976312</v>
      </c>
      <c r="B241" s="49" t="s">
        <v>10651</v>
      </c>
      <c r="C241" s="49" t="s">
        <v>10853</v>
      </c>
      <c r="D241" s="49" t="s">
        <v>10854</v>
      </c>
      <c r="E241" s="49">
        <v>6281393958199</v>
      </c>
      <c r="F241" s="96">
        <v>45832</v>
      </c>
      <c r="G241" s="95">
        <v>208</v>
      </c>
      <c r="H241" s="49" t="s">
        <v>12669</v>
      </c>
      <c r="I241" s="97">
        <v>14387.234042553191</v>
      </c>
      <c r="J241" s="95">
        <v>7</v>
      </c>
      <c r="K241" s="102">
        <v>3381</v>
      </c>
      <c r="L241" s="95">
        <v>2</v>
      </c>
      <c r="M241" s="95">
        <v>67</v>
      </c>
      <c r="N241" s="95">
        <v>0</v>
      </c>
      <c r="O241" s="49" t="s">
        <v>10855</v>
      </c>
    </row>
    <row r="242" spans="1:15">
      <c r="A242" s="95">
        <v>174904221976312</v>
      </c>
      <c r="B242" s="49" t="s">
        <v>10651</v>
      </c>
      <c r="C242" s="49" t="s">
        <v>10853</v>
      </c>
      <c r="D242" s="49" t="s">
        <v>10854</v>
      </c>
      <c r="E242" s="49">
        <v>6281393958199</v>
      </c>
      <c r="F242" s="96">
        <v>45832</v>
      </c>
      <c r="G242" s="95">
        <v>115</v>
      </c>
      <c r="H242" s="49" t="s">
        <v>12670</v>
      </c>
      <c r="I242" s="97">
        <v>24200</v>
      </c>
      <c r="J242" s="95">
        <v>7</v>
      </c>
      <c r="K242" s="102">
        <v>3267</v>
      </c>
      <c r="L242" s="95">
        <v>2</v>
      </c>
      <c r="M242" s="95">
        <v>44</v>
      </c>
      <c r="N242" s="95">
        <v>0</v>
      </c>
      <c r="O242" s="49" t="s">
        <v>10855</v>
      </c>
    </row>
    <row r="243" spans="1:15">
      <c r="A243" s="95">
        <v>174904221976312</v>
      </c>
      <c r="B243" s="49" t="s">
        <v>10651</v>
      </c>
      <c r="C243" s="49" t="s">
        <v>10853</v>
      </c>
      <c r="D243" s="49" t="s">
        <v>10854</v>
      </c>
      <c r="E243" s="49">
        <v>6281393958199</v>
      </c>
      <c r="F243" s="96">
        <v>45832</v>
      </c>
      <c r="G243" s="95">
        <v>34</v>
      </c>
      <c r="H243" s="49" t="s">
        <v>12671</v>
      </c>
      <c r="I243" s="97">
        <v>29447.36842105263</v>
      </c>
      <c r="J243" s="95">
        <v>2</v>
      </c>
      <c r="K243" s="102">
        <v>1119</v>
      </c>
      <c r="L243" s="95">
        <v>1</v>
      </c>
      <c r="M243" s="95">
        <v>20</v>
      </c>
      <c r="N243" s="95">
        <v>0</v>
      </c>
      <c r="O243" s="49" t="s">
        <v>10855</v>
      </c>
    </row>
    <row r="244" spans="1:15">
      <c r="A244" s="95">
        <v>174904221976312</v>
      </c>
      <c r="B244" s="49" t="s">
        <v>10651</v>
      </c>
      <c r="C244" s="49" t="s">
        <v>10853</v>
      </c>
      <c r="D244" s="49" t="s">
        <v>10854</v>
      </c>
      <c r="E244" s="49">
        <v>6281393958199</v>
      </c>
      <c r="F244" s="96">
        <v>45832</v>
      </c>
      <c r="G244" s="95">
        <v>26</v>
      </c>
      <c r="H244" s="49" t="s">
        <v>12672</v>
      </c>
      <c r="I244" s="97">
        <v>26400</v>
      </c>
      <c r="J244" s="95">
        <v>1</v>
      </c>
      <c r="K244" s="102">
        <v>792</v>
      </c>
      <c r="L244" s="95">
        <v>0</v>
      </c>
      <c r="M244" s="95">
        <v>13</v>
      </c>
      <c r="N244" s="95">
        <v>0</v>
      </c>
      <c r="O244" s="49" t="s">
        <v>10855</v>
      </c>
    </row>
    <row r="245" spans="1:15">
      <c r="A245" s="95">
        <v>174904221976312</v>
      </c>
      <c r="B245" s="49" t="s">
        <v>10651</v>
      </c>
      <c r="C245" s="49" t="s">
        <v>10856</v>
      </c>
      <c r="D245" s="49" t="s">
        <v>829</v>
      </c>
      <c r="E245" s="49">
        <v>6285725492572</v>
      </c>
      <c r="F245" s="96">
        <v>45832</v>
      </c>
      <c r="G245" s="95">
        <v>12</v>
      </c>
      <c r="H245" s="49" t="s">
        <v>12667</v>
      </c>
      <c r="I245" s="97">
        <v>22538.461538461539</v>
      </c>
      <c r="J245" s="95">
        <v>0</v>
      </c>
      <c r="K245" s="102">
        <v>293</v>
      </c>
      <c r="L245" s="95">
        <v>0</v>
      </c>
      <c r="M245" s="95">
        <v>5</v>
      </c>
      <c r="N245" s="95">
        <v>0</v>
      </c>
      <c r="O245" s="49" t="s">
        <v>10857</v>
      </c>
    </row>
    <row r="246" spans="1:15">
      <c r="A246" s="95">
        <v>174904221976312</v>
      </c>
      <c r="B246" s="49" t="s">
        <v>10651</v>
      </c>
      <c r="C246" s="49" t="s">
        <v>10856</v>
      </c>
      <c r="D246" s="49" t="s">
        <v>829</v>
      </c>
      <c r="E246" s="49">
        <v>6285725492572</v>
      </c>
      <c r="F246" s="96">
        <v>45832</v>
      </c>
      <c r="G246" s="95">
        <v>57</v>
      </c>
      <c r="H246" s="49" t="s">
        <v>12668</v>
      </c>
      <c r="I246" s="97">
        <v>11575.342465753425</v>
      </c>
      <c r="J246" s="95">
        <v>3</v>
      </c>
      <c r="K246" s="102">
        <v>845</v>
      </c>
      <c r="L246" s="95">
        <v>0</v>
      </c>
      <c r="M246" s="95">
        <v>24</v>
      </c>
      <c r="N246" s="95">
        <v>1</v>
      </c>
      <c r="O246" s="49" t="s">
        <v>10857</v>
      </c>
    </row>
    <row r="247" spans="1:15">
      <c r="A247" s="95">
        <v>174904221976312</v>
      </c>
      <c r="B247" s="49" t="s">
        <v>10651</v>
      </c>
      <c r="C247" s="49" t="s">
        <v>10856</v>
      </c>
      <c r="D247" s="49" t="s">
        <v>829</v>
      </c>
      <c r="E247" s="49">
        <v>6285725492572</v>
      </c>
      <c r="F247" s="96">
        <v>45832</v>
      </c>
      <c r="G247" s="95">
        <v>109</v>
      </c>
      <c r="H247" s="49" t="s">
        <v>12669</v>
      </c>
      <c r="I247" s="97">
        <v>15675</v>
      </c>
      <c r="J247" s="95">
        <v>3</v>
      </c>
      <c r="K247" s="102">
        <v>1881</v>
      </c>
      <c r="L247" s="95">
        <v>0</v>
      </c>
      <c r="M247" s="95">
        <v>35</v>
      </c>
      <c r="N247" s="95">
        <v>0</v>
      </c>
      <c r="O247" s="49" t="s">
        <v>10857</v>
      </c>
    </row>
    <row r="248" spans="1:15">
      <c r="A248" s="95">
        <v>174904221976312</v>
      </c>
      <c r="B248" s="49" t="s">
        <v>10651</v>
      </c>
      <c r="C248" s="49" t="s">
        <v>10856</v>
      </c>
      <c r="D248" s="49" t="s">
        <v>829</v>
      </c>
      <c r="E248" s="49">
        <v>6285725492572</v>
      </c>
      <c r="F248" s="96">
        <v>45832</v>
      </c>
      <c r="G248" s="95">
        <v>136</v>
      </c>
      <c r="H248" s="49" t="s">
        <v>12670</v>
      </c>
      <c r="I248" s="97">
        <v>20453.94736842105</v>
      </c>
      <c r="J248" s="95">
        <v>2</v>
      </c>
      <c r="K248" s="102">
        <v>3109</v>
      </c>
      <c r="L248" s="95">
        <v>0</v>
      </c>
      <c r="M248" s="95">
        <v>48</v>
      </c>
      <c r="N248" s="95">
        <v>0</v>
      </c>
      <c r="O248" s="49" t="s">
        <v>10857</v>
      </c>
    </row>
    <row r="249" spans="1:15">
      <c r="A249" s="95">
        <v>174904221976312</v>
      </c>
      <c r="B249" s="49" t="s">
        <v>10651</v>
      </c>
      <c r="C249" s="49" t="s">
        <v>10856</v>
      </c>
      <c r="D249" s="49" t="s">
        <v>829</v>
      </c>
      <c r="E249" s="49">
        <v>6285725492572</v>
      </c>
      <c r="F249" s="96">
        <v>45832</v>
      </c>
      <c r="G249" s="95">
        <v>136</v>
      </c>
      <c r="H249" s="49" t="s">
        <v>12671</v>
      </c>
      <c r="I249" s="97">
        <v>43443.113772455094</v>
      </c>
      <c r="J249" s="95">
        <v>8</v>
      </c>
      <c r="K249" s="102">
        <v>7255</v>
      </c>
      <c r="L249" s="95">
        <v>3</v>
      </c>
      <c r="M249" s="95">
        <v>69</v>
      </c>
      <c r="N249" s="95">
        <v>1</v>
      </c>
      <c r="O249" s="49" t="s">
        <v>10857</v>
      </c>
    </row>
    <row r="250" spans="1:15">
      <c r="A250" s="95">
        <v>174904221976312</v>
      </c>
      <c r="B250" s="49" t="s">
        <v>10651</v>
      </c>
      <c r="C250" s="49" t="s">
        <v>10856</v>
      </c>
      <c r="D250" s="49" t="s">
        <v>829</v>
      </c>
      <c r="E250" s="49">
        <v>6285725492572</v>
      </c>
      <c r="F250" s="96">
        <v>45832</v>
      </c>
      <c r="G250" s="95">
        <v>37</v>
      </c>
      <c r="H250" s="49" t="s">
        <v>12672</v>
      </c>
      <c r="I250" s="97">
        <v>36250</v>
      </c>
      <c r="J250" s="95">
        <v>7</v>
      </c>
      <c r="K250" s="102">
        <v>1450</v>
      </c>
      <c r="L250" s="95">
        <v>1</v>
      </c>
      <c r="M250" s="95">
        <v>15</v>
      </c>
      <c r="N250" s="95">
        <v>0</v>
      </c>
      <c r="O250" s="49" t="s">
        <v>10857</v>
      </c>
    </row>
    <row r="251" spans="1:15">
      <c r="A251" s="95">
        <v>174904221976312</v>
      </c>
      <c r="B251" s="49" t="s">
        <v>10651</v>
      </c>
      <c r="C251" s="49" t="s">
        <v>10858</v>
      </c>
      <c r="D251" s="49" t="s">
        <v>10859</v>
      </c>
      <c r="E251" s="49">
        <v>6285227384634</v>
      </c>
      <c r="F251" s="96">
        <v>45832</v>
      </c>
      <c r="G251" s="95">
        <v>36</v>
      </c>
      <c r="H251" s="49" t="s">
        <v>12667</v>
      </c>
      <c r="I251" s="97">
        <v>8047.6190476190477</v>
      </c>
      <c r="J251" s="95">
        <v>0</v>
      </c>
      <c r="K251" s="102">
        <v>338</v>
      </c>
      <c r="L251" s="95">
        <v>0</v>
      </c>
      <c r="M251" s="95">
        <v>0</v>
      </c>
      <c r="N251" s="95">
        <v>0</v>
      </c>
      <c r="O251" s="49" t="s">
        <v>10860</v>
      </c>
    </row>
    <row r="252" spans="1:15">
      <c r="A252" s="95">
        <v>174904221976312</v>
      </c>
      <c r="B252" s="49" t="s">
        <v>10651</v>
      </c>
      <c r="C252" s="49" t="s">
        <v>10858</v>
      </c>
      <c r="D252" s="49" t="s">
        <v>10859</v>
      </c>
      <c r="E252" s="49">
        <v>6285227384634</v>
      </c>
      <c r="F252" s="96">
        <v>45832</v>
      </c>
      <c r="G252" s="95">
        <v>114</v>
      </c>
      <c r="H252" s="49" t="s">
        <v>12668</v>
      </c>
      <c r="I252" s="97">
        <v>15388.489208633093</v>
      </c>
      <c r="J252" s="95">
        <v>0</v>
      </c>
      <c r="K252" s="102">
        <v>2139</v>
      </c>
      <c r="L252" s="95">
        <v>0</v>
      </c>
      <c r="M252" s="95">
        <v>0</v>
      </c>
      <c r="N252" s="95">
        <v>0</v>
      </c>
      <c r="O252" s="49" t="s">
        <v>10860</v>
      </c>
    </row>
    <row r="253" spans="1:15">
      <c r="A253" s="95">
        <v>174904221976312</v>
      </c>
      <c r="B253" s="49" t="s">
        <v>10651</v>
      </c>
      <c r="C253" s="49" t="s">
        <v>10858</v>
      </c>
      <c r="D253" s="49" t="s">
        <v>10859</v>
      </c>
      <c r="E253" s="49">
        <v>6285227384634</v>
      </c>
      <c r="F253" s="96">
        <v>45832</v>
      </c>
      <c r="G253" s="95">
        <v>92</v>
      </c>
      <c r="H253" s="49" t="s">
        <v>12669</v>
      </c>
      <c r="I253" s="97">
        <v>15049.019607843136</v>
      </c>
      <c r="J253" s="95">
        <v>6</v>
      </c>
      <c r="K253" s="102">
        <v>1535</v>
      </c>
      <c r="L253" s="95">
        <v>1</v>
      </c>
      <c r="M253" s="95">
        <v>0</v>
      </c>
      <c r="N253" s="95">
        <v>0</v>
      </c>
      <c r="O253" s="49" t="s">
        <v>10860</v>
      </c>
    </row>
    <row r="254" spans="1:15">
      <c r="A254" s="95">
        <v>174904221976312</v>
      </c>
      <c r="B254" s="49" t="s">
        <v>10651</v>
      </c>
      <c r="C254" s="49" t="s">
        <v>10858</v>
      </c>
      <c r="D254" s="49" t="s">
        <v>10859</v>
      </c>
      <c r="E254" s="49">
        <v>6285227384634</v>
      </c>
      <c r="F254" s="96">
        <v>45832</v>
      </c>
      <c r="G254" s="95">
        <v>85</v>
      </c>
      <c r="H254" s="49" t="s">
        <v>12670</v>
      </c>
      <c r="I254" s="97">
        <v>32214.285714285714</v>
      </c>
      <c r="J254" s="95">
        <v>3</v>
      </c>
      <c r="K254" s="102">
        <v>3608</v>
      </c>
      <c r="L254" s="95">
        <v>1</v>
      </c>
      <c r="M254" s="95">
        <v>0</v>
      </c>
      <c r="N254" s="95">
        <v>0</v>
      </c>
      <c r="O254" s="49" t="s">
        <v>10860</v>
      </c>
    </row>
    <row r="255" spans="1:15">
      <c r="A255" s="95">
        <v>174904221976312</v>
      </c>
      <c r="B255" s="49" t="s">
        <v>10651</v>
      </c>
      <c r="C255" s="49" t="s">
        <v>10858</v>
      </c>
      <c r="D255" s="49" t="s">
        <v>10859</v>
      </c>
      <c r="E255" s="49">
        <v>6285227384634</v>
      </c>
      <c r="F255" s="96">
        <v>45832</v>
      </c>
      <c r="G255" s="95">
        <v>86</v>
      </c>
      <c r="H255" s="49" t="s">
        <v>12671</v>
      </c>
      <c r="I255" s="97">
        <v>26742.857142857145</v>
      </c>
      <c r="J255" s="95">
        <v>5</v>
      </c>
      <c r="K255" s="102">
        <v>2808</v>
      </c>
      <c r="L255" s="95">
        <v>3</v>
      </c>
      <c r="M255" s="95">
        <v>0</v>
      </c>
      <c r="N255" s="95">
        <v>0</v>
      </c>
      <c r="O255" s="49" t="s">
        <v>10860</v>
      </c>
    </row>
    <row r="256" spans="1:15">
      <c r="A256" s="95">
        <v>174904221976312</v>
      </c>
      <c r="B256" s="49" t="s">
        <v>10651</v>
      </c>
      <c r="C256" s="49" t="s">
        <v>10858</v>
      </c>
      <c r="D256" s="49" t="s">
        <v>10859</v>
      </c>
      <c r="E256" s="49">
        <v>6285227384634</v>
      </c>
      <c r="F256" s="96">
        <v>45832</v>
      </c>
      <c r="G256" s="95">
        <v>36</v>
      </c>
      <c r="H256" s="49" t="s">
        <v>12672</v>
      </c>
      <c r="I256" s="97">
        <v>40423.076923076922</v>
      </c>
      <c r="J256" s="95">
        <v>5</v>
      </c>
      <c r="K256" s="102">
        <v>2102</v>
      </c>
      <c r="L256" s="95">
        <v>0</v>
      </c>
      <c r="M256" s="95">
        <v>0</v>
      </c>
      <c r="N256" s="95">
        <v>0</v>
      </c>
      <c r="O256" s="49" t="s">
        <v>10860</v>
      </c>
    </row>
    <row r="257" spans="1:15">
      <c r="A257" s="95">
        <v>174904221976312</v>
      </c>
      <c r="B257" s="49" t="s">
        <v>10651</v>
      </c>
      <c r="C257" s="49" t="s">
        <v>818</v>
      </c>
      <c r="D257" s="49" t="s">
        <v>812</v>
      </c>
      <c r="E257" s="49">
        <v>6287858585808</v>
      </c>
      <c r="F257" s="96">
        <v>45832</v>
      </c>
      <c r="G257" s="95">
        <v>41</v>
      </c>
      <c r="H257" s="49" t="s">
        <v>12667</v>
      </c>
      <c r="I257" s="97">
        <v>9309.0909090909081</v>
      </c>
      <c r="J257" s="95">
        <v>2</v>
      </c>
      <c r="K257" s="102">
        <v>512</v>
      </c>
      <c r="L257" s="95">
        <v>0</v>
      </c>
      <c r="M257" s="95">
        <v>13</v>
      </c>
      <c r="N257" s="95">
        <v>0</v>
      </c>
      <c r="O257" s="49" t="s">
        <v>10831</v>
      </c>
    </row>
    <row r="258" spans="1:15">
      <c r="A258" s="95">
        <v>174904221976312</v>
      </c>
      <c r="B258" s="49" t="s">
        <v>10651</v>
      </c>
      <c r="C258" s="49" t="s">
        <v>818</v>
      </c>
      <c r="D258" s="49" t="s">
        <v>812</v>
      </c>
      <c r="E258" s="49">
        <v>6287858585808</v>
      </c>
      <c r="F258" s="96">
        <v>45832</v>
      </c>
      <c r="G258" s="95">
        <v>203</v>
      </c>
      <c r="H258" s="49" t="s">
        <v>12668</v>
      </c>
      <c r="I258" s="97">
        <v>9429.1497975708517</v>
      </c>
      <c r="J258" s="95">
        <v>8</v>
      </c>
      <c r="K258" s="102">
        <v>2329</v>
      </c>
      <c r="L258" s="95">
        <v>1</v>
      </c>
      <c r="M258" s="95">
        <v>53</v>
      </c>
      <c r="N258" s="95">
        <v>2</v>
      </c>
      <c r="O258" s="49" t="s">
        <v>10831</v>
      </c>
    </row>
    <row r="259" spans="1:15">
      <c r="A259" s="95">
        <v>174904221976312</v>
      </c>
      <c r="B259" s="49" t="s">
        <v>10651</v>
      </c>
      <c r="C259" s="49" t="s">
        <v>818</v>
      </c>
      <c r="D259" s="49" t="s">
        <v>812</v>
      </c>
      <c r="E259" s="49">
        <v>6287858585808</v>
      </c>
      <c r="F259" s="96">
        <v>45832</v>
      </c>
      <c r="G259" s="95">
        <v>245</v>
      </c>
      <c r="H259" s="49" t="s">
        <v>12669</v>
      </c>
      <c r="I259" s="97">
        <v>8411.7647058823532</v>
      </c>
      <c r="J259" s="95">
        <v>5</v>
      </c>
      <c r="K259" s="102">
        <v>2431</v>
      </c>
      <c r="L259" s="95">
        <v>0</v>
      </c>
      <c r="M259" s="95">
        <v>65</v>
      </c>
      <c r="N259" s="95">
        <v>0</v>
      </c>
      <c r="O259" s="49" t="s">
        <v>10831</v>
      </c>
    </row>
    <row r="260" spans="1:15">
      <c r="A260" s="95">
        <v>174904221976312</v>
      </c>
      <c r="B260" s="49" t="s">
        <v>10651</v>
      </c>
      <c r="C260" s="49" t="s">
        <v>818</v>
      </c>
      <c r="D260" s="49" t="s">
        <v>812</v>
      </c>
      <c r="E260" s="49">
        <v>6287858585808</v>
      </c>
      <c r="F260" s="96">
        <v>45832</v>
      </c>
      <c r="G260" s="95">
        <v>247</v>
      </c>
      <c r="H260" s="49" t="s">
        <v>12670</v>
      </c>
      <c r="I260" s="97">
        <v>13591.549295774648</v>
      </c>
      <c r="J260" s="95">
        <v>9</v>
      </c>
      <c r="K260" s="102">
        <v>3860</v>
      </c>
      <c r="L260" s="95">
        <v>0</v>
      </c>
      <c r="M260" s="95">
        <v>92</v>
      </c>
      <c r="N260" s="95">
        <v>0</v>
      </c>
      <c r="O260" s="49" t="s">
        <v>10831</v>
      </c>
    </row>
    <row r="261" spans="1:15">
      <c r="A261" s="95">
        <v>174904221976312</v>
      </c>
      <c r="B261" s="49" t="s">
        <v>10651</v>
      </c>
      <c r="C261" s="49" t="s">
        <v>818</v>
      </c>
      <c r="D261" s="49" t="s">
        <v>812</v>
      </c>
      <c r="E261" s="49">
        <v>6287858585808</v>
      </c>
      <c r="F261" s="96">
        <v>45832</v>
      </c>
      <c r="G261" s="95">
        <v>194</v>
      </c>
      <c r="H261" s="49" t="s">
        <v>12671</v>
      </c>
      <c r="I261" s="97">
        <v>12954.732510288066</v>
      </c>
      <c r="J261" s="95">
        <v>11</v>
      </c>
      <c r="K261" s="102">
        <v>3148</v>
      </c>
      <c r="L261" s="95">
        <v>1</v>
      </c>
      <c r="M261" s="95">
        <v>97</v>
      </c>
      <c r="N261" s="95">
        <v>0</v>
      </c>
      <c r="O261" s="49" t="s">
        <v>10831</v>
      </c>
    </row>
    <row r="262" spans="1:15">
      <c r="A262" s="95">
        <v>174904221976312</v>
      </c>
      <c r="B262" s="49" t="s">
        <v>10651</v>
      </c>
      <c r="C262" s="49" t="s">
        <v>818</v>
      </c>
      <c r="D262" s="49" t="s">
        <v>812</v>
      </c>
      <c r="E262" s="49">
        <v>6287858585808</v>
      </c>
      <c r="F262" s="96">
        <v>45832</v>
      </c>
      <c r="G262" s="95">
        <v>47</v>
      </c>
      <c r="H262" s="49" t="s">
        <v>12672</v>
      </c>
      <c r="I262" s="97">
        <v>11188.67924528302</v>
      </c>
      <c r="J262" s="95">
        <v>0</v>
      </c>
      <c r="K262" s="102">
        <v>593</v>
      </c>
      <c r="L262" s="95">
        <v>0</v>
      </c>
      <c r="M262" s="95">
        <v>16</v>
      </c>
      <c r="N262" s="95">
        <v>0</v>
      </c>
      <c r="O262" s="49" t="s">
        <v>10831</v>
      </c>
    </row>
    <row r="263" spans="1:15">
      <c r="A263" s="95">
        <v>174904221976312</v>
      </c>
      <c r="B263" s="49" t="s">
        <v>10651</v>
      </c>
      <c r="C263" s="49" t="s">
        <v>10806</v>
      </c>
      <c r="D263" s="49" t="s">
        <v>10807</v>
      </c>
      <c r="E263" s="49">
        <v>628127962347</v>
      </c>
      <c r="F263" s="96">
        <v>45832</v>
      </c>
      <c r="G263" s="95">
        <v>58</v>
      </c>
      <c r="H263" s="49" t="s">
        <v>12667</v>
      </c>
      <c r="I263" s="97">
        <v>62220.588235294119</v>
      </c>
      <c r="J263" s="95">
        <v>6</v>
      </c>
      <c r="K263" s="102">
        <v>4231</v>
      </c>
      <c r="L263" s="95">
        <v>1</v>
      </c>
      <c r="M263" s="95">
        <v>8</v>
      </c>
      <c r="N263" s="95">
        <v>0</v>
      </c>
      <c r="O263" s="49" t="s">
        <v>10808</v>
      </c>
    </row>
    <row r="264" spans="1:15">
      <c r="A264" s="95">
        <v>174904221976312</v>
      </c>
      <c r="B264" s="49" t="s">
        <v>10651</v>
      </c>
      <c r="C264" s="49" t="s">
        <v>10806</v>
      </c>
      <c r="D264" s="49" t="s">
        <v>10807</v>
      </c>
      <c r="E264" s="49">
        <v>628127962347</v>
      </c>
      <c r="F264" s="96">
        <v>45832</v>
      </c>
      <c r="G264" s="95">
        <v>43</v>
      </c>
      <c r="H264" s="49" t="s">
        <v>12668</v>
      </c>
      <c r="I264" s="97">
        <v>109446.80851063829</v>
      </c>
      <c r="J264" s="95">
        <v>7</v>
      </c>
      <c r="K264" s="102">
        <v>5144</v>
      </c>
      <c r="L264" s="95">
        <v>4</v>
      </c>
      <c r="M264" s="95">
        <v>8</v>
      </c>
      <c r="N264" s="95">
        <v>0</v>
      </c>
      <c r="O264" s="49" t="s">
        <v>10808</v>
      </c>
    </row>
    <row r="265" spans="1:15">
      <c r="A265" s="95">
        <v>174904221976312</v>
      </c>
      <c r="B265" s="49" t="s">
        <v>10651</v>
      </c>
      <c r="C265" s="49" t="s">
        <v>10806</v>
      </c>
      <c r="D265" s="49" t="s">
        <v>10807</v>
      </c>
      <c r="E265" s="49">
        <v>628127962347</v>
      </c>
      <c r="F265" s="96">
        <v>45832</v>
      </c>
      <c r="G265" s="95">
        <v>21</v>
      </c>
      <c r="H265" s="49" t="s">
        <v>12669</v>
      </c>
      <c r="I265" s="97">
        <v>72571.428571428565</v>
      </c>
      <c r="J265" s="95">
        <v>1</v>
      </c>
      <c r="K265" s="102">
        <v>1524</v>
      </c>
      <c r="L265" s="95">
        <v>0</v>
      </c>
      <c r="M265" s="95">
        <v>1</v>
      </c>
      <c r="N265" s="95">
        <v>0</v>
      </c>
      <c r="O265" s="49" t="s">
        <v>10808</v>
      </c>
    </row>
    <row r="266" spans="1:15">
      <c r="A266" s="95">
        <v>174904221976312</v>
      </c>
      <c r="B266" s="49" t="s">
        <v>10651</v>
      </c>
      <c r="C266" s="49" t="s">
        <v>10806</v>
      </c>
      <c r="D266" s="49" t="s">
        <v>10807</v>
      </c>
      <c r="E266" s="49">
        <v>628127962347</v>
      </c>
      <c r="F266" s="96">
        <v>45832</v>
      </c>
      <c r="G266" s="95">
        <v>17</v>
      </c>
      <c r="H266" s="49" t="s">
        <v>12670</v>
      </c>
      <c r="I266" s="97">
        <v>69294.117647058825</v>
      </c>
      <c r="J266" s="95">
        <v>0</v>
      </c>
      <c r="K266" s="102">
        <v>1178</v>
      </c>
      <c r="L266" s="95">
        <v>0</v>
      </c>
      <c r="M266" s="95">
        <v>8</v>
      </c>
      <c r="N266" s="95">
        <v>0</v>
      </c>
      <c r="O266" s="49" t="s">
        <v>10808</v>
      </c>
    </row>
    <row r="267" spans="1:15">
      <c r="A267" s="95">
        <v>174904221976312</v>
      </c>
      <c r="B267" s="49" t="s">
        <v>10651</v>
      </c>
      <c r="C267" s="49" t="s">
        <v>10806</v>
      </c>
      <c r="D267" s="49" t="s">
        <v>10807</v>
      </c>
      <c r="E267" s="49">
        <v>628127962347</v>
      </c>
      <c r="F267" s="96">
        <v>45832</v>
      </c>
      <c r="G267" s="95">
        <v>8</v>
      </c>
      <c r="H267" s="49" t="s">
        <v>12671</v>
      </c>
      <c r="I267" s="97">
        <v>81625</v>
      </c>
      <c r="J267" s="95">
        <v>0</v>
      </c>
      <c r="K267" s="102">
        <v>653</v>
      </c>
      <c r="L267" s="95">
        <v>0</v>
      </c>
      <c r="M267" s="95">
        <v>1</v>
      </c>
      <c r="N267" s="95">
        <v>0</v>
      </c>
      <c r="O267" s="49" t="s">
        <v>10808</v>
      </c>
    </row>
    <row r="268" spans="1:15">
      <c r="A268" s="95">
        <v>174904221976312</v>
      </c>
      <c r="B268" s="49" t="s">
        <v>10651</v>
      </c>
      <c r="C268" s="49" t="s">
        <v>10806</v>
      </c>
      <c r="D268" s="49" t="s">
        <v>10807</v>
      </c>
      <c r="E268" s="49">
        <v>628127962347</v>
      </c>
      <c r="F268" s="96">
        <v>45832</v>
      </c>
      <c r="G268" s="95">
        <v>4</v>
      </c>
      <c r="H268" s="49" t="s">
        <v>12672</v>
      </c>
      <c r="I268" s="97">
        <v>61500</v>
      </c>
      <c r="J268" s="95">
        <v>2</v>
      </c>
      <c r="K268" s="102">
        <v>246</v>
      </c>
      <c r="L268" s="95">
        <v>1</v>
      </c>
      <c r="M268" s="95">
        <v>1</v>
      </c>
      <c r="N268" s="95">
        <v>0</v>
      </c>
      <c r="O268" s="49" t="s">
        <v>10808</v>
      </c>
    </row>
    <row r="269" spans="1:15">
      <c r="A269" s="95">
        <v>174904221976312</v>
      </c>
      <c r="B269" s="49" t="s">
        <v>10651</v>
      </c>
      <c r="C269" s="49" t="s">
        <v>10815</v>
      </c>
      <c r="D269" s="49" t="s">
        <v>651</v>
      </c>
      <c r="E269" s="49">
        <v>6281905836259</v>
      </c>
      <c r="F269" s="96">
        <v>45832</v>
      </c>
      <c r="G269" s="95">
        <v>20</v>
      </c>
      <c r="H269" s="49" t="s">
        <v>12667</v>
      </c>
      <c r="I269" s="97">
        <v>20800</v>
      </c>
      <c r="J269" s="95">
        <v>0</v>
      </c>
      <c r="K269" s="102">
        <v>416</v>
      </c>
      <c r="L269" s="95">
        <v>0</v>
      </c>
      <c r="M269" s="95">
        <v>0</v>
      </c>
      <c r="N269" s="95">
        <v>0</v>
      </c>
      <c r="O269" s="49" t="s">
        <v>10816</v>
      </c>
    </row>
    <row r="270" spans="1:15">
      <c r="A270" s="95">
        <v>174904221976312</v>
      </c>
      <c r="B270" s="49" t="s">
        <v>10651</v>
      </c>
      <c r="C270" s="49" t="s">
        <v>10815</v>
      </c>
      <c r="D270" s="49" t="s">
        <v>651</v>
      </c>
      <c r="E270" s="49">
        <v>6281905836259</v>
      </c>
      <c r="F270" s="96">
        <v>45832</v>
      </c>
      <c r="G270" s="95">
        <v>70</v>
      </c>
      <c r="H270" s="49" t="s">
        <v>12668</v>
      </c>
      <c r="I270" s="97">
        <v>14421.052631578947</v>
      </c>
      <c r="J270" s="95">
        <v>1</v>
      </c>
      <c r="K270" s="102">
        <v>1096</v>
      </c>
      <c r="L270" s="95">
        <v>0</v>
      </c>
      <c r="M270" s="95">
        <v>0</v>
      </c>
      <c r="N270" s="95">
        <v>0</v>
      </c>
      <c r="O270" s="49" t="s">
        <v>10816</v>
      </c>
    </row>
    <row r="271" spans="1:15">
      <c r="A271" s="95">
        <v>174904221976312</v>
      </c>
      <c r="B271" s="49" t="s">
        <v>10651</v>
      </c>
      <c r="C271" s="49" t="s">
        <v>10815</v>
      </c>
      <c r="D271" s="49" t="s">
        <v>651</v>
      </c>
      <c r="E271" s="49">
        <v>6281905836259</v>
      </c>
      <c r="F271" s="96">
        <v>45832</v>
      </c>
      <c r="G271" s="95">
        <v>91</v>
      </c>
      <c r="H271" s="49" t="s">
        <v>12669</v>
      </c>
      <c r="I271" s="97">
        <v>30288.659793814433</v>
      </c>
      <c r="J271" s="95">
        <v>2</v>
      </c>
      <c r="K271" s="102">
        <v>2938</v>
      </c>
      <c r="L271" s="95">
        <v>0</v>
      </c>
      <c r="M271" s="95">
        <v>0</v>
      </c>
      <c r="N271" s="95">
        <v>0</v>
      </c>
      <c r="O271" s="49" t="s">
        <v>10816</v>
      </c>
    </row>
    <row r="272" spans="1:15">
      <c r="A272" s="95">
        <v>174904221976312</v>
      </c>
      <c r="B272" s="49" t="s">
        <v>10651</v>
      </c>
      <c r="C272" s="49" t="s">
        <v>10815</v>
      </c>
      <c r="D272" s="49" t="s">
        <v>651</v>
      </c>
      <c r="E272" s="49">
        <v>6281905836259</v>
      </c>
      <c r="F272" s="96">
        <v>45832</v>
      </c>
      <c r="G272" s="95">
        <v>69</v>
      </c>
      <c r="H272" s="49" t="s">
        <v>12670</v>
      </c>
      <c r="I272" s="97">
        <v>27519.480519480519</v>
      </c>
      <c r="J272" s="95">
        <v>1</v>
      </c>
      <c r="K272" s="102">
        <v>2119</v>
      </c>
      <c r="L272" s="95">
        <v>0</v>
      </c>
      <c r="M272" s="95">
        <v>0</v>
      </c>
      <c r="N272" s="95">
        <v>0</v>
      </c>
      <c r="O272" s="49" t="s">
        <v>10816</v>
      </c>
    </row>
    <row r="273" spans="1:15">
      <c r="A273" s="95">
        <v>174904221976312</v>
      </c>
      <c r="B273" s="49" t="s">
        <v>10651</v>
      </c>
      <c r="C273" s="49" t="s">
        <v>10815</v>
      </c>
      <c r="D273" s="49" t="s">
        <v>651</v>
      </c>
      <c r="E273" s="49">
        <v>6281905836259</v>
      </c>
      <c r="F273" s="96">
        <v>45832</v>
      </c>
      <c r="G273" s="95">
        <v>84</v>
      </c>
      <c r="H273" s="49" t="s">
        <v>12671</v>
      </c>
      <c r="I273" s="97">
        <v>46827.956989247316</v>
      </c>
      <c r="J273" s="95">
        <v>1</v>
      </c>
      <c r="K273" s="102">
        <v>4355</v>
      </c>
      <c r="L273" s="95">
        <v>0</v>
      </c>
      <c r="M273" s="95">
        <v>0</v>
      </c>
      <c r="N273" s="95">
        <v>0</v>
      </c>
      <c r="O273" s="49" t="s">
        <v>10816</v>
      </c>
    </row>
    <row r="274" spans="1:15">
      <c r="A274" s="95">
        <v>174904221976312</v>
      </c>
      <c r="B274" s="49" t="s">
        <v>10651</v>
      </c>
      <c r="C274" s="49" t="s">
        <v>10815</v>
      </c>
      <c r="D274" s="49" t="s">
        <v>651</v>
      </c>
      <c r="E274" s="49">
        <v>6281905836259</v>
      </c>
      <c r="F274" s="96">
        <v>45832</v>
      </c>
      <c r="G274" s="95">
        <v>71</v>
      </c>
      <c r="H274" s="49" t="s">
        <v>12672</v>
      </c>
      <c r="I274" s="97">
        <v>34776.315789473687</v>
      </c>
      <c r="J274" s="95">
        <v>5</v>
      </c>
      <c r="K274" s="102">
        <v>2643</v>
      </c>
      <c r="L274" s="95">
        <v>0</v>
      </c>
      <c r="M274" s="95">
        <v>0</v>
      </c>
      <c r="N274" s="95">
        <v>0</v>
      </c>
      <c r="O274" s="49" t="s">
        <v>10816</v>
      </c>
    </row>
    <row r="275" spans="1:15">
      <c r="A275" s="95">
        <v>174904221976312</v>
      </c>
      <c r="B275" s="49" t="s">
        <v>10651</v>
      </c>
      <c r="C275" s="49" t="s">
        <v>8099</v>
      </c>
      <c r="D275" s="49" t="s">
        <v>2357</v>
      </c>
      <c r="E275" s="49">
        <v>6281221788919</v>
      </c>
      <c r="F275" s="96">
        <v>45832</v>
      </c>
      <c r="G275" s="95">
        <v>87</v>
      </c>
      <c r="H275" s="49" t="s">
        <v>12667</v>
      </c>
      <c r="I275" s="97">
        <v>6398.0582524271849</v>
      </c>
      <c r="J275" s="95">
        <v>4</v>
      </c>
      <c r="K275" s="102">
        <v>659</v>
      </c>
      <c r="L275" s="95">
        <v>0</v>
      </c>
      <c r="M275" s="95">
        <v>34</v>
      </c>
      <c r="N275" s="95">
        <v>0</v>
      </c>
      <c r="O275" s="49" t="s">
        <v>10759</v>
      </c>
    </row>
    <row r="276" spans="1:15">
      <c r="A276" s="95">
        <v>174904221976312</v>
      </c>
      <c r="B276" s="49" t="s">
        <v>10651</v>
      </c>
      <c r="C276" s="49" t="s">
        <v>8099</v>
      </c>
      <c r="D276" s="49" t="s">
        <v>2357</v>
      </c>
      <c r="E276" s="49">
        <v>6281221788919</v>
      </c>
      <c r="F276" s="96">
        <v>45832</v>
      </c>
      <c r="G276" s="95">
        <v>413</v>
      </c>
      <c r="H276" s="49" t="s">
        <v>12668</v>
      </c>
      <c r="I276" s="97">
        <v>7467.272727272727</v>
      </c>
      <c r="J276" s="95">
        <v>8</v>
      </c>
      <c r="K276" s="102">
        <v>4107</v>
      </c>
      <c r="L276" s="95">
        <v>0</v>
      </c>
      <c r="M276" s="95">
        <v>125</v>
      </c>
      <c r="N276" s="95">
        <v>0</v>
      </c>
      <c r="O276" s="49" t="s">
        <v>10759</v>
      </c>
    </row>
    <row r="277" spans="1:15">
      <c r="A277" s="95">
        <v>174904221976312</v>
      </c>
      <c r="B277" s="49" t="s">
        <v>10651</v>
      </c>
      <c r="C277" s="49" t="s">
        <v>8099</v>
      </c>
      <c r="D277" s="49" t="s">
        <v>2357</v>
      </c>
      <c r="E277" s="49">
        <v>6281221788919</v>
      </c>
      <c r="F277" s="96">
        <v>45832</v>
      </c>
      <c r="G277" s="95">
        <v>363</v>
      </c>
      <c r="H277" s="49" t="s">
        <v>12669</v>
      </c>
      <c r="I277" s="97">
        <v>8677.3504273504277</v>
      </c>
      <c r="J277" s="95">
        <v>9</v>
      </c>
      <c r="K277" s="102">
        <v>4061</v>
      </c>
      <c r="L277" s="95">
        <v>0</v>
      </c>
      <c r="M277" s="95">
        <v>130</v>
      </c>
      <c r="N277" s="95">
        <v>0</v>
      </c>
      <c r="O277" s="49" t="s">
        <v>10759</v>
      </c>
    </row>
    <row r="278" spans="1:15">
      <c r="A278" s="95">
        <v>174904221976312</v>
      </c>
      <c r="B278" s="49" t="s">
        <v>10651</v>
      </c>
      <c r="C278" s="49" t="s">
        <v>8099</v>
      </c>
      <c r="D278" s="49" t="s">
        <v>2357</v>
      </c>
      <c r="E278" s="49">
        <v>6281221788919</v>
      </c>
      <c r="F278" s="96">
        <v>45832</v>
      </c>
      <c r="G278" s="95">
        <v>181</v>
      </c>
      <c r="H278" s="49" t="s">
        <v>12670</v>
      </c>
      <c r="I278" s="97">
        <v>11289.36170212766</v>
      </c>
      <c r="J278" s="95">
        <v>3</v>
      </c>
      <c r="K278" s="102">
        <v>2653</v>
      </c>
      <c r="L278" s="95">
        <v>0</v>
      </c>
      <c r="M278" s="95">
        <v>86</v>
      </c>
      <c r="N278" s="95">
        <v>0</v>
      </c>
      <c r="O278" s="49" t="s">
        <v>10759</v>
      </c>
    </row>
    <row r="279" spans="1:15">
      <c r="A279" s="95">
        <v>174904221976312</v>
      </c>
      <c r="B279" s="49" t="s">
        <v>10651</v>
      </c>
      <c r="C279" s="49" t="s">
        <v>8099</v>
      </c>
      <c r="D279" s="49" t="s">
        <v>2357</v>
      </c>
      <c r="E279" s="49">
        <v>6281221788919</v>
      </c>
      <c r="F279" s="96">
        <v>45832</v>
      </c>
      <c r="G279" s="95">
        <v>31</v>
      </c>
      <c r="H279" s="49" t="s">
        <v>12671</v>
      </c>
      <c r="I279" s="97">
        <v>12566.037735849057</v>
      </c>
      <c r="J279" s="95">
        <v>1</v>
      </c>
      <c r="K279" s="102">
        <v>666</v>
      </c>
      <c r="L279" s="95">
        <v>0</v>
      </c>
      <c r="M279" s="95">
        <v>18</v>
      </c>
      <c r="N279" s="95">
        <v>0</v>
      </c>
      <c r="O279" s="49" t="s">
        <v>10759</v>
      </c>
    </row>
    <row r="280" spans="1:15">
      <c r="A280" s="95">
        <v>174904221976312</v>
      </c>
      <c r="B280" s="49" t="s">
        <v>10651</v>
      </c>
      <c r="C280" s="49" t="s">
        <v>8099</v>
      </c>
      <c r="D280" s="49" t="s">
        <v>2357</v>
      </c>
      <c r="E280" s="49">
        <v>6281221788919</v>
      </c>
      <c r="F280" s="96">
        <v>45832</v>
      </c>
      <c r="G280" s="95">
        <v>11</v>
      </c>
      <c r="H280" s="49" t="s">
        <v>12672</v>
      </c>
      <c r="I280" s="97">
        <v>8230.7692307692305</v>
      </c>
      <c r="J280" s="95">
        <v>0</v>
      </c>
      <c r="K280" s="102">
        <v>107</v>
      </c>
      <c r="L280" s="95">
        <v>0</v>
      </c>
      <c r="M280" s="95">
        <v>7</v>
      </c>
      <c r="N280" s="95">
        <v>0</v>
      </c>
      <c r="O280" s="49" t="s">
        <v>10759</v>
      </c>
    </row>
    <row r="281" spans="1:15">
      <c r="A281" s="95">
        <v>174904221976312</v>
      </c>
      <c r="B281" s="49" t="s">
        <v>10651</v>
      </c>
      <c r="C281" s="49" t="s">
        <v>311</v>
      </c>
      <c r="D281" s="49" t="s">
        <v>10737</v>
      </c>
      <c r="E281" s="49">
        <v>628988759290</v>
      </c>
      <c r="F281" s="96">
        <v>45832</v>
      </c>
      <c r="G281" s="95">
        <v>168</v>
      </c>
      <c r="H281" s="49" t="s">
        <v>12667</v>
      </c>
      <c r="I281" s="97">
        <v>7604.9382716049386</v>
      </c>
      <c r="J281" s="95">
        <v>4</v>
      </c>
      <c r="K281" s="102">
        <v>1848</v>
      </c>
      <c r="L281" s="95">
        <v>0</v>
      </c>
      <c r="M281" s="95">
        <v>5</v>
      </c>
      <c r="N281" s="95">
        <v>0</v>
      </c>
      <c r="O281" s="49" t="s">
        <v>10738</v>
      </c>
    </row>
    <row r="282" spans="1:15">
      <c r="A282" s="95">
        <v>174904221976312</v>
      </c>
      <c r="B282" s="49" t="s">
        <v>10651</v>
      </c>
      <c r="C282" s="49" t="s">
        <v>311</v>
      </c>
      <c r="D282" s="49" t="s">
        <v>10737</v>
      </c>
      <c r="E282" s="49">
        <v>628988759290</v>
      </c>
      <c r="F282" s="96">
        <v>45832</v>
      </c>
      <c r="G282" s="95">
        <v>261</v>
      </c>
      <c r="H282" s="49" t="s">
        <v>12668</v>
      </c>
      <c r="I282" s="97">
        <v>10792.817679558011</v>
      </c>
      <c r="J282" s="95">
        <v>17</v>
      </c>
      <c r="K282" s="102">
        <v>3907</v>
      </c>
      <c r="L282" s="95">
        <v>1</v>
      </c>
      <c r="M282" s="95">
        <v>10</v>
      </c>
      <c r="N282" s="95">
        <v>0</v>
      </c>
      <c r="O282" s="49" t="s">
        <v>10738</v>
      </c>
    </row>
    <row r="283" spans="1:15">
      <c r="A283" s="95">
        <v>174904221976312</v>
      </c>
      <c r="B283" s="49" t="s">
        <v>10651</v>
      </c>
      <c r="C283" s="49" t="s">
        <v>311</v>
      </c>
      <c r="D283" s="49" t="s">
        <v>10737</v>
      </c>
      <c r="E283" s="49">
        <v>628988759290</v>
      </c>
      <c r="F283" s="96">
        <v>45832</v>
      </c>
      <c r="G283" s="95">
        <v>174</v>
      </c>
      <c r="H283" s="49" t="s">
        <v>12669</v>
      </c>
      <c r="I283" s="97">
        <v>13506.437768240343</v>
      </c>
      <c r="J283" s="95">
        <v>10</v>
      </c>
      <c r="K283" s="102">
        <v>3147</v>
      </c>
      <c r="L283" s="95">
        <v>0</v>
      </c>
      <c r="M283" s="95">
        <v>14</v>
      </c>
      <c r="N283" s="95">
        <v>0</v>
      </c>
      <c r="O283" s="49" t="s">
        <v>10738</v>
      </c>
    </row>
    <row r="284" spans="1:15">
      <c r="A284" s="95">
        <v>174904221976312</v>
      </c>
      <c r="B284" s="49" t="s">
        <v>10651</v>
      </c>
      <c r="C284" s="49" t="s">
        <v>311</v>
      </c>
      <c r="D284" s="49" t="s">
        <v>10737</v>
      </c>
      <c r="E284" s="49">
        <v>628988759290</v>
      </c>
      <c r="F284" s="96">
        <v>45832</v>
      </c>
      <c r="G284" s="95">
        <v>145</v>
      </c>
      <c r="H284" s="49" t="s">
        <v>12670</v>
      </c>
      <c r="I284" s="97">
        <v>16183.333333333334</v>
      </c>
      <c r="J284" s="95">
        <v>5</v>
      </c>
      <c r="K284" s="102">
        <v>2913</v>
      </c>
      <c r="L284" s="95">
        <v>1</v>
      </c>
      <c r="M284" s="95">
        <v>22</v>
      </c>
      <c r="N284" s="95">
        <v>0</v>
      </c>
      <c r="O284" s="49" t="s">
        <v>10738</v>
      </c>
    </row>
    <row r="285" spans="1:15">
      <c r="A285" s="95">
        <v>174904221976312</v>
      </c>
      <c r="B285" s="49" t="s">
        <v>10651</v>
      </c>
      <c r="C285" s="49" t="s">
        <v>311</v>
      </c>
      <c r="D285" s="49" t="s">
        <v>10737</v>
      </c>
      <c r="E285" s="49">
        <v>628988759290</v>
      </c>
      <c r="F285" s="96">
        <v>45832</v>
      </c>
      <c r="G285" s="95">
        <v>38</v>
      </c>
      <c r="H285" s="49" t="s">
        <v>12671</v>
      </c>
      <c r="I285" s="97">
        <v>18073.17073170732</v>
      </c>
      <c r="J285" s="95">
        <v>2</v>
      </c>
      <c r="K285" s="102">
        <v>741</v>
      </c>
      <c r="L285" s="95">
        <v>0</v>
      </c>
      <c r="M285" s="95">
        <v>8</v>
      </c>
      <c r="N285" s="95">
        <v>0</v>
      </c>
      <c r="O285" s="49" t="s">
        <v>10738</v>
      </c>
    </row>
    <row r="286" spans="1:15">
      <c r="A286" s="95">
        <v>174904221976312</v>
      </c>
      <c r="B286" s="49" t="s">
        <v>10651</v>
      </c>
      <c r="C286" s="49" t="s">
        <v>311</v>
      </c>
      <c r="D286" s="49" t="s">
        <v>10737</v>
      </c>
      <c r="E286" s="49">
        <v>628988759290</v>
      </c>
      <c r="F286" s="96">
        <v>45832</v>
      </c>
      <c r="G286" s="95">
        <v>20</v>
      </c>
      <c r="H286" s="49" t="s">
        <v>12672</v>
      </c>
      <c r="I286" s="97">
        <v>33269.230769230766</v>
      </c>
      <c r="J286" s="95">
        <v>4</v>
      </c>
      <c r="K286" s="102">
        <v>865</v>
      </c>
      <c r="L286" s="95">
        <v>0</v>
      </c>
      <c r="M286" s="95">
        <v>3</v>
      </c>
      <c r="N286" s="95">
        <v>0</v>
      </c>
      <c r="O286" s="49" t="s">
        <v>10738</v>
      </c>
    </row>
    <row r="287" spans="1:15">
      <c r="A287" s="95">
        <v>174904221976312</v>
      </c>
      <c r="B287" s="49" t="s">
        <v>10651</v>
      </c>
      <c r="C287" s="49" t="s">
        <v>10778</v>
      </c>
      <c r="D287" s="49" t="s">
        <v>3140</v>
      </c>
      <c r="F287" s="96">
        <v>45832</v>
      </c>
      <c r="G287" s="95">
        <v>1428</v>
      </c>
      <c r="H287" s="49" t="s">
        <v>12667</v>
      </c>
      <c r="I287" s="97">
        <v>1318.8602442333786</v>
      </c>
      <c r="J287" s="95">
        <v>18</v>
      </c>
      <c r="K287" s="102">
        <v>1944</v>
      </c>
      <c r="L287" s="95">
        <v>0</v>
      </c>
      <c r="M287" s="95">
        <v>84</v>
      </c>
      <c r="N287" s="95">
        <v>0</v>
      </c>
      <c r="O287" s="49" t="s">
        <v>10779</v>
      </c>
    </row>
    <row r="288" spans="1:15">
      <c r="A288" s="95">
        <v>174904221976312</v>
      </c>
      <c r="B288" s="49" t="s">
        <v>10651</v>
      </c>
      <c r="C288" s="49" t="s">
        <v>10778</v>
      </c>
      <c r="D288" s="49" t="s">
        <v>3140</v>
      </c>
      <c r="F288" s="96">
        <v>45832</v>
      </c>
      <c r="G288" s="95">
        <v>1602</v>
      </c>
      <c r="H288" s="49" t="s">
        <v>12668</v>
      </c>
      <c r="I288" s="97">
        <v>1786.6666666666665</v>
      </c>
      <c r="J288" s="95">
        <v>23</v>
      </c>
      <c r="K288" s="102">
        <v>3082</v>
      </c>
      <c r="L288" s="95">
        <v>0</v>
      </c>
      <c r="M288" s="95">
        <v>148</v>
      </c>
      <c r="N288" s="95">
        <v>0</v>
      </c>
      <c r="O288" s="49" t="s">
        <v>10779</v>
      </c>
    </row>
    <row r="289" spans="1:15">
      <c r="A289" s="95">
        <v>174904221976312</v>
      </c>
      <c r="B289" s="49" t="s">
        <v>10651</v>
      </c>
      <c r="C289" s="49" t="s">
        <v>10778</v>
      </c>
      <c r="D289" s="49" t="s">
        <v>3140</v>
      </c>
      <c r="F289" s="96">
        <v>45832</v>
      </c>
      <c r="G289" s="95">
        <v>1420</v>
      </c>
      <c r="H289" s="49" t="s">
        <v>12669</v>
      </c>
      <c r="I289" s="97">
        <v>2507.0943861813694</v>
      </c>
      <c r="J289" s="95">
        <v>26</v>
      </c>
      <c r="K289" s="102">
        <v>4064</v>
      </c>
      <c r="L289" s="95">
        <v>0</v>
      </c>
      <c r="M289" s="95">
        <v>207</v>
      </c>
      <c r="N289" s="95">
        <v>0</v>
      </c>
      <c r="O289" s="49" t="s">
        <v>10779</v>
      </c>
    </row>
    <row r="290" spans="1:15">
      <c r="A290" s="95">
        <v>174904221976312</v>
      </c>
      <c r="B290" s="49" t="s">
        <v>10651</v>
      </c>
      <c r="C290" s="49" t="s">
        <v>10778</v>
      </c>
      <c r="D290" s="49" t="s">
        <v>3140</v>
      </c>
      <c r="F290" s="96">
        <v>45832</v>
      </c>
      <c r="G290" s="95">
        <v>560</v>
      </c>
      <c r="H290" s="49" t="s">
        <v>12670</v>
      </c>
      <c r="I290" s="97">
        <v>3153.5947712418301</v>
      </c>
      <c r="J290" s="95">
        <v>10</v>
      </c>
      <c r="K290" s="102">
        <v>1930</v>
      </c>
      <c r="L290" s="95">
        <v>0</v>
      </c>
      <c r="M290" s="95">
        <v>62</v>
      </c>
      <c r="N290" s="95">
        <v>0</v>
      </c>
      <c r="O290" s="49" t="s">
        <v>10779</v>
      </c>
    </row>
    <row r="291" spans="1:15">
      <c r="A291" s="95">
        <v>174904221976312</v>
      </c>
      <c r="B291" s="49" t="s">
        <v>10651</v>
      </c>
      <c r="C291" s="49" t="s">
        <v>10778</v>
      </c>
      <c r="D291" s="49" t="s">
        <v>3140</v>
      </c>
      <c r="F291" s="96">
        <v>45832</v>
      </c>
      <c r="G291" s="95">
        <v>122</v>
      </c>
      <c r="H291" s="49" t="s">
        <v>12671</v>
      </c>
      <c r="I291" s="97">
        <v>3195.9459459459463</v>
      </c>
      <c r="J291" s="95">
        <v>5</v>
      </c>
      <c r="K291" s="102">
        <v>473</v>
      </c>
      <c r="L291" s="95">
        <v>0</v>
      </c>
      <c r="M291" s="95">
        <v>13</v>
      </c>
      <c r="N291" s="95">
        <v>0</v>
      </c>
      <c r="O291" s="49" t="s">
        <v>10779</v>
      </c>
    </row>
    <row r="292" spans="1:15">
      <c r="A292" s="95">
        <v>174904221976312</v>
      </c>
      <c r="B292" s="49" t="s">
        <v>10651</v>
      </c>
      <c r="C292" s="49" t="s">
        <v>10778</v>
      </c>
      <c r="D292" s="49" t="s">
        <v>3140</v>
      </c>
      <c r="F292" s="96">
        <v>45832</v>
      </c>
      <c r="G292" s="95">
        <v>94</v>
      </c>
      <c r="H292" s="49" t="s">
        <v>12672</v>
      </c>
      <c r="I292" s="97">
        <v>2410.7142857142858</v>
      </c>
      <c r="J292" s="95">
        <v>3</v>
      </c>
      <c r="K292" s="102">
        <v>270</v>
      </c>
      <c r="L292" s="95">
        <v>0</v>
      </c>
      <c r="M292" s="95">
        <v>9</v>
      </c>
      <c r="N292" s="95">
        <v>0</v>
      </c>
      <c r="O292" s="49" t="s">
        <v>10779</v>
      </c>
    </row>
    <row r="293" spans="1:15">
      <c r="A293" s="95">
        <v>174904221976312</v>
      </c>
      <c r="B293" s="49" t="s">
        <v>10651</v>
      </c>
      <c r="C293" s="49" t="s">
        <v>10673</v>
      </c>
      <c r="D293" s="49" t="s">
        <v>10674</v>
      </c>
      <c r="E293" s="49">
        <v>6282183184641</v>
      </c>
      <c r="F293" s="96">
        <v>45832</v>
      </c>
      <c r="G293" s="95">
        <v>15</v>
      </c>
      <c r="H293" s="49" t="s">
        <v>12667</v>
      </c>
      <c r="I293" s="97">
        <v>9533.3333333333339</v>
      </c>
      <c r="J293" s="95">
        <v>0</v>
      </c>
      <c r="K293" s="102">
        <v>143</v>
      </c>
      <c r="L293" s="95">
        <v>0</v>
      </c>
      <c r="M293" s="95">
        <v>0</v>
      </c>
      <c r="N293" s="95">
        <v>0</v>
      </c>
      <c r="O293" s="49" t="s">
        <v>10916</v>
      </c>
    </row>
    <row r="294" spans="1:15">
      <c r="A294" s="95">
        <v>174904221976312</v>
      </c>
      <c r="B294" s="49" t="s">
        <v>10651</v>
      </c>
      <c r="C294" s="49" t="s">
        <v>10673</v>
      </c>
      <c r="D294" s="49" t="s">
        <v>10674</v>
      </c>
      <c r="E294" s="49">
        <v>6282183184641</v>
      </c>
      <c r="F294" s="96">
        <v>45832</v>
      </c>
      <c r="G294" s="95">
        <v>101</v>
      </c>
      <c r="H294" s="49" t="s">
        <v>12668</v>
      </c>
      <c r="I294" s="97">
        <v>19992.907801418442</v>
      </c>
      <c r="J294" s="95">
        <v>0</v>
      </c>
      <c r="K294" s="102">
        <v>2819</v>
      </c>
      <c r="L294" s="95">
        <v>0</v>
      </c>
      <c r="M294" s="95">
        <v>0</v>
      </c>
      <c r="N294" s="95">
        <v>0</v>
      </c>
      <c r="O294" s="49" t="s">
        <v>10916</v>
      </c>
    </row>
    <row r="295" spans="1:15">
      <c r="A295" s="95">
        <v>174904221976312</v>
      </c>
      <c r="B295" s="49" t="s">
        <v>10651</v>
      </c>
      <c r="C295" s="49" t="s">
        <v>10673</v>
      </c>
      <c r="D295" s="49" t="s">
        <v>10674</v>
      </c>
      <c r="E295" s="49">
        <v>6282183184641</v>
      </c>
      <c r="F295" s="96">
        <v>45832</v>
      </c>
      <c r="G295" s="95">
        <v>113</v>
      </c>
      <c r="H295" s="49" t="s">
        <v>12669</v>
      </c>
      <c r="I295" s="97">
        <v>18957.317073170732</v>
      </c>
      <c r="J295" s="95">
        <v>3</v>
      </c>
      <c r="K295" s="102">
        <v>3109</v>
      </c>
      <c r="L295" s="95">
        <v>0</v>
      </c>
      <c r="M295" s="95">
        <v>0</v>
      </c>
      <c r="N295" s="95">
        <v>0</v>
      </c>
      <c r="O295" s="49" t="s">
        <v>10916</v>
      </c>
    </row>
    <row r="296" spans="1:15">
      <c r="A296" s="95">
        <v>174904221976312</v>
      </c>
      <c r="B296" s="49" t="s">
        <v>10651</v>
      </c>
      <c r="C296" s="49" t="s">
        <v>10673</v>
      </c>
      <c r="D296" s="49" t="s">
        <v>10674</v>
      </c>
      <c r="E296" s="49">
        <v>6282183184641</v>
      </c>
      <c r="F296" s="96">
        <v>45832</v>
      </c>
      <c r="G296" s="95">
        <v>91</v>
      </c>
      <c r="H296" s="49" t="s">
        <v>12670</v>
      </c>
      <c r="I296" s="97">
        <v>36756.302521008402</v>
      </c>
      <c r="J296" s="95">
        <v>7</v>
      </c>
      <c r="K296" s="102">
        <v>4374</v>
      </c>
      <c r="L296" s="95">
        <v>0</v>
      </c>
      <c r="M296" s="95">
        <v>2</v>
      </c>
      <c r="N296" s="95">
        <v>0</v>
      </c>
      <c r="O296" s="49" t="s">
        <v>10916</v>
      </c>
    </row>
    <row r="297" spans="1:15">
      <c r="A297" s="95">
        <v>174904221976312</v>
      </c>
      <c r="B297" s="49" t="s">
        <v>10651</v>
      </c>
      <c r="C297" s="49" t="s">
        <v>10673</v>
      </c>
      <c r="D297" s="49" t="s">
        <v>10674</v>
      </c>
      <c r="E297" s="49">
        <v>6282183184641</v>
      </c>
      <c r="F297" s="96">
        <v>45832</v>
      </c>
      <c r="G297" s="95">
        <v>41</v>
      </c>
      <c r="H297" s="49" t="s">
        <v>12671</v>
      </c>
      <c r="I297" s="97">
        <v>34063.829787234041</v>
      </c>
      <c r="J297" s="95">
        <v>5</v>
      </c>
      <c r="K297" s="102">
        <v>1601</v>
      </c>
      <c r="L297" s="95">
        <v>0</v>
      </c>
      <c r="M297" s="95">
        <v>0</v>
      </c>
      <c r="N297" s="95">
        <v>0</v>
      </c>
      <c r="O297" s="49" t="s">
        <v>10916</v>
      </c>
    </row>
    <row r="298" spans="1:15">
      <c r="A298" s="95">
        <v>174904221976312</v>
      </c>
      <c r="B298" s="49" t="s">
        <v>10651</v>
      </c>
      <c r="C298" s="49" t="s">
        <v>10673</v>
      </c>
      <c r="D298" s="49" t="s">
        <v>10674</v>
      </c>
      <c r="E298" s="49">
        <v>6282183184641</v>
      </c>
      <c r="F298" s="96">
        <v>45832</v>
      </c>
      <c r="G298" s="95">
        <v>8</v>
      </c>
      <c r="H298" s="49" t="s">
        <v>12672</v>
      </c>
      <c r="I298" s="97">
        <v>10888.888888888889</v>
      </c>
      <c r="J298" s="95">
        <v>0</v>
      </c>
      <c r="K298" s="102">
        <v>98</v>
      </c>
      <c r="L298" s="95">
        <v>0</v>
      </c>
      <c r="M298" s="95">
        <v>0</v>
      </c>
      <c r="N298" s="95">
        <v>0</v>
      </c>
      <c r="O298" s="49" t="s">
        <v>10916</v>
      </c>
    </row>
    <row r="299" spans="1:15">
      <c r="A299" s="95">
        <v>174904221976312</v>
      </c>
      <c r="B299" s="49" t="s">
        <v>10651</v>
      </c>
      <c r="C299" s="49" t="s">
        <v>10652</v>
      </c>
      <c r="D299" s="49" t="s">
        <v>10653</v>
      </c>
      <c r="E299" s="49">
        <v>6281348555887</v>
      </c>
      <c r="F299" s="96">
        <v>45832</v>
      </c>
      <c r="G299" s="95">
        <v>138</v>
      </c>
      <c r="H299" s="49" t="s">
        <v>12668</v>
      </c>
      <c r="I299" s="97">
        <v>9944.0993788819869</v>
      </c>
      <c r="J299" s="95">
        <v>6</v>
      </c>
      <c r="K299" s="102">
        <v>1601</v>
      </c>
      <c r="L299" s="95">
        <v>0</v>
      </c>
      <c r="M299" s="95">
        <v>36</v>
      </c>
      <c r="N299" s="95">
        <v>0</v>
      </c>
      <c r="O299" s="49" t="s">
        <v>10654</v>
      </c>
    </row>
    <row r="300" spans="1:15">
      <c r="A300" s="95">
        <v>174904221976312</v>
      </c>
      <c r="B300" s="49" t="s">
        <v>10651</v>
      </c>
      <c r="C300" s="49" t="s">
        <v>10652</v>
      </c>
      <c r="D300" s="49" t="s">
        <v>10653</v>
      </c>
      <c r="E300" s="49">
        <v>6281348555887</v>
      </c>
      <c r="F300" s="96">
        <v>45832</v>
      </c>
      <c r="G300" s="95">
        <v>471</v>
      </c>
      <c r="H300" s="49" t="s">
        <v>12669</v>
      </c>
      <c r="I300" s="97">
        <v>12549.371633752244</v>
      </c>
      <c r="J300" s="95">
        <v>17</v>
      </c>
      <c r="K300" s="102">
        <v>6990</v>
      </c>
      <c r="L300" s="95">
        <v>0</v>
      </c>
      <c r="M300" s="95">
        <v>156</v>
      </c>
      <c r="N300" s="95">
        <v>0</v>
      </c>
      <c r="O300" s="49" t="s">
        <v>10654</v>
      </c>
    </row>
    <row r="301" spans="1:15">
      <c r="A301" s="95">
        <v>174904221976312</v>
      </c>
      <c r="B301" s="49" t="s">
        <v>10651</v>
      </c>
      <c r="C301" s="49" t="s">
        <v>10652</v>
      </c>
      <c r="D301" s="49" t="s">
        <v>10653</v>
      </c>
      <c r="E301" s="49">
        <v>6281348555887</v>
      </c>
      <c r="F301" s="96">
        <v>45832</v>
      </c>
      <c r="G301" s="95">
        <v>165</v>
      </c>
      <c r="H301" s="49" t="s">
        <v>12670</v>
      </c>
      <c r="I301" s="97">
        <v>18369.23076923077</v>
      </c>
      <c r="J301" s="95">
        <v>5</v>
      </c>
      <c r="K301" s="102">
        <v>3582</v>
      </c>
      <c r="L301" s="95">
        <v>0</v>
      </c>
      <c r="M301" s="95">
        <v>59</v>
      </c>
      <c r="N301" s="95">
        <v>0</v>
      </c>
      <c r="O301" s="49" t="s">
        <v>10654</v>
      </c>
    </row>
    <row r="302" spans="1:15">
      <c r="A302" s="95">
        <v>174904221976312</v>
      </c>
      <c r="B302" s="49" t="s">
        <v>10651</v>
      </c>
      <c r="C302" s="49" t="s">
        <v>10652</v>
      </c>
      <c r="D302" s="49" t="s">
        <v>10653</v>
      </c>
      <c r="E302" s="49">
        <v>6281348555887</v>
      </c>
      <c r="F302" s="96">
        <v>45832</v>
      </c>
      <c r="G302" s="95">
        <v>10</v>
      </c>
      <c r="H302" s="49" t="s">
        <v>12671</v>
      </c>
      <c r="I302" s="97">
        <v>85833.333333333328</v>
      </c>
      <c r="J302" s="95">
        <v>1</v>
      </c>
      <c r="K302" s="102">
        <v>1030</v>
      </c>
      <c r="L302" s="95">
        <v>0</v>
      </c>
      <c r="M302" s="95">
        <v>5</v>
      </c>
      <c r="N302" s="95">
        <v>0</v>
      </c>
      <c r="O302" s="49" t="s">
        <v>10654</v>
      </c>
    </row>
    <row r="303" spans="1:15">
      <c r="A303" s="95">
        <v>174904221976312</v>
      </c>
      <c r="B303" s="49" t="s">
        <v>10651</v>
      </c>
      <c r="C303" s="49" t="s">
        <v>10652</v>
      </c>
      <c r="D303" s="49" t="s">
        <v>10653</v>
      </c>
      <c r="E303" s="49">
        <v>6281348555887</v>
      </c>
      <c r="F303" s="96">
        <v>45832</v>
      </c>
      <c r="G303" s="95">
        <v>14</v>
      </c>
      <c r="H303" s="49" t="s">
        <v>12672</v>
      </c>
      <c r="I303" s="97">
        <v>6222.2222222222226</v>
      </c>
      <c r="J303" s="95">
        <v>3</v>
      </c>
      <c r="K303" s="102">
        <v>112</v>
      </c>
      <c r="L303" s="95">
        <v>0</v>
      </c>
      <c r="M303" s="95">
        <v>4</v>
      </c>
      <c r="N303" s="95">
        <v>0</v>
      </c>
      <c r="O303" s="49" t="s">
        <v>10654</v>
      </c>
    </row>
    <row r="304" spans="1:15">
      <c r="A304" s="95">
        <v>174904221976312</v>
      </c>
      <c r="B304" s="49" t="s">
        <v>10651</v>
      </c>
      <c r="C304" s="49" t="s">
        <v>10659</v>
      </c>
      <c r="D304" s="49" t="s">
        <v>1044</v>
      </c>
      <c r="E304" s="49">
        <v>6281263113266</v>
      </c>
      <c r="F304" s="96">
        <v>45832</v>
      </c>
      <c r="G304" s="95">
        <v>39</v>
      </c>
      <c r="H304" s="49" t="s">
        <v>12667</v>
      </c>
      <c r="I304" s="97">
        <v>6395.833333333333</v>
      </c>
      <c r="J304" s="95">
        <v>2</v>
      </c>
      <c r="K304" s="102">
        <v>307</v>
      </c>
      <c r="L304" s="95">
        <v>0</v>
      </c>
      <c r="M304" s="95">
        <v>0</v>
      </c>
      <c r="N304" s="95">
        <v>1</v>
      </c>
      <c r="O304" s="49" t="s">
        <v>10660</v>
      </c>
    </row>
    <row r="305" spans="1:15">
      <c r="A305" s="95">
        <v>174904221976312</v>
      </c>
      <c r="B305" s="49" t="s">
        <v>10651</v>
      </c>
      <c r="C305" s="49" t="s">
        <v>10659</v>
      </c>
      <c r="D305" s="49" t="s">
        <v>1044</v>
      </c>
      <c r="E305" s="49">
        <v>6281263113266</v>
      </c>
      <c r="F305" s="96">
        <v>45832</v>
      </c>
      <c r="G305" s="95">
        <v>374</v>
      </c>
      <c r="H305" s="49" t="s">
        <v>12668</v>
      </c>
      <c r="I305" s="97">
        <v>7777.5377969762421</v>
      </c>
      <c r="J305" s="95">
        <v>11</v>
      </c>
      <c r="K305" s="102">
        <v>3601</v>
      </c>
      <c r="L305" s="95">
        <v>0</v>
      </c>
      <c r="M305" s="95">
        <v>0</v>
      </c>
      <c r="N305" s="95">
        <v>0</v>
      </c>
      <c r="O305" s="49" t="s">
        <v>10660</v>
      </c>
    </row>
    <row r="306" spans="1:15">
      <c r="A306" s="95">
        <v>174904221976312</v>
      </c>
      <c r="B306" s="49" t="s">
        <v>10651</v>
      </c>
      <c r="C306" s="49" t="s">
        <v>10659</v>
      </c>
      <c r="D306" s="49" t="s">
        <v>1044</v>
      </c>
      <c r="E306" s="49">
        <v>6281263113266</v>
      </c>
      <c r="F306" s="96">
        <v>45832</v>
      </c>
      <c r="G306" s="95">
        <v>393</v>
      </c>
      <c r="H306" s="49" t="s">
        <v>12669</v>
      </c>
      <c r="I306" s="97">
        <v>9435.8974358974356</v>
      </c>
      <c r="J306" s="95">
        <v>26</v>
      </c>
      <c r="K306" s="102">
        <v>4416</v>
      </c>
      <c r="L306" s="95">
        <v>2</v>
      </c>
      <c r="M306" s="95">
        <v>0</v>
      </c>
      <c r="N306" s="95">
        <v>0</v>
      </c>
      <c r="O306" s="49" t="s">
        <v>10660</v>
      </c>
    </row>
    <row r="307" spans="1:15">
      <c r="A307" s="95">
        <v>174904221976312</v>
      </c>
      <c r="B307" s="49" t="s">
        <v>10651</v>
      </c>
      <c r="C307" s="49" t="s">
        <v>10659</v>
      </c>
      <c r="D307" s="49" t="s">
        <v>1044</v>
      </c>
      <c r="E307" s="49">
        <v>6281263113266</v>
      </c>
      <c r="F307" s="96">
        <v>45832</v>
      </c>
      <c r="G307" s="95">
        <v>298</v>
      </c>
      <c r="H307" s="49" t="s">
        <v>12670</v>
      </c>
      <c r="I307" s="97">
        <v>10741.379310344828</v>
      </c>
      <c r="J307" s="95">
        <v>15</v>
      </c>
      <c r="K307" s="102">
        <v>3738</v>
      </c>
      <c r="L307" s="95">
        <v>1</v>
      </c>
      <c r="M307" s="95">
        <v>0</v>
      </c>
      <c r="N307" s="95">
        <v>0</v>
      </c>
      <c r="O307" s="49" t="s">
        <v>10660</v>
      </c>
    </row>
    <row r="308" spans="1:15">
      <c r="A308" s="95">
        <v>174904221976312</v>
      </c>
      <c r="B308" s="49" t="s">
        <v>10651</v>
      </c>
      <c r="C308" s="49" t="s">
        <v>10659</v>
      </c>
      <c r="D308" s="49" t="s">
        <v>1044</v>
      </c>
      <c r="E308" s="49">
        <v>6281263113266</v>
      </c>
      <c r="F308" s="96">
        <v>45832</v>
      </c>
      <c r="G308" s="95">
        <v>123</v>
      </c>
      <c r="H308" s="49" t="s">
        <v>12671</v>
      </c>
      <c r="I308" s="97">
        <v>13661.870503597122</v>
      </c>
      <c r="J308" s="95">
        <v>10</v>
      </c>
      <c r="K308" s="102">
        <v>1899</v>
      </c>
      <c r="L308" s="95">
        <v>2</v>
      </c>
      <c r="M308" s="95">
        <v>0</v>
      </c>
      <c r="N308" s="95">
        <v>0</v>
      </c>
      <c r="O308" s="49" t="s">
        <v>10660</v>
      </c>
    </row>
    <row r="309" spans="1:15">
      <c r="A309" s="95">
        <v>174904221976312</v>
      </c>
      <c r="B309" s="49" t="s">
        <v>10651</v>
      </c>
      <c r="C309" s="49" t="s">
        <v>10659</v>
      </c>
      <c r="D309" s="49" t="s">
        <v>1044</v>
      </c>
      <c r="E309" s="49">
        <v>6281263113266</v>
      </c>
      <c r="F309" s="96">
        <v>45832</v>
      </c>
      <c r="G309" s="95">
        <v>44</v>
      </c>
      <c r="H309" s="49" t="s">
        <v>12672</v>
      </c>
      <c r="I309" s="97">
        <v>8351.8518518518504</v>
      </c>
      <c r="J309" s="95">
        <v>1</v>
      </c>
      <c r="K309" s="102">
        <v>451</v>
      </c>
      <c r="L309" s="95">
        <v>0</v>
      </c>
      <c r="M309" s="95">
        <v>0</v>
      </c>
      <c r="N309" s="95">
        <v>0</v>
      </c>
      <c r="O309" s="49" t="s">
        <v>10660</v>
      </c>
    </row>
    <row r="310" spans="1:15">
      <c r="A310" s="95">
        <v>174904221976312</v>
      </c>
      <c r="B310" s="49" t="s">
        <v>10651</v>
      </c>
      <c r="C310" s="49" t="s">
        <v>10833</v>
      </c>
      <c r="D310" s="49" t="s">
        <v>10834</v>
      </c>
      <c r="E310" s="49">
        <v>6282242925264</v>
      </c>
      <c r="F310" s="96">
        <v>45832</v>
      </c>
      <c r="G310" s="95">
        <v>1005</v>
      </c>
      <c r="H310" s="49" t="s">
        <v>12668</v>
      </c>
      <c r="I310" s="97">
        <v>4755.2213868003346</v>
      </c>
      <c r="J310" s="95">
        <v>42</v>
      </c>
      <c r="K310" s="102">
        <v>5692</v>
      </c>
      <c r="L310" s="95">
        <v>5</v>
      </c>
      <c r="M310" s="95">
        <v>300</v>
      </c>
      <c r="N310" s="95">
        <v>0</v>
      </c>
      <c r="O310" s="49" t="s">
        <v>10835</v>
      </c>
    </row>
    <row r="311" spans="1:15">
      <c r="A311" s="95">
        <v>174904221976312</v>
      </c>
      <c r="B311" s="49" t="s">
        <v>10651</v>
      </c>
      <c r="C311" s="49" t="s">
        <v>10833</v>
      </c>
      <c r="D311" s="49" t="s">
        <v>10834</v>
      </c>
      <c r="E311" s="49">
        <v>6282242925264</v>
      </c>
      <c r="F311" s="96">
        <v>45832</v>
      </c>
      <c r="G311" s="95">
        <v>960</v>
      </c>
      <c r="H311" s="49" t="s">
        <v>12669</v>
      </c>
      <c r="I311" s="97">
        <v>4746.6063348416292</v>
      </c>
      <c r="J311" s="95">
        <v>30</v>
      </c>
      <c r="K311" s="102">
        <v>5245</v>
      </c>
      <c r="L311" s="95">
        <v>2</v>
      </c>
      <c r="M311" s="95">
        <v>275</v>
      </c>
      <c r="N311" s="95">
        <v>0</v>
      </c>
      <c r="O311" s="49" t="s">
        <v>10835</v>
      </c>
    </row>
    <row r="312" spans="1:15">
      <c r="A312" s="95">
        <v>174904221976312</v>
      </c>
      <c r="B312" s="49" t="s">
        <v>10651</v>
      </c>
      <c r="C312" s="49" t="s">
        <v>10833</v>
      </c>
      <c r="D312" s="49" t="s">
        <v>10834</v>
      </c>
      <c r="E312" s="49">
        <v>6282242925264</v>
      </c>
      <c r="F312" s="96">
        <v>45832</v>
      </c>
      <c r="G312" s="95">
        <v>340</v>
      </c>
      <c r="H312" s="49" t="s">
        <v>12670</v>
      </c>
      <c r="I312" s="97">
        <v>4434.5549738219897</v>
      </c>
      <c r="J312" s="95">
        <v>14</v>
      </c>
      <c r="K312" s="102">
        <v>1694</v>
      </c>
      <c r="L312" s="95">
        <v>1</v>
      </c>
      <c r="M312" s="95">
        <v>109</v>
      </c>
      <c r="N312" s="95">
        <v>1</v>
      </c>
      <c r="O312" s="49" t="s">
        <v>10835</v>
      </c>
    </row>
    <row r="313" spans="1:15">
      <c r="A313" s="95">
        <v>174904221976312</v>
      </c>
      <c r="B313" s="49" t="s">
        <v>10651</v>
      </c>
      <c r="C313" s="49" t="s">
        <v>10833</v>
      </c>
      <c r="D313" s="49" t="s">
        <v>10834</v>
      </c>
      <c r="E313" s="49">
        <v>6282242925264</v>
      </c>
      <c r="F313" s="96">
        <v>45832</v>
      </c>
      <c r="G313" s="95">
        <v>57</v>
      </c>
      <c r="H313" s="49" t="s">
        <v>12671</v>
      </c>
      <c r="I313" s="97">
        <v>7580.6451612903229</v>
      </c>
      <c r="J313" s="95">
        <v>2</v>
      </c>
      <c r="K313" s="102">
        <v>470</v>
      </c>
      <c r="L313" s="95">
        <v>0</v>
      </c>
      <c r="M313" s="95">
        <v>28</v>
      </c>
      <c r="N313" s="95">
        <v>0</v>
      </c>
      <c r="O313" s="49" t="s">
        <v>10835</v>
      </c>
    </row>
    <row r="314" spans="1:15">
      <c r="A314" s="95">
        <v>174904221976312</v>
      </c>
      <c r="B314" s="49" t="s">
        <v>10651</v>
      </c>
      <c r="C314" s="49" t="s">
        <v>10833</v>
      </c>
      <c r="D314" s="49" t="s">
        <v>10834</v>
      </c>
      <c r="E314" s="49">
        <v>6282242925264</v>
      </c>
      <c r="F314" s="96">
        <v>45832</v>
      </c>
      <c r="G314" s="95">
        <v>67</v>
      </c>
      <c r="H314" s="49" t="s">
        <v>12672</v>
      </c>
      <c r="I314" s="97">
        <v>3630.1369863013697</v>
      </c>
      <c r="J314" s="95">
        <v>1</v>
      </c>
      <c r="K314" s="102">
        <v>265</v>
      </c>
      <c r="L314" s="95">
        <v>0</v>
      </c>
      <c r="M314" s="95">
        <v>17</v>
      </c>
      <c r="N314" s="95">
        <v>0</v>
      </c>
      <c r="O314" s="49" t="s">
        <v>10835</v>
      </c>
    </row>
    <row r="315" spans="1:15">
      <c r="A315" s="95">
        <v>766589657993298</v>
      </c>
      <c r="B315" s="49" t="s">
        <v>10688</v>
      </c>
      <c r="C315" s="49" t="s">
        <v>10917</v>
      </c>
      <c r="D315" s="49" t="s">
        <v>1037</v>
      </c>
      <c r="E315" s="49">
        <v>6281383434602</v>
      </c>
      <c r="F315" s="96">
        <v>45832</v>
      </c>
      <c r="G315" s="95">
        <v>34</v>
      </c>
      <c r="H315" s="49" t="s">
        <v>12667</v>
      </c>
      <c r="I315" s="97">
        <v>19864.864864864863</v>
      </c>
      <c r="J315" s="95">
        <v>0</v>
      </c>
      <c r="K315" s="102">
        <v>735</v>
      </c>
      <c r="L315" s="95">
        <v>0</v>
      </c>
      <c r="M315" s="95">
        <v>11</v>
      </c>
      <c r="N315" s="95">
        <v>0</v>
      </c>
      <c r="O315" s="49" t="s">
        <v>10918</v>
      </c>
    </row>
    <row r="316" spans="1:15">
      <c r="A316" s="95">
        <v>766589657993298</v>
      </c>
      <c r="B316" s="49" t="s">
        <v>10688</v>
      </c>
      <c r="C316" s="49" t="s">
        <v>10917</v>
      </c>
      <c r="D316" s="49" t="s">
        <v>1037</v>
      </c>
      <c r="E316" s="49">
        <v>6281383434602</v>
      </c>
      <c r="F316" s="96">
        <v>45832</v>
      </c>
      <c r="G316" s="95">
        <v>114</v>
      </c>
      <c r="H316" s="49" t="s">
        <v>12668</v>
      </c>
      <c r="I316" s="97">
        <v>21350.427350427348</v>
      </c>
      <c r="J316" s="95">
        <v>0</v>
      </c>
      <c r="K316" s="102">
        <v>2498</v>
      </c>
      <c r="L316" s="95">
        <v>0</v>
      </c>
      <c r="M316" s="95">
        <v>22</v>
      </c>
      <c r="N316" s="95">
        <v>0</v>
      </c>
      <c r="O316" s="49" t="s">
        <v>10918</v>
      </c>
    </row>
    <row r="317" spans="1:15">
      <c r="A317" s="95">
        <v>766589657993298</v>
      </c>
      <c r="B317" s="49" t="s">
        <v>10688</v>
      </c>
      <c r="C317" s="49" t="s">
        <v>10917</v>
      </c>
      <c r="D317" s="49" t="s">
        <v>1037</v>
      </c>
      <c r="E317" s="49">
        <v>6281383434602</v>
      </c>
      <c r="F317" s="96">
        <v>45832</v>
      </c>
      <c r="G317" s="95">
        <v>100</v>
      </c>
      <c r="H317" s="49" t="s">
        <v>12669</v>
      </c>
      <c r="I317" s="97">
        <v>36543.103448275862</v>
      </c>
      <c r="J317" s="95">
        <v>2</v>
      </c>
      <c r="K317" s="102">
        <v>4239</v>
      </c>
      <c r="L317" s="95">
        <v>1</v>
      </c>
      <c r="M317" s="95">
        <v>31</v>
      </c>
      <c r="N317" s="95">
        <v>0</v>
      </c>
      <c r="O317" s="49" t="s">
        <v>10918</v>
      </c>
    </row>
    <row r="318" spans="1:15">
      <c r="A318" s="95">
        <v>766589657993298</v>
      </c>
      <c r="B318" s="49" t="s">
        <v>10688</v>
      </c>
      <c r="C318" s="49" t="s">
        <v>10917</v>
      </c>
      <c r="D318" s="49" t="s">
        <v>1037</v>
      </c>
      <c r="E318" s="49">
        <v>6281383434602</v>
      </c>
      <c r="F318" s="96">
        <v>45832</v>
      </c>
      <c r="G318" s="95">
        <v>96</v>
      </c>
      <c r="H318" s="49" t="s">
        <v>12670</v>
      </c>
      <c r="I318" s="97">
        <v>36151.515151515152</v>
      </c>
      <c r="J318" s="95">
        <v>4</v>
      </c>
      <c r="K318" s="102">
        <v>3579</v>
      </c>
      <c r="L318" s="95">
        <v>0</v>
      </c>
      <c r="M318" s="95">
        <v>47</v>
      </c>
      <c r="N318" s="95">
        <v>1</v>
      </c>
      <c r="O318" s="49" t="s">
        <v>10918</v>
      </c>
    </row>
    <row r="319" spans="1:15">
      <c r="A319" s="95">
        <v>766589657993298</v>
      </c>
      <c r="B319" s="49" t="s">
        <v>10688</v>
      </c>
      <c r="C319" s="49" t="s">
        <v>10917</v>
      </c>
      <c r="D319" s="49" t="s">
        <v>1037</v>
      </c>
      <c r="E319" s="49">
        <v>6281383434602</v>
      </c>
      <c r="F319" s="96">
        <v>45832</v>
      </c>
      <c r="G319" s="95">
        <v>28</v>
      </c>
      <c r="H319" s="49" t="s">
        <v>12671</v>
      </c>
      <c r="I319" s="97">
        <v>32250</v>
      </c>
      <c r="J319" s="95">
        <v>0</v>
      </c>
      <c r="K319" s="102">
        <v>903</v>
      </c>
      <c r="L319" s="95">
        <v>0</v>
      </c>
      <c r="M319" s="95">
        <v>10</v>
      </c>
      <c r="N319" s="95">
        <v>0</v>
      </c>
      <c r="O319" s="49" t="s">
        <v>10918</v>
      </c>
    </row>
    <row r="320" spans="1:15">
      <c r="A320" s="95">
        <v>766589657993298</v>
      </c>
      <c r="B320" s="49" t="s">
        <v>10688</v>
      </c>
      <c r="C320" s="49" t="s">
        <v>10917</v>
      </c>
      <c r="D320" s="49" t="s">
        <v>1037</v>
      </c>
      <c r="E320" s="49">
        <v>6281383434602</v>
      </c>
      <c r="F320" s="96">
        <v>45832</v>
      </c>
      <c r="G320" s="95">
        <v>10</v>
      </c>
      <c r="H320" s="49" t="s">
        <v>12672</v>
      </c>
      <c r="I320" s="97">
        <v>100900</v>
      </c>
      <c r="J320" s="95">
        <v>0</v>
      </c>
      <c r="K320" s="102">
        <v>1009</v>
      </c>
      <c r="L320" s="95">
        <v>0</v>
      </c>
      <c r="M320" s="95">
        <v>5</v>
      </c>
      <c r="N320" s="95">
        <v>0</v>
      </c>
      <c r="O320" s="49" t="s">
        <v>10918</v>
      </c>
    </row>
    <row r="321" spans="1:15">
      <c r="A321" s="95">
        <v>766589657993298</v>
      </c>
      <c r="B321" s="49" t="s">
        <v>10688</v>
      </c>
      <c r="C321" s="49" t="s">
        <v>10919</v>
      </c>
      <c r="D321" s="49" t="s">
        <v>951</v>
      </c>
      <c r="E321" s="49">
        <v>6281383899119</v>
      </c>
      <c r="F321" s="96">
        <v>45832</v>
      </c>
      <c r="G321" s="95">
        <v>8</v>
      </c>
      <c r="H321" s="49" t="s">
        <v>12667</v>
      </c>
      <c r="I321" s="97">
        <v>30000</v>
      </c>
      <c r="J321" s="95">
        <v>0</v>
      </c>
      <c r="K321" s="102">
        <v>240</v>
      </c>
      <c r="L321" s="95">
        <v>0</v>
      </c>
      <c r="M321" s="95">
        <v>0</v>
      </c>
      <c r="N321" s="95">
        <v>0</v>
      </c>
      <c r="O321" s="49" t="s">
        <v>10920</v>
      </c>
    </row>
    <row r="322" spans="1:15">
      <c r="A322" s="95">
        <v>766589657993298</v>
      </c>
      <c r="B322" s="49" t="s">
        <v>10688</v>
      </c>
      <c r="C322" s="49" t="s">
        <v>10919</v>
      </c>
      <c r="D322" s="49" t="s">
        <v>951</v>
      </c>
      <c r="E322" s="49">
        <v>6281383899119</v>
      </c>
      <c r="F322" s="96">
        <v>45832</v>
      </c>
      <c r="G322" s="95">
        <v>157</v>
      </c>
      <c r="H322" s="49" t="s">
        <v>12668</v>
      </c>
      <c r="I322" s="97">
        <v>17954.802259887008</v>
      </c>
      <c r="J322" s="95">
        <v>2</v>
      </c>
      <c r="K322" s="102">
        <v>3178</v>
      </c>
      <c r="L322" s="95">
        <v>0</v>
      </c>
      <c r="M322" s="95">
        <v>0</v>
      </c>
      <c r="N322" s="95">
        <v>0</v>
      </c>
      <c r="O322" s="49" t="s">
        <v>10920</v>
      </c>
    </row>
    <row r="323" spans="1:15">
      <c r="A323" s="95">
        <v>766589657993298</v>
      </c>
      <c r="B323" s="49" t="s">
        <v>10688</v>
      </c>
      <c r="C323" s="49" t="s">
        <v>10919</v>
      </c>
      <c r="D323" s="49" t="s">
        <v>951</v>
      </c>
      <c r="E323" s="49">
        <v>6281383899119</v>
      </c>
      <c r="F323" s="96">
        <v>45832</v>
      </c>
      <c r="G323" s="95">
        <v>186</v>
      </c>
      <c r="H323" s="49" t="s">
        <v>12669</v>
      </c>
      <c r="I323" s="97">
        <v>13524.50980392157</v>
      </c>
      <c r="J323" s="95">
        <v>3</v>
      </c>
      <c r="K323" s="102">
        <v>2759</v>
      </c>
      <c r="L323" s="95">
        <v>0</v>
      </c>
      <c r="M323" s="95">
        <v>0</v>
      </c>
      <c r="N323" s="95">
        <v>0</v>
      </c>
      <c r="O323" s="49" t="s">
        <v>10920</v>
      </c>
    </row>
    <row r="324" spans="1:15">
      <c r="A324" s="95">
        <v>766589657993298</v>
      </c>
      <c r="B324" s="49" t="s">
        <v>10688</v>
      </c>
      <c r="C324" s="49" t="s">
        <v>10919</v>
      </c>
      <c r="D324" s="49" t="s">
        <v>951</v>
      </c>
      <c r="E324" s="49">
        <v>6281383899119</v>
      </c>
      <c r="F324" s="96">
        <v>45832</v>
      </c>
      <c r="G324" s="95">
        <v>179</v>
      </c>
      <c r="H324" s="49" t="s">
        <v>12670</v>
      </c>
      <c r="I324" s="97">
        <v>24613.065326633165</v>
      </c>
      <c r="J324" s="95">
        <v>6</v>
      </c>
      <c r="K324" s="102">
        <v>4898</v>
      </c>
      <c r="L324" s="95">
        <v>0</v>
      </c>
      <c r="M324" s="95">
        <v>0</v>
      </c>
      <c r="N324" s="95">
        <v>0</v>
      </c>
      <c r="O324" s="49" t="s">
        <v>10920</v>
      </c>
    </row>
    <row r="325" spans="1:15">
      <c r="A325" s="95">
        <v>766589657993298</v>
      </c>
      <c r="B325" s="49" t="s">
        <v>10688</v>
      </c>
      <c r="C325" s="49" t="s">
        <v>10919</v>
      </c>
      <c r="D325" s="49" t="s">
        <v>951</v>
      </c>
      <c r="E325" s="49">
        <v>6281383899119</v>
      </c>
      <c r="F325" s="96">
        <v>45832</v>
      </c>
      <c r="G325" s="95">
        <v>50</v>
      </c>
      <c r="H325" s="49" t="s">
        <v>12671</v>
      </c>
      <c r="I325" s="97">
        <v>33418.181818181823</v>
      </c>
      <c r="J325" s="95">
        <v>2</v>
      </c>
      <c r="K325" s="102">
        <v>1838</v>
      </c>
      <c r="L325" s="95">
        <v>1</v>
      </c>
      <c r="M325" s="95">
        <v>0</v>
      </c>
      <c r="N325" s="95">
        <v>0</v>
      </c>
      <c r="O325" s="49" t="s">
        <v>10920</v>
      </c>
    </row>
    <row r="326" spans="1:15">
      <c r="A326" s="95">
        <v>766589657993298</v>
      </c>
      <c r="B326" s="49" t="s">
        <v>10688</v>
      </c>
      <c r="C326" s="49" t="s">
        <v>10919</v>
      </c>
      <c r="D326" s="49" t="s">
        <v>951</v>
      </c>
      <c r="E326" s="49">
        <v>6281383899119</v>
      </c>
      <c r="F326" s="96">
        <v>45832</v>
      </c>
      <c r="G326" s="95">
        <v>10</v>
      </c>
      <c r="H326" s="49" t="s">
        <v>12672</v>
      </c>
      <c r="I326" s="97">
        <v>28600</v>
      </c>
      <c r="J326" s="95">
        <v>0</v>
      </c>
      <c r="K326" s="102">
        <v>286</v>
      </c>
      <c r="L326" s="95">
        <v>0</v>
      </c>
      <c r="M326" s="95">
        <v>0</v>
      </c>
      <c r="N326" s="95">
        <v>0</v>
      </c>
      <c r="O326" s="49" t="s">
        <v>10920</v>
      </c>
    </row>
    <row r="327" spans="1:15">
      <c r="A327" s="95">
        <v>759724529202804</v>
      </c>
      <c r="B327" s="49" t="s">
        <v>10621</v>
      </c>
      <c r="C327" s="49" t="s">
        <v>10925</v>
      </c>
      <c r="D327" s="49" t="s">
        <v>10926</v>
      </c>
      <c r="E327" s="49">
        <v>6281233038880</v>
      </c>
      <c r="F327" s="96">
        <v>45833</v>
      </c>
      <c r="G327" s="95">
        <v>2</v>
      </c>
      <c r="H327" s="49" t="s">
        <v>12667</v>
      </c>
      <c r="I327" s="97">
        <v>19500</v>
      </c>
      <c r="J327" s="95">
        <v>0</v>
      </c>
      <c r="K327" s="102">
        <v>39</v>
      </c>
      <c r="L327" s="95">
        <v>0</v>
      </c>
      <c r="M327" s="95">
        <v>0</v>
      </c>
      <c r="N327" s="95">
        <v>0</v>
      </c>
      <c r="O327" s="49" t="s">
        <v>10927</v>
      </c>
    </row>
    <row r="328" spans="1:15">
      <c r="A328" s="95">
        <v>759724529202804</v>
      </c>
      <c r="B328" s="49" t="s">
        <v>10621</v>
      </c>
      <c r="C328" s="49" t="s">
        <v>10925</v>
      </c>
      <c r="D328" s="49" t="s">
        <v>10926</v>
      </c>
      <c r="E328" s="49">
        <v>6281233038880</v>
      </c>
      <c r="F328" s="96">
        <v>45833</v>
      </c>
      <c r="G328" s="95">
        <v>11</v>
      </c>
      <c r="H328" s="49" t="s">
        <v>12668</v>
      </c>
      <c r="I328" s="97">
        <v>65181.818181818184</v>
      </c>
      <c r="J328" s="95">
        <v>0</v>
      </c>
      <c r="K328" s="102">
        <v>717</v>
      </c>
      <c r="L328" s="95">
        <v>0</v>
      </c>
      <c r="M328" s="95">
        <v>0</v>
      </c>
      <c r="N328" s="95">
        <v>0</v>
      </c>
      <c r="O328" s="49" t="s">
        <v>10927</v>
      </c>
    </row>
    <row r="329" spans="1:15">
      <c r="A329" s="95">
        <v>759724529202804</v>
      </c>
      <c r="B329" s="49" t="s">
        <v>10621</v>
      </c>
      <c r="C329" s="49" t="s">
        <v>10925</v>
      </c>
      <c r="D329" s="49" t="s">
        <v>10926</v>
      </c>
      <c r="E329" s="49">
        <v>6281233038880</v>
      </c>
      <c r="F329" s="96">
        <v>45833</v>
      </c>
      <c r="G329" s="95">
        <v>14</v>
      </c>
      <c r="H329" s="49" t="s">
        <v>12669</v>
      </c>
      <c r="I329" s="97">
        <v>86941.176470588238</v>
      </c>
      <c r="J329" s="95">
        <v>1</v>
      </c>
      <c r="K329" s="102">
        <v>1478</v>
      </c>
      <c r="L329" s="95">
        <v>0</v>
      </c>
      <c r="M329" s="95">
        <v>0</v>
      </c>
      <c r="N329" s="95">
        <v>0</v>
      </c>
      <c r="O329" s="49" t="s">
        <v>10927</v>
      </c>
    </row>
    <row r="330" spans="1:15">
      <c r="A330" s="95">
        <v>759724529202804</v>
      </c>
      <c r="B330" s="49" t="s">
        <v>10621</v>
      </c>
      <c r="C330" s="49" t="s">
        <v>10925</v>
      </c>
      <c r="D330" s="49" t="s">
        <v>10926</v>
      </c>
      <c r="E330" s="49">
        <v>6281233038880</v>
      </c>
      <c r="F330" s="96">
        <v>45833</v>
      </c>
      <c r="G330" s="95">
        <v>9</v>
      </c>
      <c r="H330" s="49" t="s">
        <v>12670</v>
      </c>
      <c r="I330" s="97">
        <v>58444.444444444445</v>
      </c>
      <c r="J330" s="95">
        <v>0</v>
      </c>
      <c r="K330" s="102">
        <v>526</v>
      </c>
      <c r="L330" s="95">
        <v>0</v>
      </c>
      <c r="M330" s="95">
        <v>0</v>
      </c>
      <c r="N330" s="95">
        <v>0</v>
      </c>
      <c r="O330" s="49" t="s">
        <v>10927</v>
      </c>
    </row>
    <row r="331" spans="1:15">
      <c r="A331" s="95">
        <v>759724529202804</v>
      </c>
      <c r="B331" s="49" t="s">
        <v>10621</v>
      </c>
      <c r="C331" s="49" t="s">
        <v>10925</v>
      </c>
      <c r="D331" s="49" t="s">
        <v>10926</v>
      </c>
      <c r="E331" s="49">
        <v>6281233038880</v>
      </c>
      <c r="F331" s="96">
        <v>45833</v>
      </c>
      <c r="G331" s="95">
        <v>10</v>
      </c>
      <c r="H331" s="49" t="s">
        <v>12671</v>
      </c>
      <c r="I331" s="97">
        <v>124800</v>
      </c>
      <c r="J331" s="95">
        <v>0</v>
      </c>
      <c r="K331" s="102">
        <v>1248</v>
      </c>
      <c r="L331" s="95">
        <v>0</v>
      </c>
      <c r="M331" s="95">
        <v>0</v>
      </c>
      <c r="N331" s="95">
        <v>0</v>
      </c>
      <c r="O331" s="49" t="s">
        <v>10927</v>
      </c>
    </row>
    <row r="332" spans="1:15">
      <c r="A332" s="95">
        <v>759724529202804</v>
      </c>
      <c r="B332" s="49" t="s">
        <v>10621</v>
      </c>
      <c r="C332" s="49" t="s">
        <v>10925</v>
      </c>
      <c r="D332" s="49" t="s">
        <v>10926</v>
      </c>
      <c r="E332" s="49">
        <v>6281233038880</v>
      </c>
      <c r="F332" s="96">
        <v>45833</v>
      </c>
      <c r="G332" s="95">
        <v>3</v>
      </c>
      <c r="H332" s="49" t="s">
        <v>12672</v>
      </c>
      <c r="I332" s="97">
        <v>55666.666666666664</v>
      </c>
      <c r="J332" s="95">
        <v>0</v>
      </c>
      <c r="K332" s="102">
        <v>167</v>
      </c>
      <c r="L332" s="95">
        <v>0</v>
      </c>
      <c r="M332" s="95">
        <v>0</v>
      </c>
      <c r="N332" s="95">
        <v>0</v>
      </c>
      <c r="O332" s="49" t="s">
        <v>10927</v>
      </c>
    </row>
    <row r="333" spans="1:15">
      <c r="A333" s="95">
        <v>759724529202804</v>
      </c>
      <c r="B333" s="49" t="s">
        <v>10621</v>
      </c>
      <c r="C333" s="49" t="s">
        <v>10928</v>
      </c>
      <c r="D333" s="49" t="s">
        <v>1112</v>
      </c>
      <c r="E333" s="49">
        <v>6285777110340</v>
      </c>
      <c r="F333" s="96">
        <v>45833</v>
      </c>
      <c r="G333" s="95">
        <v>15</v>
      </c>
      <c r="H333" s="49" t="s">
        <v>12667</v>
      </c>
      <c r="I333" s="97">
        <v>21133.333333333332</v>
      </c>
      <c r="J333" s="95">
        <v>0</v>
      </c>
      <c r="K333" s="102">
        <v>317</v>
      </c>
      <c r="L333" s="95">
        <v>0</v>
      </c>
      <c r="M333" s="95">
        <v>0</v>
      </c>
      <c r="N333" s="95">
        <v>0</v>
      </c>
      <c r="O333" s="49" t="s">
        <v>10929</v>
      </c>
    </row>
    <row r="334" spans="1:15">
      <c r="A334" s="95">
        <v>759724529202804</v>
      </c>
      <c r="B334" s="49" t="s">
        <v>10621</v>
      </c>
      <c r="C334" s="49" t="s">
        <v>10928</v>
      </c>
      <c r="D334" s="49" t="s">
        <v>1112</v>
      </c>
      <c r="E334" s="49">
        <v>6285777110340</v>
      </c>
      <c r="F334" s="96">
        <v>45833</v>
      </c>
      <c r="G334" s="95">
        <v>34</v>
      </c>
      <c r="H334" s="49" t="s">
        <v>12668</v>
      </c>
      <c r="I334" s="97">
        <v>106882.35294117646</v>
      </c>
      <c r="J334" s="95">
        <v>1</v>
      </c>
      <c r="K334" s="102">
        <v>3634</v>
      </c>
      <c r="L334" s="95">
        <v>0</v>
      </c>
      <c r="M334" s="95">
        <v>0</v>
      </c>
      <c r="N334" s="95">
        <v>0</v>
      </c>
      <c r="O334" s="49" t="s">
        <v>10929</v>
      </c>
    </row>
    <row r="335" spans="1:15">
      <c r="A335" s="95">
        <v>759724529202804</v>
      </c>
      <c r="B335" s="49" t="s">
        <v>10621</v>
      </c>
      <c r="C335" s="49" t="s">
        <v>10925</v>
      </c>
      <c r="D335" s="49" t="s">
        <v>10926</v>
      </c>
      <c r="E335" s="49">
        <v>6281233038880</v>
      </c>
      <c r="F335" s="96">
        <v>45833</v>
      </c>
      <c r="G335" s="95">
        <v>2</v>
      </c>
      <c r="H335" s="49" t="s">
        <v>12667</v>
      </c>
      <c r="I335" s="97">
        <v>19500</v>
      </c>
      <c r="J335" s="95">
        <v>0</v>
      </c>
      <c r="K335" s="102">
        <v>39</v>
      </c>
      <c r="L335" s="95">
        <v>0</v>
      </c>
      <c r="M335" s="95">
        <v>0</v>
      </c>
      <c r="N335" s="95">
        <v>0</v>
      </c>
      <c r="O335" s="49" t="s">
        <v>10927</v>
      </c>
    </row>
    <row r="336" spans="1:15">
      <c r="A336" s="95">
        <v>759724529202804</v>
      </c>
      <c r="B336" s="49" t="s">
        <v>10621</v>
      </c>
      <c r="C336" s="49" t="s">
        <v>10925</v>
      </c>
      <c r="D336" s="49" t="s">
        <v>10926</v>
      </c>
      <c r="E336" s="49">
        <v>6281233038880</v>
      </c>
      <c r="F336" s="96">
        <v>45833</v>
      </c>
      <c r="G336" s="95">
        <v>11</v>
      </c>
      <c r="H336" s="49" t="s">
        <v>12668</v>
      </c>
      <c r="I336" s="97">
        <v>65181.818181818184</v>
      </c>
      <c r="J336" s="95">
        <v>0</v>
      </c>
      <c r="K336" s="102">
        <v>717</v>
      </c>
      <c r="L336" s="95">
        <v>0</v>
      </c>
      <c r="M336" s="95">
        <v>0</v>
      </c>
      <c r="N336" s="95">
        <v>0</v>
      </c>
      <c r="O336" s="49" t="s">
        <v>10927</v>
      </c>
    </row>
    <row r="337" spans="1:15">
      <c r="A337" s="95">
        <v>759724529202804</v>
      </c>
      <c r="B337" s="49" t="s">
        <v>10621</v>
      </c>
      <c r="C337" s="49" t="s">
        <v>10925</v>
      </c>
      <c r="D337" s="49" t="s">
        <v>10926</v>
      </c>
      <c r="E337" s="49">
        <v>6281233038880</v>
      </c>
      <c r="F337" s="96">
        <v>45833</v>
      </c>
      <c r="G337" s="95">
        <v>17</v>
      </c>
      <c r="H337" s="49" t="s">
        <v>12669</v>
      </c>
      <c r="I337" s="97">
        <v>86941.176470588238</v>
      </c>
      <c r="J337" s="95">
        <v>1</v>
      </c>
      <c r="K337" s="102">
        <v>1478</v>
      </c>
      <c r="L337" s="95">
        <v>0</v>
      </c>
      <c r="M337" s="95">
        <v>0</v>
      </c>
      <c r="N337" s="95">
        <v>0</v>
      </c>
      <c r="O337" s="49" t="s">
        <v>10927</v>
      </c>
    </row>
    <row r="338" spans="1:15">
      <c r="A338" s="95">
        <v>759724529202804</v>
      </c>
      <c r="B338" s="49" t="s">
        <v>10621</v>
      </c>
      <c r="C338" s="49" t="s">
        <v>10925</v>
      </c>
      <c r="D338" s="49" t="s">
        <v>10926</v>
      </c>
      <c r="E338" s="49">
        <v>6281233038880</v>
      </c>
      <c r="F338" s="96">
        <v>45833</v>
      </c>
      <c r="G338" s="95">
        <v>9</v>
      </c>
      <c r="H338" s="49" t="s">
        <v>12670</v>
      </c>
      <c r="I338" s="97">
        <v>58444.444444444445</v>
      </c>
      <c r="J338" s="95">
        <v>0</v>
      </c>
      <c r="K338" s="102">
        <v>526</v>
      </c>
      <c r="L338" s="95">
        <v>0</v>
      </c>
      <c r="M338" s="95">
        <v>0</v>
      </c>
      <c r="N338" s="95">
        <v>0</v>
      </c>
      <c r="O338" s="49" t="s">
        <v>10927</v>
      </c>
    </row>
    <row r="339" spans="1:15">
      <c r="A339" s="95">
        <v>759724529202804</v>
      </c>
      <c r="B339" s="49" t="s">
        <v>10621</v>
      </c>
      <c r="C339" s="49" t="s">
        <v>10925</v>
      </c>
      <c r="D339" s="49" t="s">
        <v>10926</v>
      </c>
      <c r="E339" s="49">
        <v>6281233038880</v>
      </c>
      <c r="F339" s="96">
        <v>45833</v>
      </c>
      <c r="G339" s="95">
        <v>10</v>
      </c>
      <c r="H339" s="49" t="s">
        <v>12671</v>
      </c>
      <c r="I339" s="97">
        <v>124800</v>
      </c>
      <c r="J339" s="95">
        <v>0</v>
      </c>
      <c r="K339" s="102">
        <v>1248</v>
      </c>
      <c r="L339" s="95">
        <v>0</v>
      </c>
      <c r="M339" s="95">
        <v>0</v>
      </c>
      <c r="N339" s="95">
        <v>0</v>
      </c>
      <c r="O339" s="49" t="s">
        <v>10927</v>
      </c>
    </row>
    <row r="340" spans="1:15">
      <c r="A340" s="95">
        <v>759724529202804</v>
      </c>
      <c r="B340" s="49" t="s">
        <v>10621</v>
      </c>
      <c r="C340" s="49" t="s">
        <v>10925</v>
      </c>
      <c r="D340" s="49" t="s">
        <v>10926</v>
      </c>
      <c r="E340" s="49">
        <v>6281233038880</v>
      </c>
      <c r="F340" s="96">
        <v>45833</v>
      </c>
      <c r="G340" s="95">
        <v>3</v>
      </c>
      <c r="H340" s="49" t="s">
        <v>12672</v>
      </c>
      <c r="I340" s="97">
        <v>55666.666666666664</v>
      </c>
      <c r="J340" s="95">
        <v>0</v>
      </c>
      <c r="K340" s="102">
        <v>167</v>
      </c>
      <c r="L340" s="95">
        <v>0</v>
      </c>
      <c r="M340" s="95">
        <v>0</v>
      </c>
      <c r="N340" s="95">
        <v>0</v>
      </c>
      <c r="O340" s="49" t="s">
        <v>10927</v>
      </c>
    </row>
    <row r="341" spans="1:15">
      <c r="A341" s="95">
        <v>759724529202804</v>
      </c>
      <c r="B341" s="49" t="s">
        <v>10621</v>
      </c>
      <c r="C341" s="49" t="s">
        <v>10928</v>
      </c>
      <c r="D341" s="49" t="s">
        <v>1112</v>
      </c>
      <c r="E341" s="49">
        <v>6285777110340</v>
      </c>
      <c r="F341" s="96">
        <v>45833</v>
      </c>
      <c r="G341" s="95">
        <v>15</v>
      </c>
      <c r="H341" s="49" t="s">
        <v>12667</v>
      </c>
      <c r="I341" s="97">
        <v>21133.333333333332</v>
      </c>
      <c r="J341" s="95">
        <v>0</v>
      </c>
      <c r="K341" s="102">
        <v>317</v>
      </c>
      <c r="L341" s="95">
        <v>0</v>
      </c>
      <c r="M341" s="95">
        <v>0</v>
      </c>
      <c r="N341" s="95">
        <v>0</v>
      </c>
      <c r="O341" s="49" t="s">
        <v>10929</v>
      </c>
    </row>
    <row r="342" spans="1:15">
      <c r="A342" s="95">
        <v>759724529202804</v>
      </c>
      <c r="B342" s="49" t="s">
        <v>10621</v>
      </c>
      <c r="C342" s="49" t="s">
        <v>10928</v>
      </c>
      <c r="D342" s="49" t="s">
        <v>1112</v>
      </c>
      <c r="E342" s="49">
        <v>6285777110340</v>
      </c>
      <c r="F342" s="96">
        <v>45833</v>
      </c>
      <c r="G342" s="95">
        <v>34</v>
      </c>
      <c r="H342" s="49" t="s">
        <v>12668</v>
      </c>
      <c r="I342" s="97">
        <v>106882.35294117646</v>
      </c>
      <c r="J342" s="95">
        <v>1</v>
      </c>
      <c r="K342" s="102">
        <v>3634</v>
      </c>
      <c r="L342" s="95">
        <v>0</v>
      </c>
      <c r="M342" s="95">
        <v>0</v>
      </c>
      <c r="N342" s="95">
        <v>0</v>
      </c>
      <c r="O342" s="49" t="s">
        <v>10929</v>
      </c>
    </row>
    <row r="343" spans="1:15">
      <c r="A343" s="95">
        <v>759724529202804</v>
      </c>
      <c r="B343" s="49" t="s">
        <v>10621</v>
      </c>
      <c r="C343" s="49" t="s">
        <v>10928</v>
      </c>
      <c r="D343" s="49" t="s">
        <v>1112</v>
      </c>
      <c r="E343" s="49">
        <v>6285777110340</v>
      </c>
      <c r="F343" s="96">
        <v>45833</v>
      </c>
      <c r="G343" s="95">
        <v>47</v>
      </c>
      <c r="H343" s="49" t="s">
        <v>12669</v>
      </c>
      <c r="I343" s="97">
        <v>20300</v>
      </c>
      <c r="J343" s="95">
        <v>1</v>
      </c>
      <c r="K343" s="102">
        <v>1015</v>
      </c>
      <c r="L343" s="95">
        <v>0</v>
      </c>
      <c r="M343" s="95">
        <v>0</v>
      </c>
      <c r="N343" s="95">
        <v>0</v>
      </c>
      <c r="O343" s="49" t="s">
        <v>10929</v>
      </c>
    </row>
    <row r="344" spans="1:15">
      <c r="A344" s="95">
        <v>759724529202804</v>
      </c>
      <c r="B344" s="49" t="s">
        <v>10621</v>
      </c>
      <c r="C344" s="49" t="s">
        <v>10928</v>
      </c>
      <c r="D344" s="49" t="s">
        <v>1112</v>
      </c>
      <c r="E344" s="49">
        <v>6285777110340</v>
      </c>
      <c r="F344" s="96">
        <v>45833</v>
      </c>
      <c r="G344" s="95">
        <v>13</v>
      </c>
      <c r="H344" s="49" t="s">
        <v>12670</v>
      </c>
      <c r="I344" s="97">
        <v>31000</v>
      </c>
      <c r="J344" s="95">
        <v>0</v>
      </c>
      <c r="K344" s="102">
        <v>403</v>
      </c>
      <c r="L344" s="95">
        <v>0</v>
      </c>
      <c r="M344" s="95">
        <v>0</v>
      </c>
      <c r="N344" s="95">
        <v>0</v>
      </c>
      <c r="O344" s="49" t="s">
        <v>10929</v>
      </c>
    </row>
    <row r="345" spans="1:15">
      <c r="A345" s="95">
        <v>759724529202804</v>
      </c>
      <c r="B345" s="49" t="s">
        <v>10621</v>
      </c>
      <c r="C345" s="49" t="s">
        <v>10928</v>
      </c>
      <c r="D345" s="49" t="s">
        <v>1112</v>
      </c>
      <c r="E345" s="49">
        <v>6285777110340</v>
      </c>
      <c r="F345" s="96">
        <v>45833</v>
      </c>
      <c r="G345" s="95">
        <v>1</v>
      </c>
      <c r="H345" s="49" t="s">
        <v>12672</v>
      </c>
      <c r="I345" s="97">
        <v>2000</v>
      </c>
      <c r="J345" s="95">
        <v>0</v>
      </c>
      <c r="K345" s="102">
        <v>2</v>
      </c>
      <c r="L345" s="95">
        <v>0</v>
      </c>
      <c r="M345" s="95">
        <v>0</v>
      </c>
      <c r="N345" s="95">
        <v>0</v>
      </c>
      <c r="O345" s="49" t="s">
        <v>10929</v>
      </c>
    </row>
    <row r="346" spans="1:15">
      <c r="A346" s="95">
        <v>759724529202804</v>
      </c>
      <c r="B346" s="49" t="s">
        <v>10621</v>
      </c>
      <c r="C346" s="49" t="s">
        <v>10904</v>
      </c>
      <c r="D346" s="49" t="s">
        <v>10905</v>
      </c>
      <c r="E346" s="49">
        <v>6285711667433</v>
      </c>
      <c r="F346" s="96">
        <v>45833</v>
      </c>
      <c r="G346" s="95">
        <v>9</v>
      </c>
      <c r="H346" s="49" t="s">
        <v>12667</v>
      </c>
      <c r="I346" s="97">
        <v>10900</v>
      </c>
      <c r="J346" s="95">
        <v>0</v>
      </c>
      <c r="K346" s="102">
        <v>109</v>
      </c>
      <c r="L346" s="95">
        <v>0</v>
      </c>
      <c r="M346" s="95">
        <v>5</v>
      </c>
      <c r="N346" s="95">
        <v>0</v>
      </c>
      <c r="O346" s="49" t="s">
        <v>10906</v>
      </c>
    </row>
    <row r="347" spans="1:15">
      <c r="A347" s="95">
        <v>759724529202804</v>
      </c>
      <c r="B347" s="49" t="s">
        <v>10621</v>
      </c>
      <c r="C347" s="49" t="s">
        <v>10904</v>
      </c>
      <c r="D347" s="49" t="s">
        <v>10905</v>
      </c>
      <c r="E347" s="49">
        <v>6285711667433</v>
      </c>
      <c r="F347" s="96">
        <v>45833</v>
      </c>
      <c r="G347" s="95">
        <v>49</v>
      </c>
      <c r="H347" s="49" t="s">
        <v>12668</v>
      </c>
      <c r="I347" s="97">
        <v>5882.3529411764712</v>
      </c>
      <c r="J347" s="95">
        <v>0</v>
      </c>
      <c r="K347" s="102">
        <v>300</v>
      </c>
      <c r="L347" s="95">
        <v>0</v>
      </c>
      <c r="M347" s="95">
        <v>16</v>
      </c>
      <c r="N347" s="95">
        <v>0</v>
      </c>
      <c r="O347" s="49" t="s">
        <v>10906</v>
      </c>
    </row>
    <row r="348" spans="1:15">
      <c r="A348" s="95">
        <v>759724529202804</v>
      </c>
      <c r="B348" s="49" t="s">
        <v>10621</v>
      </c>
      <c r="C348" s="49" t="s">
        <v>10904</v>
      </c>
      <c r="D348" s="49" t="s">
        <v>10905</v>
      </c>
      <c r="E348" s="49">
        <v>6285711667433</v>
      </c>
      <c r="F348" s="96">
        <v>45833</v>
      </c>
      <c r="G348" s="95">
        <v>135</v>
      </c>
      <c r="H348" s="49" t="s">
        <v>12669</v>
      </c>
      <c r="I348" s="97">
        <v>7146.8531468531464</v>
      </c>
      <c r="J348" s="95">
        <v>1</v>
      </c>
      <c r="K348" s="102">
        <v>1022</v>
      </c>
      <c r="L348" s="95">
        <v>0</v>
      </c>
      <c r="M348" s="95">
        <v>36</v>
      </c>
      <c r="N348" s="95">
        <v>0</v>
      </c>
      <c r="O348" s="49" t="s">
        <v>10906</v>
      </c>
    </row>
    <row r="349" spans="1:15">
      <c r="A349" s="95">
        <v>759724529202804</v>
      </c>
      <c r="B349" s="49" t="s">
        <v>10621</v>
      </c>
      <c r="C349" s="49" t="s">
        <v>10904</v>
      </c>
      <c r="D349" s="49" t="s">
        <v>10905</v>
      </c>
      <c r="E349" s="49">
        <v>6285711667433</v>
      </c>
      <c r="F349" s="96">
        <v>45833</v>
      </c>
      <c r="G349" s="95">
        <v>105</v>
      </c>
      <c r="H349" s="49" t="s">
        <v>12670</v>
      </c>
      <c r="I349" s="97">
        <v>9074.7663551401856</v>
      </c>
      <c r="J349" s="95">
        <v>4</v>
      </c>
      <c r="K349" s="102">
        <v>971</v>
      </c>
      <c r="L349" s="95">
        <v>0</v>
      </c>
      <c r="M349" s="95">
        <v>24</v>
      </c>
      <c r="N349" s="95">
        <v>0</v>
      </c>
      <c r="O349" s="49" t="s">
        <v>10906</v>
      </c>
    </row>
    <row r="350" spans="1:15">
      <c r="A350" s="95">
        <v>759724529202804</v>
      </c>
      <c r="B350" s="49" t="s">
        <v>10621</v>
      </c>
      <c r="C350" s="49" t="s">
        <v>10904</v>
      </c>
      <c r="D350" s="49" t="s">
        <v>10905</v>
      </c>
      <c r="E350" s="49">
        <v>6285711667433</v>
      </c>
      <c r="F350" s="96">
        <v>45833</v>
      </c>
      <c r="G350" s="95">
        <v>18</v>
      </c>
      <c r="H350" s="49" t="s">
        <v>12671</v>
      </c>
      <c r="I350" s="97">
        <v>7526.3157894736842</v>
      </c>
      <c r="J350" s="95">
        <v>0</v>
      </c>
      <c r="K350" s="102">
        <v>143</v>
      </c>
      <c r="L350" s="95">
        <v>0</v>
      </c>
      <c r="M350" s="95">
        <v>8</v>
      </c>
      <c r="N350" s="95">
        <v>0</v>
      </c>
      <c r="O350" s="49" t="s">
        <v>10906</v>
      </c>
    </row>
    <row r="351" spans="1:15">
      <c r="A351" s="95">
        <v>759724529202804</v>
      </c>
      <c r="B351" s="49" t="s">
        <v>10621</v>
      </c>
      <c r="C351" s="49" t="s">
        <v>10904</v>
      </c>
      <c r="D351" s="49" t="s">
        <v>10905</v>
      </c>
      <c r="E351" s="49">
        <v>6285711667433</v>
      </c>
      <c r="F351" s="96">
        <v>45833</v>
      </c>
      <c r="G351" s="95">
        <v>8</v>
      </c>
      <c r="H351" s="49" t="s">
        <v>12672</v>
      </c>
      <c r="I351" s="97">
        <v>3000</v>
      </c>
      <c r="J351" s="95">
        <v>0</v>
      </c>
      <c r="K351" s="102">
        <v>24</v>
      </c>
      <c r="L351" s="95">
        <v>0</v>
      </c>
      <c r="M351" s="95">
        <v>2</v>
      </c>
      <c r="N351" s="95">
        <v>0</v>
      </c>
      <c r="O351" s="49" t="s">
        <v>10906</v>
      </c>
    </row>
    <row r="352" spans="1:15">
      <c r="A352" s="95">
        <v>759724529202804</v>
      </c>
      <c r="B352" s="49" t="s">
        <v>10621</v>
      </c>
      <c r="C352" s="49" t="s">
        <v>10907</v>
      </c>
      <c r="D352" s="49" t="s">
        <v>943</v>
      </c>
      <c r="E352" s="49">
        <v>6285775986977</v>
      </c>
      <c r="F352" s="96">
        <v>45833</v>
      </c>
      <c r="G352" s="95">
        <v>10</v>
      </c>
      <c r="H352" s="49" t="s">
        <v>12667</v>
      </c>
      <c r="I352" s="97">
        <v>10454.545454545456</v>
      </c>
      <c r="J352" s="95">
        <v>0</v>
      </c>
      <c r="K352" s="102">
        <v>115</v>
      </c>
      <c r="L352" s="95">
        <v>0</v>
      </c>
      <c r="M352" s="95">
        <v>1</v>
      </c>
      <c r="N352" s="95">
        <v>0</v>
      </c>
      <c r="O352" s="49" t="s">
        <v>10908</v>
      </c>
    </row>
    <row r="353" spans="1:15">
      <c r="A353" s="95">
        <v>759724529202804</v>
      </c>
      <c r="B353" s="49" t="s">
        <v>10621</v>
      </c>
      <c r="C353" s="49" t="s">
        <v>10907</v>
      </c>
      <c r="D353" s="49" t="s">
        <v>943</v>
      </c>
      <c r="E353" s="49">
        <v>6285775986977</v>
      </c>
      <c r="F353" s="96">
        <v>45833</v>
      </c>
      <c r="G353" s="95">
        <v>22</v>
      </c>
      <c r="H353" s="49" t="s">
        <v>12668</v>
      </c>
      <c r="I353" s="97">
        <v>15772.727272727274</v>
      </c>
      <c r="J353" s="95">
        <v>0</v>
      </c>
      <c r="K353" s="102">
        <v>347</v>
      </c>
      <c r="L353" s="95">
        <v>0</v>
      </c>
      <c r="M353" s="95">
        <v>5</v>
      </c>
      <c r="N353" s="95">
        <v>0</v>
      </c>
      <c r="O353" s="49" t="s">
        <v>10908</v>
      </c>
    </row>
    <row r="354" spans="1:15">
      <c r="A354" s="95">
        <v>759724529202804</v>
      </c>
      <c r="B354" s="49" t="s">
        <v>10621</v>
      </c>
      <c r="C354" s="49" t="s">
        <v>10907</v>
      </c>
      <c r="D354" s="49" t="s">
        <v>943</v>
      </c>
      <c r="E354" s="49">
        <v>6285775986977</v>
      </c>
      <c r="F354" s="96">
        <v>45833</v>
      </c>
      <c r="G354" s="95">
        <v>39</v>
      </c>
      <c r="H354" s="49" t="s">
        <v>12669</v>
      </c>
      <c r="I354" s="97">
        <v>21170.731707317074</v>
      </c>
      <c r="J354" s="95">
        <v>0</v>
      </c>
      <c r="K354" s="102">
        <v>868</v>
      </c>
      <c r="L354" s="95">
        <v>0</v>
      </c>
      <c r="M354" s="95">
        <v>10</v>
      </c>
      <c r="N354" s="95">
        <v>0</v>
      </c>
      <c r="O354" s="49" t="s">
        <v>10908</v>
      </c>
    </row>
    <row r="355" spans="1:15">
      <c r="A355" s="95">
        <v>759724529202804</v>
      </c>
      <c r="B355" s="49" t="s">
        <v>10621</v>
      </c>
      <c r="C355" s="49" t="s">
        <v>10907</v>
      </c>
      <c r="D355" s="49" t="s">
        <v>943</v>
      </c>
      <c r="E355" s="49">
        <v>6285775986977</v>
      </c>
      <c r="F355" s="96">
        <v>45833</v>
      </c>
      <c r="G355" s="95">
        <v>27</v>
      </c>
      <c r="H355" s="49" t="s">
        <v>12670</v>
      </c>
      <c r="I355" s="97">
        <v>31962.962962962964</v>
      </c>
      <c r="J355" s="95">
        <v>2</v>
      </c>
      <c r="K355" s="102">
        <v>863</v>
      </c>
      <c r="L355" s="95">
        <v>0</v>
      </c>
      <c r="M355" s="95">
        <v>11</v>
      </c>
      <c r="N355" s="95">
        <v>0</v>
      </c>
      <c r="O355" s="49" t="s">
        <v>10908</v>
      </c>
    </row>
    <row r="356" spans="1:15">
      <c r="A356" s="95">
        <v>759724529202804</v>
      </c>
      <c r="B356" s="49" t="s">
        <v>10621</v>
      </c>
      <c r="C356" s="49" t="s">
        <v>10907</v>
      </c>
      <c r="D356" s="49" t="s">
        <v>943</v>
      </c>
      <c r="E356" s="49">
        <v>6285775986977</v>
      </c>
      <c r="F356" s="96">
        <v>45833</v>
      </c>
      <c r="G356" s="95">
        <v>18</v>
      </c>
      <c r="H356" s="49" t="s">
        <v>12671</v>
      </c>
      <c r="I356" s="97">
        <v>74833.333333333328</v>
      </c>
      <c r="J356" s="95">
        <v>0</v>
      </c>
      <c r="K356" s="102">
        <v>1347</v>
      </c>
      <c r="L356" s="95">
        <v>0</v>
      </c>
      <c r="M356" s="95">
        <v>5</v>
      </c>
      <c r="N356" s="95">
        <v>0</v>
      </c>
      <c r="O356" s="49" t="s">
        <v>10908</v>
      </c>
    </row>
    <row r="357" spans="1:15">
      <c r="A357" s="95">
        <v>759724529202804</v>
      </c>
      <c r="B357" s="49" t="s">
        <v>10621</v>
      </c>
      <c r="C357" s="49" t="s">
        <v>10907</v>
      </c>
      <c r="D357" s="49" t="s">
        <v>943</v>
      </c>
      <c r="E357" s="49">
        <v>6285775986977</v>
      </c>
      <c r="F357" s="96">
        <v>45833</v>
      </c>
      <c r="G357" s="95">
        <v>13</v>
      </c>
      <c r="H357" s="49" t="s">
        <v>12672</v>
      </c>
      <c r="I357" s="97">
        <v>52538.461538461539</v>
      </c>
      <c r="J357" s="95">
        <v>0</v>
      </c>
      <c r="K357" s="102">
        <v>683</v>
      </c>
      <c r="L357" s="95">
        <v>0</v>
      </c>
      <c r="M357" s="95">
        <v>2</v>
      </c>
      <c r="N357" s="95">
        <v>0</v>
      </c>
      <c r="O357" s="49" t="s">
        <v>10908</v>
      </c>
    </row>
    <row r="358" spans="1:15">
      <c r="A358" s="95">
        <v>759724529202804</v>
      </c>
      <c r="B358" s="49" t="s">
        <v>10621</v>
      </c>
      <c r="C358" s="49" t="s">
        <v>10909</v>
      </c>
      <c r="D358" s="49" t="s">
        <v>10910</v>
      </c>
      <c r="E358" s="49">
        <v>6281904501876</v>
      </c>
      <c r="F358" s="96">
        <v>45833</v>
      </c>
      <c r="G358" s="95">
        <v>32</v>
      </c>
      <c r="H358" s="49" t="s">
        <v>12667</v>
      </c>
      <c r="I358" s="97">
        <v>15361.111111111111</v>
      </c>
      <c r="J358" s="95">
        <v>0</v>
      </c>
      <c r="K358" s="102">
        <v>553</v>
      </c>
      <c r="L358" s="95">
        <v>0</v>
      </c>
      <c r="M358" s="95">
        <v>5</v>
      </c>
      <c r="N358" s="95">
        <v>0</v>
      </c>
      <c r="O358" s="49" t="s">
        <v>10911</v>
      </c>
    </row>
    <row r="359" spans="1:15">
      <c r="A359" s="95">
        <v>759724529202804</v>
      </c>
      <c r="B359" s="49" t="s">
        <v>10621</v>
      </c>
      <c r="C359" s="49" t="s">
        <v>10909</v>
      </c>
      <c r="D359" s="49" t="s">
        <v>10910</v>
      </c>
      <c r="E359" s="49">
        <v>6281904501876</v>
      </c>
      <c r="F359" s="96">
        <v>45833</v>
      </c>
      <c r="G359" s="95">
        <v>29</v>
      </c>
      <c r="H359" s="49" t="s">
        <v>12668</v>
      </c>
      <c r="I359" s="97">
        <v>14709.677419354837</v>
      </c>
      <c r="J359" s="95">
        <v>1</v>
      </c>
      <c r="K359" s="102">
        <v>456</v>
      </c>
      <c r="L359" s="95">
        <v>0</v>
      </c>
      <c r="M359" s="95">
        <v>9</v>
      </c>
      <c r="N359" s="95">
        <v>0</v>
      </c>
      <c r="O359" s="49" t="s">
        <v>10911</v>
      </c>
    </row>
    <row r="360" spans="1:15">
      <c r="A360" s="95">
        <v>759724529202804</v>
      </c>
      <c r="B360" s="49" t="s">
        <v>10621</v>
      </c>
      <c r="C360" s="49" t="s">
        <v>10909</v>
      </c>
      <c r="D360" s="49" t="s">
        <v>10910</v>
      </c>
      <c r="E360" s="49">
        <v>6281904501876</v>
      </c>
      <c r="F360" s="96">
        <v>45833</v>
      </c>
      <c r="G360" s="95">
        <v>15</v>
      </c>
      <c r="H360" s="49" t="s">
        <v>12669</v>
      </c>
      <c r="I360" s="97">
        <v>16555.555555555558</v>
      </c>
      <c r="J360" s="95">
        <v>2</v>
      </c>
      <c r="K360" s="102">
        <v>298</v>
      </c>
      <c r="L360" s="95">
        <v>0</v>
      </c>
      <c r="M360" s="95">
        <v>8</v>
      </c>
      <c r="N360" s="95">
        <v>0</v>
      </c>
      <c r="O360" s="49" t="s">
        <v>10911</v>
      </c>
    </row>
    <row r="361" spans="1:15">
      <c r="A361" s="95">
        <v>759724529202804</v>
      </c>
      <c r="B361" s="49" t="s">
        <v>10621</v>
      </c>
      <c r="C361" s="49" t="s">
        <v>10909</v>
      </c>
      <c r="D361" s="49" t="s">
        <v>10910</v>
      </c>
      <c r="E361" s="49">
        <v>6281904501876</v>
      </c>
      <c r="F361" s="96">
        <v>45833</v>
      </c>
      <c r="G361" s="95">
        <v>5</v>
      </c>
      <c r="H361" s="49" t="s">
        <v>12670</v>
      </c>
      <c r="I361" s="97">
        <v>8200</v>
      </c>
      <c r="J361" s="95">
        <v>0</v>
      </c>
      <c r="K361" s="102">
        <v>41</v>
      </c>
      <c r="L361" s="95">
        <v>0</v>
      </c>
      <c r="M361" s="95">
        <v>2</v>
      </c>
      <c r="N361" s="95">
        <v>0</v>
      </c>
      <c r="O361" s="49" t="s">
        <v>10911</v>
      </c>
    </row>
    <row r="362" spans="1:15">
      <c r="A362" s="95">
        <v>759724529202804</v>
      </c>
      <c r="B362" s="49" t="s">
        <v>10621</v>
      </c>
      <c r="C362" s="49" t="s">
        <v>10909</v>
      </c>
      <c r="D362" s="49" t="s">
        <v>10910</v>
      </c>
      <c r="E362" s="49">
        <v>6281904501876</v>
      </c>
      <c r="F362" s="96">
        <v>45833</v>
      </c>
      <c r="G362" s="95">
        <v>1</v>
      </c>
      <c r="H362" s="49" t="s">
        <v>12671</v>
      </c>
      <c r="I362" s="97">
        <v>41000</v>
      </c>
      <c r="J362" s="95">
        <v>0</v>
      </c>
      <c r="K362" s="102">
        <v>41</v>
      </c>
      <c r="L362" s="95">
        <v>0</v>
      </c>
      <c r="M362" s="95">
        <v>1</v>
      </c>
      <c r="N362" s="95">
        <v>0</v>
      </c>
      <c r="O362" s="49" t="s">
        <v>10911</v>
      </c>
    </row>
    <row r="363" spans="1:15">
      <c r="A363" s="95">
        <v>759724529202804</v>
      </c>
      <c r="B363" s="49" t="s">
        <v>10621</v>
      </c>
      <c r="C363" s="49" t="s">
        <v>10912</v>
      </c>
      <c r="D363" s="49" t="s">
        <v>1029</v>
      </c>
      <c r="E363" s="49">
        <v>6281253792753</v>
      </c>
      <c r="F363" s="96">
        <v>45833</v>
      </c>
      <c r="G363" s="95">
        <v>5</v>
      </c>
      <c r="H363" s="49" t="s">
        <v>12667</v>
      </c>
      <c r="I363" s="97">
        <v>4200</v>
      </c>
      <c r="J363" s="95">
        <v>0</v>
      </c>
      <c r="K363" s="102">
        <v>21</v>
      </c>
      <c r="L363" s="95">
        <v>0</v>
      </c>
      <c r="M363" s="95">
        <v>3</v>
      </c>
      <c r="N363" s="95">
        <v>0</v>
      </c>
      <c r="O363" s="49" t="s">
        <v>10913</v>
      </c>
    </row>
    <row r="364" spans="1:15">
      <c r="A364" s="95">
        <v>759724529202804</v>
      </c>
      <c r="B364" s="49" t="s">
        <v>10621</v>
      </c>
      <c r="C364" s="49" t="s">
        <v>10912</v>
      </c>
      <c r="D364" s="49" t="s">
        <v>1029</v>
      </c>
      <c r="E364" s="49">
        <v>6281253792753</v>
      </c>
      <c r="F364" s="96">
        <v>45833</v>
      </c>
      <c r="G364" s="95">
        <v>71</v>
      </c>
      <c r="H364" s="49" t="s">
        <v>12668</v>
      </c>
      <c r="I364" s="97">
        <v>9584.4155844155848</v>
      </c>
      <c r="J364" s="95">
        <v>1</v>
      </c>
      <c r="K364" s="102">
        <v>738</v>
      </c>
      <c r="L364" s="95">
        <v>0</v>
      </c>
      <c r="M364" s="95">
        <v>19</v>
      </c>
      <c r="N364" s="95">
        <v>0</v>
      </c>
      <c r="O364" s="49" t="s">
        <v>10913</v>
      </c>
    </row>
    <row r="365" spans="1:15">
      <c r="A365" s="95">
        <v>759724529202804</v>
      </c>
      <c r="B365" s="49" t="s">
        <v>10621</v>
      </c>
      <c r="C365" s="49" t="s">
        <v>10912</v>
      </c>
      <c r="D365" s="49" t="s">
        <v>1029</v>
      </c>
      <c r="E365" s="49">
        <v>6281253792753</v>
      </c>
      <c r="F365" s="96">
        <v>45833</v>
      </c>
      <c r="G365" s="95">
        <v>136</v>
      </c>
      <c r="H365" s="49" t="s">
        <v>12669</v>
      </c>
      <c r="I365" s="97">
        <v>9543.0463576158945</v>
      </c>
      <c r="J365" s="95">
        <v>4</v>
      </c>
      <c r="K365" s="102">
        <v>1441</v>
      </c>
      <c r="L365" s="95">
        <v>0</v>
      </c>
      <c r="M365" s="95">
        <v>36</v>
      </c>
      <c r="N365" s="95">
        <v>0</v>
      </c>
      <c r="O365" s="49" t="s">
        <v>10913</v>
      </c>
    </row>
    <row r="366" spans="1:15">
      <c r="A366" s="95">
        <v>759724529202804</v>
      </c>
      <c r="B366" s="49" t="s">
        <v>10621</v>
      </c>
      <c r="C366" s="49" t="s">
        <v>10912</v>
      </c>
      <c r="D366" s="49" t="s">
        <v>1029</v>
      </c>
      <c r="E366" s="49">
        <v>6281253792753</v>
      </c>
      <c r="F366" s="96">
        <v>45833</v>
      </c>
      <c r="G366" s="95">
        <v>81</v>
      </c>
      <c r="H366" s="49" t="s">
        <v>12670</v>
      </c>
      <c r="I366" s="97">
        <v>16915.78947368421</v>
      </c>
      <c r="J366" s="95">
        <v>1</v>
      </c>
      <c r="K366" s="102">
        <v>1607</v>
      </c>
      <c r="L366" s="95">
        <v>0</v>
      </c>
      <c r="M366" s="95">
        <v>37</v>
      </c>
      <c r="N366" s="95">
        <v>0</v>
      </c>
      <c r="O366" s="49" t="s">
        <v>10913</v>
      </c>
    </row>
    <row r="367" spans="1:15">
      <c r="A367" s="95">
        <v>759724529202804</v>
      </c>
      <c r="B367" s="49" t="s">
        <v>10621</v>
      </c>
      <c r="C367" s="49" t="s">
        <v>10912</v>
      </c>
      <c r="D367" s="49" t="s">
        <v>1029</v>
      </c>
      <c r="E367" s="49">
        <v>6281253792753</v>
      </c>
      <c r="F367" s="96">
        <v>45833</v>
      </c>
      <c r="G367" s="95">
        <v>30</v>
      </c>
      <c r="H367" s="49" t="s">
        <v>12671</v>
      </c>
      <c r="I367" s="97">
        <v>15939.39393939394</v>
      </c>
      <c r="J367" s="95">
        <v>1</v>
      </c>
      <c r="K367" s="102">
        <v>526</v>
      </c>
      <c r="L367" s="95">
        <v>0</v>
      </c>
      <c r="M367" s="95">
        <v>15</v>
      </c>
      <c r="N367" s="95">
        <v>0</v>
      </c>
      <c r="O367" s="49" t="s">
        <v>10913</v>
      </c>
    </row>
    <row r="368" spans="1:15">
      <c r="A368" s="95">
        <v>759724529202804</v>
      </c>
      <c r="B368" s="49" t="s">
        <v>10621</v>
      </c>
      <c r="C368" s="49" t="s">
        <v>10912</v>
      </c>
      <c r="D368" s="49" t="s">
        <v>1029</v>
      </c>
      <c r="E368" s="49">
        <v>6281253792753</v>
      </c>
      <c r="F368" s="96">
        <v>45833</v>
      </c>
      <c r="G368" s="95">
        <v>7</v>
      </c>
      <c r="H368" s="49" t="s">
        <v>12672</v>
      </c>
      <c r="I368" s="97">
        <v>13571.428571428571</v>
      </c>
      <c r="J368" s="95">
        <v>0</v>
      </c>
      <c r="K368" s="102">
        <v>95</v>
      </c>
      <c r="L368" s="95">
        <v>0</v>
      </c>
      <c r="M368" s="95">
        <v>4</v>
      </c>
      <c r="N368" s="95">
        <v>0</v>
      </c>
      <c r="O368" s="49" t="s">
        <v>10913</v>
      </c>
    </row>
    <row r="369" spans="1:15">
      <c r="A369" s="95">
        <v>759724529202804</v>
      </c>
      <c r="B369" s="49" t="s">
        <v>10621</v>
      </c>
      <c r="C369" s="49" t="s">
        <v>10922</v>
      </c>
      <c r="D369" s="49" t="s">
        <v>1021</v>
      </c>
      <c r="E369" s="49">
        <v>6282122880328</v>
      </c>
      <c r="F369" s="96">
        <v>45833</v>
      </c>
      <c r="G369" s="95">
        <v>7</v>
      </c>
      <c r="H369" s="49" t="s">
        <v>12668</v>
      </c>
      <c r="I369" s="97">
        <v>22375</v>
      </c>
      <c r="J369" s="95">
        <v>0</v>
      </c>
      <c r="K369" s="102">
        <v>179</v>
      </c>
      <c r="L369" s="95">
        <v>0</v>
      </c>
      <c r="M369" s="95">
        <v>4</v>
      </c>
      <c r="N369" s="95">
        <v>0</v>
      </c>
      <c r="O369" s="49" t="s">
        <v>10914</v>
      </c>
    </row>
    <row r="370" spans="1:15">
      <c r="A370" s="95">
        <v>759724529202804</v>
      </c>
      <c r="B370" s="49" t="s">
        <v>10621</v>
      </c>
      <c r="C370" s="49" t="s">
        <v>10922</v>
      </c>
      <c r="D370" s="49" t="s">
        <v>1021</v>
      </c>
      <c r="E370" s="49">
        <v>6282122880328</v>
      </c>
      <c r="F370" s="96">
        <v>45833</v>
      </c>
      <c r="G370" s="95">
        <v>8</v>
      </c>
      <c r="H370" s="49" t="s">
        <v>12669</v>
      </c>
      <c r="I370" s="97">
        <v>93111.111111111109</v>
      </c>
      <c r="J370" s="95">
        <v>1</v>
      </c>
      <c r="K370" s="102">
        <v>838</v>
      </c>
      <c r="L370" s="95">
        <v>1</v>
      </c>
      <c r="M370" s="95">
        <v>6</v>
      </c>
      <c r="N370" s="95">
        <v>0</v>
      </c>
      <c r="O370" s="49" t="s">
        <v>10914</v>
      </c>
    </row>
    <row r="371" spans="1:15">
      <c r="A371" s="95">
        <v>759724529202804</v>
      </c>
      <c r="B371" s="49" t="s">
        <v>10621</v>
      </c>
      <c r="C371" s="49" t="s">
        <v>10922</v>
      </c>
      <c r="D371" s="49" t="s">
        <v>1021</v>
      </c>
      <c r="E371" s="49">
        <v>6282122880328</v>
      </c>
      <c r="F371" s="96">
        <v>45833</v>
      </c>
      <c r="G371" s="95">
        <v>8</v>
      </c>
      <c r="H371" s="49" t="s">
        <v>12670</v>
      </c>
      <c r="I371" s="97">
        <v>99800</v>
      </c>
      <c r="J371" s="95">
        <v>0</v>
      </c>
      <c r="K371" s="102">
        <v>998</v>
      </c>
      <c r="L371" s="95">
        <v>0</v>
      </c>
      <c r="M371" s="95">
        <v>4</v>
      </c>
      <c r="N371" s="95">
        <v>0</v>
      </c>
      <c r="O371" s="49" t="s">
        <v>10914</v>
      </c>
    </row>
    <row r="372" spans="1:15">
      <c r="A372" s="95">
        <v>759724529202804</v>
      </c>
      <c r="B372" s="49" t="s">
        <v>10621</v>
      </c>
      <c r="C372" s="49" t="s">
        <v>10922</v>
      </c>
      <c r="D372" s="49" t="s">
        <v>1021</v>
      </c>
      <c r="E372" s="49">
        <v>6282122880328</v>
      </c>
      <c r="F372" s="96">
        <v>45833</v>
      </c>
      <c r="G372" s="95">
        <v>3</v>
      </c>
      <c r="H372" s="49" t="s">
        <v>12671</v>
      </c>
      <c r="I372" s="97">
        <v>98666.666666666672</v>
      </c>
      <c r="J372" s="95">
        <v>1</v>
      </c>
      <c r="K372" s="102">
        <v>296</v>
      </c>
      <c r="L372" s="95">
        <v>1</v>
      </c>
      <c r="M372" s="95">
        <v>2</v>
      </c>
      <c r="N372" s="95">
        <v>0</v>
      </c>
      <c r="O372" s="49" t="s">
        <v>10914</v>
      </c>
    </row>
    <row r="373" spans="1:15">
      <c r="A373" s="95">
        <v>759724529202804</v>
      </c>
      <c r="B373" s="49" t="s">
        <v>10621</v>
      </c>
      <c r="C373" s="49" t="s">
        <v>10863</v>
      </c>
      <c r="D373" s="49" t="s">
        <v>10864</v>
      </c>
      <c r="E373" s="49">
        <v>6285180805171</v>
      </c>
      <c r="F373" s="96">
        <v>45833</v>
      </c>
      <c r="G373" s="95">
        <v>18</v>
      </c>
      <c r="H373" s="49" t="s">
        <v>12667</v>
      </c>
      <c r="I373" s="97">
        <v>11222.222222222221</v>
      </c>
      <c r="J373" s="95">
        <v>0</v>
      </c>
      <c r="K373" s="102">
        <v>202</v>
      </c>
      <c r="L373" s="95">
        <v>0</v>
      </c>
      <c r="M373" s="95">
        <v>3</v>
      </c>
      <c r="N373" s="95">
        <v>0</v>
      </c>
      <c r="O373" s="49" t="s">
        <v>10865</v>
      </c>
    </row>
    <row r="374" spans="1:15">
      <c r="A374" s="95">
        <v>759724529202804</v>
      </c>
      <c r="B374" s="49" t="s">
        <v>10621</v>
      </c>
      <c r="C374" s="49" t="s">
        <v>10863</v>
      </c>
      <c r="D374" s="49" t="s">
        <v>10864</v>
      </c>
      <c r="E374" s="49">
        <v>6285180805171</v>
      </c>
      <c r="F374" s="96">
        <v>45833</v>
      </c>
      <c r="G374" s="95">
        <v>65</v>
      </c>
      <c r="H374" s="49" t="s">
        <v>12668</v>
      </c>
      <c r="I374" s="97">
        <v>9794.1176470588234</v>
      </c>
      <c r="J374" s="95">
        <v>0</v>
      </c>
      <c r="K374" s="102">
        <v>666</v>
      </c>
      <c r="L374" s="95">
        <v>0</v>
      </c>
      <c r="M374" s="95">
        <v>14</v>
      </c>
      <c r="N374" s="95">
        <v>0</v>
      </c>
      <c r="O374" s="49" t="s">
        <v>10865</v>
      </c>
    </row>
    <row r="375" spans="1:15">
      <c r="A375" s="95">
        <v>759724529202804</v>
      </c>
      <c r="B375" s="49" t="s">
        <v>10621</v>
      </c>
      <c r="C375" s="49" t="s">
        <v>10863</v>
      </c>
      <c r="D375" s="49" t="s">
        <v>10864</v>
      </c>
      <c r="E375" s="49">
        <v>6285180805171</v>
      </c>
      <c r="F375" s="96">
        <v>45833</v>
      </c>
      <c r="G375" s="95">
        <v>61</v>
      </c>
      <c r="H375" s="49" t="s">
        <v>12669</v>
      </c>
      <c r="I375" s="97">
        <v>9142.8571428571431</v>
      </c>
      <c r="J375" s="95">
        <v>1</v>
      </c>
      <c r="K375" s="102">
        <v>576</v>
      </c>
      <c r="L375" s="95">
        <v>0</v>
      </c>
      <c r="M375" s="95">
        <v>14</v>
      </c>
      <c r="N375" s="95">
        <v>0</v>
      </c>
      <c r="O375" s="49" t="s">
        <v>10865</v>
      </c>
    </row>
    <row r="376" spans="1:15">
      <c r="A376" s="95">
        <v>759724529202804</v>
      </c>
      <c r="B376" s="49" t="s">
        <v>10621</v>
      </c>
      <c r="C376" s="49" t="s">
        <v>10863</v>
      </c>
      <c r="D376" s="49" t="s">
        <v>10864</v>
      </c>
      <c r="E376" s="49">
        <v>6285180805171</v>
      </c>
      <c r="F376" s="96">
        <v>45833</v>
      </c>
      <c r="G376" s="95">
        <v>39</v>
      </c>
      <c r="H376" s="49" t="s">
        <v>12670</v>
      </c>
      <c r="I376" s="97">
        <v>12825</v>
      </c>
      <c r="J376" s="95">
        <v>1</v>
      </c>
      <c r="K376" s="102">
        <v>513</v>
      </c>
      <c r="L376" s="95">
        <v>0</v>
      </c>
      <c r="M376" s="95">
        <v>12</v>
      </c>
      <c r="N376" s="95">
        <v>0</v>
      </c>
      <c r="O376" s="49" t="s">
        <v>10865</v>
      </c>
    </row>
    <row r="377" spans="1:15">
      <c r="A377" s="95">
        <v>759724529202804</v>
      </c>
      <c r="B377" s="49" t="s">
        <v>10621</v>
      </c>
      <c r="C377" s="49" t="s">
        <v>10863</v>
      </c>
      <c r="D377" s="49" t="s">
        <v>10864</v>
      </c>
      <c r="E377" s="49">
        <v>6285180805171</v>
      </c>
      <c r="F377" s="96">
        <v>45833</v>
      </c>
      <c r="G377" s="95">
        <v>10</v>
      </c>
      <c r="H377" s="49" t="s">
        <v>12671</v>
      </c>
      <c r="I377" s="97">
        <v>18272.727272727272</v>
      </c>
      <c r="J377" s="95">
        <v>1</v>
      </c>
      <c r="K377" s="102">
        <v>201</v>
      </c>
      <c r="L377" s="95">
        <v>0</v>
      </c>
      <c r="M377" s="95">
        <v>4</v>
      </c>
      <c r="N377" s="95">
        <v>0</v>
      </c>
      <c r="O377" s="49" t="s">
        <v>10865</v>
      </c>
    </row>
    <row r="378" spans="1:15">
      <c r="A378" s="95">
        <v>759724529202804</v>
      </c>
      <c r="B378" s="49" t="s">
        <v>10621</v>
      </c>
      <c r="C378" s="49" t="s">
        <v>10863</v>
      </c>
      <c r="D378" s="49" t="s">
        <v>10864</v>
      </c>
      <c r="E378" s="49">
        <v>6285180805171</v>
      </c>
      <c r="F378" s="96">
        <v>45833</v>
      </c>
      <c r="G378" s="95">
        <v>5</v>
      </c>
      <c r="H378" s="49" t="s">
        <v>12672</v>
      </c>
      <c r="I378" s="97">
        <v>10000</v>
      </c>
      <c r="J378" s="95">
        <v>0</v>
      </c>
      <c r="K378" s="102">
        <v>50</v>
      </c>
      <c r="L378" s="95">
        <v>0</v>
      </c>
      <c r="M378" s="95">
        <v>2</v>
      </c>
      <c r="N378" s="95">
        <v>0</v>
      </c>
      <c r="O378" s="49" t="s">
        <v>10865</v>
      </c>
    </row>
    <row r="379" spans="1:15">
      <c r="A379" s="95">
        <v>759724529202804</v>
      </c>
      <c r="B379" s="49" t="s">
        <v>10621</v>
      </c>
      <c r="C379" s="49" t="s">
        <v>10890</v>
      </c>
      <c r="D379" s="49" t="s">
        <v>450</v>
      </c>
      <c r="E379" s="49">
        <v>62895401448273</v>
      </c>
      <c r="F379" s="96">
        <v>45833</v>
      </c>
      <c r="G379" s="95">
        <v>11</v>
      </c>
      <c r="H379" s="49" t="s">
        <v>12667</v>
      </c>
      <c r="I379" s="97">
        <v>8333.3333333333339</v>
      </c>
      <c r="J379" s="95">
        <v>0</v>
      </c>
      <c r="K379" s="102">
        <v>100</v>
      </c>
      <c r="L379" s="95">
        <v>0</v>
      </c>
      <c r="M379" s="95">
        <v>0</v>
      </c>
      <c r="N379" s="95">
        <v>0</v>
      </c>
      <c r="O379" s="49" t="s">
        <v>10891</v>
      </c>
    </row>
    <row r="380" spans="1:15">
      <c r="A380" s="95">
        <v>759724529202804</v>
      </c>
      <c r="B380" s="49" t="s">
        <v>10621</v>
      </c>
      <c r="C380" s="49" t="s">
        <v>10890</v>
      </c>
      <c r="D380" s="49" t="s">
        <v>450</v>
      </c>
      <c r="E380" s="49">
        <v>62895401448273</v>
      </c>
      <c r="F380" s="96">
        <v>45833</v>
      </c>
      <c r="G380" s="95">
        <v>45</v>
      </c>
      <c r="H380" s="49" t="s">
        <v>12668</v>
      </c>
      <c r="I380" s="97">
        <v>17765.957446808512</v>
      </c>
      <c r="J380" s="95">
        <v>0</v>
      </c>
      <c r="K380" s="102">
        <v>835</v>
      </c>
      <c r="L380" s="95">
        <v>0</v>
      </c>
      <c r="M380" s="95">
        <v>0</v>
      </c>
      <c r="N380" s="95">
        <v>0</v>
      </c>
      <c r="O380" s="49" t="s">
        <v>10891</v>
      </c>
    </row>
    <row r="381" spans="1:15">
      <c r="A381" s="95">
        <v>759724529202804</v>
      </c>
      <c r="B381" s="49" t="s">
        <v>10621</v>
      </c>
      <c r="C381" s="49" t="s">
        <v>10890</v>
      </c>
      <c r="D381" s="49" t="s">
        <v>450</v>
      </c>
      <c r="E381" s="49">
        <v>62895401448273</v>
      </c>
      <c r="F381" s="96">
        <v>45833</v>
      </c>
      <c r="G381" s="95">
        <v>32</v>
      </c>
      <c r="H381" s="49" t="s">
        <v>12669</v>
      </c>
      <c r="I381" s="97">
        <v>24666.666666666668</v>
      </c>
      <c r="J381" s="95">
        <v>2</v>
      </c>
      <c r="K381" s="102">
        <v>888</v>
      </c>
      <c r="L381" s="95">
        <v>0</v>
      </c>
      <c r="M381" s="95">
        <v>0</v>
      </c>
      <c r="N381" s="95">
        <v>0</v>
      </c>
      <c r="O381" s="49" t="s">
        <v>10891</v>
      </c>
    </row>
    <row r="382" spans="1:15">
      <c r="A382" s="95">
        <v>759724529202804</v>
      </c>
      <c r="B382" s="49" t="s">
        <v>10621</v>
      </c>
      <c r="C382" s="49" t="s">
        <v>10890</v>
      </c>
      <c r="D382" s="49" t="s">
        <v>450</v>
      </c>
      <c r="E382" s="49">
        <v>62895401448273</v>
      </c>
      <c r="F382" s="96">
        <v>45833</v>
      </c>
      <c r="G382" s="95">
        <v>28</v>
      </c>
      <c r="H382" s="49" t="s">
        <v>12670</v>
      </c>
      <c r="I382" s="97">
        <v>26375</v>
      </c>
      <c r="J382" s="95">
        <v>0</v>
      </c>
      <c r="K382" s="102">
        <v>844</v>
      </c>
      <c r="L382" s="95">
        <v>0</v>
      </c>
      <c r="M382" s="95">
        <v>0</v>
      </c>
      <c r="N382" s="95">
        <v>0</v>
      </c>
      <c r="O382" s="49" t="s">
        <v>10891</v>
      </c>
    </row>
    <row r="383" spans="1:15">
      <c r="A383" s="95">
        <v>759724529202804</v>
      </c>
      <c r="B383" s="49" t="s">
        <v>10621</v>
      </c>
      <c r="C383" s="49" t="s">
        <v>10890</v>
      </c>
      <c r="D383" s="49" t="s">
        <v>450</v>
      </c>
      <c r="E383" s="49">
        <v>62895401448273</v>
      </c>
      <c r="F383" s="96">
        <v>45833</v>
      </c>
      <c r="G383" s="95">
        <v>7</v>
      </c>
      <c r="H383" s="49" t="s">
        <v>12671</v>
      </c>
      <c r="I383" s="97">
        <v>35428.571428571428</v>
      </c>
      <c r="J383" s="95">
        <v>1</v>
      </c>
      <c r="K383" s="102">
        <v>248</v>
      </c>
      <c r="L383" s="95">
        <v>0</v>
      </c>
      <c r="M383" s="95">
        <v>0</v>
      </c>
      <c r="N383" s="95">
        <v>0</v>
      </c>
      <c r="O383" s="49" t="s">
        <v>10891</v>
      </c>
    </row>
    <row r="384" spans="1:15">
      <c r="A384" s="95">
        <v>759724529202804</v>
      </c>
      <c r="B384" s="49" t="s">
        <v>10621</v>
      </c>
      <c r="C384" s="49" t="s">
        <v>10890</v>
      </c>
      <c r="D384" s="49" t="s">
        <v>450</v>
      </c>
      <c r="E384" s="49">
        <v>62895401448273</v>
      </c>
      <c r="F384" s="96">
        <v>45833</v>
      </c>
      <c r="G384" s="95">
        <v>4</v>
      </c>
      <c r="H384" s="49" t="s">
        <v>12672</v>
      </c>
      <c r="I384" s="97">
        <v>5400</v>
      </c>
      <c r="J384" s="95">
        <v>0</v>
      </c>
      <c r="K384" s="102">
        <v>27</v>
      </c>
      <c r="L384" s="95">
        <v>0</v>
      </c>
      <c r="M384" s="95">
        <v>0</v>
      </c>
      <c r="N384" s="95">
        <v>0</v>
      </c>
      <c r="O384" s="49" t="s">
        <v>10891</v>
      </c>
    </row>
    <row r="385" spans="1:15">
      <c r="A385" s="95">
        <v>759724529202804</v>
      </c>
      <c r="B385" s="49" t="s">
        <v>10621</v>
      </c>
      <c r="C385" s="49" t="s">
        <v>332</v>
      </c>
      <c r="D385" s="49" t="s">
        <v>10708</v>
      </c>
      <c r="E385" s="49">
        <v>6282350524788</v>
      </c>
      <c r="F385" s="96">
        <v>45833</v>
      </c>
      <c r="G385" s="95">
        <v>2</v>
      </c>
      <c r="H385" s="49" t="s">
        <v>12667</v>
      </c>
      <c r="I385" s="97">
        <v>6500</v>
      </c>
      <c r="J385" s="95">
        <v>0</v>
      </c>
      <c r="K385" s="102">
        <v>13</v>
      </c>
      <c r="L385" s="95">
        <v>0</v>
      </c>
      <c r="M385" s="95">
        <v>0</v>
      </c>
      <c r="N385" s="95">
        <v>0</v>
      </c>
      <c r="O385" s="49" t="s">
        <v>10709</v>
      </c>
    </row>
    <row r="386" spans="1:15">
      <c r="A386" s="95">
        <v>759724529202804</v>
      </c>
      <c r="B386" s="49" t="s">
        <v>10621</v>
      </c>
      <c r="C386" s="49" t="s">
        <v>332</v>
      </c>
      <c r="D386" s="49" t="s">
        <v>10708</v>
      </c>
      <c r="E386" s="49">
        <v>6282350524788</v>
      </c>
      <c r="F386" s="96">
        <v>45833</v>
      </c>
      <c r="G386" s="95">
        <v>4</v>
      </c>
      <c r="H386" s="49" t="s">
        <v>12668</v>
      </c>
      <c r="I386" s="97">
        <v>16000</v>
      </c>
      <c r="J386" s="95">
        <v>0</v>
      </c>
      <c r="K386" s="102">
        <v>64</v>
      </c>
      <c r="L386" s="95">
        <v>0</v>
      </c>
      <c r="M386" s="95">
        <v>0</v>
      </c>
      <c r="N386" s="95">
        <v>0</v>
      </c>
      <c r="O386" s="49" t="s">
        <v>10709</v>
      </c>
    </row>
    <row r="387" spans="1:15">
      <c r="A387" s="95">
        <v>759724529202804</v>
      </c>
      <c r="B387" s="49" t="s">
        <v>10621</v>
      </c>
      <c r="C387" s="49" t="s">
        <v>332</v>
      </c>
      <c r="D387" s="49" t="s">
        <v>10708</v>
      </c>
      <c r="E387" s="49">
        <v>6282350524788</v>
      </c>
      <c r="F387" s="96">
        <v>45833</v>
      </c>
      <c r="G387" s="95">
        <v>9</v>
      </c>
      <c r="H387" s="49" t="s">
        <v>12669</v>
      </c>
      <c r="I387" s="97">
        <v>23777.777777777777</v>
      </c>
      <c r="J387" s="95">
        <v>2</v>
      </c>
      <c r="K387" s="102">
        <v>214</v>
      </c>
      <c r="L387" s="95">
        <v>0</v>
      </c>
      <c r="M387" s="95">
        <v>0</v>
      </c>
      <c r="N387" s="95">
        <v>0</v>
      </c>
      <c r="O387" s="49" t="s">
        <v>10709</v>
      </c>
    </row>
    <row r="388" spans="1:15">
      <c r="A388" s="95">
        <v>759724529202804</v>
      </c>
      <c r="B388" s="49" t="s">
        <v>10621</v>
      </c>
      <c r="C388" s="49" t="s">
        <v>332</v>
      </c>
      <c r="D388" s="49" t="s">
        <v>10708</v>
      </c>
      <c r="E388" s="49">
        <v>6282350524788</v>
      </c>
      <c r="F388" s="96">
        <v>45833</v>
      </c>
      <c r="G388" s="95">
        <v>7</v>
      </c>
      <c r="H388" s="49" t="s">
        <v>12670</v>
      </c>
      <c r="I388" s="97">
        <v>9875</v>
      </c>
      <c r="J388" s="95">
        <v>0</v>
      </c>
      <c r="K388" s="102">
        <v>79</v>
      </c>
      <c r="L388" s="95">
        <v>0</v>
      </c>
      <c r="M388" s="95">
        <v>0</v>
      </c>
      <c r="N388" s="95">
        <v>0</v>
      </c>
      <c r="O388" s="49" t="s">
        <v>10709</v>
      </c>
    </row>
    <row r="389" spans="1:15">
      <c r="A389" s="95">
        <v>759724529202804</v>
      </c>
      <c r="B389" s="49" t="s">
        <v>10621</v>
      </c>
      <c r="C389" s="49" t="s">
        <v>332</v>
      </c>
      <c r="D389" s="49" t="s">
        <v>10708</v>
      </c>
      <c r="E389" s="49">
        <v>6282350524788</v>
      </c>
      <c r="F389" s="96">
        <v>45833</v>
      </c>
      <c r="G389" s="95">
        <v>2</v>
      </c>
      <c r="H389" s="49" t="s">
        <v>12671</v>
      </c>
      <c r="I389" s="97">
        <v>34500</v>
      </c>
      <c r="J389" s="95">
        <v>0</v>
      </c>
      <c r="K389" s="102">
        <v>69</v>
      </c>
      <c r="L389" s="95">
        <v>0</v>
      </c>
      <c r="M389" s="95">
        <v>0</v>
      </c>
      <c r="N389" s="95">
        <v>0</v>
      </c>
      <c r="O389" s="49" t="s">
        <v>10709</v>
      </c>
    </row>
    <row r="390" spans="1:15">
      <c r="A390" s="95">
        <v>759724529202804</v>
      </c>
      <c r="B390" s="49" t="s">
        <v>10621</v>
      </c>
      <c r="C390" s="49" t="s">
        <v>665</v>
      </c>
      <c r="D390" s="49" t="s">
        <v>659</v>
      </c>
      <c r="E390" s="49">
        <v>6285757057088</v>
      </c>
      <c r="F390" s="96">
        <v>45833</v>
      </c>
      <c r="G390" s="95">
        <v>34</v>
      </c>
      <c r="H390" s="49" t="s">
        <v>12668</v>
      </c>
      <c r="I390" s="97">
        <v>18488.888888888887</v>
      </c>
      <c r="J390" s="95">
        <v>2</v>
      </c>
      <c r="K390" s="102">
        <v>832</v>
      </c>
      <c r="L390" s="95">
        <v>0</v>
      </c>
      <c r="M390" s="95">
        <v>0</v>
      </c>
      <c r="N390" s="95">
        <v>0</v>
      </c>
      <c r="O390" s="49" t="s">
        <v>10636</v>
      </c>
    </row>
    <row r="391" spans="1:15">
      <c r="A391" s="95">
        <v>759724529202804</v>
      </c>
      <c r="B391" s="49" t="s">
        <v>10621</v>
      </c>
      <c r="C391" s="49" t="s">
        <v>665</v>
      </c>
      <c r="D391" s="49" t="s">
        <v>659</v>
      </c>
      <c r="E391" s="49">
        <v>6285757057088</v>
      </c>
      <c r="F391" s="96">
        <v>45833</v>
      </c>
      <c r="G391" s="95">
        <v>34</v>
      </c>
      <c r="H391" s="49" t="s">
        <v>12669</v>
      </c>
      <c r="I391" s="97">
        <v>28931.818181818184</v>
      </c>
      <c r="J391" s="95">
        <v>1</v>
      </c>
      <c r="K391" s="102">
        <v>1273</v>
      </c>
      <c r="L391" s="95">
        <v>0</v>
      </c>
      <c r="M391" s="95">
        <v>0</v>
      </c>
      <c r="N391" s="95">
        <v>0</v>
      </c>
      <c r="O391" s="49" t="s">
        <v>10636</v>
      </c>
    </row>
    <row r="392" spans="1:15">
      <c r="A392" s="95">
        <v>759724529202804</v>
      </c>
      <c r="B392" s="49" t="s">
        <v>10621</v>
      </c>
      <c r="C392" s="49" t="s">
        <v>665</v>
      </c>
      <c r="D392" s="49" t="s">
        <v>659</v>
      </c>
      <c r="E392" s="49">
        <v>6285757057088</v>
      </c>
      <c r="F392" s="96">
        <v>45833</v>
      </c>
      <c r="G392" s="95">
        <v>10</v>
      </c>
      <c r="H392" s="49" t="s">
        <v>12670</v>
      </c>
      <c r="I392" s="97">
        <v>27916.666666666668</v>
      </c>
      <c r="J392" s="95">
        <v>0</v>
      </c>
      <c r="K392" s="102">
        <v>335</v>
      </c>
      <c r="L392" s="95">
        <v>0</v>
      </c>
      <c r="M392" s="95">
        <v>0</v>
      </c>
      <c r="N392" s="95">
        <v>0</v>
      </c>
      <c r="O392" s="49" t="s">
        <v>10636</v>
      </c>
    </row>
    <row r="393" spans="1:15">
      <c r="A393" s="95">
        <v>759724529202804</v>
      </c>
      <c r="B393" s="49" t="s">
        <v>10621</v>
      </c>
      <c r="C393" s="49" t="s">
        <v>665</v>
      </c>
      <c r="D393" s="49" t="s">
        <v>659</v>
      </c>
      <c r="E393" s="49">
        <v>6285757057088</v>
      </c>
      <c r="F393" s="96">
        <v>45833</v>
      </c>
      <c r="G393" s="95">
        <v>1</v>
      </c>
      <c r="H393" s="49" t="s">
        <v>12671</v>
      </c>
      <c r="I393" s="97">
        <v>34000</v>
      </c>
      <c r="J393" s="95">
        <v>0</v>
      </c>
      <c r="K393" s="102">
        <v>34</v>
      </c>
      <c r="L393" s="95">
        <v>0</v>
      </c>
      <c r="M393" s="95">
        <v>0</v>
      </c>
      <c r="N393" s="95">
        <v>0</v>
      </c>
      <c r="O393" s="49" t="s">
        <v>10636</v>
      </c>
    </row>
    <row r="394" spans="1:15">
      <c r="A394" s="95">
        <v>759724529202804</v>
      </c>
      <c r="B394" s="49" t="s">
        <v>10621</v>
      </c>
      <c r="C394" s="49" t="s">
        <v>665</v>
      </c>
      <c r="D394" s="49" t="s">
        <v>659</v>
      </c>
      <c r="E394" s="49">
        <v>6285757057088</v>
      </c>
      <c r="F394" s="96">
        <v>45833</v>
      </c>
      <c r="G394" s="95">
        <v>3</v>
      </c>
      <c r="H394" s="49" t="s">
        <v>12672</v>
      </c>
      <c r="I394" s="97">
        <v>26666.666666666668</v>
      </c>
      <c r="J394" s="95">
        <v>0</v>
      </c>
      <c r="K394" s="102">
        <v>80</v>
      </c>
      <c r="L394" s="95">
        <v>0</v>
      </c>
      <c r="M394" s="95">
        <v>0</v>
      </c>
      <c r="N394" s="95">
        <v>0</v>
      </c>
      <c r="O394" s="49" t="s">
        <v>10636</v>
      </c>
    </row>
    <row r="395" spans="1:15">
      <c r="A395" s="95">
        <v>174904221976312</v>
      </c>
      <c r="B395" s="49" t="s">
        <v>10651</v>
      </c>
      <c r="C395" s="49" t="s">
        <v>10930</v>
      </c>
      <c r="D395" s="49" t="s">
        <v>10931</v>
      </c>
      <c r="E395" s="49">
        <v>6282325874670</v>
      </c>
      <c r="F395" s="96">
        <v>45833</v>
      </c>
      <c r="G395" s="95">
        <v>11</v>
      </c>
      <c r="H395" s="49" t="s">
        <v>12667</v>
      </c>
      <c r="I395" s="97">
        <v>10333.333333333334</v>
      </c>
      <c r="J395" s="95">
        <v>0</v>
      </c>
      <c r="K395" s="102">
        <v>124</v>
      </c>
      <c r="L395" s="95">
        <v>0</v>
      </c>
      <c r="M395" s="95">
        <v>2</v>
      </c>
      <c r="N395" s="95">
        <v>0</v>
      </c>
      <c r="O395" s="49" t="s">
        <v>10932</v>
      </c>
    </row>
    <row r="396" spans="1:15">
      <c r="A396" s="95">
        <v>174904221976312</v>
      </c>
      <c r="B396" s="49" t="s">
        <v>10651</v>
      </c>
      <c r="C396" s="49" t="s">
        <v>10930</v>
      </c>
      <c r="D396" s="49" t="s">
        <v>10931</v>
      </c>
      <c r="E396" s="49">
        <v>6282325874670</v>
      </c>
      <c r="F396" s="96">
        <v>45833</v>
      </c>
      <c r="G396" s="95">
        <v>34</v>
      </c>
      <c r="H396" s="49" t="s">
        <v>12668</v>
      </c>
      <c r="I396" s="97">
        <v>10666.666666666666</v>
      </c>
      <c r="J396" s="95">
        <v>0</v>
      </c>
      <c r="K396" s="102">
        <v>384</v>
      </c>
      <c r="L396" s="95">
        <v>0</v>
      </c>
      <c r="M396" s="95">
        <v>4</v>
      </c>
      <c r="N396" s="95">
        <v>0</v>
      </c>
      <c r="O396" s="49" t="s">
        <v>10932</v>
      </c>
    </row>
    <row r="397" spans="1:15">
      <c r="A397" s="95">
        <v>174904221976312</v>
      </c>
      <c r="B397" s="49" t="s">
        <v>10651</v>
      </c>
      <c r="C397" s="49" t="s">
        <v>10930</v>
      </c>
      <c r="D397" s="49" t="s">
        <v>10931</v>
      </c>
      <c r="E397" s="49">
        <v>6282325874670</v>
      </c>
      <c r="F397" s="96">
        <v>45833</v>
      </c>
      <c r="G397" s="95">
        <v>28</v>
      </c>
      <c r="H397" s="49" t="s">
        <v>12669</v>
      </c>
      <c r="I397" s="97">
        <v>23178.571428571428</v>
      </c>
      <c r="J397" s="95">
        <v>2</v>
      </c>
      <c r="K397" s="102">
        <v>649</v>
      </c>
      <c r="L397" s="95">
        <v>1</v>
      </c>
      <c r="M397" s="95">
        <v>7</v>
      </c>
      <c r="N397" s="95">
        <v>0</v>
      </c>
      <c r="O397" s="49" t="s">
        <v>10932</v>
      </c>
    </row>
    <row r="398" spans="1:15">
      <c r="A398" s="95">
        <v>174904221976312</v>
      </c>
      <c r="B398" s="49" t="s">
        <v>10651</v>
      </c>
      <c r="C398" s="49" t="s">
        <v>10930</v>
      </c>
      <c r="D398" s="49" t="s">
        <v>10931</v>
      </c>
      <c r="E398" s="49">
        <v>6282325874670</v>
      </c>
      <c r="F398" s="96">
        <v>45833</v>
      </c>
      <c r="G398" s="95">
        <v>12</v>
      </c>
      <c r="H398" s="49" t="s">
        <v>12670</v>
      </c>
      <c r="I398" s="97">
        <v>27916.666666666668</v>
      </c>
      <c r="J398" s="95">
        <v>1</v>
      </c>
      <c r="K398" s="102">
        <v>335</v>
      </c>
      <c r="L398" s="95">
        <v>0</v>
      </c>
      <c r="M398" s="95">
        <v>3</v>
      </c>
      <c r="N398" s="95">
        <v>0</v>
      </c>
      <c r="O398" s="49" t="s">
        <v>10932</v>
      </c>
    </row>
    <row r="399" spans="1:15">
      <c r="A399" s="95">
        <v>174904221976312</v>
      </c>
      <c r="B399" s="49" t="s">
        <v>10651</v>
      </c>
      <c r="C399" s="49" t="s">
        <v>10930</v>
      </c>
      <c r="D399" s="49" t="s">
        <v>10931</v>
      </c>
      <c r="E399" s="49">
        <v>6282325874670</v>
      </c>
      <c r="F399" s="96">
        <v>45833</v>
      </c>
      <c r="G399" s="95">
        <v>3</v>
      </c>
      <c r="H399" s="49" t="s">
        <v>12671</v>
      </c>
      <c r="I399" s="97">
        <v>20000</v>
      </c>
      <c r="J399" s="95">
        <v>0</v>
      </c>
      <c r="K399" s="102">
        <v>60</v>
      </c>
      <c r="L399" s="95">
        <v>0</v>
      </c>
      <c r="M399" s="95">
        <v>1</v>
      </c>
      <c r="N399" s="95">
        <v>0</v>
      </c>
      <c r="O399" s="49" t="s">
        <v>10932</v>
      </c>
    </row>
    <row r="400" spans="1:15">
      <c r="A400" s="95">
        <v>174904221976312</v>
      </c>
      <c r="B400" s="49" t="s">
        <v>10651</v>
      </c>
      <c r="C400" s="49" t="s">
        <v>10930</v>
      </c>
      <c r="D400" s="49" t="s">
        <v>10931</v>
      </c>
      <c r="E400" s="49">
        <v>6282325874670</v>
      </c>
      <c r="F400" s="96">
        <v>45833</v>
      </c>
      <c r="G400" s="95">
        <v>3</v>
      </c>
      <c r="H400" s="49" t="s">
        <v>12672</v>
      </c>
      <c r="I400" s="97">
        <v>7666.666666666667</v>
      </c>
      <c r="J400" s="95">
        <v>0</v>
      </c>
      <c r="K400" s="102">
        <v>23</v>
      </c>
      <c r="L400" s="95">
        <v>0</v>
      </c>
      <c r="M400" s="95">
        <v>1</v>
      </c>
      <c r="N400" s="95">
        <v>0</v>
      </c>
      <c r="O400" s="49" t="s">
        <v>10932</v>
      </c>
    </row>
    <row r="401" spans="1:15">
      <c r="A401" s="95">
        <v>174904221976312</v>
      </c>
      <c r="B401" s="49" t="s">
        <v>10651</v>
      </c>
      <c r="C401" s="49" t="s">
        <v>10915</v>
      </c>
      <c r="D401" s="49" t="s">
        <v>10674</v>
      </c>
      <c r="E401" s="49">
        <v>6282183184641</v>
      </c>
      <c r="F401" s="96">
        <v>45833</v>
      </c>
      <c r="G401" s="95">
        <v>6</v>
      </c>
      <c r="H401" s="49" t="s">
        <v>12668</v>
      </c>
      <c r="I401" s="97">
        <v>11666.666666666666</v>
      </c>
      <c r="J401" s="95">
        <v>0</v>
      </c>
      <c r="K401" s="102">
        <v>70</v>
      </c>
      <c r="L401" s="95">
        <v>0</v>
      </c>
      <c r="M401" s="95">
        <v>0</v>
      </c>
      <c r="N401" s="95">
        <v>0</v>
      </c>
      <c r="O401" s="49" t="s">
        <v>10675</v>
      </c>
    </row>
    <row r="402" spans="1:15">
      <c r="A402" s="95">
        <v>174904221976312</v>
      </c>
      <c r="B402" s="49" t="s">
        <v>10651</v>
      </c>
      <c r="C402" s="49" t="s">
        <v>10915</v>
      </c>
      <c r="D402" s="49" t="s">
        <v>10674</v>
      </c>
      <c r="E402" s="49">
        <v>6282183184641</v>
      </c>
      <c r="F402" s="96">
        <v>45833</v>
      </c>
      <c r="G402" s="95">
        <v>6</v>
      </c>
      <c r="H402" s="49" t="s">
        <v>12669</v>
      </c>
      <c r="I402" s="97">
        <v>15142.857142857143</v>
      </c>
      <c r="J402" s="95">
        <v>1</v>
      </c>
      <c r="K402" s="102">
        <v>106</v>
      </c>
      <c r="L402" s="95">
        <v>0</v>
      </c>
      <c r="M402" s="95">
        <v>0</v>
      </c>
      <c r="N402" s="95">
        <v>0</v>
      </c>
      <c r="O402" s="49" t="s">
        <v>10675</v>
      </c>
    </row>
    <row r="403" spans="1:15">
      <c r="A403" s="95">
        <v>174904221976312</v>
      </c>
      <c r="B403" s="49" t="s">
        <v>10651</v>
      </c>
      <c r="C403" s="49" t="s">
        <v>10915</v>
      </c>
      <c r="D403" s="49" t="s">
        <v>10674</v>
      </c>
      <c r="E403" s="49">
        <v>6282183184641</v>
      </c>
      <c r="F403" s="96">
        <v>45833</v>
      </c>
      <c r="G403" s="95">
        <v>5</v>
      </c>
      <c r="H403" s="49" t="s">
        <v>12670</v>
      </c>
      <c r="I403" s="97">
        <v>29400</v>
      </c>
      <c r="J403" s="95">
        <v>0</v>
      </c>
      <c r="K403" s="102">
        <v>147</v>
      </c>
      <c r="L403" s="95">
        <v>0</v>
      </c>
      <c r="M403" s="95">
        <v>0</v>
      </c>
      <c r="N403" s="95">
        <v>0</v>
      </c>
      <c r="O403" s="49" t="s">
        <v>10675</v>
      </c>
    </row>
    <row r="404" spans="1:15">
      <c r="A404" s="95">
        <v>174904221976312</v>
      </c>
      <c r="B404" s="49" t="s">
        <v>10651</v>
      </c>
      <c r="C404" s="49" t="s">
        <v>10915</v>
      </c>
      <c r="D404" s="49" t="s">
        <v>10674</v>
      </c>
      <c r="E404" s="49">
        <v>6282183184641</v>
      </c>
      <c r="F404" s="96">
        <v>45833</v>
      </c>
      <c r="G404" s="95">
        <v>1</v>
      </c>
      <c r="H404" s="49" t="s">
        <v>12671</v>
      </c>
      <c r="I404" s="97">
        <v>11000</v>
      </c>
      <c r="J404" s="95">
        <v>0</v>
      </c>
      <c r="K404" s="102">
        <v>11</v>
      </c>
      <c r="L404" s="95">
        <v>0</v>
      </c>
      <c r="M404" s="95">
        <v>0</v>
      </c>
      <c r="N404" s="95">
        <v>0</v>
      </c>
      <c r="O404" s="49" t="s">
        <v>10675</v>
      </c>
    </row>
    <row r="405" spans="1:15">
      <c r="A405" s="95">
        <v>174904221976312</v>
      </c>
      <c r="B405" s="49" t="s">
        <v>10651</v>
      </c>
      <c r="C405" s="49" t="s">
        <v>10915</v>
      </c>
      <c r="D405" s="49" t="s">
        <v>10674</v>
      </c>
      <c r="E405" s="49">
        <v>6282183184641</v>
      </c>
      <c r="F405" s="96">
        <v>45833</v>
      </c>
      <c r="G405" s="95">
        <v>1</v>
      </c>
      <c r="H405" s="49" t="s">
        <v>12672</v>
      </c>
      <c r="I405" s="97">
        <v>54000</v>
      </c>
      <c r="J405" s="95">
        <v>0</v>
      </c>
      <c r="K405" s="102">
        <v>54</v>
      </c>
      <c r="L405" s="95">
        <v>0</v>
      </c>
      <c r="M405" s="95">
        <v>0</v>
      </c>
      <c r="N405" s="95">
        <v>0</v>
      </c>
      <c r="O405" s="49" t="s">
        <v>10675</v>
      </c>
    </row>
    <row r="406" spans="1:15">
      <c r="A406" s="95">
        <v>174904221976312</v>
      </c>
      <c r="B406" s="49" t="s">
        <v>10651</v>
      </c>
      <c r="C406" s="49" t="s">
        <v>10892</v>
      </c>
      <c r="D406" s="49" t="s">
        <v>10893</v>
      </c>
      <c r="E406" s="49">
        <v>6282399721881</v>
      </c>
      <c r="F406" s="96">
        <v>45833</v>
      </c>
      <c r="G406" s="95">
        <v>11</v>
      </c>
      <c r="H406" s="49" t="s">
        <v>12667</v>
      </c>
      <c r="I406" s="97">
        <v>3909.090909090909</v>
      </c>
      <c r="J406" s="95">
        <v>0</v>
      </c>
      <c r="K406" s="102">
        <v>43</v>
      </c>
      <c r="L406" s="95">
        <v>0</v>
      </c>
      <c r="M406" s="95">
        <v>5</v>
      </c>
      <c r="N406" s="95">
        <v>0</v>
      </c>
      <c r="O406" s="49" t="s">
        <v>10894</v>
      </c>
    </row>
    <row r="407" spans="1:15">
      <c r="A407" s="95">
        <v>174904221976312</v>
      </c>
      <c r="B407" s="49" t="s">
        <v>10651</v>
      </c>
      <c r="C407" s="49" t="s">
        <v>10892</v>
      </c>
      <c r="D407" s="49" t="s">
        <v>10893</v>
      </c>
      <c r="E407" s="49">
        <v>6282399721881</v>
      </c>
      <c r="F407" s="96">
        <v>45833</v>
      </c>
      <c r="G407" s="95">
        <v>45</v>
      </c>
      <c r="H407" s="49" t="s">
        <v>12668</v>
      </c>
      <c r="I407" s="97">
        <v>4355.5555555555547</v>
      </c>
      <c r="J407" s="95">
        <v>0</v>
      </c>
      <c r="K407" s="102">
        <v>196</v>
      </c>
      <c r="L407" s="95">
        <v>0</v>
      </c>
      <c r="M407" s="95">
        <v>11</v>
      </c>
      <c r="N407" s="95">
        <v>0</v>
      </c>
      <c r="O407" s="49" t="s">
        <v>10894</v>
      </c>
    </row>
    <row r="408" spans="1:15">
      <c r="A408" s="95">
        <v>174904221976312</v>
      </c>
      <c r="B408" s="49" t="s">
        <v>10651</v>
      </c>
      <c r="C408" s="49" t="s">
        <v>10892</v>
      </c>
      <c r="D408" s="49" t="s">
        <v>10893</v>
      </c>
      <c r="E408" s="49">
        <v>6282399721881</v>
      </c>
      <c r="F408" s="96">
        <v>45833</v>
      </c>
      <c r="G408" s="95">
        <v>60</v>
      </c>
      <c r="H408" s="49" t="s">
        <v>12669</v>
      </c>
      <c r="I408" s="97">
        <v>3666.6666666666665</v>
      </c>
      <c r="J408" s="95">
        <v>0</v>
      </c>
      <c r="K408" s="102">
        <v>242</v>
      </c>
      <c r="L408" s="95">
        <v>0</v>
      </c>
      <c r="M408" s="95">
        <v>21</v>
      </c>
      <c r="N408" s="95">
        <v>0</v>
      </c>
      <c r="O408" s="49" t="s">
        <v>10894</v>
      </c>
    </row>
    <row r="409" spans="1:15">
      <c r="A409" s="95">
        <v>174904221976312</v>
      </c>
      <c r="B409" s="49" t="s">
        <v>10651</v>
      </c>
      <c r="C409" s="49" t="s">
        <v>10892</v>
      </c>
      <c r="D409" s="49" t="s">
        <v>10893</v>
      </c>
      <c r="E409" s="49">
        <v>6282399721881</v>
      </c>
      <c r="F409" s="96">
        <v>45833</v>
      </c>
      <c r="G409" s="95">
        <v>44</v>
      </c>
      <c r="H409" s="49" t="s">
        <v>12670</v>
      </c>
      <c r="I409" s="97">
        <v>7478.2608695652179</v>
      </c>
      <c r="J409" s="95">
        <v>2</v>
      </c>
      <c r="K409" s="102">
        <v>344</v>
      </c>
      <c r="L409" s="95">
        <v>0</v>
      </c>
      <c r="M409" s="95">
        <v>19</v>
      </c>
      <c r="N409" s="95">
        <v>0</v>
      </c>
      <c r="O409" s="49" t="s">
        <v>10894</v>
      </c>
    </row>
    <row r="410" spans="1:15">
      <c r="A410" s="95">
        <v>174904221976312</v>
      </c>
      <c r="B410" s="49" t="s">
        <v>10651</v>
      </c>
      <c r="C410" s="49" t="s">
        <v>10892</v>
      </c>
      <c r="D410" s="49" t="s">
        <v>10893</v>
      </c>
      <c r="E410" s="49">
        <v>6282399721881</v>
      </c>
      <c r="F410" s="96">
        <v>45833</v>
      </c>
      <c r="G410" s="95">
        <v>29</v>
      </c>
      <c r="H410" s="49" t="s">
        <v>12671</v>
      </c>
      <c r="I410" s="97">
        <v>14200</v>
      </c>
      <c r="J410" s="95">
        <v>0</v>
      </c>
      <c r="K410" s="102">
        <v>426</v>
      </c>
      <c r="L410" s="95">
        <v>0</v>
      </c>
      <c r="M410" s="95">
        <v>16</v>
      </c>
      <c r="N410" s="95">
        <v>0</v>
      </c>
      <c r="O410" s="49" t="s">
        <v>10894</v>
      </c>
    </row>
    <row r="411" spans="1:15">
      <c r="A411" s="95">
        <v>174904221976312</v>
      </c>
      <c r="B411" s="49" t="s">
        <v>10651</v>
      </c>
      <c r="C411" s="49" t="s">
        <v>10892</v>
      </c>
      <c r="D411" s="49" t="s">
        <v>10893</v>
      </c>
      <c r="E411" s="49">
        <v>6282399721881</v>
      </c>
      <c r="F411" s="96">
        <v>45833</v>
      </c>
      <c r="G411" s="95">
        <v>7</v>
      </c>
      <c r="H411" s="49" t="s">
        <v>12672</v>
      </c>
      <c r="I411" s="97">
        <v>4714.2857142857147</v>
      </c>
      <c r="J411" s="95">
        <v>0</v>
      </c>
      <c r="K411" s="102">
        <v>33</v>
      </c>
      <c r="L411" s="95">
        <v>0</v>
      </c>
      <c r="M411" s="95">
        <v>3</v>
      </c>
      <c r="N411" s="95">
        <v>0</v>
      </c>
      <c r="O411" s="49" t="s">
        <v>10894</v>
      </c>
    </row>
    <row r="412" spans="1:15">
      <c r="A412" s="95">
        <v>174904221976312</v>
      </c>
      <c r="B412" s="49" t="s">
        <v>10651</v>
      </c>
      <c r="C412" s="49" t="s">
        <v>10895</v>
      </c>
      <c r="D412" s="49" t="s">
        <v>10896</v>
      </c>
      <c r="E412" s="49">
        <v>6281299907533</v>
      </c>
      <c r="F412" s="96">
        <v>45833</v>
      </c>
      <c r="G412" s="95">
        <v>2</v>
      </c>
      <c r="H412" s="49" t="s">
        <v>12667</v>
      </c>
      <c r="I412" s="97">
        <v>18000</v>
      </c>
      <c r="J412" s="95">
        <v>0</v>
      </c>
      <c r="K412" s="102">
        <v>36</v>
      </c>
      <c r="L412" s="95">
        <v>0</v>
      </c>
      <c r="M412" s="95">
        <v>0</v>
      </c>
      <c r="N412" s="95">
        <v>0</v>
      </c>
      <c r="O412" s="49" t="s">
        <v>10897</v>
      </c>
    </row>
    <row r="413" spans="1:15">
      <c r="A413" s="95">
        <v>174904221976312</v>
      </c>
      <c r="B413" s="49" t="s">
        <v>10651</v>
      </c>
      <c r="C413" s="49" t="s">
        <v>10895</v>
      </c>
      <c r="D413" s="49" t="s">
        <v>10896</v>
      </c>
      <c r="E413" s="49">
        <v>6281299907533</v>
      </c>
      <c r="F413" s="96">
        <v>45833</v>
      </c>
      <c r="G413" s="95">
        <v>10</v>
      </c>
      <c r="H413" s="49" t="s">
        <v>12668</v>
      </c>
      <c r="I413" s="97">
        <v>6200</v>
      </c>
      <c r="J413" s="95">
        <v>0</v>
      </c>
      <c r="K413" s="102">
        <v>62</v>
      </c>
      <c r="L413" s="95">
        <v>0</v>
      </c>
      <c r="M413" s="95">
        <v>2</v>
      </c>
      <c r="N413" s="95">
        <v>0</v>
      </c>
      <c r="O413" s="49" t="s">
        <v>10897</v>
      </c>
    </row>
    <row r="414" spans="1:15">
      <c r="A414" s="95">
        <v>174904221976312</v>
      </c>
      <c r="B414" s="49" t="s">
        <v>10651</v>
      </c>
      <c r="C414" s="49" t="s">
        <v>10895</v>
      </c>
      <c r="D414" s="49" t="s">
        <v>10896</v>
      </c>
      <c r="E414" s="49">
        <v>6281299907533</v>
      </c>
      <c r="F414" s="96">
        <v>45833</v>
      </c>
      <c r="G414" s="95">
        <v>12</v>
      </c>
      <c r="H414" s="49" t="s">
        <v>12669</v>
      </c>
      <c r="I414" s="97">
        <v>9769.2307692307695</v>
      </c>
      <c r="J414" s="95">
        <v>1</v>
      </c>
      <c r="K414" s="102">
        <v>127</v>
      </c>
      <c r="L414" s="95">
        <v>0</v>
      </c>
      <c r="M414" s="95">
        <v>4</v>
      </c>
      <c r="N414" s="95">
        <v>0</v>
      </c>
      <c r="O414" s="49" t="s">
        <v>10897</v>
      </c>
    </row>
    <row r="415" spans="1:15">
      <c r="A415" s="95">
        <v>174904221976312</v>
      </c>
      <c r="B415" s="49" t="s">
        <v>10651</v>
      </c>
      <c r="C415" s="49" t="s">
        <v>10895</v>
      </c>
      <c r="D415" s="49" t="s">
        <v>10896</v>
      </c>
      <c r="E415" s="49">
        <v>6281299907533</v>
      </c>
      <c r="F415" s="96">
        <v>45833</v>
      </c>
      <c r="G415" s="95">
        <v>25</v>
      </c>
      <c r="H415" s="49" t="s">
        <v>12670</v>
      </c>
      <c r="I415" s="97">
        <v>9833.3333333333339</v>
      </c>
      <c r="J415" s="95">
        <v>2</v>
      </c>
      <c r="K415" s="102">
        <v>295</v>
      </c>
      <c r="L415" s="95">
        <v>0</v>
      </c>
      <c r="M415" s="95">
        <v>12</v>
      </c>
      <c r="N415" s="95">
        <v>0</v>
      </c>
      <c r="O415" s="49" t="s">
        <v>10897</v>
      </c>
    </row>
    <row r="416" spans="1:15">
      <c r="A416" s="95">
        <v>174904221976312</v>
      </c>
      <c r="B416" s="49" t="s">
        <v>10651</v>
      </c>
      <c r="C416" s="49" t="s">
        <v>10895</v>
      </c>
      <c r="D416" s="49" t="s">
        <v>10896</v>
      </c>
      <c r="E416" s="49">
        <v>6281299907533</v>
      </c>
      <c r="F416" s="96">
        <v>45833</v>
      </c>
      <c r="G416" s="95">
        <v>16</v>
      </c>
      <c r="H416" s="49" t="s">
        <v>12671</v>
      </c>
      <c r="I416" s="97">
        <v>22235.294117647059</v>
      </c>
      <c r="J416" s="95">
        <v>1</v>
      </c>
      <c r="K416" s="102">
        <v>378</v>
      </c>
      <c r="L416" s="95">
        <v>0</v>
      </c>
      <c r="M416" s="95">
        <v>9</v>
      </c>
      <c r="N416" s="95">
        <v>0</v>
      </c>
      <c r="O416" s="49" t="s">
        <v>10897</v>
      </c>
    </row>
    <row r="417" spans="1:15">
      <c r="A417" s="95">
        <v>174904221976312</v>
      </c>
      <c r="B417" s="49" t="s">
        <v>10651</v>
      </c>
      <c r="C417" s="49" t="s">
        <v>10895</v>
      </c>
      <c r="D417" s="49" t="s">
        <v>10896</v>
      </c>
      <c r="E417" s="49">
        <v>6281299907533</v>
      </c>
      <c r="F417" s="96">
        <v>45833</v>
      </c>
      <c r="G417" s="95">
        <v>9</v>
      </c>
      <c r="H417" s="49" t="s">
        <v>12672</v>
      </c>
      <c r="I417" s="97">
        <v>12777.777777777779</v>
      </c>
      <c r="J417" s="95">
        <v>0</v>
      </c>
      <c r="K417" s="102">
        <v>115</v>
      </c>
      <c r="L417" s="95">
        <v>0</v>
      </c>
      <c r="M417" s="95">
        <v>6</v>
      </c>
      <c r="N417" s="95">
        <v>0</v>
      </c>
      <c r="O417" s="49" t="s">
        <v>10897</v>
      </c>
    </row>
    <row r="418" spans="1:15">
      <c r="A418" s="95">
        <v>174904221976312</v>
      </c>
      <c r="B418" s="49" t="s">
        <v>10651</v>
      </c>
      <c r="C418" s="49" t="s">
        <v>10866</v>
      </c>
      <c r="D418" s="49" t="s">
        <v>878</v>
      </c>
      <c r="E418" s="49">
        <v>6285733774700</v>
      </c>
      <c r="F418" s="96">
        <v>45833</v>
      </c>
      <c r="G418" s="95">
        <v>4</v>
      </c>
      <c r="H418" s="49" t="s">
        <v>12667</v>
      </c>
      <c r="I418" s="97">
        <v>28750</v>
      </c>
      <c r="J418" s="95">
        <v>0</v>
      </c>
      <c r="K418" s="102">
        <v>115</v>
      </c>
      <c r="L418" s="95">
        <v>0</v>
      </c>
      <c r="M418" s="95">
        <v>0</v>
      </c>
      <c r="N418" s="95">
        <v>0</v>
      </c>
      <c r="O418" s="49" t="s">
        <v>10867</v>
      </c>
    </row>
    <row r="419" spans="1:15">
      <c r="A419" s="95">
        <v>174904221976312</v>
      </c>
      <c r="B419" s="49" t="s">
        <v>10651</v>
      </c>
      <c r="C419" s="49" t="s">
        <v>10866</v>
      </c>
      <c r="D419" s="49" t="s">
        <v>878</v>
      </c>
      <c r="E419" s="49">
        <v>6285733774700</v>
      </c>
      <c r="F419" s="96">
        <v>45833</v>
      </c>
      <c r="G419" s="95">
        <v>4</v>
      </c>
      <c r="H419" s="49" t="s">
        <v>12668</v>
      </c>
      <c r="I419" s="97">
        <v>750</v>
      </c>
      <c r="J419" s="95">
        <v>0</v>
      </c>
      <c r="K419" s="102">
        <v>3</v>
      </c>
      <c r="L419" s="95">
        <v>0</v>
      </c>
      <c r="M419" s="95">
        <v>0</v>
      </c>
      <c r="N419" s="95">
        <v>0</v>
      </c>
      <c r="O419" s="49" t="s">
        <v>10867</v>
      </c>
    </row>
    <row r="420" spans="1:15">
      <c r="A420" s="95">
        <v>174904221976312</v>
      </c>
      <c r="B420" s="49" t="s">
        <v>10651</v>
      </c>
      <c r="C420" s="49" t="s">
        <v>10866</v>
      </c>
      <c r="D420" s="49" t="s">
        <v>878</v>
      </c>
      <c r="E420" s="49">
        <v>6285733774700</v>
      </c>
      <c r="F420" s="96">
        <v>45833</v>
      </c>
      <c r="G420" s="95">
        <v>3</v>
      </c>
      <c r="H420" s="49" t="s">
        <v>12669</v>
      </c>
      <c r="I420" s="97">
        <v>5666.666666666667</v>
      </c>
      <c r="J420" s="95">
        <v>0</v>
      </c>
      <c r="K420" s="102">
        <v>17</v>
      </c>
      <c r="L420" s="95">
        <v>0</v>
      </c>
      <c r="M420" s="95">
        <v>1</v>
      </c>
      <c r="N420" s="95">
        <v>0</v>
      </c>
      <c r="O420" s="49" t="s">
        <v>10867</v>
      </c>
    </row>
    <row r="421" spans="1:15">
      <c r="A421" s="95">
        <v>174904221976312</v>
      </c>
      <c r="B421" s="49" t="s">
        <v>10651</v>
      </c>
      <c r="C421" s="49" t="s">
        <v>10866</v>
      </c>
      <c r="D421" s="49" t="s">
        <v>878</v>
      </c>
      <c r="E421" s="49">
        <v>6285733774700</v>
      </c>
      <c r="F421" s="96">
        <v>45833</v>
      </c>
      <c r="G421" s="95">
        <v>3</v>
      </c>
      <c r="H421" s="49" t="s">
        <v>12670</v>
      </c>
      <c r="I421" s="97">
        <v>11666.666666666666</v>
      </c>
      <c r="J421" s="95">
        <v>0</v>
      </c>
      <c r="K421" s="102">
        <v>35</v>
      </c>
      <c r="L421" s="95">
        <v>0</v>
      </c>
      <c r="M421" s="95">
        <v>0</v>
      </c>
      <c r="N421" s="95">
        <v>0</v>
      </c>
      <c r="O421" s="49" t="s">
        <v>10867</v>
      </c>
    </row>
    <row r="422" spans="1:15">
      <c r="A422" s="95">
        <v>174904221976312</v>
      </c>
      <c r="B422" s="49" t="s">
        <v>10651</v>
      </c>
      <c r="C422" s="49" t="s">
        <v>10866</v>
      </c>
      <c r="D422" s="49" t="s">
        <v>878</v>
      </c>
      <c r="E422" s="49">
        <v>6285733774700</v>
      </c>
      <c r="F422" s="96">
        <v>45833</v>
      </c>
      <c r="G422" s="95">
        <v>1</v>
      </c>
      <c r="H422" s="49" t="s">
        <v>12671</v>
      </c>
      <c r="I422" s="97">
        <v>3000</v>
      </c>
      <c r="J422" s="95">
        <v>0</v>
      </c>
      <c r="K422" s="102">
        <v>3</v>
      </c>
      <c r="L422" s="95">
        <v>0</v>
      </c>
      <c r="M422" s="95">
        <v>0</v>
      </c>
      <c r="N422" s="95">
        <v>0</v>
      </c>
      <c r="O422" s="49" t="s">
        <v>10867</v>
      </c>
    </row>
    <row r="423" spans="1:15">
      <c r="A423" s="95">
        <v>174904221976312</v>
      </c>
      <c r="B423" s="49" t="s">
        <v>10651</v>
      </c>
      <c r="C423" s="49" t="s">
        <v>10866</v>
      </c>
      <c r="D423" s="49" t="s">
        <v>878</v>
      </c>
      <c r="E423" s="49">
        <v>6285733774700</v>
      </c>
      <c r="F423" s="96">
        <v>45833</v>
      </c>
      <c r="G423" s="95">
        <v>3</v>
      </c>
      <c r="H423" s="49" t="s">
        <v>12672</v>
      </c>
      <c r="I423" s="97">
        <v>117333.33333333333</v>
      </c>
      <c r="J423" s="95">
        <v>1</v>
      </c>
      <c r="K423" s="102">
        <v>352</v>
      </c>
      <c r="L423" s="95">
        <v>0</v>
      </c>
      <c r="M423" s="95">
        <v>0</v>
      </c>
      <c r="N423" s="95">
        <v>0</v>
      </c>
      <c r="O423" s="49" t="s">
        <v>10867</v>
      </c>
    </row>
    <row r="424" spans="1:15">
      <c r="A424" s="95">
        <v>174904221976312</v>
      </c>
      <c r="B424" s="49" t="s">
        <v>10651</v>
      </c>
      <c r="C424" s="49" t="s">
        <v>10853</v>
      </c>
      <c r="D424" s="49" t="s">
        <v>10854</v>
      </c>
      <c r="E424" s="49">
        <v>6281393958199</v>
      </c>
      <c r="F424" s="96">
        <v>45833</v>
      </c>
      <c r="G424" s="95">
        <v>2</v>
      </c>
      <c r="H424" s="49" t="s">
        <v>12667</v>
      </c>
      <c r="I424" s="97">
        <v>500</v>
      </c>
      <c r="J424" s="95">
        <v>0</v>
      </c>
      <c r="K424" s="102">
        <v>1</v>
      </c>
      <c r="L424" s="95">
        <v>0</v>
      </c>
      <c r="M424" s="95">
        <v>0</v>
      </c>
      <c r="N424" s="95">
        <v>0</v>
      </c>
      <c r="O424" s="49" t="s">
        <v>10855</v>
      </c>
    </row>
    <row r="425" spans="1:15">
      <c r="A425" s="95">
        <v>174904221976312</v>
      </c>
      <c r="B425" s="49" t="s">
        <v>10651</v>
      </c>
      <c r="C425" s="49" t="s">
        <v>10853</v>
      </c>
      <c r="D425" s="49" t="s">
        <v>10854</v>
      </c>
      <c r="E425" s="49">
        <v>6281393958199</v>
      </c>
      <c r="F425" s="96">
        <v>45833</v>
      </c>
      <c r="G425" s="95">
        <v>16</v>
      </c>
      <c r="H425" s="49" t="s">
        <v>12668</v>
      </c>
      <c r="I425" s="97">
        <v>16166.666666666668</v>
      </c>
      <c r="J425" s="95">
        <v>2</v>
      </c>
      <c r="K425" s="102">
        <v>291</v>
      </c>
      <c r="L425" s="95">
        <v>1</v>
      </c>
      <c r="M425" s="95">
        <v>0</v>
      </c>
      <c r="N425" s="95">
        <v>0</v>
      </c>
      <c r="O425" s="49" t="s">
        <v>10855</v>
      </c>
    </row>
    <row r="426" spans="1:15">
      <c r="A426" s="95">
        <v>174904221976312</v>
      </c>
      <c r="B426" s="49" t="s">
        <v>10651</v>
      </c>
      <c r="C426" s="49" t="s">
        <v>10853</v>
      </c>
      <c r="D426" s="49" t="s">
        <v>10854</v>
      </c>
      <c r="E426" s="49">
        <v>6281393958199</v>
      </c>
      <c r="F426" s="96">
        <v>45833</v>
      </c>
      <c r="G426" s="95">
        <v>18</v>
      </c>
      <c r="H426" s="49" t="s">
        <v>12669</v>
      </c>
      <c r="I426" s="97">
        <v>11545.454545454544</v>
      </c>
      <c r="J426" s="95">
        <v>2</v>
      </c>
      <c r="K426" s="102">
        <v>254</v>
      </c>
      <c r="L426" s="95">
        <v>1</v>
      </c>
      <c r="M426" s="95">
        <v>0</v>
      </c>
      <c r="N426" s="95">
        <v>0</v>
      </c>
      <c r="O426" s="49" t="s">
        <v>10855</v>
      </c>
    </row>
    <row r="427" spans="1:15">
      <c r="A427" s="95">
        <v>174904221976312</v>
      </c>
      <c r="B427" s="49" t="s">
        <v>10651</v>
      </c>
      <c r="C427" s="49" t="s">
        <v>10853</v>
      </c>
      <c r="D427" s="49" t="s">
        <v>10854</v>
      </c>
      <c r="E427" s="49">
        <v>6281393958199</v>
      </c>
      <c r="F427" s="96">
        <v>45833</v>
      </c>
      <c r="G427" s="95">
        <v>9</v>
      </c>
      <c r="H427" s="49" t="s">
        <v>12670</v>
      </c>
      <c r="I427" s="97">
        <v>10800</v>
      </c>
      <c r="J427" s="95">
        <v>2</v>
      </c>
      <c r="K427" s="102">
        <v>108</v>
      </c>
      <c r="L427" s="95">
        <v>0</v>
      </c>
      <c r="M427" s="95">
        <v>0</v>
      </c>
      <c r="N427" s="95">
        <v>0</v>
      </c>
      <c r="O427" s="49" t="s">
        <v>10855</v>
      </c>
    </row>
    <row r="428" spans="1:15">
      <c r="A428" s="95">
        <v>174904221976312</v>
      </c>
      <c r="B428" s="49" t="s">
        <v>10651</v>
      </c>
      <c r="C428" s="49" t="s">
        <v>10853</v>
      </c>
      <c r="D428" s="49" t="s">
        <v>10854</v>
      </c>
      <c r="E428" s="49">
        <v>6281393958199</v>
      </c>
      <c r="F428" s="96">
        <v>45833</v>
      </c>
      <c r="G428" s="95">
        <v>3</v>
      </c>
      <c r="H428" s="49" t="s">
        <v>12671</v>
      </c>
      <c r="I428" s="97">
        <v>52666.666666666664</v>
      </c>
      <c r="J428" s="95">
        <v>0</v>
      </c>
      <c r="K428" s="102">
        <v>158</v>
      </c>
      <c r="L428" s="95">
        <v>0</v>
      </c>
      <c r="M428" s="95">
        <v>0</v>
      </c>
      <c r="N428" s="95">
        <v>0</v>
      </c>
      <c r="O428" s="49" t="s">
        <v>10855</v>
      </c>
    </row>
    <row r="429" spans="1:15">
      <c r="A429" s="95">
        <v>174904221976312</v>
      </c>
      <c r="B429" s="49" t="s">
        <v>10651</v>
      </c>
      <c r="C429" s="49" t="s">
        <v>10858</v>
      </c>
      <c r="D429" s="49" t="s">
        <v>10859</v>
      </c>
      <c r="E429" s="49">
        <v>6285227384634</v>
      </c>
      <c r="F429" s="96">
        <v>45833</v>
      </c>
      <c r="G429" s="95">
        <v>2</v>
      </c>
      <c r="H429" s="49" t="s">
        <v>12667</v>
      </c>
      <c r="I429" s="97">
        <v>20000</v>
      </c>
      <c r="J429" s="95">
        <v>0</v>
      </c>
      <c r="K429" s="102">
        <v>60</v>
      </c>
      <c r="L429" s="95">
        <v>0</v>
      </c>
      <c r="M429" s="95">
        <v>0</v>
      </c>
      <c r="N429" s="95">
        <v>0</v>
      </c>
      <c r="O429" s="49" t="s">
        <v>10860</v>
      </c>
    </row>
    <row r="430" spans="1:15">
      <c r="A430" s="95">
        <v>174904221976312</v>
      </c>
      <c r="B430" s="49" t="s">
        <v>10651</v>
      </c>
      <c r="C430" s="49" t="s">
        <v>10858</v>
      </c>
      <c r="D430" s="49" t="s">
        <v>10859</v>
      </c>
      <c r="E430" s="49">
        <v>6285227384634</v>
      </c>
      <c r="F430" s="96">
        <v>45833</v>
      </c>
      <c r="G430" s="95">
        <v>14</v>
      </c>
      <c r="H430" s="49" t="s">
        <v>12668</v>
      </c>
      <c r="I430" s="97">
        <v>31500</v>
      </c>
      <c r="J430" s="95">
        <v>0</v>
      </c>
      <c r="K430" s="102">
        <v>504</v>
      </c>
      <c r="L430" s="95">
        <v>0</v>
      </c>
      <c r="M430" s="95">
        <v>0</v>
      </c>
      <c r="N430" s="95">
        <v>0</v>
      </c>
      <c r="O430" s="49" t="s">
        <v>10860</v>
      </c>
    </row>
    <row r="431" spans="1:15">
      <c r="A431" s="95">
        <v>174904221976312</v>
      </c>
      <c r="B431" s="49" t="s">
        <v>10651</v>
      </c>
      <c r="C431" s="49" t="s">
        <v>10858</v>
      </c>
      <c r="D431" s="49" t="s">
        <v>10859</v>
      </c>
      <c r="E431" s="49">
        <v>6285227384634</v>
      </c>
      <c r="F431" s="96">
        <v>45833</v>
      </c>
      <c r="G431" s="95">
        <v>11</v>
      </c>
      <c r="H431" s="49" t="s">
        <v>12669</v>
      </c>
      <c r="I431" s="97">
        <v>9090.9090909090919</v>
      </c>
      <c r="J431" s="95">
        <v>0</v>
      </c>
      <c r="K431" s="102">
        <v>100</v>
      </c>
      <c r="L431" s="95">
        <v>0</v>
      </c>
      <c r="M431" s="95">
        <v>0</v>
      </c>
      <c r="N431" s="95">
        <v>0</v>
      </c>
      <c r="O431" s="49" t="s">
        <v>10860</v>
      </c>
    </row>
    <row r="432" spans="1:15">
      <c r="A432" s="95">
        <v>174904221976312</v>
      </c>
      <c r="B432" s="49" t="s">
        <v>10651</v>
      </c>
      <c r="C432" s="49" t="s">
        <v>10858</v>
      </c>
      <c r="D432" s="49" t="s">
        <v>10859</v>
      </c>
      <c r="E432" s="49">
        <v>6285227384634</v>
      </c>
      <c r="F432" s="96">
        <v>45833</v>
      </c>
      <c r="G432" s="95">
        <v>14</v>
      </c>
      <c r="H432" s="49" t="s">
        <v>12670</v>
      </c>
      <c r="I432" s="97">
        <v>14312.5</v>
      </c>
      <c r="J432" s="95">
        <v>0</v>
      </c>
      <c r="K432" s="102">
        <v>229</v>
      </c>
      <c r="L432" s="95">
        <v>0</v>
      </c>
      <c r="M432" s="95">
        <v>0</v>
      </c>
      <c r="N432" s="95">
        <v>0</v>
      </c>
      <c r="O432" s="49" t="s">
        <v>10860</v>
      </c>
    </row>
    <row r="433" spans="1:15">
      <c r="A433" s="95">
        <v>174904221976312</v>
      </c>
      <c r="B433" s="49" t="s">
        <v>10651</v>
      </c>
      <c r="C433" s="49" t="s">
        <v>10858</v>
      </c>
      <c r="D433" s="49" t="s">
        <v>10859</v>
      </c>
      <c r="E433" s="49">
        <v>6285227384634</v>
      </c>
      <c r="F433" s="96">
        <v>45833</v>
      </c>
      <c r="G433" s="95">
        <v>18</v>
      </c>
      <c r="H433" s="49" t="s">
        <v>12671</v>
      </c>
      <c r="I433" s="97">
        <v>15181.818181818182</v>
      </c>
      <c r="J433" s="95">
        <v>3</v>
      </c>
      <c r="K433" s="102">
        <v>334</v>
      </c>
      <c r="L433" s="95">
        <v>0</v>
      </c>
      <c r="M433" s="95">
        <v>0</v>
      </c>
      <c r="N433" s="95">
        <v>0</v>
      </c>
      <c r="O433" s="49" t="s">
        <v>10860</v>
      </c>
    </row>
    <row r="434" spans="1:15">
      <c r="A434" s="95">
        <v>174904221976312</v>
      </c>
      <c r="B434" s="49" t="s">
        <v>10651</v>
      </c>
      <c r="C434" s="49" t="s">
        <v>10858</v>
      </c>
      <c r="D434" s="49" t="s">
        <v>10859</v>
      </c>
      <c r="E434" s="49">
        <v>6285227384634</v>
      </c>
      <c r="F434" s="96">
        <v>45833</v>
      </c>
      <c r="G434" s="95">
        <v>6</v>
      </c>
      <c r="H434" s="49" t="s">
        <v>12672</v>
      </c>
      <c r="I434" s="97">
        <v>13571.428571428571</v>
      </c>
      <c r="J434" s="95">
        <v>0</v>
      </c>
      <c r="K434" s="102">
        <v>95</v>
      </c>
      <c r="L434" s="95">
        <v>0</v>
      </c>
      <c r="M434" s="95">
        <v>0</v>
      </c>
      <c r="N434" s="95">
        <v>0</v>
      </c>
      <c r="O434" s="49" t="s">
        <v>10860</v>
      </c>
    </row>
    <row r="435" spans="1:15">
      <c r="A435" s="95">
        <v>174904221976312</v>
      </c>
      <c r="B435" s="49" t="s">
        <v>10651</v>
      </c>
      <c r="C435" s="49" t="s">
        <v>818</v>
      </c>
      <c r="D435" s="49" t="s">
        <v>812</v>
      </c>
      <c r="E435" s="49">
        <v>6287858585808</v>
      </c>
      <c r="F435" s="96">
        <v>45833</v>
      </c>
      <c r="G435" s="95">
        <v>1</v>
      </c>
      <c r="H435" s="49" t="s">
        <v>12667</v>
      </c>
      <c r="I435" s="97">
        <v>15000</v>
      </c>
      <c r="J435" s="95">
        <v>0</v>
      </c>
      <c r="K435" s="102">
        <v>15</v>
      </c>
      <c r="L435" s="95">
        <v>0</v>
      </c>
      <c r="M435" s="95">
        <v>1</v>
      </c>
      <c r="N435" s="95">
        <v>0</v>
      </c>
      <c r="O435" s="49" t="s">
        <v>10831</v>
      </c>
    </row>
    <row r="436" spans="1:15">
      <c r="A436" s="95">
        <v>174904221976312</v>
      </c>
      <c r="B436" s="49" t="s">
        <v>10651</v>
      </c>
      <c r="C436" s="49" t="s">
        <v>818</v>
      </c>
      <c r="D436" s="49" t="s">
        <v>812</v>
      </c>
      <c r="E436" s="49">
        <v>6287858585808</v>
      </c>
      <c r="F436" s="96">
        <v>45833</v>
      </c>
      <c r="G436" s="95">
        <v>4</v>
      </c>
      <c r="H436" s="49" t="s">
        <v>12668</v>
      </c>
      <c r="I436" s="97">
        <v>11500</v>
      </c>
      <c r="J436" s="95">
        <v>2</v>
      </c>
      <c r="K436" s="102">
        <v>46</v>
      </c>
      <c r="L436" s="95">
        <v>0</v>
      </c>
      <c r="M436" s="95">
        <v>2</v>
      </c>
      <c r="N436" s="95">
        <v>0</v>
      </c>
      <c r="O436" s="49" t="s">
        <v>10831</v>
      </c>
    </row>
    <row r="437" spans="1:15">
      <c r="A437" s="95">
        <v>174904221976312</v>
      </c>
      <c r="B437" s="49" t="s">
        <v>10651</v>
      </c>
      <c r="C437" s="49" t="s">
        <v>818</v>
      </c>
      <c r="D437" s="49" t="s">
        <v>812</v>
      </c>
      <c r="E437" s="49">
        <v>6287858585808</v>
      </c>
      <c r="F437" s="96">
        <v>45833</v>
      </c>
      <c r="G437" s="95">
        <v>7</v>
      </c>
      <c r="H437" s="49" t="s">
        <v>12669</v>
      </c>
      <c r="I437" s="97">
        <v>7428.5714285714284</v>
      </c>
      <c r="J437" s="95">
        <v>0</v>
      </c>
      <c r="K437" s="102">
        <v>52</v>
      </c>
      <c r="L437" s="95">
        <v>0</v>
      </c>
      <c r="M437" s="95">
        <v>2</v>
      </c>
      <c r="N437" s="95">
        <v>0</v>
      </c>
      <c r="O437" s="49" t="s">
        <v>10831</v>
      </c>
    </row>
    <row r="438" spans="1:15">
      <c r="A438" s="95">
        <v>174904221976312</v>
      </c>
      <c r="B438" s="49" t="s">
        <v>10651</v>
      </c>
      <c r="C438" s="49" t="s">
        <v>818</v>
      </c>
      <c r="D438" s="49" t="s">
        <v>812</v>
      </c>
      <c r="E438" s="49">
        <v>6287858585808</v>
      </c>
      <c r="F438" s="96">
        <v>45833</v>
      </c>
      <c r="G438" s="95">
        <v>6</v>
      </c>
      <c r="H438" s="49" t="s">
        <v>12670</v>
      </c>
      <c r="I438" s="97">
        <v>10333.333333333334</v>
      </c>
      <c r="J438" s="95">
        <v>0</v>
      </c>
      <c r="K438" s="102">
        <v>62</v>
      </c>
      <c r="L438" s="95">
        <v>0</v>
      </c>
      <c r="M438" s="95">
        <v>4</v>
      </c>
      <c r="N438" s="95">
        <v>0</v>
      </c>
      <c r="O438" s="49" t="s">
        <v>10831</v>
      </c>
    </row>
    <row r="439" spans="1:15">
      <c r="A439" s="95">
        <v>174904221976312</v>
      </c>
      <c r="B439" s="49" t="s">
        <v>10651</v>
      </c>
      <c r="C439" s="49" t="s">
        <v>818</v>
      </c>
      <c r="D439" s="49" t="s">
        <v>812</v>
      </c>
      <c r="E439" s="49">
        <v>6287858585808</v>
      </c>
      <c r="F439" s="96">
        <v>45833</v>
      </c>
      <c r="G439" s="95">
        <v>9</v>
      </c>
      <c r="H439" s="49" t="s">
        <v>12671</v>
      </c>
      <c r="I439" s="97">
        <v>24888.888888888891</v>
      </c>
      <c r="J439" s="95">
        <v>0</v>
      </c>
      <c r="K439" s="102">
        <v>224</v>
      </c>
      <c r="L439" s="95">
        <v>0</v>
      </c>
      <c r="M439" s="95">
        <v>3</v>
      </c>
      <c r="N439" s="95">
        <v>0</v>
      </c>
      <c r="O439" s="49" t="s">
        <v>10831</v>
      </c>
    </row>
    <row r="440" spans="1:15">
      <c r="A440" s="95">
        <v>174904221976312</v>
      </c>
      <c r="B440" s="49" t="s">
        <v>10651</v>
      </c>
      <c r="C440" s="49" t="s">
        <v>818</v>
      </c>
      <c r="D440" s="49" t="s">
        <v>812</v>
      </c>
      <c r="E440" s="49">
        <v>6287858585808</v>
      </c>
      <c r="F440" s="96">
        <v>45833</v>
      </c>
      <c r="G440" s="95">
        <v>2</v>
      </c>
      <c r="H440" s="49" t="s">
        <v>12672</v>
      </c>
      <c r="I440" s="97">
        <v>4000</v>
      </c>
      <c r="J440" s="95">
        <v>0</v>
      </c>
      <c r="K440" s="102">
        <v>8</v>
      </c>
      <c r="L440" s="95">
        <v>0</v>
      </c>
      <c r="M440" s="95">
        <v>1</v>
      </c>
      <c r="N440" s="95">
        <v>0</v>
      </c>
      <c r="O440" s="49" t="s">
        <v>10831</v>
      </c>
    </row>
    <row r="441" spans="1:15">
      <c r="A441" s="95">
        <v>174904221976312</v>
      </c>
      <c r="B441" s="49" t="s">
        <v>10651</v>
      </c>
      <c r="C441" s="49" t="s">
        <v>10806</v>
      </c>
      <c r="D441" s="49" t="s">
        <v>10807</v>
      </c>
      <c r="E441" s="49">
        <v>628127962347</v>
      </c>
      <c r="F441" s="96">
        <v>45833</v>
      </c>
      <c r="G441" s="95">
        <v>5</v>
      </c>
      <c r="H441" s="49" t="s">
        <v>12667</v>
      </c>
      <c r="I441" s="97">
        <v>10600</v>
      </c>
      <c r="J441" s="95">
        <v>0</v>
      </c>
      <c r="K441" s="102">
        <v>53</v>
      </c>
      <c r="L441" s="95">
        <v>0</v>
      </c>
      <c r="M441" s="95">
        <v>0</v>
      </c>
      <c r="N441" s="95">
        <v>0</v>
      </c>
      <c r="O441" s="49" t="s">
        <v>10808</v>
      </c>
    </row>
    <row r="442" spans="1:15">
      <c r="A442" s="95">
        <v>174904221976312</v>
      </c>
      <c r="B442" s="49" t="s">
        <v>10651</v>
      </c>
      <c r="C442" s="49" t="s">
        <v>10806</v>
      </c>
      <c r="D442" s="49" t="s">
        <v>10807</v>
      </c>
      <c r="E442" s="49">
        <v>628127962347</v>
      </c>
      <c r="F442" s="96">
        <v>45833</v>
      </c>
      <c r="G442" s="95">
        <v>15</v>
      </c>
      <c r="H442" s="49" t="s">
        <v>12668</v>
      </c>
      <c r="I442" s="97">
        <v>119062.5</v>
      </c>
      <c r="J442" s="95">
        <v>3</v>
      </c>
      <c r="K442" s="102">
        <v>1905</v>
      </c>
      <c r="L442" s="95">
        <v>0</v>
      </c>
      <c r="M442" s="95">
        <v>4</v>
      </c>
      <c r="N442" s="95">
        <v>0</v>
      </c>
      <c r="O442" s="49" t="s">
        <v>10808</v>
      </c>
    </row>
    <row r="443" spans="1:15">
      <c r="A443" s="95">
        <v>174904221976312</v>
      </c>
      <c r="B443" s="49" t="s">
        <v>10651</v>
      </c>
      <c r="C443" s="49" t="s">
        <v>10806</v>
      </c>
      <c r="D443" s="49" t="s">
        <v>10807</v>
      </c>
      <c r="E443" s="49">
        <v>628127962347</v>
      </c>
      <c r="F443" s="96">
        <v>45833</v>
      </c>
      <c r="G443" s="95">
        <v>6</v>
      </c>
      <c r="H443" s="49" t="s">
        <v>12669</v>
      </c>
      <c r="I443" s="97">
        <v>36666.666666666664</v>
      </c>
      <c r="J443" s="95">
        <v>1</v>
      </c>
      <c r="K443" s="102">
        <v>220</v>
      </c>
      <c r="L443" s="95">
        <v>0</v>
      </c>
      <c r="M443" s="95">
        <v>1</v>
      </c>
      <c r="N443" s="95">
        <v>0</v>
      </c>
      <c r="O443" s="49" t="s">
        <v>10808</v>
      </c>
    </row>
    <row r="444" spans="1:15">
      <c r="A444" s="95">
        <v>174904221976312</v>
      </c>
      <c r="B444" s="49" t="s">
        <v>10651</v>
      </c>
      <c r="C444" s="49" t="s">
        <v>10806</v>
      </c>
      <c r="D444" s="49" t="s">
        <v>10807</v>
      </c>
      <c r="E444" s="49">
        <v>628127962347</v>
      </c>
      <c r="F444" s="96">
        <v>45833</v>
      </c>
      <c r="G444" s="95">
        <v>9</v>
      </c>
      <c r="H444" s="49" t="s">
        <v>12670</v>
      </c>
      <c r="I444" s="97">
        <v>37888.888888888883</v>
      </c>
      <c r="J444" s="95">
        <v>1</v>
      </c>
      <c r="K444" s="102">
        <v>341</v>
      </c>
      <c r="L444" s="95">
        <v>0</v>
      </c>
      <c r="M444" s="95">
        <v>2</v>
      </c>
      <c r="N444" s="95">
        <v>0</v>
      </c>
      <c r="O444" s="49" t="s">
        <v>10808</v>
      </c>
    </row>
    <row r="445" spans="1:15">
      <c r="A445" s="95">
        <v>174904221976312</v>
      </c>
      <c r="B445" s="49" t="s">
        <v>10651</v>
      </c>
      <c r="C445" s="49" t="s">
        <v>10806</v>
      </c>
      <c r="D445" s="49" t="s">
        <v>10807</v>
      </c>
      <c r="E445" s="49">
        <v>628127962347</v>
      </c>
      <c r="F445" s="96">
        <v>45833</v>
      </c>
      <c r="G445" s="95">
        <v>2</v>
      </c>
      <c r="H445" s="49" t="s">
        <v>12671</v>
      </c>
      <c r="I445" s="97">
        <v>135500</v>
      </c>
      <c r="J445" s="95">
        <v>0</v>
      </c>
      <c r="K445" s="102">
        <v>271</v>
      </c>
      <c r="L445" s="95">
        <v>0</v>
      </c>
      <c r="M445" s="95">
        <v>1</v>
      </c>
      <c r="N445" s="95">
        <v>0</v>
      </c>
      <c r="O445" s="49" t="s">
        <v>10808</v>
      </c>
    </row>
    <row r="446" spans="1:15">
      <c r="A446" s="95">
        <v>174904221976312</v>
      </c>
      <c r="B446" s="49" t="s">
        <v>10651</v>
      </c>
      <c r="C446" s="49" t="s">
        <v>10806</v>
      </c>
      <c r="D446" s="49" t="s">
        <v>10807</v>
      </c>
      <c r="E446" s="49">
        <v>628127962347</v>
      </c>
      <c r="F446" s="96">
        <v>45833</v>
      </c>
      <c r="G446" s="95">
        <v>2</v>
      </c>
      <c r="H446" s="49" t="s">
        <v>12672</v>
      </c>
      <c r="I446" s="97">
        <v>31500</v>
      </c>
      <c r="J446" s="95">
        <v>0</v>
      </c>
      <c r="K446" s="102">
        <v>63</v>
      </c>
      <c r="L446" s="95">
        <v>0</v>
      </c>
      <c r="M446" s="95">
        <v>1</v>
      </c>
      <c r="N446" s="95">
        <v>0</v>
      </c>
      <c r="O446" s="49" t="s">
        <v>10808</v>
      </c>
    </row>
    <row r="447" spans="1:15">
      <c r="A447" s="95">
        <v>174904221976312</v>
      </c>
      <c r="B447" s="49" t="s">
        <v>10651</v>
      </c>
      <c r="C447" s="49" t="s">
        <v>8099</v>
      </c>
      <c r="D447" s="49" t="s">
        <v>2357</v>
      </c>
      <c r="E447" s="49">
        <v>6281221788919</v>
      </c>
      <c r="F447" s="96">
        <v>45833</v>
      </c>
      <c r="G447" s="95">
        <v>15</v>
      </c>
      <c r="H447" s="49" t="s">
        <v>12667</v>
      </c>
      <c r="I447" s="97">
        <v>12555.555555555555</v>
      </c>
      <c r="J447" s="95">
        <v>1</v>
      </c>
      <c r="K447" s="102">
        <v>226</v>
      </c>
      <c r="L447" s="95">
        <v>0</v>
      </c>
      <c r="M447" s="95">
        <v>6</v>
      </c>
      <c r="N447" s="95">
        <v>0</v>
      </c>
      <c r="O447" s="49" t="s">
        <v>10759</v>
      </c>
    </row>
    <row r="448" spans="1:15">
      <c r="A448" s="95">
        <v>174904221976312</v>
      </c>
      <c r="B448" s="49" t="s">
        <v>10651</v>
      </c>
      <c r="C448" s="49" t="s">
        <v>8099</v>
      </c>
      <c r="D448" s="49" t="s">
        <v>2357</v>
      </c>
      <c r="E448" s="49">
        <v>6281221788919</v>
      </c>
      <c r="F448" s="96">
        <v>45833</v>
      </c>
      <c r="G448" s="95">
        <v>157</v>
      </c>
      <c r="H448" s="49" t="s">
        <v>12668</v>
      </c>
      <c r="I448" s="97">
        <v>6220.3389830508477</v>
      </c>
      <c r="J448" s="95">
        <v>1</v>
      </c>
      <c r="K448" s="102">
        <v>1101</v>
      </c>
      <c r="L448" s="95">
        <v>0</v>
      </c>
      <c r="M448" s="95">
        <v>30</v>
      </c>
      <c r="N448" s="95">
        <v>0</v>
      </c>
      <c r="O448" s="49" t="s">
        <v>10759</v>
      </c>
    </row>
    <row r="449" spans="1:15">
      <c r="A449" s="95">
        <v>174904221976312</v>
      </c>
      <c r="B449" s="49" t="s">
        <v>10651</v>
      </c>
      <c r="C449" s="49" t="s">
        <v>8099</v>
      </c>
      <c r="D449" s="49" t="s">
        <v>2357</v>
      </c>
      <c r="E449" s="49">
        <v>6281221788919</v>
      </c>
      <c r="F449" s="96">
        <v>45833</v>
      </c>
      <c r="G449" s="95">
        <v>130</v>
      </c>
      <c r="H449" s="49" t="s">
        <v>12669</v>
      </c>
      <c r="I449" s="97">
        <v>8410.9589041095896</v>
      </c>
      <c r="J449" s="95">
        <v>1</v>
      </c>
      <c r="K449" s="102">
        <v>1228</v>
      </c>
      <c r="L449" s="95">
        <v>0</v>
      </c>
      <c r="M449" s="95">
        <v>37</v>
      </c>
      <c r="N449" s="95">
        <v>0</v>
      </c>
      <c r="O449" s="49" t="s">
        <v>10759</v>
      </c>
    </row>
    <row r="450" spans="1:15">
      <c r="A450" s="95">
        <v>174904221976312</v>
      </c>
      <c r="B450" s="49" t="s">
        <v>10651</v>
      </c>
      <c r="C450" s="49" t="s">
        <v>8099</v>
      </c>
      <c r="D450" s="49" t="s">
        <v>2357</v>
      </c>
      <c r="E450" s="49">
        <v>6281221788919</v>
      </c>
      <c r="F450" s="96">
        <v>45833</v>
      </c>
      <c r="G450" s="95">
        <v>51</v>
      </c>
      <c r="H450" s="49" t="s">
        <v>12670</v>
      </c>
      <c r="I450" s="97">
        <v>10592.592592592593</v>
      </c>
      <c r="J450" s="95">
        <v>1</v>
      </c>
      <c r="K450" s="102">
        <v>572</v>
      </c>
      <c r="L450" s="95">
        <v>0</v>
      </c>
      <c r="M450" s="95">
        <v>16</v>
      </c>
      <c r="N450" s="95">
        <v>0</v>
      </c>
      <c r="O450" s="49" t="s">
        <v>10759</v>
      </c>
    </row>
    <row r="451" spans="1:15">
      <c r="A451" s="95">
        <v>174904221976312</v>
      </c>
      <c r="B451" s="49" t="s">
        <v>10651</v>
      </c>
      <c r="C451" s="49" t="s">
        <v>8099</v>
      </c>
      <c r="D451" s="49" t="s">
        <v>2357</v>
      </c>
      <c r="E451" s="49">
        <v>6281221788919</v>
      </c>
      <c r="F451" s="96">
        <v>45833</v>
      </c>
      <c r="G451" s="95">
        <v>17</v>
      </c>
      <c r="H451" s="49" t="s">
        <v>12671</v>
      </c>
      <c r="I451" s="97">
        <v>11700</v>
      </c>
      <c r="J451" s="95">
        <v>0</v>
      </c>
      <c r="K451" s="102">
        <v>234</v>
      </c>
      <c r="L451" s="95">
        <v>0</v>
      </c>
      <c r="M451" s="95">
        <v>5</v>
      </c>
      <c r="N451" s="95">
        <v>0</v>
      </c>
      <c r="O451" s="49" t="s">
        <v>10759</v>
      </c>
    </row>
    <row r="452" spans="1:15">
      <c r="A452" s="95">
        <v>174904221976312</v>
      </c>
      <c r="B452" s="49" t="s">
        <v>10651</v>
      </c>
      <c r="C452" s="49" t="s">
        <v>8099</v>
      </c>
      <c r="D452" s="49" t="s">
        <v>2357</v>
      </c>
      <c r="E452" s="49">
        <v>6281221788919</v>
      </c>
      <c r="F452" s="96">
        <v>45833</v>
      </c>
      <c r="G452" s="95">
        <v>4</v>
      </c>
      <c r="H452" s="49" t="s">
        <v>12672</v>
      </c>
      <c r="I452" s="97">
        <v>5000</v>
      </c>
      <c r="J452" s="95">
        <v>0</v>
      </c>
      <c r="K452" s="102">
        <v>20</v>
      </c>
      <c r="L452" s="95">
        <v>0</v>
      </c>
      <c r="M452" s="95">
        <v>0</v>
      </c>
      <c r="N452" s="95">
        <v>0</v>
      </c>
      <c r="O452" s="49" t="s">
        <v>10759</v>
      </c>
    </row>
    <row r="453" spans="1:15">
      <c r="A453" s="95">
        <v>174904221976312</v>
      </c>
      <c r="B453" s="49" t="s">
        <v>10651</v>
      </c>
      <c r="C453" s="49" t="s">
        <v>311</v>
      </c>
      <c r="D453" s="49" t="s">
        <v>10737</v>
      </c>
      <c r="E453" s="49">
        <v>628988759290</v>
      </c>
      <c r="F453" s="96">
        <v>45833</v>
      </c>
      <c r="G453" s="95">
        <v>23</v>
      </c>
      <c r="H453" s="49" t="s">
        <v>12667</v>
      </c>
      <c r="I453" s="97">
        <v>5307.6923076923076</v>
      </c>
      <c r="J453" s="95">
        <v>0</v>
      </c>
      <c r="K453" s="102">
        <v>138</v>
      </c>
      <c r="L453" s="95">
        <v>0</v>
      </c>
      <c r="M453" s="95">
        <v>7</v>
      </c>
      <c r="N453" s="95">
        <v>0</v>
      </c>
      <c r="O453" s="49" t="s">
        <v>10738</v>
      </c>
    </row>
    <row r="454" spans="1:15">
      <c r="A454" s="95">
        <v>174904221976312</v>
      </c>
      <c r="B454" s="49" t="s">
        <v>10651</v>
      </c>
      <c r="C454" s="49" t="s">
        <v>311</v>
      </c>
      <c r="D454" s="49" t="s">
        <v>10737</v>
      </c>
      <c r="E454" s="49">
        <v>628988759290</v>
      </c>
      <c r="F454" s="96">
        <v>45833</v>
      </c>
      <c r="G454" s="95">
        <v>43</v>
      </c>
      <c r="H454" s="49" t="s">
        <v>12668</v>
      </c>
      <c r="I454" s="97">
        <v>11244.897959183672</v>
      </c>
      <c r="J454" s="95">
        <v>1</v>
      </c>
      <c r="K454" s="102">
        <v>551</v>
      </c>
      <c r="L454" s="95">
        <v>0</v>
      </c>
      <c r="M454" s="95">
        <v>9</v>
      </c>
      <c r="N454" s="95">
        <v>0</v>
      </c>
      <c r="O454" s="49" t="s">
        <v>10738</v>
      </c>
    </row>
    <row r="455" spans="1:15">
      <c r="A455" s="95">
        <v>174904221976312</v>
      </c>
      <c r="B455" s="49" t="s">
        <v>10651</v>
      </c>
      <c r="C455" s="49" t="s">
        <v>311</v>
      </c>
      <c r="D455" s="49" t="s">
        <v>10737</v>
      </c>
      <c r="E455" s="49">
        <v>628988759290</v>
      </c>
      <c r="F455" s="96">
        <v>45833</v>
      </c>
      <c r="G455" s="95">
        <v>29</v>
      </c>
      <c r="H455" s="49" t="s">
        <v>12669</v>
      </c>
      <c r="I455" s="97">
        <v>10625</v>
      </c>
      <c r="J455" s="95">
        <v>2</v>
      </c>
      <c r="K455" s="102">
        <v>340</v>
      </c>
      <c r="L455" s="95">
        <v>0</v>
      </c>
      <c r="M455" s="95">
        <v>7</v>
      </c>
      <c r="N455" s="95">
        <v>0</v>
      </c>
      <c r="O455" s="49" t="s">
        <v>10738</v>
      </c>
    </row>
    <row r="456" spans="1:15">
      <c r="A456" s="95">
        <v>174904221976312</v>
      </c>
      <c r="B456" s="49" t="s">
        <v>10651</v>
      </c>
      <c r="C456" s="49" t="s">
        <v>311</v>
      </c>
      <c r="D456" s="49" t="s">
        <v>10737</v>
      </c>
      <c r="E456" s="49">
        <v>628988759290</v>
      </c>
      <c r="F456" s="96">
        <v>45833</v>
      </c>
      <c r="G456" s="95">
        <v>15</v>
      </c>
      <c r="H456" s="49" t="s">
        <v>12670</v>
      </c>
      <c r="I456" s="97">
        <v>19500</v>
      </c>
      <c r="J456" s="95">
        <v>1</v>
      </c>
      <c r="K456" s="102">
        <v>351</v>
      </c>
      <c r="L456" s="95">
        <v>0</v>
      </c>
      <c r="M456" s="95">
        <v>6</v>
      </c>
      <c r="N456" s="95">
        <v>0</v>
      </c>
      <c r="O456" s="49" t="s">
        <v>10738</v>
      </c>
    </row>
    <row r="457" spans="1:15">
      <c r="A457" s="95">
        <v>174904221976312</v>
      </c>
      <c r="B457" s="49" t="s">
        <v>10651</v>
      </c>
      <c r="C457" s="49" t="s">
        <v>311</v>
      </c>
      <c r="D457" s="49" t="s">
        <v>10737</v>
      </c>
      <c r="E457" s="49">
        <v>628988759290</v>
      </c>
      <c r="F457" s="96">
        <v>45833</v>
      </c>
      <c r="G457" s="95">
        <v>4</v>
      </c>
      <c r="H457" s="49" t="s">
        <v>12671</v>
      </c>
      <c r="I457" s="97">
        <v>16250</v>
      </c>
      <c r="J457" s="95">
        <v>0</v>
      </c>
      <c r="K457" s="102">
        <v>65</v>
      </c>
      <c r="L457" s="95">
        <v>0</v>
      </c>
      <c r="M457" s="95">
        <v>1</v>
      </c>
      <c r="N457" s="95">
        <v>0</v>
      </c>
      <c r="O457" s="49" t="s">
        <v>10738</v>
      </c>
    </row>
    <row r="458" spans="1:15">
      <c r="A458" s="95">
        <v>174904221976312</v>
      </c>
      <c r="B458" s="49" t="s">
        <v>10651</v>
      </c>
      <c r="C458" s="49" t="s">
        <v>311</v>
      </c>
      <c r="D458" s="49" t="s">
        <v>10737</v>
      </c>
      <c r="E458" s="49">
        <v>628988759290</v>
      </c>
      <c r="F458" s="96">
        <v>45833</v>
      </c>
      <c r="G458" s="95">
        <v>1</v>
      </c>
      <c r="H458" s="49" t="s">
        <v>12672</v>
      </c>
      <c r="I458" s="97">
        <v>9000</v>
      </c>
      <c r="J458" s="95">
        <v>0</v>
      </c>
      <c r="K458" s="102">
        <v>9</v>
      </c>
      <c r="L458" s="95">
        <v>0</v>
      </c>
      <c r="M458" s="95">
        <v>0</v>
      </c>
      <c r="N458" s="95">
        <v>0</v>
      </c>
      <c r="O458" s="49" t="s">
        <v>10738</v>
      </c>
    </row>
    <row r="459" spans="1:15">
      <c r="A459" s="95">
        <v>174904221976312</v>
      </c>
      <c r="B459" s="49" t="s">
        <v>10651</v>
      </c>
      <c r="C459" s="49" t="s">
        <v>10778</v>
      </c>
      <c r="D459" s="49" t="s">
        <v>3140</v>
      </c>
      <c r="F459" s="96">
        <v>45833</v>
      </c>
      <c r="G459" s="95">
        <v>799</v>
      </c>
      <c r="H459" s="49" t="s">
        <v>12667</v>
      </c>
      <c r="I459" s="97">
        <v>1172.6954492415402</v>
      </c>
      <c r="J459" s="95">
        <v>8</v>
      </c>
      <c r="K459" s="102">
        <v>1005</v>
      </c>
      <c r="L459" s="95">
        <v>0</v>
      </c>
      <c r="M459" s="95">
        <v>85</v>
      </c>
      <c r="N459" s="95">
        <v>0</v>
      </c>
      <c r="O459" s="49" t="s">
        <v>10779</v>
      </c>
    </row>
    <row r="460" spans="1:15">
      <c r="A460" s="95">
        <v>174904221976312</v>
      </c>
      <c r="B460" s="49" t="s">
        <v>10651</v>
      </c>
      <c r="C460" s="49" t="s">
        <v>10778</v>
      </c>
      <c r="D460" s="49" t="s">
        <v>3140</v>
      </c>
      <c r="F460" s="96">
        <v>45833</v>
      </c>
      <c r="G460" s="95">
        <v>1139</v>
      </c>
      <c r="H460" s="49" t="s">
        <v>12668</v>
      </c>
      <c r="I460" s="97">
        <v>1721.5815485996707</v>
      </c>
      <c r="J460" s="95">
        <v>17</v>
      </c>
      <c r="K460" s="102">
        <v>2090</v>
      </c>
      <c r="L460" s="95">
        <v>0</v>
      </c>
      <c r="M460" s="95">
        <v>146</v>
      </c>
      <c r="N460" s="95">
        <v>0</v>
      </c>
      <c r="O460" s="49" t="s">
        <v>10779</v>
      </c>
    </row>
    <row r="461" spans="1:15">
      <c r="A461" s="95">
        <v>174904221976312</v>
      </c>
      <c r="B461" s="49" t="s">
        <v>10651</v>
      </c>
      <c r="C461" s="49" t="s">
        <v>10778</v>
      </c>
      <c r="D461" s="49" t="s">
        <v>3140</v>
      </c>
      <c r="F461" s="96">
        <v>45833</v>
      </c>
      <c r="G461" s="95">
        <v>808</v>
      </c>
      <c r="H461" s="49" t="s">
        <v>12669</v>
      </c>
      <c r="I461" s="97">
        <v>2388.1807647740438</v>
      </c>
      <c r="J461" s="95">
        <v>9</v>
      </c>
      <c r="K461" s="102">
        <v>2061</v>
      </c>
      <c r="L461" s="95">
        <v>0</v>
      </c>
      <c r="M461" s="95">
        <v>168</v>
      </c>
      <c r="N461" s="95">
        <v>0</v>
      </c>
      <c r="O461" s="49" t="s">
        <v>10779</v>
      </c>
    </row>
    <row r="462" spans="1:15">
      <c r="A462" s="95">
        <v>174904221976312</v>
      </c>
      <c r="B462" s="49" t="s">
        <v>10651</v>
      </c>
      <c r="C462" s="49" t="s">
        <v>10778</v>
      </c>
      <c r="D462" s="49" t="s">
        <v>3140</v>
      </c>
      <c r="F462" s="96">
        <v>45833</v>
      </c>
      <c r="G462" s="95">
        <v>286</v>
      </c>
      <c r="H462" s="49" t="s">
        <v>12670</v>
      </c>
      <c r="I462" s="97">
        <v>3227.272727272727</v>
      </c>
      <c r="J462" s="95">
        <v>6</v>
      </c>
      <c r="K462" s="102">
        <v>994</v>
      </c>
      <c r="L462" s="95">
        <v>1</v>
      </c>
      <c r="M462" s="95">
        <v>68</v>
      </c>
      <c r="N462" s="95">
        <v>0</v>
      </c>
      <c r="O462" s="49" t="s">
        <v>10779</v>
      </c>
    </row>
    <row r="463" spans="1:15">
      <c r="A463" s="95">
        <v>174904221976312</v>
      </c>
      <c r="B463" s="49" t="s">
        <v>10651</v>
      </c>
      <c r="C463" s="49" t="s">
        <v>10778</v>
      </c>
      <c r="D463" s="49" t="s">
        <v>3140</v>
      </c>
      <c r="F463" s="96">
        <v>45833</v>
      </c>
      <c r="G463" s="95">
        <v>58</v>
      </c>
      <c r="H463" s="49" t="s">
        <v>12671</v>
      </c>
      <c r="I463" s="97">
        <v>3892.3076923076924</v>
      </c>
      <c r="J463" s="95">
        <v>1</v>
      </c>
      <c r="K463" s="102">
        <v>253</v>
      </c>
      <c r="L463" s="95">
        <v>1</v>
      </c>
      <c r="M463" s="95">
        <v>22</v>
      </c>
      <c r="N463" s="95">
        <v>0</v>
      </c>
      <c r="O463" s="49" t="s">
        <v>10779</v>
      </c>
    </row>
    <row r="464" spans="1:15">
      <c r="A464" s="95">
        <v>174904221976312</v>
      </c>
      <c r="B464" s="49" t="s">
        <v>10651</v>
      </c>
      <c r="C464" s="49" t="s">
        <v>10778</v>
      </c>
      <c r="D464" s="49" t="s">
        <v>3140</v>
      </c>
      <c r="F464" s="96">
        <v>45833</v>
      </c>
      <c r="G464" s="95">
        <v>67</v>
      </c>
      <c r="H464" s="49" t="s">
        <v>12672</v>
      </c>
      <c r="I464" s="97">
        <v>3756.7567567567567</v>
      </c>
      <c r="J464" s="95">
        <v>0</v>
      </c>
      <c r="K464" s="102">
        <v>278</v>
      </c>
      <c r="L464" s="95">
        <v>0</v>
      </c>
      <c r="M464" s="95">
        <v>7</v>
      </c>
      <c r="N464" s="95">
        <v>0</v>
      </c>
      <c r="O464" s="49" t="s">
        <v>10779</v>
      </c>
    </row>
    <row r="465" spans="1:15">
      <c r="A465" s="95">
        <v>174904221976312</v>
      </c>
      <c r="B465" s="49" t="s">
        <v>10651</v>
      </c>
      <c r="C465" s="49" t="s">
        <v>10652</v>
      </c>
      <c r="D465" s="49" t="s">
        <v>10653</v>
      </c>
      <c r="E465" s="49">
        <v>6281348555887</v>
      </c>
      <c r="F465" s="96">
        <v>45833</v>
      </c>
      <c r="G465" s="95">
        <v>14</v>
      </c>
      <c r="H465" s="49" t="s">
        <v>12668</v>
      </c>
      <c r="I465" s="97">
        <v>9285.7142857142862</v>
      </c>
      <c r="J465" s="95">
        <v>0</v>
      </c>
      <c r="K465" s="102">
        <v>130</v>
      </c>
      <c r="L465" s="95">
        <v>0</v>
      </c>
      <c r="M465" s="95">
        <v>3</v>
      </c>
      <c r="N465" s="95">
        <v>0</v>
      </c>
      <c r="O465" s="49" t="s">
        <v>10654</v>
      </c>
    </row>
    <row r="466" spans="1:15">
      <c r="A466" s="95">
        <v>174904221976312</v>
      </c>
      <c r="B466" s="49" t="s">
        <v>10651</v>
      </c>
      <c r="C466" s="49" t="s">
        <v>10652</v>
      </c>
      <c r="D466" s="49" t="s">
        <v>10653</v>
      </c>
      <c r="E466" s="49">
        <v>6281348555887</v>
      </c>
      <c r="F466" s="96">
        <v>45833</v>
      </c>
      <c r="G466" s="95">
        <v>53</v>
      </c>
      <c r="H466" s="49" t="s">
        <v>12669</v>
      </c>
      <c r="I466" s="97">
        <v>18586.206896551721</v>
      </c>
      <c r="J466" s="95">
        <v>0</v>
      </c>
      <c r="K466" s="102">
        <v>1078</v>
      </c>
      <c r="L466" s="95">
        <v>0</v>
      </c>
      <c r="M466" s="95">
        <v>11</v>
      </c>
      <c r="N466" s="95">
        <v>0</v>
      </c>
      <c r="O466" s="49" t="s">
        <v>10654</v>
      </c>
    </row>
    <row r="467" spans="1:15">
      <c r="A467" s="95">
        <v>174904221976312</v>
      </c>
      <c r="B467" s="49" t="s">
        <v>10651</v>
      </c>
      <c r="C467" s="49" t="s">
        <v>10652</v>
      </c>
      <c r="D467" s="49" t="s">
        <v>10653</v>
      </c>
      <c r="E467" s="49">
        <v>6281348555887</v>
      </c>
      <c r="F467" s="96">
        <v>45833</v>
      </c>
      <c r="G467" s="95">
        <v>23</v>
      </c>
      <c r="H467" s="49" t="s">
        <v>12670</v>
      </c>
      <c r="I467" s="97">
        <v>15000</v>
      </c>
      <c r="J467" s="95">
        <v>1</v>
      </c>
      <c r="K467" s="102">
        <v>345</v>
      </c>
      <c r="L467" s="95">
        <v>0</v>
      </c>
      <c r="M467" s="95">
        <v>6</v>
      </c>
      <c r="N467" s="95">
        <v>0</v>
      </c>
      <c r="O467" s="49" t="s">
        <v>10654</v>
      </c>
    </row>
    <row r="468" spans="1:15">
      <c r="A468" s="95">
        <v>174904221976312</v>
      </c>
      <c r="B468" s="49" t="s">
        <v>10651</v>
      </c>
      <c r="C468" s="49" t="s">
        <v>10652</v>
      </c>
      <c r="D468" s="49" t="s">
        <v>10653</v>
      </c>
      <c r="E468" s="49">
        <v>6281348555887</v>
      </c>
      <c r="F468" s="96">
        <v>45833</v>
      </c>
      <c r="G468" s="95">
        <v>2</v>
      </c>
      <c r="H468" s="49" t="s">
        <v>12672</v>
      </c>
      <c r="I468" s="97">
        <v>2000</v>
      </c>
      <c r="J468" s="95">
        <v>0</v>
      </c>
      <c r="K468" s="102">
        <v>4</v>
      </c>
      <c r="L468" s="95">
        <v>0</v>
      </c>
      <c r="M468" s="95">
        <v>0</v>
      </c>
      <c r="N468" s="95">
        <v>0</v>
      </c>
      <c r="O468" s="49" t="s">
        <v>10654</v>
      </c>
    </row>
    <row r="469" spans="1:15">
      <c r="A469" s="95">
        <v>174904221976312</v>
      </c>
      <c r="B469" s="49" t="s">
        <v>10651</v>
      </c>
      <c r="C469" s="49" t="s">
        <v>10659</v>
      </c>
      <c r="D469" s="49" t="s">
        <v>1044</v>
      </c>
      <c r="E469" s="49">
        <v>6281263113266</v>
      </c>
      <c r="F469" s="96">
        <v>45833</v>
      </c>
      <c r="G469" s="95">
        <v>5</v>
      </c>
      <c r="H469" s="49" t="s">
        <v>12667</v>
      </c>
      <c r="I469" s="97">
        <v>9200</v>
      </c>
      <c r="J469" s="95">
        <v>0</v>
      </c>
      <c r="K469" s="102">
        <v>46</v>
      </c>
      <c r="L469" s="95">
        <v>0</v>
      </c>
      <c r="M469" s="95">
        <v>1</v>
      </c>
      <c r="N469" s="95">
        <v>0</v>
      </c>
      <c r="O469" s="49" t="s">
        <v>10660</v>
      </c>
    </row>
    <row r="470" spans="1:15">
      <c r="A470" s="95">
        <v>174904221976312</v>
      </c>
      <c r="B470" s="49" t="s">
        <v>10651</v>
      </c>
      <c r="C470" s="49" t="s">
        <v>10659</v>
      </c>
      <c r="D470" s="49" t="s">
        <v>1044</v>
      </c>
      <c r="E470" s="49">
        <v>6281263113266</v>
      </c>
      <c r="F470" s="96">
        <v>45833</v>
      </c>
      <c r="G470" s="95">
        <v>35</v>
      </c>
      <c r="H470" s="49" t="s">
        <v>12668</v>
      </c>
      <c r="I470" s="97">
        <v>7972.9729729729725</v>
      </c>
      <c r="J470" s="95">
        <v>1</v>
      </c>
      <c r="K470" s="102">
        <v>295</v>
      </c>
      <c r="L470" s="95">
        <v>0</v>
      </c>
      <c r="M470" s="95">
        <v>9</v>
      </c>
      <c r="N470" s="95">
        <v>0</v>
      </c>
      <c r="O470" s="49" t="s">
        <v>10660</v>
      </c>
    </row>
    <row r="471" spans="1:15">
      <c r="A471" s="95">
        <v>174904221976312</v>
      </c>
      <c r="B471" s="49" t="s">
        <v>10651</v>
      </c>
      <c r="C471" s="49" t="s">
        <v>10659</v>
      </c>
      <c r="D471" s="49" t="s">
        <v>1044</v>
      </c>
      <c r="E471" s="49">
        <v>6281263113266</v>
      </c>
      <c r="F471" s="96">
        <v>45833</v>
      </c>
      <c r="G471" s="95">
        <v>42</v>
      </c>
      <c r="H471" s="49" t="s">
        <v>12669</v>
      </c>
      <c r="I471" s="97">
        <v>10136.363636363636</v>
      </c>
      <c r="J471" s="95">
        <v>0</v>
      </c>
      <c r="K471" s="102">
        <v>446</v>
      </c>
      <c r="L471" s="95">
        <v>0</v>
      </c>
      <c r="M471" s="95">
        <v>4</v>
      </c>
      <c r="N471" s="95">
        <v>0</v>
      </c>
      <c r="O471" s="49" t="s">
        <v>10660</v>
      </c>
    </row>
    <row r="472" spans="1:15">
      <c r="A472" s="95">
        <v>174904221976312</v>
      </c>
      <c r="B472" s="49" t="s">
        <v>10651</v>
      </c>
      <c r="C472" s="49" t="s">
        <v>10659</v>
      </c>
      <c r="D472" s="49" t="s">
        <v>1044</v>
      </c>
      <c r="E472" s="49">
        <v>6281263113266</v>
      </c>
      <c r="F472" s="96">
        <v>45833</v>
      </c>
      <c r="G472" s="95">
        <v>26</v>
      </c>
      <c r="H472" s="49" t="s">
        <v>12670</v>
      </c>
      <c r="I472" s="97">
        <v>9111.1111111111113</v>
      </c>
      <c r="J472" s="95">
        <v>1</v>
      </c>
      <c r="K472" s="102">
        <v>246</v>
      </c>
      <c r="L472" s="95">
        <v>0</v>
      </c>
      <c r="M472" s="95">
        <v>11</v>
      </c>
      <c r="N472" s="95">
        <v>0</v>
      </c>
      <c r="O472" s="49" t="s">
        <v>10660</v>
      </c>
    </row>
    <row r="473" spans="1:15">
      <c r="A473" s="95">
        <v>174904221976312</v>
      </c>
      <c r="B473" s="49" t="s">
        <v>10651</v>
      </c>
      <c r="C473" s="49" t="s">
        <v>10659</v>
      </c>
      <c r="D473" s="49" t="s">
        <v>1044</v>
      </c>
      <c r="E473" s="49">
        <v>6281263113266</v>
      </c>
      <c r="F473" s="96">
        <v>45833</v>
      </c>
      <c r="G473" s="95">
        <v>16</v>
      </c>
      <c r="H473" s="49" t="s">
        <v>12671</v>
      </c>
      <c r="I473" s="97">
        <v>11000</v>
      </c>
      <c r="J473" s="95">
        <v>1</v>
      </c>
      <c r="K473" s="102">
        <v>187</v>
      </c>
      <c r="L473" s="95">
        <v>0</v>
      </c>
      <c r="M473" s="95">
        <v>3</v>
      </c>
      <c r="N473" s="95">
        <v>0</v>
      </c>
      <c r="O473" s="49" t="s">
        <v>10660</v>
      </c>
    </row>
    <row r="474" spans="1:15">
      <c r="A474" s="95">
        <v>174904221976312</v>
      </c>
      <c r="B474" s="49" t="s">
        <v>10651</v>
      </c>
      <c r="C474" s="49" t="s">
        <v>10659</v>
      </c>
      <c r="D474" s="49" t="s">
        <v>1044</v>
      </c>
      <c r="E474" s="49">
        <v>6281263113266</v>
      </c>
      <c r="F474" s="96">
        <v>45833</v>
      </c>
      <c r="G474" s="95">
        <v>4</v>
      </c>
      <c r="H474" s="49" t="s">
        <v>12672</v>
      </c>
      <c r="I474" s="97">
        <v>6000</v>
      </c>
      <c r="J474" s="95">
        <v>0</v>
      </c>
      <c r="K474" s="102">
        <v>24</v>
      </c>
      <c r="L474" s="95">
        <v>0</v>
      </c>
      <c r="M474" s="95">
        <v>0</v>
      </c>
      <c r="N474" s="95">
        <v>0</v>
      </c>
      <c r="O474" s="49" t="s">
        <v>10660</v>
      </c>
    </row>
    <row r="475" spans="1:15">
      <c r="A475" s="95">
        <v>766589657993298</v>
      </c>
      <c r="B475" s="49" t="s">
        <v>10688</v>
      </c>
      <c r="C475" s="49" t="s">
        <v>10933</v>
      </c>
      <c r="D475" s="49" t="s">
        <v>10934</v>
      </c>
      <c r="E475" s="49">
        <v>6281293309300</v>
      </c>
      <c r="F475" s="96">
        <v>45833</v>
      </c>
      <c r="G475" s="95">
        <v>3</v>
      </c>
      <c r="H475" s="49" t="s">
        <v>12667</v>
      </c>
      <c r="I475" s="97">
        <v>18333.333333333332</v>
      </c>
      <c r="J475" s="95">
        <v>0</v>
      </c>
      <c r="K475" s="102">
        <v>55</v>
      </c>
      <c r="L475" s="95">
        <v>0</v>
      </c>
      <c r="M475" s="95">
        <v>0</v>
      </c>
      <c r="N475" s="95">
        <v>0</v>
      </c>
      <c r="O475" s="49" t="s">
        <v>10935</v>
      </c>
    </row>
    <row r="476" spans="1:15">
      <c r="A476" s="95">
        <v>766589657993298</v>
      </c>
      <c r="B476" s="49" t="s">
        <v>10688</v>
      </c>
      <c r="C476" s="49" t="s">
        <v>10933</v>
      </c>
      <c r="D476" s="49" t="s">
        <v>10934</v>
      </c>
      <c r="E476" s="49">
        <v>6281293309300</v>
      </c>
      <c r="F476" s="96">
        <v>45833</v>
      </c>
      <c r="G476" s="95">
        <v>12</v>
      </c>
      <c r="H476" s="49" t="s">
        <v>12668</v>
      </c>
      <c r="I476" s="97">
        <v>35166.666666666664</v>
      </c>
      <c r="J476" s="95">
        <v>0</v>
      </c>
      <c r="K476" s="102">
        <v>422</v>
      </c>
      <c r="L476" s="95">
        <v>0</v>
      </c>
      <c r="M476" s="95">
        <v>0</v>
      </c>
      <c r="N476" s="95">
        <v>0</v>
      </c>
      <c r="O476" s="49" t="s">
        <v>10935</v>
      </c>
    </row>
    <row r="477" spans="1:15">
      <c r="A477" s="95">
        <v>766589657993298</v>
      </c>
      <c r="B477" s="49" t="s">
        <v>10688</v>
      </c>
      <c r="C477" s="49" t="s">
        <v>10933</v>
      </c>
      <c r="D477" s="49" t="s">
        <v>10934</v>
      </c>
      <c r="E477" s="49">
        <v>6281293309300</v>
      </c>
      <c r="F477" s="96">
        <v>45833</v>
      </c>
      <c r="G477" s="95">
        <v>16</v>
      </c>
      <c r="H477" s="49" t="s">
        <v>12669</v>
      </c>
      <c r="I477" s="97">
        <v>53562.5</v>
      </c>
      <c r="J477" s="95">
        <v>2</v>
      </c>
      <c r="K477" s="102">
        <v>857</v>
      </c>
      <c r="L477" s="95">
        <v>0</v>
      </c>
      <c r="M477" s="95">
        <v>0</v>
      </c>
      <c r="N477" s="95">
        <v>0</v>
      </c>
      <c r="O477" s="49" t="s">
        <v>10935</v>
      </c>
    </row>
    <row r="478" spans="1:15">
      <c r="A478" s="95">
        <v>766589657993298</v>
      </c>
      <c r="B478" s="49" t="s">
        <v>10688</v>
      </c>
      <c r="C478" s="49" t="s">
        <v>10933</v>
      </c>
      <c r="D478" s="49" t="s">
        <v>10934</v>
      </c>
      <c r="E478" s="49">
        <v>6281293309300</v>
      </c>
      <c r="F478" s="96">
        <v>45833</v>
      </c>
      <c r="G478" s="95">
        <v>15</v>
      </c>
      <c r="H478" s="49" t="s">
        <v>12670</v>
      </c>
      <c r="I478" s="97">
        <v>81400</v>
      </c>
      <c r="J478" s="95">
        <v>0</v>
      </c>
      <c r="K478" s="102">
        <v>1221</v>
      </c>
      <c r="L478" s="95">
        <v>0</v>
      </c>
      <c r="M478" s="95">
        <v>0</v>
      </c>
      <c r="N478" s="95">
        <v>0</v>
      </c>
      <c r="O478" s="49" t="s">
        <v>10935</v>
      </c>
    </row>
    <row r="479" spans="1:15">
      <c r="A479" s="95">
        <v>766589657993298</v>
      </c>
      <c r="B479" s="49" t="s">
        <v>10688</v>
      </c>
      <c r="C479" s="49" t="s">
        <v>10933</v>
      </c>
      <c r="D479" s="49" t="s">
        <v>10934</v>
      </c>
      <c r="E479" s="49">
        <v>6281293309300</v>
      </c>
      <c r="F479" s="96">
        <v>45833</v>
      </c>
      <c r="G479" s="95">
        <v>6</v>
      </c>
      <c r="H479" s="49" t="s">
        <v>12671</v>
      </c>
      <c r="I479" s="97">
        <v>70500</v>
      </c>
      <c r="J479" s="95">
        <v>0</v>
      </c>
      <c r="K479" s="102">
        <v>423</v>
      </c>
      <c r="L479" s="95">
        <v>0</v>
      </c>
      <c r="M479" s="95">
        <v>0</v>
      </c>
      <c r="N479" s="95">
        <v>0</v>
      </c>
      <c r="O479" s="49" t="s">
        <v>10935</v>
      </c>
    </row>
    <row r="480" spans="1:15">
      <c r="A480" s="95">
        <v>766589657993298</v>
      </c>
      <c r="B480" s="49" t="s">
        <v>10688</v>
      </c>
      <c r="C480" s="49" t="s">
        <v>10933</v>
      </c>
      <c r="D480" s="49" t="s">
        <v>10934</v>
      </c>
      <c r="E480" s="49">
        <v>6281293309300</v>
      </c>
      <c r="F480" s="96">
        <v>45833</v>
      </c>
      <c r="G480" s="95">
        <v>2</v>
      </c>
      <c r="H480" s="49" t="s">
        <v>12672</v>
      </c>
      <c r="I480" s="97">
        <v>152500</v>
      </c>
      <c r="J480" s="95">
        <v>0</v>
      </c>
      <c r="K480" s="102">
        <v>305</v>
      </c>
      <c r="L480" s="95">
        <v>0</v>
      </c>
      <c r="M480" s="95">
        <v>0</v>
      </c>
      <c r="N480" s="95">
        <v>0</v>
      </c>
      <c r="O480" s="49" t="s">
        <v>10935</v>
      </c>
    </row>
    <row r="481" spans="1:15">
      <c r="A481" s="95">
        <v>766589657993298</v>
      </c>
      <c r="B481" s="49" t="s">
        <v>10688</v>
      </c>
      <c r="C481" s="49" t="s">
        <v>10917</v>
      </c>
      <c r="D481" s="49" t="s">
        <v>1037</v>
      </c>
      <c r="E481" s="49">
        <v>6281383434602</v>
      </c>
      <c r="F481" s="96">
        <v>45833</v>
      </c>
      <c r="G481" s="95">
        <v>2</v>
      </c>
      <c r="H481" s="49" t="s">
        <v>12667</v>
      </c>
      <c r="I481" s="97">
        <v>4500</v>
      </c>
      <c r="J481" s="95">
        <v>0</v>
      </c>
      <c r="K481" s="102">
        <v>9</v>
      </c>
      <c r="L481" s="95">
        <v>0</v>
      </c>
      <c r="M481" s="95">
        <v>0</v>
      </c>
      <c r="N481" s="95">
        <v>0</v>
      </c>
      <c r="O481" s="49" t="s">
        <v>10918</v>
      </c>
    </row>
    <row r="482" spans="1:15">
      <c r="A482" s="95">
        <v>766589657993298</v>
      </c>
      <c r="B482" s="49" t="s">
        <v>10688</v>
      </c>
      <c r="C482" s="49" t="s">
        <v>10917</v>
      </c>
      <c r="D482" s="49" t="s">
        <v>1037</v>
      </c>
      <c r="E482" s="49">
        <v>6281383434602</v>
      </c>
      <c r="F482" s="96">
        <v>45833</v>
      </c>
      <c r="G482" s="95">
        <v>6</v>
      </c>
      <c r="H482" s="49" t="s">
        <v>12668</v>
      </c>
      <c r="I482" s="97">
        <v>107428.57142857143</v>
      </c>
      <c r="J482" s="95">
        <v>0</v>
      </c>
      <c r="K482" s="102">
        <v>752</v>
      </c>
      <c r="L482" s="95">
        <v>0</v>
      </c>
      <c r="M482" s="95">
        <v>0</v>
      </c>
      <c r="N482" s="95">
        <v>0</v>
      </c>
      <c r="O482" s="49" t="s">
        <v>10918</v>
      </c>
    </row>
    <row r="483" spans="1:15">
      <c r="A483" s="95">
        <v>766589657993298</v>
      </c>
      <c r="B483" s="49" t="s">
        <v>10688</v>
      </c>
      <c r="C483" s="49" t="s">
        <v>10917</v>
      </c>
      <c r="D483" s="49" t="s">
        <v>1037</v>
      </c>
      <c r="E483" s="49">
        <v>6281383434602</v>
      </c>
      <c r="F483" s="96">
        <v>45833</v>
      </c>
      <c r="G483" s="95">
        <v>4</v>
      </c>
      <c r="H483" s="49" t="s">
        <v>12669</v>
      </c>
      <c r="I483" s="97">
        <v>23000</v>
      </c>
      <c r="J483" s="95">
        <v>0</v>
      </c>
      <c r="K483" s="102">
        <v>115</v>
      </c>
      <c r="L483" s="95">
        <v>0</v>
      </c>
      <c r="M483" s="95">
        <v>0</v>
      </c>
      <c r="N483" s="95">
        <v>0</v>
      </c>
      <c r="O483" s="49" t="s">
        <v>10918</v>
      </c>
    </row>
    <row r="484" spans="1:15">
      <c r="A484" s="95">
        <v>766589657993298</v>
      </c>
      <c r="B484" s="49" t="s">
        <v>10688</v>
      </c>
      <c r="C484" s="49" t="s">
        <v>10917</v>
      </c>
      <c r="D484" s="49" t="s">
        <v>1037</v>
      </c>
      <c r="E484" s="49">
        <v>6281383434602</v>
      </c>
      <c r="F484" s="96">
        <v>45833</v>
      </c>
      <c r="G484" s="95">
        <v>4</v>
      </c>
      <c r="H484" s="49" t="s">
        <v>12670</v>
      </c>
      <c r="I484" s="97">
        <v>84800</v>
      </c>
      <c r="J484" s="95">
        <v>0</v>
      </c>
      <c r="K484" s="102">
        <v>424</v>
      </c>
      <c r="L484" s="95">
        <v>0</v>
      </c>
      <c r="M484" s="95">
        <v>0</v>
      </c>
      <c r="N484" s="95">
        <v>0</v>
      </c>
      <c r="O484" s="49" t="s">
        <v>10918</v>
      </c>
    </row>
    <row r="485" spans="1:15">
      <c r="A485" s="95">
        <v>766589657993298</v>
      </c>
      <c r="B485" s="49" t="s">
        <v>10688</v>
      </c>
      <c r="C485" s="49" t="s">
        <v>10917</v>
      </c>
      <c r="D485" s="49" t="s">
        <v>1037</v>
      </c>
      <c r="E485" s="49">
        <v>6281383434602</v>
      </c>
      <c r="F485" s="96">
        <v>45833</v>
      </c>
      <c r="G485" s="95">
        <v>4</v>
      </c>
      <c r="H485" s="49" t="s">
        <v>12671</v>
      </c>
      <c r="I485" s="97">
        <v>20000</v>
      </c>
      <c r="J485" s="95">
        <v>0</v>
      </c>
      <c r="K485" s="102">
        <v>80</v>
      </c>
      <c r="L485" s="95">
        <v>0</v>
      </c>
      <c r="M485" s="95">
        <v>0</v>
      </c>
      <c r="N485" s="95">
        <v>0</v>
      </c>
      <c r="O485" s="49" t="s">
        <v>10918</v>
      </c>
    </row>
    <row r="486" spans="1:15">
      <c r="A486" s="95">
        <v>766589657993298</v>
      </c>
      <c r="B486" s="49" t="s">
        <v>10688</v>
      </c>
      <c r="C486" s="49" t="s">
        <v>10917</v>
      </c>
      <c r="D486" s="49" t="s">
        <v>1037</v>
      </c>
      <c r="E486" s="49">
        <v>6281383434602</v>
      </c>
      <c r="F486" s="96">
        <v>45833</v>
      </c>
      <c r="G486" s="95">
        <v>2</v>
      </c>
      <c r="H486" s="49" t="s">
        <v>12672</v>
      </c>
      <c r="I486" s="97">
        <v>27500</v>
      </c>
      <c r="J486" s="95">
        <v>0</v>
      </c>
      <c r="K486" s="102">
        <v>55</v>
      </c>
      <c r="L486" s="95">
        <v>0</v>
      </c>
      <c r="M486" s="95">
        <v>0</v>
      </c>
      <c r="N486" s="95">
        <v>0</v>
      </c>
      <c r="O486" s="49" t="s">
        <v>10918</v>
      </c>
    </row>
    <row r="487" spans="1:15">
      <c r="A487" s="95">
        <v>766589657993298</v>
      </c>
      <c r="B487" s="49" t="s">
        <v>10688</v>
      </c>
      <c r="C487" s="49" t="s">
        <v>10919</v>
      </c>
      <c r="D487" s="49" t="s">
        <v>951</v>
      </c>
      <c r="E487" s="49">
        <v>6281383899119</v>
      </c>
      <c r="F487" s="96">
        <v>45833</v>
      </c>
      <c r="G487" s="95">
        <v>3</v>
      </c>
      <c r="H487" s="49" t="s">
        <v>12667</v>
      </c>
      <c r="I487" s="97">
        <v>21750</v>
      </c>
      <c r="J487" s="95">
        <v>0</v>
      </c>
      <c r="K487" s="102">
        <v>87</v>
      </c>
      <c r="L487" s="95">
        <v>0</v>
      </c>
      <c r="M487" s="95">
        <v>2</v>
      </c>
      <c r="N487" s="95">
        <v>0</v>
      </c>
      <c r="O487" s="49" t="s">
        <v>10920</v>
      </c>
    </row>
    <row r="488" spans="1:15">
      <c r="A488" s="95">
        <v>766589657993298</v>
      </c>
      <c r="B488" s="49" t="s">
        <v>10688</v>
      </c>
      <c r="C488" s="49" t="s">
        <v>10919</v>
      </c>
      <c r="D488" s="49" t="s">
        <v>951</v>
      </c>
      <c r="E488" s="49">
        <v>6281383899119</v>
      </c>
      <c r="F488" s="96">
        <v>45833</v>
      </c>
      <c r="G488" s="95">
        <v>2</v>
      </c>
      <c r="H488" s="49" t="s">
        <v>12668</v>
      </c>
      <c r="I488" s="97">
        <v>8666.6666666666661</v>
      </c>
      <c r="J488" s="95">
        <v>0</v>
      </c>
      <c r="K488" s="102">
        <v>26</v>
      </c>
      <c r="L488" s="95">
        <v>0</v>
      </c>
      <c r="M488" s="95">
        <v>0</v>
      </c>
      <c r="N488" s="95">
        <v>0</v>
      </c>
      <c r="O488" s="49" t="s">
        <v>10920</v>
      </c>
    </row>
    <row r="489" spans="1:15">
      <c r="A489" s="95">
        <v>766589657993298</v>
      </c>
      <c r="B489" s="49" t="s">
        <v>10688</v>
      </c>
      <c r="C489" s="49" t="s">
        <v>10919</v>
      </c>
      <c r="D489" s="49" t="s">
        <v>951</v>
      </c>
      <c r="E489" s="49">
        <v>6281383899119</v>
      </c>
      <c r="F489" s="96">
        <v>45833</v>
      </c>
      <c r="G489" s="95">
        <v>9</v>
      </c>
      <c r="H489" s="49" t="s">
        <v>12669</v>
      </c>
      <c r="I489" s="97">
        <v>12888.888888888889</v>
      </c>
      <c r="J489" s="95">
        <v>0</v>
      </c>
      <c r="K489" s="102">
        <v>116</v>
      </c>
      <c r="L489" s="95">
        <v>0</v>
      </c>
      <c r="M489" s="95">
        <v>3</v>
      </c>
      <c r="N489" s="95">
        <v>0</v>
      </c>
      <c r="O489" s="49" t="s">
        <v>10920</v>
      </c>
    </row>
    <row r="490" spans="1:15">
      <c r="A490" s="95">
        <v>766589657993298</v>
      </c>
      <c r="B490" s="49" t="s">
        <v>10688</v>
      </c>
      <c r="C490" s="49" t="s">
        <v>10919</v>
      </c>
      <c r="D490" s="49" t="s">
        <v>951</v>
      </c>
      <c r="E490" s="49">
        <v>6281383899119</v>
      </c>
      <c r="F490" s="96">
        <v>45833</v>
      </c>
      <c r="G490" s="95">
        <v>9</v>
      </c>
      <c r="H490" s="49" t="s">
        <v>12670</v>
      </c>
      <c r="I490" s="97">
        <v>14909.090909090908</v>
      </c>
      <c r="J490" s="95">
        <v>0</v>
      </c>
      <c r="K490" s="102">
        <v>164</v>
      </c>
      <c r="L490" s="95">
        <v>0</v>
      </c>
      <c r="M490" s="95">
        <v>6</v>
      </c>
      <c r="N490" s="95">
        <v>0</v>
      </c>
      <c r="O490" s="49" t="s">
        <v>10920</v>
      </c>
    </row>
    <row r="491" spans="1:15">
      <c r="A491" s="95">
        <v>766589657993298</v>
      </c>
      <c r="B491" s="49" t="s">
        <v>10688</v>
      </c>
      <c r="C491" s="49" t="s">
        <v>10919</v>
      </c>
      <c r="D491" s="49" t="s">
        <v>951</v>
      </c>
      <c r="E491" s="49">
        <v>6281383899119</v>
      </c>
      <c r="F491" s="96">
        <v>45833</v>
      </c>
      <c r="G491" s="95">
        <v>1</v>
      </c>
      <c r="H491" s="49" t="s">
        <v>12671</v>
      </c>
      <c r="I491" s="97">
        <v>4000</v>
      </c>
      <c r="J491" s="95">
        <v>0</v>
      </c>
      <c r="K491" s="102">
        <v>4</v>
      </c>
      <c r="L491" s="95">
        <v>0</v>
      </c>
      <c r="M491" s="95">
        <v>0</v>
      </c>
      <c r="N491" s="95">
        <v>0</v>
      </c>
      <c r="O491" s="49" t="s">
        <v>10920</v>
      </c>
    </row>
    <row r="492" spans="1:15">
      <c r="A492" s="95">
        <v>766589657993298</v>
      </c>
      <c r="B492" s="49" t="s">
        <v>10688</v>
      </c>
      <c r="C492" s="49" t="s">
        <v>10898</v>
      </c>
      <c r="D492" s="49" t="s">
        <v>978</v>
      </c>
      <c r="E492" s="49">
        <v>6283135590465</v>
      </c>
      <c r="F492" s="96">
        <v>45833</v>
      </c>
      <c r="G492" s="95">
        <v>13</v>
      </c>
      <c r="H492" s="49" t="s">
        <v>12668</v>
      </c>
      <c r="I492" s="97">
        <v>19230.76923076923</v>
      </c>
      <c r="J492" s="95">
        <v>0</v>
      </c>
      <c r="K492" s="102">
        <v>250</v>
      </c>
      <c r="L492" s="95">
        <v>0</v>
      </c>
      <c r="M492" s="95">
        <v>1</v>
      </c>
      <c r="N492" s="95">
        <v>0</v>
      </c>
      <c r="O492" s="49" t="s">
        <v>10899</v>
      </c>
    </row>
    <row r="493" spans="1:15">
      <c r="A493" s="95">
        <v>766589657993298</v>
      </c>
      <c r="B493" s="49" t="s">
        <v>10688</v>
      </c>
      <c r="C493" s="49" t="s">
        <v>10898</v>
      </c>
      <c r="D493" s="49" t="s">
        <v>978</v>
      </c>
      <c r="E493" s="49">
        <v>6283135590465</v>
      </c>
      <c r="F493" s="96">
        <v>45833</v>
      </c>
      <c r="G493" s="95">
        <v>24</v>
      </c>
      <c r="H493" s="49" t="s">
        <v>12669</v>
      </c>
      <c r="I493" s="97">
        <v>18750</v>
      </c>
      <c r="J493" s="95">
        <v>0</v>
      </c>
      <c r="K493" s="102">
        <v>450</v>
      </c>
      <c r="L493" s="95">
        <v>0</v>
      </c>
      <c r="M493" s="95">
        <v>5</v>
      </c>
      <c r="N493" s="95">
        <v>0</v>
      </c>
      <c r="O493" s="49" t="s">
        <v>10899</v>
      </c>
    </row>
    <row r="494" spans="1:15">
      <c r="A494" s="95">
        <v>766589657993298</v>
      </c>
      <c r="B494" s="49" t="s">
        <v>10688</v>
      </c>
      <c r="C494" s="49" t="s">
        <v>10898</v>
      </c>
      <c r="D494" s="49" t="s">
        <v>978</v>
      </c>
      <c r="E494" s="49">
        <v>6283135590465</v>
      </c>
      <c r="F494" s="96">
        <v>45833</v>
      </c>
      <c r="G494" s="95">
        <v>16</v>
      </c>
      <c r="H494" s="49" t="s">
        <v>12670</v>
      </c>
      <c r="I494" s="97">
        <v>51562.5</v>
      </c>
      <c r="J494" s="95">
        <v>0</v>
      </c>
      <c r="K494" s="102">
        <v>825</v>
      </c>
      <c r="L494" s="95">
        <v>0</v>
      </c>
      <c r="M494" s="95">
        <v>4</v>
      </c>
      <c r="N494" s="95">
        <v>0</v>
      </c>
      <c r="O494" s="49" t="s">
        <v>10899</v>
      </c>
    </row>
    <row r="495" spans="1:15">
      <c r="A495" s="95">
        <v>766589657993298</v>
      </c>
      <c r="B495" s="49" t="s">
        <v>10688</v>
      </c>
      <c r="C495" s="49" t="s">
        <v>10883</v>
      </c>
      <c r="D495" s="49" t="s">
        <v>920</v>
      </c>
      <c r="E495" s="49">
        <v>6281514999073</v>
      </c>
      <c r="F495" s="96">
        <v>45833</v>
      </c>
      <c r="G495" s="95">
        <v>3</v>
      </c>
      <c r="H495" s="49" t="s">
        <v>12667</v>
      </c>
      <c r="I495" s="97">
        <v>15000</v>
      </c>
      <c r="J495" s="95">
        <v>0</v>
      </c>
      <c r="K495" s="102">
        <v>45</v>
      </c>
      <c r="L495" s="95">
        <v>0</v>
      </c>
      <c r="M495" s="95">
        <v>1</v>
      </c>
      <c r="N495" s="95">
        <v>0</v>
      </c>
      <c r="O495" s="49" t="s">
        <v>10884</v>
      </c>
    </row>
    <row r="496" spans="1:15">
      <c r="A496" s="95">
        <v>766589657993298</v>
      </c>
      <c r="B496" s="49" t="s">
        <v>10688</v>
      </c>
      <c r="C496" s="49" t="s">
        <v>10883</v>
      </c>
      <c r="D496" s="49" t="s">
        <v>920</v>
      </c>
      <c r="E496" s="49">
        <v>6281514999073</v>
      </c>
      <c r="F496" s="96">
        <v>45833</v>
      </c>
      <c r="G496" s="95">
        <v>6</v>
      </c>
      <c r="H496" s="49" t="s">
        <v>12668</v>
      </c>
      <c r="I496" s="97">
        <v>50000</v>
      </c>
      <c r="J496" s="95">
        <v>0</v>
      </c>
      <c r="K496" s="102">
        <v>300</v>
      </c>
      <c r="L496" s="95">
        <v>0</v>
      </c>
      <c r="M496" s="95">
        <v>3</v>
      </c>
      <c r="N496" s="95">
        <v>0</v>
      </c>
      <c r="O496" s="49" t="s">
        <v>10884</v>
      </c>
    </row>
    <row r="497" spans="1:15">
      <c r="A497" s="95">
        <v>766589657993298</v>
      </c>
      <c r="B497" s="49" t="s">
        <v>10688</v>
      </c>
      <c r="C497" s="49" t="s">
        <v>10883</v>
      </c>
      <c r="D497" s="49" t="s">
        <v>920</v>
      </c>
      <c r="E497" s="49">
        <v>6281514999073</v>
      </c>
      <c r="F497" s="96">
        <v>45833</v>
      </c>
      <c r="G497" s="95">
        <v>11</v>
      </c>
      <c r="H497" s="49" t="s">
        <v>12669</v>
      </c>
      <c r="I497" s="97">
        <v>43000</v>
      </c>
      <c r="J497" s="95">
        <v>1</v>
      </c>
      <c r="K497" s="102">
        <v>559</v>
      </c>
      <c r="L497" s="95">
        <v>0</v>
      </c>
      <c r="M497" s="95">
        <v>4</v>
      </c>
      <c r="N497" s="95">
        <v>0</v>
      </c>
      <c r="O497" s="49" t="s">
        <v>10884</v>
      </c>
    </row>
    <row r="498" spans="1:15">
      <c r="A498" s="95">
        <v>766589657993298</v>
      </c>
      <c r="B498" s="49" t="s">
        <v>10688</v>
      </c>
      <c r="C498" s="49" t="s">
        <v>10883</v>
      </c>
      <c r="D498" s="49" t="s">
        <v>920</v>
      </c>
      <c r="E498" s="49">
        <v>6281514999073</v>
      </c>
      <c r="F498" s="96">
        <v>45833</v>
      </c>
      <c r="G498" s="95">
        <v>8</v>
      </c>
      <c r="H498" s="49" t="s">
        <v>12670</v>
      </c>
      <c r="I498" s="97">
        <v>17875</v>
      </c>
      <c r="J498" s="95">
        <v>0</v>
      </c>
      <c r="K498" s="102">
        <v>143</v>
      </c>
      <c r="L498" s="95">
        <v>0</v>
      </c>
      <c r="M498" s="95">
        <v>3</v>
      </c>
      <c r="N498" s="95">
        <v>0</v>
      </c>
      <c r="O498" s="49" t="s">
        <v>10884</v>
      </c>
    </row>
    <row r="499" spans="1:15">
      <c r="A499" s="95">
        <v>766589657993298</v>
      </c>
      <c r="B499" s="49" t="s">
        <v>10688</v>
      </c>
      <c r="C499" s="49" t="s">
        <v>10883</v>
      </c>
      <c r="D499" s="49" t="s">
        <v>920</v>
      </c>
      <c r="E499" s="49">
        <v>6281514999073</v>
      </c>
      <c r="F499" s="96">
        <v>45833</v>
      </c>
      <c r="G499" s="95">
        <v>3</v>
      </c>
      <c r="H499" s="49" t="s">
        <v>12671</v>
      </c>
      <c r="I499" s="97">
        <v>72666.666666666672</v>
      </c>
      <c r="J499" s="95">
        <v>0</v>
      </c>
      <c r="K499" s="102">
        <v>218</v>
      </c>
      <c r="L499" s="95">
        <v>0</v>
      </c>
      <c r="M499" s="95">
        <v>1</v>
      </c>
      <c r="N499" s="95">
        <v>0</v>
      </c>
      <c r="O499" s="49" t="s">
        <v>10884</v>
      </c>
    </row>
    <row r="500" spans="1:15">
      <c r="A500" s="95">
        <v>766589657993298</v>
      </c>
      <c r="B500" s="49" t="s">
        <v>10688</v>
      </c>
      <c r="C500" s="49" t="s">
        <v>10883</v>
      </c>
      <c r="D500" s="49" t="s">
        <v>920</v>
      </c>
      <c r="E500" s="49">
        <v>6281514999073</v>
      </c>
      <c r="F500" s="96">
        <v>45833</v>
      </c>
      <c r="G500" s="95">
        <v>3</v>
      </c>
      <c r="H500" s="49" t="s">
        <v>12672</v>
      </c>
      <c r="I500" s="97">
        <v>37400</v>
      </c>
      <c r="J500" s="95">
        <v>0</v>
      </c>
      <c r="K500" s="102">
        <v>187</v>
      </c>
      <c r="L500" s="95">
        <v>0</v>
      </c>
      <c r="M500" s="95">
        <v>3</v>
      </c>
      <c r="N500" s="95">
        <v>0</v>
      </c>
      <c r="O500" s="49" t="s">
        <v>10884</v>
      </c>
    </row>
    <row r="501" spans="1:15">
      <c r="A501" s="95">
        <v>766589657993298</v>
      </c>
      <c r="B501" s="49" t="s">
        <v>10688</v>
      </c>
      <c r="C501" s="49" t="s">
        <v>10885</v>
      </c>
      <c r="D501" s="49" t="s">
        <v>906</v>
      </c>
      <c r="E501" s="49">
        <v>6282183115806</v>
      </c>
      <c r="F501" s="96">
        <v>45833</v>
      </c>
      <c r="G501" s="95">
        <v>7</v>
      </c>
      <c r="H501" s="49" t="s">
        <v>12667</v>
      </c>
      <c r="I501" s="97">
        <v>9125</v>
      </c>
      <c r="J501" s="95">
        <v>0</v>
      </c>
      <c r="K501" s="102">
        <v>73</v>
      </c>
      <c r="L501" s="95">
        <v>0</v>
      </c>
      <c r="M501" s="95">
        <v>3</v>
      </c>
      <c r="N501" s="95">
        <v>0</v>
      </c>
      <c r="O501" s="49" t="s">
        <v>10886</v>
      </c>
    </row>
    <row r="502" spans="1:15">
      <c r="A502" s="95">
        <v>766589657993298</v>
      </c>
      <c r="B502" s="49" t="s">
        <v>10688</v>
      </c>
      <c r="C502" s="49" t="s">
        <v>10885</v>
      </c>
      <c r="D502" s="49" t="s">
        <v>906</v>
      </c>
      <c r="E502" s="49">
        <v>6282183115806</v>
      </c>
      <c r="F502" s="96">
        <v>45833</v>
      </c>
      <c r="G502" s="95">
        <v>36</v>
      </c>
      <c r="H502" s="49" t="s">
        <v>12668</v>
      </c>
      <c r="I502" s="97">
        <v>5763.1578947368425</v>
      </c>
      <c r="J502" s="95">
        <v>0</v>
      </c>
      <c r="K502" s="102">
        <v>219</v>
      </c>
      <c r="L502" s="95">
        <v>0</v>
      </c>
      <c r="M502" s="95">
        <v>11</v>
      </c>
      <c r="N502" s="95">
        <v>0</v>
      </c>
      <c r="O502" s="49" t="s">
        <v>10886</v>
      </c>
    </row>
    <row r="503" spans="1:15">
      <c r="A503" s="95">
        <v>766589657993298</v>
      </c>
      <c r="B503" s="49" t="s">
        <v>10688</v>
      </c>
      <c r="C503" s="49" t="s">
        <v>10885</v>
      </c>
      <c r="D503" s="49" t="s">
        <v>906</v>
      </c>
      <c r="E503" s="49">
        <v>6282183115806</v>
      </c>
      <c r="F503" s="96">
        <v>45833</v>
      </c>
      <c r="G503" s="95">
        <v>43</v>
      </c>
      <c r="H503" s="49" t="s">
        <v>12669</v>
      </c>
      <c r="I503" s="97">
        <v>4652.1739130434789</v>
      </c>
      <c r="J503" s="95">
        <v>4</v>
      </c>
      <c r="K503" s="102">
        <v>214</v>
      </c>
      <c r="L503" s="95">
        <v>2</v>
      </c>
      <c r="M503" s="95">
        <v>19</v>
      </c>
      <c r="N503" s="95">
        <v>0</v>
      </c>
      <c r="O503" s="49" t="s">
        <v>10886</v>
      </c>
    </row>
    <row r="504" spans="1:15">
      <c r="A504" s="95">
        <v>766589657993298</v>
      </c>
      <c r="B504" s="49" t="s">
        <v>10688</v>
      </c>
      <c r="C504" s="49" t="s">
        <v>10885</v>
      </c>
      <c r="D504" s="49" t="s">
        <v>906</v>
      </c>
      <c r="E504" s="49">
        <v>6282183115806</v>
      </c>
      <c r="F504" s="96">
        <v>45833</v>
      </c>
      <c r="G504" s="95">
        <v>29</v>
      </c>
      <c r="H504" s="49" t="s">
        <v>12670</v>
      </c>
      <c r="I504" s="97">
        <v>15305.555555555555</v>
      </c>
      <c r="J504" s="95">
        <v>3</v>
      </c>
      <c r="K504" s="102">
        <v>551</v>
      </c>
      <c r="L504" s="95">
        <v>1</v>
      </c>
      <c r="M504" s="95">
        <v>17</v>
      </c>
      <c r="N504" s="95">
        <v>0</v>
      </c>
      <c r="O504" s="49" t="s">
        <v>10886</v>
      </c>
    </row>
    <row r="505" spans="1:15">
      <c r="A505" s="95">
        <v>766589657993298</v>
      </c>
      <c r="B505" s="49" t="s">
        <v>10688</v>
      </c>
      <c r="C505" s="49" t="s">
        <v>10885</v>
      </c>
      <c r="D505" s="49" t="s">
        <v>906</v>
      </c>
      <c r="E505" s="49">
        <v>6282183115806</v>
      </c>
      <c r="F505" s="96">
        <v>45833</v>
      </c>
      <c r="G505" s="95">
        <v>9</v>
      </c>
      <c r="H505" s="49" t="s">
        <v>12671</v>
      </c>
      <c r="I505" s="97">
        <v>10888.888888888889</v>
      </c>
      <c r="J505" s="95">
        <v>0</v>
      </c>
      <c r="K505" s="102">
        <v>98</v>
      </c>
      <c r="L505" s="95">
        <v>0</v>
      </c>
      <c r="M505" s="95">
        <v>5</v>
      </c>
      <c r="N505" s="95">
        <v>0</v>
      </c>
      <c r="O505" s="49" t="s">
        <v>10886</v>
      </c>
    </row>
    <row r="506" spans="1:15">
      <c r="A506" s="95">
        <v>766589657993298</v>
      </c>
      <c r="B506" s="49" t="s">
        <v>10688</v>
      </c>
      <c r="C506" s="49" t="s">
        <v>10885</v>
      </c>
      <c r="D506" s="49" t="s">
        <v>906</v>
      </c>
      <c r="E506" s="49">
        <v>6282183115806</v>
      </c>
      <c r="F506" s="96">
        <v>45833</v>
      </c>
      <c r="G506" s="95">
        <v>2</v>
      </c>
      <c r="H506" s="49" t="s">
        <v>12672</v>
      </c>
      <c r="I506" s="97">
        <v>1500</v>
      </c>
      <c r="J506" s="95">
        <v>0</v>
      </c>
      <c r="K506" s="102">
        <v>3</v>
      </c>
      <c r="L506" s="95">
        <v>0</v>
      </c>
      <c r="M506" s="95">
        <v>0</v>
      </c>
      <c r="N506" s="95">
        <v>0</v>
      </c>
      <c r="O506" s="49" t="s">
        <v>10886</v>
      </c>
    </row>
    <row r="507" spans="1:15">
      <c r="A507" s="95">
        <v>766589657993298</v>
      </c>
      <c r="B507" s="49" t="s">
        <v>10688</v>
      </c>
      <c r="C507" s="49" t="s">
        <v>10887</v>
      </c>
      <c r="D507" s="49" t="s">
        <v>10888</v>
      </c>
      <c r="E507" s="49">
        <v>6283151330372</v>
      </c>
      <c r="F507" s="96">
        <v>45833</v>
      </c>
      <c r="G507" s="95">
        <v>2</v>
      </c>
      <c r="H507" s="49" t="s">
        <v>12667</v>
      </c>
      <c r="I507" s="97">
        <v>3000</v>
      </c>
      <c r="J507" s="95">
        <v>0</v>
      </c>
      <c r="K507" s="102">
        <v>9</v>
      </c>
      <c r="L507" s="95">
        <v>0</v>
      </c>
      <c r="M507" s="95">
        <v>0</v>
      </c>
      <c r="N507" s="95">
        <v>0</v>
      </c>
      <c r="O507" s="49" t="s">
        <v>10889</v>
      </c>
    </row>
    <row r="508" spans="1:15">
      <c r="A508" s="95">
        <v>766589657993298</v>
      </c>
      <c r="B508" s="49" t="s">
        <v>10688</v>
      </c>
      <c r="C508" s="49" t="s">
        <v>10887</v>
      </c>
      <c r="D508" s="49" t="s">
        <v>10888</v>
      </c>
      <c r="E508" s="49">
        <v>6283151330372</v>
      </c>
      <c r="F508" s="96">
        <v>45833</v>
      </c>
      <c r="G508" s="95">
        <v>8</v>
      </c>
      <c r="H508" s="49" t="s">
        <v>12668</v>
      </c>
      <c r="I508" s="97">
        <v>3222.2222222222222</v>
      </c>
      <c r="J508" s="95">
        <v>0</v>
      </c>
      <c r="K508" s="102">
        <v>29</v>
      </c>
      <c r="L508" s="95">
        <v>0</v>
      </c>
      <c r="M508" s="95">
        <v>0</v>
      </c>
      <c r="N508" s="95">
        <v>0</v>
      </c>
      <c r="O508" s="49" t="s">
        <v>10889</v>
      </c>
    </row>
    <row r="509" spans="1:15">
      <c r="A509" s="95">
        <v>766589657993298</v>
      </c>
      <c r="B509" s="49" t="s">
        <v>10688</v>
      </c>
      <c r="C509" s="49" t="s">
        <v>10887</v>
      </c>
      <c r="D509" s="49" t="s">
        <v>10888</v>
      </c>
      <c r="E509" s="49">
        <v>6283151330372</v>
      </c>
      <c r="F509" s="96">
        <v>45833</v>
      </c>
      <c r="G509" s="95">
        <v>8</v>
      </c>
      <c r="H509" s="49" t="s">
        <v>12669</v>
      </c>
      <c r="I509" s="97">
        <v>91250</v>
      </c>
      <c r="J509" s="95">
        <v>0</v>
      </c>
      <c r="K509" s="102">
        <v>730</v>
      </c>
      <c r="L509" s="95">
        <v>0</v>
      </c>
      <c r="M509" s="95">
        <v>1</v>
      </c>
      <c r="N509" s="95">
        <v>0</v>
      </c>
      <c r="O509" s="49" t="s">
        <v>10889</v>
      </c>
    </row>
    <row r="510" spans="1:15">
      <c r="A510" s="95">
        <v>766589657993298</v>
      </c>
      <c r="B510" s="49" t="s">
        <v>10688</v>
      </c>
      <c r="C510" s="49" t="s">
        <v>10887</v>
      </c>
      <c r="D510" s="49" t="s">
        <v>10888</v>
      </c>
      <c r="E510" s="49">
        <v>6283151330372</v>
      </c>
      <c r="F510" s="96">
        <v>45833</v>
      </c>
      <c r="G510" s="95">
        <v>8</v>
      </c>
      <c r="H510" s="49" t="s">
        <v>12670</v>
      </c>
      <c r="I510" s="97">
        <v>4625</v>
      </c>
      <c r="J510" s="95">
        <v>0</v>
      </c>
      <c r="K510" s="102">
        <v>37</v>
      </c>
      <c r="L510" s="95">
        <v>0</v>
      </c>
      <c r="M510" s="95">
        <v>0</v>
      </c>
      <c r="N510" s="95">
        <v>0</v>
      </c>
      <c r="O510" s="49" t="s">
        <v>10889</v>
      </c>
    </row>
    <row r="511" spans="1:15">
      <c r="A511" s="95">
        <v>766589657993298</v>
      </c>
      <c r="B511" s="49" t="s">
        <v>10688</v>
      </c>
      <c r="C511" s="49" t="s">
        <v>10887</v>
      </c>
      <c r="D511" s="49" t="s">
        <v>10888</v>
      </c>
      <c r="E511" s="49">
        <v>6283151330372</v>
      </c>
      <c r="F511" s="96">
        <v>45833</v>
      </c>
      <c r="G511" s="95">
        <v>3</v>
      </c>
      <c r="H511" s="49" t="s">
        <v>12671</v>
      </c>
      <c r="I511" s="97">
        <v>9666.6666666666661</v>
      </c>
      <c r="J511" s="95">
        <v>0</v>
      </c>
      <c r="K511" s="102">
        <v>29</v>
      </c>
      <c r="L511" s="95">
        <v>0</v>
      </c>
      <c r="M511" s="95">
        <v>0</v>
      </c>
      <c r="N511" s="95">
        <v>0</v>
      </c>
      <c r="O511" s="49" t="s">
        <v>10889</v>
      </c>
    </row>
    <row r="512" spans="1:15">
      <c r="A512" s="95">
        <v>766589657993298</v>
      </c>
      <c r="B512" s="49" t="s">
        <v>10688</v>
      </c>
      <c r="C512" s="49" t="s">
        <v>10869</v>
      </c>
      <c r="D512" s="49" t="s">
        <v>10870</v>
      </c>
      <c r="E512" s="49">
        <v>6281230995752</v>
      </c>
      <c r="F512" s="96">
        <v>45833</v>
      </c>
      <c r="G512" s="95">
        <v>2</v>
      </c>
      <c r="H512" s="49" t="s">
        <v>12667</v>
      </c>
      <c r="I512" s="97">
        <v>5000</v>
      </c>
      <c r="J512" s="95">
        <v>1</v>
      </c>
      <c r="K512" s="102">
        <v>10</v>
      </c>
      <c r="L512" s="95">
        <v>1</v>
      </c>
      <c r="M512" s="95">
        <v>0</v>
      </c>
      <c r="N512" s="95">
        <v>0</v>
      </c>
      <c r="O512" s="49" t="s">
        <v>10871</v>
      </c>
    </row>
    <row r="513" spans="1:15">
      <c r="A513" s="95">
        <v>766589657993298</v>
      </c>
      <c r="B513" s="49" t="s">
        <v>10688</v>
      </c>
      <c r="C513" s="49" t="s">
        <v>10869</v>
      </c>
      <c r="D513" s="49" t="s">
        <v>10870</v>
      </c>
      <c r="E513" s="49">
        <v>6281230995752</v>
      </c>
      <c r="F513" s="96">
        <v>45833</v>
      </c>
      <c r="G513" s="95">
        <v>29</v>
      </c>
      <c r="H513" s="49" t="s">
        <v>12668</v>
      </c>
      <c r="I513" s="97">
        <v>7100</v>
      </c>
      <c r="J513" s="95">
        <v>2</v>
      </c>
      <c r="K513" s="102">
        <v>213</v>
      </c>
      <c r="L513" s="95">
        <v>0</v>
      </c>
      <c r="M513" s="95">
        <v>0</v>
      </c>
      <c r="N513" s="95">
        <v>0</v>
      </c>
      <c r="O513" s="49" t="s">
        <v>10871</v>
      </c>
    </row>
    <row r="514" spans="1:15">
      <c r="A514" s="95">
        <v>766589657993298</v>
      </c>
      <c r="B514" s="49" t="s">
        <v>10688</v>
      </c>
      <c r="C514" s="49" t="s">
        <v>10869</v>
      </c>
      <c r="D514" s="49" t="s">
        <v>10870</v>
      </c>
      <c r="E514" s="49">
        <v>6281230995752</v>
      </c>
      <c r="F514" s="96">
        <v>45833</v>
      </c>
      <c r="G514" s="95">
        <v>44</v>
      </c>
      <c r="H514" s="49" t="s">
        <v>12669</v>
      </c>
      <c r="I514" s="97">
        <v>10500</v>
      </c>
      <c r="J514" s="95">
        <v>1</v>
      </c>
      <c r="K514" s="102">
        <v>462</v>
      </c>
      <c r="L514" s="95">
        <v>0</v>
      </c>
      <c r="M514" s="95">
        <v>0</v>
      </c>
      <c r="N514" s="95">
        <v>0</v>
      </c>
      <c r="O514" s="49" t="s">
        <v>10871</v>
      </c>
    </row>
    <row r="515" spans="1:15">
      <c r="A515" s="95">
        <v>766589657993298</v>
      </c>
      <c r="B515" s="49" t="s">
        <v>10688</v>
      </c>
      <c r="C515" s="49" t="s">
        <v>10869</v>
      </c>
      <c r="D515" s="49" t="s">
        <v>10870</v>
      </c>
      <c r="E515" s="49">
        <v>6281230995752</v>
      </c>
      <c r="F515" s="96">
        <v>45833</v>
      </c>
      <c r="G515" s="95">
        <v>23</v>
      </c>
      <c r="H515" s="49" t="s">
        <v>12670</v>
      </c>
      <c r="I515" s="97">
        <v>18000</v>
      </c>
      <c r="J515" s="95">
        <v>0</v>
      </c>
      <c r="K515" s="102">
        <v>432</v>
      </c>
      <c r="L515" s="95">
        <v>0</v>
      </c>
      <c r="M515" s="95">
        <v>0</v>
      </c>
      <c r="N515" s="95">
        <v>0</v>
      </c>
      <c r="O515" s="49" t="s">
        <v>10871</v>
      </c>
    </row>
    <row r="516" spans="1:15">
      <c r="A516" s="95">
        <v>766589657993298</v>
      </c>
      <c r="B516" s="49" t="s">
        <v>10688</v>
      </c>
      <c r="C516" s="49" t="s">
        <v>10869</v>
      </c>
      <c r="D516" s="49" t="s">
        <v>10870</v>
      </c>
      <c r="E516" s="49">
        <v>6281230995752</v>
      </c>
      <c r="F516" s="96">
        <v>45833</v>
      </c>
      <c r="G516" s="95">
        <v>20</v>
      </c>
      <c r="H516" s="49" t="s">
        <v>12671</v>
      </c>
      <c r="I516" s="97">
        <v>20450</v>
      </c>
      <c r="J516" s="95">
        <v>0</v>
      </c>
      <c r="K516" s="102">
        <v>409</v>
      </c>
      <c r="L516" s="95">
        <v>0</v>
      </c>
      <c r="M516" s="95">
        <v>0</v>
      </c>
      <c r="N516" s="95">
        <v>0</v>
      </c>
      <c r="O516" s="49" t="s">
        <v>10871</v>
      </c>
    </row>
    <row r="517" spans="1:15">
      <c r="A517" s="95">
        <v>766589657993298</v>
      </c>
      <c r="B517" s="49" t="s">
        <v>10688</v>
      </c>
      <c r="C517" s="49" t="s">
        <v>10869</v>
      </c>
      <c r="D517" s="49" t="s">
        <v>10870</v>
      </c>
      <c r="E517" s="49">
        <v>6281230995752</v>
      </c>
      <c r="F517" s="96">
        <v>45833</v>
      </c>
      <c r="G517" s="95">
        <v>0</v>
      </c>
      <c r="H517" s="49" t="s">
        <v>12673</v>
      </c>
      <c r="I517" s="97">
        <v>0</v>
      </c>
      <c r="J517" s="95">
        <v>0</v>
      </c>
      <c r="K517" s="102">
        <v>0</v>
      </c>
      <c r="L517" s="95">
        <v>0</v>
      </c>
      <c r="M517" s="95">
        <v>0</v>
      </c>
      <c r="N517" s="95">
        <v>0</v>
      </c>
      <c r="O517" s="49" t="s">
        <v>10871</v>
      </c>
    </row>
    <row r="518" spans="1:15">
      <c r="A518" s="95">
        <v>766589657993298</v>
      </c>
      <c r="B518" s="49" t="s">
        <v>10688</v>
      </c>
      <c r="C518" s="49" t="s">
        <v>10872</v>
      </c>
      <c r="D518" s="49" t="s">
        <v>846</v>
      </c>
      <c r="E518" s="49">
        <v>6281233044823</v>
      </c>
      <c r="F518" s="96">
        <v>45833</v>
      </c>
      <c r="G518" s="95">
        <v>9</v>
      </c>
      <c r="H518" s="49" t="s">
        <v>12667</v>
      </c>
      <c r="I518" s="97">
        <v>32000</v>
      </c>
      <c r="J518" s="95">
        <v>1</v>
      </c>
      <c r="K518" s="102">
        <v>320</v>
      </c>
      <c r="L518" s="95">
        <v>0</v>
      </c>
      <c r="M518" s="95">
        <v>0</v>
      </c>
      <c r="N518" s="95">
        <v>0</v>
      </c>
      <c r="O518" s="49" t="s">
        <v>10873</v>
      </c>
    </row>
    <row r="519" spans="1:15">
      <c r="A519" s="95">
        <v>766589657993298</v>
      </c>
      <c r="B519" s="49" t="s">
        <v>10688</v>
      </c>
      <c r="C519" s="49" t="s">
        <v>10872</v>
      </c>
      <c r="D519" s="49" t="s">
        <v>846</v>
      </c>
      <c r="E519" s="49">
        <v>6281233044823</v>
      </c>
      <c r="F519" s="96">
        <v>45833</v>
      </c>
      <c r="G519" s="95">
        <v>21</v>
      </c>
      <c r="H519" s="49" t="s">
        <v>12668</v>
      </c>
      <c r="I519" s="97">
        <v>21000</v>
      </c>
      <c r="J519" s="95">
        <v>0</v>
      </c>
      <c r="K519" s="102">
        <v>462</v>
      </c>
      <c r="L519" s="95">
        <v>0</v>
      </c>
      <c r="M519" s="95">
        <v>0</v>
      </c>
      <c r="N519" s="95">
        <v>0</v>
      </c>
      <c r="O519" s="49" t="s">
        <v>10873</v>
      </c>
    </row>
    <row r="520" spans="1:15">
      <c r="A520" s="95">
        <v>766589657993298</v>
      </c>
      <c r="B520" s="49" t="s">
        <v>10688</v>
      </c>
      <c r="C520" s="49" t="s">
        <v>10872</v>
      </c>
      <c r="D520" s="49" t="s">
        <v>846</v>
      </c>
      <c r="E520" s="49">
        <v>6281233044823</v>
      </c>
      <c r="F520" s="96">
        <v>45833</v>
      </c>
      <c r="G520" s="95">
        <v>34</v>
      </c>
      <c r="H520" s="49" t="s">
        <v>12669</v>
      </c>
      <c r="I520" s="97">
        <v>10864.864864864865</v>
      </c>
      <c r="J520" s="95">
        <v>1</v>
      </c>
      <c r="K520" s="102">
        <v>402</v>
      </c>
      <c r="L520" s="95">
        <v>0</v>
      </c>
      <c r="M520" s="95">
        <v>3</v>
      </c>
      <c r="N520" s="95">
        <v>0</v>
      </c>
      <c r="O520" s="49" t="s">
        <v>10873</v>
      </c>
    </row>
    <row r="521" spans="1:15">
      <c r="A521" s="95">
        <v>766589657993298</v>
      </c>
      <c r="B521" s="49" t="s">
        <v>10688</v>
      </c>
      <c r="C521" s="49" t="s">
        <v>10872</v>
      </c>
      <c r="D521" s="49" t="s">
        <v>846</v>
      </c>
      <c r="E521" s="49">
        <v>6281233044823</v>
      </c>
      <c r="F521" s="96">
        <v>45833</v>
      </c>
      <c r="G521" s="95">
        <v>23</v>
      </c>
      <c r="H521" s="49" t="s">
        <v>12670</v>
      </c>
      <c r="I521" s="97">
        <v>20750</v>
      </c>
      <c r="J521" s="95">
        <v>0</v>
      </c>
      <c r="K521" s="102">
        <v>498</v>
      </c>
      <c r="L521" s="95">
        <v>0</v>
      </c>
      <c r="M521" s="95">
        <v>1</v>
      </c>
      <c r="N521" s="95">
        <v>0</v>
      </c>
      <c r="O521" s="49" t="s">
        <v>10873</v>
      </c>
    </row>
    <row r="522" spans="1:15">
      <c r="A522" s="95">
        <v>766589657993298</v>
      </c>
      <c r="B522" s="49" t="s">
        <v>10688</v>
      </c>
      <c r="C522" s="49" t="s">
        <v>10872</v>
      </c>
      <c r="D522" s="49" t="s">
        <v>846</v>
      </c>
      <c r="E522" s="49">
        <v>6281233044823</v>
      </c>
      <c r="F522" s="96">
        <v>45833</v>
      </c>
      <c r="G522" s="95">
        <v>12</v>
      </c>
      <c r="H522" s="49" t="s">
        <v>12671</v>
      </c>
      <c r="I522" s="97">
        <v>55166.666666666664</v>
      </c>
      <c r="J522" s="95">
        <v>0</v>
      </c>
      <c r="K522" s="102">
        <v>662</v>
      </c>
      <c r="L522" s="95">
        <v>0</v>
      </c>
      <c r="M522" s="95">
        <v>0</v>
      </c>
      <c r="N522" s="95">
        <v>0</v>
      </c>
      <c r="O522" s="49" t="s">
        <v>10873</v>
      </c>
    </row>
    <row r="523" spans="1:15">
      <c r="A523" s="95">
        <v>766589657993298</v>
      </c>
      <c r="B523" s="49" t="s">
        <v>10688</v>
      </c>
      <c r="C523" s="49" t="s">
        <v>10872</v>
      </c>
      <c r="D523" s="49" t="s">
        <v>846</v>
      </c>
      <c r="E523" s="49">
        <v>6281233044823</v>
      </c>
      <c r="F523" s="96">
        <v>45833</v>
      </c>
      <c r="G523" s="95">
        <v>12</v>
      </c>
      <c r="H523" s="49" t="s">
        <v>12672</v>
      </c>
      <c r="I523" s="97">
        <v>10000</v>
      </c>
      <c r="J523" s="95">
        <v>1</v>
      </c>
      <c r="K523" s="102">
        <v>120</v>
      </c>
      <c r="L523" s="95">
        <v>0</v>
      </c>
      <c r="M523" s="95">
        <v>1</v>
      </c>
      <c r="N523" s="95">
        <v>0</v>
      </c>
      <c r="O523" s="49" t="s">
        <v>10873</v>
      </c>
    </row>
    <row r="524" spans="1:15">
      <c r="A524" s="95">
        <v>766589657993298</v>
      </c>
      <c r="B524" s="49" t="s">
        <v>10688</v>
      </c>
      <c r="C524" s="49" t="s">
        <v>10874</v>
      </c>
      <c r="D524" s="49" t="s">
        <v>10875</v>
      </c>
      <c r="E524" s="49">
        <v>6281283325291</v>
      </c>
      <c r="F524" s="96">
        <v>45833</v>
      </c>
      <c r="G524" s="95">
        <v>5</v>
      </c>
      <c r="H524" s="49" t="s">
        <v>12667</v>
      </c>
      <c r="I524" s="97">
        <v>6000</v>
      </c>
      <c r="J524" s="95">
        <v>0</v>
      </c>
      <c r="K524" s="102">
        <v>30</v>
      </c>
      <c r="L524" s="95">
        <v>0</v>
      </c>
      <c r="M524" s="95">
        <v>0</v>
      </c>
      <c r="N524" s="95">
        <v>0</v>
      </c>
      <c r="O524" s="49" t="s">
        <v>10876</v>
      </c>
    </row>
    <row r="525" spans="1:15">
      <c r="A525" s="95">
        <v>766589657993298</v>
      </c>
      <c r="B525" s="49" t="s">
        <v>10688</v>
      </c>
      <c r="C525" s="49" t="s">
        <v>10874</v>
      </c>
      <c r="D525" s="49" t="s">
        <v>10875</v>
      </c>
      <c r="E525" s="49">
        <v>6281283325291</v>
      </c>
      <c r="F525" s="96">
        <v>45833</v>
      </c>
      <c r="G525" s="95">
        <v>22</v>
      </c>
      <c r="H525" s="49" t="s">
        <v>12668</v>
      </c>
      <c r="I525" s="97">
        <v>13863.636363636364</v>
      </c>
      <c r="J525" s="95">
        <v>0</v>
      </c>
      <c r="K525" s="102">
        <v>305</v>
      </c>
      <c r="L525" s="95">
        <v>0</v>
      </c>
      <c r="M525" s="95">
        <v>3</v>
      </c>
      <c r="N525" s="95">
        <v>0</v>
      </c>
      <c r="O525" s="49" t="s">
        <v>10876</v>
      </c>
    </row>
    <row r="526" spans="1:15">
      <c r="A526" s="95">
        <v>766589657993298</v>
      </c>
      <c r="B526" s="49" t="s">
        <v>10688</v>
      </c>
      <c r="C526" s="49" t="s">
        <v>10874</v>
      </c>
      <c r="D526" s="49" t="s">
        <v>10875</v>
      </c>
      <c r="E526" s="49">
        <v>6281283325291</v>
      </c>
      <c r="F526" s="96">
        <v>45833</v>
      </c>
      <c r="G526" s="95">
        <v>25</v>
      </c>
      <c r="H526" s="49" t="s">
        <v>12669</v>
      </c>
      <c r="I526" s="97">
        <v>16482.758620689656</v>
      </c>
      <c r="J526" s="95">
        <v>1</v>
      </c>
      <c r="K526" s="102">
        <v>478</v>
      </c>
      <c r="L526" s="95">
        <v>0</v>
      </c>
      <c r="M526" s="95">
        <v>5</v>
      </c>
      <c r="N526" s="95">
        <v>0</v>
      </c>
      <c r="O526" s="49" t="s">
        <v>10876</v>
      </c>
    </row>
    <row r="527" spans="1:15">
      <c r="A527" s="95">
        <v>766589657993298</v>
      </c>
      <c r="B527" s="49" t="s">
        <v>10688</v>
      </c>
      <c r="C527" s="49" t="s">
        <v>10874</v>
      </c>
      <c r="D527" s="49" t="s">
        <v>10875</v>
      </c>
      <c r="E527" s="49">
        <v>6281283325291</v>
      </c>
      <c r="F527" s="96">
        <v>45833</v>
      </c>
      <c r="G527" s="95">
        <v>16</v>
      </c>
      <c r="H527" s="49" t="s">
        <v>12670</v>
      </c>
      <c r="I527" s="97">
        <v>65555.555555555562</v>
      </c>
      <c r="J527" s="95">
        <v>1</v>
      </c>
      <c r="K527" s="102">
        <v>1180</v>
      </c>
      <c r="L527" s="95">
        <v>0</v>
      </c>
      <c r="M527" s="95">
        <v>5</v>
      </c>
      <c r="N527" s="95">
        <v>0</v>
      </c>
      <c r="O527" s="49" t="s">
        <v>10876</v>
      </c>
    </row>
    <row r="528" spans="1:15">
      <c r="A528" s="95">
        <v>766589657993298</v>
      </c>
      <c r="B528" s="49" t="s">
        <v>10688</v>
      </c>
      <c r="C528" s="49" t="s">
        <v>10874</v>
      </c>
      <c r="D528" s="49" t="s">
        <v>10875</v>
      </c>
      <c r="E528" s="49">
        <v>6281283325291</v>
      </c>
      <c r="F528" s="96">
        <v>45833</v>
      </c>
      <c r="G528" s="95">
        <v>12</v>
      </c>
      <c r="H528" s="49" t="s">
        <v>12671</v>
      </c>
      <c r="I528" s="97">
        <v>99000</v>
      </c>
      <c r="J528" s="95">
        <v>0</v>
      </c>
      <c r="K528" s="102">
        <v>1188</v>
      </c>
      <c r="L528" s="95">
        <v>0</v>
      </c>
      <c r="M528" s="95">
        <v>3</v>
      </c>
      <c r="N528" s="95">
        <v>0</v>
      </c>
      <c r="O528" s="49" t="s">
        <v>10876</v>
      </c>
    </row>
    <row r="529" spans="1:15">
      <c r="A529" s="95">
        <v>766589657993298</v>
      </c>
      <c r="B529" s="49" t="s">
        <v>10688</v>
      </c>
      <c r="C529" s="49" t="s">
        <v>10874</v>
      </c>
      <c r="D529" s="49" t="s">
        <v>10875</v>
      </c>
      <c r="E529" s="49">
        <v>6281283325291</v>
      </c>
      <c r="F529" s="96">
        <v>45833</v>
      </c>
      <c r="G529" s="95">
        <v>7</v>
      </c>
      <c r="H529" s="49" t="s">
        <v>12672</v>
      </c>
      <c r="I529" s="97">
        <v>80714.28571428571</v>
      </c>
      <c r="J529" s="95">
        <v>1</v>
      </c>
      <c r="K529" s="102">
        <v>565</v>
      </c>
      <c r="L529" s="95">
        <v>0</v>
      </c>
      <c r="M529" s="95">
        <v>5</v>
      </c>
      <c r="N529" s="95">
        <v>0</v>
      </c>
      <c r="O529" s="49" t="s">
        <v>10876</v>
      </c>
    </row>
    <row r="530" spans="1:15">
      <c r="A530" s="95">
        <v>766589657993298</v>
      </c>
      <c r="B530" s="49" t="s">
        <v>10688</v>
      </c>
      <c r="C530" s="49" t="s">
        <v>10877</v>
      </c>
      <c r="D530" s="49" t="s">
        <v>861</v>
      </c>
      <c r="E530" s="49">
        <v>6289617461806</v>
      </c>
      <c r="F530" s="96">
        <v>45833</v>
      </c>
      <c r="G530" s="95">
        <v>10</v>
      </c>
      <c r="H530" s="49" t="s">
        <v>12667</v>
      </c>
      <c r="I530" s="97">
        <v>2200</v>
      </c>
      <c r="J530" s="95">
        <v>0</v>
      </c>
      <c r="K530" s="102">
        <v>22</v>
      </c>
      <c r="L530" s="95">
        <v>0</v>
      </c>
      <c r="M530" s="95">
        <v>0</v>
      </c>
      <c r="N530" s="95">
        <v>0</v>
      </c>
      <c r="O530" s="49" t="s">
        <v>10878</v>
      </c>
    </row>
    <row r="531" spans="1:15">
      <c r="A531" s="95">
        <v>766589657993298</v>
      </c>
      <c r="B531" s="49" t="s">
        <v>10688</v>
      </c>
      <c r="C531" s="49" t="s">
        <v>10877</v>
      </c>
      <c r="D531" s="49" t="s">
        <v>861</v>
      </c>
      <c r="E531" s="49">
        <v>6289617461806</v>
      </c>
      <c r="F531" s="96">
        <v>45833</v>
      </c>
      <c r="G531" s="95">
        <v>36</v>
      </c>
      <c r="H531" s="49" t="s">
        <v>12668</v>
      </c>
      <c r="I531" s="97">
        <v>3476.1904761904761</v>
      </c>
      <c r="J531" s="95">
        <v>0</v>
      </c>
      <c r="K531" s="102">
        <v>146</v>
      </c>
      <c r="L531" s="95">
        <v>0</v>
      </c>
      <c r="M531" s="95">
        <v>0</v>
      </c>
      <c r="N531" s="95">
        <v>0</v>
      </c>
      <c r="O531" s="49" t="s">
        <v>10878</v>
      </c>
    </row>
    <row r="532" spans="1:15">
      <c r="A532" s="95">
        <v>766589657993298</v>
      </c>
      <c r="B532" s="49" t="s">
        <v>10688</v>
      </c>
      <c r="C532" s="49" t="s">
        <v>10877</v>
      </c>
      <c r="D532" s="49" t="s">
        <v>861</v>
      </c>
      <c r="E532" s="49">
        <v>6289617461806</v>
      </c>
      <c r="F532" s="96">
        <v>45833</v>
      </c>
      <c r="G532" s="95">
        <v>46</v>
      </c>
      <c r="H532" s="49" t="s">
        <v>12669</v>
      </c>
      <c r="I532" s="97">
        <v>33320</v>
      </c>
      <c r="J532" s="95">
        <v>2</v>
      </c>
      <c r="K532" s="102">
        <v>1666</v>
      </c>
      <c r="L532" s="95">
        <v>1</v>
      </c>
      <c r="M532" s="95">
        <v>1</v>
      </c>
      <c r="N532" s="95">
        <v>0</v>
      </c>
      <c r="O532" s="49" t="s">
        <v>10878</v>
      </c>
    </row>
    <row r="533" spans="1:15">
      <c r="A533" s="95">
        <v>766589657993298</v>
      </c>
      <c r="B533" s="49" t="s">
        <v>10688</v>
      </c>
      <c r="C533" s="49" t="s">
        <v>10877</v>
      </c>
      <c r="D533" s="49" t="s">
        <v>861</v>
      </c>
      <c r="E533" s="49">
        <v>6289617461806</v>
      </c>
      <c r="F533" s="96">
        <v>45833</v>
      </c>
      <c r="G533" s="95">
        <v>38</v>
      </c>
      <c r="H533" s="49" t="s">
        <v>12670</v>
      </c>
      <c r="I533" s="97">
        <v>10146.341463414634</v>
      </c>
      <c r="J533" s="95">
        <v>0</v>
      </c>
      <c r="K533" s="102">
        <v>416</v>
      </c>
      <c r="L533" s="95">
        <v>0</v>
      </c>
      <c r="M533" s="95">
        <v>0</v>
      </c>
      <c r="N533" s="95">
        <v>0</v>
      </c>
      <c r="O533" s="49" t="s">
        <v>10878</v>
      </c>
    </row>
    <row r="534" spans="1:15">
      <c r="A534" s="95">
        <v>766589657993298</v>
      </c>
      <c r="B534" s="49" t="s">
        <v>10688</v>
      </c>
      <c r="C534" s="49" t="s">
        <v>10877</v>
      </c>
      <c r="D534" s="49" t="s">
        <v>861</v>
      </c>
      <c r="E534" s="49">
        <v>6289617461806</v>
      </c>
      <c r="F534" s="96">
        <v>45833</v>
      </c>
      <c r="G534" s="95">
        <v>11</v>
      </c>
      <c r="H534" s="49" t="s">
        <v>12671</v>
      </c>
      <c r="I534" s="97">
        <v>10083.333333333334</v>
      </c>
      <c r="J534" s="95">
        <v>0</v>
      </c>
      <c r="K534" s="102">
        <v>121</v>
      </c>
      <c r="L534" s="95">
        <v>0</v>
      </c>
      <c r="M534" s="95">
        <v>0</v>
      </c>
      <c r="N534" s="95">
        <v>0</v>
      </c>
      <c r="O534" s="49" t="s">
        <v>10878</v>
      </c>
    </row>
    <row r="535" spans="1:15">
      <c r="A535" s="95">
        <v>766589657993298</v>
      </c>
      <c r="B535" s="49" t="s">
        <v>10688</v>
      </c>
      <c r="C535" s="49" t="s">
        <v>10877</v>
      </c>
      <c r="D535" s="49" t="s">
        <v>861</v>
      </c>
      <c r="E535" s="49">
        <v>6289617461806</v>
      </c>
      <c r="F535" s="96">
        <v>45833</v>
      </c>
      <c r="G535" s="95">
        <v>2</v>
      </c>
      <c r="H535" s="49" t="s">
        <v>12672</v>
      </c>
      <c r="I535" s="97">
        <v>0</v>
      </c>
      <c r="J535" s="95">
        <v>0</v>
      </c>
      <c r="K535" s="102">
        <v>0</v>
      </c>
      <c r="L535" s="95">
        <v>0</v>
      </c>
      <c r="M535" s="95">
        <v>0</v>
      </c>
      <c r="N535" s="95">
        <v>0</v>
      </c>
      <c r="O535" s="49" t="s">
        <v>10878</v>
      </c>
    </row>
    <row r="536" spans="1:15">
      <c r="A536" s="95">
        <v>766589657993298</v>
      </c>
      <c r="B536" s="49" t="s">
        <v>10688</v>
      </c>
      <c r="C536" s="49" t="s">
        <v>10879</v>
      </c>
      <c r="D536" s="49" t="s">
        <v>10880</v>
      </c>
      <c r="E536" s="49">
        <v>6281215851833</v>
      </c>
      <c r="F536" s="96">
        <v>45833</v>
      </c>
      <c r="G536" s="95">
        <v>11</v>
      </c>
      <c r="H536" s="49" t="s">
        <v>12667</v>
      </c>
      <c r="I536" s="97">
        <v>7727.2727272727279</v>
      </c>
      <c r="J536" s="95">
        <v>1</v>
      </c>
      <c r="K536" s="102">
        <v>85</v>
      </c>
      <c r="L536" s="95">
        <v>0</v>
      </c>
      <c r="M536" s="95">
        <v>0</v>
      </c>
      <c r="N536" s="95">
        <v>0</v>
      </c>
      <c r="O536" s="49" t="s">
        <v>10881</v>
      </c>
    </row>
    <row r="537" spans="1:15">
      <c r="A537" s="95">
        <v>766589657993298</v>
      </c>
      <c r="B537" s="49" t="s">
        <v>10688</v>
      </c>
      <c r="C537" s="49" t="s">
        <v>10879</v>
      </c>
      <c r="D537" s="49" t="s">
        <v>10880</v>
      </c>
      <c r="E537" s="49">
        <v>6281215851833</v>
      </c>
      <c r="F537" s="96">
        <v>45833</v>
      </c>
      <c r="G537" s="95">
        <v>32</v>
      </c>
      <c r="H537" s="49" t="s">
        <v>12668</v>
      </c>
      <c r="I537" s="97">
        <v>2968.75</v>
      </c>
      <c r="J537" s="95">
        <v>0</v>
      </c>
      <c r="K537" s="102">
        <v>95</v>
      </c>
      <c r="L537" s="95">
        <v>0</v>
      </c>
      <c r="M537" s="95">
        <v>0</v>
      </c>
      <c r="N537" s="95">
        <v>0</v>
      </c>
      <c r="O537" s="49" t="s">
        <v>10881</v>
      </c>
    </row>
    <row r="538" spans="1:15">
      <c r="A538" s="95">
        <v>766589657993298</v>
      </c>
      <c r="B538" s="49" t="s">
        <v>10688</v>
      </c>
      <c r="C538" s="49" t="s">
        <v>10879</v>
      </c>
      <c r="D538" s="49" t="s">
        <v>10880</v>
      </c>
      <c r="E538" s="49">
        <v>6281215851833</v>
      </c>
      <c r="F538" s="96">
        <v>45833</v>
      </c>
      <c r="G538" s="95">
        <v>51</v>
      </c>
      <c r="H538" s="49" t="s">
        <v>12669</v>
      </c>
      <c r="I538" s="97">
        <v>4867.9245283018872</v>
      </c>
      <c r="J538" s="95">
        <v>2</v>
      </c>
      <c r="K538" s="102">
        <v>258</v>
      </c>
      <c r="L538" s="95">
        <v>0</v>
      </c>
      <c r="M538" s="95">
        <v>0</v>
      </c>
      <c r="N538" s="95">
        <v>0</v>
      </c>
      <c r="O538" s="49" t="s">
        <v>10881</v>
      </c>
    </row>
    <row r="539" spans="1:15">
      <c r="A539" s="95">
        <v>766589657993298</v>
      </c>
      <c r="B539" s="49" t="s">
        <v>10688</v>
      </c>
      <c r="C539" s="49" t="s">
        <v>10879</v>
      </c>
      <c r="D539" s="49" t="s">
        <v>10880</v>
      </c>
      <c r="E539" s="49">
        <v>6281215851833</v>
      </c>
      <c r="F539" s="96">
        <v>45833</v>
      </c>
      <c r="G539" s="95">
        <v>43</v>
      </c>
      <c r="H539" s="49" t="s">
        <v>12670</v>
      </c>
      <c r="I539" s="97">
        <v>9733.3333333333321</v>
      </c>
      <c r="J539" s="95">
        <v>0</v>
      </c>
      <c r="K539" s="102">
        <v>438</v>
      </c>
      <c r="L539" s="95">
        <v>0</v>
      </c>
      <c r="M539" s="95">
        <v>0</v>
      </c>
      <c r="N539" s="95">
        <v>0</v>
      </c>
      <c r="O539" s="49" t="s">
        <v>10881</v>
      </c>
    </row>
    <row r="540" spans="1:15">
      <c r="A540" s="95">
        <v>766589657993298</v>
      </c>
      <c r="B540" s="49" t="s">
        <v>10688</v>
      </c>
      <c r="C540" s="49" t="s">
        <v>10879</v>
      </c>
      <c r="D540" s="49" t="s">
        <v>10880</v>
      </c>
      <c r="E540" s="49">
        <v>6281215851833</v>
      </c>
      <c r="F540" s="96">
        <v>45833</v>
      </c>
      <c r="G540" s="95">
        <v>26</v>
      </c>
      <c r="H540" s="49" t="s">
        <v>12671</v>
      </c>
      <c r="I540" s="97">
        <v>14629.62962962963</v>
      </c>
      <c r="J540" s="95">
        <v>2</v>
      </c>
      <c r="K540" s="102">
        <v>395</v>
      </c>
      <c r="L540" s="95">
        <v>0</v>
      </c>
      <c r="M540" s="95">
        <v>0</v>
      </c>
      <c r="N540" s="95">
        <v>0</v>
      </c>
      <c r="O540" s="49" t="s">
        <v>10881</v>
      </c>
    </row>
    <row r="541" spans="1:15">
      <c r="A541" s="95">
        <v>766589657993298</v>
      </c>
      <c r="B541" s="49" t="s">
        <v>10688</v>
      </c>
      <c r="C541" s="49" t="s">
        <v>10879</v>
      </c>
      <c r="D541" s="49" t="s">
        <v>10880</v>
      </c>
      <c r="E541" s="49">
        <v>6281215851833</v>
      </c>
      <c r="F541" s="96">
        <v>45833</v>
      </c>
      <c r="G541" s="95">
        <v>5</v>
      </c>
      <c r="H541" s="49" t="s">
        <v>12672</v>
      </c>
      <c r="I541" s="97">
        <v>10285.714285714286</v>
      </c>
      <c r="J541" s="95">
        <v>0</v>
      </c>
      <c r="K541" s="102">
        <v>72</v>
      </c>
      <c r="L541" s="95">
        <v>0</v>
      </c>
      <c r="M541" s="95">
        <v>0</v>
      </c>
      <c r="N541" s="95">
        <v>0</v>
      </c>
      <c r="O541" s="49" t="s">
        <v>10881</v>
      </c>
    </row>
    <row r="542" spans="1:15">
      <c r="A542" s="95">
        <v>766589657993298</v>
      </c>
      <c r="B542" s="49" t="s">
        <v>10688</v>
      </c>
      <c r="C542" s="49" t="s">
        <v>10836</v>
      </c>
      <c r="D542" s="49" t="s">
        <v>780</v>
      </c>
      <c r="E542" s="49">
        <v>6283866009989</v>
      </c>
      <c r="F542" s="96">
        <v>45833</v>
      </c>
      <c r="G542" s="95">
        <v>17</v>
      </c>
      <c r="H542" s="49" t="s">
        <v>12668</v>
      </c>
      <c r="I542" s="97">
        <v>7944.4444444444443</v>
      </c>
      <c r="J542" s="95">
        <v>0</v>
      </c>
      <c r="K542" s="102">
        <v>143</v>
      </c>
      <c r="L542" s="95">
        <v>0</v>
      </c>
      <c r="M542" s="95">
        <v>6</v>
      </c>
      <c r="N542" s="95">
        <v>0</v>
      </c>
      <c r="O542" s="49" t="s">
        <v>10837</v>
      </c>
    </row>
    <row r="543" spans="1:15">
      <c r="A543" s="95">
        <v>766589657993298</v>
      </c>
      <c r="B543" s="49" t="s">
        <v>10688</v>
      </c>
      <c r="C543" s="49" t="s">
        <v>10836</v>
      </c>
      <c r="D543" s="49" t="s">
        <v>780</v>
      </c>
      <c r="E543" s="49">
        <v>6283866009989</v>
      </c>
      <c r="F543" s="96">
        <v>45833</v>
      </c>
      <c r="G543" s="95">
        <v>12</v>
      </c>
      <c r="H543" s="49" t="s">
        <v>12669</v>
      </c>
      <c r="I543" s="97">
        <v>9583.3333333333339</v>
      </c>
      <c r="J543" s="95">
        <v>0</v>
      </c>
      <c r="K543" s="102">
        <v>115</v>
      </c>
      <c r="L543" s="95">
        <v>0</v>
      </c>
      <c r="M543" s="95">
        <v>7</v>
      </c>
      <c r="N543" s="95">
        <v>0</v>
      </c>
      <c r="O543" s="49" t="s">
        <v>10837</v>
      </c>
    </row>
    <row r="544" spans="1:15">
      <c r="A544" s="95">
        <v>766589657993298</v>
      </c>
      <c r="B544" s="49" t="s">
        <v>10688</v>
      </c>
      <c r="C544" s="49" t="s">
        <v>10836</v>
      </c>
      <c r="D544" s="49" t="s">
        <v>780</v>
      </c>
      <c r="E544" s="49">
        <v>6283866009989</v>
      </c>
      <c r="F544" s="96">
        <v>45833</v>
      </c>
      <c r="G544" s="95">
        <v>4</v>
      </c>
      <c r="H544" s="49" t="s">
        <v>12670</v>
      </c>
      <c r="I544" s="97">
        <v>7250</v>
      </c>
      <c r="J544" s="95">
        <v>0</v>
      </c>
      <c r="K544" s="102">
        <v>29</v>
      </c>
      <c r="L544" s="95">
        <v>0</v>
      </c>
      <c r="M544" s="95">
        <v>3</v>
      </c>
      <c r="N544" s="95">
        <v>0</v>
      </c>
      <c r="O544" s="49" t="s">
        <v>10837</v>
      </c>
    </row>
    <row r="545" spans="1:15">
      <c r="A545" s="95">
        <v>766589657993298</v>
      </c>
      <c r="B545" s="49" t="s">
        <v>10688</v>
      </c>
      <c r="C545" s="49" t="s">
        <v>689</v>
      </c>
      <c r="D545" s="49" t="s">
        <v>10923</v>
      </c>
      <c r="E545" s="49">
        <v>6282176695820</v>
      </c>
      <c r="F545" s="96">
        <v>45833</v>
      </c>
      <c r="G545" s="95">
        <v>16</v>
      </c>
      <c r="H545" s="49" t="s">
        <v>12668</v>
      </c>
      <c r="I545" s="97">
        <v>21842.105263157893</v>
      </c>
      <c r="J545" s="95">
        <v>0</v>
      </c>
      <c r="K545" s="102">
        <v>415</v>
      </c>
      <c r="L545" s="95">
        <v>0</v>
      </c>
      <c r="M545" s="95">
        <v>3</v>
      </c>
      <c r="N545" s="95">
        <v>0</v>
      </c>
      <c r="O545" s="49" t="s">
        <v>10921</v>
      </c>
    </row>
    <row r="546" spans="1:15">
      <c r="A546" s="95">
        <v>766589657993298</v>
      </c>
      <c r="B546" s="49" t="s">
        <v>10688</v>
      </c>
      <c r="C546" s="49" t="s">
        <v>689</v>
      </c>
      <c r="D546" s="49" t="s">
        <v>10923</v>
      </c>
      <c r="E546" s="49">
        <v>6282176695820</v>
      </c>
      <c r="F546" s="96">
        <v>45833</v>
      </c>
      <c r="G546" s="95">
        <v>30</v>
      </c>
      <c r="H546" s="49" t="s">
        <v>12669</v>
      </c>
      <c r="I546" s="97">
        <v>13909.090909090908</v>
      </c>
      <c r="J546" s="95">
        <v>0</v>
      </c>
      <c r="K546" s="102">
        <v>459</v>
      </c>
      <c r="L546" s="95">
        <v>0</v>
      </c>
      <c r="M546" s="95">
        <v>4</v>
      </c>
      <c r="N546" s="95">
        <v>0</v>
      </c>
      <c r="O546" s="49" t="s">
        <v>10921</v>
      </c>
    </row>
    <row r="547" spans="1:15">
      <c r="A547" s="95">
        <v>766589657993298</v>
      </c>
      <c r="B547" s="49" t="s">
        <v>10688</v>
      </c>
      <c r="C547" s="49" t="s">
        <v>689</v>
      </c>
      <c r="D547" s="49" t="s">
        <v>10923</v>
      </c>
      <c r="E547" s="49">
        <v>6282176695820</v>
      </c>
      <c r="F547" s="96">
        <v>45833</v>
      </c>
      <c r="G547" s="95">
        <v>21</v>
      </c>
      <c r="H547" s="49" t="s">
        <v>12670</v>
      </c>
      <c r="I547" s="97">
        <v>35380.952380952382</v>
      </c>
      <c r="J547" s="95">
        <v>0</v>
      </c>
      <c r="K547" s="102">
        <v>743</v>
      </c>
      <c r="L547" s="95">
        <v>0</v>
      </c>
      <c r="M547" s="95">
        <v>6</v>
      </c>
      <c r="N547" s="95">
        <v>0</v>
      </c>
      <c r="O547" s="49" t="s">
        <v>10921</v>
      </c>
    </row>
    <row r="548" spans="1:15">
      <c r="A548" s="95">
        <v>766589657993298</v>
      </c>
      <c r="B548" s="49" t="s">
        <v>10688</v>
      </c>
      <c r="C548" s="49" t="s">
        <v>689</v>
      </c>
      <c r="D548" s="49" t="s">
        <v>10923</v>
      </c>
      <c r="E548" s="49">
        <v>6282176695820</v>
      </c>
      <c r="F548" s="96">
        <v>45833</v>
      </c>
      <c r="G548" s="95">
        <v>7</v>
      </c>
      <c r="H548" s="49" t="s">
        <v>12671</v>
      </c>
      <c r="I548" s="97">
        <v>85142.857142857145</v>
      </c>
      <c r="J548" s="95">
        <v>0</v>
      </c>
      <c r="K548" s="102">
        <v>596</v>
      </c>
      <c r="L548" s="95">
        <v>0</v>
      </c>
      <c r="M548" s="95">
        <v>3</v>
      </c>
      <c r="N548" s="95">
        <v>0</v>
      </c>
      <c r="O548" s="49" t="s">
        <v>10921</v>
      </c>
    </row>
    <row r="549" spans="1:15">
      <c r="A549" s="95">
        <v>766589657993298</v>
      </c>
      <c r="B549" s="49" t="s">
        <v>10688</v>
      </c>
      <c r="C549" s="49" t="s">
        <v>689</v>
      </c>
      <c r="D549" s="49" t="s">
        <v>10923</v>
      </c>
      <c r="E549" s="49">
        <v>6282176695820</v>
      </c>
      <c r="F549" s="96">
        <v>45833</v>
      </c>
      <c r="G549" s="95">
        <v>1</v>
      </c>
      <c r="H549" s="49" t="s">
        <v>12672</v>
      </c>
      <c r="I549" s="97">
        <v>21000</v>
      </c>
      <c r="J549" s="95">
        <v>0</v>
      </c>
      <c r="K549" s="102">
        <v>21</v>
      </c>
      <c r="L549" s="95">
        <v>0</v>
      </c>
      <c r="M549" s="95">
        <v>0</v>
      </c>
      <c r="N549" s="95">
        <v>0</v>
      </c>
      <c r="O549" s="49" t="s">
        <v>10921</v>
      </c>
    </row>
    <row r="550" spans="1:15">
      <c r="A550" s="95">
        <v>766589657993298</v>
      </c>
      <c r="B550" s="49" t="s">
        <v>10688</v>
      </c>
      <c r="C550" s="49" t="s">
        <v>10822</v>
      </c>
      <c r="D550" s="49" t="s">
        <v>676</v>
      </c>
      <c r="E550" s="49">
        <v>6281316155059</v>
      </c>
      <c r="F550" s="96">
        <v>45833</v>
      </c>
      <c r="G550" s="95">
        <v>7</v>
      </c>
      <c r="H550" s="49" t="s">
        <v>12667</v>
      </c>
      <c r="I550" s="97">
        <v>10857.142857142857</v>
      </c>
      <c r="J550" s="95">
        <v>0</v>
      </c>
      <c r="K550" s="102">
        <v>76</v>
      </c>
      <c r="L550" s="95">
        <v>0</v>
      </c>
      <c r="M550" s="95">
        <v>2</v>
      </c>
      <c r="N550" s="95">
        <v>0</v>
      </c>
      <c r="O550" s="49" t="s">
        <v>10823</v>
      </c>
    </row>
    <row r="551" spans="1:15">
      <c r="A551" s="95">
        <v>766589657993298</v>
      </c>
      <c r="B551" s="49" t="s">
        <v>10688</v>
      </c>
      <c r="C551" s="49" t="s">
        <v>10822</v>
      </c>
      <c r="D551" s="49" t="s">
        <v>676</v>
      </c>
      <c r="E551" s="49">
        <v>6281316155059</v>
      </c>
      <c r="F551" s="96">
        <v>45833</v>
      </c>
      <c r="G551" s="95">
        <v>75</v>
      </c>
      <c r="H551" s="49" t="s">
        <v>12668</v>
      </c>
      <c r="I551" s="97">
        <v>20706.666666666668</v>
      </c>
      <c r="J551" s="95">
        <v>1</v>
      </c>
      <c r="K551" s="102">
        <v>1553</v>
      </c>
      <c r="L551" s="95">
        <v>0</v>
      </c>
      <c r="M551" s="95">
        <v>32</v>
      </c>
      <c r="N551" s="95">
        <v>0</v>
      </c>
      <c r="O551" s="49" t="s">
        <v>10823</v>
      </c>
    </row>
    <row r="552" spans="1:15">
      <c r="A552" s="95">
        <v>766589657993298</v>
      </c>
      <c r="B552" s="49" t="s">
        <v>10688</v>
      </c>
      <c r="C552" s="49" t="s">
        <v>10822</v>
      </c>
      <c r="D552" s="49" t="s">
        <v>676</v>
      </c>
      <c r="E552" s="49">
        <v>6281316155059</v>
      </c>
      <c r="F552" s="96">
        <v>45833</v>
      </c>
      <c r="G552" s="95">
        <v>73</v>
      </c>
      <c r="H552" s="49" t="s">
        <v>12669</v>
      </c>
      <c r="I552" s="97">
        <v>31575.342465753427</v>
      </c>
      <c r="J552" s="95">
        <v>1</v>
      </c>
      <c r="K552" s="102">
        <v>2305</v>
      </c>
      <c r="L552" s="95">
        <v>1</v>
      </c>
      <c r="M552" s="95">
        <v>32</v>
      </c>
      <c r="N552" s="95">
        <v>0</v>
      </c>
      <c r="O552" s="49" t="s">
        <v>10823</v>
      </c>
    </row>
    <row r="553" spans="1:15">
      <c r="A553" s="95">
        <v>766589657993298</v>
      </c>
      <c r="B553" s="49" t="s">
        <v>10688</v>
      </c>
      <c r="C553" s="49" t="s">
        <v>10822</v>
      </c>
      <c r="D553" s="49" t="s">
        <v>676</v>
      </c>
      <c r="E553" s="49">
        <v>6281316155059</v>
      </c>
      <c r="F553" s="96">
        <v>45833</v>
      </c>
      <c r="G553" s="95">
        <v>46</v>
      </c>
      <c r="H553" s="49" t="s">
        <v>12670</v>
      </c>
      <c r="I553" s="97">
        <v>16891.304347826084</v>
      </c>
      <c r="J553" s="95">
        <v>0</v>
      </c>
      <c r="K553" s="102">
        <v>777</v>
      </c>
      <c r="L553" s="95">
        <v>0</v>
      </c>
      <c r="M553" s="95">
        <v>19</v>
      </c>
      <c r="N553" s="95">
        <v>0</v>
      </c>
      <c r="O553" s="49" t="s">
        <v>10823</v>
      </c>
    </row>
    <row r="554" spans="1:15">
      <c r="A554" s="95">
        <v>766589657993298</v>
      </c>
      <c r="B554" s="49" t="s">
        <v>10688</v>
      </c>
      <c r="C554" s="49" t="s">
        <v>10822</v>
      </c>
      <c r="D554" s="49" t="s">
        <v>676</v>
      </c>
      <c r="E554" s="49">
        <v>6281316155059</v>
      </c>
      <c r="F554" s="96">
        <v>45833</v>
      </c>
      <c r="G554" s="95">
        <v>27</v>
      </c>
      <c r="H554" s="49" t="s">
        <v>12671</v>
      </c>
      <c r="I554" s="97">
        <v>36962.962962962964</v>
      </c>
      <c r="J554" s="95">
        <v>0</v>
      </c>
      <c r="K554" s="102">
        <v>998</v>
      </c>
      <c r="L554" s="95">
        <v>0</v>
      </c>
      <c r="M554" s="95">
        <v>13</v>
      </c>
      <c r="N554" s="95">
        <v>0</v>
      </c>
      <c r="O554" s="49" t="s">
        <v>10823</v>
      </c>
    </row>
    <row r="555" spans="1:15">
      <c r="A555" s="95">
        <v>766589657993298</v>
      </c>
      <c r="B555" s="49" t="s">
        <v>10688</v>
      </c>
      <c r="C555" s="49" t="s">
        <v>10822</v>
      </c>
      <c r="D555" s="49" t="s">
        <v>676</v>
      </c>
      <c r="E555" s="49">
        <v>6281316155059</v>
      </c>
      <c r="F555" s="96">
        <v>45833</v>
      </c>
      <c r="G555" s="95">
        <v>14</v>
      </c>
      <c r="H555" s="49" t="s">
        <v>12672</v>
      </c>
      <c r="I555" s="97">
        <v>70500</v>
      </c>
      <c r="J555" s="95">
        <v>0</v>
      </c>
      <c r="K555" s="102">
        <v>987</v>
      </c>
      <c r="L555" s="95">
        <v>0</v>
      </c>
      <c r="M555" s="95">
        <v>11</v>
      </c>
      <c r="N555" s="95">
        <v>0</v>
      </c>
      <c r="O555" s="49" t="s">
        <v>10823</v>
      </c>
    </row>
    <row r="556" spans="1:15">
      <c r="A556" s="95">
        <v>766589657993298</v>
      </c>
      <c r="B556" s="49" t="s">
        <v>10688</v>
      </c>
      <c r="C556" s="49" t="s">
        <v>769</v>
      </c>
      <c r="D556" s="49" t="s">
        <v>764</v>
      </c>
      <c r="E556" s="49">
        <v>6287778562681</v>
      </c>
      <c r="F556" s="96">
        <v>45833</v>
      </c>
      <c r="G556" s="95">
        <v>6</v>
      </c>
      <c r="H556" s="49" t="s">
        <v>12667</v>
      </c>
      <c r="I556" s="97">
        <v>6333.333333333333</v>
      </c>
      <c r="J556" s="95">
        <v>0</v>
      </c>
      <c r="K556" s="102">
        <v>38</v>
      </c>
      <c r="L556" s="95">
        <v>0</v>
      </c>
      <c r="M556" s="95">
        <v>1</v>
      </c>
      <c r="N556" s="95">
        <v>0</v>
      </c>
      <c r="O556" s="49" t="s">
        <v>10882</v>
      </c>
    </row>
    <row r="557" spans="1:15">
      <c r="A557" s="95">
        <v>766589657993298</v>
      </c>
      <c r="B557" s="49" t="s">
        <v>10688</v>
      </c>
      <c r="C557" s="49" t="s">
        <v>769</v>
      </c>
      <c r="D557" s="49" t="s">
        <v>764</v>
      </c>
      <c r="E557" s="49">
        <v>6287778562681</v>
      </c>
      <c r="F557" s="96">
        <v>45833</v>
      </c>
      <c r="G557" s="95">
        <v>17</v>
      </c>
      <c r="H557" s="49" t="s">
        <v>12668</v>
      </c>
      <c r="I557" s="97">
        <v>6000</v>
      </c>
      <c r="J557" s="95">
        <v>0</v>
      </c>
      <c r="K557" s="102">
        <v>102</v>
      </c>
      <c r="L557" s="95">
        <v>0</v>
      </c>
      <c r="M557" s="95">
        <v>6</v>
      </c>
      <c r="N557" s="95">
        <v>0</v>
      </c>
      <c r="O557" s="49" t="s">
        <v>10882</v>
      </c>
    </row>
    <row r="558" spans="1:15">
      <c r="A558" s="95">
        <v>766589657993298</v>
      </c>
      <c r="B558" s="49" t="s">
        <v>10688</v>
      </c>
      <c r="C558" s="49" t="s">
        <v>769</v>
      </c>
      <c r="D558" s="49" t="s">
        <v>764</v>
      </c>
      <c r="E558" s="49">
        <v>6287778562681</v>
      </c>
      <c r="F558" s="96">
        <v>45833</v>
      </c>
      <c r="G558" s="95">
        <v>21</v>
      </c>
      <c r="H558" s="49" t="s">
        <v>12669</v>
      </c>
      <c r="I558" s="97">
        <v>23380.952380952378</v>
      </c>
      <c r="J558" s="95">
        <v>2</v>
      </c>
      <c r="K558" s="102">
        <v>491</v>
      </c>
      <c r="L558" s="95">
        <v>0</v>
      </c>
      <c r="M558" s="95">
        <v>7</v>
      </c>
      <c r="N558" s="95">
        <v>0</v>
      </c>
      <c r="O558" s="49" t="s">
        <v>10882</v>
      </c>
    </row>
    <row r="559" spans="1:15">
      <c r="A559" s="95">
        <v>766589657993298</v>
      </c>
      <c r="B559" s="49" t="s">
        <v>10688</v>
      </c>
      <c r="C559" s="49" t="s">
        <v>769</v>
      </c>
      <c r="D559" s="49" t="s">
        <v>764</v>
      </c>
      <c r="E559" s="49">
        <v>6287778562681</v>
      </c>
      <c r="F559" s="96">
        <v>45833</v>
      </c>
      <c r="G559" s="95">
        <v>17</v>
      </c>
      <c r="H559" s="49" t="s">
        <v>12670</v>
      </c>
      <c r="I559" s="97">
        <v>13823.529411764706</v>
      </c>
      <c r="J559" s="95">
        <v>0</v>
      </c>
      <c r="K559" s="102">
        <v>235</v>
      </c>
      <c r="L559" s="95">
        <v>0</v>
      </c>
      <c r="M559" s="95">
        <v>9</v>
      </c>
      <c r="N559" s="95">
        <v>0</v>
      </c>
      <c r="O559" s="49" t="s">
        <v>10882</v>
      </c>
    </row>
    <row r="560" spans="1:15">
      <c r="A560" s="95">
        <v>766589657993298</v>
      </c>
      <c r="B560" s="49" t="s">
        <v>10688</v>
      </c>
      <c r="C560" s="49" t="s">
        <v>769</v>
      </c>
      <c r="D560" s="49" t="s">
        <v>764</v>
      </c>
      <c r="E560" s="49">
        <v>6287778562681</v>
      </c>
      <c r="F560" s="96">
        <v>45833</v>
      </c>
      <c r="G560" s="95">
        <v>22</v>
      </c>
      <c r="H560" s="49" t="s">
        <v>12671</v>
      </c>
      <c r="I560" s="97">
        <v>28000</v>
      </c>
      <c r="J560" s="95">
        <v>2</v>
      </c>
      <c r="K560" s="102">
        <v>616</v>
      </c>
      <c r="L560" s="95">
        <v>0</v>
      </c>
      <c r="M560" s="95">
        <v>9</v>
      </c>
      <c r="N560" s="95">
        <v>0</v>
      </c>
      <c r="O560" s="49" t="s">
        <v>10882</v>
      </c>
    </row>
    <row r="561" spans="1:15">
      <c r="A561" s="95">
        <v>766589657993298</v>
      </c>
      <c r="B561" s="49" t="s">
        <v>10688</v>
      </c>
      <c r="C561" s="49" t="s">
        <v>769</v>
      </c>
      <c r="D561" s="49" t="s">
        <v>764</v>
      </c>
      <c r="E561" s="49">
        <v>6287778562681</v>
      </c>
      <c r="F561" s="96">
        <v>45833</v>
      </c>
      <c r="G561" s="95">
        <v>9</v>
      </c>
      <c r="H561" s="49" t="s">
        <v>12672</v>
      </c>
      <c r="I561" s="97">
        <v>12777.777777777779</v>
      </c>
      <c r="J561" s="95">
        <v>0</v>
      </c>
      <c r="K561" s="102">
        <v>115</v>
      </c>
      <c r="L561" s="95">
        <v>0</v>
      </c>
      <c r="M561" s="95">
        <v>4</v>
      </c>
      <c r="N561" s="95">
        <v>0</v>
      </c>
      <c r="O561" s="49" t="s">
        <v>10882</v>
      </c>
    </row>
    <row r="562" spans="1:15">
      <c r="A562" s="95">
        <v>766589657993298</v>
      </c>
      <c r="B562" s="49" t="s">
        <v>10688</v>
      </c>
      <c r="C562" s="49" t="s">
        <v>10786</v>
      </c>
      <c r="D562" s="49" t="s">
        <v>739</v>
      </c>
      <c r="E562" s="49">
        <v>628122102657</v>
      </c>
      <c r="F562" s="96">
        <v>45833</v>
      </c>
      <c r="G562" s="95">
        <v>10</v>
      </c>
      <c r="H562" s="49" t="s">
        <v>12668</v>
      </c>
      <c r="I562" s="97">
        <v>33416.666666666664</v>
      </c>
      <c r="J562" s="95">
        <v>0</v>
      </c>
      <c r="K562" s="102">
        <v>401</v>
      </c>
      <c r="L562" s="95">
        <v>0</v>
      </c>
      <c r="M562" s="95">
        <v>2</v>
      </c>
      <c r="N562" s="95">
        <v>0</v>
      </c>
      <c r="O562" s="49" t="s">
        <v>10787</v>
      </c>
    </row>
    <row r="563" spans="1:15">
      <c r="A563" s="95">
        <v>766589657993298</v>
      </c>
      <c r="B563" s="49" t="s">
        <v>10688</v>
      </c>
      <c r="C563" s="49" t="s">
        <v>10786</v>
      </c>
      <c r="D563" s="49" t="s">
        <v>739</v>
      </c>
      <c r="E563" s="49">
        <v>628122102657</v>
      </c>
      <c r="F563" s="96">
        <v>45833</v>
      </c>
      <c r="G563" s="95">
        <v>16</v>
      </c>
      <c r="H563" s="49" t="s">
        <v>12669</v>
      </c>
      <c r="I563" s="97">
        <v>39941.176470588231</v>
      </c>
      <c r="J563" s="95">
        <v>0</v>
      </c>
      <c r="K563" s="102">
        <v>679</v>
      </c>
      <c r="L563" s="95">
        <v>0</v>
      </c>
      <c r="M563" s="95">
        <v>5</v>
      </c>
      <c r="N563" s="95">
        <v>0</v>
      </c>
      <c r="O563" s="49" t="s">
        <v>10787</v>
      </c>
    </row>
    <row r="564" spans="1:15">
      <c r="A564" s="95">
        <v>766589657993298</v>
      </c>
      <c r="B564" s="49" t="s">
        <v>10688</v>
      </c>
      <c r="C564" s="49" t="s">
        <v>10786</v>
      </c>
      <c r="D564" s="49" t="s">
        <v>739</v>
      </c>
      <c r="E564" s="49">
        <v>628122102657</v>
      </c>
      <c r="F564" s="96">
        <v>45833</v>
      </c>
      <c r="G564" s="95">
        <v>7</v>
      </c>
      <c r="H564" s="49" t="s">
        <v>12670</v>
      </c>
      <c r="I564" s="97">
        <v>11250</v>
      </c>
      <c r="J564" s="95">
        <v>0</v>
      </c>
      <c r="K564" s="102">
        <v>90</v>
      </c>
      <c r="L564" s="95">
        <v>0</v>
      </c>
      <c r="M564" s="95">
        <v>2</v>
      </c>
      <c r="N564" s="95">
        <v>0</v>
      </c>
      <c r="O564" s="49" t="s">
        <v>10787</v>
      </c>
    </row>
    <row r="565" spans="1:15">
      <c r="A565" s="95">
        <v>766589657993298</v>
      </c>
      <c r="B565" s="49" t="s">
        <v>10688</v>
      </c>
      <c r="C565" s="49" t="s">
        <v>10786</v>
      </c>
      <c r="D565" s="49" t="s">
        <v>739</v>
      </c>
      <c r="E565" s="49">
        <v>628122102657</v>
      </c>
      <c r="F565" s="96">
        <v>45833</v>
      </c>
      <c r="G565" s="95">
        <v>14</v>
      </c>
      <c r="H565" s="49" t="s">
        <v>12671</v>
      </c>
      <c r="I565" s="97">
        <v>12285.714285714286</v>
      </c>
      <c r="J565" s="95">
        <v>0</v>
      </c>
      <c r="K565" s="102">
        <v>172</v>
      </c>
      <c r="L565" s="95">
        <v>0</v>
      </c>
      <c r="M565" s="95">
        <v>5</v>
      </c>
      <c r="N565" s="95">
        <v>0</v>
      </c>
      <c r="O565" s="49" t="s">
        <v>10787</v>
      </c>
    </row>
    <row r="566" spans="1:15">
      <c r="A566" s="95">
        <v>766589657993298</v>
      </c>
      <c r="B566" s="49" t="s">
        <v>10688</v>
      </c>
      <c r="C566" s="49" t="s">
        <v>10786</v>
      </c>
      <c r="D566" s="49" t="s">
        <v>739</v>
      </c>
      <c r="E566" s="49">
        <v>628122102657</v>
      </c>
      <c r="F566" s="96">
        <v>45833</v>
      </c>
      <c r="G566" s="95">
        <v>1</v>
      </c>
      <c r="H566" s="49" t="s">
        <v>12672</v>
      </c>
      <c r="I566" s="97">
        <v>6000</v>
      </c>
      <c r="J566" s="95">
        <v>0</v>
      </c>
      <c r="K566" s="102">
        <v>6</v>
      </c>
      <c r="L566" s="95">
        <v>0</v>
      </c>
      <c r="M566" s="95">
        <v>0</v>
      </c>
      <c r="N566" s="95">
        <v>0</v>
      </c>
      <c r="O566" s="49" t="s">
        <v>10787</v>
      </c>
    </row>
    <row r="567" spans="1:15">
      <c r="A567" s="95">
        <v>766589657993298</v>
      </c>
      <c r="B567" s="49" t="s">
        <v>10688</v>
      </c>
      <c r="C567" s="49" t="s">
        <v>10762</v>
      </c>
      <c r="D567" s="49" t="s">
        <v>10763</v>
      </c>
      <c r="E567" s="49">
        <v>6285210107607</v>
      </c>
      <c r="F567" s="96">
        <v>45833</v>
      </c>
      <c r="G567" s="95">
        <v>12</v>
      </c>
      <c r="H567" s="49" t="s">
        <v>12667</v>
      </c>
      <c r="I567" s="97">
        <v>14384.615384615385</v>
      </c>
      <c r="J567" s="95">
        <v>0</v>
      </c>
      <c r="K567" s="102">
        <v>187</v>
      </c>
      <c r="L567" s="95">
        <v>0</v>
      </c>
      <c r="M567" s="95">
        <v>2</v>
      </c>
      <c r="N567" s="95">
        <v>0</v>
      </c>
      <c r="O567" s="49" t="s">
        <v>10764</v>
      </c>
    </row>
    <row r="568" spans="1:15">
      <c r="A568" s="95">
        <v>766589657993298</v>
      </c>
      <c r="B568" s="49" t="s">
        <v>10688</v>
      </c>
      <c r="C568" s="49" t="s">
        <v>10762</v>
      </c>
      <c r="D568" s="49" t="s">
        <v>10763</v>
      </c>
      <c r="E568" s="49">
        <v>6285210107607</v>
      </c>
      <c r="F568" s="96">
        <v>45833</v>
      </c>
      <c r="G568" s="95">
        <v>43</v>
      </c>
      <c r="H568" s="49" t="s">
        <v>12668</v>
      </c>
      <c r="I568" s="97">
        <v>12227.272727272726</v>
      </c>
      <c r="J568" s="95">
        <v>2</v>
      </c>
      <c r="K568" s="102">
        <v>538</v>
      </c>
      <c r="L568" s="95">
        <v>0</v>
      </c>
      <c r="M568" s="95">
        <v>8</v>
      </c>
      <c r="N568" s="95">
        <v>0</v>
      </c>
      <c r="O568" s="49" t="s">
        <v>10764</v>
      </c>
    </row>
    <row r="569" spans="1:15">
      <c r="A569" s="95">
        <v>766589657993298</v>
      </c>
      <c r="B569" s="49" t="s">
        <v>10688</v>
      </c>
      <c r="C569" s="49" t="s">
        <v>10762</v>
      </c>
      <c r="D569" s="49" t="s">
        <v>10763</v>
      </c>
      <c r="E569" s="49">
        <v>6285210107607</v>
      </c>
      <c r="F569" s="96">
        <v>45833</v>
      </c>
      <c r="G569" s="95">
        <v>48</v>
      </c>
      <c r="H569" s="49" t="s">
        <v>12669</v>
      </c>
      <c r="I569" s="97">
        <v>17561.403508771931</v>
      </c>
      <c r="J569" s="95">
        <v>1</v>
      </c>
      <c r="K569" s="102">
        <v>1001</v>
      </c>
      <c r="L569" s="95">
        <v>0</v>
      </c>
      <c r="M569" s="95">
        <v>11</v>
      </c>
      <c r="N569" s="95">
        <v>0</v>
      </c>
      <c r="O569" s="49" t="s">
        <v>10764</v>
      </c>
    </row>
    <row r="570" spans="1:15">
      <c r="A570" s="95">
        <v>766589657993298</v>
      </c>
      <c r="B570" s="49" t="s">
        <v>10688</v>
      </c>
      <c r="C570" s="49" t="s">
        <v>10762</v>
      </c>
      <c r="D570" s="49" t="s">
        <v>10763</v>
      </c>
      <c r="E570" s="49">
        <v>6285210107607</v>
      </c>
      <c r="F570" s="96">
        <v>45833</v>
      </c>
      <c r="G570" s="95">
        <v>46</v>
      </c>
      <c r="H570" s="49" t="s">
        <v>12670</v>
      </c>
      <c r="I570" s="97">
        <v>12347.826086956522</v>
      </c>
      <c r="J570" s="95">
        <v>0</v>
      </c>
      <c r="K570" s="102">
        <v>568</v>
      </c>
      <c r="L570" s="95">
        <v>0</v>
      </c>
      <c r="M570" s="95">
        <v>11</v>
      </c>
      <c r="N570" s="95">
        <v>0</v>
      </c>
      <c r="O570" s="49" t="s">
        <v>10764</v>
      </c>
    </row>
    <row r="571" spans="1:15">
      <c r="A571" s="95">
        <v>766589657993298</v>
      </c>
      <c r="B571" s="49" t="s">
        <v>10688</v>
      </c>
      <c r="C571" s="49" t="s">
        <v>10762</v>
      </c>
      <c r="D571" s="49" t="s">
        <v>10763</v>
      </c>
      <c r="E571" s="49">
        <v>6285210107607</v>
      </c>
      <c r="F571" s="96">
        <v>45833</v>
      </c>
      <c r="G571" s="95">
        <v>26</v>
      </c>
      <c r="H571" s="49" t="s">
        <v>12671</v>
      </c>
      <c r="I571" s="97">
        <v>26538.461538461539</v>
      </c>
      <c r="J571" s="95">
        <v>0</v>
      </c>
      <c r="K571" s="102">
        <v>690</v>
      </c>
      <c r="L571" s="95">
        <v>0</v>
      </c>
      <c r="M571" s="95">
        <v>7</v>
      </c>
      <c r="N571" s="95">
        <v>0</v>
      </c>
      <c r="O571" s="49" t="s">
        <v>10764</v>
      </c>
    </row>
    <row r="572" spans="1:15">
      <c r="A572" s="95">
        <v>766589657993298</v>
      </c>
      <c r="B572" s="49" t="s">
        <v>10688</v>
      </c>
      <c r="C572" s="49" t="s">
        <v>10762</v>
      </c>
      <c r="D572" s="49" t="s">
        <v>10763</v>
      </c>
      <c r="E572" s="49">
        <v>6285210107607</v>
      </c>
      <c r="F572" s="96">
        <v>45833</v>
      </c>
      <c r="G572" s="95">
        <v>6</v>
      </c>
      <c r="H572" s="49" t="s">
        <v>12672</v>
      </c>
      <c r="I572" s="97">
        <v>93000</v>
      </c>
      <c r="J572" s="95">
        <v>0</v>
      </c>
      <c r="K572" s="102">
        <v>558</v>
      </c>
      <c r="L572" s="95">
        <v>0</v>
      </c>
      <c r="M572" s="95">
        <v>4</v>
      </c>
      <c r="N572" s="95">
        <v>0</v>
      </c>
      <c r="O572" s="49" t="s">
        <v>10764</v>
      </c>
    </row>
    <row r="573" spans="1:15">
      <c r="A573" s="95">
        <v>206726568613432</v>
      </c>
      <c r="B573" s="49" t="s">
        <v>10900</v>
      </c>
      <c r="C573" s="49" t="s">
        <v>10901</v>
      </c>
      <c r="D573" s="49" t="s">
        <v>10902</v>
      </c>
      <c r="E573" s="49">
        <v>6282194694492</v>
      </c>
      <c r="F573" s="96">
        <v>45833</v>
      </c>
      <c r="G573" s="95">
        <v>16</v>
      </c>
      <c r="H573" s="49" t="s">
        <v>12668</v>
      </c>
      <c r="I573" s="97">
        <v>11705.882352941177</v>
      </c>
      <c r="J573" s="95">
        <v>0</v>
      </c>
      <c r="K573" s="102">
        <v>199</v>
      </c>
      <c r="L573" s="95">
        <v>0</v>
      </c>
      <c r="M573" s="95">
        <v>2</v>
      </c>
      <c r="N573" s="95">
        <v>0</v>
      </c>
      <c r="O573" s="49" t="s">
        <v>10903</v>
      </c>
    </row>
    <row r="574" spans="1:15">
      <c r="A574" s="95">
        <v>206726568613432</v>
      </c>
      <c r="B574" s="49" t="s">
        <v>10900</v>
      </c>
      <c r="C574" s="49" t="s">
        <v>10901</v>
      </c>
      <c r="D574" s="49" t="s">
        <v>10902</v>
      </c>
      <c r="E574" s="49">
        <v>6282194694492</v>
      </c>
      <c r="F574" s="96">
        <v>45833</v>
      </c>
      <c r="G574" s="95">
        <v>49</v>
      </c>
      <c r="H574" s="49" t="s">
        <v>12669</v>
      </c>
      <c r="I574" s="97">
        <v>12019.607843137255</v>
      </c>
      <c r="J574" s="95">
        <v>0</v>
      </c>
      <c r="K574" s="102">
        <v>613</v>
      </c>
      <c r="L574" s="95">
        <v>0</v>
      </c>
      <c r="M574" s="95">
        <v>10</v>
      </c>
      <c r="N574" s="95">
        <v>0</v>
      </c>
      <c r="O574" s="49" t="s">
        <v>10903</v>
      </c>
    </row>
    <row r="575" spans="1:15">
      <c r="A575" s="95">
        <v>206726568613432</v>
      </c>
      <c r="B575" s="49" t="s">
        <v>10900</v>
      </c>
      <c r="C575" s="49" t="s">
        <v>10901</v>
      </c>
      <c r="D575" s="49" t="s">
        <v>10902</v>
      </c>
      <c r="E575" s="49">
        <v>6282194694492</v>
      </c>
      <c r="F575" s="96">
        <v>45833</v>
      </c>
      <c r="G575" s="95">
        <v>42</v>
      </c>
      <c r="H575" s="49" t="s">
        <v>12670</v>
      </c>
      <c r="I575" s="97">
        <v>18090.909090909088</v>
      </c>
      <c r="J575" s="95">
        <v>2</v>
      </c>
      <c r="K575" s="102">
        <v>796</v>
      </c>
      <c r="L575" s="95">
        <v>0</v>
      </c>
      <c r="M575" s="95">
        <v>15</v>
      </c>
      <c r="N575" s="95">
        <v>0</v>
      </c>
      <c r="O575" s="49" t="s">
        <v>10903</v>
      </c>
    </row>
    <row r="576" spans="1:15">
      <c r="A576" s="95">
        <v>206726568613432</v>
      </c>
      <c r="B576" s="49" t="s">
        <v>10900</v>
      </c>
      <c r="C576" s="49" t="s">
        <v>10901</v>
      </c>
      <c r="D576" s="49" t="s">
        <v>10902</v>
      </c>
      <c r="E576" s="49">
        <v>6282194694492</v>
      </c>
      <c r="F576" s="96">
        <v>45833</v>
      </c>
      <c r="G576" s="95">
        <v>2</v>
      </c>
      <c r="H576" s="49" t="s">
        <v>12671</v>
      </c>
      <c r="I576" s="97">
        <v>70000</v>
      </c>
      <c r="J576" s="95">
        <v>1</v>
      </c>
      <c r="K576" s="102">
        <v>140</v>
      </c>
      <c r="L576" s="95">
        <v>0</v>
      </c>
      <c r="M576" s="95">
        <v>1</v>
      </c>
      <c r="N576" s="95">
        <v>0</v>
      </c>
      <c r="O576" s="49" t="s">
        <v>10903</v>
      </c>
    </row>
    <row r="577" spans="1:15">
      <c r="A577" s="95">
        <v>759724529202804</v>
      </c>
      <c r="B577" s="49" t="s">
        <v>10621</v>
      </c>
      <c r="C577" s="49" t="s">
        <v>10925</v>
      </c>
      <c r="D577" s="49" t="s">
        <v>10926</v>
      </c>
      <c r="E577" s="49">
        <v>6281233038880</v>
      </c>
      <c r="F577" s="96">
        <v>45833</v>
      </c>
      <c r="G577" s="95">
        <v>2</v>
      </c>
      <c r="H577" s="49" t="s">
        <v>12667</v>
      </c>
      <c r="I577" s="97">
        <v>11500</v>
      </c>
      <c r="J577" s="95">
        <v>0</v>
      </c>
      <c r="K577" s="102">
        <v>23</v>
      </c>
      <c r="L577" s="95">
        <v>0</v>
      </c>
      <c r="M577" s="95">
        <v>0</v>
      </c>
      <c r="N577" s="95">
        <v>0</v>
      </c>
      <c r="O577" s="49" t="s">
        <v>10927</v>
      </c>
    </row>
    <row r="578" spans="1:15">
      <c r="A578" s="95">
        <v>759724529202804</v>
      </c>
      <c r="B578" s="49" t="s">
        <v>10621</v>
      </c>
      <c r="C578" s="49" t="s">
        <v>10925</v>
      </c>
      <c r="D578" s="49" t="s">
        <v>10926</v>
      </c>
      <c r="E578" s="49">
        <v>6281233038880</v>
      </c>
      <c r="F578" s="96">
        <v>45833</v>
      </c>
      <c r="G578" s="95">
        <v>12</v>
      </c>
      <c r="H578" s="49" t="s">
        <v>12668</v>
      </c>
      <c r="I578" s="97">
        <v>41750</v>
      </c>
      <c r="J578" s="95">
        <v>0</v>
      </c>
      <c r="K578" s="102">
        <v>501</v>
      </c>
      <c r="L578" s="95">
        <v>0</v>
      </c>
      <c r="M578" s="95">
        <v>0</v>
      </c>
      <c r="N578" s="95">
        <v>0</v>
      </c>
      <c r="O578" s="49" t="s">
        <v>10927</v>
      </c>
    </row>
    <row r="579" spans="1:15">
      <c r="A579" s="95">
        <v>759724529202804</v>
      </c>
      <c r="B579" s="49" t="s">
        <v>10621</v>
      </c>
      <c r="C579" s="49" t="s">
        <v>10925</v>
      </c>
      <c r="D579" s="49" t="s">
        <v>10926</v>
      </c>
      <c r="E579" s="49">
        <v>6281233038880</v>
      </c>
      <c r="F579" s="96">
        <v>45833</v>
      </c>
      <c r="G579" s="95">
        <v>15</v>
      </c>
      <c r="H579" s="49" t="s">
        <v>12669</v>
      </c>
      <c r="I579" s="97">
        <v>58125</v>
      </c>
      <c r="J579" s="95">
        <v>1</v>
      </c>
      <c r="K579" s="102">
        <v>930</v>
      </c>
      <c r="L579" s="95">
        <v>0</v>
      </c>
      <c r="M579" s="95">
        <v>0</v>
      </c>
      <c r="N579" s="95">
        <v>0</v>
      </c>
      <c r="O579" s="49" t="s">
        <v>10927</v>
      </c>
    </row>
    <row r="580" spans="1:15">
      <c r="A580" s="95">
        <v>759724529202804</v>
      </c>
      <c r="B580" s="49" t="s">
        <v>10621</v>
      </c>
      <c r="C580" s="49" t="s">
        <v>10925</v>
      </c>
      <c r="D580" s="49" t="s">
        <v>10926</v>
      </c>
      <c r="E580" s="49">
        <v>6281233038880</v>
      </c>
      <c r="F580" s="96">
        <v>45833</v>
      </c>
      <c r="G580" s="95">
        <v>9</v>
      </c>
      <c r="H580" s="49" t="s">
        <v>12670</v>
      </c>
      <c r="I580" s="97">
        <v>205333.33333333334</v>
      </c>
      <c r="J580" s="95">
        <v>0</v>
      </c>
      <c r="K580" s="102">
        <v>1848</v>
      </c>
      <c r="L580" s="95">
        <v>0</v>
      </c>
      <c r="M580" s="95">
        <v>0</v>
      </c>
      <c r="N580" s="95">
        <v>0</v>
      </c>
      <c r="O580" s="49" t="s">
        <v>10927</v>
      </c>
    </row>
    <row r="581" spans="1:15">
      <c r="A581" s="95">
        <v>759724529202804</v>
      </c>
      <c r="B581" s="49" t="s">
        <v>10621</v>
      </c>
      <c r="C581" s="49" t="s">
        <v>10925</v>
      </c>
      <c r="D581" s="49" t="s">
        <v>10926</v>
      </c>
      <c r="E581" s="49">
        <v>6281233038880</v>
      </c>
      <c r="F581" s="96">
        <v>45833</v>
      </c>
      <c r="G581" s="95">
        <v>11</v>
      </c>
      <c r="H581" s="49" t="s">
        <v>12671</v>
      </c>
      <c r="I581" s="97">
        <v>74363.636363636353</v>
      </c>
      <c r="J581" s="95">
        <v>0</v>
      </c>
      <c r="K581" s="102">
        <v>818</v>
      </c>
      <c r="L581" s="95">
        <v>0</v>
      </c>
      <c r="M581" s="95">
        <v>0</v>
      </c>
      <c r="N581" s="95">
        <v>0</v>
      </c>
      <c r="O581" s="49" t="s">
        <v>10927</v>
      </c>
    </row>
    <row r="582" spans="1:15">
      <c r="A582" s="95">
        <v>759724529202804</v>
      </c>
      <c r="B582" s="49" t="s">
        <v>10621</v>
      </c>
      <c r="C582" s="49" t="s">
        <v>10925</v>
      </c>
      <c r="D582" s="49" t="s">
        <v>10926</v>
      </c>
      <c r="E582" s="49">
        <v>6281233038880</v>
      </c>
      <c r="F582" s="96">
        <v>45833</v>
      </c>
      <c r="G582" s="95">
        <v>3</v>
      </c>
      <c r="H582" s="49" t="s">
        <v>12672</v>
      </c>
      <c r="I582" s="97">
        <v>35000</v>
      </c>
      <c r="J582" s="95">
        <v>0</v>
      </c>
      <c r="K582" s="102">
        <v>105</v>
      </c>
      <c r="L582" s="95">
        <v>0</v>
      </c>
      <c r="M582" s="95">
        <v>0</v>
      </c>
      <c r="N582" s="95">
        <v>0</v>
      </c>
      <c r="O582" s="49" t="s">
        <v>10927</v>
      </c>
    </row>
    <row r="583" spans="1:15">
      <c r="A583" s="95">
        <v>759724529202804</v>
      </c>
      <c r="B583" s="49" t="s">
        <v>10621</v>
      </c>
      <c r="C583" s="49" t="s">
        <v>10928</v>
      </c>
      <c r="D583" s="49" t="s">
        <v>1112</v>
      </c>
      <c r="E583" s="49">
        <v>6285777110340</v>
      </c>
      <c r="F583" s="96">
        <v>45833</v>
      </c>
      <c r="G583" s="95">
        <v>14</v>
      </c>
      <c r="H583" s="49" t="s">
        <v>12667</v>
      </c>
      <c r="I583" s="97">
        <v>23571.428571428572</v>
      </c>
      <c r="J583" s="95">
        <v>0</v>
      </c>
      <c r="K583" s="102">
        <v>330</v>
      </c>
      <c r="L583" s="95">
        <v>0</v>
      </c>
      <c r="M583" s="95">
        <v>0</v>
      </c>
      <c r="N583" s="95">
        <v>0</v>
      </c>
      <c r="O583" s="49" t="s">
        <v>10929</v>
      </c>
    </row>
    <row r="584" spans="1:15">
      <c r="A584" s="95">
        <v>759724529202804</v>
      </c>
      <c r="B584" s="49" t="s">
        <v>10621</v>
      </c>
      <c r="C584" s="49" t="s">
        <v>10928</v>
      </c>
      <c r="D584" s="49" t="s">
        <v>1112</v>
      </c>
      <c r="E584" s="49">
        <v>6285777110340</v>
      </c>
      <c r="F584" s="96">
        <v>45833</v>
      </c>
      <c r="G584" s="95">
        <v>35</v>
      </c>
      <c r="H584" s="49" t="s">
        <v>12668</v>
      </c>
      <c r="I584" s="97">
        <v>104351.35135135136</v>
      </c>
      <c r="J584" s="95">
        <v>1</v>
      </c>
      <c r="K584" s="102">
        <v>3861</v>
      </c>
      <c r="L584" s="95">
        <v>0</v>
      </c>
      <c r="M584" s="95">
        <v>0</v>
      </c>
      <c r="N584" s="95">
        <v>0</v>
      </c>
      <c r="O584" s="49" t="s">
        <v>10929</v>
      </c>
    </row>
    <row r="585" spans="1:15">
      <c r="A585" s="95">
        <v>759724529202804</v>
      </c>
      <c r="B585" s="49" t="s">
        <v>10621</v>
      </c>
      <c r="C585" s="49" t="s">
        <v>10928</v>
      </c>
      <c r="D585" s="49" t="s">
        <v>1112</v>
      </c>
      <c r="E585" s="49">
        <v>6285777110340</v>
      </c>
      <c r="F585" s="96">
        <v>45833</v>
      </c>
      <c r="G585" s="95">
        <v>46</v>
      </c>
      <c r="H585" s="49" t="s">
        <v>12669</v>
      </c>
      <c r="I585" s="97">
        <v>20692.307692307695</v>
      </c>
      <c r="J585" s="95">
        <v>1</v>
      </c>
      <c r="K585" s="102">
        <v>1076</v>
      </c>
      <c r="L585" s="95">
        <v>0</v>
      </c>
      <c r="M585" s="95">
        <v>0</v>
      </c>
      <c r="N585" s="95">
        <v>0</v>
      </c>
      <c r="O585" s="49" t="s">
        <v>10929</v>
      </c>
    </row>
    <row r="586" spans="1:15">
      <c r="A586" s="95">
        <v>759724529202804</v>
      </c>
      <c r="B586" s="49" t="s">
        <v>10621</v>
      </c>
      <c r="C586" s="49" t="s">
        <v>10928</v>
      </c>
      <c r="D586" s="49" t="s">
        <v>1112</v>
      </c>
      <c r="E586" s="49">
        <v>6285777110340</v>
      </c>
      <c r="F586" s="96">
        <v>45833</v>
      </c>
      <c r="G586" s="95">
        <v>14</v>
      </c>
      <c r="H586" s="49" t="s">
        <v>12670</v>
      </c>
      <c r="I586" s="97">
        <v>31500</v>
      </c>
      <c r="J586" s="95">
        <v>0</v>
      </c>
      <c r="K586" s="102">
        <v>441</v>
      </c>
      <c r="L586" s="95">
        <v>0</v>
      </c>
      <c r="M586" s="95">
        <v>0</v>
      </c>
      <c r="N586" s="95">
        <v>0</v>
      </c>
      <c r="O586" s="49" t="s">
        <v>10929</v>
      </c>
    </row>
    <row r="587" spans="1:15">
      <c r="A587" s="95">
        <v>759724529202804</v>
      </c>
      <c r="B587" s="49" t="s">
        <v>10621</v>
      </c>
      <c r="C587" s="49" t="s">
        <v>10928</v>
      </c>
      <c r="D587" s="49" t="s">
        <v>1112</v>
      </c>
      <c r="E587" s="49">
        <v>6285777110340</v>
      </c>
      <c r="F587" s="96">
        <v>45833</v>
      </c>
      <c r="G587" s="95">
        <v>1</v>
      </c>
      <c r="H587" s="49" t="s">
        <v>12672</v>
      </c>
      <c r="I587" s="97">
        <v>2000</v>
      </c>
      <c r="J587" s="95">
        <v>0</v>
      </c>
      <c r="K587" s="102">
        <v>2</v>
      </c>
      <c r="L587" s="95">
        <v>0</v>
      </c>
      <c r="M587" s="95">
        <v>0</v>
      </c>
      <c r="N587" s="95">
        <v>0</v>
      </c>
      <c r="O587" s="49" t="s">
        <v>10929</v>
      </c>
    </row>
    <row r="588" spans="1:15">
      <c r="A588" s="95">
        <v>759724529202804</v>
      </c>
      <c r="B588" s="49" t="s">
        <v>10621</v>
      </c>
      <c r="C588" s="49" t="s">
        <v>10904</v>
      </c>
      <c r="D588" s="49" t="s">
        <v>10905</v>
      </c>
      <c r="E588" s="49">
        <v>6285711667433</v>
      </c>
      <c r="F588" s="96">
        <v>45833</v>
      </c>
      <c r="G588" s="95">
        <v>9</v>
      </c>
      <c r="H588" s="49" t="s">
        <v>12667</v>
      </c>
      <c r="I588" s="97">
        <v>10700</v>
      </c>
      <c r="J588" s="95">
        <v>0</v>
      </c>
      <c r="K588" s="102">
        <v>107</v>
      </c>
      <c r="L588" s="95">
        <v>0</v>
      </c>
      <c r="M588" s="95">
        <v>5</v>
      </c>
      <c r="N588" s="95">
        <v>0</v>
      </c>
      <c r="O588" s="49" t="s">
        <v>10906</v>
      </c>
    </row>
    <row r="589" spans="1:15">
      <c r="A589" s="95">
        <v>759724529202804</v>
      </c>
      <c r="B589" s="49" t="s">
        <v>10621</v>
      </c>
      <c r="C589" s="49" t="s">
        <v>10904</v>
      </c>
      <c r="D589" s="49" t="s">
        <v>10905</v>
      </c>
      <c r="E589" s="49">
        <v>6285711667433</v>
      </c>
      <c r="F589" s="96">
        <v>45833</v>
      </c>
      <c r="G589" s="95">
        <v>48</v>
      </c>
      <c r="H589" s="49" t="s">
        <v>12668</v>
      </c>
      <c r="I589" s="97">
        <v>5800</v>
      </c>
      <c r="J589" s="95">
        <v>0</v>
      </c>
      <c r="K589" s="102">
        <v>290</v>
      </c>
      <c r="L589" s="95">
        <v>0</v>
      </c>
      <c r="M589" s="95">
        <v>16</v>
      </c>
      <c r="N589" s="95">
        <v>0</v>
      </c>
      <c r="O589" s="49" t="s">
        <v>10906</v>
      </c>
    </row>
    <row r="590" spans="1:15">
      <c r="A590" s="95">
        <v>759724529202804</v>
      </c>
      <c r="B590" s="49" t="s">
        <v>10621</v>
      </c>
      <c r="C590" s="49" t="s">
        <v>10904</v>
      </c>
      <c r="D590" s="49" t="s">
        <v>10905</v>
      </c>
      <c r="E590" s="49">
        <v>6285711667433</v>
      </c>
      <c r="F590" s="96">
        <v>45833</v>
      </c>
      <c r="G590" s="95">
        <v>135</v>
      </c>
      <c r="H590" s="49" t="s">
        <v>12669</v>
      </c>
      <c r="I590" s="97">
        <v>7195.8041958041958</v>
      </c>
      <c r="J590" s="95">
        <v>1</v>
      </c>
      <c r="K590" s="102">
        <v>1029</v>
      </c>
      <c r="L590" s="95">
        <v>0</v>
      </c>
      <c r="M590" s="95">
        <v>37</v>
      </c>
      <c r="N590" s="95">
        <v>0</v>
      </c>
      <c r="O590" s="49" t="s">
        <v>10906</v>
      </c>
    </row>
    <row r="591" spans="1:15">
      <c r="A591" s="95">
        <v>759724529202804</v>
      </c>
      <c r="B591" s="49" t="s">
        <v>10621</v>
      </c>
      <c r="C591" s="49" t="s">
        <v>10904</v>
      </c>
      <c r="D591" s="49" t="s">
        <v>10905</v>
      </c>
      <c r="E591" s="49">
        <v>6285711667433</v>
      </c>
      <c r="F591" s="96">
        <v>45833</v>
      </c>
      <c r="G591" s="95">
        <v>105</v>
      </c>
      <c r="H591" s="49" t="s">
        <v>12670</v>
      </c>
      <c r="I591" s="97">
        <v>8831.7757009345805</v>
      </c>
      <c r="J591" s="95">
        <v>4</v>
      </c>
      <c r="K591" s="102">
        <v>945</v>
      </c>
      <c r="L591" s="95">
        <v>0</v>
      </c>
      <c r="M591" s="95">
        <v>24</v>
      </c>
      <c r="N591" s="95">
        <v>0</v>
      </c>
      <c r="O591" s="49" t="s">
        <v>10906</v>
      </c>
    </row>
    <row r="592" spans="1:15">
      <c r="A592" s="95">
        <v>759724529202804</v>
      </c>
      <c r="B592" s="49" t="s">
        <v>10621</v>
      </c>
      <c r="C592" s="49" t="s">
        <v>10904</v>
      </c>
      <c r="D592" s="49" t="s">
        <v>10905</v>
      </c>
      <c r="E592" s="49">
        <v>6285711667433</v>
      </c>
      <c r="F592" s="96">
        <v>45833</v>
      </c>
      <c r="G592" s="95">
        <v>19</v>
      </c>
      <c r="H592" s="49" t="s">
        <v>12671</v>
      </c>
      <c r="I592" s="97">
        <v>9476.1904761904771</v>
      </c>
      <c r="J592" s="95">
        <v>1</v>
      </c>
      <c r="K592" s="102">
        <v>199</v>
      </c>
      <c r="L592" s="95">
        <v>0</v>
      </c>
      <c r="M592" s="95">
        <v>9</v>
      </c>
      <c r="N592" s="95">
        <v>0</v>
      </c>
      <c r="O592" s="49" t="s">
        <v>10906</v>
      </c>
    </row>
    <row r="593" spans="1:15">
      <c r="A593" s="95">
        <v>759724529202804</v>
      </c>
      <c r="B593" s="49" t="s">
        <v>10621</v>
      </c>
      <c r="C593" s="49" t="s">
        <v>10925</v>
      </c>
      <c r="D593" s="49" t="s">
        <v>10926</v>
      </c>
      <c r="E593" s="49">
        <v>6281233038880</v>
      </c>
      <c r="F593" s="96">
        <v>45833</v>
      </c>
      <c r="G593" s="95">
        <v>2</v>
      </c>
      <c r="H593" s="49" t="s">
        <v>12667</v>
      </c>
      <c r="I593" s="97">
        <v>11500</v>
      </c>
      <c r="J593" s="95">
        <v>0</v>
      </c>
      <c r="K593" s="102">
        <v>23</v>
      </c>
      <c r="L593" s="95">
        <v>0</v>
      </c>
      <c r="M593" s="95">
        <v>0</v>
      </c>
      <c r="N593" s="95">
        <v>0</v>
      </c>
      <c r="O593" s="49" t="s">
        <v>10927</v>
      </c>
    </row>
    <row r="594" spans="1:15">
      <c r="A594" s="95">
        <v>759724529202804</v>
      </c>
      <c r="B594" s="49" t="s">
        <v>10621</v>
      </c>
      <c r="C594" s="49" t="s">
        <v>10925</v>
      </c>
      <c r="D594" s="49" t="s">
        <v>10926</v>
      </c>
      <c r="E594" s="49">
        <v>6281233038880</v>
      </c>
      <c r="F594" s="96">
        <v>45833</v>
      </c>
      <c r="G594" s="95">
        <v>12</v>
      </c>
      <c r="H594" s="49" t="s">
        <v>12668</v>
      </c>
      <c r="I594" s="97">
        <v>41750</v>
      </c>
      <c r="J594" s="95">
        <v>0</v>
      </c>
      <c r="K594" s="102">
        <v>501</v>
      </c>
      <c r="L594" s="95">
        <v>0</v>
      </c>
      <c r="M594" s="95">
        <v>0</v>
      </c>
      <c r="N594" s="95">
        <v>0</v>
      </c>
      <c r="O594" s="49" t="s">
        <v>10927</v>
      </c>
    </row>
    <row r="595" spans="1:15">
      <c r="A595" s="95">
        <v>759724529202804</v>
      </c>
      <c r="B595" s="49" t="s">
        <v>10621</v>
      </c>
      <c r="C595" s="49" t="s">
        <v>10925</v>
      </c>
      <c r="D595" s="49" t="s">
        <v>10926</v>
      </c>
      <c r="E595" s="49">
        <v>6281233038880</v>
      </c>
      <c r="F595" s="96">
        <v>45833</v>
      </c>
      <c r="G595" s="95">
        <v>15</v>
      </c>
      <c r="H595" s="49" t="s">
        <v>12669</v>
      </c>
      <c r="I595" s="97">
        <v>58125</v>
      </c>
      <c r="J595" s="95">
        <v>1</v>
      </c>
      <c r="K595" s="102">
        <v>930</v>
      </c>
      <c r="L595" s="95">
        <v>0</v>
      </c>
      <c r="M595" s="95">
        <v>0</v>
      </c>
      <c r="N595" s="95">
        <v>0</v>
      </c>
      <c r="O595" s="49" t="s">
        <v>10927</v>
      </c>
    </row>
    <row r="596" spans="1:15">
      <c r="A596" s="95">
        <v>759724529202804</v>
      </c>
      <c r="B596" s="49" t="s">
        <v>10621</v>
      </c>
      <c r="C596" s="49" t="s">
        <v>10925</v>
      </c>
      <c r="D596" s="49" t="s">
        <v>10926</v>
      </c>
      <c r="E596" s="49">
        <v>6281233038880</v>
      </c>
      <c r="F596" s="96">
        <v>45833</v>
      </c>
      <c r="G596" s="95">
        <v>9</v>
      </c>
      <c r="H596" s="49" t="s">
        <v>12670</v>
      </c>
      <c r="I596" s="97">
        <v>205333.33333333334</v>
      </c>
      <c r="J596" s="95">
        <v>0</v>
      </c>
      <c r="K596" s="102">
        <v>1848</v>
      </c>
      <c r="L596" s="95">
        <v>0</v>
      </c>
      <c r="M596" s="95">
        <v>0</v>
      </c>
      <c r="N596" s="95">
        <v>0</v>
      </c>
      <c r="O596" s="49" t="s">
        <v>10927</v>
      </c>
    </row>
    <row r="597" spans="1:15">
      <c r="A597" s="95">
        <v>759724529202804</v>
      </c>
      <c r="B597" s="49" t="s">
        <v>10621</v>
      </c>
      <c r="C597" s="49" t="s">
        <v>10925</v>
      </c>
      <c r="D597" s="49" t="s">
        <v>10926</v>
      </c>
      <c r="E597" s="49">
        <v>6281233038880</v>
      </c>
      <c r="F597" s="96">
        <v>45833</v>
      </c>
      <c r="G597" s="95">
        <v>11</v>
      </c>
      <c r="H597" s="49" t="s">
        <v>12671</v>
      </c>
      <c r="I597" s="97">
        <v>74363.636363636353</v>
      </c>
      <c r="J597" s="95">
        <v>0</v>
      </c>
      <c r="K597" s="102">
        <v>818</v>
      </c>
      <c r="L597" s="95">
        <v>0</v>
      </c>
      <c r="M597" s="95">
        <v>0</v>
      </c>
      <c r="N597" s="95">
        <v>0</v>
      </c>
      <c r="O597" s="49" t="s">
        <v>10927</v>
      </c>
    </row>
    <row r="598" spans="1:15">
      <c r="A598" s="95">
        <v>759724529202804</v>
      </c>
      <c r="B598" s="49" t="s">
        <v>10621</v>
      </c>
      <c r="C598" s="49" t="s">
        <v>10925</v>
      </c>
      <c r="D598" s="49" t="s">
        <v>10926</v>
      </c>
      <c r="E598" s="49">
        <v>6281233038880</v>
      </c>
      <c r="F598" s="96">
        <v>45833</v>
      </c>
      <c r="G598" s="95">
        <v>3</v>
      </c>
      <c r="H598" s="49" t="s">
        <v>12672</v>
      </c>
      <c r="I598" s="97">
        <v>35000</v>
      </c>
      <c r="J598" s="95">
        <v>0</v>
      </c>
      <c r="K598" s="102">
        <v>105</v>
      </c>
      <c r="L598" s="95">
        <v>0</v>
      </c>
      <c r="M598" s="95">
        <v>0</v>
      </c>
      <c r="N598" s="95">
        <v>0</v>
      </c>
      <c r="O598" s="49" t="s">
        <v>10927</v>
      </c>
    </row>
    <row r="599" spans="1:15">
      <c r="A599" s="95">
        <v>759724529202804</v>
      </c>
      <c r="B599" s="49" t="s">
        <v>10621</v>
      </c>
      <c r="C599" s="49" t="s">
        <v>10928</v>
      </c>
      <c r="D599" s="49" t="s">
        <v>1112</v>
      </c>
      <c r="E599" s="49">
        <v>6285777110340</v>
      </c>
      <c r="F599" s="96">
        <v>45833</v>
      </c>
      <c r="G599" s="95">
        <v>14</v>
      </c>
      <c r="H599" s="49" t="s">
        <v>12667</v>
      </c>
      <c r="I599" s="97">
        <v>28250</v>
      </c>
      <c r="J599" s="95">
        <v>0</v>
      </c>
      <c r="K599" s="102">
        <v>452</v>
      </c>
      <c r="L599" s="95">
        <v>0</v>
      </c>
      <c r="M599" s="95">
        <v>0</v>
      </c>
      <c r="N599" s="95">
        <v>0</v>
      </c>
      <c r="O599" s="49" t="s">
        <v>10929</v>
      </c>
    </row>
    <row r="600" spans="1:15">
      <c r="A600" s="95">
        <v>759724529202804</v>
      </c>
      <c r="B600" s="49" t="s">
        <v>10621</v>
      </c>
      <c r="C600" s="49" t="s">
        <v>10928</v>
      </c>
      <c r="D600" s="49" t="s">
        <v>1112</v>
      </c>
      <c r="E600" s="49">
        <v>6285777110340</v>
      </c>
      <c r="F600" s="96">
        <v>45833</v>
      </c>
      <c r="G600" s="95">
        <v>35</v>
      </c>
      <c r="H600" s="49" t="s">
        <v>12668</v>
      </c>
      <c r="I600" s="97">
        <v>103270.27027027028</v>
      </c>
      <c r="J600" s="95">
        <v>1</v>
      </c>
      <c r="K600" s="102">
        <v>3821</v>
      </c>
      <c r="L600" s="95">
        <v>0</v>
      </c>
      <c r="M600" s="95">
        <v>0</v>
      </c>
      <c r="N600" s="95">
        <v>0</v>
      </c>
      <c r="O600" s="49" t="s">
        <v>10929</v>
      </c>
    </row>
    <row r="601" spans="1:15">
      <c r="A601" s="95">
        <v>759724529202804</v>
      </c>
      <c r="B601" s="49" t="s">
        <v>10621</v>
      </c>
      <c r="C601" s="49" t="s">
        <v>10928</v>
      </c>
      <c r="D601" s="49" t="s">
        <v>1112</v>
      </c>
      <c r="E601" s="49">
        <v>6285777110340</v>
      </c>
      <c r="F601" s="96">
        <v>45833</v>
      </c>
      <c r="G601" s="95">
        <v>46</v>
      </c>
      <c r="H601" s="49" t="s">
        <v>12669</v>
      </c>
      <c r="I601" s="97">
        <v>20360</v>
      </c>
      <c r="J601" s="95">
        <v>1</v>
      </c>
      <c r="K601" s="102">
        <v>1018</v>
      </c>
      <c r="L601" s="95">
        <v>0</v>
      </c>
      <c r="M601" s="95">
        <v>0</v>
      </c>
      <c r="N601" s="95">
        <v>0</v>
      </c>
      <c r="O601" s="49" t="s">
        <v>10929</v>
      </c>
    </row>
    <row r="602" spans="1:15">
      <c r="A602" s="95">
        <v>759724529202804</v>
      </c>
      <c r="B602" s="49" t="s">
        <v>10621</v>
      </c>
      <c r="C602" s="49" t="s">
        <v>10928</v>
      </c>
      <c r="D602" s="49" t="s">
        <v>1112</v>
      </c>
      <c r="E602" s="49">
        <v>6285777110340</v>
      </c>
      <c r="F602" s="96">
        <v>45833</v>
      </c>
      <c r="G602" s="95">
        <v>14</v>
      </c>
      <c r="H602" s="49" t="s">
        <v>12670</v>
      </c>
      <c r="I602" s="97">
        <v>29785.714285714286</v>
      </c>
      <c r="J602" s="95">
        <v>0</v>
      </c>
      <c r="K602" s="102">
        <v>417</v>
      </c>
      <c r="L602" s="95">
        <v>0</v>
      </c>
      <c r="M602" s="95">
        <v>0</v>
      </c>
      <c r="N602" s="95">
        <v>0</v>
      </c>
      <c r="O602" s="49" t="s">
        <v>10929</v>
      </c>
    </row>
    <row r="603" spans="1:15">
      <c r="A603" s="95">
        <v>759724529202804</v>
      </c>
      <c r="B603" s="49" t="s">
        <v>10621</v>
      </c>
      <c r="C603" s="49" t="s">
        <v>10928</v>
      </c>
      <c r="D603" s="49" t="s">
        <v>1112</v>
      </c>
      <c r="E603" s="49">
        <v>6285777110340</v>
      </c>
      <c r="F603" s="96">
        <v>45833</v>
      </c>
      <c r="G603" s="95">
        <v>1</v>
      </c>
      <c r="H603" s="49" t="s">
        <v>12672</v>
      </c>
      <c r="I603" s="97">
        <v>2000</v>
      </c>
      <c r="J603" s="95">
        <v>0</v>
      </c>
      <c r="K603" s="102">
        <v>2</v>
      </c>
      <c r="L603" s="95">
        <v>0</v>
      </c>
      <c r="M603" s="95">
        <v>0</v>
      </c>
      <c r="N603" s="95">
        <v>0</v>
      </c>
      <c r="O603" s="49" t="s">
        <v>10929</v>
      </c>
    </row>
    <row r="604" spans="1:15">
      <c r="A604" s="95">
        <v>759724529202804</v>
      </c>
      <c r="B604" s="49" t="s">
        <v>10621</v>
      </c>
      <c r="C604" s="49" t="s">
        <v>10904</v>
      </c>
      <c r="D604" s="49" t="s">
        <v>10905</v>
      </c>
      <c r="E604" s="49">
        <v>6285711667433</v>
      </c>
      <c r="F604" s="96">
        <v>45832</v>
      </c>
      <c r="G604" s="95">
        <v>69</v>
      </c>
      <c r="H604" s="49" t="s">
        <v>12667</v>
      </c>
      <c r="I604" s="97">
        <v>9734.9397590361441</v>
      </c>
      <c r="J604" s="95">
        <v>1</v>
      </c>
      <c r="K604" s="102">
        <v>808</v>
      </c>
      <c r="L604" s="95">
        <v>0</v>
      </c>
      <c r="M604" s="95">
        <v>0</v>
      </c>
      <c r="N604" s="95">
        <v>0</v>
      </c>
      <c r="O604" s="49" t="s">
        <v>10906</v>
      </c>
    </row>
    <row r="605" spans="1:15">
      <c r="A605" s="95">
        <v>759724529202804</v>
      </c>
      <c r="B605" s="49" t="s">
        <v>10621</v>
      </c>
      <c r="C605" s="49" t="s">
        <v>10904</v>
      </c>
      <c r="D605" s="49" t="s">
        <v>10905</v>
      </c>
      <c r="E605" s="49">
        <v>6285711667433</v>
      </c>
      <c r="F605" s="96">
        <v>45832</v>
      </c>
      <c r="G605" s="95">
        <v>284</v>
      </c>
      <c r="H605" s="49" t="s">
        <v>12668</v>
      </c>
      <c r="I605" s="97">
        <v>9098.507462686568</v>
      </c>
      <c r="J605" s="95">
        <v>4</v>
      </c>
      <c r="K605" s="102">
        <v>3048</v>
      </c>
      <c r="L605" s="95">
        <v>0</v>
      </c>
      <c r="M605" s="95">
        <v>0</v>
      </c>
      <c r="N605" s="95">
        <v>0</v>
      </c>
      <c r="O605" s="49" t="s">
        <v>10906</v>
      </c>
    </row>
    <row r="606" spans="1:15">
      <c r="A606" s="95">
        <v>759724529202804</v>
      </c>
      <c r="B606" s="49" t="s">
        <v>10621</v>
      </c>
      <c r="C606" s="49" t="s">
        <v>10904</v>
      </c>
      <c r="D606" s="49" t="s">
        <v>10905</v>
      </c>
      <c r="E606" s="49">
        <v>6285711667433</v>
      </c>
      <c r="F606" s="96">
        <v>45832</v>
      </c>
      <c r="G606" s="95">
        <v>441</v>
      </c>
      <c r="H606" s="49" t="s">
        <v>12669</v>
      </c>
      <c r="I606" s="97">
        <v>10219.417475728156</v>
      </c>
      <c r="J606" s="95">
        <v>6</v>
      </c>
      <c r="K606" s="102">
        <v>5263</v>
      </c>
      <c r="L606" s="95">
        <v>1</v>
      </c>
      <c r="M606" s="95">
        <v>0</v>
      </c>
      <c r="N606" s="95">
        <v>0</v>
      </c>
      <c r="O606" s="49" t="s">
        <v>10906</v>
      </c>
    </row>
    <row r="607" spans="1:15">
      <c r="A607" s="95">
        <v>759724529202804</v>
      </c>
      <c r="B607" s="49" t="s">
        <v>10621</v>
      </c>
      <c r="C607" s="49" t="s">
        <v>10904</v>
      </c>
      <c r="D607" s="49" t="s">
        <v>10905</v>
      </c>
      <c r="E607" s="49">
        <v>6285711667433</v>
      </c>
      <c r="F607" s="96">
        <v>45832</v>
      </c>
      <c r="G607" s="95">
        <v>322</v>
      </c>
      <c r="H607" s="49" t="s">
        <v>12670</v>
      </c>
      <c r="I607" s="97">
        <v>11446.428571428571</v>
      </c>
      <c r="J607" s="95">
        <v>7</v>
      </c>
      <c r="K607" s="102">
        <v>4487</v>
      </c>
      <c r="L607" s="95">
        <v>1</v>
      </c>
      <c r="M607" s="95">
        <v>0</v>
      </c>
      <c r="N607" s="95">
        <v>0</v>
      </c>
      <c r="O607" s="49" t="s">
        <v>10906</v>
      </c>
    </row>
    <row r="608" spans="1:15">
      <c r="A608" s="95">
        <v>759724529202804</v>
      </c>
      <c r="B608" s="49" t="s">
        <v>10621</v>
      </c>
      <c r="C608" s="49" t="s">
        <v>10904</v>
      </c>
      <c r="D608" s="49" t="s">
        <v>10905</v>
      </c>
      <c r="E608" s="49">
        <v>6285711667433</v>
      </c>
      <c r="F608" s="96">
        <v>45832</v>
      </c>
      <c r="G608" s="95">
        <v>61</v>
      </c>
      <c r="H608" s="49" t="s">
        <v>12671</v>
      </c>
      <c r="I608" s="97">
        <v>15546.875</v>
      </c>
      <c r="J608" s="95">
        <v>1</v>
      </c>
      <c r="K608" s="102">
        <v>995</v>
      </c>
      <c r="L608" s="95">
        <v>0</v>
      </c>
      <c r="M608" s="95">
        <v>0</v>
      </c>
      <c r="N608" s="95">
        <v>0</v>
      </c>
      <c r="O608" s="49" t="s">
        <v>10906</v>
      </c>
    </row>
    <row r="609" spans="1:15">
      <c r="A609" s="95">
        <v>759724529202804</v>
      </c>
      <c r="B609" s="49" t="s">
        <v>10621</v>
      </c>
      <c r="C609" s="49" t="s">
        <v>10904</v>
      </c>
      <c r="D609" s="49" t="s">
        <v>10905</v>
      </c>
      <c r="E609" s="49">
        <v>6285711667433</v>
      </c>
      <c r="F609" s="96">
        <v>45832</v>
      </c>
      <c r="G609" s="95">
        <v>16</v>
      </c>
      <c r="H609" s="49" t="s">
        <v>12672</v>
      </c>
      <c r="I609" s="97">
        <v>6722.2222222222226</v>
      </c>
      <c r="J609" s="95">
        <v>0</v>
      </c>
      <c r="K609" s="102">
        <v>121</v>
      </c>
      <c r="L609" s="95">
        <v>0</v>
      </c>
      <c r="M609" s="95">
        <v>0</v>
      </c>
      <c r="N609" s="95">
        <v>0</v>
      </c>
      <c r="O609" s="49" t="s">
        <v>10906</v>
      </c>
    </row>
    <row r="610" spans="1:15">
      <c r="A610" s="95">
        <v>759724529202804</v>
      </c>
      <c r="B610" s="49" t="s">
        <v>10621</v>
      </c>
      <c r="C610" s="49" t="s">
        <v>10907</v>
      </c>
      <c r="D610" s="49" t="s">
        <v>943</v>
      </c>
      <c r="E610" s="49">
        <v>6285775986977</v>
      </c>
      <c r="F610" s="96">
        <v>45832</v>
      </c>
      <c r="G610" s="95">
        <v>42</v>
      </c>
      <c r="H610" s="49" t="s">
        <v>12667</v>
      </c>
      <c r="I610" s="97">
        <v>13106.382978723404</v>
      </c>
      <c r="J610" s="95">
        <v>0</v>
      </c>
      <c r="K610" s="102">
        <v>616</v>
      </c>
      <c r="L610" s="95">
        <v>0</v>
      </c>
      <c r="M610" s="95">
        <v>0</v>
      </c>
      <c r="N610" s="95">
        <v>0</v>
      </c>
      <c r="O610" s="49" t="s">
        <v>10908</v>
      </c>
    </row>
    <row r="611" spans="1:15">
      <c r="A611" s="95">
        <v>759724529202804</v>
      </c>
      <c r="B611" s="49" t="s">
        <v>10621</v>
      </c>
      <c r="C611" s="49" t="s">
        <v>10907</v>
      </c>
      <c r="D611" s="49" t="s">
        <v>943</v>
      </c>
      <c r="E611" s="49">
        <v>6285775986977</v>
      </c>
      <c r="F611" s="96">
        <v>45832</v>
      </c>
      <c r="G611" s="95">
        <v>57</v>
      </c>
      <c r="H611" s="49" t="s">
        <v>12668</v>
      </c>
      <c r="I611" s="97">
        <v>62578.125</v>
      </c>
      <c r="J611" s="95">
        <v>0</v>
      </c>
      <c r="K611" s="102">
        <v>4005</v>
      </c>
      <c r="L611" s="95">
        <v>0</v>
      </c>
      <c r="M611" s="95">
        <v>0</v>
      </c>
      <c r="N611" s="95">
        <v>0</v>
      </c>
      <c r="O611" s="49" t="s">
        <v>10908</v>
      </c>
    </row>
    <row r="612" spans="1:15">
      <c r="A612" s="95">
        <v>759724529202804</v>
      </c>
      <c r="B612" s="49" t="s">
        <v>10621</v>
      </c>
      <c r="C612" s="49" t="s">
        <v>10907</v>
      </c>
      <c r="D612" s="49" t="s">
        <v>943</v>
      </c>
      <c r="E612" s="49">
        <v>6285775986977</v>
      </c>
      <c r="F612" s="96">
        <v>45832</v>
      </c>
      <c r="G612" s="95">
        <v>76</v>
      </c>
      <c r="H612" s="49" t="s">
        <v>12669</v>
      </c>
      <c r="I612" s="97">
        <v>53722.222222222219</v>
      </c>
      <c r="J612" s="95">
        <v>2</v>
      </c>
      <c r="K612" s="102">
        <v>4835</v>
      </c>
      <c r="L612" s="95">
        <v>0</v>
      </c>
      <c r="M612" s="95">
        <v>0</v>
      </c>
      <c r="N612" s="95">
        <v>0</v>
      </c>
      <c r="O612" s="49" t="s">
        <v>10908</v>
      </c>
    </row>
    <row r="613" spans="1:15">
      <c r="A613" s="95">
        <v>759724529202804</v>
      </c>
      <c r="B613" s="49" t="s">
        <v>10621</v>
      </c>
      <c r="C613" s="49" t="s">
        <v>10907</v>
      </c>
      <c r="D613" s="49" t="s">
        <v>943</v>
      </c>
      <c r="E613" s="49">
        <v>6285775986977</v>
      </c>
      <c r="F613" s="96">
        <v>45832</v>
      </c>
      <c r="G613" s="95">
        <v>40</v>
      </c>
      <c r="H613" s="49" t="s">
        <v>12670</v>
      </c>
      <c r="I613" s="97">
        <v>41418.604651162786</v>
      </c>
      <c r="J613" s="95">
        <v>0</v>
      </c>
      <c r="K613" s="102">
        <v>1781</v>
      </c>
      <c r="L613" s="95">
        <v>0</v>
      </c>
      <c r="M613" s="95">
        <v>0</v>
      </c>
      <c r="N613" s="95">
        <v>0</v>
      </c>
      <c r="O613" s="49" t="s">
        <v>10908</v>
      </c>
    </row>
    <row r="614" spans="1:15">
      <c r="A614" s="95">
        <v>759724529202804</v>
      </c>
      <c r="B614" s="49" t="s">
        <v>10621</v>
      </c>
      <c r="C614" s="49" t="s">
        <v>10907</v>
      </c>
      <c r="D614" s="49" t="s">
        <v>943</v>
      </c>
      <c r="E614" s="49">
        <v>6285775986977</v>
      </c>
      <c r="F614" s="96">
        <v>45832</v>
      </c>
      <c r="G614" s="95">
        <v>27</v>
      </c>
      <c r="H614" s="49" t="s">
        <v>12671</v>
      </c>
      <c r="I614" s="97">
        <v>50586.206896551725</v>
      </c>
      <c r="J614" s="95">
        <v>1</v>
      </c>
      <c r="K614" s="102">
        <v>1467</v>
      </c>
      <c r="L614" s="95">
        <v>0</v>
      </c>
      <c r="M614" s="95">
        <v>0</v>
      </c>
      <c r="N614" s="95">
        <v>0</v>
      </c>
      <c r="O614" s="49" t="s">
        <v>10908</v>
      </c>
    </row>
    <row r="615" spans="1:15">
      <c r="A615" s="95">
        <v>759724529202804</v>
      </c>
      <c r="B615" s="49" t="s">
        <v>10621</v>
      </c>
      <c r="C615" s="49" t="s">
        <v>10907</v>
      </c>
      <c r="D615" s="49" t="s">
        <v>943</v>
      </c>
      <c r="E615" s="49">
        <v>6285775986977</v>
      </c>
      <c r="F615" s="96">
        <v>45832</v>
      </c>
      <c r="G615" s="95">
        <v>19</v>
      </c>
      <c r="H615" s="49" t="s">
        <v>12672</v>
      </c>
      <c r="I615" s="97">
        <v>73550</v>
      </c>
      <c r="J615" s="95">
        <v>0</v>
      </c>
      <c r="K615" s="102">
        <v>1471</v>
      </c>
      <c r="L615" s="95">
        <v>0</v>
      </c>
      <c r="M615" s="95">
        <v>0</v>
      </c>
      <c r="N615" s="95">
        <v>0</v>
      </c>
      <c r="O615" s="49" t="s">
        <v>10908</v>
      </c>
    </row>
    <row r="616" spans="1:15">
      <c r="A616" s="95">
        <v>759724529202804</v>
      </c>
      <c r="B616" s="49" t="s">
        <v>10621</v>
      </c>
      <c r="C616" s="49" t="s">
        <v>10909</v>
      </c>
      <c r="D616" s="49" t="s">
        <v>10910</v>
      </c>
      <c r="E616" s="49">
        <v>6281904501876</v>
      </c>
      <c r="F616" s="96">
        <v>45832</v>
      </c>
      <c r="G616" s="95">
        <v>484</v>
      </c>
      <c r="H616" s="49" t="s">
        <v>12667</v>
      </c>
      <c r="I616" s="97">
        <v>9334.3195266272196</v>
      </c>
      <c r="J616" s="95">
        <v>4</v>
      </c>
      <c r="K616" s="102">
        <v>6310</v>
      </c>
      <c r="L616" s="95">
        <v>0</v>
      </c>
      <c r="M616" s="95">
        <v>1</v>
      </c>
      <c r="N616" s="95">
        <v>0</v>
      </c>
      <c r="O616" s="49" t="s">
        <v>10911</v>
      </c>
    </row>
    <row r="617" spans="1:15">
      <c r="A617" s="95">
        <v>759724529202804</v>
      </c>
      <c r="B617" s="49" t="s">
        <v>10621</v>
      </c>
      <c r="C617" s="49" t="s">
        <v>10909</v>
      </c>
      <c r="D617" s="49" t="s">
        <v>10910</v>
      </c>
      <c r="E617" s="49">
        <v>6281904501876</v>
      </c>
      <c r="F617" s="96">
        <v>45832</v>
      </c>
      <c r="G617" s="95">
        <v>499</v>
      </c>
      <c r="H617" s="49" t="s">
        <v>12668</v>
      </c>
      <c r="I617" s="97">
        <v>9424.7787610619471</v>
      </c>
      <c r="J617" s="95">
        <v>5</v>
      </c>
      <c r="K617" s="102">
        <v>6390</v>
      </c>
      <c r="L617" s="95">
        <v>0</v>
      </c>
      <c r="M617" s="95">
        <v>0</v>
      </c>
      <c r="N617" s="95">
        <v>0</v>
      </c>
      <c r="O617" s="49" t="s">
        <v>10911</v>
      </c>
    </row>
    <row r="618" spans="1:15">
      <c r="A618" s="95">
        <v>759724529202804</v>
      </c>
      <c r="B618" s="49" t="s">
        <v>10621</v>
      </c>
      <c r="C618" s="49" t="s">
        <v>10909</v>
      </c>
      <c r="D618" s="49" t="s">
        <v>10910</v>
      </c>
      <c r="E618" s="49">
        <v>6281904501876</v>
      </c>
      <c r="F618" s="96">
        <v>45832</v>
      </c>
      <c r="G618" s="95">
        <v>104</v>
      </c>
      <c r="H618" s="49" t="s">
        <v>12669</v>
      </c>
      <c r="I618" s="97">
        <v>10431.034482758621</v>
      </c>
      <c r="J618" s="95">
        <v>2</v>
      </c>
      <c r="K618" s="102">
        <v>1210</v>
      </c>
      <c r="L618" s="95">
        <v>0</v>
      </c>
      <c r="M618" s="95">
        <v>0</v>
      </c>
      <c r="N618" s="95">
        <v>0</v>
      </c>
      <c r="O618" s="49" t="s">
        <v>10911</v>
      </c>
    </row>
    <row r="619" spans="1:15">
      <c r="A619" s="95">
        <v>759724529202804</v>
      </c>
      <c r="B619" s="49" t="s">
        <v>10621</v>
      </c>
      <c r="C619" s="49" t="s">
        <v>10909</v>
      </c>
      <c r="D619" s="49" t="s">
        <v>10910</v>
      </c>
      <c r="E619" s="49">
        <v>6281904501876</v>
      </c>
      <c r="F619" s="96">
        <v>45832</v>
      </c>
      <c r="G619" s="95">
        <v>37</v>
      </c>
      <c r="H619" s="49" t="s">
        <v>12670</v>
      </c>
      <c r="I619" s="97">
        <v>14261.904761904763</v>
      </c>
      <c r="J619" s="95">
        <v>1</v>
      </c>
      <c r="K619" s="102">
        <v>599</v>
      </c>
      <c r="L619" s="95">
        <v>0</v>
      </c>
      <c r="M619" s="95">
        <v>0</v>
      </c>
      <c r="N619" s="95">
        <v>0</v>
      </c>
      <c r="O619" s="49" t="s">
        <v>10911</v>
      </c>
    </row>
    <row r="620" spans="1:15">
      <c r="A620" s="95">
        <v>759724529202804</v>
      </c>
      <c r="B620" s="49" t="s">
        <v>10621</v>
      </c>
      <c r="C620" s="49" t="s">
        <v>10909</v>
      </c>
      <c r="D620" s="49" t="s">
        <v>10910</v>
      </c>
      <c r="E620" s="49">
        <v>6281904501876</v>
      </c>
      <c r="F620" s="96">
        <v>45832</v>
      </c>
      <c r="G620" s="95">
        <v>9</v>
      </c>
      <c r="H620" s="49" t="s">
        <v>12671</v>
      </c>
      <c r="I620" s="97">
        <v>10666.666666666666</v>
      </c>
      <c r="J620" s="95">
        <v>0</v>
      </c>
      <c r="K620" s="102">
        <v>96</v>
      </c>
      <c r="L620" s="95">
        <v>0</v>
      </c>
      <c r="M620" s="95">
        <v>0</v>
      </c>
      <c r="N620" s="95">
        <v>0</v>
      </c>
      <c r="O620" s="49" t="s">
        <v>10911</v>
      </c>
    </row>
    <row r="621" spans="1:15">
      <c r="A621" s="95">
        <v>759724529202804</v>
      </c>
      <c r="B621" s="49" t="s">
        <v>10621</v>
      </c>
      <c r="C621" s="49" t="s">
        <v>10909</v>
      </c>
      <c r="D621" s="49" t="s">
        <v>10910</v>
      </c>
      <c r="E621" s="49">
        <v>6281904501876</v>
      </c>
      <c r="F621" s="96">
        <v>45832</v>
      </c>
      <c r="G621" s="95">
        <v>8</v>
      </c>
      <c r="H621" s="49" t="s">
        <v>12672</v>
      </c>
      <c r="I621" s="97">
        <v>6444.4444444444443</v>
      </c>
      <c r="J621" s="95">
        <v>0</v>
      </c>
      <c r="K621" s="102">
        <v>58</v>
      </c>
      <c r="L621" s="95">
        <v>0</v>
      </c>
      <c r="M621" s="95">
        <v>0</v>
      </c>
      <c r="N621" s="95">
        <v>0</v>
      </c>
      <c r="O621" s="49" t="s">
        <v>10911</v>
      </c>
    </row>
    <row r="622" spans="1:15">
      <c r="A622" s="95">
        <v>759724529202804</v>
      </c>
      <c r="B622" s="49" t="s">
        <v>10621</v>
      </c>
      <c r="C622" s="49" t="s">
        <v>10912</v>
      </c>
      <c r="D622" s="49" t="s">
        <v>1029</v>
      </c>
      <c r="E622" s="49">
        <v>6281253792753</v>
      </c>
      <c r="F622" s="96">
        <v>45832</v>
      </c>
      <c r="G622" s="95">
        <v>25</v>
      </c>
      <c r="H622" s="49" t="s">
        <v>12667</v>
      </c>
      <c r="I622" s="97">
        <v>18454.545454545452</v>
      </c>
      <c r="J622" s="95">
        <v>0</v>
      </c>
      <c r="K622" s="102">
        <v>609</v>
      </c>
      <c r="L622" s="95">
        <v>0</v>
      </c>
      <c r="M622" s="95">
        <v>0</v>
      </c>
      <c r="N622" s="95">
        <v>0</v>
      </c>
      <c r="O622" s="49" t="s">
        <v>10913</v>
      </c>
    </row>
    <row r="623" spans="1:15">
      <c r="A623" s="95">
        <v>759724529202804</v>
      </c>
      <c r="B623" s="49" t="s">
        <v>10621</v>
      </c>
      <c r="C623" s="49" t="s">
        <v>10912</v>
      </c>
      <c r="D623" s="49" t="s">
        <v>1029</v>
      </c>
      <c r="E623" s="49">
        <v>6281253792753</v>
      </c>
      <c r="F623" s="96">
        <v>45832</v>
      </c>
      <c r="G623" s="95">
        <v>218</v>
      </c>
      <c r="H623" s="49" t="s">
        <v>12668</v>
      </c>
      <c r="I623" s="97">
        <v>9571.4285714285706</v>
      </c>
      <c r="J623" s="95">
        <v>7</v>
      </c>
      <c r="K623" s="102">
        <v>3015</v>
      </c>
      <c r="L623" s="95">
        <v>0</v>
      </c>
      <c r="M623" s="95">
        <v>0</v>
      </c>
      <c r="N623" s="95">
        <v>0</v>
      </c>
      <c r="O623" s="49" t="s">
        <v>10913</v>
      </c>
    </row>
    <row r="624" spans="1:15">
      <c r="A624" s="95">
        <v>759724529202804</v>
      </c>
      <c r="B624" s="49" t="s">
        <v>10621</v>
      </c>
      <c r="C624" s="49" t="s">
        <v>10912</v>
      </c>
      <c r="D624" s="49" t="s">
        <v>1029</v>
      </c>
      <c r="E624" s="49">
        <v>6281253792753</v>
      </c>
      <c r="F624" s="96">
        <v>45832</v>
      </c>
      <c r="G624" s="95">
        <v>306</v>
      </c>
      <c r="H624" s="49" t="s">
        <v>12669</v>
      </c>
      <c r="I624" s="97">
        <v>12917.45283018868</v>
      </c>
      <c r="J624" s="95">
        <v>5</v>
      </c>
      <c r="K624" s="102">
        <v>5477</v>
      </c>
      <c r="L624" s="95">
        <v>1</v>
      </c>
      <c r="M624" s="95">
        <v>0</v>
      </c>
      <c r="N624" s="95">
        <v>0</v>
      </c>
      <c r="O624" s="49" t="s">
        <v>10913</v>
      </c>
    </row>
    <row r="625" spans="1:15">
      <c r="A625" s="95">
        <v>759724529202804</v>
      </c>
      <c r="B625" s="49" t="s">
        <v>10621</v>
      </c>
      <c r="C625" s="49" t="s">
        <v>10912</v>
      </c>
      <c r="D625" s="49" t="s">
        <v>1029</v>
      </c>
      <c r="E625" s="49">
        <v>6281253792753</v>
      </c>
      <c r="F625" s="96">
        <v>45832</v>
      </c>
      <c r="G625" s="95">
        <v>199</v>
      </c>
      <c r="H625" s="49" t="s">
        <v>12670</v>
      </c>
      <c r="I625" s="97">
        <v>15796.153846153846</v>
      </c>
      <c r="J625" s="95">
        <v>6</v>
      </c>
      <c r="K625" s="102">
        <v>4107</v>
      </c>
      <c r="L625" s="95">
        <v>0</v>
      </c>
      <c r="M625" s="95">
        <v>0</v>
      </c>
      <c r="N625" s="95">
        <v>0</v>
      </c>
      <c r="O625" s="49" t="s">
        <v>10913</v>
      </c>
    </row>
    <row r="626" spans="1:15">
      <c r="A626" s="95">
        <v>759724529202804</v>
      </c>
      <c r="B626" s="49" t="s">
        <v>10621</v>
      </c>
      <c r="C626" s="49" t="s">
        <v>10912</v>
      </c>
      <c r="D626" s="49" t="s">
        <v>1029</v>
      </c>
      <c r="E626" s="49">
        <v>6281253792753</v>
      </c>
      <c r="F626" s="96">
        <v>45832</v>
      </c>
      <c r="G626" s="95">
        <v>62</v>
      </c>
      <c r="H626" s="49" t="s">
        <v>12671</v>
      </c>
      <c r="I626" s="97">
        <v>13139.784946236559</v>
      </c>
      <c r="J626" s="95">
        <v>0</v>
      </c>
      <c r="K626" s="102">
        <v>1222</v>
      </c>
      <c r="L626" s="95">
        <v>0</v>
      </c>
      <c r="M626" s="95">
        <v>0</v>
      </c>
      <c r="N626" s="95">
        <v>0</v>
      </c>
      <c r="O626" s="49" t="s">
        <v>10913</v>
      </c>
    </row>
    <row r="627" spans="1:15">
      <c r="A627" s="95">
        <v>759724529202804</v>
      </c>
      <c r="B627" s="49" t="s">
        <v>10621</v>
      </c>
      <c r="C627" s="49" t="s">
        <v>10912</v>
      </c>
      <c r="D627" s="49" t="s">
        <v>1029</v>
      </c>
      <c r="E627" s="49">
        <v>6281253792753</v>
      </c>
      <c r="F627" s="96">
        <v>45832</v>
      </c>
      <c r="G627" s="95">
        <v>5</v>
      </c>
      <c r="H627" s="49" t="s">
        <v>12672</v>
      </c>
      <c r="I627" s="97">
        <v>27000</v>
      </c>
      <c r="J627" s="95">
        <v>0</v>
      </c>
      <c r="K627" s="102">
        <v>135</v>
      </c>
      <c r="L627" s="95">
        <v>0</v>
      </c>
      <c r="M627" s="95">
        <v>0</v>
      </c>
      <c r="N627" s="95">
        <v>0</v>
      </c>
      <c r="O627" s="49" t="s">
        <v>10913</v>
      </c>
    </row>
    <row r="628" spans="1:15">
      <c r="A628" s="95">
        <v>759724529202804</v>
      </c>
      <c r="B628" s="49" t="s">
        <v>10621</v>
      </c>
      <c r="C628" s="49" t="s">
        <v>10922</v>
      </c>
      <c r="D628" s="49" t="s">
        <v>1021</v>
      </c>
      <c r="E628" s="49">
        <v>6282122880328</v>
      </c>
      <c r="F628" s="96">
        <v>45832</v>
      </c>
      <c r="G628" s="95">
        <v>16</v>
      </c>
      <c r="H628" s="49" t="s">
        <v>12667</v>
      </c>
      <c r="I628" s="97">
        <v>59222.222222222219</v>
      </c>
      <c r="J628" s="95">
        <v>2</v>
      </c>
      <c r="K628" s="102">
        <v>1066</v>
      </c>
      <c r="L628" s="95">
        <v>0</v>
      </c>
      <c r="M628" s="95">
        <v>0</v>
      </c>
      <c r="N628" s="95">
        <v>0</v>
      </c>
      <c r="O628" s="49" t="s">
        <v>10914</v>
      </c>
    </row>
    <row r="629" spans="1:15">
      <c r="A629" s="95">
        <v>759724529202804</v>
      </c>
      <c r="B629" s="49" t="s">
        <v>10621</v>
      </c>
      <c r="C629" s="49" t="s">
        <v>10922</v>
      </c>
      <c r="D629" s="49" t="s">
        <v>1021</v>
      </c>
      <c r="E629" s="49">
        <v>6282122880328</v>
      </c>
      <c r="F629" s="96">
        <v>45832</v>
      </c>
      <c r="G629" s="95">
        <v>46</v>
      </c>
      <c r="H629" s="49" t="s">
        <v>12668</v>
      </c>
      <c r="I629" s="97">
        <v>48437.5</v>
      </c>
      <c r="J629" s="95">
        <v>3</v>
      </c>
      <c r="K629" s="102">
        <v>2325</v>
      </c>
      <c r="L629" s="95">
        <v>1</v>
      </c>
      <c r="M629" s="95">
        <v>0</v>
      </c>
      <c r="N629" s="95">
        <v>0</v>
      </c>
      <c r="O629" s="49" t="s">
        <v>10914</v>
      </c>
    </row>
    <row r="630" spans="1:15">
      <c r="A630" s="95">
        <v>759724529202804</v>
      </c>
      <c r="B630" s="49" t="s">
        <v>10621</v>
      </c>
      <c r="C630" s="49" t="s">
        <v>10922</v>
      </c>
      <c r="D630" s="49" t="s">
        <v>1021</v>
      </c>
      <c r="E630" s="49">
        <v>6282122880328</v>
      </c>
      <c r="F630" s="96">
        <v>45832</v>
      </c>
      <c r="G630" s="95">
        <v>67</v>
      </c>
      <c r="H630" s="49" t="s">
        <v>12669</v>
      </c>
      <c r="I630" s="97">
        <v>62333.333333333336</v>
      </c>
      <c r="J630" s="95">
        <v>4</v>
      </c>
      <c r="K630" s="102">
        <v>4675</v>
      </c>
      <c r="L630" s="95">
        <v>0</v>
      </c>
      <c r="M630" s="95">
        <v>0</v>
      </c>
      <c r="N630" s="95">
        <v>0</v>
      </c>
      <c r="O630" s="49" t="s">
        <v>10914</v>
      </c>
    </row>
    <row r="631" spans="1:15">
      <c r="A631" s="95">
        <v>759724529202804</v>
      </c>
      <c r="B631" s="49" t="s">
        <v>10621</v>
      </c>
      <c r="C631" s="49" t="s">
        <v>10922</v>
      </c>
      <c r="D631" s="49" t="s">
        <v>1021</v>
      </c>
      <c r="E631" s="49">
        <v>6282122880328</v>
      </c>
      <c r="F631" s="96">
        <v>45832</v>
      </c>
      <c r="G631" s="95">
        <v>64</v>
      </c>
      <c r="H631" s="49" t="s">
        <v>12670</v>
      </c>
      <c r="I631" s="97">
        <v>88632.352941176461</v>
      </c>
      <c r="J631" s="95">
        <v>3</v>
      </c>
      <c r="K631" s="102">
        <v>6027</v>
      </c>
      <c r="L631" s="95">
        <v>0</v>
      </c>
      <c r="M631" s="95">
        <v>0</v>
      </c>
      <c r="N631" s="95">
        <v>0</v>
      </c>
      <c r="O631" s="49" t="s">
        <v>10914</v>
      </c>
    </row>
    <row r="632" spans="1:15">
      <c r="A632" s="95">
        <v>759724529202804</v>
      </c>
      <c r="B632" s="49" t="s">
        <v>10621</v>
      </c>
      <c r="C632" s="49" t="s">
        <v>10922</v>
      </c>
      <c r="D632" s="49" t="s">
        <v>1021</v>
      </c>
      <c r="E632" s="49">
        <v>6282122880328</v>
      </c>
      <c r="F632" s="96">
        <v>45832</v>
      </c>
      <c r="G632" s="95">
        <v>10</v>
      </c>
      <c r="H632" s="49" t="s">
        <v>12671</v>
      </c>
      <c r="I632" s="97">
        <v>45500</v>
      </c>
      <c r="J632" s="95">
        <v>0</v>
      </c>
      <c r="K632" s="102">
        <v>455</v>
      </c>
      <c r="L632" s="95">
        <v>0</v>
      </c>
      <c r="M632" s="95">
        <v>0</v>
      </c>
      <c r="N632" s="95">
        <v>0</v>
      </c>
      <c r="O632" s="49" t="s">
        <v>10914</v>
      </c>
    </row>
    <row r="633" spans="1:15">
      <c r="A633" s="95">
        <v>759724529202804</v>
      </c>
      <c r="B633" s="49" t="s">
        <v>10621</v>
      </c>
      <c r="C633" s="49" t="s">
        <v>10922</v>
      </c>
      <c r="D633" s="49" t="s">
        <v>1021</v>
      </c>
      <c r="E633" s="49">
        <v>6282122880328</v>
      </c>
      <c r="F633" s="96">
        <v>45832</v>
      </c>
      <c r="G633" s="95">
        <v>4</v>
      </c>
      <c r="H633" s="49" t="s">
        <v>12672</v>
      </c>
      <c r="I633" s="97">
        <v>18000</v>
      </c>
      <c r="J633" s="95">
        <v>0</v>
      </c>
      <c r="K633" s="102">
        <v>72</v>
      </c>
      <c r="L633" s="95">
        <v>0</v>
      </c>
      <c r="M633" s="95">
        <v>0</v>
      </c>
      <c r="N633" s="95">
        <v>0</v>
      </c>
      <c r="O633" s="49" t="s">
        <v>10914</v>
      </c>
    </row>
    <row r="634" spans="1:15">
      <c r="A634" s="95">
        <v>759724529202804</v>
      </c>
      <c r="B634" s="49" t="s">
        <v>10621</v>
      </c>
      <c r="C634" s="49" t="s">
        <v>10863</v>
      </c>
      <c r="D634" s="49" t="s">
        <v>10864</v>
      </c>
      <c r="E634" s="49">
        <v>6285180805171</v>
      </c>
      <c r="F634" s="96">
        <v>45832</v>
      </c>
      <c r="G634" s="95">
        <v>116</v>
      </c>
      <c r="H634" s="49" t="s">
        <v>12667</v>
      </c>
      <c r="I634" s="97">
        <v>9613.636363636364</v>
      </c>
      <c r="J634" s="95">
        <v>5</v>
      </c>
      <c r="K634" s="102">
        <v>1269</v>
      </c>
      <c r="L634" s="95">
        <v>0</v>
      </c>
      <c r="M634" s="95">
        <v>32</v>
      </c>
      <c r="N634" s="95">
        <v>0</v>
      </c>
      <c r="O634" s="49" t="s">
        <v>10865</v>
      </c>
    </row>
    <row r="635" spans="1:15">
      <c r="A635" s="95">
        <v>759724529202804</v>
      </c>
      <c r="B635" s="49" t="s">
        <v>10621</v>
      </c>
      <c r="C635" s="49" t="s">
        <v>10863</v>
      </c>
      <c r="D635" s="49" t="s">
        <v>10864</v>
      </c>
      <c r="E635" s="49">
        <v>6285180805171</v>
      </c>
      <c r="F635" s="96">
        <v>45832</v>
      </c>
      <c r="G635" s="95">
        <v>386</v>
      </c>
      <c r="H635" s="49" t="s">
        <v>12668</v>
      </c>
      <c r="I635" s="97">
        <v>8899.7821350762533</v>
      </c>
      <c r="J635" s="95">
        <v>8</v>
      </c>
      <c r="K635" s="102">
        <v>4085</v>
      </c>
      <c r="L635" s="95">
        <v>1</v>
      </c>
      <c r="M635" s="95">
        <v>97</v>
      </c>
      <c r="N635" s="95">
        <v>0</v>
      </c>
      <c r="O635" s="49" t="s">
        <v>10865</v>
      </c>
    </row>
    <row r="636" spans="1:15">
      <c r="A636" s="95">
        <v>759724529202804</v>
      </c>
      <c r="B636" s="49" t="s">
        <v>10621</v>
      </c>
      <c r="C636" s="49" t="s">
        <v>10863</v>
      </c>
      <c r="D636" s="49" t="s">
        <v>10864</v>
      </c>
      <c r="E636" s="49">
        <v>6285180805171</v>
      </c>
      <c r="F636" s="96">
        <v>45832</v>
      </c>
      <c r="G636" s="95">
        <v>400</v>
      </c>
      <c r="H636" s="49" t="s">
        <v>12669</v>
      </c>
      <c r="I636" s="97">
        <v>9318.8720173535785</v>
      </c>
      <c r="J636" s="95">
        <v>9</v>
      </c>
      <c r="K636" s="102">
        <v>4296</v>
      </c>
      <c r="L636" s="95">
        <v>0</v>
      </c>
      <c r="M636" s="95">
        <v>151</v>
      </c>
      <c r="N636" s="95">
        <v>0</v>
      </c>
      <c r="O636" s="49" t="s">
        <v>10865</v>
      </c>
    </row>
    <row r="637" spans="1:15">
      <c r="A637" s="95">
        <v>759724529202804</v>
      </c>
      <c r="B637" s="49" t="s">
        <v>10621</v>
      </c>
      <c r="C637" s="49" t="s">
        <v>10863</v>
      </c>
      <c r="D637" s="49" t="s">
        <v>10864</v>
      </c>
      <c r="E637" s="49">
        <v>6285180805171</v>
      </c>
      <c r="F637" s="96">
        <v>45832</v>
      </c>
      <c r="G637" s="95">
        <v>259</v>
      </c>
      <c r="H637" s="49" t="s">
        <v>12670</v>
      </c>
      <c r="I637" s="97">
        <v>14475.524475524475</v>
      </c>
      <c r="J637" s="95">
        <v>3</v>
      </c>
      <c r="K637" s="102">
        <v>4140</v>
      </c>
      <c r="L637" s="95">
        <v>0</v>
      </c>
      <c r="M637" s="95">
        <v>102</v>
      </c>
      <c r="N637" s="95">
        <v>0</v>
      </c>
      <c r="O637" s="49" t="s">
        <v>10865</v>
      </c>
    </row>
    <row r="638" spans="1:15">
      <c r="A638" s="95">
        <v>759724529202804</v>
      </c>
      <c r="B638" s="49" t="s">
        <v>10621</v>
      </c>
      <c r="C638" s="49" t="s">
        <v>10863</v>
      </c>
      <c r="D638" s="49" t="s">
        <v>10864</v>
      </c>
      <c r="E638" s="49">
        <v>6285180805171</v>
      </c>
      <c r="F638" s="96">
        <v>45832</v>
      </c>
      <c r="G638" s="95">
        <v>74</v>
      </c>
      <c r="H638" s="49" t="s">
        <v>12671</v>
      </c>
      <c r="I638" s="97">
        <v>17375</v>
      </c>
      <c r="J638" s="95">
        <v>0</v>
      </c>
      <c r="K638" s="102">
        <v>1529</v>
      </c>
      <c r="L638" s="95">
        <v>0</v>
      </c>
      <c r="M638" s="95">
        <v>32</v>
      </c>
      <c r="N638" s="95">
        <v>0</v>
      </c>
      <c r="O638" s="49" t="s">
        <v>10865</v>
      </c>
    </row>
    <row r="639" spans="1:15">
      <c r="A639" s="95">
        <v>759724529202804</v>
      </c>
      <c r="B639" s="49" t="s">
        <v>10621</v>
      </c>
      <c r="C639" s="49" t="s">
        <v>10863</v>
      </c>
      <c r="D639" s="49" t="s">
        <v>10864</v>
      </c>
      <c r="E639" s="49">
        <v>6285180805171</v>
      </c>
      <c r="F639" s="96">
        <v>45832</v>
      </c>
      <c r="G639" s="95">
        <v>27</v>
      </c>
      <c r="H639" s="49" t="s">
        <v>12672</v>
      </c>
      <c r="I639" s="97">
        <v>14290.322580645163</v>
      </c>
      <c r="J639" s="95">
        <v>2</v>
      </c>
      <c r="K639" s="102">
        <v>443</v>
      </c>
      <c r="L639" s="95">
        <v>0</v>
      </c>
      <c r="M639" s="95">
        <v>11</v>
      </c>
      <c r="N639" s="95">
        <v>0</v>
      </c>
      <c r="O639" s="49" t="s">
        <v>10865</v>
      </c>
    </row>
    <row r="640" spans="1:15">
      <c r="A640" s="95">
        <v>759724529202804</v>
      </c>
      <c r="B640" s="49" t="s">
        <v>10621</v>
      </c>
      <c r="C640" s="49" t="s">
        <v>10850</v>
      </c>
      <c r="D640" s="49" t="s">
        <v>10851</v>
      </c>
      <c r="E640" s="49">
        <v>6282125465047</v>
      </c>
      <c r="F640" s="96">
        <v>45832</v>
      </c>
      <c r="G640" s="95">
        <v>17</v>
      </c>
      <c r="H640" s="49" t="s">
        <v>12667</v>
      </c>
      <c r="I640" s="97">
        <v>7684.2105263157891</v>
      </c>
      <c r="J640" s="95">
        <v>0</v>
      </c>
      <c r="K640" s="102">
        <v>146</v>
      </c>
      <c r="L640" s="95">
        <v>0</v>
      </c>
      <c r="M640" s="95">
        <v>6</v>
      </c>
      <c r="N640" s="95">
        <v>0</v>
      </c>
      <c r="O640" s="49" t="s">
        <v>10852</v>
      </c>
    </row>
    <row r="641" spans="1:15">
      <c r="A641" s="95">
        <v>759724529202804</v>
      </c>
      <c r="B641" s="49" t="s">
        <v>10621</v>
      </c>
      <c r="C641" s="49" t="s">
        <v>10850</v>
      </c>
      <c r="D641" s="49" t="s">
        <v>10851</v>
      </c>
      <c r="E641" s="49">
        <v>6282125465047</v>
      </c>
      <c r="F641" s="96">
        <v>45832</v>
      </c>
      <c r="G641" s="95">
        <v>60</v>
      </c>
      <c r="H641" s="49" t="s">
        <v>12668</v>
      </c>
      <c r="I641" s="97">
        <v>13716.417910447761</v>
      </c>
      <c r="J641" s="95">
        <v>0</v>
      </c>
      <c r="K641" s="102">
        <v>919</v>
      </c>
      <c r="L641" s="95">
        <v>0</v>
      </c>
      <c r="M641" s="95">
        <v>16</v>
      </c>
      <c r="N641" s="95">
        <v>0</v>
      </c>
      <c r="O641" s="49" t="s">
        <v>10852</v>
      </c>
    </row>
    <row r="642" spans="1:15">
      <c r="A642" s="95">
        <v>759724529202804</v>
      </c>
      <c r="B642" s="49" t="s">
        <v>10621</v>
      </c>
      <c r="C642" s="49" t="s">
        <v>10850</v>
      </c>
      <c r="D642" s="49" t="s">
        <v>10851</v>
      </c>
      <c r="E642" s="49">
        <v>6282125465047</v>
      </c>
      <c r="F642" s="96">
        <v>45832</v>
      </c>
      <c r="G642" s="95">
        <v>115</v>
      </c>
      <c r="H642" s="49" t="s">
        <v>12669</v>
      </c>
      <c r="I642" s="97">
        <v>8901.6393442622939</v>
      </c>
      <c r="J642" s="95">
        <v>4</v>
      </c>
      <c r="K642" s="102">
        <v>1086</v>
      </c>
      <c r="L642" s="95">
        <v>1</v>
      </c>
      <c r="M642" s="95">
        <v>32</v>
      </c>
      <c r="N642" s="95">
        <v>0</v>
      </c>
      <c r="O642" s="49" t="s">
        <v>10852</v>
      </c>
    </row>
    <row r="643" spans="1:15">
      <c r="A643" s="95">
        <v>759724529202804</v>
      </c>
      <c r="B643" s="49" t="s">
        <v>10621</v>
      </c>
      <c r="C643" s="49" t="s">
        <v>10850</v>
      </c>
      <c r="D643" s="49" t="s">
        <v>10851</v>
      </c>
      <c r="E643" s="49">
        <v>6282125465047</v>
      </c>
      <c r="F643" s="96">
        <v>45832</v>
      </c>
      <c r="G643" s="95">
        <v>208</v>
      </c>
      <c r="H643" s="49" t="s">
        <v>12670</v>
      </c>
      <c r="I643" s="97">
        <v>14298.245614035088</v>
      </c>
      <c r="J643" s="95">
        <v>13</v>
      </c>
      <c r="K643" s="102">
        <v>3260</v>
      </c>
      <c r="L643" s="95">
        <v>3</v>
      </c>
      <c r="M643" s="95">
        <v>76</v>
      </c>
      <c r="N643" s="95">
        <v>0</v>
      </c>
      <c r="O643" s="49" t="s">
        <v>10852</v>
      </c>
    </row>
    <row r="644" spans="1:15">
      <c r="A644" s="95">
        <v>759724529202804</v>
      </c>
      <c r="B644" s="49" t="s">
        <v>10621</v>
      </c>
      <c r="C644" s="49" t="s">
        <v>10850</v>
      </c>
      <c r="D644" s="49" t="s">
        <v>10851</v>
      </c>
      <c r="E644" s="49">
        <v>6282125465047</v>
      </c>
      <c r="F644" s="96">
        <v>45832</v>
      </c>
      <c r="G644" s="95">
        <v>238</v>
      </c>
      <c r="H644" s="49" t="s">
        <v>12671</v>
      </c>
      <c r="I644" s="97">
        <v>22025.925925925927</v>
      </c>
      <c r="J644" s="95">
        <v>15</v>
      </c>
      <c r="K644" s="102">
        <v>5947</v>
      </c>
      <c r="L644" s="95">
        <v>4</v>
      </c>
      <c r="M644" s="95">
        <v>91</v>
      </c>
      <c r="N644" s="95">
        <v>0</v>
      </c>
      <c r="O644" s="49" t="s">
        <v>10852</v>
      </c>
    </row>
    <row r="645" spans="1:15">
      <c r="A645" s="95">
        <v>759724529202804</v>
      </c>
      <c r="B645" s="49" t="s">
        <v>10621</v>
      </c>
      <c r="C645" s="49" t="s">
        <v>10850</v>
      </c>
      <c r="D645" s="49" t="s">
        <v>10851</v>
      </c>
      <c r="E645" s="49">
        <v>6282125465047</v>
      </c>
      <c r="F645" s="96">
        <v>45832</v>
      </c>
      <c r="G645" s="95">
        <v>167</v>
      </c>
      <c r="H645" s="49" t="s">
        <v>12672</v>
      </c>
      <c r="I645" s="97">
        <v>25045.918367346938</v>
      </c>
      <c r="J645" s="95">
        <v>14</v>
      </c>
      <c r="K645" s="102">
        <v>4909</v>
      </c>
      <c r="L645" s="95">
        <v>1</v>
      </c>
      <c r="M645" s="95">
        <v>75</v>
      </c>
      <c r="N645" s="95">
        <v>2</v>
      </c>
      <c r="O645" s="49" t="s">
        <v>10852</v>
      </c>
    </row>
    <row r="646" spans="1:15">
      <c r="A646" s="95">
        <v>759724529202804</v>
      </c>
      <c r="B646" s="49" t="s">
        <v>10621</v>
      </c>
      <c r="C646" s="49" t="s">
        <v>10890</v>
      </c>
      <c r="D646" s="49" t="s">
        <v>450</v>
      </c>
      <c r="E646" s="49">
        <v>62895401448273</v>
      </c>
      <c r="F646" s="96">
        <v>45832</v>
      </c>
      <c r="G646" s="95">
        <v>53</v>
      </c>
      <c r="H646" s="49" t="s">
        <v>12667</v>
      </c>
      <c r="I646" s="97">
        <v>15716.216216216215</v>
      </c>
      <c r="J646" s="95">
        <v>2</v>
      </c>
      <c r="K646" s="102">
        <v>1163</v>
      </c>
      <c r="L646" s="95">
        <v>0</v>
      </c>
      <c r="M646" s="95">
        <v>0</v>
      </c>
      <c r="N646" s="95">
        <v>0</v>
      </c>
      <c r="O646" s="49" t="s">
        <v>10891</v>
      </c>
    </row>
    <row r="647" spans="1:15">
      <c r="A647" s="95">
        <v>759724529202804</v>
      </c>
      <c r="B647" s="49" t="s">
        <v>10621</v>
      </c>
      <c r="C647" s="49" t="s">
        <v>10890</v>
      </c>
      <c r="D647" s="49" t="s">
        <v>450</v>
      </c>
      <c r="E647" s="49">
        <v>62895401448273</v>
      </c>
      <c r="F647" s="96">
        <v>45832</v>
      </c>
      <c r="G647" s="95">
        <v>174</v>
      </c>
      <c r="H647" s="49" t="s">
        <v>12668</v>
      </c>
      <c r="I647" s="97">
        <v>18215.517241379308</v>
      </c>
      <c r="J647" s="95">
        <v>4</v>
      </c>
      <c r="K647" s="102">
        <v>4226</v>
      </c>
      <c r="L647" s="95">
        <v>0</v>
      </c>
      <c r="M647" s="95">
        <v>0</v>
      </c>
      <c r="N647" s="95">
        <v>0</v>
      </c>
      <c r="O647" s="49" t="s">
        <v>10891</v>
      </c>
    </row>
    <row r="648" spans="1:15">
      <c r="A648" s="95">
        <v>759724529202804</v>
      </c>
      <c r="B648" s="49" t="s">
        <v>10621</v>
      </c>
      <c r="C648" s="49" t="s">
        <v>10890</v>
      </c>
      <c r="D648" s="49" t="s">
        <v>450</v>
      </c>
      <c r="E648" s="49">
        <v>62895401448273</v>
      </c>
      <c r="F648" s="96">
        <v>45832</v>
      </c>
      <c r="G648" s="95">
        <v>182</v>
      </c>
      <c r="H648" s="49" t="s">
        <v>12669</v>
      </c>
      <c r="I648" s="97">
        <v>23456.603773584906</v>
      </c>
      <c r="J648" s="95">
        <v>9</v>
      </c>
      <c r="K648" s="102">
        <v>6216</v>
      </c>
      <c r="L648" s="95">
        <v>1</v>
      </c>
      <c r="M648" s="95">
        <v>0</v>
      </c>
      <c r="N648" s="95">
        <v>0</v>
      </c>
      <c r="O648" s="49" t="s">
        <v>10891</v>
      </c>
    </row>
    <row r="649" spans="1:15">
      <c r="A649" s="95">
        <v>759724529202804</v>
      </c>
      <c r="B649" s="49" t="s">
        <v>10621</v>
      </c>
      <c r="C649" s="49" t="s">
        <v>10890</v>
      </c>
      <c r="D649" s="49" t="s">
        <v>450</v>
      </c>
      <c r="E649" s="49">
        <v>62895401448273</v>
      </c>
      <c r="F649" s="96">
        <v>45832</v>
      </c>
      <c r="G649" s="95">
        <v>95</v>
      </c>
      <c r="H649" s="49" t="s">
        <v>12670</v>
      </c>
      <c r="I649" s="97">
        <v>30610.687022900762</v>
      </c>
      <c r="J649" s="95">
        <v>7</v>
      </c>
      <c r="K649" s="102">
        <v>4010</v>
      </c>
      <c r="L649" s="95">
        <v>0</v>
      </c>
      <c r="M649" s="95">
        <v>0</v>
      </c>
      <c r="N649" s="95">
        <v>0</v>
      </c>
      <c r="O649" s="49" t="s">
        <v>10891</v>
      </c>
    </row>
    <row r="650" spans="1:15">
      <c r="A650" s="95">
        <v>759724529202804</v>
      </c>
      <c r="B650" s="49" t="s">
        <v>10621</v>
      </c>
      <c r="C650" s="49" t="s">
        <v>10890</v>
      </c>
      <c r="D650" s="49" t="s">
        <v>450</v>
      </c>
      <c r="E650" s="49">
        <v>62895401448273</v>
      </c>
      <c r="F650" s="96">
        <v>45832</v>
      </c>
      <c r="G650" s="95">
        <v>31</v>
      </c>
      <c r="H650" s="49" t="s">
        <v>12671</v>
      </c>
      <c r="I650" s="97">
        <v>26735.294117647059</v>
      </c>
      <c r="J650" s="95">
        <v>2</v>
      </c>
      <c r="K650" s="102">
        <v>909</v>
      </c>
      <c r="L650" s="95">
        <v>0</v>
      </c>
      <c r="M650" s="95">
        <v>0</v>
      </c>
      <c r="N650" s="95">
        <v>0</v>
      </c>
      <c r="O650" s="49" t="s">
        <v>10891</v>
      </c>
    </row>
    <row r="651" spans="1:15">
      <c r="A651" s="95">
        <v>759724529202804</v>
      </c>
      <c r="B651" s="49" t="s">
        <v>10621</v>
      </c>
      <c r="C651" s="49" t="s">
        <v>10890</v>
      </c>
      <c r="D651" s="49" t="s">
        <v>450</v>
      </c>
      <c r="E651" s="49">
        <v>62895401448273</v>
      </c>
      <c r="F651" s="96">
        <v>45832</v>
      </c>
      <c r="G651" s="95">
        <v>14</v>
      </c>
      <c r="H651" s="49" t="s">
        <v>12672</v>
      </c>
      <c r="I651" s="97">
        <v>15650</v>
      </c>
      <c r="J651" s="95">
        <v>0</v>
      </c>
      <c r="K651" s="102">
        <v>313</v>
      </c>
      <c r="L651" s="95">
        <v>0</v>
      </c>
      <c r="M651" s="95">
        <v>0</v>
      </c>
      <c r="N651" s="95">
        <v>0</v>
      </c>
      <c r="O651" s="49" t="s">
        <v>10891</v>
      </c>
    </row>
    <row r="652" spans="1:15">
      <c r="A652" s="95">
        <v>759724529202804</v>
      </c>
      <c r="B652" s="49" t="s">
        <v>10621</v>
      </c>
      <c r="C652" s="49" t="s">
        <v>332</v>
      </c>
      <c r="D652" s="49" t="s">
        <v>10708</v>
      </c>
      <c r="E652" s="49">
        <v>6282350524788</v>
      </c>
      <c r="F652" s="96">
        <v>45832</v>
      </c>
      <c r="G652" s="95">
        <v>44</v>
      </c>
      <c r="H652" s="49" t="s">
        <v>12667</v>
      </c>
      <c r="I652" s="97">
        <v>17224.137931034486</v>
      </c>
      <c r="J652" s="95">
        <v>2</v>
      </c>
      <c r="K652" s="102">
        <v>999</v>
      </c>
      <c r="L652" s="95">
        <v>0</v>
      </c>
      <c r="M652" s="95">
        <v>0</v>
      </c>
      <c r="N652" s="95">
        <v>0</v>
      </c>
      <c r="O652" s="49" t="s">
        <v>10709</v>
      </c>
    </row>
    <row r="653" spans="1:15">
      <c r="A653" s="95">
        <v>759724529202804</v>
      </c>
      <c r="B653" s="49" t="s">
        <v>10621</v>
      </c>
      <c r="C653" s="49" t="s">
        <v>332</v>
      </c>
      <c r="D653" s="49" t="s">
        <v>10708</v>
      </c>
      <c r="E653" s="49">
        <v>6282350524788</v>
      </c>
      <c r="F653" s="96">
        <v>45832</v>
      </c>
      <c r="G653" s="95">
        <v>247</v>
      </c>
      <c r="H653" s="49" t="s">
        <v>12668</v>
      </c>
      <c r="I653" s="97">
        <v>12832.258064516129</v>
      </c>
      <c r="J653" s="95">
        <v>18</v>
      </c>
      <c r="K653" s="102">
        <v>3978</v>
      </c>
      <c r="L653" s="95">
        <v>1</v>
      </c>
      <c r="M653" s="95">
        <v>3</v>
      </c>
      <c r="N653" s="95">
        <v>0</v>
      </c>
      <c r="O653" s="49" t="s">
        <v>10709</v>
      </c>
    </row>
    <row r="654" spans="1:15">
      <c r="A654" s="95">
        <v>759724529202804</v>
      </c>
      <c r="B654" s="49" t="s">
        <v>10621</v>
      </c>
      <c r="C654" s="49" t="s">
        <v>332</v>
      </c>
      <c r="D654" s="49" t="s">
        <v>10708</v>
      </c>
      <c r="E654" s="49">
        <v>6282350524788</v>
      </c>
      <c r="F654" s="96">
        <v>45832</v>
      </c>
      <c r="G654" s="95">
        <v>238</v>
      </c>
      <c r="H654" s="49" t="s">
        <v>12669</v>
      </c>
      <c r="I654" s="97">
        <v>15418.439716312056</v>
      </c>
      <c r="J654" s="95">
        <v>10</v>
      </c>
      <c r="K654" s="102">
        <v>4348</v>
      </c>
      <c r="L654" s="95">
        <v>2</v>
      </c>
      <c r="M654" s="95">
        <v>0</v>
      </c>
      <c r="N654" s="95">
        <v>0</v>
      </c>
      <c r="O654" s="49" t="s">
        <v>10709</v>
      </c>
    </row>
    <row r="655" spans="1:15">
      <c r="A655" s="95">
        <v>759724529202804</v>
      </c>
      <c r="B655" s="49" t="s">
        <v>10621</v>
      </c>
      <c r="C655" s="49" t="s">
        <v>332</v>
      </c>
      <c r="D655" s="49" t="s">
        <v>10708</v>
      </c>
      <c r="E655" s="49">
        <v>6282350524788</v>
      </c>
      <c r="F655" s="96">
        <v>45832</v>
      </c>
      <c r="G655" s="95">
        <v>176</v>
      </c>
      <c r="H655" s="49" t="s">
        <v>12670</v>
      </c>
      <c r="I655" s="97">
        <v>16901.785714285714</v>
      </c>
      <c r="J655" s="95">
        <v>7</v>
      </c>
      <c r="K655" s="102">
        <v>3786</v>
      </c>
      <c r="L655" s="95">
        <v>0</v>
      </c>
      <c r="M655" s="95">
        <v>1</v>
      </c>
      <c r="N655" s="95">
        <v>0</v>
      </c>
      <c r="O655" s="49" t="s">
        <v>10709</v>
      </c>
    </row>
    <row r="656" spans="1:15">
      <c r="A656" s="95">
        <v>759724529202804</v>
      </c>
      <c r="B656" s="49" t="s">
        <v>10621</v>
      </c>
      <c r="C656" s="49" t="s">
        <v>332</v>
      </c>
      <c r="D656" s="49" t="s">
        <v>10708</v>
      </c>
      <c r="E656" s="49">
        <v>6282350524788</v>
      </c>
      <c r="F656" s="96">
        <v>45832</v>
      </c>
      <c r="G656" s="95">
        <v>64</v>
      </c>
      <c r="H656" s="49" t="s">
        <v>12671</v>
      </c>
      <c r="I656" s="97">
        <v>21589.74358974359</v>
      </c>
      <c r="J656" s="95">
        <v>2</v>
      </c>
      <c r="K656" s="102">
        <v>1684</v>
      </c>
      <c r="L656" s="95">
        <v>1</v>
      </c>
      <c r="M656" s="95">
        <v>1</v>
      </c>
      <c r="N656" s="95">
        <v>0</v>
      </c>
      <c r="O656" s="49" t="s">
        <v>10709</v>
      </c>
    </row>
    <row r="657" spans="1:15">
      <c r="A657" s="95">
        <v>759724529202804</v>
      </c>
      <c r="B657" s="49" t="s">
        <v>10621</v>
      </c>
      <c r="C657" s="49" t="s">
        <v>332</v>
      </c>
      <c r="D657" s="49" t="s">
        <v>10708</v>
      </c>
      <c r="E657" s="49">
        <v>6282350524788</v>
      </c>
      <c r="F657" s="96">
        <v>45832</v>
      </c>
      <c r="G657" s="95">
        <v>20</v>
      </c>
      <c r="H657" s="49" t="s">
        <v>12672</v>
      </c>
      <c r="I657" s="97">
        <v>13904.761904761905</v>
      </c>
      <c r="J657" s="95">
        <v>1</v>
      </c>
      <c r="K657" s="102">
        <v>292</v>
      </c>
      <c r="L657" s="95">
        <v>0</v>
      </c>
      <c r="M657" s="95">
        <v>0</v>
      </c>
      <c r="N657" s="95">
        <v>0</v>
      </c>
      <c r="O657" s="49" t="s">
        <v>10709</v>
      </c>
    </row>
    <row r="658" spans="1:15">
      <c r="A658" s="95">
        <v>759724529202804</v>
      </c>
      <c r="B658" s="49" t="s">
        <v>10621</v>
      </c>
      <c r="C658" s="49" t="s">
        <v>665</v>
      </c>
      <c r="D658" s="49" t="s">
        <v>659</v>
      </c>
      <c r="E658" s="49">
        <v>6285757057088</v>
      </c>
      <c r="F658" s="96">
        <v>45832</v>
      </c>
      <c r="G658" s="95">
        <v>239</v>
      </c>
      <c r="H658" s="49" t="s">
        <v>12668</v>
      </c>
      <c r="I658" s="97">
        <v>13127.388535031849</v>
      </c>
      <c r="J658" s="95">
        <v>10</v>
      </c>
      <c r="K658" s="102">
        <v>4122</v>
      </c>
      <c r="L658" s="95">
        <v>0</v>
      </c>
      <c r="M658" s="95">
        <v>0</v>
      </c>
      <c r="N658" s="95">
        <v>0</v>
      </c>
      <c r="O658" s="49" t="s">
        <v>10636</v>
      </c>
    </row>
    <row r="659" spans="1:15">
      <c r="A659" s="95">
        <v>759724529202804</v>
      </c>
      <c r="B659" s="49" t="s">
        <v>10621</v>
      </c>
      <c r="C659" s="49" t="s">
        <v>665</v>
      </c>
      <c r="D659" s="49" t="s">
        <v>659</v>
      </c>
      <c r="E659" s="49">
        <v>6285757057088</v>
      </c>
      <c r="F659" s="96">
        <v>45832</v>
      </c>
      <c r="G659" s="95">
        <v>250</v>
      </c>
      <c r="H659" s="49" t="s">
        <v>12669</v>
      </c>
      <c r="I659" s="97">
        <v>19066.225165562915</v>
      </c>
      <c r="J659" s="95">
        <v>9</v>
      </c>
      <c r="K659" s="102">
        <v>5758</v>
      </c>
      <c r="L659" s="95">
        <v>0</v>
      </c>
      <c r="M659" s="95">
        <v>0</v>
      </c>
      <c r="N659" s="95">
        <v>1</v>
      </c>
      <c r="O659" s="49" t="s">
        <v>10636</v>
      </c>
    </row>
    <row r="660" spans="1:15">
      <c r="A660" s="95">
        <v>759724529202804</v>
      </c>
      <c r="B660" s="49" t="s">
        <v>10621</v>
      </c>
      <c r="C660" s="49" t="s">
        <v>665</v>
      </c>
      <c r="D660" s="49" t="s">
        <v>659</v>
      </c>
      <c r="E660" s="49">
        <v>6285757057088</v>
      </c>
      <c r="F660" s="96">
        <v>45832</v>
      </c>
      <c r="G660" s="95">
        <v>132</v>
      </c>
      <c r="H660" s="49" t="s">
        <v>12670</v>
      </c>
      <c r="I660" s="97">
        <v>24535.03184713376</v>
      </c>
      <c r="J660" s="95">
        <v>6</v>
      </c>
      <c r="K660" s="102">
        <v>3852</v>
      </c>
      <c r="L660" s="95">
        <v>1</v>
      </c>
      <c r="M660" s="95">
        <v>0</v>
      </c>
      <c r="N660" s="95">
        <v>0</v>
      </c>
      <c r="O660" s="49" t="s">
        <v>10636</v>
      </c>
    </row>
    <row r="661" spans="1:15">
      <c r="A661" s="95">
        <v>759724529202804</v>
      </c>
      <c r="B661" s="49" t="s">
        <v>10621</v>
      </c>
      <c r="C661" s="49" t="s">
        <v>665</v>
      </c>
      <c r="D661" s="49" t="s">
        <v>659</v>
      </c>
      <c r="E661" s="49">
        <v>6285757057088</v>
      </c>
      <c r="F661" s="96">
        <v>45832</v>
      </c>
      <c r="G661" s="95">
        <v>39</v>
      </c>
      <c r="H661" s="49" t="s">
        <v>12671</v>
      </c>
      <c r="I661" s="97">
        <v>24434.782608695652</v>
      </c>
      <c r="J661" s="95">
        <v>0</v>
      </c>
      <c r="K661" s="102">
        <v>1124</v>
      </c>
      <c r="L661" s="95">
        <v>0</v>
      </c>
      <c r="M661" s="95">
        <v>0</v>
      </c>
      <c r="N661" s="95">
        <v>0</v>
      </c>
      <c r="O661" s="49" t="s">
        <v>10636</v>
      </c>
    </row>
    <row r="662" spans="1:15">
      <c r="A662" s="95">
        <v>759724529202804</v>
      </c>
      <c r="B662" s="49" t="s">
        <v>10621</v>
      </c>
      <c r="C662" s="49" t="s">
        <v>665</v>
      </c>
      <c r="D662" s="49" t="s">
        <v>659</v>
      </c>
      <c r="E662" s="49">
        <v>6285757057088</v>
      </c>
      <c r="F662" s="96">
        <v>45832</v>
      </c>
      <c r="G662" s="95">
        <v>16</v>
      </c>
      <c r="H662" s="49" t="s">
        <v>12672</v>
      </c>
      <c r="I662" s="97">
        <v>25285.714285714286</v>
      </c>
      <c r="J662" s="95">
        <v>0</v>
      </c>
      <c r="K662" s="102">
        <v>531</v>
      </c>
      <c r="L662" s="95">
        <v>0</v>
      </c>
      <c r="M662" s="95">
        <v>0</v>
      </c>
      <c r="N662" s="95">
        <v>0</v>
      </c>
      <c r="O662" s="49" t="s">
        <v>10636</v>
      </c>
    </row>
    <row r="663" spans="1:15">
      <c r="A663" s="95">
        <v>174904221976312</v>
      </c>
      <c r="B663" s="49" t="s">
        <v>10651</v>
      </c>
      <c r="C663" s="49" t="s">
        <v>10915</v>
      </c>
      <c r="D663" s="49" t="s">
        <v>10674</v>
      </c>
      <c r="E663" s="49">
        <v>6282183184641</v>
      </c>
      <c r="F663" s="96">
        <v>45832</v>
      </c>
      <c r="G663" s="95">
        <v>4</v>
      </c>
      <c r="H663" s="49" t="s">
        <v>12667</v>
      </c>
      <c r="I663" s="97">
        <v>7250</v>
      </c>
      <c r="J663" s="95">
        <v>0</v>
      </c>
      <c r="K663" s="102">
        <v>29</v>
      </c>
      <c r="L663" s="95">
        <v>0</v>
      </c>
      <c r="M663" s="95">
        <v>0</v>
      </c>
      <c r="N663" s="95">
        <v>0</v>
      </c>
      <c r="O663" s="49" t="s">
        <v>10675</v>
      </c>
    </row>
    <row r="664" spans="1:15">
      <c r="A664" s="95">
        <v>174904221976312</v>
      </c>
      <c r="B664" s="49" t="s">
        <v>10651</v>
      </c>
      <c r="C664" s="49" t="s">
        <v>10915</v>
      </c>
      <c r="D664" s="49" t="s">
        <v>10674</v>
      </c>
      <c r="E664" s="49">
        <v>6282183184641</v>
      </c>
      <c r="F664" s="96">
        <v>45832</v>
      </c>
      <c r="G664" s="95">
        <v>128</v>
      </c>
      <c r="H664" s="49" t="s">
        <v>12668</v>
      </c>
      <c r="I664" s="97">
        <v>14812.5</v>
      </c>
      <c r="J664" s="95">
        <v>3</v>
      </c>
      <c r="K664" s="102">
        <v>2133</v>
      </c>
      <c r="L664" s="95">
        <v>1</v>
      </c>
      <c r="M664" s="95">
        <v>18</v>
      </c>
      <c r="N664" s="95">
        <v>0</v>
      </c>
      <c r="O664" s="49" t="s">
        <v>10675</v>
      </c>
    </row>
    <row r="665" spans="1:15">
      <c r="A665" s="95">
        <v>174904221976312</v>
      </c>
      <c r="B665" s="49" t="s">
        <v>10651</v>
      </c>
      <c r="C665" s="49" t="s">
        <v>10915</v>
      </c>
      <c r="D665" s="49" t="s">
        <v>10674</v>
      </c>
      <c r="E665" s="49">
        <v>6282183184641</v>
      </c>
      <c r="F665" s="96">
        <v>45832</v>
      </c>
      <c r="G665" s="95">
        <v>144</v>
      </c>
      <c r="H665" s="49" t="s">
        <v>12669</v>
      </c>
      <c r="I665" s="97">
        <v>14887.5</v>
      </c>
      <c r="J665" s="95">
        <v>3</v>
      </c>
      <c r="K665" s="102">
        <v>2382</v>
      </c>
      <c r="L665" s="95">
        <v>1</v>
      </c>
      <c r="M665" s="95">
        <v>17</v>
      </c>
      <c r="N665" s="95">
        <v>0</v>
      </c>
      <c r="O665" s="49" t="s">
        <v>10675</v>
      </c>
    </row>
    <row r="666" spans="1:15">
      <c r="A666" s="95">
        <v>174904221976312</v>
      </c>
      <c r="B666" s="49" t="s">
        <v>10651</v>
      </c>
      <c r="C666" s="49" t="s">
        <v>10915</v>
      </c>
      <c r="D666" s="49" t="s">
        <v>10674</v>
      </c>
      <c r="E666" s="49">
        <v>6282183184641</v>
      </c>
      <c r="F666" s="96">
        <v>45832</v>
      </c>
      <c r="G666" s="95">
        <v>122</v>
      </c>
      <c r="H666" s="49" t="s">
        <v>12670</v>
      </c>
      <c r="I666" s="97">
        <v>21297.709923664122</v>
      </c>
      <c r="J666" s="95">
        <v>2</v>
      </c>
      <c r="K666" s="102">
        <v>2790</v>
      </c>
      <c r="L666" s="95">
        <v>0</v>
      </c>
      <c r="M666" s="95">
        <v>24</v>
      </c>
      <c r="N666" s="95">
        <v>0</v>
      </c>
      <c r="O666" s="49" t="s">
        <v>10675</v>
      </c>
    </row>
    <row r="667" spans="1:15">
      <c r="A667" s="95">
        <v>174904221976312</v>
      </c>
      <c r="B667" s="49" t="s">
        <v>10651</v>
      </c>
      <c r="C667" s="49" t="s">
        <v>10915</v>
      </c>
      <c r="D667" s="49" t="s">
        <v>10674</v>
      </c>
      <c r="E667" s="49">
        <v>6282183184641</v>
      </c>
      <c r="F667" s="96">
        <v>45832</v>
      </c>
      <c r="G667" s="95">
        <v>20</v>
      </c>
      <c r="H667" s="49" t="s">
        <v>12671</v>
      </c>
      <c r="I667" s="97">
        <v>23142.857142857141</v>
      </c>
      <c r="J667" s="95">
        <v>1</v>
      </c>
      <c r="K667" s="102">
        <v>486</v>
      </c>
      <c r="L667" s="95">
        <v>0</v>
      </c>
      <c r="M667" s="95">
        <v>3</v>
      </c>
      <c r="N667" s="95">
        <v>0</v>
      </c>
      <c r="O667" s="49" t="s">
        <v>10675</v>
      </c>
    </row>
    <row r="668" spans="1:15">
      <c r="A668" s="95">
        <v>174904221976312</v>
      </c>
      <c r="B668" s="49" t="s">
        <v>10651</v>
      </c>
      <c r="C668" s="49" t="s">
        <v>10915</v>
      </c>
      <c r="D668" s="49" t="s">
        <v>10674</v>
      </c>
      <c r="E668" s="49">
        <v>6282183184641</v>
      </c>
      <c r="F668" s="96">
        <v>45832</v>
      </c>
      <c r="G668" s="95">
        <v>3</v>
      </c>
      <c r="H668" s="49" t="s">
        <v>12672</v>
      </c>
      <c r="I668" s="97">
        <v>42333.333333333336</v>
      </c>
      <c r="J668" s="95">
        <v>0</v>
      </c>
      <c r="K668" s="102">
        <v>127</v>
      </c>
      <c r="L668" s="95">
        <v>0</v>
      </c>
      <c r="M668" s="95">
        <v>1</v>
      </c>
      <c r="N668" s="95">
        <v>0</v>
      </c>
      <c r="O668" s="49" t="s">
        <v>10675</v>
      </c>
    </row>
    <row r="669" spans="1:15">
      <c r="A669" s="95">
        <v>174904221976312</v>
      </c>
      <c r="B669" s="49" t="s">
        <v>10651</v>
      </c>
      <c r="C669" s="49" t="s">
        <v>10892</v>
      </c>
      <c r="D669" s="49" t="s">
        <v>10893</v>
      </c>
      <c r="E669" s="49">
        <v>6282399721881</v>
      </c>
      <c r="F669" s="96">
        <v>45832</v>
      </c>
      <c r="G669" s="95">
        <v>39</v>
      </c>
      <c r="H669" s="49" t="s">
        <v>12667</v>
      </c>
      <c r="I669" s="97">
        <v>6682.9268292682927</v>
      </c>
      <c r="J669" s="95">
        <v>0</v>
      </c>
      <c r="K669" s="102">
        <v>274</v>
      </c>
      <c r="L669" s="95">
        <v>0</v>
      </c>
      <c r="M669" s="95">
        <v>13</v>
      </c>
      <c r="N669" s="95">
        <v>0</v>
      </c>
      <c r="O669" s="49" t="s">
        <v>10894</v>
      </c>
    </row>
    <row r="670" spans="1:15">
      <c r="A670" s="95">
        <v>174904221976312</v>
      </c>
      <c r="B670" s="49" t="s">
        <v>10651</v>
      </c>
      <c r="C670" s="49" t="s">
        <v>10892</v>
      </c>
      <c r="D670" s="49" t="s">
        <v>10893</v>
      </c>
      <c r="E670" s="49">
        <v>6282399721881</v>
      </c>
      <c r="F670" s="96">
        <v>45832</v>
      </c>
      <c r="G670" s="95">
        <v>184</v>
      </c>
      <c r="H670" s="49" t="s">
        <v>12668</v>
      </c>
      <c r="I670" s="97">
        <v>9804.878048780487</v>
      </c>
      <c r="J670" s="95">
        <v>3</v>
      </c>
      <c r="K670" s="102">
        <v>2412</v>
      </c>
      <c r="L670" s="95">
        <v>0</v>
      </c>
      <c r="M670" s="95">
        <v>71</v>
      </c>
      <c r="N670" s="95">
        <v>0</v>
      </c>
      <c r="O670" s="49" t="s">
        <v>10894</v>
      </c>
    </row>
    <row r="671" spans="1:15">
      <c r="A671" s="95">
        <v>174904221976312</v>
      </c>
      <c r="B671" s="49" t="s">
        <v>10651</v>
      </c>
      <c r="C671" s="49" t="s">
        <v>10892</v>
      </c>
      <c r="D671" s="49" t="s">
        <v>10893</v>
      </c>
      <c r="E671" s="49">
        <v>6282399721881</v>
      </c>
      <c r="F671" s="96">
        <v>45832</v>
      </c>
      <c r="G671" s="95">
        <v>298</v>
      </c>
      <c r="H671" s="49" t="s">
        <v>12669</v>
      </c>
      <c r="I671" s="97">
        <v>8494.8717948717949</v>
      </c>
      <c r="J671" s="95">
        <v>6</v>
      </c>
      <c r="K671" s="102">
        <v>3313</v>
      </c>
      <c r="L671" s="95">
        <v>0</v>
      </c>
      <c r="M671" s="95">
        <v>120</v>
      </c>
      <c r="N671" s="95">
        <v>0</v>
      </c>
      <c r="O671" s="49" t="s">
        <v>10894</v>
      </c>
    </row>
    <row r="672" spans="1:15">
      <c r="A672" s="95">
        <v>174904221976312</v>
      </c>
      <c r="B672" s="49" t="s">
        <v>10651</v>
      </c>
      <c r="C672" s="49" t="s">
        <v>10892</v>
      </c>
      <c r="D672" s="49" t="s">
        <v>10893</v>
      </c>
      <c r="E672" s="49">
        <v>6282399721881</v>
      </c>
      <c r="F672" s="96">
        <v>45832</v>
      </c>
      <c r="G672" s="95">
        <v>264</v>
      </c>
      <c r="H672" s="49" t="s">
        <v>12670</v>
      </c>
      <c r="I672" s="97">
        <v>12442.136498516322</v>
      </c>
      <c r="J672" s="95">
        <v>5</v>
      </c>
      <c r="K672" s="102">
        <v>4193</v>
      </c>
      <c r="L672" s="95">
        <v>0</v>
      </c>
      <c r="M672" s="95">
        <v>154</v>
      </c>
      <c r="N672" s="95">
        <v>0</v>
      </c>
      <c r="O672" s="49" t="s">
        <v>10894</v>
      </c>
    </row>
    <row r="673" spans="1:15">
      <c r="A673" s="95">
        <v>174904221976312</v>
      </c>
      <c r="B673" s="49" t="s">
        <v>10651</v>
      </c>
      <c r="C673" s="49" t="s">
        <v>10892</v>
      </c>
      <c r="D673" s="49" t="s">
        <v>10893</v>
      </c>
      <c r="E673" s="49">
        <v>6282399721881</v>
      </c>
      <c r="F673" s="96">
        <v>45832</v>
      </c>
      <c r="G673" s="95">
        <v>164</v>
      </c>
      <c r="H673" s="49" t="s">
        <v>12671</v>
      </c>
      <c r="I673" s="97">
        <v>11151.219512195121</v>
      </c>
      <c r="J673" s="95">
        <v>4</v>
      </c>
      <c r="K673" s="102">
        <v>2286</v>
      </c>
      <c r="L673" s="95">
        <v>0</v>
      </c>
      <c r="M673" s="95">
        <v>91</v>
      </c>
      <c r="N673" s="95">
        <v>0</v>
      </c>
      <c r="O673" s="49" t="s">
        <v>10894</v>
      </c>
    </row>
    <row r="674" spans="1:15">
      <c r="A674" s="95">
        <v>174904221976312</v>
      </c>
      <c r="B674" s="49" t="s">
        <v>10651</v>
      </c>
      <c r="C674" s="49" t="s">
        <v>10892</v>
      </c>
      <c r="D674" s="49" t="s">
        <v>10893</v>
      </c>
      <c r="E674" s="49">
        <v>6282399721881</v>
      </c>
      <c r="F674" s="96">
        <v>45832</v>
      </c>
      <c r="G674" s="95">
        <v>28</v>
      </c>
      <c r="H674" s="49" t="s">
        <v>12672</v>
      </c>
      <c r="I674" s="97">
        <v>16588.235294117647</v>
      </c>
      <c r="J674" s="95">
        <v>0</v>
      </c>
      <c r="K674" s="102">
        <v>564</v>
      </c>
      <c r="L674" s="95">
        <v>0</v>
      </c>
      <c r="M674" s="95">
        <v>19</v>
      </c>
      <c r="N674" s="95">
        <v>0</v>
      </c>
      <c r="O674" s="49" t="s">
        <v>10894</v>
      </c>
    </row>
    <row r="675" spans="1:15">
      <c r="A675" s="95">
        <v>174904221976312</v>
      </c>
      <c r="B675" s="49" t="s">
        <v>10651</v>
      </c>
      <c r="C675" s="49" t="s">
        <v>10895</v>
      </c>
      <c r="D675" s="49" t="s">
        <v>10896</v>
      </c>
      <c r="E675" s="49">
        <v>6281299907533</v>
      </c>
      <c r="F675" s="96">
        <v>45832</v>
      </c>
      <c r="G675" s="95">
        <v>16</v>
      </c>
      <c r="H675" s="49" t="s">
        <v>12667</v>
      </c>
      <c r="I675" s="97">
        <v>29777.777777777777</v>
      </c>
      <c r="J675" s="95">
        <v>0</v>
      </c>
      <c r="K675" s="102">
        <v>536</v>
      </c>
      <c r="L675" s="95">
        <v>0</v>
      </c>
      <c r="M675" s="95">
        <v>8</v>
      </c>
      <c r="N675" s="95">
        <v>0</v>
      </c>
      <c r="O675" s="49" t="s">
        <v>10897</v>
      </c>
    </row>
    <row r="676" spans="1:15">
      <c r="A676" s="95">
        <v>174904221976312</v>
      </c>
      <c r="B676" s="49" t="s">
        <v>10651</v>
      </c>
      <c r="C676" s="49" t="s">
        <v>10895</v>
      </c>
      <c r="D676" s="49" t="s">
        <v>10896</v>
      </c>
      <c r="E676" s="49">
        <v>6281299907533</v>
      </c>
      <c r="F676" s="96">
        <v>45832</v>
      </c>
      <c r="G676" s="95">
        <v>41</v>
      </c>
      <c r="H676" s="49" t="s">
        <v>12668</v>
      </c>
      <c r="I676" s="97">
        <v>16183.673469387755</v>
      </c>
      <c r="J676" s="95">
        <v>2</v>
      </c>
      <c r="K676" s="102">
        <v>793</v>
      </c>
      <c r="L676" s="95">
        <v>0</v>
      </c>
      <c r="M676" s="95">
        <v>10</v>
      </c>
      <c r="N676" s="95">
        <v>0</v>
      </c>
      <c r="O676" s="49" t="s">
        <v>10897</v>
      </c>
    </row>
    <row r="677" spans="1:15">
      <c r="A677" s="95">
        <v>174904221976312</v>
      </c>
      <c r="B677" s="49" t="s">
        <v>10651</v>
      </c>
      <c r="C677" s="49" t="s">
        <v>10895</v>
      </c>
      <c r="D677" s="49" t="s">
        <v>10896</v>
      </c>
      <c r="E677" s="49">
        <v>6281299907533</v>
      </c>
      <c r="F677" s="96">
        <v>45832</v>
      </c>
      <c r="G677" s="95">
        <v>73</v>
      </c>
      <c r="H677" s="49" t="s">
        <v>12669</v>
      </c>
      <c r="I677" s="97">
        <v>26538.461538461539</v>
      </c>
      <c r="J677" s="95">
        <v>2</v>
      </c>
      <c r="K677" s="102">
        <v>2070</v>
      </c>
      <c r="L677" s="95">
        <v>0</v>
      </c>
      <c r="M677" s="95">
        <v>31</v>
      </c>
      <c r="N677" s="95">
        <v>0</v>
      </c>
      <c r="O677" s="49" t="s">
        <v>10897</v>
      </c>
    </row>
    <row r="678" spans="1:15">
      <c r="A678" s="95">
        <v>174904221976312</v>
      </c>
      <c r="B678" s="49" t="s">
        <v>10651</v>
      </c>
      <c r="C678" s="49" t="s">
        <v>10895</v>
      </c>
      <c r="D678" s="49" t="s">
        <v>10896</v>
      </c>
      <c r="E678" s="49">
        <v>6281299907533</v>
      </c>
      <c r="F678" s="96">
        <v>45832</v>
      </c>
      <c r="G678" s="95">
        <v>141</v>
      </c>
      <c r="H678" s="49" t="s">
        <v>12670</v>
      </c>
      <c r="I678" s="97">
        <v>20217.391304347824</v>
      </c>
      <c r="J678" s="95">
        <v>7</v>
      </c>
      <c r="K678" s="102">
        <v>3255</v>
      </c>
      <c r="L678" s="95">
        <v>1</v>
      </c>
      <c r="M678" s="95">
        <v>70</v>
      </c>
      <c r="N678" s="95">
        <v>0</v>
      </c>
      <c r="O678" s="49" t="s">
        <v>10897</v>
      </c>
    </row>
    <row r="679" spans="1:15">
      <c r="A679" s="95">
        <v>174904221976312</v>
      </c>
      <c r="B679" s="49" t="s">
        <v>10651</v>
      </c>
      <c r="C679" s="49" t="s">
        <v>10895</v>
      </c>
      <c r="D679" s="49" t="s">
        <v>10896</v>
      </c>
      <c r="E679" s="49">
        <v>6281299907533</v>
      </c>
      <c r="F679" s="96">
        <v>45832</v>
      </c>
      <c r="G679" s="95">
        <v>103</v>
      </c>
      <c r="H679" s="49" t="s">
        <v>12671</v>
      </c>
      <c r="I679" s="97">
        <v>37603.305785123965</v>
      </c>
      <c r="J679" s="95">
        <v>4</v>
      </c>
      <c r="K679" s="102">
        <v>4550</v>
      </c>
      <c r="L679" s="95">
        <v>0</v>
      </c>
      <c r="M679" s="95">
        <v>52</v>
      </c>
      <c r="N679" s="95">
        <v>0</v>
      </c>
      <c r="O679" s="49" t="s">
        <v>10897</v>
      </c>
    </row>
    <row r="680" spans="1:15">
      <c r="A680" s="95">
        <v>174904221976312</v>
      </c>
      <c r="B680" s="49" t="s">
        <v>10651</v>
      </c>
      <c r="C680" s="49" t="s">
        <v>10895</v>
      </c>
      <c r="D680" s="49" t="s">
        <v>10896</v>
      </c>
      <c r="E680" s="49">
        <v>6281299907533</v>
      </c>
      <c r="F680" s="96">
        <v>45832</v>
      </c>
      <c r="G680" s="95">
        <v>29</v>
      </c>
      <c r="H680" s="49" t="s">
        <v>12672</v>
      </c>
      <c r="I680" s="97">
        <v>46575.757575757576</v>
      </c>
      <c r="J680" s="95">
        <v>3</v>
      </c>
      <c r="K680" s="102">
        <v>1537</v>
      </c>
      <c r="L680" s="95">
        <v>0</v>
      </c>
      <c r="M680" s="95">
        <v>17</v>
      </c>
      <c r="N680" s="95">
        <v>0</v>
      </c>
      <c r="O680" s="49" t="s">
        <v>10897</v>
      </c>
    </row>
    <row r="681" spans="1:15">
      <c r="A681" s="95">
        <v>174904221976312</v>
      </c>
      <c r="B681" s="49" t="s">
        <v>10651</v>
      </c>
      <c r="C681" s="49" t="s">
        <v>10866</v>
      </c>
      <c r="D681" s="49" t="s">
        <v>878</v>
      </c>
      <c r="E681" s="49">
        <v>6285733774700</v>
      </c>
      <c r="F681" s="96">
        <v>45832</v>
      </c>
      <c r="G681" s="95">
        <v>44</v>
      </c>
      <c r="H681" s="49" t="s">
        <v>12667</v>
      </c>
      <c r="I681" s="97">
        <v>17764.705882352941</v>
      </c>
      <c r="J681" s="95">
        <v>1</v>
      </c>
      <c r="K681" s="102">
        <v>906</v>
      </c>
      <c r="L681" s="95">
        <v>0</v>
      </c>
      <c r="M681" s="95">
        <v>13</v>
      </c>
      <c r="N681" s="95">
        <v>0</v>
      </c>
      <c r="O681" s="49" t="s">
        <v>10867</v>
      </c>
    </row>
    <row r="682" spans="1:15">
      <c r="A682" s="95">
        <v>174904221976312</v>
      </c>
      <c r="B682" s="49" t="s">
        <v>10651</v>
      </c>
      <c r="C682" s="49" t="s">
        <v>10866</v>
      </c>
      <c r="D682" s="49" t="s">
        <v>878</v>
      </c>
      <c r="E682" s="49">
        <v>6285733774700</v>
      </c>
      <c r="F682" s="96">
        <v>45832</v>
      </c>
      <c r="G682" s="95">
        <v>239</v>
      </c>
      <c r="H682" s="49" t="s">
        <v>12668</v>
      </c>
      <c r="I682" s="97">
        <v>13440.43321299639</v>
      </c>
      <c r="J682" s="95">
        <v>8</v>
      </c>
      <c r="K682" s="102">
        <v>3723</v>
      </c>
      <c r="L682" s="95">
        <v>2</v>
      </c>
      <c r="M682" s="95">
        <v>47</v>
      </c>
      <c r="N682" s="95">
        <v>0</v>
      </c>
      <c r="O682" s="49" t="s">
        <v>10867</v>
      </c>
    </row>
    <row r="683" spans="1:15">
      <c r="A683" s="95">
        <v>174904221976312</v>
      </c>
      <c r="B683" s="49" t="s">
        <v>10651</v>
      </c>
      <c r="C683" s="49" t="s">
        <v>10866</v>
      </c>
      <c r="D683" s="49" t="s">
        <v>878</v>
      </c>
      <c r="E683" s="49">
        <v>6285733774700</v>
      </c>
      <c r="F683" s="96">
        <v>45832</v>
      </c>
      <c r="G683" s="95">
        <v>194</v>
      </c>
      <c r="H683" s="49" t="s">
        <v>12669</v>
      </c>
      <c r="I683" s="97">
        <v>15608.695652173912</v>
      </c>
      <c r="J683" s="95">
        <v>8</v>
      </c>
      <c r="K683" s="102">
        <v>3590</v>
      </c>
      <c r="L683" s="95">
        <v>1</v>
      </c>
      <c r="M683" s="95">
        <v>51</v>
      </c>
      <c r="N683" s="95">
        <v>0</v>
      </c>
      <c r="O683" s="49" t="s">
        <v>10867</v>
      </c>
    </row>
    <row r="684" spans="1:15">
      <c r="A684" s="95">
        <v>174904221976312</v>
      </c>
      <c r="B684" s="49" t="s">
        <v>10651</v>
      </c>
      <c r="C684" s="49" t="s">
        <v>10866</v>
      </c>
      <c r="D684" s="49" t="s">
        <v>878</v>
      </c>
      <c r="E684" s="49">
        <v>6285733774700</v>
      </c>
      <c r="F684" s="96">
        <v>45832</v>
      </c>
      <c r="G684" s="95">
        <v>118</v>
      </c>
      <c r="H684" s="49" t="s">
        <v>12670</v>
      </c>
      <c r="I684" s="97">
        <v>23239.130434782608</v>
      </c>
      <c r="J684" s="95">
        <v>5</v>
      </c>
      <c r="K684" s="102">
        <v>3207</v>
      </c>
      <c r="L684" s="95">
        <v>1</v>
      </c>
      <c r="M684" s="95">
        <v>41</v>
      </c>
      <c r="N684" s="95">
        <v>1</v>
      </c>
      <c r="O684" s="49" t="s">
        <v>10867</v>
      </c>
    </row>
    <row r="685" spans="1:15">
      <c r="A685" s="95">
        <v>174904221976312</v>
      </c>
      <c r="B685" s="49" t="s">
        <v>10651</v>
      </c>
      <c r="C685" s="49" t="s">
        <v>10866</v>
      </c>
      <c r="D685" s="49" t="s">
        <v>878</v>
      </c>
      <c r="E685" s="49">
        <v>6285733774700</v>
      </c>
      <c r="F685" s="96">
        <v>45832</v>
      </c>
      <c r="G685" s="95">
        <v>49</v>
      </c>
      <c r="H685" s="49" t="s">
        <v>12671</v>
      </c>
      <c r="I685" s="97">
        <v>16589.285714285714</v>
      </c>
      <c r="J685" s="95">
        <v>1</v>
      </c>
      <c r="K685" s="102">
        <v>929</v>
      </c>
      <c r="L685" s="95">
        <v>0</v>
      </c>
      <c r="M685" s="95">
        <v>16</v>
      </c>
      <c r="N685" s="95">
        <v>0</v>
      </c>
      <c r="O685" s="49" t="s">
        <v>10867</v>
      </c>
    </row>
    <row r="686" spans="1:15">
      <c r="A686" s="95">
        <v>174904221976312</v>
      </c>
      <c r="B686" s="49" t="s">
        <v>10651</v>
      </c>
      <c r="C686" s="49" t="s">
        <v>10866</v>
      </c>
      <c r="D686" s="49" t="s">
        <v>878</v>
      </c>
      <c r="E686" s="49">
        <v>6285733774700</v>
      </c>
      <c r="F686" s="96">
        <v>45832</v>
      </c>
      <c r="G686" s="95">
        <v>27</v>
      </c>
      <c r="H686" s="49" t="s">
        <v>12672</v>
      </c>
      <c r="I686" s="97">
        <v>51066.666666666672</v>
      </c>
      <c r="J686" s="95">
        <v>2</v>
      </c>
      <c r="K686" s="102">
        <v>1532</v>
      </c>
      <c r="L686" s="95">
        <v>1</v>
      </c>
      <c r="M686" s="95">
        <v>5</v>
      </c>
      <c r="N686" s="95">
        <v>0</v>
      </c>
      <c r="O686" s="49" t="s">
        <v>10867</v>
      </c>
    </row>
    <row r="687" spans="1:15">
      <c r="A687" s="95">
        <v>174904221976312</v>
      </c>
      <c r="B687" s="49" t="s">
        <v>10651</v>
      </c>
      <c r="C687" s="49" t="s">
        <v>10853</v>
      </c>
      <c r="D687" s="49" t="s">
        <v>10854</v>
      </c>
      <c r="E687" s="49">
        <v>6281393958199</v>
      </c>
      <c r="F687" s="96">
        <v>45832</v>
      </c>
      <c r="G687" s="95">
        <v>26</v>
      </c>
      <c r="H687" s="49" t="s">
        <v>12667</v>
      </c>
      <c r="I687" s="97">
        <v>10166.666666666666</v>
      </c>
      <c r="J687" s="95">
        <v>0</v>
      </c>
      <c r="K687" s="102">
        <v>305</v>
      </c>
      <c r="L687" s="95">
        <v>0</v>
      </c>
      <c r="M687" s="95">
        <v>4</v>
      </c>
      <c r="N687" s="95">
        <v>0</v>
      </c>
      <c r="O687" s="49" t="s">
        <v>10855</v>
      </c>
    </row>
    <row r="688" spans="1:15">
      <c r="A688" s="95">
        <v>174904221976312</v>
      </c>
      <c r="B688" s="49" t="s">
        <v>10651</v>
      </c>
      <c r="C688" s="49" t="s">
        <v>10853</v>
      </c>
      <c r="D688" s="49" t="s">
        <v>10854</v>
      </c>
      <c r="E688" s="49">
        <v>6281393958199</v>
      </c>
      <c r="F688" s="96">
        <v>45832</v>
      </c>
      <c r="G688" s="95">
        <v>250</v>
      </c>
      <c r="H688" s="49" t="s">
        <v>12668</v>
      </c>
      <c r="I688" s="97">
        <v>13654.237288135593</v>
      </c>
      <c r="J688" s="95">
        <v>11</v>
      </c>
      <c r="K688" s="102">
        <v>4028</v>
      </c>
      <c r="L688" s="95">
        <v>2</v>
      </c>
      <c r="M688" s="95">
        <v>66</v>
      </c>
      <c r="N688" s="95">
        <v>0</v>
      </c>
      <c r="O688" s="49" t="s">
        <v>10855</v>
      </c>
    </row>
    <row r="689" spans="1:15">
      <c r="A689" s="95">
        <v>174904221976312</v>
      </c>
      <c r="B689" s="49" t="s">
        <v>10651</v>
      </c>
      <c r="C689" s="49" t="s">
        <v>10853</v>
      </c>
      <c r="D689" s="49" t="s">
        <v>10854</v>
      </c>
      <c r="E689" s="49">
        <v>6281393958199</v>
      </c>
      <c r="F689" s="96">
        <v>45832</v>
      </c>
      <c r="G689" s="95">
        <v>209</v>
      </c>
      <c r="H689" s="49" t="s">
        <v>12669</v>
      </c>
      <c r="I689" s="97">
        <v>14317.796610169491</v>
      </c>
      <c r="J689" s="95">
        <v>7</v>
      </c>
      <c r="K689" s="102">
        <v>3379</v>
      </c>
      <c r="L689" s="95">
        <v>2</v>
      </c>
      <c r="M689" s="95">
        <v>67</v>
      </c>
      <c r="N689" s="95">
        <v>0</v>
      </c>
      <c r="O689" s="49" t="s">
        <v>10855</v>
      </c>
    </row>
    <row r="690" spans="1:15">
      <c r="A690" s="95">
        <v>174904221976312</v>
      </c>
      <c r="B690" s="49" t="s">
        <v>10651</v>
      </c>
      <c r="C690" s="49" t="s">
        <v>10853</v>
      </c>
      <c r="D690" s="49" t="s">
        <v>10854</v>
      </c>
      <c r="E690" s="49">
        <v>6281393958199</v>
      </c>
      <c r="F690" s="96">
        <v>45832</v>
      </c>
      <c r="G690" s="95">
        <v>118</v>
      </c>
      <c r="H690" s="49" t="s">
        <v>12670</v>
      </c>
      <c r="I690" s="97">
        <v>23913.669064748203</v>
      </c>
      <c r="J690" s="95">
        <v>7</v>
      </c>
      <c r="K690" s="102">
        <v>3324</v>
      </c>
      <c r="L690" s="95">
        <v>2</v>
      </c>
      <c r="M690" s="95">
        <v>44</v>
      </c>
      <c r="N690" s="95">
        <v>0</v>
      </c>
      <c r="O690" s="49" t="s">
        <v>10855</v>
      </c>
    </row>
    <row r="691" spans="1:15">
      <c r="A691" s="95">
        <v>174904221976312</v>
      </c>
      <c r="B691" s="49" t="s">
        <v>10651</v>
      </c>
      <c r="C691" s="49" t="s">
        <v>10853</v>
      </c>
      <c r="D691" s="49" t="s">
        <v>10854</v>
      </c>
      <c r="E691" s="49">
        <v>6281393958199</v>
      </c>
      <c r="F691" s="96">
        <v>45832</v>
      </c>
      <c r="G691" s="95">
        <v>34</v>
      </c>
      <c r="H691" s="49" t="s">
        <v>12671</v>
      </c>
      <c r="I691" s="97">
        <v>29421.05263157895</v>
      </c>
      <c r="J691" s="95">
        <v>2</v>
      </c>
      <c r="K691" s="102">
        <v>1118</v>
      </c>
      <c r="L691" s="95">
        <v>1</v>
      </c>
      <c r="M691" s="95">
        <v>20</v>
      </c>
      <c r="N691" s="95">
        <v>0</v>
      </c>
      <c r="O691" s="49" t="s">
        <v>10855</v>
      </c>
    </row>
    <row r="692" spans="1:15">
      <c r="A692" s="95">
        <v>174904221976312</v>
      </c>
      <c r="B692" s="49" t="s">
        <v>10651</v>
      </c>
      <c r="C692" s="49" t="s">
        <v>10853</v>
      </c>
      <c r="D692" s="49" t="s">
        <v>10854</v>
      </c>
      <c r="E692" s="49">
        <v>6281393958199</v>
      </c>
      <c r="F692" s="96">
        <v>45832</v>
      </c>
      <c r="G692" s="95">
        <v>26</v>
      </c>
      <c r="H692" s="49" t="s">
        <v>12672</v>
      </c>
      <c r="I692" s="97">
        <v>26032.258064516129</v>
      </c>
      <c r="J692" s="95">
        <v>1</v>
      </c>
      <c r="K692" s="102">
        <v>807</v>
      </c>
      <c r="L692" s="95">
        <v>0</v>
      </c>
      <c r="M692" s="95">
        <v>13</v>
      </c>
      <c r="N692" s="95">
        <v>0</v>
      </c>
      <c r="O692" s="49" t="s">
        <v>10855</v>
      </c>
    </row>
    <row r="693" spans="1:15">
      <c r="A693" s="95">
        <v>174904221976312</v>
      </c>
      <c r="B693" s="49" t="s">
        <v>10651</v>
      </c>
      <c r="C693" s="49" t="s">
        <v>10856</v>
      </c>
      <c r="D693" s="49" t="s">
        <v>829</v>
      </c>
      <c r="E693" s="49">
        <v>6285725492572</v>
      </c>
      <c r="F693" s="96">
        <v>45832</v>
      </c>
      <c r="G693" s="95">
        <v>12</v>
      </c>
      <c r="H693" s="49" t="s">
        <v>12667</v>
      </c>
      <c r="I693" s="97">
        <v>22461.538461538461</v>
      </c>
      <c r="J693" s="95">
        <v>0</v>
      </c>
      <c r="K693" s="102">
        <v>292</v>
      </c>
      <c r="L693" s="95">
        <v>0</v>
      </c>
      <c r="M693" s="95">
        <v>5</v>
      </c>
      <c r="N693" s="95">
        <v>0</v>
      </c>
      <c r="O693" s="49" t="s">
        <v>10857</v>
      </c>
    </row>
    <row r="694" spans="1:15">
      <c r="A694" s="95">
        <v>174904221976312</v>
      </c>
      <c r="B694" s="49" t="s">
        <v>10651</v>
      </c>
      <c r="C694" s="49" t="s">
        <v>10856</v>
      </c>
      <c r="D694" s="49" t="s">
        <v>829</v>
      </c>
      <c r="E694" s="49">
        <v>6285725492572</v>
      </c>
      <c r="F694" s="96">
        <v>45832</v>
      </c>
      <c r="G694" s="95">
        <v>57</v>
      </c>
      <c r="H694" s="49" t="s">
        <v>12668</v>
      </c>
      <c r="I694" s="97">
        <v>11534.246575342466</v>
      </c>
      <c r="J694" s="95">
        <v>3</v>
      </c>
      <c r="K694" s="102">
        <v>842</v>
      </c>
      <c r="L694" s="95">
        <v>0</v>
      </c>
      <c r="M694" s="95">
        <v>24</v>
      </c>
      <c r="N694" s="95">
        <v>1</v>
      </c>
      <c r="O694" s="49" t="s">
        <v>10857</v>
      </c>
    </row>
    <row r="695" spans="1:15">
      <c r="A695" s="95">
        <v>174904221976312</v>
      </c>
      <c r="B695" s="49" t="s">
        <v>10651</v>
      </c>
      <c r="C695" s="49" t="s">
        <v>10856</v>
      </c>
      <c r="D695" s="49" t="s">
        <v>829</v>
      </c>
      <c r="E695" s="49">
        <v>6285725492572</v>
      </c>
      <c r="F695" s="96">
        <v>45832</v>
      </c>
      <c r="G695" s="95">
        <v>110</v>
      </c>
      <c r="H695" s="49" t="s">
        <v>12669</v>
      </c>
      <c r="I695" s="97">
        <v>15966.94214876033</v>
      </c>
      <c r="J695" s="95">
        <v>3</v>
      </c>
      <c r="K695" s="102">
        <v>1932</v>
      </c>
      <c r="L695" s="95">
        <v>0</v>
      </c>
      <c r="M695" s="95">
        <v>36</v>
      </c>
      <c r="N695" s="95">
        <v>0</v>
      </c>
      <c r="O695" s="49" t="s">
        <v>10857</v>
      </c>
    </row>
    <row r="696" spans="1:15">
      <c r="A696" s="95">
        <v>174904221976312</v>
      </c>
      <c r="B696" s="49" t="s">
        <v>10651</v>
      </c>
      <c r="C696" s="49" t="s">
        <v>10856</v>
      </c>
      <c r="D696" s="49" t="s">
        <v>829</v>
      </c>
      <c r="E696" s="49">
        <v>6285725492572</v>
      </c>
      <c r="F696" s="96">
        <v>45832</v>
      </c>
      <c r="G696" s="95">
        <v>138</v>
      </c>
      <c r="H696" s="49" t="s">
        <v>12670</v>
      </c>
      <c r="I696" s="97">
        <v>20610.389610389611</v>
      </c>
      <c r="J696" s="95">
        <v>2</v>
      </c>
      <c r="K696" s="102">
        <v>3174</v>
      </c>
      <c r="L696" s="95">
        <v>0</v>
      </c>
      <c r="M696" s="95">
        <v>50</v>
      </c>
      <c r="N696" s="95">
        <v>0</v>
      </c>
      <c r="O696" s="49" t="s">
        <v>10857</v>
      </c>
    </row>
    <row r="697" spans="1:15">
      <c r="A697" s="95">
        <v>174904221976312</v>
      </c>
      <c r="B697" s="49" t="s">
        <v>10651</v>
      </c>
      <c r="C697" s="49" t="s">
        <v>10856</v>
      </c>
      <c r="D697" s="49" t="s">
        <v>829</v>
      </c>
      <c r="E697" s="49">
        <v>6285725492572</v>
      </c>
      <c r="F697" s="96">
        <v>45832</v>
      </c>
      <c r="G697" s="95">
        <v>138</v>
      </c>
      <c r="H697" s="49" t="s">
        <v>12671</v>
      </c>
      <c r="I697" s="97">
        <v>43177.514792899412</v>
      </c>
      <c r="J697" s="95">
        <v>8</v>
      </c>
      <c r="K697" s="102">
        <v>7297</v>
      </c>
      <c r="L697" s="95">
        <v>3</v>
      </c>
      <c r="M697" s="95">
        <v>71</v>
      </c>
      <c r="N697" s="95">
        <v>1</v>
      </c>
      <c r="O697" s="49" t="s">
        <v>10857</v>
      </c>
    </row>
    <row r="698" spans="1:15">
      <c r="A698" s="95">
        <v>174904221976312</v>
      </c>
      <c r="B698" s="49" t="s">
        <v>10651</v>
      </c>
      <c r="C698" s="49" t="s">
        <v>10856</v>
      </c>
      <c r="D698" s="49" t="s">
        <v>829</v>
      </c>
      <c r="E698" s="49">
        <v>6285725492572</v>
      </c>
      <c r="F698" s="96">
        <v>45832</v>
      </c>
      <c r="G698" s="95">
        <v>38</v>
      </c>
      <c r="H698" s="49" t="s">
        <v>12672</v>
      </c>
      <c r="I698" s="97">
        <v>35951.219512195123</v>
      </c>
      <c r="J698" s="95">
        <v>7</v>
      </c>
      <c r="K698" s="102">
        <v>1474</v>
      </c>
      <c r="L698" s="95">
        <v>1</v>
      </c>
      <c r="M698" s="95">
        <v>15</v>
      </c>
      <c r="N698" s="95">
        <v>0</v>
      </c>
      <c r="O698" s="49" t="s">
        <v>10857</v>
      </c>
    </row>
    <row r="699" spans="1:15">
      <c r="A699" s="95">
        <v>174904221976312</v>
      </c>
      <c r="B699" s="49" t="s">
        <v>10651</v>
      </c>
      <c r="C699" s="49" t="s">
        <v>10858</v>
      </c>
      <c r="D699" s="49" t="s">
        <v>10859</v>
      </c>
      <c r="E699" s="49">
        <v>6285227384634</v>
      </c>
      <c r="F699" s="96">
        <v>45832</v>
      </c>
      <c r="G699" s="95">
        <v>36</v>
      </c>
      <c r="H699" s="49" t="s">
        <v>12667</v>
      </c>
      <c r="I699" s="97">
        <v>8047.6190476190477</v>
      </c>
      <c r="J699" s="95">
        <v>0</v>
      </c>
      <c r="K699" s="102">
        <v>338</v>
      </c>
      <c r="L699" s="95">
        <v>0</v>
      </c>
      <c r="M699" s="95">
        <v>0</v>
      </c>
      <c r="N699" s="95">
        <v>0</v>
      </c>
      <c r="O699" s="49" t="s">
        <v>10860</v>
      </c>
    </row>
    <row r="700" spans="1:15">
      <c r="A700" s="95">
        <v>174904221976312</v>
      </c>
      <c r="B700" s="49" t="s">
        <v>10651</v>
      </c>
      <c r="C700" s="49" t="s">
        <v>10858</v>
      </c>
      <c r="D700" s="49" t="s">
        <v>10859</v>
      </c>
      <c r="E700" s="49">
        <v>6285227384634</v>
      </c>
      <c r="F700" s="96">
        <v>45832</v>
      </c>
      <c r="G700" s="95">
        <v>114</v>
      </c>
      <c r="H700" s="49" t="s">
        <v>12668</v>
      </c>
      <c r="I700" s="97">
        <v>15388.489208633093</v>
      </c>
      <c r="J700" s="95">
        <v>0</v>
      </c>
      <c r="K700" s="102">
        <v>2139</v>
      </c>
      <c r="L700" s="95">
        <v>0</v>
      </c>
      <c r="M700" s="95">
        <v>0</v>
      </c>
      <c r="N700" s="95">
        <v>0</v>
      </c>
      <c r="O700" s="49" t="s">
        <v>10860</v>
      </c>
    </row>
    <row r="701" spans="1:15">
      <c r="A701" s="95">
        <v>174904221976312</v>
      </c>
      <c r="B701" s="49" t="s">
        <v>10651</v>
      </c>
      <c r="C701" s="49" t="s">
        <v>10858</v>
      </c>
      <c r="D701" s="49" t="s">
        <v>10859</v>
      </c>
      <c r="E701" s="49">
        <v>6285227384634</v>
      </c>
      <c r="F701" s="96">
        <v>45832</v>
      </c>
      <c r="G701" s="95">
        <v>92</v>
      </c>
      <c r="H701" s="49" t="s">
        <v>12669</v>
      </c>
      <c r="I701" s="97">
        <v>15048.543689320388</v>
      </c>
      <c r="J701" s="95">
        <v>6</v>
      </c>
      <c r="K701" s="102">
        <v>1550</v>
      </c>
      <c r="L701" s="95">
        <v>1</v>
      </c>
      <c r="M701" s="95">
        <v>0</v>
      </c>
      <c r="N701" s="95">
        <v>0</v>
      </c>
      <c r="O701" s="49" t="s">
        <v>10860</v>
      </c>
    </row>
    <row r="702" spans="1:15">
      <c r="A702" s="95">
        <v>174904221976312</v>
      </c>
      <c r="B702" s="49" t="s">
        <v>10651</v>
      </c>
      <c r="C702" s="49" t="s">
        <v>10858</v>
      </c>
      <c r="D702" s="49" t="s">
        <v>10859</v>
      </c>
      <c r="E702" s="49">
        <v>6285227384634</v>
      </c>
      <c r="F702" s="96">
        <v>45832</v>
      </c>
      <c r="G702" s="95">
        <v>85</v>
      </c>
      <c r="H702" s="49" t="s">
        <v>12670</v>
      </c>
      <c r="I702" s="97">
        <v>32214.285714285714</v>
      </c>
      <c r="J702" s="95">
        <v>3</v>
      </c>
      <c r="K702" s="102">
        <v>3608</v>
      </c>
      <c r="L702" s="95">
        <v>1</v>
      </c>
      <c r="M702" s="95">
        <v>0</v>
      </c>
      <c r="N702" s="95">
        <v>0</v>
      </c>
      <c r="O702" s="49" t="s">
        <v>10860</v>
      </c>
    </row>
    <row r="703" spans="1:15">
      <c r="A703" s="95">
        <v>174904221976312</v>
      </c>
      <c r="B703" s="49" t="s">
        <v>10651</v>
      </c>
      <c r="C703" s="49" t="s">
        <v>10858</v>
      </c>
      <c r="D703" s="49" t="s">
        <v>10859</v>
      </c>
      <c r="E703" s="49">
        <v>6285227384634</v>
      </c>
      <c r="F703" s="96">
        <v>45832</v>
      </c>
      <c r="G703" s="95">
        <v>87</v>
      </c>
      <c r="H703" s="49" t="s">
        <v>12671</v>
      </c>
      <c r="I703" s="97">
        <v>26710.280373831774</v>
      </c>
      <c r="J703" s="95">
        <v>5</v>
      </c>
      <c r="K703" s="102">
        <v>2858</v>
      </c>
      <c r="L703" s="95">
        <v>3</v>
      </c>
      <c r="M703" s="95">
        <v>0</v>
      </c>
      <c r="N703" s="95">
        <v>0</v>
      </c>
      <c r="O703" s="49" t="s">
        <v>10860</v>
      </c>
    </row>
    <row r="704" spans="1:15">
      <c r="A704" s="95">
        <v>174904221976312</v>
      </c>
      <c r="B704" s="49" t="s">
        <v>10651</v>
      </c>
      <c r="C704" s="49" t="s">
        <v>10858</v>
      </c>
      <c r="D704" s="49" t="s">
        <v>10859</v>
      </c>
      <c r="E704" s="49">
        <v>6285227384634</v>
      </c>
      <c r="F704" s="96">
        <v>45832</v>
      </c>
      <c r="G704" s="95">
        <v>37</v>
      </c>
      <c r="H704" s="49" t="s">
        <v>12672</v>
      </c>
      <c r="I704" s="97">
        <v>40056.603773584902</v>
      </c>
      <c r="J704" s="95">
        <v>5</v>
      </c>
      <c r="K704" s="102">
        <v>2123</v>
      </c>
      <c r="L704" s="95">
        <v>0</v>
      </c>
      <c r="M704" s="95">
        <v>0</v>
      </c>
      <c r="N704" s="95">
        <v>0</v>
      </c>
      <c r="O704" s="49" t="s">
        <v>10860</v>
      </c>
    </row>
    <row r="705" spans="1:15">
      <c r="A705" s="95">
        <v>174904221976312</v>
      </c>
      <c r="B705" s="49" t="s">
        <v>10651</v>
      </c>
      <c r="C705" s="49" t="s">
        <v>818</v>
      </c>
      <c r="D705" s="49" t="s">
        <v>812</v>
      </c>
      <c r="E705" s="49">
        <v>6287858585808</v>
      </c>
      <c r="F705" s="96">
        <v>45832</v>
      </c>
      <c r="G705" s="95">
        <v>41</v>
      </c>
      <c r="H705" s="49" t="s">
        <v>12667</v>
      </c>
      <c r="I705" s="97">
        <v>9309.0909090909081</v>
      </c>
      <c r="J705" s="95">
        <v>2</v>
      </c>
      <c r="K705" s="102">
        <v>512</v>
      </c>
      <c r="L705" s="95">
        <v>0</v>
      </c>
      <c r="M705" s="95">
        <v>13</v>
      </c>
      <c r="N705" s="95">
        <v>0</v>
      </c>
      <c r="O705" s="49" t="s">
        <v>10831</v>
      </c>
    </row>
    <row r="706" spans="1:15">
      <c r="A706" s="95">
        <v>174904221976312</v>
      </c>
      <c r="B706" s="49" t="s">
        <v>10651</v>
      </c>
      <c r="C706" s="49" t="s">
        <v>818</v>
      </c>
      <c r="D706" s="49" t="s">
        <v>812</v>
      </c>
      <c r="E706" s="49">
        <v>6287858585808</v>
      </c>
      <c r="F706" s="96">
        <v>45832</v>
      </c>
      <c r="G706" s="95">
        <v>205</v>
      </c>
      <c r="H706" s="49" t="s">
        <v>12668</v>
      </c>
      <c r="I706" s="97">
        <v>9389.5582329317258</v>
      </c>
      <c r="J706" s="95">
        <v>8</v>
      </c>
      <c r="K706" s="102">
        <v>2338</v>
      </c>
      <c r="L706" s="95">
        <v>1</v>
      </c>
      <c r="M706" s="95">
        <v>54</v>
      </c>
      <c r="N706" s="95">
        <v>2</v>
      </c>
      <c r="O706" s="49" t="s">
        <v>10831</v>
      </c>
    </row>
    <row r="707" spans="1:15">
      <c r="A707" s="95">
        <v>174904221976312</v>
      </c>
      <c r="B707" s="49" t="s">
        <v>10651</v>
      </c>
      <c r="C707" s="49" t="s">
        <v>818</v>
      </c>
      <c r="D707" s="49" t="s">
        <v>812</v>
      </c>
      <c r="E707" s="49">
        <v>6287858585808</v>
      </c>
      <c r="F707" s="96">
        <v>45832</v>
      </c>
      <c r="G707" s="95">
        <v>252</v>
      </c>
      <c r="H707" s="49" t="s">
        <v>12669</v>
      </c>
      <c r="I707" s="97">
        <v>8345.7627118644068</v>
      </c>
      <c r="J707" s="95">
        <v>5</v>
      </c>
      <c r="K707" s="102">
        <v>2462</v>
      </c>
      <c r="L707" s="95">
        <v>0</v>
      </c>
      <c r="M707" s="95">
        <v>67</v>
      </c>
      <c r="N707" s="95">
        <v>0</v>
      </c>
      <c r="O707" s="49" t="s">
        <v>10831</v>
      </c>
    </row>
    <row r="708" spans="1:15">
      <c r="A708" s="95">
        <v>174904221976312</v>
      </c>
      <c r="B708" s="49" t="s">
        <v>10651</v>
      </c>
      <c r="C708" s="49" t="s">
        <v>818</v>
      </c>
      <c r="D708" s="49" t="s">
        <v>812</v>
      </c>
      <c r="E708" s="49">
        <v>6287858585808</v>
      </c>
      <c r="F708" s="96">
        <v>45832</v>
      </c>
      <c r="G708" s="95">
        <v>261</v>
      </c>
      <c r="H708" s="49" t="s">
        <v>12670</v>
      </c>
      <c r="I708" s="97">
        <v>14125.827814569537</v>
      </c>
      <c r="J708" s="95">
        <v>9</v>
      </c>
      <c r="K708" s="102">
        <v>4266</v>
      </c>
      <c r="L708" s="95">
        <v>0</v>
      </c>
      <c r="M708" s="95">
        <v>98</v>
      </c>
      <c r="N708" s="95">
        <v>0</v>
      </c>
      <c r="O708" s="49" t="s">
        <v>10831</v>
      </c>
    </row>
    <row r="709" spans="1:15">
      <c r="A709" s="95">
        <v>174904221976312</v>
      </c>
      <c r="B709" s="49" t="s">
        <v>10651</v>
      </c>
      <c r="C709" s="49" t="s">
        <v>818</v>
      </c>
      <c r="D709" s="49" t="s">
        <v>812</v>
      </c>
      <c r="E709" s="49">
        <v>6287858585808</v>
      </c>
      <c r="F709" s="96">
        <v>45832</v>
      </c>
      <c r="G709" s="95">
        <v>205</v>
      </c>
      <c r="H709" s="49" t="s">
        <v>12671</v>
      </c>
      <c r="I709" s="97">
        <v>13003.891050583657</v>
      </c>
      <c r="J709" s="95">
        <v>11</v>
      </c>
      <c r="K709" s="102">
        <v>3342</v>
      </c>
      <c r="L709" s="95">
        <v>1</v>
      </c>
      <c r="M709" s="95">
        <v>103</v>
      </c>
      <c r="N709" s="95">
        <v>0</v>
      </c>
      <c r="O709" s="49" t="s">
        <v>10831</v>
      </c>
    </row>
    <row r="710" spans="1:15">
      <c r="A710" s="95">
        <v>174904221976312</v>
      </c>
      <c r="B710" s="49" t="s">
        <v>10651</v>
      </c>
      <c r="C710" s="49" t="s">
        <v>818</v>
      </c>
      <c r="D710" s="49" t="s">
        <v>812</v>
      </c>
      <c r="E710" s="49">
        <v>6287858585808</v>
      </c>
      <c r="F710" s="96">
        <v>45832</v>
      </c>
      <c r="G710" s="95">
        <v>49</v>
      </c>
      <c r="H710" s="49" t="s">
        <v>12672</v>
      </c>
      <c r="I710" s="97">
        <v>11363.636363636364</v>
      </c>
      <c r="J710" s="95">
        <v>0</v>
      </c>
      <c r="K710" s="102">
        <v>625</v>
      </c>
      <c r="L710" s="95">
        <v>0</v>
      </c>
      <c r="M710" s="95">
        <v>18</v>
      </c>
      <c r="N710" s="95">
        <v>0</v>
      </c>
      <c r="O710" s="49" t="s">
        <v>10831</v>
      </c>
    </row>
    <row r="711" spans="1:15">
      <c r="A711" s="95">
        <v>174904221976312</v>
      </c>
      <c r="B711" s="49" t="s">
        <v>10651</v>
      </c>
      <c r="C711" s="49" t="s">
        <v>10806</v>
      </c>
      <c r="D711" s="49" t="s">
        <v>10807</v>
      </c>
      <c r="E711" s="49">
        <v>628127962347</v>
      </c>
      <c r="F711" s="96">
        <v>45832</v>
      </c>
      <c r="G711" s="95">
        <v>58</v>
      </c>
      <c r="H711" s="49" t="s">
        <v>12667</v>
      </c>
      <c r="I711" s="97">
        <v>62132.352941176468</v>
      </c>
      <c r="J711" s="95">
        <v>6</v>
      </c>
      <c r="K711" s="102">
        <v>4225</v>
      </c>
      <c r="L711" s="95">
        <v>1</v>
      </c>
      <c r="M711" s="95">
        <v>8</v>
      </c>
      <c r="N711" s="95">
        <v>0</v>
      </c>
      <c r="O711" s="49" t="s">
        <v>10808</v>
      </c>
    </row>
    <row r="712" spans="1:15">
      <c r="A712" s="95">
        <v>174904221976312</v>
      </c>
      <c r="B712" s="49" t="s">
        <v>10651</v>
      </c>
      <c r="C712" s="49" t="s">
        <v>10806</v>
      </c>
      <c r="D712" s="49" t="s">
        <v>10807</v>
      </c>
      <c r="E712" s="49">
        <v>628127962347</v>
      </c>
      <c r="F712" s="96">
        <v>45832</v>
      </c>
      <c r="G712" s="95">
        <v>43</v>
      </c>
      <c r="H712" s="49" t="s">
        <v>12668</v>
      </c>
      <c r="I712" s="97">
        <v>109234.04255319148</v>
      </c>
      <c r="J712" s="95">
        <v>7</v>
      </c>
      <c r="K712" s="102">
        <v>5134</v>
      </c>
      <c r="L712" s="95">
        <v>4</v>
      </c>
      <c r="M712" s="95">
        <v>8</v>
      </c>
      <c r="N712" s="95">
        <v>0</v>
      </c>
      <c r="O712" s="49" t="s">
        <v>10808</v>
      </c>
    </row>
    <row r="713" spans="1:15">
      <c r="A713" s="95">
        <v>174904221976312</v>
      </c>
      <c r="B713" s="49" t="s">
        <v>10651</v>
      </c>
      <c r="C713" s="49" t="s">
        <v>10806</v>
      </c>
      <c r="D713" s="49" t="s">
        <v>10807</v>
      </c>
      <c r="E713" s="49">
        <v>628127962347</v>
      </c>
      <c r="F713" s="96">
        <v>45832</v>
      </c>
      <c r="G713" s="95">
        <v>22</v>
      </c>
      <c r="H713" s="49" t="s">
        <v>12669</v>
      </c>
      <c r="I713" s="97">
        <v>73590.909090909088</v>
      </c>
      <c r="J713" s="95">
        <v>1</v>
      </c>
      <c r="K713" s="102">
        <v>1619</v>
      </c>
      <c r="L713" s="95">
        <v>0</v>
      </c>
      <c r="M713" s="95">
        <v>2</v>
      </c>
      <c r="N713" s="95">
        <v>0</v>
      </c>
      <c r="O713" s="49" t="s">
        <v>10808</v>
      </c>
    </row>
    <row r="714" spans="1:15">
      <c r="A714" s="95">
        <v>174904221976312</v>
      </c>
      <c r="B714" s="49" t="s">
        <v>10651</v>
      </c>
      <c r="C714" s="49" t="s">
        <v>10806</v>
      </c>
      <c r="D714" s="49" t="s">
        <v>10807</v>
      </c>
      <c r="E714" s="49">
        <v>628127962347</v>
      </c>
      <c r="F714" s="96">
        <v>45832</v>
      </c>
      <c r="G714" s="95">
        <v>17</v>
      </c>
      <c r="H714" s="49" t="s">
        <v>12670</v>
      </c>
      <c r="I714" s="97">
        <v>69176.470588235286</v>
      </c>
      <c r="J714" s="95">
        <v>0</v>
      </c>
      <c r="K714" s="102">
        <v>1176</v>
      </c>
      <c r="L714" s="95">
        <v>0</v>
      </c>
      <c r="M714" s="95">
        <v>8</v>
      </c>
      <c r="N714" s="95">
        <v>0</v>
      </c>
      <c r="O714" s="49" t="s">
        <v>10808</v>
      </c>
    </row>
    <row r="715" spans="1:15">
      <c r="A715" s="95">
        <v>174904221976312</v>
      </c>
      <c r="B715" s="49" t="s">
        <v>10651</v>
      </c>
      <c r="C715" s="49" t="s">
        <v>10806</v>
      </c>
      <c r="D715" s="49" t="s">
        <v>10807</v>
      </c>
      <c r="E715" s="49">
        <v>628127962347</v>
      </c>
      <c r="F715" s="96">
        <v>45832</v>
      </c>
      <c r="G715" s="95">
        <v>9</v>
      </c>
      <c r="H715" s="49" t="s">
        <v>12671</v>
      </c>
      <c r="I715" s="97">
        <v>114888.88888888889</v>
      </c>
      <c r="J715" s="95">
        <v>0</v>
      </c>
      <c r="K715" s="102">
        <v>1034</v>
      </c>
      <c r="L715" s="95">
        <v>0</v>
      </c>
      <c r="M715" s="95">
        <v>2</v>
      </c>
      <c r="N715" s="95">
        <v>0</v>
      </c>
      <c r="O715" s="49" t="s">
        <v>10808</v>
      </c>
    </row>
    <row r="716" spans="1:15">
      <c r="A716" s="95">
        <v>174904221976312</v>
      </c>
      <c r="B716" s="49" t="s">
        <v>10651</v>
      </c>
      <c r="C716" s="49" t="s">
        <v>10806</v>
      </c>
      <c r="D716" s="49" t="s">
        <v>10807</v>
      </c>
      <c r="E716" s="49">
        <v>628127962347</v>
      </c>
      <c r="F716" s="96">
        <v>45832</v>
      </c>
      <c r="G716" s="95">
        <v>4</v>
      </c>
      <c r="H716" s="49" t="s">
        <v>12672</v>
      </c>
      <c r="I716" s="97">
        <v>61500</v>
      </c>
      <c r="J716" s="95">
        <v>2</v>
      </c>
      <c r="K716" s="102">
        <v>246</v>
      </c>
      <c r="L716" s="95">
        <v>1</v>
      </c>
      <c r="M716" s="95">
        <v>1</v>
      </c>
      <c r="N716" s="95">
        <v>0</v>
      </c>
      <c r="O716" s="49" t="s">
        <v>10808</v>
      </c>
    </row>
    <row r="717" spans="1:15">
      <c r="A717" s="95">
        <v>174904221976312</v>
      </c>
      <c r="B717" s="49" t="s">
        <v>10651</v>
      </c>
      <c r="C717" s="49" t="s">
        <v>10815</v>
      </c>
      <c r="D717" s="49" t="s">
        <v>651</v>
      </c>
      <c r="E717" s="49">
        <v>6281905836259</v>
      </c>
      <c r="F717" s="96">
        <v>45832</v>
      </c>
      <c r="G717" s="95">
        <v>21</v>
      </c>
      <c r="H717" s="49" t="s">
        <v>12667</v>
      </c>
      <c r="I717" s="97">
        <v>21523.809523809527</v>
      </c>
      <c r="J717" s="95">
        <v>0</v>
      </c>
      <c r="K717" s="102">
        <v>452</v>
      </c>
      <c r="L717" s="95">
        <v>0</v>
      </c>
      <c r="M717" s="95">
        <v>0</v>
      </c>
      <c r="N717" s="95">
        <v>0</v>
      </c>
      <c r="O717" s="49" t="s">
        <v>10816</v>
      </c>
    </row>
    <row r="718" spans="1:15">
      <c r="A718" s="95">
        <v>174904221976312</v>
      </c>
      <c r="B718" s="49" t="s">
        <v>10651</v>
      </c>
      <c r="C718" s="49" t="s">
        <v>10815</v>
      </c>
      <c r="D718" s="49" t="s">
        <v>651</v>
      </c>
      <c r="E718" s="49">
        <v>6281905836259</v>
      </c>
      <c r="F718" s="96">
        <v>45832</v>
      </c>
      <c r="G718" s="95">
        <v>70</v>
      </c>
      <c r="H718" s="49" t="s">
        <v>12668</v>
      </c>
      <c r="I718" s="97">
        <v>14421.052631578947</v>
      </c>
      <c r="J718" s="95">
        <v>1</v>
      </c>
      <c r="K718" s="102">
        <v>1096</v>
      </c>
      <c r="L718" s="95">
        <v>0</v>
      </c>
      <c r="M718" s="95">
        <v>0</v>
      </c>
      <c r="N718" s="95">
        <v>0</v>
      </c>
      <c r="O718" s="49" t="s">
        <v>10816</v>
      </c>
    </row>
    <row r="719" spans="1:15">
      <c r="A719" s="95">
        <v>174904221976312</v>
      </c>
      <c r="B719" s="49" t="s">
        <v>10651</v>
      </c>
      <c r="C719" s="49" t="s">
        <v>10815</v>
      </c>
      <c r="D719" s="49" t="s">
        <v>651</v>
      </c>
      <c r="E719" s="49">
        <v>6281905836259</v>
      </c>
      <c r="F719" s="96">
        <v>45832</v>
      </c>
      <c r="G719" s="95">
        <v>91</v>
      </c>
      <c r="H719" s="49" t="s">
        <v>12669</v>
      </c>
      <c r="I719" s="97">
        <v>30255.102040816324</v>
      </c>
      <c r="J719" s="95">
        <v>2</v>
      </c>
      <c r="K719" s="102">
        <v>2965</v>
      </c>
      <c r="L719" s="95">
        <v>0</v>
      </c>
      <c r="M719" s="95">
        <v>0</v>
      </c>
      <c r="N719" s="95">
        <v>0</v>
      </c>
      <c r="O719" s="49" t="s">
        <v>10816</v>
      </c>
    </row>
    <row r="720" spans="1:15">
      <c r="A720" s="95">
        <v>174904221976312</v>
      </c>
      <c r="B720" s="49" t="s">
        <v>10651</v>
      </c>
      <c r="C720" s="49" t="s">
        <v>10815</v>
      </c>
      <c r="D720" s="49" t="s">
        <v>651</v>
      </c>
      <c r="E720" s="49">
        <v>6281905836259</v>
      </c>
      <c r="F720" s="96">
        <v>45832</v>
      </c>
      <c r="G720" s="95">
        <v>69</v>
      </c>
      <c r="H720" s="49" t="s">
        <v>12670</v>
      </c>
      <c r="I720" s="97">
        <v>27519.480519480519</v>
      </c>
      <c r="J720" s="95">
        <v>1</v>
      </c>
      <c r="K720" s="102">
        <v>2119</v>
      </c>
      <c r="L720" s="95">
        <v>0</v>
      </c>
      <c r="M720" s="95">
        <v>0</v>
      </c>
      <c r="N720" s="95">
        <v>0</v>
      </c>
      <c r="O720" s="49" t="s">
        <v>10816</v>
      </c>
    </row>
    <row r="721" spans="1:15">
      <c r="A721" s="95">
        <v>174904221976312</v>
      </c>
      <c r="B721" s="49" t="s">
        <v>10651</v>
      </c>
      <c r="C721" s="49" t="s">
        <v>10815</v>
      </c>
      <c r="D721" s="49" t="s">
        <v>651</v>
      </c>
      <c r="E721" s="49">
        <v>6281905836259</v>
      </c>
      <c r="F721" s="96">
        <v>45832</v>
      </c>
      <c r="G721" s="95">
        <v>84</v>
      </c>
      <c r="H721" s="49" t="s">
        <v>12671</v>
      </c>
      <c r="I721" s="97">
        <v>46827.956989247316</v>
      </c>
      <c r="J721" s="95">
        <v>1</v>
      </c>
      <c r="K721" s="102">
        <v>4355</v>
      </c>
      <c r="L721" s="95">
        <v>0</v>
      </c>
      <c r="M721" s="95">
        <v>0</v>
      </c>
      <c r="N721" s="95">
        <v>0</v>
      </c>
      <c r="O721" s="49" t="s">
        <v>10816</v>
      </c>
    </row>
    <row r="722" spans="1:15">
      <c r="A722" s="95">
        <v>174904221976312</v>
      </c>
      <c r="B722" s="49" t="s">
        <v>10651</v>
      </c>
      <c r="C722" s="49" t="s">
        <v>10815</v>
      </c>
      <c r="D722" s="49" t="s">
        <v>651</v>
      </c>
      <c r="E722" s="49">
        <v>6281905836259</v>
      </c>
      <c r="F722" s="96">
        <v>45832</v>
      </c>
      <c r="G722" s="95">
        <v>72</v>
      </c>
      <c r="H722" s="49" t="s">
        <v>12672</v>
      </c>
      <c r="I722" s="97">
        <v>34454.545454545456</v>
      </c>
      <c r="J722" s="95">
        <v>5</v>
      </c>
      <c r="K722" s="102">
        <v>2653</v>
      </c>
      <c r="L722" s="95">
        <v>0</v>
      </c>
      <c r="M722" s="95">
        <v>0</v>
      </c>
      <c r="N722" s="95">
        <v>0</v>
      </c>
      <c r="O722" s="49" t="s">
        <v>10816</v>
      </c>
    </row>
    <row r="723" spans="1:15">
      <c r="A723" s="95">
        <v>174904221976312</v>
      </c>
      <c r="B723" s="49" t="s">
        <v>10651</v>
      </c>
      <c r="C723" s="49" t="s">
        <v>8099</v>
      </c>
      <c r="D723" s="49" t="s">
        <v>2357</v>
      </c>
      <c r="E723" s="49">
        <v>6281221788919</v>
      </c>
      <c r="F723" s="96">
        <v>45832</v>
      </c>
      <c r="G723" s="95">
        <v>88</v>
      </c>
      <c r="H723" s="49" t="s">
        <v>12667</v>
      </c>
      <c r="I723" s="97">
        <v>6413.4615384615381</v>
      </c>
      <c r="J723" s="95">
        <v>4</v>
      </c>
      <c r="K723" s="102">
        <v>667</v>
      </c>
      <c r="L723" s="95">
        <v>0</v>
      </c>
      <c r="M723" s="95">
        <v>34</v>
      </c>
      <c r="N723" s="95">
        <v>0</v>
      </c>
      <c r="O723" s="49" t="s">
        <v>10759</v>
      </c>
    </row>
    <row r="724" spans="1:15">
      <c r="A724" s="95">
        <v>174904221976312</v>
      </c>
      <c r="B724" s="49" t="s">
        <v>10651</v>
      </c>
      <c r="C724" s="49" t="s">
        <v>8099</v>
      </c>
      <c r="D724" s="49" t="s">
        <v>2357</v>
      </c>
      <c r="E724" s="49">
        <v>6281221788919</v>
      </c>
      <c r="F724" s="96">
        <v>45832</v>
      </c>
      <c r="G724" s="95">
        <v>416</v>
      </c>
      <c r="H724" s="49" t="s">
        <v>12668</v>
      </c>
      <c r="I724" s="97">
        <v>7490.0542495479203</v>
      </c>
      <c r="J724" s="95">
        <v>8</v>
      </c>
      <c r="K724" s="102">
        <v>4142</v>
      </c>
      <c r="L724" s="95">
        <v>0</v>
      </c>
      <c r="M724" s="95">
        <v>125</v>
      </c>
      <c r="N724" s="95">
        <v>0</v>
      </c>
      <c r="O724" s="49" t="s">
        <v>10759</v>
      </c>
    </row>
    <row r="725" spans="1:15">
      <c r="A725" s="95">
        <v>174904221976312</v>
      </c>
      <c r="B725" s="49" t="s">
        <v>10651</v>
      </c>
      <c r="C725" s="49" t="s">
        <v>8099</v>
      </c>
      <c r="D725" s="49" t="s">
        <v>2357</v>
      </c>
      <c r="E725" s="49">
        <v>6281221788919</v>
      </c>
      <c r="F725" s="96">
        <v>45832</v>
      </c>
      <c r="G725" s="95">
        <v>365</v>
      </c>
      <c r="H725" s="49" t="s">
        <v>12669</v>
      </c>
      <c r="I725" s="97">
        <v>8661.7021276595733</v>
      </c>
      <c r="J725" s="95">
        <v>9</v>
      </c>
      <c r="K725" s="102">
        <v>4071</v>
      </c>
      <c r="L725" s="95">
        <v>0</v>
      </c>
      <c r="M725" s="95">
        <v>131</v>
      </c>
      <c r="N725" s="95">
        <v>0</v>
      </c>
      <c r="O725" s="49" t="s">
        <v>10759</v>
      </c>
    </row>
    <row r="726" spans="1:15">
      <c r="A726" s="95">
        <v>174904221976312</v>
      </c>
      <c r="B726" s="49" t="s">
        <v>10651</v>
      </c>
      <c r="C726" s="49" t="s">
        <v>8099</v>
      </c>
      <c r="D726" s="49" t="s">
        <v>2357</v>
      </c>
      <c r="E726" s="49">
        <v>6281221788919</v>
      </c>
      <c r="F726" s="96">
        <v>45832</v>
      </c>
      <c r="G726" s="95">
        <v>182</v>
      </c>
      <c r="H726" s="49" t="s">
        <v>12670</v>
      </c>
      <c r="I726" s="97">
        <v>11271.186440677966</v>
      </c>
      <c r="J726" s="95">
        <v>3</v>
      </c>
      <c r="K726" s="102">
        <v>2660</v>
      </c>
      <c r="L726" s="95">
        <v>0</v>
      </c>
      <c r="M726" s="95">
        <v>86</v>
      </c>
      <c r="N726" s="95">
        <v>0</v>
      </c>
      <c r="O726" s="49" t="s">
        <v>10759</v>
      </c>
    </row>
    <row r="727" spans="1:15">
      <c r="A727" s="95">
        <v>174904221976312</v>
      </c>
      <c r="B727" s="49" t="s">
        <v>10651</v>
      </c>
      <c r="C727" s="49" t="s">
        <v>8099</v>
      </c>
      <c r="D727" s="49" t="s">
        <v>2357</v>
      </c>
      <c r="E727" s="49">
        <v>6281221788919</v>
      </c>
      <c r="F727" s="96">
        <v>45832</v>
      </c>
      <c r="G727" s="95">
        <v>32</v>
      </c>
      <c r="H727" s="49" t="s">
        <v>12671</v>
      </c>
      <c r="I727" s="97">
        <v>12648.14814814815</v>
      </c>
      <c r="J727" s="95">
        <v>1</v>
      </c>
      <c r="K727" s="102">
        <v>683</v>
      </c>
      <c r="L727" s="95">
        <v>0</v>
      </c>
      <c r="M727" s="95">
        <v>19</v>
      </c>
      <c r="N727" s="95">
        <v>0</v>
      </c>
      <c r="O727" s="49" t="s">
        <v>10759</v>
      </c>
    </row>
    <row r="728" spans="1:15">
      <c r="A728" s="95">
        <v>174904221976312</v>
      </c>
      <c r="B728" s="49" t="s">
        <v>10651</v>
      </c>
      <c r="C728" s="49" t="s">
        <v>8099</v>
      </c>
      <c r="D728" s="49" t="s">
        <v>2357</v>
      </c>
      <c r="E728" s="49">
        <v>6281221788919</v>
      </c>
      <c r="F728" s="96">
        <v>45832</v>
      </c>
      <c r="G728" s="95">
        <v>11</v>
      </c>
      <c r="H728" s="49" t="s">
        <v>12672</v>
      </c>
      <c r="I728" s="97">
        <v>8230.7692307692305</v>
      </c>
      <c r="J728" s="95">
        <v>0</v>
      </c>
      <c r="K728" s="102">
        <v>107</v>
      </c>
      <c r="L728" s="95">
        <v>0</v>
      </c>
      <c r="M728" s="95">
        <v>7</v>
      </c>
      <c r="N728" s="95">
        <v>0</v>
      </c>
      <c r="O728" s="49" t="s">
        <v>10759</v>
      </c>
    </row>
    <row r="729" spans="1:15">
      <c r="A729" s="95">
        <v>174904221976312</v>
      </c>
      <c r="B729" s="49" t="s">
        <v>10651</v>
      </c>
      <c r="C729" s="49" t="s">
        <v>311</v>
      </c>
      <c r="D729" s="49" t="s">
        <v>10737</v>
      </c>
      <c r="E729" s="49">
        <v>628988759290</v>
      </c>
      <c r="F729" s="96">
        <v>45832</v>
      </c>
      <c r="G729" s="95">
        <v>169</v>
      </c>
      <c r="H729" s="49" t="s">
        <v>12667</v>
      </c>
      <c r="I729" s="97">
        <v>7577.868852459017</v>
      </c>
      <c r="J729" s="95">
        <v>4</v>
      </c>
      <c r="K729" s="102">
        <v>1849</v>
      </c>
      <c r="L729" s="95">
        <v>0</v>
      </c>
      <c r="M729" s="95">
        <v>5</v>
      </c>
      <c r="N729" s="95">
        <v>0</v>
      </c>
      <c r="O729" s="49" t="s">
        <v>10738</v>
      </c>
    </row>
    <row r="730" spans="1:15">
      <c r="A730" s="95">
        <v>174904221976312</v>
      </c>
      <c r="B730" s="49" t="s">
        <v>10651</v>
      </c>
      <c r="C730" s="49" t="s">
        <v>311</v>
      </c>
      <c r="D730" s="49" t="s">
        <v>10737</v>
      </c>
      <c r="E730" s="49">
        <v>628988759290</v>
      </c>
      <c r="F730" s="96">
        <v>45832</v>
      </c>
      <c r="G730" s="95">
        <v>261</v>
      </c>
      <c r="H730" s="49" t="s">
        <v>12668</v>
      </c>
      <c r="I730" s="97">
        <v>10828.729281767955</v>
      </c>
      <c r="J730" s="95">
        <v>17</v>
      </c>
      <c r="K730" s="102">
        <v>3920</v>
      </c>
      <c r="L730" s="95">
        <v>1</v>
      </c>
      <c r="M730" s="95">
        <v>10</v>
      </c>
      <c r="N730" s="95">
        <v>0</v>
      </c>
      <c r="O730" s="49" t="s">
        <v>10738</v>
      </c>
    </row>
    <row r="731" spans="1:15">
      <c r="A731" s="95">
        <v>174904221976312</v>
      </c>
      <c r="B731" s="49" t="s">
        <v>10651</v>
      </c>
      <c r="C731" s="49" t="s">
        <v>311</v>
      </c>
      <c r="D731" s="49" t="s">
        <v>10737</v>
      </c>
      <c r="E731" s="49">
        <v>628988759290</v>
      </c>
      <c r="F731" s="96">
        <v>45832</v>
      </c>
      <c r="G731" s="95">
        <v>175</v>
      </c>
      <c r="H731" s="49" t="s">
        <v>12669</v>
      </c>
      <c r="I731" s="97">
        <v>13487.179487179486</v>
      </c>
      <c r="J731" s="95">
        <v>10</v>
      </c>
      <c r="K731" s="102">
        <v>3156</v>
      </c>
      <c r="L731" s="95">
        <v>0</v>
      </c>
      <c r="M731" s="95">
        <v>14</v>
      </c>
      <c r="N731" s="95">
        <v>0</v>
      </c>
      <c r="O731" s="49" t="s">
        <v>10738</v>
      </c>
    </row>
    <row r="732" spans="1:15">
      <c r="A732" s="95">
        <v>174904221976312</v>
      </c>
      <c r="B732" s="49" t="s">
        <v>10651</v>
      </c>
      <c r="C732" s="49" t="s">
        <v>311</v>
      </c>
      <c r="D732" s="49" t="s">
        <v>10737</v>
      </c>
      <c r="E732" s="49">
        <v>628988759290</v>
      </c>
      <c r="F732" s="96">
        <v>45832</v>
      </c>
      <c r="G732" s="95">
        <v>146</v>
      </c>
      <c r="H732" s="49" t="s">
        <v>12670</v>
      </c>
      <c r="I732" s="97">
        <v>16604.395604395606</v>
      </c>
      <c r="J732" s="95">
        <v>5</v>
      </c>
      <c r="K732" s="102">
        <v>3022</v>
      </c>
      <c r="L732" s="95">
        <v>1</v>
      </c>
      <c r="M732" s="95">
        <v>22</v>
      </c>
      <c r="N732" s="95">
        <v>0</v>
      </c>
      <c r="O732" s="49" t="s">
        <v>10738</v>
      </c>
    </row>
    <row r="733" spans="1:15">
      <c r="A733" s="95">
        <v>174904221976312</v>
      </c>
      <c r="B733" s="49" t="s">
        <v>10651</v>
      </c>
      <c r="C733" s="49" t="s">
        <v>311</v>
      </c>
      <c r="D733" s="49" t="s">
        <v>10737</v>
      </c>
      <c r="E733" s="49">
        <v>628988759290</v>
      </c>
      <c r="F733" s="96">
        <v>45832</v>
      </c>
      <c r="G733" s="95">
        <v>38</v>
      </c>
      <c r="H733" s="49" t="s">
        <v>12671</v>
      </c>
      <c r="I733" s="97">
        <v>18048.780487804877</v>
      </c>
      <c r="J733" s="95">
        <v>2</v>
      </c>
      <c r="K733" s="102">
        <v>740</v>
      </c>
      <c r="L733" s="95">
        <v>0</v>
      </c>
      <c r="M733" s="95">
        <v>8</v>
      </c>
      <c r="N733" s="95">
        <v>0</v>
      </c>
      <c r="O733" s="49" t="s">
        <v>10738</v>
      </c>
    </row>
    <row r="734" spans="1:15">
      <c r="A734" s="95">
        <v>174904221976312</v>
      </c>
      <c r="B734" s="49" t="s">
        <v>10651</v>
      </c>
      <c r="C734" s="49" t="s">
        <v>311</v>
      </c>
      <c r="D734" s="49" t="s">
        <v>10737</v>
      </c>
      <c r="E734" s="49">
        <v>628988759290</v>
      </c>
      <c r="F734" s="96">
        <v>45832</v>
      </c>
      <c r="G734" s="95">
        <v>20</v>
      </c>
      <c r="H734" s="49" t="s">
        <v>12672</v>
      </c>
      <c r="I734" s="97">
        <v>33230.769230769234</v>
      </c>
      <c r="J734" s="95">
        <v>4</v>
      </c>
      <c r="K734" s="102">
        <v>864</v>
      </c>
      <c r="L734" s="95">
        <v>0</v>
      </c>
      <c r="M734" s="95">
        <v>3</v>
      </c>
      <c r="N734" s="95">
        <v>0</v>
      </c>
      <c r="O734" s="49" t="s">
        <v>10738</v>
      </c>
    </row>
    <row r="735" spans="1:15">
      <c r="A735" s="95">
        <v>174904221976312</v>
      </c>
      <c r="B735" s="49" t="s">
        <v>10651</v>
      </c>
      <c r="C735" s="49" t="s">
        <v>10778</v>
      </c>
      <c r="D735" s="49" t="s">
        <v>3140</v>
      </c>
      <c r="E735" s="49"/>
      <c r="F735" s="96">
        <v>45832</v>
      </c>
      <c r="G735" s="95">
        <v>1428</v>
      </c>
      <c r="H735" s="49" t="s">
        <v>12667</v>
      </c>
      <c r="I735" s="97">
        <v>1318.8602442333786</v>
      </c>
      <c r="J735" s="95">
        <v>18</v>
      </c>
      <c r="K735" s="102">
        <v>1944</v>
      </c>
      <c r="L735" s="95">
        <v>0</v>
      </c>
      <c r="M735" s="95">
        <v>84</v>
      </c>
      <c r="N735" s="95">
        <v>0</v>
      </c>
      <c r="O735" s="49" t="s">
        <v>10779</v>
      </c>
    </row>
    <row r="736" spans="1:15">
      <c r="A736" s="95">
        <v>174904221976312</v>
      </c>
      <c r="B736" s="49" t="s">
        <v>10651</v>
      </c>
      <c r="C736" s="49" t="s">
        <v>10778</v>
      </c>
      <c r="D736" s="49" t="s">
        <v>3140</v>
      </c>
      <c r="E736" s="49"/>
      <c r="F736" s="96">
        <v>45832</v>
      </c>
      <c r="G736" s="95">
        <v>1604</v>
      </c>
      <c r="H736" s="49" t="s">
        <v>12668</v>
      </c>
      <c r="I736" s="97">
        <v>1784.971098265896</v>
      </c>
      <c r="J736" s="95">
        <v>23</v>
      </c>
      <c r="K736" s="102">
        <v>3088</v>
      </c>
      <c r="L736" s="95">
        <v>0</v>
      </c>
      <c r="M736" s="95">
        <v>150</v>
      </c>
      <c r="N736" s="95">
        <v>0</v>
      </c>
      <c r="O736" s="49" t="s">
        <v>10779</v>
      </c>
    </row>
    <row r="737" spans="1:15">
      <c r="A737" s="95">
        <v>174904221976312</v>
      </c>
      <c r="B737" s="49" t="s">
        <v>10651</v>
      </c>
      <c r="C737" s="49" t="s">
        <v>10778</v>
      </c>
      <c r="D737" s="49" t="s">
        <v>3140</v>
      </c>
      <c r="E737" s="49"/>
      <c r="F737" s="96">
        <v>45832</v>
      </c>
      <c r="G737" s="95">
        <v>1420</v>
      </c>
      <c r="H737" s="49" t="s">
        <v>12669</v>
      </c>
      <c r="I737" s="97">
        <v>2504.0049291435612</v>
      </c>
      <c r="J737" s="95">
        <v>26</v>
      </c>
      <c r="K737" s="102">
        <v>4064</v>
      </c>
      <c r="L737" s="95">
        <v>0</v>
      </c>
      <c r="M737" s="95">
        <v>207</v>
      </c>
      <c r="N737" s="95">
        <v>0</v>
      </c>
      <c r="O737" s="49" t="s">
        <v>10779</v>
      </c>
    </row>
    <row r="738" spans="1:15">
      <c r="A738" s="95">
        <v>174904221976312</v>
      </c>
      <c r="B738" s="49" t="s">
        <v>10651</v>
      </c>
      <c r="C738" s="49" t="s">
        <v>10778</v>
      </c>
      <c r="D738" s="49" t="s">
        <v>3140</v>
      </c>
      <c r="E738" s="49"/>
      <c r="F738" s="96">
        <v>45832</v>
      </c>
      <c r="G738" s="95">
        <v>560</v>
      </c>
      <c r="H738" s="49" t="s">
        <v>12670</v>
      </c>
      <c r="I738" s="97">
        <v>3156.606851549755</v>
      </c>
      <c r="J738" s="95">
        <v>10</v>
      </c>
      <c r="K738" s="102">
        <v>1935</v>
      </c>
      <c r="L738" s="95">
        <v>0</v>
      </c>
      <c r="M738" s="95">
        <v>62</v>
      </c>
      <c r="N738" s="95">
        <v>0</v>
      </c>
      <c r="O738" s="49" t="s">
        <v>10779</v>
      </c>
    </row>
    <row r="739" spans="1:15">
      <c r="A739" s="95">
        <v>174904221976312</v>
      </c>
      <c r="B739" s="49" t="s">
        <v>10651</v>
      </c>
      <c r="C739" s="49" t="s">
        <v>10778</v>
      </c>
      <c r="D739" s="49" t="s">
        <v>3140</v>
      </c>
      <c r="E739" s="49"/>
      <c r="F739" s="96">
        <v>45832</v>
      </c>
      <c r="G739" s="95">
        <v>122</v>
      </c>
      <c r="H739" s="49" t="s">
        <v>12671</v>
      </c>
      <c r="I739" s="97">
        <v>3195.9459459459463</v>
      </c>
      <c r="J739" s="95">
        <v>5</v>
      </c>
      <c r="K739" s="102">
        <v>473</v>
      </c>
      <c r="L739" s="95">
        <v>0</v>
      </c>
      <c r="M739" s="95">
        <v>13</v>
      </c>
      <c r="N739" s="95">
        <v>0</v>
      </c>
      <c r="O739" s="49" t="s">
        <v>10779</v>
      </c>
    </row>
    <row r="740" spans="1:15">
      <c r="A740" s="95">
        <v>174904221976312</v>
      </c>
      <c r="B740" s="49" t="s">
        <v>10651</v>
      </c>
      <c r="C740" s="49" t="s">
        <v>10778</v>
      </c>
      <c r="D740" s="49" t="s">
        <v>3140</v>
      </c>
      <c r="E740" s="49"/>
      <c r="F740" s="96">
        <v>45832</v>
      </c>
      <c r="G740" s="95">
        <v>94</v>
      </c>
      <c r="H740" s="49" t="s">
        <v>12672</v>
      </c>
      <c r="I740" s="97">
        <v>2410.7142857142858</v>
      </c>
      <c r="J740" s="95">
        <v>3</v>
      </c>
      <c r="K740" s="102">
        <v>270</v>
      </c>
      <c r="L740" s="95">
        <v>0</v>
      </c>
      <c r="M740" s="95">
        <v>9</v>
      </c>
      <c r="N740" s="95">
        <v>0</v>
      </c>
      <c r="O740" s="49" t="s">
        <v>10779</v>
      </c>
    </row>
    <row r="741" spans="1:15">
      <c r="A741" s="95">
        <v>174904221976312</v>
      </c>
      <c r="B741" s="49" t="s">
        <v>10651</v>
      </c>
      <c r="C741" s="49" t="s">
        <v>10673</v>
      </c>
      <c r="D741" s="49" t="s">
        <v>10674</v>
      </c>
      <c r="E741" s="49">
        <v>6282183184641</v>
      </c>
      <c r="F741" s="96">
        <v>45832</v>
      </c>
      <c r="G741" s="95">
        <v>15</v>
      </c>
      <c r="H741" s="49" t="s">
        <v>12667</v>
      </c>
      <c r="I741" s="97">
        <v>9533.3333333333339</v>
      </c>
      <c r="J741" s="95">
        <v>0</v>
      </c>
      <c r="K741" s="102">
        <v>143</v>
      </c>
      <c r="L741" s="95">
        <v>0</v>
      </c>
      <c r="M741" s="95">
        <v>0</v>
      </c>
      <c r="N741" s="95">
        <v>0</v>
      </c>
      <c r="O741" s="49" t="s">
        <v>10916</v>
      </c>
    </row>
    <row r="742" spans="1:15">
      <c r="A742" s="95">
        <v>174904221976312</v>
      </c>
      <c r="B742" s="49" t="s">
        <v>10651</v>
      </c>
      <c r="C742" s="49" t="s">
        <v>10673</v>
      </c>
      <c r="D742" s="49" t="s">
        <v>10674</v>
      </c>
      <c r="E742" s="49">
        <v>6282183184641</v>
      </c>
      <c r="F742" s="96">
        <v>45832</v>
      </c>
      <c r="G742" s="95">
        <v>102</v>
      </c>
      <c r="H742" s="49" t="s">
        <v>12668</v>
      </c>
      <c r="I742" s="97">
        <v>19950.70422535211</v>
      </c>
      <c r="J742" s="95">
        <v>0</v>
      </c>
      <c r="K742" s="102">
        <v>2833</v>
      </c>
      <c r="L742" s="95">
        <v>0</v>
      </c>
      <c r="M742" s="95">
        <v>0</v>
      </c>
      <c r="N742" s="95">
        <v>0</v>
      </c>
      <c r="O742" s="49" t="s">
        <v>10916</v>
      </c>
    </row>
    <row r="743" spans="1:15">
      <c r="A743" s="95">
        <v>174904221976312</v>
      </c>
      <c r="B743" s="49" t="s">
        <v>10651</v>
      </c>
      <c r="C743" s="49" t="s">
        <v>10673</v>
      </c>
      <c r="D743" s="49" t="s">
        <v>10674</v>
      </c>
      <c r="E743" s="49">
        <v>6282183184641</v>
      </c>
      <c r="F743" s="96">
        <v>45832</v>
      </c>
      <c r="G743" s="95">
        <v>117</v>
      </c>
      <c r="H743" s="49" t="s">
        <v>12669</v>
      </c>
      <c r="I743" s="97">
        <v>21964.912280701752</v>
      </c>
      <c r="J743" s="95">
        <v>3</v>
      </c>
      <c r="K743" s="102">
        <v>3756</v>
      </c>
      <c r="L743" s="95">
        <v>0</v>
      </c>
      <c r="M743" s="95">
        <v>0</v>
      </c>
      <c r="N743" s="95">
        <v>0</v>
      </c>
      <c r="O743" s="49" t="s">
        <v>10916</v>
      </c>
    </row>
    <row r="744" spans="1:15">
      <c r="A744" s="95">
        <v>174904221976312</v>
      </c>
      <c r="B744" s="49" t="s">
        <v>10651</v>
      </c>
      <c r="C744" s="49" t="s">
        <v>10673</v>
      </c>
      <c r="D744" s="49" t="s">
        <v>10674</v>
      </c>
      <c r="E744" s="49">
        <v>6282183184641</v>
      </c>
      <c r="F744" s="96">
        <v>45832</v>
      </c>
      <c r="G744" s="95">
        <v>91</v>
      </c>
      <c r="H744" s="49" t="s">
        <v>12670</v>
      </c>
      <c r="I744" s="97">
        <v>36731.092436974788</v>
      </c>
      <c r="J744" s="95">
        <v>7</v>
      </c>
      <c r="K744" s="102">
        <v>4371</v>
      </c>
      <c r="L744" s="95">
        <v>0</v>
      </c>
      <c r="M744" s="95">
        <v>2</v>
      </c>
      <c r="N744" s="95">
        <v>0</v>
      </c>
      <c r="O744" s="49" t="s">
        <v>10916</v>
      </c>
    </row>
    <row r="745" spans="1:15">
      <c r="A745" s="95">
        <v>174904221976312</v>
      </c>
      <c r="B745" s="49" t="s">
        <v>10651</v>
      </c>
      <c r="C745" s="49" t="s">
        <v>10673</v>
      </c>
      <c r="D745" s="49" t="s">
        <v>10674</v>
      </c>
      <c r="E745" s="49">
        <v>6282183184641</v>
      </c>
      <c r="F745" s="96">
        <v>45832</v>
      </c>
      <c r="G745" s="95">
        <v>43</v>
      </c>
      <c r="H745" s="49" t="s">
        <v>12671</v>
      </c>
      <c r="I745" s="97">
        <v>34795.918367346938</v>
      </c>
      <c r="J745" s="95">
        <v>5</v>
      </c>
      <c r="K745" s="102">
        <v>1705</v>
      </c>
      <c r="L745" s="95">
        <v>0</v>
      </c>
      <c r="M745" s="95">
        <v>0</v>
      </c>
      <c r="N745" s="95">
        <v>0</v>
      </c>
      <c r="O745" s="49" t="s">
        <v>10916</v>
      </c>
    </row>
    <row r="746" spans="1:15">
      <c r="A746" s="95">
        <v>174904221976312</v>
      </c>
      <c r="B746" s="49" t="s">
        <v>10651</v>
      </c>
      <c r="C746" s="49" t="s">
        <v>10673</v>
      </c>
      <c r="D746" s="49" t="s">
        <v>10674</v>
      </c>
      <c r="E746" s="49">
        <v>6282183184641</v>
      </c>
      <c r="F746" s="96">
        <v>45832</v>
      </c>
      <c r="G746" s="95">
        <v>8</v>
      </c>
      <c r="H746" s="49" t="s">
        <v>12672</v>
      </c>
      <c r="I746" s="97">
        <v>10888.888888888889</v>
      </c>
      <c r="J746" s="95">
        <v>0</v>
      </c>
      <c r="K746" s="102">
        <v>98</v>
      </c>
      <c r="L746" s="95">
        <v>0</v>
      </c>
      <c r="M746" s="95">
        <v>0</v>
      </c>
      <c r="N746" s="95">
        <v>0</v>
      </c>
      <c r="O746" s="49" t="s">
        <v>10916</v>
      </c>
    </row>
    <row r="747" spans="1:15">
      <c r="A747" s="95">
        <v>174904221976312</v>
      </c>
      <c r="B747" s="49" t="s">
        <v>10651</v>
      </c>
      <c r="C747" s="49" t="s">
        <v>10652</v>
      </c>
      <c r="D747" s="49" t="s">
        <v>10653</v>
      </c>
      <c r="E747" s="49">
        <v>6281348555887</v>
      </c>
      <c r="F747" s="96">
        <v>45832</v>
      </c>
      <c r="G747" s="95">
        <v>140</v>
      </c>
      <c r="H747" s="49" t="s">
        <v>12668</v>
      </c>
      <c r="I747" s="97">
        <v>10625.766871165644</v>
      </c>
      <c r="J747" s="95">
        <v>6</v>
      </c>
      <c r="K747" s="102">
        <v>1732</v>
      </c>
      <c r="L747" s="95">
        <v>0</v>
      </c>
      <c r="M747" s="95">
        <v>37</v>
      </c>
      <c r="N747" s="95">
        <v>0</v>
      </c>
      <c r="O747" s="49" t="s">
        <v>10654</v>
      </c>
    </row>
    <row r="748" spans="1:15">
      <c r="A748" s="95">
        <v>174904221976312</v>
      </c>
      <c r="B748" s="49" t="s">
        <v>10651</v>
      </c>
      <c r="C748" s="49" t="s">
        <v>10652</v>
      </c>
      <c r="D748" s="49" t="s">
        <v>10653</v>
      </c>
      <c r="E748" s="49">
        <v>6281348555887</v>
      </c>
      <c r="F748" s="96">
        <v>45832</v>
      </c>
      <c r="G748" s="95">
        <v>473</v>
      </c>
      <c r="H748" s="49" t="s">
        <v>12669</v>
      </c>
      <c r="I748" s="97">
        <v>12517.857142857143</v>
      </c>
      <c r="J748" s="95">
        <v>17</v>
      </c>
      <c r="K748" s="102">
        <v>7010</v>
      </c>
      <c r="L748" s="95">
        <v>0</v>
      </c>
      <c r="M748" s="95">
        <v>156</v>
      </c>
      <c r="N748" s="95">
        <v>0</v>
      </c>
      <c r="O748" s="49" t="s">
        <v>10654</v>
      </c>
    </row>
    <row r="749" spans="1:15">
      <c r="A749" s="95">
        <v>174904221976312</v>
      </c>
      <c r="B749" s="49" t="s">
        <v>10651</v>
      </c>
      <c r="C749" s="49" t="s">
        <v>10652</v>
      </c>
      <c r="D749" s="49" t="s">
        <v>10653</v>
      </c>
      <c r="E749" s="49">
        <v>6281348555887</v>
      </c>
      <c r="F749" s="96">
        <v>45832</v>
      </c>
      <c r="G749" s="95">
        <v>166</v>
      </c>
      <c r="H749" s="49" t="s">
        <v>12670</v>
      </c>
      <c r="I749" s="97">
        <v>18321.428571428572</v>
      </c>
      <c r="J749" s="95">
        <v>5</v>
      </c>
      <c r="K749" s="102">
        <v>3591</v>
      </c>
      <c r="L749" s="95">
        <v>0</v>
      </c>
      <c r="M749" s="95">
        <v>59</v>
      </c>
      <c r="N749" s="95">
        <v>0</v>
      </c>
      <c r="O749" s="49" t="s">
        <v>10654</v>
      </c>
    </row>
    <row r="750" spans="1:15">
      <c r="A750" s="95">
        <v>174904221976312</v>
      </c>
      <c r="B750" s="49" t="s">
        <v>10651</v>
      </c>
      <c r="C750" s="49" t="s">
        <v>10652</v>
      </c>
      <c r="D750" s="49" t="s">
        <v>10653</v>
      </c>
      <c r="E750" s="49">
        <v>6281348555887</v>
      </c>
      <c r="F750" s="96">
        <v>45832</v>
      </c>
      <c r="G750" s="95">
        <v>10</v>
      </c>
      <c r="H750" s="49" t="s">
        <v>12671</v>
      </c>
      <c r="I750" s="97">
        <v>85833.333333333328</v>
      </c>
      <c r="J750" s="95">
        <v>1</v>
      </c>
      <c r="K750" s="102">
        <v>1030</v>
      </c>
      <c r="L750" s="95">
        <v>0</v>
      </c>
      <c r="M750" s="95">
        <v>5</v>
      </c>
      <c r="N750" s="95">
        <v>0</v>
      </c>
      <c r="O750" s="49" t="s">
        <v>10654</v>
      </c>
    </row>
    <row r="751" spans="1:15">
      <c r="A751" s="95">
        <v>174904221976312</v>
      </c>
      <c r="B751" s="49" t="s">
        <v>10651</v>
      </c>
      <c r="C751" s="49" t="s">
        <v>10652</v>
      </c>
      <c r="D751" s="49" t="s">
        <v>10653</v>
      </c>
      <c r="E751" s="49">
        <v>6281348555887</v>
      </c>
      <c r="F751" s="96">
        <v>45832</v>
      </c>
      <c r="G751" s="95">
        <v>14</v>
      </c>
      <c r="H751" s="49" t="s">
        <v>12672</v>
      </c>
      <c r="I751" s="97">
        <v>6222.2222222222226</v>
      </c>
      <c r="J751" s="95">
        <v>3</v>
      </c>
      <c r="K751" s="102">
        <v>112</v>
      </c>
      <c r="L751" s="95">
        <v>0</v>
      </c>
      <c r="M751" s="95">
        <v>4</v>
      </c>
      <c r="N751" s="95">
        <v>0</v>
      </c>
      <c r="O751" s="49" t="s">
        <v>10654</v>
      </c>
    </row>
    <row r="752" spans="1:15">
      <c r="A752" s="95">
        <v>174904221976312</v>
      </c>
      <c r="B752" s="49" t="s">
        <v>10651</v>
      </c>
      <c r="C752" s="49" t="s">
        <v>10659</v>
      </c>
      <c r="D752" s="49" t="s">
        <v>1044</v>
      </c>
      <c r="E752" s="49">
        <v>6281263113266</v>
      </c>
      <c r="F752" s="96">
        <v>45832</v>
      </c>
      <c r="G752" s="95">
        <v>39</v>
      </c>
      <c r="H752" s="49" t="s">
        <v>12667</v>
      </c>
      <c r="I752" s="97">
        <v>6375</v>
      </c>
      <c r="J752" s="95">
        <v>2</v>
      </c>
      <c r="K752" s="102">
        <v>306</v>
      </c>
      <c r="L752" s="95">
        <v>0</v>
      </c>
      <c r="M752" s="95">
        <v>0</v>
      </c>
      <c r="N752" s="95">
        <v>1</v>
      </c>
      <c r="O752" s="49" t="s">
        <v>10660</v>
      </c>
    </row>
    <row r="753" spans="1:15">
      <c r="A753" s="95">
        <v>174904221976312</v>
      </c>
      <c r="B753" s="49" t="s">
        <v>10651</v>
      </c>
      <c r="C753" s="49" t="s">
        <v>10659</v>
      </c>
      <c r="D753" s="49" t="s">
        <v>1044</v>
      </c>
      <c r="E753" s="49">
        <v>6281263113266</v>
      </c>
      <c r="F753" s="96">
        <v>45832</v>
      </c>
      <c r="G753" s="95">
        <v>376</v>
      </c>
      <c r="H753" s="49" t="s">
        <v>12668</v>
      </c>
      <c r="I753" s="97">
        <v>7754.2735042735039</v>
      </c>
      <c r="J753" s="95">
        <v>12</v>
      </c>
      <c r="K753" s="102">
        <v>3629</v>
      </c>
      <c r="L753" s="95">
        <v>0</v>
      </c>
      <c r="M753" s="95">
        <v>0</v>
      </c>
      <c r="N753" s="95">
        <v>0</v>
      </c>
      <c r="O753" s="49" t="s">
        <v>10660</v>
      </c>
    </row>
    <row r="754" spans="1:15">
      <c r="A754" s="95">
        <v>174904221976312</v>
      </c>
      <c r="B754" s="49" t="s">
        <v>10651</v>
      </c>
      <c r="C754" s="49" t="s">
        <v>10659</v>
      </c>
      <c r="D754" s="49" t="s">
        <v>1044</v>
      </c>
      <c r="E754" s="49">
        <v>6281263113266</v>
      </c>
      <c r="F754" s="96">
        <v>45832</v>
      </c>
      <c r="G754" s="95">
        <v>396</v>
      </c>
      <c r="H754" s="49" t="s">
        <v>12669</v>
      </c>
      <c r="I754" s="97">
        <v>9423.7288135593226</v>
      </c>
      <c r="J754" s="95">
        <v>26</v>
      </c>
      <c r="K754" s="102">
        <v>4448</v>
      </c>
      <c r="L754" s="95">
        <v>2</v>
      </c>
      <c r="M754" s="95">
        <v>0</v>
      </c>
      <c r="N754" s="95">
        <v>0</v>
      </c>
      <c r="O754" s="49" t="s">
        <v>10660</v>
      </c>
    </row>
    <row r="755" spans="1:15">
      <c r="A755" s="95">
        <v>174904221976312</v>
      </c>
      <c r="B755" s="49" t="s">
        <v>10651</v>
      </c>
      <c r="C755" s="49" t="s">
        <v>10659</v>
      </c>
      <c r="D755" s="49" t="s">
        <v>1044</v>
      </c>
      <c r="E755" s="49">
        <v>6281263113266</v>
      </c>
      <c r="F755" s="96">
        <v>45832</v>
      </c>
      <c r="G755" s="95">
        <v>302</v>
      </c>
      <c r="H755" s="49" t="s">
        <v>12670</v>
      </c>
      <c r="I755" s="97">
        <v>10670.454545454544</v>
      </c>
      <c r="J755" s="95">
        <v>15</v>
      </c>
      <c r="K755" s="102">
        <v>3756</v>
      </c>
      <c r="L755" s="95">
        <v>1</v>
      </c>
      <c r="M755" s="95">
        <v>0</v>
      </c>
      <c r="N755" s="95">
        <v>0</v>
      </c>
      <c r="O755" s="49" t="s">
        <v>10660</v>
      </c>
    </row>
    <row r="756" spans="1:15">
      <c r="A756" s="95">
        <v>174904221976312</v>
      </c>
      <c r="B756" s="49" t="s">
        <v>10651</v>
      </c>
      <c r="C756" s="49" t="s">
        <v>10659</v>
      </c>
      <c r="D756" s="49" t="s">
        <v>1044</v>
      </c>
      <c r="E756" s="49">
        <v>6281263113266</v>
      </c>
      <c r="F756" s="96">
        <v>45832</v>
      </c>
      <c r="G756" s="95">
        <v>123</v>
      </c>
      <c r="H756" s="49" t="s">
        <v>12671</v>
      </c>
      <c r="I756" s="97">
        <v>13661.870503597122</v>
      </c>
      <c r="J756" s="95">
        <v>10</v>
      </c>
      <c r="K756" s="102">
        <v>1899</v>
      </c>
      <c r="L756" s="95">
        <v>2</v>
      </c>
      <c r="M756" s="95">
        <v>0</v>
      </c>
      <c r="N756" s="95">
        <v>0</v>
      </c>
      <c r="O756" s="49" t="s">
        <v>10660</v>
      </c>
    </row>
    <row r="757" spans="1:15">
      <c r="A757" s="95">
        <v>174904221976312</v>
      </c>
      <c r="B757" s="49" t="s">
        <v>10651</v>
      </c>
      <c r="C757" s="49" t="s">
        <v>10659</v>
      </c>
      <c r="D757" s="49" t="s">
        <v>1044</v>
      </c>
      <c r="E757" s="49">
        <v>6281263113266</v>
      </c>
      <c r="F757" s="96">
        <v>45832</v>
      </c>
      <c r="G757" s="95">
        <v>44</v>
      </c>
      <c r="H757" s="49" t="s">
        <v>12672</v>
      </c>
      <c r="I757" s="97">
        <v>8333.3333333333339</v>
      </c>
      <c r="J757" s="95">
        <v>1</v>
      </c>
      <c r="K757" s="102">
        <v>450</v>
      </c>
      <c r="L757" s="95">
        <v>0</v>
      </c>
      <c r="M757" s="95">
        <v>0</v>
      </c>
      <c r="N757" s="95">
        <v>0</v>
      </c>
      <c r="O757" s="49" t="s">
        <v>10660</v>
      </c>
    </row>
    <row r="758" spans="1:15">
      <c r="A758" s="95">
        <v>174904221976312</v>
      </c>
      <c r="B758" s="49" t="s">
        <v>10651</v>
      </c>
      <c r="C758" s="49" t="s">
        <v>10833</v>
      </c>
      <c r="D758" s="49" t="s">
        <v>10834</v>
      </c>
      <c r="E758" s="49">
        <v>6282242925264</v>
      </c>
      <c r="F758" s="96">
        <v>45832</v>
      </c>
      <c r="G758" s="95">
        <v>1011</v>
      </c>
      <c r="H758" s="49" t="s">
        <v>12668</v>
      </c>
      <c r="I758" s="97">
        <v>4747.2984206151295</v>
      </c>
      <c r="J758" s="95">
        <v>42</v>
      </c>
      <c r="K758" s="102">
        <v>5711</v>
      </c>
      <c r="L758" s="95">
        <v>5</v>
      </c>
      <c r="M758" s="95">
        <v>303</v>
      </c>
      <c r="N758" s="95">
        <v>0</v>
      </c>
      <c r="O758" s="49" t="s">
        <v>10835</v>
      </c>
    </row>
    <row r="759" spans="1:15">
      <c r="A759" s="95">
        <v>174904221976312</v>
      </c>
      <c r="B759" s="49" t="s">
        <v>10651</v>
      </c>
      <c r="C759" s="49" t="s">
        <v>10833</v>
      </c>
      <c r="D759" s="49" t="s">
        <v>10834</v>
      </c>
      <c r="E759" s="49">
        <v>6282242925264</v>
      </c>
      <c r="F759" s="96">
        <v>45832</v>
      </c>
      <c r="G759" s="95">
        <v>963</v>
      </c>
      <c r="H759" s="49" t="s">
        <v>12669</v>
      </c>
      <c r="I759" s="97">
        <v>4733.9945897204689</v>
      </c>
      <c r="J759" s="95">
        <v>30</v>
      </c>
      <c r="K759" s="102">
        <v>5250</v>
      </c>
      <c r="L759" s="95">
        <v>2</v>
      </c>
      <c r="M759" s="95">
        <v>276</v>
      </c>
      <c r="N759" s="95">
        <v>0</v>
      </c>
      <c r="O759" s="49" t="s">
        <v>10835</v>
      </c>
    </row>
    <row r="760" spans="1:15">
      <c r="A760" s="95">
        <v>174904221976312</v>
      </c>
      <c r="B760" s="49" t="s">
        <v>10651</v>
      </c>
      <c r="C760" s="49" t="s">
        <v>10833</v>
      </c>
      <c r="D760" s="49" t="s">
        <v>10834</v>
      </c>
      <c r="E760" s="49">
        <v>6282242925264</v>
      </c>
      <c r="F760" s="96">
        <v>45832</v>
      </c>
      <c r="G760" s="95">
        <v>344</v>
      </c>
      <c r="H760" s="49" t="s">
        <v>12670</v>
      </c>
      <c r="I760" s="97">
        <v>4532.2997416020671</v>
      </c>
      <c r="J760" s="95">
        <v>14</v>
      </c>
      <c r="K760" s="102">
        <v>1754</v>
      </c>
      <c r="L760" s="95">
        <v>1</v>
      </c>
      <c r="M760" s="95">
        <v>110</v>
      </c>
      <c r="N760" s="95">
        <v>1</v>
      </c>
      <c r="O760" s="49" t="s">
        <v>10835</v>
      </c>
    </row>
    <row r="761" spans="1:15">
      <c r="A761" s="95">
        <v>174904221976312</v>
      </c>
      <c r="B761" s="49" t="s">
        <v>10651</v>
      </c>
      <c r="C761" s="49" t="s">
        <v>10833</v>
      </c>
      <c r="D761" s="49" t="s">
        <v>10834</v>
      </c>
      <c r="E761" s="49">
        <v>6282242925264</v>
      </c>
      <c r="F761" s="96">
        <v>45832</v>
      </c>
      <c r="G761" s="95">
        <v>58</v>
      </c>
      <c r="H761" s="49" t="s">
        <v>12671</v>
      </c>
      <c r="I761" s="97">
        <v>7555.5555555555557</v>
      </c>
      <c r="J761" s="95">
        <v>2</v>
      </c>
      <c r="K761" s="102">
        <v>476</v>
      </c>
      <c r="L761" s="95">
        <v>0</v>
      </c>
      <c r="M761" s="95">
        <v>28</v>
      </c>
      <c r="N761" s="95">
        <v>0</v>
      </c>
      <c r="O761" s="49" t="s">
        <v>10835</v>
      </c>
    </row>
    <row r="762" spans="1:15">
      <c r="A762" s="95">
        <v>174904221976312</v>
      </c>
      <c r="B762" s="49" t="s">
        <v>10651</v>
      </c>
      <c r="C762" s="49" t="s">
        <v>10833</v>
      </c>
      <c r="D762" s="49" t="s">
        <v>10834</v>
      </c>
      <c r="E762" s="49">
        <v>6282242925264</v>
      </c>
      <c r="F762" s="96">
        <v>45832</v>
      </c>
      <c r="G762" s="95">
        <v>67</v>
      </c>
      <c r="H762" s="49" t="s">
        <v>12672</v>
      </c>
      <c r="I762" s="97">
        <v>3630.1369863013697</v>
      </c>
      <c r="J762" s="95">
        <v>1</v>
      </c>
      <c r="K762" s="102">
        <v>265</v>
      </c>
      <c r="L762" s="95">
        <v>0</v>
      </c>
      <c r="M762" s="95">
        <v>17</v>
      </c>
      <c r="N762" s="95">
        <v>0</v>
      </c>
      <c r="O762" s="49" t="s">
        <v>10835</v>
      </c>
    </row>
    <row r="763" spans="1:15">
      <c r="A763" s="95">
        <v>766589657993298</v>
      </c>
      <c r="B763" s="49" t="s">
        <v>10688</v>
      </c>
      <c r="C763" s="49" t="s">
        <v>10917</v>
      </c>
      <c r="D763" s="49" t="s">
        <v>1037</v>
      </c>
      <c r="E763" s="49">
        <v>6281383434602</v>
      </c>
      <c r="F763" s="96">
        <v>45832</v>
      </c>
      <c r="G763" s="95">
        <v>35</v>
      </c>
      <c r="H763" s="49" t="s">
        <v>12667</v>
      </c>
      <c r="I763" s="97">
        <v>19578.94736842105</v>
      </c>
      <c r="J763" s="95">
        <v>0</v>
      </c>
      <c r="K763" s="102">
        <v>744</v>
      </c>
      <c r="L763" s="95">
        <v>0</v>
      </c>
      <c r="M763" s="95">
        <v>11</v>
      </c>
      <c r="N763" s="95">
        <v>0</v>
      </c>
      <c r="O763" s="49" t="s">
        <v>10918</v>
      </c>
    </row>
    <row r="764" spans="1:15">
      <c r="A764" s="95">
        <v>766589657993298</v>
      </c>
      <c r="B764" s="49" t="s">
        <v>10688</v>
      </c>
      <c r="C764" s="49" t="s">
        <v>10917</v>
      </c>
      <c r="D764" s="49" t="s">
        <v>1037</v>
      </c>
      <c r="E764" s="49">
        <v>6281383434602</v>
      </c>
      <c r="F764" s="96">
        <v>45832</v>
      </c>
      <c r="G764" s="95">
        <v>128</v>
      </c>
      <c r="H764" s="49" t="s">
        <v>12668</v>
      </c>
      <c r="I764" s="97">
        <v>21191.176470588234</v>
      </c>
      <c r="J764" s="95">
        <v>0</v>
      </c>
      <c r="K764" s="102">
        <v>2882</v>
      </c>
      <c r="L764" s="95">
        <v>0</v>
      </c>
      <c r="M764" s="95">
        <v>29</v>
      </c>
      <c r="N764" s="95">
        <v>0</v>
      </c>
      <c r="O764" s="49" t="s">
        <v>10918</v>
      </c>
    </row>
    <row r="765" spans="1:15">
      <c r="A765" s="95">
        <v>766589657993298</v>
      </c>
      <c r="B765" s="49" t="s">
        <v>10688</v>
      </c>
      <c r="C765" s="49" t="s">
        <v>10917</v>
      </c>
      <c r="D765" s="49" t="s">
        <v>1037</v>
      </c>
      <c r="E765" s="49">
        <v>6281383434602</v>
      </c>
      <c r="F765" s="96">
        <v>45832</v>
      </c>
      <c r="G765" s="95">
        <v>124</v>
      </c>
      <c r="H765" s="49" t="s">
        <v>12669</v>
      </c>
      <c r="I765" s="97">
        <v>32925.170068027212</v>
      </c>
      <c r="J765" s="95">
        <v>2</v>
      </c>
      <c r="K765" s="102">
        <v>4840</v>
      </c>
      <c r="L765" s="95">
        <v>1</v>
      </c>
      <c r="M765" s="95">
        <v>41</v>
      </c>
      <c r="N765" s="95">
        <v>0</v>
      </c>
      <c r="O765" s="49" t="s">
        <v>10918</v>
      </c>
    </row>
    <row r="766" spans="1:15">
      <c r="A766" s="95">
        <v>766589657993298</v>
      </c>
      <c r="B766" s="49" t="s">
        <v>10688</v>
      </c>
      <c r="C766" s="49" t="s">
        <v>10917</v>
      </c>
      <c r="D766" s="49" t="s">
        <v>1037</v>
      </c>
      <c r="E766" s="49">
        <v>6281383434602</v>
      </c>
      <c r="F766" s="96">
        <v>45832</v>
      </c>
      <c r="G766" s="95">
        <v>109</v>
      </c>
      <c r="H766" s="49" t="s">
        <v>12670</v>
      </c>
      <c r="I766" s="97">
        <v>32868.42105263158</v>
      </c>
      <c r="J766" s="95">
        <v>4</v>
      </c>
      <c r="K766" s="102">
        <v>3747</v>
      </c>
      <c r="L766" s="95">
        <v>0</v>
      </c>
      <c r="M766" s="95">
        <v>54</v>
      </c>
      <c r="N766" s="95">
        <v>1</v>
      </c>
      <c r="O766" s="49" t="s">
        <v>10918</v>
      </c>
    </row>
    <row r="767" spans="1:15">
      <c r="A767" s="95">
        <v>766589657993298</v>
      </c>
      <c r="B767" s="49" t="s">
        <v>10688</v>
      </c>
      <c r="C767" s="49" t="s">
        <v>10917</v>
      </c>
      <c r="D767" s="49" t="s">
        <v>1037</v>
      </c>
      <c r="E767" s="49">
        <v>6281383434602</v>
      </c>
      <c r="F767" s="96">
        <v>45832</v>
      </c>
      <c r="G767" s="95">
        <v>30</v>
      </c>
      <c r="H767" s="49" t="s">
        <v>12671</v>
      </c>
      <c r="I767" s="97">
        <v>34290.322580645159</v>
      </c>
      <c r="J767" s="95">
        <v>0</v>
      </c>
      <c r="K767" s="102">
        <v>1063</v>
      </c>
      <c r="L767" s="95">
        <v>0</v>
      </c>
      <c r="M767" s="95">
        <v>13</v>
      </c>
      <c r="N767" s="95">
        <v>0</v>
      </c>
      <c r="O767" s="49" t="s">
        <v>10918</v>
      </c>
    </row>
    <row r="768" spans="1:15">
      <c r="A768" s="95">
        <v>766589657993298</v>
      </c>
      <c r="B768" s="49" t="s">
        <v>10688</v>
      </c>
      <c r="C768" s="49" t="s">
        <v>10917</v>
      </c>
      <c r="D768" s="49" t="s">
        <v>1037</v>
      </c>
      <c r="E768" s="49">
        <v>6281383434602</v>
      </c>
      <c r="F768" s="96">
        <v>45832</v>
      </c>
      <c r="G768" s="95">
        <v>12</v>
      </c>
      <c r="H768" s="49" t="s">
        <v>12672</v>
      </c>
      <c r="I768" s="97">
        <v>89833.333333333328</v>
      </c>
      <c r="J768" s="95">
        <v>0</v>
      </c>
      <c r="K768" s="102">
        <v>1078</v>
      </c>
      <c r="L768" s="95">
        <v>0</v>
      </c>
      <c r="M768" s="95">
        <v>6</v>
      </c>
      <c r="N768" s="95">
        <v>0</v>
      </c>
      <c r="O768" s="49" t="s">
        <v>10918</v>
      </c>
    </row>
    <row r="769" spans="1:15">
      <c r="A769" s="95">
        <v>766589657993298</v>
      </c>
      <c r="B769" s="49" t="s">
        <v>10688</v>
      </c>
      <c r="C769" s="49" t="s">
        <v>10919</v>
      </c>
      <c r="D769" s="49" t="s">
        <v>951</v>
      </c>
      <c r="E769" s="49">
        <v>6281383899119</v>
      </c>
      <c r="F769" s="96">
        <v>45832</v>
      </c>
      <c r="G769" s="95">
        <v>10</v>
      </c>
      <c r="H769" s="49" t="s">
        <v>12667</v>
      </c>
      <c r="I769" s="97">
        <v>22272.727272727272</v>
      </c>
      <c r="J769" s="95">
        <v>0</v>
      </c>
      <c r="K769" s="102">
        <v>245</v>
      </c>
      <c r="L769" s="95">
        <v>0</v>
      </c>
      <c r="M769" s="95">
        <v>0</v>
      </c>
      <c r="N769" s="95">
        <v>0</v>
      </c>
      <c r="O769" s="49" t="s">
        <v>10920</v>
      </c>
    </row>
    <row r="770" spans="1:15">
      <c r="A770" s="95">
        <v>766589657993298</v>
      </c>
      <c r="B770" s="49" t="s">
        <v>10688</v>
      </c>
      <c r="C770" s="49" t="s">
        <v>10919</v>
      </c>
      <c r="D770" s="49" t="s">
        <v>951</v>
      </c>
      <c r="E770" s="49">
        <v>6281383899119</v>
      </c>
      <c r="F770" s="96">
        <v>45832</v>
      </c>
      <c r="G770" s="95">
        <v>180</v>
      </c>
      <c r="H770" s="49" t="s">
        <v>12668</v>
      </c>
      <c r="I770" s="97">
        <v>16921.182266009851</v>
      </c>
      <c r="J770" s="95">
        <v>2</v>
      </c>
      <c r="K770" s="102">
        <v>3435</v>
      </c>
      <c r="L770" s="95">
        <v>0</v>
      </c>
      <c r="M770" s="95">
        <v>0</v>
      </c>
      <c r="N770" s="95">
        <v>0</v>
      </c>
      <c r="O770" s="49" t="s">
        <v>10920</v>
      </c>
    </row>
    <row r="771" spans="1:15">
      <c r="A771" s="95">
        <v>766589657993298</v>
      </c>
      <c r="B771" s="49" t="s">
        <v>10688</v>
      </c>
      <c r="C771" s="49" t="s">
        <v>10919</v>
      </c>
      <c r="D771" s="49" t="s">
        <v>951</v>
      </c>
      <c r="E771" s="49">
        <v>6281383899119</v>
      </c>
      <c r="F771" s="96">
        <v>45832</v>
      </c>
      <c r="G771" s="95">
        <v>227</v>
      </c>
      <c r="H771" s="49" t="s">
        <v>12669</v>
      </c>
      <c r="I771" s="97">
        <v>14468.503937007874</v>
      </c>
      <c r="J771" s="95">
        <v>6</v>
      </c>
      <c r="K771" s="102">
        <v>3675</v>
      </c>
      <c r="L771" s="95">
        <v>0</v>
      </c>
      <c r="M771" s="95">
        <v>0</v>
      </c>
      <c r="N771" s="95">
        <v>0</v>
      </c>
      <c r="O771" s="49" t="s">
        <v>10920</v>
      </c>
    </row>
    <row r="772" spans="1:15">
      <c r="A772" s="95">
        <v>766589657993298</v>
      </c>
      <c r="B772" s="49" t="s">
        <v>10688</v>
      </c>
      <c r="C772" s="49" t="s">
        <v>10919</v>
      </c>
      <c r="D772" s="49" t="s">
        <v>951</v>
      </c>
      <c r="E772" s="49">
        <v>6281383899119</v>
      </c>
      <c r="F772" s="96">
        <v>45832</v>
      </c>
      <c r="G772" s="95">
        <v>214</v>
      </c>
      <c r="H772" s="49" t="s">
        <v>12670</v>
      </c>
      <c r="I772" s="97">
        <v>22182.186234817815</v>
      </c>
      <c r="J772" s="95">
        <v>7</v>
      </c>
      <c r="K772" s="102">
        <v>5479</v>
      </c>
      <c r="L772" s="95">
        <v>0</v>
      </c>
      <c r="M772" s="95">
        <v>0</v>
      </c>
      <c r="N772" s="95">
        <v>0</v>
      </c>
      <c r="O772" s="49" t="s">
        <v>10920</v>
      </c>
    </row>
    <row r="773" spans="1:15">
      <c r="A773" s="95">
        <v>766589657993298</v>
      </c>
      <c r="B773" s="49" t="s">
        <v>10688</v>
      </c>
      <c r="C773" s="49" t="s">
        <v>10919</v>
      </c>
      <c r="D773" s="49" t="s">
        <v>951</v>
      </c>
      <c r="E773" s="49">
        <v>6281383899119</v>
      </c>
      <c r="F773" s="96">
        <v>45832</v>
      </c>
      <c r="G773" s="95">
        <v>62</v>
      </c>
      <c r="H773" s="49" t="s">
        <v>12671</v>
      </c>
      <c r="I773" s="97">
        <v>30782.608695652176</v>
      </c>
      <c r="J773" s="95">
        <v>2</v>
      </c>
      <c r="K773" s="102">
        <v>2124</v>
      </c>
      <c r="L773" s="95">
        <v>1</v>
      </c>
      <c r="M773" s="95">
        <v>0</v>
      </c>
      <c r="N773" s="95">
        <v>0</v>
      </c>
      <c r="O773" s="49" t="s">
        <v>10920</v>
      </c>
    </row>
    <row r="774" spans="1:15">
      <c r="A774" s="95">
        <v>766589657993298</v>
      </c>
      <c r="B774" s="49" t="s">
        <v>10688</v>
      </c>
      <c r="C774" s="49" t="s">
        <v>10919</v>
      </c>
      <c r="D774" s="49" t="s">
        <v>951</v>
      </c>
      <c r="E774" s="49">
        <v>6281383899119</v>
      </c>
      <c r="F774" s="96">
        <v>45832</v>
      </c>
      <c r="G774" s="95">
        <v>10</v>
      </c>
      <c r="H774" s="49" t="s">
        <v>12672</v>
      </c>
      <c r="I774" s="97">
        <v>26363.636363636364</v>
      </c>
      <c r="J774" s="95">
        <v>0</v>
      </c>
      <c r="K774" s="102">
        <v>290</v>
      </c>
      <c r="L774" s="95">
        <v>0</v>
      </c>
      <c r="M774" s="95">
        <v>0</v>
      </c>
      <c r="N774" s="95">
        <v>0</v>
      </c>
      <c r="O774" s="49" t="s">
        <v>10920</v>
      </c>
    </row>
    <row r="775" spans="1:15">
      <c r="A775" s="95">
        <v>766589657993298</v>
      </c>
      <c r="B775" s="49" t="s">
        <v>10688</v>
      </c>
      <c r="C775" s="49" t="s">
        <v>10898</v>
      </c>
      <c r="D775" s="49" t="s">
        <v>978</v>
      </c>
      <c r="E775" s="49">
        <v>6283135590465</v>
      </c>
      <c r="F775" s="96">
        <v>45832</v>
      </c>
      <c r="G775" s="95">
        <v>128</v>
      </c>
      <c r="H775" s="49" t="s">
        <v>12668</v>
      </c>
      <c r="I775" s="97">
        <v>15647.398843930636</v>
      </c>
      <c r="J775" s="95">
        <v>1</v>
      </c>
      <c r="K775" s="102">
        <v>2707</v>
      </c>
      <c r="L775" s="95">
        <v>0</v>
      </c>
      <c r="M775" s="95">
        <v>35</v>
      </c>
      <c r="N775" s="95">
        <v>0</v>
      </c>
      <c r="O775" s="49" t="s">
        <v>10899</v>
      </c>
    </row>
    <row r="776" spans="1:15">
      <c r="A776" s="95">
        <v>766589657993298</v>
      </c>
      <c r="B776" s="49" t="s">
        <v>10688</v>
      </c>
      <c r="C776" s="49" t="s">
        <v>10898</v>
      </c>
      <c r="D776" s="49" t="s">
        <v>978</v>
      </c>
      <c r="E776" s="49">
        <v>6283135590465</v>
      </c>
      <c r="F776" s="96">
        <v>45832</v>
      </c>
      <c r="G776" s="95">
        <v>189</v>
      </c>
      <c r="H776" s="49" t="s">
        <v>12669</v>
      </c>
      <c r="I776" s="97">
        <v>27526.315789473683</v>
      </c>
      <c r="J776" s="95">
        <v>5</v>
      </c>
      <c r="K776" s="102">
        <v>6799</v>
      </c>
      <c r="L776" s="95">
        <v>1</v>
      </c>
      <c r="M776" s="95">
        <v>52</v>
      </c>
      <c r="N776" s="95">
        <v>0</v>
      </c>
      <c r="O776" s="49" t="s">
        <v>10899</v>
      </c>
    </row>
    <row r="777" spans="1:15">
      <c r="A777" s="95">
        <v>766589657993298</v>
      </c>
      <c r="B777" s="49" t="s">
        <v>10688</v>
      </c>
      <c r="C777" s="49" t="s">
        <v>10898</v>
      </c>
      <c r="D777" s="49" t="s">
        <v>978</v>
      </c>
      <c r="E777" s="49">
        <v>6283135590465</v>
      </c>
      <c r="F777" s="96">
        <v>45832</v>
      </c>
      <c r="G777" s="95">
        <v>86</v>
      </c>
      <c r="H777" s="49" t="s">
        <v>12670</v>
      </c>
      <c r="I777" s="97">
        <v>44219.298245614031</v>
      </c>
      <c r="J777" s="95">
        <v>3</v>
      </c>
      <c r="K777" s="102">
        <v>5041</v>
      </c>
      <c r="L777" s="95">
        <v>0</v>
      </c>
      <c r="M777" s="95">
        <v>26</v>
      </c>
      <c r="N777" s="95">
        <v>0</v>
      </c>
      <c r="O777" s="49" t="s">
        <v>10899</v>
      </c>
    </row>
    <row r="778" spans="1:15">
      <c r="A778" s="95">
        <v>766589657993298</v>
      </c>
      <c r="B778" s="49" t="s">
        <v>10688</v>
      </c>
      <c r="C778" s="49" t="s">
        <v>10883</v>
      </c>
      <c r="D778" s="49" t="s">
        <v>920</v>
      </c>
      <c r="E778" s="49">
        <v>6281514999073</v>
      </c>
      <c r="F778" s="96">
        <v>45832</v>
      </c>
      <c r="G778" s="95">
        <v>21</v>
      </c>
      <c r="H778" s="49" t="s">
        <v>12667</v>
      </c>
      <c r="I778" s="97">
        <v>26869.565217391304</v>
      </c>
      <c r="J778" s="95">
        <v>0</v>
      </c>
      <c r="K778" s="102">
        <v>618</v>
      </c>
      <c r="L778" s="95">
        <v>0</v>
      </c>
      <c r="M778" s="95">
        <v>13</v>
      </c>
      <c r="N778" s="95">
        <v>0</v>
      </c>
      <c r="O778" s="49" t="s">
        <v>10884</v>
      </c>
    </row>
    <row r="779" spans="1:15">
      <c r="A779" s="95">
        <v>766589657993298</v>
      </c>
      <c r="B779" s="49" t="s">
        <v>10688</v>
      </c>
      <c r="C779" s="49" t="s">
        <v>10883</v>
      </c>
      <c r="D779" s="49" t="s">
        <v>920</v>
      </c>
      <c r="E779" s="49">
        <v>6281514999073</v>
      </c>
      <c r="F779" s="96">
        <v>45832</v>
      </c>
      <c r="G779" s="95">
        <v>89</v>
      </c>
      <c r="H779" s="49" t="s">
        <v>12668</v>
      </c>
      <c r="I779" s="97">
        <v>32388.34951456311</v>
      </c>
      <c r="J779" s="95">
        <v>3</v>
      </c>
      <c r="K779" s="102">
        <v>3336</v>
      </c>
      <c r="L779" s="95">
        <v>1</v>
      </c>
      <c r="M779" s="95">
        <v>52</v>
      </c>
      <c r="N779" s="95">
        <v>0</v>
      </c>
      <c r="O779" s="49" t="s">
        <v>10884</v>
      </c>
    </row>
    <row r="780" spans="1:15">
      <c r="A780" s="95">
        <v>766589657993298</v>
      </c>
      <c r="B780" s="49" t="s">
        <v>10688</v>
      </c>
      <c r="C780" s="49" t="s">
        <v>10883</v>
      </c>
      <c r="D780" s="49" t="s">
        <v>920</v>
      </c>
      <c r="E780" s="49">
        <v>6281514999073</v>
      </c>
      <c r="F780" s="96">
        <v>45832</v>
      </c>
      <c r="G780" s="95">
        <v>113</v>
      </c>
      <c r="H780" s="49" t="s">
        <v>12669</v>
      </c>
      <c r="I780" s="97">
        <v>36346.153846153844</v>
      </c>
      <c r="J780" s="95">
        <v>5</v>
      </c>
      <c r="K780" s="102">
        <v>4725</v>
      </c>
      <c r="L780" s="95">
        <v>2</v>
      </c>
      <c r="M780" s="95">
        <v>62</v>
      </c>
      <c r="N780" s="95">
        <v>0</v>
      </c>
      <c r="O780" s="49" t="s">
        <v>10884</v>
      </c>
    </row>
    <row r="781" spans="1:15">
      <c r="A781" s="95">
        <v>766589657993298</v>
      </c>
      <c r="B781" s="49" t="s">
        <v>10688</v>
      </c>
      <c r="C781" s="49" t="s">
        <v>10883</v>
      </c>
      <c r="D781" s="49" t="s">
        <v>920</v>
      </c>
      <c r="E781" s="49">
        <v>6281514999073</v>
      </c>
      <c r="F781" s="96">
        <v>45832</v>
      </c>
      <c r="G781" s="95">
        <v>102</v>
      </c>
      <c r="H781" s="49" t="s">
        <v>12670</v>
      </c>
      <c r="I781" s="97">
        <v>36034.782608695648</v>
      </c>
      <c r="J781" s="95">
        <v>9</v>
      </c>
      <c r="K781" s="102">
        <v>4144</v>
      </c>
      <c r="L781" s="95">
        <v>2</v>
      </c>
      <c r="M781" s="95">
        <v>51</v>
      </c>
      <c r="N781" s="95">
        <v>0</v>
      </c>
      <c r="O781" s="49" t="s">
        <v>10884</v>
      </c>
    </row>
    <row r="782" spans="1:15">
      <c r="A782" s="95">
        <v>766589657993298</v>
      </c>
      <c r="B782" s="49" t="s">
        <v>10688</v>
      </c>
      <c r="C782" s="49" t="s">
        <v>10883</v>
      </c>
      <c r="D782" s="49" t="s">
        <v>920</v>
      </c>
      <c r="E782" s="49">
        <v>6281514999073</v>
      </c>
      <c r="F782" s="96">
        <v>45832</v>
      </c>
      <c r="G782" s="95">
        <v>42</v>
      </c>
      <c r="H782" s="49" t="s">
        <v>12671</v>
      </c>
      <c r="I782" s="97">
        <v>31860</v>
      </c>
      <c r="J782" s="95">
        <v>0</v>
      </c>
      <c r="K782" s="102">
        <v>1593</v>
      </c>
      <c r="L782" s="95">
        <v>0</v>
      </c>
      <c r="M782" s="95">
        <v>29</v>
      </c>
      <c r="N782" s="95">
        <v>0</v>
      </c>
      <c r="O782" s="49" t="s">
        <v>10884</v>
      </c>
    </row>
    <row r="783" spans="1:15">
      <c r="A783" s="95">
        <v>766589657993298</v>
      </c>
      <c r="B783" s="49" t="s">
        <v>10688</v>
      </c>
      <c r="C783" s="49" t="s">
        <v>10883</v>
      </c>
      <c r="D783" s="49" t="s">
        <v>920</v>
      </c>
      <c r="E783" s="49">
        <v>6281514999073</v>
      </c>
      <c r="F783" s="96">
        <v>45832</v>
      </c>
      <c r="G783" s="95">
        <v>6</v>
      </c>
      <c r="H783" s="49" t="s">
        <v>12672</v>
      </c>
      <c r="I783" s="97">
        <v>34142.857142857145</v>
      </c>
      <c r="J783" s="95">
        <v>1</v>
      </c>
      <c r="K783" s="102">
        <v>239</v>
      </c>
      <c r="L783" s="95">
        <v>0</v>
      </c>
      <c r="M783" s="95">
        <v>4</v>
      </c>
      <c r="N783" s="95">
        <v>0</v>
      </c>
      <c r="O783" s="49" t="s">
        <v>10884</v>
      </c>
    </row>
    <row r="784" spans="1:15">
      <c r="A784" s="95">
        <v>766589657993298</v>
      </c>
      <c r="B784" s="49" t="s">
        <v>10688</v>
      </c>
      <c r="C784" s="49" t="s">
        <v>10885</v>
      </c>
      <c r="D784" s="49" t="s">
        <v>906</v>
      </c>
      <c r="E784" s="49">
        <v>6282183115806</v>
      </c>
      <c r="F784" s="96">
        <v>45832</v>
      </c>
      <c r="G784" s="95">
        <v>74</v>
      </c>
      <c r="H784" s="49" t="s">
        <v>12667</v>
      </c>
      <c r="I784" s="97">
        <v>8987.5</v>
      </c>
      <c r="J784" s="95">
        <v>2</v>
      </c>
      <c r="K784" s="102">
        <v>719</v>
      </c>
      <c r="L784" s="95">
        <v>0</v>
      </c>
      <c r="M784" s="95">
        <v>36</v>
      </c>
      <c r="N784" s="95">
        <v>0</v>
      </c>
      <c r="O784" s="49" t="s">
        <v>10886</v>
      </c>
    </row>
    <row r="785" spans="1:15">
      <c r="A785" s="95">
        <v>766589657993298</v>
      </c>
      <c r="B785" s="49" t="s">
        <v>10688</v>
      </c>
      <c r="C785" s="49" t="s">
        <v>10885</v>
      </c>
      <c r="D785" s="49" t="s">
        <v>906</v>
      </c>
      <c r="E785" s="49">
        <v>6282183115806</v>
      </c>
      <c r="F785" s="96">
        <v>45832</v>
      </c>
      <c r="G785" s="95">
        <v>345</v>
      </c>
      <c r="H785" s="49" t="s">
        <v>12668</v>
      </c>
      <c r="I785" s="97">
        <v>9917.7057356608475</v>
      </c>
      <c r="J785" s="95">
        <v>8</v>
      </c>
      <c r="K785" s="102">
        <v>3977</v>
      </c>
      <c r="L785" s="95">
        <v>0</v>
      </c>
      <c r="M785" s="95">
        <v>148</v>
      </c>
      <c r="N785" s="95">
        <v>0</v>
      </c>
      <c r="O785" s="49" t="s">
        <v>10886</v>
      </c>
    </row>
    <row r="786" spans="1:15">
      <c r="A786" s="95">
        <v>766589657993298</v>
      </c>
      <c r="B786" s="49" t="s">
        <v>10688</v>
      </c>
      <c r="C786" s="49" t="s">
        <v>10885</v>
      </c>
      <c r="D786" s="49" t="s">
        <v>906</v>
      </c>
      <c r="E786" s="49">
        <v>6282183115806</v>
      </c>
      <c r="F786" s="96">
        <v>45832</v>
      </c>
      <c r="G786" s="95">
        <v>390</v>
      </c>
      <c r="H786" s="49" t="s">
        <v>12669</v>
      </c>
      <c r="I786" s="97">
        <v>10379.775280898875</v>
      </c>
      <c r="J786" s="95">
        <v>7</v>
      </c>
      <c r="K786" s="102">
        <v>4619</v>
      </c>
      <c r="L786" s="95">
        <v>1</v>
      </c>
      <c r="M786" s="95">
        <v>216</v>
      </c>
      <c r="N786" s="95">
        <v>0</v>
      </c>
      <c r="O786" s="49" t="s">
        <v>10886</v>
      </c>
    </row>
    <row r="787" spans="1:15">
      <c r="A787" s="95">
        <v>766589657993298</v>
      </c>
      <c r="B787" s="49" t="s">
        <v>10688</v>
      </c>
      <c r="C787" s="49" t="s">
        <v>10885</v>
      </c>
      <c r="D787" s="49" t="s">
        <v>906</v>
      </c>
      <c r="E787" s="49">
        <v>6282183115806</v>
      </c>
      <c r="F787" s="96">
        <v>45832</v>
      </c>
      <c r="G787" s="95">
        <v>219</v>
      </c>
      <c r="H787" s="49" t="s">
        <v>12670</v>
      </c>
      <c r="I787" s="97">
        <v>16035.573122529644</v>
      </c>
      <c r="J787" s="95">
        <v>13</v>
      </c>
      <c r="K787" s="102">
        <v>4057</v>
      </c>
      <c r="L787" s="95">
        <v>2</v>
      </c>
      <c r="M787" s="95">
        <v>115</v>
      </c>
      <c r="N787" s="95">
        <v>0</v>
      </c>
      <c r="O787" s="49" t="s">
        <v>10886</v>
      </c>
    </row>
    <row r="788" spans="1:15">
      <c r="A788" s="95">
        <v>766589657993298</v>
      </c>
      <c r="B788" s="49" t="s">
        <v>10688</v>
      </c>
      <c r="C788" s="49" t="s">
        <v>10885</v>
      </c>
      <c r="D788" s="49" t="s">
        <v>906</v>
      </c>
      <c r="E788" s="49">
        <v>6282183115806</v>
      </c>
      <c r="F788" s="96">
        <v>45832</v>
      </c>
      <c r="G788" s="95">
        <v>78</v>
      </c>
      <c r="H788" s="49" t="s">
        <v>12671</v>
      </c>
      <c r="I788" s="97">
        <v>21147.368421052633</v>
      </c>
      <c r="J788" s="95">
        <v>3</v>
      </c>
      <c r="K788" s="102">
        <v>2009</v>
      </c>
      <c r="L788" s="95">
        <v>1</v>
      </c>
      <c r="M788" s="95">
        <v>46</v>
      </c>
      <c r="N788" s="95">
        <v>0</v>
      </c>
      <c r="O788" s="49" t="s">
        <v>10886</v>
      </c>
    </row>
    <row r="789" spans="1:15">
      <c r="A789" s="95">
        <v>766589657993298</v>
      </c>
      <c r="B789" s="49" t="s">
        <v>10688</v>
      </c>
      <c r="C789" s="49" t="s">
        <v>10885</v>
      </c>
      <c r="D789" s="49" t="s">
        <v>906</v>
      </c>
      <c r="E789" s="49">
        <v>6282183115806</v>
      </c>
      <c r="F789" s="96">
        <v>45832</v>
      </c>
      <c r="G789" s="95">
        <v>21</v>
      </c>
      <c r="H789" s="49" t="s">
        <v>12672</v>
      </c>
      <c r="I789" s="97">
        <v>9320</v>
      </c>
      <c r="J789" s="95">
        <v>0</v>
      </c>
      <c r="K789" s="102">
        <v>233</v>
      </c>
      <c r="L789" s="95">
        <v>0</v>
      </c>
      <c r="M789" s="95">
        <v>8</v>
      </c>
      <c r="N789" s="95">
        <v>0</v>
      </c>
      <c r="O789" s="49" t="s">
        <v>10886</v>
      </c>
    </row>
    <row r="790" spans="1:15">
      <c r="A790" s="95">
        <v>766589657993298</v>
      </c>
      <c r="B790" s="49" t="s">
        <v>10688</v>
      </c>
      <c r="C790" s="49" t="s">
        <v>10887</v>
      </c>
      <c r="D790" s="49" t="s">
        <v>10888</v>
      </c>
      <c r="E790" s="49">
        <v>6283151330372</v>
      </c>
      <c r="F790" s="96">
        <v>45832</v>
      </c>
      <c r="G790" s="95">
        <v>24</v>
      </c>
      <c r="H790" s="49" t="s">
        <v>12667</v>
      </c>
      <c r="I790" s="97">
        <v>11515.151515151516</v>
      </c>
      <c r="J790" s="95">
        <v>0</v>
      </c>
      <c r="K790" s="102">
        <v>380</v>
      </c>
      <c r="L790" s="95">
        <v>0</v>
      </c>
      <c r="M790" s="95">
        <v>13</v>
      </c>
      <c r="N790" s="95">
        <v>0</v>
      </c>
      <c r="O790" s="49" t="s">
        <v>10889</v>
      </c>
    </row>
    <row r="791" spans="1:15">
      <c r="A791" s="95">
        <v>766589657993298</v>
      </c>
      <c r="B791" s="49" t="s">
        <v>10688</v>
      </c>
      <c r="C791" s="49" t="s">
        <v>10887</v>
      </c>
      <c r="D791" s="49" t="s">
        <v>10888</v>
      </c>
      <c r="E791" s="49">
        <v>6283151330372</v>
      </c>
      <c r="F791" s="96">
        <v>45832</v>
      </c>
      <c r="G791" s="95">
        <v>144</v>
      </c>
      <c r="H791" s="49" t="s">
        <v>12668</v>
      </c>
      <c r="I791" s="97">
        <v>15426.136363636364</v>
      </c>
      <c r="J791" s="95">
        <v>0</v>
      </c>
      <c r="K791" s="102">
        <v>2715</v>
      </c>
      <c r="L791" s="95">
        <v>0</v>
      </c>
      <c r="M791" s="95">
        <v>86</v>
      </c>
      <c r="N791" s="95">
        <v>0</v>
      </c>
      <c r="O791" s="49" t="s">
        <v>10889</v>
      </c>
    </row>
    <row r="792" spans="1:15">
      <c r="A792" s="95">
        <v>766589657993298</v>
      </c>
      <c r="B792" s="49" t="s">
        <v>10688</v>
      </c>
      <c r="C792" s="49" t="s">
        <v>10887</v>
      </c>
      <c r="D792" s="49" t="s">
        <v>10888</v>
      </c>
      <c r="E792" s="49">
        <v>6283151330372</v>
      </c>
      <c r="F792" s="96">
        <v>45832</v>
      </c>
      <c r="G792" s="95">
        <v>175</v>
      </c>
      <c r="H792" s="49" t="s">
        <v>12669</v>
      </c>
      <c r="I792" s="97">
        <v>24383.17757009346</v>
      </c>
      <c r="J792" s="95">
        <v>3</v>
      </c>
      <c r="K792" s="102">
        <v>5218</v>
      </c>
      <c r="L792" s="95">
        <v>0</v>
      </c>
      <c r="M792" s="95">
        <v>110</v>
      </c>
      <c r="N792" s="95">
        <v>0</v>
      </c>
      <c r="O792" s="49" t="s">
        <v>10889</v>
      </c>
    </row>
    <row r="793" spans="1:15">
      <c r="A793" s="95">
        <v>766589657993298</v>
      </c>
      <c r="B793" s="49" t="s">
        <v>10688</v>
      </c>
      <c r="C793" s="49" t="s">
        <v>10887</v>
      </c>
      <c r="D793" s="49" t="s">
        <v>10888</v>
      </c>
      <c r="E793" s="49">
        <v>6283151330372</v>
      </c>
      <c r="F793" s="96">
        <v>45832</v>
      </c>
      <c r="G793" s="95">
        <v>127</v>
      </c>
      <c r="H793" s="49" t="s">
        <v>12670</v>
      </c>
      <c r="I793" s="97">
        <v>24625</v>
      </c>
      <c r="J793" s="95">
        <v>6</v>
      </c>
      <c r="K793" s="102">
        <v>3743</v>
      </c>
      <c r="L793" s="95">
        <v>2</v>
      </c>
      <c r="M793" s="95">
        <v>86</v>
      </c>
      <c r="N793" s="95">
        <v>0</v>
      </c>
      <c r="O793" s="49" t="s">
        <v>10889</v>
      </c>
    </row>
    <row r="794" spans="1:15">
      <c r="A794" s="95">
        <v>766589657993298</v>
      </c>
      <c r="B794" s="49" t="s">
        <v>10688</v>
      </c>
      <c r="C794" s="49" t="s">
        <v>10887</v>
      </c>
      <c r="D794" s="49" t="s">
        <v>10888</v>
      </c>
      <c r="E794" s="49">
        <v>6283151330372</v>
      </c>
      <c r="F794" s="96">
        <v>45832</v>
      </c>
      <c r="G794" s="95">
        <v>75</v>
      </c>
      <c r="H794" s="49" t="s">
        <v>12671</v>
      </c>
      <c r="I794" s="97">
        <v>22908.045977011494</v>
      </c>
      <c r="J794" s="95">
        <v>2</v>
      </c>
      <c r="K794" s="102">
        <v>1993</v>
      </c>
      <c r="L794" s="95">
        <v>0</v>
      </c>
      <c r="M794" s="95">
        <v>46</v>
      </c>
      <c r="N794" s="95">
        <v>0</v>
      </c>
      <c r="O794" s="49" t="s">
        <v>10889</v>
      </c>
    </row>
    <row r="795" spans="1:15">
      <c r="A795" s="95">
        <v>766589657993298</v>
      </c>
      <c r="B795" s="49" t="s">
        <v>10688</v>
      </c>
      <c r="C795" s="49" t="s">
        <v>10887</v>
      </c>
      <c r="D795" s="49" t="s">
        <v>10888</v>
      </c>
      <c r="E795" s="49">
        <v>6283151330372</v>
      </c>
      <c r="F795" s="96">
        <v>45832</v>
      </c>
      <c r="G795" s="95">
        <v>18</v>
      </c>
      <c r="H795" s="49" t="s">
        <v>12672</v>
      </c>
      <c r="I795" s="97">
        <v>24526.315789473683</v>
      </c>
      <c r="J795" s="95">
        <v>0</v>
      </c>
      <c r="K795" s="102">
        <v>466</v>
      </c>
      <c r="L795" s="95">
        <v>0</v>
      </c>
      <c r="M795" s="95">
        <v>8</v>
      </c>
      <c r="N795" s="95">
        <v>0</v>
      </c>
      <c r="O795" s="49" t="s">
        <v>10889</v>
      </c>
    </row>
    <row r="796" spans="1:15">
      <c r="A796" s="95">
        <v>766589657993298</v>
      </c>
      <c r="B796" s="49" t="s">
        <v>10688</v>
      </c>
      <c r="C796" s="49" t="s">
        <v>10869</v>
      </c>
      <c r="D796" s="49" t="s">
        <v>10870</v>
      </c>
      <c r="E796" s="49">
        <v>6281230995752</v>
      </c>
      <c r="F796" s="96">
        <v>45832</v>
      </c>
      <c r="G796" s="95">
        <v>16</v>
      </c>
      <c r="H796" s="49" t="s">
        <v>12667</v>
      </c>
      <c r="I796" s="97">
        <v>14708.333333333334</v>
      </c>
      <c r="J796" s="95">
        <v>0</v>
      </c>
      <c r="K796" s="102">
        <v>353</v>
      </c>
      <c r="L796" s="95">
        <v>0</v>
      </c>
      <c r="M796" s="95">
        <v>0</v>
      </c>
      <c r="N796" s="95">
        <v>0</v>
      </c>
      <c r="O796" s="49" t="s">
        <v>10871</v>
      </c>
    </row>
    <row r="797" spans="1:15">
      <c r="A797" s="95">
        <v>766589657993298</v>
      </c>
      <c r="B797" s="49" t="s">
        <v>10688</v>
      </c>
      <c r="C797" s="49" t="s">
        <v>10869</v>
      </c>
      <c r="D797" s="49" t="s">
        <v>10870</v>
      </c>
      <c r="E797" s="49">
        <v>6281230995752</v>
      </c>
      <c r="F797" s="96">
        <v>45832</v>
      </c>
      <c r="G797" s="95">
        <v>123</v>
      </c>
      <c r="H797" s="49" t="s">
        <v>12668</v>
      </c>
      <c r="I797" s="97">
        <v>9874.2514970059874</v>
      </c>
      <c r="J797" s="95">
        <v>5</v>
      </c>
      <c r="K797" s="102">
        <v>1649</v>
      </c>
      <c r="L797" s="95">
        <v>0</v>
      </c>
      <c r="M797" s="95">
        <v>1</v>
      </c>
      <c r="N797" s="95">
        <v>0</v>
      </c>
      <c r="O797" s="49" t="s">
        <v>10871</v>
      </c>
    </row>
    <row r="798" spans="1:15">
      <c r="A798" s="95">
        <v>766589657993298</v>
      </c>
      <c r="B798" s="49" t="s">
        <v>10688</v>
      </c>
      <c r="C798" s="49" t="s">
        <v>10869</v>
      </c>
      <c r="D798" s="49" t="s">
        <v>10870</v>
      </c>
      <c r="E798" s="49">
        <v>6281230995752</v>
      </c>
      <c r="F798" s="96">
        <v>45832</v>
      </c>
      <c r="G798" s="95">
        <v>209</v>
      </c>
      <c r="H798" s="49" t="s">
        <v>12669</v>
      </c>
      <c r="I798" s="97">
        <v>12618.055555555555</v>
      </c>
      <c r="J798" s="95">
        <v>5</v>
      </c>
      <c r="K798" s="102">
        <v>3634</v>
      </c>
      <c r="L798" s="95">
        <v>0</v>
      </c>
      <c r="M798" s="95">
        <v>1</v>
      </c>
      <c r="N798" s="95">
        <v>0</v>
      </c>
      <c r="O798" s="49" t="s">
        <v>10871</v>
      </c>
    </row>
    <row r="799" spans="1:15">
      <c r="A799" s="95">
        <v>766589657993298</v>
      </c>
      <c r="B799" s="49" t="s">
        <v>10688</v>
      </c>
      <c r="C799" s="49" t="s">
        <v>10869</v>
      </c>
      <c r="D799" s="49" t="s">
        <v>10870</v>
      </c>
      <c r="E799" s="49">
        <v>6281230995752</v>
      </c>
      <c r="F799" s="96">
        <v>45832</v>
      </c>
      <c r="G799" s="95">
        <v>236</v>
      </c>
      <c r="H799" s="49" t="s">
        <v>12670</v>
      </c>
      <c r="I799" s="97">
        <v>15135.135135135135</v>
      </c>
      <c r="J799" s="95">
        <v>12</v>
      </c>
      <c r="K799" s="102">
        <v>4480</v>
      </c>
      <c r="L799" s="95">
        <v>2</v>
      </c>
      <c r="M799" s="95">
        <v>1</v>
      </c>
      <c r="N799" s="95">
        <v>0</v>
      </c>
      <c r="O799" s="49" t="s">
        <v>10871</v>
      </c>
    </row>
    <row r="800" spans="1:15">
      <c r="A800" s="95">
        <v>766589657993298</v>
      </c>
      <c r="B800" s="49" t="s">
        <v>10688</v>
      </c>
      <c r="C800" s="49" t="s">
        <v>10869</v>
      </c>
      <c r="D800" s="49" t="s">
        <v>10870</v>
      </c>
      <c r="E800" s="49">
        <v>6281230995752</v>
      </c>
      <c r="F800" s="96">
        <v>45832</v>
      </c>
      <c r="G800" s="95">
        <v>141</v>
      </c>
      <c r="H800" s="49" t="s">
        <v>12671</v>
      </c>
      <c r="I800" s="97">
        <v>25564.705882352944</v>
      </c>
      <c r="J800" s="95">
        <v>2</v>
      </c>
      <c r="K800" s="102">
        <v>4346</v>
      </c>
      <c r="L800" s="95">
        <v>1</v>
      </c>
      <c r="M800" s="95">
        <v>0</v>
      </c>
      <c r="N800" s="95">
        <v>0</v>
      </c>
      <c r="O800" s="49" t="s">
        <v>10871</v>
      </c>
    </row>
    <row r="801" spans="1:15">
      <c r="A801" s="95">
        <v>766589657993298</v>
      </c>
      <c r="B801" s="49" t="s">
        <v>10688</v>
      </c>
      <c r="C801" s="49" t="s">
        <v>10869</v>
      </c>
      <c r="D801" s="49" t="s">
        <v>10870</v>
      </c>
      <c r="E801" s="49">
        <v>6281230995752</v>
      </c>
      <c r="F801" s="96">
        <v>45832</v>
      </c>
      <c r="G801" s="95">
        <v>36</v>
      </c>
      <c r="H801" s="49" t="s">
        <v>12672</v>
      </c>
      <c r="I801" s="97">
        <v>19347.826086956524</v>
      </c>
      <c r="J801" s="95">
        <v>1</v>
      </c>
      <c r="K801" s="102">
        <v>890</v>
      </c>
      <c r="L801" s="95">
        <v>0</v>
      </c>
      <c r="M801" s="95">
        <v>0</v>
      </c>
      <c r="N801" s="95">
        <v>0</v>
      </c>
      <c r="O801" s="49" t="s">
        <v>10871</v>
      </c>
    </row>
    <row r="802" spans="1:15">
      <c r="A802" s="95">
        <v>766589657993298</v>
      </c>
      <c r="B802" s="49" t="s">
        <v>10688</v>
      </c>
      <c r="C802" s="49" t="s">
        <v>10872</v>
      </c>
      <c r="D802" s="49" t="s">
        <v>846</v>
      </c>
      <c r="E802" s="49">
        <v>6281233044823</v>
      </c>
      <c r="F802" s="96">
        <v>45832</v>
      </c>
      <c r="G802" s="95">
        <v>25</v>
      </c>
      <c r="H802" s="49" t="s">
        <v>12667</v>
      </c>
      <c r="I802" s="97">
        <v>20185.185185185186</v>
      </c>
      <c r="J802" s="95">
        <v>3</v>
      </c>
      <c r="K802" s="102">
        <v>545</v>
      </c>
      <c r="L802" s="95">
        <v>0</v>
      </c>
      <c r="M802" s="95">
        <v>1</v>
      </c>
      <c r="N802" s="95">
        <v>0</v>
      </c>
      <c r="O802" s="49" t="s">
        <v>10873</v>
      </c>
    </row>
    <row r="803" spans="1:15">
      <c r="A803" s="95">
        <v>766589657993298</v>
      </c>
      <c r="B803" s="49" t="s">
        <v>10688</v>
      </c>
      <c r="C803" s="49" t="s">
        <v>10872</v>
      </c>
      <c r="D803" s="49" t="s">
        <v>846</v>
      </c>
      <c r="E803" s="49">
        <v>6281233044823</v>
      </c>
      <c r="F803" s="96">
        <v>45832</v>
      </c>
      <c r="G803" s="95">
        <v>115</v>
      </c>
      <c r="H803" s="49" t="s">
        <v>12668</v>
      </c>
      <c r="I803" s="97">
        <v>13952</v>
      </c>
      <c r="J803" s="95">
        <v>1</v>
      </c>
      <c r="K803" s="102">
        <v>1744</v>
      </c>
      <c r="L803" s="95">
        <v>0</v>
      </c>
      <c r="M803" s="95">
        <v>7</v>
      </c>
      <c r="N803" s="95">
        <v>0</v>
      </c>
      <c r="O803" s="49" t="s">
        <v>10873</v>
      </c>
    </row>
    <row r="804" spans="1:15">
      <c r="A804" s="95">
        <v>766589657993298</v>
      </c>
      <c r="B804" s="49" t="s">
        <v>10688</v>
      </c>
      <c r="C804" s="49" t="s">
        <v>10872</v>
      </c>
      <c r="D804" s="49" t="s">
        <v>846</v>
      </c>
      <c r="E804" s="49">
        <v>6281233044823</v>
      </c>
      <c r="F804" s="96">
        <v>45832</v>
      </c>
      <c r="G804" s="95">
        <v>118</v>
      </c>
      <c r="H804" s="49" t="s">
        <v>12669</v>
      </c>
      <c r="I804" s="97">
        <v>26803.921568627451</v>
      </c>
      <c r="J804" s="95">
        <v>3</v>
      </c>
      <c r="K804" s="102">
        <v>4101</v>
      </c>
      <c r="L804" s="95">
        <v>0</v>
      </c>
      <c r="M804" s="95">
        <v>11</v>
      </c>
      <c r="N804" s="95">
        <v>0</v>
      </c>
      <c r="O804" s="49" t="s">
        <v>10873</v>
      </c>
    </row>
    <row r="805" spans="1:15">
      <c r="A805" s="95">
        <v>766589657993298</v>
      </c>
      <c r="B805" s="49" t="s">
        <v>10688</v>
      </c>
      <c r="C805" s="49" t="s">
        <v>10872</v>
      </c>
      <c r="D805" s="49" t="s">
        <v>846</v>
      </c>
      <c r="E805" s="49">
        <v>6281233044823</v>
      </c>
      <c r="F805" s="96">
        <v>45832</v>
      </c>
      <c r="G805" s="95">
        <v>97</v>
      </c>
      <c r="H805" s="49" t="s">
        <v>12670</v>
      </c>
      <c r="I805" s="97">
        <v>25723.214285714286</v>
      </c>
      <c r="J805" s="95">
        <v>2</v>
      </c>
      <c r="K805" s="102">
        <v>2881</v>
      </c>
      <c r="L805" s="95">
        <v>0</v>
      </c>
      <c r="M805" s="95">
        <v>5</v>
      </c>
      <c r="N805" s="95">
        <v>0</v>
      </c>
      <c r="O805" s="49" t="s">
        <v>10873</v>
      </c>
    </row>
    <row r="806" spans="1:15">
      <c r="A806" s="95">
        <v>766589657993298</v>
      </c>
      <c r="B806" s="49" t="s">
        <v>10688</v>
      </c>
      <c r="C806" s="49" t="s">
        <v>10872</v>
      </c>
      <c r="D806" s="49" t="s">
        <v>846</v>
      </c>
      <c r="E806" s="49">
        <v>6281233044823</v>
      </c>
      <c r="F806" s="96">
        <v>45832</v>
      </c>
      <c r="G806" s="95">
        <v>47</v>
      </c>
      <c r="H806" s="49" t="s">
        <v>12671</v>
      </c>
      <c r="I806" s="97">
        <v>41096.153846153844</v>
      </c>
      <c r="J806" s="95">
        <v>0</v>
      </c>
      <c r="K806" s="102">
        <v>2137</v>
      </c>
      <c r="L806" s="95">
        <v>0</v>
      </c>
      <c r="M806" s="95">
        <v>4</v>
      </c>
      <c r="N806" s="95">
        <v>0</v>
      </c>
      <c r="O806" s="49" t="s">
        <v>10873</v>
      </c>
    </row>
    <row r="807" spans="1:15">
      <c r="A807" s="95">
        <v>766589657993298</v>
      </c>
      <c r="B807" s="49" t="s">
        <v>10688</v>
      </c>
      <c r="C807" s="49" t="s">
        <v>10872</v>
      </c>
      <c r="D807" s="49" t="s">
        <v>846</v>
      </c>
      <c r="E807" s="49">
        <v>6281233044823</v>
      </c>
      <c r="F807" s="96">
        <v>45832</v>
      </c>
      <c r="G807" s="95">
        <v>19</v>
      </c>
      <c r="H807" s="49" t="s">
        <v>12672</v>
      </c>
      <c r="I807" s="97">
        <v>43904.761904761908</v>
      </c>
      <c r="J807" s="95">
        <v>1</v>
      </c>
      <c r="K807" s="102">
        <v>922</v>
      </c>
      <c r="L807" s="95">
        <v>0</v>
      </c>
      <c r="M807" s="95">
        <v>2</v>
      </c>
      <c r="N807" s="95">
        <v>0</v>
      </c>
      <c r="O807" s="49" t="s">
        <v>10873</v>
      </c>
    </row>
    <row r="808" spans="1:15">
      <c r="A808" s="95">
        <v>766589657993298</v>
      </c>
      <c r="B808" s="49" t="s">
        <v>10688</v>
      </c>
      <c r="C808" s="49" t="s">
        <v>10874</v>
      </c>
      <c r="D808" s="49" t="s">
        <v>10875</v>
      </c>
      <c r="E808" s="49">
        <v>6281283325291</v>
      </c>
      <c r="F808" s="96">
        <v>45832</v>
      </c>
      <c r="G808" s="95">
        <v>32</v>
      </c>
      <c r="H808" s="49" t="s">
        <v>12667</v>
      </c>
      <c r="I808" s="97">
        <v>8393.939393939394</v>
      </c>
      <c r="J808" s="95">
        <v>0</v>
      </c>
      <c r="K808" s="102">
        <v>277</v>
      </c>
      <c r="L808" s="95">
        <v>0</v>
      </c>
      <c r="M808" s="95">
        <v>1</v>
      </c>
      <c r="N808" s="95">
        <v>0</v>
      </c>
      <c r="O808" s="49" t="s">
        <v>10876</v>
      </c>
    </row>
    <row r="809" spans="1:15">
      <c r="A809" s="95">
        <v>766589657993298</v>
      </c>
      <c r="B809" s="49" t="s">
        <v>10688</v>
      </c>
      <c r="C809" s="49" t="s">
        <v>10874</v>
      </c>
      <c r="D809" s="49" t="s">
        <v>10875</v>
      </c>
      <c r="E809" s="49">
        <v>6281283325291</v>
      </c>
      <c r="F809" s="96">
        <v>45832</v>
      </c>
      <c r="G809" s="95">
        <v>63</v>
      </c>
      <c r="H809" s="49" t="s">
        <v>12668</v>
      </c>
      <c r="I809" s="97">
        <v>65408.450704225361</v>
      </c>
      <c r="J809" s="95">
        <v>2</v>
      </c>
      <c r="K809" s="102">
        <v>4644</v>
      </c>
      <c r="L809" s="95">
        <v>1</v>
      </c>
      <c r="M809" s="95">
        <v>8</v>
      </c>
      <c r="N809" s="95">
        <v>0</v>
      </c>
      <c r="O809" s="49" t="s">
        <v>10876</v>
      </c>
    </row>
    <row r="810" spans="1:15">
      <c r="A810" s="95">
        <v>766589657993298</v>
      </c>
      <c r="B810" s="49" t="s">
        <v>10688</v>
      </c>
      <c r="C810" s="49" t="s">
        <v>10874</v>
      </c>
      <c r="D810" s="49" t="s">
        <v>10875</v>
      </c>
      <c r="E810" s="49">
        <v>6281283325291</v>
      </c>
      <c r="F810" s="96">
        <v>45832</v>
      </c>
      <c r="G810" s="95">
        <v>73</v>
      </c>
      <c r="H810" s="49" t="s">
        <v>12669</v>
      </c>
      <c r="I810" s="97">
        <v>28415.584415584417</v>
      </c>
      <c r="J810" s="95">
        <v>1</v>
      </c>
      <c r="K810" s="102">
        <v>2188</v>
      </c>
      <c r="L810" s="95">
        <v>0</v>
      </c>
      <c r="M810" s="95">
        <v>15</v>
      </c>
      <c r="N810" s="95">
        <v>0</v>
      </c>
      <c r="O810" s="49" t="s">
        <v>10876</v>
      </c>
    </row>
    <row r="811" spans="1:15">
      <c r="A811" s="95">
        <v>766589657993298</v>
      </c>
      <c r="B811" s="49" t="s">
        <v>10688</v>
      </c>
      <c r="C811" s="49" t="s">
        <v>10874</v>
      </c>
      <c r="D811" s="49" t="s">
        <v>10875</v>
      </c>
      <c r="E811" s="49">
        <v>6281283325291</v>
      </c>
      <c r="F811" s="96">
        <v>45832</v>
      </c>
      <c r="G811" s="95">
        <v>45</v>
      </c>
      <c r="H811" s="49" t="s">
        <v>12670</v>
      </c>
      <c r="I811" s="97">
        <v>71596.153846153844</v>
      </c>
      <c r="J811" s="95">
        <v>2</v>
      </c>
      <c r="K811" s="102">
        <v>3723</v>
      </c>
      <c r="L811" s="95">
        <v>0</v>
      </c>
      <c r="M811" s="95">
        <v>8</v>
      </c>
      <c r="N811" s="95">
        <v>0</v>
      </c>
      <c r="O811" s="49" t="s">
        <v>10876</v>
      </c>
    </row>
    <row r="812" spans="1:15">
      <c r="A812" s="95">
        <v>766589657993298</v>
      </c>
      <c r="B812" s="49" t="s">
        <v>10688</v>
      </c>
      <c r="C812" s="49" t="s">
        <v>10874</v>
      </c>
      <c r="D812" s="49" t="s">
        <v>10875</v>
      </c>
      <c r="E812" s="49">
        <v>6281283325291</v>
      </c>
      <c r="F812" s="96">
        <v>45832</v>
      </c>
      <c r="G812" s="95">
        <v>38</v>
      </c>
      <c r="H812" s="49" t="s">
        <v>12671</v>
      </c>
      <c r="I812" s="97">
        <v>81477.272727272735</v>
      </c>
      <c r="J812" s="95">
        <v>0</v>
      </c>
      <c r="K812" s="102">
        <v>3585</v>
      </c>
      <c r="L812" s="95">
        <v>0</v>
      </c>
      <c r="M812" s="95">
        <v>14</v>
      </c>
      <c r="N812" s="95">
        <v>0</v>
      </c>
      <c r="O812" s="49" t="s">
        <v>10876</v>
      </c>
    </row>
    <row r="813" spans="1:15">
      <c r="A813" s="95">
        <v>766589657993298</v>
      </c>
      <c r="B813" s="49" t="s">
        <v>10688</v>
      </c>
      <c r="C813" s="49" t="s">
        <v>10874</v>
      </c>
      <c r="D813" s="49" t="s">
        <v>10875</v>
      </c>
      <c r="E813" s="49">
        <v>6281283325291</v>
      </c>
      <c r="F813" s="96">
        <v>45832</v>
      </c>
      <c r="G813" s="95">
        <v>22</v>
      </c>
      <c r="H813" s="49" t="s">
        <v>12672</v>
      </c>
      <c r="I813" s="97">
        <v>64541.666666666672</v>
      </c>
      <c r="J813" s="95">
        <v>1</v>
      </c>
      <c r="K813" s="102">
        <v>1549</v>
      </c>
      <c r="L813" s="95">
        <v>0</v>
      </c>
      <c r="M813" s="95">
        <v>9</v>
      </c>
      <c r="N813" s="95">
        <v>0</v>
      </c>
      <c r="O813" s="49" t="s">
        <v>10876</v>
      </c>
    </row>
    <row r="814" spans="1:15">
      <c r="A814" s="95">
        <v>766589657993298</v>
      </c>
      <c r="B814" s="49" t="s">
        <v>10688</v>
      </c>
      <c r="C814" s="49" t="s">
        <v>10877</v>
      </c>
      <c r="D814" s="49" t="s">
        <v>861</v>
      </c>
      <c r="E814" s="49">
        <v>6289617461806</v>
      </c>
      <c r="F814" s="96">
        <v>45832</v>
      </c>
      <c r="G814" s="95">
        <v>24</v>
      </c>
      <c r="H814" s="49" t="s">
        <v>12667</v>
      </c>
      <c r="I814" s="97">
        <v>17520</v>
      </c>
      <c r="J814" s="95">
        <v>0</v>
      </c>
      <c r="K814" s="102">
        <v>438</v>
      </c>
      <c r="L814" s="95">
        <v>0</v>
      </c>
      <c r="M814" s="95">
        <v>14</v>
      </c>
      <c r="N814" s="95">
        <v>0</v>
      </c>
      <c r="O814" s="49" t="s">
        <v>10878</v>
      </c>
    </row>
    <row r="815" spans="1:15">
      <c r="A815" s="95">
        <v>766589657993298</v>
      </c>
      <c r="B815" s="49" t="s">
        <v>10688</v>
      </c>
      <c r="C815" s="49" t="s">
        <v>10877</v>
      </c>
      <c r="D815" s="49" t="s">
        <v>861</v>
      </c>
      <c r="E815" s="49">
        <v>6289617461806</v>
      </c>
      <c r="F815" s="96">
        <v>45832</v>
      </c>
      <c r="G815" s="95">
        <v>144</v>
      </c>
      <c r="H815" s="49" t="s">
        <v>12668</v>
      </c>
      <c r="I815" s="97">
        <v>14233.532934131736</v>
      </c>
      <c r="J815" s="95">
        <v>2</v>
      </c>
      <c r="K815" s="102">
        <v>2377</v>
      </c>
      <c r="L815" s="95">
        <v>1</v>
      </c>
      <c r="M815" s="95">
        <v>42</v>
      </c>
      <c r="N815" s="95">
        <v>0</v>
      </c>
      <c r="O815" s="49" t="s">
        <v>10878</v>
      </c>
    </row>
    <row r="816" spans="1:15">
      <c r="A816" s="95">
        <v>766589657993298</v>
      </c>
      <c r="B816" s="49" t="s">
        <v>10688</v>
      </c>
      <c r="C816" s="49" t="s">
        <v>10877</v>
      </c>
      <c r="D816" s="49" t="s">
        <v>861</v>
      </c>
      <c r="E816" s="49">
        <v>6289617461806</v>
      </c>
      <c r="F816" s="96">
        <v>45832</v>
      </c>
      <c r="G816" s="95">
        <v>249</v>
      </c>
      <c r="H816" s="49" t="s">
        <v>12669</v>
      </c>
      <c r="I816" s="97">
        <v>15793.103448275861</v>
      </c>
      <c r="J816" s="95">
        <v>9</v>
      </c>
      <c r="K816" s="102">
        <v>4580</v>
      </c>
      <c r="L816" s="95">
        <v>2</v>
      </c>
      <c r="M816" s="95">
        <v>82</v>
      </c>
      <c r="N816" s="95">
        <v>0</v>
      </c>
      <c r="O816" s="49" t="s">
        <v>10878</v>
      </c>
    </row>
    <row r="817" spans="1:15">
      <c r="A817" s="95">
        <v>766589657993298</v>
      </c>
      <c r="B817" s="49" t="s">
        <v>10688</v>
      </c>
      <c r="C817" s="49" t="s">
        <v>10877</v>
      </c>
      <c r="D817" s="49" t="s">
        <v>861</v>
      </c>
      <c r="E817" s="49">
        <v>6289617461806</v>
      </c>
      <c r="F817" s="96">
        <v>45832</v>
      </c>
      <c r="G817" s="95">
        <v>186</v>
      </c>
      <c r="H817" s="49" t="s">
        <v>12670</v>
      </c>
      <c r="I817" s="97">
        <v>18595.238095238095</v>
      </c>
      <c r="J817" s="95">
        <v>4</v>
      </c>
      <c r="K817" s="102">
        <v>3905</v>
      </c>
      <c r="L817" s="95">
        <v>2</v>
      </c>
      <c r="M817" s="95">
        <v>60</v>
      </c>
      <c r="N817" s="95">
        <v>0</v>
      </c>
      <c r="O817" s="49" t="s">
        <v>10878</v>
      </c>
    </row>
    <row r="818" spans="1:15">
      <c r="A818" s="95">
        <v>766589657993298</v>
      </c>
      <c r="B818" s="49" t="s">
        <v>10688</v>
      </c>
      <c r="C818" s="49" t="s">
        <v>10877</v>
      </c>
      <c r="D818" s="49" t="s">
        <v>861</v>
      </c>
      <c r="E818" s="49">
        <v>6289617461806</v>
      </c>
      <c r="F818" s="96">
        <v>45832</v>
      </c>
      <c r="G818" s="95">
        <v>65</v>
      </c>
      <c r="H818" s="49" t="s">
        <v>12671</v>
      </c>
      <c r="I818" s="97">
        <v>44026.315789473687</v>
      </c>
      <c r="J818" s="95">
        <v>2</v>
      </c>
      <c r="K818" s="102">
        <v>3346</v>
      </c>
      <c r="L818" s="95">
        <v>1</v>
      </c>
      <c r="M818" s="95">
        <v>24</v>
      </c>
      <c r="N818" s="95">
        <v>0</v>
      </c>
      <c r="O818" s="49" t="s">
        <v>10878</v>
      </c>
    </row>
    <row r="819" spans="1:15">
      <c r="A819" s="95">
        <v>766589657993298</v>
      </c>
      <c r="B819" s="49" t="s">
        <v>10688</v>
      </c>
      <c r="C819" s="49" t="s">
        <v>10877</v>
      </c>
      <c r="D819" s="49" t="s">
        <v>861</v>
      </c>
      <c r="E819" s="49">
        <v>6289617461806</v>
      </c>
      <c r="F819" s="96">
        <v>45832</v>
      </c>
      <c r="G819" s="95">
        <v>22</v>
      </c>
      <c r="H819" s="49" t="s">
        <v>12672</v>
      </c>
      <c r="I819" s="97">
        <v>28062.5</v>
      </c>
      <c r="J819" s="95">
        <v>1</v>
      </c>
      <c r="K819" s="102">
        <v>898</v>
      </c>
      <c r="L819" s="95">
        <v>0</v>
      </c>
      <c r="M819" s="95">
        <v>12</v>
      </c>
      <c r="N819" s="95">
        <v>0</v>
      </c>
      <c r="O819" s="49" t="s">
        <v>10878</v>
      </c>
    </row>
    <row r="820" spans="1:15">
      <c r="A820" s="95">
        <v>766589657993298</v>
      </c>
      <c r="B820" s="49" t="s">
        <v>10688</v>
      </c>
      <c r="C820" s="49" t="s">
        <v>10879</v>
      </c>
      <c r="D820" s="49" t="s">
        <v>10880</v>
      </c>
      <c r="E820" s="49">
        <v>6281215851833</v>
      </c>
      <c r="F820" s="96">
        <v>45832</v>
      </c>
      <c r="G820" s="95">
        <v>28</v>
      </c>
      <c r="H820" s="49" t="s">
        <v>12667</v>
      </c>
      <c r="I820" s="97">
        <v>12580.645161290322</v>
      </c>
      <c r="J820" s="95">
        <v>3</v>
      </c>
      <c r="K820" s="102">
        <v>390</v>
      </c>
      <c r="L820" s="95">
        <v>0</v>
      </c>
      <c r="M820" s="95">
        <v>0</v>
      </c>
      <c r="N820" s="95">
        <v>0</v>
      </c>
      <c r="O820" s="49" t="s">
        <v>10881</v>
      </c>
    </row>
    <row r="821" spans="1:15">
      <c r="A821" s="95">
        <v>766589657993298</v>
      </c>
      <c r="B821" s="49" t="s">
        <v>10688</v>
      </c>
      <c r="C821" s="49" t="s">
        <v>10879</v>
      </c>
      <c r="D821" s="49" t="s">
        <v>10880</v>
      </c>
      <c r="E821" s="49">
        <v>6281215851833</v>
      </c>
      <c r="F821" s="96">
        <v>45832</v>
      </c>
      <c r="G821" s="95">
        <v>99</v>
      </c>
      <c r="H821" s="49" t="s">
        <v>12668</v>
      </c>
      <c r="I821" s="97">
        <v>21788.461538461539</v>
      </c>
      <c r="J821" s="95">
        <v>4</v>
      </c>
      <c r="K821" s="102">
        <v>2266</v>
      </c>
      <c r="L821" s="95">
        <v>1</v>
      </c>
      <c r="M821" s="95">
        <v>0</v>
      </c>
      <c r="N821" s="95">
        <v>0</v>
      </c>
      <c r="O821" s="49" t="s">
        <v>10881</v>
      </c>
    </row>
    <row r="822" spans="1:15">
      <c r="A822" s="95">
        <v>766589657993298</v>
      </c>
      <c r="B822" s="49" t="s">
        <v>10688</v>
      </c>
      <c r="C822" s="49" t="s">
        <v>10879</v>
      </c>
      <c r="D822" s="49" t="s">
        <v>10880</v>
      </c>
      <c r="E822" s="49">
        <v>6281215851833</v>
      </c>
      <c r="F822" s="96">
        <v>45832</v>
      </c>
      <c r="G822" s="95">
        <v>135</v>
      </c>
      <c r="H822" s="49" t="s">
        <v>12669</v>
      </c>
      <c r="I822" s="97">
        <v>22389.261744966443</v>
      </c>
      <c r="J822" s="95">
        <v>6</v>
      </c>
      <c r="K822" s="102">
        <v>3336</v>
      </c>
      <c r="L822" s="95">
        <v>2</v>
      </c>
      <c r="M822" s="95">
        <v>0</v>
      </c>
      <c r="N822" s="95">
        <v>0</v>
      </c>
      <c r="O822" s="49" t="s">
        <v>10881</v>
      </c>
    </row>
    <row r="823" spans="1:15">
      <c r="A823" s="95">
        <v>766589657993298</v>
      </c>
      <c r="B823" s="49" t="s">
        <v>10688</v>
      </c>
      <c r="C823" s="49" t="s">
        <v>10879</v>
      </c>
      <c r="D823" s="49" t="s">
        <v>10880</v>
      </c>
      <c r="E823" s="49">
        <v>6281215851833</v>
      </c>
      <c r="F823" s="96">
        <v>45832</v>
      </c>
      <c r="G823" s="95">
        <v>134</v>
      </c>
      <c r="H823" s="49" t="s">
        <v>12670</v>
      </c>
      <c r="I823" s="97">
        <v>31214.723926380368</v>
      </c>
      <c r="J823" s="95">
        <v>4</v>
      </c>
      <c r="K823" s="102">
        <v>5088</v>
      </c>
      <c r="L823" s="95">
        <v>1</v>
      </c>
      <c r="M823" s="95">
        <v>0</v>
      </c>
      <c r="N823" s="95">
        <v>0</v>
      </c>
      <c r="O823" s="49" t="s">
        <v>10881</v>
      </c>
    </row>
    <row r="824" spans="1:15">
      <c r="A824" s="95">
        <v>766589657993298</v>
      </c>
      <c r="B824" s="49" t="s">
        <v>10688</v>
      </c>
      <c r="C824" s="49" t="s">
        <v>10879</v>
      </c>
      <c r="D824" s="49" t="s">
        <v>10880</v>
      </c>
      <c r="E824" s="49">
        <v>6281215851833</v>
      </c>
      <c r="F824" s="96">
        <v>45832</v>
      </c>
      <c r="G824" s="95">
        <v>85</v>
      </c>
      <c r="H824" s="49" t="s">
        <v>12671</v>
      </c>
      <c r="I824" s="97">
        <v>24238.636363636364</v>
      </c>
      <c r="J824" s="95">
        <v>3</v>
      </c>
      <c r="K824" s="102">
        <v>2133</v>
      </c>
      <c r="L824" s="95">
        <v>0</v>
      </c>
      <c r="M824" s="95">
        <v>1</v>
      </c>
      <c r="N824" s="95">
        <v>0</v>
      </c>
      <c r="O824" s="49" t="s">
        <v>10881</v>
      </c>
    </row>
    <row r="825" spans="1:15">
      <c r="A825" s="95">
        <v>766589657993298</v>
      </c>
      <c r="B825" s="49" t="s">
        <v>10688</v>
      </c>
      <c r="C825" s="49" t="s">
        <v>10879</v>
      </c>
      <c r="D825" s="49" t="s">
        <v>10880</v>
      </c>
      <c r="E825" s="49">
        <v>6281215851833</v>
      </c>
      <c r="F825" s="96">
        <v>45832</v>
      </c>
      <c r="G825" s="95">
        <v>34</v>
      </c>
      <c r="H825" s="49" t="s">
        <v>12672</v>
      </c>
      <c r="I825" s="97">
        <v>36305.555555555555</v>
      </c>
      <c r="J825" s="95">
        <v>0</v>
      </c>
      <c r="K825" s="102">
        <v>1307</v>
      </c>
      <c r="L825" s="95">
        <v>0</v>
      </c>
      <c r="M825" s="95">
        <v>0</v>
      </c>
      <c r="N825" s="95">
        <v>0</v>
      </c>
      <c r="O825" s="49" t="s">
        <v>10881</v>
      </c>
    </row>
    <row r="826" spans="1:15">
      <c r="A826" s="95">
        <v>766589657993298</v>
      </c>
      <c r="B826" s="49" t="s">
        <v>10688</v>
      </c>
      <c r="C826" s="49" t="s">
        <v>10861</v>
      </c>
      <c r="D826" s="49" t="s">
        <v>795</v>
      </c>
      <c r="E826" s="49">
        <v>6287877805175</v>
      </c>
      <c r="F826" s="96">
        <v>45832</v>
      </c>
      <c r="G826" s="95">
        <v>34</v>
      </c>
      <c r="H826" s="49" t="s">
        <v>12667</v>
      </c>
      <c r="I826" s="97">
        <v>51228.571428571428</v>
      </c>
      <c r="J826" s="95">
        <v>0</v>
      </c>
      <c r="K826" s="102">
        <v>1793</v>
      </c>
      <c r="L826" s="95">
        <v>0</v>
      </c>
      <c r="M826" s="95">
        <v>17</v>
      </c>
      <c r="N826" s="95">
        <v>0</v>
      </c>
      <c r="O826" s="49" t="s">
        <v>10862</v>
      </c>
    </row>
    <row r="827" spans="1:15">
      <c r="A827" s="95">
        <v>766589657993298</v>
      </c>
      <c r="B827" s="49" t="s">
        <v>10688</v>
      </c>
      <c r="C827" s="49" t="s">
        <v>10861</v>
      </c>
      <c r="D827" s="49" t="s">
        <v>795</v>
      </c>
      <c r="E827" s="49">
        <v>6287877805175</v>
      </c>
      <c r="F827" s="96">
        <v>45832</v>
      </c>
      <c r="G827" s="95">
        <v>175</v>
      </c>
      <c r="H827" s="49" t="s">
        <v>12668</v>
      </c>
      <c r="I827" s="97">
        <v>27057.591623036649</v>
      </c>
      <c r="J827" s="95">
        <v>0</v>
      </c>
      <c r="K827" s="102">
        <v>5168</v>
      </c>
      <c r="L827" s="95">
        <v>1</v>
      </c>
      <c r="M827" s="95">
        <v>111</v>
      </c>
      <c r="N827" s="95">
        <v>0</v>
      </c>
      <c r="O827" s="49" t="s">
        <v>10862</v>
      </c>
    </row>
    <row r="828" spans="1:15">
      <c r="A828" s="95">
        <v>766589657993298</v>
      </c>
      <c r="B828" s="49" t="s">
        <v>10688</v>
      </c>
      <c r="C828" s="49" t="s">
        <v>10861</v>
      </c>
      <c r="D828" s="49" t="s">
        <v>795</v>
      </c>
      <c r="E828" s="49">
        <v>6287877805175</v>
      </c>
      <c r="F828" s="96">
        <v>45832</v>
      </c>
      <c r="G828" s="95">
        <v>159</v>
      </c>
      <c r="H828" s="49" t="s">
        <v>12669</v>
      </c>
      <c r="I828" s="97">
        <v>23771.929824561405</v>
      </c>
      <c r="J828" s="95">
        <v>2</v>
      </c>
      <c r="K828" s="102">
        <v>4065</v>
      </c>
      <c r="L828" s="95">
        <v>0</v>
      </c>
      <c r="M828" s="95">
        <v>99</v>
      </c>
      <c r="N828" s="95">
        <v>0</v>
      </c>
      <c r="O828" s="49" t="s">
        <v>10862</v>
      </c>
    </row>
    <row r="829" spans="1:15">
      <c r="A829" s="95">
        <v>766589657993298</v>
      </c>
      <c r="B829" s="49" t="s">
        <v>10688</v>
      </c>
      <c r="C829" s="49" t="s">
        <v>10861</v>
      </c>
      <c r="D829" s="49" t="s">
        <v>795</v>
      </c>
      <c r="E829" s="49">
        <v>6287877805175</v>
      </c>
      <c r="F829" s="96">
        <v>45832</v>
      </c>
      <c r="G829" s="95">
        <v>94</v>
      </c>
      <c r="H829" s="49" t="s">
        <v>12670</v>
      </c>
      <c r="I829" s="97">
        <v>52060.606060606064</v>
      </c>
      <c r="J829" s="95">
        <v>1</v>
      </c>
      <c r="K829" s="102">
        <v>5154</v>
      </c>
      <c r="L829" s="95">
        <v>0</v>
      </c>
      <c r="M829" s="95">
        <v>56</v>
      </c>
      <c r="N829" s="95">
        <v>0</v>
      </c>
      <c r="O829" s="49" t="s">
        <v>10862</v>
      </c>
    </row>
    <row r="830" spans="1:15">
      <c r="A830" s="95">
        <v>766589657993298</v>
      </c>
      <c r="B830" s="49" t="s">
        <v>10688</v>
      </c>
      <c r="C830" s="49" t="s">
        <v>10861</v>
      </c>
      <c r="D830" s="49" t="s">
        <v>795</v>
      </c>
      <c r="E830" s="49">
        <v>6287877805175</v>
      </c>
      <c r="F830" s="96">
        <v>45832</v>
      </c>
      <c r="G830" s="95">
        <v>9</v>
      </c>
      <c r="H830" s="49" t="s">
        <v>12671</v>
      </c>
      <c r="I830" s="97">
        <v>28818.181818181816</v>
      </c>
      <c r="J830" s="95">
        <v>0</v>
      </c>
      <c r="K830" s="102">
        <v>317</v>
      </c>
      <c r="L830" s="95">
        <v>0</v>
      </c>
      <c r="M830" s="95">
        <v>6</v>
      </c>
      <c r="N830" s="95">
        <v>0</v>
      </c>
      <c r="O830" s="49" t="s">
        <v>10862</v>
      </c>
    </row>
    <row r="831" spans="1:15">
      <c r="A831" s="95">
        <v>766589657993298</v>
      </c>
      <c r="B831" s="49" t="s">
        <v>10688</v>
      </c>
      <c r="C831" s="49" t="s">
        <v>10836</v>
      </c>
      <c r="D831" s="49" t="s">
        <v>780</v>
      </c>
      <c r="E831" s="49">
        <v>6283866009989</v>
      </c>
      <c r="F831" s="96">
        <v>45832</v>
      </c>
      <c r="G831" s="95">
        <v>312</v>
      </c>
      <c r="H831" s="49" t="s">
        <v>12668</v>
      </c>
      <c r="I831" s="97">
        <v>15314.984709480123</v>
      </c>
      <c r="J831" s="95">
        <v>6</v>
      </c>
      <c r="K831" s="102">
        <v>5008</v>
      </c>
      <c r="L831" s="95">
        <v>0</v>
      </c>
      <c r="M831" s="95">
        <v>182</v>
      </c>
      <c r="N831" s="95">
        <v>0</v>
      </c>
      <c r="O831" s="49" t="s">
        <v>10837</v>
      </c>
    </row>
    <row r="832" spans="1:15">
      <c r="A832" s="95">
        <v>766589657993298</v>
      </c>
      <c r="B832" s="49" t="s">
        <v>10688</v>
      </c>
      <c r="C832" s="49" t="s">
        <v>10836</v>
      </c>
      <c r="D832" s="49" t="s">
        <v>780</v>
      </c>
      <c r="E832" s="49">
        <v>6283866009989</v>
      </c>
      <c r="F832" s="96">
        <v>45832</v>
      </c>
      <c r="G832" s="95">
        <v>235</v>
      </c>
      <c r="H832" s="49" t="s">
        <v>12669</v>
      </c>
      <c r="I832" s="97">
        <v>16936.507936507936</v>
      </c>
      <c r="J832" s="95">
        <v>2</v>
      </c>
      <c r="K832" s="102">
        <v>4268</v>
      </c>
      <c r="L832" s="95">
        <v>0</v>
      </c>
      <c r="M832" s="95">
        <v>137</v>
      </c>
      <c r="N832" s="95">
        <v>0</v>
      </c>
      <c r="O832" s="49" t="s">
        <v>10837</v>
      </c>
    </row>
    <row r="833" spans="1:15">
      <c r="A833" s="95">
        <v>766589657993298</v>
      </c>
      <c r="B833" s="49" t="s">
        <v>10688</v>
      </c>
      <c r="C833" s="49" t="s">
        <v>10836</v>
      </c>
      <c r="D833" s="49" t="s">
        <v>780</v>
      </c>
      <c r="E833" s="49">
        <v>6283866009989</v>
      </c>
      <c r="F833" s="96">
        <v>45832</v>
      </c>
      <c r="G833" s="95">
        <v>134</v>
      </c>
      <c r="H833" s="49" t="s">
        <v>12670</v>
      </c>
      <c r="I833" s="97">
        <v>25781.690140845072</v>
      </c>
      <c r="J833" s="95">
        <v>6</v>
      </c>
      <c r="K833" s="102">
        <v>3661</v>
      </c>
      <c r="L833" s="95">
        <v>0</v>
      </c>
      <c r="M833" s="95">
        <v>82</v>
      </c>
      <c r="N833" s="95">
        <v>0</v>
      </c>
      <c r="O833" s="49" t="s">
        <v>10837</v>
      </c>
    </row>
    <row r="834" spans="1:15">
      <c r="A834" s="95">
        <v>766589657993298</v>
      </c>
      <c r="B834" s="49" t="s">
        <v>10688</v>
      </c>
      <c r="C834" s="49" t="s">
        <v>10836</v>
      </c>
      <c r="D834" s="49" t="s">
        <v>780</v>
      </c>
      <c r="E834" s="49">
        <v>6283866009989</v>
      </c>
      <c r="F834" s="96">
        <v>45832</v>
      </c>
      <c r="G834" s="95">
        <v>13</v>
      </c>
      <c r="H834" s="49" t="s">
        <v>12671</v>
      </c>
      <c r="I834" s="97">
        <v>39400</v>
      </c>
      <c r="J834" s="95">
        <v>0</v>
      </c>
      <c r="K834" s="102">
        <v>591</v>
      </c>
      <c r="L834" s="95">
        <v>0</v>
      </c>
      <c r="M834" s="95">
        <v>11</v>
      </c>
      <c r="N834" s="95">
        <v>0</v>
      </c>
      <c r="O834" s="49" t="s">
        <v>10837</v>
      </c>
    </row>
    <row r="835" spans="1:15">
      <c r="A835" s="95">
        <v>766589657993298</v>
      </c>
      <c r="B835" s="49" t="s">
        <v>10688</v>
      </c>
      <c r="C835" s="49" t="s">
        <v>689</v>
      </c>
      <c r="D835" s="49" t="s">
        <v>10923</v>
      </c>
      <c r="E835" s="49">
        <v>6282176695820</v>
      </c>
      <c r="F835" s="96">
        <v>45832</v>
      </c>
      <c r="G835" s="95">
        <v>14</v>
      </c>
      <c r="H835" s="49" t="s">
        <v>12667</v>
      </c>
      <c r="I835" s="97">
        <v>23800</v>
      </c>
      <c r="J835" s="95">
        <v>0</v>
      </c>
      <c r="K835" s="102">
        <v>357</v>
      </c>
      <c r="L835" s="95">
        <v>0</v>
      </c>
      <c r="M835" s="95">
        <v>0</v>
      </c>
      <c r="N835" s="95">
        <v>0</v>
      </c>
      <c r="O835" s="49" t="s">
        <v>10921</v>
      </c>
    </row>
    <row r="836" spans="1:15">
      <c r="A836" s="95">
        <v>766589657993298</v>
      </c>
      <c r="B836" s="49" t="s">
        <v>10688</v>
      </c>
      <c r="C836" s="49" t="s">
        <v>689</v>
      </c>
      <c r="D836" s="49" t="s">
        <v>10923</v>
      </c>
      <c r="E836" s="49">
        <v>6282176695820</v>
      </c>
      <c r="F836" s="96">
        <v>45832</v>
      </c>
      <c r="G836" s="95">
        <v>85</v>
      </c>
      <c r="H836" s="49" t="s">
        <v>12668</v>
      </c>
      <c r="I836" s="97">
        <v>32469.387755102041</v>
      </c>
      <c r="J836" s="95">
        <v>2</v>
      </c>
      <c r="K836" s="102">
        <v>3182</v>
      </c>
      <c r="L836" s="95">
        <v>0</v>
      </c>
      <c r="M836" s="95">
        <v>0</v>
      </c>
      <c r="N836" s="95">
        <v>0</v>
      </c>
      <c r="O836" s="49" t="s">
        <v>10921</v>
      </c>
    </row>
    <row r="837" spans="1:15">
      <c r="A837" s="95">
        <v>766589657993298</v>
      </c>
      <c r="B837" s="49" t="s">
        <v>10688</v>
      </c>
      <c r="C837" s="49" t="s">
        <v>689</v>
      </c>
      <c r="D837" s="49" t="s">
        <v>10923</v>
      </c>
      <c r="E837" s="49">
        <v>6282176695820</v>
      </c>
      <c r="F837" s="96">
        <v>45832</v>
      </c>
      <c r="G837" s="95">
        <v>83</v>
      </c>
      <c r="H837" s="49" t="s">
        <v>12669</v>
      </c>
      <c r="I837" s="97">
        <v>26040</v>
      </c>
      <c r="J837" s="95">
        <v>1</v>
      </c>
      <c r="K837" s="102">
        <v>2604</v>
      </c>
      <c r="L837" s="95">
        <v>0</v>
      </c>
      <c r="M837" s="95">
        <v>0</v>
      </c>
      <c r="N837" s="95">
        <v>0</v>
      </c>
      <c r="O837" s="49" t="s">
        <v>10921</v>
      </c>
    </row>
    <row r="838" spans="1:15">
      <c r="A838" s="95">
        <v>766589657993298</v>
      </c>
      <c r="B838" s="49" t="s">
        <v>10688</v>
      </c>
      <c r="C838" s="49" t="s">
        <v>689</v>
      </c>
      <c r="D838" s="49" t="s">
        <v>10923</v>
      </c>
      <c r="E838" s="49">
        <v>6282176695820</v>
      </c>
      <c r="F838" s="96">
        <v>45832</v>
      </c>
      <c r="G838" s="95">
        <v>50</v>
      </c>
      <c r="H838" s="49" t="s">
        <v>12670</v>
      </c>
      <c r="I838" s="97">
        <v>65634.61538461539</v>
      </c>
      <c r="J838" s="95">
        <v>1</v>
      </c>
      <c r="K838" s="102">
        <v>3413</v>
      </c>
      <c r="L838" s="95">
        <v>0</v>
      </c>
      <c r="M838" s="95">
        <v>0</v>
      </c>
      <c r="N838" s="95">
        <v>0</v>
      </c>
      <c r="O838" s="49" t="s">
        <v>10921</v>
      </c>
    </row>
    <row r="839" spans="1:15">
      <c r="A839" s="95">
        <v>766589657993298</v>
      </c>
      <c r="B839" s="49" t="s">
        <v>10688</v>
      </c>
      <c r="C839" s="49" t="s">
        <v>689</v>
      </c>
      <c r="D839" s="49" t="s">
        <v>10923</v>
      </c>
      <c r="E839" s="49">
        <v>6282176695820</v>
      </c>
      <c r="F839" s="96">
        <v>45832</v>
      </c>
      <c r="G839" s="95">
        <v>33</v>
      </c>
      <c r="H839" s="49" t="s">
        <v>12671</v>
      </c>
      <c r="I839" s="97">
        <v>49425</v>
      </c>
      <c r="J839" s="95">
        <v>0</v>
      </c>
      <c r="K839" s="102">
        <v>1977</v>
      </c>
      <c r="L839" s="95">
        <v>0</v>
      </c>
      <c r="M839" s="95">
        <v>0</v>
      </c>
      <c r="N839" s="95">
        <v>0</v>
      </c>
      <c r="O839" s="49" t="s">
        <v>10921</v>
      </c>
    </row>
    <row r="840" spans="1:15">
      <c r="A840" s="95">
        <v>766589657993298</v>
      </c>
      <c r="B840" s="49" t="s">
        <v>10688</v>
      </c>
      <c r="C840" s="49" t="s">
        <v>689</v>
      </c>
      <c r="D840" s="49" t="s">
        <v>10923</v>
      </c>
      <c r="E840" s="49">
        <v>6282176695820</v>
      </c>
      <c r="F840" s="96">
        <v>45832</v>
      </c>
      <c r="G840" s="95">
        <v>15</v>
      </c>
      <c r="H840" s="49" t="s">
        <v>12672</v>
      </c>
      <c r="I840" s="97">
        <v>50210.526315789473</v>
      </c>
      <c r="J840" s="95">
        <v>0</v>
      </c>
      <c r="K840" s="102">
        <v>954</v>
      </c>
      <c r="L840" s="95">
        <v>0</v>
      </c>
      <c r="M840" s="95">
        <v>0</v>
      </c>
      <c r="N840" s="95">
        <v>0</v>
      </c>
      <c r="O840" s="49" t="s">
        <v>10921</v>
      </c>
    </row>
    <row r="841" spans="1:15">
      <c r="A841" s="95">
        <v>766589657993298</v>
      </c>
      <c r="B841" s="49" t="s">
        <v>10688</v>
      </c>
      <c r="C841" s="49" t="s">
        <v>10822</v>
      </c>
      <c r="D841" s="49" t="s">
        <v>676</v>
      </c>
      <c r="E841" s="49">
        <v>6281316155059</v>
      </c>
      <c r="F841" s="96">
        <v>45832</v>
      </c>
      <c r="G841" s="95">
        <v>46</v>
      </c>
      <c r="H841" s="49" t="s">
        <v>12667</v>
      </c>
      <c r="I841" s="97">
        <v>25693.877551020407</v>
      </c>
      <c r="J841" s="95">
        <v>1</v>
      </c>
      <c r="K841" s="102">
        <v>1259</v>
      </c>
      <c r="L841" s="95">
        <v>0</v>
      </c>
      <c r="M841" s="95">
        <v>20</v>
      </c>
      <c r="N841" s="95">
        <v>0</v>
      </c>
      <c r="O841" s="49" t="s">
        <v>10823</v>
      </c>
    </row>
    <row r="842" spans="1:15">
      <c r="A842" s="95">
        <v>766589657993298</v>
      </c>
      <c r="B842" s="49" t="s">
        <v>10688</v>
      </c>
      <c r="C842" s="49" t="s">
        <v>10822</v>
      </c>
      <c r="D842" s="49" t="s">
        <v>676</v>
      </c>
      <c r="E842" s="49">
        <v>6281316155059</v>
      </c>
      <c r="F842" s="96">
        <v>45832</v>
      </c>
      <c r="G842" s="95">
        <v>226</v>
      </c>
      <c r="H842" s="49" t="s">
        <v>12668</v>
      </c>
      <c r="I842" s="97">
        <v>19402.489626556016</v>
      </c>
      <c r="J842" s="95">
        <v>4</v>
      </c>
      <c r="K842" s="102">
        <v>4676</v>
      </c>
      <c r="L842" s="95">
        <v>0</v>
      </c>
      <c r="M842" s="95">
        <v>106</v>
      </c>
      <c r="N842" s="95">
        <v>0</v>
      </c>
      <c r="O842" s="49" t="s">
        <v>10823</v>
      </c>
    </row>
    <row r="843" spans="1:15">
      <c r="A843" s="95">
        <v>766589657993298</v>
      </c>
      <c r="B843" s="49" t="s">
        <v>10688</v>
      </c>
      <c r="C843" s="49" t="s">
        <v>10822</v>
      </c>
      <c r="D843" s="49" t="s">
        <v>676</v>
      </c>
      <c r="E843" s="49">
        <v>6281316155059</v>
      </c>
      <c r="F843" s="96">
        <v>45832</v>
      </c>
      <c r="G843" s="95">
        <v>188</v>
      </c>
      <c r="H843" s="49" t="s">
        <v>12669</v>
      </c>
      <c r="I843" s="97">
        <v>16430.051813471506</v>
      </c>
      <c r="J843" s="95">
        <v>4</v>
      </c>
      <c r="K843" s="102">
        <v>3171</v>
      </c>
      <c r="L843" s="95">
        <v>0</v>
      </c>
      <c r="M843" s="95">
        <v>91</v>
      </c>
      <c r="N843" s="95">
        <v>0</v>
      </c>
      <c r="O843" s="49" t="s">
        <v>10823</v>
      </c>
    </row>
    <row r="844" spans="1:15">
      <c r="A844" s="95">
        <v>766589657993298</v>
      </c>
      <c r="B844" s="49" t="s">
        <v>10688</v>
      </c>
      <c r="C844" s="49" t="s">
        <v>10822</v>
      </c>
      <c r="D844" s="49" t="s">
        <v>676</v>
      </c>
      <c r="E844" s="49">
        <v>6281316155059</v>
      </c>
      <c r="F844" s="96">
        <v>45832</v>
      </c>
      <c r="G844" s="95">
        <v>159</v>
      </c>
      <c r="H844" s="49" t="s">
        <v>12670</v>
      </c>
      <c r="I844" s="97">
        <v>25091.463414634145</v>
      </c>
      <c r="J844" s="95">
        <v>2</v>
      </c>
      <c r="K844" s="102">
        <v>4115</v>
      </c>
      <c r="L844" s="95">
        <v>0</v>
      </c>
      <c r="M844" s="95">
        <v>89</v>
      </c>
      <c r="N844" s="95">
        <v>0</v>
      </c>
      <c r="O844" s="49" t="s">
        <v>10823</v>
      </c>
    </row>
    <row r="845" spans="1:15">
      <c r="A845" s="95">
        <v>766589657993298</v>
      </c>
      <c r="B845" s="49" t="s">
        <v>10688</v>
      </c>
      <c r="C845" s="49" t="s">
        <v>10822</v>
      </c>
      <c r="D845" s="49" t="s">
        <v>676</v>
      </c>
      <c r="E845" s="49">
        <v>6281316155059</v>
      </c>
      <c r="F845" s="96">
        <v>45832</v>
      </c>
      <c r="G845" s="95">
        <v>105</v>
      </c>
      <c r="H845" s="49" t="s">
        <v>12671</v>
      </c>
      <c r="I845" s="97">
        <v>24490.909090909092</v>
      </c>
      <c r="J845" s="95">
        <v>1</v>
      </c>
      <c r="K845" s="102">
        <v>2694</v>
      </c>
      <c r="L845" s="95">
        <v>0</v>
      </c>
      <c r="M845" s="95">
        <v>59</v>
      </c>
      <c r="N845" s="95">
        <v>0</v>
      </c>
      <c r="O845" s="49" t="s">
        <v>10823</v>
      </c>
    </row>
    <row r="846" spans="1:15">
      <c r="A846" s="95">
        <v>766589657993298</v>
      </c>
      <c r="B846" s="49" t="s">
        <v>10688</v>
      </c>
      <c r="C846" s="49" t="s">
        <v>10822</v>
      </c>
      <c r="D846" s="49" t="s">
        <v>676</v>
      </c>
      <c r="E846" s="49">
        <v>6281316155059</v>
      </c>
      <c r="F846" s="96">
        <v>45832</v>
      </c>
      <c r="G846" s="95">
        <v>50</v>
      </c>
      <c r="H846" s="49" t="s">
        <v>12672</v>
      </c>
      <c r="I846" s="97">
        <v>44294.117647058825</v>
      </c>
      <c r="J846" s="95">
        <v>1</v>
      </c>
      <c r="K846" s="102">
        <v>2259</v>
      </c>
      <c r="L846" s="95">
        <v>0</v>
      </c>
      <c r="M846" s="95">
        <v>29</v>
      </c>
      <c r="N846" s="95">
        <v>0</v>
      </c>
      <c r="O846" s="49" t="s">
        <v>10823</v>
      </c>
    </row>
  </sheetData>
  <conditionalFormatting sqref="L1">
    <cfRule type="cellIs" dxfId="6" priority="1" operator="lessThan">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611"/>
  <sheetViews>
    <sheetView workbookViewId="0"/>
  </sheetViews>
  <sheetFormatPr defaultColWidth="12.5703125" defaultRowHeight="15.75" customHeight="1"/>
  <sheetData>
    <row r="1" spans="1:17">
      <c r="A1" s="49" t="s">
        <v>10609</v>
      </c>
      <c r="B1" s="49" t="s">
        <v>10610</v>
      </c>
      <c r="C1" s="49" t="s">
        <v>27</v>
      </c>
      <c r="D1" s="49" t="s">
        <v>6</v>
      </c>
      <c r="E1" s="49" t="s">
        <v>10611</v>
      </c>
      <c r="F1" s="97" t="s">
        <v>3</v>
      </c>
      <c r="G1" s="97" t="s">
        <v>10</v>
      </c>
      <c r="H1" s="97" t="s">
        <v>12674</v>
      </c>
      <c r="I1" s="97" t="s">
        <v>10612</v>
      </c>
      <c r="J1" s="100" t="s">
        <v>12675</v>
      </c>
      <c r="K1" s="101" t="s">
        <v>10614</v>
      </c>
      <c r="L1" s="97" t="s">
        <v>10613</v>
      </c>
      <c r="M1" s="102" t="s">
        <v>10615</v>
      </c>
      <c r="N1" s="49" t="s">
        <v>10616</v>
      </c>
      <c r="O1" s="49" t="s">
        <v>10617</v>
      </c>
      <c r="P1" s="49" t="s">
        <v>10618</v>
      </c>
      <c r="Q1" s="49" t="s">
        <v>10619</v>
      </c>
    </row>
    <row r="2" spans="1:17">
      <c r="A2" s="95">
        <v>759724529202804</v>
      </c>
      <c r="B2" s="49" t="s">
        <v>10621</v>
      </c>
      <c r="C2" s="49" t="s">
        <v>10904</v>
      </c>
      <c r="D2" s="49" t="s">
        <v>10905</v>
      </c>
      <c r="E2" s="49">
        <v>6285711667433</v>
      </c>
      <c r="F2" s="96">
        <v>45832</v>
      </c>
      <c r="G2" s="49" t="s">
        <v>7917</v>
      </c>
      <c r="H2" s="49" t="s">
        <v>12676</v>
      </c>
      <c r="I2" s="95">
        <v>113</v>
      </c>
      <c r="J2" s="95">
        <v>121</v>
      </c>
      <c r="K2" s="95">
        <v>1</v>
      </c>
      <c r="L2" s="97">
        <v>8958.6776859504134</v>
      </c>
      <c r="M2" s="102">
        <v>1084</v>
      </c>
      <c r="N2" s="95">
        <v>0</v>
      </c>
      <c r="O2" s="95">
        <v>0</v>
      </c>
      <c r="P2" s="95">
        <v>0</v>
      </c>
      <c r="Q2" s="49" t="s">
        <v>10906</v>
      </c>
    </row>
    <row r="3" spans="1:17">
      <c r="A3" s="95">
        <v>759724529202804</v>
      </c>
      <c r="B3" s="49" t="s">
        <v>10621</v>
      </c>
      <c r="C3" s="49" t="s">
        <v>10904</v>
      </c>
      <c r="D3" s="49" t="s">
        <v>10905</v>
      </c>
      <c r="E3" s="49">
        <v>6285711667433</v>
      </c>
      <c r="F3" s="96">
        <v>45832</v>
      </c>
      <c r="G3" s="49" t="s">
        <v>2132</v>
      </c>
      <c r="H3" s="49" t="s">
        <v>12676</v>
      </c>
      <c r="I3" s="95">
        <v>379</v>
      </c>
      <c r="J3" s="95">
        <v>430</v>
      </c>
      <c r="K3" s="95">
        <v>11</v>
      </c>
      <c r="L3" s="97">
        <v>13213.953488372093</v>
      </c>
      <c r="M3" s="102">
        <v>5682</v>
      </c>
      <c r="N3" s="95">
        <v>0</v>
      </c>
      <c r="O3" s="95">
        <v>0</v>
      </c>
      <c r="P3" s="95">
        <v>0</v>
      </c>
      <c r="Q3" s="49" t="s">
        <v>10906</v>
      </c>
    </row>
    <row r="4" spans="1:17">
      <c r="A4" s="95">
        <v>759724529202804</v>
      </c>
      <c r="B4" s="49" t="s">
        <v>10621</v>
      </c>
      <c r="C4" s="49" t="s">
        <v>10904</v>
      </c>
      <c r="D4" s="49" t="s">
        <v>10905</v>
      </c>
      <c r="E4" s="49">
        <v>6285711667433</v>
      </c>
      <c r="F4" s="96">
        <v>45832</v>
      </c>
      <c r="G4" s="49" t="s">
        <v>12677</v>
      </c>
      <c r="H4" s="49" t="s">
        <v>12676</v>
      </c>
      <c r="I4" s="95">
        <v>415</v>
      </c>
      <c r="J4" s="95">
        <v>479</v>
      </c>
      <c r="K4" s="95">
        <v>3</v>
      </c>
      <c r="L4" s="97">
        <v>9350.7306889352822</v>
      </c>
      <c r="M4" s="102">
        <v>4479</v>
      </c>
      <c r="N4" s="95">
        <v>1</v>
      </c>
      <c r="O4" s="95">
        <v>0</v>
      </c>
      <c r="P4" s="95">
        <v>0</v>
      </c>
      <c r="Q4" s="49" t="s">
        <v>10906</v>
      </c>
    </row>
    <row r="5" spans="1:17">
      <c r="A5" s="95">
        <v>759724529202804</v>
      </c>
      <c r="B5" s="49" t="s">
        <v>10621</v>
      </c>
      <c r="C5" s="49" t="s">
        <v>10907</v>
      </c>
      <c r="D5" s="49" t="s">
        <v>943</v>
      </c>
      <c r="E5" s="49">
        <v>6285775986977</v>
      </c>
      <c r="F5" s="96">
        <v>45832</v>
      </c>
      <c r="G5" s="49" t="s">
        <v>2132</v>
      </c>
      <c r="H5" s="49" t="s">
        <v>12676</v>
      </c>
      <c r="I5" s="95">
        <v>226</v>
      </c>
      <c r="J5" s="95">
        <v>257</v>
      </c>
      <c r="K5" s="95">
        <v>3</v>
      </c>
      <c r="L5" s="97">
        <v>51225.680933852142</v>
      </c>
      <c r="M5" s="102">
        <v>13165</v>
      </c>
      <c r="N5" s="95">
        <v>0</v>
      </c>
      <c r="O5" s="95">
        <v>0</v>
      </c>
      <c r="P5" s="95">
        <v>0</v>
      </c>
      <c r="Q5" s="49" t="s">
        <v>10908</v>
      </c>
    </row>
    <row r="6" spans="1:17">
      <c r="A6" s="95">
        <v>759724529202804</v>
      </c>
      <c r="B6" s="49" t="s">
        <v>10621</v>
      </c>
      <c r="C6" s="49" t="s">
        <v>10907</v>
      </c>
      <c r="D6" s="49" t="s">
        <v>943</v>
      </c>
      <c r="E6" s="49">
        <v>6285775986977</v>
      </c>
      <c r="F6" s="96">
        <v>45832</v>
      </c>
      <c r="G6" s="49" t="s">
        <v>12677</v>
      </c>
      <c r="H6" s="49" t="s">
        <v>12676</v>
      </c>
      <c r="I6" s="95">
        <v>29</v>
      </c>
      <c r="J6" s="95">
        <v>30</v>
      </c>
      <c r="K6" s="95">
        <v>0</v>
      </c>
      <c r="L6" s="97">
        <v>30133.333333333332</v>
      </c>
      <c r="M6" s="102">
        <v>904</v>
      </c>
      <c r="N6" s="95">
        <v>0</v>
      </c>
      <c r="O6" s="95">
        <v>0</v>
      </c>
      <c r="P6" s="95">
        <v>0</v>
      </c>
      <c r="Q6" s="49" t="s">
        <v>10908</v>
      </c>
    </row>
    <row r="7" spans="1:17">
      <c r="A7" s="95">
        <v>759724529202804</v>
      </c>
      <c r="B7" s="49" t="s">
        <v>10621</v>
      </c>
      <c r="C7" s="49" t="s">
        <v>10909</v>
      </c>
      <c r="D7" s="49" t="s">
        <v>10910</v>
      </c>
      <c r="E7" s="49">
        <v>6281904501876</v>
      </c>
      <c r="F7" s="96">
        <v>45832</v>
      </c>
      <c r="G7" s="49" t="s">
        <v>12678</v>
      </c>
      <c r="H7" s="49" t="s">
        <v>12676</v>
      </c>
      <c r="I7" s="95">
        <v>994</v>
      </c>
      <c r="J7" s="95">
        <v>1319</v>
      </c>
      <c r="K7" s="95">
        <v>10</v>
      </c>
      <c r="L7" s="97">
        <v>9405.6103108415482</v>
      </c>
      <c r="M7" s="102">
        <v>12406</v>
      </c>
      <c r="N7" s="95">
        <v>0</v>
      </c>
      <c r="O7" s="95">
        <v>1</v>
      </c>
      <c r="P7" s="95">
        <v>0</v>
      </c>
      <c r="Q7" s="49" t="s">
        <v>10911</v>
      </c>
    </row>
    <row r="8" spans="1:17">
      <c r="A8" s="95">
        <v>759724529202804</v>
      </c>
      <c r="B8" s="49" t="s">
        <v>10621</v>
      </c>
      <c r="C8" s="49" t="s">
        <v>10909</v>
      </c>
      <c r="D8" s="49" t="s">
        <v>10910</v>
      </c>
      <c r="E8" s="49">
        <v>6281904501876</v>
      </c>
      <c r="F8" s="96">
        <v>45832</v>
      </c>
      <c r="G8" s="49" t="s">
        <v>12679</v>
      </c>
      <c r="H8" s="49" t="s">
        <v>12676</v>
      </c>
      <c r="I8" s="95">
        <v>2</v>
      </c>
      <c r="J8" s="95">
        <v>2</v>
      </c>
      <c r="K8" s="95">
        <v>0</v>
      </c>
      <c r="L8" s="97">
        <v>9000</v>
      </c>
      <c r="M8" s="102">
        <v>18</v>
      </c>
      <c r="N8" s="95">
        <v>0</v>
      </c>
      <c r="O8" s="95">
        <v>0</v>
      </c>
      <c r="P8" s="95">
        <v>0</v>
      </c>
      <c r="Q8" s="49" t="s">
        <v>10911</v>
      </c>
    </row>
    <row r="9" spans="1:17">
      <c r="A9" s="95">
        <v>759724529202804</v>
      </c>
      <c r="B9" s="49" t="s">
        <v>10621</v>
      </c>
      <c r="C9" s="49" t="s">
        <v>10912</v>
      </c>
      <c r="D9" s="49" t="s">
        <v>1029</v>
      </c>
      <c r="E9" s="49">
        <v>6281253792753</v>
      </c>
      <c r="F9" s="96">
        <v>45832</v>
      </c>
      <c r="G9" s="49" t="s">
        <v>12680</v>
      </c>
      <c r="H9" s="49" t="s">
        <v>12676</v>
      </c>
      <c r="I9" s="95">
        <v>666</v>
      </c>
      <c r="J9" s="95">
        <v>916</v>
      </c>
      <c r="K9" s="95">
        <v>14</v>
      </c>
      <c r="L9" s="97">
        <v>13713.973799126637</v>
      </c>
      <c r="M9" s="102">
        <v>12562</v>
      </c>
      <c r="N9" s="95">
        <v>1</v>
      </c>
      <c r="O9" s="95">
        <v>0</v>
      </c>
      <c r="P9" s="95">
        <v>0</v>
      </c>
      <c r="Q9" s="49" t="s">
        <v>10913</v>
      </c>
    </row>
    <row r="10" spans="1:17">
      <c r="A10" s="95">
        <v>759724529202804</v>
      </c>
      <c r="B10" s="49" t="s">
        <v>10621</v>
      </c>
      <c r="C10" s="49" t="s">
        <v>10922</v>
      </c>
      <c r="D10" s="49" t="s">
        <v>1021</v>
      </c>
      <c r="E10" s="49">
        <v>6282122880328</v>
      </c>
      <c r="F10" s="96">
        <v>45832</v>
      </c>
      <c r="G10" s="49" t="s">
        <v>12681</v>
      </c>
      <c r="H10" s="49" t="s">
        <v>12676</v>
      </c>
      <c r="I10" s="95">
        <v>5</v>
      </c>
      <c r="J10" s="95">
        <v>5</v>
      </c>
      <c r="K10" s="95">
        <v>0</v>
      </c>
      <c r="L10" s="97">
        <v>128199.99999999999</v>
      </c>
      <c r="M10" s="102">
        <v>641</v>
      </c>
      <c r="N10" s="95">
        <v>0</v>
      </c>
      <c r="O10" s="95">
        <v>0</v>
      </c>
      <c r="P10" s="95">
        <v>0</v>
      </c>
      <c r="Q10" s="49" t="s">
        <v>10914</v>
      </c>
    </row>
    <row r="11" spans="1:17">
      <c r="A11" s="95">
        <v>759724529202804</v>
      </c>
      <c r="B11" s="49" t="s">
        <v>10621</v>
      </c>
      <c r="C11" s="49" t="s">
        <v>10922</v>
      </c>
      <c r="D11" s="49" t="s">
        <v>1021</v>
      </c>
      <c r="E11" s="49">
        <v>6282122880328</v>
      </c>
      <c r="F11" s="96">
        <v>45832</v>
      </c>
      <c r="G11" s="49" t="s">
        <v>7917</v>
      </c>
      <c r="H11" s="49" t="s">
        <v>12676</v>
      </c>
      <c r="I11" s="95">
        <v>3</v>
      </c>
      <c r="J11" s="95">
        <v>3</v>
      </c>
      <c r="K11" s="95">
        <v>0</v>
      </c>
      <c r="L11" s="97">
        <v>16333.333333333332</v>
      </c>
      <c r="M11" s="102">
        <v>49</v>
      </c>
      <c r="N11" s="95">
        <v>0</v>
      </c>
      <c r="O11" s="95">
        <v>0</v>
      </c>
      <c r="P11" s="95">
        <v>0</v>
      </c>
      <c r="Q11" s="49" t="s">
        <v>10914</v>
      </c>
    </row>
    <row r="12" spans="1:17">
      <c r="A12" s="95">
        <v>759724529202804</v>
      </c>
      <c r="B12" s="49" t="s">
        <v>10621</v>
      </c>
      <c r="C12" s="49" t="s">
        <v>10922</v>
      </c>
      <c r="D12" s="49" t="s">
        <v>1021</v>
      </c>
      <c r="E12" s="49">
        <v>6282122880328</v>
      </c>
      <c r="F12" s="96">
        <v>45832</v>
      </c>
      <c r="G12" s="49" t="s">
        <v>1210</v>
      </c>
      <c r="H12" s="49" t="s">
        <v>12676</v>
      </c>
      <c r="I12" s="95">
        <v>4</v>
      </c>
      <c r="J12" s="95">
        <v>5</v>
      </c>
      <c r="K12" s="95">
        <v>0</v>
      </c>
      <c r="L12" s="97">
        <v>61600</v>
      </c>
      <c r="M12" s="102">
        <v>308</v>
      </c>
      <c r="N12" s="95">
        <v>0</v>
      </c>
      <c r="O12" s="95">
        <v>0</v>
      </c>
      <c r="P12" s="95">
        <v>0</v>
      </c>
      <c r="Q12" s="49" t="s">
        <v>10914</v>
      </c>
    </row>
    <row r="13" spans="1:17">
      <c r="A13" s="95">
        <v>759724529202804</v>
      </c>
      <c r="B13" s="49" t="s">
        <v>10621</v>
      </c>
      <c r="C13" s="49" t="s">
        <v>10922</v>
      </c>
      <c r="D13" s="49" t="s">
        <v>1021</v>
      </c>
      <c r="E13" s="49">
        <v>6282122880328</v>
      </c>
      <c r="F13" s="96">
        <v>45832</v>
      </c>
      <c r="G13" s="49" t="s">
        <v>12678</v>
      </c>
      <c r="H13" s="49" t="s">
        <v>12676</v>
      </c>
      <c r="I13" s="95">
        <v>12</v>
      </c>
      <c r="J13" s="95">
        <v>12</v>
      </c>
      <c r="K13" s="95">
        <v>1</v>
      </c>
      <c r="L13" s="97">
        <v>106583.33333333333</v>
      </c>
      <c r="M13" s="102">
        <v>1279</v>
      </c>
      <c r="N13" s="95">
        <v>0</v>
      </c>
      <c r="O13" s="95">
        <v>0</v>
      </c>
      <c r="P13" s="95">
        <v>0</v>
      </c>
      <c r="Q13" s="49" t="s">
        <v>10914</v>
      </c>
    </row>
    <row r="14" spans="1:17">
      <c r="A14" s="95">
        <v>759724529202804</v>
      </c>
      <c r="B14" s="49" t="s">
        <v>10621</v>
      </c>
      <c r="C14" s="49" t="s">
        <v>10922</v>
      </c>
      <c r="D14" s="49" t="s">
        <v>1021</v>
      </c>
      <c r="E14" s="49">
        <v>6282122880328</v>
      </c>
      <c r="F14" s="96">
        <v>45832</v>
      </c>
      <c r="G14" s="49" t="s">
        <v>12682</v>
      </c>
      <c r="H14" s="49" t="s">
        <v>12676</v>
      </c>
      <c r="I14" s="95">
        <v>2</v>
      </c>
      <c r="J14" s="95">
        <v>3</v>
      </c>
      <c r="K14" s="95">
        <v>2</v>
      </c>
      <c r="L14" s="97">
        <v>12000</v>
      </c>
      <c r="M14" s="102">
        <v>36</v>
      </c>
      <c r="N14" s="95">
        <v>0</v>
      </c>
      <c r="O14" s="95">
        <v>0</v>
      </c>
      <c r="P14" s="95">
        <v>0</v>
      </c>
      <c r="Q14" s="49" t="s">
        <v>10914</v>
      </c>
    </row>
    <row r="15" spans="1:17">
      <c r="A15" s="95">
        <v>759724529202804</v>
      </c>
      <c r="B15" s="49" t="s">
        <v>10621</v>
      </c>
      <c r="C15" s="49" t="s">
        <v>10922</v>
      </c>
      <c r="D15" s="49" t="s">
        <v>1021</v>
      </c>
      <c r="E15" s="49">
        <v>6282122880328</v>
      </c>
      <c r="F15" s="96">
        <v>45832</v>
      </c>
      <c r="G15" s="49" t="s">
        <v>12683</v>
      </c>
      <c r="H15" s="49" t="s">
        <v>12676</v>
      </c>
      <c r="I15" s="95">
        <v>7</v>
      </c>
      <c r="J15" s="95">
        <v>12</v>
      </c>
      <c r="K15" s="95">
        <v>0</v>
      </c>
      <c r="L15" s="97">
        <v>25666.666666666668</v>
      </c>
      <c r="M15" s="102">
        <v>308</v>
      </c>
      <c r="N15" s="95">
        <v>0</v>
      </c>
      <c r="O15" s="95">
        <v>0</v>
      </c>
      <c r="P15" s="95">
        <v>0</v>
      </c>
      <c r="Q15" s="49" t="s">
        <v>10914</v>
      </c>
    </row>
    <row r="16" spans="1:17">
      <c r="A16" s="95">
        <v>759724529202804</v>
      </c>
      <c r="B16" s="49" t="s">
        <v>10621</v>
      </c>
      <c r="C16" s="49" t="s">
        <v>10922</v>
      </c>
      <c r="D16" s="49" t="s">
        <v>1021</v>
      </c>
      <c r="E16" s="49">
        <v>6282122880328</v>
      </c>
      <c r="F16" s="96">
        <v>45832</v>
      </c>
      <c r="G16" s="49" t="s">
        <v>12684</v>
      </c>
      <c r="H16" s="49" t="s">
        <v>12676</v>
      </c>
      <c r="I16" s="95">
        <v>20</v>
      </c>
      <c r="J16" s="95">
        <v>23</v>
      </c>
      <c r="K16" s="95">
        <v>1</v>
      </c>
      <c r="L16" s="97">
        <v>80304.34782608696</v>
      </c>
      <c r="M16" s="102">
        <v>1847</v>
      </c>
      <c r="N16" s="95">
        <v>0</v>
      </c>
      <c r="O16" s="95">
        <v>0</v>
      </c>
      <c r="P16" s="95">
        <v>0</v>
      </c>
      <c r="Q16" s="49" t="s">
        <v>10914</v>
      </c>
    </row>
    <row r="17" spans="1:17">
      <c r="A17" s="95">
        <v>759724529202804</v>
      </c>
      <c r="B17" s="49" t="s">
        <v>10621</v>
      </c>
      <c r="C17" s="49" t="s">
        <v>10922</v>
      </c>
      <c r="D17" s="49" t="s">
        <v>1021</v>
      </c>
      <c r="E17" s="49">
        <v>6282122880328</v>
      </c>
      <c r="F17" s="96">
        <v>45832</v>
      </c>
      <c r="G17" s="49" t="s">
        <v>12680</v>
      </c>
      <c r="H17" s="49" t="s">
        <v>12676</v>
      </c>
      <c r="I17" s="95">
        <v>3</v>
      </c>
      <c r="J17" s="95">
        <v>3</v>
      </c>
      <c r="K17" s="95">
        <v>0</v>
      </c>
      <c r="L17" s="97">
        <v>23333.333333333332</v>
      </c>
      <c r="M17" s="102">
        <v>70</v>
      </c>
      <c r="N17" s="95">
        <v>0</v>
      </c>
      <c r="O17" s="95">
        <v>0</v>
      </c>
      <c r="P17" s="95">
        <v>0</v>
      </c>
      <c r="Q17" s="49" t="s">
        <v>10914</v>
      </c>
    </row>
    <row r="18" spans="1:17">
      <c r="A18" s="95">
        <v>759724529202804</v>
      </c>
      <c r="B18" s="49" t="s">
        <v>10621</v>
      </c>
      <c r="C18" s="49" t="s">
        <v>10922</v>
      </c>
      <c r="D18" s="49" t="s">
        <v>1021</v>
      </c>
      <c r="E18" s="49">
        <v>6282122880328</v>
      </c>
      <c r="F18" s="96">
        <v>45832</v>
      </c>
      <c r="G18" s="49" t="s">
        <v>12685</v>
      </c>
      <c r="H18" s="49" t="s">
        <v>12676</v>
      </c>
      <c r="I18" s="95">
        <v>1</v>
      </c>
      <c r="J18" s="95">
        <v>1</v>
      </c>
      <c r="K18" s="95">
        <v>0</v>
      </c>
      <c r="L18" s="97">
        <v>25000</v>
      </c>
      <c r="M18" s="102">
        <v>25</v>
      </c>
      <c r="N18" s="95">
        <v>0</v>
      </c>
      <c r="O18" s="95">
        <v>0</v>
      </c>
      <c r="P18" s="95">
        <v>0</v>
      </c>
      <c r="Q18" s="49" t="s">
        <v>10914</v>
      </c>
    </row>
    <row r="19" spans="1:17">
      <c r="A19" s="95">
        <v>759724529202804</v>
      </c>
      <c r="B19" s="49" t="s">
        <v>10621</v>
      </c>
      <c r="C19" s="49" t="s">
        <v>10922</v>
      </c>
      <c r="D19" s="49" t="s">
        <v>1021</v>
      </c>
      <c r="E19" s="49">
        <v>6282122880328</v>
      </c>
      <c r="F19" s="96">
        <v>45832</v>
      </c>
      <c r="G19" s="49" t="s">
        <v>12686</v>
      </c>
      <c r="H19" s="49" t="s">
        <v>12676</v>
      </c>
      <c r="I19" s="95">
        <v>2</v>
      </c>
      <c r="J19" s="95">
        <v>2</v>
      </c>
      <c r="K19" s="95">
        <v>0</v>
      </c>
      <c r="L19" s="97">
        <v>191000</v>
      </c>
      <c r="M19" s="102">
        <v>382</v>
      </c>
      <c r="N19" s="95">
        <v>0</v>
      </c>
      <c r="O19" s="95">
        <v>0</v>
      </c>
      <c r="P19" s="95">
        <v>0</v>
      </c>
      <c r="Q19" s="49" t="s">
        <v>10914</v>
      </c>
    </row>
    <row r="20" spans="1:17">
      <c r="A20" s="95">
        <v>759724529202804</v>
      </c>
      <c r="B20" s="49" t="s">
        <v>10621</v>
      </c>
      <c r="C20" s="49" t="s">
        <v>10922</v>
      </c>
      <c r="D20" s="49" t="s">
        <v>1021</v>
      </c>
      <c r="E20" s="49">
        <v>6282122880328</v>
      </c>
      <c r="F20" s="96">
        <v>45832</v>
      </c>
      <c r="G20" s="49" t="s">
        <v>2132</v>
      </c>
      <c r="H20" s="49" t="s">
        <v>12676</v>
      </c>
      <c r="I20" s="95">
        <v>8</v>
      </c>
      <c r="J20" s="95">
        <v>9</v>
      </c>
      <c r="K20" s="95">
        <v>0</v>
      </c>
      <c r="L20" s="97">
        <v>90222.222222222234</v>
      </c>
      <c r="M20" s="102">
        <v>812</v>
      </c>
      <c r="N20" s="95">
        <v>0</v>
      </c>
      <c r="O20" s="95">
        <v>0</v>
      </c>
      <c r="P20" s="95">
        <v>0</v>
      </c>
      <c r="Q20" s="49" t="s">
        <v>10914</v>
      </c>
    </row>
    <row r="21" spans="1:17">
      <c r="A21" s="95">
        <v>759724529202804</v>
      </c>
      <c r="B21" s="49" t="s">
        <v>10621</v>
      </c>
      <c r="C21" s="49" t="s">
        <v>10922</v>
      </c>
      <c r="D21" s="49" t="s">
        <v>1021</v>
      </c>
      <c r="E21" s="49">
        <v>6282122880328</v>
      </c>
      <c r="F21" s="96">
        <v>45832</v>
      </c>
      <c r="G21" s="49" t="s">
        <v>2718</v>
      </c>
      <c r="H21" s="49" t="s">
        <v>12676</v>
      </c>
      <c r="I21" s="95">
        <v>7</v>
      </c>
      <c r="J21" s="95">
        <v>7</v>
      </c>
      <c r="K21" s="95">
        <v>0</v>
      </c>
      <c r="L21" s="97">
        <v>25714.285714285714</v>
      </c>
      <c r="M21" s="102">
        <v>180</v>
      </c>
      <c r="N21" s="95">
        <v>0</v>
      </c>
      <c r="O21" s="95">
        <v>0</v>
      </c>
      <c r="P21" s="95">
        <v>0</v>
      </c>
      <c r="Q21" s="49" t="s">
        <v>10914</v>
      </c>
    </row>
    <row r="22" spans="1:17">
      <c r="A22" s="95">
        <v>759724529202804</v>
      </c>
      <c r="B22" s="49" t="s">
        <v>10621</v>
      </c>
      <c r="C22" s="49" t="s">
        <v>10922</v>
      </c>
      <c r="D22" s="49" t="s">
        <v>1021</v>
      </c>
      <c r="E22" s="49">
        <v>6282122880328</v>
      </c>
      <c r="F22" s="96">
        <v>45832</v>
      </c>
      <c r="G22" s="49" t="s">
        <v>2981</v>
      </c>
      <c r="H22" s="49" t="s">
        <v>12676</v>
      </c>
      <c r="I22" s="95">
        <v>10</v>
      </c>
      <c r="J22" s="95">
        <v>11</v>
      </c>
      <c r="K22" s="95">
        <v>0</v>
      </c>
      <c r="L22" s="97">
        <v>30545.454545454548</v>
      </c>
      <c r="M22" s="102">
        <v>336</v>
      </c>
      <c r="N22" s="95">
        <v>0</v>
      </c>
      <c r="O22" s="95">
        <v>0</v>
      </c>
      <c r="P22" s="95">
        <v>0</v>
      </c>
      <c r="Q22" s="49" t="s">
        <v>10914</v>
      </c>
    </row>
    <row r="23" spans="1:17">
      <c r="A23" s="95">
        <v>759724529202804</v>
      </c>
      <c r="B23" s="49" t="s">
        <v>10621</v>
      </c>
      <c r="C23" s="49" t="s">
        <v>10922</v>
      </c>
      <c r="D23" s="49" t="s">
        <v>1021</v>
      </c>
      <c r="E23" s="49">
        <v>6282122880328</v>
      </c>
      <c r="F23" s="96">
        <v>45832</v>
      </c>
      <c r="G23" s="49" t="s">
        <v>12687</v>
      </c>
      <c r="H23" s="49" t="s">
        <v>12676</v>
      </c>
      <c r="I23" s="95">
        <v>2</v>
      </c>
      <c r="J23" s="95">
        <v>2</v>
      </c>
      <c r="K23" s="95">
        <v>0</v>
      </c>
      <c r="L23" s="97">
        <v>4000</v>
      </c>
      <c r="M23" s="102">
        <v>8</v>
      </c>
      <c r="N23" s="95">
        <v>0</v>
      </c>
      <c r="O23" s="95">
        <v>0</v>
      </c>
      <c r="P23" s="95">
        <v>0</v>
      </c>
      <c r="Q23" s="49" t="s">
        <v>10914</v>
      </c>
    </row>
    <row r="24" spans="1:17">
      <c r="A24" s="95">
        <v>759724529202804</v>
      </c>
      <c r="B24" s="49" t="s">
        <v>10621</v>
      </c>
      <c r="C24" s="49" t="s">
        <v>10922</v>
      </c>
      <c r="D24" s="49" t="s">
        <v>1021</v>
      </c>
      <c r="E24" s="49">
        <v>6282122880328</v>
      </c>
      <c r="F24" s="96">
        <v>45832</v>
      </c>
      <c r="G24" s="49" t="s">
        <v>12688</v>
      </c>
      <c r="H24" s="49" t="s">
        <v>12676</v>
      </c>
      <c r="I24" s="95">
        <v>1</v>
      </c>
      <c r="J24" s="95">
        <v>1</v>
      </c>
      <c r="K24" s="95">
        <v>2</v>
      </c>
      <c r="L24" s="97">
        <v>68000</v>
      </c>
      <c r="M24" s="102">
        <v>68</v>
      </c>
      <c r="N24" s="95">
        <v>0</v>
      </c>
      <c r="O24" s="95">
        <v>0</v>
      </c>
      <c r="P24" s="95">
        <v>0</v>
      </c>
      <c r="Q24" s="49" t="s">
        <v>10914</v>
      </c>
    </row>
    <row r="25" spans="1:17">
      <c r="A25" s="95">
        <v>759724529202804</v>
      </c>
      <c r="B25" s="49" t="s">
        <v>10621</v>
      </c>
      <c r="C25" s="49" t="s">
        <v>10922</v>
      </c>
      <c r="D25" s="49" t="s">
        <v>1021</v>
      </c>
      <c r="E25" s="49">
        <v>6282122880328</v>
      </c>
      <c r="F25" s="96">
        <v>45832</v>
      </c>
      <c r="G25" s="49" t="s">
        <v>12689</v>
      </c>
      <c r="H25" s="49" t="s">
        <v>12676</v>
      </c>
      <c r="I25" s="95">
        <v>2</v>
      </c>
      <c r="J25" s="95">
        <v>2</v>
      </c>
      <c r="K25" s="95">
        <v>0</v>
      </c>
      <c r="L25" s="97">
        <v>5000</v>
      </c>
      <c r="M25" s="102">
        <v>10</v>
      </c>
      <c r="N25" s="95">
        <v>0</v>
      </c>
      <c r="O25" s="95">
        <v>0</v>
      </c>
      <c r="P25" s="95">
        <v>0</v>
      </c>
      <c r="Q25" s="49" t="s">
        <v>10914</v>
      </c>
    </row>
    <row r="26" spans="1:17">
      <c r="A26" s="95">
        <v>759724529202804</v>
      </c>
      <c r="B26" s="49" t="s">
        <v>10621</v>
      </c>
      <c r="C26" s="49" t="s">
        <v>10922</v>
      </c>
      <c r="D26" s="49" t="s">
        <v>1021</v>
      </c>
      <c r="E26" s="49">
        <v>6282122880328</v>
      </c>
      <c r="F26" s="96">
        <v>45832</v>
      </c>
      <c r="G26" s="49" t="s">
        <v>12690</v>
      </c>
      <c r="H26" s="49" t="s">
        <v>12676</v>
      </c>
      <c r="I26" s="95">
        <v>4</v>
      </c>
      <c r="J26" s="95">
        <v>5</v>
      </c>
      <c r="K26" s="95">
        <v>0</v>
      </c>
      <c r="L26" s="97">
        <v>79400</v>
      </c>
      <c r="M26" s="102">
        <v>397</v>
      </c>
      <c r="N26" s="95">
        <v>0</v>
      </c>
      <c r="O26" s="95">
        <v>0</v>
      </c>
      <c r="P26" s="95">
        <v>0</v>
      </c>
      <c r="Q26" s="49" t="s">
        <v>10914</v>
      </c>
    </row>
    <row r="27" spans="1:17">
      <c r="A27" s="95">
        <v>759724529202804</v>
      </c>
      <c r="B27" s="49" t="s">
        <v>10621</v>
      </c>
      <c r="C27" s="49" t="s">
        <v>10922</v>
      </c>
      <c r="D27" s="49" t="s">
        <v>1021</v>
      </c>
      <c r="E27" s="49">
        <v>6282122880328</v>
      </c>
      <c r="F27" s="96">
        <v>45832</v>
      </c>
      <c r="G27" s="49" t="s">
        <v>12691</v>
      </c>
      <c r="H27" s="49" t="s">
        <v>12676</v>
      </c>
      <c r="I27" s="95">
        <v>7</v>
      </c>
      <c r="J27" s="95">
        <v>7</v>
      </c>
      <c r="K27" s="95">
        <v>1</v>
      </c>
      <c r="L27" s="97">
        <v>65714.28571428571</v>
      </c>
      <c r="M27" s="102">
        <v>460</v>
      </c>
      <c r="N27" s="95">
        <v>0</v>
      </c>
      <c r="O27" s="95">
        <v>0</v>
      </c>
      <c r="P27" s="95">
        <v>0</v>
      </c>
      <c r="Q27" s="49" t="s">
        <v>10914</v>
      </c>
    </row>
    <row r="28" spans="1:17">
      <c r="A28" s="95">
        <v>759724529202804</v>
      </c>
      <c r="B28" s="49" t="s">
        <v>10621</v>
      </c>
      <c r="C28" s="49" t="s">
        <v>10922</v>
      </c>
      <c r="D28" s="49" t="s">
        <v>1021</v>
      </c>
      <c r="E28" s="49">
        <v>6282122880328</v>
      </c>
      <c r="F28" s="96">
        <v>45832</v>
      </c>
      <c r="G28" s="49" t="s">
        <v>12692</v>
      </c>
      <c r="H28" s="49" t="s">
        <v>12676</v>
      </c>
      <c r="I28" s="95">
        <v>3</v>
      </c>
      <c r="J28" s="95">
        <v>3</v>
      </c>
      <c r="K28" s="95">
        <v>0</v>
      </c>
      <c r="L28" s="97">
        <v>36666.666666666664</v>
      </c>
      <c r="M28" s="102">
        <v>110</v>
      </c>
      <c r="N28" s="95">
        <v>0</v>
      </c>
      <c r="O28" s="95">
        <v>0</v>
      </c>
      <c r="P28" s="95">
        <v>0</v>
      </c>
      <c r="Q28" s="49" t="s">
        <v>10914</v>
      </c>
    </row>
    <row r="29" spans="1:17">
      <c r="A29" s="95">
        <v>759724529202804</v>
      </c>
      <c r="B29" s="49" t="s">
        <v>10621</v>
      </c>
      <c r="C29" s="49" t="s">
        <v>10922</v>
      </c>
      <c r="D29" s="49" t="s">
        <v>1021</v>
      </c>
      <c r="E29" s="49">
        <v>6282122880328</v>
      </c>
      <c r="F29" s="96">
        <v>45832</v>
      </c>
      <c r="G29" s="49" t="s">
        <v>1473</v>
      </c>
      <c r="H29" s="49" t="s">
        <v>12676</v>
      </c>
      <c r="I29" s="95">
        <v>11</v>
      </c>
      <c r="J29" s="95">
        <v>12</v>
      </c>
      <c r="K29" s="95">
        <v>0</v>
      </c>
      <c r="L29" s="97">
        <v>25916.666666666668</v>
      </c>
      <c r="M29" s="102">
        <v>311</v>
      </c>
      <c r="N29" s="95">
        <v>0</v>
      </c>
      <c r="O29" s="95">
        <v>0</v>
      </c>
      <c r="P29" s="95">
        <v>0</v>
      </c>
      <c r="Q29" s="49" t="s">
        <v>10914</v>
      </c>
    </row>
    <row r="30" spans="1:17">
      <c r="A30" s="95">
        <v>759724529202804</v>
      </c>
      <c r="B30" s="49" t="s">
        <v>10621</v>
      </c>
      <c r="C30" s="49" t="s">
        <v>10922</v>
      </c>
      <c r="D30" s="49" t="s">
        <v>1021</v>
      </c>
      <c r="E30" s="49">
        <v>6282122880328</v>
      </c>
      <c r="F30" s="96">
        <v>45832</v>
      </c>
      <c r="G30" s="49" t="s">
        <v>12693</v>
      </c>
      <c r="H30" s="49" t="s">
        <v>12676</v>
      </c>
      <c r="I30" s="95">
        <v>4</v>
      </c>
      <c r="J30" s="95">
        <v>4</v>
      </c>
      <c r="K30" s="95">
        <v>1</v>
      </c>
      <c r="L30" s="97">
        <v>40250</v>
      </c>
      <c r="M30" s="102">
        <v>161</v>
      </c>
      <c r="N30" s="95">
        <v>0</v>
      </c>
      <c r="O30" s="95">
        <v>0</v>
      </c>
      <c r="P30" s="95">
        <v>0</v>
      </c>
      <c r="Q30" s="49" t="s">
        <v>10914</v>
      </c>
    </row>
    <row r="31" spans="1:17">
      <c r="A31" s="95">
        <v>759724529202804</v>
      </c>
      <c r="B31" s="49" t="s">
        <v>10621</v>
      </c>
      <c r="C31" s="49" t="s">
        <v>10922</v>
      </c>
      <c r="D31" s="49" t="s">
        <v>1021</v>
      </c>
      <c r="E31" s="49">
        <v>6282122880328</v>
      </c>
      <c r="F31" s="96">
        <v>45832</v>
      </c>
      <c r="G31" s="49" t="s">
        <v>12694</v>
      </c>
      <c r="H31" s="49" t="s">
        <v>12676</v>
      </c>
      <c r="I31" s="95">
        <v>4</v>
      </c>
      <c r="J31" s="95">
        <v>5</v>
      </c>
      <c r="K31" s="95">
        <v>0</v>
      </c>
      <c r="L31" s="97">
        <v>107400</v>
      </c>
      <c r="M31" s="102">
        <v>537</v>
      </c>
      <c r="N31" s="95">
        <v>0</v>
      </c>
      <c r="O31" s="95">
        <v>0</v>
      </c>
      <c r="P31" s="95">
        <v>0</v>
      </c>
      <c r="Q31" s="49" t="s">
        <v>10914</v>
      </c>
    </row>
    <row r="32" spans="1:17">
      <c r="A32" s="95">
        <v>759724529202804</v>
      </c>
      <c r="B32" s="49" t="s">
        <v>10621</v>
      </c>
      <c r="C32" s="49" t="s">
        <v>10922</v>
      </c>
      <c r="D32" s="49" t="s">
        <v>1021</v>
      </c>
      <c r="E32" s="49">
        <v>6282122880328</v>
      </c>
      <c r="F32" s="96">
        <v>45832</v>
      </c>
      <c r="G32" s="49" t="s">
        <v>12695</v>
      </c>
      <c r="H32" s="49" t="s">
        <v>12676</v>
      </c>
      <c r="I32" s="95">
        <v>20</v>
      </c>
      <c r="J32" s="95">
        <v>21</v>
      </c>
      <c r="K32" s="95">
        <v>0</v>
      </c>
      <c r="L32" s="97">
        <v>45000</v>
      </c>
      <c r="M32" s="102">
        <v>945</v>
      </c>
      <c r="N32" s="95">
        <v>0</v>
      </c>
      <c r="O32" s="95">
        <v>0</v>
      </c>
      <c r="P32" s="95">
        <v>0</v>
      </c>
      <c r="Q32" s="49" t="s">
        <v>10914</v>
      </c>
    </row>
    <row r="33" spans="1:17">
      <c r="A33" s="95">
        <v>759724529202804</v>
      </c>
      <c r="B33" s="49" t="s">
        <v>10621</v>
      </c>
      <c r="C33" s="49" t="s">
        <v>10922</v>
      </c>
      <c r="D33" s="49" t="s">
        <v>1021</v>
      </c>
      <c r="E33" s="49">
        <v>6282122880328</v>
      </c>
      <c r="F33" s="96">
        <v>45832</v>
      </c>
      <c r="G33" s="49" t="s">
        <v>12696</v>
      </c>
      <c r="H33" s="49" t="s">
        <v>12676</v>
      </c>
      <c r="I33" s="95">
        <v>9</v>
      </c>
      <c r="J33" s="95">
        <v>9</v>
      </c>
      <c r="K33" s="95">
        <v>2</v>
      </c>
      <c r="L33" s="97">
        <v>120000</v>
      </c>
      <c r="M33" s="102">
        <v>1080</v>
      </c>
      <c r="N33" s="95">
        <v>1</v>
      </c>
      <c r="O33" s="95">
        <v>0</v>
      </c>
      <c r="P33" s="95">
        <v>0</v>
      </c>
      <c r="Q33" s="49" t="s">
        <v>10914</v>
      </c>
    </row>
    <row r="34" spans="1:17">
      <c r="A34" s="95">
        <v>759724529202804</v>
      </c>
      <c r="B34" s="49" t="s">
        <v>10621</v>
      </c>
      <c r="C34" s="49" t="s">
        <v>10922</v>
      </c>
      <c r="D34" s="49" t="s">
        <v>1021</v>
      </c>
      <c r="E34" s="49">
        <v>6282122880328</v>
      </c>
      <c r="F34" s="96">
        <v>45832</v>
      </c>
      <c r="G34" s="49" t="s">
        <v>12697</v>
      </c>
      <c r="H34" s="49" t="s">
        <v>12676</v>
      </c>
      <c r="I34" s="95">
        <v>6</v>
      </c>
      <c r="J34" s="95">
        <v>6</v>
      </c>
      <c r="K34" s="95">
        <v>0</v>
      </c>
      <c r="L34" s="97">
        <v>13500</v>
      </c>
      <c r="M34" s="102">
        <v>81</v>
      </c>
      <c r="N34" s="95">
        <v>0</v>
      </c>
      <c r="O34" s="95">
        <v>0</v>
      </c>
      <c r="P34" s="95">
        <v>0</v>
      </c>
      <c r="Q34" s="49" t="s">
        <v>10914</v>
      </c>
    </row>
    <row r="35" spans="1:17">
      <c r="A35" s="95">
        <v>759724529202804</v>
      </c>
      <c r="B35" s="49" t="s">
        <v>10621</v>
      </c>
      <c r="C35" s="49" t="s">
        <v>10863</v>
      </c>
      <c r="D35" s="49" t="s">
        <v>10864</v>
      </c>
      <c r="E35" s="49">
        <v>6285180805171</v>
      </c>
      <c r="F35" s="96">
        <v>45832</v>
      </c>
      <c r="G35" s="49" t="s">
        <v>12694</v>
      </c>
      <c r="H35" s="49" t="s">
        <v>12676</v>
      </c>
      <c r="I35" s="95">
        <v>1245</v>
      </c>
      <c r="J35" s="95">
        <v>1437</v>
      </c>
      <c r="K35" s="95">
        <v>26</v>
      </c>
      <c r="L35" s="97">
        <v>10735.560194850383</v>
      </c>
      <c r="M35" s="102">
        <v>15427</v>
      </c>
      <c r="N35" s="95">
        <v>1</v>
      </c>
      <c r="O35" s="95">
        <v>416</v>
      </c>
      <c r="P35" s="95">
        <v>0</v>
      </c>
      <c r="Q35" s="49" t="s">
        <v>10865</v>
      </c>
    </row>
    <row r="36" spans="1:17">
      <c r="A36" s="95">
        <v>759724529202804</v>
      </c>
      <c r="B36" s="49" t="s">
        <v>10621</v>
      </c>
      <c r="C36" s="49" t="s">
        <v>10850</v>
      </c>
      <c r="D36" s="49" t="s">
        <v>10851</v>
      </c>
      <c r="E36" s="49">
        <v>6282125465047</v>
      </c>
      <c r="F36" s="96">
        <v>45832</v>
      </c>
      <c r="G36" s="49" t="s">
        <v>7917</v>
      </c>
      <c r="H36" s="49" t="s">
        <v>12676</v>
      </c>
      <c r="I36" s="95">
        <v>50</v>
      </c>
      <c r="J36" s="95">
        <v>52</v>
      </c>
      <c r="K36" s="95">
        <v>1</v>
      </c>
      <c r="L36" s="97">
        <v>22500</v>
      </c>
      <c r="M36" s="102">
        <v>1170</v>
      </c>
      <c r="N36" s="95">
        <v>0</v>
      </c>
      <c r="O36" s="95">
        <v>18</v>
      </c>
      <c r="P36" s="95">
        <v>0</v>
      </c>
      <c r="Q36" s="49" t="s">
        <v>10852</v>
      </c>
    </row>
    <row r="37" spans="1:17">
      <c r="A37" s="95">
        <v>759724529202804</v>
      </c>
      <c r="B37" s="49" t="s">
        <v>10621</v>
      </c>
      <c r="C37" s="49" t="s">
        <v>10850</v>
      </c>
      <c r="D37" s="49" t="s">
        <v>10851</v>
      </c>
      <c r="E37" s="49">
        <v>6282125465047</v>
      </c>
      <c r="F37" s="96">
        <v>45832</v>
      </c>
      <c r="G37" s="49" t="s">
        <v>2132</v>
      </c>
      <c r="H37" s="49" t="s">
        <v>12676</v>
      </c>
      <c r="I37" s="95">
        <v>344</v>
      </c>
      <c r="J37" s="95">
        <v>384</v>
      </c>
      <c r="K37" s="95">
        <v>20</v>
      </c>
      <c r="L37" s="97">
        <v>17497.395833333332</v>
      </c>
      <c r="M37" s="102">
        <v>6719</v>
      </c>
      <c r="N37" s="95">
        <v>4</v>
      </c>
      <c r="O37" s="95">
        <v>126</v>
      </c>
      <c r="P37" s="95">
        <v>1</v>
      </c>
      <c r="Q37" s="49" t="s">
        <v>10852</v>
      </c>
    </row>
    <row r="38" spans="1:17">
      <c r="A38" s="95">
        <v>759724529202804</v>
      </c>
      <c r="B38" s="49" t="s">
        <v>10621</v>
      </c>
      <c r="C38" s="49" t="s">
        <v>10850</v>
      </c>
      <c r="D38" s="49" t="s">
        <v>10851</v>
      </c>
      <c r="E38" s="49">
        <v>6282125465047</v>
      </c>
      <c r="F38" s="96">
        <v>45832</v>
      </c>
      <c r="G38" s="49" t="s">
        <v>12677</v>
      </c>
      <c r="H38" s="49" t="s">
        <v>12676</v>
      </c>
      <c r="I38" s="95">
        <v>397</v>
      </c>
      <c r="J38" s="95">
        <v>447</v>
      </c>
      <c r="K38" s="95">
        <v>25</v>
      </c>
      <c r="L38" s="97">
        <v>18017.897091722596</v>
      </c>
      <c r="M38" s="102">
        <v>8054</v>
      </c>
      <c r="N38" s="95">
        <v>5</v>
      </c>
      <c r="O38" s="95">
        <v>142</v>
      </c>
      <c r="P38" s="95">
        <v>1</v>
      </c>
      <c r="Q38" s="49" t="s">
        <v>10852</v>
      </c>
    </row>
    <row r="39" spans="1:17">
      <c r="A39" s="95">
        <v>759724529202804</v>
      </c>
      <c r="B39" s="49" t="s">
        <v>10621</v>
      </c>
      <c r="C39" s="49" t="s">
        <v>10890</v>
      </c>
      <c r="D39" s="49" t="s">
        <v>450</v>
      </c>
      <c r="E39" s="49">
        <v>62895401448273</v>
      </c>
      <c r="F39" s="96">
        <v>45832</v>
      </c>
      <c r="G39" s="49" t="s">
        <v>46</v>
      </c>
      <c r="H39" s="49" t="s">
        <v>12676</v>
      </c>
      <c r="I39" s="95">
        <v>545</v>
      </c>
      <c r="J39" s="95">
        <v>746</v>
      </c>
      <c r="K39" s="95">
        <v>24</v>
      </c>
      <c r="L39" s="97">
        <v>22140.750670241287</v>
      </c>
      <c r="M39" s="102">
        <v>16517</v>
      </c>
      <c r="N39" s="95">
        <v>1</v>
      </c>
      <c r="O39" s="95">
        <v>0</v>
      </c>
      <c r="P39" s="95">
        <v>0</v>
      </c>
      <c r="Q39" s="49" t="s">
        <v>10891</v>
      </c>
    </row>
    <row r="40" spans="1:17">
      <c r="A40" s="95">
        <v>759724529202804</v>
      </c>
      <c r="B40" s="49" t="s">
        <v>10621</v>
      </c>
      <c r="C40" s="49" t="s">
        <v>332</v>
      </c>
      <c r="D40" s="49" t="s">
        <v>10708</v>
      </c>
      <c r="E40" s="49">
        <v>6282350524788</v>
      </c>
      <c r="F40" s="96">
        <v>45832</v>
      </c>
      <c r="G40" s="49" t="s">
        <v>12680</v>
      </c>
      <c r="H40" s="49" t="s">
        <v>12676</v>
      </c>
      <c r="I40" s="95">
        <v>763</v>
      </c>
      <c r="J40" s="95">
        <v>940</v>
      </c>
      <c r="K40" s="95">
        <v>38</v>
      </c>
      <c r="L40" s="97">
        <v>15518.085106382978</v>
      </c>
      <c r="M40" s="102">
        <v>14587</v>
      </c>
      <c r="N40" s="95">
        <v>4</v>
      </c>
      <c r="O40" s="95">
        <v>5</v>
      </c>
      <c r="P40" s="95">
        <v>0</v>
      </c>
      <c r="Q40" s="49" t="s">
        <v>10709</v>
      </c>
    </row>
    <row r="41" spans="1:17">
      <c r="A41" s="95">
        <v>759724529202804</v>
      </c>
      <c r="B41" s="49" t="s">
        <v>10621</v>
      </c>
      <c r="C41" s="49" t="s">
        <v>665</v>
      </c>
      <c r="D41" s="49" t="s">
        <v>659</v>
      </c>
      <c r="E41" s="49">
        <v>6285757057088</v>
      </c>
      <c r="F41" s="96">
        <v>45832</v>
      </c>
      <c r="G41" s="49" t="s">
        <v>12678</v>
      </c>
      <c r="H41" s="49" t="s">
        <v>12676</v>
      </c>
      <c r="I41" s="95">
        <v>527</v>
      </c>
      <c r="J41" s="95">
        <v>658</v>
      </c>
      <c r="K41" s="95">
        <v>16</v>
      </c>
      <c r="L41" s="97">
        <v>17848.024316109422</v>
      </c>
      <c r="M41" s="102">
        <v>11744</v>
      </c>
      <c r="N41" s="95">
        <v>1</v>
      </c>
      <c r="O41" s="95">
        <v>0</v>
      </c>
      <c r="P41" s="95">
        <v>1</v>
      </c>
      <c r="Q41" s="49" t="s">
        <v>10636</v>
      </c>
    </row>
    <row r="42" spans="1:17">
      <c r="A42" s="95">
        <v>759724529202804</v>
      </c>
      <c r="B42" s="49" t="s">
        <v>10621</v>
      </c>
      <c r="C42" s="49" t="s">
        <v>665</v>
      </c>
      <c r="D42" s="49" t="s">
        <v>659</v>
      </c>
      <c r="E42" s="49">
        <v>6285757057088</v>
      </c>
      <c r="F42" s="96">
        <v>45832</v>
      </c>
      <c r="G42" s="49" t="s">
        <v>12684</v>
      </c>
      <c r="H42" s="49" t="s">
        <v>12676</v>
      </c>
      <c r="I42" s="95">
        <v>31</v>
      </c>
      <c r="J42" s="95">
        <v>43</v>
      </c>
      <c r="K42" s="95">
        <v>4</v>
      </c>
      <c r="L42" s="97">
        <v>20465.116279069767</v>
      </c>
      <c r="M42" s="102">
        <v>880</v>
      </c>
      <c r="N42" s="95">
        <v>0</v>
      </c>
      <c r="O42" s="95">
        <v>0</v>
      </c>
      <c r="P42" s="95">
        <v>0</v>
      </c>
      <c r="Q42" s="49" t="s">
        <v>10636</v>
      </c>
    </row>
    <row r="43" spans="1:17">
      <c r="A43" s="95">
        <v>759724529202804</v>
      </c>
      <c r="B43" s="49" t="s">
        <v>10621</v>
      </c>
      <c r="C43" s="49" t="s">
        <v>665</v>
      </c>
      <c r="D43" s="49" t="s">
        <v>659</v>
      </c>
      <c r="E43" s="49">
        <v>6285757057088</v>
      </c>
      <c r="F43" s="96">
        <v>45832</v>
      </c>
      <c r="G43" s="49" t="s">
        <v>12679</v>
      </c>
      <c r="H43" s="49" t="s">
        <v>12676</v>
      </c>
      <c r="I43" s="95">
        <v>104</v>
      </c>
      <c r="J43" s="95">
        <v>120</v>
      </c>
      <c r="K43" s="95">
        <v>4</v>
      </c>
      <c r="L43" s="97">
        <v>19466.666666666664</v>
      </c>
      <c r="M43" s="102">
        <v>2336</v>
      </c>
      <c r="N43" s="95">
        <v>0</v>
      </c>
      <c r="O43" s="95">
        <v>0</v>
      </c>
      <c r="P43" s="95">
        <v>0</v>
      </c>
      <c r="Q43" s="49" t="s">
        <v>10636</v>
      </c>
    </row>
    <row r="44" spans="1:17">
      <c r="A44" s="95">
        <v>174904221976312</v>
      </c>
      <c r="B44" s="49" t="s">
        <v>10651</v>
      </c>
      <c r="C44" s="49" t="s">
        <v>10915</v>
      </c>
      <c r="D44" s="49" t="s">
        <v>10674</v>
      </c>
      <c r="E44" s="49">
        <v>6282183184641</v>
      </c>
      <c r="F44" s="96">
        <v>45832</v>
      </c>
      <c r="G44" s="49" t="s">
        <v>2718</v>
      </c>
      <c r="H44" s="49" t="s">
        <v>12676</v>
      </c>
      <c r="I44" s="95">
        <v>240</v>
      </c>
      <c r="J44" s="95">
        <v>253</v>
      </c>
      <c r="K44" s="95">
        <v>4</v>
      </c>
      <c r="L44" s="97">
        <v>14826.086956521738</v>
      </c>
      <c r="M44" s="102">
        <v>3751</v>
      </c>
      <c r="N44" s="95">
        <v>1</v>
      </c>
      <c r="O44" s="95">
        <v>52</v>
      </c>
      <c r="P44" s="95">
        <v>0</v>
      </c>
      <c r="Q44" s="49" t="s">
        <v>10675</v>
      </c>
    </row>
    <row r="45" spans="1:17">
      <c r="A45" s="95">
        <v>174904221976312</v>
      </c>
      <c r="B45" s="49" t="s">
        <v>10651</v>
      </c>
      <c r="C45" s="49" t="s">
        <v>10915</v>
      </c>
      <c r="D45" s="49" t="s">
        <v>10674</v>
      </c>
      <c r="E45" s="49">
        <v>6282183184641</v>
      </c>
      <c r="F45" s="96">
        <v>45832</v>
      </c>
      <c r="G45" s="49" t="s">
        <v>12696</v>
      </c>
      <c r="H45" s="49" t="s">
        <v>12676</v>
      </c>
      <c r="I45" s="95">
        <v>5</v>
      </c>
      <c r="J45" s="95">
        <v>5</v>
      </c>
      <c r="K45" s="95">
        <v>0</v>
      </c>
      <c r="L45" s="97">
        <v>21000</v>
      </c>
      <c r="M45" s="102">
        <v>105</v>
      </c>
      <c r="N45" s="95">
        <v>0</v>
      </c>
      <c r="O45" s="95">
        <v>1</v>
      </c>
      <c r="P45" s="95">
        <v>0</v>
      </c>
      <c r="Q45" s="49" t="s">
        <v>10675</v>
      </c>
    </row>
    <row r="46" spans="1:17">
      <c r="A46" s="95">
        <v>174904221976312</v>
      </c>
      <c r="B46" s="49" t="s">
        <v>10651</v>
      </c>
      <c r="C46" s="49" t="s">
        <v>10892</v>
      </c>
      <c r="D46" s="49" t="s">
        <v>10893</v>
      </c>
      <c r="E46" s="49">
        <v>6282399721881</v>
      </c>
      <c r="F46" s="96">
        <v>45832</v>
      </c>
      <c r="G46" s="49" t="s">
        <v>12692</v>
      </c>
      <c r="H46" s="49" t="s">
        <v>12676</v>
      </c>
      <c r="I46" s="95">
        <v>830</v>
      </c>
      <c r="J46" s="95">
        <v>1047</v>
      </c>
      <c r="K46" s="95">
        <v>15</v>
      </c>
      <c r="L46" s="97">
        <v>10707.736389684813</v>
      </c>
      <c r="M46" s="102">
        <v>11211</v>
      </c>
      <c r="N46" s="95">
        <v>0</v>
      </c>
      <c r="O46" s="95">
        <v>371</v>
      </c>
      <c r="P46" s="95">
        <v>0</v>
      </c>
      <c r="Q46" s="49" t="s">
        <v>10894</v>
      </c>
    </row>
    <row r="47" spans="1:17">
      <c r="A47" s="95">
        <v>174904221976312</v>
      </c>
      <c r="B47" s="49" t="s">
        <v>10651</v>
      </c>
      <c r="C47" s="49" t="s">
        <v>10895</v>
      </c>
      <c r="D47" s="49" t="s">
        <v>10896</v>
      </c>
      <c r="E47" s="49">
        <v>6281299907533</v>
      </c>
      <c r="F47" s="96">
        <v>45832</v>
      </c>
      <c r="G47" s="49" t="s">
        <v>12677</v>
      </c>
      <c r="H47" s="49" t="s">
        <v>12676</v>
      </c>
      <c r="I47" s="95">
        <v>395</v>
      </c>
      <c r="J47" s="95">
        <v>449</v>
      </c>
      <c r="K47" s="95">
        <v>18</v>
      </c>
      <c r="L47" s="97">
        <v>27133.630289532295</v>
      </c>
      <c r="M47" s="102">
        <v>12183</v>
      </c>
      <c r="N47" s="95">
        <v>1</v>
      </c>
      <c r="O47" s="95">
        <v>180</v>
      </c>
      <c r="P47" s="95">
        <v>0</v>
      </c>
      <c r="Q47" s="49" t="s">
        <v>10897</v>
      </c>
    </row>
    <row r="48" spans="1:17">
      <c r="A48" s="95">
        <v>174904221976312</v>
      </c>
      <c r="B48" s="49" t="s">
        <v>10651</v>
      </c>
      <c r="C48" s="49" t="s">
        <v>10866</v>
      </c>
      <c r="D48" s="49" t="s">
        <v>878</v>
      </c>
      <c r="E48" s="49">
        <v>6285733774700</v>
      </c>
      <c r="F48" s="96">
        <v>45832</v>
      </c>
      <c r="G48" s="49" t="s">
        <v>12684</v>
      </c>
      <c r="H48" s="49" t="s">
        <v>12676</v>
      </c>
      <c r="I48" s="95">
        <v>655</v>
      </c>
      <c r="J48" s="95">
        <v>761</v>
      </c>
      <c r="K48" s="95">
        <v>25</v>
      </c>
      <c r="L48" s="97">
        <v>17558.475689881736</v>
      </c>
      <c r="M48" s="102">
        <v>13362</v>
      </c>
      <c r="N48" s="95">
        <v>5</v>
      </c>
      <c r="O48" s="95">
        <v>171</v>
      </c>
      <c r="P48" s="95">
        <v>1</v>
      </c>
      <c r="Q48" s="49" t="s">
        <v>10867</v>
      </c>
    </row>
    <row r="49" spans="1:17">
      <c r="A49" s="95">
        <v>174904221976312</v>
      </c>
      <c r="B49" s="49" t="s">
        <v>10651</v>
      </c>
      <c r="C49" s="49" t="s">
        <v>10853</v>
      </c>
      <c r="D49" s="49" t="s">
        <v>10854</v>
      </c>
      <c r="E49" s="49">
        <v>6281393958199</v>
      </c>
      <c r="F49" s="96">
        <v>45832</v>
      </c>
      <c r="G49" s="49" t="s">
        <v>12678</v>
      </c>
      <c r="H49" s="49" t="s">
        <v>12676</v>
      </c>
      <c r="I49" s="95">
        <v>652</v>
      </c>
      <c r="J49" s="95">
        <v>753</v>
      </c>
      <c r="K49" s="95">
        <v>28</v>
      </c>
      <c r="L49" s="97">
        <v>16794.156706507307</v>
      </c>
      <c r="M49" s="102">
        <v>12646</v>
      </c>
      <c r="N49" s="95">
        <v>7</v>
      </c>
      <c r="O49" s="95">
        <v>213</v>
      </c>
      <c r="P49" s="95">
        <v>0</v>
      </c>
      <c r="Q49" s="49" t="s">
        <v>10855</v>
      </c>
    </row>
    <row r="50" spans="1:17">
      <c r="A50" s="95">
        <v>174904221976312</v>
      </c>
      <c r="B50" s="49" t="s">
        <v>10651</v>
      </c>
      <c r="C50" s="49" t="s">
        <v>10856</v>
      </c>
      <c r="D50" s="49" t="s">
        <v>829</v>
      </c>
      <c r="E50" s="49">
        <v>6285725492572</v>
      </c>
      <c r="F50" s="96">
        <v>45832</v>
      </c>
      <c r="G50" s="49" t="s">
        <v>12678</v>
      </c>
      <c r="H50" s="49" t="s">
        <v>12676</v>
      </c>
      <c r="I50" s="95">
        <v>435</v>
      </c>
      <c r="J50" s="95">
        <v>499</v>
      </c>
      <c r="K50" s="95">
        <v>19</v>
      </c>
      <c r="L50" s="97">
        <v>25589.178356713426</v>
      </c>
      <c r="M50" s="102">
        <v>12769</v>
      </c>
      <c r="N50" s="95">
        <v>3</v>
      </c>
      <c r="O50" s="95">
        <v>172</v>
      </c>
      <c r="P50" s="95">
        <v>2</v>
      </c>
      <c r="Q50" s="49" t="s">
        <v>10857</v>
      </c>
    </row>
    <row r="51" spans="1:17">
      <c r="A51" s="95">
        <v>174904221976312</v>
      </c>
      <c r="B51" s="49" t="s">
        <v>10651</v>
      </c>
      <c r="C51" s="49" t="s">
        <v>10856</v>
      </c>
      <c r="D51" s="49" t="s">
        <v>829</v>
      </c>
      <c r="E51" s="49">
        <v>6285725492572</v>
      </c>
      <c r="F51" s="96">
        <v>45832</v>
      </c>
      <c r="G51" s="49" t="s">
        <v>12684</v>
      </c>
      <c r="H51" s="49" t="s">
        <v>12676</v>
      </c>
      <c r="I51" s="95">
        <v>18</v>
      </c>
      <c r="J51" s="95">
        <v>20</v>
      </c>
      <c r="K51" s="95">
        <v>0</v>
      </c>
      <c r="L51" s="97">
        <v>14100</v>
      </c>
      <c r="M51" s="102">
        <v>282</v>
      </c>
      <c r="N51" s="95">
        <v>0</v>
      </c>
      <c r="O51" s="95">
        <v>6</v>
      </c>
      <c r="P51" s="95">
        <v>0</v>
      </c>
      <c r="Q51" s="49" t="s">
        <v>10857</v>
      </c>
    </row>
    <row r="52" spans="1:17">
      <c r="A52" s="95">
        <v>174904221976312</v>
      </c>
      <c r="B52" s="49" t="s">
        <v>10651</v>
      </c>
      <c r="C52" s="49" t="s">
        <v>10856</v>
      </c>
      <c r="D52" s="49" t="s">
        <v>829</v>
      </c>
      <c r="E52" s="49">
        <v>6285725492572</v>
      </c>
      <c r="F52" s="96">
        <v>45832</v>
      </c>
      <c r="G52" s="49" t="s">
        <v>12679</v>
      </c>
      <c r="H52" s="49" t="s">
        <v>12676</v>
      </c>
      <c r="I52" s="95">
        <v>28</v>
      </c>
      <c r="J52" s="95">
        <v>35</v>
      </c>
      <c r="K52" s="95">
        <v>4</v>
      </c>
      <c r="L52" s="97">
        <v>38771.428571428572</v>
      </c>
      <c r="M52" s="102">
        <v>1357</v>
      </c>
      <c r="N52" s="95">
        <v>1</v>
      </c>
      <c r="O52" s="95">
        <v>12</v>
      </c>
      <c r="P52" s="95">
        <v>0</v>
      </c>
      <c r="Q52" s="49" t="s">
        <v>10857</v>
      </c>
    </row>
    <row r="53" spans="1:17">
      <c r="A53" s="95">
        <v>174904221976312</v>
      </c>
      <c r="B53" s="49" t="s">
        <v>10651</v>
      </c>
      <c r="C53" s="49" t="s">
        <v>10858</v>
      </c>
      <c r="D53" s="49" t="s">
        <v>10859</v>
      </c>
      <c r="E53" s="49">
        <v>6285227384634</v>
      </c>
      <c r="F53" s="96">
        <v>45832</v>
      </c>
      <c r="G53" s="49" t="s">
        <v>12681</v>
      </c>
      <c r="H53" s="49" t="s">
        <v>12676</v>
      </c>
      <c r="I53" s="95">
        <v>10</v>
      </c>
      <c r="J53" s="95">
        <v>10</v>
      </c>
      <c r="K53" s="95">
        <v>0</v>
      </c>
      <c r="L53" s="97">
        <v>14100</v>
      </c>
      <c r="M53" s="102">
        <v>141</v>
      </c>
      <c r="N53" s="95">
        <v>0</v>
      </c>
      <c r="O53" s="95">
        <v>0</v>
      </c>
      <c r="P53" s="95">
        <v>0</v>
      </c>
      <c r="Q53" s="49" t="s">
        <v>10860</v>
      </c>
    </row>
    <row r="54" spans="1:17">
      <c r="A54" s="95">
        <v>174904221976312</v>
      </c>
      <c r="B54" s="49" t="s">
        <v>10651</v>
      </c>
      <c r="C54" s="49" t="s">
        <v>10858</v>
      </c>
      <c r="D54" s="49" t="s">
        <v>10859</v>
      </c>
      <c r="E54" s="49">
        <v>6285227384634</v>
      </c>
      <c r="F54" s="96">
        <v>45832</v>
      </c>
      <c r="G54" s="49" t="s">
        <v>46</v>
      </c>
      <c r="H54" s="49" t="s">
        <v>12676</v>
      </c>
      <c r="I54" s="95">
        <v>20</v>
      </c>
      <c r="J54" s="95">
        <v>23</v>
      </c>
      <c r="K54" s="95">
        <v>2</v>
      </c>
      <c r="L54" s="97">
        <v>28434.782608695652</v>
      </c>
      <c r="M54" s="102">
        <v>654</v>
      </c>
      <c r="N54" s="95">
        <v>1</v>
      </c>
      <c r="O54" s="95">
        <v>0</v>
      </c>
      <c r="P54" s="95">
        <v>0</v>
      </c>
      <c r="Q54" s="49" t="s">
        <v>10860</v>
      </c>
    </row>
    <row r="55" spans="1:17">
      <c r="A55" s="95">
        <v>174904221976312</v>
      </c>
      <c r="B55" s="49" t="s">
        <v>10651</v>
      </c>
      <c r="C55" s="49" t="s">
        <v>10858</v>
      </c>
      <c r="D55" s="49" t="s">
        <v>10859</v>
      </c>
      <c r="E55" s="49">
        <v>6285227384634</v>
      </c>
      <c r="F55" s="96">
        <v>45832</v>
      </c>
      <c r="G55" s="49" t="s">
        <v>12698</v>
      </c>
      <c r="H55" s="49" t="s">
        <v>12676</v>
      </c>
      <c r="I55" s="95">
        <v>2</v>
      </c>
      <c r="J55" s="95">
        <v>2</v>
      </c>
      <c r="K55" s="95">
        <v>0</v>
      </c>
      <c r="L55" s="97">
        <v>7500</v>
      </c>
      <c r="M55" s="102">
        <v>15</v>
      </c>
      <c r="N55" s="95">
        <v>0</v>
      </c>
      <c r="O55" s="95">
        <v>0</v>
      </c>
      <c r="P55" s="95">
        <v>0</v>
      </c>
      <c r="Q55" s="49" t="s">
        <v>10860</v>
      </c>
    </row>
    <row r="56" spans="1:17">
      <c r="A56" s="95">
        <v>174904221976312</v>
      </c>
      <c r="B56" s="49" t="s">
        <v>10651</v>
      </c>
      <c r="C56" s="49" t="s">
        <v>10858</v>
      </c>
      <c r="D56" s="49" t="s">
        <v>10859</v>
      </c>
      <c r="E56" s="49">
        <v>6285227384634</v>
      </c>
      <c r="F56" s="96">
        <v>45832</v>
      </c>
      <c r="G56" s="49" t="s">
        <v>7917</v>
      </c>
      <c r="H56" s="49" t="s">
        <v>12676</v>
      </c>
      <c r="I56" s="95">
        <v>4</v>
      </c>
      <c r="J56" s="95">
        <v>5</v>
      </c>
      <c r="K56" s="95">
        <v>0</v>
      </c>
      <c r="L56" s="97">
        <v>24200</v>
      </c>
      <c r="M56" s="102">
        <v>121</v>
      </c>
      <c r="N56" s="95">
        <v>0</v>
      </c>
      <c r="O56" s="95">
        <v>0</v>
      </c>
      <c r="P56" s="95">
        <v>0</v>
      </c>
      <c r="Q56" s="49" t="s">
        <v>10860</v>
      </c>
    </row>
    <row r="57" spans="1:17">
      <c r="A57" s="95">
        <v>174904221976312</v>
      </c>
      <c r="B57" s="49" t="s">
        <v>10651</v>
      </c>
      <c r="C57" s="49" t="s">
        <v>10858</v>
      </c>
      <c r="D57" s="49" t="s">
        <v>10859</v>
      </c>
      <c r="E57" s="49">
        <v>6285227384634</v>
      </c>
      <c r="F57" s="96">
        <v>45832</v>
      </c>
      <c r="G57" s="49" t="s">
        <v>1210</v>
      </c>
      <c r="H57" s="49" t="s">
        <v>12676</v>
      </c>
      <c r="I57" s="95">
        <v>3</v>
      </c>
      <c r="J57" s="95">
        <v>3</v>
      </c>
      <c r="K57" s="95">
        <v>0</v>
      </c>
      <c r="L57" s="97">
        <v>30666.666666666668</v>
      </c>
      <c r="M57" s="102">
        <v>92</v>
      </c>
      <c r="N57" s="95">
        <v>0</v>
      </c>
      <c r="O57" s="95">
        <v>0</v>
      </c>
      <c r="P57" s="95">
        <v>0</v>
      </c>
      <c r="Q57" s="49" t="s">
        <v>10860</v>
      </c>
    </row>
    <row r="58" spans="1:17">
      <c r="A58" s="95">
        <v>174904221976312</v>
      </c>
      <c r="B58" s="49" t="s">
        <v>10651</v>
      </c>
      <c r="C58" s="49" t="s">
        <v>10858</v>
      </c>
      <c r="D58" s="49" t="s">
        <v>10859</v>
      </c>
      <c r="E58" s="49">
        <v>6285227384634</v>
      </c>
      <c r="F58" s="96">
        <v>45832</v>
      </c>
      <c r="G58" s="49" t="s">
        <v>12678</v>
      </c>
      <c r="H58" s="49" t="s">
        <v>12676</v>
      </c>
      <c r="I58" s="95">
        <v>62</v>
      </c>
      <c r="J58" s="95">
        <v>75</v>
      </c>
      <c r="K58" s="95">
        <v>2</v>
      </c>
      <c r="L58" s="97">
        <v>13306.666666666666</v>
      </c>
      <c r="M58" s="102">
        <v>998</v>
      </c>
      <c r="N58" s="95">
        <v>0</v>
      </c>
      <c r="O58" s="95">
        <v>0</v>
      </c>
      <c r="P58" s="95">
        <v>0</v>
      </c>
      <c r="Q58" s="49" t="s">
        <v>10860</v>
      </c>
    </row>
    <row r="59" spans="1:17">
      <c r="A59" s="95">
        <v>174904221976312</v>
      </c>
      <c r="B59" s="49" t="s">
        <v>10651</v>
      </c>
      <c r="C59" s="49" t="s">
        <v>10858</v>
      </c>
      <c r="D59" s="49" t="s">
        <v>10859</v>
      </c>
      <c r="E59" s="49">
        <v>6285227384634</v>
      </c>
      <c r="F59" s="96">
        <v>45832</v>
      </c>
      <c r="G59" s="49" t="s">
        <v>12682</v>
      </c>
      <c r="H59" s="49" t="s">
        <v>12676</v>
      </c>
      <c r="I59" s="95">
        <v>6</v>
      </c>
      <c r="J59" s="95">
        <v>6</v>
      </c>
      <c r="K59" s="95">
        <v>0</v>
      </c>
      <c r="L59" s="97">
        <v>18166.666666666668</v>
      </c>
      <c r="M59" s="102">
        <v>109</v>
      </c>
      <c r="N59" s="95">
        <v>0</v>
      </c>
      <c r="O59" s="95">
        <v>0</v>
      </c>
      <c r="P59" s="95">
        <v>0</v>
      </c>
      <c r="Q59" s="49" t="s">
        <v>10860</v>
      </c>
    </row>
    <row r="60" spans="1:17">
      <c r="A60" s="95">
        <v>174904221976312</v>
      </c>
      <c r="B60" s="49" t="s">
        <v>10651</v>
      </c>
      <c r="C60" s="49" t="s">
        <v>10858</v>
      </c>
      <c r="D60" s="49" t="s">
        <v>10859</v>
      </c>
      <c r="E60" s="49">
        <v>6285227384634</v>
      </c>
      <c r="F60" s="96">
        <v>45832</v>
      </c>
      <c r="G60" s="49" t="s">
        <v>12683</v>
      </c>
      <c r="H60" s="49" t="s">
        <v>12676</v>
      </c>
      <c r="I60" s="95">
        <v>5</v>
      </c>
      <c r="J60" s="95">
        <v>6</v>
      </c>
      <c r="K60" s="95">
        <v>0</v>
      </c>
      <c r="L60" s="97">
        <v>3666.6666666666665</v>
      </c>
      <c r="M60" s="102">
        <v>22</v>
      </c>
      <c r="N60" s="95">
        <v>0</v>
      </c>
      <c r="O60" s="95">
        <v>0</v>
      </c>
      <c r="P60" s="95">
        <v>0</v>
      </c>
      <c r="Q60" s="49" t="s">
        <v>10860</v>
      </c>
    </row>
    <row r="61" spans="1:17">
      <c r="A61" s="95">
        <v>174904221976312</v>
      </c>
      <c r="B61" s="49" t="s">
        <v>10651</v>
      </c>
      <c r="C61" s="49" t="s">
        <v>10858</v>
      </c>
      <c r="D61" s="49" t="s">
        <v>10859</v>
      </c>
      <c r="E61" s="49">
        <v>6285227384634</v>
      </c>
      <c r="F61" s="96">
        <v>45832</v>
      </c>
      <c r="G61" s="49" t="s">
        <v>12684</v>
      </c>
      <c r="H61" s="49" t="s">
        <v>12676</v>
      </c>
      <c r="I61" s="95">
        <v>46</v>
      </c>
      <c r="J61" s="95">
        <v>57</v>
      </c>
      <c r="K61" s="95">
        <v>5</v>
      </c>
      <c r="L61" s="97">
        <v>28561.403508771931</v>
      </c>
      <c r="M61" s="102">
        <v>1628</v>
      </c>
      <c r="N61" s="95">
        <v>0</v>
      </c>
      <c r="O61" s="95">
        <v>0</v>
      </c>
      <c r="P61" s="95">
        <v>0</v>
      </c>
      <c r="Q61" s="49" t="s">
        <v>10860</v>
      </c>
    </row>
    <row r="62" spans="1:17">
      <c r="A62" s="95">
        <v>174904221976312</v>
      </c>
      <c r="B62" s="49" t="s">
        <v>10651</v>
      </c>
      <c r="C62" s="49" t="s">
        <v>10858</v>
      </c>
      <c r="D62" s="49" t="s">
        <v>10859</v>
      </c>
      <c r="E62" s="49">
        <v>6285227384634</v>
      </c>
      <c r="F62" s="96">
        <v>45832</v>
      </c>
      <c r="G62" s="49" t="s">
        <v>12680</v>
      </c>
      <c r="H62" s="49" t="s">
        <v>12676</v>
      </c>
      <c r="I62" s="95">
        <v>11</v>
      </c>
      <c r="J62" s="95">
        <v>14</v>
      </c>
      <c r="K62" s="95">
        <v>0</v>
      </c>
      <c r="L62" s="97">
        <v>17214.285714285714</v>
      </c>
      <c r="M62" s="102">
        <v>241</v>
      </c>
      <c r="N62" s="95">
        <v>0</v>
      </c>
      <c r="O62" s="95">
        <v>0</v>
      </c>
      <c r="P62" s="95">
        <v>0</v>
      </c>
      <c r="Q62" s="49" t="s">
        <v>10860</v>
      </c>
    </row>
    <row r="63" spans="1:17">
      <c r="A63" s="95">
        <v>174904221976312</v>
      </c>
      <c r="B63" s="49" t="s">
        <v>10651</v>
      </c>
      <c r="C63" s="49" t="s">
        <v>10858</v>
      </c>
      <c r="D63" s="49" t="s">
        <v>10859</v>
      </c>
      <c r="E63" s="49">
        <v>6285227384634</v>
      </c>
      <c r="F63" s="96">
        <v>45832</v>
      </c>
      <c r="G63" s="49" t="s">
        <v>12685</v>
      </c>
      <c r="H63" s="49" t="s">
        <v>12676</v>
      </c>
      <c r="I63" s="95">
        <v>21</v>
      </c>
      <c r="J63" s="95">
        <v>24</v>
      </c>
      <c r="K63" s="95">
        <v>0</v>
      </c>
      <c r="L63" s="97">
        <v>21583.333333333332</v>
      </c>
      <c r="M63" s="102">
        <v>518</v>
      </c>
      <c r="N63" s="95">
        <v>0</v>
      </c>
      <c r="O63" s="95">
        <v>0</v>
      </c>
      <c r="P63" s="95">
        <v>0</v>
      </c>
      <c r="Q63" s="49" t="s">
        <v>10860</v>
      </c>
    </row>
    <row r="64" spans="1:17">
      <c r="A64" s="95">
        <v>174904221976312</v>
      </c>
      <c r="B64" s="49" t="s">
        <v>10651</v>
      </c>
      <c r="C64" s="49" t="s">
        <v>10858</v>
      </c>
      <c r="D64" s="49" t="s">
        <v>10859</v>
      </c>
      <c r="E64" s="49">
        <v>6285227384634</v>
      </c>
      <c r="F64" s="96">
        <v>45832</v>
      </c>
      <c r="G64" s="49" t="s">
        <v>12686</v>
      </c>
      <c r="H64" s="49" t="s">
        <v>12676</v>
      </c>
      <c r="I64" s="95">
        <v>4</v>
      </c>
      <c r="J64" s="95">
        <v>5</v>
      </c>
      <c r="K64" s="95">
        <v>0</v>
      </c>
      <c r="L64" s="97">
        <v>20600</v>
      </c>
      <c r="M64" s="102">
        <v>103</v>
      </c>
      <c r="N64" s="95">
        <v>0</v>
      </c>
      <c r="O64" s="95">
        <v>0</v>
      </c>
      <c r="P64" s="95">
        <v>0</v>
      </c>
      <c r="Q64" s="49" t="s">
        <v>10860</v>
      </c>
    </row>
    <row r="65" spans="1:17">
      <c r="A65" s="95">
        <v>174904221976312</v>
      </c>
      <c r="B65" s="49" t="s">
        <v>10651</v>
      </c>
      <c r="C65" s="49" t="s">
        <v>10858</v>
      </c>
      <c r="D65" s="49" t="s">
        <v>10859</v>
      </c>
      <c r="E65" s="49">
        <v>6285227384634</v>
      </c>
      <c r="F65" s="96">
        <v>45832</v>
      </c>
      <c r="G65" s="49" t="s">
        <v>2132</v>
      </c>
      <c r="H65" s="49" t="s">
        <v>12676</v>
      </c>
      <c r="I65" s="95">
        <v>20</v>
      </c>
      <c r="J65" s="95">
        <v>26</v>
      </c>
      <c r="K65" s="95">
        <v>1</v>
      </c>
      <c r="L65" s="97">
        <v>48000</v>
      </c>
      <c r="M65" s="102">
        <v>1248</v>
      </c>
      <c r="N65" s="95">
        <v>0</v>
      </c>
      <c r="O65" s="95">
        <v>0</v>
      </c>
      <c r="P65" s="95">
        <v>0</v>
      </c>
      <c r="Q65" s="49" t="s">
        <v>10860</v>
      </c>
    </row>
    <row r="66" spans="1:17">
      <c r="A66" s="95">
        <v>174904221976312</v>
      </c>
      <c r="B66" s="49" t="s">
        <v>10651</v>
      </c>
      <c r="C66" s="49" t="s">
        <v>10858</v>
      </c>
      <c r="D66" s="49" t="s">
        <v>10859</v>
      </c>
      <c r="E66" s="49">
        <v>6285227384634</v>
      </c>
      <c r="F66" s="96">
        <v>45832</v>
      </c>
      <c r="G66" s="49" t="s">
        <v>2718</v>
      </c>
      <c r="H66" s="49" t="s">
        <v>12676</v>
      </c>
      <c r="I66" s="95">
        <v>4</v>
      </c>
      <c r="J66" s="95">
        <v>5</v>
      </c>
      <c r="K66" s="95">
        <v>0</v>
      </c>
      <c r="L66" s="97">
        <v>13600</v>
      </c>
      <c r="M66" s="102">
        <v>68</v>
      </c>
      <c r="N66" s="95">
        <v>0</v>
      </c>
      <c r="O66" s="95">
        <v>0</v>
      </c>
      <c r="P66" s="95">
        <v>0</v>
      </c>
      <c r="Q66" s="49" t="s">
        <v>10860</v>
      </c>
    </row>
    <row r="67" spans="1:17">
      <c r="A67" s="95">
        <v>174904221976312</v>
      </c>
      <c r="B67" s="49" t="s">
        <v>10651</v>
      </c>
      <c r="C67" s="49" t="s">
        <v>10858</v>
      </c>
      <c r="D67" s="49" t="s">
        <v>10859</v>
      </c>
      <c r="E67" s="49">
        <v>6285227384634</v>
      </c>
      <c r="F67" s="96">
        <v>45832</v>
      </c>
      <c r="G67" s="49" t="s">
        <v>2981</v>
      </c>
      <c r="H67" s="49" t="s">
        <v>12676</v>
      </c>
      <c r="I67" s="95">
        <v>12</v>
      </c>
      <c r="J67" s="95">
        <v>14</v>
      </c>
      <c r="K67" s="95">
        <v>0</v>
      </c>
      <c r="L67" s="97">
        <v>11500</v>
      </c>
      <c r="M67" s="102">
        <v>161</v>
      </c>
      <c r="N67" s="95">
        <v>0</v>
      </c>
      <c r="O67" s="95">
        <v>0</v>
      </c>
      <c r="P67" s="95">
        <v>0</v>
      </c>
      <c r="Q67" s="49" t="s">
        <v>10860</v>
      </c>
    </row>
    <row r="68" spans="1:17">
      <c r="A68" s="95">
        <v>174904221976312</v>
      </c>
      <c r="B68" s="49" t="s">
        <v>10651</v>
      </c>
      <c r="C68" s="49" t="s">
        <v>10858</v>
      </c>
      <c r="D68" s="49" t="s">
        <v>10859</v>
      </c>
      <c r="E68" s="49">
        <v>6285227384634</v>
      </c>
      <c r="F68" s="96">
        <v>45832</v>
      </c>
      <c r="G68" s="49" t="s">
        <v>12687</v>
      </c>
      <c r="H68" s="49" t="s">
        <v>12676</v>
      </c>
      <c r="I68" s="95">
        <v>16</v>
      </c>
      <c r="J68" s="95">
        <v>21</v>
      </c>
      <c r="K68" s="95">
        <v>0</v>
      </c>
      <c r="L68" s="97">
        <v>18523.809523809527</v>
      </c>
      <c r="M68" s="102">
        <v>389</v>
      </c>
      <c r="N68" s="95">
        <v>0</v>
      </c>
      <c r="O68" s="95">
        <v>0</v>
      </c>
      <c r="P68" s="95">
        <v>0</v>
      </c>
      <c r="Q68" s="49" t="s">
        <v>10860</v>
      </c>
    </row>
    <row r="69" spans="1:17">
      <c r="A69" s="95">
        <v>174904221976312</v>
      </c>
      <c r="B69" s="49" t="s">
        <v>10651</v>
      </c>
      <c r="C69" s="49" t="s">
        <v>10858</v>
      </c>
      <c r="D69" s="49" t="s">
        <v>10859</v>
      </c>
      <c r="E69" s="49">
        <v>6285227384634</v>
      </c>
      <c r="F69" s="96">
        <v>45832</v>
      </c>
      <c r="G69" s="49" t="s">
        <v>12688</v>
      </c>
      <c r="H69" s="49" t="s">
        <v>12676</v>
      </c>
      <c r="I69" s="95">
        <v>2</v>
      </c>
      <c r="J69" s="95">
        <v>2</v>
      </c>
      <c r="K69" s="95">
        <v>0</v>
      </c>
      <c r="L69" s="97">
        <v>5000</v>
      </c>
      <c r="M69" s="102">
        <v>10</v>
      </c>
      <c r="N69" s="95">
        <v>0</v>
      </c>
      <c r="O69" s="95">
        <v>0</v>
      </c>
      <c r="P69" s="95">
        <v>0</v>
      </c>
      <c r="Q69" s="49" t="s">
        <v>10860</v>
      </c>
    </row>
    <row r="70" spans="1:17">
      <c r="A70" s="95">
        <v>174904221976312</v>
      </c>
      <c r="B70" s="49" t="s">
        <v>10651</v>
      </c>
      <c r="C70" s="49" t="s">
        <v>10858</v>
      </c>
      <c r="D70" s="49" t="s">
        <v>10859</v>
      </c>
      <c r="E70" s="49">
        <v>6285227384634</v>
      </c>
      <c r="F70" s="96">
        <v>45832</v>
      </c>
      <c r="G70" s="49" t="s">
        <v>12689</v>
      </c>
      <c r="H70" s="49" t="s">
        <v>12676</v>
      </c>
      <c r="I70" s="95">
        <v>5</v>
      </c>
      <c r="J70" s="95">
        <v>5</v>
      </c>
      <c r="K70" s="95">
        <v>0</v>
      </c>
      <c r="L70" s="97">
        <v>8000</v>
      </c>
      <c r="M70" s="102">
        <v>40</v>
      </c>
      <c r="N70" s="95">
        <v>0</v>
      </c>
      <c r="O70" s="95">
        <v>0</v>
      </c>
      <c r="P70" s="95">
        <v>0</v>
      </c>
      <c r="Q70" s="49" t="s">
        <v>10860</v>
      </c>
    </row>
    <row r="71" spans="1:17">
      <c r="A71" s="95">
        <v>174904221976312</v>
      </c>
      <c r="B71" s="49" t="s">
        <v>10651</v>
      </c>
      <c r="C71" s="49" t="s">
        <v>10858</v>
      </c>
      <c r="D71" s="49" t="s">
        <v>10859</v>
      </c>
      <c r="E71" s="49">
        <v>6285227384634</v>
      </c>
      <c r="F71" s="96">
        <v>45832</v>
      </c>
      <c r="G71" s="49" t="s">
        <v>12690</v>
      </c>
      <c r="H71" s="49" t="s">
        <v>12676</v>
      </c>
      <c r="I71" s="95">
        <v>9</v>
      </c>
      <c r="J71" s="95">
        <v>13</v>
      </c>
      <c r="K71" s="95">
        <v>2</v>
      </c>
      <c r="L71" s="97">
        <v>25230.76923076923</v>
      </c>
      <c r="M71" s="102">
        <v>328</v>
      </c>
      <c r="N71" s="95">
        <v>1</v>
      </c>
      <c r="O71" s="95">
        <v>0</v>
      </c>
      <c r="P71" s="95">
        <v>0</v>
      </c>
      <c r="Q71" s="49" t="s">
        <v>10860</v>
      </c>
    </row>
    <row r="72" spans="1:17">
      <c r="A72" s="95">
        <v>174904221976312</v>
      </c>
      <c r="B72" s="49" t="s">
        <v>10651</v>
      </c>
      <c r="C72" s="49" t="s">
        <v>10858</v>
      </c>
      <c r="D72" s="49" t="s">
        <v>10859</v>
      </c>
      <c r="E72" s="49">
        <v>6285227384634</v>
      </c>
      <c r="F72" s="96">
        <v>45832</v>
      </c>
      <c r="G72" s="49" t="s">
        <v>12691</v>
      </c>
      <c r="H72" s="49" t="s">
        <v>12676</v>
      </c>
      <c r="I72" s="95">
        <v>28</v>
      </c>
      <c r="J72" s="95">
        <v>40</v>
      </c>
      <c r="K72" s="95">
        <v>0</v>
      </c>
      <c r="L72" s="97">
        <v>16600</v>
      </c>
      <c r="M72" s="102">
        <v>664</v>
      </c>
      <c r="N72" s="95">
        <v>0</v>
      </c>
      <c r="O72" s="95">
        <v>0</v>
      </c>
      <c r="P72" s="95">
        <v>0</v>
      </c>
      <c r="Q72" s="49" t="s">
        <v>10860</v>
      </c>
    </row>
    <row r="73" spans="1:17">
      <c r="A73" s="95">
        <v>174904221976312</v>
      </c>
      <c r="B73" s="49" t="s">
        <v>10651</v>
      </c>
      <c r="C73" s="49" t="s">
        <v>10858</v>
      </c>
      <c r="D73" s="49" t="s">
        <v>10859</v>
      </c>
      <c r="E73" s="49">
        <v>6285227384634</v>
      </c>
      <c r="F73" s="96">
        <v>45832</v>
      </c>
      <c r="G73" s="49" t="s">
        <v>12692</v>
      </c>
      <c r="H73" s="49" t="s">
        <v>12676</v>
      </c>
      <c r="I73" s="95">
        <v>4</v>
      </c>
      <c r="J73" s="95">
        <v>6</v>
      </c>
      <c r="K73" s="95">
        <v>0</v>
      </c>
      <c r="L73" s="97">
        <v>7833.333333333333</v>
      </c>
      <c r="M73" s="102">
        <v>47</v>
      </c>
      <c r="N73" s="95">
        <v>0</v>
      </c>
      <c r="O73" s="95">
        <v>0</v>
      </c>
      <c r="P73" s="95">
        <v>0</v>
      </c>
      <c r="Q73" s="49" t="s">
        <v>10860</v>
      </c>
    </row>
    <row r="74" spans="1:17">
      <c r="A74" s="95">
        <v>174904221976312</v>
      </c>
      <c r="B74" s="49" t="s">
        <v>10651</v>
      </c>
      <c r="C74" s="49" t="s">
        <v>10858</v>
      </c>
      <c r="D74" s="49" t="s">
        <v>10859</v>
      </c>
      <c r="E74" s="49">
        <v>6285227384634</v>
      </c>
      <c r="F74" s="96">
        <v>45832</v>
      </c>
      <c r="G74" s="49" t="s">
        <v>1473</v>
      </c>
      <c r="H74" s="49" t="s">
        <v>12676</v>
      </c>
      <c r="I74" s="95">
        <v>13</v>
      </c>
      <c r="J74" s="95">
        <v>16</v>
      </c>
      <c r="K74" s="95">
        <v>0</v>
      </c>
      <c r="L74" s="97">
        <v>11312.5</v>
      </c>
      <c r="M74" s="102">
        <v>181</v>
      </c>
      <c r="N74" s="95">
        <v>0</v>
      </c>
      <c r="O74" s="95">
        <v>0</v>
      </c>
      <c r="P74" s="95">
        <v>0</v>
      </c>
      <c r="Q74" s="49" t="s">
        <v>10860</v>
      </c>
    </row>
    <row r="75" spans="1:17">
      <c r="A75" s="95">
        <v>174904221976312</v>
      </c>
      <c r="B75" s="49" t="s">
        <v>10651</v>
      </c>
      <c r="C75" s="49" t="s">
        <v>10858</v>
      </c>
      <c r="D75" s="49" t="s">
        <v>10859</v>
      </c>
      <c r="E75" s="49">
        <v>6285227384634</v>
      </c>
      <c r="F75" s="96">
        <v>45832</v>
      </c>
      <c r="G75" s="49" t="s">
        <v>12693</v>
      </c>
      <c r="H75" s="49" t="s">
        <v>12676</v>
      </c>
      <c r="I75" s="95">
        <v>14</v>
      </c>
      <c r="J75" s="95">
        <v>18</v>
      </c>
      <c r="K75" s="95">
        <v>0</v>
      </c>
      <c r="L75" s="97">
        <v>15555.555555555555</v>
      </c>
      <c r="M75" s="102">
        <v>280</v>
      </c>
      <c r="N75" s="95">
        <v>0</v>
      </c>
      <c r="O75" s="95">
        <v>0</v>
      </c>
      <c r="P75" s="95">
        <v>0</v>
      </c>
      <c r="Q75" s="49" t="s">
        <v>10860</v>
      </c>
    </row>
    <row r="76" spans="1:17">
      <c r="A76" s="95">
        <v>174904221976312</v>
      </c>
      <c r="B76" s="49" t="s">
        <v>10651</v>
      </c>
      <c r="C76" s="49" t="s">
        <v>10858</v>
      </c>
      <c r="D76" s="49" t="s">
        <v>10859</v>
      </c>
      <c r="E76" s="49">
        <v>6285227384634</v>
      </c>
      <c r="F76" s="96">
        <v>45832</v>
      </c>
      <c r="G76" s="49" t="s">
        <v>12694</v>
      </c>
      <c r="H76" s="49" t="s">
        <v>12676</v>
      </c>
      <c r="I76" s="95">
        <v>3</v>
      </c>
      <c r="J76" s="95">
        <v>3</v>
      </c>
      <c r="K76" s="95">
        <v>0</v>
      </c>
      <c r="L76" s="97">
        <v>26666.666666666668</v>
      </c>
      <c r="M76" s="102">
        <v>80</v>
      </c>
      <c r="N76" s="95">
        <v>0</v>
      </c>
      <c r="O76" s="95">
        <v>0</v>
      </c>
      <c r="P76" s="95">
        <v>0</v>
      </c>
      <c r="Q76" s="49" t="s">
        <v>10860</v>
      </c>
    </row>
    <row r="77" spans="1:17">
      <c r="A77" s="95">
        <v>174904221976312</v>
      </c>
      <c r="B77" s="49" t="s">
        <v>10651</v>
      </c>
      <c r="C77" s="49" t="s">
        <v>10858</v>
      </c>
      <c r="D77" s="49" t="s">
        <v>10859</v>
      </c>
      <c r="E77" s="49">
        <v>6285227384634</v>
      </c>
      <c r="F77" s="96">
        <v>45832</v>
      </c>
      <c r="G77" s="49" t="s">
        <v>12695</v>
      </c>
      <c r="H77" s="49" t="s">
        <v>12676</v>
      </c>
      <c r="I77" s="95">
        <v>24</v>
      </c>
      <c r="J77" s="95">
        <v>33</v>
      </c>
      <c r="K77" s="95">
        <v>2</v>
      </c>
      <c r="L77" s="97">
        <v>30151.515151515152</v>
      </c>
      <c r="M77" s="102">
        <v>995</v>
      </c>
      <c r="N77" s="95">
        <v>1</v>
      </c>
      <c r="O77" s="95">
        <v>0</v>
      </c>
      <c r="P77" s="95">
        <v>0</v>
      </c>
      <c r="Q77" s="49" t="s">
        <v>10860</v>
      </c>
    </row>
    <row r="78" spans="1:17">
      <c r="A78" s="95">
        <v>174904221976312</v>
      </c>
      <c r="B78" s="49" t="s">
        <v>10651</v>
      </c>
      <c r="C78" s="49" t="s">
        <v>818</v>
      </c>
      <c r="D78" s="49" t="s">
        <v>812</v>
      </c>
      <c r="E78" s="49">
        <v>6287858585808</v>
      </c>
      <c r="F78" s="96">
        <v>45832</v>
      </c>
      <c r="G78" s="49" t="s">
        <v>12691</v>
      </c>
      <c r="H78" s="49" t="s">
        <v>12676</v>
      </c>
      <c r="I78" s="95">
        <v>853</v>
      </c>
      <c r="J78" s="95">
        <v>1017</v>
      </c>
      <c r="K78" s="95">
        <v>32</v>
      </c>
      <c r="L78" s="97">
        <v>11365.781710914454</v>
      </c>
      <c r="M78" s="102">
        <v>11559</v>
      </c>
      <c r="N78" s="95">
        <v>2</v>
      </c>
      <c r="O78" s="95">
        <v>291</v>
      </c>
      <c r="P78" s="95">
        <v>2</v>
      </c>
      <c r="Q78" s="49" t="s">
        <v>10831</v>
      </c>
    </row>
    <row r="79" spans="1:17">
      <c r="A79" s="95">
        <v>174904221976312</v>
      </c>
      <c r="B79" s="49" t="s">
        <v>10651</v>
      </c>
      <c r="C79" s="49" t="s">
        <v>10806</v>
      </c>
      <c r="D79" s="49" t="s">
        <v>10807</v>
      </c>
      <c r="E79" s="49">
        <v>628127962347</v>
      </c>
      <c r="F79" s="96">
        <v>45832</v>
      </c>
      <c r="G79" s="49" t="s">
        <v>12681</v>
      </c>
      <c r="H79" s="49" t="s">
        <v>12676</v>
      </c>
      <c r="I79" s="95">
        <v>3</v>
      </c>
      <c r="J79" s="95">
        <v>3</v>
      </c>
      <c r="K79" s="95">
        <v>2</v>
      </c>
      <c r="L79" s="97">
        <v>94333.333333333328</v>
      </c>
      <c r="M79" s="102">
        <v>283</v>
      </c>
      <c r="N79" s="95">
        <v>1</v>
      </c>
      <c r="O79" s="95">
        <v>1</v>
      </c>
      <c r="P79" s="95">
        <v>0</v>
      </c>
      <c r="Q79" s="49" t="s">
        <v>10808</v>
      </c>
    </row>
    <row r="80" spans="1:17">
      <c r="A80" s="95">
        <v>174904221976312</v>
      </c>
      <c r="B80" s="49" t="s">
        <v>10651</v>
      </c>
      <c r="C80" s="49" t="s">
        <v>10806</v>
      </c>
      <c r="D80" s="49" t="s">
        <v>10807</v>
      </c>
      <c r="E80" s="49">
        <v>628127962347</v>
      </c>
      <c r="F80" s="96">
        <v>45832</v>
      </c>
      <c r="G80" s="49" t="s">
        <v>46</v>
      </c>
      <c r="H80" s="49" t="s">
        <v>12676</v>
      </c>
      <c r="I80" s="95">
        <v>5</v>
      </c>
      <c r="J80" s="95">
        <v>5</v>
      </c>
      <c r="K80" s="95">
        <v>0</v>
      </c>
      <c r="L80" s="97">
        <v>42800</v>
      </c>
      <c r="M80" s="102">
        <v>214</v>
      </c>
      <c r="N80" s="95">
        <v>0</v>
      </c>
      <c r="O80" s="95">
        <v>0</v>
      </c>
      <c r="P80" s="95">
        <v>0</v>
      </c>
      <c r="Q80" s="49" t="s">
        <v>10808</v>
      </c>
    </row>
    <row r="81" spans="1:17">
      <c r="A81" s="95">
        <v>174904221976312</v>
      </c>
      <c r="B81" s="49" t="s">
        <v>10651</v>
      </c>
      <c r="C81" s="49" t="s">
        <v>10806</v>
      </c>
      <c r="D81" s="49" t="s">
        <v>10807</v>
      </c>
      <c r="E81" s="49">
        <v>628127962347</v>
      </c>
      <c r="F81" s="96">
        <v>45832</v>
      </c>
      <c r="G81" s="49" t="s">
        <v>7917</v>
      </c>
      <c r="H81" s="49" t="s">
        <v>12676</v>
      </c>
      <c r="I81" s="95">
        <v>6</v>
      </c>
      <c r="J81" s="95">
        <v>7</v>
      </c>
      <c r="K81" s="95">
        <v>1</v>
      </c>
      <c r="L81" s="97">
        <v>136428.57142857142</v>
      </c>
      <c r="M81" s="102">
        <v>955</v>
      </c>
      <c r="N81" s="95">
        <v>1</v>
      </c>
      <c r="O81" s="95">
        <v>2</v>
      </c>
      <c r="P81" s="95">
        <v>0</v>
      </c>
      <c r="Q81" s="49" t="s">
        <v>10808</v>
      </c>
    </row>
    <row r="82" spans="1:17">
      <c r="A82" s="95">
        <v>174904221976312</v>
      </c>
      <c r="B82" s="49" t="s">
        <v>10651</v>
      </c>
      <c r="C82" s="49" t="s">
        <v>10806</v>
      </c>
      <c r="D82" s="49" t="s">
        <v>10807</v>
      </c>
      <c r="E82" s="49">
        <v>628127962347</v>
      </c>
      <c r="F82" s="96">
        <v>45832</v>
      </c>
      <c r="G82" s="49" t="s">
        <v>1210</v>
      </c>
      <c r="H82" s="49" t="s">
        <v>12676</v>
      </c>
      <c r="I82" s="95">
        <v>1</v>
      </c>
      <c r="J82" s="95">
        <v>1</v>
      </c>
      <c r="K82" s="95">
        <v>0</v>
      </c>
      <c r="L82" s="97">
        <v>6000</v>
      </c>
      <c r="M82" s="102">
        <v>6</v>
      </c>
      <c r="N82" s="95">
        <v>0</v>
      </c>
      <c r="O82" s="95">
        <v>0</v>
      </c>
      <c r="P82" s="95">
        <v>0</v>
      </c>
      <c r="Q82" s="49" t="s">
        <v>10808</v>
      </c>
    </row>
    <row r="83" spans="1:17">
      <c r="A83" s="95">
        <v>174904221976312</v>
      </c>
      <c r="B83" s="49" t="s">
        <v>10651</v>
      </c>
      <c r="C83" s="49" t="s">
        <v>10806</v>
      </c>
      <c r="D83" s="49" t="s">
        <v>10807</v>
      </c>
      <c r="E83" s="49">
        <v>628127962347</v>
      </c>
      <c r="F83" s="96">
        <v>45832</v>
      </c>
      <c r="G83" s="49" t="s">
        <v>12678</v>
      </c>
      <c r="H83" s="49" t="s">
        <v>12676</v>
      </c>
      <c r="I83" s="95">
        <v>18</v>
      </c>
      <c r="J83" s="95">
        <v>18</v>
      </c>
      <c r="K83" s="95">
        <v>0</v>
      </c>
      <c r="L83" s="97">
        <v>46388.888888888883</v>
      </c>
      <c r="M83" s="102">
        <v>835</v>
      </c>
      <c r="N83" s="95">
        <v>0</v>
      </c>
      <c r="O83" s="95">
        <v>2</v>
      </c>
      <c r="P83" s="95">
        <v>0</v>
      </c>
      <c r="Q83" s="49" t="s">
        <v>10808</v>
      </c>
    </row>
    <row r="84" spans="1:17">
      <c r="A84" s="95">
        <v>174904221976312</v>
      </c>
      <c r="B84" s="49" t="s">
        <v>10651</v>
      </c>
      <c r="C84" s="49" t="s">
        <v>10806</v>
      </c>
      <c r="D84" s="49" t="s">
        <v>10807</v>
      </c>
      <c r="E84" s="49">
        <v>628127962347</v>
      </c>
      <c r="F84" s="96">
        <v>45832</v>
      </c>
      <c r="G84" s="49" t="s">
        <v>12682</v>
      </c>
      <c r="H84" s="49" t="s">
        <v>12676</v>
      </c>
      <c r="I84" s="95">
        <v>2</v>
      </c>
      <c r="J84" s="95">
        <v>2</v>
      </c>
      <c r="K84" s="95">
        <v>0</v>
      </c>
      <c r="L84" s="97">
        <v>79000</v>
      </c>
      <c r="M84" s="102">
        <v>158</v>
      </c>
      <c r="N84" s="95">
        <v>0</v>
      </c>
      <c r="O84" s="95">
        <v>1</v>
      </c>
      <c r="P84" s="95">
        <v>0</v>
      </c>
      <c r="Q84" s="49" t="s">
        <v>10808</v>
      </c>
    </row>
    <row r="85" spans="1:17">
      <c r="A85" s="95">
        <v>174904221976312</v>
      </c>
      <c r="B85" s="49" t="s">
        <v>10651</v>
      </c>
      <c r="C85" s="49" t="s">
        <v>10806</v>
      </c>
      <c r="D85" s="49" t="s">
        <v>10807</v>
      </c>
      <c r="E85" s="49">
        <v>628127962347</v>
      </c>
      <c r="F85" s="96">
        <v>45832</v>
      </c>
      <c r="G85" s="49" t="s">
        <v>12683</v>
      </c>
      <c r="H85" s="49" t="s">
        <v>12676</v>
      </c>
      <c r="I85" s="95">
        <v>1</v>
      </c>
      <c r="J85" s="95">
        <v>1</v>
      </c>
      <c r="K85" s="95">
        <v>0</v>
      </c>
      <c r="L85" s="97">
        <v>18000</v>
      </c>
      <c r="M85" s="102">
        <v>18</v>
      </c>
      <c r="N85" s="95">
        <v>0</v>
      </c>
      <c r="O85" s="95">
        <v>0</v>
      </c>
      <c r="P85" s="95">
        <v>0</v>
      </c>
      <c r="Q85" s="49" t="s">
        <v>10808</v>
      </c>
    </row>
    <row r="86" spans="1:17">
      <c r="A86" s="95">
        <v>174904221976312</v>
      </c>
      <c r="B86" s="49" t="s">
        <v>10651</v>
      </c>
      <c r="C86" s="49" t="s">
        <v>10806</v>
      </c>
      <c r="D86" s="49" t="s">
        <v>10807</v>
      </c>
      <c r="E86" s="49">
        <v>628127962347</v>
      </c>
      <c r="F86" s="96">
        <v>45832</v>
      </c>
      <c r="G86" s="49" t="s">
        <v>12684</v>
      </c>
      <c r="H86" s="49" t="s">
        <v>12676</v>
      </c>
      <c r="I86" s="95">
        <v>23</v>
      </c>
      <c r="J86" s="95">
        <v>25</v>
      </c>
      <c r="K86" s="95">
        <v>2</v>
      </c>
      <c r="L86" s="97">
        <v>67560</v>
      </c>
      <c r="M86" s="102">
        <v>1689</v>
      </c>
      <c r="N86" s="95">
        <v>1</v>
      </c>
      <c r="O86" s="95">
        <v>2</v>
      </c>
      <c r="P86" s="95">
        <v>0</v>
      </c>
      <c r="Q86" s="49" t="s">
        <v>10808</v>
      </c>
    </row>
    <row r="87" spans="1:17">
      <c r="A87" s="95">
        <v>174904221976312</v>
      </c>
      <c r="B87" s="49" t="s">
        <v>10651</v>
      </c>
      <c r="C87" s="49" t="s">
        <v>10806</v>
      </c>
      <c r="D87" s="49" t="s">
        <v>10807</v>
      </c>
      <c r="E87" s="49">
        <v>628127962347</v>
      </c>
      <c r="F87" s="96">
        <v>45832</v>
      </c>
      <c r="G87" s="49" t="s">
        <v>12680</v>
      </c>
      <c r="H87" s="49" t="s">
        <v>12676</v>
      </c>
      <c r="I87" s="95">
        <v>3</v>
      </c>
      <c r="J87" s="95">
        <v>3</v>
      </c>
      <c r="K87" s="95">
        <v>0</v>
      </c>
      <c r="L87" s="97">
        <v>35666.666666666664</v>
      </c>
      <c r="M87" s="102">
        <v>107</v>
      </c>
      <c r="N87" s="95">
        <v>0</v>
      </c>
      <c r="O87" s="95">
        <v>1</v>
      </c>
      <c r="P87" s="95">
        <v>0</v>
      </c>
      <c r="Q87" s="49" t="s">
        <v>10808</v>
      </c>
    </row>
    <row r="88" spans="1:17">
      <c r="A88" s="95">
        <v>174904221976312</v>
      </c>
      <c r="B88" s="49" t="s">
        <v>10651</v>
      </c>
      <c r="C88" s="49" t="s">
        <v>10806</v>
      </c>
      <c r="D88" s="49" t="s">
        <v>10807</v>
      </c>
      <c r="E88" s="49">
        <v>628127962347</v>
      </c>
      <c r="F88" s="96">
        <v>45832</v>
      </c>
      <c r="G88" s="49" t="s">
        <v>12685</v>
      </c>
      <c r="H88" s="49" t="s">
        <v>12676</v>
      </c>
      <c r="I88" s="95">
        <v>10</v>
      </c>
      <c r="J88" s="95">
        <v>12</v>
      </c>
      <c r="K88" s="95">
        <v>0</v>
      </c>
      <c r="L88" s="97">
        <v>38000</v>
      </c>
      <c r="M88" s="102">
        <v>456</v>
      </c>
      <c r="N88" s="95">
        <v>0</v>
      </c>
      <c r="O88" s="95">
        <v>0</v>
      </c>
      <c r="P88" s="95">
        <v>0</v>
      </c>
      <c r="Q88" s="49" t="s">
        <v>10808</v>
      </c>
    </row>
    <row r="89" spans="1:17">
      <c r="A89" s="95">
        <v>174904221976312</v>
      </c>
      <c r="B89" s="49" t="s">
        <v>10651</v>
      </c>
      <c r="C89" s="49" t="s">
        <v>10806</v>
      </c>
      <c r="D89" s="49" t="s">
        <v>10807</v>
      </c>
      <c r="E89" s="49">
        <v>628127962347</v>
      </c>
      <c r="F89" s="96">
        <v>45832</v>
      </c>
      <c r="G89" s="49" t="s">
        <v>12686</v>
      </c>
      <c r="H89" s="49" t="s">
        <v>12676</v>
      </c>
      <c r="I89" s="95">
        <v>1</v>
      </c>
      <c r="J89" s="95">
        <v>1</v>
      </c>
      <c r="K89" s="95">
        <v>0</v>
      </c>
      <c r="L89" s="97">
        <v>32000</v>
      </c>
      <c r="M89" s="102">
        <v>32</v>
      </c>
      <c r="N89" s="95">
        <v>0</v>
      </c>
      <c r="O89" s="95">
        <v>0</v>
      </c>
      <c r="P89" s="95">
        <v>0</v>
      </c>
      <c r="Q89" s="49" t="s">
        <v>10808</v>
      </c>
    </row>
    <row r="90" spans="1:17">
      <c r="A90" s="95">
        <v>174904221976312</v>
      </c>
      <c r="B90" s="49" t="s">
        <v>10651</v>
      </c>
      <c r="C90" s="49" t="s">
        <v>10806</v>
      </c>
      <c r="D90" s="49" t="s">
        <v>10807</v>
      </c>
      <c r="E90" s="49">
        <v>628127962347</v>
      </c>
      <c r="F90" s="96">
        <v>45832</v>
      </c>
      <c r="G90" s="49" t="s">
        <v>2132</v>
      </c>
      <c r="H90" s="49" t="s">
        <v>12676</v>
      </c>
      <c r="I90" s="95">
        <v>6</v>
      </c>
      <c r="J90" s="95">
        <v>6</v>
      </c>
      <c r="K90" s="95">
        <v>0</v>
      </c>
      <c r="L90" s="97">
        <v>43333.333333333336</v>
      </c>
      <c r="M90" s="102">
        <v>260</v>
      </c>
      <c r="N90" s="95">
        <v>0</v>
      </c>
      <c r="O90" s="95">
        <v>2</v>
      </c>
      <c r="P90" s="95">
        <v>0</v>
      </c>
      <c r="Q90" s="49" t="s">
        <v>10808</v>
      </c>
    </row>
    <row r="91" spans="1:17">
      <c r="A91" s="95">
        <v>174904221976312</v>
      </c>
      <c r="B91" s="49" t="s">
        <v>10651</v>
      </c>
      <c r="C91" s="49" t="s">
        <v>10806</v>
      </c>
      <c r="D91" s="49" t="s">
        <v>10807</v>
      </c>
      <c r="E91" s="49">
        <v>628127962347</v>
      </c>
      <c r="F91" s="96">
        <v>45832</v>
      </c>
      <c r="G91" s="49" t="s">
        <v>2718</v>
      </c>
      <c r="H91" s="49" t="s">
        <v>12676</v>
      </c>
      <c r="I91" s="95">
        <v>1</v>
      </c>
      <c r="J91" s="95">
        <v>1</v>
      </c>
      <c r="K91" s="95">
        <v>0</v>
      </c>
      <c r="L91" s="97">
        <v>83000</v>
      </c>
      <c r="M91" s="102">
        <v>83</v>
      </c>
      <c r="N91" s="95">
        <v>0</v>
      </c>
      <c r="O91" s="95">
        <v>1</v>
      </c>
      <c r="P91" s="95">
        <v>0</v>
      </c>
      <c r="Q91" s="49" t="s">
        <v>10808</v>
      </c>
    </row>
    <row r="92" spans="1:17">
      <c r="A92" s="95">
        <v>174904221976312</v>
      </c>
      <c r="B92" s="49" t="s">
        <v>10651</v>
      </c>
      <c r="C92" s="49" t="s">
        <v>10806</v>
      </c>
      <c r="D92" s="49" t="s">
        <v>10807</v>
      </c>
      <c r="E92" s="49">
        <v>628127962347</v>
      </c>
      <c r="F92" s="96">
        <v>45832</v>
      </c>
      <c r="G92" s="49" t="s">
        <v>2981</v>
      </c>
      <c r="H92" s="49" t="s">
        <v>12676</v>
      </c>
      <c r="I92" s="95">
        <v>4</v>
      </c>
      <c r="J92" s="95">
        <v>4</v>
      </c>
      <c r="K92" s="95">
        <v>0</v>
      </c>
      <c r="L92" s="97">
        <v>93500</v>
      </c>
      <c r="M92" s="102">
        <v>374</v>
      </c>
      <c r="N92" s="95">
        <v>0</v>
      </c>
      <c r="O92" s="95">
        <v>0</v>
      </c>
      <c r="P92" s="95">
        <v>0</v>
      </c>
      <c r="Q92" s="49" t="s">
        <v>10808</v>
      </c>
    </row>
    <row r="93" spans="1:17">
      <c r="A93" s="95">
        <v>174904221976312</v>
      </c>
      <c r="B93" s="49" t="s">
        <v>10651</v>
      </c>
      <c r="C93" s="49" t="s">
        <v>10806</v>
      </c>
      <c r="D93" s="49" t="s">
        <v>10807</v>
      </c>
      <c r="E93" s="49">
        <v>628127962347</v>
      </c>
      <c r="F93" s="96">
        <v>45832</v>
      </c>
      <c r="G93" s="49" t="s">
        <v>12687</v>
      </c>
      <c r="H93" s="49" t="s">
        <v>12676</v>
      </c>
      <c r="I93" s="95">
        <v>1</v>
      </c>
      <c r="J93" s="95">
        <v>2</v>
      </c>
      <c r="K93" s="95">
        <v>0</v>
      </c>
      <c r="L93" s="97">
        <v>6500</v>
      </c>
      <c r="M93" s="102">
        <v>13</v>
      </c>
      <c r="N93" s="95">
        <v>0</v>
      </c>
      <c r="O93" s="95">
        <v>0</v>
      </c>
      <c r="P93" s="95">
        <v>0</v>
      </c>
      <c r="Q93" s="49" t="s">
        <v>10808</v>
      </c>
    </row>
    <row r="94" spans="1:17">
      <c r="A94" s="95">
        <v>174904221976312</v>
      </c>
      <c r="B94" s="49" t="s">
        <v>10651</v>
      </c>
      <c r="C94" s="49" t="s">
        <v>10806</v>
      </c>
      <c r="D94" s="49" t="s">
        <v>10807</v>
      </c>
      <c r="E94" s="49">
        <v>628127962347</v>
      </c>
      <c r="F94" s="96">
        <v>45832</v>
      </c>
      <c r="G94" s="49" t="s">
        <v>12689</v>
      </c>
      <c r="H94" s="49" t="s">
        <v>12676</v>
      </c>
      <c r="I94" s="95">
        <v>0</v>
      </c>
      <c r="J94" s="95">
        <v>0</v>
      </c>
      <c r="K94" s="95">
        <v>0</v>
      </c>
      <c r="L94" s="97">
        <v>0</v>
      </c>
      <c r="M94" s="102">
        <v>0</v>
      </c>
      <c r="N94" s="95">
        <v>0</v>
      </c>
      <c r="O94" s="95">
        <v>0</v>
      </c>
      <c r="P94" s="95">
        <v>0</v>
      </c>
      <c r="Q94" s="49" t="s">
        <v>10808</v>
      </c>
    </row>
    <row r="95" spans="1:17">
      <c r="A95" s="95">
        <v>174904221976312</v>
      </c>
      <c r="B95" s="49" t="s">
        <v>10651</v>
      </c>
      <c r="C95" s="49" t="s">
        <v>10806</v>
      </c>
      <c r="D95" s="49" t="s">
        <v>10807</v>
      </c>
      <c r="E95" s="49">
        <v>628127962347</v>
      </c>
      <c r="F95" s="96">
        <v>45832</v>
      </c>
      <c r="G95" s="49" t="s">
        <v>12690</v>
      </c>
      <c r="H95" s="49" t="s">
        <v>12676</v>
      </c>
      <c r="I95" s="95">
        <v>1</v>
      </c>
      <c r="J95" s="95">
        <v>1</v>
      </c>
      <c r="K95" s="95">
        <v>0</v>
      </c>
      <c r="L95" s="97">
        <v>16000</v>
      </c>
      <c r="M95" s="102">
        <v>16</v>
      </c>
      <c r="N95" s="95">
        <v>0</v>
      </c>
      <c r="O95" s="95">
        <v>0</v>
      </c>
      <c r="P95" s="95">
        <v>0</v>
      </c>
      <c r="Q95" s="49" t="s">
        <v>10808</v>
      </c>
    </row>
    <row r="96" spans="1:17">
      <c r="A96" s="95">
        <v>174904221976312</v>
      </c>
      <c r="B96" s="49" t="s">
        <v>10651</v>
      </c>
      <c r="C96" s="49" t="s">
        <v>10806</v>
      </c>
      <c r="D96" s="49" t="s">
        <v>10807</v>
      </c>
      <c r="E96" s="49">
        <v>628127962347</v>
      </c>
      <c r="F96" s="96">
        <v>45832</v>
      </c>
      <c r="G96" s="49" t="s">
        <v>12691</v>
      </c>
      <c r="H96" s="49" t="s">
        <v>12676</v>
      </c>
      <c r="I96" s="95">
        <v>10</v>
      </c>
      <c r="J96" s="95">
        <v>12</v>
      </c>
      <c r="K96" s="95">
        <v>2</v>
      </c>
      <c r="L96" s="97">
        <v>62083.333333333336</v>
      </c>
      <c r="M96" s="102">
        <v>745</v>
      </c>
      <c r="N96" s="95">
        <v>0</v>
      </c>
      <c r="O96" s="95">
        <v>4</v>
      </c>
      <c r="P96" s="95">
        <v>0</v>
      </c>
      <c r="Q96" s="49" t="s">
        <v>10808</v>
      </c>
    </row>
    <row r="97" spans="1:17">
      <c r="A97" s="95">
        <v>174904221976312</v>
      </c>
      <c r="B97" s="49" t="s">
        <v>10651</v>
      </c>
      <c r="C97" s="49" t="s">
        <v>10806</v>
      </c>
      <c r="D97" s="49" t="s">
        <v>10807</v>
      </c>
      <c r="E97" s="49">
        <v>628127962347</v>
      </c>
      <c r="F97" s="96">
        <v>45832</v>
      </c>
      <c r="G97" s="49" t="s">
        <v>1473</v>
      </c>
      <c r="H97" s="49" t="s">
        <v>12676</v>
      </c>
      <c r="I97" s="95">
        <v>4</v>
      </c>
      <c r="J97" s="95">
        <v>4</v>
      </c>
      <c r="K97" s="95">
        <v>1</v>
      </c>
      <c r="L97" s="97">
        <v>75000</v>
      </c>
      <c r="M97" s="102">
        <v>300</v>
      </c>
      <c r="N97" s="95">
        <v>0</v>
      </c>
      <c r="O97" s="95">
        <v>1</v>
      </c>
      <c r="P97" s="95">
        <v>0</v>
      </c>
      <c r="Q97" s="49" t="s">
        <v>10808</v>
      </c>
    </row>
    <row r="98" spans="1:17">
      <c r="A98" s="95">
        <v>174904221976312</v>
      </c>
      <c r="B98" s="49" t="s">
        <v>10651</v>
      </c>
      <c r="C98" s="49" t="s">
        <v>10806</v>
      </c>
      <c r="D98" s="49" t="s">
        <v>10807</v>
      </c>
      <c r="E98" s="49">
        <v>628127962347</v>
      </c>
      <c r="F98" s="96">
        <v>45832</v>
      </c>
      <c r="G98" s="49" t="s">
        <v>12693</v>
      </c>
      <c r="H98" s="49" t="s">
        <v>12676</v>
      </c>
      <c r="I98" s="95">
        <v>1</v>
      </c>
      <c r="J98" s="95">
        <v>1</v>
      </c>
      <c r="K98" s="95">
        <v>1</v>
      </c>
      <c r="L98" s="97">
        <v>351000</v>
      </c>
      <c r="M98" s="102">
        <v>351</v>
      </c>
      <c r="N98" s="95">
        <v>0</v>
      </c>
      <c r="O98" s="95">
        <v>0</v>
      </c>
      <c r="P98" s="95">
        <v>0</v>
      </c>
      <c r="Q98" s="49" t="s">
        <v>10808</v>
      </c>
    </row>
    <row r="99" spans="1:17">
      <c r="A99" s="95">
        <v>174904221976312</v>
      </c>
      <c r="B99" s="49" t="s">
        <v>10651</v>
      </c>
      <c r="C99" s="49" t="s">
        <v>10806</v>
      </c>
      <c r="D99" s="49" t="s">
        <v>10807</v>
      </c>
      <c r="E99" s="49">
        <v>628127962347</v>
      </c>
      <c r="F99" s="96">
        <v>45832</v>
      </c>
      <c r="G99" s="49" t="s">
        <v>12694</v>
      </c>
      <c r="H99" s="49" t="s">
        <v>12676</v>
      </c>
      <c r="I99" s="95">
        <v>2</v>
      </c>
      <c r="J99" s="95">
        <v>3</v>
      </c>
      <c r="K99" s="95">
        <v>1</v>
      </c>
      <c r="L99" s="97">
        <v>80666.666666666672</v>
      </c>
      <c r="M99" s="102">
        <v>242</v>
      </c>
      <c r="N99" s="95">
        <v>0</v>
      </c>
      <c r="O99" s="95">
        <v>0</v>
      </c>
      <c r="P99" s="95">
        <v>0</v>
      </c>
      <c r="Q99" s="49" t="s">
        <v>10808</v>
      </c>
    </row>
    <row r="100" spans="1:17">
      <c r="A100" s="95">
        <v>174904221976312</v>
      </c>
      <c r="B100" s="49" t="s">
        <v>10651</v>
      </c>
      <c r="C100" s="49" t="s">
        <v>10806</v>
      </c>
      <c r="D100" s="49" t="s">
        <v>10807</v>
      </c>
      <c r="E100" s="49">
        <v>628127962347</v>
      </c>
      <c r="F100" s="96">
        <v>45832</v>
      </c>
      <c r="G100" s="49" t="s">
        <v>12695</v>
      </c>
      <c r="H100" s="49" t="s">
        <v>12676</v>
      </c>
      <c r="I100" s="95">
        <v>7</v>
      </c>
      <c r="J100" s="95">
        <v>8</v>
      </c>
      <c r="K100" s="95">
        <v>1</v>
      </c>
      <c r="L100" s="97">
        <v>68250</v>
      </c>
      <c r="M100" s="102">
        <v>546</v>
      </c>
      <c r="N100" s="95">
        <v>0</v>
      </c>
      <c r="O100" s="95">
        <v>2</v>
      </c>
      <c r="P100" s="95">
        <v>0</v>
      </c>
      <c r="Q100" s="49" t="s">
        <v>10808</v>
      </c>
    </row>
    <row r="101" spans="1:17">
      <c r="A101" s="95">
        <v>174904221976312</v>
      </c>
      <c r="B101" s="49" t="s">
        <v>10651</v>
      </c>
      <c r="C101" s="49" t="s">
        <v>10806</v>
      </c>
      <c r="D101" s="49" t="s">
        <v>10807</v>
      </c>
      <c r="E101" s="49">
        <v>628127962347</v>
      </c>
      <c r="F101" s="96">
        <v>45832</v>
      </c>
      <c r="G101" s="49" t="s">
        <v>12696</v>
      </c>
      <c r="H101" s="49" t="s">
        <v>12676</v>
      </c>
      <c r="I101" s="95">
        <v>3</v>
      </c>
      <c r="J101" s="95">
        <v>3</v>
      </c>
      <c r="K101" s="95">
        <v>0</v>
      </c>
      <c r="L101" s="97">
        <v>10666.666666666666</v>
      </c>
      <c r="M101" s="102">
        <v>32</v>
      </c>
      <c r="N101" s="95">
        <v>0</v>
      </c>
      <c r="O101" s="95">
        <v>0</v>
      </c>
      <c r="P101" s="95">
        <v>0</v>
      </c>
      <c r="Q101" s="49" t="s">
        <v>10808</v>
      </c>
    </row>
    <row r="102" spans="1:17">
      <c r="A102" s="95">
        <v>174904221976312</v>
      </c>
      <c r="B102" s="49" t="s">
        <v>10651</v>
      </c>
      <c r="C102" s="49" t="s">
        <v>10806</v>
      </c>
      <c r="D102" s="49" t="s">
        <v>10807</v>
      </c>
      <c r="E102" s="49">
        <v>628127962347</v>
      </c>
      <c r="F102" s="96">
        <v>45832</v>
      </c>
      <c r="G102" s="49" t="s">
        <v>12697</v>
      </c>
      <c r="H102" s="49" t="s">
        <v>12676</v>
      </c>
      <c r="I102" s="95">
        <v>1</v>
      </c>
      <c r="J102" s="95">
        <v>1</v>
      </c>
      <c r="K102" s="95">
        <v>0</v>
      </c>
      <c r="L102" s="97">
        <v>9000</v>
      </c>
      <c r="M102" s="102">
        <v>9</v>
      </c>
      <c r="N102" s="95">
        <v>0</v>
      </c>
      <c r="O102" s="95">
        <v>0</v>
      </c>
      <c r="P102" s="95">
        <v>0</v>
      </c>
      <c r="Q102" s="49" t="s">
        <v>10808</v>
      </c>
    </row>
    <row r="103" spans="1:17">
      <c r="A103" s="95">
        <v>174904221976312</v>
      </c>
      <c r="B103" s="49" t="s">
        <v>10651</v>
      </c>
      <c r="C103" s="49" t="s">
        <v>10806</v>
      </c>
      <c r="D103" s="49" t="s">
        <v>10807</v>
      </c>
      <c r="E103" s="49">
        <v>628127962347</v>
      </c>
      <c r="F103" s="96">
        <v>45832</v>
      </c>
      <c r="G103" s="49" t="s">
        <v>12679</v>
      </c>
      <c r="H103" s="49" t="s">
        <v>12676</v>
      </c>
      <c r="I103" s="95">
        <v>5</v>
      </c>
      <c r="J103" s="95">
        <v>5</v>
      </c>
      <c r="K103" s="95">
        <v>0</v>
      </c>
      <c r="L103" s="97">
        <v>371400</v>
      </c>
      <c r="M103" s="102">
        <v>1857</v>
      </c>
      <c r="N103" s="95">
        <v>0</v>
      </c>
      <c r="O103" s="95">
        <v>3</v>
      </c>
      <c r="P103" s="95">
        <v>0</v>
      </c>
      <c r="Q103" s="49" t="s">
        <v>10808</v>
      </c>
    </row>
    <row r="104" spans="1:17">
      <c r="A104" s="95">
        <v>174904221976312</v>
      </c>
      <c r="B104" s="49" t="s">
        <v>10651</v>
      </c>
      <c r="C104" s="49" t="s">
        <v>10815</v>
      </c>
      <c r="D104" s="49" t="s">
        <v>651</v>
      </c>
      <c r="E104" s="49">
        <v>6281905836259</v>
      </c>
      <c r="F104" s="96">
        <v>45832</v>
      </c>
      <c r="G104" s="49" t="s">
        <v>7917</v>
      </c>
      <c r="H104" s="49" t="s">
        <v>12676</v>
      </c>
      <c r="I104" s="95">
        <v>46</v>
      </c>
      <c r="J104" s="95">
        <v>51</v>
      </c>
      <c r="K104" s="95">
        <v>0</v>
      </c>
      <c r="L104" s="97">
        <v>40470.588235294119</v>
      </c>
      <c r="M104" s="102">
        <v>2064</v>
      </c>
      <c r="N104" s="95">
        <v>0</v>
      </c>
      <c r="O104" s="95">
        <v>0</v>
      </c>
      <c r="P104" s="95">
        <v>0</v>
      </c>
      <c r="Q104" s="49" t="s">
        <v>10816</v>
      </c>
    </row>
    <row r="105" spans="1:17">
      <c r="A105" s="95">
        <v>174904221976312</v>
      </c>
      <c r="B105" s="49" t="s">
        <v>10651</v>
      </c>
      <c r="C105" s="49" t="s">
        <v>10815</v>
      </c>
      <c r="D105" s="49" t="s">
        <v>651</v>
      </c>
      <c r="E105" s="49">
        <v>6281905836259</v>
      </c>
      <c r="F105" s="96">
        <v>45832</v>
      </c>
      <c r="G105" s="49" t="s">
        <v>2132</v>
      </c>
      <c r="H105" s="49" t="s">
        <v>12676</v>
      </c>
      <c r="I105" s="95">
        <v>214</v>
      </c>
      <c r="J105" s="95">
        <v>230</v>
      </c>
      <c r="K105" s="95">
        <v>4</v>
      </c>
      <c r="L105" s="97">
        <v>33386.956521739128</v>
      </c>
      <c r="M105" s="102">
        <v>7679</v>
      </c>
      <c r="N105" s="95">
        <v>0</v>
      </c>
      <c r="O105" s="95">
        <v>0</v>
      </c>
      <c r="P105" s="95">
        <v>0</v>
      </c>
      <c r="Q105" s="49" t="s">
        <v>10816</v>
      </c>
    </row>
    <row r="106" spans="1:17">
      <c r="A106" s="95">
        <v>174904221976312</v>
      </c>
      <c r="B106" s="49" t="s">
        <v>10651</v>
      </c>
      <c r="C106" s="49" t="s">
        <v>10815</v>
      </c>
      <c r="D106" s="49" t="s">
        <v>651</v>
      </c>
      <c r="E106" s="49">
        <v>6281905836259</v>
      </c>
      <c r="F106" s="96">
        <v>45832</v>
      </c>
      <c r="G106" s="49" t="s">
        <v>12677</v>
      </c>
      <c r="H106" s="49" t="s">
        <v>12676</v>
      </c>
      <c r="I106" s="95">
        <v>144</v>
      </c>
      <c r="J106" s="95">
        <v>157</v>
      </c>
      <c r="K106" s="95">
        <v>6</v>
      </c>
      <c r="L106" s="97">
        <v>24242.038216560508</v>
      </c>
      <c r="M106" s="102">
        <v>3806</v>
      </c>
      <c r="N106" s="95">
        <v>0</v>
      </c>
      <c r="O106" s="95">
        <v>0</v>
      </c>
      <c r="P106" s="95">
        <v>0</v>
      </c>
      <c r="Q106" s="49" t="s">
        <v>10816</v>
      </c>
    </row>
    <row r="107" spans="1:17">
      <c r="A107" s="95">
        <v>174904221976312</v>
      </c>
      <c r="B107" s="49" t="s">
        <v>10651</v>
      </c>
      <c r="C107" s="49" t="s">
        <v>8099</v>
      </c>
      <c r="D107" s="49" t="s">
        <v>2357</v>
      </c>
      <c r="E107" s="49">
        <v>6281221788919</v>
      </c>
      <c r="F107" s="96">
        <v>45832</v>
      </c>
      <c r="G107" s="49" t="s">
        <v>12699</v>
      </c>
      <c r="H107" s="49" t="s">
        <v>12676</v>
      </c>
      <c r="I107" s="95">
        <v>1075</v>
      </c>
      <c r="J107" s="95">
        <v>1407</v>
      </c>
      <c r="K107" s="95">
        <v>25</v>
      </c>
      <c r="L107" s="97">
        <v>8632.5515280739164</v>
      </c>
      <c r="M107" s="102">
        <v>12146</v>
      </c>
      <c r="N107" s="95">
        <v>0</v>
      </c>
      <c r="O107" s="95">
        <v>393</v>
      </c>
      <c r="P107" s="95">
        <v>0</v>
      </c>
      <c r="Q107" s="49" t="s">
        <v>10759</v>
      </c>
    </row>
    <row r="108" spans="1:17">
      <c r="A108" s="95">
        <v>174904221976312</v>
      </c>
      <c r="B108" s="49" t="s">
        <v>10651</v>
      </c>
      <c r="C108" s="49" t="s">
        <v>311</v>
      </c>
      <c r="D108" s="49" t="s">
        <v>10737</v>
      </c>
      <c r="E108" s="49">
        <v>628988759290</v>
      </c>
      <c r="F108" s="96">
        <v>45832</v>
      </c>
      <c r="G108" s="49" t="s">
        <v>1473</v>
      </c>
      <c r="H108" s="49" t="s">
        <v>12676</v>
      </c>
      <c r="I108" s="95">
        <v>795</v>
      </c>
      <c r="J108" s="95">
        <v>1069</v>
      </c>
      <c r="K108" s="95">
        <v>42</v>
      </c>
      <c r="L108" s="97">
        <v>12371.375116931713</v>
      </c>
      <c r="M108" s="102">
        <v>13225</v>
      </c>
      <c r="N108" s="95">
        <v>2</v>
      </c>
      <c r="O108" s="95">
        <v>62</v>
      </c>
      <c r="P108" s="95">
        <v>0</v>
      </c>
      <c r="Q108" s="49" t="s">
        <v>10738</v>
      </c>
    </row>
    <row r="109" spans="1:17">
      <c r="A109" s="95">
        <v>174904221976312</v>
      </c>
      <c r="B109" s="49" t="s">
        <v>10651</v>
      </c>
      <c r="C109" s="49" t="s">
        <v>10778</v>
      </c>
      <c r="D109" s="49" t="s">
        <v>3140</v>
      </c>
      <c r="F109" s="96">
        <v>45832</v>
      </c>
      <c r="G109" s="49" t="s">
        <v>12685</v>
      </c>
      <c r="H109" s="49" t="s">
        <v>12676</v>
      </c>
      <c r="I109" s="95">
        <v>2</v>
      </c>
      <c r="J109" s="95">
        <v>3</v>
      </c>
      <c r="K109" s="95">
        <v>0</v>
      </c>
      <c r="L109" s="97">
        <v>6000</v>
      </c>
      <c r="M109" s="102">
        <v>18</v>
      </c>
      <c r="N109" s="95">
        <v>0</v>
      </c>
      <c r="O109" s="95">
        <v>0</v>
      </c>
      <c r="P109" s="95">
        <v>0</v>
      </c>
      <c r="Q109" s="49" t="s">
        <v>10779</v>
      </c>
    </row>
    <row r="110" spans="1:17">
      <c r="A110" s="95">
        <v>174904221976312</v>
      </c>
      <c r="B110" s="49" t="s">
        <v>10651</v>
      </c>
      <c r="C110" s="49" t="s">
        <v>10778</v>
      </c>
      <c r="D110" s="49" t="s">
        <v>3140</v>
      </c>
      <c r="F110" s="96">
        <v>45832</v>
      </c>
      <c r="G110" s="49" t="s">
        <v>12700</v>
      </c>
      <c r="H110" s="49" t="s">
        <v>12676</v>
      </c>
      <c r="I110" s="95">
        <v>5209</v>
      </c>
      <c r="J110" s="95">
        <v>5676</v>
      </c>
      <c r="K110" s="95">
        <v>84</v>
      </c>
      <c r="L110" s="97">
        <v>2062.7202255109232</v>
      </c>
      <c r="M110" s="102">
        <v>11708</v>
      </c>
      <c r="N110" s="95">
        <v>0</v>
      </c>
      <c r="O110" s="95">
        <v>521</v>
      </c>
      <c r="P110" s="95">
        <v>0</v>
      </c>
      <c r="Q110" s="49" t="s">
        <v>10779</v>
      </c>
    </row>
    <row r="111" spans="1:17">
      <c r="A111" s="95">
        <v>174904221976312</v>
      </c>
      <c r="B111" s="49" t="s">
        <v>10651</v>
      </c>
      <c r="C111" s="49" t="s">
        <v>10673</v>
      </c>
      <c r="D111" s="49" t="s">
        <v>10674</v>
      </c>
      <c r="E111" s="49">
        <v>6282183184641</v>
      </c>
      <c r="F111" s="96">
        <v>45832</v>
      </c>
      <c r="G111" s="49" t="s">
        <v>2718</v>
      </c>
      <c r="H111" s="49" t="s">
        <v>12676</v>
      </c>
      <c r="I111" s="95">
        <v>364</v>
      </c>
      <c r="J111" s="95">
        <v>485</v>
      </c>
      <c r="K111" s="95">
        <v>15</v>
      </c>
      <c r="L111" s="97">
        <v>24661.855670103094</v>
      </c>
      <c r="M111" s="102">
        <v>11961</v>
      </c>
      <c r="N111" s="95">
        <v>0</v>
      </c>
      <c r="O111" s="95">
        <v>1</v>
      </c>
      <c r="P111" s="95">
        <v>0</v>
      </c>
      <c r="Q111" s="49" t="s">
        <v>10916</v>
      </c>
    </row>
    <row r="112" spans="1:17">
      <c r="A112" s="95">
        <v>174904221976312</v>
      </c>
      <c r="B112" s="49" t="s">
        <v>10651</v>
      </c>
      <c r="C112" s="49" t="s">
        <v>10673</v>
      </c>
      <c r="D112" s="49" t="s">
        <v>10674</v>
      </c>
      <c r="E112" s="49">
        <v>6282183184641</v>
      </c>
      <c r="F112" s="96">
        <v>45832</v>
      </c>
      <c r="G112" s="49" t="s">
        <v>12696</v>
      </c>
      <c r="H112" s="49" t="s">
        <v>12676</v>
      </c>
      <c r="I112" s="95">
        <v>2</v>
      </c>
      <c r="J112" s="95">
        <v>2</v>
      </c>
      <c r="K112" s="95">
        <v>0</v>
      </c>
      <c r="L112" s="97">
        <v>2500</v>
      </c>
      <c r="M112" s="102">
        <v>5</v>
      </c>
      <c r="N112" s="95">
        <v>0</v>
      </c>
      <c r="O112" s="95">
        <v>0</v>
      </c>
      <c r="P112" s="95">
        <v>0</v>
      </c>
      <c r="Q112" s="49" t="s">
        <v>10916</v>
      </c>
    </row>
    <row r="113" spans="1:17">
      <c r="A113" s="95">
        <v>174904221976312</v>
      </c>
      <c r="B113" s="49" t="s">
        <v>10651</v>
      </c>
      <c r="C113" s="49" t="s">
        <v>10652</v>
      </c>
      <c r="D113" s="49" t="s">
        <v>10653</v>
      </c>
      <c r="E113" s="49">
        <v>6281348555887</v>
      </c>
      <c r="F113" s="96">
        <v>45832</v>
      </c>
      <c r="G113" s="49" t="s">
        <v>12680</v>
      </c>
      <c r="H113" s="49" t="s">
        <v>12676</v>
      </c>
      <c r="I113" s="95">
        <v>787</v>
      </c>
      <c r="J113" s="95">
        <v>927</v>
      </c>
      <c r="K113" s="95">
        <v>32</v>
      </c>
      <c r="L113" s="97">
        <v>14138.079827400215</v>
      </c>
      <c r="M113" s="102">
        <v>13106</v>
      </c>
      <c r="N113" s="95">
        <v>0</v>
      </c>
      <c r="O113" s="95">
        <v>253</v>
      </c>
      <c r="P113" s="95">
        <v>0</v>
      </c>
      <c r="Q113" s="49" t="s">
        <v>10654</v>
      </c>
    </row>
    <row r="114" spans="1:17">
      <c r="A114" s="95">
        <v>174904221976312</v>
      </c>
      <c r="B114" s="49" t="s">
        <v>10651</v>
      </c>
      <c r="C114" s="49" t="s">
        <v>10659</v>
      </c>
      <c r="D114" s="49" t="s">
        <v>1044</v>
      </c>
      <c r="E114" s="49">
        <v>6281263113266</v>
      </c>
      <c r="F114" s="96">
        <v>45832</v>
      </c>
      <c r="G114" s="49" t="s">
        <v>12691</v>
      </c>
      <c r="H114" s="49" t="s">
        <v>12676</v>
      </c>
      <c r="I114" s="95">
        <v>1251</v>
      </c>
      <c r="J114" s="95">
        <v>1493</v>
      </c>
      <c r="K114" s="95">
        <v>61</v>
      </c>
      <c r="L114" s="97">
        <v>9444.0723375753514</v>
      </c>
      <c r="M114" s="102">
        <v>14100</v>
      </c>
      <c r="N114" s="95">
        <v>5</v>
      </c>
      <c r="O114" s="95">
        <v>0</v>
      </c>
      <c r="P114" s="95">
        <v>1</v>
      </c>
      <c r="Q114" s="49" t="s">
        <v>10660</v>
      </c>
    </row>
    <row r="115" spans="1:17">
      <c r="A115" s="95">
        <v>759724529202804</v>
      </c>
      <c r="B115" s="49" t="s">
        <v>10621</v>
      </c>
      <c r="C115" s="49" t="s">
        <v>10904</v>
      </c>
      <c r="D115" s="49" t="s">
        <v>10905</v>
      </c>
      <c r="E115" s="49">
        <v>6285711667433</v>
      </c>
      <c r="F115" s="96">
        <v>45832</v>
      </c>
      <c r="G115" s="49" t="s">
        <v>7917</v>
      </c>
      <c r="H115" s="49" t="s">
        <v>12676</v>
      </c>
      <c r="I115" s="95">
        <v>142</v>
      </c>
      <c r="J115" s="95">
        <v>155</v>
      </c>
      <c r="K115" s="95">
        <v>1</v>
      </c>
      <c r="L115" s="97">
        <v>9580.645161290322</v>
      </c>
      <c r="M115" s="102">
        <v>1485</v>
      </c>
      <c r="N115" s="95">
        <v>0</v>
      </c>
      <c r="O115" s="95">
        <v>0</v>
      </c>
      <c r="P115" s="95">
        <v>0</v>
      </c>
      <c r="Q115" s="49" t="s">
        <v>10906</v>
      </c>
    </row>
    <row r="116" spans="1:17">
      <c r="A116" s="95">
        <v>759724529202804</v>
      </c>
      <c r="B116" s="49" t="s">
        <v>10621</v>
      </c>
      <c r="C116" s="49" t="s">
        <v>10904</v>
      </c>
      <c r="D116" s="49" t="s">
        <v>10905</v>
      </c>
      <c r="E116" s="49">
        <v>6285711667433</v>
      </c>
      <c r="F116" s="96">
        <v>45832</v>
      </c>
      <c r="G116" s="49" t="s">
        <v>2132</v>
      </c>
      <c r="H116" s="49" t="s">
        <v>12676</v>
      </c>
      <c r="I116" s="95">
        <v>472</v>
      </c>
      <c r="J116" s="95">
        <v>549</v>
      </c>
      <c r="K116" s="95">
        <v>14</v>
      </c>
      <c r="L116" s="97">
        <v>13058.287795992714</v>
      </c>
      <c r="M116" s="102">
        <v>7169</v>
      </c>
      <c r="N116" s="95">
        <v>1</v>
      </c>
      <c r="O116" s="95">
        <v>0</v>
      </c>
      <c r="P116" s="95">
        <v>0</v>
      </c>
      <c r="Q116" s="49" t="s">
        <v>10906</v>
      </c>
    </row>
    <row r="117" spans="1:17">
      <c r="A117" s="95">
        <v>759724529202804</v>
      </c>
      <c r="B117" s="49" t="s">
        <v>10621</v>
      </c>
      <c r="C117" s="49" t="s">
        <v>10904</v>
      </c>
      <c r="D117" s="49" t="s">
        <v>10905</v>
      </c>
      <c r="E117" s="49">
        <v>6285711667433</v>
      </c>
      <c r="F117" s="96">
        <v>45832</v>
      </c>
      <c r="G117" s="49" t="s">
        <v>12677</v>
      </c>
      <c r="H117" s="49" t="s">
        <v>12676</v>
      </c>
      <c r="I117" s="95">
        <v>502</v>
      </c>
      <c r="J117" s="95">
        <v>595</v>
      </c>
      <c r="K117" s="95">
        <v>3</v>
      </c>
      <c r="L117" s="97">
        <v>8791.5966386554628</v>
      </c>
      <c r="M117" s="102">
        <v>5231</v>
      </c>
      <c r="N117" s="95">
        <v>1</v>
      </c>
      <c r="O117" s="95">
        <v>0</v>
      </c>
      <c r="P117" s="95">
        <v>0</v>
      </c>
      <c r="Q117" s="49" t="s">
        <v>10906</v>
      </c>
    </row>
    <row r="118" spans="1:17">
      <c r="A118" s="95">
        <v>759724529202804</v>
      </c>
      <c r="B118" s="49" t="s">
        <v>10621</v>
      </c>
      <c r="C118" s="49" t="s">
        <v>10907</v>
      </c>
      <c r="D118" s="49" t="s">
        <v>943</v>
      </c>
      <c r="E118" s="49">
        <v>6285775986977</v>
      </c>
      <c r="F118" s="96">
        <v>45832</v>
      </c>
      <c r="G118" s="49" t="s">
        <v>2132</v>
      </c>
      <c r="H118" s="49" t="s">
        <v>12676</v>
      </c>
      <c r="I118" s="95">
        <v>229</v>
      </c>
      <c r="J118" s="95">
        <v>260</v>
      </c>
      <c r="K118" s="95">
        <v>3</v>
      </c>
      <c r="L118" s="97">
        <v>50896.153846153844</v>
      </c>
      <c r="M118" s="102">
        <v>13233</v>
      </c>
      <c r="N118" s="95">
        <v>0</v>
      </c>
      <c r="O118" s="95">
        <v>0</v>
      </c>
      <c r="P118" s="95">
        <v>0</v>
      </c>
      <c r="Q118" s="49" t="s">
        <v>10908</v>
      </c>
    </row>
    <row r="119" spans="1:17">
      <c r="A119" s="95">
        <v>759724529202804</v>
      </c>
      <c r="B119" s="49" t="s">
        <v>10621</v>
      </c>
      <c r="C119" s="49" t="s">
        <v>10907</v>
      </c>
      <c r="D119" s="49" t="s">
        <v>943</v>
      </c>
      <c r="E119" s="49">
        <v>6285775986977</v>
      </c>
      <c r="F119" s="96">
        <v>45832</v>
      </c>
      <c r="G119" s="49" t="s">
        <v>12677</v>
      </c>
      <c r="H119" s="49" t="s">
        <v>12676</v>
      </c>
      <c r="I119" s="95">
        <v>29</v>
      </c>
      <c r="J119" s="95">
        <v>30</v>
      </c>
      <c r="K119" s="95">
        <v>0</v>
      </c>
      <c r="L119" s="97">
        <v>30133.333333333332</v>
      </c>
      <c r="M119" s="102">
        <v>904</v>
      </c>
      <c r="N119" s="95">
        <v>0</v>
      </c>
      <c r="O119" s="95">
        <v>0</v>
      </c>
      <c r="P119" s="95">
        <v>0</v>
      </c>
      <c r="Q119" s="49" t="s">
        <v>10908</v>
      </c>
    </row>
    <row r="120" spans="1:17">
      <c r="A120" s="95">
        <v>759724529202804</v>
      </c>
      <c r="B120" s="49" t="s">
        <v>10621</v>
      </c>
      <c r="C120" s="49" t="s">
        <v>10909</v>
      </c>
      <c r="D120" s="49" t="s">
        <v>10910</v>
      </c>
      <c r="E120" s="49">
        <v>6281904501876</v>
      </c>
      <c r="F120" s="96">
        <v>45832</v>
      </c>
      <c r="G120" s="49" t="s">
        <v>12678</v>
      </c>
      <c r="H120" s="49" t="s">
        <v>12676</v>
      </c>
      <c r="I120" s="95">
        <v>1133</v>
      </c>
      <c r="J120" s="95">
        <v>1520</v>
      </c>
      <c r="K120" s="95">
        <v>12</v>
      </c>
      <c r="L120" s="97">
        <v>9584.21052631579</v>
      </c>
      <c r="M120" s="102">
        <v>14568</v>
      </c>
      <c r="N120" s="95">
        <v>0</v>
      </c>
      <c r="O120" s="95">
        <v>1</v>
      </c>
      <c r="P120" s="95">
        <v>0</v>
      </c>
      <c r="Q120" s="49" t="s">
        <v>10911</v>
      </c>
    </row>
    <row r="121" spans="1:17">
      <c r="A121" s="95">
        <v>759724529202804</v>
      </c>
      <c r="B121" s="49" t="s">
        <v>10621</v>
      </c>
      <c r="C121" s="49" t="s">
        <v>10909</v>
      </c>
      <c r="D121" s="49" t="s">
        <v>10910</v>
      </c>
      <c r="E121" s="49">
        <v>6281904501876</v>
      </c>
      <c r="F121" s="96">
        <v>45832</v>
      </c>
      <c r="G121" s="49" t="s">
        <v>12679</v>
      </c>
      <c r="H121" s="49" t="s">
        <v>12676</v>
      </c>
      <c r="I121" s="95">
        <v>2</v>
      </c>
      <c r="J121" s="95">
        <v>2</v>
      </c>
      <c r="K121" s="95">
        <v>0</v>
      </c>
      <c r="L121" s="97">
        <v>9000</v>
      </c>
      <c r="M121" s="102">
        <v>18</v>
      </c>
      <c r="N121" s="95">
        <v>0</v>
      </c>
      <c r="O121" s="95">
        <v>0</v>
      </c>
      <c r="P121" s="95">
        <v>0</v>
      </c>
      <c r="Q121" s="49" t="s">
        <v>10911</v>
      </c>
    </row>
    <row r="122" spans="1:17">
      <c r="A122" s="95">
        <v>759724529202804</v>
      </c>
      <c r="B122" s="49" t="s">
        <v>10621</v>
      </c>
      <c r="C122" s="49" t="s">
        <v>10912</v>
      </c>
      <c r="D122" s="49" t="s">
        <v>1029</v>
      </c>
      <c r="E122" s="49">
        <v>6281253792753</v>
      </c>
      <c r="F122" s="96">
        <v>45832</v>
      </c>
      <c r="G122" s="49" t="s">
        <v>12680</v>
      </c>
      <c r="H122" s="49" t="s">
        <v>12676</v>
      </c>
      <c r="I122" s="95">
        <v>800</v>
      </c>
      <c r="J122" s="95">
        <v>1106</v>
      </c>
      <c r="K122" s="95">
        <v>16</v>
      </c>
      <c r="L122" s="97">
        <v>12995.479204339963</v>
      </c>
      <c r="M122" s="102">
        <v>14373</v>
      </c>
      <c r="N122" s="95">
        <v>1</v>
      </c>
      <c r="O122" s="95">
        <v>0</v>
      </c>
      <c r="P122" s="95">
        <v>0</v>
      </c>
      <c r="Q122" s="49" t="s">
        <v>10913</v>
      </c>
    </row>
    <row r="123" spans="1:17">
      <c r="A123" s="95">
        <v>759724529202804</v>
      </c>
      <c r="B123" s="49" t="s">
        <v>10621</v>
      </c>
      <c r="C123" s="49" t="s">
        <v>10922</v>
      </c>
      <c r="D123" s="49" t="s">
        <v>1021</v>
      </c>
      <c r="E123" s="49">
        <v>6282122880328</v>
      </c>
      <c r="F123" s="96">
        <v>45832</v>
      </c>
      <c r="G123" s="49" t="s">
        <v>12681</v>
      </c>
      <c r="H123" s="49" t="s">
        <v>12676</v>
      </c>
      <c r="I123" s="95">
        <v>5</v>
      </c>
      <c r="J123" s="95">
        <v>5</v>
      </c>
      <c r="K123" s="95">
        <v>0</v>
      </c>
      <c r="L123" s="97">
        <v>128199.99999999999</v>
      </c>
      <c r="M123" s="102">
        <v>641</v>
      </c>
      <c r="N123" s="95">
        <v>0</v>
      </c>
      <c r="O123" s="95">
        <v>0</v>
      </c>
      <c r="P123" s="95">
        <v>0</v>
      </c>
      <c r="Q123" s="49" t="s">
        <v>10914</v>
      </c>
    </row>
    <row r="124" spans="1:17">
      <c r="A124" s="95">
        <v>759724529202804</v>
      </c>
      <c r="B124" s="49" t="s">
        <v>10621</v>
      </c>
      <c r="C124" s="49" t="s">
        <v>10922</v>
      </c>
      <c r="D124" s="49" t="s">
        <v>1021</v>
      </c>
      <c r="E124" s="49">
        <v>6282122880328</v>
      </c>
      <c r="F124" s="96">
        <v>45832</v>
      </c>
      <c r="G124" s="49" t="s">
        <v>7917</v>
      </c>
      <c r="H124" s="49" t="s">
        <v>12676</v>
      </c>
      <c r="I124" s="95">
        <v>3</v>
      </c>
      <c r="J124" s="95">
        <v>3</v>
      </c>
      <c r="K124" s="95">
        <v>0</v>
      </c>
      <c r="L124" s="97">
        <v>16333.333333333332</v>
      </c>
      <c r="M124" s="102">
        <v>49</v>
      </c>
      <c r="N124" s="95">
        <v>0</v>
      </c>
      <c r="O124" s="95">
        <v>0</v>
      </c>
      <c r="P124" s="95">
        <v>0</v>
      </c>
      <c r="Q124" s="49" t="s">
        <v>10914</v>
      </c>
    </row>
    <row r="125" spans="1:17">
      <c r="A125" s="95">
        <v>759724529202804</v>
      </c>
      <c r="B125" s="49" t="s">
        <v>10621</v>
      </c>
      <c r="C125" s="49" t="s">
        <v>10922</v>
      </c>
      <c r="D125" s="49" t="s">
        <v>1021</v>
      </c>
      <c r="E125" s="49">
        <v>6282122880328</v>
      </c>
      <c r="F125" s="96">
        <v>45832</v>
      </c>
      <c r="G125" s="49" t="s">
        <v>1210</v>
      </c>
      <c r="H125" s="49" t="s">
        <v>12676</v>
      </c>
      <c r="I125" s="95">
        <v>4</v>
      </c>
      <c r="J125" s="95">
        <v>5</v>
      </c>
      <c r="K125" s="95">
        <v>0</v>
      </c>
      <c r="L125" s="97">
        <v>61600</v>
      </c>
      <c r="M125" s="102">
        <v>308</v>
      </c>
      <c r="N125" s="95">
        <v>0</v>
      </c>
      <c r="O125" s="95">
        <v>0</v>
      </c>
      <c r="P125" s="95">
        <v>0</v>
      </c>
      <c r="Q125" s="49" t="s">
        <v>10914</v>
      </c>
    </row>
    <row r="126" spans="1:17">
      <c r="A126" s="95">
        <v>759724529202804</v>
      </c>
      <c r="B126" s="49" t="s">
        <v>10621</v>
      </c>
      <c r="C126" s="49" t="s">
        <v>10922</v>
      </c>
      <c r="D126" s="49" t="s">
        <v>1021</v>
      </c>
      <c r="E126" s="49">
        <v>6282122880328</v>
      </c>
      <c r="F126" s="96">
        <v>45832</v>
      </c>
      <c r="G126" s="49" t="s">
        <v>12678</v>
      </c>
      <c r="H126" s="49" t="s">
        <v>12676</v>
      </c>
      <c r="I126" s="95">
        <v>13</v>
      </c>
      <c r="J126" s="95">
        <v>13</v>
      </c>
      <c r="K126" s="95">
        <v>1</v>
      </c>
      <c r="L126" s="97">
        <v>99769.23076923078</v>
      </c>
      <c r="M126" s="102">
        <v>1297</v>
      </c>
      <c r="N126" s="95">
        <v>0</v>
      </c>
      <c r="O126" s="95">
        <v>0</v>
      </c>
      <c r="P126" s="95">
        <v>0</v>
      </c>
      <c r="Q126" s="49" t="s">
        <v>10914</v>
      </c>
    </row>
    <row r="127" spans="1:17">
      <c r="A127" s="95">
        <v>759724529202804</v>
      </c>
      <c r="B127" s="49" t="s">
        <v>10621</v>
      </c>
      <c r="C127" s="49" t="s">
        <v>10922</v>
      </c>
      <c r="D127" s="49" t="s">
        <v>1021</v>
      </c>
      <c r="E127" s="49">
        <v>6282122880328</v>
      </c>
      <c r="F127" s="96">
        <v>45832</v>
      </c>
      <c r="G127" s="49" t="s">
        <v>12682</v>
      </c>
      <c r="H127" s="49" t="s">
        <v>12676</v>
      </c>
      <c r="I127" s="95">
        <v>2</v>
      </c>
      <c r="J127" s="95">
        <v>3</v>
      </c>
      <c r="K127" s="95">
        <v>2</v>
      </c>
      <c r="L127" s="97">
        <v>12000</v>
      </c>
      <c r="M127" s="102">
        <v>36</v>
      </c>
      <c r="N127" s="95">
        <v>0</v>
      </c>
      <c r="O127" s="95">
        <v>0</v>
      </c>
      <c r="P127" s="95">
        <v>0</v>
      </c>
      <c r="Q127" s="49" t="s">
        <v>10914</v>
      </c>
    </row>
    <row r="128" spans="1:17">
      <c r="A128" s="95">
        <v>759724529202804</v>
      </c>
      <c r="B128" s="49" t="s">
        <v>10621</v>
      </c>
      <c r="C128" s="49" t="s">
        <v>10922</v>
      </c>
      <c r="D128" s="49" t="s">
        <v>1021</v>
      </c>
      <c r="E128" s="49">
        <v>6282122880328</v>
      </c>
      <c r="F128" s="96">
        <v>45832</v>
      </c>
      <c r="G128" s="49" t="s">
        <v>12683</v>
      </c>
      <c r="H128" s="49" t="s">
        <v>12676</v>
      </c>
      <c r="I128" s="95">
        <v>7</v>
      </c>
      <c r="J128" s="95">
        <v>12</v>
      </c>
      <c r="K128" s="95">
        <v>0</v>
      </c>
      <c r="L128" s="97">
        <v>25666.666666666668</v>
      </c>
      <c r="M128" s="102">
        <v>308</v>
      </c>
      <c r="N128" s="95">
        <v>0</v>
      </c>
      <c r="O128" s="95">
        <v>0</v>
      </c>
      <c r="P128" s="95">
        <v>0</v>
      </c>
      <c r="Q128" s="49" t="s">
        <v>10914</v>
      </c>
    </row>
    <row r="129" spans="1:17">
      <c r="A129" s="95">
        <v>759724529202804</v>
      </c>
      <c r="B129" s="49" t="s">
        <v>10621</v>
      </c>
      <c r="C129" s="49" t="s">
        <v>10922</v>
      </c>
      <c r="D129" s="49" t="s">
        <v>1021</v>
      </c>
      <c r="E129" s="49">
        <v>6282122880328</v>
      </c>
      <c r="F129" s="96">
        <v>45832</v>
      </c>
      <c r="G129" s="49" t="s">
        <v>12684</v>
      </c>
      <c r="H129" s="49" t="s">
        <v>12676</v>
      </c>
      <c r="I129" s="95">
        <v>21</v>
      </c>
      <c r="J129" s="95">
        <v>24</v>
      </c>
      <c r="K129" s="95">
        <v>1</v>
      </c>
      <c r="L129" s="97">
        <v>77500</v>
      </c>
      <c r="M129" s="102">
        <v>1860</v>
      </c>
      <c r="N129" s="95">
        <v>0</v>
      </c>
      <c r="O129" s="95">
        <v>0</v>
      </c>
      <c r="P129" s="95">
        <v>0</v>
      </c>
      <c r="Q129" s="49" t="s">
        <v>10914</v>
      </c>
    </row>
    <row r="130" spans="1:17">
      <c r="A130" s="95">
        <v>759724529202804</v>
      </c>
      <c r="B130" s="49" t="s">
        <v>10621</v>
      </c>
      <c r="C130" s="49" t="s">
        <v>10922</v>
      </c>
      <c r="D130" s="49" t="s">
        <v>1021</v>
      </c>
      <c r="E130" s="49">
        <v>6282122880328</v>
      </c>
      <c r="F130" s="96">
        <v>45832</v>
      </c>
      <c r="G130" s="49" t="s">
        <v>12680</v>
      </c>
      <c r="H130" s="49" t="s">
        <v>12676</v>
      </c>
      <c r="I130" s="95">
        <v>4</v>
      </c>
      <c r="J130" s="95">
        <v>4</v>
      </c>
      <c r="K130" s="95">
        <v>0</v>
      </c>
      <c r="L130" s="97">
        <v>20000</v>
      </c>
      <c r="M130" s="102">
        <v>80</v>
      </c>
      <c r="N130" s="95">
        <v>0</v>
      </c>
      <c r="O130" s="95">
        <v>0</v>
      </c>
      <c r="P130" s="95">
        <v>0</v>
      </c>
      <c r="Q130" s="49" t="s">
        <v>10914</v>
      </c>
    </row>
    <row r="131" spans="1:17">
      <c r="A131" s="95">
        <v>759724529202804</v>
      </c>
      <c r="B131" s="49" t="s">
        <v>10621</v>
      </c>
      <c r="C131" s="49" t="s">
        <v>10922</v>
      </c>
      <c r="D131" s="49" t="s">
        <v>1021</v>
      </c>
      <c r="E131" s="49">
        <v>6282122880328</v>
      </c>
      <c r="F131" s="96">
        <v>45832</v>
      </c>
      <c r="G131" s="49" t="s">
        <v>12685</v>
      </c>
      <c r="H131" s="49" t="s">
        <v>12676</v>
      </c>
      <c r="I131" s="95">
        <v>1</v>
      </c>
      <c r="J131" s="95">
        <v>1</v>
      </c>
      <c r="K131" s="95">
        <v>0</v>
      </c>
      <c r="L131" s="97">
        <v>25000</v>
      </c>
      <c r="M131" s="102">
        <v>25</v>
      </c>
      <c r="N131" s="95">
        <v>0</v>
      </c>
      <c r="O131" s="95">
        <v>0</v>
      </c>
      <c r="P131" s="95">
        <v>0</v>
      </c>
      <c r="Q131" s="49" t="s">
        <v>10914</v>
      </c>
    </row>
    <row r="132" spans="1:17">
      <c r="A132" s="95">
        <v>759724529202804</v>
      </c>
      <c r="B132" s="49" t="s">
        <v>10621</v>
      </c>
      <c r="C132" s="49" t="s">
        <v>10922</v>
      </c>
      <c r="D132" s="49" t="s">
        <v>1021</v>
      </c>
      <c r="E132" s="49">
        <v>6282122880328</v>
      </c>
      <c r="F132" s="96">
        <v>45832</v>
      </c>
      <c r="G132" s="49" t="s">
        <v>12686</v>
      </c>
      <c r="H132" s="49" t="s">
        <v>12676</v>
      </c>
      <c r="I132" s="95">
        <v>2</v>
      </c>
      <c r="J132" s="95">
        <v>2</v>
      </c>
      <c r="K132" s="95">
        <v>0</v>
      </c>
      <c r="L132" s="97">
        <v>191000</v>
      </c>
      <c r="M132" s="102">
        <v>382</v>
      </c>
      <c r="N132" s="95">
        <v>0</v>
      </c>
      <c r="O132" s="95">
        <v>0</v>
      </c>
      <c r="P132" s="95">
        <v>0</v>
      </c>
      <c r="Q132" s="49" t="s">
        <v>10914</v>
      </c>
    </row>
    <row r="133" spans="1:17">
      <c r="A133" s="95">
        <v>759724529202804</v>
      </c>
      <c r="B133" s="49" t="s">
        <v>10621</v>
      </c>
      <c r="C133" s="49" t="s">
        <v>10922</v>
      </c>
      <c r="D133" s="49" t="s">
        <v>1021</v>
      </c>
      <c r="E133" s="49">
        <v>6282122880328</v>
      </c>
      <c r="F133" s="96">
        <v>45832</v>
      </c>
      <c r="G133" s="49" t="s">
        <v>2132</v>
      </c>
      <c r="H133" s="49" t="s">
        <v>12676</v>
      </c>
      <c r="I133" s="95">
        <v>9</v>
      </c>
      <c r="J133" s="95">
        <v>10</v>
      </c>
      <c r="K133" s="95">
        <v>1</v>
      </c>
      <c r="L133" s="97">
        <v>88400</v>
      </c>
      <c r="M133" s="102">
        <v>884</v>
      </c>
      <c r="N133" s="95">
        <v>0</v>
      </c>
      <c r="O133" s="95">
        <v>0</v>
      </c>
      <c r="P133" s="95">
        <v>0</v>
      </c>
      <c r="Q133" s="49" t="s">
        <v>10914</v>
      </c>
    </row>
    <row r="134" spans="1:17">
      <c r="A134" s="95">
        <v>759724529202804</v>
      </c>
      <c r="B134" s="49" t="s">
        <v>10621</v>
      </c>
      <c r="C134" s="49" t="s">
        <v>10922</v>
      </c>
      <c r="D134" s="49" t="s">
        <v>1021</v>
      </c>
      <c r="E134" s="49">
        <v>6282122880328</v>
      </c>
      <c r="F134" s="96">
        <v>45832</v>
      </c>
      <c r="G134" s="49" t="s">
        <v>2718</v>
      </c>
      <c r="H134" s="49" t="s">
        <v>12676</v>
      </c>
      <c r="I134" s="95">
        <v>7</v>
      </c>
      <c r="J134" s="95">
        <v>7</v>
      </c>
      <c r="K134" s="95">
        <v>0</v>
      </c>
      <c r="L134" s="97">
        <v>25714.285714285714</v>
      </c>
      <c r="M134" s="102">
        <v>180</v>
      </c>
      <c r="N134" s="95">
        <v>0</v>
      </c>
      <c r="O134" s="95">
        <v>0</v>
      </c>
      <c r="P134" s="95">
        <v>0</v>
      </c>
      <c r="Q134" s="49" t="s">
        <v>10914</v>
      </c>
    </row>
    <row r="135" spans="1:17">
      <c r="A135" s="95">
        <v>759724529202804</v>
      </c>
      <c r="B135" s="49" t="s">
        <v>10621</v>
      </c>
      <c r="C135" s="49" t="s">
        <v>10922</v>
      </c>
      <c r="D135" s="49" t="s">
        <v>1021</v>
      </c>
      <c r="E135" s="49">
        <v>6282122880328</v>
      </c>
      <c r="F135" s="96">
        <v>45832</v>
      </c>
      <c r="G135" s="49" t="s">
        <v>2981</v>
      </c>
      <c r="H135" s="49" t="s">
        <v>12676</v>
      </c>
      <c r="I135" s="95">
        <v>10</v>
      </c>
      <c r="J135" s="95">
        <v>11</v>
      </c>
      <c r="K135" s="95">
        <v>0</v>
      </c>
      <c r="L135" s="97">
        <v>30545.454545454548</v>
      </c>
      <c r="M135" s="102">
        <v>336</v>
      </c>
      <c r="N135" s="95">
        <v>0</v>
      </c>
      <c r="O135" s="95">
        <v>0</v>
      </c>
      <c r="P135" s="95">
        <v>0</v>
      </c>
      <c r="Q135" s="49" t="s">
        <v>10914</v>
      </c>
    </row>
    <row r="136" spans="1:17">
      <c r="A136" s="95">
        <v>759724529202804</v>
      </c>
      <c r="B136" s="49" t="s">
        <v>10621</v>
      </c>
      <c r="C136" s="49" t="s">
        <v>10922</v>
      </c>
      <c r="D136" s="49" t="s">
        <v>1021</v>
      </c>
      <c r="E136" s="49">
        <v>6282122880328</v>
      </c>
      <c r="F136" s="96">
        <v>45832</v>
      </c>
      <c r="G136" s="49" t="s">
        <v>12687</v>
      </c>
      <c r="H136" s="49" t="s">
        <v>12676</v>
      </c>
      <c r="I136" s="95">
        <v>2</v>
      </c>
      <c r="J136" s="95">
        <v>2</v>
      </c>
      <c r="K136" s="95">
        <v>0</v>
      </c>
      <c r="L136" s="97">
        <v>4000</v>
      </c>
      <c r="M136" s="102">
        <v>8</v>
      </c>
      <c r="N136" s="95">
        <v>0</v>
      </c>
      <c r="O136" s="95">
        <v>0</v>
      </c>
      <c r="P136" s="95">
        <v>0</v>
      </c>
      <c r="Q136" s="49" t="s">
        <v>10914</v>
      </c>
    </row>
    <row r="137" spans="1:17">
      <c r="A137" s="95">
        <v>759724529202804</v>
      </c>
      <c r="B137" s="49" t="s">
        <v>10621</v>
      </c>
      <c r="C137" s="49" t="s">
        <v>10922</v>
      </c>
      <c r="D137" s="49" t="s">
        <v>1021</v>
      </c>
      <c r="E137" s="49">
        <v>6282122880328</v>
      </c>
      <c r="F137" s="96">
        <v>45832</v>
      </c>
      <c r="G137" s="49" t="s">
        <v>12688</v>
      </c>
      <c r="H137" s="49" t="s">
        <v>12676</v>
      </c>
      <c r="I137" s="95">
        <v>1</v>
      </c>
      <c r="J137" s="95">
        <v>1</v>
      </c>
      <c r="K137" s="95">
        <v>2</v>
      </c>
      <c r="L137" s="97">
        <v>68000</v>
      </c>
      <c r="M137" s="102">
        <v>68</v>
      </c>
      <c r="N137" s="95">
        <v>0</v>
      </c>
      <c r="O137" s="95">
        <v>0</v>
      </c>
      <c r="P137" s="95">
        <v>0</v>
      </c>
      <c r="Q137" s="49" t="s">
        <v>10914</v>
      </c>
    </row>
    <row r="138" spans="1:17">
      <c r="A138" s="95">
        <v>759724529202804</v>
      </c>
      <c r="B138" s="49" t="s">
        <v>10621</v>
      </c>
      <c r="C138" s="49" t="s">
        <v>10922</v>
      </c>
      <c r="D138" s="49" t="s">
        <v>1021</v>
      </c>
      <c r="E138" s="49">
        <v>6282122880328</v>
      </c>
      <c r="F138" s="96">
        <v>45832</v>
      </c>
      <c r="G138" s="49" t="s">
        <v>12689</v>
      </c>
      <c r="H138" s="49" t="s">
        <v>12676</v>
      </c>
      <c r="I138" s="95">
        <v>2</v>
      </c>
      <c r="J138" s="95">
        <v>2</v>
      </c>
      <c r="K138" s="95">
        <v>0</v>
      </c>
      <c r="L138" s="97">
        <v>5000</v>
      </c>
      <c r="M138" s="102">
        <v>10</v>
      </c>
      <c r="N138" s="95">
        <v>0</v>
      </c>
      <c r="O138" s="95">
        <v>0</v>
      </c>
      <c r="P138" s="95">
        <v>0</v>
      </c>
      <c r="Q138" s="49" t="s">
        <v>10914</v>
      </c>
    </row>
    <row r="139" spans="1:17">
      <c r="A139" s="95">
        <v>759724529202804</v>
      </c>
      <c r="B139" s="49" t="s">
        <v>10621</v>
      </c>
      <c r="C139" s="49" t="s">
        <v>10922</v>
      </c>
      <c r="D139" s="49" t="s">
        <v>1021</v>
      </c>
      <c r="E139" s="49">
        <v>6282122880328</v>
      </c>
      <c r="F139" s="96">
        <v>45832</v>
      </c>
      <c r="G139" s="49" t="s">
        <v>12690</v>
      </c>
      <c r="H139" s="49" t="s">
        <v>12676</v>
      </c>
      <c r="I139" s="95">
        <v>4</v>
      </c>
      <c r="J139" s="95">
        <v>5</v>
      </c>
      <c r="K139" s="95">
        <v>0</v>
      </c>
      <c r="L139" s="97">
        <v>79400</v>
      </c>
      <c r="M139" s="102">
        <v>397</v>
      </c>
      <c r="N139" s="95">
        <v>0</v>
      </c>
      <c r="O139" s="95">
        <v>0</v>
      </c>
      <c r="P139" s="95">
        <v>0</v>
      </c>
      <c r="Q139" s="49" t="s">
        <v>10914</v>
      </c>
    </row>
    <row r="140" spans="1:17">
      <c r="A140" s="95">
        <v>759724529202804</v>
      </c>
      <c r="B140" s="49" t="s">
        <v>10621</v>
      </c>
      <c r="C140" s="49" t="s">
        <v>10922</v>
      </c>
      <c r="D140" s="49" t="s">
        <v>1021</v>
      </c>
      <c r="E140" s="49">
        <v>6282122880328</v>
      </c>
      <c r="F140" s="96">
        <v>45832</v>
      </c>
      <c r="G140" s="49" t="s">
        <v>12691</v>
      </c>
      <c r="H140" s="49" t="s">
        <v>12676</v>
      </c>
      <c r="I140" s="95">
        <v>7</v>
      </c>
      <c r="J140" s="95">
        <v>7</v>
      </c>
      <c r="K140" s="95">
        <v>1</v>
      </c>
      <c r="L140" s="97">
        <v>65714.28571428571</v>
      </c>
      <c r="M140" s="102">
        <v>460</v>
      </c>
      <c r="N140" s="95">
        <v>0</v>
      </c>
      <c r="O140" s="95">
        <v>0</v>
      </c>
      <c r="P140" s="95">
        <v>0</v>
      </c>
      <c r="Q140" s="49" t="s">
        <v>10914</v>
      </c>
    </row>
    <row r="141" spans="1:17">
      <c r="A141" s="95">
        <v>759724529202804</v>
      </c>
      <c r="B141" s="49" t="s">
        <v>10621</v>
      </c>
      <c r="C141" s="49" t="s">
        <v>10922</v>
      </c>
      <c r="D141" s="49" t="s">
        <v>1021</v>
      </c>
      <c r="E141" s="49">
        <v>6282122880328</v>
      </c>
      <c r="F141" s="96">
        <v>45832</v>
      </c>
      <c r="G141" s="49" t="s">
        <v>12692</v>
      </c>
      <c r="H141" s="49" t="s">
        <v>12676</v>
      </c>
      <c r="I141" s="95">
        <v>3</v>
      </c>
      <c r="J141" s="95">
        <v>3</v>
      </c>
      <c r="K141" s="95">
        <v>0</v>
      </c>
      <c r="L141" s="97">
        <v>36666.666666666664</v>
      </c>
      <c r="M141" s="102">
        <v>110</v>
      </c>
      <c r="N141" s="95">
        <v>0</v>
      </c>
      <c r="O141" s="95">
        <v>0</v>
      </c>
      <c r="P141" s="95">
        <v>0</v>
      </c>
      <c r="Q141" s="49" t="s">
        <v>10914</v>
      </c>
    </row>
    <row r="142" spans="1:17">
      <c r="A142" s="95">
        <v>759724529202804</v>
      </c>
      <c r="B142" s="49" t="s">
        <v>10621</v>
      </c>
      <c r="C142" s="49" t="s">
        <v>10922</v>
      </c>
      <c r="D142" s="49" t="s">
        <v>1021</v>
      </c>
      <c r="E142" s="49">
        <v>6282122880328</v>
      </c>
      <c r="F142" s="96">
        <v>45832</v>
      </c>
      <c r="G142" s="49" t="s">
        <v>1473</v>
      </c>
      <c r="H142" s="49" t="s">
        <v>12676</v>
      </c>
      <c r="I142" s="95">
        <v>11</v>
      </c>
      <c r="J142" s="95">
        <v>12</v>
      </c>
      <c r="K142" s="95">
        <v>0</v>
      </c>
      <c r="L142" s="97">
        <v>25916.666666666668</v>
      </c>
      <c r="M142" s="102">
        <v>311</v>
      </c>
      <c r="N142" s="95">
        <v>0</v>
      </c>
      <c r="O142" s="95">
        <v>0</v>
      </c>
      <c r="P142" s="95">
        <v>0</v>
      </c>
      <c r="Q142" s="49" t="s">
        <v>10914</v>
      </c>
    </row>
    <row r="143" spans="1:17">
      <c r="A143" s="95">
        <v>759724529202804</v>
      </c>
      <c r="B143" s="49" t="s">
        <v>10621</v>
      </c>
      <c r="C143" s="49" t="s">
        <v>10922</v>
      </c>
      <c r="D143" s="49" t="s">
        <v>1021</v>
      </c>
      <c r="E143" s="49">
        <v>6282122880328</v>
      </c>
      <c r="F143" s="96">
        <v>45832</v>
      </c>
      <c r="G143" s="49" t="s">
        <v>12693</v>
      </c>
      <c r="H143" s="49" t="s">
        <v>12676</v>
      </c>
      <c r="I143" s="95">
        <v>4</v>
      </c>
      <c r="J143" s="95">
        <v>4</v>
      </c>
      <c r="K143" s="95">
        <v>1</v>
      </c>
      <c r="L143" s="97">
        <v>40250</v>
      </c>
      <c r="M143" s="102">
        <v>161</v>
      </c>
      <c r="N143" s="95">
        <v>0</v>
      </c>
      <c r="O143" s="95">
        <v>0</v>
      </c>
      <c r="P143" s="95">
        <v>0</v>
      </c>
      <c r="Q143" s="49" t="s">
        <v>10914</v>
      </c>
    </row>
    <row r="144" spans="1:17">
      <c r="A144" s="95">
        <v>759724529202804</v>
      </c>
      <c r="B144" s="49" t="s">
        <v>10621</v>
      </c>
      <c r="C144" s="49" t="s">
        <v>10922</v>
      </c>
      <c r="D144" s="49" t="s">
        <v>1021</v>
      </c>
      <c r="E144" s="49">
        <v>6282122880328</v>
      </c>
      <c r="F144" s="96">
        <v>45832</v>
      </c>
      <c r="G144" s="49" t="s">
        <v>12694</v>
      </c>
      <c r="H144" s="49" t="s">
        <v>12676</v>
      </c>
      <c r="I144" s="95">
        <v>4</v>
      </c>
      <c r="J144" s="95">
        <v>5</v>
      </c>
      <c r="K144" s="95">
        <v>0</v>
      </c>
      <c r="L144" s="97">
        <v>107400</v>
      </c>
      <c r="M144" s="102">
        <v>537</v>
      </c>
      <c r="N144" s="95">
        <v>0</v>
      </c>
      <c r="O144" s="95">
        <v>0</v>
      </c>
      <c r="P144" s="95">
        <v>0</v>
      </c>
      <c r="Q144" s="49" t="s">
        <v>10914</v>
      </c>
    </row>
    <row r="145" spans="1:17">
      <c r="A145" s="95">
        <v>759724529202804</v>
      </c>
      <c r="B145" s="49" t="s">
        <v>10621</v>
      </c>
      <c r="C145" s="49" t="s">
        <v>10922</v>
      </c>
      <c r="D145" s="49" t="s">
        <v>1021</v>
      </c>
      <c r="E145" s="49">
        <v>6282122880328</v>
      </c>
      <c r="F145" s="96">
        <v>45832</v>
      </c>
      <c r="G145" s="49" t="s">
        <v>12695</v>
      </c>
      <c r="H145" s="49" t="s">
        <v>12676</v>
      </c>
      <c r="I145" s="95">
        <v>21</v>
      </c>
      <c r="J145" s="95">
        <v>22</v>
      </c>
      <c r="K145" s="95">
        <v>0</v>
      </c>
      <c r="L145" s="97">
        <v>43590.909090909096</v>
      </c>
      <c r="M145" s="102">
        <v>959</v>
      </c>
      <c r="N145" s="95">
        <v>0</v>
      </c>
      <c r="O145" s="95">
        <v>0</v>
      </c>
      <c r="P145" s="95">
        <v>0</v>
      </c>
      <c r="Q145" s="49" t="s">
        <v>10914</v>
      </c>
    </row>
    <row r="146" spans="1:17">
      <c r="A146" s="95">
        <v>759724529202804</v>
      </c>
      <c r="B146" s="49" t="s">
        <v>10621</v>
      </c>
      <c r="C146" s="49" t="s">
        <v>10922</v>
      </c>
      <c r="D146" s="49" t="s">
        <v>1021</v>
      </c>
      <c r="E146" s="49">
        <v>6282122880328</v>
      </c>
      <c r="F146" s="96">
        <v>45832</v>
      </c>
      <c r="G146" s="49" t="s">
        <v>12696</v>
      </c>
      <c r="H146" s="49" t="s">
        <v>12676</v>
      </c>
      <c r="I146" s="95">
        <v>9</v>
      </c>
      <c r="J146" s="95">
        <v>9</v>
      </c>
      <c r="K146" s="95">
        <v>2</v>
      </c>
      <c r="L146" s="97">
        <v>120000</v>
      </c>
      <c r="M146" s="102">
        <v>1080</v>
      </c>
      <c r="N146" s="95">
        <v>1</v>
      </c>
      <c r="O146" s="95">
        <v>0</v>
      </c>
      <c r="P146" s="95">
        <v>0</v>
      </c>
      <c r="Q146" s="49" t="s">
        <v>10914</v>
      </c>
    </row>
    <row r="147" spans="1:17">
      <c r="A147" s="95">
        <v>759724529202804</v>
      </c>
      <c r="B147" s="49" t="s">
        <v>10621</v>
      </c>
      <c r="C147" s="49" t="s">
        <v>10922</v>
      </c>
      <c r="D147" s="49" t="s">
        <v>1021</v>
      </c>
      <c r="E147" s="49">
        <v>6282122880328</v>
      </c>
      <c r="F147" s="96">
        <v>45832</v>
      </c>
      <c r="G147" s="49" t="s">
        <v>12697</v>
      </c>
      <c r="H147" s="49" t="s">
        <v>12676</v>
      </c>
      <c r="I147" s="95">
        <v>6</v>
      </c>
      <c r="J147" s="95">
        <v>6</v>
      </c>
      <c r="K147" s="95">
        <v>0</v>
      </c>
      <c r="L147" s="97">
        <v>13500</v>
      </c>
      <c r="M147" s="102">
        <v>81</v>
      </c>
      <c r="N147" s="95">
        <v>0</v>
      </c>
      <c r="O147" s="95">
        <v>0</v>
      </c>
      <c r="P147" s="95">
        <v>0</v>
      </c>
      <c r="Q147" s="49" t="s">
        <v>10914</v>
      </c>
    </row>
    <row r="148" spans="1:17">
      <c r="A148" s="95">
        <v>759724529202804</v>
      </c>
      <c r="B148" s="49" t="s">
        <v>10621</v>
      </c>
      <c r="C148" s="49" t="s">
        <v>10863</v>
      </c>
      <c r="D148" s="49" t="s">
        <v>10864</v>
      </c>
      <c r="E148" s="49">
        <v>6285180805171</v>
      </c>
      <c r="F148" s="96">
        <v>45832</v>
      </c>
      <c r="G148" s="49" t="s">
        <v>12694</v>
      </c>
      <c r="H148" s="49" t="s">
        <v>12676</v>
      </c>
      <c r="I148" s="95">
        <v>1257</v>
      </c>
      <c r="J148" s="95">
        <v>1451</v>
      </c>
      <c r="K148" s="95">
        <v>26</v>
      </c>
      <c r="L148" s="97">
        <v>10780.840799448657</v>
      </c>
      <c r="M148" s="102">
        <v>15643</v>
      </c>
      <c r="N148" s="95">
        <v>1</v>
      </c>
      <c r="O148" s="95">
        <v>423</v>
      </c>
      <c r="P148" s="95">
        <v>0</v>
      </c>
      <c r="Q148" s="49" t="s">
        <v>10865</v>
      </c>
    </row>
    <row r="149" spans="1:17">
      <c r="A149" s="95">
        <v>759724529202804</v>
      </c>
      <c r="B149" s="49" t="s">
        <v>10621</v>
      </c>
      <c r="C149" s="49" t="s">
        <v>10850</v>
      </c>
      <c r="D149" s="49" t="s">
        <v>10851</v>
      </c>
      <c r="E149" s="49">
        <v>6282125465047</v>
      </c>
      <c r="F149" s="96">
        <v>45832</v>
      </c>
      <c r="G149" s="49" t="s">
        <v>7917</v>
      </c>
      <c r="H149" s="49" t="s">
        <v>12676</v>
      </c>
      <c r="I149" s="95">
        <v>51</v>
      </c>
      <c r="J149" s="95">
        <v>53</v>
      </c>
      <c r="K149" s="95">
        <v>1</v>
      </c>
      <c r="L149" s="97">
        <v>22132.075471698114</v>
      </c>
      <c r="M149" s="102">
        <v>1173</v>
      </c>
      <c r="N149" s="95">
        <v>0</v>
      </c>
      <c r="O149" s="95">
        <v>18</v>
      </c>
      <c r="P149" s="95">
        <v>0</v>
      </c>
      <c r="Q149" s="49" t="s">
        <v>10852</v>
      </c>
    </row>
    <row r="150" spans="1:17">
      <c r="A150" s="95">
        <v>759724529202804</v>
      </c>
      <c r="B150" s="49" t="s">
        <v>10621</v>
      </c>
      <c r="C150" s="49" t="s">
        <v>10850</v>
      </c>
      <c r="D150" s="49" t="s">
        <v>10851</v>
      </c>
      <c r="E150" s="49">
        <v>6282125465047</v>
      </c>
      <c r="F150" s="96">
        <v>45832</v>
      </c>
      <c r="G150" s="49" t="s">
        <v>2132</v>
      </c>
      <c r="H150" s="49" t="s">
        <v>12676</v>
      </c>
      <c r="I150" s="95">
        <v>348</v>
      </c>
      <c r="J150" s="95">
        <v>389</v>
      </c>
      <c r="K150" s="95">
        <v>20</v>
      </c>
      <c r="L150" s="97">
        <v>17609.25449871465</v>
      </c>
      <c r="M150" s="102">
        <v>6850</v>
      </c>
      <c r="N150" s="95">
        <v>4</v>
      </c>
      <c r="O150" s="95">
        <v>130</v>
      </c>
      <c r="P150" s="95">
        <v>1</v>
      </c>
      <c r="Q150" s="49" t="s">
        <v>10852</v>
      </c>
    </row>
    <row r="151" spans="1:17">
      <c r="A151" s="95">
        <v>759724529202804</v>
      </c>
      <c r="B151" s="49" t="s">
        <v>10621</v>
      </c>
      <c r="C151" s="49" t="s">
        <v>10850</v>
      </c>
      <c r="D151" s="49" t="s">
        <v>10851</v>
      </c>
      <c r="E151" s="49">
        <v>6282125465047</v>
      </c>
      <c r="F151" s="96">
        <v>45832</v>
      </c>
      <c r="G151" s="49" t="s">
        <v>12677</v>
      </c>
      <c r="H151" s="49" t="s">
        <v>12676</v>
      </c>
      <c r="I151" s="95">
        <v>401</v>
      </c>
      <c r="J151" s="95">
        <v>453</v>
      </c>
      <c r="K151" s="95">
        <v>25</v>
      </c>
      <c r="L151" s="97">
        <v>17988.962472406183</v>
      </c>
      <c r="M151" s="102">
        <v>8149</v>
      </c>
      <c r="N151" s="95">
        <v>5</v>
      </c>
      <c r="O151" s="95">
        <v>145</v>
      </c>
      <c r="P151" s="95">
        <v>1</v>
      </c>
      <c r="Q151" s="49" t="s">
        <v>10852</v>
      </c>
    </row>
    <row r="152" spans="1:17">
      <c r="A152" s="95">
        <v>759724529202804</v>
      </c>
      <c r="B152" s="49" t="s">
        <v>10621</v>
      </c>
      <c r="C152" s="49" t="s">
        <v>10890</v>
      </c>
      <c r="D152" s="49" t="s">
        <v>450</v>
      </c>
      <c r="E152" s="49">
        <v>62895401448273</v>
      </c>
      <c r="F152" s="96">
        <v>45832</v>
      </c>
      <c r="G152" s="49" t="s">
        <v>46</v>
      </c>
      <c r="H152" s="49" t="s">
        <v>12676</v>
      </c>
      <c r="I152" s="95">
        <v>548</v>
      </c>
      <c r="J152" s="95">
        <v>755</v>
      </c>
      <c r="K152" s="95">
        <v>24</v>
      </c>
      <c r="L152" s="97">
        <v>22256.953642384105</v>
      </c>
      <c r="M152" s="102">
        <v>16804</v>
      </c>
      <c r="N152" s="95">
        <v>1</v>
      </c>
      <c r="O152" s="95">
        <v>0</v>
      </c>
      <c r="P152" s="95">
        <v>0</v>
      </c>
      <c r="Q152" s="49" t="s">
        <v>10891</v>
      </c>
    </row>
    <row r="153" spans="1:17">
      <c r="A153" s="95">
        <v>759724529202804</v>
      </c>
      <c r="B153" s="49" t="s">
        <v>10621</v>
      </c>
      <c r="C153" s="49" t="s">
        <v>332</v>
      </c>
      <c r="D153" s="49" t="s">
        <v>10708</v>
      </c>
      <c r="E153" s="49">
        <v>6282350524788</v>
      </c>
      <c r="F153" s="96">
        <v>45832</v>
      </c>
      <c r="G153" s="49" t="s">
        <v>12680</v>
      </c>
      <c r="H153" s="49" t="s">
        <v>12676</v>
      </c>
      <c r="I153" s="95">
        <v>781</v>
      </c>
      <c r="J153" s="95">
        <v>961</v>
      </c>
      <c r="K153" s="95">
        <v>39</v>
      </c>
      <c r="L153" s="97">
        <v>15530.697190426639</v>
      </c>
      <c r="M153" s="102">
        <v>14925</v>
      </c>
      <c r="N153" s="95">
        <v>4</v>
      </c>
      <c r="O153" s="95">
        <v>5</v>
      </c>
      <c r="P153" s="95">
        <v>0</v>
      </c>
      <c r="Q153" s="49" t="s">
        <v>10709</v>
      </c>
    </row>
    <row r="154" spans="1:17">
      <c r="A154" s="95">
        <v>759724529202804</v>
      </c>
      <c r="B154" s="49" t="s">
        <v>10621</v>
      </c>
      <c r="C154" s="49" t="s">
        <v>665</v>
      </c>
      <c r="D154" s="49" t="s">
        <v>659</v>
      </c>
      <c r="E154" s="49">
        <v>6285757057088</v>
      </c>
      <c r="F154" s="96">
        <v>45832</v>
      </c>
      <c r="G154" s="49" t="s">
        <v>12678</v>
      </c>
      <c r="H154" s="49" t="s">
        <v>12676</v>
      </c>
      <c r="I154" s="95">
        <v>533</v>
      </c>
      <c r="J154" s="95">
        <v>666</v>
      </c>
      <c r="K154" s="95">
        <v>17</v>
      </c>
      <c r="L154" s="97">
        <v>17839.339339339338</v>
      </c>
      <c r="M154" s="102">
        <v>11881</v>
      </c>
      <c r="N154" s="95">
        <v>1</v>
      </c>
      <c r="O154" s="95">
        <v>0</v>
      </c>
      <c r="P154" s="95">
        <v>1</v>
      </c>
      <c r="Q154" s="49" t="s">
        <v>10636</v>
      </c>
    </row>
    <row r="155" spans="1:17">
      <c r="A155" s="95">
        <v>759724529202804</v>
      </c>
      <c r="B155" s="49" t="s">
        <v>10621</v>
      </c>
      <c r="C155" s="49" t="s">
        <v>665</v>
      </c>
      <c r="D155" s="49" t="s">
        <v>659</v>
      </c>
      <c r="E155" s="49">
        <v>6285757057088</v>
      </c>
      <c r="F155" s="96">
        <v>45832</v>
      </c>
      <c r="G155" s="49" t="s">
        <v>12684</v>
      </c>
      <c r="H155" s="49" t="s">
        <v>12676</v>
      </c>
      <c r="I155" s="95">
        <v>31</v>
      </c>
      <c r="J155" s="95">
        <v>43</v>
      </c>
      <c r="K155" s="95">
        <v>4</v>
      </c>
      <c r="L155" s="97">
        <v>20372.093023255813</v>
      </c>
      <c r="M155" s="102">
        <v>876</v>
      </c>
      <c r="N155" s="95">
        <v>0</v>
      </c>
      <c r="O155" s="95">
        <v>0</v>
      </c>
      <c r="P155" s="95">
        <v>0</v>
      </c>
      <c r="Q155" s="49" t="s">
        <v>10636</v>
      </c>
    </row>
    <row r="156" spans="1:17">
      <c r="A156" s="95">
        <v>759724529202804</v>
      </c>
      <c r="B156" s="49" t="s">
        <v>10621</v>
      </c>
      <c r="C156" s="49" t="s">
        <v>665</v>
      </c>
      <c r="D156" s="49" t="s">
        <v>659</v>
      </c>
      <c r="E156" s="49">
        <v>6285757057088</v>
      </c>
      <c r="F156" s="96">
        <v>45832</v>
      </c>
      <c r="G156" s="49" t="s">
        <v>12679</v>
      </c>
      <c r="H156" s="49" t="s">
        <v>12676</v>
      </c>
      <c r="I156" s="95">
        <v>105</v>
      </c>
      <c r="J156" s="95">
        <v>123</v>
      </c>
      <c r="K156" s="95">
        <v>4</v>
      </c>
      <c r="L156" s="97">
        <v>19414.634146341465</v>
      </c>
      <c r="M156" s="102">
        <v>2388</v>
      </c>
      <c r="N156" s="95">
        <v>0</v>
      </c>
      <c r="O156" s="95">
        <v>0</v>
      </c>
      <c r="P156" s="95">
        <v>0</v>
      </c>
      <c r="Q156" s="49" t="s">
        <v>10636</v>
      </c>
    </row>
    <row r="157" spans="1:17">
      <c r="A157" s="95">
        <v>174904221976312</v>
      </c>
      <c r="B157" s="49" t="s">
        <v>10651</v>
      </c>
      <c r="C157" s="49" t="s">
        <v>10915</v>
      </c>
      <c r="D157" s="49" t="s">
        <v>10674</v>
      </c>
      <c r="E157" s="49">
        <v>6282183184641</v>
      </c>
      <c r="F157" s="96">
        <v>45832</v>
      </c>
      <c r="G157" s="49" t="s">
        <v>2718</v>
      </c>
      <c r="H157" s="49" t="s">
        <v>12676</v>
      </c>
      <c r="I157" s="95">
        <v>372</v>
      </c>
      <c r="J157" s="95">
        <v>404</v>
      </c>
      <c r="K157" s="95">
        <v>8</v>
      </c>
      <c r="L157" s="97">
        <v>16304.455445544554</v>
      </c>
      <c r="M157" s="102">
        <v>6587</v>
      </c>
      <c r="N157" s="95">
        <v>2</v>
      </c>
      <c r="O157" s="95">
        <v>60</v>
      </c>
      <c r="P157" s="95">
        <v>0</v>
      </c>
      <c r="Q157" s="49" t="s">
        <v>10675</v>
      </c>
    </row>
    <row r="158" spans="1:17">
      <c r="A158" s="95">
        <v>174904221976312</v>
      </c>
      <c r="B158" s="49" t="s">
        <v>10651</v>
      </c>
      <c r="C158" s="49" t="s">
        <v>10915</v>
      </c>
      <c r="D158" s="49" t="s">
        <v>10674</v>
      </c>
      <c r="E158" s="49">
        <v>6282183184641</v>
      </c>
      <c r="F158" s="96">
        <v>45832</v>
      </c>
      <c r="G158" s="49" t="s">
        <v>12696</v>
      </c>
      <c r="H158" s="49" t="s">
        <v>12676</v>
      </c>
      <c r="I158" s="95">
        <v>10</v>
      </c>
      <c r="J158" s="95">
        <v>10</v>
      </c>
      <c r="K158" s="95">
        <v>0</v>
      </c>
      <c r="L158" s="97">
        <v>14600</v>
      </c>
      <c r="M158" s="102">
        <v>146</v>
      </c>
      <c r="N158" s="95">
        <v>0</v>
      </c>
      <c r="O158" s="95">
        <v>1</v>
      </c>
      <c r="P158" s="95">
        <v>0</v>
      </c>
      <c r="Q158" s="49" t="s">
        <v>10675</v>
      </c>
    </row>
    <row r="159" spans="1:17">
      <c r="A159" s="95">
        <v>174904221976312</v>
      </c>
      <c r="B159" s="49" t="s">
        <v>10651</v>
      </c>
      <c r="C159" s="49" t="s">
        <v>10892</v>
      </c>
      <c r="D159" s="49" t="s">
        <v>10893</v>
      </c>
      <c r="E159" s="49">
        <v>6282399721881</v>
      </c>
      <c r="F159" s="96">
        <v>45832</v>
      </c>
      <c r="G159" s="49" t="s">
        <v>12692</v>
      </c>
      <c r="H159" s="49" t="s">
        <v>12676</v>
      </c>
      <c r="I159" s="95">
        <v>957</v>
      </c>
      <c r="J159" s="95">
        <v>1225</v>
      </c>
      <c r="K159" s="95">
        <v>18</v>
      </c>
      <c r="L159" s="97">
        <v>10435.102040816328</v>
      </c>
      <c r="M159" s="102">
        <v>12783</v>
      </c>
      <c r="N159" s="95">
        <v>0</v>
      </c>
      <c r="O159" s="95">
        <v>447</v>
      </c>
      <c r="P159" s="95">
        <v>0</v>
      </c>
      <c r="Q159" s="49" t="s">
        <v>10894</v>
      </c>
    </row>
    <row r="160" spans="1:17">
      <c r="A160" s="95">
        <v>174904221976312</v>
      </c>
      <c r="B160" s="49" t="s">
        <v>10651</v>
      </c>
      <c r="C160" s="49" t="s">
        <v>10895</v>
      </c>
      <c r="D160" s="49" t="s">
        <v>10896</v>
      </c>
      <c r="E160" s="49">
        <v>6281299907533</v>
      </c>
      <c r="F160" s="96">
        <v>45832</v>
      </c>
      <c r="G160" s="49" t="s">
        <v>12677</v>
      </c>
      <c r="H160" s="49" t="s">
        <v>12676</v>
      </c>
      <c r="I160" s="95">
        <v>398</v>
      </c>
      <c r="J160" s="95">
        <v>453</v>
      </c>
      <c r="K160" s="95">
        <v>18</v>
      </c>
      <c r="L160" s="97">
        <v>27280.353200883004</v>
      </c>
      <c r="M160" s="102">
        <v>12358</v>
      </c>
      <c r="N160" s="95">
        <v>1</v>
      </c>
      <c r="O160" s="95">
        <v>185</v>
      </c>
      <c r="P160" s="95">
        <v>0</v>
      </c>
      <c r="Q160" s="49" t="s">
        <v>10897</v>
      </c>
    </row>
    <row r="161" spans="1:17">
      <c r="A161" s="95">
        <v>174904221976312</v>
      </c>
      <c r="B161" s="49" t="s">
        <v>10651</v>
      </c>
      <c r="C161" s="49" t="s">
        <v>10866</v>
      </c>
      <c r="D161" s="49" t="s">
        <v>878</v>
      </c>
      <c r="E161" s="49">
        <v>6285733774700</v>
      </c>
      <c r="F161" s="96">
        <v>45832</v>
      </c>
      <c r="G161" s="49" t="s">
        <v>12684</v>
      </c>
      <c r="H161" s="49" t="s">
        <v>12676</v>
      </c>
      <c r="I161" s="95">
        <v>666</v>
      </c>
      <c r="J161" s="95">
        <v>775</v>
      </c>
      <c r="K161" s="95">
        <v>25</v>
      </c>
      <c r="L161" s="97">
        <v>17581.93548387097</v>
      </c>
      <c r="M161" s="102">
        <v>13626</v>
      </c>
      <c r="N161" s="95">
        <v>5</v>
      </c>
      <c r="O161" s="95">
        <v>172</v>
      </c>
      <c r="P161" s="95">
        <v>1</v>
      </c>
      <c r="Q161" s="49" t="s">
        <v>10867</v>
      </c>
    </row>
    <row r="162" spans="1:17">
      <c r="A162" s="95">
        <v>174904221976312</v>
      </c>
      <c r="B162" s="49" t="s">
        <v>10651</v>
      </c>
      <c r="C162" s="49" t="s">
        <v>10853</v>
      </c>
      <c r="D162" s="49" t="s">
        <v>10854</v>
      </c>
      <c r="E162" s="49">
        <v>6281393958199</v>
      </c>
      <c r="F162" s="96">
        <v>45832</v>
      </c>
      <c r="G162" s="49" t="s">
        <v>12678</v>
      </c>
      <c r="H162" s="49" t="s">
        <v>12676</v>
      </c>
      <c r="I162" s="95">
        <v>658</v>
      </c>
      <c r="J162" s="95">
        <v>762</v>
      </c>
      <c r="K162" s="95">
        <v>28</v>
      </c>
      <c r="L162" s="97">
        <v>16905.511811023622</v>
      </c>
      <c r="M162" s="102">
        <v>12882</v>
      </c>
      <c r="N162" s="95">
        <v>7</v>
      </c>
      <c r="O162" s="95">
        <v>214</v>
      </c>
      <c r="P162" s="95">
        <v>0</v>
      </c>
      <c r="Q162" s="49" t="s">
        <v>10855</v>
      </c>
    </row>
    <row r="163" spans="1:17">
      <c r="A163" s="95">
        <v>174904221976312</v>
      </c>
      <c r="B163" s="49" t="s">
        <v>10651</v>
      </c>
      <c r="C163" s="49" t="s">
        <v>10856</v>
      </c>
      <c r="D163" s="49" t="s">
        <v>829</v>
      </c>
      <c r="E163" s="49">
        <v>6285725492572</v>
      </c>
      <c r="F163" s="96">
        <v>45832</v>
      </c>
      <c r="G163" s="49" t="s">
        <v>12678</v>
      </c>
      <c r="H163" s="49" t="s">
        <v>12676</v>
      </c>
      <c r="I163" s="95">
        <v>439</v>
      </c>
      <c r="J163" s="95">
        <v>506</v>
      </c>
      <c r="K163" s="95">
        <v>19</v>
      </c>
      <c r="L163" s="97">
        <v>25559.288537549408</v>
      </c>
      <c r="M163" s="102">
        <v>12933</v>
      </c>
      <c r="N163" s="95">
        <v>3</v>
      </c>
      <c r="O163" s="95">
        <v>176</v>
      </c>
      <c r="P163" s="95">
        <v>2</v>
      </c>
      <c r="Q163" s="49" t="s">
        <v>10857</v>
      </c>
    </row>
    <row r="164" spans="1:17">
      <c r="A164" s="95">
        <v>174904221976312</v>
      </c>
      <c r="B164" s="49" t="s">
        <v>10651</v>
      </c>
      <c r="C164" s="49" t="s">
        <v>10856</v>
      </c>
      <c r="D164" s="49" t="s">
        <v>829</v>
      </c>
      <c r="E164" s="49">
        <v>6285725492572</v>
      </c>
      <c r="F164" s="96">
        <v>45832</v>
      </c>
      <c r="G164" s="49" t="s">
        <v>12684</v>
      </c>
      <c r="H164" s="49" t="s">
        <v>12676</v>
      </c>
      <c r="I164" s="95">
        <v>21</v>
      </c>
      <c r="J164" s="95">
        <v>23</v>
      </c>
      <c r="K164" s="95">
        <v>0</v>
      </c>
      <c r="L164" s="97">
        <v>20130.434782608696</v>
      </c>
      <c r="M164" s="102">
        <v>463</v>
      </c>
      <c r="N164" s="95">
        <v>0</v>
      </c>
      <c r="O164" s="95">
        <v>7</v>
      </c>
      <c r="P164" s="95">
        <v>0</v>
      </c>
      <c r="Q164" s="49" t="s">
        <v>10857</v>
      </c>
    </row>
    <row r="165" spans="1:17">
      <c r="A165" s="95">
        <v>174904221976312</v>
      </c>
      <c r="B165" s="49" t="s">
        <v>10651</v>
      </c>
      <c r="C165" s="49" t="s">
        <v>10856</v>
      </c>
      <c r="D165" s="49" t="s">
        <v>829</v>
      </c>
      <c r="E165" s="49">
        <v>6285725492572</v>
      </c>
      <c r="F165" s="96">
        <v>45832</v>
      </c>
      <c r="G165" s="49" t="s">
        <v>12679</v>
      </c>
      <c r="H165" s="49" t="s">
        <v>12676</v>
      </c>
      <c r="I165" s="95">
        <v>28</v>
      </c>
      <c r="J165" s="95">
        <v>36</v>
      </c>
      <c r="K165" s="95">
        <v>4</v>
      </c>
      <c r="L165" s="97">
        <v>39916.666666666664</v>
      </c>
      <c r="M165" s="102">
        <v>1437</v>
      </c>
      <c r="N165" s="95">
        <v>1</v>
      </c>
      <c r="O165" s="95">
        <v>13</v>
      </c>
      <c r="P165" s="95">
        <v>0</v>
      </c>
      <c r="Q165" s="49" t="s">
        <v>10857</v>
      </c>
    </row>
    <row r="166" spans="1:17">
      <c r="A166" s="95">
        <v>174904221976312</v>
      </c>
      <c r="B166" s="49" t="s">
        <v>10651</v>
      </c>
      <c r="C166" s="49" t="s">
        <v>10858</v>
      </c>
      <c r="D166" s="49" t="s">
        <v>10859</v>
      </c>
      <c r="E166" s="49">
        <v>6285227384634</v>
      </c>
      <c r="F166" s="96">
        <v>45832</v>
      </c>
      <c r="G166" s="49" t="s">
        <v>12681</v>
      </c>
      <c r="H166" s="49" t="s">
        <v>12676</v>
      </c>
      <c r="I166" s="95">
        <v>10</v>
      </c>
      <c r="J166" s="95">
        <v>10</v>
      </c>
      <c r="K166" s="95">
        <v>0</v>
      </c>
      <c r="L166" s="97">
        <v>14100</v>
      </c>
      <c r="M166" s="102">
        <v>141</v>
      </c>
      <c r="N166" s="95">
        <v>0</v>
      </c>
      <c r="O166" s="95">
        <v>0</v>
      </c>
      <c r="P166" s="95">
        <v>0</v>
      </c>
      <c r="Q166" s="49" t="s">
        <v>10860</v>
      </c>
    </row>
    <row r="167" spans="1:17">
      <c r="A167" s="95">
        <v>174904221976312</v>
      </c>
      <c r="B167" s="49" t="s">
        <v>10651</v>
      </c>
      <c r="C167" s="49" t="s">
        <v>10858</v>
      </c>
      <c r="D167" s="49" t="s">
        <v>10859</v>
      </c>
      <c r="E167" s="49">
        <v>6285227384634</v>
      </c>
      <c r="F167" s="96">
        <v>45832</v>
      </c>
      <c r="G167" s="49" t="s">
        <v>46</v>
      </c>
      <c r="H167" s="49" t="s">
        <v>12676</v>
      </c>
      <c r="I167" s="95">
        <v>20</v>
      </c>
      <c r="J167" s="95">
        <v>23</v>
      </c>
      <c r="K167" s="95">
        <v>2</v>
      </c>
      <c r="L167" s="97">
        <v>28434.782608695652</v>
      </c>
      <c r="M167" s="102">
        <v>654</v>
      </c>
      <c r="N167" s="95">
        <v>1</v>
      </c>
      <c r="O167" s="95">
        <v>0</v>
      </c>
      <c r="P167" s="95">
        <v>0</v>
      </c>
      <c r="Q167" s="49" t="s">
        <v>10860</v>
      </c>
    </row>
    <row r="168" spans="1:17">
      <c r="A168" s="95">
        <v>174904221976312</v>
      </c>
      <c r="B168" s="49" t="s">
        <v>10651</v>
      </c>
      <c r="C168" s="49" t="s">
        <v>10858</v>
      </c>
      <c r="D168" s="49" t="s">
        <v>10859</v>
      </c>
      <c r="E168" s="49">
        <v>6285227384634</v>
      </c>
      <c r="F168" s="96">
        <v>45832</v>
      </c>
      <c r="G168" s="49" t="s">
        <v>12698</v>
      </c>
      <c r="H168" s="49" t="s">
        <v>12676</v>
      </c>
      <c r="I168" s="95">
        <v>2</v>
      </c>
      <c r="J168" s="95">
        <v>2</v>
      </c>
      <c r="K168" s="95">
        <v>0</v>
      </c>
      <c r="L168" s="97">
        <v>7500</v>
      </c>
      <c r="M168" s="102">
        <v>15</v>
      </c>
      <c r="N168" s="95">
        <v>0</v>
      </c>
      <c r="O168" s="95">
        <v>0</v>
      </c>
      <c r="P168" s="95">
        <v>0</v>
      </c>
      <c r="Q168" s="49" t="s">
        <v>10860</v>
      </c>
    </row>
    <row r="169" spans="1:17">
      <c r="A169" s="95">
        <v>174904221976312</v>
      </c>
      <c r="B169" s="49" t="s">
        <v>10651</v>
      </c>
      <c r="C169" s="49" t="s">
        <v>10858</v>
      </c>
      <c r="D169" s="49" t="s">
        <v>10859</v>
      </c>
      <c r="E169" s="49">
        <v>6285227384634</v>
      </c>
      <c r="F169" s="96">
        <v>45832</v>
      </c>
      <c r="G169" s="49" t="s">
        <v>7917</v>
      </c>
      <c r="H169" s="49" t="s">
        <v>12676</v>
      </c>
      <c r="I169" s="95">
        <v>4</v>
      </c>
      <c r="J169" s="95">
        <v>6</v>
      </c>
      <c r="K169" s="95">
        <v>0</v>
      </c>
      <c r="L169" s="97">
        <v>20666.666666666668</v>
      </c>
      <c r="M169" s="102">
        <v>124</v>
      </c>
      <c r="N169" s="95">
        <v>0</v>
      </c>
      <c r="O169" s="95">
        <v>0</v>
      </c>
      <c r="P169" s="95">
        <v>0</v>
      </c>
      <c r="Q169" s="49" t="s">
        <v>10860</v>
      </c>
    </row>
    <row r="170" spans="1:17">
      <c r="A170" s="95">
        <v>174904221976312</v>
      </c>
      <c r="B170" s="49" t="s">
        <v>10651</v>
      </c>
      <c r="C170" s="49" t="s">
        <v>10858</v>
      </c>
      <c r="D170" s="49" t="s">
        <v>10859</v>
      </c>
      <c r="E170" s="49">
        <v>6285227384634</v>
      </c>
      <c r="F170" s="96">
        <v>45832</v>
      </c>
      <c r="G170" s="49" t="s">
        <v>1210</v>
      </c>
      <c r="H170" s="49" t="s">
        <v>12676</v>
      </c>
      <c r="I170" s="95">
        <v>3</v>
      </c>
      <c r="J170" s="95">
        <v>3</v>
      </c>
      <c r="K170" s="95">
        <v>0</v>
      </c>
      <c r="L170" s="97">
        <v>30666.666666666668</v>
      </c>
      <c r="M170" s="102">
        <v>92</v>
      </c>
      <c r="N170" s="95">
        <v>0</v>
      </c>
      <c r="O170" s="95">
        <v>0</v>
      </c>
      <c r="P170" s="95">
        <v>0</v>
      </c>
      <c r="Q170" s="49" t="s">
        <v>10860</v>
      </c>
    </row>
    <row r="171" spans="1:17">
      <c r="A171" s="95">
        <v>174904221976312</v>
      </c>
      <c r="B171" s="49" t="s">
        <v>10651</v>
      </c>
      <c r="C171" s="49" t="s">
        <v>10858</v>
      </c>
      <c r="D171" s="49" t="s">
        <v>10859</v>
      </c>
      <c r="E171" s="49">
        <v>6285227384634</v>
      </c>
      <c r="F171" s="96">
        <v>45832</v>
      </c>
      <c r="G171" s="49" t="s">
        <v>12678</v>
      </c>
      <c r="H171" s="49" t="s">
        <v>12676</v>
      </c>
      <c r="I171" s="95">
        <v>62</v>
      </c>
      <c r="J171" s="95">
        <v>75</v>
      </c>
      <c r="K171" s="95">
        <v>2</v>
      </c>
      <c r="L171" s="97">
        <v>13306.666666666666</v>
      </c>
      <c r="M171" s="102">
        <v>998</v>
      </c>
      <c r="N171" s="95">
        <v>0</v>
      </c>
      <c r="O171" s="95">
        <v>0</v>
      </c>
      <c r="P171" s="95">
        <v>0</v>
      </c>
      <c r="Q171" s="49" t="s">
        <v>10860</v>
      </c>
    </row>
    <row r="172" spans="1:17">
      <c r="A172" s="95">
        <v>174904221976312</v>
      </c>
      <c r="B172" s="49" t="s">
        <v>10651</v>
      </c>
      <c r="C172" s="49" t="s">
        <v>10858</v>
      </c>
      <c r="D172" s="49" t="s">
        <v>10859</v>
      </c>
      <c r="E172" s="49">
        <v>6285227384634</v>
      </c>
      <c r="F172" s="96">
        <v>45832</v>
      </c>
      <c r="G172" s="49" t="s">
        <v>12682</v>
      </c>
      <c r="H172" s="49" t="s">
        <v>12676</v>
      </c>
      <c r="I172" s="95">
        <v>6</v>
      </c>
      <c r="J172" s="95">
        <v>6</v>
      </c>
      <c r="K172" s="95">
        <v>0</v>
      </c>
      <c r="L172" s="97">
        <v>18166.666666666668</v>
      </c>
      <c r="M172" s="102">
        <v>109</v>
      </c>
      <c r="N172" s="95">
        <v>0</v>
      </c>
      <c r="O172" s="95">
        <v>0</v>
      </c>
      <c r="P172" s="95">
        <v>0</v>
      </c>
      <c r="Q172" s="49" t="s">
        <v>10860</v>
      </c>
    </row>
    <row r="173" spans="1:17">
      <c r="A173" s="95">
        <v>174904221976312</v>
      </c>
      <c r="B173" s="49" t="s">
        <v>10651</v>
      </c>
      <c r="C173" s="49" t="s">
        <v>10858</v>
      </c>
      <c r="D173" s="49" t="s">
        <v>10859</v>
      </c>
      <c r="E173" s="49">
        <v>6285227384634</v>
      </c>
      <c r="F173" s="96">
        <v>45832</v>
      </c>
      <c r="G173" s="49" t="s">
        <v>12683</v>
      </c>
      <c r="H173" s="49" t="s">
        <v>12676</v>
      </c>
      <c r="I173" s="95">
        <v>5</v>
      </c>
      <c r="J173" s="95">
        <v>6</v>
      </c>
      <c r="K173" s="95">
        <v>0</v>
      </c>
      <c r="L173" s="97">
        <v>3666.6666666666665</v>
      </c>
      <c r="M173" s="102">
        <v>22</v>
      </c>
      <c r="N173" s="95">
        <v>0</v>
      </c>
      <c r="O173" s="95">
        <v>0</v>
      </c>
      <c r="P173" s="95">
        <v>0</v>
      </c>
      <c r="Q173" s="49" t="s">
        <v>10860</v>
      </c>
    </row>
    <row r="174" spans="1:17">
      <c r="A174" s="95">
        <v>174904221976312</v>
      </c>
      <c r="B174" s="49" t="s">
        <v>10651</v>
      </c>
      <c r="C174" s="49" t="s">
        <v>10858</v>
      </c>
      <c r="D174" s="49" t="s">
        <v>10859</v>
      </c>
      <c r="E174" s="49">
        <v>6285227384634</v>
      </c>
      <c r="F174" s="96">
        <v>45832</v>
      </c>
      <c r="G174" s="49" t="s">
        <v>12684</v>
      </c>
      <c r="H174" s="49" t="s">
        <v>12676</v>
      </c>
      <c r="I174" s="95">
        <v>46</v>
      </c>
      <c r="J174" s="95">
        <v>57</v>
      </c>
      <c r="K174" s="95">
        <v>5</v>
      </c>
      <c r="L174" s="97">
        <v>28561.403508771931</v>
      </c>
      <c r="M174" s="102">
        <v>1628</v>
      </c>
      <c r="N174" s="95">
        <v>0</v>
      </c>
      <c r="O174" s="95">
        <v>0</v>
      </c>
      <c r="P174" s="95">
        <v>0</v>
      </c>
      <c r="Q174" s="49" t="s">
        <v>10860</v>
      </c>
    </row>
    <row r="175" spans="1:17">
      <c r="A175" s="95">
        <v>174904221976312</v>
      </c>
      <c r="B175" s="49" t="s">
        <v>10651</v>
      </c>
      <c r="C175" s="49" t="s">
        <v>10858</v>
      </c>
      <c r="D175" s="49" t="s">
        <v>10859</v>
      </c>
      <c r="E175" s="49">
        <v>6285227384634</v>
      </c>
      <c r="F175" s="96">
        <v>45832</v>
      </c>
      <c r="G175" s="49" t="s">
        <v>12680</v>
      </c>
      <c r="H175" s="49" t="s">
        <v>12676</v>
      </c>
      <c r="I175" s="95">
        <v>11</v>
      </c>
      <c r="J175" s="95">
        <v>14</v>
      </c>
      <c r="K175" s="95">
        <v>0</v>
      </c>
      <c r="L175" s="97">
        <v>17214.285714285714</v>
      </c>
      <c r="M175" s="102">
        <v>241</v>
      </c>
      <c r="N175" s="95">
        <v>0</v>
      </c>
      <c r="O175" s="95">
        <v>0</v>
      </c>
      <c r="P175" s="95">
        <v>0</v>
      </c>
      <c r="Q175" s="49" t="s">
        <v>10860</v>
      </c>
    </row>
    <row r="176" spans="1:17">
      <c r="A176" s="95">
        <v>174904221976312</v>
      </c>
      <c r="B176" s="49" t="s">
        <v>10651</v>
      </c>
      <c r="C176" s="49" t="s">
        <v>10858</v>
      </c>
      <c r="D176" s="49" t="s">
        <v>10859</v>
      </c>
      <c r="E176" s="49">
        <v>6285227384634</v>
      </c>
      <c r="F176" s="96">
        <v>45832</v>
      </c>
      <c r="G176" s="49" t="s">
        <v>12685</v>
      </c>
      <c r="H176" s="49" t="s">
        <v>12676</v>
      </c>
      <c r="I176" s="95">
        <v>21</v>
      </c>
      <c r="J176" s="95">
        <v>24</v>
      </c>
      <c r="K176" s="95">
        <v>0</v>
      </c>
      <c r="L176" s="97">
        <v>21583.333333333332</v>
      </c>
      <c r="M176" s="102">
        <v>518</v>
      </c>
      <c r="N176" s="95">
        <v>0</v>
      </c>
      <c r="O176" s="95">
        <v>0</v>
      </c>
      <c r="P176" s="95">
        <v>0</v>
      </c>
      <c r="Q176" s="49" t="s">
        <v>10860</v>
      </c>
    </row>
    <row r="177" spans="1:17">
      <c r="A177" s="95">
        <v>174904221976312</v>
      </c>
      <c r="B177" s="49" t="s">
        <v>10651</v>
      </c>
      <c r="C177" s="49" t="s">
        <v>10858</v>
      </c>
      <c r="D177" s="49" t="s">
        <v>10859</v>
      </c>
      <c r="E177" s="49">
        <v>6285227384634</v>
      </c>
      <c r="F177" s="96">
        <v>45832</v>
      </c>
      <c r="G177" s="49" t="s">
        <v>12686</v>
      </c>
      <c r="H177" s="49" t="s">
        <v>12676</v>
      </c>
      <c r="I177" s="95">
        <v>4</v>
      </c>
      <c r="J177" s="95">
        <v>5</v>
      </c>
      <c r="K177" s="95">
        <v>0</v>
      </c>
      <c r="L177" s="97">
        <v>20600</v>
      </c>
      <c r="M177" s="102">
        <v>103</v>
      </c>
      <c r="N177" s="95">
        <v>0</v>
      </c>
      <c r="O177" s="95">
        <v>0</v>
      </c>
      <c r="P177" s="95">
        <v>0</v>
      </c>
      <c r="Q177" s="49" t="s">
        <v>10860</v>
      </c>
    </row>
    <row r="178" spans="1:17">
      <c r="A178" s="95">
        <v>174904221976312</v>
      </c>
      <c r="B178" s="49" t="s">
        <v>10651</v>
      </c>
      <c r="C178" s="49" t="s">
        <v>10858</v>
      </c>
      <c r="D178" s="49" t="s">
        <v>10859</v>
      </c>
      <c r="E178" s="49">
        <v>6285227384634</v>
      </c>
      <c r="F178" s="96">
        <v>45832</v>
      </c>
      <c r="G178" s="49" t="s">
        <v>2132</v>
      </c>
      <c r="H178" s="49" t="s">
        <v>12676</v>
      </c>
      <c r="I178" s="95">
        <v>20</v>
      </c>
      <c r="J178" s="95">
        <v>26</v>
      </c>
      <c r="K178" s="95">
        <v>1</v>
      </c>
      <c r="L178" s="97">
        <v>48000</v>
      </c>
      <c r="M178" s="102">
        <v>1248</v>
      </c>
      <c r="N178" s="95">
        <v>0</v>
      </c>
      <c r="O178" s="95">
        <v>0</v>
      </c>
      <c r="P178" s="95">
        <v>0</v>
      </c>
      <c r="Q178" s="49" t="s">
        <v>10860</v>
      </c>
    </row>
    <row r="179" spans="1:17">
      <c r="A179" s="95">
        <v>174904221976312</v>
      </c>
      <c r="B179" s="49" t="s">
        <v>10651</v>
      </c>
      <c r="C179" s="49" t="s">
        <v>10858</v>
      </c>
      <c r="D179" s="49" t="s">
        <v>10859</v>
      </c>
      <c r="E179" s="49">
        <v>6285227384634</v>
      </c>
      <c r="F179" s="96">
        <v>45832</v>
      </c>
      <c r="G179" s="49" t="s">
        <v>2718</v>
      </c>
      <c r="H179" s="49" t="s">
        <v>12676</v>
      </c>
      <c r="I179" s="95">
        <v>4</v>
      </c>
      <c r="J179" s="95">
        <v>5</v>
      </c>
      <c r="K179" s="95">
        <v>0</v>
      </c>
      <c r="L179" s="97">
        <v>13600</v>
      </c>
      <c r="M179" s="102">
        <v>68</v>
      </c>
      <c r="N179" s="95">
        <v>0</v>
      </c>
      <c r="O179" s="95">
        <v>0</v>
      </c>
      <c r="P179" s="95">
        <v>0</v>
      </c>
      <c r="Q179" s="49" t="s">
        <v>10860</v>
      </c>
    </row>
    <row r="180" spans="1:17">
      <c r="A180" s="95">
        <v>174904221976312</v>
      </c>
      <c r="B180" s="49" t="s">
        <v>10651</v>
      </c>
      <c r="C180" s="49" t="s">
        <v>10858</v>
      </c>
      <c r="D180" s="49" t="s">
        <v>10859</v>
      </c>
      <c r="E180" s="49">
        <v>6285227384634</v>
      </c>
      <c r="F180" s="96">
        <v>45832</v>
      </c>
      <c r="G180" s="49" t="s">
        <v>2981</v>
      </c>
      <c r="H180" s="49" t="s">
        <v>12676</v>
      </c>
      <c r="I180" s="95">
        <v>12</v>
      </c>
      <c r="J180" s="95">
        <v>14</v>
      </c>
      <c r="K180" s="95">
        <v>0</v>
      </c>
      <c r="L180" s="97">
        <v>11500</v>
      </c>
      <c r="M180" s="102">
        <v>161</v>
      </c>
      <c r="N180" s="95">
        <v>0</v>
      </c>
      <c r="O180" s="95">
        <v>0</v>
      </c>
      <c r="P180" s="95">
        <v>0</v>
      </c>
      <c r="Q180" s="49" t="s">
        <v>10860</v>
      </c>
    </row>
    <row r="181" spans="1:17">
      <c r="A181" s="95">
        <v>174904221976312</v>
      </c>
      <c r="B181" s="49" t="s">
        <v>10651</v>
      </c>
      <c r="C181" s="49" t="s">
        <v>10858</v>
      </c>
      <c r="D181" s="49" t="s">
        <v>10859</v>
      </c>
      <c r="E181" s="49">
        <v>6285227384634</v>
      </c>
      <c r="F181" s="96">
        <v>45832</v>
      </c>
      <c r="G181" s="49" t="s">
        <v>12687</v>
      </c>
      <c r="H181" s="49" t="s">
        <v>12676</v>
      </c>
      <c r="I181" s="95">
        <v>16</v>
      </c>
      <c r="J181" s="95">
        <v>21</v>
      </c>
      <c r="K181" s="95">
        <v>0</v>
      </c>
      <c r="L181" s="97">
        <v>18523.809523809527</v>
      </c>
      <c r="M181" s="102">
        <v>389</v>
      </c>
      <c r="N181" s="95">
        <v>0</v>
      </c>
      <c r="O181" s="95">
        <v>0</v>
      </c>
      <c r="P181" s="95">
        <v>0</v>
      </c>
      <c r="Q181" s="49" t="s">
        <v>10860</v>
      </c>
    </row>
    <row r="182" spans="1:17">
      <c r="A182" s="95">
        <v>174904221976312</v>
      </c>
      <c r="B182" s="49" t="s">
        <v>10651</v>
      </c>
      <c r="C182" s="49" t="s">
        <v>10858</v>
      </c>
      <c r="D182" s="49" t="s">
        <v>10859</v>
      </c>
      <c r="E182" s="49">
        <v>6285227384634</v>
      </c>
      <c r="F182" s="96">
        <v>45832</v>
      </c>
      <c r="G182" s="49" t="s">
        <v>12688</v>
      </c>
      <c r="H182" s="49" t="s">
        <v>12676</v>
      </c>
      <c r="I182" s="95">
        <v>2</v>
      </c>
      <c r="J182" s="95">
        <v>2</v>
      </c>
      <c r="K182" s="95">
        <v>0</v>
      </c>
      <c r="L182" s="97">
        <v>5000</v>
      </c>
      <c r="M182" s="102">
        <v>10</v>
      </c>
      <c r="N182" s="95">
        <v>0</v>
      </c>
      <c r="O182" s="95">
        <v>0</v>
      </c>
      <c r="P182" s="95">
        <v>0</v>
      </c>
      <c r="Q182" s="49" t="s">
        <v>10860</v>
      </c>
    </row>
    <row r="183" spans="1:17">
      <c r="A183" s="95">
        <v>174904221976312</v>
      </c>
      <c r="B183" s="49" t="s">
        <v>10651</v>
      </c>
      <c r="C183" s="49" t="s">
        <v>10858</v>
      </c>
      <c r="D183" s="49" t="s">
        <v>10859</v>
      </c>
      <c r="E183" s="49">
        <v>6285227384634</v>
      </c>
      <c r="F183" s="96">
        <v>45832</v>
      </c>
      <c r="G183" s="49" t="s">
        <v>12689</v>
      </c>
      <c r="H183" s="49" t="s">
        <v>12676</v>
      </c>
      <c r="I183" s="95">
        <v>5</v>
      </c>
      <c r="J183" s="95">
        <v>5</v>
      </c>
      <c r="K183" s="95">
        <v>0</v>
      </c>
      <c r="L183" s="97">
        <v>8000</v>
      </c>
      <c r="M183" s="102">
        <v>40</v>
      </c>
      <c r="N183" s="95">
        <v>0</v>
      </c>
      <c r="O183" s="95">
        <v>0</v>
      </c>
      <c r="P183" s="95">
        <v>0</v>
      </c>
      <c r="Q183" s="49" t="s">
        <v>10860</v>
      </c>
    </row>
    <row r="184" spans="1:17">
      <c r="A184" s="95">
        <v>174904221976312</v>
      </c>
      <c r="B184" s="49" t="s">
        <v>10651</v>
      </c>
      <c r="C184" s="49" t="s">
        <v>10858</v>
      </c>
      <c r="D184" s="49" t="s">
        <v>10859</v>
      </c>
      <c r="E184" s="49">
        <v>6285227384634</v>
      </c>
      <c r="F184" s="96">
        <v>45832</v>
      </c>
      <c r="G184" s="49" t="s">
        <v>12690</v>
      </c>
      <c r="H184" s="49" t="s">
        <v>12676</v>
      </c>
      <c r="I184" s="95">
        <v>9</v>
      </c>
      <c r="J184" s="95">
        <v>13</v>
      </c>
      <c r="K184" s="95">
        <v>2</v>
      </c>
      <c r="L184" s="97">
        <v>25230.76923076923</v>
      </c>
      <c r="M184" s="102">
        <v>328</v>
      </c>
      <c r="N184" s="95">
        <v>1</v>
      </c>
      <c r="O184" s="95">
        <v>0</v>
      </c>
      <c r="P184" s="95">
        <v>0</v>
      </c>
      <c r="Q184" s="49" t="s">
        <v>10860</v>
      </c>
    </row>
    <row r="185" spans="1:17">
      <c r="A185" s="95">
        <v>174904221976312</v>
      </c>
      <c r="B185" s="49" t="s">
        <v>10651</v>
      </c>
      <c r="C185" s="49" t="s">
        <v>10858</v>
      </c>
      <c r="D185" s="49" t="s">
        <v>10859</v>
      </c>
      <c r="E185" s="49">
        <v>6285227384634</v>
      </c>
      <c r="F185" s="96">
        <v>45832</v>
      </c>
      <c r="G185" s="49" t="s">
        <v>12691</v>
      </c>
      <c r="H185" s="49" t="s">
        <v>12676</v>
      </c>
      <c r="I185" s="95">
        <v>28</v>
      </c>
      <c r="J185" s="95">
        <v>40</v>
      </c>
      <c r="K185" s="95">
        <v>0</v>
      </c>
      <c r="L185" s="97">
        <v>16600</v>
      </c>
      <c r="M185" s="102">
        <v>664</v>
      </c>
      <c r="N185" s="95">
        <v>0</v>
      </c>
      <c r="O185" s="95">
        <v>0</v>
      </c>
      <c r="P185" s="95">
        <v>0</v>
      </c>
      <c r="Q185" s="49" t="s">
        <v>10860</v>
      </c>
    </row>
    <row r="186" spans="1:17">
      <c r="A186" s="95">
        <v>174904221976312</v>
      </c>
      <c r="B186" s="49" t="s">
        <v>10651</v>
      </c>
      <c r="C186" s="49" t="s">
        <v>10858</v>
      </c>
      <c r="D186" s="49" t="s">
        <v>10859</v>
      </c>
      <c r="E186" s="49">
        <v>6285227384634</v>
      </c>
      <c r="F186" s="96">
        <v>45832</v>
      </c>
      <c r="G186" s="49" t="s">
        <v>12692</v>
      </c>
      <c r="H186" s="49" t="s">
        <v>12676</v>
      </c>
      <c r="I186" s="95">
        <v>4</v>
      </c>
      <c r="J186" s="95">
        <v>6</v>
      </c>
      <c r="K186" s="95">
        <v>0</v>
      </c>
      <c r="L186" s="97">
        <v>7833.333333333333</v>
      </c>
      <c r="M186" s="102">
        <v>47</v>
      </c>
      <c r="N186" s="95">
        <v>0</v>
      </c>
      <c r="O186" s="95">
        <v>0</v>
      </c>
      <c r="P186" s="95">
        <v>0</v>
      </c>
      <c r="Q186" s="49" t="s">
        <v>10860</v>
      </c>
    </row>
    <row r="187" spans="1:17">
      <c r="A187" s="95">
        <v>174904221976312</v>
      </c>
      <c r="B187" s="49" t="s">
        <v>10651</v>
      </c>
      <c r="C187" s="49" t="s">
        <v>10858</v>
      </c>
      <c r="D187" s="49" t="s">
        <v>10859</v>
      </c>
      <c r="E187" s="49">
        <v>6285227384634</v>
      </c>
      <c r="F187" s="96">
        <v>45832</v>
      </c>
      <c r="G187" s="49" t="s">
        <v>1473</v>
      </c>
      <c r="H187" s="49" t="s">
        <v>12676</v>
      </c>
      <c r="I187" s="95">
        <v>13</v>
      </c>
      <c r="J187" s="95">
        <v>16</v>
      </c>
      <c r="K187" s="95">
        <v>0</v>
      </c>
      <c r="L187" s="97">
        <v>11312.5</v>
      </c>
      <c r="M187" s="102">
        <v>181</v>
      </c>
      <c r="N187" s="95">
        <v>0</v>
      </c>
      <c r="O187" s="95">
        <v>0</v>
      </c>
      <c r="P187" s="95">
        <v>0</v>
      </c>
      <c r="Q187" s="49" t="s">
        <v>10860</v>
      </c>
    </row>
    <row r="188" spans="1:17">
      <c r="A188" s="95">
        <v>174904221976312</v>
      </c>
      <c r="B188" s="49" t="s">
        <v>10651</v>
      </c>
      <c r="C188" s="49" t="s">
        <v>10858</v>
      </c>
      <c r="D188" s="49" t="s">
        <v>10859</v>
      </c>
      <c r="E188" s="49">
        <v>6285227384634</v>
      </c>
      <c r="F188" s="96">
        <v>45832</v>
      </c>
      <c r="G188" s="49" t="s">
        <v>12693</v>
      </c>
      <c r="H188" s="49" t="s">
        <v>12676</v>
      </c>
      <c r="I188" s="95">
        <v>14</v>
      </c>
      <c r="J188" s="95">
        <v>18</v>
      </c>
      <c r="K188" s="95">
        <v>0</v>
      </c>
      <c r="L188" s="97">
        <v>15555.555555555555</v>
      </c>
      <c r="M188" s="102">
        <v>280</v>
      </c>
      <c r="N188" s="95">
        <v>0</v>
      </c>
      <c r="O188" s="95">
        <v>0</v>
      </c>
      <c r="P188" s="95">
        <v>0</v>
      </c>
      <c r="Q188" s="49" t="s">
        <v>10860</v>
      </c>
    </row>
    <row r="189" spans="1:17">
      <c r="A189" s="95">
        <v>174904221976312</v>
      </c>
      <c r="B189" s="49" t="s">
        <v>10651</v>
      </c>
      <c r="C189" s="49" t="s">
        <v>10858</v>
      </c>
      <c r="D189" s="49" t="s">
        <v>10859</v>
      </c>
      <c r="E189" s="49">
        <v>6285227384634</v>
      </c>
      <c r="F189" s="96">
        <v>45832</v>
      </c>
      <c r="G189" s="49" t="s">
        <v>12694</v>
      </c>
      <c r="H189" s="49" t="s">
        <v>12676</v>
      </c>
      <c r="I189" s="95">
        <v>3</v>
      </c>
      <c r="J189" s="95">
        <v>3</v>
      </c>
      <c r="K189" s="95">
        <v>0</v>
      </c>
      <c r="L189" s="97">
        <v>26666.666666666668</v>
      </c>
      <c r="M189" s="102">
        <v>80</v>
      </c>
      <c r="N189" s="95">
        <v>0</v>
      </c>
      <c r="O189" s="95">
        <v>0</v>
      </c>
      <c r="P189" s="95">
        <v>0</v>
      </c>
      <c r="Q189" s="49" t="s">
        <v>10860</v>
      </c>
    </row>
    <row r="190" spans="1:17">
      <c r="A190" s="95">
        <v>174904221976312</v>
      </c>
      <c r="B190" s="49" t="s">
        <v>10651</v>
      </c>
      <c r="C190" s="49" t="s">
        <v>10858</v>
      </c>
      <c r="D190" s="49" t="s">
        <v>10859</v>
      </c>
      <c r="E190" s="49">
        <v>6285227384634</v>
      </c>
      <c r="F190" s="96">
        <v>45832</v>
      </c>
      <c r="G190" s="49" t="s">
        <v>12695</v>
      </c>
      <c r="H190" s="49" t="s">
        <v>12676</v>
      </c>
      <c r="I190" s="95">
        <v>24</v>
      </c>
      <c r="J190" s="95">
        <v>33</v>
      </c>
      <c r="K190" s="95">
        <v>2</v>
      </c>
      <c r="L190" s="97">
        <v>30151.515151515152</v>
      </c>
      <c r="M190" s="102">
        <v>995</v>
      </c>
      <c r="N190" s="95">
        <v>1</v>
      </c>
      <c r="O190" s="95">
        <v>0</v>
      </c>
      <c r="P190" s="95">
        <v>0</v>
      </c>
      <c r="Q190" s="49" t="s">
        <v>10860</v>
      </c>
    </row>
    <row r="191" spans="1:17">
      <c r="A191" s="95">
        <v>174904221976312</v>
      </c>
      <c r="B191" s="49" t="s">
        <v>10651</v>
      </c>
      <c r="C191" s="49" t="s">
        <v>818</v>
      </c>
      <c r="D191" s="49" t="s">
        <v>812</v>
      </c>
      <c r="E191" s="49">
        <v>6287858585808</v>
      </c>
      <c r="F191" s="96">
        <v>45832</v>
      </c>
      <c r="G191" s="49" t="s">
        <v>12691</v>
      </c>
      <c r="H191" s="49" t="s">
        <v>12676</v>
      </c>
      <c r="I191" s="95">
        <v>978</v>
      </c>
      <c r="J191" s="95">
        <v>1171</v>
      </c>
      <c r="K191" s="95">
        <v>35</v>
      </c>
      <c r="L191" s="97">
        <v>10993.168232280103</v>
      </c>
      <c r="M191" s="102">
        <v>12873</v>
      </c>
      <c r="N191" s="95">
        <v>2</v>
      </c>
      <c r="O191" s="95">
        <v>336</v>
      </c>
      <c r="P191" s="95">
        <v>2</v>
      </c>
      <c r="Q191" s="49" t="s">
        <v>10831</v>
      </c>
    </row>
    <row r="192" spans="1:17">
      <c r="A192" s="95">
        <v>174904221976312</v>
      </c>
      <c r="B192" s="49" t="s">
        <v>10651</v>
      </c>
      <c r="C192" s="49" t="s">
        <v>10806</v>
      </c>
      <c r="D192" s="49" t="s">
        <v>10807</v>
      </c>
      <c r="E192" s="49">
        <v>628127962347</v>
      </c>
      <c r="F192" s="96">
        <v>45832</v>
      </c>
      <c r="G192" s="49" t="s">
        <v>12681</v>
      </c>
      <c r="H192" s="49" t="s">
        <v>12676</v>
      </c>
      <c r="I192" s="95">
        <v>3</v>
      </c>
      <c r="J192" s="95">
        <v>3</v>
      </c>
      <c r="K192" s="95">
        <v>2</v>
      </c>
      <c r="L192" s="97">
        <v>93666.666666666672</v>
      </c>
      <c r="M192" s="102">
        <v>281</v>
      </c>
      <c r="N192" s="95">
        <v>1</v>
      </c>
      <c r="O192" s="95">
        <v>1</v>
      </c>
      <c r="P192" s="95">
        <v>0</v>
      </c>
      <c r="Q192" s="49" t="s">
        <v>10808</v>
      </c>
    </row>
    <row r="193" spans="1:17">
      <c r="A193" s="95">
        <v>174904221976312</v>
      </c>
      <c r="B193" s="49" t="s">
        <v>10651</v>
      </c>
      <c r="C193" s="49" t="s">
        <v>10806</v>
      </c>
      <c r="D193" s="49" t="s">
        <v>10807</v>
      </c>
      <c r="E193" s="49">
        <v>628127962347</v>
      </c>
      <c r="F193" s="96">
        <v>45832</v>
      </c>
      <c r="G193" s="49" t="s">
        <v>46</v>
      </c>
      <c r="H193" s="49" t="s">
        <v>12676</v>
      </c>
      <c r="I193" s="95">
        <v>5</v>
      </c>
      <c r="J193" s="95">
        <v>5</v>
      </c>
      <c r="K193" s="95">
        <v>0</v>
      </c>
      <c r="L193" s="97">
        <v>42600</v>
      </c>
      <c r="M193" s="102">
        <v>213</v>
      </c>
      <c r="N193" s="95">
        <v>0</v>
      </c>
      <c r="O193" s="95">
        <v>0</v>
      </c>
      <c r="P193" s="95">
        <v>0</v>
      </c>
      <c r="Q193" s="49" t="s">
        <v>10808</v>
      </c>
    </row>
    <row r="194" spans="1:17">
      <c r="A194" s="95">
        <v>174904221976312</v>
      </c>
      <c r="B194" s="49" t="s">
        <v>10651</v>
      </c>
      <c r="C194" s="49" t="s">
        <v>10806</v>
      </c>
      <c r="D194" s="49" t="s">
        <v>10807</v>
      </c>
      <c r="E194" s="49">
        <v>628127962347</v>
      </c>
      <c r="F194" s="96">
        <v>45832</v>
      </c>
      <c r="G194" s="49" t="s">
        <v>7917</v>
      </c>
      <c r="H194" s="49" t="s">
        <v>12676</v>
      </c>
      <c r="I194" s="95">
        <v>6</v>
      </c>
      <c r="J194" s="95">
        <v>7</v>
      </c>
      <c r="K194" s="95">
        <v>1</v>
      </c>
      <c r="L194" s="97">
        <v>135285.71428571429</v>
      </c>
      <c r="M194" s="102">
        <v>947</v>
      </c>
      <c r="N194" s="95">
        <v>1</v>
      </c>
      <c r="O194" s="95">
        <v>2</v>
      </c>
      <c r="P194" s="95">
        <v>0</v>
      </c>
      <c r="Q194" s="49" t="s">
        <v>10808</v>
      </c>
    </row>
    <row r="195" spans="1:17">
      <c r="A195" s="95">
        <v>174904221976312</v>
      </c>
      <c r="B195" s="49" t="s">
        <v>10651</v>
      </c>
      <c r="C195" s="49" t="s">
        <v>10806</v>
      </c>
      <c r="D195" s="49" t="s">
        <v>10807</v>
      </c>
      <c r="E195" s="49">
        <v>628127962347</v>
      </c>
      <c r="F195" s="96">
        <v>45832</v>
      </c>
      <c r="G195" s="49" t="s">
        <v>1210</v>
      </c>
      <c r="H195" s="49" t="s">
        <v>12676</v>
      </c>
      <c r="I195" s="95">
        <v>1</v>
      </c>
      <c r="J195" s="95">
        <v>1</v>
      </c>
      <c r="K195" s="95">
        <v>0</v>
      </c>
      <c r="L195" s="97">
        <v>6000</v>
      </c>
      <c r="M195" s="102">
        <v>6</v>
      </c>
      <c r="N195" s="95">
        <v>0</v>
      </c>
      <c r="O195" s="95">
        <v>0</v>
      </c>
      <c r="P195" s="95">
        <v>0</v>
      </c>
      <c r="Q195" s="49" t="s">
        <v>10808</v>
      </c>
    </row>
    <row r="196" spans="1:17">
      <c r="A196" s="95">
        <v>174904221976312</v>
      </c>
      <c r="B196" s="49" t="s">
        <v>10651</v>
      </c>
      <c r="C196" s="49" t="s">
        <v>10806</v>
      </c>
      <c r="D196" s="49" t="s">
        <v>10807</v>
      </c>
      <c r="E196" s="49">
        <v>628127962347</v>
      </c>
      <c r="F196" s="96">
        <v>45832</v>
      </c>
      <c r="G196" s="49" t="s">
        <v>12678</v>
      </c>
      <c r="H196" s="49" t="s">
        <v>12676</v>
      </c>
      <c r="I196" s="95">
        <v>19</v>
      </c>
      <c r="J196" s="95">
        <v>19</v>
      </c>
      <c r="K196" s="95">
        <v>0</v>
      </c>
      <c r="L196" s="97">
        <v>47894.73684210526</v>
      </c>
      <c r="M196" s="102">
        <v>910</v>
      </c>
      <c r="N196" s="95">
        <v>0</v>
      </c>
      <c r="O196" s="95">
        <v>2</v>
      </c>
      <c r="P196" s="95">
        <v>0</v>
      </c>
      <c r="Q196" s="49" t="s">
        <v>10808</v>
      </c>
    </row>
    <row r="197" spans="1:17">
      <c r="A197" s="95">
        <v>174904221976312</v>
      </c>
      <c r="B197" s="49" t="s">
        <v>10651</v>
      </c>
      <c r="C197" s="49" t="s">
        <v>10806</v>
      </c>
      <c r="D197" s="49" t="s">
        <v>10807</v>
      </c>
      <c r="E197" s="49">
        <v>628127962347</v>
      </c>
      <c r="F197" s="96">
        <v>45832</v>
      </c>
      <c r="G197" s="49" t="s">
        <v>12682</v>
      </c>
      <c r="H197" s="49" t="s">
        <v>12676</v>
      </c>
      <c r="I197" s="95">
        <v>2</v>
      </c>
      <c r="J197" s="95">
        <v>2</v>
      </c>
      <c r="K197" s="95">
        <v>0</v>
      </c>
      <c r="L197" s="97">
        <v>78500</v>
      </c>
      <c r="M197" s="102">
        <v>157</v>
      </c>
      <c r="N197" s="95">
        <v>0</v>
      </c>
      <c r="O197" s="95">
        <v>1</v>
      </c>
      <c r="P197" s="95">
        <v>0</v>
      </c>
      <c r="Q197" s="49" t="s">
        <v>10808</v>
      </c>
    </row>
    <row r="198" spans="1:17">
      <c r="A198" s="95">
        <v>174904221976312</v>
      </c>
      <c r="B198" s="49" t="s">
        <v>10651</v>
      </c>
      <c r="C198" s="49" t="s">
        <v>10806</v>
      </c>
      <c r="D198" s="49" t="s">
        <v>10807</v>
      </c>
      <c r="E198" s="49">
        <v>628127962347</v>
      </c>
      <c r="F198" s="96">
        <v>45832</v>
      </c>
      <c r="G198" s="49" t="s">
        <v>12683</v>
      </c>
      <c r="H198" s="49" t="s">
        <v>12676</v>
      </c>
      <c r="I198" s="95">
        <v>1</v>
      </c>
      <c r="J198" s="95">
        <v>1</v>
      </c>
      <c r="K198" s="95">
        <v>0</v>
      </c>
      <c r="L198" s="97">
        <v>18000</v>
      </c>
      <c r="M198" s="102">
        <v>18</v>
      </c>
      <c r="N198" s="95">
        <v>0</v>
      </c>
      <c r="O198" s="95">
        <v>0</v>
      </c>
      <c r="P198" s="95">
        <v>0</v>
      </c>
      <c r="Q198" s="49" t="s">
        <v>10808</v>
      </c>
    </row>
    <row r="199" spans="1:17">
      <c r="A199" s="95">
        <v>174904221976312</v>
      </c>
      <c r="B199" s="49" t="s">
        <v>10651</v>
      </c>
      <c r="C199" s="49" t="s">
        <v>10806</v>
      </c>
      <c r="D199" s="49" t="s">
        <v>10807</v>
      </c>
      <c r="E199" s="49">
        <v>628127962347</v>
      </c>
      <c r="F199" s="96">
        <v>45832</v>
      </c>
      <c r="G199" s="49" t="s">
        <v>12684</v>
      </c>
      <c r="H199" s="49" t="s">
        <v>12676</v>
      </c>
      <c r="I199" s="95">
        <v>23</v>
      </c>
      <c r="J199" s="95">
        <v>24</v>
      </c>
      <c r="K199" s="95">
        <v>2</v>
      </c>
      <c r="L199" s="97">
        <v>69791.666666666672</v>
      </c>
      <c r="M199" s="102">
        <v>1675</v>
      </c>
      <c r="N199" s="95">
        <v>1</v>
      </c>
      <c r="O199" s="95">
        <v>2</v>
      </c>
      <c r="P199" s="95">
        <v>0</v>
      </c>
      <c r="Q199" s="49" t="s">
        <v>10808</v>
      </c>
    </row>
    <row r="200" spans="1:17">
      <c r="A200" s="95">
        <v>174904221976312</v>
      </c>
      <c r="B200" s="49" t="s">
        <v>10651</v>
      </c>
      <c r="C200" s="49" t="s">
        <v>10806</v>
      </c>
      <c r="D200" s="49" t="s">
        <v>10807</v>
      </c>
      <c r="E200" s="49">
        <v>628127962347</v>
      </c>
      <c r="F200" s="96">
        <v>45832</v>
      </c>
      <c r="G200" s="49" t="s">
        <v>12680</v>
      </c>
      <c r="H200" s="49" t="s">
        <v>12676</v>
      </c>
      <c r="I200" s="95">
        <v>5</v>
      </c>
      <c r="J200" s="95">
        <v>5</v>
      </c>
      <c r="K200" s="95">
        <v>0</v>
      </c>
      <c r="L200" s="97">
        <v>44200</v>
      </c>
      <c r="M200" s="102">
        <v>221</v>
      </c>
      <c r="N200" s="95">
        <v>0</v>
      </c>
      <c r="O200" s="95">
        <v>1</v>
      </c>
      <c r="P200" s="95">
        <v>0</v>
      </c>
      <c r="Q200" s="49" t="s">
        <v>10808</v>
      </c>
    </row>
    <row r="201" spans="1:17">
      <c r="A201" s="95">
        <v>174904221976312</v>
      </c>
      <c r="B201" s="49" t="s">
        <v>10651</v>
      </c>
      <c r="C201" s="49" t="s">
        <v>10806</v>
      </c>
      <c r="D201" s="49" t="s">
        <v>10807</v>
      </c>
      <c r="E201" s="49">
        <v>628127962347</v>
      </c>
      <c r="F201" s="96">
        <v>45832</v>
      </c>
      <c r="G201" s="49" t="s">
        <v>12685</v>
      </c>
      <c r="H201" s="49" t="s">
        <v>12676</v>
      </c>
      <c r="I201" s="95">
        <v>10</v>
      </c>
      <c r="J201" s="95">
        <v>12</v>
      </c>
      <c r="K201" s="95">
        <v>0</v>
      </c>
      <c r="L201" s="97">
        <v>37666.666666666664</v>
      </c>
      <c r="M201" s="102">
        <v>452</v>
      </c>
      <c r="N201" s="95">
        <v>0</v>
      </c>
      <c r="O201" s="95">
        <v>0</v>
      </c>
      <c r="P201" s="95">
        <v>0</v>
      </c>
      <c r="Q201" s="49" t="s">
        <v>10808</v>
      </c>
    </row>
    <row r="202" spans="1:17">
      <c r="A202" s="95">
        <v>174904221976312</v>
      </c>
      <c r="B202" s="49" t="s">
        <v>10651</v>
      </c>
      <c r="C202" s="49" t="s">
        <v>10806</v>
      </c>
      <c r="D202" s="49" t="s">
        <v>10807</v>
      </c>
      <c r="E202" s="49">
        <v>628127962347</v>
      </c>
      <c r="F202" s="96">
        <v>45832</v>
      </c>
      <c r="G202" s="49" t="s">
        <v>12686</v>
      </c>
      <c r="H202" s="49" t="s">
        <v>12676</v>
      </c>
      <c r="I202" s="95">
        <v>1</v>
      </c>
      <c r="J202" s="95">
        <v>1</v>
      </c>
      <c r="K202" s="95">
        <v>0</v>
      </c>
      <c r="L202" s="97">
        <v>31000</v>
      </c>
      <c r="M202" s="102">
        <v>31</v>
      </c>
      <c r="N202" s="95">
        <v>0</v>
      </c>
      <c r="O202" s="95">
        <v>0</v>
      </c>
      <c r="P202" s="95">
        <v>0</v>
      </c>
      <c r="Q202" s="49" t="s">
        <v>10808</v>
      </c>
    </row>
    <row r="203" spans="1:17">
      <c r="A203" s="95">
        <v>174904221976312</v>
      </c>
      <c r="B203" s="49" t="s">
        <v>10651</v>
      </c>
      <c r="C203" s="49" t="s">
        <v>10806</v>
      </c>
      <c r="D203" s="49" t="s">
        <v>10807</v>
      </c>
      <c r="E203" s="49">
        <v>628127962347</v>
      </c>
      <c r="F203" s="96">
        <v>45832</v>
      </c>
      <c r="G203" s="49" t="s">
        <v>2132</v>
      </c>
      <c r="H203" s="49" t="s">
        <v>12676</v>
      </c>
      <c r="I203" s="95">
        <v>6</v>
      </c>
      <c r="J203" s="95">
        <v>6</v>
      </c>
      <c r="K203" s="95">
        <v>0</v>
      </c>
      <c r="L203" s="97">
        <v>43000</v>
      </c>
      <c r="M203" s="102">
        <v>258</v>
      </c>
      <c r="N203" s="95">
        <v>0</v>
      </c>
      <c r="O203" s="95">
        <v>2</v>
      </c>
      <c r="P203" s="95">
        <v>0</v>
      </c>
      <c r="Q203" s="49" t="s">
        <v>10808</v>
      </c>
    </row>
    <row r="204" spans="1:17">
      <c r="A204" s="95">
        <v>174904221976312</v>
      </c>
      <c r="B204" s="49" t="s">
        <v>10651</v>
      </c>
      <c r="C204" s="49" t="s">
        <v>10806</v>
      </c>
      <c r="D204" s="49" t="s">
        <v>10807</v>
      </c>
      <c r="E204" s="49">
        <v>628127962347</v>
      </c>
      <c r="F204" s="96">
        <v>45832</v>
      </c>
      <c r="G204" s="49" t="s">
        <v>2718</v>
      </c>
      <c r="H204" s="49" t="s">
        <v>12676</v>
      </c>
      <c r="I204" s="95">
        <v>1</v>
      </c>
      <c r="J204" s="95">
        <v>1</v>
      </c>
      <c r="K204" s="95">
        <v>0</v>
      </c>
      <c r="L204" s="97">
        <v>83000</v>
      </c>
      <c r="M204" s="102">
        <v>83</v>
      </c>
      <c r="N204" s="95">
        <v>0</v>
      </c>
      <c r="O204" s="95">
        <v>1</v>
      </c>
      <c r="P204" s="95">
        <v>0</v>
      </c>
      <c r="Q204" s="49" t="s">
        <v>10808</v>
      </c>
    </row>
    <row r="205" spans="1:17">
      <c r="A205" s="95">
        <v>174904221976312</v>
      </c>
      <c r="B205" s="49" t="s">
        <v>10651</v>
      </c>
      <c r="C205" s="49" t="s">
        <v>10806</v>
      </c>
      <c r="D205" s="49" t="s">
        <v>10807</v>
      </c>
      <c r="E205" s="49">
        <v>628127962347</v>
      </c>
      <c r="F205" s="96">
        <v>45832</v>
      </c>
      <c r="G205" s="49" t="s">
        <v>2981</v>
      </c>
      <c r="H205" s="49" t="s">
        <v>12676</v>
      </c>
      <c r="I205" s="95">
        <v>4</v>
      </c>
      <c r="J205" s="95">
        <v>4</v>
      </c>
      <c r="K205" s="95">
        <v>0</v>
      </c>
      <c r="L205" s="97">
        <v>92750</v>
      </c>
      <c r="M205" s="102">
        <v>371</v>
      </c>
      <c r="N205" s="95">
        <v>0</v>
      </c>
      <c r="O205" s="95">
        <v>0</v>
      </c>
      <c r="P205" s="95">
        <v>0</v>
      </c>
      <c r="Q205" s="49" t="s">
        <v>10808</v>
      </c>
    </row>
    <row r="206" spans="1:17">
      <c r="A206" s="95">
        <v>174904221976312</v>
      </c>
      <c r="B206" s="49" t="s">
        <v>10651</v>
      </c>
      <c r="C206" s="49" t="s">
        <v>10806</v>
      </c>
      <c r="D206" s="49" t="s">
        <v>10807</v>
      </c>
      <c r="E206" s="49">
        <v>628127962347</v>
      </c>
      <c r="F206" s="96">
        <v>45832</v>
      </c>
      <c r="G206" s="49" t="s">
        <v>12687</v>
      </c>
      <c r="H206" s="49" t="s">
        <v>12676</v>
      </c>
      <c r="I206" s="95">
        <v>1</v>
      </c>
      <c r="J206" s="95">
        <v>2</v>
      </c>
      <c r="K206" s="95">
        <v>0</v>
      </c>
      <c r="L206" s="97">
        <v>6500</v>
      </c>
      <c r="M206" s="102">
        <v>13</v>
      </c>
      <c r="N206" s="95">
        <v>0</v>
      </c>
      <c r="O206" s="95">
        <v>0</v>
      </c>
      <c r="P206" s="95">
        <v>0</v>
      </c>
      <c r="Q206" s="49" t="s">
        <v>10808</v>
      </c>
    </row>
    <row r="207" spans="1:17">
      <c r="A207" s="95">
        <v>174904221976312</v>
      </c>
      <c r="B207" s="49" t="s">
        <v>10651</v>
      </c>
      <c r="C207" s="49" t="s">
        <v>10806</v>
      </c>
      <c r="D207" s="49" t="s">
        <v>10807</v>
      </c>
      <c r="E207" s="49">
        <v>628127962347</v>
      </c>
      <c r="F207" s="96">
        <v>45832</v>
      </c>
      <c r="G207" s="49" t="s">
        <v>12689</v>
      </c>
      <c r="H207" s="49" t="s">
        <v>12676</v>
      </c>
      <c r="I207" s="95">
        <v>0</v>
      </c>
      <c r="J207" s="95">
        <v>0</v>
      </c>
      <c r="K207" s="95">
        <v>0</v>
      </c>
      <c r="L207" s="97">
        <v>0</v>
      </c>
      <c r="M207" s="102">
        <v>0</v>
      </c>
      <c r="N207" s="95">
        <v>0</v>
      </c>
      <c r="O207" s="95">
        <v>0</v>
      </c>
      <c r="P207" s="95">
        <v>0</v>
      </c>
      <c r="Q207" s="49" t="s">
        <v>10808</v>
      </c>
    </row>
    <row r="208" spans="1:17">
      <c r="A208" s="95">
        <v>174904221976312</v>
      </c>
      <c r="B208" s="49" t="s">
        <v>10651</v>
      </c>
      <c r="C208" s="49" t="s">
        <v>10806</v>
      </c>
      <c r="D208" s="49" t="s">
        <v>10807</v>
      </c>
      <c r="E208" s="49">
        <v>628127962347</v>
      </c>
      <c r="F208" s="96">
        <v>45832</v>
      </c>
      <c r="G208" s="49" t="s">
        <v>12690</v>
      </c>
      <c r="H208" s="49" t="s">
        <v>12676</v>
      </c>
      <c r="I208" s="95">
        <v>1</v>
      </c>
      <c r="J208" s="95">
        <v>1</v>
      </c>
      <c r="K208" s="95">
        <v>0</v>
      </c>
      <c r="L208" s="97">
        <v>16000</v>
      </c>
      <c r="M208" s="102">
        <v>16</v>
      </c>
      <c r="N208" s="95">
        <v>0</v>
      </c>
      <c r="O208" s="95">
        <v>0</v>
      </c>
      <c r="P208" s="95">
        <v>0</v>
      </c>
      <c r="Q208" s="49" t="s">
        <v>10808</v>
      </c>
    </row>
    <row r="209" spans="1:17">
      <c r="A209" s="95">
        <v>174904221976312</v>
      </c>
      <c r="B209" s="49" t="s">
        <v>10651</v>
      </c>
      <c r="C209" s="49" t="s">
        <v>10806</v>
      </c>
      <c r="D209" s="49" t="s">
        <v>10807</v>
      </c>
      <c r="E209" s="49">
        <v>628127962347</v>
      </c>
      <c r="F209" s="96">
        <v>45832</v>
      </c>
      <c r="G209" s="49" t="s">
        <v>12691</v>
      </c>
      <c r="H209" s="49" t="s">
        <v>12676</v>
      </c>
      <c r="I209" s="95">
        <v>10</v>
      </c>
      <c r="J209" s="95">
        <v>12</v>
      </c>
      <c r="K209" s="95">
        <v>2</v>
      </c>
      <c r="L209" s="97">
        <v>61583.333333333336</v>
      </c>
      <c r="M209" s="102">
        <v>739</v>
      </c>
      <c r="N209" s="95">
        <v>0</v>
      </c>
      <c r="O209" s="95">
        <v>4</v>
      </c>
      <c r="P209" s="95">
        <v>0</v>
      </c>
      <c r="Q209" s="49" t="s">
        <v>10808</v>
      </c>
    </row>
    <row r="210" spans="1:17">
      <c r="A210" s="95">
        <v>174904221976312</v>
      </c>
      <c r="B210" s="49" t="s">
        <v>10651</v>
      </c>
      <c r="C210" s="49" t="s">
        <v>10806</v>
      </c>
      <c r="D210" s="49" t="s">
        <v>10807</v>
      </c>
      <c r="E210" s="49">
        <v>628127962347</v>
      </c>
      <c r="F210" s="96">
        <v>45832</v>
      </c>
      <c r="G210" s="49" t="s">
        <v>1473</v>
      </c>
      <c r="H210" s="49" t="s">
        <v>12676</v>
      </c>
      <c r="I210" s="95">
        <v>4</v>
      </c>
      <c r="J210" s="95">
        <v>4</v>
      </c>
      <c r="K210" s="95">
        <v>1</v>
      </c>
      <c r="L210" s="97">
        <v>74250</v>
      </c>
      <c r="M210" s="102">
        <v>297</v>
      </c>
      <c r="N210" s="95">
        <v>0</v>
      </c>
      <c r="O210" s="95">
        <v>1</v>
      </c>
      <c r="P210" s="95">
        <v>0</v>
      </c>
      <c r="Q210" s="49" t="s">
        <v>10808</v>
      </c>
    </row>
    <row r="211" spans="1:17">
      <c r="A211" s="95">
        <v>174904221976312</v>
      </c>
      <c r="B211" s="49" t="s">
        <v>10651</v>
      </c>
      <c r="C211" s="49" t="s">
        <v>10806</v>
      </c>
      <c r="D211" s="49" t="s">
        <v>10807</v>
      </c>
      <c r="E211" s="49">
        <v>628127962347</v>
      </c>
      <c r="F211" s="96">
        <v>45832</v>
      </c>
      <c r="G211" s="49" t="s">
        <v>12693</v>
      </c>
      <c r="H211" s="49" t="s">
        <v>12676</v>
      </c>
      <c r="I211" s="95">
        <v>1</v>
      </c>
      <c r="J211" s="95">
        <v>1</v>
      </c>
      <c r="K211" s="95">
        <v>1</v>
      </c>
      <c r="L211" s="97">
        <v>349000</v>
      </c>
      <c r="M211" s="102">
        <v>349</v>
      </c>
      <c r="N211" s="95">
        <v>0</v>
      </c>
      <c r="O211" s="95">
        <v>0</v>
      </c>
      <c r="P211" s="95">
        <v>0</v>
      </c>
      <c r="Q211" s="49" t="s">
        <v>10808</v>
      </c>
    </row>
    <row r="212" spans="1:17">
      <c r="A212" s="95">
        <v>174904221976312</v>
      </c>
      <c r="B212" s="49" t="s">
        <v>10651</v>
      </c>
      <c r="C212" s="49" t="s">
        <v>10806</v>
      </c>
      <c r="D212" s="49" t="s">
        <v>10807</v>
      </c>
      <c r="E212" s="49">
        <v>628127962347</v>
      </c>
      <c r="F212" s="96">
        <v>45832</v>
      </c>
      <c r="G212" s="49" t="s">
        <v>12694</v>
      </c>
      <c r="H212" s="49" t="s">
        <v>12676</v>
      </c>
      <c r="I212" s="95">
        <v>2</v>
      </c>
      <c r="J212" s="95">
        <v>3</v>
      </c>
      <c r="K212" s="95">
        <v>1</v>
      </c>
      <c r="L212" s="97">
        <v>80000</v>
      </c>
      <c r="M212" s="102">
        <v>240</v>
      </c>
      <c r="N212" s="95">
        <v>0</v>
      </c>
      <c r="O212" s="95">
        <v>0</v>
      </c>
      <c r="P212" s="95">
        <v>0</v>
      </c>
      <c r="Q212" s="49" t="s">
        <v>10808</v>
      </c>
    </row>
    <row r="213" spans="1:17">
      <c r="A213" s="95">
        <v>174904221976312</v>
      </c>
      <c r="B213" s="49" t="s">
        <v>10651</v>
      </c>
      <c r="C213" s="49" t="s">
        <v>10806</v>
      </c>
      <c r="D213" s="49" t="s">
        <v>10807</v>
      </c>
      <c r="E213" s="49">
        <v>628127962347</v>
      </c>
      <c r="F213" s="96">
        <v>45832</v>
      </c>
      <c r="G213" s="49" t="s">
        <v>12695</v>
      </c>
      <c r="H213" s="49" t="s">
        <v>12676</v>
      </c>
      <c r="I213" s="95">
        <v>7</v>
      </c>
      <c r="J213" s="95">
        <v>8</v>
      </c>
      <c r="K213" s="95">
        <v>1</v>
      </c>
      <c r="L213" s="97">
        <v>67625</v>
      </c>
      <c r="M213" s="102">
        <v>541</v>
      </c>
      <c r="N213" s="95">
        <v>0</v>
      </c>
      <c r="O213" s="95">
        <v>2</v>
      </c>
      <c r="P213" s="95">
        <v>0</v>
      </c>
      <c r="Q213" s="49" t="s">
        <v>10808</v>
      </c>
    </row>
    <row r="214" spans="1:17">
      <c r="A214" s="95">
        <v>174904221976312</v>
      </c>
      <c r="B214" s="49" t="s">
        <v>10651</v>
      </c>
      <c r="C214" s="49" t="s">
        <v>10806</v>
      </c>
      <c r="D214" s="49" t="s">
        <v>10807</v>
      </c>
      <c r="E214" s="49">
        <v>628127962347</v>
      </c>
      <c r="F214" s="96">
        <v>45832</v>
      </c>
      <c r="G214" s="49" t="s">
        <v>12696</v>
      </c>
      <c r="H214" s="49" t="s">
        <v>12676</v>
      </c>
      <c r="I214" s="95">
        <v>3</v>
      </c>
      <c r="J214" s="95">
        <v>3</v>
      </c>
      <c r="K214" s="95">
        <v>0</v>
      </c>
      <c r="L214" s="97">
        <v>10333.333333333334</v>
      </c>
      <c r="M214" s="102">
        <v>31</v>
      </c>
      <c r="N214" s="95">
        <v>0</v>
      </c>
      <c r="O214" s="95">
        <v>0</v>
      </c>
      <c r="P214" s="95">
        <v>0</v>
      </c>
      <c r="Q214" s="49" t="s">
        <v>10808</v>
      </c>
    </row>
    <row r="215" spans="1:17">
      <c r="A215" s="95">
        <v>174904221976312</v>
      </c>
      <c r="B215" s="49" t="s">
        <v>10651</v>
      </c>
      <c r="C215" s="49" t="s">
        <v>10806</v>
      </c>
      <c r="D215" s="49" t="s">
        <v>10807</v>
      </c>
      <c r="E215" s="49">
        <v>628127962347</v>
      </c>
      <c r="F215" s="96">
        <v>45832</v>
      </c>
      <c r="G215" s="49" t="s">
        <v>12697</v>
      </c>
      <c r="H215" s="49" t="s">
        <v>12676</v>
      </c>
      <c r="I215" s="95">
        <v>1</v>
      </c>
      <c r="J215" s="95">
        <v>1</v>
      </c>
      <c r="K215" s="95">
        <v>0</v>
      </c>
      <c r="L215" s="97">
        <v>9000</v>
      </c>
      <c r="M215" s="102">
        <v>9</v>
      </c>
      <c r="N215" s="95">
        <v>0</v>
      </c>
      <c r="O215" s="95">
        <v>0</v>
      </c>
      <c r="P215" s="95">
        <v>0</v>
      </c>
      <c r="Q215" s="49" t="s">
        <v>10808</v>
      </c>
    </row>
    <row r="216" spans="1:17">
      <c r="A216" s="95">
        <v>174904221976312</v>
      </c>
      <c r="B216" s="49" t="s">
        <v>10651</v>
      </c>
      <c r="C216" s="49" t="s">
        <v>10806</v>
      </c>
      <c r="D216" s="49" t="s">
        <v>10807</v>
      </c>
      <c r="E216" s="49">
        <v>628127962347</v>
      </c>
      <c r="F216" s="96">
        <v>45832</v>
      </c>
      <c r="G216" s="49" t="s">
        <v>12679</v>
      </c>
      <c r="H216" s="49" t="s">
        <v>12676</v>
      </c>
      <c r="I216" s="95">
        <v>5</v>
      </c>
      <c r="J216" s="95">
        <v>5</v>
      </c>
      <c r="K216" s="95">
        <v>0</v>
      </c>
      <c r="L216" s="97">
        <v>368400</v>
      </c>
      <c r="M216" s="102">
        <v>1842</v>
      </c>
      <c r="N216" s="95">
        <v>0</v>
      </c>
      <c r="O216" s="95">
        <v>3</v>
      </c>
      <c r="P216" s="95">
        <v>0</v>
      </c>
      <c r="Q216" s="49" t="s">
        <v>10808</v>
      </c>
    </row>
    <row r="217" spans="1:17">
      <c r="A217" s="95">
        <v>174904221976312</v>
      </c>
      <c r="B217" s="49" t="s">
        <v>10651</v>
      </c>
      <c r="C217" s="49" t="s">
        <v>10815</v>
      </c>
      <c r="D217" s="49" t="s">
        <v>651</v>
      </c>
      <c r="E217" s="49">
        <v>6281905836259</v>
      </c>
      <c r="F217" s="96">
        <v>45832</v>
      </c>
      <c r="G217" s="49" t="s">
        <v>7917</v>
      </c>
      <c r="H217" s="49" t="s">
        <v>12676</v>
      </c>
      <c r="I217" s="95">
        <v>46</v>
      </c>
      <c r="J217" s="95">
        <v>51</v>
      </c>
      <c r="K217" s="95">
        <v>0</v>
      </c>
      <c r="L217" s="97">
        <v>40470.588235294119</v>
      </c>
      <c r="M217" s="102">
        <v>2064</v>
      </c>
      <c r="N217" s="95">
        <v>0</v>
      </c>
      <c r="O217" s="95">
        <v>0</v>
      </c>
      <c r="P217" s="95">
        <v>0</v>
      </c>
      <c r="Q217" s="49" t="s">
        <v>10816</v>
      </c>
    </row>
    <row r="218" spans="1:17">
      <c r="A218" s="95">
        <v>174904221976312</v>
      </c>
      <c r="B218" s="49" t="s">
        <v>10651</v>
      </c>
      <c r="C218" s="49" t="s">
        <v>10815</v>
      </c>
      <c r="D218" s="49" t="s">
        <v>651</v>
      </c>
      <c r="E218" s="49">
        <v>6281905836259</v>
      </c>
      <c r="F218" s="96">
        <v>45832</v>
      </c>
      <c r="G218" s="49" t="s">
        <v>2132</v>
      </c>
      <c r="H218" s="49" t="s">
        <v>12676</v>
      </c>
      <c r="I218" s="95">
        <v>214</v>
      </c>
      <c r="J218" s="95">
        <v>230</v>
      </c>
      <c r="K218" s="95">
        <v>4</v>
      </c>
      <c r="L218" s="97">
        <v>33386.956521739128</v>
      </c>
      <c r="M218" s="102">
        <v>7679</v>
      </c>
      <c r="N218" s="95">
        <v>0</v>
      </c>
      <c r="O218" s="95">
        <v>0</v>
      </c>
      <c r="P218" s="95">
        <v>0</v>
      </c>
      <c r="Q218" s="49" t="s">
        <v>10816</v>
      </c>
    </row>
    <row r="219" spans="1:17">
      <c r="A219" s="95">
        <v>174904221976312</v>
      </c>
      <c r="B219" s="49" t="s">
        <v>10651</v>
      </c>
      <c r="C219" s="49" t="s">
        <v>10815</v>
      </c>
      <c r="D219" s="49" t="s">
        <v>651</v>
      </c>
      <c r="E219" s="49">
        <v>6281905836259</v>
      </c>
      <c r="F219" s="96">
        <v>45832</v>
      </c>
      <c r="G219" s="49" t="s">
        <v>12677</v>
      </c>
      <c r="H219" s="49" t="s">
        <v>12676</v>
      </c>
      <c r="I219" s="95">
        <v>145</v>
      </c>
      <c r="J219" s="95">
        <v>158</v>
      </c>
      <c r="K219" s="95">
        <v>6</v>
      </c>
      <c r="L219" s="97">
        <v>24202.531645569623</v>
      </c>
      <c r="M219" s="102">
        <v>3824</v>
      </c>
      <c r="N219" s="95">
        <v>0</v>
      </c>
      <c r="O219" s="95">
        <v>0</v>
      </c>
      <c r="P219" s="95">
        <v>0</v>
      </c>
      <c r="Q219" s="49" t="s">
        <v>10816</v>
      </c>
    </row>
    <row r="220" spans="1:17">
      <c r="A220" s="95">
        <v>174904221976312</v>
      </c>
      <c r="B220" s="49" t="s">
        <v>10651</v>
      </c>
      <c r="C220" s="49" t="s">
        <v>8099</v>
      </c>
      <c r="D220" s="49" t="s">
        <v>2357</v>
      </c>
      <c r="E220" s="49">
        <v>6281221788919</v>
      </c>
      <c r="F220" s="96">
        <v>45832</v>
      </c>
      <c r="G220" s="49" t="s">
        <v>12699</v>
      </c>
      <c r="H220" s="49" t="s">
        <v>12676</v>
      </c>
      <c r="I220" s="95">
        <v>1086</v>
      </c>
      <c r="J220" s="95">
        <v>1422</v>
      </c>
      <c r="K220" s="95">
        <v>25</v>
      </c>
      <c r="L220" s="97">
        <v>8616.7369901547117</v>
      </c>
      <c r="M220" s="102">
        <v>12253</v>
      </c>
      <c r="N220" s="95">
        <v>0</v>
      </c>
      <c r="O220" s="95">
        <v>400</v>
      </c>
      <c r="P220" s="95">
        <v>0</v>
      </c>
      <c r="Q220" s="49" t="s">
        <v>10759</v>
      </c>
    </row>
    <row r="221" spans="1:17">
      <c r="A221" s="95">
        <v>174904221976312</v>
      </c>
      <c r="B221" s="49" t="s">
        <v>10651</v>
      </c>
      <c r="C221" s="49" t="s">
        <v>311</v>
      </c>
      <c r="D221" s="49" t="s">
        <v>10737</v>
      </c>
      <c r="E221" s="49">
        <v>628988759290</v>
      </c>
      <c r="F221" s="96">
        <v>45832</v>
      </c>
      <c r="G221" s="49" t="s">
        <v>1473</v>
      </c>
      <c r="H221" s="49" t="s">
        <v>12676</v>
      </c>
      <c r="I221" s="95">
        <v>807</v>
      </c>
      <c r="J221" s="95">
        <v>1085</v>
      </c>
      <c r="K221" s="95">
        <v>42</v>
      </c>
      <c r="L221" s="97">
        <v>12369.585253456222</v>
      </c>
      <c r="M221" s="102">
        <v>13421</v>
      </c>
      <c r="N221" s="95">
        <v>2</v>
      </c>
      <c r="O221" s="95">
        <v>62</v>
      </c>
      <c r="P221" s="95">
        <v>0</v>
      </c>
      <c r="Q221" s="49" t="s">
        <v>10738</v>
      </c>
    </row>
    <row r="222" spans="1:17">
      <c r="A222" s="95">
        <v>174904221976312</v>
      </c>
      <c r="B222" s="49" t="s">
        <v>10651</v>
      </c>
      <c r="C222" s="49" t="s">
        <v>10778</v>
      </c>
      <c r="D222" s="49" t="s">
        <v>3140</v>
      </c>
      <c r="F222" s="96">
        <v>45832</v>
      </c>
      <c r="G222" s="49" t="s">
        <v>12685</v>
      </c>
      <c r="H222" s="49" t="s">
        <v>12676</v>
      </c>
      <c r="I222" s="95">
        <v>2</v>
      </c>
      <c r="J222" s="95">
        <v>3</v>
      </c>
      <c r="K222" s="95">
        <v>0</v>
      </c>
      <c r="L222" s="97">
        <v>6000</v>
      </c>
      <c r="M222" s="102">
        <v>18</v>
      </c>
      <c r="N222" s="95">
        <v>0</v>
      </c>
      <c r="O222" s="95">
        <v>0</v>
      </c>
      <c r="P222" s="95">
        <v>0</v>
      </c>
      <c r="Q222" s="49" t="s">
        <v>10779</v>
      </c>
    </row>
    <row r="223" spans="1:17">
      <c r="A223" s="95">
        <v>174904221976312</v>
      </c>
      <c r="B223" s="49" t="s">
        <v>10651</v>
      </c>
      <c r="C223" s="49" t="s">
        <v>10778</v>
      </c>
      <c r="D223" s="49" t="s">
        <v>3140</v>
      </c>
      <c r="F223" s="96">
        <v>45832</v>
      </c>
      <c r="G223" s="49" t="s">
        <v>12700</v>
      </c>
      <c r="H223" s="49" t="s">
        <v>12676</v>
      </c>
      <c r="I223" s="95">
        <v>5225</v>
      </c>
      <c r="J223" s="95">
        <v>5690</v>
      </c>
      <c r="K223" s="95">
        <v>85</v>
      </c>
      <c r="L223" s="97">
        <v>2064.1476274165202</v>
      </c>
      <c r="M223" s="102">
        <v>11745</v>
      </c>
      <c r="N223" s="95">
        <v>0</v>
      </c>
      <c r="O223" s="95">
        <v>523</v>
      </c>
      <c r="P223" s="95">
        <v>0</v>
      </c>
      <c r="Q223" s="49" t="s">
        <v>10779</v>
      </c>
    </row>
    <row r="224" spans="1:17">
      <c r="A224" s="95">
        <v>174904221976312</v>
      </c>
      <c r="B224" s="49" t="s">
        <v>10651</v>
      </c>
      <c r="C224" s="49" t="s">
        <v>10673</v>
      </c>
      <c r="D224" s="49" t="s">
        <v>10674</v>
      </c>
      <c r="E224" s="49">
        <v>6282183184641</v>
      </c>
      <c r="F224" s="96">
        <v>45832</v>
      </c>
      <c r="G224" s="49" t="s">
        <v>2718</v>
      </c>
      <c r="H224" s="49" t="s">
        <v>12676</v>
      </c>
      <c r="I224" s="95">
        <v>367</v>
      </c>
      <c r="J224" s="95">
        <v>492</v>
      </c>
      <c r="K224" s="95">
        <v>15</v>
      </c>
      <c r="L224" s="97">
        <v>24636.17886178862</v>
      </c>
      <c r="M224" s="102">
        <v>12121</v>
      </c>
      <c r="N224" s="95">
        <v>0</v>
      </c>
      <c r="O224" s="95">
        <v>2</v>
      </c>
      <c r="P224" s="95">
        <v>0</v>
      </c>
      <c r="Q224" s="49" t="s">
        <v>10916</v>
      </c>
    </row>
    <row r="225" spans="1:17">
      <c r="A225" s="95">
        <v>174904221976312</v>
      </c>
      <c r="B225" s="49" t="s">
        <v>10651</v>
      </c>
      <c r="C225" s="49" t="s">
        <v>10673</v>
      </c>
      <c r="D225" s="49" t="s">
        <v>10674</v>
      </c>
      <c r="E225" s="49">
        <v>6282183184641</v>
      </c>
      <c r="F225" s="96">
        <v>45832</v>
      </c>
      <c r="G225" s="49" t="s">
        <v>12696</v>
      </c>
      <c r="H225" s="49" t="s">
        <v>12676</v>
      </c>
      <c r="I225" s="95">
        <v>3</v>
      </c>
      <c r="J225" s="95">
        <v>3</v>
      </c>
      <c r="K225" s="95">
        <v>0</v>
      </c>
      <c r="L225" s="97">
        <v>7666.666666666667</v>
      </c>
      <c r="M225" s="102">
        <v>23</v>
      </c>
      <c r="N225" s="95">
        <v>0</v>
      </c>
      <c r="O225" s="95">
        <v>0</v>
      </c>
      <c r="P225" s="95">
        <v>0</v>
      </c>
      <c r="Q225" s="49" t="s">
        <v>10916</v>
      </c>
    </row>
    <row r="226" spans="1:17">
      <c r="A226" s="95">
        <v>174904221976312</v>
      </c>
      <c r="B226" s="49" t="s">
        <v>10651</v>
      </c>
      <c r="C226" s="49" t="s">
        <v>10652</v>
      </c>
      <c r="D226" s="49" t="s">
        <v>10653</v>
      </c>
      <c r="E226" s="49">
        <v>6281348555887</v>
      </c>
      <c r="F226" s="96">
        <v>45832</v>
      </c>
      <c r="G226" s="49" t="s">
        <v>12680</v>
      </c>
      <c r="H226" s="49" t="s">
        <v>12676</v>
      </c>
      <c r="I226" s="95">
        <v>798</v>
      </c>
      <c r="J226" s="95">
        <v>943</v>
      </c>
      <c r="K226" s="95">
        <v>32</v>
      </c>
      <c r="L226" s="97">
        <v>14119.83032873807</v>
      </c>
      <c r="M226" s="102">
        <v>13315</v>
      </c>
      <c r="N226" s="95">
        <v>0</v>
      </c>
      <c r="O226" s="95">
        <v>260</v>
      </c>
      <c r="P226" s="95">
        <v>0</v>
      </c>
      <c r="Q226" s="49" t="s">
        <v>10654</v>
      </c>
    </row>
    <row r="227" spans="1:17">
      <c r="A227" s="95">
        <v>174904221976312</v>
      </c>
      <c r="B227" s="49" t="s">
        <v>10651</v>
      </c>
      <c r="C227" s="49" t="s">
        <v>10659</v>
      </c>
      <c r="D227" s="49" t="s">
        <v>1044</v>
      </c>
      <c r="E227" s="49">
        <v>6281263113266</v>
      </c>
      <c r="F227" s="96">
        <v>45832</v>
      </c>
      <c r="G227" s="49" t="s">
        <v>12691</v>
      </c>
      <c r="H227" s="49" t="s">
        <v>12676</v>
      </c>
      <c r="I227" s="95">
        <v>1268</v>
      </c>
      <c r="J227" s="95">
        <v>1520</v>
      </c>
      <c r="K227" s="95">
        <v>65</v>
      </c>
      <c r="L227" s="97">
        <v>9481.5789473684217</v>
      </c>
      <c r="M227" s="102">
        <v>14412</v>
      </c>
      <c r="N227" s="95">
        <v>5</v>
      </c>
      <c r="O227" s="95">
        <v>0</v>
      </c>
      <c r="P227" s="95">
        <v>1</v>
      </c>
      <c r="Q227" s="49" t="s">
        <v>10660</v>
      </c>
    </row>
    <row r="228" spans="1:17">
      <c r="A228" s="95">
        <v>766589657993298</v>
      </c>
      <c r="B228" s="49" t="s">
        <v>10688</v>
      </c>
      <c r="C228" s="49" t="s">
        <v>10917</v>
      </c>
      <c r="D228" s="49" t="s">
        <v>1037</v>
      </c>
      <c r="E228" s="49">
        <v>6281383434602</v>
      </c>
      <c r="F228" s="96">
        <v>45832</v>
      </c>
      <c r="G228" s="49" t="s">
        <v>2132</v>
      </c>
      <c r="H228" s="49" t="s">
        <v>12676</v>
      </c>
      <c r="I228" s="95">
        <v>234</v>
      </c>
      <c r="J228" s="95">
        <v>248</v>
      </c>
      <c r="K228" s="95">
        <v>4</v>
      </c>
      <c r="L228" s="97">
        <v>33306.451612903227</v>
      </c>
      <c r="M228" s="102">
        <v>8260</v>
      </c>
      <c r="N228" s="95">
        <v>0</v>
      </c>
      <c r="O228" s="95">
        <v>75</v>
      </c>
      <c r="P228" s="95">
        <v>1</v>
      </c>
      <c r="Q228" s="49" t="s">
        <v>10918</v>
      </c>
    </row>
    <row r="229" spans="1:17">
      <c r="A229" s="95">
        <v>766589657993298</v>
      </c>
      <c r="B229" s="49" t="s">
        <v>10688</v>
      </c>
      <c r="C229" s="49" t="s">
        <v>10917</v>
      </c>
      <c r="D229" s="49" t="s">
        <v>1037</v>
      </c>
      <c r="E229" s="49">
        <v>6281383434602</v>
      </c>
      <c r="F229" s="96">
        <v>45832</v>
      </c>
      <c r="G229" s="49" t="s">
        <v>12677</v>
      </c>
      <c r="H229" s="49" t="s">
        <v>12676</v>
      </c>
      <c r="I229" s="95">
        <v>147</v>
      </c>
      <c r="J229" s="95">
        <v>159</v>
      </c>
      <c r="K229" s="95">
        <v>2</v>
      </c>
      <c r="L229" s="97">
        <v>29578.616352201258</v>
      </c>
      <c r="M229" s="102">
        <v>4703</v>
      </c>
      <c r="N229" s="95">
        <v>1</v>
      </c>
      <c r="O229" s="95">
        <v>51</v>
      </c>
      <c r="P229" s="95">
        <v>0</v>
      </c>
      <c r="Q229" s="49" t="s">
        <v>10918</v>
      </c>
    </row>
    <row r="230" spans="1:17">
      <c r="A230" s="95">
        <v>766589657993298</v>
      </c>
      <c r="B230" s="49" t="s">
        <v>10688</v>
      </c>
      <c r="C230" s="49" t="s">
        <v>10919</v>
      </c>
      <c r="D230" s="49" t="s">
        <v>951</v>
      </c>
      <c r="E230" s="49">
        <v>6281383899119</v>
      </c>
      <c r="F230" s="96">
        <v>45832</v>
      </c>
      <c r="G230" s="49" t="s">
        <v>2132</v>
      </c>
      <c r="H230" s="49" t="s">
        <v>12676</v>
      </c>
      <c r="I230" s="95">
        <v>432</v>
      </c>
      <c r="J230" s="95">
        <v>479</v>
      </c>
      <c r="K230" s="95">
        <v>11</v>
      </c>
      <c r="L230" s="97">
        <v>18517.745302713985</v>
      </c>
      <c r="M230" s="102">
        <v>8870</v>
      </c>
      <c r="N230" s="95">
        <v>1</v>
      </c>
      <c r="O230" s="95">
        <v>0</v>
      </c>
      <c r="P230" s="95">
        <v>0</v>
      </c>
      <c r="Q230" s="49" t="s">
        <v>10920</v>
      </c>
    </row>
    <row r="231" spans="1:17">
      <c r="A231" s="95">
        <v>766589657993298</v>
      </c>
      <c r="B231" s="49" t="s">
        <v>10688</v>
      </c>
      <c r="C231" s="49" t="s">
        <v>10919</v>
      </c>
      <c r="D231" s="49" t="s">
        <v>951</v>
      </c>
      <c r="E231" s="49">
        <v>6281383899119</v>
      </c>
      <c r="F231" s="96">
        <v>45832</v>
      </c>
      <c r="G231" s="49" t="s">
        <v>12677</v>
      </c>
      <c r="H231" s="49" t="s">
        <v>12676</v>
      </c>
      <c r="I231" s="95">
        <v>158</v>
      </c>
      <c r="J231" s="95">
        <v>174</v>
      </c>
      <c r="K231" s="95">
        <v>2</v>
      </c>
      <c r="L231" s="97">
        <v>24879.310344827587</v>
      </c>
      <c r="M231" s="102">
        <v>4329</v>
      </c>
      <c r="N231" s="95">
        <v>0</v>
      </c>
      <c r="O231" s="95">
        <v>0</v>
      </c>
      <c r="P231" s="95">
        <v>0</v>
      </c>
      <c r="Q231" s="49" t="s">
        <v>10920</v>
      </c>
    </row>
    <row r="232" spans="1:17">
      <c r="A232" s="95">
        <v>759724529202804</v>
      </c>
      <c r="B232" s="49" t="s">
        <v>10621</v>
      </c>
      <c r="C232" s="49" t="s">
        <v>10925</v>
      </c>
      <c r="D232" s="49" t="s">
        <v>10926</v>
      </c>
      <c r="E232" s="49">
        <v>6281233038880</v>
      </c>
      <c r="F232" s="96">
        <v>45833</v>
      </c>
      <c r="G232" s="49" t="s">
        <v>12678</v>
      </c>
      <c r="H232" s="49" t="s">
        <v>12676</v>
      </c>
      <c r="I232" s="95">
        <v>40</v>
      </c>
      <c r="J232" s="95">
        <v>40</v>
      </c>
      <c r="K232" s="95">
        <v>1</v>
      </c>
      <c r="L232" s="97">
        <v>89200</v>
      </c>
      <c r="M232" s="102">
        <v>3568</v>
      </c>
      <c r="N232" s="95">
        <v>0</v>
      </c>
      <c r="O232" s="95">
        <v>0</v>
      </c>
      <c r="P232" s="95">
        <v>0</v>
      </c>
      <c r="Q232" s="49" t="s">
        <v>10927</v>
      </c>
    </row>
    <row r="233" spans="1:17">
      <c r="A233" s="95">
        <v>759724529202804</v>
      </c>
      <c r="B233" s="49" t="s">
        <v>10621</v>
      </c>
      <c r="C233" s="49" t="s">
        <v>10925</v>
      </c>
      <c r="D233" s="49" t="s">
        <v>10926</v>
      </c>
      <c r="E233" s="49">
        <v>6281233038880</v>
      </c>
      <c r="F233" s="96">
        <v>45833</v>
      </c>
      <c r="G233" s="49" t="s">
        <v>12679</v>
      </c>
      <c r="H233" s="49" t="s">
        <v>12676</v>
      </c>
      <c r="I233" s="95">
        <v>12</v>
      </c>
      <c r="J233" s="95">
        <v>12</v>
      </c>
      <c r="K233" s="95">
        <v>0</v>
      </c>
      <c r="L233" s="97">
        <v>50583.333333333336</v>
      </c>
      <c r="M233" s="102">
        <v>607</v>
      </c>
      <c r="N233" s="95">
        <v>0</v>
      </c>
      <c r="O233" s="95">
        <v>0</v>
      </c>
      <c r="P233" s="95">
        <v>0</v>
      </c>
      <c r="Q233" s="49" t="s">
        <v>10927</v>
      </c>
    </row>
    <row r="234" spans="1:17">
      <c r="A234" s="95">
        <v>759724529202804</v>
      </c>
      <c r="B234" s="49" t="s">
        <v>10621</v>
      </c>
      <c r="C234" s="49" t="s">
        <v>10925</v>
      </c>
      <c r="D234" s="49" t="s">
        <v>10926</v>
      </c>
      <c r="E234" s="49">
        <v>6281233038880</v>
      </c>
      <c r="F234" s="96">
        <v>45833</v>
      </c>
      <c r="G234" s="49" t="s">
        <v>12678</v>
      </c>
      <c r="H234" s="49" t="s">
        <v>12676</v>
      </c>
      <c r="I234" s="95">
        <v>40</v>
      </c>
      <c r="J234" s="95">
        <v>40</v>
      </c>
      <c r="K234" s="95">
        <v>1</v>
      </c>
      <c r="L234" s="97">
        <v>89200</v>
      </c>
      <c r="M234" s="102">
        <v>3568</v>
      </c>
      <c r="N234" s="95">
        <v>0</v>
      </c>
      <c r="O234" s="95">
        <v>0</v>
      </c>
      <c r="P234" s="95">
        <v>0</v>
      </c>
      <c r="Q234" s="49" t="s">
        <v>10927</v>
      </c>
    </row>
    <row r="235" spans="1:17">
      <c r="A235" s="95">
        <v>759724529202804</v>
      </c>
      <c r="B235" s="49" t="s">
        <v>10621</v>
      </c>
      <c r="C235" s="49" t="s">
        <v>10925</v>
      </c>
      <c r="D235" s="49" t="s">
        <v>10926</v>
      </c>
      <c r="E235" s="49">
        <v>6281233038880</v>
      </c>
      <c r="F235" s="96">
        <v>45833</v>
      </c>
      <c r="G235" s="49" t="s">
        <v>12679</v>
      </c>
      <c r="H235" s="49" t="s">
        <v>12676</v>
      </c>
      <c r="I235" s="95">
        <v>12</v>
      </c>
      <c r="J235" s="95">
        <v>12</v>
      </c>
      <c r="K235" s="95">
        <v>0</v>
      </c>
      <c r="L235" s="97">
        <v>50583.333333333336</v>
      </c>
      <c r="M235" s="102">
        <v>607</v>
      </c>
      <c r="N235" s="95">
        <v>0</v>
      </c>
      <c r="O235" s="95">
        <v>0</v>
      </c>
      <c r="P235" s="95">
        <v>0</v>
      </c>
      <c r="Q235" s="49" t="s">
        <v>10927</v>
      </c>
    </row>
    <row r="236" spans="1:17">
      <c r="A236" s="95">
        <v>759724529202804</v>
      </c>
      <c r="B236" s="49" t="s">
        <v>10621</v>
      </c>
      <c r="C236" s="49" t="s">
        <v>10928</v>
      </c>
      <c r="D236" s="49" t="s">
        <v>1112</v>
      </c>
      <c r="E236" s="49">
        <v>6285777110340</v>
      </c>
      <c r="F236" s="96">
        <v>45833</v>
      </c>
      <c r="G236" s="49" t="s">
        <v>46</v>
      </c>
      <c r="H236" s="49" t="s">
        <v>12676</v>
      </c>
      <c r="I236" s="95">
        <v>17</v>
      </c>
      <c r="J236" s="95">
        <v>17</v>
      </c>
      <c r="K236" s="95">
        <v>0</v>
      </c>
      <c r="L236" s="97">
        <v>18176.470588235294</v>
      </c>
      <c r="M236" s="102">
        <v>309</v>
      </c>
      <c r="N236" s="95">
        <v>0</v>
      </c>
      <c r="O236" s="95">
        <v>0</v>
      </c>
      <c r="P236" s="95">
        <v>0</v>
      </c>
      <c r="Q236" s="49" t="s">
        <v>10929</v>
      </c>
    </row>
    <row r="237" spans="1:17">
      <c r="A237" s="95">
        <v>759724529202804</v>
      </c>
      <c r="B237" s="49" t="s">
        <v>10621</v>
      </c>
      <c r="C237" s="49" t="s">
        <v>10928</v>
      </c>
      <c r="D237" s="49" t="s">
        <v>1112</v>
      </c>
      <c r="E237" s="49">
        <v>6285777110340</v>
      </c>
      <c r="F237" s="96">
        <v>45833</v>
      </c>
      <c r="G237" s="49" t="s">
        <v>7917</v>
      </c>
      <c r="H237" s="49" t="s">
        <v>12676</v>
      </c>
      <c r="I237" s="95">
        <v>8</v>
      </c>
      <c r="J237" s="95">
        <v>8</v>
      </c>
      <c r="K237" s="95">
        <v>0</v>
      </c>
      <c r="L237" s="97">
        <v>29375</v>
      </c>
      <c r="M237" s="102">
        <v>235</v>
      </c>
      <c r="N237" s="95">
        <v>0</v>
      </c>
      <c r="O237" s="95">
        <v>0</v>
      </c>
      <c r="P237" s="95">
        <v>0</v>
      </c>
      <c r="Q237" s="49" t="s">
        <v>10929</v>
      </c>
    </row>
    <row r="238" spans="1:17">
      <c r="A238" s="95">
        <v>759724529202804</v>
      </c>
      <c r="B238" s="49" t="s">
        <v>10621</v>
      </c>
      <c r="C238" s="49" t="s">
        <v>10928</v>
      </c>
      <c r="D238" s="49" t="s">
        <v>1112</v>
      </c>
      <c r="E238" s="49">
        <v>6285777110340</v>
      </c>
      <c r="F238" s="96">
        <v>45833</v>
      </c>
      <c r="G238" s="49" t="s">
        <v>12678</v>
      </c>
      <c r="H238" s="49" t="s">
        <v>12676</v>
      </c>
      <c r="I238" s="95">
        <v>21</v>
      </c>
      <c r="J238" s="95">
        <v>22</v>
      </c>
      <c r="K238" s="95">
        <v>0</v>
      </c>
      <c r="L238" s="97">
        <v>10863.636363636364</v>
      </c>
      <c r="M238" s="102">
        <v>239</v>
      </c>
      <c r="N238" s="95">
        <v>0</v>
      </c>
      <c r="O238" s="95">
        <v>0</v>
      </c>
      <c r="P238" s="95">
        <v>0</v>
      </c>
      <c r="Q238" s="49" t="s">
        <v>10929</v>
      </c>
    </row>
    <row r="239" spans="1:17">
      <c r="A239" s="95">
        <v>759724529202804</v>
      </c>
      <c r="B239" s="49" t="s">
        <v>10621</v>
      </c>
      <c r="C239" s="49" t="s">
        <v>10928</v>
      </c>
      <c r="D239" s="49" t="s">
        <v>1112</v>
      </c>
      <c r="E239" s="49">
        <v>6285777110340</v>
      </c>
      <c r="F239" s="96">
        <v>45833</v>
      </c>
      <c r="G239" s="49" t="s">
        <v>12684</v>
      </c>
      <c r="H239" s="49" t="s">
        <v>12676</v>
      </c>
      <c r="I239" s="95">
        <v>23</v>
      </c>
      <c r="J239" s="95">
        <v>23</v>
      </c>
      <c r="K239" s="95">
        <v>0</v>
      </c>
      <c r="L239" s="97">
        <v>30173.91304347826</v>
      </c>
      <c r="M239" s="102">
        <v>694</v>
      </c>
      <c r="N239" s="95">
        <v>0</v>
      </c>
      <c r="O239" s="95">
        <v>0</v>
      </c>
      <c r="P239" s="95">
        <v>0</v>
      </c>
      <c r="Q239" s="49" t="s">
        <v>10929</v>
      </c>
    </row>
    <row r="240" spans="1:17">
      <c r="A240" s="95">
        <v>759724529202804</v>
      </c>
      <c r="B240" s="49" t="s">
        <v>10621</v>
      </c>
      <c r="C240" s="49" t="s">
        <v>10928</v>
      </c>
      <c r="D240" s="49" t="s">
        <v>1112</v>
      </c>
      <c r="E240" s="49">
        <v>6285777110340</v>
      </c>
      <c r="F240" s="96">
        <v>45833</v>
      </c>
      <c r="G240" s="49" t="s">
        <v>2132</v>
      </c>
      <c r="H240" s="49" t="s">
        <v>12676</v>
      </c>
      <c r="I240" s="95">
        <v>13</v>
      </c>
      <c r="J240" s="95">
        <v>16</v>
      </c>
      <c r="K240" s="95">
        <v>2</v>
      </c>
      <c r="L240" s="97">
        <v>19750</v>
      </c>
      <c r="M240" s="102">
        <v>316</v>
      </c>
      <c r="N240" s="95">
        <v>0</v>
      </c>
      <c r="O240" s="95">
        <v>0</v>
      </c>
      <c r="P240" s="95">
        <v>0</v>
      </c>
      <c r="Q240" s="49" t="s">
        <v>10929</v>
      </c>
    </row>
    <row r="241" spans="1:17">
      <c r="A241" s="95">
        <v>759724529202804</v>
      </c>
      <c r="B241" s="49" t="s">
        <v>10621</v>
      </c>
      <c r="C241" s="49" t="s">
        <v>10928</v>
      </c>
      <c r="D241" s="49" t="s">
        <v>1112</v>
      </c>
      <c r="E241" s="49">
        <v>6285777110340</v>
      </c>
      <c r="F241" s="96">
        <v>45833</v>
      </c>
      <c r="G241" s="49" t="s">
        <v>12679</v>
      </c>
      <c r="H241" s="49" t="s">
        <v>12676</v>
      </c>
      <c r="I241" s="95">
        <v>4</v>
      </c>
      <c r="J241" s="95">
        <v>4</v>
      </c>
      <c r="K241" s="95">
        <v>0</v>
      </c>
      <c r="L241" s="97">
        <v>10250</v>
      </c>
      <c r="M241" s="102">
        <v>41</v>
      </c>
      <c r="N241" s="95">
        <v>0</v>
      </c>
      <c r="O241" s="95">
        <v>0</v>
      </c>
      <c r="P241" s="95">
        <v>0</v>
      </c>
      <c r="Q241" s="49" t="s">
        <v>10929</v>
      </c>
    </row>
    <row r="242" spans="1:17">
      <c r="A242" s="95">
        <v>759724529202804</v>
      </c>
      <c r="B242" s="49" t="s">
        <v>10621</v>
      </c>
      <c r="C242" s="49" t="s">
        <v>10928</v>
      </c>
      <c r="D242" s="49" t="s">
        <v>1112</v>
      </c>
      <c r="E242" s="49">
        <v>6285777110340</v>
      </c>
      <c r="F242" s="96">
        <v>45833</v>
      </c>
      <c r="G242" s="49" t="s">
        <v>12677</v>
      </c>
      <c r="H242" s="49" t="s">
        <v>12676</v>
      </c>
      <c r="I242" s="95">
        <v>23</v>
      </c>
      <c r="J242" s="95">
        <v>23</v>
      </c>
      <c r="K242" s="95">
        <v>0</v>
      </c>
      <c r="L242" s="97">
        <v>153782.60869565219</v>
      </c>
      <c r="M242" s="102">
        <v>3537</v>
      </c>
      <c r="N242" s="95">
        <v>0</v>
      </c>
      <c r="O242" s="95">
        <v>0</v>
      </c>
      <c r="P242" s="95">
        <v>0</v>
      </c>
      <c r="Q242" s="49" t="s">
        <v>10929</v>
      </c>
    </row>
    <row r="243" spans="1:17">
      <c r="A243" s="95">
        <v>759724529202804</v>
      </c>
      <c r="B243" s="49" t="s">
        <v>10621</v>
      </c>
      <c r="C243" s="49" t="s">
        <v>10904</v>
      </c>
      <c r="D243" s="49" t="s">
        <v>10905</v>
      </c>
      <c r="E243" s="49">
        <v>6285711667433</v>
      </c>
      <c r="F243" s="96">
        <v>45833</v>
      </c>
      <c r="G243" s="49" t="s">
        <v>7917</v>
      </c>
      <c r="H243" s="49" t="s">
        <v>12676</v>
      </c>
      <c r="I243" s="95">
        <v>49</v>
      </c>
      <c r="J243" s="95">
        <v>52</v>
      </c>
      <c r="K243" s="95">
        <v>0</v>
      </c>
      <c r="L243" s="97">
        <v>7884.6153846153848</v>
      </c>
      <c r="M243" s="102">
        <v>410</v>
      </c>
      <c r="N243" s="95">
        <v>0</v>
      </c>
      <c r="O243" s="95">
        <v>12</v>
      </c>
      <c r="P243" s="95">
        <v>0</v>
      </c>
      <c r="Q243" s="49" t="s">
        <v>10906</v>
      </c>
    </row>
    <row r="244" spans="1:17">
      <c r="A244" s="95">
        <v>759724529202804</v>
      </c>
      <c r="B244" s="49" t="s">
        <v>10621</v>
      </c>
      <c r="C244" s="49" t="s">
        <v>10904</v>
      </c>
      <c r="D244" s="49" t="s">
        <v>10905</v>
      </c>
      <c r="E244" s="49">
        <v>6285711667433</v>
      </c>
      <c r="F244" s="96">
        <v>45833</v>
      </c>
      <c r="G244" s="49" t="s">
        <v>2132</v>
      </c>
      <c r="H244" s="49" t="s">
        <v>12676</v>
      </c>
      <c r="I244" s="95">
        <v>132</v>
      </c>
      <c r="J244" s="95">
        <v>138</v>
      </c>
      <c r="K244" s="95">
        <v>4</v>
      </c>
      <c r="L244" s="97">
        <v>8623.188405797102</v>
      </c>
      <c r="M244" s="102">
        <v>1190</v>
      </c>
      <c r="N244" s="95">
        <v>0</v>
      </c>
      <c r="O244" s="95">
        <v>36</v>
      </c>
      <c r="P244" s="95">
        <v>0</v>
      </c>
      <c r="Q244" s="49" t="s">
        <v>10906</v>
      </c>
    </row>
    <row r="245" spans="1:17">
      <c r="A245" s="95">
        <v>759724529202804</v>
      </c>
      <c r="B245" s="49" t="s">
        <v>10621</v>
      </c>
      <c r="C245" s="49" t="s">
        <v>10904</v>
      </c>
      <c r="D245" s="49" t="s">
        <v>10905</v>
      </c>
      <c r="E245" s="49">
        <v>6285711667433</v>
      </c>
      <c r="F245" s="96">
        <v>45833</v>
      </c>
      <c r="G245" s="49" t="s">
        <v>12677</v>
      </c>
      <c r="H245" s="49" t="s">
        <v>12676</v>
      </c>
      <c r="I245" s="95">
        <v>143</v>
      </c>
      <c r="J245" s="95">
        <v>148</v>
      </c>
      <c r="K245" s="95">
        <v>1</v>
      </c>
      <c r="L245" s="97">
        <v>6547.2972972972975</v>
      </c>
      <c r="M245" s="102">
        <v>969</v>
      </c>
      <c r="N245" s="95">
        <v>0</v>
      </c>
      <c r="O245" s="95">
        <v>43</v>
      </c>
      <c r="P245" s="95">
        <v>0</v>
      </c>
      <c r="Q245" s="49" t="s">
        <v>10906</v>
      </c>
    </row>
    <row r="246" spans="1:17">
      <c r="A246" s="95">
        <v>759724529202804</v>
      </c>
      <c r="B246" s="49" t="s">
        <v>10621</v>
      </c>
      <c r="C246" s="49" t="s">
        <v>10907</v>
      </c>
      <c r="D246" s="49" t="s">
        <v>943</v>
      </c>
      <c r="E246" s="49">
        <v>6285775986977</v>
      </c>
      <c r="F246" s="96">
        <v>45833</v>
      </c>
      <c r="G246" s="49" t="s">
        <v>2132</v>
      </c>
      <c r="H246" s="49" t="s">
        <v>12676</v>
      </c>
      <c r="I246" s="95">
        <v>110</v>
      </c>
      <c r="J246" s="95">
        <v>113</v>
      </c>
      <c r="K246" s="95">
        <v>2</v>
      </c>
      <c r="L246" s="97">
        <v>33115.044247787606</v>
      </c>
      <c r="M246" s="102">
        <v>3742</v>
      </c>
      <c r="N246" s="95">
        <v>0</v>
      </c>
      <c r="O246" s="95">
        <v>29</v>
      </c>
      <c r="P246" s="95">
        <v>0</v>
      </c>
      <c r="Q246" s="49" t="s">
        <v>10908</v>
      </c>
    </row>
    <row r="247" spans="1:17">
      <c r="A247" s="95">
        <v>759724529202804</v>
      </c>
      <c r="B247" s="49" t="s">
        <v>10621</v>
      </c>
      <c r="C247" s="49" t="s">
        <v>10907</v>
      </c>
      <c r="D247" s="49" t="s">
        <v>943</v>
      </c>
      <c r="E247" s="49">
        <v>6285775986977</v>
      </c>
      <c r="F247" s="96">
        <v>45833</v>
      </c>
      <c r="G247" s="49" t="s">
        <v>12677</v>
      </c>
      <c r="H247" s="49" t="s">
        <v>12676</v>
      </c>
      <c r="I247" s="95">
        <v>19</v>
      </c>
      <c r="J247" s="95">
        <v>19</v>
      </c>
      <c r="K247" s="95">
        <v>0</v>
      </c>
      <c r="L247" s="97">
        <v>25315.78947368421</v>
      </c>
      <c r="M247" s="102">
        <v>481</v>
      </c>
      <c r="N247" s="95">
        <v>0</v>
      </c>
      <c r="O247" s="95">
        <v>5</v>
      </c>
      <c r="P247" s="95">
        <v>0</v>
      </c>
      <c r="Q247" s="49" t="s">
        <v>10908</v>
      </c>
    </row>
    <row r="248" spans="1:17">
      <c r="A248" s="95">
        <v>759724529202804</v>
      </c>
      <c r="B248" s="49" t="s">
        <v>10621</v>
      </c>
      <c r="C248" s="49" t="s">
        <v>10909</v>
      </c>
      <c r="D248" s="49" t="s">
        <v>10910</v>
      </c>
      <c r="E248" s="49">
        <v>6281904501876</v>
      </c>
      <c r="F248" s="96">
        <v>45833</v>
      </c>
      <c r="G248" s="49" t="s">
        <v>12678</v>
      </c>
      <c r="H248" s="49" t="s">
        <v>12676</v>
      </c>
      <c r="I248" s="95">
        <v>83</v>
      </c>
      <c r="J248" s="95">
        <v>91</v>
      </c>
      <c r="K248" s="95">
        <v>3</v>
      </c>
      <c r="L248" s="97">
        <v>15263.736263736264</v>
      </c>
      <c r="M248" s="102">
        <v>1389</v>
      </c>
      <c r="N248" s="95">
        <v>0</v>
      </c>
      <c r="O248" s="95">
        <v>25</v>
      </c>
      <c r="P248" s="95">
        <v>0</v>
      </c>
      <c r="Q248" s="49" t="s">
        <v>10911</v>
      </c>
    </row>
    <row r="249" spans="1:17">
      <c r="A249" s="95">
        <v>759724529202804</v>
      </c>
      <c r="B249" s="49" t="s">
        <v>10621</v>
      </c>
      <c r="C249" s="49" t="s">
        <v>10912</v>
      </c>
      <c r="D249" s="49" t="s">
        <v>1029</v>
      </c>
      <c r="E249" s="49">
        <v>6281253792753</v>
      </c>
      <c r="F249" s="96">
        <v>45833</v>
      </c>
      <c r="G249" s="49" t="s">
        <v>12680</v>
      </c>
      <c r="H249" s="49" t="s">
        <v>12676</v>
      </c>
      <c r="I249" s="95">
        <v>330</v>
      </c>
      <c r="J249" s="95">
        <v>368</v>
      </c>
      <c r="K249" s="95">
        <v>7</v>
      </c>
      <c r="L249" s="97">
        <v>12032.608695652174</v>
      </c>
      <c r="M249" s="102">
        <v>4428</v>
      </c>
      <c r="N249" s="95">
        <v>0</v>
      </c>
      <c r="O249" s="95">
        <v>114</v>
      </c>
      <c r="P249" s="95">
        <v>0</v>
      </c>
      <c r="Q249" s="49" t="s">
        <v>10913</v>
      </c>
    </row>
    <row r="250" spans="1:17">
      <c r="A250" s="95">
        <v>759724529202804</v>
      </c>
      <c r="B250" s="49" t="s">
        <v>10621</v>
      </c>
      <c r="C250" s="49" t="s">
        <v>10922</v>
      </c>
      <c r="D250" s="49" t="s">
        <v>1021</v>
      </c>
      <c r="E250" s="49">
        <v>6282122880328</v>
      </c>
      <c r="F250" s="96">
        <v>45833</v>
      </c>
      <c r="G250" s="49" t="s">
        <v>46</v>
      </c>
      <c r="H250" s="49" t="s">
        <v>12676</v>
      </c>
      <c r="I250" s="95">
        <v>2</v>
      </c>
      <c r="J250" s="95">
        <v>3</v>
      </c>
      <c r="K250" s="95">
        <v>0</v>
      </c>
      <c r="L250" s="97">
        <v>4000</v>
      </c>
      <c r="M250" s="102">
        <v>12</v>
      </c>
      <c r="N250" s="95">
        <v>0</v>
      </c>
      <c r="O250" s="95">
        <v>1</v>
      </c>
      <c r="P250" s="95">
        <v>0</v>
      </c>
      <c r="Q250" s="49" t="s">
        <v>10914</v>
      </c>
    </row>
    <row r="251" spans="1:17">
      <c r="A251" s="95">
        <v>759724529202804</v>
      </c>
      <c r="B251" s="49" t="s">
        <v>10621</v>
      </c>
      <c r="C251" s="49" t="s">
        <v>10922</v>
      </c>
      <c r="D251" s="49" t="s">
        <v>1021</v>
      </c>
      <c r="E251" s="49">
        <v>6282122880328</v>
      </c>
      <c r="F251" s="96">
        <v>45833</v>
      </c>
      <c r="G251" s="49" t="s">
        <v>7917</v>
      </c>
      <c r="H251" s="49" t="s">
        <v>12676</v>
      </c>
      <c r="I251" s="95">
        <v>1</v>
      </c>
      <c r="J251" s="95">
        <v>1</v>
      </c>
      <c r="K251" s="95">
        <v>0</v>
      </c>
      <c r="L251" s="97">
        <v>86000</v>
      </c>
      <c r="M251" s="102">
        <v>86</v>
      </c>
      <c r="N251" s="95">
        <v>0</v>
      </c>
      <c r="O251" s="95">
        <v>1</v>
      </c>
      <c r="P251" s="95">
        <v>0</v>
      </c>
      <c r="Q251" s="49" t="s">
        <v>10914</v>
      </c>
    </row>
    <row r="252" spans="1:17">
      <c r="A252" s="95">
        <v>759724529202804</v>
      </c>
      <c r="B252" s="49" t="s">
        <v>10621</v>
      </c>
      <c r="C252" s="49" t="s">
        <v>10922</v>
      </c>
      <c r="D252" s="49" t="s">
        <v>1021</v>
      </c>
      <c r="E252" s="49">
        <v>6282122880328</v>
      </c>
      <c r="F252" s="96">
        <v>45833</v>
      </c>
      <c r="G252" s="49" t="s">
        <v>12683</v>
      </c>
      <c r="H252" s="49" t="s">
        <v>12676</v>
      </c>
      <c r="I252" s="95">
        <v>1</v>
      </c>
      <c r="J252" s="95">
        <v>2</v>
      </c>
      <c r="K252" s="95">
        <v>0</v>
      </c>
      <c r="L252" s="97">
        <v>50000</v>
      </c>
      <c r="M252" s="102">
        <v>100</v>
      </c>
      <c r="N252" s="95">
        <v>0</v>
      </c>
      <c r="O252" s="95">
        <v>1</v>
      </c>
      <c r="P252" s="95">
        <v>0</v>
      </c>
      <c r="Q252" s="49" t="s">
        <v>10914</v>
      </c>
    </row>
    <row r="253" spans="1:17">
      <c r="A253" s="95">
        <v>759724529202804</v>
      </c>
      <c r="B253" s="49" t="s">
        <v>10621</v>
      </c>
      <c r="C253" s="49" t="s">
        <v>10922</v>
      </c>
      <c r="D253" s="49" t="s">
        <v>1021</v>
      </c>
      <c r="E253" s="49">
        <v>6282122880328</v>
      </c>
      <c r="F253" s="96">
        <v>45833</v>
      </c>
      <c r="G253" s="49" t="s">
        <v>12684</v>
      </c>
      <c r="H253" s="49" t="s">
        <v>12676</v>
      </c>
      <c r="I253" s="95">
        <v>1</v>
      </c>
      <c r="J253" s="95">
        <v>1</v>
      </c>
      <c r="K253" s="95">
        <v>0</v>
      </c>
      <c r="L253" s="97">
        <v>29000</v>
      </c>
      <c r="M253" s="102">
        <v>29</v>
      </c>
      <c r="N253" s="95">
        <v>0</v>
      </c>
      <c r="O253" s="95">
        <v>0</v>
      </c>
      <c r="P253" s="95">
        <v>0</v>
      </c>
      <c r="Q253" s="49" t="s">
        <v>10914</v>
      </c>
    </row>
    <row r="254" spans="1:17">
      <c r="A254" s="95">
        <v>759724529202804</v>
      </c>
      <c r="B254" s="49" t="s">
        <v>10621</v>
      </c>
      <c r="C254" s="49" t="s">
        <v>10922</v>
      </c>
      <c r="D254" s="49" t="s">
        <v>1021</v>
      </c>
      <c r="E254" s="49">
        <v>6282122880328</v>
      </c>
      <c r="F254" s="96">
        <v>45833</v>
      </c>
      <c r="G254" s="49" t="s">
        <v>12680</v>
      </c>
      <c r="H254" s="49" t="s">
        <v>12676</v>
      </c>
      <c r="I254" s="95">
        <v>1</v>
      </c>
      <c r="J254" s="95">
        <v>1</v>
      </c>
      <c r="K254" s="95">
        <v>0</v>
      </c>
      <c r="L254" s="97">
        <v>20000</v>
      </c>
      <c r="M254" s="102">
        <v>20</v>
      </c>
      <c r="N254" s="95">
        <v>0</v>
      </c>
      <c r="O254" s="95">
        <v>1</v>
      </c>
      <c r="P254" s="95">
        <v>0</v>
      </c>
      <c r="Q254" s="49" t="s">
        <v>10914</v>
      </c>
    </row>
    <row r="255" spans="1:17">
      <c r="A255" s="95">
        <v>759724529202804</v>
      </c>
      <c r="B255" s="49" t="s">
        <v>10621</v>
      </c>
      <c r="C255" s="49" t="s">
        <v>10922</v>
      </c>
      <c r="D255" s="49" t="s">
        <v>1021</v>
      </c>
      <c r="E255" s="49">
        <v>6282122880328</v>
      </c>
      <c r="F255" s="96">
        <v>45833</v>
      </c>
      <c r="G255" s="49" t="s">
        <v>12689</v>
      </c>
      <c r="H255" s="49" t="s">
        <v>12676</v>
      </c>
      <c r="I255" s="95">
        <v>2</v>
      </c>
      <c r="J255" s="95">
        <v>2</v>
      </c>
      <c r="K255" s="95">
        <v>0</v>
      </c>
      <c r="L255" s="97">
        <v>36500</v>
      </c>
      <c r="M255" s="102">
        <v>73</v>
      </c>
      <c r="N255" s="95">
        <v>0</v>
      </c>
      <c r="O255" s="95">
        <v>1</v>
      </c>
      <c r="P255" s="95">
        <v>0</v>
      </c>
      <c r="Q255" s="49" t="s">
        <v>10914</v>
      </c>
    </row>
    <row r="256" spans="1:17">
      <c r="A256" s="95">
        <v>759724529202804</v>
      </c>
      <c r="B256" s="49" t="s">
        <v>10621</v>
      </c>
      <c r="C256" s="49" t="s">
        <v>10922</v>
      </c>
      <c r="D256" s="49" t="s">
        <v>1021</v>
      </c>
      <c r="E256" s="49">
        <v>6282122880328</v>
      </c>
      <c r="F256" s="96">
        <v>45833</v>
      </c>
      <c r="G256" s="49" t="s">
        <v>12690</v>
      </c>
      <c r="H256" s="49" t="s">
        <v>12676</v>
      </c>
      <c r="I256" s="95">
        <v>1</v>
      </c>
      <c r="J256" s="95">
        <v>3</v>
      </c>
      <c r="K256" s="95">
        <v>0</v>
      </c>
      <c r="L256" s="97">
        <v>8000</v>
      </c>
      <c r="M256" s="102">
        <v>24</v>
      </c>
      <c r="N256" s="95">
        <v>0</v>
      </c>
      <c r="O256" s="95">
        <v>1</v>
      </c>
      <c r="P256" s="95">
        <v>0</v>
      </c>
      <c r="Q256" s="49" t="s">
        <v>10914</v>
      </c>
    </row>
    <row r="257" spans="1:17">
      <c r="A257" s="95">
        <v>759724529202804</v>
      </c>
      <c r="B257" s="49" t="s">
        <v>10621</v>
      </c>
      <c r="C257" s="49" t="s">
        <v>10922</v>
      </c>
      <c r="D257" s="49" t="s">
        <v>1021</v>
      </c>
      <c r="E257" s="49">
        <v>6282122880328</v>
      </c>
      <c r="F257" s="96">
        <v>45833</v>
      </c>
      <c r="G257" s="49" t="s">
        <v>12691</v>
      </c>
      <c r="H257" s="49" t="s">
        <v>12676</v>
      </c>
      <c r="I257" s="95">
        <v>1</v>
      </c>
      <c r="J257" s="95">
        <v>1</v>
      </c>
      <c r="K257" s="95">
        <v>0</v>
      </c>
      <c r="L257" s="97">
        <v>8000</v>
      </c>
      <c r="M257" s="102">
        <v>8</v>
      </c>
      <c r="N257" s="95">
        <v>0</v>
      </c>
      <c r="O257" s="95">
        <v>1</v>
      </c>
      <c r="P257" s="95">
        <v>0</v>
      </c>
      <c r="Q257" s="49" t="s">
        <v>10914</v>
      </c>
    </row>
    <row r="258" spans="1:17">
      <c r="A258" s="95">
        <v>759724529202804</v>
      </c>
      <c r="B258" s="49" t="s">
        <v>10621</v>
      </c>
      <c r="C258" s="49" t="s">
        <v>10922</v>
      </c>
      <c r="D258" s="49" t="s">
        <v>1021</v>
      </c>
      <c r="E258" s="49">
        <v>6282122880328</v>
      </c>
      <c r="F258" s="96">
        <v>45833</v>
      </c>
      <c r="G258" s="49" t="s">
        <v>1473</v>
      </c>
      <c r="H258" s="49" t="s">
        <v>12676</v>
      </c>
      <c r="I258" s="95">
        <v>2</v>
      </c>
      <c r="J258" s="95">
        <v>4</v>
      </c>
      <c r="K258" s="95">
        <v>0</v>
      </c>
      <c r="L258" s="97">
        <v>150500</v>
      </c>
      <c r="M258" s="102">
        <v>602</v>
      </c>
      <c r="N258" s="95">
        <v>0</v>
      </c>
      <c r="O258" s="95">
        <v>2</v>
      </c>
      <c r="P258" s="95">
        <v>0</v>
      </c>
      <c r="Q258" s="49" t="s">
        <v>10914</v>
      </c>
    </row>
    <row r="259" spans="1:17">
      <c r="A259" s="95">
        <v>759724529202804</v>
      </c>
      <c r="B259" s="49" t="s">
        <v>10621</v>
      </c>
      <c r="C259" s="49" t="s">
        <v>10922</v>
      </c>
      <c r="D259" s="49" t="s">
        <v>1021</v>
      </c>
      <c r="E259" s="49">
        <v>6282122880328</v>
      </c>
      <c r="F259" s="96">
        <v>45833</v>
      </c>
      <c r="G259" s="49" t="s">
        <v>12694</v>
      </c>
      <c r="H259" s="49" t="s">
        <v>12676</v>
      </c>
      <c r="I259" s="95">
        <v>1</v>
      </c>
      <c r="J259" s="95">
        <v>1</v>
      </c>
      <c r="K259" s="95">
        <v>0</v>
      </c>
      <c r="L259" s="97">
        <v>23000</v>
      </c>
      <c r="M259" s="102">
        <v>23</v>
      </c>
      <c r="N259" s="95">
        <v>0</v>
      </c>
      <c r="O259" s="95">
        <v>1</v>
      </c>
      <c r="P259" s="95">
        <v>0</v>
      </c>
      <c r="Q259" s="49" t="s">
        <v>10914</v>
      </c>
    </row>
    <row r="260" spans="1:17">
      <c r="A260" s="95">
        <v>759724529202804</v>
      </c>
      <c r="B260" s="49" t="s">
        <v>10621</v>
      </c>
      <c r="C260" s="49" t="s">
        <v>10922</v>
      </c>
      <c r="D260" s="49" t="s">
        <v>1021</v>
      </c>
      <c r="E260" s="49">
        <v>6282122880328</v>
      </c>
      <c r="F260" s="96">
        <v>45833</v>
      </c>
      <c r="G260" s="49" t="s">
        <v>12695</v>
      </c>
      <c r="H260" s="49" t="s">
        <v>12676</v>
      </c>
      <c r="I260" s="95">
        <v>1</v>
      </c>
      <c r="J260" s="95">
        <v>1</v>
      </c>
      <c r="K260" s="95">
        <v>0</v>
      </c>
      <c r="L260" s="97">
        <v>20000</v>
      </c>
      <c r="M260" s="102">
        <v>20</v>
      </c>
      <c r="N260" s="95">
        <v>0</v>
      </c>
      <c r="O260" s="95">
        <v>0</v>
      </c>
      <c r="P260" s="95">
        <v>0</v>
      </c>
      <c r="Q260" s="49" t="s">
        <v>10914</v>
      </c>
    </row>
    <row r="261" spans="1:17">
      <c r="A261" s="95">
        <v>759724529202804</v>
      </c>
      <c r="B261" s="49" t="s">
        <v>10621</v>
      </c>
      <c r="C261" s="49" t="s">
        <v>10922</v>
      </c>
      <c r="D261" s="49" t="s">
        <v>1021</v>
      </c>
      <c r="E261" s="49">
        <v>6282122880328</v>
      </c>
      <c r="F261" s="96">
        <v>45833</v>
      </c>
      <c r="G261" s="49" t="s">
        <v>12696</v>
      </c>
      <c r="H261" s="49" t="s">
        <v>12676</v>
      </c>
      <c r="I261" s="95">
        <v>2</v>
      </c>
      <c r="J261" s="95">
        <v>2</v>
      </c>
      <c r="K261" s="95">
        <v>1</v>
      </c>
      <c r="L261" s="97">
        <v>386500</v>
      </c>
      <c r="M261" s="102">
        <v>773</v>
      </c>
      <c r="N261" s="95">
        <v>1</v>
      </c>
      <c r="O261" s="95">
        <v>2</v>
      </c>
      <c r="P261" s="95">
        <v>0</v>
      </c>
      <c r="Q261" s="49" t="s">
        <v>10914</v>
      </c>
    </row>
    <row r="262" spans="1:17">
      <c r="A262" s="95">
        <v>759724529202804</v>
      </c>
      <c r="B262" s="49" t="s">
        <v>10621</v>
      </c>
      <c r="C262" s="49" t="s">
        <v>10922</v>
      </c>
      <c r="D262" s="49" t="s">
        <v>1021</v>
      </c>
      <c r="E262" s="49">
        <v>6282122880328</v>
      </c>
      <c r="F262" s="96">
        <v>45833</v>
      </c>
      <c r="G262" s="49" t="s">
        <v>12697</v>
      </c>
      <c r="H262" s="49" t="s">
        <v>12676</v>
      </c>
      <c r="I262" s="95">
        <v>1</v>
      </c>
      <c r="J262" s="95">
        <v>1</v>
      </c>
      <c r="K262" s="95">
        <v>0</v>
      </c>
      <c r="L262" s="97">
        <v>202000</v>
      </c>
      <c r="M262" s="102">
        <v>202</v>
      </c>
      <c r="N262" s="95">
        <v>0</v>
      </c>
      <c r="O262" s="95">
        <v>0</v>
      </c>
      <c r="P262" s="95">
        <v>0</v>
      </c>
      <c r="Q262" s="49" t="s">
        <v>10914</v>
      </c>
    </row>
    <row r="263" spans="1:17">
      <c r="A263" s="95">
        <v>759724529202804</v>
      </c>
      <c r="B263" s="49" t="s">
        <v>10621</v>
      </c>
      <c r="C263" s="49" t="s">
        <v>10922</v>
      </c>
      <c r="D263" s="49" t="s">
        <v>1021</v>
      </c>
      <c r="E263" s="49">
        <v>6282122880328</v>
      </c>
      <c r="F263" s="96">
        <v>45833</v>
      </c>
      <c r="G263" s="49" t="s">
        <v>12679</v>
      </c>
      <c r="H263" s="49" t="s">
        <v>12676</v>
      </c>
      <c r="I263" s="95">
        <v>1</v>
      </c>
      <c r="J263" s="95">
        <v>1</v>
      </c>
      <c r="K263" s="95">
        <v>0</v>
      </c>
      <c r="L263" s="97">
        <v>14000</v>
      </c>
      <c r="M263" s="102">
        <v>14</v>
      </c>
      <c r="N263" s="95">
        <v>0</v>
      </c>
      <c r="O263" s="95">
        <v>1</v>
      </c>
      <c r="P263" s="95">
        <v>0</v>
      </c>
      <c r="Q263" s="49" t="s">
        <v>10914</v>
      </c>
    </row>
    <row r="264" spans="1:17">
      <c r="A264" s="95">
        <v>759724529202804</v>
      </c>
      <c r="B264" s="49" t="s">
        <v>10621</v>
      </c>
      <c r="C264" s="49" t="s">
        <v>10922</v>
      </c>
      <c r="D264" s="49" t="s">
        <v>1021</v>
      </c>
      <c r="E264" s="49">
        <v>6282122880328</v>
      </c>
      <c r="F264" s="96">
        <v>45833</v>
      </c>
      <c r="G264" s="49" t="s">
        <v>12677</v>
      </c>
      <c r="H264" s="49" t="s">
        <v>12676</v>
      </c>
      <c r="I264" s="95">
        <v>2</v>
      </c>
      <c r="J264" s="95">
        <v>2</v>
      </c>
      <c r="K264" s="95">
        <v>1</v>
      </c>
      <c r="L264" s="97">
        <v>120500</v>
      </c>
      <c r="M264" s="102">
        <v>241</v>
      </c>
      <c r="N264" s="95">
        <v>1</v>
      </c>
      <c r="O264" s="95">
        <v>2</v>
      </c>
      <c r="P264" s="95">
        <v>0</v>
      </c>
      <c r="Q264" s="49" t="s">
        <v>10914</v>
      </c>
    </row>
    <row r="265" spans="1:17">
      <c r="A265" s="95">
        <v>759724529202804</v>
      </c>
      <c r="B265" s="49" t="s">
        <v>10621</v>
      </c>
      <c r="C265" s="49" t="s">
        <v>10922</v>
      </c>
      <c r="D265" s="49" t="s">
        <v>1021</v>
      </c>
      <c r="E265" s="49">
        <v>6282122880328</v>
      </c>
      <c r="F265" s="96">
        <v>45833</v>
      </c>
      <c r="G265" s="49" t="s">
        <v>12701</v>
      </c>
      <c r="H265" s="49" t="s">
        <v>12676</v>
      </c>
      <c r="I265" s="95">
        <v>2</v>
      </c>
      <c r="J265" s="95">
        <v>3</v>
      </c>
      <c r="K265" s="95">
        <v>0</v>
      </c>
      <c r="L265" s="97">
        <v>24666.666666666668</v>
      </c>
      <c r="M265" s="102">
        <v>74</v>
      </c>
      <c r="N265" s="95">
        <v>0</v>
      </c>
      <c r="O265" s="95">
        <v>1</v>
      </c>
      <c r="P265" s="95">
        <v>0</v>
      </c>
      <c r="Q265" s="49" t="s">
        <v>10914</v>
      </c>
    </row>
    <row r="266" spans="1:17">
      <c r="A266" s="95">
        <v>759724529202804</v>
      </c>
      <c r="B266" s="49" t="s">
        <v>10621</v>
      </c>
      <c r="C266" s="49" t="s">
        <v>10922</v>
      </c>
      <c r="D266" s="49" t="s">
        <v>1021</v>
      </c>
      <c r="E266" s="49">
        <v>6282122880328</v>
      </c>
      <c r="F266" s="96">
        <v>45833</v>
      </c>
      <c r="G266" s="49" t="s">
        <v>12699</v>
      </c>
      <c r="H266" s="49" t="s">
        <v>12676</v>
      </c>
      <c r="I266" s="95">
        <v>1</v>
      </c>
      <c r="J266" s="95">
        <v>1</v>
      </c>
      <c r="K266" s="95">
        <v>0</v>
      </c>
      <c r="L266" s="97">
        <v>10000</v>
      </c>
      <c r="M266" s="102">
        <v>10</v>
      </c>
      <c r="N266" s="95">
        <v>0</v>
      </c>
      <c r="O266" s="95">
        <v>0</v>
      </c>
      <c r="P266" s="95">
        <v>0</v>
      </c>
      <c r="Q266" s="49" t="s">
        <v>10914</v>
      </c>
    </row>
    <row r="267" spans="1:17">
      <c r="A267" s="95">
        <v>759724529202804</v>
      </c>
      <c r="B267" s="49" t="s">
        <v>10621</v>
      </c>
      <c r="C267" s="49" t="s">
        <v>10863</v>
      </c>
      <c r="D267" s="49" t="s">
        <v>10864</v>
      </c>
      <c r="E267" s="49">
        <v>6285180805171</v>
      </c>
      <c r="F267" s="96">
        <v>45833</v>
      </c>
      <c r="G267" s="49" t="s">
        <v>12694</v>
      </c>
      <c r="H267" s="49" t="s">
        <v>12676</v>
      </c>
      <c r="I267" s="95">
        <v>199</v>
      </c>
      <c r="J267" s="95">
        <v>205</v>
      </c>
      <c r="K267" s="95">
        <v>3</v>
      </c>
      <c r="L267" s="97">
        <v>10770.731707317074</v>
      </c>
      <c r="M267" s="102">
        <v>2208</v>
      </c>
      <c r="N267" s="95">
        <v>0</v>
      </c>
      <c r="O267" s="95">
        <v>49</v>
      </c>
      <c r="P267" s="95">
        <v>0</v>
      </c>
      <c r="Q267" s="49" t="s">
        <v>10865</v>
      </c>
    </row>
    <row r="268" spans="1:17">
      <c r="A268" s="95">
        <v>759724529202804</v>
      </c>
      <c r="B268" s="49" t="s">
        <v>10621</v>
      </c>
      <c r="C268" s="49" t="s">
        <v>10890</v>
      </c>
      <c r="D268" s="49" t="s">
        <v>450</v>
      </c>
      <c r="E268" s="49">
        <v>62895401448273</v>
      </c>
      <c r="F268" s="96">
        <v>45833</v>
      </c>
      <c r="G268" s="49" t="s">
        <v>46</v>
      </c>
      <c r="H268" s="49" t="s">
        <v>12676</v>
      </c>
      <c r="I268" s="95">
        <v>126</v>
      </c>
      <c r="J268" s="95">
        <v>139</v>
      </c>
      <c r="K268" s="95">
        <v>3</v>
      </c>
      <c r="L268" s="97">
        <v>21165.467625899284</v>
      </c>
      <c r="M268" s="102">
        <v>2942</v>
      </c>
      <c r="N268" s="95">
        <v>0</v>
      </c>
      <c r="O268" s="95">
        <v>0</v>
      </c>
      <c r="P268" s="95">
        <v>0</v>
      </c>
      <c r="Q268" s="49" t="s">
        <v>10891</v>
      </c>
    </row>
    <row r="269" spans="1:17">
      <c r="A269" s="95">
        <v>759724529202804</v>
      </c>
      <c r="B269" s="49" t="s">
        <v>10621</v>
      </c>
      <c r="C269" s="49" t="s">
        <v>332</v>
      </c>
      <c r="D269" s="49" t="s">
        <v>10708</v>
      </c>
      <c r="E269" s="49">
        <v>6282350524788</v>
      </c>
      <c r="F269" s="96">
        <v>45833</v>
      </c>
      <c r="G269" s="49" t="s">
        <v>12680</v>
      </c>
      <c r="H269" s="49" t="s">
        <v>12676</v>
      </c>
      <c r="I269" s="95">
        <v>23</v>
      </c>
      <c r="J269" s="95">
        <v>24</v>
      </c>
      <c r="K269" s="95">
        <v>2</v>
      </c>
      <c r="L269" s="97">
        <v>17458.333333333332</v>
      </c>
      <c r="M269" s="102">
        <v>419</v>
      </c>
      <c r="N269" s="95">
        <v>0</v>
      </c>
      <c r="O269" s="95">
        <v>0</v>
      </c>
      <c r="P269" s="95">
        <v>0</v>
      </c>
      <c r="Q269" s="49" t="s">
        <v>10709</v>
      </c>
    </row>
    <row r="270" spans="1:17">
      <c r="A270" s="95">
        <v>759724529202804</v>
      </c>
      <c r="B270" s="49" t="s">
        <v>10621</v>
      </c>
      <c r="C270" s="49" t="s">
        <v>665</v>
      </c>
      <c r="D270" s="49" t="s">
        <v>659</v>
      </c>
      <c r="E270" s="49">
        <v>6285757057088</v>
      </c>
      <c r="F270" s="96">
        <v>45833</v>
      </c>
      <c r="G270" s="49" t="s">
        <v>12678</v>
      </c>
      <c r="H270" s="49" t="s">
        <v>12676</v>
      </c>
      <c r="I270" s="95">
        <v>62</v>
      </c>
      <c r="J270" s="95">
        <v>81</v>
      </c>
      <c r="K270" s="95">
        <v>0</v>
      </c>
      <c r="L270" s="97">
        <v>19839.506172839505</v>
      </c>
      <c r="M270" s="102">
        <v>1607</v>
      </c>
      <c r="N270" s="95">
        <v>0</v>
      </c>
      <c r="O270" s="95">
        <v>0</v>
      </c>
      <c r="P270" s="95">
        <v>0</v>
      </c>
      <c r="Q270" s="49" t="s">
        <v>10636</v>
      </c>
    </row>
    <row r="271" spans="1:17">
      <c r="A271" s="95">
        <v>759724529202804</v>
      </c>
      <c r="B271" s="49" t="s">
        <v>10621</v>
      </c>
      <c r="C271" s="49" t="s">
        <v>665</v>
      </c>
      <c r="D271" s="49" t="s">
        <v>659</v>
      </c>
      <c r="E271" s="49">
        <v>6285757057088</v>
      </c>
      <c r="F271" s="96">
        <v>45833</v>
      </c>
      <c r="G271" s="49" t="s">
        <v>12684</v>
      </c>
      <c r="H271" s="49" t="s">
        <v>12676</v>
      </c>
      <c r="I271" s="95">
        <v>6</v>
      </c>
      <c r="J271" s="95">
        <v>6</v>
      </c>
      <c r="K271" s="95">
        <v>1</v>
      </c>
      <c r="L271" s="97">
        <v>25500</v>
      </c>
      <c r="M271" s="102">
        <v>153</v>
      </c>
      <c r="N271" s="95">
        <v>0</v>
      </c>
      <c r="O271" s="95">
        <v>0</v>
      </c>
      <c r="P271" s="95">
        <v>0</v>
      </c>
      <c r="Q271" s="49" t="s">
        <v>10636</v>
      </c>
    </row>
    <row r="272" spans="1:17">
      <c r="A272" s="95">
        <v>759724529202804</v>
      </c>
      <c r="B272" s="49" t="s">
        <v>10621</v>
      </c>
      <c r="C272" s="49" t="s">
        <v>665</v>
      </c>
      <c r="D272" s="49" t="s">
        <v>659</v>
      </c>
      <c r="E272" s="49">
        <v>6285757057088</v>
      </c>
      <c r="F272" s="96">
        <v>45833</v>
      </c>
      <c r="G272" s="49" t="s">
        <v>12679</v>
      </c>
      <c r="H272" s="49" t="s">
        <v>12676</v>
      </c>
      <c r="I272" s="95">
        <v>15</v>
      </c>
      <c r="J272" s="95">
        <v>19</v>
      </c>
      <c r="K272" s="95">
        <v>2</v>
      </c>
      <c r="L272" s="97">
        <v>42526.315789473687</v>
      </c>
      <c r="M272" s="102">
        <v>808</v>
      </c>
      <c r="N272" s="95">
        <v>0</v>
      </c>
      <c r="O272" s="95">
        <v>0</v>
      </c>
      <c r="P272" s="95">
        <v>0</v>
      </c>
      <c r="Q272" s="49" t="s">
        <v>10636</v>
      </c>
    </row>
    <row r="273" spans="1:17">
      <c r="A273" s="95">
        <v>174904221976312</v>
      </c>
      <c r="B273" s="49" t="s">
        <v>10651</v>
      </c>
      <c r="C273" s="49" t="s">
        <v>10930</v>
      </c>
      <c r="D273" s="49" t="s">
        <v>10931</v>
      </c>
      <c r="E273" s="49">
        <v>6282325874670</v>
      </c>
      <c r="F273" s="96">
        <v>45833</v>
      </c>
      <c r="G273" s="49" t="s">
        <v>12678</v>
      </c>
      <c r="H273" s="49" t="s">
        <v>12676</v>
      </c>
      <c r="I273" s="95">
        <v>67</v>
      </c>
      <c r="J273" s="95">
        <v>69</v>
      </c>
      <c r="K273" s="95">
        <v>3</v>
      </c>
      <c r="L273" s="97">
        <v>17000</v>
      </c>
      <c r="M273" s="102">
        <v>1173</v>
      </c>
      <c r="N273" s="95">
        <v>1</v>
      </c>
      <c r="O273" s="95">
        <v>13</v>
      </c>
      <c r="P273" s="95">
        <v>0</v>
      </c>
      <c r="Q273" s="49" t="s">
        <v>10932</v>
      </c>
    </row>
    <row r="274" spans="1:17">
      <c r="A274" s="95">
        <v>174904221976312</v>
      </c>
      <c r="B274" s="49" t="s">
        <v>10651</v>
      </c>
      <c r="C274" s="49" t="s">
        <v>10930</v>
      </c>
      <c r="D274" s="49" t="s">
        <v>10931</v>
      </c>
      <c r="E274" s="49">
        <v>6282325874670</v>
      </c>
      <c r="F274" s="96">
        <v>45833</v>
      </c>
      <c r="G274" s="49" t="s">
        <v>12684</v>
      </c>
      <c r="H274" s="49" t="s">
        <v>12676</v>
      </c>
      <c r="I274" s="95">
        <v>24</v>
      </c>
      <c r="J274" s="95">
        <v>25</v>
      </c>
      <c r="K274" s="95">
        <v>0</v>
      </c>
      <c r="L274" s="97">
        <v>16079.999999999998</v>
      </c>
      <c r="M274" s="102">
        <v>402</v>
      </c>
      <c r="N274" s="95">
        <v>0</v>
      </c>
      <c r="O274" s="95">
        <v>5</v>
      </c>
      <c r="P274" s="95">
        <v>0</v>
      </c>
      <c r="Q274" s="49" t="s">
        <v>10932</v>
      </c>
    </row>
    <row r="275" spans="1:17">
      <c r="A275" s="95">
        <v>174904221976312</v>
      </c>
      <c r="B275" s="49" t="s">
        <v>10651</v>
      </c>
      <c r="C275" s="49" t="s">
        <v>10915</v>
      </c>
      <c r="D275" s="49" t="s">
        <v>10674</v>
      </c>
      <c r="E275" s="49">
        <v>6282183184641</v>
      </c>
      <c r="F275" s="96">
        <v>45833</v>
      </c>
      <c r="G275" s="49" t="s">
        <v>2718</v>
      </c>
      <c r="H275" s="49" t="s">
        <v>12676</v>
      </c>
      <c r="I275" s="95">
        <v>20</v>
      </c>
      <c r="J275" s="95">
        <v>20</v>
      </c>
      <c r="K275" s="95">
        <v>1</v>
      </c>
      <c r="L275" s="97">
        <v>19400</v>
      </c>
      <c r="M275" s="102">
        <v>388</v>
      </c>
      <c r="N275" s="95">
        <v>0</v>
      </c>
      <c r="O275" s="95">
        <v>0</v>
      </c>
      <c r="P275" s="95">
        <v>0</v>
      </c>
      <c r="Q275" s="49" t="s">
        <v>10675</v>
      </c>
    </row>
    <row r="276" spans="1:17">
      <c r="A276" s="95">
        <v>174904221976312</v>
      </c>
      <c r="B276" s="49" t="s">
        <v>10651</v>
      </c>
      <c r="C276" s="49" t="s">
        <v>10892</v>
      </c>
      <c r="D276" s="49" t="s">
        <v>10893</v>
      </c>
      <c r="E276" s="49">
        <v>6282399721881</v>
      </c>
      <c r="F276" s="96">
        <v>45833</v>
      </c>
      <c r="G276" s="49" t="s">
        <v>12692</v>
      </c>
      <c r="H276" s="49" t="s">
        <v>12676</v>
      </c>
      <c r="I276" s="95">
        <v>197</v>
      </c>
      <c r="J276" s="95">
        <v>205</v>
      </c>
      <c r="K276" s="95">
        <v>2</v>
      </c>
      <c r="L276" s="97">
        <v>6263.414634146342</v>
      </c>
      <c r="M276" s="102">
        <v>1284</v>
      </c>
      <c r="N276" s="95">
        <v>0</v>
      </c>
      <c r="O276" s="95">
        <v>75</v>
      </c>
      <c r="P276" s="95">
        <v>0</v>
      </c>
      <c r="Q276" s="49" t="s">
        <v>10894</v>
      </c>
    </row>
    <row r="277" spans="1:17">
      <c r="A277" s="95">
        <v>174904221976312</v>
      </c>
      <c r="B277" s="49" t="s">
        <v>10651</v>
      </c>
      <c r="C277" s="49" t="s">
        <v>10895</v>
      </c>
      <c r="D277" s="49" t="s">
        <v>10896</v>
      </c>
      <c r="E277" s="49">
        <v>6281299907533</v>
      </c>
      <c r="F277" s="96">
        <v>45833</v>
      </c>
      <c r="G277" s="49" t="s">
        <v>12677</v>
      </c>
      <c r="H277" s="49" t="s">
        <v>12676</v>
      </c>
      <c r="I277" s="95">
        <v>74</v>
      </c>
      <c r="J277" s="95">
        <v>81</v>
      </c>
      <c r="K277" s="95">
        <v>4</v>
      </c>
      <c r="L277" s="97">
        <v>12506.172839506173</v>
      </c>
      <c r="M277" s="102">
        <v>1013</v>
      </c>
      <c r="N277" s="95">
        <v>0</v>
      </c>
      <c r="O277" s="95">
        <v>33</v>
      </c>
      <c r="P277" s="95">
        <v>0</v>
      </c>
      <c r="Q277" s="49" t="s">
        <v>10897</v>
      </c>
    </row>
    <row r="278" spans="1:17">
      <c r="A278" s="95">
        <v>174904221976312</v>
      </c>
      <c r="B278" s="49" t="s">
        <v>10651</v>
      </c>
      <c r="C278" s="49" t="s">
        <v>10866</v>
      </c>
      <c r="D278" s="49" t="s">
        <v>878</v>
      </c>
      <c r="E278" s="49">
        <v>6285733774700</v>
      </c>
      <c r="F278" s="96">
        <v>45833</v>
      </c>
      <c r="G278" s="49" t="s">
        <v>12684</v>
      </c>
      <c r="H278" s="49" t="s">
        <v>12676</v>
      </c>
      <c r="I278" s="95">
        <v>18</v>
      </c>
      <c r="J278" s="95">
        <v>18</v>
      </c>
      <c r="K278" s="95">
        <v>1</v>
      </c>
      <c r="L278" s="97">
        <v>29166.666666666668</v>
      </c>
      <c r="M278" s="102">
        <v>525</v>
      </c>
      <c r="N278" s="95">
        <v>0</v>
      </c>
      <c r="O278" s="95">
        <v>1</v>
      </c>
      <c r="P278" s="95">
        <v>0</v>
      </c>
      <c r="Q278" s="49" t="s">
        <v>10867</v>
      </c>
    </row>
    <row r="279" spans="1:17">
      <c r="A279" s="95">
        <v>174904221976312</v>
      </c>
      <c r="B279" s="49" t="s">
        <v>10651</v>
      </c>
      <c r="C279" s="49" t="s">
        <v>10853</v>
      </c>
      <c r="D279" s="49" t="s">
        <v>10854</v>
      </c>
      <c r="E279" s="49">
        <v>6281393958199</v>
      </c>
      <c r="F279" s="96">
        <v>45833</v>
      </c>
      <c r="G279" s="49" t="s">
        <v>12678</v>
      </c>
      <c r="H279" s="49" t="s">
        <v>12676</v>
      </c>
      <c r="I279" s="95">
        <v>48</v>
      </c>
      <c r="J279" s="95">
        <v>55</v>
      </c>
      <c r="K279" s="95">
        <v>6</v>
      </c>
      <c r="L279" s="97">
        <v>14763.636363636364</v>
      </c>
      <c r="M279" s="102">
        <v>812</v>
      </c>
      <c r="N279" s="95">
        <v>2</v>
      </c>
      <c r="O279" s="95">
        <v>0</v>
      </c>
      <c r="P279" s="95">
        <v>0</v>
      </c>
      <c r="Q279" s="49" t="s">
        <v>10855</v>
      </c>
    </row>
    <row r="280" spans="1:17">
      <c r="A280" s="95">
        <v>174904221976312</v>
      </c>
      <c r="B280" s="49" t="s">
        <v>10651</v>
      </c>
      <c r="C280" s="49" t="s">
        <v>10858</v>
      </c>
      <c r="D280" s="49" t="s">
        <v>10859</v>
      </c>
      <c r="E280" s="49">
        <v>6285227384634</v>
      </c>
      <c r="F280" s="96">
        <v>45833</v>
      </c>
      <c r="G280" s="49" t="s">
        <v>46</v>
      </c>
      <c r="H280" s="49" t="s">
        <v>12676</v>
      </c>
      <c r="I280" s="95">
        <v>6</v>
      </c>
      <c r="J280" s="95">
        <v>6</v>
      </c>
      <c r="K280" s="95">
        <v>0</v>
      </c>
      <c r="L280" s="97">
        <v>27166.666666666668</v>
      </c>
      <c r="M280" s="102">
        <v>163</v>
      </c>
      <c r="N280" s="95">
        <v>0</v>
      </c>
      <c r="O280" s="95">
        <v>0</v>
      </c>
      <c r="P280" s="95">
        <v>0</v>
      </c>
      <c r="Q280" s="49" t="s">
        <v>10860</v>
      </c>
    </row>
    <row r="281" spans="1:17">
      <c r="A281" s="95">
        <v>174904221976312</v>
      </c>
      <c r="B281" s="49" t="s">
        <v>10651</v>
      </c>
      <c r="C281" s="49" t="s">
        <v>10858</v>
      </c>
      <c r="D281" s="49" t="s">
        <v>10859</v>
      </c>
      <c r="E281" s="49">
        <v>6285227384634</v>
      </c>
      <c r="F281" s="96">
        <v>45833</v>
      </c>
      <c r="G281" s="49" t="s">
        <v>7917</v>
      </c>
      <c r="H281" s="49" t="s">
        <v>12676</v>
      </c>
      <c r="I281" s="95">
        <v>3</v>
      </c>
      <c r="J281" s="95">
        <v>4</v>
      </c>
      <c r="K281" s="95">
        <v>0</v>
      </c>
      <c r="L281" s="97">
        <v>14750</v>
      </c>
      <c r="M281" s="102">
        <v>59</v>
      </c>
      <c r="N281" s="95">
        <v>0</v>
      </c>
      <c r="O281" s="95">
        <v>0</v>
      </c>
      <c r="P281" s="95">
        <v>0</v>
      </c>
      <c r="Q281" s="49" t="s">
        <v>10860</v>
      </c>
    </row>
    <row r="282" spans="1:17">
      <c r="A282" s="95">
        <v>174904221976312</v>
      </c>
      <c r="B282" s="49" t="s">
        <v>10651</v>
      </c>
      <c r="C282" s="49" t="s">
        <v>10858</v>
      </c>
      <c r="D282" s="49" t="s">
        <v>10859</v>
      </c>
      <c r="E282" s="49">
        <v>6285227384634</v>
      </c>
      <c r="F282" s="96">
        <v>45833</v>
      </c>
      <c r="G282" s="49" t="s">
        <v>12678</v>
      </c>
      <c r="H282" s="49" t="s">
        <v>12676</v>
      </c>
      <c r="I282" s="95">
        <v>10</v>
      </c>
      <c r="J282" s="95">
        <v>13</v>
      </c>
      <c r="K282" s="95">
        <v>0</v>
      </c>
      <c r="L282" s="97">
        <v>22384.615384615383</v>
      </c>
      <c r="M282" s="102">
        <v>291</v>
      </c>
      <c r="N282" s="95">
        <v>0</v>
      </c>
      <c r="O282" s="95">
        <v>0</v>
      </c>
      <c r="P282" s="95">
        <v>0</v>
      </c>
      <c r="Q282" s="49" t="s">
        <v>10860</v>
      </c>
    </row>
    <row r="283" spans="1:17">
      <c r="A283" s="95">
        <v>174904221976312</v>
      </c>
      <c r="B283" s="49" t="s">
        <v>10651</v>
      </c>
      <c r="C283" s="49" t="s">
        <v>10858</v>
      </c>
      <c r="D283" s="49" t="s">
        <v>10859</v>
      </c>
      <c r="E283" s="49">
        <v>6285227384634</v>
      </c>
      <c r="F283" s="96">
        <v>45833</v>
      </c>
      <c r="G283" s="49" t="s">
        <v>12684</v>
      </c>
      <c r="H283" s="49" t="s">
        <v>12676</v>
      </c>
      <c r="I283" s="95">
        <v>7</v>
      </c>
      <c r="J283" s="95">
        <v>10</v>
      </c>
      <c r="K283" s="95">
        <v>1</v>
      </c>
      <c r="L283" s="97">
        <v>6900</v>
      </c>
      <c r="M283" s="102">
        <v>69</v>
      </c>
      <c r="N283" s="95">
        <v>0</v>
      </c>
      <c r="O283" s="95">
        <v>0</v>
      </c>
      <c r="P283" s="95">
        <v>0</v>
      </c>
      <c r="Q283" s="49" t="s">
        <v>10860</v>
      </c>
    </row>
    <row r="284" spans="1:17">
      <c r="A284" s="95">
        <v>174904221976312</v>
      </c>
      <c r="B284" s="49" t="s">
        <v>10651</v>
      </c>
      <c r="C284" s="49" t="s">
        <v>10858</v>
      </c>
      <c r="D284" s="49" t="s">
        <v>10859</v>
      </c>
      <c r="E284" s="49">
        <v>6285227384634</v>
      </c>
      <c r="F284" s="96">
        <v>45833</v>
      </c>
      <c r="G284" s="49" t="s">
        <v>12680</v>
      </c>
      <c r="H284" s="49" t="s">
        <v>12676</v>
      </c>
      <c r="I284" s="95">
        <v>2</v>
      </c>
      <c r="J284" s="95">
        <v>2</v>
      </c>
      <c r="K284" s="95">
        <v>0</v>
      </c>
      <c r="L284" s="97">
        <v>9000</v>
      </c>
      <c r="M284" s="102">
        <v>18</v>
      </c>
      <c r="N284" s="95">
        <v>0</v>
      </c>
      <c r="O284" s="95">
        <v>0</v>
      </c>
      <c r="P284" s="95">
        <v>0</v>
      </c>
      <c r="Q284" s="49" t="s">
        <v>10860</v>
      </c>
    </row>
    <row r="285" spans="1:17">
      <c r="A285" s="95">
        <v>174904221976312</v>
      </c>
      <c r="B285" s="49" t="s">
        <v>10651</v>
      </c>
      <c r="C285" s="49" t="s">
        <v>10858</v>
      </c>
      <c r="D285" s="49" t="s">
        <v>10859</v>
      </c>
      <c r="E285" s="49">
        <v>6285227384634</v>
      </c>
      <c r="F285" s="96">
        <v>45833</v>
      </c>
      <c r="G285" s="49" t="s">
        <v>12685</v>
      </c>
      <c r="H285" s="49" t="s">
        <v>12676</v>
      </c>
      <c r="I285" s="95">
        <v>5</v>
      </c>
      <c r="J285" s="95">
        <v>6</v>
      </c>
      <c r="K285" s="95">
        <v>0</v>
      </c>
      <c r="L285" s="97">
        <v>55666.666666666664</v>
      </c>
      <c r="M285" s="102">
        <v>334</v>
      </c>
      <c r="N285" s="95">
        <v>0</v>
      </c>
      <c r="O285" s="95">
        <v>0</v>
      </c>
      <c r="P285" s="95">
        <v>0</v>
      </c>
      <c r="Q285" s="49" t="s">
        <v>10860</v>
      </c>
    </row>
    <row r="286" spans="1:17">
      <c r="A286" s="95">
        <v>174904221976312</v>
      </c>
      <c r="B286" s="49" t="s">
        <v>10651</v>
      </c>
      <c r="C286" s="49" t="s">
        <v>10858</v>
      </c>
      <c r="D286" s="49" t="s">
        <v>10859</v>
      </c>
      <c r="E286" s="49">
        <v>6285227384634</v>
      </c>
      <c r="F286" s="96">
        <v>45833</v>
      </c>
      <c r="G286" s="49" t="s">
        <v>2132</v>
      </c>
      <c r="H286" s="49" t="s">
        <v>12676</v>
      </c>
      <c r="I286" s="95">
        <v>3</v>
      </c>
      <c r="J286" s="95">
        <v>3</v>
      </c>
      <c r="K286" s="95">
        <v>0</v>
      </c>
      <c r="L286" s="97">
        <v>10000</v>
      </c>
      <c r="M286" s="102">
        <v>30</v>
      </c>
      <c r="N286" s="95">
        <v>0</v>
      </c>
      <c r="O286" s="95">
        <v>0</v>
      </c>
      <c r="P286" s="95">
        <v>0</v>
      </c>
      <c r="Q286" s="49" t="s">
        <v>10860</v>
      </c>
    </row>
    <row r="287" spans="1:17">
      <c r="A287" s="95">
        <v>174904221976312</v>
      </c>
      <c r="B287" s="49" t="s">
        <v>10651</v>
      </c>
      <c r="C287" s="49" t="s">
        <v>10858</v>
      </c>
      <c r="D287" s="49" t="s">
        <v>10859</v>
      </c>
      <c r="E287" s="49">
        <v>6285227384634</v>
      </c>
      <c r="F287" s="96">
        <v>45833</v>
      </c>
      <c r="G287" s="49" t="s">
        <v>2718</v>
      </c>
      <c r="H287" s="49" t="s">
        <v>12676</v>
      </c>
      <c r="I287" s="95">
        <v>1</v>
      </c>
      <c r="J287" s="95">
        <v>1</v>
      </c>
      <c r="K287" s="95">
        <v>1</v>
      </c>
      <c r="L287" s="97">
        <v>42000</v>
      </c>
      <c r="M287" s="102">
        <v>42</v>
      </c>
      <c r="N287" s="95">
        <v>0</v>
      </c>
      <c r="O287" s="95">
        <v>0</v>
      </c>
      <c r="P287" s="95">
        <v>0</v>
      </c>
      <c r="Q287" s="49" t="s">
        <v>10860</v>
      </c>
    </row>
    <row r="288" spans="1:17">
      <c r="A288" s="95">
        <v>174904221976312</v>
      </c>
      <c r="B288" s="49" t="s">
        <v>10651</v>
      </c>
      <c r="C288" s="49" t="s">
        <v>10858</v>
      </c>
      <c r="D288" s="49" t="s">
        <v>10859</v>
      </c>
      <c r="E288" s="49">
        <v>6285227384634</v>
      </c>
      <c r="F288" s="96">
        <v>45833</v>
      </c>
      <c r="G288" s="49" t="s">
        <v>2981</v>
      </c>
      <c r="H288" s="49" t="s">
        <v>12676</v>
      </c>
      <c r="I288" s="95">
        <v>1</v>
      </c>
      <c r="J288" s="95">
        <v>1</v>
      </c>
      <c r="K288" s="95">
        <v>0</v>
      </c>
      <c r="L288" s="97">
        <v>29000</v>
      </c>
      <c r="M288" s="102">
        <v>29</v>
      </c>
      <c r="N288" s="95">
        <v>0</v>
      </c>
      <c r="O288" s="95">
        <v>0</v>
      </c>
      <c r="P288" s="95">
        <v>0</v>
      </c>
      <c r="Q288" s="49" t="s">
        <v>10860</v>
      </c>
    </row>
    <row r="289" spans="1:17">
      <c r="A289" s="95">
        <v>174904221976312</v>
      </c>
      <c r="B289" s="49" t="s">
        <v>10651</v>
      </c>
      <c r="C289" s="49" t="s">
        <v>10858</v>
      </c>
      <c r="D289" s="49" t="s">
        <v>10859</v>
      </c>
      <c r="E289" s="49">
        <v>6285227384634</v>
      </c>
      <c r="F289" s="96">
        <v>45833</v>
      </c>
      <c r="G289" s="49" t="s">
        <v>12688</v>
      </c>
      <c r="H289" s="49" t="s">
        <v>12676</v>
      </c>
      <c r="I289" s="95">
        <v>1</v>
      </c>
      <c r="J289" s="95">
        <v>1</v>
      </c>
      <c r="K289" s="95">
        <v>0</v>
      </c>
      <c r="L289" s="97">
        <v>59000</v>
      </c>
      <c r="M289" s="102">
        <v>59</v>
      </c>
      <c r="N289" s="95">
        <v>0</v>
      </c>
      <c r="O289" s="95">
        <v>0</v>
      </c>
      <c r="P289" s="95">
        <v>0</v>
      </c>
      <c r="Q289" s="49" t="s">
        <v>10860</v>
      </c>
    </row>
    <row r="290" spans="1:17">
      <c r="A290" s="95">
        <v>174904221976312</v>
      </c>
      <c r="B290" s="49" t="s">
        <v>10651</v>
      </c>
      <c r="C290" s="49" t="s">
        <v>10858</v>
      </c>
      <c r="D290" s="49" t="s">
        <v>10859</v>
      </c>
      <c r="E290" s="49">
        <v>6285227384634</v>
      </c>
      <c r="F290" s="96">
        <v>45833</v>
      </c>
      <c r="G290" s="49" t="s">
        <v>12689</v>
      </c>
      <c r="H290" s="49" t="s">
        <v>12676</v>
      </c>
      <c r="I290" s="95">
        <v>1</v>
      </c>
      <c r="J290" s="95">
        <v>1</v>
      </c>
      <c r="K290" s="95">
        <v>0</v>
      </c>
      <c r="L290" s="97">
        <v>1000</v>
      </c>
      <c r="M290" s="102">
        <v>1</v>
      </c>
      <c r="N290" s="95">
        <v>0</v>
      </c>
      <c r="O290" s="95">
        <v>0</v>
      </c>
      <c r="P290" s="95">
        <v>0</v>
      </c>
      <c r="Q290" s="49" t="s">
        <v>10860</v>
      </c>
    </row>
    <row r="291" spans="1:17">
      <c r="A291" s="95">
        <v>174904221976312</v>
      </c>
      <c r="B291" s="49" t="s">
        <v>10651</v>
      </c>
      <c r="C291" s="49" t="s">
        <v>10858</v>
      </c>
      <c r="D291" s="49" t="s">
        <v>10859</v>
      </c>
      <c r="E291" s="49">
        <v>6285227384634</v>
      </c>
      <c r="F291" s="96">
        <v>45833</v>
      </c>
      <c r="G291" s="49" t="s">
        <v>12690</v>
      </c>
      <c r="H291" s="49" t="s">
        <v>12676</v>
      </c>
      <c r="I291" s="95">
        <v>2</v>
      </c>
      <c r="J291" s="95">
        <v>2</v>
      </c>
      <c r="K291" s="95">
        <v>0</v>
      </c>
      <c r="L291" s="97">
        <v>18500</v>
      </c>
      <c r="M291" s="102">
        <v>37</v>
      </c>
      <c r="N291" s="95">
        <v>0</v>
      </c>
      <c r="O291" s="95">
        <v>0</v>
      </c>
      <c r="P291" s="95">
        <v>0</v>
      </c>
      <c r="Q291" s="49" t="s">
        <v>10860</v>
      </c>
    </row>
    <row r="292" spans="1:17">
      <c r="A292" s="95">
        <v>174904221976312</v>
      </c>
      <c r="B292" s="49" t="s">
        <v>10651</v>
      </c>
      <c r="C292" s="49" t="s">
        <v>10858</v>
      </c>
      <c r="D292" s="49" t="s">
        <v>10859</v>
      </c>
      <c r="E292" s="49">
        <v>6285227384634</v>
      </c>
      <c r="F292" s="96">
        <v>45833</v>
      </c>
      <c r="G292" s="49" t="s">
        <v>12691</v>
      </c>
      <c r="H292" s="49" t="s">
        <v>12676</v>
      </c>
      <c r="I292" s="95">
        <v>2</v>
      </c>
      <c r="J292" s="95">
        <v>2</v>
      </c>
      <c r="K292" s="95">
        <v>0</v>
      </c>
      <c r="L292" s="97">
        <v>1000</v>
      </c>
      <c r="M292" s="102">
        <v>2</v>
      </c>
      <c r="N292" s="95">
        <v>0</v>
      </c>
      <c r="O292" s="95">
        <v>0</v>
      </c>
      <c r="P292" s="95">
        <v>0</v>
      </c>
      <c r="Q292" s="49" t="s">
        <v>10860</v>
      </c>
    </row>
    <row r="293" spans="1:17">
      <c r="A293" s="95">
        <v>174904221976312</v>
      </c>
      <c r="B293" s="49" t="s">
        <v>10651</v>
      </c>
      <c r="C293" s="49" t="s">
        <v>10858</v>
      </c>
      <c r="D293" s="49" t="s">
        <v>10859</v>
      </c>
      <c r="E293" s="49">
        <v>6285227384634</v>
      </c>
      <c r="F293" s="96">
        <v>45833</v>
      </c>
      <c r="G293" s="49" t="s">
        <v>1473</v>
      </c>
      <c r="H293" s="49" t="s">
        <v>12676</v>
      </c>
      <c r="I293" s="95">
        <v>2</v>
      </c>
      <c r="J293" s="95">
        <v>2</v>
      </c>
      <c r="K293" s="95">
        <v>0</v>
      </c>
      <c r="L293" s="97">
        <v>6500</v>
      </c>
      <c r="M293" s="102">
        <v>13</v>
      </c>
      <c r="N293" s="95">
        <v>0</v>
      </c>
      <c r="O293" s="95">
        <v>0</v>
      </c>
      <c r="P293" s="95">
        <v>0</v>
      </c>
      <c r="Q293" s="49" t="s">
        <v>10860</v>
      </c>
    </row>
    <row r="294" spans="1:17">
      <c r="A294" s="95">
        <v>174904221976312</v>
      </c>
      <c r="B294" s="49" t="s">
        <v>10651</v>
      </c>
      <c r="C294" s="49" t="s">
        <v>10858</v>
      </c>
      <c r="D294" s="49" t="s">
        <v>10859</v>
      </c>
      <c r="E294" s="49">
        <v>6285227384634</v>
      </c>
      <c r="F294" s="96">
        <v>45833</v>
      </c>
      <c r="G294" s="49" t="s">
        <v>12694</v>
      </c>
      <c r="H294" s="49" t="s">
        <v>12676</v>
      </c>
      <c r="I294" s="95">
        <v>3</v>
      </c>
      <c r="J294" s="95">
        <v>3</v>
      </c>
      <c r="K294" s="95">
        <v>0</v>
      </c>
      <c r="L294" s="97">
        <v>2000</v>
      </c>
      <c r="M294" s="102">
        <v>6</v>
      </c>
      <c r="N294" s="95">
        <v>0</v>
      </c>
      <c r="O294" s="95">
        <v>0</v>
      </c>
      <c r="P294" s="95">
        <v>0</v>
      </c>
      <c r="Q294" s="49" t="s">
        <v>10860</v>
      </c>
    </row>
    <row r="295" spans="1:17">
      <c r="A295" s="95">
        <v>174904221976312</v>
      </c>
      <c r="B295" s="49" t="s">
        <v>10651</v>
      </c>
      <c r="C295" s="49" t="s">
        <v>10858</v>
      </c>
      <c r="D295" s="49" t="s">
        <v>10859</v>
      </c>
      <c r="E295" s="49">
        <v>6285227384634</v>
      </c>
      <c r="F295" s="96">
        <v>45833</v>
      </c>
      <c r="G295" s="49" t="s">
        <v>12695</v>
      </c>
      <c r="H295" s="49" t="s">
        <v>12676</v>
      </c>
      <c r="I295" s="95">
        <v>5</v>
      </c>
      <c r="J295" s="95">
        <v>5</v>
      </c>
      <c r="K295" s="95">
        <v>1</v>
      </c>
      <c r="L295" s="97">
        <v>18600</v>
      </c>
      <c r="M295" s="102">
        <v>93</v>
      </c>
      <c r="N295" s="95">
        <v>0</v>
      </c>
      <c r="O295" s="95">
        <v>0</v>
      </c>
      <c r="P295" s="95">
        <v>0</v>
      </c>
      <c r="Q295" s="49" t="s">
        <v>10860</v>
      </c>
    </row>
    <row r="296" spans="1:17">
      <c r="A296" s="95">
        <v>174904221976312</v>
      </c>
      <c r="B296" s="49" t="s">
        <v>10651</v>
      </c>
      <c r="C296" s="49" t="s">
        <v>10858</v>
      </c>
      <c r="D296" s="49" t="s">
        <v>10859</v>
      </c>
      <c r="E296" s="49">
        <v>6285227384634</v>
      </c>
      <c r="F296" s="96">
        <v>45833</v>
      </c>
      <c r="G296" s="49" t="s">
        <v>12679</v>
      </c>
      <c r="H296" s="49" t="s">
        <v>12676</v>
      </c>
      <c r="I296" s="95">
        <v>1</v>
      </c>
      <c r="J296" s="95">
        <v>1</v>
      </c>
      <c r="K296" s="95">
        <v>0</v>
      </c>
      <c r="L296" s="97">
        <v>2000</v>
      </c>
      <c r="M296" s="102">
        <v>2</v>
      </c>
      <c r="N296" s="95">
        <v>0</v>
      </c>
      <c r="O296" s="95">
        <v>0</v>
      </c>
      <c r="P296" s="95">
        <v>0</v>
      </c>
      <c r="Q296" s="49" t="s">
        <v>10860</v>
      </c>
    </row>
    <row r="297" spans="1:17">
      <c r="A297" s="95">
        <v>174904221976312</v>
      </c>
      <c r="B297" s="49" t="s">
        <v>10651</v>
      </c>
      <c r="C297" s="49" t="s">
        <v>10858</v>
      </c>
      <c r="D297" s="49" t="s">
        <v>10859</v>
      </c>
      <c r="E297" s="49">
        <v>6285227384634</v>
      </c>
      <c r="F297" s="96">
        <v>45833</v>
      </c>
      <c r="G297" s="49" t="s">
        <v>12677</v>
      </c>
      <c r="H297" s="49" t="s">
        <v>12676</v>
      </c>
      <c r="I297" s="95">
        <v>5</v>
      </c>
      <c r="J297" s="95">
        <v>6</v>
      </c>
      <c r="K297" s="95">
        <v>0</v>
      </c>
      <c r="L297" s="97">
        <v>6166.666666666667</v>
      </c>
      <c r="M297" s="102">
        <v>37</v>
      </c>
      <c r="N297" s="95">
        <v>0</v>
      </c>
      <c r="O297" s="95">
        <v>0</v>
      </c>
      <c r="P297" s="95">
        <v>0</v>
      </c>
      <c r="Q297" s="49" t="s">
        <v>10860</v>
      </c>
    </row>
    <row r="298" spans="1:17">
      <c r="A298" s="95">
        <v>174904221976312</v>
      </c>
      <c r="B298" s="49" t="s">
        <v>10651</v>
      </c>
      <c r="C298" s="49" t="s">
        <v>10858</v>
      </c>
      <c r="D298" s="49" t="s">
        <v>10859</v>
      </c>
      <c r="E298" s="49">
        <v>6285227384634</v>
      </c>
      <c r="F298" s="96">
        <v>45833</v>
      </c>
      <c r="G298" s="49" t="s">
        <v>12702</v>
      </c>
      <c r="H298" s="49" t="s">
        <v>12676</v>
      </c>
      <c r="I298" s="95">
        <v>1</v>
      </c>
      <c r="J298" s="95">
        <v>1</v>
      </c>
      <c r="K298" s="95">
        <v>0</v>
      </c>
      <c r="L298" s="97">
        <v>5000</v>
      </c>
      <c r="M298" s="102">
        <v>5</v>
      </c>
      <c r="N298" s="95">
        <v>0</v>
      </c>
      <c r="O298" s="95">
        <v>0</v>
      </c>
      <c r="P298" s="95">
        <v>0</v>
      </c>
      <c r="Q298" s="49" t="s">
        <v>10860</v>
      </c>
    </row>
    <row r="299" spans="1:17">
      <c r="A299" s="95">
        <v>174904221976312</v>
      </c>
      <c r="B299" s="49" t="s">
        <v>10651</v>
      </c>
      <c r="C299" s="49" t="s">
        <v>10858</v>
      </c>
      <c r="D299" s="49" t="s">
        <v>10859</v>
      </c>
      <c r="E299" s="49">
        <v>6285227384634</v>
      </c>
      <c r="F299" s="96">
        <v>45833</v>
      </c>
      <c r="G299" s="49" t="s">
        <v>12703</v>
      </c>
      <c r="H299" s="49" t="s">
        <v>12676</v>
      </c>
      <c r="I299" s="95">
        <v>4</v>
      </c>
      <c r="J299" s="95">
        <v>5</v>
      </c>
      <c r="K299" s="95">
        <v>0</v>
      </c>
      <c r="L299" s="97">
        <v>6400</v>
      </c>
      <c r="M299" s="102">
        <v>32</v>
      </c>
      <c r="N299" s="95">
        <v>0</v>
      </c>
      <c r="O299" s="95">
        <v>0</v>
      </c>
      <c r="P299" s="95">
        <v>0</v>
      </c>
      <c r="Q299" s="49" t="s">
        <v>10860</v>
      </c>
    </row>
    <row r="300" spans="1:17">
      <c r="A300" s="95">
        <v>174904221976312</v>
      </c>
      <c r="B300" s="49" t="s">
        <v>10651</v>
      </c>
      <c r="C300" s="49" t="s">
        <v>818</v>
      </c>
      <c r="D300" s="49" t="s">
        <v>812</v>
      </c>
      <c r="E300" s="49">
        <v>6287858585808</v>
      </c>
      <c r="F300" s="96">
        <v>45833</v>
      </c>
      <c r="G300" s="49" t="s">
        <v>12691</v>
      </c>
      <c r="H300" s="49" t="s">
        <v>12676</v>
      </c>
      <c r="I300" s="95">
        <v>29</v>
      </c>
      <c r="J300" s="95">
        <v>29</v>
      </c>
      <c r="K300" s="95">
        <v>2</v>
      </c>
      <c r="L300" s="97">
        <v>14034.48275862069</v>
      </c>
      <c r="M300" s="102">
        <v>407</v>
      </c>
      <c r="N300" s="95">
        <v>0</v>
      </c>
      <c r="O300" s="95">
        <v>13</v>
      </c>
      <c r="P300" s="95">
        <v>0</v>
      </c>
      <c r="Q300" s="49" t="s">
        <v>10831</v>
      </c>
    </row>
    <row r="301" spans="1:17">
      <c r="A301" s="95">
        <v>174904221976312</v>
      </c>
      <c r="B301" s="49" t="s">
        <v>10651</v>
      </c>
      <c r="C301" s="49" t="s">
        <v>10806</v>
      </c>
      <c r="D301" s="49" t="s">
        <v>10807</v>
      </c>
      <c r="E301" s="49">
        <v>628127962347</v>
      </c>
      <c r="F301" s="96">
        <v>45833</v>
      </c>
      <c r="G301" s="49" t="s">
        <v>12698</v>
      </c>
      <c r="H301" s="49" t="s">
        <v>12676</v>
      </c>
      <c r="I301" s="95">
        <v>1</v>
      </c>
      <c r="J301" s="95">
        <v>1</v>
      </c>
      <c r="K301" s="95">
        <v>1</v>
      </c>
      <c r="L301" s="97">
        <v>24000</v>
      </c>
      <c r="M301" s="102">
        <v>24</v>
      </c>
      <c r="N301" s="95">
        <v>0</v>
      </c>
      <c r="O301" s="95">
        <v>0</v>
      </c>
      <c r="P301" s="95">
        <v>0</v>
      </c>
      <c r="Q301" s="49" t="s">
        <v>10808</v>
      </c>
    </row>
    <row r="302" spans="1:17">
      <c r="A302" s="95">
        <v>174904221976312</v>
      </c>
      <c r="B302" s="49" t="s">
        <v>10651</v>
      </c>
      <c r="C302" s="49" t="s">
        <v>10806</v>
      </c>
      <c r="D302" s="49" t="s">
        <v>10807</v>
      </c>
      <c r="E302" s="49">
        <v>628127962347</v>
      </c>
      <c r="F302" s="96">
        <v>45833</v>
      </c>
      <c r="G302" s="49" t="s">
        <v>7917</v>
      </c>
      <c r="H302" s="49" t="s">
        <v>12676</v>
      </c>
      <c r="I302" s="95">
        <v>2</v>
      </c>
      <c r="J302" s="95">
        <v>2</v>
      </c>
      <c r="K302" s="95">
        <v>0</v>
      </c>
      <c r="L302" s="97">
        <v>35500</v>
      </c>
      <c r="M302" s="102">
        <v>71</v>
      </c>
      <c r="N302" s="95">
        <v>0</v>
      </c>
      <c r="O302" s="95">
        <v>0</v>
      </c>
      <c r="P302" s="95">
        <v>0</v>
      </c>
      <c r="Q302" s="49" t="s">
        <v>10808</v>
      </c>
    </row>
    <row r="303" spans="1:17">
      <c r="A303" s="95">
        <v>174904221976312</v>
      </c>
      <c r="B303" s="49" t="s">
        <v>10651</v>
      </c>
      <c r="C303" s="49" t="s">
        <v>10806</v>
      </c>
      <c r="D303" s="49" t="s">
        <v>10807</v>
      </c>
      <c r="E303" s="49">
        <v>628127962347</v>
      </c>
      <c r="F303" s="96">
        <v>45833</v>
      </c>
      <c r="G303" s="49" t="s">
        <v>12678</v>
      </c>
      <c r="H303" s="49" t="s">
        <v>12676</v>
      </c>
      <c r="I303" s="95">
        <v>6</v>
      </c>
      <c r="J303" s="95">
        <v>6</v>
      </c>
      <c r="K303" s="95">
        <v>0</v>
      </c>
      <c r="L303" s="97">
        <v>29833.333333333332</v>
      </c>
      <c r="M303" s="102">
        <v>179</v>
      </c>
      <c r="N303" s="95">
        <v>0</v>
      </c>
      <c r="O303" s="95">
        <v>1</v>
      </c>
      <c r="P303" s="95">
        <v>0</v>
      </c>
      <c r="Q303" s="49" t="s">
        <v>10808</v>
      </c>
    </row>
    <row r="304" spans="1:17">
      <c r="A304" s="95">
        <v>174904221976312</v>
      </c>
      <c r="B304" s="49" t="s">
        <v>10651</v>
      </c>
      <c r="C304" s="49" t="s">
        <v>10806</v>
      </c>
      <c r="D304" s="49" t="s">
        <v>10807</v>
      </c>
      <c r="E304" s="49">
        <v>628127962347</v>
      </c>
      <c r="F304" s="96">
        <v>45833</v>
      </c>
      <c r="G304" s="49" t="s">
        <v>12683</v>
      </c>
      <c r="H304" s="49" t="s">
        <v>12676</v>
      </c>
      <c r="I304" s="95">
        <v>1</v>
      </c>
      <c r="J304" s="95">
        <v>1</v>
      </c>
      <c r="K304" s="95">
        <v>0</v>
      </c>
      <c r="L304" s="97">
        <v>41000</v>
      </c>
      <c r="M304" s="102">
        <v>41</v>
      </c>
      <c r="N304" s="95">
        <v>0</v>
      </c>
      <c r="O304" s="95">
        <v>1</v>
      </c>
      <c r="P304" s="95">
        <v>0</v>
      </c>
      <c r="Q304" s="49" t="s">
        <v>10808</v>
      </c>
    </row>
    <row r="305" spans="1:17">
      <c r="A305" s="95">
        <v>174904221976312</v>
      </c>
      <c r="B305" s="49" t="s">
        <v>10651</v>
      </c>
      <c r="C305" s="49" t="s">
        <v>10806</v>
      </c>
      <c r="D305" s="49" t="s">
        <v>10807</v>
      </c>
      <c r="E305" s="49">
        <v>628127962347</v>
      </c>
      <c r="F305" s="96">
        <v>45833</v>
      </c>
      <c r="G305" s="49" t="s">
        <v>12684</v>
      </c>
      <c r="H305" s="49" t="s">
        <v>12676</v>
      </c>
      <c r="I305" s="95">
        <v>7</v>
      </c>
      <c r="J305" s="95">
        <v>8</v>
      </c>
      <c r="K305" s="95">
        <v>1</v>
      </c>
      <c r="L305" s="97">
        <v>20750</v>
      </c>
      <c r="M305" s="102">
        <v>166</v>
      </c>
      <c r="N305" s="95">
        <v>0</v>
      </c>
      <c r="O305" s="95">
        <v>3</v>
      </c>
      <c r="P305" s="95">
        <v>0</v>
      </c>
      <c r="Q305" s="49" t="s">
        <v>10808</v>
      </c>
    </row>
    <row r="306" spans="1:17">
      <c r="A306" s="95">
        <v>174904221976312</v>
      </c>
      <c r="B306" s="49" t="s">
        <v>10651</v>
      </c>
      <c r="C306" s="49" t="s">
        <v>10806</v>
      </c>
      <c r="D306" s="49" t="s">
        <v>10807</v>
      </c>
      <c r="E306" s="49">
        <v>628127962347</v>
      </c>
      <c r="F306" s="96">
        <v>45833</v>
      </c>
      <c r="G306" s="49" t="s">
        <v>12685</v>
      </c>
      <c r="H306" s="49" t="s">
        <v>12676</v>
      </c>
      <c r="I306" s="95">
        <v>2</v>
      </c>
      <c r="J306" s="95">
        <v>2</v>
      </c>
      <c r="K306" s="95">
        <v>0</v>
      </c>
      <c r="L306" s="97">
        <v>17500</v>
      </c>
      <c r="M306" s="102">
        <v>35</v>
      </c>
      <c r="N306" s="95">
        <v>0</v>
      </c>
      <c r="O306" s="95">
        <v>1</v>
      </c>
      <c r="P306" s="95">
        <v>0</v>
      </c>
      <c r="Q306" s="49" t="s">
        <v>10808</v>
      </c>
    </row>
    <row r="307" spans="1:17">
      <c r="A307" s="95">
        <v>174904221976312</v>
      </c>
      <c r="B307" s="49" t="s">
        <v>10651</v>
      </c>
      <c r="C307" s="49" t="s">
        <v>10806</v>
      </c>
      <c r="D307" s="49" t="s">
        <v>10807</v>
      </c>
      <c r="E307" s="49">
        <v>628127962347</v>
      </c>
      <c r="F307" s="96">
        <v>45833</v>
      </c>
      <c r="G307" s="49" t="s">
        <v>2981</v>
      </c>
      <c r="H307" s="49" t="s">
        <v>12676</v>
      </c>
      <c r="I307" s="95">
        <v>1</v>
      </c>
      <c r="J307" s="95">
        <v>1</v>
      </c>
      <c r="K307" s="95">
        <v>0</v>
      </c>
      <c r="L307" s="97">
        <v>90000</v>
      </c>
      <c r="M307" s="102">
        <v>90</v>
      </c>
      <c r="N307" s="95">
        <v>0</v>
      </c>
      <c r="O307" s="95">
        <v>0</v>
      </c>
      <c r="P307" s="95">
        <v>0</v>
      </c>
      <c r="Q307" s="49" t="s">
        <v>10808</v>
      </c>
    </row>
    <row r="308" spans="1:17">
      <c r="A308" s="95">
        <v>174904221976312</v>
      </c>
      <c r="B308" s="49" t="s">
        <v>10651</v>
      </c>
      <c r="C308" s="49" t="s">
        <v>10806</v>
      </c>
      <c r="D308" s="49" t="s">
        <v>10807</v>
      </c>
      <c r="E308" s="49">
        <v>628127962347</v>
      </c>
      <c r="F308" s="96">
        <v>45833</v>
      </c>
      <c r="G308" s="49" t="s">
        <v>12687</v>
      </c>
      <c r="H308" s="49" t="s">
        <v>12676</v>
      </c>
      <c r="I308" s="95">
        <v>1</v>
      </c>
      <c r="J308" s="95">
        <v>1</v>
      </c>
      <c r="K308" s="95">
        <v>0</v>
      </c>
      <c r="L308" s="97">
        <v>3000</v>
      </c>
      <c r="M308" s="102">
        <v>3</v>
      </c>
      <c r="N308" s="95">
        <v>0</v>
      </c>
      <c r="O308" s="95">
        <v>0</v>
      </c>
      <c r="P308" s="95">
        <v>0</v>
      </c>
      <c r="Q308" s="49" t="s">
        <v>10808</v>
      </c>
    </row>
    <row r="309" spans="1:17">
      <c r="A309" s="95">
        <v>174904221976312</v>
      </c>
      <c r="B309" s="49" t="s">
        <v>10651</v>
      </c>
      <c r="C309" s="49" t="s">
        <v>10806</v>
      </c>
      <c r="D309" s="49" t="s">
        <v>10807</v>
      </c>
      <c r="E309" s="49">
        <v>628127962347</v>
      </c>
      <c r="F309" s="96">
        <v>45833</v>
      </c>
      <c r="G309" s="49" t="s">
        <v>12690</v>
      </c>
      <c r="H309" s="49" t="s">
        <v>12676</v>
      </c>
      <c r="I309" s="95">
        <v>2</v>
      </c>
      <c r="J309" s="95">
        <v>2</v>
      </c>
      <c r="K309" s="95">
        <v>0</v>
      </c>
      <c r="L309" s="97">
        <v>21500</v>
      </c>
      <c r="M309" s="102">
        <v>43</v>
      </c>
      <c r="N309" s="95">
        <v>0</v>
      </c>
      <c r="O309" s="95">
        <v>0</v>
      </c>
      <c r="P309" s="95">
        <v>0</v>
      </c>
      <c r="Q309" s="49" t="s">
        <v>10808</v>
      </c>
    </row>
    <row r="310" spans="1:17">
      <c r="A310" s="95">
        <v>174904221976312</v>
      </c>
      <c r="B310" s="49" t="s">
        <v>10651</v>
      </c>
      <c r="C310" s="49" t="s">
        <v>10806</v>
      </c>
      <c r="D310" s="49" t="s">
        <v>10807</v>
      </c>
      <c r="E310" s="49">
        <v>628127962347</v>
      </c>
      <c r="F310" s="96">
        <v>45833</v>
      </c>
      <c r="G310" s="49" t="s">
        <v>12691</v>
      </c>
      <c r="H310" s="49" t="s">
        <v>12676</v>
      </c>
      <c r="I310" s="95">
        <v>2</v>
      </c>
      <c r="J310" s="95">
        <v>2</v>
      </c>
      <c r="K310" s="95">
        <v>0</v>
      </c>
      <c r="L310" s="97">
        <v>12500</v>
      </c>
      <c r="M310" s="102">
        <v>25</v>
      </c>
      <c r="N310" s="95">
        <v>0</v>
      </c>
      <c r="O310" s="95">
        <v>0</v>
      </c>
      <c r="P310" s="95">
        <v>0</v>
      </c>
      <c r="Q310" s="49" t="s">
        <v>10808</v>
      </c>
    </row>
    <row r="311" spans="1:17">
      <c r="A311" s="95">
        <v>174904221976312</v>
      </c>
      <c r="B311" s="49" t="s">
        <v>10651</v>
      </c>
      <c r="C311" s="49" t="s">
        <v>10806</v>
      </c>
      <c r="D311" s="49" t="s">
        <v>10807</v>
      </c>
      <c r="E311" s="49">
        <v>628127962347</v>
      </c>
      <c r="F311" s="96">
        <v>45833</v>
      </c>
      <c r="G311" s="49" t="s">
        <v>12692</v>
      </c>
      <c r="H311" s="49" t="s">
        <v>12676</v>
      </c>
      <c r="I311" s="95">
        <v>1</v>
      </c>
      <c r="J311" s="95">
        <v>1</v>
      </c>
      <c r="K311" s="95">
        <v>0</v>
      </c>
      <c r="L311" s="97">
        <v>4000</v>
      </c>
      <c r="M311" s="102">
        <v>4</v>
      </c>
      <c r="N311" s="95">
        <v>0</v>
      </c>
      <c r="O311" s="95">
        <v>0</v>
      </c>
      <c r="P311" s="95">
        <v>0</v>
      </c>
      <c r="Q311" s="49" t="s">
        <v>10808</v>
      </c>
    </row>
    <row r="312" spans="1:17">
      <c r="A312" s="95">
        <v>174904221976312</v>
      </c>
      <c r="B312" s="49" t="s">
        <v>10651</v>
      </c>
      <c r="C312" s="49" t="s">
        <v>10806</v>
      </c>
      <c r="D312" s="49" t="s">
        <v>10807</v>
      </c>
      <c r="E312" s="49">
        <v>628127962347</v>
      </c>
      <c r="F312" s="96">
        <v>45833</v>
      </c>
      <c r="G312" s="49" t="s">
        <v>12694</v>
      </c>
      <c r="H312" s="49" t="s">
        <v>12676</v>
      </c>
      <c r="I312" s="95">
        <v>1</v>
      </c>
      <c r="J312" s="95">
        <v>1</v>
      </c>
      <c r="K312" s="95">
        <v>2</v>
      </c>
      <c r="L312" s="97">
        <v>1524000</v>
      </c>
      <c r="M312" s="102">
        <v>1524</v>
      </c>
      <c r="N312" s="95">
        <v>0</v>
      </c>
      <c r="O312" s="95">
        <v>0</v>
      </c>
      <c r="P312" s="95">
        <v>0</v>
      </c>
      <c r="Q312" s="49" t="s">
        <v>10808</v>
      </c>
    </row>
    <row r="313" spans="1:17">
      <c r="A313" s="95">
        <v>174904221976312</v>
      </c>
      <c r="B313" s="49" t="s">
        <v>10651</v>
      </c>
      <c r="C313" s="49" t="s">
        <v>10806</v>
      </c>
      <c r="D313" s="49" t="s">
        <v>10807</v>
      </c>
      <c r="E313" s="49">
        <v>628127962347</v>
      </c>
      <c r="F313" s="96">
        <v>45833</v>
      </c>
      <c r="G313" s="49" t="s">
        <v>12697</v>
      </c>
      <c r="H313" s="49" t="s">
        <v>12676</v>
      </c>
      <c r="I313" s="95">
        <v>1</v>
      </c>
      <c r="J313" s="95">
        <v>1</v>
      </c>
      <c r="K313" s="95">
        <v>0</v>
      </c>
      <c r="L313" s="97">
        <v>33000</v>
      </c>
      <c r="M313" s="102">
        <v>33</v>
      </c>
      <c r="N313" s="95">
        <v>0</v>
      </c>
      <c r="O313" s="95">
        <v>0</v>
      </c>
      <c r="P313" s="95">
        <v>0</v>
      </c>
      <c r="Q313" s="49" t="s">
        <v>10808</v>
      </c>
    </row>
    <row r="314" spans="1:17">
      <c r="A314" s="95">
        <v>174904221976312</v>
      </c>
      <c r="B314" s="49" t="s">
        <v>10651</v>
      </c>
      <c r="C314" s="49" t="s">
        <v>10806</v>
      </c>
      <c r="D314" s="49" t="s">
        <v>10807</v>
      </c>
      <c r="E314" s="49">
        <v>628127962347</v>
      </c>
      <c r="F314" s="96">
        <v>45833</v>
      </c>
      <c r="G314" s="49" t="s">
        <v>12679</v>
      </c>
      <c r="H314" s="49" t="s">
        <v>12676</v>
      </c>
      <c r="I314" s="95">
        <v>1</v>
      </c>
      <c r="J314" s="95">
        <v>1</v>
      </c>
      <c r="K314" s="95">
        <v>0</v>
      </c>
      <c r="L314" s="97">
        <v>55000</v>
      </c>
      <c r="M314" s="102">
        <v>55</v>
      </c>
      <c r="N314" s="95">
        <v>0</v>
      </c>
      <c r="O314" s="95">
        <v>0</v>
      </c>
      <c r="P314" s="95">
        <v>0</v>
      </c>
      <c r="Q314" s="49" t="s">
        <v>10808</v>
      </c>
    </row>
    <row r="315" spans="1:17">
      <c r="A315" s="95">
        <v>174904221976312</v>
      </c>
      <c r="B315" s="49" t="s">
        <v>10651</v>
      </c>
      <c r="C315" s="49" t="s">
        <v>10806</v>
      </c>
      <c r="D315" s="49" t="s">
        <v>10807</v>
      </c>
      <c r="E315" s="49">
        <v>628127962347</v>
      </c>
      <c r="F315" s="96">
        <v>45833</v>
      </c>
      <c r="G315" s="49" t="s">
        <v>12677</v>
      </c>
      <c r="H315" s="49" t="s">
        <v>12676</v>
      </c>
      <c r="I315" s="95">
        <v>7</v>
      </c>
      <c r="J315" s="95">
        <v>8</v>
      </c>
      <c r="K315" s="95">
        <v>1</v>
      </c>
      <c r="L315" s="97">
        <v>67500</v>
      </c>
      <c r="M315" s="102">
        <v>540</v>
      </c>
      <c r="N315" s="95">
        <v>0</v>
      </c>
      <c r="O315" s="95">
        <v>2</v>
      </c>
      <c r="P315" s="95">
        <v>0</v>
      </c>
      <c r="Q315" s="49" t="s">
        <v>10808</v>
      </c>
    </row>
    <row r="316" spans="1:17">
      <c r="A316" s="95">
        <v>174904221976312</v>
      </c>
      <c r="B316" s="49" t="s">
        <v>10651</v>
      </c>
      <c r="C316" s="49" t="s">
        <v>10806</v>
      </c>
      <c r="D316" s="49" t="s">
        <v>10807</v>
      </c>
      <c r="E316" s="49">
        <v>628127962347</v>
      </c>
      <c r="F316" s="96">
        <v>45833</v>
      </c>
      <c r="G316" s="49" t="s">
        <v>12701</v>
      </c>
      <c r="H316" s="49" t="s">
        <v>12676</v>
      </c>
      <c r="I316" s="95">
        <v>2</v>
      </c>
      <c r="J316" s="95">
        <v>2</v>
      </c>
      <c r="K316" s="95">
        <v>0</v>
      </c>
      <c r="L316" s="97">
        <v>10000</v>
      </c>
      <c r="M316" s="102">
        <v>20</v>
      </c>
      <c r="N316" s="95">
        <v>0</v>
      </c>
      <c r="O316" s="95">
        <v>1</v>
      </c>
      <c r="P316" s="95">
        <v>0</v>
      </c>
      <c r="Q316" s="49" t="s">
        <v>10808</v>
      </c>
    </row>
    <row r="317" spans="1:17">
      <c r="A317" s="95">
        <v>174904221976312</v>
      </c>
      <c r="B317" s="49" t="s">
        <v>10651</v>
      </c>
      <c r="C317" s="49" t="s">
        <v>8099</v>
      </c>
      <c r="D317" s="49" t="s">
        <v>2357</v>
      </c>
      <c r="E317" s="49">
        <v>6281221788919</v>
      </c>
      <c r="F317" s="96">
        <v>45833</v>
      </c>
      <c r="G317" s="49" t="s">
        <v>12699</v>
      </c>
      <c r="H317" s="49" t="s">
        <v>12676</v>
      </c>
      <c r="I317" s="95">
        <v>375</v>
      </c>
      <c r="J317" s="95">
        <v>419</v>
      </c>
      <c r="K317" s="95">
        <v>4</v>
      </c>
      <c r="L317" s="97">
        <v>8069.2124105011944</v>
      </c>
      <c r="M317" s="102">
        <v>3381</v>
      </c>
      <c r="N317" s="95">
        <v>0</v>
      </c>
      <c r="O317" s="95">
        <v>94</v>
      </c>
      <c r="P317" s="95">
        <v>0</v>
      </c>
      <c r="Q317" s="49" t="s">
        <v>10759</v>
      </c>
    </row>
    <row r="318" spans="1:17">
      <c r="A318" s="95">
        <v>174904221976312</v>
      </c>
      <c r="B318" s="49" t="s">
        <v>10651</v>
      </c>
      <c r="C318" s="49" t="s">
        <v>311</v>
      </c>
      <c r="D318" s="49" t="s">
        <v>10737</v>
      </c>
      <c r="E318" s="49">
        <v>628988759290</v>
      </c>
      <c r="F318" s="96">
        <v>45833</v>
      </c>
      <c r="G318" s="49" t="s">
        <v>1473</v>
      </c>
      <c r="H318" s="49" t="s">
        <v>12676</v>
      </c>
      <c r="I318" s="95">
        <v>114</v>
      </c>
      <c r="J318" s="95">
        <v>130</v>
      </c>
      <c r="K318" s="95">
        <v>4</v>
      </c>
      <c r="L318" s="97">
        <v>11184.615384615385</v>
      </c>
      <c r="M318" s="102">
        <v>1454</v>
      </c>
      <c r="N318" s="95">
        <v>0</v>
      </c>
      <c r="O318" s="95">
        <v>29</v>
      </c>
      <c r="P318" s="95">
        <v>0</v>
      </c>
      <c r="Q318" s="49" t="s">
        <v>10738</v>
      </c>
    </row>
    <row r="319" spans="1:17">
      <c r="A319" s="95">
        <v>174904221976312</v>
      </c>
      <c r="B319" s="49" t="s">
        <v>10651</v>
      </c>
      <c r="C319" s="49" t="s">
        <v>10778</v>
      </c>
      <c r="D319" s="49" t="s">
        <v>3140</v>
      </c>
      <c r="F319" s="96">
        <v>45833</v>
      </c>
      <c r="G319" s="49" t="s">
        <v>12685</v>
      </c>
      <c r="H319" s="49" t="s">
        <v>12676</v>
      </c>
      <c r="I319" s="95">
        <v>4</v>
      </c>
      <c r="J319" s="95">
        <v>4</v>
      </c>
      <c r="K319" s="95">
        <v>0</v>
      </c>
      <c r="L319" s="97">
        <v>500</v>
      </c>
      <c r="M319" s="102">
        <v>2</v>
      </c>
      <c r="N319" s="95">
        <v>0</v>
      </c>
      <c r="O319" s="95">
        <v>0</v>
      </c>
      <c r="P319" s="95">
        <v>0</v>
      </c>
      <c r="Q319" s="49" t="s">
        <v>10779</v>
      </c>
    </row>
    <row r="320" spans="1:17">
      <c r="A320" s="95">
        <v>174904221976312</v>
      </c>
      <c r="B320" s="49" t="s">
        <v>10651</v>
      </c>
      <c r="C320" s="49" t="s">
        <v>10778</v>
      </c>
      <c r="D320" s="49" t="s">
        <v>3140</v>
      </c>
      <c r="F320" s="96">
        <v>45833</v>
      </c>
      <c r="G320" s="49" t="s">
        <v>12700</v>
      </c>
      <c r="H320" s="49" t="s">
        <v>12676</v>
      </c>
      <c r="I320" s="95">
        <v>2983</v>
      </c>
      <c r="J320" s="95">
        <v>3377</v>
      </c>
      <c r="K320" s="95">
        <v>41</v>
      </c>
      <c r="L320" s="97">
        <v>1977.7909387029908</v>
      </c>
      <c r="M320" s="102">
        <v>6679</v>
      </c>
      <c r="N320" s="95">
        <v>2</v>
      </c>
      <c r="O320" s="95">
        <v>462</v>
      </c>
      <c r="P320" s="95">
        <v>0</v>
      </c>
      <c r="Q320" s="49" t="s">
        <v>10779</v>
      </c>
    </row>
    <row r="321" spans="1:17">
      <c r="A321" s="95">
        <v>174904221976312</v>
      </c>
      <c r="B321" s="49" t="s">
        <v>10651</v>
      </c>
      <c r="C321" s="49" t="s">
        <v>10652</v>
      </c>
      <c r="D321" s="49" t="s">
        <v>10653</v>
      </c>
      <c r="E321" s="49">
        <v>6281348555887</v>
      </c>
      <c r="F321" s="96">
        <v>45833</v>
      </c>
      <c r="G321" s="49" t="s">
        <v>12680</v>
      </c>
      <c r="H321" s="49" t="s">
        <v>12676</v>
      </c>
      <c r="I321" s="95">
        <v>94</v>
      </c>
      <c r="J321" s="95">
        <v>98</v>
      </c>
      <c r="K321" s="95">
        <v>1</v>
      </c>
      <c r="L321" s="97">
        <v>16030.612244897959</v>
      </c>
      <c r="M321" s="102">
        <v>1571</v>
      </c>
      <c r="N321" s="95">
        <v>0</v>
      </c>
      <c r="O321" s="95">
        <v>20</v>
      </c>
      <c r="P321" s="95">
        <v>0</v>
      </c>
      <c r="Q321" s="49" t="s">
        <v>10654</v>
      </c>
    </row>
    <row r="322" spans="1:17">
      <c r="A322" s="95">
        <v>766589657993298</v>
      </c>
      <c r="B322" s="49" t="s">
        <v>10688</v>
      </c>
      <c r="C322" s="49" t="s">
        <v>10933</v>
      </c>
      <c r="D322" s="49" t="s">
        <v>10934</v>
      </c>
      <c r="E322" s="49">
        <v>6281293309300</v>
      </c>
      <c r="F322" s="96">
        <v>45833</v>
      </c>
      <c r="G322" s="49" t="s">
        <v>7917</v>
      </c>
      <c r="H322" s="49" t="s">
        <v>12676</v>
      </c>
      <c r="I322" s="95">
        <v>5</v>
      </c>
      <c r="J322" s="95">
        <v>5</v>
      </c>
      <c r="K322" s="95">
        <v>2</v>
      </c>
      <c r="L322" s="97">
        <v>146800</v>
      </c>
      <c r="M322" s="102">
        <v>734</v>
      </c>
      <c r="N322" s="95">
        <v>0</v>
      </c>
      <c r="O322" s="95">
        <v>0</v>
      </c>
      <c r="P322" s="95">
        <v>0</v>
      </c>
      <c r="Q322" s="49" t="s">
        <v>10935</v>
      </c>
    </row>
    <row r="323" spans="1:17">
      <c r="A323" s="95">
        <v>766589657993298</v>
      </c>
      <c r="B323" s="49" t="s">
        <v>10688</v>
      </c>
      <c r="C323" s="49" t="s">
        <v>10933</v>
      </c>
      <c r="D323" s="49" t="s">
        <v>10934</v>
      </c>
      <c r="E323" s="49">
        <v>6281293309300</v>
      </c>
      <c r="F323" s="96">
        <v>45833</v>
      </c>
      <c r="G323" s="49" t="s">
        <v>2132</v>
      </c>
      <c r="H323" s="49" t="s">
        <v>12676</v>
      </c>
      <c r="I323" s="95">
        <v>36</v>
      </c>
      <c r="J323" s="95">
        <v>37</v>
      </c>
      <c r="K323" s="95">
        <v>0</v>
      </c>
      <c r="L323" s="97">
        <v>47891.891891891893</v>
      </c>
      <c r="M323" s="102">
        <v>1772</v>
      </c>
      <c r="N323" s="95">
        <v>0</v>
      </c>
      <c r="O323" s="95">
        <v>0</v>
      </c>
      <c r="P323" s="95">
        <v>0</v>
      </c>
      <c r="Q323" s="49" t="s">
        <v>10935</v>
      </c>
    </row>
    <row r="324" spans="1:17">
      <c r="A324" s="95">
        <v>766589657993298</v>
      </c>
      <c r="B324" s="49" t="s">
        <v>10688</v>
      </c>
      <c r="C324" s="49" t="s">
        <v>10933</v>
      </c>
      <c r="D324" s="49" t="s">
        <v>10934</v>
      </c>
      <c r="E324" s="49">
        <v>6281293309300</v>
      </c>
      <c r="F324" s="96">
        <v>45833</v>
      </c>
      <c r="G324" s="49" t="s">
        <v>12677</v>
      </c>
      <c r="H324" s="49" t="s">
        <v>12676</v>
      </c>
      <c r="I324" s="95">
        <v>12</v>
      </c>
      <c r="J324" s="95">
        <v>12</v>
      </c>
      <c r="K324" s="95">
        <v>0</v>
      </c>
      <c r="L324" s="97">
        <v>64750</v>
      </c>
      <c r="M324" s="102">
        <v>777</v>
      </c>
      <c r="N324" s="95">
        <v>0</v>
      </c>
      <c r="O324" s="95">
        <v>0</v>
      </c>
      <c r="P324" s="95">
        <v>0</v>
      </c>
      <c r="Q324" s="49" t="s">
        <v>10935</v>
      </c>
    </row>
    <row r="325" spans="1:17">
      <c r="A325" s="95">
        <v>766589657993298</v>
      </c>
      <c r="B325" s="49" t="s">
        <v>10688</v>
      </c>
      <c r="C325" s="49" t="s">
        <v>10917</v>
      </c>
      <c r="D325" s="49" t="s">
        <v>1037</v>
      </c>
      <c r="E325" s="49">
        <v>6281383434602</v>
      </c>
      <c r="F325" s="96">
        <v>45833</v>
      </c>
      <c r="G325" s="49" t="s">
        <v>2132</v>
      </c>
      <c r="H325" s="49" t="s">
        <v>12676</v>
      </c>
      <c r="I325" s="95">
        <v>17</v>
      </c>
      <c r="J325" s="95">
        <v>17</v>
      </c>
      <c r="K325" s="95">
        <v>0</v>
      </c>
      <c r="L325" s="97">
        <v>55411.764705882357</v>
      </c>
      <c r="M325" s="102">
        <v>942</v>
      </c>
      <c r="N325" s="95">
        <v>0</v>
      </c>
      <c r="O325" s="95">
        <v>0</v>
      </c>
      <c r="P325" s="95">
        <v>0</v>
      </c>
      <c r="Q325" s="49" t="s">
        <v>10918</v>
      </c>
    </row>
    <row r="326" spans="1:17">
      <c r="A326" s="95">
        <v>766589657993298</v>
      </c>
      <c r="B326" s="49" t="s">
        <v>10688</v>
      </c>
      <c r="C326" s="49" t="s">
        <v>10917</v>
      </c>
      <c r="D326" s="49" t="s">
        <v>1037</v>
      </c>
      <c r="E326" s="49">
        <v>6281383434602</v>
      </c>
      <c r="F326" s="96">
        <v>45833</v>
      </c>
      <c r="G326" s="49" t="s">
        <v>12677</v>
      </c>
      <c r="H326" s="49" t="s">
        <v>12676</v>
      </c>
      <c r="I326" s="95">
        <v>8</v>
      </c>
      <c r="J326" s="95">
        <v>8</v>
      </c>
      <c r="K326" s="95">
        <v>0</v>
      </c>
      <c r="L326" s="97">
        <v>61625</v>
      </c>
      <c r="M326" s="102">
        <v>493</v>
      </c>
      <c r="N326" s="95">
        <v>0</v>
      </c>
      <c r="O326" s="95">
        <v>0</v>
      </c>
      <c r="P326" s="95">
        <v>0</v>
      </c>
      <c r="Q326" s="49" t="s">
        <v>10918</v>
      </c>
    </row>
    <row r="327" spans="1:17">
      <c r="A327" s="95">
        <v>766589657993298</v>
      </c>
      <c r="B327" s="49" t="s">
        <v>10688</v>
      </c>
      <c r="C327" s="49" t="s">
        <v>10919</v>
      </c>
      <c r="D327" s="49" t="s">
        <v>951</v>
      </c>
      <c r="E327" s="49">
        <v>6281383899119</v>
      </c>
      <c r="F327" s="96">
        <v>45833</v>
      </c>
      <c r="G327" s="49" t="s">
        <v>2132</v>
      </c>
      <c r="H327" s="49" t="s">
        <v>12676</v>
      </c>
      <c r="I327" s="95">
        <v>16</v>
      </c>
      <c r="J327" s="95">
        <v>17</v>
      </c>
      <c r="K327" s="95">
        <v>0</v>
      </c>
      <c r="L327" s="97">
        <v>12882.35294117647</v>
      </c>
      <c r="M327" s="102">
        <v>219</v>
      </c>
      <c r="N327" s="95">
        <v>0</v>
      </c>
      <c r="O327" s="95">
        <v>7</v>
      </c>
      <c r="P327" s="95">
        <v>0</v>
      </c>
      <c r="Q327" s="49" t="s">
        <v>10920</v>
      </c>
    </row>
    <row r="328" spans="1:17">
      <c r="A328" s="95">
        <v>766589657993298</v>
      </c>
      <c r="B328" s="49" t="s">
        <v>10688</v>
      </c>
      <c r="C328" s="49" t="s">
        <v>10919</v>
      </c>
      <c r="D328" s="49" t="s">
        <v>951</v>
      </c>
      <c r="E328" s="49">
        <v>6281383899119</v>
      </c>
      <c r="F328" s="96">
        <v>45833</v>
      </c>
      <c r="G328" s="49" t="s">
        <v>12677</v>
      </c>
      <c r="H328" s="49" t="s">
        <v>12676</v>
      </c>
      <c r="I328" s="95">
        <v>8</v>
      </c>
      <c r="J328" s="95">
        <v>11</v>
      </c>
      <c r="K328" s="95">
        <v>0</v>
      </c>
      <c r="L328" s="97">
        <v>16181.818181818184</v>
      </c>
      <c r="M328" s="102">
        <v>178</v>
      </c>
      <c r="N328" s="95">
        <v>0</v>
      </c>
      <c r="O328" s="95">
        <v>4</v>
      </c>
      <c r="P328" s="95">
        <v>0</v>
      </c>
      <c r="Q328" s="49" t="s">
        <v>10920</v>
      </c>
    </row>
    <row r="329" spans="1:17">
      <c r="A329" s="95">
        <v>766589657993298</v>
      </c>
      <c r="B329" s="49" t="s">
        <v>10688</v>
      </c>
      <c r="C329" s="49" t="s">
        <v>10898</v>
      </c>
      <c r="D329" s="49" t="s">
        <v>978</v>
      </c>
      <c r="E329" s="49">
        <v>6283135590465</v>
      </c>
      <c r="F329" s="96">
        <v>45833</v>
      </c>
      <c r="G329" s="49" t="s">
        <v>12684</v>
      </c>
      <c r="H329" s="49" t="s">
        <v>12676</v>
      </c>
      <c r="I329" s="95">
        <v>50</v>
      </c>
      <c r="J329" s="95">
        <v>53</v>
      </c>
      <c r="K329" s="95">
        <v>0</v>
      </c>
      <c r="L329" s="97">
        <v>28773.584905660377</v>
      </c>
      <c r="M329" s="102">
        <v>1525</v>
      </c>
      <c r="N329" s="95">
        <v>0</v>
      </c>
      <c r="O329" s="95">
        <v>10</v>
      </c>
      <c r="P329" s="95">
        <v>0</v>
      </c>
      <c r="Q329" s="49" t="s">
        <v>10899</v>
      </c>
    </row>
    <row r="330" spans="1:17">
      <c r="A330" s="95">
        <v>766589657993298</v>
      </c>
      <c r="B330" s="49" t="s">
        <v>10688</v>
      </c>
      <c r="C330" s="49" t="s">
        <v>10883</v>
      </c>
      <c r="D330" s="49" t="s">
        <v>920</v>
      </c>
      <c r="E330" s="49">
        <v>6281514999073</v>
      </c>
      <c r="F330" s="96">
        <v>45833</v>
      </c>
      <c r="G330" s="49" t="s">
        <v>7917</v>
      </c>
      <c r="H330" s="49" t="s">
        <v>12676</v>
      </c>
      <c r="I330" s="95">
        <v>2</v>
      </c>
      <c r="J330" s="95">
        <v>2</v>
      </c>
      <c r="K330" s="95">
        <v>0</v>
      </c>
      <c r="L330" s="97">
        <v>10500</v>
      </c>
      <c r="M330" s="102">
        <v>21</v>
      </c>
      <c r="N330" s="95">
        <v>0</v>
      </c>
      <c r="O330" s="95">
        <v>2</v>
      </c>
      <c r="P330" s="95">
        <v>0</v>
      </c>
      <c r="Q330" s="49" t="s">
        <v>10884</v>
      </c>
    </row>
    <row r="331" spans="1:17">
      <c r="A331" s="95">
        <v>766589657993298</v>
      </c>
      <c r="B331" s="49" t="s">
        <v>10688</v>
      </c>
      <c r="C331" s="49" t="s">
        <v>10883</v>
      </c>
      <c r="D331" s="49" t="s">
        <v>920</v>
      </c>
      <c r="E331" s="49">
        <v>6281514999073</v>
      </c>
      <c r="F331" s="96">
        <v>45833</v>
      </c>
      <c r="G331" s="49" t="s">
        <v>2132</v>
      </c>
      <c r="H331" s="49" t="s">
        <v>12676</v>
      </c>
      <c r="I331" s="95">
        <v>24</v>
      </c>
      <c r="J331" s="95">
        <v>26</v>
      </c>
      <c r="K331" s="95">
        <v>0</v>
      </c>
      <c r="L331" s="97">
        <v>36807.692307692305</v>
      </c>
      <c r="M331" s="102">
        <v>957</v>
      </c>
      <c r="N331" s="95">
        <v>0</v>
      </c>
      <c r="O331" s="95">
        <v>10</v>
      </c>
      <c r="P331" s="95">
        <v>0</v>
      </c>
      <c r="Q331" s="49" t="s">
        <v>10884</v>
      </c>
    </row>
    <row r="332" spans="1:17">
      <c r="A332" s="95">
        <v>766589657993298</v>
      </c>
      <c r="B332" s="49" t="s">
        <v>10688</v>
      </c>
      <c r="C332" s="49" t="s">
        <v>10883</v>
      </c>
      <c r="D332" s="49" t="s">
        <v>920</v>
      </c>
      <c r="E332" s="49">
        <v>6281514999073</v>
      </c>
      <c r="F332" s="96">
        <v>45833</v>
      </c>
      <c r="G332" s="49" t="s">
        <v>12677</v>
      </c>
      <c r="H332" s="49" t="s">
        <v>12676</v>
      </c>
      <c r="I332" s="95">
        <v>8</v>
      </c>
      <c r="J332" s="95">
        <v>10</v>
      </c>
      <c r="K332" s="95">
        <v>1</v>
      </c>
      <c r="L332" s="97">
        <v>47400</v>
      </c>
      <c r="M332" s="102">
        <v>474</v>
      </c>
      <c r="N332" s="95">
        <v>0</v>
      </c>
      <c r="O332" s="95">
        <v>3</v>
      </c>
      <c r="P332" s="95">
        <v>0</v>
      </c>
      <c r="Q332" s="49" t="s">
        <v>10884</v>
      </c>
    </row>
    <row r="333" spans="1:17">
      <c r="A333" s="95">
        <v>766589657993298</v>
      </c>
      <c r="B333" s="49" t="s">
        <v>10688</v>
      </c>
      <c r="C333" s="49" t="s">
        <v>10885</v>
      </c>
      <c r="D333" s="49" t="s">
        <v>906</v>
      </c>
      <c r="E333" s="49">
        <v>6282183115806</v>
      </c>
      <c r="F333" s="96">
        <v>45833</v>
      </c>
      <c r="G333" s="49" t="s">
        <v>12694</v>
      </c>
      <c r="H333" s="49" t="s">
        <v>12676</v>
      </c>
      <c r="I333" s="95">
        <v>128</v>
      </c>
      <c r="J333" s="95">
        <v>140</v>
      </c>
      <c r="K333" s="95">
        <v>7</v>
      </c>
      <c r="L333" s="97">
        <v>8278.5714285714294</v>
      </c>
      <c r="M333" s="102">
        <v>1159</v>
      </c>
      <c r="N333" s="95">
        <v>3</v>
      </c>
      <c r="O333" s="95">
        <v>55</v>
      </c>
      <c r="P333" s="95">
        <v>0</v>
      </c>
      <c r="Q333" s="49" t="s">
        <v>10886</v>
      </c>
    </row>
    <row r="334" spans="1:17">
      <c r="A334" s="95">
        <v>766589657993298</v>
      </c>
      <c r="B334" s="49" t="s">
        <v>10688</v>
      </c>
      <c r="C334" s="49" t="s">
        <v>10887</v>
      </c>
      <c r="D334" s="49" t="s">
        <v>10888</v>
      </c>
      <c r="E334" s="49">
        <v>6283151330372</v>
      </c>
      <c r="F334" s="96">
        <v>45833</v>
      </c>
      <c r="G334" s="49" t="s">
        <v>12691</v>
      </c>
      <c r="H334" s="49" t="s">
        <v>12676</v>
      </c>
      <c r="I334" s="95">
        <v>28</v>
      </c>
      <c r="J334" s="95">
        <v>31</v>
      </c>
      <c r="K334" s="95">
        <v>0</v>
      </c>
      <c r="L334" s="97">
        <v>26903.225806451614</v>
      </c>
      <c r="M334" s="102">
        <v>834</v>
      </c>
      <c r="N334" s="95">
        <v>0</v>
      </c>
      <c r="O334" s="95">
        <v>1</v>
      </c>
      <c r="P334" s="95">
        <v>0</v>
      </c>
      <c r="Q334" s="49" t="s">
        <v>10889</v>
      </c>
    </row>
    <row r="335" spans="1:17">
      <c r="A335" s="95">
        <v>766589657993298</v>
      </c>
      <c r="B335" s="49" t="s">
        <v>10688</v>
      </c>
      <c r="C335" s="49" t="s">
        <v>10869</v>
      </c>
      <c r="D335" s="49" t="s">
        <v>10870</v>
      </c>
      <c r="E335" s="49">
        <v>6281230995752</v>
      </c>
      <c r="F335" s="96">
        <v>45833</v>
      </c>
      <c r="G335" s="49" t="s">
        <v>46</v>
      </c>
      <c r="H335" s="49" t="s">
        <v>12676</v>
      </c>
      <c r="I335" s="95">
        <v>122</v>
      </c>
      <c r="J335" s="95">
        <v>124</v>
      </c>
      <c r="K335" s="95">
        <v>5</v>
      </c>
      <c r="L335" s="97">
        <v>12395.16129032258</v>
      </c>
      <c r="M335" s="102">
        <v>1537</v>
      </c>
      <c r="N335" s="95">
        <v>1</v>
      </c>
      <c r="O335" s="95">
        <v>0</v>
      </c>
      <c r="P335" s="95">
        <v>0</v>
      </c>
      <c r="Q335" s="49" t="s">
        <v>10871</v>
      </c>
    </row>
    <row r="336" spans="1:17">
      <c r="A336" s="95">
        <v>766589657993298</v>
      </c>
      <c r="B336" s="49" t="s">
        <v>10688</v>
      </c>
      <c r="C336" s="49" t="s">
        <v>10872</v>
      </c>
      <c r="D336" s="49" t="s">
        <v>846</v>
      </c>
      <c r="E336" s="49">
        <v>6281233044823</v>
      </c>
      <c r="F336" s="96">
        <v>45833</v>
      </c>
      <c r="G336" s="49" t="s">
        <v>12684</v>
      </c>
      <c r="H336" s="49" t="s">
        <v>12676</v>
      </c>
      <c r="I336" s="95">
        <v>110</v>
      </c>
      <c r="J336" s="95">
        <v>117</v>
      </c>
      <c r="K336" s="95">
        <v>3</v>
      </c>
      <c r="L336" s="97">
        <v>21059.829059829059</v>
      </c>
      <c r="M336" s="102">
        <v>2464</v>
      </c>
      <c r="N336" s="95">
        <v>0</v>
      </c>
      <c r="O336" s="95">
        <v>5</v>
      </c>
      <c r="P336" s="95">
        <v>0</v>
      </c>
      <c r="Q336" s="49" t="s">
        <v>10873</v>
      </c>
    </row>
    <row r="337" spans="1:17">
      <c r="A337" s="95">
        <v>766589657993298</v>
      </c>
      <c r="B337" s="49" t="s">
        <v>10688</v>
      </c>
      <c r="C337" s="49" t="s">
        <v>10874</v>
      </c>
      <c r="D337" s="49" t="s">
        <v>10875</v>
      </c>
      <c r="E337" s="49">
        <v>6281283325291</v>
      </c>
      <c r="F337" s="96">
        <v>45833</v>
      </c>
      <c r="G337" s="49" t="s">
        <v>7917</v>
      </c>
      <c r="H337" s="49" t="s">
        <v>12676</v>
      </c>
      <c r="I337" s="95">
        <v>13</v>
      </c>
      <c r="J337" s="95">
        <v>13</v>
      </c>
      <c r="K337" s="95">
        <v>0</v>
      </c>
      <c r="L337" s="97">
        <v>90230.76923076922</v>
      </c>
      <c r="M337" s="102">
        <v>1173</v>
      </c>
      <c r="N337" s="95">
        <v>0</v>
      </c>
      <c r="O337" s="95">
        <v>3</v>
      </c>
      <c r="P337" s="95">
        <v>0</v>
      </c>
      <c r="Q337" s="49" t="s">
        <v>10876</v>
      </c>
    </row>
    <row r="338" spans="1:17">
      <c r="A338" s="95">
        <v>766589657993298</v>
      </c>
      <c r="B338" s="49" t="s">
        <v>10688</v>
      </c>
      <c r="C338" s="49" t="s">
        <v>10874</v>
      </c>
      <c r="D338" s="49" t="s">
        <v>10875</v>
      </c>
      <c r="E338" s="49">
        <v>6281283325291</v>
      </c>
      <c r="F338" s="96">
        <v>45833</v>
      </c>
      <c r="G338" s="49" t="s">
        <v>2132</v>
      </c>
      <c r="H338" s="49" t="s">
        <v>12676</v>
      </c>
      <c r="I338" s="95">
        <v>50</v>
      </c>
      <c r="J338" s="95">
        <v>55</v>
      </c>
      <c r="K338" s="95">
        <v>3</v>
      </c>
      <c r="L338" s="97">
        <v>35363.636363636368</v>
      </c>
      <c r="M338" s="102">
        <v>1945</v>
      </c>
      <c r="N338" s="95">
        <v>0</v>
      </c>
      <c r="O338" s="95">
        <v>12</v>
      </c>
      <c r="P338" s="95">
        <v>0</v>
      </c>
      <c r="Q338" s="49" t="s">
        <v>10876</v>
      </c>
    </row>
    <row r="339" spans="1:17">
      <c r="A339" s="95">
        <v>766589657993298</v>
      </c>
      <c r="B339" s="49" t="s">
        <v>10688</v>
      </c>
      <c r="C339" s="49" t="s">
        <v>10874</v>
      </c>
      <c r="D339" s="49" t="s">
        <v>10875</v>
      </c>
      <c r="E339" s="49">
        <v>6281283325291</v>
      </c>
      <c r="F339" s="96">
        <v>45833</v>
      </c>
      <c r="G339" s="49" t="s">
        <v>12677</v>
      </c>
      <c r="H339" s="49" t="s">
        <v>12676</v>
      </c>
      <c r="I339" s="95">
        <v>25</v>
      </c>
      <c r="J339" s="95">
        <v>25</v>
      </c>
      <c r="K339" s="95">
        <v>0</v>
      </c>
      <c r="L339" s="97">
        <v>25120</v>
      </c>
      <c r="M339" s="102">
        <v>628</v>
      </c>
      <c r="N339" s="95">
        <v>0</v>
      </c>
      <c r="O339" s="95">
        <v>6</v>
      </c>
      <c r="P339" s="95">
        <v>0</v>
      </c>
      <c r="Q339" s="49" t="s">
        <v>10876</v>
      </c>
    </row>
    <row r="340" spans="1:17">
      <c r="A340" s="95">
        <v>766589657993298</v>
      </c>
      <c r="B340" s="49" t="s">
        <v>10688</v>
      </c>
      <c r="C340" s="49" t="s">
        <v>10877</v>
      </c>
      <c r="D340" s="49" t="s">
        <v>861</v>
      </c>
      <c r="E340" s="49">
        <v>6289617461806</v>
      </c>
      <c r="F340" s="96">
        <v>45833</v>
      </c>
      <c r="G340" s="49" t="s">
        <v>7917</v>
      </c>
      <c r="H340" s="49" t="s">
        <v>12676</v>
      </c>
      <c r="I340" s="95">
        <v>23</v>
      </c>
      <c r="J340" s="95">
        <v>27</v>
      </c>
      <c r="K340" s="95">
        <v>0</v>
      </c>
      <c r="L340" s="97">
        <v>9851.8518518518504</v>
      </c>
      <c r="M340" s="102">
        <v>266</v>
      </c>
      <c r="N340" s="95">
        <v>0</v>
      </c>
      <c r="O340" s="95">
        <v>0</v>
      </c>
      <c r="P340" s="95">
        <v>0</v>
      </c>
      <c r="Q340" s="49" t="s">
        <v>10878</v>
      </c>
    </row>
    <row r="341" spans="1:17">
      <c r="A341" s="95">
        <v>766589657993298</v>
      </c>
      <c r="B341" s="49" t="s">
        <v>10688</v>
      </c>
      <c r="C341" s="49" t="s">
        <v>10877</v>
      </c>
      <c r="D341" s="49" t="s">
        <v>861</v>
      </c>
      <c r="E341" s="49">
        <v>6289617461806</v>
      </c>
      <c r="F341" s="96">
        <v>45833</v>
      </c>
      <c r="G341" s="49" t="s">
        <v>2132</v>
      </c>
      <c r="H341" s="49" t="s">
        <v>12676</v>
      </c>
      <c r="I341" s="95">
        <v>54</v>
      </c>
      <c r="J341" s="95">
        <v>57</v>
      </c>
      <c r="K341" s="95">
        <v>2</v>
      </c>
      <c r="L341" s="97">
        <v>27333.333333333332</v>
      </c>
      <c r="M341" s="102">
        <v>1558</v>
      </c>
      <c r="N341" s="95">
        <v>1</v>
      </c>
      <c r="O341" s="95">
        <v>0</v>
      </c>
      <c r="P341" s="95">
        <v>0</v>
      </c>
      <c r="Q341" s="49" t="s">
        <v>10878</v>
      </c>
    </row>
    <row r="342" spans="1:17">
      <c r="A342" s="95">
        <v>766589657993298</v>
      </c>
      <c r="B342" s="49" t="s">
        <v>10688</v>
      </c>
      <c r="C342" s="49" t="s">
        <v>10877</v>
      </c>
      <c r="D342" s="49" t="s">
        <v>861</v>
      </c>
      <c r="E342" s="49">
        <v>6289617461806</v>
      </c>
      <c r="F342" s="96">
        <v>45833</v>
      </c>
      <c r="G342" s="49" t="s">
        <v>12677</v>
      </c>
      <c r="H342" s="49" t="s">
        <v>12676</v>
      </c>
      <c r="I342" s="95">
        <v>66</v>
      </c>
      <c r="J342" s="95">
        <v>71</v>
      </c>
      <c r="K342" s="95">
        <v>0</v>
      </c>
      <c r="L342" s="97">
        <v>7492.9577464788727</v>
      </c>
      <c r="M342" s="102">
        <v>532</v>
      </c>
      <c r="N342" s="95">
        <v>0</v>
      </c>
      <c r="O342" s="95">
        <v>1</v>
      </c>
      <c r="P342" s="95">
        <v>0</v>
      </c>
      <c r="Q342" s="49" t="s">
        <v>10878</v>
      </c>
    </row>
    <row r="343" spans="1:17">
      <c r="A343" s="95">
        <v>766589657993298</v>
      </c>
      <c r="B343" s="49" t="s">
        <v>10688</v>
      </c>
      <c r="C343" s="49" t="s">
        <v>10879</v>
      </c>
      <c r="D343" s="49" t="s">
        <v>10880</v>
      </c>
      <c r="E343" s="49">
        <v>6281215851833</v>
      </c>
      <c r="F343" s="96">
        <v>45833</v>
      </c>
      <c r="G343" s="49" t="s">
        <v>46</v>
      </c>
      <c r="H343" s="49" t="s">
        <v>12676</v>
      </c>
      <c r="I343" s="95">
        <v>28</v>
      </c>
      <c r="J343" s="95">
        <v>29</v>
      </c>
      <c r="K343" s="95">
        <v>0</v>
      </c>
      <c r="L343" s="97">
        <v>6689.6551724137926</v>
      </c>
      <c r="M343" s="102">
        <v>194</v>
      </c>
      <c r="N343" s="95">
        <v>0</v>
      </c>
      <c r="O343" s="95">
        <v>0</v>
      </c>
      <c r="P343" s="95">
        <v>0</v>
      </c>
      <c r="Q343" s="49" t="s">
        <v>10881</v>
      </c>
    </row>
    <row r="344" spans="1:17">
      <c r="A344" s="95">
        <v>766589657993298</v>
      </c>
      <c r="B344" s="49" t="s">
        <v>10688</v>
      </c>
      <c r="C344" s="49" t="s">
        <v>10879</v>
      </c>
      <c r="D344" s="49" t="s">
        <v>10880</v>
      </c>
      <c r="E344" s="49">
        <v>6281215851833</v>
      </c>
      <c r="F344" s="96">
        <v>45833</v>
      </c>
      <c r="G344" s="49" t="s">
        <v>7917</v>
      </c>
      <c r="H344" s="49" t="s">
        <v>12676</v>
      </c>
      <c r="I344" s="95">
        <v>5</v>
      </c>
      <c r="J344" s="95">
        <v>5</v>
      </c>
      <c r="K344" s="95">
        <v>1</v>
      </c>
      <c r="L344" s="97">
        <v>1800</v>
      </c>
      <c r="M344" s="102">
        <v>9</v>
      </c>
      <c r="N344" s="95">
        <v>0</v>
      </c>
      <c r="O344" s="95">
        <v>0</v>
      </c>
      <c r="P344" s="95">
        <v>0</v>
      </c>
      <c r="Q344" s="49" t="s">
        <v>10881</v>
      </c>
    </row>
    <row r="345" spans="1:17">
      <c r="A345" s="95">
        <v>766589657993298</v>
      </c>
      <c r="B345" s="49" t="s">
        <v>10688</v>
      </c>
      <c r="C345" s="49" t="s">
        <v>10879</v>
      </c>
      <c r="D345" s="49" t="s">
        <v>10880</v>
      </c>
      <c r="E345" s="49">
        <v>6281215851833</v>
      </c>
      <c r="F345" s="96">
        <v>45833</v>
      </c>
      <c r="G345" s="49" t="s">
        <v>12678</v>
      </c>
      <c r="H345" s="49" t="s">
        <v>12676</v>
      </c>
      <c r="I345" s="95">
        <v>50</v>
      </c>
      <c r="J345" s="95">
        <v>54</v>
      </c>
      <c r="K345" s="95">
        <v>2</v>
      </c>
      <c r="L345" s="97">
        <v>7240.7407407407409</v>
      </c>
      <c r="M345" s="102">
        <v>391</v>
      </c>
      <c r="N345" s="95">
        <v>0</v>
      </c>
      <c r="O345" s="95">
        <v>0</v>
      </c>
      <c r="P345" s="95">
        <v>0</v>
      </c>
      <c r="Q345" s="49" t="s">
        <v>10881</v>
      </c>
    </row>
    <row r="346" spans="1:17">
      <c r="A346" s="95">
        <v>766589657993298</v>
      </c>
      <c r="B346" s="49" t="s">
        <v>10688</v>
      </c>
      <c r="C346" s="49" t="s">
        <v>10879</v>
      </c>
      <c r="D346" s="49" t="s">
        <v>10880</v>
      </c>
      <c r="E346" s="49">
        <v>6281215851833</v>
      </c>
      <c r="F346" s="96">
        <v>45833</v>
      </c>
      <c r="G346" s="49" t="s">
        <v>12684</v>
      </c>
      <c r="H346" s="49" t="s">
        <v>12676</v>
      </c>
      <c r="I346" s="95">
        <v>33</v>
      </c>
      <c r="J346" s="95">
        <v>35</v>
      </c>
      <c r="K346" s="95">
        <v>0</v>
      </c>
      <c r="L346" s="97">
        <v>10828.571428571429</v>
      </c>
      <c r="M346" s="102">
        <v>379</v>
      </c>
      <c r="N346" s="95">
        <v>0</v>
      </c>
      <c r="O346" s="95">
        <v>0</v>
      </c>
      <c r="P346" s="95">
        <v>0</v>
      </c>
      <c r="Q346" s="49" t="s">
        <v>10881</v>
      </c>
    </row>
    <row r="347" spans="1:17">
      <c r="A347" s="95">
        <v>766589657993298</v>
      </c>
      <c r="B347" s="49" t="s">
        <v>10688</v>
      </c>
      <c r="C347" s="49" t="s">
        <v>10879</v>
      </c>
      <c r="D347" s="49" t="s">
        <v>10880</v>
      </c>
      <c r="E347" s="49">
        <v>6281215851833</v>
      </c>
      <c r="F347" s="96">
        <v>45833</v>
      </c>
      <c r="G347" s="49" t="s">
        <v>2132</v>
      </c>
      <c r="H347" s="49" t="s">
        <v>12676</v>
      </c>
      <c r="I347" s="95">
        <v>14</v>
      </c>
      <c r="J347" s="95">
        <v>14</v>
      </c>
      <c r="K347" s="95">
        <v>0</v>
      </c>
      <c r="L347" s="97">
        <v>10285.714285714286</v>
      </c>
      <c r="M347" s="102">
        <v>144</v>
      </c>
      <c r="N347" s="95">
        <v>0</v>
      </c>
      <c r="O347" s="95">
        <v>0</v>
      </c>
      <c r="P347" s="95">
        <v>0</v>
      </c>
      <c r="Q347" s="49" t="s">
        <v>10881</v>
      </c>
    </row>
    <row r="348" spans="1:17">
      <c r="A348" s="95">
        <v>766589657993298</v>
      </c>
      <c r="B348" s="49" t="s">
        <v>10688</v>
      </c>
      <c r="C348" s="49" t="s">
        <v>10879</v>
      </c>
      <c r="D348" s="49" t="s">
        <v>10880</v>
      </c>
      <c r="E348" s="49">
        <v>6281215851833</v>
      </c>
      <c r="F348" s="96">
        <v>45833</v>
      </c>
      <c r="G348" s="49" t="s">
        <v>12679</v>
      </c>
      <c r="H348" s="49" t="s">
        <v>12676</v>
      </c>
      <c r="I348" s="95">
        <v>4</v>
      </c>
      <c r="J348" s="95">
        <v>5</v>
      </c>
      <c r="K348" s="95">
        <v>0</v>
      </c>
      <c r="L348" s="97">
        <v>3000</v>
      </c>
      <c r="M348" s="102">
        <v>15</v>
      </c>
      <c r="N348" s="95">
        <v>0</v>
      </c>
      <c r="O348" s="95">
        <v>0</v>
      </c>
      <c r="P348" s="95">
        <v>0</v>
      </c>
      <c r="Q348" s="49" t="s">
        <v>10881</v>
      </c>
    </row>
    <row r="349" spans="1:17">
      <c r="A349" s="95">
        <v>766589657993298</v>
      </c>
      <c r="B349" s="49" t="s">
        <v>10688</v>
      </c>
      <c r="C349" s="49" t="s">
        <v>10879</v>
      </c>
      <c r="D349" s="49" t="s">
        <v>10880</v>
      </c>
      <c r="E349" s="49">
        <v>6281215851833</v>
      </c>
      <c r="F349" s="96">
        <v>45833</v>
      </c>
      <c r="G349" s="49" t="s">
        <v>12677</v>
      </c>
      <c r="H349" s="49" t="s">
        <v>12676</v>
      </c>
      <c r="I349" s="95">
        <v>32</v>
      </c>
      <c r="J349" s="95">
        <v>33</v>
      </c>
      <c r="K349" s="95">
        <v>2</v>
      </c>
      <c r="L349" s="97">
        <v>6393.939393939394</v>
      </c>
      <c r="M349" s="102">
        <v>211</v>
      </c>
      <c r="N349" s="95">
        <v>0</v>
      </c>
      <c r="O349" s="95">
        <v>0</v>
      </c>
      <c r="P349" s="95">
        <v>0</v>
      </c>
      <c r="Q349" s="49" t="s">
        <v>10881</v>
      </c>
    </row>
    <row r="350" spans="1:17">
      <c r="A350" s="95">
        <v>766589657993298</v>
      </c>
      <c r="B350" s="49" t="s">
        <v>10688</v>
      </c>
      <c r="C350" s="49" t="s">
        <v>10836</v>
      </c>
      <c r="D350" s="49" t="s">
        <v>780</v>
      </c>
      <c r="E350" s="49">
        <v>6283866009989</v>
      </c>
      <c r="F350" s="96">
        <v>45833</v>
      </c>
      <c r="G350" s="49" t="s">
        <v>12704</v>
      </c>
      <c r="H350" s="49" t="s">
        <v>12676</v>
      </c>
      <c r="I350" s="95">
        <v>1</v>
      </c>
      <c r="J350" s="95">
        <v>1</v>
      </c>
      <c r="K350" s="95">
        <v>0</v>
      </c>
      <c r="L350" s="97">
        <v>12000</v>
      </c>
      <c r="M350" s="102">
        <v>12</v>
      </c>
      <c r="N350" s="95">
        <v>0</v>
      </c>
      <c r="O350" s="95">
        <v>0</v>
      </c>
      <c r="P350" s="95">
        <v>0</v>
      </c>
      <c r="Q350" s="49" t="s">
        <v>10837</v>
      </c>
    </row>
    <row r="351" spans="1:17">
      <c r="A351" s="95">
        <v>766589657993298</v>
      </c>
      <c r="B351" s="49" t="s">
        <v>10688</v>
      </c>
      <c r="C351" s="49" t="s">
        <v>10836</v>
      </c>
      <c r="D351" s="49" t="s">
        <v>780</v>
      </c>
      <c r="E351" s="49">
        <v>6283866009989</v>
      </c>
      <c r="F351" s="96">
        <v>45833</v>
      </c>
      <c r="G351" s="49" t="s">
        <v>12705</v>
      </c>
      <c r="H351" s="49" t="s">
        <v>12676</v>
      </c>
      <c r="I351" s="95">
        <v>2</v>
      </c>
      <c r="J351" s="95">
        <v>2</v>
      </c>
      <c r="K351" s="95">
        <v>0</v>
      </c>
      <c r="L351" s="97">
        <v>4500</v>
      </c>
      <c r="M351" s="102">
        <v>9</v>
      </c>
      <c r="N351" s="95">
        <v>0</v>
      </c>
      <c r="O351" s="95">
        <v>2</v>
      </c>
      <c r="P351" s="95">
        <v>0</v>
      </c>
      <c r="Q351" s="49" t="s">
        <v>10837</v>
      </c>
    </row>
    <row r="352" spans="1:17">
      <c r="A352" s="95">
        <v>766589657993298</v>
      </c>
      <c r="B352" s="49" t="s">
        <v>10688</v>
      </c>
      <c r="C352" s="49" t="s">
        <v>10836</v>
      </c>
      <c r="D352" s="49" t="s">
        <v>780</v>
      </c>
      <c r="E352" s="49">
        <v>6283866009989</v>
      </c>
      <c r="F352" s="96">
        <v>45833</v>
      </c>
      <c r="G352" s="49" t="s">
        <v>12706</v>
      </c>
      <c r="H352" s="49" t="s">
        <v>12676</v>
      </c>
      <c r="I352" s="95">
        <v>27</v>
      </c>
      <c r="J352" s="95">
        <v>28</v>
      </c>
      <c r="K352" s="95">
        <v>0</v>
      </c>
      <c r="L352" s="97">
        <v>8857.1428571428569</v>
      </c>
      <c r="M352" s="102">
        <v>248</v>
      </c>
      <c r="N352" s="95">
        <v>0</v>
      </c>
      <c r="O352" s="95">
        <v>13</v>
      </c>
      <c r="P352" s="95">
        <v>0</v>
      </c>
      <c r="Q352" s="49" t="s">
        <v>10837</v>
      </c>
    </row>
    <row r="353" spans="1:17">
      <c r="A353" s="95">
        <v>766589657993298</v>
      </c>
      <c r="B353" s="49" t="s">
        <v>10688</v>
      </c>
      <c r="C353" s="49" t="s">
        <v>10836</v>
      </c>
      <c r="D353" s="49" t="s">
        <v>780</v>
      </c>
      <c r="E353" s="49">
        <v>6283866009989</v>
      </c>
      <c r="F353" s="96">
        <v>45833</v>
      </c>
      <c r="G353" s="49" t="s">
        <v>12707</v>
      </c>
      <c r="H353" s="49" t="s">
        <v>12676</v>
      </c>
      <c r="I353" s="95">
        <v>1</v>
      </c>
      <c r="J353" s="95">
        <v>1</v>
      </c>
      <c r="K353" s="95">
        <v>0</v>
      </c>
      <c r="L353" s="97">
        <v>12000</v>
      </c>
      <c r="M353" s="102">
        <v>12</v>
      </c>
      <c r="N353" s="95">
        <v>0</v>
      </c>
      <c r="O353" s="95">
        <v>1</v>
      </c>
      <c r="P353" s="95">
        <v>0</v>
      </c>
      <c r="Q353" s="49" t="s">
        <v>10837</v>
      </c>
    </row>
    <row r="354" spans="1:17">
      <c r="A354" s="95">
        <v>766589657993298</v>
      </c>
      <c r="B354" s="49" t="s">
        <v>10688</v>
      </c>
      <c r="C354" s="49" t="s">
        <v>10836</v>
      </c>
      <c r="D354" s="49" t="s">
        <v>780</v>
      </c>
      <c r="E354" s="49">
        <v>6283866009989</v>
      </c>
      <c r="F354" s="96">
        <v>45833</v>
      </c>
      <c r="G354" s="49" t="s">
        <v>12708</v>
      </c>
      <c r="H354" s="49" t="s">
        <v>12676</v>
      </c>
      <c r="I354" s="95">
        <v>2</v>
      </c>
      <c r="J354" s="95">
        <v>2</v>
      </c>
      <c r="K354" s="95">
        <v>0</v>
      </c>
      <c r="L354" s="97">
        <v>3000</v>
      </c>
      <c r="M354" s="102">
        <v>6</v>
      </c>
      <c r="N354" s="95">
        <v>0</v>
      </c>
      <c r="O354" s="95">
        <v>0</v>
      </c>
      <c r="P354" s="95">
        <v>0</v>
      </c>
      <c r="Q354" s="49" t="s">
        <v>10837</v>
      </c>
    </row>
    <row r="355" spans="1:17">
      <c r="A355" s="95">
        <v>766589657993298</v>
      </c>
      <c r="B355" s="49" t="s">
        <v>10688</v>
      </c>
      <c r="C355" s="49" t="s">
        <v>689</v>
      </c>
      <c r="D355" s="49" t="s">
        <v>10923</v>
      </c>
      <c r="E355" s="49">
        <v>6282176695820</v>
      </c>
      <c r="F355" s="96">
        <v>45833</v>
      </c>
      <c r="G355" s="49" t="s">
        <v>12696</v>
      </c>
      <c r="H355" s="49" t="s">
        <v>12676</v>
      </c>
      <c r="I355" s="95">
        <v>81</v>
      </c>
      <c r="J355" s="95">
        <v>81</v>
      </c>
      <c r="K355" s="95">
        <v>1</v>
      </c>
      <c r="L355" s="97">
        <v>27580.246913580246</v>
      </c>
      <c r="M355" s="102">
        <v>2234</v>
      </c>
      <c r="N355" s="95">
        <v>0</v>
      </c>
      <c r="O355" s="95">
        <v>16</v>
      </c>
      <c r="P355" s="95">
        <v>0</v>
      </c>
      <c r="Q355" s="49" t="s">
        <v>10921</v>
      </c>
    </row>
    <row r="356" spans="1:17">
      <c r="A356" s="95">
        <v>766589657993298</v>
      </c>
      <c r="B356" s="49" t="s">
        <v>10688</v>
      </c>
      <c r="C356" s="49" t="s">
        <v>10822</v>
      </c>
      <c r="D356" s="49" t="s">
        <v>676</v>
      </c>
      <c r="E356" s="49">
        <v>6281316155059</v>
      </c>
      <c r="F356" s="96">
        <v>45833</v>
      </c>
      <c r="G356" s="49" t="s">
        <v>7917</v>
      </c>
      <c r="H356" s="49" t="s">
        <v>12676</v>
      </c>
      <c r="I356" s="95">
        <v>35</v>
      </c>
      <c r="J356" s="95">
        <v>36</v>
      </c>
      <c r="K356" s="95">
        <v>0</v>
      </c>
      <c r="L356" s="97">
        <v>21833.333333333332</v>
      </c>
      <c r="M356" s="102">
        <v>786</v>
      </c>
      <c r="N356" s="95">
        <v>0</v>
      </c>
      <c r="O356" s="95">
        <v>12</v>
      </c>
      <c r="P356" s="95">
        <v>0</v>
      </c>
      <c r="Q356" s="49" t="s">
        <v>10823</v>
      </c>
    </row>
    <row r="357" spans="1:17">
      <c r="A357" s="95">
        <v>766589657993298</v>
      </c>
      <c r="B357" s="49" t="s">
        <v>10688</v>
      </c>
      <c r="C357" s="49" t="s">
        <v>10822</v>
      </c>
      <c r="D357" s="49" t="s">
        <v>676</v>
      </c>
      <c r="E357" s="49">
        <v>6281316155059</v>
      </c>
      <c r="F357" s="96">
        <v>45833</v>
      </c>
      <c r="G357" s="49" t="s">
        <v>2132</v>
      </c>
      <c r="H357" s="49" t="s">
        <v>12676</v>
      </c>
      <c r="I357" s="95">
        <v>129</v>
      </c>
      <c r="J357" s="95">
        <v>137</v>
      </c>
      <c r="K357" s="95">
        <v>2</v>
      </c>
      <c r="L357" s="97">
        <v>29678.832116788322</v>
      </c>
      <c r="M357" s="102">
        <v>4066</v>
      </c>
      <c r="N357" s="95">
        <v>1</v>
      </c>
      <c r="O357" s="95">
        <v>64</v>
      </c>
      <c r="P357" s="95">
        <v>0</v>
      </c>
      <c r="Q357" s="49" t="s">
        <v>10823</v>
      </c>
    </row>
    <row r="358" spans="1:17">
      <c r="A358" s="95">
        <v>766589657993298</v>
      </c>
      <c r="B358" s="49" t="s">
        <v>10688</v>
      </c>
      <c r="C358" s="49" t="s">
        <v>10822</v>
      </c>
      <c r="D358" s="49" t="s">
        <v>676</v>
      </c>
      <c r="E358" s="49">
        <v>6281316155059</v>
      </c>
      <c r="F358" s="96">
        <v>45833</v>
      </c>
      <c r="G358" s="49" t="s">
        <v>12677</v>
      </c>
      <c r="H358" s="49" t="s">
        <v>12676</v>
      </c>
      <c r="I358" s="95">
        <v>65</v>
      </c>
      <c r="J358" s="95">
        <v>69</v>
      </c>
      <c r="K358" s="95">
        <v>0</v>
      </c>
      <c r="L358" s="97">
        <v>26724.63768115942</v>
      </c>
      <c r="M358" s="102">
        <v>1844</v>
      </c>
      <c r="N358" s="95">
        <v>0</v>
      </c>
      <c r="O358" s="95">
        <v>33</v>
      </c>
      <c r="P358" s="95">
        <v>0</v>
      </c>
      <c r="Q358" s="49" t="s">
        <v>10823</v>
      </c>
    </row>
    <row r="359" spans="1:17">
      <c r="A359" s="95">
        <v>766589657993298</v>
      </c>
      <c r="B359" s="49" t="s">
        <v>10688</v>
      </c>
      <c r="C359" s="49" t="s">
        <v>769</v>
      </c>
      <c r="D359" s="49" t="s">
        <v>764</v>
      </c>
      <c r="E359" s="49">
        <v>6287778562681</v>
      </c>
      <c r="F359" s="96">
        <v>45833</v>
      </c>
      <c r="G359" s="49" t="s">
        <v>7917</v>
      </c>
      <c r="H359" s="49" t="s">
        <v>12676</v>
      </c>
      <c r="I359" s="95">
        <v>21</v>
      </c>
      <c r="J359" s="95">
        <v>22</v>
      </c>
      <c r="K359" s="95">
        <v>3</v>
      </c>
      <c r="L359" s="97">
        <v>18545.454545454548</v>
      </c>
      <c r="M359" s="102">
        <v>408</v>
      </c>
      <c r="N359" s="95">
        <v>0</v>
      </c>
      <c r="O359" s="95">
        <v>9</v>
      </c>
      <c r="P359" s="95">
        <v>0</v>
      </c>
      <c r="Q359" s="49" t="s">
        <v>10882</v>
      </c>
    </row>
    <row r="360" spans="1:17">
      <c r="A360" s="95">
        <v>766589657993298</v>
      </c>
      <c r="B360" s="49" t="s">
        <v>10688</v>
      </c>
      <c r="C360" s="49" t="s">
        <v>769</v>
      </c>
      <c r="D360" s="49" t="s">
        <v>764</v>
      </c>
      <c r="E360" s="49">
        <v>6287778562681</v>
      </c>
      <c r="F360" s="96">
        <v>45833</v>
      </c>
      <c r="G360" s="49" t="s">
        <v>2132</v>
      </c>
      <c r="H360" s="49" t="s">
        <v>12676</v>
      </c>
      <c r="I360" s="95">
        <v>49</v>
      </c>
      <c r="J360" s="95">
        <v>49</v>
      </c>
      <c r="K360" s="95">
        <v>1</v>
      </c>
      <c r="L360" s="97">
        <v>19469.387755102041</v>
      </c>
      <c r="M360" s="102">
        <v>954</v>
      </c>
      <c r="N360" s="95">
        <v>0</v>
      </c>
      <c r="O360" s="95">
        <v>19</v>
      </c>
      <c r="P360" s="95">
        <v>0</v>
      </c>
      <c r="Q360" s="49" t="s">
        <v>10882</v>
      </c>
    </row>
    <row r="361" spans="1:17">
      <c r="A361" s="95">
        <v>766589657993298</v>
      </c>
      <c r="B361" s="49" t="s">
        <v>10688</v>
      </c>
      <c r="C361" s="49" t="s">
        <v>769</v>
      </c>
      <c r="D361" s="49" t="s">
        <v>764</v>
      </c>
      <c r="E361" s="49">
        <v>6287778562681</v>
      </c>
      <c r="F361" s="96">
        <v>45833</v>
      </c>
      <c r="G361" s="49" t="s">
        <v>12677</v>
      </c>
      <c r="H361" s="49" t="s">
        <v>12676</v>
      </c>
      <c r="I361" s="95">
        <v>21</v>
      </c>
      <c r="J361" s="95">
        <v>21</v>
      </c>
      <c r="K361" s="95">
        <v>0</v>
      </c>
      <c r="L361" s="97">
        <v>11190.476190476189</v>
      </c>
      <c r="M361" s="102">
        <v>235</v>
      </c>
      <c r="N361" s="95">
        <v>0</v>
      </c>
      <c r="O361" s="95">
        <v>8</v>
      </c>
      <c r="P361" s="95">
        <v>0</v>
      </c>
      <c r="Q361" s="49" t="s">
        <v>10882</v>
      </c>
    </row>
    <row r="362" spans="1:17">
      <c r="A362" s="95">
        <v>766589657993298</v>
      </c>
      <c r="B362" s="49" t="s">
        <v>10688</v>
      </c>
      <c r="C362" s="49" t="s">
        <v>10786</v>
      </c>
      <c r="D362" s="49" t="s">
        <v>739</v>
      </c>
      <c r="E362" s="49">
        <v>628122102657</v>
      </c>
      <c r="F362" s="96">
        <v>45833</v>
      </c>
      <c r="G362" s="49" t="s">
        <v>46</v>
      </c>
      <c r="H362" s="49" t="s">
        <v>12676</v>
      </c>
      <c r="I362" s="95">
        <v>4</v>
      </c>
      <c r="J362" s="95">
        <v>4</v>
      </c>
      <c r="K362" s="95">
        <v>0</v>
      </c>
      <c r="L362" s="97">
        <v>11750</v>
      </c>
      <c r="M362" s="102">
        <v>47</v>
      </c>
      <c r="N362" s="95">
        <v>0</v>
      </c>
      <c r="O362" s="95">
        <v>1</v>
      </c>
      <c r="P362" s="95">
        <v>0</v>
      </c>
      <c r="Q362" s="49" t="s">
        <v>10787</v>
      </c>
    </row>
    <row r="363" spans="1:17">
      <c r="A363" s="95">
        <v>766589657993298</v>
      </c>
      <c r="B363" s="49" t="s">
        <v>10688</v>
      </c>
      <c r="C363" s="49" t="s">
        <v>10786</v>
      </c>
      <c r="D363" s="49" t="s">
        <v>739</v>
      </c>
      <c r="E363" s="49">
        <v>628122102657</v>
      </c>
      <c r="F363" s="96">
        <v>45833</v>
      </c>
      <c r="G363" s="49" t="s">
        <v>7917</v>
      </c>
      <c r="H363" s="49" t="s">
        <v>12676</v>
      </c>
      <c r="I363" s="95">
        <v>1</v>
      </c>
      <c r="J363" s="95">
        <v>1</v>
      </c>
      <c r="K363" s="95">
        <v>0</v>
      </c>
      <c r="L363" s="97">
        <v>59000</v>
      </c>
      <c r="M363" s="102">
        <v>59</v>
      </c>
      <c r="N363" s="95">
        <v>0</v>
      </c>
      <c r="O363" s="95">
        <v>0</v>
      </c>
      <c r="P363" s="95">
        <v>0</v>
      </c>
      <c r="Q363" s="49" t="s">
        <v>10787</v>
      </c>
    </row>
    <row r="364" spans="1:17">
      <c r="A364" s="95">
        <v>766589657993298</v>
      </c>
      <c r="B364" s="49" t="s">
        <v>10688</v>
      </c>
      <c r="C364" s="49" t="s">
        <v>10786</v>
      </c>
      <c r="D364" s="49" t="s">
        <v>739</v>
      </c>
      <c r="E364" s="49">
        <v>628122102657</v>
      </c>
      <c r="F364" s="96">
        <v>45833</v>
      </c>
      <c r="G364" s="49" t="s">
        <v>12678</v>
      </c>
      <c r="H364" s="49" t="s">
        <v>12676</v>
      </c>
      <c r="I364" s="95">
        <v>3</v>
      </c>
      <c r="J364" s="95">
        <v>3</v>
      </c>
      <c r="K364" s="95">
        <v>0</v>
      </c>
      <c r="L364" s="97">
        <v>61666.666666666664</v>
      </c>
      <c r="M364" s="102">
        <v>185</v>
      </c>
      <c r="N364" s="95">
        <v>0</v>
      </c>
      <c r="O364" s="95">
        <v>1</v>
      </c>
      <c r="P364" s="95">
        <v>0</v>
      </c>
      <c r="Q364" s="49" t="s">
        <v>10787</v>
      </c>
    </row>
    <row r="365" spans="1:17">
      <c r="A365" s="95">
        <v>766589657993298</v>
      </c>
      <c r="B365" s="49" t="s">
        <v>10688</v>
      </c>
      <c r="C365" s="49" t="s">
        <v>10786</v>
      </c>
      <c r="D365" s="49" t="s">
        <v>739</v>
      </c>
      <c r="E365" s="49">
        <v>628122102657</v>
      </c>
      <c r="F365" s="96">
        <v>45833</v>
      </c>
      <c r="G365" s="49" t="s">
        <v>12682</v>
      </c>
      <c r="H365" s="49" t="s">
        <v>12676</v>
      </c>
      <c r="I365" s="95">
        <v>1</v>
      </c>
      <c r="J365" s="95">
        <v>2</v>
      </c>
      <c r="K365" s="95">
        <v>0</v>
      </c>
      <c r="L365" s="97">
        <v>121500</v>
      </c>
      <c r="M365" s="102">
        <v>243</v>
      </c>
      <c r="N365" s="95">
        <v>0</v>
      </c>
      <c r="O365" s="95">
        <v>0</v>
      </c>
      <c r="P365" s="95">
        <v>0</v>
      </c>
      <c r="Q365" s="49" t="s">
        <v>10787</v>
      </c>
    </row>
    <row r="366" spans="1:17">
      <c r="A366" s="95">
        <v>766589657993298</v>
      </c>
      <c r="B366" s="49" t="s">
        <v>10688</v>
      </c>
      <c r="C366" s="49" t="s">
        <v>10786</v>
      </c>
      <c r="D366" s="49" t="s">
        <v>739</v>
      </c>
      <c r="E366" s="49">
        <v>628122102657</v>
      </c>
      <c r="F366" s="96">
        <v>45833</v>
      </c>
      <c r="G366" s="49" t="s">
        <v>12683</v>
      </c>
      <c r="H366" s="49" t="s">
        <v>12676</v>
      </c>
      <c r="I366" s="95">
        <v>1</v>
      </c>
      <c r="J366" s="95">
        <v>1</v>
      </c>
      <c r="K366" s="95">
        <v>0</v>
      </c>
      <c r="L366" s="97">
        <v>3000</v>
      </c>
      <c r="M366" s="102">
        <v>3</v>
      </c>
      <c r="N366" s="95">
        <v>0</v>
      </c>
      <c r="O366" s="95">
        <v>0</v>
      </c>
      <c r="P366" s="95">
        <v>0</v>
      </c>
      <c r="Q366" s="49" t="s">
        <v>10787</v>
      </c>
    </row>
    <row r="367" spans="1:17">
      <c r="A367" s="95">
        <v>766589657993298</v>
      </c>
      <c r="B367" s="49" t="s">
        <v>10688</v>
      </c>
      <c r="C367" s="49" t="s">
        <v>10786</v>
      </c>
      <c r="D367" s="49" t="s">
        <v>739</v>
      </c>
      <c r="E367" s="49">
        <v>628122102657</v>
      </c>
      <c r="F367" s="96">
        <v>45833</v>
      </c>
      <c r="G367" s="49" t="s">
        <v>12684</v>
      </c>
      <c r="H367" s="49" t="s">
        <v>12676</v>
      </c>
      <c r="I367" s="95">
        <v>5</v>
      </c>
      <c r="J367" s="95">
        <v>6</v>
      </c>
      <c r="K367" s="95">
        <v>0</v>
      </c>
      <c r="L367" s="97">
        <v>15000</v>
      </c>
      <c r="M367" s="102">
        <v>90</v>
      </c>
      <c r="N367" s="95">
        <v>0</v>
      </c>
      <c r="O367" s="95">
        <v>1</v>
      </c>
      <c r="P367" s="95">
        <v>0</v>
      </c>
      <c r="Q367" s="49" t="s">
        <v>10787</v>
      </c>
    </row>
    <row r="368" spans="1:17">
      <c r="A368" s="95">
        <v>766589657993298</v>
      </c>
      <c r="B368" s="49" t="s">
        <v>10688</v>
      </c>
      <c r="C368" s="49" t="s">
        <v>10786</v>
      </c>
      <c r="D368" s="49" t="s">
        <v>739</v>
      </c>
      <c r="E368" s="49">
        <v>628122102657</v>
      </c>
      <c r="F368" s="96">
        <v>45833</v>
      </c>
      <c r="G368" s="49" t="s">
        <v>12680</v>
      </c>
      <c r="H368" s="49" t="s">
        <v>12676</v>
      </c>
      <c r="I368" s="95">
        <v>3</v>
      </c>
      <c r="J368" s="95">
        <v>3</v>
      </c>
      <c r="K368" s="95">
        <v>0</v>
      </c>
      <c r="L368" s="97">
        <v>10000</v>
      </c>
      <c r="M368" s="102">
        <v>30</v>
      </c>
      <c r="N368" s="95">
        <v>0</v>
      </c>
      <c r="O368" s="95">
        <v>0</v>
      </c>
      <c r="P368" s="95">
        <v>0</v>
      </c>
      <c r="Q368" s="49" t="s">
        <v>10787</v>
      </c>
    </row>
    <row r="369" spans="1:17">
      <c r="A369" s="95">
        <v>766589657993298</v>
      </c>
      <c r="B369" s="49" t="s">
        <v>10688</v>
      </c>
      <c r="C369" s="49" t="s">
        <v>10786</v>
      </c>
      <c r="D369" s="49" t="s">
        <v>739</v>
      </c>
      <c r="E369" s="49">
        <v>628122102657</v>
      </c>
      <c r="F369" s="96">
        <v>45833</v>
      </c>
      <c r="G369" s="49" t="s">
        <v>12685</v>
      </c>
      <c r="H369" s="49" t="s">
        <v>12676</v>
      </c>
      <c r="I369" s="95">
        <v>2</v>
      </c>
      <c r="J369" s="95">
        <v>2</v>
      </c>
      <c r="K369" s="95">
        <v>0</v>
      </c>
      <c r="L369" s="97">
        <v>5000</v>
      </c>
      <c r="M369" s="102">
        <v>10</v>
      </c>
      <c r="N369" s="95">
        <v>0</v>
      </c>
      <c r="O369" s="95">
        <v>1</v>
      </c>
      <c r="P369" s="95">
        <v>0</v>
      </c>
      <c r="Q369" s="49" t="s">
        <v>10787</v>
      </c>
    </row>
    <row r="370" spans="1:17">
      <c r="A370" s="95">
        <v>766589657993298</v>
      </c>
      <c r="B370" s="49" t="s">
        <v>10688</v>
      </c>
      <c r="C370" s="49" t="s">
        <v>10786</v>
      </c>
      <c r="D370" s="49" t="s">
        <v>739</v>
      </c>
      <c r="E370" s="49">
        <v>628122102657</v>
      </c>
      <c r="F370" s="96">
        <v>45833</v>
      </c>
      <c r="G370" s="49" t="s">
        <v>2132</v>
      </c>
      <c r="H370" s="49" t="s">
        <v>12676</v>
      </c>
      <c r="I370" s="95">
        <v>1</v>
      </c>
      <c r="J370" s="95">
        <v>1</v>
      </c>
      <c r="K370" s="95">
        <v>0</v>
      </c>
      <c r="L370" s="97">
        <v>19000</v>
      </c>
      <c r="M370" s="102">
        <v>19</v>
      </c>
      <c r="N370" s="95">
        <v>0</v>
      </c>
      <c r="O370" s="95">
        <v>0</v>
      </c>
      <c r="P370" s="95">
        <v>0</v>
      </c>
      <c r="Q370" s="49" t="s">
        <v>10787</v>
      </c>
    </row>
    <row r="371" spans="1:17">
      <c r="A371" s="95">
        <v>766589657993298</v>
      </c>
      <c r="B371" s="49" t="s">
        <v>10688</v>
      </c>
      <c r="C371" s="49" t="s">
        <v>10786</v>
      </c>
      <c r="D371" s="49" t="s">
        <v>739</v>
      </c>
      <c r="E371" s="49">
        <v>628122102657</v>
      </c>
      <c r="F371" s="96">
        <v>45833</v>
      </c>
      <c r="G371" s="49" t="s">
        <v>2718</v>
      </c>
      <c r="H371" s="49" t="s">
        <v>12676</v>
      </c>
      <c r="I371" s="95">
        <v>1</v>
      </c>
      <c r="J371" s="95">
        <v>1</v>
      </c>
      <c r="K371" s="95">
        <v>0</v>
      </c>
      <c r="L371" s="97">
        <v>26000</v>
      </c>
      <c r="M371" s="102">
        <v>26</v>
      </c>
      <c r="N371" s="95">
        <v>0</v>
      </c>
      <c r="O371" s="95">
        <v>1</v>
      </c>
      <c r="P371" s="95">
        <v>0</v>
      </c>
      <c r="Q371" s="49" t="s">
        <v>10787</v>
      </c>
    </row>
    <row r="372" spans="1:17">
      <c r="A372" s="95">
        <v>766589657993298</v>
      </c>
      <c r="B372" s="49" t="s">
        <v>10688</v>
      </c>
      <c r="C372" s="49" t="s">
        <v>10786</v>
      </c>
      <c r="D372" s="49" t="s">
        <v>739</v>
      </c>
      <c r="E372" s="49">
        <v>628122102657</v>
      </c>
      <c r="F372" s="96">
        <v>45833</v>
      </c>
      <c r="G372" s="49" t="s">
        <v>2981</v>
      </c>
      <c r="H372" s="49" t="s">
        <v>12676</v>
      </c>
      <c r="I372" s="95">
        <v>1</v>
      </c>
      <c r="J372" s="95">
        <v>1</v>
      </c>
      <c r="K372" s="95">
        <v>0</v>
      </c>
      <c r="L372" s="97">
        <v>9000</v>
      </c>
      <c r="M372" s="102">
        <v>9</v>
      </c>
      <c r="N372" s="95">
        <v>0</v>
      </c>
      <c r="O372" s="95">
        <v>0</v>
      </c>
      <c r="P372" s="95">
        <v>0</v>
      </c>
      <c r="Q372" s="49" t="s">
        <v>10787</v>
      </c>
    </row>
    <row r="373" spans="1:17">
      <c r="A373" s="95">
        <v>766589657993298</v>
      </c>
      <c r="B373" s="49" t="s">
        <v>10688</v>
      </c>
      <c r="C373" s="49" t="s">
        <v>10786</v>
      </c>
      <c r="D373" s="49" t="s">
        <v>739</v>
      </c>
      <c r="E373" s="49">
        <v>628122102657</v>
      </c>
      <c r="F373" s="96">
        <v>45833</v>
      </c>
      <c r="G373" s="49" t="s">
        <v>12690</v>
      </c>
      <c r="H373" s="49" t="s">
        <v>12676</v>
      </c>
      <c r="I373" s="95">
        <v>1</v>
      </c>
      <c r="J373" s="95">
        <v>1</v>
      </c>
      <c r="K373" s="95">
        <v>0</v>
      </c>
      <c r="L373" s="97">
        <v>19000</v>
      </c>
      <c r="M373" s="102">
        <v>19</v>
      </c>
      <c r="N373" s="95">
        <v>0</v>
      </c>
      <c r="O373" s="95">
        <v>1</v>
      </c>
      <c r="P373" s="95">
        <v>0</v>
      </c>
      <c r="Q373" s="49" t="s">
        <v>10787</v>
      </c>
    </row>
    <row r="374" spans="1:17">
      <c r="A374" s="95">
        <v>766589657993298</v>
      </c>
      <c r="B374" s="49" t="s">
        <v>10688</v>
      </c>
      <c r="C374" s="49" t="s">
        <v>10786</v>
      </c>
      <c r="D374" s="49" t="s">
        <v>739</v>
      </c>
      <c r="E374" s="49">
        <v>628122102657</v>
      </c>
      <c r="F374" s="96">
        <v>45833</v>
      </c>
      <c r="G374" s="49" t="s">
        <v>12691</v>
      </c>
      <c r="H374" s="49" t="s">
        <v>12676</v>
      </c>
      <c r="I374" s="95">
        <v>4</v>
      </c>
      <c r="J374" s="95">
        <v>4</v>
      </c>
      <c r="K374" s="95">
        <v>0</v>
      </c>
      <c r="L374" s="97">
        <v>16500</v>
      </c>
      <c r="M374" s="102">
        <v>66</v>
      </c>
      <c r="N374" s="95">
        <v>0</v>
      </c>
      <c r="O374" s="95">
        <v>0</v>
      </c>
      <c r="P374" s="95">
        <v>0</v>
      </c>
      <c r="Q374" s="49" t="s">
        <v>10787</v>
      </c>
    </row>
    <row r="375" spans="1:17">
      <c r="A375" s="95">
        <v>766589657993298</v>
      </c>
      <c r="B375" s="49" t="s">
        <v>10688</v>
      </c>
      <c r="C375" s="49" t="s">
        <v>10786</v>
      </c>
      <c r="D375" s="49" t="s">
        <v>739</v>
      </c>
      <c r="E375" s="49">
        <v>628122102657</v>
      </c>
      <c r="F375" s="96">
        <v>45833</v>
      </c>
      <c r="G375" s="49" t="s">
        <v>12692</v>
      </c>
      <c r="H375" s="49" t="s">
        <v>12676</v>
      </c>
      <c r="I375" s="95">
        <v>4</v>
      </c>
      <c r="J375" s="95">
        <v>4</v>
      </c>
      <c r="K375" s="95">
        <v>0</v>
      </c>
      <c r="L375" s="97">
        <v>5500</v>
      </c>
      <c r="M375" s="102">
        <v>22</v>
      </c>
      <c r="N375" s="95">
        <v>0</v>
      </c>
      <c r="O375" s="95">
        <v>1</v>
      </c>
      <c r="P375" s="95">
        <v>0</v>
      </c>
      <c r="Q375" s="49" t="s">
        <v>10787</v>
      </c>
    </row>
    <row r="376" spans="1:17">
      <c r="A376" s="95">
        <v>766589657993298</v>
      </c>
      <c r="B376" s="49" t="s">
        <v>10688</v>
      </c>
      <c r="C376" s="49" t="s">
        <v>10786</v>
      </c>
      <c r="D376" s="49" t="s">
        <v>739</v>
      </c>
      <c r="E376" s="49">
        <v>628122102657</v>
      </c>
      <c r="F376" s="96">
        <v>45833</v>
      </c>
      <c r="G376" s="49" t="s">
        <v>1473</v>
      </c>
      <c r="H376" s="49" t="s">
        <v>12676</v>
      </c>
      <c r="I376" s="95">
        <v>2</v>
      </c>
      <c r="J376" s="95">
        <v>2</v>
      </c>
      <c r="K376" s="95">
        <v>0</v>
      </c>
      <c r="L376" s="97">
        <v>42000</v>
      </c>
      <c r="M376" s="102">
        <v>84</v>
      </c>
      <c r="N376" s="95">
        <v>0</v>
      </c>
      <c r="O376" s="95">
        <v>1</v>
      </c>
      <c r="P376" s="95">
        <v>0</v>
      </c>
      <c r="Q376" s="49" t="s">
        <v>10787</v>
      </c>
    </row>
    <row r="377" spans="1:17">
      <c r="A377" s="95">
        <v>766589657993298</v>
      </c>
      <c r="B377" s="49" t="s">
        <v>10688</v>
      </c>
      <c r="C377" s="49" t="s">
        <v>10786</v>
      </c>
      <c r="D377" s="49" t="s">
        <v>739</v>
      </c>
      <c r="E377" s="49">
        <v>628122102657</v>
      </c>
      <c r="F377" s="96">
        <v>45833</v>
      </c>
      <c r="G377" s="49" t="s">
        <v>12693</v>
      </c>
      <c r="H377" s="49" t="s">
        <v>12676</v>
      </c>
      <c r="I377" s="95">
        <v>2</v>
      </c>
      <c r="J377" s="95">
        <v>2</v>
      </c>
      <c r="K377" s="95">
        <v>0</v>
      </c>
      <c r="L377" s="97">
        <v>116000</v>
      </c>
      <c r="M377" s="102">
        <v>232</v>
      </c>
      <c r="N377" s="95">
        <v>0</v>
      </c>
      <c r="O377" s="95">
        <v>0</v>
      </c>
      <c r="P377" s="95">
        <v>0</v>
      </c>
      <c r="Q377" s="49" t="s">
        <v>10787</v>
      </c>
    </row>
    <row r="378" spans="1:17">
      <c r="A378" s="95">
        <v>766589657993298</v>
      </c>
      <c r="B378" s="49" t="s">
        <v>10688</v>
      </c>
      <c r="C378" s="49" t="s">
        <v>10786</v>
      </c>
      <c r="D378" s="49" t="s">
        <v>739</v>
      </c>
      <c r="E378" s="49">
        <v>628122102657</v>
      </c>
      <c r="F378" s="96">
        <v>45833</v>
      </c>
      <c r="G378" s="49" t="s">
        <v>12695</v>
      </c>
      <c r="H378" s="49" t="s">
        <v>12676</v>
      </c>
      <c r="I378" s="95">
        <v>6</v>
      </c>
      <c r="J378" s="95">
        <v>7</v>
      </c>
      <c r="K378" s="95">
        <v>0</v>
      </c>
      <c r="L378" s="97">
        <v>20142.857142857141</v>
      </c>
      <c r="M378" s="102">
        <v>141</v>
      </c>
      <c r="N378" s="95">
        <v>0</v>
      </c>
      <c r="O378" s="95">
        <v>2</v>
      </c>
      <c r="P378" s="95">
        <v>0</v>
      </c>
      <c r="Q378" s="49" t="s">
        <v>10787</v>
      </c>
    </row>
    <row r="379" spans="1:17">
      <c r="A379" s="95">
        <v>766589657993298</v>
      </c>
      <c r="B379" s="49" t="s">
        <v>10688</v>
      </c>
      <c r="C379" s="49" t="s">
        <v>10786</v>
      </c>
      <c r="D379" s="49" t="s">
        <v>739</v>
      </c>
      <c r="E379" s="49">
        <v>628122102657</v>
      </c>
      <c r="F379" s="96">
        <v>45833</v>
      </c>
      <c r="G379" s="49" t="s">
        <v>12696</v>
      </c>
      <c r="H379" s="49" t="s">
        <v>12676</v>
      </c>
      <c r="I379" s="95">
        <v>1</v>
      </c>
      <c r="J379" s="95">
        <v>1</v>
      </c>
      <c r="K379" s="95">
        <v>0</v>
      </c>
      <c r="L379" s="97">
        <v>7000</v>
      </c>
      <c r="M379" s="102">
        <v>7</v>
      </c>
      <c r="N379" s="95">
        <v>0</v>
      </c>
      <c r="O379" s="95">
        <v>1</v>
      </c>
      <c r="P379" s="95">
        <v>0</v>
      </c>
      <c r="Q379" s="49" t="s">
        <v>10787</v>
      </c>
    </row>
    <row r="380" spans="1:17">
      <c r="A380" s="95">
        <v>766589657993298</v>
      </c>
      <c r="B380" s="49" t="s">
        <v>10688</v>
      </c>
      <c r="C380" s="49" t="s">
        <v>10786</v>
      </c>
      <c r="D380" s="49" t="s">
        <v>739</v>
      </c>
      <c r="E380" s="49">
        <v>628122102657</v>
      </c>
      <c r="F380" s="96">
        <v>45833</v>
      </c>
      <c r="G380" s="49" t="s">
        <v>12697</v>
      </c>
      <c r="H380" s="49" t="s">
        <v>12676</v>
      </c>
      <c r="I380" s="95">
        <v>1</v>
      </c>
      <c r="J380" s="95">
        <v>1</v>
      </c>
      <c r="K380" s="95">
        <v>0</v>
      </c>
      <c r="L380" s="97">
        <v>17000</v>
      </c>
      <c r="M380" s="102">
        <v>17</v>
      </c>
      <c r="N380" s="95">
        <v>0</v>
      </c>
      <c r="O380" s="95">
        <v>1</v>
      </c>
      <c r="P380" s="95">
        <v>0</v>
      </c>
      <c r="Q380" s="49" t="s">
        <v>10787</v>
      </c>
    </row>
    <row r="381" spans="1:17">
      <c r="A381" s="95">
        <v>766589657993298</v>
      </c>
      <c r="B381" s="49" t="s">
        <v>10688</v>
      </c>
      <c r="C381" s="49" t="s">
        <v>10786</v>
      </c>
      <c r="D381" s="49" t="s">
        <v>739</v>
      </c>
      <c r="E381" s="49">
        <v>628122102657</v>
      </c>
      <c r="F381" s="96">
        <v>45833</v>
      </c>
      <c r="G381" s="49" t="s">
        <v>12677</v>
      </c>
      <c r="H381" s="49" t="s">
        <v>12676</v>
      </c>
      <c r="I381" s="95">
        <v>1</v>
      </c>
      <c r="J381" s="95">
        <v>1</v>
      </c>
      <c r="K381" s="95">
        <v>0</v>
      </c>
      <c r="L381" s="97">
        <v>4000</v>
      </c>
      <c r="M381" s="102">
        <v>4</v>
      </c>
      <c r="N381" s="95">
        <v>0</v>
      </c>
      <c r="O381" s="95">
        <v>0</v>
      </c>
      <c r="P381" s="95">
        <v>0</v>
      </c>
      <c r="Q381" s="49" t="s">
        <v>10787</v>
      </c>
    </row>
    <row r="382" spans="1:17">
      <c r="A382" s="95">
        <v>766589657993298</v>
      </c>
      <c r="B382" s="49" t="s">
        <v>10688</v>
      </c>
      <c r="C382" s="49" t="s">
        <v>10786</v>
      </c>
      <c r="D382" s="49" t="s">
        <v>739</v>
      </c>
      <c r="E382" s="49">
        <v>628122102657</v>
      </c>
      <c r="F382" s="96">
        <v>45833</v>
      </c>
      <c r="G382" s="49" t="s">
        <v>12709</v>
      </c>
      <c r="H382" s="49" t="s">
        <v>12676</v>
      </c>
      <c r="I382" s="95">
        <v>2</v>
      </c>
      <c r="J382" s="95">
        <v>2</v>
      </c>
      <c r="K382" s="95">
        <v>0</v>
      </c>
      <c r="L382" s="97">
        <v>9500</v>
      </c>
      <c r="M382" s="102">
        <v>19</v>
      </c>
      <c r="N382" s="95">
        <v>0</v>
      </c>
      <c r="O382" s="95">
        <v>0</v>
      </c>
      <c r="P382" s="95">
        <v>0</v>
      </c>
      <c r="Q382" s="49" t="s">
        <v>10787</v>
      </c>
    </row>
    <row r="383" spans="1:17">
      <c r="A383" s="95">
        <v>766589657993298</v>
      </c>
      <c r="B383" s="49" t="s">
        <v>10688</v>
      </c>
      <c r="C383" s="49" t="s">
        <v>10786</v>
      </c>
      <c r="D383" s="49" t="s">
        <v>739</v>
      </c>
      <c r="E383" s="49">
        <v>628122102657</v>
      </c>
      <c r="F383" s="96">
        <v>45833</v>
      </c>
      <c r="G383" s="49" t="s">
        <v>12701</v>
      </c>
      <c r="H383" s="49" t="s">
        <v>12676</v>
      </c>
      <c r="I383" s="95">
        <v>2</v>
      </c>
      <c r="J383" s="95">
        <v>2</v>
      </c>
      <c r="K383" s="95">
        <v>0</v>
      </c>
      <c r="L383" s="97">
        <v>8000</v>
      </c>
      <c r="M383" s="102">
        <v>16</v>
      </c>
      <c r="N383" s="95">
        <v>0</v>
      </c>
      <c r="O383" s="95">
        <v>2</v>
      </c>
      <c r="P383" s="95">
        <v>0</v>
      </c>
      <c r="Q383" s="49" t="s">
        <v>10787</v>
      </c>
    </row>
    <row r="384" spans="1:17">
      <c r="A384" s="95">
        <v>206726568613432</v>
      </c>
      <c r="B384" s="49" t="s">
        <v>10900</v>
      </c>
      <c r="C384" s="49" t="s">
        <v>10901</v>
      </c>
      <c r="D384" s="49" t="s">
        <v>10902</v>
      </c>
      <c r="E384" s="49">
        <v>6282194694492</v>
      </c>
      <c r="F384" s="96">
        <v>45833</v>
      </c>
      <c r="G384" s="49" t="s">
        <v>12695</v>
      </c>
      <c r="H384" s="49" t="s">
        <v>12676</v>
      </c>
      <c r="I384" s="95">
        <v>111</v>
      </c>
      <c r="J384" s="95">
        <v>114</v>
      </c>
      <c r="K384" s="95">
        <v>3</v>
      </c>
      <c r="L384" s="97">
        <v>15333.333333333334</v>
      </c>
      <c r="M384" s="102">
        <v>1748</v>
      </c>
      <c r="N384" s="95">
        <v>0</v>
      </c>
      <c r="O384" s="95">
        <v>28</v>
      </c>
      <c r="P384" s="95">
        <v>0</v>
      </c>
      <c r="Q384" s="49" t="s">
        <v>10903</v>
      </c>
    </row>
    <row r="385" spans="1:17">
      <c r="A385" s="95">
        <v>759724529202804</v>
      </c>
      <c r="B385" s="49" t="s">
        <v>10621</v>
      </c>
      <c r="C385" s="49" t="s">
        <v>10925</v>
      </c>
      <c r="D385" s="49" t="s">
        <v>10926</v>
      </c>
      <c r="E385" s="49">
        <v>6281233038880</v>
      </c>
      <c r="F385" s="96">
        <v>45833</v>
      </c>
      <c r="G385" s="49" t="s">
        <v>12678</v>
      </c>
      <c r="H385" s="49" t="s">
        <v>12676</v>
      </c>
      <c r="I385" s="95">
        <v>41</v>
      </c>
      <c r="J385" s="95">
        <v>42</v>
      </c>
      <c r="K385" s="95">
        <v>1</v>
      </c>
      <c r="L385" s="97">
        <v>91523.809523809512</v>
      </c>
      <c r="M385" s="102">
        <v>3844</v>
      </c>
      <c r="N385" s="95">
        <v>0</v>
      </c>
      <c r="O385" s="95">
        <v>0</v>
      </c>
      <c r="P385" s="95">
        <v>0</v>
      </c>
      <c r="Q385" s="49" t="s">
        <v>10927</v>
      </c>
    </row>
    <row r="386" spans="1:17">
      <c r="A386" s="95">
        <v>759724529202804</v>
      </c>
      <c r="B386" s="49" t="s">
        <v>10621</v>
      </c>
      <c r="C386" s="49" t="s">
        <v>10925</v>
      </c>
      <c r="D386" s="49" t="s">
        <v>10926</v>
      </c>
      <c r="E386" s="49">
        <v>6281233038880</v>
      </c>
      <c r="F386" s="96">
        <v>45833</v>
      </c>
      <c r="G386" s="49" t="s">
        <v>12679</v>
      </c>
      <c r="H386" s="49" t="s">
        <v>12676</v>
      </c>
      <c r="I386" s="95">
        <v>11</v>
      </c>
      <c r="J386" s="95">
        <v>11</v>
      </c>
      <c r="K386" s="95">
        <v>0</v>
      </c>
      <c r="L386" s="97">
        <v>34636.363636363632</v>
      </c>
      <c r="M386" s="102">
        <v>381</v>
      </c>
      <c r="N386" s="95">
        <v>0</v>
      </c>
      <c r="O386" s="95">
        <v>0</v>
      </c>
      <c r="P386" s="95">
        <v>0</v>
      </c>
      <c r="Q386" s="49" t="s">
        <v>10927</v>
      </c>
    </row>
    <row r="387" spans="1:17">
      <c r="A387" s="95">
        <v>759724529202804</v>
      </c>
      <c r="B387" s="49" t="s">
        <v>10621</v>
      </c>
      <c r="C387" s="49" t="s">
        <v>10928</v>
      </c>
      <c r="D387" s="49" t="s">
        <v>1112</v>
      </c>
      <c r="E387" s="49">
        <v>6285777110340</v>
      </c>
      <c r="F387" s="96">
        <v>45833</v>
      </c>
      <c r="G387" s="49" t="s">
        <v>46</v>
      </c>
      <c r="H387" s="49" t="s">
        <v>12676</v>
      </c>
      <c r="I387" s="95">
        <v>16</v>
      </c>
      <c r="J387" s="95">
        <v>16</v>
      </c>
      <c r="K387" s="95">
        <v>0</v>
      </c>
      <c r="L387" s="97">
        <v>19062.5</v>
      </c>
      <c r="M387" s="102">
        <v>305</v>
      </c>
      <c r="N387" s="95">
        <v>0</v>
      </c>
      <c r="O387" s="95">
        <v>0</v>
      </c>
      <c r="P387" s="95">
        <v>0</v>
      </c>
      <c r="Q387" s="49" t="s">
        <v>10929</v>
      </c>
    </row>
    <row r="388" spans="1:17">
      <c r="A388" s="95">
        <v>759724529202804</v>
      </c>
      <c r="B388" s="49" t="s">
        <v>10621</v>
      </c>
      <c r="C388" s="49" t="s">
        <v>10928</v>
      </c>
      <c r="D388" s="49" t="s">
        <v>1112</v>
      </c>
      <c r="E388" s="49">
        <v>6285777110340</v>
      </c>
      <c r="F388" s="96">
        <v>45833</v>
      </c>
      <c r="G388" s="49" t="s">
        <v>7917</v>
      </c>
      <c r="H388" s="49" t="s">
        <v>12676</v>
      </c>
      <c r="I388" s="95">
        <v>8</v>
      </c>
      <c r="J388" s="95">
        <v>8</v>
      </c>
      <c r="K388" s="95">
        <v>0</v>
      </c>
      <c r="L388" s="97">
        <v>29000</v>
      </c>
      <c r="M388" s="102">
        <v>232</v>
      </c>
      <c r="N388" s="95">
        <v>0</v>
      </c>
      <c r="O388" s="95">
        <v>0</v>
      </c>
      <c r="P388" s="95">
        <v>0</v>
      </c>
      <c r="Q388" s="49" t="s">
        <v>10929</v>
      </c>
    </row>
    <row r="389" spans="1:17">
      <c r="A389" s="95">
        <v>759724529202804</v>
      </c>
      <c r="B389" s="49" t="s">
        <v>10621</v>
      </c>
      <c r="C389" s="49" t="s">
        <v>10928</v>
      </c>
      <c r="D389" s="49" t="s">
        <v>1112</v>
      </c>
      <c r="E389" s="49">
        <v>6285777110340</v>
      </c>
      <c r="F389" s="96">
        <v>45833</v>
      </c>
      <c r="G389" s="49" t="s">
        <v>12678</v>
      </c>
      <c r="H389" s="49" t="s">
        <v>12676</v>
      </c>
      <c r="I389" s="95">
        <v>21</v>
      </c>
      <c r="J389" s="95">
        <v>22</v>
      </c>
      <c r="K389" s="95">
        <v>0</v>
      </c>
      <c r="L389" s="97">
        <v>14318.181818181818</v>
      </c>
      <c r="M389" s="102">
        <v>315</v>
      </c>
      <c r="N389" s="95">
        <v>0</v>
      </c>
      <c r="O389" s="95">
        <v>0</v>
      </c>
      <c r="P389" s="95">
        <v>0</v>
      </c>
      <c r="Q389" s="49" t="s">
        <v>10929</v>
      </c>
    </row>
    <row r="390" spans="1:17">
      <c r="A390" s="95">
        <v>759724529202804</v>
      </c>
      <c r="B390" s="49" t="s">
        <v>10621</v>
      </c>
      <c r="C390" s="49" t="s">
        <v>10928</v>
      </c>
      <c r="D390" s="49" t="s">
        <v>1112</v>
      </c>
      <c r="E390" s="49">
        <v>6285777110340</v>
      </c>
      <c r="F390" s="96">
        <v>45833</v>
      </c>
      <c r="G390" s="49" t="s">
        <v>12684</v>
      </c>
      <c r="H390" s="49" t="s">
        <v>12676</v>
      </c>
      <c r="I390" s="95">
        <v>26</v>
      </c>
      <c r="J390" s="95">
        <v>26</v>
      </c>
      <c r="K390" s="95">
        <v>0</v>
      </c>
      <c r="L390" s="97">
        <v>28730.76923076923</v>
      </c>
      <c r="M390" s="102">
        <v>747</v>
      </c>
      <c r="N390" s="95">
        <v>0</v>
      </c>
      <c r="O390" s="95">
        <v>0</v>
      </c>
      <c r="P390" s="95">
        <v>0</v>
      </c>
      <c r="Q390" s="49" t="s">
        <v>10929</v>
      </c>
    </row>
    <row r="391" spans="1:17">
      <c r="A391" s="95">
        <v>759724529202804</v>
      </c>
      <c r="B391" s="49" t="s">
        <v>10621</v>
      </c>
      <c r="C391" s="49" t="s">
        <v>10928</v>
      </c>
      <c r="D391" s="49" t="s">
        <v>1112</v>
      </c>
      <c r="E391" s="49">
        <v>6285777110340</v>
      </c>
      <c r="F391" s="96">
        <v>45833</v>
      </c>
      <c r="G391" s="49" t="s">
        <v>2132</v>
      </c>
      <c r="H391" s="49" t="s">
        <v>12676</v>
      </c>
      <c r="I391" s="95">
        <v>15</v>
      </c>
      <c r="J391" s="95">
        <v>17</v>
      </c>
      <c r="K391" s="95">
        <v>2</v>
      </c>
      <c r="L391" s="97">
        <v>19411.764705882353</v>
      </c>
      <c r="M391" s="102">
        <v>330</v>
      </c>
      <c r="N391" s="95">
        <v>0</v>
      </c>
      <c r="O391" s="95">
        <v>0</v>
      </c>
      <c r="P391" s="95">
        <v>0</v>
      </c>
      <c r="Q391" s="49" t="s">
        <v>10929</v>
      </c>
    </row>
    <row r="392" spans="1:17">
      <c r="A392" s="95">
        <v>759724529202804</v>
      </c>
      <c r="B392" s="49" t="s">
        <v>10621</v>
      </c>
      <c r="C392" s="49" t="s">
        <v>10928</v>
      </c>
      <c r="D392" s="49" t="s">
        <v>1112</v>
      </c>
      <c r="E392" s="49">
        <v>6285777110340</v>
      </c>
      <c r="F392" s="96">
        <v>45833</v>
      </c>
      <c r="G392" s="49" t="s">
        <v>12679</v>
      </c>
      <c r="H392" s="49" t="s">
        <v>12676</v>
      </c>
      <c r="I392" s="95">
        <v>4</v>
      </c>
      <c r="J392" s="95">
        <v>5</v>
      </c>
      <c r="K392" s="95">
        <v>0</v>
      </c>
      <c r="L392" s="97">
        <v>37200</v>
      </c>
      <c r="M392" s="102">
        <v>186</v>
      </c>
      <c r="N392" s="95">
        <v>0</v>
      </c>
      <c r="O392" s="95">
        <v>0</v>
      </c>
      <c r="P392" s="95">
        <v>0</v>
      </c>
      <c r="Q392" s="49" t="s">
        <v>10929</v>
      </c>
    </row>
    <row r="393" spans="1:17">
      <c r="A393" s="95">
        <v>759724529202804</v>
      </c>
      <c r="B393" s="49" t="s">
        <v>10621</v>
      </c>
      <c r="C393" s="49" t="s">
        <v>10928</v>
      </c>
      <c r="D393" s="49" t="s">
        <v>1112</v>
      </c>
      <c r="E393" s="49">
        <v>6285777110340</v>
      </c>
      <c r="F393" s="96">
        <v>45833</v>
      </c>
      <c r="G393" s="49" t="s">
        <v>12677</v>
      </c>
      <c r="H393" s="49" t="s">
        <v>12676</v>
      </c>
      <c r="I393" s="95">
        <v>24</v>
      </c>
      <c r="J393" s="95">
        <v>24</v>
      </c>
      <c r="K393" s="95">
        <v>0</v>
      </c>
      <c r="L393" s="97">
        <v>149791.66666666666</v>
      </c>
      <c r="M393" s="102">
        <v>3595</v>
      </c>
      <c r="N393" s="95">
        <v>0</v>
      </c>
      <c r="O393" s="95">
        <v>0</v>
      </c>
      <c r="P393" s="95">
        <v>0</v>
      </c>
      <c r="Q393" s="49" t="s">
        <v>10929</v>
      </c>
    </row>
    <row r="394" spans="1:17">
      <c r="A394" s="95">
        <v>759724529202804</v>
      </c>
      <c r="B394" s="49" t="s">
        <v>10621</v>
      </c>
      <c r="C394" s="49" t="s">
        <v>10925</v>
      </c>
      <c r="D394" s="49" t="s">
        <v>10926</v>
      </c>
      <c r="E394" s="49">
        <v>6281233038880</v>
      </c>
      <c r="F394" s="96">
        <v>45833</v>
      </c>
      <c r="G394" s="49" t="s">
        <v>12678</v>
      </c>
      <c r="H394" s="49" t="s">
        <v>12676</v>
      </c>
      <c r="I394" s="95">
        <v>41</v>
      </c>
      <c r="J394" s="95">
        <v>42</v>
      </c>
      <c r="K394" s="95">
        <v>1</v>
      </c>
      <c r="L394" s="97">
        <v>91523.809523809512</v>
      </c>
      <c r="M394" s="102">
        <v>3844</v>
      </c>
      <c r="N394" s="95">
        <v>0</v>
      </c>
      <c r="O394" s="95">
        <v>0</v>
      </c>
      <c r="P394" s="95">
        <v>0</v>
      </c>
      <c r="Q394" s="49" t="s">
        <v>10927</v>
      </c>
    </row>
    <row r="395" spans="1:17">
      <c r="A395" s="95">
        <v>759724529202804</v>
      </c>
      <c r="B395" s="49" t="s">
        <v>10621</v>
      </c>
      <c r="C395" s="49" t="s">
        <v>10925</v>
      </c>
      <c r="D395" s="49" t="s">
        <v>10926</v>
      </c>
      <c r="E395" s="49">
        <v>6281233038880</v>
      </c>
      <c r="F395" s="96">
        <v>45833</v>
      </c>
      <c r="G395" s="49" t="s">
        <v>12679</v>
      </c>
      <c r="H395" s="49" t="s">
        <v>12676</v>
      </c>
      <c r="I395" s="95">
        <v>11</v>
      </c>
      <c r="J395" s="95">
        <v>11</v>
      </c>
      <c r="K395" s="95">
        <v>0</v>
      </c>
      <c r="L395" s="97">
        <v>34636.363636363632</v>
      </c>
      <c r="M395" s="102">
        <v>381</v>
      </c>
      <c r="N395" s="95">
        <v>0</v>
      </c>
      <c r="O395" s="95">
        <v>0</v>
      </c>
      <c r="P395" s="95">
        <v>0</v>
      </c>
      <c r="Q395" s="49" t="s">
        <v>10927</v>
      </c>
    </row>
    <row r="396" spans="1:17">
      <c r="A396" s="95">
        <v>759724529202804</v>
      </c>
      <c r="B396" s="49" t="s">
        <v>10621</v>
      </c>
      <c r="C396" s="49" t="s">
        <v>10904</v>
      </c>
      <c r="D396" s="49" t="s">
        <v>10905</v>
      </c>
      <c r="E396" s="49">
        <v>6285711667433</v>
      </c>
      <c r="F396" s="96">
        <v>45832</v>
      </c>
      <c r="G396" s="49" t="s">
        <v>7917</v>
      </c>
      <c r="H396" s="49" t="s">
        <v>12676</v>
      </c>
      <c r="I396" s="95">
        <v>152</v>
      </c>
      <c r="J396" s="95">
        <v>166</v>
      </c>
      <c r="K396" s="95">
        <v>1</v>
      </c>
      <c r="L396" s="97">
        <v>9530.12048192771</v>
      </c>
      <c r="M396" s="102">
        <v>1582</v>
      </c>
      <c r="N396" s="95">
        <v>0</v>
      </c>
      <c r="O396" s="95">
        <v>0</v>
      </c>
      <c r="P396" s="95">
        <v>0</v>
      </c>
      <c r="Q396" s="49" t="s">
        <v>10906</v>
      </c>
    </row>
    <row r="397" spans="1:17">
      <c r="A397" s="95">
        <v>759724529202804</v>
      </c>
      <c r="B397" s="49" t="s">
        <v>10621</v>
      </c>
      <c r="C397" s="49" t="s">
        <v>10904</v>
      </c>
      <c r="D397" s="49" t="s">
        <v>10905</v>
      </c>
      <c r="E397" s="49">
        <v>6285711667433</v>
      </c>
      <c r="F397" s="96">
        <v>45832</v>
      </c>
      <c r="G397" s="49" t="s">
        <v>2132</v>
      </c>
      <c r="H397" s="49" t="s">
        <v>12676</v>
      </c>
      <c r="I397" s="95">
        <v>509</v>
      </c>
      <c r="J397" s="95">
        <v>595</v>
      </c>
      <c r="K397" s="95">
        <v>15</v>
      </c>
      <c r="L397" s="97">
        <v>12684.033613445377</v>
      </c>
      <c r="M397" s="102">
        <v>7547</v>
      </c>
      <c r="N397" s="95">
        <v>1</v>
      </c>
      <c r="O397" s="95">
        <v>0</v>
      </c>
      <c r="P397" s="95">
        <v>0</v>
      </c>
      <c r="Q397" s="49" t="s">
        <v>10906</v>
      </c>
    </row>
    <row r="398" spans="1:17">
      <c r="A398" s="95">
        <v>759724529202804</v>
      </c>
      <c r="B398" s="49" t="s">
        <v>10621</v>
      </c>
      <c r="C398" s="49" t="s">
        <v>10904</v>
      </c>
      <c r="D398" s="49" t="s">
        <v>10905</v>
      </c>
      <c r="E398" s="49">
        <v>6285711667433</v>
      </c>
      <c r="F398" s="96">
        <v>45832</v>
      </c>
      <c r="G398" s="49" t="s">
        <v>12677</v>
      </c>
      <c r="H398" s="49" t="s">
        <v>12676</v>
      </c>
      <c r="I398" s="95">
        <v>532</v>
      </c>
      <c r="J398" s="95">
        <v>646</v>
      </c>
      <c r="K398" s="95">
        <v>3</v>
      </c>
      <c r="L398" s="97">
        <v>8657.894736842105</v>
      </c>
      <c r="M398" s="102">
        <v>5593</v>
      </c>
      <c r="N398" s="95">
        <v>1</v>
      </c>
      <c r="O398" s="95">
        <v>0</v>
      </c>
      <c r="P398" s="95">
        <v>0</v>
      </c>
      <c r="Q398" s="49" t="s">
        <v>10906</v>
      </c>
    </row>
    <row r="399" spans="1:17">
      <c r="A399" s="95">
        <v>759724529202804</v>
      </c>
      <c r="B399" s="49" t="s">
        <v>10621</v>
      </c>
      <c r="C399" s="49" t="s">
        <v>10907</v>
      </c>
      <c r="D399" s="49" t="s">
        <v>943</v>
      </c>
      <c r="E399" s="49">
        <v>6285775986977</v>
      </c>
      <c r="F399" s="96">
        <v>45832</v>
      </c>
      <c r="G399" s="49" t="s">
        <v>2132</v>
      </c>
      <c r="H399" s="49" t="s">
        <v>12676</v>
      </c>
      <c r="I399" s="95">
        <v>232</v>
      </c>
      <c r="J399" s="95">
        <v>263</v>
      </c>
      <c r="K399" s="95">
        <v>3</v>
      </c>
      <c r="L399" s="97">
        <v>50460.076045627371</v>
      </c>
      <c r="M399" s="102">
        <v>13271</v>
      </c>
      <c r="N399" s="95">
        <v>0</v>
      </c>
      <c r="O399" s="95">
        <v>0</v>
      </c>
      <c r="P399" s="95">
        <v>0</v>
      </c>
      <c r="Q399" s="49" t="s">
        <v>10908</v>
      </c>
    </row>
    <row r="400" spans="1:17">
      <c r="A400" s="95">
        <v>759724529202804</v>
      </c>
      <c r="B400" s="49" t="s">
        <v>10621</v>
      </c>
      <c r="C400" s="49" t="s">
        <v>10907</v>
      </c>
      <c r="D400" s="49" t="s">
        <v>943</v>
      </c>
      <c r="E400" s="49">
        <v>6285775986977</v>
      </c>
      <c r="F400" s="96">
        <v>45832</v>
      </c>
      <c r="G400" s="49" t="s">
        <v>12677</v>
      </c>
      <c r="H400" s="49" t="s">
        <v>12676</v>
      </c>
      <c r="I400" s="95">
        <v>29</v>
      </c>
      <c r="J400" s="95">
        <v>30</v>
      </c>
      <c r="K400" s="95">
        <v>0</v>
      </c>
      <c r="L400" s="97">
        <v>30133.333333333332</v>
      </c>
      <c r="M400" s="102">
        <v>904</v>
      </c>
      <c r="N400" s="95">
        <v>0</v>
      </c>
      <c r="O400" s="95">
        <v>0</v>
      </c>
      <c r="P400" s="95">
        <v>0</v>
      </c>
      <c r="Q400" s="49" t="s">
        <v>10908</v>
      </c>
    </row>
    <row r="401" spans="1:17">
      <c r="A401" s="95">
        <v>759724529202804</v>
      </c>
      <c r="B401" s="49" t="s">
        <v>10621</v>
      </c>
      <c r="C401" s="49" t="s">
        <v>10909</v>
      </c>
      <c r="D401" s="49" t="s">
        <v>10910</v>
      </c>
      <c r="E401" s="49">
        <v>6281904501876</v>
      </c>
      <c r="F401" s="96">
        <v>45832</v>
      </c>
      <c r="G401" s="49" t="s">
        <v>12678</v>
      </c>
      <c r="H401" s="49" t="s">
        <v>12676</v>
      </c>
      <c r="I401" s="95">
        <v>1139</v>
      </c>
      <c r="J401" s="95">
        <v>1528</v>
      </c>
      <c r="K401" s="95">
        <v>12</v>
      </c>
      <c r="L401" s="97">
        <v>9584.4240837696325</v>
      </c>
      <c r="M401" s="102">
        <v>14645</v>
      </c>
      <c r="N401" s="95">
        <v>0</v>
      </c>
      <c r="O401" s="95">
        <v>1</v>
      </c>
      <c r="P401" s="95">
        <v>0</v>
      </c>
      <c r="Q401" s="49" t="s">
        <v>10911</v>
      </c>
    </row>
    <row r="402" spans="1:17">
      <c r="A402" s="95">
        <v>759724529202804</v>
      </c>
      <c r="B402" s="49" t="s">
        <v>10621</v>
      </c>
      <c r="C402" s="49" t="s">
        <v>10909</v>
      </c>
      <c r="D402" s="49" t="s">
        <v>10910</v>
      </c>
      <c r="E402" s="49">
        <v>6281904501876</v>
      </c>
      <c r="F402" s="96">
        <v>45832</v>
      </c>
      <c r="G402" s="49" t="s">
        <v>12679</v>
      </c>
      <c r="H402" s="49" t="s">
        <v>12676</v>
      </c>
      <c r="I402" s="95">
        <v>2</v>
      </c>
      <c r="J402" s="95">
        <v>2</v>
      </c>
      <c r="K402" s="95">
        <v>0</v>
      </c>
      <c r="L402" s="97">
        <v>9000</v>
      </c>
      <c r="M402" s="102">
        <v>18</v>
      </c>
      <c r="N402" s="95">
        <v>0</v>
      </c>
      <c r="O402" s="95">
        <v>0</v>
      </c>
      <c r="P402" s="95">
        <v>0</v>
      </c>
      <c r="Q402" s="49" t="s">
        <v>10911</v>
      </c>
    </row>
    <row r="403" spans="1:17">
      <c r="A403" s="95">
        <v>759724529202804</v>
      </c>
      <c r="B403" s="49" t="s">
        <v>10621</v>
      </c>
      <c r="C403" s="49" t="s">
        <v>10912</v>
      </c>
      <c r="D403" s="49" t="s">
        <v>1029</v>
      </c>
      <c r="E403" s="49">
        <v>6281253792753</v>
      </c>
      <c r="F403" s="96">
        <v>45832</v>
      </c>
      <c r="G403" s="49" t="s">
        <v>12680</v>
      </c>
      <c r="H403" s="49" t="s">
        <v>12676</v>
      </c>
      <c r="I403" s="95">
        <v>815</v>
      </c>
      <c r="J403" s="95">
        <v>1130</v>
      </c>
      <c r="K403" s="95">
        <v>18</v>
      </c>
      <c r="L403" s="97">
        <v>12889.380530973451</v>
      </c>
      <c r="M403" s="102">
        <v>14565</v>
      </c>
      <c r="N403" s="95">
        <v>1</v>
      </c>
      <c r="O403" s="95">
        <v>0</v>
      </c>
      <c r="P403" s="95">
        <v>0</v>
      </c>
      <c r="Q403" s="49" t="s">
        <v>10913</v>
      </c>
    </row>
    <row r="404" spans="1:17">
      <c r="A404" s="95">
        <v>759724529202804</v>
      </c>
      <c r="B404" s="49" t="s">
        <v>10621</v>
      </c>
      <c r="C404" s="49" t="s">
        <v>10922</v>
      </c>
      <c r="D404" s="49" t="s">
        <v>1021</v>
      </c>
      <c r="E404" s="49">
        <v>6282122880328</v>
      </c>
      <c r="F404" s="96">
        <v>45832</v>
      </c>
      <c r="G404" s="49" t="s">
        <v>12681</v>
      </c>
      <c r="H404" s="49" t="s">
        <v>12676</v>
      </c>
      <c r="I404" s="95">
        <v>5</v>
      </c>
      <c r="J404" s="95">
        <v>5</v>
      </c>
      <c r="K404" s="95">
        <v>0</v>
      </c>
      <c r="L404" s="97">
        <v>128199.99999999999</v>
      </c>
      <c r="M404" s="102">
        <v>641</v>
      </c>
      <c r="N404" s="95">
        <v>0</v>
      </c>
      <c r="O404" s="95">
        <v>0</v>
      </c>
      <c r="P404" s="95">
        <v>0</v>
      </c>
      <c r="Q404" s="49" t="s">
        <v>10914</v>
      </c>
    </row>
    <row r="405" spans="1:17">
      <c r="A405" s="95">
        <v>759724529202804</v>
      </c>
      <c r="B405" s="49" t="s">
        <v>10621</v>
      </c>
      <c r="C405" s="49" t="s">
        <v>10922</v>
      </c>
      <c r="D405" s="49" t="s">
        <v>1021</v>
      </c>
      <c r="E405" s="49">
        <v>6282122880328</v>
      </c>
      <c r="F405" s="96">
        <v>45832</v>
      </c>
      <c r="G405" s="49" t="s">
        <v>7917</v>
      </c>
      <c r="H405" s="49" t="s">
        <v>12676</v>
      </c>
      <c r="I405" s="95">
        <v>3</v>
      </c>
      <c r="J405" s="95">
        <v>3</v>
      </c>
      <c r="K405" s="95">
        <v>0</v>
      </c>
      <c r="L405" s="97">
        <v>16333.333333333332</v>
      </c>
      <c r="M405" s="102">
        <v>49</v>
      </c>
      <c r="N405" s="95">
        <v>0</v>
      </c>
      <c r="O405" s="95">
        <v>0</v>
      </c>
      <c r="P405" s="95">
        <v>0</v>
      </c>
      <c r="Q405" s="49" t="s">
        <v>10914</v>
      </c>
    </row>
    <row r="406" spans="1:17">
      <c r="A406" s="95">
        <v>759724529202804</v>
      </c>
      <c r="B406" s="49" t="s">
        <v>10621</v>
      </c>
      <c r="C406" s="49" t="s">
        <v>10922</v>
      </c>
      <c r="D406" s="49" t="s">
        <v>1021</v>
      </c>
      <c r="E406" s="49">
        <v>6282122880328</v>
      </c>
      <c r="F406" s="96">
        <v>45832</v>
      </c>
      <c r="G406" s="49" t="s">
        <v>1210</v>
      </c>
      <c r="H406" s="49" t="s">
        <v>12676</v>
      </c>
      <c r="I406" s="95">
        <v>4</v>
      </c>
      <c r="J406" s="95">
        <v>5</v>
      </c>
      <c r="K406" s="95">
        <v>0</v>
      </c>
      <c r="L406" s="97">
        <v>61600</v>
      </c>
      <c r="M406" s="102">
        <v>308</v>
      </c>
      <c r="N406" s="95">
        <v>0</v>
      </c>
      <c r="O406" s="95">
        <v>0</v>
      </c>
      <c r="P406" s="95">
        <v>0</v>
      </c>
      <c r="Q406" s="49" t="s">
        <v>10914</v>
      </c>
    </row>
    <row r="407" spans="1:17">
      <c r="A407" s="95">
        <v>759724529202804</v>
      </c>
      <c r="B407" s="49" t="s">
        <v>10621</v>
      </c>
      <c r="C407" s="49" t="s">
        <v>10922</v>
      </c>
      <c r="D407" s="49" t="s">
        <v>1021</v>
      </c>
      <c r="E407" s="49">
        <v>6282122880328</v>
      </c>
      <c r="F407" s="96">
        <v>45832</v>
      </c>
      <c r="G407" s="49" t="s">
        <v>12678</v>
      </c>
      <c r="H407" s="49" t="s">
        <v>12676</v>
      </c>
      <c r="I407" s="95">
        <v>13</v>
      </c>
      <c r="J407" s="95">
        <v>13</v>
      </c>
      <c r="K407" s="95">
        <v>1</v>
      </c>
      <c r="L407" s="97">
        <v>99769.23076923078</v>
      </c>
      <c r="M407" s="102">
        <v>1297</v>
      </c>
      <c r="N407" s="95">
        <v>0</v>
      </c>
      <c r="O407" s="95">
        <v>0</v>
      </c>
      <c r="P407" s="95">
        <v>0</v>
      </c>
      <c r="Q407" s="49" t="s">
        <v>10914</v>
      </c>
    </row>
    <row r="408" spans="1:17">
      <c r="A408" s="95">
        <v>759724529202804</v>
      </c>
      <c r="B408" s="49" t="s">
        <v>10621</v>
      </c>
      <c r="C408" s="49" t="s">
        <v>10922</v>
      </c>
      <c r="D408" s="49" t="s">
        <v>1021</v>
      </c>
      <c r="E408" s="49">
        <v>6282122880328</v>
      </c>
      <c r="F408" s="96">
        <v>45832</v>
      </c>
      <c r="G408" s="49" t="s">
        <v>12682</v>
      </c>
      <c r="H408" s="49" t="s">
        <v>12676</v>
      </c>
      <c r="I408" s="95">
        <v>2</v>
      </c>
      <c r="J408" s="95">
        <v>3</v>
      </c>
      <c r="K408" s="95">
        <v>2</v>
      </c>
      <c r="L408" s="97">
        <v>12000</v>
      </c>
      <c r="M408" s="102">
        <v>36</v>
      </c>
      <c r="N408" s="95">
        <v>0</v>
      </c>
      <c r="O408" s="95">
        <v>0</v>
      </c>
      <c r="P408" s="95">
        <v>0</v>
      </c>
      <c r="Q408" s="49" t="s">
        <v>10914</v>
      </c>
    </row>
    <row r="409" spans="1:17">
      <c r="A409" s="95">
        <v>759724529202804</v>
      </c>
      <c r="B409" s="49" t="s">
        <v>10621</v>
      </c>
      <c r="C409" s="49" t="s">
        <v>10922</v>
      </c>
      <c r="D409" s="49" t="s">
        <v>1021</v>
      </c>
      <c r="E409" s="49">
        <v>6282122880328</v>
      </c>
      <c r="F409" s="96">
        <v>45832</v>
      </c>
      <c r="G409" s="49" t="s">
        <v>12683</v>
      </c>
      <c r="H409" s="49" t="s">
        <v>12676</v>
      </c>
      <c r="I409" s="95">
        <v>7</v>
      </c>
      <c r="J409" s="95">
        <v>12</v>
      </c>
      <c r="K409" s="95">
        <v>0</v>
      </c>
      <c r="L409" s="97">
        <v>25666.666666666668</v>
      </c>
      <c r="M409" s="102">
        <v>308</v>
      </c>
      <c r="N409" s="95">
        <v>0</v>
      </c>
      <c r="O409" s="95">
        <v>0</v>
      </c>
      <c r="P409" s="95">
        <v>0</v>
      </c>
      <c r="Q409" s="49" t="s">
        <v>10914</v>
      </c>
    </row>
    <row r="410" spans="1:17">
      <c r="A410" s="95">
        <v>759724529202804</v>
      </c>
      <c r="B410" s="49" t="s">
        <v>10621</v>
      </c>
      <c r="C410" s="49" t="s">
        <v>10922</v>
      </c>
      <c r="D410" s="49" t="s">
        <v>1021</v>
      </c>
      <c r="E410" s="49">
        <v>6282122880328</v>
      </c>
      <c r="F410" s="96">
        <v>45832</v>
      </c>
      <c r="G410" s="49" t="s">
        <v>12684</v>
      </c>
      <c r="H410" s="49" t="s">
        <v>12676</v>
      </c>
      <c r="I410" s="95">
        <v>21</v>
      </c>
      <c r="J410" s="95">
        <v>24</v>
      </c>
      <c r="K410" s="95">
        <v>1</v>
      </c>
      <c r="L410" s="97">
        <v>77500</v>
      </c>
      <c r="M410" s="102">
        <v>1860</v>
      </c>
      <c r="N410" s="95">
        <v>0</v>
      </c>
      <c r="O410" s="95">
        <v>0</v>
      </c>
      <c r="P410" s="95">
        <v>0</v>
      </c>
      <c r="Q410" s="49" t="s">
        <v>10914</v>
      </c>
    </row>
    <row r="411" spans="1:17">
      <c r="A411" s="95">
        <v>759724529202804</v>
      </c>
      <c r="B411" s="49" t="s">
        <v>10621</v>
      </c>
      <c r="C411" s="49" t="s">
        <v>10922</v>
      </c>
      <c r="D411" s="49" t="s">
        <v>1021</v>
      </c>
      <c r="E411" s="49">
        <v>6282122880328</v>
      </c>
      <c r="F411" s="96">
        <v>45832</v>
      </c>
      <c r="G411" s="49" t="s">
        <v>12680</v>
      </c>
      <c r="H411" s="49" t="s">
        <v>12676</v>
      </c>
      <c r="I411" s="95">
        <v>4</v>
      </c>
      <c r="J411" s="95">
        <v>4</v>
      </c>
      <c r="K411" s="95">
        <v>0</v>
      </c>
      <c r="L411" s="97">
        <v>20000</v>
      </c>
      <c r="M411" s="102">
        <v>80</v>
      </c>
      <c r="N411" s="95">
        <v>0</v>
      </c>
      <c r="O411" s="95">
        <v>0</v>
      </c>
      <c r="P411" s="95">
        <v>0</v>
      </c>
      <c r="Q411" s="49" t="s">
        <v>10914</v>
      </c>
    </row>
    <row r="412" spans="1:17">
      <c r="A412" s="95">
        <v>759724529202804</v>
      </c>
      <c r="B412" s="49" t="s">
        <v>10621</v>
      </c>
      <c r="C412" s="49" t="s">
        <v>10922</v>
      </c>
      <c r="D412" s="49" t="s">
        <v>1021</v>
      </c>
      <c r="E412" s="49">
        <v>6282122880328</v>
      </c>
      <c r="F412" s="96">
        <v>45832</v>
      </c>
      <c r="G412" s="49" t="s">
        <v>12685</v>
      </c>
      <c r="H412" s="49" t="s">
        <v>12676</v>
      </c>
      <c r="I412" s="95">
        <v>1</v>
      </c>
      <c r="J412" s="95">
        <v>1</v>
      </c>
      <c r="K412" s="95">
        <v>0</v>
      </c>
      <c r="L412" s="97">
        <v>25000</v>
      </c>
      <c r="M412" s="102">
        <v>25</v>
      </c>
      <c r="N412" s="95">
        <v>0</v>
      </c>
      <c r="O412" s="95">
        <v>0</v>
      </c>
      <c r="P412" s="95">
        <v>0</v>
      </c>
      <c r="Q412" s="49" t="s">
        <v>10914</v>
      </c>
    </row>
    <row r="413" spans="1:17">
      <c r="A413" s="95">
        <v>759724529202804</v>
      </c>
      <c r="B413" s="49" t="s">
        <v>10621</v>
      </c>
      <c r="C413" s="49" t="s">
        <v>10922</v>
      </c>
      <c r="D413" s="49" t="s">
        <v>1021</v>
      </c>
      <c r="E413" s="49">
        <v>6282122880328</v>
      </c>
      <c r="F413" s="96">
        <v>45832</v>
      </c>
      <c r="G413" s="49" t="s">
        <v>12686</v>
      </c>
      <c r="H413" s="49" t="s">
        <v>12676</v>
      </c>
      <c r="I413" s="95">
        <v>2</v>
      </c>
      <c r="J413" s="95">
        <v>2</v>
      </c>
      <c r="K413" s="95">
        <v>0</v>
      </c>
      <c r="L413" s="97">
        <v>191000</v>
      </c>
      <c r="M413" s="102">
        <v>382</v>
      </c>
      <c r="N413" s="95">
        <v>0</v>
      </c>
      <c r="O413" s="95">
        <v>0</v>
      </c>
      <c r="P413" s="95">
        <v>0</v>
      </c>
      <c r="Q413" s="49" t="s">
        <v>10914</v>
      </c>
    </row>
    <row r="414" spans="1:17">
      <c r="A414" s="95">
        <v>759724529202804</v>
      </c>
      <c r="B414" s="49" t="s">
        <v>10621</v>
      </c>
      <c r="C414" s="49" t="s">
        <v>10922</v>
      </c>
      <c r="D414" s="49" t="s">
        <v>1021</v>
      </c>
      <c r="E414" s="49">
        <v>6282122880328</v>
      </c>
      <c r="F414" s="96">
        <v>45832</v>
      </c>
      <c r="G414" s="49" t="s">
        <v>2132</v>
      </c>
      <c r="H414" s="49" t="s">
        <v>12676</v>
      </c>
      <c r="I414" s="95">
        <v>9</v>
      </c>
      <c r="J414" s="95">
        <v>10</v>
      </c>
      <c r="K414" s="95">
        <v>1</v>
      </c>
      <c r="L414" s="97">
        <v>88400</v>
      </c>
      <c r="M414" s="102">
        <v>884</v>
      </c>
      <c r="N414" s="95">
        <v>0</v>
      </c>
      <c r="O414" s="95">
        <v>0</v>
      </c>
      <c r="P414" s="95">
        <v>0</v>
      </c>
      <c r="Q414" s="49" t="s">
        <v>10914</v>
      </c>
    </row>
    <row r="415" spans="1:17">
      <c r="A415" s="95">
        <v>759724529202804</v>
      </c>
      <c r="B415" s="49" t="s">
        <v>10621</v>
      </c>
      <c r="C415" s="49" t="s">
        <v>10922</v>
      </c>
      <c r="D415" s="49" t="s">
        <v>1021</v>
      </c>
      <c r="E415" s="49">
        <v>6282122880328</v>
      </c>
      <c r="F415" s="96">
        <v>45832</v>
      </c>
      <c r="G415" s="49" t="s">
        <v>2718</v>
      </c>
      <c r="H415" s="49" t="s">
        <v>12676</v>
      </c>
      <c r="I415" s="95">
        <v>7</v>
      </c>
      <c r="J415" s="95">
        <v>7</v>
      </c>
      <c r="K415" s="95">
        <v>0</v>
      </c>
      <c r="L415" s="97">
        <v>25714.285714285714</v>
      </c>
      <c r="M415" s="102">
        <v>180</v>
      </c>
      <c r="N415" s="95">
        <v>0</v>
      </c>
      <c r="O415" s="95">
        <v>0</v>
      </c>
      <c r="P415" s="95">
        <v>0</v>
      </c>
      <c r="Q415" s="49" t="s">
        <v>10914</v>
      </c>
    </row>
    <row r="416" spans="1:17">
      <c r="A416" s="95">
        <v>759724529202804</v>
      </c>
      <c r="B416" s="49" t="s">
        <v>10621</v>
      </c>
      <c r="C416" s="49" t="s">
        <v>10922</v>
      </c>
      <c r="D416" s="49" t="s">
        <v>1021</v>
      </c>
      <c r="E416" s="49">
        <v>6282122880328</v>
      </c>
      <c r="F416" s="96">
        <v>45832</v>
      </c>
      <c r="G416" s="49" t="s">
        <v>2981</v>
      </c>
      <c r="H416" s="49" t="s">
        <v>12676</v>
      </c>
      <c r="I416" s="95">
        <v>10</v>
      </c>
      <c r="J416" s="95">
        <v>11</v>
      </c>
      <c r="K416" s="95">
        <v>0</v>
      </c>
      <c r="L416" s="97">
        <v>30545.454545454548</v>
      </c>
      <c r="M416" s="102">
        <v>336</v>
      </c>
      <c r="N416" s="95">
        <v>0</v>
      </c>
      <c r="O416" s="95">
        <v>0</v>
      </c>
      <c r="P416" s="95">
        <v>0</v>
      </c>
      <c r="Q416" s="49" t="s">
        <v>10914</v>
      </c>
    </row>
    <row r="417" spans="1:17">
      <c r="A417" s="95">
        <v>759724529202804</v>
      </c>
      <c r="B417" s="49" t="s">
        <v>10621</v>
      </c>
      <c r="C417" s="49" t="s">
        <v>10922</v>
      </c>
      <c r="D417" s="49" t="s">
        <v>1021</v>
      </c>
      <c r="E417" s="49">
        <v>6282122880328</v>
      </c>
      <c r="F417" s="96">
        <v>45832</v>
      </c>
      <c r="G417" s="49" t="s">
        <v>12687</v>
      </c>
      <c r="H417" s="49" t="s">
        <v>12676</v>
      </c>
      <c r="I417" s="95">
        <v>2</v>
      </c>
      <c r="J417" s="95">
        <v>2</v>
      </c>
      <c r="K417" s="95">
        <v>0</v>
      </c>
      <c r="L417" s="97">
        <v>4000</v>
      </c>
      <c r="M417" s="102">
        <v>8</v>
      </c>
      <c r="N417" s="95">
        <v>0</v>
      </c>
      <c r="O417" s="95">
        <v>0</v>
      </c>
      <c r="P417" s="95">
        <v>0</v>
      </c>
      <c r="Q417" s="49" t="s">
        <v>10914</v>
      </c>
    </row>
    <row r="418" spans="1:17">
      <c r="A418" s="95">
        <v>759724529202804</v>
      </c>
      <c r="B418" s="49" t="s">
        <v>10621</v>
      </c>
      <c r="C418" s="49" t="s">
        <v>10922</v>
      </c>
      <c r="D418" s="49" t="s">
        <v>1021</v>
      </c>
      <c r="E418" s="49">
        <v>6282122880328</v>
      </c>
      <c r="F418" s="96">
        <v>45832</v>
      </c>
      <c r="G418" s="49" t="s">
        <v>12688</v>
      </c>
      <c r="H418" s="49" t="s">
        <v>12676</v>
      </c>
      <c r="I418" s="95">
        <v>1</v>
      </c>
      <c r="J418" s="95">
        <v>1</v>
      </c>
      <c r="K418" s="95">
        <v>2</v>
      </c>
      <c r="L418" s="97">
        <v>68000</v>
      </c>
      <c r="M418" s="102">
        <v>68</v>
      </c>
      <c r="N418" s="95">
        <v>0</v>
      </c>
      <c r="O418" s="95">
        <v>0</v>
      </c>
      <c r="P418" s="95">
        <v>0</v>
      </c>
      <c r="Q418" s="49" t="s">
        <v>10914</v>
      </c>
    </row>
    <row r="419" spans="1:17">
      <c r="A419" s="95">
        <v>759724529202804</v>
      </c>
      <c r="B419" s="49" t="s">
        <v>10621</v>
      </c>
      <c r="C419" s="49" t="s">
        <v>10922</v>
      </c>
      <c r="D419" s="49" t="s">
        <v>1021</v>
      </c>
      <c r="E419" s="49">
        <v>6282122880328</v>
      </c>
      <c r="F419" s="96">
        <v>45832</v>
      </c>
      <c r="G419" s="49" t="s">
        <v>12689</v>
      </c>
      <c r="H419" s="49" t="s">
        <v>12676</v>
      </c>
      <c r="I419" s="95">
        <v>2</v>
      </c>
      <c r="J419" s="95">
        <v>2</v>
      </c>
      <c r="K419" s="95">
        <v>0</v>
      </c>
      <c r="L419" s="97">
        <v>5000</v>
      </c>
      <c r="M419" s="102">
        <v>10</v>
      </c>
      <c r="N419" s="95">
        <v>0</v>
      </c>
      <c r="O419" s="95">
        <v>0</v>
      </c>
      <c r="P419" s="95">
        <v>0</v>
      </c>
      <c r="Q419" s="49" t="s">
        <v>10914</v>
      </c>
    </row>
    <row r="420" spans="1:17">
      <c r="A420" s="95">
        <v>759724529202804</v>
      </c>
      <c r="B420" s="49" t="s">
        <v>10621</v>
      </c>
      <c r="C420" s="49" t="s">
        <v>10922</v>
      </c>
      <c r="D420" s="49" t="s">
        <v>1021</v>
      </c>
      <c r="E420" s="49">
        <v>6282122880328</v>
      </c>
      <c r="F420" s="96">
        <v>45832</v>
      </c>
      <c r="G420" s="49" t="s">
        <v>12690</v>
      </c>
      <c r="H420" s="49" t="s">
        <v>12676</v>
      </c>
      <c r="I420" s="95">
        <v>4</v>
      </c>
      <c r="J420" s="95">
        <v>5</v>
      </c>
      <c r="K420" s="95">
        <v>0</v>
      </c>
      <c r="L420" s="97">
        <v>79400</v>
      </c>
      <c r="M420" s="102">
        <v>397</v>
      </c>
      <c r="N420" s="95">
        <v>0</v>
      </c>
      <c r="O420" s="95">
        <v>0</v>
      </c>
      <c r="P420" s="95">
        <v>0</v>
      </c>
      <c r="Q420" s="49" t="s">
        <v>10914</v>
      </c>
    </row>
    <row r="421" spans="1:17">
      <c r="A421" s="95">
        <v>759724529202804</v>
      </c>
      <c r="B421" s="49" t="s">
        <v>10621</v>
      </c>
      <c r="C421" s="49" t="s">
        <v>10922</v>
      </c>
      <c r="D421" s="49" t="s">
        <v>1021</v>
      </c>
      <c r="E421" s="49">
        <v>6282122880328</v>
      </c>
      <c r="F421" s="96">
        <v>45832</v>
      </c>
      <c r="G421" s="49" t="s">
        <v>12691</v>
      </c>
      <c r="H421" s="49" t="s">
        <v>12676</v>
      </c>
      <c r="I421" s="95">
        <v>7</v>
      </c>
      <c r="J421" s="95">
        <v>7</v>
      </c>
      <c r="K421" s="95">
        <v>1</v>
      </c>
      <c r="L421" s="97">
        <v>65714.28571428571</v>
      </c>
      <c r="M421" s="102">
        <v>460</v>
      </c>
      <c r="N421" s="95">
        <v>0</v>
      </c>
      <c r="O421" s="95">
        <v>0</v>
      </c>
      <c r="P421" s="95">
        <v>0</v>
      </c>
      <c r="Q421" s="49" t="s">
        <v>10914</v>
      </c>
    </row>
    <row r="422" spans="1:17">
      <c r="A422" s="95">
        <v>759724529202804</v>
      </c>
      <c r="B422" s="49" t="s">
        <v>10621</v>
      </c>
      <c r="C422" s="49" t="s">
        <v>10922</v>
      </c>
      <c r="D422" s="49" t="s">
        <v>1021</v>
      </c>
      <c r="E422" s="49">
        <v>6282122880328</v>
      </c>
      <c r="F422" s="96">
        <v>45832</v>
      </c>
      <c r="G422" s="49" t="s">
        <v>12692</v>
      </c>
      <c r="H422" s="49" t="s">
        <v>12676</v>
      </c>
      <c r="I422" s="95">
        <v>3</v>
      </c>
      <c r="J422" s="95">
        <v>3</v>
      </c>
      <c r="K422" s="95">
        <v>0</v>
      </c>
      <c r="L422" s="97">
        <v>36666.666666666664</v>
      </c>
      <c r="M422" s="102">
        <v>110</v>
      </c>
      <c r="N422" s="95">
        <v>0</v>
      </c>
      <c r="O422" s="95">
        <v>0</v>
      </c>
      <c r="P422" s="95">
        <v>0</v>
      </c>
      <c r="Q422" s="49" t="s">
        <v>10914</v>
      </c>
    </row>
    <row r="423" spans="1:17">
      <c r="A423" s="95">
        <v>759724529202804</v>
      </c>
      <c r="B423" s="49" t="s">
        <v>10621</v>
      </c>
      <c r="C423" s="49" t="s">
        <v>10922</v>
      </c>
      <c r="D423" s="49" t="s">
        <v>1021</v>
      </c>
      <c r="E423" s="49">
        <v>6282122880328</v>
      </c>
      <c r="F423" s="96">
        <v>45832</v>
      </c>
      <c r="G423" s="49" t="s">
        <v>1473</v>
      </c>
      <c r="H423" s="49" t="s">
        <v>12676</v>
      </c>
      <c r="I423" s="95">
        <v>11</v>
      </c>
      <c r="J423" s="95">
        <v>12</v>
      </c>
      <c r="K423" s="95">
        <v>0</v>
      </c>
      <c r="L423" s="97">
        <v>25916.666666666668</v>
      </c>
      <c r="M423" s="102">
        <v>311</v>
      </c>
      <c r="N423" s="95">
        <v>0</v>
      </c>
      <c r="O423" s="95">
        <v>0</v>
      </c>
      <c r="P423" s="95">
        <v>0</v>
      </c>
      <c r="Q423" s="49" t="s">
        <v>10914</v>
      </c>
    </row>
    <row r="424" spans="1:17">
      <c r="A424" s="95">
        <v>759724529202804</v>
      </c>
      <c r="B424" s="49" t="s">
        <v>10621</v>
      </c>
      <c r="C424" s="49" t="s">
        <v>10922</v>
      </c>
      <c r="D424" s="49" t="s">
        <v>1021</v>
      </c>
      <c r="E424" s="49">
        <v>6282122880328</v>
      </c>
      <c r="F424" s="96">
        <v>45832</v>
      </c>
      <c r="G424" s="49" t="s">
        <v>12693</v>
      </c>
      <c r="H424" s="49" t="s">
        <v>12676</v>
      </c>
      <c r="I424" s="95">
        <v>4</v>
      </c>
      <c r="J424" s="95">
        <v>4</v>
      </c>
      <c r="K424" s="95">
        <v>1</v>
      </c>
      <c r="L424" s="97">
        <v>40250</v>
      </c>
      <c r="M424" s="102">
        <v>161</v>
      </c>
      <c r="N424" s="95">
        <v>0</v>
      </c>
      <c r="O424" s="95">
        <v>0</v>
      </c>
      <c r="P424" s="95">
        <v>0</v>
      </c>
      <c r="Q424" s="49" t="s">
        <v>10914</v>
      </c>
    </row>
    <row r="425" spans="1:17">
      <c r="A425" s="95">
        <v>759724529202804</v>
      </c>
      <c r="B425" s="49" t="s">
        <v>10621</v>
      </c>
      <c r="C425" s="49" t="s">
        <v>10922</v>
      </c>
      <c r="D425" s="49" t="s">
        <v>1021</v>
      </c>
      <c r="E425" s="49">
        <v>6282122880328</v>
      </c>
      <c r="F425" s="96">
        <v>45832</v>
      </c>
      <c r="G425" s="49" t="s">
        <v>12694</v>
      </c>
      <c r="H425" s="49" t="s">
        <v>12676</v>
      </c>
      <c r="I425" s="95">
        <v>4</v>
      </c>
      <c r="J425" s="95">
        <v>5</v>
      </c>
      <c r="K425" s="95">
        <v>0</v>
      </c>
      <c r="L425" s="97">
        <v>107400</v>
      </c>
      <c r="M425" s="102">
        <v>537</v>
      </c>
      <c r="N425" s="95">
        <v>0</v>
      </c>
      <c r="O425" s="95">
        <v>0</v>
      </c>
      <c r="P425" s="95">
        <v>0</v>
      </c>
      <c r="Q425" s="49" t="s">
        <v>10914</v>
      </c>
    </row>
    <row r="426" spans="1:17">
      <c r="A426" s="95">
        <v>759724529202804</v>
      </c>
      <c r="B426" s="49" t="s">
        <v>10621</v>
      </c>
      <c r="C426" s="49" t="s">
        <v>10922</v>
      </c>
      <c r="D426" s="49" t="s">
        <v>1021</v>
      </c>
      <c r="E426" s="49">
        <v>6282122880328</v>
      </c>
      <c r="F426" s="96">
        <v>45832</v>
      </c>
      <c r="G426" s="49" t="s">
        <v>12695</v>
      </c>
      <c r="H426" s="49" t="s">
        <v>12676</v>
      </c>
      <c r="I426" s="95">
        <v>21</v>
      </c>
      <c r="J426" s="95">
        <v>22</v>
      </c>
      <c r="K426" s="95">
        <v>0</v>
      </c>
      <c r="L426" s="97">
        <v>43590.909090909096</v>
      </c>
      <c r="M426" s="102">
        <v>959</v>
      </c>
      <c r="N426" s="95">
        <v>0</v>
      </c>
      <c r="O426" s="95">
        <v>0</v>
      </c>
      <c r="P426" s="95">
        <v>0</v>
      </c>
      <c r="Q426" s="49" t="s">
        <v>10914</v>
      </c>
    </row>
    <row r="427" spans="1:17">
      <c r="A427" s="95">
        <v>759724529202804</v>
      </c>
      <c r="B427" s="49" t="s">
        <v>10621</v>
      </c>
      <c r="C427" s="49" t="s">
        <v>10922</v>
      </c>
      <c r="D427" s="49" t="s">
        <v>1021</v>
      </c>
      <c r="E427" s="49">
        <v>6282122880328</v>
      </c>
      <c r="F427" s="96">
        <v>45832</v>
      </c>
      <c r="G427" s="49" t="s">
        <v>12696</v>
      </c>
      <c r="H427" s="49" t="s">
        <v>12676</v>
      </c>
      <c r="I427" s="95">
        <v>9</v>
      </c>
      <c r="J427" s="95">
        <v>9</v>
      </c>
      <c r="K427" s="95">
        <v>2</v>
      </c>
      <c r="L427" s="97">
        <v>120000</v>
      </c>
      <c r="M427" s="102">
        <v>1080</v>
      </c>
      <c r="N427" s="95">
        <v>1</v>
      </c>
      <c r="O427" s="95">
        <v>0</v>
      </c>
      <c r="P427" s="95">
        <v>0</v>
      </c>
      <c r="Q427" s="49" t="s">
        <v>10914</v>
      </c>
    </row>
    <row r="428" spans="1:17">
      <c r="A428" s="95">
        <v>759724529202804</v>
      </c>
      <c r="B428" s="49" t="s">
        <v>10621</v>
      </c>
      <c r="C428" s="49" t="s">
        <v>10922</v>
      </c>
      <c r="D428" s="49" t="s">
        <v>1021</v>
      </c>
      <c r="E428" s="49">
        <v>6282122880328</v>
      </c>
      <c r="F428" s="96">
        <v>45832</v>
      </c>
      <c r="G428" s="49" t="s">
        <v>12697</v>
      </c>
      <c r="H428" s="49" t="s">
        <v>12676</v>
      </c>
      <c r="I428" s="95">
        <v>6</v>
      </c>
      <c r="J428" s="95">
        <v>6</v>
      </c>
      <c r="K428" s="95">
        <v>0</v>
      </c>
      <c r="L428" s="97">
        <v>13500</v>
      </c>
      <c r="M428" s="102">
        <v>81</v>
      </c>
      <c r="N428" s="95">
        <v>0</v>
      </c>
      <c r="O428" s="95">
        <v>0</v>
      </c>
      <c r="P428" s="95">
        <v>0</v>
      </c>
      <c r="Q428" s="49" t="s">
        <v>10914</v>
      </c>
    </row>
    <row r="429" spans="1:17">
      <c r="A429" s="95">
        <v>759724529202804</v>
      </c>
      <c r="B429" s="49" t="s">
        <v>10621</v>
      </c>
      <c r="C429" s="49" t="s">
        <v>10863</v>
      </c>
      <c r="D429" s="49" t="s">
        <v>10864</v>
      </c>
      <c r="E429" s="49">
        <v>6285180805171</v>
      </c>
      <c r="F429" s="96">
        <v>45832</v>
      </c>
      <c r="G429" s="49" t="s">
        <v>12694</v>
      </c>
      <c r="H429" s="49" t="s">
        <v>12676</v>
      </c>
      <c r="I429" s="95">
        <v>1262</v>
      </c>
      <c r="J429" s="95">
        <v>1457</v>
      </c>
      <c r="K429" s="95">
        <v>27</v>
      </c>
      <c r="L429" s="97">
        <v>10818.11942347289</v>
      </c>
      <c r="M429" s="102">
        <v>15762</v>
      </c>
      <c r="N429" s="95">
        <v>1</v>
      </c>
      <c r="O429" s="95">
        <v>425</v>
      </c>
      <c r="P429" s="95">
        <v>0</v>
      </c>
      <c r="Q429" s="49" t="s">
        <v>10865</v>
      </c>
    </row>
    <row r="430" spans="1:17">
      <c r="A430" s="95">
        <v>759724529202804</v>
      </c>
      <c r="B430" s="49" t="s">
        <v>10621</v>
      </c>
      <c r="C430" s="49" t="s">
        <v>10850</v>
      </c>
      <c r="D430" s="49" t="s">
        <v>10851</v>
      </c>
      <c r="E430" s="49">
        <v>6282125465047</v>
      </c>
      <c r="F430" s="96">
        <v>45832</v>
      </c>
      <c r="G430" s="49" t="s">
        <v>7917</v>
      </c>
      <c r="H430" s="49" t="s">
        <v>12676</v>
      </c>
      <c r="I430" s="95">
        <v>51</v>
      </c>
      <c r="J430" s="95">
        <v>53</v>
      </c>
      <c r="K430" s="95">
        <v>1</v>
      </c>
      <c r="L430" s="97">
        <v>22132.075471698114</v>
      </c>
      <c r="M430" s="102">
        <v>1173</v>
      </c>
      <c r="N430" s="95">
        <v>0</v>
      </c>
      <c r="O430" s="95">
        <v>18</v>
      </c>
      <c r="P430" s="95">
        <v>0</v>
      </c>
      <c r="Q430" s="49" t="s">
        <v>10852</v>
      </c>
    </row>
    <row r="431" spans="1:17">
      <c r="A431" s="95">
        <v>759724529202804</v>
      </c>
      <c r="B431" s="49" t="s">
        <v>10621</v>
      </c>
      <c r="C431" s="49" t="s">
        <v>10850</v>
      </c>
      <c r="D431" s="49" t="s">
        <v>10851</v>
      </c>
      <c r="E431" s="49">
        <v>6282125465047</v>
      </c>
      <c r="F431" s="96">
        <v>45832</v>
      </c>
      <c r="G431" s="49" t="s">
        <v>2132</v>
      </c>
      <c r="H431" s="49" t="s">
        <v>12676</v>
      </c>
      <c r="I431" s="95">
        <v>351</v>
      </c>
      <c r="J431" s="95">
        <v>393</v>
      </c>
      <c r="K431" s="95">
        <v>20</v>
      </c>
      <c r="L431" s="97">
        <v>17575.063613231552</v>
      </c>
      <c r="M431" s="102">
        <v>6907</v>
      </c>
      <c r="N431" s="95">
        <v>4</v>
      </c>
      <c r="O431" s="95">
        <v>131</v>
      </c>
      <c r="P431" s="95">
        <v>1</v>
      </c>
      <c r="Q431" s="49" t="s">
        <v>10852</v>
      </c>
    </row>
    <row r="432" spans="1:17">
      <c r="A432" s="95">
        <v>759724529202804</v>
      </c>
      <c r="B432" s="49" t="s">
        <v>10621</v>
      </c>
      <c r="C432" s="49" t="s">
        <v>10850</v>
      </c>
      <c r="D432" s="49" t="s">
        <v>10851</v>
      </c>
      <c r="E432" s="49">
        <v>6282125465047</v>
      </c>
      <c r="F432" s="96">
        <v>45832</v>
      </c>
      <c r="G432" s="49" t="s">
        <v>12677</v>
      </c>
      <c r="H432" s="49" t="s">
        <v>12676</v>
      </c>
      <c r="I432" s="95">
        <v>404</v>
      </c>
      <c r="J432" s="95">
        <v>456</v>
      </c>
      <c r="K432" s="95">
        <v>25</v>
      </c>
      <c r="L432" s="97">
        <v>17953.94736842105</v>
      </c>
      <c r="M432" s="102">
        <v>8187</v>
      </c>
      <c r="N432" s="95">
        <v>5</v>
      </c>
      <c r="O432" s="95">
        <v>147</v>
      </c>
      <c r="P432" s="95">
        <v>1</v>
      </c>
      <c r="Q432" s="49" t="s">
        <v>10852</v>
      </c>
    </row>
    <row r="433" spans="1:17">
      <c r="A433" s="95">
        <v>759724529202804</v>
      </c>
      <c r="B433" s="49" t="s">
        <v>10621</v>
      </c>
      <c r="C433" s="49" t="s">
        <v>10890</v>
      </c>
      <c r="D433" s="49" t="s">
        <v>450</v>
      </c>
      <c r="E433" s="49">
        <v>62895401448273</v>
      </c>
      <c r="F433" s="96">
        <v>45832</v>
      </c>
      <c r="G433" s="49" t="s">
        <v>46</v>
      </c>
      <c r="H433" s="49" t="s">
        <v>12676</v>
      </c>
      <c r="I433" s="95">
        <v>549</v>
      </c>
      <c r="J433" s="95">
        <v>756</v>
      </c>
      <c r="K433" s="95">
        <v>24</v>
      </c>
      <c r="L433" s="97">
        <v>22271.164021164022</v>
      </c>
      <c r="M433" s="102">
        <v>16837</v>
      </c>
      <c r="N433" s="95">
        <v>1</v>
      </c>
      <c r="O433" s="95">
        <v>0</v>
      </c>
      <c r="P433" s="95">
        <v>0</v>
      </c>
      <c r="Q433" s="49" t="s">
        <v>10891</v>
      </c>
    </row>
    <row r="434" spans="1:17">
      <c r="A434" s="95">
        <v>759724529202804</v>
      </c>
      <c r="B434" s="49" t="s">
        <v>10621</v>
      </c>
      <c r="C434" s="49" t="s">
        <v>332</v>
      </c>
      <c r="D434" s="49" t="s">
        <v>10708</v>
      </c>
      <c r="E434" s="49">
        <v>6282350524788</v>
      </c>
      <c r="F434" s="96">
        <v>45832</v>
      </c>
      <c r="G434" s="49" t="s">
        <v>12680</v>
      </c>
      <c r="H434" s="49" t="s">
        <v>12676</v>
      </c>
      <c r="I434" s="95">
        <v>789</v>
      </c>
      <c r="J434" s="95">
        <v>973</v>
      </c>
      <c r="K434" s="95">
        <v>40</v>
      </c>
      <c r="L434" s="97">
        <v>15505.652620760535</v>
      </c>
      <c r="M434" s="102">
        <v>15087</v>
      </c>
      <c r="N434" s="95">
        <v>4</v>
      </c>
      <c r="O434" s="95">
        <v>5</v>
      </c>
      <c r="P434" s="95">
        <v>0</v>
      </c>
      <c r="Q434" s="49" t="s">
        <v>10709</v>
      </c>
    </row>
    <row r="435" spans="1:17">
      <c r="A435" s="95">
        <v>759724529202804</v>
      </c>
      <c r="B435" s="49" t="s">
        <v>10621</v>
      </c>
      <c r="C435" s="49" t="s">
        <v>665</v>
      </c>
      <c r="D435" s="49" t="s">
        <v>659</v>
      </c>
      <c r="E435" s="49">
        <v>6285757057088</v>
      </c>
      <c r="F435" s="96">
        <v>45832</v>
      </c>
      <c r="G435" s="49" t="s">
        <v>12678</v>
      </c>
      <c r="H435" s="49" t="s">
        <v>12676</v>
      </c>
      <c r="I435" s="95">
        <v>538</v>
      </c>
      <c r="J435" s="95">
        <v>672</v>
      </c>
      <c r="K435" s="95">
        <v>17</v>
      </c>
      <c r="L435" s="97">
        <v>17888.392857142859</v>
      </c>
      <c r="M435" s="102">
        <v>12021</v>
      </c>
      <c r="N435" s="95">
        <v>1</v>
      </c>
      <c r="O435" s="95">
        <v>0</v>
      </c>
      <c r="P435" s="95">
        <v>1</v>
      </c>
      <c r="Q435" s="49" t="s">
        <v>10636</v>
      </c>
    </row>
    <row r="436" spans="1:17">
      <c r="A436" s="95">
        <v>759724529202804</v>
      </c>
      <c r="B436" s="49" t="s">
        <v>10621</v>
      </c>
      <c r="C436" s="49" t="s">
        <v>665</v>
      </c>
      <c r="D436" s="49" t="s">
        <v>659</v>
      </c>
      <c r="E436" s="49">
        <v>6285757057088</v>
      </c>
      <c r="F436" s="96">
        <v>45832</v>
      </c>
      <c r="G436" s="49" t="s">
        <v>12684</v>
      </c>
      <c r="H436" s="49" t="s">
        <v>12676</v>
      </c>
      <c r="I436" s="95">
        <v>31</v>
      </c>
      <c r="J436" s="95">
        <v>43</v>
      </c>
      <c r="K436" s="95">
        <v>4</v>
      </c>
      <c r="L436" s="97">
        <v>20372.093023255813</v>
      </c>
      <c r="M436" s="102">
        <v>876</v>
      </c>
      <c r="N436" s="95">
        <v>0</v>
      </c>
      <c r="O436" s="95">
        <v>0</v>
      </c>
      <c r="P436" s="95">
        <v>0</v>
      </c>
      <c r="Q436" s="49" t="s">
        <v>10636</v>
      </c>
    </row>
    <row r="437" spans="1:17">
      <c r="A437" s="95">
        <v>759724529202804</v>
      </c>
      <c r="B437" s="49" t="s">
        <v>10621</v>
      </c>
      <c r="C437" s="49" t="s">
        <v>665</v>
      </c>
      <c r="D437" s="49" t="s">
        <v>659</v>
      </c>
      <c r="E437" s="49">
        <v>6285757057088</v>
      </c>
      <c r="F437" s="96">
        <v>45832</v>
      </c>
      <c r="G437" s="49" t="s">
        <v>12679</v>
      </c>
      <c r="H437" s="49" t="s">
        <v>12676</v>
      </c>
      <c r="I437" s="95">
        <v>107</v>
      </c>
      <c r="J437" s="95">
        <v>125</v>
      </c>
      <c r="K437" s="95">
        <v>4</v>
      </c>
      <c r="L437" s="97">
        <v>19920</v>
      </c>
      <c r="M437" s="102">
        <v>2490</v>
      </c>
      <c r="N437" s="95">
        <v>0</v>
      </c>
      <c r="O437" s="95">
        <v>0</v>
      </c>
      <c r="P437" s="95">
        <v>0</v>
      </c>
      <c r="Q437" s="49" t="s">
        <v>10636</v>
      </c>
    </row>
    <row r="438" spans="1:17">
      <c r="A438" s="95">
        <v>174904221976312</v>
      </c>
      <c r="B438" s="49" t="s">
        <v>10651</v>
      </c>
      <c r="C438" s="49" t="s">
        <v>10915</v>
      </c>
      <c r="D438" s="49" t="s">
        <v>10674</v>
      </c>
      <c r="E438" s="49">
        <v>6282183184641</v>
      </c>
      <c r="F438" s="96">
        <v>45832</v>
      </c>
      <c r="G438" s="49" t="s">
        <v>2718</v>
      </c>
      <c r="H438" s="49" t="s">
        <v>12676</v>
      </c>
      <c r="I438" s="95">
        <v>411</v>
      </c>
      <c r="J438" s="95">
        <v>453</v>
      </c>
      <c r="K438" s="95">
        <v>9</v>
      </c>
      <c r="L438" s="97">
        <v>17225.16556291391</v>
      </c>
      <c r="M438" s="102">
        <v>7803</v>
      </c>
      <c r="N438" s="95">
        <v>2</v>
      </c>
      <c r="O438" s="95">
        <v>62</v>
      </c>
      <c r="P438" s="95">
        <v>0</v>
      </c>
      <c r="Q438" s="49" t="s">
        <v>10675</v>
      </c>
    </row>
    <row r="439" spans="1:17">
      <c r="A439" s="95">
        <v>174904221976312</v>
      </c>
      <c r="B439" s="49" t="s">
        <v>10651</v>
      </c>
      <c r="C439" s="49" t="s">
        <v>10915</v>
      </c>
      <c r="D439" s="49" t="s">
        <v>10674</v>
      </c>
      <c r="E439" s="49">
        <v>6282183184641</v>
      </c>
      <c r="F439" s="96">
        <v>45832</v>
      </c>
      <c r="G439" s="49" t="s">
        <v>12696</v>
      </c>
      <c r="H439" s="49" t="s">
        <v>12676</v>
      </c>
      <c r="I439" s="95">
        <v>10</v>
      </c>
      <c r="J439" s="95">
        <v>10</v>
      </c>
      <c r="K439" s="95">
        <v>0</v>
      </c>
      <c r="L439" s="97">
        <v>14400</v>
      </c>
      <c r="M439" s="102">
        <v>144</v>
      </c>
      <c r="N439" s="95">
        <v>0</v>
      </c>
      <c r="O439" s="95">
        <v>1</v>
      </c>
      <c r="P439" s="95">
        <v>0</v>
      </c>
      <c r="Q439" s="49" t="s">
        <v>10675</v>
      </c>
    </row>
    <row r="440" spans="1:17">
      <c r="A440" s="95">
        <v>174904221976312</v>
      </c>
      <c r="B440" s="49" t="s">
        <v>10651</v>
      </c>
      <c r="C440" s="49" t="s">
        <v>10892</v>
      </c>
      <c r="D440" s="49" t="s">
        <v>10893</v>
      </c>
      <c r="E440" s="49">
        <v>6282399721881</v>
      </c>
      <c r="F440" s="96">
        <v>45832</v>
      </c>
      <c r="G440" s="49" t="s">
        <v>12692</v>
      </c>
      <c r="H440" s="49" t="s">
        <v>12676</v>
      </c>
      <c r="I440" s="95">
        <v>977</v>
      </c>
      <c r="J440" s="95">
        <v>1253</v>
      </c>
      <c r="K440" s="95">
        <v>18</v>
      </c>
      <c r="L440" s="97">
        <v>10408.619313647247</v>
      </c>
      <c r="M440" s="102">
        <v>13042</v>
      </c>
      <c r="N440" s="95">
        <v>0</v>
      </c>
      <c r="O440" s="95">
        <v>468</v>
      </c>
      <c r="P440" s="95">
        <v>0</v>
      </c>
      <c r="Q440" s="49" t="s">
        <v>10894</v>
      </c>
    </row>
    <row r="441" spans="1:17">
      <c r="A441" s="95">
        <v>174904221976312</v>
      </c>
      <c r="B441" s="49" t="s">
        <v>10651</v>
      </c>
      <c r="C441" s="49" t="s">
        <v>10895</v>
      </c>
      <c r="D441" s="49" t="s">
        <v>10896</v>
      </c>
      <c r="E441" s="49">
        <v>6281299907533</v>
      </c>
      <c r="F441" s="96">
        <v>45832</v>
      </c>
      <c r="G441" s="49" t="s">
        <v>12677</v>
      </c>
      <c r="H441" s="49" t="s">
        <v>12676</v>
      </c>
      <c r="I441" s="95">
        <v>403</v>
      </c>
      <c r="J441" s="95">
        <v>460</v>
      </c>
      <c r="K441" s="95">
        <v>18</v>
      </c>
      <c r="L441" s="97">
        <v>27697.82608695652</v>
      </c>
      <c r="M441" s="102">
        <v>12741</v>
      </c>
      <c r="N441" s="95">
        <v>1</v>
      </c>
      <c r="O441" s="95">
        <v>188</v>
      </c>
      <c r="P441" s="95">
        <v>0</v>
      </c>
      <c r="Q441" s="49" t="s">
        <v>10897</v>
      </c>
    </row>
    <row r="442" spans="1:17">
      <c r="A442" s="95">
        <v>174904221976312</v>
      </c>
      <c r="B442" s="49" t="s">
        <v>10651</v>
      </c>
      <c r="C442" s="49" t="s">
        <v>10866</v>
      </c>
      <c r="D442" s="49" t="s">
        <v>878</v>
      </c>
      <c r="E442" s="49">
        <v>6285733774700</v>
      </c>
      <c r="F442" s="96">
        <v>45832</v>
      </c>
      <c r="G442" s="49" t="s">
        <v>12684</v>
      </c>
      <c r="H442" s="49" t="s">
        <v>12676</v>
      </c>
      <c r="I442" s="95">
        <v>671</v>
      </c>
      <c r="J442" s="95">
        <v>782</v>
      </c>
      <c r="K442" s="95">
        <v>25</v>
      </c>
      <c r="L442" s="97">
        <v>17758.312020460358</v>
      </c>
      <c r="M442" s="102">
        <v>13887</v>
      </c>
      <c r="N442" s="95">
        <v>5</v>
      </c>
      <c r="O442" s="95">
        <v>173</v>
      </c>
      <c r="P442" s="95">
        <v>1</v>
      </c>
      <c r="Q442" s="49" t="s">
        <v>10867</v>
      </c>
    </row>
    <row r="443" spans="1:17">
      <c r="A443" s="95">
        <v>174904221976312</v>
      </c>
      <c r="B443" s="49" t="s">
        <v>10651</v>
      </c>
      <c r="C443" s="49" t="s">
        <v>10853</v>
      </c>
      <c r="D443" s="49" t="s">
        <v>10854</v>
      </c>
      <c r="E443" s="49">
        <v>6281393958199</v>
      </c>
      <c r="F443" s="96">
        <v>45832</v>
      </c>
      <c r="G443" s="49" t="s">
        <v>12678</v>
      </c>
      <c r="H443" s="49" t="s">
        <v>12676</v>
      </c>
      <c r="I443" s="95">
        <v>663</v>
      </c>
      <c r="J443" s="95">
        <v>769</v>
      </c>
      <c r="K443" s="95">
        <v>28</v>
      </c>
      <c r="L443" s="97">
        <v>16854.356306892067</v>
      </c>
      <c r="M443" s="102">
        <v>12961</v>
      </c>
      <c r="N443" s="95">
        <v>7</v>
      </c>
      <c r="O443" s="95">
        <v>214</v>
      </c>
      <c r="P443" s="95">
        <v>0</v>
      </c>
      <c r="Q443" s="49" t="s">
        <v>10855</v>
      </c>
    </row>
    <row r="444" spans="1:17">
      <c r="A444" s="95">
        <v>174904221976312</v>
      </c>
      <c r="B444" s="49" t="s">
        <v>10651</v>
      </c>
      <c r="C444" s="49" t="s">
        <v>10856</v>
      </c>
      <c r="D444" s="49" t="s">
        <v>829</v>
      </c>
      <c r="E444" s="49">
        <v>6285725492572</v>
      </c>
      <c r="F444" s="96">
        <v>45832</v>
      </c>
      <c r="G444" s="49" t="s">
        <v>12678</v>
      </c>
      <c r="H444" s="49" t="s">
        <v>12676</v>
      </c>
      <c r="I444" s="95">
        <v>444</v>
      </c>
      <c r="J444" s="95">
        <v>512</v>
      </c>
      <c r="K444" s="95">
        <v>19</v>
      </c>
      <c r="L444" s="97">
        <v>25623.046875</v>
      </c>
      <c r="M444" s="102">
        <v>13119</v>
      </c>
      <c r="N444" s="95">
        <v>3</v>
      </c>
      <c r="O444" s="95">
        <v>181</v>
      </c>
      <c r="P444" s="95">
        <v>2</v>
      </c>
      <c r="Q444" s="49" t="s">
        <v>10857</v>
      </c>
    </row>
    <row r="445" spans="1:17">
      <c r="A445" s="95">
        <v>174904221976312</v>
      </c>
      <c r="B445" s="49" t="s">
        <v>10651</v>
      </c>
      <c r="C445" s="49" t="s">
        <v>10856</v>
      </c>
      <c r="D445" s="49" t="s">
        <v>829</v>
      </c>
      <c r="E445" s="49">
        <v>6285725492572</v>
      </c>
      <c r="F445" s="96">
        <v>45832</v>
      </c>
      <c r="G445" s="49" t="s">
        <v>12684</v>
      </c>
      <c r="H445" s="49" t="s">
        <v>12676</v>
      </c>
      <c r="I445" s="95">
        <v>21</v>
      </c>
      <c r="J445" s="95">
        <v>23</v>
      </c>
      <c r="K445" s="95">
        <v>0</v>
      </c>
      <c r="L445" s="97">
        <v>20043.478260869568</v>
      </c>
      <c r="M445" s="102">
        <v>461</v>
      </c>
      <c r="N445" s="95">
        <v>0</v>
      </c>
      <c r="O445" s="95">
        <v>7</v>
      </c>
      <c r="P445" s="95">
        <v>0</v>
      </c>
      <c r="Q445" s="49" t="s">
        <v>10857</v>
      </c>
    </row>
    <row r="446" spans="1:17">
      <c r="A446" s="95">
        <v>174904221976312</v>
      </c>
      <c r="B446" s="49" t="s">
        <v>10651</v>
      </c>
      <c r="C446" s="49" t="s">
        <v>10856</v>
      </c>
      <c r="D446" s="49" t="s">
        <v>829</v>
      </c>
      <c r="E446" s="49">
        <v>6285725492572</v>
      </c>
      <c r="F446" s="96">
        <v>45832</v>
      </c>
      <c r="G446" s="49" t="s">
        <v>12679</v>
      </c>
      <c r="H446" s="49" t="s">
        <v>12676</v>
      </c>
      <c r="I446" s="95">
        <v>28</v>
      </c>
      <c r="J446" s="95">
        <v>36</v>
      </c>
      <c r="K446" s="95">
        <v>4</v>
      </c>
      <c r="L446" s="97">
        <v>39750</v>
      </c>
      <c r="M446" s="102">
        <v>1431</v>
      </c>
      <c r="N446" s="95">
        <v>1</v>
      </c>
      <c r="O446" s="95">
        <v>13</v>
      </c>
      <c r="P446" s="95">
        <v>0</v>
      </c>
      <c r="Q446" s="49" t="s">
        <v>10857</v>
      </c>
    </row>
    <row r="447" spans="1:17">
      <c r="A447" s="95">
        <v>174904221976312</v>
      </c>
      <c r="B447" s="49" t="s">
        <v>10651</v>
      </c>
      <c r="C447" s="49" t="s">
        <v>10858</v>
      </c>
      <c r="D447" s="49" t="s">
        <v>10859</v>
      </c>
      <c r="E447" s="49">
        <v>6285227384634</v>
      </c>
      <c r="F447" s="96">
        <v>45832</v>
      </c>
      <c r="G447" s="49" t="s">
        <v>12681</v>
      </c>
      <c r="H447" s="49" t="s">
        <v>12676</v>
      </c>
      <c r="I447" s="95">
        <v>10</v>
      </c>
      <c r="J447" s="95">
        <v>10</v>
      </c>
      <c r="K447" s="95">
        <v>0</v>
      </c>
      <c r="L447" s="97">
        <v>14100</v>
      </c>
      <c r="M447" s="102">
        <v>141</v>
      </c>
      <c r="N447" s="95">
        <v>0</v>
      </c>
      <c r="O447" s="95">
        <v>0</v>
      </c>
      <c r="P447" s="95">
        <v>0</v>
      </c>
      <c r="Q447" s="49" t="s">
        <v>10860</v>
      </c>
    </row>
    <row r="448" spans="1:17">
      <c r="A448" s="95">
        <v>174904221976312</v>
      </c>
      <c r="B448" s="49" t="s">
        <v>10651</v>
      </c>
      <c r="C448" s="49" t="s">
        <v>10858</v>
      </c>
      <c r="D448" s="49" t="s">
        <v>10859</v>
      </c>
      <c r="E448" s="49">
        <v>6285227384634</v>
      </c>
      <c r="F448" s="96">
        <v>45832</v>
      </c>
      <c r="G448" s="49" t="s">
        <v>46</v>
      </c>
      <c r="H448" s="49" t="s">
        <v>12676</v>
      </c>
      <c r="I448" s="95">
        <v>20</v>
      </c>
      <c r="J448" s="95">
        <v>23</v>
      </c>
      <c r="K448" s="95">
        <v>2</v>
      </c>
      <c r="L448" s="97">
        <v>28434.782608695652</v>
      </c>
      <c r="M448" s="102">
        <v>654</v>
      </c>
      <c r="N448" s="95">
        <v>1</v>
      </c>
      <c r="O448" s="95">
        <v>0</v>
      </c>
      <c r="P448" s="95">
        <v>0</v>
      </c>
      <c r="Q448" s="49" t="s">
        <v>10860</v>
      </c>
    </row>
    <row r="449" spans="1:17">
      <c r="A449" s="95">
        <v>174904221976312</v>
      </c>
      <c r="B449" s="49" t="s">
        <v>10651</v>
      </c>
      <c r="C449" s="49" t="s">
        <v>10858</v>
      </c>
      <c r="D449" s="49" t="s">
        <v>10859</v>
      </c>
      <c r="E449" s="49">
        <v>6285227384634</v>
      </c>
      <c r="F449" s="96">
        <v>45832</v>
      </c>
      <c r="G449" s="49" t="s">
        <v>12698</v>
      </c>
      <c r="H449" s="49" t="s">
        <v>12676</v>
      </c>
      <c r="I449" s="95">
        <v>2</v>
      </c>
      <c r="J449" s="95">
        <v>2</v>
      </c>
      <c r="K449" s="95">
        <v>0</v>
      </c>
      <c r="L449" s="97">
        <v>7500</v>
      </c>
      <c r="M449" s="102">
        <v>15</v>
      </c>
      <c r="N449" s="95">
        <v>0</v>
      </c>
      <c r="O449" s="95">
        <v>0</v>
      </c>
      <c r="P449" s="95">
        <v>0</v>
      </c>
      <c r="Q449" s="49" t="s">
        <v>10860</v>
      </c>
    </row>
    <row r="450" spans="1:17">
      <c r="A450" s="95">
        <v>174904221976312</v>
      </c>
      <c r="B450" s="49" t="s">
        <v>10651</v>
      </c>
      <c r="C450" s="49" t="s">
        <v>10858</v>
      </c>
      <c r="D450" s="49" t="s">
        <v>10859</v>
      </c>
      <c r="E450" s="49">
        <v>6285227384634</v>
      </c>
      <c r="F450" s="96">
        <v>45832</v>
      </c>
      <c r="G450" s="49" t="s">
        <v>7917</v>
      </c>
      <c r="H450" s="49" t="s">
        <v>12676</v>
      </c>
      <c r="I450" s="95">
        <v>5</v>
      </c>
      <c r="J450" s="95">
        <v>6</v>
      </c>
      <c r="K450" s="95">
        <v>0</v>
      </c>
      <c r="L450" s="97">
        <v>20666.666666666668</v>
      </c>
      <c r="M450" s="102">
        <v>124</v>
      </c>
      <c r="N450" s="95">
        <v>0</v>
      </c>
      <c r="O450" s="95">
        <v>0</v>
      </c>
      <c r="P450" s="95">
        <v>0</v>
      </c>
      <c r="Q450" s="49" t="s">
        <v>10860</v>
      </c>
    </row>
    <row r="451" spans="1:17">
      <c r="A451" s="95">
        <v>174904221976312</v>
      </c>
      <c r="B451" s="49" t="s">
        <v>10651</v>
      </c>
      <c r="C451" s="49" t="s">
        <v>10858</v>
      </c>
      <c r="D451" s="49" t="s">
        <v>10859</v>
      </c>
      <c r="E451" s="49">
        <v>6285227384634</v>
      </c>
      <c r="F451" s="96">
        <v>45832</v>
      </c>
      <c r="G451" s="49" t="s">
        <v>1210</v>
      </c>
      <c r="H451" s="49" t="s">
        <v>12676</v>
      </c>
      <c r="I451" s="95">
        <v>3</v>
      </c>
      <c r="J451" s="95">
        <v>3</v>
      </c>
      <c r="K451" s="95">
        <v>0</v>
      </c>
      <c r="L451" s="97">
        <v>30666.666666666668</v>
      </c>
      <c r="M451" s="102">
        <v>92</v>
      </c>
      <c r="N451" s="95">
        <v>0</v>
      </c>
      <c r="O451" s="95">
        <v>0</v>
      </c>
      <c r="P451" s="95">
        <v>0</v>
      </c>
      <c r="Q451" s="49" t="s">
        <v>10860</v>
      </c>
    </row>
    <row r="452" spans="1:17">
      <c r="A452" s="95">
        <v>174904221976312</v>
      </c>
      <c r="B452" s="49" t="s">
        <v>10651</v>
      </c>
      <c r="C452" s="49" t="s">
        <v>10858</v>
      </c>
      <c r="D452" s="49" t="s">
        <v>10859</v>
      </c>
      <c r="E452" s="49">
        <v>6285227384634</v>
      </c>
      <c r="F452" s="96">
        <v>45832</v>
      </c>
      <c r="G452" s="49" t="s">
        <v>12678</v>
      </c>
      <c r="H452" s="49" t="s">
        <v>12676</v>
      </c>
      <c r="I452" s="95">
        <v>62</v>
      </c>
      <c r="J452" s="95">
        <v>75</v>
      </c>
      <c r="K452" s="95">
        <v>2</v>
      </c>
      <c r="L452" s="97">
        <v>13306.666666666666</v>
      </c>
      <c r="M452" s="102">
        <v>998</v>
      </c>
      <c r="N452" s="95">
        <v>0</v>
      </c>
      <c r="O452" s="95">
        <v>0</v>
      </c>
      <c r="P452" s="95">
        <v>0</v>
      </c>
      <c r="Q452" s="49" t="s">
        <v>10860</v>
      </c>
    </row>
    <row r="453" spans="1:17">
      <c r="A453" s="95">
        <v>174904221976312</v>
      </c>
      <c r="B453" s="49" t="s">
        <v>10651</v>
      </c>
      <c r="C453" s="49" t="s">
        <v>10858</v>
      </c>
      <c r="D453" s="49" t="s">
        <v>10859</v>
      </c>
      <c r="E453" s="49">
        <v>6285227384634</v>
      </c>
      <c r="F453" s="96">
        <v>45832</v>
      </c>
      <c r="G453" s="49" t="s">
        <v>12682</v>
      </c>
      <c r="H453" s="49" t="s">
        <v>12676</v>
      </c>
      <c r="I453" s="95">
        <v>6</v>
      </c>
      <c r="J453" s="95">
        <v>6</v>
      </c>
      <c r="K453" s="95">
        <v>0</v>
      </c>
      <c r="L453" s="97">
        <v>18166.666666666668</v>
      </c>
      <c r="M453" s="102">
        <v>109</v>
      </c>
      <c r="N453" s="95">
        <v>0</v>
      </c>
      <c r="O453" s="95">
        <v>0</v>
      </c>
      <c r="P453" s="95">
        <v>0</v>
      </c>
      <c r="Q453" s="49" t="s">
        <v>10860</v>
      </c>
    </row>
    <row r="454" spans="1:17">
      <c r="A454" s="95">
        <v>174904221976312</v>
      </c>
      <c r="B454" s="49" t="s">
        <v>10651</v>
      </c>
      <c r="C454" s="49" t="s">
        <v>10858</v>
      </c>
      <c r="D454" s="49" t="s">
        <v>10859</v>
      </c>
      <c r="E454" s="49">
        <v>6285227384634</v>
      </c>
      <c r="F454" s="96">
        <v>45832</v>
      </c>
      <c r="G454" s="49" t="s">
        <v>12683</v>
      </c>
      <c r="H454" s="49" t="s">
        <v>12676</v>
      </c>
      <c r="I454" s="95">
        <v>5</v>
      </c>
      <c r="J454" s="95">
        <v>6</v>
      </c>
      <c r="K454" s="95">
        <v>0</v>
      </c>
      <c r="L454" s="97">
        <v>3666.6666666666665</v>
      </c>
      <c r="M454" s="102">
        <v>22</v>
      </c>
      <c r="N454" s="95">
        <v>0</v>
      </c>
      <c r="O454" s="95">
        <v>0</v>
      </c>
      <c r="P454" s="95">
        <v>0</v>
      </c>
      <c r="Q454" s="49" t="s">
        <v>10860</v>
      </c>
    </row>
    <row r="455" spans="1:17">
      <c r="A455" s="95">
        <v>174904221976312</v>
      </c>
      <c r="B455" s="49" t="s">
        <v>10651</v>
      </c>
      <c r="C455" s="49" t="s">
        <v>10858</v>
      </c>
      <c r="D455" s="49" t="s">
        <v>10859</v>
      </c>
      <c r="E455" s="49">
        <v>6285227384634</v>
      </c>
      <c r="F455" s="96">
        <v>45832</v>
      </c>
      <c r="G455" s="49" t="s">
        <v>12684</v>
      </c>
      <c r="H455" s="49" t="s">
        <v>12676</v>
      </c>
      <c r="I455" s="95">
        <v>46</v>
      </c>
      <c r="J455" s="95">
        <v>57</v>
      </c>
      <c r="K455" s="95">
        <v>5</v>
      </c>
      <c r="L455" s="97">
        <v>28561.403508771931</v>
      </c>
      <c r="M455" s="102">
        <v>1628</v>
      </c>
      <c r="N455" s="95">
        <v>0</v>
      </c>
      <c r="O455" s="95">
        <v>0</v>
      </c>
      <c r="P455" s="95">
        <v>0</v>
      </c>
      <c r="Q455" s="49" t="s">
        <v>10860</v>
      </c>
    </row>
    <row r="456" spans="1:17">
      <c r="A456" s="95">
        <v>174904221976312</v>
      </c>
      <c r="B456" s="49" t="s">
        <v>10651</v>
      </c>
      <c r="C456" s="49" t="s">
        <v>10858</v>
      </c>
      <c r="D456" s="49" t="s">
        <v>10859</v>
      </c>
      <c r="E456" s="49">
        <v>6285227384634</v>
      </c>
      <c r="F456" s="96">
        <v>45832</v>
      </c>
      <c r="G456" s="49" t="s">
        <v>12680</v>
      </c>
      <c r="H456" s="49" t="s">
        <v>12676</v>
      </c>
      <c r="I456" s="95">
        <v>11</v>
      </c>
      <c r="J456" s="95">
        <v>14</v>
      </c>
      <c r="K456" s="95">
        <v>0</v>
      </c>
      <c r="L456" s="97">
        <v>17214.285714285714</v>
      </c>
      <c r="M456" s="102">
        <v>241</v>
      </c>
      <c r="N456" s="95">
        <v>0</v>
      </c>
      <c r="O456" s="95">
        <v>0</v>
      </c>
      <c r="P456" s="95">
        <v>0</v>
      </c>
      <c r="Q456" s="49" t="s">
        <v>10860</v>
      </c>
    </row>
    <row r="457" spans="1:17">
      <c r="A457" s="95">
        <v>174904221976312</v>
      </c>
      <c r="B457" s="49" t="s">
        <v>10651</v>
      </c>
      <c r="C457" s="49" t="s">
        <v>10858</v>
      </c>
      <c r="D457" s="49" t="s">
        <v>10859</v>
      </c>
      <c r="E457" s="49">
        <v>6285227384634</v>
      </c>
      <c r="F457" s="96">
        <v>45832</v>
      </c>
      <c r="G457" s="49" t="s">
        <v>12685</v>
      </c>
      <c r="H457" s="49" t="s">
        <v>12676</v>
      </c>
      <c r="I457" s="95">
        <v>21</v>
      </c>
      <c r="J457" s="95">
        <v>24</v>
      </c>
      <c r="K457" s="95">
        <v>0</v>
      </c>
      <c r="L457" s="97">
        <v>21583.333333333332</v>
      </c>
      <c r="M457" s="102">
        <v>518</v>
      </c>
      <c r="N457" s="95">
        <v>0</v>
      </c>
      <c r="O457" s="95">
        <v>0</v>
      </c>
      <c r="P457" s="95">
        <v>0</v>
      </c>
      <c r="Q457" s="49" t="s">
        <v>10860</v>
      </c>
    </row>
    <row r="458" spans="1:17">
      <c r="A458" s="95">
        <v>174904221976312</v>
      </c>
      <c r="B458" s="49" t="s">
        <v>10651</v>
      </c>
      <c r="C458" s="49" t="s">
        <v>10858</v>
      </c>
      <c r="D458" s="49" t="s">
        <v>10859</v>
      </c>
      <c r="E458" s="49">
        <v>6285227384634</v>
      </c>
      <c r="F458" s="96">
        <v>45832</v>
      </c>
      <c r="G458" s="49" t="s">
        <v>12686</v>
      </c>
      <c r="H458" s="49" t="s">
        <v>12676</v>
      </c>
      <c r="I458" s="95">
        <v>4</v>
      </c>
      <c r="J458" s="95">
        <v>5</v>
      </c>
      <c r="K458" s="95">
        <v>0</v>
      </c>
      <c r="L458" s="97">
        <v>20600</v>
      </c>
      <c r="M458" s="102">
        <v>103</v>
      </c>
      <c r="N458" s="95">
        <v>0</v>
      </c>
      <c r="O458" s="95">
        <v>0</v>
      </c>
      <c r="P458" s="95">
        <v>0</v>
      </c>
      <c r="Q458" s="49" t="s">
        <v>10860</v>
      </c>
    </row>
    <row r="459" spans="1:17">
      <c r="A459" s="95">
        <v>174904221976312</v>
      </c>
      <c r="B459" s="49" t="s">
        <v>10651</v>
      </c>
      <c r="C459" s="49" t="s">
        <v>10858</v>
      </c>
      <c r="D459" s="49" t="s">
        <v>10859</v>
      </c>
      <c r="E459" s="49">
        <v>6285227384634</v>
      </c>
      <c r="F459" s="96">
        <v>45832</v>
      </c>
      <c r="G459" s="49" t="s">
        <v>2132</v>
      </c>
      <c r="H459" s="49" t="s">
        <v>12676</v>
      </c>
      <c r="I459" s="95">
        <v>20</v>
      </c>
      <c r="J459" s="95">
        <v>26</v>
      </c>
      <c r="K459" s="95">
        <v>1</v>
      </c>
      <c r="L459" s="97">
        <v>48000</v>
      </c>
      <c r="M459" s="102">
        <v>1248</v>
      </c>
      <c r="N459" s="95">
        <v>0</v>
      </c>
      <c r="O459" s="95">
        <v>0</v>
      </c>
      <c r="P459" s="95">
        <v>0</v>
      </c>
      <c r="Q459" s="49" t="s">
        <v>10860</v>
      </c>
    </row>
    <row r="460" spans="1:17">
      <c r="A460" s="95">
        <v>174904221976312</v>
      </c>
      <c r="B460" s="49" t="s">
        <v>10651</v>
      </c>
      <c r="C460" s="49" t="s">
        <v>10858</v>
      </c>
      <c r="D460" s="49" t="s">
        <v>10859</v>
      </c>
      <c r="E460" s="49">
        <v>6285227384634</v>
      </c>
      <c r="F460" s="96">
        <v>45832</v>
      </c>
      <c r="G460" s="49" t="s">
        <v>2718</v>
      </c>
      <c r="H460" s="49" t="s">
        <v>12676</v>
      </c>
      <c r="I460" s="95">
        <v>4</v>
      </c>
      <c r="J460" s="95">
        <v>5</v>
      </c>
      <c r="K460" s="95">
        <v>0</v>
      </c>
      <c r="L460" s="97">
        <v>13600</v>
      </c>
      <c r="M460" s="102">
        <v>68</v>
      </c>
      <c r="N460" s="95">
        <v>0</v>
      </c>
      <c r="O460" s="95">
        <v>0</v>
      </c>
      <c r="P460" s="95">
        <v>0</v>
      </c>
      <c r="Q460" s="49" t="s">
        <v>10860</v>
      </c>
    </row>
    <row r="461" spans="1:17">
      <c r="A461" s="95">
        <v>174904221976312</v>
      </c>
      <c r="B461" s="49" t="s">
        <v>10651</v>
      </c>
      <c r="C461" s="49" t="s">
        <v>10858</v>
      </c>
      <c r="D461" s="49" t="s">
        <v>10859</v>
      </c>
      <c r="E461" s="49">
        <v>6285227384634</v>
      </c>
      <c r="F461" s="96">
        <v>45832</v>
      </c>
      <c r="G461" s="49" t="s">
        <v>2981</v>
      </c>
      <c r="H461" s="49" t="s">
        <v>12676</v>
      </c>
      <c r="I461" s="95">
        <v>12</v>
      </c>
      <c r="J461" s="95">
        <v>14</v>
      </c>
      <c r="K461" s="95">
        <v>0</v>
      </c>
      <c r="L461" s="97">
        <v>11500</v>
      </c>
      <c r="M461" s="102">
        <v>161</v>
      </c>
      <c r="N461" s="95">
        <v>0</v>
      </c>
      <c r="O461" s="95">
        <v>0</v>
      </c>
      <c r="P461" s="95">
        <v>0</v>
      </c>
      <c r="Q461" s="49" t="s">
        <v>10860</v>
      </c>
    </row>
    <row r="462" spans="1:17">
      <c r="A462" s="95">
        <v>174904221976312</v>
      </c>
      <c r="B462" s="49" t="s">
        <v>10651</v>
      </c>
      <c r="C462" s="49" t="s">
        <v>10858</v>
      </c>
      <c r="D462" s="49" t="s">
        <v>10859</v>
      </c>
      <c r="E462" s="49">
        <v>6285227384634</v>
      </c>
      <c r="F462" s="96">
        <v>45832</v>
      </c>
      <c r="G462" s="49" t="s">
        <v>12687</v>
      </c>
      <c r="H462" s="49" t="s">
        <v>12676</v>
      </c>
      <c r="I462" s="95">
        <v>16</v>
      </c>
      <c r="J462" s="95">
        <v>22</v>
      </c>
      <c r="K462" s="95">
        <v>0</v>
      </c>
      <c r="L462" s="97">
        <v>18363.636363636364</v>
      </c>
      <c r="M462" s="102">
        <v>404</v>
      </c>
      <c r="N462" s="95">
        <v>0</v>
      </c>
      <c r="O462" s="95">
        <v>0</v>
      </c>
      <c r="P462" s="95">
        <v>0</v>
      </c>
      <c r="Q462" s="49" t="s">
        <v>10860</v>
      </c>
    </row>
    <row r="463" spans="1:17">
      <c r="A463" s="95">
        <v>174904221976312</v>
      </c>
      <c r="B463" s="49" t="s">
        <v>10651</v>
      </c>
      <c r="C463" s="49" t="s">
        <v>10858</v>
      </c>
      <c r="D463" s="49" t="s">
        <v>10859</v>
      </c>
      <c r="E463" s="49">
        <v>6285227384634</v>
      </c>
      <c r="F463" s="96">
        <v>45832</v>
      </c>
      <c r="G463" s="49" t="s">
        <v>12688</v>
      </c>
      <c r="H463" s="49" t="s">
        <v>12676</v>
      </c>
      <c r="I463" s="95">
        <v>2</v>
      </c>
      <c r="J463" s="95">
        <v>2</v>
      </c>
      <c r="K463" s="95">
        <v>0</v>
      </c>
      <c r="L463" s="97">
        <v>5000</v>
      </c>
      <c r="M463" s="102">
        <v>10</v>
      </c>
      <c r="N463" s="95">
        <v>0</v>
      </c>
      <c r="O463" s="95">
        <v>0</v>
      </c>
      <c r="P463" s="95">
        <v>0</v>
      </c>
      <c r="Q463" s="49" t="s">
        <v>10860</v>
      </c>
    </row>
    <row r="464" spans="1:17">
      <c r="A464" s="95">
        <v>174904221976312</v>
      </c>
      <c r="B464" s="49" t="s">
        <v>10651</v>
      </c>
      <c r="C464" s="49" t="s">
        <v>10858</v>
      </c>
      <c r="D464" s="49" t="s">
        <v>10859</v>
      </c>
      <c r="E464" s="49">
        <v>6285227384634</v>
      </c>
      <c r="F464" s="96">
        <v>45832</v>
      </c>
      <c r="G464" s="49" t="s">
        <v>12689</v>
      </c>
      <c r="H464" s="49" t="s">
        <v>12676</v>
      </c>
      <c r="I464" s="95">
        <v>5</v>
      </c>
      <c r="J464" s="95">
        <v>5</v>
      </c>
      <c r="K464" s="95">
        <v>0</v>
      </c>
      <c r="L464" s="97">
        <v>8000</v>
      </c>
      <c r="M464" s="102">
        <v>40</v>
      </c>
      <c r="N464" s="95">
        <v>0</v>
      </c>
      <c r="O464" s="95">
        <v>0</v>
      </c>
      <c r="P464" s="95">
        <v>0</v>
      </c>
      <c r="Q464" s="49" t="s">
        <v>10860</v>
      </c>
    </row>
    <row r="465" spans="1:17">
      <c r="A465" s="95">
        <v>174904221976312</v>
      </c>
      <c r="B465" s="49" t="s">
        <v>10651</v>
      </c>
      <c r="C465" s="49" t="s">
        <v>10858</v>
      </c>
      <c r="D465" s="49" t="s">
        <v>10859</v>
      </c>
      <c r="E465" s="49">
        <v>6285227384634</v>
      </c>
      <c r="F465" s="96">
        <v>45832</v>
      </c>
      <c r="G465" s="49" t="s">
        <v>12690</v>
      </c>
      <c r="H465" s="49" t="s">
        <v>12676</v>
      </c>
      <c r="I465" s="95">
        <v>9</v>
      </c>
      <c r="J465" s="95">
        <v>13</v>
      </c>
      <c r="K465" s="95">
        <v>2</v>
      </c>
      <c r="L465" s="97">
        <v>25230.76923076923</v>
      </c>
      <c r="M465" s="102">
        <v>328</v>
      </c>
      <c r="N465" s="95">
        <v>1</v>
      </c>
      <c r="O465" s="95">
        <v>0</v>
      </c>
      <c r="P465" s="95">
        <v>0</v>
      </c>
      <c r="Q465" s="49" t="s">
        <v>10860</v>
      </c>
    </row>
    <row r="466" spans="1:17">
      <c r="A466" s="95">
        <v>174904221976312</v>
      </c>
      <c r="B466" s="49" t="s">
        <v>10651</v>
      </c>
      <c r="C466" s="49" t="s">
        <v>10858</v>
      </c>
      <c r="D466" s="49" t="s">
        <v>10859</v>
      </c>
      <c r="E466" s="49">
        <v>6285227384634</v>
      </c>
      <c r="F466" s="96">
        <v>45832</v>
      </c>
      <c r="G466" s="49" t="s">
        <v>12691</v>
      </c>
      <c r="H466" s="49" t="s">
        <v>12676</v>
      </c>
      <c r="I466" s="95">
        <v>28</v>
      </c>
      <c r="J466" s="95">
        <v>40</v>
      </c>
      <c r="K466" s="95">
        <v>0</v>
      </c>
      <c r="L466" s="97">
        <v>16600</v>
      </c>
      <c r="M466" s="102">
        <v>664</v>
      </c>
      <c r="N466" s="95">
        <v>0</v>
      </c>
      <c r="O466" s="95">
        <v>0</v>
      </c>
      <c r="P466" s="95">
        <v>0</v>
      </c>
      <c r="Q466" s="49" t="s">
        <v>10860</v>
      </c>
    </row>
    <row r="467" spans="1:17">
      <c r="A467" s="95">
        <v>174904221976312</v>
      </c>
      <c r="B467" s="49" t="s">
        <v>10651</v>
      </c>
      <c r="C467" s="49" t="s">
        <v>10858</v>
      </c>
      <c r="D467" s="49" t="s">
        <v>10859</v>
      </c>
      <c r="E467" s="49">
        <v>6285227384634</v>
      </c>
      <c r="F467" s="96">
        <v>45832</v>
      </c>
      <c r="G467" s="49" t="s">
        <v>12692</v>
      </c>
      <c r="H467" s="49" t="s">
        <v>12676</v>
      </c>
      <c r="I467" s="95">
        <v>4</v>
      </c>
      <c r="J467" s="95">
        <v>6</v>
      </c>
      <c r="K467" s="95">
        <v>0</v>
      </c>
      <c r="L467" s="97">
        <v>7833.333333333333</v>
      </c>
      <c r="M467" s="102">
        <v>47</v>
      </c>
      <c r="N467" s="95">
        <v>0</v>
      </c>
      <c r="O467" s="95">
        <v>0</v>
      </c>
      <c r="P467" s="95">
        <v>0</v>
      </c>
      <c r="Q467" s="49" t="s">
        <v>10860</v>
      </c>
    </row>
    <row r="468" spans="1:17">
      <c r="A468" s="95">
        <v>174904221976312</v>
      </c>
      <c r="B468" s="49" t="s">
        <v>10651</v>
      </c>
      <c r="C468" s="49" t="s">
        <v>10858</v>
      </c>
      <c r="D468" s="49" t="s">
        <v>10859</v>
      </c>
      <c r="E468" s="49">
        <v>6285227384634</v>
      </c>
      <c r="F468" s="96">
        <v>45832</v>
      </c>
      <c r="G468" s="49" t="s">
        <v>1473</v>
      </c>
      <c r="H468" s="49" t="s">
        <v>12676</v>
      </c>
      <c r="I468" s="95">
        <v>13</v>
      </c>
      <c r="J468" s="95">
        <v>16</v>
      </c>
      <c r="K468" s="95">
        <v>0</v>
      </c>
      <c r="L468" s="97">
        <v>11312.5</v>
      </c>
      <c r="M468" s="102">
        <v>181</v>
      </c>
      <c r="N468" s="95">
        <v>0</v>
      </c>
      <c r="O468" s="95">
        <v>0</v>
      </c>
      <c r="P468" s="95">
        <v>0</v>
      </c>
      <c r="Q468" s="49" t="s">
        <v>10860</v>
      </c>
    </row>
    <row r="469" spans="1:17">
      <c r="A469" s="95">
        <v>174904221976312</v>
      </c>
      <c r="B469" s="49" t="s">
        <v>10651</v>
      </c>
      <c r="C469" s="49" t="s">
        <v>10858</v>
      </c>
      <c r="D469" s="49" t="s">
        <v>10859</v>
      </c>
      <c r="E469" s="49">
        <v>6285227384634</v>
      </c>
      <c r="F469" s="96">
        <v>45832</v>
      </c>
      <c r="G469" s="49" t="s">
        <v>12693</v>
      </c>
      <c r="H469" s="49" t="s">
        <v>12676</v>
      </c>
      <c r="I469" s="95">
        <v>14</v>
      </c>
      <c r="J469" s="95">
        <v>18</v>
      </c>
      <c r="K469" s="95">
        <v>0</v>
      </c>
      <c r="L469" s="97">
        <v>15555.555555555555</v>
      </c>
      <c r="M469" s="102">
        <v>280</v>
      </c>
      <c r="N469" s="95">
        <v>0</v>
      </c>
      <c r="O469" s="95">
        <v>0</v>
      </c>
      <c r="P469" s="95">
        <v>0</v>
      </c>
      <c r="Q469" s="49" t="s">
        <v>10860</v>
      </c>
    </row>
    <row r="470" spans="1:17">
      <c r="A470" s="95">
        <v>174904221976312</v>
      </c>
      <c r="B470" s="49" t="s">
        <v>10651</v>
      </c>
      <c r="C470" s="49" t="s">
        <v>10858</v>
      </c>
      <c r="D470" s="49" t="s">
        <v>10859</v>
      </c>
      <c r="E470" s="49">
        <v>6285227384634</v>
      </c>
      <c r="F470" s="96">
        <v>45832</v>
      </c>
      <c r="G470" s="49" t="s">
        <v>12694</v>
      </c>
      <c r="H470" s="49" t="s">
        <v>12676</v>
      </c>
      <c r="I470" s="95">
        <v>3</v>
      </c>
      <c r="J470" s="95">
        <v>3</v>
      </c>
      <c r="K470" s="95">
        <v>0</v>
      </c>
      <c r="L470" s="97">
        <v>26666.666666666668</v>
      </c>
      <c r="M470" s="102">
        <v>80</v>
      </c>
      <c r="N470" s="95">
        <v>0</v>
      </c>
      <c r="O470" s="95">
        <v>0</v>
      </c>
      <c r="P470" s="95">
        <v>0</v>
      </c>
      <c r="Q470" s="49" t="s">
        <v>10860</v>
      </c>
    </row>
    <row r="471" spans="1:17">
      <c r="A471" s="95">
        <v>174904221976312</v>
      </c>
      <c r="B471" s="49" t="s">
        <v>10651</v>
      </c>
      <c r="C471" s="49" t="s">
        <v>10858</v>
      </c>
      <c r="D471" s="49" t="s">
        <v>10859</v>
      </c>
      <c r="E471" s="49">
        <v>6285227384634</v>
      </c>
      <c r="F471" s="96">
        <v>45832</v>
      </c>
      <c r="G471" s="49" t="s">
        <v>12695</v>
      </c>
      <c r="H471" s="49" t="s">
        <v>12676</v>
      </c>
      <c r="I471" s="95">
        <v>24</v>
      </c>
      <c r="J471" s="95">
        <v>34</v>
      </c>
      <c r="K471" s="95">
        <v>2</v>
      </c>
      <c r="L471" s="97">
        <v>29588.235294117647</v>
      </c>
      <c r="M471" s="102">
        <v>1006</v>
      </c>
      <c r="N471" s="95">
        <v>1</v>
      </c>
      <c r="O471" s="95">
        <v>0</v>
      </c>
      <c r="P471" s="95">
        <v>0</v>
      </c>
      <c r="Q471" s="49" t="s">
        <v>10860</v>
      </c>
    </row>
    <row r="472" spans="1:17">
      <c r="A472" s="95">
        <v>174904221976312</v>
      </c>
      <c r="B472" s="49" t="s">
        <v>10651</v>
      </c>
      <c r="C472" s="49" t="s">
        <v>818</v>
      </c>
      <c r="D472" s="49" t="s">
        <v>812</v>
      </c>
      <c r="E472" s="49">
        <v>6287858585808</v>
      </c>
      <c r="F472" s="96">
        <v>45832</v>
      </c>
      <c r="G472" s="49" t="s">
        <v>12691</v>
      </c>
      <c r="H472" s="49" t="s">
        <v>12676</v>
      </c>
      <c r="I472" s="95">
        <v>1013</v>
      </c>
      <c r="J472" s="95">
        <v>1213</v>
      </c>
      <c r="K472" s="95">
        <v>35</v>
      </c>
      <c r="L472" s="97">
        <v>11166.529266281947</v>
      </c>
      <c r="M472" s="102">
        <v>13545</v>
      </c>
      <c r="N472" s="95">
        <v>2</v>
      </c>
      <c r="O472" s="95">
        <v>353</v>
      </c>
      <c r="P472" s="95">
        <v>2</v>
      </c>
      <c r="Q472" s="49" t="s">
        <v>10831</v>
      </c>
    </row>
    <row r="473" spans="1:17">
      <c r="A473" s="95">
        <v>174904221976312</v>
      </c>
      <c r="B473" s="49" t="s">
        <v>10651</v>
      </c>
      <c r="C473" s="49" t="s">
        <v>10806</v>
      </c>
      <c r="D473" s="49" t="s">
        <v>10807</v>
      </c>
      <c r="E473" s="49">
        <v>628127962347</v>
      </c>
      <c r="F473" s="96">
        <v>45832</v>
      </c>
      <c r="G473" s="49" t="s">
        <v>12681</v>
      </c>
      <c r="H473" s="49" t="s">
        <v>12676</v>
      </c>
      <c r="I473" s="95">
        <v>3</v>
      </c>
      <c r="J473" s="95">
        <v>3</v>
      </c>
      <c r="K473" s="95">
        <v>2</v>
      </c>
      <c r="L473" s="97">
        <v>93333.333333333328</v>
      </c>
      <c r="M473" s="102">
        <v>280</v>
      </c>
      <c r="N473" s="95">
        <v>1</v>
      </c>
      <c r="O473" s="95">
        <v>1</v>
      </c>
      <c r="P473" s="95">
        <v>0</v>
      </c>
      <c r="Q473" s="49" t="s">
        <v>10808</v>
      </c>
    </row>
    <row r="474" spans="1:17">
      <c r="A474" s="95">
        <v>174904221976312</v>
      </c>
      <c r="B474" s="49" t="s">
        <v>10651</v>
      </c>
      <c r="C474" s="49" t="s">
        <v>10806</v>
      </c>
      <c r="D474" s="49" t="s">
        <v>10807</v>
      </c>
      <c r="E474" s="49">
        <v>628127962347</v>
      </c>
      <c r="F474" s="96">
        <v>45832</v>
      </c>
      <c r="G474" s="49" t="s">
        <v>46</v>
      </c>
      <c r="H474" s="49" t="s">
        <v>12676</v>
      </c>
      <c r="I474" s="95">
        <v>6</v>
      </c>
      <c r="J474" s="95">
        <v>6</v>
      </c>
      <c r="K474" s="95">
        <v>0</v>
      </c>
      <c r="L474" s="97">
        <v>51500</v>
      </c>
      <c r="M474" s="102">
        <v>309</v>
      </c>
      <c r="N474" s="95">
        <v>0</v>
      </c>
      <c r="O474" s="95">
        <v>0</v>
      </c>
      <c r="P474" s="95">
        <v>0</v>
      </c>
      <c r="Q474" s="49" t="s">
        <v>10808</v>
      </c>
    </row>
    <row r="475" spans="1:17">
      <c r="A475" s="95">
        <v>174904221976312</v>
      </c>
      <c r="B475" s="49" t="s">
        <v>10651</v>
      </c>
      <c r="C475" s="49" t="s">
        <v>10806</v>
      </c>
      <c r="D475" s="49" t="s">
        <v>10807</v>
      </c>
      <c r="E475" s="49">
        <v>628127962347</v>
      </c>
      <c r="F475" s="96">
        <v>45832</v>
      </c>
      <c r="G475" s="49" t="s">
        <v>7917</v>
      </c>
      <c r="H475" s="49" t="s">
        <v>12676</v>
      </c>
      <c r="I475" s="95">
        <v>6</v>
      </c>
      <c r="J475" s="95">
        <v>7</v>
      </c>
      <c r="K475" s="95">
        <v>1</v>
      </c>
      <c r="L475" s="97">
        <v>135142.85714285713</v>
      </c>
      <c r="M475" s="102">
        <v>946</v>
      </c>
      <c r="N475" s="95">
        <v>1</v>
      </c>
      <c r="O475" s="95">
        <v>2</v>
      </c>
      <c r="P475" s="95">
        <v>0</v>
      </c>
      <c r="Q475" s="49" t="s">
        <v>10808</v>
      </c>
    </row>
    <row r="476" spans="1:17">
      <c r="A476" s="95">
        <v>174904221976312</v>
      </c>
      <c r="B476" s="49" t="s">
        <v>10651</v>
      </c>
      <c r="C476" s="49" t="s">
        <v>10806</v>
      </c>
      <c r="D476" s="49" t="s">
        <v>10807</v>
      </c>
      <c r="E476" s="49">
        <v>628127962347</v>
      </c>
      <c r="F476" s="96">
        <v>45832</v>
      </c>
      <c r="G476" s="49" t="s">
        <v>1210</v>
      </c>
      <c r="H476" s="49" t="s">
        <v>12676</v>
      </c>
      <c r="I476" s="95">
        <v>1</v>
      </c>
      <c r="J476" s="95">
        <v>1</v>
      </c>
      <c r="K476" s="95">
        <v>0</v>
      </c>
      <c r="L476" s="97">
        <v>6000</v>
      </c>
      <c r="M476" s="102">
        <v>6</v>
      </c>
      <c r="N476" s="95">
        <v>0</v>
      </c>
      <c r="O476" s="95">
        <v>0</v>
      </c>
      <c r="P476" s="95">
        <v>0</v>
      </c>
      <c r="Q476" s="49" t="s">
        <v>10808</v>
      </c>
    </row>
    <row r="477" spans="1:17">
      <c r="A477" s="95">
        <v>174904221976312</v>
      </c>
      <c r="B477" s="49" t="s">
        <v>10651</v>
      </c>
      <c r="C477" s="49" t="s">
        <v>10806</v>
      </c>
      <c r="D477" s="49" t="s">
        <v>10807</v>
      </c>
      <c r="E477" s="49">
        <v>628127962347</v>
      </c>
      <c r="F477" s="96">
        <v>45832</v>
      </c>
      <c r="G477" s="49" t="s">
        <v>12678</v>
      </c>
      <c r="H477" s="49" t="s">
        <v>12676</v>
      </c>
      <c r="I477" s="95">
        <v>19</v>
      </c>
      <c r="J477" s="95">
        <v>19</v>
      </c>
      <c r="K477" s="95">
        <v>0</v>
      </c>
      <c r="L477" s="97">
        <v>47789.473684210527</v>
      </c>
      <c r="M477" s="102">
        <v>908</v>
      </c>
      <c r="N477" s="95">
        <v>0</v>
      </c>
      <c r="O477" s="95">
        <v>2</v>
      </c>
      <c r="P477" s="95">
        <v>0</v>
      </c>
      <c r="Q477" s="49" t="s">
        <v>10808</v>
      </c>
    </row>
    <row r="478" spans="1:17">
      <c r="A478" s="95">
        <v>174904221976312</v>
      </c>
      <c r="B478" s="49" t="s">
        <v>10651</v>
      </c>
      <c r="C478" s="49" t="s">
        <v>10806</v>
      </c>
      <c r="D478" s="49" t="s">
        <v>10807</v>
      </c>
      <c r="E478" s="49">
        <v>628127962347</v>
      </c>
      <c r="F478" s="96">
        <v>45832</v>
      </c>
      <c r="G478" s="49" t="s">
        <v>12682</v>
      </c>
      <c r="H478" s="49" t="s">
        <v>12676</v>
      </c>
      <c r="I478" s="95">
        <v>2</v>
      </c>
      <c r="J478" s="95">
        <v>2</v>
      </c>
      <c r="K478" s="95">
        <v>0</v>
      </c>
      <c r="L478" s="97">
        <v>78500</v>
      </c>
      <c r="M478" s="102">
        <v>157</v>
      </c>
      <c r="N478" s="95">
        <v>0</v>
      </c>
      <c r="O478" s="95">
        <v>1</v>
      </c>
      <c r="P478" s="95">
        <v>0</v>
      </c>
      <c r="Q478" s="49" t="s">
        <v>10808</v>
      </c>
    </row>
    <row r="479" spans="1:17">
      <c r="A479" s="95">
        <v>174904221976312</v>
      </c>
      <c r="B479" s="49" t="s">
        <v>10651</v>
      </c>
      <c r="C479" s="49" t="s">
        <v>10806</v>
      </c>
      <c r="D479" s="49" t="s">
        <v>10807</v>
      </c>
      <c r="E479" s="49">
        <v>628127962347</v>
      </c>
      <c r="F479" s="96">
        <v>45832</v>
      </c>
      <c r="G479" s="49" t="s">
        <v>12683</v>
      </c>
      <c r="H479" s="49" t="s">
        <v>12676</v>
      </c>
      <c r="I479" s="95">
        <v>1</v>
      </c>
      <c r="J479" s="95">
        <v>1</v>
      </c>
      <c r="K479" s="95">
        <v>0</v>
      </c>
      <c r="L479" s="97">
        <v>18000</v>
      </c>
      <c r="M479" s="102">
        <v>18</v>
      </c>
      <c r="N479" s="95">
        <v>0</v>
      </c>
      <c r="O479" s="95">
        <v>0</v>
      </c>
      <c r="P479" s="95">
        <v>0</v>
      </c>
      <c r="Q479" s="49" t="s">
        <v>10808</v>
      </c>
    </row>
    <row r="480" spans="1:17">
      <c r="A480" s="95">
        <v>174904221976312</v>
      </c>
      <c r="B480" s="49" t="s">
        <v>10651</v>
      </c>
      <c r="C480" s="49" t="s">
        <v>10806</v>
      </c>
      <c r="D480" s="49" t="s">
        <v>10807</v>
      </c>
      <c r="E480" s="49">
        <v>628127962347</v>
      </c>
      <c r="F480" s="96">
        <v>45832</v>
      </c>
      <c r="G480" s="49" t="s">
        <v>12684</v>
      </c>
      <c r="H480" s="49" t="s">
        <v>12676</v>
      </c>
      <c r="I480" s="95">
        <v>23</v>
      </c>
      <c r="J480" s="95">
        <v>24</v>
      </c>
      <c r="K480" s="95">
        <v>2</v>
      </c>
      <c r="L480" s="97">
        <v>69666.666666666672</v>
      </c>
      <c r="M480" s="102">
        <v>1672</v>
      </c>
      <c r="N480" s="95">
        <v>1</v>
      </c>
      <c r="O480" s="95">
        <v>2</v>
      </c>
      <c r="P480" s="95">
        <v>0</v>
      </c>
      <c r="Q480" s="49" t="s">
        <v>10808</v>
      </c>
    </row>
    <row r="481" spans="1:17">
      <c r="A481" s="95">
        <v>174904221976312</v>
      </c>
      <c r="B481" s="49" t="s">
        <v>10651</v>
      </c>
      <c r="C481" s="49" t="s">
        <v>10806</v>
      </c>
      <c r="D481" s="49" t="s">
        <v>10807</v>
      </c>
      <c r="E481" s="49">
        <v>628127962347</v>
      </c>
      <c r="F481" s="96">
        <v>45832</v>
      </c>
      <c r="G481" s="49" t="s">
        <v>12680</v>
      </c>
      <c r="H481" s="49" t="s">
        <v>12676</v>
      </c>
      <c r="I481" s="95">
        <v>5</v>
      </c>
      <c r="J481" s="95">
        <v>5</v>
      </c>
      <c r="K481" s="95">
        <v>0</v>
      </c>
      <c r="L481" s="97">
        <v>44200</v>
      </c>
      <c r="M481" s="102">
        <v>221</v>
      </c>
      <c r="N481" s="95">
        <v>0</v>
      </c>
      <c r="O481" s="95">
        <v>2</v>
      </c>
      <c r="P481" s="95">
        <v>0</v>
      </c>
      <c r="Q481" s="49" t="s">
        <v>10808</v>
      </c>
    </row>
    <row r="482" spans="1:17">
      <c r="A482" s="95">
        <v>174904221976312</v>
      </c>
      <c r="B482" s="49" t="s">
        <v>10651</v>
      </c>
      <c r="C482" s="49" t="s">
        <v>10806</v>
      </c>
      <c r="D482" s="49" t="s">
        <v>10807</v>
      </c>
      <c r="E482" s="49">
        <v>628127962347</v>
      </c>
      <c r="F482" s="96">
        <v>45832</v>
      </c>
      <c r="G482" s="49" t="s">
        <v>12685</v>
      </c>
      <c r="H482" s="49" t="s">
        <v>12676</v>
      </c>
      <c r="I482" s="95">
        <v>10</v>
      </c>
      <c r="J482" s="95">
        <v>12</v>
      </c>
      <c r="K482" s="95">
        <v>0</v>
      </c>
      <c r="L482" s="97">
        <v>37666.666666666664</v>
      </c>
      <c r="M482" s="102">
        <v>452</v>
      </c>
      <c r="N482" s="95">
        <v>0</v>
      </c>
      <c r="O482" s="95">
        <v>0</v>
      </c>
      <c r="P482" s="95">
        <v>0</v>
      </c>
      <c r="Q482" s="49" t="s">
        <v>10808</v>
      </c>
    </row>
    <row r="483" spans="1:17">
      <c r="A483" s="95">
        <v>174904221976312</v>
      </c>
      <c r="B483" s="49" t="s">
        <v>10651</v>
      </c>
      <c r="C483" s="49" t="s">
        <v>10806</v>
      </c>
      <c r="D483" s="49" t="s">
        <v>10807</v>
      </c>
      <c r="E483" s="49">
        <v>628127962347</v>
      </c>
      <c r="F483" s="96">
        <v>45832</v>
      </c>
      <c r="G483" s="49" t="s">
        <v>12686</v>
      </c>
      <c r="H483" s="49" t="s">
        <v>12676</v>
      </c>
      <c r="I483" s="95">
        <v>1</v>
      </c>
      <c r="J483" s="95">
        <v>1</v>
      </c>
      <c r="K483" s="95">
        <v>0</v>
      </c>
      <c r="L483" s="97">
        <v>31000</v>
      </c>
      <c r="M483" s="102">
        <v>31</v>
      </c>
      <c r="N483" s="95">
        <v>0</v>
      </c>
      <c r="O483" s="95">
        <v>0</v>
      </c>
      <c r="P483" s="95">
        <v>0</v>
      </c>
      <c r="Q483" s="49" t="s">
        <v>10808</v>
      </c>
    </row>
    <row r="484" spans="1:17">
      <c r="A484" s="95">
        <v>174904221976312</v>
      </c>
      <c r="B484" s="49" t="s">
        <v>10651</v>
      </c>
      <c r="C484" s="49" t="s">
        <v>10806</v>
      </c>
      <c r="D484" s="49" t="s">
        <v>10807</v>
      </c>
      <c r="E484" s="49">
        <v>628127962347</v>
      </c>
      <c r="F484" s="96">
        <v>45832</v>
      </c>
      <c r="G484" s="49" t="s">
        <v>2132</v>
      </c>
      <c r="H484" s="49" t="s">
        <v>12676</v>
      </c>
      <c r="I484" s="95">
        <v>7</v>
      </c>
      <c r="J484" s="95">
        <v>7</v>
      </c>
      <c r="K484" s="95">
        <v>0</v>
      </c>
      <c r="L484" s="97">
        <v>91285.71428571429</v>
      </c>
      <c r="M484" s="102">
        <v>639</v>
      </c>
      <c r="N484" s="95">
        <v>0</v>
      </c>
      <c r="O484" s="95">
        <v>3</v>
      </c>
      <c r="P484" s="95">
        <v>0</v>
      </c>
      <c r="Q484" s="49" t="s">
        <v>10808</v>
      </c>
    </row>
    <row r="485" spans="1:17">
      <c r="A485" s="95">
        <v>174904221976312</v>
      </c>
      <c r="B485" s="49" t="s">
        <v>10651</v>
      </c>
      <c r="C485" s="49" t="s">
        <v>10806</v>
      </c>
      <c r="D485" s="49" t="s">
        <v>10807</v>
      </c>
      <c r="E485" s="49">
        <v>628127962347</v>
      </c>
      <c r="F485" s="96">
        <v>45832</v>
      </c>
      <c r="G485" s="49" t="s">
        <v>2718</v>
      </c>
      <c r="H485" s="49" t="s">
        <v>12676</v>
      </c>
      <c r="I485" s="95">
        <v>1</v>
      </c>
      <c r="J485" s="95">
        <v>1</v>
      </c>
      <c r="K485" s="95">
        <v>0</v>
      </c>
      <c r="L485" s="97">
        <v>83000</v>
      </c>
      <c r="M485" s="102">
        <v>83</v>
      </c>
      <c r="N485" s="95">
        <v>0</v>
      </c>
      <c r="O485" s="95">
        <v>1</v>
      </c>
      <c r="P485" s="95">
        <v>0</v>
      </c>
      <c r="Q485" s="49" t="s">
        <v>10808</v>
      </c>
    </row>
    <row r="486" spans="1:17">
      <c r="A486" s="95">
        <v>174904221976312</v>
      </c>
      <c r="B486" s="49" t="s">
        <v>10651</v>
      </c>
      <c r="C486" s="49" t="s">
        <v>10806</v>
      </c>
      <c r="D486" s="49" t="s">
        <v>10807</v>
      </c>
      <c r="E486" s="49">
        <v>628127962347</v>
      </c>
      <c r="F486" s="96">
        <v>45832</v>
      </c>
      <c r="G486" s="49" t="s">
        <v>2981</v>
      </c>
      <c r="H486" s="49" t="s">
        <v>12676</v>
      </c>
      <c r="I486" s="95">
        <v>4</v>
      </c>
      <c r="J486" s="95">
        <v>4</v>
      </c>
      <c r="K486" s="95">
        <v>0</v>
      </c>
      <c r="L486" s="97">
        <v>92500</v>
      </c>
      <c r="M486" s="102">
        <v>370</v>
      </c>
      <c r="N486" s="95">
        <v>0</v>
      </c>
      <c r="O486" s="95">
        <v>0</v>
      </c>
      <c r="P486" s="95">
        <v>0</v>
      </c>
      <c r="Q486" s="49" t="s">
        <v>10808</v>
      </c>
    </row>
    <row r="487" spans="1:17">
      <c r="A487" s="95">
        <v>174904221976312</v>
      </c>
      <c r="B487" s="49" t="s">
        <v>10651</v>
      </c>
      <c r="C487" s="49" t="s">
        <v>10806</v>
      </c>
      <c r="D487" s="49" t="s">
        <v>10807</v>
      </c>
      <c r="E487" s="49">
        <v>628127962347</v>
      </c>
      <c r="F487" s="96">
        <v>45832</v>
      </c>
      <c r="G487" s="49" t="s">
        <v>12687</v>
      </c>
      <c r="H487" s="49" t="s">
        <v>12676</v>
      </c>
      <c r="I487" s="95">
        <v>1</v>
      </c>
      <c r="J487" s="95">
        <v>2</v>
      </c>
      <c r="K487" s="95">
        <v>0</v>
      </c>
      <c r="L487" s="97">
        <v>6500</v>
      </c>
      <c r="M487" s="102">
        <v>13</v>
      </c>
      <c r="N487" s="95">
        <v>0</v>
      </c>
      <c r="O487" s="95">
        <v>0</v>
      </c>
      <c r="P487" s="95">
        <v>0</v>
      </c>
      <c r="Q487" s="49" t="s">
        <v>10808</v>
      </c>
    </row>
    <row r="488" spans="1:17">
      <c r="A488" s="95">
        <v>174904221976312</v>
      </c>
      <c r="B488" s="49" t="s">
        <v>10651</v>
      </c>
      <c r="C488" s="49" t="s">
        <v>10806</v>
      </c>
      <c r="D488" s="49" t="s">
        <v>10807</v>
      </c>
      <c r="E488" s="49">
        <v>628127962347</v>
      </c>
      <c r="F488" s="96">
        <v>45832</v>
      </c>
      <c r="G488" s="49" t="s">
        <v>12689</v>
      </c>
      <c r="H488" s="49" t="s">
        <v>12676</v>
      </c>
      <c r="I488" s="95">
        <v>0</v>
      </c>
      <c r="J488" s="95">
        <v>0</v>
      </c>
      <c r="K488" s="95">
        <v>0</v>
      </c>
      <c r="L488" s="97">
        <v>0</v>
      </c>
      <c r="M488" s="102">
        <v>0</v>
      </c>
      <c r="N488" s="95">
        <v>0</v>
      </c>
      <c r="O488" s="95">
        <v>0</v>
      </c>
      <c r="P488" s="95">
        <v>0</v>
      </c>
      <c r="Q488" s="49" t="s">
        <v>10808</v>
      </c>
    </row>
    <row r="489" spans="1:17">
      <c r="A489" s="95">
        <v>174904221976312</v>
      </c>
      <c r="B489" s="49" t="s">
        <v>10651</v>
      </c>
      <c r="C489" s="49" t="s">
        <v>10806</v>
      </c>
      <c r="D489" s="49" t="s">
        <v>10807</v>
      </c>
      <c r="E489" s="49">
        <v>628127962347</v>
      </c>
      <c r="F489" s="96">
        <v>45832</v>
      </c>
      <c r="G489" s="49" t="s">
        <v>12690</v>
      </c>
      <c r="H489" s="49" t="s">
        <v>12676</v>
      </c>
      <c r="I489" s="95">
        <v>1</v>
      </c>
      <c r="J489" s="95">
        <v>1</v>
      </c>
      <c r="K489" s="95">
        <v>0</v>
      </c>
      <c r="L489" s="97">
        <v>16000</v>
      </c>
      <c r="M489" s="102">
        <v>16</v>
      </c>
      <c r="N489" s="95">
        <v>0</v>
      </c>
      <c r="O489" s="95">
        <v>0</v>
      </c>
      <c r="P489" s="95">
        <v>0</v>
      </c>
      <c r="Q489" s="49" t="s">
        <v>10808</v>
      </c>
    </row>
    <row r="490" spans="1:17">
      <c r="A490" s="95">
        <v>174904221976312</v>
      </c>
      <c r="B490" s="49" t="s">
        <v>10651</v>
      </c>
      <c r="C490" s="49" t="s">
        <v>10806</v>
      </c>
      <c r="D490" s="49" t="s">
        <v>10807</v>
      </c>
      <c r="E490" s="49">
        <v>628127962347</v>
      </c>
      <c r="F490" s="96">
        <v>45832</v>
      </c>
      <c r="G490" s="49" t="s">
        <v>12691</v>
      </c>
      <c r="H490" s="49" t="s">
        <v>12676</v>
      </c>
      <c r="I490" s="95">
        <v>10</v>
      </c>
      <c r="J490" s="95">
        <v>12</v>
      </c>
      <c r="K490" s="95">
        <v>2</v>
      </c>
      <c r="L490" s="97">
        <v>61500</v>
      </c>
      <c r="M490" s="102">
        <v>738</v>
      </c>
      <c r="N490" s="95">
        <v>0</v>
      </c>
      <c r="O490" s="95">
        <v>4</v>
      </c>
      <c r="P490" s="95">
        <v>0</v>
      </c>
      <c r="Q490" s="49" t="s">
        <v>10808</v>
      </c>
    </row>
    <row r="491" spans="1:17">
      <c r="A491" s="95">
        <v>174904221976312</v>
      </c>
      <c r="B491" s="49" t="s">
        <v>10651</v>
      </c>
      <c r="C491" s="49" t="s">
        <v>10806</v>
      </c>
      <c r="D491" s="49" t="s">
        <v>10807</v>
      </c>
      <c r="E491" s="49">
        <v>628127962347</v>
      </c>
      <c r="F491" s="96">
        <v>45832</v>
      </c>
      <c r="G491" s="49" t="s">
        <v>1473</v>
      </c>
      <c r="H491" s="49" t="s">
        <v>12676</v>
      </c>
      <c r="I491" s="95">
        <v>4</v>
      </c>
      <c r="J491" s="95">
        <v>4</v>
      </c>
      <c r="K491" s="95">
        <v>1</v>
      </c>
      <c r="L491" s="97">
        <v>74250</v>
      </c>
      <c r="M491" s="102">
        <v>297</v>
      </c>
      <c r="N491" s="95">
        <v>0</v>
      </c>
      <c r="O491" s="95">
        <v>1</v>
      </c>
      <c r="P491" s="95">
        <v>0</v>
      </c>
      <c r="Q491" s="49" t="s">
        <v>10808</v>
      </c>
    </row>
    <row r="492" spans="1:17">
      <c r="A492" s="95">
        <v>174904221976312</v>
      </c>
      <c r="B492" s="49" t="s">
        <v>10651</v>
      </c>
      <c r="C492" s="49" t="s">
        <v>10806</v>
      </c>
      <c r="D492" s="49" t="s">
        <v>10807</v>
      </c>
      <c r="E492" s="49">
        <v>628127962347</v>
      </c>
      <c r="F492" s="96">
        <v>45832</v>
      </c>
      <c r="G492" s="49" t="s">
        <v>12693</v>
      </c>
      <c r="H492" s="49" t="s">
        <v>12676</v>
      </c>
      <c r="I492" s="95">
        <v>1</v>
      </c>
      <c r="J492" s="95">
        <v>1</v>
      </c>
      <c r="K492" s="95">
        <v>1</v>
      </c>
      <c r="L492" s="97">
        <v>348000</v>
      </c>
      <c r="M492" s="102">
        <v>348</v>
      </c>
      <c r="N492" s="95">
        <v>0</v>
      </c>
      <c r="O492" s="95">
        <v>0</v>
      </c>
      <c r="P492" s="95">
        <v>0</v>
      </c>
      <c r="Q492" s="49" t="s">
        <v>10808</v>
      </c>
    </row>
    <row r="493" spans="1:17">
      <c r="A493" s="95">
        <v>174904221976312</v>
      </c>
      <c r="B493" s="49" t="s">
        <v>10651</v>
      </c>
      <c r="C493" s="49" t="s">
        <v>10806</v>
      </c>
      <c r="D493" s="49" t="s">
        <v>10807</v>
      </c>
      <c r="E493" s="49">
        <v>628127962347</v>
      </c>
      <c r="F493" s="96">
        <v>45832</v>
      </c>
      <c r="G493" s="49" t="s">
        <v>12694</v>
      </c>
      <c r="H493" s="49" t="s">
        <v>12676</v>
      </c>
      <c r="I493" s="95">
        <v>2</v>
      </c>
      <c r="J493" s="95">
        <v>3</v>
      </c>
      <c r="K493" s="95">
        <v>1</v>
      </c>
      <c r="L493" s="97">
        <v>79666.666666666672</v>
      </c>
      <c r="M493" s="102">
        <v>239</v>
      </c>
      <c r="N493" s="95">
        <v>0</v>
      </c>
      <c r="O493" s="95">
        <v>0</v>
      </c>
      <c r="P493" s="95">
        <v>0</v>
      </c>
      <c r="Q493" s="49" t="s">
        <v>10808</v>
      </c>
    </row>
    <row r="494" spans="1:17">
      <c r="A494" s="95">
        <v>174904221976312</v>
      </c>
      <c r="B494" s="49" t="s">
        <v>10651</v>
      </c>
      <c r="C494" s="49" t="s">
        <v>10806</v>
      </c>
      <c r="D494" s="49" t="s">
        <v>10807</v>
      </c>
      <c r="E494" s="49">
        <v>628127962347</v>
      </c>
      <c r="F494" s="96">
        <v>45832</v>
      </c>
      <c r="G494" s="49" t="s">
        <v>12695</v>
      </c>
      <c r="H494" s="49" t="s">
        <v>12676</v>
      </c>
      <c r="I494" s="95">
        <v>7</v>
      </c>
      <c r="J494" s="95">
        <v>8</v>
      </c>
      <c r="K494" s="95">
        <v>1</v>
      </c>
      <c r="L494" s="97">
        <v>67500</v>
      </c>
      <c r="M494" s="102">
        <v>540</v>
      </c>
      <c r="N494" s="95">
        <v>0</v>
      </c>
      <c r="O494" s="95">
        <v>2</v>
      </c>
      <c r="P494" s="95">
        <v>0</v>
      </c>
      <c r="Q494" s="49" t="s">
        <v>10808</v>
      </c>
    </row>
    <row r="495" spans="1:17">
      <c r="A495" s="95">
        <v>174904221976312</v>
      </c>
      <c r="B495" s="49" t="s">
        <v>10651</v>
      </c>
      <c r="C495" s="49" t="s">
        <v>10806</v>
      </c>
      <c r="D495" s="49" t="s">
        <v>10807</v>
      </c>
      <c r="E495" s="49">
        <v>628127962347</v>
      </c>
      <c r="F495" s="96">
        <v>45832</v>
      </c>
      <c r="G495" s="49" t="s">
        <v>12696</v>
      </c>
      <c r="H495" s="49" t="s">
        <v>12676</v>
      </c>
      <c r="I495" s="95">
        <v>3</v>
      </c>
      <c r="J495" s="95">
        <v>3</v>
      </c>
      <c r="K495" s="95">
        <v>0</v>
      </c>
      <c r="L495" s="97">
        <v>10333.333333333334</v>
      </c>
      <c r="M495" s="102">
        <v>31</v>
      </c>
      <c r="N495" s="95">
        <v>0</v>
      </c>
      <c r="O495" s="95">
        <v>0</v>
      </c>
      <c r="P495" s="95">
        <v>0</v>
      </c>
      <c r="Q495" s="49" t="s">
        <v>10808</v>
      </c>
    </row>
    <row r="496" spans="1:17">
      <c r="A496" s="95">
        <v>174904221976312</v>
      </c>
      <c r="B496" s="49" t="s">
        <v>10651</v>
      </c>
      <c r="C496" s="49" t="s">
        <v>10806</v>
      </c>
      <c r="D496" s="49" t="s">
        <v>10807</v>
      </c>
      <c r="E496" s="49">
        <v>628127962347</v>
      </c>
      <c r="F496" s="96">
        <v>45832</v>
      </c>
      <c r="G496" s="49" t="s">
        <v>12697</v>
      </c>
      <c r="H496" s="49" t="s">
        <v>12676</v>
      </c>
      <c r="I496" s="95">
        <v>1</v>
      </c>
      <c r="J496" s="95">
        <v>1</v>
      </c>
      <c r="K496" s="95">
        <v>0</v>
      </c>
      <c r="L496" s="97">
        <v>9000</v>
      </c>
      <c r="M496" s="102">
        <v>9</v>
      </c>
      <c r="N496" s="95">
        <v>0</v>
      </c>
      <c r="O496" s="95">
        <v>0</v>
      </c>
      <c r="P496" s="95">
        <v>0</v>
      </c>
      <c r="Q496" s="49" t="s">
        <v>10808</v>
      </c>
    </row>
    <row r="497" spans="1:17">
      <c r="A497" s="95">
        <v>174904221976312</v>
      </c>
      <c r="B497" s="49" t="s">
        <v>10651</v>
      </c>
      <c r="C497" s="49" t="s">
        <v>10806</v>
      </c>
      <c r="D497" s="49" t="s">
        <v>10807</v>
      </c>
      <c r="E497" s="49">
        <v>628127962347</v>
      </c>
      <c r="F497" s="96">
        <v>45832</v>
      </c>
      <c r="G497" s="49" t="s">
        <v>12679</v>
      </c>
      <c r="H497" s="49" t="s">
        <v>12676</v>
      </c>
      <c r="I497" s="95">
        <v>5</v>
      </c>
      <c r="J497" s="95">
        <v>5</v>
      </c>
      <c r="K497" s="95">
        <v>0</v>
      </c>
      <c r="L497" s="97">
        <v>368000</v>
      </c>
      <c r="M497" s="102">
        <v>1840</v>
      </c>
      <c r="N497" s="95">
        <v>0</v>
      </c>
      <c r="O497" s="95">
        <v>3</v>
      </c>
      <c r="P497" s="95">
        <v>0</v>
      </c>
      <c r="Q497" s="49" t="s">
        <v>10808</v>
      </c>
    </row>
    <row r="498" spans="1:17">
      <c r="A498" s="95">
        <v>174904221976312</v>
      </c>
      <c r="B498" s="49" t="s">
        <v>10651</v>
      </c>
      <c r="C498" s="49" t="s">
        <v>10815</v>
      </c>
      <c r="D498" s="49" t="s">
        <v>651</v>
      </c>
      <c r="E498" s="49">
        <v>6281905836259</v>
      </c>
      <c r="F498" s="96">
        <v>45832</v>
      </c>
      <c r="G498" s="49" t="s">
        <v>7917</v>
      </c>
      <c r="H498" s="49" t="s">
        <v>12676</v>
      </c>
      <c r="I498" s="95">
        <v>46</v>
      </c>
      <c r="J498" s="95">
        <v>51</v>
      </c>
      <c r="K498" s="95">
        <v>0</v>
      </c>
      <c r="L498" s="97">
        <v>40470.588235294119</v>
      </c>
      <c r="M498" s="102">
        <v>2064</v>
      </c>
      <c r="N498" s="95">
        <v>0</v>
      </c>
      <c r="O498" s="95">
        <v>0</v>
      </c>
      <c r="P498" s="95">
        <v>0</v>
      </c>
      <c r="Q498" s="49" t="s">
        <v>10816</v>
      </c>
    </row>
    <row r="499" spans="1:17">
      <c r="A499" s="95">
        <v>174904221976312</v>
      </c>
      <c r="B499" s="49" t="s">
        <v>10651</v>
      </c>
      <c r="C499" s="49" t="s">
        <v>10815</v>
      </c>
      <c r="D499" s="49" t="s">
        <v>651</v>
      </c>
      <c r="E499" s="49">
        <v>6281905836259</v>
      </c>
      <c r="F499" s="96">
        <v>45832</v>
      </c>
      <c r="G499" s="49" t="s">
        <v>2132</v>
      </c>
      <c r="H499" s="49" t="s">
        <v>12676</v>
      </c>
      <c r="I499" s="95">
        <v>216</v>
      </c>
      <c r="J499" s="95">
        <v>232</v>
      </c>
      <c r="K499" s="95">
        <v>4</v>
      </c>
      <c r="L499" s="97">
        <v>33297.413793103442</v>
      </c>
      <c r="M499" s="102">
        <v>7725</v>
      </c>
      <c r="N499" s="95">
        <v>0</v>
      </c>
      <c r="O499" s="95">
        <v>0</v>
      </c>
      <c r="P499" s="95">
        <v>0</v>
      </c>
      <c r="Q499" s="49" t="s">
        <v>10816</v>
      </c>
    </row>
    <row r="500" spans="1:17">
      <c r="A500" s="95">
        <v>174904221976312</v>
      </c>
      <c r="B500" s="49" t="s">
        <v>10651</v>
      </c>
      <c r="C500" s="49" t="s">
        <v>10815</v>
      </c>
      <c r="D500" s="49" t="s">
        <v>651</v>
      </c>
      <c r="E500" s="49">
        <v>6281905836259</v>
      </c>
      <c r="F500" s="96">
        <v>45832</v>
      </c>
      <c r="G500" s="49" t="s">
        <v>12677</v>
      </c>
      <c r="H500" s="49" t="s">
        <v>12676</v>
      </c>
      <c r="I500" s="95">
        <v>145</v>
      </c>
      <c r="J500" s="95">
        <v>159</v>
      </c>
      <c r="K500" s="95">
        <v>6</v>
      </c>
      <c r="L500" s="97">
        <v>24220.12578616352</v>
      </c>
      <c r="M500" s="102">
        <v>3851</v>
      </c>
      <c r="N500" s="95">
        <v>0</v>
      </c>
      <c r="O500" s="95">
        <v>0</v>
      </c>
      <c r="P500" s="95">
        <v>0</v>
      </c>
      <c r="Q500" s="49" t="s">
        <v>10816</v>
      </c>
    </row>
    <row r="501" spans="1:17">
      <c r="A501" s="95">
        <v>174904221976312</v>
      </c>
      <c r="B501" s="49" t="s">
        <v>10651</v>
      </c>
      <c r="C501" s="49" t="s">
        <v>8099</v>
      </c>
      <c r="D501" s="49" t="s">
        <v>2357</v>
      </c>
      <c r="E501" s="49">
        <v>6281221788919</v>
      </c>
      <c r="F501" s="96">
        <v>45832</v>
      </c>
      <c r="G501" s="49" t="s">
        <v>12699</v>
      </c>
      <c r="H501" s="49" t="s">
        <v>12676</v>
      </c>
      <c r="I501" s="95">
        <v>1094</v>
      </c>
      <c r="J501" s="95">
        <v>1430</v>
      </c>
      <c r="K501" s="95">
        <v>25</v>
      </c>
      <c r="L501" s="97">
        <v>8622.3776223776222</v>
      </c>
      <c r="M501" s="102">
        <v>12330</v>
      </c>
      <c r="N501" s="95">
        <v>0</v>
      </c>
      <c r="O501" s="95">
        <v>402</v>
      </c>
      <c r="P501" s="95">
        <v>0</v>
      </c>
      <c r="Q501" s="49" t="s">
        <v>10759</v>
      </c>
    </row>
    <row r="502" spans="1:17">
      <c r="A502" s="95">
        <v>174904221976312</v>
      </c>
      <c r="B502" s="49" t="s">
        <v>10651</v>
      </c>
      <c r="C502" s="49" t="s">
        <v>311</v>
      </c>
      <c r="D502" s="49" t="s">
        <v>10737</v>
      </c>
      <c r="E502" s="49">
        <v>628988759290</v>
      </c>
      <c r="F502" s="96">
        <v>45832</v>
      </c>
      <c r="G502" s="49" t="s">
        <v>1473</v>
      </c>
      <c r="H502" s="49" t="s">
        <v>12676</v>
      </c>
      <c r="I502" s="95">
        <v>809</v>
      </c>
      <c r="J502" s="95">
        <v>1089</v>
      </c>
      <c r="K502" s="95">
        <v>42</v>
      </c>
      <c r="L502" s="97">
        <v>12443.526170798899</v>
      </c>
      <c r="M502" s="102">
        <v>13551</v>
      </c>
      <c r="N502" s="95">
        <v>2</v>
      </c>
      <c r="O502" s="95">
        <v>62</v>
      </c>
      <c r="P502" s="95">
        <v>0</v>
      </c>
      <c r="Q502" s="49" t="s">
        <v>10738</v>
      </c>
    </row>
    <row r="503" spans="1:17">
      <c r="A503" s="95">
        <v>174904221976312</v>
      </c>
      <c r="B503" s="49" t="s">
        <v>10651</v>
      </c>
      <c r="C503" s="49" t="s">
        <v>10778</v>
      </c>
      <c r="D503" s="49" t="s">
        <v>3140</v>
      </c>
      <c r="F503" s="96">
        <v>45832</v>
      </c>
      <c r="G503" s="49" t="s">
        <v>12685</v>
      </c>
      <c r="H503" s="49" t="s">
        <v>12676</v>
      </c>
      <c r="I503" s="95">
        <v>2</v>
      </c>
      <c r="J503" s="95">
        <v>3</v>
      </c>
      <c r="K503" s="95">
        <v>0</v>
      </c>
      <c r="L503" s="97">
        <v>6000</v>
      </c>
      <c r="M503" s="102">
        <v>18</v>
      </c>
      <c r="N503" s="95">
        <v>0</v>
      </c>
      <c r="O503" s="95">
        <v>0</v>
      </c>
      <c r="P503" s="95">
        <v>0</v>
      </c>
      <c r="Q503" s="49" t="s">
        <v>10779</v>
      </c>
    </row>
    <row r="504" spans="1:17">
      <c r="A504" s="95">
        <v>174904221976312</v>
      </c>
      <c r="B504" s="49" t="s">
        <v>10651</v>
      </c>
      <c r="C504" s="49" t="s">
        <v>10778</v>
      </c>
      <c r="D504" s="49" t="s">
        <v>3140</v>
      </c>
      <c r="F504" s="96">
        <v>45832</v>
      </c>
      <c r="G504" s="49" t="s">
        <v>12700</v>
      </c>
      <c r="H504" s="49" t="s">
        <v>12676</v>
      </c>
      <c r="I504" s="95">
        <v>5226</v>
      </c>
      <c r="J504" s="95">
        <v>5697</v>
      </c>
      <c r="K504" s="95">
        <v>85</v>
      </c>
      <c r="L504" s="97">
        <v>2063.5422152009828</v>
      </c>
      <c r="M504" s="102">
        <v>11756</v>
      </c>
      <c r="N504" s="95">
        <v>0</v>
      </c>
      <c r="O504" s="95">
        <v>525</v>
      </c>
      <c r="P504" s="95">
        <v>0</v>
      </c>
      <c r="Q504" s="49" t="s">
        <v>10779</v>
      </c>
    </row>
    <row r="505" spans="1:17">
      <c r="A505" s="95">
        <v>174904221976312</v>
      </c>
      <c r="B505" s="49" t="s">
        <v>10651</v>
      </c>
      <c r="C505" s="49" t="s">
        <v>10673</v>
      </c>
      <c r="D505" s="49" t="s">
        <v>10674</v>
      </c>
      <c r="E505" s="49">
        <v>6282183184641</v>
      </c>
      <c r="F505" s="96">
        <v>45832</v>
      </c>
      <c r="G505" s="49" t="s">
        <v>2718</v>
      </c>
      <c r="H505" s="49" t="s">
        <v>12676</v>
      </c>
      <c r="I505" s="95">
        <v>374</v>
      </c>
      <c r="J505" s="95">
        <v>502</v>
      </c>
      <c r="K505" s="95">
        <v>15</v>
      </c>
      <c r="L505" s="97">
        <v>25663.346613545815</v>
      </c>
      <c r="M505" s="102">
        <v>12883</v>
      </c>
      <c r="N505" s="95">
        <v>0</v>
      </c>
      <c r="O505" s="95">
        <v>2</v>
      </c>
      <c r="P505" s="95">
        <v>0</v>
      </c>
      <c r="Q505" s="49" t="s">
        <v>10916</v>
      </c>
    </row>
    <row r="506" spans="1:17">
      <c r="A506" s="95">
        <v>174904221976312</v>
      </c>
      <c r="B506" s="49" t="s">
        <v>10651</v>
      </c>
      <c r="C506" s="49" t="s">
        <v>10673</v>
      </c>
      <c r="D506" s="49" t="s">
        <v>10674</v>
      </c>
      <c r="E506" s="49">
        <v>6282183184641</v>
      </c>
      <c r="F506" s="96">
        <v>45832</v>
      </c>
      <c r="G506" s="49" t="s">
        <v>12696</v>
      </c>
      <c r="H506" s="49" t="s">
        <v>12676</v>
      </c>
      <c r="I506" s="95">
        <v>3</v>
      </c>
      <c r="J506" s="95">
        <v>3</v>
      </c>
      <c r="K506" s="95">
        <v>0</v>
      </c>
      <c r="L506" s="97">
        <v>7666.666666666667</v>
      </c>
      <c r="M506" s="102">
        <v>23</v>
      </c>
      <c r="N506" s="95">
        <v>0</v>
      </c>
      <c r="O506" s="95">
        <v>0</v>
      </c>
      <c r="P506" s="95">
        <v>0</v>
      </c>
      <c r="Q506" s="49" t="s">
        <v>10916</v>
      </c>
    </row>
    <row r="507" spans="1:17">
      <c r="A507" s="95">
        <v>174904221976312</v>
      </c>
      <c r="B507" s="49" t="s">
        <v>10651</v>
      </c>
      <c r="C507" s="49" t="s">
        <v>10652</v>
      </c>
      <c r="D507" s="49" t="s">
        <v>10653</v>
      </c>
      <c r="E507" s="49">
        <v>6281348555887</v>
      </c>
      <c r="F507" s="96">
        <v>45832</v>
      </c>
      <c r="G507" s="49" t="s">
        <v>12680</v>
      </c>
      <c r="H507" s="49" t="s">
        <v>12676</v>
      </c>
      <c r="I507" s="95">
        <v>803</v>
      </c>
      <c r="J507" s="95">
        <v>949</v>
      </c>
      <c r="K507" s="95">
        <v>32</v>
      </c>
      <c r="L507" s="97">
        <v>14199.157007376185</v>
      </c>
      <c r="M507" s="102">
        <v>13475</v>
      </c>
      <c r="N507" s="95">
        <v>0</v>
      </c>
      <c r="O507" s="95">
        <v>261</v>
      </c>
      <c r="P507" s="95">
        <v>0</v>
      </c>
      <c r="Q507" s="49" t="s">
        <v>10654</v>
      </c>
    </row>
    <row r="508" spans="1:17">
      <c r="A508" s="95">
        <v>174904221976312</v>
      </c>
      <c r="B508" s="49" t="s">
        <v>10651</v>
      </c>
      <c r="C508" s="49" t="s">
        <v>10659</v>
      </c>
      <c r="D508" s="49" t="s">
        <v>1044</v>
      </c>
      <c r="E508" s="49">
        <v>6281263113266</v>
      </c>
      <c r="F508" s="96">
        <v>45832</v>
      </c>
      <c r="G508" s="49" t="s">
        <v>12691</v>
      </c>
      <c r="H508" s="49" t="s">
        <v>12676</v>
      </c>
      <c r="I508" s="95">
        <v>1280</v>
      </c>
      <c r="J508" s="95">
        <v>1533</v>
      </c>
      <c r="K508" s="95">
        <v>66</v>
      </c>
      <c r="L508" s="97">
        <v>9450.7501630789302</v>
      </c>
      <c r="M508" s="102">
        <v>14488</v>
      </c>
      <c r="N508" s="95">
        <v>5</v>
      </c>
      <c r="O508" s="95">
        <v>0</v>
      </c>
      <c r="P508" s="95">
        <v>1</v>
      </c>
      <c r="Q508" s="49" t="s">
        <v>10660</v>
      </c>
    </row>
    <row r="509" spans="1:17">
      <c r="A509" s="95">
        <v>766589657993298</v>
      </c>
      <c r="B509" s="49" t="s">
        <v>10688</v>
      </c>
      <c r="C509" s="49" t="s">
        <v>10917</v>
      </c>
      <c r="D509" s="49" t="s">
        <v>1037</v>
      </c>
      <c r="E509" s="49">
        <v>6281383434602</v>
      </c>
      <c r="F509" s="96">
        <v>45832</v>
      </c>
      <c r="G509" s="49" t="s">
        <v>2132</v>
      </c>
      <c r="H509" s="49" t="s">
        <v>12676</v>
      </c>
      <c r="I509" s="95">
        <v>266</v>
      </c>
      <c r="J509" s="95">
        <v>289</v>
      </c>
      <c r="K509" s="95">
        <v>4</v>
      </c>
      <c r="L509" s="97">
        <v>31972.318339100348</v>
      </c>
      <c r="M509" s="102">
        <v>9240</v>
      </c>
      <c r="N509" s="95">
        <v>0</v>
      </c>
      <c r="O509" s="95">
        <v>89</v>
      </c>
      <c r="P509" s="95">
        <v>1</v>
      </c>
      <c r="Q509" s="49" t="s">
        <v>10918</v>
      </c>
    </row>
    <row r="510" spans="1:17">
      <c r="A510" s="95">
        <v>766589657993298</v>
      </c>
      <c r="B510" s="49" t="s">
        <v>10688</v>
      </c>
      <c r="C510" s="49" t="s">
        <v>10917</v>
      </c>
      <c r="D510" s="49" t="s">
        <v>1037</v>
      </c>
      <c r="E510" s="49">
        <v>6281383434602</v>
      </c>
      <c r="F510" s="96">
        <v>45832</v>
      </c>
      <c r="G510" s="49" t="s">
        <v>12677</v>
      </c>
      <c r="H510" s="49" t="s">
        <v>12676</v>
      </c>
      <c r="I510" s="95">
        <v>172</v>
      </c>
      <c r="J510" s="95">
        <v>189</v>
      </c>
      <c r="K510" s="95">
        <v>2</v>
      </c>
      <c r="L510" s="97">
        <v>27058.201058201055</v>
      </c>
      <c r="M510" s="102">
        <v>5114</v>
      </c>
      <c r="N510" s="95">
        <v>1</v>
      </c>
      <c r="O510" s="95">
        <v>65</v>
      </c>
      <c r="P510" s="95">
        <v>0</v>
      </c>
      <c r="Q510" s="49" t="s">
        <v>10918</v>
      </c>
    </row>
    <row r="511" spans="1:17">
      <c r="A511" s="95">
        <v>766589657993298</v>
      </c>
      <c r="B511" s="49" t="s">
        <v>10688</v>
      </c>
      <c r="C511" s="49" t="s">
        <v>10919</v>
      </c>
      <c r="D511" s="49" t="s">
        <v>951</v>
      </c>
      <c r="E511" s="49">
        <v>6281383899119</v>
      </c>
      <c r="F511" s="96">
        <v>45832</v>
      </c>
      <c r="G511" s="49" t="s">
        <v>2132</v>
      </c>
      <c r="H511" s="49" t="s">
        <v>12676</v>
      </c>
      <c r="I511" s="95">
        <v>514</v>
      </c>
      <c r="J511" s="95">
        <v>580</v>
      </c>
      <c r="K511" s="95">
        <v>15</v>
      </c>
      <c r="L511" s="97">
        <v>18281.03448275862</v>
      </c>
      <c r="M511" s="102">
        <v>10603</v>
      </c>
      <c r="N511" s="95">
        <v>1</v>
      </c>
      <c r="O511" s="95">
        <v>0</v>
      </c>
      <c r="P511" s="95">
        <v>0</v>
      </c>
      <c r="Q511" s="49" t="s">
        <v>10920</v>
      </c>
    </row>
    <row r="512" spans="1:17">
      <c r="A512" s="95">
        <v>766589657993298</v>
      </c>
      <c r="B512" s="49" t="s">
        <v>10688</v>
      </c>
      <c r="C512" s="49" t="s">
        <v>10919</v>
      </c>
      <c r="D512" s="49" t="s">
        <v>951</v>
      </c>
      <c r="E512" s="49">
        <v>6281383899119</v>
      </c>
      <c r="F512" s="96">
        <v>45832</v>
      </c>
      <c r="G512" s="49" t="s">
        <v>12677</v>
      </c>
      <c r="H512" s="49" t="s">
        <v>12676</v>
      </c>
      <c r="I512" s="95">
        <v>190</v>
      </c>
      <c r="J512" s="95">
        <v>215</v>
      </c>
      <c r="K512" s="95">
        <v>2</v>
      </c>
      <c r="L512" s="97">
        <v>21604.651162790698</v>
      </c>
      <c r="M512" s="102">
        <v>4645</v>
      </c>
      <c r="N512" s="95">
        <v>0</v>
      </c>
      <c r="O512" s="95">
        <v>0</v>
      </c>
      <c r="P512" s="95">
        <v>0</v>
      </c>
      <c r="Q512" s="49" t="s">
        <v>10920</v>
      </c>
    </row>
    <row r="513" spans="1:17">
      <c r="A513" s="95">
        <v>766589657993298</v>
      </c>
      <c r="B513" s="49" t="s">
        <v>10688</v>
      </c>
      <c r="C513" s="49" t="s">
        <v>10898</v>
      </c>
      <c r="D513" s="49" t="s">
        <v>978</v>
      </c>
      <c r="E513" s="49">
        <v>6283135590465</v>
      </c>
      <c r="F513" s="96">
        <v>45832</v>
      </c>
      <c r="G513" s="49" t="s">
        <v>12684</v>
      </c>
      <c r="H513" s="49" t="s">
        <v>12676</v>
      </c>
      <c r="I513" s="95">
        <v>403</v>
      </c>
      <c r="J513" s="95">
        <v>534</v>
      </c>
      <c r="K513" s="95">
        <v>9</v>
      </c>
      <c r="L513" s="97">
        <v>27241.573033707864</v>
      </c>
      <c r="M513" s="102">
        <v>14547</v>
      </c>
      <c r="N513" s="95">
        <v>1</v>
      </c>
      <c r="O513" s="95">
        <v>113</v>
      </c>
      <c r="P513" s="95">
        <v>0</v>
      </c>
      <c r="Q513" s="49" t="s">
        <v>10899</v>
      </c>
    </row>
    <row r="514" spans="1:17">
      <c r="A514" s="95">
        <v>766589657993298</v>
      </c>
      <c r="B514" s="49" t="s">
        <v>10688</v>
      </c>
      <c r="C514" s="49" t="s">
        <v>10883</v>
      </c>
      <c r="D514" s="49" t="s">
        <v>920</v>
      </c>
      <c r="E514" s="49">
        <v>6281514999073</v>
      </c>
      <c r="F514" s="96">
        <v>45832</v>
      </c>
      <c r="G514" s="49" t="s">
        <v>7917</v>
      </c>
      <c r="H514" s="49" t="s">
        <v>12676</v>
      </c>
      <c r="I514" s="95">
        <v>48</v>
      </c>
      <c r="J514" s="95">
        <v>57</v>
      </c>
      <c r="K514" s="95">
        <v>2</v>
      </c>
      <c r="L514" s="97">
        <v>26333.333333333332</v>
      </c>
      <c r="M514" s="102">
        <v>1501</v>
      </c>
      <c r="N514" s="95">
        <v>1</v>
      </c>
      <c r="O514" s="95">
        <v>23</v>
      </c>
      <c r="P514" s="95">
        <v>0</v>
      </c>
      <c r="Q514" s="49" t="s">
        <v>10884</v>
      </c>
    </row>
    <row r="515" spans="1:17">
      <c r="A515" s="95">
        <v>766589657993298</v>
      </c>
      <c r="B515" s="49" t="s">
        <v>10688</v>
      </c>
      <c r="C515" s="49" t="s">
        <v>10883</v>
      </c>
      <c r="D515" s="49" t="s">
        <v>920</v>
      </c>
      <c r="E515" s="49">
        <v>6281514999073</v>
      </c>
      <c r="F515" s="96">
        <v>45832</v>
      </c>
      <c r="G515" s="49" t="s">
        <v>2132</v>
      </c>
      <c r="H515" s="49" t="s">
        <v>12676</v>
      </c>
      <c r="I515" s="95">
        <v>212</v>
      </c>
      <c r="J515" s="95">
        <v>238</v>
      </c>
      <c r="K515" s="95">
        <v>10</v>
      </c>
      <c r="L515" s="97">
        <v>35441.176470588231</v>
      </c>
      <c r="M515" s="102">
        <v>8435</v>
      </c>
      <c r="N515" s="95">
        <v>3</v>
      </c>
      <c r="O515" s="95">
        <v>121</v>
      </c>
      <c r="P515" s="95">
        <v>0</v>
      </c>
      <c r="Q515" s="49" t="s">
        <v>10884</v>
      </c>
    </row>
    <row r="516" spans="1:17">
      <c r="A516" s="95">
        <v>766589657993298</v>
      </c>
      <c r="B516" s="49" t="s">
        <v>10688</v>
      </c>
      <c r="C516" s="49" t="s">
        <v>10883</v>
      </c>
      <c r="D516" s="49" t="s">
        <v>920</v>
      </c>
      <c r="E516" s="49">
        <v>6281514999073</v>
      </c>
      <c r="F516" s="96">
        <v>45832</v>
      </c>
      <c r="G516" s="49" t="s">
        <v>12677</v>
      </c>
      <c r="H516" s="49" t="s">
        <v>12676</v>
      </c>
      <c r="I516" s="95">
        <v>113</v>
      </c>
      <c r="J516" s="95">
        <v>133</v>
      </c>
      <c r="K516" s="95">
        <v>6</v>
      </c>
      <c r="L516" s="97">
        <v>35481.203007518801</v>
      </c>
      <c r="M516" s="102">
        <v>4719</v>
      </c>
      <c r="N516" s="95">
        <v>1</v>
      </c>
      <c r="O516" s="95">
        <v>67</v>
      </c>
      <c r="P516" s="95">
        <v>0</v>
      </c>
      <c r="Q516" s="49" t="s">
        <v>10884</v>
      </c>
    </row>
    <row r="517" spans="1:17">
      <c r="A517" s="95">
        <v>766589657993298</v>
      </c>
      <c r="B517" s="49" t="s">
        <v>10688</v>
      </c>
      <c r="C517" s="49" t="s">
        <v>10885</v>
      </c>
      <c r="D517" s="49" t="s">
        <v>906</v>
      </c>
      <c r="E517" s="49">
        <v>6282183115806</v>
      </c>
      <c r="F517" s="96">
        <v>45832</v>
      </c>
      <c r="G517" s="49" t="s">
        <v>12694</v>
      </c>
      <c r="H517" s="49" t="s">
        <v>12676</v>
      </c>
      <c r="I517" s="95">
        <v>1127</v>
      </c>
      <c r="J517" s="95">
        <v>1299</v>
      </c>
      <c r="K517" s="95">
        <v>33</v>
      </c>
      <c r="L517" s="97">
        <v>12020.015396458815</v>
      </c>
      <c r="M517" s="102">
        <v>15614</v>
      </c>
      <c r="N517" s="95">
        <v>4</v>
      </c>
      <c r="O517" s="95">
        <v>569</v>
      </c>
      <c r="P517" s="95">
        <v>0</v>
      </c>
      <c r="Q517" s="49" t="s">
        <v>10886</v>
      </c>
    </row>
    <row r="518" spans="1:17">
      <c r="A518" s="95">
        <v>766589657993298</v>
      </c>
      <c r="B518" s="49" t="s">
        <v>10688</v>
      </c>
      <c r="C518" s="49" t="s">
        <v>10887</v>
      </c>
      <c r="D518" s="49" t="s">
        <v>10888</v>
      </c>
      <c r="E518" s="49">
        <v>6283151330372</v>
      </c>
      <c r="F518" s="96">
        <v>45832</v>
      </c>
      <c r="G518" s="49" t="s">
        <v>12691</v>
      </c>
      <c r="H518" s="49" t="s">
        <v>12676</v>
      </c>
      <c r="I518" s="95">
        <v>563</v>
      </c>
      <c r="J518" s="95">
        <v>681</v>
      </c>
      <c r="K518" s="95">
        <v>11</v>
      </c>
      <c r="L518" s="97">
        <v>21314.24375917768</v>
      </c>
      <c r="M518" s="102">
        <v>14515</v>
      </c>
      <c r="N518" s="95">
        <v>2</v>
      </c>
      <c r="O518" s="95">
        <v>349</v>
      </c>
      <c r="P518" s="95">
        <v>0</v>
      </c>
      <c r="Q518" s="49" t="s">
        <v>10889</v>
      </c>
    </row>
    <row r="519" spans="1:17">
      <c r="A519" s="95">
        <v>766589657993298</v>
      </c>
      <c r="B519" s="49" t="s">
        <v>10688</v>
      </c>
      <c r="C519" s="49" t="s">
        <v>10869</v>
      </c>
      <c r="D519" s="49" t="s">
        <v>10870</v>
      </c>
      <c r="E519" s="49">
        <v>6281230995752</v>
      </c>
      <c r="F519" s="96">
        <v>45832</v>
      </c>
      <c r="G519" s="49" t="s">
        <v>46</v>
      </c>
      <c r="H519" s="49" t="s">
        <v>12676</v>
      </c>
      <c r="I519" s="95">
        <v>761</v>
      </c>
      <c r="J519" s="95">
        <v>991</v>
      </c>
      <c r="K519" s="95">
        <v>25</v>
      </c>
      <c r="L519" s="97">
        <v>15491.422805247224</v>
      </c>
      <c r="M519" s="102">
        <v>15352</v>
      </c>
      <c r="N519" s="95">
        <v>3</v>
      </c>
      <c r="O519" s="95">
        <v>3</v>
      </c>
      <c r="P519" s="95">
        <v>0</v>
      </c>
      <c r="Q519" s="49" t="s">
        <v>10871</v>
      </c>
    </row>
    <row r="520" spans="1:17">
      <c r="A520" s="95">
        <v>766589657993298</v>
      </c>
      <c r="B520" s="49" t="s">
        <v>10688</v>
      </c>
      <c r="C520" s="49" t="s">
        <v>10872</v>
      </c>
      <c r="D520" s="49" t="s">
        <v>846</v>
      </c>
      <c r="E520" s="49">
        <v>6281233044823</v>
      </c>
      <c r="F520" s="96">
        <v>45832</v>
      </c>
      <c r="G520" s="49" t="s">
        <v>12684</v>
      </c>
      <c r="H520" s="49" t="s">
        <v>12676</v>
      </c>
      <c r="I520" s="95">
        <v>421</v>
      </c>
      <c r="J520" s="95">
        <v>490</v>
      </c>
      <c r="K520" s="95">
        <v>10</v>
      </c>
      <c r="L520" s="97">
        <v>25163.265306122448</v>
      </c>
      <c r="M520" s="102">
        <v>12330</v>
      </c>
      <c r="N520" s="95">
        <v>0</v>
      </c>
      <c r="O520" s="95">
        <v>30</v>
      </c>
      <c r="P520" s="95">
        <v>0</v>
      </c>
      <c r="Q520" s="49" t="s">
        <v>10873</v>
      </c>
    </row>
    <row r="521" spans="1:17">
      <c r="A521" s="95">
        <v>766589657993298</v>
      </c>
      <c r="B521" s="49" t="s">
        <v>10688</v>
      </c>
      <c r="C521" s="49" t="s">
        <v>10874</v>
      </c>
      <c r="D521" s="49" t="s">
        <v>10875</v>
      </c>
      <c r="E521" s="49">
        <v>6281283325291</v>
      </c>
      <c r="F521" s="96">
        <v>45832</v>
      </c>
      <c r="G521" s="49" t="s">
        <v>7917</v>
      </c>
      <c r="H521" s="49" t="s">
        <v>12676</v>
      </c>
      <c r="I521" s="95">
        <v>33</v>
      </c>
      <c r="J521" s="95">
        <v>36</v>
      </c>
      <c r="K521" s="95">
        <v>0</v>
      </c>
      <c r="L521" s="97">
        <v>64861.111111111117</v>
      </c>
      <c r="M521" s="102">
        <v>2335</v>
      </c>
      <c r="N521" s="95">
        <v>0</v>
      </c>
      <c r="O521" s="95">
        <v>6</v>
      </c>
      <c r="P521" s="95">
        <v>0</v>
      </c>
      <c r="Q521" s="49" t="s">
        <v>10876</v>
      </c>
    </row>
    <row r="522" spans="1:17">
      <c r="A522" s="95">
        <v>766589657993298</v>
      </c>
      <c r="B522" s="49" t="s">
        <v>10688</v>
      </c>
      <c r="C522" s="49" t="s">
        <v>10874</v>
      </c>
      <c r="D522" s="49" t="s">
        <v>10875</v>
      </c>
      <c r="E522" s="49">
        <v>6281283325291</v>
      </c>
      <c r="F522" s="96">
        <v>45832</v>
      </c>
      <c r="G522" s="49" t="s">
        <v>2132</v>
      </c>
      <c r="H522" s="49" t="s">
        <v>12676</v>
      </c>
      <c r="I522" s="95">
        <v>160</v>
      </c>
      <c r="J522" s="95">
        <v>177</v>
      </c>
      <c r="K522" s="95">
        <v>5</v>
      </c>
      <c r="L522" s="97">
        <v>60271.186440677964</v>
      </c>
      <c r="M522" s="102">
        <v>10668</v>
      </c>
      <c r="N522" s="95">
        <v>1</v>
      </c>
      <c r="O522" s="95">
        <v>30</v>
      </c>
      <c r="P522" s="95">
        <v>0</v>
      </c>
      <c r="Q522" s="49" t="s">
        <v>10876</v>
      </c>
    </row>
    <row r="523" spans="1:17">
      <c r="A523" s="95">
        <v>766589657993298</v>
      </c>
      <c r="B523" s="49" t="s">
        <v>10688</v>
      </c>
      <c r="C523" s="49" t="s">
        <v>10874</v>
      </c>
      <c r="D523" s="49" t="s">
        <v>10875</v>
      </c>
      <c r="E523" s="49">
        <v>6281283325291</v>
      </c>
      <c r="F523" s="96">
        <v>45832</v>
      </c>
      <c r="G523" s="49" t="s">
        <v>12677</v>
      </c>
      <c r="H523" s="49" t="s">
        <v>12676</v>
      </c>
      <c r="I523" s="95">
        <v>80</v>
      </c>
      <c r="J523" s="95">
        <v>88</v>
      </c>
      <c r="K523" s="95">
        <v>1</v>
      </c>
      <c r="L523" s="97">
        <v>33670.454545454544</v>
      </c>
      <c r="M523" s="102">
        <v>2963</v>
      </c>
      <c r="N523" s="95">
        <v>0</v>
      </c>
      <c r="O523" s="95">
        <v>19</v>
      </c>
      <c r="P523" s="95">
        <v>0</v>
      </c>
      <c r="Q523" s="49" t="s">
        <v>10876</v>
      </c>
    </row>
    <row r="524" spans="1:17">
      <c r="A524" s="95">
        <v>766589657993298</v>
      </c>
      <c r="B524" s="49" t="s">
        <v>10688</v>
      </c>
      <c r="C524" s="49" t="s">
        <v>10877</v>
      </c>
      <c r="D524" s="49" t="s">
        <v>861</v>
      </c>
      <c r="E524" s="49">
        <v>6289617461806</v>
      </c>
      <c r="F524" s="96">
        <v>45832</v>
      </c>
      <c r="G524" s="49" t="s">
        <v>7917</v>
      </c>
      <c r="H524" s="49" t="s">
        <v>12676</v>
      </c>
      <c r="I524" s="95">
        <v>128</v>
      </c>
      <c r="J524" s="95">
        <v>147</v>
      </c>
      <c r="K524" s="95">
        <v>3</v>
      </c>
      <c r="L524" s="97">
        <v>13721.088435374149</v>
      </c>
      <c r="M524" s="102">
        <v>2017</v>
      </c>
      <c r="N524" s="95">
        <v>0</v>
      </c>
      <c r="O524" s="95">
        <v>49</v>
      </c>
      <c r="P524" s="95">
        <v>0</v>
      </c>
      <c r="Q524" s="49" t="s">
        <v>10878</v>
      </c>
    </row>
    <row r="525" spans="1:17">
      <c r="A525" s="95">
        <v>766589657993298</v>
      </c>
      <c r="B525" s="49" t="s">
        <v>10688</v>
      </c>
      <c r="C525" s="49" t="s">
        <v>10877</v>
      </c>
      <c r="D525" s="49" t="s">
        <v>861</v>
      </c>
      <c r="E525" s="49">
        <v>6289617461806</v>
      </c>
      <c r="F525" s="96">
        <v>45832</v>
      </c>
      <c r="G525" s="49" t="s">
        <v>2132</v>
      </c>
      <c r="H525" s="49" t="s">
        <v>12676</v>
      </c>
      <c r="I525" s="95">
        <v>327</v>
      </c>
      <c r="J525" s="95">
        <v>379</v>
      </c>
      <c r="K525" s="95">
        <v>8</v>
      </c>
      <c r="L525" s="97">
        <v>22263.852242744066</v>
      </c>
      <c r="M525" s="102">
        <v>8438</v>
      </c>
      <c r="N525" s="95">
        <v>4</v>
      </c>
      <c r="O525" s="95">
        <v>110</v>
      </c>
      <c r="P525" s="95">
        <v>0</v>
      </c>
      <c r="Q525" s="49" t="s">
        <v>10878</v>
      </c>
    </row>
    <row r="526" spans="1:17">
      <c r="A526" s="95">
        <v>766589657993298</v>
      </c>
      <c r="B526" s="49" t="s">
        <v>10688</v>
      </c>
      <c r="C526" s="49" t="s">
        <v>10877</v>
      </c>
      <c r="D526" s="49" t="s">
        <v>861</v>
      </c>
      <c r="E526" s="49">
        <v>6289617461806</v>
      </c>
      <c r="F526" s="96">
        <v>45832</v>
      </c>
      <c r="G526" s="49" t="s">
        <v>12677</v>
      </c>
      <c r="H526" s="49" t="s">
        <v>12676</v>
      </c>
      <c r="I526" s="95">
        <v>235</v>
      </c>
      <c r="J526" s="95">
        <v>274</v>
      </c>
      <c r="K526" s="95">
        <v>7</v>
      </c>
      <c r="L526" s="97">
        <v>18572.992700729927</v>
      </c>
      <c r="M526" s="102">
        <v>5089</v>
      </c>
      <c r="N526" s="95">
        <v>2</v>
      </c>
      <c r="O526" s="95">
        <v>75</v>
      </c>
      <c r="P526" s="95">
        <v>0</v>
      </c>
      <c r="Q526" s="49" t="s">
        <v>10878</v>
      </c>
    </row>
    <row r="527" spans="1:17">
      <c r="A527" s="95">
        <v>766589657993298</v>
      </c>
      <c r="B527" s="49" t="s">
        <v>10688</v>
      </c>
      <c r="C527" s="49" t="s">
        <v>10879</v>
      </c>
      <c r="D527" s="49" t="s">
        <v>10880</v>
      </c>
      <c r="E527" s="49">
        <v>6281215851833</v>
      </c>
      <c r="F527" s="96">
        <v>45832</v>
      </c>
      <c r="G527" s="49" t="s">
        <v>46</v>
      </c>
      <c r="H527" s="49" t="s">
        <v>12676</v>
      </c>
      <c r="I527" s="95">
        <v>98</v>
      </c>
      <c r="J527" s="95">
        <v>110</v>
      </c>
      <c r="K527" s="95">
        <v>6</v>
      </c>
      <c r="L527" s="97">
        <v>23345.454545454544</v>
      </c>
      <c r="M527" s="102">
        <v>2568</v>
      </c>
      <c r="N527" s="95">
        <v>1</v>
      </c>
      <c r="O527" s="95">
        <v>0</v>
      </c>
      <c r="P527" s="95">
        <v>0</v>
      </c>
      <c r="Q527" s="49" t="s">
        <v>10881</v>
      </c>
    </row>
    <row r="528" spans="1:17">
      <c r="A528" s="95">
        <v>766589657993298</v>
      </c>
      <c r="B528" s="49" t="s">
        <v>10688</v>
      </c>
      <c r="C528" s="49" t="s">
        <v>10879</v>
      </c>
      <c r="D528" s="49" t="s">
        <v>10880</v>
      </c>
      <c r="E528" s="49">
        <v>6281215851833</v>
      </c>
      <c r="F528" s="96">
        <v>45832</v>
      </c>
      <c r="G528" s="49" t="s">
        <v>7917</v>
      </c>
      <c r="H528" s="49" t="s">
        <v>12676</v>
      </c>
      <c r="I528" s="95">
        <v>22</v>
      </c>
      <c r="J528" s="95">
        <v>22</v>
      </c>
      <c r="K528" s="95">
        <v>0</v>
      </c>
      <c r="L528" s="97">
        <v>10272.727272727274</v>
      </c>
      <c r="M528" s="102">
        <v>226</v>
      </c>
      <c r="N528" s="95">
        <v>0</v>
      </c>
      <c r="O528" s="95">
        <v>0</v>
      </c>
      <c r="P528" s="95">
        <v>0</v>
      </c>
      <c r="Q528" s="49" t="s">
        <v>10881</v>
      </c>
    </row>
    <row r="529" spans="1:17">
      <c r="A529" s="95">
        <v>766589657993298</v>
      </c>
      <c r="B529" s="49" t="s">
        <v>10688</v>
      </c>
      <c r="C529" s="49" t="s">
        <v>10879</v>
      </c>
      <c r="D529" s="49" t="s">
        <v>10880</v>
      </c>
      <c r="E529" s="49">
        <v>6281215851833</v>
      </c>
      <c r="F529" s="96">
        <v>45832</v>
      </c>
      <c r="G529" s="49" t="s">
        <v>12678</v>
      </c>
      <c r="H529" s="49" t="s">
        <v>12676</v>
      </c>
      <c r="I529" s="95">
        <v>172</v>
      </c>
      <c r="J529" s="95">
        <v>204</v>
      </c>
      <c r="K529" s="95">
        <v>8</v>
      </c>
      <c r="L529" s="97">
        <v>19279.411764705885</v>
      </c>
      <c r="M529" s="102">
        <v>3933</v>
      </c>
      <c r="N529" s="95">
        <v>2</v>
      </c>
      <c r="O529" s="95">
        <v>0</v>
      </c>
      <c r="P529" s="95">
        <v>0</v>
      </c>
      <c r="Q529" s="49" t="s">
        <v>10881</v>
      </c>
    </row>
    <row r="530" spans="1:17">
      <c r="A530" s="95">
        <v>766589657993298</v>
      </c>
      <c r="B530" s="49" t="s">
        <v>10688</v>
      </c>
      <c r="C530" s="49" t="s">
        <v>10879</v>
      </c>
      <c r="D530" s="49" t="s">
        <v>10880</v>
      </c>
      <c r="E530" s="49">
        <v>6281215851833</v>
      </c>
      <c r="F530" s="96">
        <v>45832</v>
      </c>
      <c r="G530" s="49" t="s">
        <v>12684</v>
      </c>
      <c r="H530" s="49" t="s">
        <v>12676</v>
      </c>
      <c r="I530" s="95">
        <v>78</v>
      </c>
      <c r="J530" s="95">
        <v>81</v>
      </c>
      <c r="K530" s="95">
        <v>4</v>
      </c>
      <c r="L530" s="97">
        <v>35925.925925925927</v>
      </c>
      <c r="M530" s="102">
        <v>2910</v>
      </c>
      <c r="N530" s="95">
        <v>1</v>
      </c>
      <c r="O530" s="95">
        <v>0</v>
      </c>
      <c r="P530" s="95">
        <v>0</v>
      </c>
      <c r="Q530" s="49" t="s">
        <v>10881</v>
      </c>
    </row>
    <row r="531" spans="1:17">
      <c r="A531" s="95">
        <v>766589657993298</v>
      </c>
      <c r="B531" s="49" t="s">
        <v>10688</v>
      </c>
      <c r="C531" s="49" t="s">
        <v>10879</v>
      </c>
      <c r="D531" s="49" t="s">
        <v>10880</v>
      </c>
      <c r="E531" s="49">
        <v>6281215851833</v>
      </c>
      <c r="F531" s="96">
        <v>45832</v>
      </c>
      <c r="G531" s="49" t="s">
        <v>2132</v>
      </c>
      <c r="H531" s="49" t="s">
        <v>12676</v>
      </c>
      <c r="I531" s="95">
        <v>44</v>
      </c>
      <c r="J531" s="95">
        <v>50</v>
      </c>
      <c r="K531" s="95">
        <v>0</v>
      </c>
      <c r="L531" s="97">
        <v>32340.000000000004</v>
      </c>
      <c r="M531" s="102">
        <v>1617</v>
      </c>
      <c r="N531" s="95">
        <v>0</v>
      </c>
      <c r="O531" s="95">
        <v>1</v>
      </c>
      <c r="P531" s="95">
        <v>0</v>
      </c>
      <c r="Q531" s="49" t="s">
        <v>10881</v>
      </c>
    </row>
    <row r="532" spans="1:17">
      <c r="A532" s="95">
        <v>766589657993298</v>
      </c>
      <c r="B532" s="49" t="s">
        <v>10688</v>
      </c>
      <c r="C532" s="49" t="s">
        <v>10879</v>
      </c>
      <c r="D532" s="49" t="s">
        <v>10880</v>
      </c>
      <c r="E532" s="49">
        <v>6281215851833</v>
      </c>
      <c r="F532" s="96">
        <v>45832</v>
      </c>
      <c r="G532" s="49" t="s">
        <v>12679</v>
      </c>
      <c r="H532" s="49" t="s">
        <v>12676</v>
      </c>
      <c r="I532" s="95">
        <v>21</v>
      </c>
      <c r="J532" s="95">
        <v>22</v>
      </c>
      <c r="K532" s="95">
        <v>1</v>
      </c>
      <c r="L532" s="97">
        <v>19000</v>
      </c>
      <c r="M532" s="102">
        <v>418</v>
      </c>
      <c r="N532" s="95">
        <v>0</v>
      </c>
      <c r="O532" s="95">
        <v>0</v>
      </c>
      <c r="P532" s="95">
        <v>0</v>
      </c>
      <c r="Q532" s="49" t="s">
        <v>10881</v>
      </c>
    </row>
    <row r="533" spans="1:17">
      <c r="A533" s="95">
        <v>766589657993298</v>
      </c>
      <c r="B533" s="49" t="s">
        <v>10688</v>
      </c>
      <c r="C533" s="49" t="s">
        <v>10879</v>
      </c>
      <c r="D533" s="49" t="s">
        <v>10880</v>
      </c>
      <c r="E533" s="49">
        <v>6281215851833</v>
      </c>
      <c r="F533" s="96">
        <v>45832</v>
      </c>
      <c r="G533" s="49" t="s">
        <v>12677</v>
      </c>
      <c r="H533" s="49" t="s">
        <v>12676</v>
      </c>
      <c r="I533" s="95">
        <v>80</v>
      </c>
      <c r="J533" s="95">
        <v>82</v>
      </c>
      <c r="K533" s="95">
        <v>1</v>
      </c>
      <c r="L533" s="97">
        <v>34731.707317073175</v>
      </c>
      <c r="M533" s="102">
        <v>2848</v>
      </c>
      <c r="N533" s="95">
        <v>0</v>
      </c>
      <c r="O533" s="95">
        <v>0</v>
      </c>
      <c r="P533" s="95">
        <v>0</v>
      </c>
      <c r="Q533" s="49" t="s">
        <v>10881</v>
      </c>
    </row>
    <row r="534" spans="1:17">
      <c r="A534" s="95">
        <v>766589657993298</v>
      </c>
      <c r="B534" s="49" t="s">
        <v>10688</v>
      </c>
      <c r="C534" s="49" t="s">
        <v>10861</v>
      </c>
      <c r="D534" s="49" t="s">
        <v>795</v>
      </c>
      <c r="E534" s="49">
        <v>6287877805175</v>
      </c>
      <c r="F534" s="96">
        <v>45832</v>
      </c>
      <c r="G534" s="49" t="s">
        <v>7917</v>
      </c>
      <c r="H534" s="49" t="s">
        <v>12676</v>
      </c>
      <c r="I534" s="95">
        <v>98</v>
      </c>
      <c r="J534" s="95">
        <v>108</v>
      </c>
      <c r="K534" s="95">
        <v>1</v>
      </c>
      <c r="L534" s="97">
        <v>18490.740740740741</v>
      </c>
      <c r="M534" s="102">
        <v>1997</v>
      </c>
      <c r="N534" s="95">
        <v>0</v>
      </c>
      <c r="O534" s="95">
        <v>60</v>
      </c>
      <c r="P534" s="95">
        <v>0</v>
      </c>
      <c r="Q534" s="49" t="s">
        <v>10862</v>
      </c>
    </row>
    <row r="535" spans="1:17">
      <c r="A535" s="95">
        <v>766589657993298</v>
      </c>
      <c r="B535" s="49" t="s">
        <v>10688</v>
      </c>
      <c r="C535" s="49" t="s">
        <v>10861</v>
      </c>
      <c r="D535" s="49" t="s">
        <v>795</v>
      </c>
      <c r="E535" s="49">
        <v>6287877805175</v>
      </c>
      <c r="F535" s="96">
        <v>45832</v>
      </c>
      <c r="G535" s="49" t="s">
        <v>2132</v>
      </c>
      <c r="H535" s="49" t="s">
        <v>12676</v>
      </c>
      <c r="I535" s="95">
        <v>250</v>
      </c>
      <c r="J535" s="95">
        <v>271</v>
      </c>
      <c r="K535" s="95">
        <v>2</v>
      </c>
      <c r="L535" s="97">
        <v>38424.354243542439</v>
      </c>
      <c r="M535" s="102">
        <v>10413</v>
      </c>
      <c r="N535" s="95">
        <v>0</v>
      </c>
      <c r="O535" s="95">
        <v>150</v>
      </c>
      <c r="P535" s="95">
        <v>0</v>
      </c>
      <c r="Q535" s="49" t="s">
        <v>10862</v>
      </c>
    </row>
    <row r="536" spans="1:17">
      <c r="A536" s="95">
        <v>766589657993298</v>
      </c>
      <c r="B536" s="49" t="s">
        <v>10688</v>
      </c>
      <c r="C536" s="49" t="s">
        <v>10861</v>
      </c>
      <c r="D536" s="49" t="s">
        <v>795</v>
      </c>
      <c r="E536" s="49">
        <v>6287877805175</v>
      </c>
      <c r="F536" s="96">
        <v>45832</v>
      </c>
      <c r="G536" s="49" t="s">
        <v>12677</v>
      </c>
      <c r="H536" s="49" t="s">
        <v>12676</v>
      </c>
      <c r="I536" s="95">
        <v>123</v>
      </c>
      <c r="J536" s="95">
        <v>128</v>
      </c>
      <c r="K536" s="95">
        <v>0</v>
      </c>
      <c r="L536" s="97">
        <v>31929.6875</v>
      </c>
      <c r="M536" s="102">
        <v>4087</v>
      </c>
      <c r="N536" s="95">
        <v>1</v>
      </c>
      <c r="O536" s="95">
        <v>79</v>
      </c>
      <c r="P536" s="95">
        <v>0</v>
      </c>
      <c r="Q536" s="49" t="s">
        <v>10862</v>
      </c>
    </row>
    <row r="537" spans="1:17">
      <c r="A537" s="95">
        <v>766589657993298</v>
      </c>
      <c r="B537" s="49" t="s">
        <v>10688</v>
      </c>
      <c r="C537" s="49" t="s">
        <v>10836</v>
      </c>
      <c r="D537" s="49" t="s">
        <v>780</v>
      </c>
      <c r="E537" s="49">
        <v>6283866009989</v>
      </c>
      <c r="F537" s="96">
        <v>45832</v>
      </c>
      <c r="G537" s="49" t="s">
        <v>12704</v>
      </c>
      <c r="H537" s="49" t="s">
        <v>12676</v>
      </c>
      <c r="I537" s="95">
        <v>5</v>
      </c>
      <c r="J537" s="95">
        <v>5</v>
      </c>
      <c r="K537" s="95">
        <v>0</v>
      </c>
      <c r="L537" s="97">
        <v>11600</v>
      </c>
      <c r="M537" s="102">
        <v>58</v>
      </c>
      <c r="N537" s="95">
        <v>0</v>
      </c>
      <c r="O537" s="95">
        <v>2</v>
      </c>
      <c r="P537" s="95">
        <v>0</v>
      </c>
      <c r="Q537" s="49" t="s">
        <v>10837</v>
      </c>
    </row>
    <row r="538" spans="1:17">
      <c r="A538" s="95">
        <v>766589657993298</v>
      </c>
      <c r="B538" s="49" t="s">
        <v>10688</v>
      </c>
      <c r="C538" s="49" t="s">
        <v>10836</v>
      </c>
      <c r="D538" s="49" t="s">
        <v>780</v>
      </c>
      <c r="E538" s="49">
        <v>6283866009989</v>
      </c>
      <c r="F538" s="96">
        <v>45832</v>
      </c>
      <c r="G538" s="49" t="s">
        <v>12710</v>
      </c>
      <c r="H538" s="49" t="s">
        <v>12676</v>
      </c>
      <c r="I538" s="95">
        <v>40</v>
      </c>
      <c r="J538" s="95">
        <v>43</v>
      </c>
      <c r="K538" s="95">
        <v>0</v>
      </c>
      <c r="L538" s="97">
        <v>15953.488372093023</v>
      </c>
      <c r="M538" s="102">
        <v>686</v>
      </c>
      <c r="N538" s="95">
        <v>0</v>
      </c>
      <c r="O538" s="95">
        <v>28</v>
      </c>
      <c r="P538" s="95">
        <v>0</v>
      </c>
      <c r="Q538" s="49" t="s">
        <v>10837</v>
      </c>
    </row>
    <row r="539" spans="1:17">
      <c r="A539" s="95">
        <v>766589657993298</v>
      </c>
      <c r="B539" s="49" t="s">
        <v>10688</v>
      </c>
      <c r="C539" s="49" t="s">
        <v>10836</v>
      </c>
      <c r="D539" s="49" t="s">
        <v>780</v>
      </c>
      <c r="E539" s="49">
        <v>6283866009989</v>
      </c>
      <c r="F539" s="96">
        <v>45832</v>
      </c>
      <c r="G539" s="49" t="s">
        <v>12705</v>
      </c>
      <c r="H539" s="49" t="s">
        <v>12676</v>
      </c>
      <c r="I539" s="95">
        <v>50</v>
      </c>
      <c r="J539" s="95">
        <v>51</v>
      </c>
      <c r="K539" s="95">
        <v>1</v>
      </c>
      <c r="L539" s="97">
        <v>13843.137254901962</v>
      </c>
      <c r="M539" s="102">
        <v>706</v>
      </c>
      <c r="N539" s="95">
        <v>0</v>
      </c>
      <c r="O539" s="95">
        <v>28</v>
      </c>
      <c r="P539" s="95">
        <v>0</v>
      </c>
      <c r="Q539" s="49" t="s">
        <v>10837</v>
      </c>
    </row>
    <row r="540" spans="1:17">
      <c r="A540" s="95">
        <v>766589657993298</v>
      </c>
      <c r="B540" s="49" t="s">
        <v>10688</v>
      </c>
      <c r="C540" s="49" t="s">
        <v>10836</v>
      </c>
      <c r="D540" s="49" t="s">
        <v>780</v>
      </c>
      <c r="E540" s="49">
        <v>6283866009989</v>
      </c>
      <c r="F540" s="96">
        <v>45832</v>
      </c>
      <c r="G540" s="49" t="s">
        <v>12711</v>
      </c>
      <c r="H540" s="49" t="s">
        <v>12676</v>
      </c>
      <c r="I540" s="95">
        <v>38</v>
      </c>
      <c r="J540" s="95">
        <v>40</v>
      </c>
      <c r="K540" s="95">
        <v>1</v>
      </c>
      <c r="L540" s="97">
        <v>30200</v>
      </c>
      <c r="M540" s="102">
        <v>1208</v>
      </c>
      <c r="N540" s="95">
        <v>0</v>
      </c>
      <c r="O540" s="95">
        <v>27</v>
      </c>
      <c r="P540" s="95">
        <v>0</v>
      </c>
      <c r="Q540" s="49" t="s">
        <v>10837</v>
      </c>
    </row>
    <row r="541" spans="1:17">
      <c r="A541" s="95">
        <v>766589657993298</v>
      </c>
      <c r="B541" s="49" t="s">
        <v>10688</v>
      </c>
      <c r="C541" s="49" t="s">
        <v>10836</v>
      </c>
      <c r="D541" s="49" t="s">
        <v>780</v>
      </c>
      <c r="E541" s="49">
        <v>6283866009989</v>
      </c>
      <c r="F541" s="96">
        <v>45832</v>
      </c>
      <c r="G541" s="49" t="s">
        <v>12706</v>
      </c>
      <c r="H541" s="49" t="s">
        <v>12676</v>
      </c>
      <c r="I541" s="95">
        <v>517</v>
      </c>
      <c r="J541" s="95">
        <v>548</v>
      </c>
      <c r="K541" s="95">
        <v>11</v>
      </c>
      <c r="L541" s="97">
        <v>17698.905109489049</v>
      </c>
      <c r="M541" s="102">
        <v>9699</v>
      </c>
      <c r="N541" s="95">
        <v>0</v>
      </c>
      <c r="O541" s="95">
        <v>306</v>
      </c>
      <c r="P541" s="95">
        <v>0</v>
      </c>
      <c r="Q541" s="49" t="s">
        <v>10837</v>
      </c>
    </row>
    <row r="542" spans="1:17">
      <c r="A542" s="95">
        <v>766589657993298</v>
      </c>
      <c r="B542" s="49" t="s">
        <v>10688</v>
      </c>
      <c r="C542" s="49" t="s">
        <v>10836</v>
      </c>
      <c r="D542" s="49" t="s">
        <v>780</v>
      </c>
      <c r="E542" s="49">
        <v>6283866009989</v>
      </c>
      <c r="F542" s="96">
        <v>45832</v>
      </c>
      <c r="G542" s="49" t="s">
        <v>12707</v>
      </c>
      <c r="H542" s="49" t="s">
        <v>12676</v>
      </c>
      <c r="I542" s="95">
        <v>5</v>
      </c>
      <c r="J542" s="95">
        <v>5</v>
      </c>
      <c r="K542" s="95">
        <v>0</v>
      </c>
      <c r="L542" s="97">
        <v>40800</v>
      </c>
      <c r="M542" s="102">
        <v>204</v>
      </c>
      <c r="N542" s="95">
        <v>0</v>
      </c>
      <c r="O542" s="95">
        <v>3</v>
      </c>
      <c r="P542" s="95">
        <v>0</v>
      </c>
      <c r="Q542" s="49" t="s">
        <v>10837</v>
      </c>
    </row>
    <row r="543" spans="1:17">
      <c r="A543" s="95">
        <v>766589657993298</v>
      </c>
      <c r="B543" s="49" t="s">
        <v>10688</v>
      </c>
      <c r="C543" s="49" t="s">
        <v>10836</v>
      </c>
      <c r="D543" s="49" t="s">
        <v>780</v>
      </c>
      <c r="E543" s="49">
        <v>6283866009989</v>
      </c>
      <c r="F543" s="96">
        <v>45832</v>
      </c>
      <c r="G543" s="49" t="s">
        <v>12708</v>
      </c>
      <c r="H543" s="49" t="s">
        <v>12676</v>
      </c>
      <c r="I543" s="95">
        <v>36</v>
      </c>
      <c r="J543" s="95">
        <v>40</v>
      </c>
      <c r="K543" s="95">
        <v>1</v>
      </c>
      <c r="L543" s="97">
        <v>12425</v>
      </c>
      <c r="M543" s="102">
        <v>497</v>
      </c>
      <c r="N543" s="95">
        <v>0</v>
      </c>
      <c r="O543" s="95">
        <v>17</v>
      </c>
      <c r="P543" s="95">
        <v>0</v>
      </c>
      <c r="Q543" s="49" t="s">
        <v>10837</v>
      </c>
    </row>
    <row r="544" spans="1:17">
      <c r="A544" s="95">
        <v>766589657993298</v>
      </c>
      <c r="B544" s="49" t="s">
        <v>10688</v>
      </c>
      <c r="C544" s="49" t="s">
        <v>10836</v>
      </c>
      <c r="D544" s="49" t="s">
        <v>780</v>
      </c>
      <c r="E544" s="49">
        <v>6283866009989</v>
      </c>
      <c r="F544" s="96">
        <v>45832</v>
      </c>
      <c r="G544" s="49" t="s">
        <v>12673</v>
      </c>
      <c r="H544" s="49" t="s">
        <v>12676</v>
      </c>
      <c r="I544" s="95">
        <v>3</v>
      </c>
      <c r="J544" s="95">
        <v>4</v>
      </c>
      <c r="K544" s="95">
        <v>0</v>
      </c>
      <c r="L544" s="97">
        <v>117500</v>
      </c>
      <c r="M544" s="102">
        <v>470</v>
      </c>
      <c r="N544" s="95">
        <v>0</v>
      </c>
      <c r="O544" s="95">
        <v>1</v>
      </c>
      <c r="P544" s="95">
        <v>0</v>
      </c>
      <c r="Q544" s="49" t="s">
        <v>10837</v>
      </c>
    </row>
    <row r="545" spans="1:17">
      <c r="A545" s="95">
        <v>766589657993298</v>
      </c>
      <c r="B545" s="49" t="s">
        <v>10688</v>
      </c>
      <c r="C545" s="49" t="s">
        <v>689</v>
      </c>
      <c r="D545" s="49" t="s">
        <v>10923</v>
      </c>
      <c r="E545" s="49">
        <v>6282176695820</v>
      </c>
      <c r="F545" s="96">
        <v>45832</v>
      </c>
      <c r="G545" s="49" t="s">
        <v>12696</v>
      </c>
      <c r="H545" s="49" t="s">
        <v>12676</v>
      </c>
      <c r="I545" s="95">
        <v>280</v>
      </c>
      <c r="J545" s="95">
        <v>324</v>
      </c>
      <c r="K545" s="95">
        <v>4</v>
      </c>
      <c r="L545" s="97">
        <v>38540.123456790127</v>
      </c>
      <c r="M545" s="102">
        <v>12487</v>
      </c>
      <c r="N545" s="95">
        <v>0</v>
      </c>
      <c r="O545" s="95">
        <v>0</v>
      </c>
      <c r="P545" s="95">
        <v>0</v>
      </c>
      <c r="Q545" s="49" t="s">
        <v>10921</v>
      </c>
    </row>
    <row r="546" spans="1:17">
      <c r="A546" s="95">
        <v>766589657993298</v>
      </c>
      <c r="B546" s="49" t="s">
        <v>10688</v>
      </c>
      <c r="C546" s="49" t="s">
        <v>10822</v>
      </c>
      <c r="D546" s="49" t="s">
        <v>676</v>
      </c>
      <c r="E546" s="49">
        <v>6281316155059</v>
      </c>
      <c r="F546" s="96">
        <v>45832</v>
      </c>
      <c r="G546" s="49" t="s">
        <v>7917</v>
      </c>
      <c r="H546" s="49" t="s">
        <v>12676</v>
      </c>
      <c r="I546" s="95">
        <v>117</v>
      </c>
      <c r="J546" s="95">
        <v>124</v>
      </c>
      <c r="K546" s="95">
        <v>4</v>
      </c>
      <c r="L546" s="97">
        <v>17580.645161290326</v>
      </c>
      <c r="M546" s="102">
        <v>2180</v>
      </c>
      <c r="N546" s="95">
        <v>0</v>
      </c>
      <c r="O546" s="95">
        <v>62</v>
      </c>
      <c r="P546" s="95">
        <v>0</v>
      </c>
      <c r="Q546" s="49" t="s">
        <v>10823</v>
      </c>
    </row>
    <row r="547" spans="1:17">
      <c r="A547" s="95">
        <v>766589657993298</v>
      </c>
      <c r="B547" s="49" t="s">
        <v>10688</v>
      </c>
      <c r="C547" s="49" t="s">
        <v>10822</v>
      </c>
      <c r="D547" s="49" t="s">
        <v>676</v>
      </c>
      <c r="E547" s="49">
        <v>6281316155059</v>
      </c>
      <c r="F547" s="96">
        <v>45832</v>
      </c>
      <c r="G547" s="49" t="s">
        <v>2132</v>
      </c>
      <c r="H547" s="49" t="s">
        <v>12676</v>
      </c>
      <c r="I547" s="95">
        <v>414</v>
      </c>
      <c r="J547" s="95">
        <v>430</v>
      </c>
      <c r="K547" s="95">
        <v>3</v>
      </c>
      <c r="L547" s="97">
        <v>25262.79069767442</v>
      </c>
      <c r="M547" s="102">
        <v>10863</v>
      </c>
      <c r="N547" s="95">
        <v>0</v>
      </c>
      <c r="O547" s="95">
        <v>205</v>
      </c>
      <c r="P547" s="95">
        <v>0</v>
      </c>
      <c r="Q547" s="49" t="s">
        <v>10823</v>
      </c>
    </row>
    <row r="548" spans="1:17">
      <c r="A548" s="95">
        <v>766589657993298</v>
      </c>
      <c r="B548" s="49" t="s">
        <v>10688</v>
      </c>
      <c r="C548" s="49" t="s">
        <v>10822</v>
      </c>
      <c r="D548" s="49" t="s">
        <v>676</v>
      </c>
      <c r="E548" s="49">
        <v>6281316155059</v>
      </c>
      <c r="F548" s="96">
        <v>45832</v>
      </c>
      <c r="G548" s="49" t="s">
        <v>12677</v>
      </c>
      <c r="H548" s="49" t="s">
        <v>12676</v>
      </c>
      <c r="I548" s="95">
        <v>243</v>
      </c>
      <c r="J548" s="95">
        <v>254</v>
      </c>
      <c r="K548" s="95">
        <v>6</v>
      </c>
      <c r="L548" s="97">
        <v>20200.787401574802</v>
      </c>
      <c r="M548" s="102">
        <v>5131</v>
      </c>
      <c r="N548" s="95">
        <v>0</v>
      </c>
      <c r="O548" s="95">
        <v>127</v>
      </c>
      <c r="P548" s="95">
        <v>0</v>
      </c>
      <c r="Q548" s="49" t="s">
        <v>10823</v>
      </c>
    </row>
    <row r="549" spans="1:17">
      <c r="L549" s="98"/>
      <c r="M549" s="103"/>
    </row>
    <row r="550" spans="1:17">
      <c r="L550" s="98"/>
      <c r="M550" s="103"/>
    </row>
    <row r="551" spans="1:17">
      <c r="L551" s="98"/>
      <c r="M551" s="103"/>
    </row>
    <row r="552" spans="1:17">
      <c r="L552" s="98"/>
      <c r="M552" s="103"/>
    </row>
    <row r="553" spans="1:17">
      <c r="L553" s="98"/>
      <c r="M553" s="103"/>
    </row>
    <row r="554" spans="1:17">
      <c r="L554" s="98"/>
      <c r="M554" s="103"/>
    </row>
    <row r="555" spans="1:17">
      <c r="L555" s="98"/>
      <c r="M555" s="103"/>
    </row>
    <row r="556" spans="1:17">
      <c r="L556" s="98"/>
      <c r="M556" s="103"/>
    </row>
    <row r="557" spans="1:17">
      <c r="L557" s="98"/>
      <c r="M557" s="103"/>
    </row>
    <row r="558" spans="1:17">
      <c r="L558" s="98"/>
      <c r="M558" s="103"/>
    </row>
    <row r="559" spans="1:17">
      <c r="L559" s="98"/>
      <c r="M559" s="103"/>
    </row>
    <row r="560" spans="1:17">
      <c r="L560" s="98"/>
      <c r="M560" s="103"/>
    </row>
    <row r="561" spans="12:13">
      <c r="L561" s="98"/>
      <c r="M561" s="103"/>
    </row>
    <row r="562" spans="12:13">
      <c r="L562" s="98"/>
      <c r="M562" s="103"/>
    </row>
    <row r="563" spans="12:13">
      <c r="L563" s="98"/>
      <c r="M563" s="103"/>
    </row>
    <row r="564" spans="12:13">
      <c r="L564" s="98"/>
      <c r="M564" s="103"/>
    </row>
    <row r="565" spans="12:13">
      <c r="L565" s="98"/>
      <c r="M565" s="103"/>
    </row>
    <row r="566" spans="12:13">
      <c r="L566" s="98"/>
      <c r="M566" s="103"/>
    </row>
    <row r="567" spans="12:13">
      <c r="L567" s="98"/>
      <c r="M567" s="103"/>
    </row>
    <row r="568" spans="12:13">
      <c r="L568" s="98"/>
      <c r="M568" s="103"/>
    </row>
    <row r="569" spans="12:13">
      <c r="L569" s="98"/>
      <c r="M569" s="103"/>
    </row>
    <row r="570" spans="12:13">
      <c r="L570" s="98"/>
      <c r="M570" s="103"/>
    </row>
    <row r="571" spans="12:13">
      <c r="L571" s="98"/>
      <c r="M571" s="103"/>
    </row>
    <row r="572" spans="12:13">
      <c r="L572" s="98"/>
      <c r="M572" s="103"/>
    </row>
    <row r="573" spans="12:13">
      <c r="L573" s="98"/>
      <c r="M573" s="103"/>
    </row>
    <row r="574" spans="12:13">
      <c r="L574" s="98"/>
      <c r="M574" s="103"/>
    </row>
    <row r="575" spans="12:13">
      <c r="L575" s="98"/>
      <c r="M575" s="103"/>
    </row>
    <row r="576" spans="12:13">
      <c r="L576" s="98"/>
      <c r="M576" s="103"/>
    </row>
    <row r="577" spans="12:13">
      <c r="L577" s="98"/>
      <c r="M577" s="103"/>
    </row>
    <row r="578" spans="12:13">
      <c r="L578" s="98"/>
      <c r="M578" s="103"/>
    </row>
    <row r="579" spans="12:13">
      <c r="L579" s="98"/>
      <c r="M579" s="103"/>
    </row>
    <row r="580" spans="12:13">
      <c r="L580" s="98"/>
      <c r="M580" s="103"/>
    </row>
    <row r="581" spans="12:13">
      <c r="L581" s="98"/>
      <c r="M581" s="103"/>
    </row>
    <row r="582" spans="12:13">
      <c r="L582" s="98"/>
      <c r="M582" s="103"/>
    </row>
    <row r="583" spans="12:13">
      <c r="L583" s="98"/>
      <c r="M583" s="103"/>
    </row>
    <row r="584" spans="12:13">
      <c r="L584" s="98"/>
      <c r="M584" s="103"/>
    </row>
    <row r="585" spans="12:13">
      <c r="L585" s="98"/>
      <c r="M585" s="103"/>
    </row>
    <row r="586" spans="12:13">
      <c r="L586" s="98"/>
      <c r="M586" s="103"/>
    </row>
    <row r="587" spans="12:13">
      <c r="L587" s="98"/>
      <c r="M587" s="103"/>
    </row>
    <row r="588" spans="12:13">
      <c r="L588" s="98"/>
      <c r="M588" s="103"/>
    </row>
    <row r="589" spans="12:13">
      <c r="L589" s="98"/>
      <c r="M589" s="103"/>
    </row>
    <row r="590" spans="12:13">
      <c r="L590" s="98"/>
      <c r="M590" s="103"/>
    </row>
    <row r="591" spans="12:13">
      <c r="L591" s="98"/>
      <c r="M591" s="103"/>
    </row>
    <row r="592" spans="12:13">
      <c r="L592" s="98"/>
      <c r="M592" s="103"/>
    </row>
    <row r="593" spans="12:13">
      <c r="L593" s="98"/>
      <c r="M593" s="103"/>
    </row>
    <row r="594" spans="12:13">
      <c r="L594" s="98"/>
      <c r="M594" s="103"/>
    </row>
    <row r="595" spans="12:13">
      <c r="L595" s="98"/>
      <c r="M595" s="103"/>
    </row>
    <row r="596" spans="12:13">
      <c r="L596" s="98"/>
      <c r="M596" s="103"/>
    </row>
    <row r="597" spans="12:13">
      <c r="L597" s="98"/>
      <c r="M597" s="103"/>
    </row>
    <row r="598" spans="12:13">
      <c r="L598" s="98"/>
      <c r="M598" s="103"/>
    </row>
    <row r="599" spans="12:13">
      <c r="L599" s="98"/>
      <c r="M599" s="103"/>
    </row>
    <row r="600" spans="12:13">
      <c r="L600" s="98"/>
      <c r="M600" s="103"/>
    </row>
    <row r="601" spans="12:13">
      <c r="L601" s="98"/>
      <c r="M601" s="103"/>
    </row>
    <row r="602" spans="12:13">
      <c r="L602" s="98"/>
      <c r="M602" s="103"/>
    </row>
    <row r="603" spans="12:13">
      <c r="L603" s="98"/>
      <c r="M603" s="103"/>
    </row>
    <row r="604" spans="12:13">
      <c r="L604" s="98"/>
      <c r="M604" s="103"/>
    </row>
    <row r="605" spans="12:13">
      <c r="L605" s="98"/>
      <c r="M605" s="103"/>
    </row>
    <row r="606" spans="12:13">
      <c r="L606" s="98"/>
      <c r="M606" s="103"/>
    </row>
    <row r="607" spans="12:13">
      <c r="L607" s="98"/>
      <c r="M607" s="103"/>
    </row>
    <row r="608" spans="12:13">
      <c r="L608" s="98"/>
      <c r="M608" s="103"/>
    </row>
    <row r="609" spans="12:13">
      <c r="L609" s="98"/>
      <c r="M609" s="103"/>
    </row>
    <row r="610" spans="12:13">
      <c r="L610" s="98"/>
      <c r="M610" s="103"/>
    </row>
    <row r="611" spans="12:13">
      <c r="L611" s="98"/>
      <c r="M611" s="103"/>
    </row>
  </sheetData>
  <conditionalFormatting sqref="N1">
    <cfRule type="cellIs" dxfId="5" priority="1" operator="less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692"/>
  <sheetViews>
    <sheetView workbookViewId="0"/>
  </sheetViews>
  <sheetFormatPr defaultColWidth="12.5703125" defaultRowHeight="15.75" customHeight="1"/>
  <sheetData>
    <row r="1" spans="1:15">
      <c r="A1" s="49" t="s">
        <v>10609</v>
      </c>
      <c r="B1" s="49" t="s">
        <v>10610</v>
      </c>
      <c r="C1" s="49" t="s">
        <v>27</v>
      </c>
      <c r="D1" s="49" t="s">
        <v>6</v>
      </c>
      <c r="E1" s="49" t="s">
        <v>10611</v>
      </c>
      <c r="F1" s="97" t="s">
        <v>3</v>
      </c>
      <c r="G1" s="97" t="s">
        <v>10612</v>
      </c>
      <c r="H1" s="100" t="s">
        <v>12712</v>
      </c>
      <c r="I1" s="97" t="s">
        <v>10613</v>
      </c>
      <c r="J1" s="101" t="s">
        <v>10614</v>
      </c>
      <c r="K1" s="102" t="s">
        <v>10615</v>
      </c>
      <c r="L1" s="49" t="s">
        <v>10616</v>
      </c>
      <c r="M1" s="49" t="s">
        <v>10617</v>
      </c>
      <c r="N1" s="49" t="s">
        <v>10618</v>
      </c>
      <c r="O1" s="49" t="s">
        <v>10619</v>
      </c>
    </row>
    <row r="2" spans="1:15">
      <c r="I2" s="98"/>
      <c r="K2" s="103"/>
    </row>
    <row r="3" spans="1:15">
      <c r="I3" s="98"/>
      <c r="K3" s="103"/>
    </row>
    <row r="4" spans="1:15">
      <c r="I4" s="98"/>
      <c r="K4" s="103"/>
    </row>
    <row r="5" spans="1:15">
      <c r="I5" s="98"/>
      <c r="K5" s="103"/>
    </row>
    <row r="6" spans="1:15">
      <c r="I6" s="98"/>
      <c r="K6" s="103"/>
    </row>
    <row r="7" spans="1:15">
      <c r="I7" s="98"/>
      <c r="K7" s="103"/>
    </row>
    <row r="8" spans="1:15">
      <c r="I8" s="98"/>
      <c r="K8" s="103"/>
    </row>
    <row r="9" spans="1:15">
      <c r="I9" s="98"/>
      <c r="K9" s="103"/>
    </row>
    <row r="10" spans="1:15">
      <c r="I10" s="98"/>
      <c r="K10" s="103"/>
    </row>
    <row r="11" spans="1:15">
      <c r="I11" s="98"/>
      <c r="K11" s="103"/>
    </row>
    <row r="12" spans="1:15">
      <c r="I12" s="98"/>
      <c r="K12" s="103"/>
    </row>
    <row r="13" spans="1:15">
      <c r="I13" s="98"/>
      <c r="K13" s="103"/>
    </row>
    <row r="14" spans="1:15">
      <c r="I14" s="98"/>
      <c r="K14" s="103"/>
    </row>
    <row r="15" spans="1:15">
      <c r="I15" s="98"/>
      <c r="K15" s="103"/>
    </row>
    <row r="16" spans="1:15">
      <c r="I16" s="98"/>
      <c r="K16" s="103"/>
    </row>
    <row r="17" spans="9:11">
      <c r="I17" s="98"/>
      <c r="K17" s="103"/>
    </row>
    <row r="18" spans="9:11">
      <c r="I18" s="98"/>
      <c r="K18" s="103"/>
    </row>
    <row r="19" spans="9:11">
      <c r="I19" s="98"/>
      <c r="K19" s="103"/>
    </row>
    <row r="20" spans="9:11">
      <c r="I20" s="98"/>
      <c r="K20" s="103"/>
    </row>
    <row r="21" spans="9:11">
      <c r="I21" s="98"/>
      <c r="K21" s="103"/>
    </row>
    <row r="22" spans="9:11">
      <c r="I22" s="98"/>
      <c r="K22" s="103"/>
    </row>
    <row r="23" spans="9:11">
      <c r="I23" s="98"/>
      <c r="K23" s="103"/>
    </row>
    <row r="24" spans="9:11">
      <c r="I24" s="98"/>
      <c r="K24" s="103"/>
    </row>
    <row r="25" spans="9:11">
      <c r="I25" s="98"/>
      <c r="K25" s="103"/>
    </row>
    <row r="26" spans="9:11">
      <c r="I26" s="98"/>
      <c r="K26" s="103"/>
    </row>
    <row r="27" spans="9:11">
      <c r="I27" s="98"/>
      <c r="K27" s="103"/>
    </row>
    <row r="28" spans="9:11">
      <c r="I28" s="98"/>
      <c r="K28" s="103"/>
    </row>
    <row r="29" spans="9:11">
      <c r="I29" s="98"/>
      <c r="K29" s="103"/>
    </row>
    <row r="30" spans="9:11">
      <c r="I30" s="98"/>
      <c r="K30" s="103"/>
    </row>
    <row r="31" spans="9:11">
      <c r="I31" s="98"/>
      <c r="K31" s="103"/>
    </row>
    <row r="32" spans="9:11">
      <c r="I32" s="98"/>
      <c r="K32" s="103"/>
    </row>
    <row r="33" spans="9:11">
      <c r="I33" s="98"/>
      <c r="K33" s="103"/>
    </row>
    <row r="34" spans="9:11">
      <c r="I34" s="98"/>
      <c r="K34" s="103"/>
    </row>
    <row r="35" spans="9:11">
      <c r="I35" s="98"/>
      <c r="K35" s="103"/>
    </row>
    <row r="36" spans="9:11">
      <c r="I36" s="98"/>
      <c r="K36" s="103"/>
    </row>
    <row r="37" spans="9:11">
      <c r="I37" s="98"/>
      <c r="K37" s="103"/>
    </row>
    <row r="38" spans="9:11">
      <c r="I38" s="98"/>
      <c r="K38" s="103"/>
    </row>
    <row r="39" spans="9:11">
      <c r="I39" s="98"/>
      <c r="K39" s="103"/>
    </row>
    <row r="40" spans="9:11">
      <c r="I40" s="98"/>
      <c r="K40" s="103"/>
    </row>
    <row r="41" spans="9:11">
      <c r="I41" s="98"/>
      <c r="K41" s="103"/>
    </row>
    <row r="42" spans="9:11">
      <c r="I42" s="98"/>
      <c r="K42" s="103"/>
    </row>
    <row r="43" spans="9:11">
      <c r="I43" s="98"/>
      <c r="K43" s="103"/>
    </row>
    <row r="44" spans="9:11">
      <c r="I44" s="98"/>
      <c r="K44" s="103"/>
    </row>
    <row r="45" spans="9:11">
      <c r="I45" s="98"/>
      <c r="K45" s="103"/>
    </row>
    <row r="46" spans="9:11">
      <c r="I46" s="98"/>
      <c r="K46" s="103"/>
    </row>
    <row r="47" spans="9:11">
      <c r="I47" s="98"/>
      <c r="K47" s="103"/>
    </row>
    <row r="48" spans="9:11">
      <c r="I48" s="98"/>
      <c r="K48" s="103"/>
    </row>
    <row r="49" spans="9:11">
      <c r="I49" s="98"/>
      <c r="K49" s="103"/>
    </row>
    <row r="50" spans="9:11">
      <c r="I50" s="98"/>
      <c r="K50" s="103"/>
    </row>
    <row r="51" spans="9:11">
      <c r="I51" s="98"/>
      <c r="K51" s="103"/>
    </row>
    <row r="52" spans="9:11">
      <c r="I52" s="98"/>
      <c r="K52" s="103"/>
    </row>
    <row r="53" spans="9:11">
      <c r="I53" s="98"/>
      <c r="K53" s="103"/>
    </row>
    <row r="54" spans="9:11">
      <c r="I54" s="98"/>
      <c r="K54" s="103"/>
    </row>
    <row r="55" spans="9:11">
      <c r="I55" s="98"/>
      <c r="K55" s="103"/>
    </row>
    <row r="56" spans="9:11">
      <c r="I56" s="98"/>
      <c r="K56" s="103"/>
    </row>
    <row r="57" spans="9:11">
      <c r="I57" s="98"/>
      <c r="K57" s="103"/>
    </row>
    <row r="58" spans="9:11">
      <c r="I58" s="98"/>
      <c r="K58" s="103"/>
    </row>
    <row r="59" spans="9:11">
      <c r="I59" s="98"/>
      <c r="K59" s="103"/>
    </row>
    <row r="60" spans="9:11">
      <c r="I60" s="98"/>
      <c r="K60" s="103"/>
    </row>
    <row r="61" spans="9:11">
      <c r="I61" s="98"/>
      <c r="K61" s="103"/>
    </row>
    <row r="62" spans="9:11">
      <c r="I62" s="98"/>
      <c r="K62" s="103"/>
    </row>
    <row r="63" spans="9:11">
      <c r="I63" s="98"/>
      <c r="K63" s="103"/>
    </row>
    <row r="64" spans="9:11">
      <c r="I64" s="98"/>
      <c r="K64" s="103"/>
    </row>
    <row r="65" spans="9:11">
      <c r="I65" s="98"/>
      <c r="K65" s="103"/>
    </row>
    <row r="66" spans="9:11">
      <c r="I66" s="98"/>
      <c r="K66" s="103"/>
    </row>
    <row r="67" spans="9:11">
      <c r="I67" s="98"/>
      <c r="K67" s="103"/>
    </row>
    <row r="68" spans="9:11">
      <c r="I68" s="98"/>
      <c r="K68" s="103"/>
    </row>
    <row r="69" spans="9:11">
      <c r="I69" s="98"/>
      <c r="K69" s="103"/>
    </row>
    <row r="70" spans="9:11">
      <c r="I70" s="98"/>
      <c r="K70" s="103"/>
    </row>
    <row r="71" spans="9:11">
      <c r="I71" s="98"/>
      <c r="K71" s="103"/>
    </row>
    <row r="72" spans="9:11">
      <c r="I72" s="98"/>
      <c r="K72" s="103"/>
    </row>
    <row r="73" spans="9:11">
      <c r="I73" s="98"/>
      <c r="K73" s="103"/>
    </row>
    <row r="74" spans="9:11">
      <c r="I74" s="98"/>
      <c r="K74" s="103"/>
    </row>
    <row r="75" spans="9:11">
      <c r="I75" s="98"/>
      <c r="K75" s="103"/>
    </row>
    <row r="76" spans="9:11">
      <c r="I76" s="98"/>
      <c r="K76" s="103"/>
    </row>
    <row r="77" spans="9:11">
      <c r="I77" s="98"/>
      <c r="K77" s="103"/>
    </row>
    <row r="78" spans="9:11">
      <c r="I78" s="98"/>
      <c r="K78" s="103"/>
    </row>
    <row r="79" spans="9:11">
      <c r="I79" s="98"/>
      <c r="K79" s="103"/>
    </row>
    <row r="80" spans="9:11">
      <c r="I80" s="98"/>
      <c r="K80" s="103"/>
    </row>
    <row r="81" spans="9:11">
      <c r="I81" s="98"/>
      <c r="K81" s="103"/>
    </row>
    <row r="82" spans="9:11">
      <c r="I82" s="98"/>
      <c r="K82" s="103"/>
    </row>
    <row r="83" spans="9:11">
      <c r="I83" s="98"/>
      <c r="K83" s="103"/>
    </row>
    <row r="84" spans="9:11">
      <c r="I84" s="98"/>
      <c r="K84" s="103"/>
    </row>
    <row r="85" spans="9:11">
      <c r="I85" s="98"/>
      <c r="K85" s="103"/>
    </row>
    <row r="86" spans="9:11">
      <c r="I86" s="98"/>
      <c r="K86" s="103"/>
    </row>
    <row r="87" spans="9:11">
      <c r="I87" s="98"/>
      <c r="K87" s="103"/>
    </row>
    <row r="88" spans="9:11">
      <c r="I88" s="98"/>
      <c r="K88" s="103"/>
    </row>
    <row r="89" spans="9:11">
      <c r="I89" s="98"/>
      <c r="K89" s="103"/>
    </row>
    <row r="90" spans="9:11">
      <c r="I90" s="98"/>
      <c r="K90" s="103"/>
    </row>
    <row r="91" spans="9:11">
      <c r="I91" s="98"/>
      <c r="K91" s="103"/>
    </row>
    <row r="92" spans="9:11">
      <c r="I92" s="98"/>
      <c r="K92" s="103"/>
    </row>
    <row r="93" spans="9:11">
      <c r="I93" s="98"/>
      <c r="K93" s="103"/>
    </row>
    <row r="94" spans="9:11">
      <c r="I94" s="98"/>
      <c r="K94" s="103"/>
    </row>
    <row r="95" spans="9:11">
      <c r="I95" s="98"/>
      <c r="K95" s="103"/>
    </row>
    <row r="96" spans="9:11">
      <c r="I96" s="98"/>
      <c r="K96" s="103"/>
    </row>
    <row r="97" spans="9:11">
      <c r="I97" s="98"/>
      <c r="K97" s="103"/>
    </row>
    <row r="98" spans="9:11">
      <c r="I98" s="98"/>
      <c r="K98" s="103"/>
    </row>
    <row r="99" spans="9:11">
      <c r="I99" s="98"/>
      <c r="K99" s="103"/>
    </row>
    <row r="100" spans="9:11">
      <c r="I100" s="98"/>
      <c r="K100" s="103"/>
    </row>
    <row r="101" spans="9:11">
      <c r="I101" s="98"/>
      <c r="K101" s="103"/>
    </row>
    <row r="102" spans="9:11">
      <c r="I102" s="98"/>
      <c r="K102" s="103"/>
    </row>
    <row r="103" spans="9:11">
      <c r="I103" s="98"/>
      <c r="K103" s="103"/>
    </row>
    <row r="104" spans="9:11">
      <c r="I104" s="98"/>
      <c r="K104" s="103"/>
    </row>
    <row r="105" spans="9:11">
      <c r="I105" s="98"/>
      <c r="K105" s="103"/>
    </row>
    <row r="106" spans="9:11">
      <c r="I106" s="98"/>
      <c r="K106" s="103"/>
    </row>
    <row r="107" spans="9:11">
      <c r="I107" s="98"/>
      <c r="K107" s="103"/>
    </row>
    <row r="108" spans="9:11">
      <c r="I108" s="98"/>
      <c r="K108" s="103"/>
    </row>
    <row r="109" spans="9:11">
      <c r="I109" s="98"/>
      <c r="K109" s="103"/>
    </row>
    <row r="110" spans="9:11">
      <c r="I110" s="98"/>
      <c r="K110" s="103"/>
    </row>
    <row r="111" spans="9:11">
      <c r="I111" s="98"/>
      <c r="K111" s="103"/>
    </row>
    <row r="112" spans="9:11">
      <c r="I112" s="98"/>
      <c r="K112" s="103"/>
    </row>
    <row r="113" spans="9:11">
      <c r="I113" s="98"/>
      <c r="K113" s="103"/>
    </row>
    <row r="114" spans="9:11">
      <c r="I114" s="98"/>
      <c r="K114" s="103"/>
    </row>
    <row r="115" spans="9:11">
      <c r="I115" s="98"/>
      <c r="K115" s="103"/>
    </row>
    <row r="116" spans="9:11">
      <c r="I116" s="98"/>
      <c r="K116" s="103"/>
    </row>
    <row r="117" spans="9:11">
      <c r="I117" s="98"/>
      <c r="K117" s="103"/>
    </row>
    <row r="118" spans="9:11">
      <c r="I118" s="98"/>
      <c r="K118" s="103"/>
    </row>
    <row r="119" spans="9:11">
      <c r="I119" s="98"/>
      <c r="K119" s="103"/>
    </row>
    <row r="120" spans="9:11">
      <c r="I120" s="98"/>
      <c r="K120" s="103"/>
    </row>
    <row r="121" spans="9:11">
      <c r="I121" s="98"/>
      <c r="K121" s="103"/>
    </row>
    <row r="122" spans="9:11">
      <c r="I122" s="98"/>
      <c r="K122" s="103"/>
    </row>
    <row r="123" spans="9:11">
      <c r="I123" s="98"/>
      <c r="K123" s="103"/>
    </row>
    <row r="124" spans="9:11">
      <c r="I124" s="98"/>
      <c r="K124" s="103"/>
    </row>
    <row r="125" spans="9:11">
      <c r="I125" s="98"/>
      <c r="K125" s="103"/>
    </row>
    <row r="126" spans="9:11">
      <c r="I126" s="98"/>
      <c r="K126" s="103"/>
    </row>
    <row r="127" spans="9:11">
      <c r="I127" s="98"/>
      <c r="K127" s="103"/>
    </row>
    <row r="128" spans="9:11">
      <c r="I128" s="98"/>
      <c r="K128" s="103"/>
    </row>
    <row r="129" spans="9:11">
      <c r="I129" s="98"/>
      <c r="K129" s="103"/>
    </row>
    <row r="130" spans="9:11">
      <c r="I130" s="98"/>
      <c r="K130" s="103"/>
    </row>
    <row r="131" spans="9:11">
      <c r="I131" s="98"/>
      <c r="K131" s="103"/>
    </row>
    <row r="132" spans="9:11">
      <c r="I132" s="98"/>
      <c r="K132" s="103"/>
    </row>
    <row r="133" spans="9:11">
      <c r="I133" s="98"/>
      <c r="K133" s="103"/>
    </row>
    <row r="134" spans="9:11">
      <c r="I134" s="98"/>
      <c r="K134" s="103"/>
    </row>
    <row r="135" spans="9:11">
      <c r="I135" s="98"/>
      <c r="K135" s="103"/>
    </row>
    <row r="136" spans="9:11">
      <c r="I136" s="98"/>
      <c r="K136" s="103"/>
    </row>
    <row r="137" spans="9:11">
      <c r="I137" s="98"/>
      <c r="K137" s="103"/>
    </row>
    <row r="138" spans="9:11">
      <c r="I138" s="98"/>
      <c r="K138" s="103"/>
    </row>
    <row r="139" spans="9:11">
      <c r="I139" s="98"/>
      <c r="K139" s="103"/>
    </row>
    <row r="140" spans="9:11">
      <c r="I140" s="98"/>
      <c r="K140" s="103"/>
    </row>
    <row r="141" spans="9:11">
      <c r="I141" s="98"/>
      <c r="K141" s="103"/>
    </row>
    <row r="142" spans="9:11">
      <c r="I142" s="98"/>
      <c r="K142" s="103"/>
    </row>
    <row r="143" spans="9:11">
      <c r="I143" s="98"/>
      <c r="K143" s="103"/>
    </row>
    <row r="144" spans="9:11">
      <c r="I144" s="98"/>
      <c r="K144" s="103"/>
    </row>
    <row r="145" spans="9:11">
      <c r="I145" s="98"/>
      <c r="K145" s="103"/>
    </row>
    <row r="146" spans="9:11">
      <c r="I146" s="98"/>
      <c r="K146" s="103"/>
    </row>
    <row r="147" spans="9:11">
      <c r="I147" s="98"/>
      <c r="K147" s="103"/>
    </row>
    <row r="148" spans="9:11">
      <c r="I148" s="98"/>
      <c r="K148" s="103"/>
    </row>
    <row r="149" spans="9:11">
      <c r="I149" s="98"/>
      <c r="K149" s="103"/>
    </row>
    <row r="150" spans="9:11">
      <c r="I150" s="98"/>
      <c r="K150" s="103"/>
    </row>
    <row r="151" spans="9:11">
      <c r="I151" s="98"/>
      <c r="K151" s="103"/>
    </row>
    <row r="152" spans="9:11">
      <c r="I152" s="98"/>
      <c r="K152" s="103"/>
    </row>
    <row r="153" spans="9:11">
      <c r="I153" s="98"/>
      <c r="K153" s="103"/>
    </row>
    <row r="154" spans="9:11">
      <c r="I154" s="98"/>
      <c r="K154" s="103"/>
    </row>
    <row r="155" spans="9:11">
      <c r="I155" s="98"/>
      <c r="K155" s="103"/>
    </row>
    <row r="156" spans="9:11">
      <c r="I156" s="98"/>
      <c r="K156" s="103"/>
    </row>
    <row r="157" spans="9:11">
      <c r="I157" s="98"/>
      <c r="K157" s="103"/>
    </row>
    <row r="158" spans="9:11">
      <c r="I158" s="98"/>
      <c r="K158" s="103"/>
    </row>
    <row r="159" spans="9:11">
      <c r="I159" s="98"/>
      <c r="K159" s="103"/>
    </row>
    <row r="160" spans="9:11">
      <c r="I160" s="98"/>
      <c r="K160" s="103"/>
    </row>
    <row r="161" spans="9:11">
      <c r="I161" s="98"/>
      <c r="K161" s="103"/>
    </row>
    <row r="162" spans="9:11">
      <c r="I162" s="98"/>
      <c r="K162" s="103"/>
    </row>
    <row r="163" spans="9:11">
      <c r="I163" s="98"/>
      <c r="K163" s="103"/>
    </row>
    <row r="164" spans="9:11">
      <c r="I164" s="98"/>
      <c r="K164" s="103"/>
    </row>
    <row r="165" spans="9:11">
      <c r="I165" s="98"/>
      <c r="K165" s="103"/>
    </row>
    <row r="166" spans="9:11">
      <c r="I166" s="98"/>
      <c r="K166" s="103"/>
    </row>
    <row r="167" spans="9:11">
      <c r="I167" s="98"/>
      <c r="K167" s="103"/>
    </row>
    <row r="168" spans="9:11">
      <c r="I168" s="98"/>
      <c r="K168" s="103"/>
    </row>
    <row r="169" spans="9:11">
      <c r="I169" s="98"/>
      <c r="K169" s="103"/>
    </row>
    <row r="170" spans="9:11">
      <c r="I170" s="98"/>
      <c r="K170" s="103"/>
    </row>
    <row r="171" spans="9:11">
      <c r="I171" s="98"/>
      <c r="K171" s="103"/>
    </row>
    <row r="172" spans="9:11">
      <c r="I172" s="98"/>
      <c r="K172" s="103"/>
    </row>
    <row r="173" spans="9:11">
      <c r="I173" s="98"/>
      <c r="K173" s="103"/>
    </row>
    <row r="174" spans="9:11">
      <c r="I174" s="98"/>
      <c r="K174" s="103"/>
    </row>
    <row r="175" spans="9:11">
      <c r="I175" s="98"/>
      <c r="K175" s="103"/>
    </row>
    <row r="176" spans="9:11">
      <c r="I176" s="98"/>
      <c r="K176" s="103"/>
    </row>
    <row r="177" spans="9:11">
      <c r="I177" s="98"/>
      <c r="K177" s="103"/>
    </row>
    <row r="178" spans="9:11">
      <c r="I178" s="98"/>
      <c r="K178" s="103"/>
    </row>
    <row r="179" spans="9:11">
      <c r="I179" s="98"/>
      <c r="K179" s="103"/>
    </row>
    <row r="180" spans="9:11">
      <c r="I180" s="98"/>
      <c r="K180" s="103"/>
    </row>
    <row r="181" spans="9:11">
      <c r="I181" s="98"/>
      <c r="K181" s="103"/>
    </row>
    <row r="182" spans="9:11">
      <c r="I182" s="98"/>
      <c r="K182" s="103"/>
    </row>
    <row r="183" spans="9:11">
      <c r="I183" s="98"/>
      <c r="K183" s="103"/>
    </row>
    <row r="184" spans="9:11">
      <c r="I184" s="98"/>
      <c r="K184" s="103"/>
    </row>
    <row r="185" spans="9:11">
      <c r="I185" s="98"/>
      <c r="K185" s="103"/>
    </row>
    <row r="186" spans="9:11">
      <c r="I186" s="98"/>
      <c r="K186" s="103"/>
    </row>
    <row r="187" spans="9:11">
      <c r="I187" s="98"/>
      <c r="K187" s="103"/>
    </row>
    <row r="188" spans="9:11">
      <c r="I188" s="98"/>
      <c r="K188" s="103"/>
    </row>
    <row r="189" spans="9:11">
      <c r="I189" s="98"/>
      <c r="K189" s="103"/>
    </row>
    <row r="190" spans="9:11">
      <c r="I190" s="98"/>
      <c r="K190" s="103"/>
    </row>
    <row r="191" spans="9:11">
      <c r="I191" s="98"/>
      <c r="K191" s="103"/>
    </row>
    <row r="192" spans="9:11">
      <c r="I192" s="98"/>
      <c r="K192" s="103"/>
    </row>
    <row r="193" spans="9:11">
      <c r="I193" s="98"/>
      <c r="K193" s="103"/>
    </row>
    <row r="194" spans="9:11">
      <c r="I194" s="98"/>
      <c r="K194" s="103"/>
    </row>
    <row r="195" spans="9:11">
      <c r="I195" s="98"/>
      <c r="K195" s="103"/>
    </row>
    <row r="196" spans="9:11">
      <c r="I196" s="98"/>
      <c r="K196" s="103"/>
    </row>
    <row r="197" spans="9:11">
      <c r="I197" s="98"/>
      <c r="K197" s="103"/>
    </row>
    <row r="198" spans="9:11">
      <c r="I198" s="98"/>
      <c r="K198" s="103"/>
    </row>
    <row r="199" spans="9:11">
      <c r="I199" s="98"/>
      <c r="K199" s="103"/>
    </row>
    <row r="200" spans="9:11">
      <c r="I200" s="98"/>
      <c r="K200" s="103"/>
    </row>
    <row r="201" spans="9:11">
      <c r="I201" s="98"/>
      <c r="K201" s="103"/>
    </row>
    <row r="202" spans="9:11">
      <c r="I202" s="98"/>
      <c r="K202" s="103"/>
    </row>
    <row r="203" spans="9:11">
      <c r="I203" s="98"/>
      <c r="K203" s="103"/>
    </row>
    <row r="204" spans="9:11">
      <c r="I204" s="98"/>
      <c r="K204" s="103"/>
    </row>
    <row r="205" spans="9:11">
      <c r="I205" s="98"/>
      <c r="K205" s="103"/>
    </row>
    <row r="206" spans="9:11">
      <c r="I206" s="98"/>
      <c r="K206" s="103"/>
    </row>
    <row r="207" spans="9:11">
      <c r="I207" s="98"/>
      <c r="K207" s="103"/>
    </row>
    <row r="208" spans="9:11">
      <c r="I208" s="98"/>
      <c r="K208" s="103"/>
    </row>
    <row r="209" spans="9:11">
      <c r="I209" s="98"/>
      <c r="K209" s="103"/>
    </row>
    <row r="210" spans="9:11">
      <c r="I210" s="98"/>
      <c r="K210" s="103"/>
    </row>
    <row r="211" spans="9:11">
      <c r="I211" s="98"/>
      <c r="K211" s="103"/>
    </row>
    <row r="212" spans="9:11">
      <c r="I212" s="98"/>
      <c r="K212" s="103"/>
    </row>
    <row r="213" spans="9:11">
      <c r="I213" s="98"/>
      <c r="K213" s="103"/>
    </row>
    <row r="214" spans="9:11">
      <c r="I214" s="98"/>
      <c r="K214" s="103"/>
    </row>
    <row r="215" spans="9:11">
      <c r="I215" s="98"/>
      <c r="K215" s="103"/>
    </row>
    <row r="216" spans="9:11">
      <c r="I216" s="98"/>
      <c r="K216" s="103"/>
    </row>
    <row r="217" spans="9:11">
      <c r="I217" s="98"/>
      <c r="K217" s="103"/>
    </row>
    <row r="218" spans="9:11">
      <c r="I218" s="98"/>
      <c r="K218" s="103"/>
    </row>
    <row r="219" spans="9:11">
      <c r="I219" s="98"/>
      <c r="K219" s="103"/>
    </row>
    <row r="220" spans="9:11">
      <c r="I220" s="98"/>
      <c r="K220" s="103"/>
    </row>
    <row r="221" spans="9:11">
      <c r="I221" s="98"/>
      <c r="K221" s="103"/>
    </row>
    <row r="222" spans="9:11">
      <c r="I222" s="98"/>
      <c r="K222" s="103"/>
    </row>
    <row r="223" spans="9:11">
      <c r="I223" s="98"/>
      <c r="K223" s="103"/>
    </row>
    <row r="224" spans="9:11">
      <c r="I224" s="98"/>
      <c r="K224" s="103"/>
    </row>
    <row r="225" spans="9:11">
      <c r="I225" s="98"/>
      <c r="K225" s="103"/>
    </row>
    <row r="226" spans="9:11">
      <c r="I226" s="98"/>
      <c r="K226" s="103"/>
    </row>
    <row r="227" spans="9:11">
      <c r="I227" s="98"/>
      <c r="K227" s="103"/>
    </row>
    <row r="228" spans="9:11">
      <c r="I228" s="98"/>
      <c r="K228" s="103"/>
    </row>
    <row r="229" spans="9:11">
      <c r="I229" s="98"/>
      <c r="K229" s="103"/>
    </row>
    <row r="230" spans="9:11">
      <c r="I230" s="98"/>
      <c r="K230" s="103"/>
    </row>
    <row r="231" spans="9:11">
      <c r="I231" s="98"/>
      <c r="K231" s="103"/>
    </row>
    <row r="232" spans="9:11">
      <c r="I232" s="98"/>
      <c r="K232" s="103"/>
    </row>
    <row r="233" spans="9:11">
      <c r="I233" s="98"/>
      <c r="K233" s="103"/>
    </row>
    <row r="234" spans="9:11">
      <c r="I234" s="98"/>
      <c r="K234" s="103"/>
    </row>
    <row r="235" spans="9:11">
      <c r="I235" s="98"/>
      <c r="K235" s="103"/>
    </row>
    <row r="236" spans="9:11">
      <c r="I236" s="98"/>
      <c r="K236" s="103"/>
    </row>
    <row r="237" spans="9:11">
      <c r="I237" s="98"/>
      <c r="K237" s="103"/>
    </row>
    <row r="238" spans="9:11">
      <c r="I238" s="98"/>
      <c r="K238" s="103"/>
    </row>
    <row r="239" spans="9:11">
      <c r="I239" s="98"/>
      <c r="K239" s="103"/>
    </row>
    <row r="240" spans="9:11">
      <c r="I240" s="98"/>
      <c r="K240" s="103"/>
    </row>
    <row r="241" spans="9:11">
      <c r="I241" s="98"/>
      <c r="K241" s="103"/>
    </row>
    <row r="242" spans="9:11">
      <c r="I242" s="98"/>
      <c r="K242" s="103"/>
    </row>
    <row r="243" spans="9:11">
      <c r="I243" s="98"/>
      <c r="K243" s="103"/>
    </row>
    <row r="244" spans="9:11">
      <c r="I244" s="98"/>
      <c r="K244" s="103"/>
    </row>
    <row r="245" spans="9:11">
      <c r="I245" s="98"/>
      <c r="K245" s="103"/>
    </row>
    <row r="246" spans="9:11">
      <c r="I246" s="98"/>
      <c r="K246" s="103"/>
    </row>
    <row r="247" spans="9:11">
      <c r="I247" s="98"/>
      <c r="K247" s="103"/>
    </row>
    <row r="248" spans="9:11">
      <c r="I248" s="98"/>
      <c r="K248" s="103"/>
    </row>
    <row r="249" spans="9:11">
      <c r="I249" s="98"/>
      <c r="K249" s="103"/>
    </row>
    <row r="250" spans="9:11">
      <c r="I250" s="98"/>
      <c r="K250" s="103"/>
    </row>
    <row r="251" spans="9:11">
      <c r="I251" s="98"/>
      <c r="K251" s="103"/>
    </row>
    <row r="252" spans="9:11">
      <c r="I252" s="98"/>
      <c r="K252" s="103"/>
    </row>
    <row r="253" spans="9:11">
      <c r="I253" s="98"/>
      <c r="K253" s="103"/>
    </row>
    <row r="254" spans="9:11">
      <c r="I254" s="98"/>
      <c r="K254" s="103"/>
    </row>
    <row r="255" spans="9:11">
      <c r="I255" s="98"/>
      <c r="K255" s="103"/>
    </row>
    <row r="256" spans="9:11">
      <c r="I256" s="98"/>
      <c r="K256" s="103"/>
    </row>
    <row r="257" spans="9:11">
      <c r="I257" s="98"/>
      <c r="K257" s="103"/>
    </row>
    <row r="258" spans="9:11">
      <c r="I258" s="98"/>
      <c r="K258" s="103"/>
    </row>
    <row r="259" spans="9:11">
      <c r="I259" s="98"/>
      <c r="K259" s="103"/>
    </row>
    <row r="260" spans="9:11">
      <c r="I260" s="98"/>
      <c r="K260" s="103"/>
    </row>
    <row r="261" spans="9:11">
      <c r="I261" s="98"/>
      <c r="K261" s="103"/>
    </row>
    <row r="262" spans="9:11">
      <c r="I262" s="98"/>
      <c r="K262" s="103"/>
    </row>
    <row r="263" spans="9:11">
      <c r="I263" s="98"/>
      <c r="K263" s="103"/>
    </row>
    <row r="264" spans="9:11">
      <c r="I264" s="98"/>
      <c r="K264" s="103"/>
    </row>
    <row r="265" spans="9:11">
      <c r="I265" s="98"/>
      <c r="K265" s="103"/>
    </row>
    <row r="266" spans="9:11">
      <c r="I266" s="98"/>
      <c r="K266" s="103"/>
    </row>
    <row r="267" spans="9:11">
      <c r="I267" s="98"/>
      <c r="K267" s="103"/>
    </row>
    <row r="268" spans="9:11">
      <c r="I268" s="98"/>
      <c r="K268" s="103"/>
    </row>
    <row r="269" spans="9:11">
      <c r="I269" s="98"/>
      <c r="K269" s="103"/>
    </row>
    <row r="270" spans="9:11">
      <c r="I270" s="98"/>
      <c r="K270" s="103"/>
    </row>
    <row r="271" spans="9:11">
      <c r="I271" s="98"/>
      <c r="K271" s="103"/>
    </row>
    <row r="272" spans="9:11">
      <c r="I272" s="98"/>
      <c r="K272" s="103"/>
    </row>
    <row r="273" spans="9:11">
      <c r="I273" s="98"/>
      <c r="K273" s="103"/>
    </row>
    <row r="274" spans="9:11">
      <c r="I274" s="98"/>
      <c r="K274" s="103"/>
    </row>
    <row r="275" spans="9:11">
      <c r="I275" s="98"/>
      <c r="K275" s="103"/>
    </row>
    <row r="276" spans="9:11">
      <c r="I276" s="98"/>
      <c r="K276" s="103"/>
    </row>
    <row r="277" spans="9:11">
      <c r="I277" s="98"/>
      <c r="K277" s="103"/>
    </row>
    <row r="278" spans="9:11">
      <c r="I278" s="98"/>
      <c r="K278" s="103"/>
    </row>
    <row r="279" spans="9:11">
      <c r="I279" s="98"/>
      <c r="K279" s="103"/>
    </row>
    <row r="280" spans="9:11">
      <c r="I280" s="98"/>
      <c r="K280" s="103"/>
    </row>
    <row r="281" spans="9:11">
      <c r="I281" s="98"/>
      <c r="K281" s="103"/>
    </row>
    <row r="282" spans="9:11">
      <c r="I282" s="98"/>
      <c r="K282" s="103"/>
    </row>
    <row r="283" spans="9:11">
      <c r="I283" s="98"/>
      <c r="K283" s="103"/>
    </row>
    <row r="284" spans="9:11">
      <c r="I284" s="98"/>
      <c r="K284" s="103"/>
    </row>
    <row r="285" spans="9:11">
      <c r="I285" s="98"/>
      <c r="K285" s="103"/>
    </row>
    <row r="286" spans="9:11">
      <c r="I286" s="98"/>
      <c r="K286" s="103"/>
    </row>
    <row r="287" spans="9:11">
      <c r="I287" s="98"/>
      <c r="K287" s="103"/>
    </row>
    <row r="288" spans="9:11">
      <c r="I288" s="98"/>
      <c r="K288" s="103"/>
    </row>
    <row r="289" spans="9:11">
      <c r="I289" s="98"/>
      <c r="K289" s="103"/>
    </row>
    <row r="290" spans="9:11">
      <c r="I290" s="98"/>
      <c r="K290" s="103"/>
    </row>
    <row r="291" spans="9:11">
      <c r="I291" s="98"/>
      <c r="K291" s="103"/>
    </row>
    <row r="292" spans="9:11">
      <c r="I292" s="98"/>
      <c r="K292" s="103"/>
    </row>
    <row r="293" spans="9:11">
      <c r="I293" s="98"/>
      <c r="K293" s="103"/>
    </row>
    <row r="294" spans="9:11">
      <c r="I294" s="98"/>
      <c r="K294" s="103"/>
    </row>
    <row r="295" spans="9:11">
      <c r="I295" s="98"/>
      <c r="K295" s="103"/>
    </row>
    <row r="296" spans="9:11">
      <c r="I296" s="98"/>
      <c r="K296" s="103"/>
    </row>
    <row r="297" spans="9:11">
      <c r="I297" s="98"/>
      <c r="K297" s="103"/>
    </row>
    <row r="298" spans="9:11">
      <c r="I298" s="98"/>
      <c r="K298" s="103"/>
    </row>
    <row r="299" spans="9:11">
      <c r="I299" s="98"/>
      <c r="K299" s="103"/>
    </row>
    <row r="300" spans="9:11">
      <c r="I300" s="98"/>
      <c r="K300" s="103"/>
    </row>
    <row r="301" spans="9:11">
      <c r="I301" s="98"/>
      <c r="K301" s="103"/>
    </row>
    <row r="302" spans="9:11">
      <c r="I302" s="98"/>
      <c r="K302" s="103"/>
    </row>
    <row r="303" spans="9:11">
      <c r="I303" s="98"/>
      <c r="K303" s="103"/>
    </row>
    <row r="304" spans="9:11">
      <c r="I304" s="98"/>
      <c r="K304" s="103"/>
    </row>
    <row r="305" spans="9:11">
      <c r="I305" s="98"/>
      <c r="K305" s="103"/>
    </row>
    <row r="306" spans="9:11">
      <c r="I306" s="98"/>
      <c r="K306" s="103"/>
    </row>
    <row r="307" spans="9:11">
      <c r="I307" s="98"/>
      <c r="K307" s="103"/>
    </row>
    <row r="308" spans="9:11">
      <c r="I308" s="98"/>
      <c r="K308" s="103"/>
    </row>
    <row r="309" spans="9:11">
      <c r="I309" s="98"/>
      <c r="K309" s="103"/>
    </row>
    <row r="310" spans="9:11">
      <c r="I310" s="98"/>
      <c r="K310" s="103"/>
    </row>
    <row r="311" spans="9:11">
      <c r="I311" s="98"/>
      <c r="K311" s="103"/>
    </row>
    <row r="312" spans="9:11">
      <c r="I312" s="98"/>
      <c r="K312" s="103"/>
    </row>
    <row r="313" spans="9:11">
      <c r="I313" s="98"/>
      <c r="K313" s="103"/>
    </row>
    <row r="314" spans="9:11">
      <c r="I314" s="98"/>
      <c r="K314" s="103"/>
    </row>
    <row r="315" spans="9:11">
      <c r="I315" s="98"/>
      <c r="K315" s="103"/>
    </row>
    <row r="316" spans="9:11">
      <c r="I316" s="98"/>
      <c r="K316" s="103"/>
    </row>
    <row r="317" spans="9:11">
      <c r="I317" s="98"/>
      <c r="K317" s="103"/>
    </row>
    <row r="318" spans="9:11">
      <c r="I318" s="98"/>
      <c r="K318" s="103"/>
    </row>
    <row r="319" spans="9:11">
      <c r="I319" s="98"/>
      <c r="K319" s="103"/>
    </row>
    <row r="320" spans="9:11">
      <c r="I320" s="98"/>
      <c r="K320" s="103"/>
    </row>
    <row r="321" spans="9:11">
      <c r="I321" s="98"/>
      <c r="K321" s="103"/>
    </row>
    <row r="322" spans="9:11">
      <c r="I322" s="98"/>
      <c r="K322" s="103"/>
    </row>
    <row r="323" spans="9:11">
      <c r="I323" s="98"/>
      <c r="K323" s="103"/>
    </row>
    <row r="324" spans="9:11">
      <c r="I324" s="98"/>
      <c r="K324" s="103"/>
    </row>
    <row r="325" spans="9:11">
      <c r="I325" s="98"/>
      <c r="K325" s="103"/>
    </row>
    <row r="326" spans="9:11">
      <c r="I326" s="98"/>
      <c r="K326" s="103"/>
    </row>
    <row r="327" spans="9:11">
      <c r="I327" s="98"/>
      <c r="K327" s="103"/>
    </row>
    <row r="328" spans="9:11">
      <c r="I328" s="98"/>
      <c r="K328" s="103"/>
    </row>
    <row r="329" spans="9:11">
      <c r="I329" s="98"/>
      <c r="K329" s="103"/>
    </row>
    <row r="330" spans="9:11">
      <c r="I330" s="98"/>
      <c r="K330" s="103"/>
    </row>
    <row r="331" spans="9:11">
      <c r="I331" s="98"/>
      <c r="K331" s="103"/>
    </row>
    <row r="332" spans="9:11">
      <c r="I332" s="98"/>
      <c r="K332" s="103"/>
    </row>
    <row r="333" spans="9:11">
      <c r="I333" s="98"/>
      <c r="K333" s="103"/>
    </row>
    <row r="334" spans="9:11">
      <c r="I334" s="98"/>
      <c r="K334" s="103"/>
    </row>
    <row r="335" spans="9:11">
      <c r="I335" s="98"/>
      <c r="K335" s="103"/>
    </row>
    <row r="336" spans="9:11">
      <c r="I336" s="98"/>
      <c r="K336" s="103"/>
    </row>
    <row r="337" spans="9:11">
      <c r="I337" s="98"/>
      <c r="K337" s="103"/>
    </row>
    <row r="338" spans="9:11">
      <c r="I338" s="98"/>
      <c r="K338" s="103"/>
    </row>
    <row r="339" spans="9:11">
      <c r="I339" s="98"/>
      <c r="K339" s="103"/>
    </row>
    <row r="340" spans="9:11">
      <c r="I340" s="98"/>
      <c r="K340" s="103"/>
    </row>
    <row r="341" spans="9:11">
      <c r="I341" s="98"/>
      <c r="K341" s="103"/>
    </row>
    <row r="342" spans="9:11">
      <c r="I342" s="98"/>
      <c r="K342" s="103"/>
    </row>
    <row r="343" spans="9:11">
      <c r="I343" s="98"/>
      <c r="K343" s="103"/>
    </row>
    <row r="344" spans="9:11">
      <c r="I344" s="98"/>
      <c r="K344" s="103"/>
    </row>
    <row r="345" spans="9:11">
      <c r="I345" s="98"/>
      <c r="K345" s="103"/>
    </row>
    <row r="346" spans="9:11">
      <c r="I346" s="98"/>
      <c r="K346" s="103"/>
    </row>
    <row r="347" spans="9:11">
      <c r="I347" s="98"/>
      <c r="K347" s="103"/>
    </row>
    <row r="348" spans="9:11">
      <c r="I348" s="98"/>
      <c r="K348" s="103"/>
    </row>
    <row r="349" spans="9:11">
      <c r="I349" s="98"/>
      <c r="K349" s="103"/>
    </row>
    <row r="350" spans="9:11">
      <c r="I350" s="98"/>
      <c r="K350" s="103"/>
    </row>
    <row r="351" spans="9:11">
      <c r="I351" s="98"/>
      <c r="K351" s="103"/>
    </row>
    <row r="352" spans="9:11">
      <c r="I352" s="98"/>
      <c r="K352" s="103"/>
    </row>
    <row r="353" spans="9:11">
      <c r="I353" s="98"/>
      <c r="K353" s="103"/>
    </row>
    <row r="354" spans="9:11">
      <c r="I354" s="98"/>
      <c r="K354" s="103"/>
    </row>
    <row r="355" spans="9:11">
      <c r="I355" s="98"/>
      <c r="K355" s="103"/>
    </row>
    <row r="356" spans="9:11">
      <c r="I356" s="98"/>
      <c r="K356" s="103"/>
    </row>
    <row r="357" spans="9:11">
      <c r="I357" s="98"/>
      <c r="K357" s="103"/>
    </row>
    <row r="358" spans="9:11">
      <c r="I358" s="98"/>
      <c r="K358" s="103"/>
    </row>
    <row r="359" spans="9:11">
      <c r="I359" s="98"/>
      <c r="K359" s="103"/>
    </row>
    <row r="360" spans="9:11">
      <c r="I360" s="98"/>
      <c r="K360" s="103"/>
    </row>
    <row r="361" spans="9:11">
      <c r="I361" s="98"/>
      <c r="K361" s="103"/>
    </row>
    <row r="362" spans="9:11">
      <c r="I362" s="98"/>
      <c r="K362" s="103"/>
    </row>
    <row r="363" spans="9:11">
      <c r="I363" s="98"/>
      <c r="K363" s="103"/>
    </row>
    <row r="364" spans="9:11">
      <c r="I364" s="98"/>
      <c r="K364" s="103"/>
    </row>
    <row r="365" spans="9:11">
      <c r="I365" s="98"/>
      <c r="K365" s="103"/>
    </row>
    <row r="366" spans="9:11">
      <c r="I366" s="98"/>
      <c r="K366" s="103"/>
    </row>
    <row r="367" spans="9:11">
      <c r="I367" s="98"/>
      <c r="K367" s="103"/>
    </row>
    <row r="368" spans="9:11">
      <c r="I368" s="98"/>
      <c r="K368" s="103"/>
    </row>
    <row r="369" spans="9:11">
      <c r="I369" s="98"/>
      <c r="K369" s="103"/>
    </row>
    <row r="370" spans="9:11">
      <c r="I370" s="98"/>
      <c r="K370" s="103"/>
    </row>
    <row r="371" spans="9:11">
      <c r="I371" s="98"/>
      <c r="K371" s="103"/>
    </row>
    <row r="372" spans="9:11">
      <c r="I372" s="98"/>
      <c r="K372" s="103"/>
    </row>
    <row r="373" spans="9:11">
      <c r="I373" s="98"/>
      <c r="K373" s="103"/>
    </row>
    <row r="374" spans="9:11">
      <c r="I374" s="98"/>
      <c r="K374" s="103"/>
    </row>
    <row r="375" spans="9:11">
      <c r="I375" s="98"/>
      <c r="K375" s="103"/>
    </row>
    <row r="376" spans="9:11">
      <c r="I376" s="98"/>
      <c r="K376" s="103"/>
    </row>
    <row r="377" spans="9:11">
      <c r="I377" s="98"/>
      <c r="K377" s="103"/>
    </row>
    <row r="378" spans="9:11">
      <c r="I378" s="98"/>
      <c r="K378" s="103"/>
    </row>
    <row r="379" spans="9:11">
      <c r="I379" s="98"/>
      <c r="K379" s="103"/>
    </row>
    <row r="380" spans="9:11">
      <c r="I380" s="98"/>
      <c r="K380" s="103"/>
    </row>
    <row r="381" spans="9:11">
      <c r="I381" s="98"/>
      <c r="K381" s="103"/>
    </row>
    <row r="382" spans="9:11">
      <c r="I382" s="98"/>
      <c r="K382" s="103"/>
    </row>
    <row r="383" spans="9:11">
      <c r="I383" s="98"/>
      <c r="K383" s="103"/>
    </row>
    <row r="384" spans="9:11">
      <c r="I384" s="98"/>
      <c r="K384" s="103"/>
    </row>
    <row r="385" spans="9:11">
      <c r="I385" s="98"/>
      <c r="K385" s="103"/>
    </row>
    <row r="386" spans="9:11">
      <c r="I386" s="98"/>
      <c r="K386" s="103"/>
    </row>
    <row r="387" spans="9:11">
      <c r="I387" s="98"/>
      <c r="K387" s="103"/>
    </row>
    <row r="388" spans="9:11">
      <c r="I388" s="98"/>
      <c r="K388" s="103"/>
    </row>
    <row r="389" spans="9:11">
      <c r="I389" s="98"/>
      <c r="K389" s="103"/>
    </row>
    <row r="390" spans="9:11">
      <c r="I390" s="98"/>
      <c r="K390" s="103"/>
    </row>
    <row r="391" spans="9:11">
      <c r="I391" s="98"/>
      <c r="K391" s="103"/>
    </row>
    <row r="392" spans="9:11">
      <c r="I392" s="98"/>
      <c r="K392" s="103"/>
    </row>
    <row r="393" spans="9:11">
      <c r="I393" s="98"/>
      <c r="K393" s="103"/>
    </row>
    <row r="394" spans="9:11">
      <c r="I394" s="98"/>
      <c r="K394" s="103"/>
    </row>
    <row r="395" spans="9:11">
      <c r="I395" s="98"/>
      <c r="K395" s="103"/>
    </row>
    <row r="396" spans="9:11">
      <c r="I396" s="98"/>
      <c r="K396" s="103"/>
    </row>
    <row r="397" spans="9:11">
      <c r="I397" s="98"/>
      <c r="K397" s="103"/>
    </row>
    <row r="398" spans="9:11">
      <c r="I398" s="98"/>
      <c r="K398" s="103"/>
    </row>
    <row r="399" spans="9:11">
      <c r="I399" s="98"/>
      <c r="K399" s="103"/>
    </row>
    <row r="400" spans="9:11">
      <c r="I400" s="98"/>
      <c r="K400" s="103"/>
    </row>
    <row r="401" spans="9:11">
      <c r="I401" s="98"/>
      <c r="K401" s="103"/>
    </row>
    <row r="402" spans="9:11">
      <c r="I402" s="98"/>
      <c r="K402" s="103"/>
    </row>
    <row r="403" spans="9:11">
      <c r="I403" s="98"/>
      <c r="K403" s="103"/>
    </row>
    <row r="404" spans="9:11">
      <c r="I404" s="98"/>
      <c r="K404" s="103"/>
    </row>
    <row r="405" spans="9:11">
      <c r="I405" s="98"/>
      <c r="K405" s="103"/>
    </row>
    <row r="406" spans="9:11">
      <c r="I406" s="98"/>
      <c r="K406" s="103"/>
    </row>
    <row r="407" spans="9:11">
      <c r="I407" s="98"/>
      <c r="K407" s="103"/>
    </row>
    <row r="408" spans="9:11">
      <c r="I408" s="98"/>
      <c r="K408" s="103"/>
    </row>
    <row r="409" spans="9:11">
      <c r="I409" s="98"/>
      <c r="K409" s="103"/>
    </row>
    <row r="410" spans="9:11">
      <c r="I410" s="98"/>
      <c r="K410" s="103"/>
    </row>
    <row r="411" spans="9:11">
      <c r="I411" s="98"/>
      <c r="K411" s="103"/>
    </row>
    <row r="412" spans="9:11">
      <c r="I412" s="98"/>
      <c r="K412" s="103"/>
    </row>
    <row r="413" spans="9:11">
      <c r="I413" s="98"/>
      <c r="K413" s="103"/>
    </row>
    <row r="414" spans="9:11">
      <c r="I414" s="98"/>
      <c r="K414" s="103"/>
    </row>
    <row r="415" spans="9:11">
      <c r="I415" s="98"/>
      <c r="K415" s="103"/>
    </row>
    <row r="416" spans="9:11">
      <c r="I416" s="98"/>
      <c r="K416" s="103"/>
    </row>
    <row r="417" spans="9:11">
      <c r="I417" s="98"/>
      <c r="K417" s="103"/>
    </row>
    <row r="418" spans="9:11">
      <c r="I418" s="98"/>
      <c r="K418" s="103"/>
    </row>
    <row r="419" spans="9:11">
      <c r="I419" s="98"/>
      <c r="K419" s="103"/>
    </row>
    <row r="420" spans="9:11">
      <c r="I420" s="98"/>
      <c r="K420" s="103"/>
    </row>
    <row r="421" spans="9:11">
      <c r="I421" s="98"/>
      <c r="K421" s="103"/>
    </row>
    <row r="422" spans="9:11">
      <c r="I422" s="98"/>
      <c r="K422" s="103"/>
    </row>
    <row r="423" spans="9:11">
      <c r="I423" s="98"/>
      <c r="K423" s="103"/>
    </row>
    <row r="424" spans="9:11">
      <c r="I424" s="98"/>
      <c r="K424" s="103"/>
    </row>
    <row r="425" spans="9:11">
      <c r="I425" s="98"/>
      <c r="K425" s="103"/>
    </row>
    <row r="426" spans="9:11">
      <c r="I426" s="98"/>
      <c r="K426" s="103"/>
    </row>
    <row r="427" spans="9:11">
      <c r="I427" s="98"/>
      <c r="K427" s="103"/>
    </row>
    <row r="428" spans="9:11">
      <c r="I428" s="98"/>
      <c r="K428" s="103"/>
    </row>
    <row r="429" spans="9:11">
      <c r="I429" s="98"/>
      <c r="K429" s="103"/>
    </row>
    <row r="430" spans="9:11">
      <c r="I430" s="98"/>
      <c r="K430" s="103"/>
    </row>
    <row r="431" spans="9:11">
      <c r="I431" s="98"/>
      <c r="K431" s="103"/>
    </row>
    <row r="432" spans="9:11">
      <c r="I432" s="98"/>
      <c r="K432" s="103"/>
    </row>
    <row r="433" spans="9:11">
      <c r="I433" s="98"/>
      <c r="K433" s="103"/>
    </row>
    <row r="434" spans="9:11">
      <c r="I434" s="98"/>
      <c r="K434" s="103"/>
    </row>
    <row r="435" spans="9:11">
      <c r="I435" s="98"/>
      <c r="K435" s="103"/>
    </row>
    <row r="436" spans="9:11">
      <c r="I436" s="98"/>
      <c r="K436" s="103"/>
    </row>
    <row r="437" spans="9:11">
      <c r="I437" s="98"/>
      <c r="K437" s="103"/>
    </row>
    <row r="438" spans="9:11">
      <c r="I438" s="98"/>
      <c r="K438" s="103"/>
    </row>
    <row r="439" spans="9:11">
      <c r="I439" s="98"/>
      <c r="K439" s="103"/>
    </row>
    <row r="440" spans="9:11">
      <c r="I440" s="98"/>
      <c r="K440" s="103"/>
    </row>
    <row r="441" spans="9:11">
      <c r="I441" s="98"/>
      <c r="K441" s="103"/>
    </row>
    <row r="442" spans="9:11">
      <c r="I442" s="98"/>
      <c r="K442" s="103"/>
    </row>
    <row r="443" spans="9:11">
      <c r="I443" s="98"/>
      <c r="K443" s="103"/>
    </row>
    <row r="444" spans="9:11">
      <c r="I444" s="98"/>
      <c r="K444" s="103"/>
    </row>
    <row r="445" spans="9:11">
      <c r="I445" s="98"/>
      <c r="K445" s="103"/>
    </row>
    <row r="446" spans="9:11">
      <c r="I446" s="98"/>
      <c r="K446" s="103"/>
    </row>
    <row r="447" spans="9:11">
      <c r="I447" s="98"/>
      <c r="K447" s="103"/>
    </row>
    <row r="448" spans="9:11">
      <c r="I448" s="98"/>
      <c r="K448" s="103"/>
    </row>
    <row r="449" spans="9:11">
      <c r="I449" s="98"/>
      <c r="K449" s="103"/>
    </row>
    <row r="450" spans="9:11">
      <c r="I450" s="98"/>
      <c r="K450" s="103"/>
    </row>
    <row r="451" spans="9:11">
      <c r="I451" s="98"/>
      <c r="K451" s="103"/>
    </row>
    <row r="452" spans="9:11">
      <c r="I452" s="98"/>
      <c r="K452" s="103"/>
    </row>
    <row r="453" spans="9:11">
      <c r="I453" s="98"/>
      <c r="K453" s="103"/>
    </row>
    <row r="454" spans="9:11">
      <c r="I454" s="98"/>
      <c r="K454" s="103"/>
    </row>
    <row r="455" spans="9:11">
      <c r="I455" s="98"/>
      <c r="K455" s="103"/>
    </row>
    <row r="456" spans="9:11">
      <c r="I456" s="98"/>
      <c r="K456" s="103"/>
    </row>
    <row r="457" spans="9:11">
      <c r="I457" s="98"/>
      <c r="K457" s="103"/>
    </row>
    <row r="458" spans="9:11">
      <c r="I458" s="98"/>
      <c r="K458" s="103"/>
    </row>
    <row r="459" spans="9:11">
      <c r="I459" s="98"/>
      <c r="K459" s="103"/>
    </row>
    <row r="460" spans="9:11">
      <c r="I460" s="98"/>
      <c r="K460" s="103"/>
    </row>
    <row r="461" spans="9:11">
      <c r="I461" s="98"/>
      <c r="K461" s="103"/>
    </row>
    <row r="462" spans="9:11">
      <c r="I462" s="98"/>
      <c r="K462" s="103"/>
    </row>
    <row r="463" spans="9:11">
      <c r="I463" s="98"/>
      <c r="K463" s="103"/>
    </row>
    <row r="464" spans="9:11">
      <c r="I464" s="98"/>
      <c r="K464" s="103"/>
    </row>
    <row r="465" spans="9:11">
      <c r="I465" s="98"/>
      <c r="K465" s="103"/>
    </row>
    <row r="466" spans="9:11">
      <c r="I466" s="98"/>
      <c r="K466" s="103"/>
    </row>
    <row r="467" spans="9:11">
      <c r="I467" s="98"/>
      <c r="K467" s="103"/>
    </row>
    <row r="468" spans="9:11">
      <c r="I468" s="98"/>
      <c r="K468" s="103"/>
    </row>
    <row r="469" spans="9:11">
      <c r="I469" s="98"/>
      <c r="K469" s="103"/>
    </row>
    <row r="470" spans="9:11">
      <c r="I470" s="98"/>
      <c r="K470" s="103"/>
    </row>
    <row r="471" spans="9:11">
      <c r="I471" s="98"/>
      <c r="K471" s="103"/>
    </row>
    <row r="472" spans="9:11">
      <c r="I472" s="98"/>
      <c r="K472" s="103"/>
    </row>
    <row r="473" spans="9:11">
      <c r="I473" s="98"/>
      <c r="K473" s="103"/>
    </row>
    <row r="474" spans="9:11">
      <c r="I474" s="98"/>
      <c r="K474" s="103"/>
    </row>
    <row r="475" spans="9:11">
      <c r="I475" s="98"/>
      <c r="K475" s="103"/>
    </row>
    <row r="476" spans="9:11">
      <c r="I476" s="98"/>
      <c r="K476" s="103"/>
    </row>
    <row r="477" spans="9:11">
      <c r="I477" s="98"/>
      <c r="K477" s="103"/>
    </row>
    <row r="478" spans="9:11">
      <c r="I478" s="98"/>
      <c r="K478" s="103"/>
    </row>
    <row r="479" spans="9:11">
      <c r="I479" s="98"/>
      <c r="K479" s="103"/>
    </row>
    <row r="480" spans="9:11">
      <c r="I480" s="98"/>
      <c r="K480" s="103"/>
    </row>
    <row r="481" spans="9:11">
      <c r="I481" s="98"/>
      <c r="K481" s="103"/>
    </row>
    <row r="482" spans="9:11">
      <c r="I482" s="98"/>
      <c r="K482" s="103"/>
    </row>
    <row r="483" spans="9:11">
      <c r="I483" s="98"/>
      <c r="K483" s="103"/>
    </row>
    <row r="484" spans="9:11">
      <c r="I484" s="98"/>
      <c r="K484" s="103"/>
    </row>
    <row r="485" spans="9:11">
      <c r="I485" s="98"/>
      <c r="K485" s="103"/>
    </row>
    <row r="486" spans="9:11">
      <c r="I486" s="98"/>
      <c r="K486" s="103"/>
    </row>
    <row r="487" spans="9:11">
      <c r="I487" s="98"/>
      <c r="K487" s="103"/>
    </row>
    <row r="488" spans="9:11">
      <c r="I488" s="98"/>
      <c r="K488" s="103"/>
    </row>
    <row r="489" spans="9:11">
      <c r="I489" s="98"/>
      <c r="K489" s="103"/>
    </row>
    <row r="490" spans="9:11">
      <c r="I490" s="98"/>
      <c r="K490" s="103"/>
    </row>
    <row r="491" spans="9:11">
      <c r="I491" s="98"/>
      <c r="K491" s="103"/>
    </row>
    <row r="492" spans="9:11">
      <c r="I492" s="98"/>
      <c r="K492" s="103"/>
    </row>
    <row r="493" spans="9:11">
      <c r="I493" s="98"/>
      <c r="K493" s="103"/>
    </row>
    <row r="494" spans="9:11">
      <c r="I494" s="98"/>
      <c r="K494" s="103"/>
    </row>
    <row r="495" spans="9:11">
      <c r="I495" s="98"/>
      <c r="K495" s="103"/>
    </row>
    <row r="496" spans="9:11">
      <c r="I496" s="98"/>
      <c r="K496" s="103"/>
    </row>
    <row r="497" spans="9:11">
      <c r="I497" s="98"/>
      <c r="K497" s="103"/>
    </row>
    <row r="498" spans="9:11">
      <c r="I498" s="98"/>
      <c r="K498" s="103"/>
    </row>
    <row r="499" spans="9:11">
      <c r="I499" s="98"/>
      <c r="K499" s="103"/>
    </row>
    <row r="500" spans="9:11">
      <c r="I500" s="98"/>
      <c r="K500" s="103"/>
    </row>
    <row r="501" spans="9:11">
      <c r="I501" s="98"/>
      <c r="K501" s="103"/>
    </row>
    <row r="502" spans="9:11">
      <c r="I502" s="98"/>
      <c r="K502" s="103"/>
    </row>
    <row r="503" spans="9:11">
      <c r="I503" s="98"/>
      <c r="K503" s="103"/>
    </row>
    <row r="504" spans="9:11">
      <c r="I504" s="98"/>
      <c r="K504" s="103"/>
    </row>
    <row r="505" spans="9:11">
      <c r="I505" s="98"/>
      <c r="K505" s="103"/>
    </row>
    <row r="506" spans="9:11">
      <c r="I506" s="98"/>
      <c r="K506" s="103"/>
    </row>
    <row r="507" spans="9:11">
      <c r="I507" s="98"/>
      <c r="K507" s="103"/>
    </row>
    <row r="508" spans="9:11">
      <c r="I508" s="98"/>
      <c r="K508" s="103"/>
    </row>
    <row r="509" spans="9:11">
      <c r="I509" s="98"/>
      <c r="K509" s="103"/>
    </row>
    <row r="510" spans="9:11">
      <c r="I510" s="98"/>
      <c r="K510" s="103"/>
    </row>
    <row r="511" spans="9:11">
      <c r="I511" s="98"/>
      <c r="K511" s="103"/>
    </row>
    <row r="512" spans="9:11">
      <c r="I512" s="98"/>
      <c r="K512" s="103"/>
    </row>
    <row r="513" spans="9:11">
      <c r="I513" s="98"/>
      <c r="K513" s="103"/>
    </row>
    <row r="514" spans="9:11">
      <c r="I514" s="98"/>
      <c r="K514" s="103"/>
    </row>
    <row r="515" spans="9:11">
      <c r="I515" s="98"/>
      <c r="K515" s="103"/>
    </row>
    <row r="516" spans="9:11">
      <c r="I516" s="98"/>
      <c r="K516" s="103"/>
    </row>
    <row r="517" spans="9:11">
      <c r="I517" s="98"/>
      <c r="K517" s="103"/>
    </row>
    <row r="518" spans="9:11">
      <c r="I518" s="98"/>
      <c r="K518" s="103"/>
    </row>
    <row r="519" spans="9:11">
      <c r="I519" s="98"/>
      <c r="K519" s="103"/>
    </row>
    <row r="520" spans="9:11">
      <c r="I520" s="98"/>
      <c r="K520" s="103"/>
    </row>
    <row r="521" spans="9:11">
      <c r="I521" s="98"/>
      <c r="K521" s="103"/>
    </row>
    <row r="522" spans="9:11">
      <c r="I522" s="98"/>
      <c r="K522" s="103"/>
    </row>
    <row r="523" spans="9:11">
      <c r="I523" s="98"/>
      <c r="K523" s="103"/>
    </row>
    <row r="524" spans="9:11">
      <c r="I524" s="98"/>
      <c r="K524" s="103"/>
    </row>
    <row r="525" spans="9:11">
      <c r="I525" s="98"/>
      <c r="K525" s="103"/>
    </row>
    <row r="526" spans="9:11">
      <c r="I526" s="98"/>
      <c r="K526" s="103"/>
    </row>
    <row r="527" spans="9:11">
      <c r="I527" s="98"/>
      <c r="K527" s="103"/>
    </row>
    <row r="528" spans="9:11">
      <c r="I528" s="98"/>
      <c r="K528" s="103"/>
    </row>
    <row r="529" spans="9:11">
      <c r="I529" s="98"/>
      <c r="K529" s="103"/>
    </row>
    <row r="530" spans="9:11">
      <c r="I530" s="98"/>
      <c r="K530" s="103"/>
    </row>
    <row r="531" spans="9:11">
      <c r="I531" s="98"/>
      <c r="K531" s="103"/>
    </row>
    <row r="532" spans="9:11">
      <c r="I532" s="98"/>
      <c r="K532" s="103"/>
    </row>
    <row r="533" spans="9:11">
      <c r="I533" s="98"/>
      <c r="K533" s="103"/>
    </row>
    <row r="534" spans="9:11">
      <c r="I534" s="98"/>
      <c r="K534" s="103"/>
    </row>
    <row r="535" spans="9:11">
      <c r="I535" s="98"/>
      <c r="K535" s="103"/>
    </row>
    <row r="536" spans="9:11">
      <c r="I536" s="98"/>
      <c r="K536" s="103"/>
    </row>
    <row r="537" spans="9:11">
      <c r="I537" s="98"/>
      <c r="K537" s="103"/>
    </row>
    <row r="538" spans="9:11">
      <c r="I538" s="98"/>
      <c r="K538" s="103"/>
    </row>
    <row r="539" spans="9:11">
      <c r="I539" s="98"/>
      <c r="K539" s="103"/>
    </row>
    <row r="540" spans="9:11">
      <c r="I540" s="98"/>
      <c r="K540" s="103"/>
    </row>
    <row r="541" spans="9:11">
      <c r="I541" s="98"/>
      <c r="K541" s="103"/>
    </row>
    <row r="542" spans="9:11">
      <c r="I542" s="98"/>
      <c r="K542" s="103"/>
    </row>
    <row r="543" spans="9:11">
      <c r="I543" s="98"/>
      <c r="K543" s="103"/>
    </row>
    <row r="544" spans="9:11">
      <c r="I544" s="98"/>
      <c r="K544" s="103"/>
    </row>
    <row r="545" spans="9:11">
      <c r="I545" s="98"/>
      <c r="K545" s="103"/>
    </row>
    <row r="546" spans="9:11">
      <c r="I546" s="98"/>
      <c r="K546" s="103"/>
    </row>
    <row r="547" spans="9:11">
      <c r="I547" s="98"/>
      <c r="K547" s="103"/>
    </row>
    <row r="548" spans="9:11">
      <c r="I548" s="98"/>
      <c r="K548" s="103"/>
    </row>
    <row r="549" spans="9:11">
      <c r="I549" s="98"/>
      <c r="K549" s="103"/>
    </row>
    <row r="550" spans="9:11">
      <c r="I550" s="98"/>
      <c r="K550" s="103"/>
    </row>
    <row r="551" spans="9:11">
      <c r="I551" s="98"/>
      <c r="K551" s="103"/>
    </row>
    <row r="552" spans="9:11">
      <c r="I552" s="98"/>
      <c r="K552" s="103"/>
    </row>
    <row r="553" spans="9:11">
      <c r="I553" s="98"/>
      <c r="K553" s="103"/>
    </row>
    <row r="554" spans="9:11">
      <c r="I554" s="98"/>
      <c r="K554" s="103"/>
    </row>
    <row r="555" spans="9:11">
      <c r="I555" s="98"/>
      <c r="K555" s="103"/>
    </row>
    <row r="556" spans="9:11">
      <c r="I556" s="98"/>
      <c r="K556" s="103"/>
    </row>
    <row r="557" spans="9:11">
      <c r="I557" s="98"/>
      <c r="K557" s="103"/>
    </row>
    <row r="558" spans="9:11">
      <c r="I558" s="98"/>
      <c r="K558" s="103"/>
    </row>
    <row r="559" spans="9:11">
      <c r="I559" s="98"/>
      <c r="K559" s="103"/>
    </row>
    <row r="560" spans="9:11">
      <c r="I560" s="98"/>
      <c r="K560" s="103"/>
    </row>
    <row r="561" spans="9:11">
      <c r="I561" s="98"/>
      <c r="K561" s="103"/>
    </row>
    <row r="562" spans="9:11">
      <c r="I562" s="98"/>
      <c r="K562" s="103"/>
    </row>
    <row r="563" spans="9:11">
      <c r="I563" s="98"/>
      <c r="K563" s="103"/>
    </row>
    <row r="564" spans="9:11">
      <c r="I564" s="98"/>
      <c r="K564" s="103"/>
    </row>
    <row r="565" spans="9:11">
      <c r="I565" s="98"/>
      <c r="K565" s="103"/>
    </row>
    <row r="566" spans="9:11">
      <c r="I566" s="98"/>
      <c r="K566" s="103"/>
    </row>
    <row r="567" spans="9:11">
      <c r="I567" s="98"/>
      <c r="K567" s="103"/>
    </row>
    <row r="568" spans="9:11">
      <c r="I568" s="98"/>
      <c r="K568" s="103"/>
    </row>
    <row r="569" spans="9:11">
      <c r="I569" s="98"/>
      <c r="K569" s="103"/>
    </row>
    <row r="570" spans="9:11">
      <c r="I570" s="98"/>
      <c r="K570" s="103"/>
    </row>
    <row r="571" spans="9:11">
      <c r="I571" s="98"/>
      <c r="K571" s="103"/>
    </row>
    <row r="572" spans="9:11">
      <c r="I572" s="98"/>
      <c r="K572" s="103"/>
    </row>
    <row r="573" spans="9:11">
      <c r="I573" s="98"/>
      <c r="K573" s="103"/>
    </row>
    <row r="574" spans="9:11">
      <c r="I574" s="98"/>
      <c r="K574" s="103"/>
    </row>
    <row r="575" spans="9:11">
      <c r="I575" s="98"/>
      <c r="K575" s="103"/>
    </row>
    <row r="576" spans="9:11">
      <c r="I576" s="98"/>
      <c r="K576" s="103"/>
    </row>
    <row r="577" spans="9:11">
      <c r="I577" s="98"/>
      <c r="K577" s="103"/>
    </row>
    <row r="578" spans="9:11">
      <c r="I578" s="98"/>
      <c r="K578" s="103"/>
    </row>
    <row r="579" spans="9:11">
      <c r="I579" s="98"/>
      <c r="K579" s="103"/>
    </row>
    <row r="580" spans="9:11">
      <c r="I580" s="98"/>
      <c r="K580" s="103"/>
    </row>
    <row r="581" spans="9:11">
      <c r="I581" s="98"/>
      <c r="K581" s="103"/>
    </row>
    <row r="582" spans="9:11">
      <c r="I582" s="98"/>
      <c r="K582" s="103"/>
    </row>
    <row r="583" spans="9:11">
      <c r="I583" s="98"/>
      <c r="K583" s="103"/>
    </row>
    <row r="584" spans="9:11">
      <c r="I584" s="98"/>
      <c r="K584" s="103"/>
    </row>
    <row r="585" spans="9:11">
      <c r="I585" s="98"/>
      <c r="K585" s="103"/>
    </row>
    <row r="586" spans="9:11">
      <c r="I586" s="98"/>
      <c r="K586" s="103"/>
    </row>
    <row r="587" spans="9:11">
      <c r="I587" s="98"/>
      <c r="K587" s="103"/>
    </row>
    <row r="588" spans="9:11">
      <c r="I588" s="98"/>
      <c r="K588" s="103"/>
    </row>
    <row r="589" spans="9:11">
      <c r="I589" s="98"/>
      <c r="K589" s="103"/>
    </row>
    <row r="590" spans="9:11">
      <c r="I590" s="98"/>
      <c r="K590" s="103"/>
    </row>
    <row r="591" spans="9:11">
      <c r="I591" s="98"/>
      <c r="K591" s="103"/>
    </row>
    <row r="592" spans="9:11">
      <c r="I592" s="98"/>
      <c r="K592" s="103"/>
    </row>
    <row r="593" spans="9:11">
      <c r="I593" s="98"/>
      <c r="K593" s="103"/>
    </row>
    <row r="594" spans="9:11">
      <c r="I594" s="98"/>
      <c r="K594" s="103"/>
    </row>
    <row r="595" spans="9:11">
      <c r="I595" s="98"/>
      <c r="K595" s="103"/>
    </row>
    <row r="596" spans="9:11">
      <c r="I596" s="98"/>
      <c r="K596" s="103"/>
    </row>
    <row r="597" spans="9:11">
      <c r="I597" s="98"/>
      <c r="K597" s="103"/>
    </row>
    <row r="598" spans="9:11">
      <c r="I598" s="98"/>
      <c r="K598" s="103"/>
    </row>
    <row r="599" spans="9:11">
      <c r="I599" s="98"/>
      <c r="K599" s="103"/>
    </row>
    <row r="600" spans="9:11">
      <c r="I600" s="98"/>
      <c r="K600" s="103"/>
    </row>
    <row r="601" spans="9:11">
      <c r="I601" s="98"/>
      <c r="K601" s="103"/>
    </row>
    <row r="602" spans="9:11">
      <c r="I602" s="98"/>
      <c r="K602" s="103"/>
    </row>
    <row r="603" spans="9:11">
      <c r="I603" s="98"/>
      <c r="K603" s="103"/>
    </row>
    <row r="604" spans="9:11">
      <c r="I604" s="98"/>
      <c r="K604" s="103"/>
    </row>
    <row r="605" spans="9:11">
      <c r="I605" s="98"/>
      <c r="K605" s="103"/>
    </row>
    <row r="606" spans="9:11">
      <c r="I606" s="98"/>
      <c r="K606" s="103"/>
    </row>
    <row r="607" spans="9:11">
      <c r="I607" s="98"/>
      <c r="K607" s="103"/>
    </row>
    <row r="608" spans="9:11">
      <c r="I608" s="98"/>
      <c r="K608" s="103"/>
    </row>
    <row r="609" spans="9:11">
      <c r="I609" s="98"/>
      <c r="K609" s="103"/>
    </row>
    <row r="610" spans="9:11">
      <c r="I610" s="98"/>
      <c r="K610" s="103"/>
    </row>
    <row r="611" spans="9:11">
      <c r="I611" s="98"/>
      <c r="K611" s="103"/>
    </row>
    <row r="612" spans="9:11">
      <c r="I612" s="98"/>
      <c r="K612" s="103"/>
    </row>
    <row r="613" spans="9:11">
      <c r="I613" s="98"/>
      <c r="K613" s="103"/>
    </row>
    <row r="614" spans="9:11">
      <c r="I614" s="98"/>
      <c r="K614" s="103"/>
    </row>
    <row r="615" spans="9:11">
      <c r="I615" s="98"/>
      <c r="K615" s="103"/>
    </row>
    <row r="616" spans="9:11">
      <c r="I616" s="98"/>
      <c r="K616" s="103"/>
    </row>
    <row r="617" spans="9:11">
      <c r="I617" s="98"/>
      <c r="K617" s="103"/>
    </row>
    <row r="618" spans="9:11">
      <c r="I618" s="98"/>
      <c r="K618" s="103"/>
    </row>
    <row r="619" spans="9:11">
      <c r="I619" s="98"/>
      <c r="K619" s="103"/>
    </row>
    <row r="620" spans="9:11">
      <c r="I620" s="98"/>
      <c r="K620" s="103"/>
    </row>
    <row r="621" spans="9:11">
      <c r="I621" s="98"/>
      <c r="K621" s="103"/>
    </row>
    <row r="622" spans="9:11">
      <c r="I622" s="98"/>
      <c r="K622" s="103"/>
    </row>
    <row r="623" spans="9:11">
      <c r="I623" s="98"/>
      <c r="K623" s="103"/>
    </row>
    <row r="624" spans="9:11">
      <c r="I624" s="98"/>
      <c r="K624" s="103"/>
    </row>
    <row r="625" spans="9:11">
      <c r="I625" s="98"/>
      <c r="K625" s="103"/>
    </row>
    <row r="626" spans="9:11">
      <c r="I626" s="98"/>
      <c r="K626" s="103"/>
    </row>
    <row r="627" spans="9:11">
      <c r="I627" s="98"/>
      <c r="K627" s="103"/>
    </row>
    <row r="628" spans="9:11">
      <c r="I628" s="98"/>
      <c r="K628" s="103"/>
    </row>
    <row r="629" spans="9:11">
      <c r="I629" s="98"/>
      <c r="K629" s="103"/>
    </row>
    <row r="630" spans="9:11">
      <c r="I630" s="98"/>
      <c r="K630" s="103"/>
    </row>
    <row r="631" spans="9:11">
      <c r="I631" s="98"/>
      <c r="K631" s="103"/>
    </row>
    <row r="632" spans="9:11">
      <c r="I632" s="98"/>
      <c r="K632" s="103"/>
    </row>
    <row r="633" spans="9:11">
      <c r="I633" s="98"/>
      <c r="K633" s="103"/>
    </row>
    <row r="634" spans="9:11">
      <c r="I634" s="98"/>
      <c r="K634" s="103"/>
    </row>
    <row r="635" spans="9:11">
      <c r="I635" s="98"/>
      <c r="K635" s="103"/>
    </row>
    <row r="636" spans="9:11">
      <c r="I636" s="98"/>
      <c r="K636" s="103"/>
    </row>
    <row r="637" spans="9:11">
      <c r="I637" s="98"/>
      <c r="K637" s="103"/>
    </row>
    <row r="638" spans="9:11">
      <c r="I638" s="98"/>
      <c r="K638" s="103"/>
    </row>
    <row r="639" spans="9:11">
      <c r="I639" s="98"/>
      <c r="K639" s="103"/>
    </row>
    <row r="640" spans="9:11">
      <c r="I640" s="98"/>
      <c r="K640" s="103"/>
    </row>
    <row r="641" spans="9:11">
      <c r="I641" s="98"/>
      <c r="K641" s="103"/>
    </row>
    <row r="642" spans="9:11">
      <c r="I642" s="98"/>
      <c r="K642" s="103"/>
    </row>
    <row r="643" spans="9:11">
      <c r="I643" s="98"/>
      <c r="K643" s="103"/>
    </row>
    <row r="644" spans="9:11">
      <c r="I644" s="98"/>
      <c r="K644" s="103"/>
    </row>
    <row r="645" spans="9:11">
      <c r="I645" s="98"/>
      <c r="K645" s="103"/>
    </row>
    <row r="646" spans="9:11">
      <c r="I646" s="98"/>
      <c r="K646" s="103"/>
    </row>
    <row r="647" spans="9:11">
      <c r="I647" s="98"/>
      <c r="K647" s="103"/>
    </row>
    <row r="648" spans="9:11">
      <c r="I648" s="98"/>
      <c r="K648" s="103"/>
    </row>
    <row r="649" spans="9:11">
      <c r="I649" s="98"/>
      <c r="K649" s="103"/>
    </row>
    <row r="650" spans="9:11">
      <c r="I650" s="98"/>
      <c r="K650" s="103"/>
    </row>
    <row r="651" spans="9:11">
      <c r="I651" s="98"/>
      <c r="K651" s="103"/>
    </row>
    <row r="652" spans="9:11">
      <c r="I652" s="98"/>
      <c r="K652" s="103"/>
    </row>
    <row r="653" spans="9:11">
      <c r="I653" s="98"/>
      <c r="K653" s="103"/>
    </row>
    <row r="654" spans="9:11">
      <c r="I654" s="98"/>
      <c r="K654" s="103"/>
    </row>
    <row r="655" spans="9:11">
      <c r="I655" s="98"/>
      <c r="K655" s="103"/>
    </row>
    <row r="656" spans="9:11">
      <c r="I656" s="98"/>
      <c r="K656" s="103"/>
    </row>
    <row r="657" spans="9:11">
      <c r="I657" s="98"/>
      <c r="K657" s="103"/>
    </row>
    <row r="658" spans="9:11">
      <c r="I658" s="98"/>
      <c r="K658" s="103"/>
    </row>
    <row r="659" spans="9:11">
      <c r="I659" s="98"/>
      <c r="K659" s="103"/>
    </row>
    <row r="660" spans="9:11">
      <c r="I660" s="98"/>
      <c r="K660" s="103"/>
    </row>
    <row r="661" spans="9:11">
      <c r="I661" s="98"/>
      <c r="K661" s="103"/>
    </row>
    <row r="662" spans="9:11">
      <c r="I662" s="98"/>
      <c r="K662" s="103"/>
    </row>
    <row r="663" spans="9:11">
      <c r="I663" s="98"/>
      <c r="K663" s="103"/>
    </row>
    <row r="664" spans="9:11">
      <c r="I664" s="98"/>
      <c r="K664" s="103"/>
    </row>
    <row r="665" spans="9:11">
      <c r="I665" s="98"/>
      <c r="K665" s="103"/>
    </row>
    <row r="666" spans="9:11">
      <c r="I666" s="98"/>
      <c r="K666" s="103"/>
    </row>
    <row r="667" spans="9:11">
      <c r="I667" s="98"/>
      <c r="K667" s="103"/>
    </row>
    <row r="668" spans="9:11">
      <c r="I668" s="98"/>
      <c r="K668" s="103"/>
    </row>
    <row r="669" spans="9:11">
      <c r="I669" s="98"/>
      <c r="K669" s="103"/>
    </row>
    <row r="670" spans="9:11">
      <c r="I670" s="98"/>
      <c r="K670" s="103"/>
    </row>
    <row r="671" spans="9:11">
      <c r="I671" s="98"/>
      <c r="K671" s="103"/>
    </row>
    <row r="672" spans="9:11">
      <c r="I672" s="98"/>
      <c r="K672" s="103"/>
    </row>
    <row r="673" spans="9:11">
      <c r="I673" s="98"/>
      <c r="K673" s="103"/>
    </row>
    <row r="674" spans="9:11">
      <c r="I674" s="98"/>
      <c r="K674" s="103"/>
    </row>
    <row r="675" spans="9:11">
      <c r="I675" s="98"/>
      <c r="K675" s="103"/>
    </row>
    <row r="676" spans="9:11">
      <c r="I676" s="98"/>
      <c r="K676" s="103"/>
    </row>
    <row r="677" spans="9:11">
      <c r="I677" s="98"/>
      <c r="K677" s="103"/>
    </row>
    <row r="678" spans="9:11">
      <c r="I678" s="98"/>
      <c r="K678" s="103"/>
    </row>
    <row r="679" spans="9:11">
      <c r="I679" s="98"/>
      <c r="K679" s="103"/>
    </row>
    <row r="680" spans="9:11">
      <c r="I680" s="98"/>
      <c r="K680" s="103"/>
    </row>
    <row r="681" spans="9:11">
      <c r="I681" s="98"/>
      <c r="K681" s="103"/>
    </row>
    <row r="682" spans="9:11">
      <c r="I682" s="98"/>
      <c r="K682" s="103"/>
    </row>
    <row r="683" spans="9:11">
      <c r="I683" s="98"/>
      <c r="K683" s="103"/>
    </row>
    <row r="684" spans="9:11">
      <c r="I684" s="98"/>
      <c r="K684" s="103"/>
    </row>
    <row r="685" spans="9:11">
      <c r="I685" s="98"/>
      <c r="K685" s="103"/>
    </row>
    <row r="686" spans="9:11">
      <c r="I686" s="98"/>
      <c r="K686" s="103"/>
    </row>
    <row r="687" spans="9:11">
      <c r="I687" s="98"/>
      <c r="K687" s="103"/>
    </row>
    <row r="688" spans="9:11">
      <c r="I688" s="98"/>
      <c r="K688" s="103"/>
    </row>
    <row r="689" spans="9:11">
      <c r="I689" s="98"/>
      <c r="K689" s="103"/>
    </row>
    <row r="690" spans="9:11">
      <c r="I690" s="98"/>
      <c r="K690" s="103"/>
    </row>
    <row r="691" spans="9:11">
      <c r="I691" s="98"/>
      <c r="K691" s="103"/>
    </row>
    <row r="692" spans="9:11">
      <c r="I692" s="98"/>
      <c r="K692" s="103"/>
    </row>
  </sheetData>
  <conditionalFormatting sqref="L1">
    <cfRule type="cellIs" dxfId="4" priority="1" operator="lessThan">
      <formul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5"/>
  <sheetViews>
    <sheetView workbookViewId="0"/>
  </sheetViews>
  <sheetFormatPr defaultColWidth="12.5703125" defaultRowHeight="15.75" customHeight="1"/>
  <cols>
    <col min="1" max="1" width="9.140625" customWidth="1"/>
    <col min="2" max="2" width="3.5703125" customWidth="1"/>
    <col min="3" max="3" width="2.7109375" customWidth="1"/>
    <col min="4" max="4" width="4" customWidth="1"/>
    <col min="5" max="5" width="2.7109375" customWidth="1"/>
    <col min="6" max="6" width="4" customWidth="1"/>
    <col min="7" max="7" width="2.7109375" customWidth="1"/>
    <col min="8" max="8" width="4" customWidth="1"/>
    <col min="9" max="9" width="2.7109375" customWidth="1"/>
    <col min="10" max="10" width="4" customWidth="1"/>
  </cols>
  <sheetData>
    <row r="1" spans="1:10">
      <c r="A1" s="104">
        <v>45788</v>
      </c>
      <c r="B1" s="105">
        <v>93</v>
      </c>
      <c r="C1" s="105">
        <v>23</v>
      </c>
      <c r="D1" s="106">
        <v>0.25</v>
      </c>
      <c r="E1" s="105">
        <v>35</v>
      </c>
      <c r="F1" s="106">
        <v>0.38</v>
      </c>
      <c r="G1" s="105">
        <v>26</v>
      </c>
      <c r="H1" s="106">
        <v>0.28000000000000003</v>
      </c>
      <c r="I1" s="105">
        <v>9</v>
      </c>
      <c r="J1" s="106">
        <v>0.1</v>
      </c>
    </row>
    <row r="2" spans="1:10">
      <c r="A2" s="104">
        <v>45819</v>
      </c>
      <c r="B2" s="107">
        <v>120</v>
      </c>
      <c r="C2" s="107">
        <v>10</v>
      </c>
      <c r="D2" s="106">
        <v>0.25</v>
      </c>
      <c r="E2" s="107">
        <v>52</v>
      </c>
      <c r="F2" s="106">
        <v>0.38</v>
      </c>
      <c r="G2" s="105">
        <v>26</v>
      </c>
      <c r="H2" s="106">
        <v>0.28000000000000003</v>
      </c>
      <c r="I2" s="105">
        <v>9</v>
      </c>
      <c r="J2" s="106">
        <v>0.1</v>
      </c>
    </row>
    <row r="3" spans="1:10">
      <c r="A3" s="104">
        <v>45849</v>
      </c>
      <c r="B3" s="107">
        <v>120</v>
      </c>
      <c r="C3" s="107">
        <v>5</v>
      </c>
      <c r="D3" s="106">
        <v>0.25</v>
      </c>
      <c r="E3" s="107">
        <v>57</v>
      </c>
      <c r="F3" s="106">
        <v>0.38</v>
      </c>
      <c r="G3" s="105">
        <v>26</v>
      </c>
      <c r="H3" s="106">
        <v>0.28000000000000003</v>
      </c>
      <c r="I3" s="105">
        <v>9</v>
      </c>
      <c r="J3" s="106">
        <v>0.1</v>
      </c>
    </row>
    <row r="4" spans="1:10">
      <c r="A4" s="104">
        <v>45819</v>
      </c>
      <c r="B4" s="105">
        <v>94</v>
      </c>
      <c r="C4" s="105">
        <v>16</v>
      </c>
      <c r="D4" s="106">
        <v>0.17</v>
      </c>
      <c r="E4" s="105">
        <v>41</v>
      </c>
      <c r="F4" s="106">
        <v>0.44</v>
      </c>
      <c r="G4" s="105">
        <v>33</v>
      </c>
      <c r="H4" s="106">
        <v>0.35</v>
      </c>
      <c r="I4" s="105">
        <v>4</v>
      </c>
      <c r="J4" s="106">
        <v>0.04</v>
      </c>
    </row>
    <row r="5" spans="1:10">
      <c r="A5" s="104">
        <v>45849</v>
      </c>
      <c r="B5" s="105">
        <v>85</v>
      </c>
      <c r="C5" s="105">
        <v>18</v>
      </c>
      <c r="D5" s="106">
        <v>0.21</v>
      </c>
      <c r="E5" s="105">
        <v>38</v>
      </c>
      <c r="F5" s="106">
        <v>0.45</v>
      </c>
      <c r="G5" s="105">
        <v>27</v>
      </c>
      <c r="H5" s="106">
        <v>0.32</v>
      </c>
      <c r="I5" s="105">
        <v>2</v>
      </c>
      <c r="J5" s="106">
        <v>0.02</v>
      </c>
    </row>
    <row r="6" spans="1:10">
      <c r="A6" s="104">
        <v>45880</v>
      </c>
      <c r="B6" s="105">
        <v>87</v>
      </c>
      <c r="C6" s="105">
        <v>23</v>
      </c>
      <c r="D6" s="106">
        <v>0.26</v>
      </c>
      <c r="E6" s="105">
        <v>32</v>
      </c>
      <c r="F6" s="106">
        <v>0.37</v>
      </c>
      <c r="G6" s="105">
        <v>29</v>
      </c>
      <c r="H6" s="106">
        <v>0.33</v>
      </c>
      <c r="I6" s="105">
        <v>3</v>
      </c>
      <c r="J6" s="106">
        <v>0.03</v>
      </c>
    </row>
    <row r="7" spans="1:10">
      <c r="A7" s="104">
        <v>45911</v>
      </c>
      <c r="B7" s="105">
        <v>86</v>
      </c>
      <c r="C7" s="105">
        <v>19</v>
      </c>
      <c r="D7" s="106">
        <v>0.22</v>
      </c>
      <c r="E7" s="105">
        <v>30</v>
      </c>
      <c r="F7" s="106">
        <v>0.35</v>
      </c>
      <c r="G7" s="105">
        <v>32</v>
      </c>
      <c r="H7" s="106">
        <v>0.37</v>
      </c>
      <c r="I7" s="105">
        <v>5</v>
      </c>
      <c r="J7" s="106">
        <v>0.06</v>
      </c>
    </row>
    <row r="8" spans="1:10">
      <c r="A8" s="108">
        <v>45941</v>
      </c>
      <c r="B8" s="105">
        <v>85</v>
      </c>
      <c r="C8" s="105">
        <v>16</v>
      </c>
      <c r="D8" s="106">
        <v>0.19</v>
      </c>
      <c r="E8" s="105">
        <v>39</v>
      </c>
      <c r="F8" s="106">
        <v>0.46</v>
      </c>
      <c r="G8" s="105">
        <v>28</v>
      </c>
      <c r="H8" s="106">
        <v>0.33</v>
      </c>
      <c r="I8" s="105">
        <v>2</v>
      </c>
      <c r="J8" s="106">
        <v>0.02</v>
      </c>
    </row>
    <row r="9" spans="1:10">
      <c r="A9" s="108">
        <v>45972</v>
      </c>
      <c r="B9" s="105">
        <v>89</v>
      </c>
      <c r="C9" s="105">
        <v>21</v>
      </c>
      <c r="D9" s="106">
        <v>0.24</v>
      </c>
      <c r="E9" s="105">
        <v>37</v>
      </c>
      <c r="F9" s="106">
        <v>0.42</v>
      </c>
      <c r="G9" s="105">
        <v>26</v>
      </c>
      <c r="H9" s="106">
        <v>0.28999999999999998</v>
      </c>
      <c r="I9" s="105">
        <v>5</v>
      </c>
      <c r="J9" s="106">
        <v>0.06</v>
      </c>
    </row>
    <row r="10" spans="1:10">
      <c r="A10" s="107" t="s">
        <v>12713</v>
      </c>
      <c r="B10" s="105">
        <v>85</v>
      </c>
      <c r="C10" s="105">
        <v>17</v>
      </c>
      <c r="D10" s="106">
        <v>0.2</v>
      </c>
      <c r="E10" s="105">
        <v>40</v>
      </c>
      <c r="F10" s="106">
        <v>0.47</v>
      </c>
      <c r="G10" s="105">
        <v>20</v>
      </c>
      <c r="H10" s="106">
        <v>0.24</v>
      </c>
      <c r="I10" s="105">
        <v>8</v>
      </c>
      <c r="J10" s="106">
        <v>0.09</v>
      </c>
    </row>
    <row r="11" spans="1:10">
      <c r="A11" s="107" t="s">
        <v>12714</v>
      </c>
      <c r="B11" s="105">
        <v>91</v>
      </c>
      <c r="C11" s="105">
        <v>14</v>
      </c>
      <c r="D11" s="106">
        <v>0.15</v>
      </c>
      <c r="E11" s="105">
        <v>42</v>
      </c>
      <c r="F11" s="106">
        <v>0.46</v>
      </c>
      <c r="G11" s="105">
        <v>30</v>
      </c>
      <c r="H11" s="106">
        <v>0.33</v>
      </c>
      <c r="I11" s="105">
        <v>5</v>
      </c>
      <c r="J11" s="106">
        <v>0.05</v>
      </c>
    </row>
    <row r="12" spans="1:10">
      <c r="A12" s="107" t="s">
        <v>12715</v>
      </c>
      <c r="B12" s="105">
        <v>85</v>
      </c>
      <c r="C12" s="105">
        <v>16</v>
      </c>
      <c r="D12" s="106">
        <v>0.19</v>
      </c>
      <c r="E12" s="105">
        <v>38</v>
      </c>
      <c r="F12" s="106">
        <v>0.45</v>
      </c>
      <c r="G12" s="105">
        <v>25</v>
      </c>
      <c r="H12" s="106">
        <v>0.28999999999999998</v>
      </c>
      <c r="I12" s="105">
        <v>6</v>
      </c>
      <c r="J12" s="106">
        <v>7.0000000000000007E-2</v>
      </c>
    </row>
    <row r="13" spans="1:10">
      <c r="A13" s="107" t="s">
        <v>12716</v>
      </c>
      <c r="B13" s="105">
        <v>72</v>
      </c>
      <c r="C13" s="105">
        <v>15</v>
      </c>
      <c r="D13" s="106">
        <v>0.21</v>
      </c>
      <c r="E13" s="105">
        <v>21</v>
      </c>
      <c r="F13" s="106">
        <v>0.28999999999999998</v>
      </c>
      <c r="G13" s="105">
        <v>30</v>
      </c>
      <c r="H13" s="106">
        <v>0.42</v>
      </c>
      <c r="I13" s="105">
        <v>6</v>
      </c>
      <c r="J13" s="106">
        <v>0.08</v>
      </c>
    </row>
    <row r="14" spans="1:10">
      <c r="A14" s="107" t="s">
        <v>12717</v>
      </c>
      <c r="B14" s="105">
        <v>75</v>
      </c>
      <c r="C14" s="105">
        <v>17</v>
      </c>
      <c r="D14" s="106">
        <v>0.23</v>
      </c>
      <c r="E14" s="105">
        <v>33</v>
      </c>
      <c r="F14" s="106">
        <v>0.44</v>
      </c>
      <c r="G14" s="105">
        <v>18</v>
      </c>
      <c r="H14" s="106">
        <v>0.24</v>
      </c>
      <c r="I14" s="105">
        <v>7</v>
      </c>
      <c r="J14" s="106">
        <v>0.09</v>
      </c>
    </row>
    <row r="15" spans="1:10">
      <c r="A15" s="107" t="s">
        <v>12718</v>
      </c>
      <c r="B15" s="105">
        <v>74</v>
      </c>
      <c r="C15" s="105">
        <v>19</v>
      </c>
      <c r="D15" s="106">
        <v>0.26</v>
      </c>
      <c r="E15" s="105">
        <v>27</v>
      </c>
      <c r="F15" s="106">
        <v>0.36</v>
      </c>
      <c r="G15" s="105">
        <v>21</v>
      </c>
      <c r="H15" s="106">
        <v>0.28000000000000003</v>
      </c>
      <c r="I15" s="105">
        <v>7</v>
      </c>
      <c r="J15" s="106">
        <v>0.09</v>
      </c>
    </row>
    <row r="16" spans="1:10">
      <c r="A16" s="107" t="s">
        <v>12719</v>
      </c>
      <c r="B16" s="105">
        <v>77</v>
      </c>
      <c r="C16" s="105">
        <v>12</v>
      </c>
      <c r="D16" s="106">
        <v>0.16</v>
      </c>
      <c r="E16" s="105">
        <v>36</v>
      </c>
      <c r="F16" s="106">
        <v>0.47</v>
      </c>
      <c r="G16" s="105">
        <v>19</v>
      </c>
      <c r="H16" s="106">
        <v>0.25</v>
      </c>
      <c r="I16" s="105">
        <v>10</v>
      </c>
      <c r="J16" s="106">
        <v>0.13</v>
      </c>
    </row>
    <row r="17" spans="1:10">
      <c r="A17" s="107" t="s">
        <v>12720</v>
      </c>
      <c r="B17" s="105">
        <v>82</v>
      </c>
      <c r="C17" s="105">
        <v>13</v>
      </c>
      <c r="D17" s="106">
        <v>0.16</v>
      </c>
      <c r="E17" s="105">
        <v>38</v>
      </c>
      <c r="F17" s="106">
        <v>0.46</v>
      </c>
      <c r="G17" s="105">
        <v>22</v>
      </c>
      <c r="H17" s="106">
        <v>0.27</v>
      </c>
      <c r="I17" s="105">
        <v>9</v>
      </c>
      <c r="J17" s="106">
        <v>0.11</v>
      </c>
    </row>
    <row r="18" spans="1:10">
      <c r="A18" s="107" t="s">
        <v>12721</v>
      </c>
      <c r="B18" s="105">
        <v>88</v>
      </c>
      <c r="C18" s="105">
        <v>21</v>
      </c>
      <c r="D18" s="106">
        <v>0.24</v>
      </c>
      <c r="E18" s="105">
        <v>34</v>
      </c>
      <c r="F18" s="106">
        <v>0.39</v>
      </c>
      <c r="G18" s="105">
        <v>28</v>
      </c>
      <c r="H18" s="106">
        <v>0.32</v>
      </c>
      <c r="I18" s="105">
        <v>5</v>
      </c>
      <c r="J18" s="106">
        <v>0.06</v>
      </c>
    </row>
    <row r="19" spans="1:10">
      <c r="A19" s="107" t="s">
        <v>12722</v>
      </c>
      <c r="B19" s="105">
        <v>82</v>
      </c>
      <c r="C19" s="105">
        <v>16</v>
      </c>
      <c r="D19" s="106">
        <v>0.2</v>
      </c>
      <c r="E19" s="105">
        <v>34</v>
      </c>
      <c r="F19" s="106">
        <v>0.41</v>
      </c>
      <c r="G19" s="105">
        <v>28</v>
      </c>
      <c r="H19" s="106">
        <v>0.34</v>
      </c>
      <c r="I19" s="105">
        <v>4</v>
      </c>
      <c r="J19" s="106">
        <v>0.05</v>
      </c>
    </row>
    <row r="20" spans="1:10">
      <c r="A20" s="107" t="s">
        <v>12723</v>
      </c>
      <c r="B20" s="105">
        <v>77</v>
      </c>
      <c r="C20" s="105">
        <v>17</v>
      </c>
      <c r="D20" s="106">
        <v>0.22</v>
      </c>
      <c r="E20" s="105">
        <v>30</v>
      </c>
      <c r="F20" s="106">
        <v>0.39</v>
      </c>
      <c r="G20" s="105">
        <v>25</v>
      </c>
      <c r="H20" s="106">
        <v>0.32</v>
      </c>
      <c r="I20" s="105">
        <v>5</v>
      </c>
      <c r="J20" s="106">
        <v>0.06</v>
      </c>
    </row>
    <row r="21" spans="1:10">
      <c r="A21" s="107" t="s">
        <v>12724</v>
      </c>
      <c r="B21" s="105">
        <v>76</v>
      </c>
      <c r="C21" s="105">
        <v>18</v>
      </c>
      <c r="D21" s="106">
        <v>0.24</v>
      </c>
      <c r="E21" s="105">
        <v>27</v>
      </c>
      <c r="F21" s="106">
        <v>0.36</v>
      </c>
      <c r="G21" s="105">
        <v>23</v>
      </c>
      <c r="H21" s="106">
        <v>0.3</v>
      </c>
      <c r="I21" s="105">
        <v>8</v>
      </c>
      <c r="J21" s="106">
        <v>0.11</v>
      </c>
    </row>
    <row r="22" spans="1:10">
      <c r="A22" s="107" t="s">
        <v>12725</v>
      </c>
      <c r="B22" s="105">
        <v>72</v>
      </c>
      <c r="C22" s="105">
        <v>17</v>
      </c>
      <c r="D22" s="106">
        <v>0.24</v>
      </c>
      <c r="E22" s="105">
        <v>24</v>
      </c>
      <c r="F22" s="106">
        <v>0.33</v>
      </c>
      <c r="G22" s="105">
        <v>22</v>
      </c>
      <c r="H22" s="106">
        <v>0.31</v>
      </c>
      <c r="I22" s="105">
        <v>9</v>
      </c>
      <c r="J22" s="106">
        <v>0.13</v>
      </c>
    </row>
    <row r="23" spans="1:10">
      <c r="A23" s="107" t="s">
        <v>12726</v>
      </c>
      <c r="B23" s="105">
        <v>71</v>
      </c>
      <c r="C23" s="105">
        <v>15</v>
      </c>
      <c r="D23" s="106">
        <v>0.21</v>
      </c>
      <c r="E23" s="105">
        <v>26</v>
      </c>
      <c r="F23" s="106">
        <v>0.37</v>
      </c>
      <c r="G23" s="105">
        <v>25</v>
      </c>
      <c r="H23" s="106">
        <v>0.35</v>
      </c>
      <c r="I23" s="105">
        <v>5</v>
      </c>
      <c r="J23" s="106">
        <v>7.0000000000000007E-2</v>
      </c>
    </row>
    <row r="24" spans="1:10">
      <c r="A24" s="107" t="s">
        <v>12727</v>
      </c>
      <c r="B24" s="105">
        <v>70</v>
      </c>
      <c r="C24" s="105">
        <v>17</v>
      </c>
      <c r="D24" s="106">
        <v>0.24</v>
      </c>
      <c r="E24" s="105">
        <v>25</v>
      </c>
      <c r="F24" s="106">
        <v>0.36</v>
      </c>
      <c r="G24" s="105">
        <v>23</v>
      </c>
      <c r="H24" s="106">
        <v>0.33</v>
      </c>
      <c r="I24" s="105">
        <v>5</v>
      </c>
      <c r="J24" s="106">
        <v>7.0000000000000007E-2</v>
      </c>
    </row>
    <row r="25" spans="1:10">
      <c r="A25" s="107" t="s">
        <v>12728</v>
      </c>
      <c r="B25" s="105">
        <v>67</v>
      </c>
      <c r="C25" s="105">
        <v>16</v>
      </c>
      <c r="D25" s="106">
        <v>0.24</v>
      </c>
      <c r="E25" s="105">
        <v>23</v>
      </c>
      <c r="F25" s="106">
        <v>0.34</v>
      </c>
      <c r="G25" s="105">
        <v>23</v>
      </c>
      <c r="H25" s="106">
        <v>0.34</v>
      </c>
      <c r="I25" s="105">
        <v>5</v>
      </c>
      <c r="J25" s="106">
        <v>7.0000000000000007E-2</v>
      </c>
    </row>
    <row r="26" spans="1:10">
      <c r="A26" s="107" t="s">
        <v>12729</v>
      </c>
      <c r="B26" s="105">
        <v>63</v>
      </c>
      <c r="C26" s="105">
        <v>12</v>
      </c>
      <c r="D26" s="106">
        <v>0.19</v>
      </c>
      <c r="E26" s="105">
        <v>25</v>
      </c>
      <c r="F26" s="106">
        <v>0.4</v>
      </c>
      <c r="G26" s="105">
        <v>19</v>
      </c>
      <c r="H26" s="106">
        <v>0.3</v>
      </c>
      <c r="I26" s="105">
        <v>7</v>
      </c>
      <c r="J26" s="106">
        <v>0.11</v>
      </c>
    </row>
    <row r="27" spans="1:10">
      <c r="A27" s="104">
        <v>45669</v>
      </c>
      <c r="B27" s="105">
        <v>59</v>
      </c>
      <c r="C27" s="105">
        <v>8</v>
      </c>
      <c r="D27" s="106">
        <v>0.14000000000000001</v>
      </c>
      <c r="E27" s="105">
        <v>26</v>
      </c>
      <c r="F27" s="106">
        <v>0.44</v>
      </c>
      <c r="G27" s="105">
        <v>20</v>
      </c>
      <c r="H27" s="106">
        <v>0.34</v>
      </c>
      <c r="I27" s="105">
        <v>5</v>
      </c>
      <c r="J27" s="106">
        <v>0.08</v>
      </c>
    </row>
    <row r="28" spans="1:10">
      <c r="A28" s="104">
        <v>45700</v>
      </c>
      <c r="B28" s="105">
        <v>56</v>
      </c>
      <c r="C28" s="105">
        <v>6</v>
      </c>
      <c r="D28" s="106">
        <v>0.11</v>
      </c>
      <c r="E28" s="105">
        <v>22</v>
      </c>
      <c r="F28" s="106">
        <v>0.39</v>
      </c>
      <c r="G28" s="105">
        <v>23</v>
      </c>
      <c r="H28" s="106">
        <v>0.41</v>
      </c>
      <c r="I28" s="105">
        <v>5</v>
      </c>
      <c r="J28" s="106">
        <v>0.09</v>
      </c>
    </row>
    <row r="29" spans="1:10">
      <c r="A29" s="104">
        <v>45728</v>
      </c>
      <c r="B29" s="105">
        <v>57</v>
      </c>
      <c r="C29" s="105">
        <v>11</v>
      </c>
      <c r="D29" s="106">
        <v>0.19</v>
      </c>
      <c r="E29" s="105">
        <v>20</v>
      </c>
      <c r="F29" s="106">
        <v>0.35</v>
      </c>
      <c r="G29" s="105">
        <v>22</v>
      </c>
      <c r="H29" s="106">
        <v>0.39</v>
      </c>
      <c r="I29" s="105">
        <v>4</v>
      </c>
      <c r="J29" s="106">
        <v>7.0000000000000007E-2</v>
      </c>
    </row>
    <row r="30" spans="1:10">
      <c r="A30" s="104">
        <v>45759</v>
      </c>
      <c r="B30" s="105">
        <v>61</v>
      </c>
      <c r="C30" s="105">
        <v>10</v>
      </c>
      <c r="D30" s="106">
        <v>0.16</v>
      </c>
      <c r="E30" s="105">
        <v>27</v>
      </c>
      <c r="F30" s="106">
        <v>0.44</v>
      </c>
      <c r="G30" s="105">
        <v>17</v>
      </c>
      <c r="H30" s="106">
        <v>0.28000000000000003</v>
      </c>
      <c r="I30" s="105">
        <v>7</v>
      </c>
      <c r="J30" s="106">
        <v>0.11</v>
      </c>
    </row>
    <row r="31" spans="1:10">
      <c r="A31" s="104">
        <v>45789</v>
      </c>
      <c r="B31" s="105">
        <v>62</v>
      </c>
      <c r="C31" s="105">
        <v>12</v>
      </c>
      <c r="D31" s="106">
        <v>0.19</v>
      </c>
      <c r="E31" s="105">
        <v>26</v>
      </c>
      <c r="F31" s="106">
        <v>0.42</v>
      </c>
      <c r="G31" s="105">
        <v>19</v>
      </c>
      <c r="H31" s="106">
        <v>0.31</v>
      </c>
      <c r="I31" s="105">
        <v>5</v>
      </c>
      <c r="J31" s="106">
        <v>0.08</v>
      </c>
    </row>
    <row r="32" spans="1:10">
      <c r="A32" s="104">
        <v>45820</v>
      </c>
      <c r="B32" s="105">
        <v>55</v>
      </c>
      <c r="C32" s="105">
        <v>10</v>
      </c>
      <c r="D32" s="106">
        <v>0.18</v>
      </c>
      <c r="E32" s="105">
        <v>23</v>
      </c>
      <c r="F32" s="106">
        <v>0.42</v>
      </c>
      <c r="G32" s="105">
        <v>18</v>
      </c>
      <c r="H32" s="106">
        <v>0.33</v>
      </c>
      <c r="I32" s="105">
        <v>4</v>
      </c>
      <c r="J32" s="106">
        <v>7.0000000000000007E-2</v>
      </c>
    </row>
    <row r="33" spans="1:10">
      <c r="A33" s="104">
        <v>45850</v>
      </c>
      <c r="B33" s="105">
        <v>54</v>
      </c>
      <c r="C33" s="105">
        <v>9</v>
      </c>
      <c r="D33" s="106">
        <v>0.17</v>
      </c>
      <c r="E33" s="105">
        <v>21</v>
      </c>
      <c r="F33" s="106">
        <v>0.39</v>
      </c>
      <c r="G33" s="105">
        <v>18</v>
      </c>
      <c r="H33" s="106">
        <v>0.33</v>
      </c>
      <c r="I33" s="105">
        <v>6</v>
      </c>
      <c r="J33" s="106">
        <v>0.11</v>
      </c>
    </row>
    <row r="34" spans="1:10">
      <c r="A34" s="104">
        <v>45881</v>
      </c>
      <c r="B34" s="105">
        <v>56</v>
      </c>
      <c r="C34" s="105">
        <v>15</v>
      </c>
      <c r="D34" s="106">
        <v>0.27</v>
      </c>
      <c r="E34" s="105">
        <v>18</v>
      </c>
      <c r="F34" s="106">
        <v>0.32</v>
      </c>
      <c r="G34" s="105">
        <v>16</v>
      </c>
      <c r="H34" s="106">
        <v>0.28999999999999998</v>
      </c>
      <c r="I34" s="105">
        <v>7</v>
      </c>
      <c r="J34" s="106">
        <v>0.13</v>
      </c>
    </row>
    <row r="35" spans="1:10">
      <c r="A35" s="104">
        <v>45912</v>
      </c>
      <c r="B35" s="105">
        <v>60</v>
      </c>
      <c r="C35" s="105">
        <v>8</v>
      </c>
      <c r="D35" s="106">
        <v>0.13</v>
      </c>
      <c r="E35" s="105">
        <v>22</v>
      </c>
      <c r="F35" s="106">
        <v>0.37</v>
      </c>
      <c r="G35" s="105">
        <v>24</v>
      </c>
      <c r="H35" s="106">
        <v>0.4</v>
      </c>
      <c r="I35" s="105">
        <v>6</v>
      </c>
      <c r="J35" s="106">
        <v>0.1</v>
      </c>
    </row>
    <row r="36" spans="1:10">
      <c r="A36" s="108">
        <v>45942</v>
      </c>
      <c r="B36" s="105">
        <v>59</v>
      </c>
      <c r="C36" s="105">
        <v>11</v>
      </c>
      <c r="D36" s="106">
        <v>0.19</v>
      </c>
      <c r="E36" s="105">
        <v>23</v>
      </c>
      <c r="F36" s="106">
        <v>0.39</v>
      </c>
      <c r="G36" s="105">
        <v>17</v>
      </c>
      <c r="H36" s="106">
        <v>0.28999999999999998</v>
      </c>
      <c r="I36" s="105">
        <v>8</v>
      </c>
      <c r="J36" s="106">
        <v>0.14000000000000001</v>
      </c>
    </row>
    <row r="37" spans="1:10">
      <c r="A37" s="108">
        <v>45973</v>
      </c>
      <c r="B37" s="105">
        <v>57</v>
      </c>
      <c r="C37" s="105">
        <v>10</v>
      </c>
      <c r="D37" s="106">
        <v>0.18</v>
      </c>
      <c r="E37" s="105">
        <v>23</v>
      </c>
      <c r="F37" s="106">
        <v>0.4</v>
      </c>
      <c r="G37" s="105">
        <v>18</v>
      </c>
      <c r="H37" s="106">
        <v>0.32</v>
      </c>
      <c r="I37" s="105">
        <v>6</v>
      </c>
      <c r="J37" s="106">
        <v>0.11</v>
      </c>
    </row>
    <row r="38" spans="1:10">
      <c r="A38" s="108">
        <v>46003</v>
      </c>
      <c r="B38" s="105">
        <v>53</v>
      </c>
      <c r="C38" s="105">
        <v>8</v>
      </c>
      <c r="D38" s="106">
        <v>0.15</v>
      </c>
      <c r="E38" s="105">
        <v>18</v>
      </c>
      <c r="F38" s="106">
        <v>0.34</v>
      </c>
      <c r="G38" s="105">
        <v>25</v>
      </c>
      <c r="H38" s="106">
        <v>0.47</v>
      </c>
      <c r="I38" s="105">
        <v>2</v>
      </c>
      <c r="J38" s="106">
        <v>0.04</v>
      </c>
    </row>
    <row r="39" spans="1:10">
      <c r="A39" s="107" t="s">
        <v>12730</v>
      </c>
      <c r="B39" s="105">
        <v>56</v>
      </c>
      <c r="C39" s="105">
        <v>11</v>
      </c>
      <c r="D39" s="106">
        <v>0.2</v>
      </c>
      <c r="E39" s="105">
        <v>26</v>
      </c>
      <c r="F39" s="106">
        <v>0.46</v>
      </c>
      <c r="G39" s="105">
        <v>16</v>
      </c>
      <c r="H39" s="106">
        <v>0.28999999999999998</v>
      </c>
      <c r="I39" s="105">
        <v>3</v>
      </c>
      <c r="J39" s="106">
        <v>0.05</v>
      </c>
    </row>
    <row r="40" spans="1:10">
      <c r="A40" s="107" t="s">
        <v>12731</v>
      </c>
      <c r="B40" s="105">
        <v>47</v>
      </c>
      <c r="C40" s="105">
        <v>11</v>
      </c>
      <c r="D40" s="106">
        <v>0.23</v>
      </c>
      <c r="E40" s="105">
        <v>11</v>
      </c>
      <c r="F40" s="106">
        <v>0.23</v>
      </c>
      <c r="G40" s="105">
        <v>22</v>
      </c>
      <c r="H40" s="106">
        <v>0.47</v>
      </c>
      <c r="I40" s="105">
        <v>3</v>
      </c>
      <c r="J40" s="106">
        <v>0.06</v>
      </c>
    </row>
    <row r="41" spans="1:10">
      <c r="A41" s="107" t="s">
        <v>12732</v>
      </c>
      <c r="B41" s="105">
        <v>55</v>
      </c>
      <c r="C41" s="105">
        <v>8</v>
      </c>
      <c r="D41" s="106">
        <v>0.15</v>
      </c>
      <c r="E41" s="105">
        <v>23</v>
      </c>
      <c r="F41" s="106">
        <v>0.42</v>
      </c>
      <c r="G41" s="105">
        <v>19</v>
      </c>
      <c r="H41" s="106">
        <v>0.35</v>
      </c>
      <c r="I41" s="105">
        <v>5</v>
      </c>
      <c r="J41" s="106">
        <v>0.09</v>
      </c>
    </row>
    <row r="42" spans="1:10">
      <c r="A42" s="107" t="s">
        <v>12733</v>
      </c>
      <c r="B42" s="105">
        <v>53</v>
      </c>
      <c r="C42" s="105">
        <v>8</v>
      </c>
      <c r="D42" s="106">
        <v>0.15</v>
      </c>
      <c r="E42" s="105">
        <v>21</v>
      </c>
      <c r="F42" s="106">
        <v>0.4</v>
      </c>
      <c r="G42" s="105">
        <v>21</v>
      </c>
      <c r="H42" s="106">
        <v>0.4</v>
      </c>
      <c r="I42" s="105">
        <v>3</v>
      </c>
      <c r="J42" s="106">
        <v>0.06</v>
      </c>
    </row>
    <row r="43" spans="1:10">
      <c r="A43" s="107" t="s">
        <v>12734</v>
      </c>
      <c r="B43" s="105">
        <v>52</v>
      </c>
      <c r="C43" s="105">
        <v>8</v>
      </c>
      <c r="D43" s="106">
        <v>0.15</v>
      </c>
      <c r="E43" s="105">
        <v>18</v>
      </c>
      <c r="F43" s="106">
        <v>0.35</v>
      </c>
      <c r="G43" s="105">
        <v>24</v>
      </c>
      <c r="H43" s="106">
        <v>0.46</v>
      </c>
      <c r="I43" s="105">
        <v>2</v>
      </c>
      <c r="J43" s="106">
        <v>0.04</v>
      </c>
    </row>
    <row r="44" spans="1:10">
      <c r="A44" s="107" t="s">
        <v>12735</v>
      </c>
      <c r="B44" s="105">
        <v>48</v>
      </c>
      <c r="C44" s="105">
        <v>7</v>
      </c>
      <c r="D44" s="106">
        <v>0.15</v>
      </c>
      <c r="E44" s="105">
        <v>19</v>
      </c>
      <c r="F44" s="106">
        <v>0.4</v>
      </c>
      <c r="G44" s="105">
        <v>17</v>
      </c>
      <c r="H44" s="106">
        <v>0.35</v>
      </c>
      <c r="I44" s="105">
        <v>5</v>
      </c>
      <c r="J44" s="106">
        <v>0.1</v>
      </c>
    </row>
    <row r="45" spans="1:10">
      <c r="A45" s="107" t="s">
        <v>12736</v>
      </c>
      <c r="B45" s="105">
        <v>47</v>
      </c>
      <c r="C45" s="105">
        <v>16</v>
      </c>
      <c r="D45" s="106">
        <v>0.34</v>
      </c>
      <c r="E45" s="105">
        <v>17</v>
      </c>
      <c r="F45" s="106">
        <v>0.36</v>
      </c>
      <c r="G45" s="105">
        <v>14</v>
      </c>
      <c r="H45" s="106">
        <v>0.3</v>
      </c>
      <c r="I45" s="105">
        <v>0</v>
      </c>
      <c r="J45" s="106">
        <v>0</v>
      </c>
    </row>
    <row r="46" spans="1:10">
      <c r="A46" s="107" t="s">
        <v>12737</v>
      </c>
      <c r="B46" s="105">
        <v>43</v>
      </c>
      <c r="C46" s="105">
        <v>11</v>
      </c>
      <c r="D46" s="106">
        <v>0.26</v>
      </c>
      <c r="E46" s="105">
        <v>17</v>
      </c>
      <c r="F46" s="106">
        <v>0.4</v>
      </c>
      <c r="G46" s="105">
        <v>15</v>
      </c>
      <c r="H46" s="106">
        <v>0.35</v>
      </c>
      <c r="I46" s="105">
        <v>0</v>
      </c>
      <c r="J46" s="106">
        <v>0</v>
      </c>
    </row>
    <row r="47" spans="1:10">
      <c r="A47" s="107" t="s">
        <v>12738</v>
      </c>
      <c r="B47" s="105">
        <v>40</v>
      </c>
      <c r="C47" s="105">
        <v>10</v>
      </c>
      <c r="D47" s="106">
        <v>0.25</v>
      </c>
      <c r="E47" s="105">
        <v>15</v>
      </c>
      <c r="F47" s="106">
        <v>0.38</v>
      </c>
      <c r="G47" s="105">
        <v>11</v>
      </c>
      <c r="H47" s="106">
        <v>0.28000000000000003</v>
      </c>
      <c r="I47" s="105">
        <v>4</v>
      </c>
      <c r="J47" s="106">
        <v>0.1</v>
      </c>
    </row>
    <row r="48" spans="1:10">
      <c r="A48" s="107" t="s">
        <v>12739</v>
      </c>
      <c r="B48" s="105">
        <v>37</v>
      </c>
      <c r="C48" s="105">
        <v>10</v>
      </c>
      <c r="D48" s="106">
        <v>0.27</v>
      </c>
      <c r="E48" s="105">
        <v>15</v>
      </c>
      <c r="F48" s="106">
        <v>0.41</v>
      </c>
      <c r="G48" s="105">
        <v>8</v>
      </c>
      <c r="H48" s="106">
        <v>0.22</v>
      </c>
      <c r="I48" s="105">
        <v>4</v>
      </c>
      <c r="J48" s="106">
        <v>0.11</v>
      </c>
    </row>
    <row r="49" spans="1:10">
      <c r="A49" s="107" t="s">
        <v>12740</v>
      </c>
      <c r="B49" s="105">
        <v>31</v>
      </c>
      <c r="C49" s="105">
        <v>5</v>
      </c>
      <c r="D49" s="106">
        <v>0.16</v>
      </c>
      <c r="E49" s="105">
        <v>10</v>
      </c>
      <c r="F49" s="106">
        <v>0.32</v>
      </c>
      <c r="G49" s="105">
        <v>12</v>
      </c>
      <c r="H49" s="106">
        <v>0.39</v>
      </c>
      <c r="I49" s="105">
        <v>4</v>
      </c>
      <c r="J49" s="106">
        <v>0.13</v>
      </c>
    </row>
    <row r="50" spans="1:10">
      <c r="A50" s="107" t="s">
        <v>12741</v>
      </c>
      <c r="B50" s="105">
        <v>33</v>
      </c>
      <c r="C50" s="105">
        <v>8</v>
      </c>
      <c r="D50" s="106">
        <v>0.24</v>
      </c>
      <c r="E50" s="105">
        <v>12</v>
      </c>
      <c r="F50" s="106">
        <v>0.36</v>
      </c>
      <c r="G50" s="105">
        <v>9</v>
      </c>
      <c r="H50" s="106">
        <v>0.27</v>
      </c>
      <c r="I50" s="105">
        <v>4</v>
      </c>
      <c r="J50" s="106">
        <v>0.12</v>
      </c>
    </row>
    <row r="51" spans="1:10">
      <c r="A51" s="107" t="s">
        <v>12742</v>
      </c>
      <c r="B51" s="105">
        <v>33</v>
      </c>
      <c r="C51" s="105">
        <v>9</v>
      </c>
      <c r="D51" s="106">
        <v>0.27</v>
      </c>
      <c r="E51" s="105">
        <v>11</v>
      </c>
      <c r="F51" s="106">
        <v>0.33</v>
      </c>
      <c r="G51" s="105">
        <v>9</v>
      </c>
      <c r="H51" s="106">
        <v>0.27</v>
      </c>
      <c r="I51" s="105">
        <v>4</v>
      </c>
      <c r="J51" s="106">
        <v>0.12</v>
      </c>
    </row>
    <row r="52" spans="1:10">
      <c r="A52" s="107" t="s">
        <v>12743</v>
      </c>
      <c r="B52" s="105">
        <v>36</v>
      </c>
      <c r="C52" s="105">
        <v>8</v>
      </c>
      <c r="D52" s="106">
        <v>0.22</v>
      </c>
      <c r="E52" s="105">
        <v>9</v>
      </c>
      <c r="F52" s="106">
        <v>0.25</v>
      </c>
      <c r="G52" s="105">
        <v>17</v>
      </c>
      <c r="H52" s="106">
        <v>0.47</v>
      </c>
      <c r="I52" s="105">
        <v>2</v>
      </c>
      <c r="J52" s="106">
        <v>0.06</v>
      </c>
    </row>
    <row r="53" spans="1:10">
      <c r="A53" s="107" t="s">
        <v>12744</v>
      </c>
      <c r="B53" s="105">
        <v>40</v>
      </c>
      <c r="C53" s="105">
        <v>8</v>
      </c>
      <c r="D53" s="106">
        <v>0.2</v>
      </c>
      <c r="E53" s="105">
        <v>16</v>
      </c>
      <c r="F53" s="106">
        <v>0.4</v>
      </c>
      <c r="G53" s="105">
        <v>15</v>
      </c>
      <c r="H53" s="106">
        <v>0.38</v>
      </c>
      <c r="I53" s="105">
        <v>1</v>
      </c>
      <c r="J53" s="106">
        <v>0.03</v>
      </c>
    </row>
    <row r="54" spans="1:10">
      <c r="A54" s="107" t="s">
        <v>12745</v>
      </c>
      <c r="B54" s="105">
        <v>45</v>
      </c>
      <c r="C54" s="105">
        <v>4</v>
      </c>
      <c r="D54" s="106">
        <v>0.09</v>
      </c>
      <c r="E54" s="105">
        <v>16</v>
      </c>
      <c r="F54" s="106">
        <v>0.36</v>
      </c>
      <c r="G54" s="105">
        <v>19</v>
      </c>
      <c r="H54" s="106">
        <v>0.42</v>
      </c>
      <c r="I54" s="105">
        <v>6</v>
      </c>
      <c r="J54" s="106">
        <v>0.13</v>
      </c>
    </row>
    <row r="55" spans="1:10">
      <c r="A55" s="107" t="s">
        <v>12746</v>
      </c>
      <c r="B55" s="105">
        <v>51</v>
      </c>
      <c r="C55" s="105">
        <v>7</v>
      </c>
      <c r="D55" s="106">
        <v>0.14000000000000001</v>
      </c>
      <c r="E55" s="105">
        <v>20</v>
      </c>
      <c r="F55" s="106">
        <v>0.39</v>
      </c>
      <c r="G55" s="105">
        <v>18</v>
      </c>
      <c r="H55" s="106">
        <v>0.35</v>
      </c>
      <c r="I55" s="105">
        <v>6</v>
      </c>
      <c r="J55" s="106">
        <v>0.12</v>
      </c>
    </row>
    <row r="56" spans="1:10">
      <c r="A56" s="107" t="s">
        <v>12747</v>
      </c>
      <c r="B56" s="105">
        <v>54</v>
      </c>
      <c r="C56" s="105">
        <v>12</v>
      </c>
      <c r="D56" s="106">
        <v>0.22</v>
      </c>
      <c r="E56" s="105">
        <v>14</v>
      </c>
      <c r="F56" s="106">
        <v>0.26</v>
      </c>
      <c r="G56" s="105">
        <v>21</v>
      </c>
      <c r="H56" s="106">
        <v>0.39</v>
      </c>
      <c r="I56" s="105">
        <v>7</v>
      </c>
      <c r="J56" s="106">
        <v>0.13</v>
      </c>
    </row>
    <row r="57" spans="1:10">
      <c r="A57" s="107" t="s">
        <v>12748</v>
      </c>
      <c r="B57" s="105">
        <v>54</v>
      </c>
      <c r="C57" s="105">
        <v>13</v>
      </c>
      <c r="D57" s="106">
        <v>0.24</v>
      </c>
      <c r="E57" s="105">
        <v>15</v>
      </c>
      <c r="F57" s="106">
        <v>0.28000000000000003</v>
      </c>
      <c r="G57" s="105">
        <v>20</v>
      </c>
      <c r="H57" s="106">
        <v>0.37</v>
      </c>
      <c r="I57" s="105">
        <v>6</v>
      </c>
      <c r="J57" s="106">
        <v>0.11</v>
      </c>
    </row>
    <row r="58" spans="1:10">
      <c r="A58" s="104">
        <v>46023</v>
      </c>
      <c r="B58" s="105">
        <v>49</v>
      </c>
      <c r="C58" s="105">
        <v>5</v>
      </c>
      <c r="D58" s="106">
        <v>0.1</v>
      </c>
      <c r="E58" s="105">
        <v>17</v>
      </c>
      <c r="F58" s="106">
        <v>0.35</v>
      </c>
      <c r="G58" s="105">
        <v>16</v>
      </c>
      <c r="H58" s="106">
        <v>0.33</v>
      </c>
      <c r="I58" s="105">
        <v>11</v>
      </c>
      <c r="J58" s="106">
        <v>0.22</v>
      </c>
    </row>
    <row r="59" spans="1:10">
      <c r="A59" s="104">
        <v>46054</v>
      </c>
      <c r="B59" s="105">
        <v>48</v>
      </c>
      <c r="C59" s="105">
        <v>10</v>
      </c>
      <c r="D59" s="106">
        <v>0.21</v>
      </c>
      <c r="E59" s="105">
        <v>16</v>
      </c>
      <c r="F59" s="106">
        <v>0.33</v>
      </c>
      <c r="G59" s="105">
        <v>15</v>
      </c>
      <c r="H59" s="106">
        <v>0.31</v>
      </c>
      <c r="I59" s="105">
        <v>7</v>
      </c>
      <c r="J59" s="106">
        <v>0.15</v>
      </c>
    </row>
    <row r="60" spans="1:10">
      <c r="A60" s="104">
        <v>46082</v>
      </c>
      <c r="B60" s="105">
        <v>43</v>
      </c>
      <c r="C60" s="105">
        <v>5</v>
      </c>
      <c r="D60" s="106">
        <v>0.12</v>
      </c>
      <c r="E60" s="105">
        <v>17</v>
      </c>
      <c r="F60" s="106">
        <v>0.4</v>
      </c>
      <c r="G60" s="105">
        <v>18</v>
      </c>
      <c r="H60" s="106">
        <v>0.42</v>
      </c>
      <c r="I60" s="105">
        <v>3</v>
      </c>
      <c r="J60" s="106">
        <v>7.0000000000000007E-2</v>
      </c>
    </row>
    <row r="61" spans="1:10">
      <c r="A61" s="104">
        <v>46113</v>
      </c>
      <c r="B61" s="105">
        <v>42</v>
      </c>
      <c r="C61" s="105">
        <v>3</v>
      </c>
      <c r="D61" s="106">
        <v>7.0000000000000007E-2</v>
      </c>
      <c r="E61" s="105">
        <v>16</v>
      </c>
      <c r="F61" s="106">
        <v>0.38</v>
      </c>
      <c r="G61" s="105">
        <v>15</v>
      </c>
      <c r="H61" s="106">
        <v>0.36</v>
      </c>
      <c r="I61" s="105">
        <v>8</v>
      </c>
      <c r="J61" s="106">
        <v>0.19</v>
      </c>
    </row>
    <row r="62" spans="1:10">
      <c r="A62" s="104">
        <v>46143</v>
      </c>
      <c r="B62" s="105">
        <v>52</v>
      </c>
      <c r="C62" s="105">
        <v>8</v>
      </c>
      <c r="D62" s="106">
        <v>0.15</v>
      </c>
      <c r="E62" s="105">
        <v>21</v>
      </c>
      <c r="F62" s="106">
        <v>0.4</v>
      </c>
      <c r="G62" s="105">
        <v>16</v>
      </c>
      <c r="H62" s="106">
        <v>0.31</v>
      </c>
      <c r="I62" s="105">
        <v>7</v>
      </c>
      <c r="J62" s="106">
        <v>0.13</v>
      </c>
    </row>
    <row r="63" spans="1:10">
      <c r="A63" s="104">
        <v>46174</v>
      </c>
      <c r="B63" s="105">
        <v>62</v>
      </c>
      <c r="C63" s="105">
        <v>8</v>
      </c>
      <c r="D63" s="106">
        <v>0.13</v>
      </c>
      <c r="E63" s="105">
        <v>27</v>
      </c>
      <c r="F63" s="106">
        <v>0.44</v>
      </c>
      <c r="G63" s="105">
        <v>17</v>
      </c>
      <c r="H63" s="106">
        <v>0.27</v>
      </c>
      <c r="I63" s="105">
        <v>10</v>
      </c>
      <c r="J63" s="106">
        <v>0.16</v>
      </c>
    </row>
    <row r="64" spans="1:10">
      <c r="A64" s="104">
        <v>46204</v>
      </c>
      <c r="B64" s="105">
        <v>71</v>
      </c>
      <c r="C64" s="105">
        <v>8</v>
      </c>
      <c r="D64" s="106">
        <v>0.11</v>
      </c>
      <c r="E64" s="105">
        <v>26</v>
      </c>
      <c r="F64" s="106">
        <v>0.37</v>
      </c>
      <c r="G64" s="105">
        <v>31</v>
      </c>
      <c r="H64" s="106">
        <v>0.44</v>
      </c>
      <c r="I64" s="105">
        <v>6</v>
      </c>
      <c r="J64" s="106">
        <v>0.08</v>
      </c>
    </row>
    <row r="65" spans="1:10">
      <c r="A65" s="104">
        <v>46235</v>
      </c>
      <c r="B65" s="105">
        <v>67</v>
      </c>
      <c r="C65" s="105">
        <v>8</v>
      </c>
      <c r="D65" s="106">
        <v>0.12</v>
      </c>
      <c r="E65" s="105">
        <v>27</v>
      </c>
      <c r="F65" s="106">
        <v>0.4</v>
      </c>
      <c r="G65" s="105">
        <v>23</v>
      </c>
      <c r="H65" s="106">
        <v>0.34</v>
      </c>
      <c r="I65" s="105">
        <v>9</v>
      </c>
      <c r="J65" s="106">
        <v>0.13</v>
      </c>
    </row>
    <row r="66" spans="1:10">
      <c r="A66" s="104">
        <v>46266</v>
      </c>
      <c r="B66" s="105">
        <v>62</v>
      </c>
      <c r="C66" s="105">
        <v>9</v>
      </c>
      <c r="D66" s="106">
        <v>0.15</v>
      </c>
      <c r="E66" s="105">
        <v>30</v>
      </c>
      <c r="F66" s="106">
        <v>0.48</v>
      </c>
      <c r="G66" s="105">
        <v>15</v>
      </c>
      <c r="H66" s="106">
        <v>0.24</v>
      </c>
      <c r="I66" s="105">
        <v>8</v>
      </c>
      <c r="J66" s="106">
        <v>0.13</v>
      </c>
    </row>
    <row r="67" spans="1:10">
      <c r="A67" s="104">
        <v>46296</v>
      </c>
      <c r="B67" s="105">
        <v>59</v>
      </c>
      <c r="C67" s="105">
        <v>11</v>
      </c>
      <c r="D67" s="106">
        <v>0.19</v>
      </c>
      <c r="E67" s="105">
        <v>22</v>
      </c>
      <c r="F67" s="106">
        <v>0.37</v>
      </c>
      <c r="G67" s="105">
        <v>16</v>
      </c>
      <c r="H67" s="106">
        <v>0.27</v>
      </c>
      <c r="I67" s="105">
        <v>10</v>
      </c>
      <c r="J67" s="106">
        <v>0.17</v>
      </c>
    </row>
    <row r="68" spans="1:10">
      <c r="A68" s="104">
        <v>46327</v>
      </c>
      <c r="B68" s="105">
        <v>54</v>
      </c>
      <c r="C68" s="105">
        <v>8</v>
      </c>
      <c r="D68" s="106">
        <v>0.15</v>
      </c>
      <c r="E68" s="105">
        <v>19</v>
      </c>
      <c r="F68" s="106">
        <v>0.35</v>
      </c>
      <c r="G68" s="105">
        <v>16</v>
      </c>
      <c r="H68" s="106">
        <v>0.3</v>
      </c>
      <c r="I68" s="105">
        <v>11</v>
      </c>
      <c r="J68" s="106">
        <v>0.2</v>
      </c>
    </row>
    <row r="69" spans="1:10">
      <c r="A69" s="107" t="s">
        <v>12749</v>
      </c>
      <c r="B69" s="105">
        <v>53</v>
      </c>
      <c r="C69" s="105">
        <v>8</v>
      </c>
      <c r="D69" s="106">
        <v>0.15</v>
      </c>
      <c r="E69" s="105">
        <v>22</v>
      </c>
      <c r="F69" s="106">
        <v>0.42</v>
      </c>
      <c r="G69" s="105">
        <v>15</v>
      </c>
      <c r="H69" s="106">
        <v>0.28000000000000003</v>
      </c>
      <c r="I69" s="105">
        <v>8</v>
      </c>
      <c r="J69" s="106">
        <v>0.15</v>
      </c>
    </row>
    <row r="70" spans="1:10">
      <c r="A70" s="107" t="s">
        <v>12750</v>
      </c>
      <c r="B70" s="105">
        <v>57</v>
      </c>
      <c r="C70" s="105">
        <v>5</v>
      </c>
      <c r="D70" s="106">
        <v>0.09</v>
      </c>
      <c r="E70" s="105">
        <v>29</v>
      </c>
      <c r="F70" s="106">
        <v>0.51</v>
      </c>
      <c r="G70" s="105">
        <v>15</v>
      </c>
      <c r="H70" s="106">
        <v>0.26</v>
      </c>
      <c r="I70" s="105">
        <v>8</v>
      </c>
      <c r="J70" s="106">
        <v>0.14000000000000001</v>
      </c>
    </row>
    <row r="71" spans="1:10">
      <c r="A71" s="107" t="s">
        <v>12751</v>
      </c>
      <c r="B71" s="105">
        <v>47</v>
      </c>
      <c r="C71" s="105">
        <v>5</v>
      </c>
      <c r="D71" s="106">
        <v>0.11</v>
      </c>
      <c r="E71" s="105">
        <v>22</v>
      </c>
      <c r="F71" s="106">
        <v>0.47</v>
      </c>
      <c r="G71" s="105">
        <v>9</v>
      </c>
      <c r="H71" s="106">
        <v>0.19</v>
      </c>
      <c r="I71" s="105">
        <v>11</v>
      </c>
      <c r="J71" s="106">
        <v>0.23</v>
      </c>
    </row>
    <row r="72" spans="1:10">
      <c r="A72" s="107" t="s">
        <v>12752</v>
      </c>
      <c r="B72" s="105">
        <v>51</v>
      </c>
      <c r="C72" s="105">
        <v>9</v>
      </c>
      <c r="D72" s="106">
        <v>0.18</v>
      </c>
      <c r="E72" s="105">
        <v>15</v>
      </c>
      <c r="F72" s="106">
        <v>0.28999999999999998</v>
      </c>
      <c r="G72" s="105">
        <v>19</v>
      </c>
      <c r="H72" s="106">
        <v>0.37</v>
      </c>
      <c r="I72" s="105">
        <v>8</v>
      </c>
      <c r="J72" s="106">
        <v>0.16</v>
      </c>
    </row>
    <row r="73" spans="1:10">
      <c r="A73" s="107" t="s">
        <v>12753</v>
      </c>
      <c r="B73" s="105">
        <v>45</v>
      </c>
      <c r="C73" s="105">
        <v>6</v>
      </c>
      <c r="D73" s="106">
        <v>0.13</v>
      </c>
      <c r="E73" s="105">
        <v>13</v>
      </c>
      <c r="F73" s="106">
        <v>0.28999999999999998</v>
      </c>
      <c r="G73" s="105">
        <v>19</v>
      </c>
      <c r="H73" s="106">
        <v>0.42</v>
      </c>
      <c r="I73" s="105">
        <v>7</v>
      </c>
      <c r="J73" s="106">
        <v>0.16</v>
      </c>
    </row>
    <row r="74" spans="1:10">
      <c r="A74" s="107" t="s">
        <v>12754</v>
      </c>
      <c r="B74" s="105">
        <v>32</v>
      </c>
      <c r="C74" s="105">
        <v>5</v>
      </c>
      <c r="D74" s="106">
        <v>0.16</v>
      </c>
      <c r="E74" s="105">
        <v>12</v>
      </c>
      <c r="F74" s="106">
        <v>0.38</v>
      </c>
      <c r="G74" s="105">
        <v>9</v>
      </c>
      <c r="H74" s="106">
        <v>0.28000000000000003</v>
      </c>
      <c r="I74" s="105">
        <v>6</v>
      </c>
      <c r="J74" s="106">
        <v>0.19</v>
      </c>
    </row>
    <row r="75" spans="1:10">
      <c r="A75" s="107" t="s">
        <v>12755</v>
      </c>
      <c r="B75" s="105">
        <v>42</v>
      </c>
      <c r="C75" s="105">
        <v>2</v>
      </c>
      <c r="D75" s="106">
        <v>0.05</v>
      </c>
      <c r="E75" s="105">
        <v>22</v>
      </c>
      <c r="F75" s="106">
        <v>0.52</v>
      </c>
      <c r="G75" s="105">
        <v>9</v>
      </c>
      <c r="H75" s="106">
        <v>0.21</v>
      </c>
      <c r="I75" s="105">
        <v>9</v>
      </c>
      <c r="J75" s="106">
        <v>0.21</v>
      </c>
    </row>
    <row r="76" spans="1:10">
      <c r="A76" s="107" t="s">
        <v>12756</v>
      </c>
      <c r="B76" s="105">
        <v>42</v>
      </c>
      <c r="C76" s="105">
        <v>5</v>
      </c>
      <c r="D76" s="106">
        <v>0.12</v>
      </c>
      <c r="E76" s="105">
        <v>12</v>
      </c>
      <c r="F76" s="106">
        <v>0.28999999999999998</v>
      </c>
      <c r="G76" s="105">
        <v>20</v>
      </c>
      <c r="H76" s="106">
        <v>0.48</v>
      </c>
      <c r="I76" s="105">
        <v>5</v>
      </c>
      <c r="J76" s="106">
        <v>0.12</v>
      </c>
    </row>
    <row r="77" spans="1:10">
      <c r="A77" s="107" t="s">
        <v>12757</v>
      </c>
      <c r="B77" s="105">
        <v>41</v>
      </c>
      <c r="C77" s="105">
        <v>6</v>
      </c>
      <c r="D77" s="106">
        <v>0.15</v>
      </c>
      <c r="E77" s="105">
        <v>14</v>
      </c>
      <c r="F77" s="106">
        <v>0.34</v>
      </c>
      <c r="G77" s="105">
        <v>16</v>
      </c>
      <c r="H77" s="106">
        <v>0.39</v>
      </c>
      <c r="I77" s="105">
        <v>5</v>
      </c>
      <c r="J77" s="106">
        <v>0.12</v>
      </c>
    </row>
    <row r="78" spans="1:10">
      <c r="A78" s="107" t="s">
        <v>12758</v>
      </c>
      <c r="B78" s="105">
        <v>42</v>
      </c>
      <c r="C78" s="105">
        <v>5</v>
      </c>
      <c r="D78" s="106">
        <v>0.12</v>
      </c>
      <c r="E78" s="105">
        <v>17</v>
      </c>
      <c r="F78" s="106">
        <v>0.4</v>
      </c>
      <c r="G78" s="105">
        <v>17</v>
      </c>
      <c r="H78" s="106">
        <v>0.4</v>
      </c>
      <c r="I78" s="105">
        <v>3</v>
      </c>
      <c r="J78" s="106">
        <v>7.0000000000000007E-2</v>
      </c>
    </row>
    <row r="79" spans="1:10">
      <c r="A79" s="107" t="s">
        <v>12759</v>
      </c>
      <c r="B79" s="105">
        <v>17</v>
      </c>
      <c r="C79" s="105">
        <v>2</v>
      </c>
      <c r="D79" s="106">
        <v>0.12</v>
      </c>
      <c r="E79" s="105">
        <v>4</v>
      </c>
      <c r="F79" s="106">
        <v>0.24</v>
      </c>
      <c r="G79" s="105">
        <v>10</v>
      </c>
      <c r="H79" s="106">
        <v>0.59</v>
      </c>
      <c r="I79" s="105">
        <v>1</v>
      </c>
      <c r="J79" s="106">
        <v>0.06</v>
      </c>
    </row>
    <row r="80" spans="1:10">
      <c r="A80" s="107" t="s">
        <v>12760</v>
      </c>
      <c r="B80" s="105">
        <v>45</v>
      </c>
      <c r="C80" s="105">
        <v>6</v>
      </c>
      <c r="D80" s="106">
        <v>0.13</v>
      </c>
      <c r="E80" s="105">
        <v>16</v>
      </c>
      <c r="F80" s="106">
        <v>0.36</v>
      </c>
      <c r="G80" s="105">
        <v>18</v>
      </c>
      <c r="H80" s="106">
        <v>0.4</v>
      </c>
      <c r="I80" s="105">
        <v>5</v>
      </c>
      <c r="J80" s="106">
        <v>0.11</v>
      </c>
    </row>
    <row r="81" spans="1:10">
      <c r="A81" s="107" t="s">
        <v>12761</v>
      </c>
      <c r="B81" s="105">
        <v>5</v>
      </c>
      <c r="C81" s="105">
        <v>1</v>
      </c>
      <c r="D81" s="106">
        <v>0.2</v>
      </c>
      <c r="E81" s="105">
        <v>1</v>
      </c>
      <c r="F81" s="106">
        <v>0.2</v>
      </c>
      <c r="G81" s="105">
        <v>2</v>
      </c>
      <c r="H81" s="106">
        <v>0.4</v>
      </c>
      <c r="I81" s="105">
        <v>1</v>
      </c>
      <c r="J81" s="106">
        <v>0.2</v>
      </c>
    </row>
    <row r="82" spans="1:10">
      <c r="A82" s="107" t="s">
        <v>12762</v>
      </c>
      <c r="B82" s="105">
        <v>39</v>
      </c>
      <c r="C82" s="105">
        <v>4</v>
      </c>
      <c r="D82" s="106">
        <v>0.1</v>
      </c>
      <c r="E82" s="105">
        <v>16</v>
      </c>
      <c r="F82" s="106">
        <v>0.41</v>
      </c>
      <c r="G82" s="105">
        <v>16</v>
      </c>
      <c r="H82" s="106">
        <v>0.41</v>
      </c>
      <c r="I82" s="105">
        <v>3</v>
      </c>
      <c r="J82" s="106">
        <v>0.08</v>
      </c>
    </row>
    <row r="83" spans="1:10">
      <c r="A83" s="107" t="s">
        <v>12763</v>
      </c>
      <c r="B83" s="105">
        <v>46</v>
      </c>
      <c r="C83" s="105">
        <v>8</v>
      </c>
      <c r="D83" s="106">
        <v>0.17</v>
      </c>
      <c r="E83" s="105">
        <v>11</v>
      </c>
      <c r="F83" s="106">
        <v>0.24</v>
      </c>
      <c r="G83" s="105">
        <v>21</v>
      </c>
      <c r="H83" s="106">
        <v>0.46</v>
      </c>
      <c r="I83" s="105">
        <v>6</v>
      </c>
      <c r="J83" s="106">
        <v>0.13</v>
      </c>
    </row>
    <row r="84" spans="1:10">
      <c r="A84" s="107" t="s">
        <v>12764</v>
      </c>
      <c r="B84" s="105">
        <v>45</v>
      </c>
      <c r="C84" s="105">
        <v>6</v>
      </c>
      <c r="D84" s="106">
        <v>0.13</v>
      </c>
      <c r="E84" s="105">
        <v>9</v>
      </c>
      <c r="F84" s="106">
        <v>0.2</v>
      </c>
      <c r="G84" s="105">
        <v>22</v>
      </c>
      <c r="H84" s="106">
        <v>0.49</v>
      </c>
      <c r="I84" s="105">
        <v>8</v>
      </c>
      <c r="J84" s="106">
        <v>0.18</v>
      </c>
    </row>
    <row r="85" spans="1:10">
      <c r="A85" s="107" t="s">
        <v>12765</v>
      </c>
      <c r="B85" s="105">
        <v>43</v>
      </c>
      <c r="C85" s="105">
        <v>3</v>
      </c>
      <c r="D85" s="106">
        <v>7.0000000000000007E-2</v>
      </c>
      <c r="E85" s="105">
        <v>18</v>
      </c>
      <c r="F85" s="106">
        <v>0.42</v>
      </c>
      <c r="G85" s="105">
        <v>16</v>
      </c>
      <c r="H85" s="106">
        <v>0.37</v>
      </c>
      <c r="I85" s="105">
        <v>6</v>
      </c>
      <c r="J85" s="106">
        <v>0.14000000000000001</v>
      </c>
    </row>
    <row r="86" spans="1:10">
      <c r="A86" s="107" t="s">
        <v>12766</v>
      </c>
      <c r="B86" s="105">
        <v>49</v>
      </c>
      <c r="C86" s="105">
        <v>6</v>
      </c>
      <c r="D86" s="106">
        <v>0.12</v>
      </c>
      <c r="E86" s="105">
        <v>15</v>
      </c>
      <c r="F86" s="106">
        <v>0.31</v>
      </c>
      <c r="G86" s="105">
        <v>22</v>
      </c>
      <c r="H86" s="106">
        <v>0.45</v>
      </c>
      <c r="I86" s="105">
        <v>6</v>
      </c>
      <c r="J86" s="106">
        <v>0.12</v>
      </c>
    </row>
    <row r="87" spans="1:10">
      <c r="A87" s="107" t="s">
        <v>12767</v>
      </c>
      <c r="B87" s="105">
        <v>49</v>
      </c>
      <c r="C87" s="105">
        <v>7</v>
      </c>
      <c r="D87" s="106">
        <v>0.14000000000000001</v>
      </c>
      <c r="E87" s="105">
        <v>20</v>
      </c>
      <c r="F87" s="106">
        <v>0.41</v>
      </c>
      <c r="G87" s="105">
        <v>17</v>
      </c>
      <c r="H87" s="106">
        <v>0.35</v>
      </c>
      <c r="I87" s="105">
        <v>5</v>
      </c>
      <c r="J87" s="106">
        <v>0.1</v>
      </c>
    </row>
    <row r="88" spans="1:10">
      <c r="A88" s="104">
        <v>46024</v>
      </c>
      <c r="B88" s="105">
        <v>45</v>
      </c>
      <c r="C88" s="105">
        <v>1</v>
      </c>
      <c r="D88" s="106">
        <v>0.02</v>
      </c>
      <c r="E88" s="105">
        <v>21</v>
      </c>
      <c r="F88" s="106">
        <v>0.47</v>
      </c>
      <c r="G88" s="105">
        <v>18</v>
      </c>
      <c r="H88" s="106">
        <v>0.4</v>
      </c>
      <c r="I88" s="105">
        <v>5</v>
      </c>
      <c r="J88" s="106">
        <v>0.11</v>
      </c>
    </row>
    <row r="89" spans="1:10">
      <c r="A89" s="104">
        <v>46055</v>
      </c>
      <c r="B89" s="105">
        <v>50</v>
      </c>
      <c r="C89" s="105">
        <v>10</v>
      </c>
      <c r="D89" s="106">
        <v>0.2</v>
      </c>
      <c r="E89" s="105">
        <v>21</v>
      </c>
      <c r="F89" s="106">
        <v>0.42</v>
      </c>
      <c r="G89" s="105">
        <v>13</v>
      </c>
      <c r="H89" s="106">
        <v>0.26</v>
      </c>
      <c r="I89" s="105">
        <v>6</v>
      </c>
      <c r="J89" s="106">
        <v>0.12</v>
      </c>
    </row>
    <row r="90" spans="1:10">
      <c r="A90" s="104">
        <v>46083</v>
      </c>
      <c r="B90" s="105">
        <v>51</v>
      </c>
      <c r="C90" s="105">
        <v>6</v>
      </c>
      <c r="D90" s="106">
        <v>0.12</v>
      </c>
      <c r="E90" s="105">
        <v>20</v>
      </c>
      <c r="F90" s="106">
        <v>0.39</v>
      </c>
      <c r="G90" s="105">
        <v>20</v>
      </c>
      <c r="H90" s="106">
        <v>0.39</v>
      </c>
      <c r="I90" s="105">
        <v>5</v>
      </c>
      <c r="J90" s="106">
        <v>0.1</v>
      </c>
    </row>
    <row r="91" spans="1:10">
      <c r="A91" s="104">
        <v>46114</v>
      </c>
      <c r="B91" s="105">
        <v>53</v>
      </c>
      <c r="C91" s="105">
        <v>11</v>
      </c>
      <c r="D91" s="106">
        <v>0.21</v>
      </c>
      <c r="E91" s="105">
        <v>21</v>
      </c>
      <c r="F91" s="106">
        <v>0.4</v>
      </c>
      <c r="G91" s="105">
        <v>14</v>
      </c>
      <c r="H91" s="106">
        <v>0.26</v>
      </c>
      <c r="I91" s="105">
        <v>7</v>
      </c>
      <c r="J91" s="106">
        <v>0.13</v>
      </c>
    </row>
    <row r="92" spans="1:10">
      <c r="A92" s="104">
        <v>46144</v>
      </c>
      <c r="B92" s="105">
        <v>46</v>
      </c>
      <c r="C92" s="105">
        <v>14</v>
      </c>
      <c r="D92" s="106">
        <v>0.3</v>
      </c>
      <c r="E92" s="105">
        <v>15</v>
      </c>
      <c r="F92" s="106">
        <v>0.33</v>
      </c>
      <c r="G92" s="105">
        <v>12</v>
      </c>
      <c r="H92" s="106">
        <v>0.26</v>
      </c>
      <c r="I92" s="105">
        <v>5</v>
      </c>
      <c r="J92" s="106">
        <v>0.11</v>
      </c>
    </row>
    <row r="93" spans="1:10">
      <c r="A93" s="104">
        <v>46175</v>
      </c>
      <c r="B93" s="105">
        <v>50</v>
      </c>
      <c r="C93" s="105">
        <v>7</v>
      </c>
      <c r="D93" s="106">
        <v>0.14000000000000001</v>
      </c>
      <c r="E93" s="105">
        <v>23</v>
      </c>
      <c r="F93" s="106">
        <v>0.46</v>
      </c>
      <c r="G93" s="105">
        <v>14</v>
      </c>
      <c r="H93" s="106">
        <v>0.28000000000000003</v>
      </c>
      <c r="I93" s="105">
        <v>6</v>
      </c>
      <c r="J93" s="106">
        <v>0.12</v>
      </c>
    </row>
    <row r="94" spans="1:10">
      <c r="A94" s="104">
        <v>46205</v>
      </c>
      <c r="B94" s="105">
        <v>51</v>
      </c>
      <c r="C94" s="105">
        <v>15</v>
      </c>
      <c r="D94" s="106">
        <v>0.28999999999999998</v>
      </c>
      <c r="E94" s="105">
        <v>17</v>
      </c>
      <c r="F94" s="106">
        <v>0.33</v>
      </c>
      <c r="G94" s="105">
        <v>14</v>
      </c>
      <c r="H94" s="106">
        <v>0.27</v>
      </c>
      <c r="I94" s="105">
        <v>5</v>
      </c>
      <c r="J94" s="106">
        <v>0.1</v>
      </c>
    </row>
    <row r="95" spans="1:10">
      <c r="A95" s="104">
        <v>46236</v>
      </c>
      <c r="B95" s="105">
        <v>52</v>
      </c>
      <c r="C95" s="105">
        <v>11</v>
      </c>
      <c r="D95" s="106">
        <v>0.21</v>
      </c>
      <c r="E95" s="105">
        <v>17</v>
      </c>
      <c r="F95" s="106">
        <v>0.33</v>
      </c>
      <c r="G95" s="105">
        <v>18</v>
      </c>
      <c r="H95" s="106">
        <v>0.35</v>
      </c>
      <c r="I95" s="105">
        <v>6</v>
      </c>
      <c r="J95" s="106">
        <v>0.12</v>
      </c>
    </row>
    <row r="96" spans="1:10">
      <c r="A96" s="104">
        <v>46267</v>
      </c>
      <c r="B96" s="105">
        <v>45</v>
      </c>
      <c r="C96" s="105">
        <v>8</v>
      </c>
      <c r="D96" s="106">
        <v>0.18</v>
      </c>
      <c r="E96" s="105">
        <v>16</v>
      </c>
      <c r="F96" s="106">
        <v>0.36</v>
      </c>
      <c r="G96" s="105">
        <v>16</v>
      </c>
      <c r="H96" s="106">
        <v>0.36</v>
      </c>
      <c r="I96" s="105">
        <v>5</v>
      </c>
      <c r="J96" s="106">
        <v>0.11</v>
      </c>
    </row>
    <row r="97" spans="1:10">
      <c r="A97" s="104">
        <v>46297</v>
      </c>
      <c r="B97" s="105">
        <v>46</v>
      </c>
      <c r="C97" s="105">
        <v>5</v>
      </c>
      <c r="D97" s="106">
        <v>0.11</v>
      </c>
      <c r="E97" s="105">
        <v>19</v>
      </c>
      <c r="F97" s="106">
        <v>0.41</v>
      </c>
      <c r="G97" s="105">
        <v>19</v>
      </c>
      <c r="H97" s="106">
        <v>0.41</v>
      </c>
      <c r="I97" s="105">
        <v>3</v>
      </c>
      <c r="J97" s="106">
        <v>7.0000000000000007E-2</v>
      </c>
    </row>
    <row r="98" spans="1:10">
      <c r="A98" s="104">
        <v>46328</v>
      </c>
      <c r="B98" s="105">
        <v>43</v>
      </c>
      <c r="C98" s="105">
        <v>9</v>
      </c>
      <c r="D98" s="106">
        <v>0.21</v>
      </c>
      <c r="E98" s="105">
        <v>14</v>
      </c>
      <c r="F98" s="106">
        <v>0.33</v>
      </c>
      <c r="G98" s="105">
        <v>18</v>
      </c>
      <c r="H98" s="106">
        <v>0.42</v>
      </c>
      <c r="I98" s="105">
        <v>2</v>
      </c>
      <c r="J98" s="106">
        <v>0.05</v>
      </c>
    </row>
    <row r="99" spans="1:10">
      <c r="A99" s="104">
        <v>46358</v>
      </c>
      <c r="B99" s="105">
        <v>49</v>
      </c>
      <c r="C99" s="105">
        <v>6</v>
      </c>
      <c r="D99" s="106">
        <v>0.12</v>
      </c>
      <c r="E99" s="105">
        <v>18</v>
      </c>
      <c r="F99" s="106">
        <v>0.37</v>
      </c>
      <c r="G99" s="105">
        <v>21</v>
      </c>
      <c r="H99" s="106">
        <v>0.43</v>
      </c>
      <c r="I99" s="105">
        <v>4</v>
      </c>
      <c r="J99" s="106">
        <v>0.08</v>
      </c>
    </row>
    <row r="100" spans="1:10">
      <c r="A100" s="107" t="s">
        <v>12768</v>
      </c>
      <c r="B100" s="105">
        <v>49</v>
      </c>
      <c r="C100" s="105">
        <v>7</v>
      </c>
      <c r="D100" s="106">
        <v>0.14000000000000001</v>
      </c>
      <c r="E100" s="105">
        <v>23</v>
      </c>
      <c r="F100" s="106">
        <v>0.47</v>
      </c>
      <c r="G100" s="105">
        <v>15</v>
      </c>
      <c r="H100" s="106">
        <v>0.31</v>
      </c>
      <c r="I100" s="105">
        <v>4</v>
      </c>
      <c r="J100" s="106">
        <v>0.08</v>
      </c>
    </row>
    <row r="101" spans="1:10">
      <c r="A101" s="107" t="s">
        <v>12769</v>
      </c>
      <c r="B101" s="105">
        <v>45</v>
      </c>
      <c r="C101" s="105">
        <v>11</v>
      </c>
      <c r="D101" s="106">
        <v>0.24</v>
      </c>
      <c r="E101" s="105">
        <v>15</v>
      </c>
      <c r="F101" s="106">
        <v>0.33</v>
      </c>
      <c r="G101" s="105">
        <v>17</v>
      </c>
      <c r="H101" s="106">
        <v>0.38</v>
      </c>
      <c r="I101" s="105">
        <v>2</v>
      </c>
      <c r="J101" s="106">
        <v>0.04</v>
      </c>
    </row>
    <row r="102" spans="1:10">
      <c r="A102" s="107" t="s">
        <v>12770</v>
      </c>
      <c r="B102" s="105">
        <v>44</v>
      </c>
      <c r="C102" s="105">
        <v>14</v>
      </c>
      <c r="D102" s="106">
        <v>0.32</v>
      </c>
      <c r="E102" s="105">
        <v>16</v>
      </c>
      <c r="F102" s="106">
        <v>0.36</v>
      </c>
      <c r="G102" s="105">
        <v>10</v>
      </c>
      <c r="H102" s="106">
        <v>0.23</v>
      </c>
      <c r="I102" s="105">
        <v>4</v>
      </c>
      <c r="J102" s="106">
        <v>0.09</v>
      </c>
    </row>
    <row r="103" spans="1:10">
      <c r="A103" s="107" t="s">
        <v>12771</v>
      </c>
      <c r="B103" s="105">
        <v>45</v>
      </c>
      <c r="C103" s="105">
        <v>10</v>
      </c>
      <c r="D103" s="106">
        <v>0.22</v>
      </c>
      <c r="E103" s="105">
        <v>15</v>
      </c>
      <c r="F103" s="106">
        <v>0.33</v>
      </c>
      <c r="G103" s="105">
        <v>16</v>
      </c>
      <c r="H103" s="106">
        <v>0.36</v>
      </c>
      <c r="I103" s="105">
        <v>4</v>
      </c>
      <c r="J103" s="106">
        <v>0.09</v>
      </c>
    </row>
    <row r="104" spans="1:10">
      <c r="A104" s="107" t="s">
        <v>12772</v>
      </c>
      <c r="B104" s="105">
        <v>37</v>
      </c>
      <c r="C104" s="105">
        <v>3</v>
      </c>
      <c r="D104" s="106">
        <v>0.08</v>
      </c>
      <c r="E104" s="105">
        <v>20</v>
      </c>
      <c r="F104" s="106">
        <v>0.54</v>
      </c>
      <c r="G104" s="105">
        <v>13</v>
      </c>
      <c r="H104" s="106">
        <v>0.35</v>
      </c>
      <c r="I104" s="105">
        <v>1</v>
      </c>
      <c r="J104" s="106">
        <v>0.03</v>
      </c>
    </row>
    <row r="105" spans="1:10">
      <c r="A105" s="107" t="s">
        <v>12773</v>
      </c>
      <c r="B105" s="105">
        <v>41</v>
      </c>
      <c r="C105" s="105">
        <v>6</v>
      </c>
      <c r="D105" s="106">
        <v>0.15</v>
      </c>
      <c r="E105" s="105">
        <v>15</v>
      </c>
      <c r="F105" s="106">
        <v>0.37</v>
      </c>
      <c r="G105" s="105">
        <v>17</v>
      </c>
      <c r="H105" s="106">
        <v>0.41</v>
      </c>
      <c r="I105" s="105">
        <v>3</v>
      </c>
      <c r="J105" s="106">
        <v>7.0000000000000007E-2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783"/>
  <sheetViews>
    <sheetView workbookViewId="0"/>
  </sheetViews>
  <sheetFormatPr defaultColWidth="12.5703125" defaultRowHeight="15.75" customHeight="1"/>
  <cols>
    <col min="1" max="1" width="20" customWidth="1"/>
    <col min="2" max="2" width="24" customWidth="1"/>
    <col min="3" max="3" width="19.28515625" customWidth="1"/>
    <col min="4" max="4" width="24.42578125" customWidth="1"/>
    <col min="7" max="7" width="9.140625" customWidth="1"/>
    <col min="8" max="9" width="10.42578125" customWidth="1"/>
    <col min="10" max="10" width="8.5703125" customWidth="1"/>
    <col min="11" max="11" width="9.28515625" customWidth="1"/>
    <col min="12" max="12" width="20.140625" customWidth="1"/>
    <col min="14" max="18" width="13.85546875" customWidth="1"/>
  </cols>
  <sheetData>
    <row r="1" spans="1:27">
      <c r="A1" s="109" t="str">
        <f ca="1">IFERROR(__xludf.DUMMYFUNCTION("QUERY(
  SORT(
    ARRAYFORMULA({
      'Performa Iklan Klien'!A2:A783, 
      'Performa Iklan Klien'!C2:C783, 
      'Performa Iklan Klien'!D2:D783, 
      IF('Performa Iklan Klien'!E2:E783&lt;&gt;"""", ""https://wa.me/"" &amp; SUBSTITUTE('Performa Iklan Klien'!E2"&amp;":E783, "" "", """"), """"), 
      IF('Performa Iklan Klien'!E2:E783&lt;&gt;"""", SUBSTITUTE('Performa Iklan Klien'!E2:E783, "" "", """"), """"), 
      IF('Performa Iklan Klien'!G2:G783&lt;&gt;"""", VALUE(SUBSTITUTE('Performa Iklan Klien'!G2:G783, "","", """")),), 
"&amp;"      IF('Performa Iklan Klien'!H2:H783&lt;&gt;"""", VALUE(SUBSTITUTE('Performa Iklan Klien'!H2:H783, "","", """")),), 
      IF('Performa Iklan Klien'!K2:K783&lt;&gt;"""", VALUE(SUBSTITUTE('Performa Iklan Klien'!K2:K783, "","", """")),), 
      IF('Performa Iklan Kl"&amp;"ien'!J2:J783&lt;&gt;"""", VALUE(SUBSTITUTE(SUBSTITUTE('Performa Iklan Klien'!J2:J783, ""Rp"", """"), "","", """")),)
    }),
    5, TRUE
  ),
  ""SELECT Col1, Col2, Col3, Col4, Col5, SUM(Col6), AVG(Col7), SUM(Col8), SUM(Col9), SUM(Col9)/SUM(Col8), SUM(Col9)/150"&amp;"00 
   WHERE Col6 IS NOT NULL 
   GROUP BY Col1, Col2, Col3, Col4, Col5 
   LABEL 
     Col1 'AkunIklanId', 
     Col2 'KampanyeID', 
     Col3 'Nama Usaha', 
     Col4 'Link WhatsApp', 
     Col5 'Nomor WhatsApp', 
     SUM(Col6) 'Reach', 
     AVG(Col7)"&amp;" 'CPM',
     SUM(Col8) 'KlikWa', 
     SUM(Col9) 'Spend', 
     SUM(Col9)/SUM(Col8) 'CPR', 
     SUM(Col9)/15000 'Durasi'""
)
"),"AkunIklanId")</f>
        <v>AkunIklanId</v>
      </c>
      <c r="B1" s="109" t="str">
        <f ca="1">IFERROR(__xludf.DUMMYFUNCTION("""COMPUTED_VALUE"""),"KampanyeID")</f>
        <v>KampanyeID</v>
      </c>
      <c r="C1" s="110" t="str">
        <f ca="1">IFERROR(__xludf.DUMMYFUNCTION("""COMPUTED_VALUE"""),"Nama Usaha")</f>
        <v>Nama Usaha</v>
      </c>
      <c r="D1" s="111" t="str">
        <f ca="1">IFERROR(__xludf.DUMMYFUNCTION("""COMPUTED_VALUE"""),"Link WhatsApp")</f>
        <v>Link WhatsApp</v>
      </c>
      <c r="E1" s="111" t="str">
        <f ca="1">IFERROR(__xludf.DUMMYFUNCTION("""COMPUTED_VALUE"""),"Nomor WhatsApp")</f>
        <v>Nomor WhatsApp</v>
      </c>
      <c r="F1" s="111" t="str">
        <f ca="1">IFERROR(__xludf.DUMMYFUNCTION("""COMPUTED_VALUE"""),"Reach")</f>
        <v>Reach</v>
      </c>
      <c r="G1" s="111" t="str">
        <f ca="1">IFERROR(__xludf.DUMMYFUNCTION("""COMPUTED_VALUE"""),"CPM")</f>
        <v>CPM</v>
      </c>
      <c r="H1" s="112" t="str">
        <f ca="1">IFERROR(__xludf.DUMMYFUNCTION("""COMPUTED_VALUE"""),"KlikWa")</f>
        <v>KlikWa</v>
      </c>
      <c r="I1" s="113" t="str">
        <f ca="1">IFERROR(__xludf.DUMMYFUNCTION("""COMPUTED_VALUE"""),"Spend")</f>
        <v>Spend</v>
      </c>
      <c r="J1" s="114" t="str">
        <f ca="1">IFERROR(__xludf.DUMMYFUNCTION("""COMPUTED_VALUE"""),"CPR")</f>
        <v>CPR</v>
      </c>
      <c r="K1" s="115" t="str">
        <f ca="1">IFERROR(__xludf.DUMMYFUNCTION("""COMPUTED_VALUE"""),"Durasi")</f>
        <v>Durasi</v>
      </c>
      <c r="L1" s="116" t="s">
        <v>12774</v>
      </c>
      <c r="M1" s="116" t="s">
        <v>12775</v>
      </c>
      <c r="N1" s="117"/>
      <c r="O1" s="117"/>
      <c r="P1" s="117"/>
      <c r="Q1" s="117"/>
      <c r="R1" s="117"/>
      <c r="S1" s="117"/>
      <c r="T1" s="117"/>
      <c r="U1" s="117"/>
      <c r="V1" s="117"/>
      <c r="W1" s="117"/>
      <c r="X1" s="117"/>
      <c r="Y1" s="117"/>
      <c r="Z1" s="117"/>
      <c r="AA1" s="117"/>
    </row>
    <row r="2" spans="1:27">
      <c r="A2" s="118">
        <f ca="1">IFERROR(__xludf.DUMMYFUNCTION("""COMPUTED_VALUE"""),174904221976312)</f>
        <v>174904221976312</v>
      </c>
      <c r="B2" s="118" t="str">
        <f ca="1">IFERROR(__xludf.DUMMYFUNCTION("""COMPUTED_VALUE"""),"120222033176120694")</f>
        <v>120222033176120694</v>
      </c>
      <c r="C2" s="119" t="str">
        <f ca="1">IFERROR(__xludf.DUMMYFUNCTION("""COMPUTED_VALUE"""),"Wiris Variasi")</f>
        <v>Wiris Variasi</v>
      </c>
      <c r="D2" s="120" t="str">
        <f ca="1">IFERROR(__xludf.DUMMYFUNCTION("""COMPUTED_VALUE"""),"https://wa.me/6282242925264")</f>
        <v>https://wa.me/6282242925264</v>
      </c>
      <c r="E2" s="121" t="str">
        <f ca="1">IFERROR(__xludf.DUMMYFUNCTION("""COMPUTED_VALUE"""),"6282242925264")</f>
        <v>6282242925264</v>
      </c>
      <c r="F2" s="121">
        <f ca="1">IFERROR(__xludf.DUMMYFUNCTION("""COMPUTED_VALUE"""),86844)</f>
        <v>86844</v>
      </c>
      <c r="G2" s="121">
        <f ca="1">IFERROR(__xludf.DUMMYFUNCTION("""COMPUTED_VALUE"""),5750.92105263157)</f>
        <v>5750.9210526315701</v>
      </c>
      <c r="H2" s="122">
        <f ca="1">IFERROR(__xludf.DUMMYFUNCTION("""COMPUTED_VALUE"""),195)</f>
        <v>195</v>
      </c>
      <c r="I2" s="123">
        <f ca="1">IFERROR(__xludf.DUMMYFUNCTION("""COMPUTED_VALUE"""),549988)</f>
        <v>549988</v>
      </c>
      <c r="J2" s="124">
        <f ca="1">IFERROR(__xludf.DUMMYFUNCTION("""COMPUTED_VALUE"""),2820.45128205128)</f>
        <v>2820.45128205128</v>
      </c>
      <c r="K2" s="125">
        <f ca="1">IFERROR(__xludf.DUMMYFUNCTION("""COMPUTED_VALUE"""),36.6658666666666)</f>
        <v>36.665866666666602</v>
      </c>
      <c r="L2" s="126" t="str">
        <f t="array" aca="1" ref="L2:L783" ca="1">IF(
    (A2:A783 &lt;&gt; "") * (B2:B783 &lt;&gt; "") * (C2:C783 &lt;&gt; ""),
    HYPERLINK(
      "https://adsmanager.facebook.com/adsmanager/manage/campaigns/edit/standalone?act=" &amp;
      A2:A783 &amp;
      "&amp;selected_campaign_ids=" &amp;
      B2:B783,
      C2:C783
    ),
    ""
  )</f>
        <v>Wiris Variasi</v>
      </c>
      <c r="M2" s="118"/>
      <c r="N2" s="127"/>
      <c r="O2" s="127"/>
      <c r="P2" s="127"/>
      <c r="Q2" s="127"/>
      <c r="R2" s="127"/>
      <c r="S2" s="127"/>
      <c r="T2" s="127"/>
      <c r="U2" s="127"/>
      <c r="V2" s="127"/>
      <c r="W2" s="127"/>
      <c r="X2" s="127"/>
      <c r="Y2" s="127"/>
      <c r="Z2" s="127"/>
      <c r="AA2" s="127"/>
    </row>
    <row r="3" spans="1:27">
      <c r="A3" s="118">
        <f ca="1">IFERROR(__xludf.DUMMYFUNCTION("""COMPUTED_VALUE"""),174904221976312)</f>
        <v>174904221976312</v>
      </c>
      <c r="B3" s="118" t="str">
        <f ca="1">IFERROR(__xludf.DUMMYFUNCTION("""COMPUTED_VALUE"""),"120224030796970694")</f>
        <v>120224030796970694</v>
      </c>
      <c r="C3" s="119" t="str">
        <f ca="1">IFERROR(__xludf.DUMMYFUNCTION("""COMPUTED_VALUE"""),"Prima Beauty Centre")</f>
        <v>Prima Beauty Centre</v>
      </c>
      <c r="D3" s="120" t="str">
        <f ca="1">IFERROR(__xludf.DUMMYFUNCTION("""COMPUTED_VALUE"""),"https://wa.me/628115424402")</f>
        <v>https://wa.me/628115424402</v>
      </c>
      <c r="E3" s="121" t="str">
        <f ca="1">IFERROR(__xludf.DUMMYFUNCTION("""COMPUTED_VALUE"""),"628115424402")</f>
        <v>628115424402</v>
      </c>
      <c r="F3" s="121">
        <f ca="1">IFERROR(__xludf.DUMMYFUNCTION("""COMPUTED_VALUE"""),6839)</f>
        <v>6839</v>
      </c>
      <c r="G3" s="121">
        <f ca="1">IFERROR(__xludf.DUMMYFUNCTION("""COMPUTED_VALUE"""),13850.1428571428)</f>
        <v>13850.1428571428</v>
      </c>
      <c r="H3" s="122">
        <f ca="1">IFERROR(__xludf.DUMMYFUNCTION("""COMPUTED_VALUE"""),38)</f>
        <v>38</v>
      </c>
      <c r="I3" s="123">
        <f ca="1">IFERROR(__xludf.DUMMYFUNCTION("""COMPUTED_VALUE"""),103470)</f>
        <v>103470</v>
      </c>
      <c r="J3" s="124">
        <f ca="1">IFERROR(__xludf.DUMMYFUNCTION("""COMPUTED_VALUE"""),2722.8947368421)</f>
        <v>2722.8947368421</v>
      </c>
      <c r="K3" s="125">
        <f ca="1">IFERROR(__xludf.DUMMYFUNCTION("""COMPUTED_VALUE"""),6.898)</f>
        <v>6.8979999999999997</v>
      </c>
      <c r="L3" s="126" t="str">
        <f ca="1"/>
        <v>Wiris Variasi</v>
      </c>
      <c r="M3" s="118"/>
      <c r="N3" s="128"/>
      <c r="O3" s="128"/>
      <c r="P3" s="128"/>
      <c r="Q3" s="128"/>
      <c r="R3" s="128" t="s">
        <v>12776</v>
      </c>
      <c r="S3" s="129"/>
      <c r="T3" s="127"/>
      <c r="U3" s="127"/>
      <c r="V3" s="127"/>
      <c r="W3" s="127"/>
      <c r="X3" s="127"/>
      <c r="Y3" s="127"/>
      <c r="Z3" s="127"/>
      <c r="AA3" s="127"/>
    </row>
    <row r="4" spans="1:27">
      <c r="A4" s="118">
        <f ca="1">IFERROR(__xludf.DUMMYFUNCTION("""COMPUTED_VALUE"""),174904221976312)</f>
        <v>174904221976312</v>
      </c>
      <c r="B4" s="118" t="str">
        <f ca="1">IFERROR(__xludf.DUMMYFUNCTION("""COMPUTED_VALUE"""),"120224403680120694")</f>
        <v>120224403680120694</v>
      </c>
      <c r="C4" s="119" t="str">
        <f ca="1">IFERROR(__xludf.DUMMYFUNCTION("""COMPUTED_VALUE"""),"Phone Cell Center")</f>
        <v>Phone Cell Center</v>
      </c>
      <c r="D4" s="120" t="str">
        <f ca="1">IFERROR(__xludf.DUMMYFUNCTION("""COMPUTED_VALUE"""),"https://wa.me/6281241440688")</f>
        <v>https://wa.me/6281241440688</v>
      </c>
      <c r="E4" s="121" t="str">
        <f ca="1">IFERROR(__xludf.DUMMYFUNCTION("""COMPUTED_VALUE"""),"6281241440688")</f>
        <v>6281241440688</v>
      </c>
      <c r="F4" s="121">
        <f ca="1">IFERROR(__xludf.DUMMYFUNCTION("""COMPUTED_VALUE"""),41573)</f>
        <v>41573</v>
      </c>
      <c r="G4" s="121">
        <f ca="1">IFERROR(__xludf.DUMMYFUNCTION("""COMPUTED_VALUE"""),6410.30434782608)</f>
        <v>6410.3043478260797</v>
      </c>
      <c r="H4" s="122">
        <f ca="1">IFERROR(__xludf.DUMMYFUNCTION("""COMPUTED_VALUE"""),29)</f>
        <v>29</v>
      </c>
      <c r="I4" s="123">
        <f ca="1">IFERROR(__xludf.DUMMYFUNCTION("""COMPUTED_VALUE"""),298719)</f>
        <v>298719</v>
      </c>
      <c r="J4" s="124">
        <f ca="1">IFERROR(__xludf.DUMMYFUNCTION("""COMPUTED_VALUE"""),10300.6551724137)</f>
        <v>10300.655172413701</v>
      </c>
      <c r="K4" s="125">
        <f ca="1">IFERROR(__xludf.DUMMYFUNCTION("""COMPUTED_VALUE"""),19.9146)</f>
        <v>19.9146</v>
      </c>
      <c r="L4" s="126" t="str">
        <f ca="1"/>
        <v>Wiris Variasi</v>
      </c>
      <c r="M4" s="118"/>
      <c r="N4" s="128"/>
      <c r="O4" s="128"/>
      <c r="P4" s="128"/>
      <c r="Q4" s="128"/>
      <c r="R4" s="128" t="s">
        <v>12777</v>
      </c>
      <c r="S4" s="130"/>
      <c r="T4" s="127"/>
      <c r="U4" s="127"/>
      <c r="V4" s="127"/>
      <c r="W4" s="127"/>
      <c r="X4" s="127"/>
      <c r="Y4" s="127"/>
      <c r="Z4" s="127"/>
      <c r="AA4" s="127"/>
    </row>
    <row r="5" spans="1:27">
      <c r="A5" s="118">
        <f ca="1">IFERROR(__xludf.DUMMYFUNCTION("""COMPUTED_VALUE"""),174904221976312)</f>
        <v>174904221976312</v>
      </c>
      <c r="B5" s="118" t="str">
        <f ca="1">IFERROR(__xludf.DUMMYFUNCTION("""COMPUTED_VALUE"""),"120224679214120694")</f>
        <v>120224679214120694</v>
      </c>
      <c r="C5" s="119" t="str">
        <f ca="1">IFERROR(__xludf.DUMMYFUNCTION("""COMPUTED_VALUE"""),"Master Home Decor+15052025")</f>
        <v>Master Home Decor+15052025</v>
      </c>
      <c r="D5" s="120" t="str">
        <f ca="1">IFERROR(__xludf.DUMMYFUNCTION("""COMPUTED_VALUE"""),"https://wa.me/6281378757554")</f>
        <v>https://wa.me/6281378757554</v>
      </c>
      <c r="E5" s="121" t="str">
        <f ca="1">IFERROR(__xludf.DUMMYFUNCTION("""COMPUTED_VALUE"""),"6281378757554")</f>
        <v>6281378757554</v>
      </c>
      <c r="F5" s="121">
        <f ca="1">IFERROR(__xludf.DUMMYFUNCTION("""COMPUTED_VALUE"""),3765)</f>
        <v>3765</v>
      </c>
      <c r="G5" s="121">
        <f ca="1">IFERROR(__xludf.DUMMYFUNCTION("""COMPUTED_VALUE"""),27767.5555555555)</f>
        <v>27767.5555555555</v>
      </c>
      <c r="H5" s="122">
        <f ca="1">IFERROR(__xludf.DUMMYFUNCTION("""COMPUTED_VALUE"""),13)</f>
        <v>13</v>
      </c>
      <c r="I5" s="123">
        <f ca="1">IFERROR(__xludf.DUMMYFUNCTION("""COMPUTED_VALUE"""),117961)</f>
        <v>117961</v>
      </c>
      <c r="J5" s="124">
        <f ca="1">IFERROR(__xludf.DUMMYFUNCTION("""COMPUTED_VALUE"""),9073.92307692307)</f>
        <v>9073.9230769230708</v>
      </c>
      <c r="K5" s="125">
        <f ca="1">IFERROR(__xludf.DUMMYFUNCTION("""COMPUTED_VALUE"""),7.86406666666666)</f>
        <v>7.8640666666666599</v>
      </c>
      <c r="L5" s="126" t="str">
        <f ca="1"/>
        <v>Wiris Variasi</v>
      </c>
      <c r="M5" s="118"/>
      <c r="N5" s="128"/>
      <c r="O5" s="128"/>
      <c r="P5" s="128"/>
      <c r="Q5" s="128"/>
      <c r="R5" s="128" t="s">
        <v>12778</v>
      </c>
      <c r="S5" s="131"/>
      <c r="T5" s="127"/>
      <c r="U5" s="127"/>
      <c r="V5" s="127"/>
      <c r="W5" s="127"/>
      <c r="X5" s="127"/>
      <c r="Y5" s="127"/>
      <c r="Z5" s="127"/>
      <c r="AA5" s="127"/>
    </row>
    <row r="6" spans="1:27">
      <c r="A6" s="118">
        <f ca="1">IFERROR(__xludf.DUMMYFUNCTION("""COMPUTED_VALUE"""),174904221976312)</f>
        <v>174904221976312</v>
      </c>
      <c r="B6" s="118" t="str">
        <f ca="1">IFERROR(__xludf.DUMMYFUNCTION("""COMPUTED_VALUE"""),"120224708398910694")</f>
        <v>120224708398910694</v>
      </c>
      <c r="C6" s="119" t="str">
        <f ca="1">IFERROR(__xludf.DUMMYFUNCTION("""COMPUTED_VALUE"""),"Rodrimar Aifunan Fresku")</f>
        <v>Rodrimar Aifunan Fresku</v>
      </c>
      <c r="D6" s="121"/>
      <c r="E6" s="121"/>
      <c r="F6" s="121">
        <f ca="1">IFERROR(__xludf.DUMMYFUNCTION("""COMPUTED_VALUE"""),117338)</f>
        <v>117338</v>
      </c>
      <c r="G6" s="121">
        <f ca="1">IFERROR(__xludf.DUMMYFUNCTION("""COMPUTED_VALUE"""),2819.92307692307)</f>
        <v>2819.9230769230699</v>
      </c>
      <c r="H6" s="122">
        <f ca="1">IFERROR(__xludf.DUMMYFUNCTION("""COMPUTED_VALUE"""),137)</f>
        <v>137</v>
      </c>
      <c r="I6" s="123">
        <f ca="1">IFERROR(__xludf.DUMMYFUNCTION("""COMPUTED_VALUE"""),352799)</f>
        <v>352799</v>
      </c>
      <c r="J6" s="124">
        <f ca="1">IFERROR(__xludf.DUMMYFUNCTION("""COMPUTED_VALUE"""),2575.17518248175)</f>
        <v>2575.1751824817502</v>
      </c>
      <c r="K6" s="125">
        <f ca="1">IFERROR(__xludf.DUMMYFUNCTION("""COMPUTED_VALUE"""),23.5199333333333)</f>
        <v>23.519933333333299</v>
      </c>
      <c r="L6" s="126" t="str">
        <f ca="1"/>
        <v>Wiris Variasi</v>
      </c>
      <c r="M6" s="118"/>
      <c r="N6" s="127"/>
      <c r="O6" s="127"/>
      <c r="P6" s="127"/>
      <c r="Q6" s="127"/>
      <c r="R6" s="127"/>
      <c r="S6" s="127"/>
      <c r="T6" s="127"/>
      <c r="U6" s="127"/>
      <c r="V6" s="127"/>
      <c r="W6" s="127"/>
      <c r="X6" s="127"/>
      <c r="Y6" s="127"/>
      <c r="Z6" s="127"/>
      <c r="AA6" s="127"/>
    </row>
    <row r="7" spans="1:27">
      <c r="A7" s="118">
        <f ca="1">IFERROR(__xludf.DUMMYFUNCTION("""COMPUTED_VALUE"""),174904221976312)</f>
        <v>174904221976312</v>
      </c>
      <c r="B7" s="118" t="str">
        <f ca="1">IFERROR(__xludf.DUMMYFUNCTION("""COMPUTED_VALUE"""),"120224822861740694")</f>
        <v>120224822861740694</v>
      </c>
      <c r="C7" s="119" t="str">
        <f ca="1">IFERROR(__xludf.DUMMYFUNCTION("""COMPUTED_VALUE"""),"Daihatsu Mamuju")</f>
        <v>Daihatsu Mamuju</v>
      </c>
      <c r="D7" s="120" t="str">
        <f ca="1">IFERROR(__xludf.DUMMYFUNCTION("""COMPUTED_VALUE"""),"https://wa.me/6282347206488")</f>
        <v>https://wa.me/6282347206488</v>
      </c>
      <c r="E7" s="121" t="str">
        <f ca="1">IFERROR(__xludf.DUMMYFUNCTION("""COMPUTED_VALUE"""),"6282347206488")</f>
        <v>6282347206488</v>
      </c>
      <c r="F7" s="121">
        <f ca="1">IFERROR(__xludf.DUMMYFUNCTION("""COMPUTED_VALUE"""),27508)</f>
        <v>27508</v>
      </c>
      <c r="G7" s="121">
        <f ca="1">IFERROR(__xludf.DUMMYFUNCTION("""COMPUTED_VALUE"""),9786.52380952381)</f>
        <v>9786.5238095238092</v>
      </c>
      <c r="H7" s="122">
        <f ca="1">IFERROR(__xludf.DUMMYFUNCTION("""COMPUTED_VALUE"""),103)</f>
        <v>103</v>
      </c>
      <c r="I7" s="123">
        <f ca="1">IFERROR(__xludf.DUMMYFUNCTION("""COMPUTED_VALUE"""),276526)</f>
        <v>276526</v>
      </c>
      <c r="J7" s="124">
        <f ca="1">IFERROR(__xludf.DUMMYFUNCTION("""COMPUTED_VALUE"""),2684.71844660194)</f>
        <v>2684.7184466019398</v>
      </c>
      <c r="K7" s="125">
        <f ca="1">IFERROR(__xludf.DUMMYFUNCTION("""COMPUTED_VALUE"""),18.4350666666666)</f>
        <v>18.4350666666666</v>
      </c>
      <c r="L7" s="126" t="str">
        <f ca="1"/>
        <v>Wiris Variasi</v>
      </c>
      <c r="M7" s="118"/>
      <c r="N7" s="127"/>
      <c r="O7" s="127"/>
      <c r="P7" s="127"/>
      <c r="Q7" s="127"/>
      <c r="R7" s="127"/>
      <c r="S7" s="127"/>
      <c r="T7" s="127"/>
      <c r="U7" s="127"/>
      <c r="V7" s="127"/>
      <c r="W7" s="127"/>
      <c r="X7" s="127"/>
      <c r="Y7" s="127"/>
      <c r="Z7" s="127"/>
      <c r="AA7" s="127"/>
    </row>
    <row r="8" spans="1:27">
      <c r="A8" s="118">
        <f ca="1">IFERROR(__xludf.DUMMYFUNCTION("""COMPUTED_VALUE"""),174904221976312)</f>
        <v>174904221976312</v>
      </c>
      <c r="B8" s="118" t="str">
        <f ca="1">IFERROR(__xludf.DUMMYFUNCTION("""COMPUTED_VALUE"""),"120225065069670694")</f>
        <v>120225065069670694</v>
      </c>
      <c r="C8" s="119" t="str">
        <f ca="1">IFERROR(__xludf.DUMMYFUNCTION("""COMPUTED_VALUE"""),"LK spa n beauty")</f>
        <v>LK spa n beauty</v>
      </c>
      <c r="D8" s="120" t="str">
        <f ca="1">IFERROR(__xludf.DUMMYFUNCTION("""COMPUTED_VALUE"""),"https://wa.me/6282341426767")</f>
        <v>https://wa.me/6282341426767</v>
      </c>
      <c r="E8" s="121" t="str">
        <f ca="1">IFERROR(__xludf.DUMMYFUNCTION("""COMPUTED_VALUE"""),"6282341426767")</f>
        <v>6282341426767</v>
      </c>
      <c r="F8" s="121">
        <f ca="1">IFERROR(__xludf.DUMMYFUNCTION("""COMPUTED_VALUE"""),1243)</f>
        <v>1243</v>
      </c>
      <c r="G8" s="121">
        <f ca="1">IFERROR(__xludf.DUMMYFUNCTION("""COMPUTED_VALUE"""),24433.3333333333)</f>
        <v>24433.333333333299</v>
      </c>
      <c r="H8" s="122">
        <f ca="1">IFERROR(__xludf.DUMMYFUNCTION("""COMPUTED_VALUE"""),11)</f>
        <v>11</v>
      </c>
      <c r="I8" s="123">
        <f ca="1">IFERROR(__xludf.DUMMYFUNCTION("""COMPUTED_VALUE"""),36734)</f>
        <v>36734</v>
      </c>
      <c r="J8" s="124">
        <f ca="1">IFERROR(__xludf.DUMMYFUNCTION("""COMPUTED_VALUE"""),3339.45454545454)</f>
        <v>3339.45454545454</v>
      </c>
      <c r="K8" s="125">
        <f ca="1">IFERROR(__xludf.DUMMYFUNCTION("""COMPUTED_VALUE"""),2.44893333333333)</f>
        <v>2.4489333333333301</v>
      </c>
      <c r="L8" s="126" t="str">
        <f ca="1"/>
        <v>Wiris Variasi</v>
      </c>
      <c r="M8" s="118"/>
      <c r="N8" s="127"/>
      <c r="O8" s="127"/>
      <c r="P8" s="127"/>
      <c r="Q8" s="127"/>
      <c r="R8" s="127"/>
      <c r="S8" s="127"/>
      <c r="T8" s="127"/>
      <c r="U8" s="127"/>
      <c r="V8" s="127"/>
      <c r="W8" s="127"/>
      <c r="X8" s="127"/>
      <c r="Y8" s="127"/>
      <c r="Z8" s="127"/>
      <c r="AA8" s="127"/>
    </row>
    <row r="9" spans="1:27">
      <c r="A9" s="118">
        <f ca="1">IFERROR(__xludf.DUMMYFUNCTION("""COMPUTED_VALUE"""),174904221976312)</f>
        <v>174904221976312</v>
      </c>
      <c r="B9" s="118" t="str">
        <f ca="1">IFERROR(__xludf.DUMMYFUNCTION("""COMPUTED_VALUE"""),"120225230850710694")</f>
        <v>120225230850710694</v>
      </c>
      <c r="C9" s="119" t="str">
        <f ca="1">IFERROR(__xludf.DUMMYFUNCTION("""COMPUTED_VALUE"""),"CV MZ banyu agung")</f>
        <v>CV MZ banyu agung</v>
      </c>
      <c r="D9" s="120" t="str">
        <f ca="1">IFERROR(__xludf.DUMMYFUNCTION("""COMPUTED_VALUE"""),"https://wa.me/62882001677470")</f>
        <v>https://wa.me/62882001677470</v>
      </c>
      <c r="E9" s="121" t="str">
        <f ca="1">IFERROR(__xludf.DUMMYFUNCTION("""COMPUTED_VALUE"""),"62882001677470")</f>
        <v>62882001677470</v>
      </c>
      <c r="F9" s="121">
        <f ca="1">IFERROR(__xludf.DUMMYFUNCTION("""COMPUTED_VALUE"""),9090)</f>
        <v>9090</v>
      </c>
      <c r="G9" s="121">
        <f ca="1">IFERROR(__xludf.DUMMYFUNCTION("""COMPUTED_VALUE"""),19904.8666666666)</f>
        <v>19904.866666666599</v>
      </c>
      <c r="H9" s="122">
        <f ca="1">IFERROR(__xludf.DUMMYFUNCTION("""COMPUTED_VALUE"""),18)</f>
        <v>18</v>
      </c>
      <c r="I9" s="123">
        <f ca="1">IFERROR(__xludf.DUMMYFUNCTION("""COMPUTED_VALUE"""),190172)</f>
        <v>190172</v>
      </c>
      <c r="J9" s="124">
        <f ca="1">IFERROR(__xludf.DUMMYFUNCTION("""COMPUTED_VALUE"""),10565.1111111111)</f>
        <v>10565.1111111111</v>
      </c>
      <c r="K9" s="125">
        <f ca="1">IFERROR(__xludf.DUMMYFUNCTION("""COMPUTED_VALUE"""),12.6781333333333)</f>
        <v>12.6781333333333</v>
      </c>
      <c r="L9" s="126" t="str">
        <f ca="1"/>
        <v>Wiris Variasi</v>
      </c>
      <c r="M9" s="118"/>
      <c r="N9" s="127"/>
      <c r="O9" s="127"/>
      <c r="P9" s="127"/>
      <c r="Q9" s="127"/>
      <c r="R9" s="127"/>
      <c r="S9" s="127"/>
      <c r="T9" s="127"/>
      <c r="U9" s="127"/>
      <c r="V9" s="127"/>
      <c r="W9" s="127"/>
      <c r="X9" s="127"/>
      <c r="Y9" s="127"/>
      <c r="Z9" s="127"/>
      <c r="AA9" s="127"/>
    </row>
    <row r="10" spans="1:27">
      <c r="A10" s="118">
        <f ca="1">IFERROR(__xludf.DUMMYFUNCTION("""COMPUTED_VALUE"""),174904221976312)</f>
        <v>174904221976312</v>
      </c>
      <c r="B10" s="118" t="str">
        <f ca="1">IFERROR(__xludf.DUMMYFUNCTION("""COMPUTED_VALUE"""),"120225346217950694")</f>
        <v>120225346217950694</v>
      </c>
      <c r="C10" s="119" t="str">
        <f ca="1">IFERROR(__xludf.DUMMYFUNCTION("""COMPUTED_VALUE"""),"Verrocosta")</f>
        <v>Verrocosta</v>
      </c>
      <c r="D10" s="120" t="str">
        <f ca="1">IFERROR(__xludf.DUMMYFUNCTION("""COMPUTED_VALUE"""),"https://wa.me/6282226594414")</f>
        <v>https://wa.me/6282226594414</v>
      </c>
      <c r="E10" s="121" t="str">
        <f ca="1">IFERROR(__xludf.DUMMYFUNCTION("""COMPUTED_VALUE"""),"6282226594414")</f>
        <v>6282226594414</v>
      </c>
      <c r="F10" s="121">
        <f ca="1">IFERROR(__xludf.DUMMYFUNCTION("""COMPUTED_VALUE"""),69806)</f>
        <v>69806</v>
      </c>
      <c r="G10" s="121">
        <f ca="1">IFERROR(__xludf.DUMMYFUNCTION("""COMPUTED_VALUE"""),2988.27777777777)</f>
        <v>2988.2777777777701</v>
      </c>
      <c r="H10" s="122">
        <f ca="1">IFERROR(__xludf.DUMMYFUNCTION("""COMPUTED_VALUE"""),278)</f>
        <v>278</v>
      </c>
      <c r="I10" s="123">
        <f ca="1">IFERROR(__xludf.DUMMYFUNCTION("""COMPUTED_VALUE"""),237023)</f>
        <v>237023</v>
      </c>
      <c r="J10" s="124">
        <f ca="1">IFERROR(__xludf.DUMMYFUNCTION("""COMPUTED_VALUE"""),852.60071942446)</f>
        <v>852.60071942445995</v>
      </c>
      <c r="K10" s="125">
        <f ca="1">IFERROR(__xludf.DUMMYFUNCTION("""COMPUTED_VALUE"""),15.8015333333333)</f>
        <v>15.8015333333333</v>
      </c>
      <c r="L10" s="126" t="str">
        <f ca="1"/>
        <v>Wiris Variasi</v>
      </c>
      <c r="M10" s="118"/>
      <c r="N10" s="127"/>
      <c r="O10" s="127"/>
      <c r="P10" s="127"/>
      <c r="Q10" s="127"/>
      <c r="R10" s="127"/>
      <c r="S10" s="127"/>
      <c r="T10" s="127"/>
      <c r="U10" s="127"/>
      <c r="V10" s="127"/>
      <c r="W10" s="127"/>
      <c r="X10" s="127"/>
      <c r="Y10" s="127"/>
      <c r="Z10" s="127"/>
      <c r="AA10" s="127"/>
    </row>
    <row r="11" spans="1:27">
      <c r="A11" s="118">
        <f ca="1">IFERROR(__xludf.DUMMYFUNCTION("""COMPUTED_VALUE"""),174904221976312)</f>
        <v>174904221976312</v>
      </c>
      <c r="B11" s="118" t="str">
        <f ca="1">IFERROR(__xludf.DUMMYFUNCTION("""COMPUTED_VALUE"""),"120225366947220694")</f>
        <v>120225366947220694</v>
      </c>
      <c r="C11" s="119" t="str">
        <f ca="1">IFERROR(__xludf.DUMMYFUNCTION("""COMPUTED_VALUE"""),"LPK ERBANSA AKADEMI")</f>
        <v>LPK ERBANSA AKADEMI</v>
      </c>
      <c r="D11" s="120" t="str">
        <f ca="1">IFERROR(__xludf.DUMMYFUNCTION("""COMPUTED_VALUE"""),"https://wa.me/6282226594414")</f>
        <v>https://wa.me/6282226594414</v>
      </c>
      <c r="E11" s="121" t="str">
        <f ca="1">IFERROR(__xludf.DUMMYFUNCTION("""COMPUTED_VALUE"""),"6282226594414")</f>
        <v>6282226594414</v>
      </c>
      <c r="F11" s="121">
        <f ca="1">IFERROR(__xludf.DUMMYFUNCTION("""COMPUTED_VALUE"""),1044)</f>
        <v>1044</v>
      </c>
      <c r="G11" s="121">
        <f ca="1">IFERROR(__xludf.DUMMYFUNCTION("""COMPUTED_VALUE"""),12230)</f>
        <v>12230</v>
      </c>
      <c r="H11" s="122">
        <f ca="1">IFERROR(__xludf.DUMMYFUNCTION("""COMPUTED_VALUE"""),1)</f>
        <v>1</v>
      </c>
      <c r="I11" s="123">
        <f ca="1">IFERROR(__xludf.DUMMYFUNCTION("""COMPUTED_VALUE"""),13954)</f>
        <v>13954</v>
      </c>
      <c r="J11" s="124">
        <f ca="1">IFERROR(__xludf.DUMMYFUNCTION("""COMPUTED_VALUE"""),13954)</f>
        <v>13954</v>
      </c>
      <c r="K11" s="125">
        <f ca="1">IFERROR(__xludf.DUMMYFUNCTION("""COMPUTED_VALUE"""),0.930266666666666)</f>
        <v>0.93026666666666602</v>
      </c>
      <c r="L11" s="126" t="str">
        <f ca="1"/>
        <v>Wiris Variasi</v>
      </c>
      <c r="M11" s="118"/>
      <c r="N11" s="127"/>
      <c r="O11" s="127"/>
      <c r="P11" s="127"/>
      <c r="Q11" s="127"/>
      <c r="R11" s="127"/>
      <c r="S11" s="127"/>
      <c r="T11" s="127"/>
      <c r="U11" s="127"/>
      <c r="V11" s="127"/>
      <c r="W11" s="127"/>
      <c r="X11" s="127"/>
      <c r="Y11" s="127"/>
      <c r="Z11" s="127"/>
      <c r="AA11" s="127"/>
    </row>
    <row r="12" spans="1:27">
      <c r="A12" s="118">
        <f ca="1">IFERROR(__xludf.DUMMYFUNCTION("""COMPUTED_VALUE"""),174904221976312)</f>
        <v>174904221976312</v>
      </c>
      <c r="B12" s="118" t="str">
        <f ca="1">IFERROR(__xludf.DUMMYFUNCTION("""COMPUTED_VALUE"""),"120225575002440694")</f>
        <v>120225575002440694</v>
      </c>
      <c r="C12" s="119" t="str">
        <f ca="1">IFERROR(__xludf.DUMMYFUNCTION("""COMPUTED_VALUE"""),"Toko Emas Sembiring")</f>
        <v>Toko Emas Sembiring</v>
      </c>
      <c r="D12" s="120" t="str">
        <f ca="1">IFERROR(__xludf.DUMMYFUNCTION("""COMPUTED_VALUE"""),"https://wa.me/6281263113266")</f>
        <v>https://wa.me/6281263113266</v>
      </c>
      <c r="E12" s="121" t="str">
        <f ca="1">IFERROR(__xludf.DUMMYFUNCTION("""COMPUTED_VALUE"""),"6281263113266")</f>
        <v>6281263113266</v>
      </c>
      <c r="F12" s="121">
        <f ca="1">IFERROR(__xludf.DUMMYFUNCTION("""COMPUTED_VALUE"""),54922)</f>
        <v>54922</v>
      </c>
      <c r="G12" s="121">
        <f ca="1">IFERROR(__xludf.DUMMYFUNCTION("""COMPUTED_VALUE"""),9905.47222222222)</f>
        <v>9905.4722222222208</v>
      </c>
      <c r="H12" s="122">
        <f ca="1">IFERROR(__xludf.DUMMYFUNCTION("""COMPUTED_VALUE"""),148)</f>
        <v>148</v>
      </c>
      <c r="I12" s="123">
        <f ca="1">IFERROR(__xludf.DUMMYFUNCTION("""COMPUTED_VALUE"""),595465)</f>
        <v>595465</v>
      </c>
      <c r="J12" s="124">
        <f ca="1">IFERROR(__xludf.DUMMYFUNCTION("""COMPUTED_VALUE"""),4023.41216216216)</f>
        <v>4023.4121621621598</v>
      </c>
      <c r="K12" s="125">
        <f ca="1">IFERROR(__xludf.DUMMYFUNCTION("""COMPUTED_VALUE"""),39.6976666666666)</f>
        <v>39.697666666666599</v>
      </c>
      <c r="L12" s="126" t="str">
        <f ca="1"/>
        <v>Wiris Variasi</v>
      </c>
      <c r="M12" s="118"/>
      <c r="N12" s="127"/>
      <c r="O12" s="127"/>
      <c r="P12" s="127"/>
      <c r="Q12" s="127"/>
      <c r="R12" s="127"/>
      <c r="S12" s="127"/>
      <c r="T12" s="127"/>
      <c r="U12" s="127"/>
      <c r="V12" s="127"/>
      <c r="W12" s="127"/>
      <c r="X12" s="127"/>
      <c r="Y12" s="127"/>
      <c r="Z12" s="127"/>
      <c r="AA12" s="127"/>
    </row>
    <row r="13" spans="1:27">
      <c r="A13" s="118">
        <f ca="1">IFERROR(__xludf.DUMMYFUNCTION("""COMPUTED_VALUE"""),174904221976312)</f>
        <v>174904221976312</v>
      </c>
      <c r="B13" s="118" t="str">
        <f ca="1">IFERROR(__xludf.DUMMYFUNCTION("""COMPUTED_VALUE"""),"120225711165240694")</f>
        <v>120225711165240694</v>
      </c>
      <c r="C13" s="119" t="str">
        <f ca="1">IFERROR(__xludf.DUMMYFUNCTION("""COMPUTED_VALUE"""),"Bang Banten")</f>
        <v>Bang Banten</v>
      </c>
      <c r="D13" s="120" t="str">
        <f ca="1">IFERROR(__xludf.DUMMYFUNCTION("""COMPUTED_VALUE"""),"https://wa.me/6282172291579")</f>
        <v>https://wa.me/6282172291579</v>
      </c>
      <c r="E13" s="121" t="str">
        <f ca="1">IFERROR(__xludf.DUMMYFUNCTION("""COMPUTED_VALUE"""),"6282172291579")</f>
        <v>6282172291579</v>
      </c>
      <c r="F13" s="121">
        <f ca="1">IFERROR(__xludf.DUMMYFUNCTION("""COMPUTED_VALUE"""),22838)</f>
        <v>22838</v>
      </c>
      <c r="G13" s="121">
        <f ca="1">IFERROR(__xludf.DUMMYFUNCTION("""COMPUTED_VALUE"""),15965.2258064516)</f>
        <v>15965.225806451601</v>
      </c>
      <c r="H13" s="122">
        <f ca="1">IFERROR(__xludf.DUMMYFUNCTION("""COMPUTED_VALUE"""),136)</f>
        <v>136</v>
      </c>
      <c r="I13" s="123">
        <f ca="1">IFERROR(__xludf.DUMMYFUNCTION("""COMPUTED_VALUE"""),413378)</f>
        <v>413378</v>
      </c>
      <c r="J13" s="124">
        <f ca="1">IFERROR(__xludf.DUMMYFUNCTION("""COMPUTED_VALUE"""),3039.54411764705)</f>
        <v>3039.5441176470499</v>
      </c>
      <c r="K13" s="125">
        <f ca="1">IFERROR(__xludf.DUMMYFUNCTION("""COMPUTED_VALUE"""),27.5585333333333)</f>
        <v>27.558533333333301</v>
      </c>
      <c r="L13" s="126" t="str">
        <f ca="1"/>
        <v>Wiris Variasi</v>
      </c>
      <c r="M13" s="118"/>
      <c r="N13" s="127"/>
      <c r="O13" s="127"/>
      <c r="P13" s="127"/>
      <c r="Q13" s="127"/>
      <c r="R13" s="127"/>
      <c r="S13" s="127"/>
      <c r="T13" s="127"/>
      <c r="U13" s="127"/>
      <c r="V13" s="127"/>
      <c r="W13" s="127"/>
      <c r="X13" s="127"/>
      <c r="Y13" s="127"/>
      <c r="Z13" s="127"/>
      <c r="AA13" s="127"/>
    </row>
    <row r="14" spans="1:27">
      <c r="A14" s="118">
        <f ca="1">IFERROR(__xludf.DUMMYFUNCTION("""COMPUTED_VALUE"""),174904221976312)</f>
        <v>174904221976312</v>
      </c>
      <c r="B14" s="118" t="str">
        <f ca="1">IFERROR(__xludf.DUMMYFUNCTION("""COMPUTED_VALUE"""),"120225732456000694")</f>
        <v>120225732456000694</v>
      </c>
      <c r="C14" s="119" t="str">
        <f ca="1">IFERROR(__xludf.DUMMYFUNCTION("""COMPUTED_VALUE"""),"Aurora Teknik")</f>
        <v>Aurora Teknik</v>
      </c>
      <c r="D14" s="120" t="str">
        <f ca="1">IFERROR(__xludf.DUMMYFUNCTION("""COMPUTED_VALUE"""),"https://wa.me/6285376667233")</f>
        <v>https://wa.me/6285376667233</v>
      </c>
      <c r="E14" s="121" t="str">
        <f ca="1">IFERROR(__xludf.DUMMYFUNCTION("""COMPUTED_VALUE"""),"6285376667233")</f>
        <v>6285376667233</v>
      </c>
      <c r="F14" s="121">
        <f ca="1">IFERROR(__xludf.DUMMYFUNCTION("""COMPUTED_VALUE"""),40889)</f>
        <v>40889</v>
      </c>
      <c r="G14" s="121">
        <f ca="1">IFERROR(__xludf.DUMMYFUNCTION("""COMPUTED_VALUE"""),11906.9)</f>
        <v>11906.9</v>
      </c>
      <c r="H14" s="122">
        <f ca="1">IFERROR(__xludf.DUMMYFUNCTION("""COMPUTED_VALUE"""),149)</f>
        <v>149</v>
      </c>
      <c r="I14" s="123">
        <f ca="1">IFERROR(__xludf.DUMMYFUNCTION("""COMPUTED_VALUE"""),518434)</f>
        <v>518434</v>
      </c>
      <c r="J14" s="124">
        <f ca="1">IFERROR(__xludf.DUMMYFUNCTION("""COMPUTED_VALUE"""),3479.42281879194)</f>
        <v>3479.4228187919398</v>
      </c>
      <c r="K14" s="125">
        <f ca="1">IFERROR(__xludf.DUMMYFUNCTION("""COMPUTED_VALUE"""),34.5622666666666)</f>
        <v>34.562266666666602</v>
      </c>
      <c r="L14" s="126" t="str">
        <f ca="1"/>
        <v>Wiris Variasi</v>
      </c>
      <c r="M14" s="118"/>
      <c r="N14" s="127"/>
      <c r="O14" s="127"/>
      <c r="P14" s="127"/>
      <c r="Q14" s="127"/>
      <c r="R14" s="127"/>
      <c r="S14" s="127"/>
      <c r="T14" s="127"/>
      <c r="U14" s="127"/>
      <c r="V14" s="127"/>
      <c r="W14" s="127"/>
      <c r="X14" s="127"/>
      <c r="Y14" s="127"/>
      <c r="Z14" s="127"/>
      <c r="AA14" s="127"/>
    </row>
    <row r="15" spans="1:27">
      <c r="A15" s="118">
        <f ca="1">IFERROR(__xludf.DUMMYFUNCTION("""COMPUTED_VALUE"""),174904221976312)</f>
        <v>174904221976312</v>
      </c>
      <c r="B15" s="118" t="str">
        <f ca="1">IFERROR(__xludf.DUMMYFUNCTION("""COMPUTED_VALUE"""),"120225732846460694")</f>
        <v>120225732846460694</v>
      </c>
      <c r="C15" s="119" t="str">
        <f ca="1">IFERROR(__xludf.DUMMYFUNCTION("""COMPUTED_VALUE"""),"SMA Madina")</f>
        <v>SMA Madina</v>
      </c>
      <c r="D15" s="120" t="str">
        <f ca="1">IFERROR(__xludf.DUMMYFUNCTION("""COMPUTED_VALUE"""),"https://wa.me/6281348555887")</f>
        <v>https://wa.me/6281348555887</v>
      </c>
      <c r="E15" s="121" t="str">
        <f ca="1">IFERROR(__xludf.DUMMYFUNCTION("""COMPUTED_VALUE"""),"6281348555887")</f>
        <v>6281348555887</v>
      </c>
      <c r="F15" s="121">
        <f ca="1">IFERROR(__xludf.DUMMYFUNCTION("""COMPUTED_VALUE"""),40205)</f>
        <v>40205</v>
      </c>
      <c r="G15" s="121">
        <f ca="1">IFERROR(__xludf.DUMMYFUNCTION("""COMPUTED_VALUE"""),11443.9268292682)</f>
        <v>11443.926829268201</v>
      </c>
      <c r="H15" s="122">
        <f ca="1">IFERROR(__xludf.DUMMYFUNCTION("""COMPUTED_VALUE"""),40)</f>
        <v>40</v>
      </c>
      <c r="I15" s="123">
        <f ca="1">IFERROR(__xludf.DUMMYFUNCTION("""COMPUTED_VALUE"""),499867)</f>
        <v>499867</v>
      </c>
      <c r="J15" s="124">
        <f ca="1">IFERROR(__xludf.DUMMYFUNCTION("""COMPUTED_VALUE"""),12496.675)</f>
        <v>12496.674999999999</v>
      </c>
      <c r="K15" s="125">
        <f ca="1">IFERROR(__xludf.DUMMYFUNCTION("""COMPUTED_VALUE"""),33.3244666666666)</f>
        <v>33.324466666666602</v>
      </c>
      <c r="L15" s="126" t="str">
        <f ca="1"/>
        <v>Wiris Variasi</v>
      </c>
      <c r="M15" s="118"/>
      <c r="N15" s="127"/>
      <c r="O15" s="127"/>
      <c r="P15" s="127"/>
      <c r="Q15" s="127"/>
      <c r="R15" s="127"/>
      <c r="S15" s="127"/>
      <c r="T15" s="127"/>
      <c r="U15" s="127"/>
      <c r="V15" s="127"/>
      <c r="W15" s="127"/>
      <c r="X15" s="127"/>
      <c r="Y15" s="127"/>
      <c r="Z15" s="127"/>
      <c r="AA15" s="127"/>
    </row>
    <row r="16" spans="1:27">
      <c r="A16" s="118">
        <f ca="1">IFERROR(__xludf.DUMMYFUNCTION("""COMPUTED_VALUE"""),174904221976312)</f>
        <v>174904221976312</v>
      </c>
      <c r="B16" s="118" t="str">
        <f ca="1">IFERROR(__xludf.DUMMYFUNCTION("""COMPUTED_VALUE"""),"120225924609850694")</f>
        <v>120225924609850694</v>
      </c>
      <c r="C16" s="119" t="str">
        <f ca="1">IFERROR(__xludf.DUMMYFUNCTION("""COMPUTED_VALUE"""),"Amanah Interior")</f>
        <v>Amanah Interior</v>
      </c>
      <c r="D16" s="120" t="str">
        <f ca="1">IFERROR(__xludf.DUMMYFUNCTION("""COMPUTED_VALUE"""),"https://wa.me/6282183184641")</f>
        <v>https://wa.me/6282183184641</v>
      </c>
      <c r="E16" s="121" t="str">
        <f ca="1">IFERROR(__xludf.DUMMYFUNCTION("""COMPUTED_VALUE"""),"6282183184641")</f>
        <v>6282183184641</v>
      </c>
      <c r="F16" s="121">
        <f ca="1">IFERROR(__xludf.DUMMYFUNCTION("""COMPUTED_VALUE"""),15490)</f>
        <v>15490</v>
      </c>
      <c r="G16" s="121">
        <f ca="1">IFERROR(__xludf.DUMMYFUNCTION("""COMPUTED_VALUE"""),16869.5714285714)</f>
        <v>16869.571428571398</v>
      </c>
      <c r="H16" s="122">
        <f ca="1">IFERROR(__xludf.DUMMYFUNCTION("""COMPUTED_VALUE"""),43)</f>
        <v>43</v>
      </c>
      <c r="I16" s="123">
        <f ca="1">IFERROR(__xludf.DUMMYFUNCTION("""COMPUTED_VALUE"""),267617)</f>
        <v>267617</v>
      </c>
      <c r="J16" s="124">
        <f ca="1">IFERROR(__xludf.DUMMYFUNCTION("""COMPUTED_VALUE"""),6223.65116279069)</f>
        <v>6223.6511627906903</v>
      </c>
      <c r="K16" s="125">
        <f ca="1">IFERROR(__xludf.DUMMYFUNCTION("""COMPUTED_VALUE"""),17.8411333333333)</f>
        <v>17.8411333333333</v>
      </c>
      <c r="L16" s="126" t="str">
        <f ca="1"/>
        <v>Wiris Variasi</v>
      </c>
      <c r="M16" s="118"/>
      <c r="N16" s="127"/>
      <c r="O16" s="127"/>
      <c r="P16" s="127"/>
      <c r="Q16" s="127"/>
      <c r="R16" s="127"/>
      <c r="S16" s="127"/>
      <c r="T16" s="127"/>
      <c r="U16" s="127"/>
      <c r="V16" s="127"/>
      <c r="W16" s="127"/>
      <c r="X16" s="127"/>
      <c r="Y16" s="127"/>
      <c r="Z16" s="127"/>
      <c r="AA16" s="127"/>
    </row>
    <row r="17" spans="1:27">
      <c r="A17" s="118">
        <f ca="1">IFERROR(__xludf.DUMMYFUNCTION("""COMPUTED_VALUE"""),174904221976312)</f>
        <v>174904221976312</v>
      </c>
      <c r="B17" s="118" t="str">
        <f ca="1">IFERROR(__xludf.DUMMYFUNCTION("""COMPUTED_VALUE"""),"120225943524550694")</f>
        <v>120225943524550694</v>
      </c>
      <c r="C17" s="119" t="str">
        <f ca="1">IFERROR(__xludf.DUMMYFUNCTION("""COMPUTED_VALUE"""),"Dapur Florist")</f>
        <v>Dapur Florist</v>
      </c>
      <c r="D17" s="120" t="str">
        <f ca="1">IFERROR(__xludf.DUMMYFUNCTION("""COMPUTED_VALUE"""),"https://wa.me/6281399998259")</f>
        <v>https://wa.me/6281399998259</v>
      </c>
      <c r="E17" s="121" t="str">
        <f ca="1">IFERROR(__xludf.DUMMYFUNCTION("""COMPUTED_VALUE"""),"6281399998259")</f>
        <v>6281399998259</v>
      </c>
      <c r="F17" s="121">
        <f ca="1">IFERROR(__xludf.DUMMYFUNCTION("""COMPUTED_VALUE"""),7732)</f>
        <v>7732</v>
      </c>
      <c r="G17" s="121">
        <f ca="1">IFERROR(__xludf.DUMMYFUNCTION("""COMPUTED_VALUE"""),12155.7)</f>
        <v>12155.7</v>
      </c>
      <c r="H17" s="122">
        <f ca="1">IFERROR(__xludf.DUMMYFUNCTION("""COMPUTED_VALUE"""),4)</f>
        <v>4</v>
      </c>
      <c r="I17" s="123">
        <f ca="1">IFERROR(__xludf.DUMMYFUNCTION("""COMPUTED_VALUE"""),94583)</f>
        <v>94583</v>
      </c>
      <c r="J17" s="124">
        <f ca="1">IFERROR(__xludf.DUMMYFUNCTION("""COMPUTED_VALUE"""),23645.75)</f>
        <v>23645.75</v>
      </c>
      <c r="K17" s="125">
        <f ca="1">IFERROR(__xludf.DUMMYFUNCTION("""COMPUTED_VALUE"""),6.30553333333333)</f>
        <v>6.3055333333333303</v>
      </c>
      <c r="L17" s="126" t="str">
        <f ca="1"/>
        <v>Wiris Variasi</v>
      </c>
      <c r="M17" s="118"/>
      <c r="N17" s="127"/>
      <c r="O17" s="127"/>
      <c r="P17" s="127"/>
      <c r="Q17" s="127"/>
      <c r="R17" s="127"/>
      <c r="S17" s="127"/>
      <c r="T17" s="127"/>
      <c r="U17" s="127"/>
      <c r="V17" s="127"/>
      <c r="W17" s="127"/>
      <c r="X17" s="127"/>
      <c r="Y17" s="127"/>
      <c r="Z17" s="127"/>
      <c r="AA17" s="127"/>
    </row>
    <row r="18" spans="1:27">
      <c r="A18" s="118">
        <f ca="1">IFERROR(__xludf.DUMMYFUNCTION("""COMPUTED_VALUE"""),174904221976312)</f>
        <v>174904221976312</v>
      </c>
      <c r="B18" s="118" t="str">
        <f ca="1">IFERROR(__xludf.DUMMYFUNCTION("""COMPUTED_VALUE"""),"120225980267140694")</f>
        <v>120225980267140694</v>
      </c>
      <c r="C18" s="119" t="str">
        <f ca="1">IFERROR(__xludf.DUMMYFUNCTION("""COMPUTED_VALUE"""),"Icad Interior")</f>
        <v>Icad Interior</v>
      </c>
      <c r="D18" s="120" t="str">
        <f ca="1">IFERROR(__xludf.DUMMYFUNCTION("""COMPUTED_VALUE"""),"https://wa.me/6285211510282")</f>
        <v>https://wa.me/6285211510282</v>
      </c>
      <c r="E18" s="121" t="str">
        <f ca="1">IFERROR(__xludf.DUMMYFUNCTION("""COMPUTED_VALUE"""),"6285211510282")</f>
        <v>6285211510282</v>
      </c>
      <c r="F18" s="121">
        <f ca="1">IFERROR(__xludf.DUMMYFUNCTION("""COMPUTED_VALUE"""),964)</f>
        <v>964</v>
      </c>
      <c r="G18" s="121">
        <f ca="1">IFERROR(__xludf.DUMMYFUNCTION("""COMPUTED_VALUE"""),47534)</f>
        <v>47534</v>
      </c>
      <c r="H18" s="122">
        <f ca="1">IFERROR(__xludf.DUMMYFUNCTION("""COMPUTED_VALUE"""),0)</f>
        <v>0</v>
      </c>
      <c r="I18" s="123">
        <f ca="1">IFERROR(__xludf.DUMMYFUNCTION("""COMPUTED_VALUE"""),49868)</f>
        <v>49868</v>
      </c>
      <c r="J18" s="124"/>
      <c r="K18" s="125">
        <f ca="1">IFERROR(__xludf.DUMMYFUNCTION("""COMPUTED_VALUE"""),3.32453333333333)</f>
        <v>3.32453333333333</v>
      </c>
      <c r="L18" s="126" t="str">
        <f ca="1"/>
        <v>Wiris Variasi</v>
      </c>
      <c r="M18" s="118"/>
      <c r="N18" s="127"/>
      <c r="O18" s="127"/>
      <c r="P18" s="127"/>
      <c r="Q18" s="127"/>
      <c r="R18" s="127"/>
      <c r="S18" s="127"/>
      <c r="T18" s="127"/>
      <c r="U18" s="127"/>
      <c r="V18" s="127"/>
      <c r="W18" s="127"/>
      <c r="X18" s="127"/>
      <c r="Y18" s="127"/>
      <c r="Z18" s="127"/>
      <c r="AA18" s="127"/>
    </row>
    <row r="19" spans="1:27">
      <c r="A19" s="118">
        <f ca="1">IFERROR(__xludf.DUMMYFUNCTION("""COMPUTED_VALUE"""),174904221976312)</f>
        <v>174904221976312</v>
      </c>
      <c r="B19" s="118" t="str">
        <f ca="1">IFERROR(__xludf.DUMMYFUNCTION("""COMPUTED_VALUE"""),"120226032160860694")</f>
        <v>120226032160860694</v>
      </c>
      <c r="C19" s="119" t="str">
        <f ca="1">IFERROR(__xludf.DUMMYFUNCTION("""COMPUTED_VALUE"""),"EPE Plavon")</f>
        <v>EPE Plavon</v>
      </c>
      <c r="D19" s="121"/>
      <c r="E19" s="121"/>
      <c r="F19" s="121">
        <f ca="1">IFERROR(__xludf.DUMMYFUNCTION("""COMPUTED_VALUE"""),19153)</f>
        <v>19153</v>
      </c>
      <c r="G19" s="121">
        <f ca="1">IFERROR(__xludf.DUMMYFUNCTION("""COMPUTED_VALUE"""),8576.64285714285)</f>
        <v>8576.6428571428496</v>
      </c>
      <c r="H19" s="122">
        <f ca="1">IFERROR(__xludf.DUMMYFUNCTION("""COMPUTED_VALUE"""),91)</f>
        <v>91</v>
      </c>
      <c r="I19" s="123">
        <f ca="1">IFERROR(__xludf.DUMMYFUNCTION("""COMPUTED_VALUE"""),187713)</f>
        <v>187713</v>
      </c>
      <c r="J19" s="124">
        <f ca="1">IFERROR(__xludf.DUMMYFUNCTION("""COMPUTED_VALUE"""),2062.78021978022)</f>
        <v>2062.7802197802198</v>
      </c>
      <c r="K19" s="125">
        <f ca="1">IFERROR(__xludf.DUMMYFUNCTION("""COMPUTED_VALUE"""),12.5142)</f>
        <v>12.514200000000001</v>
      </c>
      <c r="L19" s="126" t="str">
        <f ca="1"/>
        <v>Wiris Variasi</v>
      </c>
      <c r="M19" s="118"/>
      <c r="N19" s="127"/>
      <c r="O19" s="127"/>
      <c r="P19" s="127"/>
      <c r="Q19" s="127"/>
      <c r="R19" s="127"/>
      <c r="S19" s="127"/>
      <c r="T19" s="127"/>
      <c r="U19" s="127"/>
      <c r="V19" s="127"/>
      <c r="W19" s="127"/>
      <c r="X19" s="127"/>
      <c r="Y19" s="127"/>
      <c r="Z19" s="127"/>
      <c r="AA19" s="127"/>
    </row>
    <row r="20" spans="1:27">
      <c r="A20" s="118">
        <f ca="1">IFERROR(__xludf.DUMMYFUNCTION("""COMPUTED_VALUE"""),174904221976312)</f>
        <v>174904221976312</v>
      </c>
      <c r="B20" s="118" t="str">
        <f ca="1">IFERROR(__xludf.DUMMYFUNCTION("""COMPUTED_VALUE"""),"120226052237140694")</f>
        <v>120226052237140694</v>
      </c>
      <c r="C20" s="119" t="str">
        <f ca="1">IFERROR(__xludf.DUMMYFUNCTION("""COMPUTED_VALUE"""),"Umam daffa")</f>
        <v>Umam daffa</v>
      </c>
      <c r="D20" s="121"/>
      <c r="E20" s="121"/>
      <c r="F20" s="121">
        <f ca="1">IFERROR(__xludf.DUMMYFUNCTION("""COMPUTED_VALUE"""),1259)</f>
        <v>1259</v>
      </c>
      <c r="G20" s="121">
        <f ca="1">IFERROR(__xludf.DUMMYFUNCTION("""COMPUTED_VALUE"""),44377.4)</f>
        <v>44377.4</v>
      </c>
      <c r="H20" s="122">
        <f ca="1">IFERROR(__xludf.DUMMYFUNCTION("""COMPUTED_VALUE"""),5)</f>
        <v>5</v>
      </c>
      <c r="I20" s="123">
        <f ca="1">IFERROR(__xludf.DUMMYFUNCTION("""COMPUTED_VALUE"""),53318)</f>
        <v>53318</v>
      </c>
      <c r="J20" s="124">
        <f ca="1">IFERROR(__xludf.DUMMYFUNCTION("""COMPUTED_VALUE"""),10663.6)</f>
        <v>10663.6</v>
      </c>
      <c r="K20" s="125">
        <f ca="1">IFERROR(__xludf.DUMMYFUNCTION("""COMPUTED_VALUE"""),3.55453333333333)</f>
        <v>3.55453333333333</v>
      </c>
      <c r="L20" s="126" t="str">
        <f ca="1"/>
        <v>Wiris Variasi</v>
      </c>
      <c r="M20" s="118"/>
      <c r="N20" s="127"/>
      <c r="O20" s="127"/>
      <c r="P20" s="127"/>
      <c r="Q20" s="127"/>
      <c r="R20" s="127"/>
      <c r="S20" s="127"/>
      <c r="T20" s="127"/>
      <c r="U20" s="127"/>
      <c r="V20" s="127"/>
      <c r="W20" s="127"/>
      <c r="X20" s="127"/>
      <c r="Y20" s="127"/>
      <c r="Z20" s="127"/>
      <c r="AA20" s="127"/>
    </row>
    <row r="21" spans="1:27">
      <c r="A21" s="118">
        <f ca="1">IFERROR(__xludf.DUMMYFUNCTION("""COMPUTED_VALUE"""),174904221976312)</f>
        <v>174904221976312</v>
      </c>
      <c r="B21" s="118" t="str">
        <f ca="1">IFERROR(__xludf.DUMMYFUNCTION("""COMPUTED_VALUE"""),"120226089458750694")</f>
        <v>120226089458750694</v>
      </c>
      <c r="C21" s="119" t="str">
        <f ca="1">IFERROR(__xludf.DUMMYFUNCTION("""COMPUTED_VALUE"""),"Griya rias")</f>
        <v>Griya rias</v>
      </c>
      <c r="D21" s="121"/>
      <c r="E21" s="121"/>
      <c r="F21" s="121">
        <f ca="1">IFERROR(__xludf.DUMMYFUNCTION("""COMPUTED_VALUE"""),1521)</f>
        <v>1521</v>
      </c>
      <c r="G21" s="121">
        <f ca="1">IFERROR(__xludf.DUMMYFUNCTION("""COMPUTED_VALUE"""),22208)</f>
        <v>22208</v>
      </c>
      <c r="H21" s="122">
        <f ca="1">IFERROR(__xludf.DUMMYFUNCTION("""COMPUTED_VALUE"""),0)</f>
        <v>0</v>
      </c>
      <c r="I21" s="123">
        <f ca="1">IFERROR(__xludf.DUMMYFUNCTION("""COMPUTED_VALUE"""),38479)</f>
        <v>38479</v>
      </c>
      <c r="J21" s="124"/>
      <c r="K21" s="125">
        <f ca="1">IFERROR(__xludf.DUMMYFUNCTION("""COMPUTED_VALUE"""),2.56526666666666)</f>
        <v>2.5652666666666599</v>
      </c>
      <c r="L21" s="126" t="str">
        <f ca="1"/>
        <v>Wiris Variasi</v>
      </c>
      <c r="M21" s="118"/>
      <c r="N21" s="127"/>
      <c r="O21" s="127"/>
      <c r="P21" s="127"/>
      <c r="Q21" s="127"/>
      <c r="R21" s="127"/>
      <c r="S21" s="127"/>
      <c r="T21" s="127"/>
      <c r="U21" s="127"/>
      <c r="V21" s="127"/>
      <c r="W21" s="127"/>
      <c r="X21" s="127"/>
      <c r="Y21" s="127"/>
      <c r="Z21" s="127"/>
      <c r="AA21" s="127"/>
    </row>
    <row r="22" spans="1:27">
      <c r="A22" s="118">
        <f ca="1">IFERROR(__xludf.DUMMYFUNCTION("""COMPUTED_VALUE"""),174904221976312)</f>
        <v>174904221976312</v>
      </c>
      <c r="B22" s="118" t="str">
        <f ca="1">IFERROR(__xludf.DUMMYFUNCTION("""COMPUTED_VALUE"""),"120226351656870694")</f>
        <v>120226351656870694</v>
      </c>
      <c r="C22" s="119" t="str">
        <f ca="1">IFERROR(__xludf.DUMMYFUNCTION("""COMPUTED_VALUE"""),"Rodrimar Aifunan Fresku")</f>
        <v>Rodrimar Aifunan Fresku</v>
      </c>
      <c r="D22" s="121"/>
      <c r="E22" s="121"/>
      <c r="F22" s="121">
        <f ca="1">IFERROR(__xludf.DUMMYFUNCTION("""COMPUTED_VALUE"""),85250)</f>
        <v>85250</v>
      </c>
      <c r="G22" s="121">
        <f ca="1">IFERROR(__xludf.DUMMYFUNCTION("""COMPUTED_VALUE"""),2671.94117647058)</f>
        <v>2671.9411764705801</v>
      </c>
      <c r="H22" s="122">
        <f ca="1">IFERROR(__xludf.DUMMYFUNCTION("""COMPUTED_VALUE"""),42)</f>
        <v>42</v>
      </c>
      <c r="I22" s="123">
        <f ca="1">IFERROR(__xludf.DUMMYFUNCTION("""COMPUTED_VALUE"""),254178)</f>
        <v>254178</v>
      </c>
      <c r="J22" s="124">
        <f ca="1">IFERROR(__xludf.DUMMYFUNCTION("""COMPUTED_VALUE"""),6051.85714285714)</f>
        <v>6051.8571428571404</v>
      </c>
      <c r="K22" s="125">
        <f ca="1">IFERROR(__xludf.DUMMYFUNCTION("""COMPUTED_VALUE"""),16.9452)</f>
        <v>16.9452</v>
      </c>
      <c r="L22" s="126" t="str">
        <f ca="1"/>
        <v>Wiris Variasi</v>
      </c>
      <c r="M22" s="118"/>
      <c r="N22" s="127"/>
      <c r="O22" s="127"/>
      <c r="P22" s="127"/>
      <c r="Q22" s="127"/>
      <c r="R22" s="127"/>
      <c r="S22" s="127"/>
      <c r="T22" s="127"/>
      <c r="U22" s="127"/>
      <c r="V22" s="127"/>
      <c r="W22" s="127"/>
      <c r="X22" s="127"/>
      <c r="Y22" s="127"/>
      <c r="Z22" s="127"/>
      <c r="AA22" s="127"/>
    </row>
    <row r="23" spans="1:27">
      <c r="A23" s="118">
        <f ca="1">IFERROR(__xludf.DUMMYFUNCTION("""COMPUTED_VALUE"""),174904221976312)</f>
        <v>174904221976312</v>
      </c>
      <c r="B23" s="118" t="str">
        <f ca="1">IFERROR(__xludf.DUMMYFUNCTION("""COMPUTED_VALUE"""),"120226351716450694")</f>
        <v>120226351716450694</v>
      </c>
      <c r="C23" s="119" t="str">
        <f ca="1">IFERROR(__xludf.DUMMYFUNCTION("""COMPUTED_VALUE"""),"Toko Emas Sembiring")</f>
        <v>Toko Emas Sembiring</v>
      </c>
      <c r="D23" s="120" t="str">
        <f ca="1">IFERROR(__xludf.DUMMYFUNCTION("""COMPUTED_VALUE"""),"https://wa.me/6281263113266")</f>
        <v>https://wa.me/6281263113266</v>
      </c>
      <c r="E23" s="121" t="str">
        <f ca="1">IFERROR(__xludf.DUMMYFUNCTION("""COMPUTED_VALUE"""),"6281263113266")</f>
        <v>6281263113266</v>
      </c>
      <c r="F23" s="121">
        <f ca="1">IFERROR(__xludf.DUMMYFUNCTION("""COMPUTED_VALUE"""),9175)</f>
        <v>9175</v>
      </c>
      <c r="G23" s="121">
        <f ca="1">IFERROR(__xludf.DUMMYFUNCTION("""COMPUTED_VALUE"""),9771.6)</f>
        <v>9771.6</v>
      </c>
      <c r="H23" s="122">
        <f ca="1">IFERROR(__xludf.DUMMYFUNCTION("""COMPUTED_VALUE"""),29)</f>
        <v>29</v>
      </c>
      <c r="I23" s="123">
        <f ca="1">IFERROR(__xludf.DUMMYFUNCTION("""COMPUTED_VALUE"""),98054)</f>
        <v>98054</v>
      </c>
      <c r="J23" s="124">
        <f ca="1">IFERROR(__xludf.DUMMYFUNCTION("""COMPUTED_VALUE"""),3381.1724137931)</f>
        <v>3381.1724137931001</v>
      </c>
      <c r="K23" s="125">
        <f ca="1">IFERROR(__xludf.DUMMYFUNCTION("""COMPUTED_VALUE"""),6.53693333333333)</f>
        <v>6.5369333333333302</v>
      </c>
      <c r="L23" s="126" t="str">
        <f ca="1"/>
        <v>Wiris Variasi</v>
      </c>
      <c r="M23" s="118"/>
      <c r="N23" s="127"/>
      <c r="O23" s="127"/>
      <c r="P23" s="127"/>
      <c r="Q23" s="127"/>
      <c r="R23" s="127"/>
      <c r="S23" s="127"/>
      <c r="T23" s="127"/>
      <c r="U23" s="127"/>
      <c r="V23" s="127"/>
      <c r="W23" s="127"/>
      <c r="X23" s="127"/>
      <c r="Y23" s="127"/>
      <c r="Z23" s="127"/>
      <c r="AA23" s="127"/>
    </row>
    <row r="24" spans="1:27">
      <c r="A24" s="118">
        <f ca="1">IFERROR(__xludf.DUMMYFUNCTION("""COMPUTED_VALUE"""),174904221976312)</f>
        <v>174904221976312</v>
      </c>
      <c r="B24" s="118" t="str">
        <f ca="1">IFERROR(__xludf.DUMMYFUNCTION("""COMPUTED_VALUE"""),"120226464082810694")</f>
        <v>120226464082810694</v>
      </c>
      <c r="C24" s="119" t="str">
        <f ca="1">IFERROR(__xludf.DUMMYFUNCTION("""COMPUTED_VALUE"""),"Yuzef homestay")</f>
        <v>Yuzef homestay</v>
      </c>
      <c r="D24" s="120" t="str">
        <f ca="1">IFERROR(__xludf.DUMMYFUNCTION("""COMPUTED_VALUE"""),"https://wa.me/628988759290")</f>
        <v>https://wa.me/628988759290</v>
      </c>
      <c r="E24" s="121" t="str">
        <f ca="1">IFERROR(__xludf.DUMMYFUNCTION("""COMPUTED_VALUE"""),"628988759290")</f>
        <v>628988759290</v>
      </c>
      <c r="F24" s="121">
        <f ca="1">IFERROR(__xludf.DUMMYFUNCTION("""COMPUTED_VALUE"""),14147)</f>
        <v>14147</v>
      </c>
      <c r="G24" s="121">
        <f ca="1">IFERROR(__xludf.DUMMYFUNCTION("""COMPUTED_VALUE"""),12380)</f>
        <v>12380</v>
      </c>
      <c r="H24" s="122">
        <f ca="1">IFERROR(__xludf.DUMMYFUNCTION("""COMPUTED_VALUE"""),36)</f>
        <v>36</v>
      </c>
      <c r="I24" s="123">
        <f ca="1">IFERROR(__xludf.DUMMYFUNCTION("""COMPUTED_VALUE"""),220798)</f>
        <v>220798</v>
      </c>
      <c r="J24" s="124">
        <f ca="1">IFERROR(__xludf.DUMMYFUNCTION("""COMPUTED_VALUE"""),6133.27777777777)</f>
        <v>6133.2777777777701</v>
      </c>
      <c r="K24" s="125">
        <f ca="1">IFERROR(__xludf.DUMMYFUNCTION("""COMPUTED_VALUE"""),14.7198666666666)</f>
        <v>14.719866666666601</v>
      </c>
      <c r="L24" s="126" t="str">
        <f ca="1"/>
        <v>Wiris Variasi</v>
      </c>
      <c r="M24" s="118"/>
      <c r="N24" s="127"/>
      <c r="O24" s="127"/>
      <c r="P24" s="127"/>
      <c r="Q24" s="127"/>
      <c r="R24" s="127"/>
      <c r="S24" s="127"/>
      <c r="T24" s="127"/>
      <c r="U24" s="127"/>
      <c r="V24" s="127"/>
      <c r="W24" s="127"/>
      <c r="X24" s="127"/>
      <c r="Y24" s="127"/>
      <c r="Z24" s="127"/>
      <c r="AA24" s="127"/>
    </row>
    <row r="25" spans="1:27">
      <c r="A25" s="118">
        <f ca="1">IFERROR(__xludf.DUMMYFUNCTION("""COMPUTED_VALUE"""),174904221976312)</f>
        <v>174904221976312</v>
      </c>
      <c r="B25" s="118" t="str">
        <f ca="1">IFERROR(__xludf.DUMMYFUNCTION("""COMPUTED_VALUE"""),"120226538247460694")</f>
        <v>120226538247460694</v>
      </c>
      <c r="C25" s="119" t="str">
        <f ca="1">IFERROR(__xludf.DUMMYFUNCTION("""COMPUTED_VALUE"""),"Rosfreb Shop")</f>
        <v>Rosfreb Shop</v>
      </c>
      <c r="D25" s="121"/>
      <c r="E25" s="121"/>
      <c r="F25" s="121">
        <f ca="1">IFERROR(__xludf.DUMMYFUNCTION("""COMPUTED_VALUE"""),35697)</f>
        <v>35697</v>
      </c>
      <c r="G25" s="121">
        <f ca="1">IFERROR(__xludf.DUMMYFUNCTION("""COMPUTED_VALUE"""),3120.1)</f>
        <v>3120.1</v>
      </c>
      <c r="H25" s="122">
        <f ca="1">IFERROR(__xludf.DUMMYFUNCTION("""COMPUTED_VALUE"""),94)</f>
        <v>94</v>
      </c>
      <c r="I25" s="123">
        <f ca="1">IFERROR(__xludf.DUMMYFUNCTION("""COMPUTED_VALUE"""),130111)</f>
        <v>130111</v>
      </c>
      <c r="J25" s="124">
        <f ca="1">IFERROR(__xludf.DUMMYFUNCTION("""COMPUTED_VALUE"""),1384.15957446808)</f>
        <v>1384.1595744680801</v>
      </c>
      <c r="K25" s="125">
        <f ca="1">IFERROR(__xludf.DUMMYFUNCTION("""COMPUTED_VALUE"""),8.67406666666666)</f>
        <v>8.6740666666666595</v>
      </c>
      <c r="L25" s="126" t="str">
        <f ca="1"/>
        <v>Wiris Variasi</v>
      </c>
      <c r="M25" s="118"/>
      <c r="N25" s="127"/>
      <c r="O25" s="127"/>
      <c r="P25" s="127"/>
      <c r="Q25" s="127"/>
      <c r="R25" s="127"/>
      <c r="S25" s="127"/>
      <c r="T25" s="127"/>
      <c r="U25" s="127"/>
      <c r="V25" s="127"/>
      <c r="W25" s="127"/>
      <c r="X25" s="127"/>
      <c r="Y25" s="127"/>
      <c r="Z25" s="127"/>
      <c r="AA25" s="127"/>
    </row>
    <row r="26" spans="1:27">
      <c r="A26" s="118">
        <f ca="1">IFERROR(__xludf.DUMMYFUNCTION("""COMPUTED_VALUE"""),174904221976312)</f>
        <v>174904221976312</v>
      </c>
      <c r="B26" s="118" t="str">
        <f ca="1">IFERROR(__xludf.DUMMYFUNCTION("""COMPUTED_VALUE"""),"120226539786220694")</f>
        <v>120226539786220694</v>
      </c>
      <c r="C26" s="119" t="str">
        <f ca="1">IFERROR(__xludf.DUMMYFUNCTION("""COMPUTED_VALUE"""),"AFIKA DEKORATION")</f>
        <v>AFIKA DEKORATION</v>
      </c>
      <c r="D26" s="120" t="str">
        <f ca="1">IFERROR(__xludf.DUMMYFUNCTION("""COMPUTED_VALUE"""),"https://wa.me/6285864008882")</f>
        <v>https://wa.me/6285864008882</v>
      </c>
      <c r="E26" s="121" t="str">
        <f ca="1">IFERROR(__xludf.DUMMYFUNCTION("""COMPUTED_VALUE"""),"6285864008882")</f>
        <v>6285864008882</v>
      </c>
      <c r="F26" s="121">
        <f ca="1">IFERROR(__xludf.DUMMYFUNCTION("""COMPUTED_VALUE"""),4861)</f>
        <v>4861</v>
      </c>
      <c r="G26" s="121">
        <f ca="1">IFERROR(__xludf.DUMMYFUNCTION("""COMPUTED_VALUE"""),10445.4)</f>
        <v>10445.4</v>
      </c>
      <c r="H26" s="122">
        <f ca="1">IFERROR(__xludf.DUMMYFUNCTION("""COMPUTED_VALUE"""),3)</f>
        <v>3</v>
      </c>
      <c r="I26" s="123">
        <f ca="1">IFERROR(__xludf.DUMMYFUNCTION("""COMPUTED_VALUE"""),58674)</f>
        <v>58674</v>
      </c>
      <c r="J26" s="124">
        <f ca="1">IFERROR(__xludf.DUMMYFUNCTION("""COMPUTED_VALUE"""),19558)</f>
        <v>19558</v>
      </c>
      <c r="K26" s="125">
        <f ca="1">IFERROR(__xludf.DUMMYFUNCTION("""COMPUTED_VALUE"""),3.9116)</f>
        <v>3.9116</v>
      </c>
      <c r="L26" s="126" t="str">
        <f ca="1"/>
        <v>Wiris Variasi</v>
      </c>
      <c r="M26" s="118"/>
      <c r="N26" s="127"/>
      <c r="O26" s="127"/>
      <c r="P26" s="127"/>
      <c r="Q26" s="127"/>
      <c r="R26" s="127"/>
      <c r="S26" s="127"/>
      <c r="T26" s="127"/>
      <c r="U26" s="127"/>
      <c r="V26" s="127"/>
      <c r="W26" s="127"/>
      <c r="X26" s="127"/>
      <c r="Y26" s="127"/>
      <c r="Z26" s="127"/>
      <c r="AA26" s="127"/>
    </row>
    <row r="27" spans="1:27">
      <c r="A27" s="118">
        <f ca="1">IFERROR(__xludf.DUMMYFUNCTION("""COMPUTED_VALUE"""),174904221976312)</f>
        <v>174904221976312</v>
      </c>
      <c r="B27" s="118" t="str">
        <f ca="1">IFERROR(__xludf.DUMMYFUNCTION("""COMPUTED_VALUE"""),"120226642991680694")</f>
        <v>120226642991680694</v>
      </c>
      <c r="C27" s="119" t="str">
        <f ca="1">IFERROR(__xludf.DUMMYFUNCTION("""COMPUTED_VALUE"""),"Rahma Gallery")</f>
        <v>Rahma Gallery</v>
      </c>
      <c r="D27" s="121"/>
      <c r="E27" s="121"/>
      <c r="F27" s="121">
        <f ca="1">IFERROR(__xludf.DUMMYFUNCTION("""COMPUTED_VALUE"""),73177)</f>
        <v>73177</v>
      </c>
      <c r="G27" s="121">
        <f ca="1">IFERROR(__xludf.DUMMYFUNCTION("""COMPUTED_VALUE"""),1178.14285714285)</f>
        <v>1178.1428571428501</v>
      </c>
      <c r="H27" s="122">
        <f ca="1">IFERROR(__xludf.DUMMYFUNCTION("""COMPUTED_VALUE"""),0)</f>
        <v>0</v>
      </c>
      <c r="I27" s="123">
        <f ca="1">IFERROR(__xludf.DUMMYFUNCTION("""COMPUTED_VALUE"""),87817)</f>
        <v>87817</v>
      </c>
      <c r="J27" s="124"/>
      <c r="K27" s="125">
        <f ca="1">IFERROR(__xludf.DUMMYFUNCTION("""COMPUTED_VALUE"""),5.85446666666666)</f>
        <v>5.85446666666666</v>
      </c>
      <c r="L27" s="126" t="str">
        <f ca="1"/>
        <v>Wiris Variasi</v>
      </c>
      <c r="M27" s="118"/>
      <c r="N27" s="127"/>
      <c r="O27" s="127"/>
      <c r="P27" s="127"/>
      <c r="Q27" s="127"/>
      <c r="R27" s="127"/>
      <c r="S27" s="127"/>
      <c r="T27" s="127"/>
      <c r="U27" s="127"/>
      <c r="V27" s="127"/>
      <c r="W27" s="127"/>
      <c r="X27" s="127"/>
      <c r="Y27" s="127"/>
      <c r="Z27" s="127"/>
      <c r="AA27" s="127"/>
    </row>
    <row r="28" spans="1:27">
      <c r="A28" s="118">
        <f ca="1">IFERROR(__xludf.DUMMYFUNCTION("""COMPUTED_VALUE"""),174904221976312)</f>
        <v>174904221976312</v>
      </c>
      <c r="B28" s="118" t="str">
        <f ca="1">IFERROR(__xludf.DUMMYFUNCTION("""COMPUTED_VALUE"""),"120226804141930694")</f>
        <v>120226804141930694</v>
      </c>
      <c r="C28" s="119" t="str">
        <f ca="1">IFERROR(__xludf.DUMMYFUNCTION("""COMPUTED_VALUE"""),"Suzuki Mamuju")</f>
        <v>Suzuki Mamuju</v>
      </c>
      <c r="D28" s="120" t="str">
        <f ca="1">IFERROR(__xludf.DUMMYFUNCTION("""COMPUTED_VALUE"""),"https://wa.me/6281221788919")</f>
        <v>https://wa.me/6281221788919</v>
      </c>
      <c r="E28" s="121" t="str">
        <f ca="1">IFERROR(__xludf.DUMMYFUNCTION("""COMPUTED_VALUE"""),"6281221788919")</f>
        <v>6281221788919</v>
      </c>
      <c r="F28" s="121">
        <f ca="1">IFERROR(__xludf.DUMMYFUNCTION("""COMPUTED_VALUE"""),17338)</f>
        <v>17338</v>
      </c>
      <c r="G28" s="121">
        <f ca="1">IFERROR(__xludf.DUMMYFUNCTION("""COMPUTED_VALUE"""),12503.9)</f>
        <v>12503.9</v>
      </c>
      <c r="H28" s="122">
        <f ca="1">IFERROR(__xludf.DUMMYFUNCTION("""COMPUTED_VALUE"""),25)</f>
        <v>25</v>
      </c>
      <c r="I28" s="123">
        <f ca="1">IFERROR(__xludf.DUMMYFUNCTION("""COMPUTED_VALUE"""),253194)</f>
        <v>253194</v>
      </c>
      <c r="J28" s="124">
        <f ca="1">IFERROR(__xludf.DUMMYFUNCTION("""COMPUTED_VALUE"""),10127.76)</f>
        <v>10127.76</v>
      </c>
      <c r="K28" s="125">
        <f ca="1">IFERROR(__xludf.DUMMYFUNCTION("""COMPUTED_VALUE"""),16.8796)</f>
        <v>16.8796</v>
      </c>
      <c r="L28" s="126" t="str">
        <f ca="1"/>
        <v>Wiris Variasi</v>
      </c>
      <c r="M28" s="118"/>
      <c r="N28" s="127"/>
      <c r="O28" s="127"/>
      <c r="P28" s="127"/>
      <c r="Q28" s="127"/>
      <c r="R28" s="127"/>
      <c r="S28" s="127"/>
      <c r="T28" s="127"/>
      <c r="U28" s="127"/>
      <c r="V28" s="127"/>
      <c r="W28" s="127"/>
      <c r="X28" s="127"/>
      <c r="Y28" s="127"/>
      <c r="Z28" s="127"/>
      <c r="AA28" s="127"/>
    </row>
    <row r="29" spans="1:27">
      <c r="A29" s="118">
        <f ca="1">IFERROR(__xludf.DUMMYFUNCTION("""COMPUTED_VALUE"""),174904221976312)</f>
        <v>174904221976312</v>
      </c>
      <c r="B29" s="118" t="str">
        <f ca="1">IFERROR(__xludf.DUMMYFUNCTION("""COMPUTED_VALUE"""),"120226887056380694")</f>
        <v>120226887056380694</v>
      </c>
      <c r="C29" s="119" t="str">
        <f ca="1">IFERROR(__xludf.DUMMYFUNCTION("""COMPUTED_VALUE"""),"SMK CENDEKIA")</f>
        <v>SMK CENDEKIA</v>
      </c>
      <c r="D29" s="120" t="str">
        <f ca="1">IFERROR(__xludf.DUMMYFUNCTION("""COMPUTED_VALUE"""),"https://wa.me/6282129040031")</f>
        <v>https://wa.me/6282129040031</v>
      </c>
      <c r="E29" s="121" t="str">
        <f ca="1">IFERROR(__xludf.DUMMYFUNCTION("""COMPUTED_VALUE"""),"6282129040031")</f>
        <v>6282129040031</v>
      </c>
      <c r="F29" s="121">
        <f ca="1">IFERROR(__xludf.DUMMYFUNCTION("""COMPUTED_VALUE"""),4631)</f>
        <v>4631</v>
      </c>
      <c r="G29" s="121">
        <f ca="1">IFERROR(__xludf.DUMMYFUNCTION("""COMPUTED_VALUE"""),10330.75)</f>
        <v>10330.75</v>
      </c>
      <c r="H29" s="122">
        <f ca="1">IFERROR(__xludf.DUMMYFUNCTION("""COMPUTED_VALUE"""),6)</f>
        <v>6</v>
      </c>
      <c r="I29" s="123">
        <f ca="1">IFERROR(__xludf.DUMMYFUNCTION("""COMPUTED_VALUE"""),55015)</f>
        <v>55015</v>
      </c>
      <c r="J29" s="124">
        <f ca="1">IFERROR(__xludf.DUMMYFUNCTION("""COMPUTED_VALUE"""),9169.16666666666)</f>
        <v>9169.1666666666606</v>
      </c>
      <c r="K29" s="125">
        <f ca="1">IFERROR(__xludf.DUMMYFUNCTION("""COMPUTED_VALUE"""),3.66766666666666)</f>
        <v>3.6676666666666602</v>
      </c>
      <c r="L29" s="126" t="str">
        <f ca="1"/>
        <v>Wiris Variasi</v>
      </c>
      <c r="M29" s="118"/>
      <c r="N29" s="127"/>
      <c r="O29" s="127"/>
      <c r="P29" s="127"/>
      <c r="Q29" s="127"/>
      <c r="R29" s="127"/>
      <c r="S29" s="127"/>
      <c r="T29" s="127"/>
      <c r="U29" s="127"/>
      <c r="V29" s="127"/>
      <c r="W29" s="127"/>
      <c r="X29" s="127"/>
      <c r="Y29" s="127"/>
      <c r="Z29" s="127"/>
      <c r="AA29" s="127"/>
    </row>
    <row r="30" spans="1:27">
      <c r="A30" s="118">
        <f ca="1">IFERROR(__xludf.DUMMYFUNCTION("""COMPUTED_VALUE"""),174904221976312)</f>
        <v>174904221976312</v>
      </c>
      <c r="B30" s="118" t="str">
        <f ca="1">IFERROR(__xludf.DUMMYFUNCTION("""COMPUTED_VALUE"""),"120226909635070694")</f>
        <v>120226909635070694</v>
      </c>
      <c r="C30" s="119" t="str">
        <f ca="1">IFERROR(__xludf.DUMMYFUNCTION("""COMPUTED_VALUE"""),"Griya Terapi")</f>
        <v>Griya Terapi</v>
      </c>
      <c r="D30" s="120" t="str">
        <f ca="1">IFERROR(__xludf.DUMMYFUNCTION("""COMPUTED_VALUE"""),"https://wa.me/6281904501876")</f>
        <v>https://wa.me/6281904501876</v>
      </c>
      <c r="E30" s="121" t="str">
        <f ca="1">IFERROR(__xludf.DUMMYFUNCTION("""COMPUTED_VALUE"""),"6281904501876")</f>
        <v>6281904501876</v>
      </c>
      <c r="F30" s="121">
        <f ca="1">IFERROR(__xludf.DUMMYFUNCTION("""COMPUTED_VALUE"""),4962)</f>
        <v>4962</v>
      </c>
      <c r="G30" s="121">
        <f ca="1">IFERROR(__xludf.DUMMYFUNCTION("""COMPUTED_VALUE"""),9821)</f>
        <v>9821</v>
      </c>
      <c r="H30" s="122">
        <f ca="1">IFERROR(__xludf.DUMMYFUNCTION("""COMPUTED_VALUE"""),20)</f>
        <v>20</v>
      </c>
      <c r="I30" s="123">
        <f ca="1">IFERROR(__xludf.DUMMYFUNCTION("""COMPUTED_VALUE"""),56078)</f>
        <v>56078</v>
      </c>
      <c r="J30" s="124">
        <f ca="1">IFERROR(__xludf.DUMMYFUNCTION("""COMPUTED_VALUE"""),2803.9)</f>
        <v>2803.9</v>
      </c>
      <c r="K30" s="125">
        <f ca="1">IFERROR(__xludf.DUMMYFUNCTION("""COMPUTED_VALUE"""),3.73853333333333)</f>
        <v>3.7385333333333302</v>
      </c>
      <c r="L30" s="126" t="str">
        <f ca="1"/>
        <v>Wiris Variasi</v>
      </c>
      <c r="M30" s="118"/>
      <c r="N30" s="127"/>
      <c r="O30" s="127"/>
      <c r="P30" s="127"/>
      <c r="Q30" s="127"/>
      <c r="R30" s="127"/>
      <c r="S30" s="127"/>
      <c r="T30" s="127"/>
      <c r="U30" s="127"/>
      <c r="V30" s="127"/>
      <c r="W30" s="127"/>
      <c r="X30" s="127"/>
      <c r="Y30" s="127"/>
      <c r="Z30" s="127"/>
      <c r="AA30" s="127"/>
    </row>
    <row r="31" spans="1:27">
      <c r="A31" s="118">
        <f ca="1">IFERROR(__xludf.DUMMYFUNCTION("""COMPUTED_VALUE"""),174904221976312)</f>
        <v>174904221976312</v>
      </c>
      <c r="B31" s="118" t="str">
        <f ca="1">IFERROR(__xludf.DUMMYFUNCTION("""COMPUTED_VALUE"""),"120226995405450694")</f>
        <v>120226995405450694</v>
      </c>
      <c r="C31" s="119" t="str">
        <f ca="1">IFERROR(__xludf.DUMMYFUNCTION("""COMPUTED_VALUE"""),"Aqila clean")</f>
        <v>Aqila clean</v>
      </c>
      <c r="D31" s="120" t="str">
        <f ca="1">IFERROR(__xludf.DUMMYFUNCTION("""COMPUTED_VALUE"""),"https://wa.me/6281905836259")</f>
        <v>https://wa.me/6281905836259</v>
      </c>
      <c r="E31" s="121" t="str">
        <f ca="1">IFERROR(__xludf.DUMMYFUNCTION("""COMPUTED_VALUE"""),"6281905836259")</f>
        <v>6281905836259</v>
      </c>
      <c r="F31" s="121">
        <f ca="1">IFERROR(__xludf.DUMMYFUNCTION("""COMPUTED_VALUE"""),3402)</f>
        <v>3402</v>
      </c>
      <c r="G31" s="121">
        <f ca="1">IFERROR(__xludf.DUMMYFUNCTION("""COMPUTED_VALUE"""),28629.75)</f>
        <v>28629.75</v>
      </c>
      <c r="H31" s="122">
        <f ca="1">IFERROR(__xludf.DUMMYFUNCTION("""COMPUTED_VALUE"""),3)</f>
        <v>3</v>
      </c>
      <c r="I31" s="123">
        <f ca="1">IFERROR(__xludf.DUMMYFUNCTION("""COMPUTED_VALUE"""),100164)</f>
        <v>100164</v>
      </c>
      <c r="J31" s="124">
        <f ca="1">IFERROR(__xludf.DUMMYFUNCTION("""COMPUTED_VALUE"""),33388)</f>
        <v>33388</v>
      </c>
      <c r="K31" s="125">
        <f ca="1">IFERROR(__xludf.DUMMYFUNCTION("""COMPUTED_VALUE"""),6.6776)</f>
        <v>6.6776</v>
      </c>
      <c r="L31" s="126" t="str">
        <f ca="1"/>
        <v>Wiris Variasi</v>
      </c>
      <c r="M31" s="118"/>
      <c r="N31" s="127"/>
      <c r="O31" s="127"/>
      <c r="P31" s="127"/>
      <c r="Q31" s="127"/>
      <c r="R31" s="127"/>
      <c r="S31" s="127"/>
      <c r="T31" s="127"/>
      <c r="U31" s="127"/>
      <c r="V31" s="127"/>
      <c r="W31" s="127"/>
      <c r="X31" s="127"/>
      <c r="Y31" s="127"/>
      <c r="Z31" s="127"/>
      <c r="AA31" s="127"/>
    </row>
    <row r="32" spans="1:27">
      <c r="A32" s="118">
        <f ca="1">IFERROR(__xludf.DUMMYFUNCTION("""COMPUTED_VALUE"""),174904221976312)</f>
        <v>174904221976312</v>
      </c>
      <c r="B32" s="118" t="str">
        <f ca="1">IFERROR(__xludf.DUMMYFUNCTION("""COMPUTED_VALUE"""),"120227059548820694")</f>
        <v>120227059548820694</v>
      </c>
      <c r="C32" s="119" t="str">
        <f ca="1">IFERROR(__xludf.DUMMYFUNCTION("""COMPUTED_VALUE"""),"BATRA SENTUTORAF")</f>
        <v>BATRA SENTUTORAF</v>
      </c>
      <c r="D32" s="120" t="str">
        <f ca="1">IFERROR(__xludf.DUMMYFUNCTION("""COMPUTED_VALUE"""),"https://wa.me/6282258886603")</f>
        <v>https://wa.me/6282258886603</v>
      </c>
      <c r="E32" s="121" t="str">
        <f ca="1">IFERROR(__xludf.DUMMYFUNCTION("""COMPUTED_VALUE"""),"6282258886603")</f>
        <v>6282258886603</v>
      </c>
      <c r="F32" s="121">
        <f ca="1">IFERROR(__xludf.DUMMYFUNCTION("""COMPUTED_VALUE"""),4682)</f>
        <v>4682</v>
      </c>
      <c r="G32" s="121">
        <f ca="1">IFERROR(__xludf.DUMMYFUNCTION("""COMPUTED_VALUE"""),33957.7692307692)</f>
        <v>33957.769230769198</v>
      </c>
      <c r="H32" s="122">
        <f ca="1">IFERROR(__xludf.DUMMYFUNCTION("""COMPUTED_VALUE"""),28)</f>
        <v>28</v>
      </c>
      <c r="I32" s="123">
        <f ca="1">IFERROR(__xludf.DUMMYFUNCTION("""COMPUTED_VALUE"""),168625)</f>
        <v>168625</v>
      </c>
      <c r="J32" s="124">
        <f ca="1">IFERROR(__xludf.DUMMYFUNCTION("""COMPUTED_VALUE"""),6022.32142857142)</f>
        <v>6022.3214285714203</v>
      </c>
      <c r="K32" s="125">
        <f ca="1">IFERROR(__xludf.DUMMYFUNCTION("""COMPUTED_VALUE"""),11.2416666666666)</f>
        <v>11.2416666666666</v>
      </c>
      <c r="L32" s="126" t="str">
        <f ca="1"/>
        <v>Wiris Variasi</v>
      </c>
      <c r="M32" s="118"/>
      <c r="N32" s="127"/>
      <c r="O32" s="127"/>
      <c r="P32" s="127"/>
      <c r="Q32" s="127"/>
      <c r="R32" s="127"/>
      <c r="S32" s="127"/>
      <c r="T32" s="127"/>
      <c r="U32" s="127"/>
      <c r="V32" s="127"/>
      <c r="W32" s="127"/>
      <c r="X32" s="127"/>
      <c r="Y32" s="127"/>
      <c r="Z32" s="127"/>
      <c r="AA32" s="127"/>
    </row>
    <row r="33" spans="1:27">
      <c r="A33" s="118">
        <f ca="1">IFERROR(__xludf.DUMMYFUNCTION("""COMPUTED_VALUE"""),174904221976312)</f>
        <v>174904221976312</v>
      </c>
      <c r="B33" s="118" t="str">
        <f ca="1">IFERROR(__xludf.DUMMYFUNCTION("""COMPUTED_VALUE"""),"120227065288400694")</f>
        <v>120227065288400694</v>
      </c>
      <c r="C33" s="119" t="str">
        <f ca="1">IFERROR(__xludf.DUMMYFUNCTION("""COMPUTED_VALUE"""),"Coach Etiana")</f>
        <v>Coach Etiana</v>
      </c>
      <c r="D33" s="120" t="str">
        <f ca="1">IFERROR(__xludf.DUMMYFUNCTION("""COMPUTED_VALUE"""),"https://wa.me/628127962347")</f>
        <v>https://wa.me/628127962347</v>
      </c>
      <c r="E33" s="121" t="str">
        <f ca="1">IFERROR(__xludf.DUMMYFUNCTION("""COMPUTED_VALUE"""),"628127962347")</f>
        <v>628127962347</v>
      </c>
      <c r="F33" s="121">
        <f ca="1">IFERROR(__xludf.DUMMYFUNCTION("""COMPUTED_VALUE"""),1947)</f>
        <v>1947</v>
      </c>
      <c r="G33" s="121">
        <f ca="1">IFERROR(__xludf.DUMMYFUNCTION("""COMPUTED_VALUE"""),77961.9166666666)</f>
        <v>77961.916666666599</v>
      </c>
      <c r="H33" s="122">
        <f ca="1">IFERROR(__xludf.DUMMYFUNCTION("""COMPUTED_VALUE"""),60)</f>
        <v>60</v>
      </c>
      <c r="I33" s="123">
        <f ca="1">IFERROR(__xludf.DUMMYFUNCTION("""COMPUTED_VALUE"""),153841)</f>
        <v>153841</v>
      </c>
      <c r="J33" s="124">
        <f ca="1">IFERROR(__xludf.DUMMYFUNCTION("""COMPUTED_VALUE"""),2564.01666666666)</f>
        <v>2564.0166666666601</v>
      </c>
      <c r="K33" s="125">
        <f ca="1">IFERROR(__xludf.DUMMYFUNCTION("""COMPUTED_VALUE"""),10.2560666666666)</f>
        <v>10.2560666666666</v>
      </c>
      <c r="L33" s="126" t="str">
        <f ca="1"/>
        <v>Wiris Variasi</v>
      </c>
      <c r="M33" s="118"/>
      <c r="N33" s="127"/>
      <c r="O33" s="127"/>
      <c r="P33" s="127"/>
      <c r="Q33" s="127"/>
      <c r="R33" s="127"/>
      <c r="S33" s="127"/>
      <c r="T33" s="127"/>
      <c r="U33" s="127"/>
      <c r="V33" s="127"/>
      <c r="W33" s="127"/>
      <c r="X33" s="127"/>
      <c r="Y33" s="127"/>
      <c r="Z33" s="127"/>
      <c r="AA33" s="127"/>
    </row>
    <row r="34" spans="1:27">
      <c r="A34" s="118">
        <f ca="1">IFERROR(__xludf.DUMMYFUNCTION("""COMPUTED_VALUE"""),174904221976312)</f>
        <v>174904221976312</v>
      </c>
      <c r="B34" s="118" t="str">
        <f ca="1">IFERROR(__xludf.DUMMYFUNCTION("""COMPUTED_VALUE"""),"120227123792540694")</f>
        <v>120227123792540694</v>
      </c>
      <c r="C34" s="119" t="str">
        <f ca="1">IFERROR(__xludf.DUMMYFUNCTION("""COMPUTED_VALUE"""),"Gesit Laundry")</f>
        <v>Gesit Laundry</v>
      </c>
      <c r="D34" s="120" t="str">
        <f ca="1">IFERROR(__xludf.DUMMYFUNCTION("""COMPUTED_VALUE"""),"https://wa.me/62818585822")</f>
        <v>https://wa.me/62818585822</v>
      </c>
      <c r="E34" s="121" t="str">
        <f ca="1">IFERROR(__xludf.DUMMYFUNCTION("""COMPUTED_VALUE"""),"62818585822")</f>
        <v>62818585822</v>
      </c>
      <c r="F34" s="121">
        <f ca="1">IFERROR(__xludf.DUMMYFUNCTION("""COMPUTED_VALUE"""),127)</f>
        <v>127</v>
      </c>
      <c r="G34" s="121">
        <f ca="1">IFERROR(__xludf.DUMMYFUNCTION("""COMPUTED_VALUE"""),12557)</f>
        <v>12557</v>
      </c>
      <c r="H34" s="122">
        <f ca="1">IFERROR(__xludf.DUMMYFUNCTION("""COMPUTED_VALUE"""),0)</f>
        <v>0</v>
      </c>
      <c r="I34" s="123">
        <f ca="1">IFERROR(__xludf.DUMMYFUNCTION("""COMPUTED_VALUE"""),1645)</f>
        <v>1645</v>
      </c>
      <c r="J34" s="124"/>
      <c r="K34" s="125">
        <f ca="1">IFERROR(__xludf.DUMMYFUNCTION("""COMPUTED_VALUE"""),0.109666666666666)</f>
        <v>0.109666666666666</v>
      </c>
      <c r="L34" s="126" t="str">
        <f ca="1"/>
        <v>Wiris Variasi</v>
      </c>
      <c r="M34" s="118"/>
      <c r="N34" s="127"/>
      <c r="O34" s="127"/>
      <c r="P34" s="127"/>
      <c r="Q34" s="127"/>
      <c r="R34" s="127"/>
      <c r="S34" s="127"/>
      <c r="T34" s="127"/>
      <c r="U34" s="127"/>
      <c r="V34" s="127"/>
      <c r="W34" s="127"/>
      <c r="X34" s="127"/>
      <c r="Y34" s="127"/>
      <c r="Z34" s="127"/>
      <c r="AA34" s="127"/>
    </row>
    <row r="35" spans="1:27">
      <c r="A35" s="118">
        <f ca="1">IFERROR(__xludf.DUMMYFUNCTION("""COMPUTED_VALUE"""),174904221976312)</f>
        <v>174904221976312</v>
      </c>
      <c r="B35" s="118" t="str">
        <f ca="1">IFERROR(__xludf.DUMMYFUNCTION("""COMPUTED_VALUE"""),"120227123792540694")</f>
        <v>120227123792540694</v>
      </c>
      <c r="C35" s="119" t="str">
        <f ca="1">IFERROR(__xludf.DUMMYFUNCTION("""COMPUTED_VALUE"""),"Gesit Laundry")</f>
        <v>Gesit Laundry</v>
      </c>
      <c r="D35" s="120" t="str">
        <f ca="1">IFERROR(__xludf.DUMMYFUNCTION("""COMPUTED_VALUE"""),"https://wa.me/6287858585808")</f>
        <v>https://wa.me/6287858585808</v>
      </c>
      <c r="E35" s="121" t="str">
        <f ca="1">IFERROR(__xludf.DUMMYFUNCTION("""COMPUTED_VALUE"""),"6287858585808")</f>
        <v>6287858585808</v>
      </c>
      <c r="F35" s="121">
        <f ca="1">IFERROR(__xludf.DUMMYFUNCTION("""COMPUTED_VALUE"""),35296)</f>
        <v>35296</v>
      </c>
      <c r="G35" s="121">
        <f ca="1">IFERROR(__xludf.DUMMYFUNCTION("""COMPUTED_VALUE"""),15069.5681818181)</f>
        <v>15069.5681818181</v>
      </c>
      <c r="H35" s="122">
        <f ca="1">IFERROR(__xludf.DUMMYFUNCTION("""COMPUTED_VALUE"""),53)</f>
        <v>53</v>
      </c>
      <c r="I35" s="123">
        <f ca="1">IFERROR(__xludf.DUMMYFUNCTION("""COMPUTED_VALUE"""),613737)</f>
        <v>613737</v>
      </c>
      <c r="J35" s="124">
        <f ca="1">IFERROR(__xludf.DUMMYFUNCTION("""COMPUTED_VALUE"""),11579.9433962264)</f>
        <v>11579.943396226399</v>
      </c>
      <c r="K35" s="125">
        <f ca="1">IFERROR(__xludf.DUMMYFUNCTION("""COMPUTED_VALUE"""),40.9158)</f>
        <v>40.915799999999997</v>
      </c>
      <c r="L35" s="126" t="str">
        <f ca="1"/>
        <v>Wiris Variasi</v>
      </c>
      <c r="M35" s="118"/>
      <c r="N35" s="127"/>
      <c r="O35" s="127"/>
      <c r="P35" s="127"/>
      <c r="Q35" s="127"/>
      <c r="R35" s="127"/>
      <c r="S35" s="127"/>
      <c r="T35" s="127"/>
      <c r="U35" s="127"/>
      <c r="V35" s="127"/>
      <c r="W35" s="127"/>
      <c r="X35" s="127"/>
      <c r="Y35" s="127"/>
      <c r="Z35" s="127"/>
      <c r="AA35" s="127"/>
    </row>
    <row r="36" spans="1:27">
      <c r="A36" s="118">
        <f ca="1">IFERROR(__xludf.DUMMYFUNCTION("""COMPUTED_VALUE"""),174904221976312)</f>
        <v>174904221976312</v>
      </c>
      <c r="B36" s="118" t="str">
        <f ca="1">IFERROR(__xludf.DUMMYFUNCTION("""COMPUTED_VALUE"""),"120227215734130694")</f>
        <v>120227215734130694</v>
      </c>
      <c r="C36" s="119" t="str">
        <f ca="1">IFERROR(__xludf.DUMMYFUNCTION("""COMPUTED_VALUE"""),"MEKAR JAYA")</f>
        <v>MEKAR JAYA</v>
      </c>
      <c r="D36" s="120" t="str">
        <f ca="1">IFERROR(__xludf.DUMMYFUNCTION("""COMPUTED_VALUE"""),"https://wa.me/6285227384634")</f>
        <v>https://wa.me/6285227384634</v>
      </c>
      <c r="E36" s="121" t="str">
        <f ca="1">IFERROR(__xludf.DUMMYFUNCTION("""COMPUTED_VALUE"""),"6285227384634")</f>
        <v>6285227384634</v>
      </c>
      <c r="F36" s="121">
        <f ca="1">IFERROR(__xludf.DUMMYFUNCTION("""COMPUTED_VALUE"""),4204)</f>
        <v>4204</v>
      </c>
      <c r="G36" s="121">
        <f ca="1">IFERROR(__xludf.DUMMYFUNCTION("""COMPUTED_VALUE"""),22503)</f>
        <v>22503</v>
      </c>
      <c r="H36" s="122">
        <f ca="1">IFERROR(__xludf.DUMMYFUNCTION("""COMPUTED_VALUE"""),23)</f>
        <v>23</v>
      </c>
      <c r="I36" s="123">
        <f ca="1">IFERROR(__xludf.DUMMYFUNCTION("""COMPUTED_VALUE"""),107656)</f>
        <v>107656</v>
      </c>
      <c r="J36" s="124">
        <f ca="1">IFERROR(__xludf.DUMMYFUNCTION("""COMPUTED_VALUE"""),4680.69565217391)</f>
        <v>4680.6956521739103</v>
      </c>
      <c r="K36" s="125">
        <f ca="1">IFERROR(__xludf.DUMMYFUNCTION("""COMPUTED_VALUE"""),7.17706666666666)</f>
        <v>7.1770666666666596</v>
      </c>
      <c r="L36" s="126" t="str">
        <f ca="1"/>
        <v>Wiris Variasi</v>
      </c>
      <c r="M36" s="118"/>
      <c r="N36" s="127"/>
      <c r="O36" s="127"/>
      <c r="P36" s="127"/>
      <c r="Q36" s="127"/>
      <c r="R36" s="127"/>
      <c r="S36" s="127"/>
      <c r="T36" s="127"/>
      <c r="U36" s="127"/>
      <c r="V36" s="127"/>
      <c r="W36" s="127"/>
      <c r="X36" s="127"/>
      <c r="Y36" s="127"/>
      <c r="Z36" s="127"/>
      <c r="AA36" s="127"/>
    </row>
    <row r="37" spans="1:27">
      <c r="A37" s="118">
        <f ca="1">IFERROR(__xludf.DUMMYFUNCTION("""COMPUTED_VALUE"""),174904221976312)</f>
        <v>174904221976312</v>
      </c>
      <c r="B37" s="118" t="str">
        <f ca="1">IFERROR(__xludf.DUMMYFUNCTION("""COMPUTED_VALUE"""),"120227216143480694")</f>
        <v>120227216143480694</v>
      </c>
      <c r="C37" s="119" t="str">
        <f ca="1">IFERROR(__xludf.DUMMYFUNCTION("""COMPUTED_VALUE"""),"BIRRUYA Tour")</f>
        <v>BIRRUYA Tour</v>
      </c>
      <c r="D37" s="120" t="str">
        <f ca="1">IFERROR(__xludf.DUMMYFUNCTION("""COMPUTED_VALUE"""),"https://wa.me/6285725492572")</f>
        <v>https://wa.me/6285725492572</v>
      </c>
      <c r="E37" s="121" t="str">
        <f ca="1">IFERROR(__xludf.DUMMYFUNCTION("""COMPUTED_VALUE"""),"6285725492572")</f>
        <v>6285725492572</v>
      </c>
      <c r="F37" s="121">
        <f ca="1">IFERROR(__xludf.DUMMYFUNCTION("""COMPUTED_VALUE"""),2582)</f>
        <v>2582</v>
      </c>
      <c r="G37" s="121">
        <f ca="1">IFERROR(__xludf.DUMMYFUNCTION("""COMPUTED_VALUE"""),27521.1666666666)</f>
        <v>27521.166666666599</v>
      </c>
      <c r="H37" s="122">
        <f ca="1">IFERROR(__xludf.DUMMYFUNCTION("""COMPUTED_VALUE"""),16)</f>
        <v>16</v>
      </c>
      <c r="I37" s="123">
        <f ca="1">IFERROR(__xludf.DUMMYFUNCTION("""COMPUTED_VALUE"""),77577)</f>
        <v>77577</v>
      </c>
      <c r="J37" s="124">
        <f ca="1">IFERROR(__xludf.DUMMYFUNCTION("""COMPUTED_VALUE"""),4848.5625)</f>
        <v>4848.5625</v>
      </c>
      <c r="K37" s="125">
        <f ca="1">IFERROR(__xludf.DUMMYFUNCTION("""COMPUTED_VALUE"""),5.1718)</f>
        <v>5.1718000000000002</v>
      </c>
      <c r="L37" s="126" t="str">
        <f ca="1"/>
        <v>Wiris Variasi</v>
      </c>
      <c r="M37" s="118"/>
      <c r="N37" s="127"/>
      <c r="O37" s="127"/>
      <c r="P37" s="127"/>
      <c r="Q37" s="127"/>
      <c r="R37" s="127"/>
      <c r="S37" s="127"/>
      <c r="T37" s="127"/>
      <c r="U37" s="127"/>
      <c r="V37" s="127"/>
      <c r="W37" s="127"/>
      <c r="X37" s="127"/>
      <c r="Y37" s="127"/>
      <c r="Z37" s="127"/>
      <c r="AA37" s="127"/>
    </row>
    <row r="38" spans="1:27">
      <c r="A38" s="118">
        <f ca="1">IFERROR(__xludf.DUMMYFUNCTION("""COMPUTED_VALUE"""),174904221976312)</f>
        <v>174904221976312</v>
      </c>
      <c r="B38" s="118" t="str">
        <f ca="1">IFERROR(__xludf.DUMMYFUNCTION("""COMPUTED_VALUE"""),"120227216728120694")</f>
        <v>120227216728120694</v>
      </c>
      <c r="C38" s="119" t="str">
        <f ca="1">IFERROR(__xludf.DUMMYFUNCTION("""COMPUTED_VALUE"""),"Jagat Kitchen")</f>
        <v>Jagat Kitchen</v>
      </c>
      <c r="D38" s="120" t="str">
        <f ca="1">IFERROR(__xludf.DUMMYFUNCTION("""COMPUTED_VALUE"""),"https://wa.me/6281393958199")</f>
        <v>https://wa.me/6281393958199</v>
      </c>
      <c r="E38" s="121" t="str">
        <f ca="1">IFERROR(__xludf.DUMMYFUNCTION("""COMPUTED_VALUE"""),"6281393958199")</f>
        <v>6281393958199</v>
      </c>
      <c r="F38" s="121">
        <f ca="1">IFERROR(__xludf.DUMMYFUNCTION("""COMPUTED_VALUE"""),36903)</f>
        <v>36903</v>
      </c>
      <c r="G38" s="121">
        <f ca="1">IFERROR(__xludf.DUMMYFUNCTION("""COMPUTED_VALUE"""),21052.213114754)</f>
        <v>21052.213114753999</v>
      </c>
      <c r="H38" s="122">
        <f ca="1">IFERROR(__xludf.DUMMYFUNCTION("""COMPUTED_VALUE"""),117)</f>
        <v>117</v>
      </c>
      <c r="I38" s="123">
        <f ca="1">IFERROR(__xludf.DUMMYFUNCTION("""COMPUTED_VALUE"""),816559)</f>
        <v>816559</v>
      </c>
      <c r="J38" s="124">
        <f ca="1">IFERROR(__xludf.DUMMYFUNCTION("""COMPUTED_VALUE"""),6979.13675213675)</f>
        <v>6979.1367521367501</v>
      </c>
      <c r="K38" s="125">
        <f ca="1">IFERROR(__xludf.DUMMYFUNCTION("""COMPUTED_VALUE"""),54.4372666666666)</f>
        <v>54.437266666666602</v>
      </c>
      <c r="L38" s="126" t="str">
        <f ca="1"/>
        <v>Wiris Variasi</v>
      </c>
      <c r="M38" s="118"/>
      <c r="N38" s="127"/>
      <c r="O38" s="127"/>
      <c r="P38" s="127"/>
      <c r="Q38" s="127"/>
      <c r="R38" s="127"/>
      <c r="S38" s="127"/>
      <c r="T38" s="127"/>
      <c r="U38" s="127"/>
      <c r="V38" s="127"/>
      <c r="W38" s="127"/>
      <c r="X38" s="127"/>
      <c r="Y38" s="127"/>
      <c r="Z38" s="127"/>
      <c r="AA38" s="127"/>
    </row>
    <row r="39" spans="1:27">
      <c r="A39" s="118">
        <f ca="1">IFERROR(__xludf.DUMMYFUNCTION("""COMPUTED_VALUE"""),174904221976312)</f>
        <v>174904221976312</v>
      </c>
      <c r="B39" s="118" t="str">
        <f ca="1">IFERROR(__xludf.DUMMYFUNCTION("""COMPUTED_VALUE"""),"120227271468170694")</f>
        <v>120227271468170694</v>
      </c>
      <c r="C39" s="119" t="str">
        <f ca="1">IFERROR(__xludf.DUMMYFUNCTION("""COMPUTED_VALUE"""),"Bismillah Meubel")</f>
        <v>Bismillah Meubel</v>
      </c>
      <c r="D39" s="120" t="str">
        <f ca="1">IFERROR(__xludf.DUMMYFUNCTION("""COMPUTED_VALUE"""),"https://wa.me/6285733774700")</f>
        <v>https://wa.me/6285733774700</v>
      </c>
      <c r="E39" s="121" t="str">
        <f ca="1">IFERROR(__xludf.DUMMYFUNCTION("""COMPUTED_VALUE"""),"6285733774700")</f>
        <v>6285733774700</v>
      </c>
      <c r="F39" s="121">
        <f ca="1">IFERROR(__xludf.DUMMYFUNCTION("""COMPUTED_VALUE"""),3197)</f>
        <v>3197</v>
      </c>
      <c r="G39" s="121">
        <f ca="1">IFERROR(__xludf.DUMMYFUNCTION("""COMPUTED_VALUE"""),25599.5714285714)</f>
        <v>25599.571428571398</v>
      </c>
      <c r="H39" s="122">
        <f ca="1">IFERROR(__xludf.DUMMYFUNCTION("""COMPUTED_VALUE"""),15)</f>
        <v>15</v>
      </c>
      <c r="I39" s="123">
        <f ca="1">IFERROR(__xludf.DUMMYFUNCTION("""COMPUTED_VALUE"""),86308)</f>
        <v>86308</v>
      </c>
      <c r="J39" s="124">
        <f ca="1">IFERROR(__xludf.DUMMYFUNCTION("""COMPUTED_VALUE"""),5753.86666666666)</f>
        <v>5753.8666666666604</v>
      </c>
      <c r="K39" s="125">
        <f ca="1">IFERROR(__xludf.DUMMYFUNCTION("""COMPUTED_VALUE"""),5.75386666666666)</f>
        <v>5.75386666666666</v>
      </c>
      <c r="L39" s="126" t="str">
        <f ca="1"/>
        <v>Wiris Variasi</v>
      </c>
      <c r="M39" s="118"/>
      <c r="N39" s="127"/>
      <c r="O39" s="127"/>
      <c r="P39" s="127"/>
      <c r="Q39" s="127"/>
      <c r="R39" s="127"/>
      <c r="S39" s="127"/>
      <c r="T39" s="127"/>
      <c r="U39" s="127"/>
      <c r="V39" s="127"/>
      <c r="W39" s="127"/>
      <c r="X39" s="127"/>
      <c r="Y39" s="127"/>
      <c r="Z39" s="127"/>
      <c r="AA39" s="127"/>
    </row>
    <row r="40" spans="1:27">
      <c r="A40" s="118">
        <f ca="1">IFERROR(__xludf.DUMMYFUNCTION("""COMPUTED_VALUE"""),174904221976312)</f>
        <v>174904221976312</v>
      </c>
      <c r="B40" s="118" t="str">
        <f ca="1">IFERROR(__xludf.DUMMYFUNCTION("""COMPUTED_VALUE"""),"120227399886270694")</f>
        <v>120227399886270694</v>
      </c>
      <c r="C40" s="119" t="str">
        <f ca="1">IFERROR(__xludf.DUMMYFUNCTION("""COMPUTED_VALUE"""),"Labhu Shop")</f>
        <v>Labhu Shop</v>
      </c>
      <c r="D40" s="120" t="str">
        <f ca="1">IFERROR(__xludf.DUMMYFUNCTION("""COMPUTED_VALUE"""),"https://wa.me/6281299907533")</f>
        <v>https://wa.me/6281299907533</v>
      </c>
      <c r="E40" s="121" t="str">
        <f ca="1">IFERROR(__xludf.DUMMYFUNCTION("""COMPUTED_VALUE"""),"6281299907533")</f>
        <v>6281299907533</v>
      </c>
      <c r="F40" s="121">
        <f ca="1">IFERROR(__xludf.DUMMYFUNCTION("""COMPUTED_VALUE"""),4321)</f>
        <v>4321</v>
      </c>
      <c r="G40" s="121">
        <f ca="1">IFERROR(__xludf.DUMMYFUNCTION("""COMPUTED_VALUE"""),35945.6153846153)</f>
        <v>35945.615384615303</v>
      </c>
      <c r="H40" s="122">
        <f ca="1">IFERROR(__xludf.DUMMYFUNCTION("""COMPUTED_VALUE"""),11)</f>
        <v>11</v>
      </c>
      <c r="I40" s="123">
        <f ca="1">IFERROR(__xludf.DUMMYFUNCTION("""COMPUTED_VALUE"""),161475)</f>
        <v>161475</v>
      </c>
      <c r="J40" s="124">
        <f ca="1">IFERROR(__xludf.DUMMYFUNCTION("""COMPUTED_VALUE"""),14679.5454545454)</f>
        <v>14679.545454545399</v>
      </c>
      <c r="K40" s="125">
        <f ca="1">IFERROR(__xludf.DUMMYFUNCTION("""COMPUTED_VALUE"""),10.765)</f>
        <v>10.765000000000001</v>
      </c>
      <c r="L40" s="126" t="str">
        <f ca="1"/>
        <v>Wiris Variasi</v>
      </c>
      <c r="M40" s="118"/>
      <c r="N40" s="127"/>
      <c r="O40" s="127"/>
      <c r="P40" s="127"/>
      <c r="Q40" s="127"/>
      <c r="R40" s="127"/>
      <c r="S40" s="127"/>
      <c r="T40" s="127"/>
      <c r="U40" s="127"/>
      <c r="V40" s="127"/>
      <c r="W40" s="127"/>
      <c r="X40" s="127"/>
      <c r="Y40" s="127"/>
      <c r="Z40" s="127"/>
      <c r="AA40" s="127"/>
    </row>
    <row r="41" spans="1:27">
      <c r="A41" s="118">
        <f ca="1">IFERROR(__xludf.DUMMYFUNCTION("""COMPUTED_VALUE"""),174904221976312)</f>
        <v>174904221976312</v>
      </c>
      <c r="B41" s="118" t="str">
        <f ca="1">IFERROR(__xludf.DUMMYFUNCTION("""COMPUTED_VALUE"""),"120227436680530694")</f>
        <v>120227436680530694</v>
      </c>
      <c r="C41" s="119" t="str">
        <f ca="1">IFERROR(__xludf.DUMMYFUNCTION("""COMPUTED_VALUE"""),"Mebel Yuca")</f>
        <v>Mebel Yuca</v>
      </c>
      <c r="D41" s="120" t="str">
        <f ca="1">IFERROR(__xludf.DUMMYFUNCTION("""COMPUTED_VALUE"""),"https://wa.me/6282399721881")</f>
        <v>https://wa.me/6282399721881</v>
      </c>
      <c r="E41" s="121" t="str">
        <f ca="1">IFERROR(__xludf.DUMMYFUNCTION("""COMPUTED_VALUE"""),"6282399721881")</f>
        <v>6282399721881</v>
      </c>
      <c r="F41" s="121">
        <f ca="1">IFERROR(__xludf.DUMMYFUNCTION("""COMPUTED_VALUE"""),18911)</f>
        <v>18911</v>
      </c>
      <c r="G41" s="121">
        <f ca="1">IFERROR(__xludf.DUMMYFUNCTION("""COMPUTED_VALUE"""),10338.7058823529)</f>
        <v>10338.705882352901</v>
      </c>
      <c r="H41" s="122">
        <f ca="1">IFERROR(__xludf.DUMMYFUNCTION("""COMPUTED_VALUE"""),16)</f>
        <v>16</v>
      </c>
      <c r="I41" s="123">
        <f ca="1">IFERROR(__xludf.DUMMYFUNCTION("""COMPUTED_VALUE"""),221614)</f>
        <v>221614</v>
      </c>
      <c r="J41" s="124">
        <f ca="1">IFERROR(__xludf.DUMMYFUNCTION("""COMPUTED_VALUE"""),13850.875)</f>
        <v>13850.875</v>
      </c>
      <c r="K41" s="125">
        <f ca="1">IFERROR(__xludf.DUMMYFUNCTION("""COMPUTED_VALUE"""),14.7742666666666)</f>
        <v>14.7742666666666</v>
      </c>
      <c r="L41" s="126" t="str">
        <f ca="1"/>
        <v>Wiris Variasi</v>
      </c>
      <c r="M41" s="118"/>
      <c r="N41" s="127"/>
      <c r="O41" s="127"/>
      <c r="P41" s="127"/>
      <c r="Q41" s="127"/>
      <c r="R41" s="127"/>
      <c r="S41" s="127"/>
      <c r="T41" s="127"/>
      <c r="U41" s="127"/>
      <c r="V41" s="127"/>
      <c r="W41" s="127"/>
      <c r="X41" s="127"/>
      <c r="Y41" s="127"/>
      <c r="Z41" s="127"/>
      <c r="AA41" s="127"/>
    </row>
    <row r="42" spans="1:27">
      <c r="A42" s="118">
        <f ca="1">IFERROR(__xludf.DUMMYFUNCTION("""COMPUTED_VALUE"""),174904221976312)</f>
        <v>174904221976312</v>
      </c>
      <c r="B42" s="118" t="str">
        <f ca="1">IFERROR(__xludf.DUMMYFUNCTION("""COMPUTED_VALUE"""),"120227497328100694")</f>
        <v>120227497328100694</v>
      </c>
      <c r="C42" s="119" t="str">
        <f ca="1">IFERROR(__xludf.DUMMYFUNCTION("""COMPUTED_VALUE"""),"Amanah Interior")</f>
        <v>Amanah Interior</v>
      </c>
      <c r="D42" s="120" t="str">
        <f ca="1">IFERROR(__xludf.DUMMYFUNCTION("""COMPUTED_VALUE"""),"https://wa.me/6282183184641")</f>
        <v>https://wa.me/6282183184641</v>
      </c>
      <c r="E42" s="121" t="str">
        <f ca="1">IFERROR(__xludf.DUMMYFUNCTION("""COMPUTED_VALUE"""),"6282183184641")</f>
        <v>6282183184641</v>
      </c>
      <c r="F42" s="121">
        <f ca="1">IFERROR(__xludf.DUMMYFUNCTION("""COMPUTED_VALUE"""),4068)</f>
        <v>4068</v>
      </c>
      <c r="G42" s="121">
        <f ca="1">IFERROR(__xludf.DUMMYFUNCTION("""COMPUTED_VALUE"""),18733.75)</f>
        <v>18733.75</v>
      </c>
      <c r="H42" s="122">
        <f ca="1">IFERROR(__xludf.DUMMYFUNCTION("""COMPUTED_VALUE"""),13)</f>
        <v>13</v>
      </c>
      <c r="I42" s="123">
        <f ca="1">IFERROR(__xludf.DUMMYFUNCTION("""COMPUTED_VALUE"""),91541)</f>
        <v>91541</v>
      </c>
      <c r="J42" s="124">
        <f ca="1">IFERROR(__xludf.DUMMYFUNCTION("""COMPUTED_VALUE"""),7041.61538461538)</f>
        <v>7041.6153846153802</v>
      </c>
      <c r="K42" s="125">
        <f ca="1">IFERROR(__xludf.DUMMYFUNCTION("""COMPUTED_VALUE"""),6.10273333333333)</f>
        <v>6.1027333333333296</v>
      </c>
      <c r="L42" s="126" t="str">
        <f ca="1"/>
        <v>Wiris Variasi</v>
      </c>
      <c r="M42" s="118"/>
      <c r="N42" s="127"/>
      <c r="O42" s="127"/>
      <c r="P42" s="127"/>
      <c r="Q42" s="127"/>
      <c r="R42" s="127"/>
      <c r="S42" s="127"/>
      <c r="T42" s="127"/>
      <c r="U42" s="127"/>
      <c r="V42" s="127"/>
      <c r="W42" s="127"/>
      <c r="X42" s="127"/>
      <c r="Y42" s="127"/>
      <c r="Z42" s="127"/>
      <c r="AA42" s="127"/>
    </row>
    <row r="43" spans="1:27">
      <c r="A43" s="118">
        <f ca="1">IFERROR(__xludf.DUMMYFUNCTION("""COMPUTED_VALUE"""),174904221976312)</f>
        <v>174904221976312</v>
      </c>
      <c r="B43" s="118" t="str">
        <f ca="1">IFERROR(__xludf.DUMMYFUNCTION("""COMPUTED_VALUE"""),"120227519164270694")</f>
        <v>120227519164270694</v>
      </c>
      <c r="C43" s="119" t="str">
        <f ca="1">IFERROR(__xludf.DUMMYFUNCTION("""COMPUTED_VALUE"""),"Toko Maju")</f>
        <v>Toko Maju</v>
      </c>
      <c r="D43" s="120" t="str">
        <f ca="1">IFERROR(__xludf.DUMMYFUNCTION("""COMPUTED_VALUE"""),"https://wa.me/6282325874670")</f>
        <v>https://wa.me/6282325874670</v>
      </c>
      <c r="E43" s="121" t="str">
        <f ca="1">IFERROR(__xludf.DUMMYFUNCTION("""COMPUTED_VALUE"""),"6282325874670")</f>
        <v>6282325874670</v>
      </c>
      <c r="F43" s="121">
        <f ca="1">IFERROR(__xludf.DUMMYFUNCTION("""COMPUTED_VALUE"""),6286)</f>
        <v>6286</v>
      </c>
      <c r="G43" s="121">
        <f ca="1">IFERROR(__xludf.DUMMYFUNCTION("""COMPUTED_VALUE"""),12953.5714285714)</f>
        <v>12953.5714285714</v>
      </c>
      <c r="H43" s="122">
        <f ca="1">IFERROR(__xludf.DUMMYFUNCTION("""COMPUTED_VALUE"""),18)</f>
        <v>18</v>
      </c>
      <c r="I43" s="123">
        <f ca="1">IFERROR(__xludf.DUMMYFUNCTION("""COMPUTED_VALUE"""),92905)</f>
        <v>92905</v>
      </c>
      <c r="J43" s="124">
        <f ca="1">IFERROR(__xludf.DUMMYFUNCTION("""COMPUTED_VALUE"""),5161.38888888888)</f>
        <v>5161.3888888888796</v>
      </c>
      <c r="K43" s="125">
        <f ca="1">IFERROR(__xludf.DUMMYFUNCTION("""COMPUTED_VALUE"""),6.19366666666666)</f>
        <v>6.19366666666666</v>
      </c>
      <c r="L43" s="126" t="str">
        <f ca="1"/>
        <v>Wiris Variasi</v>
      </c>
      <c r="M43" s="118"/>
      <c r="N43" s="127"/>
      <c r="O43" s="127"/>
      <c r="P43" s="127"/>
      <c r="Q43" s="127"/>
      <c r="R43" s="127"/>
      <c r="S43" s="127"/>
      <c r="T43" s="127"/>
      <c r="U43" s="127"/>
      <c r="V43" s="127"/>
      <c r="W43" s="127"/>
      <c r="X43" s="127"/>
      <c r="Y43" s="127"/>
      <c r="Z43" s="127"/>
      <c r="AA43" s="127"/>
    </row>
    <row r="44" spans="1:27">
      <c r="A44" s="118">
        <f ca="1">IFERROR(__xludf.DUMMYFUNCTION("""COMPUTED_VALUE"""),174904221976312)</f>
        <v>174904221976312</v>
      </c>
      <c r="B44" s="118" t="str">
        <f ca="1">IFERROR(__xludf.DUMMYFUNCTION("""COMPUTED_VALUE"""),"120227564446300694")</f>
        <v>120227564446300694</v>
      </c>
      <c r="C44" s="119" t="str">
        <f ca="1">IFERROR(__xludf.DUMMYFUNCTION("""COMPUTED_VALUE"""),"SPESIALIS TAMAN")</f>
        <v>SPESIALIS TAMAN</v>
      </c>
      <c r="D44" s="120" t="str">
        <f ca="1">IFERROR(__xludf.DUMMYFUNCTION("""COMPUTED_VALUE"""),"https://wa.me/6285240694097")</f>
        <v>https://wa.me/6285240694097</v>
      </c>
      <c r="E44" s="121" t="str">
        <f ca="1">IFERROR(__xludf.DUMMYFUNCTION("""COMPUTED_VALUE"""),"6285240694097")</f>
        <v>6285240694097</v>
      </c>
      <c r="F44" s="121">
        <f ca="1">IFERROR(__xludf.DUMMYFUNCTION("""COMPUTED_VALUE"""),35153)</f>
        <v>35153</v>
      </c>
      <c r="G44" s="121">
        <f ca="1">IFERROR(__xludf.DUMMYFUNCTION("""COMPUTED_VALUE"""),11783.4571428571)</f>
        <v>11783.4571428571</v>
      </c>
      <c r="H44" s="122">
        <f ca="1">IFERROR(__xludf.DUMMYFUNCTION("""COMPUTED_VALUE"""),106)</f>
        <v>106</v>
      </c>
      <c r="I44" s="123">
        <f ca="1">IFERROR(__xludf.DUMMYFUNCTION("""COMPUTED_VALUE"""),483096)</f>
        <v>483096</v>
      </c>
      <c r="J44" s="124">
        <f ca="1">IFERROR(__xludf.DUMMYFUNCTION("""COMPUTED_VALUE"""),4557.50943396226)</f>
        <v>4557.5094339622601</v>
      </c>
      <c r="K44" s="125">
        <f ca="1">IFERROR(__xludf.DUMMYFUNCTION("""COMPUTED_VALUE"""),32.2064)</f>
        <v>32.206400000000002</v>
      </c>
      <c r="L44" s="126" t="str">
        <f ca="1"/>
        <v>Wiris Variasi</v>
      </c>
      <c r="M44" s="118"/>
      <c r="N44" s="127"/>
      <c r="O44" s="127"/>
      <c r="P44" s="127"/>
      <c r="Q44" s="127"/>
      <c r="R44" s="127"/>
      <c r="S44" s="127"/>
      <c r="T44" s="127"/>
      <c r="U44" s="127"/>
      <c r="V44" s="127"/>
      <c r="W44" s="127"/>
      <c r="X44" s="127"/>
      <c r="Y44" s="127"/>
      <c r="Z44" s="127"/>
      <c r="AA44" s="127"/>
    </row>
    <row r="45" spans="1:27">
      <c r="A45" s="118">
        <f ca="1">IFERROR(__xludf.DUMMYFUNCTION("""COMPUTED_VALUE"""),174904221976312)</f>
        <v>174904221976312</v>
      </c>
      <c r="B45" s="118" t="str">
        <f ca="1">IFERROR(__xludf.DUMMYFUNCTION("""COMPUTED_VALUE"""),"120227578600790694")</f>
        <v>120227578600790694</v>
      </c>
      <c r="C45" s="119" t="str">
        <f ca="1">IFERROR(__xludf.DUMMYFUNCTION("""COMPUTED_VALUE"""),"Bumi persada")</f>
        <v>Bumi persada</v>
      </c>
      <c r="D45" s="120" t="str">
        <f ca="1">IFERROR(__xludf.DUMMYFUNCTION("""COMPUTED_VALUE"""),"https://wa.me/6285266218699")</f>
        <v>https://wa.me/6285266218699</v>
      </c>
      <c r="E45" s="121" t="str">
        <f ca="1">IFERROR(__xludf.DUMMYFUNCTION("""COMPUTED_VALUE"""),"6285266218699")</f>
        <v>6285266218699</v>
      </c>
      <c r="F45" s="121">
        <f ca="1">IFERROR(__xludf.DUMMYFUNCTION("""COMPUTED_VALUE"""),8792)</f>
        <v>8792</v>
      </c>
      <c r="G45" s="121">
        <f ca="1">IFERROR(__xludf.DUMMYFUNCTION("""COMPUTED_VALUE"""),12074.125)</f>
        <v>12074.125</v>
      </c>
      <c r="H45" s="122">
        <f ca="1">IFERROR(__xludf.DUMMYFUNCTION("""COMPUTED_VALUE"""),47)</f>
        <v>47</v>
      </c>
      <c r="I45" s="123">
        <f ca="1">IFERROR(__xludf.DUMMYFUNCTION("""COMPUTED_VALUE"""),107783)</f>
        <v>107783</v>
      </c>
      <c r="J45" s="124">
        <f ca="1">IFERROR(__xludf.DUMMYFUNCTION("""COMPUTED_VALUE"""),2293.25531914893)</f>
        <v>2293.2553191489301</v>
      </c>
      <c r="K45" s="125">
        <f ca="1">IFERROR(__xludf.DUMMYFUNCTION("""COMPUTED_VALUE"""),7.18553333333333)</f>
        <v>7.1855333333333302</v>
      </c>
      <c r="L45" s="126" t="str">
        <f ca="1"/>
        <v>Wiris Variasi</v>
      </c>
      <c r="M45" s="118"/>
      <c r="N45" s="127"/>
      <c r="O45" s="127"/>
      <c r="P45" s="127"/>
      <c r="Q45" s="127"/>
      <c r="R45" s="127"/>
      <c r="S45" s="127"/>
      <c r="T45" s="127"/>
      <c r="U45" s="127"/>
      <c r="V45" s="127"/>
      <c r="W45" s="127"/>
      <c r="X45" s="127"/>
      <c r="Y45" s="127"/>
      <c r="Z45" s="127"/>
      <c r="AA45" s="127"/>
    </row>
    <row r="46" spans="1:27">
      <c r="A46" s="118">
        <f ca="1">IFERROR(__xludf.DUMMYFUNCTION("""COMPUTED_VALUE"""),174904221976312)</f>
        <v>174904221976312</v>
      </c>
      <c r="B46" s="118" t="str">
        <f ca="1">IFERROR(__xludf.DUMMYFUNCTION("""COMPUTED_VALUE"""),"120227588298590694")</f>
        <v>120227588298590694</v>
      </c>
      <c r="C46" s="119" t="str">
        <f ca="1">IFERROR(__xludf.DUMMYFUNCTION("""COMPUTED_VALUE"""),"Bayu Meble")</f>
        <v>Bayu Meble</v>
      </c>
      <c r="D46" s="120" t="str">
        <f ca="1">IFERROR(__xludf.DUMMYFUNCTION("""COMPUTED_VALUE"""),"https://wa.me/6281938563373")</f>
        <v>https://wa.me/6281938563373</v>
      </c>
      <c r="E46" s="121" t="str">
        <f ca="1">IFERROR(__xludf.DUMMYFUNCTION("""COMPUTED_VALUE"""),"6281938563373")</f>
        <v>6281938563373</v>
      </c>
      <c r="F46" s="121">
        <f ca="1">IFERROR(__xludf.DUMMYFUNCTION("""COMPUTED_VALUE"""),1724)</f>
        <v>1724</v>
      </c>
      <c r="G46" s="121">
        <f ca="1">IFERROR(__xludf.DUMMYFUNCTION("""COMPUTED_VALUE"""),40099.1666666666)</f>
        <v>40099.166666666599</v>
      </c>
      <c r="H46" s="122">
        <f ca="1">IFERROR(__xludf.DUMMYFUNCTION("""COMPUTED_VALUE"""),7)</f>
        <v>7</v>
      </c>
      <c r="I46" s="123">
        <f ca="1">IFERROR(__xludf.DUMMYFUNCTION("""COMPUTED_VALUE"""),63855)</f>
        <v>63855</v>
      </c>
      <c r="J46" s="124">
        <f ca="1">IFERROR(__xludf.DUMMYFUNCTION("""COMPUTED_VALUE"""),9122.14285714285)</f>
        <v>9122.1428571428496</v>
      </c>
      <c r="K46" s="125">
        <f ca="1">IFERROR(__xludf.DUMMYFUNCTION("""COMPUTED_VALUE"""),4.257)</f>
        <v>4.2569999999999997</v>
      </c>
      <c r="L46" s="126" t="str">
        <f ca="1"/>
        <v>Wiris Variasi</v>
      </c>
      <c r="M46" s="118"/>
      <c r="N46" s="127"/>
      <c r="O46" s="127"/>
      <c r="P46" s="127"/>
      <c r="Q46" s="127"/>
      <c r="R46" s="127"/>
      <c r="S46" s="127"/>
      <c r="T46" s="127"/>
      <c r="U46" s="127"/>
      <c r="V46" s="127"/>
      <c r="W46" s="127"/>
      <c r="X46" s="127"/>
      <c r="Y46" s="127"/>
      <c r="Z46" s="127"/>
      <c r="AA46" s="127"/>
    </row>
    <row r="47" spans="1:27">
      <c r="A47" s="118">
        <f ca="1">IFERROR(__xludf.DUMMYFUNCTION("""COMPUTED_VALUE"""),174904221976312)</f>
        <v>174904221976312</v>
      </c>
      <c r="B47" s="118" t="str">
        <f ca="1">IFERROR(__xludf.DUMMYFUNCTION("""COMPUTED_VALUE"""),"120227693238420694")</f>
        <v>120227693238420694</v>
      </c>
      <c r="C47" s="119" t="str">
        <f ca="1">IFERROR(__xludf.DUMMYFUNCTION("""COMPUTED_VALUE"""),"RUMAH SOFA")</f>
        <v>RUMAH SOFA</v>
      </c>
      <c r="D47" s="120" t="str">
        <f ca="1">IFERROR(__xludf.DUMMYFUNCTION("""COMPUTED_VALUE"""),"https://wa.me/6281347156140")</f>
        <v>https://wa.me/6281347156140</v>
      </c>
      <c r="E47" s="121" t="str">
        <f ca="1">IFERROR(__xludf.DUMMYFUNCTION("""COMPUTED_VALUE"""),"6281347156140")</f>
        <v>6281347156140</v>
      </c>
      <c r="F47" s="121">
        <f ca="1">IFERROR(__xludf.DUMMYFUNCTION("""COMPUTED_VALUE"""),4871)</f>
        <v>4871</v>
      </c>
      <c r="G47" s="121">
        <f ca="1">IFERROR(__xludf.DUMMYFUNCTION("""COMPUTED_VALUE"""),11936.6)</f>
        <v>11936.6</v>
      </c>
      <c r="H47" s="122">
        <f ca="1">IFERROR(__xludf.DUMMYFUNCTION("""COMPUTED_VALUE"""),34)</f>
        <v>34</v>
      </c>
      <c r="I47" s="123">
        <f ca="1">IFERROR(__xludf.DUMMYFUNCTION("""COMPUTED_VALUE"""),70592)</f>
        <v>70592</v>
      </c>
      <c r="J47" s="124">
        <f ca="1">IFERROR(__xludf.DUMMYFUNCTION("""COMPUTED_VALUE"""),2076.23529411764)</f>
        <v>2076.23529411764</v>
      </c>
      <c r="K47" s="125">
        <f ca="1">IFERROR(__xludf.DUMMYFUNCTION("""COMPUTED_VALUE"""),4.70613333333333)</f>
        <v>4.7061333333333302</v>
      </c>
      <c r="L47" s="126" t="str">
        <f ca="1"/>
        <v>Wiris Variasi</v>
      </c>
      <c r="M47" s="118"/>
      <c r="N47" s="127"/>
      <c r="O47" s="127"/>
      <c r="P47" s="127"/>
      <c r="Q47" s="127"/>
      <c r="R47" s="127"/>
      <c r="S47" s="127"/>
      <c r="T47" s="127"/>
      <c r="U47" s="127"/>
      <c r="V47" s="127"/>
      <c r="W47" s="127"/>
      <c r="X47" s="127"/>
      <c r="Y47" s="127"/>
      <c r="Z47" s="127"/>
      <c r="AA47" s="127"/>
    </row>
    <row r="48" spans="1:27">
      <c r="A48" s="118">
        <f ca="1">IFERROR(__xludf.DUMMYFUNCTION("""COMPUTED_VALUE"""),174904221976312)</f>
        <v>174904221976312</v>
      </c>
      <c r="B48" s="118" t="str">
        <f ca="1">IFERROR(__xludf.DUMMYFUNCTION("""COMPUTED_VALUE"""),"120227698210920694")</f>
        <v>120227698210920694</v>
      </c>
      <c r="C48" s="119" t="str">
        <f ca="1">IFERROR(__xludf.DUMMYFUNCTION("""COMPUTED_VALUE"""),"Rimbun Nursery")</f>
        <v>Rimbun Nursery</v>
      </c>
      <c r="D48" s="120" t="str">
        <f ca="1">IFERROR(__xludf.DUMMYFUNCTION("""COMPUTED_VALUE"""),"https://wa.me/6281213589905")</f>
        <v>https://wa.me/6281213589905</v>
      </c>
      <c r="E48" s="121" t="str">
        <f ca="1">IFERROR(__xludf.DUMMYFUNCTION("""COMPUTED_VALUE"""),"6281213589905")</f>
        <v>6281213589905</v>
      </c>
      <c r="F48" s="121">
        <f ca="1">IFERROR(__xludf.DUMMYFUNCTION("""COMPUTED_VALUE"""),2613)</f>
        <v>2613</v>
      </c>
      <c r="G48" s="121">
        <f ca="1">IFERROR(__xludf.DUMMYFUNCTION("""COMPUTED_VALUE"""),43286.8)</f>
        <v>43286.8</v>
      </c>
      <c r="H48" s="122">
        <f ca="1">IFERROR(__xludf.DUMMYFUNCTION("""COMPUTED_VALUE"""),12)</f>
        <v>12</v>
      </c>
      <c r="I48" s="123">
        <f ca="1">IFERROR(__xludf.DUMMYFUNCTION("""COMPUTED_VALUE"""),125372)</f>
        <v>125372</v>
      </c>
      <c r="J48" s="124">
        <f ca="1">IFERROR(__xludf.DUMMYFUNCTION("""COMPUTED_VALUE"""),10447.6666666666)</f>
        <v>10447.666666666601</v>
      </c>
      <c r="K48" s="125">
        <f ca="1">IFERROR(__xludf.DUMMYFUNCTION("""COMPUTED_VALUE"""),8.35813333333333)</f>
        <v>8.3581333333333294</v>
      </c>
      <c r="L48" s="126" t="str">
        <f ca="1"/>
        <v>Wiris Variasi</v>
      </c>
      <c r="M48" s="118"/>
      <c r="N48" s="127"/>
      <c r="O48" s="127"/>
      <c r="P48" s="127"/>
      <c r="Q48" s="127"/>
      <c r="R48" s="127"/>
      <c r="S48" s="127"/>
      <c r="T48" s="127"/>
      <c r="U48" s="127"/>
      <c r="V48" s="127"/>
      <c r="W48" s="127"/>
      <c r="X48" s="127"/>
      <c r="Y48" s="127"/>
      <c r="Z48" s="127"/>
      <c r="AA48" s="127"/>
    </row>
    <row r="49" spans="1:27">
      <c r="A49" s="118">
        <f ca="1">IFERROR(__xludf.DUMMYFUNCTION("""COMPUTED_VALUE"""),174904221976312)</f>
        <v>174904221976312</v>
      </c>
      <c r="B49" s="118" t="str">
        <f ca="1">IFERROR(__xludf.DUMMYFUNCTION("""COMPUTED_VALUE"""),"120227814930420694")</f>
        <v>120227814930420694</v>
      </c>
      <c r="C49" s="119" t="str">
        <f ca="1">IFERROR(__xludf.DUMMYFUNCTION("""COMPUTED_VALUE"""),"Aqip Custom")</f>
        <v>Aqip Custom</v>
      </c>
      <c r="D49" s="120" t="str">
        <f ca="1">IFERROR(__xludf.DUMMYFUNCTION("""COMPUTED_VALUE"""),"https://wa.me/6288228976100")</f>
        <v>https://wa.me/6288228976100</v>
      </c>
      <c r="E49" s="121" t="str">
        <f ca="1">IFERROR(__xludf.DUMMYFUNCTION("""COMPUTED_VALUE"""),"6288228976100")</f>
        <v>6288228976100</v>
      </c>
      <c r="F49" s="121">
        <f ca="1">IFERROR(__xludf.DUMMYFUNCTION("""COMPUTED_VALUE"""),10983)</f>
        <v>10983</v>
      </c>
      <c r="G49" s="121">
        <f ca="1">IFERROR(__xludf.DUMMYFUNCTION("""COMPUTED_VALUE"""),23425.25)</f>
        <v>23425.25</v>
      </c>
      <c r="H49" s="122">
        <f ca="1">IFERROR(__xludf.DUMMYFUNCTION("""COMPUTED_VALUE"""),19)</f>
        <v>19</v>
      </c>
      <c r="I49" s="123">
        <f ca="1">IFERROR(__xludf.DUMMYFUNCTION("""COMPUTED_VALUE"""),257700)</f>
        <v>257700</v>
      </c>
      <c r="J49" s="124">
        <f ca="1">IFERROR(__xludf.DUMMYFUNCTION("""COMPUTED_VALUE"""),13563.1578947368)</f>
        <v>13563.1578947368</v>
      </c>
      <c r="K49" s="125">
        <f ca="1">IFERROR(__xludf.DUMMYFUNCTION("""COMPUTED_VALUE"""),17.18)</f>
        <v>17.18</v>
      </c>
      <c r="L49" s="126" t="str">
        <f ca="1"/>
        <v>Wiris Variasi</v>
      </c>
      <c r="M49" s="118"/>
      <c r="N49" s="127"/>
      <c r="O49" s="127"/>
      <c r="P49" s="127"/>
      <c r="Q49" s="127"/>
      <c r="R49" s="127"/>
      <c r="S49" s="127"/>
      <c r="T49" s="127"/>
      <c r="U49" s="127"/>
      <c r="V49" s="127"/>
      <c r="W49" s="127"/>
      <c r="X49" s="127"/>
      <c r="Y49" s="127"/>
      <c r="Z49" s="127"/>
      <c r="AA49" s="127"/>
    </row>
    <row r="50" spans="1:27">
      <c r="A50" s="118">
        <f ca="1">IFERROR(__xludf.DUMMYFUNCTION("""COMPUTED_VALUE"""),174904221976312)</f>
        <v>174904221976312</v>
      </c>
      <c r="B50" s="118" t="str">
        <f ca="1">IFERROR(__xludf.DUMMYFUNCTION("""COMPUTED_VALUE"""),"120227825449170694")</f>
        <v>120227825449170694</v>
      </c>
      <c r="C50" s="119" t="str">
        <f ca="1">IFERROR(__xludf.DUMMYFUNCTION("""COMPUTED_VALUE"""),"Berkah Doa")</f>
        <v>Berkah Doa</v>
      </c>
      <c r="D50" s="120" t="str">
        <f ca="1">IFERROR(__xludf.DUMMYFUNCTION("""COMPUTED_VALUE"""),"https://wa.me/6285340323663")</f>
        <v>https://wa.me/6285340323663</v>
      </c>
      <c r="E50" s="121" t="str">
        <f ca="1">IFERROR(__xludf.DUMMYFUNCTION("""COMPUTED_VALUE"""),"6285340323663")</f>
        <v>6285340323663</v>
      </c>
      <c r="F50" s="121">
        <f ca="1">IFERROR(__xludf.DUMMYFUNCTION("""COMPUTED_VALUE"""),4525)</f>
        <v>4525</v>
      </c>
      <c r="G50" s="121">
        <f ca="1">IFERROR(__xludf.DUMMYFUNCTION("""COMPUTED_VALUE"""),13250.2)</f>
        <v>13250.2</v>
      </c>
      <c r="H50" s="122">
        <f ca="1">IFERROR(__xludf.DUMMYFUNCTION("""COMPUTED_VALUE"""),22)</f>
        <v>22</v>
      </c>
      <c r="I50" s="123">
        <f ca="1">IFERROR(__xludf.DUMMYFUNCTION("""COMPUTED_VALUE"""),68609)</f>
        <v>68609</v>
      </c>
      <c r="J50" s="124">
        <f ca="1">IFERROR(__xludf.DUMMYFUNCTION("""COMPUTED_VALUE"""),3118.5909090909)</f>
        <v>3118.5909090908999</v>
      </c>
      <c r="K50" s="125">
        <f ca="1">IFERROR(__xludf.DUMMYFUNCTION("""COMPUTED_VALUE"""),4.57393333333333)</f>
        <v>4.5739333333333301</v>
      </c>
      <c r="L50" s="126" t="str">
        <f ca="1"/>
        <v>Wiris Variasi</v>
      </c>
      <c r="M50" s="118"/>
      <c r="N50" s="127"/>
      <c r="O50" s="127"/>
      <c r="P50" s="127"/>
      <c r="Q50" s="127"/>
      <c r="R50" s="127"/>
      <c r="S50" s="127"/>
      <c r="T50" s="127"/>
      <c r="U50" s="127"/>
      <c r="V50" s="127"/>
      <c r="W50" s="127"/>
      <c r="X50" s="127"/>
      <c r="Y50" s="127"/>
      <c r="Z50" s="127"/>
      <c r="AA50" s="127"/>
    </row>
    <row r="51" spans="1:27">
      <c r="A51" s="118">
        <f ca="1">IFERROR(__xludf.DUMMYFUNCTION("""COMPUTED_VALUE"""),174904221976312)</f>
        <v>174904221976312</v>
      </c>
      <c r="B51" s="118" t="str">
        <f ca="1">IFERROR(__xludf.DUMMYFUNCTION("""COMPUTED_VALUE"""),"120227828357290694")</f>
        <v>120227828357290694</v>
      </c>
      <c r="C51" s="119" t="str">
        <f ca="1">IFERROR(__xludf.DUMMYFUNCTION("""COMPUTED_VALUE"""),"Bayu Meble")</f>
        <v>Bayu Meble</v>
      </c>
      <c r="D51" s="120" t="str">
        <f ca="1">IFERROR(__xludf.DUMMYFUNCTION("""COMPUTED_VALUE"""),"https://wa.me/6281938563373")</f>
        <v>https://wa.me/6281938563373</v>
      </c>
      <c r="E51" s="121" t="str">
        <f ca="1">IFERROR(__xludf.DUMMYFUNCTION("""COMPUTED_VALUE"""),"6281938563373")</f>
        <v>6281938563373</v>
      </c>
      <c r="F51" s="121">
        <f ca="1">IFERROR(__xludf.DUMMYFUNCTION("""COMPUTED_VALUE"""),669)</f>
        <v>669</v>
      </c>
      <c r="G51" s="121">
        <f ca="1">IFERROR(__xludf.DUMMYFUNCTION("""COMPUTED_VALUE"""),32679.5)</f>
        <v>32679.5</v>
      </c>
      <c r="H51" s="122">
        <f ca="1">IFERROR(__xludf.DUMMYFUNCTION("""COMPUTED_VALUE"""),0)</f>
        <v>0</v>
      </c>
      <c r="I51" s="123">
        <f ca="1">IFERROR(__xludf.DUMMYFUNCTION("""COMPUTED_VALUE"""),23429)</f>
        <v>23429</v>
      </c>
      <c r="J51" s="124"/>
      <c r="K51" s="125">
        <f ca="1">IFERROR(__xludf.DUMMYFUNCTION("""COMPUTED_VALUE"""),1.56193333333333)</f>
        <v>1.5619333333333301</v>
      </c>
      <c r="L51" s="126" t="str">
        <f ca="1"/>
        <v>Wiris Variasi</v>
      </c>
      <c r="M51" s="118"/>
      <c r="N51" s="127"/>
      <c r="O51" s="127"/>
      <c r="P51" s="127"/>
      <c r="Q51" s="127"/>
      <c r="R51" s="127"/>
      <c r="S51" s="127"/>
      <c r="T51" s="127"/>
      <c r="U51" s="127"/>
      <c r="V51" s="127"/>
      <c r="W51" s="127"/>
      <c r="X51" s="127"/>
      <c r="Y51" s="127"/>
      <c r="Z51" s="127"/>
      <c r="AA51" s="127"/>
    </row>
    <row r="52" spans="1:27">
      <c r="A52" s="118">
        <f ca="1">IFERROR(__xludf.DUMMYFUNCTION("""COMPUTED_VALUE"""),174904221976312)</f>
        <v>174904221976312</v>
      </c>
      <c r="B52" s="118" t="str">
        <f ca="1">IFERROR(__xludf.DUMMYFUNCTION("""COMPUTED_VALUE"""),"120227890334950694")</f>
        <v>120227890334950694</v>
      </c>
      <c r="C52" s="119" t="str">
        <f ca="1">IFERROR(__xludf.DUMMYFUNCTION("""COMPUTED_VALUE"""),"Urut 10")</f>
        <v>Urut 10</v>
      </c>
      <c r="D52" s="120" t="str">
        <f ca="1">IFERROR(__xludf.DUMMYFUNCTION("""COMPUTED_VALUE"""),"https://wa.me/6281291128945")</f>
        <v>https://wa.me/6281291128945</v>
      </c>
      <c r="E52" s="121" t="str">
        <f ca="1">IFERROR(__xludf.DUMMYFUNCTION("""COMPUTED_VALUE"""),"6281291128945")</f>
        <v>6281291128945</v>
      </c>
      <c r="F52" s="121">
        <f ca="1">IFERROR(__xludf.DUMMYFUNCTION("""COMPUTED_VALUE"""),15815)</f>
        <v>15815</v>
      </c>
      <c r="G52" s="121">
        <f ca="1">IFERROR(__xludf.DUMMYFUNCTION("""COMPUTED_VALUE"""),4996.6)</f>
        <v>4996.6000000000004</v>
      </c>
      <c r="H52" s="122">
        <f ca="1">IFERROR(__xludf.DUMMYFUNCTION("""COMPUTED_VALUE"""),1)</f>
        <v>1</v>
      </c>
      <c r="I52" s="123">
        <f ca="1">IFERROR(__xludf.DUMMYFUNCTION("""COMPUTED_VALUE"""),77436)</f>
        <v>77436</v>
      </c>
      <c r="J52" s="124">
        <f ca="1">IFERROR(__xludf.DUMMYFUNCTION("""COMPUTED_VALUE"""),77436)</f>
        <v>77436</v>
      </c>
      <c r="K52" s="125">
        <f ca="1">IFERROR(__xludf.DUMMYFUNCTION("""COMPUTED_VALUE"""),5.1624)</f>
        <v>5.1623999999999999</v>
      </c>
      <c r="L52" s="126" t="str">
        <f ca="1"/>
        <v>Wiris Variasi</v>
      </c>
      <c r="M52" s="118"/>
      <c r="N52" s="127"/>
      <c r="O52" s="127"/>
      <c r="P52" s="127"/>
      <c r="Q52" s="127"/>
      <c r="R52" s="127"/>
      <c r="S52" s="127"/>
      <c r="T52" s="127"/>
      <c r="U52" s="127"/>
      <c r="V52" s="127"/>
      <c r="W52" s="127"/>
      <c r="X52" s="127"/>
      <c r="Y52" s="127"/>
      <c r="Z52" s="127"/>
      <c r="AA52" s="127"/>
    </row>
    <row r="53" spans="1:27">
      <c r="A53" s="118">
        <f ca="1">IFERROR(__xludf.DUMMYFUNCTION("""COMPUTED_VALUE"""),174904221976312)</f>
        <v>174904221976312</v>
      </c>
      <c r="B53" s="118" t="str">
        <f ca="1">IFERROR(__xludf.DUMMYFUNCTION("""COMPUTED_VALUE"""),"120227891726170694")</f>
        <v>120227891726170694</v>
      </c>
      <c r="C53" s="119" t="str">
        <f ca="1">IFERROR(__xludf.DUMMYFUNCTION("""COMPUTED_VALUE"""),"Healty Wellnes")</f>
        <v>Healty Wellnes</v>
      </c>
      <c r="D53" s="120" t="str">
        <f ca="1">IFERROR(__xludf.DUMMYFUNCTION("""COMPUTED_VALUE"""),"https://wa.me/6281343148204")</f>
        <v>https://wa.me/6281343148204</v>
      </c>
      <c r="E53" s="121" t="str">
        <f ca="1">IFERROR(__xludf.DUMMYFUNCTION("""COMPUTED_VALUE"""),"6281343148204")</f>
        <v>6281343148204</v>
      </c>
      <c r="F53" s="121">
        <f ca="1">IFERROR(__xludf.DUMMYFUNCTION("""COMPUTED_VALUE"""),5092)</f>
        <v>5092</v>
      </c>
      <c r="G53" s="121">
        <f ca="1">IFERROR(__xludf.DUMMYFUNCTION("""COMPUTED_VALUE"""),11086)</f>
        <v>11086</v>
      </c>
      <c r="H53" s="122">
        <f ca="1">IFERROR(__xludf.DUMMYFUNCTION("""COMPUTED_VALUE"""),9)</f>
        <v>9</v>
      </c>
      <c r="I53" s="123">
        <f ca="1">IFERROR(__xludf.DUMMYFUNCTION("""COMPUTED_VALUE"""),61810)</f>
        <v>61810</v>
      </c>
      <c r="J53" s="124">
        <f ca="1">IFERROR(__xludf.DUMMYFUNCTION("""COMPUTED_VALUE"""),6867.77777777777)</f>
        <v>6867.7777777777701</v>
      </c>
      <c r="K53" s="125">
        <f ca="1">IFERROR(__xludf.DUMMYFUNCTION("""COMPUTED_VALUE"""),4.12066666666666)</f>
        <v>4.1206666666666596</v>
      </c>
      <c r="L53" s="126" t="str">
        <f ca="1"/>
        <v>Wiris Variasi</v>
      </c>
      <c r="M53" s="118"/>
      <c r="N53" s="127"/>
      <c r="O53" s="127"/>
      <c r="P53" s="127"/>
      <c r="Q53" s="127"/>
      <c r="R53" s="127"/>
      <c r="S53" s="127"/>
      <c r="T53" s="127"/>
      <c r="U53" s="127"/>
      <c r="V53" s="127"/>
      <c r="W53" s="127"/>
      <c r="X53" s="127"/>
      <c r="Y53" s="127"/>
      <c r="Z53" s="127"/>
      <c r="AA53" s="127"/>
    </row>
    <row r="54" spans="1:27">
      <c r="A54" s="118">
        <f ca="1">IFERROR(__xludf.DUMMYFUNCTION("""COMPUTED_VALUE"""),174904221976312)</f>
        <v>174904221976312</v>
      </c>
      <c r="B54" s="118" t="str">
        <f ca="1">IFERROR(__xludf.DUMMYFUNCTION("""COMPUTED_VALUE"""),"120227891949720694")</f>
        <v>120227891949720694</v>
      </c>
      <c r="C54" s="119" t="str">
        <f ca="1">IFERROR(__xludf.DUMMYFUNCTION("""COMPUTED_VALUE"""),"Griya Relaxology")</f>
        <v>Griya Relaxology</v>
      </c>
      <c r="D54" s="120" t="str">
        <f ca="1">IFERROR(__xludf.DUMMYFUNCTION("""COMPUTED_VALUE"""),"https://wa.me/6285869122507")</f>
        <v>https://wa.me/6285869122507</v>
      </c>
      <c r="E54" s="121" t="str">
        <f ca="1">IFERROR(__xludf.DUMMYFUNCTION("""COMPUTED_VALUE"""),"6285869122507")</f>
        <v>6285869122507</v>
      </c>
      <c r="F54" s="121">
        <f ca="1">IFERROR(__xludf.DUMMYFUNCTION("""COMPUTED_VALUE"""),3207)</f>
        <v>3207</v>
      </c>
      <c r="G54" s="121">
        <f ca="1">IFERROR(__xludf.DUMMYFUNCTION("""COMPUTED_VALUE"""),16933.2)</f>
        <v>16933.2</v>
      </c>
      <c r="H54" s="122">
        <f ca="1">IFERROR(__xludf.DUMMYFUNCTION("""COMPUTED_VALUE"""),40)</f>
        <v>40</v>
      </c>
      <c r="I54" s="123">
        <f ca="1">IFERROR(__xludf.DUMMYFUNCTION("""COMPUTED_VALUE"""),62291)</f>
        <v>62291</v>
      </c>
      <c r="J54" s="124">
        <f ca="1">IFERROR(__xludf.DUMMYFUNCTION("""COMPUTED_VALUE"""),1557.275)</f>
        <v>1557.2750000000001</v>
      </c>
      <c r="K54" s="125">
        <f ca="1">IFERROR(__xludf.DUMMYFUNCTION("""COMPUTED_VALUE"""),4.15273333333333)</f>
        <v>4.1527333333333303</v>
      </c>
      <c r="L54" s="126" t="str">
        <f ca="1"/>
        <v>Wiris Variasi</v>
      </c>
      <c r="M54" s="118"/>
      <c r="N54" s="127"/>
      <c r="O54" s="127"/>
      <c r="P54" s="127"/>
      <c r="Q54" s="127"/>
      <c r="R54" s="127"/>
      <c r="S54" s="127"/>
      <c r="T54" s="127"/>
      <c r="U54" s="127"/>
      <c r="V54" s="127"/>
      <c r="W54" s="127"/>
      <c r="X54" s="127"/>
      <c r="Y54" s="127"/>
      <c r="Z54" s="127"/>
      <c r="AA54" s="127"/>
    </row>
    <row r="55" spans="1:27">
      <c r="A55" s="118">
        <f ca="1">IFERROR(__xludf.DUMMYFUNCTION("""COMPUTED_VALUE"""),174904221976312)</f>
        <v>174904221976312</v>
      </c>
      <c r="B55" s="118" t="str">
        <f ca="1">IFERROR(__xludf.DUMMYFUNCTION("""COMPUTED_VALUE"""),"120227938431120694")</f>
        <v>120227938431120694</v>
      </c>
      <c r="C55" s="119" t="str">
        <f ca="1">IFERROR(__xludf.DUMMYFUNCTION("""COMPUTED_VALUE"""),"Griya srikandi")</f>
        <v>Griya srikandi</v>
      </c>
      <c r="D55" s="120" t="str">
        <f ca="1">IFERROR(__xludf.DUMMYFUNCTION("""COMPUTED_VALUE"""),"https://wa.me/6282188390340")</f>
        <v>https://wa.me/6282188390340</v>
      </c>
      <c r="E55" s="121" t="str">
        <f ca="1">IFERROR(__xludf.DUMMYFUNCTION("""COMPUTED_VALUE"""),"6282188390340")</f>
        <v>6282188390340</v>
      </c>
      <c r="F55" s="121">
        <f ca="1">IFERROR(__xludf.DUMMYFUNCTION("""COMPUTED_VALUE"""),9252)</f>
        <v>9252</v>
      </c>
      <c r="G55" s="121">
        <f ca="1">IFERROR(__xludf.DUMMYFUNCTION("""COMPUTED_VALUE"""),6379.4)</f>
        <v>6379.4</v>
      </c>
      <c r="H55" s="122">
        <f ca="1">IFERROR(__xludf.DUMMYFUNCTION("""COMPUTED_VALUE"""),17)</f>
        <v>17</v>
      </c>
      <c r="I55" s="123">
        <f ca="1">IFERROR(__xludf.DUMMYFUNCTION("""COMPUTED_VALUE"""),66150)</f>
        <v>66150</v>
      </c>
      <c r="J55" s="124">
        <f ca="1">IFERROR(__xludf.DUMMYFUNCTION("""COMPUTED_VALUE"""),3891.17647058823)</f>
        <v>3891.1764705882301</v>
      </c>
      <c r="K55" s="125">
        <f ca="1">IFERROR(__xludf.DUMMYFUNCTION("""COMPUTED_VALUE"""),4.41)</f>
        <v>4.41</v>
      </c>
      <c r="L55" s="126" t="str">
        <f ca="1"/>
        <v>Wiris Variasi</v>
      </c>
      <c r="M55" s="118"/>
      <c r="N55" s="127"/>
      <c r="O55" s="127"/>
      <c r="P55" s="127"/>
      <c r="Q55" s="127"/>
      <c r="R55" s="127"/>
      <c r="S55" s="127"/>
      <c r="T55" s="127"/>
      <c r="U55" s="127"/>
      <c r="V55" s="127"/>
      <c r="W55" s="127"/>
      <c r="X55" s="127"/>
      <c r="Y55" s="127"/>
      <c r="Z55" s="127"/>
      <c r="AA55" s="127"/>
    </row>
    <row r="56" spans="1:27">
      <c r="A56" s="118">
        <f ca="1">IFERROR(__xludf.DUMMYFUNCTION("""COMPUTED_VALUE"""),174904221976312)</f>
        <v>174904221976312</v>
      </c>
      <c r="B56" s="118" t="str">
        <f ca="1">IFERROR(__xludf.DUMMYFUNCTION("""COMPUTED_VALUE"""),"120227947213130694")</f>
        <v>120227947213130694</v>
      </c>
      <c r="C56" s="119" t="str">
        <f ca="1">IFERROR(__xludf.DUMMYFUNCTION("""COMPUTED_VALUE"""),"Allang Transport")</f>
        <v>Allang Transport</v>
      </c>
      <c r="D56" s="120" t="str">
        <f ca="1">IFERROR(__xludf.DUMMYFUNCTION("""COMPUTED_VALUE"""),"https://wa.me/6282247030008")</f>
        <v>https://wa.me/6282247030008</v>
      </c>
      <c r="E56" s="121" t="str">
        <f ca="1">IFERROR(__xludf.DUMMYFUNCTION("""COMPUTED_VALUE"""),"6282247030008")</f>
        <v>6282247030008</v>
      </c>
      <c r="F56" s="121">
        <f ca="1">IFERROR(__xludf.DUMMYFUNCTION("""COMPUTED_VALUE"""),1896)</f>
        <v>1896</v>
      </c>
      <c r="G56" s="121">
        <f ca="1">IFERROR(__xludf.DUMMYFUNCTION("""COMPUTED_VALUE"""),30788.6)</f>
        <v>30788.6</v>
      </c>
      <c r="H56" s="122">
        <f ca="1">IFERROR(__xludf.DUMMYFUNCTION("""COMPUTED_VALUE"""),16)</f>
        <v>16</v>
      </c>
      <c r="I56" s="123">
        <f ca="1">IFERROR(__xludf.DUMMYFUNCTION("""COMPUTED_VALUE"""),66375)</f>
        <v>66375</v>
      </c>
      <c r="J56" s="124">
        <f ca="1">IFERROR(__xludf.DUMMYFUNCTION("""COMPUTED_VALUE"""),4148.4375)</f>
        <v>4148.4375</v>
      </c>
      <c r="K56" s="125">
        <f ca="1">IFERROR(__xludf.DUMMYFUNCTION("""COMPUTED_VALUE"""),4.425)</f>
        <v>4.4249999999999998</v>
      </c>
      <c r="L56" s="126" t="str">
        <f ca="1"/>
        <v>Wiris Variasi</v>
      </c>
      <c r="M56" s="118"/>
      <c r="N56" s="127"/>
      <c r="O56" s="127"/>
      <c r="P56" s="127"/>
      <c r="Q56" s="127"/>
      <c r="R56" s="127"/>
      <c r="S56" s="127"/>
      <c r="T56" s="127"/>
      <c r="U56" s="127"/>
      <c r="V56" s="127"/>
      <c r="W56" s="127"/>
      <c r="X56" s="127"/>
      <c r="Y56" s="127"/>
      <c r="Z56" s="127"/>
      <c r="AA56" s="127"/>
    </row>
    <row r="57" spans="1:27">
      <c r="A57" s="118">
        <f ca="1">IFERROR(__xludf.DUMMYFUNCTION("""COMPUTED_VALUE"""),174904221976312)</f>
        <v>174904221976312</v>
      </c>
      <c r="B57" s="118" t="str">
        <f ca="1">IFERROR(__xludf.DUMMYFUNCTION("""COMPUTED_VALUE"""),"120228017355590694")</f>
        <v>120228017355590694</v>
      </c>
      <c r="C57" s="119" t="str">
        <f ca="1">IFERROR(__xludf.DUMMYFUNCTION("""COMPUTED_VALUE"""),"Terapis Ahli")</f>
        <v>Terapis Ahli</v>
      </c>
      <c r="D57" s="120" t="str">
        <f ca="1">IFERROR(__xludf.DUMMYFUNCTION("""COMPUTED_VALUE"""),"https://wa.me/6282131666003")</f>
        <v>https://wa.me/6282131666003</v>
      </c>
      <c r="E57" s="121" t="str">
        <f ca="1">IFERROR(__xludf.DUMMYFUNCTION("""COMPUTED_VALUE"""),"6282131666003")</f>
        <v>6282131666003</v>
      </c>
      <c r="F57" s="121">
        <f ca="1">IFERROR(__xludf.DUMMYFUNCTION("""COMPUTED_VALUE"""),2983)</f>
        <v>2983</v>
      </c>
      <c r="G57" s="121">
        <f ca="1">IFERROR(__xludf.DUMMYFUNCTION("""COMPUTED_VALUE"""),19234)</f>
        <v>19234</v>
      </c>
      <c r="H57" s="122">
        <f ca="1">IFERROR(__xludf.DUMMYFUNCTION("""COMPUTED_VALUE"""),23)</f>
        <v>23</v>
      </c>
      <c r="I57" s="123">
        <f ca="1">IFERROR(__xludf.DUMMYFUNCTION("""COMPUTED_VALUE"""),67199)</f>
        <v>67199</v>
      </c>
      <c r="J57" s="124">
        <f ca="1">IFERROR(__xludf.DUMMYFUNCTION("""COMPUTED_VALUE"""),2921.69565217391)</f>
        <v>2921.6956521739098</v>
      </c>
      <c r="K57" s="125">
        <f ca="1">IFERROR(__xludf.DUMMYFUNCTION("""COMPUTED_VALUE"""),4.47993333333333)</f>
        <v>4.4799333333333298</v>
      </c>
      <c r="L57" s="126" t="str">
        <f ca="1"/>
        <v>Wiris Variasi</v>
      </c>
      <c r="M57" s="118"/>
      <c r="N57" s="127"/>
      <c r="O57" s="127"/>
      <c r="P57" s="127"/>
      <c r="Q57" s="127"/>
      <c r="R57" s="127"/>
      <c r="S57" s="127"/>
      <c r="T57" s="127"/>
      <c r="U57" s="127"/>
      <c r="V57" s="127"/>
      <c r="W57" s="127"/>
      <c r="X57" s="127"/>
      <c r="Y57" s="127"/>
      <c r="Z57" s="127"/>
      <c r="AA57" s="127"/>
    </row>
    <row r="58" spans="1:27">
      <c r="A58" s="118">
        <f ca="1">IFERROR(__xludf.DUMMYFUNCTION("""COMPUTED_VALUE"""),174904221976312)</f>
        <v>174904221976312</v>
      </c>
      <c r="B58" s="118" t="str">
        <f ca="1">IFERROR(__xludf.DUMMYFUNCTION("""COMPUTED_VALUE"""),"120228021613470694")</f>
        <v>120228021613470694</v>
      </c>
      <c r="C58" s="119" t="str">
        <f ca="1">IFERROR(__xludf.DUMMYFUNCTION("""COMPUTED_VALUE"""),"Sport Massage")</f>
        <v>Sport Massage</v>
      </c>
      <c r="D58" s="120" t="str">
        <f ca="1">IFERROR(__xludf.DUMMYFUNCTION("""COMPUTED_VALUE"""),"https://wa.me/6282114053996")</f>
        <v>https://wa.me/6282114053996</v>
      </c>
      <c r="E58" s="121" t="str">
        <f ca="1">IFERROR(__xludf.DUMMYFUNCTION("""COMPUTED_VALUE"""),"6282114053996")</f>
        <v>6282114053996</v>
      </c>
      <c r="F58" s="121">
        <f ca="1">IFERROR(__xludf.DUMMYFUNCTION("""COMPUTED_VALUE"""),4119)</f>
        <v>4119</v>
      </c>
      <c r="G58" s="121">
        <f ca="1">IFERROR(__xludf.DUMMYFUNCTION("""COMPUTED_VALUE"""),11864.6)</f>
        <v>11864.6</v>
      </c>
      <c r="H58" s="122">
        <f ca="1">IFERROR(__xludf.DUMMYFUNCTION("""COMPUTED_VALUE"""),10)</f>
        <v>10</v>
      </c>
      <c r="I58" s="123">
        <f ca="1">IFERROR(__xludf.DUMMYFUNCTION("""COMPUTED_VALUE"""),61897)</f>
        <v>61897</v>
      </c>
      <c r="J58" s="124">
        <f ca="1">IFERROR(__xludf.DUMMYFUNCTION("""COMPUTED_VALUE"""),6189.7)</f>
        <v>6189.7</v>
      </c>
      <c r="K58" s="125">
        <f ca="1">IFERROR(__xludf.DUMMYFUNCTION("""COMPUTED_VALUE"""),4.12646666666666)</f>
        <v>4.1264666666666603</v>
      </c>
      <c r="L58" s="126" t="str">
        <f ca="1"/>
        <v>Wiris Variasi</v>
      </c>
      <c r="M58" s="118"/>
      <c r="N58" s="127"/>
      <c r="O58" s="127"/>
      <c r="P58" s="127"/>
      <c r="Q58" s="127"/>
      <c r="R58" s="127"/>
      <c r="S58" s="127"/>
      <c r="T58" s="127"/>
      <c r="U58" s="127"/>
      <c r="V58" s="127"/>
      <c r="W58" s="127"/>
      <c r="X58" s="127"/>
      <c r="Y58" s="127"/>
      <c r="Z58" s="127"/>
      <c r="AA58" s="127"/>
    </row>
    <row r="59" spans="1:27">
      <c r="A59" s="118">
        <f ca="1">IFERROR(__xludf.DUMMYFUNCTION("""COMPUTED_VALUE"""),174904221976312)</f>
        <v>174904221976312</v>
      </c>
      <c r="B59" s="118" t="str">
        <f ca="1">IFERROR(__xludf.DUMMYFUNCTION("""COMPUTED_VALUE"""),"120228023842860694")</f>
        <v>120228023842860694</v>
      </c>
      <c r="C59" s="119" t="str">
        <f ca="1">IFERROR(__xludf.DUMMYFUNCTION("""COMPUTED_VALUE"""),"Thibun nabawi")</f>
        <v>Thibun nabawi</v>
      </c>
      <c r="D59" s="120" t="str">
        <f ca="1">IFERROR(__xludf.DUMMYFUNCTION("""COMPUTED_VALUE"""),"https://wa.me/6285263289844")</f>
        <v>https://wa.me/6285263289844</v>
      </c>
      <c r="E59" s="121" t="str">
        <f ca="1">IFERROR(__xludf.DUMMYFUNCTION("""COMPUTED_VALUE"""),"6285263289844")</f>
        <v>6285263289844</v>
      </c>
      <c r="F59" s="121">
        <f ca="1">IFERROR(__xludf.DUMMYFUNCTION("""COMPUTED_VALUE"""),4562)</f>
        <v>4562</v>
      </c>
      <c r="G59" s="121">
        <f ca="1">IFERROR(__xludf.DUMMYFUNCTION("""COMPUTED_VALUE"""),10448.8)</f>
        <v>10448.799999999999</v>
      </c>
      <c r="H59" s="122">
        <f ca="1">IFERROR(__xludf.DUMMYFUNCTION("""COMPUTED_VALUE"""),21)</f>
        <v>21</v>
      </c>
      <c r="I59" s="123">
        <f ca="1">IFERROR(__xludf.DUMMYFUNCTION("""COMPUTED_VALUE"""),63364)</f>
        <v>63364</v>
      </c>
      <c r="J59" s="124">
        <f ca="1">IFERROR(__xludf.DUMMYFUNCTION("""COMPUTED_VALUE"""),3017.33333333333)</f>
        <v>3017.3333333333298</v>
      </c>
      <c r="K59" s="125">
        <f ca="1">IFERROR(__xludf.DUMMYFUNCTION("""COMPUTED_VALUE"""),4.22426666666666)</f>
        <v>4.2242666666666597</v>
      </c>
      <c r="L59" s="126" t="str">
        <f ca="1"/>
        <v>Wiris Variasi</v>
      </c>
      <c r="M59" s="118"/>
      <c r="N59" s="127"/>
      <c r="O59" s="127"/>
      <c r="P59" s="127"/>
      <c r="Q59" s="127"/>
      <c r="R59" s="127"/>
      <c r="S59" s="127"/>
      <c r="T59" s="127"/>
      <c r="U59" s="127"/>
      <c r="V59" s="127"/>
      <c r="W59" s="127"/>
      <c r="X59" s="127"/>
      <c r="Y59" s="127"/>
      <c r="Z59" s="127"/>
      <c r="AA59" s="127"/>
    </row>
    <row r="60" spans="1:27">
      <c r="A60" s="118">
        <f ca="1">IFERROR(__xludf.DUMMYFUNCTION("""COMPUTED_VALUE"""),174904221976312)</f>
        <v>174904221976312</v>
      </c>
      <c r="B60" s="118" t="str">
        <f ca="1">IFERROR(__xludf.DUMMYFUNCTION("""COMPUTED_VALUE"""),"120228048305310694")</f>
        <v>120228048305310694</v>
      </c>
      <c r="C60" s="119" t="str">
        <f ca="1">IFERROR(__xludf.DUMMYFUNCTION("""COMPUTED_VALUE"""),"Jalan Kesehatan")</f>
        <v>Jalan Kesehatan</v>
      </c>
      <c r="D60" s="120" t="str">
        <f ca="1">IFERROR(__xludf.DUMMYFUNCTION("""COMPUTED_VALUE"""),"https://wa.me/6281934879222")</f>
        <v>https://wa.me/6281934879222</v>
      </c>
      <c r="E60" s="121" t="str">
        <f ca="1">IFERROR(__xludf.DUMMYFUNCTION("""COMPUTED_VALUE"""),"6281934879222")</f>
        <v>6281934879222</v>
      </c>
      <c r="F60" s="121">
        <f ca="1">IFERROR(__xludf.DUMMYFUNCTION("""COMPUTED_VALUE"""),4233)</f>
        <v>4233</v>
      </c>
      <c r="G60" s="121">
        <f ca="1">IFERROR(__xludf.DUMMYFUNCTION("""COMPUTED_VALUE"""),11903)</f>
        <v>11903</v>
      </c>
      <c r="H60" s="122">
        <f ca="1">IFERROR(__xludf.DUMMYFUNCTION("""COMPUTED_VALUE"""),9)</f>
        <v>9</v>
      </c>
      <c r="I60" s="123">
        <f ca="1">IFERROR(__xludf.DUMMYFUNCTION("""COMPUTED_VALUE"""),66132)</f>
        <v>66132</v>
      </c>
      <c r="J60" s="124">
        <f ca="1">IFERROR(__xludf.DUMMYFUNCTION("""COMPUTED_VALUE"""),7348)</f>
        <v>7348</v>
      </c>
      <c r="K60" s="125">
        <f ca="1">IFERROR(__xludf.DUMMYFUNCTION("""COMPUTED_VALUE"""),4.4088)</f>
        <v>4.4088000000000003</v>
      </c>
      <c r="L60" s="126" t="str">
        <f ca="1"/>
        <v>Wiris Variasi</v>
      </c>
      <c r="M60" s="118"/>
      <c r="N60" s="127"/>
      <c r="O60" s="127"/>
      <c r="P60" s="127"/>
      <c r="Q60" s="127"/>
      <c r="R60" s="127"/>
      <c r="S60" s="127"/>
      <c r="T60" s="127"/>
      <c r="U60" s="127"/>
      <c r="V60" s="127"/>
      <c r="W60" s="127"/>
      <c r="X60" s="127"/>
      <c r="Y60" s="127"/>
      <c r="Z60" s="127"/>
      <c r="AA60" s="127"/>
    </row>
    <row r="61" spans="1:27">
      <c r="A61" s="118">
        <f ca="1">IFERROR(__xludf.DUMMYFUNCTION("""COMPUTED_VALUE"""),174904221976312)</f>
        <v>174904221976312</v>
      </c>
      <c r="B61" s="118" t="str">
        <f ca="1">IFERROR(__xludf.DUMMYFUNCTION("""COMPUTED_VALUE"""),"120228084912580694")</f>
        <v>120228084912580694</v>
      </c>
      <c r="C61" s="119" t="str">
        <f ca="1">IFERROR(__xludf.DUMMYFUNCTION("""COMPUTED_VALUE"""),"Refleksi kretek")</f>
        <v>Refleksi kretek</v>
      </c>
      <c r="D61" s="120" t="str">
        <f ca="1">IFERROR(__xludf.DUMMYFUNCTION("""COMPUTED_VALUE"""),"https://wa.me/6281378152512")</f>
        <v>https://wa.me/6281378152512</v>
      </c>
      <c r="E61" s="121" t="str">
        <f ca="1">IFERROR(__xludf.DUMMYFUNCTION("""COMPUTED_VALUE"""),"6281378152512")</f>
        <v>6281378152512</v>
      </c>
      <c r="F61" s="121">
        <f ca="1">IFERROR(__xludf.DUMMYFUNCTION("""COMPUTED_VALUE"""),3983)</f>
        <v>3983</v>
      </c>
      <c r="G61" s="121">
        <f ca="1">IFERROR(__xludf.DUMMYFUNCTION("""COMPUTED_VALUE"""),13732.8)</f>
        <v>13732.8</v>
      </c>
      <c r="H61" s="122">
        <f ca="1">IFERROR(__xludf.DUMMYFUNCTION("""COMPUTED_VALUE"""),30)</f>
        <v>30</v>
      </c>
      <c r="I61" s="123">
        <f ca="1">IFERROR(__xludf.DUMMYFUNCTION("""COMPUTED_VALUE"""),68123)</f>
        <v>68123</v>
      </c>
      <c r="J61" s="124">
        <f ca="1">IFERROR(__xludf.DUMMYFUNCTION("""COMPUTED_VALUE"""),2270.76666666666)</f>
        <v>2270.7666666666601</v>
      </c>
      <c r="K61" s="125">
        <f ca="1">IFERROR(__xludf.DUMMYFUNCTION("""COMPUTED_VALUE"""),4.54153333333333)</f>
        <v>4.5415333333333301</v>
      </c>
      <c r="L61" s="126" t="str">
        <f ca="1"/>
        <v>Wiris Variasi</v>
      </c>
      <c r="M61" s="118"/>
      <c r="N61" s="127"/>
      <c r="O61" s="127"/>
      <c r="P61" s="127"/>
      <c r="Q61" s="127"/>
      <c r="R61" s="127"/>
      <c r="S61" s="127"/>
      <c r="T61" s="127"/>
      <c r="U61" s="127"/>
      <c r="V61" s="127"/>
      <c r="W61" s="127"/>
      <c r="X61" s="127"/>
      <c r="Y61" s="127"/>
      <c r="Z61" s="127"/>
      <c r="AA61" s="127"/>
    </row>
    <row r="62" spans="1:27">
      <c r="A62" s="118">
        <f ca="1">IFERROR(__xludf.DUMMYFUNCTION("""COMPUTED_VALUE"""),174904221976312)</f>
        <v>174904221976312</v>
      </c>
      <c r="B62" s="118" t="str">
        <f ca="1">IFERROR(__xludf.DUMMYFUNCTION("""COMPUTED_VALUE"""),"120228138031140694")</f>
        <v>120228138031140694</v>
      </c>
      <c r="C62" s="119" t="str">
        <f ca="1">IFERROR(__xludf.DUMMYFUNCTION("""COMPUTED_VALUE"""),"Mega Karya")</f>
        <v>Mega Karya</v>
      </c>
      <c r="D62" s="120" t="str">
        <f ca="1">IFERROR(__xludf.DUMMYFUNCTION("""COMPUTED_VALUE"""),"https://wa.me/6281352626888")</f>
        <v>https://wa.me/6281352626888</v>
      </c>
      <c r="E62" s="121" t="str">
        <f ca="1">IFERROR(__xludf.DUMMYFUNCTION("""COMPUTED_VALUE"""),"6281352626888")</f>
        <v>6281352626888</v>
      </c>
      <c r="F62" s="121">
        <f ca="1">IFERROR(__xludf.DUMMYFUNCTION("""COMPUTED_VALUE"""),5043)</f>
        <v>5043</v>
      </c>
      <c r="G62" s="121">
        <f ca="1">IFERROR(__xludf.DUMMYFUNCTION("""COMPUTED_VALUE"""),11440.4)</f>
        <v>11440.4</v>
      </c>
      <c r="H62" s="122">
        <f ca="1">IFERROR(__xludf.DUMMYFUNCTION("""COMPUTED_VALUE"""),28)</f>
        <v>28</v>
      </c>
      <c r="I62" s="123">
        <f ca="1">IFERROR(__xludf.DUMMYFUNCTION("""COMPUTED_VALUE"""),67150)</f>
        <v>67150</v>
      </c>
      <c r="J62" s="124">
        <f ca="1">IFERROR(__xludf.DUMMYFUNCTION("""COMPUTED_VALUE"""),2398.21428571428)</f>
        <v>2398.2142857142799</v>
      </c>
      <c r="K62" s="125">
        <f ca="1">IFERROR(__xludf.DUMMYFUNCTION("""COMPUTED_VALUE"""),4.47666666666666)</f>
        <v>4.4766666666666604</v>
      </c>
      <c r="L62" s="126" t="str">
        <f ca="1"/>
        <v>Wiris Variasi</v>
      </c>
      <c r="M62" s="118"/>
      <c r="N62" s="127"/>
      <c r="O62" s="127"/>
      <c r="P62" s="127"/>
      <c r="Q62" s="127"/>
      <c r="R62" s="127"/>
      <c r="S62" s="127"/>
      <c r="T62" s="127"/>
      <c r="U62" s="127"/>
      <c r="V62" s="127"/>
      <c r="W62" s="127"/>
      <c r="X62" s="127"/>
      <c r="Y62" s="127"/>
      <c r="Z62" s="127"/>
      <c r="AA62" s="127"/>
    </row>
    <row r="63" spans="1:27">
      <c r="A63" s="118">
        <f ca="1">IFERROR(__xludf.DUMMYFUNCTION("""COMPUTED_VALUE"""),174904221976312)</f>
        <v>174904221976312</v>
      </c>
      <c r="B63" s="118" t="str">
        <f ca="1">IFERROR(__xludf.DUMMYFUNCTION("""COMPUTED_VALUE"""),"120228138360020694")</f>
        <v>120228138360020694</v>
      </c>
      <c r="C63" s="119" t="str">
        <f ca="1">IFERROR(__xludf.DUMMYFUNCTION("""COMPUTED_VALUE"""),"Kue Zam")</f>
        <v>Kue Zam</v>
      </c>
      <c r="D63" s="120" t="str">
        <f ca="1">IFERROR(__xludf.DUMMYFUNCTION("""COMPUTED_VALUE"""),"https://wa.me/6281355026552")</f>
        <v>https://wa.me/6281355026552</v>
      </c>
      <c r="E63" s="121" t="str">
        <f ca="1">IFERROR(__xludf.DUMMYFUNCTION("""COMPUTED_VALUE"""),"6281355026552")</f>
        <v>6281355026552</v>
      </c>
      <c r="F63" s="121">
        <f ca="1">IFERROR(__xludf.DUMMYFUNCTION("""COMPUTED_VALUE"""),4617)</f>
        <v>4617</v>
      </c>
      <c r="G63" s="121">
        <f ca="1">IFERROR(__xludf.DUMMYFUNCTION("""COMPUTED_VALUE"""),13263.6)</f>
        <v>13263.6</v>
      </c>
      <c r="H63" s="122">
        <f ca="1">IFERROR(__xludf.DUMMYFUNCTION("""COMPUTED_VALUE"""),57)</f>
        <v>57</v>
      </c>
      <c r="I63" s="123">
        <f ca="1">IFERROR(__xludf.DUMMYFUNCTION("""COMPUTED_VALUE"""),69679)</f>
        <v>69679</v>
      </c>
      <c r="J63" s="124">
        <f ca="1">IFERROR(__xludf.DUMMYFUNCTION("""COMPUTED_VALUE"""),1222.43859649122)</f>
        <v>1222.4385964912201</v>
      </c>
      <c r="K63" s="125">
        <f ca="1">IFERROR(__xludf.DUMMYFUNCTION("""COMPUTED_VALUE"""),4.64526666666666)</f>
        <v>4.64526666666666</v>
      </c>
      <c r="L63" s="126" t="str">
        <f ca="1"/>
        <v>Wiris Variasi</v>
      </c>
      <c r="M63" s="118"/>
      <c r="N63" s="127"/>
      <c r="O63" s="127"/>
      <c r="P63" s="127"/>
      <c r="Q63" s="127"/>
      <c r="R63" s="127"/>
      <c r="S63" s="127"/>
      <c r="T63" s="127"/>
      <c r="U63" s="127"/>
      <c r="V63" s="127"/>
      <c r="W63" s="127"/>
      <c r="X63" s="127"/>
      <c r="Y63" s="127"/>
      <c r="Z63" s="127"/>
      <c r="AA63" s="127"/>
    </row>
    <row r="64" spans="1:27">
      <c r="A64" s="118">
        <f ca="1">IFERROR(__xludf.DUMMYFUNCTION("""COMPUTED_VALUE"""),174904221976312)</f>
        <v>174904221976312</v>
      </c>
      <c r="B64" s="118" t="str">
        <f ca="1">IFERROR(__xludf.DUMMYFUNCTION("""COMPUTED_VALUE"""),"120228138398410694")</f>
        <v>120228138398410694</v>
      </c>
      <c r="C64" s="119" t="str">
        <f ca="1">IFERROR(__xludf.DUMMYFUNCTION("""COMPUTED_VALUE"""),"Melek Tea")</f>
        <v>Melek Tea</v>
      </c>
      <c r="D64" s="120" t="str">
        <f ca="1">IFERROR(__xludf.DUMMYFUNCTION("""COMPUTED_VALUE"""),"https://wa.me/6282125000978")</f>
        <v>https://wa.me/6282125000978</v>
      </c>
      <c r="E64" s="121" t="str">
        <f ca="1">IFERROR(__xludf.DUMMYFUNCTION("""COMPUTED_VALUE"""),"6282125000978")</f>
        <v>6282125000978</v>
      </c>
      <c r="F64" s="121">
        <f ca="1">IFERROR(__xludf.DUMMYFUNCTION("""COMPUTED_VALUE"""),1595)</f>
        <v>1595</v>
      </c>
      <c r="G64" s="121">
        <f ca="1">IFERROR(__xludf.DUMMYFUNCTION("""COMPUTED_VALUE"""),19821.6666666666)</f>
        <v>19821.666666666599</v>
      </c>
      <c r="H64" s="122">
        <f ca="1">IFERROR(__xludf.DUMMYFUNCTION("""COMPUTED_VALUE"""),10)</f>
        <v>10</v>
      </c>
      <c r="I64" s="123">
        <f ca="1">IFERROR(__xludf.DUMMYFUNCTION("""COMPUTED_VALUE"""),32189)</f>
        <v>32189</v>
      </c>
      <c r="J64" s="124">
        <f ca="1">IFERROR(__xludf.DUMMYFUNCTION("""COMPUTED_VALUE"""),3218.9)</f>
        <v>3218.9</v>
      </c>
      <c r="K64" s="125">
        <f ca="1">IFERROR(__xludf.DUMMYFUNCTION("""COMPUTED_VALUE"""),2.14593333333333)</f>
        <v>2.1459333333333301</v>
      </c>
      <c r="L64" s="126" t="str">
        <f ca="1"/>
        <v>Wiris Variasi</v>
      </c>
      <c r="M64" s="118"/>
      <c r="N64" s="127"/>
      <c r="O64" s="127"/>
      <c r="P64" s="127"/>
      <c r="Q64" s="127"/>
      <c r="R64" s="127"/>
      <c r="S64" s="127"/>
      <c r="T64" s="127"/>
      <c r="U64" s="127"/>
      <c r="V64" s="127"/>
      <c r="W64" s="127"/>
      <c r="X64" s="127"/>
      <c r="Y64" s="127"/>
      <c r="Z64" s="127"/>
      <c r="AA64" s="127"/>
    </row>
    <row r="65" spans="1:27">
      <c r="A65" s="50">
        <f ca="1">IFERROR(__xludf.DUMMYFUNCTION("""COMPUTED_VALUE"""),174904221976312)</f>
        <v>174904221976312</v>
      </c>
      <c r="B65" s="50" t="str">
        <f ca="1">IFERROR(__xludf.DUMMYFUNCTION("""COMPUTED_VALUE"""),"120228138398410694")</f>
        <v>120228138398410694</v>
      </c>
      <c r="C65" s="50" t="str">
        <f ca="1">IFERROR(__xludf.DUMMYFUNCTION("""COMPUTED_VALUE"""),"Melek Tea")</f>
        <v>Melek Tea</v>
      </c>
      <c r="D65" s="132" t="str">
        <f ca="1">IFERROR(__xludf.DUMMYFUNCTION("""COMPUTED_VALUE"""),"https://wa.me/6285727410479")</f>
        <v>https://wa.me/6285727410479</v>
      </c>
      <c r="E65" s="133" t="str">
        <f ca="1">IFERROR(__xludf.DUMMYFUNCTION("""COMPUTED_VALUE"""),"6285727410479")</f>
        <v>6285727410479</v>
      </c>
      <c r="F65" s="133">
        <f ca="1">IFERROR(__xludf.DUMMYFUNCTION("""COMPUTED_VALUE"""),2556)</f>
        <v>2556</v>
      </c>
      <c r="G65" s="133">
        <f ca="1">IFERROR(__xludf.DUMMYFUNCTION("""COMPUTED_VALUE"""),33699.8571428571)</f>
        <v>33699.857142857101</v>
      </c>
      <c r="H65" s="133">
        <f ca="1">IFERROR(__xludf.DUMMYFUNCTION("""COMPUTED_VALUE"""),18)</f>
        <v>18</v>
      </c>
      <c r="I65" s="134">
        <f ca="1">IFERROR(__xludf.DUMMYFUNCTION("""COMPUTED_VALUE"""),91488)</f>
        <v>91488</v>
      </c>
      <c r="J65" s="135">
        <f ca="1">IFERROR(__xludf.DUMMYFUNCTION("""COMPUTED_VALUE"""),5082.66666666666)</f>
        <v>5082.6666666666597</v>
      </c>
      <c r="K65" s="136">
        <f ca="1">IFERROR(__xludf.DUMMYFUNCTION("""COMPUTED_VALUE"""),6.0992)</f>
        <v>6.0991999999999997</v>
      </c>
      <c r="L65" s="137" t="str">
        <f ca="1"/>
        <v>Wiris Variasi</v>
      </c>
      <c r="M65" s="127"/>
      <c r="N65" s="127"/>
      <c r="O65" s="127"/>
      <c r="P65" s="127"/>
      <c r="Q65" s="127"/>
      <c r="R65" s="127"/>
      <c r="S65" s="127"/>
      <c r="T65" s="127"/>
      <c r="U65" s="127"/>
      <c r="V65" s="127"/>
      <c r="W65" s="127"/>
      <c r="X65" s="127"/>
      <c r="Y65" s="127"/>
      <c r="Z65" s="127"/>
      <c r="AA65" s="127"/>
    </row>
    <row r="66" spans="1:27">
      <c r="A66" s="50">
        <f ca="1">IFERROR(__xludf.DUMMYFUNCTION("""COMPUTED_VALUE"""),174904221976312)</f>
        <v>174904221976312</v>
      </c>
      <c r="B66" s="50" t="str">
        <f ca="1">IFERROR(__xludf.DUMMYFUNCTION("""COMPUTED_VALUE"""),"120228143312350694")</f>
        <v>120228143312350694</v>
      </c>
      <c r="C66" s="50" t="str">
        <f ca="1">IFERROR(__xludf.DUMMYFUNCTION("""COMPUTED_VALUE"""),"TAHU CRISPY")</f>
        <v>TAHU CRISPY</v>
      </c>
      <c r="D66" s="132" t="str">
        <f ca="1">IFERROR(__xludf.DUMMYFUNCTION("""COMPUTED_VALUE"""),"https://wa.me/6282227027805")</f>
        <v>https://wa.me/6282227027805</v>
      </c>
      <c r="E66" s="133" t="str">
        <f ca="1">IFERROR(__xludf.DUMMYFUNCTION("""COMPUTED_VALUE"""),"6282227027805")</f>
        <v>6282227027805</v>
      </c>
      <c r="F66" s="133">
        <f ca="1">IFERROR(__xludf.DUMMYFUNCTION("""COMPUTED_VALUE"""),2935)</f>
        <v>2935</v>
      </c>
      <c r="G66" s="133">
        <f ca="1">IFERROR(__xludf.DUMMYFUNCTION("""COMPUTED_VALUE"""),35264.875)</f>
        <v>35264.875</v>
      </c>
      <c r="H66" s="133">
        <f ca="1">IFERROR(__xludf.DUMMYFUNCTION("""COMPUTED_VALUE"""),10)</f>
        <v>10</v>
      </c>
      <c r="I66" s="134">
        <f ca="1">IFERROR(__xludf.DUMMYFUNCTION("""COMPUTED_VALUE"""),86682)</f>
        <v>86682</v>
      </c>
      <c r="J66" s="135">
        <f ca="1">IFERROR(__xludf.DUMMYFUNCTION("""COMPUTED_VALUE"""),8668.2)</f>
        <v>8668.2000000000007</v>
      </c>
      <c r="K66" s="136">
        <f ca="1">IFERROR(__xludf.DUMMYFUNCTION("""COMPUTED_VALUE"""),5.7788)</f>
        <v>5.7788000000000004</v>
      </c>
      <c r="L66" s="137" t="str">
        <f ca="1"/>
        <v>Wiris Variasi</v>
      </c>
      <c r="M66" s="127"/>
      <c r="N66" s="127"/>
      <c r="O66" s="127"/>
      <c r="P66" s="127"/>
      <c r="Q66" s="127"/>
      <c r="R66" s="127"/>
      <c r="S66" s="127"/>
      <c r="T66" s="127"/>
      <c r="U66" s="127"/>
      <c r="V66" s="127"/>
      <c r="W66" s="127"/>
      <c r="X66" s="127"/>
      <c r="Y66" s="127"/>
      <c r="Z66" s="127"/>
      <c r="AA66" s="127"/>
    </row>
    <row r="67" spans="1:27">
      <c r="A67" s="50">
        <f ca="1">IFERROR(__xludf.DUMMYFUNCTION("""COMPUTED_VALUE"""),174904221976312)</f>
        <v>174904221976312</v>
      </c>
      <c r="B67" s="50" t="str">
        <f ca="1">IFERROR(__xludf.DUMMYFUNCTION("""COMPUTED_VALUE"""),"120228143698380694")</f>
        <v>120228143698380694</v>
      </c>
      <c r="C67" s="50" t="str">
        <f ca="1">IFERROR(__xludf.DUMMYFUNCTION("""COMPUTED_VALUE"""),"Fricil Rental")</f>
        <v>Fricil Rental</v>
      </c>
      <c r="D67" s="132" t="str">
        <f ca="1">IFERROR(__xludf.DUMMYFUNCTION("""COMPUTED_VALUE"""),"https://wa.me/6282192773278")</f>
        <v>https://wa.me/6282192773278</v>
      </c>
      <c r="E67" s="133" t="str">
        <f ca="1">IFERROR(__xludf.DUMMYFUNCTION("""COMPUTED_VALUE"""),"6282192773278")</f>
        <v>6282192773278</v>
      </c>
      <c r="F67" s="133">
        <f ca="1">IFERROR(__xludf.DUMMYFUNCTION("""COMPUTED_VALUE"""),9220)</f>
        <v>9220</v>
      </c>
      <c r="G67" s="133">
        <f ca="1">IFERROR(__xludf.DUMMYFUNCTION("""COMPUTED_VALUE"""),7175.8)</f>
        <v>7175.8</v>
      </c>
      <c r="H67" s="133">
        <f ca="1">IFERROR(__xludf.DUMMYFUNCTION("""COMPUTED_VALUE"""),62)</f>
        <v>62</v>
      </c>
      <c r="I67" s="134">
        <f ca="1">IFERROR(__xludf.DUMMYFUNCTION("""COMPUTED_VALUE"""),69023)</f>
        <v>69023</v>
      </c>
      <c r="J67" s="135">
        <f ca="1">IFERROR(__xludf.DUMMYFUNCTION("""COMPUTED_VALUE"""),1113.27419354838)</f>
        <v>1113.27419354838</v>
      </c>
      <c r="K67" s="136">
        <f ca="1">IFERROR(__xludf.DUMMYFUNCTION("""COMPUTED_VALUE"""),4.60153333333333)</f>
        <v>4.6015333333333297</v>
      </c>
      <c r="L67" s="137" t="str">
        <f ca="1"/>
        <v>Wiris Variasi</v>
      </c>
      <c r="M67" s="127"/>
      <c r="N67" s="127"/>
      <c r="O67" s="127"/>
      <c r="P67" s="127"/>
      <c r="Q67" s="127"/>
      <c r="R67" s="127"/>
      <c r="S67" s="127"/>
      <c r="T67" s="127"/>
      <c r="U67" s="127"/>
      <c r="V67" s="127"/>
      <c r="W67" s="127"/>
      <c r="X67" s="127"/>
      <c r="Y67" s="127"/>
      <c r="Z67" s="127"/>
      <c r="AA67" s="127"/>
    </row>
    <row r="68" spans="1:27">
      <c r="A68" s="127">
        <f ca="1">IFERROR(__xludf.DUMMYFUNCTION("""COMPUTED_VALUE"""),174904221976312)</f>
        <v>174904221976312</v>
      </c>
      <c r="B68" s="127" t="str">
        <f ca="1">IFERROR(__xludf.DUMMYFUNCTION("""COMPUTED_VALUE"""),"120228143940810694")</f>
        <v>120228143940810694</v>
      </c>
      <c r="C68" s="127" t="str">
        <f ca="1">IFERROR(__xludf.DUMMYFUNCTION("""COMPUTED_VALUE"""),"Erlina Traditional")</f>
        <v>Erlina Traditional</v>
      </c>
      <c r="D68" s="138" t="str">
        <f ca="1">IFERROR(__xludf.DUMMYFUNCTION("""COMPUTED_VALUE"""),"https://wa.me/6282115608585")</f>
        <v>https://wa.me/6282115608585</v>
      </c>
      <c r="E68" s="139" t="str">
        <f ca="1">IFERROR(__xludf.DUMMYFUNCTION("""COMPUTED_VALUE"""),"6282115608585")</f>
        <v>6282115608585</v>
      </c>
      <c r="F68" s="139">
        <f ca="1">IFERROR(__xludf.DUMMYFUNCTION("""COMPUTED_VALUE"""),2857)</f>
        <v>2857</v>
      </c>
      <c r="G68" s="139">
        <f ca="1">IFERROR(__xludf.DUMMYFUNCTION("""COMPUTED_VALUE"""),19170)</f>
        <v>19170</v>
      </c>
      <c r="H68" s="139">
        <f ca="1">IFERROR(__xludf.DUMMYFUNCTION("""COMPUTED_VALUE"""),45)</f>
        <v>45</v>
      </c>
      <c r="I68" s="140">
        <f ca="1">IFERROR(__xludf.DUMMYFUNCTION("""COMPUTED_VALUE"""),65268)</f>
        <v>65268</v>
      </c>
      <c r="J68" s="141">
        <f ca="1">IFERROR(__xludf.DUMMYFUNCTION("""COMPUTED_VALUE"""),1450.4)</f>
        <v>1450.4</v>
      </c>
      <c r="K68" s="142">
        <f ca="1">IFERROR(__xludf.DUMMYFUNCTION("""COMPUTED_VALUE"""),4.3512)</f>
        <v>4.3512000000000004</v>
      </c>
      <c r="L68" s="143" t="str">
        <f ca="1"/>
        <v>Wiris Variasi</v>
      </c>
      <c r="M68" s="127"/>
      <c r="N68" s="127"/>
      <c r="O68" s="127"/>
      <c r="P68" s="127"/>
      <c r="Q68" s="127"/>
      <c r="R68" s="127"/>
      <c r="S68" s="127"/>
      <c r="T68" s="127"/>
      <c r="U68" s="127"/>
      <c r="V68" s="127"/>
      <c r="W68" s="127"/>
      <c r="X68" s="127"/>
      <c r="Y68" s="127"/>
      <c r="Z68" s="127"/>
      <c r="AA68" s="127"/>
    </row>
    <row r="69" spans="1:27">
      <c r="A69" s="127">
        <f ca="1">IFERROR(__xludf.DUMMYFUNCTION("""COMPUTED_VALUE"""),174904221976312)</f>
        <v>174904221976312</v>
      </c>
      <c r="B69" s="127" t="str">
        <f ca="1">IFERROR(__xludf.DUMMYFUNCTION("""COMPUTED_VALUE"""),"120228159122310694")</f>
        <v>120228159122310694</v>
      </c>
      <c r="C69" s="127" t="str">
        <f ca="1">IFERROR(__xludf.DUMMYFUNCTION("""COMPUTED_VALUE"""),"rinjani trekking")</f>
        <v>rinjani trekking</v>
      </c>
      <c r="D69" s="138" t="str">
        <f ca="1">IFERROR(__xludf.DUMMYFUNCTION("""COMPUTED_VALUE"""),"https://wa.me/6281943398970")</f>
        <v>https://wa.me/6281943398970</v>
      </c>
      <c r="E69" s="139" t="str">
        <f ca="1">IFERROR(__xludf.DUMMYFUNCTION("""COMPUTED_VALUE"""),"6281943398970")</f>
        <v>6281943398970</v>
      </c>
      <c r="F69" s="139">
        <f ca="1">IFERROR(__xludf.DUMMYFUNCTION("""COMPUTED_VALUE"""),1463)</f>
        <v>1463</v>
      </c>
      <c r="G69" s="139">
        <f ca="1">IFERROR(__xludf.DUMMYFUNCTION("""COMPUTED_VALUE"""),87202)</f>
        <v>87202</v>
      </c>
      <c r="H69" s="139">
        <f ca="1">IFERROR(__xludf.DUMMYFUNCTION("""COMPUTED_VALUE"""),0)</f>
        <v>0</v>
      </c>
      <c r="I69" s="140">
        <f ca="1">IFERROR(__xludf.DUMMYFUNCTION("""COMPUTED_VALUE"""),64856)</f>
        <v>64856</v>
      </c>
      <c r="J69" s="141"/>
      <c r="K69" s="142">
        <f ca="1">IFERROR(__xludf.DUMMYFUNCTION("""COMPUTED_VALUE"""),4.32373333333333)</f>
        <v>4.3237333333333297</v>
      </c>
      <c r="L69" s="143" t="str">
        <f ca="1"/>
        <v>Wiris Variasi</v>
      </c>
      <c r="M69" s="127"/>
      <c r="N69" s="127"/>
      <c r="O69" s="127"/>
      <c r="P69" s="127"/>
      <c r="Q69" s="127"/>
      <c r="R69" s="127"/>
      <c r="S69" s="127"/>
      <c r="T69" s="127"/>
      <c r="U69" s="127"/>
      <c r="V69" s="127"/>
      <c r="W69" s="127"/>
      <c r="X69" s="127"/>
      <c r="Y69" s="127"/>
      <c r="Z69" s="127"/>
      <c r="AA69" s="127"/>
    </row>
    <row r="70" spans="1:27">
      <c r="A70" s="127">
        <f ca="1">IFERROR(__xludf.DUMMYFUNCTION("""COMPUTED_VALUE"""),174904221976312)</f>
        <v>174904221976312</v>
      </c>
      <c r="B70" s="127" t="str">
        <f ca="1">IFERROR(__xludf.DUMMYFUNCTION("""COMPUTED_VALUE"""),"120228159283580694")</f>
        <v>120228159283580694</v>
      </c>
      <c r="C70" s="127" t="str">
        <f ca="1">IFERROR(__xludf.DUMMYFUNCTION("""COMPUTED_VALUE"""),"Rinjani Tour")</f>
        <v>Rinjani Tour</v>
      </c>
      <c r="D70" s="138" t="str">
        <f ca="1">IFERROR(__xludf.DUMMYFUNCTION("""COMPUTED_VALUE"""),"https://wa.me/628111508569")</f>
        <v>https://wa.me/628111508569</v>
      </c>
      <c r="E70" s="139" t="str">
        <f ca="1">IFERROR(__xludf.DUMMYFUNCTION("""COMPUTED_VALUE"""),"628111508569")</f>
        <v>628111508569</v>
      </c>
      <c r="F70" s="139">
        <f ca="1">IFERROR(__xludf.DUMMYFUNCTION("""COMPUTED_VALUE"""),2057)</f>
        <v>2057</v>
      </c>
      <c r="G70" s="139">
        <f ca="1">IFERROR(__xludf.DUMMYFUNCTION("""COMPUTED_VALUE"""),28167.2)</f>
        <v>28167.200000000001</v>
      </c>
      <c r="H70" s="139">
        <f ca="1">IFERROR(__xludf.DUMMYFUNCTION("""COMPUTED_VALUE"""),9)</f>
        <v>9</v>
      </c>
      <c r="I70" s="140">
        <f ca="1">IFERROR(__xludf.DUMMYFUNCTION("""COMPUTED_VALUE"""),63226)</f>
        <v>63226</v>
      </c>
      <c r="J70" s="141">
        <f ca="1">IFERROR(__xludf.DUMMYFUNCTION("""COMPUTED_VALUE"""),7025.11111111111)</f>
        <v>7025.1111111111104</v>
      </c>
      <c r="K70" s="142">
        <f ca="1">IFERROR(__xludf.DUMMYFUNCTION("""COMPUTED_VALUE"""),4.21506666666666)</f>
        <v>4.2150666666666599</v>
      </c>
      <c r="L70" s="143" t="str">
        <f ca="1"/>
        <v>Wiris Variasi</v>
      </c>
      <c r="M70" s="127"/>
      <c r="N70" s="127"/>
      <c r="O70" s="127"/>
      <c r="P70" s="127"/>
      <c r="Q70" s="127"/>
      <c r="R70" s="127"/>
      <c r="S70" s="127"/>
      <c r="T70" s="127"/>
      <c r="U70" s="127"/>
      <c r="V70" s="127"/>
      <c r="W70" s="127"/>
      <c r="X70" s="127"/>
      <c r="Y70" s="127"/>
      <c r="Z70" s="127"/>
      <c r="AA70" s="127"/>
    </row>
    <row r="71" spans="1:27">
      <c r="A71" s="127">
        <f ca="1">IFERROR(__xludf.DUMMYFUNCTION("""COMPUTED_VALUE"""),174904221976312)</f>
        <v>174904221976312</v>
      </c>
      <c r="B71" s="127" t="str">
        <f ca="1">IFERROR(__xludf.DUMMYFUNCTION("""COMPUTED_VALUE"""),"120228167785840694")</f>
        <v>120228167785840694</v>
      </c>
      <c r="C71" s="127" t="str">
        <f ca="1">IFERROR(__xludf.DUMMYFUNCTION("""COMPUTED_VALUE"""),"KLINIK RUMAH")</f>
        <v>KLINIK RUMAH</v>
      </c>
      <c r="D71" s="138" t="str">
        <f ca="1">IFERROR(__xludf.DUMMYFUNCTION("""COMPUTED_VALUE"""),"https://wa.me/6282125330919")</f>
        <v>https://wa.me/6282125330919</v>
      </c>
      <c r="E71" s="139" t="str">
        <f ca="1">IFERROR(__xludf.DUMMYFUNCTION("""COMPUTED_VALUE"""),"6282125330919")</f>
        <v>6282125330919</v>
      </c>
      <c r="F71" s="139">
        <f ca="1">IFERROR(__xludf.DUMMYFUNCTION("""COMPUTED_VALUE"""),3128)</f>
        <v>3128</v>
      </c>
      <c r="G71" s="139">
        <f ca="1">IFERROR(__xludf.DUMMYFUNCTION("""COMPUTED_VALUE"""),18550.6)</f>
        <v>18550.599999999999</v>
      </c>
      <c r="H71" s="139">
        <f ca="1">IFERROR(__xludf.DUMMYFUNCTION("""COMPUTED_VALUE"""),6)</f>
        <v>6</v>
      </c>
      <c r="I71" s="140">
        <f ca="1">IFERROR(__xludf.DUMMYFUNCTION("""COMPUTED_VALUE"""),62976)</f>
        <v>62976</v>
      </c>
      <c r="J71" s="141">
        <f ca="1">IFERROR(__xludf.DUMMYFUNCTION("""COMPUTED_VALUE"""),10496)</f>
        <v>10496</v>
      </c>
      <c r="K71" s="142">
        <f ca="1">IFERROR(__xludf.DUMMYFUNCTION("""COMPUTED_VALUE"""),4.1984)</f>
        <v>4.1984000000000004</v>
      </c>
      <c r="L71" s="143" t="str">
        <f ca="1"/>
        <v>Wiris Variasi</v>
      </c>
      <c r="M71" s="127"/>
      <c r="N71" s="127"/>
      <c r="O71" s="127"/>
      <c r="P71" s="127"/>
      <c r="Q71" s="127"/>
      <c r="R71" s="127"/>
      <c r="S71" s="127"/>
      <c r="T71" s="127"/>
      <c r="U71" s="127"/>
      <c r="V71" s="127"/>
      <c r="W71" s="127"/>
      <c r="X71" s="127"/>
      <c r="Y71" s="127"/>
      <c r="Z71" s="127"/>
      <c r="AA71" s="127"/>
    </row>
    <row r="72" spans="1:27">
      <c r="A72" s="127">
        <f ca="1">IFERROR(__xludf.DUMMYFUNCTION("""COMPUTED_VALUE"""),174904221976312)</f>
        <v>174904221976312</v>
      </c>
      <c r="B72" s="127" t="str">
        <f ca="1">IFERROR(__xludf.DUMMYFUNCTION("""COMPUTED_VALUE"""),"120228196067880694")</f>
        <v>120228196067880694</v>
      </c>
      <c r="C72" s="127" t="str">
        <f ca="1">IFERROR(__xludf.DUMMYFUNCTION("""COMPUTED_VALUE"""),"Pengobatan Tabib")</f>
        <v>Pengobatan Tabib</v>
      </c>
      <c r="D72" s="138" t="str">
        <f ca="1">IFERROR(__xludf.DUMMYFUNCTION("""COMPUTED_VALUE"""),"https://wa.me/6282169851900")</f>
        <v>https://wa.me/6282169851900</v>
      </c>
      <c r="E72" s="139" t="str">
        <f ca="1">IFERROR(__xludf.DUMMYFUNCTION("""COMPUTED_VALUE"""),"6282169851900")</f>
        <v>6282169851900</v>
      </c>
      <c r="F72" s="139">
        <f ca="1">IFERROR(__xludf.DUMMYFUNCTION("""COMPUTED_VALUE"""),5461)</f>
        <v>5461</v>
      </c>
      <c r="G72" s="139">
        <f ca="1">IFERROR(__xludf.DUMMYFUNCTION("""COMPUTED_VALUE"""),10186.6)</f>
        <v>10186.6</v>
      </c>
      <c r="H72" s="139">
        <f ca="1">IFERROR(__xludf.DUMMYFUNCTION("""COMPUTED_VALUE"""),12)</f>
        <v>12</v>
      </c>
      <c r="I72" s="140">
        <f ca="1">IFERROR(__xludf.DUMMYFUNCTION("""COMPUTED_VALUE"""),65968)</f>
        <v>65968</v>
      </c>
      <c r="J72" s="141">
        <f ca="1">IFERROR(__xludf.DUMMYFUNCTION("""COMPUTED_VALUE"""),5497.33333333333)</f>
        <v>5497.3333333333303</v>
      </c>
      <c r="K72" s="142">
        <f ca="1">IFERROR(__xludf.DUMMYFUNCTION("""COMPUTED_VALUE"""),4.39786666666666)</f>
        <v>4.3978666666666602</v>
      </c>
      <c r="L72" s="143" t="str">
        <f ca="1"/>
        <v>Wiris Variasi</v>
      </c>
      <c r="M72" s="127"/>
      <c r="N72" s="127"/>
      <c r="O72" s="127"/>
      <c r="P72" s="127"/>
      <c r="Q72" s="127"/>
      <c r="R72" s="127"/>
      <c r="S72" s="127"/>
      <c r="T72" s="127"/>
      <c r="U72" s="127"/>
      <c r="V72" s="127"/>
      <c r="W72" s="127"/>
      <c r="X72" s="127"/>
      <c r="Y72" s="127"/>
      <c r="Z72" s="127"/>
      <c r="AA72" s="127"/>
    </row>
    <row r="73" spans="1:27">
      <c r="A73" s="127">
        <f ca="1">IFERROR(__xludf.DUMMYFUNCTION("""COMPUTED_VALUE"""),174904221976312)</f>
        <v>174904221976312</v>
      </c>
      <c r="B73" s="127" t="str">
        <f ca="1">IFERROR(__xludf.DUMMYFUNCTION("""COMPUTED_VALUE"""),"120228198210790694")</f>
        <v>120228198210790694</v>
      </c>
      <c r="C73" s="127" t="str">
        <f ca="1">IFERROR(__xludf.DUMMYFUNCTION("""COMPUTED_VALUE"""),"Rumoh Aceh")</f>
        <v>Rumoh Aceh</v>
      </c>
      <c r="D73" s="138" t="str">
        <f ca="1">IFERROR(__xludf.DUMMYFUNCTION("""COMPUTED_VALUE"""),"https://wa.me/6281323910830")</f>
        <v>https://wa.me/6281323910830</v>
      </c>
      <c r="E73" s="139" t="str">
        <f ca="1">IFERROR(__xludf.DUMMYFUNCTION("""COMPUTED_VALUE"""),"6281323910830")</f>
        <v>6281323910830</v>
      </c>
      <c r="F73" s="139">
        <f ca="1">IFERROR(__xludf.DUMMYFUNCTION("""COMPUTED_VALUE"""),6675)</f>
        <v>6675</v>
      </c>
      <c r="G73" s="139">
        <f ca="1">IFERROR(__xludf.DUMMYFUNCTION("""COMPUTED_VALUE"""),14998.125)</f>
        <v>14998.125</v>
      </c>
      <c r="H73" s="139">
        <f ca="1">IFERROR(__xludf.DUMMYFUNCTION("""COMPUTED_VALUE"""),14)</f>
        <v>14</v>
      </c>
      <c r="I73" s="140">
        <f ca="1">IFERROR(__xludf.DUMMYFUNCTION("""COMPUTED_VALUE"""),108799)</f>
        <v>108799</v>
      </c>
      <c r="J73" s="141">
        <f ca="1">IFERROR(__xludf.DUMMYFUNCTION("""COMPUTED_VALUE"""),7771.35714285714)</f>
        <v>7771.3571428571404</v>
      </c>
      <c r="K73" s="142">
        <f ca="1">IFERROR(__xludf.DUMMYFUNCTION("""COMPUTED_VALUE"""),7.25326666666666)</f>
        <v>7.2532666666666596</v>
      </c>
      <c r="L73" s="143" t="str">
        <f ca="1"/>
        <v>Wiris Variasi</v>
      </c>
      <c r="M73" s="127"/>
      <c r="N73" s="127"/>
      <c r="O73" s="127"/>
      <c r="P73" s="127"/>
      <c r="Q73" s="127"/>
      <c r="R73" s="127"/>
      <c r="S73" s="127"/>
      <c r="T73" s="127"/>
      <c r="U73" s="127"/>
      <c r="V73" s="127"/>
      <c r="W73" s="127"/>
      <c r="X73" s="127"/>
      <c r="Y73" s="127"/>
      <c r="Z73" s="127"/>
      <c r="AA73" s="127"/>
    </row>
    <row r="74" spans="1:27">
      <c r="A74" s="127">
        <f ca="1">IFERROR(__xludf.DUMMYFUNCTION("""COMPUTED_VALUE"""),174904221976312)</f>
        <v>174904221976312</v>
      </c>
      <c r="B74" s="127" t="str">
        <f ca="1">IFERROR(__xludf.DUMMYFUNCTION("""COMPUTED_VALUE"""),"120228232279080694")</f>
        <v>120228232279080694</v>
      </c>
      <c r="C74" s="127" t="str">
        <f ca="1">IFERROR(__xludf.DUMMYFUNCTION("""COMPUTED_VALUE"""),"Rumah Resista")</f>
        <v>Rumah Resista</v>
      </c>
      <c r="D74" s="138" t="str">
        <f ca="1">IFERROR(__xludf.DUMMYFUNCTION("""COMPUTED_VALUE"""),"https://wa.me/6285702653554")</f>
        <v>https://wa.me/6285702653554</v>
      </c>
      <c r="E74" s="139" t="str">
        <f ca="1">IFERROR(__xludf.DUMMYFUNCTION("""COMPUTED_VALUE"""),"6285702653554")</f>
        <v>6285702653554</v>
      </c>
      <c r="F74" s="139">
        <f ca="1">IFERROR(__xludf.DUMMYFUNCTION("""COMPUTED_VALUE"""),3482)</f>
        <v>3482</v>
      </c>
      <c r="G74" s="139">
        <f ca="1">IFERROR(__xludf.DUMMYFUNCTION("""COMPUTED_VALUE"""),15596)</f>
        <v>15596</v>
      </c>
      <c r="H74" s="139">
        <f ca="1">IFERROR(__xludf.DUMMYFUNCTION("""COMPUTED_VALUE"""),31)</f>
        <v>31</v>
      </c>
      <c r="I74" s="140">
        <f ca="1">IFERROR(__xludf.DUMMYFUNCTION("""COMPUTED_VALUE"""),68468)</f>
        <v>68468</v>
      </c>
      <c r="J74" s="141">
        <f ca="1">IFERROR(__xludf.DUMMYFUNCTION("""COMPUTED_VALUE"""),2208.64516129032)</f>
        <v>2208.6451612903202</v>
      </c>
      <c r="K74" s="142">
        <f ca="1">IFERROR(__xludf.DUMMYFUNCTION("""COMPUTED_VALUE"""),4.56453333333333)</f>
        <v>4.5645333333333298</v>
      </c>
      <c r="L74" s="143" t="str">
        <f ca="1"/>
        <v>Wiris Variasi</v>
      </c>
      <c r="M74" s="127"/>
      <c r="N74" s="127"/>
      <c r="O74" s="127"/>
      <c r="P74" s="127"/>
      <c r="Q74" s="127"/>
      <c r="R74" s="127"/>
      <c r="S74" s="127"/>
      <c r="T74" s="127"/>
      <c r="U74" s="127"/>
      <c r="V74" s="127"/>
      <c r="W74" s="127"/>
      <c r="X74" s="127"/>
      <c r="Y74" s="127"/>
      <c r="Z74" s="127"/>
      <c r="AA74" s="127"/>
    </row>
    <row r="75" spans="1:27">
      <c r="A75" s="127">
        <f ca="1">IFERROR(__xludf.DUMMYFUNCTION("""COMPUTED_VALUE"""),174904221976312)</f>
        <v>174904221976312</v>
      </c>
      <c r="B75" s="127" t="str">
        <f ca="1">IFERROR(__xludf.DUMMYFUNCTION("""COMPUTED_VALUE"""),"120228232443180694")</f>
        <v>120228232443180694</v>
      </c>
      <c r="C75" s="127" t="str">
        <f ca="1">IFERROR(__xludf.DUMMYFUNCTION("""COMPUTED_VALUE"""),"Lembaga Kursus")</f>
        <v>Lembaga Kursus</v>
      </c>
      <c r="D75" s="138" t="str">
        <f ca="1">IFERROR(__xludf.DUMMYFUNCTION("""COMPUTED_VALUE"""),"https://wa.me/6285779532526")</f>
        <v>https://wa.me/6285779532526</v>
      </c>
      <c r="E75" s="139" t="str">
        <f ca="1">IFERROR(__xludf.DUMMYFUNCTION("""COMPUTED_VALUE"""),"6285779532526")</f>
        <v>6285779532526</v>
      </c>
      <c r="F75" s="139">
        <f ca="1">IFERROR(__xludf.DUMMYFUNCTION("""COMPUTED_VALUE"""),2176)</f>
        <v>2176</v>
      </c>
      <c r="G75" s="139">
        <f ca="1">IFERROR(__xludf.DUMMYFUNCTION("""COMPUTED_VALUE"""),26723.8)</f>
        <v>26723.8</v>
      </c>
      <c r="H75" s="139">
        <f ca="1">IFERROR(__xludf.DUMMYFUNCTION("""COMPUTED_VALUE"""),9)</f>
        <v>9</v>
      </c>
      <c r="I75" s="140">
        <f ca="1">IFERROR(__xludf.DUMMYFUNCTION("""COMPUTED_VALUE"""),63705)</f>
        <v>63705</v>
      </c>
      <c r="J75" s="141">
        <f ca="1">IFERROR(__xludf.DUMMYFUNCTION("""COMPUTED_VALUE"""),7078.33333333333)</f>
        <v>7078.3333333333303</v>
      </c>
      <c r="K75" s="142">
        <f ca="1">IFERROR(__xludf.DUMMYFUNCTION("""COMPUTED_VALUE"""),4.247)</f>
        <v>4.2469999999999999</v>
      </c>
      <c r="L75" s="143" t="str">
        <f ca="1"/>
        <v>Wiris Variasi</v>
      </c>
      <c r="M75" s="127"/>
      <c r="N75" s="127"/>
      <c r="O75" s="127"/>
      <c r="P75" s="127"/>
      <c r="Q75" s="127"/>
      <c r="R75" s="127"/>
      <c r="S75" s="127"/>
      <c r="T75" s="127"/>
      <c r="U75" s="127"/>
      <c r="V75" s="127"/>
      <c r="W75" s="127"/>
      <c r="X75" s="127"/>
      <c r="Y75" s="127"/>
      <c r="Z75" s="127"/>
      <c r="AA75" s="127"/>
    </row>
    <row r="76" spans="1:27">
      <c r="A76" s="127">
        <f ca="1">IFERROR(__xludf.DUMMYFUNCTION("""COMPUTED_VALUE"""),174904221976312)</f>
        <v>174904221976312</v>
      </c>
      <c r="B76" s="127" t="str">
        <f ca="1">IFERROR(__xludf.DUMMYFUNCTION("""COMPUTED_VALUE"""),"120228233684810694")</f>
        <v>120228233684810694</v>
      </c>
      <c r="C76" s="127" t="str">
        <f ca="1">IFERROR(__xludf.DUMMYFUNCTION("""COMPUTED_VALUE"""),"Dwi Asia")</f>
        <v>Dwi Asia</v>
      </c>
      <c r="D76" s="138" t="str">
        <f ca="1">IFERROR(__xludf.DUMMYFUNCTION("""COMPUTED_VALUE"""),"https://wa.me/6281287982295")</f>
        <v>https://wa.me/6281287982295</v>
      </c>
      <c r="E76" s="139" t="str">
        <f ca="1">IFERROR(__xludf.DUMMYFUNCTION("""COMPUTED_VALUE"""),"6281287982295")</f>
        <v>6281287982295</v>
      </c>
      <c r="F76" s="139">
        <f ca="1">IFERROR(__xludf.DUMMYFUNCTION("""COMPUTED_VALUE"""),1349)</f>
        <v>1349</v>
      </c>
      <c r="G76" s="139">
        <f ca="1">IFERROR(__xludf.DUMMYFUNCTION("""COMPUTED_VALUE"""),58898.3333333333)</f>
        <v>58898.333333333299</v>
      </c>
      <c r="H76" s="139">
        <f ca="1">IFERROR(__xludf.DUMMYFUNCTION("""COMPUTED_VALUE"""),6)</f>
        <v>6</v>
      </c>
      <c r="I76" s="140">
        <f ca="1">IFERROR(__xludf.DUMMYFUNCTION("""COMPUTED_VALUE"""),83088)</f>
        <v>83088</v>
      </c>
      <c r="J76" s="141">
        <f ca="1">IFERROR(__xludf.DUMMYFUNCTION("""COMPUTED_VALUE"""),13848)</f>
        <v>13848</v>
      </c>
      <c r="K76" s="142">
        <f ca="1">IFERROR(__xludf.DUMMYFUNCTION("""COMPUTED_VALUE"""),5.5392)</f>
        <v>5.5392000000000001</v>
      </c>
      <c r="L76" s="143" t="str">
        <f ca="1"/>
        <v>Wiris Variasi</v>
      </c>
      <c r="M76" s="127"/>
      <c r="N76" s="127"/>
      <c r="O76" s="127"/>
      <c r="P76" s="127"/>
      <c r="Q76" s="127"/>
      <c r="R76" s="127"/>
      <c r="S76" s="127"/>
      <c r="T76" s="127"/>
      <c r="U76" s="127"/>
      <c r="V76" s="127"/>
      <c r="W76" s="127"/>
      <c r="X76" s="127"/>
      <c r="Y76" s="127"/>
      <c r="Z76" s="127"/>
      <c r="AA76" s="127"/>
    </row>
    <row r="77" spans="1:27">
      <c r="A77" s="127">
        <f ca="1">IFERROR(__xludf.DUMMYFUNCTION("""COMPUTED_VALUE"""),174904221976312)</f>
        <v>174904221976312</v>
      </c>
      <c r="B77" s="127" t="str">
        <f ca="1">IFERROR(__xludf.DUMMYFUNCTION("""COMPUTED_VALUE"""),"120228259582540694")</f>
        <v>120228259582540694</v>
      </c>
      <c r="C77" s="127" t="str">
        <f ca="1">IFERROR(__xludf.DUMMYFUNCTION("""COMPUTED_VALUE"""),"AMT Sukabumi")</f>
        <v>AMT Sukabumi</v>
      </c>
      <c r="D77" s="138" t="str">
        <f ca="1">IFERROR(__xludf.DUMMYFUNCTION("""COMPUTED_VALUE"""),"https://wa.me/6285311472244")</f>
        <v>https://wa.me/6285311472244</v>
      </c>
      <c r="E77" s="139" t="str">
        <f ca="1">IFERROR(__xludf.DUMMYFUNCTION("""COMPUTED_VALUE"""),"6285311472244")</f>
        <v>6285311472244</v>
      </c>
      <c r="F77" s="139">
        <f ca="1">IFERROR(__xludf.DUMMYFUNCTION("""COMPUTED_VALUE"""),14683)</f>
        <v>14683</v>
      </c>
      <c r="G77" s="139">
        <f ca="1">IFERROR(__xludf.DUMMYFUNCTION("""COMPUTED_VALUE"""),9875.09090909091)</f>
        <v>9875.0909090909099</v>
      </c>
      <c r="H77" s="139">
        <f ca="1">IFERROR(__xludf.DUMMYFUNCTION("""COMPUTED_VALUE"""),54)</f>
        <v>54</v>
      </c>
      <c r="I77" s="140">
        <f ca="1">IFERROR(__xludf.DUMMYFUNCTION("""COMPUTED_VALUE"""),150569)</f>
        <v>150569</v>
      </c>
      <c r="J77" s="141">
        <f ca="1">IFERROR(__xludf.DUMMYFUNCTION("""COMPUTED_VALUE"""),2788.31481481481)</f>
        <v>2788.3148148148098</v>
      </c>
      <c r="K77" s="142">
        <f ca="1">IFERROR(__xludf.DUMMYFUNCTION("""COMPUTED_VALUE"""),10.0379333333333)</f>
        <v>10.037933333333299</v>
      </c>
      <c r="L77" s="143" t="str">
        <f ca="1"/>
        <v>Wiris Variasi</v>
      </c>
      <c r="M77" s="127"/>
      <c r="N77" s="127"/>
      <c r="O77" s="127"/>
      <c r="P77" s="127"/>
      <c r="Q77" s="127"/>
      <c r="R77" s="127"/>
      <c r="S77" s="127"/>
      <c r="T77" s="127"/>
      <c r="U77" s="127"/>
      <c r="V77" s="127"/>
      <c r="W77" s="127"/>
      <c r="X77" s="127"/>
      <c r="Y77" s="127"/>
      <c r="Z77" s="127"/>
      <c r="AA77" s="127"/>
    </row>
    <row r="78" spans="1:27">
      <c r="A78" s="127">
        <f ca="1">IFERROR(__xludf.DUMMYFUNCTION("""COMPUTED_VALUE"""),174904221976312)</f>
        <v>174904221976312</v>
      </c>
      <c r="B78" s="127" t="str">
        <f ca="1">IFERROR(__xludf.DUMMYFUNCTION("""COMPUTED_VALUE"""),"120228261048710694")</f>
        <v>120228261048710694</v>
      </c>
      <c r="C78" s="127" t="str">
        <f ca="1">IFERROR(__xludf.DUMMYFUNCTION("""COMPUTED_VALUE"""),"Nakayami tour")</f>
        <v>Nakayami tour</v>
      </c>
      <c r="D78" s="138" t="str">
        <f ca="1">IFERROR(__xludf.DUMMYFUNCTION("""COMPUTED_VALUE"""),"https://wa.me/6283162052952")</f>
        <v>https://wa.me/6283162052952</v>
      </c>
      <c r="E78" s="139" t="str">
        <f ca="1">IFERROR(__xludf.DUMMYFUNCTION("""COMPUTED_VALUE"""),"6283162052952")</f>
        <v>6283162052952</v>
      </c>
      <c r="F78" s="139">
        <f ca="1">IFERROR(__xludf.DUMMYFUNCTION("""COMPUTED_VALUE"""),1398)</f>
        <v>1398</v>
      </c>
      <c r="G78" s="139">
        <f ca="1">IFERROR(__xludf.DUMMYFUNCTION("""COMPUTED_VALUE"""),41997.2)</f>
        <v>41997.2</v>
      </c>
      <c r="H78" s="139">
        <f ca="1">IFERROR(__xludf.DUMMYFUNCTION("""COMPUTED_VALUE"""),7)</f>
        <v>7</v>
      </c>
      <c r="I78" s="140">
        <f ca="1">IFERROR(__xludf.DUMMYFUNCTION("""COMPUTED_VALUE"""),60253)</f>
        <v>60253</v>
      </c>
      <c r="J78" s="141">
        <f ca="1">IFERROR(__xludf.DUMMYFUNCTION("""COMPUTED_VALUE"""),8607.57142857143)</f>
        <v>8607.5714285714294</v>
      </c>
      <c r="K78" s="142">
        <f ca="1">IFERROR(__xludf.DUMMYFUNCTION("""COMPUTED_VALUE"""),4.01686666666666)</f>
        <v>4.0168666666666599</v>
      </c>
      <c r="L78" s="143" t="str">
        <f ca="1"/>
        <v>Wiris Variasi</v>
      </c>
      <c r="M78" s="127"/>
      <c r="N78" s="127"/>
      <c r="O78" s="127"/>
      <c r="P78" s="127"/>
      <c r="Q78" s="127"/>
      <c r="R78" s="127"/>
      <c r="S78" s="127"/>
      <c r="T78" s="127"/>
      <c r="U78" s="127"/>
      <c r="V78" s="127"/>
      <c r="W78" s="127"/>
      <c r="X78" s="127"/>
      <c r="Y78" s="127"/>
      <c r="Z78" s="127"/>
      <c r="AA78" s="127"/>
    </row>
    <row r="79" spans="1:27">
      <c r="A79" s="127">
        <f ca="1">IFERROR(__xludf.DUMMYFUNCTION("""COMPUTED_VALUE"""),174904221976312)</f>
        <v>174904221976312</v>
      </c>
      <c r="B79" s="127" t="str">
        <f ca="1">IFERROR(__xludf.DUMMYFUNCTION("""COMPUTED_VALUE"""),"120228262403810694")</f>
        <v>120228262403810694</v>
      </c>
      <c r="C79" s="127" t="str">
        <f ca="1">IFERROR(__xludf.DUMMYFUNCTION("""COMPUTED_VALUE"""),"THERA VIDA")</f>
        <v>THERA VIDA</v>
      </c>
      <c r="D79" s="138" t="str">
        <f ca="1">IFERROR(__xludf.DUMMYFUNCTION("""COMPUTED_VALUE"""),"https://wa.me/6289635171849")</f>
        <v>https://wa.me/6289635171849</v>
      </c>
      <c r="E79" s="139" t="str">
        <f ca="1">IFERROR(__xludf.DUMMYFUNCTION("""COMPUTED_VALUE"""),"6289635171849")</f>
        <v>6289635171849</v>
      </c>
      <c r="F79" s="139">
        <f ca="1">IFERROR(__xludf.DUMMYFUNCTION("""COMPUTED_VALUE"""),1000)</f>
        <v>1000</v>
      </c>
      <c r="G79" s="139">
        <f ca="1">IFERROR(__xludf.DUMMYFUNCTION("""COMPUTED_VALUE"""),46499.25)</f>
        <v>46499.25</v>
      </c>
      <c r="H79" s="139">
        <f ca="1">IFERROR(__xludf.DUMMYFUNCTION("""COMPUTED_VALUE"""),4)</f>
        <v>4</v>
      </c>
      <c r="I79" s="140">
        <f ca="1">IFERROR(__xludf.DUMMYFUNCTION("""COMPUTED_VALUE"""),50370)</f>
        <v>50370</v>
      </c>
      <c r="J79" s="141">
        <f ca="1">IFERROR(__xludf.DUMMYFUNCTION("""COMPUTED_VALUE"""),12592.5)</f>
        <v>12592.5</v>
      </c>
      <c r="K79" s="142">
        <f ca="1">IFERROR(__xludf.DUMMYFUNCTION("""COMPUTED_VALUE"""),3.358)</f>
        <v>3.3580000000000001</v>
      </c>
      <c r="L79" s="143" t="str">
        <f ca="1"/>
        <v>Wiris Variasi</v>
      </c>
      <c r="M79" s="127"/>
      <c r="N79" s="127"/>
      <c r="O79" s="127"/>
      <c r="P79" s="127"/>
      <c r="Q79" s="127"/>
      <c r="R79" s="127"/>
      <c r="S79" s="127"/>
      <c r="T79" s="127"/>
      <c r="U79" s="127"/>
      <c r="V79" s="127"/>
      <c r="W79" s="127"/>
      <c r="X79" s="127"/>
      <c r="Y79" s="127"/>
      <c r="Z79" s="127"/>
      <c r="AA79" s="127"/>
    </row>
    <row r="80" spans="1:27">
      <c r="A80" s="127">
        <f ca="1">IFERROR(__xludf.DUMMYFUNCTION("""COMPUTED_VALUE"""),174904221976312)</f>
        <v>174904221976312</v>
      </c>
      <c r="B80" s="127" t="str">
        <f ca="1">IFERROR(__xludf.DUMMYFUNCTION("""COMPUTED_VALUE"""),"120228297292730694")</f>
        <v>120228297292730694</v>
      </c>
      <c r="C80" s="127" t="str">
        <f ca="1">IFERROR(__xludf.DUMMYFUNCTION("""COMPUTED_VALUE"""),"Lombok Heaven")</f>
        <v>Lombok Heaven</v>
      </c>
      <c r="D80" s="138" t="str">
        <f ca="1">IFERROR(__xludf.DUMMYFUNCTION("""COMPUTED_VALUE"""),"https://wa.me/6287754552859")</f>
        <v>https://wa.me/6287754552859</v>
      </c>
      <c r="E80" s="139" t="str">
        <f ca="1">IFERROR(__xludf.DUMMYFUNCTION("""COMPUTED_VALUE"""),"6287754552859")</f>
        <v>6287754552859</v>
      </c>
      <c r="F80" s="139">
        <f ca="1">IFERROR(__xludf.DUMMYFUNCTION("""COMPUTED_VALUE"""),1544)</f>
        <v>1544</v>
      </c>
      <c r="G80" s="139">
        <f ca="1">IFERROR(__xludf.DUMMYFUNCTION("""COMPUTED_VALUE"""),30953)</f>
        <v>30953</v>
      </c>
      <c r="H80" s="139">
        <f ca="1">IFERROR(__xludf.DUMMYFUNCTION("""COMPUTED_VALUE"""),0)</f>
        <v>0</v>
      </c>
      <c r="I80" s="140">
        <f ca="1">IFERROR(__xludf.DUMMYFUNCTION("""COMPUTED_VALUE"""),50967)</f>
        <v>50967</v>
      </c>
      <c r="J80" s="141"/>
      <c r="K80" s="142">
        <f ca="1">IFERROR(__xludf.DUMMYFUNCTION("""COMPUTED_VALUE"""),3.3978)</f>
        <v>3.3978000000000002</v>
      </c>
      <c r="L80" s="143" t="str">
        <f ca="1"/>
        <v>Wiris Variasi</v>
      </c>
      <c r="M80" s="127"/>
      <c r="N80" s="127"/>
      <c r="O80" s="127"/>
      <c r="P80" s="127"/>
      <c r="Q80" s="127"/>
      <c r="R80" s="127"/>
      <c r="S80" s="127"/>
      <c r="T80" s="127"/>
      <c r="U80" s="127"/>
      <c r="V80" s="127"/>
      <c r="W80" s="127"/>
      <c r="X80" s="127"/>
      <c r="Y80" s="127"/>
      <c r="Z80" s="127"/>
      <c r="AA80" s="127"/>
    </row>
    <row r="81" spans="1:27">
      <c r="A81" s="127">
        <f ca="1">IFERROR(__xludf.DUMMYFUNCTION("""COMPUTED_VALUE"""),174904221976312)</f>
        <v>174904221976312</v>
      </c>
      <c r="B81" s="127" t="str">
        <f ca="1">IFERROR(__xludf.DUMMYFUNCTION("""COMPUTED_VALUE"""),"120228297491300694")</f>
        <v>120228297491300694</v>
      </c>
      <c r="C81" s="127" t="str">
        <f ca="1">IFERROR(__xludf.DUMMYFUNCTION("""COMPUTED_VALUE"""),"Labajo Flores")</f>
        <v>Labajo Flores</v>
      </c>
      <c r="D81" s="138" t="str">
        <f ca="1">IFERROR(__xludf.DUMMYFUNCTION("""COMPUTED_VALUE"""),"https://wa.me/6285338137835")</f>
        <v>https://wa.me/6285338137835</v>
      </c>
      <c r="E81" s="139" t="str">
        <f ca="1">IFERROR(__xludf.DUMMYFUNCTION("""COMPUTED_VALUE"""),"6285338137835")</f>
        <v>6285338137835</v>
      </c>
      <c r="F81" s="139">
        <f ca="1">IFERROR(__xludf.DUMMYFUNCTION("""COMPUTED_VALUE"""),11753)</f>
        <v>11753</v>
      </c>
      <c r="G81" s="139">
        <f ca="1">IFERROR(__xludf.DUMMYFUNCTION("""COMPUTED_VALUE"""),33665.6896551724)</f>
        <v>33665.689655172398</v>
      </c>
      <c r="H81" s="139">
        <f ca="1">IFERROR(__xludf.DUMMYFUNCTION("""COMPUTED_VALUE"""),41)</f>
        <v>41</v>
      </c>
      <c r="I81" s="140">
        <f ca="1">IFERROR(__xludf.DUMMYFUNCTION("""COMPUTED_VALUE"""),366799)</f>
        <v>366799</v>
      </c>
      <c r="J81" s="141">
        <f ca="1">IFERROR(__xludf.DUMMYFUNCTION("""COMPUTED_VALUE"""),8946.31707317073)</f>
        <v>8946.3170731707305</v>
      </c>
      <c r="K81" s="142">
        <f ca="1">IFERROR(__xludf.DUMMYFUNCTION("""COMPUTED_VALUE"""),24.4532666666666)</f>
        <v>24.4532666666666</v>
      </c>
      <c r="L81" s="143" t="str">
        <f ca="1"/>
        <v>Wiris Variasi</v>
      </c>
      <c r="M81" s="127"/>
      <c r="N81" s="127"/>
      <c r="O81" s="127"/>
      <c r="P81" s="127"/>
      <c r="Q81" s="127"/>
      <c r="R81" s="127"/>
      <c r="S81" s="127"/>
      <c r="T81" s="127"/>
      <c r="U81" s="127"/>
      <c r="V81" s="127"/>
      <c r="W81" s="127"/>
      <c r="X81" s="127"/>
      <c r="Y81" s="127"/>
      <c r="Z81" s="127"/>
      <c r="AA81" s="127"/>
    </row>
    <row r="82" spans="1:27">
      <c r="A82" s="127">
        <f ca="1">IFERROR(__xludf.DUMMYFUNCTION("""COMPUTED_VALUE"""),174904221976312)</f>
        <v>174904221976312</v>
      </c>
      <c r="B82" s="127" t="str">
        <f ca="1">IFERROR(__xludf.DUMMYFUNCTION("""COMPUTED_VALUE"""),"120228297893450694")</f>
        <v>120228297893450694</v>
      </c>
      <c r="C82" s="127" t="str">
        <f ca="1">IFERROR(__xludf.DUMMYFUNCTION("""COMPUTED_VALUE"""),"Rentals scooter")</f>
        <v>Rentals scooter</v>
      </c>
      <c r="D82" s="138" t="str">
        <f ca="1">IFERROR(__xludf.DUMMYFUNCTION("""COMPUTED_VALUE"""),"https://wa.me/6281237893904")</f>
        <v>https://wa.me/6281237893904</v>
      </c>
      <c r="E82" s="139" t="str">
        <f ca="1">IFERROR(__xludf.DUMMYFUNCTION("""COMPUTED_VALUE"""),"6281237893904")</f>
        <v>6281237893904</v>
      </c>
      <c r="F82" s="139">
        <f ca="1">IFERROR(__xludf.DUMMYFUNCTION("""COMPUTED_VALUE"""),2765)</f>
        <v>2765</v>
      </c>
      <c r="G82" s="139">
        <f ca="1">IFERROR(__xludf.DUMMYFUNCTION("""COMPUTED_VALUE"""),21509.4)</f>
        <v>21509.4</v>
      </c>
      <c r="H82" s="139">
        <f ca="1">IFERROR(__xludf.DUMMYFUNCTION("""COMPUTED_VALUE"""),8)</f>
        <v>8</v>
      </c>
      <c r="I82" s="140">
        <f ca="1">IFERROR(__xludf.DUMMYFUNCTION("""COMPUTED_VALUE"""),63756)</f>
        <v>63756</v>
      </c>
      <c r="J82" s="141">
        <f ca="1">IFERROR(__xludf.DUMMYFUNCTION("""COMPUTED_VALUE"""),7969.5)</f>
        <v>7969.5</v>
      </c>
      <c r="K82" s="142">
        <f ca="1">IFERROR(__xludf.DUMMYFUNCTION("""COMPUTED_VALUE"""),4.2504)</f>
        <v>4.2504</v>
      </c>
      <c r="L82" s="143" t="str">
        <f ca="1"/>
        <v>Wiris Variasi</v>
      </c>
      <c r="M82" s="127"/>
      <c r="N82" s="127"/>
      <c r="O82" s="127"/>
      <c r="P82" s="127"/>
      <c r="Q82" s="127"/>
      <c r="R82" s="127"/>
      <c r="S82" s="127"/>
      <c r="T82" s="127"/>
      <c r="U82" s="127"/>
      <c r="V82" s="127"/>
      <c r="W82" s="127"/>
      <c r="X82" s="127"/>
      <c r="Y82" s="127"/>
      <c r="Z82" s="127"/>
      <c r="AA82" s="127"/>
    </row>
    <row r="83" spans="1:27">
      <c r="A83" s="127">
        <f ca="1">IFERROR(__xludf.DUMMYFUNCTION("""COMPUTED_VALUE"""),174904221976312)</f>
        <v>174904221976312</v>
      </c>
      <c r="B83" s="127" t="str">
        <f ca="1">IFERROR(__xludf.DUMMYFUNCTION("""COMPUTED_VALUE"""),"120228298516200694")</f>
        <v>120228298516200694</v>
      </c>
      <c r="C83" s="127" t="str">
        <f ca="1">IFERROR(__xludf.DUMMYFUNCTION("""COMPUTED_VALUE"""),"Bimbelku, Jokiku,")</f>
        <v>Bimbelku, Jokiku,</v>
      </c>
      <c r="D83" s="138" t="str">
        <f ca="1">IFERROR(__xludf.DUMMYFUNCTION("""COMPUTED_VALUE"""),"https://wa.me/6281361879826")</f>
        <v>https://wa.me/6281361879826</v>
      </c>
      <c r="E83" s="139" t="str">
        <f ca="1">IFERROR(__xludf.DUMMYFUNCTION("""COMPUTED_VALUE"""),"6281361879826")</f>
        <v>6281361879826</v>
      </c>
      <c r="F83" s="139">
        <f ca="1">IFERROR(__xludf.DUMMYFUNCTION("""COMPUTED_VALUE"""),1947)</f>
        <v>1947</v>
      </c>
      <c r="G83" s="139">
        <f ca="1">IFERROR(__xludf.DUMMYFUNCTION("""COMPUTED_VALUE"""),31412.4)</f>
        <v>31412.400000000001</v>
      </c>
      <c r="H83" s="139">
        <f ca="1">IFERROR(__xludf.DUMMYFUNCTION("""COMPUTED_VALUE"""),0)</f>
        <v>0</v>
      </c>
      <c r="I83" s="140">
        <f ca="1">IFERROR(__xludf.DUMMYFUNCTION("""COMPUTED_VALUE"""),66112)</f>
        <v>66112</v>
      </c>
      <c r="J83" s="141"/>
      <c r="K83" s="142">
        <f ca="1">IFERROR(__xludf.DUMMYFUNCTION("""COMPUTED_VALUE"""),4.40746666666666)</f>
        <v>4.40746666666666</v>
      </c>
      <c r="L83" s="143" t="str">
        <f ca="1"/>
        <v>Wiris Variasi</v>
      </c>
      <c r="M83" s="127"/>
      <c r="N83" s="127"/>
      <c r="O83" s="127"/>
      <c r="P83" s="127"/>
      <c r="Q83" s="127"/>
      <c r="R83" s="127"/>
      <c r="S83" s="127"/>
      <c r="T83" s="127"/>
      <c r="U83" s="127"/>
      <c r="V83" s="127"/>
      <c r="W83" s="127"/>
      <c r="X83" s="127"/>
      <c r="Y83" s="127"/>
      <c r="Z83" s="127"/>
      <c r="AA83" s="127"/>
    </row>
    <row r="84" spans="1:27">
      <c r="A84" s="127">
        <f ca="1">IFERROR(__xludf.DUMMYFUNCTION("""COMPUTED_VALUE"""),174904221976312)</f>
        <v>174904221976312</v>
      </c>
      <c r="B84" s="127" t="str">
        <f ca="1">IFERROR(__xludf.DUMMYFUNCTION("""COMPUTED_VALUE"""),"120228301612890694")</f>
        <v>120228301612890694</v>
      </c>
      <c r="C84" s="127" t="str">
        <f ca="1">IFERROR(__xludf.DUMMYFUNCTION("""COMPUTED_VALUE"""),"UI WEDDING")</f>
        <v>UI WEDDING</v>
      </c>
      <c r="D84" s="138" t="str">
        <f ca="1">IFERROR(__xludf.DUMMYFUNCTION("""COMPUTED_VALUE"""),"https://wa.me/6282128714101")</f>
        <v>https://wa.me/6282128714101</v>
      </c>
      <c r="E84" s="139" t="str">
        <f ca="1">IFERROR(__xludf.DUMMYFUNCTION("""COMPUTED_VALUE"""),"6282128714101")</f>
        <v>6282128714101</v>
      </c>
      <c r="F84" s="139">
        <f ca="1">IFERROR(__xludf.DUMMYFUNCTION("""COMPUTED_VALUE"""),6556)</f>
        <v>6556</v>
      </c>
      <c r="G84" s="139">
        <f ca="1">IFERROR(__xludf.DUMMYFUNCTION("""COMPUTED_VALUE"""),27106.5714285714)</f>
        <v>27106.571428571398</v>
      </c>
      <c r="H84" s="139">
        <f ca="1">IFERROR(__xludf.DUMMYFUNCTION("""COMPUTED_VALUE"""),19)</f>
        <v>19</v>
      </c>
      <c r="I84" s="140">
        <f ca="1">IFERROR(__xludf.DUMMYFUNCTION("""COMPUTED_VALUE"""),169215)</f>
        <v>169215</v>
      </c>
      <c r="J84" s="141">
        <f ca="1">IFERROR(__xludf.DUMMYFUNCTION("""COMPUTED_VALUE"""),8906.05263157894)</f>
        <v>8906.0526315789393</v>
      </c>
      <c r="K84" s="142">
        <f ca="1">IFERROR(__xludf.DUMMYFUNCTION("""COMPUTED_VALUE"""),11.281)</f>
        <v>11.281000000000001</v>
      </c>
      <c r="L84" s="143" t="str">
        <f ca="1"/>
        <v>Wiris Variasi</v>
      </c>
      <c r="M84" s="127"/>
      <c r="N84" s="127"/>
      <c r="O84" s="127"/>
      <c r="P84" s="127"/>
      <c r="Q84" s="127"/>
      <c r="R84" s="127"/>
      <c r="S84" s="127"/>
      <c r="T84" s="127"/>
      <c r="U84" s="127"/>
      <c r="V84" s="127"/>
      <c r="W84" s="127"/>
      <c r="X84" s="127"/>
      <c r="Y84" s="127"/>
      <c r="Z84" s="127"/>
      <c r="AA84" s="127"/>
    </row>
    <row r="85" spans="1:27">
      <c r="A85" s="127">
        <f ca="1">IFERROR(__xludf.DUMMYFUNCTION("""COMPUTED_VALUE"""),174904221976312)</f>
        <v>174904221976312</v>
      </c>
      <c r="B85" s="127" t="str">
        <f ca="1">IFERROR(__xludf.DUMMYFUNCTION("""COMPUTED_VALUE"""),"120228320527520694")</f>
        <v>120228320527520694</v>
      </c>
      <c r="C85" s="127" t="str">
        <f ca="1">IFERROR(__xludf.DUMMYFUNCTION("""COMPUTED_VALUE"""),"Halmahera Trips")</f>
        <v>Halmahera Trips</v>
      </c>
      <c r="D85" s="138" t="str">
        <f ca="1">IFERROR(__xludf.DUMMYFUNCTION("""COMPUTED_VALUE"""),"https://wa.me/6281212295448")</f>
        <v>https://wa.me/6281212295448</v>
      </c>
      <c r="E85" s="139" t="str">
        <f ca="1">IFERROR(__xludf.DUMMYFUNCTION("""COMPUTED_VALUE"""),"6281212295448")</f>
        <v>6281212295448</v>
      </c>
      <c r="F85" s="139">
        <f ca="1">IFERROR(__xludf.DUMMYFUNCTION("""COMPUTED_VALUE"""),10961)</f>
        <v>10961</v>
      </c>
      <c r="G85" s="139">
        <f ca="1">IFERROR(__xludf.DUMMYFUNCTION("""COMPUTED_VALUE"""),10047)</f>
        <v>10047</v>
      </c>
      <c r="H85" s="139">
        <f ca="1">IFERROR(__xludf.DUMMYFUNCTION("""COMPUTED_VALUE"""),29)</f>
        <v>29</v>
      </c>
      <c r="I85" s="140">
        <f ca="1">IFERROR(__xludf.DUMMYFUNCTION("""COMPUTED_VALUE"""),117977)</f>
        <v>117977</v>
      </c>
      <c r="J85" s="141">
        <f ca="1">IFERROR(__xludf.DUMMYFUNCTION("""COMPUTED_VALUE"""),4068.1724137931)</f>
        <v>4068.1724137931001</v>
      </c>
      <c r="K85" s="142">
        <f ca="1">IFERROR(__xludf.DUMMYFUNCTION("""COMPUTED_VALUE"""),7.86513333333333)</f>
        <v>7.86513333333333</v>
      </c>
      <c r="L85" s="143" t="str">
        <f ca="1"/>
        <v>Wiris Variasi</v>
      </c>
      <c r="M85" s="127"/>
      <c r="N85" s="127"/>
      <c r="O85" s="127"/>
      <c r="P85" s="127"/>
      <c r="Q85" s="127"/>
      <c r="R85" s="127"/>
      <c r="S85" s="127"/>
      <c r="T85" s="127"/>
      <c r="U85" s="127"/>
      <c r="V85" s="127"/>
      <c r="W85" s="127"/>
      <c r="X85" s="127"/>
      <c r="Y85" s="127"/>
      <c r="Z85" s="127"/>
      <c r="AA85" s="127"/>
    </row>
    <row r="86" spans="1:27">
      <c r="A86" s="127">
        <f ca="1">IFERROR(__xludf.DUMMYFUNCTION("""COMPUTED_VALUE"""),174904221976312)</f>
        <v>174904221976312</v>
      </c>
      <c r="B86" s="127" t="str">
        <f ca="1">IFERROR(__xludf.DUMMYFUNCTION("""COMPUTED_VALUE"""),"120228340733710694")</f>
        <v>120228340733710694</v>
      </c>
      <c r="C86" s="127" t="str">
        <f ca="1">IFERROR(__xludf.DUMMYFUNCTION("""COMPUTED_VALUE"""),"Pengobatan Non")</f>
        <v>Pengobatan Non</v>
      </c>
      <c r="D86" s="138" t="str">
        <f ca="1">IFERROR(__xludf.DUMMYFUNCTION("""COMPUTED_VALUE"""),"https://wa.me/6281412281953")</f>
        <v>https://wa.me/6281412281953</v>
      </c>
      <c r="E86" s="139" t="str">
        <f ca="1">IFERROR(__xludf.DUMMYFUNCTION("""COMPUTED_VALUE"""),"6281412281953")</f>
        <v>6281412281953</v>
      </c>
      <c r="F86" s="139">
        <f ca="1">IFERROR(__xludf.DUMMYFUNCTION("""COMPUTED_VALUE"""),8081)</f>
        <v>8081</v>
      </c>
      <c r="G86" s="139">
        <f ca="1">IFERROR(__xludf.DUMMYFUNCTION("""COMPUTED_VALUE"""),13660.4)</f>
        <v>13660.4</v>
      </c>
      <c r="H86" s="139">
        <f ca="1">IFERROR(__xludf.DUMMYFUNCTION("""COMPUTED_VALUE"""),71)</f>
        <v>71</v>
      </c>
      <c r="I86" s="140">
        <f ca="1">IFERROR(__xludf.DUMMYFUNCTION("""COMPUTED_VALUE"""),129725)</f>
        <v>129725</v>
      </c>
      <c r="J86" s="141">
        <f ca="1">IFERROR(__xludf.DUMMYFUNCTION("""COMPUTED_VALUE"""),1827.11267605633)</f>
        <v>1827.11267605633</v>
      </c>
      <c r="K86" s="142">
        <f ca="1">IFERROR(__xludf.DUMMYFUNCTION("""COMPUTED_VALUE"""),8.64833333333333)</f>
        <v>8.6483333333333299</v>
      </c>
      <c r="L86" s="143" t="str">
        <f ca="1"/>
        <v>Wiris Variasi</v>
      </c>
      <c r="M86" s="127"/>
      <c r="N86" s="127"/>
      <c r="O86" s="127"/>
      <c r="P86" s="127"/>
      <c r="Q86" s="127"/>
      <c r="R86" s="127"/>
      <c r="S86" s="127"/>
      <c r="T86" s="127"/>
      <c r="U86" s="127"/>
      <c r="V86" s="127"/>
      <c r="W86" s="127"/>
      <c r="X86" s="127"/>
      <c r="Y86" s="127"/>
      <c r="Z86" s="127"/>
      <c r="AA86" s="127"/>
    </row>
    <row r="87" spans="1:27">
      <c r="A87" s="127">
        <f ca="1">IFERROR(__xludf.DUMMYFUNCTION("""COMPUTED_VALUE"""),174904221976312)</f>
        <v>174904221976312</v>
      </c>
      <c r="B87" s="127" t="str">
        <f ca="1">IFERROR(__xludf.DUMMYFUNCTION("""COMPUTED_VALUE"""),"120228360684830694")</f>
        <v>120228360684830694</v>
      </c>
      <c r="C87" s="127" t="str">
        <f ca="1">IFERROR(__xludf.DUMMYFUNCTION("""COMPUTED_VALUE"""),"Rumah Terapi")</f>
        <v>Rumah Terapi</v>
      </c>
      <c r="D87" s="138" t="str">
        <f ca="1">IFERROR(__xludf.DUMMYFUNCTION("""COMPUTED_VALUE"""),"https://wa.me/6281779578317")</f>
        <v>https://wa.me/6281779578317</v>
      </c>
      <c r="E87" s="139" t="str">
        <f ca="1">IFERROR(__xludf.DUMMYFUNCTION("""COMPUTED_VALUE"""),"6281779578317")</f>
        <v>6281779578317</v>
      </c>
      <c r="F87" s="139">
        <f ca="1">IFERROR(__xludf.DUMMYFUNCTION("""COMPUTED_VALUE"""),33684)</f>
        <v>33684</v>
      </c>
      <c r="G87" s="139">
        <f ca="1">IFERROR(__xludf.DUMMYFUNCTION("""COMPUTED_VALUE"""),11267.064516129)</f>
        <v>11267.064516128999</v>
      </c>
      <c r="H87" s="139">
        <f ca="1">IFERROR(__xludf.DUMMYFUNCTION("""COMPUTED_VALUE"""),138)</f>
        <v>138</v>
      </c>
      <c r="I87" s="140">
        <f ca="1">IFERROR(__xludf.DUMMYFUNCTION("""COMPUTED_VALUE"""),415558)</f>
        <v>415558</v>
      </c>
      <c r="J87" s="141">
        <f ca="1">IFERROR(__xludf.DUMMYFUNCTION("""COMPUTED_VALUE"""),3011.28985507246)</f>
        <v>3011.2898550724599</v>
      </c>
      <c r="K87" s="142">
        <f ca="1">IFERROR(__xludf.DUMMYFUNCTION("""COMPUTED_VALUE"""),27.7038666666666)</f>
        <v>27.703866666666599</v>
      </c>
      <c r="L87" s="143" t="str">
        <f ca="1"/>
        <v>Wiris Variasi</v>
      </c>
      <c r="M87" s="127"/>
      <c r="N87" s="127"/>
      <c r="O87" s="127"/>
      <c r="P87" s="127"/>
      <c r="Q87" s="127"/>
      <c r="R87" s="127"/>
      <c r="S87" s="127"/>
      <c r="T87" s="127"/>
      <c r="U87" s="127"/>
      <c r="V87" s="127"/>
      <c r="W87" s="127"/>
      <c r="X87" s="127"/>
      <c r="Y87" s="127"/>
      <c r="Z87" s="127"/>
      <c r="AA87" s="127"/>
    </row>
    <row r="88" spans="1:27">
      <c r="A88" s="127">
        <f ca="1">IFERROR(__xludf.DUMMYFUNCTION("""COMPUTED_VALUE"""),174904221976312)</f>
        <v>174904221976312</v>
      </c>
      <c r="B88" s="127" t="str">
        <f ca="1">IFERROR(__xludf.DUMMYFUNCTION("""COMPUTED_VALUE"""),"120228361482710694")</f>
        <v>120228361482710694</v>
      </c>
      <c r="C88" s="127" t="str">
        <f ca="1">IFERROR(__xludf.DUMMYFUNCTION("""COMPUTED_VALUE"""),"Mutiara Wisata")</f>
        <v>Mutiara Wisata</v>
      </c>
      <c r="D88" s="138" t="str">
        <f ca="1">IFERROR(__xludf.DUMMYFUNCTION("""COMPUTED_VALUE"""),"https://wa.me/6282136273086")</f>
        <v>https://wa.me/6282136273086</v>
      </c>
      <c r="E88" s="139" t="str">
        <f ca="1">IFERROR(__xludf.DUMMYFUNCTION("""COMPUTED_VALUE"""),"6282136273086")</f>
        <v>6282136273086</v>
      </c>
      <c r="F88" s="139">
        <f ca="1">IFERROR(__xludf.DUMMYFUNCTION("""COMPUTED_VALUE"""),1624)</f>
        <v>1624</v>
      </c>
      <c r="G88" s="139">
        <f ca="1">IFERROR(__xludf.DUMMYFUNCTION("""COMPUTED_VALUE"""),66343.8888888888)</f>
        <v>66343.888888888803</v>
      </c>
      <c r="H88" s="139">
        <f ca="1">IFERROR(__xludf.DUMMYFUNCTION("""COMPUTED_VALUE"""),13)</f>
        <v>13</v>
      </c>
      <c r="I88" s="140">
        <f ca="1">IFERROR(__xludf.DUMMYFUNCTION("""COMPUTED_VALUE"""),112777)</f>
        <v>112777</v>
      </c>
      <c r="J88" s="141">
        <f ca="1">IFERROR(__xludf.DUMMYFUNCTION("""COMPUTED_VALUE"""),8675.15384615384)</f>
        <v>8675.1538461538403</v>
      </c>
      <c r="K88" s="142">
        <f ca="1">IFERROR(__xludf.DUMMYFUNCTION("""COMPUTED_VALUE"""),7.51846666666666)</f>
        <v>7.5184666666666597</v>
      </c>
      <c r="L88" s="143" t="str">
        <f ca="1"/>
        <v>Wiris Variasi</v>
      </c>
      <c r="M88" s="127"/>
      <c r="N88" s="127"/>
      <c r="O88" s="127"/>
      <c r="P88" s="127"/>
      <c r="Q88" s="127"/>
      <c r="R88" s="127"/>
      <c r="S88" s="127"/>
      <c r="T88" s="127"/>
      <c r="U88" s="127"/>
      <c r="V88" s="127"/>
      <c r="W88" s="127"/>
      <c r="X88" s="127"/>
      <c r="Y88" s="127"/>
      <c r="Z88" s="127"/>
      <c r="AA88" s="127"/>
    </row>
    <row r="89" spans="1:27">
      <c r="A89" s="127">
        <f ca="1">IFERROR(__xludf.DUMMYFUNCTION("""COMPUTED_VALUE"""),174904221976312)</f>
        <v>174904221976312</v>
      </c>
      <c r="B89" s="127" t="str">
        <f ca="1">IFERROR(__xludf.DUMMYFUNCTION("""COMPUTED_VALUE"""),"120228362069230694")</f>
        <v>120228362069230694</v>
      </c>
      <c r="C89" s="127" t="str">
        <f ca="1">IFERROR(__xludf.DUMMYFUNCTION("""COMPUTED_VALUE"""),"Bali")</f>
        <v>Bali</v>
      </c>
      <c r="D89" s="138" t="str">
        <f ca="1">IFERROR(__xludf.DUMMYFUNCTION("""COMPUTED_VALUE"""),"https://wa.me/6281337504727")</f>
        <v>https://wa.me/6281337504727</v>
      </c>
      <c r="E89" s="139" t="str">
        <f ca="1">IFERROR(__xludf.DUMMYFUNCTION("""COMPUTED_VALUE"""),"6281337504727")</f>
        <v>6281337504727</v>
      </c>
      <c r="F89" s="139">
        <f ca="1">IFERROR(__xludf.DUMMYFUNCTION("""COMPUTED_VALUE"""),1608)</f>
        <v>1608</v>
      </c>
      <c r="G89" s="139">
        <f ca="1">IFERROR(__xludf.DUMMYFUNCTION("""COMPUTED_VALUE"""),20029)</f>
        <v>20029</v>
      </c>
      <c r="H89" s="139">
        <f ca="1">IFERROR(__xludf.DUMMYFUNCTION("""COMPUTED_VALUE"""),4)</f>
        <v>4</v>
      </c>
      <c r="I89" s="140">
        <f ca="1">IFERROR(__xludf.DUMMYFUNCTION("""COMPUTED_VALUE"""),34150)</f>
        <v>34150</v>
      </c>
      <c r="J89" s="141">
        <f ca="1">IFERROR(__xludf.DUMMYFUNCTION("""COMPUTED_VALUE"""),8537.5)</f>
        <v>8537.5</v>
      </c>
      <c r="K89" s="142">
        <f ca="1">IFERROR(__xludf.DUMMYFUNCTION("""COMPUTED_VALUE"""),2.27666666666666)</f>
        <v>2.2766666666666602</v>
      </c>
      <c r="L89" s="143" t="str">
        <f ca="1"/>
        <v>Wiris Variasi</v>
      </c>
      <c r="M89" s="127"/>
      <c r="N89" s="127"/>
      <c r="O89" s="127"/>
      <c r="P89" s="127"/>
      <c r="Q89" s="127"/>
      <c r="R89" s="127"/>
      <c r="S89" s="127"/>
      <c r="T89" s="127"/>
      <c r="U89" s="127"/>
      <c r="V89" s="127"/>
      <c r="W89" s="127"/>
      <c r="X89" s="127"/>
      <c r="Y89" s="127"/>
      <c r="Z89" s="127"/>
      <c r="AA89" s="127"/>
    </row>
    <row r="90" spans="1:27">
      <c r="A90" s="127">
        <f ca="1">IFERROR(__xludf.DUMMYFUNCTION("""COMPUTED_VALUE"""),174904221976312)</f>
        <v>174904221976312</v>
      </c>
      <c r="B90" s="127" t="str">
        <f ca="1">IFERROR(__xludf.DUMMYFUNCTION("""COMPUTED_VALUE"""),"120228363354470694")</f>
        <v>120228363354470694</v>
      </c>
      <c r="C90" s="127" t="str">
        <f ca="1">IFERROR(__xludf.DUMMYFUNCTION("""COMPUTED_VALUE"""),"Bintang cleaning")</f>
        <v>Bintang cleaning</v>
      </c>
      <c r="D90" s="138" t="str">
        <f ca="1">IFERROR(__xludf.DUMMYFUNCTION("""COMPUTED_VALUE"""),"https://wa.me/6285956579758")</f>
        <v>https://wa.me/6285956579758</v>
      </c>
      <c r="E90" s="139" t="str">
        <f ca="1">IFERROR(__xludf.DUMMYFUNCTION("""COMPUTED_VALUE"""),"6285956579758")</f>
        <v>6285956579758</v>
      </c>
      <c r="F90" s="139">
        <f ca="1">IFERROR(__xludf.DUMMYFUNCTION("""COMPUTED_VALUE"""),2064)</f>
        <v>2064</v>
      </c>
      <c r="G90" s="139">
        <f ca="1">IFERROR(__xludf.DUMMYFUNCTION("""COMPUTED_VALUE"""),53566.5555555555)</f>
        <v>53566.555555555497</v>
      </c>
      <c r="H90" s="139">
        <f ca="1">IFERROR(__xludf.DUMMYFUNCTION("""COMPUTED_VALUE"""),4)</f>
        <v>4</v>
      </c>
      <c r="I90" s="140">
        <f ca="1">IFERROR(__xludf.DUMMYFUNCTION("""COMPUTED_VALUE"""),123153)</f>
        <v>123153</v>
      </c>
      <c r="J90" s="141">
        <f ca="1">IFERROR(__xludf.DUMMYFUNCTION("""COMPUTED_VALUE"""),30788.25)</f>
        <v>30788.25</v>
      </c>
      <c r="K90" s="142">
        <f ca="1">IFERROR(__xludf.DUMMYFUNCTION("""COMPUTED_VALUE"""),8.2102)</f>
        <v>8.2102000000000004</v>
      </c>
      <c r="L90" s="143" t="str">
        <f ca="1"/>
        <v>Wiris Variasi</v>
      </c>
      <c r="M90" s="127"/>
      <c r="N90" s="127"/>
      <c r="O90" s="127"/>
      <c r="P90" s="127"/>
      <c r="Q90" s="127"/>
      <c r="R90" s="127"/>
      <c r="S90" s="127"/>
      <c r="T90" s="127"/>
      <c r="U90" s="127"/>
      <c r="V90" s="127"/>
      <c r="W90" s="127"/>
      <c r="X90" s="127"/>
      <c r="Y90" s="127"/>
      <c r="Z90" s="127"/>
      <c r="AA90" s="127"/>
    </row>
    <row r="91" spans="1:27">
      <c r="A91" s="127">
        <f ca="1">IFERROR(__xludf.DUMMYFUNCTION("""COMPUTED_VALUE"""),174904221976312)</f>
        <v>174904221976312</v>
      </c>
      <c r="B91" s="127" t="str">
        <f ca="1">IFERROR(__xludf.DUMMYFUNCTION("""COMPUTED_VALUE"""),"120228363859420694")</f>
        <v>120228363859420694</v>
      </c>
      <c r="C91" s="127" t="str">
        <f ca="1">IFERROR(__xludf.DUMMYFUNCTION("""COMPUTED_VALUE"""),"Pt Alkarim")</f>
        <v>Pt Alkarim</v>
      </c>
      <c r="D91" s="138" t="str">
        <f ca="1">IFERROR(__xludf.DUMMYFUNCTION("""COMPUTED_VALUE"""),"https://wa.me/6283878405768")</f>
        <v>https://wa.me/6283878405768</v>
      </c>
      <c r="E91" s="139" t="str">
        <f ca="1">IFERROR(__xludf.DUMMYFUNCTION("""COMPUTED_VALUE"""),"6283878405768")</f>
        <v>6283878405768</v>
      </c>
      <c r="F91" s="139">
        <f ca="1">IFERROR(__xludf.DUMMYFUNCTION("""COMPUTED_VALUE"""),2126)</f>
        <v>2126</v>
      </c>
      <c r="G91" s="139">
        <f ca="1">IFERROR(__xludf.DUMMYFUNCTION("""COMPUTED_VALUE"""),15031.3333333333)</f>
        <v>15031.333333333299</v>
      </c>
      <c r="H91" s="139">
        <f ca="1">IFERROR(__xludf.DUMMYFUNCTION("""COMPUTED_VALUE"""),1)</f>
        <v>1</v>
      </c>
      <c r="I91" s="140">
        <f ca="1">IFERROR(__xludf.DUMMYFUNCTION("""COMPUTED_VALUE"""),37908)</f>
        <v>37908</v>
      </c>
      <c r="J91" s="141">
        <f ca="1">IFERROR(__xludf.DUMMYFUNCTION("""COMPUTED_VALUE"""),37908)</f>
        <v>37908</v>
      </c>
      <c r="K91" s="142">
        <f ca="1">IFERROR(__xludf.DUMMYFUNCTION("""COMPUTED_VALUE"""),2.5272)</f>
        <v>2.5272000000000001</v>
      </c>
      <c r="L91" s="143" t="str">
        <f ca="1"/>
        <v>Wiris Variasi</v>
      </c>
      <c r="M91" s="127"/>
      <c r="N91" s="127"/>
      <c r="O91" s="127"/>
      <c r="P91" s="127"/>
      <c r="Q91" s="127"/>
      <c r="R91" s="127"/>
      <c r="S91" s="127"/>
      <c r="T91" s="127"/>
      <c r="U91" s="127"/>
      <c r="V91" s="127"/>
      <c r="W91" s="127"/>
      <c r="X91" s="127"/>
      <c r="Y91" s="127"/>
      <c r="Z91" s="127"/>
      <c r="AA91" s="127"/>
    </row>
    <row r="92" spans="1:27">
      <c r="A92" s="127">
        <f ca="1">IFERROR(__xludf.DUMMYFUNCTION("""COMPUTED_VALUE"""),174904221976312)</f>
        <v>174904221976312</v>
      </c>
      <c r="B92" s="127" t="str">
        <f ca="1">IFERROR(__xludf.DUMMYFUNCTION("""COMPUTED_VALUE"""),"120228398605530694")</f>
        <v>120228398605530694</v>
      </c>
      <c r="C92" s="127" t="str">
        <f ca="1">IFERROR(__xludf.DUMMYFUNCTION("""COMPUTED_VALUE"""),"SNACK KILOAN")</f>
        <v>SNACK KILOAN</v>
      </c>
      <c r="D92" s="138" t="str">
        <f ca="1">IFERROR(__xludf.DUMMYFUNCTION("""COMPUTED_VALUE"""),"https://wa.me/6288215032728")</f>
        <v>https://wa.me/6288215032728</v>
      </c>
      <c r="E92" s="139" t="str">
        <f ca="1">IFERROR(__xludf.DUMMYFUNCTION("""COMPUTED_VALUE"""),"6288215032728")</f>
        <v>6288215032728</v>
      </c>
      <c r="F92" s="139">
        <f ca="1">IFERROR(__xludf.DUMMYFUNCTION("""COMPUTED_VALUE"""),4680)</f>
        <v>4680</v>
      </c>
      <c r="G92" s="139">
        <f ca="1">IFERROR(__xludf.DUMMYFUNCTION("""COMPUTED_VALUE"""),11958.2)</f>
        <v>11958.2</v>
      </c>
      <c r="H92" s="139">
        <f ca="1">IFERROR(__xludf.DUMMYFUNCTION("""COMPUTED_VALUE"""),3)</f>
        <v>3</v>
      </c>
      <c r="I92" s="140">
        <f ca="1">IFERROR(__xludf.DUMMYFUNCTION("""COMPUTED_VALUE"""),64020)</f>
        <v>64020</v>
      </c>
      <c r="J92" s="141">
        <f ca="1">IFERROR(__xludf.DUMMYFUNCTION("""COMPUTED_VALUE"""),21340)</f>
        <v>21340</v>
      </c>
      <c r="K92" s="142">
        <f ca="1">IFERROR(__xludf.DUMMYFUNCTION("""COMPUTED_VALUE"""),4.268)</f>
        <v>4.2679999999999998</v>
      </c>
      <c r="L92" s="143" t="str">
        <f ca="1"/>
        <v>Wiris Variasi</v>
      </c>
      <c r="M92" s="127"/>
      <c r="N92" s="127"/>
      <c r="O92" s="127"/>
      <c r="P92" s="127"/>
      <c r="Q92" s="127"/>
      <c r="R92" s="127"/>
      <c r="S92" s="127"/>
      <c r="T92" s="127"/>
      <c r="U92" s="127"/>
      <c r="V92" s="127"/>
      <c r="W92" s="127"/>
      <c r="X92" s="127"/>
      <c r="Y92" s="127"/>
      <c r="Z92" s="127"/>
      <c r="AA92" s="127"/>
    </row>
    <row r="93" spans="1:27">
      <c r="A93" s="127">
        <f ca="1">IFERROR(__xludf.DUMMYFUNCTION("""COMPUTED_VALUE"""),174904221976312)</f>
        <v>174904221976312</v>
      </c>
      <c r="B93" s="127" t="str">
        <f ca="1">IFERROR(__xludf.DUMMYFUNCTION("""COMPUTED_VALUE"""),"120228399025620694")</f>
        <v>120228399025620694</v>
      </c>
      <c r="C93" s="127" t="str">
        <f ca="1">IFERROR(__xludf.DUMMYFUNCTION("""COMPUTED_VALUE"""),"Budi Holistik")</f>
        <v>Budi Holistik</v>
      </c>
      <c r="D93" s="138" t="str">
        <f ca="1">IFERROR(__xludf.DUMMYFUNCTION("""COMPUTED_VALUE"""),"https://wa.me/6281240144744")</f>
        <v>https://wa.me/6281240144744</v>
      </c>
      <c r="E93" s="139" t="str">
        <f ca="1">IFERROR(__xludf.DUMMYFUNCTION("""COMPUTED_VALUE"""),"6281240144744")</f>
        <v>6281240144744</v>
      </c>
      <c r="F93" s="139">
        <f ca="1">IFERROR(__xludf.DUMMYFUNCTION("""COMPUTED_VALUE"""),47231)</f>
        <v>47231</v>
      </c>
      <c r="G93" s="139">
        <f ca="1">IFERROR(__xludf.DUMMYFUNCTION("""COMPUTED_VALUE"""),6935.89285714285)</f>
        <v>6935.8928571428496</v>
      </c>
      <c r="H93" s="139">
        <f ca="1">IFERROR(__xludf.DUMMYFUNCTION("""COMPUTED_VALUE"""),89)</f>
        <v>89</v>
      </c>
      <c r="I93" s="140">
        <f ca="1">IFERROR(__xludf.DUMMYFUNCTION("""COMPUTED_VALUE"""),389649)</f>
        <v>389649</v>
      </c>
      <c r="J93" s="141">
        <f ca="1">IFERROR(__xludf.DUMMYFUNCTION("""COMPUTED_VALUE"""),4378.07865168539)</f>
        <v>4378.0786516853896</v>
      </c>
      <c r="K93" s="142">
        <f ca="1">IFERROR(__xludf.DUMMYFUNCTION("""COMPUTED_VALUE"""),25.9766)</f>
        <v>25.976600000000001</v>
      </c>
      <c r="L93" s="143" t="str">
        <f ca="1"/>
        <v>Wiris Variasi</v>
      </c>
      <c r="M93" s="127"/>
      <c r="N93" s="127"/>
      <c r="O93" s="127"/>
      <c r="P93" s="127"/>
      <c r="Q93" s="127"/>
      <c r="R93" s="127"/>
      <c r="S93" s="127"/>
      <c r="T93" s="127"/>
      <c r="U93" s="127"/>
      <c r="V93" s="127"/>
      <c r="W93" s="127"/>
      <c r="X93" s="127"/>
      <c r="Y93" s="127"/>
      <c r="Z93" s="127"/>
      <c r="AA93" s="127"/>
    </row>
    <row r="94" spans="1:27">
      <c r="A94" s="127">
        <f ca="1">IFERROR(__xludf.DUMMYFUNCTION("""COMPUTED_VALUE"""),174904221976312)</f>
        <v>174904221976312</v>
      </c>
      <c r="B94" s="127" t="str">
        <f ca="1">IFERROR(__xludf.DUMMYFUNCTION("""COMPUTED_VALUE"""),"120228419715390694")</f>
        <v>120228419715390694</v>
      </c>
      <c r="C94" s="127" t="str">
        <f ca="1">IFERROR(__xludf.DUMMYFUNCTION("""COMPUTED_VALUE"""),"Terapi Al")</f>
        <v>Terapi Al</v>
      </c>
      <c r="D94" s="138" t="str">
        <f ca="1">IFERROR(__xludf.DUMMYFUNCTION("""COMPUTED_VALUE"""),"https://wa.me/6288229559606")</f>
        <v>https://wa.me/6288229559606</v>
      </c>
      <c r="E94" s="139" t="str">
        <f ca="1">IFERROR(__xludf.DUMMYFUNCTION("""COMPUTED_VALUE"""),"6288229559606")</f>
        <v>6288229559606</v>
      </c>
      <c r="F94" s="139">
        <f ca="1">IFERROR(__xludf.DUMMYFUNCTION("""COMPUTED_VALUE"""),2729)</f>
        <v>2729</v>
      </c>
      <c r="G94" s="139">
        <f ca="1">IFERROR(__xludf.DUMMYFUNCTION("""COMPUTED_VALUE"""),10239.3333333333)</f>
        <v>10239.333333333299</v>
      </c>
      <c r="H94" s="139">
        <f ca="1">IFERROR(__xludf.DUMMYFUNCTION("""COMPUTED_VALUE"""),2)</f>
        <v>2</v>
      </c>
      <c r="I94" s="140">
        <f ca="1">IFERROR(__xludf.DUMMYFUNCTION("""COMPUTED_VALUE"""),37045)</f>
        <v>37045</v>
      </c>
      <c r="J94" s="141">
        <f ca="1">IFERROR(__xludf.DUMMYFUNCTION("""COMPUTED_VALUE"""),18522.5)</f>
        <v>18522.5</v>
      </c>
      <c r="K94" s="142">
        <f ca="1">IFERROR(__xludf.DUMMYFUNCTION("""COMPUTED_VALUE"""),2.46966666666666)</f>
        <v>2.4696666666666598</v>
      </c>
      <c r="L94" s="143" t="str">
        <f ca="1"/>
        <v>Wiris Variasi</v>
      </c>
      <c r="M94" s="127"/>
      <c r="N94" s="127"/>
      <c r="O94" s="127"/>
      <c r="P94" s="127"/>
      <c r="Q94" s="127"/>
      <c r="R94" s="127"/>
      <c r="S94" s="127"/>
      <c r="T94" s="127"/>
      <c r="U94" s="127"/>
      <c r="V94" s="127"/>
      <c r="W94" s="127"/>
      <c r="X94" s="127"/>
      <c r="Y94" s="127"/>
      <c r="Z94" s="127"/>
      <c r="AA94" s="127"/>
    </row>
    <row r="95" spans="1:27">
      <c r="A95" s="127">
        <f ca="1">IFERROR(__xludf.DUMMYFUNCTION("""COMPUTED_VALUE"""),174904221976312)</f>
        <v>174904221976312</v>
      </c>
      <c r="B95" s="127" t="str">
        <f ca="1">IFERROR(__xludf.DUMMYFUNCTION("""COMPUTED_VALUE"""),"120228420024580694")</f>
        <v>120228420024580694</v>
      </c>
      <c r="C95" s="127" t="str">
        <f ca="1">IFERROR(__xludf.DUMMYFUNCTION("""COMPUTED_VALUE"""),"PT. AL")</f>
        <v>PT. AL</v>
      </c>
      <c r="D95" s="138" t="str">
        <f ca="1">IFERROR(__xludf.DUMMYFUNCTION("""COMPUTED_VALUE"""),"https://wa.me/62859130962516")</f>
        <v>https://wa.me/62859130962516</v>
      </c>
      <c r="E95" s="139" t="str">
        <f ca="1">IFERROR(__xludf.DUMMYFUNCTION("""COMPUTED_VALUE"""),"62859130962516")</f>
        <v>62859130962516</v>
      </c>
      <c r="F95" s="139">
        <f ca="1">IFERROR(__xludf.DUMMYFUNCTION("""COMPUTED_VALUE"""),1598)</f>
        <v>1598</v>
      </c>
      <c r="G95" s="139">
        <f ca="1">IFERROR(__xludf.DUMMYFUNCTION("""COMPUTED_VALUE"""),29350.3333333333)</f>
        <v>29350.333333333299</v>
      </c>
      <c r="H95" s="139">
        <f ca="1">IFERROR(__xludf.DUMMYFUNCTION("""COMPUTED_VALUE"""),2)</f>
        <v>2</v>
      </c>
      <c r="I95" s="140">
        <f ca="1">IFERROR(__xludf.DUMMYFUNCTION("""COMPUTED_VALUE"""),38110)</f>
        <v>38110</v>
      </c>
      <c r="J95" s="141">
        <f ca="1">IFERROR(__xludf.DUMMYFUNCTION("""COMPUTED_VALUE"""),19055)</f>
        <v>19055</v>
      </c>
      <c r="K95" s="142">
        <f ca="1">IFERROR(__xludf.DUMMYFUNCTION("""COMPUTED_VALUE"""),2.54066666666666)</f>
        <v>2.54066666666666</v>
      </c>
      <c r="L95" s="143" t="str">
        <f ca="1"/>
        <v>Wiris Variasi</v>
      </c>
      <c r="M95" s="127"/>
      <c r="N95" s="127"/>
      <c r="O95" s="127"/>
      <c r="P95" s="127"/>
      <c r="Q95" s="127"/>
      <c r="R95" s="127"/>
      <c r="S95" s="127"/>
      <c r="T95" s="127"/>
      <c r="U95" s="127"/>
      <c r="V95" s="127"/>
      <c r="W95" s="127"/>
      <c r="X95" s="127"/>
      <c r="Y95" s="127"/>
      <c r="Z95" s="127"/>
      <c r="AA95" s="127"/>
    </row>
    <row r="96" spans="1:27">
      <c r="A96" s="127">
        <f ca="1">IFERROR(__xludf.DUMMYFUNCTION("""COMPUTED_VALUE"""),174904221976312)</f>
        <v>174904221976312</v>
      </c>
      <c r="B96" s="127" t="str">
        <f ca="1">IFERROR(__xludf.DUMMYFUNCTION("""COMPUTED_VALUE"""),"120228420201590694")</f>
        <v>120228420201590694</v>
      </c>
      <c r="C96" s="127" t="str">
        <f ca="1">IFERROR(__xludf.DUMMYFUNCTION("""COMPUTED_VALUE"""),"Tory Reflexi")</f>
        <v>Tory Reflexi</v>
      </c>
      <c r="D96" s="138" t="str">
        <f ca="1">IFERROR(__xludf.DUMMYFUNCTION("""COMPUTED_VALUE"""),"https://wa.me/6282298717014")</f>
        <v>https://wa.me/6282298717014</v>
      </c>
      <c r="E96" s="139" t="str">
        <f ca="1">IFERROR(__xludf.DUMMYFUNCTION("""COMPUTED_VALUE"""),"6282298717014")</f>
        <v>6282298717014</v>
      </c>
      <c r="F96" s="139">
        <f ca="1">IFERROR(__xludf.DUMMYFUNCTION("""COMPUTED_VALUE"""),3767)</f>
        <v>3767</v>
      </c>
      <c r="G96" s="139">
        <f ca="1">IFERROR(__xludf.DUMMYFUNCTION("""COMPUTED_VALUE"""),30048.5555555555)</f>
        <v>30048.5555555555</v>
      </c>
      <c r="H96" s="139">
        <f ca="1">IFERROR(__xludf.DUMMYFUNCTION("""COMPUTED_VALUE"""),19)</f>
        <v>19</v>
      </c>
      <c r="I96" s="140">
        <f ca="1">IFERROR(__xludf.DUMMYFUNCTION("""COMPUTED_VALUE"""),125114)</f>
        <v>125114</v>
      </c>
      <c r="J96" s="141">
        <f ca="1">IFERROR(__xludf.DUMMYFUNCTION("""COMPUTED_VALUE"""),6584.94736842105)</f>
        <v>6584.9473684210498</v>
      </c>
      <c r="K96" s="142">
        <f ca="1">IFERROR(__xludf.DUMMYFUNCTION("""COMPUTED_VALUE"""),8.34093333333333)</f>
        <v>8.3409333333333304</v>
      </c>
      <c r="L96" s="143" t="str">
        <f ca="1"/>
        <v>Wiris Variasi</v>
      </c>
      <c r="M96" s="127"/>
      <c r="N96" s="127"/>
      <c r="O96" s="127"/>
      <c r="P96" s="127"/>
      <c r="Q96" s="127"/>
      <c r="R96" s="127"/>
      <c r="S96" s="127"/>
      <c r="T96" s="127"/>
      <c r="U96" s="127"/>
      <c r="V96" s="127"/>
      <c r="W96" s="127"/>
      <c r="X96" s="127"/>
      <c r="Y96" s="127"/>
      <c r="Z96" s="127"/>
      <c r="AA96" s="127"/>
    </row>
    <row r="97" spans="1:27">
      <c r="A97" s="127">
        <f ca="1">IFERROR(__xludf.DUMMYFUNCTION("""COMPUTED_VALUE"""),174904221976312)</f>
        <v>174904221976312</v>
      </c>
      <c r="B97" s="127" t="str">
        <f ca="1">IFERROR(__xludf.DUMMYFUNCTION("""COMPUTED_VALUE"""),"120228420949230694")</f>
        <v>120228420949230694</v>
      </c>
      <c r="C97" s="127" t="str">
        <f ca="1">IFERROR(__xludf.DUMMYFUNCTION("""COMPUTED_VALUE"""),"Varel Laundry")</f>
        <v>Varel Laundry</v>
      </c>
      <c r="D97" s="138" t="str">
        <f ca="1">IFERROR(__xludf.DUMMYFUNCTION("""COMPUTED_VALUE"""),"https://wa.me/6285713536070")</f>
        <v>https://wa.me/6285713536070</v>
      </c>
      <c r="E97" s="139" t="str">
        <f ca="1">IFERROR(__xludf.DUMMYFUNCTION("""COMPUTED_VALUE"""),"6285713536070")</f>
        <v>6285713536070</v>
      </c>
      <c r="F97" s="139">
        <f ca="1">IFERROR(__xludf.DUMMYFUNCTION("""COMPUTED_VALUE"""),1648)</f>
        <v>1648</v>
      </c>
      <c r="G97" s="139">
        <f ca="1">IFERROR(__xludf.DUMMYFUNCTION("""COMPUTED_VALUE"""),24661.3333333333)</f>
        <v>24661.333333333299</v>
      </c>
      <c r="H97" s="139">
        <f ca="1">IFERROR(__xludf.DUMMYFUNCTION("""COMPUTED_VALUE"""),4)</f>
        <v>4</v>
      </c>
      <c r="I97" s="140">
        <f ca="1">IFERROR(__xludf.DUMMYFUNCTION("""COMPUTED_VALUE"""),41882)</f>
        <v>41882</v>
      </c>
      <c r="J97" s="141">
        <f ca="1">IFERROR(__xludf.DUMMYFUNCTION("""COMPUTED_VALUE"""),10470.5)</f>
        <v>10470.5</v>
      </c>
      <c r="K97" s="142">
        <f ca="1">IFERROR(__xludf.DUMMYFUNCTION("""COMPUTED_VALUE"""),2.79213333333333)</f>
        <v>2.79213333333333</v>
      </c>
      <c r="L97" s="143" t="str">
        <f ca="1"/>
        <v>Wiris Variasi</v>
      </c>
      <c r="M97" s="127"/>
      <c r="N97" s="127"/>
      <c r="O97" s="127"/>
      <c r="P97" s="127"/>
      <c r="Q97" s="127"/>
      <c r="R97" s="127"/>
      <c r="S97" s="127"/>
      <c r="T97" s="127"/>
      <c r="U97" s="127"/>
      <c r="V97" s="127"/>
      <c r="W97" s="127"/>
      <c r="X97" s="127"/>
      <c r="Y97" s="127"/>
      <c r="Z97" s="127"/>
      <c r="AA97" s="127"/>
    </row>
    <row r="98" spans="1:27">
      <c r="A98" s="127">
        <f ca="1">IFERROR(__xludf.DUMMYFUNCTION("""COMPUTED_VALUE"""),174904221976312)</f>
        <v>174904221976312</v>
      </c>
      <c r="B98" s="127" t="str">
        <f ca="1">IFERROR(__xludf.DUMMYFUNCTION("""COMPUTED_VALUE"""),"120228421229490694")</f>
        <v>120228421229490694</v>
      </c>
      <c r="C98" s="127" t="str">
        <f ca="1">IFERROR(__xludf.DUMMYFUNCTION("""COMPUTED_VALUE"""),"Rokok Herbal")</f>
        <v>Rokok Herbal</v>
      </c>
      <c r="D98" s="138" t="str">
        <f ca="1">IFERROR(__xludf.DUMMYFUNCTION("""COMPUTED_VALUE"""),"https://wa.me/6285274759862")</f>
        <v>https://wa.me/6285274759862</v>
      </c>
      <c r="E98" s="139" t="str">
        <f ca="1">IFERROR(__xludf.DUMMYFUNCTION("""COMPUTED_VALUE"""),"6285274759862")</f>
        <v>6285274759862</v>
      </c>
      <c r="F98" s="139">
        <f ca="1">IFERROR(__xludf.DUMMYFUNCTION("""COMPUTED_VALUE"""),10399)</f>
        <v>10399</v>
      </c>
      <c r="G98" s="139">
        <f ca="1">IFERROR(__xludf.DUMMYFUNCTION("""COMPUTED_VALUE"""),16768.8461538461)</f>
        <v>16768.846153846102</v>
      </c>
      <c r="H98" s="139">
        <f ca="1">IFERROR(__xludf.DUMMYFUNCTION("""COMPUTED_VALUE"""),89)</f>
        <v>89</v>
      </c>
      <c r="I98" s="140">
        <f ca="1">IFERROR(__xludf.DUMMYFUNCTION("""COMPUTED_VALUE"""),177991)</f>
        <v>177991</v>
      </c>
      <c r="J98" s="141">
        <f ca="1">IFERROR(__xludf.DUMMYFUNCTION("""COMPUTED_VALUE"""),1999.89887640449)</f>
        <v>1999.89887640449</v>
      </c>
      <c r="K98" s="142">
        <f ca="1">IFERROR(__xludf.DUMMYFUNCTION("""COMPUTED_VALUE"""),11.8660666666666)</f>
        <v>11.866066666666599</v>
      </c>
      <c r="L98" s="143" t="str">
        <f ca="1"/>
        <v>Wiris Variasi</v>
      </c>
      <c r="M98" s="127"/>
      <c r="N98" s="127"/>
      <c r="O98" s="127"/>
      <c r="P98" s="127"/>
      <c r="Q98" s="127"/>
      <c r="R98" s="127"/>
      <c r="S98" s="127"/>
      <c r="T98" s="127"/>
      <c r="U98" s="127"/>
      <c r="V98" s="127"/>
      <c r="W98" s="127"/>
      <c r="X98" s="127"/>
      <c r="Y98" s="127"/>
      <c r="Z98" s="127"/>
      <c r="AA98" s="127"/>
    </row>
    <row r="99" spans="1:27">
      <c r="A99" s="127">
        <f ca="1">IFERROR(__xludf.DUMMYFUNCTION("""COMPUTED_VALUE"""),174904221976312)</f>
        <v>174904221976312</v>
      </c>
      <c r="B99" s="127" t="str">
        <f ca="1">IFERROR(__xludf.DUMMYFUNCTION("""COMPUTED_VALUE"""),"120228480638570694")</f>
        <v>120228480638570694</v>
      </c>
      <c r="C99" s="127" t="str">
        <f ca="1">IFERROR(__xludf.DUMMYFUNCTION("""COMPUTED_VALUE"""),"ALSES SARANA")</f>
        <v>ALSES SARANA</v>
      </c>
      <c r="D99" s="138" t="str">
        <f ca="1">IFERROR(__xludf.DUMMYFUNCTION("""COMPUTED_VALUE"""),"https://wa.me/6285889229948")</f>
        <v>https://wa.me/6285889229948</v>
      </c>
      <c r="E99" s="139" t="str">
        <f ca="1">IFERROR(__xludf.DUMMYFUNCTION("""COMPUTED_VALUE"""),"6285889229948")</f>
        <v>6285889229948</v>
      </c>
      <c r="F99" s="139">
        <f ca="1">IFERROR(__xludf.DUMMYFUNCTION("""COMPUTED_VALUE"""),1565)</f>
        <v>1565</v>
      </c>
      <c r="G99" s="139">
        <f ca="1">IFERROR(__xludf.DUMMYFUNCTION("""COMPUTED_VALUE"""),45568.3333333333)</f>
        <v>45568.333333333299</v>
      </c>
      <c r="H99" s="139">
        <f ca="1">IFERROR(__xludf.DUMMYFUNCTION("""COMPUTED_VALUE"""),2)</f>
        <v>2</v>
      </c>
      <c r="I99" s="140">
        <f ca="1">IFERROR(__xludf.DUMMYFUNCTION("""COMPUTED_VALUE"""),76160)</f>
        <v>76160</v>
      </c>
      <c r="J99" s="141">
        <f ca="1">IFERROR(__xludf.DUMMYFUNCTION("""COMPUTED_VALUE"""),38080)</f>
        <v>38080</v>
      </c>
      <c r="K99" s="142">
        <f ca="1">IFERROR(__xludf.DUMMYFUNCTION("""COMPUTED_VALUE"""),5.07733333333333)</f>
        <v>5.0773333333333301</v>
      </c>
      <c r="L99" s="143" t="str">
        <f ca="1"/>
        <v>Wiris Variasi</v>
      </c>
      <c r="M99" s="127"/>
      <c r="N99" s="127"/>
      <c r="O99" s="127"/>
      <c r="P99" s="127"/>
      <c r="Q99" s="127"/>
      <c r="R99" s="127"/>
      <c r="S99" s="127"/>
      <c r="T99" s="127"/>
      <c r="U99" s="127"/>
      <c r="V99" s="127"/>
      <c r="W99" s="127"/>
      <c r="X99" s="127"/>
      <c r="Y99" s="127"/>
      <c r="Z99" s="127"/>
      <c r="AA99" s="127"/>
    </row>
    <row r="100" spans="1:27">
      <c r="A100" s="127">
        <f ca="1">IFERROR(__xludf.DUMMYFUNCTION("""COMPUTED_VALUE"""),174904221976312)</f>
        <v>174904221976312</v>
      </c>
      <c r="B100" s="127" t="str">
        <f ca="1">IFERROR(__xludf.DUMMYFUNCTION("""COMPUTED_VALUE"""),"120228480915950694")</f>
        <v>120228480915950694</v>
      </c>
      <c r="C100" s="127" t="str">
        <f ca="1">IFERROR(__xludf.DUMMYFUNCTION("""COMPUTED_VALUE"""),"Safa Bag")</f>
        <v>Safa Bag</v>
      </c>
      <c r="D100" s="138" t="str">
        <f ca="1">IFERROR(__xludf.DUMMYFUNCTION("""COMPUTED_VALUE"""),"https://wa.me/6287715704997")</f>
        <v>https://wa.me/6287715704997</v>
      </c>
      <c r="E100" s="139" t="str">
        <f ca="1">IFERROR(__xludf.DUMMYFUNCTION("""COMPUTED_VALUE"""),"6287715704997")</f>
        <v>6287715704997</v>
      </c>
      <c r="F100" s="139">
        <f ca="1">IFERROR(__xludf.DUMMYFUNCTION("""COMPUTED_VALUE"""),967)</f>
        <v>967</v>
      </c>
      <c r="G100" s="139">
        <f ca="1">IFERROR(__xludf.DUMMYFUNCTION("""COMPUTED_VALUE"""),78052.3333333333)</f>
        <v>78052.333333333299</v>
      </c>
      <c r="H100" s="139">
        <f ca="1">IFERROR(__xludf.DUMMYFUNCTION("""COMPUTED_VALUE"""),6)</f>
        <v>6</v>
      </c>
      <c r="I100" s="140">
        <f ca="1">IFERROR(__xludf.DUMMYFUNCTION("""COMPUTED_VALUE"""),82263)</f>
        <v>82263</v>
      </c>
      <c r="J100" s="141">
        <f ca="1">IFERROR(__xludf.DUMMYFUNCTION("""COMPUTED_VALUE"""),13710.5)</f>
        <v>13710.5</v>
      </c>
      <c r="K100" s="142">
        <f ca="1">IFERROR(__xludf.DUMMYFUNCTION("""COMPUTED_VALUE"""),5.4842)</f>
        <v>5.4842000000000004</v>
      </c>
      <c r="L100" s="143" t="str">
        <f ca="1"/>
        <v>Wiris Variasi</v>
      </c>
      <c r="M100" s="127"/>
      <c r="N100" s="127"/>
      <c r="O100" s="127"/>
      <c r="P100" s="127"/>
      <c r="Q100" s="127"/>
      <c r="R100" s="127"/>
      <c r="S100" s="127"/>
      <c r="T100" s="127"/>
      <c r="U100" s="127"/>
      <c r="V100" s="127"/>
      <c r="W100" s="127"/>
      <c r="X100" s="127"/>
      <c r="Y100" s="127"/>
      <c r="Z100" s="127"/>
      <c r="AA100" s="127"/>
    </row>
    <row r="101" spans="1:27">
      <c r="A101" s="127">
        <f ca="1">IFERROR(__xludf.DUMMYFUNCTION("""COMPUTED_VALUE"""),174904221976312)</f>
        <v>174904221976312</v>
      </c>
      <c r="B101" s="127" t="str">
        <f ca="1">IFERROR(__xludf.DUMMYFUNCTION("""COMPUTED_VALUE"""),"120228481112260694")</f>
        <v>120228481112260694</v>
      </c>
      <c r="C101" s="127" t="str">
        <f ca="1">IFERROR(__xludf.DUMMYFUNCTION("""COMPUTED_VALUE"""),"Wifi Myrepulic")</f>
        <v>Wifi Myrepulic</v>
      </c>
      <c r="D101" s="138" t="str">
        <f ca="1">IFERROR(__xludf.DUMMYFUNCTION("""COMPUTED_VALUE"""),"https://wa.me/6285282777679")</f>
        <v>https://wa.me/6285282777679</v>
      </c>
      <c r="E101" s="139" t="str">
        <f ca="1">IFERROR(__xludf.DUMMYFUNCTION("""COMPUTED_VALUE"""),"6285282777679")</f>
        <v>6285282777679</v>
      </c>
      <c r="F101" s="139">
        <f ca="1">IFERROR(__xludf.DUMMYFUNCTION("""COMPUTED_VALUE"""),2325)</f>
        <v>2325</v>
      </c>
      <c r="G101" s="139">
        <f ca="1">IFERROR(__xludf.DUMMYFUNCTION("""COMPUTED_VALUE"""),51187.875)</f>
        <v>51187.875</v>
      </c>
      <c r="H101" s="139">
        <f ca="1">IFERROR(__xludf.DUMMYFUNCTION("""COMPUTED_VALUE"""),12)</f>
        <v>12</v>
      </c>
      <c r="I101" s="140">
        <f ca="1">IFERROR(__xludf.DUMMYFUNCTION("""COMPUTED_VALUE"""),108570)</f>
        <v>108570</v>
      </c>
      <c r="J101" s="141">
        <f ca="1">IFERROR(__xludf.DUMMYFUNCTION("""COMPUTED_VALUE"""),9047.5)</f>
        <v>9047.5</v>
      </c>
      <c r="K101" s="142">
        <f ca="1">IFERROR(__xludf.DUMMYFUNCTION("""COMPUTED_VALUE"""),7.238)</f>
        <v>7.2380000000000004</v>
      </c>
      <c r="L101" s="143" t="str">
        <f ca="1"/>
        <v>Wiris Variasi</v>
      </c>
      <c r="M101" s="127"/>
      <c r="N101" s="127"/>
      <c r="O101" s="127"/>
      <c r="P101" s="127"/>
      <c r="Q101" s="127"/>
      <c r="R101" s="127"/>
      <c r="S101" s="127"/>
      <c r="T101" s="127"/>
      <c r="U101" s="127"/>
      <c r="V101" s="127"/>
      <c r="W101" s="127"/>
      <c r="X101" s="127"/>
      <c r="Y101" s="127"/>
      <c r="Z101" s="127"/>
      <c r="AA101" s="127"/>
    </row>
    <row r="102" spans="1:27">
      <c r="A102" s="127">
        <f ca="1">IFERROR(__xludf.DUMMYFUNCTION("""COMPUTED_VALUE"""),174904221976312)</f>
        <v>174904221976312</v>
      </c>
      <c r="B102" s="127" t="str">
        <f ca="1">IFERROR(__xludf.DUMMYFUNCTION("""COMPUTED_VALUE"""),"120228481767620694")</f>
        <v>120228481767620694</v>
      </c>
      <c r="C102" s="127" t="str">
        <f ca="1">IFERROR(__xludf.DUMMYFUNCTION("""COMPUTED_VALUE"""),"Rumah Phonsel")</f>
        <v>Rumah Phonsel</v>
      </c>
      <c r="D102" s="138" t="str">
        <f ca="1">IFERROR(__xludf.DUMMYFUNCTION("""COMPUTED_VALUE"""),"https://wa.me/6285184844621")</f>
        <v>https://wa.me/6285184844621</v>
      </c>
      <c r="E102" s="139" t="str">
        <f ca="1">IFERROR(__xludf.DUMMYFUNCTION("""COMPUTED_VALUE"""),"6285184844621")</f>
        <v>6285184844621</v>
      </c>
      <c r="F102" s="139">
        <f ca="1">IFERROR(__xludf.DUMMYFUNCTION("""COMPUTED_VALUE"""),10824)</f>
        <v>10824</v>
      </c>
      <c r="G102" s="139">
        <f ca="1">IFERROR(__xludf.DUMMYFUNCTION("""COMPUTED_VALUE"""),4730.66666666666)</f>
        <v>4730.6666666666597</v>
      </c>
      <c r="H102" s="139">
        <f ca="1">IFERROR(__xludf.DUMMYFUNCTION("""COMPUTED_VALUE"""),0)</f>
        <v>0</v>
      </c>
      <c r="I102" s="140">
        <f ca="1">IFERROR(__xludf.DUMMYFUNCTION("""COMPUTED_VALUE"""),54365)</f>
        <v>54365</v>
      </c>
      <c r="J102" s="141"/>
      <c r="K102" s="142">
        <f ca="1">IFERROR(__xludf.DUMMYFUNCTION("""COMPUTED_VALUE"""),3.62433333333333)</f>
        <v>3.6243333333333299</v>
      </c>
      <c r="L102" s="143" t="str">
        <f ca="1"/>
        <v>Wiris Variasi</v>
      </c>
      <c r="M102" s="127"/>
      <c r="N102" s="127"/>
      <c r="O102" s="127"/>
      <c r="P102" s="127"/>
      <c r="Q102" s="127"/>
      <c r="R102" s="127"/>
      <c r="S102" s="127"/>
      <c r="T102" s="127"/>
      <c r="U102" s="127"/>
      <c r="V102" s="127"/>
      <c r="W102" s="127"/>
      <c r="X102" s="127"/>
      <c r="Y102" s="127"/>
      <c r="Z102" s="127"/>
      <c r="AA102" s="127"/>
    </row>
    <row r="103" spans="1:27">
      <c r="A103" s="127">
        <f ca="1">IFERROR(__xludf.DUMMYFUNCTION("""COMPUTED_VALUE"""),174904221976312)</f>
        <v>174904221976312</v>
      </c>
      <c r="B103" s="127" t="str">
        <f ca="1">IFERROR(__xludf.DUMMYFUNCTION("""COMPUTED_VALUE"""),"120228482134960694")</f>
        <v>120228482134960694</v>
      </c>
      <c r="C103" s="127" t="str">
        <f ca="1">IFERROR(__xludf.DUMMYFUNCTION("""COMPUTED_VALUE"""),"Terapis Bekam")</f>
        <v>Terapis Bekam</v>
      </c>
      <c r="D103" s="138" t="str">
        <f ca="1">IFERROR(__xludf.DUMMYFUNCTION("""COMPUTED_VALUE"""),"https://wa.me/6285238093436")</f>
        <v>https://wa.me/6285238093436</v>
      </c>
      <c r="E103" s="139" t="str">
        <f ca="1">IFERROR(__xludf.DUMMYFUNCTION("""COMPUTED_VALUE"""),"6285238093436")</f>
        <v>6285238093436</v>
      </c>
      <c r="F103" s="139">
        <f ca="1">IFERROR(__xludf.DUMMYFUNCTION("""COMPUTED_VALUE"""),4077)</f>
        <v>4077</v>
      </c>
      <c r="G103" s="139">
        <f ca="1">IFERROR(__xludf.DUMMYFUNCTION("""COMPUTED_VALUE"""),8898.66666666666)</f>
        <v>8898.6666666666606</v>
      </c>
      <c r="H103" s="139">
        <f ca="1">IFERROR(__xludf.DUMMYFUNCTION("""COMPUTED_VALUE"""),4)</f>
        <v>4</v>
      </c>
      <c r="I103" s="140">
        <f ca="1">IFERROR(__xludf.DUMMYFUNCTION("""COMPUTED_VALUE"""),39450)</f>
        <v>39450</v>
      </c>
      <c r="J103" s="141">
        <f ca="1">IFERROR(__xludf.DUMMYFUNCTION("""COMPUTED_VALUE"""),9862.5)</f>
        <v>9862.5</v>
      </c>
      <c r="K103" s="142">
        <f ca="1">IFERROR(__xludf.DUMMYFUNCTION("""COMPUTED_VALUE"""),2.63)</f>
        <v>2.63</v>
      </c>
      <c r="L103" s="143" t="str">
        <f ca="1"/>
        <v>Wiris Variasi</v>
      </c>
      <c r="M103" s="127"/>
      <c r="N103" s="127"/>
      <c r="O103" s="127"/>
      <c r="P103" s="127"/>
      <c r="Q103" s="127"/>
      <c r="R103" s="127"/>
      <c r="S103" s="127"/>
      <c r="T103" s="127"/>
      <c r="U103" s="127"/>
      <c r="V103" s="127"/>
      <c r="W103" s="127"/>
      <c r="X103" s="127"/>
      <c r="Y103" s="127"/>
      <c r="Z103" s="127"/>
      <c r="AA103" s="127"/>
    </row>
    <row r="104" spans="1:27">
      <c r="A104" s="127">
        <f ca="1">IFERROR(__xludf.DUMMYFUNCTION("""COMPUTED_VALUE"""),174904221976312)</f>
        <v>174904221976312</v>
      </c>
      <c r="B104" s="127" t="str">
        <f ca="1">IFERROR(__xludf.DUMMYFUNCTION("""COMPUTED_VALUE"""),"120228482422020694")</f>
        <v>120228482422020694</v>
      </c>
      <c r="C104" s="127" t="str">
        <f ca="1">IFERROR(__xludf.DUMMYFUNCTION("""COMPUTED_VALUE"""),"CV Selvira")</f>
        <v>CV Selvira</v>
      </c>
      <c r="D104" s="138" t="str">
        <f ca="1">IFERROR(__xludf.DUMMYFUNCTION("""COMPUTED_VALUE"""),"https://wa.me/6282238154676")</f>
        <v>https://wa.me/6282238154676</v>
      </c>
      <c r="E104" s="139" t="str">
        <f ca="1">IFERROR(__xludf.DUMMYFUNCTION("""COMPUTED_VALUE"""),"6282238154676")</f>
        <v>6282238154676</v>
      </c>
      <c r="F104" s="139">
        <f ca="1">IFERROR(__xludf.DUMMYFUNCTION("""COMPUTED_VALUE"""),2425)</f>
        <v>2425</v>
      </c>
      <c r="G104" s="139">
        <f ca="1">IFERROR(__xludf.DUMMYFUNCTION("""COMPUTED_VALUE"""),13725)</f>
        <v>13725</v>
      </c>
      <c r="H104" s="139">
        <f ca="1">IFERROR(__xludf.DUMMYFUNCTION("""COMPUTED_VALUE"""),7)</f>
        <v>7</v>
      </c>
      <c r="I104" s="140">
        <f ca="1">IFERROR(__xludf.DUMMYFUNCTION("""COMPUTED_VALUE"""),37190)</f>
        <v>37190</v>
      </c>
      <c r="J104" s="141">
        <f ca="1">IFERROR(__xludf.DUMMYFUNCTION("""COMPUTED_VALUE"""),5312.85714285714)</f>
        <v>5312.8571428571404</v>
      </c>
      <c r="K104" s="142">
        <f ca="1">IFERROR(__xludf.DUMMYFUNCTION("""COMPUTED_VALUE"""),2.47933333333333)</f>
        <v>2.4793333333333298</v>
      </c>
      <c r="L104" s="143" t="str">
        <f ca="1"/>
        <v>Wiris Variasi</v>
      </c>
      <c r="M104" s="127"/>
      <c r="N104" s="127"/>
      <c r="O104" s="127"/>
      <c r="P104" s="127"/>
      <c r="Q104" s="127"/>
      <c r="R104" s="127"/>
      <c r="S104" s="127"/>
      <c r="T104" s="127"/>
      <c r="U104" s="127"/>
      <c r="V104" s="127"/>
      <c r="W104" s="127"/>
      <c r="X104" s="127"/>
      <c r="Y104" s="127"/>
      <c r="Z104" s="127"/>
      <c r="AA104" s="127"/>
    </row>
    <row r="105" spans="1:27">
      <c r="A105" s="127">
        <f ca="1">IFERROR(__xludf.DUMMYFUNCTION("""COMPUTED_VALUE"""),174904221976312)</f>
        <v>174904221976312</v>
      </c>
      <c r="B105" s="127" t="str">
        <f ca="1">IFERROR(__xludf.DUMMYFUNCTION("""COMPUTED_VALUE"""),"120228533962270694")</f>
        <v>120228533962270694</v>
      </c>
      <c r="C105" s="127" t="str">
        <f ca="1">IFERROR(__xludf.DUMMYFUNCTION("""COMPUTED_VALUE"""),"Aqiqah Go")</f>
        <v>Aqiqah Go</v>
      </c>
      <c r="D105" s="138" t="str">
        <f ca="1">IFERROR(__xludf.DUMMYFUNCTION("""COMPUTED_VALUE"""),"https://wa.me/6281274238899")</f>
        <v>https://wa.me/6281274238899</v>
      </c>
      <c r="E105" s="139" t="str">
        <f ca="1">IFERROR(__xludf.DUMMYFUNCTION("""COMPUTED_VALUE"""),"6281274238899")</f>
        <v>6281274238899</v>
      </c>
      <c r="F105" s="139">
        <f ca="1">IFERROR(__xludf.DUMMYFUNCTION("""COMPUTED_VALUE"""),1800)</f>
        <v>1800</v>
      </c>
      <c r="G105" s="139">
        <f ca="1">IFERROR(__xludf.DUMMYFUNCTION("""COMPUTED_VALUE"""),19815)</f>
        <v>19815</v>
      </c>
      <c r="H105" s="139">
        <f ca="1">IFERROR(__xludf.DUMMYFUNCTION("""COMPUTED_VALUE"""),0)</f>
        <v>0</v>
      </c>
      <c r="I105" s="140">
        <f ca="1">IFERROR(__xludf.DUMMYFUNCTION("""COMPUTED_VALUE"""),44023)</f>
        <v>44023</v>
      </c>
      <c r="J105" s="141"/>
      <c r="K105" s="142">
        <f ca="1">IFERROR(__xludf.DUMMYFUNCTION("""COMPUTED_VALUE"""),2.93486666666666)</f>
        <v>2.9348666666666601</v>
      </c>
      <c r="L105" s="143" t="str">
        <f ca="1"/>
        <v>Wiris Variasi</v>
      </c>
      <c r="M105" s="127"/>
      <c r="N105" s="127"/>
      <c r="O105" s="127"/>
      <c r="P105" s="127"/>
      <c r="Q105" s="127"/>
      <c r="R105" s="127"/>
      <c r="S105" s="127"/>
      <c r="T105" s="127"/>
      <c r="U105" s="127"/>
      <c r="V105" s="127"/>
      <c r="W105" s="127"/>
      <c r="X105" s="127"/>
      <c r="Y105" s="127"/>
      <c r="Z105" s="127"/>
      <c r="AA105" s="127"/>
    </row>
    <row r="106" spans="1:27">
      <c r="A106" s="127">
        <f ca="1">IFERROR(__xludf.DUMMYFUNCTION("""COMPUTED_VALUE"""),174904221976312)</f>
        <v>174904221976312</v>
      </c>
      <c r="B106" s="127" t="str">
        <f ca="1">IFERROR(__xludf.DUMMYFUNCTION("""COMPUTED_VALUE"""),"120228534502600694")</f>
        <v>120228534502600694</v>
      </c>
      <c r="C106" s="127" t="str">
        <f ca="1">IFERROR(__xludf.DUMMYFUNCTION("""COMPUTED_VALUE"""),"PT RAHAYU")</f>
        <v>PT RAHAYU</v>
      </c>
      <c r="D106" s="138" t="str">
        <f ca="1">IFERROR(__xludf.DUMMYFUNCTION("""COMPUTED_VALUE"""),"https://wa.me/6283183643221")</f>
        <v>https://wa.me/6283183643221</v>
      </c>
      <c r="E106" s="139" t="str">
        <f ca="1">IFERROR(__xludf.DUMMYFUNCTION("""COMPUTED_VALUE"""),"6283183643221")</f>
        <v>6283183643221</v>
      </c>
      <c r="F106" s="139">
        <f ca="1">IFERROR(__xludf.DUMMYFUNCTION("""COMPUTED_VALUE"""),2869)</f>
        <v>2869</v>
      </c>
      <c r="G106" s="139">
        <f ca="1">IFERROR(__xludf.DUMMYFUNCTION("""COMPUTED_VALUE"""),89931.0526315789)</f>
        <v>89931.052631578903</v>
      </c>
      <c r="H106" s="139">
        <f ca="1">IFERROR(__xludf.DUMMYFUNCTION("""COMPUTED_VALUE"""),10)</f>
        <v>10</v>
      </c>
      <c r="I106" s="140">
        <f ca="1">IFERROR(__xludf.DUMMYFUNCTION("""COMPUTED_VALUE"""),259639)</f>
        <v>259639</v>
      </c>
      <c r="J106" s="141">
        <f ca="1">IFERROR(__xludf.DUMMYFUNCTION("""COMPUTED_VALUE"""),25963.9)</f>
        <v>25963.9</v>
      </c>
      <c r="K106" s="142">
        <f ca="1">IFERROR(__xludf.DUMMYFUNCTION("""COMPUTED_VALUE"""),17.3092666666666)</f>
        <v>17.309266666666598</v>
      </c>
      <c r="L106" s="143" t="str">
        <f ca="1"/>
        <v>Wiris Variasi</v>
      </c>
      <c r="M106" s="127"/>
      <c r="N106" s="127"/>
      <c r="O106" s="127"/>
      <c r="P106" s="127"/>
      <c r="Q106" s="127"/>
      <c r="R106" s="127"/>
      <c r="S106" s="127"/>
      <c r="T106" s="127"/>
      <c r="U106" s="127"/>
      <c r="V106" s="127"/>
      <c r="W106" s="127"/>
      <c r="X106" s="127"/>
      <c r="Y106" s="127"/>
      <c r="Z106" s="127"/>
      <c r="AA106" s="127"/>
    </row>
    <row r="107" spans="1:27">
      <c r="A107" s="127">
        <f ca="1">IFERROR(__xludf.DUMMYFUNCTION("""COMPUTED_VALUE"""),174904221976312)</f>
        <v>174904221976312</v>
      </c>
      <c r="B107" s="127" t="str">
        <f ca="1">IFERROR(__xludf.DUMMYFUNCTION("""COMPUTED_VALUE"""),"120228534648940694")</f>
        <v>120228534648940694</v>
      </c>
      <c r="C107" s="127" t="str">
        <f ca="1">IFERROR(__xludf.DUMMYFUNCTION("""COMPUTED_VALUE"""),"Jemmy Tour")</f>
        <v>Jemmy Tour</v>
      </c>
      <c r="D107" s="138" t="str">
        <f ca="1">IFERROR(__xludf.DUMMYFUNCTION("""COMPUTED_VALUE"""),"https://wa.me/6281252867949")</f>
        <v>https://wa.me/6281252867949</v>
      </c>
      <c r="E107" s="139" t="str">
        <f ca="1">IFERROR(__xludf.DUMMYFUNCTION("""COMPUTED_VALUE"""),"6281252867949")</f>
        <v>6281252867949</v>
      </c>
      <c r="F107" s="139">
        <f ca="1">IFERROR(__xludf.DUMMYFUNCTION("""COMPUTED_VALUE"""),745)</f>
        <v>745</v>
      </c>
      <c r="G107" s="139">
        <f ca="1">IFERROR(__xludf.DUMMYFUNCTION("""COMPUTED_VALUE"""),45013)</f>
        <v>45013</v>
      </c>
      <c r="H107" s="139">
        <f ca="1">IFERROR(__xludf.DUMMYFUNCTION("""COMPUTED_VALUE"""),2)</f>
        <v>2</v>
      </c>
      <c r="I107" s="140">
        <f ca="1">IFERROR(__xludf.DUMMYFUNCTION("""COMPUTED_VALUE"""),36918)</f>
        <v>36918</v>
      </c>
      <c r="J107" s="141">
        <f ca="1">IFERROR(__xludf.DUMMYFUNCTION("""COMPUTED_VALUE"""),18459)</f>
        <v>18459</v>
      </c>
      <c r="K107" s="142">
        <f ca="1">IFERROR(__xludf.DUMMYFUNCTION("""COMPUTED_VALUE"""),2.4612)</f>
        <v>2.4611999999999998</v>
      </c>
      <c r="L107" s="143" t="str">
        <f ca="1"/>
        <v>Wiris Variasi</v>
      </c>
      <c r="M107" s="127"/>
      <c r="N107" s="127"/>
      <c r="O107" s="127"/>
      <c r="P107" s="127"/>
      <c r="Q107" s="127"/>
      <c r="R107" s="127"/>
      <c r="S107" s="127"/>
      <c r="T107" s="127"/>
      <c r="U107" s="127"/>
      <c r="V107" s="127"/>
      <c r="W107" s="127"/>
      <c r="X107" s="127"/>
      <c r="Y107" s="127"/>
      <c r="Z107" s="127"/>
      <c r="AA107" s="127"/>
    </row>
    <row r="108" spans="1:27">
      <c r="A108" s="127">
        <f ca="1">IFERROR(__xludf.DUMMYFUNCTION("""COMPUTED_VALUE"""),174904221976312)</f>
        <v>174904221976312</v>
      </c>
      <c r="B108" s="127" t="str">
        <f ca="1">IFERROR(__xludf.DUMMYFUNCTION("""COMPUTED_VALUE"""),"120228534838660694")</f>
        <v>120228534838660694</v>
      </c>
      <c r="C108" s="127" t="str">
        <f ca="1">IFERROR(__xludf.DUMMYFUNCTION("""COMPUTED_VALUE"""),"Amelia Trans")</f>
        <v>Amelia Trans</v>
      </c>
      <c r="D108" s="138" t="str">
        <f ca="1">IFERROR(__xludf.DUMMYFUNCTION("""COMPUTED_VALUE"""),"https://wa.me/6285624268413")</f>
        <v>https://wa.me/6285624268413</v>
      </c>
      <c r="E108" s="139" t="str">
        <f ca="1">IFERROR(__xludf.DUMMYFUNCTION("""COMPUTED_VALUE"""),"6285624268413")</f>
        <v>6285624268413</v>
      </c>
      <c r="F108" s="139">
        <f ca="1">IFERROR(__xludf.DUMMYFUNCTION("""COMPUTED_VALUE"""),528)</f>
        <v>528</v>
      </c>
      <c r="G108" s="139">
        <f ca="1">IFERROR(__xludf.DUMMYFUNCTION("""COMPUTED_VALUE"""),67252)</f>
        <v>67252</v>
      </c>
      <c r="H108" s="139">
        <f ca="1">IFERROR(__xludf.DUMMYFUNCTION("""COMPUTED_VALUE"""),5)</f>
        <v>5</v>
      </c>
      <c r="I108" s="140">
        <f ca="1">IFERROR(__xludf.DUMMYFUNCTION("""COMPUTED_VALUE"""),39969)</f>
        <v>39969</v>
      </c>
      <c r="J108" s="141">
        <f ca="1">IFERROR(__xludf.DUMMYFUNCTION("""COMPUTED_VALUE"""),7993.8)</f>
        <v>7993.8</v>
      </c>
      <c r="K108" s="142">
        <f ca="1">IFERROR(__xludf.DUMMYFUNCTION("""COMPUTED_VALUE"""),2.6646)</f>
        <v>2.6646000000000001</v>
      </c>
      <c r="L108" s="143" t="str">
        <f ca="1"/>
        <v>Wiris Variasi</v>
      </c>
      <c r="M108" s="127"/>
      <c r="N108" s="127"/>
      <c r="O108" s="127"/>
      <c r="P108" s="127"/>
      <c r="Q108" s="127"/>
      <c r="R108" s="127"/>
      <c r="S108" s="127"/>
      <c r="T108" s="127"/>
      <c r="U108" s="127"/>
      <c r="V108" s="127"/>
      <c r="W108" s="127"/>
      <c r="X108" s="127"/>
      <c r="Y108" s="127"/>
      <c r="Z108" s="127"/>
      <c r="AA108" s="127"/>
    </row>
    <row r="109" spans="1:27">
      <c r="A109" s="127">
        <f ca="1">IFERROR(__xludf.DUMMYFUNCTION("""COMPUTED_VALUE"""),174904221976312)</f>
        <v>174904221976312</v>
      </c>
      <c r="B109" s="127" t="str">
        <f ca="1">IFERROR(__xludf.DUMMYFUNCTION("""COMPUTED_VALUE"""),"120228534954200694")</f>
        <v>120228534954200694</v>
      </c>
      <c r="C109" s="127" t="str">
        <f ca="1">IFERROR(__xludf.DUMMYFUNCTION("""COMPUTED_VALUE"""),"Chery Bekasi")</f>
        <v>Chery Bekasi</v>
      </c>
      <c r="D109" s="138" t="str">
        <f ca="1">IFERROR(__xludf.DUMMYFUNCTION("""COMPUTED_VALUE"""),"https://wa.me/6285150556695")</f>
        <v>https://wa.me/6285150556695</v>
      </c>
      <c r="E109" s="139" t="str">
        <f ca="1">IFERROR(__xludf.DUMMYFUNCTION("""COMPUTED_VALUE"""),"6285150556695")</f>
        <v>6285150556695</v>
      </c>
      <c r="F109" s="139">
        <f ca="1">IFERROR(__xludf.DUMMYFUNCTION("""COMPUTED_VALUE"""),682)</f>
        <v>682</v>
      </c>
      <c r="G109" s="139">
        <f ca="1">IFERROR(__xludf.DUMMYFUNCTION("""COMPUTED_VALUE"""),102290.666666666)</f>
        <v>102290.666666666</v>
      </c>
      <c r="H109" s="139">
        <f ca="1">IFERROR(__xludf.DUMMYFUNCTION("""COMPUTED_VALUE"""),4)</f>
        <v>4</v>
      </c>
      <c r="I109" s="140">
        <f ca="1">IFERROR(__xludf.DUMMYFUNCTION("""COMPUTED_VALUE"""),81627)</f>
        <v>81627</v>
      </c>
      <c r="J109" s="141">
        <f ca="1">IFERROR(__xludf.DUMMYFUNCTION("""COMPUTED_VALUE"""),20406.75)</f>
        <v>20406.75</v>
      </c>
      <c r="K109" s="142">
        <f ca="1">IFERROR(__xludf.DUMMYFUNCTION("""COMPUTED_VALUE"""),5.4418)</f>
        <v>5.4417999999999997</v>
      </c>
      <c r="L109" s="143" t="str">
        <f ca="1"/>
        <v>Wiris Variasi</v>
      </c>
      <c r="M109" s="127"/>
      <c r="N109" s="127"/>
      <c r="O109" s="127"/>
      <c r="P109" s="127"/>
      <c r="Q109" s="127"/>
      <c r="R109" s="127"/>
      <c r="S109" s="127"/>
      <c r="T109" s="127"/>
      <c r="U109" s="127"/>
      <c r="V109" s="127"/>
      <c r="W109" s="127"/>
      <c r="X109" s="127"/>
      <c r="Y109" s="127"/>
      <c r="Z109" s="127"/>
      <c r="AA109" s="127"/>
    </row>
    <row r="110" spans="1:27">
      <c r="A110" s="127">
        <f ca="1">IFERROR(__xludf.DUMMYFUNCTION("""COMPUTED_VALUE"""),174904221976312)</f>
        <v>174904221976312</v>
      </c>
      <c r="B110" s="127" t="str">
        <f ca="1">IFERROR(__xludf.DUMMYFUNCTION("""COMPUTED_VALUE"""),"120228540636860694")</f>
        <v>120228540636860694</v>
      </c>
      <c r="C110" s="127" t="str">
        <f ca="1">IFERROR(__xludf.DUMMYFUNCTION("""COMPUTED_VALUE"""),"Toko Emas Sembiring")</f>
        <v>Toko Emas Sembiring</v>
      </c>
      <c r="D110" s="138" t="str">
        <f ca="1">IFERROR(__xludf.DUMMYFUNCTION("""COMPUTED_VALUE"""),"https://wa.me/6281263113266")</f>
        <v>https://wa.me/6281263113266</v>
      </c>
      <c r="E110" s="139" t="str">
        <f ca="1">IFERROR(__xludf.DUMMYFUNCTION("""COMPUTED_VALUE"""),"6281263113266")</f>
        <v>6281263113266</v>
      </c>
      <c r="F110" s="139">
        <f ca="1">IFERROR(__xludf.DUMMYFUNCTION("""COMPUTED_VALUE"""),13262)</f>
        <v>13262</v>
      </c>
      <c r="G110" s="139">
        <f ca="1">IFERROR(__xludf.DUMMYFUNCTION("""COMPUTED_VALUE"""),9781)</f>
        <v>9781</v>
      </c>
      <c r="H110" s="139">
        <f ca="1">IFERROR(__xludf.DUMMYFUNCTION("""COMPUTED_VALUE"""),47)</f>
        <v>47</v>
      </c>
      <c r="I110" s="140">
        <f ca="1">IFERROR(__xludf.DUMMYFUNCTION("""COMPUTED_VALUE"""),145030)</f>
        <v>145030</v>
      </c>
      <c r="J110" s="141">
        <f ca="1">IFERROR(__xludf.DUMMYFUNCTION("""COMPUTED_VALUE"""),3085.74468085106)</f>
        <v>3085.7446808510599</v>
      </c>
      <c r="K110" s="142">
        <f ca="1">IFERROR(__xludf.DUMMYFUNCTION("""COMPUTED_VALUE"""),9.66866666666666)</f>
        <v>9.6686666666666596</v>
      </c>
      <c r="L110" s="143" t="str">
        <f ca="1"/>
        <v>Wiris Variasi</v>
      </c>
      <c r="M110" s="127"/>
      <c r="N110" s="127"/>
      <c r="O110" s="127"/>
      <c r="P110" s="127"/>
      <c r="Q110" s="127"/>
      <c r="R110" s="127"/>
      <c r="S110" s="127"/>
      <c r="T110" s="127"/>
      <c r="U110" s="127"/>
      <c r="V110" s="127"/>
      <c r="W110" s="127"/>
      <c r="X110" s="127"/>
      <c r="Y110" s="127"/>
      <c r="Z110" s="127"/>
      <c r="AA110" s="127"/>
    </row>
    <row r="111" spans="1:27">
      <c r="A111" s="127">
        <f ca="1">IFERROR(__xludf.DUMMYFUNCTION("""COMPUTED_VALUE"""),174904221976312)</f>
        <v>174904221976312</v>
      </c>
      <c r="B111" s="127" t="str">
        <f ca="1">IFERROR(__xludf.DUMMYFUNCTION("""COMPUTED_VALUE"""),"120228564831170694")</f>
        <v>120228564831170694</v>
      </c>
      <c r="C111" s="127" t="str">
        <f ca="1">IFERROR(__xludf.DUMMYFUNCTION("""COMPUTED_VALUE"""),"TRIFAR TOUR")</f>
        <v>TRIFAR TOUR</v>
      </c>
      <c r="D111" s="138" t="str">
        <f ca="1">IFERROR(__xludf.DUMMYFUNCTION("""COMPUTED_VALUE"""),"https://wa.me/6281252228100")</f>
        <v>https://wa.me/6281252228100</v>
      </c>
      <c r="E111" s="139" t="str">
        <f ca="1">IFERROR(__xludf.DUMMYFUNCTION("""COMPUTED_VALUE"""),"6281252228100")</f>
        <v>6281252228100</v>
      </c>
      <c r="F111" s="139">
        <f ca="1">IFERROR(__xludf.DUMMYFUNCTION("""COMPUTED_VALUE"""),1998)</f>
        <v>1998</v>
      </c>
      <c r="G111" s="139">
        <f ca="1">IFERROR(__xludf.DUMMYFUNCTION("""COMPUTED_VALUE"""),35033.2)</f>
        <v>35033.199999999997</v>
      </c>
      <c r="H111" s="139">
        <f ca="1">IFERROR(__xludf.DUMMYFUNCTION("""COMPUTED_VALUE"""),6)</f>
        <v>6</v>
      </c>
      <c r="I111" s="140">
        <f ca="1">IFERROR(__xludf.DUMMYFUNCTION("""COMPUTED_VALUE"""),77113)</f>
        <v>77113</v>
      </c>
      <c r="J111" s="141">
        <f ca="1">IFERROR(__xludf.DUMMYFUNCTION("""COMPUTED_VALUE"""),12852.1666666666)</f>
        <v>12852.166666666601</v>
      </c>
      <c r="K111" s="142">
        <f ca="1">IFERROR(__xludf.DUMMYFUNCTION("""COMPUTED_VALUE"""),5.14086666666666)</f>
        <v>5.1408666666666596</v>
      </c>
      <c r="L111" s="143" t="str">
        <f ca="1"/>
        <v>Wiris Variasi</v>
      </c>
      <c r="M111" s="127"/>
      <c r="N111" s="127"/>
      <c r="O111" s="127"/>
      <c r="P111" s="127"/>
      <c r="Q111" s="127"/>
      <c r="R111" s="127"/>
      <c r="S111" s="127"/>
      <c r="T111" s="127"/>
      <c r="U111" s="127"/>
      <c r="V111" s="127"/>
      <c r="W111" s="127"/>
      <c r="X111" s="127"/>
      <c r="Y111" s="127"/>
      <c r="Z111" s="127"/>
      <c r="AA111" s="127"/>
    </row>
    <row r="112" spans="1:27">
      <c r="A112" s="127">
        <f ca="1">IFERROR(__xludf.DUMMYFUNCTION("""COMPUTED_VALUE"""),174904221976312)</f>
        <v>174904221976312</v>
      </c>
      <c r="B112" s="127" t="str">
        <f ca="1">IFERROR(__xludf.DUMMYFUNCTION("""COMPUTED_VALUE"""),"120228567413050694")</f>
        <v>120228567413050694</v>
      </c>
      <c r="C112" s="127" t="str">
        <f ca="1">IFERROR(__xludf.DUMMYFUNCTION("""COMPUTED_VALUE"""),"Terapi Barqun")</f>
        <v>Terapi Barqun</v>
      </c>
      <c r="D112" s="138" t="str">
        <f ca="1">IFERROR(__xludf.DUMMYFUNCTION("""COMPUTED_VALUE"""),"https://wa.me/62895374644456")</f>
        <v>https://wa.me/62895374644456</v>
      </c>
      <c r="E112" s="139" t="str">
        <f ca="1">IFERROR(__xludf.DUMMYFUNCTION("""COMPUTED_VALUE"""),"62895374644456")</f>
        <v>62895374644456</v>
      </c>
      <c r="F112" s="139">
        <f ca="1">IFERROR(__xludf.DUMMYFUNCTION("""COMPUTED_VALUE"""),4998)</f>
        <v>4998</v>
      </c>
      <c r="G112" s="139">
        <f ca="1">IFERROR(__xludf.DUMMYFUNCTION("""COMPUTED_VALUE"""),12497.4)</f>
        <v>12497.4</v>
      </c>
      <c r="H112" s="139">
        <f ca="1">IFERROR(__xludf.DUMMYFUNCTION("""COMPUTED_VALUE"""),27)</f>
        <v>27</v>
      </c>
      <c r="I112" s="140">
        <f ca="1">IFERROR(__xludf.DUMMYFUNCTION("""COMPUTED_VALUE"""),70958)</f>
        <v>70958</v>
      </c>
      <c r="J112" s="141">
        <f ca="1">IFERROR(__xludf.DUMMYFUNCTION("""COMPUTED_VALUE"""),2628.07407407407)</f>
        <v>2628.0740740740698</v>
      </c>
      <c r="K112" s="142">
        <f ca="1">IFERROR(__xludf.DUMMYFUNCTION("""COMPUTED_VALUE"""),4.73053333333333)</f>
        <v>4.7305333333333301</v>
      </c>
      <c r="L112" s="143" t="str">
        <f ca="1"/>
        <v>Wiris Variasi</v>
      </c>
      <c r="M112" s="127"/>
      <c r="N112" s="127"/>
      <c r="O112" s="127"/>
      <c r="P112" s="127"/>
      <c r="Q112" s="127"/>
      <c r="R112" s="127"/>
      <c r="S112" s="127"/>
      <c r="T112" s="127"/>
      <c r="U112" s="127"/>
      <c r="V112" s="127"/>
      <c r="W112" s="127"/>
      <c r="X112" s="127"/>
      <c r="Y112" s="127"/>
      <c r="Z112" s="127"/>
      <c r="AA112" s="127"/>
    </row>
    <row r="113" spans="1:27">
      <c r="A113" s="127">
        <f ca="1">IFERROR(__xludf.DUMMYFUNCTION("""COMPUTED_VALUE"""),174904221976312)</f>
        <v>174904221976312</v>
      </c>
      <c r="B113" s="127" t="str">
        <f ca="1">IFERROR(__xludf.DUMMYFUNCTION("""COMPUTED_VALUE"""),"120228567563920694")</f>
        <v>120228567563920694</v>
      </c>
      <c r="C113" s="127" t="str">
        <f ca="1">IFERROR(__xludf.DUMMYFUNCTION("""COMPUTED_VALUE"""),"CV Nurma")</f>
        <v>CV Nurma</v>
      </c>
      <c r="D113" s="138" t="str">
        <f ca="1">IFERROR(__xludf.DUMMYFUNCTION("""COMPUTED_VALUE"""),"https://wa.me/6289517787985")</f>
        <v>https://wa.me/6289517787985</v>
      </c>
      <c r="E113" s="139" t="str">
        <f ca="1">IFERROR(__xludf.DUMMYFUNCTION("""COMPUTED_VALUE"""),"6289517787985")</f>
        <v>6289517787985</v>
      </c>
      <c r="F113" s="139">
        <f ca="1">IFERROR(__xludf.DUMMYFUNCTION("""COMPUTED_VALUE"""),4463)</f>
        <v>4463</v>
      </c>
      <c r="G113" s="139">
        <f ca="1">IFERROR(__xludf.DUMMYFUNCTION("""COMPUTED_VALUE"""),11491.8)</f>
        <v>11491.8</v>
      </c>
      <c r="H113" s="139">
        <f ca="1">IFERROR(__xludf.DUMMYFUNCTION("""COMPUTED_VALUE"""),19)</f>
        <v>19</v>
      </c>
      <c r="I113" s="140">
        <f ca="1">IFERROR(__xludf.DUMMYFUNCTION("""COMPUTED_VALUE"""),61255)</f>
        <v>61255</v>
      </c>
      <c r="J113" s="141">
        <f ca="1">IFERROR(__xludf.DUMMYFUNCTION("""COMPUTED_VALUE"""),3223.94736842105)</f>
        <v>3223.9473684210502</v>
      </c>
      <c r="K113" s="142">
        <f ca="1">IFERROR(__xludf.DUMMYFUNCTION("""COMPUTED_VALUE"""),4.08366666666666)</f>
        <v>4.0836666666666597</v>
      </c>
      <c r="L113" s="143" t="str">
        <f ca="1"/>
        <v>Wiris Variasi</v>
      </c>
      <c r="M113" s="127"/>
      <c r="N113" s="127"/>
      <c r="O113" s="127"/>
      <c r="P113" s="127"/>
      <c r="Q113" s="127"/>
      <c r="R113" s="127"/>
      <c r="S113" s="127"/>
      <c r="T113" s="127"/>
      <c r="U113" s="127"/>
      <c r="V113" s="127"/>
      <c r="W113" s="127"/>
      <c r="X113" s="127"/>
      <c r="Y113" s="127"/>
      <c r="Z113" s="127"/>
      <c r="AA113" s="127"/>
    </row>
    <row r="114" spans="1:27">
      <c r="A114" s="127">
        <f ca="1">IFERROR(__xludf.DUMMYFUNCTION("""COMPUTED_VALUE"""),174904221976312)</f>
        <v>174904221976312</v>
      </c>
      <c r="B114" s="127" t="str">
        <f ca="1">IFERROR(__xludf.DUMMYFUNCTION("""COMPUTED_VALUE"""),"120228567832020694")</f>
        <v>120228567832020694</v>
      </c>
      <c r="C114" s="127" t="str">
        <f ca="1">IFERROR(__xludf.DUMMYFUNCTION("""COMPUTED_VALUE"""),"Theraphy Kang")</f>
        <v>Theraphy Kang</v>
      </c>
      <c r="D114" s="138" t="str">
        <f ca="1">IFERROR(__xludf.DUMMYFUNCTION("""COMPUTED_VALUE"""),"https://wa.me/6281253629810")</f>
        <v>https://wa.me/6281253629810</v>
      </c>
      <c r="E114" s="139" t="str">
        <f ca="1">IFERROR(__xludf.DUMMYFUNCTION("""COMPUTED_VALUE"""),"6281253629810")</f>
        <v>6281253629810</v>
      </c>
      <c r="F114" s="139">
        <f ca="1">IFERROR(__xludf.DUMMYFUNCTION("""COMPUTED_VALUE"""),13960)</f>
        <v>13960</v>
      </c>
      <c r="G114" s="139">
        <f ca="1">IFERROR(__xludf.DUMMYFUNCTION("""COMPUTED_VALUE"""),8327.6)</f>
        <v>8327.6</v>
      </c>
      <c r="H114" s="139">
        <f ca="1">IFERROR(__xludf.DUMMYFUNCTION("""COMPUTED_VALUE"""),19)</f>
        <v>19</v>
      </c>
      <c r="I114" s="140">
        <f ca="1">IFERROR(__xludf.DUMMYFUNCTION("""COMPUTED_VALUE"""),136714)</f>
        <v>136714</v>
      </c>
      <c r="J114" s="141">
        <f ca="1">IFERROR(__xludf.DUMMYFUNCTION("""COMPUTED_VALUE"""),7195.47368421052)</f>
        <v>7195.4736842105203</v>
      </c>
      <c r="K114" s="142">
        <f ca="1">IFERROR(__xludf.DUMMYFUNCTION("""COMPUTED_VALUE"""),9.11426666666666)</f>
        <v>9.1142666666666603</v>
      </c>
      <c r="L114" s="143" t="str">
        <f ca="1"/>
        <v>Wiris Variasi</v>
      </c>
      <c r="M114" s="127"/>
      <c r="N114" s="127"/>
      <c r="O114" s="127"/>
      <c r="P114" s="127"/>
      <c r="Q114" s="127"/>
      <c r="R114" s="127"/>
      <c r="S114" s="127"/>
      <c r="T114" s="127"/>
      <c r="U114" s="127"/>
      <c r="V114" s="127"/>
      <c r="W114" s="127"/>
      <c r="X114" s="127"/>
      <c r="Y114" s="127"/>
      <c r="Z114" s="127"/>
      <c r="AA114" s="127"/>
    </row>
    <row r="115" spans="1:27">
      <c r="A115" s="127">
        <f ca="1">IFERROR(__xludf.DUMMYFUNCTION("""COMPUTED_VALUE"""),174904221976312)</f>
        <v>174904221976312</v>
      </c>
      <c r="B115" s="127" t="str">
        <f ca="1">IFERROR(__xludf.DUMMYFUNCTION("""COMPUTED_VALUE"""),"120228568209730694")</f>
        <v>120228568209730694</v>
      </c>
      <c r="C115" s="127" t="str">
        <f ca="1">IFERROR(__xludf.DUMMYFUNCTION("""COMPUTED_VALUE"""),"PT ZTP")</f>
        <v>PT ZTP</v>
      </c>
      <c r="D115" s="138" t="str">
        <f ca="1">IFERROR(__xludf.DUMMYFUNCTION("""COMPUTED_VALUE"""),"https://wa.me/6287856746423")</f>
        <v>https://wa.me/6287856746423</v>
      </c>
      <c r="E115" s="139" t="str">
        <f ca="1">IFERROR(__xludf.DUMMYFUNCTION("""COMPUTED_VALUE"""),"6287856746423")</f>
        <v>6287856746423</v>
      </c>
      <c r="F115" s="139">
        <f ca="1">IFERROR(__xludf.DUMMYFUNCTION("""COMPUTED_VALUE"""),1134)</f>
        <v>1134</v>
      </c>
      <c r="G115" s="139">
        <f ca="1">IFERROR(__xludf.DUMMYFUNCTION("""COMPUTED_VALUE"""),54379.4)</f>
        <v>54379.4</v>
      </c>
      <c r="H115" s="139">
        <f ca="1">IFERROR(__xludf.DUMMYFUNCTION("""COMPUTED_VALUE"""),8)</f>
        <v>8</v>
      </c>
      <c r="I115" s="140">
        <f ca="1">IFERROR(__xludf.DUMMYFUNCTION("""COMPUTED_VALUE"""),69314)</f>
        <v>69314</v>
      </c>
      <c r="J115" s="141">
        <f ca="1">IFERROR(__xludf.DUMMYFUNCTION("""COMPUTED_VALUE"""),8664.25)</f>
        <v>8664.25</v>
      </c>
      <c r="K115" s="142">
        <f ca="1">IFERROR(__xludf.DUMMYFUNCTION("""COMPUTED_VALUE"""),4.62093333333333)</f>
        <v>4.6209333333333298</v>
      </c>
      <c r="L115" s="143" t="str">
        <f ca="1"/>
        <v>Wiris Variasi</v>
      </c>
      <c r="M115" s="127"/>
      <c r="N115" s="127"/>
      <c r="O115" s="127"/>
      <c r="P115" s="127"/>
      <c r="Q115" s="127"/>
      <c r="R115" s="127"/>
      <c r="S115" s="127"/>
      <c r="T115" s="127"/>
      <c r="U115" s="127"/>
      <c r="V115" s="127"/>
      <c r="W115" s="127"/>
      <c r="X115" s="127"/>
      <c r="Y115" s="127"/>
      <c r="Z115" s="127"/>
      <c r="AA115" s="127"/>
    </row>
    <row r="116" spans="1:27">
      <c r="A116" s="127">
        <f ca="1">IFERROR(__xludf.DUMMYFUNCTION("""COMPUTED_VALUE"""),174904221976312)</f>
        <v>174904221976312</v>
      </c>
      <c r="B116" s="127" t="str">
        <f ca="1">IFERROR(__xludf.DUMMYFUNCTION("""COMPUTED_VALUE"""),"120228661886700694")</f>
        <v>120228661886700694</v>
      </c>
      <c r="C116" s="127" t="str">
        <f ca="1">IFERROR(__xludf.DUMMYFUNCTION("""COMPUTED_VALUE"""),"PT Rohim")</f>
        <v>PT Rohim</v>
      </c>
      <c r="D116" s="138" t="str">
        <f ca="1">IFERROR(__xludf.DUMMYFUNCTION("""COMPUTED_VALUE"""),"https://wa.me/6285789446955")</f>
        <v>https://wa.me/6285789446955</v>
      </c>
      <c r="E116" s="139" t="str">
        <f ca="1">IFERROR(__xludf.DUMMYFUNCTION("""COMPUTED_VALUE"""),"6285789446955")</f>
        <v>6285789446955</v>
      </c>
      <c r="F116" s="139">
        <f ca="1">IFERROR(__xludf.DUMMYFUNCTION("""COMPUTED_VALUE"""),3856)</f>
        <v>3856</v>
      </c>
      <c r="G116" s="139">
        <f ca="1">IFERROR(__xludf.DUMMYFUNCTION("""COMPUTED_VALUE"""),12252.5)</f>
        <v>12252.5</v>
      </c>
      <c r="H116" s="139">
        <f ca="1">IFERROR(__xludf.DUMMYFUNCTION("""COMPUTED_VALUE"""),9)</f>
        <v>9</v>
      </c>
      <c r="I116" s="140">
        <f ca="1">IFERROR(__xludf.DUMMYFUNCTION("""COMPUTED_VALUE"""),55390)</f>
        <v>55390</v>
      </c>
      <c r="J116" s="141">
        <f ca="1">IFERROR(__xludf.DUMMYFUNCTION("""COMPUTED_VALUE"""),6154.44444444444)</f>
        <v>6154.4444444444398</v>
      </c>
      <c r="K116" s="142">
        <f ca="1">IFERROR(__xludf.DUMMYFUNCTION("""COMPUTED_VALUE"""),3.69266666666666)</f>
        <v>3.6926666666666601</v>
      </c>
      <c r="L116" s="143" t="str">
        <f ca="1"/>
        <v>Wiris Variasi</v>
      </c>
      <c r="M116" s="127"/>
      <c r="N116" s="127"/>
      <c r="O116" s="127"/>
      <c r="P116" s="127"/>
      <c r="Q116" s="127"/>
      <c r="R116" s="127"/>
      <c r="S116" s="127"/>
      <c r="T116" s="127"/>
      <c r="U116" s="127"/>
      <c r="V116" s="127"/>
      <c r="W116" s="127"/>
      <c r="X116" s="127"/>
      <c r="Y116" s="127"/>
      <c r="Z116" s="127"/>
      <c r="AA116" s="127"/>
    </row>
    <row r="117" spans="1:27">
      <c r="A117" s="127">
        <f ca="1">IFERROR(__xludf.DUMMYFUNCTION("""COMPUTED_VALUE"""),174904221976312)</f>
        <v>174904221976312</v>
      </c>
      <c r="B117" s="127" t="str">
        <f ca="1">IFERROR(__xludf.DUMMYFUNCTION("""COMPUTED_VALUE"""),"120228661886700694")</f>
        <v>120228661886700694</v>
      </c>
      <c r="C117" s="127" t="str">
        <f ca="1">IFERROR(__xludf.DUMMYFUNCTION("""COMPUTED_VALUE"""),"PT Rohim Sriwijaya Akademi")</f>
        <v>PT Rohim Sriwijaya Akademi</v>
      </c>
      <c r="D117" s="139"/>
      <c r="E117" s="139"/>
      <c r="F117" s="139">
        <f ca="1">IFERROR(__xludf.DUMMYFUNCTION("""COMPUTED_VALUE"""),2277)</f>
        <v>2277</v>
      </c>
      <c r="G117" s="139">
        <f ca="1">IFERROR(__xludf.DUMMYFUNCTION("""COMPUTED_VALUE"""),8734)</f>
        <v>8734</v>
      </c>
      <c r="H117" s="139">
        <f ca="1">IFERROR(__xludf.DUMMYFUNCTION("""COMPUTED_VALUE"""),1)</f>
        <v>1</v>
      </c>
      <c r="I117" s="140">
        <f ca="1">IFERROR(__xludf.DUMMYFUNCTION("""COMPUTED_VALUE"""),23939)</f>
        <v>23939</v>
      </c>
      <c r="J117" s="141">
        <f ca="1">IFERROR(__xludf.DUMMYFUNCTION("""COMPUTED_VALUE"""),23939)</f>
        <v>23939</v>
      </c>
      <c r="K117" s="142">
        <f ca="1">IFERROR(__xludf.DUMMYFUNCTION("""COMPUTED_VALUE"""),1.59593333333333)</f>
        <v>1.5959333333333301</v>
      </c>
      <c r="L117" s="143" t="str">
        <f ca="1"/>
        <v>Wiris Variasi</v>
      </c>
      <c r="M117" s="127"/>
      <c r="N117" s="127"/>
      <c r="O117" s="127"/>
      <c r="P117" s="127"/>
      <c r="Q117" s="127"/>
      <c r="R117" s="127"/>
      <c r="S117" s="127"/>
      <c r="T117" s="127"/>
      <c r="U117" s="127"/>
      <c r="V117" s="127"/>
      <c r="W117" s="127"/>
      <c r="X117" s="127"/>
      <c r="Y117" s="127"/>
      <c r="Z117" s="127"/>
      <c r="AA117" s="127"/>
    </row>
    <row r="118" spans="1:27">
      <c r="A118" s="127">
        <f ca="1">IFERROR(__xludf.DUMMYFUNCTION("""COMPUTED_VALUE"""),174904221976312)</f>
        <v>174904221976312</v>
      </c>
      <c r="B118" s="127" t="str">
        <f ca="1">IFERROR(__xludf.DUMMYFUNCTION("""COMPUTED_VALUE"""),"120228662115630694")</f>
        <v>120228662115630694</v>
      </c>
      <c r="C118" s="127" t="str">
        <f ca="1">IFERROR(__xludf.DUMMYFUNCTION("""COMPUTED_VALUE"""),"El Baha")</f>
        <v>El Baha</v>
      </c>
      <c r="D118" s="138" t="str">
        <f ca="1">IFERROR(__xludf.DUMMYFUNCTION("""COMPUTED_VALUE"""),"https://wa.me/6285696765224")</f>
        <v>https://wa.me/6285696765224</v>
      </c>
      <c r="E118" s="139" t="str">
        <f ca="1">IFERROR(__xludf.DUMMYFUNCTION("""COMPUTED_VALUE"""),"6285696765224")</f>
        <v>6285696765224</v>
      </c>
      <c r="F118" s="139">
        <f ca="1">IFERROR(__xludf.DUMMYFUNCTION("""COMPUTED_VALUE"""),2088)</f>
        <v>2088</v>
      </c>
      <c r="G118" s="139">
        <f ca="1">IFERROR(__xludf.DUMMYFUNCTION("""COMPUTED_VALUE"""),23928.5)</f>
        <v>23928.5</v>
      </c>
      <c r="H118" s="139">
        <f ca="1">IFERROR(__xludf.DUMMYFUNCTION("""COMPUTED_VALUE"""),10)</f>
        <v>10</v>
      </c>
      <c r="I118" s="140">
        <f ca="1">IFERROR(__xludf.DUMMYFUNCTION("""COMPUTED_VALUE"""),56504)</f>
        <v>56504</v>
      </c>
      <c r="J118" s="141">
        <f ca="1">IFERROR(__xludf.DUMMYFUNCTION("""COMPUTED_VALUE"""),5650.4)</f>
        <v>5650.4</v>
      </c>
      <c r="K118" s="142">
        <f ca="1">IFERROR(__xludf.DUMMYFUNCTION("""COMPUTED_VALUE"""),3.76693333333333)</f>
        <v>3.7669333333333301</v>
      </c>
      <c r="L118" s="143" t="str">
        <f ca="1"/>
        <v>Wiris Variasi</v>
      </c>
      <c r="M118" s="127"/>
      <c r="N118" s="127"/>
      <c r="O118" s="127"/>
      <c r="P118" s="127"/>
      <c r="Q118" s="127"/>
      <c r="R118" s="127"/>
      <c r="S118" s="127"/>
      <c r="T118" s="127"/>
      <c r="U118" s="127"/>
      <c r="V118" s="127"/>
      <c r="W118" s="127"/>
      <c r="X118" s="127"/>
      <c r="Y118" s="127"/>
      <c r="Z118" s="127"/>
      <c r="AA118" s="127"/>
    </row>
    <row r="119" spans="1:27">
      <c r="A119" s="127">
        <f ca="1">IFERROR(__xludf.DUMMYFUNCTION("""COMPUTED_VALUE"""),174904221976312)</f>
        <v>174904221976312</v>
      </c>
      <c r="B119" s="127" t="str">
        <f ca="1">IFERROR(__xludf.DUMMYFUNCTION("""COMPUTED_VALUE"""),"120228662115630694")</f>
        <v>120228662115630694</v>
      </c>
      <c r="C119" s="127" t="str">
        <f ca="1">IFERROR(__xludf.DUMMYFUNCTION("""COMPUTED_VALUE"""),"El Baha Trans")</f>
        <v>El Baha Trans</v>
      </c>
      <c r="D119" s="139"/>
      <c r="E119" s="139"/>
      <c r="F119" s="139">
        <f ca="1">IFERROR(__xludf.DUMMYFUNCTION("""COMPUTED_VALUE"""),1478)</f>
        <v>1478</v>
      </c>
      <c r="G119" s="139">
        <f ca="1">IFERROR(__xludf.DUMMYFUNCTION("""COMPUTED_VALUE"""),16353.5)</f>
        <v>16353.5</v>
      </c>
      <c r="H119" s="139">
        <f ca="1">IFERROR(__xludf.DUMMYFUNCTION("""COMPUTED_VALUE"""),3)</f>
        <v>3</v>
      </c>
      <c r="I119" s="140">
        <f ca="1">IFERROR(__xludf.DUMMYFUNCTION("""COMPUTED_VALUE"""),25646)</f>
        <v>25646</v>
      </c>
      <c r="J119" s="141">
        <f ca="1">IFERROR(__xludf.DUMMYFUNCTION("""COMPUTED_VALUE"""),8548.66666666666)</f>
        <v>8548.6666666666606</v>
      </c>
      <c r="K119" s="142">
        <f ca="1">IFERROR(__xludf.DUMMYFUNCTION("""COMPUTED_VALUE"""),1.70973333333333)</f>
        <v>1.70973333333333</v>
      </c>
      <c r="L119" s="143" t="str">
        <f ca="1"/>
        <v>Wiris Variasi</v>
      </c>
      <c r="M119" s="127"/>
      <c r="N119" s="127"/>
      <c r="O119" s="127"/>
      <c r="P119" s="127"/>
      <c r="Q119" s="127"/>
      <c r="R119" s="127"/>
      <c r="S119" s="127"/>
      <c r="T119" s="127"/>
      <c r="U119" s="127"/>
      <c r="V119" s="127"/>
      <c r="W119" s="127"/>
      <c r="X119" s="127"/>
      <c r="Y119" s="127"/>
      <c r="Z119" s="127"/>
      <c r="AA119" s="127"/>
    </row>
    <row r="120" spans="1:27">
      <c r="A120" s="127">
        <f ca="1">IFERROR(__xludf.DUMMYFUNCTION("""COMPUTED_VALUE"""),174904221976312)</f>
        <v>174904221976312</v>
      </c>
      <c r="B120" s="127" t="str">
        <f ca="1">IFERROR(__xludf.DUMMYFUNCTION("""COMPUTED_VALUE"""),"120228663053790694")</f>
        <v>120228663053790694</v>
      </c>
      <c r="C120" s="127" t="str">
        <f ca="1">IFERROR(__xludf.DUMMYFUNCTION("""COMPUTED_VALUE"""),"PT WIRA")</f>
        <v>PT WIRA</v>
      </c>
      <c r="D120" s="138" t="str">
        <f ca="1">IFERROR(__xludf.DUMMYFUNCTION("""COMPUTED_VALUE"""),"https://wa.me/6281229745253")</f>
        <v>https://wa.me/6281229745253</v>
      </c>
      <c r="E120" s="139" t="str">
        <f ca="1">IFERROR(__xludf.DUMMYFUNCTION("""COMPUTED_VALUE"""),"6281229745253")</f>
        <v>6281229745253</v>
      </c>
      <c r="F120" s="139">
        <f ca="1">IFERROR(__xludf.DUMMYFUNCTION("""COMPUTED_VALUE"""),5330)</f>
        <v>5330</v>
      </c>
      <c r="G120" s="139">
        <f ca="1">IFERROR(__xludf.DUMMYFUNCTION("""COMPUTED_VALUE"""),64638.3214285714)</f>
        <v>64638.321428571398</v>
      </c>
      <c r="H120" s="139">
        <f ca="1">IFERROR(__xludf.DUMMYFUNCTION("""COMPUTED_VALUE"""),45)</f>
        <v>45</v>
      </c>
      <c r="I120" s="140">
        <f ca="1">IFERROR(__xludf.DUMMYFUNCTION("""COMPUTED_VALUE"""),373390)</f>
        <v>373390</v>
      </c>
      <c r="J120" s="141">
        <f ca="1">IFERROR(__xludf.DUMMYFUNCTION("""COMPUTED_VALUE"""),8297.55555555555)</f>
        <v>8297.5555555555493</v>
      </c>
      <c r="K120" s="142">
        <f ca="1">IFERROR(__xludf.DUMMYFUNCTION("""COMPUTED_VALUE"""),24.8926666666666)</f>
        <v>24.892666666666599</v>
      </c>
      <c r="L120" s="143" t="str">
        <f ca="1"/>
        <v>Wiris Variasi</v>
      </c>
      <c r="M120" s="127"/>
      <c r="N120" s="127"/>
      <c r="O120" s="127"/>
      <c r="P120" s="127"/>
      <c r="Q120" s="127"/>
      <c r="R120" s="127"/>
      <c r="S120" s="127"/>
      <c r="T120" s="127"/>
      <c r="U120" s="127"/>
      <c r="V120" s="127"/>
      <c r="W120" s="127"/>
      <c r="X120" s="127"/>
      <c r="Y120" s="127"/>
      <c r="Z120" s="127"/>
      <c r="AA120" s="127"/>
    </row>
    <row r="121" spans="1:27">
      <c r="A121" s="127">
        <f ca="1">IFERROR(__xludf.DUMMYFUNCTION("""COMPUTED_VALUE"""),174904221976312)</f>
        <v>174904221976312</v>
      </c>
      <c r="B121" s="127" t="str">
        <f ca="1">IFERROR(__xludf.DUMMYFUNCTION("""COMPUTED_VALUE"""),"120228663053790694")</f>
        <v>120228663053790694</v>
      </c>
      <c r="C121" s="127" t="str">
        <f ca="1">IFERROR(__xludf.DUMMYFUNCTION("""COMPUTED_VALUE"""),"PT WIRA JOGJA WISATA")</f>
        <v>PT WIRA JOGJA WISATA</v>
      </c>
      <c r="D121" s="139"/>
      <c r="E121" s="139"/>
      <c r="F121" s="139">
        <f ca="1">IFERROR(__xludf.DUMMYFUNCTION("""COMPUTED_VALUE"""),405)</f>
        <v>405</v>
      </c>
      <c r="G121" s="139">
        <f ca="1">IFERROR(__xludf.DUMMYFUNCTION("""COMPUTED_VALUE"""),51635.5)</f>
        <v>51635.5</v>
      </c>
      <c r="H121" s="139">
        <f ca="1">IFERROR(__xludf.DUMMYFUNCTION("""COMPUTED_VALUE"""),2)</f>
        <v>2</v>
      </c>
      <c r="I121" s="140">
        <f ca="1">IFERROR(__xludf.DUMMYFUNCTION("""COMPUTED_VALUE"""),22562)</f>
        <v>22562</v>
      </c>
      <c r="J121" s="141">
        <f ca="1">IFERROR(__xludf.DUMMYFUNCTION("""COMPUTED_VALUE"""),11281)</f>
        <v>11281</v>
      </c>
      <c r="K121" s="142">
        <f ca="1">IFERROR(__xludf.DUMMYFUNCTION("""COMPUTED_VALUE"""),1.50413333333333)</f>
        <v>1.50413333333333</v>
      </c>
      <c r="L121" s="143" t="str">
        <f ca="1"/>
        <v>Wiris Variasi</v>
      </c>
      <c r="M121" s="127"/>
      <c r="N121" s="127"/>
      <c r="O121" s="127"/>
      <c r="P121" s="127"/>
      <c r="Q121" s="127"/>
      <c r="R121" s="127"/>
      <c r="S121" s="127"/>
      <c r="T121" s="127"/>
      <c r="U121" s="127"/>
      <c r="V121" s="127"/>
      <c r="W121" s="127"/>
      <c r="X121" s="127"/>
      <c r="Y121" s="127"/>
      <c r="Z121" s="127"/>
      <c r="AA121" s="127"/>
    </row>
    <row r="122" spans="1:27">
      <c r="A122" s="127">
        <f ca="1">IFERROR(__xludf.DUMMYFUNCTION("""COMPUTED_VALUE"""),174904221976312)</f>
        <v>174904221976312</v>
      </c>
      <c r="B122" s="127" t="str">
        <f ca="1">IFERROR(__xludf.DUMMYFUNCTION("""COMPUTED_VALUE"""),"120228683700970694")</f>
        <v>120228683700970694</v>
      </c>
      <c r="C122" s="127" t="str">
        <f ca="1">IFERROR(__xludf.DUMMYFUNCTION("""COMPUTED_VALUE"""),"Randow Rinjani")</f>
        <v>Randow Rinjani</v>
      </c>
      <c r="D122" s="138" t="str">
        <f ca="1">IFERROR(__xludf.DUMMYFUNCTION("""COMPUTED_VALUE"""),"https://wa.me/6283845117965")</f>
        <v>https://wa.me/6283845117965</v>
      </c>
      <c r="E122" s="139" t="str">
        <f ca="1">IFERROR(__xludf.DUMMYFUNCTION("""COMPUTED_VALUE"""),"6283845117965")</f>
        <v>6283845117965</v>
      </c>
      <c r="F122" s="139">
        <f ca="1">IFERROR(__xludf.DUMMYFUNCTION("""COMPUTED_VALUE"""),5205)</f>
        <v>5205</v>
      </c>
      <c r="G122" s="139">
        <f ca="1">IFERROR(__xludf.DUMMYFUNCTION("""COMPUTED_VALUE"""),16826)</f>
        <v>16826</v>
      </c>
      <c r="H122" s="139">
        <f ca="1">IFERROR(__xludf.DUMMYFUNCTION("""COMPUTED_VALUE"""),13)</f>
        <v>13</v>
      </c>
      <c r="I122" s="140">
        <f ca="1">IFERROR(__xludf.DUMMYFUNCTION("""COMPUTED_VALUE"""),85270)</f>
        <v>85270</v>
      </c>
      <c r="J122" s="141">
        <f ca="1">IFERROR(__xludf.DUMMYFUNCTION("""COMPUTED_VALUE"""),6559.23076923076)</f>
        <v>6559.2307692307604</v>
      </c>
      <c r="K122" s="142">
        <f ca="1">IFERROR(__xludf.DUMMYFUNCTION("""COMPUTED_VALUE"""),5.68466666666666)</f>
        <v>5.6846666666666597</v>
      </c>
      <c r="L122" s="143" t="str">
        <f ca="1"/>
        <v>Wiris Variasi</v>
      </c>
      <c r="M122" s="127"/>
      <c r="N122" s="127"/>
      <c r="O122" s="127"/>
      <c r="P122" s="127"/>
      <c r="Q122" s="127"/>
      <c r="R122" s="127"/>
      <c r="S122" s="127"/>
      <c r="T122" s="127"/>
      <c r="U122" s="127"/>
      <c r="V122" s="127"/>
      <c r="W122" s="127"/>
      <c r="X122" s="127"/>
      <c r="Y122" s="127"/>
      <c r="Z122" s="127"/>
      <c r="AA122" s="127"/>
    </row>
    <row r="123" spans="1:27">
      <c r="A123" s="127">
        <f ca="1">IFERROR(__xludf.DUMMYFUNCTION("""COMPUTED_VALUE"""),174904221976312)</f>
        <v>174904221976312</v>
      </c>
      <c r="B123" s="127" t="str">
        <f ca="1">IFERROR(__xludf.DUMMYFUNCTION("""COMPUTED_VALUE"""),"120228686186680694")</f>
        <v>120228686186680694</v>
      </c>
      <c r="C123" s="127" t="str">
        <f ca="1">IFERROR(__xludf.DUMMYFUNCTION("""COMPUTED_VALUE"""),"Reklame Hafiz")</f>
        <v>Reklame Hafiz</v>
      </c>
      <c r="D123" s="139"/>
      <c r="E123" s="139"/>
      <c r="F123" s="139">
        <f ca="1">IFERROR(__xludf.DUMMYFUNCTION("""COMPUTED_VALUE"""),32)</f>
        <v>32</v>
      </c>
      <c r="G123" s="139">
        <f ca="1">IFERROR(__xludf.DUMMYFUNCTION("""COMPUTED_VALUE"""),26788)</f>
        <v>26788</v>
      </c>
      <c r="H123" s="139">
        <f ca="1">IFERROR(__xludf.DUMMYFUNCTION("""COMPUTED_VALUE"""),0)</f>
        <v>0</v>
      </c>
      <c r="I123" s="140">
        <f ca="1">IFERROR(__xludf.DUMMYFUNCTION("""COMPUTED_VALUE"""),884)</f>
        <v>884</v>
      </c>
      <c r="J123" s="141"/>
      <c r="K123" s="142">
        <f ca="1">IFERROR(__xludf.DUMMYFUNCTION("""COMPUTED_VALUE"""),0.0589333333333333)</f>
        <v>5.8933333333333303E-2</v>
      </c>
      <c r="L123" s="143" t="str">
        <f ca="1"/>
        <v>Wiris Variasi</v>
      </c>
      <c r="M123" s="127"/>
      <c r="N123" s="127"/>
      <c r="O123" s="127"/>
      <c r="P123" s="127"/>
      <c r="Q123" s="127"/>
      <c r="R123" s="127"/>
      <c r="S123" s="127"/>
      <c r="T123" s="127"/>
      <c r="U123" s="127"/>
      <c r="V123" s="127"/>
      <c r="W123" s="127"/>
      <c r="X123" s="127"/>
      <c r="Y123" s="127"/>
      <c r="Z123" s="127"/>
      <c r="AA123" s="127"/>
    </row>
    <row r="124" spans="1:27">
      <c r="A124" s="127">
        <f ca="1">IFERROR(__xludf.DUMMYFUNCTION("""COMPUTED_VALUE"""),174904221976312)</f>
        <v>174904221976312</v>
      </c>
      <c r="B124" s="127" t="str">
        <f ca="1">IFERROR(__xludf.DUMMYFUNCTION("""COMPUTED_VALUE"""),"120228686186680694")</f>
        <v>120228686186680694</v>
      </c>
      <c r="C124" s="127" t="str">
        <f ca="1">IFERROR(__xludf.DUMMYFUNCTION("""COMPUTED_VALUE"""),"Reklame Hafiz")</f>
        <v>Reklame Hafiz</v>
      </c>
      <c r="D124" s="138" t="str">
        <f ca="1">IFERROR(__xludf.DUMMYFUNCTION("""COMPUTED_VALUE"""),"https://wa.me/6285384321677")</f>
        <v>https://wa.me/6285384321677</v>
      </c>
      <c r="E124" s="139" t="str">
        <f ca="1">IFERROR(__xludf.DUMMYFUNCTION("""COMPUTED_VALUE"""),"6285384321677")</f>
        <v>6285384321677</v>
      </c>
      <c r="F124" s="139">
        <f ca="1">IFERROR(__xludf.DUMMYFUNCTION("""COMPUTED_VALUE"""),4028)</f>
        <v>4028</v>
      </c>
      <c r="G124" s="139">
        <f ca="1">IFERROR(__xludf.DUMMYFUNCTION("""COMPUTED_VALUE"""),17755.8333333333)</f>
        <v>17755.833333333299</v>
      </c>
      <c r="H124" s="139">
        <f ca="1">IFERROR(__xludf.DUMMYFUNCTION("""COMPUTED_VALUE"""),10)</f>
        <v>10</v>
      </c>
      <c r="I124" s="140">
        <f ca="1">IFERROR(__xludf.DUMMYFUNCTION("""COMPUTED_VALUE"""),82086)</f>
        <v>82086</v>
      </c>
      <c r="J124" s="141">
        <f ca="1">IFERROR(__xludf.DUMMYFUNCTION("""COMPUTED_VALUE"""),8208.6)</f>
        <v>8208.6</v>
      </c>
      <c r="K124" s="142">
        <f ca="1">IFERROR(__xludf.DUMMYFUNCTION("""COMPUTED_VALUE"""),5.4724)</f>
        <v>5.4724000000000004</v>
      </c>
      <c r="L124" s="143" t="str">
        <f ca="1"/>
        <v>Wiris Variasi</v>
      </c>
      <c r="M124" s="127"/>
      <c r="N124" s="127"/>
      <c r="O124" s="127"/>
      <c r="P124" s="127"/>
      <c r="Q124" s="127"/>
      <c r="R124" s="127"/>
      <c r="S124" s="127"/>
      <c r="T124" s="127"/>
      <c r="U124" s="127"/>
      <c r="V124" s="127"/>
      <c r="W124" s="127"/>
      <c r="X124" s="127"/>
      <c r="Y124" s="127"/>
      <c r="Z124" s="127"/>
      <c r="AA124" s="127"/>
    </row>
    <row r="125" spans="1:27">
      <c r="A125" s="127">
        <f ca="1">IFERROR(__xludf.DUMMYFUNCTION("""COMPUTED_VALUE"""),174904221976312)</f>
        <v>174904221976312</v>
      </c>
      <c r="B125" s="127" t="str">
        <f ca="1">IFERROR(__xludf.DUMMYFUNCTION("""COMPUTED_VALUE"""),"120228690635530694")</f>
        <v>120228690635530694</v>
      </c>
      <c r="C125" s="127" t="str">
        <f ca="1">IFERROR(__xludf.DUMMYFUNCTION("""COMPUTED_VALUE"""),"Zila Lombok")</f>
        <v>Zila Lombok</v>
      </c>
      <c r="D125" s="138" t="str">
        <f ca="1">IFERROR(__xludf.DUMMYFUNCTION("""COMPUTED_VALUE"""),"https://wa.me/6287757150828")</f>
        <v>https://wa.me/6287757150828</v>
      </c>
      <c r="E125" s="139" t="str">
        <f ca="1">IFERROR(__xludf.DUMMYFUNCTION("""COMPUTED_VALUE"""),"6287757150828")</f>
        <v>6287757150828</v>
      </c>
      <c r="F125" s="139">
        <f ca="1">IFERROR(__xludf.DUMMYFUNCTION("""COMPUTED_VALUE"""),3211)</f>
        <v>3211</v>
      </c>
      <c r="G125" s="139">
        <f ca="1">IFERROR(__xludf.DUMMYFUNCTION("""COMPUTED_VALUE"""),25009.1666666666)</f>
        <v>25009.166666666599</v>
      </c>
      <c r="H125" s="139">
        <f ca="1">IFERROR(__xludf.DUMMYFUNCTION("""COMPUTED_VALUE"""),11)</f>
        <v>11</v>
      </c>
      <c r="I125" s="140">
        <f ca="1">IFERROR(__xludf.DUMMYFUNCTION("""COMPUTED_VALUE"""),81500)</f>
        <v>81500</v>
      </c>
      <c r="J125" s="141">
        <f ca="1">IFERROR(__xludf.DUMMYFUNCTION("""COMPUTED_VALUE"""),7409.0909090909)</f>
        <v>7409.0909090908999</v>
      </c>
      <c r="K125" s="142">
        <f ca="1">IFERROR(__xludf.DUMMYFUNCTION("""COMPUTED_VALUE"""),5.43333333333333)</f>
        <v>5.43333333333333</v>
      </c>
      <c r="L125" s="143" t="str">
        <f ca="1"/>
        <v>Wiris Variasi</v>
      </c>
      <c r="M125" s="127"/>
      <c r="N125" s="127"/>
      <c r="O125" s="127"/>
      <c r="P125" s="127"/>
      <c r="Q125" s="127"/>
      <c r="R125" s="127"/>
      <c r="S125" s="127"/>
      <c r="T125" s="127"/>
      <c r="U125" s="127"/>
      <c r="V125" s="127"/>
      <c r="W125" s="127"/>
      <c r="X125" s="127"/>
      <c r="Y125" s="127"/>
      <c r="Z125" s="127"/>
      <c r="AA125" s="127"/>
    </row>
    <row r="126" spans="1:27">
      <c r="A126" s="127">
        <f ca="1">IFERROR(__xludf.DUMMYFUNCTION("""COMPUTED_VALUE"""),174904221976312)</f>
        <v>174904221976312</v>
      </c>
      <c r="B126" s="127" t="str">
        <f ca="1">IFERROR(__xludf.DUMMYFUNCTION("""COMPUTED_VALUE"""),"120228690635530694")</f>
        <v>120228690635530694</v>
      </c>
      <c r="C126" s="127" t="str">
        <f ca="1">IFERROR(__xludf.DUMMYFUNCTION("""COMPUTED_VALUE"""),"Zila Lombok Trans")</f>
        <v>Zila Lombok Trans</v>
      </c>
      <c r="D126" s="139"/>
      <c r="E126" s="139"/>
      <c r="F126" s="139">
        <f ca="1">IFERROR(__xludf.DUMMYFUNCTION("""COMPUTED_VALUE"""),39)</f>
        <v>39</v>
      </c>
      <c r="G126" s="139">
        <f ca="1">IFERROR(__xludf.DUMMYFUNCTION("""COMPUTED_VALUE"""),28150)</f>
        <v>28150</v>
      </c>
      <c r="H126" s="139">
        <f ca="1">IFERROR(__xludf.DUMMYFUNCTION("""COMPUTED_VALUE"""),0)</f>
        <v>0</v>
      </c>
      <c r="I126" s="140">
        <f ca="1">IFERROR(__xludf.DUMMYFUNCTION("""COMPUTED_VALUE"""),1126)</f>
        <v>1126</v>
      </c>
      <c r="J126" s="141"/>
      <c r="K126" s="142">
        <f ca="1">IFERROR(__xludf.DUMMYFUNCTION("""COMPUTED_VALUE"""),0.0750666666666666)</f>
        <v>7.5066666666666601E-2</v>
      </c>
      <c r="L126" s="143" t="str">
        <f ca="1"/>
        <v>Wiris Variasi</v>
      </c>
      <c r="M126" s="127"/>
      <c r="N126" s="127"/>
      <c r="O126" s="127"/>
      <c r="P126" s="127"/>
      <c r="Q126" s="127"/>
      <c r="R126" s="127"/>
      <c r="S126" s="127"/>
      <c r="T126" s="127"/>
      <c r="U126" s="127"/>
      <c r="V126" s="127"/>
      <c r="W126" s="127"/>
      <c r="X126" s="127"/>
      <c r="Y126" s="127"/>
      <c r="Z126" s="127"/>
      <c r="AA126" s="127"/>
    </row>
    <row r="127" spans="1:27">
      <c r="A127" s="127">
        <f ca="1">IFERROR(__xludf.DUMMYFUNCTION("""COMPUTED_VALUE"""),174904221976312)</f>
        <v>174904221976312</v>
      </c>
      <c r="B127" s="127" t="str">
        <f ca="1">IFERROR(__xludf.DUMMYFUNCTION("""COMPUTED_VALUE"""),"120228690955610694")</f>
        <v>120228690955610694</v>
      </c>
      <c r="C127" s="127" t="str">
        <f ca="1">IFERROR(__xludf.DUMMYFUNCTION("""COMPUTED_VALUE"""),"CV Rheina")</f>
        <v>CV Rheina</v>
      </c>
      <c r="D127" s="138" t="str">
        <f ca="1">IFERROR(__xludf.DUMMYFUNCTION("""COMPUTED_VALUE"""),"https://wa.me/6282339444339")</f>
        <v>https://wa.me/6282339444339</v>
      </c>
      <c r="E127" s="139" t="str">
        <f ca="1">IFERROR(__xludf.DUMMYFUNCTION("""COMPUTED_VALUE"""),"6282339444339")</f>
        <v>6282339444339</v>
      </c>
      <c r="F127" s="139">
        <f ca="1">IFERROR(__xludf.DUMMYFUNCTION("""COMPUTED_VALUE"""),2023)</f>
        <v>2023</v>
      </c>
      <c r="G127" s="139">
        <f ca="1">IFERROR(__xludf.DUMMYFUNCTION("""COMPUTED_VALUE"""),35454.8333333333)</f>
        <v>35454.833333333299</v>
      </c>
      <c r="H127" s="139">
        <f ca="1">IFERROR(__xludf.DUMMYFUNCTION("""COMPUTED_VALUE"""),9)</f>
        <v>9</v>
      </c>
      <c r="I127" s="140">
        <f ca="1">IFERROR(__xludf.DUMMYFUNCTION("""COMPUTED_VALUE"""),72156)</f>
        <v>72156</v>
      </c>
      <c r="J127" s="141">
        <f ca="1">IFERROR(__xludf.DUMMYFUNCTION("""COMPUTED_VALUE"""),8017.33333333333)</f>
        <v>8017.3333333333303</v>
      </c>
      <c r="K127" s="142">
        <f ca="1">IFERROR(__xludf.DUMMYFUNCTION("""COMPUTED_VALUE"""),4.8104)</f>
        <v>4.8103999999999996</v>
      </c>
      <c r="L127" s="143" t="str">
        <f ca="1"/>
        <v>Wiris Variasi</v>
      </c>
      <c r="M127" s="127"/>
      <c r="N127" s="127"/>
      <c r="O127" s="127"/>
      <c r="P127" s="127"/>
      <c r="Q127" s="127"/>
      <c r="R127" s="127"/>
      <c r="S127" s="127"/>
      <c r="T127" s="127"/>
      <c r="U127" s="127"/>
      <c r="V127" s="127"/>
      <c r="W127" s="127"/>
      <c r="X127" s="127"/>
      <c r="Y127" s="127"/>
      <c r="Z127" s="127"/>
      <c r="AA127" s="127"/>
    </row>
    <row r="128" spans="1:27">
      <c r="A128" s="127">
        <f ca="1">IFERROR(__xludf.DUMMYFUNCTION("""COMPUTED_VALUE"""),174904221976312)</f>
        <v>174904221976312</v>
      </c>
      <c r="B128" s="127" t="str">
        <f ca="1">IFERROR(__xludf.DUMMYFUNCTION("""COMPUTED_VALUE"""),"120228690955610694")</f>
        <v>120228690955610694</v>
      </c>
      <c r="C128" s="127" t="str">
        <f ca="1">IFERROR(__xludf.DUMMYFUNCTION("""COMPUTED_VALUE"""),"CV Rheina Anugrah Lombok")</f>
        <v>CV Rheina Anugrah Lombok</v>
      </c>
      <c r="D128" s="139"/>
      <c r="E128" s="139"/>
      <c r="F128" s="139">
        <f ca="1">IFERROR(__xludf.DUMMYFUNCTION("""COMPUTED_VALUE"""),46)</f>
        <v>46</v>
      </c>
      <c r="G128" s="139">
        <f ca="1">IFERROR(__xludf.DUMMYFUNCTION("""COMPUTED_VALUE"""),15255)</f>
        <v>15255</v>
      </c>
      <c r="H128" s="139">
        <f ca="1">IFERROR(__xludf.DUMMYFUNCTION("""COMPUTED_VALUE"""),0)</f>
        <v>0</v>
      </c>
      <c r="I128" s="140">
        <f ca="1">IFERROR(__xludf.DUMMYFUNCTION("""COMPUTED_VALUE"""),717)</f>
        <v>717</v>
      </c>
      <c r="J128" s="141"/>
      <c r="K128" s="142">
        <f ca="1">IFERROR(__xludf.DUMMYFUNCTION("""COMPUTED_VALUE"""),0.0478)</f>
        <v>4.7800000000000002E-2</v>
      </c>
      <c r="L128" s="143" t="str">
        <f ca="1"/>
        <v>Wiris Variasi</v>
      </c>
      <c r="M128" s="127"/>
      <c r="N128" s="127"/>
      <c r="O128" s="127"/>
      <c r="P128" s="127"/>
      <c r="Q128" s="127"/>
      <c r="R128" s="127"/>
      <c r="S128" s="127"/>
      <c r="T128" s="127"/>
      <c r="U128" s="127"/>
      <c r="V128" s="127"/>
      <c r="W128" s="127"/>
      <c r="X128" s="127"/>
      <c r="Y128" s="127"/>
      <c r="Z128" s="127"/>
      <c r="AA128" s="127"/>
    </row>
    <row r="129" spans="1:27">
      <c r="A129" s="127">
        <f ca="1">IFERROR(__xludf.DUMMYFUNCTION("""COMPUTED_VALUE"""),174904221976312)</f>
        <v>174904221976312</v>
      </c>
      <c r="B129" s="127" t="str">
        <f ca="1">IFERROR(__xludf.DUMMYFUNCTION("""COMPUTED_VALUE"""),"120228691389180694")</f>
        <v>120228691389180694</v>
      </c>
      <c r="C129" s="127" t="str">
        <f ca="1">IFERROR(__xludf.DUMMYFUNCTION("""COMPUTED_VALUE"""),"Hery Service")</f>
        <v>Hery Service</v>
      </c>
      <c r="D129" s="139"/>
      <c r="E129" s="139"/>
      <c r="F129" s="139">
        <f ca="1">IFERROR(__xludf.DUMMYFUNCTION("""COMPUTED_VALUE"""),38)</f>
        <v>38</v>
      </c>
      <c r="G129" s="139">
        <f ca="1">IFERROR(__xludf.DUMMYFUNCTION("""COMPUTED_VALUE"""),14846)</f>
        <v>14846</v>
      </c>
      <c r="H129" s="139">
        <f ca="1">IFERROR(__xludf.DUMMYFUNCTION("""COMPUTED_VALUE"""),0)</f>
        <v>0</v>
      </c>
      <c r="I129" s="140">
        <f ca="1">IFERROR(__xludf.DUMMYFUNCTION("""COMPUTED_VALUE"""),579)</f>
        <v>579</v>
      </c>
      <c r="J129" s="141"/>
      <c r="K129" s="142">
        <f ca="1">IFERROR(__xludf.DUMMYFUNCTION("""COMPUTED_VALUE"""),0.0386)</f>
        <v>3.8600000000000002E-2</v>
      </c>
      <c r="L129" s="143" t="str">
        <f ca="1"/>
        <v>Wiris Variasi</v>
      </c>
      <c r="M129" s="127"/>
      <c r="N129" s="127"/>
      <c r="O129" s="127"/>
      <c r="P129" s="127"/>
      <c r="Q129" s="127"/>
      <c r="R129" s="127"/>
      <c r="S129" s="127"/>
      <c r="T129" s="127"/>
      <c r="U129" s="127"/>
      <c r="V129" s="127"/>
      <c r="W129" s="127"/>
      <c r="X129" s="127"/>
      <c r="Y129" s="127"/>
      <c r="Z129" s="127"/>
      <c r="AA129" s="127"/>
    </row>
    <row r="130" spans="1:27">
      <c r="A130" s="127">
        <f ca="1">IFERROR(__xludf.DUMMYFUNCTION("""COMPUTED_VALUE"""),174904221976312)</f>
        <v>174904221976312</v>
      </c>
      <c r="B130" s="127" t="str">
        <f ca="1">IFERROR(__xludf.DUMMYFUNCTION("""COMPUTED_VALUE"""),"120228691389180694")</f>
        <v>120228691389180694</v>
      </c>
      <c r="C130" s="127" t="str">
        <f ca="1">IFERROR(__xludf.DUMMYFUNCTION("""COMPUTED_VALUE"""),"Hery Service")</f>
        <v>Hery Service</v>
      </c>
      <c r="D130" s="138" t="str">
        <f ca="1">IFERROR(__xludf.DUMMYFUNCTION("""COMPUTED_VALUE"""),"https://wa.me/6281316839343")</f>
        <v>https://wa.me/6281316839343</v>
      </c>
      <c r="E130" s="139" t="str">
        <f ca="1">IFERROR(__xludf.DUMMYFUNCTION("""COMPUTED_VALUE"""),"6281316839343")</f>
        <v>6281316839343</v>
      </c>
      <c r="F130" s="139">
        <f ca="1">IFERROR(__xludf.DUMMYFUNCTION("""COMPUTED_VALUE"""),15117)</f>
        <v>15117</v>
      </c>
      <c r="G130" s="139">
        <f ca="1">IFERROR(__xludf.DUMMYFUNCTION("""COMPUTED_VALUE"""),9728.36363636363)</f>
        <v>9728.3636363636306</v>
      </c>
      <c r="H130" s="139">
        <f ca="1">IFERROR(__xludf.DUMMYFUNCTION("""COMPUTED_VALUE"""),132)</f>
        <v>132</v>
      </c>
      <c r="I130" s="140">
        <f ca="1">IFERROR(__xludf.DUMMYFUNCTION("""COMPUTED_VALUE"""),152912)</f>
        <v>152912</v>
      </c>
      <c r="J130" s="141">
        <f ca="1">IFERROR(__xludf.DUMMYFUNCTION("""COMPUTED_VALUE"""),1158.42424242424)</f>
        <v>1158.42424242424</v>
      </c>
      <c r="K130" s="142">
        <f ca="1">IFERROR(__xludf.DUMMYFUNCTION("""COMPUTED_VALUE"""),10.1941333333333)</f>
        <v>10.1941333333333</v>
      </c>
      <c r="L130" s="143" t="str">
        <f ca="1"/>
        <v>Wiris Variasi</v>
      </c>
      <c r="M130" s="127"/>
      <c r="N130" s="127"/>
      <c r="O130" s="127"/>
      <c r="P130" s="127"/>
      <c r="Q130" s="127"/>
      <c r="R130" s="127"/>
      <c r="S130" s="127"/>
      <c r="T130" s="127"/>
      <c r="U130" s="127"/>
      <c r="V130" s="127"/>
      <c r="W130" s="127"/>
      <c r="X130" s="127"/>
      <c r="Y130" s="127"/>
      <c r="Z130" s="127"/>
      <c r="AA130" s="127"/>
    </row>
    <row r="131" spans="1:27">
      <c r="A131" s="127">
        <f ca="1">IFERROR(__xludf.DUMMYFUNCTION("""COMPUTED_VALUE"""),174904221976312)</f>
        <v>174904221976312</v>
      </c>
      <c r="B131" s="127" t="str">
        <f ca="1">IFERROR(__xludf.DUMMYFUNCTION("""COMPUTED_VALUE"""),"120228759857360694")</f>
        <v>120228759857360694</v>
      </c>
      <c r="C131" s="127" t="str">
        <f ca="1">IFERROR(__xludf.DUMMYFUNCTION("""COMPUTED_VALUE"""),"Suka Sehat")</f>
        <v>Suka Sehat</v>
      </c>
      <c r="D131" s="138" t="str">
        <f ca="1">IFERROR(__xludf.DUMMYFUNCTION("""COMPUTED_VALUE"""),"https://wa.me/6282277773540")</f>
        <v>https://wa.me/6282277773540</v>
      </c>
      <c r="E131" s="139" t="str">
        <f ca="1">IFERROR(__xludf.DUMMYFUNCTION("""COMPUTED_VALUE"""),"6282277773540")</f>
        <v>6282277773540</v>
      </c>
      <c r="F131" s="139">
        <f ca="1">IFERROR(__xludf.DUMMYFUNCTION("""COMPUTED_VALUE"""),6073)</f>
        <v>6073</v>
      </c>
      <c r="G131" s="139">
        <f ca="1">IFERROR(__xludf.DUMMYFUNCTION("""COMPUTED_VALUE"""),13833.5714285714)</f>
        <v>13833.5714285714</v>
      </c>
      <c r="H131" s="139">
        <f ca="1">IFERROR(__xludf.DUMMYFUNCTION("""COMPUTED_VALUE"""),14)</f>
        <v>14</v>
      </c>
      <c r="I131" s="140">
        <f ca="1">IFERROR(__xludf.DUMMYFUNCTION("""COMPUTED_VALUE"""),90969)</f>
        <v>90969</v>
      </c>
      <c r="J131" s="141">
        <f ca="1">IFERROR(__xludf.DUMMYFUNCTION("""COMPUTED_VALUE"""),6497.78571428571)</f>
        <v>6497.7857142857101</v>
      </c>
      <c r="K131" s="142">
        <f ca="1">IFERROR(__xludf.DUMMYFUNCTION("""COMPUTED_VALUE"""),6.0646)</f>
        <v>6.0646000000000004</v>
      </c>
      <c r="L131" s="143" t="str">
        <f ca="1"/>
        <v>Wiris Variasi</v>
      </c>
      <c r="M131" s="127"/>
      <c r="N131" s="127"/>
      <c r="O131" s="127"/>
      <c r="P131" s="127"/>
      <c r="Q131" s="127"/>
      <c r="R131" s="127"/>
      <c r="S131" s="127"/>
      <c r="T131" s="127"/>
      <c r="U131" s="127"/>
      <c r="V131" s="127"/>
      <c r="W131" s="127"/>
      <c r="X131" s="127"/>
      <c r="Y131" s="127"/>
      <c r="Z131" s="127"/>
      <c r="AA131" s="127"/>
    </row>
    <row r="132" spans="1:27">
      <c r="A132" s="127">
        <f ca="1">IFERROR(__xludf.DUMMYFUNCTION("""COMPUTED_VALUE"""),174904221976312)</f>
        <v>174904221976312</v>
      </c>
      <c r="B132" s="127" t="str">
        <f ca="1">IFERROR(__xludf.DUMMYFUNCTION("""COMPUTED_VALUE"""),"120228849636070694")</f>
        <v>120228849636070694</v>
      </c>
      <c r="C132" s="127" t="str">
        <f ca="1">IFERROR(__xludf.DUMMYFUNCTION("""COMPUTED_VALUE"""),"Pijat Sehat")</f>
        <v>Pijat Sehat</v>
      </c>
      <c r="D132" s="138" t="str">
        <f ca="1">IFERROR(__xludf.DUMMYFUNCTION("""COMPUTED_VALUE"""),"https://wa.me/6281217985917")</f>
        <v>https://wa.me/6281217985917</v>
      </c>
      <c r="E132" s="139" t="str">
        <f ca="1">IFERROR(__xludf.DUMMYFUNCTION("""COMPUTED_VALUE"""),"6281217985917")</f>
        <v>6281217985917</v>
      </c>
      <c r="F132" s="139">
        <f ca="1">IFERROR(__xludf.DUMMYFUNCTION("""COMPUTED_VALUE"""),3405)</f>
        <v>3405</v>
      </c>
      <c r="G132" s="139">
        <f ca="1">IFERROR(__xludf.DUMMYFUNCTION("""COMPUTED_VALUE"""),17745.6)</f>
        <v>17745.599999999999</v>
      </c>
      <c r="H132" s="139">
        <f ca="1">IFERROR(__xludf.DUMMYFUNCTION("""COMPUTED_VALUE"""),21)</f>
        <v>21</v>
      </c>
      <c r="I132" s="140">
        <f ca="1">IFERROR(__xludf.DUMMYFUNCTION("""COMPUTED_VALUE"""),69599)</f>
        <v>69599</v>
      </c>
      <c r="J132" s="141">
        <f ca="1">IFERROR(__xludf.DUMMYFUNCTION("""COMPUTED_VALUE"""),3314.23809523809)</f>
        <v>3314.23809523809</v>
      </c>
      <c r="K132" s="142">
        <f ca="1">IFERROR(__xludf.DUMMYFUNCTION("""COMPUTED_VALUE"""),4.63993333333333)</f>
        <v>4.6399333333333299</v>
      </c>
      <c r="L132" s="143" t="str">
        <f ca="1"/>
        <v>Wiris Variasi</v>
      </c>
      <c r="M132" s="127"/>
      <c r="N132" s="127"/>
      <c r="O132" s="127"/>
      <c r="P132" s="127"/>
      <c r="Q132" s="127"/>
      <c r="R132" s="127"/>
      <c r="S132" s="127"/>
      <c r="T132" s="127"/>
      <c r="U132" s="127"/>
      <c r="V132" s="127"/>
      <c r="W132" s="127"/>
      <c r="X132" s="127"/>
      <c r="Y132" s="127"/>
      <c r="Z132" s="127"/>
      <c r="AA132" s="127"/>
    </row>
    <row r="133" spans="1:27">
      <c r="A133" s="127">
        <f ca="1">IFERROR(__xludf.DUMMYFUNCTION("""COMPUTED_VALUE"""),174904221976312)</f>
        <v>174904221976312</v>
      </c>
      <c r="B133" s="127" t="str">
        <f ca="1">IFERROR(__xludf.DUMMYFUNCTION("""COMPUTED_VALUE"""),"120228849808840694")</f>
        <v>120228849808840694</v>
      </c>
      <c r="C133" s="127" t="str">
        <f ca="1">IFERROR(__xludf.DUMMYFUNCTION("""COMPUTED_VALUE"""),"Pelatihan Bekam")</f>
        <v>Pelatihan Bekam</v>
      </c>
      <c r="D133" s="138" t="str">
        <f ca="1">IFERROR(__xludf.DUMMYFUNCTION("""COMPUTED_VALUE"""),"https://wa.me/6283865096870")</f>
        <v>https://wa.me/6283865096870</v>
      </c>
      <c r="E133" s="139" t="str">
        <f ca="1">IFERROR(__xludf.DUMMYFUNCTION("""COMPUTED_VALUE"""),"6283865096870")</f>
        <v>6283865096870</v>
      </c>
      <c r="F133" s="139">
        <f ca="1">IFERROR(__xludf.DUMMYFUNCTION("""COMPUTED_VALUE"""),3643)</f>
        <v>3643</v>
      </c>
      <c r="G133" s="139">
        <f ca="1">IFERROR(__xludf.DUMMYFUNCTION("""COMPUTED_VALUE"""),13957)</f>
        <v>13957</v>
      </c>
      <c r="H133" s="139">
        <f ca="1">IFERROR(__xludf.DUMMYFUNCTION("""COMPUTED_VALUE"""),10)</f>
        <v>10</v>
      </c>
      <c r="I133" s="140">
        <f ca="1">IFERROR(__xludf.DUMMYFUNCTION("""COMPUTED_VALUE"""),59511)</f>
        <v>59511</v>
      </c>
      <c r="J133" s="141">
        <f ca="1">IFERROR(__xludf.DUMMYFUNCTION("""COMPUTED_VALUE"""),5951.1)</f>
        <v>5951.1</v>
      </c>
      <c r="K133" s="142">
        <f ca="1">IFERROR(__xludf.DUMMYFUNCTION("""COMPUTED_VALUE"""),3.9674)</f>
        <v>3.9674</v>
      </c>
      <c r="L133" s="143" t="str">
        <f ca="1"/>
        <v>Wiris Variasi</v>
      </c>
      <c r="M133" s="127"/>
      <c r="N133" s="127"/>
      <c r="O133" s="127"/>
      <c r="P133" s="127"/>
      <c r="Q133" s="127"/>
      <c r="R133" s="127"/>
      <c r="S133" s="127"/>
      <c r="T133" s="127"/>
      <c r="U133" s="127"/>
      <c r="V133" s="127"/>
      <c r="W133" s="127"/>
      <c r="X133" s="127"/>
      <c r="Y133" s="127"/>
      <c r="Z133" s="127"/>
      <c r="AA133" s="127"/>
    </row>
    <row r="134" spans="1:27">
      <c r="A134" s="127">
        <f ca="1">IFERROR(__xludf.DUMMYFUNCTION("""COMPUTED_VALUE"""),174904221976312)</f>
        <v>174904221976312</v>
      </c>
      <c r="B134" s="127" t="str">
        <f ca="1">IFERROR(__xludf.DUMMYFUNCTION("""COMPUTED_VALUE"""),"120228850146110694")</f>
        <v>120228850146110694</v>
      </c>
      <c r="C134" s="127" t="str">
        <f ca="1">IFERROR(__xludf.DUMMYFUNCTION("""COMPUTED_VALUE"""),"Rehab Hati")</f>
        <v>Rehab Hati</v>
      </c>
      <c r="D134" s="138" t="str">
        <f ca="1">IFERROR(__xludf.DUMMYFUNCTION("""COMPUTED_VALUE"""),"https://wa.me/6283147736523")</f>
        <v>https://wa.me/6283147736523</v>
      </c>
      <c r="E134" s="139" t="str">
        <f ca="1">IFERROR(__xludf.DUMMYFUNCTION("""COMPUTED_VALUE"""),"6283147736523")</f>
        <v>6283147736523</v>
      </c>
      <c r="F134" s="139">
        <f ca="1">IFERROR(__xludf.DUMMYFUNCTION("""COMPUTED_VALUE"""),4637)</f>
        <v>4637</v>
      </c>
      <c r="G134" s="139">
        <f ca="1">IFERROR(__xludf.DUMMYFUNCTION("""COMPUTED_VALUE"""),11381.2)</f>
        <v>11381.2</v>
      </c>
      <c r="H134" s="139">
        <f ca="1">IFERROR(__xludf.DUMMYFUNCTION("""COMPUTED_VALUE"""),20)</f>
        <v>20</v>
      </c>
      <c r="I134" s="140">
        <f ca="1">IFERROR(__xludf.DUMMYFUNCTION("""COMPUTED_VALUE"""),63887)</f>
        <v>63887</v>
      </c>
      <c r="J134" s="141">
        <f ca="1">IFERROR(__xludf.DUMMYFUNCTION("""COMPUTED_VALUE"""),3194.35)</f>
        <v>3194.35</v>
      </c>
      <c r="K134" s="142">
        <f ca="1">IFERROR(__xludf.DUMMYFUNCTION("""COMPUTED_VALUE"""),4.25913333333333)</f>
        <v>4.2591333333333301</v>
      </c>
      <c r="L134" s="143" t="str">
        <f ca="1"/>
        <v>Wiris Variasi</v>
      </c>
      <c r="M134" s="127"/>
      <c r="N134" s="127"/>
      <c r="O134" s="127"/>
      <c r="P134" s="127"/>
      <c r="Q134" s="127"/>
      <c r="R134" s="127"/>
      <c r="S134" s="127"/>
      <c r="T134" s="127"/>
      <c r="U134" s="127"/>
      <c r="V134" s="127"/>
      <c r="W134" s="127"/>
      <c r="X134" s="127"/>
      <c r="Y134" s="127"/>
      <c r="Z134" s="127"/>
      <c r="AA134" s="127"/>
    </row>
    <row r="135" spans="1:27">
      <c r="A135" s="127">
        <f ca="1">IFERROR(__xludf.DUMMYFUNCTION("""COMPUTED_VALUE"""),174904221976312)</f>
        <v>174904221976312</v>
      </c>
      <c r="B135" s="127" t="str">
        <f ca="1">IFERROR(__xludf.DUMMYFUNCTION("""COMPUTED_VALUE"""),"120228850490520694")</f>
        <v>120228850490520694</v>
      </c>
      <c r="C135" s="127" t="str">
        <f ca="1">IFERROR(__xludf.DUMMYFUNCTION("""COMPUTED_VALUE"""),"Ilham Trans")</f>
        <v>Ilham Trans</v>
      </c>
      <c r="D135" s="138" t="str">
        <f ca="1">IFERROR(__xludf.DUMMYFUNCTION("""COMPUTED_VALUE"""),"https://wa.me/6285714141525")</f>
        <v>https://wa.me/6285714141525</v>
      </c>
      <c r="E135" s="139" t="str">
        <f ca="1">IFERROR(__xludf.DUMMYFUNCTION("""COMPUTED_VALUE"""),"6285714141525")</f>
        <v>6285714141525</v>
      </c>
      <c r="F135" s="139">
        <f ca="1">IFERROR(__xludf.DUMMYFUNCTION("""COMPUTED_VALUE"""),1260)</f>
        <v>1260</v>
      </c>
      <c r="G135" s="139">
        <f ca="1">IFERROR(__xludf.DUMMYFUNCTION("""COMPUTED_VALUE"""),46128.6)</f>
        <v>46128.6</v>
      </c>
      <c r="H135" s="139">
        <f ca="1">IFERROR(__xludf.DUMMYFUNCTION("""COMPUTED_VALUE"""),11)</f>
        <v>11</v>
      </c>
      <c r="I135" s="140">
        <f ca="1">IFERROR(__xludf.DUMMYFUNCTION("""COMPUTED_VALUE"""),66415)</f>
        <v>66415</v>
      </c>
      <c r="J135" s="141">
        <f ca="1">IFERROR(__xludf.DUMMYFUNCTION("""COMPUTED_VALUE"""),6037.72727272727)</f>
        <v>6037.7272727272702</v>
      </c>
      <c r="K135" s="142">
        <f ca="1">IFERROR(__xludf.DUMMYFUNCTION("""COMPUTED_VALUE"""),4.42766666666666)</f>
        <v>4.42766666666666</v>
      </c>
      <c r="L135" s="143" t="str">
        <f ca="1"/>
        <v>Wiris Variasi</v>
      </c>
      <c r="M135" s="127"/>
      <c r="N135" s="127"/>
      <c r="O135" s="127"/>
      <c r="P135" s="127"/>
      <c r="Q135" s="127"/>
      <c r="R135" s="127"/>
      <c r="S135" s="127"/>
      <c r="T135" s="127"/>
      <c r="U135" s="127"/>
      <c r="V135" s="127"/>
      <c r="W135" s="127"/>
      <c r="X135" s="127"/>
      <c r="Y135" s="127"/>
      <c r="Z135" s="127"/>
      <c r="AA135" s="127"/>
    </row>
    <row r="136" spans="1:27">
      <c r="A136" s="127">
        <f ca="1">IFERROR(__xludf.DUMMYFUNCTION("""COMPUTED_VALUE"""),174904221976312)</f>
        <v>174904221976312</v>
      </c>
      <c r="B136" s="127" t="str">
        <f ca="1">IFERROR(__xludf.DUMMYFUNCTION("""COMPUTED_VALUE"""),"120228850834280694")</f>
        <v>120228850834280694</v>
      </c>
      <c r="C136" s="127" t="str">
        <f ca="1">IFERROR(__xludf.DUMMYFUNCTION("""COMPUTED_VALUE"""),"Marros Tour")</f>
        <v>Marros Tour</v>
      </c>
      <c r="D136" s="138" t="str">
        <f ca="1">IFERROR(__xludf.DUMMYFUNCTION("""COMPUTED_VALUE"""),"https://wa.me/6281223055720")</f>
        <v>https://wa.me/6281223055720</v>
      </c>
      <c r="E136" s="139" t="str">
        <f ca="1">IFERROR(__xludf.DUMMYFUNCTION("""COMPUTED_VALUE"""),"6281223055720")</f>
        <v>6281223055720</v>
      </c>
      <c r="F136" s="139">
        <f ca="1">IFERROR(__xludf.DUMMYFUNCTION("""COMPUTED_VALUE"""),15051)</f>
        <v>15051</v>
      </c>
      <c r="G136" s="139">
        <f ca="1">IFERROR(__xludf.DUMMYFUNCTION("""COMPUTED_VALUE"""),5441.8)</f>
        <v>5441.8</v>
      </c>
      <c r="H136" s="139">
        <f ca="1">IFERROR(__xludf.DUMMYFUNCTION("""COMPUTED_VALUE"""),0)</f>
        <v>0</v>
      </c>
      <c r="I136" s="140">
        <f ca="1">IFERROR(__xludf.DUMMYFUNCTION("""COMPUTED_VALUE"""),64964)</f>
        <v>64964</v>
      </c>
      <c r="J136" s="141"/>
      <c r="K136" s="142">
        <f ca="1">IFERROR(__xludf.DUMMYFUNCTION("""COMPUTED_VALUE"""),4.33093333333333)</f>
        <v>4.3309333333333297</v>
      </c>
      <c r="L136" s="143" t="str">
        <f ca="1"/>
        <v>Wiris Variasi</v>
      </c>
      <c r="M136" s="127"/>
      <c r="N136" s="127"/>
      <c r="O136" s="127"/>
      <c r="P136" s="127"/>
      <c r="Q136" s="127"/>
      <c r="R136" s="127"/>
      <c r="S136" s="127"/>
      <c r="T136" s="127"/>
      <c r="U136" s="127"/>
      <c r="V136" s="127"/>
      <c r="W136" s="127"/>
      <c r="X136" s="127"/>
      <c r="Y136" s="127"/>
      <c r="Z136" s="127"/>
      <c r="AA136" s="127"/>
    </row>
    <row r="137" spans="1:27">
      <c r="A137" s="127">
        <f ca="1">IFERROR(__xludf.DUMMYFUNCTION("""COMPUTED_VALUE"""),174904221976312)</f>
        <v>174904221976312</v>
      </c>
      <c r="B137" s="127" t="str">
        <f ca="1">IFERROR(__xludf.DUMMYFUNCTION("""COMPUTED_VALUE"""),"120228878146570694")</f>
        <v>120228878146570694</v>
      </c>
      <c r="C137" s="127" t="str">
        <f ca="1">IFERROR(__xludf.DUMMYFUNCTION("""COMPUTED_VALUE"""),"Wedding Organizer")</f>
        <v>Wedding Organizer</v>
      </c>
      <c r="D137" s="138" t="str">
        <f ca="1">IFERROR(__xludf.DUMMYFUNCTION("""COMPUTED_VALUE"""),"https://wa.me/628563562851")</f>
        <v>https://wa.me/628563562851</v>
      </c>
      <c r="E137" s="139" t="str">
        <f ca="1">IFERROR(__xludf.DUMMYFUNCTION("""COMPUTED_VALUE"""),"628563562851")</f>
        <v>628563562851</v>
      </c>
      <c r="F137" s="139">
        <f ca="1">IFERROR(__xludf.DUMMYFUNCTION("""COMPUTED_VALUE"""),1948)</f>
        <v>1948</v>
      </c>
      <c r="G137" s="139">
        <f ca="1">IFERROR(__xludf.DUMMYFUNCTION("""COMPUTED_VALUE"""),30825.4)</f>
        <v>30825.4</v>
      </c>
      <c r="H137" s="139">
        <f ca="1">IFERROR(__xludf.DUMMYFUNCTION("""COMPUTED_VALUE"""),15)</f>
        <v>15</v>
      </c>
      <c r="I137" s="140">
        <f ca="1">IFERROR(__xludf.DUMMYFUNCTION("""COMPUTED_VALUE"""),66717)</f>
        <v>66717</v>
      </c>
      <c r="J137" s="141">
        <f ca="1">IFERROR(__xludf.DUMMYFUNCTION("""COMPUTED_VALUE"""),4447.8)</f>
        <v>4447.8</v>
      </c>
      <c r="K137" s="142">
        <f ca="1">IFERROR(__xludf.DUMMYFUNCTION("""COMPUTED_VALUE"""),4.4478)</f>
        <v>4.4478</v>
      </c>
      <c r="L137" s="143" t="str">
        <f ca="1"/>
        <v>Wiris Variasi</v>
      </c>
      <c r="M137" s="127"/>
      <c r="N137" s="127"/>
      <c r="O137" s="127"/>
      <c r="P137" s="127"/>
      <c r="Q137" s="127"/>
      <c r="R137" s="127"/>
      <c r="S137" s="127"/>
      <c r="T137" s="127"/>
      <c r="U137" s="127"/>
      <c r="V137" s="127"/>
      <c r="W137" s="127"/>
      <c r="X137" s="127"/>
      <c r="Y137" s="127"/>
      <c r="Z137" s="127"/>
      <c r="AA137" s="127"/>
    </row>
    <row r="138" spans="1:27">
      <c r="A138" s="127">
        <f ca="1">IFERROR(__xludf.DUMMYFUNCTION("""COMPUTED_VALUE"""),174904221976312)</f>
        <v>174904221976312</v>
      </c>
      <c r="B138" s="127" t="str">
        <f ca="1">IFERROR(__xludf.DUMMYFUNCTION("""COMPUTED_VALUE"""),"120228878484580694")</f>
        <v>120228878484580694</v>
      </c>
      <c r="C138" s="127" t="str">
        <f ca="1">IFERROR(__xludf.DUMMYFUNCTION("""COMPUTED_VALUE"""),"Terapi Bekam")</f>
        <v>Terapi Bekam</v>
      </c>
      <c r="D138" s="138" t="str">
        <f ca="1">IFERROR(__xludf.DUMMYFUNCTION("""COMPUTED_VALUE"""),"https://wa.me/6282307376695")</f>
        <v>https://wa.me/6282307376695</v>
      </c>
      <c r="E138" s="139" t="str">
        <f ca="1">IFERROR(__xludf.DUMMYFUNCTION("""COMPUTED_VALUE"""),"6282307376695")</f>
        <v>6282307376695</v>
      </c>
      <c r="F138" s="139">
        <f ca="1">IFERROR(__xludf.DUMMYFUNCTION("""COMPUTED_VALUE"""),4984)</f>
        <v>4984</v>
      </c>
      <c r="G138" s="139">
        <f ca="1">IFERROR(__xludf.DUMMYFUNCTION("""COMPUTED_VALUE"""),11266.6)</f>
        <v>11266.6</v>
      </c>
      <c r="H138" s="139">
        <f ca="1">IFERROR(__xludf.DUMMYFUNCTION("""COMPUTED_VALUE"""),0)</f>
        <v>0</v>
      </c>
      <c r="I138" s="140">
        <f ca="1">IFERROR(__xludf.DUMMYFUNCTION("""COMPUTED_VALUE"""),67290)</f>
        <v>67290</v>
      </c>
      <c r="J138" s="141"/>
      <c r="K138" s="142">
        <f ca="1">IFERROR(__xludf.DUMMYFUNCTION("""COMPUTED_VALUE"""),4.486)</f>
        <v>4.4859999999999998</v>
      </c>
      <c r="L138" s="143" t="str">
        <f ca="1"/>
        <v>Wiris Variasi</v>
      </c>
      <c r="M138" s="127"/>
      <c r="N138" s="127"/>
      <c r="O138" s="127"/>
      <c r="P138" s="127"/>
      <c r="Q138" s="127"/>
      <c r="R138" s="127"/>
      <c r="S138" s="127"/>
      <c r="T138" s="127"/>
      <c r="U138" s="127"/>
      <c r="V138" s="127"/>
      <c r="W138" s="127"/>
      <c r="X138" s="127"/>
      <c r="Y138" s="127"/>
      <c r="Z138" s="127"/>
      <c r="AA138" s="127"/>
    </row>
    <row r="139" spans="1:27">
      <c r="A139" s="127">
        <f ca="1">IFERROR(__xludf.DUMMYFUNCTION("""COMPUTED_VALUE"""),174904221976312)</f>
        <v>174904221976312</v>
      </c>
      <c r="B139" s="127" t="str">
        <f ca="1">IFERROR(__xludf.DUMMYFUNCTION("""COMPUTED_VALUE"""),"120228878659740694")</f>
        <v>120228878659740694</v>
      </c>
      <c r="C139" s="127" t="str">
        <f ca="1">IFERROR(__xludf.DUMMYFUNCTION("""COMPUTED_VALUE"""),"Sumatra Jungle")</f>
        <v>Sumatra Jungle</v>
      </c>
      <c r="D139" s="138" t="str">
        <f ca="1">IFERROR(__xludf.DUMMYFUNCTION("""COMPUTED_VALUE"""),"https://wa.me/6283870060603")</f>
        <v>https://wa.me/6283870060603</v>
      </c>
      <c r="E139" s="139" t="str">
        <f ca="1">IFERROR(__xludf.DUMMYFUNCTION("""COMPUTED_VALUE"""),"6283870060603")</f>
        <v>6283870060603</v>
      </c>
      <c r="F139" s="139">
        <f ca="1">IFERROR(__xludf.DUMMYFUNCTION("""COMPUTED_VALUE"""),32782)</f>
        <v>32782</v>
      </c>
      <c r="G139" s="139">
        <f ca="1">IFERROR(__xludf.DUMMYFUNCTION("""COMPUTED_VALUE"""),4318.4)</f>
        <v>4318.3999999999996</v>
      </c>
      <c r="H139" s="139">
        <f ca="1">IFERROR(__xludf.DUMMYFUNCTION("""COMPUTED_VALUE"""),2)</f>
        <v>2</v>
      </c>
      <c r="I139" s="140">
        <f ca="1">IFERROR(__xludf.DUMMYFUNCTION("""COMPUTED_VALUE"""),127470)</f>
        <v>127470</v>
      </c>
      <c r="J139" s="141">
        <f ca="1">IFERROR(__xludf.DUMMYFUNCTION("""COMPUTED_VALUE"""),63735)</f>
        <v>63735</v>
      </c>
      <c r="K139" s="142">
        <f ca="1">IFERROR(__xludf.DUMMYFUNCTION("""COMPUTED_VALUE"""),8.498)</f>
        <v>8.4979999999999993</v>
      </c>
      <c r="L139" s="143" t="str">
        <f ca="1"/>
        <v>Wiris Variasi</v>
      </c>
      <c r="M139" s="127"/>
      <c r="N139" s="127"/>
      <c r="O139" s="127"/>
      <c r="P139" s="127"/>
      <c r="Q139" s="127"/>
      <c r="R139" s="127"/>
      <c r="S139" s="127"/>
      <c r="T139" s="127"/>
      <c r="U139" s="127"/>
      <c r="V139" s="127"/>
      <c r="W139" s="127"/>
      <c r="X139" s="127"/>
      <c r="Y139" s="127"/>
      <c r="Z139" s="127"/>
      <c r="AA139" s="127"/>
    </row>
    <row r="140" spans="1:27">
      <c r="A140" s="127">
        <f ca="1">IFERROR(__xludf.DUMMYFUNCTION("""COMPUTED_VALUE"""),174904221976312)</f>
        <v>174904221976312</v>
      </c>
      <c r="B140" s="127" t="str">
        <f ca="1">IFERROR(__xludf.DUMMYFUNCTION("""COMPUTED_VALUE"""),"120228878890380694")</f>
        <v>120228878890380694</v>
      </c>
      <c r="C140" s="127" t="str">
        <f ca="1">IFERROR(__xludf.DUMMYFUNCTION("""COMPUTED_VALUE"""),"Cv my")</f>
        <v>Cv my</v>
      </c>
      <c r="D140" s="138" t="str">
        <f ca="1">IFERROR(__xludf.DUMMYFUNCTION("""COMPUTED_VALUE"""),"https://wa.me/6281933176790")</f>
        <v>https://wa.me/6281933176790</v>
      </c>
      <c r="E140" s="139" t="str">
        <f ca="1">IFERROR(__xludf.DUMMYFUNCTION("""COMPUTED_VALUE"""),"6281933176790")</f>
        <v>6281933176790</v>
      </c>
      <c r="F140" s="139">
        <f ca="1">IFERROR(__xludf.DUMMYFUNCTION("""COMPUTED_VALUE"""),2932)</f>
        <v>2932</v>
      </c>
      <c r="G140" s="139">
        <f ca="1">IFERROR(__xludf.DUMMYFUNCTION("""COMPUTED_VALUE"""),35858.125)</f>
        <v>35858.125</v>
      </c>
      <c r="H140" s="139">
        <f ca="1">IFERROR(__xludf.DUMMYFUNCTION("""COMPUTED_VALUE"""),9)</f>
        <v>9</v>
      </c>
      <c r="I140" s="140">
        <f ca="1">IFERROR(__xludf.DUMMYFUNCTION("""COMPUTED_VALUE"""),110912)</f>
        <v>110912</v>
      </c>
      <c r="J140" s="141">
        <f ca="1">IFERROR(__xludf.DUMMYFUNCTION("""COMPUTED_VALUE"""),12323.5555555555)</f>
        <v>12323.5555555555</v>
      </c>
      <c r="K140" s="142">
        <f ca="1">IFERROR(__xludf.DUMMYFUNCTION("""COMPUTED_VALUE"""),7.39413333333333)</f>
        <v>7.3941333333333299</v>
      </c>
      <c r="L140" s="143" t="str">
        <f ca="1"/>
        <v>Wiris Variasi</v>
      </c>
      <c r="M140" s="127"/>
      <c r="N140" s="127"/>
      <c r="O140" s="127"/>
      <c r="P140" s="127"/>
      <c r="Q140" s="127"/>
      <c r="R140" s="127"/>
      <c r="S140" s="127"/>
      <c r="T140" s="127"/>
      <c r="U140" s="127"/>
      <c r="V140" s="127"/>
      <c r="W140" s="127"/>
      <c r="X140" s="127"/>
      <c r="Y140" s="127"/>
      <c r="Z140" s="127"/>
      <c r="AA140" s="127"/>
    </row>
    <row r="141" spans="1:27">
      <c r="A141" s="127">
        <f ca="1">IFERROR(__xludf.DUMMYFUNCTION("""COMPUTED_VALUE"""),174904221976312)</f>
        <v>174904221976312</v>
      </c>
      <c r="B141" s="127" t="str">
        <f ca="1">IFERROR(__xludf.DUMMYFUNCTION("""COMPUTED_VALUE"""),"120228880895420694")</f>
        <v>120228880895420694</v>
      </c>
      <c r="C141" s="127" t="str">
        <f ca="1">IFERROR(__xludf.DUMMYFUNCTION("""COMPUTED_VALUE"""),"POM MIGOR")</f>
        <v>POM MIGOR</v>
      </c>
      <c r="D141" s="138" t="str">
        <f ca="1">IFERROR(__xludf.DUMMYFUNCTION("""COMPUTED_VALUE"""),"https://wa.me/6285789446955")</f>
        <v>https://wa.me/6285789446955</v>
      </c>
      <c r="E141" s="139" t="str">
        <f ca="1">IFERROR(__xludf.DUMMYFUNCTION("""COMPUTED_VALUE"""),"6285789446955")</f>
        <v>6285789446955</v>
      </c>
      <c r="F141" s="139">
        <f ca="1">IFERROR(__xludf.DUMMYFUNCTION("""COMPUTED_VALUE"""),11896)</f>
        <v>11896</v>
      </c>
      <c r="G141" s="139">
        <f ca="1">IFERROR(__xludf.DUMMYFUNCTION("""COMPUTED_VALUE"""),15394.8)</f>
        <v>15394.8</v>
      </c>
      <c r="H141" s="139">
        <f ca="1">IFERROR(__xludf.DUMMYFUNCTION("""COMPUTED_VALUE"""),14)</f>
        <v>14</v>
      </c>
      <c r="I141" s="140">
        <f ca="1">IFERROR(__xludf.DUMMYFUNCTION("""COMPUTED_VALUE"""),213136)</f>
        <v>213136</v>
      </c>
      <c r="J141" s="141">
        <f ca="1">IFERROR(__xludf.DUMMYFUNCTION("""COMPUTED_VALUE"""),15224)</f>
        <v>15224</v>
      </c>
      <c r="K141" s="142">
        <f ca="1">IFERROR(__xludf.DUMMYFUNCTION("""COMPUTED_VALUE"""),14.2090666666666)</f>
        <v>14.209066666666599</v>
      </c>
      <c r="L141" s="143" t="str">
        <f ca="1"/>
        <v>Wiris Variasi</v>
      </c>
      <c r="M141" s="127"/>
      <c r="N141" s="127"/>
      <c r="O141" s="127"/>
      <c r="P141" s="127"/>
      <c r="Q141" s="127"/>
      <c r="R141" s="127"/>
      <c r="S141" s="127"/>
      <c r="T141" s="127"/>
      <c r="U141" s="127"/>
      <c r="V141" s="127"/>
      <c r="W141" s="127"/>
      <c r="X141" s="127"/>
      <c r="Y141" s="127"/>
      <c r="Z141" s="127"/>
      <c r="AA141" s="127"/>
    </row>
    <row r="142" spans="1:27">
      <c r="A142" s="127">
        <f ca="1">IFERROR(__xludf.DUMMYFUNCTION("""COMPUTED_VALUE"""),174904221976312)</f>
        <v>174904221976312</v>
      </c>
      <c r="B142" s="127" t="str">
        <f ca="1">IFERROR(__xludf.DUMMYFUNCTION("""COMPUTED_VALUE"""),"120228923411520694")</f>
        <v>120228923411520694</v>
      </c>
      <c r="C142" s="127" t="str">
        <f ca="1">IFERROR(__xludf.DUMMYFUNCTION("""COMPUTED_VALUE"""),"Bekam Syar'i")</f>
        <v>Bekam Syar'i</v>
      </c>
      <c r="D142" s="138" t="str">
        <f ca="1">IFERROR(__xludf.DUMMYFUNCTION("""COMPUTED_VALUE"""),"https://wa.me/6281252595912")</f>
        <v>https://wa.me/6281252595912</v>
      </c>
      <c r="E142" s="139" t="str">
        <f ca="1">IFERROR(__xludf.DUMMYFUNCTION("""COMPUTED_VALUE"""),"6281252595912")</f>
        <v>6281252595912</v>
      </c>
      <c r="F142" s="139">
        <f ca="1">IFERROR(__xludf.DUMMYFUNCTION("""COMPUTED_VALUE"""),7910)</f>
        <v>7910</v>
      </c>
      <c r="G142" s="139">
        <f ca="1">IFERROR(__xludf.DUMMYFUNCTION("""COMPUTED_VALUE"""),7410.2)</f>
        <v>7410.2</v>
      </c>
      <c r="H142" s="139">
        <f ca="1">IFERROR(__xludf.DUMMYFUNCTION("""COMPUTED_VALUE"""),23)</f>
        <v>23</v>
      </c>
      <c r="I142" s="140">
        <f ca="1">IFERROR(__xludf.DUMMYFUNCTION("""COMPUTED_VALUE"""),67071)</f>
        <v>67071</v>
      </c>
      <c r="J142" s="141">
        <f ca="1">IFERROR(__xludf.DUMMYFUNCTION("""COMPUTED_VALUE"""),2916.1304347826)</f>
        <v>2916.1304347825999</v>
      </c>
      <c r="K142" s="142">
        <f ca="1">IFERROR(__xludf.DUMMYFUNCTION("""COMPUTED_VALUE"""),4.4714)</f>
        <v>4.4714</v>
      </c>
      <c r="L142" s="143" t="str">
        <f ca="1"/>
        <v>Wiris Variasi</v>
      </c>
      <c r="M142" s="127"/>
      <c r="N142" s="127"/>
      <c r="O142" s="127"/>
      <c r="P142" s="127"/>
      <c r="Q142" s="127"/>
      <c r="R142" s="127"/>
      <c r="S142" s="127"/>
      <c r="T142" s="127"/>
      <c r="U142" s="127"/>
      <c r="V142" s="127"/>
      <c r="W142" s="127"/>
      <c r="X142" s="127"/>
      <c r="Y142" s="127"/>
      <c r="Z142" s="127"/>
      <c r="AA142" s="127"/>
    </row>
    <row r="143" spans="1:27">
      <c r="A143" s="127">
        <f ca="1">IFERROR(__xludf.DUMMYFUNCTION("""COMPUTED_VALUE"""),174904221976312)</f>
        <v>174904221976312</v>
      </c>
      <c r="B143" s="127" t="str">
        <f ca="1">IFERROR(__xludf.DUMMYFUNCTION("""COMPUTED_VALUE"""),"120228925862700694")</f>
        <v>120228925862700694</v>
      </c>
      <c r="C143" s="127" t="str">
        <f ca="1">IFERROR(__xludf.DUMMYFUNCTION("""COMPUTED_VALUE"""),"Ghadi Auto")</f>
        <v>Ghadi Auto</v>
      </c>
      <c r="D143" s="138" t="str">
        <f ca="1">IFERROR(__xludf.DUMMYFUNCTION("""COMPUTED_VALUE"""),"https://wa.me/6285268101557")</f>
        <v>https://wa.me/6285268101557</v>
      </c>
      <c r="E143" s="139" t="str">
        <f ca="1">IFERROR(__xludf.DUMMYFUNCTION("""COMPUTED_VALUE"""),"6285268101557")</f>
        <v>6285268101557</v>
      </c>
      <c r="F143" s="139">
        <f ca="1">IFERROR(__xludf.DUMMYFUNCTION("""COMPUTED_VALUE"""),9546)</f>
        <v>9546</v>
      </c>
      <c r="G143" s="139">
        <f ca="1">IFERROR(__xludf.DUMMYFUNCTION("""COMPUTED_VALUE"""),12711.4)</f>
        <v>12711.4</v>
      </c>
      <c r="H143" s="139">
        <f ca="1">IFERROR(__xludf.DUMMYFUNCTION("""COMPUTED_VALUE"""),17)</f>
        <v>17</v>
      </c>
      <c r="I143" s="140">
        <f ca="1">IFERROR(__xludf.DUMMYFUNCTION("""COMPUTED_VALUE"""),128804)</f>
        <v>128804</v>
      </c>
      <c r="J143" s="141">
        <f ca="1">IFERROR(__xludf.DUMMYFUNCTION("""COMPUTED_VALUE"""),7576.70588235294)</f>
        <v>7576.7058823529396</v>
      </c>
      <c r="K143" s="142">
        <f ca="1">IFERROR(__xludf.DUMMYFUNCTION("""COMPUTED_VALUE"""),8.58693333333333)</f>
        <v>8.5869333333333309</v>
      </c>
      <c r="L143" s="143" t="str">
        <f ca="1"/>
        <v>Wiris Variasi</v>
      </c>
      <c r="M143" s="127"/>
      <c r="N143" s="127"/>
      <c r="O143" s="127"/>
      <c r="P143" s="127"/>
      <c r="Q143" s="127"/>
      <c r="R143" s="127"/>
      <c r="S143" s="127"/>
      <c r="T143" s="127"/>
      <c r="U143" s="127"/>
      <c r="V143" s="127"/>
      <c r="W143" s="127"/>
      <c r="X143" s="127"/>
      <c r="Y143" s="127"/>
      <c r="Z143" s="127"/>
      <c r="AA143" s="127"/>
    </row>
    <row r="144" spans="1:27">
      <c r="A144" s="127">
        <f ca="1">IFERROR(__xludf.DUMMYFUNCTION("""COMPUTED_VALUE"""),174904221976312)</f>
        <v>174904221976312</v>
      </c>
      <c r="B144" s="127" t="str">
        <f ca="1">IFERROR(__xludf.DUMMYFUNCTION("""COMPUTED_VALUE"""),"120228926103550694")</f>
        <v>120228926103550694</v>
      </c>
      <c r="C144" s="127" t="str">
        <f ca="1">IFERROR(__xludf.DUMMYFUNCTION("""COMPUTED_VALUE"""),"Gemilang Gordyn")</f>
        <v>Gemilang Gordyn</v>
      </c>
      <c r="D144" s="138" t="str">
        <f ca="1">IFERROR(__xludf.DUMMYFUNCTION("""COMPUTED_VALUE"""),"https://wa.me/6283891332074")</f>
        <v>https://wa.me/6283891332074</v>
      </c>
      <c r="E144" s="139" t="str">
        <f ca="1">IFERROR(__xludf.DUMMYFUNCTION("""COMPUTED_VALUE"""),"6283891332074")</f>
        <v>6283891332074</v>
      </c>
      <c r="F144" s="139">
        <f ca="1">IFERROR(__xludf.DUMMYFUNCTION("""COMPUTED_VALUE"""),1561)</f>
        <v>1561</v>
      </c>
      <c r="G144" s="139">
        <f ca="1">IFERROR(__xludf.DUMMYFUNCTION("""COMPUTED_VALUE"""),43103.2)</f>
        <v>43103.199999999997</v>
      </c>
      <c r="H144" s="139">
        <f ca="1">IFERROR(__xludf.DUMMYFUNCTION("""COMPUTED_VALUE"""),3)</f>
        <v>3</v>
      </c>
      <c r="I144" s="140">
        <f ca="1">IFERROR(__xludf.DUMMYFUNCTION("""COMPUTED_VALUE"""),64796)</f>
        <v>64796</v>
      </c>
      <c r="J144" s="141">
        <f ca="1">IFERROR(__xludf.DUMMYFUNCTION("""COMPUTED_VALUE"""),21598.6666666666)</f>
        <v>21598.666666666599</v>
      </c>
      <c r="K144" s="142">
        <f ca="1">IFERROR(__xludf.DUMMYFUNCTION("""COMPUTED_VALUE"""),4.31973333333333)</f>
        <v>4.3197333333333301</v>
      </c>
      <c r="L144" s="143" t="str">
        <f ca="1"/>
        <v>Wiris Variasi</v>
      </c>
      <c r="M144" s="127"/>
      <c r="N144" s="127"/>
      <c r="O144" s="127"/>
      <c r="P144" s="127"/>
      <c r="Q144" s="127"/>
      <c r="R144" s="127"/>
      <c r="S144" s="127"/>
      <c r="T144" s="127"/>
      <c r="U144" s="127"/>
      <c r="V144" s="127"/>
      <c r="W144" s="127"/>
      <c r="X144" s="127"/>
      <c r="Y144" s="127"/>
      <c r="Z144" s="127"/>
      <c r="AA144" s="127"/>
    </row>
    <row r="145" spans="1:27">
      <c r="A145" s="127">
        <f ca="1">IFERROR(__xludf.DUMMYFUNCTION("""COMPUTED_VALUE"""),174904221976312)</f>
        <v>174904221976312</v>
      </c>
      <c r="B145" s="127" t="str">
        <f ca="1">IFERROR(__xludf.DUMMYFUNCTION("""COMPUTED_VALUE"""),"120228937956880694")</f>
        <v>120228937956880694</v>
      </c>
      <c r="C145" s="127" t="str">
        <f ca="1">IFERROR(__xludf.DUMMYFUNCTION("""COMPUTED_VALUE"""),"UI WEDDING")</f>
        <v>UI WEDDING</v>
      </c>
      <c r="D145" s="138" t="str">
        <f ca="1">IFERROR(__xludf.DUMMYFUNCTION("""COMPUTED_VALUE"""),"https://wa.me/6282128714101")</f>
        <v>https://wa.me/6282128714101</v>
      </c>
      <c r="E145" s="139" t="str">
        <f ca="1">IFERROR(__xludf.DUMMYFUNCTION("""COMPUTED_VALUE"""),"6282128714101")</f>
        <v>6282128714101</v>
      </c>
      <c r="F145" s="139">
        <f ca="1">IFERROR(__xludf.DUMMYFUNCTION("""COMPUTED_VALUE"""),2446)</f>
        <v>2446</v>
      </c>
      <c r="G145" s="139">
        <f ca="1">IFERROR(__xludf.DUMMYFUNCTION("""COMPUTED_VALUE"""),41188.7777777777)</f>
        <v>41188.777777777701</v>
      </c>
      <c r="H145" s="139">
        <f ca="1">IFERROR(__xludf.DUMMYFUNCTION("""COMPUTED_VALUE"""),12)</f>
        <v>12</v>
      </c>
      <c r="I145" s="140">
        <f ca="1">IFERROR(__xludf.DUMMYFUNCTION("""COMPUTED_VALUE"""),113649)</f>
        <v>113649</v>
      </c>
      <c r="J145" s="141">
        <f ca="1">IFERROR(__xludf.DUMMYFUNCTION("""COMPUTED_VALUE"""),9470.75)</f>
        <v>9470.75</v>
      </c>
      <c r="K145" s="142">
        <f ca="1">IFERROR(__xludf.DUMMYFUNCTION("""COMPUTED_VALUE"""),7.5766)</f>
        <v>7.5766</v>
      </c>
      <c r="L145" s="143" t="str">
        <f ca="1"/>
        <v>Wiris Variasi</v>
      </c>
      <c r="M145" s="127"/>
      <c r="N145" s="127"/>
      <c r="O145" s="127"/>
      <c r="P145" s="127"/>
      <c r="Q145" s="127"/>
      <c r="R145" s="127"/>
      <c r="S145" s="127"/>
      <c r="T145" s="127"/>
      <c r="U145" s="127"/>
      <c r="V145" s="127"/>
      <c r="W145" s="127"/>
      <c r="X145" s="127"/>
      <c r="Y145" s="127"/>
      <c r="Z145" s="127"/>
      <c r="AA145" s="127"/>
    </row>
    <row r="146" spans="1:27">
      <c r="A146" s="127">
        <f ca="1">IFERROR(__xludf.DUMMYFUNCTION("""COMPUTED_VALUE"""),174904221976312)</f>
        <v>174904221976312</v>
      </c>
      <c r="B146" s="127" t="str">
        <f ca="1">IFERROR(__xludf.DUMMYFUNCTION("""COMPUTED_VALUE"""),"120228944259850694")</f>
        <v>120228944259850694</v>
      </c>
      <c r="C146" s="127"/>
      <c r="D146" s="139"/>
      <c r="E146" s="139"/>
      <c r="F146" s="139">
        <f ca="1">IFERROR(__xludf.DUMMYFUNCTION("""COMPUTED_VALUE"""),1043)</f>
        <v>1043</v>
      </c>
      <c r="G146" s="139">
        <f ca="1">IFERROR(__xludf.DUMMYFUNCTION("""COMPUTED_VALUE"""),74447)</f>
        <v>74447</v>
      </c>
      <c r="H146" s="139">
        <f ca="1">IFERROR(__xludf.DUMMYFUNCTION("""COMPUTED_VALUE"""),0)</f>
        <v>0</v>
      </c>
      <c r="I146" s="140">
        <f ca="1">IFERROR(__xludf.DUMMYFUNCTION("""COMPUTED_VALUE"""),83753)</f>
        <v>83753</v>
      </c>
      <c r="J146" s="141"/>
      <c r="K146" s="142">
        <f ca="1">IFERROR(__xludf.DUMMYFUNCTION("""COMPUTED_VALUE"""),5.58353333333333)</f>
        <v>5.5835333333333299</v>
      </c>
      <c r="L146" s="127" t="str">
        <f ca="1"/>
        <v/>
      </c>
      <c r="M146" s="127"/>
      <c r="N146" s="127"/>
      <c r="O146" s="127"/>
      <c r="P146" s="127"/>
      <c r="Q146" s="127"/>
      <c r="R146" s="127"/>
      <c r="S146" s="127"/>
      <c r="T146" s="127"/>
      <c r="U146" s="127"/>
      <c r="V146" s="127"/>
      <c r="W146" s="127"/>
      <c r="X146" s="127"/>
      <c r="Y146" s="127"/>
      <c r="Z146" s="127"/>
      <c r="AA146" s="127"/>
    </row>
    <row r="147" spans="1:27">
      <c r="A147" s="127">
        <f ca="1">IFERROR(__xludf.DUMMYFUNCTION("""COMPUTED_VALUE"""),174904221976312)</f>
        <v>174904221976312</v>
      </c>
      <c r="B147" s="127" t="str">
        <f ca="1">IFERROR(__xludf.DUMMYFUNCTION("""COMPUTED_VALUE"""),"120228961494080694")</f>
        <v>120228961494080694</v>
      </c>
      <c r="C147" s="127" t="str">
        <f ca="1">IFERROR(__xludf.DUMMYFUNCTION("""COMPUTED_VALUE"""),"Cendekia Tiara")</f>
        <v>Cendekia Tiara</v>
      </c>
      <c r="D147" s="138" t="str">
        <f ca="1">IFERROR(__xludf.DUMMYFUNCTION("""COMPUTED_VALUE"""),"https://wa.me/6281215284044")</f>
        <v>https://wa.me/6281215284044</v>
      </c>
      <c r="E147" s="139" t="str">
        <f ca="1">IFERROR(__xludf.DUMMYFUNCTION("""COMPUTED_VALUE"""),"6281215284044")</f>
        <v>6281215284044</v>
      </c>
      <c r="F147" s="139">
        <f ca="1">IFERROR(__xludf.DUMMYFUNCTION("""COMPUTED_VALUE"""),1201)</f>
        <v>1201</v>
      </c>
      <c r="G147" s="139">
        <f ca="1">IFERROR(__xludf.DUMMYFUNCTION("""COMPUTED_VALUE"""),54399.8)</f>
        <v>54399.8</v>
      </c>
      <c r="H147" s="139">
        <f ca="1">IFERROR(__xludf.DUMMYFUNCTION("""COMPUTED_VALUE"""),4)</f>
        <v>4</v>
      </c>
      <c r="I147" s="140">
        <f ca="1">IFERROR(__xludf.DUMMYFUNCTION("""COMPUTED_VALUE"""),63841)</f>
        <v>63841</v>
      </c>
      <c r="J147" s="141">
        <f ca="1">IFERROR(__xludf.DUMMYFUNCTION("""COMPUTED_VALUE"""),15960.25)</f>
        <v>15960.25</v>
      </c>
      <c r="K147" s="142">
        <f ca="1">IFERROR(__xludf.DUMMYFUNCTION("""COMPUTED_VALUE"""),4.25606666666666)</f>
        <v>4.2560666666666602</v>
      </c>
      <c r="L147" s="143" t="str">
        <f ca="1"/>
        <v>Wiris Variasi</v>
      </c>
      <c r="M147" s="127"/>
      <c r="N147" s="127"/>
      <c r="O147" s="127"/>
      <c r="P147" s="127"/>
      <c r="Q147" s="127"/>
      <c r="R147" s="127"/>
      <c r="S147" s="127"/>
      <c r="T147" s="127"/>
      <c r="U147" s="127"/>
      <c r="V147" s="127"/>
      <c r="W147" s="127"/>
      <c r="X147" s="127"/>
      <c r="Y147" s="127"/>
      <c r="Z147" s="127"/>
      <c r="AA147" s="127"/>
    </row>
    <row r="148" spans="1:27">
      <c r="A148" s="127">
        <f ca="1">IFERROR(__xludf.DUMMYFUNCTION("""COMPUTED_VALUE"""),174904221976312)</f>
        <v>174904221976312</v>
      </c>
      <c r="B148" s="127" t="str">
        <f ca="1">IFERROR(__xludf.DUMMYFUNCTION("""COMPUTED_VALUE"""),"120228961524660694")</f>
        <v>120228961524660694</v>
      </c>
      <c r="C148" s="127" t="str">
        <f ca="1">IFERROR(__xludf.DUMMYFUNCTION("""COMPUTED_VALUE"""),"Cidahu Camping")</f>
        <v>Cidahu Camping</v>
      </c>
      <c r="D148" s="138" t="str">
        <f ca="1">IFERROR(__xludf.DUMMYFUNCTION("""COMPUTED_VALUE"""),"https://wa.me/6285773570295")</f>
        <v>https://wa.me/6285773570295</v>
      </c>
      <c r="E148" s="139" t="str">
        <f ca="1">IFERROR(__xludf.DUMMYFUNCTION("""COMPUTED_VALUE"""),"6285773570295")</f>
        <v>6285773570295</v>
      </c>
      <c r="F148" s="139">
        <f ca="1">IFERROR(__xludf.DUMMYFUNCTION("""COMPUTED_VALUE"""),4558)</f>
        <v>4558</v>
      </c>
      <c r="G148" s="139">
        <f ca="1">IFERROR(__xludf.DUMMYFUNCTION("""COMPUTED_VALUE"""),13759.4)</f>
        <v>13759.4</v>
      </c>
      <c r="H148" s="139">
        <f ca="1">IFERROR(__xludf.DUMMYFUNCTION("""COMPUTED_VALUE"""),112)</f>
        <v>112</v>
      </c>
      <c r="I148" s="140">
        <f ca="1">IFERROR(__xludf.DUMMYFUNCTION("""COMPUTED_VALUE"""),67559)</f>
        <v>67559</v>
      </c>
      <c r="J148" s="141">
        <f ca="1">IFERROR(__xludf.DUMMYFUNCTION("""COMPUTED_VALUE"""),603.205357142857)</f>
        <v>603.205357142857</v>
      </c>
      <c r="K148" s="142">
        <f ca="1">IFERROR(__xludf.DUMMYFUNCTION("""COMPUTED_VALUE"""),4.50393333333333)</f>
        <v>4.5039333333333298</v>
      </c>
      <c r="L148" s="143" t="str">
        <f ca="1"/>
        <v>Wiris Variasi</v>
      </c>
      <c r="M148" s="127"/>
      <c r="N148" s="127"/>
      <c r="O148" s="127"/>
      <c r="P148" s="127"/>
      <c r="Q148" s="127"/>
      <c r="R148" s="127"/>
      <c r="S148" s="127"/>
      <c r="T148" s="127"/>
      <c r="U148" s="127"/>
      <c r="V148" s="127"/>
      <c r="W148" s="127"/>
      <c r="X148" s="127"/>
      <c r="Y148" s="127"/>
      <c r="Z148" s="127"/>
      <c r="AA148" s="127"/>
    </row>
    <row r="149" spans="1:27">
      <c r="A149" s="127">
        <f ca="1">IFERROR(__xludf.DUMMYFUNCTION("""COMPUTED_VALUE"""),174904221976312)</f>
        <v>174904221976312</v>
      </c>
      <c r="B149" s="127" t="str">
        <f ca="1">IFERROR(__xludf.DUMMYFUNCTION("""COMPUTED_VALUE"""),"120228961595190694")</f>
        <v>120228961595190694</v>
      </c>
      <c r="C149" s="127" t="str">
        <f ca="1">IFERROR(__xludf.DUMMYFUNCTION("""COMPUTED_VALUE"""),"panti sehat")</f>
        <v>panti sehat</v>
      </c>
      <c r="D149" s="138" t="str">
        <f ca="1">IFERROR(__xludf.DUMMYFUNCTION("""COMPUTED_VALUE"""),"https://wa.me/6281999375257")</f>
        <v>https://wa.me/6281999375257</v>
      </c>
      <c r="E149" s="139" t="str">
        <f ca="1">IFERROR(__xludf.DUMMYFUNCTION("""COMPUTED_VALUE"""),"6281999375257")</f>
        <v>6281999375257</v>
      </c>
      <c r="F149" s="139">
        <f ca="1">IFERROR(__xludf.DUMMYFUNCTION("""COMPUTED_VALUE"""),6521)</f>
        <v>6521</v>
      </c>
      <c r="G149" s="139">
        <f ca="1">IFERROR(__xludf.DUMMYFUNCTION("""COMPUTED_VALUE"""),17590.2)</f>
        <v>17590.2</v>
      </c>
      <c r="H149" s="139">
        <f ca="1">IFERROR(__xludf.DUMMYFUNCTION("""COMPUTED_VALUE"""),10)</f>
        <v>10</v>
      </c>
      <c r="I149" s="140">
        <f ca="1">IFERROR(__xludf.DUMMYFUNCTION("""COMPUTED_VALUE"""),129966)</f>
        <v>129966</v>
      </c>
      <c r="J149" s="141">
        <f ca="1">IFERROR(__xludf.DUMMYFUNCTION("""COMPUTED_VALUE"""),12996.6)</f>
        <v>12996.6</v>
      </c>
      <c r="K149" s="142">
        <f ca="1">IFERROR(__xludf.DUMMYFUNCTION("""COMPUTED_VALUE"""),8.6644)</f>
        <v>8.6644000000000005</v>
      </c>
      <c r="L149" s="143" t="str">
        <f ca="1"/>
        <v>Wiris Variasi</v>
      </c>
      <c r="M149" s="127"/>
      <c r="N149" s="127"/>
      <c r="O149" s="127"/>
      <c r="P149" s="127"/>
      <c r="Q149" s="127"/>
      <c r="R149" s="127"/>
      <c r="S149" s="127"/>
      <c r="T149" s="127"/>
      <c r="U149" s="127"/>
      <c r="V149" s="127"/>
      <c r="W149" s="127"/>
      <c r="X149" s="127"/>
      <c r="Y149" s="127"/>
      <c r="Z149" s="127"/>
      <c r="AA149" s="127"/>
    </row>
    <row r="150" spans="1:27">
      <c r="A150" s="127">
        <f ca="1">IFERROR(__xludf.DUMMYFUNCTION("""COMPUTED_VALUE"""),174904221976312)</f>
        <v>174904221976312</v>
      </c>
      <c r="B150" s="127" t="str">
        <f ca="1">IFERROR(__xludf.DUMMYFUNCTION("""COMPUTED_VALUE"""),"120229015032510694")</f>
        <v>120229015032510694</v>
      </c>
      <c r="C150" s="127" t="str">
        <f ca="1">IFERROR(__xludf.DUMMYFUNCTION("""COMPUTED_VALUE"""),"Griya Sehat")</f>
        <v>Griya Sehat</v>
      </c>
      <c r="D150" s="138" t="str">
        <f ca="1">IFERROR(__xludf.DUMMYFUNCTION("""COMPUTED_VALUE"""),"https://wa.me/6285741977776")</f>
        <v>https://wa.me/6285741977776</v>
      </c>
      <c r="E150" s="139" t="str">
        <f ca="1">IFERROR(__xludf.DUMMYFUNCTION("""COMPUTED_VALUE"""),"6285741977776")</f>
        <v>6285741977776</v>
      </c>
      <c r="F150" s="139">
        <f ca="1">IFERROR(__xludf.DUMMYFUNCTION("""COMPUTED_VALUE"""),1197)</f>
        <v>1197</v>
      </c>
      <c r="G150" s="139">
        <f ca="1">IFERROR(__xludf.DUMMYFUNCTION("""COMPUTED_VALUE"""),46143)</f>
        <v>46143</v>
      </c>
      <c r="H150" s="139">
        <f ca="1">IFERROR(__xludf.DUMMYFUNCTION("""COMPUTED_VALUE"""),28)</f>
        <v>28</v>
      </c>
      <c r="I150" s="140">
        <f ca="1">IFERROR(__xludf.DUMMYFUNCTION("""COMPUTED_VALUE"""),68306)</f>
        <v>68306</v>
      </c>
      <c r="J150" s="141">
        <f ca="1">IFERROR(__xludf.DUMMYFUNCTION("""COMPUTED_VALUE"""),2439.5)</f>
        <v>2439.5</v>
      </c>
      <c r="K150" s="142">
        <f ca="1">IFERROR(__xludf.DUMMYFUNCTION("""COMPUTED_VALUE"""),4.55373333333333)</f>
        <v>4.5537333333333301</v>
      </c>
      <c r="L150" s="143" t="str">
        <f ca="1"/>
        <v>Wiris Variasi</v>
      </c>
      <c r="M150" s="127"/>
      <c r="N150" s="127"/>
      <c r="O150" s="127"/>
      <c r="P150" s="127"/>
      <c r="Q150" s="127"/>
      <c r="R150" s="127"/>
      <c r="S150" s="127"/>
      <c r="T150" s="127"/>
      <c r="U150" s="127"/>
      <c r="V150" s="127"/>
      <c r="W150" s="127"/>
      <c r="X150" s="127"/>
      <c r="Y150" s="127"/>
      <c r="Z150" s="127"/>
      <c r="AA150" s="127"/>
    </row>
    <row r="151" spans="1:27">
      <c r="A151" s="127">
        <f ca="1">IFERROR(__xludf.DUMMYFUNCTION("""COMPUTED_VALUE"""),174904221976312)</f>
        <v>174904221976312</v>
      </c>
      <c r="B151" s="127" t="str">
        <f ca="1">IFERROR(__xludf.DUMMYFUNCTION("""COMPUTED_VALUE"""),"120229015252810694")</f>
        <v>120229015252810694</v>
      </c>
      <c r="C151" s="127" t="str">
        <f ca="1">IFERROR(__xludf.DUMMYFUNCTION("""COMPUTED_VALUE"""),"HZ Teknik")</f>
        <v>HZ Teknik</v>
      </c>
      <c r="D151" s="138" t="str">
        <f ca="1">IFERROR(__xludf.DUMMYFUNCTION("""COMPUTED_VALUE"""),"https://wa.me/6282123039124")</f>
        <v>https://wa.me/6282123039124</v>
      </c>
      <c r="E151" s="139" t="str">
        <f ca="1">IFERROR(__xludf.DUMMYFUNCTION("""COMPUTED_VALUE"""),"6282123039124")</f>
        <v>6282123039124</v>
      </c>
      <c r="F151" s="139">
        <f ca="1">IFERROR(__xludf.DUMMYFUNCTION("""COMPUTED_VALUE"""),3945)</f>
        <v>3945</v>
      </c>
      <c r="G151" s="139">
        <f ca="1">IFERROR(__xludf.DUMMYFUNCTION("""COMPUTED_VALUE"""),15459.6)</f>
        <v>15459.6</v>
      </c>
      <c r="H151" s="139">
        <f ca="1">IFERROR(__xludf.DUMMYFUNCTION("""COMPUTED_VALUE"""),6)</f>
        <v>6</v>
      </c>
      <c r="I151" s="140">
        <f ca="1">IFERROR(__xludf.DUMMYFUNCTION("""COMPUTED_VALUE"""),69047)</f>
        <v>69047</v>
      </c>
      <c r="J151" s="141">
        <f ca="1">IFERROR(__xludf.DUMMYFUNCTION("""COMPUTED_VALUE"""),11507.8333333333)</f>
        <v>11507.833333333299</v>
      </c>
      <c r="K151" s="142">
        <f ca="1">IFERROR(__xludf.DUMMYFUNCTION("""COMPUTED_VALUE"""),4.60313333333333)</f>
        <v>4.6031333333333304</v>
      </c>
      <c r="L151" s="143" t="str">
        <f ca="1"/>
        <v>Wiris Variasi</v>
      </c>
      <c r="M151" s="127"/>
      <c r="N151" s="127"/>
      <c r="O151" s="127"/>
      <c r="P151" s="127"/>
      <c r="Q151" s="127"/>
      <c r="R151" s="127"/>
      <c r="S151" s="127"/>
      <c r="T151" s="127"/>
      <c r="U151" s="127"/>
      <c r="V151" s="127"/>
      <c r="W151" s="127"/>
      <c r="X151" s="127"/>
      <c r="Y151" s="127"/>
      <c r="Z151" s="127"/>
      <c r="AA151" s="127"/>
    </row>
    <row r="152" spans="1:27">
      <c r="A152" s="127">
        <f ca="1">IFERROR(__xludf.DUMMYFUNCTION("""COMPUTED_VALUE"""),174904221976312)</f>
        <v>174904221976312</v>
      </c>
      <c r="B152" s="127" t="str">
        <f ca="1">IFERROR(__xludf.DUMMYFUNCTION("""COMPUTED_VALUE"""),"120229015330400694")</f>
        <v>120229015330400694</v>
      </c>
      <c r="C152" s="127" t="str">
        <f ca="1">IFERROR(__xludf.DUMMYFUNCTION("""COMPUTED_VALUE"""),"Terapi Jalur")</f>
        <v>Terapi Jalur</v>
      </c>
      <c r="D152" s="138" t="str">
        <f ca="1">IFERROR(__xludf.DUMMYFUNCTION("""COMPUTED_VALUE"""),"https://wa.me/6283131677011")</f>
        <v>https://wa.me/6283131677011</v>
      </c>
      <c r="E152" s="139" t="str">
        <f ca="1">IFERROR(__xludf.DUMMYFUNCTION("""COMPUTED_VALUE"""),"6283131677011")</f>
        <v>6283131677011</v>
      </c>
      <c r="F152" s="139">
        <f ca="1">IFERROR(__xludf.DUMMYFUNCTION("""COMPUTED_VALUE"""),3401)</f>
        <v>3401</v>
      </c>
      <c r="G152" s="139">
        <f ca="1">IFERROR(__xludf.DUMMYFUNCTION("""COMPUTED_VALUE"""),16801.8)</f>
        <v>16801.8</v>
      </c>
      <c r="H152" s="139">
        <f ca="1">IFERROR(__xludf.DUMMYFUNCTION("""COMPUTED_VALUE"""),17)</f>
        <v>17</v>
      </c>
      <c r="I152" s="140">
        <f ca="1">IFERROR(__xludf.DUMMYFUNCTION("""COMPUTED_VALUE"""),65580)</f>
        <v>65580</v>
      </c>
      <c r="J152" s="141">
        <f ca="1">IFERROR(__xludf.DUMMYFUNCTION("""COMPUTED_VALUE"""),3857.64705882352)</f>
        <v>3857.6470588235202</v>
      </c>
      <c r="K152" s="142">
        <f ca="1">IFERROR(__xludf.DUMMYFUNCTION("""COMPUTED_VALUE"""),4.372)</f>
        <v>4.3719999999999999</v>
      </c>
      <c r="L152" s="143" t="str">
        <f ca="1"/>
        <v>Wiris Variasi</v>
      </c>
      <c r="M152" s="127"/>
      <c r="N152" s="127"/>
      <c r="O152" s="127"/>
      <c r="P152" s="127"/>
      <c r="Q152" s="127"/>
      <c r="R152" s="127"/>
      <c r="S152" s="127"/>
      <c r="T152" s="127"/>
      <c r="U152" s="127"/>
      <c r="V152" s="127"/>
      <c r="W152" s="127"/>
      <c r="X152" s="127"/>
      <c r="Y152" s="127"/>
      <c r="Z152" s="127"/>
      <c r="AA152" s="127"/>
    </row>
    <row r="153" spans="1:27">
      <c r="A153" s="127">
        <f ca="1">IFERROR(__xludf.DUMMYFUNCTION("""COMPUTED_VALUE"""),174904221976312)</f>
        <v>174904221976312</v>
      </c>
      <c r="B153" s="127" t="str">
        <f ca="1">IFERROR(__xludf.DUMMYFUNCTION("""COMPUTED_VALUE"""),"120229015403650694")</f>
        <v>120229015403650694</v>
      </c>
      <c r="C153" s="127" t="str">
        <f ca="1">IFERROR(__xludf.DUMMYFUNCTION("""COMPUTED_VALUE"""),"Pijat Sehat")</f>
        <v>Pijat Sehat</v>
      </c>
      <c r="D153" s="138" t="str">
        <f ca="1">IFERROR(__xludf.DUMMYFUNCTION("""COMPUTED_VALUE"""),"https://wa.me/6281219329853")</f>
        <v>https://wa.me/6281219329853</v>
      </c>
      <c r="E153" s="139" t="str">
        <f ca="1">IFERROR(__xludf.DUMMYFUNCTION("""COMPUTED_VALUE"""),"6281219329853")</f>
        <v>6281219329853</v>
      </c>
      <c r="F153" s="139">
        <f ca="1">IFERROR(__xludf.DUMMYFUNCTION("""COMPUTED_VALUE"""),4721)</f>
        <v>4721</v>
      </c>
      <c r="G153" s="139">
        <f ca="1">IFERROR(__xludf.DUMMYFUNCTION("""COMPUTED_VALUE"""),22974.2)</f>
        <v>22974.2</v>
      </c>
      <c r="H153" s="139">
        <f ca="1">IFERROR(__xludf.DUMMYFUNCTION("""COMPUTED_VALUE"""),22)</f>
        <v>22</v>
      </c>
      <c r="I153" s="140">
        <f ca="1">IFERROR(__xludf.DUMMYFUNCTION("""COMPUTED_VALUE"""),125609)</f>
        <v>125609</v>
      </c>
      <c r="J153" s="141">
        <f ca="1">IFERROR(__xludf.DUMMYFUNCTION("""COMPUTED_VALUE"""),5709.5)</f>
        <v>5709.5</v>
      </c>
      <c r="K153" s="142">
        <f ca="1">IFERROR(__xludf.DUMMYFUNCTION("""COMPUTED_VALUE"""),8.37393333333333)</f>
        <v>8.3739333333333299</v>
      </c>
      <c r="L153" s="143" t="str">
        <f ca="1"/>
        <v>Wiris Variasi</v>
      </c>
      <c r="M153" s="127"/>
      <c r="N153" s="127"/>
      <c r="O153" s="127"/>
      <c r="P153" s="127"/>
      <c r="Q153" s="127"/>
      <c r="R153" s="127"/>
      <c r="S153" s="127"/>
      <c r="T153" s="127"/>
      <c r="U153" s="127"/>
      <c r="V153" s="127"/>
      <c r="W153" s="127"/>
      <c r="X153" s="127"/>
      <c r="Y153" s="127"/>
      <c r="Z153" s="127"/>
      <c r="AA153" s="127"/>
    </row>
    <row r="154" spans="1:27">
      <c r="A154" s="127">
        <f ca="1">IFERROR(__xludf.DUMMYFUNCTION("""COMPUTED_VALUE"""),174904221976312)</f>
        <v>174904221976312</v>
      </c>
      <c r="B154" s="127" t="str">
        <f ca="1">IFERROR(__xludf.DUMMYFUNCTION("""COMPUTED_VALUE"""),"120229015913570694")</f>
        <v>120229015913570694</v>
      </c>
      <c r="C154" s="127" t="str">
        <f ca="1">IFERROR(__xludf.DUMMYFUNCTION("""COMPUTED_VALUE"""),"Tanjung Transport")</f>
        <v>Tanjung Transport</v>
      </c>
      <c r="D154" s="138" t="str">
        <f ca="1">IFERROR(__xludf.DUMMYFUNCTION("""COMPUTED_VALUE"""),"https://wa.me/6287762707927")</f>
        <v>https://wa.me/6287762707927</v>
      </c>
      <c r="E154" s="139" t="str">
        <f ca="1">IFERROR(__xludf.DUMMYFUNCTION("""COMPUTED_VALUE"""),"6287762707927")</f>
        <v>6287762707927</v>
      </c>
      <c r="F154" s="139">
        <f ca="1">IFERROR(__xludf.DUMMYFUNCTION("""COMPUTED_VALUE"""),2108)</f>
        <v>2108</v>
      </c>
      <c r="G154" s="139">
        <f ca="1">IFERROR(__xludf.DUMMYFUNCTION("""COMPUTED_VALUE"""),28600.2)</f>
        <v>28600.2</v>
      </c>
      <c r="H154" s="139">
        <f ca="1">IFERROR(__xludf.DUMMYFUNCTION("""COMPUTED_VALUE"""),15)</f>
        <v>15</v>
      </c>
      <c r="I154" s="140">
        <f ca="1">IFERROR(__xludf.DUMMYFUNCTION("""COMPUTED_VALUE"""),65068)</f>
        <v>65068</v>
      </c>
      <c r="J154" s="141">
        <f ca="1">IFERROR(__xludf.DUMMYFUNCTION("""COMPUTED_VALUE"""),4337.86666666666)</f>
        <v>4337.8666666666604</v>
      </c>
      <c r="K154" s="142">
        <f ca="1">IFERROR(__xludf.DUMMYFUNCTION("""COMPUTED_VALUE"""),4.33786666666666)</f>
        <v>4.3378666666666597</v>
      </c>
      <c r="L154" s="143" t="str">
        <f ca="1"/>
        <v>Wiris Variasi</v>
      </c>
      <c r="M154" s="127"/>
      <c r="N154" s="127"/>
      <c r="O154" s="127"/>
      <c r="P154" s="127"/>
      <c r="Q154" s="127"/>
      <c r="R154" s="127"/>
      <c r="S154" s="127"/>
      <c r="T154" s="127"/>
      <c r="U154" s="127"/>
      <c r="V154" s="127"/>
      <c r="W154" s="127"/>
      <c r="X154" s="127"/>
      <c r="Y154" s="127"/>
      <c r="Z154" s="127"/>
      <c r="AA154" s="127"/>
    </row>
    <row r="155" spans="1:27">
      <c r="A155" s="127">
        <f ca="1">IFERROR(__xludf.DUMMYFUNCTION("""COMPUTED_VALUE"""),174904221976312)</f>
        <v>174904221976312</v>
      </c>
      <c r="B155" s="127" t="str">
        <f ca="1">IFERROR(__xludf.DUMMYFUNCTION("""COMPUTED_VALUE"""),"120229016020190694")</f>
        <v>120229016020190694</v>
      </c>
      <c r="C155" s="127" t="str">
        <f ca="1">IFERROR(__xludf.DUMMYFUNCTION("""COMPUTED_VALUE"""),"HM VIP")</f>
        <v>HM VIP</v>
      </c>
      <c r="D155" s="138" t="str">
        <f ca="1">IFERROR(__xludf.DUMMYFUNCTION("""COMPUTED_VALUE"""),"https://wa.me/6281225745133")</f>
        <v>https://wa.me/6281225745133</v>
      </c>
      <c r="E155" s="139" t="str">
        <f ca="1">IFERROR(__xludf.DUMMYFUNCTION("""COMPUTED_VALUE"""),"6281225745133")</f>
        <v>6281225745133</v>
      </c>
      <c r="F155" s="139">
        <f ca="1">IFERROR(__xludf.DUMMYFUNCTION("""COMPUTED_VALUE"""),3502)</f>
        <v>3502</v>
      </c>
      <c r="G155" s="139">
        <f ca="1">IFERROR(__xludf.DUMMYFUNCTION("""COMPUTED_VALUE"""),47256.3846153846)</f>
        <v>47256.384615384603</v>
      </c>
      <c r="H155" s="139">
        <f ca="1">IFERROR(__xludf.DUMMYFUNCTION("""COMPUTED_VALUE"""),22)</f>
        <v>22</v>
      </c>
      <c r="I155" s="140">
        <f ca="1">IFERROR(__xludf.DUMMYFUNCTION("""COMPUTED_VALUE"""),175497)</f>
        <v>175497</v>
      </c>
      <c r="J155" s="141">
        <f ca="1">IFERROR(__xludf.DUMMYFUNCTION("""COMPUTED_VALUE"""),7977.13636363636)</f>
        <v>7977.1363636363603</v>
      </c>
      <c r="K155" s="142">
        <f ca="1">IFERROR(__xludf.DUMMYFUNCTION("""COMPUTED_VALUE"""),11.6998)</f>
        <v>11.6998</v>
      </c>
      <c r="L155" s="143" t="str">
        <f ca="1"/>
        <v>Wiris Variasi</v>
      </c>
      <c r="M155" s="127"/>
      <c r="N155" s="127"/>
      <c r="O155" s="127"/>
      <c r="P155" s="127"/>
      <c r="Q155" s="127"/>
      <c r="R155" s="127"/>
      <c r="S155" s="127"/>
      <c r="T155" s="127"/>
      <c r="U155" s="127"/>
      <c r="V155" s="127"/>
      <c r="W155" s="127"/>
      <c r="X155" s="127"/>
      <c r="Y155" s="127"/>
      <c r="Z155" s="127"/>
      <c r="AA155" s="127"/>
    </row>
    <row r="156" spans="1:27">
      <c r="A156" s="127">
        <f ca="1">IFERROR(__xludf.DUMMYFUNCTION("""COMPUTED_VALUE"""),174904221976312)</f>
        <v>174904221976312</v>
      </c>
      <c r="B156" s="127" t="str">
        <f ca="1">IFERROR(__xludf.DUMMYFUNCTION("""COMPUTED_VALUE"""),"120229016148350694")</f>
        <v>120229016148350694</v>
      </c>
      <c r="C156" s="127" t="str">
        <f ca="1">IFERROR(__xludf.DUMMYFUNCTION("""COMPUTED_VALUE"""),"CV ATN")</f>
        <v>CV ATN</v>
      </c>
      <c r="D156" s="138" t="str">
        <f ca="1">IFERROR(__xludf.DUMMYFUNCTION("""COMPUTED_VALUE"""),"https://wa.me/6282169354443")</f>
        <v>https://wa.me/6282169354443</v>
      </c>
      <c r="E156" s="139" t="str">
        <f ca="1">IFERROR(__xludf.DUMMYFUNCTION("""COMPUTED_VALUE"""),"6282169354443")</f>
        <v>6282169354443</v>
      </c>
      <c r="F156" s="139">
        <f ca="1">IFERROR(__xludf.DUMMYFUNCTION("""COMPUTED_VALUE"""),7564)</f>
        <v>7564</v>
      </c>
      <c r="G156" s="139">
        <f ca="1">IFERROR(__xludf.DUMMYFUNCTION("""COMPUTED_VALUE"""),8546.8)</f>
        <v>8546.7999999999993</v>
      </c>
      <c r="H156" s="139">
        <f ca="1">IFERROR(__xludf.DUMMYFUNCTION("""COMPUTED_VALUE"""),14)</f>
        <v>14</v>
      </c>
      <c r="I156" s="140">
        <f ca="1">IFERROR(__xludf.DUMMYFUNCTION("""COMPUTED_VALUE"""),66887)</f>
        <v>66887</v>
      </c>
      <c r="J156" s="141">
        <f ca="1">IFERROR(__xludf.DUMMYFUNCTION("""COMPUTED_VALUE"""),4777.64285714285)</f>
        <v>4777.6428571428496</v>
      </c>
      <c r="K156" s="142">
        <f ca="1">IFERROR(__xludf.DUMMYFUNCTION("""COMPUTED_VALUE"""),4.45913333333333)</f>
        <v>4.4591333333333303</v>
      </c>
      <c r="L156" s="143" t="str">
        <f ca="1"/>
        <v>Wiris Variasi</v>
      </c>
      <c r="M156" s="127"/>
      <c r="N156" s="127"/>
      <c r="O156" s="127"/>
      <c r="P156" s="127"/>
      <c r="Q156" s="127"/>
      <c r="R156" s="127"/>
      <c r="S156" s="127"/>
      <c r="T156" s="127"/>
      <c r="U156" s="127"/>
      <c r="V156" s="127"/>
      <c r="W156" s="127"/>
      <c r="X156" s="127"/>
      <c r="Y156" s="127"/>
      <c r="Z156" s="127"/>
      <c r="AA156" s="127"/>
    </row>
    <row r="157" spans="1:27">
      <c r="A157" s="127">
        <f ca="1">IFERROR(__xludf.DUMMYFUNCTION("""COMPUTED_VALUE"""),174904221976312)</f>
        <v>174904221976312</v>
      </c>
      <c r="B157" s="127" t="str">
        <f ca="1">IFERROR(__xludf.DUMMYFUNCTION("""COMPUTED_VALUE"""),"120229016256900694")</f>
        <v>120229016256900694</v>
      </c>
      <c r="C157" s="127" t="str">
        <f ca="1">IFERROR(__xludf.DUMMYFUNCTION("""COMPUTED_VALUE"""),"Herbal Mantun")</f>
        <v>Herbal Mantun</v>
      </c>
      <c r="D157" s="138" t="str">
        <f ca="1">IFERROR(__xludf.DUMMYFUNCTION("""COMPUTED_VALUE"""),"https://wa.me/62816904358")</f>
        <v>https://wa.me/62816904358</v>
      </c>
      <c r="E157" s="139" t="str">
        <f ca="1">IFERROR(__xludf.DUMMYFUNCTION("""COMPUTED_VALUE"""),"62816904358")</f>
        <v>62816904358</v>
      </c>
      <c r="F157" s="139">
        <f ca="1">IFERROR(__xludf.DUMMYFUNCTION("""COMPUTED_VALUE"""),10071)</f>
        <v>10071</v>
      </c>
      <c r="G157" s="139">
        <f ca="1">IFERROR(__xludf.DUMMYFUNCTION("""COMPUTED_VALUE"""),33949.4666666666)</f>
        <v>33949.466666666602</v>
      </c>
      <c r="H157" s="139">
        <f ca="1">IFERROR(__xludf.DUMMYFUNCTION("""COMPUTED_VALUE"""),66)</f>
        <v>66</v>
      </c>
      <c r="I157" s="140">
        <f ca="1">IFERROR(__xludf.DUMMYFUNCTION("""COMPUTED_VALUE"""),394658)</f>
        <v>394658</v>
      </c>
      <c r="J157" s="141">
        <f ca="1">IFERROR(__xludf.DUMMYFUNCTION("""COMPUTED_VALUE"""),5979.66666666666)</f>
        <v>5979.6666666666597</v>
      </c>
      <c r="K157" s="142">
        <f ca="1">IFERROR(__xludf.DUMMYFUNCTION("""COMPUTED_VALUE"""),26.3105333333333)</f>
        <v>26.3105333333333</v>
      </c>
      <c r="L157" s="143" t="str">
        <f ca="1"/>
        <v>Wiris Variasi</v>
      </c>
      <c r="M157" s="127"/>
      <c r="N157" s="127"/>
      <c r="O157" s="127"/>
      <c r="P157" s="127"/>
      <c r="Q157" s="127"/>
      <c r="R157" s="127"/>
      <c r="S157" s="127"/>
      <c r="T157" s="127"/>
      <c r="U157" s="127"/>
      <c r="V157" s="127"/>
      <c r="W157" s="127"/>
      <c r="X157" s="127"/>
      <c r="Y157" s="127"/>
      <c r="Z157" s="127"/>
      <c r="AA157" s="127"/>
    </row>
    <row r="158" spans="1:27">
      <c r="A158" s="127">
        <f ca="1">IFERROR(__xludf.DUMMYFUNCTION("""COMPUTED_VALUE"""),174904221976312)</f>
        <v>174904221976312</v>
      </c>
      <c r="B158" s="127" t="str">
        <f ca="1">IFERROR(__xludf.DUMMYFUNCTION("""COMPUTED_VALUE"""),"120229064636490694")</f>
        <v>120229064636490694</v>
      </c>
      <c r="C158" s="127" t="str">
        <f ca="1">IFERROR(__xludf.DUMMYFUNCTION("""COMPUTED_VALUE"""),"FANILA PIZZA")</f>
        <v>FANILA PIZZA</v>
      </c>
      <c r="D158" s="138" t="str">
        <f ca="1">IFERROR(__xludf.DUMMYFUNCTION("""COMPUTED_VALUE"""),"https://wa.me/6282197248722")</f>
        <v>https://wa.me/6282197248722</v>
      </c>
      <c r="E158" s="139" t="str">
        <f ca="1">IFERROR(__xludf.DUMMYFUNCTION("""COMPUTED_VALUE"""),"6282197248722")</f>
        <v>6282197248722</v>
      </c>
      <c r="F158" s="139">
        <f ca="1">IFERROR(__xludf.DUMMYFUNCTION("""COMPUTED_VALUE"""),6363)</f>
        <v>6363</v>
      </c>
      <c r="G158" s="139">
        <f ca="1">IFERROR(__xludf.DUMMYFUNCTION("""COMPUTED_VALUE"""),19649)</f>
        <v>19649</v>
      </c>
      <c r="H158" s="139">
        <f ca="1">IFERROR(__xludf.DUMMYFUNCTION("""COMPUTED_VALUE"""),57)</f>
        <v>57</v>
      </c>
      <c r="I158" s="140">
        <f ca="1">IFERROR(__xludf.DUMMYFUNCTION("""COMPUTED_VALUE"""),140295)</f>
        <v>140295</v>
      </c>
      <c r="J158" s="141">
        <f ca="1">IFERROR(__xludf.DUMMYFUNCTION("""COMPUTED_VALUE"""),2461.31578947368)</f>
        <v>2461.3157894736801</v>
      </c>
      <c r="K158" s="142">
        <f ca="1">IFERROR(__xludf.DUMMYFUNCTION("""COMPUTED_VALUE"""),9.353)</f>
        <v>9.3529999999999998</v>
      </c>
      <c r="L158" s="143" t="str">
        <f ca="1"/>
        <v>Wiris Variasi</v>
      </c>
      <c r="M158" s="127"/>
      <c r="N158" s="127"/>
      <c r="O158" s="127"/>
      <c r="P158" s="127"/>
      <c r="Q158" s="127"/>
      <c r="R158" s="127"/>
      <c r="S158" s="127"/>
      <c r="T158" s="127"/>
      <c r="U158" s="127"/>
      <c r="V158" s="127"/>
      <c r="W158" s="127"/>
      <c r="X158" s="127"/>
      <c r="Y158" s="127"/>
      <c r="Z158" s="127"/>
      <c r="AA158" s="127"/>
    </row>
    <row r="159" spans="1:27">
      <c r="A159" s="127">
        <f ca="1">IFERROR(__xludf.DUMMYFUNCTION("""COMPUTED_VALUE"""),174904221976312)</f>
        <v>174904221976312</v>
      </c>
      <c r="B159" s="127" t="str">
        <f ca="1">IFERROR(__xludf.DUMMYFUNCTION("""COMPUTED_VALUE"""),"120229065114710694")</f>
        <v>120229065114710694</v>
      </c>
      <c r="C159" s="127" t="str">
        <f ca="1">IFERROR(__xludf.DUMMYFUNCTION("""COMPUTED_VALUE"""),"EFB COURSE")</f>
        <v>EFB COURSE</v>
      </c>
      <c r="D159" s="138" t="str">
        <f ca="1">IFERROR(__xludf.DUMMYFUNCTION("""COMPUTED_VALUE"""),"https://wa.me/6285234005559")</f>
        <v>https://wa.me/6285234005559</v>
      </c>
      <c r="E159" s="139" t="str">
        <f ca="1">IFERROR(__xludf.DUMMYFUNCTION("""COMPUTED_VALUE"""),"6285234005559")</f>
        <v>6285234005559</v>
      </c>
      <c r="F159" s="139">
        <f ca="1">IFERROR(__xludf.DUMMYFUNCTION("""COMPUTED_VALUE"""),4850)</f>
        <v>4850</v>
      </c>
      <c r="G159" s="139">
        <f ca="1">IFERROR(__xludf.DUMMYFUNCTION("""COMPUTED_VALUE"""),12235.2)</f>
        <v>12235.2</v>
      </c>
      <c r="H159" s="139">
        <f ca="1">IFERROR(__xludf.DUMMYFUNCTION("""COMPUTED_VALUE"""),5)</f>
        <v>5</v>
      </c>
      <c r="I159" s="140">
        <f ca="1">IFERROR(__xludf.DUMMYFUNCTION("""COMPUTED_VALUE"""),67411)</f>
        <v>67411</v>
      </c>
      <c r="J159" s="141">
        <f ca="1">IFERROR(__xludf.DUMMYFUNCTION("""COMPUTED_VALUE"""),13482.2)</f>
        <v>13482.2</v>
      </c>
      <c r="K159" s="142">
        <f ca="1">IFERROR(__xludf.DUMMYFUNCTION("""COMPUTED_VALUE"""),4.49406666666666)</f>
        <v>4.4940666666666598</v>
      </c>
      <c r="L159" s="143" t="str">
        <f ca="1"/>
        <v>Wiris Variasi</v>
      </c>
      <c r="M159" s="127"/>
      <c r="N159" s="127"/>
      <c r="O159" s="127"/>
      <c r="P159" s="127"/>
      <c r="Q159" s="127"/>
      <c r="R159" s="127"/>
      <c r="S159" s="127"/>
      <c r="T159" s="127"/>
      <c r="U159" s="127"/>
      <c r="V159" s="127"/>
      <c r="W159" s="127"/>
      <c r="X159" s="127"/>
      <c r="Y159" s="127"/>
      <c r="Z159" s="127"/>
      <c r="AA159" s="127"/>
    </row>
    <row r="160" spans="1:27">
      <c r="A160" s="127">
        <f ca="1">IFERROR(__xludf.DUMMYFUNCTION("""COMPUTED_VALUE"""),174904221976312)</f>
        <v>174904221976312</v>
      </c>
      <c r="B160" s="127" t="str">
        <f ca="1">IFERROR(__xludf.DUMMYFUNCTION("""COMPUTED_VALUE"""),"120229068427860694")</f>
        <v>120229068427860694</v>
      </c>
      <c r="C160" s="127" t="str">
        <f ca="1">IFERROR(__xludf.DUMMYFUNCTION("""COMPUTED_VALUE"""),"Addy Therapy")</f>
        <v>Addy Therapy</v>
      </c>
      <c r="D160" s="138" t="str">
        <f ca="1">IFERROR(__xludf.DUMMYFUNCTION("""COMPUTED_VALUE"""),"https://wa.me/6289524188028")</f>
        <v>https://wa.me/6289524188028</v>
      </c>
      <c r="E160" s="139" t="str">
        <f ca="1">IFERROR(__xludf.DUMMYFUNCTION("""COMPUTED_VALUE"""),"6289524188028")</f>
        <v>6289524188028</v>
      </c>
      <c r="F160" s="139">
        <f ca="1">IFERROR(__xludf.DUMMYFUNCTION("""COMPUTED_VALUE"""),4098)</f>
        <v>4098</v>
      </c>
      <c r="G160" s="139">
        <f ca="1">IFERROR(__xludf.DUMMYFUNCTION("""COMPUTED_VALUE"""),13455)</f>
        <v>13455</v>
      </c>
      <c r="H160" s="139">
        <f ca="1">IFERROR(__xludf.DUMMYFUNCTION("""COMPUTED_VALUE"""),33)</f>
        <v>33</v>
      </c>
      <c r="I160" s="140">
        <f ca="1">IFERROR(__xludf.DUMMYFUNCTION("""COMPUTED_VALUE"""),66298)</f>
        <v>66298</v>
      </c>
      <c r="J160" s="141">
        <f ca="1">IFERROR(__xludf.DUMMYFUNCTION("""COMPUTED_VALUE"""),2009.0303030303)</f>
        <v>2009.0303030303</v>
      </c>
      <c r="K160" s="142">
        <f ca="1">IFERROR(__xludf.DUMMYFUNCTION("""COMPUTED_VALUE"""),4.41986666666666)</f>
        <v>4.4198666666666604</v>
      </c>
      <c r="L160" s="143" t="str">
        <f ca="1"/>
        <v>Wiris Variasi</v>
      </c>
      <c r="M160" s="127"/>
      <c r="N160" s="127"/>
      <c r="O160" s="127"/>
      <c r="P160" s="127"/>
      <c r="Q160" s="127"/>
      <c r="R160" s="127"/>
      <c r="S160" s="127"/>
      <c r="T160" s="127"/>
      <c r="U160" s="127"/>
      <c r="V160" s="127"/>
      <c r="W160" s="127"/>
      <c r="X160" s="127"/>
      <c r="Y160" s="127"/>
      <c r="Z160" s="127"/>
      <c r="AA160" s="127"/>
    </row>
    <row r="161" spans="1:27">
      <c r="A161" s="127">
        <f ca="1">IFERROR(__xludf.DUMMYFUNCTION("""COMPUTED_VALUE"""),174904221976312)</f>
        <v>174904221976312</v>
      </c>
      <c r="B161" s="127" t="str">
        <f ca="1">IFERROR(__xludf.DUMMYFUNCTION("""COMPUTED_VALUE"""),"120229069355830694")</f>
        <v>120229069355830694</v>
      </c>
      <c r="C161" s="127" t="str">
        <f ca="1">IFERROR(__xludf.DUMMYFUNCTION("""COMPUTED_VALUE"""),"Penyehat Tradisional")</f>
        <v>Penyehat Tradisional</v>
      </c>
      <c r="D161" s="138" t="str">
        <f ca="1">IFERROR(__xludf.DUMMYFUNCTION("""COMPUTED_VALUE"""),"https://wa.me/6285657238556")</f>
        <v>https://wa.me/6285657238556</v>
      </c>
      <c r="E161" s="139" t="str">
        <f ca="1">IFERROR(__xludf.DUMMYFUNCTION("""COMPUTED_VALUE"""),"6285657238556")</f>
        <v>6285657238556</v>
      </c>
      <c r="F161" s="139">
        <f ca="1">IFERROR(__xludf.DUMMYFUNCTION("""COMPUTED_VALUE"""),3410)</f>
        <v>3410</v>
      </c>
      <c r="G161" s="139">
        <f ca="1">IFERROR(__xludf.DUMMYFUNCTION("""COMPUTED_VALUE"""),16821.4)</f>
        <v>16821.400000000001</v>
      </c>
      <c r="H161" s="139">
        <f ca="1">IFERROR(__xludf.DUMMYFUNCTION("""COMPUTED_VALUE"""),23)</f>
        <v>23</v>
      </c>
      <c r="I161" s="140">
        <f ca="1">IFERROR(__xludf.DUMMYFUNCTION("""COMPUTED_VALUE"""),68457)</f>
        <v>68457</v>
      </c>
      <c r="J161" s="141">
        <f ca="1">IFERROR(__xludf.DUMMYFUNCTION("""COMPUTED_VALUE"""),2976.39130434782)</f>
        <v>2976.3913043478201</v>
      </c>
      <c r="K161" s="142">
        <f ca="1">IFERROR(__xludf.DUMMYFUNCTION("""COMPUTED_VALUE"""),4.5638)</f>
        <v>4.5637999999999996</v>
      </c>
      <c r="L161" s="143" t="str">
        <f ca="1"/>
        <v>Wiris Variasi</v>
      </c>
      <c r="M161" s="127"/>
      <c r="N161" s="127"/>
      <c r="O161" s="127"/>
      <c r="P161" s="127"/>
      <c r="Q161" s="127"/>
      <c r="R161" s="127"/>
      <c r="S161" s="127"/>
      <c r="T161" s="127"/>
      <c r="U161" s="127"/>
      <c r="V161" s="127"/>
      <c r="W161" s="127"/>
      <c r="X161" s="127"/>
      <c r="Y161" s="127"/>
      <c r="Z161" s="127"/>
      <c r="AA161" s="127"/>
    </row>
    <row r="162" spans="1:27">
      <c r="A162" s="127">
        <f ca="1">IFERROR(__xludf.DUMMYFUNCTION("""COMPUTED_VALUE"""),174904221976312)</f>
        <v>174904221976312</v>
      </c>
      <c r="B162" s="127" t="str">
        <f ca="1">IFERROR(__xludf.DUMMYFUNCTION("""COMPUTED_VALUE"""),"120229070072380694")</f>
        <v>120229070072380694</v>
      </c>
      <c r="C162" s="127" t="str">
        <f ca="1">IFERROR(__xludf.DUMMYFUNCTION("""COMPUTED_VALUE"""),"Pena Tour")</f>
        <v>Pena Tour</v>
      </c>
      <c r="D162" s="138" t="str">
        <f ca="1">IFERROR(__xludf.DUMMYFUNCTION("""COMPUTED_VALUE"""),"https://wa.me/6285267044893")</f>
        <v>https://wa.me/6285267044893</v>
      </c>
      <c r="E162" s="139" t="str">
        <f ca="1">IFERROR(__xludf.DUMMYFUNCTION("""COMPUTED_VALUE"""),"6285267044893")</f>
        <v>6285267044893</v>
      </c>
      <c r="F162" s="139">
        <f ca="1">IFERROR(__xludf.DUMMYFUNCTION("""COMPUTED_VALUE"""),1850)</f>
        <v>1850</v>
      </c>
      <c r="G162" s="139">
        <f ca="1">IFERROR(__xludf.DUMMYFUNCTION("""COMPUTED_VALUE"""),35666.4)</f>
        <v>35666.400000000001</v>
      </c>
      <c r="H162" s="139">
        <f ca="1">IFERROR(__xludf.DUMMYFUNCTION("""COMPUTED_VALUE"""),7)</f>
        <v>7</v>
      </c>
      <c r="I162" s="140">
        <f ca="1">IFERROR(__xludf.DUMMYFUNCTION("""COMPUTED_VALUE"""),67273)</f>
        <v>67273</v>
      </c>
      <c r="J162" s="141">
        <f ca="1">IFERROR(__xludf.DUMMYFUNCTION("""COMPUTED_VALUE"""),9610.42857142857)</f>
        <v>9610.4285714285706</v>
      </c>
      <c r="K162" s="142">
        <f ca="1">IFERROR(__xludf.DUMMYFUNCTION("""COMPUTED_VALUE"""),4.48486666666666)</f>
        <v>4.4848666666666599</v>
      </c>
      <c r="L162" s="143" t="str">
        <f ca="1"/>
        <v>Wiris Variasi</v>
      </c>
      <c r="M162" s="127"/>
      <c r="N162" s="127"/>
      <c r="O162" s="127"/>
      <c r="P162" s="127"/>
      <c r="Q162" s="127"/>
      <c r="R162" s="127"/>
      <c r="S162" s="127"/>
      <c r="T162" s="127"/>
      <c r="U162" s="127"/>
      <c r="V162" s="127"/>
      <c r="W162" s="127"/>
      <c r="X162" s="127"/>
      <c r="Y162" s="127"/>
      <c r="Z162" s="127"/>
      <c r="AA162" s="127"/>
    </row>
    <row r="163" spans="1:27">
      <c r="A163" s="127">
        <f ca="1">IFERROR(__xludf.DUMMYFUNCTION("""COMPUTED_VALUE"""),174904221976312)</f>
        <v>174904221976312</v>
      </c>
      <c r="B163" s="127" t="str">
        <f ca="1">IFERROR(__xludf.DUMMYFUNCTION("""COMPUTED_VALUE"""),"120229070573230694")</f>
        <v>120229070573230694</v>
      </c>
      <c r="C163" s="127" t="str">
        <f ca="1">IFERROR(__xludf.DUMMYFUNCTION("""COMPUTED_VALUE"""),"Rumah Ruqyah")</f>
        <v>Rumah Ruqyah</v>
      </c>
      <c r="D163" s="138" t="str">
        <f ca="1">IFERROR(__xludf.DUMMYFUNCTION("""COMPUTED_VALUE"""),"https://wa.me/6285645050058")</f>
        <v>https://wa.me/6285645050058</v>
      </c>
      <c r="E163" s="139" t="str">
        <f ca="1">IFERROR(__xludf.DUMMYFUNCTION("""COMPUTED_VALUE"""),"6285645050058")</f>
        <v>6285645050058</v>
      </c>
      <c r="F163" s="139">
        <f ca="1">IFERROR(__xludf.DUMMYFUNCTION("""COMPUTED_VALUE"""),13003)</f>
        <v>13003</v>
      </c>
      <c r="G163" s="139">
        <f ca="1">IFERROR(__xludf.DUMMYFUNCTION("""COMPUTED_VALUE"""),12287)</f>
        <v>12287</v>
      </c>
      <c r="H163" s="139">
        <f ca="1">IFERROR(__xludf.DUMMYFUNCTION("""COMPUTED_VALUE"""),41)</f>
        <v>41</v>
      </c>
      <c r="I163" s="140">
        <f ca="1">IFERROR(__xludf.DUMMYFUNCTION("""COMPUTED_VALUE"""),195567)</f>
        <v>195567</v>
      </c>
      <c r="J163" s="141">
        <f ca="1">IFERROR(__xludf.DUMMYFUNCTION("""COMPUTED_VALUE"""),4769.92682926829)</f>
        <v>4769.92682926829</v>
      </c>
      <c r="K163" s="142">
        <f ca="1">IFERROR(__xludf.DUMMYFUNCTION("""COMPUTED_VALUE"""),13.0378)</f>
        <v>13.037800000000001</v>
      </c>
      <c r="L163" s="143" t="str">
        <f ca="1"/>
        <v>Wiris Variasi</v>
      </c>
      <c r="M163" s="127"/>
      <c r="N163" s="127"/>
      <c r="O163" s="127"/>
      <c r="P163" s="127"/>
      <c r="Q163" s="127"/>
      <c r="R163" s="127"/>
      <c r="S163" s="127"/>
      <c r="T163" s="127"/>
      <c r="U163" s="127"/>
      <c r="V163" s="127"/>
      <c r="W163" s="127"/>
      <c r="X163" s="127"/>
      <c r="Y163" s="127"/>
      <c r="Z163" s="127"/>
      <c r="AA163" s="127"/>
    </row>
    <row r="164" spans="1:27">
      <c r="A164" s="127">
        <f ca="1">IFERROR(__xludf.DUMMYFUNCTION("""COMPUTED_VALUE"""),174904221976312)</f>
        <v>174904221976312</v>
      </c>
      <c r="B164" s="127" t="str">
        <f ca="1">IFERROR(__xludf.DUMMYFUNCTION("""COMPUTED_VALUE"""),"120229127805640694")</f>
        <v>120229127805640694</v>
      </c>
      <c r="C164" s="127" t="str">
        <f ca="1">IFERROR(__xludf.DUMMYFUNCTION("""COMPUTED_VALUE"""),"Penyehat Tradisional")</f>
        <v>Penyehat Tradisional</v>
      </c>
      <c r="D164" s="138" t="str">
        <f ca="1">IFERROR(__xludf.DUMMYFUNCTION("""COMPUTED_VALUE"""),"https://wa.me/6285657238556")</f>
        <v>https://wa.me/6285657238556</v>
      </c>
      <c r="E164" s="139" t="str">
        <f ca="1">IFERROR(__xludf.DUMMYFUNCTION("""COMPUTED_VALUE"""),"6285657238556")</f>
        <v>6285657238556</v>
      </c>
      <c r="F164" s="139">
        <f ca="1">IFERROR(__xludf.DUMMYFUNCTION("""COMPUTED_VALUE"""),5030)</f>
        <v>5030</v>
      </c>
      <c r="G164" s="139">
        <f ca="1">IFERROR(__xludf.DUMMYFUNCTION("""COMPUTED_VALUE"""),26958.2727272727)</f>
        <v>26958.272727272699</v>
      </c>
      <c r="H164" s="139">
        <f ca="1">IFERROR(__xludf.DUMMYFUNCTION("""COMPUTED_VALUE"""),41)</f>
        <v>41</v>
      </c>
      <c r="I164" s="140">
        <f ca="1">IFERROR(__xludf.DUMMYFUNCTION("""COMPUTED_VALUE"""),148461)</f>
        <v>148461</v>
      </c>
      <c r="J164" s="141">
        <f ca="1">IFERROR(__xludf.DUMMYFUNCTION("""COMPUTED_VALUE"""),3621)</f>
        <v>3621</v>
      </c>
      <c r="K164" s="142">
        <f ca="1">IFERROR(__xludf.DUMMYFUNCTION("""COMPUTED_VALUE"""),9.8974)</f>
        <v>9.8973999999999993</v>
      </c>
      <c r="L164" s="143" t="str">
        <f ca="1"/>
        <v>Wiris Variasi</v>
      </c>
      <c r="M164" s="127"/>
      <c r="N164" s="127"/>
      <c r="O164" s="127"/>
      <c r="P164" s="127"/>
      <c r="Q164" s="127"/>
      <c r="R164" s="127"/>
      <c r="S164" s="127"/>
      <c r="T164" s="127"/>
      <c r="U164" s="127"/>
      <c r="V164" s="127"/>
      <c r="W164" s="127"/>
      <c r="X164" s="127"/>
      <c r="Y164" s="127"/>
      <c r="Z164" s="127"/>
      <c r="AA164" s="127"/>
    </row>
    <row r="165" spans="1:27">
      <c r="A165" s="127">
        <f ca="1">IFERROR(__xludf.DUMMYFUNCTION("""COMPUTED_VALUE"""),174904221976312)</f>
        <v>174904221976312</v>
      </c>
      <c r="B165" s="127" t="str">
        <f ca="1">IFERROR(__xludf.DUMMYFUNCTION("""COMPUTED_VALUE"""),"120229129775820694")</f>
        <v>120229129775820694</v>
      </c>
      <c r="C165" s="127" t="str">
        <f ca="1">IFERROR(__xludf.DUMMYFUNCTION("""COMPUTED_VALUE"""),"BLACK BALI")</f>
        <v>BLACK BALI</v>
      </c>
      <c r="D165" s="138" t="str">
        <f ca="1">IFERROR(__xludf.DUMMYFUNCTION("""COMPUTED_VALUE"""),"https://wa.me/6282133271189")</f>
        <v>https://wa.me/6282133271189</v>
      </c>
      <c r="E165" s="139" t="str">
        <f ca="1">IFERROR(__xludf.DUMMYFUNCTION("""COMPUTED_VALUE"""),"6282133271189")</f>
        <v>6282133271189</v>
      </c>
      <c r="F165" s="139">
        <f ca="1">IFERROR(__xludf.DUMMYFUNCTION("""COMPUTED_VALUE"""),283)</f>
        <v>283</v>
      </c>
      <c r="G165" s="139">
        <f ca="1">IFERROR(__xludf.DUMMYFUNCTION("""COMPUTED_VALUE"""),347286.571428571)</f>
        <v>347286.57142857101</v>
      </c>
      <c r="H165" s="139">
        <f ca="1">IFERROR(__xludf.DUMMYFUNCTION("""COMPUTED_VALUE"""),0)</f>
        <v>0</v>
      </c>
      <c r="I165" s="140">
        <f ca="1">IFERROR(__xludf.DUMMYFUNCTION("""COMPUTED_VALUE"""),105510)</f>
        <v>105510</v>
      </c>
      <c r="J165" s="141"/>
      <c r="K165" s="142">
        <f ca="1">IFERROR(__xludf.DUMMYFUNCTION("""COMPUTED_VALUE"""),7.034)</f>
        <v>7.0339999999999998</v>
      </c>
      <c r="L165" s="143" t="str">
        <f ca="1"/>
        <v>Wiris Variasi</v>
      </c>
      <c r="M165" s="127"/>
      <c r="N165" s="127"/>
      <c r="O165" s="127"/>
      <c r="P165" s="127"/>
      <c r="Q165" s="127"/>
      <c r="R165" s="127"/>
      <c r="S165" s="127"/>
      <c r="T165" s="127"/>
      <c r="U165" s="127"/>
      <c r="V165" s="127"/>
      <c r="W165" s="127"/>
      <c r="X165" s="127"/>
      <c r="Y165" s="127"/>
      <c r="Z165" s="127"/>
      <c r="AA165" s="127"/>
    </row>
    <row r="166" spans="1:27">
      <c r="A166" s="127">
        <f ca="1">IFERROR(__xludf.DUMMYFUNCTION("""COMPUTED_VALUE"""),174904221976312)</f>
        <v>174904221976312</v>
      </c>
      <c r="B166" s="127" t="str">
        <f ca="1">IFERROR(__xludf.DUMMYFUNCTION("""COMPUTED_VALUE"""),"120229130184660694")</f>
        <v>120229130184660694</v>
      </c>
      <c r="C166" s="127" t="str">
        <f ca="1">IFERROR(__xludf.DUMMYFUNCTION("""COMPUTED_VALUE"""),"Terapi modern")</f>
        <v>Terapi modern</v>
      </c>
      <c r="D166" s="138" t="str">
        <f ca="1">IFERROR(__xludf.DUMMYFUNCTION("""COMPUTED_VALUE"""),"https://wa.me/6289607006888")</f>
        <v>https://wa.me/6289607006888</v>
      </c>
      <c r="E166" s="139" t="str">
        <f ca="1">IFERROR(__xludf.DUMMYFUNCTION("""COMPUTED_VALUE"""),"6289607006888")</f>
        <v>6289607006888</v>
      </c>
      <c r="F166" s="139">
        <f ca="1">IFERROR(__xludf.DUMMYFUNCTION("""COMPUTED_VALUE"""),1497)</f>
        <v>1497</v>
      </c>
      <c r="G166" s="139">
        <f ca="1">IFERROR(__xludf.DUMMYFUNCTION("""COMPUTED_VALUE"""),38228.2)</f>
        <v>38228.199999999997</v>
      </c>
      <c r="H166" s="139">
        <f ca="1">IFERROR(__xludf.DUMMYFUNCTION("""COMPUTED_VALUE"""),7)</f>
        <v>7</v>
      </c>
      <c r="I166" s="140">
        <f ca="1">IFERROR(__xludf.DUMMYFUNCTION("""COMPUTED_VALUE"""),63240)</f>
        <v>63240</v>
      </c>
      <c r="J166" s="141">
        <f ca="1">IFERROR(__xludf.DUMMYFUNCTION("""COMPUTED_VALUE"""),9034.28571428571)</f>
        <v>9034.2857142857101</v>
      </c>
      <c r="K166" s="142">
        <f ca="1">IFERROR(__xludf.DUMMYFUNCTION("""COMPUTED_VALUE"""),4.216)</f>
        <v>4.2160000000000002</v>
      </c>
      <c r="L166" s="143" t="str">
        <f ca="1"/>
        <v>Wiris Variasi</v>
      </c>
      <c r="M166" s="127"/>
      <c r="N166" s="127"/>
      <c r="O166" s="127"/>
      <c r="P166" s="127"/>
      <c r="Q166" s="127"/>
      <c r="R166" s="127"/>
      <c r="S166" s="127"/>
      <c r="T166" s="127"/>
      <c r="U166" s="127"/>
      <c r="V166" s="127"/>
      <c r="W166" s="127"/>
      <c r="X166" s="127"/>
      <c r="Y166" s="127"/>
      <c r="Z166" s="127"/>
      <c r="AA166" s="127"/>
    </row>
    <row r="167" spans="1:27">
      <c r="A167" s="127">
        <f ca="1">IFERROR(__xludf.DUMMYFUNCTION("""COMPUTED_VALUE"""),174904221976312)</f>
        <v>174904221976312</v>
      </c>
      <c r="B167" s="127" t="str">
        <f ca="1">IFERROR(__xludf.DUMMYFUNCTION("""COMPUTED_VALUE"""),"120229187562570694")</f>
        <v>120229187562570694</v>
      </c>
      <c r="C167" s="127" t="str">
        <f ca="1">IFERROR(__xludf.DUMMYFUNCTION("""COMPUTED_VALUE"""),"PERCUTIAN BANDUNG")</f>
        <v>PERCUTIAN BANDUNG</v>
      </c>
      <c r="D167" s="138" t="str">
        <f ca="1">IFERROR(__xludf.DUMMYFUNCTION("""COMPUTED_VALUE"""),"https://wa.me/6285186697099")</f>
        <v>https://wa.me/6285186697099</v>
      </c>
      <c r="E167" s="139" t="str">
        <f ca="1">IFERROR(__xludf.DUMMYFUNCTION("""COMPUTED_VALUE"""),"6285186697099")</f>
        <v>6285186697099</v>
      </c>
      <c r="F167" s="139">
        <f ca="1">IFERROR(__xludf.DUMMYFUNCTION("""COMPUTED_VALUE"""),1258)</f>
        <v>1258</v>
      </c>
      <c r="G167" s="139">
        <f ca="1">IFERROR(__xludf.DUMMYFUNCTION("""COMPUTED_VALUE"""),90204.3333333333)</f>
        <v>90204.333333333299</v>
      </c>
      <c r="H167" s="139">
        <f ca="1">IFERROR(__xludf.DUMMYFUNCTION("""COMPUTED_VALUE"""),9)</f>
        <v>9</v>
      </c>
      <c r="I167" s="140">
        <f ca="1">IFERROR(__xludf.DUMMYFUNCTION("""COMPUTED_VALUE"""),120334)</f>
        <v>120334</v>
      </c>
      <c r="J167" s="141">
        <f ca="1">IFERROR(__xludf.DUMMYFUNCTION("""COMPUTED_VALUE"""),13370.4444444444)</f>
        <v>13370.4444444444</v>
      </c>
      <c r="K167" s="142">
        <f ca="1">IFERROR(__xludf.DUMMYFUNCTION("""COMPUTED_VALUE"""),8.02226666666666)</f>
        <v>8.0222666666666598</v>
      </c>
      <c r="L167" s="143" t="str">
        <f ca="1"/>
        <v>Wiris Variasi</v>
      </c>
      <c r="M167" s="127"/>
      <c r="N167" s="127"/>
      <c r="O167" s="127"/>
      <c r="P167" s="127"/>
      <c r="Q167" s="127"/>
      <c r="R167" s="127"/>
      <c r="S167" s="127"/>
      <c r="T167" s="127"/>
      <c r="U167" s="127"/>
      <c r="V167" s="127"/>
      <c r="W167" s="127"/>
      <c r="X167" s="127"/>
      <c r="Y167" s="127"/>
      <c r="Z167" s="127"/>
      <c r="AA167" s="127"/>
    </row>
    <row r="168" spans="1:27">
      <c r="A168" s="127">
        <f ca="1">IFERROR(__xludf.DUMMYFUNCTION("""COMPUTED_VALUE"""),174904221976312)</f>
        <v>174904221976312</v>
      </c>
      <c r="B168" s="127" t="str">
        <f ca="1">IFERROR(__xludf.DUMMYFUNCTION("""COMPUTED_VALUE"""),"120229188144990694")</f>
        <v>120229188144990694</v>
      </c>
      <c r="C168" s="127" t="str">
        <f ca="1">IFERROR(__xludf.DUMMYFUNCTION("""COMPUTED_VALUE"""),"In Fashion")</f>
        <v>In Fashion</v>
      </c>
      <c r="D168" s="138" t="str">
        <f ca="1">IFERROR(__xludf.DUMMYFUNCTION("""COMPUTED_VALUE"""),"https://wa.me/6285397990632")</f>
        <v>https://wa.me/6285397990632</v>
      </c>
      <c r="E168" s="139" t="str">
        <f ca="1">IFERROR(__xludf.DUMMYFUNCTION("""COMPUTED_VALUE"""),"6285397990632")</f>
        <v>6285397990632</v>
      </c>
      <c r="F168" s="139">
        <f ca="1">IFERROR(__xludf.DUMMYFUNCTION("""COMPUTED_VALUE"""),4105)</f>
        <v>4105</v>
      </c>
      <c r="G168" s="139">
        <f ca="1">IFERROR(__xludf.DUMMYFUNCTION("""COMPUTED_VALUE"""),14125.8)</f>
        <v>14125.8</v>
      </c>
      <c r="H168" s="139">
        <f ca="1">IFERROR(__xludf.DUMMYFUNCTION("""COMPUTED_VALUE"""),4)</f>
        <v>4</v>
      </c>
      <c r="I168" s="140">
        <f ca="1">IFERROR(__xludf.DUMMYFUNCTION("""COMPUTED_VALUE"""),66778)</f>
        <v>66778</v>
      </c>
      <c r="J168" s="141">
        <f ca="1">IFERROR(__xludf.DUMMYFUNCTION("""COMPUTED_VALUE"""),16694.5)</f>
        <v>16694.5</v>
      </c>
      <c r="K168" s="142">
        <f ca="1">IFERROR(__xludf.DUMMYFUNCTION("""COMPUTED_VALUE"""),4.45186666666666)</f>
        <v>4.4518666666666604</v>
      </c>
      <c r="L168" s="143" t="str">
        <f ca="1"/>
        <v>Wiris Variasi</v>
      </c>
      <c r="M168" s="127"/>
      <c r="N168" s="127"/>
      <c r="O168" s="127"/>
      <c r="P168" s="127"/>
      <c r="Q168" s="127"/>
      <c r="R168" s="127"/>
      <c r="S168" s="127"/>
      <c r="T168" s="127"/>
      <c r="U168" s="127"/>
      <c r="V168" s="127"/>
      <c r="W168" s="127"/>
      <c r="X168" s="127"/>
      <c r="Y168" s="127"/>
      <c r="Z168" s="127"/>
      <c r="AA168" s="127"/>
    </row>
    <row r="169" spans="1:27">
      <c r="A169" s="127">
        <f ca="1">IFERROR(__xludf.DUMMYFUNCTION("""COMPUTED_VALUE"""),174904221976312)</f>
        <v>174904221976312</v>
      </c>
      <c r="B169" s="127" t="str">
        <f ca="1">IFERROR(__xludf.DUMMYFUNCTION("""COMPUTED_VALUE"""),"120229188527800694")</f>
        <v>120229188527800694</v>
      </c>
      <c r="C169" s="127" t="str">
        <f ca="1">IFERROR(__xludf.DUMMYFUNCTION("""COMPUTED_VALUE"""),"Harkan Adventure")</f>
        <v>Harkan Adventure</v>
      </c>
      <c r="D169" s="138" t="str">
        <f ca="1">IFERROR(__xludf.DUMMYFUNCTION("""COMPUTED_VALUE"""),"https://wa.me/6281286402030")</f>
        <v>https://wa.me/6281286402030</v>
      </c>
      <c r="E169" s="139" t="str">
        <f ca="1">IFERROR(__xludf.DUMMYFUNCTION("""COMPUTED_VALUE"""),"6281286402030")</f>
        <v>6281286402030</v>
      </c>
      <c r="F169" s="139">
        <f ca="1">IFERROR(__xludf.DUMMYFUNCTION("""COMPUTED_VALUE"""),7928)</f>
        <v>7928</v>
      </c>
      <c r="G169" s="139">
        <f ca="1">IFERROR(__xludf.DUMMYFUNCTION("""COMPUTED_VALUE"""),38492.75)</f>
        <v>38492.75</v>
      </c>
      <c r="H169" s="139">
        <f ca="1">IFERROR(__xludf.DUMMYFUNCTION("""COMPUTED_VALUE"""),19)</f>
        <v>19</v>
      </c>
      <c r="I169" s="140">
        <f ca="1">IFERROR(__xludf.DUMMYFUNCTION("""COMPUTED_VALUE"""),272156)</f>
        <v>272156</v>
      </c>
      <c r="J169" s="141">
        <f ca="1">IFERROR(__xludf.DUMMYFUNCTION("""COMPUTED_VALUE"""),14324)</f>
        <v>14324</v>
      </c>
      <c r="K169" s="142">
        <f ca="1">IFERROR(__xludf.DUMMYFUNCTION("""COMPUTED_VALUE"""),18.1437333333333)</f>
        <v>18.143733333333302</v>
      </c>
      <c r="L169" s="143" t="str">
        <f ca="1"/>
        <v>Wiris Variasi</v>
      </c>
      <c r="M169" s="127"/>
      <c r="N169" s="127"/>
      <c r="O169" s="127"/>
      <c r="P169" s="127"/>
      <c r="Q169" s="127"/>
      <c r="R169" s="127"/>
      <c r="S169" s="127"/>
      <c r="T169" s="127"/>
      <c r="U169" s="127"/>
      <c r="V169" s="127"/>
      <c r="W169" s="127"/>
      <c r="X169" s="127"/>
      <c r="Y169" s="127"/>
      <c r="Z169" s="127"/>
      <c r="AA169" s="127"/>
    </row>
    <row r="170" spans="1:27">
      <c r="A170" s="127">
        <f ca="1">IFERROR(__xludf.DUMMYFUNCTION("""COMPUTED_VALUE"""),174904221976312)</f>
        <v>174904221976312</v>
      </c>
      <c r="B170" s="127" t="str">
        <f ca="1">IFERROR(__xludf.DUMMYFUNCTION("""COMPUTED_VALUE"""),"120229188727430694")</f>
        <v>120229188727430694</v>
      </c>
      <c r="C170" s="127" t="str">
        <f ca="1">IFERROR(__xludf.DUMMYFUNCTION("""COMPUTED_VALUE"""),"Griya Relaxology")</f>
        <v>Griya Relaxology</v>
      </c>
      <c r="D170" s="138" t="str">
        <f ca="1">IFERROR(__xludf.DUMMYFUNCTION("""COMPUTED_VALUE"""),"https://wa.me/6285869122507")</f>
        <v>https://wa.me/6285869122507</v>
      </c>
      <c r="E170" s="139" t="str">
        <f ca="1">IFERROR(__xludf.DUMMYFUNCTION("""COMPUTED_VALUE"""),"6285869122507")</f>
        <v>6285869122507</v>
      </c>
      <c r="F170" s="139">
        <f ca="1">IFERROR(__xludf.DUMMYFUNCTION("""COMPUTED_VALUE"""),3144)</f>
        <v>3144</v>
      </c>
      <c r="G170" s="139">
        <f ca="1">IFERROR(__xludf.DUMMYFUNCTION("""COMPUTED_VALUE"""),19135)</f>
        <v>19135</v>
      </c>
      <c r="H170" s="139">
        <f ca="1">IFERROR(__xludf.DUMMYFUNCTION("""COMPUTED_VALUE"""),16)</f>
        <v>16</v>
      </c>
      <c r="I170" s="140">
        <f ca="1">IFERROR(__xludf.DUMMYFUNCTION("""COMPUTED_VALUE"""),68555)</f>
        <v>68555</v>
      </c>
      <c r="J170" s="141">
        <f ca="1">IFERROR(__xludf.DUMMYFUNCTION("""COMPUTED_VALUE"""),4284.6875)</f>
        <v>4284.6875</v>
      </c>
      <c r="K170" s="142">
        <f ca="1">IFERROR(__xludf.DUMMYFUNCTION("""COMPUTED_VALUE"""),4.57033333333333)</f>
        <v>4.5703333333333296</v>
      </c>
      <c r="L170" s="143" t="str">
        <f ca="1"/>
        <v>Wiris Variasi</v>
      </c>
      <c r="M170" s="127"/>
      <c r="N170" s="127"/>
      <c r="O170" s="127"/>
      <c r="P170" s="127"/>
      <c r="Q170" s="127"/>
      <c r="R170" s="127"/>
      <c r="S170" s="127"/>
      <c r="T170" s="127"/>
      <c r="U170" s="127"/>
      <c r="V170" s="127"/>
      <c r="W170" s="127"/>
      <c r="X170" s="127"/>
      <c r="Y170" s="127"/>
      <c r="Z170" s="127"/>
      <c r="AA170" s="127"/>
    </row>
    <row r="171" spans="1:27">
      <c r="A171" s="127">
        <f ca="1">IFERROR(__xludf.DUMMYFUNCTION("""COMPUTED_VALUE"""),174904221976312)</f>
        <v>174904221976312</v>
      </c>
      <c r="B171" s="127" t="str">
        <f ca="1">IFERROR(__xludf.DUMMYFUNCTION("""COMPUTED_VALUE"""),"120229188907560694")</f>
        <v>120229188907560694</v>
      </c>
      <c r="C171" s="127" t="str">
        <f ca="1">IFERROR(__xludf.DUMMYFUNCTION("""COMPUTED_VALUE"""),"SAFWA STUDIO")</f>
        <v>SAFWA STUDIO</v>
      </c>
      <c r="D171" s="138" t="str">
        <f ca="1">IFERROR(__xludf.DUMMYFUNCTION("""COMPUTED_VALUE"""),"https://wa.me/62811693222")</f>
        <v>https://wa.me/62811693222</v>
      </c>
      <c r="E171" s="139" t="str">
        <f ca="1">IFERROR(__xludf.DUMMYFUNCTION("""COMPUTED_VALUE"""),"62811693222")</f>
        <v>62811693222</v>
      </c>
      <c r="F171" s="139">
        <f ca="1">IFERROR(__xludf.DUMMYFUNCTION("""COMPUTED_VALUE"""),5947)</f>
        <v>5947</v>
      </c>
      <c r="G171" s="139">
        <f ca="1">IFERROR(__xludf.DUMMYFUNCTION("""COMPUTED_VALUE"""),13662.2857142857)</f>
        <v>13662.285714285699</v>
      </c>
      <c r="H171" s="139">
        <f ca="1">IFERROR(__xludf.DUMMYFUNCTION("""COMPUTED_VALUE"""),14)</f>
        <v>14</v>
      </c>
      <c r="I171" s="140">
        <f ca="1">IFERROR(__xludf.DUMMYFUNCTION("""COMPUTED_VALUE"""),91756)</f>
        <v>91756</v>
      </c>
      <c r="J171" s="141">
        <f ca="1">IFERROR(__xludf.DUMMYFUNCTION("""COMPUTED_VALUE"""),6554)</f>
        <v>6554</v>
      </c>
      <c r="K171" s="142">
        <f ca="1">IFERROR(__xludf.DUMMYFUNCTION("""COMPUTED_VALUE"""),6.11706666666666)</f>
        <v>6.11706666666666</v>
      </c>
      <c r="L171" s="143" t="str">
        <f ca="1"/>
        <v>Wiris Variasi</v>
      </c>
      <c r="M171" s="127"/>
      <c r="N171" s="127"/>
      <c r="O171" s="127"/>
      <c r="P171" s="127"/>
      <c r="Q171" s="127"/>
      <c r="R171" s="127"/>
      <c r="S171" s="127"/>
      <c r="T171" s="127"/>
      <c r="U171" s="127"/>
      <c r="V171" s="127"/>
      <c r="W171" s="127"/>
      <c r="X171" s="127"/>
      <c r="Y171" s="127"/>
      <c r="Z171" s="127"/>
      <c r="AA171" s="127"/>
    </row>
    <row r="172" spans="1:27">
      <c r="A172" s="127">
        <f ca="1">IFERROR(__xludf.DUMMYFUNCTION("""COMPUTED_VALUE"""),174904221976312)</f>
        <v>174904221976312</v>
      </c>
      <c r="B172" s="127" t="str">
        <f ca="1">IFERROR(__xludf.DUMMYFUNCTION("""COMPUTED_VALUE"""),"120229250160850694")</f>
        <v>120229250160850694</v>
      </c>
      <c r="C172" s="127" t="str">
        <f ca="1">IFERROR(__xludf.DUMMYFUNCTION("""COMPUTED_VALUE"""),"FR bromo")</f>
        <v>FR bromo</v>
      </c>
      <c r="D172" s="138" t="str">
        <f ca="1">IFERROR(__xludf.DUMMYFUNCTION("""COMPUTED_VALUE"""),"https://wa.me/6282333203355")</f>
        <v>https://wa.me/6282333203355</v>
      </c>
      <c r="E172" s="139" t="str">
        <f ca="1">IFERROR(__xludf.DUMMYFUNCTION("""COMPUTED_VALUE"""),"6282333203355")</f>
        <v>6282333203355</v>
      </c>
      <c r="F172" s="139">
        <f ca="1">IFERROR(__xludf.DUMMYFUNCTION("""COMPUTED_VALUE"""),2818)</f>
        <v>2818</v>
      </c>
      <c r="G172" s="139">
        <f ca="1">IFERROR(__xludf.DUMMYFUNCTION("""COMPUTED_VALUE"""),56695.3076923076)</f>
        <v>56695.307692307601</v>
      </c>
      <c r="H172" s="139">
        <f ca="1">IFERROR(__xludf.DUMMYFUNCTION("""COMPUTED_VALUE"""),14)</f>
        <v>14</v>
      </c>
      <c r="I172" s="140">
        <f ca="1">IFERROR(__xludf.DUMMYFUNCTION("""COMPUTED_VALUE"""),167142)</f>
        <v>167142</v>
      </c>
      <c r="J172" s="141">
        <f ca="1">IFERROR(__xludf.DUMMYFUNCTION("""COMPUTED_VALUE"""),11938.7142857142)</f>
        <v>11938.714285714201</v>
      </c>
      <c r="K172" s="142">
        <f ca="1">IFERROR(__xludf.DUMMYFUNCTION("""COMPUTED_VALUE"""),11.1428)</f>
        <v>11.142799999999999</v>
      </c>
      <c r="L172" s="143" t="str">
        <f ca="1"/>
        <v>Wiris Variasi</v>
      </c>
      <c r="M172" s="127"/>
      <c r="N172" s="127"/>
      <c r="O172" s="127"/>
      <c r="P172" s="127"/>
      <c r="Q172" s="127"/>
      <c r="R172" s="127"/>
      <c r="S172" s="127"/>
      <c r="T172" s="127"/>
      <c r="U172" s="127"/>
      <c r="V172" s="127"/>
      <c r="W172" s="127"/>
      <c r="X172" s="127"/>
      <c r="Y172" s="127"/>
      <c r="Z172" s="127"/>
      <c r="AA172" s="127"/>
    </row>
    <row r="173" spans="1:27">
      <c r="A173" s="127">
        <f ca="1">IFERROR(__xludf.DUMMYFUNCTION("""COMPUTED_VALUE"""),174904221976312)</f>
        <v>174904221976312</v>
      </c>
      <c r="B173" s="127" t="str">
        <f ca="1">IFERROR(__xludf.DUMMYFUNCTION("""COMPUTED_VALUE"""),"120229252947620694")</f>
        <v>120229252947620694</v>
      </c>
      <c r="C173" s="127" t="str">
        <f ca="1">IFERROR(__xludf.DUMMYFUNCTION("""COMPUTED_VALUE"""),"Best kaca")</f>
        <v>Best kaca</v>
      </c>
      <c r="D173" s="138" t="str">
        <f ca="1">IFERROR(__xludf.DUMMYFUNCTION("""COMPUTED_VALUE"""),"https://wa.me/6281553075560")</f>
        <v>https://wa.me/6281553075560</v>
      </c>
      <c r="E173" s="139" t="str">
        <f ca="1">IFERROR(__xludf.DUMMYFUNCTION("""COMPUTED_VALUE"""),"6281553075560")</f>
        <v>6281553075560</v>
      </c>
      <c r="F173" s="139">
        <f ca="1">IFERROR(__xludf.DUMMYFUNCTION("""COMPUTED_VALUE"""),9193)</f>
        <v>9193</v>
      </c>
      <c r="G173" s="139">
        <f ca="1">IFERROR(__xludf.DUMMYFUNCTION("""COMPUTED_VALUE"""),8760.42857142857)</f>
        <v>8760.4285714285706</v>
      </c>
      <c r="H173" s="139">
        <f ca="1">IFERROR(__xludf.DUMMYFUNCTION("""COMPUTED_VALUE"""),12)</f>
        <v>12</v>
      </c>
      <c r="I173" s="140">
        <f ca="1">IFERROR(__xludf.DUMMYFUNCTION("""COMPUTED_VALUE"""),87860)</f>
        <v>87860</v>
      </c>
      <c r="J173" s="141">
        <f ca="1">IFERROR(__xludf.DUMMYFUNCTION("""COMPUTED_VALUE"""),7321.66666666666)</f>
        <v>7321.6666666666597</v>
      </c>
      <c r="K173" s="142">
        <f ca="1">IFERROR(__xludf.DUMMYFUNCTION("""COMPUTED_VALUE"""),5.85733333333333)</f>
        <v>5.8573333333333304</v>
      </c>
      <c r="L173" s="143" t="str">
        <f ca="1"/>
        <v>Wiris Variasi</v>
      </c>
      <c r="M173" s="127"/>
      <c r="N173" s="127"/>
      <c r="O173" s="127"/>
      <c r="P173" s="127"/>
      <c r="Q173" s="127"/>
      <c r="R173" s="127"/>
      <c r="S173" s="127"/>
      <c r="T173" s="127"/>
      <c r="U173" s="127"/>
      <c r="V173" s="127"/>
      <c r="W173" s="127"/>
      <c r="X173" s="127"/>
      <c r="Y173" s="127"/>
      <c r="Z173" s="127"/>
      <c r="AA173" s="127"/>
    </row>
    <row r="174" spans="1:27">
      <c r="A174" s="127">
        <f ca="1">IFERROR(__xludf.DUMMYFUNCTION("""COMPUTED_VALUE"""),174904221976312)</f>
        <v>174904221976312</v>
      </c>
      <c r="B174" s="127" t="str">
        <f ca="1">IFERROR(__xludf.DUMMYFUNCTION("""COMPUTED_VALUE"""),"120229253354330694")</f>
        <v>120229253354330694</v>
      </c>
      <c r="C174" s="127" t="str">
        <f ca="1">IFERROR(__xludf.DUMMYFUNCTION("""COMPUTED_VALUE"""),"Indihome Telkomsel")</f>
        <v>Indihome Telkomsel</v>
      </c>
      <c r="D174" s="138" t="str">
        <f ca="1">IFERROR(__xludf.DUMMYFUNCTION("""COMPUTED_VALUE"""),"https://wa.me/628113311777")</f>
        <v>https://wa.me/628113311777</v>
      </c>
      <c r="E174" s="139" t="str">
        <f ca="1">IFERROR(__xludf.DUMMYFUNCTION("""COMPUTED_VALUE"""),"628113311777")</f>
        <v>628113311777</v>
      </c>
      <c r="F174" s="139">
        <f ca="1">IFERROR(__xludf.DUMMYFUNCTION("""COMPUTED_VALUE"""),5883)</f>
        <v>5883</v>
      </c>
      <c r="G174" s="139">
        <f ca="1">IFERROR(__xludf.DUMMYFUNCTION("""COMPUTED_VALUE"""),13895.2857142857)</f>
        <v>13895.285714285699</v>
      </c>
      <c r="H174" s="139">
        <f ca="1">IFERROR(__xludf.DUMMYFUNCTION("""COMPUTED_VALUE"""),8)</f>
        <v>8</v>
      </c>
      <c r="I174" s="140">
        <f ca="1">IFERROR(__xludf.DUMMYFUNCTION("""COMPUTED_VALUE"""),93761)</f>
        <v>93761</v>
      </c>
      <c r="J174" s="141">
        <f ca="1">IFERROR(__xludf.DUMMYFUNCTION("""COMPUTED_VALUE"""),11720.125)</f>
        <v>11720.125</v>
      </c>
      <c r="K174" s="142">
        <f ca="1">IFERROR(__xludf.DUMMYFUNCTION("""COMPUTED_VALUE"""),6.25073333333333)</f>
        <v>6.2507333333333301</v>
      </c>
      <c r="L174" s="143" t="str">
        <f ca="1"/>
        <v>Wiris Variasi</v>
      </c>
      <c r="M174" s="127"/>
      <c r="N174" s="127"/>
      <c r="O174" s="127"/>
      <c r="P174" s="127"/>
      <c r="Q174" s="127"/>
      <c r="R174" s="127"/>
      <c r="S174" s="127"/>
      <c r="T174" s="127"/>
      <c r="U174" s="127"/>
      <c r="V174" s="127"/>
      <c r="W174" s="127"/>
      <c r="X174" s="127"/>
      <c r="Y174" s="127"/>
      <c r="Z174" s="127"/>
      <c r="AA174" s="127"/>
    </row>
    <row r="175" spans="1:27">
      <c r="A175" s="127">
        <f ca="1">IFERROR(__xludf.DUMMYFUNCTION("""COMPUTED_VALUE"""),174904221976312)</f>
        <v>174904221976312</v>
      </c>
      <c r="B175" s="127" t="str">
        <f ca="1">IFERROR(__xludf.DUMMYFUNCTION("""COMPUTED_VALUE"""),"120229253481400694")</f>
        <v>120229253481400694</v>
      </c>
      <c r="C175" s="127" t="str">
        <f ca="1">IFERROR(__xludf.DUMMYFUNCTION("""COMPUTED_VALUE"""),"PT. DEVANA")</f>
        <v>PT. DEVANA</v>
      </c>
      <c r="D175" s="138" t="str">
        <f ca="1">IFERROR(__xludf.DUMMYFUNCTION("""COMPUTED_VALUE"""),"https://wa.me/6281327457634")</f>
        <v>https://wa.me/6281327457634</v>
      </c>
      <c r="E175" s="139" t="str">
        <f ca="1">IFERROR(__xludf.DUMMYFUNCTION("""COMPUTED_VALUE"""),"6281327457634")</f>
        <v>6281327457634</v>
      </c>
      <c r="F175" s="139">
        <f ca="1">IFERROR(__xludf.DUMMYFUNCTION("""COMPUTED_VALUE"""),3139)</f>
        <v>3139</v>
      </c>
      <c r="G175" s="139">
        <f ca="1">IFERROR(__xludf.DUMMYFUNCTION("""COMPUTED_VALUE"""),27509.5714285714)</f>
        <v>27509.571428571398</v>
      </c>
      <c r="H175" s="139">
        <f ca="1">IFERROR(__xludf.DUMMYFUNCTION("""COMPUTED_VALUE"""),20)</f>
        <v>20</v>
      </c>
      <c r="I175" s="140">
        <f ca="1">IFERROR(__xludf.DUMMYFUNCTION("""COMPUTED_VALUE"""),94773)</f>
        <v>94773</v>
      </c>
      <c r="J175" s="141">
        <f ca="1">IFERROR(__xludf.DUMMYFUNCTION("""COMPUTED_VALUE"""),4738.65)</f>
        <v>4738.6499999999996</v>
      </c>
      <c r="K175" s="142">
        <f ca="1">IFERROR(__xludf.DUMMYFUNCTION("""COMPUTED_VALUE"""),6.3182)</f>
        <v>6.3182</v>
      </c>
      <c r="L175" s="143" t="str">
        <f ca="1"/>
        <v>Wiris Variasi</v>
      </c>
      <c r="M175" s="127"/>
      <c r="N175" s="127"/>
      <c r="O175" s="127"/>
      <c r="P175" s="127"/>
      <c r="Q175" s="127"/>
      <c r="R175" s="127"/>
      <c r="S175" s="127"/>
      <c r="T175" s="127"/>
      <c r="U175" s="127"/>
      <c r="V175" s="127"/>
      <c r="W175" s="127"/>
      <c r="X175" s="127"/>
      <c r="Y175" s="127"/>
      <c r="Z175" s="127"/>
      <c r="AA175" s="127"/>
    </row>
    <row r="176" spans="1:27">
      <c r="A176" s="127">
        <f ca="1">IFERROR(__xludf.DUMMYFUNCTION("""COMPUTED_VALUE"""),174904221976312)</f>
        <v>174904221976312</v>
      </c>
      <c r="B176" s="127" t="str">
        <f ca="1">IFERROR(__xludf.DUMMYFUNCTION("""COMPUTED_VALUE"""),"120229259021980694")</f>
        <v>120229259021980694</v>
      </c>
      <c r="C176" s="127" t="str">
        <f ca="1">IFERROR(__xludf.DUMMYFUNCTION("""COMPUTED_VALUE"""),"PT TAMA")</f>
        <v>PT TAMA</v>
      </c>
      <c r="D176" s="138" t="str">
        <f ca="1">IFERROR(__xludf.DUMMYFUNCTION("""COMPUTED_VALUE"""),"https://wa.me/62823885166777")</f>
        <v>https://wa.me/62823885166777</v>
      </c>
      <c r="E176" s="139" t="str">
        <f ca="1">IFERROR(__xludf.DUMMYFUNCTION("""COMPUTED_VALUE"""),"62823885166777")</f>
        <v>62823885166777</v>
      </c>
      <c r="F176" s="139">
        <f ca="1">IFERROR(__xludf.DUMMYFUNCTION("""COMPUTED_VALUE"""),712)</f>
        <v>712</v>
      </c>
      <c r="G176" s="139">
        <f ca="1">IFERROR(__xludf.DUMMYFUNCTION("""COMPUTED_VALUE"""),113845.5)</f>
        <v>113845.5</v>
      </c>
      <c r="H176" s="139">
        <f ca="1">IFERROR(__xludf.DUMMYFUNCTION("""COMPUTED_VALUE"""),0)</f>
        <v>0</v>
      </c>
      <c r="I176" s="140">
        <f ca="1">IFERROR(__xludf.DUMMYFUNCTION("""COMPUTED_VALUE"""),78234)</f>
        <v>78234</v>
      </c>
      <c r="J176" s="141"/>
      <c r="K176" s="142">
        <f ca="1">IFERROR(__xludf.DUMMYFUNCTION("""COMPUTED_VALUE"""),5.2156)</f>
        <v>5.2156000000000002</v>
      </c>
      <c r="L176" s="143" t="str">
        <f ca="1"/>
        <v>Wiris Variasi</v>
      </c>
      <c r="M176" s="127"/>
      <c r="N176" s="127"/>
      <c r="O176" s="127"/>
      <c r="P176" s="127"/>
      <c r="Q176" s="127"/>
      <c r="R176" s="127"/>
      <c r="S176" s="127"/>
      <c r="T176" s="127"/>
      <c r="U176" s="127"/>
      <c r="V176" s="127"/>
      <c r="W176" s="127"/>
      <c r="X176" s="127"/>
      <c r="Y176" s="127"/>
      <c r="Z176" s="127"/>
      <c r="AA176" s="127"/>
    </row>
    <row r="177" spans="1:27">
      <c r="A177" s="127">
        <f ca="1">IFERROR(__xludf.DUMMYFUNCTION("""COMPUTED_VALUE"""),174904221976312)</f>
        <v>174904221976312</v>
      </c>
      <c r="B177" s="127" t="str">
        <f ca="1">IFERROR(__xludf.DUMMYFUNCTION("""COMPUTED_VALUE"""),"120229259403190694")</f>
        <v>120229259403190694</v>
      </c>
      <c r="C177" s="127" t="str">
        <f ca="1">IFERROR(__xludf.DUMMYFUNCTION("""COMPUTED_VALUE"""),"ATEKOR DOLPHIN")</f>
        <v>ATEKOR DOLPHIN</v>
      </c>
      <c r="D177" s="138" t="str">
        <f ca="1">IFERROR(__xludf.DUMMYFUNCTION("""COMPUTED_VALUE"""),"https://wa.me/6287846030252")</f>
        <v>https://wa.me/6287846030252</v>
      </c>
      <c r="E177" s="139" t="str">
        <f ca="1">IFERROR(__xludf.DUMMYFUNCTION("""COMPUTED_VALUE"""),"6287846030252")</f>
        <v>6287846030252</v>
      </c>
      <c r="F177" s="139">
        <f ca="1">IFERROR(__xludf.DUMMYFUNCTION("""COMPUTED_VALUE"""),14015)</f>
        <v>14015</v>
      </c>
      <c r="G177" s="139">
        <f ca="1">IFERROR(__xludf.DUMMYFUNCTION("""COMPUTED_VALUE"""),6600)</f>
        <v>6600</v>
      </c>
      <c r="H177" s="139">
        <f ca="1">IFERROR(__xludf.DUMMYFUNCTION("""COMPUTED_VALUE"""),24)</f>
        <v>24</v>
      </c>
      <c r="I177" s="140">
        <f ca="1">IFERROR(__xludf.DUMMYFUNCTION("""COMPUTED_VALUE"""),94286)</f>
        <v>94286</v>
      </c>
      <c r="J177" s="141">
        <f ca="1">IFERROR(__xludf.DUMMYFUNCTION("""COMPUTED_VALUE"""),3928.58333333333)</f>
        <v>3928.5833333333298</v>
      </c>
      <c r="K177" s="142">
        <f ca="1">IFERROR(__xludf.DUMMYFUNCTION("""COMPUTED_VALUE"""),6.28573333333333)</f>
        <v>6.2857333333333303</v>
      </c>
      <c r="L177" s="143" t="str">
        <f ca="1"/>
        <v>Wiris Variasi</v>
      </c>
      <c r="M177" s="127"/>
      <c r="N177" s="127"/>
      <c r="O177" s="127"/>
      <c r="P177" s="127"/>
      <c r="Q177" s="127"/>
      <c r="R177" s="127"/>
      <c r="S177" s="127"/>
      <c r="T177" s="127"/>
      <c r="U177" s="127"/>
      <c r="V177" s="127"/>
      <c r="W177" s="127"/>
      <c r="X177" s="127"/>
      <c r="Y177" s="127"/>
      <c r="Z177" s="127"/>
      <c r="AA177" s="127"/>
    </row>
    <row r="178" spans="1:27">
      <c r="A178" s="127">
        <f ca="1">IFERROR(__xludf.DUMMYFUNCTION("""COMPUTED_VALUE"""),174904221976312)</f>
        <v>174904221976312</v>
      </c>
      <c r="B178" s="127" t="str">
        <f ca="1">IFERROR(__xludf.DUMMYFUNCTION("""COMPUTED_VALUE"""),"120229280519010694")</f>
        <v>120229280519010694</v>
      </c>
      <c r="C178" s="127" t="str">
        <f ca="1">IFERROR(__xludf.DUMMYFUNCTION("""COMPUTED_VALUE"""),"Rodrimar Aifunan Fresku")</f>
        <v>Rodrimar Aifunan Fresku</v>
      </c>
      <c r="D178" s="139"/>
      <c r="E178" s="139"/>
      <c r="F178" s="139">
        <f ca="1">IFERROR(__xludf.DUMMYFUNCTION("""COMPUTED_VALUE"""),188593)</f>
        <v>188593</v>
      </c>
      <c r="G178" s="139">
        <f ca="1">IFERROR(__xludf.DUMMYFUNCTION("""COMPUTED_VALUE"""),2086.28571428571)</f>
        <v>2086.2857142857101</v>
      </c>
      <c r="H178" s="139">
        <f ca="1">IFERROR(__xludf.DUMMYFUNCTION("""COMPUTED_VALUE"""),142)</f>
        <v>142</v>
      </c>
      <c r="I178" s="140">
        <f ca="1">IFERROR(__xludf.DUMMYFUNCTION("""COMPUTED_VALUE"""),453617)</f>
        <v>453617</v>
      </c>
      <c r="J178" s="141">
        <f ca="1">IFERROR(__xludf.DUMMYFUNCTION("""COMPUTED_VALUE"""),3194.48591549295)</f>
        <v>3194.48591549295</v>
      </c>
      <c r="K178" s="142">
        <f ca="1">IFERROR(__xludf.DUMMYFUNCTION("""COMPUTED_VALUE"""),30.2411333333333)</f>
        <v>30.241133333333298</v>
      </c>
      <c r="L178" s="143" t="str">
        <f ca="1"/>
        <v>Wiris Variasi</v>
      </c>
      <c r="M178" s="127"/>
      <c r="N178" s="127"/>
      <c r="O178" s="127"/>
      <c r="P178" s="127"/>
      <c r="Q178" s="127"/>
      <c r="R178" s="127"/>
      <c r="S178" s="127"/>
      <c r="T178" s="127"/>
      <c r="U178" s="127"/>
      <c r="V178" s="127"/>
      <c r="W178" s="127"/>
      <c r="X178" s="127"/>
      <c r="Y178" s="127"/>
      <c r="Z178" s="127"/>
      <c r="AA178" s="127"/>
    </row>
    <row r="179" spans="1:27">
      <c r="A179" s="127">
        <f ca="1">IFERROR(__xludf.DUMMYFUNCTION("""COMPUTED_VALUE"""),174904221976312)</f>
        <v>174904221976312</v>
      </c>
      <c r="B179" s="127" t="str">
        <f ca="1">IFERROR(__xludf.DUMMYFUNCTION("""COMPUTED_VALUE"""),"120229337944090694")</f>
        <v>120229337944090694</v>
      </c>
      <c r="C179" s="127" t="str">
        <f ca="1">IFERROR(__xludf.DUMMYFUNCTION("""COMPUTED_VALUE"""),"Bagus Bali")</f>
        <v>Bagus Bali</v>
      </c>
      <c r="D179" s="138" t="str">
        <f ca="1">IFERROR(__xludf.DUMMYFUNCTION("""COMPUTED_VALUE"""),"https://wa.me/6282340878030")</f>
        <v>https://wa.me/6282340878030</v>
      </c>
      <c r="E179" s="139" t="str">
        <f ca="1">IFERROR(__xludf.DUMMYFUNCTION("""COMPUTED_VALUE"""),"6282340878030")</f>
        <v>6282340878030</v>
      </c>
      <c r="F179" s="139">
        <f ca="1">IFERROR(__xludf.DUMMYFUNCTION("""COMPUTED_VALUE"""),1720)</f>
        <v>1720</v>
      </c>
      <c r="G179" s="139">
        <f ca="1">IFERROR(__xludf.DUMMYFUNCTION("""COMPUTED_VALUE"""),41952)</f>
        <v>41952</v>
      </c>
      <c r="H179" s="139">
        <f ca="1">IFERROR(__xludf.DUMMYFUNCTION("""COMPUTED_VALUE"""),9)</f>
        <v>9</v>
      </c>
      <c r="I179" s="140">
        <f ca="1">IFERROR(__xludf.DUMMYFUNCTION("""COMPUTED_VALUE"""),72883)</f>
        <v>72883</v>
      </c>
      <c r="J179" s="141">
        <f ca="1">IFERROR(__xludf.DUMMYFUNCTION("""COMPUTED_VALUE"""),8098.11111111111)</f>
        <v>8098.1111111111104</v>
      </c>
      <c r="K179" s="142">
        <f ca="1">IFERROR(__xludf.DUMMYFUNCTION("""COMPUTED_VALUE"""),4.85886666666666)</f>
        <v>4.8588666666666596</v>
      </c>
      <c r="L179" s="143" t="str">
        <f ca="1"/>
        <v>Wiris Variasi</v>
      </c>
      <c r="M179" s="127"/>
      <c r="N179" s="127"/>
      <c r="O179" s="127"/>
      <c r="P179" s="127"/>
      <c r="Q179" s="127"/>
      <c r="R179" s="127"/>
      <c r="S179" s="127"/>
      <c r="T179" s="127"/>
      <c r="U179" s="127"/>
      <c r="V179" s="127"/>
      <c r="W179" s="127"/>
      <c r="X179" s="127"/>
      <c r="Y179" s="127"/>
      <c r="Z179" s="127"/>
      <c r="AA179" s="127"/>
    </row>
    <row r="180" spans="1:27">
      <c r="A180" s="127">
        <f ca="1">IFERROR(__xludf.DUMMYFUNCTION("""COMPUTED_VALUE"""),174904221976312)</f>
        <v>174904221976312</v>
      </c>
      <c r="B180" s="127" t="str">
        <f ca="1">IFERROR(__xludf.DUMMYFUNCTION("""COMPUTED_VALUE"""),"120229338279800694")</f>
        <v>120229338279800694</v>
      </c>
      <c r="C180" s="127" t="str">
        <f ca="1">IFERROR(__xludf.DUMMYFUNCTION("""COMPUTED_VALUE"""),"Sunshine Lovinaku")</f>
        <v>Sunshine Lovinaku</v>
      </c>
      <c r="D180" s="138" t="str">
        <f ca="1">IFERROR(__xludf.DUMMYFUNCTION("""COMPUTED_VALUE"""),"https://wa.me/6287826386983")</f>
        <v>https://wa.me/6287826386983</v>
      </c>
      <c r="E180" s="139" t="str">
        <f ca="1">IFERROR(__xludf.DUMMYFUNCTION("""COMPUTED_VALUE"""),"6287826386983")</f>
        <v>6287826386983</v>
      </c>
      <c r="F180" s="139">
        <f ca="1">IFERROR(__xludf.DUMMYFUNCTION("""COMPUTED_VALUE"""),2892)</f>
        <v>2892</v>
      </c>
      <c r="G180" s="139">
        <f ca="1">IFERROR(__xludf.DUMMYFUNCTION("""COMPUTED_VALUE"""),24870.1666666666)</f>
        <v>24870.166666666599</v>
      </c>
      <c r="H180" s="139">
        <f ca="1">IFERROR(__xludf.DUMMYFUNCTION("""COMPUTED_VALUE"""),3)</f>
        <v>3</v>
      </c>
      <c r="I180" s="140">
        <f ca="1">IFERROR(__xludf.DUMMYFUNCTION("""COMPUTED_VALUE"""),73877)</f>
        <v>73877</v>
      </c>
      <c r="J180" s="141">
        <f ca="1">IFERROR(__xludf.DUMMYFUNCTION("""COMPUTED_VALUE"""),24625.6666666666)</f>
        <v>24625.666666666599</v>
      </c>
      <c r="K180" s="142">
        <f ca="1">IFERROR(__xludf.DUMMYFUNCTION("""COMPUTED_VALUE"""),4.92513333333333)</f>
        <v>4.9251333333333296</v>
      </c>
      <c r="L180" s="143" t="str">
        <f ca="1"/>
        <v>Wiris Variasi</v>
      </c>
      <c r="M180" s="127"/>
      <c r="N180" s="127"/>
      <c r="O180" s="127"/>
      <c r="P180" s="127"/>
      <c r="Q180" s="127"/>
      <c r="R180" s="127"/>
      <c r="S180" s="127"/>
      <c r="T180" s="127"/>
      <c r="U180" s="127"/>
      <c r="V180" s="127"/>
      <c r="W180" s="127"/>
      <c r="X180" s="127"/>
      <c r="Y180" s="127"/>
      <c r="Z180" s="127"/>
      <c r="AA180" s="127"/>
    </row>
    <row r="181" spans="1:27">
      <c r="A181" s="127">
        <f ca="1">IFERROR(__xludf.DUMMYFUNCTION("""COMPUTED_VALUE"""),174904221976312)</f>
        <v>174904221976312</v>
      </c>
      <c r="B181" s="127" t="str">
        <f ca="1">IFERROR(__xludf.DUMMYFUNCTION("""COMPUTED_VALUE"""),"120229339382760694")</f>
        <v>120229339382760694</v>
      </c>
      <c r="C181" s="127" t="str">
        <f ca="1">IFERROR(__xludf.DUMMYFUNCTION("""COMPUTED_VALUE"""),"Bromo Atta")</f>
        <v>Bromo Atta</v>
      </c>
      <c r="D181" s="138" t="str">
        <f ca="1">IFERROR(__xludf.DUMMYFUNCTION("""COMPUTED_VALUE"""),"https://wa.me/6282333358533")</f>
        <v>https://wa.me/6282333358533</v>
      </c>
      <c r="E181" s="139" t="str">
        <f ca="1">IFERROR(__xludf.DUMMYFUNCTION("""COMPUTED_VALUE"""),"6282333358533")</f>
        <v>6282333358533</v>
      </c>
      <c r="F181" s="139">
        <f ca="1">IFERROR(__xludf.DUMMYFUNCTION("""COMPUTED_VALUE"""),2118)</f>
        <v>2118</v>
      </c>
      <c r="G181" s="139">
        <f ca="1">IFERROR(__xludf.DUMMYFUNCTION("""COMPUTED_VALUE"""),35866)</f>
        <v>35866</v>
      </c>
      <c r="H181" s="139">
        <f ca="1">IFERROR(__xludf.DUMMYFUNCTION("""COMPUTED_VALUE"""),9)</f>
        <v>9</v>
      </c>
      <c r="I181" s="140">
        <f ca="1">IFERROR(__xludf.DUMMYFUNCTION("""COMPUTED_VALUE"""),74847)</f>
        <v>74847</v>
      </c>
      <c r="J181" s="141">
        <f ca="1">IFERROR(__xludf.DUMMYFUNCTION("""COMPUTED_VALUE"""),8316.33333333333)</f>
        <v>8316.3333333333303</v>
      </c>
      <c r="K181" s="142">
        <f ca="1">IFERROR(__xludf.DUMMYFUNCTION("""COMPUTED_VALUE"""),4.9898)</f>
        <v>4.9897999999999998</v>
      </c>
      <c r="L181" s="143" t="str">
        <f ca="1"/>
        <v>Wiris Variasi</v>
      </c>
      <c r="M181" s="127"/>
      <c r="N181" s="127"/>
      <c r="O181" s="127"/>
      <c r="P181" s="127"/>
      <c r="Q181" s="127"/>
      <c r="R181" s="127"/>
      <c r="S181" s="127"/>
      <c r="T181" s="127"/>
      <c r="U181" s="127"/>
      <c r="V181" s="127"/>
      <c r="W181" s="127"/>
      <c r="X181" s="127"/>
      <c r="Y181" s="127"/>
      <c r="Z181" s="127"/>
      <c r="AA181" s="127"/>
    </row>
    <row r="182" spans="1:27">
      <c r="A182" s="127">
        <f ca="1">IFERROR(__xludf.DUMMYFUNCTION("""COMPUTED_VALUE"""),174904221976312)</f>
        <v>174904221976312</v>
      </c>
      <c r="B182" s="127" t="str">
        <f ca="1">IFERROR(__xludf.DUMMYFUNCTION("""COMPUTED_VALUE"""),"120229402979650694")</f>
        <v>120229402979650694</v>
      </c>
      <c r="C182" s="127" t="str">
        <f ca="1">IFERROR(__xludf.DUMMYFUNCTION("""COMPUTED_VALUE"""),"Fatih Herbal")</f>
        <v>Fatih Herbal</v>
      </c>
      <c r="D182" s="138" t="str">
        <f ca="1">IFERROR(__xludf.DUMMYFUNCTION("""COMPUTED_VALUE"""),"https://wa.me/62881010278235")</f>
        <v>https://wa.me/62881010278235</v>
      </c>
      <c r="E182" s="139" t="str">
        <f ca="1">IFERROR(__xludf.DUMMYFUNCTION("""COMPUTED_VALUE"""),"62881010278235")</f>
        <v>62881010278235</v>
      </c>
      <c r="F182" s="139">
        <f ca="1">IFERROR(__xludf.DUMMYFUNCTION("""COMPUTED_VALUE"""),2662)</f>
        <v>2662</v>
      </c>
      <c r="G182" s="139">
        <f ca="1">IFERROR(__xludf.DUMMYFUNCTION("""COMPUTED_VALUE"""),20433.8)</f>
        <v>20433.8</v>
      </c>
      <c r="H182" s="139">
        <f ca="1">IFERROR(__xludf.DUMMYFUNCTION("""COMPUTED_VALUE"""),9)</f>
        <v>9</v>
      </c>
      <c r="I182" s="140">
        <f ca="1">IFERROR(__xludf.DUMMYFUNCTION("""COMPUTED_VALUE"""),59386)</f>
        <v>59386</v>
      </c>
      <c r="J182" s="141">
        <f ca="1">IFERROR(__xludf.DUMMYFUNCTION("""COMPUTED_VALUE"""),6598.44444444444)</f>
        <v>6598.4444444444398</v>
      </c>
      <c r="K182" s="142">
        <f ca="1">IFERROR(__xludf.DUMMYFUNCTION("""COMPUTED_VALUE"""),3.95906666666666)</f>
        <v>3.9590666666666601</v>
      </c>
      <c r="L182" s="143" t="str">
        <f ca="1"/>
        <v>Wiris Variasi</v>
      </c>
      <c r="M182" s="127"/>
      <c r="N182" s="127"/>
      <c r="O182" s="127"/>
      <c r="P182" s="127"/>
      <c r="Q182" s="127"/>
      <c r="R182" s="127"/>
      <c r="S182" s="127"/>
      <c r="T182" s="127"/>
      <c r="U182" s="127"/>
      <c r="V182" s="127"/>
      <c r="W182" s="127"/>
      <c r="X182" s="127"/>
      <c r="Y182" s="127"/>
      <c r="Z182" s="127"/>
      <c r="AA182" s="127"/>
    </row>
    <row r="183" spans="1:27">
      <c r="A183" s="127">
        <f ca="1">IFERROR(__xludf.DUMMYFUNCTION("""COMPUTED_VALUE"""),174904221976312)</f>
        <v>174904221976312</v>
      </c>
      <c r="B183" s="127" t="str">
        <f ca="1">IFERROR(__xludf.DUMMYFUNCTION("""COMPUTED_VALUE"""),"120229403125990694")</f>
        <v>120229403125990694</v>
      </c>
      <c r="C183" s="127" t="str">
        <f ca="1">IFERROR(__xludf.DUMMYFUNCTION("""COMPUTED_VALUE"""),"Rr Renctar")</f>
        <v>Rr Renctar</v>
      </c>
      <c r="D183" s="138" t="str">
        <f ca="1">IFERROR(__xludf.DUMMYFUNCTION("""COMPUTED_VALUE"""),"https://wa.me/6282123587173")</f>
        <v>https://wa.me/6282123587173</v>
      </c>
      <c r="E183" s="139" t="str">
        <f ca="1">IFERROR(__xludf.DUMMYFUNCTION("""COMPUTED_VALUE"""),"6282123587173")</f>
        <v>6282123587173</v>
      </c>
      <c r="F183" s="139">
        <f ca="1">IFERROR(__xludf.DUMMYFUNCTION("""COMPUTED_VALUE"""),2857)</f>
        <v>2857</v>
      </c>
      <c r="G183" s="139">
        <f ca="1">IFERROR(__xludf.DUMMYFUNCTION("""COMPUTED_VALUE"""),18695.2)</f>
        <v>18695.2</v>
      </c>
      <c r="H183" s="139">
        <f ca="1">IFERROR(__xludf.DUMMYFUNCTION("""COMPUTED_VALUE"""),8)</f>
        <v>8</v>
      </c>
      <c r="I183" s="140">
        <f ca="1">IFERROR(__xludf.DUMMYFUNCTION("""COMPUTED_VALUE"""),65528)</f>
        <v>65528</v>
      </c>
      <c r="J183" s="141">
        <f ca="1">IFERROR(__xludf.DUMMYFUNCTION("""COMPUTED_VALUE"""),8191)</f>
        <v>8191</v>
      </c>
      <c r="K183" s="142">
        <f ca="1">IFERROR(__xludf.DUMMYFUNCTION("""COMPUTED_VALUE"""),4.36853333333333)</f>
        <v>4.36853333333333</v>
      </c>
      <c r="L183" s="143" t="str">
        <f ca="1"/>
        <v>Wiris Variasi</v>
      </c>
      <c r="M183" s="127"/>
      <c r="N183" s="127"/>
      <c r="O183" s="127"/>
      <c r="P183" s="127"/>
      <c r="Q183" s="127"/>
      <c r="R183" s="127"/>
      <c r="S183" s="127"/>
      <c r="T183" s="127"/>
      <c r="U183" s="127"/>
      <c r="V183" s="127"/>
      <c r="W183" s="127"/>
      <c r="X183" s="127"/>
      <c r="Y183" s="127"/>
      <c r="Z183" s="127"/>
      <c r="AA183" s="127"/>
    </row>
    <row r="184" spans="1:27">
      <c r="A184" s="127">
        <f ca="1">IFERROR(__xludf.DUMMYFUNCTION("""COMPUTED_VALUE"""),174904221976312)</f>
        <v>174904221976312</v>
      </c>
      <c r="B184" s="127" t="str">
        <f ca="1">IFERROR(__xludf.DUMMYFUNCTION("""COMPUTED_VALUE"""),"120229403412790694")</f>
        <v>120229403412790694</v>
      </c>
      <c r="C184" s="127" t="str">
        <f ca="1">IFERROR(__xludf.DUMMYFUNCTION("""COMPUTED_VALUE"""),"Hafizh Jaya")</f>
        <v>Hafizh Jaya</v>
      </c>
      <c r="D184" s="138" t="str">
        <f ca="1">IFERROR(__xludf.DUMMYFUNCTION("""COMPUTED_VALUE"""),"https://wa.me/6281366479393")</f>
        <v>https://wa.me/6281366479393</v>
      </c>
      <c r="E184" s="139" t="str">
        <f ca="1">IFERROR(__xludf.DUMMYFUNCTION("""COMPUTED_VALUE"""),"6281366479393")</f>
        <v>6281366479393</v>
      </c>
      <c r="F184" s="139">
        <f ca="1">IFERROR(__xludf.DUMMYFUNCTION("""COMPUTED_VALUE"""),6006)</f>
        <v>6006</v>
      </c>
      <c r="G184" s="139">
        <f ca="1">IFERROR(__xludf.DUMMYFUNCTION("""COMPUTED_VALUE"""),9382)</f>
        <v>9382</v>
      </c>
      <c r="H184" s="139">
        <f ca="1">IFERROR(__xludf.DUMMYFUNCTION("""COMPUTED_VALUE"""),6)</f>
        <v>6</v>
      </c>
      <c r="I184" s="140">
        <f ca="1">IFERROR(__xludf.DUMMYFUNCTION("""COMPUTED_VALUE"""),65856)</f>
        <v>65856</v>
      </c>
      <c r="J184" s="141">
        <f ca="1">IFERROR(__xludf.DUMMYFUNCTION("""COMPUTED_VALUE"""),10976)</f>
        <v>10976</v>
      </c>
      <c r="K184" s="142">
        <f ca="1">IFERROR(__xludf.DUMMYFUNCTION("""COMPUTED_VALUE"""),4.3904)</f>
        <v>4.3903999999999996</v>
      </c>
      <c r="L184" s="143" t="str">
        <f ca="1"/>
        <v>Wiris Variasi</v>
      </c>
      <c r="M184" s="127"/>
      <c r="N184" s="127"/>
      <c r="O184" s="127"/>
      <c r="P184" s="127"/>
      <c r="Q184" s="127"/>
      <c r="R184" s="127"/>
      <c r="S184" s="127"/>
      <c r="T184" s="127"/>
      <c r="U184" s="127"/>
      <c r="V184" s="127"/>
      <c r="W184" s="127"/>
      <c r="X184" s="127"/>
      <c r="Y184" s="127"/>
      <c r="Z184" s="127"/>
      <c r="AA184" s="127"/>
    </row>
    <row r="185" spans="1:27">
      <c r="A185" s="127">
        <f ca="1">IFERROR(__xludf.DUMMYFUNCTION("""COMPUTED_VALUE"""),174904221976312)</f>
        <v>174904221976312</v>
      </c>
      <c r="B185" s="127" t="str">
        <f ca="1">IFERROR(__xludf.DUMMYFUNCTION("""COMPUTED_VALUE"""),"120229403735200694")</f>
        <v>120229403735200694</v>
      </c>
      <c r="C185" s="127" t="str">
        <f ca="1">IFERROR(__xludf.DUMMYFUNCTION("""COMPUTED_VALUE"""),"Kharisma Wedding")</f>
        <v>Kharisma Wedding</v>
      </c>
      <c r="D185" s="138" t="str">
        <f ca="1">IFERROR(__xludf.DUMMYFUNCTION("""COMPUTED_VALUE"""),"https://wa.me/628155157779")</f>
        <v>https://wa.me/628155157779</v>
      </c>
      <c r="E185" s="139" t="str">
        <f ca="1">IFERROR(__xludf.DUMMYFUNCTION("""COMPUTED_VALUE"""),"628155157779")</f>
        <v>628155157779</v>
      </c>
      <c r="F185" s="139">
        <f ca="1">IFERROR(__xludf.DUMMYFUNCTION("""COMPUTED_VALUE"""),1538)</f>
        <v>1538</v>
      </c>
      <c r="G185" s="139">
        <f ca="1">IFERROR(__xludf.DUMMYFUNCTION("""COMPUTED_VALUE"""),34092.4)</f>
        <v>34092.400000000001</v>
      </c>
      <c r="H185" s="139">
        <f ca="1">IFERROR(__xludf.DUMMYFUNCTION("""COMPUTED_VALUE"""),8)</f>
        <v>8</v>
      </c>
      <c r="I185" s="140">
        <f ca="1">IFERROR(__xludf.DUMMYFUNCTION("""COMPUTED_VALUE"""),60649)</f>
        <v>60649</v>
      </c>
      <c r="J185" s="141">
        <f ca="1">IFERROR(__xludf.DUMMYFUNCTION("""COMPUTED_VALUE"""),7581.125)</f>
        <v>7581.125</v>
      </c>
      <c r="K185" s="142">
        <f ca="1">IFERROR(__xludf.DUMMYFUNCTION("""COMPUTED_VALUE"""),4.04326666666666)</f>
        <v>4.0432666666666597</v>
      </c>
      <c r="L185" s="143" t="str">
        <f ca="1"/>
        <v>Wiris Variasi</v>
      </c>
      <c r="M185" s="127"/>
      <c r="N185" s="127"/>
      <c r="O185" s="127"/>
      <c r="P185" s="127"/>
      <c r="Q185" s="127"/>
      <c r="R185" s="127"/>
      <c r="S185" s="127"/>
      <c r="T185" s="127"/>
      <c r="U185" s="127"/>
      <c r="V185" s="127"/>
      <c r="W185" s="127"/>
      <c r="X185" s="127"/>
      <c r="Y185" s="127"/>
      <c r="Z185" s="127"/>
      <c r="AA185" s="127"/>
    </row>
    <row r="186" spans="1:27">
      <c r="A186" s="127">
        <f ca="1">IFERROR(__xludf.DUMMYFUNCTION("""COMPUTED_VALUE"""),174904221976312)</f>
        <v>174904221976312</v>
      </c>
      <c r="B186" s="127" t="str">
        <f ca="1">IFERROR(__xludf.DUMMYFUNCTION("""COMPUTED_VALUE"""),"120229404588410694")</f>
        <v>120229404588410694</v>
      </c>
      <c r="C186" s="127" t="str">
        <f ca="1">IFERROR(__xludf.DUMMYFUNCTION("""COMPUTED_VALUE"""),"ratu pukiss")</f>
        <v>ratu pukiss</v>
      </c>
      <c r="D186" s="138" t="str">
        <f ca="1">IFERROR(__xludf.DUMMYFUNCTION("""COMPUTED_VALUE"""),"https://wa.me/6281255005229")</f>
        <v>https://wa.me/6281255005229</v>
      </c>
      <c r="E186" s="139" t="str">
        <f ca="1">IFERROR(__xludf.DUMMYFUNCTION("""COMPUTED_VALUE"""),"6281255005229")</f>
        <v>6281255005229</v>
      </c>
      <c r="F186" s="139">
        <f ca="1">IFERROR(__xludf.DUMMYFUNCTION("""COMPUTED_VALUE"""),7083)</f>
        <v>7083</v>
      </c>
      <c r="G186" s="139">
        <f ca="1">IFERROR(__xludf.DUMMYFUNCTION("""COMPUTED_VALUE"""),11749.4285714285)</f>
        <v>11749.4285714285</v>
      </c>
      <c r="H186" s="139">
        <f ca="1">IFERROR(__xludf.DUMMYFUNCTION("""COMPUTED_VALUE"""),31)</f>
        <v>31</v>
      </c>
      <c r="I186" s="140">
        <f ca="1">IFERROR(__xludf.DUMMYFUNCTION("""COMPUTED_VALUE"""),91674)</f>
        <v>91674</v>
      </c>
      <c r="J186" s="141">
        <f ca="1">IFERROR(__xludf.DUMMYFUNCTION("""COMPUTED_VALUE"""),2957.22580645161)</f>
        <v>2957.22580645161</v>
      </c>
      <c r="K186" s="142">
        <f ca="1">IFERROR(__xludf.DUMMYFUNCTION("""COMPUTED_VALUE"""),6.1116)</f>
        <v>6.1116000000000001</v>
      </c>
      <c r="L186" s="143" t="str">
        <f ca="1"/>
        <v>Wiris Variasi</v>
      </c>
      <c r="M186" s="127"/>
      <c r="N186" s="127"/>
      <c r="O186" s="127"/>
      <c r="P186" s="127"/>
      <c r="Q186" s="127"/>
      <c r="R186" s="127"/>
      <c r="S186" s="127"/>
      <c r="T186" s="127"/>
      <c r="U186" s="127"/>
      <c r="V186" s="127"/>
      <c r="W186" s="127"/>
      <c r="X186" s="127"/>
      <c r="Y186" s="127"/>
      <c r="Z186" s="127"/>
      <c r="AA186" s="127"/>
    </row>
    <row r="187" spans="1:27">
      <c r="A187" s="127">
        <f ca="1">IFERROR(__xludf.DUMMYFUNCTION("""COMPUTED_VALUE"""),174904221976312)</f>
        <v>174904221976312</v>
      </c>
      <c r="B187" s="127" t="str">
        <f ca="1">IFERROR(__xludf.DUMMYFUNCTION("""COMPUTED_VALUE"""),"120229415938980694")</f>
        <v>120229415938980694</v>
      </c>
      <c r="C187" s="127" t="str">
        <f ca="1">IFERROR(__xludf.DUMMYFUNCTION("""COMPUTED_VALUE"""),"PT Sapto")</f>
        <v>PT Sapto</v>
      </c>
      <c r="D187" s="138" t="str">
        <f ca="1">IFERROR(__xludf.DUMMYFUNCTION("""COMPUTED_VALUE"""),"https://wa.me/6281280241630")</f>
        <v>https://wa.me/6281280241630</v>
      </c>
      <c r="E187" s="139" t="str">
        <f ca="1">IFERROR(__xludf.DUMMYFUNCTION("""COMPUTED_VALUE"""),"6281280241630")</f>
        <v>6281280241630</v>
      </c>
      <c r="F187" s="139">
        <f ca="1">IFERROR(__xludf.DUMMYFUNCTION("""COMPUTED_VALUE"""),3486)</f>
        <v>3486</v>
      </c>
      <c r="G187" s="139">
        <f ca="1">IFERROR(__xludf.DUMMYFUNCTION("""COMPUTED_VALUE"""),24554.7142857142)</f>
        <v>24554.714285714199</v>
      </c>
      <c r="H187" s="139">
        <f ca="1">IFERROR(__xludf.DUMMYFUNCTION("""COMPUTED_VALUE"""),24)</f>
        <v>24</v>
      </c>
      <c r="I187" s="140">
        <f ca="1">IFERROR(__xludf.DUMMYFUNCTION("""COMPUTED_VALUE"""),91922)</f>
        <v>91922</v>
      </c>
      <c r="J187" s="141">
        <f ca="1">IFERROR(__xludf.DUMMYFUNCTION("""COMPUTED_VALUE"""),3830.08333333333)</f>
        <v>3830.0833333333298</v>
      </c>
      <c r="K187" s="142">
        <f ca="1">IFERROR(__xludf.DUMMYFUNCTION("""COMPUTED_VALUE"""),6.12813333333333)</f>
        <v>6.1281333333333299</v>
      </c>
      <c r="L187" s="143" t="str">
        <f ca="1"/>
        <v>Wiris Variasi</v>
      </c>
      <c r="M187" s="127"/>
      <c r="N187" s="127"/>
      <c r="O187" s="127"/>
      <c r="P187" s="127"/>
      <c r="Q187" s="127"/>
      <c r="R187" s="127"/>
      <c r="S187" s="127"/>
      <c r="T187" s="127"/>
      <c r="U187" s="127"/>
      <c r="V187" s="127"/>
      <c r="W187" s="127"/>
      <c r="X187" s="127"/>
      <c r="Y187" s="127"/>
      <c r="Z187" s="127"/>
      <c r="AA187" s="127"/>
    </row>
    <row r="188" spans="1:27">
      <c r="A188" s="127">
        <f ca="1">IFERROR(__xludf.DUMMYFUNCTION("""COMPUTED_VALUE"""),174904221976312)</f>
        <v>174904221976312</v>
      </c>
      <c r="B188" s="127" t="str">
        <f ca="1">IFERROR(__xludf.DUMMYFUNCTION("""COMPUTED_VALUE"""),"120229418365250694")</f>
        <v>120229418365250694</v>
      </c>
      <c r="C188" s="127" t="str">
        <f ca="1">IFERROR(__xludf.DUMMYFUNCTION("""COMPUTED_VALUE"""),"Kretek Jambi")</f>
        <v>Kretek Jambi</v>
      </c>
      <c r="D188" s="138" t="str">
        <f ca="1">IFERROR(__xludf.DUMMYFUNCTION("""COMPUTED_VALUE"""),"https://wa.me/6282285205998")</f>
        <v>https://wa.me/6282285205998</v>
      </c>
      <c r="E188" s="139" t="str">
        <f ca="1">IFERROR(__xludf.DUMMYFUNCTION("""COMPUTED_VALUE"""),"6282285205998")</f>
        <v>6282285205998</v>
      </c>
      <c r="F188" s="139">
        <f ca="1">IFERROR(__xludf.DUMMYFUNCTION("""COMPUTED_VALUE"""),6694)</f>
        <v>6694</v>
      </c>
      <c r="G188" s="139">
        <f ca="1">IFERROR(__xludf.DUMMYFUNCTION("""COMPUTED_VALUE"""),9735.8)</f>
        <v>9735.7999999999993</v>
      </c>
      <c r="H188" s="139">
        <f ca="1">IFERROR(__xludf.DUMMYFUNCTION("""COMPUTED_VALUE"""),70)</f>
        <v>70</v>
      </c>
      <c r="I188" s="140">
        <f ca="1">IFERROR(__xludf.DUMMYFUNCTION("""COMPUTED_VALUE"""),69403)</f>
        <v>69403</v>
      </c>
      <c r="J188" s="141">
        <f ca="1">IFERROR(__xludf.DUMMYFUNCTION("""COMPUTED_VALUE"""),991.471428571428)</f>
        <v>991.47142857142796</v>
      </c>
      <c r="K188" s="142">
        <f ca="1">IFERROR(__xludf.DUMMYFUNCTION("""COMPUTED_VALUE"""),4.62686666666666)</f>
        <v>4.6268666666666602</v>
      </c>
      <c r="L188" s="143" t="str">
        <f ca="1"/>
        <v>Wiris Variasi</v>
      </c>
      <c r="M188" s="127"/>
      <c r="N188" s="127"/>
      <c r="O188" s="127"/>
      <c r="P188" s="127"/>
      <c r="Q188" s="127"/>
      <c r="R188" s="127"/>
      <c r="S188" s="127"/>
      <c r="T188" s="127"/>
      <c r="U188" s="127"/>
      <c r="V188" s="127"/>
      <c r="W188" s="127"/>
      <c r="X188" s="127"/>
      <c r="Y188" s="127"/>
      <c r="Z188" s="127"/>
      <c r="AA188" s="127"/>
    </row>
    <row r="189" spans="1:27">
      <c r="A189" s="127">
        <f ca="1">IFERROR(__xludf.DUMMYFUNCTION("""COMPUTED_VALUE"""),174904221976312)</f>
        <v>174904221976312</v>
      </c>
      <c r="B189" s="127" t="str">
        <f ca="1">IFERROR(__xludf.DUMMYFUNCTION("""COMPUTED_VALUE"""),"120229420166220694")</f>
        <v>120229420166220694</v>
      </c>
      <c r="C189" s="127" t="str">
        <f ca="1">IFERROR(__xludf.DUMMYFUNCTION("""COMPUTED_VALUE"""),"KHARISMA JAYA")</f>
        <v>KHARISMA JAYA</v>
      </c>
      <c r="D189" s="138" t="str">
        <f ca="1">IFERROR(__xludf.DUMMYFUNCTION("""COMPUTED_VALUE"""),"https://wa.me/6287790276733")</f>
        <v>https://wa.me/6287790276733</v>
      </c>
      <c r="E189" s="139" t="str">
        <f ca="1">IFERROR(__xludf.DUMMYFUNCTION("""COMPUTED_VALUE"""),"6287790276733")</f>
        <v>6287790276733</v>
      </c>
      <c r="F189" s="139">
        <f ca="1">IFERROR(__xludf.DUMMYFUNCTION("""COMPUTED_VALUE"""),31516)</f>
        <v>31516</v>
      </c>
      <c r="G189" s="139">
        <f ca="1">IFERROR(__xludf.DUMMYFUNCTION("""COMPUTED_VALUE"""),18806.88)</f>
        <v>18806.88</v>
      </c>
      <c r="H189" s="139">
        <f ca="1">IFERROR(__xludf.DUMMYFUNCTION("""COMPUTED_VALUE"""),49)</f>
        <v>49</v>
      </c>
      <c r="I189" s="140">
        <f ca="1">IFERROR(__xludf.DUMMYFUNCTION("""COMPUTED_VALUE"""),682527)</f>
        <v>682527</v>
      </c>
      <c r="J189" s="141">
        <f ca="1">IFERROR(__xludf.DUMMYFUNCTION("""COMPUTED_VALUE"""),13929.1224489795)</f>
        <v>13929.1224489795</v>
      </c>
      <c r="K189" s="142">
        <f ca="1">IFERROR(__xludf.DUMMYFUNCTION("""COMPUTED_VALUE"""),45.5018)</f>
        <v>45.501800000000003</v>
      </c>
      <c r="L189" s="143" t="str">
        <f ca="1"/>
        <v>Wiris Variasi</v>
      </c>
      <c r="M189" s="127"/>
      <c r="N189" s="127"/>
      <c r="O189" s="127"/>
      <c r="P189" s="127"/>
      <c r="Q189" s="127"/>
      <c r="R189" s="127"/>
      <c r="S189" s="127"/>
      <c r="T189" s="127"/>
      <c r="U189" s="127"/>
      <c r="V189" s="127"/>
      <c r="W189" s="127"/>
      <c r="X189" s="127"/>
      <c r="Y189" s="127"/>
      <c r="Z189" s="127"/>
      <c r="AA189" s="127"/>
    </row>
    <row r="190" spans="1:27">
      <c r="A190" s="127">
        <f ca="1">IFERROR(__xludf.DUMMYFUNCTION("""COMPUTED_VALUE"""),174904221976312)</f>
        <v>174904221976312</v>
      </c>
      <c r="B190" s="127" t="str">
        <f ca="1">IFERROR(__xludf.DUMMYFUNCTION("""COMPUTED_VALUE"""),"120229422230120694")</f>
        <v>120229422230120694</v>
      </c>
      <c r="C190" s="127" t="str">
        <f ca="1">IFERROR(__xludf.DUMMYFUNCTION("""COMPUTED_VALUE"""),"Rental mobil")</f>
        <v>Rental mobil</v>
      </c>
      <c r="D190" s="138" t="str">
        <f ca="1">IFERROR(__xludf.DUMMYFUNCTION("""COMPUTED_VALUE"""),"https://wa.me/6281938384000")</f>
        <v>https://wa.me/6281938384000</v>
      </c>
      <c r="E190" s="139" t="str">
        <f ca="1">IFERROR(__xludf.DUMMYFUNCTION("""COMPUTED_VALUE"""),"6281938384000")</f>
        <v>6281938384000</v>
      </c>
      <c r="F190" s="139">
        <f ca="1">IFERROR(__xludf.DUMMYFUNCTION("""COMPUTED_VALUE"""),30654)</f>
        <v>30654</v>
      </c>
      <c r="G190" s="139">
        <f ca="1">IFERROR(__xludf.DUMMYFUNCTION("""COMPUTED_VALUE"""),11550.6296296296)</f>
        <v>11550.6296296296</v>
      </c>
      <c r="H190" s="139">
        <f ca="1">IFERROR(__xludf.DUMMYFUNCTION("""COMPUTED_VALUE"""),64)</f>
        <v>64</v>
      </c>
      <c r="I190" s="140">
        <f ca="1">IFERROR(__xludf.DUMMYFUNCTION("""COMPUTED_VALUE"""),354628)</f>
        <v>354628</v>
      </c>
      <c r="J190" s="141">
        <f ca="1">IFERROR(__xludf.DUMMYFUNCTION("""COMPUTED_VALUE"""),5541.0625)</f>
        <v>5541.0625</v>
      </c>
      <c r="K190" s="142">
        <f ca="1">IFERROR(__xludf.DUMMYFUNCTION("""COMPUTED_VALUE"""),23.6418666666666)</f>
        <v>23.641866666666601</v>
      </c>
      <c r="L190" s="143" t="str">
        <f ca="1"/>
        <v>Wiris Variasi</v>
      </c>
      <c r="M190" s="127"/>
      <c r="N190" s="127"/>
      <c r="O190" s="127"/>
      <c r="P190" s="127"/>
      <c r="Q190" s="127"/>
      <c r="R190" s="127"/>
      <c r="S190" s="127"/>
      <c r="T190" s="127"/>
      <c r="U190" s="127"/>
      <c r="V190" s="127"/>
      <c r="W190" s="127"/>
      <c r="X190" s="127"/>
      <c r="Y190" s="127"/>
      <c r="Z190" s="127"/>
      <c r="AA190" s="127"/>
    </row>
    <row r="191" spans="1:27">
      <c r="A191" s="127">
        <f ca="1">IFERROR(__xludf.DUMMYFUNCTION("""COMPUTED_VALUE"""),174904221976312)</f>
        <v>174904221976312</v>
      </c>
      <c r="B191" s="127" t="str">
        <f ca="1">IFERROR(__xludf.DUMMYFUNCTION("""COMPUTED_VALUE"""),"120229427059860694")</f>
        <v>120229427059860694</v>
      </c>
      <c r="C191" s="127" t="str">
        <f ca="1">IFERROR(__xludf.DUMMYFUNCTION("""COMPUTED_VALUE"""),"ASKHALTRANS")</f>
        <v>ASKHALTRANS</v>
      </c>
      <c r="D191" s="138" t="str">
        <f ca="1">IFERROR(__xludf.DUMMYFUNCTION("""COMPUTED_VALUE"""),"https://wa.me/6281399886462")</f>
        <v>https://wa.me/6281399886462</v>
      </c>
      <c r="E191" s="139" t="str">
        <f ca="1">IFERROR(__xludf.DUMMYFUNCTION("""COMPUTED_VALUE"""),"6281399886462")</f>
        <v>6281399886462</v>
      </c>
      <c r="F191" s="139">
        <f ca="1">IFERROR(__xludf.DUMMYFUNCTION("""COMPUTED_VALUE"""),3518)</f>
        <v>3518</v>
      </c>
      <c r="G191" s="139">
        <f ca="1">IFERROR(__xludf.DUMMYFUNCTION("""COMPUTED_VALUE"""),17528.6)</f>
        <v>17528.599999999999</v>
      </c>
      <c r="H191" s="139">
        <f ca="1">IFERROR(__xludf.DUMMYFUNCTION("""COMPUTED_VALUE"""),24)</f>
        <v>24</v>
      </c>
      <c r="I191" s="140">
        <f ca="1">IFERROR(__xludf.DUMMYFUNCTION("""COMPUTED_VALUE"""),63312)</f>
        <v>63312</v>
      </c>
      <c r="J191" s="141">
        <f ca="1">IFERROR(__xludf.DUMMYFUNCTION("""COMPUTED_VALUE"""),2638)</f>
        <v>2638</v>
      </c>
      <c r="K191" s="142">
        <f ca="1">IFERROR(__xludf.DUMMYFUNCTION("""COMPUTED_VALUE"""),4.2208)</f>
        <v>4.2207999999999997</v>
      </c>
      <c r="L191" s="143" t="str">
        <f ca="1"/>
        <v>Wiris Variasi</v>
      </c>
      <c r="M191" s="127"/>
      <c r="N191" s="127"/>
      <c r="O191" s="127"/>
      <c r="P191" s="127"/>
      <c r="Q191" s="127"/>
      <c r="R191" s="127"/>
      <c r="S191" s="127"/>
      <c r="T191" s="127"/>
      <c r="U191" s="127"/>
      <c r="V191" s="127"/>
      <c r="W191" s="127"/>
      <c r="X191" s="127"/>
      <c r="Y191" s="127"/>
      <c r="Z191" s="127"/>
      <c r="AA191" s="127"/>
    </row>
    <row r="192" spans="1:27">
      <c r="A192" s="127">
        <f ca="1">IFERROR(__xludf.DUMMYFUNCTION("""COMPUTED_VALUE"""),174904221976312)</f>
        <v>174904221976312</v>
      </c>
      <c r="B192" s="127" t="str">
        <f ca="1">IFERROR(__xludf.DUMMYFUNCTION("""COMPUTED_VALUE"""),"120229427577300694")</f>
        <v>120229427577300694</v>
      </c>
      <c r="C192" s="127" t="str">
        <f ca="1">IFERROR(__xludf.DUMMYFUNCTION("""COMPUTED_VALUE"""),"TAMPIAN TRANS")</f>
        <v>TAMPIAN TRANS</v>
      </c>
      <c r="D192" s="138" t="str">
        <f ca="1">IFERROR(__xludf.DUMMYFUNCTION("""COMPUTED_VALUE"""),"https://wa.me/6285727626320")</f>
        <v>https://wa.me/6285727626320</v>
      </c>
      <c r="E192" s="139" t="str">
        <f ca="1">IFERROR(__xludf.DUMMYFUNCTION("""COMPUTED_VALUE"""),"6285727626320")</f>
        <v>6285727626320</v>
      </c>
      <c r="F192" s="139">
        <f ca="1">IFERROR(__xludf.DUMMYFUNCTION("""COMPUTED_VALUE"""),1943)</f>
        <v>1943</v>
      </c>
      <c r="G192" s="139">
        <f ca="1">IFERROR(__xludf.DUMMYFUNCTION("""COMPUTED_VALUE"""),28553.2)</f>
        <v>28553.200000000001</v>
      </c>
      <c r="H192" s="139">
        <f ca="1">IFERROR(__xludf.DUMMYFUNCTION("""COMPUTED_VALUE"""),29)</f>
        <v>29</v>
      </c>
      <c r="I192" s="140">
        <f ca="1">IFERROR(__xludf.DUMMYFUNCTION("""COMPUTED_VALUE"""),61255)</f>
        <v>61255</v>
      </c>
      <c r="J192" s="141">
        <f ca="1">IFERROR(__xludf.DUMMYFUNCTION("""COMPUTED_VALUE"""),2112.24137931034)</f>
        <v>2112.2413793103401</v>
      </c>
      <c r="K192" s="142">
        <f ca="1">IFERROR(__xludf.DUMMYFUNCTION("""COMPUTED_VALUE"""),4.08366666666666)</f>
        <v>4.0836666666666597</v>
      </c>
      <c r="L192" s="143" t="str">
        <f ca="1"/>
        <v>Wiris Variasi</v>
      </c>
      <c r="M192" s="127"/>
      <c r="N192" s="127"/>
      <c r="O192" s="127"/>
      <c r="P192" s="127"/>
      <c r="Q192" s="127"/>
      <c r="R192" s="127"/>
      <c r="S192" s="127"/>
      <c r="T192" s="127"/>
      <c r="U192" s="127"/>
      <c r="V192" s="127"/>
      <c r="W192" s="127"/>
      <c r="X192" s="127"/>
      <c r="Y192" s="127"/>
      <c r="Z192" s="127"/>
      <c r="AA192" s="127"/>
    </row>
    <row r="193" spans="1:27">
      <c r="A193" s="127">
        <f ca="1">IFERROR(__xludf.DUMMYFUNCTION("""COMPUTED_VALUE"""),174904221976312)</f>
        <v>174904221976312</v>
      </c>
      <c r="B193" s="127" t="str">
        <f ca="1">IFERROR(__xludf.DUMMYFUNCTION("""COMPUTED_VALUE"""),"120229536211020694")</f>
        <v>120229536211020694</v>
      </c>
      <c r="C193" s="127" t="str">
        <f ca="1">IFERROR(__xludf.DUMMYFUNCTION("""COMPUTED_VALUE"""),"Prayudah Tour")</f>
        <v>Prayudah Tour</v>
      </c>
      <c r="D193" s="138" t="str">
        <f ca="1">IFERROR(__xludf.DUMMYFUNCTION("""COMPUTED_VALUE"""),"https://wa.me/6282186829904")</f>
        <v>https://wa.me/6282186829904</v>
      </c>
      <c r="E193" s="139" t="str">
        <f ca="1">IFERROR(__xludf.DUMMYFUNCTION("""COMPUTED_VALUE"""),"6282186829904")</f>
        <v>6282186829904</v>
      </c>
      <c r="F193" s="139">
        <f ca="1">IFERROR(__xludf.DUMMYFUNCTION("""COMPUTED_VALUE"""),3743)</f>
        <v>3743</v>
      </c>
      <c r="G193" s="139">
        <f ca="1">IFERROR(__xludf.DUMMYFUNCTION("""COMPUTED_VALUE"""),77596.0476190476)</f>
        <v>77596.047619047604</v>
      </c>
      <c r="H193" s="139">
        <f ca="1">IFERROR(__xludf.DUMMYFUNCTION("""COMPUTED_VALUE"""),17)</f>
        <v>17</v>
      </c>
      <c r="I193" s="140">
        <f ca="1">IFERROR(__xludf.DUMMYFUNCTION("""COMPUTED_VALUE"""),281779)</f>
        <v>281779</v>
      </c>
      <c r="J193" s="141">
        <f ca="1">IFERROR(__xludf.DUMMYFUNCTION("""COMPUTED_VALUE"""),16575.2352941176)</f>
        <v>16575.2352941176</v>
      </c>
      <c r="K193" s="142">
        <f ca="1">IFERROR(__xludf.DUMMYFUNCTION("""COMPUTED_VALUE"""),18.7852666666666)</f>
        <v>18.785266666666601</v>
      </c>
      <c r="L193" s="143" t="str">
        <f ca="1"/>
        <v>Wiris Variasi</v>
      </c>
      <c r="M193" s="127"/>
      <c r="N193" s="127"/>
      <c r="O193" s="127"/>
      <c r="P193" s="127"/>
      <c r="Q193" s="127"/>
      <c r="R193" s="127"/>
      <c r="S193" s="127"/>
      <c r="T193" s="127"/>
      <c r="U193" s="127"/>
      <c r="V193" s="127"/>
      <c r="W193" s="127"/>
      <c r="X193" s="127"/>
      <c r="Y193" s="127"/>
      <c r="Z193" s="127"/>
      <c r="AA193" s="127"/>
    </row>
    <row r="194" spans="1:27">
      <c r="A194" s="127">
        <f ca="1">IFERROR(__xludf.DUMMYFUNCTION("""COMPUTED_VALUE"""),174904221976312)</f>
        <v>174904221976312</v>
      </c>
      <c r="B194" s="127" t="str">
        <f ca="1">IFERROR(__xludf.DUMMYFUNCTION("""COMPUTED_VALUE"""),"120229536549420694")</f>
        <v>120229536549420694</v>
      </c>
      <c r="C194" s="127" t="str">
        <f ca="1">IFERROR(__xludf.DUMMYFUNCTION("""COMPUTED_VALUE"""),"ADH TOUR")</f>
        <v>ADH TOUR</v>
      </c>
      <c r="D194" s="138" t="str">
        <f ca="1">IFERROR(__xludf.DUMMYFUNCTION("""COMPUTED_VALUE"""),"https://wa.me/6285207285812")</f>
        <v>https://wa.me/6285207285812</v>
      </c>
      <c r="E194" s="139" t="str">
        <f ca="1">IFERROR(__xludf.DUMMYFUNCTION("""COMPUTED_VALUE"""),"6285207285812")</f>
        <v>6285207285812</v>
      </c>
      <c r="F194" s="139">
        <f ca="1">IFERROR(__xludf.DUMMYFUNCTION("""COMPUTED_VALUE"""),2428)</f>
        <v>2428</v>
      </c>
      <c r="G194" s="139">
        <f ca="1">IFERROR(__xludf.DUMMYFUNCTION("""COMPUTED_VALUE"""),28277.1666666666)</f>
        <v>28277.166666666599</v>
      </c>
      <c r="H194" s="139">
        <f ca="1">IFERROR(__xludf.DUMMYFUNCTION("""COMPUTED_VALUE"""),24)</f>
        <v>24</v>
      </c>
      <c r="I194" s="140">
        <f ca="1">IFERROR(__xludf.DUMMYFUNCTION("""COMPUTED_VALUE"""),66796)</f>
        <v>66796</v>
      </c>
      <c r="J194" s="141">
        <f ca="1">IFERROR(__xludf.DUMMYFUNCTION("""COMPUTED_VALUE"""),2783.16666666666)</f>
        <v>2783.1666666666601</v>
      </c>
      <c r="K194" s="142">
        <f ca="1">IFERROR(__xludf.DUMMYFUNCTION("""COMPUTED_VALUE"""),4.45306666666666)</f>
        <v>4.4530666666666603</v>
      </c>
      <c r="L194" s="143" t="str">
        <f ca="1"/>
        <v>Wiris Variasi</v>
      </c>
      <c r="M194" s="127"/>
      <c r="N194" s="127"/>
      <c r="O194" s="127"/>
      <c r="P194" s="127"/>
      <c r="Q194" s="127"/>
      <c r="R194" s="127"/>
      <c r="S194" s="127"/>
      <c r="T194" s="127"/>
      <c r="U194" s="127"/>
      <c r="V194" s="127"/>
      <c r="W194" s="127"/>
      <c r="X194" s="127"/>
      <c r="Y194" s="127"/>
      <c r="Z194" s="127"/>
      <c r="AA194" s="127"/>
    </row>
    <row r="195" spans="1:27">
      <c r="A195" s="127">
        <f ca="1">IFERROR(__xludf.DUMMYFUNCTION("""COMPUTED_VALUE"""),174904221976312)</f>
        <v>174904221976312</v>
      </c>
      <c r="B195" s="127" t="str">
        <f ca="1">IFERROR(__xludf.DUMMYFUNCTION("""COMPUTED_VALUE"""),"120229538953550694")</f>
        <v>120229538953550694</v>
      </c>
      <c r="C195" s="127" t="str">
        <f ca="1">IFERROR(__xludf.DUMMYFUNCTION("""COMPUTED_VALUE"""),"Bu Djempol")</f>
        <v>Bu Djempol</v>
      </c>
      <c r="D195" s="138" t="str">
        <f ca="1">IFERROR(__xludf.DUMMYFUNCTION("""COMPUTED_VALUE"""),"https://wa.me/6281217126285")</f>
        <v>https://wa.me/6281217126285</v>
      </c>
      <c r="E195" s="139" t="str">
        <f ca="1">IFERROR(__xludf.DUMMYFUNCTION("""COMPUTED_VALUE"""),"6281217126285")</f>
        <v>6281217126285</v>
      </c>
      <c r="F195" s="139">
        <f ca="1">IFERROR(__xludf.DUMMYFUNCTION("""COMPUTED_VALUE"""),1867)</f>
        <v>1867</v>
      </c>
      <c r="G195" s="139">
        <f ca="1">IFERROR(__xludf.DUMMYFUNCTION("""COMPUTED_VALUE"""),27598.4)</f>
        <v>27598.400000000001</v>
      </c>
      <c r="H195" s="139">
        <f ca="1">IFERROR(__xludf.DUMMYFUNCTION("""COMPUTED_VALUE"""),21)</f>
        <v>21</v>
      </c>
      <c r="I195" s="140">
        <f ca="1">IFERROR(__xludf.DUMMYFUNCTION("""COMPUTED_VALUE"""),53731)</f>
        <v>53731</v>
      </c>
      <c r="J195" s="141">
        <f ca="1">IFERROR(__xludf.DUMMYFUNCTION("""COMPUTED_VALUE"""),2558.61904761904)</f>
        <v>2558.61904761904</v>
      </c>
      <c r="K195" s="142">
        <f ca="1">IFERROR(__xludf.DUMMYFUNCTION("""COMPUTED_VALUE"""),3.58206666666666)</f>
        <v>3.5820666666666598</v>
      </c>
      <c r="L195" s="143" t="str">
        <f ca="1"/>
        <v>Wiris Variasi</v>
      </c>
      <c r="M195" s="127"/>
      <c r="N195" s="127"/>
      <c r="O195" s="127"/>
      <c r="P195" s="127"/>
      <c r="Q195" s="127"/>
      <c r="R195" s="127"/>
      <c r="S195" s="127"/>
      <c r="T195" s="127"/>
      <c r="U195" s="127"/>
      <c r="V195" s="127"/>
      <c r="W195" s="127"/>
      <c r="X195" s="127"/>
      <c r="Y195" s="127"/>
      <c r="Z195" s="127"/>
      <c r="AA195" s="127"/>
    </row>
    <row r="196" spans="1:27">
      <c r="A196" s="127">
        <f ca="1">IFERROR(__xludf.DUMMYFUNCTION("""COMPUTED_VALUE"""),174904221976312)</f>
        <v>174904221976312</v>
      </c>
      <c r="B196" s="127" t="str">
        <f ca="1">IFERROR(__xludf.DUMMYFUNCTION("""COMPUTED_VALUE"""),"120229539357380694")</f>
        <v>120229539357380694</v>
      </c>
      <c r="C196" s="127" t="str">
        <f ca="1">IFERROR(__xludf.DUMMYFUNCTION("""COMPUTED_VALUE"""),"AGVINK MASSAGE")</f>
        <v>AGVINK MASSAGE</v>
      </c>
      <c r="D196" s="138" t="str">
        <f ca="1">IFERROR(__xludf.DUMMYFUNCTION("""COMPUTED_VALUE"""),"https://wa.me/6287745180632")</f>
        <v>https://wa.me/6287745180632</v>
      </c>
      <c r="E196" s="139" t="str">
        <f ca="1">IFERROR(__xludf.DUMMYFUNCTION("""COMPUTED_VALUE"""),"6287745180632")</f>
        <v>6287745180632</v>
      </c>
      <c r="F196" s="139">
        <f ca="1">IFERROR(__xludf.DUMMYFUNCTION("""COMPUTED_VALUE"""),3664)</f>
        <v>3664</v>
      </c>
      <c r="G196" s="139">
        <f ca="1">IFERROR(__xludf.DUMMYFUNCTION("""COMPUTED_VALUE"""),12800.6)</f>
        <v>12800.6</v>
      </c>
      <c r="H196" s="139">
        <f ca="1">IFERROR(__xludf.DUMMYFUNCTION("""COMPUTED_VALUE"""),15)</f>
        <v>15</v>
      </c>
      <c r="I196" s="140">
        <f ca="1">IFERROR(__xludf.DUMMYFUNCTION("""COMPUTED_VALUE"""),55131)</f>
        <v>55131</v>
      </c>
      <c r="J196" s="141">
        <f ca="1">IFERROR(__xludf.DUMMYFUNCTION("""COMPUTED_VALUE"""),3675.4)</f>
        <v>3675.4</v>
      </c>
      <c r="K196" s="142">
        <f ca="1">IFERROR(__xludf.DUMMYFUNCTION("""COMPUTED_VALUE"""),3.6754)</f>
        <v>3.6753999999999998</v>
      </c>
      <c r="L196" s="143" t="str">
        <f ca="1"/>
        <v>Wiris Variasi</v>
      </c>
      <c r="M196" s="127"/>
      <c r="N196" s="127"/>
      <c r="O196" s="127"/>
      <c r="P196" s="127"/>
      <c r="Q196" s="127"/>
      <c r="R196" s="127"/>
      <c r="S196" s="127"/>
      <c r="T196" s="127"/>
      <c r="U196" s="127"/>
      <c r="V196" s="127"/>
      <c r="W196" s="127"/>
      <c r="X196" s="127"/>
      <c r="Y196" s="127"/>
      <c r="Z196" s="127"/>
      <c r="AA196" s="127"/>
    </row>
    <row r="197" spans="1:27">
      <c r="A197" s="127">
        <f ca="1">IFERROR(__xludf.DUMMYFUNCTION("""COMPUTED_VALUE"""),174904221976312)</f>
        <v>174904221976312</v>
      </c>
      <c r="B197" s="127" t="str">
        <f ca="1">IFERROR(__xludf.DUMMYFUNCTION("""COMPUTED_VALUE"""),"120229631437820694")</f>
        <v>120229631437820694</v>
      </c>
      <c r="C197" s="127" t="str">
        <f ca="1">IFERROR(__xludf.DUMMYFUNCTION("""COMPUTED_VALUE"""),"CV SAKTI")</f>
        <v>CV SAKTI</v>
      </c>
      <c r="D197" s="138" t="str">
        <f ca="1">IFERROR(__xludf.DUMMYFUNCTION("""COMPUTED_VALUE"""),"https://wa.me/6285820117323")</f>
        <v>https://wa.me/6285820117323</v>
      </c>
      <c r="E197" s="139" t="str">
        <f ca="1">IFERROR(__xludf.DUMMYFUNCTION("""COMPUTED_VALUE"""),"6285820117323")</f>
        <v>6285820117323</v>
      </c>
      <c r="F197" s="139">
        <f ca="1">IFERROR(__xludf.DUMMYFUNCTION("""COMPUTED_VALUE"""),7852)</f>
        <v>7852</v>
      </c>
      <c r="G197" s="139">
        <f ca="1">IFERROR(__xludf.DUMMYFUNCTION("""COMPUTED_VALUE"""),7950.66666666666)</f>
        <v>7950.6666666666597</v>
      </c>
      <c r="H197" s="139">
        <f ca="1">IFERROR(__xludf.DUMMYFUNCTION("""COMPUTED_VALUE"""),6)</f>
        <v>6</v>
      </c>
      <c r="I197" s="140">
        <f ca="1">IFERROR(__xludf.DUMMYFUNCTION("""COMPUTED_VALUE"""),70506)</f>
        <v>70506</v>
      </c>
      <c r="J197" s="141">
        <f ca="1">IFERROR(__xludf.DUMMYFUNCTION("""COMPUTED_VALUE"""),11751)</f>
        <v>11751</v>
      </c>
      <c r="K197" s="142">
        <f ca="1">IFERROR(__xludf.DUMMYFUNCTION("""COMPUTED_VALUE"""),4.7004)</f>
        <v>4.7004000000000001</v>
      </c>
      <c r="L197" s="143" t="str">
        <f ca="1"/>
        <v>Wiris Variasi</v>
      </c>
      <c r="M197" s="127"/>
      <c r="N197" s="127"/>
      <c r="O197" s="127"/>
      <c r="P197" s="127"/>
      <c r="Q197" s="127"/>
      <c r="R197" s="127"/>
      <c r="S197" s="127"/>
      <c r="T197" s="127"/>
      <c r="U197" s="127"/>
      <c r="V197" s="127"/>
      <c r="W197" s="127"/>
      <c r="X197" s="127"/>
      <c r="Y197" s="127"/>
      <c r="Z197" s="127"/>
      <c r="AA197" s="127"/>
    </row>
    <row r="198" spans="1:27">
      <c r="A198" s="127">
        <f ca="1">IFERROR(__xludf.DUMMYFUNCTION("""COMPUTED_VALUE"""),174904221976312)</f>
        <v>174904221976312</v>
      </c>
      <c r="B198" s="127" t="str">
        <f ca="1">IFERROR(__xludf.DUMMYFUNCTION("""COMPUTED_VALUE"""),"120229631636590694")</f>
        <v>120229631636590694</v>
      </c>
      <c r="C198" s="127" t="str">
        <f ca="1">IFERROR(__xludf.DUMMYFUNCTION("""COMPUTED_VALUE"""),"Cahaya Al")</f>
        <v>Cahaya Al</v>
      </c>
      <c r="D198" s="138" t="str">
        <f ca="1">IFERROR(__xludf.DUMMYFUNCTION("""COMPUTED_VALUE"""),"https://wa.me/6281330410391")</f>
        <v>https://wa.me/6281330410391</v>
      </c>
      <c r="E198" s="139" t="str">
        <f ca="1">IFERROR(__xludf.DUMMYFUNCTION("""COMPUTED_VALUE"""),"6281330410391")</f>
        <v>6281330410391</v>
      </c>
      <c r="F198" s="139">
        <f ca="1">IFERROR(__xludf.DUMMYFUNCTION("""COMPUTED_VALUE"""),11624)</f>
        <v>11624</v>
      </c>
      <c r="G198" s="139">
        <f ca="1">IFERROR(__xludf.DUMMYFUNCTION("""COMPUTED_VALUE"""),16631.8333333333)</f>
        <v>16631.833333333299</v>
      </c>
      <c r="H198" s="139">
        <f ca="1">IFERROR(__xludf.DUMMYFUNCTION("""COMPUTED_VALUE"""),122)</f>
        <v>122</v>
      </c>
      <c r="I198" s="140">
        <f ca="1">IFERROR(__xludf.DUMMYFUNCTION("""COMPUTED_VALUE"""),237046)</f>
        <v>237046</v>
      </c>
      <c r="J198" s="141">
        <f ca="1">IFERROR(__xludf.DUMMYFUNCTION("""COMPUTED_VALUE"""),1943)</f>
        <v>1943</v>
      </c>
      <c r="K198" s="142">
        <f ca="1">IFERROR(__xludf.DUMMYFUNCTION("""COMPUTED_VALUE"""),15.8030666666666)</f>
        <v>15.8030666666666</v>
      </c>
      <c r="L198" s="143" t="str">
        <f ca="1"/>
        <v>Wiris Variasi</v>
      </c>
      <c r="M198" s="127"/>
      <c r="N198" s="127"/>
      <c r="O198" s="127"/>
      <c r="P198" s="127"/>
      <c r="Q198" s="127"/>
      <c r="R198" s="127"/>
      <c r="S198" s="127"/>
      <c r="T198" s="127"/>
      <c r="U198" s="127"/>
      <c r="V198" s="127"/>
      <c r="W198" s="127"/>
      <c r="X198" s="127"/>
      <c r="Y198" s="127"/>
      <c r="Z198" s="127"/>
      <c r="AA198" s="127"/>
    </row>
    <row r="199" spans="1:27">
      <c r="A199" s="127">
        <f ca="1">IFERROR(__xludf.DUMMYFUNCTION("""COMPUTED_VALUE"""),174904221976312)</f>
        <v>174904221976312</v>
      </c>
      <c r="B199" s="127" t="str">
        <f ca="1">IFERROR(__xludf.DUMMYFUNCTION("""COMPUTED_VALUE"""),"120229632849320694")</f>
        <v>120229632849320694</v>
      </c>
      <c r="C199" s="127" t="str">
        <f ca="1">IFERROR(__xludf.DUMMYFUNCTION("""COMPUTED_VALUE"""),"Therapy pijat")</f>
        <v>Therapy pijat</v>
      </c>
      <c r="D199" s="138" t="str">
        <f ca="1">IFERROR(__xludf.DUMMYFUNCTION("""COMPUTED_VALUE"""),"https://wa.me/6287865111033")</f>
        <v>https://wa.me/6287865111033</v>
      </c>
      <c r="E199" s="139" t="str">
        <f ca="1">IFERROR(__xludf.DUMMYFUNCTION("""COMPUTED_VALUE"""),"6287865111033")</f>
        <v>6287865111033</v>
      </c>
      <c r="F199" s="139">
        <f ca="1">IFERROR(__xludf.DUMMYFUNCTION("""COMPUTED_VALUE"""),28046)</f>
        <v>28046</v>
      </c>
      <c r="G199" s="139">
        <f ca="1">IFERROR(__xludf.DUMMYFUNCTION("""COMPUTED_VALUE"""),9359.9)</f>
        <v>9359.9</v>
      </c>
      <c r="H199" s="139">
        <f ca="1">IFERROR(__xludf.DUMMYFUNCTION("""COMPUTED_VALUE"""),62)</f>
        <v>62</v>
      </c>
      <c r="I199" s="140">
        <f ca="1">IFERROR(__xludf.DUMMYFUNCTION("""COMPUTED_VALUE"""),273888)</f>
        <v>273888</v>
      </c>
      <c r="J199" s="141">
        <f ca="1">IFERROR(__xludf.DUMMYFUNCTION("""COMPUTED_VALUE"""),4417.54838709677)</f>
        <v>4417.5483870967701</v>
      </c>
      <c r="K199" s="142">
        <f ca="1">IFERROR(__xludf.DUMMYFUNCTION("""COMPUTED_VALUE"""),18.2592)</f>
        <v>18.2592</v>
      </c>
      <c r="L199" s="143" t="str">
        <f ca="1"/>
        <v>Wiris Variasi</v>
      </c>
      <c r="M199" s="127"/>
      <c r="N199" s="127"/>
      <c r="O199" s="127"/>
      <c r="P199" s="127"/>
      <c r="Q199" s="127"/>
      <c r="R199" s="127"/>
      <c r="S199" s="127"/>
      <c r="T199" s="127"/>
      <c r="U199" s="127"/>
      <c r="V199" s="127"/>
      <c r="W199" s="127"/>
      <c r="X199" s="127"/>
      <c r="Y199" s="127"/>
      <c r="Z199" s="127"/>
      <c r="AA199" s="127"/>
    </row>
    <row r="200" spans="1:27">
      <c r="A200" s="127">
        <f ca="1">IFERROR(__xludf.DUMMYFUNCTION("""COMPUTED_VALUE"""),174904221976312)</f>
        <v>174904221976312</v>
      </c>
      <c r="B200" s="127" t="str">
        <f ca="1">IFERROR(__xludf.DUMMYFUNCTION("""COMPUTED_VALUE"""),"120229633717880694")</f>
        <v>120229633717880694</v>
      </c>
      <c r="C200" s="127" t="str">
        <f ca="1">IFERROR(__xludf.DUMMYFUNCTION("""COMPUTED_VALUE"""),"Rumah Sehat")</f>
        <v>Rumah Sehat</v>
      </c>
      <c r="D200" s="138" t="str">
        <f ca="1">IFERROR(__xludf.DUMMYFUNCTION("""COMPUTED_VALUE"""),"https://wa.me/6281111121020")</f>
        <v>https://wa.me/6281111121020</v>
      </c>
      <c r="E200" s="139" t="str">
        <f ca="1">IFERROR(__xludf.DUMMYFUNCTION("""COMPUTED_VALUE"""),"6281111121020")</f>
        <v>6281111121020</v>
      </c>
      <c r="F200" s="139">
        <f ca="1">IFERROR(__xludf.DUMMYFUNCTION("""COMPUTED_VALUE"""),2485)</f>
        <v>2485</v>
      </c>
      <c r="G200" s="139">
        <f ca="1">IFERROR(__xludf.DUMMYFUNCTION("""COMPUTED_VALUE"""),16310.5)</f>
        <v>16310.5</v>
      </c>
      <c r="H200" s="139">
        <f ca="1">IFERROR(__xludf.DUMMYFUNCTION("""COMPUTED_VALUE"""),11)</f>
        <v>11</v>
      </c>
      <c r="I200" s="140">
        <f ca="1">IFERROR(__xludf.DUMMYFUNCTION("""COMPUTED_VALUE"""),48864)</f>
        <v>48864</v>
      </c>
      <c r="J200" s="141">
        <f ca="1">IFERROR(__xludf.DUMMYFUNCTION("""COMPUTED_VALUE"""),4442.18181818181)</f>
        <v>4442.1818181818098</v>
      </c>
      <c r="K200" s="142">
        <f ca="1">IFERROR(__xludf.DUMMYFUNCTION("""COMPUTED_VALUE"""),3.2576)</f>
        <v>3.2576000000000001</v>
      </c>
      <c r="L200" s="143" t="str">
        <f ca="1"/>
        <v>Wiris Variasi</v>
      </c>
      <c r="M200" s="127"/>
      <c r="N200" s="127"/>
      <c r="O200" s="127"/>
      <c r="P200" s="127"/>
      <c r="Q200" s="127"/>
      <c r="R200" s="127"/>
      <c r="S200" s="127"/>
      <c r="T200" s="127"/>
      <c r="U200" s="127"/>
      <c r="V200" s="127"/>
      <c r="W200" s="127"/>
      <c r="X200" s="127"/>
      <c r="Y200" s="127"/>
      <c r="Z200" s="127"/>
      <c r="AA200" s="127"/>
    </row>
    <row r="201" spans="1:27">
      <c r="A201" s="127">
        <f ca="1">IFERROR(__xludf.DUMMYFUNCTION("""COMPUTED_VALUE"""),174904221976312)</f>
        <v>174904221976312</v>
      </c>
      <c r="B201" s="127" t="str">
        <f ca="1">IFERROR(__xludf.DUMMYFUNCTION("""COMPUTED_VALUE"""),"120229634636490694")</f>
        <v>120229634636490694</v>
      </c>
      <c r="C201" s="127" t="str">
        <f ca="1">IFERROR(__xludf.DUMMYFUNCTION("""COMPUTED_VALUE"""),"LMC BEAUTY")</f>
        <v>LMC BEAUTY</v>
      </c>
      <c r="D201" s="138" t="str">
        <f ca="1">IFERROR(__xludf.DUMMYFUNCTION("""COMPUTED_VALUE"""),"https://wa.me/6282154233977")</f>
        <v>https://wa.me/6282154233977</v>
      </c>
      <c r="E201" s="139" t="str">
        <f ca="1">IFERROR(__xludf.DUMMYFUNCTION("""COMPUTED_VALUE"""),"6282154233977")</f>
        <v>6282154233977</v>
      </c>
      <c r="F201" s="139">
        <f ca="1">IFERROR(__xludf.DUMMYFUNCTION("""COMPUTED_VALUE"""),8987)</f>
        <v>8987</v>
      </c>
      <c r="G201" s="139">
        <f ca="1">IFERROR(__xludf.DUMMYFUNCTION("""COMPUTED_VALUE"""),13433)</f>
        <v>13433</v>
      </c>
      <c r="H201" s="139">
        <f ca="1">IFERROR(__xludf.DUMMYFUNCTION("""COMPUTED_VALUE"""),44)</f>
        <v>44</v>
      </c>
      <c r="I201" s="140">
        <f ca="1">IFERROR(__xludf.DUMMYFUNCTION("""COMPUTED_VALUE"""),134454)</f>
        <v>134454</v>
      </c>
      <c r="J201" s="141">
        <f ca="1">IFERROR(__xludf.DUMMYFUNCTION("""COMPUTED_VALUE"""),3055.77272727272)</f>
        <v>3055.7727272727202</v>
      </c>
      <c r="K201" s="142">
        <f ca="1">IFERROR(__xludf.DUMMYFUNCTION("""COMPUTED_VALUE"""),8.9636)</f>
        <v>8.9635999999999996</v>
      </c>
      <c r="L201" s="143" t="str">
        <f ca="1"/>
        <v>Wiris Variasi</v>
      </c>
      <c r="M201" s="127"/>
      <c r="N201" s="127"/>
      <c r="O201" s="127"/>
      <c r="P201" s="127"/>
      <c r="Q201" s="127"/>
      <c r="R201" s="127"/>
      <c r="S201" s="127"/>
      <c r="T201" s="127"/>
      <c r="U201" s="127"/>
      <c r="V201" s="127"/>
      <c r="W201" s="127"/>
      <c r="X201" s="127"/>
      <c r="Y201" s="127"/>
      <c r="Z201" s="127"/>
      <c r="AA201" s="127"/>
    </row>
    <row r="202" spans="1:27">
      <c r="A202" s="127">
        <f ca="1">IFERROR(__xludf.DUMMYFUNCTION("""COMPUTED_VALUE"""),174904221976312)</f>
        <v>174904221976312</v>
      </c>
      <c r="B202" s="127" t="str">
        <f ca="1">IFERROR(__xludf.DUMMYFUNCTION("""COMPUTED_VALUE"""),"120229636262830694")</f>
        <v>120229636262830694</v>
      </c>
      <c r="C202" s="127" t="str">
        <f ca="1">IFERROR(__xludf.DUMMYFUNCTION("""COMPUTED_VALUE"""),"Gudang matic")</f>
        <v>Gudang matic</v>
      </c>
      <c r="D202" s="138" t="str">
        <f ca="1">IFERROR(__xludf.DUMMYFUNCTION("""COMPUTED_VALUE"""),"https://wa.me/6287762605372")</f>
        <v>https://wa.me/6287762605372</v>
      </c>
      <c r="E202" s="139" t="str">
        <f ca="1">IFERROR(__xludf.DUMMYFUNCTION("""COMPUTED_VALUE"""),"6287762605372")</f>
        <v>6287762605372</v>
      </c>
      <c r="F202" s="139">
        <f ca="1">IFERROR(__xludf.DUMMYFUNCTION("""COMPUTED_VALUE"""),1930)</f>
        <v>1930</v>
      </c>
      <c r="G202" s="139">
        <f ca="1">IFERROR(__xludf.DUMMYFUNCTION("""COMPUTED_VALUE"""),29426)</f>
        <v>29426</v>
      </c>
      <c r="H202" s="139">
        <f ca="1">IFERROR(__xludf.DUMMYFUNCTION("""COMPUTED_VALUE"""),19)</f>
        <v>19</v>
      </c>
      <c r="I202" s="140">
        <f ca="1">IFERROR(__xludf.DUMMYFUNCTION("""COMPUTED_VALUE"""),66809)</f>
        <v>66809</v>
      </c>
      <c r="J202" s="141">
        <f ca="1">IFERROR(__xludf.DUMMYFUNCTION("""COMPUTED_VALUE"""),3516.26315789473)</f>
        <v>3516.2631578947298</v>
      </c>
      <c r="K202" s="142">
        <f ca="1">IFERROR(__xludf.DUMMYFUNCTION("""COMPUTED_VALUE"""),4.45393333333333)</f>
        <v>4.45393333333333</v>
      </c>
      <c r="L202" s="143" t="str">
        <f ca="1"/>
        <v>Wiris Variasi</v>
      </c>
      <c r="M202" s="127"/>
      <c r="N202" s="127"/>
      <c r="O202" s="127"/>
      <c r="P202" s="127"/>
      <c r="Q202" s="127"/>
      <c r="R202" s="127"/>
      <c r="S202" s="127"/>
      <c r="T202" s="127"/>
      <c r="U202" s="127"/>
      <c r="V202" s="127"/>
      <c r="W202" s="127"/>
      <c r="X202" s="127"/>
      <c r="Y202" s="127"/>
      <c r="Z202" s="127"/>
      <c r="AA202" s="127"/>
    </row>
    <row r="203" spans="1:27">
      <c r="A203" s="127">
        <f ca="1">IFERROR(__xludf.DUMMYFUNCTION("""COMPUTED_VALUE"""),174904221976312)</f>
        <v>174904221976312</v>
      </c>
      <c r="B203" s="127" t="str">
        <f ca="1">IFERROR(__xludf.DUMMYFUNCTION("""COMPUTED_VALUE"""),"120229733787950694")</f>
        <v>120229733787950694</v>
      </c>
      <c r="C203" s="127" t="str">
        <f ca="1">IFERROR(__xludf.DUMMYFUNCTION("""COMPUTED_VALUE"""),"Pijat Sehat")</f>
        <v>Pijat Sehat</v>
      </c>
      <c r="D203" s="138" t="str">
        <f ca="1">IFERROR(__xludf.DUMMYFUNCTION("""COMPUTED_VALUE"""),"https://wa.me/6282142833445")</f>
        <v>https://wa.me/6282142833445</v>
      </c>
      <c r="E203" s="139" t="str">
        <f ca="1">IFERROR(__xludf.DUMMYFUNCTION("""COMPUTED_VALUE"""),"6282142833445")</f>
        <v>6282142833445</v>
      </c>
      <c r="F203" s="139">
        <f ca="1">IFERROR(__xludf.DUMMYFUNCTION("""COMPUTED_VALUE"""),5197)</f>
        <v>5197</v>
      </c>
      <c r="G203" s="139">
        <f ca="1">IFERROR(__xludf.DUMMYFUNCTION("""COMPUTED_VALUE"""),11389)</f>
        <v>11389</v>
      </c>
      <c r="H203" s="139">
        <f ca="1">IFERROR(__xludf.DUMMYFUNCTION("""COMPUTED_VALUE"""),8)</f>
        <v>8</v>
      </c>
      <c r="I203" s="140">
        <f ca="1">IFERROR(__xludf.DUMMYFUNCTION("""COMPUTED_VALUE"""),70843)</f>
        <v>70843</v>
      </c>
      <c r="J203" s="141">
        <f ca="1">IFERROR(__xludf.DUMMYFUNCTION("""COMPUTED_VALUE"""),8855.375)</f>
        <v>8855.375</v>
      </c>
      <c r="K203" s="142">
        <f ca="1">IFERROR(__xludf.DUMMYFUNCTION("""COMPUTED_VALUE"""),4.72286666666666)</f>
        <v>4.7228666666666603</v>
      </c>
      <c r="L203" s="143" t="str">
        <f ca="1"/>
        <v>Wiris Variasi</v>
      </c>
      <c r="M203" s="127"/>
      <c r="N203" s="127"/>
      <c r="O203" s="127"/>
      <c r="P203" s="127"/>
      <c r="Q203" s="127"/>
      <c r="R203" s="127"/>
      <c r="S203" s="127"/>
      <c r="T203" s="127"/>
      <c r="U203" s="127"/>
      <c r="V203" s="127"/>
      <c r="W203" s="127"/>
      <c r="X203" s="127"/>
      <c r="Y203" s="127"/>
      <c r="Z203" s="127"/>
      <c r="AA203" s="127"/>
    </row>
    <row r="204" spans="1:27">
      <c r="A204" s="127">
        <f ca="1">IFERROR(__xludf.DUMMYFUNCTION("""COMPUTED_VALUE"""),174904221976312)</f>
        <v>174904221976312</v>
      </c>
      <c r="B204" s="127" t="str">
        <f ca="1">IFERROR(__xludf.DUMMYFUNCTION("""COMPUTED_VALUE"""),"120229734535510694")</f>
        <v>120229734535510694</v>
      </c>
      <c r="C204" s="127" t="str">
        <f ca="1">IFERROR(__xludf.DUMMYFUNCTION("""COMPUTED_VALUE"""),"Griya Mahalona")</f>
        <v>Griya Mahalona</v>
      </c>
      <c r="D204" s="138" t="str">
        <f ca="1">IFERROR(__xludf.DUMMYFUNCTION("""COMPUTED_VALUE"""),"https://wa.me/6282292283543")</f>
        <v>https://wa.me/6282292283543</v>
      </c>
      <c r="E204" s="139" t="str">
        <f ca="1">IFERROR(__xludf.DUMMYFUNCTION("""COMPUTED_VALUE"""),"6282292283543")</f>
        <v>6282292283543</v>
      </c>
      <c r="F204" s="139">
        <f ca="1">IFERROR(__xludf.DUMMYFUNCTION("""COMPUTED_VALUE"""),5661)</f>
        <v>5661</v>
      </c>
      <c r="G204" s="139">
        <f ca="1">IFERROR(__xludf.DUMMYFUNCTION("""COMPUTED_VALUE"""),8784.6)</f>
        <v>8784.6</v>
      </c>
      <c r="H204" s="139">
        <f ca="1">IFERROR(__xludf.DUMMYFUNCTION("""COMPUTED_VALUE"""),19)</f>
        <v>19</v>
      </c>
      <c r="I204" s="140">
        <f ca="1">IFERROR(__xludf.DUMMYFUNCTION("""COMPUTED_VALUE"""),64025)</f>
        <v>64025</v>
      </c>
      <c r="J204" s="141">
        <f ca="1">IFERROR(__xludf.DUMMYFUNCTION("""COMPUTED_VALUE"""),3369.73684210526)</f>
        <v>3369.7368421052602</v>
      </c>
      <c r="K204" s="142">
        <f ca="1">IFERROR(__xludf.DUMMYFUNCTION("""COMPUTED_VALUE"""),4.26833333333333)</f>
        <v>4.26833333333333</v>
      </c>
      <c r="L204" s="143" t="str">
        <f ca="1"/>
        <v>Wiris Variasi</v>
      </c>
      <c r="M204" s="127"/>
      <c r="N204" s="127"/>
      <c r="O204" s="127"/>
      <c r="P204" s="127"/>
      <c r="Q204" s="127"/>
      <c r="R204" s="127"/>
      <c r="S204" s="127"/>
      <c r="T204" s="127"/>
      <c r="U204" s="127"/>
      <c r="V204" s="127"/>
      <c r="W204" s="127"/>
      <c r="X204" s="127"/>
      <c r="Y204" s="127"/>
      <c r="Z204" s="127"/>
      <c r="AA204" s="127"/>
    </row>
    <row r="205" spans="1:27">
      <c r="A205" s="127">
        <f ca="1">IFERROR(__xludf.DUMMYFUNCTION("""COMPUTED_VALUE"""),174904221976312)</f>
        <v>174904221976312</v>
      </c>
      <c r="B205" s="127" t="str">
        <f ca="1">IFERROR(__xludf.DUMMYFUNCTION("""COMPUTED_VALUE"""),"120229736695660694")</f>
        <v>120229736695660694</v>
      </c>
      <c r="C205" s="127" t="str">
        <f ca="1">IFERROR(__xludf.DUMMYFUNCTION("""COMPUTED_VALUE"""),"GRIYA JAGAD")</f>
        <v>GRIYA JAGAD</v>
      </c>
      <c r="D205" s="138" t="str">
        <f ca="1">IFERROR(__xludf.DUMMYFUNCTION("""COMPUTED_VALUE"""),"https://wa.me/628123264621")</f>
        <v>https://wa.me/628123264621</v>
      </c>
      <c r="E205" s="139" t="str">
        <f ca="1">IFERROR(__xludf.DUMMYFUNCTION("""COMPUTED_VALUE"""),"628123264621")</f>
        <v>628123264621</v>
      </c>
      <c r="F205" s="139">
        <f ca="1">IFERROR(__xludf.DUMMYFUNCTION("""COMPUTED_VALUE"""),17726)</f>
        <v>17726</v>
      </c>
      <c r="G205" s="139">
        <f ca="1">IFERROR(__xludf.DUMMYFUNCTION("""COMPUTED_VALUE"""),13864.3809523809)</f>
        <v>13864.3809523809</v>
      </c>
      <c r="H205" s="139">
        <f ca="1">IFERROR(__xludf.DUMMYFUNCTION("""COMPUTED_VALUE"""),95)</f>
        <v>95</v>
      </c>
      <c r="I205" s="140">
        <f ca="1">IFERROR(__xludf.DUMMYFUNCTION("""COMPUTED_VALUE"""),287015)</f>
        <v>287015</v>
      </c>
      <c r="J205" s="141">
        <f ca="1">IFERROR(__xludf.DUMMYFUNCTION("""COMPUTED_VALUE"""),3021.21052631578)</f>
        <v>3021.21052631578</v>
      </c>
      <c r="K205" s="142">
        <f ca="1">IFERROR(__xludf.DUMMYFUNCTION("""COMPUTED_VALUE"""),19.1343333333333)</f>
        <v>19.134333333333299</v>
      </c>
      <c r="L205" s="143" t="str">
        <f ca="1"/>
        <v>Wiris Variasi</v>
      </c>
      <c r="M205" s="127"/>
      <c r="N205" s="127"/>
      <c r="O205" s="127"/>
      <c r="P205" s="127"/>
      <c r="Q205" s="127"/>
      <c r="R205" s="127"/>
      <c r="S205" s="127"/>
      <c r="T205" s="127"/>
      <c r="U205" s="127"/>
      <c r="V205" s="127"/>
      <c r="W205" s="127"/>
      <c r="X205" s="127"/>
      <c r="Y205" s="127"/>
      <c r="Z205" s="127"/>
      <c r="AA205" s="127"/>
    </row>
    <row r="206" spans="1:27">
      <c r="A206" s="127">
        <f ca="1">IFERROR(__xludf.DUMMYFUNCTION("""COMPUTED_VALUE"""),174904221976312)</f>
        <v>174904221976312</v>
      </c>
      <c r="B206" s="127" t="str">
        <f ca="1">IFERROR(__xludf.DUMMYFUNCTION("""COMPUTED_VALUE"""),"120229737136600694")</f>
        <v>120229737136600694</v>
      </c>
      <c r="C206" s="127" t="str">
        <f ca="1">IFERROR(__xludf.DUMMYFUNCTION("""COMPUTED_VALUE"""),"CV Rabbani")</f>
        <v>CV Rabbani</v>
      </c>
      <c r="D206" s="138" t="str">
        <f ca="1">IFERROR(__xludf.DUMMYFUNCTION("""COMPUTED_VALUE"""),"https://wa.me/6281347245985")</f>
        <v>https://wa.me/6281347245985</v>
      </c>
      <c r="E206" s="139" t="str">
        <f ca="1">IFERROR(__xludf.DUMMYFUNCTION("""COMPUTED_VALUE"""),"6281347245985")</f>
        <v>6281347245985</v>
      </c>
      <c r="F206" s="139">
        <f ca="1">IFERROR(__xludf.DUMMYFUNCTION("""COMPUTED_VALUE"""),7237)</f>
        <v>7237</v>
      </c>
      <c r="G206" s="139">
        <f ca="1">IFERROR(__xludf.DUMMYFUNCTION("""COMPUTED_VALUE"""),8117.8)</f>
        <v>8117.8</v>
      </c>
      <c r="H206" s="139">
        <f ca="1">IFERROR(__xludf.DUMMYFUNCTION("""COMPUTED_VALUE"""),8)</f>
        <v>8</v>
      </c>
      <c r="I206" s="140">
        <f ca="1">IFERROR(__xludf.DUMMYFUNCTION("""COMPUTED_VALUE"""),67620)</f>
        <v>67620</v>
      </c>
      <c r="J206" s="141">
        <f ca="1">IFERROR(__xludf.DUMMYFUNCTION("""COMPUTED_VALUE"""),8452.5)</f>
        <v>8452.5</v>
      </c>
      <c r="K206" s="142">
        <f ca="1">IFERROR(__xludf.DUMMYFUNCTION("""COMPUTED_VALUE"""),4.508)</f>
        <v>4.508</v>
      </c>
      <c r="L206" s="143" t="str">
        <f ca="1"/>
        <v>Wiris Variasi</v>
      </c>
      <c r="M206" s="127"/>
      <c r="N206" s="127"/>
      <c r="O206" s="127"/>
      <c r="P206" s="127"/>
      <c r="Q206" s="127"/>
      <c r="R206" s="127"/>
      <c r="S206" s="127"/>
      <c r="T206" s="127"/>
      <c r="U206" s="127"/>
      <c r="V206" s="127"/>
      <c r="W206" s="127"/>
      <c r="X206" s="127"/>
      <c r="Y206" s="127"/>
      <c r="Z206" s="127"/>
      <c r="AA206" s="127"/>
    </row>
    <row r="207" spans="1:27">
      <c r="A207" s="127">
        <f ca="1">IFERROR(__xludf.DUMMYFUNCTION("""COMPUTED_VALUE"""),174904221976312)</f>
        <v>174904221976312</v>
      </c>
      <c r="B207" s="127" t="str">
        <f ca="1">IFERROR(__xludf.DUMMYFUNCTION("""COMPUTED_VALUE"""),"120229738054670694")</f>
        <v>120229738054670694</v>
      </c>
      <c r="C207" s="127" t="str">
        <f ca="1">IFERROR(__xludf.DUMMYFUNCTION("""COMPUTED_VALUE"""),"FLOREST RENT")</f>
        <v>FLOREST RENT</v>
      </c>
      <c r="D207" s="138" t="str">
        <f ca="1">IFERROR(__xludf.DUMMYFUNCTION("""COMPUTED_VALUE"""),"https://wa.me/6282352307329")</f>
        <v>https://wa.me/6282352307329</v>
      </c>
      <c r="E207" s="139" t="str">
        <f ca="1">IFERROR(__xludf.DUMMYFUNCTION("""COMPUTED_VALUE"""),"6282352307329")</f>
        <v>6282352307329</v>
      </c>
      <c r="F207" s="139">
        <f ca="1">IFERROR(__xludf.DUMMYFUNCTION("""COMPUTED_VALUE"""),9519)</f>
        <v>9519</v>
      </c>
      <c r="G207" s="139">
        <f ca="1">IFERROR(__xludf.DUMMYFUNCTION("""COMPUTED_VALUE"""),6163.4)</f>
        <v>6163.4</v>
      </c>
      <c r="H207" s="139">
        <f ca="1">IFERROR(__xludf.DUMMYFUNCTION("""COMPUTED_VALUE"""),3)</f>
        <v>3</v>
      </c>
      <c r="I207" s="140">
        <f ca="1">IFERROR(__xludf.DUMMYFUNCTION("""COMPUTED_VALUE"""),64774)</f>
        <v>64774</v>
      </c>
      <c r="J207" s="141">
        <f ca="1">IFERROR(__xludf.DUMMYFUNCTION("""COMPUTED_VALUE"""),21591.3333333333)</f>
        <v>21591.333333333299</v>
      </c>
      <c r="K207" s="142">
        <f ca="1">IFERROR(__xludf.DUMMYFUNCTION("""COMPUTED_VALUE"""),4.31826666666666)</f>
        <v>4.31826666666666</v>
      </c>
      <c r="L207" s="143" t="str">
        <f ca="1"/>
        <v>Wiris Variasi</v>
      </c>
      <c r="M207" s="127"/>
      <c r="N207" s="127"/>
      <c r="O207" s="127"/>
      <c r="P207" s="127"/>
      <c r="Q207" s="127"/>
      <c r="R207" s="127"/>
      <c r="S207" s="127"/>
      <c r="T207" s="127"/>
      <c r="U207" s="127"/>
      <c r="V207" s="127"/>
      <c r="W207" s="127"/>
      <c r="X207" s="127"/>
      <c r="Y207" s="127"/>
      <c r="Z207" s="127"/>
      <c r="AA207" s="127"/>
    </row>
    <row r="208" spans="1:27">
      <c r="A208" s="127">
        <f ca="1">IFERROR(__xludf.DUMMYFUNCTION("""COMPUTED_VALUE"""),174904221976312)</f>
        <v>174904221976312</v>
      </c>
      <c r="B208" s="127" t="str">
        <f ca="1">IFERROR(__xludf.DUMMYFUNCTION("""COMPUTED_VALUE"""),"120229739691850694")</f>
        <v>120229739691850694</v>
      </c>
      <c r="C208" s="127" t="str">
        <f ca="1">IFERROR(__xludf.DUMMYFUNCTION("""COMPUTED_VALUE"""),"Rent Camping")</f>
        <v>Rent Camping</v>
      </c>
      <c r="D208" s="138" t="str">
        <f ca="1">IFERROR(__xludf.DUMMYFUNCTION("""COMPUTED_VALUE"""),"https://wa.me/6285223186555")</f>
        <v>https://wa.me/6285223186555</v>
      </c>
      <c r="E208" s="139" t="str">
        <f ca="1">IFERROR(__xludf.DUMMYFUNCTION("""COMPUTED_VALUE"""),"6285223186555")</f>
        <v>6285223186555</v>
      </c>
      <c r="F208" s="139">
        <f ca="1">IFERROR(__xludf.DUMMYFUNCTION("""COMPUTED_VALUE"""),5312)</f>
        <v>5312</v>
      </c>
      <c r="G208" s="139">
        <f ca="1">IFERROR(__xludf.DUMMYFUNCTION("""COMPUTED_VALUE"""),17006.125)</f>
        <v>17006.125</v>
      </c>
      <c r="H208" s="139">
        <f ca="1">IFERROR(__xludf.DUMMYFUNCTION("""COMPUTED_VALUE"""),33)</f>
        <v>33</v>
      </c>
      <c r="I208" s="140">
        <f ca="1">IFERROR(__xludf.DUMMYFUNCTION("""COMPUTED_VALUE"""),100038)</f>
        <v>100038</v>
      </c>
      <c r="J208" s="141">
        <f ca="1">IFERROR(__xludf.DUMMYFUNCTION("""COMPUTED_VALUE"""),3031.45454545454)</f>
        <v>3031.45454545454</v>
      </c>
      <c r="K208" s="142">
        <f ca="1">IFERROR(__xludf.DUMMYFUNCTION("""COMPUTED_VALUE"""),6.6692)</f>
        <v>6.6692</v>
      </c>
      <c r="L208" s="143" t="str">
        <f ca="1"/>
        <v>Wiris Variasi</v>
      </c>
      <c r="M208" s="127"/>
      <c r="N208" s="127"/>
      <c r="O208" s="127"/>
      <c r="P208" s="127"/>
      <c r="Q208" s="127"/>
      <c r="R208" s="127"/>
      <c r="S208" s="127"/>
      <c r="T208" s="127"/>
      <c r="U208" s="127"/>
      <c r="V208" s="127"/>
      <c r="W208" s="127"/>
      <c r="X208" s="127"/>
      <c r="Y208" s="127"/>
      <c r="Z208" s="127"/>
      <c r="AA208" s="127"/>
    </row>
    <row r="209" spans="1:27">
      <c r="A209" s="127">
        <f ca="1">IFERROR(__xludf.DUMMYFUNCTION("""COMPUTED_VALUE"""),174904221976312)</f>
        <v>174904221976312</v>
      </c>
      <c r="B209" s="127" t="str">
        <f ca="1">IFERROR(__xludf.DUMMYFUNCTION("""COMPUTED_VALUE"""),"120229740294440694")</f>
        <v>120229740294440694</v>
      </c>
      <c r="C209" s="127" t="str">
        <f ca="1">IFERROR(__xludf.DUMMYFUNCTION("""COMPUTED_VALUE"""),"Graf print")</f>
        <v>Graf print</v>
      </c>
      <c r="D209" s="138" t="str">
        <f ca="1">IFERROR(__xludf.DUMMYFUNCTION("""COMPUTED_VALUE"""),"https://wa.me/6283831211890")</f>
        <v>https://wa.me/6283831211890</v>
      </c>
      <c r="E209" s="139" t="str">
        <f ca="1">IFERROR(__xludf.DUMMYFUNCTION("""COMPUTED_VALUE"""),"6283831211890")</f>
        <v>6283831211890</v>
      </c>
      <c r="F209" s="139">
        <f ca="1">IFERROR(__xludf.DUMMYFUNCTION("""COMPUTED_VALUE"""),2881)</f>
        <v>2881</v>
      </c>
      <c r="G209" s="139">
        <f ca="1">IFERROR(__xludf.DUMMYFUNCTION("""COMPUTED_VALUE"""),29727)</f>
        <v>29727</v>
      </c>
      <c r="H209" s="139">
        <f ca="1">IFERROR(__xludf.DUMMYFUNCTION("""COMPUTED_VALUE"""),1)</f>
        <v>1</v>
      </c>
      <c r="I209" s="140">
        <f ca="1">IFERROR(__xludf.DUMMYFUNCTION("""COMPUTED_VALUE"""),77225)</f>
        <v>77225</v>
      </c>
      <c r="J209" s="141">
        <f ca="1">IFERROR(__xludf.DUMMYFUNCTION("""COMPUTED_VALUE"""),77225)</f>
        <v>77225</v>
      </c>
      <c r="K209" s="142">
        <f ca="1">IFERROR(__xludf.DUMMYFUNCTION("""COMPUTED_VALUE"""),5.14833333333333)</f>
        <v>5.1483333333333299</v>
      </c>
      <c r="L209" s="143" t="str">
        <f ca="1"/>
        <v>Wiris Variasi</v>
      </c>
      <c r="M209" s="127"/>
      <c r="N209" s="127"/>
      <c r="O209" s="127"/>
      <c r="P209" s="127"/>
      <c r="Q209" s="127"/>
      <c r="R209" s="127"/>
      <c r="S209" s="127"/>
      <c r="T209" s="127"/>
      <c r="U209" s="127"/>
      <c r="V209" s="127"/>
      <c r="W209" s="127"/>
      <c r="X209" s="127"/>
      <c r="Y209" s="127"/>
      <c r="Z209" s="127"/>
      <c r="AA209" s="127"/>
    </row>
    <row r="210" spans="1:27">
      <c r="A210" s="127">
        <f ca="1">IFERROR(__xludf.DUMMYFUNCTION("""COMPUTED_VALUE"""),174904221976312)</f>
        <v>174904221976312</v>
      </c>
      <c r="B210" s="127" t="str">
        <f ca="1">IFERROR(__xludf.DUMMYFUNCTION("""COMPUTED_VALUE"""),"120229741385100694")</f>
        <v>120229741385100694</v>
      </c>
      <c r="C210" s="127" t="str">
        <f ca="1">IFERROR(__xludf.DUMMYFUNCTION("""COMPUTED_VALUE"""),"Ayam Bakul")</f>
        <v>Ayam Bakul</v>
      </c>
      <c r="D210" s="138" t="str">
        <f ca="1">IFERROR(__xludf.DUMMYFUNCTION("""COMPUTED_VALUE"""),"https://wa.me/6285286258400")</f>
        <v>https://wa.me/6285286258400</v>
      </c>
      <c r="E210" s="139" t="str">
        <f ca="1">IFERROR(__xludf.DUMMYFUNCTION("""COMPUTED_VALUE"""),"6285286258400")</f>
        <v>6285286258400</v>
      </c>
      <c r="F210" s="139">
        <f ca="1">IFERROR(__xludf.DUMMYFUNCTION("""COMPUTED_VALUE"""),4480)</f>
        <v>4480</v>
      </c>
      <c r="G210" s="139">
        <f ca="1">IFERROR(__xludf.DUMMYFUNCTION("""COMPUTED_VALUE"""),27194.909090909)</f>
        <v>27194.909090909001</v>
      </c>
      <c r="H210" s="139">
        <f ca="1">IFERROR(__xludf.DUMMYFUNCTION("""COMPUTED_VALUE"""),9)</f>
        <v>9</v>
      </c>
      <c r="I210" s="140">
        <f ca="1">IFERROR(__xludf.DUMMYFUNCTION("""COMPUTED_VALUE"""),145224)</f>
        <v>145224</v>
      </c>
      <c r="J210" s="141">
        <f ca="1">IFERROR(__xludf.DUMMYFUNCTION("""COMPUTED_VALUE"""),16136)</f>
        <v>16136</v>
      </c>
      <c r="K210" s="142">
        <f ca="1">IFERROR(__xludf.DUMMYFUNCTION("""COMPUTED_VALUE"""),9.6816)</f>
        <v>9.6815999999999995</v>
      </c>
      <c r="L210" s="143" t="str">
        <f ca="1"/>
        <v>Wiris Variasi</v>
      </c>
      <c r="M210" s="127"/>
      <c r="N210" s="127"/>
      <c r="O210" s="127"/>
      <c r="P210" s="127"/>
      <c r="Q210" s="127"/>
      <c r="R210" s="127"/>
      <c r="S210" s="127"/>
      <c r="T210" s="127"/>
      <c r="U210" s="127"/>
      <c r="V210" s="127"/>
      <c r="W210" s="127"/>
      <c r="X210" s="127"/>
      <c r="Y210" s="127"/>
      <c r="Z210" s="127"/>
      <c r="AA210" s="127"/>
    </row>
    <row r="211" spans="1:27">
      <c r="A211" s="127">
        <f ca="1">IFERROR(__xludf.DUMMYFUNCTION("""COMPUTED_VALUE"""),174904221976312)</f>
        <v>174904221976312</v>
      </c>
      <c r="B211" s="127" t="str">
        <f ca="1">IFERROR(__xludf.DUMMYFUNCTION("""COMPUTED_VALUE"""),"120229865135390694")</f>
        <v>120229865135390694</v>
      </c>
      <c r="C211" s="127" t="str">
        <f ca="1">IFERROR(__xludf.DUMMYFUNCTION("""COMPUTED_VALUE"""),"ARA (ARRAEHAN")</f>
        <v>ARA (ARRAEHAN</v>
      </c>
      <c r="D211" s="138" t="str">
        <f ca="1">IFERROR(__xludf.DUMMYFUNCTION("""COMPUTED_VALUE"""),"https://wa.me/628111099911")</f>
        <v>https://wa.me/628111099911</v>
      </c>
      <c r="E211" s="139" t="str">
        <f ca="1">IFERROR(__xludf.DUMMYFUNCTION("""COMPUTED_VALUE"""),"628111099911")</f>
        <v>628111099911</v>
      </c>
      <c r="F211" s="139">
        <f ca="1">IFERROR(__xludf.DUMMYFUNCTION("""COMPUTED_VALUE"""),2620)</f>
        <v>2620</v>
      </c>
      <c r="G211" s="139">
        <f ca="1">IFERROR(__xludf.DUMMYFUNCTION("""COMPUTED_VALUE"""),23286.6666666666)</f>
        <v>23286.666666666599</v>
      </c>
      <c r="H211" s="139">
        <f ca="1">IFERROR(__xludf.DUMMYFUNCTION("""COMPUTED_VALUE"""),17)</f>
        <v>17</v>
      </c>
      <c r="I211" s="140">
        <f ca="1">IFERROR(__xludf.DUMMYFUNCTION("""COMPUTED_VALUE"""),69864)</f>
        <v>69864</v>
      </c>
      <c r="J211" s="141">
        <f ca="1">IFERROR(__xludf.DUMMYFUNCTION("""COMPUTED_VALUE"""),4109.64705882353)</f>
        <v>4109.6470588235297</v>
      </c>
      <c r="K211" s="142">
        <f ca="1">IFERROR(__xludf.DUMMYFUNCTION("""COMPUTED_VALUE"""),4.6576)</f>
        <v>4.6576000000000004</v>
      </c>
      <c r="L211" s="143" t="str">
        <f ca="1"/>
        <v>Wiris Variasi</v>
      </c>
      <c r="M211" s="127"/>
      <c r="N211" s="127"/>
      <c r="O211" s="127"/>
      <c r="P211" s="127"/>
      <c r="Q211" s="127"/>
      <c r="R211" s="127"/>
      <c r="S211" s="127"/>
      <c r="T211" s="127"/>
      <c r="U211" s="127"/>
      <c r="V211" s="127"/>
      <c r="W211" s="127"/>
      <c r="X211" s="127"/>
      <c r="Y211" s="127"/>
      <c r="Z211" s="127"/>
      <c r="AA211" s="127"/>
    </row>
    <row r="212" spans="1:27">
      <c r="A212" s="127">
        <f ca="1">IFERROR(__xludf.DUMMYFUNCTION("""COMPUTED_VALUE"""),174904221976312)</f>
        <v>174904221976312</v>
      </c>
      <c r="B212" s="127" t="str">
        <f ca="1">IFERROR(__xludf.DUMMYFUNCTION("""COMPUTED_VALUE"""),"120229866087510694")</f>
        <v>120229866087510694</v>
      </c>
      <c r="C212" s="127" t="str">
        <f ca="1">IFERROR(__xludf.DUMMYFUNCTION("""COMPUTED_VALUE"""),"Rumah Terapy")</f>
        <v>Rumah Terapy</v>
      </c>
      <c r="D212" s="138" t="str">
        <f ca="1">IFERROR(__xludf.DUMMYFUNCTION("""COMPUTED_VALUE"""),"https://wa.me/6287829346006")</f>
        <v>https://wa.me/6287829346006</v>
      </c>
      <c r="E212" s="139" t="str">
        <f ca="1">IFERROR(__xludf.DUMMYFUNCTION("""COMPUTED_VALUE"""),"6287829346006")</f>
        <v>6287829346006</v>
      </c>
      <c r="F212" s="139">
        <f ca="1">IFERROR(__xludf.DUMMYFUNCTION("""COMPUTED_VALUE"""),55046)</f>
        <v>55046</v>
      </c>
      <c r="G212" s="139">
        <f ca="1">IFERROR(__xludf.DUMMYFUNCTION("""COMPUTED_VALUE"""),1120.66666666666)</f>
        <v>1120.6666666666599</v>
      </c>
      <c r="H212" s="139">
        <f ca="1">IFERROR(__xludf.DUMMYFUNCTION("""COMPUTED_VALUE"""),0)</f>
        <v>0</v>
      </c>
      <c r="I212" s="140">
        <f ca="1">IFERROR(__xludf.DUMMYFUNCTION("""COMPUTED_VALUE"""),65155)</f>
        <v>65155</v>
      </c>
      <c r="J212" s="141"/>
      <c r="K212" s="142">
        <f ca="1">IFERROR(__xludf.DUMMYFUNCTION("""COMPUTED_VALUE"""),4.34366666666666)</f>
        <v>4.3436666666666603</v>
      </c>
      <c r="L212" s="143" t="str">
        <f ca="1"/>
        <v>Wiris Variasi</v>
      </c>
      <c r="M212" s="127"/>
      <c r="N212" s="127"/>
      <c r="O212" s="127"/>
      <c r="P212" s="127"/>
      <c r="Q212" s="127"/>
      <c r="R212" s="127"/>
      <c r="S212" s="127"/>
      <c r="T212" s="127"/>
      <c r="U212" s="127"/>
      <c r="V212" s="127"/>
      <c r="W212" s="127"/>
      <c r="X212" s="127"/>
      <c r="Y212" s="127"/>
      <c r="Z212" s="127"/>
      <c r="AA212" s="127"/>
    </row>
    <row r="213" spans="1:27">
      <c r="A213" s="127">
        <f ca="1">IFERROR(__xludf.DUMMYFUNCTION("""COMPUTED_VALUE"""),174904221976312)</f>
        <v>174904221976312</v>
      </c>
      <c r="B213" s="127" t="str">
        <f ca="1">IFERROR(__xludf.DUMMYFUNCTION("""COMPUTED_VALUE"""),"120229867334710694")</f>
        <v>120229867334710694</v>
      </c>
      <c r="C213" s="127" t="str">
        <f ca="1">IFERROR(__xludf.DUMMYFUNCTION("""COMPUTED_VALUE"""),"Srikandi Tour")</f>
        <v>Srikandi Tour</v>
      </c>
      <c r="D213" s="138" t="str">
        <f ca="1">IFERROR(__xludf.DUMMYFUNCTION("""COMPUTED_VALUE"""),"https://wa.me/6281392854108")</f>
        <v>https://wa.me/6281392854108</v>
      </c>
      <c r="E213" s="139" t="str">
        <f ca="1">IFERROR(__xludf.DUMMYFUNCTION("""COMPUTED_VALUE"""),"6281392854108")</f>
        <v>6281392854108</v>
      </c>
      <c r="F213" s="139">
        <f ca="1">IFERROR(__xludf.DUMMYFUNCTION("""COMPUTED_VALUE"""),57517)</f>
        <v>57517</v>
      </c>
      <c r="G213" s="139">
        <f ca="1">IFERROR(__xludf.DUMMYFUNCTION("""COMPUTED_VALUE"""),1101.66666666666)</f>
        <v>1101.6666666666599</v>
      </c>
      <c r="H213" s="139">
        <f ca="1">IFERROR(__xludf.DUMMYFUNCTION("""COMPUTED_VALUE"""),0)</f>
        <v>0</v>
      </c>
      <c r="I213" s="140">
        <f ca="1">IFERROR(__xludf.DUMMYFUNCTION("""COMPUTED_VALUE"""),66892)</f>
        <v>66892</v>
      </c>
      <c r="J213" s="141"/>
      <c r="K213" s="142">
        <f ca="1">IFERROR(__xludf.DUMMYFUNCTION("""COMPUTED_VALUE"""),4.45946666666666)</f>
        <v>4.4594666666666596</v>
      </c>
      <c r="L213" s="143" t="str">
        <f ca="1"/>
        <v>Wiris Variasi</v>
      </c>
      <c r="M213" s="127"/>
      <c r="N213" s="127"/>
      <c r="O213" s="127"/>
      <c r="P213" s="127"/>
      <c r="Q213" s="127"/>
      <c r="R213" s="127"/>
      <c r="S213" s="127"/>
      <c r="T213" s="127"/>
      <c r="U213" s="127"/>
      <c r="V213" s="127"/>
      <c r="W213" s="127"/>
      <c r="X213" s="127"/>
      <c r="Y213" s="127"/>
      <c r="Z213" s="127"/>
      <c r="AA213" s="127"/>
    </row>
    <row r="214" spans="1:27">
      <c r="A214" s="127">
        <f ca="1">IFERROR(__xludf.DUMMYFUNCTION("""COMPUTED_VALUE"""),174904221976312)</f>
        <v>174904221976312</v>
      </c>
      <c r="B214" s="127" t="str">
        <f ca="1">IFERROR(__xludf.DUMMYFUNCTION("""COMPUTED_VALUE"""),"120229943482960694")</f>
        <v>120229943482960694</v>
      </c>
      <c r="C214" s="127" t="str">
        <f ca="1">IFERROR(__xludf.DUMMYFUNCTION("""COMPUTED_VALUE"""),"Transformasi Quantum")</f>
        <v>Transformasi Quantum</v>
      </c>
      <c r="D214" s="138" t="str">
        <f ca="1">IFERROR(__xludf.DUMMYFUNCTION("""COMPUTED_VALUE"""),"https://wa.me/6285294617773")</f>
        <v>https://wa.me/6285294617773</v>
      </c>
      <c r="E214" s="139" t="str">
        <f ca="1">IFERROR(__xludf.DUMMYFUNCTION("""COMPUTED_VALUE"""),"6285294617773")</f>
        <v>6285294617773</v>
      </c>
      <c r="F214" s="139">
        <f ca="1">IFERROR(__xludf.DUMMYFUNCTION("""COMPUTED_VALUE"""),6358)</f>
        <v>6358</v>
      </c>
      <c r="G214" s="139">
        <f ca="1">IFERROR(__xludf.DUMMYFUNCTION("""COMPUTED_VALUE"""),42140.3333333333)</f>
        <v>42140.333333333299</v>
      </c>
      <c r="H214" s="139">
        <f ca="1">IFERROR(__xludf.DUMMYFUNCTION("""COMPUTED_VALUE"""),78)</f>
        <v>78</v>
      </c>
      <c r="I214" s="140">
        <f ca="1">IFERROR(__xludf.DUMMYFUNCTION("""COMPUTED_VALUE"""),281447)</f>
        <v>281447</v>
      </c>
      <c r="J214" s="141">
        <f ca="1">IFERROR(__xludf.DUMMYFUNCTION("""COMPUTED_VALUE"""),3608.29487179487)</f>
        <v>3608.2948717948698</v>
      </c>
      <c r="K214" s="142">
        <f ca="1">IFERROR(__xludf.DUMMYFUNCTION("""COMPUTED_VALUE"""),18.7631333333333)</f>
        <v>18.7631333333333</v>
      </c>
      <c r="L214" s="143" t="str">
        <f ca="1"/>
        <v>Wiris Variasi</v>
      </c>
      <c r="M214" s="127"/>
      <c r="N214" s="127"/>
      <c r="O214" s="127"/>
      <c r="P214" s="127"/>
      <c r="Q214" s="127"/>
      <c r="R214" s="127"/>
      <c r="S214" s="127"/>
      <c r="T214" s="127"/>
      <c r="U214" s="127"/>
      <c r="V214" s="127"/>
      <c r="W214" s="127"/>
      <c r="X214" s="127"/>
      <c r="Y214" s="127"/>
      <c r="Z214" s="127"/>
      <c r="AA214" s="127"/>
    </row>
    <row r="215" spans="1:27">
      <c r="A215" s="127">
        <f ca="1">IFERROR(__xludf.DUMMYFUNCTION("""COMPUTED_VALUE"""),174904221976312)</f>
        <v>174904221976312</v>
      </c>
      <c r="B215" s="127" t="str">
        <f ca="1">IFERROR(__xludf.DUMMYFUNCTION("""COMPUTED_VALUE"""),"120229943921030694")</f>
        <v>120229943921030694</v>
      </c>
      <c r="C215" s="127" t="str">
        <f ca="1">IFERROR(__xludf.DUMMYFUNCTION("""COMPUTED_VALUE"""),"Keliling Sumatra")</f>
        <v>Keliling Sumatra</v>
      </c>
      <c r="D215" s="138" t="str">
        <f ca="1">IFERROR(__xludf.DUMMYFUNCTION("""COMPUTED_VALUE"""),"https://wa.me/6281362440234")</f>
        <v>https://wa.me/6281362440234</v>
      </c>
      <c r="E215" s="139" t="str">
        <f ca="1">IFERROR(__xludf.DUMMYFUNCTION("""COMPUTED_VALUE"""),"6281362440234")</f>
        <v>6281362440234</v>
      </c>
      <c r="F215" s="139">
        <f ca="1">IFERROR(__xludf.DUMMYFUNCTION("""COMPUTED_VALUE"""),4374)</f>
        <v>4374</v>
      </c>
      <c r="G215" s="139">
        <f ca="1">IFERROR(__xludf.DUMMYFUNCTION("""COMPUTED_VALUE"""),17344)</f>
        <v>17344</v>
      </c>
      <c r="H215" s="139">
        <f ca="1">IFERROR(__xludf.DUMMYFUNCTION("""COMPUTED_VALUE"""),37)</f>
        <v>37</v>
      </c>
      <c r="I215" s="140">
        <f ca="1">IFERROR(__xludf.DUMMYFUNCTION("""COMPUTED_VALUE"""),81014)</f>
        <v>81014</v>
      </c>
      <c r="J215" s="141">
        <f ca="1">IFERROR(__xludf.DUMMYFUNCTION("""COMPUTED_VALUE"""),2189.56756756756)</f>
        <v>2189.5675675675602</v>
      </c>
      <c r="K215" s="142">
        <f ca="1">IFERROR(__xludf.DUMMYFUNCTION("""COMPUTED_VALUE"""),5.40093333333333)</f>
        <v>5.40093333333333</v>
      </c>
      <c r="L215" s="143" t="str">
        <f ca="1"/>
        <v>Wiris Variasi</v>
      </c>
      <c r="M215" s="127"/>
      <c r="N215" s="127"/>
      <c r="O215" s="127"/>
      <c r="P215" s="127"/>
      <c r="Q215" s="127"/>
      <c r="R215" s="127"/>
      <c r="S215" s="127"/>
      <c r="T215" s="127"/>
      <c r="U215" s="127"/>
      <c r="V215" s="127"/>
      <c r="W215" s="127"/>
      <c r="X215" s="127"/>
      <c r="Y215" s="127"/>
      <c r="Z215" s="127"/>
      <c r="AA215" s="127"/>
    </row>
    <row r="216" spans="1:27">
      <c r="A216" s="127">
        <f ca="1">IFERROR(__xludf.DUMMYFUNCTION("""COMPUTED_VALUE"""),174904221976312)</f>
        <v>174904221976312</v>
      </c>
      <c r="B216" s="127" t="str">
        <f ca="1">IFERROR(__xludf.DUMMYFUNCTION("""COMPUTED_VALUE"""),"120229944823140694")</f>
        <v>120229944823140694</v>
      </c>
      <c r="C216" s="127" t="str">
        <f ca="1">IFERROR(__xludf.DUMMYFUNCTION("""COMPUTED_VALUE"""),"Duaputra Travel")</f>
        <v>Duaputra Travel</v>
      </c>
      <c r="D216" s="138" t="str">
        <f ca="1">IFERROR(__xludf.DUMMYFUNCTION("""COMPUTED_VALUE"""),"https://wa.me/6282118113002")</f>
        <v>https://wa.me/6282118113002</v>
      </c>
      <c r="E216" s="139" t="str">
        <f ca="1">IFERROR(__xludf.DUMMYFUNCTION("""COMPUTED_VALUE"""),"6282118113002")</f>
        <v>6282118113002</v>
      </c>
      <c r="F216" s="139">
        <f ca="1">IFERROR(__xludf.DUMMYFUNCTION("""COMPUTED_VALUE"""),1909)</f>
        <v>1909</v>
      </c>
      <c r="G216" s="139">
        <f ca="1">IFERROR(__xludf.DUMMYFUNCTION("""COMPUTED_VALUE"""),41824.6666666666)</f>
        <v>41824.666666666599</v>
      </c>
      <c r="H216" s="139">
        <f ca="1">IFERROR(__xludf.DUMMYFUNCTION("""COMPUTED_VALUE"""),10)</f>
        <v>10</v>
      </c>
      <c r="I216" s="140">
        <f ca="1">IFERROR(__xludf.DUMMYFUNCTION("""COMPUTED_VALUE"""),81216)</f>
        <v>81216</v>
      </c>
      <c r="J216" s="141">
        <f ca="1">IFERROR(__xludf.DUMMYFUNCTION("""COMPUTED_VALUE"""),8121.6)</f>
        <v>8121.6</v>
      </c>
      <c r="K216" s="142">
        <f ca="1">IFERROR(__xludf.DUMMYFUNCTION("""COMPUTED_VALUE"""),5.4144)</f>
        <v>5.4143999999999997</v>
      </c>
      <c r="L216" s="143" t="str">
        <f ca="1"/>
        <v>Wiris Variasi</v>
      </c>
      <c r="M216" s="127"/>
      <c r="N216" s="127"/>
      <c r="O216" s="127"/>
      <c r="P216" s="127"/>
      <c r="Q216" s="127"/>
      <c r="R216" s="127"/>
      <c r="S216" s="127"/>
      <c r="T216" s="127"/>
      <c r="U216" s="127"/>
      <c r="V216" s="127"/>
      <c r="W216" s="127"/>
      <c r="X216" s="127"/>
      <c r="Y216" s="127"/>
      <c r="Z216" s="127"/>
      <c r="AA216" s="127"/>
    </row>
    <row r="217" spans="1:27">
      <c r="A217" s="127">
        <f ca="1">IFERROR(__xludf.DUMMYFUNCTION("""COMPUTED_VALUE"""),174904221976312)</f>
        <v>174904221976312</v>
      </c>
      <c r="B217" s="127" t="str">
        <f ca="1">IFERROR(__xludf.DUMMYFUNCTION("""COMPUTED_VALUE"""),"120229948422580694")</f>
        <v>120229948422580694</v>
      </c>
      <c r="C217" s="127" t="str">
        <f ca="1">IFERROR(__xludf.DUMMYFUNCTION("""COMPUTED_VALUE"""),"Pijat Kesehatan")</f>
        <v>Pijat Kesehatan</v>
      </c>
      <c r="D217" s="138" t="str">
        <f ca="1">IFERROR(__xludf.DUMMYFUNCTION("""COMPUTED_VALUE"""),"https://wa.me/6288802749485")</f>
        <v>https://wa.me/6288802749485</v>
      </c>
      <c r="E217" s="139" t="str">
        <f ca="1">IFERROR(__xludf.DUMMYFUNCTION("""COMPUTED_VALUE"""),"6288802749485")</f>
        <v>6288802749485</v>
      </c>
      <c r="F217" s="139">
        <f ca="1">IFERROR(__xludf.DUMMYFUNCTION("""COMPUTED_VALUE"""),8693)</f>
        <v>8693</v>
      </c>
      <c r="G217" s="139">
        <f ca="1">IFERROR(__xludf.DUMMYFUNCTION("""COMPUTED_VALUE"""),15645.7272727272)</f>
        <v>15645.727272727199</v>
      </c>
      <c r="H217" s="139">
        <f ca="1">IFERROR(__xludf.DUMMYFUNCTION("""COMPUTED_VALUE"""),113)</f>
        <v>113</v>
      </c>
      <c r="I217" s="140">
        <f ca="1">IFERROR(__xludf.DUMMYFUNCTION("""COMPUTED_VALUE"""),143464)</f>
        <v>143464</v>
      </c>
      <c r="J217" s="141">
        <f ca="1">IFERROR(__xludf.DUMMYFUNCTION("""COMPUTED_VALUE"""),1269.59292035398)</f>
        <v>1269.5929203539799</v>
      </c>
      <c r="K217" s="142">
        <f ca="1">IFERROR(__xludf.DUMMYFUNCTION("""COMPUTED_VALUE"""),9.56426666666666)</f>
        <v>9.5642666666666596</v>
      </c>
      <c r="L217" s="143" t="str">
        <f ca="1"/>
        <v>Wiris Variasi</v>
      </c>
      <c r="M217" s="127"/>
      <c r="N217" s="127"/>
      <c r="O217" s="127"/>
      <c r="P217" s="127"/>
      <c r="Q217" s="127"/>
      <c r="R217" s="127"/>
      <c r="S217" s="127"/>
      <c r="T217" s="127"/>
      <c r="U217" s="127"/>
      <c r="V217" s="127"/>
      <c r="W217" s="127"/>
      <c r="X217" s="127"/>
      <c r="Y217" s="127"/>
      <c r="Z217" s="127"/>
      <c r="AA217" s="127"/>
    </row>
    <row r="218" spans="1:27">
      <c r="A218" s="127">
        <f ca="1">IFERROR(__xludf.DUMMYFUNCTION("""COMPUTED_VALUE"""),174904221976312)</f>
        <v>174904221976312</v>
      </c>
      <c r="B218" s="127" t="str">
        <f ca="1">IFERROR(__xludf.DUMMYFUNCTION("""COMPUTED_VALUE"""),"120229949048250694")</f>
        <v>120229949048250694</v>
      </c>
      <c r="C218" s="127" t="str">
        <f ca="1">IFERROR(__xludf.DUMMYFUNCTION("""COMPUTED_VALUE"""),"Raja Sehat")</f>
        <v>Raja Sehat</v>
      </c>
      <c r="D218" s="138" t="str">
        <f ca="1">IFERROR(__xludf.DUMMYFUNCTION("""COMPUTED_VALUE"""),"https://wa.me/6282249348536")</f>
        <v>https://wa.me/6282249348536</v>
      </c>
      <c r="E218" s="139" t="str">
        <f ca="1">IFERROR(__xludf.DUMMYFUNCTION("""COMPUTED_VALUE"""),"6282249348536")</f>
        <v>6282249348536</v>
      </c>
      <c r="F218" s="139">
        <f ca="1">IFERROR(__xludf.DUMMYFUNCTION("""COMPUTED_VALUE"""),4563)</f>
        <v>4563</v>
      </c>
      <c r="G218" s="139">
        <f ca="1">IFERROR(__xludf.DUMMYFUNCTION("""COMPUTED_VALUE"""),14183.3333333333)</f>
        <v>14183.333333333299</v>
      </c>
      <c r="H218" s="139">
        <f ca="1">IFERROR(__xludf.DUMMYFUNCTION("""COMPUTED_VALUE"""),33)</f>
        <v>33</v>
      </c>
      <c r="I218" s="140">
        <f ca="1">IFERROR(__xludf.DUMMYFUNCTION("""COMPUTED_VALUE"""),77993)</f>
        <v>77993</v>
      </c>
      <c r="J218" s="141">
        <f ca="1">IFERROR(__xludf.DUMMYFUNCTION("""COMPUTED_VALUE"""),2363.42424242424)</f>
        <v>2363.4242424242402</v>
      </c>
      <c r="K218" s="142">
        <f ca="1">IFERROR(__xludf.DUMMYFUNCTION("""COMPUTED_VALUE"""),5.19953333333333)</f>
        <v>5.1995333333333296</v>
      </c>
      <c r="L218" s="143" t="str">
        <f ca="1"/>
        <v>Wiris Variasi</v>
      </c>
      <c r="M218" s="127"/>
      <c r="N218" s="127"/>
      <c r="O218" s="127"/>
      <c r="P218" s="127"/>
      <c r="Q218" s="127"/>
      <c r="R218" s="127"/>
      <c r="S218" s="127"/>
      <c r="T218" s="127"/>
      <c r="U218" s="127"/>
      <c r="V218" s="127"/>
      <c r="W218" s="127"/>
      <c r="X218" s="127"/>
      <c r="Y218" s="127"/>
      <c r="Z218" s="127"/>
      <c r="AA218" s="127"/>
    </row>
    <row r="219" spans="1:27">
      <c r="A219" s="127">
        <f ca="1">IFERROR(__xludf.DUMMYFUNCTION("""COMPUTED_VALUE"""),174904221976312)</f>
        <v>174904221976312</v>
      </c>
      <c r="B219" s="127" t="str">
        <f ca="1">IFERROR(__xludf.DUMMYFUNCTION("""COMPUTED_VALUE"""),"120229949254840694")</f>
        <v>120229949254840694</v>
      </c>
      <c r="C219" s="127" t="str">
        <f ca="1">IFERROR(__xludf.DUMMYFUNCTION("""COMPUTED_VALUE"""),"Vania collection")</f>
        <v>Vania collection</v>
      </c>
      <c r="D219" s="138" t="str">
        <f ca="1">IFERROR(__xludf.DUMMYFUNCTION("""COMPUTED_VALUE"""),"https://wa.me/6285326750989")</f>
        <v>https://wa.me/6285326750989</v>
      </c>
      <c r="E219" s="139" t="str">
        <f ca="1">IFERROR(__xludf.DUMMYFUNCTION("""COMPUTED_VALUE"""),"6285326750989")</f>
        <v>6285326750989</v>
      </c>
      <c r="F219" s="139">
        <f ca="1">IFERROR(__xludf.DUMMYFUNCTION("""COMPUTED_VALUE"""),2792)</f>
        <v>2792</v>
      </c>
      <c r="G219" s="139">
        <f ca="1">IFERROR(__xludf.DUMMYFUNCTION("""COMPUTED_VALUE"""),26215.1666666666)</f>
        <v>26215.166666666599</v>
      </c>
      <c r="H219" s="139">
        <f ca="1">IFERROR(__xludf.DUMMYFUNCTION("""COMPUTED_VALUE"""),39)</f>
        <v>39</v>
      </c>
      <c r="I219" s="140">
        <f ca="1">IFERROR(__xludf.DUMMYFUNCTION("""COMPUTED_VALUE"""),76258)</f>
        <v>76258</v>
      </c>
      <c r="J219" s="141">
        <f ca="1">IFERROR(__xludf.DUMMYFUNCTION("""COMPUTED_VALUE"""),1955.33333333333)</f>
        <v>1955.3333333333301</v>
      </c>
      <c r="K219" s="142">
        <f ca="1">IFERROR(__xludf.DUMMYFUNCTION("""COMPUTED_VALUE"""),5.08386666666666)</f>
        <v>5.0838666666666601</v>
      </c>
      <c r="L219" s="143" t="str">
        <f ca="1"/>
        <v>Wiris Variasi</v>
      </c>
      <c r="M219" s="127"/>
      <c r="N219" s="127"/>
      <c r="O219" s="127"/>
      <c r="P219" s="127"/>
      <c r="Q219" s="127"/>
      <c r="R219" s="127"/>
      <c r="S219" s="127"/>
      <c r="T219" s="127"/>
      <c r="U219" s="127"/>
      <c r="V219" s="127"/>
      <c r="W219" s="127"/>
      <c r="X219" s="127"/>
      <c r="Y219" s="127"/>
      <c r="Z219" s="127"/>
      <c r="AA219" s="127"/>
    </row>
    <row r="220" spans="1:27">
      <c r="A220" s="127">
        <f ca="1">IFERROR(__xludf.DUMMYFUNCTION("""COMPUTED_VALUE"""),174904221976312)</f>
        <v>174904221976312</v>
      </c>
      <c r="B220" s="127" t="str">
        <f ca="1">IFERROR(__xludf.DUMMYFUNCTION("""COMPUTED_VALUE"""),"120229981713820694")</f>
        <v>120229981713820694</v>
      </c>
      <c r="C220" s="127" t="str">
        <f ca="1">IFERROR(__xludf.DUMMYFUNCTION("""COMPUTED_VALUE"""),"pijat refleksi")</f>
        <v>pijat refleksi</v>
      </c>
      <c r="D220" s="138" t="str">
        <f ca="1">IFERROR(__xludf.DUMMYFUNCTION("""COMPUTED_VALUE"""),"https://wa.me/6285780314346")</f>
        <v>https://wa.me/6285780314346</v>
      </c>
      <c r="E220" s="139" t="str">
        <f ca="1">IFERROR(__xludf.DUMMYFUNCTION("""COMPUTED_VALUE"""),"6285780314346")</f>
        <v>6285780314346</v>
      </c>
      <c r="F220" s="139">
        <f ca="1">IFERROR(__xludf.DUMMYFUNCTION("""COMPUTED_VALUE"""),6720)</f>
        <v>6720</v>
      </c>
      <c r="G220" s="139">
        <f ca="1">IFERROR(__xludf.DUMMYFUNCTION("""COMPUTED_VALUE"""),16110.8)</f>
        <v>16110.8</v>
      </c>
      <c r="H220" s="139">
        <f ca="1">IFERROR(__xludf.DUMMYFUNCTION("""COMPUTED_VALUE"""),92)</f>
        <v>92</v>
      </c>
      <c r="I220" s="140">
        <f ca="1">IFERROR(__xludf.DUMMYFUNCTION("""COMPUTED_VALUE"""),137600)</f>
        <v>137600</v>
      </c>
      <c r="J220" s="141">
        <f ca="1">IFERROR(__xludf.DUMMYFUNCTION("""COMPUTED_VALUE"""),1495.65217391304)</f>
        <v>1495.6521739130401</v>
      </c>
      <c r="K220" s="142">
        <f ca="1">IFERROR(__xludf.DUMMYFUNCTION("""COMPUTED_VALUE"""),9.17333333333333)</f>
        <v>9.1733333333333302</v>
      </c>
      <c r="L220" s="143" t="str">
        <f ca="1"/>
        <v>Wiris Variasi</v>
      </c>
      <c r="M220" s="127"/>
      <c r="N220" s="127"/>
      <c r="O220" s="127"/>
      <c r="P220" s="127"/>
      <c r="Q220" s="127"/>
      <c r="R220" s="127"/>
      <c r="S220" s="127"/>
      <c r="T220" s="127"/>
      <c r="U220" s="127"/>
      <c r="V220" s="127"/>
      <c r="W220" s="127"/>
      <c r="X220" s="127"/>
      <c r="Y220" s="127"/>
      <c r="Z220" s="127"/>
      <c r="AA220" s="127"/>
    </row>
    <row r="221" spans="1:27">
      <c r="A221" s="127">
        <f ca="1">IFERROR(__xludf.DUMMYFUNCTION("""COMPUTED_VALUE"""),174904221976312)</f>
        <v>174904221976312</v>
      </c>
      <c r="B221" s="127" t="str">
        <f ca="1">IFERROR(__xludf.DUMMYFUNCTION("""COMPUTED_VALUE"""),"120229982208650694")</f>
        <v>120229982208650694</v>
      </c>
      <c r="C221" s="127" t="str">
        <f ca="1">IFERROR(__xludf.DUMMYFUNCTION("""COMPUTED_VALUE"""),"Jibran Holiday")</f>
        <v>Jibran Holiday</v>
      </c>
      <c r="D221" s="138" t="str">
        <f ca="1">IFERROR(__xludf.DUMMYFUNCTION("""COMPUTED_VALUE"""),"https://wa.me/6285920572002")</f>
        <v>https://wa.me/6285920572002</v>
      </c>
      <c r="E221" s="139" t="str">
        <f ca="1">IFERROR(__xludf.DUMMYFUNCTION("""COMPUTED_VALUE"""),"6285920572002")</f>
        <v>6285920572002</v>
      </c>
      <c r="F221" s="139">
        <f ca="1">IFERROR(__xludf.DUMMYFUNCTION("""COMPUTED_VALUE"""),3352)</f>
        <v>3352</v>
      </c>
      <c r="G221" s="139">
        <f ca="1">IFERROR(__xludf.DUMMYFUNCTION("""COMPUTED_VALUE"""),26218.2857142857)</f>
        <v>26218.285714285699</v>
      </c>
      <c r="H221" s="139">
        <f ca="1">IFERROR(__xludf.DUMMYFUNCTION("""COMPUTED_VALUE"""),37)</f>
        <v>37</v>
      </c>
      <c r="I221" s="140">
        <f ca="1">IFERROR(__xludf.DUMMYFUNCTION("""COMPUTED_VALUE"""),96175)</f>
        <v>96175</v>
      </c>
      <c r="J221" s="141">
        <f ca="1">IFERROR(__xludf.DUMMYFUNCTION("""COMPUTED_VALUE"""),2599.32432432432)</f>
        <v>2599.3243243243201</v>
      </c>
      <c r="K221" s="142">
        <f ca="1">IFERROR(__xludf.DUMMYFUNCTION("""COMPUTED_VALUE"""),6.41166666666666)</f>
        <v>6.41166666666666</v>
      </c>
      <c r="L221" s="143" t="str">
        <f ca="1"/>
        <v>Wiris Variasi</v>
      </c>
      <c r="M221" s="127"/>
      <c r="N221" s="127"/>
      <c r="O221" s="127"/>
      <c r="P221" s="127"/>
      <c r="Q221" s="127"/>
      <c r="R221" s="127"/>
      <c r="S221" s="127"/>
      <c r="T221" s="127"/>
      <c r="U221" s="127"/>
      <c r="V221" s="127"/>
      <c r="W221" s="127"/>
      <c r="X221" s="127"/>
      <c r="Y221" s="127"/>
      <c r="Z221" s="127"/>
      <c r="AA221" s="127"/>
    </row>
    <row r="222" spans="1:27">
      <c r="A222" s="127">
        <f ca="1">IFERROR(__xludf.DUMMYFUNCTION("""COMPUTED_VALUE"""),174904221976312)</f>
        <v>174904221976312</v>
      </c>
      <c r="B222" s="127" t="str">
        <f ca="1">IFERROR(__xludf.DUMMYFUNCTION("""COMPUTED_VALUE"""),"120229982659360694")</f>
        <v>120229982659360694</v>
      </c>
      <c r="C222" s="127" t="str">
        <f ca="1">IFERROR(__xludf.DUMMYFUNCTION("""COMPUTED_VALUE"""),"Borobudur Tourism")</f>
        <v>Borobudur Tourism</v>
      </c>
      <c r="D222" s="138" t="str">
        <f ca="1">IFERROR(__xludf.DUMMYFUNCTION("""COMPUTED_VALUE"""),"https://wa.me/628122703083")</f>
        <v>https://wa.me/628122703083</v>
      </c>
      <c r="E222" s="139" t="str">
        <f ca="1">IFERROR(__xludf.DUMMYFUNCTION("""COMPUTED_VALUE"""),"628122703083")</f>
        <v>628122703083</v>
      </c>
      <c r="F222" s="139">
        <f ca="1">IFERROR(__xludf.DUMMYFUNCTION("""COMPUTED_VALUE"""),2651)</f>
        <v>2651</v>
      </c>
      <c r="G222" s="139">
        <f ca="1">IFERROR(__xludf.DUMMYFUNCTION("""COMPUTED_VALUE"""),46410.2)</f>
        <v>46410.2</v>
      </c>
      <c r="H222" s="139">
        <f ca="1">IFERROR(__xludf.DUMMYFUNCTION("""COMPUTED_VALUE"""),18)</f>
        <v>18</v>
      </c>
      <c r="I222" s="140">
        <f ca="1">IFERROR(__xludf.DUMMYFUNCTION("""COMPUTED_VALUE"""),127808)</f>
        <v>127808</v>
      </c>
      <c r="J222" s="141">
        <f ca="1">IFERROR(__xludf.DUMMYFUNCTION("""COMPUTED_VALUE"""),7100.44444444444)</f>
        <v>7100.4444444444398</v>
      </c>
      <c r="K222" s="142">
        <f ca="1">IFERROR(__xludf.DUMMYFUNCTION("""COMPUTED_VALUE"""),8.52053333333333)</f>
        <v>8.5205333333333293</v>
      </c>
      <c r="L222" s="143" t="str">
        <f ca="1"/>
        <v>Wiris Variasi</v>
      </c>
      <c r="M222" s="127"/>
      <c r="N222" s="127"/>
      <c r="O222" s="127"/>
      <c r="P222" s="127"/>
      <c r="Q222" s="127"/>
      <c r="R222" s="127"/>
      <c r="S222" s="127"/>
      <c r="T222" s="127"/>
      <c r="U222" s="127"/>
      <c r="V222" s="127"/>
      <c r="W222" s="127"/>
      <c r="X222" s="127"/>
      <c r="Y222" s="127"/>
      <c r="Z222" s="127"/>
      <c r="AA222" s="127"/>
    </row>
    <row r="223" spans="1:27">
      <c r="A223" s="127">
        <f ca="1">IFERROR(__xludf.DUMMYFUNCTION("""COMPUTED_VALUE"""),174904221976312)</f>
        <v>174904221976312</v>
      </c>
      <c r="B223" s="127" t="str">
        <f ca="1">IFERROR(__xludf.DUMMYFUNCTION("""COMPUTED_VALUE"""),"120229983154530694")</f>
        <v>120229983154530694</v>
      </c>
      <c r="C223" s="127" t="str">
        <f ca="1">IFERROR(__xludf.DUMMYFUNCTION("""COMPUTED_VALUE"""),"Mie Kadimin")</f>
        <v>Mie Kadimin</v>
      </c>
      <c r="D223" s="138" t="str">
        <f ca="1">IFERROR(__xludf.DUMMYFUNCTION("""COMPUTED_VALUE"""),"https://wa.me/6285691146546")</f>
        <v>https://wa.me/6285691146546</v>
      </c>
      <c r="E223" s="139" t="str">
        <f ca="1">IFERROR(__xludf.DUMMYFUNCTION("""COMPUTED_VALUE"""),"6285691146546")</f>
        <v>6285691146546</v>
      </c>
      <c r="F223" s="139">
        <f ca="1">IFERROR(__xludf.DUMMYFUNCTION("""COMPUTED_VALUE"""),4009)</f>
        <v>4009</v>
      </c>
      <c r="G223" s="139">
        <f ca="1">IFERROR(__xludf.DUMMYFUNCTION("""COMPUTED_VALUE"""),22289.8571428571)</f>
        <v>22289.857142857101</v>
      </c>
      <c r="H223" s="139">
        <f ca="1">IFERROR(__xludf.DUMMYFUNCTION("""COMPUTED_VALUE"""),43)</f>
        <v>43</v>
      </c>
      <c r="I223" s="140">
        <f ca="1">IFERROR(__xludf.DUMMYFUNCTION("""COMPUTED_VALUE"""),96378)</f>
        <v>96378</v>
      </c>
      <c r="J223" s="141">
        <f ca="1">IFERROR(__xludf.DUMMYFUNCTION("""COMPUTED_VALUE"""),2241.3488372093)</f>
        <v>2241.3488372093002</v>
      </c>
      <c r="K223" s="142">
        <f ca="1">IFERROR(__xludf.DUMMYFUNCTION("""COMPUTED_VALUE"""),6.4252)</f>
        <v>6.4252000000000002</v>
      </c>
      <c r="L223" s="143" t="str">
        <f ca="1"/>
        <v>Wiris Variasi</v>
      </c>
      <c r="M223" s="127"/>
      <c r="N223" s="127"/>
      <c r="O223" s="127"/>
      <c r="P223" s="127"/>
      <c r="Q223" s="127"/>
      <c r="R223" s="127"/>
      <c r="S223" s="127"/>
      <c r="T223" s="127"/>
      <c r="U223" s="127"/>
      <c r="V223" s="127"/>
      <c r="W223" s="127"/>
      <c r="X223" s="127"/>
      <c r="Y223" s="127"/>
      <c r="Z223" s="127"/>
      <c r="AA223" s="127"/>
    </row>
    <row r="224" spans="1:27">
      <c r="A224" s="127">
        <f ca="1">IFERROR(__xludf.DUMMYFUNCTION("""COMPUTED_VALUE"""),174904221976312)</f>
        <v>174904221976312</v>
      </c>
      <c r="B224" s="127" t="str">
        <f ca="1">IFERROR(__xludf.DUMMYFUNCTION("""COMPUTED_VALUE"""),"120229983590020694")</f>
        <v>120229983590020694</v>
      </c>
      <c r="C224" s="127" t="str">
        <f ca="1">IFERROR(__xludf.DUMMYFUNCTION("""COMPUTED_VALUE"""),"KARIMUN DJAVA")</f>
        <v>KARIMUN DJAVA</v>
      </c>
      <c r="D224" s="138" t="str">
        <f ca="1">IFERROR(__xludf.DUMMYFUNCTION("""COMPUTED_VALUE"""),"https://wa.me/6281226950679")</f>
        <v>https://wa.me/6281226950679</v>
      </c>
      <c r="E224" s="139" t="str">
        <f ca="1">IFERROR(__xludf.DUMMYFUNCTION("""COMPUTED_VALUE"""),"6281226950679")</f>
        <v>6281226950679</v>
      </c>
      <c r="F224" s="139">
        <f ca="1">IFERROR(__xludf.DUMMYFUNCTION("""COMPUTED_VALUE"""),1757)</f>
        <v>1757</v>
      </c>
      <c r="G224" s="139">
        <f ca="1">IFERROR(__xludf.DUMMYFUNCTION("""COMPUTED_VALUE"""),37642.8)</f>
        <v>37642.800000000003</v>
      </c>
      <c r="H224" s="139">
        <f ca="1">IFERROR(__xludf.DUMMYFUNCTION("""COMPUTED_VALUE"""),13)</f>
        <v>13</v>
      </c>
      <c r="I224" s="140">
        <f ca="1">IFERROR(__xludf.DUMMYFUNCTION("""COMPUTED_VALUE"""),67880)</f>
        <v>67880</v>
      </c>
      <c r="J224" s="141">
        <f ca="1">IFERROR(__xludf.DUMMYFUNCTION("""COMPUTED_VALUE"""),5221.53846153846)</f>
        <v>5221.5384615384601</v>
      </c>
      <c r="K224" s="142">
        <f ca="1">IFERROR(__xludf.DUMMYFUNCTION("""COMPUTED_VALUE"""),4.52533333333333)</f>
        <v>4.5253333333333297</v>
      </c>
      <c r="L224" s="143" t="str">
        <f ca="1"/>
        <v>Wiris Variasi</v>
      </c>
      <c r="M224" s="127"/>
      <c r="N224" s="127"/>
      <c r="O224" s="127"/>
      <c r="P224" s="127"/>
      <c r="Q224" s="127"/>
      <c r="R224" s="127"/>
      <c r="S224" s="127"/>
      <c r="T224" s="127"/>
      <c r="U224" s="127"/>
      <c r="V224" s="127"/>
      <c r="W224" s="127"/>
      <c r="X224" s="127"/>
      <c r="Y224" s="127"/>
      <c r="Z224" s="127"/>
      <c r="AA224" s="127"/>
    </row>
    <row r="225" spans="1:27">
      <c r="A225" s="127">
        <f ca="1">IFERROR(__xludf.DUMMYFUNCTION("""COMPUTED_VALUE"""),174904221976312)</f>
        <v>174904221976312</v>
      </c>
      <c r="B225" s="127" t="str">
        <f ca="1">IFERROR(__xludf.DUMMYFUNCTION("""COMPUTED_VALUE"""),"120229983962720694")</f>
        <v>120229983962720694</v>
      </c>
      <c r="C225" s="127" t="str">
        <f ca="1">IFERROR(__xludf.DUMMYFUNCTION("""COMPUTED_VALUE"""),"Bumi Terapi")</f>
        <v>Bumi Terapi</v>
      </c>
      <c r="D225" s="138" t="str">
        <f ca="1">IFERROR(__xludf.DUMMYFUNCTION("""COMPUTED_VALUE"""),"https://wa.me/628990145388")</f>
        <v>https://wa.me/628990145388</v>
      </c>
      <c r="E225" s="139" t="str">
        <f ca="1">IFERROR(__xludf.DUMMYFUNCTION("""COMPUTED_VALUE"""),"628990145388")</f>
        <v>628990145388</v>
      </c>
      <c r="F225" s="139">
        <f ca="1">IFERROR(__xludf.DUMMYFUNCTION("""COMPUTED_VALUE"""),1801)</f>
        <v>1801</v>
      </c>
      <c r="G225" s="139">
        <f ca="1">IFERROR(__xludf.DUMMYFUNCTION("""COMPUTED_VALUE"""),30963.8)</f>
        <v>30963.8</v>
      </c>
      <c r="H225" s="139">
        <f ca="1">IFERROR(__xludf.DUMMYFUNCTION("""COMPUTED_VALUE"""),20)</f>
        <v>20</v>
      </c>
      <c r="I225" s="140">
        <f ca="1">IFERROR(__xludf.DUMMYFUNCTION("""COMPUTED_VALUE"""),63635)</f>
        <v>63635</v>
      </c>
      <c r="J225" s="141">
        <f ca="1">IFERROR(__xludf.DUMMYFUNCTION("""COMPUTED_VALUE"""),3181.75)</f>
        <v>3181.75</v>
      </c>
      <c r="K225" s="142">
        <f ca="1">IFERROR(__xludf.DUMMYFUNCTION("""COMPUTED_VALUE"""),4.24233333333333)</f>
        <v>4.2423333333333302</v>
      </c>
      <c r="L225" s="143" t="str">
        <f ca="1"/>
        <v>Wiris Variasi</v>
      </c>
      <c r="M225" s="127"/>
      <c r="N225" s="127"/>
      <c r="O225" s="127"/>
      <c r="P225" s="127"/>
      <c r="Q225" s="127"/>
      <c r="R225" s="127"/>
      <c r="S225" s="127"/>
      <c r="T225" s="127"/>
      <c r="U225" s="127"/>
      <c r="V225" s="127"/>
      <c r="W225" s="127"/>
      <c r="X225" s="127"/>
      <c r="Y225" s="127"/>
      <c r="Z225" s="127"/>
      <c r="AA225" s="127"/>
    </row>
    <row r="226" spans="1:27">
      <c r="A226" s="127">
        <f ca="1">IFERROR(__xludf.DUMMYFUNCTION("""COMPUTED_VALUE"""),174904221976312)</f>
        <v>174904221976312</v>
      </c>
      <c r="B226" s="127" t="str">
        <f ca="1">IFERROR(__xludf.DUMMYFUNCTION("""COMPUTED_VALUE"""),"120230030546360694")</f>
        <v>120230030546360694</v>
      </c>
      <c r="C226" s="127" t="str">
        <f ca="1">IFERROR(__xludf.DUMMYFUNCTION("""COMPUTED_VALUE"""),"PT KURNIA")</f>
        <v>PT KURNIA</v>
      </c>
      <c r="D226" s="138" t="str">
        <f ca="1">IFERROR(__xludf.DUMMYFUNCTION("""COMPUTED_VALUE"""),"https://wa.me/6282384544939")</f>
        <v>https://wa.me/6282384544939</v>
      </c>
      <c r="E226" s="139" t="str">
        <f ca="1">IFERROR(__xludf.DUMMYFUNCTION("""COMPUTED_VALUE"""),"6282384544939")</f>
        <v>6282384544939</v>
      </c>
      <c r="F226" s="139">
        <f ca="1">IFERROR(__xludf.DUMMYFUNCTION("""COMPUTED_VALUE"""),16093)</f>
        <v>16093</v>
      </c>
      <c r="G226" s="139">
        <f ca="1">IFERROR(__xludf.DUMMYFUNCTION("""COMPUTED_VALUE"""),22624.8333333333)</f>
        <v>22624.833333333299</v>
      </c>
      <c r="H226" s="139">
        <f ca="1">IFERROR(__xludf.DUMMYFUNCTION("""COMPUTED_VALUE"""),40)</f>
        <v>40</v>
      </c>
      <c r="I226" s="140">
        <f ca="1">IFERROR(__xludf.DUMMYFUNCTION("""COMPUTED_VALUE"""),411903)</f>
        <v>411903</v>
      </c>
      <c r="J226" s="141">
        <f ca="1">IFERROR(__xludf.DUMMYFUNCTION("""COMPUTED_VALUE"""),10297.575)</f>
        <v>10297.575000000001</v>
      </c>
      <c r="K226" s="142">
        <f ca="1">IFERROR(__xludf.DUMMYFUNCTION("""COMPUTED_VALUE"""),27.4602)</f>
        <v>27.4602</v>
      </c>
      <c r="L226" s="143" t="str">
        <f ca="1"/>
        <v>Wiris Variasi</v>
      </c>
      <c r="M226" s="127"/>
      <c r="N226" s="127"/>
      <c r="O226" s="127"/>
      <c r="P226" s="127"/>
      <c r="Q226" s="127"/>
      <c r="R226" s="127"/>
      <c r="S226" s="127"/>
      <c r="T226" s="127"/>
      <c r="U226" s="127"/>
      <c r="V226" s="127"/>
      <c r="W226" s="127"/>
      <c r="X226" s="127"/>
      <c r="Y226" s="127"/>
      <c r="Z226" s="127"/>
      <c r="AA226" s="127"/>
    </row>
    <row r="227" spans="1:27">
      <c r="A227" s="127">
        <f ca="1">IFERROR(__xludf.DUMMYFUNCTION("""COMPUTED_VALUE"""),174904221976312)</f>
        <v>174904221976312</v>
      </c>
      <c r="B227" s="127" t="str">
        <f ca="1">IFERROR(__xludf.DUMMYFUNCTION("""COMPUTED_VALUE"""),"120230030663890694")</f>
        <v>120230030663890694</v>
      </c>
      <c r="C227" s="127" t="str">
        <f ca="1">IFERROR(__xludf.DUMMYFUNCTION("""COMPUTED_VALUE"""),"Matantimali Adventure")</f>
        <v>Matantimali Adventure</v>
      </c>
      <c r="D227" s="138" t="str">
        <f ca="1">IFERROR(__xludf.DUMMYFUNCTION("""COMPUTED_VALUE"""),"https://wa.me/628154336558")</f>
        <v>https://wa.me/628154336558</v>
      </c>
      <c r="E227" s="139" t="str">
        <f ca="1">IFERROR(__xludf.DUMMYFUNCTION("""COMPUTED_VALUE"""),"628154336558")</f>
        <v>628154336558</v>
      </c>
      <c r="F227" s="139">
        <f ca="1">IFERROR(__xludf.DUMMYFUNCTION("""COMPUTED_VALUE"""),60467)</f>
        <v>60467</v>
      </c>
      <c r="G227" s="139">
        <f ca="1">IFERROR(__xludf.DUMMYFUNCTION("""COMPUTED_VALUE"""),6404.53333333333)</f>
        <v>6404.5333333333301</v>
      </c>
      <c r="H227" s="139">
        <f ca="1">IFERROR(__xludf.DUMMYFUNCTION("""COMPUTED_VALUE"""),101)</f>
        <v>101</v>
      </c>
      <c r="I227" s="140">
        <f ca="1">IFERROR(__xludf.DUMMYFUNCTION("""COMPUTED_VALUE"""),414430)</f>
        <v>414430</v>
      </c>
      <c r="J227" s="141">
        <f ca="1">IFERROR(__xludf.DUMMYFUNCTION("""COMPUTED_VALUE"""),4103.26732673267)</f>
        <v>4103.26732673267</v>
      </c>
      <c r="K227" s="142">
        <f ca="1">IFERROR(__xludf.DUMMYFUNCTION("""COMPUTED_VALUE"""),27.6286666666666)</f>
        <v>27.6286666666666</v>
      </c>
      <c r="L227" s="143" t="str">
        <f ca="1"/>
        <v>Wiris Variasi</v>
      </c>
      <c r="M227" s="127"/>
      <c r="N227" s="127"/>
      <c r="O227" s="127"/>
      <c r="P227" s="127"/>
      <c r="Q227" s="127"/>
      <c r="R227" s="127"/>
      <c r="S227" s="127"/>
      <c r="T227" s="127"/>
      <c r="U227" s="127"/>
      <c r="V227" s="127"/>
      <c r="W227" s="127"/>
      <c r="X227" s="127"/>
      <c r="Y227" s="127"/>
      <c r="Z227" s="127"/>
      <c r="AA227" s="127"/>
    </row>
    <row r="228" spans="1:27">
      <c r="A228" s="127">
        <f ca="1">IFERROR(__xludf.DUMMYFUNCTION("""COMPUTED_VALUE"""),174904221976312)</f>
        <v>174904221976312</v>
      </c>
      <c r="B228" s="127" t="str">
        <f ca="1">IFERROR(__xludf.DUMMYFUNCTION("""COMPUTED_VALUE"""),"120230030751300694")</f>
        <v>120230030751300694</v>
      </c>
      <c r="C228" s="127" t="str">
        <f ca="1">IFERROR(__xludf.DUMMYFUNCTION("""COMPUTED_VALUE"""),"Zam Zam")</f>
        <v>Zam Zam</v>
      </c>
      <c r="D228" s="138" t="str">
        <f ca="1">IFERROR(__xludf.DUMMYFUNCTION("""COMPUTED_VALUE"""),"https://wa.me/6285946504405")</f>
        <v>https://wa.me/6285946504405</v>
      </c>
      <c r="E228" s="139" t="str">
        <f ca="1">IFERROR(__xludf.DUMMYFUNCTION("""COMPUTED_VALUE"""),"6285946504405")</f>
        <v>6285946504405</v>
      </c>
      <c r="F228" s="139">
        <f ca="1">IFERROR(__xludf.DUMMYFUNCTION("""COMPUTED_VALUE"""),9314)</f>
        <v>9314</v>
      </c>
      <c r="G228" s="139">
        <f ca="1">IFERROR(__xludf.DUMMYFUNCTION("""COMPUTED_VALUE"""),33668.0416666666)</f>
        <v>33668.041666666599</v>
      </c>
      <c r="H228" s="139">
        <f ca="1">IFERROR(__xludf.DUMMYFUNCTION("""COMPUTED_VALUE"""),55)</f>
        <v>55</v>
      </c>
      <c r="I228" s="140">
        <f ca="1">IFERROR(__xludf.DUMMYFUNCTION("""COMPUTED_VALUE"""),330184)</f>
        <v>330184</v>
      </c>
      <c r="J228" s="141">
        <f ca="1">IFERROR(__xludf.DUMMYFUNCTION("""COMPUTED_VALUE"""),6003.34545454545)</f>
        <v>6003.3454545454497</v>
      </c>
      <c r="K228" s="142">
        <f ca="1">IFERROR(__xludf.DUMMYFUNCTION("""COMPUTED_VALUE"""),22.0122666666666)</f>
        <v>22.012266666666601</v>
      </c>
      <c r="L228" s="143" t="str">
        <f ca="1"/>
        <v>Wiris Variasi</v>
      </c>
      <c r="M228" s="127"/>
      <c r="N228" s="127"/>
      <c r="O228" s="127"/>
      <c r="P228" s="127"/>
      <c r="Q228" s="127"/>
      <c r="R228" s="127"/>
      <c r="S228" s="127"/>
      <c r="T228" s="127"/>
      <c r="U228" s="127"/>
      <c r="V228" s="127"/>
      <c r="W228" s="127"/>
      <c r="X228" s="127"/>
      <c r="Y228" s="127"/>
      <c r="Z228" s="127"/>
      <c r="AA228" s="127"/>
    </row>
    <row r="229" spans="1:27">
      <c r="A229" s="127">
        <f ca="1">IFERROR(__xludf.DUMMYFUNCTION("""COMPUTED_VALUE"""),174904221976312)</f>
        <v>174904221976312</v>
      </c>
      <c r="B229" s="127" t="str">
        <f ca="1">IFERROR(__xludf.DUMMYFUNCTION("""COMPUTED_VALUE"""),"120230030877630694")</f>
        <v>120230030877630694</v>
      </c>
      <c r="C229" s="127" t="str">
        <f ca="1">IFERROR(__xludf.DUMMYFUNCTION("""COMPUTED_VALUE"""),"CV.BAGUS DAN")</f>
        <v>CV.BAGUS DAN</v>
      </c>
      <c r="D229" s="138" t="str">
        <f ca="1">IFERROR(__xludf.DUMMYFUNCTION("""COMPUTED_VALUE"""),"https://wa.me/6281357754513")</f>
        <v>https://wa.me/6281357754513</v>
      </c>
      <c r="E229" s="139" t="str">
        <f ca="1">IFERROR(__xludf.DUMMYFUNCTION("""COMPUTED_VALUE"""),"6281357754513")</f>
        <v>6281357754513</v>
      </c>
      <c r="F229" s="139">
        <f ca="1">IFERROR(__xludf.DUMMYFUNCTION("""COMPUTED_VALUE"""),15768)</f>
        <v>15768</v>
      </c>
      <c r="G229" s="139">
        <f ca="1">IFERROR(__xludf.DUMMYFUNCTION("""COMPUTED_VALUE"""),23103.5333333333)</f>
        <v>23103.5333333333</v>
      </c>
      <c r="H229" s="139">
        <f ca="1">IFERROR(__xludf.DUMMYFUNCTION("""COMPUTED_VALUE"""),60)</f>
        <v>60</v>
      </c>
      <c r="I229" s="140">
        <f ca="1">IFERROR(__xludf.DUMMYFUNCTION("""COMPUTED_VALUE"""),405376)</f>
        <v>405376</v>
      </c>
      <c r="J229" s="141">
        <f ca="1">IFERROR(__xludf.DUMMYFUNCTION("""COMPUTED_VALUE"""),6756.26666666666)</f>
        <v>6756.2666666666601</v>
      </c>
      <c r="K229" s="142">
        <f ca="1">IFERROR(__xludf.DUMMYFUNCTION("""COMPUTED_VALUE"""),27.0250666666666)</f>
        <v>27.0250666666666</v>
      </c>
      <c r="L229" s="143" t="str">
        <f ca="1"/>
        <v>Wiris Variasi</v>
      </c>
      <c r="M229" s="127"/>
      <c r="N229" s="127"/>
      <c r="O229" s="127"/>
      <c r="P229" s="127"/>
      <c r="Q229" s="127"/>
      <c r="R229" s="127"/>
      <c r="S229" s="127"/>
      <c r="T229" s="127"/>
      <c r="U229" s="127"/>
      <c r="V229" s="127"/>
      <c r="W229" s="127"/>
      <c r="X229" s="127"/>
      <c r="Y229" s="127"/>
      <c r="Z229" s="127"/>
      <c r="AA229" s="127"/>
    </row>
    <row r="230" spans="1:27">
      <c r="A230" s="127">
        <f ca="1">IFERROR(__xludf.DUMMYFUNCTION("""COMPUTED_VALUE"""),174904221976312)</f>
        <v>174904221976312</v>
      </c>
      <c r="B230" s="127" t="str">
        <f ca="1">IFERROR(__xludf.DUMMYFUNCTION("""COMPUTED_VALUE"""),"120230031060080694")</f>
        <v>120230031060080694</v>
      </c>
      <c r="C230" s="127" t="str">
        <f ca="1">IFERROR(__xludf.DUMMYFUNCTION("""COMPUTED_VALUE"""),"Terapi Saraf")</f>
        <v>Terapi Saraf</v>
      </c>
      <c r="D230" s="138" t="str">
        <f ca="1">IFERROR(__xludf.DUMMYFUNCTION("""COMPUTED_VALUE"""),"https://wa.me/6281326757091")</f>
        <v>https://wa.me/6281326757091</v>
      </c>
      <c r="E230" s="139" t="str">
        <f ca="1">IFERROR(__xludf.DUMMYFUNCTION("""COMPUTED_VALUE"""),"6281326757091")</f>
        <v>6281326757091</v>
      </c>
      <c r="F230" s="139">
        <f ca="1">IFERROR(__xludf.DUMMYFUNCTION("""COMPUTED_VALUE"""),11081)</f>
        <v>11081</v>
      </c>
      <c r="G230" s="139">
        <f ca="1">IFERROR(__xludf.DUMMYFUNCTION("""COMPUTED_VALUE"""),10754.3)</f>
        <v>10754.3</v>
      </c>
      <c r="H230" s="139">
        <f ca="1">IFERROR(__xludf.DUMMYFUNCTION("""COMPUTED_VALUE"""),106)</f>
        <v>106</v>
      </c>
      <c r="I230" s="140">
        <f ca="1">IFERROR(__xludf.DUMMYFUNCTION("""COMPUTED_VALUE"""),137699)</f>
        <v>137699</v>
      </c>
      <c r="J230" s="141">
        <f ca="1">IFERROR(__xludf.DUMMYFUNCTION("""COMPUTED_VALUE"""),1299.04716981132)</f>
        <v>1299.0471698113199</v>
      </c>
      <c r="K230" s="142">
        <f ca="1">IFERROR(__xludf.DUMMYFUNCTION("""COMPUTED_VALUE"""),9.17993333333333)</f>
        <v>9.1799333333333308</v>
      </c>
      <c r="L230" s="143" t="str">
        <f ca="1"/>
        <v>Wiris Variasi</v>
      </c>
      <c r="M230" s="127"/>
      <c r="N230" s="127"/>
      <c r="O230" s="127"/>
      <c r="P230" s="127"/>
      <c r="Q230" s="127"/>
      <c r="R230" s="127"/>
      <c r="S230" s="127"/>
      <c r="T230" s="127"/>
      <c r="U230" s="127"/>
      <c r="V230" s="127"/>
      <c r="W230" s="127"/>
      <c r="X230" s="127"/>
      <c r="Y230" s="127"/>
      <c r="Z230" s="127"/>
      <c r="AA230" s="127"/>
    </row>
    <row r="231" spans="1:27">
      <c r="A231" s="127">
        <f ca="1">IFERROR(__xludf.DUMMYFUNCTION("""COMPUTED_VALUE"""),174904221976312)</f>
        <v>174904221976312</v>
      </c>
      <c r="B231" s="127" t="str">
        <f ca="1">IFERROR(__xludf.DUMMYFUNCTION("""COMPUTED_VALUE"""),"120230031289610694")</f>
        <v>120230031289610694</v>
      </c>
      <c r="C231" s="127" t="str">
        <f ca="1">IFERROR(__xludf.DUMMYFUNCTION("""COMPUTED_VALUE"""),"BEKAM ZAYTUN")</f>
        <v>BEKAM ZAYTUN</v>
      </c>
      <c r="D231" s="138" t="str">
        <f ca="1">IFERROR(__xludf.DUMMYFUNCTION("""COMPUTED_VALUE"""),"https://wa.me/6283865096870")</f>
        <v>https://wa.me/6283865096870</v>
      </c>
      <c r="E231" s="139" t="str">
        <f ca="1">IFERROR(__xludf.DUMMYFUNCTION("""COMPUTED_VALUE"""),"6283865096870")</f>
        <v>6283865096870</v>
      </c>
      <c r="F231" s="139">
        <f ca="1">IFERROR(__xludf.DUMMYFUNCTION("""COMPUTED_VALUE"""),3754)</f>
        <v>3754</v>
      </c>
      <c r="G231" s="139">
        <f ca="1">IFERROR(__xludf.DUMMYFUNCTION("""COMPUTED_VALUE"""),12991.2)</f>
        <v>12991.2</v>
      </c>
      <c r="H231" s="139">
        <f ca="1">IFERROR(__xludf.DUMMYFUNCTION("""COMPUTED_VALUE"""),11)</f>
        <v>11</v>
      </c>
      <c r="I231" s="140">
        <f ca="1">IFERROR(__xludf.DUMMYFUNCTION("""COMPUTED_VALUE"""),60121)</f>
        <v>60121</v>
      </c>
      <c r="J231" s="141">
        <f ca="1">IFERROR(__xludf.DUMMYFUNCTION("""COMPUTED_VALUE"""),5465.54545454545)</f>
        <v>5465.5454545454504</v>
      </c>
      <c r="K231" s="142">
        <f ca="1">IFERROR(__xludf.DUMMYFUNCTION("""COMPUTED_VALUE"""),4.00806666666666)</f>
        <v>4.00806666666666</v>
      </c>
      <c r="L231" s="143" t="str">
        <f ca="1"/>
        <v>Wiris Variasi</v>
      </c>
      <c r="M231" s="127"/>
      <c r="N231" s="127"/>
      <c r="O231" s="127"/>
      <c r="P231" s="127"/>
      <c r="Q231" s="127"/>
      <c r="R231" s="127"/>
      <c r="S231" s="127"/>
      <c r="T231" s="127"/>
      <c r="U231" s="127"/>
      <c r="V231" s="127"/>
      <c r="W231" s="127"/>
      <c r="X231" s="127"/>
      <c r="Y231" s="127"/>
      <c r="Z231" s="127"/>
      <c r="AA231" s="127"/>
    </row>
    <row r="232" spans="1:27">
      <c r="A232" s="127">
        <f ca="1">IFERROR(__xludf.DUMMYFUNCTION("""COMPUTED_VALUE"""),174904221976312)</f>
        <v>174904221976312</v>
      </c>
      <c r="B232" s="127" t="str">
        <f ca="1">IFERROR(__xludf.DUMMYFUNCTION("""COMPUTED_VALUE"""),"120230031385670694")</f>
        <v>120230031385670694</v>
      </c>
      <c r="C232" s="127" t="str">
        <f ca="1">IFERROR(__xludf.DUMMYFUNCTION("""COMPUTED_VALUE"""),"griya sehat")</f>
        <v>griya sehat</v>
      </c>
      <c r="D232" s="138" t="str">
        <f ca="1">IFERROR(__xludf.DUMMYFUNCTION("""COMPUTED_VALUE"""),"https://wa.me/6285378141823")</f>
        <v>https://wa.me/6285378141823</v>
      </c>
      <c r="E232" s="139" t="str">
        <f ca="1">IFERROR(__xludf.DUMMYFUNCTION("""COMPUTED_VALUE"""),"6285378141823")</f>
        <v>6285378141823</v>
      </c>
      <c r="F232" s="139">
        <f ca="1">IFERROR(__xludf.DUMMYFUNCTION("""COMPUTED_VALUE"""),3235)</f>
        <v>3235</v>
      </c>
      <c r="G232" s="139">
        <f ca="1">IFERROR(__xludf.DUMMYFUNCTION("""COMPUTED_VALUE"""),16404.6)</f>
        <v>16404.599999999999</v>
      </c>
      <c r="H232" s="139">
        <f ca="1">IFERROR(__xludf.DUMMYFUNCTION("""COMPUTED_VALUE"""),7)</f>
        <v>7</v>
      </c>
      <c r="I232" s="140">
        <f ca="1">IFERROR(__xludf.DUMMYFUNCTION("""COMPUTED_VALUE"""),65486)</f>
        <v>65486</v>
      </c>
      <c r="J232" s="141">
        <f ca="1">IFERROR(__xludf.DUMMYFUNCTION("""COMPUTED_VALUE"""),9355.14285714285)</f>
        <v>9355.1428571428496</v>
      </c>
      <c r="K232" s="142">
        <f ca="1">IFERROR(__xludf.DUMMYFUNCTION("""COMPUTED_VALUE"""),4.36573333333333)</f>
        <v>4.3657333333333304</v>
      </c>
      <c r="L232" s="143" t="str">
        <f ca="1"/>
        <v>Wiris Variasi</v>
      </c>
      <c r="M232" s="127"/>
      <c r="N232" s="127"/>
      <c r="O232" s="127"/>
      <c r="P232" s="127"/>
      <c r="Q232" s="127"/>
      <c r="R232" s="127"/>
      <c r="S232" s="127"/>
      <c r="T232" s="127"/>
      <c r="U232" s="127"/>
      <c r="V232" s="127"/>
      <c r="W232" s="127"/>
      <c r="X232" s="127"/>
      <c r="Y232" s="127"/>
      <c r="Z232" s="127"/>
      <c r="AA232" s="127"/>
    </row>
    <row r="233" spans="1:27">
      <c r="A233" s="127">
        <f ca="1">IFERROR(__xludf.DUMMYFUNCTION("""COMPUTED_VALUE"""),174904221976312)</f>
        <v>174904221976312</v>
      </c>
      <c r="B233" s="127" t="str">
        <f ca="1">IFERROR(__xludf.DUMMYFUNCTION("""COMPUTED_VALUE"""),"120230031554680694")</f>
        <v>120230031554680694</v>
      </c>
      <c r="C233" s="127" t="str">
        <f ca="1">IFERROR(__xludf.DUMMYFUNCTION("""COMPUTED_VALUE"""),"DA'2 BODY")</f>
        <v>DA'2 BODY</v>
      </c>
      <c r="D233" s="138" t="str">
        <f ca="1">IFERROR(__xludf.DUMMYFUNCTION("""COMPUTED_VALUE"""),"https://wa.me/6287721853921")</f>
        <v>https://wa.me/6287721853921</v>
      </c>
      <c r="E233" s="139" t="str">
        <f ca="1">IFERROR(__xludf.DUMMYFUNCTION("""COMPUTED_VALUE"""),"6287721853921")</f>
        <v>6287721853921</v>
      </c>
      <c r="F233" s="139">
        <f ca="1">IFERROR(__xludf.DUMMYFUNCTION("""COMPUTED_VALUE"""),13002)</f>
        <v>13002</v>
      </c>
      <c r="G233" s="139">
        <f ca="1">IFERROR(__xludf.DUMMYFUNCTION("""COMPUTED_VALUE"""),9218.1)</f>
        <v>9218.1</v>
      </c>
      <c r="H233" s="139">
        <f ca="1">IFERROR(__xludf.DUMMYFUNCTION("""COMPUTED_VALUE"""),37)</f>
        <v>37</v>
      </c>
      <c r="I233" s="140">
        <f ca="1">IFERROR(__xludf.DUMMYFUNCTION("""COMPUTED_VALUE"""),134428)</f>
        <v>134428</v>
      </c>
      <c r="J233" s="141">
        <f ca="1">IFERROR(__xludf.DUMMYFUNCTION("""COMPUTED_VALUE"""),3633.18918918918)</f>
        <v>3633.1891891891801</v>
      </c>
      <c r="K233" s="142">
        <f ca="1">IFERROR(__xludf.DUMMYFUNCTION("""COMPUTED_VALUE"""),8.96186666666666)</f>
        <v>8.9618666666666602</v>
      </c>
      <c r="L233" s="143" t="str">
        <f ca="1"/>
        <v>Wiris Variasi</v>
      </c>
      <c r="M233" s="127"/>
      <c r="N233" s="127"/>
      <c r="O233" s="127"/>
      <c r="P233" s="127"/>
      <c r="Q233" s="127"/>
      <c r="R233" s="127"/>
      <c r="S233" s="127"/>
      <c r="T233" s="127"/>
      <c r="U233" s="127"/>
      <c r="V233" s="127"/>
      <c r="W233" s="127"/>
      <c r="X233" s="127"/>
      <c r="Y233" s="127"/>
      <c r="Z233" s="127"/>
      <c r="AA233" s="127"/>
    </row>
    <row r="234" spans="1:27">
      <c r="A234" s="127">
        <f ca="1">IFERROR(__xludf.DUMMYFUNCTION("""COMPUTED_VALUE"""),174904221976312)</f>
        <v>174904221976312</v>
      </c>
      <c r="B234" s="127" t="str">
        <f ca="1">IFERROR(__xludf.DUMMYFUNCTION("""COMPUTED_VALUE"""),"120230031719520694")</f>
        <v>120230031719520694</v>
      </c>
      <c r="C234" s="127" t="str">
        <f ca="1">IFERROR(__xludf.DUMMYFUNCTION("""COMPUTED_VALUE"""),"Rumah Sehat")</f>
        <v>Rumah Sehat</v>
      </c>
      <c r="D234" s="138" t="str">
        <f ca="1">IFERROR(__xludf.DUMMYFUNCTION("""COMPUTED_VALUE"""),"https://wa.me/6285244535934")</f>
        <v>https://wa.me/6285244535934</v>
      </c>
      <c r="E234" s="139" t="str">
        <f ca="1">IFERROR(__xludf.DUMMYFUNCTION("""COMPUTED_VALUE"""),"6285244535934")</f>
        <v>6285244535934</v>
      </c>
      <c r="F234" s="139">
        <f ca="1">IFERROR(__xludf.DUMMYFUNCTION("""COMPUTED_VALUE"""),5020)</f>
        <v>5020</v>
      </c>
      <c r="G234" s="139">
        <f ca="1">IFERROR(__xludf.DUMMYFUNCTION("""COMPUTED_VALUE"""),11721.4)</f>
        <v>11721.4</v>
      </c>
      <c r="H234" s="139">
        <f ca="1">IFERROR(__xludf.DUMMYFUNCTION("""COMPUTED_VALUE"""),30)</f>
        <v>30</v>
      </c>
      <c r="I234" s="140">
        <f ca="1">IFERROR(__xludf.DUMMYFUNCTION("""COMPUTED_VALUE"""),69292)</f>
        <v>69292</v>
      </c>
      <c r="J234" s="141">
        <f ca="1">IFERROR(__xludf.DUMMYFUNCTION("""COMPUTED_VALUE"""),2309.73333333333)</f>
        <v>2309.7333333333299</v>
      </c>
      <c r="K234" s="142">
        <f ca="1">IFERROR(__xludf.DUMMYFUNCTION("""COMPUTED_VALUE"""),4.61946666666666)</f>
        <v>4.6194666666666597</v>
      </c>
      <c r="L234" s="143" t="str">
        <f ca="1"/>
        <v>Wiris Variasi</v>
      </c>
      <c r="M234" s="127"/>
      <c r="N234" s="127"/>
      <c r="O234" s="127"/>
      <c r="P234" s="127"/>
      <c r="Q234" s="127"/>
      <c r="R234" s="127"/>
      <c r="S234" s="127"/>
      <c r="T234" s="127"/>
      <c r="U234" s="127"/>
      <c r="V234" s="127"/>
      <c r="W234" s="127"/>
      <c r="X234" s="127"/>
      <c r="Y234" s="127"/>
      <c r="Z234" s="127"/>
      <c r="AA234" s="127"/>
    </row>
    <row r="235" spans="1:27">
      <c r="A235" s="127">
        <f ca="1">IFERROR(__xludf.DUMMYFUNCTION("""COMPUTED_VALUE"""),174904221976312)</f>
        <v>174904221976312</v>
      </c>
      <c r="B235" s="127" t="str">
        <f ca="1">IFERROR(__xludf.DUMMYFUNCTION("""COMPUTED_VALUE"""),"120230032002500694")</f>
        <v>120230032002500694</v>
      </c>
      <c r="C235" s="127" t="str">
        <f ca="1">IFERROR(__xludf.DUMMYFUNCTION("""COMPUTED_VALUE"""),"Riffy Travel")</f>
        <v>Riffy Travel</v>
      </c>
      <c r="D235" s="138" t="str">
        <f ca="1">IFERROR(__xludf.DUMMYFUNCTION("""COMPUTED_VALUE"""),"https://wa.me/6281558225822")</f>
        <v>https://wa.me/6281558225822</v>
      </c>
      <c r="E235" s="139" t="str">
        <f ca="1">IFERROR(__xludf.DUMMYFUNCTION("""COMPUTED_VALUE"""),"6281558225822")</f>
        <v>6281558225822</v>
      </c>
      <c r="F235" s="139">
        <f ca="1">IFERROR(__xludf.DUMMYFUNCTION("""COMPUTED_VALUE"""),2623)</f>
        <v>2623</v>
      </c>
      <c r="G235" s="139">
        <f ca="1">IFERROR(__xludf.DUMMYFUNCTION("""COMPUTED_VALUE"""),82596.6428571428)</f>
        <v>82596.642857142797</v>
      </c>
      <c r="H235" s="139">
        <f ca="1">IFERROR(__xludf.DUMMYFUNCTION("""COMPUTED_VALUE"""),12)</f>
        <v>12</v>
      </c>
      <c r="I235" s="140">
        <f ca="1">IFERROR(__xludf.DUMMYFUNCTION("""COMPUTED_VALUE"""),195450)</f>
        <v>195450</v>
      </c>
      <c r="J235" s="141">
        <f ca="1">IFERROR(__xludf.DUMMYFUNCTION("""COMPUTED_VALUE"""),16287.5)</f>
        <v>16287.5</v>
      </c>
      <c r="K235" s="142">
        <f ca="1">IFERROR(__xludf.DUMMYFUNCTION("""COMPUTED_VALUE"""),13.03)</f>
        <v>13.03</v>
      </c>
      <c r="L235" s="143" t="str">
        <f ca="1"/>
        <v>Wiris Variasi</v>
      </c>
      <c r="M235" s="127"/>
      <c r="N235" s="127"/>
      <c r="O235" s="127"/>
      <c r="P235" s="127"/>
      <c r="Q235" s="127"/>
      <c r="R235" s="127"/>
      <c r="S235" s="127"/>
      <c r="T235" s="127"/>
      <c r="U235" s="127"/>
      <c r="V235" s="127"/>
      <c r="W235" s="127"/>
      <c r="X235" s="127"/>
      <c r="Y235" s="127"/>
      <c r="Z235" s="127"/>
      <c r="AA235" s="127"/>
    </row>
    <row r="236" spans="1:27">
      <c r="A236" s="127">
        <f ca="1">IFERROR(__xludf.DUMMYFUNCTION("""COMPUTED_VALUE"""),174904221976312)</f>
        <v>174904221976312</v>
      </c>
      <c r="B236" s="127" t="str">
        <f ca="1">IFERROR(__xludf.DUMMYFUNCTION("""COMPUTED_VALUE"""),"120230032290790694")</f>
        <v>120230032290790694</v>
      </c>
      <c r="C236" s="127" t="str">
        <f ca="1">IFERROR(__xludf.DUMMYFUNCTION("""COMPUTED_VALUE"""),"Tuti Tour")</f>
        <v>Tuti Tour</v>
      </c>
      <c r="D236" s="138" t="str">
        <f ca="1">IFERROR(__xludf.DUMMYFUNCTION("""COMPUTED_VALUE"""),"https://wa.me/6282241824727")</f>
        <v>https://wa.me/6282241824727</v>
      </c>
      <c r="E236" s="139" t="str">
        <f ca="1">IFERROR(__xludf.DUMMYFUNCTION("""COMPUTED_VALUE"""),"6282241824727")</f>
        <v>6282241824727</v>
      </c>
      <c r="F236" s="139">
        <f ca="1">IFERROR(__xludf.DUMMYFUNCTION("""COMPUTED_VALUE"""),1005)</f>
        <v>1005</v>
      </c>
      <c r="G236" s="139">
        <f ca="1">IFERROR(__xludf.DUMMYFUNCTION("""COMPUTED_VALUE"""),61425.6)</f>
        <v>61425.599999999999</v>
      </c>
      <c r="H236" s="139">
        <f ca="1">IFERROR(__xludf.DUMMYFUNCTION("""COMPUTED_VALUE"""),11)</f>
        <v>11</v>
      </c>
      <c r="I236" s="140">
        <f ca="1">IFERROR(__xludf.DUMMYFUNCTION("""COMPUTED_VALUE"""),63099)</f>
        <v>63099</v>
      </c>
      <c r="J236" s="141">
        <f ca="1">IFERROR(__xludf.DUMMYFUNCTION("""COMPUTED_VALUE"""),5736.27272727272)</f>
        <v>5736.2727272727197</v>
      </c>
      <c r="K236" s="142">
        <f ca="1">IFERROR(__xludf.DUMMYFUNCTION("""COMPUTED_VALUE"""),4.2066)</f>
        <v>4.2065999999999999</v>
      </c>
      <c r="L236" s="143" t="str">
        <f ca="1"/>
        <v>Wiris Variasi</v>
      </c>
      <c r="M236" s="127"/>
      <c r="N236" s="127"/>
      <c r="O236" s="127"/>
      <c r="P236" s="127"/>
      <c r="Q236" s="127"/>
      <c r="R236" s="127"/>
      <c r="S236" s="127"/>
      <c r="T236" s="127"/>
      <c r="U236" s="127"/>
      <c r="V236" s="127"/>
      <c r="W236" s="127"/>
      <c r="X236" s="127"/>
      <c r="Y236" s="127"/>
      <c r="Z236" s="127"/>
      <c r="AA236" s="127"/>
    </row>
    <row r="237" spans="1:27">
      <c r="A237" s="127">
        <f ca="1">IFERROR(__xludf.DUMMYFUNCTION("""COMPUTED_VALUE"""),174904221976312)</f>
        <v>174904221976312</v>
      </c>
      <c r="B237" s="127" t="str">
        <f ca="1">IFERROR(__xludf.DUMMYFUNCTION("""COMPUTED_VALUE"""),"120230101256100694")</f>
        <v>120230101256100694</v>
      </c>
      <c r="C237" s="127" t="str">
        <f ca="1">IFERROR(__xludf.DUMMYFUNCTION("""COMPUTED_VALUE"""),"Paulo Bali")</f>
        <v>Paulo Bali</v>
      </c>
      <c r="D237" s="138" t="str">
        <f ca="1">IFERROR(__xludf.DUMMYFUNCTION("""COMPUTED_VALUE"""),"https://wa.me/6287751970643")</f>
        <v>https://wa.me/6287751970643</v>
      </c>
      <c r="E237" s="139" t="str">
        <f ca="1">IFERROR(__xludf.DUMMYFUNCTION("""COMPUTED_VALUE"""),"6287751970643")</f>
        <v>6287751970643</v>
      </c>
      <c r="F237" s="139">
        <f ca="1">IFERROR(__xludf.DUMMYFUNCTION("""COMPUTED_VALUE"""),1065)</f>
        <v>1065</v>
      </c>
      <c r="G237" s="139">
        <f ca="1">IFERROR(__xludf.DUMMYFUNCTION("""COMPUTED_VALUE"""),52922.6)</f>
        <v>52922.6</v>
      </c>
      <c r="H237" s="139">
        <f ca="1">IFERROR(__xludf.DUMMYFUNCTION("""COMPUTED_VALUE"""),0)</f>
        <v>0</v>
      </c>
      <c r="I237" s="140">
        <f ca="1">IFERROR(__xludf.DUMMYFUNCTION("""COMPUTED_VALUE"""),57287)</f>
        <v>57287</v>
      </c>
      <c r="J237" s="141"/>
      <c r="K237" s="142">
        <f ca="1">IFERROR(__xludf.DUMMYFUNCTION("""COMPUTED_VALUE"""),3.81913333333333)</f>
        <v>3.8191333333333302</v>
      </c>
      <c r="L237" s="143" t="str">
        <f ca="1"/>
        <v>Wiris Variasi</v>
      </c>
      <c r="M237" s="127"/>
      <c r="N237" s="127"/>
      <c r="O237" s="127"/>
      <c r="P237" s="127"/>
      <c r="Q237" s="127"/>
      <c r="R237" s="127"/>
      <c r="S237" s="127"/>
      <c r="T237" s="127"/>
      <c r="U237" s="127"/>
      <c r="V237" s="127"/>
      <c r="W237" s="127"/>
      <c r="X237" s="127"/>
      <c r="Y237" s="127"/>
      <c r="Z237" s="127"/>
      <c r="AA237" s="127"/>
    </row>
    <row r="238" spans="1:27">
      <c r="A238" s="127">
        <f ca="1">IFERROR(__xludf.DUMMYFUNCTION("""COMPUTED_VALUE"""),174904221976312)</f>
        <v>174904221976312</v>
      </c>
      <c r="B238" s="127" t="str">
        <f ca="1">IFERROR(__xludf.DUMMYFUNCTION("""COMPUTED_VALUE"""),"120230102442580694")</f>
        <v>120230102442580694</v>
      </c>
      <c r="C238" s="127" t="str">
        <f ca="1">IFERROR(__xludf.DUMMYFUNCTION("""COMPUTED_VALUE"""),"PESONA BOGOR")</f>
        <v>PESONA BOGOR</v>
      </c>
      <c r="D238" s="138" t="str">
        <f ca="1">IFERROR(__xludf.DUMMYFUNCTION("""COMPUTED_VALUE"""),"https://wa.me/628557182563")</f>
        <v>https://wa.me/628557182563</v>
      </c>
      <c r="E238" s="139" t="str">
        <f ca="1">IFERROR(__xludf.DUMMYFUNCTION("""COMPUTED_VALUE"""),"628557182563")</f>
        <v>628557182563</v>
      </c>
      <c r="F238" s="139">
        <f ca="1">IFERROR(__xludf.DUMMYFUNCTION("""COMPUTED_VALUE"""),7517)</f>
        <v>7517</v>
      </c>
      <c r="G238" s="139">
        <f ca="1">IFERROR(__xludf.DUMMYFUNCTION("""COMPUTED_VALUE"""),32603.9)</f>
        <v>32603.9</v>
      </c>
      <c r="H238" s="139">
        <f ca="1">IFERROR(__xludf.DUMMYFUNCTION("""COMPUTED_VALUE"""),29)</f>
        <v>29</v>
      </c>
      <c r="I238" s="140">
        <f ca="1">IFERROR(__xludf.DUMMYFUNCTION("""COMPUTED_VALUE"""),256397)</f>
        <v>256397</v>
      </c>
      <c r="J238" s="141">
        <f ca="1">IFERROR(__xludf.DUMMYFUNCTION("""COMPUTED_VALUE"""),8841.27586206896)</f>
        <v>8841.2758620689601</v>
      </c>
      <c r="K238" s="142">
        <f ca="1">IFERROR(__xludf.DUMMYFUNCTION("""COMPUTED_VALUE"""),17.0931333333333)</f>
        <v>17.093133333333299</v>
      </c>
      <c r="L238" s="143" t="str">
        <f ca="1"/>
        <v>Wiris Variasi</v>
      </c>
      <c r="M238" s="127"/>
      <c r="N238" s="127"/>
      <c r="O238" s="127"/>
      <c r="P238" s="127"/>
      <c r="Q238" s="127"/>
      <c r="R238" s="127"/>
      <c r="S238" s="127"/>
      <c r="T238" s="127"/>
      <c r="U238" s="127"/>
      <c r="V238" s="127"/>
      <c r="W238" s="127"/>
      <c r="X238" s="127"/>
      <c r="Y238" s="127"/>
      <c r="Z238" s="127"/>
      <c r="AA238" s="127"/>
    </row>
    <row r="239" spans="1:27">
      <c r="A239" s="127">
        <f ca="1">IFERROR(__xludf.DUMMYFUNCTION("""COMPUTED_VALUE"""),174904221976312)</f>
        <v>174904221976312</v>
      </c>
      <c r="B239" s="127" t="str">
        <f ca="1">IFERROR(__xludf.DUMMYFUNCTION("""COMPUTED_VALUE"""),"120230102653090694")</f>
        <v>120230102653090694</v>
      </c>
      <c r="C239" s="127" t="str">
        <f ca="1">IFERROR(__xludf.DUMMYFUNCTION("""COMPUTED_VALUE"""),"Manggarai store")</f>
        <v>Manggarai store</v>
      </c>
      <c r="D239" s="138" t="str">
        <f ca="1">IFERROR(__xludf.DUMMYFUNCTION("""COMPUTED_VALUE"""),"https://wa.me/6285241858483")</f>
        <v>https://wa.me/6285241858483</v>
      </c>
      <c r="E239" s="139" t="str">
        <f ca="1">IFERROR(__xludf.DUMMYFUNCTION("""COMPUTED_VALUE"""),"6285241858483")</f>
        <v>6285241858483</v>
      </c>
      <c r="F239" s="139">
        <f ca="1">IFERROR(__xludf.DUMMYFUNCTION("""COMPUTED_VALUE"""),4562)</f>
        <v>4562</v>
      </c>
      <c r="G239" s="139">
        <f ca="1">IFERROR(__xludf.DUMMYFUNCTION("""COMPUTED_VALUE"""),11817.6666666666)</f>
        <v>11817.666666666601</v>
      </c>
      <c r="H239" s="139">
        <f ca="1">IFERROR(__xludf.DUMMYFUNCTION("""COMPUTED_VALUE"""),7)</f>
        <v>7</v>
      </c>
      <c r="I239" s="140">
        <f ca="1">IFERROR(__xludf.DUMMYFUNCTION("""COMPUTED_VALUE"""),63149)</f>
        <v>63149</v>
      </c>
      <c r="J239" s="141">
        <f ca="1">IFERROR(__xludf.DUMMYFUNCTION("""COMPUTED_VALUE"""),9021.28571428571)</f>
        <v>9021.2857142857101</v>
      </c>
      <c r="K239" s="142">
        <f ca="1">IFERROR(__xludf.DUMMYFUNCTION("""COMPUTED_VALUE"""),4.20993333333333)</f>
        <v>4.2099333333333302</v>
      </c>
      <c r="L239" s="143" t="str">
        <f ca="1"/>
        <v>Wiris Variasi</v>
      </c>
      <c r="M239" s="127"/>
      <c r="N239" s="127"/>
      <c r="O239" s="127"/>
      <c r="P239" s="127"/>
      <c r="Q239" s="127"/>
      <c r="R239" s="127"/>
      <c r="S239" s="127"/>
      <c r="T239" s="127"/>
      <c r="U239" s="127"/>
      <c r="V239" s="127"/>
      <c r="W239" s="127"/>
      <c r="X239" s="127"/>
      <c r="Y239" s="127"/>
      <c r="Z239" s="127"/>
      <c r="AA239" s="127"/>
    </row>
    <row r="240" spans="1:27">
      <c r="A240" s="127">
        <f ca="1">IFERROR(__xludf.DUMMYFUNCTION("""COMPUTED_VALUE"""),174904221976312)</f>
        <v>174904221976312</v>
      </c>
      <c r="B240" s="127" t="str">
        <f ca="1">IFERROR(__xludf.DUMMYFUNCTION("""COMPUTED_VALUE"""),"120230103577590694")</f>
        <v>120230103577590694</v>
      </c>
      <c r="C240" s="127" t="str">
        <f ca="1">IFERROR(__xludf.DUMMYFUNCTION("""COMPUTED_VALUE"""),"KHARISMA AUTO")</f>
        <v>KHARISMA AUTO</v>
      </c>
      <c r="D240" s="138" t="str">
        <f ca="1">IFERROR(__xludf.DUMMYFUNCTION("""COMPUTED_VALUE"""),"https://wa.me/6282129364133")</f>
        <v>https://wa.me/6282129364133</v>
      </c>
      <c r="E240" s="139" t="str">
        <f ca="1">IFERROR(__xludf.DUMMYFUNCTION("""COMPUTED_VALUE"""),"6282129364133")</f>
        <v>6282129364133</v>
      </c>
      <c r="F240" s="139">
        <f ca="1">IFERROR(__xludf.DUMMYFUNCTION("""COMPUTED_VALUE"""),16510)</f>
        <v>16510</v>
      </c>
      <c r="G240" s="139">
        <f ca="1">IFERROR(__xludf.DUMMYFUNCTION("""COMPUTED_VALUE"""),24273.7575757575)</f>
        <v>24273.7575757575</v>
      </c>
      <c r="H240" s="139">
        <f ca="1">IFERROR(__xludf.DUMMYFUNCTION("""COMPUTED_VALUE"""),26)</f>
        <v>26</v>
      </c>
      <c r="I240" s="140">
        <f ca="1">IFERROR(__xludf.DUMMYFUNCTION("""COMPUTED_VALUE"""),428078)</f>
        <v>428078</v>
      </c>
      <c r="J240" s="141">
        <f ca="1">IFERROR(__xludf.DUMMYFUNCTION("""COMPUTED_VALUE"""),16464.5384615384)</f>
        <v>16464.538461538399</v>
      </c>
      <c r="K240" s="142">
        <f ca="1">IFERROR(__xludf.DUMMYFUNCTION("""COMPUTED_VALUE"""),28.5385333333333)</f>
        <v>28.538533333333302</v>
      </c>
      <c r="L240" s="143" t="str">
        <f ca="1"/>
        <v>Wiris Variasi</v>
      </c>
      <c r="M240" s="127"/>
      <c r="N240" s="127"/>
      <c r="O240" s="127"/>
      <c r="P240" s="127"/>
      <c r="Q240" s="127"/>
      <c r="R240" s="127"/>
      <c r="S240" s="127"/>
      <c r="T240" s="127"/>
      <c r="U240" s="127"/>
      <c r="V240" s="127"/>
      <c r="W240" s="127"/>
      <c r="X240" s="127"/>
      <c r="Y240" s="127"/>
      <c r="Z240" s="127"/>
      <c r="AA240" s="127"/>
    </row>
    <row r="241" spans="1:27">
      <c r="A241" s="127">
        <f ca="1">IFERROR(__xludf.DUMMYFUNCTION("""COMPUTED_VALUE"""),174904221976312)</f>
        <v>174904221976312</v>
      </c>
      <c r="B241" s="127" t="str">
        <f ca="1">IFERROR(__xludf.DUMMYFUNCTION("""COMPUTED_VALUE"""),"120230104017690694")</f>
        <v>120230104017690694</v>
      </c>
      <c r="C241" s="127" t="str">
        <f ca="1">IFERROR(__xludf.DUMMYFUNCTION("""COMPUTED_VALUE"""),"TAQIRA HD")</f>
        <v>TAQIRA HD</v>
      </c>
      <c r="D241" s="138" t="str">
        <f ca="1">IFERROR(__xludf.DUMMYFUNCTION("""COMPUTED_VALUE"""),"https://wa.me/6281374844270")</f>
        <v>https://wa.me/6281374844270</v>
      </c>
      <c r="E241" s="139" t="str">
        <f ca="1">IFERROR(__xludf.DUMMYFUNCTION("""COMPUTED_VALUE"""),"6281374844270")</f>
        <v>6281374844270</v>
      </c>
      <c r="F241" s="139">
        <f ca="1">IFERROR(__xludf.DUMMYFUNCTION("""COMPUTED_VALUE"""),10172)</f>
        <v>10172</v>
      </c>
      <c r="G241" s="139">
        <f ca="1">IFERROR(__xludf.DUMMYFUNCTION("""COMPUTED_VALUE"""),21578.7142857142)</f>
        <v>21578.714285714199</v>
      </c>
      <c r="H241" s="139">
        <f ca="1">IFERROR(__xludf.DUMMYFUNCTION("""COMPUTED_VALUE"""),5)</f>
        <v>5</v>
      </c>
      <c r="I241" s="140">
        <f ca="1">IFERROR(__xludf.DUMMYFUNCTION("""COMPUTED_VALUE"""),193869)</f>
        <v>193869</v>
      </c>
      <c r="J241" s="141">
        <f ca="1">IFERROR(__xludf.DUMMYFUNCTION("""COMPUTED_VALUE"""),38773.8)</f>
        <v>38773.800000000003</v>
      </c>
      <c r="K241" s="142">
        <f ca="1">IFERROR(__xludf.DUMMYFUNCTION("""COMPUTED_VALUE"""),12.9246)</f>
        <v>12.9246</v>
      </c>
      <c r="L241" s="143" t="str">
        <f ca="1"/>
        <v>Wiris Variasi</v>
      </c>
      <c r="M241" s="127"/>
      <c r="N241" s="127"/>
      <c r="O241" s="127"/>
      <c r="P241" s="127"/>
      <c r="Q241" s="127"/>
      <c r="R241" s="127"/>
      <c r="S241" s="127"/>
      <c r="T241" s="127"/>
      <c r="U241" s="127"/>
      <c r="V241" s="127"/>
      <c r="W241" s="127"/>
      <c r="X241" s="127"/>
      <c r="Y241" s="127"/>
      <c r="Z241" s="127"/>
      <c r="AA241" s="127"/>
    </row>
    <row r="242" spans="1:27">
      <c r="A242" s="127">
        <f ca="1">IFERROR(__xludf.DUMMYFUNCTION("""COMPUTED_VALUE"""),174904221976312)</f>
        <v>174904221976312</v>
      </c>
      <c r="B242" s="127" t="str">
        <f ca="1">IFERROR(__xludf.DUMMYFUNCTION("""COMPUTED_VALUE"""),"120230104636090694")</f>
        <v>120230104636090694</v>
      </c>
      <c r="C242" s="127" t="str">
        <f ca="1">IFERROR(__xludf.DUMMYFUNCTION("""COMPUTED_VALUE"""),"PT Kirana")</f>
        <v>PT Kirana</v>
      </c>
      <c r="D242" s="138" t="str">
        <f ca="1">IFERROR(__xludf.DUMMYFUNCTION("""COMPUTED_VALUE"""),"https://wa.me/6281363504410")</f>
        <v>https://wa.me/6281363504410</v>
      </c>
      <c r="E242" s="139" t="str">
        <f ca="1">IFERROR(__xludf.DUMMYFUNCTION("""COMPUTED_VALUE"""),"6281363504410")</f>
        <v>6281363504410</v>
      </c>
      <c r="F242" s="139">
        <f ca="1">IFERROR(__xludf.DUMMYFUNCTION("""COMPUTED_VALUE"""),1004)</f>
        <v>1004</v>
      </c>
      <c r="G242" s="139">
        <f ca="1">IFERROR(__xludf.DUMMYFUNCTION("""COMPUTED_VALUE"""),85819.4285714285)</f>
        <v>85819.428571428507</v>
      </c>
      <c r="H242" s="139">
        <f ca="1">IFERROR(__xludf.DUMMYFUNCTION("""COMPUTED_VALUE"""),23)</f>
        <v>23</v>
      </c>
      <c r="I242" s="140">
        <f ca="1">IFERROR(__xludf.DUMMYFUNCTION("""COMPUTED_VALUE"""),96257)</f>
        <v>96257</v>
      </c>
      <c r="J242" s="141">
        <f ca="1">IFERROR(__xludf.DUMMYFUNCTION("""COMPUTED_VALUE"""),4185.08695652173)</f>
        <v>4185.0869565217299</v>
      </c>
      <c r="K242" s="142">
        <f ca="1">IFERROR(__xludf.DUMMYFUNCTION("""COMPUTED_VALUE"""),6.41713333333333)</f>
        <v>6.4171333333333296</v>
      </c>
      <c r="L242" s="143" t="str">
        <f ca="1"/>
        <v>Wiris Variasi</v>
      </c>
      <c r="M242" s="127"/>
      <c r="N242" s="127"/>
      <c r="O242" s="127"/>
      <c r="P242" s="127"/>
      <c r="Q242" s="127"/>
      <c r="R242" s="127"/>
      <c r="S242" s="127"/>
      <c r="T242" s="127"/>
      <c r="U242" s="127"/>
      <c r="V242" s="127"/>
      <c r="W242" s="127"/>
      <c r="X242" s="127"/>
      <c r="Y242" s="127"/>
      <c r="Z242" s="127"/>
      <c r="AA242" s="127"/>
    </row>
    <row r="243" spans="1:27">
      <c r="A243" s="127">
        <f ca="1">IFERROR(__xludf.DUMMYFUNCTION("""COMPUTED_VALUE"""),174904221976312)</f>
        <v>174904221976312</v>
      </c>
      <c r="B243" s="127" t="str">
        <f ca="1">IFERROR(__xludf.DUMMYFUNCTION("""COMPUTED_VALUE"""),"120230104881210694")</f>
        <v>120230104881210694</v>
      </c>
      <c r="C243" s="127" t="str">
        <f ca="1">IFERROR(__xludf.DUMMYFUNCTION("""COMPUTED_VALUE"""),"Dolphin Lovina")</f>
        <v>Dolphin Lovina</v>
      </c>
      <c r="D243" s="138" t="str">
        <f ca="1">IFERROR(__xludf.DUMMYFUNCTION("""COMPUTED_VALUE"""),"https://wa.me/6281238115957")</f>
        <v>https://wa.me/6281238115957</v>
      </c>
      <c r="E243" s="139" t="str">
        <f ca="1">IFERROR(__xludf.DUMMYFUNCTION("""COMPUTED_VALUE"""),"6281238115957")</f>
        <v>6281238115957</v>
      </c>
      <c r="F243" s="139">
        <f ca="1">IFERROR(__xludf.DUMMYFUNCTION("""COMPUTED_VALUE"""),4395)</f>
        <v>4395</v>
      </c>
      <c r="G243" s="139">
        <f ca="1">IFERROR(__xludf.DUMMYFUNCTION("""COMPUTED_VALUE"""),20569.7142857142)</f>
        <v>20569.714285714199</v>
      </c>
      <c r="H243" s="139">
        <f ca="1">IFERROR(__xludf.DUMMYFUNCTION("""COMPUTED_VALUE"""),5)</f>
        <v>5</v>
      </c>
      <c r="I243" s="140">
        <f ca="1">IFERROR(__xludf.DUMMYFUNCTION("""COMPUTED_VALUE"""),86148)</f>
        <v>86148</v>
      </c>
      <c r="J243" s="141">
        <f ca="1">IFERROR(__xludf.DUMMYFUNCTION("""COMPUTED_VALUE"""),17229.6)</f>
        <v>17229.599999999999</v>
      </c>
      <c r="K243" s="142">
        <f ca="1">IFERROR(__xludf.DUMMYFUNCTION("""COMPUTED_VALUE"""),5.7432)</f>
        <v>5.7431999999999999</v>
      </c>
      <c r="L243" s="143" t="str">
        <f ca="1"/>
        <v>Wiris Variasi</v>
      </c>
      <c r="M243" s="127"/>
      <c r="N243" s="127"/>
      <c r="O243" s="127"/>
      <c r="P243" s="127"/>
      <c r="Q243" s="127"/>
      <c r="R243" s="127"/>
      <c r="S243" s="127"/>
      <c r="T243" s="127"/>
      <c r="U243" s="127"/>
      <c r="V243" s="127"/>
      <c r="W243" s="127"/>
      <c r="X243" s="127"/>
      <c r="Y243" s="127"/>
      <c r="Z243" s="127"/>
      <c r="AA243" s="127"/>
    </row>
    <row r="244" spans="1:27">
      <c r="A244" s="127">
        <f ca="1">IFERROR(__xludf.DUMMYFUNCTION("""COMPUTED_VALUE"""),174904221976312)</f>
        <v>174904221976312</v>
      </c>
      <c r="B244" s="127" t="str">
        <f ca="1">IFERROR(__xludf.DUMMYFUNCTION("""COMPUTED_VALUE"""),"120230105029980694")</f>
        <v>120230105029980694</v>
      </c>
      <c r="C244" s="127" t="str">
        <f ca="1">IFERROR(__xludf.DUMMYFUNCTION("""COMPUTED_VALUE"""),"Syakira Refleksi")</f>
        <v>Syakira Refleksi</v>
      </c>
      <c r="D244" s="138" t="str">
        <f ca="1">IFERROR(__xludf.DUMMYFUNCTION("""COMPUTED_VALUE"""),"https://wa.me/6285821233475")</f>
        <v>https://wa.me/6285821233475</v>
      </c>
      <c r="E244" s="139" t="str">
        <f ca="1">IFERROR(__xludf.DUMMYFUNCTION("""COMPUTED_VALUE"""),"6285821233475")</f>
        <v>6285821233475</v>
      </c>
      <c r="F244" s="139">
        <f ca="1">IFERROR(__xludf.DUMMYFUNCTION("""COMPUTED_VALUE"""),14975)</f>
        <v>14975</v>
      </c>
      <c r="G244" s="139">
        <f ca="1">IFERROR(__xludf.DUMMYFUNCTION("""COMPUTED_VALUE"""),11525.0769230769)</f>
        <v>11525.0769230769</v>
      </c>
      <c r="H244" s="139">
        <f ca="1">IFERROR(__xludf.DUMMYFUNCTION("""COMPUTED_VALUE"""),65)</f>
        <v>65</v>
      </c>
      <c r="I244" s="140">
        <f ca="1">IFERROR(__xludf.DUMMYFUNCTION("""COMPUTED_VALUE"""),181979)</f>
        <v>181979</v>
      </c>
      <c r="J244" s="141">
        <f ca="1">IFERROR(__xludf.DUMMYFUNCTION("""COMPUTED_VALUE"""),2799.67692307692)</f>
        <v>2799.67692307692</v>
      </c>
      <c r="K244" s="142">
        <f ca="1">IFERROR(__xludf.DUMMYFUNCTION("""COMPUTED_VALUE"""),12.1319333333333)</f>
        <v>12.131933333333301</v>
      </c>
      <c r="L244" s="143" t="str">
        <f ca="1"/>
        <v>Wiris Variasi</v>
      </c>
      <c r="M244" s="127"/>
      <c r="N244" s="127"/>
      <c r="O244" s="127"/>
      <c r="P244" s="127"/>
      <c r="Q244" s="127"/>
      <c r="R244" s="127"/>
      <c r="S244" s="127"/>
      <c r="T244" s="127"/>
      <c r="U244" s="127"/>
      <c r="V244" s="127"/>
      <c r="W244" s="127"/>
      <c r="X244" s="127"/>
      <c r="Y244" s="127"/>
      <c r="Z244" s="127"/>
      <c r="AA244" s="127"/>
    </row>
    <row r="245" spans="1:27">
      <c r="A245" s="127">
        <f ca="1">IFERROR(__xludf.DUMMYFUNCTION("""COMPUTED_VALUE"""),174904221976312)</f>
        <v>174904221976312</v>
      </c>
      <c r="B245" s="127" t="str">
        <f ca="1">IFERROR(__xludf.DUMMYFUNCTION("""COMPUTED_VALUE"""),"120230105512900694")</f>
        <v>120230105512900694</v>
      </c>
      <c r="C245" s="127" t="str">
        <f ca="1">IFERROR(__xludf.DUMMYFUNCTION("""COMPUTED_VALUE"""),"PT AULIA")</f>
        <v>PT AULIA</v>
      </c>
      <c r="D245" s="138" t="str">
        <f ca="1">IFERROR(__xludf.DUMMYFUNCTION("""COMPUTED_VALUE"""),"https://wa.me/6281225101319")</f>
        <v>https://wa.me/6281225101319</v>
      </c>
      <c r="E245" s="139" t="str">
        <f ca="1">IFERROR(__xludf.DUMMYFUNCTION("""COMPUTED_VALUE"""),"6281225101319")</f>
        <v>6281225101319</v>
      </c>
      <c r="F245" s="139">
        <f ca="1">IFERROR(__xludf.DUMMYFUNCTION("""COMPUTED_VALUE"""),9981)</f>
        <v>9981</v>
      </c>
      <c r="G245" s="139">
        <f ca="1">IFERROR(__xludf.DUMMYFUNCTION("""COMPUTED_VALUE"""),40364.5161290322)</f>
        <v>40364.516129032199</v>
      </c>
      <c r="H245" s="139">
        <f ca="1">IFERROR(__xludf.DUMMYFUNCTION("""COMPUTED_VALUE"""),30)</f>
        <v>30</v>
      </c>
      <c r="I245" s="140">
        <f ca="1">IFERROR(__xludf.DUMMYFUNCTION("""COMPUTED_VALUE"""),433163)</f>
        <v>433163</v>
      </c>
      <c r="J245" s="141">
        <f ca="1">IFERROR(__xludf.DUMMYFUNCTION("""COMPUTED_VALUE"""),14438.7666666666)</f>
        <v>14438.766666666599</v>
      </c>
      <c r="K245" s="142">
        <f ca="1">IFERROR(__xludf.DUMMYFUNCTION("""COMPUTED_VALUE"""),28.8775333333333)</f>
        <v>28.8775333333333</v>
      </c>
      <c r="L245" s="143" t="str">
        <f ca="1"/>
        <v>Wiris Variasi</v>
      </c>
      <c r="M245" s="127"/>
      <c r="N245" s="127"/>
      <c r="O245" s="127"/>
      <c r="P245" s="127"/>
      <c r="Q245" s="127"/>
      <c r="R245" s="127"/>
      <c r="S245" s="127"/>
      <c r="T245" s="127"/>
      <c r="U245" s="127"/>
      <c r="V245" s="127"/>
      <c r="W245" s="127"/>
      <c r="X245" s="127"/>
      <c r="Y245" s="127"/>
      <c r="Z245" s="127"/>
      <c r="AA245" s="127"/>
    </row>
    <row r="246" spans="1:27">
      <c r="A246" s="127">
        <f ca="1">IFERROR(__xludf.DUMMYFUNCTION("""COMPUTED_VALUE"""),174904221976312)</f>
        <v>174904221976312</v>
      </c>
      <c r="B246" s="127" t="str">
        <f ca="1">IFERROR(__xludf.DUMMYFUNCTION("""COMPUTED_VALUE"""),"120230152687050694")</f>
        <v>120230152687050694</v>
      </c>
      <c r="C246" s="127" t="str">
        <f ca="1">IFERROR(__xludf.DUMMYFUNCTION("""COMPUTED_VALUE"""),"Surfing Course")</f>
        <v>Surfing Course</v>
      </c>
      <c r="D246" s="138" t="str">
        <f ca="1">IFERROR(__xludf.DUMMYFUNCTION("""COMPUTED_VALUE"""),"https://wa.me/6285338700113")</f>
        <v>https://wa.me/6285338700113</v>
      </c>
      <c r="E246" s="139" t="str">
        <f ca="1">IFERROR(__xludf.DUMMYFUNCTION("""COMPUTED_VALUE"""),"6285338700113")</f>
        <v>6285338700113</v>
      </c>
      <c r="F246" s="139">
        <f ca="1">IFERROR(__xludf.DUMMYFUNCTION("""COMPUTED_VALUE"""),4769)</f>
        <v>4769</v>
      </c>
      <c r="G246" s="139">
        <f ca="1">IFERROR(__xludf.DUMMYFUNCTION("""COMPUTED_VALUE"""),13313.8)</f>
        <v>13313.8</v>
      </c>
      <c r="H246" s="139">
        <f ca="1">IFERROR(__xludf.DUMMYFUNCTION("""COMPUTED_VALUE"""),0)</f>
        <v>0</v>
      </c>
      <c r="I246" s="140">
        <f ca="1">IFERROR(__xludf.DUMMYFUNCTION("""COMPUTED_VALUE"""),61428)</f>
        <v>61428</v>
      </c>
      <c r="J246" s="141"/>
      <c r="K246" s="142">
        <f ca="1">IFERROR(__xludf.DUMMYFUNCTION("""COMPUTED_VALUE"""),4.0952)</f>
        <v>4.0952000000000002</v>
      </c>
      <c r="L246" s="143" t="str">
        <f ca="1"/>
        <v>Wiris Variasi</v>
      </c>
      <c r="M246" s="127"/>
      <c r="N246" s="127"/>
      <c r="O246" s="127"/>
      <c r="P246" s="127"/>
      <c r="Q246" s="127"/>
      <c r="R246" s="127"/>
      <c r="S246" s="127"/>
      <c r="T246" s="127"/>
      <c r="U246" s="127"/>
      <c r="V246" s="127"/>
      <c r="W246" s="127"/>
      <c r="X246" s="127"/>
      <c r="Y246" s="127"/>
      <c r="Z246" s="127"/>
      <c r="AA246" s="127"/>
    </row>
    <row r="247" spans="1:27">
      <c r="A247" s="127">
        <f ca="1">IFERROR(__xludf.DUMMYFUNCTION("""COMPUTED_VALUE"""),174904221976312)</f>
        <v>174904221976312</v>
      </c>
      <c r="B247" s="127" t="str">
        <f ca="1">IFERROR(__xludf.DUMMYFUNCTION("""COMPUTED_VALUE"""),"120230152814350694")</f>
        <v>120230152814350694</v>
      </c>
      <c r="C247" s="127" t="str">
        <f ca="1">IFERROR(__xludf.DUMMYFUNCTION("""COMPUTED_VALUE"""),"The Travel")</f>
        <v>The Travel</v>
      </c>
      <c r="D247" s="138" t="str">
        <f ca="1">IFERROR(__xludf.DUMMYFUNCTION("""COMPUTED_VALUE"""),"https://wa.me/6285333751528")</f>
        <v>https://wa.me/6285333751528</v>
      </c>
      <c r="E247" s="139" t="str">
        <f ca="1">IFERROR(__xludf.DUMMYFUNCTION("""COMPUTED_VALUE"""),"6285333751528")</f>
        <v>6285333751528</v>
      </c>
      <c r="F247" s="139">
        <f ca="1">IFERROR(__xludf.DUMMYFUNCTION("""COMPUTED_VALUE"""),21756)</f>
        <v>21756</v>
      </c>
      <c r="G247" s="139">
        <f ca="1">IFERROR(__xludf.DUMMYFUNCTION("""COMPUTED_VALUE"""),21663.8333333333)</f>
        <v>21663.833333333299</v>
      </c>
      <c r="H247" s="139">
        <f ca="1">IFERROR(__xludf.DUMMYFUNCTION("""COMPUTED_VALUE"""),57)</f>
        <v>57</v>
      </c>
      <c r="I247" s="140">
        <f ca="1">IFERROR(__xludf.DUMMYFUNCTION("""COMPUTED_VALUE"""),428855)</f>
        <v>428855</v>
      </c>
      <c r="J247" s="141">
        <f ca="1">IFERROR(__xludf.DUMMYFUNCTION("""COMPUTED_VALUE"""),7523.77192982456)</f>
        <v>7523.7719298245602</v>
      </c>
      <c r="K247" s="142">
        <f ca="1">IFERROR(__xludf.DUMMYFUNCTION("""COMPUTED_VALUE"""),28.5903333333333)</f>
        <v>28.590333333333302</v>
      </c>
      <c r="L247" s="143" t="str">
        <f ca="1"/>
        <v>Wiris Variasi</v>
      </c>
      <c r="M247" s="127"/>
      <c r="N247" s="127"/>
      <c r="O247" s="127"/>
      <c r="P247" s="127"/>
      <c r="Q247" s="127"/>
      <c r="R247" s="127"/>
      <c r="S247" s="127"/>
      <c r="T247" s="127"/>
      <c r="U247" s="127"/>
      <c r="V247" s="127"/>
      <c r="W247" s="127"/>
      <c r="X247" s="127"/>
      <c r="Y247" s="127"/>
      <c r="Z247" s="127"/>
      <c r="AA247" s="127"/>
    </row>
    <row r="248" spans="1:27">
      <c r="A248" s="127">
        <f ca="1">IFERROR(__xludf.DUMMYFUNCTION("""COMPUTED_VALUE"""),174904221976312)</f>
        <v>174904221976312</v>
      </c>
      <c r="B248" s="127" t="str">
        <f ca="1">IFERROR(__xludf.DUMMYFUNCTION("""COMPUTED_VALUE"""),"120230153099780694")</f>
        <v>120230153099780694</v>
      </c>
      <c r="C248" s="127" t="str">
        <f ca="1">IFERROR(__xludf.DUMMYFUNCTION("""COMPUTED_VALUE"""),"Dbugissunda")</f>
        <v>Dbugissunda</v>
      </c>
      <c r="D248" s="138" t="str">
        <f ca="1">IFERROR(__xludf.DUMMYFUNCTION("""COMPUTED_VALUE"""),"https://wa.me/6285299991164")</f>
        <v>https://wa.me/6285299991164</v>
      </c>
      <c r="E248" s="139" t="str">
        <f ca="1">IFERROR(__xludf.DUMMYFUNCTION("""COMPUTED_VALUE"""),"6285299991164")</f>
        <v>6285299991164</v>
      </c>
      <c r="F248" s="139">
        <f ca="1">IFERROR(__xludf.DUMMYFUNCTION("""COMPUTED_VALUE"""),3406)</f>
        <v>3406</v>
      </c>
      <c r="G248" s="139">
        <f ca="1">IFERROR(__xludf.DUMMYFUNCTION("""COMPUTED_VALUE"""),38830)</f>
        <v>38830</v>
      </c>
      <c r="H248" s="139">
        <f ca="1">IFERROR(__xludf.DUMMYFUNCTION("""COMPUTED_VALUE"""),11)</f>
        <v>11</v>
      </c>
      <c r="I248" s="140">
        <f ca="1">IFERROR(__xludf.DUMMYFUNCTION("""COMPUTED_VALUE"""),150422)</f>
        <v>150422</v>
      </c>
      <c r="J248" s="141">
        <f ca="1">IFERROR(__xludf.DUMMYFUNCTION("""COMPUTED_VALUE"""),13674.7272727272)</f>
        <v>13674.727272727199</v>
      </c>
      <c r="K248" s="142">
        <f ca="1">IFERROR(__xludf.DUMMYFUNCTION("""COMPUTED_VALUE"""),10.0281333333333)</f>
        <v>10.028133333333299</v>
      </c>
      <c r="L248" s="143" t="str">
        <f ca="1"/>
        <v>Wiris Variasi</v>
      </c>
      <c r="M248" s="127"/>
      <c r="N248" s="127"/>
      <c r="O248" s="127"/>
      <c r="P248" s="127"/>
      <c r="Q248" s="127"/>
      <c r="R248" s="127"/>
      <c r="S248" s="127"/>
      <c r="T248" s="127"/>
      <c r="U248" s="127"/>
      <c r="V248" s="127"/>
      <c r="W248" s="127"/>
      <c r="X248" s="127"/>
      <c r="Y248" s="127"/>
      <c r="Z248" s="127"/>
      <c r="AA248" s="127"/>
    </row>
    <row r="249" spans="1:27">
      <c r="A249" s="127">
        <f ca="1">IFERROR(__xludf.DUMMYFUNCTION("""COMPUTED_VALUE"""),174904221976312)</f>
        <v>174904221976312</v>
      </c>
      <c r="B249" s="127" t="str">
        <f ca="1">IFERROR(__xludf.DUMMYFUNCTION("""COMPUTED_VALUE"""),"120230153286200694")</f>
        <v>120230153286200694</v>
      </c>
      <c r="C249" s="127" t="str">
        <f ca="1">IFERROR(__xludf.DUMMYFUNCTION("""COMPUTED_VALUE"""),"Rumah Sehat")</f>
        <v>Rumah Sehat</v>
      </c>
      <c r="D249" s="138" t="str">
        <f ca="1">IFERROR(__xludf.DUMMYFUNCTION("""COMPUTED_VALUE"""),"https://wa.me/6281378305888")</f>
        <v>https://wa.me/6281378305888</v>
      </c>
      <c r="E249" s="139" t="str">
        <f ca="1">IFERROR(__xludf.DUMMYFUNCTION("""COMPUTED_VALUE"""),"6281378305888")</f>
        <v>6281378305888</v>
      </c>
      <c r="F249" s="139">
        <f ca="1">IFERROR(__xludf.DUMMYFUNCTION("""COMPUTED_VALUE"""),5287)</f>
        <v>5287</v>
      </c>
      <c r="G249" s="139">
        <f ca="1">IFERROR(__xludf.DUMMYFUNCTION("""COMPUTED_VALUE"""),10690)</f>
        <v>10690</v>
      </c>
      <c r="H249" s="139">
        <f ca="1">IFERROR(__xludf.DUMMYFUNCTION("""COMPUTED_VALUE"""),7)</f>
        <v>7</v>
      </c>
      <c r="I249" s="140">
        <f ca="1">IFERROR(__xludf.DUMMYFUNCTION("""COMPUTED_VALUE"""),65786)</f>
        <v>65786</v>
      </c>
      <c r="J249" s="141">
        <f ca="1">IFERROR(__xludf.DUMMYFUNCTION("""COMPUTED_VALUE"""),9398)</f>
        <v>9398</v>
      </c>
      <c r="K249" s="142">
        <f ca="1">IFERROR(__xludf.DUMMYFUNCTION("""COMPUTED_VALUE"""),4.38573333333333)</f>
        <v>4.3857333333333299</v>
      </c>
      <c r="L249" s="143" t="str">
        <f ca="1"/>
        <v>Wiris Variasi</v>
      </c>
      <c r="M249" s="127"/>
      <c r="N249" s="127"/>
      <c r="O249" s="127"/>
      <c r="P249" s="127"/>
      <c r="Q249" s="127"/>
      <c r="R249" s="127"/>
      <c r="S249" s="127"/>
      <c r="T249" s="127"/>
      <c r="U249" s="127"/>
      <c r="V249" s="127"/>
      <c r="W249" s="127"/>
      <c r="X249" s="127"/>
      <c r="Y249" s="127"/>
      <c r="Z249" s="127"/>
      <c r="AA249" s="127"/>
    </row>
    <row r="250" spans="1:27">
      <c r="A250" s="127">
        <f ca="1">IFERROR(__xludf.DUMMYFUNCTION("""COMPUTED_VALUE"""),174904221976312)</f>
        <v>174904221976312</v>
      </c>
      <c r="B250" s="127" t="str">
        <f ca="1">IFERROR(__xludf.DUMMYFUNCTION("""COMPUTED_VALUE"""),"120230153711420694")</f>
        <v>120230153711420694</v>
      </c>
      <c r="C250" s="127" t="str">
        <f ca="1">IFERROR(__xludf.DUMMYFUNCTION("""COMPUTED_VALUE"""),"PWG (Prife")</f>
        <v>PWG (Prife</v>
      </c>
      <c r="D250" s="138" t="str">
        <f ca="1">IFERROR(__xludf.DUMMYFUNCTION("""COMPUTED_VALUE"""),"https://wa.me/6281915041833")</f>
        <v>https://wa.me/6281915041833</v>
      </c>
      <c r="E250" s="139" t="str">
        <f ca="1">IFERROR(__xludf.DUMMYFUNCTION("""COMPUTED_VALUE"""),"6281915041833")</f>
        <v>6281915041833</v>
      </c>
      <c r="F250" s="139">
        <f ca="1">IFERROR(__xludf.DUMMYFUNCTION("""COMPUTED_VALUE"""),11289)</f>
        <v>11289</v>
      </c>
      <c r="G250" s="139">
        <f ca="1">IFERROR(__xludf.DUMMYFUNCTION("""COMPUTED_VALUE"""),16624.6428571428)</f>
        <v>16624.6428571428</v>
      </c>
      <c r="H250" s="139">
        <f ca="1">IFERROR(__xludf.DUMMYFUNCTION("""COMPUTED_VALUE"""),23)</f>
        <v>23</v>
      </c>
      <c r="I250" s="140">
        <f ca="1">IFERROR(__xludf.DUMMYFUNCTION("""COMPUTED_VALUE"""),187848)</f>
        <v>187848</v>
      </c>
      <c r="J250" s="141">
        <f ca="1">IFERROR(__xludf.DUMMYFUNCTION("""COMPUTED_VALUE"""),8167.30434782608)</f>
        <v>8167.3043478260797</v>
      </c>
      <c r="K250" s="142">
        <f ca="1">IFERROR(__xludf.DUMMYFUNCTION("""COMPUTED_VALUE"""),12.5232)</f>
        <v>12.523199999999999</v>
      </c>
      <c r="L250" s="143" t="str">
        <f ca="1"/>
        <v>Wiris Variasi</v>
      </c>
      <c r="M250" s="127"/>
      <c r="N250" s="127"/>
      <c r="O250" s="127"/>
      <c r="P250" s="127"/>
      <c r="Q250" s="127"/>
      <c r="R250" s="127"/>
      <c r="S250" s="127"/>
      <c r="T250" s="127"/>
      <c r="U250" s="127"/>
      <c r="V250" s="127"/>
      <c r="W250" s="127"/>
      <c r="X250" s="127"/>
      <c r="Y250" s="127"/>
      <c r="Z250" s="127"/>
      <c r="AA250" s="127"/>
    </row>
    <row r="251" spans="1:27">
      <c r="A251" s="127">
        <f ca="1">IFERROR(__xludf.DUMMYFUNCTION("""COMPUTED_VALUE"""),174904221976312)</f>
        <v>174904221976312</v>
      </c>
      <c r="B251" s="127" t="str">
        <f ca="1">IFERROR(__xludf.DUMMYFUNCTION("""COMPUTED_VALUE"""),"120230200566270694")</f>
        <v>120230200566270694</v>
      </c>
      <c r="C251" s="127" t="str">
        <f ca="1">IFERROR(__xludf.DUMMYFUNCTION("""COMPUTED_VALUE"""),"Simetris Transport")</f>
        <v>Simetris Transport</v>
      </c>
      <c r="D251" s="138" t="str">
        <f ca="1">IFERROR(__xludf.DUMMYFUNCTION("""COMPUTED_VALUE"""),"https://wa.me/6285191259285")</f>
        <v>https://wa.me/6285191259285</v>
      </c>
      <c r="E251" s="139" t="str">
        <f ca="1">IFERROR(__xludf.DUMMYFUNCTION("""COMPUTED_VALUE"""),"6285191259285")</f>
        <v>6285191259285</v>
      </c>
      <c r="F251" s="139">
        <f ca="1">IFERROR(__xludf.DUMMYFUNCTION("""COMPUTED_VALUE"""),3363)</f>
        <v>3363</v>
      </c>
      <c r="G251" s="139">
        <f ca="1">IFERROR(__xludf.DUMMYFUNCTION("""COMPUTED_VALUE"""),17915.6)</f>
        <v>17915.599999999999</v>
      </c>
      <c r="H251" s="139">
        <f ca="1">IFERROR(__xludf.DUMMYFUNCTION("""COMPUTED_VALUE"""),7)</f>
        <v>7</v>
      </c>
      <c r="I251" s="140">
        <f ca="1">IFERROR(__xludf.DUMMYFUNCTION("""COMPUTED_VALUE"""),65565)</f>
        <v>65565</v>
      </c>
      <c r="J251" s="141">
        <f ca="1">IFERROR(__xludf.DUMMYFUNCTION("""COMPUTED_VALUE"""),9366.42857142857)</f>
        <v>9366.4285714285706</v>
      </c>
      <c r="K251" s="142">
        <f ca="1">IFERROR(__xludf.DUMMYFUNCTION("""COMPUTED_VALUE"""),4.371)</f>
        <v>4.3710000000000004</v>
      </c>
      <c r="L251" s="143" t="str">
        <f ca="1"/>
        <v>Wiris Variasi</v>
      </c>
      <c r="M251" s="127"/>
      <c r="N251" s="127"/>
      <c r="O251" s="127"/>
      <c r="P251" s="127"/>
      <c r="Q251" s="127"/>
      <c r="R251" s="127"/>
      <c r="S251" s="127"/>
      <c r="T251" s="127"/>
      <c r="U251" s="127"/>
      <c r="V251" s="127"/>
      <c r="W251" s="127"/>
      <c r="X251" s="127"/>
      <c r="Y251" s="127"/>
      <c r="Z251" s="127"/>
      <c r="AA251" s="127"/>
    </row>
    <row r="252" spans="1:27">
      <c r="A252" s="127">
        <f ca="1">IFERROR(__xludf.DUMMYFUNCTION("""COMPUTED_VALUE"""),174904221976312)</f>
        <v>174904221976312</v>
      </c>
      <c r="B252" s="127" t="str">
        <f ca="1">IFERROR(__xludf.DUMMYFUNCTION("""COMPUTED_VALUE"""),"120230200663390694")</f>
        <v>120230200663390694</v>
      </c>
      <c r="C252" s="127" t="str">
        <f ca="1">IFERROR(__xludf.DUMMYFUNCTION("""COMPUTED_VALUE"""),"Pengobatan alternatif")</f>
        <v>Pengobatan alternatif</v>
      </c>
      <c r="D252" s="138" t="str">
        <f ca="1">IFERROR(__xludf.DUMMYFUNCTION("""COMPUTED_VALUE"""),"https://wa.me/6285338373761")</f>
        <v>https://wa.me/6285338373761</v>
      </c>
      <c r="E252" s="139" t="str">
        <f ca="1">IFERROR(__xludf.DUMMYFUNCTION("""COMPUTED_VALUE"""),"6285338373761")</f>
        <v>6285338373761</v>
      </c>
      <c r="F252" s="139">
        <f ca="1">IFERROR(__xludf.DUMMYFUNCTION("""COMPUTED_VALUE"""),14689)</f>
        <v>14689</v>
      </c>
      <c r="G252" s="139">
        <f ca="1">IFERROR(__xludf.DUMMYFUNCTION("""COMPUTED_VALUE"""),12308.2857142857)</f>
        <v>12308.285714285699</v>
      </c>
      <c r="H252" s="139">
        <f ca="1">IFERROR(__xludf.DUMMYFUNCTION("""COMPUTED_VALUE"""),100)</f>
        <v>100</v>
      </c>
      <c r="I252" s="140">
        <f ca="1">IFERROR(__xludf.DUMMYFUNCTION("""COMPUTED_VALUE"""),199654)</f>
        <v>199654</v>
      </c>
      <c r="J252" s="141">
        <f ca="1">IFERROR(__xludf.DUMMYFUNCTION("""COMPUTED_VALUE"""),1996.54)</f>
        <v>1996.54</v>
      </c>
      <c r="K252" s="142">
        <f ca="1">IFERROR(__xludf.DUMMYFUNCTION("""COMPUTED_VALUE"""),13.3102666666666)</f>
        <v>13.3102666666666</v>
      </c>
      <c r="L252" s="143" t="str">
        <f ca="1"/>
        <v>Wiris Variasi</v>
      </c>
      <c r="M252" s="127"/>
      <c r="N252" s="127"/>
      <c r="O252" s="127"/>
      <c r="P252" s="127"/>
      <c r="Q252" s="127"/>
      <c r="R252" s="127"/>
      <c r="S252" s="127"/>
      <c r="T252" s="127"/>
      <c r="U252" s="127"/>
      <c r="V252" s="127"/>
      <c r="W252" s="127"/>
      <c r="X252" s="127"/>
      <c r="Y252" s="127"/>
      <c r="Z252" s="127"/>
      <c r="AA252" s="127"/>
    </row>
    <row r="253" spans="1:27">
      <c r="A253" s="127">
        <f ca="1">IFERROR(__xludf.DUMMYFUNCTION("""COMPUTED_VALUE"""),174904221976312)</f>
        <v>174904221976312</v>
      </c>
      <c r="B253" s="127" t="str">
        <f ca="1">IFERROR(__xludf.DUMMYFUNCTION("""COMPUTED_VALUE"""),"120230200770220694")</f>
        <v>120230200770220694</v>
      </c>
      <c r="C253" s="127" t="str">
        <f ca="1">IFERROR(__xludf.DUMMYFUNCTION("""COMPUTED_VALUE"""),"Multi Gemilang")</f>
        <v>Multi Gemilang</v>
      </c>
      <c r="D253" s="138" t="str">
        <f ca="1">IFERROR(__xludf.DUMMYFUNCTION("""COMPUTED_VALUE"""),"https://wa.me/628170204528")</f>
        <v>https://wa.me/628170204528</v>
      </c>
      <c r="E253" s="139" t="str">
        <f ca="1">IFERROR(__xludf.DUMMYFUNCTION("""COMPUTED_VALUE"""),"628170204528")</f>
        <v>628170204528</v>
      </c>
      <c r="F253" s="139">
        <f ca="1">IFERROR(__xludf.DUMMYFUNCTION("""COMPUTED_VALUE"""),3110)</f>
        <v>3110</v>
      </c>
      <c r="G253" s="139">
        <f ca="1">IFERROR(__xludf.DUMMYFUNCTION("""COMPUTED_VALUE"""),23591)</f>
        <v>23591</v>
      </c>
      <c r="H253" s="139">
        <f ca="1">IFERROR(__xludf.DUMMYFUNCTION("""COMPUTED_VALUE"""),16)</f>
        <v>16</v>
      </c>
      <c r="I253" s="140">
        <f ca="1">IFERROR(__xludf.DUMMYFUNCTION("""COMPUTED_VALUE"""),82810)</f>
        <v>82810</v>
      </c>
      <c r="J253" s="141">
        <f ca="1">IFERROR(__xludf.DUMMYFUNCTION("""COMPUTED_VALUE"""),5175.625)</f>
        <v>5175.625</v>
      </c>
      <c r="K253" s="142">
        <f ca="1">IFERROR(__xludf.DUMMYFUNCTION("""COMPUTED_VALUE"""),5.52066666666666)</f>
        <v>5.5206666666666599</v>
      </c>
      <c r="L253" s="143" t="str">
        <f ca="1"/>
        <v>Wiris Variasi</v>
      </c>
      <c r="M253" s="127"/>
      <c r="N253" s="127"/>
      <c r="O253" s="127"/>
      <c r="P253" s="127"/>
      <c r="Q253" s="127"/>
      <c r="R253" s="127"/>
      <c r="S253" s="127"/>
      <c r="T253" s="127"/>
      <c r="U253" s="127"/>
      <c r="V253" s="127"/>
      <c r="W253" s="127"/>
      <c r="X253" s="127"/>
      <c r="Y253" s="127"/>
      <c r="Z253" s="127"/>
      <c r="AA253" s="127"/>
    </row>
    <row r="254" spans="1:27">
      <c r="A254" s="127">
        <f ca="1">IFERROR(__xludf.DUMMYFUNCTION("""COMPUTED_VALUE"""),174904221976312)</f>
        <v>174904221976312</v>
      </c>
      <c r="B254" s="127" t="str">
        <f ca="1">IFERROR(__xludf.DUMMYFUNCTION("""COMPUTED_VALUE"""),"120230247451720694")</f>
        <v>120230247451720694</v>
      </c>
      <c r="C254" s="127" t="str">
        <f ca="1">IFERROR(__xludf.DUMMYFUNCTION("""COMPUTED_VALUE"""),"Fahri mandiri")</f>
        <v>Fahri mandiri</v>
      </c>
      <c r="D254" s="138" t="str">
        <f ca="1">IFERROR(__xludf.DUMMYFUNCTION("""COMPUTED_VALUE"""),"https://wa.me/6289515920603")</f>
        <v>https://wa.me/6289515920603</v>
      </c>
      <c r="E254" s="139" t="str">
        <f ca="1">IFERROR(__xludf.DUMMYFUNCTION("""COMPUTED_VALUE"""),"6289515920603")</f>
        <v>6289515920603</v>
      </c>
      <c r="F254" s="139">
        <f ca="1">IFERROR(__xludf.DUMMYFUNCTION("""COMPUTED_VALUE"""),1392)</f>
        <v>1392</v>
      </c>
      <c r="G254" s="139">
        <f ca="1">IFERROR(__xludf.DUMMYFUNCTION("""COMPUTED_VALUE"""),42851.6)</f>
        <v>42851.6</v>
      </c>
      <c r="H254" s="139">
        <f ca="1">IFERROR(__xludf.DUMMYFUNCTION("""COMPUTED_VALUE"""),6)</f>
        <v>6</v>
      </c>
      <c r="I254" s="140">
        <f ca="1">IFERROR(__xludf.DUMMYFUNCTION("""COMPUTED_VALUE"""),64061)</f>
        <v>64061</v>
      </c>
      <c r="J254" s="141">
        <f ca="1">IFERROR(__xludf.DUMMYFUNCTION("""COMPUTED_VALUE"""),10676.8333333333)</f>
        <v>10676.833333333299</v>
      </c>
      <c r="K254" s="142">
        <f ca="1">IFERROR(__xludf.DUMMYFUNCTION("""COMPUTED_VALUE"""),4.27073333333333)</f>
        <v>4.2707333333333297</v>
      </c>
      <c r="L254" s="143" t="str">
        <f ca="1"/>
        <v>Wiris Variasi</v>
      </c>
      <c r="M254" s="127"/>
      <c r="N254" s="127"/>
      <c r="O254" s="127"/>
      <c r="P254" s="127"/>
      <c r="Q254" s="127"/>
      <c r="R254" s="127"/>
      <c r="S254" s="127"/>
      <c r="T254" s="127"/>
      <c r="U254" s="127"/>
      <c r="V254" s="127"/>
      <c r="W254" s="127"/>
      <c r="X254" s="127"/>
      <c r="Y254" s="127"/>
      <c r="Z254" s="127"/>
      <c r="AA254" s="127"/>
    </row>
    <row r="255" spans="1:27">
      <c r="A255" s="127">
        <f ca="1">IFERROR(__xludf.DUMMYFUNCTION("""COMPUTED_VALUE"""),174904221976312)</f>
        <v>174904221976312</v>
      </c>
      <c r="B255" s="127" t="str">
        <f ca="1">IFERROR(__xludf.DUMMYFUNCTION("""COMPUTED_VALUE"""),"120230247721570694")</f>
        <v>120230247721570694</v>
      </c>
      <c r="C255" s="127" t="str">
        <f ca="1">IFERROR(__xludf.DUMMYFUNCTION("""COMPUTED_VALUE"""),"Terapi ku")</f>
        <v>Terapi ku</v>
      </c>
      <c r="D255" s="138" t="str">
        <f ca="1">IFERROR(__xludf.DUMMYFUNCTION("""COMPUTED_VALUE"""),"https://wa.me/6285602235226")</f>
        <v>https://wa.me/6285602235226</v>
      </c>
      <c r="E255" s="139" t="str">
        <f ca="1">IFERROR(__xludf.DUMMYFUNCTION("""COMPUTED_VALUE"""),"6285602235226")</f>
        <v>6285602235226</v>
      </c>
      <c r="F255" s="139">
        <f ca="1">IFERROR(__xludf.DUMMYFUNCTION("""COMPUTED_VALUE"""),8123)</f>
        <v>8123</v>
      </c>
      <c r="G255" s="139">
        <f ca="1">IFERROR(__xludf.DUMMYFUNCTION("""COMPUTED_VALUE"""),28643.8)</f>
        <v>28643.8</v>
      </c>
      <c r="H255" s="139">
        <f ca="1">IFERROR(__xludf.DUMMYFUNCTION("""COMPUTED_VALUE"""),51)</f>
        <v>51</v>
      </c>
      <c r="I255" s="140">
        <f ca="1">IFERROR(__xludf.DUMMYFUNCTION("""COMPUTED_VALUE"""),261527)</f>
        <v>261527</v>
      </c>
      <c r="J255" s="141">
        <f ca="1">IFERROR(__xludf.DUMMYFUNCTION("""COMPUTED_VALUE"""),5127.98039215686)</f>
        <v>5127.98039215686</v>
      </c>
      <c r="K255" s="142">
        <f ca="1">IFERROR(__xludf.DUMMYFUNCTION("""COMPUTED_VALUE"""),17.4351333333333)</f>
        <v>17.435133333333301</v>
      </c>
      <c r="L255" s="143" t="str">
        <f ca="1"/>
        <v>Wiris Variasi</v>
      </c>
      <c r="M255" s="127"/>
      <c r="N255" s="127"/>
      <c r="O255" s="127"/>
      <c r="P255" s="127"/>
      <c r="Q255" s="127"/>
      <c r="R255" s="127"/>
      <c r="S255" s="127"/>
      <c r="T255" s="127"/>
      <c r="U255" s="127"/>
      <c r="V255" s="127"/>
      <c r="W255" s="127"/>
      <c r="X255" s="127"/>
      <c r="Y255" s="127"/>
      <c r="Z255" s="127"/>
      <c r="AA255" s="127"/>
    </row>
    <row r="256" spans="1:27">
      <c r="A256" s="127">
        <f ca="1">IFERROR(__xludf.DUMMYFUNCTION("""COMPUTED_VALUE"""),174904221976312)</f>
        <v>174904221976312</v>
      </c>
      <c r="B256" s="127" t="str">
        <f ca="1">IFERROR(__xludf.DUMMYFUNCTION("""COMPUTED_VALUE"""),"120230247893620694")</f>
        <v>120230247893620694</v>
      </c>
      <c r="C256" s="127" t="str">
        <f ca="1">IFERROR(__xludf.DUMMYFUNCTION("""COMPUTED_VALUE"""),"plesir4n")</f>
        <v>plesir4n</v>
      </c>
      <c r="D256" s="138" t="str">
        <f ca="1">IFERROR(__xludf.DUMMYFUNCTION("""COMPUTED_VALUE"""),"https://wa.me/62882001438924")</f>
        <v>https://wa.me/62882001438924</v>
      </c>
      <c r="E256" s="139" t="str">
        <f ca="1">IFERROR(__xludf.DUMMYFUNCTION("""COMPUTED_VALUE"""),"62882001438924")</f>
        <v>62882001438924</v>
      </c>
      <c r="F256" s="139">
        <f ca="1">IFERROR(__xludf.DUMMYFUNCTION("""COMPUTED_VALUE"""),1014)</f>
        <v>1014</v>
      </c>
      <c r="G256" s="139">
        <f ca="1">IFERROR(__xludf.DUMMYFUNCTION("""COMPUTED_VALUE"""),75314.8)</f>
        <v>75314.8</v>
      </c>
      <c r="H256" s="139">
        <f ca="1">IFERROR(__xludf.DUMMYFUNCTION("""COMPUTED_VALUE"""),9)</f>
        <v>9</v>
      </c>
      <c r="I256" s="140">
        <f ca="1">IFERROR(__xludf.DUMMYFUNCTION("""COMPUTED_VALUE"""),69794)</f>
        <v>69794</v>
      </c>
      <c r="J256" s="141">
        <f ca="1">IFERROR(__xludf.DUMMYFUNCTION("""COMPUTED_VALUE"""),7754.88888888888)</f>
        <v>7754.8888888888796</v>
      </c>
      <c r="K256" s="142">
        <f ca="1">IFERROR(__xludf.DUMMYFUNCTION("""COMPUTED_VALUE"""),4.65293333333333)</f>
        <v>4.6529333333333298</v>
      </c>
      <c r="L256" s="143" t="str">
        <f ca="1"/>
        <v>Wiris Variasi</v>
      </c>
      <c r="M256" s="127"/>
      <c r="N256" s="127"/>
      <c r="O256" s="127"/>
      <c r="P256" s="127"/>
      <c r="Q256" s="127"/>
      <c r="R256" s="127"/>
      <c r="S256" s="127"/>
      <c r="T256" s="127"/>
      <c r="U256" s="127"/>
      <c r="V256" s="127"/>
      <c r="W256" s="127"/>
      <c r="X256" s="127"/>
      <c r="Y256" s="127"/>
      <c r="Z256" s="127"/>
      <c r="AA256" s="127"/>
    </row>
    <row r="257" spans="1:27">
      <c r="A257" s="127">
        <f ca="1">IFERROR(__xludf.DUMMYFUNCTION("""COMPUTED_VALUE"""),174904221976312)</f>
        <v>174904221976312</v>
      </c>
      <c r="B257" s="127" t="str">
        <f ca="1">IFERROR(__xludf.DUMMYFUNCTION("""COMPUTED_VALUE"""),"120230248027720694")</f>
        <v>120230248027720694</v>
      </c>
      <c r="C257" s="127" t="str">
        <f ca="1">IFERROR(__xludf.DUMMYFUNCTION("""COMPUTED_VALUE"""),"CV PERMATA")</f>
        <v>CV PERMATA</v>
      </c>
      <c r="D257" s="138" t="str">
        <f ca="1">IFERROR(__xludf.DUMMYFUNCTION("""COMPUTED_VALUE"""),"https://wa.me/6285328883803")</f>
        <v>https://wa.me/6285328883803</v>
      </c>
      <c r="E257" s="139" t="str">
        <f ca="1">IFERROR(__xludf.DUMMYFUNCTION("""COMPUTED_VALUE"""),"6285328883803")</f>
        <v>6285328883803</v>
      </c>
      <c r="F257" s="139">
        <f ca="1">IFERROR(__xludf.DUMMYFUNCTION("""COMPUTED_VALUE"""),3900)</f>
        <v>3900</v>
      </c>
      <c r="G257" s="139">
        <f ca="1">IFERROR(__xludf.DUMMYFUNCTION("""COMPUTED_VALUE"""),31079.1)</f>
        <v>31079.1</v>
      </c>
      <c r="H257" s="139">
        <f ca="1">IFERROR(__xludf.DUMMYFUNCTION("""COMPUTED_VALUE"""),18)</f>
        <v>18</v>
      </c>
      <c r="I257" s="140">
        <f ca="1">IFERROR(__xludf.DUMMYFUNCTION("""COMPUTED_VALUE"""),125760)</f>
        <v>125760</v>
      </c>
      <c r="J257" s="141">
        <f ca="1">IFERROR(__xludf.DUMMYFUNCTION("""COMPUTED_VALUE"""),6986.66666666666)</f>
        <v>6986.6666666666597</v>
      </c>
      <c r="K257" s="142">
        <f ca="1">IFERROR(__xludf.DUMMYFUNCTION("""COMPUTED_VALUE"""),8.384)</f>
        <v>8.3840000000000003</v>
      </c>
      <c r="L257" s="143" t="str">
        <f ca="1"/>
        <v>Wiris Variasi</v>
      </c>
      <c r="M257" s="127"/>
      <c r="N257" s="127"/>
      <c r="O257" s="127"/>
      <c r="P257" s="127"/>
      <c r="Q257" s="127"/>
      <c r="R257" s="127"/>
      <c r="S257" s="127"/>
      <c r="T257" s="127"/>
      <c r="U257" s="127"/>
      <c r="V257" s="127"/>
      <c r="W257" s="127"/>
      <c r="X257" s="127"/>
      <c r="Y257" s="127"/>
      <c r="Z257" s="127"/>
      <c r="AA257" s="127"/>
    </row>
    <row r="258" spans="1:27">
      <c r="A258" s="127">
        <f ca="1">IFERROR(__xludf.DUMMYFUNCTION("""COMPUTED_VALUE"""),174904221976312)</f>
        <v>174904221976312</v>
      </c>
      <c r="B258" s="127" t="str">
        <f ca="1">IFERROR(__xludf.DUMMYFUNCTION("""COMPUTED_VALUE"""),"120230292981560694")</f>
        <v>120230292981560694</v>
      </c>
      <c r="C258" s="127" t="str">
        <f ca="1">IFERROR(__xludf.DUMMYFUNCTION("""COMPUTED_VALUE"""),"Catur Lawa")</f>
        <v>Catur Lawa</v>
      </c>
      <c r="D258" s="138" t="str">
        <f ca="1">IFERROR(__xludf.DUMMYFUNCTION("""COMPUTED_VALUE"""),"https://wa.me/6287797504113")</f>
        <v>https://wa.me/6287797504113</v>
      </c>
      <c r="E258" s="139" t="str">
        <f ca="1">IFERROR(__xludf.DUMMYFUNCTION("""COMPUTED_VALUE"""),"6287797504113")</f>
        <v>6287797504113</v>
      </c>
      <c r="F258" s="139">
        <f ca="1">IFERROR(__xludf.DUMMYFUNCTION("""COMPUTED_VALUE"""),7450)</f>
        <v>7450</v>
      </c>
      <c r="G258" s="139">
        <f ca="1">IFERROR(__xludf.DUMMYFUNCTION("""COMPUTED_VALUE"""),52309.4666666666)</f>
        <v>52309.466666666602</v>
      </c>
      <c r="H258" s="139">
        <f ca="1">IFERROR(__xludf.DUMMYFUNCTION("""COMPUTED_VALUE"""),64)</f>
        <v>64</v>
      </c>
      <c r="I258" s="140">
        <f ca="1">IFERROR(__xludf.DUMMYFUNCTION("""COMPUTED_VALUE"""),419203)</f>
        <v>419203</v>
      </c>
      <c r="J258" s="141">
        <f ca="1">IFERROR(__xludf.DUMMYFUNCTION("""COMPUTED_VALUE"""),6550.046875)</f>
        <v>6550.046875</v>
      </c>
      <c r="K258" s="142">
        <f ca="1">IFERROR(__xludf.DUMMYFUNCTION("""COMPUTED_VALUE"""),27.9468666666666)</f>
        <v>27.946866666666601</v>
      </c>
      <c r="L258" s="143" t="str">
        <f ca="1"/>
        <v>Wiris Variasi</v>
      </c>
      <c r="M258" s="127"/>
      <c r="N258" s="127"/>
      <c r="O258" s="127"/>
      <c r="P258" s="127"/>
      <c r="Q258" s="127"/>
      <c r="R258" s="127"/>
      <c r="S258" s="127"/>
      <c r="T258" s="127"/>
      <c r="U258" s="127"/>
      <c r="V258" s="127"/>
      <c r="W258" s="127"/>
      <c r="X258" s="127"/>
      <c r="Y258" s="127"/>
      <c r="Z258" s="127"/>
      <c r="AA258" s="127"/>
    </row>
    <row r="259" spans="1:27">
      <c r="A259" s="127">
        <f ca="1">IFERROR(__xludf.DUMMYFUNCTION("""COMPUTED_VALUE"""),174904221976312)</f>
        <v>174904221976312</v>
      </c>
      <c r="B259" s="127" t="str">
        <f ca="1">IFERROR(__xludf.DUMMYFUNCTION("""COMPUTED_VALUE"""),"120230432275000694")</f>
        <v>120230432275000694</v>
      </c>
      <c r="C259" s="127" t="str">
        <f ca="1">IFERROR(__xludf.DUMMYFUNCTION("""COMPUTED_VALUE"""),"Mudatama Tour")</f>
        <v>Mudatama Tour</v>
      </c>
      <c r="D259" s="138" t="str">
        <f ca="1">IFERROR(__xludf.DUMMYFUNCTION("""COMPUTED_VALUE"""),"https://wa.me/6281288245836")</f>
        <v>https://wa.me/6281288245836</v>
      </c>
      <c r="E259" s="139" t="str">
        <f ca="1">IFERROR(__xludf.DUMMYFUNCTION("""COMPUTED_VALUE"""),"6281288245836")</f>
        <v>6281288245836</v>
      </c>
      <c r="F259" s="139">
        <f ca="1">IFERROR(__xludf.DUMMYFUNCTION("""COMPUTED_VALUE"""),3250)</f>
        <v>3250</v>
      </c>
      <c r="G259" s="139">
        <f ca="1">IFERROR(__xludf.DUMMYFUNCTION("""COMPUTED_VALUE"""),51784.3846153846)</f>
        <v>51784.384615384603</v>
      </c>
      <c r="H259" s="139">
        <f ca="1">IFERROR(__xludf.DUMMYFUNCTION("""COMPUTED_VALUE"""),17)</f>
        <v>17</v>
      </c>
      <c r="I259" s="140">
        <f ca="1">IFERROR(__xludf.DUMMYFUNCTION("""COMPUTED_VALUE"""),172355)</f>
        <v>172355</v>
      </c>
      <c r="J259" s="141">
        <f ca="1">IFERROR(__xludf.DUMMYFUNCTION("""COMPUTED_VALUE"""),10138.5294117647)</f>
        <v>10138.529411764701</v>
      </c>
      <c r="K259" s="142">
        <f ca="1">IFERROR(__xludf.DUMMYFUNCTION("""COMPUTED_VALUE"""),11.4903333333333)</f>
        <v>11.4903333333333</v>
      </c>
      <c r="L259" s="143" t="str">
        <f ca="1"/>
        <v>Wiris Variasi</v>
      </c>
      <c r="M259" s="127"/>
      <c r="N259" s="127"/>
      <c r="O259" s="127"/>
      <c r="P259" s="127"/>
      <c r="Q259" s="127"/>
      <c r="R259" s="127"/>
      <c r="S259" s="127"/>
      <c r="T259" s="127"/>
      <c r="U259" s="127"/>
      <c r="V259" s="127"/>
      <c r="W259" s="127"/>
      <c r="X259" s="127"/>
      <c r="Y259" s="127"/>
      <c r="Z259" s="127"/>
      <c r="AA259" s="127"/>
    </row>
    <row r="260" spans="1:27">
      <c r="A260" s="127">
        <f ca="1">IFERROR(__xludf.DUMMYFUNCTION("""COMPUTED_VALUE"""),174904221976312)</f>
        <v>174904221976312</v>
      </c>
      <c r="B260" s="127" t="str">
        <f ca="1">IFERROR(__xludf.DUMMYFUNCTION("""COMPUTED_VALUE"""),"120230432872870694")</f>
        <v>120230432872870694</v>
      </c>
      <c r="C260" s="127" t="str">
        <f ca="1">IFERROR(__xludf.DUMMYFUNCTION("""COMPUTED_VALUE"""),"BERKAH  TEKNIK")</f>
        <v>BERKAH  TEKNIK</v>
      </c>
      <c r="D260" s="138" t="str">
        <f ca="1">IFERROR(__xludf.DUMMYFUNCTION("""COMPUTED_VALUE"""),"https://wa.me/6285748377961")</f>
        <v>https://wa.me/6285748377961</v>
      </c>
      <c r="E260" s="139" t="str">
        <f ca="1">IFERROR(__xludf.DUMMYFUNCTION("""COMPUTED_VALUE"""),"6285748377961")</f>
        <v>6285748377961</v>
      </c>
      <c r="F260" s="139">
        <f ca="1">IFERROR(__xludf.DUMMYFUNCTION("""COMPUTED_VALUE"""),13323)</f>
        <v>13323</v>
      </c>
      <c r="G260" s="139">
        <f ca="1">IFERROR(__xludf.DUMMYFUNCTION("""COMPUTED_VALUE"""),20801.3809523809)</f>
        <v>20801.3809523809</v>
      </c>
      <c r="H260" s="139">
        <f ca="1">IFERROR(__xludf.DUMMYFUNCTION("""COMPUTED_VALUE"""),57)</f>
        <v>57</v>
      </c>
      <c r="I260" s="140">
        <f ca="1">IFERROR(__xludf.DUMMYFUNCTION("""COMPUTED_VALUE"""),289132)</f>
        <v>289132</v>
      </c>
      <c r="J260" s="141">
        <f ca="1">IFERROR(__xludf.DUMMYFUNCTION("""COMPUTED_VALUE"""),5072.49122807017)</f>
        <v>5072.4912280701701</v>
      </c>
      <c r="K260" s="142">
        <f ca="1">IFERROR(__xludf.DUMMYFUNCTION("""COMPUTED_VALUE"""),19.2754666666666)</f>
        <v>19.275466666666599</v>
      </c>
      <c r="L260" s="143" t="str">
        <f ca="1"/>
        <v>Wiris Variasi</v>
      </c>
      <c r="M260" s="127"/>
      <c r="N260" s="127"/>
      <c r="O260" s="127"/>
      <c r="P260" s="127"/>
      <c r="Q260" s="127"/>
      <c r="R260" s="127"/>
      <c r="S260" s="127"/>
      <c r="T260" s="127"/>
      <c r="U260" s="127"/>
      <c r="V260" s="127"/>
      <c r="W260" s="127"/>
      <c r="X260" s="127"/>
      <c r="Y260" s="127"/>
      <c r="Z260" s="127"/>
      <c r="AA260" s="127"/>
    </row>
    <row r="261" spans="1:27">
      <c r="A261" s="127">
        <f ca="1">IFERROR(__xludf.DUMMYFUNCTION("""COMPUTED_VALUE"""),174904221976312)</f>
        <v>174904221976312</v>
      </c>
      <c r="B261" s="127" t="str">
        <f ca="1">IFERROR(__xludf.DUMMYFUNCTION("""COMPUTED_VALUE"""),"120230432938410694")</f>
        <v>120230432938410694</v>
      </c>
      <c r="C261" s="127" t="str">
        <f ca="1">IFERROR(__xludf.DUMMYFUNCTION("""COMPUTED_VALUE"""),"BERKAH  TEKNIK")</f>
        <v>BERKAH  TEKNIK</v>
      </c>
      <c r="D261" s="138" t="str">
        <f ca="1">IFERROR(__xludf.DUMMYFUNCTION("""COMPUTED_VALUE"""),"https://wa.me/6285748377961")</f>
        <v>https://wa.me/6285748377961</v>
      </c>
      <c r="E261" s="139" t="str">
        <f ca="1">IFERROR(__xludf.DUMMYFUNCTION("""COMPUTED_VALUE"""),"6285748377961")</f>
        <v>6285748377961</v>
      </c>
      <c r="F261" s="139">
        <f ca="1">IFERROR(__xludf.DUMMYFUNCTION("""COMPUTED_VALUE"""),29630)</f>
        <v>29630</v>
      </c>
      <c r="G261" s="139">
        <f ca="1">IFERROR(__xludf.DUMMYFUNCTION("""COMPUTED_VALUE"""),9162.47619047619)</f>
        <v>9162.4761904761908</v>
      </c>
      <c r="H261" s="139">
        <f ca="1">IFERROR(__xludf.DUMMYFUNCTION("""COMPUTED_VALUE"""),52)</f>
        <v>52</v>
      </c>
      <c r="I261" s="140">
        <f ca="1">IFERROR(__xludf.DUMMYFUNCTION("""COMPUTED_VALUE"""),288353)</f>
        <v>288353</v>
      </c>
      <c r="J261" s="141">
        <f ca="1">IFERROR(__xludf.DUMMYFUNCTION("""COMPUTED_VALUE"""),5545.25)</f>
        <v>5545.25</v>
      </c>
      <c r="K261" s="142">
        <f ca="1">IFERROR(__xludf.DUMMYFUNCTION("""COMPUTED_VALUE"""),19.2235333333333)</f>
        <v>19.2235333333333</v>
      </c>
      <c r="L261" s="143" t="str">
        <f ca="1"/>
        <v>Wiris Variasi</v>
      </c>
      <c r="M261" s="127"/>
      <c r="N261" s="127"/>
      <c r="O261" s="127"/>
      <c r="P261" s="127"/>
      <c r="Q261" s="127"/>
      <c r="R261" s="127"/>
      <c r="S261" s="127"/>
      <c r="T261" s="127"/>
      <c r="U261" s="127"/>
      <c r="V261" s="127"/>
      <c r="W261" s="127"/>
      <c r="X261" s="127"/>
      <c r="Y261" s="127"/>
      <c r="Z261" s="127"/>
      <c r="AA261" s="127"/>
    </row>
    <row r="262" spans="1:27">
      <c r="A262" s="127">
        <f ca="1">IFERROR(__xludf.DUMMYFUNCTION("""COMPUTED_VALUE"""),174904221976312)</f>
        <v>174904221976312</v>
      </c>
      <c r="B262" s="127" t="str">
        <f ca="1">IFERROR(__xludf.DUMMYFUNCTION("""COMPUTED_VALUE"""),"120230433021380694")</f>
        <v>120230433021380694</v>
      </c>
      <c r="C262" s="127" t="str">
        <f ca="1">IFERROR(__xludf.DUMMYFUNCTION("""COMPUTED_VALUE"""),"Sewa Tenda")</f>
        <v>Sewa Tenda</v>
      </c>
      <c r="D262" s="138" t="str">
        <f ca="1">IFERROR(__xludf.DUMMYFUNCTION("""COMPUTED_VALUE"""),"https://wa.me/6281324481252")</f>
        <v>https://wa.me/6281324481252</v>
      </c>
      <c r="E262" s="139" t="str">
        <f ca="1">IFERROR(__xludf.DUMMYFUNCTION("""COMPUTED_VALUE"""),"6281324481252")</f>
        <v>6281324481252</v>
      </c>
      <c r="F262" s="139">
        <f ca="1">IFERROR(__xludf.DUMMYFUNCTION("""COMPUTED_VALUE"""),2662)</f>
        <v>2662</v>
      </c>
      <c r="G262" s="139">
        <f ca="1">IFERROR(__xludf.DUMMYFUNCTION("""COMPUTED_VALUE"""),24815.6666666666)</f>
        <v>24815.666666666599</v>
      </c>
      <c r="H262" s="139">
        <f ca="1">IFERROR(__xludf.DUMMYFUNCTION("""COMPUTED_VALUE"""),12)</f>
        <v>12</v>
      </c>
      <c r="I262" s="140">
        <f ca="1">IFERROR(__xludf.DUMMYFUNCTION("""COMPUTED_VALUE"""),73049)</f>
        <v>73049</v>
      </c>
      <c r="J262" s="141">
        <f ca="1">IFERROR(__xludf.DUMMYFUNCTION("""COMPUTED_VALUE"""),6087.41666666666)</f>
        <v>6087.4166666666597</v>
      </c>
      <c r="K262" s="142">
        <f ca="1">IFERROR(__xludf.DUMMYFUNCTION("""COMPUTED_VALUE"""),4.86993333333333)</f>
        <v>4.8699333333333303</v>
      </c>
      <c r="L262" s="143" t="str">
        <f ca="1"/>
        <v>Wiris Variasi</v>
      </c>
      <c r="M262" s="127"/>
      <c r="N262" s="127"/>
      <c r="O262" s="127"/>
      <c r="P262" s="127"/>
      <c r="Q262" s="127"/>
      <c r="R262" s="127"/>
      <c r="S262" s="127"/>
      <c r="T262" s="127"/>
      <c r="U262" s="127"/>
      <c r="V262" s="127"/>
      <c r="W262" s="127"/>
      <c r="X262" s="127"/>
      <c r="Y262" s="127"/>
      <c r="Z262" s="127"/>
      <c r="AA262" s="127"/>
    </row>
    <row r="263" spans="1:27">
      <c r="A263" s="127">
        <f ca="1">IFERROR(__xludf.DUMMYFUNCTION("""COMPUTED_VALUE"""),174904221976312)</f>
        <v>174904221976312</v>
      </c>
      <c r="B263" s="127" t="str">
        <f ca="1">IFERROR(__xludf.DUMMYFUNCTION("""COMPUTED_VALUE"""),"120230433186760694")</f>
        <v>120230433186760694</v>
      </c>
      <c r="C263" s="127" t="str">
        <f ca="1">IFERROR(__xludf.DUMMYFUNCTION("""COMPUTED_VALUE"""),"Villa Helly")</f>
        <v>Villa Helly</v>
      </c>
      <c r="D263" s="138" t="str">
        <f ca="1">IFERROR(__xludf.DUMMYFUNCTION("""COMPUTED_VALUE"""),"https://wa.me/62817262229")</f>
        <v>https://wa.me/62817262229</v>
      </c>
      <c r="E263" s="139" t="str">
        <f ca="1">IFERROR(__xludf.DUMMYFUNCTION("""COMPUTED_VALUE"""),"62817262229")</f>
        <v>62817262229</v>
      </c>
      <c r="F263" s="139">
        <f ca="1">IFERROR(__xludf.DUMMYFUNCTION("""COMPUTED_VALUE"""),2474)</f>
        <v>2474</v>
      </c>
      <c r="G263" s="139">
        <f ca="1">IFERROR(__xludf.DUMMYFUNCTION("""COMPUTED_VALUE"""),25582.5)</f>
        <v>25582.5</v>
      </c>
      <c r="H263" s="139">
        <f ca="1">IFERROR(__xludf.DUMMYFUNCTION("""COMPUTED_VALUE"""),32)</f>
        <v>32</v>
      </c>
      <c r="I263" s="140">
        <f ca="1">IFERROR(__xludf.DUMMYFUNCTION("""COMPUTED_VALUE"""),69648)</f>
        <v>69648</v>
      </c>
      <c r="J263" s="141">
        <f ca="1">IFERROR(__xludf.DUMMYFUNCTION("""COMPUTED_VALUE"""),2176.5)</f>
        <v>2176.5</v>
      </c>
      <c r="K263" s="142">
        <f ca="1">IFERROR(__xludf.DUMMYFUNCTION("""COMPUTED_VALUE"""),4.6432)</f>
        <v>4.6432000000000002</v>
      </c>
      <c r="L263" s="143" t="str">
        <f ca="1"/>
        <v>Wiris Variasi</v>
      </c>
      <c r="M263" s="127"/>
      <c r="N263" s="127"/>
      <c r="O263" s="127"/>
      <c r="P263" s="127"/>
      <c r="Q263" s="127"/>
      <c r="R263" s="127"/>
      <c r="S263" s="127"/>
      <c r="T263" s="127"/>
      <c r="U263" s="127"/>
      <c r="V263" s="127"/>
      <c r="W263" s="127"/>
      <c r="X263" s="127"/>
      <c r="Y263" s="127"/>
      <c r="Z263" s="127"/>
      <c r="AA263" s="127"/>
    </row>
    <row r="264" spans="1:27">
      <c r="A264" s="127">
        <f ca="1">IFERROR(__xludf.DUMMYFUNCTION("""COMPUTED_VALUE"""),174904221976312)</f>
        <v>174904221976312</v>
      </c>
      <c r="B264" s="127" t="str">
        <f ca="1">IFERROR(__xludf.DUMMYFUNCTION("""COMPUTED_VALUE"""),"120230433288220694")</f>
        <v>120230433288220694</v>
      </c>
      <c r="C264" s="127" t="str">
        <f ca="1">IFERROR(__xludf.DUMMYFUNCTION("""COMPUTED_VALUE"""),"Al Nasir")</f>
        <v>Al Nasir</v>
      </c>
      <c r="D264" s="138" t="str">
        <f ca="1">IFERROR(__xludf.DUMMYFUNCTION("""COMPUTED_VALUE"""),"https://wa.me/6282112042148")</f>
        <v>https://wa.me/6282112042148</v>
      </c>
      <c r="E264" s="139" t="str">
        <f ca="1">IFERROR(__xludf.DUMMYFUNCTION("""COMPUTED_VALUE"""),"6282112042148")</f>
        <v>6282112042148</v>
      </c>
      <c r="F264" s="139">
        <f ca="1">IFERROR(__xludf.DUMMYFUNCTION("""COMPUTED_VALUE"""),7932)</f>
        <v>7932</v>
      </c>
      <c r="G264" s="139">
        <f ca="1">IFERROR(__xludf.DUMMYFUNCTION("""COMPUTED_VALUE"""),17157)</f>
        <v>17157</v>
      </c>
      <c r="H264" s="139">
        <f ca="1">IFERROR(__xludf.DUMMYFUNCTION("""COMPUTED_VALUE"""),17)</f>
        <v>17</v>
      </c>
      <c r="I264" s="140">
        <f ca="1">IFERROR(__xludf.DUMMYFUNCTION("""COMPUTED_VALUE"""),144438)</f>
        <v>144438</v>
      </c>
      <c r="J264" s="141">
        <f ca="1">IFERROR(__xludf.DUMMYFUNCTION("""COMPUTED_VALUE"""),8496.35294117647)</f>
        <v>8496.3529411764703</v>
      </c>
      <c r="K264" s="142">
        <f ca="1">IFERROR(__xludf.DUMMYFUNCTION("""COMPUTED_VALUE"""),9.6292)</f>
        <v>9.6292000000000009</v>
      </c>
      <c r="L264" s="143" t="str">
        <f ca="1"/>
        <v>Wiris Variasi</v>
      </c>
      <c r="M264" s="127"/>
      <c r="N264" s="127"/>
      <c r="O264" s="127"/>
      <c r="P264" s="127"/>
      <c r="Q264" s="127"/>
      <c r="R264" s="127"/>
      <c r="S264" s="127"/>
      <c r="T264" s="127"/>
      <c r="U264" s="127"/>
      <c r="V264" s="127"/>
      <c r="W264" s="127"/>
      <c r="X264" s="127"/>
      <c r="Y264" s="127"/>
      <c r="Z264" s="127"/>
      <c r="AA264" s="127"/>
    </row>
    <row r="265" spans="1:27">
      <c r="A265" s="127">
        <f ca="1">IFERROR(__xludf.DUMMYFUNCTION("""COMPUTED_VALUE"""),174904221976312)</f>
        <v>174904221976312</v>
      </c>
      <c r="B265" s="127" t="str">
        <f ca="1">IFERROR(__xludf.DUMMYFUNCTION("""COMPUTED_VALUE"""),"120230433393450694")</f>
        <v>120230433393450694</v>
      </c>
      <c r="C265" s="127" t="str">
        <f ca="1">IFERROR(__xludf.DUMMYFUNCTION("""COMPUTED_VALUE"""),"Sumatra Jungle")</f>
        <v>Sumatra Jungle</v>
      </c>
      <c r="D265" s="138" t="str">
        <f ca="1">IFERROR(__xludf.DUMMYFUNCTION("""COMPUTED_VALUE"""),"https://wa.me/6283870060603")</f>
        <v>https://wa.me/6283870060603</v>
      </c>
      <c r="E265" s="139" t="str">
        <f ca="1">IFERROR(__xludf.DUMMYFUNCTION("""COMPUTED_VALUE"""),"6283870060603")</f>
        <v>6283870060603</v>
      </c>
      <c r="F265" s="139">
        <f ca="1">IFERROR(__xludf.DUMMYFUNCTION("""COMPUTED_VALUE"""),13726)</f>
        <v>13726</v>
      </c>
      <c r="G265" s="139">
        <f ca="1">IFERROR(__xludf.DUMMYFUNCTION("""COMPUTED_VALUE"""),22252.238095238)</f>
        <v>22252.238095238001</v>
      </c>
      <c r="H265" s="139">
        <f ca="1">IFERROR(__xludf.DUMMYFUNCTION("""COMPUTED_VALUE"""),0)</f>
        <v>0</v>
      </c>
      <c r="I265" s="140">
        <f ca="1">IFERROR(__xludf.DUMMYFUNCTION("""COMPUTED_VALUE"""),283717)</f>
        <v>283717</v>
      </c>
      <c r="J265" s="141"/>
      <c r="K265" s="142">
        <f ca="1">IFERROR(__xludf.DUMMYFUNCTION("""COMPUTED_VALUE"""),18.9144666666666)</f>
        <v>18.914466666666598</v>
      </c>
      <c r="L265" s="143" t="str">
        <f ca="1"/>
        <v>Wiris Variasi</v>
      </c>
      <c r="M265" s="127"/>
      <c r="N265" s="127"/>
      <c r="O265" s="127"/>
      <c r="P265" s="127"/>
      <c r="Q265" s="127"/>
      <c r="R265" s="127"/>
      <c r="S265" s="127"/>
      <c r="T265" s="127"/>
      <c r="U265" s="127"/>
      <c r="V265" s="127"/>
      <c r="W265" s="127"/>
      <c r="X265" s="127"/>
      <c r="Y265" s="127"/>
      <c r="Z265" s="127"/>
      <c r="AA265" s="127"/>
    </row>
    <row r="266" spans="1:27">
      <c r="A266" s="127">
        <f ca="1">IFERROR(__xludf.DUMMYFUNCTION("""COMPUTED_VALUE"""),174904221976312)</f>
        <v>174904221976312</v>
      </c>
      <c r="B266" s="127" t="str">
        <f ca="1">IFERROR(__xludf.DUMMYFUNCTION("""COMPUTED_VALUE"""),"120230433528630694")</f>
        <v>120230433528630694</v>
      </c>
      <c r="C266" s="127" t="str">
        <f ca="1">IFERROR(__xludf.DUMMYFUNCTION("""COMPUTED_VALUE"""),"Bali Embers")</f>
        <v>Bali Embers</v>
      </c>
      <c r="D266" s="138" t="str">
        <f ca="1">IFERROR(__xludf.DUMMYFUNCTION("""COMPUTED_VALUE"""),"https://wa.me/6287886480138")</f>
        <v>https://wa.me/6287886480138</v>
      </c>
      <c r="E266" s="139" t="str">
        <f ca="1">IFERROR(__xludf.DUMMYFUNCTION("""COMPUTED_VALUE"""),"6287886480138")</f>
        <v>6287886480138</v>
      </c>
      <c r="F266" s="139">
        <f ca="1">IFERROR(__xludf.DUMMYFUNCTION("""COMPUTED_VALUE"""),37093)</f>
        <v>37093</v>
      </c>
      <c r="G266" s="139">
        <f ca="1">IFERROR(__xludf.DUMMYFUNCTION("""COMPUTED_VALUE"""),2330.5)</f>
        <v>2330.5</v>
      </c>
      <c r="H266" s="139">
        <f ca="1">IFERROR(__xludf.DUMMYFUNCTION("""COMPUTED_VALUE"""),1)</f>
        <v>1</v>
      </c>
      <c r="I266" s="140">
        <f ca="1">IFERROR(__xludf.DUMMYFUNCTION("""COMPUTED_VALUE"""),73671)</f>
        <v>73671</v>
      </c>
      <c r="J266" s="141">
        <f ca="1">IFERROR(__xludf.DUMMYFUNCTION("""COMPUTED_VALUE"""),73671)</f>
        <v>73671</v>
      </c>
      <c r="K266" s="142">
        <f ca="1">IFERROR(__xludf.DUMMYFUNCTION("""COMPUTED_VALUE"""),4.9114)</f>
        <v>4.9114000000000004</v>
      </c>
      <c r="L266" s="143" t="str">
        <f ca="1"/>
        <v>Wiris Variasi</v>
      </c>
      <c r="M266" s="127"/>
      <c r="N266" s="127"/>
      <c r="O266" s="127"/>
      <c r="P266" s="127"/>
      <c r="Q266" s="127"/>
      <c r="R266" s="127"/>
      <c r="S266" s="127"/>
      <c r="T266" s="127"/>
      <c r="U266" s="127"/>
      <c r="V266" s="127"/>
      <c r="W266" s="127"/>
      <c r="X266" s="127"/>
      <c r="Y266" s="127"/>
      <c r="Z266" s="127"/>
      <c r="AA266" s="127"/>
    </row>
    <row r="267" spans="1:27">
      <c r="A267" s="127">
        <f ca="1">IFERROR(__xludf.DUMMYFUNCTION("""COMPUTED_VALUE"""),174904221976312)</f>
        <v>174904221976312</v>
      </c>
      <c r="B267" s="127" t="str">
        <f ca="1">IFERROR(__xludf.DUMMYFUNCTION("""COMPUTED_VALUE"""),"120230493864380694")</f>
        <v>120230493864380694</v>
      </c>
      <c r="C267" s="127" t="str">
        <f ca="1">IFERROR(__xludf.DUMMYFUNCTION("""COMPUTED_VALUE"""),"Kutai Holiday")</f>
        <v>Kutai Holiday</v>
      </c>
      <c r="D267" s="138" t="str">
        <f ca="1">IFERROR(__xludf.DUMMYFUNCTION("""COMPUTED_VALUE"""),"https://wa.me/6282153090123")</f>
        <v>https://wa.me/6282153090123</v>
      </c>
      <c r="E267" s="139" t="str">
        <f ca="1">IFERROR(__xludf.DUMMYFUNCTION("""COMPUTED_VALUE"""),"6282153090123")</f>
        <v>6282153090123</v>
      </c>
      <c r="F267" s="139">
        <f ca="1">IFERROR(__xludf.DUMMYFUNCTION("""COMPUTED_VALUE"""),11233)</f>
        <v>11233</v>
      </c>
      <c r="G267" s="139">
        <f ca="1">IFERROR(__xludf.DUMMYFUNCTION("""COMPUTED_VALUE"""),23468.45)</f>
        <v>23468.45</v>
      </c>
      <c r="H267" s="139">
        <f ca="1">IFERROR(__xludf.DUMMYFUNCTION("""COMPUTED_VALUE"""),36)</f>
        <v>36</v>
      </c>
      <c r="I267" s="140">
        <f ca="1">IFERROR(__xludf.DUMMYFUNCTION("""COMPUTED_VALUE"""),278654)</f>
        <v>278654</v>
      </c>
      <c r="J267" s="141">
        <f ca="1">IFERROR(__xludf.DUMMYFUNCTION("""COMPUTED_VALUE"""),7740.38888888888)</f>
        <v>7740.3888888888796</v>
      </c>
      <c r="K267" s="142">
        <f ca="1">IFERROR(__xludf.DUMMYFUNCTION("""COMPUTED_VALUE"""),18.5769333333333)</f>
        <v>18.576933333333301</v>
      </c>
      <c r="L267" s="143" t="str">
        <f ca="1"/>
        <v>Wiris Variasi</v>
      </c>
      <c r="M267" s="127"/>
      <c r="N267" s="127"/>
      <c r="O267" s="127"/>
      <c r="P267" s="127"/>
      <c r="Q267" s="127"/>
      <c r="R267" s="127"/>
      <c r="S267" s="127"/>
      <c r="T267" s="127"/>
      <c r="U267" s="127"/>
      <c r="V267" s="127"/>
      <c r="W267" s="127"/>
      <c r="X267" s="127"/>
      <c r="Y267" s="127"/>
      <c r="Z267" s="127"/>
      <c r="AA267" s="127"/>
    </row>
    <row r="268" spans="1:27">
      <c r="A268" s="127">
        <f ca="1">IFERROR(__xludf.DUMMYFUNCTION("""COMPUTED_VALUE"""),174904221976312)</f>
        <v>174904221976312</v>
      </c>
      <c r="B268" s="127" t="str">
        <f ca="1">IFERROR(__xludf.DUMMYFUNCTION("""COMPUTED_VALUE"""),"120230493966180694")</f>
        <v>120230493966180694</v>
      </c>
      <c r="C268" s="127" t="str">
        <f ca="1">IFERROR(__xludf.DUMMYFUNCTION("""COMPUTED_VALUE"""),"Pupuk Paten")</f>
        <v>Pupuk Paten</v>
      </c>
      <c r="D268" s="138" t="str">
        <f ca="1">IFERROR(__xludf.DUMMYFUNCTION("""COMPUTED_VALUE"""),"https://wa.me/6282382535847")</f>
        <v>https://wa.me/6282382535847</v>
      </c>
      <c r="E268" s="139" t="str">
        <f ca="1">IFERROR(__xludf.DUMMYFUNCTION("""COMPUTED_VALUE"""),"6282382535847")</f>
        <v>6282382535847</v>
      </c>
      <c r="F268" s="139">
        <f ca="1">IFERROR(__xludf.DUMMYFUNCTION("""COMPUTED_VALUE"""),4146)</f>
        <v>4146</v>
      </c>
      <c r="G268" s="139">
        <f ca="1">IFERROR(__xludf.DUMMYFUNCTION("""COMPUTED_VALUE"""),12714.4)</f>
        <v>12714.4</v>
      </c>
      <c r="H268" s="139">
        <f ca="1">IFERROR(__xludf.DUMMYFUNCTION("""COMPUTED_VALUE"""),8)</f>
        <v>8</v>
      </c>
      <c r="I268" s="140">
        <f ca="1">IFERROR(__xludf.DUMMYFUNCTION("""COMPUTED_VALUE"""),64726)</f>
        <v>64726</v>
      </c>
      <c r="J268" s="141">
        <f ca="1">IFERROR(__xludf.DUMMYFUNCTION("""COMPUTED_VALUE"""),8090.75)</f>
        <v>8090.75</v>
      </c>
      <c r="K268" s="142">
        <f ca="1">IFERROR(__xludf.DUMMYFUNCTION("""COMPUTED_VALUE"""),4.31506666666666)</f>
        <v>4.3150666666666604</v>
      </c>
      <c r="L268" s="143" t="str">
        <f ca="1"/>
        <v>Wiris Variasi</v>
      </c>
      <c r="M268" s="127"/>
      <c r="N268" s="127"/>
      <c r="O268" s="127"/>
      <c r="P268" s="127"/>
      <c r="Q268" s="127"/>
      <c r="R268" s="127"/>
      <c r="S268" s="127"/>
      <c r="T268" s="127"/>
      <c r="U268" s="127"/>
      <c r="V268" s="127"/>
      <c r="W268" s="127"/>
      <c r="X268" s="127"/>
      <c r="Y268" s="127"/>
      <c r="Z268" s="127"/>
      <c r="AA268" s="127"/>
    </row>
    <row r="269" spans="1:27">
      <c r="A269" s="127">
        <f ca="1">IFERROR(__xludf.DUMMYFUNCTION("""COMPUTED_VALUE"""),174904221976312)</f>
        <v>174904221976312</v>
      </c>
      <c r="B269" s="127" t="str">
        <f ca="1">IFERROR(__xludf.DUMMYFUNCTION("""COMPUTED_VALUE"""),"120230494321050694")</f>
        <v>120230494321050694</v>
      </c>
      <c r="C269" s="127" t="str">
        <f ca="1">IFERROR(__xludf.DUMMYFUNCTION("""COMPUTED_VALUE"""),"ARROFEE")</f>
        <v>ARROFEE</v>
      </c>
      <c r="D269" s="138" t="str">
        <f ca="1">IFERROR(__xludf.DUMMYFUNCTION("""COMPUTED_VALUE"""),"https://wa.me/6282241382009")</f>
        <v>https://wa.me/6282241382009</v>
      </c>
      <c r="E269" s="139" t="str">
        <f ca="1">IFERROR(__xludf.DUMMYFUNCTION("""COMPUTED_VALUE"""),"6282241382009")</f>
        <v>6282241382009</v>
      </c>
      <c r="F269" s="139">
        <f ca="1">IFERROR(__xludf.DUMMYFUNCTION("""COMPUTED_VALUE"""),2594)</f>
        <v>2594</v>
      </c>
      <c r="G269" s="139">
        <f ca="1">IFERROR(__xludf.DUMMYFUNCTION("""COMPUTED_VALUE"""),19579.1666666666)</f>
        <v>19579.166666666599</v>
      </c>
      <c r="H269" s="139">
        <f ca="1">IFERROR(__xludf.DUMMYFUNCTION("""COMPUTED_VALUE"""),14)</f>
        <v>14</v>
      </c>
      <c r="I269" s="140">
        <f ca="1">IFERROR(__xludf.DUMMYFUNCTION("""COMPUTED_VALUE"""),65222)</f>
        <v>65222</v>
      </c>
      <c r="J269" s="141">
        <f ca="1">IFERROR(__xludf.DUMMYFUNCTION("""COMPUTED_VALUE"""),4658.71428571428)</f>
        <v>4658.7142857142799</v>
      </c>
      <c r="K269" s="142">
        <f ca="1">IFERROR(__xludf.DUMMYFUNCTION("""COMPUTED_VALUE"""),4.34813333333333)</f>
        <v>4.3481333333333296</v>
      </c>
      <c r="L269" s="143" t="str">
        <f ca="1"/>
        <v>Wiris Variasi</v>
      </c>
      <c r="M269" s="127"/>
      <c r="N269" s="127"/>
      <c r="O269" s="127"/>
      <c r="P269" s="127"/>
      <c r="Q269" s="127"/>
      <c r="R269" s="127"/>
      <c r="S269" s="127"/>
      <c r="T269" s="127"/>
      <c r="U269" s="127"/>
      <c r="V269" s="127"/>
      <c r="W269" s="127"/>
      <c r="X269" s="127"/>
      <c r="Y269" s="127"/>
      <c r="Z269" s="127"/>
      <c r="AA269" s="127"/>
    </row>
    <row r="270" spans="1:27">
      <c r="A270" s="127">
        <f ca="1">IFERROR(__xludf.DUMMYFUNCTION("""COMPUTED_VALUE"""),174904221976312)</f>
        <v>174904221976312</v>
      </c>
      <c r="B270" s="127" t="str">
        <f ca="1">IFERROR(__xludf.DUMMYFUNCTION("""COMPUTED_VALUE"""),"120230494428050694")</f>
        <v>120230494428050694</v>
      </c>
      <c r="C270" s="127" t="str">
        <f ca="1">IFERROR(__xludf.DUMMYFUNCTION("""COMPUTED_VALUE"""),"TOKO TANI")</f>
        <v>TOKO TANI</v>
      </c>
      <c r="D270" s="138" t="str">
        <f ca="1">IFERROR(__xludf.DUMMYFUNCTION("""COMPUTED_VALUE"""),"https://wa.me/628127962347")</f>
        <v>https://wa.me/628127962347</v>
      </c>
      <c r="E270" s="139" t="str">
        <f ca="1">IFERROR(__xludf.DUMMYFUNCTION("""COMPUTED_VALUE"""),"628127962347")</f>
        <v>628127962347</v>
      </c>
      <c r="F270" s="139">
        <f ca="1">IFERROR(__xludf.DUMMYFUNCTION("""COMPUTED_VALUE"""),6455)</f>
        <v>6455</v>
      </c>
      <c r="G270" s="139">
        <f ca="1">IFERROR(__xludf.DUMMYFUNCTION("""COMPUTED_VALUE"""),22179.2727272727)</f>
        <v>22179.272727272699</v>
      </c>
      <c r="H270" s="139">
        <f ca="1">IFERROR(__xludf.DUMMYFUNCTION("""COMPUTED_VALUE"""),47)</f>
        <v>47</v>
      </c>
      <c r="I270" s="140">
        <f ca="1">IFERROR(__xludf.DUMMYFUNCTION("""COMPUTED_VALUE"""),153246)</f>
        <v>153246</v>
      </c>
      <c r="J270" s="141">
        <f ca="1">IFERROR(__xludf.DUMMYFUNCTION("""COMPUTED_VALUE"""),3260.55319148936)</f>
        <v>3260.55319148936</v>
      </c>
      <c r="K270" s="142">
        <f ca="1">IFERROR(__xludf.DUMMYFUNCTION("""COMPUTED_VALUE"""),10.2164)</f>
        <v>10.2164</v>
      </c>
      <c r="L270" s="143" t="str">
        <f ca="1"/>
        <v>Wiris Variasi</v>
      </c>
      <c r="M270" s="127"/>
      <c r="N270" s="127"/>
      <c r="O270" s="127"/>
      <c r="P270" s="127"/>
      <c r="Q270" s="127"/>
      <c r="R270" s="127"/>
      <c r="S270" s="127"/>
      <c r="T270" s="127"/>
      <c r="U270" s="127"/>
      <c r="V270" s="127"/>
      <c r="W270" s="127"/>
      <c r="X270" s="127"/>
      <c r="Y270" s="127"/>
      <c r="Z270" s="127"/>
      <c r="AA270" s="127"/>
    </row>
    <row r="271" spans="1:27">
      <c r="A271" s="127">
        <f ca="1">IFERROR(__xludf.DUMMYFUNCTION("""COMPUTED_VALUE"""),174904221976312)</f>
        <v>174904221976312</v>
      </c>
      <c r="B271" s="127" t="str">
        <f ca="1">IFERROR(__xludf.DUMMYFUNCTION("""COMPUTED_VALUE"""),"120230494825900694")</f>
        <v>120230494825900694</v>
      </c>
      <c r="C271" s="127" t="str">
        <f ca="1">IFERROR(__xludf.DUMMYFUNCTION("""COMPUTED_VALUE"""),"Bali Trip")</f>
        <v>Bali Trip</v>
      </c>
      <c r="D271" s="138" t="str">
        <f ca="1">IFERROR(__xludf.DUMMYFUNCTION("""COMPUTED_VALUE"""),"https://wa.me/628179780980")</f>
        <v>https://wa.me/628179780980</v>
      </c>
      <c r="E271" s="139" t="str">
        <f ca="1">IFERROR(__xludf.DUMMYFUNCTION("""COMPUTED_VALUE"""),"628179780980")</f>
        <v>628179780980</v>
      </c>
      <c r="F271" s="139">
        <f ca="1">IFERROR(__xludf.DUMMYFUNCTION("""COMPUTED_VALUE"""),2732)</f>
        <v>2732</v>
      </c>
      <c r="G271" s="139">
        <f ca="1">IFERROR(__xludf.DUMMYFUNCTION("""COMPUTED_VALUE"""),62113.5)</f>
        <v>62113.5</v>
      </c>
      <c r="H271" s="139">
        <f ca="1">IFERROR(__xludf.DUMMYFUNCTION("""COMPUTED_VALUE"""),9)</f>
        <v>9</v>
      </c>
      <c r="I271" s="140">
        <f ca="1">IFERROR(__xludf.DUMMYFUNCTION("""COMPUTED_VALUE"""),131605)</f>
        <v>131605</v>
      </c>
      <c r="J271" s="141">
        <f ca="1">IFERROR(__xludf.DUMMYFUNCTION("""COMPUTED_VALUE"""),14622.7777777777)</f>
        <v>14622.777777777699</v>
      </c>
      <c r="K271" s="142">
        <f ca="1">IFERROR(__xludf.DUMMYFUNCTION("""COMPUTED_VALUE"""),8.77366666666666)</f>
        <v>8.7736666666666601</v>
      </c>
      <c r="L271" s="143" t="str">
        <f ca="1"/>
        <v>Wiris Variasi</v>
      </c>
      <c r="M271" s="127"/>
      <c r="N271" s="127"/>
      <c r="O271" s="127"/>
      <c r="P271" s="127"/>
      <c r="Q271" s="127"/>
      <c r="R271" s="127"/>
      <c r="S271" s="127"/>
      <c r="T271" s="127"/>
      <c r="U271" s="127"/>
      <c r="V271" s="127"/>
      <c r="W271" s="127"/>
      <c r="X271" s="127"/>
      <c r="Y271" s="127"/>
      <c r="Z271" s="127"/>
      <c r="AA271" s="127"/>
    </row>
    <row r="272" spans="1:27">
      <c r="A272" s="127">
        <f ca="1">IFERROR(__xludf.DUMMYFUNCTION("""COMPUTED_VALUE"""),174904221976312)</f>
        <v>174904221976312</v>
      </c>
      <c r="B272" s="127" t="str">
        <f ca="1">IFERROR(__xludf.DUMMYFUNCTION("""COMPUTED_VALUE"""),"120230494969540694")</f>
        <v>120230494969540694</v>
      </c>
      <c r="C272" s="127" t="str">
        <f ca="1">IFERROR(__xludf.DUMMYFUNCTION("""COMPUTED_VALUE"""),"Yono motor")</f>
        <v>Yono motor</v>
      </c>
      <c r="D272" s="138" t="str">
        <f ca="1">IFERROR(__xludf.DUMMYFUNCTION("""COMPUTED_VALUE"""),"https://wa.me/6287701349406")</f>
        <v>https://wa.me/6287701349406</v>
      </c>
      <c r="E272" s="139" t="str">
        <f ca="1">IFERROR(__xludf.DUMMYFUNCTION("""COMPUTED_VALUE"""),"6287701349406")</f>
        <v>6287701349406</v>
      </c>
      <c r="F272" s="139">
        <f ca="1">IFERROR(__xludf.DUMMYFUNCTION("""COMPUTED_VALUE"""),10301)</f>
        <v>10301</v>
      </c>
      <c r="G272" s="139">
        <f ca="1">IFERROR(__xludf.DUMMYFUNCTION("""COMPUTED_VALUE"""),5204.66666666666)</f>
        <v>5204.6666666666597</v>
      </c>
      <c r="H272" s="139">
        <f ca="1">IFERROR(__xludf.DUMMYFUNCTION("""COMPUTED_VALUE"""),18)</f>
        <v>18</v>
      </c>
      <c r="I272" s="140">
        <f ca="1">IFERROR(__xludf.DUMMYFUNCTION("""COMPUTED_VALUE"""),68403)</f>
        <v>68403</v>
      </c>
      <c r="J272" s="141">
        <f ca="1">IFERROR(__xludf.DUMMYFUNCTION("""COMPUTED_VALUE"""),3800.16666666666)</f>
        <v>3800.1666666666601</v>
      </c>
      <c r="K272" s="142">
        <f ca="1">IFERROR(__xludf.DUMMYFUNCTION("""COMPUTED_VALUE"""),4.5602)</f>
        <v>4.5602</v>
      </c>
      <c r="L272" s="143" t="str">
        <f ca="1"/>
        <v>Wiris Variasi</v>
      </c>
      <c r="M272" s="127"/>
      <c r="N272" s="127"/>
      <c r="O272" s="127"/>
      <c r="P272" s="127"/>
      <c r="Q272" s="127"/>
      <c r="R272" s="127"/>
      <c r="S272" s="127"/>
      <c r="T272" s="127"/>
      <c r="U272" s="127"/>
      <c r="V272" s="127"/>
      <c r="W272" s="127"/>
      <c r="X272" s="127"/>
      <c r="Y272" s="127"/>
      <c r="Z272" s="127"/>
      <c r="AA272" s="127"/>
    </row>
    <row r="273" spans="1:27">
      <c r="A273" s="127">
        <f ca="1">IFERROR(__xludf.DUMMYFUNCTION("""COMPUTED_VALUE"""),174904221976312)</f>
        <v>174904221976312</v>
      </c>
      <c r="B273" s="127" t="str">
        <f ca="1">IFERROR(__xludf.DUMMYFUNCTION("""COMPUTED_VALUE"""),"120230525743980694")</f>
        <v>120230525743980694</v>
      </c>
      <c r="C273" s="127" t="str">
        <f ca="1">IFERROR(__xludf.DUMMYFUNCTION("""COMPUTED_VALUE"""),"Madu Rabbani")</f>
        <v>Madu Rabbani</v>
      </c>
      <c r="D273" s="138" t="str">
        <f ca="1">IFERROR(__xludf.DUMMYFUNCTION("""COMPUTED_VALUE"""),"https://wa.me/62881010328220")</f>
        <v>https://wa.me/62881010328220</v>
      </c>
      <c r="E273" s="139" t="str">
        <f ca="1">IFERROR(__xludf.DUMMYFUNCTION("""COMPUTED_VALUE"""),"62881010328220")</f>
        <v>62881010328220</v>
      </c>
      <c r="F273" s="139">
        <f ca="1">IFERROR(__xludf.DUMMYFUNCTION("""COMPUTED_VALUE"""),2950)</f>
        <v>2950</v>
      </c>
      <c r="G273" s="139">
        <f ca="1">IFERROR(__xludf.DUMMYFUNCTION("""COMPUTED_VALUE"""),62192.4)</f>
        <v>62192.4</v>
      </c>
      <c r="H273" s="139">
        <f ca="1">IFERROR(__xludf.DUMMYFUNCTION("""COMPUTED_VALUE"""),16)</f>
        <v>16</v>
      </c>
      <c r="I273" s="140">
        <f ca="1">IFERROR(__xludf.DUMMYFUNCTION("""COMPUTED_VALUE"""),133522)</f>
        <v>133522</v>
      </c>
      <c r="J273" s="141">
        <f ca="1">IFERROR(__xludf.DUMMYFUNCTION("""COMPUTED_VALUE"""),8345.125)</f>
        <v>8345.125</v>
      </c>
      <c r="K273" s="142">
        <f ca="1">IFERROR(__xludf.DUMMYFUNCTION("""COMPUTED_VALUE"""),8.90146666666666)</f>
        <v>8.9014666666666606</v>
      </c>
      <c r="L273" s="143" t="str">
        <f ca="1"/>
        <v>Wiris Variasi</v>
      </c>
      <c r="M273" s="127"/>
      <c r="N273" s="127"/>
      <c r="O273" s="127"/>
      <c r="P273" s="127"/>
      <c r="Q273" s="127"/>
      <c r="R273" s="127"/>
      <c r="S273" s="127"/>
      <c r="T273" s="127"/>
      <c r="U273" s="127"/>
      <c r="V273" s="127"/>
      <c r="W273" s="127"/>
      <c r="X273" s="127"/>
      <c r="Y273" s="127"/>
      <c r="Z273" s="127"/>
      <c r="AA273" s="127"/>
    </row>
    <row r="274" spans="1:27">
      <c r="A274" s="127">
        <f ca="1">IFERROR(__xludf.DUMMYFUNCTION("""COMPUTED_VALUE"""),174904221976312)</f>
        <v>174904221976312</v>
      </c>
      <c r="B274" s="127" t="str">
        <f ca="1">IFERROR(__xludf.DUMMYFUNCTION("""COMPUTED_VALUE"""),"120230526115890694")</f>
        <v>120230526115890694</v>
      </c>
      <c r="C274" s="127" t="str">
        <f ca="1">IFERROR(__xludf.DUMMYFUNCTION("""COMPUTED_VALUE"""),"workshop master")</f>
        <v>workshop master</v>
      </c>
      <c r="D274" s="138" t="str">
        <f ca="1">IFERROR(__xludf.DUMMYFUNCTION("""COMPUTED_VALUE"""),"https://wa.me/6285294617773")</f>
        <v>https://wa.me/6285294617773</v>
      </c>
      <c r="E274" s="139" t="str">
        <f ca="1">IFERROR(__xludf.DUMMYFUNCTION("""COMPUTED_VALUE"""),"6285294617773")</f>
        <v>6285294617773</v>
      </c>
      <c r="F274" s="139">
        <f ca="1">IFERROR(__xludf.DUMMYFUNCTION("""COMPUTED_VALUE"""),8052)</f>
        <v>8052</v>
      </c>
      <c r="G274" s="139">
        <f ca="1">IFERROR(__xludf.DUMMYFUNCTION("""COMPUTED_VALUE"""),29143.6)</f>
        <v>29143.599999999999</v>
      </c>
      <c r="H274" s="139">
        <f ca="1">IFERROR(__xludf.DUMMYFUNCTION("""COMPUTED_VALUE"""),55)</f>
        <v>55</v>
      </c>
      <c r="I274" s="140">
        <f ca="1">IFERROR(__xludf.DUMMYFUNCTION("""COMPUTED_VALUE"""),259773)</f>
        <v>259773</v>
      </c>
      <c r="J274" s="141">
        <f ca="1">IFERROR(__xludf.DUMMYFUNCTION("""COMPUTED_VALUE"""),4723.14545454545)</f>
        <v>4723.1454545454499</v>
      </c>
      <c r="K274" s="142">
        <f ca="1">IFERROR(__xludf.DUMMYFUNCTION("""COMPUTED_VALUE"""),17.3182)</f>
        <v>17.318200000000001</v>
      </c>
      <c r="L274" s="143" t="str">
        <f ca="1"/>
        <v>Wiris Variasi</v>
      </c>
      <c r="M274" s="127"/>
      <c r="N274" s="127"/>
      <c r="O274" s="127"/>
      <c r="P274" s="127"/>
      <c r="Q274" s="127"/>
      <c r="R274" s="127"/>
      <c r="S274" s="127"/>
      <c r="T274" s="127"/>
      <c r="U274" s="127"/>
      <c r="V274" s="127"/>
      <c r="W274" s="127"/>
      <c r="X274" s="127"/>
      <c r="Y274" s="127"/>
      <c r="Z274" s="127"/>
      <c r="AA274" s="127"/>
    </row>
    <row r="275" spans="1:27">
      <c r="A275" s="127">
        <f ca="1">IFERROR(__xludf.DUMMYFUNCTION("""COMPUTED_VALUE"""),174904221976312)</f>
        <v>174904221976312</v>
      </c>
      <c r="B275" s="127" t="str">
        <f ca="1">IFERROR(__xludf.DUMMYFUNCTION("""COMPUTED_VALUE"""),"120230526254600694")</f>
        <v>120230526254600694</v>
      </c>
      <c r="C275" s="127" t="str">
        <f ca="1">IFERROR(__xludf.DUMMYFUNCTION("""COMPUTED_VALUE"""),"CV HAFIDZ")</f>
        <v>CV HAFIDZ</v>
      </c>
      <c r="D275" s="138" t="str">
        <f ca="1">IFERROR(__xludf.DUMMYFUNCTION("""COMPUTED_VALUE"""),"https://wa.me/6285361188745")</f>
        <v>https://wa.me/6285361188745</v>
      </c>
      <c r="E275" s="139" t="str">
        <f ca="1">IFERROR(__xludf.DUMMYFUNCTION("""COMPUTED_VALUE"""),"6285361188745")</f>
        <v>6285361188745</v>
      </c>
      <c r="F275" s="139">
        <f ca="1">IFERROR(__xludf.DUMMYFUNCTION("""COMPUTED_VALUE"""),672)</f>
        <v>672</v>
      </c>
      <c r="G275" s="139">
        <f ca="1">IFERROR(__xludf.DUMMYFUNCTION("""COMPUTED_VALUE"""),13784)</f>
        <v>13784</v>
      </c>
      <c r="H275" s="139">
        <f ca="1">IFERROR(__xludf.DUMMYFUNCTION("""COMPUTED_VALUE"""),0)</f>
        <v>0</v>
      </c>
      <c r="I275" s="140">
        <f ca="1">IFERROR(__xludf.DUMMYFUNCTION("""COMPUTED_VALUE"""),12695)</f>
        <v>12695</v>
      </c>
      <c r="J275" s="141"/>
      <c r="K275" s="142">
        <f ca="1">IFERROR(__xludf.DUMMYFUNCTION("""COMPUTED_VALUE"""),0.846333333333333)</f>
        <v>0.84633333333333305</v>
      </c>
      <c r="L275" s="143" t="str">
        <f ca="1"/>
        <v>Wiris Variasi</v>
      </c>
      <c r="M275" s="127"/>
      <c r="N275" s="127"/>
      <c r="O275" s="127"/>
      <c r="P275" s="127"/>
      <c r="Q275" s="127"/>
      <c r="R275" s="127"/>
      <c r="S275" s="127"/>
      <c r="T275" s="127"/>
      <c r="U275" s="127"/>
      <c r="V275" s="127"/>
      <c r="W275" s="127"/>
      <c r="X275" s="127"/>
      <c r="Y275" s="127"/>
      <c r="Z275" s="127"/>
      <c r="AA275" s="127"/>
    </row>
    <row r="276" spans="1:27">
      <c r="A276" s="127">
        <f ca="1">IFERROR(__xludf.DUMMYFUNCTION("""COMPUTED_VALUE"""),174904221976312)</f>
        <v>174904221976312</v>
      </c>
      <c r="B276" s="127" t="str">
        <f ca="1">IFERROR(__xludf.DUMMYFUNCTION("""COMPUTED_VALUE"""),"120230526567290694")</f>
        <v>120230526567290694</v>
      </c>
      <c r="C276" s="127" t="str">
        <f ca="1">IFERROR(__xludf.DUMMYFUNCTION("""COMPUTED_VALUE"""),"Bengkulu rak")</f>
        <v>Bengkulu rak</v>
      </c>
      <c r="D276" s="138" t="str">
        <f ca="1">IFERROR(__xludf.DUMMYFUNCTION("""COMPUTED_VALUE"""),"https://wa.me/6283129404339")</f>
        <v>https://wa.me/6283129404339</v>
      </c>
      <c r="E276" s="139" t="str">
        <f ca="1">IFERROR(__xludf.DUMMYFUNCTION("""COMPUTED_VALUE"""),"6283129404339")</f>
        <v>6283129404339</v>
      </c>
      <c r="F276" s="139">
        <f ca="1">IFERROR(__xludf.DUMMYFUNCTION("""COMPUTED_VALUE"""),1218)</f>
        <v>1218</v>
      </c>
      <c r="G276" s="139">
        <f ca="1">IFERROR(__xludf.DUMMYFUNCTION("""COMPUTED_VALUE"""),11957)</f>
        <v>11957</v>
      </c>
      <c r="H276" s="139">
        <f ca="1">IFERROR(__xludf.DUMMYFUNCTION("""COMPUTED_VALUE"""),1)</f>
        <v>1</v>
      </c>
      <c r="I276" s="140">
        <f ca="1">IFERROR(__xludf.DUMMYFUNCTION("""COMPUTED_VALUE"""),18513)</f>
        <v>18513</v>
      </c>
      <c r="J276" s="141">
        <f ca="1">IFERROR(__xludf.DUMMYFUNCTION("""COMPUTED_VALUE"""),18513)</f>
        <v>18513</v>
      </c>
      <c r="K276" s="142">
        <f ca="1">IFERROR(__xludf.DUMMYFUNCTION("""COMPUTED_VALUE"""),1.2342)</f>
        <v>1.2342</v>
      </c>
      <c r="L276" s="143" t="str">
        <f ca="1"/>
        <v>Wiris Variasi</v>
      </c>
      <c r="M276" s="127"/>
      <c r="N276" s="127"/>
      <c r="O276" s="127"/>
      <c r="P276" s="127"/>
      <c r="Q276" s="127"/>
      <c r="R276" s="127"/>
      <c r="S276" s="127"/>
      <c r="T276" s="127"/>
      <c r="U276" s="127"/>
      <c r="V276" s="127"/>
      <c r="W276" s="127"/>
      <c r="X276" s="127"/>
      <c r="Y276" s="127"/>
      <c r="Z276" s="127"/>
      <c r="AA276" s="127"/>
    </row>
    <row r="277" spans="1:27">
      <c r="A277" s="127">
        <f ca="1">IFERROR(__xludf.DUMMYFUNCTION("""COMPUTED_VALUE"""),174904221976312)</f>
        <v>174904221976312</v>
      </c>
      <c r="B277" s="127" t="str">
        <f ca="1">IFERROR(__xludf.DUMMYFUNCTION("""COMPUTED_VALUE"""),"120230588333970694")</f>
        <v>120230588333970694</v>
      </c>
      <c r="C277" s="127" t="str">
        <f ca="1">IFERROR(__xludf.DUMMYFUNCTION("""COMPUTED_VALUE"""),"Alhijaz Indowisata")</f>
        <v>Alhijaz Indowisata</v>
      </c>
      <c r="D277" s="138" t="str">
        <f ca="1">IFERROR(__xludf.DUMMYFUNCTION("""COMPUTED_VALUE"""),"https://wa.me/6281558225822")</f>
        <v>https://wa.me/6281558225822</v>
      </c>
      <c r="E277" s="139" t="str">
        <f ca="1">IFERROR(__xludf.DUMMYFUNCTION("""COMPUTED_VALUE"""),"6281558225822")</f>
        <v>6281558225822</v>
      </c>
      <c r="F277" s="139">
        <f ca="1">IFERROR(__xludf.DUMMYFUNCTION("""COMPUTED_VALUE"""),1009)</f>
        <v>1009</v>
      </c>
      <c r="G277" s="139">
        <f ca="1">IFERROR(__xludf.DUMMYFUNCTION("""COMPUTED_VALUE"""),99469.1428571428)</f>
        <v>99469.142857142797</v>
      </c>
      <c r="H277" s="139">
        <f ca="1">IFERROR(__xludf.DUMMYFUNCTION("""COMPUTED_VALUE"""),6)</f>
        <v>6</v>
      </c>
      <c r="I277" s="140">
        <f ca="1">IFERROR(__xludf.DUMMYFUNCTION("""COMPUTED_VALUE"""),93693)</f>
        <v>93693</v>
      </c>
      <c r="J277" s="141">
        <f ca="1">IFERROR(__xludf.DUMMYFUNCTION("""COMPUTED_VALUE"""),15615.5)</f>
        <v>15615.5</v>
      </c>
      <c r="K277" s="142">
        <f ca="1">IFERROR(__xludf.DUMMYFUNCTION("""COMPUTED_VALUE"""),6.2462)</f>
        <v>6.2462</v>
      </c>
      <c r="L277" s="143" t="str">
        <f ca="1"/>
        <v>Wiris Variasi</v>
      </c>
      <c r="M277" s="127"/>
      <c r="N277" s="127"/>
      <c r="O277" s="127"/>
      <c r="P277" s="127"/>
      <c r="Q277" s="127"/>
      <c r="R277" s="127"/>
      <c r="S277" s="127"/>
      <c r="T277" s="127"/>
      <c r="U277" s="127"/>
      <c r="V277" s="127"/>
      <c r="W277" s="127"/>
      <c r="X277" s="127"/>
      <c r="Y277" s="127"/>
      <c r="Z277" s="127"/>
      <c r="AA277" s="127"/>
    </row>
    <row r="278" spans="1:27">
      <c r="A278" s="127">
        <f ca="1">IFERROR(__xludf.DUMMYFUNCTION("""COMPUTED_VALUE"""),174904221976312)</f>
        <v>174904221976312</v>
      </c>
      <c r="B278" s="127" t="str">
        <f ca="1">IFERROR(__xludf.DUMMYFUNCTION("""COMPUTED_VALUE"""),"120230588419380694")</f>
        <v>120230588419380694</v>
      </c>
      <c r="C278" s="127" t="str">
        <f ca="1">IFERROR(__xludf.DUMMYFUNCTION("""COMPUTED_VALUE"""),"Ani Rental")</f>
        <v>Ani Rental</v>
      </c>
      <c r="D278" s="138" t="str">
        <f ca="1">IFERROR(__xludf.DUMMYFUNCTION("""COMPUTED_VALUE"""),"https://wa.me/6282390759437")</f>
        <v>https://wa.me/6282390759437</v>
      </c>
      <c r="E278" s="139" t="str">
        <f ca="1">IFERROR(__xludf.DUMMYFUNCTION("""COMPUTED_VALUE"""),"6282390759437")</f>
        <v>6282390759437</v>
      </c>
      <c r="F278" s="139">
        <f ca="1">IFERROR(__xludf.DUMMYFUNCTION("""COMPUTED_VALUE"""),1938)</f>
        <v>1938</v>
      </c>
      <c r="G278" s="139">
        <f ca="1">IFERROR(__xludf.DUMMYFUNCTION("""COMPUTED_VALUE"""),30830.4)</f>
        <v>30830.400000000001</v>
      </c>
      <c r="H278" s="139">
        <f ca="1">IFERROR(__xludf.DUMMYFUNCTION("""COMPUTED_VALUE"""),11)</f>
        <v>11</v>
      </c>
      <c r="I278" s="140">
        <f ca="1">IFERROR(__xludf.DUMMYFUNCTION("""COMPUTED_VALUE"""),58222)</f>
        <v>58222</v>
      </c>
      <c r="J278" s="141">
        <f ca="1">IFERROR(__xludf.DUMMYFUNCTION("""COMPUTED_VALUE"""),5292.90909090909)</f>
        <v>5292.9090909090901</v>
      </c>
      <c r="K278" s="142">
        <f ca="1">IFERROR(__xludf.DUMMYFUNCTION("""COMPUTED_VALUE"""),3.88146666666666)</f>
        <v>3.8814666666666602</v>
      </c>
      <c r="L278" s="143" t="str">
        <f ca="1"/>
        <v>Wiris Variasi</v>
      </c>
      <c r="M278" s="127"/>
      <c r="N278" s="127"/>
      <c r="O278" s="127"/>
      <c r="P278" s="127"/>
      <c r="Q278" s="127"/>
      <c r="R278" s="127"/>
      <c r="S278" s="127"/>
      <c r="T278" s="127"/>
      <c r="U278" s="127"/>
      <c r="V278" s="127"/>
      <c r="W278" s="127"/>
      <c r="X278" s="127"/>
      <c r="Y278" s="127"/>
      <c r="Z278" s="127"/>
      <c r="AA278" s="127"/>
    </row>
    <row r="279" spans="1:27">
      <c r="A279" s="127">
        <f ca="1">IFERROR(__xludf.DUMMYFUNCTION("""COMPUTED_VALUE"""),174904221976312)</f>
        <v>174904221976312</v>
      </c>
      <c r="B279" s="127" t="str">
        <f ca="1">IFERROR(__xludf.DUMMYFUNCTION("""COMPUTED_VALUE"""),"120230588507090694")</f>
        <v>120230588507090694</v>
      </c>
      <c r="C279" s="127" t="str">
        <f ca="1">IFERROR(__xludf.DUMMYFUNCTION("""COMPUTED_VALUE"""),"Brahmana Tour")</f>
        <v>Brahmana Tour</v>
      </c>
      <c r="D279" s="138" t="str">
        <f ca="1">IFERROR(__xludf.DUMMYFUNCTION("""COMPUTED_VALUE"""),"https://wa.me/6282221896658")</f>
        <v>https://wa.me/6282221896658</v>
      </c>
      <c r="E279" s="139" t="str">
        <f ca="1">IFERROR(__xludf.DUMMYFUNCTION("""COMPUTED_VALUE"""),"6282221896658")</f>
        <v>6282221896658</v>
      </c>
      <c r="F279" s="139">
        <f ca="1">IFERROR(__xludf.DUMMYFUNCTION("""COMPUTED_VALUE"""),1267)</f>
        <v>1267</v>
      </c>
      <c r="G279" s="139">
        <f ca="1">IFERROR(__xludf.DUMMYFUNCTION("""COMPUTED_VALUE"""),56631.6)</f>
        <v>56631.6</v>
      </c>
      <c r="H279" s="139">
        <f ca="1">IFERROR(__xludf.DUMMYFUNCTION("""COMPUTED_VALUE"""),4)</f>
        <v>4</v>
      </c>
      <c r="I279" s="140">
        <f ca="1">IFERROR(__xludf.DUMMYFUNCTION("""COMPUTED_VALUE"""),66908)</f>
        <v>66908</v>
      </c>
      <c r="J279" s="141">
        <f ca="1">IFERROR(__xludf.DUMMYFUNCTION("""COMPUTED_VALUE"""),16727)</f>
        <v>16727</v>
      </c>
      <c r="K279" s="142">
        <f ca="1">IFERROR(__xludf.DUMMYFUNCTION("""COMPUTED_VALUE"""),4.46053333333333)</f>
        <v>4.4605333333333297</v>
      </c>
      <c r="L279" s="143" t="str">
        <f ca="1"/>
        <v>Wiris Variasi</v>
      </c>
      <c r="M279" s="127"/>
      <c r="N279" s="127"/>
      <c r="O279" s="127"/>
      <c r="P279" s="127"/>
      <c r="Q279" s="127"/>
      <c r="R279" s="127"/>
      <c r="S279" s="127"/>
      <c r="T279" s="127"/>
      <c r="U279" s="127"/>
      <c r="V279" s="127"/>
      <c r="W279" s="127"/>
      <c r="X279" s="127"/>
      <c r="Y279" s="127"/>
      <c r="Z279" s="127"/>
      <c r="AA279" s="127"/>
    </row>
    <row r="280" spans="1:27">
      <c r="A280" s="127">
        <f ca="1">IFERROR(__xludf.DUMMYFUNCTION("""COMPUTED_VALUE"""),174904221976312)</f>
        <v>174904221976312</v>
      </c>
      <c r="B280" s="127" t="str">
        <f ca="1">IFERROR(__xludf.DUMMYFUNCTION("""COMPUTED_VALUE"""),"120230588570800694")</f>
        <v>120230588570800694</v>
      </c>
      <c r="C280" s="127" t="str">
        <f ca="1">IFERROR(__xludf.DUMMYFUNCTION("""COMPUTED_VALUE"""),"Komodo Nusa")</f>
        <v>Komodo Nusa</v>
      </c>
      <c r="D280" s="138" t="str">
        <f ca="1">IFERROR(__xludf.DUMMYFUNCTION("""COMPUTED_VALUE"""),"https://wa.me/6281339823715")</f>
        <v>https://wa.me/6281339823715</v>
      </c>
      <c r="E280" s="139" t="str">
        <f ca="1">IFERROR(__xludf.DUMMYFUNCTION("""COMPUTED_VALUE"""),"6281339823715")</f>
        <v>6281339823715</v>
      </c>
      <c r="F280" s="139">
        <f ca="1">IFERROR(__xludf.DUMMYFUNCTION("""COMPUTED_VALUE"""),10068)</f>
        <v>10068</v>
      </c>
      <c r="G280" s="139">
        <f ca="1">IFERROR(__xludf.DUMMYFUNCTION("""COMPUTED_VALUE"""),15818.7)</f>
        <v>15818.7</v>
      </c>
      <c r="H280" s="139">
        <f ca="1">IFERROR(__xludf.DUMMYFUNCTION("""COMPUTED_VALUE"""),0)</f>
        <v>0</v>
      </c>
      <c r="I280" s="140">
        <f ca="1">IFERROR(__xludf.DUMMYFUNCTION("""COMPUTED_VALUE"""),130896)</f>
        <v>130896</v>
      </c>
      <c r="J280" s="141"/>
      <c r="K280" s="142">
        <f ca="1">IFERROR(__xludf.DUMMYFUNCTION("""COMPUTED_VALUE"""),8.7264)</f>
        <v>8.7263999999999999</v>
      </c>
      <c r="L280" s="143" t="str">
        <f ca="1"/>
        <v>Wiris Variasi</v>
      </c>
      <c r="M280" s="127"/>
      <c r="N280" s="127"/>
      <c r="O280" s="127"/>
      <c r="P280" s="127"/>
      <c r="Q280" s="127"/>
      <c r="R280" s="127"/>
      <c r="S280" s="127"/>
      <c r="T280" s="127"/>
      <c r="U280" s="127"/>
      <c r="V280" s="127"/>
      <c r="W280" s="127"/>
      <c r="X280" s="127"/>
      <c r="Y280" s="127"/>
      <c r="Z280" s="127"/>
      <c r="AA280" s="127"/>
    </row>
    <row r="281" spans="1:27">
      <c r="A281" s="127">
        <f ca="1">IFERROR(__xludf.DUMMYFUNCTION("""COMPUTED_VALUE"""),174904221976312)</f>
        <v>174904221976312</v>
      </c>
      <c r="B281" s="127" t="str">
        <f ca="1">IFERROR(__xludf.DUMMYFUNCTION("""COMPUTED_VALUE"""),"120230588843930694")</f>
        <v>120230588843930694</v>
      </c>
      <c r="C281" s="127" t="str">
        <f ca="1">IFERROR(__xludf.DUMMYFUNCTION("""COMPUTED_VALUE"""),"Rumah Sehat")</f>
        <v>Rumah Sehat</v>
      </c>
      <c r="D281" s="138" t="str">
        <f ca="1">IFERROR(__xludf.DUMMYFUNCTION("""COMPUTED_VALUE"""),"https://wa.me/6281320188313")</f>
        <v>https://wa.me/6281320188313</v>
      </c>
      <c r="E281" s="139" t="str">
        <f ca="1">IFERROR(__xludf.DUMMYFUNCTION("""COMPUTED_VALUE"""),"6281320188313")</f>
        <v>6281320188313</v>
      </c>
      <c r="F281" s="139">
        <f ca="1">IFERROR(__xludf.DUMMYFUNCTION("""COMPUTED_VALUE"""),3328)</f>
        <v>3328</v>
      </c>
      <c r="G281" s="139">
        <f ca="1">IFERROR(__xludf.DUMMYFUNCTION("""COMPUTED_VALUE"""),18501)</f>
        <v>18501</v>
      </c>
      <c r="H281" s="139">
        <f ca="1">IFERROR(__xludf.DUMMYFUNCTION("""COMPUTED_VALUE"""),11)</f>
        <v>11</v>
      </c>
      <c r="I281" s="140">
        <f ca="1">IFERROR(__xludf.DUMMYFUNCTION("""COMPUTED_VALUE"""),67336)</f>
        <v>67336</v>
      </c>
      <c r="J281" s="141">
        <f ca="1">IFERROR(__xludf.DUMMYFUNCTION("""COMPUTED_VALUE"""),6121.45454545454)</f>
        <v>6121.4545454545396</v>
      </c>
      <c r="K281" s="142">
        <f ca="1">IFERROR(__xludf.DUMMYFUNCTION("""COMPUTED_VALUE"""),4.48906666666666)</f>
        <v>4.4890666666666599</v>
      </c>
      <c r="L281" s="143" t="str">
        <f ca="1"/>
        <v>Wiris Variasi</v>
      </c>
      <c r="M281" s="127"/>
      <c r="N281" s="127"/>
      <c r="O281" s="127"/>
      <c r="P281" s="127"/>
      <c r="Q281" s="127"/>
      <c r="R281" s="127"/>
      <c r="S281" s="127"/>
      <c r="T281" s="127"/>
      <c r="U281" s="127"/>
      <c r="V281" s="127"/>
      <c r="W281" s="127"/>
      <c r="X281" s="127"/>
      <c r="Y281" s="127"/>
      <c r="Z281" s="127"/>
      <c r="AA281" s="127"/>
    </row>
    <row r="282" spans="1:27">
      <c r="A282" s="127">
        <f ca="1">IFERROR(__xludf.DUMMYFUNCTION("""COMPUTED_VALUE"""),174904221976312)</f>
        <v>174904221976312</v>
      </c>
      <c r="B282" s="127" t="str">
        <f ca="1">IFERROR(__xludf.DUMMYFUNCTION("""COMPUTED_VALUE"""),"120230589652200694")</f>
        <v>120230589652200694</v>
      </c>
      <c r="C282" s="127" t="str">
        <f ca="1">IFERROR(__xludf.DUMMYFUNCTION("""COMPUTED_VALUE"""),"Jom Liburan")</f>
        <v>Jom Liburan</v>
      </c>
      <c r="D282" s="138" t="str">
        <f ca="1">IFERROR(__xludf.DUMMYFUNCTION("""COMPUTED_VALUE"""),"https://wa.me/6287864812126")</f>
        <v>https://wa.me/6287864812126</v>
      </c>
      <c r="E282" s="139" t="str">
        <f ca="1">IFERROR(__xludf.DUMMYFUNCTION("""COMPUTED_VALUE"""),"6287864812126")</f>
        <v>6287864812126</v>
      </c>
      <c r="F282" s="139">
        <f ca="1">IFERROR(__xludf.DUMMYFUNCTION("""COMPUTED_VALUE"""),8335)</f>
        <v>8335</v>
      </c>
      <c r="G282" s="139">
        <f ca="1">IFERROR(__xludf.DUMMYFUNCTION("""COMPUTED_VALUE"""),7482.6)</f>
        <v>7482.6</v>
      </c>
      <c r="H282" s="139">
        <f ca="1">IFERROR(__xludf.DUMMYFUNCTION("""COMPUTED_VALUE"""),0)</f>
        <v>0</v>
      </c>
      <c r="I282" s="140">
        <f ca="1">IFERROR(__xludf.DUMMYFUNCTION("""COMPUTED_VALUE"""),63282)</f>
        <v>63282</v>
      </c>
      <c r="J282" s="141"/>
      <c r="K282" s="142">
        <f ca="1">IFERROR(__xludf.DUMMYFUNCTION("""COMPUTED_VALUE"""),4.2188)</f>
        <v>4.2187999999999999</v>
      </c>
      <c r="L282" s="143" t="str">
        <f ca="1"/>
        <v>Wiris Variasi</v>
      </c>
      <c r="M282" s="127"/>
      <c r="N282" s="127"/>
      <c r="O282" s="127"/>
      <c r="P282" s="127"/>
      <c r="Q282" s="127"/>
      <c r="R282" s="127"/>
      <c r="S282" s="127"/>
      <c r="T282" s="127"/>
      <c r="U282" s="127"/>
      <c r="V282" s="127"/>
      <c r="W282" s="127"/>
      <c r="X282" s="127"/>
      <c r="Y282" s="127"/>
      <c r="Z282" s="127"/>
      <c r="AA282" s="127"/>
    </row>
    <row r="283" spans="1:27">
      <c r="A283" s="127">
        <f ca="1">IFERROR(__xludf.DUMMYFUNCTION("""COMPUTED_VALUE"""),174904221976312)</f>
        <v>174904221976312</v>
      </c>
      <c r="B283" s="127" t="str">
        <f ca="1">IFERROR(__xludf.DUMMYFUNCTION("""COMPUTED_VALUE"""),"120230643397020694")</f>
        <v>120230643397020694</v>
      </c>
      <c r="C283" s="127" t="str">
        <f ca="1">IFERROR(__xludf.DUMMYFUNCTION("""COMPUTED_VALUE"""),"PT Sakha")</f>
        <v>PT Sakha</v>
      </c>
      <c r="D283" s="138" t="str">
        <f ca="1">IFERROR(__xludf.DUMMYFUNCTION("""COMPUTED_VALUE"""),"https://wa.me/628561302381")</f>
        <v>https://wa.me/628561302381</v>
      </c>
      <c r="E283" s="139" t="str">
        <f ca="1">IFERROR(__xludf.DUMMYFUNCTION("""COMPUTED_VALUE"""),"628561302381")</f>
        <v>628561302381</v>
      </c>
      <c r="F283" s="139">
        <f ca="1">IFERROR(__xludf.DUMMYFUNCTION("""COMPUTED_VALUE"""),1593)</f>
        <v>1593</v>
      </c>
      <c r="G283" s="139">
        <f ca="1">IFERROR(__xludf.DUMMYFUNCTION("""COMPUTED_VALUE"""),47676.6666666666)</f>
        <v>47676.666666666599</v>
      </c>
      <c r="H283" s="139">
        <f ca="1">IFERROR(__xludf.DUMMYFUNCTION("""COMPUTED_VALUE"""),4)</f>
        <v>4</v>
      </c>
      <c r="I283" s="140">
        <f ca="1">IFERROR(__xludf.DUMMYFUNCTION("""COMPUTED_VALUE"""),65746)</f>
        <v>65746</v>
      </c>
      <c r="J283" s="141">
        <f ca="1">IFERROR(__xludf.DUMMYFUNCTION("""COMPUTED_VALUE"""),16436.5)</f>
        <v>16436.5</v>
      </c>
      <c r="K283" s="142">
        <f ca="1">IFERROR(__xludf.DUMMYFUNCTION("""COMPUTED_VALUE"""),4.38306666666666)</f>
        <v>4.38306666666666</v>
      </c>
      <c r="L283" s="143" t="str">
        <f ca="1"/>
        <v>Wiris Variasi</v>
      </c>
      <c r="M283" s="127"/>
      <c r="N283" s="127"/>
      <c r="O283" s="127"/>
      <c r="P283" s="127"/>
      <c r="Q283" s="127"/>
      <c r="R283" s="127"/>
      <c r="S283" s="127"/>
      <c r="T283" s="127"/>
      <c r="U283" s="127"/>
      <c r="V283" s="127"/>
      <c r="W283" s="127"/>
      <c r="X283" s="127"/>
      <c r="Y283" s="127"/>
      <c r="Z283" s="127"/>
      <c r="AA283" s="127"/>
    </row>
    <row r="284" spans="1:27">
      <c r="A284" s="127">
        <f ca="1">IFERROR(__xludf.DUMMYFUNCTION("""COMPUTED_VALUE"""),174904221976312)</f>
        <v>174904221976312</v>
      </c>
      <c r="B284" s="127" t="str">
        <f ca="1">IFERROR(__xludf.DUMMYFUNCTION("""COMPUTED_VALUE"""),"120230650450110694")</f>
        <v>120230650450110694</v>
      </c>
      <c r="C284" s="127" t="str">
        <f ca="1">IFERROR(__xludf.DUMMYFUNCTION("""COMPUTED_VALUE"""),"massage dan")</f>
        <v>massage dan</v>
      </c>
      <c r="D284" s="138" t="str">
        <f ca="1">IFERROR(__xludf.DUMMYFUNCTION("""COMPUTED_VALUE"""),"https://wa.me/6285780314346")</f>
        <v>https://wa.me/6285780314346</v>
      </c>
      <c r="E284" s="139" t="str">
        <f ca="1">IFERROR(__xludf.DUMMYFUNCTION("""COMPUTED_VALUE"""),"6285780314346")</f>
        <v>6285780314346</v>
      </c>
      <c r="F284" s="139">
        <f ca="1">IFERROR(__xludf.DUMMYFUNCTION("""COMPUTED_VALUE"""),3378)</f>
        <v>3378</v>
      </c>
      <c r="G284" s="139">
        <f ca="1">IFERROR(__xludf.DUMMYFUNCTION("""COMPUTED_VALUE"""),17692.5)</f>
        <v>17692.5</v>
      </c>
      <c r="H284" s="139">
        <f ca="1">IFERROR(__xludf.DUMMYFUNCTION("""COMPUTED_VALUE"""),6)</f>
        <v>6</v>
      </c>
      <c r="I284" s="140">
        <f ca="1">IFERROR(__xludf.DUMMYFUNCTION("""COMPUTED_VALUE"""),67414)</f>
        <v>67414</v>
      </c>
      <c r="J284" s="141">
        <f ca="1">IFERROR(__xludf.DUMMYFUNCTION("""COMPUTED_VALUE"""),11235.6666666666)</f>
        <v>11235.666666666601</v>
      </c>
      <c r="K284" s="142">
        <f ca="1">IFERROR(__xludf.DUMMYFUNCTION("""COMPUTED_VALUE"""),4.49426666666666)</f>
        <v>4.4942666666666602</v>
      </c>
      <c r="L284" s="143" t="str">
        <f ca="1"/>
        <v>Wiris Variasi</v>
      </c>
      <c r="M284" s="127"/>
      <c r="N284" s="127"/>
      <c r="O284" s="127"/>
      <c r="P284" s="127"/>
      <c r="Q284" s="127"/>
      <c r="R284" s="127"/>
      <c r="S284" s="127"/>
      <c r="T284" s="127"/>
      <c r="U284" s="127"/>
      <c r="V284" s="127"/>
      <c r="W284" s="127"/>
      <c r="X284" s="127"/>
      <c r="Y284" s="127"/>
      <c r="Z284" s="127"/>
      <c r="AA284" s="127"/>
    </row>
    <row r="285" spans="1:27">
      <c r="A285" s="127">
        <f ca="1">IFERROR(__xludf.DUMMYFUNCTION("""COMPUTED_VALUE"""),174904221976312)</f>
        <v>174904221976312</v>
      </c>
      <c r="B285" s="127" t="str">
        <f ca="1">IFERROR(__xludf.DUMMYFUNCTION("""COMPUTED_VALUE"""),"120230722040750694")</f>
        <v>120230722040750694</v>
      </c>
      <c r="C285" s="127" t="str">
        <f ca="1">IFERROR(__xludf.DUMMYFUNCTION("""COMPUTED_VALUE"""),"PUSAT TERAPI")</f>
        <v>PUSAT TERAPI</v>
      </c>
      <c r="D285" s="138" t="str">
        <f ca="1">IFERROR(__xludf.DUMMYFUNCTION("""COMPUTED_VALUE"""),"https://wa.me/6285240194507")</f>
        <v>https://wa.me/6285240194507</v>
      </c>
      <c r="E285" s="139" t="str">
        <f ca="1">IFERROR(__xludf.DUMMYFUNCTION("""COMPUTED_VALUE"""),"6285240194507")</f>
        <v>6285240194507</v>
      </c>
      <c r="F285" s="139">
        <f ca="1">IFERROR(__xludf.DUMMYFUNCTION("""COMPUTED_VALUE"""),6586)</f>
        <v>6586</v>
      </c>
      <c r="G285" s="139">
        <f ca="1">IFERROR(__xludf.DUMMYFUNCTION("""COMPUTED_VALUE"""),10019.8)</f>
        <v>10019.799999999999</v>
      </c>
      <c r="H285" s="139">
        <f ca="1">IFERROR(__xludf.DUMMYFUNCTION("""COMPUTED_VALUE"""),17)</f>
        <v>17</v>
      </c>
      <c r="I285" s="140">
        <f ca="1">IFERROR(__xludf.DUMMYFUNCTION("""COMPUTED_VALUE"""),68610)</f>
        <v>68610</v>
      </c>
      <c r="J285" s="141">
        <f ca="1">IFERROR(__xludf.DUMMYFUNCTION("""COMPUTED_VALUE"""),4035.88235294117)</f>
        <v>4035.8823529411702</v>
      </c>
      <c r="K285" s="142">
        <f ca="1">IFERROR(__xludf.DUMMYFUNCTION("""COMPUTED_VALUE"""),4.574)</f>
        <v>4.5739999999999998</v>
      </c>
      <c r="L285" s="143" t="str">
        <f ca="1"/>
        <v>Wiris Variasi</v>
      </c>
      <c r="M285" s="127"/>
      <c r="N285" s="127"/>
      <c r="O285" s="127"/>
      <c r="P285" s="127"/>
      <c r="Q285" s="127"/>
      <c r="R285" s="127"/>
      <c r="S285" s="127"/>
      <c r="T285" s="127"/>
      <c r="U285" s="127"/>
      <c r="V285" s="127"/>
      <c r="W285" s="127"/>
      <c r="X285" s="127"/>
      <c r="Y285" s="127"/>
      <c r="Z285" s="127"/>
      <c r="AA285" s="127"/>
    </row>
    <row r="286" spans="1:27">
      <c r="A286" s="127">
        <f ca="1">IFERROR(__xludf.DUMMYFUNCTION("""COMPUTED_VALUE"""),174904221976312)</f>
        <v>174904221976312</v>
      </c>
      <c r="B286" s="127" t="str">
        <f ca="1">IFERROR(__xludf.DUMMYFUNCTION("""COMPUTED_VALUE"""),"120230722106900694")</f>
        <v>120230722106900694</v>
      </c>
      <c r="C286" s="127" t="str">
        <f ca="1">IFERROR(__xludf.DUMMYFUNCTION("""COMPUTED_VALUE"""),"Darma travel")</f>
        <v>Darma travel</v>
      </c>
      <c r="D286" s="138" t="str">
        <f ca="1">IFERROR(__xludf.DUMMYFUNCTION("""COMPUTED_VALUE"""),"https://wa.me/6285189492568")</f>
        <v>https://wa.me/6285189492568</v>
      </c>
      <c r="E286" s="139" t="str">
        <f ca="1">IFERROR(__xludf.DUMMYFUNCTION("""COMPUTED_VALUE"""),"6285189492568")</f>
        <v>6285189492568</v>
      </c>
      <c r="F286" s="139">
        <f ca="1">IFERROR(__xludf.DUMMYFUNCTION("""COMPUTED_VALUE"""),5916)</f>
        <v>5916</v>
      </c>
      <c r="G286" s="139">
        <f ca="1">IFERROR(__xludf.DUMMYFUNCTION("""COMPUTED_VALUE"""),11088.6)</f>
        <v>11088.6</v>
      </c>
      <c r="H286" s="139">
        <f ca="1">IFERROR(__xludf.DUMMYFUNCTION("""COMPUTED_VALUE"""),13)</f>
        <v>13</v>
      </c>
      <c r="I286" s="140">
        <f ca="1">IFERROR(__xludf.DUMMYFUNCTION("""COMPUTED_VALUE"""),66761)</f>
        <v>66761</v>
      </c>
      <c r="J286" s="141">
        <f ca="1">IFERROR(__xludf.DUMMYFUNCTION("""COMPUTED_VALUE"""),5135.46153846153)</f>
        <v>5135.4615384615299</v>
      </c>
      <c r="K286" s="142">
        <f ca="1">IFERROR(__xludf.DUMMYFUNCTION("""COMPUTED_VALUE"""),4.45073333333333)</f>
        <v>4.4507333333333303</v>
      </c>
      <c r="L286" s="143" t="str">
        <f ca="1"/>
        <v>Wiris Variasi</v>
      </c>
      <c r="M286" s="127"/>
      <c r="N286" s="127"/>
      <c r="O286" s="127"/>
      <c r="P286" s="127"/>
      <c r="Q286" s="127"/>
      <c r="R286" s="127"/>
      <c r="S286" s="127"/>
      <c r="T286" s="127"/>
      <c r="U286" s="127"/>
      <c r="V286" s="127"/>
      <c r="W286" s="127"/>
      <c r="X286" s="127"/>
      <c r="Y286" s="127"/>
      <c r="Z286" s="127"/>
      <c r="AA286" s="127"/>
    </row>
    <row r="287" spans="1:27">
      <c r="A287" s="127">
        <f ca="1">IFERROR(__xludf.DUMMYFUNCTION("""COMPUTED_VALUE"""),174904221976312)</f>
        <v>174904221976312</v>
      </c>
      <c r="B287" s="127" t="str">
        <f ca="1">IFERROR(__xludf.DUMMYFUNCTION("""COMPUTED_VALUE"""),"120230722176300694")</f>
        <v>120230722176300694</v>
      </c>
      <c r="C287" s="127" t="str">
        <f ca="1">IFERROR(__xludf.DUMMYFUNCTION("""COMPUTED_VALUE"""),"Panda Wound")</f>
        <v>Panda Wound</v>
      </c>
      <c r="D287" s="138" t="str">
        <f ca="1">IFERROR(__xludf.DUMMYFUNCTION("""COMPUTED_VALUE"""),"https://wa.me/6285811111804")</f>
        <v>https://wa.me/6285811111804</v>
      </c>
      <c r="E287" s="139" t="str">
        <f ca="1">IFERROR(__xludf.DUMMYFUNCTION("""COMPUTED_VALUE"""),"6285811111804")</f>
        <v>6285811111804</v>
      </c>
      <c r="F287" s="139">
        <f ca="1">IFERROR(__xludf.DUMMYFUNCTION("""COMPUTED_VALUE"""),1732)</f>
        <v>1732</v>
      </c>
      <c r="G287" s="139">
        <f ca="1">IFERROR(__xludf.DUMMYFUNCTION("""COMPUTED_VALUE"""),36632.4)</f>
        <v>36632.400000000001</v>
      </c>
      <c r="H287" s="139">
        <f ca="1">IFERROR(__xludf.DUMMYFUNCTION("""COMPUTED_VALUE"""),0)</f>
        <v>0</v>
      </c>
      <c r="I287" s="140">
        <f ca="1">IFERROR(__xludf.DUMMYFUNCTION("""COMPUTED_VALUE"""),67814)</f>
        <v>67814</v>
      </c>
      <c r="J287" s="141"/>
      <c r="K287" s="142">
        <f ca="1">IFERROR(__xludf.DUMMYFUNCTION("""COMPUTED_VALUE"""),4.52093333333333)</f>
        <v>4.5209333333333301</v>
      </c>
      <c r="L287" s="143" t="str">
        <f ca="1"/>
        <v>Wiris Variasi</v>
      </c>
      <c r="M287" s="127"/>
      <c r="N287" s="127"/>
      <c r="O287" s="127"/>
      <c r="P287" s="127"/>
      <c r="Q287" s="127"/>
      <c r="R287" s="127"/>
      <c r="S287" s="127"/>
      <c r="T287" s="127"/>
      <c r="U287" s="127"/>
      <c r="V287" s="127"/>
      <c r="W287" s="127"/>
      <c r="X287" s="127"/>
      <c r="Y287" s="127"/>
      <c r="Z287" s="127"/>
      <c r="AA287" s="127"/>
    </row>
    <row r="288" spans="1:27">
      <c r="A288" s="127">
        <f ca="1">IFERROR(__xludf.DUMMYFUNCTION("""COMPUTED_VALUE"""),174904221976312)</f>
        <v>174904221976312</v>
      </c>
      <c r="B288" s="127" t="str">
        <f ca="1">IFERROR(__xludf.DUMMYFUNCTION("""COMPUTED_VALUE"""),"120230722239150694")</f>
        <v>120230722239150694</v>
      </c>
      <c r="C288" s="127" t="str">
        <f ca="1">IFERROR(__xludf.DUMMYFUNCTION("""COMPUTED_VALUE"""),"Tegarrentcar")</f>
        <v>Tegarrentcar</v>
      </c>
      <c r="D288" s="138" t="str">
        <f ca="1">IFERROR(__xludf.DUMMYFUNCTION("""COMPUTED_VALUE"""),"https://wa.me/6281313889118")</f>
        <v>https://wa.me/6281313889118</v>
      </c>
      <c r="E288" s="139" t="str">
        <f ca="1">IFERROR(__xludf.DUMMYFUNCTION("""COMPUTED_VALUE"""),"6281313889118")</f>
        <v>6281313889118</v>
      </c>
      <c r="F288" s="139">
        <f ca="1">IFERROR(__xludf.DUMMYFUNCTION("""COMPUTED_VALUE"""),1215)</f>
        <v>1215</v>
      </c>
      <c r="G288" s="139">
        <f ca="1">IFERROR(__xludf.DUMMYFUNCTION("""COMPUTED_VALUE"""),49538.2)</f>
        <v>49538.2</v>
      </c>
      <c r="H288" s="139">
        <f ca="1">IFERROR(__xludf.DUMMYFUNCTION("""COMPUTED_VALUE"""),8)</f>
        <v>8</v>
      </c>
      <c r="I288" s="140">
        <f ca="1">IFERROR(__xludf.DUMMYFUNCTION("""COMPUTED_VALUE"""),61535)</f>
        <v>61535</v>
      </c>
      <c r="J288" s="141">
        <f ca="1">IFERROR(__xludf.DUMMYFUNCTION("""COMPUTED_VALUE"""),7691.875)</f>
        <v>7691.875</v>
      </c>
      <c r="K288" s="142">
        <f ca="1">IFERROR(__xludf.DUMMYFUNCTION("""COMPUTED_VALUE"""),4.10233333333333)</f>
        <v>4.1023333333333296</v>
      </c>
      <c r="L288" s="143" t="str">
        <f ca="1"/>
        <v>Wiris Variasi</v>
      </c>
      <c r="M288" s="127"/>
      <c r="N288" s="127"/>
      <c r="O288" s="127"/>
      <c r="P288" s="127"/>
      <c r="Q288" s="127"/>
      <c r="R288" s="127"/>
      <c r="S288" s="127"/>
      <c r="T288" s="127"/>
      <c r="U288" s="127"/>
      <c r="V288" s="127"/>
      <c r="W288" s="127"/>
      <c r="X288" s="127"/>
      <c r="Y288" s="127"/>
      <c r="Z288" s="127"/>
      <c r="AA288" s="127"/>
    </row>
    <row r="289" spans="1:27">
      <c r="A289" s="127">
        <f ca="1">IFERROR(__xludf.DUMMYFUNCTION("""COMPUTED_VALUE"""),174904221976312)</f>
        <v>174904221976312</v>
      </c>
      <c r="B289" s="127" t="str">
        <f ca="1">IFERROR(__xludf.DUMMYFUNCTION("""COMPUTED_VALUE"""),"120230722307480694")</f>
        <v>120230722307480694</v>
      </c>
      <c r="C289" s="127" t="str">
        <f ca="1">IFERROR(__xludf.DUMMYFUNCTION("""COMPUTED_VALUE"""),"Terapi Pijit")</f>
        <v>Terapi Pijit</v>
      </c>
      <c r="D289" s="138" t="str">
        <f ca="1">IFERROR(__xludf.DUMMYFUNCTION("""COMPUTED_VALUE"""),"https://wa.me/6282112073155")</f>
        <v>https://wa.me/6282112073155</v>
      </c>
      <c r="E289" s="139" t="str">
        <f ca="1">IFERROR(__xludf.DUMMYFUNCTION("""COMPUTED_VALUE"""),"6282112073155")</f>
        <v>6282112073155</v>
      </c>
      <c r="F289" s="139">
        <f ca="1">IFERROR(__xludf.DUMMYFUNCTION("""COMPUTED_VALUE"""),5405)</f>
        <v>5405</v>
      </c>
      <c r="G289" s="139">
        <f ca="1">IFERROR(__xludf.DUMMYFUNCTION("""COMPUTED_VALUE"""),11366)</f>
        <v>11366</v>
      </c>
      <c r="H289" s="139">
        <f ca="1">IFERROR(__xludf.DUMMYFUNCTION("""COMPUTED_VALUE"""),35)</f>
        <v>35</v>
      </c>
      <c r="I289" s="140">
        <f ca="1">IFERROR(__xludf.DUMMYFUNCTION("""COMPUTED_VALUE"""),71212)</f>
        <v>71212</v>
      </c>
      <c r="J289" s="141">
        <f ca="1">IFERROR(__xludf.DUMMYFUNCTION("""COMPUTED_VALUE"""),2034.62857142857)</f>
        <v>2034.62857142857</v>
      </c>
      <c r="K289" s="142">
        <f ca="1">IFERROR(__xludf.DUMMYFUNCTION("""COMPUTED_VALUE"""),4.74746666666666)</f>
        <v>4.7474666666666598</v>
      </c>
      <c r="L289" s="143" t="str">
        <f ca="1"/>
        <v>Wiris Variasi</v>
      </c>
      <c r="M289" s="127"/>
      <c r="N289" s="127"/>
      <c r="O289" s="127"/>
      <c r="P289" s="127"/>
      <c r="Q289" s="127"/>
      <c r="R289" s="127"/>
      <c r="S289" s="127"/>
      <c r="T289" s="127"/>
      <c r="U289" s="127"/>
      <c r="V289" s="127"/>
      <c r="W289" s="127"/>
      <c r="X289" s="127"/>
      <c r="Y289" s="127"/>
      <c r="Z289" s="127"/>
      <c r="AA289" s="127"/>
    </row>
    <row r="290" spans="1:27">
      <c r="A290" s="127">
        <f ca="1">IFERROR(__xludf.DUMMYFUNCTION("""COMPUTED_VALUE"""),174904221976312)</f>
        <v>174904221976312</v>
      </c>
      <c r="B290" s="127" t="str">
        <f ca="1">IFERROR(__xludf.DUMMYFUNCTION("""COMPUTED_VALUE"""),"120230772135890694")</f>
        <v>120230772135890694</v>
      </c>
      <c r="C290" s="127" t="str">
        <f ca="1">IFERROR(__xludf.DUMMYFUNCTION("""COMPUTED_VALUE"""),"Kuladika")</f>
        <v>Kuladika</v>
      </c>
      <c r="D290" s="138" t="str">
        <f ca="1">IFERROR(__xludf.DUMMYFUNCTION("""COMPUTED_VALUE"""),"https://wa.me/628195131666")</f>
        <v>https://wa.me/628195131666</v>
      </c>
      <c r="E290" s="139" t="str">
        <f ca="1">IFERROR(__xludf.DUMMYFUNCTION("""COMPUTED_VALUE"""),"628195131666")</f>
        <v>628195131666</v>
      </c>
      <c r="F290" s="139">
        <f ca="1">IFERROR(__xludf.DUMMYFUNCTION("""COMPUTED_VALUE"""),5396)</f>
        <v>5396</v>
      </c>
      <c r="G290" s="139">
        <f ca="1">IFERROR(__xludf.DUMMYFUNCTION("""COMPUTED_VALUE"""),11641)</f>
        <v>11641</v>
      </c>
      <c r="H290" s="139">
        <f ca="1">IFERROR(__xludf.DUMMYFUNCTION("""COMPUTED_VALUE"""),1)</f>
        <v>1</v>
      </c>
      <c r="I290" s="140">
        <f ca="1">IFERROR(__xludf.DUMMYFUNCTION("""COMPUTED_VALUE"""),69583)</f>
        <v>69583</v>
      </c>
      <c r="J290" s="141">
        <f ca="1">IFERROR(__xludf.DUMMYFUNCTION("""COMPUTED_VALUE"""),69583)</f>
        <v>69583</v>
      </c>
      <c r="K290" s="142">
        <f ca="1">IFERROR(__xludf.DUMMYFUNCTION("""COMPUTED_VALUE"""),4.63886666666666)</f>
        <v>4.6388666666666598</v>
      </c>
      <c r="L290" s="143" t="str">
        <f ca="1"/>
        <v>Wiris Variasi</v>
      </c>
      <c r="M290" s="127"/>
      <c r="N290" s="127"/>
      <c r="O290" s="127"/>
      <c r="P290" s="127"/>
      <c r="Q290" s="127"/>
      <c r="R290" s="127"/>
      <c r="S290" s="127"/>
      <c r="T290" s="127"/>
      <c r="U290" s="127"/>
      <c r="V290" s="127"/>
      <c r="W290" s="127"/>
      <c r="X290" s="127"/>
      <c r="Y290" s="127"/>
      <c r="Z290" s="127"/>
      <c r="AA290" s="127"/>
    </row>
    <row r="291" spans="1:27">
      <c r="A291" s="127">
        <f ca="1">IFERROR(__xludf.DUMMYFUNCTION("""COMPUTED_VALUE"""),174904221976312)</f>
        <v>174904221976312</v>
      </c>
      <c r="B291" s="127" t="str">
        <f ca="1">IFERROR(__xludf.DUMMYFUNCTION("""COMPUTED_VALUE"""),"120230773935980694")</f>
        <v>120230773935980694</v>
      </c>
      <c r="C291" s="127" t="str">
        <f ca="1">IFERROR(__xludf.DUMMYFUNCTION("""COMPUTED_VALUE"""),"Go Kretek")</f>
        <v>Go Kretek</v>
      </c>
      <c r="D291" s="138" t="str">
        <f ca="1">IFERROR(__xludf.DUMMYFUNCTION("""COMPUTED_VALUE"""),"https://wa.me/628815361682")</f>
        <v>https://wa.me/628815361682</v>
      </c>
      <c r="E291" s="139" t="str">
        <f ca="1">IFERROR(__xludf.DUMMYFUNCTION("""COMPUTED_VALUE"""),"628815361682")</f>
        <v>628815361682</v>
      </c>
      <c r="F291" s="139">
        <f ca="1">IFERROR(__xludf.DUMMYFUNCTION("""COMPUTED_VALUE"""),9512)</f>
        <v>9512</v>
      </c>
      <c r="G291" s="139">
        <f ca="1">IFERROR(__xludf.DUMMYFUNCTION("""COMPUTED_VALUE"""),7807.5)</f>
        <v>7807.5</v>
      </c>
      <c r="H291" s="139">
        <f ca="1">IFERROR(__xludf.DUMMYFUNCTION("""COMPUTED_VALUE"""),32)</f>
        <v>32</v>
      </c>
      <c r="I291" s="140">
        <f ca="1">IFERROR(__xludf.DUMMYFUNCTION("""COMPUTED_VALUE"""),77124)</f>
        <v>77124</v>
      </c>
      <c r="J291" s="141">
        <f ca="1">IFERROR(__xludf.DUMMYFUNCTION("""COMPUTED_VALUE"""),2410.125)</f>
        <v>2410.125</v>
      </c>
      <c r="K291" s="142">
        <f ca="1">IFERROR(__xludf.DUMMYFUNCTION("""COMPUTED_VALUE"""),5.1416)</f>
        <v>5.1416000000000004</v>
      </c>
      <c r="L291" s="143" t="str">
        <f ca="1"/>
        <v>Wiris Variasi</v>
      </c>
      <c r="M291" s="127"/>
      <c r="N291" s="127"/>
      <c r="O291" s="127"/>
      <c r="P291" s="127"/>
      <c r="Q291" s="127"/>
      <c r="R291" s="127"/>
      <c r="S291" s="127"/>
      <c r="T291" s="127"/>
      <c r="U291" s="127"/>
      <c r="V291" s="127"/>
      <c r="W291" s="127"/>
      <c r="X291" s="127"/>
      <c r="Y291" s="127"/>
      <c r="Z291" s="127"/>
      <c r="AA291" s="127"/>
    </row>
    <row r="292" spans="1:27">
      <c r="A292" s="127">
        <f ca="1">IFERROR(__xludf.DUMMYFUNCTION("""COMPUTED_VALUE"""),174904221976312)</f>
        <v>174904221976312</v>
      </c>
      <c r="B292" s="127" t="str">
        <f ca="1">IFERROR(__xludf.DUMMYFUNCTION("""COMPUTED_VALUE"""),"120230774466620694")</f>
        <v>120230774466620694</v>
      </c>
      <c r="C292" s="127" t="str">
        <f ca="1">IFERROR(__xludf.DUMMYFUNCTION("""COMPUTED_VALUE"""),"Transport lombok")</f>
        <v>Transport lombok</v>
      </c>
      <c r="D292" s="138" t="str">
        <f ca="1">IFERROR(__xludf.DUMMYFUNCTION("""COMPUTED_VALUE"""),"https://wa.me/6285967129366")</f>
        <v>https://wa.me/6285967129366</v>
      </c>
      <c r="E292" s="139" t="str">
        <f ca="1">IFERROR(__xludf.DUMMYFUNCTION("""COMPUTED_VALUE"""),"6285967129366")</f>
        <v>6285967129366</v>
      </c>
      <c r="F292" s="139">
        <f ca="1">IFERROR(__xludf.DUMMYFUNCTION("""COMPUTED_VALUE"""),1594)</f>
        <v>1594</v>
      </c>
      <c r="G292" s="139">
        <f ca="1">IFERROR(__xludf.DUMMYFUNCTION("""COMPUTED_VALUE"""),44236.3333333333)</f>
        <v>44236.333333333299</v>
      </c>
      <c r="H292" s="139">
        <f ca="1">IFERROR(__xludf.DUMMYFUNCTION("""COMPUTED_VALUE"""),8)</f>
        <v>8</v>
      </c>
      <c r="I292" s="140">
        <f ca="1">IFERROR(__xludf.DUMMYFUNCTION("""COMPUTED_VALUE"""),73502)</f>
        <v>73502</v>
      </c>
      <c r="J292" s="141">
        <f ca="1">IFERROR(__xludf.DUMMYFUNCTION("""COMPUTED_VALUE"""),9187.75)</f>
        <v>9187.75</v>
      </c>
      <c r="K292" s="142">
        <f ca="1">IFERROR(__xludf.DUMMYFUNCTION("""COMPUTED_VALUE"""),4.90013333333333)</f>
        <v>4.9001333333333301</v>
      </c>
      <c r="L292" s="143" t="str">
        <f ca="1"/>
        <v>Wiris Variasi</v>
      </c>
      <c r="M292" s="127"/>
      <c r="N292" s="127"/>
      <c r="O292" s="127"/>
      <c r="P292" s="127"/>
      <c r="Q292" s="127"/>
      <c r="R292" s="127"/>
      <c r="S292" s="127"/>
      <c r="T292" s="127"/>
      <c r="U292" s="127"/>
      <c r="V292" s="127"/>
      <c r="W292" s="127"/>
      <c r="X292" s="127"/>
      <c r="Y292" s="127"/>
      <c r="Z292" s="127"/>
      <c r="AA292" s="127"/>
    </row>
    <row r="293" spans="1:27">
      <c r="A293" s="127">
        <f ca="1">IFERROR(__xludf.DUMMYFUNCTION("""COMPUTED_VALUE"""),174904221976312)</f>
        <v>174904221976312</v>
      </c>
      <c r="B293" s="127" t="str">
        <f ca="1">IFERROR(__xludf.DUMMYFUNCTION("""COMPUTED_VALUE"""),"120230774682990694")</f>
        <v>120230774682990694</v>
      </c>
      <c r="C293" s="127" t="str">
        <f ca="1">IFERROR(__xludf.DUMMYFUNCTION("""COMPUTED_VALUE"""),"HITSBAH TRANSPORT")</f>
        <v>HITSBAH TRANSPORT</v>
      </c>
      <c r="D293" s="138" t="str">
        <f ca="1">IFERROR(__xludf.DUMMYFUNCTION("""COMPUTED_VALUE"""),"https://wa.me/6289514176661")</f>
        <v>https://wa.me/6289514176661</v>
      </c>
      <c r="E293" s="139" t="str">
        <f ca="1">IFERROR(__xludf.DUMMYFUNCTION("""COMPUTED_VALUE"""),"6289514176661")</f>
        <v>6289514176661</v>
      </c>
      <c r="F293" s="139">
        <f ca="1">IFERROR(__xludf.DUMMYFUNCTION("""COMPUTED_VALUE"""),10132)</f>
        <v>10132</v>
      </c>
      <c r="G293" s="139">
        <f ca="1">IFERROR(__xludf.DUMMYFUNCTION("""COMPUTED_VALUE"""),9912.375)</f>
        <v>9912.375</v>
      </c>
      <c r="H293" s="139">
        <f ca="1">IFERROR(__xludf.DUMMYFUNCTION("""COMPUTED_VALUE"""),30)</f>
        <v>30</v>
      </c>
      <c r="I293" s="140">
        <f ca="1">IFERROR(__xludf.DUMMYFUNCTION("""COMPUTED_VALUE"""),107358)</f>
        <v>107358</v>
      </c>
      <c r="J293" s="141">
        <f ca="1">IFERROR(__xludf.DUMMYFUNCTION("""COMPUTED_VALUE"""),3578.6)</f>
        <v>3578.6</v>
      </c>
      <c r="K293" s="142">
        <f ca="1">IFERROR(__xludf.DUMMYFUNCTION("""COMPUTED_VALUE"""),7.1572)</f>
        <v>7.1571999999999996</v>
      </c>
      <c r="L293" s="143" t="str">
        <f ca="1"/>
        <v>Wiris Variasi</v>
      </c>
      <c r="M293" s="127"/>
      <c r="N293" s="127"/>
      <c r="O293" s="127"/>
      <c r="P293" s="127"/>
      <c r="Q293" s="127"/>
      <c r="R293" s="127"/>
      <c r="S293" s="127"/>
      <c r="T293" s="127"/>
      <c r="U293" s="127"/>
      <c r="V293" s="127"/>
      <c r="W293" s="127"/>
      <c r="X293" s="127"/>
      <c r="Y293" s="127"/>
      <c r="Z293" s="127"/>
      <c r="AA293" s="127"/>
    </row>
    <row r="294" spans="1:27">
      <c r="A294" s="127">
        <f ca="1">IFERROR(__xludf.DUMMYFUNCTION("""COMPUTED_VALUE"""),174904221976312)</f>
        <v>174904221976312</v>
      </c>
      <c r="B294" s="127" t="str">
        <f ca="1">IFERROR(__xludf.DUMMYFUNCTION("""COMPUTED_VALUE"""),"120230877077130694")</f>
        <v>120230877077130694</v>
      </c>
      <c r="C294" s="127" t="str">
        <f ca="1">IFERROR(__xludf.DUMMYFUNCTION("""COMPUTED_VALUE"""),"Someah Tour")</f>
        <v>Someah Tour</v>
      </c>
      <c r="D294" s="138" t="str">
        <f ca="1">IFERROR(__xludf.DUMMYFUNCTION("""COMPUTED_VALUE"""),"https://wa.me/6285702241111")</f>
        <v>https://wa.me/6285702241111</v>
      </c>
      <c r="E294" s="139" t="str">
        <f ca="1">IFERROR(__xludf.DUMMYFUNCTION("""COMPUTED_VALUE"""),"6285702241111")</f>
        <v>6285702241111</v>
      </c>
      <c r="F294" s="139">
        <f ca="1">IFERROR(__xludf.DUMMYFUNCTION("""COMPUTED_VALUE"""),1387)</f>
        <v>1387</v>
      </c>
      <c r="G294" s="139">
        <f ca="1">IFERROR(__xludf.DUMMYFUNCTION("""COMPUTED_VALUE"""),55342)</f>
        <v>55342</v>
      </c>
      <c r="H294" s="139">
        <f ca="1">IFERROR(__xludf.DUMMYFUNCTION("""COMPUTED_VALUE"""),7)</f>
        <v>7</v>
      </c>
      <c r="I294" s="140">
        <f ca="1">IFERROR(__xludf.DUMMYFUNCTION("""COMPUTED_VALUE"""),77958)</f>
        <v>77958</v>
      </c>
      <c r="J294" s="141">
        <f ca="1">IFERROR(__xludf.DUMMYFUNCTION("""COMPUTED_VALUE"""),11136.8571428571)</f>
        <v>11136.857142857099</v>
      </c>
      <c r="K294" s="142">
        <f ca="1">IFERROR(__xludf.DUMMYFUNCTION("""COMPUTED_VALUE"""),5.1972)</f>
        <v>5.1971999999999996</v>
      </c>
      <c r="L294" s="143" t="str">
        <f ca="1"/>
        <v>Wiris Variasi</v>
      </c>
      <c r="M294" s="127"/>
      <c r="N294" s="127"/>
      <c r="O294" s="127"/>
      <c r="P294" s="127"/>
      <c r="Q294" s="127"/>
      <c r="R294" s="127"/>
      <c r="S294" s="127"/>
      <c r="T294" s="127"/>
      <c r="U294" s="127"/>
      <c r="V294" s="127"/>
      <c r="W294" s="127"/>
      <c r="X294" s="127"/>
      <c r="Y294" s="127"/>
      <c r="Z294" s="127"/>
      <c r="AA294" s="127"/>
    </row>
    <row r="295" spans="1:27">
      <c r="A295" s="127">
        <f ca="1">IFERROR(__xludf.DUMMYFUNCTION("""COMPUTED_VALUE"""),174904221976312)</f>
        <v>174904221976312</v>
      </c>
      <c r="B295" s="127" t="str">
        <f ca="1">IFERROR(__xludf.DUMMYFUNCTION("""COMPUTED_VALUE"""),"120230877844000694")</f>
        <v>120230877844000694</v>
      </c>
      <c r="C295" s="127" t="str">
        <f ca="1">IFERROR(__xludf.DUMMYFUNCTION("""COMPUTED_VALUE"""),"Bali Trip")</f>
        <v>Bali Trip</v>
      </c>
      <c r="D295" s="138" t="str">
        <f ca="1">IFERROR(__xludf.DUMMYFUNCTION("""COMPUTED_VALUE"""),"https://wa.me/628179780980")</f>
        <v>https://wa.me/628179780980</v>
      </c>
      <c r="E295" s="139" t="str">
        <f ca="1">IFERROR(__xludf.DUMMYFUNCTION("""COMPUTED_VALUE"""),"628179780980")</f>
        <v>628179780980</v>
      </c>
      <c r="F295" s="139">
        <f ca="1">IFERROR(__xludf.DUMMYFUNCTION("""COMPUTED_VALUE"""),2793)</f>
        <v>2793</v>
      </c>
      <c r="G295" s="139">
        <f ca="1">IFERROR(__xludf.DUMMYFUNCTION("""COMPUTED_VALUE"""),52110.6363636363)</f>
        <v>52110.636363636302</v>
      </c>
      <c r="H295" s="139">
        <f ca="1">IFERROR(__xludf.DUMMYFUNCTION("""COMPUTED_VALUE"""),21)</f>
        <v>21</v>
      </c>
      <c r="I295" s="140">
        <f ca="1">IFERROR(__xludf.DUMMYFUNCTION("""COMPUTED_VALUE"""),152839)</f>
        <v>152839</v>
      </c>
      <c r="J295" s="141">
        <f ca="1">IFERROR(__xludf.DUMMYFUNCTION("""COMPUTED_VALUE"""),7278.04761904761)</f>
        <v>7278.0476190476102</v>
      </c>
      <c r="K295" s="142">
        <f ca="1">IFERROR(__xludf.DUMMYFUNCTION("""COMPUTED_VALUE"""),10.1892666666666)</f>
        <v>10.189266666666599</v>
      </c>
      <c r="L295" s="143" t="str">
        <f ca="1"/>
        <v>Wiris Variasi</v>
      </c>
      <c r="M295" s="127"/>
      <c r="N295" s="127"/>
      <c r="O295" s="127"/>
      <c r="P295" s="127"/>
      <c r="Q295" s="127"/>
      <c r="R295" s="127"/>
      <c r="S295" s="127"/>
      <c r="T295" s="127"/>
      <c r="U295" s="127"/>
      <c r="V295" s="127"/>
      <c r="W295" s="127"/>
      <c r="X295" s="127"/>
      <c r="Y295" s="127"/>
      <c r="Z295" s="127"/>
      <c r="AA295" s="127"/>
    </row>
    <row r="296" spans="1:27">
      <c r="A296" s="127">
        <f ca="1">IFERROR(__xludf.DUMMYFUNCTION("""COMPUTED_VALUE"""),174904221976312)</f>
        <v>174904221976312</v>
      </c>
      <c r="B296" s="127" t="str">
        <f ca="1">IFERROR(__xludf.DUMMYFUNCTION("""COMPUTED_VALUE"""),"120230878618490694")</f>
        <v>120230878618490694</v>
      </c>
      <c r="C296" s="127" t="str">
        <f ca="1">IFERROR(__xludf.DUMMYFUNCTION("""COMPUTED_VALUE"""),"Rumah Sehat")</f>
        <v>Rumah Sehat</v>
      </c>
      <c r="D296" s="138" t="str">
        <f ca="1">IFERROR(__xludf.DUMMYFUNCTION("""COMPUTED_VALUE"""),"https://wa.me/6282160743576")</f>
        <v>https://wa.me/6282160743576</v>
      </c>
      <c r="E296" s="139" t="str">
        <f ca="1">IFERROR(__xludf.DUMMYFUNCTION("""COMPUTED_VALUE"""),"6282160743576")</f>
        <v>6282160743576</v>
      </c>
      <c r="F296" s="139">
        <f ca="1">IFERROR(__xludf.DUMMYFUNCTION("""COMPUTED_VALUE"""),26044)</f>
        <v>26044</v>
      </c>
      <c r="G296" s="139">
        <f ca="1">IFERROR(__xludf.DUMMYFUNCTION("""COMPUTED_VALUE"""),15450.2258064516)</f>
        <v>15450.225806451601</v>
      </c>
      <c r="H296" s="139">
        <f ca="1">IFERROR(__xludf.DUMMYFUNCTION("""COMPUTED_VALUE"""),187)</f>
        <v>187</v>
      </c>
      <c r="I296" s="140">
        <f ca="1">IFERROR(__xludf.DUMMYFUNCTION("""COMPUTED_VALUE"""),439152)</f>
        <v>439152</v>
      </c>
      <c r="J296" s="141">
        <f ca="1">IFERROR(__xludf.DUMMYFUNCTION("""COMPUTED_VALUE"""),2348.40641711229)</f>
        <v>2348.40641711229</v>
      </c>
      <c r="K296" s="142">
        <f ca="1">IFERROR(__xludf.DUMMYFUNCTION("""COMPUTED_VALUE"""),29.2768)</f>
        <v>29.276800000000001</v>
      </c>
      <c r="L296" s="143" t="str">
        <f ca="1"/>
        <v>Wiris Variasi</v>
      </c>
      <c r="M296" s="127"/>
      <c r="N296" s="127"/>
      <c r="O296" s="127"/>
      <c r="P296" s="127"/>
      <c r="Q296" s="127"/>
      <c r="R296" s="127"/>
      <c r="S296" s="127"/>
      <c r="T296" s="127"/>
      <c r="U296" s="127"/>
      <c r="V296" s="127"/>
      <c r="W296" s="127"/>
      <c r="X296" s="127"/>
      <c r="Y296" s="127"/>
      <c r="Z296" s="127"/>
      <c r="AA296" s="127"/>
    </row>
    <row r="297" spans="1:27">
      <c r="A297" s="127">
        <f ca="1">IFERROR(__xludf.DUMMYFUNCTION("""COMPUTED_VALUE"""),174904221976312)</f>
        <v>174904221976312</v>
      </c>
      <c r="B297" s="127" t="str">
        <f ca="1">IFERROR(__xludf.DUMMYFUNCTION("""COMPUTED_VALUE"""),"120230880083390694")</f>
        <v>120230880083390694</v>
      </c>
      <c r="C297" s="127" t="str">
        <f ca="1">IFERROR(__xludf.DUMMYFUNCTION("""COMPUTED_VALUE"""),"Pengobatan Alternatif")</f>
        <v>Pengobatan Alternatif</v>
      </c>
      <c r="D297" s="138" t="str">
        <f ca="1">IFERROR(__xludf.DUMMYFUNCTION("""COMPUTED_VALUE"""),"https://wa.me/6287740636181")</f>
        <v>https://wa.me/6287740636181</v>
      </c>
      <c r="E297" s="139" t="str">
        <f ca="1">IFERROR(__xludf.DUMMYFUNCTION("""COMPUTED_VALUE"""),"6287740636181")</f>
        <v>6287740636181</v>
      </c>
      <c r="F297" s="139">
        <f ca="1">IFERROR(__xludf.DUMMYFUNCTION("""COMPUTED_VALUE"""),9654)</f>
        <v>9654</v>
      </c>
      <c r="G297" s="139">
        <f ca="1">IFERROR(__xludf.DUMMYFUNCTION("""COMPUTED_VALUE"""),13696.909090909)</f>
        <v>13696.909090908999</v>
      </c>
      <c r="H297" s="139">
        <f ca="1">IFERROR(__xludf.DUMMYFUNCTION("""COMPUTED_VALUE"""),59)</f>
        <v>59</v>
      </c>
      <c r="I297" s="140">
        <f ca="1">IFERROR(__xludf.DUMMYFUNCTION("""COMPUTED_VALUE"""),151403)</f>
        <v>151403</v>
      </c>
      <c r="J297" s="141">
        <f ca="1">IFERROR(__xludf.DUMMYFUNCTION("""COMPUTED_VALUE"""),2566.15254237288)</f>
        <v>2566.1525423728799</v>
      </c>
      <c r="K297" s="142">
        <f ca="1">IFERROR(__xludf.DUMMYFUNCTION("""COMPUTED_VALUE"""),10.0935333333333)</f>
        <v>10.093533333333299</v>
      </c>
      <c r="L297" s="143" t="str">
        <f ca="1"/>
        <v>Wiris Variasi</v>
      </c>
      <c r="M297" s="127"/>
      <c r="N297" s="127"/>
      <c r="O297" s="127"/>
      <c r="P297" s="127"/>
      <c r="Q297" s="127"/>
      <c r="R297" s="127"/>
      <c r="S297" s="127"/>
      <c r="T297" s="127"/>
      <c r="U297" s="127"/>
      <c r="V297" s="127"/>
      <c r="W297" s="127"/>
      <c r="X297" s="127"/>
      <c r="Y297" s="127"/>
      <c r="Z297" s="127"/>
      <c r="AA297" s="127"/>
    </row>
    <row r="298" spans="1:27">
      <c r="A298" s="127">
        <f ca="1">IFERROR(__xludf.DUMMYFUNCTION("""COMPUTED_VALUE"""),174904221976312)</f>
        <v>174904221976312</v>
      </c>
      <c r="B298" s="127" t="str">
        <f ca="1">IFERROR(__xludf.DUMMYFUNCTION("""COMPUTED_VALUE"""),"120230973891570694")</f>
        <v>120230973891570694</v>
      </c>
      <c r="C298" s="127" t="str">
        <f ca="1">IFERROR(__xludf.DUMMYFUNCTION("""COMPUTED_VALUE"""),"Griya Sehat")</f>
        <v>Griya Sehat</v>
      </c>
      <c r="D298" s="138" t="str">
        <f ca="1">IFERROR(__xludf.DUMMYFUNCTION("""COMPUTED_VALUE"""),"https://wa.me/6285255115894")</f>
        <v>https://wa.me/6285255115894</v>
      </c>
      <c r="E298" s="139" t="str">
        <f ca="1">IFERROR(__xludf.DUMMYFUNCTION("""COMPUTED_VALUE"""),"6285255115894")</f>
        <v>6285255115894</v>
      </c>
      <c r="F298" s="139">
        <f ca="1">IFERROR(__xludf.DUMMYFUNCTION("""COMPUTED_VALUE"""),17093)</f>
        <v>17093</v>
      </c>
      <c r="G298" s="139">
        <f ca="1">IFERROR(__xludf.DUMMYFUNCTION("""COMPUTED_VALUE"""),8739.45454545454)</f>
        <v>8739.4545454545405</v>
      </c>
      <c r="H298" s="139">
        <f ca="1">IFERROR(__xludf.DUMMYFUNCTION("""COMPUTED_VALUE"""),44)</f>
        <v>44</v>
      </c>
      <c r="I298" s="140">
        <f ca="1">IFERROR(__xludf.DUMMYFUNCTION("""COMPUTED_VALUE"""),150330)</f>
        <v>150330</v>
      </c>
      <c r="J298" s="141">
        <f ca="1">IFERROR(__xludf.DUMMYFUNCTION("""COMPUTED_VALUE"""),3416.5909090909)</f>
        <v>3416.5909090908999</v>
      </c>
      <c r="K298" s="142">
        <f ca="1">IFERROR(__xludf.DUMMYFUNCTION("""COMPUTED_VALUE"""),10.022)</f>
        <v>10.022</v>
      </c>
      <c r="L298" s="143" t="str">
        <f ca="1"/>
        <v>Wiris Variasi</v>
      </c>
      <c r="M298" s="127"/>
      <c r="N298" s="127"/>
      <c r="O298" s="127"/>
      <c r="P298" s="127"/>
      <c r="Q298" s="127"/>
      <c r="R298" s="127"/>
      <c r="S298" s="127"/>
      <c r="T298" s="127"/>
      <c r="U298" s="127"/>
      <c r="V298" s="127"/>
      <c r="W298" s="127"/>
      <c r="X298" s="127"/>
      <c r="Y298" s="127"/>
      <c r="Z298" s="127"/>
      <c r="AA298" s="127"/>
    </row>
    <row r="299" spans="1:27">
      <c r="A299" s="127">
        <f ca="1">IFERROR(__xludf.DUMMYFUNCTION("""COMPUTED_VALUE"""),174904221976312)</f>
        <v>174904221976312</v>
      </c>
      <c r="B299" s="127" t="str">
        <f ca="1">IFERROR(__xludf.DUMMYFUNCTION("""COMPUTED_VALUE"""),"120230974064560694")</f>
        <v>120230974064560694</v>
      </c>
      <c r="C299" s="127" t="str">
        <f ca="1">IFERROR(__xludf.DUMMYFUNCTION("""COMPUTED_VALUE"""),"Lombok best")</f>
        <v>Lombok best</v>
      </c>
      <c r="D299" s="138" t="str">
        <f ca="1">IFERROR(__xludf.DUMMYFUNCTION("""COMPUTED_VALUE"""),"https://wa.me/6287862271550")</f>
        <v>https://wa.me/6287862271550</v>
      </c>
      <c r="E299" s="139" t="str">
        <f ca="1">IFERROR(__xludf.DUMMYFUNCTION("""COMPUTED_VALUE"""),"6287862271550")</f>
        <v>6287862271550</v>
      </c>
      <c r="F299" s="139">
        <f ca="1">IFERROR(__xludf.DUMMYFUNCTION("""COMPUTED_VALUE"""),5962)</f>
        <v>5962</v>
      </c>
      <c r="G299" s="139">
        <f ca="1">IFERROR(__xludf.DUMMYFUNCTION("""COMPUTED_VALUE"""),24470)</f>
        <v>24470</v>
      </c>
      <c r="H299" s="139">
        <f ca="1">IFERROR(__xludf.DUMMYFUNCTION("""COMPUTED_VALUE"""),10)</f>
        <v>10</v>
      </c>
      <c r="I299" s="140">
        <f ca="1">IFERROR(__xludf.DUMMYFUNCTION("""COMPUTED_VALUE"""),150388)</f>
        <v>150388</v>
      </c>
      <c r="J299" s="141">
        <f ca="1">IFERROR(__xludf.DUMMYFUNCTION("""COMPUTED_VALUE"""),15038.8)</f>
        <v>15038.8</v>
      </c>
      <c r="K299" s="142">
        <f ca="1">IFERROR(__xludf.DUMMYFUNCTION("""COMPUTED_VALUE"""),10.0258666666666)</f>
        <v>10.0258666666666</v>
      </c>
      <c r="L299" s="143" t="str">
        <f ca="1"/>
        <v>Wiris Variasi</v>
      </c>
      <c r="M299" s="127"/>
      <c r="N299" s="127"/>
      <c r="O299" s="127"/>
      <c r="P299" s="127"/>
      <c r="Q299" s="127"/>
      <c r="R299" s="127"/>
      <c r="S299" s="127"/>
      <c r="T299" s="127"/>
      <c r="U299" s="127"/>
      <c r="V299" s="127"/>
      <c r="W299" s="127"/>
      <c r="X299" s="127"/>
      <c r="Y299" s="127"/>
      <c r="Z299" s="127"/>
      <c r="AA299" s="127"/>
    </row>
    <row r="300" spans="1:27">
      <c r="A300" s="127">
        <f ca="1">IFERROR(__xludf.DUMMYFUNCTION("""COMPUTED_VALUE"""),174904221976312)</f>
        <v>174904221976312</v>
      </c>
      <c r="B300" s="127" t="str">
        <f ca="1">IFERROR(__xludf.DUMMYFUNCTION("""COMPUTED_VALUE"""),"120230974169070694")</f>
        <v>120230974169070694</v>
      </c>
      <c r="C300" s="127" t="str">
        <f ca="1">IFERROR(__xludf.DUMMYFUNCTION("""COMPUTED_VALUE"""),"Ayojalan Rent")</f>
        <v>Ayojalan Rent</v>
      </c>
      <c r="D300" s="138" t="str">
        <f ca="1">IFERROR(__xludf.DUMMYFUNCTION("""COMPUTED_VALUE"""),"https://wa.me/6281210801646")</f>
        <v>https://wa.me/6281210801646</v>
      </c>
      <c r="E300" s="139" t="str">
        <f ca="1">IFERROR(__xludf.DUMMYFUNCTION("""COMPUTED_VALUE"""),"6281210801646")</f>
        <v>6281210801646</v>
      </c>
      <c r="F300" s="139">
        <f ca="1">IFERROR(__xludf.DUMMYFUNCTION("""COMPUTED_VALUE"""),5612)</f>
        <v>5612</v>
      </c>
      <c r="G300" s="139">
        <f ca="1">IFERROR(__xludf.DUMMYFUNCTION("""COMPUTED_VALUE"""),34551)</f>
        <v>34551</v>
      </c>
      <c r="H300" s="139">
        <f ca="1">IFERROR(__xludf.DUMMYFUNCTION("""COMPUTED_VALUE"""),25)</f>
        <v>25</v>
      </c>
      <c r="I300" s="140">
        <f ca="1">IFERROR(__xludf.DUMMYFUNCTION("""COMPUTED_VALUE"""),205712)</f>
        <v>205712</v>
      </c>
      <c r="J300" s="141">
        <f ca="1">IFERROR(__xludf.DUMMYFUNCTION("""COMPUTED_VALUE"""),8228.48)</f>
        <v>8228.48</v>
      </c>
      <c r="K300" s="142">
        <f ca="1">IFERROR(__xludf.DUMMYFUNCTION("""COMPUTED_VALUE"""),13.7141333333333)</f>
        <v>13.714133333333301</v>
      </c>
      <c r="L300" s="143" t="str">
        <f ca="1"/>
        <v>Wiris Variasi</v>
      </c>
      <c r="M300" s="127"/>
      <c r="N300" s="127"/>
      <c r="O300" s="127"/>
      <c r="P300" s="127"/>
      <c r="Q300" s="127"/>
      <c r="R300" s="127"/>
      <c r="S300" s="127"/>
      <c r="T300" s="127"/>
      <c r="U300" s="127"/>
      <c r="V300" s="127"/>
      <c r="W300" s="127"/>
      <c r="X300" s="127"/>
      <c r="Y300" s="127"/>
      <c r="Z300" s="127"/>
      <c r="AA300" s="127"/>
    </row>
    <row r="301" spans="1:27">
      <c r="A301" s="127">
        <f ca="1">IFERROR(__xludf.DUMMYFUNCTION("""COMPUTED_VALUE"""),174904221976312)</f>
        <v>174904221976312</v>
      </c>
      <c r="B301" s="127" t="str">
        <f ca="1">IFERROR(__xludf.DUMMYFUNCTION("""COMPUTED_VALUE"""),"120230974481300694")</f>
        <v>120230974481300694</v>
      </c>
      <c r="C301" s="127" t="str">
        <f ca="1">IFERROR(__xludf.DUMMYFUNCTION("""COMPUTED_VALUE"""),"Seribu Harapan")</f>
        <v>Seribu Harapan</v>
      </c>
      <c r="D301" s="138" t="str">
        <f ca="1">IFERROR(__xludf.DUMMYFUNCTION("""COMPUTED_VALUE"""),"https://wa.me/6282154318629")</f>
        <v>https://wa.me/6282154318629</v>
      </c>
      <c r="E301" s="139" t="str">
        <f ca="1">IFERROR(__xludf.DUMMYFUNCTION("""COMPUTED_VALUE"""),"6282154318629")</f>
        <v>6282154318629</v>
      </c>
      <c r="F301" s="139">
        <f ca="1">IFERROR(__xludf.DUMMYFUNCTION("""COMPUTED_VALUE"""),4013)</f>
        <v>4013</v>
      </c>
      <c r="G301" s="139">
        <f ca="1">IFERROR(__xludf.DUMMYFUNCTION("""COMPUTED_VALUE"""),37993.8)</f>
        <v>37993.800000000003</v>
      </c>
      <c r="H301" s="139">
        <f ca="1">IFERROR(__xludf.DUMMYFUNCTION("""COMPUTED_VALUE"""),31)</f>
        <v>31</v>
      </c>
      <c r="I301" s="140">
        <f ca="1">IFERROR(__xludf.DUMMYFUNCTION("""COMPUTED_VALUE"""),145093)</f>
        <v>145093</v>
      </c>
      <c r="J301" s="141">
        <f ca="1">IFERROR(__xludf.DUMMYFUNCTION("""COMPUTED_VALUE"""),4680.4193548387)</f>
        <v>4680.4193548387002</v>
      </c>
      <c r="K301" s="142">
        <f ca="1">IFERROR(__xludf.DUMMYFUNCTION("""COMPUTED_VALUE"""),9.67286666666666)</f>
        <v>9.6728666666666605</v>
      </c>
      <c r="L301" s="143" t="str">
        <f ca="1"/>
        <v>Wiris Variasi</v>
      </c>
      <c r="M301" s="127"/>
      <c r="N301" s="127"/>
      <c r="O301" s="127"/>
      <c r="P301" s="127"/>
      <c r="Q301" s="127"/>
      <c r="R301" s="127"/>
      <c r="S301" s="127"/>
      <c r="T301" s="127"/>
      <c r="U301" s="127"/>
      <c r="V301" s="127"/>
      <c r="W301" s="127"/>
      <c r="X301" s="127"/>
      <c r="Y301" s="127"/>
      <c r="Z301" s="127"/>
      <c r="AA301" s="127"/>
    </row>
    <row r="302" spans="1:27">
      <c r="A302" s="127">
        <f ca="1">IFERROR(__xludf.DUMMYFUNCTION("""COMPUTED_VALUE"""),174904221976312)</f>
        <v>174904221976312</v>
      </c>
      <c r="B302" s="127" t="str">
        <f ca="1">IFERROR(__xludf.DUMMYFUNCTION("""COMPUTED_VALUE"""),"120231053440480694")</f>
        <v>120231053440480694</v>
      </c>
      <c r="C302" s="127" t="str">
        <f ca="1">IFERROR(__xludf.DUMMYFUNCTION("""COMPUTED_VALUE"""),"EFGHAN MASSAGE")</f>
        <v>EFGHAN MASSAGE</v>
      </c>
      <c r="D302" s="138" t="str">
        <f ca="1">IFERROR(__xludf.DUMMYFUNCTION("""COMPUTED_VALUE"""),"https://wa.me/62082287715351")</f>
        <v>https://wa.me/62082287715351</v>
      </c>
      <c r="E302" s="139" t="str">
        <f ca="1">IFERROR(__xludf.DUMMYFUNCTION("""COMPUTED_VALUE"""),"62082287715351")</f>
        <v>62082287715351</v>
      </c>
      <c r="F302" s="139">
        <f ca="1">IFERROR(__xludf.DUMMYFUNCTION("""COMPUTED_VALUE"""),4763)</f>
        <v>4763</v>
      </c>
      <c r="G302" s="139">
        <f ca="1">IFERROR(__xludf.DUMMYFUNCTION("""COMPUTED_VALUE"""),12653)</f>
        <v>12653</v>
      </c>
      <c r="H302" s="139">
        <f ca="1">IFERROR(__xludf.DUMMYFUNCTION("""COMPUTED_VALUE"""),105)</f>
        <v>105</v>
      </c>
      <c r="I302" s="140">
        <f ca="1">IFERROR(__xludf.DUMMYFUNCTION("""COMPUTED_VALUE"""),73787)</f>
        <v>73787</v>
      </c>
      <c r="J302" s="141">
        <f ca="1">IFERROR(__xludf.DUMMYFUNCTION("""COMPUTED_VALUE"""),702.733333333333)</f>
        <v>702.73333333333301</v>
      </c>
      <c r="K302" s="142">
        <f ca="1">IFERROR(__xludf.DUMMYFUNCTION("""COMPUTED_VALUE"""),4.91913333333333)</f>
        <v>4.9191333333333302</v>
      </c>
      <c r="L302" s="143" t="str">
        <f ca="1"/>
        <v>Wiris Variasi</v>
      </c>
      <c r="M302" s="127"/>
      <c r="N302" s="127"/>
      <c r="O302" s="127"/>
      <c r="P302" s="127"/>
      <c r="Q302" s="127"/>
      <c r="R302" s="127"/>
      <c r="S302" s="127"/>
      <c r="T302" s="127"/>
      <c r="U302" s="127"/>
      <c r="V302" s="127"/>
      <c r="W302" s="127"/>
      <c r="X302" s="127"/>
      <c r="Y302" s="127"/>
      <c r="Z302" s="127"/>
      <c r="AA302" s="127"/>
    </row>
    <row r="303" spans="1:27">
      <c r="A303" s="127">
        <f ca="1">IFERROR(__xludf.DUMMYFUNCTION("""COMPUTED_VALUE"""),174904221976312)</f>
        <v>174904221976312</v>
      </c>
      <c r="B303" s="127" t="str">
        <f ca="1">IFERROR(__xludf.DUMMYFUNCTION("""COMPUTED_VALUE"""),"120231053893780694")</f>
        <v>120231053893780694</v>
      </c>
      <c r="C303" s="127" t="str">
        <f ca="1">IFERROR(__xludf.DUMMYFUNCTION("""COMPUTED_VALUE"""),"Sumber Semangat")</f>
        <v>Sumber Semangat</v>
      </c>
      <c r="D303" s="138" t="str">
        <f ca="1">IFERROR(__xludf.DUMMYFUNCTION("""COMPUTED_VALUE"""),"https://wa.me/6289667480162")</f>
        <v>https://wa.me/6289667480162</v>
      </c>
      <c r="E303" s="139" t="str">
        <f ca="1">IFERROR(__xludf.DUMMYFUNCTION("""COMPUTED_VALUE"""),"6289667480162")</f>
        <v>6289667480162</v>
      </c>
      <c r="F303" s="139">
        <f ca="1">IFERROR(__xludf.DUMMYFUNCTION("""COMPUTED_VALUE"""),10154)</f>
        <v>10154</v>
      </c>
      <c r="G303" s="139">
        <f ca="1">IFERROR(__xludf.DUMMYFUNCTION("""COMPUTED_VALUE"""),7027)</f>
        <v>7027</v>
      </c>
      <c r="H303" s="139">
        <f ca="1">IFERROR(__xludf.DUMMYFUNCTION("""COMPUTED_VALUE"""),51)</f>
        <v>51</v>
      </c>
      <c r="I303" s="140">
        <f ca="1">IFERROR(__xludf.DUMMYFUNCTION("""COMPUTED_VALUE"""),72792)</f>
        <v>72792</v>
      </c>
      <c r="J303" s="141">
        <f ca="1">IFERROR(__xludf.DUMMYFUNCTION("""COMPUTED_VALUE"""),1427.29411764705)</f>
        <v>1427.2941176470499</v>
      </c>
      <c r="K303" s="142">
        <f ca="1">IFERROR(__xludf.DUMMYFUNCTION("""COMPUTED_VALUE"""),4.8528)</f>
        <v>4.8528000000000002</v>
      </c>
      <c r="L303" s="143" t="str">
        <f ca="1"/>
        <v>Wiris Variasi</v>
      </c>
      <c r="M303" s="127"/>
      <c r="N303" s="127"/>
      <c r="O303" s="127"/>
      <c r="P303" s="127"/>
      <c r="Q303" s="127"/>
      <c r="R303" s="127"/>
      <c r="S303" s="127"/>
      <c r="T303" s="127"/>
      <c r="U303" s="127"/>
      <c r="V303" s="127"/>
      <c r="W303" s="127"/>
      <c r="X303" s="127"/>
      <c r="Y303" s="127"/>
      <c r="Z303" s="127"/>
      <c r="AA303" s="127"/>
    </row>
    <row r="304" spans="1:27">
      <c r="A304" s="127">
        <f ca="1">IFERROR(__xludf.DUMMYFUNCTION("""COMPUTED_VALUE"""),174904221976312)</f>
        <v>174904221976312</v>
      </c>
      <c r="B304" s="127" t="str">
        <f ca="1">IFERROR(__xludf.DUMMYFUNCTION("""COMPUTED_VALUE"""),"120231054261380694")</f>
        <v>120231054261380694</v>
      </c>
      <c r="C304" s="127" t="str">
        <f ca="1">IFERROR(__xludf.DUMMYFUNCTION("""COMPUTED_VALUE"""),"RAFI'S MASSUEER")</f>
        <v>RAFI'S MASSUEER</v>
      </c>
      <c r="D304" s="138" t="str">
        <f ca="1">IFERROR(__xludf.DUMMYFUNCTION("""COMPUTED_VALUE"""),"https://wa.me/6287776264559")</f>
        <v>https://wa.me/6287776264559</v>
      </c>
      <c r="E304" s="139" t="str">
        <f ca="1">IFERROR(__xludf.DUMMYFUNCTION("""COMPUTED_VALUE"""),"6287776264559")</f>
        <v>6287776264559</v>
      </c>
      <c r="F304" s="139">
        <f ca="1">IFERROR(__xludf.DUMMYFUNCTION("""COMPUTED_VALUE"""),4605)</f>
        <v>4605</v>
      </c>
      <c r="G304" s="139">
        <f ca="1">IFERROR(__xludf.DUMMYFUNCTION("""COMPUTED_VALUE"""),13564.1666666666)</f>
        <v>13564.166666666601</v>
      </c>
      <c r="H304" s="139">
        <f ca="1">IFERROR(__xludf.DUMMYFUNCTION("""COMPUTED_VALUE"""),14)</f>
        <v>14</v>
      </c>
      <c r="I304" s="140">
        <f ca="1">IFERROR(__xludf.DUMMYFUNCTION("""COMPUTED_VALUE"""),71715)</f>
        <v>71715</v>
      </c>
      <c r="J304" s="141">
        <f ca="1">IFERROR(__xludf.DUMMYFUNCTION("""COMPUTED_VALUE"""),5122.5)</f>
        <v>5122.5</v>
      </c>
      <c r="K304" s="142">
        <f ca="1">IFERROR(__xludf.DUMMYFUNCTION("""COMPUTED_VALUE"""),4.781)</f>
        <v>4.7809999999999997</v>
      </c>
      <c r="L304" s="143" t="str">
        <f ca="1"/>
        <v>Wiris Variasi</v>
      </c>
      <c r="M304" s="127"/>
      <c r="N304" s="127"/>
      <c r="O304" s="127"/>
      <c r="P304" s="127"/>
      <c r="Q304" s="127"/>
      <c r="R304" s="127"/>
      <c r="S304" s="127"/>
      <c r="T304" s="127"/>
      <c r="U304" s="127"/>
      <c r="V304" s="127"/>
      <c r="W304" s="127"/>
      <c r="X304" s="127"/>
      <c r="Y304" s="127"/>
      <c r="Z304" s="127"/>
      <c r="AA304" s="127"/>
    </row>
    <row r="305" spans="1:27">
      <c r="A305" s="127">
        <f ca="1">IFERROR(__xludf.DUMMYFUNCTION("""COMPUTED_VALUE"""),174904221976312)</f>
        <v>174904221976312</v>
      </c>
      <c r="B305" s="127" t="str">
        <f ca="1">IFERROR(__xludf.DUMMYFUNCTION("""COMPUTED_VALUE"""),"120231054975200694")</f>
        <v>120231054975200694</v>
      </c>
      <c r="C305" s="127" t="str">
        <f ca="1">IFERROR(__xludf.DUMMYFUNCTION("""COMPUTED_VALUE"""),"Madina Tech")</f>
        <v>Madina Tech</v>
      </c>
      <c r="D305" s="138" t="str">
        <f ca="1">IFERROR(__xludf.DUMMYFUNCTION("""COMPUTED_VALUE"""),"https://wa.me/6285166200242")</f>
        <v>https://wa.me/6285166200242</v>
      </c>
      <c r="E305" s="139" t="str">
        <f ca="1">IFERROR(__xludf.DUMMYFUNCTION("""COMPUTED_VALUE"""),"6285166200242")</f>
        <v>6285166200242</v>
      </c>
      <c r="F305" s="139">
        <f ca="1">IFERROR(__xludf.DUMMYFUNCTION("""COMPUTED_VALUE"""),4776)</f>
        <v>4776</v>
      </c>
      <c r="G305" s="139">
        <f ca="1">IFERROR(__xludf.DUMMYFUNCTION("""COMPUTED_VALUE"""),13471.8333333333)</f>
        <v>13471.833333333299</v>
      </c>
      <c r="H305" s="139">
        <f ca="1">IFERROR(__xludf.DUMMYFUNCTION("""COMPUTED_VALUE"""),15)</f>
        <v>15</v>
      </c>
      <c r="I305" s="140">
        <f ca="1">IFERROR(__xludf.DUMMYFUNCTION("""COMPUTED_VALUE"""),71151)</f>
        <v>71151</v>
      </c>
      <c r="J305" s="141">
        <f ca="1">IFERROR(__xludf.DUMMYFUNCTION("""COMPUTED_VALUE"""),4743.4)</f>
        <v>4743.3999999999996</v>
      </c>
      <c r="K305" s="142">
        <f ca="1">IFERROR(__xludf.DUMMYFUNCTION("""COMPUTED_VALUE"""),4.7434)</f>
        <v>4.7434000000000003</v>
      </c>
      <c r="L305" s="143" t="str">
        <f ca="1"/>
        <v>Wiris Variasi</v>
      </c>
      <c r="M305" s="127"/>
      <c r="N305" s="127"/>
      <c r="O305" s="127"/>
      <c r="P305" s="127"/>
      <c r="Q305" s="127"/>
      <c r="R305" s="127"/>
      <c r="S305" s="127"/>
      <c r="T305" s="127"/>
      <c r="U305" s="127"/>
      <c r="V305" s="127"/>
      <c r="W305" s="127"/>
      <c r="X305" s="127"/>
      <c r="Y305" s="127"/>
      <c r="Z305" s="127"/>
      <c r="AA305" s="127"/>
    </row>
    <row r="306" spans="1:27">
      <c r="A306" s="127">
        <f ca="1">IFERROR(__xludf.DUMMYFUNCTION("""COMPUTED_VALUE"""),174904221976312)</f>
        <v>174904221976312</v>
      </c>
      <c r="B306" s="127" t="str">
        <f ca="1">IFERROR(__xludf.DUMMYFUNCTION("""COMPUTED_VALUE"""),"120231117105190694")</f>
        <v>120231117105190694</v>
      </c>
      <c r="C306" s="127" t="str">
        <f ca="1">IFERROR(__xludf.DUMMYFUNCTION("""COMPUTED_VALUE"""),"MASSAGE 88")</f>
        <v>MASSAGE 88</v>
      </c>
      <c r="D306" s="138" t="str">
        <f ca="1">IFERROR(__xludf.DUMMYFUNCTION("""COMPUTED_VALUE"""),"https://wa.me/6281334257715")</f>
        <v>https://wa.me/6281334257715</v>
      </c>
      <c r="E306" s="139" t="str">
        <f ca="1">IFERROR(__xludf.DUMMYFUNCTION("""COMPUTED_VALUE"""),"6281334257715")</f>
        <v>6281334257715</v>
      </c>
      <c r="F306" s="139">
        <f ca="1">IFERROR(__xludf.DUMMYFUNCTION("""COMPUTED_VALUE"""),1724)</f>
        <v>1724</v>
      </c>
      <c r="G306" s="139">
        <f ca="1">IFERROR(__xludf.DUMMYFUNCTION("""COMPUTED_VALUE"""),33588.4)</f>
        <v>33588.400000000001</v>
      </c>
      <c r="H306" s="139">
        <f ca="1">IFERROR(__xludf.DUMMYFUNCTION("""COMPUTED_VALUE"""),5)</f>
        <v>5</v>
      </c>
      <c r="I306" s="140">
        <f ca="1">IFERROR(__xludf.DUMMYFUNCTION("""COMPUTED_VALUE"""),65171)</f>
        <v>65171</v>
      </c>
      <c r="J306" s="141">
        <f ca="1">IFERROR(__xludf.DUMMYFUNCTION("""COMPUTED_VALUE"""),13034.2)</f>
        <v>13034.2</v>
      </c>
      <c r="K306" s="142">
        <f ca="1">IFERROR(__xludf.DUMMYFUNCTION("""COMPUTED_VALUE"""),4.34473333333333)</f>
        <v>4.3447333333333296</v>
      </c>
      <c r="L306" s="143" t="str">
        <f ca="1"/>
        <v>Wiris Variasi</v>
      </c>
      <c r="M306" s="127"/>
      <c r="N306" s="127"/>
      <c r="O306" s="127"/>
      <c r="P306" s="127"/>
      <c r="Q306" s="127"/>
      <c r="R306" s="127"/>
      <c r="S306" s="127"/>
      <c r="T306" s="127"/>
      <c r="U306" s="127"/>
      <c r="V306" s="127"/>
      <c r="W306" s="127"/>
      <c r="X306" s="127"/>
      <c r="Y306" s="127"/>
      <c r="Z306" s="127"/>
      <c r="AA306" s="127"/>
    </row>
    <row r="307" spans="1:27">
      <c r="A307" s="127">
        <f ca="1">IFERROR(__xludf.DUMMYFUNCTION("""COMPUTED_VALUE"""),174904221976312)</f>
        <v>174904221976312</v>
      </c>
      <c r="B307" s="127" t="str">
        <f ca="1">IFERROR(__xludf.DUMMYFUNCTION("""COMPUTED_VALUE"""),"120231117798000694")</f>
        <v>120231117798000694</v>
      </c>
      <c r="C307" s="127" t="str">
        <f ca="1">IFERROR(__xludf.DUMMYFUNCTION("""COMPUTED_VALUE"""),"Raga Als")</f>
        <v>Raga Als</v>
      </c>
      <c r="D307" s="138" t="str">
        <f ca="1">IFERROR(__xludf.DUMMYFUNCTION("""COMPUTED_VALUE"""),"https://wa.me/6287821734079")</f>
        <v>https://wa.me/6287821734079</v>
      </c>
      <c r="E307" s="139" t="str">
        <f ca="1">IFERROR(__xludf.DUMMYFUNCTION("""COMPUTED_VALUE"""),"6287821734079")</f>
        <v>6287821734079</v>
      </c>
      <c r="F307" s="139">
        <f ca="1">IFERROR(__xludf.DUMMYFUNCTION("""COMPUTED_VALUE"""),4251)</f>
        <v>4251</v>
      </c>
      <c r="G307" s="139">
        <f ca="1">IFERROR(__xludf.DUMMYFUNCTION("""COMPUTED_VALUE"""),15336.6)</f>
        <v>15336.6</v>
      </c>
      <c r="H307" s="139">
        <f ca="1">IFERROR(__xludf.DUMMYFUNCTION("""COMPUTED_VALUE"""),3)</f>
        <v>3</v>
      </c>
      <c r="I307" s="140">
        <f ca="1">IFERROR(__xludf.DUMMYFUNCTION("""COMPUTED_VALUE"""),68637)</f>
        <v>68637</v>
      </c>
      <c r="J307" s="141">
        <f ca="1">IFERROR(__xludf.DUMMYFUNCTION("""COMPUTED_VALUE"""),22879)</f>
        <v>22879</v>
      </c>
      <c r="K307" s="142">
        <f ca="1">IFERROR(__xludf.DUMMYFUNCTION("""COMPUTED_VALUE"""),4.5758)</f>
        <v>4.5758000000000001</v>
      </c>
      <c r="L307" s="143" t="str">
        <f ca="1"/>
        <v>Wiris Variasi</v>
      </c>
      <c r="M307" s="127"/>
      <c r="N307" s="127"/>
      <c r="O307" s="127"/>
      <c r="P307" s="127"/>
      <c r="Q307" s="127"/>
      <c r="R307" s="127"/>
      <c r="S307" s="127"/>
      <c r="T307" s="127"/>
      <c r="U307" s="127"/>
      <c r="V307" s="127"/>
      <c r="W307" s="127"/>
      <c r="X307" s="127"/>
      <c r="Y307" s="127"/>
      <c r="Z307" s="127"/>
      <c r="AA307" s="127"/>
    </row>
    <row r="308" spans="1:27">
      <c r="A308" s="127">
        <f ca="1">IFERROR(__xludf.DUMMYFUNCTION("""COMPUTED_VALUE"""),174904221976312)</f>
        <v>174904221976312</v>
      </c>
      <c r="B308" s="127" t="str">
        <f ca="1">IFERROR(__xludf.DUMMYFUNCTION("""COMPUTED_VALUE"""),"120231118151600694")</f>
        <v>120231118151600694</v>
      </c>
      <c r="C308" s="143" t="str">
        <f ca="1">IFERROR(__xludf.DUMMYFUNCTION("""COMPUTED_VALUE"""),"HRAtour.id")</f>
        <v>HRAtour.id</v>
      </c>
      <c r="D308" s="138" t="str">
        <f ca="1">IFERROR(__xludf.DUMMYFUNCTION("""COMPUTED_VALUE"""),"https://wa.me/6285710239729")</f>
        <v>https://wa.me/6285710239729</v>
      </c>
      <c r="E308" s="139" t="str">
        <f ca="1">IFERROR(__xludf.DUMMYFUNCTION("""COMPUTED_VALUE"""),"6285710239729")</f>
        <v>6285710239729</v>
      </c>
      <c r="F308" s="139">
        <f ca="1">IFERROR(__xludf.DUMMYFUNCTION("""COMPUTED_VALUE"""),1273)</f>
        <v>1273</v>
      </c>
      <c r="G308" s="139">
        <f ca="1">IFERROR(__xludf.DUMMYFUNCTION("""COMPUTED_VALUE"""),90967.7142857142)</f>
        <v>90967.714285714203</v>
      </c>
      <c r="H308" s="139">
        <f ca="1">IFERROR(__xludf.DUMMYFUNCTION("""COMPUTED_VALUE"""),8)</f>
        <v>8</v>
      </c>
      <c r="I308" s="140">
        <f ca="1">IFERROR(__xludf.DUMMYFUNCTION("""COMPUTED_VALUE"""),98044)</f>
        <v>98044</v>
      </c>
      <c r="J308" s="141">
        <f ca="1">IFERROR(__xludf.DUMMYFUNCTION("""COMPUTED_VALUE"""),12255.5)</f>
        <v>12255.5</v>
      </c>
      <c r="K308" s="142">
        <f ca="1">IFERROR(__xludf.DUMMYFUNCTION("""COMPUTED_VALUE"""),6.53626666666666)</f>
        <v>6.53626666666666</v>
      </c>
      <c r="L308" s="143" t="str">
        <f ca="1"/>
        <v>Wiris Variasi</v>
      </c>
      <c r="M308" s="127"/>
      <c r="N308" s="127"/>
      <c r="O308" s="127"/>
      <c r="P308" s="127"/>
      <c r="Q308" s="127"/>
      <c r="R308" s="127"/>
      <c r="S308" s="127"/>
      <c r="T308" s="127"/>
      <c r="U308" s="127"/>
      <c r="V308" s="127"/>
      <c r="W308" s="127"/>
      <c r="X308" s="127"/>
      <c r="Y308" s="127"/>
      <c r="Z308" s="127"/>
      <c r="AA308" s="127"/>
    </row>
    <row r="309" spans="1:27">
      <c r="A309" s="127">
        <f ca="1">IFERROR(__xludf.DUMMYFUNCTION("""COMPUTED_VALUE"""),174904221976312)</f>
        <v>174904221976312</v>
      </c>
      <c r="B309" s="127" t="str">
        <f ca="1">IFERROR(__xludf.DUMMYFUNCTION("""COMPUTED_VALUE"""),"120231118398810694")</f>
        <v>120231118398810694</v>
      </c>
      <c r="C309" s="127" t="str">
        <f ca="1">IFERROR(__xludf.DUMMYFUNCTION("""COMPUTED_VALUE"""),"Totok saraf")</f>
        <v>Totok saraf</v>
      </c>
      <c r="D309" s="138" t="str">
        <f ca="1">IFERROR(__xludf.DUMMYFUNCTION("""COMPUTED_VALUE"""),"https://wa.me/6281330410391")</f>
        <v>https://wa.me/6281330410391</v>
      </c>
      <c r="E309" s="139" t="str">
        <f ca="1">IFERROR(__xludf.DUMMYFUNCTION("""COMPUTED_VALUE"""),"6281330410391")</f>
        <v>6281330410391</v>
      </c>
      <c r="F309" s="139">
        <f ca="1">IFERROR(__xludf.DUMMYFUNCTION("""COMPUTED_VALUE"""),19670)</f>
        <v>19670</v>
      </c>
      <c r="G309" s="139">
        <f ca="1">IFERROR(__xludf.DUMMYFUNCTION("""COMPUTED_VALUE"""),17544.8214285714)</f>
        <v>17544.821428571398</v>
      </c>
      <c r="H309" s="139">
        <f ca="1">IFERROR(__xludf.DUMMYFUNCTION("""COMPUTED_VALUE"""),169)</f>
        <v>169</v>
      </c>
      <c r="I309" s="140">
        <f ca="1">IFERROR(__xludf.DUMMYFUNCTION("""COMPUTED_VALUE"""),400701)</f>
        <v>400701</v>
      </c>
      <c r="J309" s="141">
        <f ca="1">IFERROR(__xludf.DUMMYFUNCTION("""COMPUTED_VALUE"""),2371.01183431952)</f>
        <v>2371.0118343195199</v>
      </c>
      <c r="K309" s="142">
        <f ca="1">IFERROR(__xludf.DUMMYFUNCTION("""COMPUTED_VALUE"""),26.7134)</f>
        <v>26.7134</v>
      </c>
      <c r="L309" s="143" t="str">
        <f ca="1"/>
        <v>Wiris Variasi</v>
      </c>
      <c r="M309" s="127"/>
      <c r="N309" s="127"/>
      <c r="O309" s="127"/>
      <c r="P309" s="127"/>
      <c r="Q309" s="127"/>
      <c r="R309" s="127"/>
      <c r="S309" s="127"/>
      <c r="T309" s="127"/>
      <c r="U309" s="127"/>
      <c r="V309" s="127"/>
      <c r="W309" s="127"/>
      <c r="X309" s="127"/>
      <c r="Y309" s="127"/>
      <c r="Z309" s="127"/>
      <c r="AA309" s="127"/>
    </row>
    <row r="310" spans="1:27">
      <c r="A310" s="127">
        <f ca="1">IFERROR(__xludf.DUMMYFUNCTION("""COMPUTED_VALUE"""),174904221976312)</f>
        <v>174904221976312</v>
      </c>
      <c r="B310" s="127" t="str">
        <f ca="1">IFERROR(__xludf.DUMMYFUNCTION("""COMPUTED_VALUE"""),"120231118865480694")</f>
        <v>120231118865480694</v>
      </c>
      <c r="C310" s="127" t="str">
        <f ca="1">IFERROR(__xludf.DUMMYFUNCTION("""COMPUTED_VALUE"""),"TOYOTA TUNAS")</f>
        <v>TOYOTA TUNAS</v>
      </c>
      <c r="D310" s="138" t="str">
        <f ca="1">IFERROR(__xludf.DUMMYFUNCTION("""COMPUTED_VALUE"""),"https://wa.me/6281316807185")</f>
        <v>https://wa.me/6281316807185</v>
      </c>
      <c r="E310" s="139" t="str">
        <f ca="1">IFERROR(__xludf.DUMMYFUNCTION("""COMPUTED_VALUE"""),"6281316807185")</f>
        <v>6281316807185</v>
      </c>
      <c r="F310" s="139">
        <f ca="1">IFERROR(__xludf.DUMMYFUNCTION("""COMPUTED_VALUE"""),1173)</f>
        <v>1173</v>
      </c>
      <c r="G310" s="139">
        <f ca="1">IFERROR(__xludf.DUMMYFUNCTION("""COMPUTED_VALUE"""),48558.4)</f>
        <v>48558.400000000001</v>
      </c>
      <c r="H310" s="139">
        <f ca="1">IFERROR(__xludf.DUMMYFUNCTION("""COMPUTED_VALUE"""),9)</f>
        <v>9</v>
      </c>
      <c r="I310" s="140">
        <f ca="1">IFERROR(__xludf.DUMMYFUNCTION("""COMPUTED_VALUE"""),61169)</f>
        <v>61169</v>
      </c>
      <c r="J310" s="141">
        <f ca="1">IFERROR(__xludf.DUMMYFUNCTION("""COMPUTED_VALUE"""),6796.55555555555)</f>
        <v>6796.5555555555502</v>
      </c>
      <c r="K310" s="142">
        <f ca="1">IFERROR(__xludf.DUMMYFUNCTION("""COMPUTED_VALUE"""),4.07793333333333)</f>
        <v>4.0779333333333296</v>
      </c>
      <c r="L310" s="143" t="str">
        <f ca="1"/>
        <v>Wiris Variasi</v>
      </c>
      <c r="M310" s="127"/>
      <c r="N310" s="127"/>
      <c r="O310" s="127"/>
      <c r="P310" s="127"/>
      <c r="Q310" s="127"/>
      <c r="R310" s="127"/>
      <c r="S310" s="127"/>
      <c r="T310" s="127"/>
      <c r="U310" s="127"/>
      <c r="V310" s="127"/>
      <c r="W310" s="127"/>
      <c r="X310" s="127"/>
      <c r="Y310" s="127"/>
      <c r="Z310" s="127"/>
      <c r="AA310" s="127"/>
    </row>
    <row r="311" spans="1:27">
      <c r="A311" s="127">
        <f ca="1">IFERROR(__xludf.DUMMYFUNCTION("""COMPUTED_VALUE"""),174904221976312)</f>
        <v>174904221976312</v>
      </c>
      <c r="B311" s="127" t="str">
        <f ca="1">IFERROR(__xludf.DUMMYFUNCTION("""COMPUTED_VALUE"""),"120231232396990694")</f>
        <v>120231232396990694</v>
      </c>
      <c r="C311" s="127" t="str">
        <f ca="1">IFERROR(__xludf.DUMMYFUNCTION("""COMPUTED_VALUE"""),"Andin Berkah")</f>
        <v>Andin Berkah</v>
      </c>
      <c r="D311" s="138" t="str">
        <f ca="1">IFERROR(__xludf.DUMMYFUNCTION("""COMPUTED_VALUE"""),"https://wa.me/6285741888828")</f>
        <v>https://wa.me/6285741888828</v>
      </c>
      <c r="E311" s="139" t="str">
        <f ca="1">IFERROR(__xludf.DUMMYFUNCTION("""COMPUTED_VALUE"""),"6285741888828")</f>
        <v>6285741888828</v>
      </c>
      <c r="F311" s="139">
        <f ca="1">IFERROR(__xludf.DUMMYFUNCTION("""COMPUTED_VALUE"""),1576)</f>
        <v>1576</v>
      </c>
      <c r="G311" s="139">
        <f ca="1">IFERROR(__xludf.DUMMYFUNCTION("""COMPUTED_VALUE"""),43113.4)</f>
        <v>43113.4</v>
      </c>
      <c r="H311" s="139">
        <f ca="1">IFERROR(__xludf.DUMMYFUNCTION("""COMPUTED_VALUE"""),5)</f>
        <v>5</v>
      </c>
      <c r="I311" s="140">
        <f ca="1">IFERROR(__xludf.DUMMYFUNCTION("""COMPUTED_VALUE"""),70053)</f>
        <v>70053</v>
      </c>
      <c r="J311" s="141">
        <f ca="1">IFERROR(__xludf.DUMMYFUNCTION("""COMPUTED_VALUE"""),14010.6)</f>
        <v>14010.6</v>
      </c>
      <c r="K311" s="142">
        <f ca="1">IFERROR(__xludf.DUMMYFUNCTION("""COMPUTED_VALUE"""),4.6702)</f>
        <v>4.6702000000000004</v>
      </c>
      <c r="L311" s="143" t="str">
        <f ca="1"/>
        <v>Wiris Variasi</v>
      </c>
      <c r="M311" s="127"/>
      <c r="N311" s="127"/>
      <c r="O311" s="127"/>
      <c r="P311" s="127"/>
      <c r="Q311" s="127"/>
      <c r="R311" s="127"/>
      <c r="S311" s="127"/>
      <c r="T311" s="127"/>
      <c r="U311" s="127"/>
      <c r="V311" s="127"/>
      <c r="W311" s="127"/>
      <c r="X311" s="127"/>
      <c r="Y311" s="127"/>
      <c r="Z311" s="127"/>
      <c r="AA311" s="127"/>
    </row>
    <row r="312" spans="1:27">
      <c r="A312" s="127">
        <f ca="1">IFERROR(__xludf.DUMMYFUNCTION("""COMPUTED_VALUE"""),174904221976312)</f>
        <v>174904221976312</v>
      </c>
      <c r="B312" s="127" t="str">
        <f ca="1">IFERROR(__xludf.DUMMYFUNCTION("""COMPUTED_VALUE"""),"120231232791260694")</f>
        <v>120231232791260694</v>
      </c>
      <c r="C312" s="127" t="str">
        <f ca="1">IFERROR(__xludf.DUMMYFUNCTION("""COMPUTED_VALUE"""),"Ameera utama")</f>
        <v>Ameera utama</v>
      </c>
      <c r="D312" s="138" t="str">
        <f ca="1">IFERROR(__xludf.DUMMYFUNCTION("""COMPUTED_VALUE"""),"https://wa.me/628112656686")</f>
        <v>https://wa.me/628112656686</v>
      </c>
      <c r="E312" s="139" t="str">
        <f ca="1">IFERROR(__xludf.DUMMYFUNCTION("""COMPUTED_VALUE"""),"628112656686")</f>
        <v>628112656686</v>
      </c>
      <c r="F312" s="139">
        <f ca="1">IFERROR(__xludf.DUMMYFUNCTION("""COMPUTED_VALUE"""),2154)</f>
        <v>2154</v>
      </c>
      <c r="G312" s="139">
        <f ca="1">IFERROR(__xludf.DUMMYFUNCTION("""COMPUTED_VALUE"""),34411.8)</f>
        <v>34411.800000000003</v>
      </c>
      <c r="H312" s="139">
        <f ca="1">IFERROR(__xludf.DUMMYFUNCTION("""COMPUTED_VALUE"""),3)</f>
        <v>3</v>
      </c>
      <c r="I312" s="140">
        <f ca="1">IFERROR(__xludf.DUMMYFUNCTION("""COMPUTED_VALUE"""),67886)</f>
        <v>67886</v>
      </c>
      <c r="J312" s="141">
        <f ca="1">IFERROR(__xludf.DUMMYFUNCTION("""COMPUTED_VALUE"""),22628.6666666666)</f>
        <v>22628.666666666599</v>
      </c>
      <c r="K312" s="142">
        <f ca="1">IFERROR(__xludf.DUMMYFUNCTION("""COMPUTED_VALUE"""),4.52573333333333)</f>
        <v>4.5257333333333296</v>
      </c>
      <c r="L312" s="143" t="str">
        <f ca="1"/>
        <v>Wiris Variasi</v>
      </c>
      <c r="M312" s="127"/>
      <c r="N312" s="127"/>
      <c r="O312" s="127"/>
      <c r="P312" s="127"/>
      <c r="Q312" s="127"/>
      <c r="R312" s="127"/>
      <c r="S312" s="127"/>
      <c r="T312" s="127"/>
      <c r="U312" s="127"/>
      <c r="V312" s="127"/>
      <c r="W312" s="127"/>
      <c r="X312" s="127"/>
      <c r="Y312" s="127"/>
      <c r="Z312" s="127"/>
      <c r="AA312" s="127"/>
    </row>
    <row r="313" spans="1:27">
      <c r="A313" s="127">
        <f ca="1">IFERROR(__xludf.DUMMYFUNCTION("""COMPUTED_VALUE"""),174904221976312)</f>
        <v>174904221976312</v>
      </c>
      <c r="B313" s="127" t="str">
        <f ca="1">IFERROR(__xludf.DUMMYFUNCTION("""COMPUTED_VALUE"""),"120231233043910694")</f>
        <v>120231233043910694</v>
      </c>
      <c r="C313" s="127" t="str">
        <f ca="1">IFERROR(__xludf.DUMMYFUNCTION("""COMPUTED_VALUE"""),"PHINISEA")</f>
        <v>PHINISEA</v>
      </c>
      <c r="D313" s="138" t="str">
        <f ca="1">IFERROR(__xludf.DUMMYFUNCTION("""COMPUTED_VALUE"""),"https://wa.me/6281315163838")</f>
        <v>https://wa.me/6281315163838</v>
      </c>
      <c r="E313" s="139" t="str">
        <f ca="1">IFERROR(__xludf.DUMMYFUNCTION("""COMPUTED_VALUE"""),"6281315163838")</f>
        <v>6281315163838</v>
      </c>
      <c r="F313" s="139">
        <f ca="1">IFERROR(__xludf.DUMMYFUNCTION("""COMPUTED_VALUE"""),9672)</f>
        <v>9672</v>
      </c>
      <c r="G313" s="139">
        <f ca="1">IFERROR(__xludf.DUMMYFUNCTION("""COMPUTED_VALUE"""),45275.9677419354)</f>
        <v>45275.967741935397</v>
      </c>
      <c r="H313" s="139">
        <f ca="1">IFERROR(__xludf.DUMMYFUNCTION("""COMPUTED_VALUE"""),50)</f>
        <v>50</v>
      </c>
      <c r="I313" s="140">
        <f ca="1">IFERROR(__xludf.DUMMYFUNCTION("""COMPUTED_VALUE"""),435159)</f>
        <v>435159</v>
      </c>
      <c r="J313" s="141">
        <f ca="1">IFERROR(__xludf.DUMMYFUNCTION("""COMPUTED_VALUE"""),8703.18)</f>
        <v>8703.18</v>
      </c>
      <c r="K313" s="142">
        <f ca="1">IFERROR(__xludf.DUMMYFUNCTION("""COMPUTED_VALUE"""),29.0106)</f>
        <v>29.0106</v>
      </c>
      <c r="L313" s="143" t="str">
        <f ca="1"/>
        <v>Wiris Variasi</v>
      </c>
      <c r="M313" s="127"/>
      <c r="N313" s="127"/>
      <c r="O313" s="127"/>
      <c r="P313" s="127"/>
      <c r="Q313" s="127"/>
      <c r="R313" s="127"/>
      <c r="S313" s="127"/>
      <c r="T313" s="127"/>
      <c r="U313" s="127"/>
      <c r="V313" s="127"/>
      <c r="W313" s="127"/>
      <c r="X313" s="127"/>
      <c r="Y313" s="127"/>
      <c r="Z313" s="127"/>
      <c r="AA313" s="127"/>
    </row>
    <row r="314" spans="1:27">
      <c r="A314" s="127">
        <f ca="1">IFERROR(__xludf.DUMMYFUNCTION("""COMPUTED_VALUE"""),174904221976312)</f>
        <v>174904221976312</v>
      </c>
      <c r="B314" s="127" t="str">
        <f ca="1">IFERROR(__xludf.DUMMYFUNCTION("""COMPUTED_VALUE"""),"120231241160470694")</f>
        <v>120231241160470694</v>
      </c>
      <c r="C314" s="127" t="str">
        <f ca="1">IFERROR(__xludf.DUMMYFUNCTION("""COMPUTED_VALUE"""),"FG teknik")</f>
        <v>FG teknik</v>
      </c>
      <c r="D314" s="138" t="str">
        <f ca="1">IFERROR(__xludf.DUMMYFUNCTION("""COMPUTED_VALUE"""),"https://wa.me/6282171085542")</f>
        <v>https://wa.me/6282171085542</v>
      </c>
      <c r="E314" s="139" t="str">
        <f ca="1">IFERROR(__xludf.DUMMYFUNCTION("""COMPUTED_VALUE"""),"6282171085542")</f>
        <v>6282171085542</v>
      </c>
      <c r="F314" s="139">
        <f ca="1">IFERROR(__xludf.DUMMYFUNCTION("""COMPUTED_VALUE"""),4047)</f>
        <v>4047</v>
      </c>
      <c r="G314" s="139">
        <f ca="1">IFERROR(__xludf.DUMMYFUNCTION("""COMPUTED_VALUE"""),16237.8)</f>
        <v>16237.8</v>
      </c>
      <c r="H314" s="139">
        <f ca="1">IFERROR(__xludf.DUMMYFUNCTION("""COMPUTED_VALUE"""),8)</f>
        <v>8</v>
      </c>
      <c r="I314" s="140">
        <f ca="1">IFERROR(__xludf.DUMMYFUNCTION("""COMPUTED_VALUE"""),68561)</f>
        <v>68561</v>
      </c>
      <c r="J314" s="141">
        <f ca="1">IFERROR(__xludf.DUMMYFUNCTION("""COMPUTED_VALUE"""),8570.125)</f>
        <v>8570.125</v>
      </c>
      <c r="K314" s="142">
        <f ca="1">IFERROR(__xludf.DUMMYFUNCTION("""COMPUTED_VALUE"""),4.57073333333333)</f>
        <v>4.5707333333333304</v>
      </c>
      <c r="L314" s="143" t="str">
        <f ca="1"/>
        <v>Wiris Variasi</v>
      </c>
      <c r="M314" s="127"/>
      <c r="N314" s="127"/>
      <c r="O314" s="127"/>
      <c r="P314" s="127"/>
      <c r="Q314" s="127"/>
      <c r="R314" s="127"/>
      <c r="S314" s="127"/>
      <c r="T314" s="127"/>
      <c r="U314" s="127"/>
      <c r="V314" s="127"/>
      <c r="W314" s="127"/>
      <c r="X314" s="127"/>
      <c r="Y314" s="127"/>
      <c r="Z314" s="127"/>
      <c r="AA314" s="127"/>
    </row>
    <row r="315" spans="1:27">
      <c r="A315" s="127">
        <f ca="1">IFERROR(__xludf.DUMMYFUNCTION("""COMPUTED_VALUE"""),174904221976312)</f>
        <v>174904221976312</v>
      </c>
      <c r="B315" s="127" t="str">
        <f ca="1">IFERROR(__xludf.DUMMYFUNCTION("""COMPUTED_VALUE"""),"120231241330280694")</f>
        <v>120231241330280694</v>
      </c>
      <c r="C315" s="127" t="str">
        <f ca="1">IFERROR(__xludf.DUMMYFUNCTION("""COMPUTED_VALUE"""),"Totok Syaraf")</f>
        <v>Totok Syaraf</v>
      </c>
      <c r="D315" s="138" t="str">
        <f ca="1">IFERROR(__xludf.DUMMYFUNCTION("""COMPUTED_VALUE"""),"https://wa.me/6285169730762")</f>
        <v>https://wa.me/6285169730762</v>
      </c>
      <c r="E315" s="139" t="str">
        <f ca="1">IFERROR(__xludf.DUMMYFUNCTION("""COMPUTED_VALUE"""),"6285169730762")</f>
        <v>6285169730762</v>
      </c>
      <c r="F315" s="139">
        <f ca="1">IFERROR(__xludf.DUMMYFUNCTION("""COMPUTED_VALUE"""),13253)</f>
        <v>13253</v>
      </c>
      <c r="G315" s="139">
        <f ca="1">IFERROR(__xludf.DUMMYFUNCTION("""COMPUTED_VALUE"""),11628.4545454545)</f>
        <v>11628.4545454545</v>
      </c>
      <c r="H315" s="139">
        <f ca="1">IFERROR(__xludf.DUMMYFUNCTION("""COMPUTED_VALUE"""),119)</f>
        <v>119</v>
      </c>
      <c r="I315" s="140">
        <f ca="1">IFERROR(__xludf.DUMMYFUNCTION("""COMPUTED_VALUE"""),149427)</f>
        <v>149427</v>
      </c>
      <c r="J315" s="141">
        <f ca="1">IFERROR(__xludf.DUMMYFUNCTION("""COMPUTED_VALUE"""),1255.68907563025)</f>
        <v>1255.68907563025</v>
      </c>
      <c r="K315" s="142">
        <f ca="1">IFERROR(__xludf.DUMMYFUNCTION("""COMPUTED_VALUE"""),9.9618)</f>
        <v>9.9618000000000002</v>
      </c>
      <c r="L315" s="143" t="str">
        <f ca="1"/>
        <v>Wiris Variasi</v>
      </c>
      <c r="M315" s="127"/>
      <c r="N315" s="127"/>
      <c r="O315" s="127"/>
      <c r="P315" s="127"/>
      <c r="Q315" s="127"/>
      <c r="R315" s="127"/>
      <c r="S315" s="127"/>
      <c r="T315" s="127"/>
      <c r="U315" s="127"/>
      <c r="V315" s="127"/>
      <c r="W315" s="127"/>
      <c r="X315" s="127"/>
      <c r="Y315" s="127"/>
      <c r="Z315" s="127"/>
      <c r="AA315" s="127"/>
    </row>
    <row r="316" spans="1:27">
      <c r="A316" s="127">
        <f ca="1">IFERROR(__xludf.DUMMYFUNCTION("""COMPUTED_VALUE"""),174904221976312)</f>
        <v>174904221976312</v>
      </c>
      <c r="B316" s="127" t="str">
        <f ca="1">IFERROR(__xludf.DUMMYFUNCTION("""COMPUTED_VALUE"""),"120231245397520694")</f>
        <v>120231245397520694</v>
      </c>
      <c r="C316" s="127" t="str">
        <f ca="1">IFERROR(__xludf.DUMMYFUNCTION("""COMPUTED_VALUE"""),"INTITOUR")</f>
        <v>INTITOUR</v>
      </c>
      <c r="D316" s="138" t="str">
        <f ca="1">IFERROR(__xludf.DUMMYFUNCTION("""COMPUTED_VALUE"""),"https://wa.me/6287842913251")</f>
        <v>https://wa.me/6287842913251</v>
      </c>
      <c r="E316" s="139" t="str">
        <f ca="1">IFERROR(__xludf.DUMMYFUNCTION("""COMPUTED_VALUE"""),"6287842913251")</f>
        <v>6287842913251</v>
      </c>
      <c r="F316" s="139">
        <f ca="1">IFERROR(__xludf.DUMMYFUNCTION("""COMPUTED_VALUE"""),1881)</f>
        <v>1881</v>
      </c>
      <c r="G316" s="139">
        <f ca="1">IFERROR(__xludf.DUMMYFUNCTION("""COMPUTED_VALUE"""),43254)</f>
        <v>43254</v>
      </c>
      <c r="H316" s="139">
        <f ca="1">IFERROR(__xludf.DUMMYFUNCTION("""COMPUTED_VALUE"""),1)</f>
        <v>1</v>
      </c>
      <c r="I316" s="140">
        <f ca="1">IFERROR(__xludf.DUMMYFUNCTION("""COMPUTED_VALUE"""),81534)</f>
        <v>81534</v>
      </c>
      <c r="J316" s="141">
        <f ca="1">IFERROR(__xludf.DUMMYFUNCTION("""COMPUTED_VALUE"""),81534)</f>
        <v>81534</v>
      </c>
      <c r="K316" s="142">
        <f ca="1">IFERROR(__xludf.DUMMYFUNCTION("""COMPUTED_VALUE"""),5.4356)</f>
        <v>5.4356</v>
      </c>
      <c r="L316" s="143" t="str">
        <f ca="1"/>
        <v>Wiris Variasi</v>
      </c>
      <c r="M316" s="127"/>
      <c r="N316" s="127"/>
      <c r="O316" s="127"/>
      <c r="P316" s="127"/>
      <c r="Q316" s="127"/>
      <c r="R316" s="127"/>
      <c r="S316" s="127"/>
      <c r="T316" s="127"/>
      <c r="U316" s="127"/>
      <c r="V316" s="127"/>
      <c r="W316" s="127"/>
      <c r="X316" s="127"/>
      <c r="Y316" s="127"/>
      <c r="Z316" s="127"/>
      <c r="AA316" s="127"/>
    </row>
    <row r="317" spans="1:27">
      <c r="A317" s="127">
        <f ca="1">IFERROR(__xludf.DUMMYFUNCTION("""COMPUTED_VALUE"""),174904221976312)</f>
        <v>174904221976312</v>
      </c>
      <c r="B317" s="127" t="str">
        <f ca="1">IFERROR(__xludf.DUMMYFUNCTION("""COMPUTED_VALUE"""),"120231298639100694")</f>
        <v>120231298639100694</v>
      </c>
      <c r="C317" s="127" t="str">
        <f ca="1">IFERROR(__xludf.DUMMYFUNCTION("""COMPUTED_VALUE"""),"Aufadina Tour")</f>
        <v>Aufadina Tour</v>
      </c>
      <c r="D317" s="138" t="str">
        <f ca="1">IFERROR(__xludf.DUMMYFUNCTION("""COMPUTED_VALUE"""),"https://wa.me/6281513169730")</f>
        <v>https://wa.me/6281513169730</v>
      </c>
      <c r="E317" s="139" t="str">
        <f ca="1">IFERROR(__xludf.DUMMYFUNCTION("""COMPUTED_VALUE"""),"6281513169730")</f>
        <v>6281513169730</v>
      </c>
      <c r="F317" s="139">
        <f ca="1">IFERROR(__xludf.DUMMYFUNCTION("""COMPUTED_VALUE"""),1042)</f>
        <v>1042</v>
      </c>
      <c r="G317" s="139">
        <f ca="1">IFERROR(__xludf.DUMMYFUNCTION("""COMPUTED_VALUE"""),75135.5)</f>
        <v>75135.5</v>
      </c>
      <c r="H317" s="139">
        <f ca="1">IFERROR(__xludf.DUMMYFUNCTION("""COMPUTED_VALUE"""),2)</f>
        <v>2</v>
      </c>
      <c r="I317" s="140">
        <f ca="1">IFERROR(__xludf.DUMMYFUNCTION("""COMPUTED_VALUE"""),75580)</f>
        <v>75580</v>
      </c>
      <c r="J317" s="141">
        <f ca="1">IFERROR(__xludf.DUMMYFUNCTION("""COMPUTED_VALUE"""),37790)</f>
        <v>37790</v>
      </c>
      <c r="K317" s="142">
        <f ca="1">IFERROR(__xludf.DUMMYFUNCTION("""COMPUTED_VALUE"""),5.03866666666666)</f>
        <v>5.0386666666666597</v>
      </c>
      <c r="L317" s="143" t="str">
        <f ca="1"/>
        <v>Wiris Variasi</v>
      </c>
      <c r="M317" s="127"/>
      <c r="N317" s="127"/>
      <c r="O317" s="127"/>
      <c r="P317" s="127"/>
      <c r="Q317" s="127"/>
      <c r="R317" s="127"/>
      <c r="S317" s="127"/>
      <c r="T317" s="127"/>
      <c r="U317" s="127"/>
      <c r="V317" s="127"/>
      <c r="W317" s="127"/>
      <c r="X317" s="127"/>
      <c r="Y317" s="127"/>
      <c r="Z317" s="127"/>
      <c r="AA317" s="127"/>
    </row>
    <row r="318" spans="1:27">
      <c r="A318" s="127">
        <f ca="1">IFERROR(__xludf.DUMMYFUNCTION("""COMPUTED_VALUE"""),174904221976312)</f>
        <v>174904221976312</v>
      </c>
      <c r="B318" s="127" t="str">
        <f ca="1">IFERROR(__xludf.DUMMYFUNCTION("""COMPUTED_VALUE"""),"120231299073280694")</f>
        <v>120231299073280694</v>
      </c>
      <c r="C318" s="127" t="str">
        <f ca="1">IFERROR(__xludf.DUMMYFUNCTION("""COMPUTED_VALUE"""),"Jari Jempol")</f>
        <v>Jari Jempol</v>
      </c>
      <c r="D318" s="138" t="str">
        <f ca="1">IFERROR(__xludf.DUMMYFUNCTION("""COMPUTED_VALUE"""),"https://wa.me/6285642368174")</f>
        <v>https://wa.me/6285642368174</v>
      </c>
      <c r="E318" s="139" t="str">
        <f ca="1">IFERROR(__xludf.DUMMYFUNCTION("""COMPUTED_VALUE"""),"6285642368174")</f>
        <v>6285642368174</v>
      </c>
      <c r="F318" s="139">
        <f ca="1">IFERROR(__xludf.DUMMYFUNCTION("""COMPUTED_VALUE"""),5218)</f>
        <v>5218</v>
      </c>
      <c r="G318" s="139">
        <f ca="1">IFERROR(__xludf.DUMMYFUNCTION("""COMPUTED_VALUE"""),13645.1666666666)</f>
        <v>13645.166666666601</v>
      </c>
      <c r="H318" s="139">
        <f ca="1">IFERROR(__xludf.DUMMYFUNCTION("""COMPUTED_VALUE"""),16)</f>
        <v>16</v>
      </c>
      <c r="I318" s="140">
        <f ca="1">IFERROR(__xludf.DUMMYFUNCTION("""COMPUTED_VALUE"""),79786)</f>
        <v>79786</v>
      </c>
      <c r="J318" s="141">
        <f ca="1">IFERROR(__xludf.DUMMYFUNCTION("""COMPUTED_VALUE"""),4986.625)</f>
        <v>4986.625</v>
      </c>
      <c r="K318" s="142">
        <f ca="1">IFERROR(__xludf.DUMMYFUNCTION("""COMPUTED_VALUE"""),5.31906666666666)</f>
        <v>5.3190666666666599</v>
      </c>
      <c r="L318" s="143" t="str">
        <f ca="1"/>
        <v>Wiris Variasi</v>
      </c>
      <c r="M318" s="127"/>
      <c r="N318" s="127"/>
      <c r="O318" s="127"/>
      <c r="P318" s="127"/>
      <c r="Q318" s="127"/>
      <c r="R318" s="127"/>
      <c r="S318" s="127"/>
      <c r="T318" s="127"/>
      <c r="U318" s="127"/>
      <c r="V318" s="127"/>
      <c r="W318" s="127"/>
      <c r="X318" s="127"/>
      <c r="Y318" s="127"/>
      <c r="Z318" s="127"/>
      <c r="AA318" s="127"/>
    </row>
    <row r="319" spans="1:27">
      <c r="A319" s="127">
        <f ca="1">IFERROR(__xludf.DUMMYFUNCTION("""COMPUTED_VALUE"""),174904221976312)</f>
        <v>174904221976312</v>
      </c>
      <c r="B319" s="127" t="str">
        <f ca="1">IFERROR(__xludf.DUMMYFUNCTION("""COMPUTED_VALUE"""),"120231299258430694")</f>
        <v>120231299258430694</v>
      </c>
      <c r="C319" s="127" t="str">
        <f ca="1">IFERROR(__xludf.DUMMYFUNCTION("""COMPUTED_VALUE"""),"Dude Tour")</f>
        <v>Dude Tour</v>
      </c>
      <c r="D319" s="138" t="str">
        <f ca="1">IFERROR(__xludf.DUMMYFUNCTION("""COMPUTED_VALUE"""),"https://wa.me/6287777304498")</f>
        <v>https://wa.me/6287777304498</v>
      </c>
      <c r="E319" s="139" t="str">
        <f ca="1">IFERROR(__xludf.DUMMYFUNCTION("""COMPUTED_VALUE"""),"6287777304498")</f>
        <v>6287777304498</v>
      </c>
      <c r="F319" s="139">
        <f ca="1">IFERROR(__xludf.DUMMYFUNCTION("""COMPUTED_VALUE"""),3372)</f>
        <v>3372</v>
      </c>
      <c r="G319" s="139">
        <f ca="1">IFERROR(__xludf.DUMMYFUNCTION("""COMPUTED_VALUE"""),63258.5333333333)</f>
        <v>63258.533333333296</v>
      </c>
      <c r="H319" s="139">
        <f ca="1">IFERROR(__xludf.DUMMYFUNCTION("""COMPUTED_VALUE"""),17)</f>
        <v>17</v>
      </c>
      <c r="I319" s="140">
        <f ca="1">IFERROR(__xludf.DUMMYFUNCTION("""COMPUTED_VALUE"""),207300)</f>
        <v>207300</v>
      </c>
      <c r="J319" s="141">
        <f ca="1">IFERROR(__xludf.DUMMYFUNCTION("""COMPUTED_VALUE"""),12194.1176470588)</f>
        <v>12194.1176470588</v>
      </c>
      <c r="K319" s="142">
        <f ca="1">IFERROR(__xludf.DUMMYFUNCTION("""COMPUTED_VALUE"""),13.82)</f>
        <v>13.82</v>
      </c>
      <c r="L319" s="143" t="str">
        <f ca="1"/>
        <v>Wiris Variasi</v>
      </c>
      <c r="M319" s="127"/>
      <c r="N319" s="127"/>
      <c r="O319" s="127"/>
      <c r="P319" s="127"/>
      <c r="Q319" s="127"/>
      <c r="R319" s="127"/>
      <c r="S319" s="127"/>
      <c r="T319" s="127"/>
      <c r="U319" s="127"/>
      <c r="V319" s="127"/>
      <c r="W319" s="127"/>
      <c r="X319" s="127"/>
      <c r="Y319" s="127"/>
      <c r="Z319" s="127"/>
      <c r="AA319" s="127"/>
    </row>
    <row r="320" spans="1:27">
      <c r="A320" s="127">
        <f ca="1">IFERROR(__xludf.DUMMYFUNCTION("""COMPUTED_VALUE"""),174904221976312)</f>
        <v>174904221976312</v>
      </c>
      <c r="B320" s="127" t="str">
        <f ca="1">IFERROR(__xludf.DUMMYFUNCTION("""COMPUTED_VALUE"""),"120231299560650694")</f>
        <v>120231299560650694</v>
      </c>
      <c r="C320" s="127" t="str">
        <f ca="1">IFERROR(__xludf.DUMMYFUNCTION("""COMPUTED_VALUE"""),"Jibran Holiday")</f>
        <v>Jibran Holiday</v>
      </c>
      <c r="D320" s="138" t="str">
        <f ca="1">IFERROR(__xludf.DUMMYFUNCTION("""COMPUTED_VALUE"""),"https://wa.me/6285920572002")</f>
        <v>https://wa.me/6285920572002</v>
      </c>
      <c r="E320" s="139" t="str">
        <f ca="1">IFERROR(__xludf.DUMMYFUNCTION("""COMPUTED_VALUE"""),"6285920572002")</f>
        <v>6285920572002</v>
      </c>
      <c r="F320" s="139">
        <f ca="1">IFERROR(__xludf.DUMMYFUNCTION("""COMPUTED_VALUE"""),3029)</f>
        <v>3029</v>
      </c>
      <c r="G320" s="139">
        <f ca="1">IFERROR(__xludf.DUMMYFUNCTION("""COMPUTED_VALUE"""),32650.375)</f>
        <v>32650.375</v>
      </c>
      <c r="H320" s="139">
        <f ca="1">IFERROR(__xludf.DUMMYFUNCTION("""COMPUTED_VALUE"""),21)</f>
        <v>21</v>
      </c>
      <c r="I320" s="140">
        <f ca="1">IFERROR(__xludf.DUMMYFUNCTION("""COMPUTED_VALUE"""),106481)</f>
        <v>106481</v>
      </c>
      <c r="J320" s="141">
        <f ca="1">IFERROR(__xludf.DUMMYFUNCTION("""COMPUTED_VALUE"""),5070.5238095238)</f>
        <v>5070.5238095238001</v>
      </c>
      <c r="K320" s="142">
        <f ca="1">IFERROR(__xludf.DUMMYFUNCTION("""COMPUTED_VALUE"""),7.09873333333333)</f>
        <v>7.09873333333333</v>
      </c>
      <c r="L320" s="143" t="str">
        <f ca="1"/>
        <v>Wiris Variasi</v>
      </c>
      <c r="M320" s="127"/>
      <c r="N320" s="127"/>
      <c r="O320" s="127"/>
      <c r="P320" s="127"/>
      <c r="Q320" s="127"/>
      <c r="R320" s="127"/>
      <c r="S320" s="127"/>
      <c r="T320" s="127"/>
      <c r="U320" s="127"/>
      <c r="V320" s="127"/>
      <c r="W320" s="127"/>
      <c r="X320" s="127"/>
      <c r="Y320" s="127"/>
      <c r="Z320" s="127"/>
      <c r="AA320" s="127"/>
    </row>
    <row r="321" spans="1:27">
      <c r="A321" s="127">
        <f ca="1">IFERROR(__xludf.DUMMYFUNCTION("""COMPUTED_VALUE"""),174904221976312)</f>
        <v>174904221976312</v>
      </c>
      <c r="B321" s="127" t="str">
        <f ca="1">IFERROR(__xludf.DUMMYFUNCTION("""COMPUTED_VALUE"""),"120231302535890694")</f>
        <v>120231302535890694</v>
      </c>
      <c r="C321" s="127" t="str">
        <f ca="1">IFERROR(__xludf.DUMMYFUNCTION("""COMPUTED_VALUE"""),"Bagus Uniform")</f>
        <v>Bagus Uniform</v>
      </c>
      <c r="D321" s="138" t="str">
        <f ca="1">IFERROR(__xludf.DUMMYFUNCTION("""COMPUTED_VALUE"""),"https://wa.me/6287836691500")</f>
        <v>https://wa.me/6287836691500</v>
      </c>
      <c r="E321" s="139" t="str">
        <f ca="1">IFERROR(__xludf.DUMMYFUNCTION("""COMPUTED_VALUE"""),"6287836691500")</f>
        <v>6287836691500</v>
      </c>
      <c r="F321" s="139">
        <f ca="1">IFERROR(__xludf.DUMMYFUNCTION("""COMPUTED_VALUE"""),2383)</f>
        <v>2383</v>
      </c>
      <c r="G321" s="139">
        <f ca="1">IFERROR(__xludf.DUMMYFUNCTION("""COMPUTED_VALUE"""),29886.3333333333)</f>
        <v>29886.333333333299</v>
      </c>
      <c r="H321" s="139">
        <f ca="1">IFERROR(__xludf.DUMMYFUNCTION("""COMPUTED_VALUE"""),4)</f>
        <v>4</v>
      </c>
      <c r="I321" s="140">
        <f ca="1">IFERROR(__xludf.DUMMYFUNCTION("""COMPUTED_VALUE"""),76528)</f>
        <v>76528</v>
      </c>
      <c r="J321" s="141">
        <f ca="1">IFERROR(__xludf.DUMMYFUNCTION("""COMPUTED_VALUE"""),19132)</f>
        <v>19132</v>
      </c>
      <c r="K321" s="142">
        <f ca="1">IFERROR(__xludf.DUMMYFUNCTION("""COMPUTED_VALUE"""),5.10186666666666)</f>
        <v>5.1018666666666599</v>
      </c>
      <c r="L321" s="143" t="str">
        <f ca="1"/>
        <v>Wiris Variasi</v>
      </c>
      <c r="M321" s="127"/>
      <c r="N321" s="127"/>
      <c r="O321" s="127"/>
      <c r="P321" s="127"/>
      <c r="Q321" s="127"/>
      <c r="R321" s="127"/>
      <c r="S321" s="127"/>
      <c r="T321" s="127"/>
      <c r="U321" s="127"/>
      <c r="V321" s="127"/>
      <c r="W321" s="127"/>
      <c r="X321" s="127"/>
      <c r="Y321" s="127"/>
      <c r="Z321" s="127"/>
      <c r="AA321" s="127"/>
    </row>
    <row r="322" spans="1:27">
      <c r="A322" s="127">
        <f ca="1">IFERROR(__xludf.DUMMYFUNCTION("""COMPUTED_VALUE"""),174904221976312)</f>
        <v>174904221976312</v>
      </c>
      <c r="B322" s="127" t="str">
        <f ca="1">IFERROR(__xludf.DUMMYFUNCTION("""COMPUTED_VALUE"""),"120231302907100694")</f>
        <v>120231302907100694</v>
      </c>
      <c r="C322" s="127" t="str">
        <f ca="1">IFERROR(__xludf.DUMMYFUNCTION("""COMPUTED_VALUE"""),"Kamila Cahaya")</f>
        <v>Kamila Cahaya</v>
      </c>
      <c r="D322" s="138" t="str">
        <f ca="1">IFERROR(__xludf.DUMMYFUNCTION("""COMPUTED_VALUE"""),"https://wa.me/628122577723")</f>
        <v>https://wa.me/628122577723</v>
      </c>
      <c r="E322" s="139" t="str">
        <f ca="1">IFERROR(__xludf.DUMMYFUNCTION("""COMPUTED_VALUE"""),"628122577723")</f>
        <v>628122577723</v>
      </c>
      <c r="F322" s="139">
        <f ca="1">IFERROR(__xludf.DUMMYFUNCTION("""COMPUTED_VALUE"""),9055)</f>
        <v>9055</v>
      </c>
      <c r="G322" s="139">
        <f ca="1">IFERROR(__xludf.DUMMYFUNCTION("""COMPUTED_VALUE"""),27599.4761904761)</f>
        <v>27599.4761904761</v>
      </c>
      <c r="H322" s="139">
        <f ca="1">IFERROR(__xludf.DUMMYFUNCTION("""COMPUTED_VALUE"""),26)</f>
        <v>26</v>
      </c>
      <c r="I322" s="140">
        <f ca="1">IFERROR(__xludf.DUMMYFUNCTION("""COMPUTED_VALUE"""),291288)</f>
        <v>291288</v>
      </c>
      <c r="J322" s="141">
        <f ca="1">IFERROR(__xludf.DUMMYFUNCTION("""COMPUTED_VALUE"""),11203.3846153846)</f>
        <v>11203.384615384601</v>
      </c>
      <c r="K322" s="142">
        <f ca="1">IFERROR(__xludf.DUMMYFUNCTION("""COMPUTED_VALUE"""),19.4192)</f>
        <v>19.4192</v>
      </c>
      <c r="L322" s="143" t="str">
        <f ca="1"/>
        <v>Wiris Variasi</v>
      </c>
      <c r="M322" s="127"/>
      <c r="N322" s="127"/>
      <c r="O322" s="127"/>
      <c r="P322" s="127"/>
      <c r="Q322" s="127"/>
      <c r="R322" s="127"/>
      <c r="S322" s="127"/>
      <c r="T322" s="127"/>
      <c r="U322" s="127"/>
      <c r="V322" s="127"/>
      <c r="W322" s="127"/>
      <c r="X322" s="127"/>
      <c r="Y322" s="127"/>
      <c r="Z322" s="127"/>
      <c r="AA322" s="127"/>
    </row>
    <row r="323" spans="1:27">
      <c r="A323" s="127">
        <f ca="1">IFERROR(__xludf.DUMMYFUNCTION("""COMPUTED_VALUE"""),174904221976312)</f>
        <v>174904221976312</v>
      </c>
      <c r="B323" s="127" t="str">
        <f ca="1">IFERROR(__xludf.DUMMYFUNCTION("""COMPUTED_VALUE"""),"120231303251770694")</f>
        <v>120231303251770694</v>
      </c>
      <c r="C323" s="127" t="str">
        <f ca="1">IFERROR(__xludf.DUMMYFUNCTION("""COMPUTED_VALUE"""),"Raflesia Rental")</f>
        <v>Raflesia Rental</v>
      </c>
      <c r="D323" s="138" t="str">
        <f ca="1">IFERROR(__xludf.DUMMYFUNCTION("""COMPUTED_VALUE"""),"https://wa.me/6281938384000")</f>
        <v>https://wa.me/6281938384000</v>
      </c>
      <c r="E323" s="139" t="str">
        <f ca="1">IFERROR(__xludf.DUMMYFUNCTION("""COMPUTED_VALUE"""),"6281938384000")</f>
        <v>6281938384000</v>
      </c>
      <c r="F323" s="139">
        <f ca="1">IFERROR(__xludf.DUMMYFUNCTION("""COMPUTED_VALUE"""),6039)</f>
        <v>6039</v>
      </c>
      <c r="G323" s="139">
        <f ca="1">IFERROR(__xludf.DUMMYFUNCTION("""COMPUTED_VALUE"""),24195.0833333333)</f>
        <v>24195.083333333299</v>
      </c>
      <c r="H323" s="139">
        <f ca="1">IFERROR(__xludf.DUMMYFUNCTION("""COMPUTED_VALUE"""),23)</f>
        <v>23</v>
      </c>
      <c r="I323" s="140">
        <f ca="1">IFERROR(__xludf.DUMMYFUNCTION("""COMPUTED_VALUE"""),159318)</f>
        <v>159318</v>
      </c>
      <c r="J323" s="141">
        <f ca="1">IFERROR(__xludf.DUMMYFUNCTION("""COMPUTED_VALUE"""),6926.86956521739)</f>
        <v>6926.8695652173901</v>
      </c>
      <c r="K323" s="142">
        <f ca="1">IFERROR(__xludf.DUMMYFUNCTION("""COMPUTED_VALUE"""),10.6212)</f>
        <v>10.6212</v>
      </c>
      <c r="L323" s="143" t="str">
        <f ca="1"/>
        <v>Wiris Variasi</v>
      </c>
      <c r="M323" s="127"/>
      <c r="N323" s="127"/>
      <c r="O323" s="127"/>
      <c r="P323" s="127"/>
      <c r="Q323" s="127"/>
      <c r="R323" s="127"/>
      <c r="S323" s="127"/>
      <c r="T323" s="127"/>
      <c r="U323" s="127"/>
      <c r="V323" s="127"/>
      <c r="W323" s="127"/>
      <c r="X323" s="127"/>
      <c r="Y323" s="127"/>
      <c r="Z323" s="127"/>
      <c r="AA323" s="127"/>
    </row>
    <row r="324" spans="1:27">
      <c r="A324" s="127">
        <f ca="1">IFERROR(__xludf.DUMMYFUNCTION("""COMPUTED_VALUE"""),174904221976312)</f>
        <v>174904221976312</v>
      </c>
      <c r="B324" s="127" t="str">
        <f ca="1">IFERROR(__xludf.DUMMYFUNCTION("""COMPUTED_VALUE"""),"120231364279680694")</f>
        <v>120231364279680694</v>
      </c>
      <c r="C324" s="127" t="str">
        <f ca="1">IFERROR(__xludf.DUMMYFUNCTION("""COMPUTED_VALUE"""),"Pandawa Transport")</f>
        <v>Pandawa Transport</v>
      </c>
      <c r="D324" s="138" t="str">
        <f ca="1">IFERROR(__xludf.DUMMYFUNCTION("""COMPUTED_VALUE"""),"https://wa.me/6281231382365")</f>
        <v>https://wa.me/6281231382365</v>
      </c>
      <c r="E324" s="139" t="str">
        <f ca="1">IFERROR(__xludf.DUMMYFUNCTION("""COMPUTED_VALUE"""),"6281231382365")</f>
        <v>6281231382365</v>
      </c>
      <c r="F324" s="139">
        <f ca="1">IFERROR(__xludf.DUMMYFUNCTION("""COMPUTED_VALUE"""),2638)</f>
        <v>2638</v>
      </c>
      <c r="G324" s="139">
        <f ca="1">IFERROR(__xludf.DUMMYFUNCTION("""COMPUTED_VALUE"""),18639.25)</f>
        <v>18639.25</v>
      </c>
      <c r="H324" s="139">
        <f ca="1">IFERROR(__xludf.DUMMYFUNCTION("""COMPUTED_VALUE"""),4)</f>
        <v>4</v>
      </c>
      <c r="I324" s="140">
        <f ca="1">IFERROR(__xludf.DUMMYFUNCTION("""COMPUTED_VALUE"""),52347)</f>
        <v>52347</v>
      </c>
      <c r="J324" s="141">
        <f ca="1">IFERROR(__xludf.DUMMYFUNCTION("""COMPUTED_VALUE"""),13086.75)</f>
        <v>13086.75</v>
      </c>
      <c r="K324" s="142">
        <f ca="1">IFERROR(__xludf.DUMMYFUNCTION("""COMPUTED_VALUE"""),3.4898)</f>
        <v>3.4897999999999998</v>
      </c>
      <c r="L324" s="143" t="str">
        <f ca="1"/>
        <v>Wiris Variasi</v>
      </c>
      <c r="M324" s="127"/>
      <c r="N324" s="127"/>
      <c r="O324" s="127"/>
      <c r="P324" s="127"/>
      <c r="Q324" s="127"/>
      <c r="R324" s="127"/>
      <c r="S324" s="127"/>
      <c r="T324" s="127"/>
      <c r="U324" s="127"/>
      <c r="V324" s="127"/>
      <c r="W324" s="127"/>
      <c r="X324" s="127"/>
      <c r="Y324" s="127"/>
      <c r="Z324" s="127"/>
      <c r="AA324" s="127"/>
    </row>
    <row r="325" spans="1:27">
      <c r="A325" s="127">
        <f ca="1">IFERROR(__xludf.DUMMYFUNCTION("""COMPUTED_VALUE"""),174904221976312)</f>
        <v>174904221976312</v>
      </c>
      <c r="B325" s="127" t="str">
        <f ca="1">IFERROR(__xludf.DUMMYFUNCTION("""COMPUTED_VALUE"""),"120231366267850694")</f>
        <v>120231366267850694</v>
      </c>
      <c r="C325" s="127" t="str">
        <f ca="1">IFERROR(__xludf.DUMMYFUNCTION("""COMPUTED_VALUE"""),"Therapy Hipnosis")</f>
        <v>Therapy Hipnosis</v>
      </c>
      <c r="D325" s="138" t="str">
        <f ca="1">IFERROR(__xludf.DUMMYFUNCTION("""COMPUTED_VALUE"""),"https://wa.me/6285720705874")</f>
        <v>https://wa.me/6285720705874</v>
      </c>
      <c r="E325" s="139" t="str">
        <f ca="1">IFERROR(__xludf.DUMMYFUNCTION("""COMPUTED_VALUE"""),"6285720705874")</f>
        <v>6285720705874</v>
      </c>
      <c r="F325" s="139">
        <f ca="1">IFERROR(__xludf.DUMMYFUNCTION("""COMPUTED_VALUE"""),18780)</f>
        <v>18780</v>
      </c>
      <c r="G325" s="139">
        <f ca="1">IFERROR(__xludf.DUMMYFUNCTION("""COMPUTED_VALUE"""),13852.619047619)</f>
        <v>13852.619047619</v>
      </c>
      <c r="H325" s="139">
        <f ca="1">IFERROR(__xludf.DUMMYFUNCTION("""COMPUTED_VALUE"""),103)</f>
        <v>103</v>
      </c>
      <c r="I325" s="140">
        <f ca="1">IFERROR(__xludf.DUMMYFUNCTION("""COMPUTED_VALUE"""),281628)</f>
        <v>281628</v>
      </c>
      <c r="J325" s="141">
        <f ca="1">IFERROR(__xludf.DUMMYFUNCTION("""COMPUTED_VALUE"""),2734.25242718446)</f>
        <v>2734.25242718446</v>
      </c>
      <c r="K325" s="142">
        <f ca="1">IFERROR(__xludf.DUMMYFUNCTION("""COMPUTED_VALUE"""),18.7752)</f>
        <v>18.775200000000002</v>
      </c>
      <c r="L325" s="143" t="str">
        <f ca="1"/>
        <v>Wiris Variasi</v>
      </c>
      <c r="M325" s="127"/>
      <c r="N325" s="127"/>
      <c r="O325" s="127"/>
      <c r="P325" s="127"/>
      <c r="Q325" s="127"/>
      <c r="R325" s="127"/>
      <c r="S325" s="127"/>
      <c r="T325" s="127"/>
      <c r="U325" s="127"/>
      <c r="V325" s="127"/>
      <c r="W325" s="127"/>
      <c r="X325" s="127"/>
      <c r="Y325" s="127"/>
      <c r="Z325" s="127"/>
      <c r="AA325" s="127"/>
    </row>
    <row r="326" spans="1:27">
      <c r="A326" s="127">
        <f ca="1">IFERROR(__xludf.DUMMYFUNCTION("""COMPUTED_VALUE"""),174904221976312)</f>
        <v>174904221976312</v>
      </c>
      <c r="B326" s="127" t="str">
        <f ca="1">IFERROR(__xludf.DUMMYFUNCTION("""COMPUTED_VALUE"""),"120231369762640694")</f>
        <v>120231369762640694</v>
      </c>
      <c r="C326" s="127" t="str">
        <f ca="1">IFERROR(__xludf.DUMMYFUNCTION("""COMPUTED_VALUE"""),"Happy Jogja tour")</f>
        <v>Happy Jogja tour</v>
      </c>
      <c r="D326" s="138" t="str">
        <f ca="1">IFERROR(__xludf.DUMMYFUNCTION("""COMPUTED_VALUE"""),"https://wa.me/6281328027701")</f>
        <v>https://wa.me/6281328027701</v>
      </c>
      <c r="E326" s="139" t="str">
        <f ca="1">IFERROR(__xludf.DUMMYFUNCTION("""COMPUTED_VALUE"""),"6281328027701")</f>
        <v>6281328027701</v>
      </c>
      <c r="F326" s="139">
        <f ca="1">IFERROR(__xludf.DUMMYFUNCTION("""COMPUTED_VALUE"""),920)</f>
        <v>920</v>
      </c>
      <c r="G326" s="139">
        <f ca="1">IFERROR(__xludf.DUMMYFUNCTION("""COMPUTED_VALUE"""),62828.4)</f>
        <v>62828.4</v>
      </c>
      <c r="H326" s="139">
        <f ca="1">IFERROR(__xludf.DUMMYFUNCTION("""COMPUTED_VALUE"""),7)</f>
        <v>7</v>
      </c>
      <c r="I326" s="140">
        <f ca="1">IFERROR(__xludf.DUMMYFUNCTION("""COMPUTED_VALUE"""),57855)</f>
        <v>57855</v>
      </c>
      <c r="J326" s="141">
        <f ca="1">IFERROR(__xludf.DUMMYFUNCTION("""COMPUTED_VALUE"""),8265)</f>
        <v>8265</v>
      </c>
      <c r="K326" s="142">
        <f ca="1">IFERROR(__xludf.DUMMYFUNCTION("""COMPUTED_VALUE"""),3.857)</f>
        <v>3.8570000000000002</v>
      </c>
      <c r="L326" s="143" t="str">
        <f ca="1"/>
        <v>Wiris Variasi</v>
      </c>
      <c r="M326" s="127"/>
      <c r="N326" s="127"/>
      <c r="O326" s="127"/>
      <c r="P326" s="127"/>
      <c r="Q326" s="127"/>
      <c r="R326" s="127"/>
      <c r="S326" s="127"/>
      <c r="T326" s="127"/>
      <c r="U326" s="127"/>
      <c r="V326" s="127"/>
      <c r="W326" s="127"/>
      <c r="X326" s="127"/>
      <c r="Y326" s="127"/>
      <c r="Z326" s="127"/>
      <c r="AA326" s="127"/>
    </row>
    <row r="327" spans="1:27">
      <c r="A327" s="127">
        <f ca="1">IFERROR(__xludf.DUMMYFUNCTION("""COMPUTED_VALUE"""),174904221976312)</f>
        <v>174904221976312</v>
      </c>
      <c r="B327" s="127" t="str">
        <f ca="1">IFERROR(__xludf.DUMMYFUNCTION("""COMPUTED_VALUE"""),"120231370751180694")</f>
        <v>120231370751180694</v>
      </c>
      <c r="C327" s="127" t="str">
        <f ca="1">IFERROR(__xludf.DUMMYFUNCTION("""COMPUTED_VALUE"""),"travel and tour MHU")</f>
        <v>travel and tour MHU</v>
      </c>
      <c r="D327" s="138" t="str">
        <f ca="1">IFERROR(__xludf.DUMMYFUNCTION("""COMPUTED_VALUE"""),"https://wa.me/628152343305")</f>
        <v>https://wa.me/628152343305</v>
      </c>
      <c r="E327" s="139" t="str">
        <f ca="1">IFERROR(__xludf.DUMMYFUNCTION("""COMPUTED_VALUE"""),"628152343305")</f>
        <v>628152343305</v>
      </c>
      <c r="F327" s="139">
        <f ca="1">IFERROR(__xludf.DUMMYFUNCTION("""COMPUTED_VALUE"""),1432)</f>
        <v>1432</v>
      </c>
      <c r="G327" s="139">
        <f ca="1">IFERROR(__xludf.DUMMYFUNCTION("""COMPUTED_VALUE"""),39888.6)</f>
        <v>39888.6</v>
      </c>
      <c r="H327" s="139">
        <f ca="1">IFERROR(__xludf.DUMMYFUNCTION("""COMPUTED_VALUE"""),10)</f>
        <v>10</v>
      </c>
      <c r="I327" s="140">
        <f ca="1">IFERROR(__xludf.DUMMYFUNCTION("""COMPUTED_VALUE"""),62190)</f>
        <v>62190</v>
      </c>
      <c r="J327" s="141">
        <f ca="1">IFERROR(__xludf.DUMMYFUNCTION("""COMPUTED_VALUE"""),6219)</f>
        <v>6219</v>
      </c>
      <c r="K327" s="142">
        <f ca="1">IFERROR(__xludf.DUMMYFUNCTION("""COMPUTED_VALUE"""),4.146)</f>
        <v>4.1459999999999999</v>
      </c>
      <c r="L327" s="143" t="str">
        <f ca="1"/>
        <v>Wiris Variasi</v>
      </c>
      <c r="M327" s="127"/>
      <c r="N327" s="127"/>
      <c r="O327" s="127"/>
      <c r="P327" s="127"/>
      <c r="Q327" s="127"/>
      <c r="R327" s="127"/>
      <c r="S327" s="127"/>
      <c r="T327" s="127"/>
      <c r="U327" s="127"/>
      <c r="V327" s="127"/>
      <c r="W327" s="127"/>
      <c r="X327" s="127"/>
      <c r="Y327" s="127"/>
      <c r="Z327" s="127"/>
      <c r="AA327" s="127"/>
    </row>
    <row r="328" spans="1:27">
      <c r="A328" s="127">
        <f ca="1">IFERROR(__xludf.DUMMYFUNCTION("""COMPUTED_VALUE"""),174904221976312)</f>
        <v>174904221976312</v>
      </c>
      <c r="B328" s="127" t="str">
        <f ca="1">IFERROR(__xludf.DUMMYFUNCTION("""COMPUTED_VALUE"""),"120231434063200694")</f>
        <v>120231434063200694</v>
      </c>
      <c r="C328" s="127" t="str">
        <f ca="1">IFERROR(__xludf.DUMMYFUNCTION("""COMPUTED_VALUE"""),"Ajun travel")</f>
        <v>Ajun travel</v>
      </c>
      <c r="D328" s="138" t="str">
        <f ca="1">IFERROR(__xludf.DUMMYFUNCTION("""COMPUTED_VALUE"""),"https://wa.me/6281359605566")</f>
        <v>https://wa.me/6281359605566</v>
      </c>
      <c r="E328" s="139" t="str">
        <f ca="1">IFERROR(__xludf.DUMMYFUNCTION("""COMPUTED_VALUE"""),"6281359605566")</f>
        <v>6281359605566</v>
      </c>
      <c r="F328" s="139">
        <f ca="1">IFERROR(__xludf.DUMMYFUNCTION("""COMPUTED_VALUE"""),8683)</f>
        <v>8683</v>
      </c>
      <c r="G328" s="139">
        <f ca="1">IFERROR(__xludf.DUMMYFUNCTION("""COMPUTED_VALUE"""),8578.5)</f>
        <v>8578.5</v>
      </c>
      <c r="H328" s="139">
        <f ca="1">IFERROR(__xludf.DUMMYFUNCTION("""COMPUTED_VALUE"""),13)</f>
        <v>13</v>
      </c>
      <c r="I328" s="140">
        <f ca="1">IFERROR(__xludf.DUMMYFUNCTION("""COMPUTED_VALUE"""),81074)</f>
        <v>81074</v>
      </c>
      <c r="J328" s="141">
        <f ca="1">IFERROR(__xludf.DUMMYFUNCTION("""COMPUTED_VALUE"""),6236.46153846153)</f>
        <v>6236.4615384615299</v>
      </c>
      <c r="K328" s="142">
        <f ca="1">IFERROR(__xludf.DUMMYFUNCTION("""COMPUTED_VALUE"""),5.40493333333333)</f>
        <v>5.4049333333333296</v>
      </c>
      <c r="L328" s="143" t="str">
        <f ca="1"/>
        <v>Wiris Variasi</v>
      </c>
      <c r="M328" s="127"/>
      <c r="N328" s="127"/>
      <c r="O328" s="127"/>
      <c r="P328" s="127"/>
      <c r="Q328" s="127"/>
      <c r="R328" s="127"/>
      <c r="S328" s="127"/>
      <c r="T328" s="127"/>
      <c r="U328" s="127"/>
      <c r="V328" s="127"/>
      <c r="W328" s="127"/>
      <c r="X328" s="127"/>
      <c r="Y328" s="127"/>
      <c r="Z328" s="127"/>
      <c r="AA328" s="127"/>
    </row>
    <row r="329" spans="1:27">
      <c r="A329" s="127">
        <f ca="1">IFERROR(__xludf.DUMMYFUNCTION("""COMPUTED_VALUE"""),174904221976312)</f>
        <v>174904221976312</v>
      </c>
      <c r="B329" s="127" t="str">
        <f ca="1">IFERROR(__xludf.DUMMYFUNCTION("""COMPUTED_VALUE"""),"120231434999530694")</f>
        <v>120231434999530694</v>
      </c>
      <c r="C329" s="127" t="str">
        <f ca="1">IFERROR(__xludf.DUMMYFUNCTION("""COMPUTED_VALUE"""),"Klinik physio")</f>
        <v>Klinik physio</v>
      </c>
      <c r="D329" s="138" t="str">
        <f ca="1">IFERROR(__xludf.DUMMYFUNCTION("""COMPUTED_VALUE"""),"https://wa.me/6287863509004")</f>
        <v>https://wa.me/6287863509004</v>
      </c>
      <c r="E329" s="139" t="str">
        <f ca="1">IFERROR(__xludf.DUMMYFUNCTION("""COMPUTED_VALUE"""),"6287863509004")</f>
        <v>6287863509004</v>
      </c>
      <c r="F329" s="139">
        <f ca="1">IFERROR(__xludf.DUMMYFUNCTION("""COMPUTED_VALUE"""),7111)</f>
        <v>7111</v>
      </c>
      <c r="G329" s="139">
        <f ca="1">IFERROR(__xludf.DUMMYFUNCTION("""COMPUTED_VALUE"""),4629.25)</f>
        <v>4629.25</v>
      </c>
      <c r="H329" s="139">
        <f ca="1">IFERROR(__xludf.DUMMYFUNCTION("""COMPUTED_VALUE"""),1)</f>
        <v>1</v>
      </c>
      <c r="I329" s="140">
        <f ca="1">IFERROR(__xludf.DUMMYFUNCTION("""COMPUTED_VALUE"""),34823)</f>
        <v>34823</v>
      </c>
      <c r="J329" s="141">
        <f ca="1">IFERROR(__xludf.DUMMYFUNCTION("""COMPUTED_VALUE"""),34823)</f>
        <v>34823</v>
      </c>
      <c r="K329" s="142">
        <f ca="1">IFERROR(__xludf.DUMMYFUNCTION("""COMPUTED_VALUE"""),2.32153333333333)</f>
        <v>2.3215333333333299</v>
      </c>
      <c r="L329" s="143" t="str">
        <f ca="1"/>
        <v>Wiris Variasi</v>
      </c>
      <c r="M329" s="127"/>
      <c r="N329" s="127"/>
      <c r="O329" s="127"/>
      <c r="P329" s="127"/>
      <c r="Q329" s="127"/>
      <c r="R329" s="127"/>
      <c r="S329" s="127"/>
      <c r="T329" s="127"/>
      <c r="U329" s="127"/>
      <c r="V329" s="127"/>
      <c r="W329" s="127"/>
      <c r="X329" s="127"/>
      <c r="Y329" s="127"/>
      <c r="Z329" s="127"/>
      <c r="AA329" s="127"/>
    </row>
    <row r="330" spans="1:27">
      <c r="A330" s="127">
        <f ca="1">IFERROR(__xludf.DUMMYFUNCTION("""COMPUTED_VALUE"""),174904221976312)</f>
        <v>174904221976312</v>
      </c>
      <c r="B330" s="127" t="str">
        <f ca="1">IFERROR(__xludf.DUMMYFUNCTION("""COMPUTED_VALUE"""),"120231435421690694")</f>
        <v>120231435421690694</v>
      </c>
      <c r="C330" s="127" t="str">
        <f ca="1">IFERROR(__xludf.DUMMYFUNCTION("""COMPUTED_VALUE"""),"LKP/LPK amoeskin")</f>
        <v>LKP/LPK amoeskin</v>
      </c>
      <c r="D330" s="138" t="str">
        <f ca="1">IFERROR(__xludf.DUMMYFUNCTION("""COMPUTED_VALUE"""),"https://wa.me/6285194619788")</f>
        <v>https://wa.me/6285194619788</v>
      </c>
      <c r="E330" s="139" t="str">
        <f ca="1">IFERROR(__xludf.DUMMYFUNCTION("""COMPUTED_VALUE"""),"6285194619788")</f>
        <v>6285194619788</v>
      </c>
      <c r="F330" s="139">
        <f ca="1">IFERROR(__xludf.DUMMYFUNCTION("""COMPUTED_VALUE"""),3542)</f>
        <v>3542</v>
      </c>
      <c r="G330" s="139">
        <f ca="1">IFERROR(__xludf.DUMMYFUNCTION("""COMPUTED_VALUE"""),6220)</f>
        <v>6220</v>
      </c>
      <c r="H330" s="139">
        <f ca="1">IFERROR(__xludf.DUMMYFUNCTION("""COMPUTED_VALUE"""),2)</f>
        <v>2</v>
      </c>
      <c r="I330" s="140">
        <f ca="1">IFERROR(__xludf.DUMMYFUNCTION("""COMPUTED_VALUE"""),21772)</f>
        <v>21772</v>
      </c>
      <c r="J330" s="141">
        <f ca="1">IFERROR(__xludf.DUMMYFUNCTION("""COMPUTED_VALUE"""),10886)</f>
        <v>10886</v>
      </c>
      <c r="K330" s="142">
        <f ca="1">IFERROR(__xludf.DUMMYFUNCTION("""COMPUTED_VALUE"""),1.45146666666666)</f>
        <v>1.45146666666666</v>
      </c>
      <c r="L330" s="143" t="str">
        <f ca="1"/>
        <v>Wiris Variasi</v>
      </c>
      <c r="M330" s="127"/>
      <c r="N330" s="127"/>
      <c r="O330" s="127"/>
      <c r="P330" s="127"/>
      <c r="Q330" s="127"/>
      <c r="R330" s="127"/>
      <c r="S330" s="127"/>
      <c r="T330" s="127"/>
      <c r="U330" s="127"/>
      <c r="V330" s="127"/>
      <c r="W330" s="127"/>
      <c r="X330" s="127"/>
      <c r="Y330" s="127"/>
      <c r="Z330" s="127"/>
      <c r="AA330" s="127"/>
    </row>
    <row r="331" spans="1:27">
      <c r="A331" s="127">
        <f ca="1">IFERROR(__xludf.DUMMYFUNCTION("""COMPUTED_VALUE"""),174904221976312)</f>
        <v>174904221976312</v>
      </c>
      <c r="B331" s="127" t="str">
        <f ca="1">IFERROR(__xludf.DUMMYFUNCTION("""COMPUTED_VALUE"""),"120231435649290694")</f>
        <v>120231435649290694</v>
      </c>
      <c r="C331" s="127" t="str">
        <f ca="1">IFERROR(__xludf.DUMMYFUNCTION("""COMPUTED_VALUE"""),"Nusa Penida")</f>
        <v>Nusa Penida</v>
      </c>
      <c r="D331" s="138" t="str">
        <f ca="1">IFERROR(__xludf.DUMMYFUNCTION("""COMPUTED_VALUE"""),"https://wa.me/6281239004410")</f>
        <v>https://wa.me/6281239004410</v>
      </c>
      <c r="E331" s="139" t="str">
        <f ca="1">IFERROR(__xludf.DUMMYFUNCTION("""COMPUTED_VALUE"""),"6281239004410")</f>
        <v>6281239004410</v>
      </c>
      <c r="F331" s="139">
        <f ca="1">IFERROR(__xludf.DUMMYFUNCTION("""COMPUTED_VALUE"""),4847)</f>
        <v>4847</v>
      </c>
      <c r="G331" s="139">
        <f ca="1">IFERROR(__xludf.DUMMYFUNCTION("""COMPUTED_VALUE"""),58405.2857142857)</f>
        <v>58405.285714285703</v>
      </c>
      <c r="H331" s="139">
        <f ca="1">IFERROR(__xludf.DUMMYFUNCTION("""COMPUTED_VALUE"""),27)</f>
        <v>27</v>
      </c>
      <c r="I331" s="140">
        <f ca="1">IFERROR(__xludf.DUMMYFUNCTION("""COMPUTED_VALUE"""),287544)</f>
        <v>287544</v>
      </c>
      <c r="J331" s="141">
        <f ca="1">IFERROR(__xludf.DUMMYFUNCTION("""COMPUTED_VALUE"""),10649.7777777777)</f>
        <v>10649.777777777699</v>
      </c>
      <c r="K331" s="142">
        <f ca="1">IFERROR(__xludf.DUMMYFUNCTION("""COMPUTED_VALUE"""),19.1696)</f>
        <v>19.169599999999999</v>
      </c>
      <c r="L331" s="143" t="str">
        <f ca="1"/>
        <v>Wiris Variasi</v>
      </c>
      <c r="M331" s="127"/>
      <c r="N331" s="127"/>
      <c r="O331" s="127"/>
      <c r="P331" s="127"/>
      <c r="Q331" s="127"/>
      <c r="R331" s="127"/>
      <c r="S331" s="127"/>
      <c r="T331" s="127"/>
      <c r="U331" s="127"/>
      <c r="V331" s="127"/>
      <c r="W331" s="127"/>
      <c r="X331" s="127"/>
      <c r="Y331" s="127"/>
      <c r="Z331" s="127"/>
      <c r="AA331" s="127"/>
    </row>
    <row r="332" spans="1:27">
      <c r="A332" s="127">
        <f ca="1">IFERROR(__xludf.DUMMYFUNCTION("""COMPUTED_VALUE"""),174904221976312)</f>
        <v>174904221976312</v>
      </c>
      <c r="B332" s="127" t="str">
        <f ca="1">IFERROR(__xludf.DUMMYFUNCTION("""COMPUTED_VALUE"""),"120231435871590694")</f>
        <v>120231435871590694</v>
      </c>
      <c r="C332" s="127" t="str">
        <f ca="1">IFERROR(__xludf.DUMMYFUNCTION("""COMPUTED_VALUE"""),"Sangkal Putung")</f>
        <v>Sangkal Putung</v>
      </c>
      <c r="D332" s="138" t="str">
        <f ca="1">IFERROR(__xludf.DUMMYFUNCTION("""COMPUTED_VALUE"""),"https://wa.me/6281226825253")</f>
        <v>https://wa.me/6281226825253</v>
      </c>
      <c r="E332" s="139" t="str">
        <f ca="1">IFERROR(__xludf.DUMMYFUNCTION("""COMPUTED_VALUE"""),"6281226825253")</f>
        <v>6281226825253</v>
      </c>
      <c r="F332" s="139">
        <f ca="1">IFERROR(__xludf.DUMMYFUNCTION("""COMPUTED_VALUE"""),90950)</f>
        <v>90950</v>
      </c>
      <c r="G332" s="139">
        <f ca="1">IFERROR(__xludf.DUMMYFUNCTION("""COMPUTED_VALUE"""),1218.375)</f>
        <v>1218.375</v>
      </c>
      <c r="H332" s="139">
        <f ca="1">IFERROR(__xludf.DUMMYFUNCTION("""COMPUTED_VALUE"""),0)</f>
        <v>0</v>
      </c>
      <c r="I332" s="140">
        <f ca="1">IFERROR(__xludf.DUMMYFUNCTION("""COMPUTED_VALUE"""),105089)</f>
        <v>105089</v>
      </c>
      <c r="J332" s="141"/>
      <c r="K332" s="142">
        <f ca="1">IFERROR(__xludf.DUMMYFUNCTION("""COMPUTED_VALUE"""),7.00593333333333)</f>
        <v>7.0059333333333296</v>
      </c>
      <c r="L332" s="143" t="str">
        <f ca="1"/>
        <v>Wiris Variasi</v>
      </c>
      <c r="M332" s="127"/>
      <c r="N332" s="127"/>
      <c r="O332" s="127"/>
      <c r="P332" s="127"/>
      <c r="Q332" s="127"/>
      <c r="R332" s="127"/>
      <c r="S332" s="127"/>
      <c r="T332" s="127"/>
      <c r="U332" s="127"/>
      <c r="V332" s="127"/>
      <c r="W332" s="127"/>
      <c r="X332" s="127"/>
      <c r="Y332" s="127"/>
      <c r="Z332" s="127"/>
      <c r="AA332" s="127"/>
    </row>
    <row r="333" spans="1:27">
      <c r="A333" s="127">
        <f ca="1">IFERROR(__xludf.DUMMYFUNCTION("""COMPUTED_VALUE"""),174904221976312)</f>
        <v>174904221976312</v>
      </c>
      <c r="B333" s="127" t="str">
        <f ca="1">IFERROR(__xludf.DUMMYFUNCTION("""COMPUTED_VALUE"""),"120231436669930694")</f>
        <v>120231436669930694</v>
      </c>
      <c r="C333" s="127" t="str">
        <f ca="1">IFERROR(__xludf.DUMMYFUNCTION("""COMPUTED_VALUE"""),"Alhijaz Indowisata")</f>
        <v>Alhijaz Indowisata</v>
      </c>
      <c r="D333" s="138" t="str">
        <f ca="1">IFERROR(__xludf.DUMMYFUNCTION("""COMPUTED_VALUE"""),"https://wa.me/6281558225822")</f>
        <v>https://wa.me/6281558225822</v>
      </c>
      <c r="E333" s="139" t="str">
        <f ca="1">IFERROR(__xludf.DUMMYFUNCTION("""COMPUTED_VALUE"""),"6281558225822")</f>
        <v>6281558225822</v>
      </c>
      <c r="F333" s="139">
        <f ca="1">IFERROR(__xludf.DUMMYFUNCTION("""COMPUTED_VALUE"""),2055)</f>
        <v>2055</v>
      </c>
      <c r="G333" s="139">
        <f ca="1">IFERROR(__xludf.DUMMYFUNCTION("""COMPUTED_VALUE"""),60965.5)</f>
        <v>60965.5</v>
      </c>
      <c r="H333" s="139">
        <f ca="1">IFERROR(__xludf.DUMMYFUNCTION("""COMPUTED_VALUE"""),9)</f>
        <v>9</v>
      </c>
      <c r="I333" s="140">
        <f ca="1">IFERROR(__xludf.DUMMYFUNCTION("""COMPUTED_VALUE"""),105316)</f>
        <v>105316</v>
      </c>
      <c r="J333" s="141">
        <f ca="1">IFERROR(__xludf.DUMMYFUNCTION("""COMPUTED_VALUE"""),11701.7777777777)</f>
        <v>11701.777777777699</v>
      </c>
      <c r="K333" s="142">
        <f ca="1">IFERROR(__xludf.DUMMYFUNCTION("""COMPUTED_VALUE"""),7.02106666666666)</f>
        <v>7.0210666666666599</v>
      </c>
      <c r="L333" s="143" t="str">
        <f ca="1"/>
        <v>Wiris Variasi</v>
      </c>
      <c r="M333" s="127"/>
      <c r="N333" s="127"/>
      <c r="O333" s="127"/>
      <c r="P333" s="127"/>
      <c r="Q333" s="127"/>
      <c r="R333" s="127"/>
      <c r="S333" s="127"/>
      <c r="T333" s="127"/>
      <c r="U333" s="127"/>
      <c r="V333" s="127"/>
      <c r="W333" s="127"/>
      <c r="X333" s="127"/>
      <c r="Y333" s="127"/>
      <c r="Z333" s="127"/>
      <c r="AA333" s="127"/>
    </row>
    <row r="334" spans="1:27">
      <c r="A334" s="127">
        <f ca="1">IFERROR(__xludf.DUMMYFUNCTION("""COMPUTED_VALUE"""),174904221976312)</f>
        <v>174904221976312</v>
      </c>
      <c r="B334" s="127" t="str">
        <f ca="1">IFERROR(__xludf.DUMMYFUNCTION("""COMPUTED_VALUE"""),"120231472313090694")</f>
        <v>120231472313090694</v>
      </c>
      <c r="C334" s="127" t="str">
        <f ca="1">IFERROR(__xludf.DUMMYFUNCTION("""COMPUTED_VALUE"""),"Gelatopedia")</f>
        <v>Gelatopedia</v>
      </c>
      <c r="D334" s="138" t="str">
        <f ca="1">IFERROR(__xludf.DUMMYFUNCTION("""COMPUTED_VALUE"""),"https://wa.me/6285214612372")</f>
        <v>https://wa.me/6285214612372</v>
      </c>
      <c r="E334" s="139" t="str">
        <f ca="1">IFERROR(__xludf.DUMMYFUNCTION("""COMPUTED_VALUE"""),"6285214612372")</f>
        <v>6285214612372</v>
      </c>
      <c r="F334" s="139">
        <f ca="1">IFERROR(__xludf.DUMMYFUNCTION("""COMPUTED_VALUE"""),6539)</f>
        <v>6539</v>
      </c>
      <c r="G334" s="139">
        <f ca="1">IFERROR(__xludf.DUMMYFUNCTION("""COMPUTED_VALUE"""),11306.3333333333)</f>
        <v>11306.333333333299</v>
      </c>
      <c r="H334" s="139">
        <f ca="1">IFERROR(__xludf.DUMMYFUNCTION("""COMPUTED_VALUE"""),3)</f>
        <v>3</v>
      </c>
      <c r="I334" s="140">
        <f ca="1">IFERROR(__xludf.DUMMYFUNCTION("""COMPUTED_VALUE"""),83344)</f>
        <v>83344</v>
      </c>
      <c r="J334" s="141">
        <f ca="1">IFERROR(__xludf.DUMMYFUNCTION("""COMPUTED_VALUE"""),27781.3333333333)</f>
        <v>27781.333333333299</v>
      </c>
      <c r="K334" s="142">
        <f ca="1">IFERROR(__xludf.DUMMYFUNCTION("""COMPUTED_VALUE"""),5.55626666666666)</f>
        <v>5.5562666666666596</v>
      </c>
      <c r="L334" s="143" t="str">
        <f ca="1"/>
        <v>Wiris Variasi</v>
      </c>
      <c r="M334" s="127"/>
      <c r="N334" s="127"/>
      <c r="O334" s="127"/>
      <c r="P334" s="127"/>
      <c r="Q334" s="127"/>
      <c r="R334" s="127"/>
      <c r="S334" s="127"/>
      <c r="T334" s="127"/>
      <c r="U334" s="127"/>
      <c r="V334" s="127"/>
      <c r="W334" s="127"/>
      <c r="X334" s="127"/>
      <c r="Y334" s="127"/>
      <c r="Z334" s="127"/>
      <c r="AA334" s="127"/>
    </row>
    <row r="335" spans="1:27">
      <c r="A335" s="127">
        <f ca="1">IFERROR(__xludf.DUMMYFUNCTION("""COMPUTED_VALUE"""),174904221976312)</f>
        <v>174904221976312</v>
      </c>
      <c r="B335" s="127" t="str">
        <f ca="1">IFERROR(__xludf.DUMMYFUNCTION("""COMPUTED_VALUE"""),"120231472987580694")</f>
        <v>120231472987580694</v>
      </c>
      <c r="C335" s="127" t="str">
        <f ca="1">IFERROR(__xludf.DUMMYFUNCTION("""COMPUTED_VALUE"""),"Jatisari Transport")</f>
        <v>Jatisari Transport</v>
      </c>
      <c r="D335" s="138" t="str">
        <f ca="1">IFERROR(__xludf.DUMMYFUNCTION("""COMPUTED_VALUE"""),"https://wa.me/62818533354")</f>
        <v>https://wa.me/62818533354</v>
      </c>
      <c r="E335" s="139" t="str">
        <f ca="1">IFERROR(__xludf.DUMMYFUNCTION("""COMPUTED_VALUE"""),"62818533354")</f>
        <v>62818533354</v>
      </c>
      <c r="F335" s="139">
        <f ca="1">IFERROR(__xludf.DUMMYFUNCTION("""COMPUTED_VALUE"""),8651)</f>
        <v>8651</v>
      </c>
      <c r="G335" s="139">
        <f ca="1">IFERROR(__xludf.DUMMYFUNCTION("""COMPUTED_VALUE"""),40672.3793103448)</f>
        <v>40672.379310344797</v>
      </c>
      <c r="H335" s="139">
        <f ca="1">IFERROR(__xludf.DUMMYFUNCTION("""COMPUTED_VALUE"""),42)</f>
        <v>42</v>
      </c>
      <c r="I335" s="140">
        <f ca="1">IFERROR(__xludf.DUMMYFUNCTION("""COMPUTED_VALUE"""),391745)</f>
        <v>391745</v>
      </c>
      <c r="J335" s="141">
        <f ca="1">IFERROR(__xludf.DUMMYFUNCTION("""COMPUTED_VALUE"""),9327.2619047619)</f>
        <v>9327.2619047618991</v>
      </c>
      <c r="K335" s="142">
        <f ca="1">IFERROR(__xludf.DUMMYFUNCTION("""COMPUTED_VALUE"""),26.1163333333333)</f>
        <v>26.116333333333301</v>
      </c>
      <c r="L335" s="143" t="str">
        <f ca="1"/>
        <v>Wiris Variasi</v>
      </c>
      <c r="M335" s="127"/>
      <c r="N335" s="127"/>
      <c r="O335" s="127"/>
      <c r="P335" s="127"/>
      <c r="Q335" s="127"/>
      <c r="R335" s="127"/>
      <c r="S335" s="127"/>
      <c r="T335" s="127"/>
      <c r="U335" s="127"/>
      <c r="V335" s="127"/>
      <c r="W335" s="127"/>
      <c r="X335" s="127"/>
      <c r="Y335" s="127"/>
      <c r="Z335" s="127"/>
      <c r="AA335" s="127"/>
    </row>
    <row r="336" spans="1:27">
      <c r="A336" s="127">
        <f ca="1">IFERROR(__xludf.DUMMYFUNCTION("""COMPUTED_VALUE"""),174904221976312)</f>
        <v>174904221976312</v>
      </c>
      <c r="B336" s="127" t="str">
        <f ca="1">IFERROR(__xludf.DUMMYFUNCTION("""COMPUTED_VALUE"""),"120231473075480694")</f>
        <v>120231473075480694</v>
      </c>
      <c r="C336" s="127" t="str">
        <f ca="1">IFERROR(__xludf.DUMMYFUNCTION("""COMPUTED_VALUE"""),"RAYTRANS")</f>
        <v>RAYTRANS</v>
      </c>
      <c r="D336" s="138" t="str">
        <f ca="1">IFERROR(__xludf.DUMMYFUNCTION("""COMPUTED_VALUE"""),"https://wa.me/6281381118500")</f>
        <v>https://wa.me/6281381118500</v>
      </c>
      <c r="E336" s="139" t="str">
        <f ca="1">IFERROR(__xludf.DUMMYFUNCTION("""COMPUTED_VALUE"""),"6281381118500")</f>
        <v>6281381118500</v>
      </c>
      <c r="F336" s="139">
        <f ca="1">IFERROR(__xludf.DUMMYFUNCTION("""COMPUTED_VALUE"""),1856)</f>
        <v>1856</v>
      </c>
      <c r="G336" s="139">
        <f ca="1">IFERROR(__xludf.DUMMYFUNCTION("""COMPUTED_VALUE"""),39656)</f>
        <v>39656</v>
      </c>
      <c r="H336" s="139">
        <f ca="1">IFERROR(__xludf.DUMMYFUNCTION("""COMPUTED_VALUE"""),8)</f>
        <v>8</v>
      </c>
      <c r="I336" s="140">
        <f ca="1">IFERROR(__xludf.DUMMYFUNCTION("""COMPUTED_VALUE"""),79875)</f>
        <v>79875</v>
      </c>
      <c r="J336" s="141">
        <f ca="1">IFERROR(__xludf.DUMMYFUNCTION("""COMPUTED_VALUE"""),9984.375)</f>
        <v>9984.375</v>
      </c>
      <c r="K336" s="142">
        <f ca="1">IFERROR(__xludf.DUMMYFUNCTION("""COMPUTED_VALUE"""),5.325)</f>
        <v>5.3250000000000002</v>
      </c>
      <c r="L336" s="143" t="str">
        <f ca="1"/>
        <v>Wiris Variasi</v>
      </c>
      <c r="M336" s="127"/>
      <c r="N336" s="127"/>
      <c r="O336" s="127"/>
      <c r="P336" s="127"/>
      <c r="Q336" s="127"/>
      <c r="R336" s="127"/>
      <c r="S336" s="127"/>
      <c r="T336" s="127"/>
      <c r="U336" s="127"/>
      <c r="V336" s="127"/>
      <c r="W336" s="127"/>
      <c r="X336" s="127"/>
      <c r="Y336" s="127"/>
      <c r="Z336" s="127"/>
      <c r="AA336" s="127"/>
    </row>
    <row r="337" spans="1:27">
      <c r="A337" s="127">
        <f ca="1">IFERROR(__xludf.DUMMYFUNCTION("""COMPUTED_VALUE"""),174904221976312)</f>
        <v>174904221976312</v>
      </c>
      <c r="B337" s="127" t="str">
        <f ca="1">IFERROR(__xludf.DUMMYFUNCTION("""COMPUTED_VALUE"""),"120231473177720694")</f>
        <v>120231473177720694</v>
      </c>
      <c r="C337" s="127" t="str">
        <f ca="1">IFERROR(__xludf.DUMMYFUNCTION("""COMPUTED_VALUE"""),"Nizam Traveling")</f>
        <v>Nizam Traveling</v>
      </c>
      <c r="D337" s="138" t="str">
        <f ca="1">IFERROR(__xludf.DUMMYFUNCTION("""COMPUTED_VALUE"""),"https://wa.me/6285361118289")</f>
        <v>https://wa.me/6285361118289</v>
      </c>
      <c r="E337" s="139" t="str">
        <f ca="1">IFERROR(__xludf.DUMMYFUNCTION("""COMPUTED_VALUE"""),"6285361118289")</f>
        <v>6285361118289</v>
      </c>
      <c r="F337" s="139">
        <f ca="1">IFERROR(__xludf.DUMMYFUNCTION("""COMPUTED_VALUE"""),3728)</f>
        <v>3728</v>
      </c>
      <c r="G337" s="139">
        <f ca="1">IFERROR(__xludf.DUMMYFUNCTION("""COMPUTED_VALUE"""),18546.5)</f>
        <v>18546.5</v>
      </c>
      <c r="H337" s="139">
        <f ca="1">IFERROR(__xludf.DUMMYFUNCTION("""COMPUTED_VALUE"""),13)</f>
        <v>13</v>
      </c>
      <c r="I337" s="140">
        <f ca="1">IFERROR(__xludf.DUMMYFUNCTION("""COMPUTED_VALUE"""),75050)</f>
        <v>75050</v>
      </c>
      <c r="J337" s="141">
        <f ca="1">IFERROR(__xludf.DUMMYFUNCTION("""COMPUTED_VALUE"""),5773.07692307692)</f>
        <v>5773.0769230769201</v>
      </c>
      <c r="K337" s="142">
        <f ca="1">IFERROR(__xludf.DUMMYFUNCTION("""COMPUTED_VALUE"""),5.00333333333333)</f>
        <v>5.0033333333333303</v>
      </c>
      <c r="L337" s="143" t="str">
        <f ca="1"/>
        <v>Wiris Variasi</v>
      </c>
      <c r="M337" s="127"/>
      <c r="N337" s="127"/>
      <c r="O337" s="127"/>
      <c r="P337" s="127"/>
      <c r="Q337" s="127"/>
      <c r="R337" s="127"/>
      <c r="S337" s="127"/>
      <c r="T337" s="127"/>
      <c r="U337" s="127"/>
      <c r="V337" s="127"/>
      <c r="W337" s="127"/>
      <c r="X337" s="127"/>
      <c r="Y337" s="127"/>
      <c r="Z337" s="127"/>
      <c r="AA337" s="127"/>
    </row>
    <row r="338" spans="1:27">
      <c r="A338" s="127">
        <f ca="1">IFERROR(__xludf.DUMMYFUNCTION("""COMPUTED_VALUE"""),174904221976312)</f>
        <v>174904221976312</v>
      </c>
      <c r="B338" s="127" t="str">
        <f ca="1">IFERROR(__xludf.DUMMYFUNCTION("""COMPUTED_VALUE"""),"120231473309640694")</f>
        <v>120231473309640694</v>
      </c>
      <c r="C338" s="127" t="str">
        <f ca="1">IFERROR(__xludf.DUMMYFUNCTION("""COMPUTED_VALUE"""),"Nunce Gemilang")</f>
        <v>Nunce Gemilang</v>
      </c>
      <c r="D338" s="138" t="str">
        <f ca="1">IFERROR(__xludf.DUMMYFUNCTION("""COMPUTED_VALUE"""),"https://wa.me/6285787104091")</f>
        <v>https://wa.me/6285787104091</v>
      </c>
      <c r="E338" s="139" t="str">
        <f ca="1">IFERROR(__xludf.DUMMYFUNCTION("""COMPUTED_VALUE"""),"6285787104091")</f>
        <v>6285787104091</v>
      </c>
      <c r="F338" s="139">
        <f ca="1">IFERROR(__xludf.DUMMYFUNCTION("""COMPUTED_VALUE"""),12616)</f>
        <v>12616</v>
      </c>
      <c r="G338" s="139">
        <f ca="1">IFERROR(__xludf.DUMMYFUNCTION("""COMPUTED_VALUE"""),15028.8)</f>
        <v>15028.8</v>
      </c>
      <c r="H338" s="139">
        <f ca="1">IFERROR(__xludf.DUMMYFUNCTION("""COMPUTED_VALUE"""),10)</f>
        <v>10</v>
      </c>
      <c r="I338" s="140">
        <f ca="1">IFERROR(__xludf.DUMMYFUNCTION("""COMPUTED_VALUE"""),200989)</f>
        <v>200989</v>
      </c>
      <c r="J338" s="141">
        <f ca="1">IFERROR(__xludf.DUMMYFUNCTION("""COMPUTED_VALUE"""),20098.9)</f>
        <v>20098.900000000001</v>
      </c>
      <c r="K338" s="142">
        <f ca="1">IFERROR(__xludf.DUMMYFUNCTION("""COMPUTED_VALUE"""),13.3992666666666)</f>
        <v>13.3992666666666</v>
      </c>
      <c r="L338" s="143" t="str">
        <f ca="1"/>
        <v>Wiris Variasi</v>
      </c>
      <c r="M338" s="127"/>
      <c r="N338" s="127"/>
      <c r="O338" s="127"/>
      <c r="P338" s="127"/>
      <c r="Q338" s="127"/>
      <c r="R338" s="127"/>
      <c r="S338" s="127"/>
      <c r="T338" s="127"/>
      <c r="U338" s="127"/>
      <c r="V338" s="127"/>
      <c r="W338" s="127"/>
      <c r="X338" s="127"/>
      <c r="Y338" s="127"/>
      <c r="Z338" s="127"/>
      <c r="AA338" s="127"/>
    </row>
    <row r="339" spans="1:27">
      <c r="A339" s="127">
        <f ca="1">IFERROR(__xludf.DUMMYFUNCTION("""COMPUTED_VALUE"""),174904221976312)</f>
        <v>174904221976312</v>
      </c>
      <c r="B339" s="127" t="str">
        <f ca="1">IFERROR(__xludf.DUMMYFUNCTION("""COMPUTED_VALUE"""),"120231473546720694")</f>
        <v>120231473546720694</v>
      </c>
      <c r="C339" s="127" t="str">
        <f ca="1">IFERROR(__xludf.DUMMYFUNCTION("""COMPUTED_VALUE"""),"Diva Teknik")</f>
        <v>Diva Teknik</v>
      </c>
      <c r="D339" s="138" t="str">
        <f ca="1">IFERROR(__xludf.DUMMYFUNCTION("""COMPUTED_VALUE"""),"https://wa.me/6285338058843")</f>
        <v>https://wa.me/6285338058843</v>
      </c>
      <c r="E339" s="139" t="str">
        <f ca="1">IFERROR(__xludf.DUMMYFUNCTION("""COMPUTED_VALUE"""),"6285338058843")</f>
        <v>6285338058843</v>
      </c>
      <c r="F339" s="139">
        <f ca="1">IFERROR(__xludf.DUMMYFUNCTION("""COMPUTED_VALUE"""),4126)</f>
        <v>4126</v>
      </c>
      <c r="G339" s="139">
        <f ca="1">IFERROR(__xludf.DUMMYFUNCTION("""COMPUTED_VALUE"""),16818.5)</f>
        <v>16818.5</v>
      </c>
      <c r="H339" s="139">
        <f ca="1">IFERROR(__xludf.DUMMYFUNCTION("""COMPUTED_VALUE"""),7)</f>
        <v>7</v>
      </c>
      <c r="I339" s="140">
        <f ca="1">IFERROR(__xludf.DUMMYFUNCTION("""COMPUTED_VALUE"""),74803)</f>
        <v>74803</v>
      </c>
      <c r="J339" s="141">
        <f ca="1">IFERROR(__xludf.DUMMYFUNCTION("""COMPUTED_VALUE"""),10686.1428571428)</f>
        <v>10686.1428571428</v>
      </c>
      <c r="K339" s="142">
        <f ca="1">IFERROR(__xludf.DUMMYFUNCTION("""COMPUTED_VALUE"""),4.98686666666666)</f>
        <v>4.9868666666666597</v>
      </c>
      <c r="L339" s="143" t="str">
        <f ca="1"/>
        <v>Wiris Variasi</v>
      </c>
      <c r="M339" s="127"/>
      <c r="N339" s="127"/>
      <c r="O339" s="127"/>
      <c r="P339" s="127"/>
      <c r="Q339" s="127"/>
      <c r="R339" s="127"/>
      <c r="S339" s="127"/>
      <c r="T339" s="127"/>
      <c r="U339" s="127"/>
      <c r="V339" s="127"/>
      <c r="W339" s="127"/>
      <c r="X339" s="127"/>
      <c r="Y339" s="127"/>
      <c r="Z339" s="127"/>
      <c r="AA339" s="127"/>
    </row>
    <row r="340" spans="1:27">
      <c r="A340" s="127">
        <f ca="1">IFERROR(__xludf.DUMMYFUNCTION("""COMPUTED_VALUE"""),174904221976312)</f>
        <v>174904221976312</v>
      </c>
      <c r="B340" s="127" t="str">
        <f ca="1">IFERROR(__xludf.DUMMYFUNCTION("""COMPUTED_VALUE"""),"120231477014990694")</f>
        <v>120231477014990694</v>
      </c>
      <c r="C340" s="127" t="str">
        <f ca="1">IFERROR(__xludf.DUMMYFUNCTION("""COMPUTED_VALUE"""),"Mbarep abiyasa")</f>
        <v>Mbarep abiyasa</v>
      </c>
      <c r="D340" s="138" t="str">
        <f ca="1">IFERROR(__xludf.DUMMYFUNCTION("""COMPUTED_VALUE"""),"https://wa.me/6281545971465")</f>
        <v>https://wa.me/6281545971465</v>
      </c>
      <c r="E340" s="139" t="str">
        <f ca="1">IFERROR(__xludf.DUMMYFUNCTION("""COMPUTED_VALUE"""),"6281545971465")</f>
        <v>6281545971465</v>
      </c>
      <c r="F340" s="139">
        <f ca="1">IFERROR(__xludf.DUMMYFUNCTION("""COMPUTED_VALUE"""),2225)</f>
        <v>2225</v>
      </c>
      <c r="G340" s="139">
        <f ca="1">IFERROR(__xludf.DUMMYFUNCTION("""COMPUTED_VALUE"""),34051.5)</f>
        <v>34051.5</v>
      </c>
      <c r="H340" s="139">
        <f ca="1">IFERROR(__xludf.DUMMYFUNCTION("""COMPUTED_VALUE"""),1)</f>
        <v>1</v>
      </c>
      <c r="I340" s="140">
        <f ca="1">IFERROR(__xludf.DUMMYFUNCTION("""COMPUTED_VALUE"""),79240)</f>
        <v>79240</v>
      </c>
      <c r="J340" s="141">
        <f ca="1">IFERROR(__xludf.DUMMYFUNCTION("""COMPUTED_VALUE"""),79240)</f>
        <v>79240</v>
      </c>
      <c r="K340" s="142">
        <f ca="1">IFERROR(__xludf.DUMMYFUNCTION("""COMPUTED_VALUE"""),5.28266666666666)</f>
        <v>5.2826666666666604</v>
      </c>
      <c r="L340" s="143" t="str">
        <f ca="1"/>
        <v>Wiris Variasi</v>
      </c>
      <c r="M340" s="127"/>
      <c r="N340" s="127"/>
      <c r="O340" s="127"/>
      <c r="P340" s="127"/>
      <c r="Q340" s="127"/>
      <c r="R340" s="127"/>
      <c r="S340" s="127"/>
      <c r="T340" s="127"/>
      <c r="U340" s="127"/>
      <c r="V340" s="127"/>
      <c r="W340" s="127"/>
      <c r="X340" s="127"/>
      <c r="Y340" s="127"/>
      <c r="Z340" s="127"/>
      <c r="AA340" s="127"/>
    </row>
    <row r="341" spans="1:27">
      <c r="A341" s="127">
        <f ca="1">IFERROR(__xludf.DUMMYFUNCTION("""COMPUTED_VALUE"""),174904221976312)</f>
        <v>174904221976312</v>
      </c>
      <c r="B341" s="127" t="str">
        <f ca="1">IFERROR(__xludf.DUMMYFUNCTION("""COMPUTED_VALUE"""),"120231478133960694")</f>
        <v>120231478133960694</v>
      </c>
      <c r="C341" s="127" t="str">
        <f ca="1">IFERROR(__xludf.DUMMYFUNCTION("""COMPUTED_VALUE"""),"Dapoer hamasah")</f>
        <v>Dapoer hamasah</v>
      </c>
      <c r="D341" s="138" t="str">
        <f ca="1">IFERROR(__xludf.DUMMYFUNCTION("""COMPUTED_VALUE"""),"https://wa.me/62811955059")</f>
        <v>https://wa.me/62811955059</v>
      </c>
      <c r="E341" s="139" t="str">
        <f ca="1">IFERROR(__xludf.DUMMYFUNCTION("""COMPUTED_VALUE"""),"62811955059")</f>
        <v>62811955059</v>
      </c>
      <c r="F341" s="139">
        <f ca="1">IFERROR(__xludf.DUMMYFUNCTION("""COMPUTED_VALUE"""),2375)</f>
        <v>2375</v>
      </c>
      <c r="G341" s="139">
        <f ca="1">IFERROR(__xludf.DUMMYFUNCTION("""COMPUTED_VALUE"""),29599.1666666666)</f>
        <v>29599.166666666599</v>
      </c>
      <c r="H341" s="139">
        <f ca="1">IFERROR(__xludf.DUMMYFUNCTION("""COMPUTED_VALUE"""),12)</f>
        <v>12</v>
      </c>
      <c r="I341" s="140">
        <f ca="1">IFERROR(__xludf.DUMMYFUNCTION("""COMPUTED_VALUE"""),76259)</f>
        <v>76259</v>
      </c>
      <c r="J341" s="141">
        <f ca="1">IFERROR(__xludf.DUMMYFUNCTION("""COMPUTED_VALUE"""),6354.91666666666)</f>
        <v>6354.9166666666597</v>
      </c>
      <c r="K341" s="142">
        <f ca="1">IFERROR(__xludf.DUMMYFUNCTION("""COMPUTED_VALUE"""),5.08393333333333)</f>
        <v>5.0839333333333299</v>
      </c>
      <c r="L341" s="143" t="str">
        <f ca="1"/>
        <v>Wiris Variasi</v>
      </c>
      <c r="M341" s="127"/>
      <c r="N341" s="127"/>
      <c r="O341" s="127"/>
      <c r="P341" s="127"/>
      <c r="Q341" s="127"/>
      <c r="R341" s="127"/>
      <c r="S341" s="127"/>
      <c r="T341" s="127"/>
      <c r="U341" s="127"/>
      <c r="V341" s="127"/>
      <c r="W341" s="127"/>
      <c r="X341" s="127"/>
      <c r="Y341" s="127"/>
      <c r="Z341" s="127"/>
      <c r="AA341" s="127"/>
    </row>
    <row r="342" spans="1:27">
      <c r="A342" s="127">
        <f ca="1">IFERROR(__xludf.DUMMYFUNCTION("""COMPUTED_VALUE"""),174904221976312)</f>
        <v>174904221976312</v>
      </c>
      <c r="B342" s="127" t="str">
        <f ca="1">IFERROR(__xludf.DUMMYFUNCTION("""COMPUTED_VALUE"""),"120231539717410694")</f>
        <v>120231539717410694</v>
      </c>
      <c r="C342" s="127" t="str">
        <f ca="1">IFERROR(__xludf.DUMMYFUNCTION("""COMPUTED_VALUE"""),"LKP/LPK amoeskin")</f>
        <v>LKP/LPK amoeskin</v>
      </c>
      <c r="D342" s="138" t="str">
        <f ca="1">IFERROR(__xludf.DUMMYFUNCTION("""COMPUTED_VALUE"""),"https://wa.me/6285194619788")</f>
        <v>https://wa.me/6285194619788</v>
      </c>
      <c r="E342" s="139" t="str">
        <f ca="1">IFERROR(__xludf.DUMMYFUNCTION("""COMPUTED_VALUE"""),"6285194619788")</f>
        <v>6285194619788</v>
      </c>
      <c r="F342" s="139">
        <f ca="1">IFERROR(__xludf.DUMMYFUNCTION("""COMPUTED_VALUE"""),3695)</f>
        <v>3695</v>
      </c>
      <c r="G342" s="139">
        <f ca="1">IFERROR(__xludf.DUMMYFUNCTION("""COMPUTED_VALUE"""),21599.6)</f>
        <v>21599.599999999999</v>
      </c>
      <c r="H342" s="139">
        <f ca="1">IFERROR(__xludf.DUMMYFUNCTION("""COMPUTED_VALUE"""),45)</f>
        <v>45</v>
      </c>
      <c r="I342" s="140">
        <f ca="1">IFERROR(__xludf.DUMMYFUNCTION("""COMPUTED_VALUE"""),67567)</f>
        <v>67567</v>
      </c>
      <c r="J342" s="141">
        <f ca="1">IFERROR(__xludf.DUMMYFUNCTION("""COMPUTED_VALUE"""),1501.48888888888)</f>
        <v>1501.48888888888</v>
      </c>
      <c r="K342" s="142">
        <f ca="1">IFERROR(__xludf.DUMMYFUNCTION("""COMPUTED_VALUE"""),4.50446666666666)</f>
        <v>4.5044666666666604</v>
      </c>
      <c r="L342" s="143" t="str">
        <f ca="1"/>
        <v>Wiris Variasi</v>
      </c>
      <c r="M342" s="127"/>
      <c r="N342" s="127"/>
      <c r="O342" s="127"/>
      <c r="P342" s="127"/>
      <c r="Q342" s="127"/>
      <c r="R342" s="127"/>
      <c r="S342" s="127"/>
      <c r="T342" s="127"/>
      <c r="U342" s="127"/>
      <c r="V342" s="127"/>
      <c r="W342" s="127"/>
      <c r="X342" s="127"/>
      <c r="Y342" s="127"/>
      <c r="Z342" s="127"/>
      <c r="AA342" s="127"/>
    </row>
    <row r="343" spans="1:27">
      <c r="A343" s="127">
        <f ca="1">IFERROR(__xludf.DUMMYFUNCTION("""COMPUTED_VALUE"""),174904221976312)</f>
        <v>174904221976312</v>
      </c>
      <c r="B343" s="127" t="str">
        <f ca="1">IFERROR(__xludf.DUMMYFUNCTION("""COMPUTED_VALUE"""),"120231540839570694")</f>
        <v>120231540839570694</v>
      </c>
      <c r="C343" s="127" t="str">
        <f ca="1">IFERROR(__xludf.DUMMYFUNCTION("""COMPUTED_VALUE"""),"Klinik physio")</f>
        <v>Klinik physio</v>
      </c>
      <c r="D343" s="138" t="str">
        <f ca="1">IFERROR(__xludf.DUMMYFUNCTION("""COMPUTED_VALUE"""),"https://wa.me/6287863509004")</f>
        <v>https://wa.me/6287863509004</v>
      </c>
      <c r="E343" s="139" t="str">
        <f ca="1">IFERROR(__xludf.DUMMYFUNCTION("""COMPUTED_VALUE"""),"6287863509004")</f>
        <v>6287863509004</v>
      </c>
      <c r="F343" s="139">
        <f ca="1">IFERROR(__xludf.DUMMYFUNCTION("""COMPUTED_VALUE"""),9017)</f>
        <v>9017</v>
      </c>
      <c r="G343" s="139">
        <f ca="1">IFERROR(__xludf.DUMMYFUNCTION("""COMPUTED_VALUE"""),7040.2)</f>
        <v>7040.2</v>
      </c>
      <c r="H343" s="139">
        <f ca="1">IFERROR(__xludf.DUMMYFUNCTION("""COMPUTED_VALUE"""),3)</f>
        <v>3</v>
      </c>
      <c r="I343" s="140">
        <f ca="1">IFERROR(__xludf.DUMMYFUNCTION("""COMPUTED_VALUE"""),60646)</f>
        <v>60646</v>
      </c>
      <c r="J343" s="141">
        <f ca="1">IFERROR(__xludf.DUMMYFUNCTION("""COMPUTED_VALUE"""),20215.3333333333)</f>
        <v>20215.333333333299</v>
      </c>
      <c r="K343" s="142">
        <f ca="1">IFERROR(__xludf.DUMMYFUNCTION("""COMPUTED_VALUE"""),4.04306666666666)</f>
        <v>4.0430666666666601</v>
      </c>
      <c r="L343" s="143" t="str">
        <f ca="1"/>
        <v>Wiris Variasi</v>
      </c>
      <c r="M343" s="127"/>
      <c r="N343" s="127"/>
      <c r="O343" s="127"/>
      <c r="P343" s="127"/>
      <c r="Q343" s="127"/>
      <c r="R343" s="127"/>
      <c r="S343" s="127"/>
      <c r="T343" s="127"/>
      <c r="U343" s="127"/>
      <c r="V343" s="127"/>
      <c r="W343" s="127"/>
      <c r="X343" s="127"/>
      <c r="Y343" s="127"/>
      <c r="Z343" s="127"/>
      <c r="AA343" s="127"/>
    </row>
    <row r="344" spans="1:27">
      <c r="A344" s="127">
        <f ca="1">IFERROR(__xludf.DUMMYFUNCTION("""COMPUTED_VALUE"""),174904221976312)</f>
        <v>174904221976312</v>
      </c>
      <c r="B344" s="127" t="str">
        <f ca="1">IFERROR(__xludf.DUMMYFUNCTION("""COMPUTED_VALUE"""),"120231540880250694")</f>
        <v>120231540880250694</v>
      </c>
      <c r="C344" s="127" t="str">
        <f ca="1">IFERROR(__xludf.DUMMYFUNCTION("""COMPUTED_VALUE"""),"Rumah sehat")</f>
        <v>Rumah sehat</v>
      </c>
      <c r="D344" s="138" t="str">
        <f ca="1">IFERROR(__xludf.DUMMYFUNCTION("""COMPUTED_VALUE"""),"https://wa.me/6289606523838")</f>
        <v>https://wa.me/6289606523838</v>
      </c>
      <c r="E344" s="139" t="str">
        <f ca="1">IFERROR(__xludf.DUMMYFUNCTION("""COMPUTED_VALUE"""),"6289606523838")</f>
        <v>6289606523838</v>
      </c>
      <c r="F344" s="139">
        <f ca="1">IFERROR(__xludf.DUMMYFUNCTION("""COMPUTED_VALUE"""),7102)</f>
        <v>7102</v>
      </c>
      <c r="G344" s="139">
        <f ca="1">IFERROR(__xludf.DUMMYFUNCTION("""COMPUTED_VALUE"""),8218.5)</f>
        <v>8218.5</v>
      </c>
      <c r="H344" s="139">
        <f ca="1">IFERROR(__xludf.DUMMYFUNCTION("""COMPUTED_VALUE"""),7)</f>
        <v>7</v>
      </c>
      <c r="I344" s="140">
        <f ca="1">IFERROR(__xludf.DUMMYFUNCTION("""COMPUTED_VALUE"""),76662)</f>
        <v>76662</v>
      </c>
      <c r="J344" s="141">
        <f ca="1">IFERROR(__xludf.DUMMYFUNCTION("""COMPUTED_VALUE"""),10951.7142857142)</f>
        <v>10951.714285714201</v>
      </c>
      <c r="K344" s="142">
        <f ca="1">IFERROR(__xludf.DUMMYFUNCTION("""COMPUTED_VALUE"""),5.1108)</f>
        <v>5.1108000000000002</v>
      </c>
      <c r="L344" s="143" t="str">
        <f ca="1"/>
        <v>Wiris Variasi</v>
      </c>
      <c r="M344" s="127"/>
      <c r="N344" s="127"/>
      <c r="O344" s="127"/>
      <c r="P344" s="127"/>
      <c r="Q344" s="127"/>
      <c r="R344" s="127"/>
      <c r="S344" s="127"/>
      <c r="T344" s="127"/>
      <c r="U344" s="127"/>
      <c r="V344" s="127"/>
      <c r="W344" s="127"/>
      <c r="X344" s="127"/>
      <c r="Y344" s="127"/>
      <c r="Z344" s="127"/>
      <c r="AA344" s="127"/>
    </row>
    <row r="345" spans="1:27">
      <c r="A345" s="127">
        <f ca="1">IFERROR(__xludf.DUMMYFUNCTION("""COMPUTED_VALUE"""),174904221976312)</f>
        <v>174904221976312</v>
      </c>
      <c r="B345" s="127" t="str">
        <f ca="1">IFERROR(__xludf.DUMMYFUNCTION("""COMPUTED_VALUE"""),"120231541326030694")</f>
        <v>120231541326030694</v>
      </c>
      <c r="C345" s="127" t="str">
        <f ca="1">IFERROR(__xludf.DUMMYFUNCTION("""COMPUTED_VALUE"""),"Pijat Tunanetra")</f>
        <v>Pijat Tunanetra</v>
      </c>
      <c r="D345" s="138" t="str">
        <f ca="1">IFERROR(__xludf.DUMMYFUNCTION("""COMPUTED_VALUE"""),"https://wa.me/6285864550854")</f>
        <v>https://wa.me/6285864550854</v>
      </c>
      <c r="E345" s="139" t="str">
        <f ca="1">IFERROR(__xludf.DUMMYFUNCTION("""COMPUTED_VALUE"""),"6285864550854")</f>
        <v>6285864550854</v>
      </c>
      <c r="F345" s="139">
        <f ca="1">IFERROR(__xludf.DUMMYFUNCTION("""COMPUTED_VALUE"""),1560)</f>
        <v>1560</v>
      </c>
      <c r="G345" s="139">
        <f ca="1">IFERROR(__xludf.DUMMYFUNCTION("""COMPUTED_VALUE"""),46773.1666666666)</f>
        <v>46773.166666666599</v>
      </c>
      <c r="H345" s="139">
        <f ca="1">IFERROR(__xludf.DUMMYFUNCTION("""COMPUTED_VALUE"""),13)</f>
        <v>13</v>
      </c>
      <c r="I345" s="140">
        <f ca="1">IFERROR(__xludf.DUMMYFUNCTION("""COMPUTED_VALUE"""),78951)</f>
        <v>78951</v>
      </c>
      <c r="J345" s="141">
        <f ca="1">IFERROR(__xludf.DUMMYFUNCTION("""COMPUTED_VALUE"""),6073.15384615384)</f>
        <v>6073.1538461538403</v>
      </c>
      <c r="K345" s="142">
        <f ca="1">IFERROR(__xludf.DUMMYFUNCTION("""COMPUTED_VALUE"""),5.2634)</f>
        <v>5.2633999999999999</v>
      </c>
      <c r="L345" s="143" t="str">
        <f ca="1"/>
        <v>Wiris Variasi</v>
      </c>
      <c r="M345" s="127"/>
      <c r="N345" s="127"/>
      <c r="O345" s="127"/>
      <c r="P345" s="127"/>
      <c r="Q345" s="127"/>
      <c r="R345" s="127"/>
      <c r="S345" s="127"/>
      <c r="T345" s="127"/>
      <c r="U345" s="127"/>
      <c r="V345" s="127"/>
      <c r="W345" s="127"/>
      <c r="X345" s="127"/>
      <c r="Y345" s="127"/>
      <c r="Z345" s="127"/>
      <c r="AA345" s="127"/>
    </row>
    <row r="346" spans="1:27">
      <c r="A346" s="127">
        <f ca="1">IFERROR(__xludf.DUMMYFUNCTION("""COMPUTED_VALUE"""),174904221976312)</f>
        <v>174904221976312</v>
      </c>
      <c r="B346" s="127" t="str">
        <f ca="1">IFERROR(__xludf.DUMMYFUNCTION("""COMPUTED_VALUE"""),"120231542885150694")</f>
        <v>120231542885150694</v>
      </c>
      <c r="C346" s="127" t="str">
        <f ca="1">IFERROR(__xludf.DUMMYFUNCTION("""COMPUTED_VALUE"""),"Terapi Kretek")</f>
        <v>Terapi Kretek</v>
      </c>
      <c r="D346" s="138" t="str">
        <f ca="1">IFERROR(__xludf.DUMMYFUNCTION("""COMPUTED_VALUE"""),"https://wa.me/6285771466144")</f>
        <v>https://wa.me/6285771466144</v>
      </c>
      <c r="E346" s="139" t="str">
        <f ca="1">IFERROR(__xludf.DUMMYFUNCTION("""COMPUTED_VALUE"""),"6285771466144")</f>
        <v>6285771466144</v>
      </c>
      <c r="F346" s="139">
        <f ca="1">IFERROR(__xludf.DUMMYFUNCTION("""COMPUTED_VALUE"""),6110)</f>
        <v>6110</v>
      </c>
      <c r="G346" s="139">
        <f ca="1">IFERROR(__xludf.DUMMYFUNCTION("""COMPUTED_VALUE"""),11594.1666666666)</f>
        <v>11594.166666666601</v>
      </c>
      <c r="H346" s="139">
        <f ca="1">IFERROR(__xludf.DUMMYFUNCTION("""COMPUTED_VALUE"""),9)</f>
        <v>9</v>
      </c>
      <c r="I346" s="140">
        <f ca="1">IFERROR(__xludf.DUMMYFUNCTION("""COMPUTED_VALUE"""),80335)</f>
        <v>80335</v>
      </c>
      <c r="J346" s="141">
        <f ca="1">IFERROR(__xludf.DUMMYFUNCTION("""COMPUTED_VALUE"""),8926.11111111111)</f>
        <v>8926.1111111111095</v>
      </c>
      <c r="K346" s="142">
        <f ca="1">IFERROR(__xludf.DUMMYFUNCTION("""COMPUTED_VALUE"""),5.35566666666666)</f>
        <v>5.3556666666666599</v>
      </c>
      <c r="L346" s="143" t="str">
        <f ca="1"/>
        <v>Wiris Variasi</v>
      </c>
      <c r="M346" s="127"/>
      <c r="N346" s="127"/>
      <c r="O346" s="127"/>
      <c r="P346" s="127"/>
      <c r="Q346" s="127"/>
      <c r="R346" s="127"/>
      <c r="S346" s="127"/>
      <c r="T346" s="127"/>
      <c r="U346" s="127"/>
      <c r="V346" s="127"/>
      <c r="W346" s="127"/>
      <c r="X346" s="127"/>
      <c r="Y346" s="127"/>
      <c r="Z346" s="127"/>
      <c r="AA346" s="127"/>
    </row>
    <row r="347" spans="1:27">
      <c r="A347" s="127">
        <f ca="1">IFERROR(__xludf.DUMMYFUNCTION("""COMPUTED_VALUE"""),174904221976312)</f>
        <v>174904221976312</v>
      </c>
      <c r="B347" s="127" t="str">
        <f ca="1">IFERROR(__xludf.DUMMYFUNCTION("""COMPUTED_VALUE"""),"120231548764730694")</f>
        <v>120231548764730694</v>
      </c>
      <c r="C347" s="127" t="str">
        <f ca="1">IFERROR(__xludf.DUMMYFUNCTION("""COMPUTED_VALUE"""),"Susu Kambing")</f>
        <v>Susu Kambing</v>
      </c>
      <c r="D347" s="138" t="str">
        <f ca="1">IFERROR(__xludf.DUMMYFUNCTION("""COMPUTED_VALUE"""),"https://wa.me/6285645712595")</f>
        <v>https://wa.me/6285645712595</v>
      </c>
      <c r="E347" s="139" t="str">
        <f ca="1">IFERROR(__xludf.DUMMYFUNCTION("""COMPUTED_VALUE"""),"6285645712595")</f>
        <v>6285645712595</v>
      </c>
      <c r="F347" s="139">
        <f ca="1">IFERROR(__xludf.DUMMYFUNCTION("""COMPUTED_VALUE"""),2291)</f>
        <v>2291</v>
      </c>
      <c r="G347" s="139">
        <f ca="1">IFERROR(__xludf.DUMMYFUNCTION("""COMPUTED_VALUE"""),28418.1666666666)</f>
        <v>28418.166666666599</v>
      </c>
      <c r="H347" s="139">
        <f ca="1">IFERROR(__xludf.DUMMYFUNCTION("""COMPUTED_VALUE"""),3)</f>
        <v>3</v>
      </c>
      <c r="I347" s="140">
        <f ca="1">IFERROR(__xludf.DUMMYFUNCTION("""COMPUTED_VALUE"""),73081)</f>
        <v>73081</v>
      </c>
      <c r="J347" s="141">
        <f ca="1">IFERROR(__xludf.DUMMYFUNCTION("""COMPUTED_VALUE"""),24360.3333333333)</f>
        <v>24360.333333333299</v>
      </c>
      <c r="K347" s="142">
        <f ca="1">IFERROR(__xludf.DUMMYFUNCTION("""COMPUTED_VALUE"""),4.87206666666666)</f>
        <v>4.8720666666666599</v>
      </c>
      <c r="L347" s="143" t="str">
        <f ca="1"/>
        <v>Wiris Variasi</v>
      </c>
      <c r="M347" s="127"/>
      <c r="N347" s="127"/>
      <c r="O347" s="127"/>
      <c r="P347" s="127"/>
      <c r="Q347" s="127"/>
      <c r="R347" s="127"/>
      <c r="S347" s="127"/>
      <c r="T347" s="127"/>
      <c r="U347" s="127"/>
      <c r="V347" s="127"/>
      <c r="W347" s="127"/>
      <c r="X347" s="127"/>
      <c r="Y347" s="127"/>
      <c r="Z347" s="127"/>
      <c r="AA347" s="127"/>
    </row>
    <row r="348" spans="1:27">
      <c r="A348" s="127">
        <f ca="1">IFERROR(__xludf.DUMMYFUNCTION("""COMPUTED_VALUE"""),174904221976312)</f>
        <v>174904221976312</v>
      </c>
      <c r="B348" s="127" t="str">
        <f ca="1">IFERROR(__xludf.DUMMYFUNCTION("""COMPUTED_VALUE"""),"120231549446640694")</f>
        <v>120231549446640694</v>
      </c>
      <c r="C348" s="127" t="str">
        <f ca="1">IFERROR(__xludf.DUMMYFUNCTION("""COMPUTED_VALUE"""),"PO TARUNA")</f>
        <v>PO TARUNA</v>
      </c>
      <c r="D348" s="138" t="str">
        <f ca="1">IFERROR(__xludf.DUMMYFUNCTION("""COMPUTED_VALUE"""),"https://wa.me/6281222200099")</f>
        <v>https://wa.me/6281222200099</v>
      </c>
      <c r="E348" s="139" t="str">
        <f ca="1">IFERROR(__xludf.DUMMYFUNCTION("""COMPUTED_VALUE"""),"6281222200099")</f>
        <v>6281222200099</v>
      </c>
      <c r="F348" s="139">
        <f ca="1">IFERROR(__xludf.DUMMYFUNCTION("""COMPUTED_VALUE"""),2352)</f>
        <v>2352</v>
      </c>
      <c r="G348" s="139">
        <f ca="1">IFERROR(__xludf.DUMMYFUNCTION("""COMPUTED_VALUE"""),27372)</f>
        <v>27372</v>
      </c>
      <c r="H348" s="139">
        <f ca="1">IFERROR(__xludf.DUMMYFUNCTION("""COMPUTED_VALUE"""),12)</f>
        <v>12</v>
      </c>
      <c r="I348" s="140">
        <f ca="1">IFERROR(__xludf.DUMMYFUNCTION("""COMPUTED_VALUE"""),68490)</f>
        <v>68490</v>
      </c>
      <c r="J348" s="141">
        <f ca="1">IFERROR(__xludf.DUMMYFUNCTION("""COMPUTED_VALUE"""),5707.5)</f>
        <v>5707.5</v>
      </c>
      <c r="K348" s="142">
        <f ca="1">IFERROR(__xludf.DUMMYFUNCTION("""COMPUTED_VALUE"""),4.566)</f>
        <v>4.5659999999999998</v>
      </c>
      <c r="L348" s="143" t="str">
        <f ca="1"/>
        <v>Wiris Variasi</v>
      </c>
      <c r="M348" s="127"/>
      <c r="N348" s="127"/>
      <c r="O348" s="127"/>
      <c r="P348" s="127"/>
      <c r="Q348" s="127"/>
      <c r="R348" s="127"/>
      <c r="S348" s="127"/>
      <c r="T348" s="127"/>
      <c r="U348" s="127"/>
      <c r="V348" s="127"/>
      <c r="W348" s="127"/>
      <c r="X348" s="127"/>
      <c r="Y348" s="127"/>
      <c r="Z348" s="127"/>
      <c r="AA348" s="127"/>
    </row>
    <row r="349" spans="1:27">
      <c r="A349" s="127">
        <f ca="1">IFERROR(__xludf.DUMMYFUNCTION("""COMPUTED_VALUE"""),174904221976312)</f>
        <v>174904221976312</v>
      </c>
      <c r="B349" s="127" t="str">
        <f ca="1">IFERROR(__xludf.DUMMYFUNCTION("""COMPUTED_VALUE"""),"120231550435920694")</f>
        <v>120231550435920694</v>
      </c>
      <c r="C349" s="127" t="str">
        <f ca="1">IFERROR(__xludf.DUMMYFUNCTION("""COMPUTED_VALUE"""),"BERKAH TEKNIK SIDOARJO")</f>
        <v>BERKAH TEKNIK SIDOARJO</v>
      </c>
      <c r="D349" s="138" t="str">
        <f ca="1">IFERROR(__xludf.DUMMYFUNCTION("""COMPUTED_VALUE"""),"https://wa.me/6285748377961")</f>
        <v>https://wa.me/6285748377961</v>
      </c>
      <c r="E349" s="139" t="str">
        <f ca="1">IFERROR(__xludf.DUMMYFUNCTION("""COMPUTED_VALUE"""),"6285748377961")</f>
        <v>6285748377961</v>
      </c>
      <c r="F349" s="139">
        <f ca="1">IFERROR(__xludf.DUMMYFUNCTION("""COMPUTED_VALUE"""),1088)</f>
        <v>1088</v>
      </c>
      <c r="G349" s="139">
        <f ca="1">IFERROR(__xludf.DUMMYFUNCTION("""COMPUTED_VALUE"""),22003)</f>
        <v>22003</v>
      </c>
      <c r="H349" s="139">
        <f ca="1">IFERROR(__xludf.DUMMYFUNCTION("""COMPUTED_VALUE"""),4)</f>
        <v>4</v>
      </c>
      <c r="I349" s="140">
        <f ca="1">IFERROR(__xludf.DUMMYFUNCTION("""COMPUTED_VALUE"""),27636)</f>
        <v>27636</v>
      </c>
      <c r="J349" s="141">
        <f ca="1">IFERROR(__xludf.DUMMYFUNCTION("""COMPUTED_VALUE"""),6909)</f>
        <v>6909</v>
      </c>
      <c r="K349" s="142">
        <f ca="1">IFERROR(__xludf.DUMMYFUNCTION("""COMPUTED_VALUE"""),1.8424)</f>
        <v>1.8424</v>
      </c>
      <c r="L349" s="143" t="str">
        <f ca="1"/>
        <v>Wiris Variasi</v>
      </c>
      <c r="M349" s="127"/>
      <c r="N349" s="127"/>
      <c r="O349" s="127"/>
      <c r="P349" s="127"/>
      <c r="Q349" s="127"/>
      <c r="R349" s="127"/>
      <c r="S349" s="127"/>
      <c r="T349" s="127"/>
      <c r="U349" s="127"/>
      <c r="V349" s="127"/>
      <c r="W349" s="127"/>
      <c r="X349" s="127"/>
      <c r="Y349" s="127"/>
      <c r="Z349" s="127"/>
      <c r="AA349" s="127"/>
    </row>
    <row r="350" spans="1:27">
      <c r="A350" s="127">
        <f ca="1">IFERROR(__xludf.DUMMYFUNCTION("""COMPUTED_VALUE"""),174904221976312)</f>
        <v>174904221976312</v>
      </c>
      <c r="B350" s="127" t="str">
        <f ca="1">IFERROR(__xludf.DUMMYFUNCTION("""COMPUTED_VALUE"""),"120231550435920694")</f>
        <v>120231550435920694</v>
      </c>
      <c r="C350" s="127" t="str">
        <f ca="1">IFERROR(__xludf.DUMMYFUNCTION("""COMPUTED_VALUE"""),"Berkah teknik")</f>
        <v>Berkah teknik</v>
      </c>
      <c r="D350" s="138" t="str">
        <f ca="1">IFERROR(__xludf.DUMMYFUNCTION("""COMPUTED_VALUE"""),"https://wa.me/6285748377961")</f>
        <v>https://wa.me/6285748377961</v>
      </c>
      <c r="E350" s="139" t="str">
        <f ca="1">IFERROR(__xludf.DUMMYFUNCTION("""COMPUTED_VALUE"""),"6285748377961")</f>
        <v>6285748377961</v>
      </c>
      <c r="F350" s="139">
        <f ca="1">IFERROR(__xludf.DUMMYFUNCTION("""COMPUTED_VALUE"""),4233)</f>
        <v>4233</v>
      </c>
      <c r="G350" s="139">
        <f ca="1">IFERROR(__xludf.DUMMYFUNCTION("""COMPUTED_VALUE"""),23193.6666666666)</f>
        <v>23193.666666666599</v>
      </c>
      <c r="H350" s="139">
        <f ca="1">IFERROR(__xludf.DUMMYFUNCTION("""COMPUTED_VALUE"""),26)</f>
        <v>26</v>
      </c>
      <c r="I350" s="140">
        <f ca="1">IFERROR(__xludf.DUMMYFUNCTION("""COMPUTED_VALUE"""),111355)</f>
        <v>111355</v>
      </c>
      <c r="J350" s="141">
        <f ca="1">IFERROR(__xludf.DUMMYFUNCTION("""COMPUTED_VALUE"""),4282.88461538461)</f>
        <v>4282.8846153846098</v>
      </c>
      <c r="K350" s="142">
        <f ca="1">IFERROR(__xludf.DUMMYFUNCTION("""COMPUTED_VALUE"""),7.42366666666666)</f>
        <v>7.4236666666666604</v>
      </c>
      <c r="L350" s="143" t="str">
        <f ca="1"/>
        <v>Wiris Variasi</v>
      </c>
      <c r="M350" s="127"/>
      <c r="N350" s="127"/>
      <c r="O350" s="127"/>
      <c r="P350" s="127"/>
      <c r="Q350" s="127"/>
      <c r="R350" s="127"/>
      <c r="S350" s="127"/>
      <c r="T350" s="127"/>
      <c r="U350" s="127"/>
      <c r="V350" s="127"/>
      <c r="W350" s="127"/>
      <c r="X350" s="127"/>
      <c r="Y350" s="127"/>
      <c r="Z350" s="127"/>
      <c r="AA350" s="127"/>
    </row>
    <row r="351" spans="1:27">
      <c r="A351" s="127">
        <f ca="1">IFERROR(__xludf.DUMMYFUNCTION("""COMPUTED_VALUE"""),174904221976312)</f>
        <v>174904221976312</v>
      </c>
      <c r="B351" s="127" t="str">
        <f ca="1">IFERROR(__xludf.DUMMYFUNCTION("""COMPUTED_VALUE"""),"120231574468460694")</f>
        <v>120231574468460694</v>
      </c>
      <c r="C351" s="127" t="str">
        <f ca="1">IFERROR(__xludf.DUMMYFUNCTION("""COMPUTED_VALUE"""),"HDG Trip")</f>
        <v>HDG Trip</v>
      </c>
      <c r="D351" s="138" t="str">
        <f ca="1">IFERROR(__xludf.DUMMYFUNCTION("""COMPUTED_VALUE"""),"https://wa.me/6282217300224")</f>
        <v>https://wa.me/6282217300224</v>
      </c>
      <c r="E351" s="139" t="str">
        <f ca="1">IFERROR(__xludf.DUMMYFUNCTION("""COMPUTED_VALUE"""),"6282217300224")</f>
        <v>6282217300224</v>
      </c>
      <c r="F351" s="139">
        <f ca="1">IFERROR(__xludf.DUMMYFUNCTION("""COMPUTED_VALUE"""),4283)</f>
        <v>4283</v>
      </c>
      <c r="G351" s="139">
        <f ca="1">IFERROR(__xludf.DUMMYFUNCTION("""COMPUTED_VALUE"""),88259.5769230769)</f>
        <v>88259.576923076893</v>
      </c>
      <c r="H351" s="139">
        <f ca="1">IFERROR(__xludf.DUMMYFUNCTION("""COMPUTED_VALUE"""),15)</f>
        <v>15</v>
      </c>
      <c r="I351" s="140">
        <f ca="1">IFERROR(__xludf.DUMMYFUNCTION("""COMPUTED_VALUE"""),357048)</f>
        <v>357048</v>
      </c>
      <c r="J351" s="141">
        <f ca="1">IFERROR(__xludf.DUMMYFUNCTION("""COMPUTED_VALUE"""),23803.2)</f>
        <v>23803.200000000001</v>
      </c>
      <c r="K351" s="142">
        <f ca="1">IFERROR(__xludf.DUMMYFUNCTION("""COMPUTED_VALUE"""),23.8032)</f>
        <v>23.8032</v>
      </c>
      <c r="L351" s="143" t="str">
        <f ca="1"/>
        <v>Wiris Variasi</v>
      </c>
      <c r="M351" s="127"/>
      <c r="N351" s="127"/>
      <c r="O351" s="127"/>
      <c r="P351" s="127"/>
      <c r="Q351" s="127"/>
      <c r="R351" s="127"/>
      <c r="S351" s="127"/>
      <c r="T351" s="127"/>
      <c r="U351" s="127"/>
      <c r="V351" s="127"/>
      <c r="W351" s="127"/>
      <c r="X351" s="127"/>
      <c r="Y351" s="127"/>
      <c r="Z351" s="127"/>
      <c r="AA351" s="127"/>
    </row>
    <row r="352" spans="1:27">
      <c r="A352" s="127">
        <f ca="1">IFERROR(__xludf.DUMMYFUNCTION("""COMPUTED_VALUE"""),174904221976312)</f>
        <v>174904221976312</v>
      </c>
      <c r="B352" s="127" t="str">
        <f ca="1">IFERROR(__xludf.DUMMYFUNCTION("""COMPUTED_VALUE"""),"120231574977920694")</f>
        <v>120231574977920694</v>
      </c>
      <c r="C352" s="143" t="str">
        <f ca="1">IFERROR(__xludf.DUMMYFUNCTION("""COMPUTED_VALUE"""),"adhidezign.com")</f>
        <v>adhidezign.com</v>
      </c>
      <c r="D352" s="138" t="str">
        <f ca="1">IFERROR(__xludf.DUMMYFUNCTION("""COMPUTED_VALUE"""),"https://wa.me/6285719003688")</f>
        <v>https://wa.me/6285719003688</v>
      </c>
      <c r="E352" s="139" t="str">
        <f ca="1">IFERROR(__xludf.DUMMYFUNCTION("""COMPUTED_VALUE"""),"6285719003688")</f>
        <v>6285719003688</v>
      </c>
      <c r="F352" s="139">
        <f ca="1">IFERROR(__xludf.DUMMYFUNCTION("""COMPUTED_VALUE"""),1995)</f>
        <v>1995</v>
      </c>
      <c r="G352" s="139">
        <f ca="1">IFERROR(__xludf.DUMMYFUNCTION("""COMPUTED_VALUE"""),87137.1428571428)</f>
        <v>87137.142857142797</v>
      </c>
      <c r="H352" s="139">
        <f ca="1">IFERROR(__xludf.DUMMYFUNCTION("""COMPUTED_VALUE"""),11)</f>
        <v>11</v>
      </c>
      <c r="I352" s="140">
        <f ca="1">IFERROR(__xludf.DUMMYFUNCTION("""COMPUTED_VALUE"""),179229)</f>
        <v>179229</v>
      </c>
      <c r="J352" s="141">
        <f ca="1">IFERROR(__xludf.DUMMYFUNCTION("""COMPUTED_VALUE"""),16293.5454545454)</f>
        <v>16293.545454545399</v>
      </c>
      <c r="K352" s="142">
        <f ca="1">IFERROR(__xludf.DUMMYFUNCTION("""COMPUTED_VALUE"""),11.9486)</f>
        <v>11.948600000000001</v>
      </c>
      <c r="L352" s="143" t="str">
        <f ca="1"/>
        <v>Wiris Variasi</v>
      </c>
      <c r="M352" s="127"/>
      <c r="N352" s="127"/>
      <c r="O352" s="127"/>
      <c r="P352" s="127"/>
      <c r="Q352" s="127"/>
      <c r="R352" s="127"/>
      <c r="S352" s="127"/>
      <c r="T352" s="127"/>
      <c r="U352" s="127"/>
      <c r="V352" s="127"/>
      <c r="W352" s="127"/>
      <c r="X352" s="127"/>
      <c r="Y352" s="127"/>
      <c r="Z352" s="127"/>
      <c r="AA352" s="127"/>
    </row>
    <row r="353" spans="1:27">
      <c r="A353" s="127">
        <f ca="1">IFERROR(__xludf.DUMMYFUNCTION("""COMPUTED_VALUE"""),174904221976312)</f>
        <v>174904221976312</v>
      </c>
      <c r="B353" s="127" t="str">
        <f ca="1">IFERROR(__xludf.DUMMYFUNCTION("""COMPUTED_VALUE"""),"120231580965850694")</f>
        <v>120231580965850694</v>
      </c>
      <c r="C353" s="127" t="str">
        <f ca="1">IFERROR(__xludf.DUMMYFUNCTION("""COMPUTED_VALUE"""),"Segar bugar")</f>
        <v>Segar bugar</v>
      </c>
      <c r="D353" s="138" t="str">
        <f ca="1">IFERROR(__xludf.DUMMYFUNCTION("""COMPUTED_VALUE"""),"https://wa.me/6281262080126")</f>
        <v>https://wa.me/6281262080126</v>
      </c>
      <c r="E353" s="139" t="str">
        <f ca="1">IFERROR(__xludf.DUMMYFUNCTION("""COMPUTED_VALUE"""),"6281262080126")</f>
        <v>6281262080126</v>
      </c>
      <c r="F353" s="139">
        <f ca="1">IFERROR(__xludf.DUMMYFUNCTION("""COMPUTED_VALUE"""),4199)</f>
        <v>4199</v>
      </c>
      <c r="G353" s="139">
        <f ca="1">IFERROR(__xludf.DUMMYFUNCTION("""COMPUTED_VALUE"""),15700.1666666666)</f>
        <v>15700.166666666601</v>
      </c>
      <c r="H353" s="139">
        <f ca="1">IFERROR(__xludf.DUMMYFUNCTION("""COMPUTED_VALUE"""),13)</f>
        <v>13</v>
      </c>
      <c r="I353" s="140">
        <f ca="1">IFERROR(__xludf.DUMMYFUNCTION("""COMPUTED_VALUE"""),78264)</f>
        <v>78264</v>
      </c>
      <c r="J353" s="141">
        <f ca="1">IFERROR(__xludf.DUMMYFUNCTION("""COMPUTED_VALUE"""),6020.30769230769)</f>
        <v>6020.3076923076896</v>
      </c>
      <c r="K353" s="142">
        <f ca="1">IFERROR(__xludf.DUMMYFUNCTION("""COMPUTED_VALUE"""),5.2176)</f>
        <v>5.2176</v>
      </c>
      <c r="L353" s="143" t="str">
        <f ca="1"/>
        <v>Wiris Variasi</v>
      </c>
      <c r="M353" s="127"/>
      <c r="N353" s="127"/>
      <c r="O353" s="127"/>
      <c r="P353" s="127"/>
      <c r="Q353" s="127"/>
      <c r="R353" s="127"/>
      <c r="S353" s="127"/>
      <c r="T353" s="127"/>
      <c r="U353" s="127"/>
      <c r="V353" s="127"/>
      <c r="W353" s="127"/>
      <c r="X353" s="127"/>
      <c r="Y353" s="127"/>
      <c r="Z353" s="127"/>
      <c r="AA353" s="127"/>
    </row>
    <row r="354" spans="1:27">
      <c r="A354" s="127">
        <f ca="1">IFERROR(__xludf.DUMMYFUNCTION("""COMPUTED_VALUE"""),174904221976312)</f>
        <v>174904221976312</v>
      </c>
      <c r="B354" s="127" t="str">
        <f ca="1">IFERROR(__xludf.DUMMYFUNCTION("""COMPUTED_VALUE"""),"120231585902330694")</f>
        <v>120231585902330694</v>
      </c>
      <c r="C354" s="127" t="str">
        <f ca="1">IFERROR(__xludf.DUMMYFUNCTION("""COMPUTED_VALUE"""),"Pijat Tradisional")</f>
        <v>Pijat Tradisional</v>
      </c>
      <c r="D354" s="138" t="str">
        <f ca="1">IFERROR(__xludf.DUMMYFUNCTION("""COMPUTED_VALUE"""),"https://wa.me/6281317409433")</f>
        <v>https://wa.me/6281317409433</v>
      </c>
      <c r="E354" s="139" t="str">
        <f ca="1">IFERROR(__xludf.DUMMYFUNCTION("""COMPUTED_VALUE"""),"6281317409433")</f>
        <v>6281317409433</v>
      </c>
      <c r="F354" s="139">
        <f ca="1">IFERROR(__xludf.DUMMYFUNCTION("""COMPUTED_VALUE"""),4351)</f>
        <v>4351</v>
      </c>
      <c r="G354" s="139">
        <f ca="1">IFERROR(__xludf.DUMMYFUNCTION("""COMPUTED_VALUE"""),28664.1818181818)</f>
        <v>28664.181818181802</v>
      </c>
      <c r="H354" s="139">
        <f ca="1">IFERROR(__xludf.DUMMYFUNCTION("""COMPUTED_VALUE"""),73)</f>
        <v>73</v>
      </c>
      <c r="I354" s="140">
        <f ca="1">IFERROR(__xludf.DUMMYFUNCTION("""COMPUTED_VALUE"""),144999)</f>
        <v>144999</v>
      </c>
      <c r="J354" s="141">
        <f ca="1">IFERROR(__xludf.DUMMYFUNCTION("""COMPUTED_VALUE"""),1986.28767123287)</f>
        <v>1986.28767123287</v>
      </c>
      <c r="K354" s="142">
        <f ca="1">IFERROR(__xludf.DUMMYFUNCTION("""COMPUTED_VALUE"""),9.6666)</f>
        <v>9.6666000000000007</v>
      </c>
      <c r="L354" s="143" t="str">
        <f ca="1"/>
        <v>Wiris Variasi</v>
      </c>
      <c r="M354" s="127"/>
      <c r="N354" s="127"/>
      <c r="O354" s="127"/>
      <c r="P354" s="127"/>
      <c r="Q354" s="127"/>
      <c r="R354" s="127"/>
      <c r="S354" s="127"/>
      <c r="T354" s="127"/>
      <c r="U354" s="127"/>
      <c r="V354" s="127"/>
      <c r="W354" s="127"/>
      <c r="X354" s="127"/>
      <c r="Y354" s="127"/>
      <c r="Z354" s="127"/>
      <c r="AA354" s="127"/>
    </row>
    <row r="355" spans="1:27">
      <c r="A355" s="127">
        <f ca="1">IFERROR(__xludf.DUMMYFUNCTION("""COMPUTED_VALUE"""),174904221976312)</f>
        <v>174904221976312</v>
      </c>
      <c r="B355" s="127" t="str">
        <f ca="1">IFERROR(__xludf.DUMMYFUNCTION("""COMPUTED_VALUE"""),"120231626031550694")</f>
        <v>120231626031550694</v>
      </c>
      <c r="C355" s="127" t="str">
        <f ca="1">IFERROR(__xludf.DUMMYFUNCTION("""COMPUTED_VALUE"""),"HT KACAMATA")</f>
        <v>HT KACAMATA</v>
      </c>
      <c r="D355" s="138" t="str">
        <f ca="1">IFERROR(__xludf.DUMMYFUNCTION("""COMPUTED_VALUE"""),"https://wa.me/6285655300070")</f>
        <v>https://wa.me/6285655300070</v>
      </c>
      <c r="E355" s="139" t="str">
        <f ca="1">IFERROR(__xludf.DUMMYFUNCTION("""COMPUTED_VALUE"""),"6285655300070")</f>
        <v>6285655300070</v>
      </c>
      <c r="F355" s="139">
        <f ca="1">IFERROR(__xludf.DUMMYFUNCTION("""COMPUTED_VALUE"""),70548)</f>
        <v>70548</v>
      </c>
      <c r="G355" s="139">
        <f ca="1">IFERROR(__xludf.DUMMYFUNCTION("""COMPUTED_VALUE"""),1072.5)</f>
        <v>1072.5</v>
      </c>
      <c r="H355" s="139">
        <f ca="1">IFERROR(__xludf.DUMMYFUNCTION("""COMPUTED_VALUE"""),0)</f>
        <v>0</v>
      </c>
      <c r="I355" s="140">
        <f ca="1">IFERROR(__xludf.DUMMYFUNCTION("""COMPUTED_VALUE"""),76161)</f>
        <v>76161</v>
      </c>
      <c r="J355" s="141"/>
      <c r="K355" s="142">
        <f ca="1">IFERROR(__xludf.DUMMYFUNCTION("""COMPUTED_VALUE"""),5.0774)</f>
        <v>5.0773999999999999</v>
      </c>
      <c r="L355" s="143" t="str">
        <f ca="1"/>
        <v>Wiris Variasi</v>
      </c>
      <c r="M355" s="127"/>
      <c r="N355" s="127"/>
      <c r="O355" s="127"/>
      <c r="P355" s="127"/>
      <c r="Q355" s="127"/>
      <c r="R355" s="127"/>
      <c r="S355" s="127"/>
      <c r="T355" s="127"/>
      <c r="U355" s="127"/>
      <c r="V355" s="127"/>
      <c r="W355" s="127"/>
      <c r="X355" s="127"/>
      <c r="Y355" s="127"/>
      <c r="Z355" s="127"/>
      <c r="AA355" s="127"/>
    </row>
    <row r="356" spans="1:27">
      <c r="A356" s="127">
        <f ca="1">IFERROR(__xludf.DUMMYFUNCTION("""COMPUTED_VALUE"""),174904221976312)</f>
        <v>174904221976312</v>
      </c>
      <c r="B356" s="127" t="str">
        <f ca="1">IFERROR(__xludf.DUMMYFUNCTION("""COMPUTED_VALUE"""),"120231707002020694")</f>
        <v>120231707002020694</v>
      </c>
      <c r="C356" s="127" t="str">
        <f ca="1">IFERROR(__xludf.DUMMYFUNCTION("""COMPUTED_VALUE"""),"Auto dingin")</f>
        <v>Auto dingin</v>
      </c>
      <c r="D356" s="138" t="str">
        <f ca="1">IFERROR(__xludf.DUMMYFUNCTION("""COMPUTED_VALUE"""),"https://wa.me/6285600822636")</f>
        <v>https://wa.me/6285600822636</v>
      </c>
      <c r="E356" s="139" t="str">
        <f ca="1">IFERROR(__xludf.DUMMYFUNCTION("""COMPUTED_VALUE"""),"6285600822636")</f>
        <v>6285600822636</v>
      </c>
      <c r="F356" s="139">
        <f ca="1">IFERROR(__xludf.DUMMYFUNCTION("""COMPUTED_VALUE"""),7658)</f>
        <v>7658</v>
      </c>
      <c r="G356" s="139">
        <f ca="1">IFERROR(__xludf.DUMMYFUNCTION("""COMPUTED_VALUE"""),17006.6363636363)</f>
        <v>17006.636363636298</v>
      </c>
      <c r="H356" s="139">
        <f ca="1">IFERROR(__xludf.DUMMYFUNCTION("""COMPUTED_VALUE"""),17)</f>
        <v>17</v>
      </c>
      <c r="I356" s="140">
        <f ca="1">IFERROR(__xludf.DUMMYFUNCTION("""COMPUTED_VALUE"""),144474)</f>
        <v>144474</v>
      </c>
      <c r="J356" s="141">
        <f ca="1">IFERROR(__xludf.DUMMYFUNCTION("""COMPUTED_VALUE"""),8498.47058823529)</f>
        <v>8498.4705882352901</v>
      </c>
      <c r="K356" s="142">
        <f ca="1">IFERROR(__xludf.DUMMYFUNCTION("""COMPUTED_VALUE"""),9.6316)</f>
        <v>9.6316000000000006</v>
      </c>
      <c r="L356" s="143" t="str">
        <f ca="1"/>
        <v>Wiris Variasi</v>
      </c>
      <c r="M356" s="127"/>
      <c r="N356" s="127"/>
      <c r="O356" s="127"/>
      <c r="P356" s="127"/>
      <c r="Q356" s="127"/>
      <c r="R356" s="127"/>
      <c r="S356" s="127"/>
      <c r="T356" s="127"/>
      <c r="U356" s="127"/>
      <c r="V356" s="127"/>
      <c r="W356" s="127"/>
      <c r="X356" s="127"/>
      <c r="Y356" s="127"/>
      <c r="Z356" s="127"/>
      <c r="AA356" s="127"/>
    </row>
    <row r="357" spans="1:27">
      <c r="A357" s="127">
        <f ca="1">IFERROR(__xludf.DUMMYFUNCTION("""COMPUTED_VALUE"""),174904221976312)</f>
        <v>174904221976312</v>
      </c>
      <c r="B357" s="127" t="str">
        <f ca="1">IFERROR(__xludf.DUMMYFUNCTION("""COMPUTED_VALUE"""),"120231707265610694")</f>
        <v>120231707265610694</v>
      </c>
      <c r="C357" s="127" t="str">
        <f ca="1">IFERROR(__xludf.DUMMYFUNCTION("""COMPUTED_VALUE"""),"Sehat Holistik")</f>
        <v>Sehat Holistik</v>
      </c>
      <c r="D357" s="138" t="str">
        <f ca="1">IFERROR(__xludf.DUMMYFUNCTION("""COMPUTED_VALUE"""),"https://wa.me/6287888330007")</f>
        <v>https://wa.me/6287888330007</v>
      </c>
      <c r="E357" s="139" t="str">
        <f ca="1">IFERROR(__xludf.DUMMYFUNCTION("""COMPUTED_VALUE"""),"6287888330007")</f>
        <v>6287888330007</v>
      </c>
      <c r="F357" s="139">
        <f ca="1">IFERROR(__xludf.DUMMYFUNCTION("""COMPUTED_VALUE"""),10591)</f>
        <v>10591</v>
      </c>
      <c r="G357" s="139">
        <f ca="1">IFERROR(__xludf.DUMMYFUNCTION("""COMPUTED_VALUE"""),20584.6470588235)</f>
        <v>20584.647058823499</v>
      </c>
      <c r="H357" s="139">
        <f ca="1">IFERROR(__xludf.DUMMYFUNCTION("""COMPUTED_VALUE"""),62)</f>
        <v>62</v>
      </c>
      <c r="I357" s="140">
        <f ca="1">IFERROR(__xludf.DUMMYFUNCTION("""COMPUTED_VALUE"""),235491)</f>
        <v>235491</v>
      </c>
      <c r="J357" s="141">
        <f ca="1">IFERROR(__xludf.DUMMYFUNCTION("""COMPUTED_VALUE"""),3798.24193548387)</f>
        <v>3798.2419354838698</v>
      </c>
      <c r="K357" s="142">
        <f ca="1">IFERROR(__xludf.DUMMYFUNCTION("""COMPUTED_VALUE"""),15.6994)</f>
        <v>15.699400000000001</v>
      </c>
      <c r="L357" s="143" t="str">
        <f ca="1"/>
        <v>Wiris Variasi</v>
      </c>
      <c r="M357" s="127"/>
      <c r="N357" s="127"/>
      <c r="O357" s="127"/>
      <c r="P357" s="127"/>
      <c r="Q357" s="127"/>
      <c r="R357" s="127"/>
      <c r="S357" s="127"/>
      <c r="T357" s="127"/>
      <c r="U357" s="127"/>
      <c r="V357" s="127"/>
      <c r="W357" s="127"/>
      <c r="X357" s="127"/>
      <c r="Y357" s="127"/>
      <c r="Z357" s="127"/>
      <c r="AA357" s="127"/>
    </row>
    <row r="358" spans="1:27">
      <c r="A358" s="127">
        <f ca="1">IFERROR(__xludf.DUMMYFUNCTION("""COMPUTED_VALUE"""),174904221976312)</f>
        <v>174904221976312</v>
      </c>
      <c r="B358" s="127" t="str">
        <f ca="1">IFERROR(__xludf.DUMMYFUNCTION("""COMPUTED_VALUE"""),"120231707486140694")</f>
        <v>120231707486140694</v>
      </c>
      <c r="C358" s="127" t="str">
        <f ca="1">IFERROR(__xludf.DUMMYFUNCTION("""COMPUTED_VALUE"""),"Pandawa massage")</f>
        <v>Pandawa massage</v>
      </c>
      <c r="D358" s="138" t="str">
        <f ca="1">IFERROR(__xludf.DUMMYFUNCTION("""COMPUTED_VALUE"""),"https://wa.me/6285780314346")</f>
        <v>https://wa.me/6285780314346</v>
      </c>
      <c r="E358" s="139" t="str">
        <f ca="1">IFERROR(__xludf.DUMMYFUNCTION("""COMPUTED_VALUE"""),"6285780314346")</f>
        <v>6285780314346</v>
      </c>
      <c r="F358" s="139">
        <f ca="1">IFERROR(__xludf.DUMMYFUNCTION("""COMPUTED_VALUE"""),8259)</f>
        <v>8259</v>
      </c>
      <c r="G358" s="139">
        <f ca="1">IFERROR(__xludf.DUMMYFUNCTION("""COMPUTED_VALUE"""),16563.1818181818)</f>
        <v>16563.181818181802</v>
      </c>
      <c r="H358" s="139">
        <f ca="1">IFERROR(__xludf.DUMMYFUNCTION("""COMPUTED_VALUE"""),94)</f>
        <v>94</v>
      </c>
      <c r="I358" s="140">
        <f ca="1">IFERROR(__xludf.DUMMYFUNCTION("""COMPUTED_VALUE"""),153190)</f>
        <v>153190</v>
      </c>
      <c r="J358" s="141">
        <f ca="1">IFERROR(__xludf.DUMMYFUNCTION("""COMPUTED_VALUE"""),1629.68085106382)</f>
        <v>1629.68085106382</v>
      </c>
      <c r="K358" s="142">
        <f ca="1">IFERROR(__xludf.DUMMYFUNCTION("""COMPUTED_VALUE"""),10.2126666666666)</f>
        <v>10.2126666666666</v>
      </c>
      <c r="L358" s="143" t="str">
        <f ca="1"/>
        <v>Wiris Variasi</v>
      </c>
      <c r="M358" s="127"/>
      <c r="N358" s="127"/>
      <c r="O358" s="127"/>
      <c r="P358" s="127"/>
      <c r="Q358" s="127"/>
      <c r="R358" s="127"/>
      <c r="S358" s="127"/>
      <c r="T358" s="127"/>
      <c r="U358" s="127"/>
      <c r="V358" s="127"/>
      <c r="W358" s="127"/>
      <c r="X358" s="127"/>
      <c r="Y358" s="127"/>
      <c r="Z358" s="127"/>
      <c r="AA358" s="127"/>
    </row>
    <row r="359" spans="1:27">
      <c r="A359" s="127">
        <f ca="1">IFERROR(__xludf.DUMMYFUNCTION("""COMPUTED_VALUE"""),174904221976312)</f>
        <v>174904221976312</v>
      </c>
      <c r="B359" s="127" t="str">
        <f ca="1">IFERROR(__xludf.DUMMYFUNCTION("""COMPUTED_VALUE"""),"120231766664170694")</f>
        <v>120231766664170694</v>
      </c>
      <c r="C359" s="127" t="str">
        <f ca="1">IFERROR(__xludf.DUMMYFUNCTION("""COMPUTED_VALUE"""),"Kimora Refleksi")</f>
        <v>Kimora Refleksi</v>
      </c>
      <c r="D359" s="138" t="str">
        <f ca="1">IFERROR(__xludf.DUMMYFUNCTION("""COMPUTED_VALUE"""),"https://wa.me/6285242515222")</f>
        <v>https://wa.me/6285242515222</v>
      </c>
      <c r="E359" s="139" t="str">
        <f ca="1">IFERROR(__xludf.DUMMYFUNCTION("""COMPUTED_VALUE"""),"6285242515222")</f>
        <v>6285242515222</v>
      </c>
      <c r="F359" s="139">
        <f ca="1">IFERROR(__xludf.DUMMYFUNCTION("""COMPUTED_VALUE"""),6390)</f>
        <v>6390</v>
      </c>
      <c r="G359" s="139">
        <f ca="1">IFERROR(__xludf.DUMMYFUNCTION("""COMPUTED_VALUE"""),10361.1666666666)</f>
        <v>10361.166666666601</v>
      </c>
      <c r="H359" s="139">
        <f ca="1">IFERROR(__xludf.DUMMYFUNCTION("""COMPUTED_VALUE"""),19)</f>
        <v>19</v>
      </c>
      <c r="I359" s="140">
        <f ca="1">IFERROR(__xludf.DUMMYFUNCTION("""COMPUTED_VALUE"""),76336)</f>
        <v>76336</v>
      </c>
      <c r="J359" s="141">
        <f ca="1">IFERROR(__xludf.DUMMYFUNCTION("""COMPUTED_VALUE"""),4017.68421052631)</f>
        <v>4017.6842105263099</v>
      </c>
      <c r="K359" s="142">
        <f ca="1">IFERROR(__xludf.DUMMYFUNCTION("""COMPUTED_VALUE"""),5.08906666666666)</f>
        <v>5.0890666666666604</v>
      </c>
      <c r="L359" s="143" t="str">
        <f ca="1"/>
        <v>Wiris Variasi</v>
      </c>
      <c r="M359" s="127"/>
      <c r="N359" s="127"/>
      <c r="O359" s="127"/>
      <c r="P359" s="127"/>
      <c r="Q359" s="127"/>
      <c r="R359" s="127"/>
      <c r="S359" s="127"/>
      <c r="T359" s="127"/>
      <c r="U359" s="127"/>
      <c r="V359" s="127"/>
      <c r="W359" s="127"/>
      <c r="X359" s="127"/>
      <c r="Y359" s="127"/>
      <c r="Z359" s="127"/>
      <c r="AA359" s="127"/>
    </row>
    <row r="360" spans="1:27">
      <c r="A360" s="127">
        <f ca="1">IFERROR(__xludf.DUMMYFUNCTION("""COMPUTED_VALUE"""),174904221976312)</f>
        <v>174904221976312</v>
      </c>
      <c r="B360" s="127" t="str">
        <f ca="1">IFERROR(__xludf.DUMMYFUNCTION("""COMPUTED_VALUE"""),"120231844321490694")</f>
        <v>120231844321490694</v>
      </c>
      <c r="C360" s="127" t="str">
        <f ca="1">IFERROR(__xludf.DUMMYFUNCTION("""COMPUTED_VALUE"""),"Rumah Terapi")</f>
        <v>Rumah Terapi</v>
      </c>
      <c r="D360" s="138" t="str">
        <f ca="1">IFERROR(__xludf.DUMMYFUNCTION("""COMPUTED_VALUE"""),"https://wa.me/62895804080442")</f>
        <v>https://wa.me/62895804080442</v>
      </c>
      <c r="E360" s="139" t="str">
        <f ca="1">IFERROR(__xludf.DUMMYFUNCTION("""COMPUTED_VALUE"""),"62895804080442")</f>
        <v>62895804080442</v>
      </c>
      <c r="F360" s="139">
        <f ca="1">IFERROR(__xludf.DUMMYFUNCTION("""COMPUTED_VALUE"""),3093)</f>
        <v>3093</v>
      </c>
      <c r="G360" s="139">
        <f ca="1">IFERROR(__xludf.DUMMYFUNCTION("""COMPUTED_VALUE"""),21803)</f>
        <v>21803</v>
      </c>
      <c r="H360" s="139">
        <f ca="1">IFERROR(__xludf.DUMMYFUNCTION("""COMPUTED_VALUE"""),40)</f>
        <v>40</v>
      </c>
      <c r="I360" s="140">
        <f ca="1">IFERROR(__xludf.DUMMYFUNCTION("""COMPUTED_VALUE"""),82045)</f>
        <v>82045</v>
      </c>
      <c r="J360" s="141">
        <f ca="1">IFERROR(__xludf.DUMMYFUNCTION("""COMPUTED_VALUE"""),2051.125)</f>
        <v>2051.125</v>
      </c>
      <c r="K360" s="142">
        <f ca="1">IFERROR(__xludf.DUMMYFUNCTION("""COMPUTED_VALUE"""),5.46966666666666)</f>
        <v>5.4696666666666598</v>
      </c>
      <c r="L360" s="143" t="str">
        <f ca="1"/>
        <v>Wiris Variasi</v>
      </c>
      <c r="M360" s="127"/>
      <c r="N360" s="127"/>
      <c r="O360" s="127"/>
      <c r="P360" s="127"/>
      <c r="Q360" s="127"/>
      <c r="R360" s="127"/>
      <c r="S360" s="127"/>
      <c r="T360" s="127"/>
      <c r="U360" s="127"/>
      <c r="V360" s="127"/>
      <c r="W360" s="127"/>
      <c r="X360" s="127"/>
      <c r="Y360" s="127"/>
      <c r="Z360" s="127"/>
      <c r="AA360" s="127"/>
    </row>
    <row r="361" spans="1:27">
      <c r="A361" s="127">
        <f ca="1">IFERROR(__xludf.DUMMYFUNCTION("""COMPUTED_VALUE"""),174904221976312)</f>
        <v>174904221976312</v>
      </c>
      <c r="B361" s="127" t="str">
        <f ca="1">IFERROR(__xludf.DUMMYFUNCTION("""COMPUTED_VALUE"""),"120231844479670694")</f>
        <v>120231844479670694</v>
      </c>
      <c r="C361" s="127" t="str">
        <f ca="1">IFERROR(__xludf.DUMMYFUNCTION("""COMPUTED_VALUE"""),"Ozay adventure")</f>
        <v>Ozay adventure</v>
      </c>
      <c r="D361" s="138" t="str">
        <f ca="1">IFERROR(__xludf.DUMMYFUNCTION("""COMPUTED_VALUE"""),"https://wa.me/6282229433259")</f>
        <v>https://wa.me/6282229433259</v>
      </c>
      <c r="E361" s="139" t="str">
        <f ca="1">IFERROR(__xludf.DUMMYFUNCTION("""COMPUTED_VALUE"""),"6282229433259")</f>
        <v>6282229433259</v>
      </c>
      <c r="F361" s="139">
        <f ca="1">IFERROR(__xludf.DUMMYFUNCTION("""COMPUTED_VALUE"""),4646)</f>
        <v>4646</v>
      </c>
      <c r="G361" s="139">
        <f ca="1">IFERROR(__xludf.DUMMYFUNCTION("""COMPUTED_VALUE"""),68705.0454545454)</f>
        <v>68705.045454545398</v>
      </c>
      <c r="H361" s="139">
        <f ca="1">IFERROR(__xludf.DUMMYFUNCTION("""COMPUTED_VALUE"""),27)</f>
        <v>27</v>
      </c>
      <c r="I361" s="140">
        <f ca="1">IFERROR(__xludf.DUMMYFUNCTION("""COMPUTED_VALUE"""),311608)</f>
        <v>311608</v>
      </c>
      <c r="J361" s="141">
        <f ca="1">IFERROR(__xludf.DUMMYFUNCTION("""COMPUTED_VALUE"""),11541.037037037)</f>
        <v>11541.037037037</v>
      </c>
      <c r="K361" s="142">
        <f ca="1">IFERROR(__xludf.DUMMYFUNCTION("""COMPUTED_VALUE"""),20.7738666666666)</f>
        <v>20.773866666666599</v>
      </c>
      <c r="L361" s="143" t="str">
        <f ca="1"/>
        <v>Wiris Variasi</v>
      </c>
      <c r="M361" s="127"/>
      <c r="N361" s="127"/>
      <c r="O361" s="127"/>
      <c r="P361" s="127"/>
      <c r="Q361" s="127"/>
      <c r="R361" s="127"/>
      <c r="S361" s="127"/>
      <c r="T361" s="127"/>
      <c r="U361" s="127"/>
      <c r="V361" s="127"/>
      <c r="W361" s="127"/>
      <c r="X361" s="127"/>
      <c r="Y361" s="127"/>
      <c r="Z361" s="127"/>
      <c r="AA361" s="127"/>
    </row>
    <row r="362" spans="1:27">
      <c r="A362" s="127">
        <f ca="1">IFERROR(__xludf.DUMMYFUNCTION("""COMPUTED_VALUE"""),174904221976312)</f>
        <v>174904221976312</v>
      </c>
      <c r="B362" s="127" t="str">
        <f ca="1">IFERROR(__xludf.DUMMYFUNCTION("""COMPUTED_VALUE"""),"120231846522060694")</f>
        <v>120231846522060694</v>
      </c>
      <c r="C362" s="127" t="str">
        <f ca="1">IFERROR(__xludf.DUMMYFUNCTION("""COMPUTED_VALUE"""),"Calvina Tour")</f>
        <v>Calvina Tour</v>
      </c>
      <c r="D362" s="138" t="str">
        <f ca="1">IFERROR(__xludf.DUMMYFUNCTION("""COMPUTED_VALUE"""),"https://wa.me/6282362576312")</f>
        <v>https://wa.me/6282362576312</v>
      </c>
      <c r="E362" s="139" t="str">
        <f ca="1">IFERROR(__xludf.DUMMYFUNCTION("""COMPUTED_VALUE"""),"6282362576312")</f>
        <v>6282362576312</v>
      </c>
      <c r="F362" s="139">
        <f ca="1">IFERROR(__xludf.DUMMYFUNCTION("""COMPUTED_VALUE"""),1117)</f>
        <v>1117</v>
      </c>
      <c r="G362" s="139">
        <f ca="1">IFERROR(__xludf.DUMMYFUNCTION("""COMPUTED_VALUE"""),72757.8333333333)</f>
        <v>72757.833333333299</v>
      </c>
      <c r="H362" s="139">
        <f ca="1">IFERROR(__xludf.DUMMYFUNCTION("""COMPUTED_VALUE"""),10)</f>
        <v>10</v>
      </c>
      <c r="I362" s="140">
        <f ca="1">IFERROR(__xludf.DUMMYFUNCTION("""COMPUTED_VALUE"""),83381)</f>
        <v>83381</v>
      </c>
      <c r="J362" s="141">
        <f ca="1">IFERROR(__xludf.DUMMYFUNCTION("""COMPUTED_VALUE"""),8338.1)</f>
        <v>8338.1</v>
      </c>
      <c r="K362" s="142">
        <f ca="1">IFERROR(__xludf.DUMMYFUNCTION("""COMPUTED_VALUE"""),5.55873333333333)</f>
        <v>5.55873333333333</v>
      </c>
      <c r="L362" s="143" t="str">
        <f ca="1"/>
        <v>Wiris Variasi</v>
      </c>
      <c r="M362" s="127"/>
      <c r="N362" s="127"/>
      <c r="O362" s="127"/>
      <c r="P362" s="127"/>
      <c r="Q362" s="127"/>
      <c r="R362" s="127"/>
      <c r="S362" s="127"/>
      <c r="T362" s="127"/>
      <c r="U362" s="127"/>
      <c r="V362" s="127"/>
      <c r="W362" s="127"/>
      <c r="X362" s="127"/>
      <c r="Y362" s="127"/>
      <c r="Z362" s="127"/>
      <c r="AA362" s="127"/>
    </row>
    <row r="363" spans="1:27">
      <c r="A363" s="127">
        <f ca="1">IFERROR(__xludf.DUMMYFUNCTION("""COMPUTED_VALUE"""),174904221976312)</f>
        <v>174904221976312</v>
      </c>
      <c r="B363" s="127" t="str">
        <f ca="1">IFERROR(__xludf.DUMMYFUNCTION("""COMPUTED_VALUE"""),"120231846864380694")</f>
        <v>120231846864380694</v>
      </c>
      <c r="C363" s="127" t="str">
        <f ca="1">IFERROR(__xludf.DUMMYFUNCTION("""COMPUTED_VALUE"""),"Reflexoligi dan")</f>
        <v>Reflexoligi dan</v>
      </c>
      <c r="D363" s="138" t="str">
        <f ca="1">IFERROR(__xludf.DUMMYFUNCTION("""COMPUTED_VALUE"""),"https://wa.me/62817308228")</f>
        <v>https://wa.me/62817308228</v>
      </c>
      <c r="E363" s="139" t="str">
        <f ca="1">IFERROR(__xludf.DUMMYFUNCTION("""COMPUTED_VALUE"""),"62817308228")</f>
        <v>62817308228</v>
      </c>
      <c r="F363" s="139">
        <f ca="1">IFERROR(__xludf.DUMMYFUNCTION("""COMPUTED_VALUE"""),3715)</f>
        <v>3715</v>
      </c>
      <c r="G363" s="139">
        <f ca="1">IFERROR(__xludf.DUMMYFUNCTION("""COMPUTED_VALUE"""),23620.125)</f>
        <v>23620.125</v>
      </c>
      <c r="H363" s="139">
        <f ca="1">IFERROR(__xludf.DUMMYFUNCTION("""COMPUTED_VALUE"""),25)</f>
        <v>25</v>
      </c>
      <c r="I363" s="140">
        <f ca="1">IFERROR(__xludf.DUMMYFUNCTION("""COMPUTED_VALUE"""),102495)</f>
        <v>102495</v>
      </c>
      <c r="J363" s="141">
        <f ca="1">IFERROR(__xludf.DUMMYFUNCTION("""COMPUTED_VALUE"""),4099.8)</f>
        <v>4099.8</v>
      </c>
      <c r="K363" s="142">
        <f ca="1">IFERROR(__xludf.DUMMYFUNCTION("""COMPUTED_VALUE"""),6.833)</f>
        <v>6.8330000000000002</v>
      </c>
      <c r="L363" s="143" t="str">
        <f ca="1"/>
        <v>Wiris Variasi</v>
      </c>
      <c r="M363" s="127"/>
      <c r="N363" s="127"/>
      <c r="O363" s="127"/>
      <c r="P363" s="127"/>
      <c r="Q363" s="127"/>
      <c r="R363" s="127"/>
      <c r="S363" s="127"/>
      <c r="T363" s="127"/>
      <c r="U363" s="127"/>
      <c r="V363" s="127"/>
      <c r="W363" s="127"/>
      <c r="X363" s="127"/>
      <c r="Y363" s="127"/>
      <c r="Z363" s="127"/>
      <c r="AA363" s="127"/>
    </row>
    <row r="364" spans="1:27">
      <c r="A364" s="127">
        <f ca="1">IFERROR(__xludf.DUMMYFUNCTION("""COMPUTED_VALUE"""),174904221976312)</f>
        <v>174904221976312</v>
      </c>
      <c r="B364" s="127" t="str">
        <f ca="1">IFERROR(__xludf.DUMMYFUNCTION("""COMPUTED_VALUE"""),"120231847087390694")</f>
        <v>120231847087390694</v>
      </c>
      <c r="C364" s="127" t="str">
        <f ca="1">IFERROR(__xludf.DUMMYFUNCTION("""COMPUTED_VALUE"""),"Disolusi Therapy")</f>
        <v>Disolusi Therapy</v>
      </c>
      <c r="D364" s="138" t="str">
        <f ca="1">IFERROR(__xludf.DUMMYFUNCTION("""COMPUTED_VALUE"""),"https://wa.me/6285786318640")</f>
        <v>https://wa.me/6285786318640</v>
      </c>
      <c r="E364" s="139" t="str">
        <f ca="1">IFERROR(__xludf.DUMMYFUNCTION("""COMPUTED_VALUE"""),"6285786318640")</f>
        <v>6285786318640</v>
      </c>
      <c r="F364" s="139">
        <f ca="1">IFERROR(__xludf.DUMMYFUNCTION("""COMPUTED_VALUE"""),2000)</f>
        <v>2000</v>
      </c>
      <c r="G364" s="139">
        <f ca="1">IFERROR(__xludf.DUMMYFUNCTION("""COMPUTED_VALUE"""),34956.3333333333)</f>
        <v>34956.333333333299</v>
      </c>
      <c r="H364" s="139">
        <f ca="1">IFERROR(__xludf.DUMMYFUNCTION("""COMPUTED_VALUE"""),5)</f>
        <v>5</v>
      </c>
      <c r="I364" s="140">
        <f ca="1">IFERROR(__xludf.DUMMYFUNCTION("""COMPUTED_VALUE"""),80095)</f>
        <v>80095</v>
      </c>
      <c r="J364" s="141">
        <f ca="1">IFERROR(__xludf.DUMMYFUNCTION("""COMPUTED_VALUE"""),16019)</f>
        <v>16019</v>
      </c>
      <c r="K364" s="142">
        <f ca="1">IFERROR(__xludf.DUMMYFUNCTION("""COMPUTED_VALUE"""),5.33966666666666)</f>
        <v>5.3396666666666599</v>
      </c>
      <c r="L364" s="143" t="str">
        <f ca="1"/>
        <v>Wiris Variasi</v>
      </c>
      <c r="M364" s="127"/>
      <c r="N364" s="127"/>
      <c r="O364" s="127"/>
      <c r="P364" s="127"/>
      <c r="Q364" s="127"/>
      <c r="R364" s="127"/>
      <c r="S364" s="127"/>
      <c r="T364" s="127"/>
      <c r="U364" s="127"/>
      <c r="V364" s="127"/>
      <c r="W364" s="127"/>
      <c r="X364" s="127"/>
      <c r="Y364" s="127"/>
      <c r="Z364" s="127"/>
      <c r="AA364" s="127"/>
    </row>
    <row r="365" spans="1:27">
      <c r="A365" s="127">
        <f ca="1">IFERROR(__xludf.DUMMYFUNCTION("""COMPUTED_VALUE"""),174904221976312)</f>
        <v>174904221976312</v>
      </c>
      <c r="B365" s="127" t="str">
        <f ca="1">IFERROR(__xludf.DUMMYFUNCTION("""COMPUTED_VALUE"""),"120231847309410694")</f>
        <v>120231847309410694</v>
      </c>
      <c r="C365" s="127" t="str">
        <f ca="1">IFERROR(__xludf.DUMMYFUNCTION("""COMPUTED_VALUE"""),"Hilal Therapys")</f>
        <v>Hilal Therapys</v>
      </c>
      <c r="D365" s="138" t="str">
        <f ca="1">IFERROR(__xludf.DUMMYFUNCTION("""COMPUTED_VALUE"""),"https://wa.me/6287849856444")</f>
        <v>https://wa.me/6287849856444</v>
      </c>
      <c r="E365" s="139" t="str">
        <f ca="1">IFERROR(__xludf.DUMMYFUNCTION("""COMPUTED_VALUE"""),"6287849856444")</f>
        <v>6287849856444</v>
      </c>
      <c r="F365" s="139">
        <f ca="1">IFERROR(__xludf.DUMMYFUNCTION("""COMPUTED_VALUE"""),2893)</f>
        <v>2893</v>
      </c>
      <c r="G365" s="139">
        <f ca="1">IFERROR(__xludf.DUMMYFUNCTION("""COMPUTED_VALUE"""),23494.6666666666)</f>
        <v>23494.666666666599</v>
      </c>
      <c r="H365" s="139">
        <f ca="1">IFERROR(__xludf.DUMMYFUNCTION("""COMPUTED_VALUE"""),17)</f>
        <v>17</v>
      </c>
      <c r="I365" s="140">
        <f ca="1">IFERROR(__xludf.DUMMYFUNCTION("""COMPUTED_VALUE"""),77175)</f>
        <v>77175</v>
      </c>
      <c r="J365" s="141">
        <f ca="1">IFERROR(__xludf.DUMMYFUNCTION("""COMPUTED_VALUE"""),4539.70588235294)</f>
        <v>4539.7058823529396</v>
      </c>
      <c r="K365" s="142">
        <f ca="1">IFERROR(__xludf.DUMMYFUNCTION("""COMPUTED_VALUE"""),5.145)</f>
        <v>5.1449999999999996</v>
      </c>
      <c r="L365" s="143" t="str">
        <f ca="1"/>
        <v>Wiris Variasi</v>
      </c>
      <c r="M365" s="127"/>
      <c r="N365" s="127"/>
      <c r="O365" s="127"/>
      <c r="P365" s="127"/>
      <c r="Q365" s="127"/>
      <c r="R365" s="127"/>
      <c r="S365" s="127"/>
      <c r="T365" s="127"/>
      <c r="U365" s="127"/>
      <c r="V365" s="127"/>
      <c r="W365" s="127"/>
      <c r="X365" s="127"/>
      <c r="Y365" s="127"/>
      <c r="Z365" s="127"/>
      <c r="AA365" s="127"/>
    </row>
    <row r="366" spans="1:27">
      <c r="A366" s="127">
        <f ca="1">IFERROR(__xludf.DUMMYFUNCTION("""COMPUTED_VALUE"""),174904221976312)</f>
        <v>174904221976312</v>
      </c>
      <c r="B366" s="127" t="str">
        <f ca="1">IFERROR(__xludf.DUMMYFUNCTION("""COMPUTED_VALUE"""),"120231847646080694")</f>
        <v>120231847646080694</v>
      </c>
      <c r="C366" s="127" t="str">
        <f ca="1">IFERROR(__xludf.DUMMYFUNCTION("""COMPUTED_VALUE"""),"Terapi sehat")</f>
        <v>Terapi sehat</v>
      </c>
      <c r="D366" s="138" t="str">
        <f ca="1">IFERROR(__xludf.DUMMYFUNCTION("""COMPUTED_VALUE"""),"https://wa.me/6285384956538")</f>
        <v>https://wa.me/6285384956538</v>
      </c>
      <c r="E366" s="139" t="str">
        <f ca="1">IFERROR(__xludf.DUMMYFUNCTION("""COMPUTED_VALUE"""),"6285384956538")</f>
        <v>6285384956538</v>
      </c>
      <c r="F366" s="139">
        <f ca="1">IFERROR(__xludf.DUMMYFUNCTION("""COMPUTED_VALUE"""),4580)</f>
        <v>4580</v>
      </c>
      <c r="G366" s="139">
        <f ca="1">IFERROR(__xludf.DUMMYFUNCTION("""COMPUTED_VALUE"""),13184.1666666666)</f>
        <v>13184.166666666601</v>
      </c>
      <c r="H366" s="139">
        <f ca="1">IFERROR(__xludf.DUMMYFUNCTION("""COMPUTED_VALUE"""),5)</f>
        <v>5</v>
      </c>
      <c r="I366" s="140">
        <f ca="1">IFERROR(__xludf.DUMMYFUNCTION("""COMPUTED_VALUE"""),78265)</f>
        <v>78265</v>
      </c>
      <c r="J366" s="141">
        <f ca="1">IFERROR(__xludf.DUMMYFUNCTION("""COMPUTED_VALUE"""),15653)</f>
        <v>15653</v>
      </c>
      <c r="K366" s="142">
        <f ca="1">IFERROR(__xludf.DUMMYFUNCTION("""COMPUTED_VALUE"""),5.21766666666666)</f>
        <v>5.21766666666666</v>
      </c>
      <c r="L366" s="143" t="str">
        <f ca="1"/>
        <v>Wiris Variasi</v>
      </c>
      <c r="M366" s="127"/>
      <c r="N366" s="127"/>
      <c r="O366" s="127"/>
      <c r="P366" s="127"/>
      <c r="Q366" s="127"/>
      <c r="R366" s="127"/>
      <c r="S366" s="127"/>
      <c r="T366" s="127"/>
      <c r="U366" s="127"/>
      <c r="V366" s="127"/>
      <c r="W366" s="127"/>
      <c r="X366" s="127"/>
      <c r="Y366" s="127"/>
      <c r="Z366" s="127"/>
      <c r="AA366" s="127"/>
    </row>
    <row r="367" spans="1:27">
      <c r="A367" s="127">
        <f ca="1">IFERROR(__xludf.DUMMYFUNCTION("""COMPUTED_VALUE"""),174904221976312)</f>
        <v>174904221976312</v>
      </c>
      <c r="B367" s="127" t="str">
        <f ca="1">IFERROR(__xludf.DUMMYFUNCTION("""COMPUTED_VALUE"""),"120231849584150694")</f>
        <v>120231849584150694</v>
      </c>
      <c r="C367" s="127" t="str">
        <f ca="1">IFERROR(__xludf.DUMMYFUNCTION("""COMPUTED_VALUE"""),"Rumah terapi")</f>
        <v>Rumah terapi</v>
      </c>
      <c r="D367" s="138" t="str">
        <f ca="1">IFERROR(__xludf.DUMMYFUNCTION("""COMPUTED_VALUE"""),"https://wa.me/6287838234518")</f>
        <v>https://wa.me/6287838234518</v>
      </c>
      <c r="E367" s="139" t="str">
        <f ca="1">IFERROR(__xludf.DUMMYFUNCTION("""COMPUTED_VALUE"""),"6287838234518")</f>
        <v>6287838234518</v>
      </c>
      <c r="F367" s="139">
        <f ca="1">IFERROR(__xludf.DUMMYFUNCTION("""COMPUTED_VALUE"""),2673)</f>
        <v>2673</v>
      </c>
      <c r="G367" s="139">
        <f ca="1">IFERROR(__xludf.DUMMYFUNCTION("""COMPUTED_VALUE"""),27956.5)</f>
        <v>27956.5</v>
      </c>
      <c r="H367" s="139">
        <f ca="1">IFERROR(__xludf.DUMMYFUNCTION("""COMPUTED_VALUE"""),33)</f>
        <v>33</v>
      </c>
      <c r="I367" s="140">
        <f ca="1">IFERROR(__xludf.DUMMYFUNCTION("""COMPUTED_VALUE"""),80500)</f>
        <v>80500</v>
      </c>
      <c r="J367" s="141">
        <f ca="1">IFERROR(__xludf.DUMMYFUNCTION("""COMPUTED_VALUE"""),2439.39393939393)</f>
        <v>2439.3939393939299</v>
      </c>
      <c r="K367" s="142">
        <f ca="1">IFERROR(__xludf.DUMMYFUNCTION("""COMPUTED_VALUE"""),5.36666666666666)</f>
        <v>5.36666666666666</v>
      </c>
      <c r="L367" s="143" t="str">
        <f ca="1"/>
        <v>Wiris Variasi</v>
      </c>
      <c r="M367" s="127"/>
      <c r="N367" s="127"/>
      <c r="O367" s="127"/>
      <c r="P367" s="127"/>
      <c r="Q367" s="127"/>
      <c r="R367" s="127"/>
      <c r="S367" s="127"/>
      <c r="T367" s="127"/>
      <c r="U367" s="127"/>
      <c r="V367" s="127"/>
      <c r="W367" s="127"/>
      <c r="X367" s="127"/>
      <c r="Y367" s="127"/>
      <c r="Z367" s="127"/>
      <c r="AA367" s="127"/>
    </row>
    <row r="368" spans="1:27">
      <c r="A368" s="127">
        <f ca="1">IFERROR(__xludf.DUMMYFUNCTION("""COMPUTED_VALUE"""),174904221976312)</f>
        <v>174904221976312</v>
      </c>
      <c r="B368" s="127" t="str">
        <f ca="1">IFERROR(__xludf.DUMMYFUNCTION("""COMPUTED_VALUE"""),"120231912198630694")</f>
        <v>120231912198630694</v>
      </c>
      <c r="C368" s="127" t="str">
        <f ca="1">IFERROR(__xludf.DUMMYFUNCTION("""COMPUTED_VALUE"""),"PT Alfa")</f>
        <v>PT Alfa</v>
      </c>
      <c r="D368" s="138" t="str">
        <f ca="1">IFERROR(__xludf.DUMMYFUNCTION("""COMPUTED_VALUE"""),"https://wa.me/6285921481643")</f>
        <v>https://wa.me/6285921481643</v>
      </c>
      <c r="E368" s="139" t="str">
        <f ca="1">IFERROR(__xludf.DUMMYFUNCTION("""COMPUTED_VALUE"""),"6285921481643")</f>
        <v>6285921481643</v>
      </c>
      <c r="F368" s="139">
        <f ca="1">IFERROR(__xludf.DUMMYFUNCTION("""COMPUTED_VALUE"""),7822)</f>
        <v>7822</v>
      </c>
      <c r="G368" s="139">
        <f ca="1">IFERROR(__xludf.DUMMYFUNCTION("""COMPUTED_VALUE"""),34577)</f>
        <v>34577</v>
      </c>
      <c r="H368" s="139">
        <f ca="1">IFERROR(__xludf.DUMMYFUNCTION("""COMPUTED_VALUE"""),31)</f>
        <v>31</v>
      </c>
      <c r="I368" s="140">
        <f ca="1">IFERROR(__xludf.DUMMYFUNCTION("""COMPUTED_VALUE"""),300905)</f>
        <v>300905</v>
      </c>
      <c r="J368" s="141">
        <f ca="1">IFERROR(__xludf.DUMMYFUNCTION("""COMPUTED_VALUE"""),9706.6129032258)</f>
        <v>9706.6129032257995</v>
      </c>
      <c r="K368" s="142">
        <f ca="1">IFERROR(__xludf.DUMMYFUNCTION("""COMPUTED_VALUE"""),20.0603333333333)</f>
        <v>20.0603333333333</v>
      </c>
      <c r="L368" s="143" t="str">
        <f ca="1"/>
        <v>Wiris Variasi</v>
      </c>
      <c r="M368" s="127"/>
      <c r="N368" s="127"/>
      <c r="O368" s="127"/>
      <c r="P368" s="127"/>
      <c r="Q368" s="127"/>
      <c r="R368" s="127"/>
      <c r="S368" s="127"/>
      <c r="T368" s="127"/>
      <c r="U368" s="127"/>
      <c r="V368" s="127"/>
      <c r="W368" s="127"/>
      <c r="X368" s="127"/>
      <c r="Y368" s="127"/>
      <c r="Z368" s="127"/>
      <c r="AA368" s="127"/>
    </row>
    <row r="369" spans="1:27">
      <c r="A369" s="127">
        <f ca="1">IFERROR(__xludf.DUMMYFUNCTION("""COMPUTED_VALUE"""),174904221976312)</f>
        <v>174904221976312</v>
      </c>
      <c r="B369" s="127" t="str">
        <f ca="1">IFERROR(__xludf.DUMMYFUNCTION("""COMPUTED_VALUE"""),"120231912777610694")</f>
        <v>120231912777610694</v>
      </c>
      <c r="C369" s="127" t="str">
        <f ca="1">IFERROR(__xludf.DUMMYFUNCTION("""COMPUTED_VALUE"""),"Kretek Wakdo")</f>
        <v>Kretek Wakdo</v>
      </c>
      <c r="D369" s="138" t="str">
        <f ca="1">IFERROR(__xludf.DUMMYFUNCTION("""COMPUTED_VALUE"""),"https://wa.me/62895614711817")</f>
        <v>https://wa.me/62895614711817</v>
      </c>
      <c r="E369" s="139" t="str">
        <f ca="1">IFERROR(__xludf.DUMMYFUNCTION("""COMPUTED_VALUE"""),"62895614711817")</f>
        <v>62895614711817</v>
      </c>
      <c r="F369" s="139">
        <f ca="1">IFERROR(__xludf.DUMMYFUNCTION("""COMPUTED_VALUE"""),5996)</f>
        <v>5996</v>
      </c>
      <c r="G369" s="139">
        <f ca="1">IFERROR(__xludf.DUMMYFUNCTION("""COMPUTED_VALUE"""),11442.5)</f>
        <v>11442.5</v>
      </c>
      <c r="H369" s="139">
        <f ca="1">IFERROR(__xludf.DUMMYFUNCTION("""COMPUTED_VALUE"""),62)</f>
        <v>62</v>
      </c>
      <c r="I369" s="140">
        <f ca="1">IFERROR(__xludf.DUMMYFUNCTION("""COMPUTED_VALUE"""),82455)</f>
        <v>82455</v>
      </c>
      <c r="J369" s="141">
        <f ca="1">IFERROR(__xludf.DUMMYFUNCTION("""COMPUTED_VALUE"""),1329.9193548387)</f>
        <v>1329.9193548387</v>
      </c>
      <c r="K369" s="142">
        <f ca="1">IFERROR(__xludf.DUMMYFUNCTION("""COMPUTED_VALUE"""),5.497)</f>
        <v>5.4969999999999999</v>
      </c>
      <c r="L369" s="143" t="str">
        <f ca="1"/>
        <v>Wiris Variasi</v>
      </c>
      <c r="M369" s="127"/>
      <c r="N369" s="127"/>
      <c r="O369" s="127"/>
      <c r="P369" s="127"/>
      <c r="Q369" s="127"/>
      <c r="R369" s="127"/>
      <c r="S369" s="127"/>
      <c r="T369" s="127"/>
      <c r="U369" s="127"/>
      <c r="V369" s="127"/>
      <c r="W369" s="127"/>
      <c r="X369" s="127"/>
      <c r="Y369" s="127"/>
      <c r="Z369" s="127"/>
      <c r="AA369" s="127"/>
    </row>
    <row r="370" spans="1:27">
      <c r="A370" s="127">
        <f ca="1">IFERROR(__xludf.DUMMYFUNCTION("""COMPUTED_VALUE"""),174904221976312)</f>
        <v>174904221976312</v>
      </c>
      <c r="B370" s="127" t="str">
        <f ca="1">IFERROR(__xludf.DUMMYFUNCTION("""COMPUTED_VALUE"""),"120231913056310694")</f>
        <v>120231913056310694</v>
      </c>
      <c r="C370" s="127" t="str">
        <f ca="1">IFERROR(__xludf.DUMMYFUNCTION("""COMPUTED_VALUE"""),"The Travel")</f>
        <v>The Travel</v>
      </c>
      <c r="D370" s="138" t="str">
        <f ca="1">IFERROR(__xludf.DUMMYFUNCTION("""COMPUTED_VALUE"""),"https://wa.me/6285333751528")</f>
        <v>https://wa.me/6285333751528</v>
      </c>
      <c r="E370" s="139" t="str">
        <f ca="1">IFERROR(__xludf.DUMMYFUNCTION("""COMPUTED_VALUE"""),"6285333751528")</f>
        <v>6285333751528</v>
      </c>
      <c r="F370" s="139">
        <f ca="1">IFERROR(__xludf.DUMMYFUNCTION("""COMPUTED_VALUE"""),3483)</f>
        <v>3483</v>
      </c>
      <c r="G370" s="139">
        <f ca="1">IFERROR(__xludf.DUMMYFUNCTION("""COMPUTED_VALUE"""),79214.3809523809)</f>
        <v>79214.380952380903</v>
      </c>
      <c r="H370" s="139">
        <f ca="1">IFERROR(__xludf.DUMMYFUNCTION("""COMPUTED_VALUE"""),43)</f>
        <v>43</v>
      </c>
      <c r="I370" s="140">
        <f ca="1">IFERROR(__xludf.DUMMYFUNCTION("""COMPUTED_VALUE"""),282464)</f>
        <v>282464</v>
      </c>
      <c r="J370" s="141">
        <f ca="1">IFERROR(__xludf.DUMMYFUNCTION("""COMPUTED_VALUE"""),6568.93023255813)</f>
        <v>6568.9302325581302</v>
      </c>
      <c r="K370" s="142">
        <f ca="1">IFERROR(__xludf.DUMMYFUNCTION("""COMPUTED_VALUE"""),18.8309333333333)</f>
        <v>18.830933333333299</v>
      </c>
      <c r="L370" s="143" t="str">
        <f ca="1"/>
        <v>Wiris Variasi</v>
      </c>
      <c r="M370" s="127"/>
      <c r="N370" s="127"/>
      <c r="O370" s="127"/>
      <c r="P370" s="127"/>
      <c r="Q370" s="127"/>
      <c r="R370" s="127"/>
      <c r="S370" s="127"/>
      <c r="T370" s="127"/>
      <c r="U370" s="127"/>
      <c r="V370" s="127"/>
      <c r="W370" s="127"/>
      <c r="X370" s="127"/>
      <c r="Y370" s="127"/>
      <c r="Z370" s="127"/>
      <c r="AA370" s="127"/>
    </row>
    <row r="371" spans="1:27">
      <c r="A371" s="127">
        <f ca="1">IFERROR(__xludf.DUMMYFUNCTION("""COMPUTED_VALUE"""),174904221976312)</f>
        <v>174904221976312</v>
      </c>
      <c r="B371" s="127" t="str">
        <f ca="1">IFERROR(__xludf.DUMMYFUNCTION("""COMPUTED_VALUE"""),"120231913299820694")</f>
        <v>120231913299820694</v>
      </c>
      <c r="C371" s="127" t="str">
        <f ca="1">IFERROR(__xludf.DUMMYFUNCTION("""COMPUTED_VALUE"""),"Bali super")</f>
        <v>Bali super</v>
      </c>
      <c r="D371" s="138" t="str">
        <f ca="1">IFERROR(__xludf.DUMMYFUNCTION("""COMPUTED_VALUE"""),"https://wa.me/6281558822937")</f>
        <v>https://wa.me/6281558822937</v>
      </c>
      <c r="E371" s="139" t="str">
        <f ca="1">IFERROR(__xludf.DUMMYFUNCTION("""COMPUTED_VALUE"""),"6281558822937")</f>
        <v>6281558822937</v>
      </c>
      <c r="F371" s="139">
        <f ca="1">IFERROR(__xludf.DUMMYFUNCTION("""COMPUTED_VALUE"""),1053)</f>
        <v>1053</v>
      </c>
      <c r="G371" s="139">
        <f ca="1">IFERROR(__xludf.DUMMYFUNCTION("""COMPUTED_VALUE"""),130709.636363636)</f>
        <v>130709.636363636</v>
      </c>
      <c r="H371" s="139">
        <f ca="1">IFERROR(__xludf.DUMMYFUNCTION("""COMPUTED_VALUE"""),7)</f>
        <v>7</v>
      </c>
      <c r="I371" s="140">
        <f ca="1">IFERROR(__xludf.DUMMYFUNCTION("""COMPUTED_VALUE"""),148517)</f>
        <v>148517</v>
      </c>
      <c r="J371" s="141">
        <f ca="1">IFERROR(__xludf.DUMMYFUNCTION("""COMPUTED_VALUE"""),21216.7142857142)</f>
        <v>21216.714285714199</v>
      </c>
      <c r="K371" s="142">
        <f ca="1">IFERROR(__xludf.DUMMYFUNCTION("""COMPUTED_VALUE"""),9.90113333333333)</f>
        <v>9.9011333333333305</v>
      </c>
      <c r="L371" s="143" t="str">
        <f ca="1"/>
        <v>Wiris Variasi</v>
      </c>
      <c r="M371" s="127"/>
      <c r="N371" s="127"/>
      <c r="O371" s="127"/>
      <c r="P371" s="127"/>
      <c r="Q371" s="127"/>
      <c r="R371" s="127"/>
      <c r="S371" s="127"/>
      <c r="T371" s="127"/>
      <c r="U371" s="127"/>
      <c r="V371" s="127"/>
      <c r="W371" s="127"/>
      <c r="X371" s="127"/>
      <c r="Y371" s="127"/>
      <c r="Z371" s="127"/>
      <c r="AA371" s="127"/>
    </row>
    <row r="372" spans="1:27">
      <c r="A372" s="127">
        <f ca="1">IFERROR(__xludf.DUMMYFUNCTION("""COMPUTED_VALUE"""),174904221976312)</f>
        <v>174904221976312</v>
      </c>
      <c r="B372" s="127" t="str">
        <f ca="1">IFERROR(__xludf.DUMMYFUNCTION("""COMPUTED_VALUE"""),"120231927421490694")</f>
        <v>120231927421490694</v>
      </c>
      <c r="C372" s="127" t="str">
        <f ca="1">IFERROR(__xludf.DUMMYFUNCTION("""COMPUTED_VALUE"""),"Yolivia wisata")</f>
        <v>Yolivia wisata</v>
      </c>
      <c r="D372" s="138" t="str">
        <f ca="1">IFERROR(__xludf.DUMMYFUNCTION("""COMPUTED_VALUE"""),"https://wa.me/6282286608220")</f>
        <v>https://wa.me/6282286608220</v>
      </c>
      <c r="E372" s="139" t="str">
        <f ca="1">IFERROR(__xludf.DUMMYFUNCTION("""COMPUTED_VALUE"""),"6282286608220")</f>
        <v>6282286608220</v>
      </c>
      <c r="F372" s="139">
        <f ca="1">IFERROR(__xludf.DUMMYFUNCTION("""COMPUTED_VALUE"""),1296)</f>
        <v>1296</v>
      </c>
      <c r="G372" s="139">
        <f ca="1">IFERROR(__xludf.DUMMYFUNCTION("""COMPUTED_VALUE"""),40540.6)</f>
        <v>40540.6</v>
      </c>
      <c r="H372" s="139">
        <f ca="1">IFERROR(__xludf.DUMMYFUNCTION("""COMPUTED_VALUE"""),7)</f>
        <v>7</v>
      </c>
      <c r="I372" s="140">
        <f ca="1">IFERROR(__xludf.DUMMYFUNCTION("""COMPUTED_VALUE"""),64850)</f>
        <v>64850</v>
      </c>
      <c r="J372" s="141">
        <f ca="1">IFERROR(__xludf.DUMMYFUNCTION("""COMPUTED_VALUE"""),9264.28571428571)</f>
        <v>9264.2857142857101</v>
      </c>
      <c r="K372" s="142">
        <f ca="1">IFERROR(__xludf.DUMMYFUNCTION("""COMPUTED_VALUE"""),4.32333333333333)</f>
        <v>4.3233333333333297</v>
      </c>
      <c r="L372" s="143" t="str">
        <f ca="1"/>
        <v>Wiris Variasi</v>
      </c>
      <c r="M372" s="127"/>
      <c r="N372" s="127"/>
      <c r="O372" s="127"/>
      <c r="P372" s="127"/>
      <c r="Q372" s="127"/>
      <c r="R372" s="127"/>
      <c r="S372" s="127"/>
      <c r="T372" s="127"/>
      <c r="U372" s="127"/>
      <c r="V372" s="127"/>
      <c r="W372" s="127"/>
      <c r="X372" s="127"/>
      <c r="Y372" s="127"/>
      <c r="Z372" s="127"/>
      <c r="AA372" s="127"/>
    </row>
    <row r="373" spans="1:27">
      <c r="A373" s="127">
        <f ca="1">IFERROR(__xludf.DUMMYFUNCTION("""COMPUTED_VALUE"""),174904221976312)</f>
        <v>174904221976312</v>
      </c>
      <c r="B373" s="127" t="str">
        <f ca="1">IFERROR(__xludf.DUMMYFUNCTION("""COMPUTED_VALUE"""),"120231927753270694")</f>
        <v>120231927753270694</v>
      </c>
      <c r="C373" s="127" t="str">
        <f ca="1">IFERROR(__xludf.DUMMYFUNCTION("""COMPUTED_VALUE"""),"Pelatihan Bekam")</f>
        <v>Pelatihan Bekam</v>
      </c>
      <c r="D373" s="138" t="str">
        <f ca="1">IFERROR(__xludf.DUMMYFUNCTION("""COMPUTED_VALUE"""),"https://wa.me/6283865096870")</f>
        <v>https://wa.me/6283865096870</v>
      </c>
      <c r="E373" s="139" t="str">
        <f ca="1">IFERROR(__xludf.DUMMYFUNCTION("""COMPUTED_VALUE"""),"6283865096870")</f>
        <v>6283865096870</v>
      </c>
      <c r="F373" s="139">
        <f ca="1">IFERROR(__xludf.DUMMYFUNCTION("""COMPUTED_VALUE"""),5336)</f>
        <v>5336</v>
      </c>
      <c r="G373" s="139">
        <f ca="1">IFERROR(__xludf.DUMMYFUNCTION("""COMPUTED_VALUE"""),9866.4)</f>
        <v>9866.4</v>
      </c>
      <c r="H373" s="139">
        <f ca="1">IFERROR(__xludf.DUMMYFUNCTION("""COMPUTED_VALUE"""),13)</f>
        <v>13</v>
      </c>
      <c r="I373" s="140">
        <f ca="1">IFERROR(__xludf.DUMMYFUNCTION("""COMPUTED_VALUE"""),61096)</f>
        <v>61096</v>
      </c>
      <c r="J373" s="141">
        <f ca="1">IFERROR(__xludf.DUMMYFUNCTION("""COMPUTED_VALUE"""),4699.6923076923)</f>
        <v>4699.6923076923003</v>
      </c>
      <c r="K373" s="142">
        <f ca="1">IFERROR(__xludf.DUMMYFUNCTION("""COMPUTED_VALUE"""),4.07306666666666)</f>
        <v>4.0730666666666604</v>
      </c>
      <c r="L373" s="143" t="str">
        <f ca="1"/>
        <v>Wiris Variasi</v>
      </c>
      <c r="M373" s="127"/>
      <c r="N373" s="127"/>
      <c r="O373" s="127"/>
      <c r="P373" s="127"/>
      <c r="Q373" s="127"/>
      <c r="R373" s="127"/>
      <c r="S373" s="127"/>
      <c r="T373" s="127"/>
      <c r="U373" s="127"/>
      <c r="V373" s="127"/>
      <c r="W373" s="127"/>
      <c r="X373" s="127"/>
      <c r="Y373" s="127"/>
      <c r="Z373" s="127"/>
      <c r="AA373" s="127"/>
    </row>
    <row r="374" spans="1:27">
      <c r="A374" s="127">
        <f ca="1">IFERROR(__xludf.DUMMYFUNCTION("""COMPUTED_VALUE"""),174904221976312)</f>
        <v>174904221976312</v>
      </c>
      <c r="B374" s="127" t="str">
        <f ca="1">IFERROR(__xludf.DUMMYFUNCTION("""COMPUTED_VALUE"""),"120231927932960694")</f>
        <v>120231927932960694</v>
      </c>
      <c r="C374" s="127" t="str">
        <f ca="1">IFERROR(__xludf.DUMMYFUNCTION("""COMPUTED_VALUE"""),"PT Berkah")</f>
        <v>PT Berkah</v>
      </c>
      <c r="D374" s="138" t="str">
        <f ca="1">IFERROR(__xludf.DUMMYFUNCTION("""COMPUTED_VALUE"""),"https://wa.me/6285654251369")</f>
        <v>https://wa.me/6285654251369</v>
      </c>
      <c r="E374" s="139" t="str">
        <f ca="1">IFERROR(__xludf.DUMMYFUNCTION("""COMPUTED_VALUE"""),"6285654251369")</f>
        <v>6285654251369</v>
      </c>
      <c r="F374" s="139">
        <f ca="1">IFERROR(__xludf.DUMMYFUNCTION("""COMPUTED_VALUE"""),2471)</f>
        <v>2471</v>
      </c>
      <c r="G374" s="139">
        <f ca="1">IFERROR(__xludf.DUMMYFUNCTION("""COMPUTED_VALUE"""),25685)</f>
        <v>25685</v>
      </c>
      <c r="H374" s="139">
        <f ca="1">IFERROR(__xludf.DUMMYFUNCTION("""COMPUTED_VALUE"""),1)</f>
        <v>1</v>
      </c>
      <c r="I374" s="140">
        <f ca="1">IFERROR(__xludf.DUMMYFUNCTION("""COMPUTED_VALUE"""),67557)</f>
        <v>67557</v>
      </c>
      <c r="J374" s="141">
        <f ca="1">IFERROR(__xludf.DUMMYFUNCTION("""COMPUTED_VALUE"""),67557)</f>
        <v>67557</v>
      </c>
      <c r="K374" s="142">
        <f ca="1">IFERROR(__xludf.DUMMYFUNCTION("""COMPUTED_VALUE"""),4.5038)</f>
        <v>4.5038</v>
      </c>
      <c r="L374" s="143" t="str">
        <f ca="1"/>
        <v>Wiris Variasi</v>
      </c>
      <c r="M374" s="127"/>
      <c r="N374" s="127"/>
      <c r="O374" s="127"/>
      <c r="P374" s="127"/>
      <c r="Q374" s="127"/>
      <c r="R374" s="127"/>
      <c r="S374" s="127"/>
      <c r="T374" s="127"/>
      <c r="U374" s="127"/>
      <c r="V374" s="127"/>
      <c r="W374" s="127"/>
      <c r="X374" s="127"/>
      <c r="Y374" s="127"/>
      <c r="Z374" s="127"/>
      <c r="AA374" s="127"/>
    </row>
    <row r="375" spans="1:27">
      <c r="A375" s="127">
        <f ca="1">IFERROR(__xludf.DUMMYFUNCTION("""COMPUTED_VALUE"""),174904221976312)</f>
        <v>174904221976312</v>
      </c>
      <c r="B375" s="127" t="str">
        <f ca="1">IFERROR(__xludf.DUMMYFUNCTION("""COMPUTED_VALUE"""),"120231972137420694")</f>
        <v>120231972137420694</v>
      </c>
      <c r="C375" s="127" t="str">
        <f ca="1">IFERROR(__xludf.DUMMYFUNCTION("""COMPUTED_VALUE"""),"Bisalagi Bekam")</f>
        <v>Bisalagi Bekam</v>
      </c>
      <c r="D375" s="138" t="str">
        <f ca="1">IFERROR(__xludf.DUMMYFUNCTION("""COMPUTED_VALUE"""),"https://wa.me/6285600287735")</f>
        <v>https://wa.me/6285600287735</v>
      </c>
      <c r="E375" s="139" t="str">
        <f ca="1">IFERROR(__xludf.DUMMYFUNCTION("""COMPUTED_VALUE"""),"6285600287735")</f>
        <v>6285600287735</v>
      </c>
      <c r="F375" s="139">
        <f ca="1">IFERROR(__xludf.DUMMYFUNCTION("""COMPUTED_VALUE"""),3760)</f>
        <v>3760</v>
      </c>
      <c r="G375" s="139">
        <f ca="1">IFERROR(__xludf.DUMMYFUNCTION("""COMPUTED_VALUE"""),30296.3)</f>
        <v>30296.3</v>
      </c>
      <c r="H375" s="139">
        <f ca="1">IFERROR(__xludf.DUMMYFUNCTION("""COMPUTED_VALUE"""),34)</f>
        <v>34</v>
      </c>
      <c r="I375" s="140">
        <f ca="1">IFERROR(__xludf.DUMMYFUNCTION("""COMPUTED_VALUE"""),133768)</f>
        <v>133768</v>
      </c>
      <c r="J375" s="141">
        <f ca="1">IFERROR(__xludf.DUMMYFUNCTION("""COMPUTED_VALUE"""),3934.35294117647)</f>
        <v>3934.3529411764698</v>
      </c>
      <c r="K375" s="142">
        <f ca="1">IFERROR(__xludf.DUMMYFUNCTION("""COMPUTED_VALUE"""),8.91786666666666)</f>
        <v>8.9178666666666597</v>
      </c>
      <c r="L375" s="143" t="str">
        <f ca="1"/>
        <v>Wiris Variasi</v>
      </c>
      <c r="M375" s="127"/>
      <c r="N375" s="127"/>
      <c r="O375" s="127"/>
      <c r="P375" s="127"/>
      <c r="Q375" s="127"/>
      <c r="R375" s="127"/>
      <c r="S375" s="127"/>
      <c r="T375" s="127"/>
      <c r="U375" s="127"/>
      <c r="V375" s="127"/>
      <c r="W375" s="127"/>
      <c r="X375" s="127"/>
      <c r="Y375" s="127"/>
      <c r="Z375" s="127"/>
      <c r="AA375" s="127"/>
    </row>
    <row r="376" spans="1:27">
      <c r="A376" s="127">
        <f ca="1">IFERROR(__xludf.DUMMYFUNCTION("""COMPUTED_VALUE"""),174904221976312)</f>
        <v>174904221976312</v>
      </c>
      <c r="B376" s="127" t="str">
        <f ca="1">IFERROR(__xludf.DUMMYFUNCTION("""COMPUTED_VALUE"""),"120231972961220694")</f>
        <v>120231972961220694</v>
      </c>
      <c r="C376" s="127" t="str">
        <f ca="1">IFERROR(__xludf.DUMMYFUNCTION("""COMPUTED_VALUE"""),"Suras Bali")</f>
        <v>Suras Bali</v>
      </c>
      <c r="D376" s="138" t="str">
        <f ca="1">IFERROR(__xludf.DUMMYFUNCTION("""COMPUTED_VALUE"""),"https://wa.me/6285280808856")</f>
        <v>https://wa.me/6285280808856</v>
      </c>
      <c r="E376" s="139" t="str">
        <f ca="1">IFERROR(__xludf.DUMMYFUNCTION("""COMPUTED_VALUE"""),"6285280808856")</f>
        <v>6285280808856</v>
      </c>
      <c r="F376" s="139">
        <f ca="1">IFERROR(__xludf.DUMMYFUNCTION("""COMPUTED_VALUE"""),4532)</f>
        <v>4532</v>
      </c>
      <c r="G376" s="139">
        <f ca="1">IFERROR(__xludf.DUMMYFUNCTION("""COMPUTED_VALUE"""),14446.2)</f>
        <v>14446.2</v>
      </c>
      <c r="H376" s="139">
        <f ca="1">IFERROR(__xludf.DUMMYFUNCTION("""COMPUTED_VALUE"""),1)</f>
        <v>1</v>
      </c>
      <c r="I376" s="140">
        <f ca="1">IFERROR(__xludf.DUMMYFUNCTION("""COMPUTED_VALUE"""),66399)</f>
        <v>66399</v>
      </c>
      <c r="J376" s="141">
        <f ca="1">IFERROR(__xludf.DUMMYFUNCTION("""COMPUTED_VALUE"""),66399)</f>
        <v>66399</v>
      </c>
      <c r="K376" s="142">
        <f ca="1">IFERROR(__xludf.DUMMYFUNCTION("""COMPUTED_VALUE"""),4.4266)</f>
        <v>4.4265999999999996</v>
      </c>
      <c r="L376" s="143" t="str">
        <f ca="1"/>
        <v>Wiris Variasi</v>
      </c>
      <c r="M376" s="127"/>
      <c r="N376" s="127"/>
      <c r="O376" s="127"/>
      <c r="P376" s="127"/>
      <c r="Q376" s="127"/>
      <c r="R376" s="127"/>
      <c r="S376" s="127"/>
      <c r="T376" s="127"/>
      <c r="U376" s="127"/>
      <c r="V376" s="127"/>
      <c r="W376" s="127"/>
      <c r="X376" s="127"/>
      <c r="Y376" s="127"/>
      <c r="Z376" s="127"/>
      <c r="AA376" s="127"/>
    </row>
    <row r="377" spans="1:27">
      <c r="A377" s="127">
        <f ca="1">IFERROR(__xludf.DUMMYFUNCTION("""COMPUTED_VALUE"""),174904221976312)</f>
        <v>174904221976312</v>
      </c>
      <c r="B377" s="127" t="str">
        <f ca="1">IFERROR(__xludf.DUMMYFUNCTION("""COMPUTED_VALUE"""),"120231974061480694")</f>
        <v>120231974061480694</v>
      </c>
      <c r="C377" s="127" t="str">
        <f ca="1">IFERROR(__xludf.DUMMYFUNCTION("""COMPUTED_VALUE"""),"CAHAYA GEMILANG")</f>
        <v>CAHAYA GEMILANG</v>
      </c>
      <c r="D377" s="138" t="str">
        <f ca="1">IFERROR(__xludf.DUMMYFUNCTION("""COMPUTED_VALUE"""),"https://wa.me/6287722264777")</f>
        <v>https://wa.me/6287722264777</v>
      </c>
      <c r="E377" s="139" t="str">
        <f ca="1">IFERROR(__xludf.DUMMYFUNCTION("""COMPUTED_VALUE"""),"6287722264777")</f>
        <v>6287722264777</v>
      </c>
      <c r="F377" s="139">
        <f ca="1">IFERROR(__xludf.DUMMYFUNCTION("""COMPUTED_VALUE"""),4186)</f>
        <v>4186</v>
      </c>
      <c r="G377" s="139">
        <f ca="1">IFERROR(__xludf.DUMMYFUNCTION("""COMPUTED_VALUE"""),13347.4)</f>
        <v>13347.4</v>
      </c>
      <c r="H377" s="139">
        <f ca="1">IFERROR(__xludf.DUMMYFUNCTION("""COMPUTED_VALUE"""),23)</f>
        <v>23</v>
      </c>
      <c r="I377" s="140">
        <f ca="1">IFERROR(__xludf.DUMMYFUNCTION("""COMPUTED_VALUE"""),68038)</f>
        <v>68038</v>
      </c>
      <c r="J377" s="141">
        <f ca="1">IFERROR(__xludf.DUMMYFUNCTION("""COMPUTED_VALUE"""),2958.17391304347)</f>
        <v>2958.1739130434698</v>
      </c>
      <c r="K377" s="142">
        <f ca="1">IFERROR(__xludf.DUMMYFUNCTION("""COMPUTED_VALUE"""),4.53586666666666)</f>
        <v>4.5358666666666601</v>
      </c>
      <c r="L377" s="143" t="str">
        <f ca="1"/>
        <v>Wiris Variasi</v>
      </c>
      <c r="M377" s="127"/>
      <c r="N377" s="127"/>
      <c r="O377" s="127"/>
      <c r="P377" s="127"/>
      <c r="Q377" s="127"/>
      <c r="R377" s="127"/>
      <c r="S377" s="127"/>
      <c r="T377" s="127"/>
      <c r="U377" s="127"/>
      <c r="V377" s="127"/>
      <c r="W377" s="127"/>
      <c r="X377" s="127"/>
      <c r="Y377" s="127"/>
      <c r="Z377" s="127"/>
      <c r="AA377" s="127"/>
    </row>
    <row r="378" spans="1:27">
      <c r="A378" s="127">
        <f ca="1">IFERROR(__xludf.DUMMYFUNCTION("""COMPUTED_VALUE"""),174904221976312)</f>
        <v>174904221976312</v>
      </c>
      <c r="B378" s="127" t="str">
        <f ca="1">IFERROR(__xludf.DUMMYFUNCTION("""COMPUTED_VALUE"""),"120232003950460694")</f>
        <v>120232003950460694</v>
      </c>
      <c r="C378" s="127" t="str">
        <f ca="1">IFERROR(__xludf.DUMMYFUNCTION("""COMPUTED_VALUE"""),"Sabena Tours")</f>
        <v>Sabena Tours</v>
      </c>
      <c r="D378" s="138" t="str">
        <f ca="1">IFERROR(__xludf.DUMMYFUNCTION("""COMPUTED_VALUE"""),"https://wa.me/6285710003464")</f>
        <v>https://wa.me/6285710003464</v>
      </c>
      <c r="E378" s="139" t="str">
        <f ca="1">IFERROR(__xludf.DUMMYFUNCTION("""COMPUTED_VALUE"""),"6285710003464")</f>
        <v>6285710003464</v>
      </c>
      <c r="F378" s="139">
        <f ca="1">IFERROR(__xludf.DUMMYFUNCTION("""COMPUTED_VALUE"""),80994)</f>
        <v>80994</v>
      </c>
      <c r="G378" s="139">
        <f ca="1">IFERROR(__xludf.DUMMYFUNCTION("""COMPUTED_VALUE"""),943.5)</f>
        <v>943.5</v>
      </c>
      <c r="H378" s="139">
        <f ca="1">IFERROR(__xludf.DUMMYFUNCTION("""COMPUTED_VALUE"""),0)</f>
        <v>0</v>
      </c>
      <c r="I378" s="140">
        <f ca="1">IFERROR(__xludf.DUMMYFUNCTION("""COMPUTED_VALUE"""),76249)</f>
        <v>76249</v>
      </c>
      <c r="J378" s="141"/>
      <c r="K378" s="142">
        <f ca="1">IFERROR(__xludf.DUMMYFUNCTION("""COMPUTED_VALUE"""),5.08326666666666)</f>
        <v>5.0832666666666597</v>
      </c>
      <c r="L378" s="143" t="str">
        <f ca="1"/>
        <v>Wiris Variasi</v>
      </c>
      <c r="M378" s="127"/>
      <c r="N378" s="127"/>
      <c r="O378" s="127"/>
      <c r="P378" s="127"/>
      <c r="Q378" s="127"/>
      <c r="R378" s="127"/>
      <c r="S378" s="127"/>
      <c r="T378" s="127"/>
      <c r="U378" s="127"/>
      <c r="V378" s="127"/>
      <c r="W378" s="127"/>
      <c r="X378" s="127"/>
      <c r="Y378" s="127"/>
      <c r="Z378" s="127"/>
      <c r="AA378" s="127"/>
    </row>
    <row r="379" spans="1:27">
      <c r="A379" s="127">
        <f ca="1">IFERROR(__xludf.DUMMYFUNCTION("""COMPUTED_VALUE"""),174904221976312)</f>
        <v>174904221976312</v>
      </c>
      <c r="B379" s="127" t="str">
        <f ca="1">IFERROR(__xludf.DUMMYFUNCTION("""COMPUTED_VALUE"""),"120232004138370694")</f>
        <v>120232004138370694</v>
      </c>
      <c r="C379" s="127" t="str">
        <f ca="1">IFERROR(__xludf.DUMMYFUNCTION("""COMPUTED_VALUE"""),"Taman Nyingkur")</f>
        <v>Taman Nyingkur</v>
      </c>
      <c r="D379" s="138" t="str">
        <f ca="1">IFERROR(__xludf.DUMMYFUNCTION("""COMPUTED_VALUE"""),"https://wa.me/62881022356673")</f>
        <v>https://wa.me/62881022356673</v>
      </c>
      <c r="E379" s="139" t="str">
        <f ca="1">IFERROR(__xludf.DUMMYFUNCTION("""COMPUTED_VALUE"""),"62881022356673")</f>
        <v>62881022356673</v>
      </c>
      <c r="F379" s="139">
        <f ca="1">IFERROR(__xludf.DUMMYFUNCTION("""COMPUTED_VALUE"""),3790)</f>
        <v>3790</v>
      </c>
      <c r="G379" s="139">
        <f ca="1">IFERROR(__xludf.DUMMYFUNCTION("""COMPUTED_VALUE"""),21683)</f>
        <v>21683</v>
      </c>
      <c r="H379" s="139">
        <f ca="1">IFERROR(__xludf.DUMMYFUNCTION("""COMPUTED_VALUE"""),37)</f>
        <v>37</v>
      </c>
      <c r="I379" s="140">
        <f ca="1">IFERROR(__xludf.DUMMYFUNCTION("""COMPUTED_VALUE"""),82591)</f>
        <v>82591</v>
      </c>
      <c r="J379" s="141">
        <f ca="1">IFERROR(__xludf.DUMMYFUNCTION("""COMPUTED_VALUE"""),2232.18918918918)</f>
        <v>2232.1891891891801</v>
      </c>
      <c r="K379" s="142">
        <f ca="1">IFERROR(__xludf.DUMMYFUNCTION("""COMPUTED_VALUE"""),5.50606666666666)</f>
        <v>5.5060666666666602</v>
      </c>
      <c r="L379" s="143" t="str">
        <f ca="1"/>
        <v>Wiris Variasi</v>
      </c>
      <c r="M379" s="127"/>
      <c r="N379" s="127"/>
      <c r="O379" s="127"/>
      <c r="P379" s="127"/>
      <c r="Q379" s="127"/>
      <c r="R379" s="127"/>
      <c r="S379" s="127"/>
      <c r="T379" s="127"/>
      <c r="U379" s="127"/>
      <c r="V379" s="127"/>
      <c r="W379" s="127"/>
      <c r="X379" s="127"/>
      <c r="Y379" s="127"/>
      <c r="Z379" s="127"/>
      <c r="AA379" s="127"/>
    </row>
    <row r="380" spans="1:27">
      <c r="A380" s="127">
        <f ca="1">IFERROR(__xludf.DUMMYFUNCTION("""COMPUTED_VALUE"""),174904221976312)</f>
        <v>174904221976312</v>
      </c>
      <c r="B380" s="127" t="str">
        <f ca="1">IFERROR(__xludf.DUMMYFUNCTION("""COMPUTED_VALUE"""),"120232058077190694")</f>
        <v>120232058077190694</v>
      </c>
      <c r="C380" s="127" t="str">
        <f ca="1">IFERROR(__xludf.DUMMYFUNCTION("""COMPUTED_VALUE"""),"Kiara trans")</f>
        <v>Kiara trans</v>
      </c>
      <c r="D380" s="138" t="str">
        <f ca="1">IFERROR(__xludf.DUMMYFUNCTION("""COMPUTED_VALUE"""),"https://wa.me/6282266469686")</f>
        <v>https://wa.me/6282266469686</v>
      </c>
      <c r="E380" s="139" t="str">
        <f ca="1">IFERROR(__xludf.DUMMYFUNCTION("""COMPUTED_VALUE"""),"6282266469686")</f>
        <v>6282266469686</v>
      </c>
      <c r="F380" s="139">
        <f ca="1">IFERROR(__xludf.DUMMYFUNCTION("""COMPUTED_VALUE"""),2414)</f>
        <v>2414</v>
      </c>
      <c r="G380" s="139">
        <f ca="1">IFERROR(__xludf.DUMMYFUNCTION("""COMPUTED_VALUE"""),29353)</f>
        <v>29353</v>
      </c>
      <c r="H380" s="139">
        <f ca="1">IFERROR(__xludf.DUMMYFUNCTION("""COMPUTED_VALUE"""),4)</f>
        <v>4</v>
      </c>
      <c r="I380" s="140">
        <f ca="1">IFERROR(__xludf.DUMMYFUNCTION("""COMPUTED_VALUE"""),78193)</f>
        <v>78193</v>
      </c>
      <c r="J380" s="141">
        <f ca="1">IFERROR(__xludf.DUMMYFUNCTION("""COMPUTED_VALUE"""),19548.25)</f>
        <v>19548.25</v>
      </c>
      <c r="K380" s="142">
        <f ca="1">IFERROR(__xludf.DUMMYFUNCTION("""COMPUTED_VALUE"""),5.21286666666666)</f>
        <v>5.2128666666666597</v>
      </c>
      <c r="L380" s="143" t="str">
        <f ca="1"/>
        <v>Wiris Variasi</v>
      </c>
      <c r="M380" s="127"/>
      <c r="N380" s="127"/>
      <c r="O380" s="127"/>
      <c r="P380" s="127"/>
      <c r="Q380" s="127"/>
      <c r="R380" s="127"/>
      <c r="S380" s="127"/>
      <c r="T380" s="127"/>
      <c r="U380" s="127"/>
      <c r="V380" s="127"/>
      <c r="W380" s="127"/>
      <c r="X380" s="127"/>
      <c r="Y380" s="127"/>
      <c r="Z380" s="127"/>
      <c r="AA380" s="127"/>
    </row>
    <row r="381" spans="1:27">
      <c r="A381" s="127">
        <f ca="1">IFERROR(__xludf.DUMMYFUNCTION("""COMPUTED_VALUE"""),174904221976312)</f>
        <v>174904221976312</v>
      </c>
      <c r="B381" s="127" t="str">
        <f ca="1">IFERROR(__xludf.DUMMYFUNCTION("""COMPUTED_VALUE"""),"120232058185790694")</f>
        <v>120232058185790694</v>
      </c>
      <c r="C381" s="127" t="str">
        <f ca="1">IFERROR(__xludf.DUMMYFUNCTION("""COMPUTED_VALUE"""),"Jasa badut")</f>
        <v>Jasa badut</v>
      </c>
      <c r="D381" s="138" t="str">
        <f ca="1">IFERROR(__xludf.DUMMYFUNCTION("""COMPUTED_VALUE"""),"https://wa.me/6282391199993")</f>
        <v>https://wa.me/6282391199993</v>
      </c>
      <c r="E381" s="139" t="str">
        <f ca="1">IFERROR(__xludf.DUMMYFUNCTION("""COMPUTED_VALUE"""),"6282391199993")</f>
        <v>6282391199993</v>
      </c>
      <c r="F381" s="139">
        <f ca="1">IFERROR(__xludf.DUMMYFUNCTION("""COMPUTED_VALUE"""),5784)</f>
        <v>5784</v>
      </c>
      <c r="G381" s="139">
        <f ca="1">IFERROR(__xludf.DUMMYFUNCTION("""COMPUTED_VALUE"""),12269.5)</f>
        <v>12269.5</v>
      </c>
      <c r="H381" s="139">
        <f ca="1">IFERROR(__xludf.DUMMYFUNCTION("""COMPUTED_VALUE"""),19)</f>
        <v>19</v>
      </c>
      <c r="I381" s="140">
        <f ca="1">IFERROR(__xludf.DUMMYFUNCTION("""COMPUTED_VALUE"""),78827)</f>
        <v>78827</v>
      </c>
      <c r="J381" s="141">
        <f ca="1">IFERROR(__xludf.DUMMYFUNCTION("""COMPUTED_VALUE"""),4148.78947368421)</f>
        <v>4148.78947368421</v>
      </c>
      <c r="K381" s="142">
        <f ca="1">IFERROR(__xludf.DUMMYFUNCTION("""COMPUTED_VALUE"""),5.25513333333333)</f>
        <v>5.2551333333333297</v>
      </c>
      <c r="L381" s="143" t="str">
        <f ca="1"/>
        <v>Wiris Variasi</v>
      </c>
      <c r="M381" s="127"/>
      <c r="N381" s="127"/>
      <c r="O381" s="127"/>
      <c r="P381" s="127"/>
      <c r="Q381" s="127"/>
      <c r="R381" s="127"/>
      <c r="S381" s="127"/>
      <c r="T381" s="127"/>
      <c r="U381" s="127"/>
      <c r="V381" s="127"/>
      <c r="W381" s="127"/>
      <c r="X381" s="127"/>
      <c r="Y381" s="127"/>
      <c r="Z381" s="127"/>
      <c r="AA381" s="127"/>
    </row>
    <row r="382" spans="1:27">
      <c r="A382" s="127">
        <f ca="1">IFERROR(__xludf.DUMMYFUNCTION("""COMPUTED_VALUE"""),174904221976312)</f>
        <v>174904221976312</v>
      </c>
      <c r="B382" s="127" t="str">
        <f ca="1">IFERROR(__xludf.DUMMYFUNCTION("""COMPUTED_VALUE"""),"120232058332040694")</f>
        <v>120232058332040694</v>
      </c>
      <c r="C382" s="127" t="str">
        <f ca="1">IFERROR(__xludf.DUMMYFUNCTION("""COMPUTED_VALUE"""),"Bekam Panggilan")</f>
        <v>Bekam Panggilan</v>
      </c>
      <c r="D382" s="138" t="str">
        <f ca="1">IFERROR(__xludf.DUMMYFUNCTION("""COMPUTED_VALUE"""),"https://wa.me/6283149477297")</f>
        <v>https://wa.me/6283149477297</v>
      </c>
      <c r="E382" s="139" t="str">
        <f ca="1">IFERROR(__xludf.DUMMYFUNCTION("""COMPUTED_VALUE"""),"6283149477297")</f>
        <v>6283149477297</v>
      </c>
      <c r="F382" s="139">
        <f ca="1">IFERROR(__xludf.DUMMYFUNCTION("""COMPUTED_VALUE"""),4708)</f>
        <v>4708</v>
      </c>
      <c r="G382" s="139">
        <f ca="1">IFERROR(__xludf.DUMMYFUNCTION("""COMPUTED_VALUE"""),14511.5)</f>
        <v>14511.5</v>
      </c>
      <c r="H382" s="139">
        <f ca="1">IFERROR(__xludf.DUMMYFUNCTION("""COMPUTED_VALUE"""),22)</f>
        <v>22</v>
      </c>
      <c r="I382" s="140">
        <f ca="1">IFERROR(__xludf.DUMMYFUNCTION("""COMPUTED_VALUE"""),77018)</f>
        <v>77018</v>
      </c>
      <c r="J382" s="141">
        <f ca="1">IFERROR(__xludf.DUMMYFUNCTION("""COMPUTED_VALUE"""),3500.81818181818)</f>
        <v>3500.8181818181802</v>
      </c>
      <c r="K382" s="142">
        <f ca="1">IFERROR(__xludf.DUMMYFUNCTION("""COMPUTED_VALUE"""),5.13453333333333)</f>
        <v>5.1345333333333301</v>
      </c>
      <c r="L382" s="143" t="str">
        <f ca="1"/>
        <v>Wiris Variasi</v>
      </c>
      <c r="M382" s="127"/>
      <c r="N382" s="127"/>
      <c r="O382" s="127"/>
      <c r="P382" s="127"/>
      <c r="Q382" s="127"/>
      <c r="R382" s="127"/>
      <c r="S382" s="127"/>
      <c r="T382" s="127"/>
      <c r="U382" s="127"/>
      <c r="V382" s="127"/>
      <c r="W382" s="127"/>
      <c r="X382" s="127"/>
      <c r="Y382" s="127"/>
      <c r="Z382" s="127"/>
      <c r="AA382" s="127"/>
    </row>
    <row r="383" spans="1:27">
      <c r="A383" s="127">
        <f ca="1">IFERROR(__xludf.DUMMYFUNCTION("""COMPUTED_VALUE"""),174904221976312)</f>
        <v>174904221976312</v>
      </c>
      <c r="B383" s="127" t="str">
        <f ca="1">IFERROR(__xludf.DUMMYFUNCTION("""COMPUTED_VALUE"""),"120232058410160694")</f>
        <v>120232058410160694</v>
      </c>
      <c r="C383" s="127" t="str">
        <f ca="1">IFERROR(__xludf.DUMMYFUNCTION("""COMPUTED_VALUE"""),"Ramayana tour's")</f>
        <v>Ramayana tour's</v>
      </c>
      <c r="D383" s="138" t="str">
        <f ca="1">IFERROR(__xludf.DUMMYFUNCTION("""COMPUTED_VALUE"""),"https://wa.me/6281249008778")</f>
        <v>https://wa.me/6281249008778</v>
      </c>
      <c r="E383" s="139" t="str">
        <f ca="1">IFERROR(__xludf.DUMMYFUNCTION("""COMPUTED_VALUE"""),"6281249008778")</f>
        <v>6281249008778</v>
      </c>
      <c r="F383" s="139">
        <f ca="1">IFERROR(__xludf.DUMMYFUNCTION("""COMPUTED_VALUE"""),3856)</f>
        <v>3856</v>
      </c>
      <c r="G383" s="139">
        <f ca="1">IFERROR(__xludf.DUMMYFUNCTION("""COMPUTED_VALUE"""),36213.1818181818)</f>
        <v>36213.181818181802</v>
      </c>
      <c r="H383" s="139">
        <f ca="1">IFERROR(__xludf.DUMMYFUNCTION("""COMPUTED_VALUE"""),11)</f>
        <v>11</v>
      </c>
      <c r="I383" s="140">
        <f ca="1">IFERROR(__xludf.DUMMYFUNCTION("""COMPUTED_VALUE"""),151923)</f>
        <v>151923</v>
      </c>
      <c r="J383" s="141">
        <f ca="1">IFERROR(__xludf.DUMMYFUNCTION("""COMPUTED_VALUE"""),13811.1818181818)</f>
        <v>13811.1818181818</v>
      </c>
      <c r="K383" s="142">
        <f ca="1">IFERROR(__xludf.DUMMYFUNCTION("""COMPUTED_VALUE"""),10.1282)</f>
        <v>10.1282</v>
      </c>
      <c r="L383" s="143" t="str">
        <f ca="1"/>
        <v>Wiris Variasi</v>
      </c>
      <c r="M383" s="127"/>
      <c r="N383" s="127"/>
      <c r="O383" s="127"/>
      <c r="P383" s="127"/>
      <c r="Q383" s="127"/>
      <c r="R383" s="127"/>
      <c r="S383" s="127"/>
      <c r="T383" s="127"/>
      <c r="U383" s="127"/>
      <c r="V383" s="127"/>
      <c r="W383" s="127"/>
      <c r="X383" s="127"/>
      <c r="Y383" s="127"/>
      <c r="Z383" s="127"/>
      <c r="AA383" s="127"/>
    </row>
    <row r="384" spans="1:27">
      <c r="A384" s="127">
        <f ca="1">IFERROR(__xludf.DUMMYFUNCTION("""COMPUTED_VALUE"""),174904221976312)</f>
        <v>174904221976312</v>
      </c>
      <c r="B384" s="127" t="str">
        <f ca="1">IFERROR(__xludf.DUMMYFUNCTION("""COMPUTED_VALUE"""),"120232058801810694")</f>
        <v>120232058801810694</v>
      </c>
      <c r="C384" s="127" t="str">
        <f ca="1">IFERROR(__xludf.DUMMYFUNCTION("""COMPUTED_VALUE"""),"Fadila Terapi")</f>
        <v>Fadila Terapi</v>
      </c>
      <c r="D384" s="138" t="str">
        <f ca="1">IFERROR(__xludf.DUMMYFUNCTION("""COMPUTED_VALUE"""),"https://wa.me/6281460494182")</f>
        <v>https://wa.me/6281460494182</v>
      </c>
      <c r="E384" s="139" t="str">
        <f ca="1">IFERROR(__xludf.DUMMYFUNCTION("""COMPUTED_VALUE"""),"6281460494182")</f>
        <v>6281460494182</v>
      </c>
      <c r="F384" s="139">
        <f ca="1">IFERROR(__xludf.DUMMYFUNCTION("""COMPUTED_VALUE"""),3647)</f>
        <v>3647</v>
      </c>
      <c r="G384" s="139">
        <f ca="1">IFERROR(__xludf.DUMMYFUNCTION("""COMPUTED_VALUE"""),16959.1666666666)</f>
        <v>16959.166666666599</v>
      </c>
      <c r="H384" s="139">
        <f ca="1">IFERROR(__xludf.DUMMYFUNCTION("""COMPUTED_VALUE"""),17)</f>
        <v>17</v>
      </c>
      <c r="I384" s="140">
        <f ca="1">IFERROR(__xludf.DUMMYFUNCTION("""COMPUTED_VALUE"""),73702)</f>
        <v>73702</v>
      </c>
      <c r="J384" s="141">
        <f ca="1">IFERROR(__xludf.DUMMYFUNCTION("""COMPUTED_VALUE"""),4335.41176470588)</f>
        <v>4335.4117647058802</v>
      </c>
      <c r="K384" s="142">
        <f ca="1">IFERROR(__xludf.DUMMYFUNCTION("""COMPUTED_VALUE"""),4.91346666666666)</f>
        <v>4.9134666666666602</v>
      </c>
      <c r="L384" s="143" t="str">
        <f ca="1"/>
        <v>Wiris Variasi</v>
      </c>
      <c r="M384" s="127"/>
      <c r="N384" s="127"/>
      <c r="O384" s="127"/>
      <c r="P384" s="127"/>
      <c r="Q384" s="127"/>
      <c r="R384" s="127"/>
      <c r="S384" s="127"/>
      <c r="T384" s="127"/>
      <c r="U384" s="127"/>
      <c r="V384" s="127"/>
      <c r="W384" s="127"/>
      <c r="X384" s="127"/>
      <c r="Y384" s="127"/>
      <c r="Z384" s="127"/>
      <c r="AA384" s="127"/>
    </row>
    <row r="385" spans="1:27">
      <c r="A385" s="127">
        <f ca="1">IFERROR(__xludf.DUMMYFUNCTION("""COMPUTED_VALUE"""),174904221976312)</f>
        <v>174904221976312</v>
      </c>
      <c r="B385" s="127" t="str">
        <f ca="1">IFERROR(__xludf.DUMMYFUNCTION("""COMPUTED_VALUE"""),"120232058949570694")</f>
        <v>120232058949570694</v>
      </c>
      <c r="C385" s="127" t="str">
        <f ca="1">IFERROR(__xludf.DUMMYFUNCTION("""COMPUTED_VALUE"""),"Refleksi jitu")</f>
        <v>Refleksi jitu</v>
      </c>
      <c r="D385" s="138" t="str">
        <f ca="1">IFERROR(__xludf.DUMMYFUNCTION("""COMPUTED_VALUE"""),"https://wa.me/6282280771367")</f>
        <v>https://wa.me/6282280771367</v>
      </c>
      <c r="E385" s="139" t="str">
        <f ca="1">IFERROR(__xludf.DUMMYFUNCTION("""COMPUTED_VALUE"""),"6282280771367")</f>
        <v>6282280771367</v>
      </c>
      <c r="F385" s="139">
        <f ca="1">IFERROR(__xludf.DUMMYFUNCTION("""COMPUTED_VALUE"""),4543)</f>
        <v>4543</v>
      </c>
      <c r="G385" s="139">
        <f ca="1">IFERROR(__xludf.DUMMYFUNCTION("""COMPUTED_VALUE"""),13666.3333333333)</f>
        <v>13666.333333333299</v>
      </c>
      <c r="H385" s="139">
        <f ca="1">IFERROR(__xludf.DUMMYFUNCTION("""COMPUTED_VALUE"""),6)</f>
        <v>6</v>
      </c>
      <c r="I385" s="140">
        <f ca="1">IFERROR(__xludf.DUMMYFUNCTION("""COMPUTED_VALUE"""),75767)</f>
        <v>75767</v>
      </c>
      <c r="J385" s="141">
        <f ca="1">IFERROR(__xludf.DUMMYFUNCTION("""COMPUTED_VALUE"""),12627.8333333333)</f>
        <v>12627.833333333299</v>
      </c>
      <c r="K385" s="142">
        <f ca="1">IFERROR(__xludf.DUMMYFUNCTION("""COMPUTED_VALUE"""),5.05113333333333)</f>
        <v>5.0511333333333299</v>
      </c>
      <c r="L385" s="143" t="str">
        <f ca="1"/>
        <v>Wiris Variasi</v>
      </c>
      <c r="M385" s="127"/>
      <c r="N385" s="127"/>
      <c r="O385" s="127"/>
      <c r="P385" s="127"/>
      <c r="Q385" s="127"/>
      <c r="R385" s="127"/>
      <c r="S385" s="127"/>
      <c r="T385" s="127"/>
      <c r="U385" s="127"/>
      <c r="V385" s="127"/>
      <c r="W385" s="127"/>
      <c r="X385" s="127"/>
      <c r="Y385" s="127"/>
      <c r="Z385" s="127"/>
      <c r="AA385" s="127"/>
    </row>
    <row r="386" spans="1:27">
      <c r="A386" s="127">
        <f ca="1">IFERROR(__xludf.DUMMYFUNCTION("""COMPUTED_VALUE"""),174904221976312)</f>
        <v>174904221976312</v>
      </c>
      <c r="B386" s="127" t="str">
        <f ca="1">IFERROR(__xludf.DUMMYFUNCTION("""COMPUTED_VALUE"""),"120232113190750694")</f>
        <v>120232113190750694</v>
      </c>
      <c r="C386" s="127" t="str">
        <f ca="1">IFERROR(__xludf.DUMMYFUNCTION("""COMPUTED_VALUE"""),"Terapi Barqun")</f>
        <v>Terapi Barqun</v>
      </c>
      <c r="D386" s="138" t="str">
        <f ca="1">IFERROR(__xludf.DUMMYFUNCTION("""COMPUTED_VALUE"""),"https://wa.me/62895374644456")</f>
        <v>https://wa.me/62895374644456</v>
      </c>
      <c r="E386" s="139" t="str">
        <f ca="1">IFERROR(__xludf.DUMMYFUNCTION("""COMPUTED_VALUE"""),"62895374644456")</f>
        <v>62895374644456</v>
      </c>
      <c r="F386" s="139">
        <f ca="1">IFERROR(__xludf.DUMMYFUNCTION("""COMPUTED_VALUE"""),10760)</f>
        <v>10760</v>
      </c>
      <c r="G386" s="139">
        <f ca="1">IFERROR(__xludf.DUMMYFUNCTION("""COMPUTED_VALUE"""),19473)</f>
        <v>19473</v>
      </c>
      <c r="H386" s="139">
        <f ca="1">IFERROR(__xludf.DUMMYFUNCTION("""COMPUTED_VALUE"""),64)</f>
        <v>64</v>
      </c>
      <c r="I386" s="140">
        <f ca="1">IFERROR(__xludf.DUMMYFUNCTION("""COMPUTED_VALUE"""),225393)</f>
        <v>225393</v>
      </c>
      <c r="J386" s="141">
        <f ca="1">IFERROR(__xludf.DUMMYFUNCTION("""COMPUTED_VALUE"""),3521.765625)</f>
        <v>3521.765625</v>
      </c>
      <c r="K386" s="142">
        <f ca="1">IFERROR(__xludf.DUMMYFUNCTION("""COMPUTED_VALUE"""),15.0262)</f>
        <v>15.026199999999999</v>
      </c>
      <c r="L386" s="143" t="str">
        <f ca="1"/>
        <v>Wiris Variasi</v>
      </c>
      <c r="M386" s="127"/>
      <c r="N386" s="127"/>
      <c r="O386" s="127"/>
      <c r="P386" s="127"/>
      <c r="Q386" s="127"/>
      <c r="R386" s="127"/>
      <c r="S386" s="127"/>
      <c r="T386" s="127"/>
      <c r="U386" s="127"/>
      <c r="V386" s="127"/>
      <c r="W386" s="127"/>
      <c r="X386" s="127"/>
      <c r="Y386" s="127"/>
      <c r="Z386" s="127"/>
      <c r="AA386" s="127"/>
    </row>
    <row r="387" spans="1:27">
      <c r="A387" s="127">
        <f ca="1">IFERROR(__xludf.DUMMYFUNCTION("""COMPUTED_VALUE"""),174904221976312)</f>
        <v>174904221976312</v>
      </c>
      <c r="B387" s="127" t="str">
        <f ca="1">IFERROR(__xludf.DUMMYFUNCTION("""COMPUTED_VALUE"""),"120232113386830694")</f>
        <v>120232113386830694</v>
      </c>
      <c r="C387" s="127" t="str">
        <f ca="1">IFERROR(__xludf.DUMMYFUNCTION("""COMPUTED_VALUE"""),"PT global")</f>
        <v>PT global</v>
      </c>
      <c r="D387" s="138" t="str">
        <f ca="1">IFERROR(__xludf.DUMMYFUNCTION("""COMPUTED_VALUE"""),"https://wa.me/6281355662725")</f>
        <v>https://wa.me/6281355662725</v>
      </c>
      <c r="E387" s="139" t="str">
        <f ca="1">IFERROR(__xludf.DUMMYFUNCTION("""COMPUTED_VALUE"""),"6281355662725")</f>
        <v>6281355662725</v>
      </c>
      <c r="F387" s="139">
        <f ca="1">IFERROR(__xludf.DUMMYFUNCTION("""COMPUTED_VALUE"""),5216)</f>
        <v>5216</v>
      </c>
      <c r="G387" s="139">
        <f ca="1">IFERROR(__xludf.DUMMYFUNCTION("""COMPUTED_VALUE"""),42695.0588235293)</f>
        <v>42695.058823529398</v>
      </c>
      <c r="H387" s="139">
        <f ca="1">IFERROR(__xludf.DUMMYFUNCTION("""COMPUTED_VALUE"""),15)</f>
        <v>15</v>
      </c>
      <c r="I387" s="140">
        <f ca="1">IFERROR(__xludf.DUMMYFUNCTION("""COMPUTED_VALUE"""),224391)</f>
        <v>224391</v>
      </c>
      <c r="J387" s="141">
        <f ca="1">IFERROR(__xludf.DUMMYFUNCTION("""COMPUTED_VALUE"""),14959.4)</f>
        <v>14959.4</v>
      </c>
      <c r="K387" s="142">
        <f ca="1">IFERROR(__xludf.DUMMYFUNCTION("""COMPUTED_VALUE"""),14.9594)</f>
        <v>14.9594</v>
      </c>
      <c r="L387" s="143" t="str">
        <f ca="1"/>
        <v>Wiris Variasi</v>
      </c>
      <c r="M387" s="127"/>
      <c r="N387" s="127"/>
      <c r="O387" s="127"/>
      <c r="P387" s="127"/>
      <c r="Q387" s="127"/>
      <c r="R387" s="127"/>
      <c r="S387" s="127"/>
      <c r="T387" s="127"/>
      <c r="U387" s="127"/>
      <c r="V387" s="127"/>
      <c r="W387" s="127"/>
      <c r="X387" s="127"/>
      <c r="Y387" s="127"/>
      <c r="Z387" s="127"/>
      <c r="AA387" s="127"/>
    </row>
    <row r="388" spans="1:27">
      <c r="A388" s="127">
        <f ca="1">IFERROR(__xludf.DUMMYFUNCTION("""COMPUTED_VALUE"""),174904221976312)</f>
        <v>174904221976312</v>
      </c>
      <c r="B388" s="127" t="str">
        <f ca="1">IFERROR(__xludf.DUMMYFUNCTION("""COMPUTED_VALUE"""),"120232113949300694")</f>
        <v>120232113949300694</v>
      </c>
      <c r="C388" s="127" t="str">
        <f ca="1">IFERROR(__xludf.DUMMYFUNCTION("""COMPUTED_VALUE"""),"Nakamura Massage")</f>
        <v>Nakamura Massage</v>
      </c>
      <c r="D388" s="138" t="str">
        <f ca="1">IFERROR(__xludf.DUMMYFUNCTION("""COMPUTED_VALUE"""),"https://wa.me/6282220371971")</f>
        <v>https://wa.me/6282220371971</v>
      </c>
      <c r="E388" s="139" t="str">
        <f ca="1">IFERROR(__xludf.DUMMYFUNCTION("""COMPUTED_VALUE"""),"6282220371971")</f>
        <v>6282220371971</v>
      </c>
      <c r="F388" s="139">
        <f ca="1">IFERROR(__xludf.DUMMYFUNCTION("""COMPUTED_VALUE"""),4607)</f>
        <v>4607</v>
      </c>
      <c r="G388" s="139">
        <f ca="1">IFERROR(__xludf.DUMMYFUNCTION("""COMPUTED_VALUE"""),27754.7272727272)</f>
        <v>27754.727272727199</v>
      </c>
      <c r="H388" s="139">
        <f ca="1">IFERROR(__xludf.DUMMYFUNCTION("""COMPUTED_VALUE"""),147)</f>
        <v>147</v>
      </c>
      <c r="I388" s="140">
        <f ca="1">IFERROR(__xludf.DUMMYFUNCTION("""COMPUTED_VALUE"""),149712)</f>
        <v>149712</v>
      </c>
      <c r="J388" s="141">
        <f ca="1">IFERROR(__xludf.DUMMYFUNCTION("""COMPUTED_VALUE"""),1018.44897959183)</f>
        <v>1018.44897959183</v>
      </c>
      <c r="K388" s="142">
        <f ca="1">IFERROR(__xludf.DUMMYFUNCTION("""COMPUTED_VALUE"""),9.9808)</f>
        <v>9.9808000000000003</v>
      </c>
      <c r="L388" s="143" t="str">
        <f ca="1"/>
        <v>Wiris Variasi</v>
      </c>
      <c r="M388" s="127"/>
      <c r="N388" s="127"/>
      <c r="O388" s="127"/>
      <c r="P388" s="127"/>
      <c r="Q388" s="127"/>
      <c r="R388" s="127"/>
      <c r="S388" s="127"/>
      <c r="T388" s="127"/>
      <c r="U388" s="127"/>
      <c r="V388" s="127"/>
      <c r="W388" s="127"/>
      <c r="X388" s="127"/>
      <c r="Y388" s="127"/>
      <c r="Z388" s="127"/>
      <c r="AA388" s="127"/>
    </row>
    <row r="389" spans="1:27">
      <c r="A389" s="127">
        <f ca="1">IFERROR(__xludf.DUMMYFUNCTION("""COMPUTED_VALUE"""),174904221976312)</f>
        <v>174904221976312</v>
      </c>
      <c r="B389" s="127" t="str">
        <f ca="1">IFERROR(__xludf.DUMMYFUNCTION("""COMPUTED_VALUE"""),"120232114145450694")</f>
        <v>120232114145450694</v>
      </c>
      <c r="C389" s="127" t="str">
        <f ca="1">IFERROR(__xludf.DUMMYFUNCTION("""COMPUTED_VALUE"""),"Dery MHU")</f>
        <v>Dery MHU</v>
      </c>
      <c r="D389" s="138" t="str">
        <f ca="1">IFERROR(__xludf.DUMMYFUNCTION("""COMPUTED_VALUE"""),"https://wa.me/6281348215665")</f>
        <v>https://wa.me/6281348215665</v>
      </c>
      <c r="E389" s="139" t="str">
        <f ca="1">IFERROR(__xludf.DUMMYFUNCTION("""COMPUTED_VALUE"""),"6281348215665")</f>
        <v>6281348215665</v>
      </c>
      <c r="F389" s="139">
        <f ca="1">IFERROR(__xludf.DUMMYFUNCTION("""COMPUTED_VALUE"""),5327)</f>
        <v>5327</v>
      </c>
      <c r="G389" s="139">
        <f ca="1">IFERROR(__xludf.DUMMYFUNCTION("""COMPUTED_VALUE"""),29637.7272727272)</f>
        <v>29637.727272727199</v>
      </c>
      <c r="H389" s="139">
        <f ca="1">IFERROR(__xludf.DUMMYFUNCTION("""COMPUTED_VALUE"""),6)</f>
        <v>6</v>
      </c>
      <c r="I389" s="140">
        <f ca="1">IFERROR(__xludf.DUMMYFUNCTION("""COMPUTED_VALUE"""),161172)</f>
        <v>161172</v>
      </c>
      <c r="J389" s="141">
        <f ca="1">IFERROR(__xludf.DUMMYFUNCTION("""COMPUTED_VALUE"""),26862)</f>
        <v>26862</v>
      </c>
      <c r="K389" s="142">
        <f ca="1">IFERROR(__xludf.DUMMYFUNCTION("""COMPUTED_VALUE"""),10.7448)</f>
        <v>10.7448</v>
      </c>
      <c r="L389" s="143" t="str">
        <f ca="1"/>
        <v>Wiris Variasi</v>
      </c>
      <c r="M389" s="127"/>
      <c r="N389" s="127"/>
      <c r="O389" s="127"/>
      <c r="P389" s="127"/>
      <c r="Q389" s="127"/>
      <c r="R389" s="127"/>
      <c r="S389" s="127"/>
      <c r="T389" s="127"/>
      <c r="U389" s="127"/>
      <c r="V389" s="127"/>
      <c r="W389" s="127"/>
      <c r="X389" s="127"/>
      <c r="Y389" s="127"/>
      <c r="Z389" s="127"/>
      <c r="AA389" s="127"/>
    </row>
    <row r="390" spans="1:27">
      <c r="A390" s="127">
        <f ca="1">IFERROR(__xludf.DUMMYFUNCTION("""COMPUTED_VALUE"""),174904221976312)</f>
        <v>174904221976312</v>
      </c>
      <c r="B390" s="127" t="str">
        <f ca="1">IFERROR(__xludf.DUMMYFUNCTION("""COMPUTED_VALUE"""),"120232114306460694")</f>
        <v>120232114306460694</v>
      </c>
      <c r="C390" s="127" t="str">
        <f ca="1">IFERROR(__xludf.DUMMYFUNCTION("""COMPUTED_VALUE"""),"Shinta massage")</f>
        <v>Shinta massage</v>
      </c>
      <c r="D390" s="138" t="str">
        <f ca="1">IFERROR(__xludf.DUMMYFUNCTION("""COMPUTED_VALUE"""),"https://wa.me/6282220945171")</f>
        <v>https://wa.me/6282220945171</v>
      </c>
      <c r="E390" s="139" t="str">
        <f ca="1">IFERROR(__xludf.DUMMYFUNCTION("""COMPUTED_VALUE"""),"6282220945171")</f>
        <v>6282220945171</v>
      </c>
      <c r="F390" s="139">
        <f ca="1">IFERROR(__xludf.DUMMYFUNCTION("""COMPUTED_VALUE"""),2922)</f>
        <v>2922</v>
      </c>
      <c r="G390" s="139">
        <f ca="1">IFERROR(__xludf.DUMMYFUNCTION("""COMPUTED_VALUE"""),25647.1666666666)</f>
        <v>25647.166666666599</v>
      </c>
      <c r="H390" s="139">
        <f ca="1">IFERROR(__xludf.DUMMYFUNCTION("""COMPUTED_VALUE"""),33)</f>
        <v>33</v>
      </c>
      <c r="I390" s="140">
        <f ca="1">IFERROR(__xludf.DUMMYFUNCTION("""COMPUTED_VALUE"""),84199)</f>
        <v>84199</v>
      </c>
      <c r="J390" s="141">
        <f ca="1">IFERROR(__xludf.DUMMYFUNCTION("""COMPUTED_VALUE"""),2551.48484848484)</f>
        <v>2551.4848484848399</v>
      </c>
      <c r="K390" s="142">
        <f ca="1">IFERROR(__xludf.DUMMYFUNCTION("""COMPUTED_VALUE"""),5.61326666666666)</f>
        <v>5.61326666666666</v>
      </c>
      <c r="L390" s="143" t="str">
        <f ca="1"/>
        <v>Wiris Variasi</v>
      </c>
      <c r="M390" s="127"/>
      <c r="N390" s="127"/>
      <c r="O390" s="127"/>
      <c r="P390" s="127"/>
      <c r="Q390" s="127"/>
      <c r="R390" s="127"/>
      <c r="S390" s="127"/>
      <c r="T390" s="127"/>
      <c r="U390" s="127"/>
      <c r="V390" s="127"/>
      <c r="W390" s="127"/>
      <c r="X390" s="127"/>
      <c r="Y390" s="127"/>
      <c r="Z390" s="127"/>
      <c r="AA390" s="127"/>
    </row>
    <row r="391" spans="1:27">
      <c r="A391" s="127">
        <f ca="1">IFERROR(__xludf.DUMMYFUNCTION("""COMPUTED_VALUE"""),174904221976312)</f>
        <v>174904221976312</v>
      </c>
      <c r="B391" s="127" t="str">
        <f ca="1">IFERROR(__xludf.DUMMYFUNCTION("""COMPUTED_VALUE"""),"120232114498080694")</f>
        <v>120232114498080694</v>
      </c>
      <c r="C391" s="127" t="str">
        <f ca="1">IFERROR(__xludf.DUMMYFUNCTION("""COMPUTED_VALUE"""),"Terapis Indonesia")</f>
        <v>Terapis Indonesia</v>
      </c>
      <c r="D391" s="138" t="str">
        <f ca="1">IFERROR(__xludf.DUMMYFUNCTION("""COMPUTED_VALUE"""),"https://wa.me/6281341637566")</f>
        <v>https://wa.me/6281341637566</v>
      </c>
      <c r="E391" s="139" t="str">
        <f ca="1">IFERROR(__xludf.DUMMYFUNCTION("""COMPUTED_VALUE"""),"6281341637566")</f>
        <v>6281341637566</v>
      </c>
      <c r="F391" s="139">
        <f ca="1">IFERROR(__xludf.DUMMYFUNCTION("""COMPUTED_VALUE"""),1880)</f>
        <v>1880</v>
      </c>
      <c r="G391" s="139">
        <f ca="1">IFERROR(__xludf.DUMMYFUNCTION("""COMPUTED_VALUE"""),36542.1666666666)</f>
        <v>36542.166666666599</v>
      </c>
      <c r="H391" s="139">
        <f ca="1">IFERROR(__xludf.DUMMYFUNCTION("""COMPUTED_VALUE"""),22)</f>
        <v>22</v>
      </c>
      <c r="I391" s="140">
        <f ca="1">IFERROR(__xludf.DUMMYFUNCTION("""COMPUTED_VALUE"""),76269)</f>
        <v>76269</v>
      </c>
      <c r="J391" s="141">
        <f ca="1">IFERROR(__xludf.DUMMYFUNCTION("""COMPUTED_VALUE"""),3466.77272727272)</f>
        <v>3466.7727272727202</v>
      </c>
      <c r="K391" s="142">
        <f ca="1">IFERROR(__xludf.DUMMYFUNCTION("""COMPUTED_VALUE"""),5.0846)</f>
        <v>5.0846</v>
      </c>
      <c r="L391" s="143" t="str">
        <f ca="1"/>
        <v>Wiris Variasi</v>
      </c>
      <c r="M391" s="127"/>
      <c r="N391" s="127"/>
      <c r="O391" s="127"/>
      <c r="P391" s="127"/>
      <c r="Q391" s="127"/>
      <c r="R391" s="127"/>
      <c r="S391" s="127"/>
      <c r="T391" s="127"/>
      <c r="U391" s="127"/>
      <c r="V391" s="127"/>
      <c r="W391" s="127"/>
      <c r="X391" s="127"/>
      <c r="Y391" s="127"/>
      <c r="Z391" s="127"/>
      <c r="AA391" s="127"/>
    </row>
    <row r="392" spans="1:27">
      <c r="A392" s="127">
        <f ca="1">IFERROR(__xludf.DUMMYFUNCTION("""COMPUTED_VALUE"""),174904221976312)</f>
        <v>174904221976312</v>
      </c>
      <c r="B392" s="127" t="str">
        <f ca="1">IFERROR(__xludf.DUMMYFUNCTION("""COMPUTED_VALUE"""),"120232159174090694")</f>
        <v>120232159174090694</v>
      </c>
      <c r="C392" s="127" t="str">
        <f ca="1">IFERROR(__xludf.DUMMYFUNCTION("""COMPUTED_VALUE"""),"Maliki Transport")</f>
        <v>Maliki Transport</v>
      </c>
      <c r="D392" s="138" t="str">
        <f ca="1">IFERROR(__xludf.DUMMYFUNCTION("""COMPUTED_VALUE"""),"https://wa.me/6282135496939")</f>
        <v>https://wa.me/6282135496939</v>
      </c>
      <c r="E392" s="139" t="str">
        <f ca="1">IFERROR(__xludf.DUMMYFUNCTION("""COMPUTED_VALUE"""),"6282135496939")</f>
        <v>6282135496939</v>
      </c>
      <c r="F392" s="139">
        <f ca="1">IFERROR(__xludf.DUMMYFUNCTION("""COMPUTED_VALUE"""),2001)</f>
        <v>2001</v>
      </c>
      <c r="G392" s="139">
        <f ca="1">IFERROR(__xludf.DUMMYFUNCTION("""COMPUTED_VALUE"""),37793)</f>
        <v>37793</v>
      </c>
      <c r="H392" s="139">
        <f ca="1">IFERROR(__xludf.DUMMYFUNCTION("""COMPUTED_VALUE"""),11)</f>
        <v>11</v>
      </c>
      <c r="I392" s="140">
        <f ca="1">IFERROR(__xludf.DUMMYFUNCTION("""COMPUTED_VALUE"""),79733)</f>
        <v>79733</v>
      </c>
      <c r="J392" s="141">
        <f ca="1">IFERROR(__xludf.DUMMYFUNCTION("""COMPUTED_VALUE"""),7248.45454545454)</f>
        <v>7248.4545454545396</v>
      </c>
      <c r="K392" s="142">
        <f ca="1">IFERROR(__xludf.DUMMYFUNCTION("""COMPUTED_VALUE"""),5.31553333333333)</f>
        <v>5.3155333333333301</v>
      </c>
      <c r="L392" s="143" t="str">
        <f ca="1"/>
        <v>Wiris Variasi</v>
      </c>
      <c r="M392" s="127"/>
      <c r="N392" s="127"/>
      <c r="O392" s="127"/>
      <c r="P392" s="127"/>
      <c r="Q392" s="127"/>
      <c r="R392" s="127"/>
      <c r="S392" s="127"/>
      <c r="T392" s="127"/>
      <c r="U392" s="127"/>
      <c r="V392" s="127"/>
      <c r="W392" s="127"/>
      <c r="X392" s="127"/>
      <c r="Y392" s="127"/>
      <c r="Z392" s="127"/>
      <c r="AA392" s="127"/>
    </row>
    <row r="393" spans="1:27">
      <c r="A393" s="127">
        <f ca="1">IFERROR(__xludf.DUMMYFUNCTION("""COMPUTED_VALUE"""),174904221976312)</f>
        <v>174904221976312</v>
      </c>
      <c r="B393" s="127" t="str">
        <f ca="1">IFERROR(__xludf.DUMMYFUNCTION("""COMPUTED_VALUE"""),"120232159611040694")</f>
        <v>120232159611040694</v>
      </c>
      <c r="C393" s="127" t="str">
        <f ca="1">IFERROR(__xludf.DUMMYFUNCTION("""COMPUTED_VALUE"""),"Travel Antar")</f>
        <v>Travel Antar</v>
      </c>
      <c r="D393" s="138" t="str">
        <f ca="1">IFERROR(__xludf.DUMMYFUNCTION("""COMPUTED_VALUE"""),"https://wa.me/6285213857442")</f>
        <v>https://wa.me/6285213857442</v>
      </c>
      <c r="E393" s="139" t="str">
        <f ca="1">IFERROR(__xludf.DUMMYFUNCTION("""COMPUTED_VALUE"""),"6285213857442")</f>
        <v>6285213857442</v>
      </c>
      <c r="F393" s="139">
        <f ca="1">IFERROR(__xludf.DUMMYFUNCTION("""COMPUTED_VALUE"""),4408)</f>
        <v>4408</v>
      </c>
      <c r="G393" s="139">
        <f ca="1">IFERROR(__xludf.DUMMYFUNCTION("""COMPUTED_VALUE"""),17287)</f>
        <v>17287</v>
      </c>
      <c r="H393" s="139">
        <f ca="1">IFERROR(__xludf.DUMMYFUNCTION("""COMPUTED_VALUE"""),16)</f>
        <v>16</v>
      </c>
      <c r="I393" s="140">
        <f ca="1">IFERROR(__xludf.DUMMYFUNCTION("""COMPUTED_VALUE"""),82604)</f>
        <v>82604</v>
      </c>
      <c r="J393" s="141">
        <f ca="1">IFERROR(__xludf.DUMMYFUNCTION("""COMPUTED_VALUE"""),5162.75)</f>
        <v>5162.75</v>
      </c>
      <c r="K393" s="142">
        <f ca="1">IFERROR(__xludf.DUMMYFUNCTION("""COMPUTED_VALUE"""),5.50693333333333)</f>
        <v>5.5069333333333299</v>
      </c>
      <c r="L393" s="143" t="str">
        <f ca="1"/>
        <v>Wiris Variasi</v>
      </c>
      <c r="M393" s="127"/>
      <c r="N393" s="127"/>
      <c r="O393" s="127"/>
      <c r="P393" s="127"/>
      <c r="Q393" s="127"/>
      <c r="R393" s="127"/>
      <c r="S393" s="127"/>
      <c r="T393" s="127"/>
      <c r="U393" s="127"/>
      <c r="V393" s="127"/>
      <c r="W393" s="127"/>
      <c r="X393" s="127"/>
      <c r="Y393" s="127"/>
      <c r="Z393" s="127"/>
      <c r="AA393" s="127"/>
    </row>
    <row r="394" spans="1:27">
      <c r="A394" s="127">
        <f ca="1">IFERROR(__xludf.DUMMYFUNCTION("""COMPUTED_VALUE"""),174904221976312)</f>
        <v>174904221976312</v>
      </c>
      <c r="B394" s="127" t="str">
        <f ca="1">IFERROR(__xludf.DUMMYFUNCTION("""COMPUTED_VALUE"""),"120232250835440694")</f>
        <v>120232250835440694</v>
      </c>
      <c r="C394" s="127" t="str">
        <f ca="1">IFERROR(__xludf.DUMMYFUNCTION("""COMPUTED_VALUE"""),"Pengobatan Tradisional")</f>
        <v>Pengobatan Tradisional</v>
      </c>
      <c r="D394" s="138" t="str">
        <f ca="1">IFERROR(__xludf.DUMMYFUNCTION("""COMPUTED_VALUE"""),"https://wa.me/6285657238556")</f>
        <v>https://wa.me/6285657238556</v>
      </c>
      <c r="E394" s="139" t="str">
        <f ca="1">IFERROR(__xludf.DUMMYFUNCTION("""COMPUTED_VALUE"""),"6285657238556")</f>
        <v>6285657238556</v>
      </c>
      <c r="F394" s="139">
        <f ca="1">IFERROR(__xludf.DUMMYFUNCTION("""COMPUTED_VALUE"""),2698)</f>
        <v>2698</v>
      </c>
      <c r="G394" s="139">
        <f ca="1">IFERROR(__xludf.DUMMYFUNCTION("""COMPUTED_VALUE"""),26447.1666666666)</f>
        <v>26447.166666666599</v>
      </c>
      <c r="H394" s="139">
        <f ca="1">IFERROR(__xludf.DUMMYFUNCTION("""COMPUTED_VALUE"""),13)</f>
        <v>13</v>
      </c>
      <c r="I394" s="140">
        <f ca="1">IFERROR(__xludf.DUMMYFUNCTION("""COMPUTED_VALUE"""),77858)</f>
        <v>77858</v>
      </c>
      <c r="J394" s="141">
        <f ca="1">IFERROR(__xludf.DUMMYFUNCTION("""COMPUTED_VALUE"""),5989.07692307692)</f>
        <v>5989.0769230769201</v>
      </c>
      <c r="K394" s="142">
        <f ca="1">IFERROR(__xludf.DUMMYFUNCTION("""COMPUTED_VALUE"""),5.19053333333333)</f>
        <v>5.1905333333333301</v>
      </c>
      <c r="L394" s="143" t="str">
        <f ca="1"/>
        <v>Wiris Variasi</v>
      </c>
      <c r="M394" s="127"/>
      <c r="N394" s="127"/>
      <c r="O394" s="127"/>
      <c r="P394" s="127"/>
      <c r="Q394" s="127"/>
      <c r="R394" s="127"/>
      <c r="S394" s="127"/>
      <c r="T394" s="127"/>
      <c r="U394" s="127"/>
      <c r="V394" s="127"/>
      <c r="W394" s="127"/>
      <c r="X394" s="127"/>
      <c r="Y394" s="127"/>
      <c r="Z394" s="127"/>
      <c r="AA394" s="127"/>
    </row>
    <row r="395" spans="1:27">
      <c r="A395" s="127">
        <f ca="1">IFERROR(__xludf.DUMMYFUNCTION("""COMPUTED_VALUE"""),174904221976312)</f>
        <v>174904221976312</v>
      </c>
      <c r="B395" s="127" t="str">
        <f ca="1">IFERROR(__xludf.DUMMYFUNCTION("""COMPUTED_VALUE"""),"120232275153200694")</f>
        <v>120232275153200694</v>
      </c>
      <c r="C395" s="127" t="str">
        <f ca="1">IFERROR(__xludf.DUMMYFUNCTION("""COMPUTED_VALUE"""),"Pelatihan Meditasi")</f>
        <v>Pelatihan Meditasi</v>
      </c>
      <c r="D395" s="138" t="str">
        <f ca="1">IFERROR(__xludf.DUMMYFUNCTION("""COMPUTED_VALUE"""),"https://wa.me/6281338383022")</f>
        <v>https://wa.me/6281338383022</v>
      </c>
      <c r="E395" s="139" t="str">
        <f ca="1">IFERROR(__xludf.DUMMYFUNCTION("""COMPUTED_VALUE"""),"6281338383022")</f>
        <v>6281338383022</v>
      </c>
      <c r="F395" s="139">
        <f ca="1">IFERROR(__xludf.DUMMYFUNCTION("""COMPUTED_VALUE"""),3204)</f>
        <v>3204</v>
      </c>
      <c r="G395" s="139">
        <f ca="1">IFERROR(__xludf.DUMMYFUNCTION("""COMPUTED_VALUE"""),26323.5)</f>
        <v>26323.5</v>
      </c>
      <c r="H395" s="139">
        <f ca="1">IFERROR(__xludf.DUMMYFUNCTION("""COMPUTED_VALUE"""),61)</f>
        <v>61</v>
      </c>
      <c r="I395" s="140">
        <f ca="1">IFERROR(__xludf.DUMMYFUNCTION("""COMPUTED_VALUE"""),81685)</f>
        <v>81685</v>
      </c>
      <c r="J395" s="141">
        <f ca="1">IFERROR(__xludf.DUMMYFUNCTION("""COMPUTED_VALUE"""),1339.09836065573)</f>
        <v>1339.0983606557299</v>
      </c>
      <c r="K395" s="142">
        <f ca="1">IFERROR(__xludf.DUMMYFUNCTION("""COMPUTED_VALUE"""),5.44566666666666)</f>
        <v>5.4456666666666598</v>
      </c>
      <c r="L395" s="143" t="str">
        <f ca="1"/>
        <v>Wiris Variasi</v>
      </c>
      <c r="M395" s="127"/>
      <c r="N395" s="127"/>
      <c r="O395" s="127"/>
      <c r="P395" s="127"/>
      <c r="Q395" s="127"/>
      <c r="R395" s="127"/>
      <c r="S395" s="127"/>
      <c r="T395" s="127"/>
      <c r="U395" s="127"/>
      <c r="V395" s="127"/>
      <c r="W395" s="127"/>
      <c r="X395" s="127"/>
      <c r="Y395" s="127"/>
      <c r="Z395" s="127"/>
      <c r="AA395" s="127"/>
    </row>
    <row r="396" spans="1:27">
      <c r="A396" s="127">
        <f ca="1">IFERROR(__xludf.DUMMYFUNCTION("""COMPUTED_VALUE"""),174904221976312)</f>
        <v>174904221976312</v>
      </c>
      <c r="B396" s="127" t="str">
        <f ca="1">IFERROR(__xludf.DUMMYFUNCTION("""COMPUTED_VALUE"""),"120232275624570694")</f>
        <v>120232275624570694</v>
      </c>
      <c r="C396" s="127" t="str">
        <f ca="1">IFERROR(__xludf.DUMMYFUNCTION("""COMPUTED_VALUE"""),"Veronica Tour")</f>
        <v>Veronica Tour</v>
      </c>
      <c r="D396" s="138" t="str">
        <f ca="1">IFERROR(__xludf.DUMMYFUNCTION("""COMPUTED_VALUE"""),"https://wa.me/6281232743716")</f>
        <v>https://wa.me/6281232743716</v>
      </c>
      <c r="E396" s="139" t="str">
        <f ca="1">IFERROR(__xludf.DUMMYFUNCTION("""COMPUTED_VALUE"""),"6281232743716")</f>
        <v>6281232743716</v>
      </c>
      <c r="F396" s="139">
        <f ca="1">IFERROR(__xludf.DUMMYFUNCTION("""COMPUTED_VALUE"""),3573)</f>
        <v>3573</v>
      </c>
      <c r="G396" s="139">
        <f ca="1">IFERROR(__xludf.DUMMYFUNCTION("""COMPUTED_VALUE"""),22349.5)</f>
        <v>22349.5</v>
      </c>
      <c r="H396" s="139">
        <f ca="1">IFERROR(__xludf.DUMMYFUNCTION("""COMPUTED_VALUE"""),6)</f>
        <v>6</v>
      </c>
      <c r="I396" s="140">
        <f ca="1">IFERROR(__xludf.DUMMYFUNCTION("""COMPUTED_VALUE"""),84292)</f>
        <v>84292</v>
      </c>
      <c r="J396" s="141">
        <f ca="1">IFERROR(__xludf.DUMMYFUNCTION("""COMPUTED_VALUE"""),14048.6666666666)</f>
        <v>14048.666666666601</v>
      </c>
      <c r="K396" s="142">
        <f ca="1">IFERROR(__xludf.DUMMYFUNCTION("""COMPUTED_VALUE"""),5.61946666666666)</f>
        <v>5.6194666666666597</v>
      </c>
      <c r="L396" s="143" t="str">
        <f ca="1"/>
        <v>Wiris Variasi</v>
      </c>
      <c r="M396" s="127"/>
      <c r="N396" s="127"/>
      <c r="O396" s="127"/>
      <c r="P396" s="127"/>
      <c r="Q396" s="127"/>
      <c r="R396" s="127"/>
      <c r="S396" s="127"/>
      <c r="T396" s="127"/>
      <c r="U396" s="127"/>
      <c r="V396" s="127"/>
      <c r="W396" s="127"/>
      <c r="X396" s="127"/>
      <c r="Y396" s="127"/>
      <c r="Z396" s="127"/>
      <c r="AA396" s="127"/>
    </row>
    <row r="397" spans="1:27">
      <c r="A397" s="127">
        <f ca="1">IFERROR(__xludf.DUMMYFUNCTION("""COMPUTED_VALUE"""),174904221976312)</f>
        <v>174904221976312</v>
      </c>
      <c r="B397" s="127" t="str">
        <f ca="1">IFERROR(__xludf.DUMMYFUNCTION("""COMPUTED_VALUE"""),"120232276829050694")</f>
        <v>120232276829050694</v>
      </c>
      <c r="C397" s="127" t="str">
        <f ca="1">IFERROR(__xludf.DUMMYFUNCTION("""COMPUTED_VALUE"""),"Intra spa")</f>
        <v>Intra spa</v>
      </c>
      <c r="D397" s="138" t="str">
        <f ca="1">IFERROR(__xludf.DUMMYFUNCTION("""COMPUTED_VALUE"""),"https://wa.me/6285750574301")</f>
        <v>https://wa.me/6285750574301</v>
      </c>
      <c r="E397" s="139" t="str">
        <f ca="1">IFERROR(__xludf.DUMMYFUNCTION("""COMPUTED_VALUE"""),"6285750574301")</f>
        <v>6285750574301</v>
      </c>
      <c r="F397" s="139">
        <f ca="1">IFERROR(__xludf.DUMMYFUNCTION("""COMPUTED_VALUE"""),2681)</f>
        <v>2681</v>
      </c>
      <c r="G397" s="139">
        <f ca="1">IFERROR(__xludf.DUMMYFUNCTION("""COMPUTED_VALUE"""),30367.8333333333)</f>
        <v>30367.833333333299</v>
      </c>
      <c r="H397" s="139">
        <f ca="1">IFERROR(__xludf.DUMMYFUNCTION("""COMPUTED_VALUE"""),4)</f>
        <v>4</v>
      </c>
      <c r="I397" s="140">
        <f ca="1">IFERROR(__xludf.DUMMYFUNCTION("""COMPUTED_VALUE"""),79885)</f>
        <v>79885</v>
      </c>
      <c r="J397" s="141">
        <f ca="1">IFERROR(__xludf.DUMMYFUNCTION("""COMPUTED_VALUE"""),19971.25)</f>
        <v>19971.25</v>
      </c>
      <c r="K397" s="142">
        <f ca="1">IFERROR(__xludf.DUMMYFUNCTION("""COMPUTED_VALUE"""),5.32566666666666)</f>
        <v>5.3256666666666597</v>
      </c>
      <c r="L397" s="143" t="str">
        <f ca="1"/>
        <v>Wiris Variasi</v>
      </c>
      <c r="M397" s="127"/>
      <c r="N397" s="127"/>
      <c r="O397" s="127"/>
      <c r="P397" s="127"/>
      <c r="Q397" s="127"/>
      <c r="R397" s="127"/>
      <c r="S397" s="127"/>
      <c r="T397" s="127"/>
      <c r="U397" s="127"/>
      <c r="V397" s="127"/>
      <c r="W397" s="127"/>
      <c r="X397" s="127"/>
      <c r="Y397" s="127"/>
      <c r="Z397" s="127"/>
      <c r="AA397" s="127"/>
    </row>
    <row r="398" spans="1:27">
      <c r="A398" s="127">
        <f ca="1">IFERROR(__xludf.DUMMYFUNCTION("""COMPUTED_VALUE"""),174904221976312)</f>
        <v>174904221976312</v>
      </c>
      <c r="B398" s="127" t="str">
        <f ca="1">IFERROR(__xludf.DUMMYFUNCTION("""COMPUTED_VALUE"""),"120232278491810694")</f>
        <v>120232278491810694</v>
      </c>
      <c r="C398" s="127" t="str">
        <f ca="1">IFERROR(__xludf.DUMMYFUNCTION("""COMPUTED_VALUE"""),"pijat refleksi")</f>
        <v>pijat refleksi</v>
      </c>
      <c r="D398" s="138" t="str">
        <f ca="1">IFERROR(__xludf.DUMMYFUNCTION("""COMPUTED_VALUE"""),"https://wa.me/6282249145533")</f>
        <v>https://wa.me/6282249145533</v>
      </c>
      <c r="E398" s="139" t="str">
        <f ca="1">IFERROR(__xludf.DUMMYFUNCTION("""COMPUTED_VALUE"""),"6282249145533")</f>
        <v>6282249145533</v>
      </c>
      <c r="F398" s="139">
        <f ca="1">IFERROR(__xludf.DUMMYFUNCTION("""COMPUTED_VALUE"""),6072)</f>
        <v>6072</v>
      </c>
      <c r="G398" s="139">
        <f ca="1">IFERROR(__xludf.DUMMYFUNCTION("""COMPUTED_VALUE"""),12900.8333333333)</f>
        <v>12900.833333333299</v>
      </c>
      <c r="H398" s="139">
        <f ca="1">IFERROR(__xludf.DUMMYFUNCTION("""COMPUTED_VALUE"""),36)</f>
        <v>36</v>
      </c>
      <c r="I398" s="140">
        <f ca="1">IFERROR(__xludf.DUMMYFUNCTION("""COMPUTED_VALUE"""),84943)</f>
        <v>84943</v>
      </c>
      <c r="J398" s="141">
        <f ca="1">IFERROR(__xludf.DUMMYFUNCTION("""COMPUTED_VALUE"""),2359.52777777777)</f>
        <v>2359.5277777777701</v>
      </c>
      <c r="K398" s="142">
        <f ca="1">IFERROR(__xludf.DUMMYFUNCTION("""COMPUTED_VALUE"""),5.66286666666666)</f>
        <v>5.6628666666666598</v>
      </c>
      <c r="L398" s="143" t="str">
        <f ca="1"/>
        <v>Wiris Variasi</v>
      </c>
      <c r="M398" s="127"/>
      <c r="N398" s="127"/>
      <c r="O398" s="127"/>
      <c r="P398" s="127"/>
      <c r="Q398" s="127"/>
      <c r="R398" s="127"/>
      <c r="S398" s="127"/>
      <c r="T398" s="127"/>
      <c r="U398" s="127"/>
      <c r="V398" s="127"/>
      <c r="W398" s="127"/>
      <c r="X398" s="127"/>
      <c r="Y398" s="127"/>
      <c r="Z398" s="127"/>
      <c r="AA398" s="127"/>
    </row>
    <row r="399" spans="1:27">
      <c r="A399" s="127">
        <f ca="1">IFERROR(__xludf.DUMMYFUNCTION("""COMPUTED_VALUE"""),174904221976312)</f>
        <v>174904221976312</v>
      </c>
      <c r="B399" s="127" t="str">
        <f ca="1">IFERROR(__xludf.DUMMYFUNCTION("""COMPUTED_VALUE"""),"120232295972450694")</f>
        <v>120232295972450694</v>
      </c>
      <c r="C399" s="127" t="str">
        <f ca="1">IFERROR(__xludf.DUMMYFUNCTION("""COMPUTED_VALUE"""),"GZ Transport")</f>
        <v>GZ Transport</v>
      </c>
      <c r="D399" s="138" t="str">
        <f ca="1">IFERROR(__xludf.DUMMYFUNCTION("""COMPUTED_VALUE"""),"https://wa.me/6282225676438")</f>
        <v>https://wa.me/6282225676438</v>
      </c>
      <c r="E399" s="139" t="str">
        <f ca="1">IFERROR(__xludf.DUMMYFUNCTION("""COMPUTED_VALUE"""),"6282225676438")</f>
        <v>6282225676438</v>
      </c>
      <c r="F399" s="139">
        <f ca="1">IFERROR(__xludf.DUMMYFUNCTION("""COMPUTED_VALUE"""),2392)</f>
        <v>2392</v>
      </c>
      <c r="G399" s="139">
        <f ca="1">IFERROR(__xludf.DUMMYFUNCTION("""COMPUTED_VALUE"""),48555.375)</f>
        <v>48555.375</v>
      </c>
      <c r="H399" s="139">
        <f ca="1">IFERROR(__xludf.DUMMYFUNCTION("""COMPUTED_VALUE"""),13)</f>
        <v>13</v>
      </c>
      <c r="I399" s="140">
        <f ca="1">IFERROR(__xludf.DUMMYFUNCTION("""COMPUTED_VALUE"""),112206)</f>
        <v>112206</v>
      </c>
      <c r="J399" s="141">
        <f ca="1">IFERROR(__xludf.DUMMYFUNCTION("""COMPUTED_VALUE"""),8631.23076923077)</f>
        <v>8631.2307692307695</v>
      </c>
      <c r="K399" s="142">
        <f ca="1">IFERROR(__xludf.DUMMYFUNCTION("""COMPUTED_VALUE"""),7.4804)</f>
        <v>7.4804000000000004</v>
      </c>
      <c r="L399" s="143" t="str">
        <f ca="1"/>
        <v>Wiris Variasi</v>
      </c>
      <c r="M399" s="127"/>
      <c r="N399" s="127"/>
      <c r="O399" s="127"/>
      <c r="P399" s="127"/>
      <c r="Q399" s="127"/>
      <c r="R399" s="127"/>
      <c r="S399" s="127"/>
      <c r="T399" s="127"/>
      <c r="U399" s="127"/>
      <c r="V399" s="127"/>
      <c r="W399" s="127"/>
      <c r="X399" s="127"/>
      <c r="Y399" s="127"/>
      <c r="Z399" s="127"/>
      <c r="AA399" s="127"/>
    </row>
    <row r="400" spans="1:27">
      <c r="A400" s="127">
        <f ca="1">IFERROR(__xludf.DUMMYFUNCTION("""COMPUTED_VALUE"""),174904221976312)</f>
        <v>174904221976312</v>
      </c>
      <c r="B400" s="127" t="str">
        <f ca="1">IFERROR(__xludf.DUMMYFUNCTION("""COMPUTED_VALUE"""),"120232327804180694")</f>
        <v>120232327804180694</v>
      </c>
      <c r="C400" s="127" t="str">
        <f ca="1">IFERROR(__xludf.DUMMYFUNCTION("""COMPUTED_VALUE"""),"Pelangi Gorden")</f>
        <v>Pelangi Gorden</v>
      </c>
      <c r="D400" s="138" t="str">
        <f ca="1">IFERROR(__xludf.DUMMYFUNCTION("""COMPUTED_VALUE"""),"https://wa.me/6285245301996")</f>
        <v>https://wa.me/6285245301996</v>
      </c>
      <c r="E400" s="139" t="str">
        <f ca="1">IFERROR(__xludf.DUMMYFUNCTION("""COMPUTED_VALUE"""),"6285245301996")</f>
        <v>6285245301996</v>
      </c>
      <c r="F400" s="139">
        <f ca="1">IFERROR(__xludf.DUMMYFUNCTION("""COMPUTED_VALUE"""),9066)</f>
        <v>9066</v>
      </c>
      <c r="G400" s="139">
        <f ca="1">IFERROR(__xludf.DUMMYFUNCTION("""COMPUTED_VALUE"""),14315.6)</f>
        <v>14315.6</v>
      </c>
      <c r="H400" s="139">
        <f ca="1">IFERROR(__xludf.DUMMYFUNCTION("""COMPUTED_VALUE"""),12)</f>
        <v>12</v>
      </c>
      <c r="I400" s="140">
        <f ca="1">IFERROR(__xludf.DUMMYFUNCTION("""COMPUTED_VALUE"""),151026)</f>
        <v>151026</v>
      </c>
      <c r="J400" s="141">
        <f ca="1">IFERROR(__xludf.DUMMYFUNCTION("""COMPUTED_VALUE"""),12585.5)</f>
        <v>12585.5</v>
      </c>
      <c r="K400" s="142">
        <f ca="1">IFERROR(__xludf.DUMMYFUNCTION("""COMPUTED_VALUE"""),10.0684)</f>
        <v>10.0684</v>
      </c>
      <c r="L400" s="143" t="str">
        <f ca="1"/>
        <v>Wiris Variasi</v>
      </c>
      <c r="M400" s="127"/>
      <c r="N400" s="127"/>
      <c r="O400" s="127"/>
      <c r="P400" s="127"/>
      <c r="Q400" s="127"/>
      <c r="R400" s="127"/>
      <c r="S400" s="127"/>
      <c r="T400" s="127"/>
      <c r="U400" s="127"/>
      <c r="V400" s="127"/>
      <c r="W400" s="127"/>
      <c r="X400" s="127"/>
      <c r="Y400" s="127"/>
      <c r="Z400" s="127"/>
      <c r="AA400" s="127"/>
    </row>
    <row r="401" spans="1:27">
      <c r="A401" s="127">
        <f ca="1">IFERROR(__xludf.DUMMYFUNCTION("""COMPUTED_VALUE"""),174904221976312)</f>
        <v>174904221976312</v>
      </c>
      <c r="B401" s="127" t="str">
        <f ca="1">IFERROR(__xludf.DUMMYFUNCTION("""COMPUTED_VALUE"""),"120232330305980694")</f>
        <v>120232330305980694</v>
      </c>
      <c r="C401" s="127" t="str">
        <f ca="1">IFERROR(__xludf.DUMMYFUNCTION("""COMPUTED_VALUE"""),"Griya Sehat")</f>
        <v>Griya Sehat</v>
      </c>
      <c r="D401" s="138" t="str">
        <f ca="1">IFERROR(__xludf.DUMMYFUNCTION("""COMPUTED_VALUE"""),"https://wa.me/6285255115894")</f>
        <v>https://wa.me/6285255115894</v>
      </c>
      <c r="E401" s="139" t="str">
        <f ca="1">IFERROR(__xludf.DUMMYFUNCTION("""COMPUTED_VALUE"""),"6285255115894")</f>
        <v>6285255115894</v>
      </c>
      <c r="F401" s="139">
        <f ca="1">IFERROR(__xludf.DUMMYFUNCTION("""COMPUTED_VALUE"""),3363)</f>
        <v>3363</v>
      </c>
      <c r="G401" s="139">
        <f ca="1">IFERROR(__xludf.DUMMYFUNCTION("""COMPUTED_VALUE"""),25254.8333333333)</f>
        <v>25254.833333333299</v>
      </c>
      <c r="H401" s="139">
        <f ca="1">IFERROR(__xludf.DUMMYFUNCTION("""COMPUTED_VALUE"""),7)</f>
        <v>7</v>
      </c>
      <c r="I401" s="140">
        <f ca="1">IFERROR(__xludf.DUMMYFUNCTION("""COMPUTED_VALUE"""),87777)</f>
        <v>87777</v>
      </c>
      <c r="J401" s="141">
        <f ca="1">IFERROR(__xludf.DUMMYFUNCTION("""COMPUTED_VALUE"""),12539.5714285714)</f>
        <v>12539.5714285714</v>
      </c>
      <c r="K401" s="142">
        <f ca="1">IFERROR(__xludf.DUMMYFUNCTION("""COMPUTED_VALUE"""),5.8518)</f>
        <v>5.8517999999999999</v>
      </c>
      <c r="L401" s="143" t="str">
        <f ca="1"/>
        <v>Wiris Variasi</v>
      </c>
      <c r="M401" s="127"/>
      <c r="N401" s="127"/>
      <c r="O401" s="127"/>
      <c r="P401" s="127"/>
      <c r="Q401" s="127"/>
      <c r="R401" s="127"/>
      <c r="S401" s="127"/>
      <c r="T401" s="127"/>
      <c r="U401" s="127"/>
      <c r="V401" s="127"/>
      <c r="W401" s="127"/>
      <c r="X401" s="127"/>
      <c r="Y401" s="127"/>
      <c r="Z401" s="127"/>
      <c r="AA401" s="127"/>
    </row>
    <row r="402" spans="1:27">
      <c r="A402" s="127">
        <f ca="1">IFERROR(__xludf.DUMMYFUNCTION("""COMPUTED_VALUE"""),174904221976312)</f>
        <v>174904221976312</v>
      </c>
      <c r="B402" s="127" t="str">
        <f ca="1">IFERROR(__xludf.DUMMYFUNCTION("""COMPUTED_VALUE"""),"120232348017250694")</f>
        <v>120232348017250694</v>
      </c>
      <c r="C402" s="127" t="str">
        <f ca="1">IFERROR(__xludf.DUMMYFUNCTION("""COMPUTED_VALUE"""),"Bersih Laundry")</f>
        <v>Bersih Laundry</v>
      </c>
      <c r="D402" s="138" t="str">
        <f ca="1">IFERROR(__xludf.DUMMYFUNCTION("""COMPUTED_VALUE"""),"https://wa.me/6287822292311")</f>
        <v>https://wa.me/6287822292311</v>
      </c>
      <c r="E402" s="139" t="str">
        <f ca="1">IFERROR(__xludf.DUMMYFUNCTION("""COMPUTED_VALUE"""),"6287822292311")</f>
        <v>6287822292311</v>
      </c>
      <c r="F402" s="139">
        <f ca="1">IFERROR(__xludf.DUMMYFUNCTION("""COMPUTED_VALUE"""),5556)</f>
        <v>5556</v>
      </c>
      <c r="G402" s="139">
        <f ca="1">IFERROR(__xludf.DUMMYFUNCTION("""COMPUTED_VALUE"""),35825.8461538461)</f>
        <v>35825.846153846098</v>
      </c>
      <c r="H402" s="139">
        <f ca="1">IFERROR(__xludf.DUMMYFUNCTION("""COMPUTED_VALUE"""),5)</f>
        <v>5</v>
      </c>
      <c r="I402" s="140">
        <f ca="1">IFERROR(__xludf.DUMMYFUNCTION("""COMPUTED_VALUE"""),178614)</f>
        <v>178614</v>
      </c>
      <c r="J402" s="141">
        <f ca="1">IFERROR(__xludf.DUMMYFUNCTION("""COMPUTED_VALUE"""),35722.8)</f>
        <v>35722.800000000003</v>
      </c>
      <c r="K402" s="142">
        <f ca="1">IFERROR(__xludf.DUMMYFUNCTION("""COMPUTED_VALUE"""),11.9076)</f>
        <v>11.9076</v>
      </c>
      <c r="L402" s="143" t="str">
        <f ca="1"/>
        <v>Wiris Variasi</v>
      </c>
      <c r="M402" s="127"/>
      <c r="N402" s="127"/>
      <c r="O402" s="127"/>
      <c r="P402" s="127"/>
      <c r="Q402" s="127"/>
      <c r="R402" s="127"/>
      <c r="S402" s="127"/>
      <c r="T402" s="127"/>
      <c r="U402" s="127"/>
      <c r="V402" s="127"/>
      <c r="W402" s="127"/>
      <c r="X402" s="127"/>
      <c r="Y402" s="127"/>
      <c r="Z402" s="127"/>
      <c r="AA402" s="127"/>
    </row>
    <row r="403" spans="1:27">
      <c r="A403" s="127">
        <f ca="1">IFERROR(__xludf.DUMMYFUNCTION("""COMPUTED_VALUE"""),174904221976312)</f>
        <v>174904221976312</v>
      </c>
      <c r="B403" s="127" t="str">
        <f ca="1">IFERROR(__xludf.DUMMYFUNCTION("""COMPUTED_VALUE"""),"120232348204770694")</f>
        <v>120232348204770694</v>
      </c>
      <c r="C403" s="127" t="str">
        <f ca="1">IFERROR(__xludf.DUMMYFUNCTION("""COMPUTED_VALUE"""),"Tasya Rental")</f>
        <v>Tasya Rental</v>
      </c>
      <c r="D403" s="138" t="str">
        <f ca="1">IFERROR(__xludf.DUMMYFUNCTION("""COMPUTED_VALUE"""),"https://wa.me/6281224628935")</f>
        <v>https://wa.me/6281224628935</v>
      </c>
      <c r="E403" s="139" t="str">
        <f ca="1">IFERROR(__xludf.DUMMYFUNCTION("""COMPUTED_VALUE"""),"6281224628935")</f>
        <v>6281224628935</v>
      </c>
      <c r="F403" s="139">
        <f ca="1">IFERROR(__xludf.DUMMYFUNCTION("""COMPUTED_VALUE"""),2251)</f>
        <v>2251</v>
      </c>
      <c r="G403" s="139">
        <f ca="1">IFERROR(__xludf.DUMMYFUNCTION("""COMPUTED_VALUE"""),36011)</f>
        <v>36011</v>
      </c>
      <c r="H403" s="139">
        <f ca="1">IFERROR(__xludf.DUMMYFUNCTION("""COMPUTED_VALUE"""),6)</f>
        <v>6</v>
      </c>
      <c r="I403" s="140">
        <f ca="1">IFERROR(__xludf.DUMMYFUNCTION("""COMPUTED_VALUE"""),82976)</f>
        <v>82976</v>
      </c>
      <c r="J403" s="141">
        <f ca="1">IFERROR(__xludf.DUMMYFUNCTION("""COMPUTED_VALUE"""),13829.3333333333)</f>
        <v>13829.333333333299</v>
      </c>
      <c r="K403" s="142">
        <f ca="1">IFERROR(__xludf.DUMMYFUNCTION("""COMPUTED_VALUE"""),5.53173333333333)</f>
        <v>5.5317333333333298</v>
      </c>
      <c r="L403" s="143" t="str">
        <f ca="1"/>
        <v>Wiris Variasi</v>
      </c>
      <c r="M403" s="127"/>
      <c r="N403" s="127"/>
      <c r="O403" s="127"/>
      <c r="P403" s="127"/>
      <c r="Q403" s="127"/>
      <c r="R403" s="127"/>
      <c r="S403" s="127"/>
      <c r="T403" s="127"/>
      <c r="U403" s="127"/>
      <c r="V403" s="127"/>
      <c r="W403" s="127"/>
      <c r="X403" s="127"/>
      <c r="Y403" s="127"/>
      <c r="Z403" s="127"/>
      <c r="AA403" s="127"/>
    </row>
    <row r="404" spans="1:27">
      <c r="A404" s="127">
        <f ca="1">IFERROR(__xludf.DUMMYFUNCTION("""COMPUTED_VALUE"""),174904221976312)</f>
        <v>174904221976312</v>
      </c>
      <c r="B404" s="127" t="str">
        <f ca="1">IFERROR(__xludf.DUMMYFUNCTION("""COMPUTED_VALUE"""),"120232348569550694")</f>
        <v>120232348569550694</v>
      </c>
      <c r="C404" s="127" t="str">
        <f ca="1">IFERROR(__xludf.DUMMYFUNCTION("""COMPUTED_VALUE"""),"Griya Sehat")</f>
        <v>Griya Sehat</v>
      </c>
      <c r="D404" s="138" t="str">
        <f ca="1">IFERROR(__xludf.DUMMYFUNCTION("""COMPUTED_VALUE"""),"https://wa.me/62817164567")</f>
        <v>https://wa.me/62817164567</v>
      </c>
      <c r="E404" s="139" t="str">
        <f ca="1">IFERROR(__xludf.DUMMYFUNCTION("""COMPUTED_VALUE"""),"62817164567")</f>
        <v>62817164567</v>
      </c>
      <c r="F404" s="139">
        <f ca="1">IFERROR(__xludf.DUMMYFUNCTION("""COMPUTED_VALUE"""),4949)</f>
        <v>4949</v>
      </c>
      <c r="G404" s="139">
        <f ca="1">IFERROR(__xludf.DUMMYFUNCTION("""COMPUTED_VALUE"""),16750.1666666666)</f>
        <v>16750.166666666599</v>
      </c>
      <c r="H404" s="139">
        <f ca="1">IFERROR(__xludf.DUMMYFUNCTION("""COMPUTED_VALUE"""),7)</f>
        <v>7</v>
      </c>
      <c r="I404" s="140">
        <f ca="1">IFERROR(__xludf.DUMMYFUNCTION("""COMPUTED_VALUE"""),88800)</f>
        <v>88800</v>
      </c>
      <c r="J404" s="141">
        <f ca="1">IFERROR(__xludf.DUMMYFUNCTION("""COMPUTED_VALUE"""),12685.7142857142)</f>
        <v>12685.714285714201</v>
      </c>
      <c r="K404" s="142">
        <f ca="1">IFERROR(__xludf.DUMMYFUNCTION("""COMPUTED_VALUE"""),5.92)</f>
        <v>5.92</v>
      </c>
      <c r="L404" s="143" t="str">
        <f ca="1"/>
        <v>Wiris Variasi</v>
      </c>
      <c r="M404" s="127"/>
      <c r="N404" s="127"/>
      <c r="O404" s="127"/>
      <c r="P404" s="127"/>
      <c r="Q404" s="127"/>
      <c r="R404" s="127"/>
      <c r="S404" s="127"/>
      <c r="T404" s="127"/>
      <c r="U404" s="127"/>
      <c r="V404" s="127"/>
      <c r="W404" s="127"/>
      <c r="X404" s="127"/>
      <c r="Y404" s="127"/>
      <c r="Z404" s="127"/>
      <c r="AA404" s="127"/>
    </row>
    <row r="405" spans="1:27">
      <c r="A405" s="127">
        <f ca="1">IFERROR(__xludf.DUMMYFUNCTION("""COMPUTED_VALUE"""),174904221976312)</f>
        <v>174904221976312</v>
      </c>
      <c r="B405" s="127" t="str">
        <f ca="1">IFERROR(__xludf.DUMMYFUNCTION("""COMPUTED_VALUE"""),"120232390053940694")</f>
        <v>120232390053940694</v>
      </c>
      <c r="C405" s="127" t="str">
        <f ca="1">IFERROR(__xludf.DUMMYFUNCTION("""COMPUTED_VALUE"""),"Pijat Ayu")</f>
        <v>Pijat Ayu</v>
      </c>
      <c r="D405" s="138" t="str">
        <f ca="1">IFERROR(__xludf.DUMMYFUNCTION("""COMPUTED_VALUE"""),"https://wa.me/6285357908485")</f>
        <v>https://wa.me/6285357908485</v>
      </c>
      <c r="E405" s="139" t="str">
        <f ca="1">IFERROR(__xludf.DUMMYFUNCTION("""COMPUTED_VALUE"""),"6285357908485")</f>
        <v>6285357908485</v>
      </c>
      <c r="F405" s="139">
        <f ca="1">IFERROR(__xludf.DUMMYFUNCTION("""COMPUTED_VALUE"""),1588)</f>
        <v>1588</v>
      </c>
      <c r="G405" s="139">
        <f ca="1">IFERROR(__xludf.DUMMYFUNCTION("""COMPUTED_VALUE"""),45609.8333333333)</f>
        <v>45609.833333333299</v>
      </c>
      <c r="H405" s="139">
        <f ca="1">IFERROR(__xludf.DUMMYFUNCTION("""COMPUTED_VALUE"""),24)</f>
        <v>24</v>
      </c>
      <c r="I405" s="140">
        <f ca="1">IFERROR(__xludf.DUMMYFUNCTION("""COMPUTED_VALUE"""),79112)</f>
        <v>79112</v>
      </c>
      <c r="J405" s="141">
        <f ca="1">IFERROR(__xludf.DUMMYFUNCTION("""COMPUTED_VALUE"""),3296.33333333333)</f>
        <v>3296.3333333333298</v>
      </c>
      <c r="K405" s="142">
        <f ca="1">IFERROR(__xludf.DUMMYFUNCTION("""COMPUTED_VALUE"""),5.27413333333333)</f>
        <v>5.2741333333333298</v>
      </c>
      <c r="L405" s="143" t="str">
        <f ca="1"/>
        <v>Wiris Variasi</v>
      </c>
      <c r="M405" s="127"/>
      <c r="N405" s="127"/>
      <c r="O405" s="127"/>
      <c r="P405" s="127"/>
      <c r="Q405" s="127"/>
      <c r="R405" s="127"/>
      <c r="S405" s="127"/>
      <c r="T405" s="127"/>
      <c r="U405" s="127"/>
      <c r="V405" s="127"/>
      <c r="W405" s="127"/>
      <c r="X405" s="127"/>
      <c r="Y405" s="127"/>
      <c r="Z405" s="127"/>
      <c r="AA405" s="127"/>
    </row>
    <row r="406" spans="1:27">
      <c r="A406" s="127">
        <f ca="1">IFERROR(__xludf.DUMMYFUNCTION("""COMPUTED_VALUE"""),174904221976312)</f>
        <v>174904221976312</v>
      </c>
      <c r="B406" s="127" t="str">
        <f ca="1">IFERROR(__xludf.DUMMYFUNCTION("""COMPUTED_VALUE"""),"120232438619900694")</f>
        <v>120232438619900694</v>
      </c>
      <c r="C406" s="127" t="str">
        <f ca="1">IFERROR(__xludf.DUMMYFUNCTION("""COMPUTED_VALUE"""),"Bali adventure")</f>
        <v>Bali adventure</v>
      </c>
      <c r="D406" s="138" t="str">
        <f ca="1">IFERROR(__xludf.DUMMYFUNCTION("""COMPUTED_VALUE"""),"https://wa.me/6287751068360")</f>
        <v>https://wa.me/6287751068360</v>
      </c>
      <c r="E406" s="139" t="str">
        <f ca="1">IFERROR(__xludf.DUMMYFUNCTION("""COMPUTED_VALUE"""),"6287751068360")</f>
        <v>6287751068360</v>
      </c>
      <c r="F406" s="139">
        <f ca="1">IFERROR(__xludf.DUMMYFUNCTION("""COMPUTED_VALUE"""),2119)</f>
        <v>2119</v>
      </c>
      <c r="G406" s="139">
        <f ca="1">IFERROR(__xludf.DUMMYFUNCTION("""COMPUTED_VALUE"""),32482.3333333333)</f>
        <v>32482.333333333299</v>
      </c>
      <c r="H406" s="139">
        <f ca="1">IFERROR(__xludf.DUMMYFUNCTION("""COMPUTED_VALUE"""),5)</f>
        <v>5</v>
      </c>
      <c r="I406" s="140">
        <f ca="1">IFERROR(__xludf.DUMMYFUNCTION("""COMPUTED_VALUE"""),74394)</f>
        <v>74394</v>
      </c>
      <c r="J406" s="141">
        <f ca="1">IFERROR(__xludf.DUMMYFUNCTION("""COMPUTED_VALUE"""),14878.8)</f>
        <v>14878.8</v>
      </c>
      <c r="K406" s="142">
        <f ca="1">IFERROR(__xludf.DUMMYFUNCTION("""COMPUTED_VALUE"""),4.9596)</f>
        <v>4.9596</v>
      </c>
      <c r="L406" s="143" t="str">
        <f ca="1"/>
        <v>Wiris Variasi</v>
      </c>
      <c r="M406" s="127"/>
      <c r="N406" s="127"/>
      <c r="O406" s="127"/>
      <c r="P406" s="127"/>
      <c r="Q406" s="127"/>
      <c r="R406" s="127"/>
      <c r="S406" s="127"/>
      <c r="T406" s="127"/>
      <c r="U406" s="127"/>
      <c r="V406" s="127"/>
      <c r="W406" s="127"/>
      <c r="X406" s="127"/>
      <c r="Y406" s="127"/>
      <c r="Z406" s="127"/>
      <c r="AA406" s="127"/>
    </row>
    <row r="407" spans="1:27">
      <c r="A407" s="127">
        <f ca="1">IFERROR(__xludf.DUMMYFUNCTION("""COMPUTED_VALUE"""),174904221976312)</f>
        <v>174904221976312</v>
      </c>
      <c r="B407" s="127" t="str">
        <f ca="1">IFERROR(__xludf.DUMMYFUNCTION("""COMPUTED_VALUE"""),"120232438678280694")</f>
        <v>120232438678280694</v>
      </c>
      <c r="C407" s="127" t="str">
        <f ca="1">IFERROR(__xludf.DUMMYFUNCTION("""COMPUTED_VALUE"""),"Quick service")</f>
        <v>Quick service</v>
      </c>
      <c r="D407" s="138" t="str">
        <f ca="1">IFERROR(__xludf.DUMMYFUNCTION("""COMPUTED_VALUE"""),"https://wa.me/6287777144455")</f>
        <v>https://wa.me/6287777144455</v>
      </c>
      <c r="E407" s="139" t="str">
        <f ca="1">IFERROR(__xludf.DUMMYFUNCTION("""COMPUTED_VALUE"""),"6287777144455")</f>
        <v>6287777144455</v>
      </c>
      <c r="F407" s="139">
        <f ca="1">IFERROR(__xludf.DUMMYFUNCTION("""COMPUTED_VALUE"""),3614)</f>
        <v>3614</v>
      </c>
      <c r="G407" s="139">
        <f ca="1">IFERROR(__xludf.DUMMYFUNCTION("""COMPUTED_VALUE"""),36905.5)</f>
        <v>36905.5</v>
      </c>
      <c r="H407" s="139">
        <f ca="1">IFERROR(__xludf.DUMMYFUNCTION("""COMPUTED_VALUE"""),8)</f>
        <v>8</v>
      </c>
      <c r="I407" s="140">
        <f ca="1">IFERROR(__xludf.DUMMYFUNCTION("""COMPUTED_VALUE"""),136035)</f>
        <v>136035</v>
      </c>
      <c r="J407" s="141">
        <f ca="1">IFERROR(__xludf.DUMMYFUNCTION("""COMPUTED_VALUE"""),17004.375)</f>
        <v>17004.375</v>
      </c>
      <c r="K407" s="142">
        <f ca="1">IFERROR(__xludf.DUMMYFUNCTION("""COMPUTED_VALUE"""),9.069)</f>
        <v>9.0690000000000008</v>
      </c>
      <c r="L407" s="143" t="str">
        <f ca="1"/>
        <v>Wiris Variasi</v>
      </c>
      <c r="M407" s="127"/>
      <c r="N407" s="127"/>
      <c r="O407" s="127"/>
      <c r="P407" s="127"/>
      <c r="Q407" s="127"/>
      <c r="R407" s="127"/>
      <c r="S407" s="127"/>
      <c r="T407" s="127"/>
      <c r="U407" s="127"/>
      <c r="V407" s="127"/>
      <c r="W407" s="127"/>
      <c r="X407" s="127"/>
      <c r="Y407" s="127"/>
      <c r="Z407" s="127"/>
      <c r="AA407" s="127"/>
    </row>
    <row r="408" spans="1:27">
      <c r="A408" s="127">
        <f ca="1">IFERROR(__xludf.DUMMYFUNCTION("""COMPUTED_VALUE"""),174904221976312)</f>
        <v>174904221976312</v>
      </c>
      <c r="B408" s="127" t="str">
        <f ca="1">IFERROR(__xludf.DUMMYFUNCTION("""COMPUTED_VALUE"""),"120232493438140694")</f>
        <v>120232493438140694</v>
      </c>
      <c r="C408" s="127" t="str">
        <f ca="1">IFERROR(__xludf.DUMMYFUNCTION("""COMPUTED_VALUE"""),"Bintang99 massage")</f>
        <v>Bintang99 massage</v>
      </c>
      <c r="D408" s="138" t="str">
        <f ca="1">IFERROR(__xludf.DUMMYFUNCTION("""COMPUTED_VALUE"""),"https://wa.me/6281990022760")</f>
        <v>https://wa.me/6281990022760</v>
      </c>
      <c r="E408" s="139" t="str">
        <f ca="1">IFERROR(__xludf.DUMMYFUNCTION("""COMPUTED_VALUE"""),"6281990022760")</f>
        <v>6281990022760</v>
      </c>
      <c r="F408" s="139">
        <f ca="1">IFERROR(__xludf.DUMMYFUNCTION("""COMPUTED_VALUE"""),1924)</f>
        <v>1924</v>
      </c>
      <c r="G408" s="139">
        <f ca="1">IFERROR(__xludf.DUMMYFUNCTION("""COMPUTED_VALUE"""),37767.8333333333)</f>
        <v>37767.833333333299</v>
      </c>
      <c r="H408" s="139">
        <f ca="1">IFERROR(__xludf.DUMMYFUNCTION("""COMPUTED_VALUE"""),37)</f>
        <v>37</v>
      </c>
      <c r="I408" s="140">
        <f ca="1">IFERROR(__xludf.DUMMYFUNCTION("""COMPUTED_VALUE"""),81051)</f>
        <v>81051</v>
      </c>
      <c r="J408" s="141">
        <f ca="1">IFERROR(__xludf.DUMMYFUNCTION("""COMPUTED_VALUE"""),2190.56756756756)</f>
        <v>2190.5675675675602</v>
      </c>
      <c r="K408" s="142">
        <f ca="1">IFERROR(__xludf.DUMMYFUNCTION("""COMPUTED_VALUE"""),5.4034)</f>
        <v>5.4034000000000004</v>
      </c>
      <c r="L408" s="143" t="str">
        <f ca="1"/>
        <v>Wiris Variasi</v>
      </c>
      <c r="M408" s="127"/>
      <c r="N408" s="127"/>
      <c r="O408" s="127"/>
      <c r="P408" s="127"/>
      <c r="Q408" s="127"/>
      <c r="R408" s="127"/>
      <c r="S408" s="127"/>
      <c r="T408" s="127"/>
      <c r="U408" s="127"/>
      <c r="V408" s="127"/>
      <c r="W408" s="127"/>
      <c r="X408" s="127"/>
      <c r="Y408" s="127"/>
      <c r="Z408" s="127"/>
      <c r="AA408" s="127"/>
    </row>
    <row r="409" spans="1:27">
      <c r="A409" s="127">
        <f ca="1">IFERROR(__xludf.DUMMYFUNCTION("""COMPUTED_VALUE"""),174904221976312)</f>
        <v>174904221976312</v>
      </c>
      <c r="B409" s="127" t="str">
        <f ca="1">IFERROR(__xludf.DUMMYFUNCTION("""COMPUTED_VALUE"""),"120232493582410694")</f>
        <v>120232493582410694</v>
      </c>
      <c r="C409" s="127" t="str">
        <f ca="1">IFERROR(__xludf.DUMMYFUNCTION("""COMPUTED_VALUE"""),"istana herbal")</f>
        <v>istana herbal</v>
      </c>
      <c r="D409" s="138" t="str">
        <f ca="1">IFERROR(__xludf.DUMMYFUNCTION("""COMPUTED_VALUE"""),"https://wa.me/6285255550388")</f>
        <v>https://wa.me/6285255550388</v>
      </c>
      <c r="E409" s="139" t="str">
        <f ca="1">IFERROR(__xludf.DUMMYFUNCTION("""COMPUTED_VALUE"""),"6285255550388")</f>
        <v>6285255550388</v>
      </c>
      <c r="F409" s="139">
        <f ca="1">IFERROR(__xludf.DUMMYFUNCTION("""COMPUTED_VALUE"""),2347)</f>
        <v>2347</v>
      </c>
      <c r="G409" s="139">
        <f ca="1">IFERROR(__xludf.DUMMYFUNCTION("""COMPUTED_VALUE"""),33827.3333333333)</f>
        <v>33827.333333333299</v>
      </c>
      <c r="H409" s="139">
        <f ca="1">IFERROR(__xludf.DUMMYFUNCTION("""COMPUTED_VALUE"""),9)</f>
        <v>9</v>
      </c>
      <c r="I409" s="140">
        <f ca="1">IFERROR(__xludf.DUMMYFUNCTION("""COMPUTED_VALUE"""),78627)</f>
        <v>78627</v>
      </c>
      <c r="J409" s="141">
        <f ca="1">IFERROR(__xludf.DUMMYFUNCTION("""COMPUTED_VALUE"""),8736.33333333333)</f>
        <v>8736.3333333333303</v>
      </c>
      <c r="K409" s="142">
        <f ca="1">IFERROR(__xludf.DUMMYFUNCTION("""COMPUTED_VALUE"""),5.2418)</f>
        <v>5.2417999999999996</v>
      </c>
      <c r="L409" s="143" t="str">
        <f ca="1"/>
        <v>Wiris Variasi</v>
      </c>
      <c r="M409" s="127"/>
      <c r="N409" s="127"/>
      <c r="O409" s="127"/>
      <c r="P409" s="127"/>
      <c r="Q409" s="127"/>
      <c r="R409" s="127"/>
      <c r="S409" s="127"/>
      <c r="T409" s="127"/>
      <c r="U409" s="127"/>
      <c r="V409" s="127"/>
      <c r="W409" s="127"/>
      <c r="X409" s="127"/>
      <c r="Y409" s="127"/>
      <c r="Z409" s="127"/>
      <c r="AA409" s="127"/>
    </row>
    <row r="410" spans="1:27">
      <c r="A410" s="127">
        <f ca="1">IFERROR(__xludf.DUMMYFUNCTION("""COMPUTED_VALUE"""),174904221976312)</f>
        <v>174904221976312</v>
      </c>
      <c r="B410" s="127" t="str">
        <f ca="1">IFERROR(__xludf.DUMMYFUNCTION("""COMPUTED_VALUE"""),"120232493664810694")</f>
        <v>120232493664810694</v>
      </c>
      <c r="C410" s="127" t="str">
        <f ca="1">IFERROR(__xludf.DUMMYFUNCTION("""COMPUTED_VALUE"""),"Rumah Sehat")</f>
        <v>Rumah Sehat</v>
      </c>
      <c r="D410" s="138" t="str">
        <f ca="1">IFERROR(__xludf.DUMMYFUNCTION("""COMPUTED_VALUE"""),"https://wa.me/6281316122975")</f>
        <v>https://wa.me/6281316122975</v>
      </c>
      <c r="E410" s="139" t="str">
        <f ca="1">IFERROR(__xludf.DUMMYFUNCTION("""COMPUTED_VALUE"""),"6281316122975")</f>
        <v>6281316122975</v>
      </c>
      <c r="F410" s="139">
        <f ca="1">IFERROR(__xludf.DUMMYFUNCTION("""COMPUTED_VALUE"""),5174)</f>
        <v>5174</v>
      </c>
      <c r="G410" s="139">
        <f ca="1">IFERROR(__xludf.DUMMYFUNCTION("""COMPUTED_VALUE"""),19846.375)</f>
        <v>19846.375</v>
      </c>
      <c r="H410" s="139">
        <f ca="1">IFERROR(__xludf.DUMMYFUNCTION("""COMPUTED_VALUE"""),31)</f>
        <v>31</v>
      </c>
      <c r="I410" s="140">
        <f ca="1">IFERROR(__xludf.DUMMYFUNCTION("""COMPUTED_VALUE"""),120671)</f>
        <v>120671</v>
      </c>
      <c r="J410" s="141">
        <f ca="1">IFERROR(__xludf.DUMMYFUNCTION("""COMPUTED_VALUE"""),3892.6129032258)</f>
        <v>3892.6129032258</v>
      </c>
      <c r="K410" s="142">
        <f ca="1">IFERROR(__xludf.DUMMYFUNCTION("""COMPUTED_VALUE"""),8.04473333333333)</f>
        <v>8.0447333333333297</v>
      </c>
      <c r="L410" s="143" t="str">
        <f ca="1"/>
        <v>Wiris Variasi</v>
      </c>
      <c r="M410" s="127"/>
      <c r="N410" s="127"/>
      <c r="O410" s="127"/>
      <c r="P410" s="127"/>
      <c r="Q410" s="127"/>
      <c r="R410" s="127"/>
      <c r="S410" s="127"/>
      <c r="T410" s="127"/>
      <c r="U410" s="127"/>
      <c r="V410" s="127"/>
      <c r="W410" s="127"/>
      <c r="X410" s="127"/>
      <c r="Y410" s="127"/>
      <c r="Z410" s="127"/>
      <c r="AA410" s="127"/>
    </row>
    <row r="411" spans="1:27">
      <c r="A411" s="127">
        <f ca="1">IFERROR(__xludf.DUMMYFUNCTION("""COMPUTED_VALUE"""),174904221976312)</f>
        <v>174904221976312</v>
      </c>
      <c r="B411" s="127" t="str">
        <f ca="1">IFERROR(__xludf.DUMMYFUNCTION("""COMPUTED_VALUE"""),"120232493738960694")</f>
        <v>120232493738960694</v>
      </c>
      <c r="C411" s="127" t="str">
        <f ca="1">IFERROR(__xludf.DUMMYFUNCTION("""COMPUTED_VALUE"""),"Zaratri cat")</f>
        <v>Zaratri cat</v>
      </c>
      <c r="D411" s="138" t="str">
        <f ca="1">IFERROR(__xludf.DUMMYFUNCTION("""COMPUTED_VALUE"""),"https://wa.me/6282320232344")</f>
        <v>https://wa.me/6282320232344</v>
      </c>
      <c r="E411" s="139" t="str">
        <f ca="1">IFERROR(__xludf.DUMMYFUNCTION("""COMPUTED_VALUE"""),"6282320232344")</f>
        <v>6282320232344</v>
      </c>
      <c r="F411" s="139">
        <f ca="1">IFERROR(__xludf.DUMMYFUNCTION("""COMPUTED_VALUE"""),69094)</f>
        <v>69094</v>
      </c>
      <c r="G411" s="139">
        <f ca="1">IFERROR(__xludf.DUMMYFUNCTION("""COMPUTED_VALUE"""),1140.33333333333)</f>
        <v>1140.3333333333301</v>
      </c>
      <c r="H411" s="139">
        <f ca="1">IFERROR(__xludf.DUMMYFUNCTION("""COMPUTED_VALUE"""),0)</f>
        <v>0</v>
      </c>
      <c r="I411" s="140">
        <f ca="1">IFERROR(__xludf.DUMMYFUNCTION("""COMPUTED_VALUE"""),79713)</f>
        <v>79713</v>
      </c>
      <c r="J411" s="141"/>
      <c r="K411" s="142">
        <f ca="1">IFERROR(__xludf.DUMMYFUNCTION("""COMPUTED_VALUE"""),5.3142)</f>
        <v>5.3141999999999996</v>
      </c>
      <c r="L411" s="143" t="str">
        <f ca="1"/>
        <v>Wiris Variasi</v>
      </c>
      <c r="M411" s="127"/>
      <c r="N411" s="127"/>
      <c r="O411" s="127"/>
      <c r="P411" s="127"/>
      <c r="Q411" s="127"/>
      <c r="R411" s="127"/>
      <c r="S411" s="127"/>
      <c r="T411" s="127"/>
      <c r="U411" s="127"/>
      <c r="V411" s="127"/>
      <c r="W411" s="127"/>
      <c r="X411" s="127"/>
      <c r="Y411" s="127"/>
      <c r="Z411" s="127"/>
      <c r="AA411" s="127"/>
    </row>
    <row r="412" spans="1:27">
      <c r="A412" s="127">
        <f ca="1">IFERROR(__xludf.DUMMYFUNCTION("""COMPUTED_VALUE"""),174904221976312)</f>
        <v>174904221976312</v>
      </c>
      <c r="B412" s="127" t="str">
        <f ca="1">IFERROR(__xludf.DUMMYFUNCTION("""COMPUTED_VALUE"""),"120232551859150694")</f>
        <v>120232551859150694</v>
      </c>
      <c r="C412" s="127" t="str">
        <f ca="1">IFERROR(__xludf.DUMMYFUNCTION("""COMPUTED_VALUE"""),"Griya Sehat")</f>
        <v>Griya Sehat</v>
      </c>
      <c r="D412" s="138" t="str">
        <f ca="1">IFERROR(__xludf.DUMMYFUNCTION("""COMPUTED_VALUE"""),"https://wa.me/6283107086952")</f>
        <v>https://wa.me/6283107086952</v>
      </c>
      <c r="E412" s="139" t="str">
        <f ca="1">IFERROR(__xludf.DUMMYFUNCTION("""COMPUTED_VALUE"""),"6283107086952")</f>
        <v>6283107086952</v>
      </c>
      <c r="F412" s="139">
        <f ca="1">IFERROR(__xludf.DUMMYFUNCTION("""COMPUTED_VALUE"""),3304)</f>
        <v>3304</v>
      </c>
      <c r="G412" s="139">
        <f ca="1">IFERROR(__xludf.DUMMYFUNCTION("""COMPUTED_VALUE"""),20881.3333333333)</f>
        <v>20881.333333333299</v>
      </c>
      <c r="H412" s="139">
        <f ca="1">IFERROR(__xludf.DUMMYFUNCTION("""COMPUTED_VALUE"""),14)</f>
        <v>14</v>
      </c>
      <c r="I412" s="140">
        <f ca="1">IFERROR(__xludf.DUMMYFUNCTION("""COMPUTED_VALUE"""),79555)</f>
        <v>79555</v>
      </c>
      <c r="J412" s="141">
        <f ca="1">IFERROR(__xludf.DUMMYFUNCTION("""COMPUTED_VALUE"""),5682.5)</f>
        <v>5682.5</v>
      </c>
      <c r="K412" s="142">
        <f ca="1">IFERROR(__xludf.DUMMYFUNCTION("""COMPUTED_VALUE"""),5.30366666666666)</f>
        <v>5.3036666666666603</v>
      </c>
      <c r="L412" s="143" t="str">
        <f ca="1"/>
        <v>Wiris Variasi</v>
      </c>
      <c r="M412" s="127"/>
      <c r="N412" s="127"/>
      <c r="O412" s="127"/>
      <c r="P412" s="127"/>
      <c r="Q412" s="127"/>
      <c r="R412" s="127"/>
      <c r="S412" s="127"/>
      <c r="T412" s="127"/>
      <c r="U412" s="127"/>
      <c r="V412" s="127"/>
      <c r="W412" s="127"/>
      <c r="X412" s="127"/>
      <c r="Y412" s="127"/>
      <c r="Z412" s="127"/>
      <c r="AA412" s="127"/>
    </row>
    <row r="413" spans="1:27">
      <c r="A413" s="127">
        <f ca="1">IFERROR(__xludf.DUMMYFUNCTION("""COMPUTED_VALUE"""),174904221976312)</f>
        <v>174904221976312</v>
      </c>
      <c r="B413" s="127" t="str">
        <f ca="1">IFERROR(__xludf.DUMMYFUNCTION("""COMPUTED_VALUE"""),"120232551939720694")</f>
        <v>120232551939720694</v>
      </c>
      <c r="C413" s="127" t="str">
        <f ca="1">IFERROR(__xludf.DUMMYFUNCTION("""COMPUTED_VALUE"""),"Java Bali")</f>
        <v>Java Bali</v>
      </c>
      <c r="D413" s="138" t="str">
        <f ca="1">IFERROR(__xludf.DUMMYFUNCTION("""COMPUTED_VALUE"""),"https://wa.me/6281318819599")</f>
        <v>https://wa.me/6281318819599</v>
      </c>
      <c r="E413" s="139" t="str">
        <f ca="1">IFERROR(__xludf.DUMMYFUNCTION("""COMPUTED_VALUE"""),"6281318819599")</f>
        <v>6281318819599</v>
      </c>
      <c r="F413" s="139">
        <f ca="1">IFERROR(__xludf.DUMMYFUNCTION("""COMPUTED_VALUE"""),3601)</f>
        <v>3601</v>
      </c>
      <c r="G413" s="139">
        <f ca="1">IFERROR(__xludf.DUMMYFUNCTION("""COMPUTED_VALUE"""),23768.6666666666)</f>
        <v>23768.666666666599</v>
      </c>
      <c r="H413" s="139">
        <f ca="1">IFERROR(__xludf.DUMMYFUNCTION("""COMPUTED_VALUE"""),0)</f>
        <v>0</v>
      </c>
      <c r="I413" s="140">
        <f ca="1">IFERROR(__xludf.DUMMYFUNCTION("""COMPUTED_VALUE"""),78279)</f>
        <v>78279</v>
      </c>
      <c r="J413" s="141"/>
      <c r="K413" s="142">
        <f ca="1">IFERROR(__xludf.DUMMYFUNCTION("""COMPUTED_VALUE"""),5.2186)</f>
        <v>5.2186000000000003</v>
      </c>
      <c r="L413" s="143" t="str">
        <f ca="1"/>
        <v>Wiris Variasi</v>
      </c>
      <c r="M413" s="127"/>
      <c r="N413" s="127"/>
      <c r="O413" s="127"/>
      <c r="P413" s="127"/>
      <c r="Q413" s="127"/>
      <c r="R413" s="127"/>
      <c r="S413" s="127"/>
      <c r="T413" s="127"/>
      <c r="U413" s="127"/>
      <c r="V413" s="127"/>
      <c r="W413" s="127"/>
      <c r="X413" s="127"/>
      <c r="Y413" s="127"/>
      <c r="Z413" s="127"/>
      <c r="AA413" s="127"/>
    </row>
    <row r="414" spans="1:27">
      <c r="A414" s="127">
        <f ca="1">IFERROR(__xludf.DUMMYFUNCTION("""COMPUTED_VALUE"""),174904221976312)</f>
        <v>174904221976312</v>
      </c>
      <c r="B414" s="127" t="str">
        <f ca="1">IFERROR(__xludf.DUMMYFUNCTION("""COMPUTED_VALUE"""),"120232596013120694")</f>
        <v>120232596013120694</v>
      </c>
      <c r="C414" s="127" t="str">
        <f ca="1">IFERROR(__xludf.DUMMYFUNCTION("""COMPUTED_VALUE"""),"Travel FBI")</f>
        <v>Travel FBI</v>
      </c>
      <c r="D414" s="138" t="str">
        <f ca="1">IFERROR(__xludf.DUMMYFUNCTION("""COMPUTED_VALUE"""),"https://wa.me/6281389082618")</f>
        <v>https://wa.me/6281389082618</v>
      </c>
      <c r="E414" s="139" t="str">
        <f ca="1">IFERROR(__xludf.DUMMYFUNCTION("""COMPUTED_VALUE"""),"6281389082618")</f>
        <v>6281389082618</v>
      </c>
      <c r="F414" s="139">
        <f ca="1">IFERROR(__xludf.DUMMYFUNCTION("""COMPUTED_VALUE"""),567)</f>
        <v>567</v>
      </c>
      <c r="G414" s="139">
        <f ca="1">IFERROR(__xludf.DUMMYFUNCTION("""COMPUTED_VALUE"""),166784.5)</f>
        <v>166784.5</v>
      </c>
      <c r="H414" s="139">
        <f ca="1">IFERROR(__xludf.DUMMYFUNCTION("""COMPUTED_VALUE"""),1)</f>
        <v>1</v>
      </c>
      <c r="I414" s="140">
        <f ca="1">IFERROR(__xludf.DUMMYFUNCTION("""COMPUTED_VALUE"""),80650)</f>
        <v>80650</v>
      </c>
      <c r="J414" s="141">
        <f ca="1">IFERROR(__xludf.DUMMYFUNCTION("""COMPUTED_VALUE"""),80650)</f>
        <v>80650</v>
      </c>
      <c r="K414" s="142">
        <f ca="1">IFERROR(__xludf.DUMMYFUNCTION("""COMPUTED_VALUE"""),5.37666666666666)</f>
        <v>5.3766666666666598</v>
      </c>
      <c r="L414" s="143" t="str">
        <f ca="1"/>
        <v>Wiris Variasi</v>
      </c>
      <c r="M414" s="127"/>
      <c r="N414" s="127"/>
      <c r="O414" s="127"/>
      <c r="P414" s="127"/>
      <c r="Q414" s="127"/>
      <c r="R414" s="127"/>
      <c r="S414" s="127"/>
      <c r="T414" s="127"/>
      <c r="U414" s="127"/>
      <c r="V414" s="127"/>
      <c r="W414" s="127"/>
      <c r="X414" s="127"/>
      <c r="Y414" s="127"/>
      <c r="Z414" s="127"/>
      <c r="AA414" s="127"/>
    </row>
    <row r="415" spans="1:27">
      <c r="A415" s="127">
        <f ca="1">IFERROR(__xludf.DUMMYFUNCTION("""COMPUTED_VALUE"""),174904221976312)</f>
        <v>174904221976312</v>
      </c>
      <c r="B415" s="127" t="str">
        <f ca="1">IFERROR(__xludf.DUMMYFUNCTION("""COMPUTED_VALUE"""),"120232596101660694")</f>
        <v>120232596101660694</v>
      </c>
      <c r="C415" s="127" t="str">
        <f ca="1">IFERROR(__xludf.DUMMYFUNCTION("""COMPUTED_VALUE"""),"MTRIP")</f>
        <v>MTRIP</v>
      </c>
      <c r="D415" s="138" t="str">
        <f ca="1">IFERROR(__xludf.DUMMYFUNCTION("""COMPUTED_VALUE"""),"https://wa.me/6281220005953")</f>
        <v>https://wa.me/6281220005953</v>
      </c>
      <c r="E415" s="139" t="str">
        <f ca="1">IFERROR(__xludf.DUMMYFUNCTION("""COMPUTED_VALUE"""),"6281220005953")</f>
        <v>6281220005953</v>
      </c>
      <c r="F415" s="139">
        <f ca="1">IFERROR(__xludf.DUMMYFUNCTION("""COMPUTED_VALUE"""),2164)</f>
        <v>2164</v>
      </c>
      <c r="G415" s="139">
        <f ca="1">IFERROR(__xludf.DUMMYFUNCTION("""COMPUTED_VALUE"""),66339.875)</f>
        <v>66339.875</v>
      </c>
      <c r="H415" s="139">
        <f ca="1">IFERROR(__xludf.DUMMYFUNCTION("""COMPUTED_VALUE"""),4)</f>
        <v>4</v>
      </c>
      <c r="I415" s="140">
        <f ca="1">IFERROR(__xludf.DUMMYFUNCTION("""COMPUTED_VALUE"""),108855)</f>
        <v>108855</v>
      </c>
      <c r="J415" s="141">
        <f ca="1">IFERROR(__xludf.DUMMYFUNCTION("""COMPUTED_VALUE"""),27213.75)</f>
        <v>27213.75</v>
      </c>
      <c r="K415" s="142">
        <f ca="1">IFERROR(__xludf.DUMMYFUNCTION("""COMPUTED_VALUE"""),7.257)</f>
        <v>7.2569999999999997</v>
      </c>
      <c r="L415" s="143" t="str">
        <f ca="1"/>
        <v>Wiris Variasi</v>
      </c>
      <c r="M415" s="127"/>
      <c r="N415" s="127"/>
      <c r="O415" s="127"/>
      <c r="P415" s="127"/>
      <c r="Q415" s="127"/>
      <c r="R415" s="127"/>
      <c r="S415" s="127"/>
      <c r="T415" s="127"/>
      <c r="U415" s="127"/>
      <c r="V415" s="127"/>
      <c r="W415" s="127"/>
      <c r="X415" s="127"/>
      <c r="Y415" s="127"/>
      <c r="Z415" s="127"/>
      <c r="AA415" s="127"/>
    </row>
    <row r="416" spans="1:27">
      <c r="A416" s="127">
        <f ca="1">IFERROR(__xludf.DUMMYFUNCTION("""COMPUTED_VALUE"""),174904221976312)</f>
        <v>174904221976312</v>
      </c>
      <c r="B416" s="127" t="str">
        <f ca="1">IFERROR(__xludf.DUMMYFUNCTION("""COMPUTED_VALUE"""),"120232596393070694")</f>
        <v>120232596393070694</v>
      </c>
      <c r="C416" s="127" t="str">
        <f ca="1">IFERROR(__xludf.DUMMYFUNCTION("""COMPUTED_VALUE"""),"rumah pijat")</f>
        <v>rumah pijat</v>
      </c>
      <c r="D416" s="138" t="str">
        <f ca="1">IFERROR(__xludf.DUMMYFUNCTION("""COMPUTED_VALUE"""),"https://wa.me/6285233857272")</f>
        <v>https://wa.me/6285233857272</v>
      </c>
      <c r="E416" s="139" t="str">
        <f ca="1">IFERROR(__xludf.DUMMYFUNCTION("""COMPUTED_VALUE"""),"6285233857272")</f>
        <v>6285233857272</v>
      </c>
      <c r="F416" s="139">
        <f ca="1">IFERROR(__xludf.DUMMYFUNCTION("""COMPUTED_VALUE"""),3912)</f>
        <v>3912</v>
      </c>
      <c r="G416" s="139">
        <f ca="1">IFERROR(__xludf.DUMMYFUNCTION("""COMPUTED_VALUE"""),17106.8333333333)</f>
        <v>17106.833333333299</v>
      </c>
      <c r="H416" s="139">
        <f ca="1">IFERROR(__xludf.DUMMYFUNCTION("""COMPUTED_VALUE"""),23)</f>
        <v>23</v>
      </c>
      <c r="I416" s="140">
        <f ca="1">IFERROR(__xludf.DUMMYFUNCTION("""COMPUTED_VALUE"""),80042)</f>
        <v>80042</v>
      </c>
      <c r="J416" s="141">
        <f ca="1">IFERROR(__xludf.DUMMYFUNCTION("""COMPUTED_VALUE"""),3480.08695652173)</f>
        <v>3480.0869565217299</v>
      </c>
      <c r="K416" s="142">
        <f ca="1">IFERROR(__xludf.DUMMYFUNCTION("""COMPUTED_VALUE"""),5.33613333333333)</f>
        <v>5.3361333333333301</v>
      </c>
      <c r="L416" s="143" t="str">
        <f ca="1"/>
        <v>Wiris Variasi</v>
      </c>
      <c r="M416" s="127"/>
      <c r="N416" s="127"/>
      <c r="O416" s="127"/>
      <c r="P416" s="127"/>
      <c r="Q416" s="127"/>
      <c r="R416" s="127"/>
      <c r="S416" s="127"/>
      <c r="T416" s="127"/>
      <c r="U416" s="127"/>
      <c r="V416" s="127"/>
      <c r="W416" s="127"/>
      <c r="X416" s="127"/>
      <c r="Y416" s="127"/>
      <c r="Z416" s="127"/>
      <c r="AA416" s="127"/>
    </row>
    <row r="417" spans="1:27">
      <c r="A417" s="127">
        <f ca="1">IFERROR(__xludf.DUMMYFUNCTION("""COMPUTED_VALUE"""),174904221976312)</f>
        <v>174904221976312</v>
      </c>
      <c r="B417" s="127" t="str">
        <f ca="1">IFERROR(__xludf.DUMMYFUNCTION("""COMPUTED_VALUE"""),"120232650034850694")</f>
        <v>120232650034850694</v>
      </c>
      <c r="C417" s="127" t="str">
        <f ca="1">IFERROR(__xludf.DUMMYFUNCTION("""COMPUTED_VALUE"""),"Masilok Fishing")</f>
        <v>Masilok Fishing</v>
      </c>
      <c r="D417" s="138" t="str">
        <f ca="1">IFERROR(__xludf.DUMMYFUNCTION("""COMPUTED_VALUE"""),"https://wa.me/6282311906512")</f>
        <v>https://wa.me/6282311906512</v>
      </c>
      <c r="E417" s="139" t="str">
        <f ca="1">IFERROR(__xludf.DUMMYFUNCTION("""COMPUTED_VALUE"""),"6282311906512")</f>
        <v>6282311906512</v>
      </c>
      <c r="F417" s="139">
        <f ca="1">IFERROR(__xludf.DUMMYFUNCTION("""COMPUTED_VALUE"""),3750)</f>
        <v>3750</v>
      </c>
      <c r="G417" s="139">
        <f ca="1">IFERROR(__xludf.DUMMYFUNCTION("""COMPUTED_VALUE"""),16454.4)</f>
        <v>16454.400000000001</v>
      </c>
      <c r="H417" s="139">
        <f ca="1">IFERROR(__xludf.DUMMYFUNCTION("""COMPUTED_VALUE"""),2)</f>
        <v>2</v>
      </c>
      <c r="I417" s="140">
        <f ca="1">IFERROR(__xludf.DUMMYFUNCTION("""COMPUTED_VALUE"""),70363)</f>
        <v>70363</v>
      </c>
      <c r="J417" s="141">
        <f ca="1">IFERROR(__xludf.DUMMYFUNCTION("""COMPUTED_VALUE"""),35181.5)</f>
        <v>35181.5</v>
      </c>
      <c r="K417" s="142">
        <f ca="1">IFERROR(__xludf.DUMMYFUNCTION("""COMPUTED_VALUE"""),4.69086666666666)</f>
        <v>4.6908666666666603</v>
      </c>
      <c r="L417" s="143" t="str">
        <f ca="1"/>
        <v>Wiris Variasi</v>
      </c>
      <c r="M417" s="127"/>
      <c r="N417" s="127"/>
      <c r="O417" s="127"/>
      <c r="P417" s="127"/>
      <c r="Q417" s="127"/>
      <c r="R417" s="127"/>
      <c r="S417" s="127"/>
      <c r="T417" s="127"/>
      <c r="U417" s="127"/>
      <c r="V417" s="127"/>
      <c r="W417" s="127"/>
      <c r="X417" s="127"/>
      <c r="Y417" s="127"/>
      <c r="Z417" s="127"/>
      <c r="AA417" s="127"/>
    </row>
    <row r="418" spans="1:27">
      <c r="A418" s="127">
        <f ca="1">IFERROR(__xludf.DUMMYFUNCTION("""COMPUTED_VALUE"""),174904221976312)</f>
        <v>174904221976312</v>
      </c>
      <c r="B418" s="127" t="str">
        <f ca="1">IFERROR(__xludf.DUMMYFUNCTION("""COMPUTED_VALUE"""),"120232675266100694")</f>
        <v>120232675266100694</v>
      </c>
      <c r="C418" s="127" t="str">
        <f ca="1">IFERROR(__xludf.DUMMYFUNCTION("""COMPUTED_VALUE"""),"Hadi bekam")</f>
        <v>Hadi bekam</v>
      </c>
      <c r="D418" s="138" t="str">
        <f ca="1">IFERROR(__xludf.DUMMYFUNCTION("""COMPUTED_VALUE"""),"https://wa.me/62823332108583")</f>
        <v>https://wa.me/62823332108583</v>
      </c>
      <c r="E418" s="139" t="str">
        <f ca="1">IFERROR(__xludf.DUMMYFUNCTION("""COMPUTED_VALUE"""),"62823332108583")</f>
        <v>62823332108583</v>
      </c>
      <c r="F418" s="139">
        <f ca="1">IFERROR(__xludf.DUMMYFUNCTION("""COMPUTED_VALUE"""),4448)</f>
        <v>4448</v>
      </c>
      <c r="G418" s="139">
        <f ca="1">IFERROR(__xludf.DUMMYFUNCTION("""COMPUTED_VALUE"""),13737.6)</f>
        <v>13737.6</v>
      </c>
      <c r="H418" s="139">
        <f ca="1">IFERROR(__xludf.DUMMYFUNCTION("""COMPUTED_VALUE"""),9)</f>
        <v>9</v>
      </c>
      <c r="I418" s="140">
        <f ca="1">IFERROR(__xludf.DUMMYFUNCTION("""COMPUTED_VALUE"""),68674)</f>
        <v>68674</v>
      </c>
      <c r="J418" s="141">
        <f ca="1">IFERROR(__xludf.DUMMYFUNCTION("""COMPUTED_VALUE"""),7630.44444444444)</f>
        <v>7630.4444444444398</v>
      </c>
      <c r="K418" s="142">
        <f ca="1">IFERROR(__xludf.DUMMYFUNCTION("""COMPUTED_VALUE"""),4.57826666666666)</f>
        <v>4.5782666666666598</v>
      </c>
      <c r="L418" s="143" t="str">
        <f ca="1"/>
        <v>Wiris Variasi</v>
      </c>
      <c r="M418" s="127"/>
      <c r="N418" s="127"/>
      <c r="O418" s="127"/>
      <c r="P418" s="127"/>
      <c r="Q418" s="127"/>
      <c r="R418" s="127"/>
      <c r="S418" s="127"/>
      <c r="T418" s="127"/>
      <c r="U418" s="127"/>
      <c r="V418" s="127"/>
      <c r="W418" s="127"/>
      <c r="X418" s="127"/>
      <c r="Y418" s="127"/>
      <c r="Z418" s="127"/>
      <c r="AA418" s="127"/>
    </row>
    <row r="419" spans="1:27">
      <c r="A419" s="127">
        <f ca="1">IFERROR(__xludf.DUMMYFUNCTION("""COMPUTED_VALUE"""),174904221976312)</f>
        <v>174904221976312</v>
      </c>
      <c r="B419" s="127" t="str">
        <f ca="1">IFERROR(__xludf.DUMMYFUNCTION("""COMPUTED_VALUE"""),"120232675271840694")</f>
        <v>120232675271840694</v>
      </c>
      <c r="C419" s="127" t="str">
        <f ca="1">IFERROR(__xludf.DUMMYFUNCTION("""COMPUTED_VALUE"""),"Terapi Toel")</f>
        <v>Terapi Toel</v>
      </c>
      <c r="D419" s="138" t="str">
        <f ca="1">IFERROR(__xludf.DUMMYFUNCTION("""COMPUTED_VALUE"""),"https://wa.me/62881022322099")</f>
        <v>https://wa.me/62881022322099</v>
      </c>
      <c r="E419" s="139" t="str">
        <f ca="1">IFERROR(__xludf.DUMMYFUNCTION("""COMPUTED_VALUE"""),"62881022322099")</f>
        <v>62881022322099</v>
      </c>
      <c r="F419" s="139">
        <f ca="1">IFERROR(__xludf.DUMMYFUNCTION("""COMPUTED_VALUE"""),2869)</f>
        <v>2869</v>
      </c>
      <c r="G419" s="139">
        <f ca="1">IFERROR(__xludf.DUMMYFUNCTION("""COMPUTED_VALUE"""),19382.2)</f>
        <v>19382.2</v>
      </c>
      <c r="H419" s="139">
        <f ca="1">IFERROR(__xludf.DUMMYFUNCTION("""COMPUTED_VALUE"""),47)</f>
        <v>47</v>
      </c>
      <c r="I419" s="140">
        <f ca="1">IFERROR(__xludf.DUMMYFUNCTION("""COMPUTED_VALUE"""),62808)</f>
        <v>62808</v>
      </c>
      <c r="J419" s="141">
        <f ca="1">IFERROR(__xludf.DUMMYFUNCTION("""COMPUTED_VALUE"""),1336.34042553191)</f>
        <v>1336.3404255319099</v>
      </c>
      <c r="K419" s="142">
        <f ca="1">IFERROR(__xludf.DUMMYFUNCTION("""COMPUTED_VALUE"""),4.1872)</f>
        <v>4.1871999999999998</v>
      </c>
      <c r="L419" s="143" t="str">
        <f ca="1"/>
        <v>Wiris Variasi</v>
      </c>
      <c r="M419" s="127"/>
      <c r="N419" s="127"/>
      <c r="O419" s="127"/>
      <c r="P419" s="127"/>
      <c r="Q419" s="127"/>
      <c r="R419" s="127"/>
      <c r="S419" s="127"/>
      <c r="T419" s="127"/>
      <c r="U419" s="127"/>
      <c r="V419" s="127"/>
      <c r="W419" s="127"/>
      <c r="X419" s="127"/>
      <c r="Y419" s="127"/>
      <c r="Z419" s="127"/>
      <c r="AA419" s="127"/>
    </row>
    <row r="420" spans="1:27">
      <c r="A420" s="127">
        <f ca="1">IFERROR(__xludf.DUMMYFUNCTION("""COMPUTED_VALUE"""),174904221976312)</f>
        <v>174904221976312</v>
      </c>
      <c r="B420" s="127" t="str">
        <f ca="1">IFERROR(__xludf.DUMMYFUNCTION("""COMPUTED_VALUE"""),"120232697827460694")</f>
        <v>120232697827460694</v>
      </c>
      <c r="C420" s="127" t="str">
        <f ca="1">IFERROR(__xludf.DUMMYFUNCTION("""COMPUTED_VALUE"""),"Affana Tour")</f>
        <v>Affana Tour</v>
      </c>
      <c r="D420" s="138" t="str">
        <f ca="1">IFERROR(__xludf.DUMMYFUNCTION("""COMPUTED_VALUE"""),"https://wa.me/6282225676546")</f>
        <v>https://wa.me/6282225676546</v>
      </c>
      <c r="E420" s="139" t="str">
        <f ca="1">IFERROR(__xludf.DUMMYFUNCTION("""COMPUTED_VALUE"""),"6282225676546")</f>
        <v>6282225676546</v>
      </c>
      <c r="F420" s="139">
        <f ca="1">IFERROR(__xludf.DUMMYFUNCTION("""COMPUTED_VALUE"""),1685)</f>
        <v>1685</v>
      </c>
      <c r="G420" s="139">
        <f ca="1">IFERROR(__xludf.DUMMYFUNCTION("""COMPUTED_VALUE"""),37057)</f>
        <v>37057</v>
      </c>
      <c r="H420" s="139">
        <f ca="1">IFERROR(__xludf.DUMMYFUNCTION("""COMPUTED_VALUE"""),6)</f>
        <v>6</v>
      </c>
      <c r="I420" s="140">
        <f ca="1">IFERROR(__xludf.DUMMYFUNCTION("""COMPUTED_VALUE"""),67051)</f>
        <v>67051</v>
      </c>
      <c r="J420" s="141">
        <f ca="1">IFERROR(__xludf.DUMMYFUNCTION("""COMPUTED_VALUE"""),11175.1666666666)</f>
        <v>11175.166666666601</v>
      </c>
      <c r="K420" s="142">
        <f ca="1">IFERROR(__xludf.DUMMYFUNCTION("""COMPUTED_VALUE"""),4.47006666666666)</f>
        <v>4.4700666666666597</v>
      </c>
      <c r="L420" s="143" t="str">
        <f ca="1"/>
        <v>Wiris Variasi</v>
      </c>
      <c r="M420" s="127"/>
      <c r="N420" s="127"/>
      <c r="O420" s="127"/>
      <c r="P420" s="127"/>
      <c r="Q420" s="127"/>
      <c r="R420" s="127"/>
      <c r="S420" s="127"/>
      <c r="T420" s="127"/>
      <c r="U420" s="127"/>
      <c r="V420" s="127"/>
      <c r="W420" s="127"/>
      <c r="X420" s="127"/>
      <c r="Y420" s="127"/>
      <c r="Z420" s="127"/>
      <c r="AA420" s="127"/>
    </row>
    <row r="421" spans="1:27">
      <c r="A421" s="127">
        <f ca="1">IFERROR(__xludf.DUMMYFUNCTION("""COMPUTED_VALUE"""),174904221976312)</f>
        <v>174904221976312</v>
      </c>
      <c r="B421" s="127" t="str">
        <f ca="1">IFERROR(__xludf.DUMMYFUNCTION("""COMPUTED_VALUE"""),"120232697830740694")</f>
        <v>120232697830740694</v>
      </c>
      <c r="C421" s="127" t="str">
        <f ca="1">IFERROR(__xludf.DUMMYFUNCTION("""COMPUTED_VALUE"""),"PDLM Fashion")</f>
        <v>PDLM Fashion</v>
      </c>
      <c r="D421" s="138" t="str">
        <f ca="1">IFERROR(__xludf.DUMMYFUNCTION("""COMPUTED_VALUE"""),"https://wa.me/6282110222282")</f>
        <v>https://wa.me/6282110222282</v>
      </c>
      <c r="E421" s="139" t="str">
        <f ca="1">IFERROR(__xludf.DUMMYFUNCTION("""COMPUTED_VALUE"""),"6282110222282")</f>
        <v>6282110222282</v>
      </c>
      <c r="F421" s="139">
        <f ca="1">IFERROR(__xludf.DUMMYFUNCTION("""COMPUTED_VALUE"""),1399)</f>
        <v>1399</v>
      </c>
      <c r="G421" s="139">
        <f ca="1">IFERROR(__xludf.DUMMYFUNCTION("""COMPUTED_VALUE"""),40975.4)</f>
        <v>40975.4</v>
      </c>
      <c r="H421" s="139">
        <f ca="1">IFERROR(__xludf.DUMMYFUNCTION("""COMPUTED_VALUE"""),5)</f>
        <v>5</v>
      </c>
      <c r="I421" s="140">
        <f ca="1">IFERROR(__xludf.DUMMYFUNCTION("""COMPUTED_VALUE"""),64227)</f>
        <v>64227</v>
      </c>
      <c r="J421" s="141">
        <f ca="1">IFERROR(__xludf.DUMMYFUNCTION("""COMPUTED_VALUE"""),12845.4)</f>
        <v>12845.4</v>
      </c>
      <c r="K421" s="142">
        <f ca="1">IFERROR(__xludf.DUMMYFUNCTION("""COMPUTED_VALUE"""),4.2818)</f>
        <v>4.2817999999999996</v>
      </c>
      <c r="L421" s="143" t="str">
        <f ca="1"/>
        <v>Wiris Variasi</v>
      </c>
      <c r="M421" s="127"/>
      <c r="N421" s="127"/>
      <c r="O421" s="127"/>
      <c r="P421" s="127"/>
      <c r="Q421" s="127"/>
      <c r="R421" s="127"/>
      <c r="S421" s="127"/>
      <c r="T421" s="127"/>
      <c r="U421" s="127"/>
      <c r="V421" s="127"/>
      <c r="W421" s="127"/>
      <c r="X421" s="127"/>
      <c r="Y421" s="127"/>
      <c r="Z421" s="127"/>
      <c r="AA421" s="127"/>
    </row>
    <row r="422" spans="1:27">
      <c r="A422" s="127">
        <f ca="1">IFERROR(__xludf.DUMMYFUNCTION("""COMPUTED_VALUE"""),174904221976312)</f>
        <v>174904221976312</v>
      </c>
      <c r="B422" s="127" t="str">
        <f ca="1">IFERROR(__xludf.DUMMYFUNCTION("""COMPUTED_VALUE"""),"120232763903630694")</f>
        <v>120232763903630694</v>
      </c>
      <c r="C422" s="127" t="str">
        <f ca="1">IFERROR(__xludf.DUMMYFUNCTION("""COMPUTED_VALUE"""),"BRC Cabang")</f>
        <v>BRC Cabang</v>
      </c>
      <c r="D422" s="138" t="str">
        <f ca="1">IFERROR(__xludf.DUMMYFUNCTION("""COMPUTED_VALUE"""),"https://wa.me/6282219980006")</f>
        <v>https://wa.me/6282219980006</v>
      </c>
      <c r="E422" s="139" t="str">
        <f ca="1">IFERROR(__xludf.DUMMYFUNCTION("""COMPUTED_VALUE"""),"6282219980006")</f>
        <v>6282219980006</v>
      </c>
      <c r="F422" s="139">
        <f ca="1">IFERROR(__xludf.DUMMYFUNCTION("""COMPUTED_VALUE"""),1395)</f>
        <v>1395</v>
      </c>
      <c r="G422" s="139">
        <f ca="1">IFERROR(__xludf.DUMMYFUNCTION("""COMPUTED_VALUE"""),32034.75)</f>
        <v>32034.75</v>
      </c>
      <c r="H422" s="139">
        <f ca="1">IFERROR(__xludf.DUMMYFUNCTION("""COMPUTED_VALUE"""),4)</f>
        <v>4</v>
      </c>
      <c r="I422" s="140">
        <f ca="1">IFERROR(__xludf.DUMMYFUNCTION("""COMPUTED_VALUE"""),53953)</f>
        <v>53953</v>
      </c>
      <c r="J422" s="141">
        <f ca="1">IFERROR(__xludf.DUMMYFUNCTION("""COMPUTED_VALUE"""),13488.25)</f>
        <v>13488.25</v>
      </c>
      <c r="K422" s="142">
        <f ca="1">IFERROR(__xludf.DUMMYFUNCTION("""COMPUTED_VALUE"""),3.59686666666666)</f>
        <v>3.59686666666666</v>
      </c>
      <c r="L422" s="143" t="str">
        <f ca="1"/>
        <v>Wiris Variasi</v>
      </c>
      <c r="M422" s="127"/>
      <c r="N422" s="127"/>
      <c r="O422" s="127"/>
      <c r="P422" s="127"/>
      <c r="Q422" s="127"/>
      <c r="R422" s="127"/>
      <c r="S422" s="127"/>
      <c r="T422" s="127"/>
      <c r="U422" s="127"/>
      <c r="V422" s="127"/>
      <c r="W422" s="127"/>
      <c r="X422" s="127"/>
      <c r="Y422" s="127"/>
      <c r="Z422" s="127"/>
      <c r="AA422" s="127"/>
    </row>
    <row r="423" spans="1:27">
      <c r="A423" s="127">
        <f ca="1">IFERROR(__xludf.DUMMYFUNCTION("""COMPUTED_VALUE"""),174904221976312)</f>
        <v>174904221976312</v>
      </c>
      <c r="B423" s="127" t="str">
        <f ca="1">IFERROR(__xludf.DUMMYFUNCTION("""COMPUTED_VALUE"""),"120232823038490694")</f>
        <v>120232823038490694</v>
      </c>
      <c r="C423" s="127" t="str">
        <f ca="1">IFERROR(__xludf.DUMMYFUNCTION("""COMPUTED_VALUE"""),"Sahabat Teknik")</f>
        <v>Sahabat Teknik</v>
      </c>
      <c r="D423" s="138" t="str">
        <f ca="1">IFERROR(__xludf.DUMMYFUNCTION("""COMPUTED_VALUE"""),"https://wa.me/6285737244570")</f>
        <v>https://wa.me/6285737244570</v>
      </c>
      <c r="E423" s="139" t="str">
        <f ca="1">IFERROR(__xludf.DUMMYFUNCTION("""COMPUTED_VALUE"""),"6285737244570")</f>
        <v>6285737244570</v>
      </c>
      <c r="F423" s="139">
        <f ca="1">IFERROR(__xludf.DUMMYFUNCTION("""COMPUTED_VALUE"""),1641)</f>
        <v>1641</v>
      </c>
      <c r="G423" s="139">
        <f ca="1">IFERROR(__xludf.DUMMYFUNCTION("""COMPUTED_VALUE"""),20874.6666666666)</f>
        <v>20874.666666666599</v>
      </c>
      <c r="H423" s="139">
        <f ca="1">IFERROR(__xludf.DUMMYFUNCTION("""COMPUTED_VALUE"""),6)</f>
        <v>6</v>
      </c>
      <c r="I423" s="140">
        <f ca="1">IFERROR(__xludf.DUMMYFUNCTION("""COMPUTED_VALUE"""),39035)</f>
        <v>39035</v>
      </c>
      <c r="J423" s="141">
        <f ca="1">IFERROR(__xludf.DUMMYFUNCTION("""COMPUTED_VALUE"""),6505.83333333333)</f>
        <v>6505.8333333333303</v>
      </c>
      <c r="K423" s="142">
        <f ca="1">IFERROR(__xludf.DUMMYFUNCTION("""COMPUTED_VALUE"""),2.60233333333333)</f>
        <v>2.6023333333333301</v>
      </c>
      <c r="L423" s="143" t="str">
        <f ca="1"/>
        <v>Wiris Variasi</v>
      </c>
      <c r="M423" s="127"/>
      <c r="N423" s="127"/>
      <c r="O423" s="127"/>
      <c r="P423" s="127"/>
      <c r="Q423" s="127"/>
      <c r="R423" s="127"/>
      <c r="S423" s="127"/>
      <c r="T423" s="127"/>
      <c r="U423" s="127"/>
      <c r="V423" s="127"/>
      <c r="W423" s="127"/>
      <c r="X423" s="127"/>
      <c r="Y423" s="127"/>
      <c r="Z423" s="127"/>
      <c r="AA423" s="127"/>
    </row>
    <row r="424" spans="1:27">
      <c r="A424" s="127">
        <f ca="1">IFERROR(__xludf.DUMMYFUNCTION("""COMPUTED_VALUE"""),174904221976312)</f>
        <v>174904221976312</v>
      </c>
      <c r="B424" s="127" t="str">
        <f ca="1">IFERROR(__xludf.DUMMYFUNCTION("""COMPUTED_VALUE"""),"120232868603190694")</f>
        <v>120232868603190694</v>
      </c>
      <c r="C424" s="127" t="str">
        <f ca="1">IFERROR(__xludf.DUMMYFUNCTION("""COMPUTED_VALUE"""),"Griyo terapi")</f>
        <v>Griyo terapi</v>
      </c>
      <c r="D424" s="138" t="str">
        <f ca="1">IFERROR(__xludf.DUMMYFUNCTION("""COMPUTED_VALUE"""),"https://wa.me/6281390669379")</f>
        <v>https://wa.me/6281390669379</v>
      </c>
      <c r="E424" s="139" t="str">
        <f ca="1">IFERROR(__xludf.DUMMYFUNCTION("""COMPUTED_VALUE"""),"6281390669379")</f>
        <v>6281390669379</v>
      </c>
      <c r="F424" s="139">
        <f ca="1">IFERROR(__xludf.DUMMYFUNCTION("""COMPUTED_VALUE"""),1609)</f>
        <v>1609</v>
      </c>
      <c r="G424" s="139">
        <f ca="1">IFERROR(__xludf.DUMMYFUNCTION("""COMPUTED_VALUE"""),13398.5)</f>
        <v>13398.5</v>
      </c>
      <c r="H424" s="139">
        <f ca="1">IFERROR(__xludf.DUMMYFUNCTION("""COMPUTED_VALUE"""),5)</f>
        <v>5</v>
      </c>
      <c r="I424" s="140">
        <f ca="1">IFERROR(__xludf.DUMMYFUNCTION("""COMPUTED_VALUE"""),27429)</f>
        <v>27429</v>
      </c>
      <c r="J424" s="141">
        <f ca="1">IFERROR(__xludf.DUMMYFUNCTION("""COMPUTED_VALUE"""),5485.8)</f>
        <v>5485.8</v>
      </c>
      <c r="K424" s="142">
        <f ca="1">IFERROR(__xludf.DUMMYFUNCTION("""COMPUTED_VALUE"""),1.8286)</f>
        <v>1.8286</v>
      </c>
      <c r="L424" s="143" t="str">
        <f ca="1"/>
        <v>Wiris Variasi</v>
      </c>
      <c r="M424" s="127"/>
      <c r="N424" s="127"/>
      <c r="O424" s="127"/>
      <c r="P424" s="127"/>
      <c r="Q424" s="127"/>
      <c r="R424" s="127"/>
      <c r="S424" s="127"/>
      <c r="T424" s="127"/>
      <c r="U424" s="127"/>
      <c r="V424" s="127"/>
      <c r="W424" s="127"/>
      <c r="X424" s="127"/>
      <c r="Y424" s="127"/>
      <c r="Z424" s="127"/>
      <c r="AA424" s="127"/>
    </row>
    <row r="425" spans="1:27">
      <c r="A425" s="127">
        <f ca="1">IFERROR(__xludf.DUMMYFUNCTION("""COMPUTED_VALUE"""),174904221976312)</f>
        <v>174904221976312</v>
      </c>
      <c r="B425" s="127" t="str">
        <f ca="1">IFERROR(__xludf.DUMMYFUNCTION("""COMPUTED_VALUE"""),"120232868606340694")</f>
        <v>120232868606340694</v>
      </c>
      <c r="C425" s="127" t="str">
        <f ca="1">IFERROR(__xludf.DUMMYFUNCTION("""COMPUTED_VALUE"""),"Multi Niaga")</f>
        <v>Multi Niaga</v>
      </c>
      <c r="D425" s="138" t="str">
        <f ca="1">IFERROR(__xludf.DUMMYFUNCTION("""COMPUTED_VALUE"""),"https://wa.me/6281230656664")</f>
        <v>https://wa.me/6281230656664</v>
      </c>
      <c r="E425" s="139" t="str">
        <f ca="1">IFERROR(__xludf.DUMMYFUNCTION("""COMPUTED_VALUE"""),"6281230656664")</f>
        <v>6281230656664</v>
      </c>
      <c r="F425" s="139">
        <f ca="1">IFERROR(__xludf.DUMMYFUNCTION("""COMPUTED_VALUE"""),989)</f>
        <v>989</v>
      </c>
      <c r="G425" s="139">
        <f ca="1">IFERROR(__xludf.DUMMYFUNCTION("""COMPUTED_VALUE"""),25708)</f>
        <v>25708</v>
      </c>
      <c r="H425" s="139">
        <f ca="1">IFERROR(__xludf.DUMMYFUNCTION("""COMPUTED_VALUE"""),3)</f>
        <v>3</v>
      </c>
      <c r="I425" s="140">
        <f ca="1">IFERROR(__xludf.DUMMYFUNCTION("""COMPUTED_VALUE"""),24823)</f>
        <v>24823</v>
      </c>
      <c r="J425" s="141">
        <f ca="1">IFERROR(__xludf.DUMMYFUNCTION("""COMPUTED_VALUE"""),8274.33333333333)</f>
        <v>8274.3333333333303</v>
      </c>
      <c r="K425" s="142">
        <f ca="1">IFERROR(__xludf.DUMMYFUNCTION("""COMPUTED_VALUE"""),1.65486666666666)</f>
        <v>1.65486666666666</v>
      </c>
      <c r="L425" s="143" t="str">
        <f ca="1"/>
        <v>Wiris Variasi</v>
      </c>
      <c r="M425" s="127"/>
      <c r="N425" s="127"/>
      <c r="O425" s="127"/>
      <c r="P425" s="127"/>
      <c r="Q425" s="127"/>
      <c r="R425" s="127"/>
      <c r="S425" s="127"/>
      <c r="T425" s="127"/>
      <c r="U425" s="127"/>
      <c r="V425" s="127"/>
      <c r="W425" s="127"/>
      <c r="X425" s="127"/>
      <c r="Y425" s="127"/>
      <c r="Z425" s="127"/>
      <c r="AA425" s="127"/>
    </row>
    <row r="426" spans="1:27">
      <c r="A426" s="127">
        <f ca="1">IFERROR(__xludf.DUMMYFUNCTION("""COMPUTED_VALUE"""),174904221976312)</f>
        <v>174904221976312</v>
      </c>
      <c r="B426" s="127" t="str">
        <f ca="1">IFERROR(__xludf.DUMMYFUNCTION("""COMPUTED_VALUE"""),"120232922135270694")</f>
        <v>120232922135270694</v>
      </c>
      <c r="C426" s="127" t="str">
        <f ca="1">IFERROR(__xludf.DUMMYFUNCTION("""COMPUTED_VALUE"""),"Wiraloka Tour")</f>
        <v>Wiraloka Tour</v>
      </c>
      <c r="D426" s="138" t="str">
        <f ca="1">IFERROR(__xludf.DUMMYFUNCTION("""COMPUTED_VALUE"""),"https://wa.me/6282241290026")</f>
        <v>https://wa.me/6282241290026</v>
      </c>
      <c r="E426" s="139" t="str">
        <f ca="1">IFERROR(__xludf.DUMMYFUNCTION("""COMPUTED_VALUE"""),"6282241290026")</f>
        <v>6282241290026</v>
      </c>
      <c r="F426" s="139">
        <f ca="1">IFERROR(__xludf.DUMMYFUNCTION("""COMPUTED_VALUE"""),642)</f>
        <v>642</v>
      </c>
      <c r="G426" s="139">
        <f ca="1">IFERROR(__xludf.DUMMYFUNCTION("""COMPUTED_VALUE"""),36255.5)</f>
        <v>36255.5</v>
      </c>
      <c r="H426" s="139">
        <f ca="1">IFERROR(__xludf.DUMMYFUNCTION("""COMPUTED_VALUE"""),4)</f>
        <v>4</v>
      </c>
      <c r="I426" s="140">
        <f ca="1">IFERROR(__xludf.DUMMYFUNCTION("""COMPUTED_VALUE"""),26007)</f>
        <v>26007</v>
      </c>
      <c r="J426" s="141">
        <f ca="1">IFERROR(__xludf.DUMMYFUNCTION("""COMPUTED_VALUE"""),6501.75)</f>
        <v>6501.75</v>
      </c>
      <c r="K426" s="142">
        <f ca="1">IFERROR(__xludf.DUMMYFUNCTION("""COMPUTED_VALUE"""),1.7338)</f>
        <v>1.7338</v>
      </c>
      <c r="L426" s="143" t="str">
        <f ca="1"/>
        <v>Wiris Variasi</v>
      </c>
      <c r="M426" s="127"/>
      <c r="N426" s="127"/>
      <c r="O426" s="127"/>
      <c r="P426" s="127"/>
      <c r="Q426" s="127"/>
      <c r="R426" s="127"/>
      <c r="S426" s="127"/>
      <c r="T426" s="127"/>
      <c r="U426" s="127"/>
      <c r="V426" s="127"/>
      <c r="W426" s="127"/>
      <c r="X426" s="127"/>
      <c r="Y426" s="127"/>
      <c r="Z426" s="127"/>
      <c r="AA426" s="127"/>
    </row>
    <row r="427" spans="1:27">
      <c r="A427" s="127">
        <f ca="1">IFERROR(__xludf.DUMMYFUNCTION("""COMPUTED_VALUE"""),174904221976312)</f>
        <v>174904221976312</v>
      </c>
      <c r="B427" s="127" t="str">
        <f ca="1">IFERROR(__xludf.DUMMYFUNCTION("""COMPUTED_VALUE"""),"120232922156320694")</f>
        <v>120232922156320694</v>
      </c>
      <c r="C427" s="127" t="str">
        <f ca="1">IFERROR(__xludf.DUMMYFUNCTION("""COMPUTED_VALUE"""),"Sewa Hiace")</f>
        <v>Sewa Hiace</v>
      </c>
      <c r="D427" s="138" t="str">
        <f ca="1">IFERROR(__xludf.DUMMYFUNCTION("""COMPUTED_VALUE"""),"https://wa.me/628179231111")</f>
        <v>https://wa.me/628179231111</v>
      </c>
      <c r="E427" s="139" t="str">
        <f ca="1">IFERROR(__xludf.DUMMYFUNCTION("""COMPUTED_VALUE"""),"628179231111")</f>
        <v>628179231111</v>
      </c>
      <c r="F427" s="139">
        <f ca="1">IFERROR(__xludf.DUMMYFUNCTION("""COMPUTED_VALUE"""),429)</f>
        <v>429</v>
      </c>
      <c r="G427" s="139">
        <f ca="1">IFERROR(__xludf.DUMMYFUNCTION("""COMPUTED_VALUE"""),62454)</f>
        <v>62454</v>
      </c>
      <c r="H427" s="139">
        <f ca="1">IFERROR(__xludf.DUMMYFUNCTION("""COMPUTED_VALUE"""),0)</f>
        <v>0</v>
      </c>
      <c r="I427" s="140">
        <f ca="1">IFERROR(__xludf.DUMMYFUNCTION("""COMPUTED_VALUE"""),27654)</f>
        <v>27654</v>
      </c>
      <c r="J427" s="141"/>
      <c r="K427" s="142">
        <f ca="1">IFERROR(__xludf.DUMMYFUNCTION("""COMPUTED_VALUE"""),1.8436)</f>
        <v>1.8435999999999999</v>
      </c>
      <c r="L427" s="143" t="str">
        <f ca="1"/>
        <v>Wiris Variasi</v>
      </c>
      <c r="M427" s="127"/>
      <c r="N427" s="127"/>
      <c r="O427" s="127"/>
      <c r="P427" s="127"/>
      <c r="Q427" s="127"/>
      <c r="R427" s="127"/>
      <c r="S427" s="127"/>
      <c r="T427" s="127"/>
      <c r="U427" s="127"/>
      <c r="V427" s="127"/>
      <c r="W427" s="127"/>
      <c r="X427" s="127"/>
      <c r="Y427" s="127"/>
      <c r="Z427" s="127"/>
      <c r="AA427" s="127"/>
    </row>
    <row r="428" spans="1:27">
      <c r="A428" s="127">
        <f ca="1">IFERROR(__xludf.DUMMYFUNCTION("""COMPUTED_VALUE"""),174904221976312)</f>
        <v>174904221976312</v>
      </c>
      <c r="B428" s="127" t="str">
        <f ca="1">IFERROR(__xludf.DUMMYFUNCTION("""COMPUTED_VALUE"""),"120232988080700694")</f>
        <v>120232988080700694</v>
      </c>
      <c r="C428" s="127" t="str">
        <f ca="1">IFERROR(__xludf.DUMMYFUNCTION("""COMPUTED_VALUE"""),"Putra Teknisi")</f>
        <v>Putra Teknisi</v>
      </c>
      <c r="D428" s="138" t="str">
        <f ca="1">IFERROR(__xludf.DUMMYFUNCTION("""COMPUTED_VALUE"""),"https://wa.me/6283196194949")</f>
        <v>https://wa.me/6283196194949</v>
      </c>
      <c r="E428" s="139" t="str">
        <f ca="1">IFERROR(__xludf.DUMMYFUNCTION("""COMPUTED_VALUE"""),"6283196194949")</f>
        <v>6283196194949</v>
      </c>
      <c r="F428" s="139">
        <f ca="1">IFERROR(__xludf.DUMMYFUNCTION("""COMPUTED_VALUE"""),423)</f>
        <v>423</v>
      </c>
      <c r="G428" s="139">
        <f ca="1">IFERROR(__xludf.DUMMYFUNCTION("""COMPUTED_VALUE"""),24768)</f>
        <v>24768</v>
      </c>
      <c r="H428" s="139">
        <f ca="1">IFERROR(__xludf.DUMMYFUNCTION("""COMPUTED_VALUE"""),2)</f>
        <v>2</v>
      </c>
      <c r="I428" s="140">
        <f ca="1">IFERROR(__xludf.DUMMYFUNCTION("""COMPUTED_VALUE"""),11963)</f>
        <v>11963</v>
      </c>
      <c r="J428" s="141">
        <f ca="1">IFERROR(__xludf.DUMMYFUNCTION("""COMPUTED_VALUE"""),5981.5)</f>
        <v>5981.5</v>
      </c>
      <c r="K428" s="142">
        <f ca="1">IFERROR(__xludf.DUMMYFUNCTION("""COMPUTED_VALUE"""),0.797533333333333)</f>
        <v>0.79753333333333298</v>
      </c>
      <c r="L428" s="143" t="str">
        <f ca="1"/>
        <v>Wiris Variasi</v>
      </c>
      <c r="M428" s="127"/>
      <c r="N428" s="127"/>
      <c r="O428" s="127"/>
      <c r="P428" s="127"/>
      <c r="Q428" s="127"/>
      <c r="R428" s="127"/>
      <c r="S428" s="127"/>
      <c r="T428" s="127"/>
      <c r="U428" s="127"/>
      <c r="V428" s="127"/>
      <c r="W428" s="127"/>
      <c r="X428" s="127"/>
      <c r="Y428" s="127"/>
      <c r="Z428" s="127"/>
      <c r="AA428" s="127"/>
    </row>
    <row r="429" spans="1:27">
      <c r="A429" s="127">
        <f ca="1">IFERROR(__xludf.DUMMYFUNCTION("""COMPUTED_VALUE"""),206726568613432)</f>
        <v>206726568613432</v>
      </c>
      <c r="B429" s="127" t="str">
        <f ca="1">IFERROR(__xludf.DUMMYFUNCTION("""COMPUTED_VALUE"""),"120220128857930554")</f>
        <v>120220128857930554</v>
      </c>
      <c r="C429" s="127" t="str">
        <f ca="1">IFERROR(__xludf.DUMMYFUNCTION("""COMPUTED_VALUE"""),"AndikaJaya")</f>
        <v>AndikaJaya</v>
      </c>
      <c r="D429" s="138" t="str">
        <f ca="1">IFERROR(__xludf.DUMMYFUNCTION("""COMPUTED_VALUE"""),"https://wa.me/6282194694492")</f>
        <v>https://wa.me/6282194694492</v>
      </c>
      <c r="E429" s="139" t="str">
        <f ca="1">IFERROR(__xludf.DUMMYFUNCTION("""COMPUTED_VALUE"""),"6282194694492")</f>
        <v>6282194694492</v>
      </c>
      <c r="F429" s="139">
        <f ca="1">IFERROR(__xludf.DUMMYFUNCTION("""COMPUTED_VALUE"""),3223)</f>
        <v>3223</v>
      </c>
      <c r="G429" s="139">
        <f ca="1">IFERROR(__xludf.DUMMYFUNCTION("""COMPUTED_VALUE"""),18674.4)</f>
        <v>18674.400000000001</v>
      </c>
      <c r="H429" s="139">
        <f ca="1">IFERROR(__xludf.DUMMYFUNCTION("""COMPUTED_VALUE"""),33)</f>
        <v>33</v>
      </c>
      <c r="I429" s="140">
        <f ca="1">IFERROR(__xludf.DUMMYFUNCTION("""COMPUTED_VALUE"""),66863)</f>
        <v>66863</v>
      </c>
      <c r="J429" s="141">
        <f ca="1">IFERROR(__xludf.DUMMYFUNCTION("""COMPUTED_VALUE"""),2026.15151515151)</f>
        <v>2026.15151515151</v>
      </c>
      <c r="K429" s="142">
        <f ca="1">IFERROR(__xludf.DUMMYFUNCTION("""COMPUTED_VALUE"""),4.45753333333333)</f>
        <v>4.4575333333333296</v>
      </c>
      <c r="L429" s="143" t="str">
        <f ca="1"/>
        <v>Wiris Variasi</v>
      </c>
      <c r="M429" s="127"/>
      <c r="N429" s="127"/>
      <c r="O429" s="127"/>
      <c r="P429" s="127"/>
      <c r="Q429" s="127"/>
      <c r="R429" s="127"/>
      <c r="S429" s="127"/>
      <c r="T429" s="127"/>
      <c r="U429" s="127"/>
      <c r="V429" s="127"/>
      <c r="W429" s="127"/>
      <c r="X429" s="127"/>
      <c r="Y429" s="127"/>
      <c r="Z429" s="127"/>
      <c r="AA429" s="127"/>
    </row>
    <row r="430" spans="1:27">
      <c r="A430" s="127">
        <f ca="1">IFERROR(__xludf.DUMMYFUNCTION("""COMPUTED_VALUE"""),206726568613432)</f>
        <v>206726568613432</v>
      </c>
      <c r="B430" s="127" t="str">
        <f ca="1">IFERROR(__xludf.DUMMYFUNCTION("""COMPUTED_VALUE"""),"120227805827950554")</f>
        <v>120227805827950554</v>
      </c>
      <c r="C430" s="127" t="str">
        <f ca="1">IFERROR(__xludf.DUMMYFUNCTION("""COMPUTED_VALUE"""),"Putra Bakti")</f>
        <v>Putra Bakti</v>
      </c>
      <c r="D430" s="138" t="str">
        <f ca="1">IFERROR(__xludf.DUMMYFUNCTION("""COMPUTED_VALUE"""),"https://wa.me/6285668750416")</f>
        <v>https://wa.me/6285668750416</v>
      </c>
      <c r="E430" s="139" t="str">
        <f ca="1">IFERROR(__xludf.DUMMYFUNCTION("""COMPUTED_VALUE"""),"6285668750416")</f>
        <v>6285668750416</v>
      </c>
      <c r="F430" s="139">
        <f ca="1">IFERROR(__xludf.DUMMYFUNCTION("""COMPUTED_VALUE"""),12176)</f>
        <v>12176</v>
      </c>
      <c r="G430" s="139">
        <f ca="1">IFERROR(__xludf.DUMMYFUNCTION("""COMPUTED_VALUE"""),10134.1818181818)</f>
        <v>10134.1818181818</v>
      </c>
      <c r="H430" s="139">
        <f ca="1">IFERROR(__xludf.DUMMYFUNCTION("""COMPUTED_VALUE"""),51)</f>
        <v>51</v>
      </c>
      <c r="I430" s="140">
        <f ca="1">IFERROR(__xludf.DUMMYFUNCTION("""COMPUTED_VALUE"""),135975)</f>
        <v>135975</v>
      </c>
      <c r="J430" s="141">
        <f ca="1">IFERROR(__xludf.DUMMYFUNCTION("""COMPUTED_VALUE"""),2666.17647058823)</f>
        <v>2666.1764705882301</v>
      </c>
      <c r="K430" s="142">
        <f ca="1">IFERROR(__xludf.DUMMYFUNCTION("""COMPUTED_VALUE"""),9.065)</f>
        <v>9.0649999999999995</v>
      </c>
      <c r="L430" s="143" t="str">
        <f ca="1"/>
        <v>Wiris Variasi</v>
      </c>
      <c r="M430" s="127"/>
      <c r="N430" s="127"/>
      <c r="O430" s="127"/>
      <c r="P430" s="127"/>
      <c r="Q430" s="127"/>
      <c r="R430" s="127"/>
      <c r="S430" s="127"/>
      <c r="T430" s="127"/>
      <c r="U430" s="127"/>
      <c r="V430" s="127"/>
      <c r="W430" s="127"/>
      <c r="X430" s="127"/>
      <c r="Y430" s="127"/>
      <c r="Z430" s="127"/>
      <c r="AA430" s="127"/>
    </row>
    <row r="431" spans="1:27">
      <c r="A431" s="127">
        <f ca="1">IFERROR(__xludf.DUMMYFUNCTION("""COMPUTED_VALUE"""),206726568613432)</f>
        <v>206726568613432</v>
      </c>
      <c r="B431" s="127" t="str">
        <f ca="1">IFERROR(__xludf.DUMMYFUNCTION("""COMPUTED_VALUE"""),"120227919393880554")</f>
        <v>120227919393880554</v>
      </c>
      <c r="C431" s="127" t="str">
        <f ca="1">IFERROR(__xludf.DUMMYFUNCTION("""COMPUTED_VALUE"""),"AndikaJaya")</f>
        <v>AndikaJaya</v>
      </c>
      <c r="D431" s="138" t="str">
        <f ca="1">IFERROR(__xludf.DUMMYFUNCTION("""COMPUTED_VALUE"""),"https://wa.me/6282194694492")</f>
        <v>https://wa.me/6282194694492</v>
      </c>
      <c r="E431" s="139" t="str">
        <f ca="1">IFERROR(__xludf.DUMMYFUNCTION("""COMPUTED_VALUE"""),"6282194694492")</f>
        <v>6282194694492</v>
      </c>
      <c r="F431" s="139">
        <f ca="1">IFERROR(__xludf.DUMMYFUNCTION("""COMPUTED_VALUE"""),5214)</f>
        <v>5214</v>
      </c>
      <c r="G431" s="139">
        <f ca="1">IFERROR(__xludf.DUMMYFUNCTION("""COMPUTED_VALUE"""),23271.5555555555)</f>
        <v>23271.5555555555</v>
      </c>
      <c r="H431" s="139">
        <f ca="1">IFERROR(__xludf.DUMMYFUNCTION("""COMPUTED_VALUE"""),38)</f>
        <v>38</v>
      </c>
      <c r="I431" s="140">
        <f ca="1">IFERROR(__xludf.DUMMYFUNCTION("""COMPUTED_VALUE"""),134644)</f>
        <v>134644</v>
      </c>
      <c r="J431" s="141">
        <f ca="1">IFERROR(__xludf.DUMMYFUNCTION("""COMPUTED_VALUE"""),3543.26315789473)</f>
        <v>3543.2631578947298</v>
      </c>
      <c r="K431" s="142">
        <f ca="1">IFERROR(__xludf.DUMMYFUNCTION("""COMPUTED_VALUE"""),8.97626666666666)</f>
        <v>8.9762666666666604</v>
      </c>
      <c r="L431" s="143" t="str">
        <f ca="1"/>
        <v>Wiris Variasi</v>
      </c>
      <c r="M431" s="127"/>
      <c r="N431" s="127"/>
      <c r="O431" s="127"/>
      <c r="P431" s="127"/>
      <c r="Q431" s="127"/>
      <c r="R431" s="127"/>
      <c r="S431" s="127"/>
      <c r="T431" s="127"/>
      <c r="U431" s="127"/>
      <c r="V431" s="127"/>
      <c r="W431" s="127"/>
      <c r="X431" s="127"/>
      <c r="Y431" s="127"/>
      <c r="Z431" s="127"/>
      <c r="AA431" s="127"/>
    </row>
    <row r="432" spans="1:27">
      <c r="A432" s="127">
        <f ca="1">IFERROR(__xludf.DUMMYFUNCTION("""COMPUTED_VALUE"""),759724529202804)</f>
        <v>759724529202804</v>
      </c>
      <c r="B432" s="127" t="str">
        <f ca="1">IFERROR(__xludf.DUMMYFUNCTION("""COMPUTED_VALUE"""),"120227215523910200")</f>
        <v>120227215523910200</v>
      </c>
      <c r="C432" s="127" t="str">
        <f ca="1">IFERROR(__xludf.DUMMYFUNCTION("""COMPUTED_VALUE"""),"zL beauty homecare")</f>
        <v>zL beauty homecare</v>
      </c>
      <c r="D432" s="138" t="str">
        <f ca="1">IFERROR(__xludf.DUMMYFUNCTION("""COMPUTED_VALUE"""),"https://wa.me/6281549409606")</f>
        <v>https://wa.me/6281549409606</v>
      </c>
      <c r="E432" s="139" t="str">
        <f ca="1">IFERROR(__xludf.DUMMYFUNCTION("""COMPUTED_VALUE"""),"6281549409606")</f>
        <v>6281549409606</v>
      </c>
      <c r="F432" s="139">
        <f ca="1">IFERROR(__xludf.DUMMYFUNCTION("""COMPUTED_VALUE"""),2649)</f>
        <v>2649</v>
      </c>
      <c r="G432" s="139">
        <f ca="1">IFERROR(__xludf.DUMMYFUNCTION("""COMPUTED_VALUE"""),19862)</f>
        <v>19862</v>
      </c>
      <c r="H432" s="139">
        <f ca="1">IFERROR(__xludf.DUMMYFUNCTION("""COMPUTED_VALUE"""),6)</f>
        <v>6</v>
      </c>
      <c r="I432" s="140">
        <f ca="1">IFERROR(__xludf.DUMMYFUNCTION("""COMPUTED_VALUE"""),54760)</f>
        <v>54760</v>
      </c>
      <c r="J432" s="141">
        <f ca="1">IFERROR(__xludf.DUMMYFUNCTION("""COMPUTED_VALUE"""),9126.66666666666)</f>
        <v>9126.6666666666606</v>
      </c>
      <c r="K432" s="142">
        <f ca="1">IFERROR(__xludf.DUMMYFUNCTION("""COMPUTED_VALUE"""),3.65066666666666)</f>
        <v>3.6506666666666598</v>
      </c>
      <c r="L432" s="143" t="str">
        <f ca="1"/>
        <v>Wiris Variasi</v>
      </c>
      <c r="M432" s="127"/>
      <c r="N432" s="127"/>
      <c r="O432" s="127"/>
      <c r="P432" s="127"/>
      <c r="Q432" s="127"/>
      <c r="R432" s="127"/>
      <c r="S432" s="127"/>
      <c r="T432" s="127"/>
      <c r="U432" s="127"/>
      <c r="V432" s="127"/>
      <c r="W432" s="127"/>
      <c r="X432" s="127"/>
      <c r="Y432" s="127"/>
      <c r="Z432" s="127"/>
      <c r="AA432" s="127"/>
    </row>
    <row r="433" spans="1:27">
      <c r="A433" s="127">
        <f ca="1">IFERROR(__xludf.DUMMYFUNCTION("""COMPUTED_VALUE"""),759724529202804)</f>
        <v>759724529202804</v>
      </c>
      <c r="B433" s="127" t="str">
        <f ca="1">IFERROR(__xludf.DUMMYFUNCTION("""COMPUTED_VALUE"""),"120227217218600200")</f>
        <v>120227217218600200</v>
      </c>
      <c r="C433" s="127" t="str">
        <f ca="1">IFERROR(__xludf.DUMMYFUNCTION("""COMPUTED_VALUE"""),"Eny Laundry karpet &amp; Pakaian")</f>
        <v>Eny Laundry karpet &amp; Pakaian</v>
      </c>
      <c r="D433" s="138" t="str">
        <f ca="1">IFERROR(__xludf.DUMMYFUNCTION("""COMPUTED_VALUE"""),"https://wa.me/6283129638348")</f>
        <v>https://wa.me/6283129638348</v>
      </c>
      <c r="E433" s="139" t="str">
        <f ca="1">IFERROR(__xludf.DUMMYFUNCTION("""COMPUTED_VALUE"""),"6283129638348")</f>
        <v>6283129638348</v>
      </c>
      <c r="F433" s="139">
        <f ca="1">IFERROR(__xludf.DUMMYFUNCTION("""COMPUTED_VALUE"""),3896)</f>
        <v>3896</v>
      </c>
      <c r="G433" s="139">
        <f ca="1">IFERROR(__xludf.DUMMYFUNCTION("""COMPUTED_VALUE"""),10389.5)</f>
        <v>10389.5</v>
      </c>
      <c r="H433" s="139">
        <f ca="1">IFERROR(__xludf.DUMMYFUNCTION("""COMPUTED_VALUE"""),3)</f>
        <v>3</v>
      </c>
      <c r="I433" s="140">
        <f ca="1">IFERROR(__xludf.DUMMYFUNCTION("""COMPUTED_VALUE"""),41950)</f>
        <v>41950</v>
      </c>
      <c r="J433" s="141">
        <f ca="1">IFERROR(__xludf.DUMMYFUNCTION("""COMPUTED_VALUE"""),13983.3333333333)</f>
        <v>13983.333333333299</v>
      </c>
      <c r="K433" s="142">
        <f ca="1">IFERROR(__xludf.DUMMYFUNCTION("""COMPUTED_VALUE"""),2.79666666666666)</f>
        <v>2.7966666666666602</v>
      </c>
      <c r="L433" s="143" t="str">
        <f ca="1"/>
        <v>Wiris Variasi</v>
      </c>
      <c r="M433" s="127"/>
      <c r="N433" s="127"/>
      <c r="O433" s="127"/>
      <c r="P433" s="127"/>
      <c r="Q433" s="127"/>
      <c r="R433" s="127"/>
      <c r="S433" s="127"/>
      <c r="T433" s="127"/>
      <c r="U433" s="127"/>
      <c r="V433" s="127"/>
      <c r="W433" s="127"/>
      <c r="X433" s="127"/>
      <c r="Y433" s="127"/>
      <c r="Z433" s="127"/>
      <c r="AA433" s="127"/>
    </row>
    <row r="434" spans="1:27">
      <c r="A434" s="127">
        <f ca="1">IFERROR(__xludf.DUMMYFUNCTION("""COMPUTED_VALUE"""),759724529202804)</f>
        <v>759724529202804</v>
      </c>
      <c r="B434" s="127" t="str">
        <f ca="1">IFERROR(__xludf.DUMMYFUNCTION("""COMPUTED_VALUE"""),"120227218075240200")</f>
        <v>120227218075240200</v>
      </c>
      <c r="C434" s="127" t="str">
        <f ca="1">IFERROR(__xludf.DUMMYFUNCTION("""COMPUTED_VALUE"""),"AJP.ADI JAYA PLAFON")</f>
        <v>AJP.ADI JAYA PLAFON</v>
      </c>
      <c r="D434" s="139"/>
      <c r="E434" s="139"/>
      <c r="F434" s="139">
        <f ca="1">IFERROR(__xludf.DUMMYFUNCTION("""COMPUTED_VALUE"""),2695)</f>
        <v>2695</v>
      </c>
      <c r="G434" s="139">
        <f ca="1">IFERROR(__xludf.DUMMYFUNCTION("""COMPUTED_VALUE"""),17702.2)</f>
        <v>17702.2</v>
      </c>
      <c r="H434" s="139">
        <f ca="1">IFERROR(__xludf.DUMMYFUNCTION("""COMPUTED_VALUE"""),3)</f>
        <v>3</v>
      </c>
      <c r="I434" s="140">
        <f ca="1">IFERROR(__xludf.DUMMYFUNCTION("""COMPUTED_VALUE"""),58443)</f>
        <v>58443</v>
      </c>
      <c r="J434" s="141">
        <f ca="1">IFERROR(__xludf.DUMMYFUNCTION("""COMPUTED_VALUE"""),19481)</f>
        <v>19481</v>
      </c>
      <c r="K434" s="142">
        <f ca="1">IFERROR(__xludf.DUMMYFUNCTION("""COMPUTED_VALUE"""),3.8962)</f>
        <v>3.8961999999999999</v>
      </c>
      <c r="L434" s="143" t="str">
        <f ca="1"/>
        <v>Wiris Variasi</v>
      </c>
      <c r="M434" s="127"/>
      <c r="N434" s="127"/>
      <c r="O434" s="127"/>
      <c r="P434" s="127"/>
      <c r="Q434" s="127"/>
      <c r="R434" s="127"/>
      <c r="S434" s="127"/>
      <c r="T434" s="127"/>
      <c r="U434" s="127"/>
      <c r="V434" s="127"/>
      <c r="W434" s="127"/>
      <c r="X434" s="127"/>
      <c r="Y434" s="127"/>
      <c r="Z434" s="127"/>
      <c r="AA434" s="127"/>
    </row>
    <row r="435" spans="1:27">
      <c r="A435" s="127">
        <f ca="1">IFERROR(__xludf.DUMMYFUNCTION("""COMPUTED_VALUE"""),759724529202804)</f>
        <v>759724529202804</v>
      </c>
      <c r="B435" s="127" t="str">
        <f ca="1">IFERROR(__xludf.DUMMYFUNCTION("""COMPUTED_VALUE"""),"120227286789550200")</f>
        <v>120227286789550200</v>
      </c>
      <c r="C435" s="127" t="str">
        <f ca="1">IFERROR(__xludf.DUMMYFUNCTION("""COMPUTED_VALUE"""),"Eny M&amp;Y mahkota salon &amp; yara wedding")</f>
        <v>Eny M&amp;Y mahkota salon &amp; yara wedding</v>
      </c>
      <c r="D435" s="138" t="str">
        <f ca="1">IFERROR(__xludf.DUMMYFUNCTION("""COMPUTED_VALUE"""),"https://wa.me/6282159148587")</f>
        <v>https://wa.me/6282159148587</v>
      </c>
      <c r="E435" s="139" t="str">
        <f ca="1">IFERROR(__xludf.DUMMYFUNCTION("""COMPUTED_VALUE"""),"6282159148587")</f>
        <v>6282159148587</v>
      </c>
      <c r="F435" s="139">
        <f ca="1">IFERROR(__xludf.DUMMYFUNCTION("""COMPUTED_VALUE"""),2024)</f>
        <v>2024</v>
      </c>
      <c r="G435" s="139">
        <f ca="1">IFERROR(__xludf.DUMMYFUNCTION("""COMPUTED_VALUE"""),12863.5)</f>
        <v>12863.5</v>
      </c>
      <c r="H435" s="139">
        <f ca="1">IFERROR(__xludf.DUMMYFUNCTION("""COMPUTED_VALUE"""),1)</f>
        <v>1</v>
      </c>
      <c r="I435" s="140">
        <f ca="1">IFERROR(__xludf.DUMMYFUNCTION("""COMPUTED_VALUE"""),28680)</f>
        <v>28680</v>
      </c>
      <c r="J435" s="141">
        <f ca="1">IFERROR(__xludf.DUMMYFUNCTION("""COMPUTED_VALUE"""),28680)</f>
        <v>28680</v>
      </c>
      <c r="K435" s="142">
        <f ca="1">IFERROR(__xludf.DUMMYFUNCTION("""COMPUTED_VALUE"""),1.912)</f>
        <v>1.9119999999999999</v>
      </c>
      <c r="L435" s="143" t="str">
        <f ca="1"/>
        <v>Wiris Variasi</v>
      </c>
      <c r="M435" s="127"/>
      <c r="N435" s="127"/>
      <c r="O435" s="127"/>
      <c r="P435" s="127"/>
      <c r="Q435" s="127"/>
      <c r="R435" s="127"/>
      <c r="S435" s="127"/>
      <c r="T435" s="127"/>
      <c r="U435" s="127"/>
      <c r="V435" s="127"/>
      <c r="W435" s="127"/>
      <c r="X435" s="127"/>
      <c r="Y435" s="127"/>
      <c r="Z435" s="127"/>
      <c r="AA435" s="127"/>
    </row>
    <row r="436" spans="1:27">
      <c r="A436" s="127">
        <f ca="1">IFERROR(__xludf.DUMMYFUNCTION("""COMPUTED_VALUE"""),759724529202804)</f>
        <v>759724529202804</v>
      </c>
      <c r="B436" s="127" t="str">
        <f ca="1">IFERROR(__xludf.DUMMYFUNCTION("""COMPUTED_VALUE"""),"120227357012290200")</f>
        <v>120227357012290200</v>
      </c>
      <c r="C436" s="127" t="str">
        <f ca="1">IFERROR(__xludf.DUMMYFUNCTION("""COMPUTED_VALUE"""),"Devy Kikim Salon &amp; Wedding Organizer")</f>
        <v>Devy Kikim Salon &amp; Wedding Organizer</v>
      </c>
      <c r="D436" s="138" t="str">
        <f ca="1">IFERROR(__xludf.DUMMYFUNCTION("""COMPUTED_VALUE"""),"https://wa.me/6282136666049")</f>
        <v>https://wa.me/6282136666049</v>
      </c>
      <c r="E436" s="139" t="str">
        <f ca="1">IFERROR(__xludf.DUMMYFUNCTION("""COMPUTED_VALUE"""),"6282136666049")</f>
        <v>6282136666049</v>
      </c>
      <c r="F436" s="139">
        <f ca="1">IFERROR(__xludf.DUMMYFUNCTION("""COMPUTED_VALUE"""),3416)</f>
        <v>3416</v>
      </c>
      <c r="G436" s="139">
        <f ca="1">IFERROR(__xludf.DUMMYFUNCTION("""COMPUTED_VALUE"""),16210.25)</f>
        <v>16210.25</v>
      </c>
      <c r="H436" s="139">
        <f ca="1">IFERROR(__xludf.DUMMYFUNCTION("""COMPUTED_VALUE"""),12)</f>
        <v>12</v>
      </c>
      <c r="I436" s="140">
        <f ca="1">IFERROR(__xludf.DUMMYFUNCTION("""COMPUTED_VALUE"""),62920)</f>
        <v>62920</v>
      </c>
      <c r="J436" s="141">
        <f ca="1">IFERROR(__xludf.DUMMYFUNCTION("""COMPUTED_VALUE"""),5243.33333333333)</f>
        <v>5243.3333333333303</v>
      </c>
      <c r="K436" s="142">
        <f ca="1">IFERROR(__xludf.DUMMYFUNCTION("""COMPUTED_VALUE"""),4.19466666666666)</f>
        <v>4.1946666666666603</v>
      </c>
      <c r="L436" s="143" t="str">
        <f ca="1"/>
        <v>Wiris Variasi</v>
      </c>
      <c r="M436" s="127"/>
      <c r="N436" s="127"/>
      <c r="O436" s="127"/>
      <c r="P436" s="127"/>
      <c r="Q436" s="127"/>
      <c r="R436" s="127"/>
      <c r="S436" s="127"/>
      <c r="T436" s="127"/>
      <c r="U436" s="127"/>
      <c r="V436" s="127"/>
      <c r="W436" s="127"/>
      <c r="X436" s="127"/>
      <c r="Y436" s="127"/>
      <c r="Z436" s="127"/>
      <c r="AA436" s="127"/>
    </row>
    <row r="437" spans="1:27">
      <c r="A437" s="127">
        <f ca="1">IFERROR(__xludf.DUMMYFUNCTION("""COMPUTED_VALUE"""),759724529202804)</f>
        <v>759724529202804</v>
      </c>
      <c r="B437" s="127" t="str">
        <f ca="1">IFERROR(__xludf.DUMMYFUNCTION("""COMPUTED_VALUE"""),"120227358608350200")</f>
        <v>120227358608350200</v>
      </c>
      <c r="C437" s="127" t="str">
        <f ca="1">IFERROR(__xludf.DUMMYFUNCTION("""COMPUTED_VALUE"""),"Artha Jaya")</f>
        <v>Artha Jaya</v>
      </c>
      <c r="D437" s="138" t="str">
        <f ca="1">IFERROR(__xludf.DUMMYFUNCTION("""COMPUTED_VALUE"""),"https://wa.me/6285757057088")</f>
        <v>https://wa.me/6285757057088</v>
      </c>
      <c r="E437" s="139" t="str">
        <f ca="1">IFERROR(__xludf.DUMMYFUNCTION("""COMPUTED_VALUE"""),"6285757057088")</f>
        <v>6285757057088</v>
      </c>
      <c r="F437" s="139">
        <f ca="1">IFERROR(__xludf.DUMMYFUNCTION("""COMPUTED_VALUE"""),27261)</f>
        <v>27261</v>
      </c>
      <c r="G437" s="139">
        <f ca="1">IFERROR(__xludf.DUMMYFUNCTION("""COMPUTED_VALUE"""),16244.9166666666)</f>
        <v>16244.916666666601</v>
      </c>
      <c r="H437" s="139">
        <f ca="1">IFERROR(__xludf.DUMMYFUNCTION("""COMPUTED_VALUE"""),38)</f>
        <v>38</v>
      </c>
      <c r="I437" s="140">
        <f ca="1">IFERROR(__xludf.DUMMYFUNCTION("""COMPUTED_VALUE"""),539782)</f>
        <v>539782</v>
      </c>
      <c r="J437" s="141">
        <f ca="1">IFERROR(__xludf.DUMMYFUNCTION("""COMPUTED_VALUE"""),14204.7894736842)</f>
        <v>14204.789473684201</v>
      </c>
      <c r="K437" s="142">
        <f ca="1">IFERROR(__xludf.DUMMYFUNCTION("""COMPUTED_VALUE"""),35.9854666666666)</f>
        <v>35.985466666666603</v>
      </c>
      <c r="L437" s="143" t="str">
        <f ca="1"/>
        <v>Wiris Variasi</v>
      </c>
      <c r="M437" s="127"/>
      <c r="N437" s="127"/>
      <c r="O437" s="127"/>
      <c r="P437" s="127"/>
      <c r="Q437" s="127"/>
      <c r="R437" s="127"/>
      <c r="S437" s="127"/>
      <c r="T437" s="127"/>
      <c r="U437" s="127"/>
      <c r="V437" s="127"/>
      <c r="W437" s="127"/>
      <c r="X437" s="127"/>
      <c r="Y437" s="127"/>
      <c r="Z437" s="127"/>
      <c r="AA437" s="127"/>
    </row>
    <row r="438" spans="1:27">
      <c r="A438" s="127">
        <f ca="1">IFERROR(__xludf.DUMMYFUNCTION("""COMPUTED_VALUE"""),759724529202804)</f>
        <v>759724529202804</v>
      </c>
      <c r="B438" s="127" t="str">
        <f ca="1">IFERROR(__xludf.DUMMYFUNCTION("""COMPUTED_VALUE"""),"120227397964810200")</f>
        <v>120227397964810200</v>
      </c>
      <c r="C438" s="127" t="str">
        <f ca="1">IFERROR(__xludf.DUMMYFUNCTION("""COMPUTED_VALUE"""),"Neng Ay salon")</f>
        <v>Neng Ay salon</v>
      </c>
      <c r="D438" s="138" t="str">
        <f ca="1">IFERROR(__xludf.DUMMYFUNCTION("""COMPUTED_VALUE"""),"https://wa.me/6282154483973")</f>
        <v>https://wa.me/6282154483973</v>
      </c>
      <c r="E438" s="139" t="str">
        <f ca="1">IFERROR(__xludf.DUMMYFUNCTION("""COMPUTED_VALUE"""),"6282154483973")</f>
        <v>6282154483973</v>
      </c>
      <c r="F438" s="139">
        <f ca="1">IFERROR(__xludf.DUMMYFUNCTION("""COMPUTED_VALUE"""),14016)</f>
        <v>14016</v>
      </c>
      <c r="G438" s="139">
        <f ca="1">IFERROR(__xludf.DUMMYFUNCTION("""COMPUTED_VALUE"""),8061.9)</f>
        <v>8061.9</v>
      </c>
      <c r="H438" s="139">
        <f ca="1">IFERROR(__xludf.DUMMYFUNCTION("""COMPUTED_VALUE"""),23)</f>
        <v>23</v>
      </c>
      <c r="I438" s="140">
        <f ca="1">IFERROR(__xludf.DUMMYFUNCTION("""COMPUTED_VALUE"""),142195)</f>
        <v>142195</v>
      </c>
      <c r="J438" s="141">
        <f ca="1">IFERROR(__xludf.DUMMYFUNCTION("""COMPUTED_VALUE"""),6182.39130434782)</f>
        <v>6182.3913043478196</v>
      </c>
      <c r="K438" s="142">
        <f ca="1">IFERROR(__xludf.DUMMYFUNCTION("""COMPUTED_VALUE"""),9.47966666666666)</f>
        <v>9.4796666666666596</v>
      </c>
      <c r="L438" s="143" t="str">
        <f ca="1"/>
        <v>Wiris Variasi</v>
      </c>
      <c r="M438" s="127"/>
      <c r="N438" s="127"/>
      <c r="O438" s="127"/>
      <c r="P438" s="127"/>
      <c r="Q438" s="127"/>
      <c r="R438" s="127"/>
      <c r="S438" s="127"/>
      <c r="T438" s="127"/>
      <c r="U438" s="127"/>
      <c r="V438" s="127"/>
      <c r="W438" s="127"/>
      <c r="X438" s="127"/>
      <c r="Y438" s="127"/>
      <c r="Z438" s="127"/>
      <c r="AA438" s="127"/>
    </row>
    <row r="439" spans="1:27">
      <c r="A439" s="127">
        <f ca="1">IFERROR(__xludf.DUMMYFUNCTION("""COMPUTED_VALUE"""),759724529202804)</f>
        <v>759724529202804</v>
      </c>
      <c r="B439" s="127" t="str">
        <f ca="1">IFERROR(__xludf.DUMMYFUNCTION("""COMPUTED_VALUE"""),"120227400653870200")</f>
        <v>120227400653870200</v>
      </c>
      <c r="C439" s="127" t="str">
        <f ca="1">IFERROR(__xludf.DUMMYFUNCTION("""COMPUTED_VALUE"""),"ISAL SALON")</f>
        <v>ISAL SALON</v>
      </c>
      <c r="D439" s="138" t="str">
        <f ca="1">IFERROR(__xludf.DUMMYFUNCTION("""COMPUTED_VALUE"""),"https://wa.me/6285240684331")</f>
        <v>https://wa.me/6285240684331</v>
      </c>
      <c r="E439" s="139" t="str">
        <f ca="1">IFERROR(__xludf.DUMMYFUNCTION("""COMPUTED_VALUE"""),"6285240684331")</f>
        <v>6285240684331</v>
      </c>
      <c r="F439" s="139">
        <f ca="1">IFERROR(__xludf.DUMMYFUNCTION("""COMPUTED_VALUE"""),5822)</f>
        <v>5822</v>
      </c>
      <c r="G439" s="139">
        <f ca="1">IFERROR(__xludf.DUMMYFUNCTION("""COMPUTED_VALUE"""),11470.8)</f>
        <v>11470.8</v>
      </c>
      <c r="H439" s="139">
        <f ca="1">IFERROR(__xludf.DUMMYFUNCTION("""COMPUTED_VALUE"""),14)</f>
        <v>14</v>
      </c>
      <c r="I439" s="140">
        <f ca="1">IFERROR(__xludf.DUMMYFUNCTION("""COMPUTED_VALUE"""),78693)</f>
        <v>78693</v>
      </c>
      <c r="J439" s="141">
        <f ca="1">IFERROR(__xludf.DUMMYFUNCTION("""COMPUTED_VALUE"""),5620.92857142857)</f>
        <v>5620.9285714285697</v>
      </c>
      <c r="K439" s="142">
        <f ca="1">IFERROR(__xludf.DUMMYFUNCTION("""COMPUTED_VALUE"""),5.2462)</f>
        <v>5.2462</v>
      </c>
      <c r="L439" s="143" t="str">
        <f ca="1"/>
        <v>Wiris Variasi</v>
      </c>
      <c r="M439" s="127"/>
      <c r="N439" s="127"/>
      <c r="O439" s="127"/>
      <c r="P439" s="127"/>
      <c r="Q439" s="127"/>
      <c r="R439" s="127"/>
      <c r="S439" s="127"/>
      <c r="T439" s="127"/>
      <c r="U439" s="127"/>
      <c r="V439" s="127"/>
      <c r="W439" s="127"/>
      <c r="X439" s="127"/>
      <c r="Y439" s="127"/>
      <c r="Z439" s="127"/>
      <c r="AA439" s="127"/>
    </row>
    <row r="440" spans="1:27">
      <c r="A440" s="127">
        <f ca="1">IFERROR(__xludf.DUMMYFUNCTION("""COMPUTED_VALUE"""),759724529202804)</f>
        <v>759724529202804</v>
      </c>
      <c r="B440" s="127" t="str">
        <f ca="1">IFERROR(__xludf.DUMMYFUNCTION("""COMPUTED_VALUE"""),"120227403909070200")</f>
        <v>120227403909070200</v>
      </c>
      <c r="C440" s="127" t="str">
        <f ca="1">IFERROR(__xludf.DUMMYFUNCTION("""COMPUTED_VALUE"""),"khairan Wedding, Hair and Beauty")</f>
        <v>khairan Wedding, Hair and Beauty</v>
      </c>
      <c r="D440" s="139"/>
      <c r="E440" s="139"/>
      <c r="F440" s="139">
        <f ca="1">IFERROR(__xludf.DUMMYFUNCTION("""COMPUTED_VALUE"""),57750)</f>
        <v>57750</v>
      </c>
      <c r="G440" s="139">
        <f ca="1">IFERROR(__xludf.DUMMYFUNCTION("""COMPUTED_VALUE"""),1272.4)</f>
        <v>1272.4000000000001</v>
      </c>
      <c r="H440" s="139">
        <f ca="1">IFERROR(__xludf.DUMMYFUNCTION("""COMPUTED_VALUE"""),0)</f>
        <v>0</v>
      </c>
      <c r="I440" s="140">
        <f ca="1">IFERROR(__xludf.DUMMYFUNCTION("""COMPUTED_VALUE"""),75220)</f>
        <v>75220</v>
      </c>
      <c r="J440" s="141"/>
      <c r="K440" s="142">
        <f ca="1">IFERROR(__xludf.DUMMYFUNCTION("""COMPUTED_VALUE"""),5.01466666666666)</f>
        <v>5.0146666666666597</v>
      </c>
      <c r="L440" s="143" t="str">
        <f ca="1"/>
        <v>Wiris Variasi</v>
      </c>
      <c r="M440" s="127"/>
      <c r="N440" s="127"/>
      <c r="O440" s="127"/>
      <c r="P440" s="127"/>
      <c r="Q440" s="127"/>
      <c r="R440" s="127"/>
      <c r="S440" s="127"/>
      <c r="T440" s="127"/>
      <c r="U440" s="127"/>
      <c r="V440" s="127"/>
      <c r="W440" s="127"/>
      <c r="X440" s="127"/>
      <c r="Y440" s="127"/>
      <c r="Z440" s="127"/>
      <c r="AA440" s="127"/>
    </row>
    <row r="441" spans="1:27">
      <c r="A441" s="127">
        <f ca="1">IFERROR(__xludf.DUMMYFUNCTION("""COMPUTED_VALUE"""),759724529202804)</f>
        <v>759724529202804</v>
      </c>
      <c r="B441" s="127" t="str">
        <f ca="1">IFERROR(__xludf.DUMMYFUNCTION("""COMPUTED_VALUE"""),"120227423725240200")</f>
        <v>120227423725240200</v>
      </c>
      <c r="C441" s="127" t="str">
        <f ca="1">IFERROR(__xludf.DUMMYFUNCTION("""COMPUTED_VALUE"""),"PT MAKMUR JAYA ZEBUA")</f>
        <v>PT MAKMUR JAYA ZEBUA</v>
      </c>
      <c r="D441" s="138" t="str">
        <f ca="1">IFERROR(__xludf.DUMMYFUNCTION("""COMPUTED_VALUE"""),"https://wa.me/6285220903499")</f>
        <v>https://wa.me/6285220903499</v>
      </c>
      <c r="E441" s="139" t="str">
        <f ca="1">IFERROR(__xludf.DUMMYFUNCTION("""COMPUTED_VALUE"""),"6285220903499")</f>
        <v>6285220903499</v>
      </c>
      <c r="F441" s="139">
        <f ca="1">IFERROR(__xludf.DUMMYFUNCTION("""COMPUTED_VALUE"""),12975)</f>
        <v>12975</v>
      </c>
      <c r="G441" s="139">
        <f ca="1">IFERROR(__xludf.DUMMYFUNCTION("""COMPUTED_VALUE"""),16706.6875)</f>
        <v>16706.6875</v>
      </c>
      <c r="H441" s="139">
        <f ca="1">IFERROR(__xludf.DUMMYFUNCTION("""COMPUTED_VALUE"""),60)</f>
        <v>60</v>
      </c>
      <c r="I441" s="140">
        <f ca="1">IFERROR(__xludf.DUMMYFUNCTION("""COMPUTED_VALUE"""),254132)</f>
        <v>254132</v>
      </c>
      <c r="J441" s="141">
        <f ca="1">IFERROR(__xludf.DUMMYFUNCTION("""COMPUTED_VALUE"""),4235.53333333333)</f>
        <v>4235.5333333333301</v>
      </c>
      <c r="K441" s="142">
        <f ca="1">IFERROR(__xludf.DUMMYFUNCTION("""COMPUTED_VALUE"""),16.9421333333333)</f>
        <v>16.942133333333299</v>
      </c>
      <c r="L441" s="143" t="str">
        <f ca="1"/>
        <v>Wiris Variasi</v>
      </c>
      <c r="M441" s="127"/>
      <c r="N441" s="127"/>
      <c r="O441" s="127"/>
      <c r="P441" s="127"/>
      <c r="Q441" s="127"/>
      <c r="R441" s="127"/>
      <c r="S441" s="127"/>
      <c r="T441" s="127"/>
      <c r="U441" s="127"/>
      <c r="V441" s="127"/>
      <c r="W441" s="127"/>
      <c r="X441" s="127"/>
      <c r="Y441" s="127"/>
      <c r="Z441" s="127"/>
      <c r="AA441" s="127"/>
    </row>
    <row r="442" spans="1:27">
      <c r="A442" s="127">
        <f ca="1">IFERROR(__xludf.DUMMYFUNCTION("""COMPUTED_VALUE"""),759724529202804)</f>
        <v>759724529202804</v>
      </c>
      <c r="B442" s="127" t="str">
        <f ca="1">IFERROR(__xludf.DUMMYFUNCTION("""COMPUTED_VALUE"""),"120227429269270200")</f>
        <v>120227429269270200</v>
      </c>
      <c r="C442" s="127" t="str">
        <f ca="1">IFERROR(__xludf.DUMMYFUNCTION("""COMPUTED_VALUE"""),"Nyaraa Salon")</f>
        <v>Nyaraa Salon</v>
      </c>
      <c r="D442" s="138" t="str">
        <f ca="1">IFERROR(__xludf.DUMMYFUNCTION("""COMPUTED_VALUE"""),"https://wa.me/6282348365032")</f>
        <v>https://wa.me/6282348365032</v>
      </c>
      <c r="E442" s="139" t="str">
        <f ca="1">IFERROR(__xludf.DUMMYFUNCTION("""COMPUTED_VALUE"""),"6282348365032")</f>
        <v>6282348365032</v>
      </c>
      <c r="F442" s="139">
        <f ca="1">IFERROR(__xludf.DUMMYFUNCTION("""COMPUTED_VALUE"""),3247)</f>
        <v>3247</v>
      </c>
      <c r="G442" s="139">
        <f ca="1">IFERROR(__xludf.DUMMYFUNCTION("""COMPUTED_VALUE"""),14897.3333333333)</f>
        <v>14897.333333333299</v>
      </c>
      <c r="H442" s="139">
        <f ca="1">IFERROR(__xludf.DUMMYFUNCTION("""COMPUTED_VALUE"""),8)</f>
        <v>8</v>
      </c>
      <c r="I442" s="140">
        <f ca="1">IFERROR(__xludf.DUMMYFUNCTION("""COMPUTED_VALUE"""),64838)</f>
        <v>64838</v>
      </c>
      <c r="J442" s="141">
        <f ca="1">IFERROR(__xludf.DUMMYFUNCTION("""COMPUTED_VALUE"""),8104.75)</f>
        <v>8104.75</v>
      </c>
      <c r="K442" s="142">
        <f ca="1">IFERROR(__xludf.DUMMYFUNCTION("""COMPUTED_VALUE"""),4.32253333333333)</f>
        <v>4.3225333333333298</v>
      </c>
      <c r="L442" s="143" t="str">
        <f ca="1"/>
        <v>Wiris Variasi</v>
      </c>
      <c r="M442" s="127"/>
      <c r="N442" s="127"/>
      <c r="O442" s="127"/>
      <c r="P442" s="127"/>
      <c r="Q442" s="127"/>
      <c r="R442" s="127"/>
      <c r="S442" s="127"/>
      <c r="T442" s="127"/>
      <c r="U442" s="127"/>
      <c r="V442" s="127"/>
      <c r="W442" s="127"/>
      <c r="X442" s="127"/>
      <c r="Y442" s="127"/>
      <c r="Z442" s="127"/>
      <c r="AA442" s="127"/>
    </row>
    <row r="443" spans="1:27">
      <c r="A443" s="127">
        <f ca="1">IFERROR(__xludf.DUMMYFUNCTION("""COMPUTED_VALUE"""),759724529202804)</f>
        <v>759724529202804</v>
      </c>
      <c r="B443" s="127" t="str">
        <f ca="1">IFERROR(__xludf.DUMMYFUNCTION("""COMPUTED_VALUE"""),"120227432781140200")</f>
        <v>120227432781140200</v>
      </c>
      <c r="C443" s="127" t="str">
        <f ca="1">IFERROR(__xludf.DUMMYFUNCTION("""COMPUTED_VALUE"""),"PUTRA MANDIRI HARMONIKA")</f>
        <v>PUTRA MANDIRI HARMONIKA</v>
      </c>
      <c r="D443" s="138" t="str">
        <f ca="1">IFERROR(__xludf.DUMMYFUNCTION("""COMPUTED_VALUE"""),"https://wa.me/6281331854948")</f>
        <v>https://wa.me/6281331854948</v>
      </c>
      <c r="E443" s="139" t="str">
        <f ca="1">IFERROR(__xludf.DUMMYFUNCTION("""COMPUTED_VALUE"""),"6281331854948")</f>
        <v>6281331854948</v>
      </c>
      <c r="F443" s="139">
        <f ca="1">IFERROR(__xludf.DUMMYFUNCTION("""COMPUTED_VALUE"""),7550)</f>
        <v>7550</v>
      </c>
      <c r="G443" s="139">
        <f ca="1">IFERROR(__xludf.DUMMYFUNCTION("""COMPUTED_VALUE"""),14689.0909090909)</f>
        <v>14689.090909090901</v>
      </c>
      <c r="H443" s="139">
        <f ca="1">IFERROR(__xludf.DUMMYFUNCTION("""COMPUTED_VALUE"""),19)</f>
        <v>19</v>
      </c>
      <c r="I443" s="140">
        <f ca="1">IFERROR(__xludf.DUMMYFUNCTION("""COMPUTED_VALUE"""),136773)</f>
        <v>136773</v>
      </c>
      <c r="J443" s="141">
        <f ca="1">IFERROR(__xludf.DUMMYFUNCTION("""COMPUTED_VALUE"""),7198.57894736842)</f>
        <v>7198.5789473684199</v>
      </c>
      <c r="K443" s="142">
        <f ca="1">IFERROR(__xludf.DUMMYFUNCTION("""COMPUTED_VALUE"""),9.1182)</f>
        <v>9.1181999999999999</v>
      </c>
      <c r="L443" s="143" t="str">
        <f ca="1"/>
        <v>Wiris Variasi</v>
      </c>
      <c r="M443" s="127"/>
      <c r="N443" s="127"/>
      <c r="O443" s="127"/>
      <c r="P443" s="127"/>
      <c r="Q443" s="127"/>
      <c r="R443" s="127"/>
      <c r="S443" s="127"/>
      <c r="T443" s="127"/>
      <c r="U443" s="127"/>
      <c r="V443" s="127"/>
      <c r="W443" s="127"/>
      <c r="X443" s="127"/>
      <c r="Y443" s="127"/>
      <c r="Z443" s="127"/>
      <c r="AA443" s="127"/>
    </row>
    <row r="444" spans="1:27">
      <c r="A444" s="127">
        <f ca="1">IFERROR(__xludf.DUMMYFUNCTION("""COMPUTED_VALUE"""),759724529202804)</f>
        <v>759724529202804</v>
      </c>
      <c r="B444" s="127" t="str">
        <f ca="1">IFERROR(__xludf.DUMMYFUNCTION("""COMPUTED_VALUE"""),"120227433380380200")</f>
        <v>120227433380380200</v>
      </c>
      <c r="C444" s="127" t="str">
        <f ca="1">IFERROR(__xludf.DUMMYFUNCTION("""COMPUTED_VALUE"""),"Sunat Pangkep Avacare")</f>
        <v>Sunat Pangkep Avacare</v>
      </c>
      <c r="D444" s="138" t="str">
        <f ca="1">IFERROR(__xludf.DUMMYFUNCTION("""COMPUTED_VALUE"""),"https://wa.me/6285255435848")</f>
        <v>https://wa.me/6285255435848</v>
      </c>
      <c r="E444" s="139" t="str">
        <f ca="1">IFERROR(__xludf.DUMMYFUNCTION("""COMPUTED_VALUE"""),"6285255435848")</f>
        <v>6285255435848</v>
      </c>
      <c r="F444" s="139">
        <f ca="1">IFERROR(__xludf.DUMMYFUNCTION("""COMPUTED_VALUE"""),8863)</f>
        <v>8863</v>
      </c>
      <c r="G444" s="139">
        <f ca="1">IFERROR(__xludf.DUMMYFUNCTION("""COMPUTED_VALUE"""),10115.125)</f>
        <v>10115.125</v>
      </c>
      <c r="H444" s="139">
        <f ca="1">IFERROR(__xludf.DUMMYFUNCTION("""COMPUTED_VALUE"""),10)</f>
        <v>10</v>
      </c>
      <c r="I444" s="140">
        <f ca="1">IFERROR(__xludf.DUMMYFUNCTION("""COMPUTED_VALUE"""),88105)</f>
        <v>88105</v>
      </c>
      <c r="J444" s="141">
        <f ca="1">IFERROR(__xludf.DUMMYFUNCTION("""COMPUTED_VALUE"""),8810.5)</f>
        <v>8810.5</v>
      </c>
      <c r="K444" s="142">
        <f ca="1">IFERROR(__xludf.DUMMYFUNCTION("""COMPUTED_VALUE"""),5.87366666666666)</f>
        <v>5.8736666666666597</v>
      </c>
      <c r="L444" s="143" t="str">
        <f ca="1"/>
        <v>Wiris Variasi</v>
      </c>
      <c r="M444" s="127"/>
      <c r="N444" s="127"/>
      <c r="O444" s="127"/>
      <c r="P444" s="127"/>
      <c r="Q444" s="127"/>
      <c r="R444" s="127"/>
      <c r="S444" s="127"/>
      <c r="T444" s="127"/>
      <c r="U444" s="127"/>
      <c r="V444" s="127"/>
      <c r="W444" s="127"/>
      <c r="X444" s="127"/>
      <c r="Y444" s="127"/>
      <c r="Z444" s="127"/>
      <c r="AA444" s="127"/>
    </row>
    <row r="445" spans="1:27">
      <c r="A445" s="127">
        <f ca="1">IFERROR(__xludf.DUMMYFUNCTION("""COMPUTED_VALUE"""),759724529202804)</f>
        <v>759724529202804</v>
      </c>
      <c r="B445" s="127" t="str">
        <f ca="1">IFERROR(__xludf.DUMMYFUNCTION("""COMPUTED_VALUE"""),"120227459128820200")</f>
        <v>120227459128820200</v>
      </c>
      <c r="C445" s="127" t="str">
        <f ca="1">IFERROR(__xludf.DUMMYFUNCTION("""COMPUTED_VALUE"""),"Karya Tukang")</f>
        <v>Karya Tukang</v>
      </c>
      <c r="D445" s="138" t="str">
        <f ca="1">IFERROR(__xludf.DUMMYFUNCTION("""COMPUTED_VALUE"""),"https://wa.me/628872305953")</f>
        <v>https://wa.me/628872305953</v>
      </c>
      <c r="E445" s="139" t="str">
        <f ca="1">IFERROR(__xludf.DUMMYFUNCTION("""COMPUTED_VALUE"""),"628872305953")</f>
        <v>628872305953</v>
      </c>
      <c r="F445" s="139">
        <f ca="1">IFERROR(__xludf.DUMMYFUNCTION("""COMPUTED_VALUE"""),898)</f>
        <v>898</v>
      </c>
      <c r="G445" s="139">
        <f ca="1">IFERROR(__xludf.DUMMYFUNCTION("""COMPUTED_VALUE"""),40225)</f>
        <v>40225</v>
      </c>
      <c r="H445" s="139">
        <f ca="1">IFERROR(__xludf.DUMMYFUNCTION("""COMPUTED_VALUE"""),4)</f>
        <v>4</v>
      </c>
      <c r="I445" s="140">
        <f ca="1">IFERROR(__xludf.DUMMYFUNCTION("""COMPUTED_VALUE"""),41736)</f>
        <v>41736</v>
      </c>
      <c r="J445" s="141">
        <f ca="1">IFERROR(__xludf.DUMMYFUNCTION("""COMPUTED_VALUE"""),10434)</f>
        <v>10434</v>
      </c>
      <c r="K445" s="142">
        <f ca="1">IFERROR(__xludf.DUMMYFUNCTION("""COMPUTED_VALUE"""),2.7824)</f>
        <v>2.7824</v>
      </c>
      <c r="L445" s="143" t="str">
        <f ca="1"/>
        <v>Wiris Variasi</v>
      </c>
      <c r="M445" s="127"/>
      <c r="N445" s="127"/>
      <c r="O445" s="127"/>
      <c r="P445" s="127"/>
      <c r="Q445" s="127"/>
      <c r="R445" s="127"/>
      <c r="S445" s="127"/>
      <c r="T445" s="127"/>
      <c r="U445" s="127"/>
      <c r="V445" s="127"/>
      <c r="W445" s="127"/>
      <c r="X445" s="127"/>
      <c r="Y445" s="127"/>
      <c r="Z445" s="127"/>
      <c r="AA445" s="127"/>
    </row>
    <row r="446" spans="1:27">
      <c r="A446" s="127">
        <f ca="1">IFERROR(__xludf.DUMMYFUNCTION("""COMPUTED_VALUE"""),759724529202804)</f>
        <v>759724529202804</v>
      </c>
      <c r="B446" s="127" t="str">
        <f ca="1">IFERROR(__xludf.DUMMYFUNCTION("""COMPUTED_VALUE"""),"120227526331870200")</f>
        <v>120227526331870200</v>
      </c>
      <c r="C446" s="127" t="str">
        <f ca="1">IFERROR(__xludf.DUMMYFUNCTION("""COMPUTED_VALUE"""),"Sahabat AC")</f>
        <v>Sahabat AC</v>
      </c>
      <c r="D446" s="138" t="str">
        <f ca="1">IFERROR(__xludf.DUMMYFUNCTION("""COMPUTED_VALUE"""),"https://wa.me/6285737244570")</f>
        <v>https://wa.me/6285737244570</v>
      </c>
      <c r="E446" s="139" t="str">
        <f ca="1">IFERROR(__xludf.DUMMYFUNCTION("""COMPUTED_VALUE"""),"6285737244570")</f>
        <v>6285737244570</v>
      </c>
      <c r="F446" s="139">
        <f ca="1">IFERROR(__xludf.DUMMYFUNCTION("""COMPUTED_VALUE"""),3134)</f>
        <v>3134</v>
      </c>
      <c r="G446" s="139">
        <f ca="1">IFERROR(__xludf.DUMMYFUNCTION("""COMPUTED_VALUE"""),21529.1666666666)</f>
        <v>21529.166666666599</v>
      </c>
      <c r="H446" s="139">
        <f ca="1">IFERROR(__xludf.DUMMYFUNCTION("""COMPUTED_VALUE"""),7)</f>
        <v>7</v>
      </c>
      <c r="I446" s="140">
        <f ca="1">IFERROR(__xludf.DUMMYFUNCTION("""COMPUTED_VALUE"""),65511)</f>
        <v>65511</v>
      </c>
      <c r="J446" s="141">
        <f ca="1">IFERROR(__xludf.DUMMYFUNCTION("""COMPUTED_VALUE"""),9358.71428571428)</f>
        <v>9358.7142857142808</v>
      </c>
      <c r="K446" s="142">
        <f ca="1">IFERROR(__xludf.DUMMYFUNCTION("""COMPUTED_VALUE"""),4.3674)</f>
        <v>4.3673999999999999</v>
      </c>
      <c r="L446" s="143" t="str">
        <f ca="1"/>
        <v>Wiris Variasi</v>
      </c>
      <c r="M446" s="127"/>
      <c r="N446" s="127"/>
      <c r="O446" s="127"/>
      <c r="P446" s="127"/>
      <c r="Q446" s="127"/>
      <c r="R446" s="127"/>
      <c r="S446" s="127"/>
      <c r="T446" s="127"/>
      <c r="U446" s="127"/>
      <c r="V446" s="127"/>
      <c r="W446" s="127"/>
      <c r="X446" s="127"/>
      <c r="Y446" s="127"/>
      <c r="Z446" s="127"/>
      <c r="AA446" s="127"/>
    </row>
    <row r="447" spans="1:27">
      <c r="A447" s="127">
        <f ca="1">IFERROR(__xludf.DUMMYFUNCTION("""COMPUTED_VALUE"""),759724529202804)</f>
        <v>759724529202804</v>
      </c>
      <c r="B447" s="127" t="str">
        <f ca="1">IFERROR(__xludf.DUMMYFUNCTION("""COMPUTED_VALUE"""),"120227782745500200")</f>
        <v>120227782745500200</v>
      </c>
      <c r="C447" s="127" t="str">
        <f ca="1">IFERROR(__xludf.DUMMYFUNCTION("""COMPUTED_VALUE"""),"Klin")</f>
        <v>Klin</v>
      </c>
      <c r="D447" s="138" t="str">
        <f ca="1">IFERROR(__xludf.DUMMYFUNCTION("""COMPUTED_VALUE"""),"https://wa.me/6282350524788")</f>
        <v>https://wa.me/6282350524788</v>
      </c>
      <c r="E447" s="139" t="str">
        <f ca="1">IFERROR(__xludf.DUMMYFUNCTION("""COMPUTED_VALUE"""),"6282350524788")</f>
        <v>6282350524788</v>
      </c>
      <c r="F447" s="139">
        <f ca="1">IFERROR(__xludf.DUMMYFUNCTION("""COMPUTED_VALUE"""),27218)</f>
        <v>27218</v>
      </c>
      <c r="G447" s="139">
        <f ca="1">IFERROR(__xludf.DUMMYFUNCTION("""COMPUTED_VALUE"""),15281.03125)</f>
        <v>15281.03125</v>
      </c>
      <c r="H447" s="139">
        <f ca="1">IFERROR(__xludf.DUMMYFUNCTION("""COMPUTED_VALUE"""),89)</f>
        <v>89</v>
      </c>
      <c r="I447" s="140">
        <f ca="1">IFERROR(__xludf.DUMMYFUNCTION("""COMPUTED_VALUE"""),469102)</f>
        <v>469102</v>
      </c>
      <c r="J447" s="141">
        <f ca="1">IFERROR(__xludf.DUMMYFUNCTION("""COMPUTED_VALUE"""),5270.80898876404)</f>
        <v>5270.8089887640399</v>
      </c>
      <c r="K447" s="142">
        <f ca="1">IFERROR(__xludf.DUMMYFUNCTION("""COMPUTED_VALUE"""),31.2734666666666)</f>
        <v>31.2734666666666</v>
      </c>
      <c r="L447" s="143" t="str">
        <f ca="1"/>
        <v>Wiris Variasi</v>
      </c>
      <c r="M447" s="127"/>
      <c r="N447" s="127"/>
      <c r="O447" s="127"/>
      <c r="P447" s="127"/>
      <c r="Q447" s="127"/>
      <c r="R447" s="127"/>
      <c r="S447" s="127"/>
      <c r="T447" s="127"/>
      <c r="U447" s="127"/>
      <c r="V447" s="127"/>
      <c r="W447" s="127"/>
      <c r="X447" s="127"/>
      <c r="Y447" s="127"/>
      <c r="Z447" s="127"/>
      <c r="AA447" s="127"/>
    </row>
    <row r="448" spans="1:27">
      <c r="A448" s="127">
        <f ca="1">IFERROR(__xludf.DUMMYFUNCTION("""COMPUTED_VALUE"""),759724529202804)</f>
        <v>759724529202804</v>
      </c>
      <c r="B448" s="127" t="str">
        <f ca="1">IFERROR(__xludf.DUMMYFUNCTION("""COMPUTED_VALUE"""),"120228023839160200")</f>
        <v>120228023839160200</v>
      </c>
      <c r="C448" s="127" t="str">
        <f ca="1">IFERROR(__xludf.DUMMYFUNCTION("""COMPUTED_VALUE"""),"Murabeautycare")</f>
        <v>Murabeautycare</v>
      </c>
      <c r="D448" s="138" t="str">
        <f ca="1">IFERROR(__xludf.DUMMYFUNCTION("""COMPUTED_VALUE"""),"https://wa.me/6282274447649")</f>
        <v>https://wa.me/6282274447649</v>
      </c>
      <c r="E448" s="139" t="str">
        <f ca="1">IFERROR(__xludf.DUMMYFUNCTION("""COMPUTED_VALUE"""),"6282274447649")</f>
        <v>6282274447649</v>
      </c>
      <c r="F448" s="139">
        <f ca="1">IFERROR(__xludf.DUMMYFUNCTION("""COMPUTED_VALUE"""),3107)</f>
        <v>3107</v>
      </c>
      <c r="G448" s="139">
        <f ca="1">IFERROR(__xludf.DUMMYFUNCTION("""COMPUTED_VALUE"""),20700.3333333333)</f>
        <v>20700.333333333299</v>
      </c>
      <c r="H448" s="139">
        <f ca="1">IFERROR(__xludf.DUMMYFUNCTION("""COMPUTED_VALUE"""),23)</f>
        <v>23</v>
      </c>
      <c r="I448" s="140">
        <f ca="1">IFERROR(__xludf.DUMMYFUNCTION("""COMPUTED_VALUE"""),77649)</f>
        <v>77649</v>
      </c>
      <c r="J448" s="141">
        <f ca="1">IFERROR(__xludf.DUMMYFUNCTION("""COMPUTED_VALUE"""),3376.04347826086)</f>
        <v>3376.04347826086</v>
      </c>
      <c r="K448" s="142">
        <f ca="1">IFERROR(__xludf.DUMMYFUNCTION("""COMPUTED_VALUE"""),5.1766)</f>
        <v>5.1765999999999996</v>
      </c>
      <c r="L448" s="143" t="str">
        <f ca="1"/>
        <v>Wiris Variasi</v>
      </c>
      <c r="M448" s="127"/>
      <c r="N448" s="127"/>
      <c r="O448" s="127"/>
      <c r="P448" s="127"/>
      <c r="Q448" s="127"/>
      <c r="R448" s="127"/>
      <c r="S448" s="127"/>
      <c r="T448" s="127"/>
      <c r="U448" s="127"/>
      <c r="V448" s="127"/>
      <c r="W448" s="127"/>
      <c r="X448" s="127"/>
      <c r="Y448" s="127"/>
      <c r="Z448" s="127"/>
      <c r="AA448" s="127"/>
    </row>
    <row r="449" spans="1:27">
      <c r="A449" s="127">
        <f ca="1">IFERROR(__xludf.DUMMYFUNCTION("""COMPUTED_VALUE"""),759724529202804)</f>
        <v>759724529202804</v>
      </c>
      <c r="B449" s="127" t="str">
        <f ca="1">IFERROR(__xludf.DUMMYFUNCTION("""COMPUTED_VALUE"""),"120228159361750200")</f>
        <v>120228159361750200</v>
      </c>
      <c r="C449" s="127" t="str">
        <f ca="1">IFERROR(__xludf.DUMMYFUNCTION("""COMPUTED_VALUE"""),"S'three hair and beauty studio")</f>
        <v>S'three hair and beauty studio</v>
      </c>
      <c r="D449" s="138" t="str">
        <f ca="1">IFERROR(__xludf.DUMMYFUNCTION("""COMPUTED_VALUE"""),"https://wa.me/62895401448273")</f>
        <v>https://wa.me/62895401448273</v>
      </c>
      <c r="E449" s="139" t="str">
        <f ca="1">IFERROR(__xludf.DUMMYFUNCTION("""COMPUTED_VALUE"""),"62895401448273")</f>
        <v>62895401448273</v>
      </c>
      <c r="F449" s="139">
        <f ca="1">IFERROR(__xludf.DUMMYFUNCTION("""COMPUTED_VALUE"""),3063)</f>
        <v>3063</v>
      </c>
      <c r="G449" s="139">
        <f ca="1">IFERROR(__xludf.DUMMYFUNCTION("""COMPUTED_VALUE"""),24988.8333333333)</f>
        <v>24988.833333333299</v>
      </c>
      <c r="H449" s="139">
        <f ca="1">IFERROR(__xludf.DUMMYFUNCTION("""COMPUTED_VALUE"""),6)</f>
        <v>6</v>
      </c>
      <c r="I449" s="140">
        <f ca="1">IFERROR(__xludf.DUMMYFUNCTION("""COMPUTED_VALUE"""),95748)</f>
        <v>95748</v>
      </c>
      <c r="J449" s="141">
        <f ca="1">IFERROR(__xludf.DUMMYFUNCTION("""COMPUTED_VALUE"""),15958)</f>
        <v>15958</v>
      </c>
      <c r="K449" s="142">
        <f ca="1">IFERROR(__xludf.DUMMYFUNCTION("""COMPUTED_VALUE"""),6.3832)</f>
        <v>6.3832000000000004</v>
      </c>
      <c r="L449" s="143" t="str">
        <f ca="1"/>
        <v>Wiris Variasi</v>
      </c>
      <c r="M449" s="127"/>
      <c r="N449" s="127"/>
      <c r="O449" s="127"/>
      <c r="P449" s="127"/>
      <c r="Q449" s="127"/>
      <c r="R449" s="127"/>
      <c r="S449" s="127"/>
      <c r="T449" s="127"/>
      <c r="U449" s="127"/>
      <c r="V449" s="127"/>
      <c r="W449" s="127"/>
      <c r="X449" s="127"/>
      <c r="Y449" s="127"/>
      <c r="Z449" s="127"/>
      <c r="AA449" s="127"/>
    </row>
    <row r="450" spans="1:27">
      <c r="A450" s="127">
        <f ca="1">IFERROR(__xludf.DUMMYFUNCTION("""COMPUTED_VALUE"""),759724529202804)</f>
        <v>759724529202804</v>
      </c>
      <c r="B450" s="127" t="str">
        <f ca="1">IFERROR(__xludf.DUMMYFUNCTION("""COMPUTED_VALUE"""),"120228387388660200")</f>
        <v>120228387388660200</v>
      </c>
      <c r="C450" s="127" t="str">
        <f ca="1">IFERROR(__xludf.DUMMYFUNCTION("""COMPUTED_VALUE"""),"Rumah Cantik Drwskincare")</f>
        <v>Rumah Cantik Drwskincare</v>
      </c>
      <c r="D450" s="138" t="str">
        <f ca="1">IFERROR(__xludf.DUMMYFUNCTION("""COMPUTED_VALUE"""),"https://wa.me/6288215545661")</f>
        <v>https://wa.me/6288215545661</v>
      </c>
      <c r="E450" s="139" t="str">
        <f ca="1">IFERROR(__xludf.DUMMYFUNCTION("""COMPUTED_VALUE"""),"6288215545661")</f>
        <v>6288215545661</v>
      </c>
      <c r="F450" s="139">
        <f ca="1">IFERROR(__xludf.DUMMYFUNCTION("""COMPUTED_VALUE"""),8552)</f>
        <v>8552</v>
      </c>
      <c r="G450" s="139">
        <f ca="1">IFERROR(__xludf.DUMMYFUNCTION("""COMPUTED_VALUE"""),22712.923076923)</f>
        <v>22712.923076923002</v>
      </c>
      <c r="H450" s="139">
        <f ca="1">IFERROR(__xludf.DUMMYFUNCTION("""COMPUTED_VALUE"""),25)</f>
        <v>25</v>
      </c>
      <c r="I450" s="140">
        <f ca="1">IFERROR(__xludf.DUMMYFUNCTION("""COMPUTED_VALUE"""),206950)</f>
        <v>206950</v>
      </c>
      <c r="J450" s="141">
        <f ca="1">IFERROR(__xludf.DUMMYFUNCTION("""COMPUTED_VALUE"""),8278)</f>
        <v>8278</v>
      </c>
      <c r="K450" s="142">
        <f ca="1">IFERROR(__xludf.DUMMYFUNCTION("""COMPUTED_VALUE"""),13.7966666666666)</f>
        <v>13.796666666666599</v>
      </c>
      <c r="L450" s="143" t="str">
        <f ca="1"/>
        <v>Wiris Variasi</v>
      </c>
      <c r="M450" s="127"/>
      <c r="N450" s="127"/>
      <c r="O450" s="127"/>
      <c r="P450" s="127"/>
      <c r="Q450" s="127"/>
      <c r="R450" s="127"/>
      <c r="S450" s="127"/>
      <c r="T450" s="127"/>
      <c r="U450" s="127"/>
      <c r="V450" s="127"/>
      <c r="W450" s="127"/>
      <c r="X450" s="127"/>
      <c r="Y450" s="127"/>
      <c r="Z450" s="127"/>
      <c r="AA450" s="127"/>
    </row>
    <row r="451" spans="1:27">
      <c r="A451" s="127">
        <f ca="1">IFERROR(__xludf.DUMMYFUNCTION("""COMPUTED_VALUE"""),759724529202804)</f>
        <v>759724529202804</v>
      </c>
      <c r="B451" s="127" t="str">
        <f ca="1">IFERROR(__xludf.DUMMYFUNCTION("""COMPUTED_VALUE"""),"120228392828650200")</f>
        <v>120228392828650200</v>
      </c>
      <c r="C451" s="127" t="str">
        <f ca="1">IFERROR(__xludf.DUMMYFUNCTION("""COMPUTED_VALUE"""),"Vie Salon")</f>
        <v>Vie Salon</v>
      </c>
      <c r="D451" s="138" t="str">
        <f ca="1">IFERROR(__xludf.DUMMYFUNCTION("""COMPUTED_VALUE"""),"https://wa.me/6281216962242")</f>
        <v>https://wa.me/6281216962242</v>
      </c>
      <c r="E451" s="139" t="str">
        <f ca="1">IFERROR(__xludf.DUMMYFUNCTION("""COMPUTED_VALUE"""),"6281216962242")</f>
        <v>6281216962242</v>
      </c>
      <c r="F451" s="139">
        <f ca="1">IFERROR(__xludf.DUMMYFUNCTION("""COMPUTED_VALUE"""),4439)</f>
        <v>4439</v>
      </c>
      <c r="G451" s="139">
        <f ca="1">IFERROR(__xludf.DUMMYFUNCTION("""COMPUTED_VALUE"""),18064.1666666666)</f>
        <v>18064.166666666599</v>
      </c>
      <c r="H451" s="139">
        <f ca="1">IFERROR(__xludf.DUMMYFUNCTION("""COMPUTED_VALUE"""),8)</f>
        <v>8</v>
      </c>
      <c r="I451" s="140">
        <f ca="1">IFERROR(__xludf.DUMMYFUNCTION("""COMPUTED_VALUE"""),89917)</f>
        <v>89917</v>
      </c>
      <c r="J451" s="141">
        <f ca="1">IFERROR(__xludf.DUMMYFUNCTION("""COMPUTED_VALUE"""),11239.625)</f>
        <v>11239.625</v>
      </c>
      <c r="K451" s="142">
        <f ca="1">IFERROR(__xludf.DUMMYFUNCTION("""COMPUTED_VALUE"""),5.99446666666666)</f>
        <v>5.9944666666666597</v>
      </c>
      <c r="L451" s="143" t="str">
        <f ca="1"/>
        <v>Wiris Variasi</v>
      </c>
      <c r="M451" s="127"/>
      <c r="N451" s="127"/>
      <c r="O451" s="127"/>
      <c r="P451" s="127"/>
      <c r="Q451" s="127"/>
      <c r="R451" s="127"/>
      <c r="S451" s="127"/>
      <c r="T451" s="127"/>
      <c r="U451" s="127"/>
      <c r="V451" s="127"/>
      <c r="W451" s="127"/>
      <c r="X451" s="127"/>
      <c r="Y451" s="127"/>
      <c r="Z451" s="127"/>
      <c r="AA451" s="127"/>
    </row>
    <row r="452" spans="1:27">
      <c r="A452" s="127">
        <f ca="1">IFERROR(__xludf.DUMMYFUNCTION("""COMPUTED_VALUE"""),759724529202804)</f>
        <v>759724529202804</v>
      </c>
      <c r="B452" s="127" t="str">
        <f ca="1">IFERROR(__xludf.DUMMYFUNCTION("""COMPUTED_VALUE"""),"120228395930460200")</f>
        <v>120228395930460200</v>
      </c>
      <c r="C452" s="127" t="str">
        <f ca="1">IFERROR(__xludf.DUMMYFUNCTION("""COMPUTED_VALUE"""),"Hana Glamour")</f>
        <v>Hana Glamour</v>
      </c>
      <c r="D452" s="138" t="str">
        <f ca="1">IFERROR(__xludf.DUMMYFUNCTION("""COMPUTED_VALUE"""),"https://wa.me/6281335728695")</f>
        <v>https://wa.me/6281335728695</v>
      </c>
      <c r="E452" s="139" t="str">
        <f ca="1">IFERROR(__xludf.DUMMYFUNCTION("""COMPUTED_VALUE"""),"6281335728695")</f>
        <v>6281335728695</v>
      </c>
      <c r="F452" s="139">
        <f ca="1">IFERROR(__xludf.DUMMYFUNCTION("""COMPUTED_VALUE"""),11308)</f>
        <v>11308</v>
      </c>
      <c r="G452" s="139">
        <f ca="1">IFERROR(__xludf.DUMMYFUNCTION("""COMPUTED_VALUE"""),16489.7857142857)</f>
        <v>16489.785714285699</v>
      </c>
      <c r="H452" s="139">
        <f ca="1">IFERROR(__xludf.DUMMYFUNCTION("""COMPUTED_VALUE"""),36)</f>
        <v>36</v>
      </c>
      <c r="I452" s="140">
        <f ca="1">IFERROR(__xludf.DUMMYFUNCTION("""COMPUTED_VALUE"""),216462)</f>
        <v>216462</v>
      </c>
      <c r="J452" s="141">
        <f ca="1">IFERROR(__xludf.DUMMYFUNCTION("""COMPUTED_VALUE"""),6012.83333333333)</f>
        <v>6012.8333333333303</v>
      </c>
      <c r="K452" s="142">
        <f ca="1">IFERROR(__xludf.DUMMYFUNCTION("""COMPUTED_VALUE"""),14.4308)</f>
        <v>14.4308</v>
      </c>
      <c r="L452" s="143" t="str">
        <f ca="1"/>
        <v>Wiris Variasi</v>
      </c>
      <c r="M452" s="127"/>
      <c r="N452" s="127"/>
      <c r="O452" s="127"/>
      <c r="P452" s="127"/>
      <c r="Q452" s="127"/>
      <c r="R452" s="127"/>
      <c r="S452" s="127"/>
      <c r="T452" s="127"/>
      <c r="U452" s="127"/>
      <c r="V452" s="127"/>
      <c r="W452" s="127"/>
      <c r="X452" s="127"/>
      <c r="Y452" s="127"/>
      <c r="Z452" s="127"/>
      <c r="AA452" s="127"/>
    </row>
    <row r="453" spans="1:27">
      <c r="A453" s="127">
        <f ca="1">IFERROR(__xludf.DUMMYFUNCTION("""COMPUTED_VALUE"""),759724529202804)</f>
        <v>759724529202804</v>
      </c>
      <c r="B453" s="127" t="str">
        <f ca="1">IFERROR(__xludf.DUMMYFUNCTION("""COMPUTED_VALUE"""),"120228727080240200")</f>
        <v>120228727080240200</v>
      </c>
      <c r="C453" s="127" t="str">
        <f ca="1">IFERROR(__xludf.DUMMYFUNCTION("""COMPUTED_VALUE"""),"Salon Ety")</f>
        <v>Salon Ety</v>
      </c>
      <c r="D453" s="138" t="str">
        <f ca="1">IFERROR(__xludf.DUMMYFUNCTION("""COMPUTED_VALUE"""),"https://wa.me/6285642607938")</f>
        <v>https://wa.me/6285642607938</v>
      </c>
      <c r="E453" s="139" t="str">
        <f ca="1">IFERROR(__xludf.DUMMYFUNCTION("""COMPUTED_VALUE"""),"6285642607938")</f>
        <v>6285642607938</v>
      </c>
      <c r="F453" s="139">
        <f ca="1">IFERROR(__xludf.DUMMYFUNCTION("""COMPUTED_VALUE"""),6453)</f>
        <v>6453</v>
      </c>
      <c r="G453" s="139">
        <f ca="1">IFERROR(__xludf.DUMMYFUNCTION("""COMPUTED_VALUE"""),10050.6)</f>
        <v>10050.6</v>
      </c>
      <c r="H453" s="139">
        <f ca="1">IFERROR(__xludf.DUMMYFUNCTION("""COMPUTED_VALUE"""),8)</f>
        <v>8</v>
      </c>
      <c r="I453" s="140">
        <f ca="1">IFERROR(__xludf.DUMMYFUNCTION("""COMPUTED_VALUE"""),72950)</f>
        <v>72950</v>
      </c>
      <c r="J453" s="141">
        <f ca="1">IFERROR(__xludf.DUMMYFUNCTION("""COMPUTED_VALUE"""),9118.75)</f>
        <v>9118.75</v>
      </c>
      <c r="K453" s="142">
        <f ca="1">IFERROR(__xludf.DUMMYFUNCTION("""COMPUTED_VALUE"""),4.86333333333333)</f>
        <v>4.8633333333333297</v>
      </c>
      <c r="L453" s="143" t="str">
        <f ca="1"/>
        <v>Wiris Variasi</v>
      </c>
      <c r="M453" s="127"/>
      <c r="N453" s="127"/>
      <c r="O453" s="127"/>
      <c r="P453" s="127"/>
      <c r="Q453" s="127"/>
      <c r="R453" s="127"/>
      <c r="S453" s="127"/>
      <c r="T453" s="127"/>
      <c r="U453" s="127"/>
      <c r="V453" s="127"/>
      <c r="W453" s="127"/>
      <c r="X453" s="127"/>
      <c r="Y453" s="127"/>
      <c r="Z453" s="127"/>
      <c r="AA453" s="127"/>
    </row>
    <row r="454" spans="1:27">
      <c r="A454" s="127">
        <f ca="1">IFERROR(__xludf.DUMMYFUNCTION("""COMPUTED_VALUE"""),759724529202804)</f>
        <v>759724529202804</v>
      </c>
      <c r="B454" s="127" t="str">
        <f ca="1">IFERROR(__xludf.DUMMYFUNCTION("""COMPUTED_VALUE"""),"120228796214480200")</f>
        <v>120228796214480200</v>
      </c>
      <c r="C454" s="127" t="str">
        <f ca="1">IFERROR(__xludf.DUMMYFUNCTION("""COMPUTED_VALUE"""),"Soto Padang")</f>
        <v>Soto Padang</v>
      </c>
      <c r="D454" s="138" t="str">
        <f ca="1">IFERROR(__xludf.DUMMYFUNCTION("""COMPUTED_VALUE"""),"https://wa.me/6282125465047")</f>
        <v>https://wa.me/6282125465047</v>
      </c>
      <c r="E454" s="139" t="str">
        <f ca="1">IFERROR(__xludf.DUMMYFUNCTION("""COMPUTED_VALUE"""),"6282125465047")</f>
        <v>6282125465047</v>
      </c>
      <c r="F454" s="139">
        <f ca="1">IFERROR(__xludf.DUMMYFUNCTION("""COMPUTED_VALUE"""),5381)</f>
        <v>5381</v>
      </c>
      <c r="G454" s="139">
        <f ca="1">IFERROR(__xludf.DUMMYFUNCTION("""COMPUTED_VALUE"""),27274.6)</f>
        <v>27274.6</v>
      </c>
      <c r="H454" s="139">
        <f ca="1">IFERROR(__xludf.DUMMYFUNCTION("""COMPUTED_VALUE"""),50)</f>
        <v>50</v>
      </c>
      <c r="I454" s="140">
        <f ca="1">IFERROR(__xludf.DUMMYFUNCTION("""COMPUTED_VALUE"""),154620)</f>
        <v>154620</v>
      </c>
      <c r="J454" s="141">
        <f ca="1">IFERROR(__xludf.DUMMYFUNCTION("""COMPUTED_VALUE"""),3092.4)</f>
        <v>3092.4</v>
      </c>
      <c r="K454" s="142">
        <f ca="1">IFERROR(__xludf.DUMMYFUNCTION("""COMPUTED_VALUE"""),10.308)</f>
        <v>10.308</v>
      </c>
      <c r="L454" s="143" t="str">
        <f ca="1"/>
        <v>Wiris Variasi</v>
      </c>
      <c r="M454" s="127"/>
      <c r="N454" s="127"/>
      <c r="O454" s="127"/>
      <c r="P454" s="127"/>
      <c r="Q454" s="127"/>
      <c r="R454" s="127"/>
      <c r="S454" s="127"/>
      <c r="T454" s="127"/>
      <c r="U454" s="127"/>
      <c r="V454" s="127"/>
      <c r="W454" s="127"/>
      <c r="X454" s="127"/>
      <c r="Y454" s="127"/>
      <c r="Z454" s="127"/>
      <c r="AA454" s="127"/>
    </row>
    <row r="455" spans="1:27">
      <c r="A455" s="127">
        <f ca="1">IFERROR(__xludf.DUMMYFUNCTION("""COMPUTED_VALUE"""),759724529202804)</f>
        <v>759724529202804</v>
      </c>
      <c r="B455" s="127" t="str">
        <f ca="1">IFERROR(__xludf.DUMMYFUNCTION("""COMPUTED_VALUE"""),"120228860995180200")</f>
        <v>120228860995180200</v>
      </c>
      <c r="C455" s="127" t="str">
        <f ca="1">IFERROR(__xludf.DUMMYFUNCTION("""COMPUTED_VALUE"""),"NH SALON")</f>
        <v>NH SALON</v>
      </c>
      <c r="D455" s="138" t="str">
        <f ca="1">IFERROR(__xludf.DUMMYFUNCTION("""COMPUTED_VALUE"""),"https://wa.me/6285180805171")</f>
        <v>https://wa.me/6285180805171</v>
      </c>
      <c r="E455" s="139" t="str">
        <f ca="1">IFERROR(__xludf.DUMMYFUNCTION("""COMPUTED_VALUE"""),"6285180805171")</f>
        <v>6285180805171</v>
      </c>
      <c r="F455" s="139">
        <f ca="1">IFERROR(__xludf.DUMMYFUNCTION("""COMPUTED_VALUE"""),6692)</f>
        <v>6692</v>
      </c>
      <c r="G455" s="139">
        <f ca="1">IFERROR(__xludf.DUMMYFUNCTION("""COMPUTED_VALUE"""),14420.8571428571)</f>
        <v>14420.857142857099</v>
      </c>
      <c r="H455" s="139">
        <f ca="1">IFERROR(__xludf.DUMMYFUNCTION("""COMPUTED_VALUE"""),22)</f>
        <v>22</v>
      </c>
      <c r="I455" s="140">
        <f ca="1">IFERROR(__xludf.DUMMYFUNCTION("""COMPUTED_VALUE"""),107594)</f>
        <v>107594</v>
      </c>
      <c r="J455" s="141">
        <f ca="1">IFERROR(__xludf.DUMMYFUNCTION("""COMPUTED_VALUE"""),4890.63636363636)</f>
        <v>4890.6363636363603</v>
      </c>
      <c r="K455" s="142">
        <f ca="1">IFERROR(__xludf.DUMMYFUNCTION("""COMPUTED_VALUE"""),7.17293333333333)</f>
        <v>7.1729333333333303</v>
      </c>
      <c r="L455" s="143" t="str">
        <f ca="1"/>
        <v>Wiris Variasi</v>
      </c>
      <c r="M455" s="127"/>
      <c r="N455" s="127"/>
      <c r="O455" s="127"/>
      <c r="P455" s="127"/>
      <c r="Q455" s="127"/>
      <c r="R455" s="127"/>
      <c r="S455" s="127"/>
      <c r="T455" s="127"/>
      <c r="U455" s="127"/>
      <c r="V455" s="127"/>
      <c r="W455" s="127"/>
      <c r="X455" s="127"/>
      <c r="Y455" s="127"/>
      <c r="Z455" s="127"/>
      <c r="AA455" s="127"/>
    </row>
    <row r="456" spans="1:27">
      <c r="A456" s="127">
        <f ca="1">IFERROR(__xludf.DUMMYFUNCTION("""COMPUTED_VALUE"""),759724529202804)</f>
        <v>759724529202804</v>
      </c>
      <c r="B456" s="127" t="str">
        <f ca="1">IFERROR(__xludf.DUMMYFUNCTION("""COMPUTED_VALUE"""),"120229042741890200")</f>
        <v>120229042741890200</v>
      </c>
      <c r="C456" s="127" t="str">
        <f ca="1">IFERROR(__xludf.DUMMYFUNCTION("""COMPUTED_VALUE"""),"Deriano")</f>
        <v>Deriano</v>
      </c>
      <c r="D456" s="138" t="str">
        <f ca="1">IFERROR(__xludf.DUMMYFUNCTION("""COMPUTED_VALUE"""),"https://wa.me/6282122880328")</f>
        <v>https://wa.me/6282122880328</v>
      </c>
      <c r="E456" s="139" t="str">
        <f ca="1">IFERROR(__xludf.DUMMYFUNCTION("""COMPUTED_VALUE"""),"6282122880328")</f>
        <v>6282122880328</v>
      </c>
      <c r="F456" s="139">
        <f ca="1">IFERROR(__xludf.DUMMYFUNCTION("""COMPUTED_VALUE"""),6896)</f>
        <v>6896</v>
      </c>
      <c r="G456" s="139">
        <f ca="1">IFERROR(__xludf.DUMMYFUNCTION("""COMPUTED_VALUE"""),39014)</f>
        <v>39014</v>
      </c>
      <c r="H456" s="139">
        <f ca="1">IFERROR(__xludf.DUMMYFUNCTION("""COMPUTED_VALUE"""),14)</f>
        <v>14</v>
      </c>
      <c r="I456" s="140">
        <f ca="1">IFERROR(__xludf.DUMMYFUNCTION("""COMPUTED_VALUE"""),104333)</f>
        <v>104333</v>
      </c>
      <c r="J456" s="141">
        <f ca="1">IFERROR(__xludf.DUMMYFUNCTION("""COMPUTED_VALUE"""),7452.35714285714)</f>
        <v>7452.3571428571404</v>
      </c>
      <c r="K456" s="142">
        <f ca="1">IFERROR(__xludf.DUMMYFUNCTION("""COMPUTED_VALUE"""),6.95553333333333)</f>
        <v>6.9555333333333298</v>
      </c>
      <c r="L456" s="143" t="str">
        <f ca="1"/>
        <v>Wiris Variasi</v>
      </c>
      <c r="M456" s="127"/>
      <c r="N456" s="127"/>
      <c r="O456" s="127"/>
      <c r="P456" s="127"/>
      <c r="Q456" s="127"/>
      <c r="R456" s="127"/>
      <c r="S456" s="127"/>
      <c r="T456" s="127"/>
      <c r="U456" s="127"/>
      <c r="V456" s="127"/>
      <c r="W456" s="127"/>
      <c r="X456" s="127"/>
      <c r="Y456" s="127"/>
      <c r="Z456" s="127"/>
      <c r="AA456" s="127"/>
    </row>
    <row r="457" spans="1:27">
      <c r="A457" s="127">
        <f ca="1">IFERROR(__xludf.DUMMYFUNCTION("""COMPUTED_VALUE"""),759724529202804)</f>
        <v>759724529202804</v>
      </c>
      <c r="B457" s="127" t="str">
        <f ca="1">IFERROR(__xludf.DUMMYFUNCTION("""COMPUTED_VALUE"""),"120229043131290200")</f>
        <v>120229043131290200</v>
      </c>
      <c r="C457" s="127" t="str">
        <f ca="1">IFERROR(__xludf.DUMMYFUNCTION("""COMPUTED_VALUE"""),"Terafis Sinergi")</f>
        <v>Terafis Sinergi</v>
      </c>
      <c r="D457" s="138" t="str">
        <f ca="1">IFERROR(__xludf.DUMMYFUNCTION("""COMPUTED_VALUE"""),"https://wa.me/6281253792753")</f>
        <v>https://wa.me/6281253792753</v>
      </c>
      <c r="E457" s="139" t="str">
        <f ca="1">IFERROR(__xludf.DUMMYFUNCTION("""COMPUTED_VALUE"""),"6281253792753")</f>
        <v>6281253792753</v>
      </c>
      <c r="F457" s="139">
        <f ca="1">IFERROR(__xludf.DUMMYFUNCTION("""COMPUTED_VALUE"""),9710)</f>
        <v>9710</v>
      </c>
      <c r="G457" s="139">
        <f ca="1">IFERROR(__xludf.DUMMYFUNCTION("""COMPUTED_VALUE"""),10718)</f>
        <v>10718</v>
      </c>
      <c r="H457" s="139">
        <f ca="1">IFERROR(__xludf.DUMMYFUNCTION("""COMPUTED_VALUE"""),3)</f>
        <v>3</v>
      </c>
      <c r="I457" s="140">
        <f ca="1">IFERROR(__xludf.DUMMYFUNCTION("""COMPUTED_VALUE"""),125133)</f>
        <v>125133</v>
      </c>
      <c r="J457" s="141">
        <f ca="1">IFERROR(__xludf.DUMMYFUNCTION("""COMPUTED_VALUE"""),41711)</f>
        <v>41711</v>
      </c>
      <c r="K457" s="142">
        <f ca="1">IFERROR(__xludf.DUMMYFUNCTION("""COMPUTED_VALUE"""),8.3422)</f>
        <v>8.3422000000000001</v>
      </c>
      <c r="L457" s="143" t="str">
        <f ca="1"/>
        <v>Wiris Variasi</v>
      </c>
      <c r="M457" s="127"/>
      <c r="N457" s="127"/>
      <c r="O457" s="127"/>
      <c r="P457" s="127"/>
      <c r="Q457" s="127"/>
      <c r="R457" s="127"/>
      <c r="S457" s="127"/>
      <c r="T457" s="127"/>
      <c r="U457" s="127"/>
      <c r="V457" s="127"/>
      <c r="W457" s="127"/>
      <c r="X457" s="127"/>
      <c r="Y457" s="127"/>
      <c r="Z457" s="127"/>
      <c r="AA457" s="127"/>
    </row>
    <row r="458" spans="1:27">
      <c r="A458" s="127">
        <f ca="1">IFERROR(__xludf.DUMMYFUNCTION("""COMPUTED_VALUE"""),759724529202804)</f>
        <v>759724529202804</v>
      </c>
      <c r="B458" s="127" t="str">
        <f ca="1">IFERROR(__xludf.DUMMYFUNCTION("""COMPUTED_VALUE"""),"120229044725650200")</f>
        <v>120229044725650200</v>
      </c>
      <c r="C458" s="127" t="str">
        <f ca="1">IFERROR(__xludf.DUMMYFUNCTION("""COMPUTED_VALUE"""),"MA")</f>
        <v>MA</v>
      </c>
      <c r="D458" s="138" t="str">
        <f ca="1">IFERROR(__xludf.DUMMYFUNCTION("""COMPUTED_VALUE"""),"https://wa.me/6281904501876")</f>
        <v>https://wa.me/6281904501876</v>
      </c>
      <c r="E458" s="139" t="str">
        <f ca="1">IFERROR(__xludf.DUMMYFUNCTION("""COMPUTED_VALUE"""),"6281904501876")</f>
        <v>6281904501876</v>
      </c>
      <c r="F458" s="139">
        <f ca="1">IFERROR(__xludf.DUMMYFUNCTION("""COMPUTED_VALUE"""),8161)</f>
        <v>8161</v>
      </c>
      <c r="G458" s="139">
        <f ca="1">IFERROR(__xludf.DUMMYFUNCTION("""COMPUTED_VALUE"""),9714)</f>
        <v>9714</v>
      </c>
      <c r="H458" s="139">
        <f ca="1">IFERROR(__xludf.DUMMYFUNCTION("""COMPUTED_VALUE"""),8)</f>
        <v>8</v>
      </c>
      <c r="I458" s="140">
        <f ca="1">IFERROR(__xludf.DUMMYFUNCTION("""COMPUTED_VALUE"""),105713)</f>
        <v>105713</v>
      </c>
      <c r="J458" s="141">
        <f ca="1">IFERROR(__xludf.DUMMYFUNCTION("""COMPUTED_VALUE"""),13214.125)</f>
        <v>13214.125</v>
      </c>
      <c r="K458" s="142">
        <f ca="1">IFERROR(__xludf.DUMMYFUNCTION("""COMPUTED_VALUE"""),7.04753333333333)</f>
        <v>7.0475333333333303</v>
      </c>
      <c r="L458" s="143" t="str">
        <f ca="1"/>
        <v>Wiris Variasi</v>
      </c>
      <c r="M458" s="127"/>
      <c r="N458" s="127"/>
      <c r="O458" s="127"/>
      <c r="P458" s="127"/>
      <c r="Q458" s="127"/>
      <c r="R458" s="127"/>
      <c r="S458" s="127"/>
      <c r="T458" s="127"/>
      <c r="U458" s="127"/>
      <c r="V458" s="127"/>
      <c r="W458" s="127"/>
      <c r="X458" s="127"/>
      <c r="Y458" s="127"/>
      <c r="Z458" s="127"/>
      <c r="AA458" s="127"/>
    </row>
    <row r="459" spans="1:27">
      <c r="A459" s="127">
        <f ca="1">IFERROR(__xludf.DUMMYFUNCTION("""COMPUTED_VALUE"""),759724529202804)</f>
        <v>759724529202804</v>
      </c>
      <c r="B459" s="127" t="str">
        <f ca="1">IFERROR(__xludf.DUMMYFUNCTION("""COMPUTED_VALUE"""),"120229044952270200")</f>
        <v>120229044952270200</v>
      </c>
      <c r="C459" s="127" t="str">
        <f ca="1">IFERROR(__xludf.DUMMYFUNCTION("""COMPUTED_VALUE"""),"Alfie salon")</f>
        <v>Alfie salon</v>
      </c>
      <c r="D459" s="138" t="str">
        <f ca="1">IFERROR(__xludf.DUMMYFUNCTION("""COMPUTED_VALUE"""),"https://wa.me/6285775986977")</f>
        <v>https://wa.me/6285775986977</v>
      </c>
      <c r="E459" s="139" t="str">
        <f ca="1">IFERROR(__xludf.DUMMYFUNCTION("""COMPUTED_VALUE"""),"6285775986977")</f>
        <v>6285775986977</v>
      </c>
      <c r="F459" s="139">
        <f ca="1">IFERROR(__xludf.DUMMYFUNCTION("""COMPUTED_VALUE"""),3395)</f>
        <v>3395</v>
      </c>
      <c r="G459" s="139">
        <f ca="1">IFERROR(__xludf.DUMMYFUNCTION("""COMPUTED_VALUE"""),33410.375)</f>
        <v>33410.375</v>
      </c>
      <c r="H459" s="139">
        <f ca="1">IFERROR(__xludf.DUMMYFUNCTION("""COMPUTED_VALUE"""),2)</f>
        <v>2</v>
      </c>
      <c r="I459" s="140">
        <f ca="1">IFERROR(__xludf.DUMMYFUNCTION("""COMPUTED_VALUE"""),119071)</f>
        <v>119071</v>
      </c>
      <c r="J459" s="141">
        <f ca="1">IFERROR(__xludf.DUMMYFUNCTION("""COMPUTED_VALUE"""),59535.5)</f>
        <v>59535.5</v>
      </c>
      <c r="K459" s="142">
        <f ca="1">IFERROR(__xludf.DUMMYFUNCTION("""COMPUTED_VALUE"""),7.93806666666666)</f>
        <v>7.9380666666666597</v>
      </c>
      <c r="L459" s="143" t="str">
        <f ca="1"/>
        <v>Wiris Variasi</v>
      </c>
      <c r="M459" s="127"/>
      <c r="N459" s="127"/>
      <c r="O459" s="127"/>
      <c r="P459" s="127"/>
      <c r="Q459" s="127"/>
      <c r="R459" s="127"/>
      <c r="S459" s="127"/>
      <c r="T459" s="127"/>
      <c r="U459" s="127"/>
      <c r="V459" s="127"/>
      <c r="W459" s="127"/>
      <c r="X459" s="127"/>
      <c r="Y459" s="127"/>
      <c r="Z459" s="127"/>
      <c r="AA459" s="127"/>
    </row>
    <row r="460" spans="1:27">
      <c r="A460" s="127">
        <f ca="1">IFERROR(__xludf.DUMMYFUNCTION("""COMPUTED_VALUE"""),759724529202804)</f>
        <v>759724529202804</v>
      </c>
      <c r="B460" s="127" t="str">
        <f ca="1">IFERROR(__xludf.DUMMYFUNCTION("""COMPUTED_VALUE"""),"120229046011260200")</f>
        <v>120229046011260200</v>
      </c>
      <c r="C460" s="127" t="str">
        <f ca="1">IFERROR(__xludf.DUMMYFUNCTION("""COMPUTED_VALUE"""),"Abadi Tehnik")</f>
        <v>Abadi Tehnik</v>
      </c>
      <c r="D460" s="138" t="str">
        <f ca="1">IFERROR(__xludf.DUMMYFUNCTION("""COMPUTED_VALUE"""),"https://wa.me/6285711667433")</f>
        <v>https://wa.me/6285711667433</v>
      </c>
      <c r="E460" s="139" t="str">
        <f ca="1">IFERROR(__xludf.DUMMYFUNCTION("""COMPUTED_VALUE"""),"6285711667433")</f>
        <v>6285711667433</v>
      </c>
      <c r="F460" s="139">
        <f ca="1">IFERROR(__xludf.DUMMYFUNCTION("""COMPUTED_VALUE"""),9754)</f>
        <v>9754</v>
      </c>
      <c r="G460" s="139">
        <f ca="1">IFERROR(__xludf.DUMMYFUNCTION("""COMPUTED_VALUE"""),11827.125)</f>
        <v>11827.125</v>
      </c>
      <c r="H460" s="139">
        <f ca="1">IFERROR(__xludf.DUMMYFUNCTION("""COMPUTED_VALUE"""),33)</f>
        <v>33</v>
      </c>
      <c r="I460" s="140">
        <f ca="1">IFERROR(__xludf.DUMMYFUNCTION("""COMPUTED_VALUE"""),124142)</f>
        <v>124142</v>
      </c>
      <c r="J460" s="141">
        <f ca="1">IFERROR(__xludf.DUMMYFUNCTION("""COMPUTED_VALUE"""),3761.87878787878)</f>
        <v>3761.8787878787798</v>
      </c>
      <c r="K460" s="142">
        <f ca="1">IFERROR(__xludf.DUMMYFUNCTION("""COMPUTED_VALUE"""),8.27613333333333)</f>
        <v>8.2761333333333305</v>
      </c>
      <c r="L460" s="143" t="str">
        <f ca="1"/>
        <v>Wiris Variasi</v>
      </c>
      <c r="M460" s="127"/>
      <c r="N460" s="127"/>
      <c r="O460" s="127"/>
      <c r="P460" s="127"/>
      <c r="Q460" s="127"/>
      <c r="R460" s="127"/>
      <c r="S460" s="127"/>
      <c r="T460" s="127"/>
      <c r="U460" s="127"/>
      <c r="V460" s="127"/>
      <c r="W460" s="127"/>
      <c r="X460" s="127"/>
      <c r="Y460" s="127"/>
      <c r="Z460" s="127"/>
      <c r="AA460" s="127"/>
    </row>
    <row r="461" spans="1:27">
      <c r="A461" s="127">
        <f ca="1">IFERROR(__xludf.DUMMYFUNCTION("""COMPUTED_VALUE"""),759724529202804)</f>
        <v>759724529202804</v>
      </c>
      <c r="B461" s="127" t="str">
        <f ca="1">IFERROR(__xludf.DUMMYFUNCTION("""COMPUTED_VALUE"""),"120229124392540200")</f>
        <v>120229124392540200</v>
      </c>
      <c r="C461" s="127" t="str">
        <f ca="1">IFERROR(__xludf.DUMMYFUNCTION("""COMPUTED_VALUE"""),"Remnaskin")</f>
        <v>Remnaskin</v>
      </c>
      <c r="D461" s="138" t="str">
        <f ca="1">IFERROR(__xludf.DUMMYFUNCTION("""COMPUTED_VALUE"""),"https://wa.me/6285777110340")</f>
        <v>https://wa.me/6285777110340</v>
      </c>
      <c r="E461" s="139" t="str">
        <f ca="1">IFERROR(__xludf.DUMMYFUNCTION("""COMPUTED_VALUE"""),"6285777110340")</f>
        <v>6285777110340</v>
      </c>
      <c r="F461" s="139">
        <f ca="1">IFERROR(__xludf.DUMMYFUNCTION("""COMPUTED_VALUE"""),2026)</f>
        <v>2026</v>
      </c>
      <c r="G461" s="139">
        <f ca="1">IFERROR(__xludf.DUMMYFUNCTION("""COMPUTED_VALUE"""),45798)</f>
        <v>45798</v>
      </c>
      <c r="H461" s="139">
        <f ca="1">IFERROR(__xludf.DUMMYFUNCTION("""COMPUTED_VALUE"""),14)</f>
        <v>14</v>
      </c>
      <c r="I461" s="140">
        <f ca="1">IFERROR(__xludf.DUMMYFUNCTION("""COMPUTED_VALUE"""),107149)</f>
        <v>107149</v>
      </c>
      <c r="J461" s="141">
        <f ca="1">IFERROR(__xludf.DUMMYFUNCTION("""COMPUTED_VALUE"""),7653.5)</f>
        <v>7653.5</v>
      </c>
      <c r="K461" s="142">
        <f ca="1">IFERROR(__xludf.DUMMYFUNCTION("""COMPUTED_VALUE"""),7.14326666666666)</f>
        <v>7.1432666666666602</v>
      </c>
      <c r="L461" s="143" t="str">
        <f ca="1"/>
        <v>Wiris Variasi</v>
      </c>
      <c r="M461" s="127"/>
      <c r="N461" s="127"/>
      <c r="O461" s="127"/>
      <c r="P461" s="127"/>
      <c r="Q461" s="127"/>
      <c r="R461" s="127"/>
      <c r="S461" s="127"/>
      <c r="T461" s="127"/>
      <c r="U461" s="127"/>
      <c r="V461" s="127"/>
      <c r="W461" s="127"/>
      <c r="X461" s="127"/>
      <c r="Y461" s="127"/>
      <c r="Z461" s="127"/>
      <c r="AA461" s="127"/>
    </row>
    <row r="462" spans="1:27">
      <c r="A462" s="127">
        <f ca="1">IFERROR(__xludf.DUMMYFUNCTION("""COMPUTED_VALUE"""),759724529202804)</f>
        <v>759724529202804</v>
      </c>
      <c r="B462" s="127" t="str">
        <f ca="1">IFERROR(__xludf.DUMMYFUNCTION("""COMPUTED_VALUE"""),"120229127021080200")</f>
        <v>120229127021080200</v>
      </c>
      <c r="C462" s="127" t="str">
        <f ca="1">IFERROR(__xludf.DUMMYFUNCTION("""COMPUTED_VALUE"""),"Lubijo Berkah")</f>
        <v>Lubijo Berkah</v>
      </c>
      <c r="D462" s="138" t="str">
        <f ca="1">IFERROR(__xludf.DUMMYFUNCTION("""COMPUTED_VALUE"""),"https://wa.me/6281233038880")</f>
        <v>https://wa.me/6281233038880</v>
      </c>
      <c r="E462" s="139" t="str">
        <f ca="1">IFERROR(__xludf.DUMMYFUNCTION("""COMPUTED_VALUE"""),"6281233038880")</f>
        <v>6281233038880</v>
      </c>
      <c r="F462" s="139">
        <f ca="1">IFERROR(__xludf.DUMMYFUNCTION("""COMPUTED_VALUE"""),10020)</f>
        <v>10020</v>
      </c>
      <c r="G462" s="139">
        <f ca="1">IFERROR(__xludf.DUMMYFUNCTION("""COMPUTED_VALUE"""),44375.0333333333)</f>
        <v>44375.033333333296</v>
      </c>
      <c r="H462" s="139">
        <f ca="1">IFERROR(__xludf.DUMMYFUNCTION("""COMPUTED_VALUE"""),45)</f>
        <v>45</v>
      </c>
      <c r="I462" s="140">
        <f ca="1">IFERROR(__xludf.DUMMYFUNCTION("""COMPUTED_VALUE"""),465800)</f>
        <v>465800</v>
      </c>
      <c r="J462" s="141">
        <f ca="1">IFERROR(__xludf.DUMMYFUNCTION("""COMPUTED_VALUE"""),10351.1111111111)</f>
        <v>10351.1111111111</v>
      </c>
      <c r="K462" s="142">
        <f ca="1">IFERROR(__xludf.DUMMYFUNCTION("""COMPUTED_VALUE"""),31.0533333333333)</f>
        <v>31.053333333333299</v>
      </c>
      <c r="L462" s="143" t="str">
        <f ca="1"/>
        <v>Wiris Variasi</v>
      </c>
      <c r="M462" s="127"/>
      <c r="N462" s="127"/>
      <c r="O462" s="127"/>
      <c r="P462" s="127"/>
      <c r="Q462" s="127"/>
      <c r="R462" s="127"/>
      <c r="S462" s="127"/>
      <c r="T462" s="127"/>
      <c r="U462" s="127"/>
      <c r="V462" s="127"/>
      <c r="W462" s="127"/>
      <c r="X462" s="127"/>
      <c r="Y462" s="127"/>
      <c r="Z462" s="127"/>
      <c r="AA462" s="127"/>
    </row>
    <row r="463" spans="1:27">
      <c r="A463" s="127">
        <f ca="1">IFERROR(__xludf.DUMMYFUNCTION("""COMPUTED_VALUE"""),759724529202804)</f>
        <v>759724529202804</v>
      </c>
      <c r="B463" s="127" t="str">
        <f ca="1">IFERROR(__xludf.DUMMYFUNCTION("""COMPUTED_VALUE"""),"120229191444440200")</f>
        <v>120229191444440200</v>
      </c>
      <c r="C463" s="127" t="str">
        <f ca="1">IFERROR(__xludf.DUMMYFUNCTION("""COMPUTED_VALUE"""),"GK Trans")</f>
        <v>GK Trans</v>
      </c>
      <c r="D463" s="138" t="str">
        <f ca="1">IFERROR(__xludf.DUMMYFUNCTION("""COMPUTED_VALUE"""),"https://wa.me/6281399731413")</f>
        <v>https://wa.me/6281399731413</v>
      </c>
      <c r="E463" s="139" t="str">
        <f ca="1">IFERROR(__xludf.DUMMYFUNCTION("""COMPUTED_VALUE"""),"6281399731413")</f>
        <v>6281399731413</v>
      </c>
      <c r="F463" s="139">
        <f ca="1">IFERROR(__xludf.DUMMYFUNCTION("""COMPUTED_VALUE"""),2889)</f>
        <v>2889</v>
      </c>
      <c r="G463" s="139">
        <f ca="1">IFERROR(__xludf.DUMMYFUNCTION("""COMPUTED_VALUE"""),24457.6666666666)</f>
        <v>24457.666666666599</v>
      </c>
      <c r="H463" s="139">
        <f ca="1">IFERROR(__xludf.DUMMYFUNCTION("""COMPUTED_VALUE"""),10)</f>
        <v>10</v>
      </c>
      <c r="I463" s="140">
        <f ca="1">IFERROR(__xludf.DUMMYFUNCTION("""COMPUTED_VALUE"""),87273)</f>
        <v>87273</v>
      </c>
      <c r="J463" s="141">
        <f ca="1">IFERROR(__xludf.DUMMYFUNCTION("""COMPUTED_VALUE"""),8727.3)</f>
        <v>8727.2999999999993</v>
      </c>
      <c r="K463" s="142">
        <f ca="1">IFERROR(__xludf.DUMMYFUNCTION("""COMPUTED_VALUE"""),5.8182)</f>
        <v>5.8182</v>
      </c>
      <c r="L463" s="143" t="str">
        <f ca="1"/>
        <v>Wiris Variasi</v>
      </c>
      <c r="M463" s="127"/>
      <c r="N463" s="127"/>
      <c r="O463" s="127"/>
      <c r="P463" s="127"/>
      <c r="Q463" s="127"/>
      <c r="R463" s="127"/>
      <c r="S463" s="127"/>
      <c r="T463" s="127"/>
      <c r="U463" s="127"/>
      <c r="V463" s="127"/>
      <c r="W463" s="127"/>
      <c r="X463" s="127"/>
      <c r="Y463" s="127"/>
      <c r="Z463" s="127"/>
      <c r="AA463" s="127"/>
    </row>
    <row r="464" spans="1:27">
      <c r="A464" s="127">
        <f ca="1">IFERROR(__xludf.DUMMYFUNCTION("""COMPUTED_VALUE"""),759724529202804)</f>
        <v>759724529202804</v>
      </c>
      <c r="B464" s="127" t="str">
        <f ca="1">IFERROR(__xludf.DUMMYFUNCTION("""COMPUTED_VALUE"""),"120229240968870200")</f>
        <v>120229240968870200</v>
      </c>
      <c r="C464" s="127" t="str">
        <f ca="1">IFERROR(__xludf.DUMMYFUNCTION("""COMPUTED_VALUE"""),"Cipta Gading")</f>
        <v>Cipta Gading</v>
      </c>
      <c r="D464" s="138" t="str">
        <f ca="1">IFERROR(__xludf.DUMMYFUNCTION("""COMPUTED_VALUE"""),"https://wa.me/628158830325")</f>
        <v>https://wa.me/628158830325</v>
      </c>
      <c r="E464" s="139" t="str">
        <f ca="1">IFERROR(__xludf.DUMMYFUNCTION("""COMPUTED_VALUE"""),"628158830325")</f>
        <v>628158830325</v>
      </c>
      <c r="F464" s="139">
        <f ca="1">IFERROR(__xludf.DUMMYFUNCTION("""COMPUTED_VALUE"""),1343)</f>
        <v>1343</v>
      </c>
      <c r="G464" s="139">
        <f ca="1">IFERROR(__xludf.DUMMYFUNCTION("""COMPUTED_VALUE"""),63069.3333333333)</f>
        <v>63069.333333333299</v>
      </c>
      <c r="H464" s="139">
        <f ca="1">IFERROR(__xludf.DUMMYFUNCTION("""COMPUTED_VALUE"""),7)</f>
        <v>7</v>
      </c>
      <c r="I464" s="140">
        <f ca="1">IFERROR(__xludf.DUMMYFUNCTION("""COMPUTED_VALUE"""),93027)</f>
        <v>93027</v>
      </c>
      <c r="J464" s="141">
        <f ca="1">IFERROR(__xludf.DUMMYFUNCTION("""COMPUTED_VALUE"""),13289.5714285714)</f>
        <v>13289.5714285714</v>
      </c>
      <c r="K464" s="142">
        <f ca="1">IFERROR(__xludf.DUMMYFUNCTION("""COMPUTED_VALUE"""),6.2018)</f>
        <v>6.2018000000000004</v>
      </c>
      <c r="L464" s="143" t="str">
        <f ca="1"/>
        <v>Wiris Variasi</v>
      </c>
      <c r="M464" s="127"/>
      <c r="N464" s="127"/>
      <c r="O464" s="127"/>
      <c r="P464" s="127"/>
      <c r="Q464" s="127"/>
      <c r="R464" s="127"/>
      <c r="S464" s="127"/>
      <c r="T464" s="127"/>
      <c r="U464" s="127"/>
      <c r="V464" s="127"/>
      <c r="W464" s="127"/>
      <c r="X464" s="127"/>
      <c r="Y464" s="127"/>
      <c r="Z464" s="127"/>
      <c r="AA464" s="127"/>
    </row>
    <row r="465" spans="1:27">
      <c r="A465" s="127">
        <f ca="1">IFERROR(__xludf.DUMMYFUNCTION("""COMPUTED_VALUE"""),759724529202804)</f>
        <v>759724529202804</v>
      </c>
      <c r="B465" s="127" t="str">
        <f ca="1">IFERROR(__xludf.DUMMYFUNCTION("""COMPUTED_VALUE"""),"120229243414420200")</f>
        <v>120229243414420200</v>
      </c>
      <c r="C465" s="127" t="str">
        <f ca="1">IFERROR(__xludf.DUMMYFUNCTION("""COMPUTED_VALUE"""),"Salon Yolandha")</f>
        <v>Salon Yolandha</v>
      </c>
      <c r="D465" s="138" t="str">
        <f ca="1">IFERROR(__xludf.DUMMYFUNCTION("""COMPUTED_VALUE"""),"https://wa.me/6281248936324")</f>
        <v>https://wa.me/6281248936324</v>
      </c>
      <c r="E465" s="139" t="str">
        <f ca="1">IFERROR(__xludf.DUMMYFUNCTION("""COMPUTED_VALUE"""),"6281248936324")</f>
        <v>6281248936324</v>
      </c>
      <c r="F465" s="139">
        <f ca="1">IFERROR(__xludf.DUMMYFUNCTION("""COMPUTED_VALUE"""),9344)</f>
        <v>9344</v>
      </c>
      <c r="G465" s="139">
        <f ca="1">IFERROR(__xludf.DUMMYFUNCTION("""COMPUTED_VALUE"""),9239.33333333333)</f>
        <v>9239.3333333333303</v>
      </c>
      <c r="H465" s="139">
        <f ca="1">IFERROR(__xludf.DUMMYFUNCTION("""COMPUTED_VALUE"""),97)</f>
        <v>97</v>
      </c>
      <c r="I465" s="140">
        <f ca="1">IFERROR(__xludf.DUMMYFUNCTION("""COMPUTED_VALUE"""),94219)</f>
        <v>94219</v>
      </c>
      <c r="J465" s="141">
        <f ca="1">IFERROR(__xludf.DUMMYFUNCTION("""COMPUTED_VALUE"""),971.329896907216)</f>
        <v>971.32989690721604</v>
      </c>
      <c r="K465" s="142">
        <f ca="1">IFERROR(__xludf.DUMMYFUNCTION("""COMPUTED_VALUE"""),6.28126666666666)</f>
        <v>6.2812666666666601</v>
      </c>
      <c r="L465" s="143" t="str">
        <f ca="1"/>
        <v>Wiris Variasi</v>
      </c>
      <c r="M465" s="127"/>
      <c r="N465" s="127"/>
      <c r="O465" s="127"/>
      <c r="P465" s="127"/>
      <c r="Q465" s="127"/>
      <c r="R465" s="127"/>
      <c r="S465" s="127"/>
      <c r="T465" s="127"/>
      <c r="U465" s="127"/>
      <c r="V465" s="127"/>
      <c r="W465" s="127"/>
      <c r="X465" s="127"/>
      <c r="Y465" s="127"/>
      <c r="Z465" s="127"/>
      <c r="AA465" s="127"/>
    </row>
    <row r="466" spans="1:27">
      <c r="A466" s="127">
        <f ca="1">IFERROR(__xludf.DUMMYFUNCTION("""COMPUTED_VALUE"""),759724529202804)</f>
        <v>759724529202804</v>
      </c>
      <c r="B466" s="127" t="str">
        <f ca="1">IFERROR(__xludf.DUMMYFUNCTION("""COMPUTED_VALUE"""),"120229259215650200")</f>
        <v>120229259215650200</v>
      </c>
      <c r="C466" s="127" t="str">
        <f ca="1">IFERROR(__xludf.DUMMYFUNCTION("""COMPUTED_VALUE"""),"CV. ACHAY")</f>
        <v>CV. ACHAY</v>
      </c>
      <c r="D466" s="138" t="str">
        <f ca="1">IFERROR(__xludf.DUMMYFUNCTION("""COMPUTED_VALUE"""),"https://wa.me/6281649155643")</f>
        <v>https://wa.me/6281649155643</v>
      </c>
      <c r="E466" s="139" t="str">
        <f ca="1">IFERROR(__xludf.DUMMYFUNCTION("""COMPUTED_VALUE"""),"6281649155643")</f>
        <v>6281649155643</v>
      </c>
      <c r="F466" s="139">
        <f ca="1">IFERROR(__xludf.DUMMYFUNCTION("""COMPUTED_VALUE"""),4828)</f>
        <v>4828</v>
      </c>
      <c r="G466" s="139">
        <f ca="1">IFERROR(__xludf.DUMMYFUNCTION("""COMPUTED_VALUE"""),17286.1666666666)</f>
        <v>17286.166666666599</v>
      </c>
      <c r="H466" s="139">
        <f ca="1">IFERROR(__xludf.DUMMYFUNCTION("""COMPUTED_VALUE"""),15)</f>
        <v>15</v>
      </c>
      <c r="I466" s="140">
        <f ca="1">IFERROR(__xludf.DUMMYFUNCTION("""COMPUTED_VALUE"""),89822)</f>
        <v>89822</v>
      </c>
      <c r="J466" s="141">
        <f ca="1">IFERROR(__xludf.DUMMYFUNCTION("""COMPUTED_VALUE"""),5988.13333333333)</f>
        <v>5988.1333333333296</v>
      </c>
      <c r="K466" s="142">
        <f ca="1">IFERROR(__xludf.DUMMYFUNCTION("""COMPUTED_VALUE"""),5.98813333333333)</f>
        <v>5.9881333333333302</v>
      </c>
      <c r="L466" s="143" t="str">
        <f ca="1"/>
        <v>Wiris Variasi</v>
      </c>
      <c r="M466" s="127"/>
      <c r="N466" s="127"/>
      <c r="O466" s="127"/>
      <c r="P466" s="127"/>
      <c r="Q466" s="127"/>
      <c r="R466" s="127"/>
      <c r="S466" s="127"/>
      <c r="T466" s="127"/>
      <c r="U466" s="127"/>
      <c r="V466" s="127"/>
      <c r="W466" s="127"/>
      <c r="X466" s="127"/>
      <c r="Y466" s="127"/>
      <c r="Z466" s="127"/>
      <c r="AA466" s="127"/>
    </row>
    <row r="467" spans="1:27">
      <c r="A467" s="127">
        <f ca="1">IFERROR(__xludf.DUMMYFUNCTION("""COMPUTED_VALUE"""),759724529202804)</f>
        <v>759724529202804</v>
      </c>
      <c r="B467" s="127" t="str">
        <f ca="1">IFERROR(__xludf.DUMMYFUNCTION("""COMPUTED_VALUE"""),"120229259533260200")</f>
        <v>120229259533260200</v>
      </c>
      <c r="C467" s="127" t="str">
        <f ca="1">IFERROR(__xludf.DUMMYFUNCTION("""COMPUTED_VALUE"""),"mitra kurir")</f>
        <v>mitra kurir</v>
      </c>
      <c r="D467" s="138" t="str">
        <f ca="1">IFERROR(__xludf.DUMMYFUNCTION("""COMPUTED_VALUE"""),"https://wa.me/628174741283")</f>
        <v>https://wa.me/628174741283</v>
      </c>
      <c r="E467" s="139" t="str">
        <f ca="1">IFERROR(__xludf.DUMMYFUNCTION("""COMPUTED_VALUE"""),"628174741283")</f>
        <v>628174741283</v>
      </c>
      <c r="F467" s="139">
        <f ca="1">IFERROR(__xludf.DUMMYFUNCTION("""COMPUTED_VALUE"""),8579)</f>
        <v>8579</v>
      </c>
      <c r="G467" s="139">
        <f ca="1">IFERROR(__xludf.DUMMYFUNCTION("""COMPUTED_VALUE"""),9202.83333333333)</f>
        <v>9202.8333333333303</v>
      </c>
      <c r="H467" s="139">
        <f ca="1">IFERROR(__xludf.DUMMYFUNCTION("""COMPUTED_VALUE"""),18)</f>
        <v>18</v>
      </c>
      <c r="I467" s="140">
        <f ca="1">IFERROR(__xludf.DUMMYFUNCTION("""COMPUTED_VALUE"""),92006)</f>
        <v>92006</v>
      </c>
      <c r="J467" s="141">
        <f ca="1">IFERROR(__xludf.DUMMYFUNCTION("""COMPUTED_VALUE"""),5111.44444444444)</f>
        <v>5111.4444444444398</v>
      </c>
      <c r="K467" s="142">
        <f ca="1">IFERROR(__xludf.DUMMYFUNCTION("""COMPUTED_VALUE"""),6.13373333333333)</f>
        <v>6.1337333333333302</v>
      </c>
      <c r="L467" s="143" t="str">
        <f ca="1"/>
        <v>Wiris Variasi</v>
      </c>
      <c r="M467" s="127"/>
      <c r="N467" s="127"/>
      <c r="O467" s="127"/>
      <c r="P467" s="127"/>
      <c r="Q467" s="127"/>
      <c r="R467" s="127"/>
      <c r="S467" s="127"/>
      <c r="T467" s="127"/>
      <c r="U467" s="127"/>
      <c r="V467" s="127"/>
      <c r="W467" s="127"/>
      <c r="X467" s="127"/>
      <c r="Y467" s="127"/>
      <c r="Z467" s="127"/>
      <c r="AA467" s="127"/>
    </row>
    <row r="468" spans="1:27">
      <c r="A468" s="127">
        <f ca="1">IFERROR(__xludf.DUMMYFUNCTION("""COMPUTED_VALUE"""),759724529202804)</f>
        <v>759724529202804</v>
      </c>
      <c r="B468" s="127" t="str">
        <f ca="1">IFERROR(__xludf.DUMMYFUNCTION("""COMPUTED_VALUE"""),"120229310340250200")</f>
        <v>120229310340250200</v>
      </c>
      <c r="C468" s="127" t="str">
        <f ca="1">IFERROR(__xludf.DUMMYFUNCTION("""COMPUTED_VALUE"""),"mitra kurir")</f>
        <v>mitra kurir</v>
      </c>
      <c r="D468" s="138" t="str">
        <f ca="1">IFERROR(__xludf.DUMMYFUNCTION("""COMPUTED_VALUE"""),"https://wa.me/628174741283")</f>
        <v>https://wa.me/628174741283</v>
      </c>
      <c r="E468" s="139" t="str">
        <f ca="1">IFERROR(__xludf.DUMMYFUNCTION("""COMPUTED_VALUE"""),"628174741283")</f>
        <v>628174741283</v>
      </c>
      <c r="F468" s="139">
        <f ca="1">IFERROR(__xludf.DUMMYFUNCTION("""COMPUTED_VALUE"""),108)</f>
        <v>108</v>
      </c>
      <c r="G468" s="139">
        <f ca="1">IFERROR(__xludf.DUMMYFUNCTION("""COMPUTED_VALUE"""),9481)</f>
        <v>9481</v>
      </c>
      <c r="H468" s="139">
        <f ca="1">IFERROR(__xludf.DUMMYFUNCTION("""COMPUTED_VALUE"""),0)</f>
        <v>0</v>
      </c>
      <c r="I468" s="140">
        <f ca="1">IFERROR(__xludf.DUMMYFUNCTION("""COMPUTED_VALUE"""),1024)</f>
        <v>1024</v>
      </c>
      <c r="J468" s="141"/>
      <c r="K468" s="142">
        <f ca="1">IFERROR(__xludf.DUMMYFUNCTION("""COMPUTED_VALUE"""),0.0682666666666666)</f>
        <v>6.8266666666666601E-2</v>
      </c>
      <c r="L468" s="143" t="str">
        <f ca="1"/>
        <v>Wiris Variasi</v>
      </c>
      <c r="M468" s="127"/>
      <c r="N468" s="127"/>
      <c r="O468" s="127"/>
      <c r="P468" s="127"/>
      <c r="Q468" s="127"/>
      <c r="R468" s="127"/>
      <c r="S468" s="127"/>
      <c r="T468" s="127"/>
      <c r="U468" s="127"/>
      <c r="V468" s="127"/>
      <c r="W468" s="127"/>
      <c r="X468" s="127"/>
      <c r="Y468" s="127"/>
      <c r="Z468" s="127"/>
      <c r="AA468" s="127"/>
    </row>
    <row r="469" spans="1:27">
      <c r="A469" s="127">
        <f ca="1">IFERROR(__xludf.DUMMYFUNCTION("""COMPUTED_VALUE"""),759724529202804)</f>
        <v>759724529202804</v>
      </c>
      <c r="B469" s="127" t="str">
        <f ca="1">IFERROR(__xludf.DUMMYFUNCTION("""COMPUTED_VALUE"""),"120229316074150200")</f>
        <v>120229316074150200</v>
      </c>
      <c r="C469" s="127" t="str">
        <f ca="1">IFERROR(__xludf.DUMMYFUNCTION("""COMPUTED_VALUE"""),"LITNASALON")</f>
        <v>LITNASALON</v>
      </c>
      <c r="D469" s="138" t="str">
        <f ca="1">IFERROR(__xludf.DUMMYFUNCTION("""COMPUTED_VALUE"""),"https://wa.me/6281269441611")</f>
        <v>https://wa.me/6281269441611</v>
      </c>
      <c r="E469" s="139" t="str">
        <f ca="1">IFERROR(__xludf.DUMMYFUNCTION("""COMPUTED_VALUE"""),"6281269441611")</f>
        <v>6281269441611</v>
      </c>
      <c r="F469" s="139">
        <f ca="1">IFERROR(__xludf.DUMMYFUNCTION("""COMPUTED_VALUE"""),8410)</f>
        <v>8410</v>
      </c>
      <c r="G469" s="139">
        <f ca="1">IFERROR(__xludf.DUMMYFUNCTION("""COMPUTED_VALUE"""),10956.5714285714)</f>
        <v>10956.5714285714</v>
      </c>
      <c r="H469" s="139">
        <f ca="1">IFERROR(__xludf.DUMMYFUNCTION("""COMPUTED_VALUE"""),24)</f>
        <v>24</v>
      </c>
      <c r="I469" s="140">
        <f ca="1">IFERROR(__xludf.DUMMYFUNCTION("""COMPUTED_VALUE"""),110356)</f>
        <v>110356</v>
      </c>
      <c r="J469" s="141">
        <f ca="1">IFERROR(__xludf.DUMMYFUNCTION("""COMPUTED_VALUE"""),4598.16666666666)</f>
        <v>4598.1666666666597</v>
      </c>
      <c r="K469" s="142">
        <f ca="1">IFERROR(__xludf.DUMMYFUNCTION("""COMPUTED_VALUE"""),7.35706666666666)</f>
        <v>7.3570666666666602</v>
      </c>
      <c r="L469" s="143" t="str">
        <f ca="1"/>
        <v>Wiris Variasi</v>
      </c>
      <c r="M469" s="127"/>
      <c r="N469" s="127"/>
      <c r="O469" s="127"/>
      <c r="P469" s="127"/>
      <c r="Q469" s="127"/>
      <c r="R469" s="127"/>
      <c r="S469" s="127"/>
      <c r="T469" s="127"/>
      <c r="U469" s="127"/>
      <c r="V469" s="127"/>
      <c r="W469" s="127"/>
      <c r="X469" s="127"/>
      <c r="Y469" s="127"/>
      <c r="Z469" s="127"/>
      <c r="AA469" s="127"/>
    </row>
    <row r="470" spans="1:27">
      <c r="A470" s="127">
        <f ca="1">IFERROR(__xludf.DUMMYFUNCTION("""COMPUTED_VALUE"""),759724529202804)</f>
        <v>759724529202804</v>
      </c>
      <c r="B470" s="127" t="str">
        <f ca="1">IFERROR(__xludf.DUMMYFUNCTION("""COMPUTED_VALUE"""),"120229368849020200")</f>
        <v>120229368849020200</v>
      </c>
      <c r="C470" s="127" t="str">
        <f ca="1">IFERROR(__xludf.DUMMYFUNCTION("""COMPUTED_VALUE"""),"Kampus Bina")</f>
        <v>Kampus Bina</v>
      </c>
      <c r="D470" s="138" t="str">
        <f ca="1">IFERROR(__xludf.DUMMYFUNCTION("""COMPUTED_VALUE"""),"https://wa.me/6281366622333")</f>
        <v>https://wa.me/6281366622333</v>
      </c>
      <c r="E470" s="139" t="str">
        <f ca="1">IFERROR(__xludf.DUMMYFUNCTION("""COMPUTED_VALUE"""),"6281366622333")</f>
        <v>6281366622333</v>
      </c>
      <c r="F470" s="139">
        <f ca="1">IFERROR(__xludf.DUMMYFUNCTION("""COMPUTED_VALUE"""),7167)</f>
        <v>7167</v>
      </c>
      <c r="G470" s="139">
        <f ca="1">IFERROR(__xludf.DUMMYFUNCTION("""COMPUTED_VALUE"""),19702.1)</f>
        <v>19702.099999999999</v>
      </c>
      <c r="H470" s="139">
        <f ca="1">IFERROR(__xludf.DUMMYFUNCTION("""COMPUTED_VALUE"""),20)</f>
        <v>20</v>
      </c>
      <c r="I470" s="140">
        <f ca="1">IFERROR(__xludf.DUMMYFUNCTION("""COMPUTED_VALUE"""),155549)</f>
        <v>155549</v>
      </c>
      <c r="J470" s="141">
        <f ca="1">IFERROR(__xludf.DUMMYFUNCTION("""COMPUTED_VALUE"""),7777.45)</f>
        <v>7777.45</v>
      </c>
      <c r="K470" s="142">
        <f ca="1">IFERROR(__xludf.DUMMYFUNCTION("""COMPUTED_VALUE"""),10.3699333333333)</f>
        <v>10.3699333333333</v>
      </c>
      <c r="L470" s="143" t="str">
        <f ca="1"/>
        <v>Wiris Variasi</v>
      </c>
      <c r="M470" s="127"/>
      <c r="N470" s="127"/>
      <c r="O470" s="127"/>
      <c r="P470" s="127"/>
      <c r="Q470" s="127"/>
      <c r="R470" s="127"/>
      <c r="S470" s="127"/>
      <c r="T470" s="127"/>
      <c r="U470" s="127"/>
      <c r="V470" s="127"/>
      <c r="W470" s="127"/>
      <c r="X470" s="127"/>
      <c r="Y470" s="127"/>
      <c r="Z470" s="127"/>
      <c r="AA470" s="127"/>
    </row>
    <row r="471" spans="1:27">
      <c r="A471" s="127">
        <f ca="1">IFERROR(__xludf.DUMMYFUNCTION("""COMPUTED_VALUE"""),759724529202804)</f>
        <v>759724529202804</v>
      </c>
      <c r="B471" s="127" t="str">
        <f ca="1">IFERROR(__xludf.DUMMYFUNCTION("""COMPUTED_VALUE"""),"120229445775520200")</f>
        <v>120229445775520200</v>
      </c>
      <c r="C471" s="127" t="str">
        <f ca="1">IFERROR(__xludf.DUMMYFUNCTION("""COMPUTED_VALUE"""),"HOME CARE")</f>
        <v>HOME CARE</v>
      </c>
      <c r="D471" s="138" t="str">
        <f ca="1">IFERROR(__xludf.DUMMYFUNCTION("""COMPUTED_VALUE"""),"https://wa.me/6287777241263")</f>
        <v>https://wa.me/6287777241263</v>
      </c>
      <c r="E471" s="139" t="str">
        <f ca="1">IFERROR(__xludf.DUMMYFUNCTION("""COMPUTED_VALUE"""),"6287777241263")</f>
        <v>6287777241263</v>
      </c>
      <c r="F471" s="139">
        <f ca="1">IFERROR(__xludf.DUMMYFUNCTION("""COMPUTED_VALUE"""),5396)</f>
        <v>5396</v>
      </c>
      <c r="G471" s="139">
        <f ca="1">IFERROR(__xludf.DUMMYFUNCTION("""COMPUTED_VALUE"""),12652.8)</f>
        <v>12652.8</v>
      </c>
      <c r="H471" s="139">
        <f ca="1">IFERROR(__xludf.DUMMYFUNCTION("""COMPUTED_VALUE"""),3)</f>
        <v>3</v>
      </c>
      <c r="I471" s="140">
        <f ca="1">IFERROR(__xludf.DUMMYFUNCTION("""COMPUTED_VALUE"""),80401)</f>
        <v>80401</v>
      </c>
      <c r="J471" s="141">
        <f ca="1">IFERROR(__xludf.DUMMYFUNCTION("""COMPUTED_VALUE"""),26800.3333333333)</f>
        <v>26800.333333333299</v>
      </c>
      <c r="K471" s="142">
        <f ca="1">IFERROR(__xludf.DUMMYFUNCTION("""COMPUTED_VALUE"""),5.36006666666666)</f>
        <v>5.3600666666666603</v>
      </c>
      <c r="L471" s="143" t="str">
        <f ca="1"/>
        <v>Wiris Variasi</v>
      </c>
      <c r="M471" s="127"/>
      <c r="N471" s="127"/>
      <c r="O471" s="127"/>
      <c r="P471" s="127"/>
      <c r="Q471" s="127"/>
      <c r="R471" s="127"/>
      <c r="S471" s="127"/>
      <c r="T471" s="127"/>
      <c r="U471" s="127"/>
      <c r="V471" s="127"/>
      <c r="W471" s="127"/>
      <c r="X471" s="127"/>
      <c r="Y471" s="127"/>
      <c r="Z471" s="127"/>
      <c r="AA471" s="127"/>
    </row>
    <row r="472" spans="1:27">
      <c r="A472" s="127">
        <f ca="1">IFERROR(__xludf.DUMMYFUNCTION("""COMPUTED_VALUE"""),759724529202804)</f>
        <v>759724529202804</v>
      </c>
      <c r="B472" s="127" t="str">
        <f ca="1">IFERROR(__xludf.DUMMYFUNCTION("""COMPUTED_VALUE"""),"120229472269830200")</f>
        <v>120229472269830200</v>
      </c>
      <c r="C472" s="127" t="str">
        <f ca="1">IFERROR(__xludf.DUMMYFUNCTION("""COMPUTED_VALUE"""),"LPK BANGSA")</f>
        <v>LPK BANGSA</v>
      </c>
      <c r="D472" s="138" t="str">
        <f ca="1">IFERROR(__xludf.DUMMYFUNCTION("""COMPUTED_VALUE"""),"https://wa.me/6285974999484")</f>
        <v>https://wa.me/6285974999484</v>
      </c>
      <c r="E472" s="139" t="str">
        <f ca="1">IFERROR(__xludf.DUMMYFUNCTION("""COMPUTED_VALUE"""),"6285974999484")</f>
        <v>6285974999484</v>
      </c>
      <c r="F472" s="139">
        <f ca="1">IFERROR(__xludf.DUMMYFUNCTION("""COMPUTED_VALUE"""),2913)</f>
        <v>2913</v>
      </c>
      <c r="G472" s="139">
        <f ca="1">IFERROR(__xludf.DUMMYFUNCTION("""COMPUTED_VALUE"""),23013.4)</f>
        <v>23013.4</v>
      </c>
      <c r="H472" s="139">
        <f ca="1">IFERROR(__xludf.DUMMYFUNCTION("""COMPUTED_VALUE"""),21)</f>
        <v>21</v>
      </c>
      <c r="I472" s="140">
        <f ca="1">IFERROR(__xludf.DUMMYFUNCTION("""COMPUTED_VALUE"""),79714)</f>
        <v>79714</v>
      </c>
      <c r="J472" s="141">
        <f ca="1">IFERROR(__xludf.DUMMYFUNCTION("""COMPUTED_VALUE"""),3795.90476190476)</f>
        <v>3795.9047619047601</v>
      </c>
      <c r="K472" s="142">
        <f ca="1">IFERROR(__xludf.DUMMYFUNCTION("""COMPUTED_VALUE"""),5.31426666666666)</f>
        <v>5.3142666666666596</v>
      </c>
      <c r="L472" s="143" t="str">
        <f ca="1"/>
        <v>Wiris Variasi</v>
      </c>
      <c r="M472" s="127"/>
      <c r="N472" s="127"/>
      <c r="O472" s="127"/>
      <c r="P472" s="127"/>
      <c r="Q472" s="127"/>
      <c r="R472" s="127"/>
      <c r="S472" s="127"/>
      <c r="T472" s="127"/>
      <c r="U472" s="127"/>
      <c r="V472" s="127"/>
      <c r="W472" s="127"/>
      <c r="X472" s="127"/>
      <c r="Y472" s="127"/>
      <c r="Z472" s="127"/>
      <c r="AA472" s="127"/>
    </row>
    <row r="473" spans="1:27">
      <c r="A473" s="127">
        <f ca="1">IFERROR(__xludf.DUMMYFUNCTION("""COMPUTED_VALUE"""),759724529202804)</f>
        <v>759724529202804</v>
      </c>
      <c r="B473" s="127" t="str">
        <f ca="1">IFERROR(__xludf.DUMMYFUNCTION("""COMPUTED_VALUE"""),"120229484888710200")</f>
        <v>120229484888710200</v>
      </c>
      <c r="C473" s="127" t="str">
        <f ca="1">IFERROR(__xludf.DUMMYFUNCTION("""COMPUTED_VALUE"""),"GAST TRAVEL")</f>
        <v>GAST TRAVEL</v>
      </c>
      <c r="D473" s="138" t="str">
        <f ca="1">IFERROR(__xludf.DUMMYFUNCTION("""COMPUTED_VALUE"""),"https://wa.me/6285169568997")</f>
        <v>https://wa.me/6285169568997</v>
      </c>
      <c r="E473" s="139" t="str">
        <f ca="1">IFERROR(__xludf.DUMMYFUNCTION("""COMPUTED_VALUE"""),"6285169568997")</f>
        <v>6285169568997</v>
      </c>
      <c r="F473" s="139">
        <f ca="1">IFERROR(__xludf.DUMMYFUNCTION("""COMPUTED_VALUE"""),2203)</f>
        <v>2203</v>
      </c>
      <c r="G473" s="139">
        <f ca="1">IFERROR(__xludf.DUMMYFUNCTION("""COMPUTED_VALUE"""),30182.8)</f>
        <v>30182.799999999999</v>
      </c>
      <c r="H473" s="139">
        <f ca="1">IFERROR(__xludf.DUMMYFUNCTION("""COMPUTED_VALUE"""),8)</f>
        <v>8</v>
      </c>
      <c r="I473" s="140">
        <f ca="1">IFERROR(__xludf.DUMMYFUNCTION("""COMPUTED_VALUE"""),76056)</f>
        <v>76056</v>
      </c>
      <c r="J473" s="141">
        <f ca="1">IFERROR(__xludf.DUMMYFUNCTION("""COMPUTED_VALUE"""),9507)</f>
        <v>9507</v>
      </c>
      <c r="K473" s="142">
        <f ca="1">IFERROR(__xludf.DUMMYFUNCTION("""COMPUTED_VALUE"""),5.0704)</f>
        <v>5.0704000000000002</v>
      </c>
      <c r="L473" s="143" t="str">
        <f ca="1"/>
        <v>Wiris Variasi</v>
      </c>
      <c r="M473" s="127"/>
      <c r="N473" s="127"/>
      <c r="O473" s="127"/>
      <c r="P473" s="127"/>
      <c r="Q473" s="127"/>
      <c r="R473" s="127"/>
      <c r="S473" s="127"/>
      <c r="T473" s="127"/>
      <c r="U473" s="127"/>
      <c r="V473" s="127"/>
      <c r="W473" s="127"/>
      <c r="X473" s="127"/>
      <c r="Y473" s="127"/>
      <c r="Z473" s="127"/>
      <c r="AA473" s="127"/>
    </row>
    <row r="474" spans="1:27">
      <c r="A474" s="127">
        <f ca="1">IFERROR(__xludf.DUMMYFUNCTION("""COMPUTED_VALUE"""),759724529202804)</f>
        <v>759724529202804</v>
      </c>
      <c r="B474" s="127" t="str">
        <f ca="1">IFERROR(__xludf.DUMMYFUNCTION("""COMPUTED_VALUE"""),"120229489313280200")</f>
        <v>120229489313280200</v>
      </c>
      <c r="C474" s="127" t="str">
        <f ca="1">IFERROR(__xludf.DUMMYFUNCTION("""COMPUTED_VALUE"""),"Pratama Abadi")</f>
        <v>Pratama Abadi</v>
      </c>
      <c r="D474" s="138" t="str">
        <f ca="1">IFERROR(__xludf.DUMMYFUNCTION("""COMPUTED_VALUE"""),"https://wa.me/6281282183261")</f>
        <v>https://wa.me/6281282183261</v>
      </c>
      <c r="E474" s="139" t="str">
        <f ca="1">IFERROR(__xludf.DUMMYFUNCTION("""COMPUTED_VALUE"""),"6281282183261")</f>
        <v>6281282183261</v>
      </c>
      <c r="F474" s="139">
        <f ca="1">IFERROR(__xludf.DUMMYFUNCTION("""COMPUTED_VALUE"""),8189)</f>
        <v>8189</v>
      </c>
      <c r="G474" s="139">
        <f ca="1">IFERROR(__xludf.DUMMYFUNCTION("""COMPUTED_VALUE"""),28344.8888888888)</f>
        <v>28344.8888888888</v>
      </c>
      <c r="H474" s="139">
        <f ca="1">IFERROR(__xludf.DUMMYFUNCTION("""COMPUTED_VALUE"""),73)</f>
        <v>73</v>
      </c>
      <c r="I474" s="140">
        <f ca="1">IFERROR(__xludf.DUMMYFUNCTION("""COMPUTED_VALUE"""),266264)</f>
        <v>266264</v>
      </c>
      <c r="J474" s="141">
        <f ca="1">IFERROR(__xludf.DUMMYFUNCTION("""COMPUTED_VALUE"""),3647.45205479452)</f>
        <v>3647.4520547945199</v>
      </c>
      <c r="K474" s="142">
        <f ca="1">IFERROR(__xludf.DUMMYFUNCTION("""COMPUTED_VALUE"""),17.7509333333333)</f>
        <v>17.7509333333333</v>
      </c>
      <c r="L474" s="143" t="str">
        <f ca="1"/>
        <v>Wiris Variasi</v>
      </c>
      <c r="M474" s="127"/>
      <c r="N474" s="127"/>
      <c r="O474" s="127"/>
      <c r="P474" s="127"/>
      <c r="Q474" s="127"/>
      <c r="R474" s="127"/>
      <c r="S474" s="127"/>
      <c r="T474" s="127"/>
      <c r="U474" s="127"/>
      <c r="V474" s="127"/>
      <c r="W474" s="127"/>
      <c r="X474" s="127"/>
      <c r="Y474" s="127"/>
      <c r="Z474" s="127"/>
      <c r="AA474" s="127"/>
    </row>
    <row r="475" spans="1:27">
      <c r="A475" s="127">
        <f ca="1">IFERROR(__xludf.DUMMYFUNCTION("""COMPUTED_VALUE"""),759724529202804)</f>
        <v>759724529202804</v>
      </c>
      <c r="B475" s="127" t="str">
        <f ca="1">IFERROR(__xludf.DUMMYFUNCTION("""COMPUTED_VALUE"""),"120229583661640200")</f>
        <v>120229583661640200</v>
      </c>
      <c r="C475" s="127" t="str">
        <f ca="1">IFERROR(__xludf.DUMMYFUNCTION("""COMPUTED_VALUE"""),"Johan distributor")</f>
        <v>Johan distributor</v>
      </c>
      <c r="D475" s="138" t="str">
        <f ca="1">IFERROR(__xludf.DUMMYFUNCTION("""COMPUTED_VALUE"""),"https://wa.me/628111988553")</f>
        <v>https://wa.me/628111988553</v>
      </c>
      <c r="E475" s="139" t="str">
        <f ca="1">IFERROR(__xludf.DUMMYFUNCTION("""COMPUTED_VALUE"""),"628111988553")</f>
        <v>628111988553</v>
      </c>
      <c r="F475" s="139">
        <f ca="1">IFERROR(__xludf.DUMMYFUNCTION("""COMPUTED_VALUE"""),6755)</f>
        <v>6755</v>
      </c>
      <c r="G475" s="139">
        <f ca="1">IFERROR(__xludf.DUMMYFUNCTION("""COMPUTED_VALUE"""),64337.7586206896)</f>
        <v>64337.758620689601</v>
      </c>
      <c r="H475" s="139">
        <f ca="1">IFERROR(__xludf.DUMMYFUNCTION("""COMPUTED_VALUE"""),19)</f>
        <v>19</v>
      </c>
      <c r="I475" s="140">
        <f ca="1">IFERROR(__xludf.DUMMYFUNCTION("""COMPUTED_VALUE"""),455422)</f>
        <v>455422</v>
      </c>
      <c r="J475" s="141">
        <f ca="1">IFERROR(__xludf.DUMMYFUNCTION("""COMPUTED_VALUE"""),23969.5789473684)</f>
        <v>23969.578947368402</v>
      </c>
      <c r="K475" s="142">
        <f ca="1">IFERROR(__xludf.DUMMYFUNCTION("""COMPUTED_VALUE"""),30.3614666666666)</f>
        <v>30.361466666666601</v>
      </c>
      <c r="L475" s="143" t="str">
        <f ca="1"/>
        <v>Wiris Variasi</v>
      </c>
      <c r="M475" s="127"/>
      <c r="N475" s="127"/>
      <c r="O475" s="127"/>
      <c r="P475" s="127"/>
      <c r="Q475" s="127"/>
      <c r="R475" s="127"/>
      <c r="S475" s="127"/>
      <c r="T475" s="127"/>
      <c r="U475" s="127"/>
      <c r="V475" s="127"/>
      <c r="W475" s="127"/>
      <c r="X475" s="127"/>
      <c r="Y475" s="127"/>
      <c r="Z475" s="127"/>
      <c r="AA475" s="127"/>
    </row>
    <row r="476" spans="1:27">
      <c r="A476" s="127">
        <f ca="1">IFERROR(__xludf.DUMMYFUNCTION("""COMPUTED_VALUE"""),759724529202804)</f>
        <v>759724529202804</v>
      </c>
      <c r="B476" s="127" t="str">
        <f ca="1">IFERROR(__xludf.DUMMYFUNCTION("""COMPUTED_VALUE"""),"120229679951170200")</f>
        <v>120229679951170200</v>
      </c>
      <c r="C476" s="127" t="str">
        <f ca="1">IFERROR(__xludf.DUMMYFUNCTION("""COMPUTED_VALUE"""),"PT MAKMUR JAYA ZEBUA")</f>
        <v>PT MAKMUR JAYA ZEBUA</v>
      </c>
      <c r="D476" s="138" t="str">
        <f ca="1">IFERROR(__xludf.DUMMYFUNCTION("""COMPUTED_VALUE"""),"https://wa.me/6285220903499")</f>
        <v>https://wa.me/6285220903499</v>
      </c>
      <c r="E476" s="139" t="str">
        <f ca="1">IFERROR(__xludf.DUMMYFUNCTION("""COMPUTED_VALUE"""),"6285220903499")</f>
        <v>6285220903499</v>
      </c>
      <c r="F476" s="139">
        <f ca="1">IFERROR(__xludf.DUMMYFUNCTION("""COMPUTED_VALUE"""),16371)</f>
        <v>16371</v>
      </c>
      <c r="G476" s="139">
        <f ca="1">IFERROR(__xludf.DUMMYFUNCTION("""COMPUTED_VALUE"""),16243.947368421)</f>
        <v>16243.947368421001</v>
      </c>
      <c r="H476" s="139">
        <f ca="1">IFERROR(__xludf.DUMMYFUNCTION("""COMPUTED_VALUE"""),89)</f>
        <v>89</v>
      </c>
      <c r="I476" s="140">
        <f ca="1">IFERROR(__xludf.DUMMYFUNCTION("""COMPUTED_VALUE"""),296822)</f>
        <v>296822</v>
      </c>
      <c r="J476" s="141">
        <f ca="1">IFERROR(__xludf.DUMMYFUNCTION("""COMPUTED_VALUE"""),3335.07865168539)</f>
        <v>3335.07865168539</v>
      </c>
      <c r="K476" s="142">
        <f ca="1">IFERROR(__xludf.DUMMYFUNCTION("""COMPUTED_VALUE"""),19.7881333333333)</f>
        <v>19.788133333333299</v>
      </c>
      <c r="L476" s="143" t="str">
        <f ca="1"/>
        <v>Wiris Variasi</v>
      </c>
      <c r="M476" s="127"/>
      <c r="N476" s="127"/>
      <c r="O476" s="127"/>
      <c r="P476" s="127"/>
      <c r="Q476" s="127"/>
      <c r="R476" s="127"/>
      <c r="S476" s="127"/>
      <c r="T476" s="127"/>
      <c r="U476" s="127"/>
      <c r="V476" s="127"/>
      <c r="W476" s="127"/>
      <c r="X476" s="127"/>
      <c r="Y476" s="127"/>
      <c r="Z476" s="127"/>
      <c r="AA476" s="127"/>
    </row>
    <row r="477" spans="1:27">
      <c r="A477" s="127">
        <f ca="1">IFERROR(__xludf.DUMMYFUNCTION("""COMPUTED_VALUE"""),759724529202804)</f>
        <v>759724529202804</v>
      </c>
      <c r="B477" s="127" t="str">
        <f ca="1">IFERROR(__xludf.DUMMYFUNCTION("""COMPUTED_VALUE"""),"120229680154090200")</f>
        <v>120229680154090200</v>
      </c>
      <c r="C477" s="127" t="str">
        <f ca="1">IFERROR(__xludf.DUMMYFUNCTION("""COMPUTED_VALUE"""),"by inapuspita")</f>
        <v>by inapuspita</v>
      </c>
      <c r="D477" s="138" t="str">
        <f ca="1">IFERROR(__xludf.DUMMYFUNCTION("""COMPUTED_VALUE"""),"https://wa.me/6288297718776")</f>
        <v>https://wa.me/6288297718776</v>
      </c>
      <c r="E477" s="139" t="str">
        <f ca="1">IFERROR(__xludf.DUMMYFUNCTION("""COMPUTED_VALUE"""),"6288297718776")</f>
        <v>6288297718776</v>
      </c>
      <c r="F477" s="139">
        <f ca="1">IFERROR(__xludf.DUMMYFUNCTION("""COMPUTED_VALUE"""),1762)</f>
        <v>1762</v>
      </c>
      <c r="G477" s="139">
        <f ca="1">IFERROR(__xludf.DUMMYFUNCTION("""COMPUTED_VALUE"""),38244.2)</f>
        <v>38244.199999999997</v>
      </c>
      <c r="H477" s="139">
        <f ca="1">IFERROR(__xludf.DUMMYFUNCTION("""COMPUTED_VALUE"""),10)</f>
        <v>10</v>
      </c>
      <c r="I477" s="140">
        <f ca="1">IFERROR(__xludf.DUMMYFUNCTION("""COMPUTED_VALUE"""),75755)</f>
        <v>75755</v>
      </c>
      <c r="J477" s="141">
        <f ca="1">IFERROR(__xludf.DUMMYFUNCTION("""COMPUTED_VALUE"""),7575.5)</f>
        <v>7575.5</v>
      </c>
      <c r="K477" s="142">
        <f ca="1">IFERROR(__xludf.DUMMYFUNCTION("""COMPUTED_VALUE"""),5.05033333333333)</f>
        <v>5.05033333333333</v>
      </c>
      <c r="L477" s="143" t="str">
        <f ca="1"/>
        <v>Wiris Variasi</v>
      </c>
      <c r="M477" s="127"/>
      <c r="N477" s="127"/>
      <c r="O477" s="127"/>
      <c r="P477" s="127"/>
      <c r="Q477" s="127"/>
      <c r="R477" s="127"/>
      <c r="S477" s="127"/>
      <c r="T477" s="127"/>
      <c r="U477" s="127"/>
      <c r="V477" s="127"/>
      <c r="W477" s="127"/>
      <c r="X477" s="127"/>
      <c r="Y477" s="127"/>
      <c r="Z477" s="127"/>
      <c r="AA477" s="127"/>
    </row>
    <row r="478" spans="1:27">
      <c r="A478" s="127">
        <f ca="1">IFERROR(__xludf.DUMMYFUNCTION("""COMPUTED_VALUE"""),759724529202804)</f>
        <v>759724529202804</v>
      </c>
      <c r="B478" s="127" t="str">
        <f ca="1">IFERROR(__xludf.DUMMYFUNCTION("""COMPUTED_VALUE"""),"120229746465130200")</f>
        <v>120229746465130200</v>
      </c>
      <c r="C478" s="127" t="str">
        <f ca="1">IFERROR(__xludf.DUMMYFUNCTION("""COMPUTED_VALUE"""),"MRX Lovina")</f>
        <v>MRX Lovina</v>
      </c>
      <c r="D478" s="138" t="str">
        <f ca="1">IFERROR(__xludf.DUMMYFUNCTION("""COMPUTED_VALUE"""),"https://wa.me/6281246211381")</f>
        <v>https://wa.me/6281246211381</v>
      </c>
      <c r="E478" s="139" t="str">
        <f ca="1">IFERROR(__xludf.DUMMYFUNCTION("""COMPUTED_VALUE"""),"6281246211381")</f>
        <v>6281246211381</v>
      </c>
      <c r="F478" s="139">
        <f ca="1">IFERROR(__xludf.DUMMYFUNCTION("""COMPUTED_VALUE"""),20463)</f>
        <v>20463</v>
      </c>
      <c r="G478" s="139">
        <f ca="1">IFERROR(__xludf.DUMMYFUNCTION("""COMPUTED_VALUE"""),25138.7878787878)</f>
        <v>25138.7878787878</v>
      </c>
      <c r="H478" s="139">
        <f ca="1">IFERROR(__xludf.DUMMYFUNCTION("""COMPUTED_VALUE"""),82)</f>
        <v>82</v>
      </c>
      <c r="I478" s="140">
        <f ca="1">IFERROR(__xludf.DUMMYFUNCTION("""COMPUTED_VALUE"""),514645)</f>
        <v>514645</v>
      </c>
      <c r="J478" s="141">
        <f ca="1">IFERROR(__xludf.DUMMYFUNCTION("""COMPUTED_VALUE"""),6276.15853658536)</f>
        <v>6276.1585365853598</v>
      </c>
      <c r="K478" s="142">
        <f ca="1">IFERROR(__xludf.DUMMYFUNCTION("""COMPUTED_VALUE"""),34.3096666666666)</f>
        <v>34.309666666666601</v>
      </c>
      <c r="L478" s="143" t="str">
        <f ca="1"/>
        <v>Wiris Variasi</v>
      </c>
      <c r="M478" s="127"/>
      <c r="N478" s="127"/>
      <c r="O478" s="127"/>
      <c r="P478" s="127"/>
      <c r="Q478" s="127"/>
      <c r="R478" s="127"/>
      <c r="S478" s="127"/>
      <c r="T478" s="127"/>
      <c r="U478" s="127"/>
      <c r="V478" s="127"/>
      <c r="W478" s="127"/>
      <c r="X478" s="127"/>
      <c r="Y478" s="127"/>
      <c r="Z478" s="127"/>
      <c r="AA478" s="127"/>
    </row>
    <row r="479" spans="1:27">
      <c r="A479" s="127">
        <f ca="1">IFERROR(__xludf.DUMMYFUNCTION("""COMPUTED_VALUE"""),759724529202804)</f>
        <v>759724529202804</v>
      </c>
      <c r="B479" s="127" t="str">
        <f ca="1">IFERROR(__xludf.DUMMYFUNCTION("""COMPUTED_VALUE"""),"120229754781060200")</f>
        <v>120229754781060200</v>
      </c>
      <c r="C479" s="127" t="str">
        <f ca="1">IFERROR(__xludf.DUMMYFUNCTION("""COMPUTED_VALUE"""),"Pelatihan Bekam")</f>
        <v>Pelatihan Bekam</v>
      </c>
      <c r="D479" s="138" t="str">
        <f ca="1">IFERROR(__xludf.DUMMYFUNCTION("""COMPUTED_VALUE"""),"https://wa.me/6282285691485")</f>
        <v>https://wa.me/6282285691485</v>
      </c>
      <c r="E479" s="139" t="str">
        <f ca="1">IFERROR(__xludf.DUMMYFUNCTION("""COMPUTED_VALUE"""),"6282285691485")</f>
        <v>6282285691485</v>
      </c>
      <c r="F479" s="139">
        <f ca="1">IFERROR(__xludf.DUMMYFUNCTION("""COMPUTED_VALUE"""),2880)</f>
        <v>2880</v>
      </c>
      <c r="G479" s="139">
        <f ca="1">IFERROR(__xludf.DUMMYFUNCTION("""COMPUTED_VALUE"""),20968.8)</f>
        <v>20968.8</v>
      </c>
      <c r="H479" s="139">
        <f ca="1">IFERROR(__xludf.DUMMYFUNCTION("""COMPUTED_VALUE"""),7)</f>
        <v>7</v>
      </c>
      <c r="I479" s="140">
        <f ca="1">IFERROR(__xludf.DUMMYFUNCTION("""COMPUTED_VALUE"""),78517)</f>
        <v>78517</v>
      </c>
      <c r="J479" s="141">
        <f ca="1">IFERROR(__xludf.DUMMYFUNCTION("""COMPUTED_VALUE"""),11216.7142857142)</f>
        <v>11216.714285714201</v>
      </c>
      <c r="K479" s="142">
        <f ca="1">IFERROR(__xludf.DUMMYFUNCTION("""COMPUTED_VALUE"""),5.23446666666666)</f>
        <v>5.2344666666666599</v>
      </c>
      <c r="L479" s="143" t="str">
        <f ca="1"/>
        <v>Wiris Variasi</v>
      </c>
      <c r="M479" s="127"/>
      <c r="N479" s="127"/>
      <c r="O479" s="127"/>
      <c r="P479" s="127"/>
      <c r="Q479" s="127"/>
      <c r="R479" s="127"/>
      <c r="S479" s="127"/>
      <c r="T479" s="127"/>
      <c r="U479" s="127"/>
      <c r="V479" s="127"/>
      <c r="W479" s="127"/>
      <c r="X479" s="127"/>
      <c r="Y479" s="127"/>
      <c r="Z479" s="127"/>
      <c r="AA479" s="127"/>
    </row>
    <row r="480" spans="1:27">
      <c r="A480" s="127">
        <f ca="1">IFERROR(__xludf.DUMMYFUNCTION("""COMPUTED_VALUE"""),759724529202804)</f>
        <v>759724529202804</v>
      </c>
      <c r="B480" s="127" t="str">
        <f ca="1">IFERROR(__xludf.DUMMYFUNCTION("""COMPUTED_VALUE"""),"120229777078600200")</f>
        <v>120229777078600200</v>
      </c>
      <c r="C480" s="127" t="str">
        <f ca="1">IFERROR(__xludf.DUMMYFUNCTION("""COMPUTED_VALUE"""),"Astri Salon")</f>
        <v>Astri Salon</v>
      </c>
      <c r="D480" s="138" t="str">
        <f ca="1">IFERROR(__xludf.DUMMYFUNCTION("""COMPUTED_VALUE"""),"https://wa.me/6282228737559")</f>
        <v>https://wa.me/6282228737559</v>
      </c>
      <c r="E480" s="139" t="str">
        <f ca="1">IFERROR(__xludf.DUMMYFUNCTION("""COMPUTED_VALUE"""),"6282228737559")</f>
        <v>6282228737559</v>
      </c>
      <c r="F480" s="139">
        <f ca="1">IFERROR(__xludf.DUMMYFUNCTION("""COMPUTED_VALUE"""),4752)</f>
        <v>4752</v>
      </c>
      <c r="G480" s="139">
        <f ca="1">IFERROR(__xludf.DUMMYFUNCTION("""COMPUTED_VALUE"""),17937.8)</f>
        <v>17937.8</v>
      </c>
      <c r="H480" s="139">
        <f ca="1">IFERROR(__xludf.DUMMYFUNCTION("""COMPUTED_VALUE"""),19)</f>
        <v>19</v>
      </c>
      <c r="I480" s="140">
        <f ca="1">IFERROR(__xludf.DUMMYFUNCTION("""COMPUTED_VALUE"""),81138)</f>
        <v>81138</v>
      </c>
      <c r="J480" s="141">
        <f ca="1">IFERROR(__xludf.DUMMYFUNCTION("""COMPUTED_VALUE"""),4270.42105263157)</f>
        <v>4270.4210526315701</v>
      </c>
      <c r="K480" s="142">
        <f ca="1">IFERROR(__xludf.DUMMYFUNCTION("""COMPUTED_VALUE"""),5.4092)</f>
        <v>5.4092000000000002</v>
      </c>
      <c r="L480" s="143" t="str">
        <f ca="1"/>
        <v>Wiris Variasi</v>
      </c>
      <c r="M480" s="127"/>
      <c r="N480" s="127"/>
      <c r="O480" s="127"/>
      <c r="P480" s="127"/>
      <c r="Q480" s="127"/>
      <c r="R480" s="127"/>
      <c r="S480" s="127"/>
      <c r="T480" s="127"/>
      <c r="U480" s="127"/>
      <c r="V480" s="127"/>
      <c r="W480" s="127"/>
      <c r="X480" s="127"/>
      <c r="Y480" s="127"/>
      <c r="Z480" s="127"/>
      <c r="AA480" s="127"/>
    </row>
    <row r="481" spans="1:27">
      <c r="A481" s="127">
        <f ca="1">IFERROR(__xludf.DUMMYFUNCTION("""COMPUTED_VALUE"""),759724529202804)</f>
        <v>759724529202804</v>
      </c>
      <c r="B481" s="127" t="str">
        <f ca="1">IFERROR(__xludf.DUMMYFUNCTION("""COMPUTED_VALUE"""),"120229781163600200")</f>
        <v>120229781163600200</v>
      </c>
      <c r="C481" s="127" t="str">
        <f ca="1">IFERROR(__xludf.DUMMYFUNCTION("""COMPUTED_VALUE"""),"Al Bayt")</f>
        <v>Al Bayt</v>
      </c>
      <c r="D481" s="138" t="str">
        <f ca="1">IFERROR(__xludf.DUMMYFUNCTION("""COMPUTED_VALUE"""),"https://wa.me/62882003293835")</f>
        <v>https://wa.me/62882003293835</v>
      </c>
      <c r="E481" s="139" t="str">
        <f ca="1">IFERROR(__xludf.DUMMYFUNCTION("""COMPUTED_VALUE"""),"62882003293835")</f>
        <v>62882003293835</v>
      </c>
      <c r="F481" s="139">
        <f ca="1">IFERROR(__xludf.DUMMYFUNCTION("""COMPUTED_VALUE"""),1071)</f>
        <v>1071</v>
      </c>
      <c r="G481" s="139">
        <f ca="1">IFERROR(__xludf.DUMMYFUNCTION("""COMPUTED_VALUE"""),61074.2)</f>
        <v>61074.2</v>
      </c>
      <c r="H481" s="139">
        <f ca="1">IFERROR(__xludf.DUMMYFUNCTION("""COMPUTED_VALUE"""),4)</f>
        <v>4</v>
      </c>
      <c r="I481" s="140">
        <f ca="1">IFERROR(__xludf.DUMMYFUNCTION("""COMPUTED_VALUE"""),76350)</f>
        <v>76350</v>
      </c>
      <c r="J481" s="141">
        <f ca="1">IFERROR(__xludf.DUMMYFUNCTION("""COMPUTED_VALUE"""),19087.5)</f>
        <v>19087.5</v>
      </c>
      <c r="K481" s="142">
        <f ca="1">IFERROR(__xludf.DUMMYFUNCTION("""COMPUTED_VALUE"""),5.09)</f>
        <v>5.09</v>
      </c>
      <c r="L481" s="143" t="str">
        <f ca="1"/>
        <v>Wiris Variasi</v>
      </c>
      <c r="M481" s="127"/>
      <c r="N481" s="127"/>
      <c r="O481" s="127"/>
      <c r="P481" s="127"/>
      <c r="Q481" s="127"/>
      <c r="R481" s="127"/>
      <c r="S481" s="127"/>
      <c r="T481" s="127"/>
      <c r="U481" s="127"/>
      <c r="V481" s="127"/>
      <c r="W481" s="127"/>
      <c r="X481" s="127"/>
      <c r="Y481" s="127"/>
      <c r="Z481" s="127"/>
      <c r="AA481" s="127"/>
    </row>
    <row r="482" spans="1:27">
      <c r="A482" s="127">
        <f ca="1">IFERROR(__xludf.DUMMYFUNCTION("""COMPUTED_VALUE"""),759724529202804)</f>
        <v>759724529202804</v>
      </c>
      <c r="B482" s="127" t="str">
        <f ca="1">IFERROR(__xludf.DUMMYFUNCTION("""COMPUTED_VALUE"""),"120229782482070200")</f>
        <v>120229782482070200</v>
      </c>
      <c r="C482" s="127" t="str">
        <f ca="1">IFERROR(__xludf.DUMMYFUNCTION("""COMPUTED_VALUE"""),"Azka salon")</f>
        <v>Azka salon</v>
      </c>
      <c r="D482" s="138" t="str">
        <f ca="1">IFERROR(__xludf.DUMMYFUNCTION("""COMPUTED_VALUE"""),"https://wa.me/6282164919126")</f>
        <v>https://wa.me/6282164919126</v>
      </c>
      <c r="E482" s="139" t="str">
        <f ca="1">IFERROR(__xludf.DUMMYFUNCTION("""COMPUTED_VALUE"""),"6282164919126")</f>
        <v>6282164919126</v>
      </c>
      <c r="F482" s="139">
        <f ca="1">IFERROR(__xludf.DUMMYFUNCTION("""COMPUTED_VALUE"""),3782)</f>
        <v>3782</v>
      </c>
      <c r="G482" s="139">
        <f ca="1">IFERROR(__xludf.DUMMYFUNCTION("""COMPUTED_VALUE"""),17045)</f>
        <v>17045</v>
      </c>
      <c r="H482" s="139">
        <f ca="1">IFERROR(__xludf.DUMMYFUNCTION("""COMPUTED_VALUE"""),25)</f>
        <v>25</v>
      </c>
      <c r="I482" s="140">
        <f ca="1">IFERROR(__xludf.DUMMYFUNCTION("""COMPUTED_VALUE"""),76982)</f>
        <v>76982</v>
      </c>
      <c r="J482" s="141">
        <f ca="1">IFERROR(__xludf.DUMMYFUNCTION("""COMPUTED_VALUE"""),3079.28)</f>
        <v>3079.28</v>
      </c>
      <c r="K482" s="142">
        <f ca="1">IFERROR(__xludf.DUMMYFUNCTION("""COMPUTED_VALUE"""),5.13213333333333)</f>
        <v>5.1321333333333303</v>
      </c>
      <c r="L482" s="143" t="str">
        <f ca="1"/>
        <v>Wiris Variasi</v>
      </c>
      <c r="M482" s="127"/>
      <c r="N482" s="127"/>
      <c r="O482" s="127"/>
      <c r="P482" s="127"/>
      <c r="Q482" s="127"/>
      <c r="R482" s="127"/>
      <c r="S482" s="127"/>
      <c r="T482" s="127"/>
      <c r="U482" s="127"/>
      <c r="V482" s="127"/>
      <c r="W482" s="127"/>
      <c r="X482" s="127"/>
      <c r="Y482" s="127"/>
      <c r="Z482" s="127"/>
      <c r="AA482" s="127"/>
    </row>
    <row r="483" spans="1:27">
      <c r="A483" s="127">
        <f ca="1">IFERROR(__xludf.DUMMYFUNCTION("""COMPUTED_VALUE"""),759724529202804)</f>
        <v>759724529202804</v>
      </c>
      <c r="B483" s="127" t="str">
        <f ca="1">IFERROR(__xludf.DUMMYFUNCTION("""COMPUTED_VALUE"""),"120229789530480200")</f>
        <v>120229789530480200</v>
      </c>
      <c r="C483" s="127" t="str">
        <f ca="1">IFERROR(__xludf.DUMMYFUNCTION("""COMPUTED_VALUE"""),"Deriano")</f>
        <v>Deriano</v>
      </c>
      <c r="D483" s="138" t="str">
        <f ca="1">IFERROR(__xludf.DUMMYFUNCTION("""COMPUTED_VALUE"""),"https://wa.me/6282122880328")</f>
        <v>https://wa.me/6282122880328</v>
      </c>
      <c r="E483" s="139" t="str">
        <f ca="1">IFERROR(__xludf.DUMMYFUNCTION("""COMPUTED_VALUE"""),"6282122880328")</f>
        <v>6282122880328</v>
      </c>
      <c r="F483" s="139">
        <f ca="1">IFERROR(__xludf.DUMMYFUNCTION("""COMPUTED_VALUE"""),1247)</f>
        <v>1247</v>
      </c>
      <c r="G483" s="139">
        <f ca="1">IFERROR(__xludf.DUMMYFUNCTION("""COMPUTED_VALUE"""),35473)</f>
        <v>35473</v>
      </c>
      <c r="H483" s="139">
        <f ca="1">IFERROR(__xludf.DUMMYFUNCTION("""COMPUTED_VALUE"""),11)</f>
        <v>11</v>
      </c>
      <c r="I483" s="140">
        <f ca="1">IFERROR(__xludf.DUMMYFUNCTION("""COMPUTED_VALUE"""),47649)</f>
        <v>47649</v>
      </c>
      <c r="J483" s="141">
        <f ca="1">IFERROR(__xludf.DUMMYFUNCTION("""COMPUTED_VALUE"""),4331.72727272727)</f>
        <v>4331.7272727272702</v>
      </c>
      <c r="K483" s="142">
        <f ca="1">IFERROR(__xludf.DUMMYFUNCTION("""COMPUTED_VALUE"""),3.1766)</f>
        <v>3.1766000000000001</v>
      </c>
      <c r="L483" s="143" t="str">
        <f ca="1"/>
        <v>Wiris Variasi</v>
      </c>
      <c r="M483" s="127"/>
      <c r="N483" s="127"/>
      <c r="O483" s="127"/>
      <c r="P483" s="127"/>
      <c r="Q483" s="127"/>
      <c r="R483" s="127"/>
      <c r="S483" s="127"/>
      <c r="T483" s="127"/>
      <c r="U483" s="127"/>
      <c r="V483" s="127"/>
      <c r="W483" s="127"/>
      <c r="X483" s="127"/>
      <c r="Y483" s="127"/>
      <c r="Z483" s="127"/>
      <c r="AA483" s="127"/>
    </row>
    <row r="484" spans="1:27">
      <c r="A484" s="127">
        <f ca="1">IFERROR(__xludf.DUMMYFUNCTION("""COMPUTED_VALUE"""),759724529202804)</f>
        <v>759724529202804</v>
      </c>
      <c r="B484" s="127" t="str">
        <f ca="1">IFERROR(__xludf.DUMMYFUNCTION("""COMPUTED_VALUE"""),"120229794304570200")</f>
        <v>120229794304570200</v>
      </c>
      <c r="C484" s="127" t="str">
        <f ca="1">IFERROR(__xludf.DUMMYFUNCTION("""COMPUTED_VALUE"""),"Deriano")</f>
        <v>Deriano</v>
      </c>
      <c r="D484" s="139"/>
      <c r="E484" s="139"/>
      <c r="F484" s="139">
        <f ca="1">IFERROR(__xludf.DUMMYFUNCTION("""COMPUTED_VALUE"""),346)</f>
        <v>346</v>
      </c>
      <c r="G484" s="139">
        <f ca="1">IFERROR(__xludf.DUMMYFUNCTION("""COMPUTED_VALUE"""),35178)</f>
        <v>35178</v>
      </c>
      <c r="H484" s="139">
        <f ca="1">IFERROR(__xludf.DUMMYFUNCTION("""COMPUTED_VALUE"""),0)</f>
        <v>0</v>
      </c>
      <c r="I484" s="140">
        <f ca="1">IFERROR(__xludf.DUMMYFUNCTION("""COMPUTED_VALUE"""),14224)</f>
        <v>14224</v>
      </c>
      <c r="J484" s="141"/>
      <c r="K484" s="142">
        <f ca="1">IFERROR(__xludf.DUMMYFUNCTION("""COMPUTED_VALUE"""),0.948266666666666)</f>
        <v>0.94826666666666604</v>
      </c>
      <c r="L484" s="143" t="str">
        <f ca="1"/>
        <v>Wiris Variasi</v>
      </c>
      <c r="M484" s="127"/>
      <c r="N484" s="127"/>
      <c r="O484" s="127"/>
      <c r="P484" s="127"/>
      <c r="Q484" s="127"/>
      <c r="R484" s="127"/>
      <c r="S484" s="127"/>
      <c r="T484" s="127"/>
      <c r="U484" s="127"/>
      <c r="V484" s="127"/>
      <c r="W484" s="127"/>
      <c r="X484" s="127"/>
      <c r="Y484" s="127"/>
      <c r="Z484" s="127"/>
      <c r="AA484" s="127"/>
    </row>
    <row r="485" spans="1:27">
      <c r="A485" s="127">
        <f ca="1">IFERROR(__xludf.DUMMYFUNCTION("""COMPUTED_VALUE"""),759724529202804)</f>
        <v>759724529202804</v>
      </c>
      <c r="B485" s="127" t="str">
        <f ca="1">IFERROR(__xludf.DUMMYFUNCTION("""COMPUTED_VALUE"""),"120229796298590200")</f>
        <v>120229796298590200</v>
      </c>
      <c r="C485" s="127" t="str">
        <f ca="1">IFERROR(__xludf.DUMMYFUNCTION("""COMPUTED_VALUE"""),"Deriano")</f>
        <v>Deriano</v>
      </c>
      <c r="D485" s="139"/>
      <c r="E485" s="139"/>
      <c r="F485" s="139">
        <f ca="1">IFERROR(__xludf.DUMMYFUNCTION("""COMPUTED_VALUE"""),47731)</f>
        <v>47731</v>
      </c>
      <c r="G485" s="139">
        <f ca="1">IFERROR(__xludf.DUMMYFUNCTION("""COMPUTED_VALUE"""),33809.1212121212)</f>
        <v>33809.121212121201</v>
      </c>
      <c r="H485" s="139">
        <f ca="1">IFERROR(__xludf.DUMMYFUNCTION("""COMPUTED_VALUE"""),348)</f>
        <v>348</v>
      </c>
      <c r="I485" s="140">
        <f ca="1">IFERROR(__xludf.DUMMYFUNCTION("""COMPUTED_VALUE"""),1743152)</f>
        <v>1743152</v>
      </c>
      <c r="J485" s="141">
        <f ca="1">IFERROR(__xludf.DUMMYFUNCTION("""COMPUTED_VALUE"""),5009.05747126436)</f>
        <v>5009.0574712643602</v>
      </c>
      <c r="K485" s="142">
        <f ca="1">IFERROR(__xludf.DUMMYFUNCTION("""COMPUTED_VALUE"""),116.210133333333)</f>
        <v>116.210133333333</v>
      </c>
      <c r="L485" s="143" t="str">
        <f ca="1"/>
        <v>Wiris Variasi</v>
      </c>
      <c r="M485" s="127"/>
      <c r="N485" s="127"/>
      <c r="O485" s="127"/>
      <c r="P485" s="127"/>
      <c r="Q485" s="127"/>
      <c r="R485" s="127"/>
      <c r="S485" s="127"/>
      <c r="T485" s="127"/>
      <c r="U485" s="127"/>
      <c r="V485" s="127"/>
      <c r="W485" s="127"/>
      <c r="X485" s="127"/>
      <c r="Y485" s="127"/>
      <c r="Z485" s="127"/>
      <c r="AA485" s="127"/>
    </row>
    <row r="486" spans="1:27">
      <c r="A486" s="127">
        <f ca="1">IFERROR(__xludf.DUMMYFUNCTION("""COMPUTED_VALUE"""),759724529202804)</f>
        <v>759724529202804</v>
      </c>
      <c r="B486" s="127" t="str">
        <f ca="1">IFERROR(__xludf.DUMMYFUNCTION("""COMPUTED_VALUE"""),"120229883458350200")</f>
        <v>120229883458350200</v>
      </c>
      <c r="C486" s="127" t="str">
        <f ca="1">IFERROR(__xludf.DUMMYFUNCTION("""COMPUTED_VALUE"""),"Jaya Salon")</f>
        <v>Jaya Salon</v>
      </c>
      <c r="D486" s="138" t="str">
        <f ca="1">IFERROR(__xludf.DUMMYFUNCTION("""COMPUTED_VALUE"""),"https://wa.me/6282145068631")</f>
        <v>https://wa.me/6282145068631</v>
      </c>
      <c r="E486" s="139" t="str">
        <f ca="1">IFERROR(__xludf.DUMMYFUNCTION("""COMPUTED_VALUE"""),"6282145068631")</f>
        <v>6282145068631</v>
      </c>
      <c r="F486" s="139">
        <f ca="1">IFERROR(__xludf.DUMMYFUNCTION("""COMPUTED_VALUE"""),9806)</f>
        <v>9806</v>
      </c>
      <c r="G486" s="139">
        <f ca="1">IFERROR(__xludf.DUMMYFUNCTION("""COMPUTED_VALUE"""),6464)</f>
        <v>6464</v>
      </c>
      <c r="H486" s="139">
        <f ca="1">IFERROR(__xludf.DUMMYFUNCTION("""COMPUTED_VALUE"""),7)</f>
        <v>7</v>
      </c>
      <c r="I486" s="140">
        <f ca="1">IFERROR(__xludf.DUMMYFUNCTION("""COMPUTED_VALUE"""),77808)</f>
        <v>77808</v>
      </c>
      <c r="J486" s="141">
        <f ca="1">IFERROR(__xludf.DUMMYFUNCTION("""COMPUTED_VALUE"""),11115.4285714285)</f>
        <v>11115.4285714285</v>
      </c>
      <c r="K486" s="142">
        <f ca="1">IFERROR(__xludf.DUMMYFUNCTION("""COMPUTED_VALUE"""),5.1872)</f>
        <v>5.1871999999999998</v>
      </c>
      <c r="L486" s="143" t="str">
        <f ca="1"/>
        <v>Wiris Variasi</v>
      </c>
      <c r="M486" s="127"/>
      <c r="N486" s="127"/>
      <c r="O486" s="127"/>
      <c r="P486" s="127"/>
      <c r="Q486" s="127"/>
      <c r="R486" s="127"/>
      <c r="S486" s="127"/>
      <c r="T486" s="127"/>
      <c r="U486" s="127"/>
      <c r="V486" s="127"/>
      <c r="W486" s="127"/>
      <c r="X486" s="127"/>
      <c r="Y486" s="127"/>
      <c r="Z486" s="127"/>
      <c r="AA486" s="127"/>
    </row>
    <row r="487" spans="1:27">
      <c r="A487" s="127">
        <f ca="1">IFERROR(__xludf.DUMMYFUNCTION("""COMPUTED_VALUE"""),759724529202804)</f>
        <v>759724529202804</v>
      </c>
      <c r="B487" s="127" t="str">
        <f ca="1">IFERROR(__xludf.DUMMYFUNCTION("""COMPUTED_VALUE"""),"120229902029190200")</f>
        <v>120229902029190200</v>
      </c>
      <c r="C487" s="127" t="str">
        <f ca="1">IFERROR(__xludf.DUMMYFUNCTION("""COMPUTED_VALUE"""),"Gejayan Innova")</f>
        <v>Gejayan Innova</v>
      </c>
      <c r="D487" s="138" t="str">
        <f ca="1">IFERROR(__xludf.DUMMYFUNCTION("""COMPUTED_VALUE"""),"https://wa.me/628562943274")</f>
        <v>https://wa.me/628562943274</v>
      </c>
      <c r="E487" s="139" t="str">
        <f ca="1">IFERROR(__xludf.DUMMYFUNCTION("""COMPUTED_VALUE"""),"628562943274")</f>
        <v>628562943274</v>
      </c>
      <c r="F487" s="139">
        <f ca="1">IFERROR(__xludf.DUMMYFUNCTION("""COMPUTED_VALUE"""),12957)</f>
        <v>12957</v>
      </c>
      <c r="G487" s="139">
        <f ca="1">IFERROR(__xludf.DUMMYFUNCTION("""COMPUTED_VALUE"""),13288.5)</f>
        <v>13288.5</v>
      </c>
      <c r="H487" s="139">
        <f ca="1">IFERROR(__xludf.DUMMYFUNCTION("""COMPUTED_VALUE"""),43)</f>
        <v>43</v>
      </c>
      <c r="I487" s="140">
        <f ca="1">IFERROR(__xludf.DUMMYFUNCTION("""COMPUTED_VALUE"""),189672)</f>
        <v>189672</v>
      </c>
      <c r="J487" s="141">
        <f ca="1">IFERROR(__xludf.DUMMYFUNCTION("""COMPUTED_VALUE"""),4410.97674418604)</f>
        <v>4410.9767441860404</v>
      </c>
      <c r="K487" s="142">
        <f ca="1">IFERROR(__xludf.DUMMYFUNCTION("""COMPUTED_VALUE"""),12.6448)</f>
        <v>12.6448</v>
      </c>
      <c r="L487" s="143" t="str">
        <f ca="1"/>
        <v>Wiris Variasi</v>
      </c>
      <c r="M487" s="127"/>
      <c r="N487" s="127"/>
      <c r="O487" s="127"/>
      <c r="P487" s="127"/>
      <c r="Q487" s="127"/>
      <c r="R487" s="127"/>
      <c r="S487" s="127"/>
      <c r="T487" s="127"/>
      <c r="U487" s="127"/>
      <c r="V487" s="127"/>
      <c r="W487" s="127"/>
      <c r="X487" s="127"/>
      <c r="Y487" s="127"/>
      <c r="Z487" s="127"/>
      <c r="AA487" s="127"/>
    </row>
    <row r="488" spans="1:27">
      <c r="A488" s="127">
        <f ca="1">IFERROR(__xludf.DUMMYFUNCTION("""COMPUTED_VALUE"""),759724529202804)</f>
        <v>759724529202804</v>
      </c>
      <c r="B488" s="127" t="str">
        <f ca="1">IFERROR(__xludf.DUMMYFUNCTION("""COMPUTED_VALUE"""),"120230102083340200")</f>
        <v>120230102083340200</v>
      </c>
      <c r="C488" s="127" t="str">
        <f ca="1">IFERROR(__xludf.DUMMYFUNCTION("""COMPUTED_VALUE"""),"Salon Eleanor")</f>
        <v>Salon Eleanor</v>
      </c>
      <c r="D488" s="138" t="str">
        <f ca="1">IFERROR(__xludf.DUMMYFUNCTION("""COMPUTED_VALUE"""),"https://wa.me/62811339289839")</f>
        <v>https://wa.me/62811339289839</v>
      </c>
      <c r="E488" s="139" t="str">
        <f ca="1">IFERROR(__xludf.DUMMYFUNCTION("""COMPUTED_VALUE"""),"62811339289839")</f>
        <v>62811339289839</v>
      </c>
      <c r="F488" s="139">
        <f ca="1">IFERROR(__xludf.DUMMYFUNCTION("""COMPUTED_VALUE"""),4609)</f>
        <v>4609</v>
      </c>
      <c r="G488" s="139">
        <f ca="1">IFERROR(__xludf.DUMMYFUNCTION("""COMPUTED_VALUE"""),11040.6666666666)</f>
        <v>11040.666666666601</v>
      </c>
      <c r="H488" s="139">
        <f ca="1">IFERROR(__xludf.DUMMYFUNCTION("""COMPUTED_VALUE"""),8)</f>
        <v>8</v>
      </c>
      <c r="I488" s="140">
        <f ca="1">IFERROR(__xludf.DUMMYFUNCTION("""COMPUTED_VALUE"""),56617)</f>
        <v>56617</v>
      </c>
      <c r="J488" s="141">
        <f ca="1">IFERROR(__xludf.DUMMYFUNCTION("""COMPUTED_VALUE"""),7077.125)</f>
        <v>7077.125</v>
      </c>
      <c r="K488" s="142">
        <f ca="1">IFERROR(__xludf.DUMMYFUNCTION("""COMPUTED_VALUE"""),3.77446666666666)</f>
        <v>3.77446666666666</v>
      </c>
      <c r="L488" s="143" t="str">
        <f ca="1"/>
        <v>Wiris Variasi</v>
      </c>
      <c r="M488" s="127"/>
      <c r="N488" s="127"/>
      <c r="O488" s="127"/>
      <c r="P488" s="127"/>
      <c r="Q488" s="127"/>
      <c r="R488" s="127"/>
      <c r="S488" s="127"/>
      <c r="T488" s="127"/>
      <c r="U488" s="127"/>
      <c r="V488" s="127"/>
      <c r="W488" s="127"/>
      <c r="X488" s="127"/>
      <c r="Y488" s="127"/>
      <c r="Z488" s="127"/>
      <c r="AA488" s="127"/>
    </row>
    <row r="489" spans="1:27">
      <c r="A489" s="127">
        <f ca="1">IFERROR(__xludf.DUMMYFUNCTION("""COMPUTED_VALUE"""),759724529202804)</f>
        <v>759724529202804</v>
      </c>
      <c r="B489" s="127" t="str">
        <f ca="1">IFERROR(__xludf.DUMMYFUNCTION("""COMPUTED_VALUE"""),"120230277020900200")</f>
        <v>120230277020900200</v>
      </c>
      <c r="C489" s="127" t="str">
        <f ca="1">IFERROR(__xludf.DUMMYFUNCTION("""COMPUTED_VALUE"""),"Lowongan")</f>
        <v>Lowongan</v>
      </c>
      <c r="D489" s="138" t="str">
        <f ca="1">IFERROR(__xludf.DUMMYFUNCTION("""COMPUTED_VALUE"""),"https://wa.me/6281904501876")</f>
        <v>https://wa.me/6281904501876</v>
      </c>
      <c r="E489" s="139" t="str">
        <f ca="1">IFERROR(__xludf.DUMMYFUNCTION("""COMPUTED_VALUE"""),"6281904501876")</f>
        <v>6281904501876</v>
      </c>
      <c r="F489" s="139">
        <f ca="1">IFERROR(__xludf.DUMMYFUNCTION("""COMPUTED_VALUE"""),8094)</f>
        <v>8094</v>
      </c>
      <c r="G489" s="139">
        <f ca="1">IFERROR(__xludf.DUMMYFUNCTION("""COMPUTED_VALUE"""),11571.5714285714)</f>
        <v>11571.5714285714</v>
      </c>
      <c r="H489" s="139">
        <f ca="1">IFERROR(__xludf.DUMMYFUNCTION("""COMPUTED_VALUE"""),15)</f>
        <v>15</v>
      </c>
      <c r="I489" s="140">
        <f ca="1">IFERROR(__xludf.DUMMYFUNCTION("""COMPUTED_VALUE"""),109693)</f>
        <v>109693</v>
      </c>
      <c r="J489" s="141">
        <f ca="1">IFERROR(__xludf.DUMMYFUNCTION("""COMPUTED_VALUE"""),7312.86666666666)</f>
        <v>7312.8666666666604</v>
      </c>
      <c r="K489" s="142">
        <f ca="1">IFERROR(__xludf.DUMMYFUNCTION("""COMPUTED_VALUE"""),7.31286666666666)</f>
        <v>7.3128666666666602</v>
      </c>
      <c r="L489" s="143" t="str">
        <f ca="1"/>
        <v>Wiris Variasi</v>
      </c>
      <c r="M489" s="127"/>
      <c r="N489" s="127"/>
      <c r="O489" s="127"/>
      <c r="P489" s="127"/>
      <c r="Q489" s="127"/>
      <c r="R489" s="127"/>
      <c r="S489" s="127"/>
      <c r="T489" s="127"/>
      <c r="U489" s="127"/>
      <c r="V489" s="127"/>
      <c r="W489" s="127"/>
      <c r="X489" s="127"/>
      <c r="Y489" s="127"/>
      <c r="Z489" s="127"/>
      <c r="AA489" s="127"/>
    </row>
    <row r="490" spans="1:27">
      <c r="A490" s="127">
        <f ca="1">IFERROR(__xludf.DUMMYFUNCTION("""COMPUTED_VALUE"""),759724529202804)</f>
        <v>759724529202804</v>
      </c>
      <c r="B490" s="127" t="str">
        <f ca="1">IFERROR(__xludf.DUMMYFUNCTION("""COMPUTED_VALUE"""),"120230399162310200")</f>
        <v>120230399162310200</v>
      </c>
      <c r="C490" s="127" t="str">
        <f ca="1">IFERROR(__xludf.DUMMYFUNCTION("""COMPUTED_VALUE"""),"D' Elina")</f>
        <v>D' Elina</v>
      </c>
      <c r="D490" s="138" t="str">
        <f ca="1">IFERROR(__xludf.DUMMYFUNCTION("""COMPUTED_VALUE"""),"https://wa.me/6282258462258")</f>
        <v>https://wa.me/6282258462258</v>
      </c>
      <c r="E490" s="139" t="str">
        <f ca="1">IFERROR(__xludf.DUMMYFUNCTION("""COMPUTED_VALUE"""),"6282258462258")</f>
        <v>6282258462258</v>
      </c>
      <c r="F490" s="139">
        <f ca="1">IFERROR(__xludf.DUMMYFUNCTION("""COMPUTED_VALUE"""),5430)</f>
        <v>5430</v>
      </c>
      <c r="G490" s="139">
        <f ca="1">IFERROR(__xludf.DUMMYFUNCTION("""COMPUTED_VALUE"""),13983)</f>
        <v>13983</v>
      </c>
      <c r="H490" s="139">
        <f ca="1">IFERROR(__xludf.DUMMYFUNCTION("""COMPUTED_VALUE"""),17)</f>
        <v>17</v>
      </c>
      <c r="I490" s="140">
        <f ca="1">IFERROR(__xludf.DUMMYFUNCTION("""COMPUTED_VALUE"""),92189)</f>
        <v>92189</v>
      </c>
      <c r="J490" s="141">
        <f ca="1">IFERROR(__xludf.DUMMYFUNCTION("""COMPUTED_VALUE"""),5422.88235294117)</f>
        <v>5422.8823529411702</v>
      </c>
      <c r="K490" s="142">
        <f ca="1">IFERROR(__xludf.DUMMYFUNCTION("""COMPUTED_VALUE"""),6.14593333333333)</f>
        <v>6.1459333333333301</v>
      </c>
      <c r="L490" s="143" t="str">
        <f ca="1"/>
        <v>Wiris Variasi</v>
      </c>
      <c r="M490" s="127"/>
      <c r="N490" s="127"/>
      <c r="O490" s="127"/>
      <c r="P490" s="127"/>
      <c r="Q490" s="127"/>
      <c r="R490" s="127"/>
      <c r="S490" s="127"/>
      <c r="T490" s="127"/>
      <c r="U490" s="127"/>
      <c r="V490" s="127"/>
      <c r="W490" s="127"/>
      <c r="X490" s="127"/>
      <c r="Y490" s="127"/>
      <c r="Z490" s="127"/>
      <c r="AA490" s="127"/>
    </row>
    <row r="491" spans="1:27">
      <c r="A491" s="127">
        <f ca="1">IFERROR(__xludf.DUMMYFUNCTION("""COMPUTED_VALUE"""),759724529202804)</f>
        <v>759724529202804</v>
      </c>
      <c r="B491" s="127" t="str">
        <f ca="1">IFERROR(__xludf.DUMMYFUNCTION("""COMPUTED_VALUE"""),"120230422523240200")</f>
        <v>120230422523240200</v>
      </c>
      <c r="C491" s="127" t="str">
        <f ca="1">IFERROR(__xludf.DUMMYFUNCTION("""COMPUTED_VALUE"""),"Bali Ayu")</f>
        <v>Bali Ayu</v>
      </c>
      <c r="D491" s="138" t="str">
        <f ca="1">IFERROR(__xludf.DUMMYFUNCTION("""COMPUTED_VALUE"""),"https://wa.me/6281916331011")</f>
        <v>https://wa.me/6281916331011</v>
      </c>
      <c r="E491" s="139" t="str">
        <f ca="1">IFERROR(__xludf.DUMMYFUNCTION("""COMPUTED_VALUE"""),"6281916331011")</f>
        <v>6281916331011</v>
      </c>
      <c r="F491" s="139">
        <f ca="1">IFERROR(__xludf.DUMMYFUNCTION("""COMPUTED_VALUE"""),4770)</f>
        <v>4770</v>
      </c>
      <c r="G491" s="139">
        <f ca="1">IFERROR(__xludf.DUMMYFUNCTION("""COMPUTED_VALUE"""),17628.6666666666)</f>
        <v>17628.666666666599</v>
      </c>
      <c r="H491" s="139">
        <f ca="1">IFERROR(__xludf.DUMMYFUNCTION("""COMPUTED_VALUE"""),51)</f>
        <v>51</v>
      </c>
      <c r="I491" s="140">
        <f ca="1">IFERROR(__xludf.DUMMYFUNCTION("""COMPUTED_VALUE"""),93844)</f>
        <v>93844</v>
      </c>
      <c r="J491" s="141">
        <f ca="1">IFERROR(__xludf.DUMMYFUNCTION("""COMPUTED_VALUE"""),1840.07843137254)</f>
        <v>1840.0784313725401</v>
      </c>
      <c r="K491" s="142">
        <f ca="1">IFERROR(__xludf.DUMMYFUNCTION("""COMPUTED_VALUE"""),6.25626666666666)</f>
        <v>6.2562666666666598</v>
      </c>
      <c r="L491" s="143" t="str">
        <f ca="1"/>
        <v>Wiris Variasi</v>
      </c>
      <c r="M491" s="127"/>
      <c r="N491" s="127"/>
      <c r="O491" s="127"/>
      <c r="P491" s="127"/>
      <c r="Q491" s="127"/>
      <c r="R491" s="127"/>
      <c r="S491" s="127"/>
      <c r="T491" s="127"/>
      <c r="U491" s="127"/>
      <c r="V491" s="127"/>
      <c r="W491" s="127"/>
      <c r="X491" s="127"/>
      <c r="Y491" s="127"/>
      <c r="Z491" s="127"/>
      <c r="AA491" s="127"/>
    </row>
    <row r="492" spans="1:27">
      <c r="A492" s="127">
        <f ca="1">IFERROR(__xludf.DUMMYFUNCTION("""COMPUTED_VALUE"""),759724529202804)</f>
        <v>759724529202804</v>
      </c>
      <c r="B492" s="127" t="str">
        <f ca="1">IFERROR(__xludf.DUMMYFUNCTION("""COMPUTED_VALUE"""),"120230422523240200")</f>
        <v>120230422523240200</v>
      </c>
      <c r="C492" s="127" t="str">
        <f ca="1">IFERROR(__xludf.DUMMYFUNCTION("""COMPUTED_VALUE"""),"Bali Ayu Massage Salon &amp; Spa")</f>
        <v>Bali Ayu Massage Salon &amp; Spa</v>
      </c>
      <c r="D492" s="139"/>
      <c r="E492" s="139"/>
      <c r="F492" s="139">
        <f ca="1">IFERROR(__xludf.DUMMYFUNCTION("""COMPUTED_VALUE"""),40)</f>
        <v>40</v>
      </c>
      <c r="G492" s="139">
        <f ca="1">IFERROR(__xludf.DUMMYFUNCTION("""COMPUTED_VALUE"""),32289)</f>
        <v>32289</v>
      </c>
      <c r="H492" s="139">
        <f ca="1">IFERROR(__xludf.DUMMYFUNCTION("""COMPUTED_VALUE"""),1)</f>
        <v>1</v>
      </c>
      <c r="I492" s="140">
        <f ca="1">IFERROR(__xludf.DUMMYFUNCTION("""COMPUTED_VALUE"""),1453)</f>
        <v>1453</v>
      </c>
      <c r="J492" s="141">
        <f ca="1">IFERROR(__xludf.DUMMYFUNCTION("""COMPUTED_VALUE"""),1453)</f>
        <v>1453</v>
      </c>
      <c r="K492" s="142">
        <f ca="1">IFERROR(__xludf.DUMMYFUNCTION("""COMPUTED_VALUE"""),0.0968666666666666)</f>
        <v>9.6866666666666601E-2</v>
      </c>
      <c r="L492" s="143" t="str">
        <f ca="1"/>
        <v>Wiris Variasi</v>
      </c>
      <c r="M492" s="127"/>
      <c r="N492" s="127"/>
      <c r="O492" s="127"/>
      <c r="P492" s="127"/>
      <c r="Q492" s="127"/>
      <c r="R492" s="127"/>
      <c r="S492" s="127"/>
      <c r="T492" s="127"/>
      <c r="U492" s="127"/>
      <c r="V492" s="127"/>
      <c r="W492" s="127"/>
      <c r="X492" s="127"/>
      <c r="Y492" s="127"/>
      <c r="Z492" s="127"/>
      <c r="AA492" s="127"/>
    </row>
    <row r="493" spans="1:27">
      <c r="A493" s="127">
        <f ca="1">IFERROR(__xludf.DUMMYFUNCTION("""COMPUTED_VALUE"""),759724529202804)</f>
        <v>759724529202804</v>
      </c>
      <c r="B493" s="127" t="str">
        <f ca="1">IFERROR(__xludf.DUMMYFUNCTION("""COMPUTED_VALUE"""),"120230422931920200")</f>
        <v>120230422931920200</v>
      </c>
      <c r="C493" s="127" t="str">
        <f ca="1">IFERROR(__xludf.DUMMYFUNCTION("""COMPUTED_VALUE"""),"D’Vanny salon")</f>
        <v>D’Vanny salon</v>
      </c>
      <c r="D493" s="139"/>
      <c r="E493" s="139"/>
      <c r="F493" s="139">
        <f ca="1">IFERROR(__xludf.DUMMYFUNCTION("""COMPUTED_VALUE"""),105)</f>
        <v>105</v>
      </c>
      <c r="G493" s="139">
        <f ca="1">IFERROR(__xludf.DUMMYFUNCTION("""COMPUTED_VALUE"""),10092)</f>
        <v>10092</v>
      </c>
      <c r="H493" s="139">
        <f ca="1">IFERROR(__xludf.DUMMYFUNCTION("""COMPUTED_VALUE"""),0)</f>
        <v>0</v>
      </c>
      <c r="I493" s="140">
        <f ca="1">IFERROR(__xludf.DUMMYFUNCTION("""COMPUTED_VALUE"""),1201)</f>
        <v>1201</v>
      </c>
      <c r="J493" s="141"/>
      <c r="K493" s="142">
        <f ca="1">IFERROR(__xludf.DUMMYFUNCTION("""COMPUTED_VALUE"""),0.0800666666666666)</f>
        <v>8.0066666666666605E-2</v>
      </c>
      <c r="L493" s="143" t="str">
        <f ca="1"/>
        <v>Wiris Variasi</v>
      </c>
      <c r="M493" s="127"/>
      <c r="N493" s="127"/>
      <c r="O493" s="127"/>
      <c r="P493" s="127"/>
      <c r="Q493" s="127"/>
      <c r="R493" s="127"/>
      <c r="S493" s="127"/>
      <c r="T493" s="127"/>
      <c r="U493" s="127"/>
      <c r="V493" s="127"/>
      <c r="W493" s="127"/>
      <c r="X493" s="127"/>
      <c r="Y493" s="127"/>
      <c r="Z493" s="127"/>
      <c r="AA493" s="127"/>
    </row>
    <row r="494" spans="1:27">
      <c r="A494" s="127">
        <f ca="1">IFERROR(__xludf.DUMMYFUNCTION("""COMPUTED_VALUE"""),759724529202804)</f>
        <v>759724529202804</v>
      </c>
      <c r="B494" s="127" t="str">
        <f ca="1">IFERROR(__xludf.DUMMYFUNCTION("""COMPUTED_VALUE"""),"120230422931920200")</f>
        <v>120230422931920200</v>
      </c>
      <c r="C494" s="127" t="str">
        <f ca="1">IFERROR(__xludf.DUMMYFUNCTION("""COMPUTED_VALUE"""),"D’Vanny salon")</f>
        <v>D’Vanny salon</v>
      </c>
      <c r="D494" s="138" t="str">
        <f ca="1">IFERROR(__xludf.DUMMYFUNCTION("""COMPUTED_VALUE"""),"https://wa.me/6285339158435")</f>
        <v>https://wa.me/6285339158435</v>
      </c>
      <c r="E494" s="139" t="str">
        <f ca="1">IFERROR(__xludf.DUMMYFUNCTION("""COMPUTED_VALUE"""),"6285339158435")</f>
        <v>6285339158435</v>
      </c>
      <c r="F494" s="139">
        <f ca="1">IFERROR(__xludf.DUMMYFUNCTION("""COMPUTED_VALUE"""),14139)</f>
        <v>14139</v>
      </c>
      <c r="G494" s="139">
        <f ca="1">IFERROR(__xludf.DUMMYFUNCTION("""COMPUTED_VALUE"""),6290.66666666666)</f>
        <v>6290.6666666666597</v>
      </c>
      <c r="H494" s="139">
        <f ca="1">IFERROR(__xludf.DUMMYFUNCTION("""COMPUTED_VALUE"""),66)</f>
        <v>66</v>
      </c>
      <c r="I494" s="140">
        <f ca="1">IFERROR(__xludf.DUMMYFUNCTION("""COMPUTED_VALUE"""),93825)</f>
        <v>93825</v>
      </c>
      <c r="J494" s="141">
        <f ca="1">IFERROR(__xludf.DUMMYFUNCTION("""COMPUTED_VALUE"""),1421.5909090909)</f>
        <v>1421.5909090908999</v>
      </c>
      <c r="K494" s="142">
        <f ca="1">IFERROR(__xludf.DUMMYFUNCTION("""COMPUTED_VALUE"""),6.255)</f>
        <v>6.2549999999999999</v>
      </c>
      <c r="L494" s="143" t="str">
        <f ca="1"/>
        <v>Wiris Variasi</v>
      </c>
      <c r="M494" s="127"/>
      <c r="N494" s="127"/>
      <c r="O494" s="127"/>
      <c r="P494" s="127"/>
      <c r="Q494" s="127"/>
      <c r="R494" s="127"/>
      <c r="S494" s="127"/>
      <c r="T494" s="127"/>
      <c r="U494" s="127"/>
      <c r="V494" s="127"/>
      <c r="W494" s="127"/>
      <c r="X494" s="127"/>
      <c r="Y494" s="127"/>
      <c r="Z494" s="127"/>
      <c r="AA494" s="127"/>
    </row>
    <row r="495" spans="1:27">
      <c r="A495" s="127">
        <f ca="1">IFERROR(__xludf.DUMMYFUNCTION("""COMPUTED_VALUE"""),759724529202804)</f>
        <v>759724529202804</v>
      </c>
      <c r="B495" s="127" t="str">
        <f ca="1">IFERROR(__xludf.DUMMYFUNCTION("""COMPUTED_VALUE"""),"120230489011020200")</f>
        <v>120230489011020200</v>
      </c>
      <c r="C495" s="127" t="str">
        <f ca="1">IFERROR(__xludf.DUMMYFUNCTION("""COMPUTED_VALUE"""),"Li Lie")</f>
        <v>Li Lie</v>
      </c>
      <c r="D495" s="138" t="str">
        <f ca="1">IFERROR(__xludf.DUMMYFUNCTION("""COMPUTED_VALUE"""),"https://wa.me/6289608357133")</f>
        <v>https://wa.me/6289608357133</v>
      </c>
      <c r="E495" s="139" t="str">
        <f ca="1">IFERROR(__xludf.DUMMYFUNCTION("""COMPUTED_VALUE"""),"6289608357133")</f>
        <v>6289608357133</v>
      </c>
      <c r="F495" s="139">
        <f ca="1">IFERROR(__xludf.DUMMYFUNCTION("""COMPUTED_VALUE"""),3198)</f>
        <v>3198</v>
      </c>
      <c r="G495" s="139">
        <f ca="1">IFERROR(__xludf.DUMMYFUNCTION("""COMPUTED_VALUE"""),24954.1666666666)</f>
        <v>24954.166666666599</v>
      </c>
      <c r="H495" s="139">
        <f ca="1">IFERROR(__xludf.DUMMYFUNCTION("""COMPUTED_VALUE"""),12)</f>
        <v>12</v>
      </c>
      <c r="I495" s="140">
        <f ca="1">IFERROR(__xludf.DUMMYFUNCTION("""COMPUTED_VALUE"""),89622)</f>
        <v>89622</v>
      </c>
      <c r="J495" s="141">
        <f ca="1">IFERROR(__xludf.DUMMYFUNCTION("""COMPUTED_VALUE"""),7468.5)</f>
        <v>7468.5</v>
      </c>
      <c r="K495" s="142">
        <f ca="1">IFERROR(__xludf.DUMMYFUNCTION("""COMPUTED_VALUE"""),5.9748)</f>
        <v>5.9748000000000001</v>
      </c>
      <c r="L495" s="143" t="str">
        <f ca="1"/>
        <v>Wiris Variasi</v>
      </c>
      <c r="M495" s="127"/>
      <c r="N495" s="127"/>
      <c r="O495" s="127"/>
      <c r="P495" s="127"/>
      <c r="Q495" s="127"/>
      <c r="R495" s="127"/>
      <c r="S495" s="127"/>
      <c r="T495" s="127"/>
      <c r="U495" s="127"/>
      <c r="V495" s="127"/>
      <c r="W495" s="127"/>
      <c r="X495" s="127"/>
      <c r="Y495" s="127"/>
      <c r="Z495" s="127"/>
      <c r="AA495" s="127"/>
    </row>
    <row r="496" spans="1:27">
      <c r="A496" s="127">
        <f ca="1">IFERROR(__xludf.DUMMYFUNCTION("""COMPUTED_VALUE"""),759724529202804)</f>
        <v>759724529202804</v>
      </c>
      <c r="B496" s="127" t="str">
        <f ca="1">IFERROR(__xludf.DUMMYFUNCTION("""COMPUTED_VALUE"""),"120230570117160200")</f>
        <v>120230570117160200</v>
      </c>
      <c r="C496" s="127" t="str">
        <f ca="1">IFERROR(__xludf.DUMMYFUNCTION("""COMPUTED_VALUE"""),"LITNASALON")</f>
        <v>LITNASALON</v>
      </c>
      <c r="D496" s="138" t="str">
        <f ca="1">IFERROR(__xludf.DUMMYFUNCTION("""COMPUTED_VALUE"""),"https://wa.me/6281269441611")</f>
        <v>https://wa.me/6281269441611</v>
      </c>
      <c r="E496" s="139" t="str">
        <f ca="1">IFERROR(__xludf.DUMMYFUNCTION("""COMPUTED_VALUE"""),"6281269441611")</f>
        <v>6281269441611</v>
      </c>
      <c r="F496" s="139">
        <f ca="1">IFERROR(__xludf.DUMMYFUNCTION("""COMPUTED_VALUE"""),13907)</f>
        <v>13907</v>
      </c>
      <c r="G496" s="139">
        <f ca="1">IFERROR(__xludf.DUMMYFUNCTION("""COMPUTED_VALUE"""),6845.71428571428)</f>
        <v>6845.7142857142799</v>
      </c>
      <c r="H496" s="139">
        <f ca="1">IFERROR(__xludf.DUMMYFUNCTION("""COMPUTED_VALUE"""),13)</f>
        <v>13</v>
      </c>
      <c r="I496" s="140">
        <f ca="1">IFERROR(__xludf.DUMMYFUNCTION("""COMPUTED_VALUE"""),109986)</f>
        <v>109986</v>
      </c>
      <c r="J496" s="141">
        <f ca="1">IFERROR(__xludf.DUMMYFUNCTION("""COMPUTED_VALUE"""),8460.46153846153)</f>
        <v>8460.4615384615299</v>
      </c>
      <c r="K496" s="142">
        <f ca="1">IFERROR(__xludf.DUMMYFUNCTION("""COMPUTED_VALUE"""),7.3324)</f>
        <v>7.3323999999999998</v>
      </c>
      <c r="L496" s="143" t="str">
        <f ca="1"/>
        <v>Wiris Variasi</v>
      </c>
      <c r="M496" s="127"/>
      <c r="N496" s="127"/>
      <c r="O496" s="127"/>
      <c r="P496" s="127"/>
      <c r="Q496" s="127"/>
      <c r="R496" s="127"/>
      <c r="S496" s="127"/>
      <c r="T496" s="127"/>
      <c r="U496" s="127"/>
      <c r="V496" s="127"/>
      <c r="W496" s="127"/>
      <c r="X496" s="127"/>
      <c r="Y496" s="127"/>
      <c r="Z496" s="127"/>
      <c r="AA496" s="127"/>
    </row>
    <row r="497" spans="1:27">
      <c r="A497" s="127">
        <f ca="1">IFERROR(__xludf.DUMMYFUNCTION("""COMPUTED_VALUE"""),759724529202804)</f>
        <v>759724529202804</v>
      </c>
      <c r="B497" s="127" t="str">
        <f ca="1">IFERROR(__xludf.DUMMYFUNCTION("""COMPUTED_VALUE"""),"120231605979100200")</f>
        <v>120231605979100200</v>
      </c>
      <c r="C497" s="127" t="str">
        <f ca="1">IFERROR(__xludf.DUMMYFUNCTION("""COMPUTED_VALUE"""),"Bajawa lash")</f>
        <v>Bajawa lash</v>
      </c>
      <c r="D497" s="138" t="str">
        <f ca="1">IFERROR(__xludf.DUMMYFUNCTION("""COMPUTED_VALUE"""),"https://wa.me/6281299298585")</f>
        <v>https://wa.me/6281299298585</v>
      </c>
      <c r="E497" s="139" t="str">
        <f ca="1">IFERROR(__xludf.DUMMYFUNCTION("""COMPUTED_VALUE"""),"6281299298585")</f>
        <v>6281299298585</v>
      </c>
      <c r="F497" s="139">
        <f ca="1">IFERROR(__xludf.DUMMYFUNCTION("""COMPUTED_VALUE"""),4126)</f>
        <v>4126</v>
      </c>
      <c r="G497" s="139">
        <f ca="1">IFERROR(__xludf.DUMMYFUNCTION("""COMPUTED_VALUE"""),18861.1666666666)</f>
        <v>18861.166666666599</v>
      </c>
      <c r="H497" s="139">
        <f ca="1">IFERROR(__xludf.DUMMYFUNCTION("""COMPUTED_VALUE"""),4)</f>
        <v>4</v>
      </c>
      <c r="I497" s="140">
        <f ca="1">IFERROR(__xludf.DUMMYFUNCTION("""COMPUTED_VALUE"""),90823)</f>
        <v>90823</v>
      </c>
      <c r="J497" s="141">
        <f ca="1">IFERROR(__xludf.DUMMYFUNCTION("""COMPUTED_VALUE"""),22705.75)</f>
        <v>22705.75</v>
      </c>
      <c r="K497" s="142">
        <f ca="1">IFERROR(__xludf.DUMMYFUNCTION("""COMPUTED_VALUE"""),6.05486666666666)</f>
        <v>6.0548666666666602</v>
      </c>
      <c r="L497" s="143" t="str">
        <f ca="1"/>
        <v>Wiris Variasi</v>
      </c>
      <c r="M497" s="127"/>
      <c r="N497" s="127"/>
      <c r="O497" s="127"/>
      <c r="P497" s="127"/>
      <c r="Q497" s="127"/>
      <c r="R497" s="127"/>
      <c r="S497" s="127"/>
      <c r="T497" s="127"/>
      <c r="U497" s="127"/>
      <c r="V497" s="127"/>
      <c r="W497" s="127"/>
      <c r="X497" s="127"/>
      <c r="Y497" s="127"/>
      <c r="Z497" s="127"/>
      <c r="AA497" s="127"/>
    </row>
    <row r="498" spans="1:27">
      <c r="A498" s="127">
        <f ca="1">IFERROR(__xludf.DUMMYFUNCTION("""COMPUTED_VALUE"""),759724529202804)</f>
        <v>759724529202804</v>
      </c>
      <c r="B498" s="127" t="str">
        <f ca="1">IFERROR(__xludf.DUMMYFUNCTION("""COMPUTED_VALUE"""),"120231665720200200")</f>
        <v>120231665720200200</v>
      </c>
      <c r="C498" s="127" t="str">
        <f ca="1">IFERROR(__xludf.DUMMYFUNCTION("""COMPUTED_VALUE"""),"WIKINARA")</f>
        <v>WIKINARA</v>
      </c>
      <c r="D498" s="138" t="str">
        <f ca="1">IFERROR(__xludf.DUMMYFUNCTION("""COMPUTED_VALUE"""),"https://wa.me/628127126274")</f>
        <v>https://wa.me/628127126274</v>
      </c>
      <c r="E498" s="139" t="str">
        <f ca="1">IFERROR(__xludf.DUMMYFUNCTION("""COMPUTED_VALUE"""),"628127126274")</f>
        <v>628127126274</v>
      </c>
      <c r="F498" s="139">
        <f ca="1">IFERROR(__xludf.DUMMYFUNCTION("""COMPUTED_VALUE"""),1674)</f>
        <v>1674</v>
      </c>
      <c r="G498" s="139">
        <f ca="1">IFERROR(__xludf.DUMMYFUNCTION("""COMPUTED_VALUE"""),36928.8)</f>
        <v>36928.800000000003</v>
      </c>
      <c r="H498" s="139">
        <f ca="1">IFERROR(__xludf.DUMMYFUNCTION("""COMPUTED_VALUE"""),13)</f>
        <v>13</v>
      </c>
      <c r="I498" s="140">
        <f ca="1">IFERROR(__xludf.DUMMYFUNCTION("""COMPUTED_VALUE"""),77429)</f>
        <v>77429</v>
      </c>
      <c r="J498" s="141">
        <f ca="1">IFERROR(__xludf.DUMMYFUNCTION("""COMPUTED_VALUE"""),5956.07692307692)</f>
        <v>5956.0769230769201</v>
      </c>
      <c r="K498" s="142">
        <f ca="1">IFERROR(__xludf.DUMMYFUNCTION("""COMPUTED_VALUE"""),5.16193333333333)</f>
        <v>5.1619333333333302</v>
      </c>
      <c r="L498" s="143" t="str">
        <f ca="1"/>
        <v>Wiris Variasi</v>
      </c>
      <c r="M498" s="127"/>
      <c r="N498" s="127"/>
      <c r="O498" s="127"/>
      <c r="P498" s="127"/>
      <c r="Q498" s="127"/>
      <c r="R498" s="127"/>
      <c r="S498" s="127"/>
      <c r="T498" s="127"/>
      <c r="U498" s="127"/>
      <c r="V498" s="127"/>
      <c r="W498" s="127"/>
      <c r="X498" s="127"/>
      <c r="Y498" s="127"/>
      <c r="Z498" s="127"/>
      <c r="AA498" s="127"/>
    </row>
    <row r="499" spans="1:27">
      <c r="A499" s="127">
        <f ca="1">IFERROR(__xludf.DUMMYFUNCTION("""COMPUTED_VALUE"""),759724529202804)</f>
        <v>759724529202804</v>
      </c>
      <c r="B499" s="127" t="str">
        <f ca="1">IFERROR(__xludf.DUMMYFUNCTION("""COMPUTED_VALUE"""),"120231985215890200")</f>
        <v>120231985215890200</v>
      </c>
      <c r="C499" s="127" t="str">
        <f ca="1">IFERROR(__xludf.DUMMYFUNCTION("""COMPUTED_VALUE"""),"nur beauty")</f>
        <v>nur beauty</v>
      </c>
      <c r="D499" s="138" t="str">
        <f ca="1">IFERROR(__xludf.DUMMYFUNCTION("""COMPUTED_VALUE"""),"https://wa.me/6285138380189")</f>
        <v>https://wa.me/6285138380189</v>
      </c>
      <c r="E499" s="139" t="str">
        <f ca="1">IFERROR(__xludf.DUMMYFUNCTION("""COMPUTED_VALUE"""),"6285138380189")</f>
        <v>6285138380189</v>
      </c>
      <c r="F499" s="139">
        <f ca="1">IFERROR(__xludf.DUMMYFUNCTION("""COMPUTED_VALUE"""),2970)</f>
        <v>2970</v>
      </c>
      <c r="G499" s="139">
        <f ca="1">IFERROR(__xludf.DUMMYFUNCTION("""COMPUTED_VALUE"""),22227.8333333333)</f>
        <v>22227.833333333299</v>
      </c>
      <c r="H499" s="139">
        <f ca="1">IFERROR(__xludf.DUMMYFUNCTION("""COMPUTED_VALUE"""),6)</f>
        <v>6</v>
      </c>
      <c r="I499" s="140">
        <f ca="1">IFERROR(__xludf.DUMMYFUNCTION("""COMPUTED_VALUE"""),83593)</f>
        <v>83593</v>
      </c>
      <c r="J499" s="141">
        <f ca="1">IFERROR(__xludf.DUMMYFUNCTION("""COMPUTED_VALUE"""),13932.1666666666)</f>
        <v>13932.166666666601</v>
      </c>
      <c r="K499" s="142">
        <f ca="1">IFERROR(__xludf.DUMMYFUNCTION("""COMPUTED_VALUE"""),5.57286666666666)</f>
        <v>5.57286666666666</v>
      </c>
      <c r="L499" s="143" t="str">
        <f ca="1"/>
        <v>Wiris Variasi</v>
      </c>
      <c r="M499" s="127"/>
      <c r="N499" s="127"/>
      <c r="O499" s="127"/>
      <c r="P499" s="127"/>
      <c r="Q499" s="127"/>
      <c r="R499" s="127"/>
      <c r="S499" s="127"/>
      <c r="T499" s="127"/>
      <c r="U499" s="127"/>
      <c r="V499" s="127"/>
      <c r="W499" s="127"/>
      <c r="X499" s="127"/>
      <c r="Y499" s="127"/>
      <c r="Z499" s="127"/>
      <c r="AA499" s="127"/>
    </row>
    <row r="500" spans="1:27">
      <c r="A500" s="127">
        <f ca="1">IFERROR(__xludf.DUMMYFUNCTION("""COMPUTED_VALUE"""),759724529202804)</f>
        <v>759724529202804</v>
      </c>
      <c r="B500" s="127" t="str">
        <f ca="1">IFERROR(__xludf.DUMMYFUNCTION("""COMPUTED_VALUE"""),"120232488433800200")</f>
        <v>120232488433800200</v>
      </c>
      <c r="C500" s="127" t="str">
        <f ca="1">IFERROR(__xludf.DUMMYFUNCTION("""COMPUTED_VALUE"""),"Spa dina")</f>
        <v>Spa dina</v>
      </c>
      <c r="D500" s="138" t="str">
        <f ca="1">IFERROR(__xludf.DUMMYFUNCTION("""COMPUTED_VALUE"""),"https://wa.me/6287833789401")</f>
        <v>https://wa.me/6287833789401</v>
      </c>
      <c r="E500" s="139" t="str">
        <f ca="1">IFERROR(__xludf.DUMMYFUNCTION("""COMPUTED_VALUE"""),"6287833789401")</f>
        <v>6287833789401</v>
      </c>
      <c r="F500" s="139">
        <f ca="1">IFERROR(__xludf.DUMMYFUNCTION("""COMPUTED_VALUE"""),5859)</f>
        <v>5859</v>
      </c>
      <c r="G500" s="139">
        <f ca="1">IFERROR(__xludf.DUMMYFUNCTION("""COMPUTED_VALUE"""),13677.6666666666)</f>
        <v>13677.666666666601</v>
      </c>
      <c r="H500" s="139">
        <f ca="1">IFERROR(__xludf.DUMMYFUNCTION("""COMPUTED_VALUE"""),41)</f>
        <v>41</v>
      </c>
      <c r="I500" s="140">
        <f ca="1">IFERROR(__xludf.DUMMYFUNCTION("""COMPUTED_VALUE"""),91327)</f>
        <v>91327</v>
      </c>
      <c r="J500" s="141">
        <f ca="1">IFERROR(__xludf.DUMMYFUNCTION("""COMPUTED_VALUE"""),2227.48780487804)</f>
        <v>2227.4878048780402</v>
      </c>
      <c r="K500" s="142">
        <f ca="1">IFERROR(__xludf.DUMMYFUNCTION("""COMPUTED_VALUE"""),6.08846666666666)</f>
        <v>6.08846666666666</v>
      </c>
      <c r="L500" s="143" t="str">
        <f ca="1"/>
        <v>Wiris Variasi</v>
      </c>
      <c r="M500" s="127"/>
      <c r="N500" s="127"/>
      <c r="O500" s="127"/>
      <c r="P500" s="127"/>
      <c r="Q500" s="127"/>
      <c r="R500" s="127"/>
      <c r="S500" s="127"/>
      <c r="T500" s="127"/>
      <c r="U500" s="127"/>
      <c r="V500" s="127"/>
      <c r="W500" s="127"/>
      <c r="X500" s="127"/>
      <c r="Y500" s="127"/>
      <c r="Z500" s="127"/>
      <c r="AA500" s="127"/>
    </row>
    <row r="501" spans="1:27">
      <c r="A501" s="127">
        <f ca="1">IFERROR(__xludf.DUMMYFUNCTION("""COMPUTED_VALUE"""),759724529202804)</f>
        <v>759724529202804</v>
      </c>
      <c r="B501" s="127" t="str">
        <f ca="1">IFERROR(__xludf.DUMMYFUNCTION("""COMPUTED_VALUE"""),"120232776985740200")</f>
        <v>120232776985740200</v>
      </c>
      <c r="C501" s="127" t="str">
        <f ca="1">IFERROR(__xludf.DUMMYFUNCTION("""COMPUTED_VALUE"""),"Aylis Beauty")</f>
        <v>Aylis Beauty</v>
      </c>
      <c r="D501" s="138" t="str">
        <f ca="1">IFERROR(__xludf.DUMMYFUNCTION("""COMPUTED_VALUE"""),"https://wa.me/6282267832085")</f>
        <v>https://wa.me/6282267832085</v>
      </c>
      <c r="E501" s="139" t="str">
        <f ca="1">IFERROR(__xludf.DUMMYFUNCTION("""COMPUTED_VALUE"""),"6282267832085")</f>
        <v>6282267832085</v>
      </c>
      <c r="F501" s="139">
        <f ca="1">IFERROR(__xludf.DUMMYFUNCTION("""COMPUTED_VALUE"""),6118)</f>
        <v>6118</v>
      </c>
      <c r="G501" s="139">
        <f ca="1">IFERROR(__xludf.DUMMYFUNCTION("""COMPUTED_VALUE"""),10565.2)</f>
        <v>10565.2</v>
      </c>
      <c r="H501" s="139">
        <f ca="1">IFERROR(__xludf.DUMMYFUNCTION("""COMPUTED_VALUE"""),16)</f>
        <v>16</v>
      </c>
      <c r="I501" s="140">
        <f ca="1">IFERROR(__xludf.DUMMYFUNCTION("""COMPUTED_VALUE"""),84493)</f>
        <v>84493</v>
      </c>
      <c r="J501" s="141">
        <f ca="1">IFERROR(__xludf.DUMMYFUNCTION("""COMPUTED_VALUE"""),5280.8125)</f>
        <v>5280.8125</v>
      </c>
      <c r="K501" s="142">
        <f ca="1">IFERROR(__xludf.DUMMYFUNCTION("""COMPUTED_VALUE"""),5.63286666666666)</f>
        <v>5.6328666666666596</v>
      </c>
      <c r="L501" s="143" t="str">
        <f ca="1"/>
        <v>Wiris Variasi</v>
      </c>
      <c r="M501" s="127"/>
      <c r="N501" s="127"/>
      <c r="O501" s="127"/>
      <c r="P501" s="127"/>
      <c r="Q501" s="127"/>
      <c r="R501" s="127"/>
      <c r="S501" s="127"/>
      <c r="T501" s="127"/>
      <c r="U501" s="127"/>
      <c r="V501" s="127"/>
      <c r="W501" s="127"/>
      <c r="X501" s="127"/>
      <c r="Y501" s="127"/>
      <c r="Z501" s="127"/>
      <c r="AA501" s="127"/>
    </row>
    <row r="502" spans="1:27">
      <c r="A502" s="127">
        <f ca="1">IFERROR(__xludf.DUMMYFUNCTION("""COMPUTED_VALUE"""),759724529202804)</f>
        <v>759724529202804</v>
      </c>
      <c r="B502" s="127" t="str">
        <f ca="1">IFERROR(__xludf.DUMMYFUNCTION("""COMPUTED_VALUE"""),"120233172775550200")</f>
        <v>120233172775550200</v>
      </c>
      <c r="C502" s="127" t="str">
        <f ca="1">IFERROR(__xludf.DUMMYFUNCTION("""COMPUTED_VALUE"""),"Lucas Salon")</f>
        <v>Lucas Salon</v>
      </c>
      <c r="D502" s="138" t="str">
        <f ca="1">IFERROR(__xludf.DUMMYFUNCTION("""COMPUTED_VALUE"""),"https://wa.me/6287835601400")</f>
        <v>https://wa.me/6287835601400</v>
      </c>
      <c r="E502" s="139" t="str">
        <f ca="1">IFERROR(__xludf.DUMMYFUNCTION("""COMPUTED_VALUE"""),"6287835601400")</f>
        <v>6287835601400</v>
      </c>
      <c r="F502" s="139">
        <f ca="1">IFERROR(__xludf.DUMMYFUNCTION("""COMPUTED_VALUE"""),4395)</f>
        <v>4395</v>
      </c>
      <c r="G502" s="139">
        <f ca="1">IFERROR(__xludf.DUMMYFUNCTION("""COMPUTED_VALUE"""),22199.2857142857)</f>
        <v>22199.285714285699</v>
      </c>
      <c r="H502" s="139">
        <f ca="1">IFERROR(__xludf.DUMMYFUNCTION("""COMPUTED_VALUE"""),11)</f>
        <v>11</v>
      </c>
      <c r="I502" s="140">
        <f ca="1">IFERROR(__xludf.DUMMYFUNCTION("""COMPUTED_VALUE"""),103515)</f>
        <v>103515</v>
      </c>
      <c r="J502" s="141">
        <f ca="1">IFERROR(__xludf.DUMMYFUNCTION("""COMPUTED_VALUE"""),9410.45454545454)</f>
        <v>9410.4545454545405</v>
      </c>
      <c r="K502" s="142">
        <f ca="1">IFERROR(__xludf.DUMMYFUNCTION("""COMPUTED_VALUE"""),6.901)</f>
        <v>6.9009999999999998</v>
      </c>
      <c r="L502" s="143" t="str">
        <f ca="1"/>
        <v>Wiris Variasi</v>
      </c>
      <c r="M502" s="127"/>
      <c r="N502" s="127"/>
      <c r="O502" s="127"/>
      <c r="P502" s="127"/>
      <c r="Q502" s="127"/>
      <c r="R502" s="127"/>
      <c r="S502" s="127"/>
      <c r="T502" s="127"/>
      <c r="U502" s="127"/>
      <c r="V502" s="127"/>
      <c r="W502" s="127"/>
      <c r="X502" s="127"/>
      <c r="Y502" s="127"/>
      <c r="Z502" s="127"/>
      <c r="AA502" s="127"/>
    </row>
    <row r="503" spans="1:27">
      <c r="A503" s="127">
        <f ca="1">IFERROR(__xludf.DUMMYFUNCTION("""COMPUTED_VALUE"""),766589657993298)</f>
        <v>766589657993298</v>
      </c>
      <c r="B503" s="127" t="str">
        <f ca="1">IFERROR(__xludf.DUMMYFUNCTION("""COMPUTED_VALUE"""),"120226446980020235")</f>
        <v>120226446980020235</v>
      </c>
      <c r="C503" s="127" t="str">
        <f ca="1">IFERROR(__xludf.DUMMYFUNCTION("""COMPUTED_VALUE"""),"Loundry W&amp;M")</f>
        <v>Loundry W&amp;M</v>
      </c>
      <c r="D503" s="139"/>
      <c r="E503" s="139"/>
      <c r="F503" s="139">
        <f ca="1">IFERROR(__xludf.DUMMYFUNCTION("""COMPUTED_VALUE"""),1731)</f>
        <v>1731</v>
      </c>
      <c r="G503" s="139">
        <f ca="1">IFERROR(__xludf.DUMMYFUNCTION("""COMPUTED_VALUE"""),24877.5)</f>
        <v>24877.5</v>
      </c>
      <c r="H503" s="139">
        <f ca="1">IFERROR(__xludf.DUMMYFUNCTION("""COMPUTED_VALUE"""),3)</f>
        <v>3</v>
      </c>
      <c r="I503" s="140">
        <f ca="1">IFERROR(__xludf.DUMMYFUNCTION("""COMPUTED_VALUE"""),44927)</f>
        <v>44927</v>
      </c>
      <c r="J503" s="141">
        <f ca="1">IFERROR(__xludf.DUMMYFUNCTION("""COMPUTED_VALUE"""),14975.6666666666)</f>
        <v>14975.666666666601</v>
      </c>
      <c r="K503" s="142">
        <f ca="1">IFERROR(__xludf.DUMMYFUNCTION("""COMPUTED_VALUE"""),2.99513333333333)</f>
        <v>2.9951333333333299</v>
      </c>
      <c r="L503" s="143" t="str">
        <f ca="1"/>
        <v>Wiris Variasi</v>
      </c>
      <c r="M503" s="127"/>
      <c r="N503" s="127"/>
      <c r="O503" s="127"/>
      <c r="P503" s="127"/>
      <c r="Q503" s="127"/>
      <c r="R503" s="127"/>
      <c r="S503" s="127"/>
      <c r="T503" s="127"/>
      <c r="U503" s="127"/>
      <c r="V503" s="127"/>
      <c r="W503" s="127"/>
      <c r="X503" s="127"/>
      <c r="Y503" s="127"/>
      <c r="Z503" s="127"/>
      <c r="AA503" s="127"/>
    </row>
    <row r="504" spans="1:27">
      <c r="A504" s="127">
        <f ca="1">IFERROR(__xludf.DUMMYFUNCTION("""COMPUTED_VALUE"""),766589657993298)</f>
        <v>766589657993298</v>
      </c>
      <c r="B504" s="127" t="str">
        <f ca="1">IFERROR(__xludf.DUMMYFUNCTION("""COMPUTED_VALUE"""),"120226449010810235")</f>
        <v>120226449010810235</v>
      </c>
      <c r="C504" s="127" t="str">
        <f ca="1">IFERROR(__xludf.DUMMYFUNCTION("""COMPUTED_VALUE"""),"Naufal interior")</f>
        <v>Naufal interior</v>
      </c>
      <c r="D504" s="138" t="str">
        <f ca="1">IFERROR(__xludf.DUMMYFUNCTION("""COMPUTED_VALUE"""),"https://wa.me/6281347321820")</f>
        <v>https://wa.me/6281347321820</v>
      </c>
      <c r="E504" s="139" t="str">
        <f ca="1">IFERROR(__xludf.DUMMYFUNCTION("""COMPUTED_VALUE"""),"6281347321820")</f>
        <v>6281347321820</v>
      </c>
      <c r="F504" s="139">
        <f ca="1">IFERROR(__xludf.DUMMYFUNCTION("""COMPUTED_VALUE"""),3691)</f>
        <v>3691</v>
      </c>
      <c r="G504" s="139">
        <f ca="1">IFERROR(__xludf.DUMMYFUNCTION("""COMPUTED_VALUE"""),14234.75)</f>
        <v>14234.75</v>
      </c>
      <c r="H504" s="139">
        <f ca="1">IFERROR(__xludf.DUMMYFUNCTION("""COMPUTED_VALUE"""),15)</f>
        <v>15</v>
      </c>
      <c r="I504" s="140">
        <f ca="1">IFERROR(__xludf.DUMMYFUNCTION("""COMPUTED_VALUE"""),56180)</f>
        <v>56180</v>
      </c>
      <c r="J504" s="141">
        <f ca="1">IFERROR(__xludf.DUMMYFUNCTION("""COMPUTED_VALUE"""),3745.33333333333)</f>
        <v>3745.3333333333298</v>
      </c>
      <c r="K504" s="142">
        <f ca="1">IFERROR(__xludf.DUMMYFUNCTION("""COMPUTED_VALUE"""),3.74533333333333)</f>
        <v>3.7453333333333299</v>
      </c>
      <c r="L504" s="143" t="str">
        <f ca="1"/>
        <v>Wiris Variasi</v>
      </c>
      <c r="M504" s="127"/>
      <c r="N504" s="127"/>
      <c r="O504" s="127"/>
      <c r="P504" s="127"/>
      <c r="Q504" s="127"/>
      <c r="R504" s="127"/>
      <c r="S504" s="127"/>
      <c r="T504" s="127"/>
      <c r="U504" s="127"/>
      <c r="V504" s="127"/>
      <c r="W504" s="127"/>
      <c r="X504" s="127"/>
      <c r="Y504" s="127"/>
      <c r="Z504" s="127"/>
      <c r="AA504" s="127"/>
    </row>
    <row r="505" spans="1:27">
      <c r="A505" s="127">
        <f ca="1">IFERROR(__xludf.DUMMYFUNCTION("""COMPUTED_VALUE"""),766589657993298)</f>
        <v>766589657993298</v>
      </c>
      <c r="B505" s="127" t="str">
        <f ca="1">IFERROR(__xludf.DUMMYFUNCTION("""COMPUTED_VALUE"""),"120226497822570235")</f>
        <v>120226497822570235</v>
      </c>
      <c r="C505" s="127" t="str">
        <f ca="1">IFERROR(__xludf.DUMMYFUNCTION("""COMPUTED_VALUE"""),"Sofie Gorden")</f>
        <v>Sofie Gorden</v>
      </c>
      <c r="D505" s="138" t="str">
        <f ca="1">IFERROR(__xludf.DUMMYFUNCTION("""COMPUTED_VALUE"""),"https://wa.me/6282154795446")</f>
        <v>https://wa.me/6282154795446</v>
      </c>
      <c r="E505" s="139" t="str">
        <f ca="1">IFERROR(__xludf.DUMMYFUNCTION("""COMPUTED_VALUE"""),"6282154795446")</f>
        <v>6282154795446</v>
      </c>
      <c r="F505" s="139">
        <f ca="1">IFERROR(__xludf.DUMMYFUNCTION("""COMPUTED_VALUE"""),1179)</f>
        <v>1179</v>
      </c>
      <c r="G505" s="139">
        <f ca="1">IFERROR(__xludf.DUMMYFUNCTION("""COMPUTED_VALUE"""),22749.6666666666)</f>
        <v>22749.666666666599</v>
      </c>
      <c r="H505" s="139">
        <f ca="1">IFERROR(__xludf.DUMMYFUNCTION("""COMPUTED_VALUE"""),0)</f>
        <v>0</v>
      </c>
      <c r="I505" s="140">
        <f ca="1">IFERROR(__xludf.DUMMYFUNCTION("""COMPUTED_VALUE"""),26789)</f>
        <v>26789</v>
      </c>
      <c r="J505" s="141"/>
      <c r="K505" s="142">
        <f ca="1">IFERROR(__xludf.DUMMYFUNCTION("""COMPUTED_VALUE"""),1.78593333333333)</f>
        <v>1.78593333333333</v>
      </c>
      <c r="L505" s="143" t="str">
        <f ca="1"/>
        <v>Wiris Variasi</v>
      </c>
      <c r="M505" s="127"/>
      <c r="N505" s="127"/>
      <c r="O505" s="127"/>
      <c r="P505" s="127"/>
      <c r="Q505" s="127"/>
      <c r="R505" s="127"/>
      <c r="S505" s="127"/>
      <c r="T505" s="127"/>
      <c r="U505" s="127"/>
      <c r="V505" s="127"/>
      <c r="W505" s="127"/>
      <c r="X505" s="127"/>
      <c r="Y505" s="127"/>
      <c r="Z505" s="127"/>
      <c r="AA505" s="127"/>
    </row>
    <row r="506" spans="1:27">
      <c r="A506" s="127">
        <f ca="1">IFERROR(__xludf.DUMMYFUNCTION("""COMPUTED_VALUE"""),766589657993298)</f>
        <v>766589657993298</v>
      </c>
      <c r="B506" s="127" t="str">
        <f ca="1">IFERROR(__xludf.DUMMYFUNCTION("""COMPUTED_VALUE"""),"120226503616670235")</f>
        <v>120226503616670235</v>
      </c>
      <c r="C506" s="127" t="str">
        <f ca="1">IFERROR(__xludf.DUMMYFUNCTION("""COMPUTED_VALUE"""),"bengkel mobil")</f>
        <v>bengkel mobil</v>
      </c>
      <c r="D506" s="138" t="str">
        <f ca="1">IFERROR(__xludf.DUMMYFUNCTION("""COMPUTED_VALUE"""),"https://wa.me/6282288123215")</f>
        <v>https://wa.me/6282288123215</v>
      </c>
      <c r="E506" s="139" t="str">
        <f ca="1">IFERROR(__xludf.DUMMYFUNCTION("""COMPUTED_VALUE"""),"6282288123215")</f>
        <v>6282288123215</v>
      </c>
      <c r="F506" s="139">
        <f ca="1">IFERROR(__xludf.DUMMYFUNCTION("""COMPUTED_VALUE"""),10682)</f>
        <v>10682</v>
      </c>
      <c r="G506" s="139">
        <f ca="1">IFERROR(__xludf.DUMMYFUNCTION("""COMPUTED_VALUE"""),10041.8888888888)</f>
        <v>10041.8888888888</v>
      </c>
      <c r="H506" s="139">
        <f ca="1">IFERROR(__xludf.DUMMYFUNCTION("""COMPUTED_VALUE"""),19)</f>
        <v>19</v>
      </c>
      <c r="I506" s="140">
        <f ca="1">IFERROR(__xludf.DUMMYFUNCTION("""COMPUTED_VALUE"""),126066)</f>
        <v>126066</v>
      </c>
      <c r="J506" s="141">
        <f ca="1">IFERROR(__xludf.DUMMYFUNCTION("""COMPUTED_VALUE"""),6635.05263157894)</f>
        <v>6635.0526315789402</v>
      </c>
      <c r="K506" s="142">
        <f ca="1">IFERROR(__xludf.DUMMYFUNCTION("""COMPUTED_VALUE"""),8.4044)</f>
        <v>8.4044000000000008</v>
      </c>
      <c r="L506" s="143" t="str">
        <f ca="1"/>
        <v>Wiris Variasi</v>
      </c>
      <c r="M506" s="127"/>
      <c r="N506" s="127"/>
      <c r="O506" s="127"/>
      <c r="P506" s="127"/>
      <c r="Q506" s="127"/>
      <c r="R506" s="127"/>
      <c r="S506" s="127"/>
      <c r="T506" s="127"/>
      <c r="U506" s="127"/>
      <c r="V506" s="127"/>
      <c r="W506" s="127"/>
      <c r="X506" s="127"/>
      <c r="Y506" s="127"/>
      <c r="Z506" s="127"/>
      <c r="AA506" s="127"/>
    </row>
    <row r="507" spans="1:27">
      <c r="A507" s="127">
        <f ca="1">IFERROR(__xludf.DUMMYFUNCTION("""COMPUTED_VALUE"""),766589657993298)</f>
        <v>766589657993298</v>
      </c>
      <c r="B507" s="127" t="str">
        <f ca="1">IFERROR(__xludf.DUMMYFUNCTION("""COMPUTED_VALUE"""),"120226524173690235")</f>
        <v>120226524173690235</v>
      </c>
      <c r="C507" s="127" t="str">
        <f ca="1">IFERROR(__xludf.DUMMYFUNCTION("""COMPUTED_VALUE"""),"Bangun Renov")</f>
        <v>Bangun Renov</v>
      </c>
      <c r="D507" s="138" t="str">
        <f ca="1">IFERROR(__xludf.DUMMYFUNCTION("""COMPUTED_VALUE"""),"https://wa.me/62812")</f>
        <v>https://wa.me/62812</v>
      </c>
      <c r="E507" s="139" t="str">
        <f ca="1">IFERROR(__xludf.DUMMYFUNCTION("""COMPUTED_VALUE"""),"62812")</f>
        <v>62812</v>
      </c>
      <c r="F507" s="139">
        <f ca="1">IFERROR(__xludf.DUMMYFUNCTION("""COMPUTED_VALUE"""),725)</f>
        <v>725</v>
      </c>
      <c r="G507" s="139">
        <f ca="1">IFERROR(__xludf.DUMMYFUNCTION("""COMPUTED_VALUE"""),55807.8)</f>
        <v>55807.8</v>
      </c>
      <c r="H507" s="139">
        <f ca="1">IFERROR(__xludf.DUMMYFUNCTION("""COMPUTED_VALUE"""),1)</f>
        <v>1</v>
      </c>
      <c r="I507" s="140">
        <f ca="1">IFERROR(__xludf.DUMMYFUNCTION("""COMPUTED_VALUE"""),41746)</f>
        <v>41746</v>
      </c>
      <c r="J507" s="141">
        <f ca="1">IFERROR(__xludf.DUMMYFUNCTION("""COMPUTED_VALUE"""),41746)</f>
        <v>41746</v>
      </c>
      <c r="K507" s="142">
        <f ca="1">IFERROR(__xludf.DUMMYFUNCTION("""COMPUTED_VALUE"""),2.78306666666666)</f>
        <v>2.7830666666666599</v>
      </c>
      <c r="L507" s="143" t="str">
        <f ca="1"/>
        <v>Wiris Variasi</v>
      </c>
      <c r="M507" s="127"/>
      <c r="N507" s="127"/>
      <c r="O507" s="127"/>
      <c r="P507" s="127"/>
      <c r="Q507" s="127"/>
      <c r="R507" s="127"/>
      <c r="S507" s="127"/>
      <c r="T507" s="127"/>
      <c r="U507" s="127"/>
      <c r="V507" s="127"/>
      <c r="W507" s="127"/>
      <c r="X507" s="127"/>
      <c r="Y507" s="127"/>
      <c r="Z507" s="127"/>
      <c r="AA507" s="127"/>
    </row>
    <row r="508" spans="1:27">
      <c r="A508" s="127">
        <f ca="1">IFERROR(__xludf.DUMMYFUNCTION("""COMPUTED_VALUE"""),766589657993298)</f>
        <v>766589657993298</v>
      </c>
      <c r="B508" s="127" t="str">
        <f ca="1">IFERROR(__xludf.DUMMYFUNCTION("""COMPUTED_VALUE"""),"120226553971780235")</f>
        <v>120226553971780235</v>
      </c>
      <c r="C508" s="127" t="str">
        <f ca="1">IFERROR(__xludf.DUMMYFUNCTION("""COMPUTED_VALUE"""),"Dani Interior")</f>
        <v>Dani Interior</v>
      </c>
      <c r="D508" s="138" t="str">
        <f ca="1">IFERROR(__xludf.DUMMYFUNCTION("""COMPUTED_VALUE"""),"https://wa.me/6281384925770")</f>
        <v>https://wa.me/6281384925770</v>
      </c>
      <c r="E508" s="139" t="str">
        <f ca="1">IFERROR(__xludf.DUMMYFUNCTION("""COMPUTED_VALUE"""),"6281384925770")</f>
        <v>6281384925770</v>
      </c>
      <c r="F508" s="139">
        <f ca="1">IFERROR(__xludf.DUMMYFUNCTION("""COMPUTED_VALUE"""),638)</f>
        <v>638</v>
      </c>
      <c r="G508" s="139">
        <f ca="1">IFERROR(__xludf.DUMMYFUNCTION("""COMPUTED_VALUE"""),31105.8)</f>
        <v>31105.8</v>
      </c>
      <c r="H508" s="139">
        <f ca="1">IFERROR(__xludf.DUMMYFUNCTION("""COMPUTED_VALUE"""),2)</f>
        <v>2</v>
      </c>
      <c r="I508" s="140">
        <f ca="1">IFERROR(__xludf.DUMMYFUNCTION("""COMPUTED_VALUE"""),21558)</f>
        <v>21558</v>
      </c>
      <c r="J508" s="141">
        <f ca="1">IFERROR(__xludf.DUMMYFUNCTION("""COMPUTED_VALUE"""),10779)</f>
        <v>10779</v>
      </c>
      <c r="K508" s="142">
        <f ca="1">IFERROR(__xludf.DUMMYFUNCTION("""COMPUTED_VALUE"""),1.4372)</f>
        <v>1.4372</v>
      </c>
      <c r="L508" s="143" t="str">
        <f ca="1"/>
        <v>Wiris Variasi</v>
      </c>
      <c r="M508" s="127"/>
      <c r="N508" s="127"/>
      <c r="O508" s="127"/>
      <c r="P508" s="127"/>
      <c r="Q508" s="127"/>
      <c r="R508" s="127"/>
      <c r="S508" s="127"/>
      <c r="T508" s="127"/>
      <c r="U508" s="127"/>
      <c r="V508" s="127"/>
      <c r="W508" s="127"/>
      <c r="X508" s="127"/>
      <c r="Y508" s="127"/>
      <c r="Z508" s="127"/>
      <c r="AA508" s="127"/>
    </row>
    <row r="509" spans="1:27">
      <c r="A509" s="127">
        <f ca="1">IFERROR(__xludf.DUMMYFUNCTION("""COMPUTED_VALUE"""),766589657993298)</f>
        <v>766589657993298</v>
      </c>
      <c r="B509" s="127" t="str">
        <f ca="1">IFERROR(__xludf.DUMMYFUNCTION("""COMPUTED_VALUE"""),"120226575228680235")</f>
        <v>120226575228680235</v>
      </c>
      <c r="C509" s="127" t="str">
        <f ca="1">IFERROR(__xludf.DUMMYFUNCTION("""COMPUTED_VALUE"""),"CV Sejahtera")</f>
        <v>CV Sejahtera</v>
      </c>
      <c r="D509" s="138" t="str">
        <f ca="1">IFERROR(__xludf.DUMMYFUNCTION("""COMPUTED_VALUE"""),"https://wa.me/6281515877050")</f>
        <v>https://wa.me/6281515877050</v>
      </c>
      <c r="E509" s="139" t="str">
        <f ca="1">IFERROR(__xludf.DUMMYFUNCTION("""COMPUTED_VALUE"""),"6281515877050")</f>
        <v>6281515877050</v>
      </c>
      <c r="F509" s="139">
        <f ca="1">IFERROR(__xludf.DUMMYFUNCTION("""COMPUTED_VALUE"""),3023)</f>
        <v>3023</v>
      </c>
      <c r="G509" s="139">
        <f ca="1">IFERROR(__xludf.DUMMYFUNCTION("""COMPUTED_VALUE"""),21033.1428571428)</f>
        <v>21033.1428571428</v>
      </c>
      <c r="H509" s="139">
        <f ca="1">IFERROR(__xludf.DUMMYFUNCTION("""COMPUTED_VALUE"""),3)</f>
        <v>3</v>
      </c>
      <c r="I509" s="140">
        <f ca="1">IFERROR(__xludf.DUMMYFUNCTION("""COMPUTED_VALUE"""),67613)</f>
        <v>67613</v>
      </c>
      <c r="J509" s="141">
        <f ca="1">IFERROR(__xludf.DUMMYFUNCTION("""COMPUTED_VALUE"""),22537.6666666666)</f>
        <v>22537.666666666599</v>
      </c>
      <c r="K509" s="142">
        <f ca="1">IFERROR(__xludf.DUMMYFUNCTION("""COMPUTED_VALUE"""),4.50753333333333)</f>
        <v>4.5075333333333303</v>
      </c>
      <c r="L509" s="143" t="str">
        <f ca="1"/>
        <v>Wiris Variasi</v>
      </c>
      <c r="M509" s="127"/>
      <c r="N509" s="127"/>
      <c r="O509" s="127"/>
      <c r="P509" s="127"/>
      <c r="Q509" s="127"/>
      <c r="R509" s="127"/>
      <c r="S509" s="127"/>
      <c r="T509" s="127"/>
      <c r="U509" s="127"/>
      <c r="V509" s="127"/>
      <c r="W509" s="127"/>
      <c r="X509" s="127"/>
      <c r="Y509" s="127"/>
      <c r="Z509" s="127"/>
      <c r="AA509" s="127"/>
    </row>
    <row r="510" spans="1:27">
      <c r="A510" s="127">
        <f ca="1">IFERROR(__xludf.DUMMYFUNCTION("""COMPUTED_VALUE"""),766589657993298)</f>
        <v>766589657993298</v>
      </c>
      <c r="B510" s="127" t="str">
        <f ca="1">IFERROR(__xludf.DUMMYFUNCTION("""COMPUTED_VALUE"""),"120226603543830235")</f>
        <v>120226603543830235</v>
      </c>
      <c r="C510" s="127" t="str">
        <f ca="1">IFERROR(__xludf.DUMMYFUNCTION("""COMPUTED_VALUE"""),"Pelatihan Gurah Latahzan")</f>
        <v>Pelatihan Gurah Latahzan</v>
      </c>
      <c r="D510" s="138" t="str">
        <f ca="1">IFERROR(__xludf.DUMMYFUNCTION("""COMPUTED_VALUE"""),"https://wa.me/6281904501876")</f>
        <v>https://wa.me/6281904501876</v>
      </c>
      <c r="E510" s="139" t="str">
        <f ca="1">IFERROR(__xludf.DUMMYFUNCTION("""COMPUTED_VALUE"""),"6281904501876")</f>
        <v>6281904501876</v>
      </c>
      <c r="F510" s="139">
        <f ca="1">IFERROR(__xludf.DUMMYFUNCTION("""COMPUTED_VALUE"""),6738)</f>
        <v>6738</v>
      </c>
      <c r="G510" s="139">
        <f ca="1">IFERROR(__xludf.DUMMYFUNCTION("""COMPUTED_VALUE"""),16120.625)</f>
        <v>16120.625</v>
      </c>
      <c r="H510" s="139">
        <f ca="1">IFERROR(__xludf.DUMMYFUNCTION("""COMPUTED_VALUE"""),90)</f>
        <v>90</v>
      </c>
      <c r="I510" s="140">
        <f ca="1">IFERROR(__xludf.DUMMYFUNCTION("""COMPUTED_VALUE"""),118128)</f>
        <v>118128</v>
      </c>
      <c r="J510" s="141">
        <f ca="1">IFERROR(__xludf.DUMMYFUNCTION("""COMPUTED_VALUE"""),1312.53333333333)</f>
        <v>1312.5333333333299</v>
      </c>
      <c r="K510" s="142">
        <f ca="1">IFERROR(__xludf.DUMMYFUNCTION("""COMPUTED_VALUE"""),7.8752)</f>
        <v>7.8752000000000004</v>
      </c>
      <c r="L510" s="143" t="str">
        <f ca="1"/>
        <v>Wiris Variasi</v>
      </c>
      <c r="M510" s="127"/>
      <c r="N510" s="127"/>
      <c r="O510" s="127"/>
      <c r="P510" s="127"/>
      <c r="Q510" s="127"/>
      <c r="R510" s="127"/>
      <c r="S510" s="127"/>
      <c r="T510" s="127"/>
      <c r="U510" s="127"/>
      <c r="V510" s="127"/>
      <c r="W510" s="127"/>
      <c r="X510" s="127"/>
      <c r="Y510" s="127"/>
      <c r="Z510" s="127"/>
      <c r="AA510" s="127"/>
    </row>
    <row r="511" spans="1:27">
      <c r="A511" s="127">
        <f ca="1">IFERROR(__xludf.DUMMYFUNCTION("""COMPUTED_VALUE"""),766589657993298)</f>
        <v>766589657993298</v>
      </c>
      <c r="B511" s="127" t="str">
        <f ca="1">IFERROR(__xludf.DUMMYFUNCTION("""COMPUTED_VALUE"""),"120226675628850235")</f>
        <v>120226675628850235</v>
      </c>
      <c r="C511" s="127" t="str">
        <f ca="1">IFERROR(__xludf.DUMMYFUNCTION("""COMPUTED_VALUE"""),"PG MILAN")</f>
        <v>PG MILAN</v>
      </c>
      <c r="D511" s="139"/>
      <c r="E511" s="139"/>
      <c r="F511" s="139">
        <f ca="1">IFERROR(__xludf.DUMMYFUNCTION("""COMPUTED_VALUE"""),621)</f>
        <v>621</v>
      </c>
      <c r="G511" s="139">
        <f ca="1">IFERROR(__xludf.DUMMYFUNCTION("""COMPUTED_VALUE"""),26250.6666666666)</f>
        <v>26250.666666666599</v>
      </c>
      <c r="H511" s="139">
        <f ca="1">IFERROR(__xludf.DUMMYFUNCTION("""COMPUTED_VALUE"""),1)</f>
        <v>1</v>
      </c>
      <c r="I511" s="140">
        <f ca="1">IFERROR(__xludf.DUMMYFUNCTION("""COMPUTED_VALUE"""),18627)</f>
        <v>18627</v>
      </c>
      <c r="J511" s="141">
        <f ca="1">IFERROR(__xludf.DUMMYFUNCTION("""COMPUTED_VALUE"""),18627)</f>
        <v>18627</v>
      </c>
      <c r="K511" s="142">
        <f ca="1">IFERROR(__xludf.DUMMYFUNCTION("""COMPUTED_VALUE"""),1.2418)</f>
        <v>1.2418</v>
      </c>
      <c r="L511" s="143" t="str">
        <f ca="1"/>
        <v>Wiris Variasi</v>
      </c>
      <c r="M511" s="127"/>
      <c r="N511" s="127"/>
      <c r="O511" s="127"/>
      <c r="P511" s="127"/>
      <c r="Q511" s="127"/>
      <c r="R511" s="127"/>
      <c r="S511" s="127"/>
      <c r="T511" s="127"/>
      <c r="U511" s="127"/>
      <c r="V511" s="127"/>
      <c r="W511" s="127"/>
      <c r="X511" s="127"/>
      <c r="Y511" s="127"/>
      <c r="Z511" s="127"/>
      <c r="AA511" s="127"/>
    </row>
    <row r="512" spans="1:27">
      <c r="A512" s="127">
        <f ca="1">IFERROR(__xludf.DUMMYFUNCTION("""COMPUTED_VALUE"""),766589657993298)</f>
        <v>766589657993298</v>
      </c>
      <c r="B512" s="127" t="str">
        <f ca="1">IFERROR(__xludf.DUMMYFUNCTION("""COMPUTED_VALUE"""),"120226709514130235")</f>
        <v>120226709514130235</v>
      </c>
      <c r="C512" s="127" t="str">
        <f ca="1">IFERROR(__xludf.DUMMYFUNCTION("""COMPUTED_VALUE"""),"TEKNIK DYAZ")</f>
        <v>TEKNIK DYAZ</v>
      </c>
      <c r="D512" s="138" t="str">
        <f ca="1">IFERROR(__xludf.DUMMYFUNCTION("""COMPUTED_VALUE"""),"https://wa.me/6287845701116")</f>
        <v>https://wa.me/6287845701116</v>
      </c>
      <c r="E512" s="139" t="str">
        <f ca="1">IFERROR(__xludf.DUMMYFUNCTION("""COMPUTED_VALUE"""),"6287845701116")</f>
        <v>6287845701116</v>
      </c>
      <c r="F512" s="139">
        <f ca="1">IFERROR(__xludf.DUMMYFUNCTION("""COMPUTED_VALUE"""),2714)</f>
        <v>2714</v>
      </c>
      <c r="G512" s="139">
        <f ca="1">IFERROR(__xludf.DUMMYFUNCTION("""COMPUTED_VALUE"""),19321.5)</f>
        <v>19321.5</v>
      </c>
      <c r="H512" s="139">
        <f ca="1">IFERROR(__xludf.DUMMYFUNCTION("""COMPUTED_VALUE"""),4)</f>
        <v>4</v>
      </c>
      <c r="I512" s="140">
        <f ca="1">IFERROR(__xludf.DUMMYFUNCTION("""COMPUTED_VALUE"""),57796)</f>
        <v>57796</v>
      </c>
      <c r="J512" s="141">
        <f ca="1">IFERROR(__xludf.DUMMYFUNCTION("""COMPUTED_VALUE"""),14449)</f>
        <v>14449</v>
      </c>
      <c r="K512" s="142">
        <f ca="1">IFERROR(__xludf.DUMMYFUNCTION("""COMPUTED_VALUE"""),3.85306666666666)</f>
        <v>3.8530666666666602</v>
      </c>
      <c r="L512" s="143" t="str">
        <f ca="1"/>
        <v>Wiris Variasi</v>
      </c>
      <c r="M512" s="127"/>
      <c r="N512" s="127"/>
      <c r="O512" s="127"/>
      <c r="P512" s="127"/>
      <c r="Q512" s="127"/>
      <c r="R512" s="127"/>
      <c r="S512" s="127"/>
      <c r="T512" s="127"/>
      <c r="U512" s="127"/>
      <c r="V512" s="127"/>
      <c r="W512" s="127"/>
      <c r="X512" s="127"/>
      <c r="Y512" s="127"/>
      <c r="Z512" s="127"/>
      <c r="AA512" s="127"/>
    </row>
    <row r="513" spans="1:27">
      <c r="A513" s="127">
        <f ca="1">IFERROR(__xludf.DUMMYFUNCTION("""COMPUTED_VALUE"""),766589657993298)</f>
        <v>766589657993298</v>
      </c>
      <c r="B513" s="127" t="str">
        <f ca="1">IFERROR(__xludf.DUMMYFUNCTION("""COMPUTED_VALUE"""),"120226715098090235")</f>
        <v>120226715098090235</v>
      </c>
      <c r="C513" s="127" t="str">
        <f ca="1">IFERROR(__xludf.DUMMYFUNCTION("""COMPUTED_VALUE"""),"Bina Karya")</f>
        <v>Bina Karya</v>
      </c>
      <c r="D513" s="138" t="str">
        <f ca="1">IFERROR(__xludf.DUMMYFUNCTION("""COMPUTED_VALUE"""),"https://wa.me/6281219751312")</f>
        <v>https://wa.me/6281219751312</v>
      </c>
      <c r="E513" s="139" t="str">
        <f ca="1">IFERROR(__xludf.DUMMYFUNCTION("""COMPUTED_VALUE"""),"6281219751312")</f>
        <v>6281219751312</v>
      </c>
      <c r="F513" s="139">
        <f ca="1">IFERROR(__xludf.DUMMYFUNCTION("""COMPUTED_VALUE"""),2289)</f>
        <v>2289</v>
      </c>
      <c r="G513" s="139">
        <f ca="1">IFERROR(__xludf.DUMMYFUNCTION("""COMPUTED_VALUE"""),23936)</f>
        <v>23936</v>
      </c>
      <c r="H513" s="139">
        <f ca="1">IFERROR(__xludf.DUMMYFUNCTION("""COMPUTED_VALUE"""),9)</f>
        <v>9</v>
      </c>
      <c r="I513" s="140">
        <f ca="1">IFERROR(__xludf.DUMMYFUNCTION("""COMPUTED_VALUE"""),47567)</f>
        <v>47567</v>
      </c>
      <c r="J513" s="141">
        <f ca="1">IFERROR(__xludf.DUMMYFUNCTION("""COMPUTED_VALUE"""),5285.22222222222)</f>
        <v>5285.2222222222199</v>
      </c>
      <c r="K513" s="142">
        <f ca="1">IFERROR(__xludf.DUMMYFUNCTION("""COMPUTED_VALUE"""),3.17113333333333)</f>
        <v>3.17113333333333</v>
      </c>
      <c r="L513" s="143" t="str">
        <f ca="1"/>
        <v>Wiris Variasi</v>
      </c>
      <c r="M513" s="127"/>
      <c r="N513" s="127"/>
      <c r="O513" s="127"/>
      <c r="P513" s="127"/>
      <c r="Q513" s="127"/>
      <c r="R513" s="127"/>
      <c r="S513" s="127"/>
      <c r="T513" s="127"/>
      <c r="U513" s="127"/>
      <c r="V513" s="127"/>
      <c r="W513" s="127"/>
      <c r="X513" s="127"/>
      <c r="Y513" s="127"/>
      <c r="Z513" s="127"/>
      <c r="AA513" s="127"/>
    </row>
    <row r="514" spans="1:27">
      <c r="A514" s="127">
        <f ca="1">IFERROR(__xludf.DUMMYFUNCTION("""COMPUTED_VALUE"""),766589657993298)</f>
        <v>766589657993298</v>
      </c>
      <c r="B514" s="127" t="str">
        <f ca="1">IFERROR(__xludf.DUMMYFUNCTION("""COMPUTED_VALUE"""),"120226918169510235")</f>
        <v>120226918169510235</v>
      </c>
      <c r="C514" s="127" t="str">
        <f ca="1">IFERROR(__xludf.DUMMYFUNCTION("""COMPUTED_VALUE"""),"Tukang Njatipurno")</f>
        <v>Tukang Njatipurno</v>
      </c>
      <c r="D514" s="138" t="str">
        <f ca="1">IFERROR(__xludf.DUMMYFUNCTION("""COMPUTED_VALUE"""),"https://wa.me/6283134740502")</f>
        <v>https://wa.me/6283134740502</v>
      </c>
      <c r="E514" s="139" t="str">
        <f ca="1">IFERROR(__xludf.DUMMYFUNCTION("""COMPUTED_VALUE"""),"6283134740502")</f>
        <v>6283134740502</v>
      </c>
      <c r="F514" s="139">
        <f ca="1">IFERROR(__xludf.DUMMYFUNCTION("""COMPUTED_VALUE"""),3343)</f>
        <v>3343</v>
      </c>
      <c r="G514" s="139">
        <f ca="1">IFERROR(__xludf.DUMMYFUNCTION("""COMPUTED_VALUE"""),25313)</f>
        <v>25313</v>
      </c>
      <c r="H514" s="139">
        <f ca="1">IFERROR(__xludf.DUMMYFUNCTION("""COMPUTED_VALUE"""),11)</f>
        <v>11</v>
      </c>
      <c r="I514" s="140">
        <f ca="1">IFERROR(__xludf.DUMMYFUNCTION("""COMPUTED_VALUE"""),67639)</f>
        <v>67639</v>
      </c>
      <c r="J514" s="141">
        <f ca="1">IFERROR(__xludf.DUMMYFUNCTION("""COMPUTED_VALUE"""),6149)</f>
        <v>6149</v>
      </c>
      <c r="K514" s="142">
        <f ca="1">IFERROR(__xludf.DUMMYFUNCTION("""COMPUTED_VALUE"""),4.50926666666666)</f>
        <v>4.5092666666666599</v>
      </c>
      <c r="L514" s="143" t="str">
        <f ca="1"/>
        <v>Wiris Variasi</v>
      </c>
      <c r="M514" s="127"/>
      <c r="N514" s="127"/>
      <c r="O514" s="127"/>
      <c r="P514" s="127"/>
      <c r="Q514" s="127"/>
      <c r="R514" s="127"/>
      <c r="S514" s="127"/>
      <c r="T514" s="127"/>
      <c r="U514" s="127"/>
      <c r="V514" s="127"/>
      <c r="W514" s="127"/>
      <c r="X514" s="127"/>
      <c r="Y514" s="127"/>
      <c r="Z514" s="127"/>
      <c r="AA514" s="127"/>
    </row>
    <row r="515" spans="1:27">
      <c r="A515" s="127">
        <f ca="1">IFERROR(__xludf.DUMMYFUNCTION("""COMPUTED_VALUE"""),766589657993298)</f>
        <v>766589657993298</v>
      </c>
      <c r="B515" s="127" t="str">
        <f ca="1">IFERROR(__xludf.DUMMYFUNCTION("""COMPUTED_VALUE"""),"120227060405810235")</f>
        <v>120227060405810235</v>
      </c>
      <c r="C515" s="127" t="str">
        <f ca="1">IFERROR(__xludf.DUMMYFUNCTION("""COMPUTED_VALUE"""),"ABATA KARYA")</f>
        <v>ABATA KARYA</v>
      </c>
      <c r="D515" s="138" t="str">
        <f ca="1">IFERROR(__xludf.DUMMYFUNCTION("""COMPUTED_VALUE"""),"https://wa.me/6282399006447")</f>
        <v>https://wa.me/6282399006447</v>
      </c>
      <c r="E515" s="139" t="str">
        <f ca="1">IFERROR(__xludf.DUMMYFUNCTION("""COMPUTED_VALUE"""),"6282399006447")</f>
        <v>6282399006447</v>
      </c>
      <c r="F515" s="139">
        <f ca="1">IFERROR(__xludf.DUMMYFUNCTION("""COMPUTED_VALUE"""),9590)</f>
        <v>9590</v>
      </c>
      <c r="G515" s="139">
        <f ca="1">IFERROR(__xludf.DUMMYFUNCTION("""COMPUTED_VALUE"""),15448.3636363636)</f>
        <v>15448.3636363636</v>
      </c>
      <c r="H515" s="139">
        <f ca="1">IFERROR(__xludf.DUMMYFUNCTION("""COMPUTED_VALUE"""),29)</f>
        <v>29</v>
      </c>
      <c r="I515" s="140">
        <f ca="1">IFERROR(__xludf.DUMMYFUNCTION("""COMPUTED_VALUE"""),151124)</f>
        <v>151124</v>
      </c>
      <c r="J515" s="141">
        <f ca="1">IFERROR(__xludf.DUMMYFUNCTION("""COMPUTED_VALUE"""),5211.1724137931)</f>
        <v>5211.1724137930996</v>
      </c>
      <c r="K515" s="142">
        <f ca="1">IFERROR(__xludf.DUMMYFUNCTION("""COMPUTED_VALUE"""),10.0749333333333)</f>
        <v>10.0749333333333</v>
      </c>
      <c r="L515" s="143" t="str">
        <f ca="1"/>
        <v>Wiris Variasi</v>
      </c>
      <c r="M515" s="127"/>
      <c r="N515" s="127"/>
      <c r="O515" s="127"/>
      <c r="P515" s="127"/>
      <c r="Q515" s="127"/>
      <c r="R515" s="127"/>
      <c r="S515" s="127"/>
      <c r="T515" s="127"/>
      <c r="U515" s="127"/>
      <c r="V515" s="127"/>
      <c r="W515" s="127"/>
      <c r="X515" s="127"/>
      <c r="Y515" s="127"/>
      <c r="Z515" s="127"/>
      <c r="AA515" s="127"/>
    </row>
    <row r="516" spans="1:27">
      <c r="A516" s="127">
        <f ca="1">IFERROR(__xludf.DUMMYFUNCTION("""COMPUTED_VALUE"""),766589657993298)</f>
        <v>766589657993298</v>
      </c>
      <c r="B516" s="127" t="str">
        <f ca="1">IFERROR(__xludf.DUMMYFUNCTION("""COMPUTED_VALUE"""),"120227061721700235")</f>
        <v>120227061721700235</v>
      </c>
      <c r="C516" s="127" t="str">
        <f ca="1">IFERROR(__xludf.DUMMYFUNCTION("""COMPUTED_VALUE"""),"PT. Mengalir")</f>
        <v>PT. Mengalir</v>
      </c>
      <c r="D516" s="138" t="str">
        <f ca="1">IFERROR(__xludf.DUMMYFUNCTION("""COMPUTED_VALUE"""),"https://wa.me/6281222110766")</f>
        <v>https://wa.me/6281222110766</v>
      </c>
      <c r="E516" s="139" t="str">
        <f ca="1">IFERROR(__xludf.DUMMYFUNCTION("""COMPUTED_VALUE"""),"6281222110766")</f>
        <v>6281222110766</v>
      </c>
      <c r="F516" s="139">
        <f ca="1">IFERROR(__xludf.DUMMYFUNCTION("""COMPUTED_VALUE"""),3128)</f>
        <v>3128</v>
      </c>
      <c r="G516" s="139">
        <f ca="1">IFERROR(__xludf.DUMMYFUNCTION("""COMPUTED_VALUE"""),44788.1)</f>
        <v>44788.1</v>
      </c>
      <c r="H516" s="139">
        <f ca="1">IFERROR(__xludf.DUMMYFUNCTION("""COMPUTED_VALUE"""),2)</f>
        <v>2</v>
      </c>
      <c r="I516" s="140">
        <f ca="1">IFERROR(__xludf.DUMMYFUNCTION("""COMPUTED_VALUE"""),134667)</f>
        <v>134667</v>
      </c>
      <c r="J516" s="141">
        <f ca="1">IFERROR(__xludf.DUMMYFUNCTION("""COMPUTED_VALUE"""),67333.5)</f>
        <v>67333.5</v>
      </c>
      <c r="K516" s="142">
        <f ca="1">IFERROR(__xludf.DUMMYFUNCTION("""COMPUTED_VALUE"""),8.9778)</f>
        <v>8.9778000000000002</v>
      </c>
      <c r="L516" s="143" t="str">
        <f ca="1"/>
        <v>Wiris Variasi</v>
      </c>
      <c r="M516" s="127"/>
      <c r="N516" s="127"/>
      <c r="O516" s="127"/>
      <c r="P516" s="127"/>
      <c r="Q516" s="127"/>
      <c r="R516" s="127"/>
      <c r="S516" s="127"/>
      <c r="T516" s="127"/>
      <c r="U516" s="127"/>
      <c r="V516" s="127"/>
      <c r="W516" s="127"/>
      <c r="X516" s="127"/>
      <c r="Y516" s="127"/>
      <c r="Z516" s="127"/>
      <c r="AA516" s="127"/>
    </row>
    <row r="517" spans="1:27">
      <c r="A517" s="127">
        <f ca="1">IFERROR(__xludf.DUMMYFUNCTION("""COMPUTED_VALUE"""),766589657993298)</f>
        <v>766589657993298</v>
      </c>
      <c r="B517" s="127" t="str">
        <f ca="1">IFERROR(__xludf.DUMMYFUNCTION("""COMPUTED_VALUE"""),"120227093810110235")</f>
        <v>120227093810110235</v>
      </c>
      <c r="C517" s="127" t="str">
        <f ca="1">IFERROR(__xludf.DUMMYFUNCTION("""COMPUTED_VALUE"""),"Abadi Kaca")</f>
        <v>Abadi Kaca</v>
      </c>
      <c r="D517" s="138" t="str">
        <f ca="1">IFERROR(__xludf.DUMMYFUNCTION("""COMPUTED_VALUE"""),"https://wa.me/6282211675028")</f>
        <v>https://wa.me/6282211675028</v>
      </c>
      <c r="E517" s="139" t="str">
        <f ca="1">IFERROR(__xludf.DUMMYFUNCTION("""COMPUTED_VALUE"""),"6282211675028")</f>
        <v>6282211675028</v>
      </c>
      <c r="F517" s="139">
        <f ca="1">IFERROR(__xludf.DUMMYFUNCTION("""COMPUTED_VALUE"""),5393)</f>
        <v>5393</v>
      </c>
      <c r="G517" s="139">
        <f ca="1">IFERROR(__xludf.DUMMYFUNCTION("""COMPUTED_VALUE"""),11419.2)</f>
        <v>11419.2</v>
      </c>
      <c r="H517" s="139">
        <f ca="1">IFERROR(__xludf.DUMMYFUNCTION("""COMPUTED_VALUE"""),13)</f>
        <v>13</v>
      </c>
      <c r="I517" s="140">
        <f ca="1">IFERROR(__xludf.DUMMYFUNCTION("""COMPUTED_VALUE"""),70590)</f>
        <v>70590</v>
      </c>
      <c r="J517" s="141">
        <f ca="1">IFERROR(__xludf.DUMMYFUNCTION("""COMPUTED_VALUE"""),5430)</f>
        <v>5430</v>
      </c>
      <c r="K517" s="142">
        <f ca="1">IFERROR(__xludf.DUMMYFUNCTION("""COMPUTED_VALUE"""),4.706)</f>
        <v>4.7060000000000004</v>
      </c>
      <c r="L517" s="143" t="str">
        <f ca="1"/>
        <v>Wiris Variasi</v>
      </c>
      <c r="M517" s="127"/>
      <c r="N517" s="127"/>
      <c r="O517" s="127"/>
      <c r="P517" s="127"/>
      <c r="Q517" s="127"/>
      <c r="R517" s="127"/>
      <c r="S517" s="127"/>
      <c r="T517" s="127"/>
      <c r="U517" s="127"/>
      <c r="V517" s="127"/>
      <c r="W517" s="127"/>
      <c r="X517" s="127"/>
      <c r="Y517" s="127"/>
      <c r="Z517" s="127"/>
      <c r="AA517" s="127"/>
    </row>
    <row r="518" spans="1:27">
      <c r="A518" s="127">
        <f ca="1">IFERROR(__xludf.DUMMYFUNCTION("""COMPUTED_VALUE"""),766589657993298)</f>
        <v>766589657993298</v>
      </c>
      <c r="B518" s="127" t="str">
        <f ca="1">IFERROR(__xludf.DUMMYFUNCTION("""COMPUTED_VALUE"""),"120227143125540235")</f>
        <v>120227143125540235</v>
      </c>
      <c r="C518" s="127" t="str">
        <f ca="1">IFERROR(__xludf.DUMMYFUNCTION("""COMPUTED_VALUE"""),"SMA MUHAMMADIYAH")</f>
        <v>SMA MUHAMMADIYAH</v>
      </c>
      <c r="D518" s="138" t="str">
        <f ca="1">IFERROR(__xludf.DUMMYFUNCTION("""COMPUTED_VALUE"""),"https://wa.me/6281340892328")</f>
        <v>https://wa.me/6281340892328</v>
      </c>
      <c r="E518" s="139" t="str">
        <f ca="1">IFERROR(__xludf.DUMMYFUNCTION("""COMPUTED_VALUE"""),"6281340892328")</f>
        <v>6281340892328</v>
      </c>
      <c r="F518" s="139">
        <f ca="1">IFERROR(__xludf.DUMMYFUNCTION("""COMPUTED_VALUE"""),38554)</f>
        <v>38554</v>
      </c>
      <c r="G518" s="139">
        <f ca="1">IFERROR(__xludf.DUMMYFUNCTION("""COMPUTED_VALUE"""),10646.2666666666)</f>
        <v>10646.266666666599</v>
      </c>
      <c r="H518" s="139">
        <f ca="1">IFERROR(__xludf.DUMMYFUNCTION("""COMPUTED_VALUE"""),29)</f>
        <v>29</v>
      </c>
      <c r="I518" s="140">
        <f ca="1">IFERROR(__xludf.DUMMYFUNCTION("""COMPUTED_VALUE"""),464905)</f>
        <v>464905</v>
      </c>
      <c r="J518" s="141">
        <f ca="1">IFERROR(__xludf.DUMMYFUNCTION("""COMPUTED_VALUE"""),16031.2068965517)</f>
        <v>16031.206896551699</v>
      </c>
      <c r="K518" s="142">
        <f ca="1">IFERROR(__xludf.DUMMYFUNCTION("""COMPUTED_VALUE"""),30.9936666666666)</f>
        <v>30.993666666666599</v>
      </c>
      <c r="L518" s="143" t="str">
        <f ca="1"/>
        <v>Wiris Variasi</v>
      </c>
      <c r="M518" s="127"/>
      <c r="N518" s="127"/>
      <c r="O518" s="127"/>
      <c r="P518" s="127"/>
      <c r="Q518" s="127"/>
      <c r="R518" s="127"/>
      <c r="S518" s="127"/>
      <c r="T518" s="127"/>
      <c r="U518" s="127"/>
      <c r="V518" s="127"/>
      <c r="W518" s="127"/>
      <c r="X518" s="127"/>
      <c r="Y518" s="127"/>
      <c r="Z518" s="127"/>
      <c r="AA518" s="127"/>
    </row>
    <row r="519" spans="1:27">
      <c r="A519" s="127">
        <f ca="1">IFERROR(__xludf.DUMMYFUNCTION("""COMPUTED_VALUE"""),766589657993298)</f>
        <v>766589657993298</v>
      </c>
      <c r="B519" s="127" t="str">
        <f ca="1">IFERROR(__xludf.DUMMYFUNCTION("""COMPUTED_VALUE"""),"120227144320660235")</f>
        <v>120227144320660235</v>
      </c>
      <c r="C519" s="127" t="str">
        <f ca="1">IFERROR(__xludf.DUMMYFUNCTION("""COMPUTED_VALUE"""),"Mandorbogor")</f>
        <v>Mandorbogor</v>
      </c>
      <c r="D519" s="138" t="str">
        <f ca="1">IFERROR(__xludf.DUMMYFUNCTION("""COMPUTED_VALUE"""),"https://wa.me/6285220216325")</f>
        <v>https://wa.me/6285220216325</v>
      </c>
      <c r="E519" s="139" t="str">
        <f ca="1">IFERROR(__xludf.DUMMYFUNCTION("""COMPUTED_VALUE"""),"6285220216325")</f>
        <v>6285220216325</v>
      </c>
      <c r="F519" s="139">
        <f ca="1">IFERROR(__xludf.DUMMYFUNCTION("""COMPUTED_VALUE"""),4346)</f>
        <v>4346</v>
      </c>
      <c r="G519" s="139">
        <f ca="1">IFERROR(__xludf.DUMMYFUNCTION("""COMPUTED_VALUE"""),45767.625)</f>
        <v>45767.625</v>
      </c>
      <c r="H519" s="139">
        <f ca="1">IFERROR(__xludf.DUMMYFUNCTION("""COMPUTED_VALUE"""),12)</f>
        <v>12</v>
      </c>
      <c r="I519" s="140">
        <f ca="1">IFERROR(__xludf.DUMMYFUNCTION("""COMPUTED_VALUE"""),194787)</f>
        <v>194787</v>
      </c>
      <c r="J519" s="141">
        <f ca="1">IFERROR(__xludf.DUMMYFUNCTION("""COMPUTED_VALUE"""),16232.25)</f>
        <v>16232.25</v>
      </c>
      <c r="K519" s="142">
        <f ca="1">IFERROR(__xludf.DUMMYFUNCTION("""COMPUTED_VALUE"""),12.9858)</f>
        <v>12.985799999999999</v>
      </c>
      <c r="L519" s="143" t="str">
        <f ca="1"/>
        <v>Wiris Variasi</v>
      </c>
      <c r="M519" s="127"/>
      <c r="N519" s="127"/>
      <c r="O519" s="127"/>
      <c r="P519" s="127"/>
      <c r="Q519" s="127"/>
      <c r="R519" s="127"/>
      <c r="S519" s="127"/>
      <c r="T519" s="127"/>
      <c r="U519" s="127"/>
      <c r="V519" s="127"/>
      <c r="W519" s="127"/>
      <c r="X519" s="127"/>
      <c r="Y519" s="127"/>
      <c r="Z519" s="127"/>
      <c r="AA519" s="127"/>
    </row>
    <row r="520" spans="1:27">
      <c r="A520" s="127">
        <f ca="1">IFERROR(__xludf.DUMMYFUNCTION("""COMPUTED_VALUE"""),766589657993298)</f>
        <v>766589657993298</v>
      </c>
      <c r="B520" s="127" t="str">
        <f ca="1">IFERROR(__xludf.DUMMYFUNCTION("""COMPUTED_VALUE"""),"120227162549440235")</f>
        <v>120227162549440235</v>
      </c>
      <c r="C520" s="127" t="str">
        <f ca="1">IFERROR(__xludf.DUMMYFUNCTION("""COMPUTED_VALUE"""),"Bangun Griya")</f>
        <v>Bangun Griya</v>
      </c>
      <c r="D520" s="138" t="str">
        <f ca="1">IFERROR(__xludf.DUMMYFUNCTION("""COMPUTED_VALUE"""),"https://wa.me/6281952482523")</f>
        <v>https://wa.me/6281952482523</v>
      </c>
      <c r="E520" s="139" t="str">
        <f ca="1">IFERROR(__xludf.DUMMYFUNCTION("""COMPUTED_VALUE"""),"6281952482523")</f>
        <v>6281952482523</v>
      </c>
      <c r="F520" s="139">
        <f ca="1">IFERROR(__xludf.DUMMYFUNCTION("""COMPUTED_VALUE"""),6808)</f>
        <v>6808</v>
      </c>
      <c r="G520" s="139">
        <f ca="1">IFERROR(__xludf.DUMMYFUNCTION("""COMPUTED_VALUE"""),28836.9333333333)</f>
        <v>28836.933333333302</v>
      </c>
      <c r="H520" s="139">
        <f ca="1">IFERROR(__xludf.DUMMYFUNCTION("""COMPUTED_VALUE"""),14)</f>
        <v>14</v>
      </c>
      <c r="I520" s="140">
        <f ca="1">IFERROR(__xludf.DUMMYFUNCTION("""COMPUTED_VALUE"""),212036)</f>
        <v>212036</v>
      </c>
      <c r="J520" s="141">
        <f ca="1">IFERROR(__xludf.DUMMYFUNCTION("""COMPUTED_VALUE"""),15145.4285714285)</f>
        <v>15145.4285714285</v>
      </c>
      <c r="K520" s="142">
        <f ca="1">IFERROR(__xludf.DUMMYFUNCTION("""COMPUTED_VALUE"""),14.1357333333333)</f>
        <v>14.135733333333301</v>
      </c>
      <c r="L520" s="143" t="str">
        <f ca="1"/>
        <v>Wiris Variasi</v>
      </c>
      <c r="M520" s="127"/>
      <c r="N520" s="127"/>
      <c r="O520" s="127"/>
      <c r="P520" s="127"/>
      <c r="Q520" s="127"/>
      <c r="R520" s="127"/>
      <c r="S520" s="127"/>
      <c r="T520" s="127"/>
      <c r="U520" s="127"/>
      <c r="V520" s="127"/>
      <c r="W520" s="127"/>
      <c r="X520" s="127"/>
      <c r="Y520" s="127"/>
      <c r="Z520" s="127"/>
      <c r="AA520" s="127"/>
    </row>
    <row r="521" spans="1:27">
      <c r="A521" s="127">
        <f ca="1">IFERROR(__xludf.DUMMYFUNCTION("""COMPUTED_VALUE"""),766589657993298)</f>
        <v>766589657993298</v>
      </c>
      <c r="B521" s="127" t="str">
        <f ca="1">IFERROR(__xludf.DUMMYFUNCTION("""COMPUTED_VALUE"""),"120227224515880235")</f>
        <v>120227224515880235</v>
      </c>
      <c r="C521" s="127" t="str">
        <f ca="1">IFERROR(__xludf.DUMMYFUNCTION("""COMPUTED_VALUE"""),"Abizar plafon")</f>
        <v>Abizar plafon</v>
      </c>
      <c r="D521" s="138" t="str">
        <f ca="1">IFERROR(__xludf.DUMMYFUNCTION("""COMPUTED_VALUE"""),"https://wa.me/6281278788088")</f>
        <v>https://wa.me/6281278788088</v>
      </c>
      <c r="E521" s="139" t="str">
        <f ca="1">IFERROR(__xludf.DUMMYFUNCTION("""COMPUTED_VALUE"""),"6281278788088")</f>
        <v>6281278788088</v>
      </c>
      <c r="F521" s="139">
        <f ca="1">IFERROR(__xludf.DUMMYFUNCTION("""COMPUTED_VALUE"""),5493)</f>
        <v>5493</v>
      </c>
      <c r="G521" s="139">
        <f ca="1">IFERROR(__xludf.DUMMYFUNCTION("""COMPUTED_VALUE"""),15650.8571428571)</f>
        <v>15650.857142857099</v>
      </c>
      <c r="H521" s="139">
        <f ca="1">IFERROR(__xludf.DUMMYFUNCTION("""COMPUTED_VALUE"""),9)</f>
        <v>9</v>
      </c>
      <c r="I521" s="140">
        <f ca="1">IFERROR(__xludf.DUMMYFUNCTION("""COMPUTED_VALUE"""),94007)</f>
        <v>94007</v>
      </c>
      <c r="J521" s="141">
        <f ca="1">IFERROR(__xludf.DUMMYFUNCTION("""COMPUTED_VALUE"""),10445.2222222222)</f>
        <v>10445.222222222201</v>
      </c>
      <c r="K521" s="142">
        <f ca="1">IFERROR(__xludf.DUMMYFUNCTION("""COMPUTED_VALUE"""),6.26713333333333)</f>
        <v>6.2671333333333301</v>
      </c>
      <c r="L521" s="143" t="str">
        <f ca="1"/>
        <v>Wiris Variasi</v>
      </c>
      <c r="M521" s="127"/>
      <c r="N521" s="127"/>
      <c r="O521" s="127"/>
      <c r="P521" s="127"/>
      <c r="Q521" s="127"/>
      <c r="R521" s="127"/>
      <c r="S521" s="127"/>
      <c r="T521" s="127"/>
      <c r="U521" s="127"/>
      <c r="V521" s="127"/>
      <c r="W521" s="127"/>
      <c r="X521" s="127"/>
      <c r="Y521" s="127"/>
      <c r="Z521" s="127"/>
      <c r="AA521" s="127"/>
    </row>
    <row r="522" spans="1:27">
      <c r="A522" s="127">
        <f ca="1">IFERROR(__xludf.DUMMYFUNCTION("""COMPUTED_VALUE"""),766589657993298)</f>
        <v>766589657993298</v>
      </c>
      <c r="B522" s="127" t="str">
        <f ca="1">IFERROR(__xludf.DUMMYFUNCTION("""COMPUTED_VALUE"""),"120227228189250235")</f>
        <v>120227228189250235</v>
      </c>
      <c r="C522" s="127" t="str">
        <f ca="1">IFERROR(__xludf.DUMMYFUNCTION("""COMPUTED_VALUE"""),"Hadi property")</f>
        <v>Hadi property</v>
      </c>
      <c r="D522" s="138" t="str">
        <f ca="1">IFERROR(__xludf.DUMMYFUNCTION("""COMPUTED_VALUE"""),"https://wa.me/628114170888")</f>
        <v>https://wa.me/628114170888</v>
      </c>
      <c r="E522" s="139" t="str">
        <f ca="1">IFERROR(__xludf.DUMMYFUNCTION("""COMPUTED_VALUE"""),"628114170888")</f>
        <v>628114170888</v>
      </c>
      <c r="F522" s="139">
        <f ca="1">IFERROR(__xludf.DUMMYFUNCTION("""COMPUTED_VALUE"""),13587)</f>
        <v>13587</v>
      </c>
      <c r="G522" s="139">
        <f ca="1">IFERROR(__xludf.DUMMYFUNCTION("""COMPUTED_VALUE"""),25135.3333333333)</f>
        <v>25135.333333333299</v>
      </c>
      <c r="H522" s="139">
        <f ca="1">IFERROR(__xludf.DUMMYFUNCTION("""COMPUTED_VALUE"""),19)</f>
        <v>19</v>
      </c>
      <c r="I522" s="140">
        <f ca="1">IFERROR(__xludf.DUMMYFUNCTION("""COMPUTED_VALUE"""),377846)</f>
        <v>377846</v>
      </c>
      <c r="J522" s="141">
        <f ca="1">IFERROR(__xludf.DUMMYFUNCTION("""COMPUTED_VALUE"""),19886.6315789473)</f>
        <v>19886.631578947301</v>
      </c>
      <c r="K522" s="142">
        <f ca="1">IFERROR(__xludf.DUMMYFUNCTION("""COMPUTED_VALUE"""),25.1897333333333)</f>
        <v>25.189733333333301</v>
      </c>
      <c r="L522" s="143" t="str">
        <f ca="1"/>
        <v>Wiris Variasi</v>
      </c>
      <c r="M522" s="127"/>
      <c r="N522" s="127"/>
      <c r="O522" s="127"/>
      <c r="P522" s="127"/>
      <c r="Q522" s="127"/>
      <c r="R522" s="127"/>
      <c r="S522" s="127"/>
      <c r="T522" s="127"/>
      <c r="U522" s="127"/>
      <c r="V522" s="127"/>
      <c r="W522" s="127"/>
      <c r="X522" s="127"/>
      <c r="Y522" s="127"/>
      <c r="Z522" s="127"/>
      <c r="AA522" s="127"/>
    </row>
    <row r="523" spans="1:27">
      <c r="A523" s="127">
        <f ca="1">IFERROR(__xludf.DUMMYFUNCTION("""COMPUTED_VALUE"""),766589657993298)</f>
        <v>766589657993298</v>
      </c>
      <c r="B523" s="127" t="str">
        <f ca="1">IFERROR(__xludf.DUMMYFUNCTION("""COMPUTED_VALUE"""),"120227228355510235")</f>
        <v>120227228355510235</v>
      </c>
      <c r="C523" s="127" t="str">
        <f ca="1">IFERROR(__xludf.DUMMYFUNCTION("""COMPUTED_VALUE"""),"CV REGAN")</f>
        <v>CV REGAN</v>
      </c>
      <c r="D523" s="138" t="str">
        <f ca="1">IFERROR(__xludf.DUMMYFUNCTION("""COMPUTED_VALUE"""),"https://wa.me/6285853370682")</f>
        <v>https://wa.me/6285853370682</v>
      </c>
      <c r="E523" s="139" t="str">
        <f ca="1">IFERROR(__xludf.DUMMYFUNCTION("""COMPUTED_VALUE"""),"6285853370682")</f>
        <v>6285853370682</v>
      </c>
      <c r="F523" s="139">
        <f ca="1">IFERROR(__xludf.DUMMYFUNCTION("""COMPUTED_VALUE"""),15192)</f>
        <v>15192</v>
      </c>
      <c r="G523" s="139">
        <f ca="1">IFERROR(__xludf.DUMMYFUNCTION("""COMPUTED_VALUE"""),26558.4137931034)</f>
        <v>26558.413793103398</v>
      </c>
      <c r="H523" s="139">
        <f ca="1">IFERROR(__xludf.DUMMYFUNCTION("""COMPUTED_VALUE"""),24)</f>
        <v>24</v>
      </c>
      <c r="I523" s="140">
        <f ca="1">IFERROR(__xludf.DUMMYFUNCTION("""COMPUTED_VALUE"""),441718)</f>
        <v>441718</v>
      </c>
      <c r="J523" s="141">
        <f ca="1">IFERROR(__xludf.DUMMYFUNCTION("""COMPUTED_VALUE"""),18404.9166666666)</f>
        <v>18404.916666666599</v>
      </c>
      <c r="K523" s="142">
        <f ca="1">IFERROR(__xludf.DUMMYFUNCTION("""COMPUTED_VALUE"""),29.4478666666666)</f>
        <v>29.447866666666599</v>
      </c>
      <c r="L523" s="143" t="str">
        <f ca="1"/>
        <v>Wiris Variasi</v>
      </c>
      <c r="M523" s="127"/>
      <c r="N523" s="127"/>
      <c r="O523" s="127"/>
      <c r="P523" s="127"/>
      <c r="Q523" s="127"/>
      <c r="R523" s="127"/>
      <c r="S523" s="127"/>
      <c r="T523" s="127"/>
      <c r="U523" s="127"/>
      <c r="V523" s="127"/>
      <c r="W523" s="127"/>
      <c r="X523" s="127"/>
      <c r="Y523" s="127"/>
      <c r="Z523" s="127"/>
      <c r="AA523" s="127"/>
    </row>
    <row r="524" spans="1:27">
      <c r="A524" s="127">
        <f ca="1">IFERROR(__xludf.DUMMYFUNCTION("""COMPUTED_VALUE"""),766589657993298)</f>
        <v>766589657993298</v>
      </c>
      <c r="B524" s="127" t="str">
        <f ca="1">IFERROR(__xludf.DUMMYFUNCTION("""COMPUTED_VALUE"""),"120227229623580235")</f>
        <v>120227229623580235</v>
      </c>
      <c r="C524" s="127" t="str">
        <f ca="1">IFERROR(__xludf.DUMMYFUNCTION("""COMPUTED_VALUE"""),"Las Lima Saudara")</f>
        <v>Las Lima Saudara</v>
      </c>
      <c r="D524" s="138" t="str">
        <f ca="1">IFERROR(__xludf.DUMMYFUNCTION("""COMPUTED_VALUE"""),"https://wa.me/6281519225886")</f>
        <v>https://wa.me/6281519225886</v>
      </c>
      <c r="E524" s="139" t="str">
        <f ca="1">IFERROR(__xludf.DUMMYFUNCTION("""COMPUTED_VALUE"""),"6281519225886")</f>
        <v>6281519225886</v>
      </c>
      <c r="F524" s="139">
        <f ca="1">IFERROR(__xludf.DUMMYFUNCTION("""COMPUTED_VALUE"""),15721)</f>
        <v>15721</v>
      </c>
      <c r="G524" s="139">
        <f ca="1">IFERROR(__xludf.DUMMYFUNCTION("""COMPUTED_VALUE"""),28373.6451612903)</f>
        <v>28373.6451612903</v>
      </c>
      <c r="H524" s="139">
        <f ca="1">IFERROR(__xludf.DUMMYFUNCTION("""COMPUTED_VALUE"""),105)</f>
        <v>105</v>
      </c>
      <c r="I524" s="140">
        <f ca="1">IFERROR(__xludf.DUMMYFUNCTION("""COMPUTED_VALUE"""),481306)</f>
        <v>481306</v>
      </c>
      <c r="J524" s="141">
        <f ca="1">IFERROR(__xludf.DUMMYFUNCTION("""COMPUTED_VALUE"""),4583.86666666666)</f>
        <v>4583.8666666666604</v>
      </c>
      <c r="K524" s="142">
        <f ca="1">IFERROR(__xludf.DUMMYFUNCTION("""COMPUTED_VALUE"""),32.0870666666666)</f>
        <v>32.087066666666601</v>
      </c>
      <c r="L524" s="143" t="str">
        <f ca="1"/>
        <v>Wiris Variasi</v>
      </c>
      <c r="M524" s="127"/>
      <c r="N524" s="127"/>
      <c r="O524" s="127"/>
      <c r="P524" s="127"/>
      <c r="Q524" s="127"/>
      <c r="R524" s="127"/>
      <c r="S524" s="127"/>
      <c r="T524" s="127"/>
      <c r="U524" s="127"/>
      <c r="V524" s="127"/>
      <c r="W524" s="127"/>
      <c r="X524" s="127"/>
      <c r="Y524" s="127"/>
      <c r="Z524" s="127"/>
      <c r="AA524" s="127"/>
    </row>
    <row r="525" spans="1:27">
      <c r="A525" s="127">
        <f ca="1">IFERROR(__xludf.DUMMYFUNCTION("""COMPUTED_VALUE"""),766589657993298)</f>
        <v>766589657993298</v>
      </c>
      <c r="B525" s="127" t="str">
        <f ca="1">IFERROR(__xludf.DUMMYFUNCTION("""COMPUTED_VALUE"""),"120227261375460235")</f>
        <v>120227261375460235</v>
      </c>
      <c r="C525" s="127" t="str">
        <f ca="1">IFERROR(__xludf.DUMMYFUNCTION("""COMPUTED_VALUE"""),"WD Kontruksi")</f>
        <v>WD Kontruksi</v>
      </c>
      <c r="D525" s="138" t="str">
        <f ca="1">IFERROR(__xludf.DUMMYFUNCTION("""COMPUTED_VALUE"""),"https://wa.me/6285747906282")</f>
        <v>https://wa.me/6285747906282</v>
      </c>
      <c r="E525" s="139" t="str">
        <f ca="1">IFERROR(__xludf.DUMMYFUNCTION("""COMPUTED_VALUE"""),"6285747906282")</f>
        <v>6285747906282</v>
      </c>
      <c r="F525" s="139">
        <f ca="1">IFERROR(__xludf.DUMMYFUNCTION("""COMPUTED_VALUE"""),12736)</f>
        <v>12736</v>
      </c>
      <c r="G525" s="139">
        <f ca="1">IFERROR(__xludf.DUMMYFUNCTION("""COMPUTED_VALUE"""),24616.7727272727)</f>
        <v>24616.772727272699</v>
      </c>
      <c r="H525" s="139">
        <f ca="1">IFERROR(__xludf.DUMMYFUNCTION("""COMPUTED_VALUE"""),43)</f>
        <v>43</v>
      </c>
      <c r="I525" s="140">
        <f ca="1">IFERROR(__xludf.DUMMYFUNCTION("""COMPUTED_VALUE"""),338634)</f>
        <v>338634</v>
      </c>
      <c r="J525" s="141">
        <f ca="1">IFERROR(__xludf.DUMMYFUNCTION("""COMPUTED_VALUE"""),7875.20930232558)</f>
        <v>7875.2093023255802</v>
      </c>
      <c r="K525" s="142">
        <f ca="1">IFERROR(__xludf.DUMMYFUNCTION("""COMPUTED_VALUE"""),22.5756)</f>
        <v>22.575600000000001</v>
      </c>
      <c r="L525" s="143" t="str">
        <f ca="1"/>
        <v>Wiris Variasi</v>
      </c>
      <c r="M525" s="127"/>
      <c r="N525" s="127"/>
      <c r="O525" s="127"/>
      <c r="P525" s="127"/>
      <c r="Q525" s="127"/>
      <c r="R525" s="127"/>
      <c r="S525" s="127"/>
      <c r="T525" s="127"/>
      <c r="U525" s="127"/>
      <c r="V525" s="127"/>
      <c r="W525" s="127"/>
      <c r="X525" s="127"/>
      <c r="Y525" s="127"/>
      <c r="Z525" s="127"/>
      <c r="AA525" s="127"/>
    </row>
    <row r="526" spans="1:27">
      <c r="A526" s="127">
        <f ca="1">IFERROR(__xludf.DUMMYFUNCTION("""COMPUTED_VALUE"""),766589657993298)</f>
        <v>766589657993298</v>
      </c>
      <c r="B526" s="127" t="str">
        <f ca="1">IFERROR(__xludf.DUMMYFUNCTION("""COMPUTED_VALUE"""),"120227272424500235")</f>
        <v>120227272424500235</v>
      </c>
      <c r="C526" s="127" t="str">
        <f ca="1">IFERROR(__xludf.DUMMYFUNCTION("""COMPUTED_VALUE"""),"Bengkel Las")</f>
        <v>Bengkel Las</v>
      </c>
      <c r="D526" s="138" t="str">
        <f ca="1">IFERROR(__xludf.DUMMYFUNCTION("""COMPUTED_VALUE"""),"https://wa.me/6282393168368")</f>
        <v>https://wa.me/6282393168368</v>
      </c>
      <c r="E526" s="139" t="str">
        <f ca="1">IFERROR(__xludf.DUMMYFUNCTION("""COMPUTED_VALUE"""),"6282393168368")</f>
        <v>6282393168368</v>
      </c>
      <c r="F526" s="139">
        <f ca="1">IFERROR(__xludf.DUMMYFUNCTION("""COMPUTED_VALUE"""),9663)</f>
        <v>9663</v>
      </c>
      <c r="G526" s="139">
        <f ca="1">IFERROR(__xludf.DUMMYFUNCTION("""COMPUTED_VALUE"""),18429.4166666666)</f>
        <v>18429.416666666599</v>
      </c>
      <c r="H526" s="139">
        <f ca="1">IFERROR(__xludf.DUMMYFUNCTION("""COMPUTED_VALUE"""),48)</f>
        <v>48</v>
      </c>
      <c r="I526" s="140">
        <f ca="1">IFERROR(__xludf.DUMMYFUNCTION("""COMPUTED_VALUE"""),182186)</f>
        <v>182186</v>
      </c>
      <c r="J526" s="141">
        <f ca="1">IFERROR(__xludf.DUMMYFUNCTION("""COMPUTED_VALUE"""),3795.54166666666)</f>
        <v>3795.5416666666601</v>
      </c>
      <c r="K526" s="142">
        <f ca="1">IFERROR(__xludf.DUMMYFUNCTION("""COMPUTED_VALUE"""),12.1457333333333)</f>
        <v>12.1457333333333</v>
      </c>
      <c r="L526" s="143" t="str">
        <f ca="1"/>
        <v>Wiris Variasi</v>
      </c>
      <c r="M526" s="127"/>
      <c r="N526" s="127"/>
      <c r="O526" s="127"/>
      <c r="P526" s="127"/>
      <c r="Q526" s="127"/>
      <c r="R526" s="127"/>
      <c r="S526" s="127"/>
      <c r="T526" s="127"/>
      <c r="U526" s="127"/>
      <c r="V526" s="127"/>
      <c r="W526" s="127"/>
      <c r="X526" s="127"/>
      <c r="Y526" s="127"/>
      <c r="Z526" s="127"/>
      <c r="AA526" s="127"/>
    </row>
    <row r="527" spans="1:27">
      <c r="A527" s="127">
        <f ca="1">IFERROR(__xludf.DUMMYFUNCTION("""COMPUTED_VALUE"""),766589657993298)</f>
        <v>766589657993298</v>
      </c>
      <c r="B527" s="127" t="str">
        <f ca="1">IFERROR(__xludf.DUMMYFUNCTION("""COMPUTED_VALUE"""),"120227281869150235")</f>
        <v>120227281869150235</v>
      </c>
      <c r="C527" s="127" t="str">
        <f ca="1">IFERROR(__xludf.DUMMYFUNCTION("""COMPUTED_VALUE"""),"Mitra Karya")</f>
        <v>Mitra Karya</v>
      </c>
      <c r="D527" s="138" t="str">
        <f ca="1">IFERROR(__xludf.DUMMYFUNCTION("""COMPUTED_VALUE"""),"https://wa.me/6285353864755")</f>
        <v>https://wa.me/6285353864755</v>
      </c>
      <c r="E527" s="139" t="str">
        <f ca="1">IFERROR(__xludf.DUMMYFUNCTION("""COMPUTED_VALUE"""),"6285353864755")</f>
        <v>6285353864755</v>
      </c>
      <c r="F527" s="139">
        <f ca="1">IFERROR(__xludf.DUMMYFUNCTION("""COMPUTED_VALUE"""),806)</f>
        <v>806</v>
      </c>
      <c r="G527" s="139">
        <f ca="1">IFERROR(__xludf.DUMMYFUNCTION("""COMPUTED_VALUE"""),34543.6666666666)</f>
        <v>34543.666666666599</v>
      </c>
      <c r="H527" s="139">
        <f ca="1">IFERROR(__xludf.DUMMYFUNCTION("""COMPUTED_VALUE"""),3)</f>
        <v>3</v>
      </c>
      <c r="I527" s="140">
        <f ca="1">IFERROR(__xludf.DUMMYFUNCTION("""COMPUTED_VALUE"""),36556)</f>
        <v>36556</v>
      </c>
      <c r="J527" s="141">
        <f ca="1">IFERROR(__xludf.DUMMYFUNCTION("""COMPUTED_VALUE"""),12185.3333333333)</f>
        <v>12185.333333333299</v>
      </c>
      <c r="K527" s="142">
        <f ca="1">IFERROR(__xludf.DUMMYFUNCTION("""COMPUTED_VALUE"""),2.43706666666666)</f>
        <v>2.4370666666666598</v>
      </c>
      <c r="L527" s="143" t="str">
        <f ca="1"/>
        <v>Wiris Variasi</v>
      </c>
      <c r="M527" s="127"/>
      <c r="N527" s="127"/>
      <c r="O527" s="127"/>
      <c r="P527" s="127"/>
      <c r="Q527" s="127"/>
      <c r="R527" s="127"/>
      <c r="S527" s="127"/>
      <c r="T527" s="127"/>
      <c r="U527" s="127"/>
      <c r="V527" s="127"/>
      <c r="W527" s="127"/>
      <c r="X527" s="127"/>
      <c r="Y527" s="127"/>
      <c r="Z527" s="127"/>
      <c r="AA527" s="127"/>
    </row>
    <row r="528" spans="1:27">
      <c r="A528" s="127">
        <f ca="1">IFERROR(__xludf.DUMMYFUNCTION("""COMPUTED_VALUE"""),766589657993298)</f>
        <v>766589657993298</v>
      </c>
      <c r="B528" s="127" t="str">
        <f ca="1">IFERROR(__xludf.DUMMYFUNCTION("""COMPUTED_VALUE"""),"120227332096230235")</f>
        <v>120227332096230235</v>
      </c>
      <c r="C528" s="127" t="str">
        <f ca="1">IFERROR(__xludf.DUMMYFUNCTION("""COMPUTED_VALUE"""),"Bhoemi Kontraktor")</f>
        <v>Bhoemi Kontraktor</v>
      </c>
      <c r="D528" s="138" t="str">
        <f ca="1">IFERROR(__xludf.DUMMYFUNCTION("""COMPUTED_VALUE"""),"https://wa.me/6283185169816")</f>
        <v>https://wa.me/6283185169816</v>
      </c>
      <c r="E528" s="139" t="str">
        <f ca="1">IFERROR(__xludf.DUMMYFUNCTION("""COMPUTED_VALUE"""),"6283185169816")</f>
        <v>6283185169816</v>
      </c>
      <c r="F528" s="139">
        <f ca="1">IFERROR(__xludf.DUMMYFUNCTION("""COMPUTED_VALUE"""),2300)</f>
        <v>2300</v>
      </c>
      <c r="G528" s="139">
        <f ca="1">IFERROR(__xludf.DUMMYFUNCTION("""COMPUTED_VALUE"""),29392.8)</f>
        <v>29392.799999999999</v>
      </c>
      <c r="H528" s="139">
        <f ca="1">IFERROR(__xludf.DUMMYFUNCTION("""COMPUTED_VALUE"""),3)</f>
        <v>3</v>
      </c>
      <c r="I528" s="140">
        <f ca="1">IFERROR(__xludf.DUMMYFUNCTION("""COMPUTED_VALUE"""),76191)</f>
        <v>76191</v>
      </c>
      <c r="J528" s="141">
        <f ca="1">IFERROR(__xludf.DUMMYFUNCTION("""COMPUTED_VALUE"""),25397)</f>
        <v>25397</v>
      </c>
      <c r="K528" s="142">
        <f ca="1">IFERROR(__xludf.DUMMYFUNCTION("""COMPUTED_VALUE"""),5.0794)</f>
        <v>5.0793999999999997</v>
      </c>
      <c r="L528" s="143" t="str">
        <f ca="1"/>
        <v>Wiris Variasi</v>
      </c>
      <c r="M528" s="127"/>
      <c r="N528" s="127"/>
      <c r="O528" s="127"/>
      <c r="P528" s="127"/>
      <c r="Q528" s="127"/>
      <c r="R528" s="127"/>
      <c r="S528" s="127"/>
      <c r="T528" s="127"/>
      <c r="U528" s="127"/>
      <c r="V528" s="127"/>
      <c r="W528" s="127"/>
      <c r="X528" s="127"/>
      <c r="Y528" s="127"/>
      <c r="Z528" s="127"/>
      <c r="AA528" s="127"/>
    </row>
    <row r="529" spans="1:27">
      <c r="A529" s="127">
        <f ca="1">IFERROR(__xludf.DUMMYFUNCTION("""COMPUTED_VALUE"""),766589657993298)</f>
        <v>766589657993298</v>
      </c>
      <c r="B529" s="127" t="str">
        <f ca="1">IFERROR(__xludf.DUMMYFUNCTION("""COMPUTED_VALUE"""),"120227332148190235")</f>
        <v>120227332148190235</v>
      </c>
      <c r="C529" s="127" t="str">
        <f ca="1">IFERROR(__xludf.DUMMYFUNCTION("""COMPUTED_VALUE"""),"Samidi Plaf13062025+5")</f>
        <v>Samidi Plaf13062025+5</v>
      </c>
      <c r="D529" s="138" t="str">
        <f ca="1">IFERROR(__xludf.DUMMYFUNCTION("""COMPUTED_VALUE"""),"https://wa.me/6285210107607")</f>
        <v>https://wa.me/6285210107607</v>
      </c>
      <c r="E529" s="139" t="str">
        <f ca="1">IFERROR(__xludf.DUMMYFUNCTION("""COMPUTED_VALUE"""),"6285210107607")</f>
        <v>6285210107607</v>
      </c>
      <c r="F529" s="139">
        <f ca="1">IFERROR(__xludf.DUMMYFUNCTION("""COMPUTED_VALUE"""),806)</f>
        <v>806</v>
      </c>
      <c r="G529" s="139">
        <f ca="1">IFERROR(__xludf.DUMMYFUNCTION("""COMPUTED_VALUE"""),18062)</f>
        <v>18062</v>
      </c>
      <c r="H529" s="139">
        <f ca="1">IFERROR(__xludf.DUMMYFUNCTION("""COMPUTED_VALUE"""),2)</f>
        <v>2</v>
      </c>
      <c r="I529" s="140">
        <f ca="1">IFERROR(__xludf.DUMMYFUNCTION("""COMPUTED_VALUE"""),16202)</f>
        <v>16202</v>
      </c>
      <c r="J529" s="141">
        <f ca="1">IFERROR(__xludf.DUMMYFUNCTION("""COMPUTED_VALUE"""),8101)</f>
        <v>8101</v>
      </c>
      <c r="K529" s="142">
        <f ca="1">IFERROR(__xludf.DUMMYFUNCTION("""COMPUTED_VALUE"""),1.08013333333333)</f>
        <v>1.0801333333333301</v>
      </c>
      <c r="L529" s="143" t="str">
        <f ca="1"/>
        <v>Wiris Variasi</v>
      </c>
      <c r="M529" s="127"/>
      <c r="N529" s="127"/>
      <c r="O529" s="127"/>
      <c r="P529" s="127"/>
      <c r="Q529" s="127"/>
      <c r="R529" s="127"/>
      <c r="S529" s="127"/>
      <c r="T529" s="127"/>
      <c r="U529" s="127"/>
      <c r="V529" s="127"/>
      <c r="W529" s="127"/>
      <c r="X529" s="127"/>
      <c r="Y529" s="127"/>
      <c r="Z529" s="127"/>
      <c r="AA529" s="127"/>
    </row>
    <row r="530" spans="1:27">
      <c r="A530" s="127">
        <f ca="1">IFERROR(__xludf.DUMMYFUNCTION("""COMPUTED_VALUE"""),766589657993298)</f>
        <v>766589657993298</v>
      </c>
      <c r="B530" s="127" t="str">
        <f ca="1">IFERROR(__xludf.DUMMYFUNCTION("""COMPUTED_VALUE"""),"120227332148190235")</f>
        <v>120227332148190235</v>
      </c>
      <c r="C530" s="127" t="str">
        <f ca="1">IFERROR(__xludf.DUMMYFUNCTION("""COMPUTED_VALUE"""),"Samidi Plafon")</f>
        <v>Samidi Plafon</v>
      </c>
      <c r="D530" s="138" t="str">
        <f ca="1">IFERROR(__xludf.DUMMYFUNCTION("""COMPUTED_VALUE"""),"https://wa.me/6285210107607")</f>
        <v>https://wa.me/6285210107607</v>
      </c>
      <c r="E530" s="139" t="str">
        <f ca="1">IFERROR(__xludf.DUMMYFUNCTION("""COMPUTED_VALUE"""),"6285210107607")</f>
        <v>6285210107607</v>
      </c>
      <c r="F530" s="139">
        <f ca="1">IFERROR(__xludf.DUMMYFUNCTION("""COMPUTED_VALUE"""),26875)</f>
        <v>26875</v>
      </c>
      <c r="G530" s="139">
        <f ca="1">IFERROR(__xludf.DUMMYFUNCTION("""COMPUTED_VALUE"""),18485.3225806451)</f>
        <v>18485.322580645101</v>
      </c>
      <c r="H530" s="139">
        <f ca="1">IFERROR(__xludf.DUMMYFUNCTION("""COMPUTED_VALUE"""),36)</f>
        <v>36</v>
      </c>
      <c r="I530" s="140">
        <f ca="1">IFERROR(__xludf.DUMMYFUNCTION("""COMPUTED_VALUE"""),519297)</f>
        <v>519297</v>
      </c>
      <c r="J530" s="141">
        <f ca="1">IFERROR(__xludf.DUMMYFUNCTION("""COMPUTED_VALUE"""),14424.9166666666)</f>
        <v>14424.916666666601</v>
      </c>
      <c r="K530" s="142">
        <f ca="1">IFERROR(__xludf.DUMMYFUNCTION("""COMPUTED_VALUE"""),34.6198)</f>
        <v>34.619799999999998</v>
      </c>
      <c r="L530" s="143" t="str">
        <f ca="1"/>
        <v>Wiris Variasi</v>
      </c>
      <c r="M530" s="127"/>
      <c r="N530" s="127"/>
      <c r="O530" s="127"/>
      <c r="P530" s="127"/>
      <c r="Q530" s="127"/>
      <c r="R530" s="127"/>
      <c r="S530" s="127"/>
      <c r="T530" s="127"/>
      <c r="U530" s="127"/>
      <c r="V530" s="127"/>
      <c r="W530" s="127"/>
      <c r="X530" s="127"/>
      <c r="Y530" s="127"/>
      <c r="Z530" s="127"/>
      <c r="AA530" s="127"/>
    </row>
    <row r="531" spans="1:27">
      <c r="A531" s="127">
        <f ca="1">IFERROR(__xludf.DUMMYFUNCTION("""COMPUTED_VALUE"""),766589657993298)</f>
        <v>766589657993298</v>
      </c>
      <c r="B531" s="127" t="str">
        <f ca="1">IFERROR(__xludf.DUMMYFUNCTION("""COMPUTED_VALUE"""),"120227332233440235")</f>
        <v>120227332233440235</v>
      </c>
      <c r="C531" s="127" t="str">
        <f ca="1">IFERROR(__xludf.DUMMYFUNCTION("""COMPUTED_VALUE"""),"Jasa Bangun")</f>
        <v>Jasa Bangun</v>
      </c>
      <c r="D531" s="138" t="str">
        <f ca="1">IFERROR(__xludf.DUMMYFUNCTION("""COMPUTED_VALUE"""),"https://wa.me/6285714611166")</f>
        <v>https://wa.me/6285714611166</v>
      </c>
      <c r="E531" s="139" t="str">
        <f ca="1">IFERROR(__xludf.DUMMYFUNCTION("""COMPUTED_VALUE"""),"6285714611166")</f>
        <v>6285714611166</v>
      </c>
      <c r="F531" s="139">
        <f ca="1">IFERROR(__xludf.DUMMYFUNCTION("""COMPUTED_VALUE"""),1141)</f>
        <v>1141</v>
      </c>
      <c r="G531" s="139">
        <f ca="1">IFERROR(__xludf.DUMMYFUNCTION("""COMPUTED_VALUE"""),44121.75)</f>
        <v>44121.75</v>
      </c>
      <c r="H531" s="139">
        <f ca="1">IFERROR(__xludf.DUMMYFUNCTION("""COMPUTED_VALUE"""),6)</f>
        <v>6</v>
      </c>
      <c r="I531" s="140">
        <f ca="1">IFERROR(__xludf.DUMMYFUNCTION("""COMPUTED_VALUE"""),55723)</f>
        <v>55723</v>
      </c>
      <c r="J531" s="141">
        <f ca="1">IFERROR(__xludf.DUMMYFUNCTION("""COMPUTED_VALUE"""),9287.16666666666)</f>
        <v>9287.1666666666606</v>
      </c>
      <c r="K531" s="142">
        <f ca="1">IFERROR(__xludf.DUMMYFUNCTION("""COMPUTED_VALUE"""),3.71486666666666)</f>
        <v>3.7148666666666599</v>
      </c>
      <c r="L531" s="143" t="str">
        <f ca="1"/>
        <v>Wiris Variasi</v>
      </c>
      <c r="M531" s="127"/>
      <c r="N531" s="127"/>
      <c r="O531" s="127"/>
      <c r="P531" s="127"/>
      <c r="Q531" s="127"/>
      <c r="R531" s="127"/>
      <c r="S531" s="127"/>
      <c r="T531" s="127"/>
      <c r="U531" s="127"/>
      <c r="V531" s="127"/>
      <c r="W531" s="127"/>
      <c r="X531" s="127"/>
      <c r="Y531" s="127"/>
      <c r="Z531" s="127"/>
      <c r="AA531" s="127"/>
    </row>
    <row r="532" spans="1:27">
      <c r="A532" s="127">
        <f ca="1">IFERROR(__xludf.DUMMYFUNCTION("""COMPUTED_VALUE"""),766589657993298)</f>
        <v>766589657993298</v>
      </c>
      <c r="B532" s="127" t="str">
        <f ca="1">IFERROR(__xludf.DUMMYFUNCTION("""COMPUTED_VALUE"""),"120227451758450235")</f>
        <v>120227451758450235</v>
      </c>
      <c r="C532" s="127" t="str">
        <f ca="1">IFERROR(__xludf.DUMMYFUNCTION("""COMPUTED_VALUE"""),"Pt Natama")</f>
        <v>Pt Natama</v>
      </c>
      <c r="D532" s="138" t="str">
        <f ca="1">IFERROR(__xludf.DUMMYFUNCTION("""COMPUTED_VALUE"""),"https://wa.me/6285261023204")</f>
        <v>https://wa.me/6285261023204</v>
      </c>
      <c r="E532" s="139" t="str">
        <f ca="1">IFERROR(__xludf.DUMMYFUNCTION("""COMPUTED_VALUE"""),"6285261023204")</f>
        <v>6285261023204</v>
      </c>
      <c r="F532" s="139">
        <f ca="1">IFERROR(__xludf.DUMMYFUNCTION("""COMPUTED_VALUE"""),8833)</f>
        <v>8833</v>
      </c>
      <c r="G532" s="139">
        <f ca="1">IFERROR(__xludf.DUMMYFUNCTION("""COMPUTED_VALUE"""),29406.9444444444)</f>
        <v>29406.944444444402</v>
      </c>
      <c r="H532" s="139">
        <f ca="1">IFERROR(__xludf.DUMMYFUNCTION("""COMPUTED_VALUE"""),39)</f>
        <v>39</v>
      </c>
      <c r="I532" s="140">
        <f ca="1">IFERROR(__xludf.DUMMYFUNCTION("""COMPUTED_VALUE"""),258456)</f>
        <v>258456</v>
      </c>
      <c r="J532" s="141">
        <f ca="1">IFERROR(__xludf.DUMMYFUNCTION("""COMPUTED_VALUE"""),6627.07692307692)</f>
        <v>6627.0769230769201</v>
      </c>
      <c r="K532" s="142">
        <f ca="1">IFERROR(__xludf.DUMMYFUNCTION("""COMPUTED_VALUE"""),17.2304)</f>
        <v>17.230399999999999</v>
      </c>
      <c r="L532" s="143" t="str">
        <f ca="1"/>
        <v>Wiris Variasi</v>
      </c>
      <c r="M532" s="127"/>
      <c r="N532" s="127"/>
      <c r="O532" s="127"/>
      <c r="P532" s="127"/>
      <c r="Q532" s="127"/>
      <c r="R532" s="127"/>
      <c r="S532" s="127"/>
      <c r="T532" s="127"/>
      <c r="U532" s="127"/>
      <c r="V532" s="127"/>
      <c r="W532" s="127"/>
      <c r="X532" s="127"/>
      <c r="Y532" s="127"/>
      <c r="Z532" s="127"/>
      <c r="AA532" s="127"/>
    </row>
    <row r="533" spans="1:27">
      <c r="A533" s="127">
        <f ca="1">IFERROR(__xludf.DUMMYFUNCTION("""COMPUTED_VALUE"""),766589657993298)</f>
        <v>766589657993298</v>
      </c>
      <c r="B533" s="127" t="str">
        <f ca="1">IFERROR(__xludf.DUMMYFUNCTION("""COMPUTED_VALUE"""),"120227481511780235")</f>
        <v>120227481511780235</v>
      </c>
      <c r="C533" s="127" t="str">
        <f ca="1">IFERROR(__xludf.DUMMYFUNCTION("""COMPUTED_VALUE"""),"Mungkid Sejahtera")</f>
        <v>Mungkid Sejahtera</v>
      </c>
      <c r="D533" s="139"/>
      <c r="E533" s="139"/>
      <c r="F533" s="139">
        <f ca="1">IFERROR(__xludf.DUMMYFUNCTION("""COMPUTED_VALUE"""),2284)</f>
        <v>2284</v>
      </c>
      <c r="G533" s="139">
        <f ca="1">IFERROR(__xludf.DUMMYFUNCTION("""COMPUTED_VALUE"""),26369)</f>
        <v>26369</v>
      </c>
      <c r="H533" s="139">
        <f ca="1">IFERROR(__xludf.DUMMYFUNCTION("""COMPUTED_VALUE"""),3)</f>
        <v>3</v>
      </c>
      <c r="I533" s="140">
        <f ca="1">IFERROR(__xludf.DUMMYFUNCTION("""COMPUTED_VALUE"""),66535)</f>
        <v>66535</v>
      </c>
      <c r="J533" s="141">
        <f ca="1">IFERROR(__xludf.DUMMYFUNCTION("""COMPUTED_VALUE"""),22178.3333333333)</f>
        <v>22178.333333333299</v>
      </c>
      <c r="K533" s="142">
        <f ca="1">IFERROR(__xludf.DUMMYFUNCTION("""COMPUTED_VALUE"""),4.43566666666666)</f>
        <v>4.43566666666666</v>
      </c>
      <c r="L533" s="143" t="str">
        <f ca="1"/>
        <v>Wiris Variasi</v>
      </c>
      <c r="M533" s="127"/>
      <c r="N533" s="127"/>
      <c r="O533" s="127"/>
      <c r="P533" s="127"/>
      <c r="Q533" s="127"/>
      <c r="R533" s="127"/>
      <c r="S533" s="127"/>
      <c r="T533" s="127"/>
      <c r="U533" s="127"/>
      <c r="V533" s="127"/>
      <c r="W533" s="127"/>
      <c r="X533" s="127"/>
      <c r="Y533" s="127"/>
      <c r="Z533" s="127"/>
      <c r="AA533" s="127"/>
    </row>
    <row r="534" spans="1:27">
      <c r="A534" s="127">
        <f ca="1">IFERROR(__xludf.DUMMYFUNCTION("""COMPUTED_VALUE"""),766589657993298)</f>
        <v>766589657993298</v>
      </c>
      <c r="B534" s="127" t="str">
        <f ca="1">IFERROR(__xludf.DUMMYFUNCTION("""COMPUTED_VALUE"""),"120227511849950235")</f>
        <v>120227511849950235</v>
      </c>
      <c r="C534" s="127" t="str">
        <f ca="1">IFERROR(__xludf.DUMMYFUNCTION("""COMPUTED_VALUE"""),"PT. Panorama Jaya Labana")</f>
        <v>PT. Panorama Jaya Labana</v>
      </c>
      <c r="D534" s="138" t="str">
        <f ca="1">IFERROR(__xludf.DUMMYFUNCTION("""COMPUTED_VALUE"""),"https://wa.me/628122102657")</f>
        <v>https://wa.me/628122102657</v>
      </c>
      <c r="E534" s="139" t="str">
        <f ca="1">IFERROR(__xludf.DUMMYFUNCTION("""COMPUTED_VALUE"""),"628122102657")</f>
        <v>628122102657</v>
      </c>
      <c r="F534" s="139">
        <f ca="1">IFERROR(__xludf.DUMMYFUNCTION("""COMPUTED_VALUE"""),8778)</f>
        <v>8778</v>
      </c>
      <c r="G534" s="139">
        <f ca="1">IFERROR(__xludf.DUMMYFUNCTION("""COMPUTED_VALUE"""),33701.5909090909)</f>
        <v>33701.590909090897</v>
      </c>
      <c r="H534" s="139">
        <f ca="1">IFERROR(__xludf.DUMMYFUNCTION("""COMPUTED_VALUE"""),32)</f>
        <v>32</v>
      </c>
      <c r="I534" s="140">
        <f ca="1">IFERROR(__xludf.DUMMYFUNCTION("""COMPUTED_VALUE"""),308981)</f>
        <v>308981</v>
      </c>
      <c r="J534" s="141">
        <f ca="1">IFERROR(__xludf.DUMMYFUNCTION("""COMPUTED_VALUE"""),9655.65625)</f>
        <v>9655.65625</v>
      </c>
      <c r="K534" s="142">
        <f ca="1">IFERROR(__xludf.DUMMYFUNCTION("""COMPUTED_VALUE"""),20.5987333333333)</f>
        <v>20.5987333333333</v>
      </c>
      <c r="L534" s="143" t="str">
        <f ca="1"/>
        <v>Wiris Variasi</v>
      </c>
      <c r="M534" s="127"/>
      <c r="N534" s="127"/>
      <c r="O534" s="127"/>
      <c r="P534" s="127"/>
      <c r="Q534" s="127"/>
      <c r="R534" s="127"/>
      <c r="S534" s="127"/>
      <c r="T534" s="127"/>
      <c r="U534" s="127"/>
      <c r="V534" s="127"/>
      <c r="W534" s="127"/>
      <c r="X534" s="127"/>
      <c r="Y534" s="127"/>
      <c r="Z534" s="127"/>
      <c r="AA534" s="127"/>
    </row>
    <row r="535" spans="1:27">
      <c r="A535" s="127">
        <f ca="1">IFERROR(__xludf.DUMMYFUNCTION("""COMPUTED_VALUE"""),766589657993298)</f>
        <v>766589657993298</v>
      </c>
      <c r="B535" s="127" t="str">
        <f ca="1">IFERROR(__xludf.DUMMYFUNCTION("""COMPUTED_VALUE"""),"120227529488890235")</f>
        <v>120227529488890235</v>
      </c>
      <c r="C535" s="127" t="str">
        <f ca="1">IFERROR(__xludf.DUMMYFUNCTION("""COMPUTED_VALUE"""),"PT. Medan")</f>
        <v>PT. Medan</v>
      </c>
      <c r="D535" s="138" t="str">
        <f ca="1">IFERROR(__xludf.DUMMYFUNCTION("""COMPUTED_VALUE"""),"https://wa.me/6282162580404")</f>
        <v>https://wa.me/6282162580404</v>
      </c>
      <c r="E535" s="139" t="str">
        <f ca="1">IFERROR(__xludf.DUMMYFUNCTION("""COMPUTED_VALUE"""),"6282162580404")</f>
        <v>6282162580404</v>
      </c>
      <c r="F535" s="139">
        <f ca="1">IFERROR(__xludf.DUMMYFUNCTION("""COMPUTED_VALUE"""),1681)</f>
        <v>1681</v>
      </c>
      <c r="G535" s="139">
        <f ca="1">IFERROR(__xludf.DUMMYFUNCTION("""COMPUTED_VALUE"""),47975.5)</f>
        <v>47975.5</v>
      </c>
      <c r="H535" s="139">
        <f ca="1">IFERROR(__xludf.DUMMYFUNCTION("""COMPUTED_VALUE"""),4)</f>
        <v>4</v>
      </c>
      <c r="I535" s="140">
        <f ca="1">IFERROR(__xludf.DUMMYFUNCTION("""COMPUTED_VALUE"""),85365)</f>
        <v>85365</v>
      </c>
      <c r="J535" s="141">
        <f ca="1">IFERROR(__xludf.DUMMYFUNCTION("""COMPUTED_VALUE"""),21341.25)</f>
        <v>21341.25</v>
      </c>
      <c r="K535" s="142">
        <f ca="1">IFERROR(__xludf.DUMMYFUNCTION("""COMPUTED_VALUE"""),5.691)</f>
        <v>5.6909999999999998</v>
      </c>
      <c r="L535" s="143" t="str">
        <f ca="1"/>
        <v>Wiris Variasi</v>
      </c>
      <c r="M535" s="127"/>
      <c r="N535" s="127"/>
      <c r="O535" s="127"/>
      <c r="P535" s="127"/>
      <c r="Q535" s="127"/>
      <c r="R535" s="127"/>
      <c r="S535" s="127"/>
      <c r="T535" s="127"/>
      <c r="U535" s="127"/>
      <c r="V535" s="127"/>
      <c r="W535" s="127"/>
      <c r="X535" s="127"/>
      <c r="Y535" s="127"/>
      <c r="Z535" s="127"/>
      <c r="AA535" s="127"/>
    </row>
    <row r="536" spans="1:27">
      <c r="A536" s="127">
        <f ca="1">IFERROR(__xludf.DUMMYFUNCTION("""COMPUTED_VALUE"""),766589657993298)</f>
        <v>766589657993298</v>
      </c>
      <c r="B536" s="127" t="str">
        <f ca="1">IFERROR(__xludf.DUMMYFUNCTION("""COMPUTED_VALUE"""),"120227535188790235")</f>
        <v>120227535188790235</v>
      </c>
      <c r="C536" s="127" t="str">
        <f ca="1">IFERROR(__xludf.DUMMYFUNCTION("""COMPUTED_VALUE"""),"CV Fajar")</f>
        <v>CV Fajar</v>
      </c>
      <c r="D536" s="138" t="str">
        <f ca="1">IFERROR(__xludf.DUMMYFUNCTION("""COMPUTED_VALUE"""),"https://wa.me/6281338789995")</f>
        <v>https://wa.me/6281338789995</v>
      </c>
      <c r="E536" s="139" t="str">
        <f ca="1">IFERROR(__xludf.DUMMYFUNCTION("""COMPUTED_VALUE"""),"6281338789995")</f>
        <v>6281338789995</v>
      </c>
      <c r="F536" s="139">
        <f ca="1">IFERROR(__xludf.DUMMYFUNCTION("""COMPUTED_VALUE"""),15022)</f>
        <v>15022</v>
      </c>
      <c r="G536" s="139">
        <f ca="1">IFERROR(__xludf.DUMMYFUNCTION("""COMPUTED_VALUE"""),15468.8235294117)</f>
        <v>15468.8235294117</v>
      </c>
      <c r="H536" s="139">
        <f ca="1">IFERROR(__xludf.DUMMYFUNCTION("""COMPUTED_VALUE"""),29)</f>
        <v>29</v>
      </c>
      <c r="I536" s="140">
        <f ca="1">IFERROR(__xludf.DUMMYFUNCTION("""COMPUTED_VALUE"""),256897)</f>
        <v>256897</v>
      </c>
      <c r="J536" s="141">
        <f ca="1">IFERROR(__xludf.DUMMYFUNCTION("""COMPUTED_VALUE"""),8858.51724137931)</f>
        <v>8858.5172413793098</v>
      </c>
      <c r="K536" s="142">
        <f ca="1">IFERROR(__xludf.DUMMYFUNCTION("""COMPUTED_VALUE"""),17.1264666666666)</f>
        <v>17.126466666666602</v>
      </c>
      <c r="L536" s="143" t="str">
        <f ca="1"/>
        <v>Wiris Variasi</v>
      </c>
      <c r="M536" s="127"/>
      <c r="N536" s="127"/>
      <c r="O536" s="127"/>
      <c r="P536" s="127"/>
      <c r="Q536" s="127"/>
      <c r="R536" s="127"/>
      <c r="S536" s="127"/>
      <c r="T536" s="127"/>
      <c r="U536" s="127"/>
      <c r="V536" s="127"/>
      <c r="W536" s="127"/>
      <c r="X536" s="127"/>
      <c r="Y536" s="127"/>
      <c r="Z536" s="127"/>
      <c r="AA536" s="127"/>
    </row>
    <row r="537" spans="1:27">
      <c r="A537" s="127">
        <f ca="1">IFERROR(__xludf.DUMMYFUNCTION("""COMPUTED_VALUE"""),766589657993298)</f>
        <v>766589657993298</v>
      </c>
      <c r="B537" s="127" t="str">
        <f ca="1">IFERROR(__xludf.DUMMYFUNCTION("""COMPUTED_VALUE"""),"120227597018130235")</f>
        <v>120227597018130235</v>
      </c>
      <c r="C537" s="127" t="str">
        <f ca="1">IFERROR(__xludf.DUMMYFUNCTION("""COMPUTED_VALUE"""),"CV permadana")</f>
        <v>CV permadana</v>
      </c>
      <c r="D537" s="138" t="str">
        <f ca="1">IFERROR(__xludf.DUMMYFUNCTION("""COMPUTED_VALUE"""),"https://wa.me/6289523308892")</f>
        <v>https://wa.me/6289523308892</v>
      </c>
      <c r="E537" s="139" t="str">
        <f ca="1">IFERROR(__xludf.DUMMYFUNCTION("""COMPUTED_VALUE"""),"6289523308892")</f>
        <v>6289523308892</v>
      </c>
      <c r="F537" s="139">
        <f ca="1">IFERROR(__xludf.DUMMYFUNCTION("""COMPUTED_VALUE"""),3292)</f>
        <v>3292</v>
      </c>
      <c r="G537" s="139">
        <f ca="1">IFERROR(__xludf.DUMMYFUNCTION("""COMPUTED_VALUE"""),15133.75)</f>
        <v>15133.75</v>
      </c>
      <c r="H537" s="139">
        <f ca="1">IFERROR(__xludf.DUMMYFUNCTION("""COMPUTED_VALUE"""),3)</f>
        <v>3</v>
      </c>
      <c r="I537" s="140">
        <f ca="1">IFERROR(__xludf.DUMMYFUNCTION("""COMPUTED_VALUE"""),53880)</f>
        <v>53880</v>
      </c>
      <c r="J537" s="141">
        <f ca="1">IFERROR(__xludf.DUMMYFUNCTION("""COMPUTED_VALUE"""),17960)</f>
        <v>17960</v>
      </c>
      <c r="K537" s="142">
        <f ca="1">IFERROR(__xludf.DUMMYFUNCTION("""COMPUTED_VALUE"""),3.592)</f>
        <v>3.5920000000000001</v>
      </c>
      <c r="L537" s="143" t="str">
        <f ca="1"/>
        <v>Wiris Variasi</v>
      </c>
      <c r="M537" s="127"/>
      <c r="N537" s="127"/>
      <c r="O537" s="127"/>
      <c r="P537" s="127"/>
      <c r="Q537" s="127"/>
      <c r="R537" s="127"/>
      <c r="S537" s="127"/>
      <c r="T537" s="127"/>
      <c r="U537" s="127"/>
      <c r="V537" s="127"/>
      <c r="W537" s="127"/>
      <c r="X537" s="127"/>
      <c r="Y537" s="127"/>
      <c r="Z537" s="127"/>
      <c r="AA537" s="127"/>
    </row>
    <row r="538" spans="1:27">
      <c r="A538" s="127">
        <f ca="1">IFERROR(__xludf.DUMMYFUNCTION("""COMPUTED_VALUE"""),766589657993298)</f>
        <v>766589657993298</v>
      </c>
      <c r="B538" s="127" t="str">
        <f ca="1">IFERROR(__xludf.DUMMYFUNCTION("""COMPUTED_VALUE"""),"120227597633480235")</f>
        <v>120227597633480235</v>
      </c>
      <c r="C538" s="127" t="str">
        <f ca="1">IFERROR(__xludf.DUMMYFUNCTION("""COMPUTED_VALUE"""),"Dearhouse")</f>
        <v>Dearhouse</v>
      </c>
      <c r="D538" s="138" t="str">
        <f ca="1">IFERROR(__xludf.DUMMYFUNCTION("""COMPUTED_VALUE"""),"https://wa.me/6287778562681")</f>
        <v>https://wa.me/6287778562681</v>
      </c>
      <c r="E538" s="139" t="str">
        <f ca="1">IFERROR(__xludf.DUMMYFUNCTION("""COMPUTED_VALUE"""),"6287778562681")</f>
        <v>6287778562681</v>
      </c>
      <c r="F538" s="139">
        <f ca="1">IFERROR(__xludf.DUMMYFUNCTION("""COMPUTED_VALUE"""),4766)</f>
        <v>4766</v>
      </c>
      <c r="G538" s="139">
        <f ca="1">IFERROR(__xludf.DUMMYFUNCTION("""COMPUTED_VALUE"""),39734)</f>
        <v>39734</v>
      </c>
      <c r="H538" s="139">
        <f ca="1">IFERROR(__xludf.DUMMYFUNCTION("""COMPUTED_VALUE"""),12)</f>
        <v>12</v>
      </c>
      <c r="I538" s="140">
        <f ca="1">IFERROR(__xludf.DUMMYFUNCTION("""COMPUTED_VALUE"""),199796)</f>
        <v>199796</v>
      </c>
      <c r="J538" s="141">
        <f ca="1">IFERROR(__xludf.DUMMYFUNCTION("""COMPUTED_VALUE"""),16649.6666666666)</f>
        <v>16649.666666666599</v>
      </c>
      <c r="K538" s="142">
        <f ca="1">IFERROR(__xludf.DUMMYFUNCTION("""COMPUTED_VALUE"""),13.3197333333333)</f>
        <v>13.3197333333333</v>
      </c>
      <c r="L538" s="143" t="str">
        <f ca="1"/>
        <v>Wiris Variasi</v>
      </c>
      <c r="M538" s="127"/>
      <c r="N538" s="127"/>
      <c r="O538" s="127"/>
      <c r="P538" s="127"/>
      <c r="Q538" s="127"/>
      <c r="R538" s="127"/>
      <c r="S538" s="127"/>
      <c r="T538" s="127"/>
      <c r="U538" s="127"/>
      <c r="V538" s="127"/>
      <c r="W538" s="127"/>
      <c r="X538" s="127"/>
      <c r="Y538" s="127"/>
      <c r="Z538" s="127"/>
      <c r="AA538" s="127"/>
    </row>
    <row r="539" spans="1:27">
      <c r="A539" s="127">
        <f ca="1">IFERROR(__xludf.DUMMYFUNCTION("""COMPUTED_VALUE"""),766589657993298)</f>
        <v>766589657993298</v>
      </c>
      <c r="B539" s="127" t="str">
        <f ca="1">IFERROR(__xludf.DUMMYFUNCTION("""COMPUTED_VALUE"""),"120227599304890235")</f>
        <v>120227599304890235</v>
      </c>
      <c r="C539" s="127" t="str">
        <f ca="1">IFERROR(__xludf.DUMMYFUNCTION("""COMPUTED_VALUE"""),"AR Kontraktor")</f>
        <v>AR Kontraktor</v>
      </c>
      <c r="D539" s="138" t="str">
        <f ca="1">IFERROR(__xludf.DUMMYFUNCTION("""COMPUTED_VALUE"""),"https://wa.me/6281316155059")</f>
        <v>https://wa.me/6281316155059</v>
      </c>
      <c r="E539" s="139" t="str">
        <f ca="1">IFERROR(__xludf.DUMMYFUNCTION("""COMPUTED_VALUE"""),"6281316155059")</f>
        <v>6281316155059</v>
      </c>
      <c r="F539" s="139">
        <f ca="1">IFERROR(__xludf.DUMMYFUNCTION("""COMPUTED_VALUE"""),5762)</f>
        <v>5762</v>
      </c>
      <c r="G539" s="139">
        <f ca="1">IFERROR(__xludf.DUMMYFUNCTION("""COMPUTED_VALUE"""),44021)</f>
        <v>44021</v>
      </c>
      <c r="H539" s="139">
        <f ca="1">IFERROR(__xludf.DUMMYFUNCTION("""COMPUTED_VALUE"""),19)</f>
        <v>19</v>
      </c>
      <c r="I539" s="140">
        <f ca="1">IFERROR(__xludf.DUMMYFUNCTION("""COMPUTED_VALUE"""),237520)</f>
        <v>237520</v>
      </c>
      <c r="J539" s="141">
        <f ca="1">IFERROR(__xludf.DUMMYFUNCTION("""COMPUTED_VALUE"""),12501.0526315789)</f>
        <v>12501.052631578899</v>
      </c>
      <c r="K539" s="142">
        <f ca="1">IFERROR(__xludf.DUMMYFUNCTION("""COMPUTED_VALUE"""),15.8346666666666)</f>
        <v>15.8346666666666</v>
      </c>
      <c r="L539" s="143" t="str">
        <f ca="1"/>
        <v>Wiris Variasi</v>
      </c>
      <c r="M539" s="127"/>
      <c r="N539" s="127"/>
      <c r="O539" s="127"/>
      <c r="P539" s="127"/>
      <c r="Q539" s="127"/>
      <c r="R539" s="127"/>
      <c r="S539" s="127"/>
      <c r="T539" s="127"/>
      <c r="U539" s="127"/>
      <c r="V539" s="127"/>
      <c r="W539" s="127"/>
      <c r="X539" s="127"/>
      <c r="Y539" s="127"/>
      <c r="Z539" s="127"/>
      <c r="AA539" s="127"/>
    </row>
    <row r="540" spans="1:27">
      <c r="A540" s="127">
        <f ca="1">IFERROR(__xludf.DUMMYFUNCTION("""COMPUTED_VALUE"""),766589657993298)</f>
        <v>766589657993298</v>
      </c>
      <c r="B540" s="127" t="str">
        <f ca="1">IFERROR(__xludf.DUMMYFUNCTION("""COMPUTED_VALUE"""),"120227607532660235")</f>
        <v>120227607532660235</v>
      </c>
      <c r="C540" s="127" t="str">
        <f ca="1">IFERROR(__xludf.DUMMYFUNCTION("""COMPUTED_VALUE"""),"PT AGUS")</f>
        <v>PT AGUS</v>
      </c>
      <c r="D540" s="138" t="str">
        <f ca="1">IFERROR(__xludf.DUMMYFUNCTION("""COMPUTED_VALUE"""),"https://wa.me/6282255726295")</f>
        <v>https://wa.me/6282255726295</v>
      </c>
      <c r="E540" s="139" t="str">
        <f ca="1">IFERROR(__xludf.DUMMYFUNCTION("""COMPUTED_VALUE"""),"6282255726295")</f>
        <v>6282255726295</v>
      </c>
      <c r="F540" s="139">
        <f ca="1">IFERROR(__xludf.DUMMYFUNCTION("""COMPUTED_VALUE"""),7007)</f>
        <v>7007</v>
      </c>
      <c r="G540" s="139">
        <f ca="1">IFERROR(__xludf.DUMMYFUNCTION("""COMPUTED_VALUE"""),9009.6)</f>
        <v>9009.6</v>
      </c>
      <c r="H540" s="139">
        <f ca="1">IFERROR(__xludf.DUMMYFUNCTION("""COMPUTED_VALUE"""),16)</f>
        <v>16</v>
      </c>
      <c r="I540" s="140">
        <f ca="1">IFERROR(__xludf.DUMMYFUNCTION("""COMPUTED_VALUE"""),76045)</f>
        <v>76045</v>
      </c>
      <c r="J540" s="141">
        <f ca="1">IFERROR(__xludf.DUMMYFUNCTION("""COMPUTED_VALUE"""),4752.8125)</f>
        <v>4752.8125</v>
      </c>
      <c r="K540" s="142">
        <f ca="1">IFERROR(__xludf.DUMMYFUNCTION("""COMPUTED_VALUE"""),5.06966666666666)</f>
        <v>5.0696666666666603</v>
      </c>
      <c r="L540" s="143" t="str">
        <f ca="1"/>
        <v>Wiris Variasi</v>
      </c>
      <c r="M540" s="127"/>
      <c r="N540" s="127"/>
      <c r="O540" s="127"/>
      <c r="P540" s="127"/>
      <c r="Q540" s="127"/>
      <c r="R540" s="127"/>
      <c r="S540" s="127"/>
      <c r="T540" s="127"/>
      <c r="U540" s="127"/>
      <c r="V540" s="127"/>
      <c r="W540" s="127"/>
      <c r="X540" s="127"/>
      <c r="Y540" s="127"/>
      <c r="Z540" s="127"/>
      <c r="AA540" s="127"/>
    </row>
    <row r="541" spans="1:27">
      <c r="A541" s="127">
        <f ca="1">IFERROR(__xludf.DUMMYFUNCTION("""COMPUTED_VALUE"""),766589657993298)</f>
        <v>766589657993298</v>
      </c>
      <c r="B541" s="127" t="str">
        <f ca="1">IFERROR(__xludf.DUMMYFUNCTION("""COMPUTED_VALUE"""),"120227621644090235")</f>
        <v>120227621644090235</v>
      </c>
      <c r="C541" s="127" t="str">
        <f ca="1">IFERROR(__xludf.DUMMYFUNCTION("""COMPUTED_VALUE"""),"Lintang interior")</f>
        <v>Lintang interior</v>
      </c>
      <c r="D541" s="138" t="str">
        <f ca="1">IFERROR(__xludf.DUMMYFUNCTION("""COMPUTED_VALUE"""),"https://wa.me/6281632236409")</f>
        <v>https://wa.me/6281632236409</v>
      </c>
      <c r="E541" s="139" t="str">
        <f ca="1">IFERROR(__xludf.DUMMYFUNCTION("""COMPUTED_VALUE"""),"6281632236409")</f>
        <v>6281632236409</v>
      </c>
      <c r="F541" s="139">
        <f ca="1">IFERROR(__xludf.DUMMYFUNCTION("""COMPUTED_VALUE"""),3185)</f>
        <v>3185</v>
      </c>
      <c r="G541" s="139">
        <f ca="1">IFERROR(__xludf.DUMMYFUNCTION("""COMPUTED_VALUE"""),19708.6)</f>
        <v>19708.599999999999</v>
      </c>
      <c r="H541" s="139">
        <f ca="1">IFERROR(__xludf.DUMMYFUNCTION("""COMPUTED_VALUE"""),6)</f>
        <v>6</v>
      </c>
      <c r="I541" s="140">
        <f ca="1">IFERROR(__xludf.DUMMYFUNCTION("""COMPUTED_VALUE"""),75818)</f>
        <v>75818</v>
      </c>
      <c r="J541" s="141">
        <f ca="1">IFERROR(__xludf.DUMMYFUNCTION("""COMPUTED_VALUE"""),12636.3333333333)</f>
        <v>12636.333333333299</v>
      </c>
      <c r="K541" s="142">
        <f ca="1">IFERROR(__xludf.DUMMYFUNCTION("""COMPUTED_VALUE"""),5.05453333333333)</f>
        <v>5.05453333333333</v>
      </c>
      <c r="L541" s="143" t="str">
        <f ca="1"/>
        <v>Wiris Variasi</v>
      </c>
      <c r="M541" s="127"/>
      <c r="N541" s="127"/>
      <c r="O541" s="127"/>
      <c r="P541" s="127"/>
      <c r="Q541" s="127"/>
      <c r="R541" s="127"/>
      <c r="S541" s="127"/>
      <c r="T541" s="127"/>
      <c r="U541" s="127"/>
      <c r="V541" s="127"/>
      <c r="W541" s="127"/>
      <c r="X541" s="127"/>
      <c r="Y541" s="127"/>
      <c r="Z541" s="127"/>
      <c r="AA541" s="127"/>
    </row>
    <row r="542" spans="1:27">
      <c r="A542" s="127">
        <f ca="1">IFERROR(__xludf.DUMMYFUNCTION("""COMPUTED_VALUE"""),766589657993298)</f>
        <v>766589657993298</v>
      </c>
      <c r="B542" s="127" t="str">
        <f ca="1">IFERROR(__xludf.DUMMYFUNCTION("""COMPUTED_VALUE"""),"120227665462840235")</f>
        <v>120227665462840235</v>
      </c>
      <c r="C542" s="127" t="str">
        <f ca="1">IFERROR(__xludf.DUMMYFUNCTION("""COMPUTED_VALUE"""),"CV BIMA")</f>
        <v>CV BIMA</v>
      </c>
      <c r="D542" s="138" t="str">
        <f ca="1">IFERROR(__xludf.DUMMYFUNCTION("""COMPUTED_VALUE"""),"https://wa.me/6282176695820")</f>
        <v>https://wa.me/6282176695820</v>
      </c>
      <c r="E542" s="139" t="str">
        <f ca="1">IFERROR(__xludf.DUMMYFUNCTION("""COMPUTED_VALUE"""),"6282176695820")</f>
        <v>6282176695820</v>
      </c>
      <c r="F542" s="139">
        <f ca="1">IFERROR(__xludf.DUMMYFUNCTION("""COMPUTED_VALUE"""),4494)</f>
        <v>4494</v>
      </c>
      <c r="G542" s="139">
        <f ca="1">IFERROR(__xludf.DUMMYFUNCTION("""COMPUTED_VALUE"""),25373.5)</f>
        <v>25373.5</v>
      </c>
      <c r="H542" s="139">
        <f ca="1">IFERROR(__xludf.DUMMYFUNCTION("""COMPUTED_VALUE"""),11)</f>
        <v>11</v>
      </c>
      <c r="I542" s="140">
        <f ca="1">IFERROR(__xludf.DUMMYFUNCTION("""COMPUTED_VALUE"""),120945)</f>
        <v>120945</v>
      </c>
      <c r="J542" s="141">
        <f ca="1">IFERROR(__xludf.DUMMYFUNCTION("""COMPUTED_VALUE"""),10995)</f>
        <v>10995</v>
      </c>
      <c r="K542" s="142">
        <f ca="1">IFERROR(__xludf.DUMMYFUNCTION("""COMPUTED_VALUE"""),8.063)</f>
        <v>8.0630000000000006</v>
      </c>
      <c r="L542" s="143" t="str">
        <f ca="1"/>
        <v>Wiris Variasi</v>
      </c>
      <c r="M542" s="127"/>
      <c r="N542" s="127"/>
      <c r="O542" s="127"/>
      <c r="P542" s="127"/>
      <c r="Q542" s="127"/>
      <c r="R542" s="127"/>
      <c r="S542" s="127"/>
      <c r="T542" s="127"/>
      <c r="U542" s="127"/>
      <c r="V542" s="127"/>
      <c r="W542" s="127"/>
      <c r="X542" s="127"/>
      <c r="Y542" s="127"/>
      <c r="Z542" s="127"/>
      <c r="AA542" s="127"/>
    </row>
    <row r="543" spans="1:27">
      <c r="A543" s="127">
        <f ca="1">IFERROR(__xludf.DUMMYFUNCTION("""COMPUTED_VALUE"""),766589657993298)</f>
        <v>766589657993298</v>
      </c>
      <c r="B543" s="127" t="str">
        <f ca="1">IFERROR(__xludf.DUMMYFUNCTION("""COMPUTED_VALUE"""),"120227665552330235")</f>
        <v>120227665552330235</v>
      </c>
      <c r="C543" s="127" t="str">
        <f ca="1">IFERROR(__xludf.DUMMYFUNCTION("""COMPUTED_VALUE"""),"CV MJB")</f>
        <v>CV MJB</v>
      </c>
      <c r="D543" s="138" t="str">
        <f ca="1">IFERROR(__xludf.DUMMYFUNCTION("""COMPUTED_VALUE"""),"https://wa.me/6282141603091")</f>
        <v>https://wa.me/6282141603091</v>
      </c>
      <c r="E543" s="139" t="str">
        <f ca="1">IFERROR(__xludf.DUMMYFUNCTION("""COMPUTED_VALUE"""),"6282141603091")</f>
        <v>6282141603091</v>
      </c>
      <c r="F543" s="139">
        <f ca="1">IFERROR(__xludf.DUMMYFUNCTION("""COMPUTED_VALUE"""),8847)</f>
        <v>8847</v>
      </c>
      <c r="G543" s="139">
        <f ca="1">IFERROR(__xludf.DUMMYFUNCTION("""COMPUTED_VALUE"""),24966.909090909)</f>
        <v>24966.909090909001</v>
      </c>
      <c r="H543" s="139">
        <f ca="1">IFERROR(__xludf.DUMMYFUNCTION("""COMPUTED_VALUE"""),39)</f>
        <v>39</v>
      </c>
      <c r="I543" s="140">
        <f ca="1">IFERROR(__xludf.DUMMYFUNCTION("""COMPUTED_VALUE"""),166405)</f>
        <v>166405</v>
      </c>
      <c r="J543" s="141">
        <f ca="1">IFERROR(__xludf.DUMMYFUNCTION("""COMPUTED_VALUE"""),4266.79487179487)</f>
        <v>4266.7948717948702</v>
      </c>
      <c r="K543" s="142">
        <f ca="1">IFERROR(__xludf.DUMMYFUNCTION("""COMPUTED_VALUE"""),11.0936666666666)</f>
        <v>11.0936666666666</v>
      </c>
      <c r="L543" s="143" t="str">
        <f ca="1"/>
        <v>Wiris Variasi</v>
      </c>
      <c r="M543" s="127"/>
      <c r="N543" s="127"/>
      <c r="O543" s="127"/>
      <c r="P543" s="127"/>
      <c r="Q543" s="127"/>
      <c r="R543" s="127"/>
      <c r="S543" s="127"/>
      <c r="T543" s="127"/>
      <c r="U543" s="127"/>
      <c r="V543" s="127"/>
      <c r="W543" s="127"/>
      <c r="X543" s="127"/>
      <c r="Y543" s="127"/>
      <c r="Z543" s="127"/>
      <c r="AA543" s="127"/>
    </row>
    <row r="544" spans="1:27">
      <c r="A544" s="127">
        <f ca="1">IFERROR(__xludf.DUMMYFUNCTION("""COMPUTED_VALUE"""),766589657993298)</f>
        <v>766589657993298</v>
      </c>
      <c r="B544" s="127" t="str">
        <f ca="1">IFERROR(__xludf.DUMMYFUNCTION("""COMPUTED_VALUE"""),"120227665559290235")</f>
        <v>120227665559290235</v>
      </c>
      <c r="C544" s="127" t="str">
        <f ca="1">IFERROR(__xludf.DUMMYFUNCTION("""COMPUTED_VALUE"""),"MULTI JASA")</f>
        <v>MULTI JASA</v>
      </c>
      <c r="D544" s="138" t="str">
        <f ca="1">IFERROR(__xludf.DUMMYFUNCTION("""COMPUTED_VALUE"""),"https://wa.me/6282324392716")</f>
        <v>https://wa.me/6282324392716</v>
      </c>
      <c r="E544" s="139" t="str">
        <f ca="1">IFERROR(__xludf.DUMMYFUNCTION("""COMPUTED_VALUE"""),"6282324392716")</f>
        <v>6282324392716</v>
      </c>
      <c r="F544" s="139">
        <f ca="1">IFERROR(__xludf.DUMMYFUNCTION("""COMPUTED_VALUE"""),2170)</f>
        <v>2170</v>
      </c>
      <c r="G544" s="139">
        <f ca="1">IFERROR(__xludf.DUMMYFUNCTION("""COMPUTED_VALUE"""),42634.4)</f>
        <v>42634.400000000001</v>
      </c>
      <c r="H544" s="139">
        <f ca="1">IFERROR(__xludf.DUMMYFUNCTION("""COMPUTED_VALUE"""),3)</f>
        <v>3</v>
      </c>
      <c r="I544" s="140">
        <f ca="1">IFERROR(__xludf.DUMMYFUNCTION("""COMPUTED_VALUE"""),75980)</f>
        <v>75980</v>
      </c>
      <c r="J544" s="141">
        <f ca="1">IFERROR(__xludf.DUMMYFUNCTION("""COMPUTED_VALUE"""),25326.6666666666)</f>
        <v>25326.666666666599</v>
      </c>
      <c r="K544" s="142">
        <f ca="1">IFERROR(__xludf.DUMMYFUNCTION("""COMPUTED_VALUE"""),5.06533333333333)</f>
        <v>5.0653333333333297</v>
      </c>
      <c r="L544" s="143" t="str">
        <f ca="1"/>
        <v>Wiris Variasi</v>
      </c>
      <c r="M544" s="127"/>
      <c r="N544" s="127"/>
      <c r="O544" s="127"/>
      <c r="P544" s="127"/>
      <c r="Q544" s="127"/>
      <c r="R544" s="127"/>
      <c r="S544" s="127"/>
      <c r="T544" s="127"/>
      <c r="U544" s="127"/>
      <c r="V544" s="127"/>
      <c r="W544" s="127"/>
      <c r="X544" s="127"/>
      <c r="Y544" s="127"/>
      <c r="Z544" s="127"/>
      <c r="AA544" s="127"/>
    </row>
    <row r="545" spans="1:27">
      <c r="A545" s="127">
        <f ca="1">IFERROR(__xludf.DUMMYFUNCTION("""COMPUTED_VALUE"""),766589657993298)</f>
        <v>766589657993298</v>
      </c>
      <c r="B545" s="127" t="str">
        <f ca="1">IFERROR(__xludf.DUMMYFUNCTION("""COMPUTED_VALUE"""),"120227705972040235")</f>
        <v>120227705972040235</v>
      </c>
      <c r="C545" s="127" t="str">
        <f ca="1">IFERROR(__xludf.DUMMYFUNCTION("""COMPUTED_VALUE"""),"Berkah Contruction")</f>
        <v>Berkah Contruction</v>
      </c>
      <c r="D545" s="138" t="str">
        <f ca="1">IFERROR(__xludf.DUMMYFUNCTION("""COMPUTED_VALUE"""),"https://wa.me/6283866009989")</f>
        <v>https://wa.me/6283866009989</v>
      </c>
      <c r="E545" s="139" t="str">
        <f ca="1">IFERROR(__xludf.DUMMYFUNCTION("""COMPUTED_VALUE"""),"6283866009989")</f>
        <v>6283866009989</v>
      </c>
      <c r="F545" s="139">
        <f ca="1">IFERROR(__xludf.DUMMYFUNCTION("""COMPUTED_VALUE"""),7992)</f>
        <v>7992</v>
      </c>
      <c r="G545" s="139">
        <f ca="1">IFERROR(__xludf.DUMMYFUNCTION("""COMPUTED_VALUE"""),23519.3846153846)</f>
        <v>23519.384615384599</v>
      </c>
      <c r="H545" s="139">
        <f ca="1">IFERROR(__xludf.DUMMYFUNCTION("""COMPUTED_VALUE"""),9)</f>
        <v>9</v>
      </c>
      <c r="I545" s="140">
        <f ca="1">IFERROR(__xludf.DUMMYFUNCTION("""COMPUTED_VALUE"""),197776)</f>
        <v>197776</v>
      </c>
      <c r="J545" s="141">
        <f ca="1">IFERROR(__xludf.DUMMYFUNCTION("""COMPUTED_VALUE"""),21975.1111111111)</f>
        <v>21975.111111111099</v>
      </c>
      <c r="K545" s="142">
        <f ca="1">IFERROR(__xludf.DUMMYFUNCTION("""COMPUTED_VALUE"""),13.1850666666666)</f>
        <v>13.1850666666666</v>
      </c>
      <c r="L545" s="143" t="str">
        <f ca="1"/>
        <v>Wiris Variasi</v>
      </c>
      <c r="M545" s="127"/>
      <c r="N545" s="127"/>
      <c r="O545" s="127"/>
      <c r="P545" s="127"/>
      <c r="Q545" s="127"/>
      <c r="R545" s="127"/>
      <c r="S545" s="127"/>
      <c r="T545" s="127"/>
      <c r="U545" s="127"/>
      <c r="V545" s="127"/>
      <c r="W545" s="127"/>
      <c r="X545" s="127"/>
      <c r="Y545" s="127"/>
      <c r="Z545" s="127"/>
      <c r="AA545" s="127"/>
    </row>
    <row r="546" spans="1:27">
      <c r="A546" s="127">
        <f ca="1">IFERROR(__xludf.DUMMYFUNCTION("""COMPUTED_VALUE"""),766589657993298)</f>
        <v>766589657993298</v>
      </c>
      <c r="B546" s="127" t="str">
        <f ca="1">IFERROR(__xludf.DUMMYFUNCTION("""COMPUTED_VALUE"""),"120227771574780235")</f>
        <v>120227771574780235</v>
      </c>
      <c r="C546" s="127" t="str">
        <f ca="1">IFERROR(__xludf.DUMMYFUNCTION("""COMPUTED_VALUE"""),"Masudi property")</f>
        <v>Masudi property</v>
      </c>
      <c r="D546" s="138" t="str">
        <f ca="1">IFERROR(__xludf.DUMMYFUNCTION("""COMPUTED_VALUE"""),"https://wa.me/6287877805175")</f>
        <v>https://wa.me/6287877805175</v>
      </c>
      <c r="E546" s="139" t="str">
        <f ca="1">IFERROR(__xludf.DUMMYFUNCTION("""COMPUTED_VALUE"""),"6287877805175")</f>
        <v>6287877805175</v>
      </c>
      <c r="F546" s="139">
        <f ca="1">IFERROR(__xludf.DUMMYFUNCTION("""COMPUTED_VALUE"""),2315)</f>
        <v>2315</v>
      </c>
      <c r="G546" s="139">
        <f ca="1">IFERROR(__xludf.DUMMYFUNCTION("""COMPUTED_VALUE"""),38158.3333333333)</f>
        <v>38158.333333333299</v>
      </c>
      <c r="H546" s="139">
        <f ca="1">IFERROR(__xludf.DUMMYFUNCTION("""COMPUTED_VALUE"""),13)</f>
        <v>13</v>
      </c>
      <c r="I546" s="140">
        <f ca="1">IFERROR(__xludf.DUMMYFUNCTION("""COMPUTED_VALUE"""),93445)</f>
        <v>93445</v>
      </c>
      <c r="J546" s="141">
        <f ca="1">IFERROR(__xludf.DUMMYFUNCTION("""COMPUTED_VALUE"""),7188.07692307692)</f>
        <v>7188.0769230769201</v>
      </c>
      <c r="K546" s="142">
        <f ca="1">IFERROR(__xludf.DUMMYFUNCTION("""COMPUTED_VALUE"""),6.22966666666666)</f>
        <v>6.2296666666666596</v>
      </c>
      <c r="L546" s="143" t="str">
        <f ca="1"/>
        <v>Wiris Variasi</v>
      </c>
      <c r="M546" s="127"/>
      <c r="N546" s="127"/>
      <c r="O546" s="127"/>
      <c r="P546" s="127"/>
      <c r="Q546" s="127"/>
      <c r="R546" s="127"/>
      <c r="S546" s="127"/>
      <c r="T546" s="127"/>
      <c r="U546" s="127"/>
      <c r="V546" s="127"/>
      <c r="W546" s="127"/>
      <c r="X546" s="127"/>
      <c r="Y546" s="127"/>
      <c r="Z546" s="127"/>
      <c r="AA546" s="127"/>
    </row>
    <row r="547" spans="1:27">
      <c r="A547" s="127">
        <f ca="1">IFERROR(__xludf.DUMMYFUNCTION("""COMPUTED_VALUE"""),766589657993298)</f>
        <v>766589657993298</v>
      </c>
      <c r="B547" s="127" t="str">
        <f ca="1">IFERROR(__xludf.DUMMYFUNCTION("""COMPUTED_VALUE"""),"120227852715640235")</f>
        <v>120227852715640235</v>
      </c>
      <c r="C547" s="127" t="str">
        <f ca="1">IFERROR(__xludf.DUMMYFUNCTION("""COMPUTED_VALUE"""),"Bandi Karya")</f>
        <v>Bandi Karya</v>
      </c>
      <c r="D547" s="138" t="str">
        <f ca="1">IFERROR(__xludf.DUMMYFUNCTION("""COMPUTED_VALUE"""),"https://wa.me/6281215851833")</f>
        <v>https://wa.me/6281215851833</v>
      </c>
      <c r="E547" s="139" t="str">
        <f ca="1">IFERROR(__xludf.DUMMYFUNCTION("""COMPUTED_VALUE"""),"6281215851833")</f>
        <v>6281215851833</v>
      </c>
      <c r="F547" s="139">
        <f ca="1">IFERROR(__xludf.DUMMYFUNCTION("""COMPUTED_VALUE"""),12463)</f>
        <v>12463</v>
      </c>
      <c r="G547" s="139">
        <f ca="1">IFERROR(__xludf.DUMMYFUNCTION("""COMPUTED_VALUE"""),34930.8275862069)</f>
        <v>34930.827586206899</v>
      </c>
      <c r="H547" s="139">
        <f ca="1">IFERROR(__xludf.DUMMYFUNCTION("""COMPUTED_VALUE"""),92)</f>
        <v>92</v>
      </c>
      <c r="I547" s="140">
        <f ca="1">IFERROR(__xludf.DUMMYFUNCTION("""COMPUTED_VALUE"""),460650)</f>
        <v>460650</v>
      </c>
      <c r="J547" s="141">
        <f ca="1">IFERROR(__xludf.DUMMYFUNCTION("""COMPUTED_VALUE"""),5007.0652173913)</f>
        <v>5007.0652173913004</v>
      </c>
      <c r="K547" s="142">
        <f ca="1">IFERROR(__xludf.DUMMYFUNCTION("""COMPUTED_VALUE"""),30.71)</f>
        <v>30.71</v>
      </c>
      <c r="L547" s="143" t="str">
        <f ca="1"/>
        <v>Wiris Variasi</v>
      </c>
      <c r="M547" s="127"/>
      <c r="N547" s="127"/>
      <c r="O547" s="127"/>
      <c r="P547" s="127"/>
      <c r="Q547" s="127"/>
      <c r="R547" s="127"/>
      <c r="S547" s="127"/>
      <c r="T547" s="127"/>
      <c r="U547" s="127"/>
      <c r="V547" s="127"/>
      <c r="W547" s="127"/>
      <c r="X547" s="127"/>
      <c r="Y547" s="127"/>
      <c r="Z547" s="127"/>
      <c r="AA547" s="127"/>
    </row>
    <row r="548" spans="1:27">
      <c r="A548" s="127">
        <f ca="1">IFERROR(__xludf.DUMMYFUNCTION("""COMPUTED_VALUE"""),766589657993298)</f>
        <v>766589657993298</v>
      </c>
      <c r="B548" s="127" t="str">
        <f ca="1">IFERROR(__xludf.DUMMYFUNCTION("""COMPUTED_VALUE"""),"120227853313460235")</f>
        <v>120227853313460235</v>
      </c>
      <c r="C548" s="127" t="str">
        <f ca="1">IFERROR(__xludf.DUMMYFUNCTION("""COMPUTED_VALUE"""),"Urban Poin")</f>
        <v>Urban Poin</v>
      </c>
      <c r="D548" s="138" t="str">
        <f ca="1">IFERROR(__xludf.DUMMYFUNCTION("""COMPUTED_VALUE"""),"https://wa.me/6289617461806")</f>
        <v>https://wa.me/6289617461806</v>
      </c>
      <c r="E548" s="139" t="str">
        <f ca="1">IFERROR(__xludf.DUMMYFUNCTION("""COMPUTED_VALUE"""),"6289617461806")</f>
        <v>6289617461806</v>
      </c>
      <c r="F548" s="139">
        <f ca="1">IFERROR(__xludf.DUMMYFUNCTION("""COMPUTED_VALUE"""),7234)</f>
        <v>7234</v>
      </c>
      <c r="G548" s="139">
        <f ca="1">IFERROR(__xludf.DUMMYFUNCTION("""COMPUTED_VALUE"""),18151.5)</f>
        <v>18151.5</v>
      </c>
      <c r="H548" s="139">
        <f ca="1">IFERROR(__xludf.DUMMYFUNCTION("""COMPUTED_VALUE"""),26)</f>
        <v>26</v>
      </c>
      <c r="I548" s="140">
        <f ca="1">IFERROR(__xludf.DUMMYFUNCTION("""COMPUTED_VALUE"""),153086)</f>
        <v>153086</v>
      </c>
      <c r="J548" s="141">
        <f ca="1">IFERROR(__xludf.DUMMYFUNCTION("""COMPUTED_VALUE"""),5887.92307692307)</f>
        <v>5887.9230769230699</v>
      </c>
      <c r="K548" s="142">
        <f ca="1">IFERROR(__xludf.DUMMYFUNCTION("""COMPUTED_VALUE"""),10.2057333333333)</f>
        <v>10.205733333333299</v>
      </c>
      <c r="L548" s="143" t="str">
        <f ca="1"/>
        <v>Wiris Variasi</v>
      </c>
      <c r="M548" s="127"/>
      <c r="N548" s="127"/>
      <c r="O548" s="127"/>
      <c r="P548" s="127"/>
      <c r="Q548" s="127"/>
      <c r="R548" s="127"/>
      <c r="S548" s="127"/>
      <c r="T548" s="127"/>
      <c r="U548" s="127"/>
      <c r="V548" s="127"/>
      <c r="W548" s="127"/>
      <c r="X548" s="127"/>
      <c r="Y548" s="127"/>
      <c r="Z548" s="127"/>
      <c r="AA548" s="127"/>
    </row>
    <row r="549" spans="1:27">
      <c r="A549" s="127">
        <f ca="1">IFERROR(__xludf.DUMMYFUNCTION("""COMPUTED_VALUE"""),766589657993298)</f>
        <v>766589657993298</v>
      </c>
      <c r="B549" s="127" t="str">
        <f ca="1">IFERROR(__xludf.DUMMYFUNCTION("""COMPUTED_VALUE"""),"120227853904900235")</f>
        <v>120227853904900235</v>
      </c>
      <c r="C549" s="127" t="str">
        <f ca="1">IFERROR(__xludf.DUMMYFUNCTION("""COMPUTED_VALUE"""),"cv adam")</f>
        <v>cv adam</v>
      </c>
      <c r="D549" s="138" t="str">
        <f ca="1">IFERROR(__xludf.DUMMYFUNCTION("""COMPUTED_VALUE"""),"https://wa.me/6281283325291")</f>
        <v>https://wa.me/6281283325291</v>
      </c>
      <c r="E549" s="139" t="str">
        <f ca="1">IFERROR(__xludf.DUMMYFUNCTION("""COMPUTED_VALUE"""),"6281283325291")</f>
        <v>6281283325291</v>
      </c>
      <c r="F549" s="139">
        <f ca="1">IFERROR(__xludf.DUMMYFUNCTION("""COMPUTED_VALUE"""),1611)</f>
        <v>1611</v>
      </c>
      <c r="G549" s="139">
        <f ca="1">IFERROR(__xludf.DUMMYFUNCTION("""COMPUTED_VALUE"""),63721.5714285714)</f>
        <v>63721.571428571398</v>
      </c>
      <c r="H549" s="139">
        <f ca="1">IFERROR(__xludf.DUMMYFUNCTION("""COMPUTED_VALUE"""),5)</f>
        <v>5</v>
      </c>
      <c r="I549" s="140">
        <f ca="1">IFERROR(__xludf.DUMMYFUNCTION("""COMPUTED_VALUE"""),108531)</f>
        <v>108531</v>
      </c>
      <c r="J549" s="141">
        <f ca="1">IFERROR(__xludf.DUMMYFUNCTION("""COMPUTED_VALUE"""),21706.2)</f>
        <v>21706.2</v>
      </c>
      <c r="K549" s="142">
        <f ca="1">IFERROR(__xludf.DUMMYFUNCTION("""COMPUTED_VALUE"""),7.2354)</f>
        <v>7.2354000000000003</v>
      </c>
      <c r="L549" s="143" t="str">
        <f ca="1"/>
        <v>Wiris Variasi</v>
      </c>
      <c r="M549" s="127"/>
      <c r="N549" s="127"/>
      <c r="O549" s="127"/>
      <c r="P549" s="127"/>
      <c r="Q549" s="127"/>
      <c r="R549" s="127"/>
      <c r="S549" s="127"/>
      <c r="T549" s="127"/>
      <c r="U549" s="127"/>
      <c r="V549" s="127"/>
      <c r="W549" s="127"/>
      <c r="X549" s="127"/>
      <c r="Y549" s="127"/>
      <c r="Z549" s="127"/>
      <c r="AA549" s="127"/>
    </row>
    <row r="550" spans="1:27">
      <c r="A550" s="127">
        <f ca="1">IFERROR(__xludf.DUMMYFUNCTION("""COMPUTED_VALUE"""),766589657993298)</f>
        <v>766589657993298</v>
      </c>
      <c r="B550" s="127" t="str">
        <f ca="1">IFERROR(__xludf.DUMMYFUNCTION("""COMPUTED_VALUE"""),"120227854419480235")</f>
        <v>120227854419480235</v>
      </c>
      <c r="C550" s="127" t="str">
        <f ca="1">IFERROR(__xludf.DUMMYFUNCTION("""COMPUTED_VALUE"""),"Rizky jaya")</f>
        <v>Rizky jaya</v>
      </c>
      <c r="D550" s="138" t="str">
        <f ca="1">IFERROR(__xludf.DUMMYFUNCTION("""COMPUTED_VALUE"""),"https://wa.me/6281233044823")</f>
        <v>https://wa.me/6281233044823</v>
      </c>
      <c r="E550" s="139" t="str">
        <f ca="1">IFERROR(__xludf.DUMMYFUNCTION("""COMPUTED_VALUE"""),"6281233044823")</f>
        <v>6281233044823</v>
      </c>
      <c r="F550" s="139">
        <f ca="1">IFERROR(__xludf.DUMMYFUNCTION("""COMPUTED_VALUE"""),3218)</f>
        <v>3218</v>
      </c>
      <c r="G550" s="139">
        <f ca="1">IFERROR(__xludf.DUMMYFUNCTION("""COMPUTED_VALUE"""),27933.1428571428)</f>
        <v>27933.1428571428</v>
      </c>
      <c r="H550" s="139">
        <f ca="1">IFERROR(__xludf.DUMMYFUNCTION("""COMPUTED_VALUE"""),6)</f>
        <v>6</v>
      </c>
      <c r="I550" s="140">
        <f ca="1">IFERROR(__xludf.DUMMYFUNCTION("""COMPUTED_VALUE"""),99319)</f>
        <v>99319</v>
      </c>
      <c r="J550" s="141">
        <f ca="1">IFERROR(__xludf.DUMMYFUNCTION("""COMPUTED_VALUE"""),16553.1666666666)</f>
        <v>16553.166666666599</v>
      </c>
      <c r="K550" s="142">
        <f ca="1">IFERROR(__xludf.DUMMYFUNCTION("""COMPUTED_VALUE"""),6.62126666666666)</f>
        <v>6.62126666666666</v>
      </c>
      <c r="L550" s="143" t="str">
        <f ca="1"/>
        <v>Wiris Variasi</v>
      </c>
      <c r="M550" s="127"/>
      <c r="N550" s="127"/>
      <c r="O550" s="127"/>
      <c r="P550" s="127"/>
      <c r="Q550" s="127"/>
      <c r="R550" s="127"/>
      <c r="S550" s="127"/>
      <c r="T550" s="127"/>
      <c r="U550" s="127"/>
      <c r="V550" s="127"/>
      <c r="W550" s="127"/>
      <c r="X550" s="127"/>
      <c r="Y550" s="127"/>
      <c r="Z550" s="127"/>
      <c r="AA550" s="127"/>
    </row>
    <row r="551" spans="1:27">
      <c r="A551" s="127">
        <f ca="1">IFERROR(__xludf.DUMMYFUNCTION("""COMPUTED_VALUE"""),766589657993298)</f>
        <v>766589657993298</v>
      </c>
      <c r="B551" s="127" t="str">
        <f ca="1">IFERROR(__xludf.DUMMYFUNCTION("""COMPUTED_VALUE"""),"120227857030580235")</f>
        <v>120227857030580235</v>
      </c>
      <c r="C551" s="127" t="str">
        <f ca="1">IFERROR(__xludf.DUMMYFUNCTION("""COMPUTED_VALUE"""),"Gudang Granit")</f>
        <v>Gudang Granit</v>
      </c>
      <c r="D551" s="138" t="str">
        <f ca="1">IFERROR(__xludf.DUMMYFUNCTION("""COMPUTED_VALUE"""),"https://wa.me/6281230995752")</f>
        <v>https://wa.me/6281230995752</v>
      </c>
      <c r="E551" s="139" t="str">
        <f ca="1">IFERROR(__xludf.DUMMYFUNCTION("""COMPUTED_VALUE"""),"6281230995752")</f>
        <v>6281230995752</v>
      </c>
      <c r="F551" s="139">
        <f ca="1">IFERROR(__xludf.DUMMYFUNCTION("""COMPUTED_VALUE"""),11238)</f>
        <v>11238</v>
      </c>
      <c r="G551" s="139">
        <f ca="1">IFERROR(__xludf.DUMMYFUNCTION("""COMPUTED_VALUE"""),16757.8461538461)</f>
        <v>16757.846153846102</v>
      </c>
      <c r="H551" s="139">
        <f ca="1">IFERROR(__xludf.DUMMYFUNCTION("""COMPUTED_VALUE"""),68)</f>
        <v>68</v>
      </c>
      <c r="I551" s="140">
        <f ca="1">IFERROR(__xludf.DUMMYFUNCTION("""COMPUTED_VALUE"""),201221)</f>
        <v>201221</v>
      </c>
      <c r="J551" s="141">
        <f ca="1">IFERROR(__xludf.DUMMYFUNCTION("""COMPUTED_VALUE"""),2959.13235294117)</f>
        <v>2959.1323529411702</v>
      </c>
      <c r="K551" s="142">
        <f ca="1">IFERROR(__xludf.DUMMYFUNCTION("""COMPUTED_VALUE"""),13.4147333333333)</f>
        <v>13.414733333333301</v>
      </c>
      <c r="L551" s="143" t="str">
        <f ca="1"/>
        <v>Wiris Variasi</v>
      </c>
      <c r="M551" s="127"/>
      <c r="N551" s="127"/>
      <c r="O551" s="127"/>
      <c r="P551" s="127"/>
      <c r="Q551" s="127"/>
      <c r="R551" s="127"/>
      <c r="S551" s="127"/>
      <c r="T551" s="127"/>
      <c r="U551" s="127"/>
      <c r="V551" s="127"/>
      <c r="W551" s="127"/>
      <c r="X551" s="127"/>
      <c r="Y551" s="127"/>
      <c r="Z551" s="127"/>
      <c r="AA551" s="127"/>
    </row>
    <row r="552" spans="1:27">
      <c r="A552" s="127">
        <f ca="1">IFERROR(__xludf.DUMMYFUNCTION("""COMPUTED_VALUE"""),766589657993298)</f>
        <v>766589657993298</v>
      </c>
      <c r="B552" s="127" t="str">
        <f ca="1">IFERROR(__xludf.DUMMYFUNCTION("""COMPUTED_VALUE"""),"120227925985760235")</f>
        <v>120227925985760235</v>
      </c>
      <c r="C552" s="127" t="str">
        <f ca="1">IFERROR(__xludf.DUMMYFUNCTION("""COMPUTED_VALUE"""),"CV cahaya")</f>
        <v>CV cahaya</v>
      </c>
      <c r="D552" s="138" t="str">
        <f ca="1">IFERROR(__xludf.DUMMYFUNCTION("""COMPUTED_VALUE"""),"https://wa.me/6283151330372")</f>
        <v>https://wa.me/6283151330372</v>
      </c>
      <c r="E552" s="139" t="str">
        <f ca="1">IFERROR(__xludf.DUMMYFUNCTION("""COMPUTED_VALUE"""),"6283151330372")</f>
        <v>6283151330372</v>
      </c>
      <c r="F552" s="139">
        <f ca="1">IFERROR(__xludf.DUMMYFUNCTION("""COMPUTED_VALUE"""),3118)</f>
        <v>3118</v>
      </c>
      <c r="G552" s="139">
        <f ca="1">IFERROR(__xludf.DUMMYFUNCTION("""COMPUTED_VALUE"""),28991.1428571428)</f>
        <v>28991.1428571428</v>
      </c>
      <c r="H552" s="139">
        <f ca="1">IFERROR(__xludf.DUMMYFUNCTION("""COMPUTED_VALUE"""),18)</f>
        <v>18</v>
      </c>
      <c r="I552" s="140">
        <f ca="1">IFERROR(__xludf.DUMMYFUNCTION("""COMPUTED_VALUE"""),107960)</f>
        <v>107960</v>
      </c>
      <c r="J552" s="141">
        <f ca="1">IFERROR(__xludf.DUMMYFUNCTION("""COMPUTED_VALUE"""),5997.77777777777)</f>
        <v>5997.7777777777701</v>
      </c>
      <c r="K552" s="142">
        <f ca="1">IFERROR(__xludf.DUMMYFUNCTION("""COMPUTED_VALUE"""),7.19733333333333)</f>
        <v>7.1973333333333303</v>
      </c>
      <c r="L552" s="143" t="str">
        <f ca="1"/>
        <v>Wiris Variasi</v>
      </c>
      <c r="M552" s="127"/>
      <c r="N552" s="127"/>
      <c r="O552" s="127"/>
      <c r="P552" s="127"/>
      <c r="Q552" s="127"/>
      <c r="R552" s="127"/>
      <c r="S552" s="127"/>
      <c r="T552" s="127"/>
      <c r="U552" s="127"/>
      <c r="V552" s="127"/>
      <c r="W552" s="127"/>
      <c r="X552" s="127"/>
      <c r="Y552" s="127"/>
      <c r="Z552" s="127"/>
      <c r="AA552" s="127"/>
    </row>
    <row r="553" spans="1:27">
      <c r="A553" s="127">
        <f ca="1">IFERROR(__xludf.DUMMYFUNCTION("""COMPUTED_VALUE"""),766589657993298)</f>
        <v>766589657993298</v>
      </c>
      <c r="B553" s="127" t="str">
        <f ca="1">IFERROR(__xludf.DUMMYFUNCTION("""COMPUTED_VALUE"""),"120227926378210235")</f>
        <v>120227926378210235</v>
      </c>
      <c r="C553" s="127" t="str">
        <f ca="1">IFERROR(__xludf.DUMMYFUNCTION("""COMPUTED_VALUE"""),"Berkat Property77")</f>
        <v>Berkat Property77</v>
      </c>
      <c r="D553" s="138" t="str">
        <f ca="1">IFERROR(__xludf.DUMMYFUNCTION("""COMPUTED_VALUE"""),"https://wa.me/6282183115806")</f>
        <v>https://wa.me/6282183115806</v>
      </c>
      <c r="E553" s="139" t="str">
        <f ca="1">IFERROR(__xludf.DUMMYFUNCTION("""COMPUTED_VALUE"""),"6282183115806")</f>
        <v>6282183115806</v>
      </c>
      <c r="F553" s="139">
        <f ca="1">IFERROR(__xludf.DUMMYFUNCTION("""COMPUTED_VALUE"""),21371)</f>
        <v>21371</v>
      </c>
      <c r="G553" s="139">
        <f ca="1">IFERROR(__xludf.DUMMYFUNCTION("""COMPUTED_VALUE"""),15643.1739130434)</f>
        <v>15643.1739130434</v>
      </c>
      <c r="H553" s="139">
        <f ca="1">IFERROR(__xludf.DUMMYFUNCTION("""COMPUTED_VALUE"""),68)</f>
        <v>68</v>
      </c>
      <c r="I553" s="140">
        <f ca="1">IFERROR(__xludf.DUMMYFUNCTION("""COMPUTED_VALUE"""),349390)</f>
        <v>349390</v>
      </c>
      <c r="J553" s="141">
        <f ca="1">IFERROR(__xludf.DUMMYFUNCTION("""COMPUTED_VALUE"""),5138.08823529411)</f>
        <v>5138.0882352941098</v>
      </c>
      <c r="K553" s="142">
        <f ca="1">IFERROR(__xludf.DUMMYFUNCTION("""COMPUTED_VALUE"""),23.2926666666666)</f>
        <v>23.292666666666602</v>
      </c>
      <c r="L553" s="143" t="str">
        <f ca="1"/>
        <v>Wiris Variasi</v>
      </c>
      <c r="M553" s="127"/>
      <c r="N553" s="127"/>
      <c r="O553" s="127"/>
      <c r="P553" s="127"/>
      <c r="Q553" s="127"/>
      <c r="R553" s="127"/>
      <c r="S553" s="127"/>
      <c r="T553" s="127"/>
      <c r="U553" s="127"/>
      <c r="V553" s="127"/>
      <c r="W553" s="127"/>
      <c r="X553" s="127"/>
      <c r="Y553" s="127"/>
      <c r="Z553" s="127"/>
      <c r="AA553" s="127"/>
    </row>
    <row r="554" spans="1:27">
      <c r="A554" s="127">
        <f ca="1">IFERROR(__xludf.DUMMYFUNCTION("""COMPUTED_VALUE"""),766589657993298)</f>
        <v>766589657993298</v>
      </c>
      <c r="B554" s="127" t="str">
        <f ca="1">IFERROR(__xludf.DUMMYFUNCTION("""COMPUTED_VALUE"""),"120227926808950235")</f>
        <v>120227926808950235</v>
      </c>
      <c r="C554" s="127" t="str">
        <f ca="1">IFERROR(__xludf.DUMMYFUNCTION("""COMPUTED_VALUE"""),"Norma Property")</f>
        <v>Norma Property</v>
      </c>
      <c r="D554" s="138" t="str">
        <f ca="1">IFERROR(__xludf.DUMMYFUNCTION("""COMPUTED_VALUE"""),"https://wa.me/6281514999073")</f>
        <v>https://wa.me/6281514999073</v>
      </c>
      <c r="E554" s="139" t="str">
        <f ca="1">IFERROR(__xludf.DUMMYFUNCTION("""COMPUTED_VALUE"""),"6281514999073")</f>
        <v>6281514999073</v>
      </c>
      <c r="F554" s="139">
        <f ca="1">IFERROR(__xludf.DUMMYFUNCTION("""COMPUTED_VALUE"""),2747)</f>
        <v>2747</v>
      </c>
      <c r="G554" s="139">
        <f ca="1">IFERROR(__xludf.DUMMYFUNCTION("""COMPUTED_VALUE"""),36853)</f>
        <v>36853</v>
      </c>
      <c r="H554" s="139">
        <f ca="1">IFERROR(__xludf.DUMMYFUNCTION("""COMPUTED_VALUE"""),24)</f>
        <v>24</v>
      </c>
      <c r="I554" s="140">
        <f ca="1">IFERROR(__xludf.DUMMYFUNCTION("""COMPUTED_VALUE"""),107607)</f>
        <v>107607</v>
      </c>
      <c r="J554" s="141">
        <f ca="1">IFERROR(__xludf.DUMMYFUNCTION("""COMPUTED_VALUE"""),4483.625)</f>
        <v>4483.625</v>
      </c>
      <c r="K554" s="142">
        <f ca="1">IFERROR(__xludf.DUMMYFUNCTION("""COMPUTED_VALUE"""),7.1738)</f>
        <v>7.1738</v>
      </c>
      <c r="L554" s="143" t="str">
        <f ca="1"/>
        <v>Wiris Variasi</v>
      </c>
      <c r="M554" s="127"/>
      <c r="N554" s="127"/>
      <c r="O554" s="127"/>
      <c r="P554" s="127"/>
      <c r="Q554" s="127"/>
      <c r="R554" s="127"/>
      <c r="S554" s="127"/>
      <c r="T554" s="127"/>
      <c r="U554" s="127"/>
      <c r="V554" s="127"/>
      <c r="W554" s="127"/>
      <c r="X554" s="127"/>
      <c r="Y554" s="127"/>
      <c r="Z554" s="127"/>
      <c r="AA554" s="127"/>
    </row>
    <row r="555" spans="1:27">
      <c r="A555" s="127">
        <f ca="1">IFERROR(__xludf.DUMMYFUNCTION("""COMPUTED_VALUE"""),766589657993298)</f>
        <v>766589657993298</v>
      </c>
      <c r="B555" s="127" t="str">
        <f ca="1">IFERROR(__xludf.DUMMYFUNCTION("""COMPUTED_VALUE"""),"120228014435350235")</f>
        <v>120228014435350235</v>
      </c>
      <c r="C555" s="127" t="str">
        <f ca="1">IFERROR(__xludf.DUMMYFUNCTION("""COMPUTED_VALUE"""),"zada karya")</f>
        <v>zada karya</v>
      </c>
      <c r="D555" s="138" t="str">
        <f ca="1">IFERROR(__xludf.DUMMYFUNCTION("""COMPUTED_VALUE"""),"https://wa.me/6283135590465")</f>
        <v>https://wa.me/6283135590465</v>
      </c>
      <c r="E555" s="139" t="str">
        <f ca="1">IFERROR(__xludf.DUMMYFUNCTION("""COMPUTED_VALUE"""),"6283135590465")</f>
        <v>6283135590465</v>
      </c>
      <c r="F555" s="139">
        <f ca="1">IFERROR(__xludf.DUMMYFUNCTION("""COMPUTED_VALUE"""),3067)</f>
        <v>3067</v>
      </c>
      <c r="G555" s="139">
        <f ca="1">IFERROR(__xludf.DUMMYFUNCTION("""COMPUTED_VALUE"""),32333.625)</f>
        <v>32333.625</v>
      </c>
      <c r="H555" s="139">
        <f ca="1">IFERROR(__xludf.DUMMYFUNCTION("""COMPUTED_VALUE"""),4)</f>
        <v>4</v>
      </c>
      <c r="I555" s="140">
        <f ca="1">IFERROR(__xludf.DUMMYFUNCTION("""COMPUTED_VALUE"""),122834)</f>
        <v>122834</v>
      </c>
      <c r="J555" s="141">
        <f ca="1">IFERROR(__xludf.DUMMYFUNCTION("""COMPUTED_VALUE"""),30708.5)</f>
        <v>30708.5</v>
      </c>
      <c r="K555" s="142">
        <f ca="1">IFERROR(__xludf.DUMMYFUNCTION("""COMPUTED_VALUE"""),8.18893333333333)</f>
        <v>8.1889333333333294</v>
      </c>
      <c r="L555" s="143" t="str">
        <f ca="1"/>
        <v>Wiris Variasi</v>
      </c>
      <c r="M555" s="127"/>
      <c r="N555" s="127"/>
      <c r="O555" s="127"/>
      <c r="P555" s="127"/>
      <c r="Q555" s="127"/>
      <c r="R555" s="127"/>
      <c r="S555" s="127"/>
      <c r="T555" s="127"/>
      <c r="U555" s="127"/>
      <c r="V555" s="127"/>
      <c r="W555" s="127"/>
      <c r="X555" s="127"/>
      <c r="Y555" s="127"/>
      <c r="Z555" s="127"/>
      <c r="AA555" s="127"/>
    </row>
    <row r="556" spans="1:27">
      <c r="A556" s="127">
        <f ca="1">IFERROR(__xludf.DUMMYFUNCTION("""COMPUTED_VALUE"""),766589657993298)</f>
        <v>766589657993298</v>
      </c>
      <c r="B556" s="127" t="str">
        <f ca="1">IFERROR(__xludf.DUMMYFUNCTION("""COMPUTED_VALUE"""),"120228074309660235")</f>
        <v>120228074309660235</v>
      </c>
      <c r="C556" s="127" t="str">
        <f ca="1">IFERROR(__xludf.DUMMYFUNCTION("""COMPUTED_VALUE"""),"Jaya Lasindo")</f>
        <v>Jaya Lasindo</v>
      </c>
      <c r="D556" s="138" t="str">
        <f ca="1">IFERROR(__xludf.DUMMYFUNCTION("""COMPUTED_VALUE"""),"https://wa.me/6281383899119")</f>
        <v>https://wa.me/6281383899119</v>
      </c>
      <c r="E556" s="139" t="str">
        <f ca="1">IFERROR(__xludf.DUMMYFUNCTION("""COMPUTED_VALUE"""),"6281383899119")</f>
        <v>6281383899119</v>
      </c>
      <c r="F556" s="139">
        <f ca="1">IFERROR(__xludf.DUMMYFUNCTION("""COMPUTED_VALUE"""),5298)</f>
        <v>5298</v>
      </c>
      <c r="G556" s="139">
        <f ca="1">IFERROR(__xludf.DUMMYFUNCTION("""COMPUTED_VALUE"""),21170)</f>
        <v>21170</v>
      </c>
      <c r="H556" s="139">
        <f ca="1">IFERROR(__xludf.DUMMYFUNCTION("""COMPUTED_VALUE"""),11)</f>
        <v>11</v>
      </c>
      <c r="I556" s="140">
        <f ca="1">IFERROR(__xludf.DUMMYFUNCTION("""COMPUTED_VALUE"""),122624)</f>
        <v>122624</v>
      </c>
      <c r="J556" s="141">
        <f ca="1">IFERROR(__xludf.DUMMYFUNCTION("""COMPUTED_VALUE"""),11147.6363636363)</f>
        <v>11147.6363636363</v>
      </c>
      <c r="K556" s="142">
        <f ca="1">IFERROR(__xludf.DUMMYFUNCTION("""COMPUTED_VALUE"""),8.17493333333333)</f>
        <v>8.1749333333333301</v>
      </c>
      <c r="L556" s="143" t="str">
        <f ca="1"/>
        <v>Wiris Variasi</v>
      </c>
      <c r="M556" s="127"/>
      <c r="N556" s="127"/>
      <c r="O556" s="127"/>
      <c r="P556" s="127"/>
      <c r="Q556" s="127"/>
      <c r="R556" s="127"/>
      <c r="S556" s="127"/>
      <c r="T556" s="127"/>
      <c r="U556" s="127"/>
      <c r="V556" s="127"/>
      <c r="W556" s="127"/>
      <c r="X556" s="127"/>
      <c r="Y556" s="127"/>
      <c r="Z556" s="127"/>
      <c r="AA556" s="127"/>
    </row>
    <row r="557" spans="1:27">
      <c r="A557" s="127">
        <f ca="1">IFERROR(__xludf.DUMMYFUNCTION("""COMPUTED_VALUE"""),766589657993298)</f>
        <v>766589657993298</v>
      </c>
      <c r="B557" s="127" t="str">
        <f ca="1">IFERROR(__xludf.DUMMYFUNCTION("""COMPUTED_VALUE"""),"120228082065700235")</f>
        <v>120228082065700235</v>
      </c>
      <c r="C557" s="127" t="str">
        <f ca="1">IFERROR(__xludf.DUMMYFUNCTION("""COMPUTED_VALUE"""),"Antoni kontruksi")</f>
        <v>Antoni kontruksi</v>
      </c>
      <c r="D557" s="138" t="str">
        <f ca="1">IFERROR(__xludf.DUMMYFUNCTION("""COMPUTED_VALUE"""),"https://wa.me/6281383434602")</f>
        <v>https://wa.me/6281383434602</v>
      </c>
      <c r="E557" s="139" t="str">
        <f ca="1">IFERROR(__xludf.DUMMYFUNCTION("""COMPUTED_VALUE"""),"6281383434602")</f>
        <v>6281383434602</v>
      </c>
      <c r="F557" s="139">
        <f ca="1">IFERROR(__xludf.DUMMYFUNCTION("""COMPUTED_VALUE"""),3546)</f>
        <v>3546</v>
      </c>
      <c r="G557" s="139">
        <f ca="1">IFERROR(__xludf.DUMMYFUNCTION("""COMPUTED_VALUE"""),33753.875)</f>
        <v>33753.875</v>
      </c>
      <c r="H557" s="139">
        <f ca="1">IFERROR(__xludf.DUMMYFUNCTION("""COMPUTED_VALUE"""),9)</f>
        <v>9</v>
      </c>
      <c r="I557" s="140">
        <f ca="1">IFERROR(__xludf.DUMMYFUNCTION("""COMPUTED_VALUE"""),124209)</f>
        <v>124209</v>
      </c>
      <c r="J557" s="141">
        <f ca="1">IFERROR(__xludf.DUMMYFUNCTION("""COMPUTED_VALUE"""),13801)</f>
        <v>13801</v>
      </c>
      <c r="K557" s="142">
        <f ca="1">IFERROR(__xludf.DUMMYFUNCTION("""COMPUTED_VALUE"""),8.2806)</f>
        <v>8.2805999999999997</v>
      </c>
      <c r="L557" s="143" t="str">
        <f ca="1"/>
        <v>Wiris Variasi</v>
      </c>
      <c r="M557" s="127"/>
      <c r="N557" s="127"/>
      <c r="O557" s="127"/>
      <c r="P557" s="127"/>
      <c r="Q557" s="127"/>
      <c r="R557" s="127"/>
      <c r="S557" s="127"/>
      <c r="T557" s="127"/>
      <c r="U557" s="127"/>
      <c r="V557" s="127"/>
      <c r="W557" s="127"/>
      <c r="X557" s="127"/>
      <c r="Y557" s="127"/>
      <c r="Z557" s="127"/>
      <c r="AA557" s="127"/>
    </row>
    <row r="558" spans="1:27">
      <c r="A558" s="127">
        <f ca="1">IFERROR(__xludf.DUMMYFUNCTION("""COMPUTED_VALUE"""),766589657993298)</f>
        <v>766589657993298</v>
      </c>
      <c r="B558" s="127" t="str">
        <f ca="1">IFERROR(__xludf.DUMMYFUNCTION("""COMPUTED_VALUE"""),"120228145715320235")</f>
        <v>120228145715320235</v>
      </c>
      <c r="C558" s="127" t="str">
        <f ca="1">IFERROR(__xludf.DUMMYFUNCTION("""COMPUTED_VALUE"""),"PT Cahaya")</f>
        <v>PT Cahaya</v>
      </c>
      <c r="D558" s="138" t="str">
        <f ca="1">IFERROR(__xludf.DUMMYFUNCTION("""COMPUTED_VALUE"""),"https://wa.me/6281293309300")</f>
        <v>https://wa.me/6281293309300</v>
      </c>
      <c r="E558" s="139" t="str">
        <f ca="1">IFERROR(__xludf.DUMMYFUNCTION("""COMPUTED_VALUE"""),"6281293309300")</f>
        <v>6281293309300</v>
      </c>
      <c r="F558" s="139">
        <f ca="1">IFERROR(__xludf.DUMMYFUNCTION("""COMPUTED_VALUE"""),1361)</f>
        <v>1361</v>
      </c>
      <c r="G558" s="139">
        <f ca="1">IFERROR(__xludf.DUMMYFUNCTION("""COMPUTED_VALUE"""),68477.2857142857)</f>
        <v>68477.285714285696</v>
      </c>
      <c r="H558" s="139">
        <f ca="1">IFERROR(__xludf.DUMMYFUNCTION("""COMPUTED_VALUE"""),8)</f>
        <v>8</v>
      </c>
      <c r="I558" s="140">
        <f ca="1">IFERROR(__xludf.DUMMYFUNCTION("""COMPUTED_VALUE"""),106371)</f>
        <v>106371</v>
      </c>
      <c r="J558" s="141">
        <f ca="1">IFERROR(__xludf.DUMMYFUNCTION("""COMPUTED_VALUE"""),13296.375)</f>
        <v>13296.375</v>
      </c>
      <c r="K558" s="142">
        <f ca="1">IFERROR(__xludf.DUMMYFUNCTION("""COMPUTED_VALUE"""),7.0914)</f>
        <v>7.0914000000000001</v>
      </c>
      <c r="L558" s="143" t="str">
        <f ca="1"/>
        <v>Wiris Variasi</v>
      </c>
      <c r="M558" s="127"/>
      <c r="N558" s="127"/>
      <c r="O558" s="127"/>
      <c r="P558" s="127"/>
      <c r="Q558" s="127"/>
      <c r="R558" s="127"/>
      <c r="S558" s="127"/>
      <c r="T558" s="127"/>
      <c r="U558" s="127"/>
      <c r="V558" s="127"/>
      <c r="W558" s="127"/>
      <c r="X558" s="127"/>
      <c r="Y558" s="127"/>
      <c r="Z558" s="127"/>
      <c r="AA558" s="127"/>
    </row>
    <row r="559" spans="1:27">
      <c r="A559" s="127">
        <f ca="1">IFERROR(__xludf.DUMMYFUNCTION("""COMPUTED_VALUE"""),766589657993298)</f>
        <v>766589657993298</v>
      </c>
      <c r="B559" s="127" t="str">
        <f ca="1">IFERROR(__xludf.DUMMYFUNCTION("""COMPUTED_VALUE"""),"120228214040310235")</f>
        <v>120228214040310235</v>
      </c>
      <c r="C559" s="127" t="str">
        <f ca="1">IFERROR(__xludf.DUMMYFUNCTION("""COMPUTED_VALUE"""),"Doni PVC")</f>
        <v>Doni PVC</v>
      </c>
      <c r="D559" s="138" t="str">
        <f ca="1">IFERROR(__xludf.DUMMYFUNCTION("""COMPUTED_VALUE"""),"https://wa.me/6281374115054")</f>
        <v>https://wa.me/6281374115054</v>
      </c>
      <c r="E559" s="139" t="str">
        <f ca="1">IFERROR(__xludf.DUMMYFUNCTION("""COMPUTED_VALUE"""),"6281374115054")</f>
        <v>6281374115054</v>
      </c>
      <c r="F559" s="139">
        <f ca="1">IFERROR(__xludf.DUMMYFUNCTION("""COMPUTED_VALUE"""),4047)</f>
        <v>4047</v>
      </c>
      <c r="G559" s="139">
        <f ca="1">IFERROR(__xludf.DUMMYFUNCTION("""COMPUTED_VALUE"""),19378.6666666666)</f>
        <v>19378.666666666599</v>
      </c>
      <c r="H559" s="139">
        <f ca="1">IFERROR(__xludf.DUMMYFUNCTION("""COMPUTED_VALUE"""),6)</f>
        <v>6</v>
      </c>
      <c r="I559" s="140">
        <f ca="1">IFERROR(__xludf.DUMMYFUNCTION("""COMPUTED_VALUE"""),91828)</f>
        <v>91828</v>
      </c>
      <c r="J559" s="141">
        <f ca="1">IFERROR(__xludf.DUMMYFUNCTION("""COMPUTED_VALUE"""),15304.6666666666)</f>
        <v>15304.666666666601</v>
      </c>
      <c r="K559" s="142">
        <f ca="1">IFERROR(__xludf.DUMMYFUNCTION("""COMPUTED_VALUE"""),6.12186666666666)</f>
        <v>6.1218666666666604</v>
      </c>
      <c r="L559" s="143" t="str">
        <f ca="1"/>
        <v>Wiris Variasi</v>
      </c>
      <c r="M559" s="127"/>
      <c r="N559" s="127"/>
      <c r="O559" s="127"/>
      <c r="P559" s="127"/>
      <c r="Q559" s="127"/>
      <c r="R559" s="127"/>
      <c r="S559" s="127"/>
      <c r="T559" s="127"/>
      <c r="U559" s="127"/>
      <c r="V559" s="127"/>
      <c r="W559" s="127"/>
      <c r="X559" s="127"/>
      <c r="Y559" s="127"/>
      <c r="Z559" s="127"/>
      <c r="AA559" s="127"/>
    </row>
    <row r="560" spans="1:27">
      <c r="A560" s="127">
        <f ca="1">IFERROR(__xludf.DUMMYFUNCTION("""COMPUTED_VALUE"""),766589657993298)</f>
        <v>766589657993298</v>
      </c>
      <c r="B560" s="127" t="str">
        <f ca="1">IFERROR(__xludf.DUMMYFUNCTION("""COMPUTED_VALUE"""),"120228286701160235")</f>
        <v>120228286701160235</v>
      </c>
      <c r="C560" s="127" t="str">
        <f ca="1">IFERROR(__xludf.DUMMYFUNCTION("""COMPUTED_VALUE"""),"HomelyNest")</f>
        <v>HomelyNest</v>
      </c>
      <c r="D560" s="138" t="str">
        <f ca="1">IFERROR(__xludf.DUMMYFUNCTION("""COMPUTED_VALUE"""),"https://wa.me/6285167182620")</f>
        <v>https://wa.me/6285167182620</v>
      </c>
      <c r="E560" s="139" t="str">
        <f ca="1">IFERROR(__xludf.DUMMYFUNCTION("""COMPUTED_VALUE"""),"6285167182620")</f>
        <v>6285167182620</v>
      </c>
      <c r="F560" s="139">
        <f ca="1">IFERROR(__xludf.DUMMYFUNCTION("""COMPUTED_VALUE"""),2120)</f>
        <v>2120</v>
      </c>
      <c r="G560" s="139">
        <f ca="1">IFERROR(__xludf.DUMMYFUNCTION("""COMPUTED_VALUE"""),43055.6666666666)</f>
        <v>43055.666666666599</v>
      </c>
      <c r="H560" s="139">
        <f ca="1">IFERROR(__xludf.DUMMYFUNCTION("""COMPUTED_VALUE"""),10)</f>
        <v>10</v>
      </c>
      <c r="I560" s="140">
        <f ca="1">IFERROR(__xludf.DUMMYFUNCTION("""COMPUTED_VALUE"""),92809)</f>
        <v>92809</v>
      </c>
      <c r="J560" s="141">
        <f ca="1">IFERROR(__xludf.DUMMYFUNCTION("""COMPUTED_VALUE"""),9280.9)</f>
        <v>9280.9</v>
      </c>
      <c r="K560" s="142">
        <f ca="1">IFERROR(__xludf.DUMMYFUNCTION("""COMPUTED_VALUE"""),6.18726666666666)</f>
        <v>6.1872666666666598</v>
      </c>
      <c r="L560" s="143" t="str">
        <f ca="1"/>
        <v>Wiris Variasi</v>
      </c>
      <c r="M560" s="127"/>
      <c r="N560" s="127"/>
      <c r="O560" s="127"/>
      <c r="P560" s="127"/>
      <c r="Q560" s="127"/>
      <c r="R560" s="127"/>
      <c r="S560" s="127"/>
      <c r="T560" s="127"/>
      <c r="U560" s="127"/>
      <c r="V560" s="127"/>
      <c r="W560" s="127"/>
      <c r="X560" s="127"/>
      <c r="Y560" s="127"/>
      <c r="Z560" s="127"/>
      <c r="AA560" s="127"/>
    </row>
    <row r="561" spans="1:27">
      <c r="A561" s="127">
        <f ca="1">IFERROR(__xludf.DUMMYFUNCTION("""COMPUTED_VALUE"""),766589657993298)</f>
        <v>766589657993298</v>
      </c>
      <c r="B561" s="127" t="str">
        <f ca="1">IFERROR(__xludf.DUMMYFUNCTION("""COMPUTED_VALUE"""),"120228297236490235")</f>
        <v>120228297236490235</v>
      </c>
      <c r="C561" s="127" t="str">
        <f ca="1">IFERROR(__xludf.DUMMYFUNCTION("""COMPUTED_VALUE"""),"MULIA KUBAH")</f>
        <v>MULIA KUBAH</v>
      </c>
      <c r="D561" s="138" t="str">
        <f ca="1">IFERROR(__xludf.DUMMYFUNCTION("""COMPUTED_VALUE"""),"https://wa.me/6282365004117")</f>
        <v>https://wa.me/6282365004117</v>
      </c>
      <c r="E561" s="139" t="str">
        <f ca="1">IFERROR(__xludf.DUMMYFUNCTION("""COMPUTED_VALUE"""),"6282365004117")</f>
        <v>6282365004117</v>
      </c>
      <c r="F561" s="139">
        <f ca="1">IFERROR(__xludf.DUMMYFUNCTION("""COMPUTED_VALUE"""),4157)</f>
        <v>4157</v>
      </c>
      <c r="G561" s="139">
        <f ca="1">IFERROR(__xludf.DUMMYFUNCTION("""COMPUTED_VALUE"""),20235.8333333333)</f>
        <v>20235.833333333299</v>
      </c>
      <c r="H561" s="139">
        <f ca="1">IFERROR(__xludf.DUMMYFUNCTION("""COMPUTED_VALUE"""),11)</f>
        <v>11</v>
      </c>
      <c r="I561" s="140">
        <f ca="1">IFERROR(__xludf.DUMMYFUNCTION("""COMPUTED_VALUE"""),92626)</f>
        <v>92626</v>
      </c>
      <c r="J561" s="141">
        <f ca="1">IFERROR(__xludf.DUMMYFUNCTION("""COMPUTED_VALUE"""),8420.54545454545)</f>
        <v>8420.5454545454504</v>
      </c>
      <c r="K561" s="142">
        <f ca="1">IFERROR(__xludf.DUMMYFUNCTION("""COMPUTED_VALUE"""),6.17506666666666)</f>
        <v>6.1750666666666598</v>
      </c>
      <c r="L561" s="143" t="str">
        <f ca="1"/>
        <v>Wiris Variasi</v>
      </c>
      <c r="M561" s="127"/>
      <c r="N561" s="127"/>
      <c r="O561" s="127"/>
      <c r="P561" s="127"/>
      <c r="Q561" s="127"/>
      <c r="R561" s="127"/>
      <c r="S561" s="127"/>
      <c r="T561" s="127"/>
      <c r="U561" s="127"/>
      <c r="V561" s="127"/>
      <c r="W561" s="127"/>
      <c r="X561" s="127"/>
      <c r="Y561" s="127"/>
      <c r="Z561" s="127"/>
      <c r="AA561" s="127"/>
    </row>
    <row r="562" spans="1:27">
      <c r="A562" s="127">
        <f ca="1">IFERROR(__xludf.DUMMYFUNCTION("""COMPUTED_VALUE"""),766589657993298)</f>
        <v>766589657993298</v>
      </c>
      <c r="B562" s="127" t="str">
        <f ca="1">IFERROR(__xludf.DUMMYFUNCTION("""COMPUTED_VALUE"""),"120228364654980235")</f>
        <v>120228364654980235</v>
      </c>
      <c r="C562" s="127" t="str">
        <f ca="1">IFERROR(__xludf.DUMMYFUNCTION("""COMPUTED_VALUE"""),"CV TRUNOJOYO")</f>
        <v>CV TRUNOJOYO</v>
      </c>
      <c r="D562" s="138" t="str">
        <f ca="1">IFERROR(__xludf.DUMMYFUNCTION("""COMPUTED_VALUE"""),"https://wa.me/6282385989828")</f>
        <v>https://wa.me/6282385989828</v>
      </c>
      <c r="E562" s="139" t="str">
        <f ca="1">IFERROR(__xludf.DUMMYFUNCTION("""COMPUTED_VALUE"""),"6282385989828")</f>
        <v>6282385989828</v>
      </c>
      <c r="F562" s="139">
        <f ca="1">IFERROR(__xludf.DUMMYFUNCTION("""COMPUTED_VALUE"""),6513)</f>
        <v>6513</v>
      </c>
      <c r="G562" s="139">
        <f ca="1">IFERROR(__xludf.DUMMYFUNCTION("""COMPUTED_VALUE"""),13794.8571428571)</f>
        <v>13794.857142857099</v>
      </c>
      <c r="H562" s="139">
        <f ca="1">IFERROR(__xludf.DUMMYFUNCTION("""COMPUTED_VALUE"""),22)</f>
        <v>22</v>
      </c>
      <c r="I562" s="140">
        <f ca="1">IFERROR(__xludf.DUMMYFUNCTION("""COMPUTED_VALUE"""),106946)</f>
        <v>106946</v>
      </c>
      <c r="J562" s="141">
        <f ca="1">IFERROR(__xludf.DUMMYFUNCTION("""COMPUTED_VALUE"""),4861.18181818181)</f>
        <v>4861.1818181818098</v>
      </c>
      <c r="K562" s="142">
        <f ca="1">IFERROR(__xludf.DUMMYFUNCTION("""COMPUTED_VALUE"""),7.12973333333333)</f>
        <v>7.1297333333333297</v>
      </c>
      <c r="L562" s="143" t="str">
        <f ca="1"/>
        <v>Wiris Variasi</v>
      </c>
      <c r="M562" s="127"/>
      <c r="N562" s="127"/>
      <c r="O562" s="127"/>
      <c r="P562" s="127"/>
      <c r="Q562" s="127"/>
      <c r="R562" s="127"/>
      <c r="S562" s="127"/>
      <c r="T562" s="127"/>
      <c r="U562" s="127"/>
      <c r="V562" s="127"/>
      <c r="W562" s="127"/>
      <c r="X562" s="127"/>
      <c r="Y562" s="127"/>
      <c r="Z562" s="127"/>
      <c r="AA562" s="127"/>
    </row>
    <row r="563" spans="1:27">
      <c r="A563" s="127">
        <f ca="1">IFERROR(__xludf.DUMMYFUNCTION("""COMPUTED_VALUE"""),766589657993298)</f>
        <v>766589657993298</v>
      </c>
      <c r="B563" s="127" t="str">
        <f ca="1">IFERROR(__xludf.DUMMYFUNCTION("""COMPUTED_VALUE"""),"120228364900400235")</f>
        <v>120228364900400235</v>
      </c>
      <c r="C563" s="127" t="str">
        <f ca="1">IFERROR(__xludf.DUMMYFUNCTION("""COMPUTED_VALUE"""),"Qui Panel")</f>
        <v>Qui Panel</v>
      </c>
      <c r="D563" s="138" t="str">
        <f ca="1">IFERROR(__xludf.DUMMYFUNCTION("""COMPUTED_VALUE"""),"https://wa.me/6285715856120")</f>
        <v>https://wa.me/6285715856120</v>
      </c>
      <c r="E563" s="139" t="str">
        <f ca="1">IFERROR(__xludf.DUMMYFUNCTION("""COMPUTED_VALUE"""),"6285715856120")</f>
        <v>6285715856120</v>
      </c>
      <c r="F563" s="139">
        <f ca="1">IFERROR(__xludf.DUMMYFUNCTION("""COMPUTED_VALUE"""),5187)</f>
        <v>5187</v>
      </c>
      <c r="G563" s="139">
        <f ca="1">IFERROR(__xludf.DUMMYFUNCTION("""COMPUTED_VALUE"""),13423.2)</f>
        <v>13423.2</v>
      </c>
      <c r="H563" s="139">
        <f ca="1">IFERROR(__xludf.DUMMYFUNCTION("""COMPUTED_VALUE"""),59)</f>
        <v>59</v>
      </c>
      <c r="I563" s="140">
        <f ca="1">IFERROR(__xludf.DUMMYFUNCTION("""COMPUTED_VALUE"""),75276)</f>
        <v>75276</v>
      </c>
      <c r="J563" s="141">
        <f ca="1">IFERROR(__xludf.DUMMYFUNCTION("""COMPUTED_VALUE"""),1275.86440677966)</f>
        <v>1275.8644067796599</v>
      </c>
      <c r="K563" s="142">
        <f ca="1">IFERROR(__xludf.DUMMYFUNCTION("""COMPUTED_VALUE"""),5.0184)</f>
        <v>5.0183999999999997</v>
      </c>
      <c r="L563" s="143" t="str">
        <f ca="1"/>
        <v>Wiris Variasi</v>
      </c>
      <c r="M563" s="127"/>
      <c r="N563" s="127"/>
      <c r="O563" s="127"/>
      <c r="P563" s="127"/>
      <c r="Q563" s="127"/>
      <c r="R563" s="127"/>
      <c r="S563" s="127"/>
      <c r="T563" s="127"/>
      <c r="U563" s="127"/>
      <c r="V563" s="127"/>
      <c r="W563" s="127"/>
      <c r="X563" s="127"/>
      <c r="Y563" s="127"/>
      <c r="Z563" s="127"/>
      <c r="AA563" s="127"/>
    </row>
    <row r="564" spans="1:27">
      <c r="A564" s="127">
        <f ca="1">IFERROR(__xludf.DUMMYFUNCTION("""COMPUTED_VALUE"""),766589657993298)</f>
        <v>766589657993298</v>
      </c>
      <c r="B564" s="127" t="str">
        <f ca="1">IFERROR(__xludf.DUMMYFUNCTION("""COMPUTED_VALUE"""),"120228406232970235")</f>
        <v>120228406232970235</v>
      </c>
      <c r="C564" s="127" t="str">
        <f ca="1">IFERROR(__xludf.DUMMYFUNCTION("""COMPUTED_VALUE"""),"PT SURYA")</f>
        <v>PT SURYA</v>
      </c>
      <c r="D564" s="138" t="str">
        <f ca="1">IFERROR(__xludf.DUMMYFUNCTION("""COMPUTED_VALUE"""),"https://wa.me/6281138301069")</f>
        <v>https://wa.me/6281138301069</v>
      </c>
      <c r="E564" s="139" t="str">
        <f ca="1">IFERROR(__xludf.DUMMYFUNCTION("""COMPUTED_VALUE"""),"6281138301069")</f>
        <v>6281138301069</v>
      </c>
      <c r="F564" s="139">
        <f ca="1">IFERROR(__xludf.DUMMYFUNCTION("""COMPUTED_VALUE"""),118455)</f>
        <v>118455</v>
      </c>
      <c r="G564" s="139">
        <f ca="1">IFERROR(__xludf.DUMMYFUNCTION("""COMPUTED_VALUE"""),1197.0909090909)</f>
        <v>1197.0909090908999</v>
      </c>
      <c r="H564" s="139">
        <f ca="1">IFERROR(__xludf.DUMMYFUNCTION("""COMPUTED_VALUE"""),0)</f>
        <v>0</v>
      </c>
      <c r="I564" s="140">
        <f ca="1">IFERROR(__xludf.DUMMYFUNCTION("""COMPUTED_VALUE"""),141780)</f>
        <v>141780</v>
      </c>
      <c r="J564" s="141"/>
      <c r="K564" s="142">
        <f ca="1">IFERROR(__xludf.DUMMYFUNCTION("""COMPUTED_VALUE"""),9.452)</f>
        <v>9.452</v>
      </c>
      <c r="L564" s="143" t="str">
        <f ca="1"/>
        <v>Wiris Variasi</v>
      </c>
      <c r="M564" s="127"/>
      <c r="N564" s="127"/>
      <c r="O564" s="127"/>
      <c r="P564" s="127"/>
      <c r="Q564" s="127"/>
      <c r="R564" s="127"/>
      <c r="S564" s="127"/>
      <c r="T564" s="127"/>
      <c r="U564" s="127"/>
      <c r="V564" s="127"/>
      <c r="W564" s="127"/>
      <c r="X564" s="127"/>
      <c r="Y564" s="127"/>
      <c r="Z564" s="127"/>
      <c r="AA564" s="127"/>
    </row>
    <row r="565" spans="1:27">
      <c r="A565" s="127">
        <f ca="1">IFERROR(__xludf.DUMMYFUNCTION("""COMPUTED_VALUE"""),766589657993298)</f>
        <v>766589657993298</v>
      </c>
      <c r="B565" s="127" t="str">
        <f ca="1">IFERROR(__xludf.DUMMYFUNCTION("""COMPUTED_VALUE"""),"120228409156980235")</f>
        <v>120228409156980235</v>
      </c>
      <c r="C565" s="127" t="str">
        <f ca="1">IFERROR(__xludf.DUMMYFUNCTION("""COMPUTED_VALUE"""),"AZY Baja")</f>
        <v>AZY Baja</v>
      </c>
      <c r="D565" s="138" t="str">
        <f ca="1">IFERROR(__xludf.DUMMYFUNCTION("""COMPUTED_VALUE"""),"https://wa.me/6287822304727")</f>
        <v>https://wa.me/6287822304727</v>
      </c>
      <c r="E565" s="139" t="str">
        <f ca="1">IFERROR(__xludf.DUMMYFUNCTION("""COMPUTED_VALUE"""),"6287822304727")</f>
        <v>6287822304727</v>
      </c>
      <c r="F565" s="139">
        <f ca="1">IFERROR(__xludf.DUMMYFUNCTION("""COMPUTED_VALUE"""),4048)</f>
        <v>4048</v>
      </c>
      <c r="G565" s="139">
        <f ca="1">IFERROR(__xludf.DUMMYFUNCTION("""COMPUTED_VALUE"""),17772.8)</f>
        <v>17772.8</v>
      </c>
      <c r="H565" s="139">
        <f ca="1">IFERROR(__xludf.DUMMYFUNCTION("""COMPUTED_VALUE"""),11)</f>
        <v>11</v>
      </c>
      <c r="I565" s="140">
        <f ca="1">IFERROR(__xludf.DUMMYFUNCTION("""COMPUTED_VALUE"""),78106)</f>
        <v>78106</v>
      </c>
      <c r="J565" s="141">
        <f ca="1">IFERROR(__xludf.DUMMYFUNCTION("""COMPUTED_VALUE"""),7100.54545454545)</f>
        <v>7100.5454545454504</v>
      </c>
      <c r="K565" s="142">
        <f ca="1">IFERROR(__xludf.DUMMYFUNCTION("""COMPUTED_VALUE"""),5.20706666666666)</f>
        <v>5.2070666666666598</v>
      </c>
      <c r="L565" s="143" t="str">
        <f ca="1"/>
        <v>Wiris Variasi</v>
      </c>
      <c r="M565" s="127"/>
      <c r="N565" s="127"/>
      <c r="O565" s="127"/>
      <c r="P565" s="127"/>
      <c r="Q565" s="127"/>
      <c r="R565" s="127"/>
      <c r="S565" s="127"/>
      <c r="T565" s="127"/>
      <c r="U565" s="127"/>
      <c r="V565" s="127"/>
      <c r="W565" s="127"/>
      <c r="X565" s="127"/>
      <c r="Y565" s="127"/>
      <c r="Z565" s="127"/>
      <c r="AA565" s="127"/>
    </row>
    <row r="566" spans="1:27">
      <c r="A566" s="127">
        <f ca="1">IFERROR(__xludf.DUMMYFUNCTION("""COMPUTED_VALUE"""),766589657993298)</f>
        <v>766589657993298</v>
      </c>
      <c r="B566" s="127" t="str">
        <f ca="1">IFERROR(__xludf.DUMMYFUNCTION("""COMPUTED_VALUE"""),"120228513630470235")</f>
        <v>120228513630470235</v>
      </c>
      <c r="C566" s="127" t="str">
        <f ca="1">IFERROR(__xludf.DUMMYFUNCTION("""COMPUTED_VALUE"""),"MITRA JASA")</f>
        <v>MITRA JASA</v>
      </c>
      <c r="D566" s="138" t="str">
        <f ca="1">IFERROR(__xludf.DUMMYFUNCTION("""COMPUTED_VALUE"""),"https://wa.me/6282134333004")</f>
        <v>https://wa.me/6282134333004</v>
      </c>
      <c r="E566" s="139" t="str">
        <f ca="1">IFERROR(__xludf.DUMMYFUNCTION("""COMPUTED_VALUE"""),"6282134333004")</f>
        <v>6282134333004</v>
      </c>
      <c r="F566" s="139">
        <f ca="1">IFERROR(__xludf.DUMMYFUNCTION("""COMPUTED_VALUE"""),2077)</f>
        <v>2077</v>
      </c>
      <c r="G566" s="139">
        <f ca="1">IFERROR(__xludf.DUMMYFUNCTION("""COMPUTED_VALUE"""),24950.25)</f>
        <v>24950.25</v>
      </c>
      <c r="H566" s="139">
        <f ca="1">IFERROR(__xludf.DUMMYFUNCTION("""COMPUTED_VALUE"""),9)</f>
        <v>9</v>
      </c>
      <c r="I566" s="140">
        <f ca="1">IFERROR(__xludf.DUMMYFUNCTION("""COMPUTED_VALUE"""),62952)</f>
        <v>62952</v>
      </c>
      <c r="J566" s="141">
        <f ca="1">IFERROR(__xludf.DUMMYFUNCTION("""COMPUTED_VALUE"""),6994.66666666666)</f>
        <v>6994.6666666666597</v>
      </c>
      <c r="K566" s="142">
        <f ca="1">IFERROR(__xludf.DUMMYFUNCTION("""COMPUTED_VALUE"""),4.1968)</f>
        <v>4.1967999999999996</v>
      </c>
      <c r="L566" s="143" t="str">
        <f ca="1"/>
        <v>Wiris Variasi</v>
      </c>
      <c r="M566" s="127"/>
      <c r="N566" s="127"/>
      <c r="O566" s="127"/>
      <c r="P566" s="127"/>
      <c r="Q566" s="127"/>
      <c r="R566" s="127"/>
      <c r="S566" s="127"/>
      <c r="T566" s="127"/>
      <c r="U566" s="127"/>
      <c r="V566" s="127"/>
      <c r="W566" s="127"/>
      <c r="X566" s="127"/>
      <c r="Y566" s="127"/>
      <c r="Z566" s="127"/>
      <c r="AA566" s="127"/>
    </row>
    <row r="567" spans="1:27">
      <c r="A567" s="127">
        <f ca="1">IFERROR(__xludf.DUMMYFUNCTION("""COMPUTED_VALUE"""),766589657993298)</f>
        <v>766589657993298</v>
      </c>
      <c r="B567" s="127" t="str">
        <f ca="1">IFERROR(__xludf.DUMMYFUNCTION("""COMPUTED_VALUE"""),"120228586109730235")</f>
        <v>120228586109730235</v>
      </c>
      <c r="C567" s="127" t="str">
        <f ca="1">IFERROR(__xludf.DUMMYFUNCTION("""COMPUTED_VALUE"""),"Las Sukses")</f>
        <v>Las Sukses</v>
      </c>
      <c r="D567" s="138" t="str">
        <f ca="1">IFERROR(__xludf.DUMMYFUNCTION("""COMPUTED_VALUE"""),"https://wa.me/6285774217794")</f>
        <v>https://wa.me/6285774217794</v>
      </c>
      <c r="E567" s="139" t="str">
        <f ca="1">IFERROR(__xludf.DUMMYFUNCTION("""COMPUTED_VALUE"""),"6285774217794")</f>
        <v>6285774217794</v>
      </c>
      <c r="F567" s="139">
        <f ca="1">IFERROR(__xludf.DUMMYFUNCTION("""COMPUTED_VALUE"""),2022)</f>
        <v>2022</v>
      </c>
      <c r="G567" s="139">
        <f ca="1">IFERROR(__xludf.DUMMYFUNCTION("""COMPUTED_VALUE"""),25701.25)</f>
        <v>25701.25</v>
      </c>
      <c r="H567" s="139">
        <f ca="1">IFERROR(__xludf.DUMMYFUNCTION("""COMPUTED_VALUE"""),9)</f>
        <v>9</v>
      </c>
      <c r="I567" s="140">
        <f ca="1">IFERROR(__xludf.DUMMYFUNCTION("""COMPUTED_VALUE"""),60745)</f>
        <v>60745</v>
      </c>
      <c r="J567" s="141">
        <f ca="1">IFERROR(__xludf.DUMMYFUNCTION("""COMPUTED_VALUE"""),6749.44444444444)</f>
        <v>6749.4444444444398</v>
      </c>
      <c r="K567" s="142">
        <f ca="1">IFERROR(__xludf.DUMMYFUNCTION("""COMPUTED_VALUE"""),4.04966666666666)</f>
        <v>4.0496666666666599</v>
      </c>
      <c r="L567" s="143" t="str">
        <f ca="1"/>
        <v>Wiris Variasi</v>
      </c>
      <c r="M567" s="127"/>
      <c r="N567" s="127"/>
      <c r="O567" s="127"/>
      <c r="P567" s="127"/>
      <c r="Q567" s="127"/>
      <c r="R567" s="127"/>
      <c r="S567" s="127"/>
      <c r="T567" s="127"/>
      <c r="U567" s="127"/>
      <c r="V567" s="127"/>
      <c r="W567" s="127"/>
      <c r="X567" s="127"/>
      <c r="Y567" s="127"/>
      <c r="Z567" s="127"/>
      <c r="AA567" s="127"/>
    </row>
    <row r="568" spans="1:27">
      <c r="A568" s="127">
        <f ca="1">IFERROR(__xludf.DUMMYFUNCTION("""COMPUTED_VALUE"""),766589657993298)</f>
        <v>766589657993298</v>
      </c>
      <c r="B568" s="127" t="str">
        <f ca="1">IFERROR(__xludf.DUMMYFUNCTION("""COMPUTED_VALUE"""),"120228610165220235")</f>
        <v>120228610165220235</v>
      </c>
      <c r="C568" s="127" t="str">
        <f ca="1">IFERROR(__xludf.DUMMYFUNCTION("""COMPUTED_VALUE"""),"Mitra Bangun")</f>
        <v>Mitra Bangun</v>
      </c>
      <c r="D568" s="138" t="str">
        <f ca="1">IFERROR(__xludf.DUMMYFUNCTION("""COMPUTED_VALUE"""),"https://wa.me/6282338171577")</f>
        <v>https://wa.me/6282338171577</v>
      </c>
      <c r="E568" s="139" t="str">
        <f ca="1">IFERROR(__xludf.DUMMYFUNCTION("""COMPUTED_VALUE"""),"6282338171577")</f>
        <v>6282338171577</v>
      </c>
      <c r="F568" s="139">
        <f ca="1">IFERROR(__xludf.DUMMYFUNCTION("""COMPUTED_VALUE"""),16072)</f>
        <v>16072</v>
      </c>
      <c r="G568" s="139">
        <f ca="1">IFERROR(__xludf.DUMMYFUNCTION("""COMPUTED_VALUE"""),15365)</f>
        <v>15365</v>
      </c>
      <c r="H568" s="139">
        <f ca="1">IFERROR(__xludf.DUMMYFUNCTION("""COMPUTED_VALUE"""),69)</f>
        <v>69</v>
      </c>
      <c r="I568" s="140">
        <f ca="1">IFERROR(__xludf.DUMMYFUNCTION("""COMPUTED_VALUE"""),286710)</f>
        <v>286710</v>
      </c>
      <c r="J568" s="141">
        <f ca="1">IFERROR(__xludf.DUMMYFUNCTION("""COMPUTED_VALUE"""),4155.21739130434)</f>
        <v>4155.2173913043398</v>
      </c>
      <c r="K568" s="142">
        <f ca="1">IFERROR(__xludf.DUMMYFUNCTION("""COMPUTED_VALUE"""),19.114)</f>
        <v>19.114000000000001</v>
      </c>
      <c r="L568" s="143" t="str">
        <f ca="1"/>
        <v>Wiris Variasi</v>
      </c>
      <c r="M568" s="127"/>
      <c r="N568" s="127"/>
      <c r="O568" s="127"/>
      <c r="P568" s="127"/>
      <c r="Q568" s="127"/>
      <c r="R568" s="127"/>
      <c r="S568" s="127"/>
      <c r="T568" s="127"/>
      <c r="U568" s="127"/>
      <c r="V568" s="127"/>
      <c r="W568" s="127"/>
      <c r="X568" s="127"/>
      <c r="Y568" s="127"/>
      <c r="Z568" s="127"/>
      <c r="AA568" s="127"/>
    </row>
    <row r="569" spans="1:27">
      <c r="A569" s="127">
        <f ca="1">IFERROR(__xludf.DUMMYFUNCTION("""COMPUTED_VALUE"""),766589657993298)</f>
        <v>766589657993298</v>
      </c>
      <c r="B569" s="127" t="str">
        <f ca="1">IFERROR(__xludf.DUMMYFUNCTION("""COMPUTED_VALUE"""),"120228612470250235")</f>
        <v>120228612470250235</v>
      </c>
      <c r="C569" s="127" t="str">
        <f ca="1">IFERROR(__xludf.DUMMYFUNCTION("""COMPUTED_VALUE"""),"Riyanto kontruksi")</f>
        <v>Riyanto kontruksi</v>
      </c>
      <c r="D569" s="138" t="str">
        <f ca="1">IFERROR(__xludf.DUMMYFUNCTION("""COMPUTED_VALUE"""),"https://wa.me/6285950836788")</f>
        <v>https://wa.me/6285950836788</v>
      </c>
      <c r="E569" s="139" t="str">
        <f ca="1">IFERROR(__xludf.DUMMYFUNCTION("""COMPUTED_VALUE"""),"6285950836788")</f>
        <v>6285950836788</v>
      </c>
      <c r="F569" s="139">
        <f ca="1">IFERROR(__xludf.DUMMYFUNCTION("""COMPUTED_VALUE"""),7685)</f>
        <v>7685</v>
      </c>
      <c r="G569" s="139">
        <f ca="1">IFERROR(__xludf.DUMMYFUNCTION("""COMPUTED_VALUE"""),32897.8235294117)</f>
        <v>32897.823529411697</v>
      </c>
      <c r="H569" s="139">
        <f ca="1">IFERROR(__xludf.DUMMYFUNCTION("""COMPUTED_VALUE"""),41)</f>
        <v>41</v>
      </c>
      <c r="I569" s="140">
        <f ca="1">IFERROR(__xludf.DUMMYFUNCTION("""COMPUTED_VALUE"""),264942)</f>
        <v>264942</v>
      </c>
      <c r="J569" s="141">
        <f ca="1">IFERROR(__xludf.DUMMYFUNCTION("""COMPUTED_VALUE"""),6462)</f>
        <v>6462</v>
      </c>
      <c r="K569" s="142">
        <f ca="1">IFERROR(__xludf.DUMMYFUNCTION("""COMPUTED_VALUE"""),17.6628)</f>
        <v>17.662800000000001</v>
      </c>
      <c r="L569" s="143" t="str">
        <f ca="1"/>
        <v>Wiris Variasi</v>
      </c>
      <c r="M569" s="127"/>
      <c r="N569" s="127"/>
      <c r="O569" s="127"/>
      <c r="P569" s="127"/>
      <c r="Q569" s="127"/>
      <c r="R569" s="127"/>
      <c r="S569" s="127"/>
      <c r="T569" s="127"/>
      <c r="U569" s="127"/>
      <c r="V569" s="127"/>
      <c r="W569" s="127"/>
      <c r="X569" s="127"/>
      <c r="Y569" s="127"/>
      <c r="Z569" s="127"/>
      <c r="AA569" s="127"/>
    </row>
    <row r="570" spans="1:27">
      <c r="A570" s="127">
        <f ca="1">IFERROR(__xludf.DUMMYFUNCTION("""COMPUTED_VALUE"""),766589657993298)</f>
        <v>766589657993298</v>
      </c>
      <c r="B570" s="127" t="str">
        <f ca="1">IFERROR(__xludf.DUMMYFUNCTION("""COMPUTED_VALUE"""),"120228711977590235")</f>
        <v>120228711977590235</v>
      </c>
      <c r="C570" s="127" t="str">
        <f ca="1">IFERROR(__xludf.DUMMYFUNCTION("""COMPUTED_VALUE"""),"Sketsa Rumahmu")</f>
        <v>Sketsa Rumahmu</v>
      </c>
      <c r="D570" s="138" t="str">
        <f ca="1">IFERROR(__xludf.DUMMYFUNCTION("""COMPUTED_VALUE"""),"https://wa.me/6285647189964")</f>
        <v>https://wa.me/6285647189964</v>
      </c>
      <c r="E570" s="139" t="str">
        <f ca="1">IFERROR(__xludf.DUMMYFUNCTION("""COMPUTED_VALUE"""),"6285647189964")</f>
        <v>6285647189964</v>
      </c>
      <c r="F570" s="139">
        <f ca="1">IFERROR(__xludf.DUMMYFUNCTION("""COMPUTED_VALUE"""),4649)</f>
        <v>4649</v>
      </c>
      <c r="G570" s="139">
        <f ca="1">IFERROR(__xludf.DUMMYFUNCTION("""COMPUTED_VALUE"""),27831.75)</f>
        <v>27831.75</v>
      </c>
      <c r="H570" s="139">
        <f ca="1">IFERROR(__xludf.DUMMYFUNCTION("""COMPUTED_VALUE"""),1)</f>
        <v>1</v>
      </c>
      <c r="I570" s="140">
        <f ca="1">IFERROR(__xludf.DUMMYFUNCTION("""COMPUTED_VALUE"""),129788)</f>
        <v>129788</v>
      </c>
      <c r="J570" s="141">
        <f ca="1">IFERROR(__xludf.DUMMYFUNCTION("""COMPUTED_VALUE"""),129788)</f>
        <v>129788</v>
      </c>
      <c r="K570" s="142">
        <f ca="1">IFERROR(__xludf.DUMMYFUNCTION("""COMPUTED_VALUE"""),8.65253333333333)</f>
        <v>8.6525333333333307</v>
      </c>
      <c r="L570" s="143" t="str">
        <f ca="1"/>
        <v>Wiris Variasi</v>
      </c>
      <c r="M570" s="127"/>
      <c r="N570" s="127"/>
      <c r="O570" s="127"/>
      <c r="P570" s="127"/>
      <c r="Q570" s="127"/>
      <c r="R570" s="127"/>
      <c r="S570" s="127"/>
      <c r="T570" s="127"/>
      <c r="U570" s="127"/>
      <c r="V570" s="127"/>
      <c r="W570" s="127"/>
      <c r="X570" s="127"/>
      <c r="Y570" s="127"/>
      <c r="Z570" s="127"/>
      <c r="AA570" s="127"/>
    </row>
    <row r="571" spans="1:27">
      <c r="A571" s="127">
        <f ca="1">IFERROR(__xludf.DUMMYFUNCTION("""COMPUTED_VALUE"""),766589657993298)</f>
        <v>766589657993298</v>
      </c>
      <c r="B571" s="127" t="str">
        <f ca="1">IFERROR(__xludf.DUMMYFUNCTION("""COMPUTED_VALUE"""),"120228753116090235")</f>
        <v>120228753116090235</v>
      </c>
      <c r="C571" s="127" t="str">
        <f ca="1">IFERROR(__xludf.DUMMYFUNCTION("""COMPUTED_VALUE"""),"Hara Utama")</f>
        <v>Hara Utama</v>
      </c>
      <c r="D571" s="138" t="str">
        <f ca="1">IFERROR(__xludf.DUMMYFUNCTION("""COMPUTED_VALUE"""),"https://wa.me/6288980619907")</f>
        <v>https://wa.me/6288980619907</v>
      </c>
      <c r="E571" s="139" t="str">
        <f ca="1">IFERROR(__xludf.DUMMYFUNCTION("""COMPUTED_VALUE"""),"6288980619907")</f>
        <v>6288980619907</v>
      </c>
      <c r="F571" s="139">
        <f ca="1">IFERROR(__xludf.DUMMYFUNCTION("""COMPUTED_VALUE"""),1759)</f>
        <v>1759</v>
      </c>
      <c r="G571" s="139">
        <f ca="1">IFERROR(__xludf.DUMMYFUNCTION("""COMPUTED_VALUE"""),33869.2)</f>
        <v>33869.199999999997</v>
      </c>
      <c r="H571" s="139">
        <f ca="1">IFERROR(__xludf.DUMMYFUNCTION("""COMPUTED_VALUE"""),6)</f>
        <v>6</v>
      </c>
      <c r="I571" s="140">
        <f ca="1">IFERROR(__xludf.DUMMYFUNCTION("""COMPUTED_VALUE"""),72749)</f>
        <v>72749</v>
      </c>
      <c r="J571" s="141">
        <f ca="1">IFERROR(__xludf.DUMMYFUNCTION("""COMPUTED_VALUE"""),12124.8333333333)</f>
        <v>12124.833333333299</v>
      </c>
      <c r="K571" s="142">
        <f ca="1">IFERROR(__xludf.DUMMYFUNCTION("""COMPUTED_VALUE"""),4.84993333333333)</f>
        <v>4.8499333333333299</v>
      </c>
      <c r="L571" s="143" t="str">
        <f ca="1"/>
        <v>Wiris Variasi</v>
      </c>
      <c r="M571" s="127"/>
      <c r="N571" s="127"/>
      <c r="O571" s="127"/>
      <c r="P571" s="127"/>
      <c r="Q571" s="127"/>
      <c r="R571" s="127"/>
      <c r="S571" s="127"/>
      <c r="T571" s="127"/>
      <c r="U571" s="127"/>
      <c r="V571" s="127"/>
      <c r="W571" s="127"/>
      <c r="X571" s="127"/>
      <c r="Y571" s="127"/>
      <c r="Z571" s="127"/>
      <c r="AA571" s="127"/>
    </row>
    <row r="572" spans="1:27">
      <c r="A572" s="127">
        <f ca="1">IFERROR(__xludf.DUMMYFUNCTION("""COMPUTED_VALUE"""),766589657993298)</f>
        <v>766589657993298</v>
      </c>
      <c r="B572" s="127" t="str">
        <f ca="1">IFERROR(__xludf.DUMMYFUNCTION("""COMPUTED_VALUE"""),"120228787960370235")</f>
        <v>120228787960370235</v>
      </c>
      <c r="C572" s="127" t="str">
        <f ca="1">IFERROR(__xludf.DUMMYFUNCTION("""COMPUTED_VALUE"""),"Cahaya Lestari")</f>
        <v>Cahaya Lestari</v>
      </c>
      <c r="D572" s="138" t="str">
        <f ca="1">IFERROR(__xludf.DUMMYFUNCTION("""COMPUTED_VALUE"""),"https://wa.me/6282211473253")</f>
        <v>https://wa.me/6282211473253</v>
      </c>
      <c r="E572" s="139" t="str">
        <f ca="1">IFERROR(__xludf.DUMMYFUNCTION("""COMPUTED_VALUE"""),"6282211473253")</f>
        <v>6282211473253</v>
      </c>
      <c r="F572" s="139">
        <f ca="1">IFERROR(__xludf.DUMMYFUNCTION("""COMPUTED_VALUE"""),1803)</f>
        <v>1803</v>
      </c>
      <c r="G572" s="139">
        <f ca="1">IFERROR(__xludf.DUMMYFUNCTION("""COMPUTED_VALUE"""),36852.2)</f>
        <v>36852.199999999997</v>
      </c>
      <c r="H572" s="139">
        <f ca="1">IFERROR(__xludf.DUMMYFUNCTION("""COMPUTED_VALUE"""),4)</f>
        <v>4</v>
      </c>
      <c r="I572" s="140">
        <f ca="1">IFERROR(__xludf.DUMMYFUNCTION("""COMPUTED_VALUE"""),73818)</f>
        <v>73818</v>
      </c>
      <c r="J572" s="141">
        <f ca="1">IFERROR(__xludf.DUMMYFUNCTION("""COMPUTED_VALUE"""),18454.5)</f>
        <v>18454.5</v>
      </c>
      <c r="K572" s="142">
        <f ca="1">IFERROR(__xludf.DUMMYFUNCTION("""COMPUTED_VALUE"""),4.9212)</f>
        <v>4.9211999999999998</v>
      </c>
      <c r="L572" s="143" t="str">
        <f ca="1"/>
        <v>Wiris Variasi</v>
      </c>
      <c r="M572" s="127"/>
      <c r="N572" s="127"/>
      <c r="O572" s="127"/>
      <c r="P572" s="127"/>
      <c r="Q572" s="127"/>
      <c r="R572" s="127"/>
      <c r="S572" s="127"/>
      <c r="T572" s="127"/>
      <c r="U572" s="127"/>
      <c r="V572" s="127"/>
      <c r="W572" s="127"/>
      <c r="X572" s="127"/>
      <c r="Y572" s="127"/>
      <c r="Z572" s="127"/>
      <c r="AA572" s="127"/>
    </row>
    <row r="573" spans="1:27">
      <c r="A573" s="127">
        <f ca="1">IFERROR(__xludf.DUMMYFUNCTION("""COMPUTED_VALUE"""),766589657993298)</f>
        <v>766589657993298</v>
      </c>
      <c r="B573" s="127" t="str">
        <f ca="1">IFERROR(__xludf.DUMMYFUNCTION("""COMPUTED_VALUE"""),"120228848825870235")</f>
        <v>120228848825870235</v>
      </c>
      <c r="C573" s="127" t="str">
        <f ca="1">IFERROR(__xludf.DUMMYFUNCTION("""COMPUTED_VALUE"""),"CV GAMA")</f>
        <v>CV GAMA</v>
      </c>
      <c r="D573" s="138" t="str">
        <f ca="1">IFERROR(__xludf.DUMMYFUNCTION("""COMPUTED_VALUE"""),"https://wa.me/62818763108")</f>
        <v>https://wa.me/62818763108</v>
      </c>
      <c r="E573" s="139" t="str">
        <f ca="1">IFERROR(__xludf.DUMMYFUNCTION("""COMPUTED_VALUE"""),"62818763108")</f>
        <v>62818763108</v>
      </c>
      <c r="F573" s="139">
        <f ca="1">IFERROR(__xludf.DUMMYFUNCTION("""COMPUTED_VALUE"""),1822)</f>
        <v>1822</v>
      </c>
      <c r="G573" s="139">
        <f ca="1">IFERROR(__xludf.DUMMYFUNCTION("""COMPUTED_VALUE"""),35361.6)</f>
        <v>35361.599999999999</v>
      </c>
      <c r="H573" s="139">
        <f ca="1">IFERROR(__xludf.DUMMYFUNCTION("""COMPUTED_VALUE"""),12)</f>
        <v>12</v>
      </c>
      <c r="I573" s="140">
        <f ca="1">IFERROR(__xludf.DUMMYFUNCTION("""COMPUTED_VALUE"""),74389)</f>
        <v>74389</v>
      </c>
      <c r="J573" s="141">
        <f ca="1">IFERROR(__xludf.DUMMYFUNCTION("""COMPUTED_VALUE"""),6199.08333333333)</f>
        <v>6199.0833333333303</v>
      </c>
      <c r="K573" s="142">
        <f ca="1">IFERROR(__xludf.DUMMYFUNCTION("""COMPUTED_VALUE"""),4.95926666666666)</f>
        <v>4.9592666666666601</v>
      </c>
      <c r="L573" s="143" t="str">
        <f ca="1"/>
        <v>Wiris Variasi</v>
      </c>
      <c r="M573" s="127"/>
      <c r="N573" s="127"/>
      <c r="O573" s="127"/>
      <c r="P573" s="127"/>
      <c r="Q573" s="127"/>
      <c r="R573" s="127"/>
      <c r="S573" s="127"/>
      <c r="T573" s="127"/>
      <c r="U573" s="127"/>
      <c r="V573" s="127"/>
      <c r="W573" s="127"/>
      <c r="X573" s="127"/>
      <c r="Y573" s="127"/>
      <c r="Z573" s="127"/>
      <c r="AA573" s="127"/>
    </row>
    <row r="574" spans="1:27">
      <c r="A574" s="127">
        <f ca="1">IFERROR(__xludf.DUMMYFUNCTION("""COMPUTED_VALUE"""),766589657993298)</f>
        <v>766589657993298</v>
      </c>
      <c r="B574" s="127" t="str">
        <f ca="1">IFERROR(__xludf.DUMMYFUNCTION("""COMPUTED_VALUE"""),"120228848957610235")</f>
        <v>120228848957610235</v>
      </c>
      <c r="C574" s="127" t="str">
        <f ca="1">IFERROR(__xludf.DUMMYFUNCTION("""COMPUTED_VALUE"""),"CV. IBI")</f>
        <v>CV. IBI</v>
      </c>
      <c r="D574" s="138" t="str">
        <f ca="1">IFERROR(__xludf.DUMMYFUNCTION("""COMPUTED_VALUE"""),"https://wa.me/6281290414113")</f>
        <v>https://wa.me/6281290414113</v>
      </c>
      <c r="E574" s="139" t="str">
        <f ca="1">IFERROR(__xludf.DUMMYFUNCTION("""COMPUTED_VALUE"""),"6281290414113")</f>
        <v>6281290414113</v>
      </c>
      <c r="F574" s="139">
        <f ca="1">IFERROR(__xludf.DUMMYFUNCTION("""COMPUTED_VALUE"""),3051)</f>
        <v>3051</v>
      </c>
      <c r="G574" s="139">
        <f ca="1">IFERROR(__xludf.DUMMYFUNCTION("""COMPUTED_VALUE"""),28352)</f>
        <v>28352</v>
      </c>
      <c r="H574" s="139">
        <f ca="1">IFERROR(__xludf.DUMMYFUNCTION("""COMPUTED_VALUE"""),4)</f>
        <v>4</v>
      </c>
      <c r="I574" s="140">
        <f ca="1">IFERROR(__xludf.DUMMYFUNCTION("""COMPUTED_VALUE"""),76237)</f>
        <v>76237</v>
      </c>
      <c r="J574" s="141">
        <f ca="1">IFERROR(__xludf.DUMMYFUNCTION("""COMPUTED_VALUE"""),19059.25)</f>
        <v>19059.25</v>
      </c>
      <c r="K574" s="142">
        <f ca="1">IFERROR(__xludf.DUMMYFUNCTION("""COMPUTED_VALUE"""),5.08246666666666)</f>
        <v>5.0824666666666598</v>
      </c>
      <c r="L574" s="143" t="str">
        <f ca="1"/>
        <v>Wiris Variasi</v>
      </c>
      <c r="M574" s="127"/>
      <c r="N574" s="127"/>
      <c r="O574" s="127"/>
      <c r="P574" s="127"/>
      <c r="Q574" s="127"/>
      <c r="R574" s="127"/>
      <c r="S574" s="127"/>
      <c r="T574" s="127"/>
      <c r="U574" s="127"/>
      <c r="V574" s="127"/>
      <c r="W574" s="127"/>
      <c r="X574" s="127"/>
      <c r="Y574" s="127"/>
      <c r="Z574" s="127"/>
      <c r="AA574" s="127"/>
    </row>
    <row r="575" spans="1:27">
      <c r="A575" s="127">
        <f ca="1">IFERROR(__xludf.DUMMYFUNCTION("""COMPUTED_VALUE"""),766589657993298)</f>
        <v>766589657993298</v>
      </c>
      <c r="B575" s="127" t="str">
        <f ca="1">IFERROR(__xludf.DUMMYFUNCTION("""COMPUTED_VALUE"""),"120228849272030235")</f>
        <v>120228849272030235</v>
      </c>
      <c r="C575" s="127" t="str">
        <f ca="1">IFERROR(__xludf.DUMMYFUNCTION("""COMPUTED_VALUE"""),"CV LAS")</f>
        <v>CV LAS</v>
      </c>
      <c r="D575" s="138" t="str">
        <f ca="1">IFERROR(__xludf.DUMMYFUNCTION("""COMPUTED_VALUE"""),"https://wa.me/6282124027899")</f>
        <v>https://wa.me/6282124027899</v>
      </c>
      <c r="E575" s="139" t="str">
        <f ca="1">IFERROR(__xludf.DUMMYFUNCTION("""COMPUTED_VALUE"""),"6282124027899")</f>
        <v>6282124027899</v>
      </c>
      <c r="F575" s="139">
        <f ca="1">IFERROR(__xludf.DUMMYFUNCTION("""COMPUTED_VALUE"""),27527)</f>
        <v>27527</v>
      </c>
      <c r="G575" s="139">
        <f ca="1">IFERROR(__xludf.DUMMYFUNCTION("""COMPUTED_VALUE"""),8349.05882352941)</f>
        <v>8349.0588235294108</v>
      </c>
      <c r="H575" s="139">
        <f ca="1">IFERROR(__xludf.DUMMYFUNCTION("""COMPUTED_VALUE"""),35)</f>
        <v>35</v>
      </c>
      <c r="I575" s="140">
        <f ca="1">IFERROR(__xludf.DUMMYFUNCTION("""COMPUTED_VALUE"""),262935)</f>
        <v>262935</v>
      </c>
      <c r="J575" s="141">
        <f ca="1">IFERROR(__xludf.DUMMYFUNCTION("""COMPUTED_VALUE"""),7512.42857142857)</f>
        <v>7512.4285714285697</v>
      </c>
      <c r="K575" s="142">
        <f ca="1">IFERROR(__xludf.DUMMYFUNCTION("""COMPUTED_VALUE"""),17.529)</f>
        <v>17.529</v>
      </c>
      <c r="L575" s="143" t="str">
        <f ca="1"/>
        <v>Wiris Variasi</v>
      </c>
      <c r="M575" s="127"/>
      <c r="N575" s="127"/>
      <c r="O575" s="127"/>
      <c r="P575" s="127"/>
      <c r="Q575" s="127"/>
      <c r="R575" s="127"/>
      <c r="S575" s="127"/>
      <c r="T575" s="127"/>
      <c r="U575" s="127"/>
      <c r="V575" s="127"/>
      <c r="W575" s="127"/>
      <c r="X575" s="127"/>
      <c r="Y575" s="127"/>
      <c r="Z575" s="127"/>
      <c r="AA575" s="127"/>
    </row>
    <row r="576" spans="1:27">
      <c r="A576" s="127">
        <f ca="1">IFERROR(__xludf.DUMMYFUNCTION("""COMPUTED_VALUE"""),766589657993298)</f>
        <v>766589657993298</v>
      </c>
      <c r="B576" s="127" t="str">
        <f ca="1">IFERROR(__xludf.DUMMYFUNCTION("""COMPUTED_VALUE"""),"120228956634140235")</f>
        <v>120228956634140235</v>
      </c>
      <c r="C576" s="127" t="str">
        <f ca="1">IFERROR(__xludf.DUMMYFUNCTION("""COMPUTED_VALUE"""),"Qui Panel")</f>
        <v>Qui Panel</v>
      </c>
      <c r="D576" s="138" t="str">
        <f ca="1">IFERROR(__xludf.DUMMYFUNCTION("""COMPUTED_VALUE"""),"https://wa.me/6285715856120")</f>
        <v>https://wa.me/6285715856120</v>
      </c>
      <c r="E576" s="139" t="str">
        <f ca="1">IFERROR(__xludf.DUMMYFUNCTION("""COMPUTED_VALUE"""),"6285715856120")</f>
        <v>6285715856120</v>
      </c>
      <c r="F576" s="139">
        <f ca="1">IFERROR(__xludf.DUMMYFUNCTION("""COMPUTED_VALUE"""),3963)</f>
        <v>3963</v>
      </c>
      <c r="G576" s="139">
        <f ca="1">IFERROR(__xludf.DUMMYFUNCTION("""COMPUTED_VALUE"""),18522)</f>
        <v>18522</v>
      </c>
      <c r="H576" s="139">
        <f ca="1">IFERROR(__xludf.DUMMYFUNCTION("""COMPUTED_VALUE"""),38)</f>
        <v>38</v>
      </c>
      <c r="I576" s="140">
        <f ca="1">IFERROR(__xludf.DUMMYFUNCTION("""COMPUTED_VALUE"""),78715)</f>
        <v>78715</v>
      </c>
      <c r="J576" s="141">
        <f ca="1">IFERROR(__xludf.DUMMYFUNCTION("""COMPUTED_VALUE"""),2071.44736842105)</f>
        <v>2071.4473684210502</v>
      </c>
      <c r="K576" s="142">
        <f ca="1">IFERROR(__xludf.DUMMYFUNCTION("""COMPUTED_VALUE"""),5.24766666666666)</f>
        <v>5.2476666666666603</v>
      </c>
      <c r="L576" s="143" t="str">
        <f ca="1"/>
        <v>Wiris Variasi</v>
      </c>
      <c r="M576" s="127"/>
      <c r="N576" s="127"/>
      <c r="O576" s="127"/>
      <c r="P576" s="127"/>
      <c r="Q576" s="127"/>
      <c r="R576" s="127"/>
      <c r="S576" s="127"/>
      <c r="T576" s="127"/>
      <c r="U576" s="127"/>
      <c r="V576" s="127"/>
      <c r="W576" s="127"/>
      <c r="X576" s="127"/>
      <c r="Y576" s="127"/>
      <c r="Z576" s="127"/>
      <c r="AA576" s="127"/>
    </row>
    <row r="577" spans="1:27">
      <c r="A577" s="127">
        <f ca="1">IFERROR(__xludf.DUMMYFUNCTION("""COMPUTED_VALUE"""),766589657993298)</f>
        <v>766589657993298</v>
      </c>
      <c r="B577" s="127" t="str">
        <f ca="1">IFERROR(__xludf.DUMMYFUNCTION("""COMPUTED_VALUE"""),"120228960290140235")</f>
        <v>120228960290140235</v>
      </c>
      <c r="C577" s="127" t="str">
        <f ca="1">IFERROR(__xludf.DUMMYFUNCTION("""COMPUTED_VALUE"""),"SketsaRumahmu")</f>
        <v>SketsaRumahmu</v>
      </c>
      <c r="D577" s="139"/>
      <c r="E577" s="139"/>
      <c r="F577" s="139">
        <f ca="1">IFERROR(__xludf.DUMMYFUNCTION("""COMPUTED_VALUE"""),2590)</f>
        <v>2590</v>
      </c>
      <c r="G577" s="139">
        <f ca="1">IFERROR(__xludf.DUMMYFUNCTION("""COMPUTED_VALUE"""),33203.2)</f>
        <v>33203.199999999997</v>
      </c>
      <c r="H577" s="139">
        <f ca="1">IFERROR(__xludf.DUMMYFUNCTION("""COMPUTED_VALUE"""),4)</f>
        <v>4</v>
      </c>
      <c r="I577" s="140">
        <f ca="1">IFERROR(__xludf.DUMMYFUNCTION("""COMPUTED_VALUE"""),88397)</f>
        <v>88397</v>
      </c>
      <c r="J577" s="141">
        <f ca="1">IFERROR(__xludf.DUMMYFUNCTION("""COMPUTED_VALUE"""),22099.25)</f>
        <v>22099.25</v>
      </c>
      <c r="K577" s="142">
        <f ca="1">IFERROR(__xludf.DUMMYFUNCTION("""COMPUTED_VALUE"""),5.89313333333333)</f>
        <v>5.8931333333333296</v>
      </c>
      <c r="L577" s="143" t="str">
        <f ca="1"/>
        <v>Wiris Variasi</v>
      </c>
      <c r="M577" s="127"/>
      <c r="N577" s="127"/>
      <c r="O577" s="127"/>
      <c r="P577" s="127"/>
      <c r="Q577" s="127"/>
      <c r="R577" s="127"/>
      <c r="S577" s="127"/>
      <c r="T577" s="127"/>
      <c r="U577" s="127"/>
      <c r="V577" s="127"/>
      <c r="W577" s="127"/>
      <c r="X577" s="127"/>
      <c r="Y577" s="127"/>
      <c r="Z577" s="127"/>
      <c r="AA577" s="127"/>
    </row>
    <row r="578" spans="1:27">
      <c r="A578" s="127">
        <f ca="1">IFERROR(__xludf.DUMMYFUNCTION("""COMPUTED_VALUE"""),766589657993298)</f>
        <v>766589657993298</v>
      </c>
      <c r="B578" s="127" t="str">
        <f ca="1">IFERROR(__xludf.DUMMYFUNCTION("""COMPUTED_VALUE"""),"120228977263800235")</f>
        <v>120228977263800235</v>
      </c>
      <c r="C578" s="127" t="str">
        <f ca="1">IFERROR(__xludf.DUMMYFUNCTION("""COMPUTED_VALUE"""),"M Hisyam")</f>
        <v>M Hisyam</v>
      </c>
      <c r="D578" s="138" t="str">
        <f ca="1">IFERROR(__xludf.DUMMYFUNCTION("""COMPUTED_VALUE"""),"https://wa.me/62895800343940")</f>
        <v>https://wa.me/62895800343940</v>
      </c>
      <c r="E578" s="139" t="str">
        <f ca="1">IFERROR(__xludf.DUMMYFUNCTION("""COMPUTED_VALUE"""),"62895800343940")</f>
        <v>62895800343940</v>
      </c>
      <c r="F578" s="139">
        <f ca="1">IFERROR(__xludf.DUMMYFUNCTION("""COMPUTED_VALUE"""),2521)</f>
        <v>2521</v>
      </c>
      <c r="G578" s="139">
        <f ca="1">IFERROR(__xludf.DUMMYFUNCTION("""COMPUTED_VALUE"""),20825.25)</f>
        <v>20825.25</v>
      </c>
      <c r="H578" s="139">
        <f ca="1">IFERROR(__xludf.DUMMYFUNCTION("""COMPUTED_VALUE"""),8)</f>
        <v>8</v>
      </c>
      <c r="I578" s="140">
        <f ca="1">IFERROR(__xludf.DUMMYFUNCTION("""COMPUTED_VALUE"""),62063)</f>
        <v>62063</v>
      </c>
      <c r="J578" s="141">
        <f ca="1">IFERROR(__xludf.DUMMYFUNCTION("""COMPUTED_VALUE"""),7757.875)</f>
        <v>7757.875</v>
      </c>
      <c r="K578" s="142">
        <f ca="1">IFERROR(__xludf.DUMMYFUNCTION("""COMPUTED_VALUE"""),4.13753333333333)</f>
        <v>4.1375333333333302</v>
      </c>
      <c r="L578" s="143" t="str">
        <f ca="1"/>
        <v>Wiris Variasi</v>
      </c>
      <c r="M578" s="127"/>
      <c r="N578" s="127"/>
      <c r="O578" s="127"/>
      <c r="P578" s="127"/>
      <c r="Q578" s="127"/>
      <c r="R578" s="127"/>
      <c r="S578" s="127"/>
      <c r="T578" s="127"/>
      <c r="U578" s="127"/>
      <c r="V578" s="127"/>
      <c r="W578" s="127"/>
      <c r="X578" s="127"/>
      <c r="Y578" s="127"/>
      <c r="Z578" s="127"/>
      <c r="AA578" s="127"/>
    </row>
    <row r="579" spans="1:27">
      <c r="A579" s="127">
        <f ca="1">IFERROR(__xludf.DUMMYFUNCTION("""COMPUTED_VALUE"""),766589657993298)</f>
        <v>766589657993298</v>
      </c>
      <c r="B579" s="127" t="str">
        <f ca="1">IFERROR(__xludf.DUMMYFUNCTION("""COMPUTED_VALUE"""),"120228977541530235")</f>
        <v>120228977541530235</v>
      </c>
      <c r="C579" s="127" t="str">
        <f ca="1">IFERROR(__xludf.DUMMYFUNCTION("""COMPUTED_VALUE"""),"CV Shopia")</f>
        <v>CV Shopia</v>
      </c>
      <c r="D579" s="138" t="str">
        <f ca="1">IFERROR(__xludf.DUMMYFUNCTION("""COMPUTED_VALUE"""),"https://wa.me/6281351666729")</f>
        <v>https://wa.me/6281351666729</v>
      </c>
      <c r="E579" s="139" t="str">
        <f ca="1">IFERROR(__xludf.DUMMYFUNCTION("""COMPUTED_VALUE"""),"6281351666729")</f>
        <v>6281351666729</v>
      </c>
      <c r="F579" s="139">
        <f ca="1">IFERROR(__xludf.DUMMYFUNCTION("""COMPUTED_VALUE"""),2311)</f>
        <v>2311</v>
      </c>
      <c r="G579" s="139">
        <f ca="1">IFERROR(__xludf.DUMMYFUNCTION("""COMPUTED_VALUE"""),22079.5)</f>
        <v>22079.5</v>
      </c>
      <c r="H579" s="139">
        <f ca="1">IFERROR(__xludf.DUMMYFUNCTION("""COMPUTED_VALUE"""),5)</f>
        <v>5</v>
      </c>
      <c r="I579" s="140">
        <f ca="1">IFERROR(__xludf.DUMMYFUNCTION("""COMPUTED_VALUE"""),59781)</f>
        <v>59781</v>
      </c>
      <c r="J579" s="141">
        <f ca="1">IFERROR(__xludf.DUMMYFUNCTION("""COMPUTED_VALUE"""),11956.2)</f>
        <v>11956.2</v>
      </c>
      <c r="K579" s="142">
        <f ca="1">IFERROR(__xludf.DUMMYFUNCTION("""COMPUTED_VALUE"""),3.9854)</f>
        <v>3.9853999999999998</v>
      </c>
      <c r="L579" s="143" t="str">
        <f ca="1"/>
        <v>Wiris Variasi</v>
      </c>
      <c r="M579" s="127"/>
      <c r="N579" s="127"/>
      <c r="O579" s="127"/>
      <c r="P579" s="127"/>
      <c r="Q579" s="127"/>
      <c r="R579" s="127"/>
      <c r="S579" s="127"/>
      <c r="T579" s="127"/>
      <c r="U579" s="127"/>
      <c r="V579" s="127"/>
      <c r="W579" s="127"/>
      <c r="X579" s="127"/>
      <c r="Y579" s="127"/>
      <c r="Z579" s="127"/>
      <c r="AA579" s="127"/>
    </row>
    <row r="580" spans="1:27">
      <c r="A580" s="127">
        <f ca="1">IFERROR(__xludf.DUMMYFUNCTION("""COMPUTED_VALUE"""),766589657993298)</f>
        <v>766589657993298</v>
      </c>
      <c r="B580" s="127" t="str">
        <f ca="1">IFERROR(__xludf.DUMMYFUNCTION("""COMPUTED_VALUE"""),"120229018787610235")</f>
        <v>120229018787610235</v>
      </c>
      <c r="C580" s="127" t="str">
        <f ca="1">IFERROR(__xludf.DUMMYFUNCTION("""COMPUTED_VALUE"""),"SURYA JAYA")</f>
        <v>SURYA JAYA</v>
      </c>
      <c r="D580" s="138" t="str">
        <f ca="1">IFERROR(__xludf.DUMMYFUNCTION("""COMPUTED_VALUE"""),"https://wa.me/6282184019830")</f>
        <v>https://wa.me/6282184019830</v>
      </c>
      <c r="E580" s="139" t="str">
        <f ca="1">IFERROR(__xludf.DUMMYFUNCTION("""COMPUTED_VALUE"""),"6282184019830")</f>
        <v>6282184019830</v>
      </c>
      <c r="F580" s="139">
        <f ca="1">IFERROR(__xludf.DUMMYFUNCTION("""COMPUTED_VALUE"""),3721)</f>
        <v>3721</v>
      </c>
      <c r="G580" s="139">
        <f ca="1">IFERROR(__xludf.DUMMYFUNCTION("""COMPUTED_VALUE"""),46919.4545454545)</f>
        <v>46919.4545454545</v>
      </c>
      <c r="H580" s="139">
        <f ca="1">IFERROR(__xludf.DUMMYFUNCTION("""COMPUTED_VALUE"""),10)</f>
        <v>10</v>
      </c>
      <c r="I580" s="140">
        <f ca="1">IFERROR(__xludf.DUMMYFUNCTION("""COMPUTED_VALUE"""),168202)</f>
        <v>168202</v>
      </c>
      <c r="J580" s="141">
        <f ca="1">IFERROR(__xludf.DUMMYFUNCTION("""COMPUTED_VALUE"""),16820.2)</f>
        <v>16820.2</v>
      </c>
      <c r="K580" s="142">
        <f ca="1">IFERROR(__xludf.DUMMYFUNCTION("""COMPUTED_VALUE"""),11.2134666666666)</f>
        <v>11.2134666666666</v>
      </c>
      <c r="L580" s="143" t="str">
        <f ca="1"/>
        <v>Wiris Variasi</v>
      </c>
      <c r="M580" s="127"/>
      <c r="N580" s="127"/>
      <c r="O580" s="127"/>
      <c r="P580" s="127"/>
      <c r="Q580" s="127"/>
      <c r="R580" s="127"/>
      <c r="S580" s="127"/>
      <c r="T580" s="127"/>
      <c r="U580" s="127"/>
      <c r="V580" s="127"/>
      <c r="W580" s="127"/>
      <c r="X580" s="127"/>
      <c r="Y580" s="127"/>
      <c r="Z580" s="127"/>
      <c r="AA580" s="127"/>
    </row>
    <row r="581" spans="1:27">
      <c r="A581" s="127">
        <f ca="1">IFERROR(__xludf.DUMMYFUNCTION("""COMPUTED_VALUE"""),766589657993298)</f>
        <v>766589657993298</v>
      </c>
      <c r="B581" s="127" t="str">
        <f ca="1">IFERROR(__xludf.DUMMYFUNCTION("""COMPUTED_VALUE"""),"120229036686860235")</f>
        <v>120229036686860235</v>
      </c>
      <c r="C581" s="127" t="str">
        <f ca="1">IFERROR(__xludf.DUMMYFUNCTION("""COMPUTED_VALUE"""),"Kanopi Innovation")</f>
        <v>Kanopi Innovation</v>
      </c>
      <c r="D581" s="138" t="str">
        <f ca="1">IFERROR(__xludf.DUMMYFUNCTION("""COMPUTED_VALUE"""),"https://wa.me/6281214999292")</f>
        <v>https://wa.me/6281214999292</v>
      </c>
      <c r="E581" s="139" t="str">
        <f ca="1">IFERROR(__xludf.DUMMYFUNCTION("""COMPUTED_VALUE"""),"6281214999292")</f>
        <v>6281214999292</v>
      </c>
      <c r="F581" s="139">
        <f ca="1">IFERROR(__xludf.DUMMYFUNCTION("""COMPUTED_VALUE"""),984)</f>
        <v>984</v>
      </c>
      <c r="G581" s="139">
        <f ca="1">IFERROR(__xludf.DUMMYFUNCTION("""COMPUTED_VALUE"""),55750.5)</f>
        <v>55750.5</v>
      </c>
      <c r="H581" s="139">
        <f ca="1">IFERROR(__xludf.DUMMYFUNCTION("""COMPUTED_VALUE"""),8)</f>
        <v>8</v>
      </c>
      <c r="I581" s="140">
        <f ca="1">IFERROR(__xludf.DUMMYFUNCTION("""COMPUTED_VALUE"""),59969)</f>
        <v>59969</v>
      </c>
      <c r="J581" s="141">
        <f ca="1">IFERROR(__xludf.DUMMYFUNCTION("""COMPUTED_VALUE"""),7496.125)</f>
        <v>7496.125</v>
      </c>
      <c r="K581" s="142">
        <f ca="1">IFERROR(__xludf.DUMMYFUNCTION("""COMPUTED_VALUE"""),3.99793333333333)</f>
        <v>3.99793333333333</v>
      </c>
      <c r="L581" s="143" t="str">
        <f ca="1"/>
        <v>Wiris Variasi</v>
      </c>
      <c r="M581" s="127"/>
      <c r="N581" s="127"/>
      <c r="O581" s="127"/>
      <c r="P581" s="127"/>
      <c r="Q581" s="127"/>
      <c r="R581" s="127"/>
      <c r="S581" s="127"/>
      <c r="T581" s="127"/>
      <c r="U581" s="127"/>
      <c r="V581" s="127"/>
      <c r="W581" s="127"/>
      <c r="X581" s="127"/>
      <c r="Y581" s="127"/>
      <c r="Z581" s="127"/>
      <c r="AA581" s="127"/>
    </row>
    <row r="582" spans="1:27">
      <c r="A582" s="127">
        <f ca="1">IFERROR(__xludf.DUMMYFUNCTION("""COMPUTED_VALUE"""),766589657993298)</f>
        <v>766589657993298</v>
      </c>
      <c r="B582" s="127" t="str">
        <f ca="1">IFERROR(__xludf.DUMMYFUNCTION("""COMPUTED_VALUE"""),"120229074253780235")</f>
        <v>120229074253780235</v>
      </c>
      <c r="C582" s="127" t="str">
        <f ca="1">IFERROR(__xludf.DUMMYFUNCTION("""COMPUTED_VALUE"""),"CV. Sun")</f>
        <v>CV. Sun</v>
      </c>
      <c r="D582" s="138" t="str">
        <f ca="1">IFERROR(__xludf.DUMMYFUNCTION("""COMPUTED_VALUE"""),"https://wa.me/6282111180648")</f>
        <v>https://wa.me/6282111180648</v>
      </c>
      <c r="E582" s="139" t="str">
        <f ca="1">IFERROR(__xludf.DUMMYFUNCTION("""COMPUTED_VALUE"""),"6282111180648")</f>
        <v>6282111180648</v>
      </c>
      <c r="F582" s="139">
        <f ca="1">IFERROR(__xludf.DUMMYFUNCTION("""COMPUTED_VALUE"""),5462)</f>
        <v>5462</v>
      </c>
      <c r="G582" s="139">
        <f ca="1">IFERROR(__xludf.DUMMYFUNCTION("""COMPUTED_VALUE"""),30686.75)</f>
        <v>30686.75</v>
      </c>
      <c r="H582" s="139">
        <f ca="1">IFERROR(__xludf.DUMMYFUNCTION("""COMPUTED_VALUE"""),16)</f>
        <v>16</v>
      </c>
      <c r="I582" s="140">
        <f ca="1">IFERROR(__xludf.DUMMYFUNCTION("""COMPUTED_VALUE"""),181122)</f>
        <v>181122</v>
      </c>
      <c r="J582" s="141">
        <f ca="1">IFERROR(__xludf.DUMMYFUNCTION("""COMPUTED_VALUE"""),11320.125)</f>
        <v>11320.125</v>
      </c>
      <c r="K582" s="142">
        <f ca="1">IFERROR(__xludf.DUMMYFUNCTION("""COMPUTED_VALUE"""),12.0748)</f>
        <v>12.0748</v>
      </c>
      <c r="L582" s="143" t="str">
        <f ca="1"/>
        <v>Wiris Variasi</v>
      </c>
      <c r="M582" s="127"/>
      <c r="N582" s="127"/>
      <c r="O582" s="127"/>
      <c r="P582" s="127"/>
      <c r="Q582" s="127"/>
      <c r="R582" s="127"/>
      <c r="S582" s="127"/>
      <c r="T582" s="127"/>
      <c r="U582" s="127"/>
      <c r="V582" s="127"/>
      <c r="W582" s="127"/>
      <c r="X582" s="127"/>
      <c r="Y582" s="127"/>
      <c r="Z582" s="127"/>
      <c r="AA582" s="127"/>
    </row>
    <row r="583" spans="1:27">
      <c r="A583" s="127">
        <f ca="1">IFERROR(__xludf.DUMMYFUNCTION("""COMPUTED_VALUE"""),766589657993298)</f>
        <v>766589657993298</v>
      </c>
      <c r="B583" s="127" t="str">
        <f ca="1">IFERROR(__xludf.DUMMYFUNCTION("""COMPUTED_VALUE"""),"120229076677840235")</f>
        <v>120229076677840235</v>
      </c>
      <c r="C583" s="127" t="str">
        <f ca="1">IFERROR(__xludf.DUMMYFUNCTION("""COMPUTED_VALUE"""),"Sakti Desain")</f>
        <v>Sakti Desain</v>
      </c>
      <c r="D583" s="138" t="str">
        <f ca="1">IFERROR(__xludf.DUMMYFUNCTION("""COMPUTED_VALUE"""),"https://wa.me/628112999165")</f>
        <v>https://wa.me/628112999165</v>
      </c>
      <c r="E583" s="139" t="str">
        <f ca="1">IFERROR(__xludf.DUMMYFUNCTION("""COMPUTED_VALUE"""),"628112999165")</f>
        <v>628112999165</v>
      </c>
      <c r="F583" s="139">
        <f ca="1">IFERROR(__xludf.DUMMYFUNCTION("""COMPUTED_VALUE"""),3208)</f>
        <v>3208</v>
      </c>
      <c r="G583" s="139">
        <f ca="1">IFERROR(__xludf.DUMMYFUNCTION("""COMPUTED_VALUE"""),35921.75)</f>
        <v>35921.75</v>
      </c>
      <c r="H583" s="139">
        <f ca="1">IFERROR(__xludf.DUMMYFUNCTION("""COMPUTED_VALUE"""),6)</f>
        <v>6</v>
      </c>
      <c r="I583" s="140">
        <f ca="1">IFERROR(__xludf.DUMMYFUNCTION("""COMPUTED_VALUE"""),128905)</f>
        <v>128905</v>
      </c>
      <c r="J583" s="141">
        <f ca="1">IFERROR(__xludf.DUMMYFUNCTION("""COMPUTED_VALUE"""),21484.1666666666)</f>
        <v>21484.166666666599</v>
      </c>
      <c r="K583" s="142">
        <f ca="1">IFERROR(__xludf.DUMMYFUNCTION("""COMPUTED_VALUE"""),8.59366666666666)</f>
        <v>8.5936666666666603</v>
      </c>
      <c r="L583" s="143" t="str">
        <f ca="1"/>
        <v>Wiris Variasi</v>
      </c>
      <c r="M583" s="127"/>
      <c r="N583" s="127"/>
      <c r="O583" s="127"/>
      <c r="P583" s="127"/>
      <c r="Q583" s="127"/>
      <c r="R583" s="127"/>
      <c r="S583" s="127"/>
      <c r="T583" s="127"/>
      <c r="U583" s="127"/>
      <c r="V583" s="127"/>
      <c r="W583" s="127"/>
      <c r="X583" s="127"/>
      <c r="Y583" s="127"/>
      <c r="Z583" s="127"/>
      <c r="AA583" s="127"/>
    </row>
    <row r="584" spans="1:27">
      <c r="A584" s="127">
        <f ca="1">IFERROR(__xludf.DUMMYFUNCTION("""COMPUTED_VALUE"""),766589657993298)</f>
        <v>766589657993298</v>
      </c>
      <c r="B584" s="127" t="str">
        <f ca="1">IFERROR(__xludf.DUMMYFUNCTION("""COMPUTED_VALUE"""),"120229094467260235")</f>
        <v>120229094467260235</v>
      </c>
      <c r="C584" s="127" t="str">
        <f ca="1">IFERROR(__xludf.DUMMYFUNCTION("""COMPUTED_VALUE"""),"PANORAMA")</f>
        <v>PANORAMA</v>
      </c>
      <c r="D584" s="139"/>
      <c r="E584" s="139"/>
      <c r="F584" s="139">
        <f ca="1">IFERROR(__xludf.DUMMYFUNCTION("""COMPUTED_VALUE"""),15186)</f>
        <v>15186</v>
      </c>
      <c r="G584" s="139">
        <f ca="1">IFERROR(__xludf.DUMMYFUNCTION("""COMPUTED_VALUE"""),14239.4)</f>
        <v>14239.4</v>
      </c>
      <c r="H584" s="139">
        <f ca="1">IFERROR(__xludf.DUMMYFUNCTION("""COMPUTED_VALUE"""),10)</f>
        <v>10</v>
      </c>
      <c r="I584" s="140">
        <f ca="1">IFERROR(__xludf.DUMMYFUNCTION("""COMPUTED_VALUE"""),237644)</f>
        <v>237644</v>
      </c>
      <c r="J584" s="141">
        <f ca="1">IFERROR(__xludf.DUMMYFUNCTION("""COMPUTED_VALUE"""),23764.4)</f>
        <v>23764.400000000001</v>
      </c>
      <c r="K584" s="142">
        <f ca="1">IFERROR(__xludf.DUMMYFUNCTION("""COMPUTED_VALUE"""),15.8429333333333)</f>
        <v>15.842933333333299</v>
      </c>
      <c r="L584" s="143" t="str">
        <f ca="1"/>
        <v>Wiris Variasi</v>
      </c>
      <c r="M584" s="127"/>
      <c r="N584" s="127"/>
      <c r="O584" s="127"/>
      <c r="P584" s="127"/>
      <c r="Q584" s="127"/>
      <c r="R584" s="127"/>
      <c r="S584" s="127"/>
      <c r="T584" s="127"/>
      <c r="U584" s="127"/>
      <c r="V584" s="127"/>
      <c r="W584" s="127"/>
      <c r="X584" s="127"/>
      <c r="Y584" s="127"/>
      <c r="Z584" s="127"/>
      <c r="AA584" s="127"/>
    </row>
    <row r="585" spans="1:27">
      <c r="A585" s="127">
        <f ca="1">IFERROR(__xludf.DUMMYFUNCTION("""COMPUTED_VALUE"""),766589657993298)</f>
        <v>766589657993298</v>
      </c>
      <c r="B585" s="127" t="str">
        <f ca="1">IFERROR(__xludf.DUMMYFUNCTION("""COMPUTED_VALUE"""),"120229115814120235")</f>
        <v>120229115814120235</v>
      </c>
      <c r="C585" s="127" t="str">
        <f ca="1">IFERROR(__xludf.DUMMYFUNCTION("""COMPUTED_VALUE"""),"Arsyad kontruksi")</f>
        <v>Arsyad kontruksi</v>
      </c>
      <c r="D585" s="138" t="str">
        <f ca="1">IFERROR(__xludf.DUMMYFUNCTION("""COMPUTED_VALUE"""),"https://wa.me/6281384442619")</f>
        <v>https://wa.me/6281384442619</v>
      </c>
      <c r="E585" s="139" t="str">
        <f ca="1">IFERROR(__xludf.DUMMYFUNCTION("""COMPUTED_VALUE"""),"6281384442619")</f>
        <v>6281384442619</v>
      </c>
      <c r="F585" s="139">
        <f ca="1">IFERROR(__xludf.DUMMYFUNCTION("""COMPUTED_VALUE"""),2129)</f>
        <v>2129</v>
      </c>
      <c r="G585" s="139">
        <f ca="1">IFERROR(__xludf.DUMMYFUNCTION("""COMPUTED_VALUE"""),20913.3333333333)</f>
        <v>20913.333333333299</v>
      </c>
      <c r="H585" s="139">
        <f ca="1">IFERROR(__xludf.DUMMYFUNCTION("""COMPUTED_VALUE"""),11)</f>
        <v>11</v>
      </c>
      <c r="I585" s="140">
        <f ca="1">IFERROR(__xludf.DUMMYFUNCTION("""COMPUTED_VALUE"""),44506)</f>
        <v>44506</v>
      </c>
      <c r="J585" s="141">
        <f ca="1">IFERROR(__xludf.DUMMYFUNCTION("""COMPUTED_VALUE"""),4046)</f>
        <v>4046</v>
      </c>
      <c r="K585" s="142">
        <f ca="1">IFERROR(__xludf.DUMMYFUNCTION("""COMPUTED_VALUE"""),2.96706666666666)</f>
        <v>2.9670666666666601</v>
      </c>
      <c r="L585" s="143" t="str">
        <f ca="1"/>
        <v>Wiris Variasi</v>
      </c>
      <c r="M585" s="127"/>
      <c r="N585" s="127"/>
      <c r="O585" s="127"/>
      <c r="P585" s="127"/>
      <c r="Q585" s="127"/>
      <c r="R585" s="127"/>
      <c r="S585" s="127"/>
      <c r="T585" s="127"/>
      <c r="U585" s="127"/>
      <c r="V585" s="127"/>
      <c r="W585" s="127"/>
      <c r="X585" s="127"/>
      <c r="Y585" s="127"/>
      <c r="Z585" s="127"/>
      <c r="AA585" s="127"/>
    </row>
    <row r="586" spans="1:27">
      <c r="A586" s="127">
        <f ca="1">IFERROR(__xludf.DUMMYFUNCTION("""COMPUTED_VALUE"""),766589657993298)</f>
        <v>766589657993298</v>
      </c>
      <c r="B586" s="127" t="str">
        <f ca="1">IFERROR(__xludf.DUMMYFUNCTION("""COMPUTED_VALUE"""),"120229145167880235")</f>
        <v>120229145167880235</v>
      </c>
      <c r="C586" s="127" t="str">
        <f ca="1">IFERROR(__xludf.DUMMYFUNCTION("""COMPUTED_VALUE"""),"CV KALIGIRI")</f>
        <v>CV KALIGIRI</v>
      </c>
      <c r="D586" s="138" t="str">
        <f ca="1">IFERROR(__xludf.DUMMYFUNCTION("""COMPUTED_VALUE"""),"https://wa.me/6281213766426")</f>
        <v>https://wa.me/6281213766426</v>
      </c>
      <c r="E586" s="139" t="str">
        <f ca="1">IFERROR(__xludf.DUMMYFUNCTION("""COMPUTED_VALUE"""),"6281213766426")</f>
        <v>6281213766426</v>
      </c>
      <c r="F586" s="139">
        <f ca="1">IFERROR(__xludf.DUMMYFUNCTION("""COMPUTED_VALUE"""),2433)</f>
        <v>2433</v>
      </c>
      <c r="G586" s="139">
        <f ca="1">IFERROR(__xludf.DUMMYFUNCTION("""COMPUTED_VALUE"""),48638)</f>
        <v>48638</v>
      </c>
      <c r="H586" s="139">
        <f ca="1">IFERROR(__xludf.DUMMYFUNCTION("""COMPUTED_VALUE"""),20)</f>
        <v>20</v>
      </c>
      <c r="I586" s="140">
        <f ca="1">IFERROR(__xludf.DUMMYFUNCTION("""COMPUTED_VALUE"""),124240)</f>
        <v>124240</v>
      </c>
      <c r="J586" s="141">
        <f ca="1">IFERROR(__xludf.DUMMYFUNCTION("""COMPUTED_VALUE"""),6212)</f>
        <v>6212</v>
      </c>
      <c r="K586" s="142">
        <f ca="1">IFERROR(__xludf.DUMMYFUNCTION("""COMPUTED_VALUE"""),8.28266666666666)</f>
        <v>8.2826666666666604</v>
      </c>
      <c r="L586" s="143" t="str">
        <f ca="1"/>
        <v>Wiris Variasi</v>
      </c>
      <c r="M586" s="127"/>
      <c r="N586" s="127"/>
      <c r="O586" s="127"/>
      <c r="P586" s="127"/>
      <c r="Q586" s="127"/>
      <c r="R586" s="127"/>
      <c r="S586" s="127"/>
      <c r="T586" s="127"/>
      <c r="U586" s="127"/>
      <c r="V586" s="127"/>
      <c r="W586" s="127"/>
      <c r="X586" s="127"/>
      <c r="Y586" s="127"/>
      <c r="Z586" s="127"/>
      <c r="AA586" s="127"/>
    </row>
    <row r="587" spans="1:27">
      <c r="A587" s="127">
        <f ca="1">IFERROR(__xludf.DUMMYFUNCTION("""COMPUTED_VALUE"""),766589657993298)</f>
        <v>766589657993298</v>
      </c>
      <c r="B587" s="127" t="str">
        <f ca="1">IFERROR(__xludf.DUMMYFUNCTION("""COMPUTED_VALUE"""),"120229145408470235")</f>
        <v>120229145408470235</v>
      </c>
      <c r="C587" s="127" t="str">
        <f ca="1">IFERROR(__xludf.DUMMYFUNCTION("""COMPUTED_VALUE"""),"Jasa Renofasi")</f>
        <v>Jasa Renofasi</v>
      </c>
      <c r="D587" s="138" t="str">
        <f ca="1">IFERROR(__xludf.DUMMYFUNCTION("""COMPUTED_VALUE"""),"https://wa.me/6285279489086")</f>
        <v>https://wa.me/6285279489086</v>
      </c>
      <c r="E587" s="139" t="str">
        <f ca="1">IFERROR(__xludf.DUMMYFUNCTION("""COMPUTED_VALUE"""),"6285279489086")</f>
        <v>6285279489086</v>
      </c>
      <c r="F587" s="139">
        <f ca="1">IFERROR(__xludf.DUMMYFUNCTION("""COMPUTED_VALUE"""),3002)</f>
        <v>3002</v>
      </c>
      <c r="G587" s="139">
        <f ca="1">IFERROR(__xludf.DUMMYFUNCTION("""COMPUTED_VALUE"""),15407)</f>
        <v>15407</v>
      </c>
      <c r="H587" s="139">
        <f ca="1">IFERROR(__xludf.DUMMYFUNCTION("""COMPUTED_VALUE"""),10)</f>
        <v>10</v>
      </c>
      <c r="I587" s="140">
        <f ca="1">IFERROR(__xludf.DUMMYFUNCTION("""COMPUTED_VALUE"""),43934)</f>
        <v>43934</v>
      </c>
      <c r="J587" s="141">
        <f ca="1">IFERROR(__xludf.DUMMYFUNCTION("""COMPUTED_VALUE"""),4393.4)</f>
        <v>4393.3999999999996</v>
      </c>
      <c r="K587" s="142">
        <f ca="1">IFERROR(__xludf.DUMMYFUNCTION("""COMPUTED_VALUE"""),2.92893333333333)</f>
        <v>2.9289333333333301</v>
      </c>
      <c r="L587" s="143" t="str">
        <f ca="1"/>
        <v>Wiris Variasi</v>
      </c>
      <c r="M587" s="127"/>
      <c r="N587" s="127"/>
      <c r="O587" s="127"/>
      <c r="P587" s="127"/>
      <c r="Q587" s="127"/>
      <c r="R587" s="127"/>
      <c r="S587" s="127"/>
      <c r="T587" s="127"/>
      <c r="U587" s="127"/>
      <c r="V587" s="127"/>
      <c r="W587" s="127"/>
      <c r="X587" s="127"/>
      <c r="Y587" s="127"/>
      <c r="Z587" s="127"/>
      <c r="AA587" s="127"/>
    </row>
    <row r="588" spans="1:27">
      <c r="A588" s="127">
        <f ca="1">IFERROR(__xludf.DUMMYFUNCTION("""COMPUTED_VALUE"""),766589657993298)</f>
        <v>766589657993298</v>
      </c>
      <c r="B588" s="127" t="str">
        <f ca="1">IFERROR(__xludf.DUMMYFUNCTION("""COMPUTED_VALUE"""),"120229146041110235")</f>
        <v>120229146041110235</v>
      </c>
      <c r="C588" s="127" t="str">
        <f ca="1">IFERROR(__xludf.DUMMYFUNCTION("""COMPUTED_VALUE"""),"Keynaara Kontruksi")</f>
        <v>Keynaara Kontruksi</v>
      </c>
      <c r="D588" s="138" t="str">
        <f ca="1">IFERROR(__xludf.DUMMYFUNCTION("""COMPUTED_VALUE"""),"https://wa.me/6289525439559")</f>
        <v>https://wa.me/6289525439559</v>
      </c>
      <c r="E588" s="139" t="str">
        <f ca="1">IFERROR(__xludf.DUMMYFUNCTION("""COMPUTED_VALUE"""),"6289525439559")</f>
        <v>6289525439559</v>
      </c>
      <c r="F588" s="139">
        <f ca="1">IFERROR(__xludf.DUMMYFUNCTION("""COMPUTED_VALUE"""),883)</f>
        <v>883</v>
      </c>
      <c r="G588" s="139">
        <f ca="1">IFERROR(__xludf.DUMMYFUNCTION("""COMPUTED_VALUE"""),53794)</f>
        <v>53794</v>
      </c>
      <c r="H588" s="139">
        <f ca="1">IFERROR(__xludf.DUMMYFUNCTION("""COMPUTED_VALUE"""),6)</f>
        <v>6</v>
      </c>
      <c r="I588" s="140">
        <f ca="1">IFERROR(__xludf.DUMMYFUNCTION("""COMPUTED_VALUE"""),45248)</f>
        <v>45248</v>
      </c>
      <c r="J588" s="141">
        <f ca="1">IFERROR(__xludf.DUMMYFUNCTION("""COMPUTED_VALUE"""),7541.33333333333)</f>
        <v>7541.3333333333303</v>
      </c>
      <c r="K588" s="142">
        <f ca="1">IFERROR(__xludf.DUMMYFUNCTION("""COMPUTED_VALUE"""),3.01653333333333)</f>
        <v>3.0165333333333302</v>
      </c>
      <c r="L588" s="143" t="str">
        <f ca="1"/>
        <v>Wiris Variasi</v>
      </c>
      <c r="M588" s="127"/>
      <c r="N588" s="127"/>
      <c r="O588" s="127"/>
      <c r="P588" s="127"/>
      <c r="Q588" s="127"/>
      <c r="R588" s="127"/>
      <c r="S588" s="127"/>
      <c r="T588" s="127"/>
      <c r="U588" s="127"/>
      <c r="V588" s="127"/>
      <c r="W588" s="127"/>
      <c r="X588" s="127"/>
      <c r="Y588" s="127"/>
      <c r="Z588" s="127"/>
      <c r="AA588" s="127"/>
    </row>
    <row r="589" spans="1:27">
      <c r="A589" s="127">
        <f ca="1">IFERROR(__xludf.DUMMYFUNCTION("""COMPUTED_VALUE"""),766589657993298)</f>
        <v>766589657993298</v>
      </c>
      <c r="B589" s="127" t="str">
        <f ca="1">IFERROR(__xludf.DUMMYFUNCTION("""COMPUTED_VALUE"""),"120229218876160235")</f>
        <v>120229218876160235</v>
      </c>
      <c r="C589" s="143" t="str">
        <f ca="1">IFERROR(__xludf.DUMMYFUNCTION("""COMPUTED_VALUE"""),"Primagriya.com")</f>
        <v>Primagriya.com</v>
      </c>
      <c r="D589" s="138" t="str">
        <f ca="1">IFERROR(__xludf.DUMMYFUNCTION("""COMPUTED_VALUE"""),"https://wa.me/6281239874761")</f>
        <v>https://wa.me/6281239874761</v>
      </c>
      <c r="E589" s="139" t="str">
        <f ca="1">IFERROR(__xludf.DUMMYFUNCTION("""COMPUTED_VALUE"""),"6281239874761")</f>
        <v>6281239874761</v>
      </c>
      <c r="F589" s="139">
        <f ca="1">IFERROR(__xludf.DUMMYFUNCTION("""COMPUTED_VALUE"""),4026)</f>
        <v>4026</v>
      </c>
      <c r="G589" s="139">
        <f ca="1">IFERROR(__xludf.DUMMYFUNCTION("""COMPUTED_VALUE"""),42075.5)</f>
        <v>42075.5</v>
      </c>
      <c r="H589" s="139">
        <f ca="1">IFERROR(__xludf.DUMMYFUNCTION("""COMPUTED_VALUE"""),7)</f>
        <v>7</v>
      </c>
      <c r="I589" s="140">
        <f ca="1">IFERROR(__xludf.DUMMYFUNCTION("""COMPUTED_VALUE"""),189731)</f>
        <v>189731</v>
      </c>
      <c r="J589" s="141">
        <f ca="1">IFERROR(__xludf.DUMMYFUNCTION("""COMPUTED_VALUE"""),27104.4285714285)</f>
        <v>27104.4285714285</v>
      </c>
      <c r="K589" s="142">
        <f ca="1">IFERROR(__xludf.DUMMYFUNCTION("""COMPUTED_VALUE"""),12.6487333333333)</f>
        <v>12.648733333333301</v>
      </c>
      <c r="L589" s="143" t="str">
        <f ca="1"/>
        <v>Wiris Variasi</v>
      </c>
      <c r="M589" s="127"/>
      <c r="N589" s="127"/>
      <c r="O589" s="127"/>
      <c r="P589" s="127"/>
      <c r="Q589" s="127"/>
      <c r="R589" s="127"/>
      <c r="S589" s="127"/>
      <c r="T589" s="127"/>
      <c r="U589" s="127"/>
      <c r="V589" s="127"/>
      <c r="W589" s="127"/>
      <c r="X589" s="127"/>
      <c r="Y589" s="127"/>
      <c r="Z589" s="127"/>
      <c r="AA589" s="127"/>
    </row>
    <row r="590" spans="1:27">
      <c r="A590" s="127">
        <f ca="1">IFERROR(__xludf.DUMMYFUNCTION("""COMPUTED_VALUE"""),766589657993298)</f>
        <v>766589657993298</v>
      </c>
      <c r="B590" s="127" t="str">
        <f ca="1">IFERROR(__xludf.DUMMYFUNCTION("""COMPUTED_VALUE"""),"120229219083550235")</f>
        <v>120229219083550235</v>
      </c>
      <c r="C590" s="127" t="str">
        <f ca="1">IFERROR(__xludf.DUMMYFUNCTION("""COMPUTED_VALUE"""),"Bengkel Las")</f>
        <v>Bengkel Las</v>
      </c>
      <c r="D590" s="138" t="str">
        <f ca="1">IFERROR(__xludf.DUMMYFUNCTION("""COMPUTED_VALUE"""),"https://wa.me/6281394618785")</f>
        <v>https://wa.me/6281394618785</v>
      </c>
      <c r="E590" s="139" t="str">
        <f ca="1">IFERROR(__xludf.DUMMYFUNCTION("""COMPUTED_VALUE"""),"6281394618785")</f>
        <v>6281394618785</v>
      </c>
      <c r="F590" s="139">
        <f ca="1">IFERROR(__xludf.DUMMYFUNCTION("""COMPUTED_VALUE"""),3023)</f>
        <v>3023</v>
      </c>
      <c r="G590" s="139">
        <f ca="1">IFERROR(__xludf.DUMMYFUNCTION("""COMPUTED_VALUE"""),19032)</f>
        <v>19032</v>
      </c>
      <c r="H590" s="139">
        <f ca="1">IFERROR(__xludf.DUMMYFUNCTION("""COMPUTED_VALUE"""),6)</f>
        <v>6</v>
      </c>
      <c r="I590" s="140">
        <f ca="1">IFERROR(__xludf.DUMMYFUNCTION("""COMPUTED_VALUE"""),65864)</f>
        <v>65864</v>
      </c>
      <c r="J590" s="141">
        <f ca="1">IFERROR(__xludf.DUMMYFUNCTION("""COMPUTED_VALUE"""),10977.3333333333)</f>
        <v>10977.333333333299</v>
      </c>
      <c r="K590" s="142">
        <f ca="1">IFERROR(__xludf.DUMMYFUNCTION("""COMPUTED_VALUE"""),4.39093333333333)</f>
        <v>4.3909333333333302</v>
      </c>
      <c r="L590" s="143" t="str">
        <f ca="1"/>
        <v>Wiris Variasi</v>
      </c>
      <c r="M590" s="127"/>
      <c r="N590" s="127"/>
      <c r="O590" s="127"/>
      <c r="P590" s="127"/>
      <c r="Q590" s="127"/>
      <c r="R590" s="127"/>
      <c r="S590" s="127"/>
      <c r="T590" s="127"/>
      <c r="U590" s="127"/>
      <c r="V590" s="127"/>
      <c r="W590" s="127"/>
      <c r="X590" s="127"/>
      <c r="Y590" s="127"/>
      <c r="Z590" s="127"/>
      <c r="AA590" s="127"/>
    </row>
    <row r="591" spans="1:27">
      <c r="A591" s="127">
        <f ca="1">IFERROR(__xludf.DUMMYFUNCTION("""COMPUTED_VALUE"""),766589657993298)</f>
        <v>766589657993298</v>
      </c>
      <c r="B591" s="127" t="str">
        <f ca="1">IFERROR(__xludf.DUMMYFUNCTION("""COMPUTED_VALUE"""),"120229221136410235")</f>
        <v>120229221136410235</v>
      </c>
      <c r="C591" s="127" t="str">
        <f ca="1">IFERROR(__xludf.DUMMYFUNCTION("""COMPUTED_VALUE"""),"Saputra jaya")</f>
        <v>Saputra jaya</v>
      </c>
      <c r="D591" s="138" t="str">
        <f ca="1">IFERROR(__xludf.DUMMYFUNCTION("""COMPUTED_VALUE"""),"https://wa.me/6281310204991")</f>
        <v>https://wa.me/6281310204991</v>
      </c>
      <c r="E591" s="139" t="str">
        <f ca="1">IFERROR(__xludf.DUMMYFUNCTION("""COMPUTED_VALUE"""),"6281310204991")</f>
        <v>6281310204991</v>
      </c>
      <c r="F591" s="139">
        <f ca="1">IFERROR(__xludf.DUMMYFUNCTION("""COMPUTED_VALUE"""),967)</f>
        <v>967</v>
      </c>
      <c r="G591" s="139">
        <f ca="1">IFERROR(__xludf.DUMMYFUNCTION("""COMPUTED_VALUE"""),44422)</f>
        <v>44422</v>
      </c>
      <c r="H591" s="139">
        <f ca="1">IFERROR(__xludf.DUMMYFUNCTION("""COMPUTED_VALUE"""),5)</f>
        <v>5</v>
      </c>
      <c r="I591" s="140">
        <f ca="1">IFERROR(__xludf.DUMMYFUNCTION("""COMPUTED_VALUE"""),45499)</f>
        <v>45499</v>
      </c>
      <c r="J591" s="141">
        <f ca="1">IFERROR(__xludf.DUMMYFUNCTION("""COMPUTED_VALUE"""),9099.8)</f>
        <v>9099.7999999999993</v>
      </c>
      <c r="K591" s="142">
        <f ca="1">IFERROR(__xludf.DUMMYFUNCTION("""COMPUTED_VALUE"""),3.03326666666666)</f>
        <v>3.0332666666666599</v>
      </c>
      <c r="L591" s="143" t="str">
        <f ca="1"/>
        <v>Wiris Variasi</v>
      </c>
      <c r="M591" s="127"/>
      <c r="N591" s="127"/>
      <c r="O591" s="127"/>
      <c r="P591" s="127"/>
      <c r="Q591" s="127"/>
      <c r="R591" s="127"/>
      <c r="S591" s="127"/>
      <c r="T591" s="127"/>
      <c r="U591" s="127"/>
      <c r="V591" s="127"/>
      <c r="W591" s="127"/>
      <c r="X591" s="127"/>
      <c r="Y591" s="127"/>
      <c r="Z591" s="127"/>
      <c r="AA591" s="127"/>
    </row>
    <row r="592" spans="1:27">
      <c r="A592" s="127">
        <f ca="1">IFERROR(__xludf.DUMMYFUNCTION("""COMPUTED_VALUE"""),766589657993298)</f>
        <v>766589657993298</v>
      </c>
      <c r="B592" s="127" t="str">
        <f ca="1">IFERROR(__xludf.DUMMYFUNCTION("""COMPUTED_VALUE"""),"120229274552110235")</f>
        <v>120229274552110235</v>
      </c>
      <c r="C592" s="127" t="str">
        <f ca="1">IFERROR(__xludf.DUMMYFUNCTION("""COMPUTED_VALUE"""),"Ragam LASINDO")</f>
        <v>Ragam LASINDO</v>
      </c>
      <c r="D592" s="138" t="str">
        <f ca="1">IFERROR(__xludf.DUMMYFUNCTION("""COMPUTED_VALUE"""),"https://wa.me/6285814054475")</f>
        <v>https://wa.me/6285814054475</v>
      </c>
      <c r="E592" s="139" t="str">
        <f ca="1">IFERROR(__xludf.DUMMYFUNCTION("""COMPUTED_VALUE"""),"6285814054475")</f>
        <v>6285814054475</v>
      </c>
      <c r="F592" s="139">
        <f ca="1">IFERROR(__xludf.DUMMYFUNCTION("""COMPUTED_VALUE"""),10462)</f>
        <v>10462</v>
      </c>
      <c r="G592" s="139">
        <f ca="1">IFERROR(__xludf.DUMMYFUNCTION("""COMPUTED_VALUE"""),8961.42857142857)</f>
        <v>8961.4285714285706</v>
      </c>
      <c r="H592" s="139">
        <f ca="1">IFERROR(__xludf.DUMMYFUNCTION("""COMPUTED_VALUE"""),79)</f>
        <v>79</v>
      </c>
      <c r="I592" s="140">
        <f ca="1">IFERROR(__xludf.DUMMYFUNCTION("""COMPUTED_VALUE"""),107803)</f>
        <v>107803</v>
      </c>
      <c r="J592" s="141">
        <f ca="1">IFERROR(__xludf.DUMMYFUNCTION("""COMPUTED_VALUE"""),1364.59493670886)</f>
        <v>1364.5949367088599</v>
      </c>
      <c r="K592" s="142">
        <f ca="1">IFERROR(__xludf.DUMMYFUNCTION("""COMPUTED_VALUE"""),7.18686666666666)</f>
        <v>7.1868666666666599</v>
      </c>
      <c r="L592" s="143" t="str">
        <f ca="1"/>
        <v>Wiris Variasi</v>
      </c>
      <c r="M592" s="127"/>
      <c r="N592" s="127"/>
      <c r="O592" s="127"/>
      <c r="P592" s="127"/>
      <c r="Q592" s="127"/>
      <c r="R592" s="127"/>
      <c r="S592" s="127"/>
      <c r="T592" s="127"/>
      <c r="U592" s="127"/>
      <c r="V592" s="127"/>
      <c r="W592" s="127"/>
      <c r="X592" s="127"/>
      <c r="Y592" s="127"/>
      <c r="Z592" s="127"/>
      <c r="AA592" s="127"/>
    </row>
    <row r="593" spans="1:27">
      <c r="A593" s="127">
        <f ca="1">IFERROR(__xludf.DUMMYFUNCTION("""COMPUTED_VALUE"""),766589657993298)</f>
        <v>766589657993298</v>
      </c>
      <c r="B593" s="127" t="str">
        <f ca="1">IFERROR(__xludf.DUMMYFUNCTION("""COMPUTED_VALUE"""),"120229312414330235")</f>
        <v>120229312414330235</v>
      </c>
      <c r="C593" s="127" t="str">
        <f ca="1">IFERROR(__xludf.DUMMYFUNCTION("""COMPUTED_VALUE"""),"Jasa Motif")</f>
        <v>Jasa Motif</v>
      </c>
      <c r="D593" s="138" t="str">
        <f ca="1">IFERROR(__xludf.DUMMYFUNCTION("""COMPUTED_VALUE"""),"https://wa.me/6282111000133")</f>
        <v>https://wa.me/6282111000133</v>
      </c>
      <c r="E593" s="139" t="str">
        <f ca="1">IFERROR(__xludf.DUMMYFUNCTION("""COMPUTED_VALUE"""),"6282111000133")</f>
        <v>6282111000133</v>
      </c>
      <c r="F593" s="139">
        <f ca="1">IFERROR(__xludf.DUMMYFUNCTION("""COMPUTED_VALUE"""),3926)</f>
        <v>3926</v>
      </c>
      <c r="G593" s="139">
        <f ca="1">IFERROR(__xludf.DUMMYFUNCTION("""COMPUTED_VALUE"""),26260.8571428571)</f>
        <v>26260.857142857101</v>
      </c>
      <c r="H593" s="139">
        <f ca="1">IFERROR(__xludf.DUMMYFUNCTION("""COMPUTED_VALUE"""),29)</f>
        <v>29</v>
      </c>
      <c r="I593" s="140">
        <f ca="1">IFERROR(__xludf.DUMMYFUNCTION("""COMPUTED_VALUE"""),111970)</f>
        <v>111970</v>
      </c>
      <c r="J593" s="141">
        <f ca="1">IFERROR(__xludf.DUMMYFUNCTION("""COMPUTED_VALUE"""),3861.03448275862)</f>
        <v>3861.03448275862</v>
      </c>
      <c r="K593" s="142">
        <f ca="1">IFERROR(__xludf.DUMMYFUNCTION("""COMPUTED_VALUE"""),7.46466666666666)</f>
        <v>7.4646666666666599</v>
      </c>
      <c r="L593" s="143" t="str">
        <f ca="1"/>
        <v>Wiris Variasi</v>
      </c>
      <c r="M593" s="127"/>
      <c r="N593" s="127"/>
      <c r="O593" s="127"/>
      <c r="P593" s="127"/>
      <c r="Q593" s="127"/>
      <c r="R593" s="127"/>
      <c r="S593" s="127"/>
      <c r="T593" s="127"/>
      <c r="U593" s="127"/>
      <c r="V593" s="127"/>
      <c r="W593" s="127"/>
      <c r="X593" s="127"/>
      <c r="Y593" s="127"/>
      <c r="Z593" s="127"/>
      <c r="AA593" s="127"/>
    </row>
    <row r="594" spans="1:27">
      <c r="A594" s="127">
        <f ca="1">IFERROR(__xludf.DUMMYFUNCTION("""COMPUTED_VALUE"""),766589657993298)</f>
        <v>766589657993298</v>
      </c>
      <c r="B594" s="127" t="str">
        <f ca="1">IFERROR(__xludf.DUMMYFUNCTION("""COMPUTED_VALUE"""),"120229313795910235")</f>
        <v>120229313795910235</v>
      </c>
      <c r="C594" s="127" t="str">
        <f ca="1">IFERROR(__xludf.DUMMYFUNCTION("""COMPUTED_VALUE"""),"Bangun Renov")</f>
        <v>Bangun Renov</v>
      </c>
      <c r="D594" s="138" t="str">
        <f ca="1">IFERROR(__xludf.DUMMYFUNCTION("""COMPUTED_VALUE"""),"https://wa.me/62812")</f>
        <v>https://wa.me/62812</v>
      </c>
      <c r="E594" s="139" t="str">
        <f ca="1">IFERROR(__xludf.DUMMYFUNCTION("""COMPUTED_VALUE"""),"62812")</f>
        <v>62812</v>
      </c>
      <c r="F594" s="139">
        <f ca="1">IFERROR(__xludf.DUMMYFUNCTION("""COMPUTED_VALUE"""),1258)</f>
        <v>1258</v>
      </c>
      <c r="G594" s="139">
        <f ca="1">IFERROR(__xludf.DUMMYFUNCTION("""COMPUTED_VALUE"""),46331)</f>
        <v>46331</v>
      </c>
      <c r="H594" s="139">
        <f ca="1">IFERROR(__xludf.DUMMYFUNCTION("""COMPUTED_VALUE"""),9)</f>
        <v>9</v>
      </c>
      <c r="I594" s="140">
        <f ca="1">IFERROR(__xludf.DUMMYFUNCTION("""COMPUTED_VALUE"""),64426)</f>
        <v>64426</v>
      </c>
      <c r="J594" s="141">
        <f ca="1">IFERROR(__xludf.DUMMYFUNCTION("""COMPUTED_VALUE"""),7158.44444444444)</f>
        <v>7158.4444444444398</v>
      </c>
      <c r="K594" s="142">
        <f ca="1">IFERROR(__xludf.DUMMYFUNCTION("""COMPUTED_VALUE"""),4.29506666666666)</f>
        <v>4.2950666666666599</v>
      </c>
      <c r="L594" s="143" t="str">
        <f ca="1"/>
        <v>Wiris Variasi</v>
      </c>
      <c r="M594" s="127"/>
      <c r="N594" s="127"/>
      <c r="O594" s="127"/>
      <c r="P594" s="127"/>
      <c r="Q594" s="127"/>
      <c r="R594" s="127"/>
      <c r="S594" s="127"/>
      <c r="T594" s="127"/>
      <c r="U594" s="127"/>
      <c r="V594" s="127"/>
      <c r="W594" s="127"/>
      <c r="X594" s="127"/>
      <c r="Y594" s="127"/>
      <c r="Z594" s="127"/>
      <c r="AA594" s="127"/>
    </row>
    <row r="595" spans="1:27">
      <c r="A595" s="127">
        <f ca="1">IFERROR(__xludf.DUMMYFUNCTION("""COMPUTED_VALUE"""),766589657993298)</f>
        <v>766589657993298</v>
      </c>
      <c r="B595" s="127" t="str">
        <f ca="1">IFERROR(__xludf.DUMMYFUNCTION("""COMPUTED_VALUE"""),"120229315008770235")</f>
        <v>120229315008770235</v>
      </c>
      <c r="C595" s="127" t="str">
        <f ca="1">IFERROR(__xludf.DUMMYFUNCTION("""COMPUTED_VALUE"""),"CV REGAN")</f>
        <v>CV REGAN</v>
      </c>
      <c r="D595" s="138" t="str">
        <f ca="1">IFERROR(__xludf.DUMMYFUNCTION("""COMPUTED_VALUE"""),"https://wa.me/6285853370682")</f>
        <v>https://wa.me/6285853370682</v>
      </c>
      <c r="E595" s="139" t="str">
        <f ca="1">IFERROR(__xludf.DUMMYFUNCTION("""COMPUTED_VALUE"""),"6285853370682")</f>
        <v>6285853370682</v>
      </c>
      <c r="F595" s="139">
        <f ca="1">IFERROR(__xludf.DUMMYFUNCTION("""COMPUTED_VALUE"""),3912)</f>
        <v>3912</v>
      </c>
      <c r="G595" s="139">
        <f ca="1">IFERROR(__xludf.DUMMYFUNCTION("""COMPUTED_VALUE"""),15418.75)</f>
        <v>15418.75</v>
      </c>
      <c r="H595" s="139">
        <f ca="1">IFERROR(__xludf.DUMMYFUNCTION("""COMPUTED_VALUE"""),2)</f>
        <v>2</v>
      </c>
      <c r="I595" s="140">
        <f ca="1">IFERROR(__xludf.DUMMYFUNCTION("""COMPUTED_VALUE"""),67922)</f>
        <v>67922</v>
      </c>
      <c r="J595" s="141">
        <f ca="1">IFERROR(__xludf.DUMMYFUNCTION("""COMPUTED_VALUE"""),33961)</f>
        <v>33961</v>
      </c>
      <c r="K595" s="142">
        <f ca="1">IFERROR(__xludf.DUMMYFUNCTION("""COMPUTED_VALUE"""),4.52813333333333)</f>
        <v>4.5281333333333302</v>
      </c>
      <c r="L595" s="143" t="str">
        <f ca="1"/>
        <v>Wiris Variasi</v>
      </c>
      <c r="M595" s="127"/>
      <c r="N595" s="127"/>
      <c r="O595" s="127"/>
      <c r="P595" s="127"/>
      <c r="Q595" s="127"/>
      <c r="R595" s="127"/>
      <c r="S595" s="127"/>
      <c r="T595" s="127"/>
      <c r="U595" s="127"/>
      <c r="V595" s="127"/>
      <c r="W595" s="127"/>
      <c r="X595" s="127"/>
      <c r="Y595" s="127"/>
      <c r="Z595" s="127"/>
      <c r="AA595" s="127"/>
    </row>
    <row r="596" spans="1:27">
      <c r="A596" s="127">
        <f ca="1">IFERROR(__xludf.DUMMYFUNCTION("""COMPUTED_VALUE"""),766589657993298)</f>
        <v>766589657993298</v>
      </c>
      <c r="B596" s="127" t="str">
        <f ca="1">IFERROR(__xludf.DUMMYFUNCTION("""COMPUTED_VALUE"""),"120229445583580235")</f>
        <v>120229445583580235</v>
      </c>
      <c r="C596" s="127" t="str">
        <f ca="1">IFERROR(__xludf.DUMMYFUNCTION("""COMPUTED_VALUE"""),"CV NUANSA PROFIL")</f>
        <v>CV NUANSA PROFIL</v>
      </c>
      <c r="D596" s="139"/>
      <c r="E596" s="139"/>
      <c r="F596" s="139">
        <f ca="1">IFERROR(__xludf.DUMMYFUNCTION("""COMPUTED_VALUE"""),1091)</f>
        <v>1091</v>
      </c>
      <c r="G596" s="139">
        <f ca="1">IFERROR(__xludf.DUMMYFUNCTION("""COMPUTED_VALUE"""),22526.5)</f>
        <v>22526.5</v>
      </c>
      <c r="H596" s="139">
        <f ca="1">IFERROR(__xludf.DUMMYFUNCTION("""COMPUTED_VALUE"""),6)</f>
        <v>6</v>
      </c>
      <c r="I596" s="140">
        <f ca="1">IFERROR(__xludf.DUMMYFUNCTION("""COMPUTED_VALUE"""),30325)</f>
        <v>30325</v>
      </c>
      <c r="J596" s="141">
        <f ca="1">IFERROR(__xludf.DUMMYFUNCTION("""COMPUTED_VALUE"""),5054.16666666666)</f>
        <v>5054.1666666666597</v>
      </c>
      <c r="K596" s="142">
        <f ca="1">IFERROR(__xludf.DUMMYFUNCTION("""COMPUTED_VALUE"""),2.02166666666666)</f>
        <v>2.0216666666666598</v>
      </c>
      <c r="L596" s="143" t="str">
        <f ca="1"/>
        <v>Wiris Variasi</v>
      </c>
      <c r="M596" s="127"/>
      <c r="N596" s="127"/>
      <c r="O596" s="127"/>
      <c r="P596" s="127"/>
      <c r="Q596" s="127"/>
      <c r="R596" s="127"/>
      <c r="S596" s="127"/>
      <c r="T596" s="127"/>
      <c r="U596" s="127"/>
      <c r="V596" s="127"/>
      <c r="W596" s="127"/>
      <c r="X596" s="127"/>
      <c r="Y596" s="127"/>
      <c r="Z596" s="127"/>
      <c r="AA596" s="127"/>
    </row>
    <row r="597" spans="1:27">
      <c r="A597" s="127">
        <f ca="1">IFERROR(__xludf.DUMMYFUNCTION("""COMPUTED_VALUE"""),766589657993298)</f>
        <v>766589657993298</v>
      </c>
      <c r="B597" s="127" t="str">
        <f ca="1">IFERROR(__xludf.DUMMYFUNCTION("""COMPUTED_VALUE"""),"120229445583580235")</f>
        <v>120229445583580235</v>
      </c>
      <c r="C597" s="127" t="str">
        <f ca="1">IFERROR(__xludf.DUMMYFUNCTION("""COMPUTED_VALUE"""),"Cv Nuansa")</f>
        <v>Cv Nuansa</v>
      </c>
      <c r="D597" s="138" t="str">
        <f ca="1">IFERROR(__xludf.DUMMYFUNCTION("""COMPUTED_VALUE"""),"https://wa.me/6282310465999")</f>
        <v>https://wa.me/6282310465999</v>
      </c>
      <c r="E597" s="139" t="str">
        <f ca="1">IFERROR(__xludf.DUMMYFUNCTION("""COMPUTED_VALUE"""),"6282310465999")</f>
        <v>6282310465999</v>
      </c>
      <c r="F597" s="139">
        <f ca="1">IFERROR(__xludf.DUMMYFUNCTION("""COMPUTED_VALUE"""),8223)</f>
        <v>8223</v>
      </c>
      <c r="G597" s="139">
        <f ca="1">IFERROR(__xludf.DUMMYFUNCTION("""COMPUTED_VALUE"""),19661.2727272727)</f>
        <v>19661.272727272699</v>
      </c>
      <c r="H597" s="139">
        <f ca="1">IFERROR(__xludf.DUMMYFUNCTION("""COMPUTED_VALUE"""),14)</f>
        <v>14</v>
      </c>
      <c r="I597" s="140">
        <f ca="1">IFERROR(__xludf.DUMMYFUNCTION("""COMPUTED_VALUE"""),180547)</f>
        <v>180547</v>
      </c>
      <c r="J597" s="141">
        <f ca="1">IFERROR(__xludf.DUMMYFUNCTION("""COMPUTED_VALUE"""),12896.2142857142)</f>
        <v>12896.214285714201</v>
      </c>
      <c r="K597" s="142">
        <f ca="1">IFERROR(__xludf.DUMMYFUNCTION("""COMPUTED_VALUE"""),12.0364666666666)</f>
        <v>12.0364666666666</v>
      </c>
      <c r="L597" s="143" t="str">
        <f ca="1"/>
        <v>Wiris Variasi</v>
      </c>
      <c r="M597" s="127"/>
      <c r="N597" s="127"/>
      <c r="O597" s="127"/>
      <c r="P597" s="127"/>
      <c r="Q597" s="127"/>
      <c r="R597" s="127"/>
      <c r="S597" s="127"/>
      <c r="T597" s="127"/>
      <c r="U597" s="127"/>
      <c r="V597" s="127"/>
      <c r="W597" s="127"/>
      <c r="X597" s="127"/>
      <c r="Y597" s="127"/>
      <c r="Z597" s="127"/>
      <c r="AA597" s="127"/>
    </row>
    <row r="598" spans="1:27">
      <c r="A598" s="127">
        <f ca="1">IFERROR(__xludf.DUMMYFUNCTION("""COMPUTED_VALUE"""),766589657993298)</f>
        <v>766589657993298</v>
      </c>
      <c r="B598" s="127" t="str">
        <f ca="1">IFERROR(__xludf.DUMMYFUNCTION("""COMPUTED_VALUE"""),"120229446391380235")</f>
        <v>120229446391380235</v>
      </c>
      <c r="C598" s="127" t="str">
        <f ca="1">IFERROR(__xludf.DUMMYFUNCTION("""COMPUTED_VALUE"""),"KARYA JASA")</f>
        <v>KARYA JASA</v>
      </c>
      <c r="D598" s="139"/>
      <c r="E598" s="139"/>
      <c r="F598" s="139">
        <f ca="1">IFERROR(__xludf.DUMMYFUNCTION("""COMPUTED_VALUE"""),820)</f>
        <v>820</v>
      </c>
      <c r="G598" s="139">
        <f ca="1">IFERROR(__xludf.DUMMYFUNCTION("""COMPUTED_VALUE"""),33827)</f>
        <v>33827</v>
      </c>
      <c r="H598" s="139">
        <f ca="1">IFERROR(__xludf.DUMMYFUNCTION("""COMPUTED_VALUE"""),16)</f>
        <v>16</v>
      </c>
      <c r="I598" s="140">
        <f ca="1">IFERROR(__xludf.DUMMYFUNCTION("""COMPUTED_VALUE"""),31563)</f>
        <v>31563</v>
      </c>
      <c r="J598" s="141">
        <f ca="1">IFERROR(__xludf.DUMMYFUNCTION("""COMPUTED_VALUE"""),1972.6875)</f>
        <v>1972.6875</v>
      </c>
      <c r="K598" s="142">
        <f ca="1">IFERROR(__xludf.DUMMYFUNCTION("""COMPUTED_VALUE"""),2.1042)</f>
        <v>2.1042000000000001</v>
      </c>
      <c r="L598" s="143" t="str">
        <f ca="1"/>
        <v>Wiris Variasi</v>
      </c>
      <c r="M598" s="127"/>
      <c r="N598" s="127"/>
      <c r="O598" s="127"/>
      <c r="P598" s="127"/>
      <c r="Q598" s="127"/>
      <c r="R598" s="127"/>
      <c r="S598" s="127"/>
      <c r="T598" s="127"/>
      <c r="U598" s="127"/>
      <c r="V598" s="127"/>
      <c r="W598" s="127"/>
      <c r="X598" s="127"/>
      <c r="Y598" s="127"/>
      <c r="Z598" s="127"/>
      <c r="AA598" s="127"/>
    </row>
    <row r="599" spans="1:27">
      <c r="A599" s="127">
        <f ca="1">IFERROR(__xludf.DUMMYFUNCTION("""COMPUTED_VALUE"""),766589657993298)</f>
        <v>766589657993298</v>
      </c>
      <c r="B599" s="127" t="str">
        <f ca="1">IFERROR(__xludf.DUMMYFUNCTION("""COMPUTED_VALUE"""),"120229446391380235")</f>
        <v>120229446391380235</v>
      </c>
      <c r="C599" s="127" t="str">
        <f ca="1">IFERROR(__xludf.DUMMYFUNCTION("""COMPUTED_VALUE"""),"Karya Jasa")</f>
        <v>Karya Jasa</v>
      </c>
      <c r="D599" s="138" t="str">
        <f ca="1">IFERROR(__xludf.DUMMYFUNCTION("""COMPUTED_VALUE"""),"https://wa.me/6285811444456")</f>
        <v>https://wa.me/6285811444456</v>
      </c>
      <c r="E599" s="139" t="str">
        <f ca="1">IFERROR(__xludf.DUMMYFUNCTION("""COMPUTED_VALUE"""),"6285811444456")</f>
        <v>6285811444456</v>
      </c>
      <c r="F599" s="139">
        <f ca="1">IFERROR(__xludf.DUMMYFUNCTION("""COMPUTED_VALUE"""),1160)</f>
        <v>1160</v>
      </c>
      <c r="G599" s="139">
        <f ca="1">IFERROR(__xludf.DUMMYFUNCTION("""COMPUTED_VALUE"""),34965.6666666666)</f>
        <v>34965.666666666599</v>
      </c>
      <c r="H599" s="139">
        <f ca="1">IFERROR(__xludf.DUMMYFUNCTION("""COMPUTED_VALUE"""),11)</f>
        <v>11</v>
      </c>
      <c r="I599" s="140">
        <f ca="1">IFERROR(__xludf.DUMMYFUNCTION("""COMPUTED_VALUE"""),44704)</f>
        <v>44704</v>
      </c>
      <c r="J599" s="141">
        <f ca="1">IFERROR(__xludf.DUMMYFUNCTION("""COMPUTED_VALUE"""),4064)</f>
        <v>4064</v>
      </c>
      <c r="K599" s="142">
        <f ca="1">IFERROR(__xludf.DUMMYFUNCTION("""COMPUTED_VALUE"""),2.98026666666666)</f>
        <v>2.98026666666666</v>
      </c>
      <c r="L599" s="143" t="str">
        <f ca="1"/>
        <v>Wiris Variasi</v>
      </c>
      <c r="M599" s="127"/>
      <c r="N599" s="127"/>
      <c r="O599" s="127"/>
      <c r="P599" s="127"/>
      <c r="Q599" s="127"/>
      <c r="R599" s="127"/>
      <c r="S599" s="127"/>
      <c r="T599" s="127"/>
      <c r="U599" s="127"/>
      <c r="V599" s="127"/>
      <c r="W599" s="127"/>
      <c r="X599" s="127"/>
      <c r="Y599" s="127"/>
      <c r="Z599" s="127"/>
      <c r="AA599" s="127"/>
    </row>
    <row r="600" spans="1:27">
      <c r="A600" s="127">
        <f ca="1">IFERROR(__xludf.DUMMYFUNCTION("""COMPUTED_VALUE"""),766589657993298)</f>
        <v>766589657993298</v>
      </c>
      <c r="B600" s="127" t="str">
        <f ca="1">IFERROR(__xludf.DUMMYFUNCTION("""COMPUTED_VALUE"""),"120229482872540235")</f>
        <v>120229482872540235</v>
      </c>
      <c r="C600" s="127" t="str">
        <f ca="1">IFERROR(__xludf.DUMMYFUNCTION("""COMPUTED_VALUE"""),"Indointerior")</f>
        <v>Indointerior</v>
      </c>
      <c r="D600" s="139"/>
      <c r="E600" s="139"/>
      <c r="F600" s="139">
        <f ca="1">IFERROR(__xludf.DUMMYFUNCTION("""COMPUTED_VALUE"""),48)</f>
        <v>48</v>
      </c>
      <c r="G600" s="139">
        <f ca="1">IFERROR(__xludf.DUMMYFUNCTION("""COMPUTED_VALUE"""),25082)</f>
        <v>25082</v>
      </c>
      <c r="H600" s="139">
        <f ca="1">IFERROR(__xludf.DUMMYFUNCTION("""COMPUTED_VALUE"""),1)</f>
        <v>1</v>
      </c>
      <c r="I600" s="140">
        <f ca="1">IFERROR(__xludf.DUMMYFUNCTION("""COMPUTED_VALUE"""),1229)</f>
        <v>1229</v>
      </c>
      <c r="J600" s="141">
        <f ca="1">IFERROR(__xludf.DUMMYFUNCTION("""COMPUTED_VALUE"""),1229)</f>
        <v>1229</v>
      </c>
      <c r="K600" s="142">
        <f ca="1">IFERROR(__xludf.DUMMYFUNCTION("""COMPUTED_VALUE"""),0.0819333333333333)</f>
        <v>8.1933333333333302E-2</v>
      </c>
      <c r="L600" s="143" t="str">
        <f ca="1"/>
        <v>Wiris Variasi</v>
      </c>
      <c r="M600" s="127"/>
      <c r="N600" s="127"/>
      <c r="O600" s="127"/>
      <c r="P600" s="127"/>
      <c r="Q600" s="127"/>
      <c r="R600" s="127"/>
      <c r="S600" s="127"/>
      <c r="T600" s="127"/>
      <c r="U600" s="127"/>
      <c r="V600" s="127"/>
      <c r="W600" s="127"/>
      <c r="X600" s="127"/>
      <c r="Y600" s="127"/>
      <c r="Z600" s="127"/>
      <c r="AA600" s="127"/>
    </row>
    <row r="601" spans="1:27">
      <c r="A601" s="127">
        <f ca="1">IFERROR(__xludf.DUMMYFUNCTION("""COMPUTED_VALUE"""),766589657993298)</f>
        <v>766589657993298</v>
      </c>
      <c r="B601" s="127" t="str">
        <f ca="1">IFERROR(__xludf.DUMMYFUNCTION("""COMPUTED_VALUE"""),"120229482872540235")</f>
        <v>120229482872540235</v>
      </c>
      <c r="C601" s="127" t="str">
        <f ca="1">IFERROR(__xludf.DUMMYFUNCTION("""COMPUTED_VALUE"""),"Indointerior")</f>
        <v>Indointerior</v>
      </c>
      <c r="D601" s="138" t="str">
        <f ca="1">IFERROR(__xludf.DUMMYFUNCTION("""COMPUTED_VALUE"""),"https://wa.me/6285169411418")</f>
        <v>https://wa.me/6285169411418</v>
      </c>
      <c r="E601" s="139" t="str">
        <f ca="1">IFERROR(__xludf.DUMMYFUNCTION("""COMPUTED_VALUE"""),"6285169411418")</f>
        <v>6285169411418</v>
      </c>
      <c r="F601" s="139">
        <f ca="1">IFERROR(__xludf.DUMMYFUNCTION("""COMPUTED_VALUE"""),1904)</f>
        <v>1904</v>
      </c>
      <c r="G601" s="139">
        <f ca="1">IFERROR(__xludf.DUMMYFUNCTION("""COMPUTED_VALUE"""),30518.75)</f>
        <v>30518.75</v>
      </c>
      <c r="H601" s="139">
        <f ca="1">IFERROR(__xludf.DUMMYFUNCTION("""COMPUTED_VALUE"""),7)</f>
        <v>7</v>
      </c>
      <c r="I601" s="140">
        <f ca="1">IFERROR(__xludf.DUMMYFUNCTION("""COMPUTED_VALUE"""),61528)</f>
        <v>61528</v>
      </c>
      <c r="J601" s="141">
        <f ca="1">IFERROR(__xludf.DUMMYFUNCTION("""COMPUTED_VALUE"""),8789.71428571428)</f>
        <v>8789.7142857142808</v>
      </c>
      <c r="K601" s="142">
        <f ca="1">IFERROR(__xludf.DUMMYFUNCTION("""COMPUTED_VALUE"""),4.10186666666666)</f>
        <v>4.1018666666666599</v>
      </c>
      <c r="L601" s="143" t="str">
        <f ca="1"/>
        <v>Wiris Variasi</v>
      </c>
      <c r="M601" s="127"/>
      <c r="N601" s="127"/>
      <c r="O601" s="127"/>
      <c r="P601" s="127"/>
      <c r="Q601" s="127"/>
      <c r="R601" s="127"/>
      <c r="S601" s="127"/>
      <c r="T601" s="127"/>
      <c r="U601" s="127"/>
      <c r="V601" s="127"/>
      <c r="W601" s="127"/>
      <c r="X601" s="127"/>
      <c r="Y601" s="127"/>
      <c r="Z601" s="127"/>
      <c r="AA601" s="127"/>
    </row>
    <row r="602" spans="1:27">
      <c r="A602" s="127">
        <f ca="1">IFERROR(__xludf.DUMMYFUNCTION("""COMPUTED_VALUE"""),766589657993298)</f>
        <v>766589657993298</v>
      </c>
      <c r="B602" s="127" t="str">
        <f ca="1">IFERROR(__xludf.DUMMYFUNCTION("""COMPUTED_VALUE"""),"120229500053770235")</f>
        <v>120229500053770235</v>
      </c>
      <c r="C602" s="127" t="str">
        <f ca="1">IFERROR(__xludf.DUMMYFUNCTION("""COMPUTED_VALUE"""),"Pangauban Endah")</f>
        <v>Pangauban Endah</v>
      </c>
      <c r="D602" s="138" t="str">
        <f ca="1">IFERROR(__xludf.DUMMYFUNCTION("""COMPUTED_VALUE"""),"https://wa.me/6285186029090")</f>
        <v>https://wa.me/6285186029090</v>
      </c>
      <c r="E602" s="139" t="str">
        <f ca="1">IFERROR(__xludf.DUMMYFUNCTION("""COMPUTED_VALUE"""),"6285186029090")</f>
        <v>6285186029090</v>
      </c>
      <c r="F602" s="139">
        <f ca="1">IFERROR(__xludf.DUMMYFUNCTION("""COMPUTED_VALUE"""),4877)</f>
        <v>4877</v>
      </c>
      <c r="G602" s="139">
        <f ca="1">IFERROR(__xludf.DUMMYFUNCTION("""COMPUTED_VALUE"""),24398)</f>
        <v>24398</v>
      </c>
      <c r="H602" s="139">
        <f ca="1">IFERROR(__xludf.DUMMYFUNCTION("""COMPUTED_VALUE"""),45)</f>
        <v>45</v>
      </c>
      <c r="I602" s="140">
        <f ca="1">IFERROR(__xludf.DUMMYFUNCTION("""COMPUTED_VALUE"""),112813)</f>
        <v>112813</v>
      </c>
      <c r="J602" s="141">
        <f ca="1">IFERROR(__xludf.DUMMYFUNCTION("""COMPUTED_VALUE"""),2506.95555555555)</f>
        <v>2506.9555555555498</v>
      </c>
      <c r="K602" s="142">
        <f ca="1">IFERROR(__xludf.DUMMYFUNCTION("""COMPUTED_VALUE"""),7.52086666666666)</f>
        <v>7.5208666666666604</v>
      </c>
      <c r="L602" s="143" t="str">
        <f ca="1"/>
        <v>Wiris Variasi</v>
      </c>
      <c r="M602" s="127"/>
      <c r="N602" s="127"/>
      <c r="O602" s="127"/>
      <c r="P602" s="127"/>
      <c r="Q602" s="127"/>
      <c r="R602" s="127"/>
      <c r="S602" s="127"/>
      <c r="T602" s="127"/>
      <c r="U602" s="127"/>
      <c r="V602" s="127"/>
      <c r="W602" s="127"/>
      <c r="X602" s="127"/>
      <c r="Y602" s="127"/>
      <c r="Z602" s="127"/>
      <c r="AA602" s="127"/>
    </row>
    <row r="603" spans="1:27">
      <c r="A603" s="127">
        <f ca="1">IFERROR(__xludf.DUMMYFUNCTION("""COMPUTED_VALUE"""),766589657993298)</f>
        <v>766589657993298</v>
      </c>
      <c r="B603" s="127" t="str">
        <f ca="1">IFERROR(__xludf.DUMMYFUNCTION("""COMPUTED_VALUE"""),"120229570652970235")</f>
        <v>120229570652970235</v>
      </c>
      <c r="C603" s="127" t="str">
        <f ca="1">IFERROR(__xludf.DUMMYFUNCTION("""COMPUTED_VALUE"""),"Naufal interior")</f>
        <v>Naufal interior</v>
      </c>
      <c r="D603" s="138" t="str">
        <f ca="1">IFERROR(__xludf.DUMMYFUNCTION("""COMPUTED_VALUE"""),"https://wa.me/6281347321820")</f>
        <v>https://wa.me/6281347321820</v>
      </c>
      <c r="E603" s="139" t="str">
        <f ca="1">IFERROR(__xludf.DUMMYFUNCTION("""COMPUTED_VALUE"""),"6281347321820")</f>
        <v>6281347321820</v>
      </c>
      <c r="F603" s="139">
        <f ca="1">IFERROR(__xludf.DUMMYFUNCTION("""COMPUTED_VALUE"""),4401)</f>
        <v>4401</v>
      </c>
      <c r="G603" s="139">
        <f ca="1">IFERROR(__xludf.DUMMYFUNCTION("""COMPUTED_VALUE"""),11657.25)</f>
        <v>11657.25</v>
      </c>
      <c r="H603" s="139">
        <f ca="1">IFERROR(__xludf.DUMMYFUNCTION("""COMPUTED_VALUE"""),17)</f>
        <v>17</v>
      </c>
      <c r="I603" s="140">
        <f ca="1">IFERROR(__xludf.DUMMYFUNCTION("""COMPUTED_VALUE"""),63036)</f>
        <v>63036</v>
      </c>
      <c r="J603" s="141">
        <f ca="1">IFERROR(__xludf.DUMMYFUNCTION("""COMPUTED_VALUE"""),3708)</f>
        <v>3708</v>
      </c>
      <c r="K603" s="142">
        <f ca="1">IFERROR(__xludf.DUMMYFUNCTION("""COMPUTED_VALUE"""),4.2024)</f>
        <v>4.2023999999999999</v>
      </c>
      <c r="L603" s="143" t="str">
        <f ca="1"/>
        <v>Wiris Variasi</v>
      </c>
      <c r="M603" s="127"/>
      <c r="N603" s="127"/>
      <c r="O603" s="127"/>
      <c r="P603" s="127"/>
      <c r="Q603" s="127"/>
      <c r="R603" s="127"/>
      <c r="S603" s="127"/>
      <c r="T603" s="127"/>
      <c r="U603" s="127"/>
      <c r="V603" s="127"/>
      <c r="W603" s="127"/>
      <c r="X603" s="127"/>
      <c r="Y603" s="127"/>
      <c r="Z603" s="127"/>
      <c r="AA603" s="127"/>
    </row>
    <row r="604" spans="1:27">
      <c r="A604" s="127">
        <f ca="1">IFERROR(__xludf.DUMMYFUNCTION("""COMPUTED_VALUE"""),766589657993298)</f>
        <v>766589657993298</v>
      </c>
      <c r="B604" s="127" t="str">
        <f ca="1">IFERROR(__xludf.DUMMYFUNCTION("""COMPUTED_VALUE"""),"120229584743470235")</f>
        <v>120229584743470235</v>
      </c>
      <c r="C604" s="127" t="str">
        <f ca="1">IFERROR(__xludf.DUMMYFUNCTION("""COMPUTED_VALUE"""),"Bengkel Las")</f>
        <v>Bengkel Las</v>
      </c>
      <c r="D604" s="138" t="str">
        <f ca="1">IFERROR(__xludf.DUMMYFUNCTION("""COMPUTED_VALUE"""),"https://wa.me/6288274090631")</f>
        <v>https://wa.me/6288274090631</v>
      </c>
      <c r="E604" s="139" t="str">
        <f ca="1">IFERROR(__xludf.DUMMYFUNCTION("""COMPUTED_VALUE"""),"6288274090631")</f>
        <v>6288274090631</v>
      </c>
      <c r="F604" s="139">
        <f ca="1">IFERROR(__xludf.DUMMYFUNCTION("""COMPUTED_VALUE"""),2831)</f>
        <v>2831</v>
      </c>
      <c r="G604" s="139">
        <f ca="1">IFERROR(__xludf.DUMMYFUNCTION("""COMPUTED_VALUE"""),20343.4)</f>
        <v>20343.400000000001</v>
      </c>
      <c r="H604" s="139">
        <f ca="1">IFERROR(__xludf.DUMMYFUNCTION("""COMPUTED_VALUE"""),10)</f>
        <v>10</v>
      </c>
      <c r="I604" s="140">
        <f ca="1">IFERROR(__xludf.DUMMYFUNCTION("""COMPUTED_VALUE"""),70126)</f>
        <v>70126</v>
      </c>
      <c r="J604" s="141">
        <f ca="1">IFERROR(__xludf.DUMMYFUNCTION("""COMPUTED_VALUE"""),7012.6)</f>
        <v>7012.6</v>
      </c>
      <c r="K604" s="142">
        <f ca="1">IFERROR(__xludf.DUMMYFUNCTION("""COMPUTED_VALUE"""),4.67506666666666)</f>
        <v>4.6750666666666598</v>
      </c>
      <c r="L604" s="143" t="str">
        <f ca="1"/>
        <v>Wiris Variasi</v>
      </c>
      <c r="M604" s="127"/>
      <c r="N604" s="127"/>
      <c r="O604" s="127"/>
      <c r="P604" s="127"/>
      <c r="Q604" s="127"/>
      <c r="R604" s="127"/>
      <c r="S604" s="127"/>
      <c r="T604" s="127"/>
      <c r="U604" s="127"/>
      <c r="V604" s="127"/>
      <c r="W604" s="127"/>
      <c r="X604" s="127"/>
      <c r="Y604" s="127"/>
      <c r="Z604" s="127"/>
      <c r="AA604" s="127"/>
    </row>
    <row r="605" spans="1:27">
      <c r="A605" s="127">
        <f ca="1">IFERROR(__xludf.DUMMYFUNCTION("""COMPUTED_VALUE"""),766589657993298)</f>
        <v>766589657993298</v>
      </c>
      <c r="B605" s="127" t="str">
        <f ca="1">IFERROR(__xludf.DUMMYFUNCTION("""COMPUTED_VALUE"""),"120229628582980235")</f>
        <v>120229628582980235</v>
      </c>
      <c r="C605" s="127" t="str">
        <f ca="1">IFERROR(__xludf.DUMMYFUNCTION("""COMPUTED_VALUE"""),"Buana Plavon")</f>
        <v>Buana Plavon</v>
      </c>
      <c r="D605" s="138" t="str">
        <f ca="1">IFERROR(__xludf.DUMMYFUNCTION("""COMPUTED_VALUE"""),"https://wa.me/62895416149255")</f>
        <v>https://wa.me/62895416149255</v>
      </c>
      <c r="E605" s="139" t="str">
        <f ca="1">IFERROR(__xludf.DUMMYFUNCTION("""COMPUTED_VALUE"""),"62895416149255")</f>
        <v>62895416149255</v>
      </c>
      <c r="F605" s="139">
        <f ca="1">IFERROR(__xludf.DUMMYFUNCTION("""COMPUTED_VALUE"""),5196)</f>
        <v>5196</v>
      </c>
      <c r="G605" s="139">
        <f ca="1">IFERROR(__xludf.DUMMYFUNCTION("""COMPUTED_VALUE"""),16047)</f>
        <v>16047</v>
      </c>
      <c r="H605" s="139">
        <f ca="1">IFERROR(__xludf.DUMMYFUNCTION("""COMPUTED_VALUE"""),13)</f>
        <v>13</v>
      </c>
      <c r="I605" s="140">
        <f ca="1">IFERROR(__xludf.DUMMYFUNCTION("""COMPUTED_VALUE"""),88886)</f>
        <v>88886</v>
      </c>
      <c r="J605" s="141">
        <f ca="1">IFERROR(__xludf.DUMMYFUNCTION("""COMPUTED_VALUE"""),6837.38461538461)</f>
        <v>6837.3846153846098</v>
      </c>
      <c r="K605" s="142">
        <f ca="1">IFERROR(__xludf.DUMMYFUNCTION("""COMPUTED_VALUE"""),5.92573333333333)</f>
        <v>5.92573333333333</v>
      </c>
      <c r="L605" s="143" t="str">
        <f ca="1"/>
        <v>Wiris Variasi</v>
      </c>
      <c r="M605" s="127"/>
      <c r="N605" s="127"/>
      <c r="O605" s="127"/>
      <c r="P605" s="127"/>
      <c r="Q605" s="127"/>
      <c r="R605" s="127"/>
      <c r="S605" s="127"/>
      <c r="T605" s="127"/>
      <c r="U605" s="127"/>
      <c r="V605" s="127"/>
      <c r="W605" s="127"/>
      <c r="X605" s="127"/>
      <c r="Y605" s="127"/>
      <c r="Z605" s="127"/>
      <c r="AA605" s="127"/>
    </row>
    <row r="606" spans="1:27">
      <c r="A606" s="127">
        <f ca="1">IFERROR(__xludf.DUMMYFUNCTION("""COMPUTED_VALUE"""),766589657993298)</f>
        <v>766589657993298</v>
      </c>
      <c r="B606" s="127" t="str">
        <f ca="1">IFERROR(__xludf.DUMMYFUNCTION("""COMPUTED_VALUE"""),"120229629574190235")</f>
        <v>120229629574190235</v>
      </c>
      <c r="C606" s="127" t="str">
        <f ca="1">IFERROR(__xludf.DUMMYFUNCTION("""COMPUTED_VALUE"""),"Fabrikasi Dan")</f>
        <v>Fabrikasi Dan</v>
      </c>
      <c r="D606" s="138" t="str">
        <f ca="1">IFERROR(__xludf.DUMMYFUNCTION("""COMPUTED_VALUE"""),"https://wa.me/6281284410725")</f>
        <v>https://wa.me/6281284410725</v>
      </c>
      <c r="E606" s="139" t="str">
        <f ca="1">IFERROR(__xludf.DUMMYFUNCTION("""COMPUTED_VALUE"""),"6281284410725")</f>
        <v>6281284410725</v>
      </c>
      <c r="F606" s="139">
        <f ca="1">IFERROR(__xludf.DUMMYFUNCTION("""COMPUTED_VALUE"""),3362)</f>
        <v>3362</v>
      </c>
      <c r="G606" s="139">
        <f ca="1">IFERROR(__xludf.DUMMYFUNCTION("""COMPUTED_VALUE"""),16354)</f>
        <v>16354</v>
      </c>
      <c r="H606" s="139">
        <f ca="1">IFERROR(__xludf.DUMMYFUNCTION("""COMPUTED_VALUE"""),10)</f>
        <v>10</v>
      </c>
      <c r="I606" s="140">
        <f ca="1">IFERROR(__xludf.DUMMYFUNCTION("""COMPUTED_VALUE"""),61105)</f>
        <v>61105</v>
      </c>
      <c r="J606" s="141">
        <f ca="1">IFERROR(__xludf.DUMMYFUNCTION("""COMPUTED_VALUE"""),6110.5)</f>
        <v>6110.5</v>
      </c>
      <c r="K606" s="142">
        <f ca="1">IFERROR(__xludf.DUMMYFUNCTION("""COMPUTED_VALUE"""),4.07366666666666)</f>
        <v>4.0736666666666599</v>
      </c>
      <c r="L606" s="143" t="str">
        <f ca="1"/>
        <v>Wiris Variasi</v>
      </c>
      <c r="M606" s="127"/>
      <c r="N606" s="127"/>
      <c r="O606" s="127"/>
      <c r="P606" s="127"/>
      <c r="Q606" s="127"/>
      <c r="R606" s="127"/>
      <c r="S606" s="127"/>
      <c r="T606" s="127"/>
      <c r="U606" s="127"/>
      <c r="V606" s="127"/>
      <c r="W606" s="127"/>
      <c r="X606" s="127"/>
      <c r="Y606" s="127"/>
      <c r="Z606" s="127"/>
      <c r="AA606" s="127"/>
    </row>
    <row r="607" spans="1:27">
      <c r="A607" s="127">
        <f ca="1">IFERROR(__xludf.DUMMYFUNCTION("""COMPUTED_VALUE"""),766589657993298)</f>
        <v>766589657993298</v>
      </c>
      <c r="B607" s="127" t="str">
        <f ca="1">IFERROR(__xludf.DUMMYFUNCTION("""COMPUTED_VALUE"""),"120229629770720235")</f>
        <v>120229629770720235</v>
      </c>
      <c r="C607" s="127" t="str">
        <f ca="1">IFERROR(__xludf.DUMMYFUNCTION("""COMPUTED_VALUE"""),"Manunggal Jaya")</f>
        <v>Manunggal Jaya</v>
      </c>
      <c r="D607" s="138" t="str">
        <f ca="1">IFERROR(__xludf.DUMMYFUNCTION("""COMPUTED_VALUE"""),"https://wa.me/6285716210341")</f>
        <v>https://wa.me/6285716210341</v>
      </c>
      <c r="E607" s="139" t="str">
        <f ca="1">IFERROR(__xludf.DUMMYFUNCTION("""COMPUTED_VALUE"""),"6285716210341")</f>
        <v>6285716210341</v>
      </c>
      <c r="F607" s="139">
        <f ca="1">IFERROR(__xludf.DUMMYFUNCTION("""COMPUTED_VALUE"""),3134)</f>
        <v>3134</v>
      </c>
      <c r="G607" s="139">
        <f ca="1">IFERROR(__xludf.DUMMYFUNCTION("""COMPUTED_VALUE"""),17770.5)</f>
        <v>17770.5</v>
      </c>
      <c r="H607" s="139">
        <f ca="1">IFERROR(__xludf.DUMMYFUNCTION("""COMPUTED_VALUE"""),13)</f>
        <v>13</v>
      </c>
      <c r="I607" s="140">
        <f ca="1">IFERROR(__xludf.DUMMYFUNCTION("""COMPUTED_VALUE"""),60008)</f>
        <v>60008</v>
      </c>
      <c r="J607" s="141">
        <f ca="1">IFERROR(__xludf.DUMMYFUNCTION("""COMPUTED_VALUE"""),4616)</f>
        <v>4616</v>
      </c>
      <c r="K607" s="142">
        <f ca="1">IFERROR(__xludf.DUMMYFUNCTION("""COMPUTED_VALUE"""),4.00053333333333)</f>
        <v>4.0005333333333297</v>
      </c>
      <c r="L607" s="143" t="str">
        <f ca="1"/>
        <v>Wiris Variasi</v>
      </c>
      <c r="M607" s="127"/>
      <c r="N607" s="127"/>
      <c r="O607" s="127"/>
      <c r="P607" s="127"/>
      <c r="Q607" s="127"/>
      <c r="R607" s="127"/>
      <c r="S607" s="127"/>
      <c r="T607" s="127"/>
      <c r="U607" s="127"/>
      <c r="V607" s="127"/>
      <c r="W607" s="127"/>
      <c r="X607" s="127"/>
      <c r="Y607" s="127"/>
      <c r="Z607" s="127"/>
      <c r="AA607" s="127"/>
    </row>
    <row r="608" spans="1:27">
      <c r="A608" s="127">
        <f ca="1">IFERROR(__xludf.DUMMYFUNCTION("""COMPUTED_VALUE"""),766589657993298)</f>
        <v>766589657993298</v>
      </c>
      <c r="B608" s="127" t="str">
        <f ca="1">IFERROR(__xludf.DUMMYFUNCTION("""COMPUTED_VALUE"""),"120229631182820235")</f>
        <v>120229631182820235</v>
      </c>
      <c r="C608" s="127" t="str">
        <f ca="1">IFERROR(__xludf.DUMMYFUNCTION("""COMPUTED_VALUE"""),"Superman Interior")</f>
        <v>Superman Interior</v>
      </c>
      <c r="D608" s="138" t="str">
        <f ca="1">IFERROR(__xludf.DUMMYFUNCTION("""COMPUTED_VALUE"""),"https://wa.me/62881038177010")</f>
        <v>https://wa.me/62881038177010</v>
      </c>
      <c r="E608" s="139" t="str">
        <f ca="1">IFERROR(__xludf.DUMMYFUNCTION("""COMPUTED_VALUE"""),"62881038177010")</f>
        <v>62881038177010</v>
      </c>
      <c r="F608" s="139">
        <f ca="1">IFERROR(__xludf.DUMMYFUNCTION("""COMPUTED_VALUE"""),2339)</f>
        <v>2339</v>
      </c>
      <c r="G608" s="139">
        <f ca="1">IFERROR(__xludf.DUMMYFUNCTION("""COMPUTED_VALUE"""),28998.4)</f>
        <v>28998.400000000001</v>
      </c>
      <c r="H608" s="139">
        <f ca="1">IFERROR(__xludf.DUMMYFUNCTION("""COMPUTED_VALUE"""),13)</f>
        <v>13</v>
      </c>
      <c r="I608" s="140">
        <f ca="1">IFERROR(__xludf.DUMMYFUNCTION("""COMPUTED_VALUE"""),78796)</f>
        <v>78796</v>
      </c>
      <c r="J608" s="141">
        <f ca="1">IFERROR(__xludf.DUMMYFUNCTION("""COMPUTED_VALUE"""),6061.23076923076)</f>
        <v>6061.2307692307604</v>
      </c>
      <c r="K608" s="142">
        <f ca="1">IFERROR(__xludf.DUMMYFUNCTION("""COMPUTED_VALUE"""),5.25306666666666)</f>
        <v>5.2530666666666601</v>
      </c>
      <c r="L608" s="143" t="str">
        <f ca="1"/>
        <v>Wiris Variasi</v>
      </c>
      <c r="M608" s="127"/>
      <c r="N608" s="127"/>
      <c r="O608" s="127"/>
      <c r="P608" s="127"/>
      <c r="Q608" s="127"/>
      <c r="R608" s="127"/>
      <c r="S608" s="127"/>
      <c r="T608" s="127"/>
      <c r="U608" s="127"/>
      <c r="V608" s="127"/>
      <c r="W608" s="127"/>
      <c r="X608" s="127"/>
      <c r="Y608" s="127"/>
      <c r="Z608" s="127"/>
      <c r="AA608" s="127"/>
    </row>
    <row r="609" spans="1:27">
      <c r="A609" s="127">
        <f ca="1">IFERROR(__xludf.DUMMYFUNCTION("""COMPUTED_VALUE"""),766589657993298)</f>
        <v>766589657993298</v>
      </c>
      <c r="B609" s="127" t="str">
        <f ca="1">IFERROR(__xludf.DUMMYFUNCTION("""COMPUTED_VALUE"""),"120229632014130235")</f>
        <v>120229632014130235</v>
      </c>
      <c r="C609" s="127" t="str">
        <f ca="1">IFERROR(__xludf.DUMMYFUNCTION("""COMPUTED_VALUE"""),"Ibi waterproofing")</f>
        <v>Ibi waterproofing</v>
      </c>
      <c r="D609" s="138" t="str">
        <f ca="1">IFERROR(__xludf.DUMMYFUNCTION("""COMPUTED_VALUE"""),"https://wa.me/6281317170441")</f>
        <v>https://wa.me/6281317170441</v>
      </c>
      <c r="E609" s="139" t="str">
        <f ca="1">IFERROR(__xludf.DUMMYFUNCTION("""COMPUTED_VALUE"""),"6281317170441")</f>
        <v>6281317170441</v>
      </c>
      <c r="F609" s="139">
        <f ca="1">IFERROR(__xludf.DUMMYFUNCTION("""COMPUTED_VALUE"""),4049)</f>
        <v>4049</v>
      </c>
      <c r="G609" s="139">
        <f ca="1">IFERROR(__xludf.DUMMYFUNCTION("""COMPUTED_VALUE"""),30591)</f>
        <v>30591</v>
      </c>
      <c r="H609" s="139">
        <f ca="1">IFERROR(__xludf.DUMMYFUNCTION("""COMPUTED_VALUE"""),30)</f>
        <v>30</v>
      </c>
      <c r="I609" s="140">
        <f ca="1">IFERROR(__xludf.DUMMYFUNCTION("""COMPUTED_VALUE"""),133241)</f>
        <v>133241</v>
      </c>
      <c r="J609" s="141">
        <f ca="1">IFERROR(__xludf.DUMMYFUNCTION("""COMPUTED_VALUE"""),4441.36666666666)</f>
        <v>4441.3666666666604</v>
      </c>
      <c r="K609" s="142">
        <f ca="1">IFERROR(__xludf.DUMMYFUNCTION("""COMPUTED_VALUE"""),8.88273333333333)</f>
        <v>8.8827333333333307</v>
      </c>
      <c r="L609" s="143" t="str">
        <f ca="1"/>
        <v>Wiris Variasi</v>
      </c>
      <c r="M609" s="127"/>
      <c r="N609" s="127"/>
      <c r="O609" s="127"/>
      <c r="P609" s="127"/>
      <c r="Q609" s="127"/>
      <c r="R609" s="127"/>
      <c r="S609" s="127"/>
      <c r="T609" s="127"/>
      <c r="U609" s="127"/>
      <c r="V609" s="127"/>
      <c r="W609" s="127"/>
      <c r="X609" s="127"/>
      <c r="Y609" s="127"/>
      <c r="Z609" s="127"/>
      <c r="AA609" s="127"/>
    </row>
    <row r="610" spans="1:27">
      <c r="A610" s="127">
        <f ca="1">IFERROR(__xludf.DUMMYFUNCTION("""COMPUTED_VALUE"""),766589657993298)</f>
        <v>766589657993298</v>
      </c>
      <c r="B610" s="127" t="str">
        <f ca="1">IFERROR(__xludf.DUMMYFUNCTION("""COMPUTED_VALUE"""),"120229662655330235")</f>
        <v>120229662655330235</v>
      </c>
      <c r="C610" s="127" t="str">
        <f ca="1">IFERROR(__xludf.DUMMYFUNCTION("""COMPUTED_VALUE"""),"AURIGA KONTRAKTOR")</f>
        <v>AURIGA KONTRAKTOR</v>
      </c>
      <c r="D610" s="138" t="str">
        <f ca="1">IFERROR(__xludf.DUMMYFUNCTION("""COMPUTED_VALUE"""),"https://wa.me/6287856230745")</f>
        <v>https://wa.me/6287856230745</v>
      </c>
      <c r="E610" s="139" t="str">
        <f ca="1">IFERROR(__xludf.DUMMYFUNCTION("""COMPUTED_VALUE"""),"6287856230745")</f>
        <v>6287856230745</v>
      </c>
      <c r="F610" s="139">
        <f ca="1">IFERROR(__xludf.DUMMYFUNCTION("""COMPUTED_VALUE"""),3807)</f>
        <v>3807</v>
      </c>
      <c r="G610" s="139">
        <f ca="1">IFERROR(__xludf.DUMMYFUNCTION("""COMPUTED_VALUE"""),34853.3333333333)</f>
        <v>34853.333333333299</v>
      </c>
      <c r="H610" s="139">
        <f ca="1">IFERROR(__xludf.DUMMYFUNCTION("""COMPUTED_VALUE"""),13)</f>
        <v>13</v>
      </c>
      <c r="I610" s="140">
        <f ca="1">IFERROR(__xludf.DUMMYFUNCTION("""COMPUTED_VALUE"""),139014)</f>
        <v>139014</v>
      </c>
      <c r="J610" s="141">
        <f ca="1">IFERROR(__xludf.DUMMYFUNCTION("""COMPUTED_VALUE"""),10693.3846153846)</f>
        <v>10693.384615384601</v>
      </c>
      <c r="K610" s="142">
        <f ca="1">IFERROR(__xludf.DUMMYFUNCTION("""COMPUTED_VALUE"""),9.2676)</f>
        <v>9.2675999999999998</v>
      </c>
      <c r="L610" s="143" t="str">
        <f ca="1"/>
        <v>Wiris Variasi</v>
      </c>
      <c r="M610" s="127"/>
      <c r="N610" s="127"/>
      <c r="O610" s="127"/>
      <c r="P610" s="127"/>
      <c r="Q610" s="127"/>
      <c r="R610" s="127"/>
      <c r="S610" s="127"/>
      <c r="T610" s="127"/>
      <c r="U610" s="127"/>
      <c r="V610" s="127"/>
      <c r="W610" s="127"/>
      <c r="X610" s="127"/>
      <c r="Y610" s="127"/>
      <c r="Z610" s="127"/>
      <c r="AA610" s="127"/>
    </row>
    <row r="611" spans="1:27">
      <c r="A611" s="127">
        <f ca="1">IFERROR(__xludf.DUMMYFUNCTION("""COMPUTED_VALUE"""),766589657993298)</f>
        <v>766589657993298</v>
      </c>
      <c r="B611" s="127" t="str">
        <f ca="1">IFERROR(__xludf.DUMMYFUNCTION("""COMPUTED_VALUE"""),"120229663117000235")</f>
        <v>120229663117000235</v>
      </c>
      <c r="C611" s="127" t="str">
        <f ca="1">IFERROR(__xludf.DUMMYFUNCTION("""COMPUTED_VALUE"""),"Klasika Kontraktor/")</f>
        <v>Klasika Kontraktor/</v>
      </c>
      <c r="D611" s="138" t="str">
        <f ca="1">IFERROR(__xludf.DUMMYFUNCTION("""COMPUTED_VALUE"""),"https://wa.me/6281298551100")</f>
        <v>https://wa.me/6281298551100</v>
      </c>
      <c r="E611" s="139" t="str">
        <f ca="1">IFERROR(__xludf.DUMMYFUNCTION("""COMPUTED_VALUE"""),"6281298551100")</f>
        <v>6281298551100</v>
      </c>
      <c r="F611" s="139">
        <f ca="1">IFERROR(__xludf.DUMMYFUNCTION("""COMPUTED_VALUE"""),1771)</f>
        <v>1771</v>
      </c>
      <c r="G611" s="139">
        <f ca="1">IFERROR(__xludf.DUMMYFUNCTION("""COMPUTED_VALUE"""),64399.75)</f>
        <v>64399.75</v>
      </c>
      <c r="H611" s="139">
        <f ca="1">IFERROR(__xludf.DUMMYFUNCTION("""COMPUTED_VALUE"""),15)</f>
        <v>15</v>
      </c>
      <c r="I611" s="140">
        <f ca="1">IFERROR(__xludf.DUMMYFUNCTION("""COMPUTED_VALUE"""),118873)</f>
        <v>118873</v>
      </c>
      <c r="J611" s="141">
        <f ca="1">IFERROR(__xludf.DUMMYFUNCTION("""COMPUTED_VALUE"""),7924.86666666666)</f>
        <v>7924.8666666666604</v>
      </c>
      <c r="K611" s="142">
        <f ca="1">IFERROR(__xludf.DUMMYFUNCTION("""COMPUTED_VALUE"""),7.92486666666666)</f>
        <v>7.9248666666666603</v>
      </c>
      <c r="L611" s="143" t="str">
        <f ca="1"/>
        <v>Wiris Variasi</v>
      </c>
      <c r="M611" s="127"/>
      <c r="N611" s="127"/>
      <c r="O611" s="127"/>
      <c r="P611" s="127"/>
      <c r="Q611" s="127"/>
      <c r="R611" s="127"/>
      <c r="S611" s="127"/>
      <c r="T611" s="127"/>
      <c r="U611" s="127"/>
      <c r="V611" s="127"/>
      <c r="W611" s="127"/>
      <c r="X611" s="127"/>
      <c r="Y611" s="127"/>
      <c r="Z611" s="127"/>
      <c r="AA611" s="127"/>
    </row>
    <row r="612" spans="1:27">
      <c r="A612" s="127">
        <f ca="1">IFERROR(__xludf.DUMMYFUNCTION("""COMPUTED_VALUE"""),766589657993298)</f>
        <v>766589657993298</v>
      </c>
      <c r="B612" s="127" t="str">
        <f ca="1">IFERROR(__xludf.DUMMYFUNCTION("""COMPUTED_VALUE"""),"120229663429770235")</f>
        <v>120229663429770235</v>
      </c>
      <c r="C612" s="127" t="str">
        <f ca="1">IFERROR(__xludf.DUMMYFUNCTION("""COMPUTED_VALUE"""),"Bengkel las")</f>
        <v>Bengkel las</v>
      </c>
      <c r="D612" s="138" t="str">
        <f ca="1">IFERROR(__xludf.DUMMYFUNCTION("""COMPUTED_VALUE"""),"https://wa.me/6281385001244")</f>
        <v>https://wa.me/6281385001244</v>
      </c>
      <c r="E612" s="139" t="str">
        <f ca="1">IFERROR(__xludf.DUMMYFUNCTION("""COMPUTED_VALUE"""),"6281385001244")</f>
        <v>6281385001244</v>
      </c>
      <c r="F612" s="139">
        <f ca="1">IFERROR(__xludf.DUMMYFUNCTION("""COMPUTED_VALUE"""),5056)</f>
        <v>5056</v>
      </c>
      <c r="G612" s="139">
        <f ca="1">IFERROR(__xludf.DUMMYFUNCTION("""COMPUTED_VALUE"""),30775.6363636363)</f>
        <v>30775.636363636298</v>
      </c>
      <c r="H612" s="139">
        <f ca="1">IFERROR(__xludf.DUMMYFUNCTION("""COMPUTED_VALUE"""),30)</f>
        <v>30</v>
      </c>
      <c r="I612" s="140">
        <f ca="1">IFERROR(__xludf.DUMMYFUNCTION("""COMPUTED_VALUE"""),170594)</f>
        <v>170594</v>
      </c>
      <c r="J612" s="141">
        <f ca="1">IFERROR(__xludf.DUMMYFUNCTION("""COMPUTED_VALUE"""),5686.46666666666)</f>
        <v>5686.4666666666599</v>
      </c>
      <c r="K612" s="142">
        <f ca="1">IFERROR(__xludf.DUMMYFUNCTION("""COMPUTED_VALUE"""),11.3729333333333)</f>
        <v>11.3729333333333</v>
      </c>
      <c r="L612" s="143" t="str">
        <f ca="1"/>
        <v>Wiris Variasi</v>
      </c>
      <c r="M612" s="127"/>
      <c r="N612" s="127"/>
      <c r="O612" s="127"/>
      <c r="P612" s="127"/>
      <c r="Q612" s="127"/>
      <c r="R612" s="127"/>
      <c r="S612" s="127"/>
      <c r="T612" s="127"/>
      <c r="U612" s="127"/>
      <c r="V612" s="127"/>
      <c r="W612" s="127"/>
      <c r="X612" s="127"/>
      <c r="Y612" s="127"/>
      <c r="Z612" s="127"/>
      <c r="AA612" s="127"/>
    </row>
    <row r="613" spans="1:27">
      <c r="A613" s="127">
        <f ca="1">IFERROR(__xludf.DUMMYFUNCTION("""COMPUTED_VALUE"""),766589657993298)</f>
        <v>766589657993298</v>
      </c>
      <c r="B613" s="127" t="str">
        <f ca="1">IFERROR(__xludf.DUMMYFUNCTION("""COMPUTED_VALUE"""),"120229663641750235")</f>
        <v>120229663641750235</v>
      </c>
      <c r="C613" s="127" t="str">
        <f ca="1">IFERROR(__xludf.DUMMYFUNCTION("""COMPUTED_VALUE"""),"REKARUANG GRUOP")</f>
        <v>REKARUANG GRUOP</v>
      </c>
      <c r="D613" s="138" t="str">
        <f ca="1">IFERROR(__xludf.DUMMYFUNCTION("""COMPUTED_VALUE"""),"https://wa.me/6287888068088")</f>
        <v>https://wa.me/6287888068088</v>
      </c>
      <c r="E613" s="139" t="str">
        <f ca="1">IFERROR(__xludf.DUMMYFUNCTION("""COMPUTED_VALUE"""),"6287888068088")</f>
        <v>6287888068088</v>
      </c>
      <c r="F613" s="139">
        <f ca="1">IFERROR(__xludf.DUMMYFUNCTION("""COMPUTED_VALUE"""),1395)</f>
        <v>1395</v>
      </c>
      <c r="G613" s="139">
        <f ca="1">IFERROR(__xludf.DUMMYFUNCTION("""COMPUTED_VALUE"""),84308.5)</f>
        <v>84308.5</v>
      </c>
      <c r="H613" s="139">
        <f ca="1">IFERROR(__xludf.DUMMYFUNCTION("""COMPUTED_VALUE"""),14)</f>
        <v>14</v>
      </c>
      <c r="I613" s="140">
        <f ca="1">IFERROR(__xludf.DUMMYFUNCTION("""COMPUTED_VALUE"""),116581)</f>
        <v>116581</v>
      </c>
      <c r="J613" s="141">
        <f ca="1">IFERROR(__xludf.DUMMYFUNCTION("""COMPUTED_VALUE"""),8327.21428571428)</f>
        <v>8327.2142857142808</v>
      </c>
      <c r="K613" s="142">
        <f ca="1">IFERROR(__xludf.DUMMYFUNCTION("""COMPUTED_VALUE"""),7.77206666666666)</f>
        <v>7.7720666666666602</v>
      </c>
      <c r="L613" s="143" t="str">
        <f ca="1"/>
        <v>Wiris Variasi</v>
      </c>
      <c r="M613" s="127"/>
      <c r="N613" s="127"/>
      <c r="O613" s="127"/>
      <c r="P613" s="127"/>
      <c r="Q613" s="127"/>
      <c r="R613" s="127"/>
      <c r="S613" s="127"/>
      <c r="T613" s="127"/>
      <c r="U613" s="127"/>
      <c r="V613" s="127"/>
      <c r="W613" s="127"/>
      <c r="X613" s="127"/>
      <c r="Y613" s="127"/>
      <c r="Z613" s="127"/>
      <c r="AA613" s="127"/>
    </row>
    <row r="614" spans="1:27">
      <c r="A614" s="127">
        <f ca="1">IFERROR(__xludf.DUMMYFUNCTION("""COMPUTED_VALUE"""),766589657993298)</f>
        <v>766589657993298</v>
      </c>
      <c r="B614" s="127" t="str">
        <f ca="1">IFERROR(__xludf.DUMMYFUNCTION("""COMPUTED_VALUE"""),"120229705279970235")</f>
        <v>120229705279970235</v>
      </c>
      <c r="C614" s="127" t="str">
        <f ca="1">IFERROR(__xludf.DUMMYFUNCTION("""COMPUTED_VALUE"""),"Satria Karya")</f>
        <v>Satria Karya</v>
      </c>
      <c r="D614" s="138" t="str">
        <f ca="1">IFERROR(__xludf.DUMMYFUNCTION("""COMPUTED_VALUE"""),"https://wa.me/6287734875393")</f>
        <v>https://wa.me/6287734875393</v>
      </c>
      <c r="E614" s="139" t="str">
        <f ca="1">IFERROR(__xludf.DUMMYFUNCTION("""COMPUTED_VALUE"""),"6287734875393")</f>
        <v>6287734875393</v>
      </c>
      <c r="F614" s="139">
        <f ca="1">IFERROR(__xludf.DUMMYFUNCTION("""COMPUTED_VALUE"""),3625)</f>
        <v>3625</v>
      </c>
      <c r="G614" s="139">
        <f ca="1">IFERROR(__xludf.DUMMYFUNCTION("""COMPUTED_VALUE"""),26471.2857142857)</f>
        <v>26471.285714285699</v>
      </c>
      <c r="H614" s="139">
        <f ca="1">IFERROR(__xludf.DUMMYFUNCTION("""COMPUTED_VALUE"""),5)</f>
        <v>5</v>
      </c>
      <c r="I614" s="140">
        <f ca="1">IFERROR(__xludf.DUMMYFUNCTION("""COMPUTED_VALUE"""),107165)</f>
        <v>107165</v>
      </c>
      <c r="J614" s="141">
        <f ca="1">IFERROR(__xludf.DUMMYFUNCTION("""COMPUTED_VALUE"""),21433)</f>
        <v>21433</v>
      </c>
      <c r="K614" s="142">
        <f ca="1">IFERROR(__xludf.DUMMYFUNCTION("""COMPUTED_VALUE"""),7.14433333333333)</f>
        <v>7.1443333333333303</v>
      </c>
      <c r="L614" s="143" t="str">
        <f ca="1"/>
        <v>Wiris Variasi</v>
      </c>
      <c r="M614" s="127"/>
      <c r="N614" s="127"/>
      <c r="O614" s="127"/>
      <c r="P614" s="127"/>
      <c r="Q614" s="127"/>
      <c r="R614" s="127"/>
      <c r="S614" s="127"/>
      <c r="T614" s="127"/>
      <c r="U614" s="127"/>
      <c r="V614" s="127"/>
      <c r="W614" s="127"/>
      <c r="X614" s="127"/>
      <c r="Y614" s="127"/>
      <c r="Z614" s="127"/>
      <c r="AA614" s="127"/>
    </row>
    <row r="615" spans="1:27">
      <c r="A615" s="127">
        <f ca="1">IFERROR(__xludf.DUMMYFUNCTION("""COMPUTED_VALUE"""),766589657993298)</f>
        <v>766589657993298</v>
      </c>
      <c r="B615" s="127" t="str">
        <f ca="1">IFERROR(__xludf.DUMMYFUNCTION("""COMPUTED_VALUE"""),"120229705795080235")</f>
        <v>120229705795080235</v>
      </c>
      <c r="C615" s="127" t="str">
        <f ca="1">IFERROR(__xludf.DUMMYFUNCTION("""COMPUTED_VALUE"""),"PT. KINANTAN")</f>
        <v>PT. KINANTAN</v>
      </c>
      <c r="D615" s="138" t="str">
        <f ca="1">IFERROR(__xludf.DUMMYFUNCTION("""COMPUTED_VALUE"""),"https://wa.me/628116655901")</f>
        <v>https://wa.me/628116655901</v>
      </c>
      <c r="E615" s="139" t="str">
        <f ca="1">IFERROR(__xludf.DUMMYFUNCTION("""COMPUTED_VALUE"""),"628116655901")</f>
        <v>628116655901</v>
      </c>
      <c r="F615" s="139">
        <f ca="1">IFERROR(__xludf.DUMMYFUNCTION("""COMPUTED_VALUE"""),4638)</f>
        <v>4638</v>
      </c>
      <c r="G615" s="139">
        <f ca="1">IFERROR(__xludf.DUMMYFUNCTION("""COMPUTED_VALUE"""),13686.8)</f>
        <v>13686.8</v>
      </c>
      <c r="H615" s="139">
        <f ca="1">IFERROR(__xludf.DUMMYFUNCTION("""COMPUTED_VALUE"""),13)</f>
        <v>13</v>
      </c>
      <c r="I615" s="140">
        <f ca="1">IFERROR(__xludf.DUMMYFUNCTION("""COMPUTED_VALUE"""),76859)</f>
        <v>76859</v>
      </c>
      <c r="J615" s="141">
        <f ca="1">IFERROR(__xludf.DUMMYFUNCTION("""COMPUTED_VALUE"""),5912.23076923076)</f>
        <v>5912.2307692307604</v>
      </c>
      <c r="K615" s="142">
        <f ca="1">IFERROR(__xludf.DUMMYFUNCTION("""COMPUTED_VALUE"""),5.12393333333333)</f>
        <v>5.1239333333333299</v>
      </c>
      <c r="L615" s="143" t="str">
        <f ca="1"/>
        <v>Wiris Variasi</v>
      </c>
      <c r="M615" s="127"/>
      <c r="N615" s="127"/>
      <c r="O615" s="127"/>
      <c r="P615" s="127"/>
      <c r="Q615" s="127"/>
      <c r="R615" s="127"/>
      <c r="S615" s="127"/>
      <c r="T615" s="127"/>
      <c r="U615" s="127"/>
      <c r="V615" s="127"/>
      <c r="W615" s="127"/>
      <c r="X615" s="127"/>
      <c r="Y615" s="127"/>
      <c r="Z615" s="127"/>
      <c r="AA615" s="127"/>
    </row>
    <row r="616" spans="1:27">
      <c r="A616" s="127">
        <f ca="1">IFERROR(__xludf.DUMMYFUNCTION("""COMPUTED_VALUE"""),766589657993298)</f>
        <v>766589657993298</v>
      </c>
      <c r="B616" s="127" t="str">
        <f ca="1">IFERROR(__xludf.DUMMYFUNCTION("""COMPUTED_VALUE"""),"120229706693350235")</f>
        <v>120229706693350235</v>
      </c>
      <c r="C616" s="127" t="str">
        <f ca="1">IFERROR(__xludf.DUMMYFUNCTION("""COMPUTED_VALUE"""),"Bengkel las")</f>
        <v>Bengkel las</v>
      </c>
      <c r="D616" s="138" t="str">
        <f ca="1">IFERROR(__xludf.DUMMYFUNCTION("""COMPUTED_VALUE"""),"https://wa.me/6281311129854")</f>
        <v>https://wa.me/6281311129854</v>
      </c>
      <c r="E616" s="139" t="str">
        <f ca="1">IFERROR(__xludf.DUMMYFUNCTION("""COMPUTED_VALUE"""),"6281311129854")</f>
        <v>6281311129854</v>
      </c>
      <c r="F616" s="139">
        <f ca="1">IFERROR(__xludf.DUMMYFUNCTION("""COMPUTED_VALUE"""),2092)</f>
        <v>2092</v>
      </c>
      <c r="G616" s="139">
        <f ca="1">IFERROR(__xludf.DUMMYFUNCTION("""COMPUTED_VALUE"""),32003.2)</f>
        <v>32003.200000000001</v>
      </c>
      <c r="H616" s="139">
        <f ca="1">IFERROR(__xludf.DUMMYFUNCTION("""COMPUTED_VALUE"""),8)</f>
        <v>8</v>
      </c>
      <c r="I616" s="140">
        <f ca="1">IFERROR(__xludf.DUMMYFUNCTION("""COMPUTED_VALUE"""),76817)</f>
        <v>76817</v>
      </c>
      <c r="J616" s="141">
        <f ca="1">IFERROR(__xludf.DUMMYFUNCTION("""COMPUTED_VALUE"""),9602.125)</f>
        <v>9602.125</v>
      </c>
      <c r="K616" s="142">
        <f ca="1">IFERROR(__xludf.DUMMYFUNCTION("""COMPUTED_VALUE"""),5.12113333333333)</f>
        <v>5.1211333333333302</v>
      </c>
      <c r="L616" s="143" t="str">
        <f ca="1"/>
        <v>Wiris Variasi</v>
      </c>
      <c r="M616" s="127"/>
      <c r="N616" s="127"/>
      <c r="O616" s="127"/>
      <c r="P616" s="127"/>
      <c r="Q616" s="127"/>
      <c r="R616" s="127"/>
      <c r="S616" s="127"/>
      <c r="T616" s="127"/>
      <c r="U616" s="127"/>
      <c r="V616" s="127"/>
      <c r="W616" s="127"/>
      <c r="X616" s="127"/>
      <c r="Y616" s="127"/>
      <c r="Z616" s="127"/>
      <c r="AA616" s="127"/>
    </row>
    <row r="617" spans="1:27">
      <c r="A617" s="127">
        <f ca="1">IFERROR(__xludf.DUMMYFUNCTION("""COMPUTED_VALUE"""),766589657993298)</f>
        <v>766589657993298</v>
      </c>
      <c r="B617" s="127" t="str">
        <f ca="1">IFERROR(__xludf.DUMMYFUNCTION("""COMPUTED_VALUE"""),"120229706818760235")</f>
        <v>120229706818760235</v>
      </c>
      <c r="C617" s="127" t="str">
        <f ca="1">IFERROR(__xludf.DUMMYFUNCTION("""COMPUTED_VALUE"""),"Interior Termurah")</f>
        <v>Interior Termurah</v>
      </c>
      <c r="D617" s="138" t="str">
        <f ca="1">IFERROR(__xludf.DUMMYFUNCTION("""COMPUTED_VALUE"""),"https://wa.me/6287878863000")</f>
        <v>https://wa.me/6287878863000</v>
      </c>
      <c r="E617" s="139" t="str">
        <f ca="1">IFERROR(__xludf.DUMMYFUNCTION("""COMPUTED_VALUE"""),"6287878863000")</f>
        <v>6287878863000</v>
      </c>
      <c r="F617" s="139">
        <f ca="1">IFERROR(__xludf.DUMMYFUNCTION("""COMPUTED_VALUE"""),1709)</f>
        <v>1709</v>
      </c>
      <c r="G617" s="139">
        <f ca="1">IFERROR(__xludf.DUMMYFUNCTION("""COMPUTED_VALUE"""),46638)</f>
        <v>46638</v>
      </c>
      <c r="H617" s="139">
        <f ca="1">IFERROR(__xludf.DUMMYFUNCTION("""COMPUTED_VALUE"""),7)</f>
        <v>7</v>
      </c>
      <c r="I617" s="140">
        <f ca="1">IFERROR(__xludf.DUMMYFUNCTION("""COMPUTED_VALUE"""),78025)</f>
        <v>78025</v>
      </c>
      <c r="J617" s="141">
        <f ca="1">IFERROR(__xludf.DUMMYFUNCTION("""COMPUTED_VALUE"""),11146.4285714285)</f>
        <v>11146.4285714285</v>
      </c>
      <c r="K617" s="142">
        <f ca="1">IFERROR(__xludf.DUMMYFUNCTION("""COMPUTED_VALUE"""),5.20166666666666)</f>
        <v>5.20166666666666</v>
      </c>
      <c r="L617" s="143" t="str">
        <f ca="1"/>
        <v>Wiris Variasi</v>
      </c>
      <c r="M617" s="127"/>
      <c r="N617" s="127"/>
      <c r="O617" s="127"/>
      <c r="P617" s="127"/>
      <c r="Q617" s="127"/>
      <c r="R617" s="127"/>
      <c r="S617" s="127"/>
      <c r="T617" s="127"/>
      <c r="U617" s="127"/>
      <c r="V617" s="127"/>
      <c r="W617" s="127"/>
      <c r="X617" s="127"/>
      <c r="Y617" s="127"/>
      <c r="Z617" s="127"/>
      <c r="AA617" s="127"/>
    </row>
    <row r="618" spans="1:27">
      <c r="A618" s="127">
        <f ca="1">IFERROR(__xludf.DUMMYFUNCTION("""COMPUTED_VALUE"""),766589657993298)</f>
        <v>766589657993298</v>
      </c>
      <c r="B618" s="127" t="str">
        <f ca="1">IFERROR(__xludf.DUMMYFUNCTION("""COMPUTED_VALUE"""),"120229763003210235")</f>
        <v>120229763003210235</v>
      </c>
      <c r="C618" s="127" t="str">
        <f ca="1">IFERROR(__xludf.DUMMYFUNCTION("""COMPUTED_VALUE"""),"Elsa Eljokael")</f>
        <v>Elsa Eljokael</v>
      </c>
      <c r="D618" s="138" t="str">
        <f ca="1">IFERROR(__xludf.DUMMYFUNCTION("""COMPUTED_VALUE"""),"https://wa.me/62882015555380")</f>
        <v>https://wa.me/62882015555380</v>
      </c>
      <c r="E618" s="139" t="str">
        <f ca="1">IFERROR(__xludf.DUMMYFUNCTION("""COMPUTED_VALUE"""),"62882015555380")</f>
        <v>62882015555380</v>
      </c>
      <c r="F618" s="139">
        <f ca="1">IFERROR(__xludf.DUMMYFUNCTION("""COMPUTED_VALUE"""),7057)</f>
        <v>7057</v>
      </c>
      <c r="G618" s="139">
        <f ca="1">IFERROR(__xludf.DUMMYFUNCTION("""COMPUTED_VALUE"""),17283.375)</f>
        <v>17283.375</v>
      </c>
      <c r="H618" s="139">
        <f ca="1">IFERROR(__xludf.DUMMYFUNCTION("""COMPUTED_VALUE"""),33)</f>
        <v>33</v>
      </c>
      <c r="I618" s="140">
        <f ca="1">IFERROR(__xludf.DUMMYFUNCTION("""COMPUTED_VALUE"""),132858)</f>
        <v>132858</v>
      </c>
      <c r="J618" s="141">
        <f ca="1">IFERROR(__xludf.DUMMYFUNCTION("""COMPUTED_VALUE"""),4026)</f>
        <v>4026</v>
      </c>
      <c r="K618" s="142">
        <f ca="1">IFERROR(__xludf.DUMMYFUNCTION("""COMPUTED_VALUE"""),8.8572)</f>
        <v>8.8572000000000006</v>
      </c>
      <c r="L618" s="143" t="str">
        <f ca="1"/>
        <v>Wiris Variasi</v>
      </c>
      <c r="M618" s="127"/>
      <c r="N618" s="127"/>
      <c r="O618" s="127"/>
      <c r="P618" s="127"/>
      <c r="Q618" s="127"/>
      <c r="R618" s="127"/>
      <c r="S618" s="127"/>
      <c r="T618" s="127"/>
      <c r="U618" s="127"/>
      <c r="V618" s="127"/>
      <c r="W618" s="127"/>
      <c r="X618" s="127"/>
      <c r="Y618" s="127"/>
      <c r="Z618" s="127"/>
      <c r="AA618" s="127"/>
    </row>
    <row r="619" spans="1:27">
      <c r="A619" s="127">
        <f ca="1">IFERROR(__xludf.DUMMYFUNCTION("""COMPUTED_VALUE"""),766589657993298)</f>
        <v>766589657993298</v>
      </c>
      <c r="B619" s="127" t="str">
        <f ca="1">IFERROR(__xludf.DUMMYFUNCTION("""COMPUTED_VALUE"""),"120229763209960235")</f>
        <v>120229763209960235</v>
      </c>
      <c r="C619" s="127" t="str">
        <f ca="1">IFERROR(__xludf.DUMMYFUNCTION("""COMPUTED_VALUE"""),"Pesona Lift")</f>
        <v>Pesona Lift</v>
      </c>
      <c r="D619" s="138" t="str">
        <f ca="1">IFERROR(__xludf.DUMMYFUNCTION("""COMPUTED_VALUE"""),"https://wa.me/6287821760177")</f>
        <v>https://wa.me/6287821760177</v>
      </c>
      <c r="E619" s="139" t="str">
        <f ca="1">IFERROR(__xludf.DUMMYFUNCTION("""COMPUTED_VALUE"""),"6287821760177")</f>
        <v>6287821760177</v>
      </c>
      <c r="F619" s="139">
        <f ca="1">IFERROR(__xludf.DUMMYFUNCTION("""COMPUTED_VALUE"""),6048)</f>
        <v>6048</v>
      </c>
      <c r="G619" s="139">
        <f ca="1">IFERROR(__xludf.DUMMYFUNCTION("""COMPUTED_VALUE"""),16525.375)</f>
        <v>16525.375</v>
      </c>
      <c r="H619" s="139">
        <f ca="1">IFERROR(__xludf.DUMMYFUNCTION("""COMPUTED_VALUE"""),22)</f>
        <v>22</v>
      </c>
      <c r="I619" s="140">
        <f ca="1">IFERROR(__xludf.DUMMYFUNCTION("""COMPUTED_VALUE"""),117165)</f>
        <v>117165</v>
      </c>
      <c r="J619" s="141">
        <f ca="1">IFERROR(__xludf.DUMMYFUNCTION("""COMPUTED_VALUE"""),5325.68181818181)</f>
        <v>5325.6818181818098</v>
      </c>
      <c r="K619" s="142">
        <f ca="1">IFERROR(__xludf.DUMMYFUNCTION("""COMPUTED_VALUE"""),7.811)</f>
        <v>7.8109999999999999</v>
      </c>
      <c r="L619" s="143" t="str">
        <f ca="1"/>
        <v>Wiris Variasi</v>
      </c>
      <c r="M619" s="127"/>
      <c r="N619" s="127"/>
      <c r="O619" s="127"/>
      <c r="P619" s="127"/>
      <c r="Q619" s="127"/>
      <c r="R619" s="127"/>
      <c r="S619" s="127"/>
      <c r="T619" s="127"/>
      <c r="U619" s="127"/>
      <c r="V619" s="127"/>
      <c r="W619" s="127"/>
      <c r="X619" s="127"/>
      <c r="Y619" s="127"/>
      <c r="Z619" s="127"/>
      <c r="AA619" s="127"/>
    </row>
    <row r="620" spans="1:27">
      <c r="A620" s="127">
        <f ca="1">IFERROR(__xludf.DUMMYFUNCTION("""COMPUTED_VALUE"""),766589657993298)</f>
        <v>766589657993298</v>
      </c>
      <c r="B620" s="127" t="str">
        <f ca="1">IFERROR(__xludf.DUMMYFUNCTION("""COMPUTED_VALUE"""),"120229763540830235")</f>
        <v>120229763540830235</v>
      </c>
      <c r="C620" s="127" t="str">
        <f ca="1">IFERROR(__xludf.DUMMYFUNCTION("""COMPUTED_VALUE"""),"Interior Dn")</f>
        <v>Interior Dn</v>
      </c>
      <c r="D620" s="138" t="str">
        <f ca="1">IFERROR(__xludf.DUMMYFUNCTION("""COMPUTED_VALUE"""),"https://wa.me/62895329361572")</f>
        <v>https://wa.me/62895329361572</v>
      </c>
      <c r="E620" s="139" t="str">
        <f ca="1">IFERROR(__xludf.DUMMYFUNCTION("""COMPUTED_VALUE"""),"62895329361572")</f>
        <v>62895329361572</v>
      </c>
      <c r="F620" s="139">
        <f ca="1">IFERROR(__xludf.DUMMYFUNCTION("""COMPUTED_VALUE"""),1433)</f>
        <v>1433</v>
      </c>
      <c r="G620" s="139">
        <f ca="1">IFERROR(__xludf.DUMMYFUNCTION("""COMPUTED_VALUE"""),48773.2)</f>
        <v>48773.2</v>
      </c>
      <c r="H620" s="139">
        <f ca="1">IFERROR(__xludf.DUMMYFUNCTION("""COMPUTED_VALUE"""),4)</f>
        <v>4</v>
      </c>
      <c r="I620" s="140">
        <f ca="1">IFERROR(__xludf.DUMMYFUNCTION("""COMPUTED_VALUE"""),75571)</f>
        <v>75571</v>
      </c>
      <c r="J620" s="141">
        <f ca="1">IFERROR(__xludf.DUMMYFUNCTION("""COMPUTED_VALUE"""),18892.75)</f>
        <v>18892.75</v>
      </c>
      <c r="K620" s="142">
        <f ca="1">IFERROR(__xludf.DUMMYFUNCTION("""COMPUTED_VALUE"""),5.03806666666666)</f>
        <v>5.0380666666666603</v>
      </c>
      <c r="L620" s="143" t="str">
        <f ca="1"/>
        <v>Wiris Variasi</v>
      </c>
      <c r="M620" s="127"/>
      <c r="N620" s="127"/>
      <c r="O620" s="127"/>
      <c r="P620" s="127"/>
      <c r="Q620" s="127"/>
      <c r="R620" s="127"/>
      <c r="S620" s="127"/>
      <c r="T620" s="127"/>
      <c r="U620" s="127"/>
      <c r="V620" s="127"/>
      <c r="W620" s="127"/>
      <c r="X620" s="127"/>
      <c r="Y620" s="127"/>
      <c r="Z620" s="127"/>
      <c r="AA620" s="127"/>
    </row>
    <row r="621" spans="1:27">
      <c r="A621" s="127">
        <f ca="1">IFERROR(__xludf.DUMMYFUNCTION("""COMPUTED_VALUE"""),766589657993298)</f>
        <v>766589657993298</v>
      </c>
      <c r="B621" s="127" t="str">
        <f ca="1">IFERROR(__xludf.DUMMYFUNCTION("""COMPUTED_VALUE"""),"120229839202590235")</f>
        <v>120229839202590235</v>
      </c>
      <c r="C621" s="127" t="str">
        <f ca="1">IFERROR(__xludf.DUMMYFUNCTION("""COMPUTED_VALUE"""),"CV SEJAHTERA")</f>
        <v>CV SEJAHTERA</v>
      </c>
      <c r="D621" s="138" t="str">
        <f ca="1">IFERROR(__xludf.DUMMYFUNCTION("""COMPUTED_VALUE"""),"https://wa.me/6285268858846")</f>
        <v>https://wa.me/6285268858846</v>
      </c>
      <c r="E621" s="139" t="str">
        <f ca="1">IFERROR(__xludf.DUMMYFUNCTION("""COMPUTED_VALUE"""),"6285268858846")</f>
        <v>6285268858846</v>
      </c>
      <c r="F621" s="139">
        <f ca="1">IFERROR(__xludf.DUMMYFUNCTION("""COMPUTED_VALUE"""),3442)</f>
        <v>3442</v>
      </c>
      <c r="G621" s="139">
        <f ca="1">IFERROR(__xludf.DUMMYFUNCTION("""COMPUTED_VALUE"""),16961.6)</f>
        <v>16961.599999999999</v>
      </c>
      <c r="H621" s="139">
        <f ca="1">IFERROR(__xludf.DUMMYFUNCTION("""COMPUTED_VALUE"""),3)</f>
        <v>3</v>
      </c>
      <c r="I621" s="140">
        <f ca="1">IFERROR(__xludf.DUMMYFUNCTION("""COMPUTED_VALUE"""),68843)</f>
        <v>68843</v>
      </c>
      <c r="J621" s="141">
        <f ca="1">IFERROR(__xludf.DUMMYFUNCTION("""COMPUTED_VALUE"""),22947.6666666666)</f>
        <v>22947.666666666599</v>
      </c>
      <c r="K621" s="142">
        <f ca="1">IFERROR(__xludf.DUMMYFUNCTION("""COMPUTED_VALUE"""),4.58953333333333)</f>
        <v>4.5895333333333301</v>
      </c>
      <c r="L621" s="143" t="str">
        <f ca="1"/>
        <v>Wiris Variasi</v>
      </c>
      <c r="M621" s="127"/>
      <c r="N621" s="127"/>
      <c r="O621" s="127"/>
      <c r="P621" s="127"/>
      <c r="Q621" s="127"/>
      <c r="R621" s="127"/>
      <c r="S621" s="127"/>
      <c r="T621" s="127"/>
      <c r="U621" s="127"/>
      <c r="V621" s="127"/>
      <c r="W621" s="127"/>
      <c r="X621" s="127"/>
      <c r="Y621" s="127"/>
      <c r="Z621" s="127"/>
      <c r="AA621" s="127"/>
    </row>
    <row r="622" spans="1:27">
      <c r="A622" s="127">
        <f ca="1">IFERROR(__xludf.DUMMYFUNCTION("""COMPUTED_VALUE"""),766589657993298)</f>
        <v>766589657993298</v>
      </c>
      <c r="B622" s="127" t="str">
        <f ca="1">IFERROR(__xludf.DUMMYFUNCTION("""COMPUTED_VALUE"""),"120229839631960235")</f>
        <v>120229839631960235</v>
      </c>
      <c r="C622" s="127" t="str">
        <f ca="1">IFERROR(__xludf.DUMMYFUNCTION("""COMPUTED_VALUE"""),"CV Karya")</f>
        <v>CV Karya</v>
      </c>
      <c r="D622" s="138" t="str">
        <f ca="1">IFERROR(__xludf.DUMMYFUNCTION("""COMPUTED_VALUE"""),"https://wa.me/6285888590045")</f>
        <v>https://wa.me/6285888590045</v>
      </c>
      <c r="E622" s="139" t="str">
        <f ca="1">IFERROR(__xludf.DUMMYFUNCTION("""COMPUTED_VALUE"""),"6285888590045")</f>
        <v>6285888590045</v>
      </c>
      <c r="F622" s="139">
        <f ca="1">IFERROR(__xludf.DUMMYFUNCTION("""COMPUTED_VALUE"""),1227)</f>
        <v>1227</v>
      </c>
      <c r="G622" s="139">
        <f ca="1">IFERROR(__xludf.DUMMYFUNCTION("""COMPUTED_VALUE"""),54962)</f>
        <v>54962</v>
      </c>
      <c r="H622" s="139">
        <f ca="1">IFERROR(__xludf.DUMMYFUNCTION("""COMPUTED_VALUE"""),4)</f>
        <v>4</v>
      </c>
      <c r="I622" s="140">
        <f ca="1">IFERROR(__xludf.DUMMYFUNCTION("""COMPUTED_VALUE"""),69460)</f>
        <v>69460</v>
      </c>
      <c r="J622" s="141">
        <f ca="1">IFERROR(__xludf.DUMMYFUNCTION("""COMPUTED_VALUE"""),17365)</f>
        <v>17365</v>
      </c>
      <c r="K622" s="142">
        <f ca="1">IFERROR(__xludf.DUMMYFUNCTION("""COMPUTED_VALUE"""),4.63066666666666)</f>
        <v>4.6306666666666603</v>
      </c>
      <c r="L622" s="143" t="str">
        <f ca="1"/>
        <v>Wiris Variasi</v>
      </c>
      <c r="M622" s="127"/>
      <c r="N622" s="127"/>
      <c r="O622" s="127"/>
      <c r="P622" s="127"/>
      <c r="Q622" s="127"/>
      <c r="R622" s="127"/>
      <c r="S622" s="127"/>
      <c r="T622" s="127"/>
      <c r="U622" s="127"/>
      <c r="V622" s="127"/>
      <c r="W622" s="127"/>
      <c r="X622" s="127"/>
      <c r="Y622" s="127"/>
      <c r="Z622" s="127"/>
      <c r="AA622" s="127"/>
    </row>
    <row r="623" spans="1:27">
      <c r="A623" s="127">
        <f ca="1">IFERROR(__xludf.DUMMYFUNCTION("""COMPUTED_VALUE"""),766589657993298)</f>
        <v>766589657993298</v>
      </c>
      <c r="B623" s="127" t="str">
        <f ca="1">IFERROR(__xludf.DUMMYFUNCTION("""COMPUTED_VALUE"""),"120229935832610235")</f>
        <v>120229935832610235</v>
      </c>
      <c r="C623" s="127" t="str">
        <f ca="1">IFERROR(__xludf.DUMMYFUNCTION("""COMPUTED_VALUE"""),"PT Umbara")</f>
        <v>PT Umbara</v>
      </c>
      <c r="D623" s="138" t="str">
        <f ca="1">IFERROR(__xludf.DUMMYFUNCTION("""COMPUTED_VALUE"""),"https://wa.me/6285955053385")</f>
        <v>https://wa.me/6285955053385</v>
      </c>
      <c r="E623" s="139" t="str">
        <f ca="1">IFERROR(__xludf.DUMMYFUNCTION("""COMPUTED_VALUE"""),"6285955053385")</f>
        <v>6285955053385</v>
      </c>
      <c r="F623" s="139">
        <f ca="1">IFERROR(__xludf.DUMMYFUNCTION("""COMPUTED_VALUE"""),5898)</f>
        <v>5898</v>
      </c>
      <c r="G623" s="139">
        <f ca="1">IFERROR(__xludf.DUMMYFUNCTION("""COMPUTED_VALUE"""),13150.8333333333)</f>
        <v>13150.833333333299</v>
      </c>
      <c r="H623" s="139">
        <f ca="1">IFERROR(__xludf.DUMMYFUNCTION("""COMPUTED_VALUE"""),12)</f>
        <v>12</v>
      </c>
      <c r="I623" s="140">
        <f ca="1">IFERROR(__xludf.DUMMYFUNCTION("""COMPUTED_VALUE"""),86864)</f>
        <v>86864</v>
      </c>
      <c r="J623" s="141">
        <f ca="1">IFERROR(__xludf.DUMMYFUNCTION("""COMPUTED_VALUE"""),7238.66666666666)</f>
        <v>7238.6666666666597</v>
      </c>
      <c r="K623" s="142">
        <f ca="1">IFERROR(__xludf.DUMMYFUNCTION("""COMPUTED_VALUE"""),5.79093333333333)</f>
        <v>5.7909333333333297</v>
      </c>
      <c r="L623" s="143" t="str">
        <f ca="1"/>
        <v>Wiris Variasi</v>
      </c>
      <c r="M623" s="127"/>
      <c r="N623" s="127"/>
      <c r="O623" s="127"/>
      <c r="P623" s="127"/>
      <c r="Q623" s="127"/>
      <c r="R623" s="127"/>
      <c r="S623" s="127"/>
      <c r="T623" s="127"/>
      <c r="U623" s="127"/>
      <c r="V623" s="127"/>
      <c r="W623" s="127"/>
      <c r="X623" s="127"/>
      <c r="Y623" s="127"/>
      <c r="Z623" s="127"/>
      <c r="AA623" s="127"/>
    </row>
    <row r="624" spans="1:27">
      <c r="A624" s="127">
        <f ca="1">IFERROR(__xludf.DUMMYFUNCTION("""COMPUTED_VALUE"""),766589657993298)</f>
        <v>766589657993298</v>
      </c>
      <c r="B624" s="127" t="str">
        <f ca="1">IFERROR(__xludf.DUMMYFUNCTION("""COMPUTED_VALUE"""),"120229935945510235")</f>
        <v>120229935945510235</v>
      </c>
      <c r="C624" s="127" t="str">
        <f ca="1">IFERROR(__xludf.DUMMYFUNCTION("""COMPUTED_VALUE"""),"Mas Bra")</f>
        <v>Mas Bra</v>
      </c>
      <c r="D624" s="138" t="str">
        <f ca="1">IFERROR(__xludf.DUMMYFUNCTION("""COMPUTED_VALUE"""),"https://wa.me/6281325757271")</f>
        <v>https://wa.me/6281325757271</v>
      </c>
      <c r="E624" s="139" t="str">
        <f ca="1">IFERROR(__xludf.DUMMYFUNCTION("""COMPUTED_VALUE"""),"6281325757271")</f>
        <v>6281325757271</v>
      </c>
      <c r="F624" s="139">
        <f ca="1">IFERROR(__xludf.DUMMYFUNCTION("""COMPUTED_VALUE"""),1435)</f>
        <v>1435</v>
      </c>
      <c r="G624" s="139">
        <f ca="1">IFERROR(__xludf.DUMMYFUNCTION("""COMPUTED_VALUE"""),30304.25)</f>
        <v>30304.25</v>
      </c>
      <c r="H624" s="139">
        <f ca="1">IFERROR(__xludf.DUMMYFUNCTION("""COMPUTED_VALUE"""),3)</f>
        <v>3</v>
      </c>
      <c r="I624" s="140">
        <f ca="1">IFERROR(__xludf.DUMMYFUNCTION("""COMPUTED_VALUE"""),51651)</f>
        <v>51651</v>
      </c>
      <c r="J624" s="141">
        <f ca="1">IFERROR(__xludf.DUMMYFUNCTION("""COMPUTED_VALUE"""),17217)</f>
        <v>17217</v>
      </c>
      <c r="K624" s="142">
        <f ca="1">IFERROR(__xludf.DUMMYFUNCTION("""COMPUTED_VALUE"""),3.4434)</f>
        <v>3.4434</v>
      </c>
      <c r="L624" s="143" t="str">
        <f ca="1"/>
        <v>Wiris Variasi</v>
      </c>
      <c r="M624" s="127"/>
      <c r="N624" s="127"/>
      <c r="O624" s="127"/>
      <c r="P624" s="127"/>
      <c r="Q624" s="127"/>
      <c r="R624" s="127"/>
      <c r="S624" s="127"/>
      <c r="T624" s="127"/>
      <c r="U624" s="127"/>
      <c r="V624" s="127"/>
      <c r="W624" s="127"/>
      <c r="X624" s="127"/>
      <c r="Y624" s="127"/>
      <c r="Z624" s="127"/>
      <c r="AA624" s="127"/>
    </row>
    <row r="625" spans="1:27">
      <c r="A625" s="127">
        <f ca="1">IFERROR(__xludf.DUMMYFUNCTION("""COMPUTED_VALUE"""),766589657993298)</f>
        <v>766589657993298</v>
      </c>
      <c r="B625" s="127" t="str">
        <f ca="1">IFERROR(__xludf.DUMMYFUNCTION("""COMPUTED_VALUE"""),"120230026230590235")</f>
        <v>120230026230590235</v>
      </c>
      <c r="C625" s="127" t="str">
        <f ca="1">IFERROR(__xludf.DUMMYFUNCTION("""COMPUTED_VALUE"""),"MGM Manunggal")</f>
        <v>MGM Manunggal</v>
      </c>
      <c r="D625" s="138" t="str">
        <f ca="1">IFERROR(__xludf.DUMMYFUNCTION("""COMPUTED_VALUE"""),"https://wa.me/6285778471007")</f>
        <v>https://wa.me/6285778471007</v>
      </c>
      <c r="E625" s="139" t="str">
        <f ca="1">IFERROR(__xludf.DUMMYFUNCTION("""COMPUTED_VALUE"""),"6285778471007")</f>
        <v>6285778471007</v>
      </c>
      <c r="F625" s="139">
        <f ca="1">IFERROR(__xludf.DUMMYFUNCTION("""COMPUTED_VALUE"""),1482)</f>
        <v>1482</v>
      </c>
      <c r="G625" s="139">
        <f ca="1">IFERROR(__xludf.DUMMYFUNCTION("""COMPUTED_VALUE"""),29695)</f>
        <v>29695</v>
      </c>
      <c r="H625" s="139">
        <f ca="1">IFERROR(__xludf.DUMMYFUNCTION("""COMPUTED_VALUE"""),2)</f>
        <v>2</v>
      </c>
      <c r="I625" s="140">
        <f ca="1">IFERROR(__xludf.DUMMYFUNCTION("""COMPUTED_VALUE"""),35710)</f>
        <v>35710</v>
      </c>
      <c r="J625" s="141">
        <f ca="1">IFERROR(__xludf.DUMMYFUNCTION("""COMPUTED_VALUE"""),17855)</f>
        <v>17855</v>
      </c>
      <c r="K625" s="142">
        <f ca="1">IFERROR(__xludf.DUMMYFUNCTION("""COMPUTED_VALUE"""),2.38066666666666)</f>
        <v>2.3806666666666598</v>
      </c>
      <c r="L625" s="143" t="str">
        <f ca="1"/>
        <v>Wiris Variasi</v>
      </c>
      <c r="M625" s="127"/>
      <c r="N625" s="127"/>
      <c r="O625" s="127"/>
      <c r="P625" s="127"/>
      <c r="Q625" s="127"/>
      <c r="R625" s="127"/>
      <c r="S625" s="127"/>
      <c r="T625" s="127"/>
      <c r="U625" s="127"/>
      <c r="V625" s="127"/>
      <c r="W625" s="127"/>
      <c r="X625" s="127"/>
      <c r="Y625" s="127"/>
      <c r="Z625" s="127"/>
      <c r="AA625" s="127"/>
    </row>
    <row r="626" spans="1:27">
      <c r="A626" s="127">
        <f ca="1">IFERROR(__xludf.DUMMYFUNCTION("""COMPUTED_VALUE"""),766589657993298)</f>
        <v>766589657993298</v>
      </c>
      <c r="B626" s="127" t="str">
        <f ca="1">IFERROR(__xludf.DUMMYFUNCTION("""COMPUTED_VALUE"""),"120230026398020235")</f>
        <v>120230026398020235</v>
      </c>
      <c r="C626" s="127" t="str">
        <f ca="1">IFERROR(__xludf.DUMMYFUNCTION("""COMPUTED_VALUE"""),"Bengkel Las")</f>
        <v>Bengkel Las</v>
      </c>
      <c r="D626" s="138" t="str">
        <f ca="1">IFERROR(__xludf.DUMMYFUNCTION("""COMPUTED_VALUE"""),"https://wa.me/6285281921180")</f>
        <v>https://wa.me/6285281921180</v>
      </c>
      <c r="E626" s="139" t="str">
        <f ca="1">IFERROR(__xludf.DUMMYFUNCTION("""COMPUTED_VALUE"""),"6285281921180")</f>
        <v>6285281921180</v>
      </c>
      <c r="F626" s="139">
        <f ca="1">IFERROR(__xludf.DUMMYFUNCTION("""COMPUTED_VALUE"""),984)</f>
        <v>984</v>
      </c>
      <c r="G626" s="139">
        <f ca="1">IFERROR(__xludf.DUMMYFUNCTION("""COMPUTED_VALUE"""),32012.3333333333)</f>
        <v>32012.333333333299</v>
      </c>
      <c r="H626" s="139">
        <f ca="1">IFERROR(__xludf.DUMMYFUNCTION("""COMPUTED_VALUE"""),4)</f>
        <v>4</v>
      </c>
      <c r="I626" s="140">
        <f ca="1">IFERROR(__xludf.DUMMYFUNCTION("""COMPUTED_VALUE"""),36141)</f>
        <v>36141</v>
      </c>
      <c r="J626" s="141">
        <f ca="1">IFERROR(__xludf.DUMMYFUNCTION("""COMPUTED_VALUE"""),9035.25)</f>
        <v>9035.25</v>
      </c>
      <c r="K626" s="142">
        <f ca="1">IFERROR(__xludf.DUMMYFUNCTION("""COMPUTED_VALUE"""),2.4094)</f>
        <v>2.4094000000000002</v>
      </c>
      <c r="L626" s="143" t="str">
        <f ca="1"/>
        <v>Wiris Variasi</v>
      </c>
      <c r="M626" s="127"/>
      <c r="N626" s="127"/>
      <c r="O626" s="127"/>
      <c r="P626" s="127"/>
      <c r="Q626" s="127"/>
      <c r="R626" s="127"/>
      <c r="S626" s="127"/>
      <c r="T626" s="127"/>
      <c r="U626" s="127"/>
      <c r="V626" s="127"/>
      <c r="W626" s="127"/>
      <c r="X626" s="127"/>
      <c r="Y626" s="127"/>
      <c r="Z626" s="127"/>
      <c r="AA626" s="127"/>
    </row>
    <row r="627" spans="1:27">
      <c r="A627" s="127">
        <f ca="1">IFERROR(__xludf.DUMMYFUNCTION("""COMPUTED_VALUE"""),766589657993298)</f>
        <v>766589657993298</v>
      </c>
      <c r="B627" s="127" t="str">
        <f ca="1">IFERROR(__xludf.DUMMYFUNCTION("""COMPUTED_VALUE"""),"120230028166360235")</f>
        <v>120230028166360235</v>
      </c>
      <c r="C627" s="143" t="str">
        <f ca="1">IFERROR(__xludf.DUMMYFUNCTION("""COMPUTED_VALUE"""),"Derra.id")</f>
        <v>Derra.id</v>
      </c>
      <c r="D627" s="139"/>
      <c r="E627" s="139"/>
      <c r="F627" s="139">
        <f ca="1">IFERROR(__xludf.DUMMYFUNCTION("""COMPUTED_VALUE"""),1128)</f>
        <v>1128</v>
      </c>
      <c r="G627" s="139">
        <f ca="1">IFERROR(__xludf.DUMMYFUNCTION("""COMPUTED_VALUE"""),57658.2)</f>
        <v>57658.2</v>
      </c>
      <c r="H627" s="139">
        <f ca="1">IFERROR(__xludf.DUMMYFUNCTION("""COMPUTED_VALUE"""),3)</f>
        <v>3</v>
      </c>
      <c r="I627" s="140">
        <f ca="1">IFERROR(__xludf.DUMMYFUNCTION("""COMPUTED_VALUE"""),69775)</f>
        <v>69775</v>
      </c>
      <c r="J627" s="141">
        <f ca="1">IFERROR(__xludf.DUMMYFUNCTION("""COMPUTED_VALUE"""),23258.3333333333)</f>
        <v>23258.333333333299</v>
      </c>
      <c r="K627" s="142">
        <f ca="1">IFERROR(__xludf.DUMMYFUNCTION("""COMPUTED_VALUE"""),4.65166666666666)</f>
        <v>4.6516666666666602</v>
      </c>
      <c r="L627" s="143" t="str">
        <f ca="1"/>
        <v>Wiris Variasi</v>
      </c>
      <c r="M627" s="127"/>
      <c r="N627" s="127"/>
      <c r="O627" s="127"/>
      <c r="P627" s="127"/>
      <c r="Q627" s="127"/>
      <c r="R627" s="127"/>
      <c r="S627" s="127"/>
      <c r="T627" s="127"/>
      <c r="U627" s="127"/>
      <c r="V627" s="127"/>
      <c r="W627" s="127"/>
      <c r="X627" s="127"/>
      <c r="Y627" s="127"/>
      <c r="Z627" s="127"/>
      <c r="AA627" s="127"/>
    </row>
    <row r="628" spans="1:27">
      <c r="A628" s="127">
        <f ca="1">IFERROR(__xludf.DUMMYFUNCTION("""COMPUTED_VALUE"""),766589657993298)</f>
        <v>766589657993298</v>
      </c>
      <c r="B628" s="127" t="str">
        <f ca="1">IFERROR(__xludf.DUMMYFUNCTION("""COMPUTED_VALUE"""),"120230031655260235")</f>
        <v>120230031655260235</v>
      </c>
      <c r="C628" s="127" t="str">
        <f ca="1">IFERROR(__xludf.DUMMYFUNCTION("""COMPUTED_VALUE"""),"MGM FURNITURE")</f>
        <v>MGM FURNITURE</v>
      </c>
      <c r="D628" s="138" t="str">
        <f ca="1">IFERROR(__xludf.DUMMYFUNCTION("""COMPUTED_VALUE"""),"https://wa.me/6282299236521")</f>
        <v>https://wa.me/6282299236521</v>
      </c>
      <c r="E628" s="139" t="str">
        <f ca="1">IFERROR(__xludf.DUMMYFUNCTION("""COMPUTED_VALUE"""),"6282299236521")</f>
        <v>6282299236521</v>
      </c>
      <c r="F628" s="139">
        <f ca="1">IFERROR(__xludf.DUMMYFUNCTION("""COMPUTED_VALUE"""),1320)</f>
        <v>1320</v>
      </c>
      <c r="G628" s="139">
        <f ca="1">IFERROR(__xludf.DUMMYFUNCTION("""COMPUTED_VALUE"""),56658.6)</f>
        <v>56658.6</v>
      </c>
      <c r="H628" s="139">
        <f ca="1">IFERROR(__xludf.DUMMYFUNCTION("""COMPUTED_VALUE"""),9)</f>
        <v>9</v>
      </c>
      <c r="I628" s="140">
        <f ca="1">IFERROR(__xludf.DUMMYFUNCTION("""COMPUTED_VALUE"""),75309)</f>
        <v>75309</v>
      </c>
      <c r="J628" s="141">
        <f ca="1">IFERROR(__xludf.DUMMYFUNCTION("""COMPUTED_VALUE"""),8367.66666666666)</f>
        <v>8367.6666666666606</v>
      </c>
      <c r="K628" s="142">
        <f ca="1">IFERROR(__xludf.DUMMYFUNCTION("""COMPUTED_VALUE"""),5.0206)</f>
        <v>5.0206</v>
      </c>
      <c r="L628" s="143" t="str">
        <f ca="1"/>
        <v>Wiris Variasi</v>
      </c>
      <c r="M628" s="127"/>
      <c r="N628" s="127"/>
      <c r="O628" s="127"/>
      <c r="P628" s="127"/>
      <c r="Q628" s="127"/>
      <c r="R628" s="127"/>
      <c r="S628" s="127"/>
      <c r="T628" s="127"/>
      <c r="U628" s="127"/>
      <c r="V628" s="127"/>
      <c r="W628" s="127"/>
      <c r="X628" s="127"/>
      <c r="Y628" s="127"/>
      <c r="Z628" s="127"/>
      <c r="AA628" s="127"/>
    </row>
    <row r="629" spans="1:27">
      <c r="A629" s="127">
        <f ca="1">IFERROR(__xludf.DUMMYFUNCTION("""COMPUTED_VALUE"""),766589657993298)</f>
        <v>766589657993298</v>
      </c>
      <c r="B629" s="127" t="str">
        <f ca="1">IFERROR(__xludf.DUMMYFUNCTION("""COMPUTED_VALUE"""),"120230138850420235")</f>
        <v>120230138850420235</v>
      </c>
      <c r="C629" s="127" t="str">
        <f ca="1">IFERROR(__xludf.DUMMYFUNCTION("""COMPUTED_VALUE"""),"Sentuhan Alam")</f>
        <v>Sentuhan Alam</v>
      </c>
      <c r="D629" s="138" t="str">
        <f ca="1">IFERROR(__xludf.DUMMYFUNCTION("""COMPUTED_VALUE"""),"https://wa.me/6285921009099")</f>
        <v>https://wa.me/6285921009099</v>
      </c>
      <c r="E629" s="139" t="str">
        <f ca="1">IFERROR(__xludf.DUMMYFUNCTION("""COMPUTED_VALUE"""),"6285921009099")</f>
        <v>6285921009099</v>
      </c>
      <c r="F629" s="139">
        <f ca="1">IFERROR(__xludf.DUMMYFUNCTION("""COMPUTED_VALUE"""),669)</f>
        <v>669</v>
      </c>
      <c r="G629" s="139">
        <f ca="1">IFERROR(__xludf.DUMMYFUNCTION("""COMPUTED_VALUE"""),41248)</f>
        <v>41248</v>
      </c>
      <c r="H629" s="139">
        <f ca="1">IFERROR(__xludf.DUMMYFUNCTION("""COMPUTED_VALUE"""),0)</f>
        <v>0</v>
      </c>
      <c r="I629" s="140">
        <f ca="1">IFERROR(__xludf.DUMMYFUNCTION("""COMPUTED_VALUE"""),30998)</f>
        <v>30998</v>
      </c>
      <c r="J629" s="141"/>
      <c r="K629" s="142">
        <f ca="1">IFERROR(__xludf.DUMMYFUNCTION("""COMPUTED_VALUE"""),2.06653333333333)</f>
        <v>2.06653333333333</v>
      </c>
      <c r="L629" s="143" t="str">
        <f ca="1"/>
        <v>Wiris Variasi</v>
      </c>
      <c r="M629" s="127"/>
      <c r="N629" s="127"/>
      <c r="O629" s="127"/>
      <c r="P629" s="127"/>
      <c r="Q629" s="127"/>
      <c r="R629" s="127"/>
      <c r="S629" s="127"/>
      <c r="T629" s="127"/>
      <c r="U629" s="127"/>
      <c r="V629" s="127"/>
      <c r="W629" s="127"/>
      <c r="X629" s="127"/>
      <c r="Y629" s="127"/>
      <c r="Z629" s="127"/>
      <c r="AA629" s="127"/>
    </row>
    <row r="630" spans="1:27">
      <c r="A630" s="127">
        <f ca="1">IFERROR(__xludf.DUMMYFUNCTION("""COMPUTED_VALUE"""),766589657993298)</f>
        <v>766589657993298</v>
      </c>
      <c r="B630" s="127" t="str">
        <f ca="1">IFERROR(__xludf.DUMMYFUNCTION("""COMPUTED_VALUE"""),"120230250559660235")</f>
        <v>120230250559660235</v>
      </c>
      <c r="C630" s="127" t="str">
        <f ca="1">IFERROR(__xludf.DUMMYFUNCTION("""COMPUTED_VALUE"""),"IQBAL ROSTER")</f>
        <v>IQBAL ROSTER</v>
      </c>
      <c r="D630" s="138" t="str">
        <f ca="1">IFERROR(__xludf.DUMMYFUNCTION("""COMPUTED_VALUE"""),"https://wa.me/6281258553437")</f>
        <v>https://wa.me/6281258553437</v>
      </c>
      <c r="E630" s="139" t="str">
        <f ca="1">IFERROR(__xludf.DUMMYFUNCTION("""COMPUTED_VALUE"""),"6281258553437")</f>
        <v>6281258553437</v>
      </c>
      <c r="F630" s="139">
        <f ca="1">IFERROR(__xludf.DUMMYFUNCTION("""COMPUTED_VALUE"""),641)</f>
        <v>641</v>
      </c>
      <c r="G630" s="139">
        <f ca="1">IFERROR(__xludf.DUMMYFUNCTION("""COMPUTED_VALUE"""),17622)</f>
        <v>17622</v>
      </c>
      <c r="H630" s="139">
        <f ca="1">IFERROR(__xludf.DUMMYFUNCTION("""COMPUTED_VALUE"""),4)</f>
        <v>4</v>
      </c>
      <c r="I630" s="140">
        <f ca="1">IFERROR(__xludf.DUMMYFUNCTION("""COMPUTED_VALUE"""),14362)</f>
        <v>14362</v>
      </c>
      <c r="J630" s="141">
        <f ca="1">IFERROR(__xludf.DUMMYFUNCTION("""COMPUTED_VALUE"""),3590.5)</f>
        <v>3590.5</v>
      </c>
      <c r="K630" s="142">
        <f ca="1">IFERROR(__xludf.DUMMYFUNCTION("""COMPUTED_VALUE"""),0.957466666666666)</f>
        <v>0.95746666666666602</v>
      </c>
      <c r="L630" s="143" t="str">
        <f ca="1"/>
        <v>Wiris Variasi</v>
      </c>
      <c r="M630" s="127"/>
      <c r="N630" s="127"/>
      <c r="O630" s="127"/>
      <c r="P630" s="127"/>
      <c r="Q630" s="127"/>
      <c r="R630" s="127"/>
      <c r="S630" s="127"/>
      <c r="T630" s="127"/>
      <c r="U630" s="127"/>
      <c r="V630" s="127"/>
      <c r="W630" s="127"/>
      <c r="X630" s="127"/>
      <c r="Y630" s="127"/>
      <c r="Z630" s="127"/>
      <c r="AA630" s="127"/>
    </row>
    <row r="631" spans="1:27">
      <c r="A631" s="127">
        <f ca="1">IFERROR(__xludf.DUMMYFUNCTION("""COMPUTED_VALUE"""),766589657993298)</f>
        <v>766589657993298</v>
      </c>
      <c r="B631" s="127" t="str">
        <f ca="1">IFERROR(__xludf.DUMMYFUNCTION("""COMPUTED_VALUE"""),"120230348158250235")</f>
        <v>120230348158250235</v>
      </c>
      <c r="C631" s="127" t="str">
        <f ca="1">IFERROR(__xludf.DUMMYFUNCTION("""COMPUTED_VALUE"""),"Interior Design")</f>
        <v>Interior Design</v>
      </c>
      <c r="D631" s="138" t="str">
        <f ca="1">IFERROR(__xludf.DUMMYFUNCTION("""COMPUTED_VALUE"""),"https://wa.me/6285373309275")</f>
        <v>https://wa.me/6285373309275</v>
      </c>
      <c r="E631" s="139" t="str">
        <f ca="1">IFERROR(__xludf.DUMMYFUNCTION("""COMPUTED_VALUE"""),"6285373309275")</f>
        <v>6285373309275</v>
      </c>
      <c r="F631" s="139">
        <f ca="1">IFERROR(__xludf.DUMMYFUNCTION("""COMPUTED_VALUE"""),254)</f>
        <v>254</v>
      </c>
      <c r="G631" s="139">
        <f ca="1">IFERROR(__xludf.DUMMYFUNCTION("""COMPUTED_VALUE"""),28476)</f>
        <v>28476</v>
      </c>
      <c r="H631" s="139">
        <f ca="1">IFERROR(__xludf.DUMMYFUNCTION("""COMPUTED_VALUE"""),0)</f>
        <v>0</v>
      </c>
      <c r="I631" s="140">
        <f ca="1">IFERROR(__xludf.DUMMYFUNCTION("""COMPUTED_VALUE"""),11077)</f>
        <v>11077</v>
      </c>
      <c r="J631" s="141"/>
      <c r="K631" s="142">
        <f ca="1">IFERROR(__xludf.DUMMYFUNCTION("""COMPUTED_VALUE"""),0.738466666666666)</f>
        <v>0.73846666666666605</v>
      </c>
      <c r="L631" s="143" t="str">
        <f ca="1"/>
        <v>Wiris Variasi</v>
      </c>
      <c r="M631" s="127"/>
      <c r="N631" s="127"/>
      <c r="O631" s="127"/>
      <c r="P631" s="127"/>
      <c r="Q631" s="127"/>
      <c r="R631" s="127"/>
      <c r="S631" s="127"/>
      <c r="T631" s="127"/>
      <c r="U631" s="127"/>
      <c r="V631" s="127"/>
      <c r="W631" s="127"/>
      <c r="X631" s="127"/>
      <c r="Y631" s="127"/>
      <c r="Z631" s="127"/>
      <c r="AA631" s="127"/>
    </row>
    <row r="632" spans="1:27">
      <c r="A632" s="127">
        <f ca="1">IFERROR(__xludf.DUMMYFUNCTION("""COMPUTED_VALUE"""),766589657993298)</f>
        <v>766589657993298</v>
      </c>
      <c r="B632" s="127" t="str">
        <f ca="1">IFERROR(__xludf.DUMMYFUNCTION("""COMPUTED_VALUE"""),"120230348327900235")</f>
        <v>120230348327900235</v>
      </c>
      <c r="C632" s="127" t="str">
        <f ca="1">IFERROR(__xludf.DUMMYFUNCTION("""COMPUTED_VALUE"""),"AL FAZZA")</f>
        <v>AL FAZZA</v>
      </c>
      <c r="D632" s="138" t="str">
        <f ca="1">IFERROR(__xludf.DUMMYFUNCTION("""COMPUTED_VALUE"""),"https://wa.me/6281321528899")</f>
        <v>https://wa.me/6281321528899</v>
      </c>
      <c r="E632" s="139" t="str">
        <f ca="1">IFERROR(__xludf.DUMMYFUNCTION("""COMPUTED_VALUE"""),"6281321528899")</f>
        <v>6281321528899</v>
      </c>
      <c r="F632" s="139">
        <f ca="1">IFERROR(__xludf.DUMMYFUNCTION("""COMPUTED_VALUE"""),300)</f>
        <v>300</v>
      </c>
      <c r="G632" s="139">
        <f ca="1">IFERROR(__xludf.DUMMYFUNCTION("""COMPUTED_VALUE"""),45204)</f>
        <v>45204</v>
      </c>
      <c r="H632" s="139">
        <f ca="1">IFERROR(__xludf.DUMMYFUNCTION("""COMPUTED_VALUE"""),3)</f>
        <v>3</v>
      </c>
      <c r="I632" s="140">
        <f ca="1">IFERROR(__xludf.DUMMYFUNCTION("""COMPUTED_VALUE"""),15098)</f>
        <v>15098</v>
      </c>
      <c r="J632" s="141">
        <f ca="1">IFERROR(__xludf.DUMMYFUNCTION("""COMPUTED_VALUE"""),5032.66666666666)</f>
        <v>5032.6666666666597</v>
      </c>
      <c r="K632" s="142">
        <f ca="1">IFERROR(__xludf.DUMMYFUNCTION("""COMPUTED_VALUE"""),1.00653333333333)</f>
        <v>1.0065333333333299</v>
      </c>
      <c r="L632" s="143" t="str">
        <f ca="1"/>
        <v>Wiris Variasi</v>
      </c>
      <c r="M632" s="127"/>
      <c r="N632" s="127"/>
      <c r="O632" s="127"/>
      <c r="P632" s="127"/>
      <c r="Q632" s="127"/>
      <c r="R632" s="127"/>
      <c r="S632" s="127"/>
      <c r="T632" s="127"/>
      <c r="U632" s="127"/>
      <c r="V632" s="127"/>
      <c r="W632" s="127"/>
      <c r="X632" s="127"/>
      <c r="Y632" s="127"/>
      <c r="Z632" s="127"/>
      <c r="AA632" s="127"/>
    </row>
    <row r="633" spans="1:27">
      <c r="A633" s="127">
        <f ca="1">IFERROR(__xludf.DUMMYFUNCTION("""COMPUTED_VALUE"""),766589657993298)</f>
        <v>766589657993298</v>
      </c>
      <c r="B633" s="127" t="str">
        <f ca="1">IFERROR(__xludf.DUMMYFUNCTION("""COMPUTED_VALUE"""),"120230396785660235")</f>
        <v>120230396785660235</v>
      </c>
      <c r="C633" s="127" t="str">
        <f ca="1">IFERROR(__xludf.DUMMYFUNCTION("""COMPUTED_VALUE"""),"Putra Djaya")</f>
        <v>Putra Djaya</v>
      </c>
      <c r="D633" s="138" t="str">
        <f ca="1">IFERROR(__xludf.DUMMYFUNCTION("""COMPUTED_VALUE"""),"https://wa.me/62895632627969")</f>
        <v>https://wa.me/62895632627969</v>
      </c>
      <c r="E633" s="139" t="str">
        <f ca="1">IFERROR(__xludf.DUMMYFUNCTION("""COMPUTED_VALUE"""),"62895632627969")</f>
        <v>62895632627969</v>
      </c>
      <c r="F633" s="139">
        <f ca="1">IFERROR(__xludf.DUMMYFUNCTION("""COMPUTED_VALUE"""),3157)</f>
        <v>3157</v>
      </c>
      <c r="G633" s="139">
        <f ca="1">IFERROR(__xludf.DUMMYFUNCTION("""COMPUTED_VALUE"""),20350.75)</f>
        <v>20350.75</v>
      </c>
      <c r="H633" s="139">
        <f ca="1">IFERROR(__xludf.DUMMYFUNCTION("""COMPUTED_VALUE"""),36)</f>
        <v>36</v>
      </c>
      <c r="I633" s="140">
        <f ca="1">IFERROR(__xludf.DUMMYFUNCTION("""COMPUTED_VALUE"""),61268)</f>
        <v>61268</v>
      </c>
      <c r="J633" s="141">
        <f ca="1">IFERROR(__xludf.DUMMYFUNCTION("""COMPUTED_VALUE"""),1701.88888888888)</f>
        <v>1701.88888888888</v>
      </c>
      <c r="K633" s="142">
        <f ca="1">IFERROR(__xludf.DUMMYFUNCTION("""COMPUTED_VALUE"""),4.08453333333333)</f>
        <v>4.0845333333333302</v>
      </c>
      <c r="L633" s="143" t="str">
        <f ca="1"/>
        <v>Wiris Variasi</v>
      </c>
      <c r="M633" s="127"/>
      <c r="N633" s="127"/>
      <c r="O633" s="127"/>
      <c r="P633" s="127"/>
      <c r="Q633" s="127"/>
      <c r="R633" s="127"/>
      <c r="S633" s="127"/>
      <c r="T633" s="127"/>
      <c r="U633" s="127"/>
      <c r="V633" s="127"/>
      <c r="W633" s="127"/>
      <c r="X633" s="127"/>
      <c r="Y633" s="127"/>
      <c r="Z633" s="127"/>
      <c r="AA633" s="127"/>
    </row>
    <row r="634" spans="1:27">
      <c r="A634" s="127">
        <f ca="1">IFERROR(__xludf.DUMMYFUNCTION("""COMPUTED_VALUE"""),766589657993298)</f>
        <v>766589657993298</v>
      </c>
      <c r="B634" s="127" t="str">
        <f ca="1">IFERROR(__xludf.DUMMYFUNCTION("""COMPUTED_VALUE"""),"120230462264890235")</f>
        <v>120230462264890235</v>
      </c>
      <c r="C634" s="127" t="str">
        <f ca="1">IFERROR(__xludf.DUMMYFUNCTION("""COMPUTED_VALUE"""),"Kharisma Filter")</f>
        <v>Kharisma Filter</v>
      </c>
      <c r="D634" s="138" t="str">
        <f ca="1">IFERROR(__xludf.DUMMYFUNCTION("""COMPUTED_VALUE"""),"https://wa.me/6285893658659")</f>
        <v>https://wa.me/6285893658659</v>
      </c>
      <c r="E634" s="139" t="str">
        <f ca="1">IFERROR(__xludf.DUMMYFUNCTION("""COMPUTED_VALUE"""),"6285893658659")</f>
        <v>6285893658659</v>
      </c>
      <c r="F634" s="139">
        <f ca="1">IFERROR(__xludf.DUMMYFUNCTION("""COMPUTED_VALUE"""),2489)</f>
        <v>2489</v>
      </c>
      <c r="G634" s="139">
        <f ca="1">IFERROR(__xludf.DUMMYFUNCTION("""COMPUTED_VALUE"""),34390.5)</f>
        <v>34390.5</v>
      </c>
      <c r="H634" s="139">
        <f ca="1">IFERROR(__xludf.DUMMYFUNCTION("""COMPUTED_VALUE"""),13)</f>
        <v>13</v>
      </c>
      <c r="I634" s="140">
        <f ca="1">IFERROR(__xludf.DUMMYFUNCTION("""COMPUTED_VALUE"""),92189)</f>
        <v>92189</v>
      </c>
      <c r="J634" s="141">
        <f ca="1">IFERROR(__xludf.DUMMYFUNCTION("""COMPUTED_VALUE"""),7091.46153846153)</f>
        <v>7091.4615384615299</v>
      </c>
      <c r="K634" s="142">
        <f ca="1">IFERROR(__xludf.DUMMYFUNCTION("""COMPUTED_VALUE"""),6.14593333333333)</f>
        <v>6.1459333333333301</v>
      </c>
      <c r="L634" s="143" t="str">
        <f ca="1"/>
        <v>Wiris Variasi</v>
      </c>
      <c r="M634" s="127"/>
      <c r="N634" s="127"/>
      <c r="O634" s="127"/>
      <c r="P634" s="127"/>
      <c r="Q634" s="127"/>
      <c r="R634" s="127"/>
      <c r="S634" s="127"/>
      <c r="T634" s="127"/>
      <c r="U634" s="127"/>
      <c r="V634" s="127"/>
      <c r="W634" s="127"/>
      <c r="X634" s="127"/>
      <c r="Y634" s="127"/>
      <c r="Z634" s="127"/>
      <c r="AA634" s="127"/>
    </row>
    <row r="635" spans="1:27">
      <c r="A635" s="127">
        <f ca="1">IFERROR(__xludf.DUMMYFUNCTION("""COMPUTED_VALUE"""),766589657993298)</f>
        <v>766589657993298</v>
      </c>
      <c r="B635" s="127" t="str">
        <f ca="1">IFERROR(__xludf.DUMMYFUNCTION("""COMPUTED_VALUE"""),"120230462474680235")</f>
        <v>120230462474680235</v>
      </c>
      <c r="C635" s="127" t="str">
        <f ca="1">IFERROR(__xludf.DUMMYFUNCTION("""COMPUTED_VALUE"""),"Jasa Pembuatan")</f>
        <v>Jasa Pembuatan</v>
      </c>
      <c r="D635" s="138" t="str">
        <f ca="1">IFERROR(__xludf.DUMMYFUNCTION("""COMPUTED_VALUE"""),"https://wa.me/6282297965454")</f>
        <v>https://wa.me/6282297965454</v>
      </c>
      <c r="E635" s="139" t="str">
        <f ca="1">IFERROR(__xludf.DUMMYFUNCTION("""COMPUTED_VALUE"""),"6282297965454")</f>
        <v>6282297965454</v>
      </c>
      <c r="F635" s="139">
        <f ca="1">IFERROR(__xludf.DUMMYFUNCTION("""COMPUTED_VALUE"""),1198)</f>
        <v>1198</v>
      </c>
      <c r="G635" s="139">
        <f ca="1">IFERROR(__xludf.DUMMYFUNCTION("""COMPUTED_VALUE"""),39785)</f>
        <v>39785</v>
      </c>
      <c r="H635" s="139">
        <f ca="1">IFERROR(__xludf.DUMMYFUNCTION("""COMPUTED_VALUE"""),6)</f>
        <v>6</v>
      </c>
      <c r="I635" s="140">
        <f ca="1">IFERROR(__xludf.DUMMYFUNCTION("""COMPUTED_VALUE"""),50044)</f>
        <v>50044</v>
      </c>
      <c r="J635" s="141">
        <f ca="1">IFERROR(__xludf.DUMMYFUNCTION("""COMPUTED_VALUE"""),8340.66666666666)</f>
        <v>8340.6666666666606</v>
      </c>
      <c r="K635" s="142">
        <f ca="1">IFERROR(__xludf.DUMMYFUNCTION("""COMPUTED_VALUE"""),3.33626666666666)</f>
        <v>3.3362666666666598</v>
      </c>
      <c r="L635" s="143" t="str">
        <f ca="1"/>
        <v>Wiris Variasi</v>
      </c>
      <c r="M635" s="127"/>
      <c r="N635" s="127"/>
      <c r="O635" s="127"/>
      <c r="P635" s="127"/>
      <c r="Q635" s="127"/>
      <c r="R635" s="127"/>
      <c r="S635" s="127"/>
      <c r="T635" s="127"/>
      <c r="U635" s="127"/>
      <c r="V635" s="127"/>
      <c r="W635" s="127"/>
      <c r="X635" s="127"/>
      <c r="Y635" s="127"/>
      <c r="Z635" s="127"/>
      <c r="AA635" s="127"/>
    </row>
    <row r="636" spans="1:27">
      <c r="A636" s="127">
        <f ca="1">IFERROR(__xludf.DUMMYFUNCTION("""COMPUTED_VALUE"""),766589657993298)</f>
        <v>766589657993298</v>
      </c>
      <c r="B636" s="127" t="str">
        <f ca="1">IFERROR(__xludf.DUMMYFUNCTION("""COMPUTED_VALUE"""),"120230462746020235")</f>
        <v>120230462746020235</v>
      </c>
      <c r="C636" s="127" t="str">
        <f ca="1">IFERROR(__xludf.DUMMYFUNCTION("""COMPUTED_VALUE"""),"Specialis Plafon")</f>
        <v>Specialis Plafon</v>
      </c>
      <c r="D636" s="138" t="str">
        <f ca="1">IFERROR(__xludf.DUMMYFUNCTION("""COMPUTED_VALUE"""),"https://wa.me/6285785858869")</f>
        <v>https://wa.me/6285785858869</v>
      </c>
      <c r="E636" s="139" t="str">
        <f ca="1">IFERROR(__xludf.DUMMYFUNCTION("""COMPUTED_VALUE"""),"6285785858869")</f>
        <v>6285785858869</v>
      </c>
      <c r="F636" s="139">
        <f ca="1">IFERROR(__xludf.DUMMYFUNCTION("""COMPUTED_VALUE"""),3037)</f>
        <v>3037</v>
      </c>
      <c r="G636" s="139">
        <f ca="1">IFERROR(__xludf.DUMMYFUNCTION("""COMPUTED_VALUE"""),15695.6666666666)</f>
        <v>15695.666666666601</v>
      </c>
      <c r="H636" s="139">
        <f ca="1">IFERROR(__xludf.DUMMYFUNCTION("""COMPUTED_VALUE"""),9)</f>
        <v>9</v>
      </c>
      <c r="I636" s="140">
        <f ca="1">IFERROR(__xludf.DUMMYFUNCTION("""COMPUTED_VALUE"""),49240)</f>
        <v>49240</v>
      </c>
      <c r="J636" s="141">
        <f ca="1">IFERROR(__xludf.DUMMYFUNCTION("""COMPUTED_VALUE"""),5471.11111111111)</f>
        <v>5471.1111111111104</v>
      </c>
      <c r="K636" s="142">
        <f ca="1">IFERROR(__xludf.DUMMYFUNCTION("""COMPUTED_VALUE"""),3.28266666666666)</f>
        <v>3.28266666666666</v>
      </c>
      <c r="L636" s="143" t="str">
        <f ca="1"/>
        <v>Wiris Variasi</v>
      </c>
      <c r="M636" s="127"/>
      <c r="N636" s="127"/>
      <c r="O636" s="127"/>
      <c r="P636" s="127"/>
      <c r="Q636" s="127"/>
      <c r="R636" s="127"/>
      <c r="S636" s="127"/>
      <c r="T636" s="127"/>
      <c r="U636" s="127"/>
      <c r="V636" s="127"/>
      <c r="W636" s="127"/>
      <c r="X636" s="127"/>
      <c r="Y636" s="127"/>
      <c r="Z636" s="127"/>
      <c r="AA636" s="127"/>
    </row>
    <row r="637" spans="1:27">
      <c r="A637" s="127">
        <f ca="1">IFERROR(__xludf.DUMMYFUNCTION("""COMPUTED_VALUE"""),766589657993298)</f>
        <v>766589657993298</v>
      </c>
      <c r="B637" s="127" t="str">
        <f ca="1">IFERROR(__xludf.DUMMYFUNCTION("""COMPUTED_VALUE"""),"120230463035880235")</f>
        <v>120230463035880235</v>
      </c>
      <c r="C637" s="127" t="str">
        <f ca="1">IFERROR(__xludf.DUMMYFUNCTION("""COMPUTED_VALUE"""),"ASALAKUR PROJECT")</f>
        <v>ASALAKUR PROJECT</v>
      </c>
      <c r="D637" s="138" t="str">
        <f ca="1">IFERROR(__xludf.DUMMYFUNCTION("""COMPUTED_VALUE"""),"https://wa.me/6282177410110")</f>
        <v>https://wa.me/6282177410110</v>
      </c>
      <c r="E637" s="139" t="str">
        <f ca="1">IFERROR(__xludf.DUMMYFUNCTION("""COMPUTED_VALUE"""),"6282177410110")</f>
        <v>6282177410110</v>
      </c>
      <c r="F637" s="139">
        <f ca="1">IFERROR(__xludf.DUMMYFUNCTION("""COMPUTED_VALUE"""),1799)</f>
        <v>1799</v>
      </c>
      <c r="G637" s="139">
        <f ca="1">IFERROR(__xludf.DUMMYFUNCTION("""COMPUTED_VALUE"""),21227)</f>
        <v>21227</v>
      </c>
      <c r="H637" s="139">
        <f ca="1">IFERROR(__xludf.DUMMYFUNCTION("""COMPUTED_VALUE"""),2)</f>
        <v>2</v>
      </c>
      <c r="I637" s="140">
        <f ca="1">IFERROR(__xludf.DUMMYFUNCTION("""COMPUTED_VALUE"""),40398)</f>
        <v>40398</v>
      </c>
      <c r="J637" s="141">
        <f ca="1">IFERROR(__xludf.DUMMYFUNCTION("""COMPUTED_VALUE"""),20199)</f>
        <v>20199</v>
      </c>
      <c r="K637" s="142">
        <f ca="1">IFERROR(__xludf.DUMMYFUNCTION("""COMPUTED_VALUE"""),2.6932)</f>
        <v>2.6932</v>
      </c>
      <c r="L637" s="143" t="str">
        <f ca="1"/>
        <v>Wiris Variasi</v>
      </c>
      <c r="M637" s="127"/>
      <c r="N637" s="127"/>
      <c r="O637" s="127"/>
      <c r="P637" s="127"/>
      <c r="Q637" s="127"/>
      <c r="R637" s="127"/>
      <c r="S637" s="127"/>
      <c r="T637" s="127"/>
      <c r="U637" s="127"/>
      <c r="V637" s="127"/>
      <c r="W637" s="127"/>
      <c r="X637" s="127"/>
      <c r="Y637" s="127"/>
      <c r="Z637" s="127"/>
      <c r="AA637" s="127"/>
    </row>
    <row r="638" spans="1:27">
      <c r="A638" s="127">
        <f ca="1">IFERROR(__xludf.DUMMYFUNCTION("""COMPUTED_VALUE"""),766589657993298)</f>
        <v>766589657993298</v>
      </c>
      <c r="B638" s="127" t="str">
        <f ca="1">IFERROR(__xludf.DUMMYFUNCTION("""COMPUTED_VALUE"""),"120230463174070235")</f>
        <v>120230463174070235</v>
      </c>
      <c r="C638" s="127" t="str">
        <f ca="1">IFERROR(__xludf.DUMMYFUNCTION("""COMPUTED_VALUE"""),"KARYA TEKNIK")</f>
        <v>KARYA TEKNIK</v>
      </c>
      <c r="D638" s="138" t="str">
        <f ca="1">IFERROR(__xludf.DUMMYFUNCTION("""COMPUTED_VALUE"""),"https://wa.me/6282164564557")</f>
        <v>https://wa.me/6282164564557</v>
      </c>
      <c r="E638" s="139" t="str">
        <f ca="1">IFERROR(__xludf.DUMMYFUNCTION("""COMPUTED_VALUE"""),"6282164564557")</f>
        <v>6282164564557</v>
      </c>
      <c r="F638" s="139">
        <f ca="1">IFERROR(__xludf.DUMMYFUNCTION("""COMPUTED_VALUE"""),6462)</f>
        <v>6462</v>
      </c>
      <c r="G638" s="139">
        <f ca="1">IFERROR(__xludf.DUMMYFUNCTION("""COMPUTED_VALUE"""),11868.6)</f>
        <v>11868.6</v>
      </c>
      <c r="H638" s="139">
        <f ca="1">IFERROR(__xludf.DUMMYFUNCTION("""COMPUTED_VALUE"""),14)</f>
        <v>14</v>
      </c>
      <c r="I638" s="140">
        <f ca="1">IFERROR(__xludf.DUMMYFUNCTION("""COMPUTED_VALUE"""),79437)</f>
        <v>79437</v>
      </c>
      <c r="J638" s="141">
        <f ca="1">IFERROR(__xludf.DUMMYFUNCTION("""COMPUTED_VALUE"""),5674.07142857142)</f>
        <v>5674.0714285714203</v>
      </c>
      <c r="K638" s="142">
        <f ca="1">IFERROR(__xludf.DUMMYFUNCTION("""COMPUTED_VALUE"""),5.2958)</f>
        <v>5.2957999999999998</v>
      </c>
      <c r="L638" s="143" t="str">
        <f ca="1"/>
        <v>Wiris Variasi</v>
      </c>
      <c r="M638" s="127"/>
      <c r="N638" s="127"/>
      <c r="O638" s="127"/>
      <c r="P638" s="127"/>
      <c r="Q638" s="127"/>
      <c r="R638" s="127"/>
      <c r="S638" s="127"/>
      <c r="T638" s="127"/>
      <c r="U638" s="127"/>
      <c r="V638" s="127"/>
      <c r="W638" s="127"/>
      <c r="X638" s="127"/>
      <c r="Y638" s="127"/>
      <c r="Z638" s="127"/>
      <c r="AA638" s="127"/>
    </row>
    <row r="639" spans="1:27">
      <c r="A639" s="127">
        <f ca="1">IFERROR(__xludf.DUMMYFUNCTION("""COMPUTED_VALUE"""),766589657993298)</f>
        <v>766589657993298</v>
      </c>
      <c r="B639" s="127" t="str">
        <f ca="1">IFERROR(__xludf.DUMMYFUNCTION("""COMPUTED_VALUE"""),"120230531310920235")</f>
        <v>120230531310920235</v>
      </c>
      <c r="C639" s="127" t="str">
        <f ca="1">IFERROR(__xludf.DUMMYFUNCTION("""COMPUTED_VALUE"""),"RJK (Rokhim")</f>
        <v>RJK (Rokhim</v>
      </c>
      <c r="D639" s="138" t="str">
        <f ca="1">IFERROR(__xludf.DUMMYFUNCTION("""COMPUTED_VALUE"""),"https://wa.me/62895635983361")</f>
        <v>https://wa.me/62895635983361</v>
      </c>
      <c r="E639" s="139" t="str">
        <f ca="1">IFERROR(__xludf.DUMMYFUNCTION("""COMPUTED_VALUE"""),"62895635983361")</f>
        <v>62895635983361</v>
      </c>
      <c r="F639" s="139">
        <f ca="1">IFERROR(__xludf.DUMMYFUNCTION("""COMPUTED_VALUE"""),2251)</f>
        <v>2251</v>
      </c>
      <c r="G639" s="139">
        <f ca="1">IFERROR(__xludf.DUMMYFUNCTION("""COMPUTED_VALUE"""),20675.6666666666)</f>
        <v>20675.666666666599</v>
      </c>
      <c r="H639" s="139">
        <f ca="1">IFERROR(__xludf.DUMMYFUNCTION("""COMPUTED_VALUE"""),1)</f>
        <v>1</v>
      </c>
      <c r="I639" s="140">
        <f ca="1">IFERROR(__xludf.DUMMYFUNCTION("""COMPUTED_VALUE"""),46622)</f>
        <v>46622</v>
      </c>
      <c r="J639" s="141">
        <f ca="1">IFERROR(__xludf.DUMMYFUNCTION("""COMPUTED_VALUE"""),46622)</f>
        <v>46622</v>
      </c>
      <c r="K639" s="142">
        <f ca="1">IFERROR(__xludf.DUMMYFUNCTION("""COMPUTED_VALUE"""),3.10813333333333)</f>
        <v>3.1081333333333299</v>
      </c>
      <c r="L639" s="143" t="str">
        <f ca="1"/>
        <v>Wiris Variasi</v>
      </c>
      <c r="M639" s="127"/>
      <c r="N639" s="127"/>
      <c r="O639" s="127"/>
      <c r="P639" s="127"/>
      <c r="Q639" s="127"/>
      <c r="R639" s="127"/>
      <c r="S639" s="127"/>
      <c r="T639" s="127"/>
      <c r="U639" s="127"/>
      <c r="V639" s="127"/>
      <c r="W639" s="127"/>
      <c r="X639" s="127"/>
      <c r="Y639" s="127"/>
      <c r="Z639" s="127"/>
      <c r="AA639" s="127"/>
    </row>
    <row r="640" spans="1:27">
      <c r="A640" s="127">
        <f ca="1">IFERROR(__xludf.DUMMYFUNCTION("""COMPUTED_VALUE"""),766589657993298)</f>
        <v>766589657993298</v>
      </c>
      <c r="B640" s="127" t="str">
        <f ca="1">IFERROR(__xludf.DUMMYFUNCTION("""COMPUTED_VALUE"""),"120230607617770235")</f>
        <v>120230607617770235</v>
      </c>
      <c r="C640" s="127" t="str">
        <f ca="1">IFERROR(__xludf.DUMMYFUNCTION("""COMPUTED_VALUE"""),"APRILIA GYPSUM")</f>
        <v>APRILIA GYPSUM</v>
      </c>
      <c r="D640" s="138" t="str">
        <f ca="1">IFERROR(__xludf.DUMMYFUNCTION("""COMPUTED_VALUE"""),"https://wa.me/6281230288300")</f>
        <v>https://wa.me/6281230288300</v>
      </c>
      <c r="E640" s="139" t="str">
        <f ca="1">IFERROR(__xludf.DUMMYFUNCTION("""COMPUTED_VALUE"""),"6281230288300")</f>
        <v>6281230288300</v>
      </c>
      <c r="F640" s="139">
        <f ca="1">IFERROR(__xludf.DUMMYFUNCTION("""COMPUTED_VALUE"""),1042)</f>
        <v>1042</v>
      </c>
      <c r="G640" s="139">
        <f ca="1">IFERROR(__xludf.DUMMYFUNCTION("""COMPUTED_VALUE"""),24646)</f>
        <v>24646</v>
      </c>
      <c r="H640" s="139">
        <f ca="1">IFERROR(__xludf.DUMMYFUNCTION("""COMPUTED_VALUE"""),5)</f>
        <v>5</v>
      </c>
      <c r="I640" s="140">
        <f ca="1">IFERROR(__xludf.DUMMYFUNCTION("""COMPUTED_VALUE"""),29500)</f>
        <v>29500</v>
      </c>
      <c r="J640" s="141">
        <f ca="1">IFERROR(__xludf.DUMMYFUNCTION("""COMPUTED_VALUE"""),5900)</f>
        <v>5900</v>
      </c>
      <c r="K640" s="142">
        <f ca="1">IFERROR(__xludf.DUMMYFUNCTION("""COMPUTED_VALUE"""),1.96666666666666)</f>
        <v>1.9666666666666599</v>
      </c>
      <c r="L640" s="143" t="str">
        <f ca="1"/>
        <v>Wiris Variasi</v>
      </c>
      <c r="M640" s="127"/>
      <c r="N640" s="127"/>
      <c r="O640" s="127"/>
      <c r="P640" s="127"/>
      <c r="Q640" s="127"/>
      <c r="R640" s="127"/>
      <c r="S640" s="127"/>
      <c r="T640" s="127"/>
      <c r="U640" s="127"/>
      <c r="V640" s="127"/>
      <c r="W640" s="127"/>
      <c r="X640" s="127"/>
      <c r="Y640" s="127"/>
      <c r="Z640" s="127"/>
      <c r="AA640" s="127"/>
    </row>
    <row r="641" spans="1:27">
      <c r="A641" s="127">
        <f ca="1">IFERROR(__xludf.DUMMYFUNCTION("""COMPUTED_VALUE"""),766589657993298)</f>
        <v>766589657993298</v>
      </c>
      <c r="B641" s="127" t="str">
        <f ca="1">IFERROR(__xludf.DUMMYFUNCTION("""COMPUTED_VALUE"""),"120230608770750235")</f>
        <v>120230608770750235</v>
      </c>
      <c r="C641" s="127" t="str">
        <f ca="1">IFERROR(__xludf.DUMMYFUNCTION("""COMPUTED_VALUE"""),"Dua Saudara")</f>
        <v>Dua Saudara</v>
      </c>
      <c r="D641" s="138" t="str">
        <f ca="1">IFERROR(__xludf.DUMMYFUNCTION("""COMPUTED_VALUE"""),"https://wa.me/6281326160059")</f>
        <v>https://wa.me/6281326160059</v>
      </c>
      <c r="E641" s="139" t="str">
        <f ca="1">IFERROR(__xludf.DUMMYFUNCTION("""COMPUTED_VALUE"""),"6281326160059")</f>
        <v>6281326160059</v>
      </c>
      <c r="F641" s="139">
        <f ca="1">IFERROR(__xludf.DUMMYFUNCTION("""COMPUTED_VALUE"""),2138)</f>
        <v>2138</v>
      </c>
      <c r="G641" s="139">
        <f ca="1">IFERROR(__xludf.DUMMYFUNCTION("""COMPUTED_VALUE"""),14052.5)</f>
        <v>14052.5</v>
      </c>
      <c r="H641" s="139">
        <f ca="1">IFERROR(__xludf.DUMMYFUNCTION("""COMPUTED_VALUE"""),2)</f>
        <v>2</v>
      </c>
      <c r="I641" s="140">
        <f ca="1">IFERROR(__xludf.DUMMYFUNCTION("""COMPUTED_VALUE"""),33342)</f>
        <v>33342</v>
      </c>
      <c r="J641" s="141">
        <f ca="1">IFERROR(__xludf.DUMMYFUNCTION("""COMPUTED_VALUE"""),16671)</f>
        <v>16671</v>
      </c>
      <c r="K641" s="142">
        <f ca="1">IFERROR(__xludf.DUMMYFUNCTION("""COMPUTED_VALUE"""),2.2228)</f>
        <v>2.2227999999999999</v>
      </c>
      <c r="L641" s="143" t="str">
        <f ca="1"/>
        <v>Wiris Variasi</v>
      </c>
      <c r="M641" s="127"/>
      <c r="N641" s="127"/>
      <c r="O641" s="127"/>
      <c r="P641" s="127"/>
      <c r="Q641" s="127"/>
      <c r="R641" s="127"/>
      <c r="S641" s="127"/>
      <c r="T641" s="127"/>
      <c r="U641" s="127"/>
      <c r="V641" s="127"/>
      <c r="W641" s="127"/>
      <c r="X641" s="127"/>
      <c r="Y641" s="127"/>
      <c r="Z641" s="127"/>
      <c r="AA641" s="127"/>
    </row>
    <row r="642" spans="1:27">
      <c r="A642" s="127">
        <f ca="1">IFERROR(__xludf.DUMMYFUNCTION("""COMPUTED_VALUE"""),766589657993298)</f>
        <v>766589657993298</v>
      </c>
      <c r="B642" s="127" t="str">
        <f ca="1">IFERROR(__xludf.DUMMYFUNCTION("""COMPUTED_VALUE"""),"120230681195060235")</f>
        <v>120230681195060235</v>
      </c>
      <c r="C642" s="127" t="str">
        <f ca="1">IFERROR(__xludf.DUMMYFUNCTION("""COMPUTED_VALUE"""),"Yasa Jayendra")</f>
        <v>Yasa Jayendra</v>
      </c>
      <c r="D642" s="138" t="str">
        <f ca="1">IFERROR(__xludf.DUMMYFUNCTION("""COMPUTED_VALUE"""),"https://wa.me/6287709999980")</f>
        <v>https://wa.me/6287709999980</v>
      </c>
      <c r="E642" s="139" t="str">
        <f ca="1">IFERROR(__xludf.DUMMYFUNCTION("""COMPUTED_VALUE"""),"6287709999980")</f>
        <v>6287709999980</v>
      </c>
      <c r="F642" s="139">
        <f ca="1">IFERROR(__xludf.DUMMYFUNCTION("""COMPUTED_VALUE"""),480)</f>
        <v>480</v>
      </c>
      <c r="G642" s="139">
        <f ca="1">IFERROR(__xludf.DUMMYFUNCTION("""COMPUTED_VALUE"""),62774.3333333333)</f>
        <v>62774.333333333299</v>
      </c>
      <c r="H642" s="139">
        <f ca="1">IFERROR(__xludf.DUMMYFUNCTION("""COMPUTED_VALUE"""),3)</f>
        <v>3</v>
      </c>
      <c r="I642" s="140">
        <f ca="1">IFERROR(__xludf.DUMMYFUNCTION("""COMPUTED_VALUE"""),37212)</f>
        <v>37212</v>
      </c>
      <c r="J642" s="141">
        <f ca="1">IFERROR(__xludf.DUMMYFUNCTION("""COMPUTED_VALUE"""),12404)</f>
        <v>12404</v>
      </c>
      <c r="K642" s="142">
        <f ca="1">IFERROR(__xludf.DUMMYFUNCTION("""COMPUTED_VALUE"""),2.4808)</f>
        <v>2.4807999999999999</v>
      </c>
      <c r="L642" s="143" t="str">
        <f ca="1"/>
        <v>Wiris Variasi</v>
      </c>
      <c r="M642" s="127"/>
      <c r="N642" s="127"/>
      <c r="O642" s="127"/>
      <c r="P642" s="127"/>
      <c r="Q642" s="127"/>
      <c r="R642" s="127"/>
      <c r="S642" s="127"/>
      <c r="T642" s="127"/>
      <c r="U642" s="127"/>
      <c r="V642" s="127"/>
      <c r="W642" s="127"/>
      <c r="X642" s="127"/>
      <c r="Y642" s="127"/>
      <c r="Z642" s="127"/>
      <c r="AA642" s="127"/>
    </row>
    <row r="643" spans="1:27">
      <c r="A643" s="127">
        <f ca="1">IFERROR(__xludf.DUMMYFUNCTION("""COMPUTED_VALUE"""),766589657993298)</f>
        <v>766589657993298</v>
      </c>
      <c r="B643" s="127" t="str">
        <f ca="1">IFERROR(__xludf.DUMMYFUNCTION("""COMPUTED_VALUE"""),"120230681708590235")</f>
        <v>120230681708590235</v>
      </c>
      <c r="C643" s="127" t="str">
        <f ca="1">IFERROR(__xludf.DUMMYFUNCTION("""COMPUTED_VALUE"""),"Somala Waterproofing")</f>
        <v>Somala Waterproofing</v>
      </c>
      <c r="D643" s="138" t="str">
        <f ca="1">IFERROR(__xludf.DUMMYFUNCTION("""COMPUTED_VALUE"""),"https://wa.me/6285737375137")</f>
        <v>https://wa.me/6285737375137</v>
      </c>
      <c r="E643" s="139" t="str">
        <f ca="1">IFERROR(__xludf.DUMMYFUNCTION("""COMPUTED_VALUE"""),"6285737375137")</f>
        <v>6285737375137</v>
      </c>
      <c r="F643" s="139">
        <f ca="1">IFERROR(__xludf.DUMMYFUNCTION("""COMPUTED_VALUE"""),981)</f>
        <v>981</v>
      </c>
      <c r="G643" s="139">
        <f ca="1">IFERROR(__xludf.DUMMYFUNCTION("""COMPUTED_VALUE"""),30111.3333333333)</f>
        <v>30111.333333333299</v>
      </c>
      <c r="H643" s="139">
        <f ca="1">IFERROR(__xludf.DUMMYFUNCTION("""COMPUTED_VALUE"""),1)</f>
        <v>1</v>
      </c>
      <c r="I643" s="140">
        <f ca="1">IFERROR(__xludf.DUMMYFUNCTION("""COMPUTED_VALUE"""),33749)</f>
        <v>33749</v>
      </c>
      <c r="J643" s="141">
        <f ca="1">IFERROR(__xludf.DUMMYFUNCTION("""COMPUTED_VALUE"""),33749)</f>
        <v>33749</v>
      </c>
      <c r="K643" s="142">
        <f ca="1">IFERROR(__xludf.DUMMYFUNCTION("""COMPUTED_VALUE"""),2.24993333333333)</f>
        <v>2.2499333333333298</v>
      </c>
      <c r="L643" s="143" t="str">
        <f ca="1"/>
        <v>Wiris Variasi</v>
      </c>
      <c r="M643" s="127"/>
      <c r="N643" s="127"/>
      <c r="O643" s="127"/>
      <c r="P643" s="127"/>
      <c r="Q643" s="127"/>
      <c r="R643" s="127"/>
      <c r="S643" s="127"/>
      <c r="T643" s="127"/>
      <c r="U643" s="127"/>
      <c r="V643" s="127"/>
      <c r="W643" s="127"/>
      <c r="X643" s="127"/>
      <c r="Y643" s="127"/>
      <c r="Z643" s="127"/>
      <c r="AA643" s="127"/>
    </row>
    <row r="644" spans="1:27">
      <c r="A644" s="127">
        <f ca="1">IFERROR(__xludf.DUMMYFUNCTION("""COMPUTED_VALUE"""),766589657993298)</f>
        <v>766589657993298</v>
      </c>
      <c r="B644" s="127" t="str">
        <f ca="1">IFERROR(__xludf.DUMMYFUNCTION("""COMPUTED_VALUE"""),"120230688221810235")</f>
        <v>120230688221810235</v>
      </c>
      <c r="C644" s="127" t="str">
        <f ca="1">IFERROR(__xludf.DUMMYFUNCTION("""COMPUTED_VALUE"""),"Hendri Family")</f>
        <v>Hendri Family</v>
      </c>
      <c r="D644" s="138" t="str">
        <f ca="1">IFERROR(__xludf.DUMMYFUNCTION("""COMPUTED_VALUE"""),"https://wa.me/6282384370009")</f>
        <v>https://wa.me/6282384370009</v>
      </c>
      <c r="E644" s="139" t="str">
        <f ca="1">IFERROR(__xludf.DUMMYFUNCTION("""COMPUTED_VALUE"""),"6282384370009")</f>
        <v>6282384370009</v>
      </c>
      <c r="F644" s="139">
        <f ca="1">IFERROR(__xludf.DUMMYFUNCTION("""COMPUTED_VALUE"""),423)</f>
        <v>423</v>
      </c>
      <c r="G644" s="139">
        <f ca="1">IFERROR(__xludf.DUMMYFUNCTION("""COMPUTED_VALUE"""),23582)</f>
        <v>23582</v>
      </c>
      <c r="H644" s="139">
        <f ca="1">IFERROR(__xludf.DUMMYFUNCTION("""COMPUTED_VALUE"""),5)</f>
        <v>5</v>
      </c>
      <c r="I644" s="140">
        <f ca="1">IFERROR(__xludf.DUMMYFUNCTION("""COMPUTED_VALUE"""),12074)</f>
        <v>12074</v>
      </c>
      <c r="J644" s="141">
        <f ca="1">IFERROR(__xludf.DUMMYFUNCTION("""COMPUTED_VALUE"""),2414.8)</f>
        <v>2414.8000000000002</v>
      </c>
      <c r="K644" s="142">
        <f ca="1">IFERROR(__xludf.DUMMYFUNCTION("""COMPUTED_VALUE"""),0.804933333333333)</f>
        <v>0.80493333333333295</v>
      </c>
      <c r="L644" s="143" t="str">
        <f ca="1"/>
        <v>Wiris Variasi</v>
      </c>
      <c r="M644" s="127"/>
      <c r="N644" s="127"/>
      <c r="O644" s="127"/>
      <c r="P644" s="127"/>
      <c r="Q644" s="127"/>
      <c r="R644" s="127"/>
      <c r="S644" s="127"/>
      <c r="T644" s="127"/>
      <c r="U644" s="127"/>
      <c r="V644" s="127"/>
      <c r="W644" s="127"/>
      <c r="X644" s="127"/>
      <c r="Y644" s="127"/>
      <c r="Z644" s="127"/>
      <c r="AA644" s="127"/>
    </row>
    <row r="645" spans="1:27">
      <c r="A645" s="127">
        <f ca="1">IFERROR(__xludf.DUMMYFUNCTION("""COMPUTED_VALUE"""),766589657993298)</f>
        <v>766589657993298</v>
      </c>
      <c r="B645" s="127" t="str">
        <f ca="1">IFERROR(__xludf.DUMMYFUNCTION("""COMPUTED_VALUE"""),"120230750875670235")</f>
        <v>120230750875670235</v>
      </c>
      <c r="C645" s="127" t="str">
        <f ca="1">IFERROR(__xludf.DUMMYFUNCTION("""COMPUTED_VALUE"""),"Furniture Jati")</f>
        <v>Furniture Jati</v>
      </c>
      <c r="D645" s="138" t="str">
        <f ca="1">IFERROR(__xludf.DUMMYFUNCTION("""COMPUTED_VALUE"""),"https://wa.me/6282322308711")</f>
        <v>https://wa.me/6282322308711</v>
      </c>
      <c r="E645" s="139" t="str">
        <f ca="1">IFERROR(__xludf.DUMMYFUNCTION("""COMPUTED_VALUE"""),"6282322308711")</f>
        <v>6282322308711</v>
      </c>
      <c r="F645" s="139">
        <f ca="1">IFERROR(__xludf.DUMMYFUNCTION("""COMPUTED_VALUE"""),654)</f>
        <v>654</v>
      </c>
      <c r="G645" s="139">
        <f ca="1">IFERROR(__xludf.DUMMYFUNCTION("""COMPUTED_VALUE"""),14972)</f>
        <v>14972</v>
      </c>
      <c r="H645" s="139">
        <f ca="1">IFERROR(__xludf.DUMMYFUNCTION("""COMPUTED_VALUE"""),4)</f>
        <v>4</v>
      </c>
      <c r="I645" s="140">
        <f ca="1">IFERROR(__xludf.DUMMYFUNCTION("""COMPUTED_VALUE"""),10555)</f>
        <v>10555</v>
      </c>
      <c r="J645" s="141">
        <f ca="1">IFERROR(__xludf.DUMMYFUNCTION("""COMPUTED_VALUE"""),2638.75)</f>
        <v>2638.75</v>
      </c>
      <c r="K645" s="142">
        <f ca="1">IFERROR(__xludf.DUMMYFUNCTION("""COMPUTED_VALUE"""),0.703666666666666)</f>
        <v>0.703666666666666</v>
      </c>
      <c r="L645" s="143" t="str">
        <f ca="1"/>
        <v>Wiris Variasi</v>
      </c>
      <c r="M645" s="127"/>
      <c r="N645" s="127"/>
      <c r="O645" s="127"/>
      <c r="P645" s="127"/>
      <c r="Q645" s="127"/>
      <c r="R645" s="127"/>
      <c r="S645" s="127"/>
      <c r="T645" s="127"/>
      <c r="U645" s="127"/>
      <c r="V645" s="127"/>
      <c r="W645" s="127"/>
      <c r="X645" s="127"/>
      <c r="Y645" s="127"/>
      <c r="Z645" s="127"/>
      <c r="AA645" s="127"/>
    </row>
    <row r="646" spans="1:27">
      <c r="A646" s="127">
        <f ca="1">IFERROR(__xludf.DUMMYFUNCTION("""COMPUTED_VALUE"""),766589657993298)</f>
        <v>766589657993298</v>
      </c>
      <c r="B646" s="127" t="str">
        <f ca="1">IFERROR(__xludf.DUMMYFUNCTION("""COMPUTED_VALUE"""),"120230789620270235")</f>
        <v>120230789620270235</v>
      </c>
      <c r="C646" s="127" t="str">
        <f ca="1">IFERROR(__xludf.DUMMYFUNCTION("""COMPUTED_VALUE"""),"Renovasi Atap")</f>
        <v>Renovasi Atap</v>
      </c>
      <c r="D646" s="138" t="str">
        <f ca="1">IFERROR(__xludf.DUMMYFUNCTION("""COMPUTED_VALUE"""),"https://wa.me/6285694618282")</f>
        <v>https://wa.me/6285694618282</v>
      </c>
      <c r="E646" s="139" t="str">
        <f ca="1">IFERROR(__xludf.DUMMYFUNCTION("""COMPUTED_VALUE"""),"6285694618282")</f>
        <v>6285694618282</v>
      </c>
      <c r="F646" s="139">
        <f ca="1">IFERROR(__xludf.DUMMYFUNCTION("""COMPUTED_VALUE"""),1768)</f>
        <v>1768</v>
      </c>
      <c r="G646" s="139">
        <f ca="1">IFERROR(__xludf.DUMMYFUNCTION("""COMPUTED_VALUE"""),26836)</f>
        <v>26836</v>
      </c>
      <c r="H646" s="139">
        <f ca="1">IFERROR(__xludf.DUMMYFUNCTION("""COMPUTED_VALUE"""),9)</f>
        <v>9</v>
      </c>
      <c r="I646" s="140">
        <f ca="1">IFERROR(__xludf.DUMMYFUNCTION("""COMPUTED_VALUE"""),49914)</f>
        <v>49914</v>
      </c>
      <c r="J646" s="141">
        <f ca="1">IFERROR(__xludf.DUMMYFUNCTION("""COMPUTED_VALUE"""),5546)</f>
        <v>5546</v>
      </c>
      <c r="K646" s="142">
        <f ca="1">IFERROR(__xludf.DUMMYFUNCTION("""COMPUTED_VALUE"""),3.3276)</f>
        <v>3.3275999999999999</v>
      </c>
      <c r="L646" s="143" t="str">
        <f ca="1"/>
        <v>Wiris Variasi</v>
      </c>
      <c r="M646" s="127"/>
      <c r="N646" s="127"/>
      <c r="O646" s="127"/>
      <c r="P646" s="127"/>
      <c r="Q646" s="127"/>
      <c r="R646" s="127"/>
      <c r="S646" s="127"/>
      <c r="T646" s="127"/>
      <c r="U646" s="127"/>
      <c r="V646" s="127"/>
      <c r="W646" s="127"/>
      <c r="X646" s="127"/>
      <c r="Y646" s="127"/>
      <c r="Z646" s="127"/>
      <c r="AA646" s="127"/>
    </row>
    <row r="647" spans="1:27">
      <c r="A647" s="127">
        <f ca="1">IFERROR(__xludf.DUMMYFUNCTION("""COMPUTED_VALUE"""),766589657993298)</f>
        <v>766589657993298</v>
      </c>
      <c r="B647" s="127" t="str">
        <f ca="1">IFERROR(__xludf.DUMMYFUNCTION("""COMPUTED_VALUE"""),"120230838084460235")</f>
        <v>120230838084460235</v>
      </c>
      <c r="C647" s="127" t="str">
        <f ca="1">IFERROR(__xludf.DUMMYFUNCTION("""COMPUTED_VALUE"""),"Bintang Jaya")</f>
        <v>Bintang Jaya</v>
      </c>
      <c r="D647" s="138" t="str">
        <f ca="1">IFERROR(__xludf.DUMMYFUNCTION("""COMPUTED_VALUE"""),"https://wa.me/6289609613105")</f>
        <v>https://wa.me/6289609613105</v>
      </c>
      <c r="E647" s="139" t="str">
        <f ca="1">IFERROR(__xludf.DUMMYFUNCTION("""COMPUTED_VALUE"""),"6289609613105")</f>
        <v>6289609613105</v>
      </c>
      <c r="F647" s="139">
        <f ca="1">IFERROR(__xludf.DUMMYFUNCTION("""COMPUTED_VALUE"""),436)</f>
        <v>436</v>
      </c>
      <c r="G647" s="139">
        <f ca="1">IFERROR(__xludf.DUMMYFUNCTION("""COMPUTED_VALUE"""),35159)</f>
        <v>35159</v>
      </c>
      <c r="H647" s="139">
        <f ca="1">IFERROR(__xludf.DUMMYFUNCTION("""COMPUTED_VALUE"""),0)</f>
        <v>0</v>
      </c>
      <c r="I647" s="140">
        <f ca="1">IFERROR(__xludf.DUMMYFUNCTION("""COMPUTED_VALUE"""),17896)</f>
        <v>17896</v>
      </c>
      <c r="J647" s="141"/>
      <c r="K647" s="142">
        <f ca="1">IFERROR(__xludf.DUMMYFUNCTION("""COMPUTED_VALUE"""),1.19306666666666)</f>
        <v>1.1930666666666601</v>
      </c>
      <c r="L647" s="143" t="str">
        <f ca="1"/>
        <v>Wiris Variasi</v>
      </c>
      <c r="M647" s="127"/>
      <c r="N647" s="127"/>
      <c r="O647" s="127"/>
      <c r="P647" s="127"/>
      <c r="Q647" s="127"/>
      <c r="R647" s="127"/>
      <c r="S647" s="127"/>
      <c r="T647" s="127"/>
      <c r="U647" s="127"/>
      <c r="V647" s="127"/>
      <c r="W647" s="127"/>
      <c r="X647" s="127"/>
      <c r="Y647" s="127"/>
      <c r="Z647" s="127"/>
      <c r="AA647" s="127"/>
    </row>
    <row r="648" spans="1:27">
      <c r="A648" s="127">
        <f ca="1">IFERROR(__xludf.DUMMYFUNCTION("""COMPUTED_VALUE"""),766589657993298)</f>
        <v>766589657993298</v>
      </c>
      <c r="B648" s="127" t="str">
        <f ca="1">IFERROR(__xludf.DUMMYFUNCTION("""COMPUTED_VALUE"""),"120230838244790235")</f>
        <v>120230838244790235</v>
      </c>
      <c r="C648" s="127" t="str">
        <f ca="1">IFERROR(__xludf.DUMMYFUNCTION("""COMPUTED_VALUE"""),"Jannah Interior")</f>
        <v>Jannah Interior</v>
      </c>
      <c r="D648" s="138" t="str">
        <f ca="1">IFERROR(__xludf.DUMMYFUNCTION("""COMPUTED_VALUE"""),"https://wa.me/6285767074516")</f>
        <v>https://wa.me/6285767074516</v>
      </c>
      <c r="E648" s="139" t="str">
        <f ca="1">IFERROR(__xludf.DUMMYFUNCTION("""COMPUTED_VALUE"""),"6285767074516")</f>
        <v>6285767074516</v>
      </c>
      <c r="F648" s="139">
        <f ca="1">IFERROR(__xludf.DUMMYFUNCTION("""COMPUTED_VALUE"""),3975)</f>
        <v>3975</v>
      </c>
      <c r="G648" s="139">
        <f ca="1">IFERROR(__xludf.DUMMYFUNCTION("""COMPUTED_VALUE"""),12456)</f>
        <v>12456</v>
      </c>
      <c r="H648" s="139">
        <f ca="1">IFERROR(__xludf.DUMMYFUNCTION("""COMPUTED_VALUE"""),9)</f>
        <v>9</v>
      </c>
      <c r="I648" s="140">
        <f ca="1">IFERROR(__xludf.DUMMYFUNCTION("""COMPUTED_VALUE"""),50036)</f>
        <v>50036</v>
      </c>
      <c r="J648" s="141">
        <f ca="1">IFERROR(__xludf.DUMMYFUNCTION("""COMPUTED_VALUE"""),5559.55555555555)</f>
        <v>5559.5555555555502</v>
      </c>
      <c r="K648" s="142">
        <f ca="1">IFERROR(__xludf.DUMMYFUNCTION("""COMPUTED_VALUE"""),3.33573333333333)</f>
        <v>3.3357333333333301</v>
      </c>
      <c r="L648" s="143" t="str">
        <f ca="1"/>
        <v>Wiris Variasi</v>
      </c>
      <c r="M648" s="127"/>
      <c r="N648" s="127"/>
      <c r="O648" s="127"/>
      <c r="P648" s="127"/>
      <c r="Q648" s="127"/>
      <c r="R648" s="127"/>
      <c r="S648" s="127"/>
      <c r="T648" s="127"/>
      <c r="U648" s="127"/>
      <c r="V648" s="127"/>
      <c r="W648" s="127"/>
      <c r="X648" s="127"/>
      <c r="Y648" s="127"/>
      <c r="Z648" s="127"/>
      <c r="AA648" s="127"/>
    </row>
    <row r="649" spans="1:27">
      <c r="A649" s="127">
        <f ca="1">IFERROR(__xludf.DUMMYFUNCTION("""COMPUTED_VALUE"""),766589657993298)</f>
        <v>766589657993298</v>
      </c>
      <c r="B649" s="127" t="str">
        <f ca="1">IFERROR(__xludf.DUMMYFUNCTION("""COMPUTED_VALUE"""),"120231018888730235")</f>
        <v>120231018888730235</v>
      </c>
      <c r="C649" s="127" t="str">
        <f ca="1">IFERROR(__xludf.DUMMYFUNCTION("""COMPUTED_VALUE"""),"vania_sentulcity")</f>
        <v>vania_sentulcity</v>
      </c>
      <c r="D649" s="138" t="str">
        <f ca="1">IFERROR(__xludf.DUMMYFUNCTION("""COMPUTED_VALUE"""),"https://wa.me/6282130129819")</f>
        <v>https://wa.me/6282130129819</v>
      </c>
      <c r="E649" s="139" t="str">
        <f ca="1">IFERROR(__xludf.DUMMYFUNCTION("""COMPUTED_VALUE"""),"6282130129819")</f>
        <v>6282130129819</v>
      </c>
      <c r="F649" s="139">
        <f ca="1">IFERROR(__xludf.DUMMYFUNCTION("""COMPUTED_VALUE"""),167)</f>
        <v>167</v>
      </c>
      <c r="G649" s="139">
        <f ca="1">IFERROR(__xludf.DUMMYFUNCTION("""COMPUTED_VALUE"""),79454)</f>
        <v>79454</v>
      </c>
      <c r="H649" s="139">
        <f ca="1">IFERROR(__xludf.DUMMYFUNCTION("""COMPUTED_VALUE"""),1)</f>
        <v>1</v>
      </c>
      <c r="I649" s="140">
        <f ca="1">IFERROR(__xludf.DUMMYFUNCTION("""COMPUTED_VALUE"""),14699)</f>
        <v>14699</v>
      </c>
      <c r="J649" s="141">
        <f ca="1">IFERROR(__xludf.DUMMYFUNCTION("""COMPUTED_VALUE"""),14699)</f>
        <v>14699</v>
      </c>
      <c r="K649" s="142">
        <f ca="1">IFERROR(__xludf.DUMMYFUNCTION("""COMPUTED_VALUE"""),0.979933333333333)</f>
        <v>0.97993333333333299</v>
      </c>
      <c r="L649" s="143" t="str">
        <f ca="1"/>
        <v>Wiris Variasi</v>
      </c>
      <c r="M649" s="127"/>
      <c r="N649" s="127"/>
      <c r="O649" s="127"/>
      <c r="P649" s="127"/>
      <c r="Q649" s="127"/>
      <c r="R649" s="127"/>
      <c r="S649" s="127"/>
      <c r="T649" s="127"/>
      <c r="U649" s="127"/>
      <c r="V649" s="127"/>
      <c r="W649" s="127"/>
      <c r="X649" s="127"/>
      <c r="Y649" s="127"/>
      <c r="Z649" s="127"/>
      <c r="AA649" s="127"/>
    </row>
    <row r="650" spans="1:27">
      <c r="A650" s="127">
        <f ca="1">IFERROR(__xludf.DUMMYFUNCTION("""COMPUTED_VALUE"""),766589657993298)</f>
        <v>766589657993298</v>
      </c>
      <c r="B650" s="127" t="str">
        <f ca="1">IFERROR(__xludf.DUMMYFUNCTION("""COMPUTED_VALUE"""),"120231117427430235")</f>
        <v>120231117427430235</v>
      </c>
      <c r="C650" s="127" t="str">
        <f ca="1">IFERROR(__xludf.DUMMYFUNCTION("""COMPUTED_VALUE"""),"CV Karya")</f>
        <v>CV Karya</v>
      </c>
      <c r="D650" s="138" t="str">
        <f ca="1">IFERROR(__xludf.DUMMYFUNCTION("""COMPUTED_VALUE"""),"https://wa.me/6285888590045")</f>
        <v>https://wa.me/6285888590045</v>
      </c>
      <c r="E650" s="139" t="str">
        <f ca="1">IFERROR(__xludf.DUMMYFUNCTION("""COMPUTED_VALUE"""),"6285888590045")</f>
        <v>6285888590045</v>
      </c>
      <c r="F650" s="139">
        <f ca="1">IFERROR(__xludf.DUMMYFUNCTION("""COMPUTED_VALUE"""),290)</f>
        <v>290</v>
      </c>
      <c r="G650" s="139">
        <f ca="1">IFERROR(__xludf.DUMMYFUNCTION("""COMPUTED_VALUE"""),44474)</f>
        <v>44474</v>
      </c>
      <c r="H650" s="139">
        <f ca="1">IFERROR(__xludf.DUMMYFUNCTION("""COMPUTED_VALUE"""),2)</f>
        <v>2</v>
      </c>
      <c r="I650" s="140">
        <f ca="1">IFERROR(__xludf.DUMMYFUNCTION("""COMPUTED_VALUE"""),14454)</f>
        <v>14454</v>
      </c>
      <c r="J650" s="141">
        <f ca="1">IFERROR(__xludf.DUMMYFUNCTION("""COMPUTED_VALUE"""),7227)</f>
        <v>7227</v>
      </c>
      <c r="K650" s="142">
        <f ca="1">IFERROR(__xludf.DUMMYFUNCTION("""COMPUTED_VALUE"""),0.9636)</f>
        <v>0.96360000000000001</v>
      </c>
      <c r="L650" s="143" t="str">
        <f ca="1"/>
        <v>Wiris Variasi</v>
      </c>
      <c r="M650" s="127"/>
      <c r="N650" s="127"/>
      <c r="O650" s="127"/>
      <c r="P650" s="127"/>
      <c r="Q650" s="127"/>
      <c r="R650" s="127"/>
      <c r="S650" s="127"/>
      <c r="T650" s="127"/>
      <c r="U650" s="127"/>
      <c r="V650" s="127"/>
      <c r="W650" s="127"/>
      <c r="X650" s="127"/>
      <c r="Y650" s="127"/>
      <c r="Z650" s="127"/>
      <c r="AA650" s="127"/>
    </row>
    <row r="651" spans="1:27">
      <c r="A651" s="127">
        <f ca="1">IFERROR(__xludf.DUMMYFUNCTION("""COMPUTED_VALUE"""),766589657993298)</f>
        <v>766589657993298</v>
      </c>
      <c r="B651" s="127" t="str">
        <f ca="1">IFERROR(__xludf.DUMMYFUNCTION("""COMPUTED_VALUE"""),"120231117671640235")</f>
        <v>120231117671640235</v>
      </c>
      <c r="C651" s="127" t="str">
        <f ca="1">IFERROR(__xludf.DUMMYFUNCTION("""COMPUTED_VALUE"""),"CV Karya")</f>
        <v>CV Karya</v>
      </c>
      <c r="D651" s="138" t="str">
        <f ca="1">IFERROR(__xludf.DUMMYFUNCTION("""COMPUTED_VALUE"""),"https://wa.me/6285888590045")</f>
        <v>https://wa.me/6285888590045</v>
      </c>
      <c r="E651" s="139" t="str">
        <f ca="1">IFERROR(__xludf.DUMMYFUNCTION("""COMPUTED_VALUE"""),"6285888590045")</f>
        <v>6285888590045</v>
      </c>
      <c r="F651" s="139">
        <f ca="1">IFERROR(__xludf.DUMMYFUNCTION("""COMPUTED_VALUE"""),288)</f>
        <v>288</v>
      </c>
      <c r="G651" s="139">
        <f ca="1">IFERROR(__xludf.DUMMYFUNCTION("""COMPUTED_VALUE"""),44818)</f>
        <v>44818</v>
      </c>
      <c r="H651" s="139">
        <f ca="1">IFERROR(__xludf.DUMMYFUNCTION("""COMPUTED_VALUE"""),1)</f>
        <v>1</v>
      </c>
      <c r="I651" s="140">
        <f ca="1">IFERROR(__xludf.DUMMYFUNCTION("""COMPUTED_VALUE"""),14790)</f>
        <v>14790</v>
      </c>
      <c r="J651" s="141">
        <f ca="1">IFERROR(__xludf.DUMMYFUNCTION("""COMPUTED_VALUE"""),14790)</f>
        <v>14790</v>
      </c>
      <c r="K651" s="142">
        <f ca="1">IFERROR(__xludf.DUMMYFUNCTION("""COMPUTED_VALUE"""),0.986)</f>
        <v>0.98599999999999999</v>
      </c>
      <c r="L651" s="143" t="str">
        <f ca="1"/>
        <v>Wiris Variasi</v>
      </c>
      <c r="M651" s="127"/>
      <c r="N651" s="127"/>
      <c r="O651" s="127"/>
      <c r="P651" s="127"/>
      <c r="Q651" s="127"/>
      <c r="R651" s="127"/>
      <c r="S651" s="127"/>
      <c r="T651" s="127"/>
      <c r="U651" s="127"/>
      <c r="V651" s="127"/>
      <c r="W651" s="127"/>
      <c r="X651" s="127"/>
      <c r="Y651" s="127"/>
      <c r="Z651" s="127"/>
      <c r="AA651" s="127"/>
    </row>
    <row r="652" spans="1:27">
      <c r="A652" s="127">
        <f ca="1">IFERROR(__xludf.DUMMYFUNCTION("""COMPUTED_VALUE"""),766589657993298)</f>
        <v>766589657993298</v>
      </c>
      <c r="B652" s="127" t="str">
        <f ca="1">IFERROR(__xludf.DUMMYFUNCTION("""COMPUTED_VALUE"""),"120231117829430235")</f>
        <v>120231117829430235</v>
      </c>
      <c r="C652" s="127" t="str">
        <f ca="1">IFERROR(__xludf.DUMMYFUNCTION("""COMPUTED_VALUE"""),"CV Karya")</f>
        <v>CV Karya</v>
      </c>
      <c r="D652" s="138" t="str">
        <f ca="1">IFERROR(__xludf.DUMMYFUNCTION("""COMPUTED_VALUE"""),"https://wa.me/6285888590045")</f>
        <v>https://wa.me/6285888590045</v>
      </c>
      <c r="E652" s="139" t="str">
        <f ca="1">IFERROR(__xludf.DUMMYFUNCTION("""COMPUTED_VALUE"""),"6285888590045")</f>
        <v>6285888590045</v>
      </c>
      <c r="F652" s="139">
        <f ca="1">IFERROR(__xludf.DUMMYFUNCTION("""COMPUTED_VALUE"""),489)</f>
        <v>489</v>
      </c>
      <c r="G652" s="139">
        <f ca="1">IFERROR(__xludf.DUMMYFUNCTION("""COMPUTED_VALUE"""),26744)</f>
        <v>26744</v>
      </c>
      <c r="H652" s="139">
        <f ca="1">IFERROR(__xludf.DUMMYFUNCTION("""COMPUTED_VALUE"""),4)</f>
        <v>4</v>
      </c>
      <c r="I652" s="140">
        <f ca="1">IFERROR(__xludf.DUMMYFUNCTION("""COMPUTED_VALUE"""),14950)</f>
        <v>14950</v>
      </c>
      <c r="J652" s="141">
        <f ca="1">IFERROR(__xludf.DUMMYFUNCTION("""COMPUTED_VALUE"""),3737.5)</f>
        <v>3737.5</v>
      </c>
      <c r="K652" s="142">
        <f ca="1">IFERROR(__xludf.DUMMYFUNCTION("""COMPUTED_VALUE"""),0.996666666666666)</f>
        <v>0.99666666666666603</v>
      </c>
      <c r="L652" s="143" t="str">
        <f ca="1"/>
        <v>Wiris Variasi</v>
      </c>
      <c r="M652" s="127"/>
      <c r="N652" s="127"/>
      <c r="O652" s="127"/>
      <c r="P652" s="127"/>
      <c r="Q652" s="127"/>
      <c r="R652" s="127"/>
      <c r="S652" s="127"/>
      <c r="T652" s="127"/>
      <c r="U652" s="127"/>
      <c r="V652" s="127"/>
      <c r="W652" s="127"/>
      <c r="X652" s="127"/>
      <c r="Y652" s="127"/>
      <c r="Z652" s="127"/>
      <c r="AA652" s="127"/>
    </row>
    <row r="653" spans="1:27">
      <c r="A653" s="127">
        <f ca="1">IFERROR(__xludf.DUMMYFUNCTION("""COMPUTED_VALUE"""),766589657993298)</f>
        <v>766589657993298</v>
      </c>
      <c r="B653" s="127" t="str">
        <f ca="1">IFERROR(__xludf.DUMMYFUNCTION("""COMPUTED_VALUE"""),"120231200403370235")</f>
        <v>120231200403370235</v>
      </c>
      <c r="C653" s="127" t="str">
        <f ca="1">IFERROR(__xludf.DUMMYFUNCTION("""COMPUTED_VALUE"""),"SYABANA PROPERTY")</f>
        <v>SYABANA PROPERTY</v>
      </c>
      <c r="D653" s="138" t="str">
        <f ca="1">IFERROR(__xludf.DUMMYFUNCTION("""COMPUTED_VALUE"""),"https://wa.me/6283856759344")</f>
        <v>https://wa.me/6283856759344</v>
      </c>
      <c r="E653" s="139" t="str">
        <f ca="1">IFERROR(__xludf.DUMMYFUNCTION("""COMPUTED_VALUE"""),"6283856759344")</f>
        <v>6283856759344</v>
      </c>
      <c r="F653" s="139">
        <f ca="1">IFERROR(__xludf.DUMMYFUNCTION("""COMPUTED_VALUE"""),1361)</f>
        <v>1361</v>
      </c>
      <c r="G653" s="139">
        <f ca="1">IFERROR(__xludf.DUMMYFUNCTION("""COMPUTED_VALUE"""),19010)</f>
        <v>19010</v>
      </c>
      <c r="H653" s="139">
        <f ca="1">IFERROR(__xludf.DUMMYFUNCTION("""COMPUTED_VALUE"""),2)</f>
        <v>2</v>
      </c>
      <c r="I653" s="140">
        <f ca="1">IFERROR(__xludf.DUMMYFUNCTION("""COMPUTED_VALUE"""),31337)</f>
        <v>31337</v>
      </c>
      <c r="J653" s="141">
        <f ca="1">IFERROR(__xludf.DUMMYFUNCTION("""COMPUTED_VALUE"""),15668.5)</f>
        <v>15668.5</v>
      </c>
      <c r="K653" s="142">
        <f ca="1">IFERROR(__xludf.DUMMYFUNCTION("""COMPUTED_VALUE"""),2.08913333333333)</f>
        <v>2.0891333333333302</v>
      </c>
      <c r="L653" s="143" t="str">
        <f ca="1"/>
        <v>Wiris Variasi</v>
      </c>
      <c r="M653" s="127"/>
      <c r="N653" s="127"/>
      <c r="O653" s="127"/>
      <c r="P653" s="127"/>
      <c r="Q653" s="127"/>
      <c r="R653" s="127"/>
      <c r="S653" s="127"/>
      <c r="T653" s="127"/>
      <c r="U653" s="127"/>
      <c r="V653" s="127"/>
      <c r="W653" s="127"/>
      <c r="X653" s="127"/>
      <c r="Y653" s="127"/>
      <c r="Z653" s="127"/>
      <c r="AA653" s="127"/>
    </row>
    <row r="654" spans="1:27">
      <c r="A654" s="127">
        <f ca="1">IFERROR(__xludf.DUMMYFUNCTION("""COMPUTED_VALUE"""),766589657993298)</f>
        <v>766589657993298</v>
      </c>
      <c r="B654" s="127" t="str">
        <f ca="1">IFERROR(__xludf.DUMMYFUNCTION("""COMPUTED_VALUE"""),"120231247351770235")</f>
        <v>120231247351770235</v>
      </c>
      <c r="C654" s="127" t="str">
        <f ca="1">IFERROR(__xludf.DUMMYFUNCTION("""COMPUTED_VALUE"""),"Amanah Jaya")</f>
        <v>Amanah Jaya</v>
      </c>
      <c r="D654" s="138" t="str">
        <f ca="1">IFERROR(__xludf.DUMMYFUNCTION("""COMPUTED_VALUE"""),"https://wa.me/6281353489660")</f>
        <v>https://wa.me/6281353489660</v>
      </c>
      <c r="E654" s="139" t="str">
        <f ca="1">IFERROR(__xludf.DUMMYFUNCTION("""COMPUTED_VALUE"""),"6281353489660")</f>
        <v>6281353489660</v>
      </c>
      <c r="F654" s="139">
        <f ca="1">IFERROR(__xludf.DUMMYFUNCTION("""COMPUTED_VALUE"""),490)</f>
        <v>490</v>
      </c>
      <c r="G654" s="139">
        <f ca="1">IFERROR(__xludf.DUMMYFUNCTION("""COMPUTED_VALUE"""),25362)</f>
        <v>25362</v>
      </c>
      <c r="H654" s="139">
        <f ca="1">IFERROR(__xludf.DUMMYFUNCTION("""COMPUTED_VALUE"""),2)</f>
        <v>2</v>
      </c>
      <c r="I654" s="140">
        <f ca="1">IFERROR(__xludf.DUMMYFUNCTION("""COMPUTED_VALUE"""),13239)</f>
        <v>13239</v>
      </c>
      <c r="J654" s="141">
        <f ca="1">IFERROR(__xludf.DUMMYFUNCTION("""COMPUTED_VALUE"""),6619.5)</f>
        <v>6619.5</v>
      </c>
      <c r="K654" s="142">
        <f ca="1">IFERROR(__xludf.DUMMYFUNCTION("""COMPUTED_VALUE"""),0.8826)</f>
        <v>0.88260000000000005</v>
      </c>
      <c r="L654" s="143" t="str">
        <f ca="1"/>
        <v>Wiris Variasi</v>
      </c>
      <c r="M654" s="127"/>
      <c r="N654" s="127"/>
      <c r="O654" s="127"/>
      <c r="P654" s="127"/>
      <c r="Q654" s="127"/>
      <c r="R654" s="127"/>
      <c r="S654" s="127"/>
      <c r="T654" s="127"/>
      <c r="U654" s="127"/>
      <c r="V654" s="127"/>
      <c r="W654" s="127"/>
      <c r="X654" s="127"/>
      <c r="Y654" s="127"/>
      <c r="Z654" s="127"/>
      <c r="AA654" s="127"/>
    </row>
    <row r="655" spans="1:27">
      <c r="A655" s="127">
        <f ca="1">IFERROR(__xludf.DUMMYFUNCTION("""COMPUTED_VALUE"""),766589657993298)</f>
        <v>766589657993298</v>
      </c>
      <c r="B655" s="127" t="str">
        <f ca="1">IFERROR(__xludf.DUMMYFUNCTION("""COMPUTED_VALUE"""),"120231247426310235")</f>
        <v>120231247426310235</v>
      </c>
      <c r="C655" s="127" t="str">
        <f ca="1">IFERROR(__xludf.DUMMYFUNCTION("""COMPUTED_VALUE"""),"Jasa renovasi")</f>
        <v>Jasa renovasi</v>
      </c>
      <c r="D655" s="138" t="str">
        <f ca="1">IFERROR(__xludf.DUMMYFUNCTION("""COMPUTED_VALUE"""),"https://wa.me/6282236053835")</f>
        <v>https://wa.me/6282236053835</v>
      </c>
      <c r="E655" s="139" t="str">
        <f ca="1">IFERROR(__xludf.DUMMYFUNCTION("""COMPUTED_VALUE"""),"6282236053835")</f>
        <v>6282236053835</v>
      </c>
      <c r="F655" s="139">
        <f ca="1">IFERROR(__xludf.DUMMYFUNCTION("""COMPUTED_VALUE"""),1617)</f>
        <v>1617</v>
      </c>
      <c r="G655" s="139">
        <f ca="1">IFERROR(__xludf.DUMMYFUNCTION("""COMPUTED_VALUE"""),17687.5)</f>
        <v>17687.5</v>
      </c>
      <c r="H655" s="139">
        <f ca="1">IFERROR(__xludf.DUMMYFUNCTION("""COMPUTED_VALUE"""),3)</f>
        <v>3</v>
      </c>
      <c r="I655" s="140">
        <f ca="1">IFERROR(__xludf.DUMMYFUNCTION("""COMPUTED_VALUE"""),28868)</f>
        <v>28868</v>
      </c>
      <c r="J655" s="141">
        <f ca="1">IFERROR(__xludf.DUMMYFUNCTION("""COMPUTED_VALUE"""),9622.66666666666)</f>
        <v>9622.6666666666606</v>
      </c>
      <c r="K655" s="142">
        <f ca="1">IFERROR(__xludf.DUMMYFUNCTION("""COMPUTED_VALUE"""),1.92453333333333)</f>
        <v>1.9245333333333301</v>
      </c>
      <c r="L655" s="143" t="str">
        <f ca="1"/>
        <v>Wiris Variasi</v>
      </c>
      <c r="M655" s="127"/>
      <c r="N655" s="127"/>
      <c r="O655" s="127"/>
      <c r="P655" s="127"/>
      <c r="Q655" s="127"/>
      <c r="R655" s="127"/>
      <c r="S655" s="127"/>
      <c r="T655" s="127"/>
      <c r="U655" s="127"/>
      <c r="V655" s="127"/>
      <c r="W655" s="127"/>
      <c r="X655" s="127"/>
      <c r="Y655" s="127"/>
      <c r="Z655" s="127"/>
      <c r="AA655" s="127"/>
    </row>
    <row r="656" spans="1:27">
      <c r="A656" s="127">
        <f ca="1">IFERROR(__xludf.DUMMYFUNCTION("""COMPUTED_VALUE"""),766589657993298)</f>
        <v>766589657993298</v>
      </c>
      <c r="B656" s="127" t="str">
        <f ca="1">IFERROR(__xludf.DUMMYFUNCTION("""COMPUTED_VALUE"""),"120231247466460235")</f>
        <v>120231247466460235</v>
      </c>
      <c r="C656" s="127" t="str">
        <f ca="1">IFERROR(__xludf.DUMMYFUNCTION("""COMPUTED_VALUE"""),"Jasa pembuatan")</f>
        <v>Jasa pembuatan</v>
      </c>
      <c r="D656" s="138" t="str">
        <f ca="1">IFERROR(__xludf.DUMMYFUNCTION("""COMPUTED_VALUE"""),"https://wa.me/6285814213281")</f>
        <v>https://wa.me/6285814213281</v>
      </c>
      <c r="E656" s="139" t="str">
        <f ca="1">IFERROR(__xludf.DUMMYFUNCTION("""COMPUTED_VALUE"""),"6285814213281")</f>
        <v>6285814213281</v>
      </c>
      <c r="F656" s="139">
        <f ca="1">IFERROR(__xludf.DUMMYFUNCTION("""COMPUTED_VALUE"""),877)</f>
        <v>877</v>
      </c>
      <c r="G656" s="139">
        <f ca="1">IFERROR(__xludf.DUMMYFUNCTION("""COMPUTED_VALUE"""),30394.5)</f>
        <v>30394.5</v>
      </c>
      <c r="H656" s="139">
        <f ca="1">IFERROR(__xludf.DUMMYFUNCTION("""COMPUTED_VALUE"""),2)</f>
        <v>2</v>
      </c>
      <c r="I656" s="140">
        <f ca="1">IFERROR(__xludf.DUMMYFUNCTION("""COMPUTED_VALUE"""),29939)</f>
        <v>29939</v>
      </c>
      <c r="J656" s="141">
        <f ca="1">IFERROR(__xludf.DUMMYFUNCTION("""COMPUTED_VALUE"""),14969.5)</f>
        <v>14969.5</v>
      </c>
      <c r="K656" s="142">
        <f ca="1">IFERROR(__xludf.DUMMYFUNCTION("""COMPUTED_VALUE"""),1.99593333333333)</f>
        <v>1.99593333333333</v>
      </c>
      <c r="L656" s="143" t="str">
        <f ca="1"/>
        <v>Wiris Variasi</v>
      </c>
      <c r="M656" s="127"/>
      <c r="N656" s="127"/>
      <c r="O656" s="127"/>
      <c r="P656" s="127"/>
      <c r="Q656" s="127"/>
      <c r="R656" s="127"/>
      <c r="S656" s="127"/>
      <c r="T656" s="127"/>
      <c r="U656" s="127"/>
      <c r="V656" s="127"/>
      <c r="W656" s="127"/>
      <c r="X656" s="127"/>
      <c r="Y656" s="127"/>
      <c r="Z656" s="127"/>
      <c r="AA656" s="127"/>
    </row>
    <row r="657" spans="1:27">
      <c r="A657" s="127">
        <f ca="1">IFERROR(__xludf.DUMMYFUNCTION("""COMPUTED_VALUE"""),766589657993298)</f>
        <v>766589657993298</v>
      </c>
      <c r="B657" s="127" t="str">
        <f ca="1">IFERROR(__xludf.DUMMYFUNCTION("""COMPUTED_VALUE"""),"120231247515380235")</f>
        <v>120231247515380235</v>
      </c>
      <c r="C657" s="127" t="str">
        <f ca="1">IFERROR(__xludf.DUMMYFUNCTION("""COMPUTED_VALUE"""),"CV. Heri")</f>
        <v>CV. Heri</v>
      </c>
      <c r="D657" s="138" t="str">
        <f ca="1">IFERROR(__xludf.DUMMYFUNCTION("""COMPUTED_VALUE"""),"https://wa.me/62895321637812")</f>
        <v>https://wa.me/62895321637812</v>
      </c>
      <c r="E657" s="139" t="str">
        <f ca="1">IFERROR(__xludf.DUMMYFUNCTION("""COMPUTED_VALUE"""),"62895321637812")</f>
        <v>62895321637812</v>
      </c>
      <c r="F657" s="139">
        <f ca="1">IFERROR(__xludf.DUMMYFUNCTION("""COMPUTED_VALUE"""),958)</f>
        <v>958</v>
      </c>
      <c r="G657" s="139">
        <f ca="1">IFERROR(__xludf.DUMMYFUNCTION("""COMPUTED_VALUE"""),25146)</f>
        <v>25146</v>
      </c>
      <c r="H657" s="139">
        <f ca="1">IFERROR(__xludf.DUMMYFUNCTION("""COMPUTED_VALUE"""),7)</f>
        <v>7</v>
      </c>
      <c r="I657" s="140">
        <f ca="1">IFERROR(__xludf.DUMMYFUNCTION("""COMPUTED_VALUE"""),27847)</f>
        <v>27847</v>
      </c>
      <c r="J657" s="141">
        <f ca="1">IFERROR(__xludf.DUMMYFUNCTION("""COMPUTED_VALUE"""),3978.14285714285)</f>
        <v>3978.1428571428501</v>
      </c>
      <c r="K657" s="142">
        <f ca="1">IFERROR(__xludf.DUMMYFUNCTION("""COMPUTED_VALUE"""),1.85646666666666)</f>
        <v>1.85646666666666</v>
      </c>
      <c r="L657" s="143" t="str">
        <f ca="1"/>
        <v>Wiris Variasi</v>
      </c>
      <c r="M657" s="127"/>
      <c r="N657" s="127"/>
      <c r="O657" s="127"/>
      <c r="P657" s="127"/>
      <c r="Q657" s="127"/>
      <c r="R657" s="127"/>
      <c r="S657" s="127"/>
      <c r="T657" s="127"/>
      <c r="U657" s="127"/>
      <c r="V657" s="127"/>
      <c r="W657" s="127"/>
      <c r="X657" s="127"/>
      <c r="Y657" s="127"/>
      <c r="Z657" s="127"/>
      <c r="AA657" s="127"/>
    </row>
    <row r="658" spans="1:27">
      <c r="A658" s="127">
        <f ca="1">IFERROR(__xludf.DUMMYFUNCTION("""COMPUTED_VALUE"""),766589657993298)</f>
        <v>766589657993298</v>
      </c>
      <c r="B658" s="127" t="str">
        <f ca="1">IFERROR(__xludf.DUMMYFUNCTION("""COMPUTED_VALUE"""),"120231287389280235")</f>
        <v>120231287389280235</v>
      </c>
      <c r="C658" s="127" t="str">
        <f ca="1">IFERROR(__xludf.DUMMYFUNCTION("""COMPUTED_VALUE"""),"PT. Panorama Jaya Labana")</f>
        <v>PT. Panorama Jaya Labana</v>
      </c>
      <c r="D658" s="138" t="str">
        <f ca="1">IFERROR(__xludf.DUMMYFUNCTION("""COMPUTED_VALUE"""),"https://wa.me/628122102657")</f>
        <v>https://wa.me/628122102657</v>
      </c>
      <c r="E658" s="139" t="str">
        <f ca="1">IFERROR(__xludf.DUMMYFUNCTION("""COMPUTED_VALUE"""),"628122102657")</f>
        <v>628122102657</v>
      </c>
      <c r="F658" s="139">
        <f ca="1">IFERROR(__xludf.DUMMYFUNCTION("""COMPUTED_VALUE"""),417)</f>
        <v>417</v>
      </c>
      <c r="G658" s="139">
        <f ca="1">IFERROR(__xludf.DUMMYFUNCTION("""COMPUTED_VALUE"""),33172)</f>
        <v>33172</v>
      </c>
      <c r="H658" s="139">
        <f ca="1">IFERROR(__xludf.DUMMYFUNCTION("""COMPUTED_VALUE"""),1)</f>
        <v>1</v>
      </c>
      <c r="I658" s="140">
        <f ca="1">IFERROR(__xludf.DUMMYFUNCTION("""COMPUTED_VALUE"""),15226)</f>
        <v>15226</v>
      </c>
      <c r="J658" s="141">
        <f ca="1">IFERROR(__xludf.DUMMYFUNCTION("""COMPUTED_VALUE"""),15226)</f>
        <v>15226</v>
      </c>
      <c r="K658" s="142">
        <f ca="1">IFERROR(__xludf.DUMMYFUNCTION("""COMPUTED_VALUE"""),1.01506666666666)</f>
        <v>1.0150666666666599</v>
      </c>
      <c r="L658" s="143" t="str">
        <f ca="1"/>
        <v>Wiris Variasi</v>
      </c>
      <c r="M658" s="127"/>
      <c r="N658" s="127"/>
      <c r="O658" s="127"/>
      <c r="P658" s="127"/>
      <c r="Q658" s="127"/>
      <c r="R658" s="127"/>
      <c r="S658" s="127"/>
      <c r="T658" s="127"/>
      <c r="U658" s="127"/>
      <c r="V658" s="127"/>
      <c r="W658" s="127"/>
      <c r="X658" s="127"/>
      <c r="Y658" s="127"/>
      <c r="Z658" s="127"/>
      <c r="AA658" s="127"/>
    </row>
    <row r="659" spans="1:27">
      <c r="A659" s="127">
        <f ca="1">IFERROR(__xludf.DUMMYFUNCTION("""COMPUTED_VALUE"""),766589657993298)</f>
        <v>766589657993298</v>
      </c>
      <c r="B659" s="127" t="str">
        <f ca="1">IFERROR(__xludf.DUMMYFUNCTION("""COMPUTED_VALUE"""),"120231313504010235")</f>
        <v>120231313504010235</v>
      </c>
      <c r="C659" s="127" t="str">
        <f ca="1">IFERROR(__xludf.DUMMYFUNCTION("""COMPUTED_VALUE"""),"MEGAH PLAFON")</f>
        <v>MEGAH PLAFON</v>
      </c>
      <c r="D659" s="138" t="str">
        <f ca="1">IFERROR(__xludf.DUMMYFUNCTION("""COMPUTED_VALUE"""),"https://wa.me/6281323291817")</f>
        <v>https://wa.me/6281323291817</v>
      </c>
      <c r="E659" s="139" t="str">
        <f ca="1">IFERROR(__xludf.DUMMYFUNCTION("""COMPUTED_VALUE"""),"6281323291817")</f>
        <v>6281323291817</v>
      </c>
      <c r="F659" s="139">
        <f ca="1">IFERROR(__xludf.DUMMYFUNCTION("""COMPUTED_VALUE"""),7807)</f>
        <v>7807</v>
      </c>
      <c r="G659" s="139">
        <f ca="1">IFERROR(__xludf.DUMMYFUNCTION("""COMPUTED_VALUE"""),10213)</f>
        <v>10213</v>
      </c>
      <c r="H659" s="139">
        <f ca="1">IFERROR(__xludf.DUMMYFUNCTION("""COMPUTED_VALUE"""),28)</f>
        <v>28</v>
      </c>
      <c r="I659" s="140">
        <f ca="1">IFERROR(__xludf.DUMMYFUNCTION("""COMPUTED_VALUE"""),66677)</f>
        <v>66677</v>
      </c>
      <c r="J659" s="141">
        <f ca="1">IFERROR(__xludf.DUMMYFUNCTION("""COMPUTED_VALUE"""),2381.32142857142)</f>
        <v>2381.3214285714198</v>
      </c>
      <c r="K659" s="142">
        <f ca="1">IFERROR(__xludf.DUMMYFUNCTION("""COMPUTED_VALUE"""),4.44513333333333)</f>
        <v>4.4451333333333301</v>
      </c>
      <c r="L659" s="143" t="str">
        <f ca="1"/>
        <v>Wiris Variasi</v>
      </c>
      <c r="M659" s="127"/>
      <c r="N659" s="127"/>
      <c r="O659" s="127"/>
      <c r="P659" s="127"/>
      <c r="Q659" s="127"/>
      <c r="R659" s="127"/>
      <c r="S659" s="127"/>
      <c r="T659" s="127"/>
      <c r="U659" s="127"/>
      <c r="V659" s="127"/>
      <c r="W659" s="127"/>
      <c r="X659" s="127"/>
      <c r="Y659" s="127"/>
      <c r="Z659" s="127"/>
      <c r="AA659" s="127"/>
    </row>
    <row r="660" spans="1:27">
      <c r="A660" s="127">
        <f ca="1">IFERROR(__xludf.DUMMYFUNCTION("""COMPUTED_VALUE"""),766589657993298)</f>
        <v>766589657993298</v>
      </c>
      <c r="B660" s="127" t="str">
        <f ca="1">IFERROR(__xludf.DUMMYFUNCTION("""COMPUTED_VALUE"""),"120231314779900235")</f>
        <v>120231314779900235</v>
      </c>
      <c r="C660" s="127" t="str">
        <f ca="1">IFERROR(__xludf.DUMMYFUNCTION("""COMPUTED_VALUE"""),"Lailatul Furniture")</f>
        <v>Lailatul Furniture</v>
      </c>
      <c r="D660" s="138" t="str">
        <f ca="1">IFERROR(__xludf.DUMMYFUNCTION("""COMPUTED_VALUE"""),"https://wa.me/6285100570275")</f>
        <v>https://wa.me/6285100570275</v>
      </c>
      <c r="E660" s="139" t="str">
        <f ca="1">IFERROR(__xludf.DUMMYFUNCTION("""COMPUTED_VALUE"""),"6285100570275")</f>
        <v>6285100570275</v>
      </c>
      <c r="F660" s="139">
        <f ca="1">IFERROR(__xludf.DUMMYFUNCTION("""COMPUTED_VALUE"""),879)</f>
        <v>879</v>
      </c>
      <c r="G660" s="139">
        <f ca="1">IFERROR(__xludf.DUMMYFUNCTION("""COMPUTED_VALUE"""),38504)</f>
        <v>38504</v>
      </c>
      <c r="H660" s="139">
        <f ca="1">IFERROR(__xludf.DUMMYFUNCTION("""COMPUTED_VALUE"""),3)</f>
        <v>3</v>
      </c>
      <c r="I660" s="140">
        <f ca="1">IFERROR(__xludf.DUMMYFUNCTION("""COMPUTED_VALUE"""),31791)</f>
        <v>31791</v>
      </c>
      <c r="J660" s="141">
        <f ca="1">IFERROR(__xludf.DUMMYFUNCTION("""COMPUTED_VALUE"""),10597)</f>
        <v>10597</v>
      </c>
      <c r="K660" s="142">
        <f ca="1">IFERROR(__xludf.DUMMYFUNCTION("""COMPUTED_VALUE"""),2.1194)</f>
        <v>2.1194000000000002</v>
      </c>
      <c r="L660" s="143" t="str">
        <f ca="1"/>
        <v>Wiris Variasi</v>
      </c>
      <c r="M660" s="127"/>
      <c r="N660" s="127"/>
      <c r="O660" s="127"/>
      <c r="P660" s="127"/>
      <c r="Q660" s="127"/>
      <c r="R660" s="127"/>
      <c r="S660" s="127"/>
      <c r="T660" s="127"/>
      <c r="U660" s="127"/>
      <c r="V660" s="127"/>
      <c r="W660" s="127"/>
      <c r="X660" s="127"/>
      <c r="Y660" s="127"/>
      <c r="Z660" s="127"/>
      <c r="AA660" s="127"/>
    </row>
    <row r="661" spans="1:27">
      <c r="A661" s="127">
        <f ca="1">IFERROR(__xludf.DUMMYFUNCTION("""COMPUTED_VALUE"""),766589657993298)</f>
        <v>766589657993298</v>
      </c>
      <c r="B661" s="127" t="str">
        <f ca="1">IFERROR(__xludf.DUMMYFUNCTION("""COMPUTED_VALUE"""),"120231375225040235")</f>
        <v>120231375225040235</v>
      </c>
      <c r="C661" s="127" t="str">
        <f ca="1">IFERROR(__xludf.DUMMYFUNCTION("""COMPUTED_VALUE"""),"Cakra Aluminium")</f>
        <v>Cakra Aluminium</v>
      </c>
      <c r="D661" s="138" t="str">
        <f ca="1">IFERROR(__xludf.DUMMYFUNCTION("""COMPUTED_VALUE"""),"https://wa.me/6287768646729")</f>
        <v>https://wa.me/6287768646729</v>
      </c>
      <c r="E661" s="139" t="str">
        <f ca="1">IFERROR(__xludf.DUMMYFUNCTION("""COMPUTED_VALUE"""),"6287768646729")</f>
        <v>6287768646729</v>
      </c>
      <c r="F661" s="139">
        <f ca="1">IFERROR(__xludf.DUMMYFUNCTION("""COMPUTED_VALUE"""),1117)</f>
        <v>1117</v>
      </c>
      <c r="G661" s="139">
        <f ca="1">IFERROR(__xludf.DUMMYFUNCTION("""COMPUTED_VALUE"""),23964.5)</f>
        <v>23964.5</v>
      </c>
      <c r="H661" s="139">
        <f ca="1">IFERROR(__xludf.DUMMYFUNCTION("""COMPUTED_VALUE"""),1)</f>
        <v>1</v>
      </c>
      <c r="I661" s="140">
        <f ca="1">IFERROR(__xludf.DUMMYFUNCTION("""COMPUTED_VALUE"""),31909)</f>
        <v>31909</v>
      </c>
      <c r="J661" s="141">
        <f ca="1">IFERROR(__xludf.DUMMYFUNCTION("""COMPUTED_VALUE"""),31909)</f>
        <v>31909</v>
      </c>
      <c r="K661" s="142">
        <f ca="1">IFERROR(__xludf.DUMMYFUNCTION("""COMPUTED_VALUE"""),2.12726666666666)</f>
        <v>2.1272666666666602</v>
      </c>
      <c r="L661" s="143" t="str">
        <f ca="1"/>
        <v>Wiris Variasi</v>
      </c>
      <c r="M661" s="127"/>
      <c r="N661" s="127"/>
      <c r="O661" s="127"/>
      <c r="P661" s="127"/>
      <c r="Q661" s="127"/>
      <c r="R661" s="127"/>
      <c r="S661" s="127"/>
      <c r="T661" s="127"/>
      <c r="U661" s="127"/>
      <c r="V661" s="127"/>
      <c r="W661" s="127"/>
      <c r="X661" s="127"/>
      <c r="Y661" s="127"/>
      <c r="Z661" s="127"/>
      <c r="AA661" s="127"/>
    </row>
    <row r="662" spans="1:27">
      <c r="A662" s="127">
        <f ca="1">IFERROR(__xludf.DUMMYFUNCTION("""COMPUTED_VALUE"""),766589657993298)</f>
        <v>766589657993298</v>
      </c>
      <c r="B662" s="127" t="str">
        <f ca="1">IFERROR(__xludf.DUMMYFUNCTION("""COMPUTED_VALUE"""),"120231375499440235")</f>
        <v>120231375499440235</v>
      </c>
      <c r="C662" s="127" t="str">
        <f ca="1">IFERROR(__xludf.DUMMYFUNCTION("""COMPUTED_VALUE"""),"Pelita Jaya")</f>
        <v>Pelita Jaya</v>
      </c>
      <c r="D662" s="138" t="str">
        <f ca="1">IFERROR(__xludf.DUMMYFUNCTION("""COMPUTED_VALUE"""),"https://wa.me/6283185169816")</f>
        <v>https://wa.me/6283185169816</v>
      </c>
      <c r="E662" s="139" t="str">
        <f ca="1">IFERROR(__xludf.DUMMYFUNCTION("""COMPUTED_VALUE"""),"6283185169816")</f>
        <v>6283185169816</v>
      </c>
      <c r="F662" s="139">
        <f ca="1">IFERROR(__xludf.DUMMYFUNCTION("""COMPUTED_VALUE"""),1690)</f>
        <v>1690</v>
      </c>
      <c r="G662" s="139">
        <f ca="1">IFERROR(__xludf.DUMMYFUNCTION("""COMPUTED_VALUE"""),18005)</f>
        <v>18005</v>
      </c>
      <c r="H662" s="139">
        <f ca="1">IFERROR(__xludf.DUMMYFUNCTION("""COMPUTED_VALUE"""),3)</f>
        <v>3</v>
      </c>
      <c r="I662" s="140">
        <f ca="1">IFERROR(__xludf.DUMMYFUNCTION("""COMPUTED_VALUE"""),32377)</f>
        <v>32377</v>
      </c>
      <c r="J662" s="141">
        <f ca="1">IFERROR(__xludf.DUMMYFUNCTION("""COMPUTED_VALUE"""),10792.3333333333)</f>
        <v>10792.333333333299</v>
      </c>
      <c r="K662" s="142">
        <f ca="1">IFERROR(__xludf.DUMMYFUNCTION("""COMPUTED_VALUE"""),2.15846666666666)</f>
        <v>2.1584666666666599</v>
      </c>
      <c r="L662" s="143" t="str">
        <f ca="1"/>
        <v>Wiris Variasi</v>
      </c>
      <c r="M662" s="127"/>
      <c r="N662" s="127"/>
      <c r="O662" s="127"/>
      <c r="P662" s="127"/>
      <c r="Q662" s="127"/>
      <c r="R662" s="127"/>
      <c r="S662" s="127"/>
      <c r="T662" s="127"/>
      <c r="U662" s="127"/>
      <c r="V662" s="127"/>
      <c r="W662" s="127"/>
      <c r="X662" s="127"/>
      <c r="Y662" s="127"/>
      <c r="Z662" s="127"/>
      <c r="AA662" s="127"/>
    </row>
    <row r="663" spans="1:27">
      <c r="A663" s="127">
        <f ca="1">IFERROR(__xludf.DUMMYFUNCTION("""COMPUTED_VALUE"""),766589657993298)</f>
        <v>766589657993298</v>
      </c>
      <c r="B663" s="127" t="str">
        <f ca="1">IFERROR(__xludf.DUMMYFUNCTION("""COMPUTED_VALUE"""),"120231436280770235")</f>
        <v>120231436280770235</v>
      </c>
      <c r="C663" s="127" t="str">
        <f ca="1">IFERROR(__xludf.DUMMYFUNCTION("""COMPUTED_VALUE"""),"Bengkel Las")</f>
        <v>Bengkel Las</v>
      </c>
      <c r="D663" s="138" t="str">
        <f ca="1">IFERROR(__xludf.DUMMYFUNCTION("""COMPUTED_VALUE"""),"https://wa.me/6282184823441")</f>
        <v>https://wa.me/6282184823441</v>
      </c>
      <c r="E663" s="139" t="str">
        <f ca="1">IFERROR(__xludf.DUMMYFUNCTION("""COMPUTED_VALUE"""),"6282184823441")</f>
        <v>6282184823441</v>
      </c>
      <c r="F663" s="139">
        <f ca="1">IFERROR(__xludf.DUMMYFUNCTION("""COMPUTED_VALUE"""),3251)</f>
        <v>3251</v>
      </c>
      <c r="G663" s="139">
        <f ca="1">IFERROR(__xludf.DUMMYFUNCTION("""COMPUTED_VALUE"""),8901)</f>
        <v>8901</v>
      </c>
      <c r="H663" s="139">
        <f ca="1">IFERROR(__xludf.DUMMYFUNCTION("""COMPUTED_VALUE"""),6)</f>
        <v>6</v>
      </c>
      <c r="I663" s="140">
        <f ca="1">IFERROR(__xludf.DUMMYFUNCTION("""COMPUTED_VALUE"""),31245)</f>
        <v>31245</v>
      </c>
      <c r="J663" s="141">
        <f ca="1">IFERROR(__xludf.DUMMYFUNCTION("""COMPUTED_VALUE"""),5207.5)</f>
        <v>5207.5</v>
      </c>
      <c r="K663" s="142">
        <f ca="1">IFERROR(__xludf.DUMMYFUNCTION("""COMPUTED_VALUE"""),2.083)</f>
        <v>2.0830000000000002</v>
      </c>
      <c r="L663" s="143" t="str">
        <f ca="1"/>
        <v>Wiris Variasi</v>
      </c>
      <c r="M663" s="127"/>
      <c r="N663" s="127"/>
      <c r="O663" s="127"/>
      <c r="P663" s="127"/>
      <c r="Q663" s="127"/>
      <c r="R663" s="127"/>
      <c r="S663" s="127"/>
      <c r="T663" s="127"/>
      <c r="U663" s="127"/>
      <c r="V663" s="127"/>
      <c r="W663" s="127"/>
      <c r="X663" s="127"/>
      <c r="Y663" s="127"/>
      <c r="Z663" s="127"/>
      <c r="AA663" s="127"/>
    </row>
    <row r="664" spans="1:27">
      <c r="A664" s="127">
        <f ca="1">IFERROR(__xludf.DUMMYFUNCTION("""COMPUTED_VALUE"""),766589657993298)</f>
        <v>766589657993298</v>
      </c>
      <c r="B664" s="127" t="str">
        <f ca="1">IFERROR(__xludf.DUMMYFUNCTION("""COMPUTED_VALUE"""),"120231436393170235")</f>
        <v>120231436393170235</v>
      </c>
      <c r="C664" s="127" t="str">
        <f ca="1">IFERROR(__xludf.DUMMYFUNCTION("""COMPUTED_VALUE"""),"UD WIJAYA")</f>
        <v>UD WIJAYA</v>
      </c>
      <c r="D664" s="138" t="str">
        <f ca="1">IFERROR(__xludf.DUMMYFUNCTION("""COMPUTED_VALUE"""),"https://wa.me/6281243260218")</f>
        <v>https://wa.me/6281243260218</v>
      </c>
      <c r="E664" s="139" t="str">
        <f ca="1">IFERROR(__xludf.DUMMYFUNCTION("""COMPUTED_VALUE"""),"6281243260218")</f>
        <v>6281243260218</v>
      </c>
      <c r="F664" s="139">
        <f ca="1">IFERROR(__xludf.DUMMYFUNCTION("""COMPUTED_VALUE"""),2918)</f>
        <v>2918</v>
      </c>
      <c r="G664" s="139">
        <f ca="1">IFERROR(__xludf.DUMMYFUNCTION("""COMPUTED_VALUE"""),8960.5)</f>
        <v>8960.5</v>
      </c>
      <c r="H664" s="139">
        <f ca="1">IFERROR(__xludf.DUMMYFUNCTION("""COMPUTED_VALUE"""),8)</f>
        <v>8</v>
      </c>
      <c r="I664" s="140">
        <f ca="1">IFERROR(__xludf.DUMMYFUNCTION("""COMPUTED_VALUE"""),32164)</f>
        <v>32164</v>
      </c>
      <c r="J664" s="141">
        <f ca="1">IFERROR(__xludf.DUMMYFUNCTION("""COMPUTED_VALUE"""),4020.5)</f>
        <v>4020.5</v>
      </c>
      <c r="K664" s="142">
        <f ca="1">IFERROR(__xludf.DUMMYFUNCTION("""COMPUTED_VALUE"""),2.14426666666666)</f>
        <v>2.1442666666666601</v>
      </c>
      <c r="L664" s="143" t="str">
        <f ca="1"/>
        <v>Wiris Variasi</v>
      </c>
      <c r="M664" s="127"/>
      <c r="N664" s="127"/>
      <c r="O664" s="127"/>
      <c r="P664" s="127"/>
      <c r="Q664" s="127"/>
      <c r="R664" s="127"/>
      <c r="S664" s="127"/>
      <c r="T664" s="127"/>
      <c r="U664" s="127"/>
      <c r="V664" s="127"/>
      <c r="W664" s="127"/>
      <c r="X664" s="127"/>
      <c r="Y664" s="127"/>
      <c r="Z664" s="127"/>
      <c r="AA664" s="127"/>
    </row>
    <row r="665" spans="1:27">
      <c r="A665" s="127">
        <f ca="1">IFERROR(__xludf.DUMMYFUNCTION("""COMPUTED_VALUE"""),766589657993298)</f>
        <v>766589657993298</v>
      </c>
      <c r="B665" s="127" t="str">
        <f ca="1">IFERROR(__xludf.DUMMYFUNCTION("""COMPUTED_VALUE"""),"120231436593960235")</f>
        <v>120231436593960235</v>
      </c>
      <c r="C665" s="127" t="str">
        <f ca="1">IFERROR(__xludf.DUMMYFUNCTION("""COMPUTED_VALUE"""),"49_Interior")</f>
        <v>49_Interior</v>
      </c>
      <c r="D665" s="138" t="str">
        <f ca="1">IFERROR(__xludf.DUMMYFUNCTION("""COMPUTED_VALUE"""),"https://wa.me/628156516849")</f>
        <v>https://wa.me/628156516849</v>
      </c>
      <c r="E665" s="139" t="str">
        <f ca="1">IFERROR(__xludf.DUMMYFUNCTION("""COMPUTED_VALUE"""),"628156516849")</f>
        <v>628156516849</v>
      </c>
      <c r="F665" s="139">
        <f ca="1">IFERROR(__xludf.DUMMYFUNCTION("""COMPUTED_VALUE"""),1371)</f>
        <v>1371</v>
      </c>
      <c r="G665" s="139">
        <f ca="1">IFERROR(__xludf.DUMMYFUNCTION("""COMPUTED_VALUE"""),30522)</f>
        <v>30522</v>
      </c>
      <c r="H665" s="139">
        <f ca="1">IFERROR(__xludf.DUMMYFUNCTION("""COMPUTED_VALUE"""),15)</f>
        <v>15</v>
      </c>
      <c r="I665" s="140">
        <f ca="1">IFERROR(__xludf.DUMMYFUNCTION("""COMPUTED_VALUE"""),46023)</f>
        <v>46023</v>
      </c>
      <c r="J665" s="141">
        <f ca="1">IFERROR(__xludf.DUMMYFUNCTION("""COMPUTED_VALUE"""),3068.2)</f>
        <v>3068.2</v>
      </c>
      <c r="K665" s="142">
        <f ca="1">IFERROR(__xludf.DUMMYFUNCTION("""COMPUTED_VALUE"""),3.0682)</f>
        <v>3.0682</v>
      </c>
      <c r="L665" s="143" t="str">
        <f ca="1"/>
        <v>Wiris Variasi</v>
      </c>
      <c r="M665" s="127"/>
      <c r="N665" s="127"/>
      <c r="O665" s="127"/>
      <c r="P665" s="127"/>
      <c r="Q665" s="127"/>
      <c r="R665" s="127"/>
      <c r="S665" s="127"/>
      <c r="T665" s="127"/>
      <c r="U665" s="127"/>
      <c r="V665" s="127"/>
      <c r="W665" s="127"/>
      <c r="X665" s="127"/>
      <c r="Y665" s="127"/>
      <c r="Z665" s="127"/>
      <c r="AA665" s="127"/>
    </row>
    <row r="666" spans="1:27">
      <c r="A666" s="127">
        <f ca="1">IFERROR(__xludf.DUMMYFUNCTION("""COMPUTED_VALUE"""),766589657993298)</f>
        <v>766589657993298</v>
      </c>
      <c r="B666" s="127" t="str">
        <f ca="1">IFERROR(__xludf.DUMMYFUNCTION("""COMPUTED_VALUE"""),"120231467426820235")</f>
        <v>120231467426820235</v>
      </c>
      <c r="C666" s="127" t="str">
        <f ca="1">IFERROR(__xludf.DUMMYFUNCTION("""COMPUTED_VALUE"""),"CV.PUTERA PERSADA")</f>
        <v>CV.PUTERA PERSADA</v>
      </c>
      <c r="D666" s="138" t="str">
        <f ca="1">IFERROR(__xludf.DUMMYFUNCTION("""COMPUTED_VALUE"""),"https://wa.me/6281231728008")</f>
        <v>https://wa.me/6281231728008</v>
      </c>
      <c r="E666" s="139" t="str">
        <f ca="1">IFERROR(__xludf.DUMMYFUNCTION("""COMPUTED_VALUE"""),"6281231728008")</f>
        <v>6281231728008</v>
      </c>
      <c r="F666" s="139">
        <f ca="1">IFERROR(__xludf.DUMMYFUNCTION("""COMPUTED_VALUE"""),1286)</f>
        <v>1286</v>
      </c>
      <c r="G666" s="139">
        <f ca="1">IFERROR(__xludf.DUMMYFUNCTION("""COMPUTED_VALUE"""),22927)</f>
        <v>22927</v>
      </c>
      <c r="H666" s="139">
        <f ca="1">IFERROR(__xludf.DUMMYFUNCTION("""COMPUTED_VALUE"""),4)</f>
        <v>4</v>
      </c>
      <c r="I666" s="140">
        <f ca="1">IFERROR(__xludf.DUMMYFUNCTION("""COMPUTED_VALUE"""),31266)</f>
        <v>31266</v>
      </c>
      <c r="J666" s="141">
        <f ca="1">IFERROR(__xludf.DUMMYFUNCTION("""COMPUTED_VALUE"""),7816.5)</f>
        <v>7816.5</v>
      </c>
      <c r="K666" s="142">
        <f ca="1">IFERROR(__xludf.DUMMYFUNCTION("""COMPUTED_VALUE"""),2.0844)</f>
        <v>2.0844</v>
      </c>
      <c r="L666" s="143" t="str">
        <f ca="1"/>
        <v>Wiris Variasi</v>
      </c>
      <c r="M666" s="127"/>
      <c r="N666" s="127"/>
      <c r="O666" s="127"/>
      <c r="P666" s="127"/>
      <c r="Q666" s="127"/>
      <c r="R666" s="127"/>
      <c r="S666" s="127"/>
      <c r="T666" s="127"/>
      <c r="U666" s="127"/>
      <c r="V666" s="127"/>
      <c r="W666" s="127"/>
      <c r="X666" s="127"/>
      <c r="Y666" s="127"/>
      <c r="Z666" s="127"/>
      <c r="AA666" s="127"/>
    </row>
    <row r="667" spans="1:27">
      <c r="A667" s="127">
        <f ca="1">IFERROR(__xludf.DUMMYFUNCTION("""COMPUTED_VALUE"""),766589657993298)</f>
        <v>766589657993298</v>
      </c>
      <c r="B667" s="127" t="str">
        <f ca="1">IFERROR(__xludf.DUMMYFUNCTION("""COMPUTED_VALUE"""),"120231467644280235")</f>
        <v>120231467644280235</v>
      </c>
      <c r="C667" s="127" t="str">
        <f ca="1">IFERROR(__xludf.DUMMYFUNCTION("""COMPUTED_VALUE"""),"jasa pengaspalan")</f>
        <v>jasa pengaspalan</v>
      </c>
      <c r="D667" s="138" t="str">
        <f ca="1">IFERROR(__xludf.DUMMYFUNCTION("""COMPUTED_VALUE"""),"https://wa.me/628997485901")</f>
        <v>https://wa.me/628997485901</v>
      </c>
      <c r="E667" s="139" t="str">
        <f ca="1">IFERROR(__xludf.DUMMYFUNCTION("""COMPUTED_VALUE"""),"628997485901")</f>
        <v>628997485901</v>
      </c>
      <c r="F667" s="139">
        <f ca="1">IFERROR(__xludf.DUMMYFUNCTION("""COMPUTED_VALUE"""),1403)</f>
        <v>1403</v>
      </c>
      <c r="G667" s="139">
        <f ca="1">IFERROR(__xludf.DUMMYFUNCTION("""COMPUTED_VALUE"""),20047)</f>
        <v>20047</v>
      </c>
      <c r="H667" s="139">
        <f ca="1">IFERROR(__xludf.DUMMYFUNCTION("""COMPUTED_VALUE"""),2)</f>
        <v>2</v>
      </c>
      <c r="I667" s="140">
        <f ca="1">IFERROR(__xludf.DUMMYFUNCTION("""COMPUTED_VALUE"""),31655)</f>
        <v>31655</v>
      </c>
      <c r="J667" s="141">
        <f ca="1">IFERROR(__xludf.DUMMYFUNCTION("""COMPUTED_VALUE"""),15827.5)</f>
        <v>15827.5</v>
      </c>
      <c r="K667" s="142">
        <f ca="1">IFERROR(__xludf.DUMMYFUNCTION("""COMPUTED_VALUE"""),2.11033333333333)</f>
        <v>2.1103333333333301</v>
      </c>
      <c r="L667" s="143" t="str">
        <f ca="1"/>
        <v>Wiris Variasi</v>
      </c>
      <c r="M667" s="127"/>
      <c r="N667" s="127"/>
      <c r="O667" s="127"/>
      <c r="P667" s="127"/>
      <c r="Q667" s="127"/>
      <c r="R667" s="127"/>
      <c r="S667" s="127"/>
      <c r="T667" s="127"/>
      <c r="U667" s="127"/>
      <c r="V667" s="127"/>
      <c r="W667" s="127"/>
      <c r="X667" s="127"/>
      <c r="Y667" s="127"/>
      <c r="Z667" s="127"/>
      <c r="AA667" s="127"/>
    </row>
    <row r="668" spans="1:27">
      <c r="A668" s="127">
        <f ca="1">IFERROR(__xludf.DUMMYFUNCTION("""COMPUTED_VALUE"""),766589657993298)</f>
        <v>766589657993298</v>
      </c>
      <c r="B668" s="127" t="str">
        <f ca="1">IFERROR(__xludf.DUMMYFUNCTION("""COMPUTED_VALUE"""),"120231478764880235")</f>
        <v>120231478764880235</v>
      </c>
      <c r="C668" s="127" t="str">
        <f ca="1">IFERROR(__xludf.DUMMYFUNCTION("""COMPUTED_VALUE"""),"PT Sejahtera")</f>
        <v>PT Sejahtera</v>
      </c>
      <c r="D668" s="138" t="str">
        <f ca="1">IFERROR(__xludf.DUMMYFUNCTION("""COMPUTED_VALUE"""),"https://wa.me/6285268858846")</f>
        <v>https://wa.me/6285268858846</v>
      </c>
      <c r="E668" s="139" t="str">
        <f ca="1">IFERROR(__xludf.DUMMYFUNCTION("""COMPUTED_VALUE"""),"6285268858846")</f>
        <v>6285268858846</v>
      </c>
      <c r="F668" s="139">
        <f ca="1">IFERROR(__xludf.DUMMYFUNCTION("""COMPUTED_VALUE"""),1310)</f>
        <v>1310</v>
      </c>
      <c r="G668" s="139">
        <f ca="1">IFERROR(__xludf.DUMMYFUNCTION("""COMPUTED_VALUE"""),20470.5)</f>
        <v>20470.5</v>
      </c>
      <c r="H668" s="139">
        <f ca="1">IFERROR(__xludf.DUMMYFUNCTION("""COMPUTED_VALUE"""),0)</f>
        <v>0</v>
      </c>
      <c r="I668" s="140">
        <f ca="1">IFERROR(__xludf.DUMMYFUNCTION("""COMPUTED_VALUE"""),31393)</f>
        <v>31393</v>
      </c>
      <c r="J668" s="141"/>
      <c r="K668" s="142">
        <f ca="1">IFERROR(__xludf.DUMMYFUNCTION("""COMPUTED_VALUE"""),2.09286666666666)</f>
        <v>2.09286666666666</v>
      </c>
      <c r="L668" s="143" t="str">
        <f ca="1"/>
        <v>Wiris Variasi</v>
      </c>
      <c r="M668" s="127"/>
      <c r="N668" s="127"/>
      <c r="O668" s="127"/>
      <c r="P668" s="127"/>
      <c r="Q668" s="127"/>
      <c r="R668" s="127"/>
      <c r="S668" s="127"/>
      <c r="T668" s="127"/>
      <c r="U668" s="127"/>
      <c r="V668" s="127"/>
      <c r="W668" s="127"/>
      <c r="X668" s="127"/>
      <c r="Y668" s="127"/>
      <c r="Z668" s="127"/>
      <c r="AA668" s="127"/>
    </row>
    <row r="669" spans="1:27">
      <c r="A669" s="127">
        <f ca="1">IFERROR(__xludf.DUMMYFUNCTION("""COMPUTED_VALUE"""),766589657993298)</f>
        <v>766589657993298</v>
      </c>
      <c r="B669" s="127" t="str">
        <f ca="1">IFERROR(__xludf.DUMMYFUNCTION("""COMPUTED_VALUE"""),"120231482568200235")</f>
        <v>120231482568200235</v>
      </c>
      <c r="C669" s="127" t="str">
        <f ca="1">IFERROR(__xludf.DUMMYFUNCTION("""COMPUTED_VALUE"""),"pusat roster,bata")</f>
        <v>pusat roster,bata</v>
      </c>
      <c r="D669" s="138" t="str">
        <f ca="1">IFERROR(__xludf.DUMMYFUNCTION("""COMPUTED_VALUE"""),"https://wa.me/6285925102815")</f>
        <v>https://wa.me/6285925102815</v>
      </c>
      <c r="E669" s="139" t="str">
        <f ca="1">IFERROR(__xludf.DUMMYFUNCTION("""COMPUTED_VALUE"""),"6285925102815")</f>
        <v>6285925102815</v>
      </c>
      <c r="F669" s="139">
        <f ca="1">IFERROR(__xludf.DUMMYFUNCTION("""COMPUTED_VALUE"""),1432)</f>
        <v>1432</v>
      </c>
      <c r="G669" s="139">
        <f ca="1">IFERROR(__xludf.DUMMYFUNCTION("""COMPUTED_VALUE"""),46010.25)</f>
        <v>46010.25</v>
      </c>
      <c r="H669" s="139">
        <f ca="1">IFERROR(__xludf.DUMMYFUNCTION("""COMPUTED_VALUE"""),4)</f>
        <v>4</v>
      </c>
      <c r="I669" s="140">
        <f ca="1">IFERROR(__xludf.DUMMYFUNCTION("""COMPUTED_VALUE"""),71469)</f>
        <v>71469</v>
      </c>
      <c r="J669" s="141">
        <f ca="1">IFERROR(__xludf.DUMMYFUNCTION("""COMPUTED_VALUE"""),17867.25)</f>
        <v>17867.25</v>
      </c>
      <c r="K669" s="142">
        <f ca="1">IFERROR(__xludf.DUMMYFUNCTION("""COMPUTED_VALUE"""),4.7646)</f>
        <v>4.7645999999999997</v>
      </c>
      <c r="L669" s="143" t="str">
        <f ca="1"/>
        <v>Wiris Variasi</v>
      </c>
      <c r="M669" s="127"/>
      <c r="N669" s="127"/>
      <c r="O669" s="127"/>
      <c r="P669" s="127"/>
      <c r="Q669" s="127"/>
      <c r="R669" s="127"/>
      <c r="S669" s="127"/>
      <c r="T669" s="127"/>
      <c r="U669" s="127"/>
      <c r="V669" s="127"/>
      <c r="W669" s="127"/>
      <c r="X669" s="127"/>
      <c r="Y669" s="127"/>
      <c r="Z669" s="127"/>
      <c r="AA669" s="127"/>
    </row>
    <row r="670" spans="1:27">
      <c r="A670" s="127">
        <f ca="1">IFERROR(__xludf.DUMMYFUNCTION("""COMPUTED_VALUE"""),766589657993298)</f>
        <v>766589657993298</v>
      </c>
      <c r="B670" s="127" t="str">
        <f ca="1">IFERROR(__xludf.DUMMYFUNCTION("""COMPUTED_VALUE"""),"120231482670400235")</f>
        <v>120231482670400235</v>
      </c>
      <c r="C670" s="127" t="str">
        <f ca="1">IFERROR(__xludf.DUMMYFUNCTION("""COMPUTED_VALUE"""),"Rumahku Makmur")</f>
        <v>Rumahku Makmur</v>
      </c>
      <c r="D670" s="138" t="str">
        <f ca="1">IFERROR(__xludf.DUMMYFUNCTION("""COMPUTED_VALUE"""),"https://wa.me/6282328059129")</f>
        <v>https://wa.me/6282328059129</v>
      </c>
      <c r="E670" s="139" t="str">
        <f ca="1">IFERROR(__xludf.DUMMYFUNCTION("""COMPUTED_VALUE"""),"6282328059129")</f>
        <v>6282328059129</v>
      </c>
      <c r="F670" s="139">
        <f ca="1">IFERROR(__xludf.DUMMYFUNCTION("""COMPUTED_VALUE"""),936)</f>
        <v>936</v>
      </c>
      <c r="G670" s="139">
        <f ca="1">IFERROR(__xludf.DUMMYFUNCTION("""COMPUTED_VALUE"""),28356)</f>
        <v>28356</v>
      </c>
      <c r="H670" s="139">
        <f ca="1">IFERROR(__xludf.DUMMYFUNCTION("""COMPUTED_VALUE"""),5)</f>
        <v>5</v>
      </c>
      <c r="I670" s="140">
        <f ca="1">IFERROR(__xludf.DUMMYFUNCTION("""COMPUTED_VALUE"""),29187)</f>
        <v>29187</v>
      </c>
      <c r="J670" s="141">
        <f ca="1">IFERROR(__xludf.DUMMYFUNCTION("""COMPUTED_VALUE"""),5837.4)</f>
        <v>5837.4</v>
      </c>
      <c r="K670" s="142">
        <f ca="1">IFERROR(__xludf.DUMMYFUNCTION("""COMPUTED_VALUE"""),1.9458)</f>
        <v>1.9458</v>
      </c>
      <c r="L670" s="143" t="str">
        <f ca="1"/>
        <v>Wiris Variasi</v>
      </c>
      <c r="M670" s="127"/>
      <c r="N670" s="127"/>
      <c r="O670" s="127"/>
      <c r="P670" s="127"/>
      <c r="Q670" s="127"/>
      <c r="R670" s="127"/>
      <c r="S670" s="127"/>
      <c r="T670" s="127"/>
      <c r="U670" s="127"/>
      <c r="V670" s="127"/>
      <c r="W670" s="127"/>
      <c r="X670" s="127"/>
      <c r="Y670" s="127"/>
      <c r="Z670" s="127"/>
      <c r="AA670" s="127"/>
    </row>
    <row r="671" spans="1:27">
      <c r="A671" s="127">
        <f ca="1">IFERROR(__xludf.DUMMYFUNCTION("""COMPUTED_VALUE"""),766589657993298)</f>
        <v>766589657993298</v>
      </c>
      <c r="B671" s="127" t="str">
        <f ca="1">IFERROR(__xludf.DUMMYFUNCTION("""COMPUTED_VALUE"""),"120231483671990235")</f>
        <v>120231483671990235</v>
      </c>
      <c r="C671" s="127" t="str">
        <f ca="1">IFERROR(__xludf.DUMMYFUNCTION("""COMPUTED_VALUE"""),"Mitra Jaya")</f>
        <v>Mitra Jaya</v>
      </c>
      <c r="D671" s="138" t="str">
        <f ca="1">IFERROR(__xludf.DUMMYFUNCTION("""COMPUTED_VALUE"""),"https://wa.me/6281342202869")</f>
        <v>https://wa.me/6281342202869</v>
      </c>
      <c r="E671" s="139" t="str">
        <f ca="1">IFERROR(__xludf.DUMMYFUNCTION("""COMPUTED_VALUE"""),"6281342202869")</f>
        <v>6281342202869</v>
      </c>
      <c r="F671" s="139">
        <f ca="1">IFERROR(__xludf.DUMMYFUNCTION("""COMPUTED_VALUE"""),2623)</f>
        <v>2623</v>
      </c>
      <c r="G671" s="139">
        <f ca="1">IFERROR(__xludf.DUMMYFUNCTION("""COMPUTED_VALUE"""),9115)</f>
        <v>9115</v>
      </c>
      <c r="H671" s="139">
        <f ca="1">IFERROR(__xludf.DUMMYFUNCTION("""COMPUTED_VALUE"""),1)</f>
        <v>1</v>
      </c>
      <c r="I671" s="140">
        <f ca="1">IFERROR(__xludf.DUMMYFUNCTION("""COMPUTED_VALUE"""),30839)</f>
        <v>30839</v>
      </c>
      <c r="J671" s="141">
        <f ca="1">IFERROR(__xludf.DUMMYFUNCTION("""COMPUTED_VALUE"""),30839)</f>
        <v>30839</v>
      </c>
      <c r="K671" s="142">
        <f ca="1">IFERROR(__xludf.DUMMYFUNCTION("""COMPUTED_VALUE"""),2.05593333333333)</f>
        <v>2.0559333333333298</v>
      </c>
      <c r="L671" s="143" t="str">
        <f ca="1"/>
        <v>Wiris Variasi</v>
      </c>
      <c r="M671" s="127"/>
      <c r="N671" s="127"/>
      <c r="O671" s="127"/>
      <c r="P671" s="127"/>
      <c r="Q671" s="127"/>
      <c r="R671" s="127"/>
      <c r="S671" s="127"/>
      <c r="T671" s="127"/>
      <c r="U671" s="127"/>
      <c r="V671" s="127"/>
      <c r="W671" s="127"/>
      <c r="X671" s="127"/>
      <c r="Y671" s="127"/>
      <c r="Z671" s="127"/>
      <c r="AA671" s="127"/>
    </row>
    <row r="672" spans="1:27">
      <c r="A672" s="127">
        <f ca="1">IFERROR(__xludf.DUMMYFUNCTION("""COMPUTED_VALUE"""),766589657993298)</f>
        <v>766589657993298</v>
      </c>
      <c r="B672" s="127" t="str">
        <f ca="1">IFERROR(__xludf.DUMMYFUNCTION("""COMPUTED_VALUE"""),"120231499303500235")</f>
        <v>120231499303500235</v>
      </c>
      <c r="C672" s="127" t="str">
        <f ca="1">IFERROR(__xludf.DUMMYFUNCTION("""COMPUTED_VALUE"""),"RJK (Rokhim")</f>
        <v>RJK (Rokhim</v>
      </c>
      <c r="D672" s="138" t="str">
        <f ca="1">IFERROR(__xludf.DUMMYFUNCTION("""COMPUTED_VALUE"""),"https://wa.me/62895635983361")</f>
        <v>https://wa.me/62895635983361</v>
      </c>
      <c r="E672" s="139" t="str">
        <f ca="1">IFERROR(__xludf.DUMMYFUNCTION("""COMPUTED_VALUE"""),"62895635983361")</f>
        <v>62895635983361</v>
      </c>
      <c r="F672" s="139">
        <f ca="1">IFERROR(__xludf.DUMMYFUNCTION("""COMPUTED_VALUE"""),943)</f>
        <v>943</v>
      </c>
      <c r="G672" s="139">
        <f ca="1">IFERROR(__xludf.DUMMYFUNCTION("""COMPUTED_VALUE"""),27262)</f>
        <v>27262</v>
      </c>
      <c r="H672" s="139">
        <f ca="1">IFERROR(__xludf.DUMMYFUNCTION("""COMPUTED_VALUE"""),4)</f>
        <v>4</v>
      </c>
      <c r="I672" s="140">
        <f ca="1">IFERROR(__xludf.DUMMYFUNCTION("""COMPUTED_VALUE"""),27984)</f>
        <v>27984</v>
      </c>
      <c r="J672" s="141">
        <f ca="1">IFERROR(__xludf.DUMMYFUNCTION("""COMPUTED_VALUE"""),6996)</f>
        <v>6996</v>
      </c>
      <c r="K672" s="142">
        <f ca="1">IFERROR(__xludf.DUMMYFUNCTION("""COMPUTED_VALUE"""),1.8656)</f>
        <v>1.8655999999999999</v>
      </c>
      <c r="L672" s="143" t="str">
        <f ca="1"/>
        <v>Wiris Variasi</v>
      </c>
      <c r="M672" s="127"/>
      <c r="N672" s="127"/>
      <c r="O672" s="127"/>
      <c r="P672" s="127"/>
      <c r="Q672" s="127"/>
      <c r="R672" s="127"/>
      <c r="S672" s="127"/>
      <c r="T672" s="127"/>
      <c r="U672" s="127"/>
      <c r="V672" s="127"/>
      <c r="W672" s="127"/>
      <c r="X672" s="127"/>
      <c r="Y672" s="127"/>
      <c r="Z672" s="127"/>
      <c r="AA672" s="127"/>
    </row>
    <row r="673" spans="1:27">
      <c r="A673" s="127">
        <f ca="1">IFERROR(__xludf.DUMMYFUNCTION("""COMPUTED_VALUE"""),766589657993298)</f>
        <v>766589657993298</v>
      </c>
      <c r="B673" s="127" t="str">
        <f ca="1">IFERROR(__xludf.DUMMYFUNCTION("""COMPUTED_VALUE"""),"120231541589610235")</f>
        <v>120231541589610235</v>
      </c>
      <c r="C673" s="127" t="str">
        <f ca="1">IFERROR(__xludf.DUMMYFUNCTION("""COMPUTED_VALUE"""),"Pratama jaya")</f>
        <v>Pratama jaya</v>
      </c>
      <c r="D673" s="138" t="str">
        <f ca="1">IFERROR(__xludf.DUMMYFUNCTION("""COMPUTED_VALUE"""),"https://wa.me/6283117425214")</f>
        <v>https://wa.me/6283117425214</v>
      </c>
      <c r="E673" s="139" t="str">
        <f ca="1">IFERROR(__xludf.DUMMYFUNCTION("""COMPUTED_VALUE"""),"6283117425214")</f>
        <v>6283117425214</v>
      </c>
      <c r="F673" s="139">
        <f ca="1">IFERROR(__xludf.DUMMYFUNCTION("""COMPUTED_VALUE"""),2603)</f>
        <v>2603</v>
      </c>
      <c r="G673" s="139">
        <f ca="1">IFERROR(__xludf.DUMMYFUNCTION("""COMPUTED_VALUE"""),10726)</f>
        <v>10726</v>
      </c>
      <c r="H673" s="139">
        <f ca="1">IFERROR(__xludf.DUMMYFUNCTION("""COMPUTED_VALUE"""),5)</f>
        <v>5</v>
      </c>
      <c r="I673" s="140">
        <f ca="1">IFERROR(__xludf.DUMMYFUNCTION("""COMPUTED_VALUE"""),30336)</f>
        <v>30336</v>
      </c>
      <c r="J673" s="141">
        <f ca="1">IFERROR(__xludf.DUMMYFUNCTION("""COMPUTED_VALUE"""),6067.2)</f>
        <v>6067.2</v>
      </c>
      <c r="K673" s="142">
        <f ca="1">IFERROR(__xludf.DUMMYFUNCTION("""COMPUTED_VALUE"""),2.0224)</f>
        <v>2.0224000000000002</v>
      </c>
      <c r="L673" s="143" t="str">
        <f ca="1"/>
        <v>Wiris Variasi</v>
      </c>
      <c r="M673" s="127"/>
      <c r="N673" s="127"/>
      <c r="O673" s="127"/>
      <c r="P673" s="127"/>
      <c r="Q673" s="127"/>
      <c r="R673" s="127"/>
      <c r="S673" s="127"/>
      <c r="T673" s="127"/>
      <c r="U673" s="127"/>
      <c r="V673" s="127"/>
      <c r="W673" s="127"/>
      <c r="X673" s="127"/>
      <c r="Y673" s="127"/>
      <c r="Z673" s="127"/>
      <c r="AA673" s="127"/>
    </row>
    <row r="674" spans="1:27">
      <c r="A674" s="127">
        <f ca="1">IFERROR(__xludf.DUMMYFUNCTION("""COMPUTED_VALUE"""),766589657993298)</f>
        <v>766589657993298</v>
      </c>
      <c r="B674" s="127" t="str">
        <f ca="1">IFERROR(__xludf.DUMMYFUNCTION("""COMPUTED_VALUE"""),"120231542288540235")</f>
        <v>120231542288540235</v>
      </c>
      <c r="C674" s="127" t="str">
        <f ca="1">IFERROR(__xludf.DUMMYFUNCTION("""COMPUTED_VALUE"""),"Sahabat Kontruksi")</f>
        <v>Sahabat Kontruksi</v>
      </c>
      <c r="D674" s="138" t="str">
        <f ca="1">IFERROR(__xludf.DUMMYFUNCTION("""COMPUTED_VALUE"""),"https://wa.me/6281215552664")</f>
        <v>https://wa.me/6281215552664</v>
      </c>
      <c r="E674" s="139" t="str">
        <f ca="1">IFERROR(__xludf.DUMMYFUNCTION("""COMPUTED_VALUE"""),"6281215552664")</f>
        <v>6281215552664</v>
      </c>
      <c r="F674" s="139">
        <f ca="1">IFERROR(__xludf.DUMMYFUNCTION("""COMPUTED_VALUE"""),706)</f>
        <v>706</v>
      </c>
      <c r="G674" s="139">
        <f ca="1">IFERROR(__xludf.DUMMYFUNCTION("""COMPUTED_VALUE"""),35886.5)</f>
        <v>35886.5</v>
      </c>
      <c r="H674" s="139">
        <f ca="1">IFERROR(__xludf.DUMMYFUNCTION("""COMPUTED_VALUE"""),6)</f>
        <v>6</v>
      </c>
      <c r="I674" s="140">
        <f ca="1">IFERROR(__xludf.DUMMYFUNCTION("""COMPUTED_VALUE"""),29498)</f>
        <v>29498</v>
      </c>
      <c r="J674" s="141">
        <f ca="1">IFERROR(__xludf.DUMMYFUNCTION("""COMPUTED_VALUE"""),4916.33333333333)</f>
        <v>4916.3333333333303</v>
      </c>
      <c r="K674" s="142">
        <f ca="1">IFERROR(__xludf.DUMMYFUNCTION("""COMPUTED_VALUE"""),1.96653333333333)</f>
        <v>1.9665333333333299</v>
      </c>
      <c r="L674" s="143" t="str">
        <f ca="1"/>
        <v>Wiris Variasi</v>
      </c>
      <c r="M674" s="127"/>
      <c r="N674" s="127"/>
      <c r="O674" s="127"/>
      <c r="P674" s="127"/>
      <c r="Q674" s="127"/>
      <c r="R674" s="127"/>
      <c r="S674" s="127"/>
      <c r="T674" s="127"/>
      <c r="U674" s="127"/>
      <c r="V674" s="127"/>
      <c r="W674" s="127"/>
      <c r="X674" s="127"/>
      <c r="Y674" s="127"/>
      <c r="Z674" s="127"/>
      <c r="AA674" s="127"/>
    </row>
    <row r="675" spans="1:27">
      <c r="A675" s="127">
        <f ca="1">IFERROR(__xludf.DUMMYFUNCTION("""COMPUTED_VALUE"""),766589657993298)</f>
        <v>766589657993298</v>
      </c>
      <c r="B675" s="127" t="str">
        <f ca="1">IFERROR(__xludf.DUMMYFUNCTION("""COMPUTED_VALUE"""),"120231543097380235")</f>
        <v>120231543097380235</v>
      </c>
      <c r="C675" s="127" t="str">
        <f ca="1">IFERROR(__xludf.DUMMYFUNCTION("""COMPUTED_VALUE"""),"Kapling Griya")</f>
        <v>Kapling Griya</v>
      </c>
      <c r="D675" s="138" t="str">
        <f ca="1">IFERROR(__xludf.DUMMYFUNCTION("""COMPUTED_VALUE"""),"https://wa.me/6285217189178")</f>
        <v>https://wa.me/6285217189178</v>
      </c>
      <c r="E675" s="139" t="str">
        <f ca="1">IFERROR(__xludf.DUMMYFUNCTION("""COMPUTED_VALUE"""),"6285217189178")</f>
        <v>6285217189178</v>
      </c>
      <c r="F675" s="139">
        <f ca="1">IFERROR(__xludf.DUMMYFUNCTION("""COMPUTED_VALUE"""),613)</f>
        <v>613</v>
      </c>
      <c r="G675" s="139">
        <f ca="1">IFERROR(__xludf.DUMMYFUNCTION("""COMPUTED_VALUE"""),47899.5)</f>
        <v>47899.5</v>
      </c>
      <c r="H675" s="139">
        <f ca="1">IFERROR(__xludf.DUMMYFUNCTION("""COMPUTED_VALUE"""),2)</f>
        <v>2</v>
      </c>
      <c r="I675" s="140">
        <f ca="1">IFERROR(__xludf.DUMMYFUNCTION("""COMPUTED_VALUE"""),30936)</f>
        <v>30936</v>
      </c>
      <c r="J675" s="141">
        <f ca="1">IFERROR(__xludf.DUMMYFUNCTION("""COMPUTED_VALUE"""),15468)</f>
        <v>15468</v>
      </c>
      <c r="K675" s="142">
        <f ca="1">IFERROR(__xludf.DUMMYFUNCTION("""COMPUTED_VALUE"""),2.0624)</f>
        <v>2.0623999999999998</v>
      </c>
      <c r="L675" s="143" t="str">
        <f ca="1"/>
        <v>Wiris Variasi</v>
      </c>
      <c r="M675" s="127"/>
      <c r="N675" s="127"/>
      <c r="O675" s="127"/>
      <c r="P675" s="127"/>
      <c r="Q675" s="127"/>
      <c r="R675" s="127"/>
      <c r="S675" s="127"/>
      <c r="T675" s="127"/>
      <c r="U675" s="127"/>
      <c r="V675" s="127"/>
      <c r="W675" s="127"/>
      <c r="X675" s="127"/>
      <c r="Y675" s="127"/>
      <c r="Z675" s="127"/>
      <c r="AA675" s="127"/>
    </row>
    <row r="676" spans="1:27">
      <c r="A676" s="127">
        <f ca="1">IFERROR(__xludf.DUMMYFUNCTION("""COMPUTED_VALUE"""),766589657993298)</f>
        <v>766589657993298</v>
      </c>
      <c r="B676" s="127" t="str">
        <f ca="1">IFERROR(__xludf.DUMMYFUNCTION("""COMPUTED_VALUE"""),"120231642082840235")</f>
        <v>120231642082840235</v>
      </c>
      <c r="C676" s="127" t="str">
        <f ca="1">IFERROR(__xludf.DUMMYFUNCTION("""COMPUTED_VALUE"""),"Pembuatan kanopi,")</f>
        <v>Pembuatan kanopi,</v>
      </c>
      <c r="D676" s="138" t="str">
        <f ca="1">IFERROR(__xludf.DUMMYFUNCTION("""COMPUTED_VALUE"""),"https://wa.me/62882008302847")</f>
        <v>https://wa.me/62882008302847</v>
      </c>
      <c r="E676" s="139" t="str">
        <f ca="1">IFERROR(__xludf.DUMMYFUNCTION("""COMPUTED_VALUE"""),"62882008302847")</f>
        <v>62882008302847</v>
      </c>
      <c r="F676" s="139">
        <f ca="1">IFERROR(__xludf.DUMMYFUNCTION("""COMPUTED_VALUE"""),422)</f>
        <v>422</v>
      </c>
      <c r="G676" s="139">
        <f ca="1">IFERROR(__xludf.DUMMYFUNCTION("""COMPUTED_VALUE"""),26134)</f>
        <v>26134</v>
      </c>
      <c r="H676" s="139">
        <f ca="1">IFERROR(__xludf.DUMMYFUNCTION("""COMPUTED_VALUE"""),2)</f>
        <v>2</v>
      </c>
      <c r="I676" s="140">
        <f ca="1">IFERROR(__xludf.DUMMYFUNCTION("""COMPUTED_VALUE"""),14400)</f>
        <v>14400</v>
      </c>
      <c r="J676" s="141">
        <f ca="1">IFERROR(__xludf.DUMMYFUNCTION("""COMPUTED_VALUE"""),7200)</f>
        <v>7200</v>
      </c>
      <c r="K676" s="142">
        <f ca="1">IFERROR(__xludf.DUMMYFUNCTION("""COMPUTED_VALUE"""),0.96)</f>
        <v>0.96</v>
      </c>
      <c r="L676" s="143" t="str">
        <f ca="1"/>
        <v>Wiris Variasi</v>
      </c>
      <c r="M676" s="127"/>
      <c r="N676" s="127"/>
      <c r="O676" s="127"/>
      <c r="P676" s="127"/>
      <c r="Q676" s="127"/>
      <c r="R676" s="127"/>
      <c r="S676" s="127"/>
      <c r="T676" s="127"/>
      <c r="U676" s="127"/>
      <c r="V676" s="127"/>
      <c r="W676" s="127"/>
      <c r="X676" s="127"/>
      <c r="Y676" s="127"/>
      <c r="Z676" s="127"/>
      <c r="AA676" s="127"/>
    </row>
    <row r="677" spans="1:27">
      <c r="A677" s="127">
        <f ca="1">IFERROR(__xludf.DUMMYFUNCTION("""COMPUTED_VALUE"""),766589657993298)</f>
        <v>766589657993298</v>
      </c>
      <c r="B677" s="127" t="str">
        <f ca="1">IFERROR(__xludf.DUMMYFUNCTION("""COMPUTED_VALUE"""),"120231648405350235")</f>
        <v>120231648405350235</v>
      </c>
      <c r="C677" s="127" t="str">
        <f ca="1">IFERROR(__xludf.DUMMYFUNCTION("""COMPUTED_VALUE"""),"CV Sendang")</f>
        <v>CV Sendang</v>
      </c>
      <c r="D677" s="138" t="str">
        <f ca="1">IFERROR(__xludf.DUMMYFUNCTION("""COMPUTED_VALUE"""),"https://wa.me/6285640123555")</f>
        <v>https://wa.me/6285640123555</v>
      </c>
      <c r="E677" s="139" t="str">
        <f ca="1">IFERROR(__xludf.DUMMYFUNCTION("""COMPUTED_VALUE"""),"6285640123555")</f>
        <v>6285640123555</v>
      </c>
      <c r="F677" s="139">
        <f ca="1">IFERROR(__xludf.DUMMYFUNCTION("""COMPUTED_VALUE"""),617)</f>
        <v>617</v>
      </c>
      <c r="G677" s="139">
        <f ca="1">IFERROR(__xludf.DUMMYFUNCTION("""COMPUTED_VALUE"""),15867)</f>
        <v>15867</v>
      </c>
      <c r="H677" s="139">
        <f ca="1">IFERROR(__xludf.DUMMYFUNCTION("""COMPUTED_VALUE"""),1)</f>
        <v>1</v>
      </c>
      <c r="I677" s="140">
        <f ca="1">IFERROR(__xludf.DUMMYFUNCTION("""COMPUTED_VALUE"""),12916)</f>
        <v>12916</v>
      </c>
      <c r="J677" s="141">
        <f ca="1">IFERROR(__xludf.DUMMYFUNCTION("""COMPUTED_VALUE"""),12916)</f>
        <v>12916</v>
      </c>
      <c r="K677" s="142">
        <f ca="1">IFERROR(__xludf.DUMMYFUNCTION("""COMPUTED_VALUE"""),0.861066666666666)</f>
        <v>0.86106666666666598</v>
      </c>
      <c r="L677" s="143" t="str">
        <f ca="1"/>
        <v>Wiris Variasi</v>
      </c>
      <c r="M677" s="127"/>
      <c r="N677" s="127"/>
      <c r="O677" s="127"/>
      <c r="P677" s="127"/>
      <c r="Q677" s="127"/>
      <c r="R677" s="127"/>
      <c r="S677" s="127"/>
      <c r="T677" s="127"/>
      <c r="U677" s="127"/>
      <c r="V677" s="127"/>
      <c r="W677" s="127"/>
      <c r="X677" s="127"/>
      <c r="Y677" s="127"/>
      <c r="Z677" s="127"/>
      <c r="AA677" s="127"/>
    </row>
    <row r="678" spans="1:27">
      <c r="A678" s="127">
        <f ca="1">IFERROR(__xludf.DUMMYFUNCTION("""COMPUTED_VALUE"""),766589657993298)</f>
        <v>766589657993298</v>
      </c>
      <c r="B678" s="127" t="str">
        <f ca="1">IFERROR(__xludf.DUMMYFUNCTION("""COMPUTED_VALUE"""),"120231651390020235")</f>
        <v>120231651390020235</v>
      </c>
      <c r="C678" s="127" t="str">
        <f ca="1">IFERROR(__xludf.DUMMYFUNCTION("""COMPUTED_VALUE"""),"Sutanto aneka")</f>
        <v>Sutanto aneka</v>
      </c>
      <c r="D678" s="138" t="str">
        <f ca="1">IFERROR(__xludf.DUMMYFUNCTION("""COMPUTED_VALUE"""),"https://wa.me/628971115941")</f>
        <v>https://wa.me/628971115941</v>
      </c>
      <c r="E678" s="139" t="str">
        <f ca="1">IFERROR(__xludf.DUMMYFUNCTION("""COMPUTED_VALUE"""),"628971115941")</f>
        <v>628971115941</v>
      </c>
      <c r="F678" s="139">
        <f ca="1">IFERROR(__xludf.DUMMYFUNCTION("""COMPUTED_VALUE"""),569)</f>
        <v>569</v>
      </c>
      <c r="G678" s="139">
        <f ca="1">IFERROR(__xludf.DUMMYFUNCTION("""COMPUTED_VALUE"""),17638)</f>
        <v>17638</v>
      </c>
      <c r="H678" s="139">
        <f ca="1">IFERROR(__xludf.DUMMYFUNCTION("""COMPUTED_VALUE"""),0)</f>
        <v>0</v>
      </c>
      <c r="I678" s="140">
        <f ca="1">IFERROR(__xludf.DUMMYFUNCTION("""COMPUTED_VALUE"""),12752)</f>
        <v>12752</v>
      </c>
      <c r="J678" s="141"/>
      <c r="K678" s="142">
        <f ca="1">IFERROR(__xludf.DUMMYFUNCTION("""COMPUTED_VALUE"""),0.850133333333333)</f>
        <v>0.85013333333333296</v>
      </c>
      <c r="L678" s="143" t="str">
        <f ca="1"/>
        <v>Wiris Variasi</v>
      </c>
      <c r="M678" s="127"/>
      <c r="N678" s="127"/>
      <c r="O678" s="127"/>
      <c r="P678" s="127"/>
      <c r="Q678" s="127"/>
      <c r="R678" s="127"/>
      <c r="S678" s="127"/>
      <c r="T678" s="127"/>
      <c r="U678" s="127"/>
      <c r="V678" s="127"/>
      <c r="W678" s="127"/>
      <c r="X678" s="127"/>
      <c r="Y678" s="127"/>
      <c r="Z678" s="127"/>
      <c r="AA678" s="127"/>
    </row>
    <row r="679" spans="1:27">
      <c r="A679" s="127">
        <f ca="1">IFERROR(__xludf.DUMMYFUNCTION("""COMPUTED_VALUE"""),766589657993298)</f>
        <v>766589657993298</v>
      </c>
      <c r="B679" s="127" t="str">
        <f ca="1">IFERROR(__xludf.DUMMYFUNCTION("""COMPUTED_VALUE"""),"120231755357370235")</f>
        <v>120231755357370235</v>
      </c>
      <c r="C679" s="127" t="str">
        <f ca="1">IFERROR(__xludf.DUMMYFUNCTION("""COMPUTED_VALUE"""),"Cv zhafira")</f>
        <v>Cv zhafira</v>
      </c>
      <c r="D679" s="138" t="str">
        <f ca="1">IFERROR(__xludf.DUMMYFUNCTION("""COMPUTED_VALUE"""),"https://wa.me/6281990865975")</f>
        <v>https://wa.me/6281990865975</v>
      </c>
      <c r="E679" s="139" t="str">
        <f ca="1">IFERROR(__xludf.DUMMYFUNCTION("""COMPUTED_VALUE"""),"6281990865975")</f>
        <v>6281990865975</v>
      </c>
      <c r="F679" s="139">
        <f ca="1">IFERROR(__xludf.DUMMYFUNCTION("""COMPUTED_VALUE"""),611)</f>
        <v>611</v>
      </c>
      <c r="G679" s="139">
        <f ca="1">IFERROR(__xludf.DUMMYFUNCTION("""COMPUTED_VALUE"""),53974.5)</f>
        <v>53974.5</v>
      </c>
      <c r="H679" s="139">
        <f ca="1">IFERROR(__xludf.DUMMYFUNCTION("""COMPUTED_VALUE"""),4)</f>
        <v>4</v>
      </c>
      <c r="I679" s="140">
        <f ca="1">IFERROR(__xludf.DUMMYFUNCTION("""COMPUTED_VALUE"""),30283)</f>
        <v>30283</v>
      </c>
      <c r="J679" s="141">
        <f ca="1">IFERROR(__xludf.DUMMYFUNCTION("""COMPUTED_VALUE"""),7570.75)</f>
        <v>7570.75</v>
      </c>
      <c r="K679" s="142">
        <f ca="1">IFERROR(__xludf.DUMMYFUNCTION("""COMPUTED_VALUE"""),2.01886666666666)</f>
        <v>2.0188666666666601</v>
      </c>
      <c r="L679" s="143" t="str">
        <f ca="1"/>
        <v>Wiris Variasi</v>
      </c>
      <c r="M679" s="127"/>
      <c r="N679" s="127"/>
      <c r="O679" s="127"/>
      <c r="P679" s="127"/>
      <c r="Q679" s="127"/>
      <c r="R679" s="127"/>
      <c r="S679" s="127"/>
      <c r="T679" s="127"/>
      <c r="U679" s="127"/>
      <c r="V679" s="127"/>
      <c r="W679" s="127"/>
      <c r="X679" s="127"/>
      <c r="Y679" s="127"/>
      <c r="Z679" s="127"/>
      <c r="AA679" s="127"/>
    </row>
    <row r="680" spans="1:27">
      <c r="A680" s="127">
        <f ca="1">IFERROR(__xludf.DUMMYFUNCTION("""COMPUTED_VALUE"""),766589657993298)</f>
        <v>766589657993298</v>
      </c>
      <c r="B680" s="127" t="str">
        <f ca="1">IFERROR(__xludf.DUMMYFUNCTION("""COMPUTED_VALUE"""),"120231900991410235")</f>
        <v>120231900991410235</v>
      </c>
      <c r="C680" s="127" t="str">
        <f ca="1">IFERROR(__xludf.DUMMYFUNCTION("""COMPUTED_VALUE"""),"Ari kontraktor")</f>
        <v>Ari kontraktor</v>
      </c>
      <c r="D680" s="138" t="str">
        <f ca="1">IFERROR(__xludf.DUMMYFUNCTION("""COMPUTED_VALUE"""),"https://wa.me/6281222788601")</f>
        <v>https://wa.me/6281222788601</v>
      </c>
      <c r="E680" s="139" t="str">
        <f ca="1">IFERROR(__xludf.DUMMYFUNCTION("""COMPUTED_VALUE"""),"6281222788601")</f>
        <v>6281222788601</v>
      </c>
      <c r="F680" s="139">
        <f ca="1">IFERROR(__xludf.DUMMYFUNCTION("""COMPUTED_VALUE"""),661)</f>
        <v>661</v>
      </c>
      <c r="G680" s="139">
        <f ca="1">IFERROR(__xludf.DUMMYFUNCTION("""COMPUTED_VALUE"""),17662)</f>
        <v>17662</v>
      </c>
      <c r="H680" s="139">
        <f ca="1">IFERROR(__xludf.DUMMYFUNCTION("""COMPUTED_VALUE"""),0)</f>
        <v>0</v>
      </c>
      <c r="I680" s="140">
        <f ca="1">IFERROR(__xludf.DUMMYFUNCTION("""COMPUTED_VALUE"""),12134)</f>
        <v>12134</v>
      </c>
      <c r="J680" s="141"/>
      <c r="K680" s="142">
        <f ca="1">IFERROR(__xludf.DUMMYFUNCTION("""COMPUTED_VALUE"""),0.808933333333333)</f>
        <v>0.80893333333333295</v>
      </c>
      <c r="L680" s="143" t="str">
        <f ca="1"/>
        <v>Wiris Variasi</v>
      </c>
      <c r="M680" s="127"/>
      <c r="N680" s="127"/>
      <c r="O680" s="127"/>
      <c r="P680" s="127"/>
      <c r="Q680" s="127"/>
      <c r="R680" s="127"/>
      <c r="S680" s="127"/>
      <c r="T680" s="127"/>
      <c r="U680" s="127"/>
      <c r="V680" s="127"/>
      <c r="W680" s="127"/>
      <c r="X680" s="127"/>
      <c r="Y680" s="127"/>
      <c r="Z680" s="127"/>
      <c r="AA680" s="127"/>
    </row>
    <row r="681" spans="1:27">
      <c r="A681" s="127">
        <f ca="1">IFERROR(__xludf.DUMMYFUNCTION("""COMPUTED_VALUE"""),766589657993298)</f>
        <v>766589657993298</v>
      </c>
      <c r="B681" s="127" t="str">
        <f ca="1">IFERROR(__xludf.DUMMYFUNCTION("""COMPUTED_VALUE"""),"120231901190220235")</f>
        <v>120231901190220235</v>
      </c>
      <c r="C681" s="127" t="str">
        <f ca="1">IFERROR(__xludf.DUMMYFUNCTION("""COMPUTED_VALUE"""),"Berkah Karya")</f>
        <v>Berkah Karya</v>
      </c>
      <c r="D681" s="138" t="str">
        <f ca="1">IFERROR(__xludf.DUMMYFUNCTION("""COMPUTED_VALUE"""),"https://wa.me/6285854789952")</f>
        <v>https://wa.me/6285854789952</v>
      </c>
      <c r="E681" s="139" t="str">
        <f ca="1">IFERROR(__xludf.DUMMYFUNCTION("""COMPUTED_VALUE"""),"6285854789952")</f>
        <v>6285854789952</v>
      </c>
      <c r="F681" s="139">
        <f ca="1">IFERROR(__xludf.DUMMYFUNCTION("""COMPUTED_VALUE"""),481)</f>
        <v>481</v>
      </c>
      <c r="G681" s="139">
        <f ca="1">IFERROR(__xludf.DUMMYFUNCTION("""COMPUTED_VALUE"""),24548)</f>
        <v>24548</v>
      </c>
      <c r="H681" s="139">
        <f ca="1">IFERROR(__xludf.DUMMYFUNCTION("""COMPUTED_VALUE"""),2)</f>
        <v>2</v>
      </c>
      <c r="I681" s="140">
        <f ca="1">IFERROR(__xludf.DUMMYFUNCTION("""COMPUTED_VALUE"""),12446)</f>
        <v>12446</v>
      </c>
      <c r="J681" s="141">
        <f ca="1">IFERROR(__xludf.DUMMYFUNCTION("""COMPUTED_VALUE"""),6223)</f>
        <v>6223</v>
      </c>
      <c r="K681" s="142">
        <f ca="1">IFERROR(__xludf.DUMMYFUNCTION("""COMPUTED_VALUE"""),0.829733333333333)</f>
        <v>0.82973333333333299</v>
      </c>
      <c r="L681" s="143" t="str">
        <f ca="1"/>
        <v>Wiris Variasi</v>
      </c>
      <c r="M681" s="127"/>
      <c r="N681" s="127"/>
      <c r="O681" s="127"/>
      <c r="P681" s="127"/>
      <c r="Q681" s="127"/>
      <c r="R681" s="127"/>
      <c r="S681" s="127"/>
      <c r="T681" s="127"/>
      <c r="U681" s="127"/>
      <c r="V681" s="127"/>
      <c r="W681" s="127"/>
      <c r="X681" s="127"/>
      <c r="Y681" s="127"/>
      <c r="Z681" s="127"/>
      <c r="AA681" s="127"/>
    </row>
    <row r="682" spans="1:27">
      <c r="A682" s="127">
        <f ca="1">IFERROR(__xludf.DUMMYFUNCTION("""COMPUTED_VALUE"""),766589657993298)</f>
        <v>766589657993298</v>
      </c>
      <c r="B682" s="127" t="str">
        <f ca="1">IFERROR(__xludf.DUMMYFUNCTION("""COMPUTED_VALUE"""),"120231901449320235")</f>
        <v>120231901449320235</v>
      </c>
      <c r="C682" s="127" t="str">
        <f ca="1">IFERROR(__xludf.DUMMYFUNCTION("""COMPUTED_VALUE"""),"C&amp;A building")</f>
        <v>C&amp;A building</v>
      </c>
      <c r="D682" s="138" t="str">
        <f ca="1">IFERROR(__xludf.DUMMYFUNCTION("""COMPUTED_VALUE"""),"https://wa.me/6281380503300")</f>
        <v>https://wa.me/6281380503300</v>
      </c>
      <c r="E682" s="139" t="str">
        <f ca="1">IFERROR(__xludf.DUMMYFUNCTION("""COMPUTED_VALUE"""),"6281380503300")</f>
        <v>6281380503300</v>
      </c>
      <c r="F682" s="139">
        <f ca="1">IFERROR(__xludf.DUMMYFUNCTION("""COMPUTED_VALUE"""),443)</f>
        <v>443</v>
      </c>
      <c r="G682" s="139">
        <f ca="1">IFERROR(__xludf.DUMMYFUNCTION("""COMPUTED_VALUE"""),25291)</f>
        <v>25291</v>
      </c>
      <c r="H682" s="139">
        <f ca="1">IFERROR(__xludf.DUMMYFUNCTION("""COMPUTED_VALUE"""),2)</f>
        <v>2</v>
      </c>
      <c r="I682" s="140">
        <f ca="1">IFERROR(__xludf.DUMMYFUNCTION("""COMPUTED_VALUE"""),11988)</f>
        <v>11988</v>
      </c>
      <c r="J682" s="141">
        <f ca="1">IFERROR(__xludf.DUMMYFUNCTION("""COMPUTED_VALUE"""),5994)</f>
        <v>5994</v>
      </c>
      <c r="K682" s="142">
        <f ca="1">IFERROR(__xludf.DUMMYFUNCTION("""COMPUTED_VALUE"""),0.7992)</f>
        <v>0.79920000000000002</v>
      </c>
      <c r="L682" s="143" t="str">
        <f ca="1"/>
        <v>Wiris Variasi</v>
      </c>
      <c r="M682" s="127"/>
      <c r="N682" s="127"/>
      <c r="O682" s="127"/>
      <c r="P682" s="127"/>
      <c r="Q682" s="127"/>
      <c r="R682" s="127"/>
      <c r="S682" s="127"/>
      <c r="T682" s="127"/>
      <c r="U682" s="127"/>
      <c r="V682" s="127"/>
      <c r="W682" s="127"/>
      <c r="X682" s="127"/>
      <c r="Y682" s="127"/>
      <c r="Z682" s="127"/>
      <c r="AA682" s="127"/>
    </row>
    <row r="683" spans="1:27">
      <c r="A683" s="127">
        <f ca="1">IFERROR(__xludf.DUMMYFUNCTION("""COMPUTED_VALUE"""),766589657993298)</f>
        <v>766589657993298</v>
      </c>
      <c r="B683" s="127" t="str">
        <f ca="1">IFERROR(__xludf.DUMMYFUNCTION("""COMPUTED_VALUE"""),"120231901930330235")</f>
        <v>120231901930330235</v>
      </c>
      <c r="C683" s="127" t="str">
        <f ca="1">IFERROR(__xludf.DUMMYFUNCTION("""COMPUTED_VALUE"""),"Arin abadi")</f>
        <v>Arin abadi</v>
      </c>
      <c r="D683" s="138" t="str">
        <f ca="1">IFERROR(__xludf.DUMMYFUNCTION("""COMPUTED_VALUE"""),"https://wa.me/6285864637086")</f>
        <v>https://wa.me/6285864637086</v>
      </c>
      <c r="E683" s="139" t="str">
        <f ca="1">IFERROR(__xludf.DUMMYFUNCTION("""COMPUTED_VALUE"""),"6285864637086")</f>
        <v>6285864637086</v>
      </c>
      <c r="F683" s="139">
        <f ca="1">IFERROR(__xludf.DUMMYFUNCTION("""COMPUTED_VALUE"""),348)</f>
        <v>348</v>
      </c>
      <c r="G683" s="139">
        <f ca="1">IFERROR(__xludf.DUMMYFUNCTION("""COMPUTED_VALUE"""),40881)</f>
        <v>40881</v>
      </c>
      <c r="H683" s="139">
        <f ca="1">IFERROR(__xludf.DUMMYFUNCTION("""COMPUTED_VALUE"""),0)</f>
        <v>0</v>
      </c>
      <c r="I683" s="140">
        <f ca="1">IFERROR(__xludf.DUMMYFUNCTION("""COMPUTED_VALUE"""),16557)</f>
        <v>16557</v>
      </c>
      <c r="J683" s="141"/>
      <c r="K683" s="142">
        <f ca="1">IFERROR(__xludf.DUMMYFUNCTION("""COMPUTED_VALUE"""),1.1038)</f>
        <v>1.1037999999999999</v>
      </c>
      <c r="L683" s="143" t="str">
        <f ca="1"/>
        <v>Wiris Variasi</v>
      </c>
      <c r="M683" s="127"/>
      <c r="N683" s="127"/>
      <c r="O683" s="127"/>
      <c r="P683" s="127"/>
      <c r="Q683" s="127"/>
      <c r="R683" s="127"/>
      <c r="S683" s="127"/>
      <c r="T683" s="127"/>
      <c r="U683" s="127"/>
      <c r="V683" s="127"/>
      <c r="W683" s="127"/>
      <c r="X683" s="127"/>
      <c r="Y683" s="127"/>
      <c r="Z683" s="127"/>
      <c r="AA683" s="127"/>
    </row>
    <row r="684" spans="1:27">
      <c r="A684" s="127">
        <f ca="1">IFERROR(__xludf.DUMMYFUNCTION("""COMPUTED_VALUE"""),766589657993298)</f>
        <v>766589657993298</v>
      </c>
      <c r="B684" s="127" t="str">
        <f ca="1">IFERROR(__xludf.DUMMYFUNCTION("""COMPUTED_VALUE"""),"120231968086600235")</f>
        <v>120231968086600235</v>
      </c>
      <c r="C684" s="127" t="str">
        <f ca="1">IFERROR(__xludf.DUMMYFUNCTION("""COMPUTED_VALUE"""),"Las panggilan")</f>
        <v>Las panggilan</v>
      </c>
      <c r="D684" s="138" t="str">
        <f ca="1">IFERROR(__xludf.DUMMYFUNCTION("""COMPUTED_VALUE"""),"https://wa.me/6285333355756")</f>
        <v>https://wa.me/6285333355756</v>
      </c>
      <c r="E684" s="139" t="str">
        <f ca="1">IFERROR(__xludf.DUMMYFUNCTION("""COMPUTED_VALUE"""),"6285333355756")</f>
        <v>6285333355756</v>
      </c>
      <c r="F684" s="139">
        <f ca="1">IFERROR(__xludf.DUMMYFUNCTION("""COMPUTED_VALUE"""),4157)</f>
        <v>4157</v>
      </c>
      <c r="G684" s="139">
        <f ca="1">IFERROR(__xludf.DUMMYFUNCTION("""COMPUTED_VALUE"""),6400)</f>
        <v>6400</v>
      </c>
      <c r="H684" s="139">
        <f ca="1">IFERROR(__xludf.DUMMYFUNCTION("""COMPUTED_VALUE"""),2)</f>
        <v>2</v>
      </c>
      <c r="I684" s="140">
        <f ca="1">IFERROR(__xludf.DUMMYFUNCTION("""COMPUTED_VALUE"""),31436)</f>
        <v>31436</v>
      </c>
      <c r="J684" s="141">
        <f ca="1">IFERROR(__xludf.DUMMYFUNCTION("""COMPUTED_VALUE"""),15718)</f>
        <v>15718</v>
      </c>
      <c r="K684" s="142">
        <f ca="1">IFERROR(__xludf.DUMMYFUNCTION("""COMPUTED_VALUE"""),2.09573333333333)</f>
        <v>2.0957333333333299</v>
      </c>
      <c r="L684" s="143" t="str">
        <f ca="1"/>
        <v>Wiris Variasi</v>
      </c>
      <c r="M684" s="127"/>
      <c r="N684" s="127"/>
      <c r="O684" s="127"/>
      <c r="P684" s="127"/>
      <c r="Q684" s="127"/>
      <c r="R684" s="127"/>
      <c r="S684" s="127"/>
      <c r="T684" s="127"/>
      <c r="U684" s="127"/>
      <c r="V684" s="127"/>
      <c r="W684" s="127"/>
      <c r="X684" s="127"/>
      <c r="Y684" s="127"/>
      <c r="Z684" s="127"/>
      <c r="AA684" s="127"/>
    </row>
    <row r="685" spans="1:27">
      <c r="A685" s="127">
        <f ca="1">IFERROR(__xludf.DUMMYFUNCTION("""COMPUTED_VALUE"""),766589657993298)</f>
        <v>766589657993298</v>
      </c>
      <c r="B685" s="127" t="str">
        <f ca="1">IFERROR(__xludf.DUMMYFUNCTION("""COMPUTED_VALUE"""),"120231968346310235")</f>
        <v>120231968346310235</v>
      </c>
      <c r="C685" s="127" t="str">
        <f ca="1">IFERROR(__xludf.DUMMYFUNCTION("""COMPUTED_VALUE"""),"Anindiyajayapool")</f>
        <v>Anindiyajayapool</v>
      </c>
      <c r="D685" s="138" t="str">
        <f ca="1">IFERROR(__xludf.DUMMYFUNCTION("""COMPUTED_VALUE"""),"https://wa.me/6285888452389")</f>
        <v>https://wa.me/6285888452389</v>
      </c>
      <c r="E685" s="139" t="str">
        <f ca="1">IFERROR(__xludf.DUMMYFUNCTION("""COMPUTED_VALUE"""),"6285888452389")</f>
        <v>6285888452389</v>
      </c>
      <c r="F685" s="139">
        <f ca="1">IFERROR(__xludf.DUMMYFUNCTION("""COMPUTED_VALUE"""),558)</f>
        <v>558</v>
      </c>
      <c r="G685" s="139">
        <f ca="1">IFERROR(__xludf.DUMMYFUNCTION("""COMPUTED_VALUE"""),51537.5)</f>
        <v>51537.5</v>
      </c>
      <c r="H685" s="139">
        <f ca="1">IFERROR(__xludf.DUMMYFUNCTION("""COMPUTED_VALUE"""),3)</f>
        <v>3</v>
      </c>
      <c r="I685" s="140">
        <f ca="1">IFERROR(__xludf.DUMMYFUNCTION("""COMPUTED_VALUE"""),30745)</f>
        <v>30745</v>
      </c>
      <c r="J685" s="141">
        <f ca="1">IFERROR(__xludf.DUMMYFUNCTION("""COMPUTED_VALUE"""),10248.3333333333)</f>
        <v>10248.333333333299</v>
      </c>
      <c r="K685" s="142">
        <f ca="1">IFERROR(__xludf.DUMMYFUNCTION("""COMPUTED_VALUE"""),2.04966666666666)</f>
        <v>2.0496666666666599</v>
      </c>
      <c r="L685" s="143" t="str">
        <f ca="1"/>
        <v>Wiris Variasi</v>
      </c>
      <c r="M685" s="127"/>
      <c r="N685" s="127"/>
      <c r="O685" s="127"/>
      <c r="P685" s="127"/>
      <c r="Q685" s="127"/>
      <c r="R685" s="127"/>
      <c r="S685" s="127"/>
      <c r="T685" s="127"/>
      <c r="U685" s="127"/>
      <c r="V685" s="127"/>
      <c r="W685" s="127"/>
      <c r="X685" s="127"/>
      <c r="Y685" s="127"/>
      <c r="Z685" s="127"/>
      <c r="AA685" s="127"/>
    </row>
    <row r="686" spans="1:27">
      <c r="A686" s="127">
        <f ca="1">IFERROR(__xludf.DUMMYFUNCTION("""COMPUTED_VALUE"""),766589657993298)</f>
        <v>766589657993298</v>
      </c>
      <c r="B686" s="127" t="str">
        <f ca="1">IFERROR(__xludf.DUMMYFUNCTION("""COMPUTED_VALUE"""),"120231968557870235")</f>
        <v>120231968557870235</v>
      </c>
      <c r="C686" s="127" t="str">
        <f ca="1">IFERROR(__xludf.DUMMYFUNCTION("""COMPUTED_VALUE"""),"Rokim Almunium")</f>
        <v>Rokim Almunium</v>
      </c>
      <c r="D686" s="138" t="str">
        <f ca="1">IFERROR(__xludf.DUMMYFUNCTION("""COMPUTED_VALUE"""),"https://wa.me/6285100570275")</f>
        <v>https://wa.me/6285100570275</v>
      </c>
      <c r="E686" s="139" t="str">
        <f ca="1">IFERROR(__xludf.DUMMYFUNCTION("""COMPUTED_VALUE"""),"6285100570275")</f>
        <v>6285100570275</v>
      </c>
      <c r="F686" s="139">
        <f ca="1">IFERROR(__xludf.DUMMYFUNCTION("""COMPUTED_VALUE"""),665)</f>
        <v>665</v>
      </c>
      <c r="G686" s="139">
        <f ca="1">IFERROR(__xludf.DUMMYFUNCTION("""COMPUTED_VALUE"""),22430)</f>
        <v>22430</v>
      </c>
      <c r="H686" s="139">
        <f ca="1">IFERROR(__xludf.DUMMYFUNCTION("""COMPUTED_VALUE"""),2)</f>
        <v>2</v>
      </c>
      <c r="I686" s="140">
        <f ca="1">IFERROR(__xludf.DUMMYFUNCTION("""COMPUTED_VALUE"""),16621)</f>
        <v>16621</v>
      </c>
      <c r="J686" s="141">
        <f ca="1">IFERROR(__xludf.DUMMYFUNCTION("""COMPUTED_VALUE"""),8310.5)</f>
        <v>8310.5</v>
      </c>
      <c r="K686" s="142">
        <f ca="1">IFERROR(__xludf.DUMMYFUNCTION("""COMPUTED_VALUE"""),1.10806666666666)</f>
        <v>1.1080666666666601</v>
      </c>
      <c r="L686" s="143" t="str">
        <f ca="1"/>
        <v>Wiris Variasi</v>
      </c>
      <c r="M686" s="127"/>
      <c r="N686" s="127"/>
      <c r="O686" s="127"/>
      <c r="P686" s="127"/>
      <c r="Q686" s="127"/>
      <c r="R686" s="127"/>
      <c r="S686" s="127"/>
      <c r="T686" s="127"/>
      <c r="U686" s="127"/>
      <c r="V686" s="127"/>
      <c r="W686" s="127"/>
      <c r="X686" s="127"/>
      <c r="Y686" s="127"/>
      <c r="Z686" s="127"/>
      <c r="AA686" s="127"/>
    </row>
    <row r="687" spans="1:27">
      <c r="A687" s="127">
        <f ca="1">IFERROR(__xludf.DUMMYFUNCTION("""COMPUTED_VALUE"""),766589657993298)</f>
        <v>766589657993298</v>
      </c>
      <c r="B687" s="127" t="str">
        <f ca="1">IFERROR(__xludf.DUMMYFUNCTION("""COMPUTED_VALUE"""),"120232028046030235")</f>
        <v>120232028046030235</v>
      </c>
      <c r="C687" s="127" t="str">
        <f ca="1">IFERROR(__xludf.DUMMYFUNCTION("""COMPUTED_VALUE"""),"CV Sun")</f>
        <v>CV Sun</v>
      </c>
      <c r="D687" s="138" t="str">
        <f ca="1">IFERROR(__xludf.DUMMYFUNCTION("""COMPUTED_VALUE"""),"https://wa.me/6282111180648")</f>
        <v>https://wa.me/6282111180648</v>
      </c>
      <c r="E687" s="139" t="str">
        <f ca="1">IFERROR(__xludf.DUMMYFUNCTION("""COMPUTED_VALUE"""),"6282111180648")</f>
        <v>6282111180648</v>
      </c>
      <c r="F687" s="139">
        <f ca="1">IFERROR(__xludf.DUMMYFUNCTION("""COMPUTED_VALUE"""),356)</f>
        <v>356</v>
      </c>
      <c r="G687" s="139">
        <f ca="1">IFERROR(__xludf.DUMMYFUNCTION("""COMPUTED_VALUE"""),43258)</f>
        <v>43258</v>
      </c>
      <c r="H687" s="139">
        <f ca="1">IFERROR(__xludf.DUMMYFUNCTION("""COMPUTED_VALUE"""),3)</f>
        <v>3</v>
      </c>
      <c r="I687" s="140">
        <f ca="1">IFERROR(__xludf.DUMMYFUNCTION("""COMPUTED_VALUE"""),17303)</f>
        <v>17303</v>
      </c>
      <c r="J687" s="141">
        <f ca="1">IFERROR(__xludf.DUMMYFUNCTION("""COMPUTED_VALUE"""),5767.66666666666)</f>
        <v>5767.6666666666597</v>
      </c>
      <c r="K687" s="142">
        <f ca="1">IFERROR(__xludf.DUMMYFUNCTION("""COMPUTED_VALUE"""),1.15353333333333)</f>
        <v>1.15353333333333</v>
      </c>
      <c r="L687" s="143" t="str">
        <f ca="1"/>
        <v>Wiris Variasi</v>
      </c>
      <c r="M687" s="127"/>
      <c r="N687" s="127"/>
      <c r="O687" s="127"/>
      <c r="P687" s="127"/>
      <c r="Q687" s="127"/>
      <c r="R687" s="127"/>
      <c r="S687" s="127"/>
      <c r="T687" s="127"/>
      <c r="U687" s="127"/>
      <c r="V687" s="127"/>
      <c r="W687" s="127"/>
      <c r="X687" s="127"/>
      <c r="Y687" s="127"/>
      <c r="Z687" s="127"/>
      <c r="AA687" s="127"/>
    </row>
    <row r="688" spans="1:27">
      <c r="A688" s="127">
        <f ca="1">IFERROR(__xludf.DUMMYFUNCTION("""COMPUTED_VALUE"""),766589657993298)</f>
        <v>766589657993298</v>
      </c>
      <c r="B688" s="127" t="str">
        <f ca="1">IFERROR(__xludf.DUMMYFUNCTION("""COMPUTED_VALUE"""),"120232028435550235")</f>
        <v>120232028435550235</v>
      </c>
      <c r="C688" s="127" t="str">
        <f ca="1">IFERROR(__xludf.DUMMYFUNCTION("""COMPUTED_VALUE"""),"PT lima")</f>
        <v>PT lima</v>
      </c>
      <c r="D688" s="138" t="str">
        <f ca="1">IFERROR(__xludf.DUMMYFUNCTION("""COMPUTED_VALUE"""),"https://wa.me/6282171933337")</f>
        <v>https://wa.me/6282171933337</v>
      </c>
      <c r="E688" s="139" t="str">
        <f ca="1">IFERROR(__xludf.DUMMYFUNCTION("""COMPUTED_VALUE"""),"6282171933337")</f>
        <v>6282171933337</v>
      </c>
      <c r="F688" s="139">
        <f ca="1">IFERROR(__xludf.DUMMYFUNCTION("""COMPUTED_VALUE"""),1107)</f>
        <v>1107</v>
      </c>
      <c r="G688" s="139">
        <f ca="1">IFERROR(__xludf.DUMMYFUNCTION("""COMPUTED_VALUE"""),11995)</f>
        <v>11995</v>
      </c>
      <c r="H688" s="139">
        <f ca="1">IFERROR(__xludf.DUMMYFUNCTION("""COMPUTED_VALUE"""),1)</f>
        <v>1</v>
      </c>
      <c r="I688" s="140">
        <f ca="1">IFERROR(__xludf.DUMMYFUNCTION("""COMPUTED_VALUE"""),15294)</f>
        <v>15294</v>
      </c>
      <c r="J688" s="141">
        <f ca="1">IFERROR(__xludf.DUMMYFUNCTION("""COMPUTED_VALUE"""),15294)</f>
        <v>15294</v>
      </c>
      <c r="K688" s="142">
        <f ca="1">IFERROR(__xludf.DUMMYFUNCTION("""COMPUTED_VALUE"""),1.0196)</f>
        <v>1.0196000000000001</v>
      </c>
      <c r="L688" s="143" t="str">
        <f ca="1"/>
        <v>Wiris Variasi</v>
      </c>
      <c r="M688" s="127"/>
      <c r="N688" s="127"/>
      <c r="O688" s="127"/>
      <c r="P688" s="127"/>
      <c r="Q688" s="127"/>
      <c r="R688" s="127"/>
      <c r="S688" s="127"/>
      <c r="T688" s="127"/>
      <c r="U688" s="127"/>
      <c r="V688" s="127"/>
      <c r="W688" s="127"/>
      <c r="X688" s="127"/>
      <c r="Y688" s="127"/>
      <c r="Z688" s="127"/>
      <c r="AA688" s="127"/>
    </row>
    <row r="689" spans="1:27">
      <c r="A689" s="127">
        <f ca="1">IFERROR(__xludf.DUMMYFUNCTION("""COMPUTED_VALUE"""),766589657993298)</f>
        <v>766589657993298</v>
      </c>
      <c r="B689" s="127" t="str">
        <f ca="1">IFERROR(__xludf.DUMMYFUNCTION("""COMPUTED_VALUE"""),"120232105906320235")</f>
        <v>120232105906320235</v>
      </c>
      <c r="C689" s="127" t="str">
        <f ca="1">IFERROR(__xludf.DUMMYFUNCTION("""COMPUTED_VALUE"""),"31 studio")</f>
        <v>31 studio</v>
      </c>
      <c r="D689" s="138" t="str">
        <f ca="1">IFERROR(__xludf.DUMMYFUNCTION("""COMPUTED_VALUE"""),"https://wa.me/6285251757431")</f>
        <v>https://wa.me/6285251757431</v>
      </c>
      <c r="E689" s="139" t="str">
        <f ca="1">IFERROR(__xludf.DUMMYFUNCTION("""COMPUTED_VALUE"""),"6285251757431")</f>
        <v>6285251757431</v>
      </c>
      <c r="F689" s="139">
        <f ca="1">IFERROR(__xludf.DUMMYFUNCTION("""COMPUTED_VALUE"""),599)</f>
        <v>599</v>
      </c>
      <c r="G689" s="139">
        <f ca="1">IFERROR(__xludf.DUMMYFUNCTION("""COMPUTED_VALUE"""),23939)</f>
        <v>23939</v>
      </c>
      <c r="H689" s="139">
        <f ca="1">IFERROR(__xludf.DUMMYFUNCTION("""COMPUTED_VALUE"""),2)</f>
        <v>2</v>
      </c>
      <c r="I689" s="140">
        <f ca="1">IFERROR(__xludf.DUMMYFUNCTION("""COMPUTED_VALUE"""),15800)</f>
        <v>15800</v>
      </c>
      <c r="J689" s="141">
        <f ca="1">IFERROR(__xludf.DUMMYFUNCTION("""COMPUTED_VALUE"""),7900)</f>
        <v>7900</v>
      </c>
      <c r="K689" s="142">
        <f ca="1">IFERROR(__xludf.DUMMYFUNCTION("""COMPUTED_VALUE"""),1.05333333333333)</f>
        <v>1.0533333333333299</v>
      </c>
      <c r="L689" s="143" t="str">
        <f ca="1"/>
        <v>Wiris Variasi</v>
      </c>
      <c r="M689" s="127"/>
      <c r="N689" s="127"/>
      <c r="O689" s="127"/>
      <c r="P689" s="127"/>
      <c r="Q689" s="127"/>
      <c r="R689" s="127"/>
      <c r="S689" s="127"/>
      <c r="T689" s="127"/>
      <c r="U689" s="127"/>
      <c r="V689" s="127"/>
      <c r="W689" s="127"/>
      <c r="X689" s="127"/>
      <c r="Y689" s="127"/>
      <c r="Z689" s="127"/>
      <c r="AA689" s="127"/>
    </row>
    <row r="690" spans="1:27">
      <c r="A690" s="127">
        <f ca="1">IFERROR(__xludf.DUMMYFUNCTION("""COMPUTED_VALUE"""),766589657993298)</f>
        <v>766589657993298</v>
      </c>
      <c r="B690" s="127" t="str">
        <f ca="1">IFERROR(__xludf.DUMMYFUNCTION("""COMPUTED_VALUE"""),"120232106119620235")</f>
        <v>120232106119620235</v>
      </c>
      <c r="C690" s="127" t="str">
        <f ca="1">IFERROR(__xludf.DUMMYFUNCTION("""COMPUTED_VALUE"""),"MULIA KUBAH")</f>
        <v>MULIA KUBAH</v>
      </c>
      <c r="D690" s="138" t="str">
        <f ca="1">IFERROR(__xludf.DUMMYFUNCTION("""COMPUTED_VALUE"""),"https://wa.me/6282365004117")</f>
        <v>https://wa.me/6282365004117</v>
      </c>
      <c r="E690" s="139" t="str">
        <f ca="1">IFERROR(__xludf.DUMMYFUNCTION("""COMPUTED_VALUE"""),"6282365004117")</f>
        <v>6282365004117</v>
      </c>
      <c r="F690" s="139">
        <f ca="1">IFERROR(__xludf.DUMMYFUNCTION("""COMPUTED_VALUE"""),543)</f>
        <v>543</v>
      </c>
      <c r="G690" s="139">
        <f ca="1">IFERROR(__xludf.DUMMYFUNCTION("""COMPUTED_VALUE"""),25156)</f>
        <v>25156</v>
      </c>
      <c r="H690" s="139">
        <f ca="1">IFERROR(__xludf.DUMMYFUNCTION("""COMPUTED_VALUE"""),2)</f>
        <v>2</v>
      </c>
      <c r="I690" s="140">
        <f ca="1">IFERROR(__xludf.DUMMYFUNCTION("""COMPUTED_VALUE"""),15144)</f>
        <v>15144</v>
      </c>
      <c r="J690" s="141">
        <f ca="1">IFERROR(__xludf.DUMMYFUNCTION("""COMPUTED_VALUE"""),7572)</f>
        <v>7572</v>
      </c>
      <c r="K690" s="142">
        <f ca="1">IFERROR(__xludf.DUMMYFUNCTION("""COMPUTED_VALUE"""),1.0096)</f>
        <v>1.0096000000000001</v>
      </c>
      <c r="L690" s="143" t="str">
        <f ca="1"/>
        <v>Wiris Variasi</v>
      </c>
      <c r="M690" s="127"/>
      <c r="N690" s="127"/>
      <c r="O690" s="127"/>
      <c r="P690" s="127"/>
      <c r="Q690" s="127"/>
      <c r="R690" s="127"/>
      <c r="S690" s="127"/>
      <c r="T690" s="127"/>
      <c r="U690" s="127"/>
      <c r="V690" s="127"/>
      <c r="W690" s="127"/>
      <c r="X690" s="127"/>
      <c r="Y690" s="127"/>
      <c r="Z690" s="127"/>
      <c r="AA690" s="127"/>
    </row>
    <row r="691" spans="1:27">
      <c r="A691" s="127">
        <f ca="1">IFERROR(__xludf.DUMMYFUNCTION("""COMPUTED_VALUE"""),766589657993298)</f>
        <v>766589657993298</v>
      </c>
      <c r="B691" s="127" t="str">
        <f ca="1">IFERROR(__xludf.DUMMYFUNCTION("""COMPUTED_VALUE"""),"120232238423920235")</f>
        <v>120232238423920235</v>
      </c>
      <c r="C691" s="127" t="str">
        <f ca="1">IFERROR(__xludf.DUMMYFUNCTION("""COMPUTED_VALUE"""),"WD FURNITURE")</f>
        <v>WD FURNITURE</v>
      </c>
      <c r="D691" s="138" t="str">
        <f ca="1">IFERROR(__xludf.DUMMYFUNCTION("""COMPUTED_VALUE"""),"https://wa.me/6289630527354")</f>
        <v>https://wa.me/6289630527354</v>
      </c>
      <c r="E691" s="139" t="str">
        <f ca="1">IFERROR(__xludf.DUMMYFUNCTION("""COMPUTED_VALUE"""),"6289630527354")</f>
        <v>6289630527354</v>
      </c>
      <c r="F691" s="139">
        <f ca="1">IFERROR(__xludf.DUMMYFUNCTION("""COMPUTED_VALUE"""),212)</f>
        <v>212</v>
      </c>
      <c r="G691" s="139">
        <f ca="1">IFERROR(__xludf.DUMMYFUNCTION("""COMPUTED_VALUE"""),58546)</f>
        <v>58546</v>
      </c>
      <c r="H691" s="139">
        <f ca="1">IFERROR(__xludf.DUMMYFUNCTION("""COMPUTED_VALUE"""),0)</f>
        <v>0</v>
      </c>
      <c r="I691" s="140">
        <f ca="1">IFERROR(__xludf.DUMMYFUNCTION("""COMPUTED_VALUE"""),15222)</f>
        <v>15222</v>
      </c>
      <c r="J691" s="141"/>
      <c r="K691" s="142">
        <f ca="1">IFERROR(__xludf.DUMMYFUNCTION("""COMPUTED_VALUE"""),1.0148)</f>
        <v>1.0147999999999999</v>
      </c>
      <c r="L691" s="143" t="str">
        <f ca="1"/>
        <v>Wiris Variasi</v>
      </c>
      <c r="M691" s="127"/>
      <c r="N691" s="127"/>
      <c r="O691" s="127"/>
      <c r="P691" s="127"/>
      <c r="Q691" s="127"/>
      <c r="R691" s="127"/>
      <c r="S691" s="127"/>
      <c r="T691" s="127"/>
      <c r="U691" s="127"/>
      <c r="V691" s="127"/>
      <c r="W691" s="127"/>
      <c r="X691" s="127"/>
      <c r="Y691" s="127"/>
      <c r="Z691" s="127"/>
      <c r="AA691" s="127"/>
    </row>
    <row r="692" spans="1:27">
      <c r="A692" s="127">
        <f ca="1">IFERROR(__xludf.DUMMYFUNCTION("""COMPUTED_VALUE"""),766589657993298)</f>
        <v>766589657993298</v>
      </c>
      <c r="B692" s="127" t="str">
        <f ca="1">IFERROR(__xludf.DUMMYFUNCTION("""COMPUTED_VALUE"""),"120232238598290235")</f>
        <v>120232238598290235</v>
      </c>
      <c r="C692" s="127" t="str">
        <f ca="1">IFERROR(__xludf.DUMMYFUNCTION("""COMPUTED_VALUE"""),"gallery interiors")</f>
        <v>gallery interiors</v>
      </c>
      <c r="D692" s="138" t="str">
        <f ca="1">IFERROR(__xludf.DUMMYFUNCTION("""COMPUTED_VALUE"""),"https://wa.me/628970060010")</f>
        <v>https://wa.me/628970060010</v>
      </c>
      <c r="E692" s="139" t="str">
        <f ca="1">IFERROR(__xludf.DUMMYFUNCTION("""COMPUTED_VALUE"""),"628970060010")</f>
        <v>628970060010</v>
      </c>
      <c r="F692" s="139">
        <f ca="1">IFERROR(__xludf.DUMMYFUNCTION("""COMPUTED_VALUE"""),390)</f>
        <v>390</v>
      </c>
      <c r="G692" s="139">
        <f ca="1">IFERROR(__xludf.DUMMYFUNCTION("""COMPUTED_VALUE"""),36894)</f>
        <v>36894</v>
      </c>
      <c r="H692" s="139">
        <f ca="1">IFERROR(__xludf.DUMMYFUNCTION("""COMPUTED_VALUE"""),2)</f>
        <v>2</v>
      </c>
      <c r="I692" s="140">
        <f ca="1">IFERROR(__xludf.DUMMYFUNCTION("""COMPUTED_VALUE"""),15938)</f>
        <v>15938</v>
      </c>
      <c r="J692" s="141">
        <f ca="1">IFERROR(__xludf.DUMMYFUNCTION("""COMPUTED_VALUE"""),7969)</f>
        <v>7969</v>
      </c>
      <c r="K692" s="142">
        <f ca="1">IFERROR(__xludf.DUMMYFUNCTION("""COMPUTED_VALUE"""),1.06253333333333)</f>
        <v>1.06253333333333</v>
      </c>
      <c r="L692" s="143" t="str">
        <f ca="1"/>
        <v>Wiris Variasi</v>
      </c>
      <c r="M692" s="127"/>
      <c r="N692" s="127"/>
      <c r="O692" s="127"/>
      <c r="P692" s="127"/>
      <c r="Q692" s="127"/>
      <c r="R692" s="127"/>
      <c r="S692" s="127"/>
      <c r="T692" s="127"/>
      <c r="U692" s="127"/>
      <c r="V692" s="127"/>
      <c r="W692" s="127"/>
      <c r="X692" s="127"/>
      <c r="Y692" s="127"/>
      <c r="Z692" s="127"/>
      <c r="AA692" s="127"/>
    </row>
    <row r="693" spans="1:27">
      <c r="A693" s="127">
        <f ca="1">IFERROR(__xludf.DUMMYFUNCTION("""COMPUTED_VALUE"""),766589657993298)</f>
        <v>766589657993298</v>
      </c>
      <c r="B693" s="127" t="str">
        <f ca="1">IFERROR(__xludf.DUMMYFUNCTION("""COMPUTED_VALUE"""),"120232304884750235")</f>
        <v>120232304884750235</v>
      </c>
      <c r="C693" s="127" t="str">
        <f ca="1">IFERROR(__xludf.DUMMYFUNCTION("""COMPUTED_VALUE"""),"Fiberglass")</f>
        <v>Fiberglass</v>
      </c>
      <c r="D693" s="138" t="str">
        <f ca="1">IFERROR(__xludf.DUMMYFUNCTION("""COMPUTED_VALUE"""),"https://wa.me/6289508681093")</f>
        <v>https://wa.me/6289508681093</v>
      </c>
      <c r="E693" s="139" t="str">
        <f ca="1">IFERROR(__xludf.DUMMYFUNCTION("""COMPUTED_VALUE"""),"6289508681093")</f>
        <v>6289508681093</v>
      </c>
      <c r="F693" s="139">
        <f ca="1">IFERROR(__xludf.DUMMYFUNCTION("""COMPUTED_VALUE"""),474)</f>
        <v>474</v>
      </c>
      <c r="G693" s="139">
        <f ca="1">IFERROR(__xludf.DUMMYFUNCTION("""COMPUTED_VALUE"""),32546)</f>
        <v>32546</v>
      </c>
      <c r="H693" s="139">
        <f ca="1">IFERROR(__xludf.DUMMYFUNCTION("""COMPUTED_VALUE"""),1)</f>
        <v>1</v>
      </c>
      <c r="I693" s="140">
        <f ca="1">IFERROR(__xludf.DUMMYFUNCTION("""COMPUTED_VALUE"""),15427)</f>
        <v>15427</v>
      </c>
      <c r="J693" s="141">
        <f ca="1">IFERROR(__xludf.DUMMYFUNCTION("""COMPUTED_VALUE"""),15427)</f>
        <v>15427</v>
      </c>
      <c r="K693" s="142">
        <f ca="1">IFERROR(__xludf.DUMMYFUNCTION("""COMPUTED_VALUE"""),1.02846666666666)</f>
        <v>1.02846666666666</v>
      </c>
      <c r="L693" s="143" t="str">
        <f ca="1"/>
        <v>Wiris Variasi</v>
      </c>
      <c r="M693" s="127"/>
      <c r="N693" s="127"/>
      <c r="O693" s="127"/>
      <c r="P693" s="127"/>
      <c r="Q693" s="127"/>
      <c r="R693" s="127"/>
      <c r="S693" s="127"/>
      <c r="T693" s="127"/>
      <c r="U693" s="127"/>
      <c r="V693" s="127"/>
      <c r="W693" s="127"/>
      <c r="X693" s="127"/>
      <c r="Y693" s="127"/>
      <c r="Z693" s="127"/>
      <c r="AA693" s="127"/>
    </row>
    <row r="694" spans="1:27">
      <c r="A694" s="127">
        <f ca="1">IFERROR(__xludf.DUMMYFUNCTION("""COMPUTED_VALUE"""),766589657993298)</f>
        <v>766589657993298</v>
      </c>
      <c r="B694" s="127" t="str">
        <f ca="1">IFERROR(__xludf.DUMMYFUNCTION("""COMPUTED_VALUE"""),"120232599183480235")</f>
        <v>120232599183480235</v>
      </c>
      <c r="C694" s="127" t="str">
        <f ca="1">IFERROR(__xludf.DUMMYFUNCTION("""COMPUTED_VALUE"""),"Karya Mandiri")</f>
        <v>Karya Mandiri</v>
      </c>
      <c r="D694" s="138" t="str">
        <f ca="1">IFERROR(__xludf.DUMMYFUNCTION("""COMPUTED_VALUE"""),"https://wa.me/6285225512004")</f>
        <v>https://wa.me/6285225512004</v>
      </c>
      <c r="E694" s="139" t="str">
        <f ca="1">IFERROR(__xludf.DUMMYFUNCTION("""COMPUTED_VALUE"""),"6285225512004")</f>
        <v>6285225512004</v>
      </c>
      <c r="F694" s="139">
        <f ca="1">IFERROR(__xludf.DUMMYFUNCTION("""COMPUTED_VALUE"""),580)</f>
        <v>580</v>
      </c>
      <c r="G694" s="139">
        <f ca="1">IFERROR(__xludf.DUMMYFUNCTION("""COMPUTED_VALUE"""),23410)</f>
        <v>23410</v>
      </c>
      <c r="H694" s="139">
        <f ca="1">IFERROR(__xludf.DUMMYFUNCTION("""COMPUTED_VALUE"""),2)</f>
        <v>2</v>
      </c>
      <c r="I694" s="140">
        <f ca="1">IFERROR(__xludf.DUMMYFUNCTION("""COMPUTED_VALUE"""),15427)</f>
        <v>15427</v>
      </c>
      <c r="J694" s="141">
        <f ca="1">IFERROR(__xludf.DUMMYFUNCTION("""COMPUTED_VALUE"""),7713.5)</f>
        <v>7713.5</v>
      </c>
      <c r="K694" s="142">
        <f ca="1">IFERROR(__xludf.DUMMYFUNCTION("""COMPUTED_VALUE"""),1.02846666666666)</f>
        <v>1.02846666666666</v>
      </c>
      <c r="L694" s="143" t="str">
        <f ca="1"/>
        <v>Wiris Variasi</v>
      </c>
      <c r="M694" s="127"/>
      <c r="N694" s="127"/>
      <c r="O694" s="127"/>
      <c r="P694" s="127"/>
      <c r="Q694" s="127"/>
      <c r="R694" s="127"/>
      <c r="S694" s="127"/>
      <c r="T694" s="127"/>
      <c r="U694" s="127"/>
      <c r="V694" s="127"/>
      <c r="W694" s="127"/>
      <c r="X694" s="127"/>
      <c r="Y694" s="127"/>
      <c r="Z694" s="127"/>
      <c r="AA694" s="127"/>
    </row>
    <row r="695" spans="1:27">
      <c r="A695" s="127">
        <f ca="1">IFERROR(__xludf.DUMMYFUNCTION("""COMPUTED_VALUE"""),766589657993298)</f>
        <v>766589657993298</v>
      </c>
      <c r="B695" s="127" t="str">
        <f ca="1">IFERROR(__xludf.DUMMYFUNCTION("""COMPUTED_VALUE"""),"120232600848910235")</f>
        <v>120232600848910235</v>
      </c>
      <c r="C695" s="127" t="str">
        <f ca="1">IFERROR(__xludf.DUMMYFUNCTION("""COMPUTED_VALUE"""),"CV. Arthamas")</f>
        <v>CV. Arthamas</v>
      </c>
      <c r="D695" s="138" t="str">
        <f ca="1">IFERROR(__xludf.DUMMYFUNCTION("""COMPUTED_VALUE"""),"https://wa.me/6281328881949")</f>
        <v>https://wa.me/6281328881949</v>
      </c>
      <c r="E695" s="139" t="str">
        <f ca="1">IFERROR(__xludf.DUMMYFUNCTION("""COMPUTED_VALUE"""),"6281328881949")</f>
        <v>6281328881949</v>
      </c>
      <c r="F695" s="139">
        <f ca="1">IFERROR(__xludf.DUMMYFUNCTION("""COMPUTED_VALUE"""),1818)</f>
        <v>1818</v>
      </c>
      <c r="G695" s="139">
        <f ca="1">IFERROR(__xludf.DUMMYFUNCTION("""COMPUTED_VALUE"""),8309)</f>
        <v>8309</v>
      </c>
      <c r="H695" s="139">
        <f ca="1">IFERROR(__xludf.DUMMYFUNCTION("""COMPUTED_VALUE"""),4)</f>
        <v>4</v>
      </c>
      <c r="I695" s="140">
        <f ca="1">IFERROR(__xludf.DUMMYFUNCTION("""COMPUTED_VALUE"""),16710)</f>
        <v>16710</v>
      </c>
      <c r="J695" s="141">
        <f ca="1">IFERROR(__xludf.DUMMYFUNCTION("""COMPUTED_VALUE"""),4177.5)</f>
        <v>4177.5</v>
      </c>
      <c r="K695" s="142">
        <f ca="1">IFERROR(__xludf.DUMMYFUNCTION("""COMPUTED_VALUE"""),1.114)</f>
        <v>1.1140000000000001</v>
      </c>
      <c r="L695" s="143" t="str">
        <f ca="1"/>
        <v>Wiris Variasi</v>
      </c>
      <c r="M695" s="127"/>
      <c r="N695" s="127"/>
      <c r="O695" s="127"/>
      <c r="P695" s="127"/>
      <c r="Q695" s="127"/>
      <c r="R695" s="127"/>
      <c r="S695" s="127"/>
      <c r="T695" s="127"/>
      <c r="U695" s="127"/>
      <c r="V695" s="127"/>
      <c r="W695" s="127"/>
      <c r="X695" s="127"/>
      <c r="Y695" s="127"/>
      <c r="Z695" s="127"/>
      <c r="AA695" s="127"/>
    </row>
    <row r="696" spans="1:27">
      <c r="A696" s="127">
        <f ca="1">IFERROR(__xludf.DUMMYFUNCTION("""COMPUTED_VALUE"""),766589657993298)</f>
        <v>766589657993298</v>
      </c>
      <c r="B696" s="127" t="str">
        <f ca="1">IFERROR(__xludf.DUMMYFUNCTION("""COMPUTED_VALUE"""),"120232606675200235")</f>
        <v>120232606675200235</v>
      </c>
      <c r="C696" s="127" t="str">
        <f ca="1">IFERROR(__xludf.DUMMYFUNCTION("""COMPUTED_VALUE"""),"Satria Jaya")</f>
        <v>Satria Jaya</v>
      </c>
      <c r="D696" s="138" t="str">
        <f ca="1">IFERROR(__xludf.DUMMYFUNCTION("""COMPUTED_VALUE"""),"https://wa.me/6281283204192")</f>
        <v>https://wa.me/6281283204192</v>
      </c>
      <c r="E696" s="139" t="str">
        <f ca="1">IFERROR(__xludf.DUMMYFUNCTION("""COMPUTED_VALUE"""),"6281283204192")</f>
        <v>6281283204192</v>
      </c>
      <c r="F696" s="139">
        <f ca="1">IFERROR(__xludf.DUMMYFUNCTION("""COMPUTED_VALUE"""),843)</f>
        <v>843</v>
      </c>
      <c r="G696" s="139">
        <f ca="1">IFERROR(__xludf.DUMMYFUNCTION("""COMPUTED_VALUE"""),17320)</f>
        <v>17320</v>
      </c>
      <c r="H696" s="139">
        <f ca="1">IFERROR(__xludf.DUMMYFUNCTION("""COMPUTED_VALUE"""),4)</f>
        <v>4</v>
      </c>
      <c r="I696" s="140">
        <f ca="1">IFERROR(__xludf.DUMMYFUNCTION("""COMPUTED_VALUE"""),15657)</f>
        <v>15657</v>
      </c>
      <c r="J696" s="141">
        <f ca="1">IFERROR(__xludf.DUMMYFUNCTION("""COMPUTED_VALUE"""),3914.25)</f>
        <v>3914.25</v>
      </c>
      <c r="K696" s="142">
        <f ca="1">IFERROR(__xludf.DUMMYFUNCTION("""COMPUTED_VALUE"""),1.0438)</f>
        <v>1.0438000000000001</v>
      </c>
      <c r="L696" s="143" t="str">
        <f ca="1"/>
        <v>Wiris Variasi</v>
      </c>
      <c r="M696" s="127"/>
      <c r="N696" s="127"/>
      <c r="O696" s="127"/>
      <c r="P696" s="127"/>
      <c r="Q696" s="127"/>
      <c r="R696" s="127"/>
      <c r="S696" s="127"/>
      <c r="T696" s="127"/>
      <c r="U696" s="127"/>
      <c r="V696" s="127"/>
      <c r="W696" s="127"/>
      <c r="X696" s="127"/>
      <c r="Y696" s="127"/>
      <c r="Z696" s="127"/>
      <c r="AA696" s="127"/>
    </row>
    <row r="697" spans="1:27">
      <c r="A697" s="127">
        <f ca="1">IFERROR(__xludf.DUMMYFUNCTION("""COMPUTED_VALUE"""),766589657993298)</f>
        <v>766589657993298</v>
      </c>
      <c r="B697" s="127" t="str">
        <f ca="1">IFERROR(__xludf.DUMMYFUNCTION("""COMPUTED_VALUE"""),"120232610636700235")</f>
        <v>120232610636700235</v>
      </c>
      <c r="C697" s="127" t="str">
        <f ca="1">IFERROR(__xludf.DUMMYFUNCTION("""COMPUTED_VALUE"""),"Dearhouse")</f>
        <v>Dearhouse</v>
      </c>
      <c r="D697" s="138" t="str">
        <f ca="1">IFERROR(__xludf.DUMMYFUNCTION("""COMPUTED_VALUE"""),"https://wa.me/6287778562681")</f>
        <v>https://wa.me/6287778562681</v>
      </c>
      <c r="E697" s="139" t="str">
        <f ca="1">IFERROR(__xludf.DUMMYFUNCTION("""COMPUTED_VALUE"""),"6287778562681")</f>
        <v>6287778562681</v>
      </c>
      <c r="F697" s="139">
        <f ca="1">IFERROR(__xludf.DUMMYFUNCTION("""COMPUTED_VALUE"""),417)</f>
        <v>417</v>
      </c>
      <c r="G697" s="139">
        <f ca="1">IFERROR(__xludf.DUMMYFUNCTION("""COMPUTED_VALUE"""),34210)</f>
        <v>34210</v>
      </c>
      <c r="H697" s="139">
        <f ca="1">IFERROR(__xludf.DUMMYFUNCTION("""COMPUTED_VALUE"""),1)</f>
        <v>1</v>
      </c>
      <c r="I697" s="140">
        <f ca="1">IFERROR(__xludf.DUMMYFUNCTION("""COMPUTED_VALUE"""),16797)</f>
        <v>16797</v>
      </c>
      <c r="J697" s="141">
        <f ca="1">IFERROR(__xludf.DUMMYFUNCTION("""COMPUTED_VALUE"""),16797)</f>
        <v>16797</v>
      </c>
      <c r="K697" s="142">
        <f ca="1">IFERROR(__xludf.DUMMYFUNCTION("""COMPUTED_VALUE"""),1.1198)</f>
        <v>1.1197999999999999</v>
      </c>
      <c r="L697" s="143" t="str">
        <f ca="1"/>
        <v>Wiris Variasi</v>
      </c>
      <c r="M697" s="127"/>
      <c r="N697" s="127"/>
      <c r="O697" s="127"/>
      <c r="P697" s="127"/>
      <c r="Q697" s="127"/>
      <c r="R697" s="127"/>
      <c r="S697" s="127"/>
      <c r="T697" s="127"/>
      <c r="U697" s="127"/>
      <c r="V697" s="127"/>
      <c r="W697" s="127"/>
      <c r="X697" s="127"/>
      <c r="Y697" s="127"/>
      <c r="Z697" s="127"/>
      <c r="AA697" s="127"/>
    </row>
    <row r="698" spans="1:27">
      <c r="A698" s="127">
        <f ca="1">IFERROR(__xludf.DUMMYFUNCTION("""COMPUTED_VALUE"""),766589657993298)</f>
        <v>766589657993298</v>
      </c>
      <c r="B698" s="127" t="str">
        <f ca="1">IFERROR(__xludf.DUMMYFUNCTION("""COMPUTED_VALUE"""),"120232739904620235")</f>
        <v>120232739904620235</v>
      </c>
      <c r="C698" s="127" t="str">
        <f ca="1">IFERROR(__xludf.DUMMYFUNCTION("""COMPUTED_VALUE"""),"MUB Pangkalanbun")</f>
        <v>MUB Pangkalanbun</v>
      </c>
      <c r="D698" s="138" t="str">
        <f ca="1">IFERROR(__xludf.DUMMYFUNCTION("""COMPUTED_VALUE"""),"https://wa.me/6281351572278")</f>
        <v>https://wa.me/6281351572278</v>
      </c>
      <c r="E698" s="139" t="str">
        <f ca="1">IFERROR(__xludf.DUMMYFUNCTION("""COMPUTED_VALUE"""),"6281351572278")</f>
        <v>6281351572278</v>
      </c>
      <c r="F698" s="139">
        <f ca="1">IFERROR(__xludf.DUMMYFUNCTION("""COMPUTED_VALUE"""),506)</f>
        <v>506</v>
      </c>
      <c r="G698" s="139">
        <f ca="1">IFERROR(__xludf.DUMMYFUNCTION("""COMPUTED_VALUE"""),28943)</f>
        <v>28943</v>
      </c>
      <c r="H698" s="139">
        <f ca="1">IFERROR(__xludf.DUMMYFUNCTION("""COMPUTED_VALUE"""),0)</f>
        <v>0</v>
      </c>
      <c r="I698" s="140">
        <f ca="1">IFERROR(__xludf.DUMMYFUNCTION("""COMPUTED_VALUE"""),17134)</f>
        <v>17134</v>
      </c>
      <c r="J698" s="141"/>
      <c r="K698" s="142">
        <f ca="1">IFERROR(__xludf.DUMMYFUNCTION("""COMPUTED_VALUE"""),1.14226666666666)</f>
        <v>1.1422666666666601</v>
      </c>
      <c r="L698" s="143" t="str">
        <f ca="1"/>
        <v>Wiris Variasi</v>
      </c>
      <c r="M698" s="127"/>
      <c r="N698" s="127"/>
      <c r="O698" s="127"/>
      <c r="P698" s="127"/>
      <c r="Q698" s="127"/>
      <c r="R698" s="127"/>
      <c r="S698" s="127"/>
      <c r="T698" s="127"/>
      <c r="U698" s="127"/>
      <c r="V698" s="127"/>
      <c r="W698" s="127"/>
      <c r="X698" s="127"/>
      <c r="Y698" s="127"/>
      <c r="Z698" s="127"/>
      <c r="AA698" s="127"/>
    </row>
    <row r="699" spans="1:27">
      <c r="A699" s="127">
        <f ca="1">IFERROR(__xludf.DUMMYFUNCTION("""COMPUTED_VALUE"""),766589657993298)</f>
        <v>766589657993298</v>
      </c>
      <c r="B699" s="127" t="str">
        <f ca="1">IFERROR(__xludf.DUMMYFUNCTION("""COMPUTED_VALUE"""),"120232811191080235")</f>
        <v>120232811191080235</v>
      </c>
      <c r="C699" s="127" t="str">
        <f ca="1">IFERROR(__xludf.DUMMYFUNCTION("""COMPUTED_VALUE"""),"Jasa kontruksi")</f>
        <v>Jasa kontruksi</v>
      </c>
      <c r="D699" s="138" t="str">
        <f ca="1">IFERROR(__xludf.DUMMYFUNCTION("""COMPUTED_VALUE"""),"https://wa.me/6281543128320")</f>
        <v>https://wa.me/6281543128320</v>
      </c>
      <c r="E699" s="139" t="str">
        <f ca="1">IFERROR(__xludf.DUMMYFUNCTION("""COMPUTED_VALUE"""),"6281543128320")</f>
        <v>6281543128320</v>
      </c>
      <c r="F699" s="139">
        <f ca="1">IFERROR(__xludf.DUMMYFUNCTION("""COMPUTED_VALUE"""),2130)</f>
        <v>2130</v>
      </c>
      <c r="G699" s="139">
        <f ca="1">IFERROR(__xludf.DUMMYFUNCTION("""COMPUTED_VALUE"""),7594)</f>
        <v>7594</v>
      </c>
      <c r="H699" s="139">
        <f ca="1">IFERROR(__xludf.DUMMYFUNCTION("""COMPUTED_VALUE"""),5)</f>
        <v>5</v>
      </c>
      <c r="I699" s="140">
        <f ca="1">IFERROR(__xludf.DUMMYFUNCTION("""COMPUTED_VALUE"""),17186)</f>
        <v>17186</v>
      </c>
      <c r="J699" s="141">
        <f ca="1">IFERROR(__xludf.DUMMYFUNCTION("""COMPUTED_VALUE"""),3437.2)</f>
        <v>3437.2</v>
      </c>
      <c r="K699" s="142">
        <f ca="1">IFERROR(__xludf.DUMMYFUNCTION("""COMPUTED_VALUE"""),1.14573333333333)</f>
        <v>1.1457333333333299</v>
      </c>
      <c r="L699" s="143" t="str">
        <f ca="1"/>
        <v>Wiris Variasi</v>
      </c>
      <c r="M699" s="127"/>
      <c r="N699" s="127"/>
      <c r="O699" s="127"/>
      <c r="P699" s="127"/>
      <c r="Q699" s="127"/>
      <c r="R699" s="127"/>
      <c r="S699" s="127"/>
      <c r="T699" s="127"/>
      <c r="U699" s="127"/>
      <c r="V699" s="127"/>
      <c r="W699" s="127"/>
      <c r="X699" s="127"/>
      <c r="Y699" s="127"/>
      <c r="Z699" s="127"/>
      <c r="AA699" s="127"/>
    </row>
    <row r="700" spans="1:27">
      <c r="A700" s="127">
        <f ca="1">IFERROR(__xludf.DUMMYFUNCTION("""COMPUTED_VALUE"""),766589657993298)</f>
        <v>766589657993298</v>
      </c>
      <c r="B700" s="127" t="str">
        <f ca="1">IFERROR(__xludf.DUMMYFUNCTION("""COMPUTED_VALUE"""),"120232811430490235")</f>
        <v>120232811430490235</v>
      </c>
      <c r="C700" s="143" t="str">
        <f ca="1">IFERROR(__xludf.DUMMYFUNCTION("""COMPUTED_VALUE"""),"Primagriya.com")</f>
        <v>Primagriya.com</v>
      </c>
      <c r="D700" s="138" t="str">
        <f ca="1">IFERROR(__xludf.DUMMYFUNCTION("""COMPUTED_VALUE"""),"https://wa.me/6281239874761")</f>
        <v>https://wa.me/6281239874761</v>
      </c>
      <c r="E700" s="139" t="str">
        <f ca="1">IFERROR(__xludf.DUMMYFUNCTION("""COMPUTED_VALUE"""),"6281239874761")</f>
        <v>6281239874761</v>
      </c>
      <c r="F700" s="139">
        <f ca="1">IFERROR(__xludf.DUMMYFUNCTION("""COMPUTED_VALUE"""),374)</f>
        <v>374</v>
      </c>
      <c r="G700" s="139">
        <f ca="1">IFERROR(__xludf.DUMMYFUNCTION("""COMPUTED_VALUE"""),35619)</f>
        <v>35619</v>
      </c>
      <c r="H700" s="139">
        <f ca="1">IFERROR(__xludf.DUMMYFUNCTION("""COMPUTED_VALUE"""),1)</f>
        <v>1</v>
      </c>
      <c r="I700" s="140">
        <f ca="1">IFERROR(__xludf.DUMMYFUNCTION("""COMPUTED_VALUE"""),16278)</f>
        <v>16278</v>
      </c>
      <c r="J700" s="141">
        <f ca="1">IFERROR(__xludf.DUMMYFUNCTION("""COMPUTED_VALUE"""),16278)</f>
        <v>16278</v>
      </c>
      <c r="K700" s="142">
        <f ca="1">IFERROR(__xludf.DUMMYFUNCTION("""COMPUTED_VALUE"""),1.0852)</f>
        <v>1.0851999999999999</v>
      </c>
      <c r="L700" s="143" t="str">
        <f ca="1"/>
        <v>Wiris Variasi</v>
      </c>
      <c r="M700" s="127"/>
      <c r="N700" s="127"/>
      <c r="O700" s="127"/>
      <c r="P700" s="127"/>
      <c r="Q700" s="127"/>
      <c r="R700" s="127"/>
      <c r="S700" s="127"/>
      <c r="T700" s="127"/>
      <c r="U700" s="127"/>
      <c r="V700" s="127"/>
      <c r="W700" s="127"/>
      <c r="X700" s="127"/>
      <c r="Y700" s="127"/>
      <c r="Z700" s="127"/>
      <c r="AA700" s="127"/>
    </row>
    <row r="701" spans="1:27">
      <c r="A701" s="127">
        <f ca="1">IFERROR(__xludf.DUMMYFUNCTION("""COMPUTED_VALUE"""),766589657993298)</f>
        <v>766589657993298</v>
      </c>
      <c r="B701" s="127" t="str">
        <f ca="1">IFERROR(__xludf.DUMMYFUNCTION("""COMPUTED_VALUE"""),"120232916950590235")</f>
        <v>120232916950590235</v>
      </c>
      <c r="C701" s="127" t="str">
        <f ca="1">IFERROR(__xludf.DUMMYFUNCTION("""COMPUTED_VALUE"""),"Rapih Plafon")</f>
        <v>Rapih Plafon</v>
      </c>
      <c r="D701" s="138" t="str">
        <f ca="1">IFERROR(__xludf.DUMMYFUNCTION("""COMPUTED_VALUE"""),"https://wa.me/6281323207611")</f>
        <v>https://wa.me/6281323207611</v>
      </c>
      <c r="E701" s="139" t="str">
        <f ca="1">IFERROR(__xludf.DUMMYFUNCTION("""COMPUTED_VALUE"""),"6281323207611")</f>
        <v>6281323207611</v>
      </c>
      <c r="F701" s="139">
        <f ca="1">IFERROR(__xludf.DUMMYFUNCTION("""COMPUTED_VALUE"""),551)</f>
        <v>551</v>
      </c>
      <c r="G701" s="139">
        <f ca="1">IFERROR(__xludf.DUMMYFUNCTION("""COMPUTED_VALUE"""),23605)</f>
        <v>23605</v>
      </c>
      <c r="H701" s="139">
        <f ca="1">IFERROR(__xludf.DUMMYFUNCTION("""COMPUTED_VALUE"""),0)</f>
        <v>0</v>
      </c>
      <c r="I701" s="140">
        <f ca="1">IFERROR(__xludf.DUMMYFUNCTION("""COMPUTED_VALUE"""),16028)</f>
        <v>16028</v>
      </c>
      <c r="J701" s="141"/>
      <c r="K701" s="142">
        <f ca="1">IFERROR(__xludf.DUMMYFUNCTION("""COMPUTED_VALUE"""),1.06853333333333)</f>
        <v>1.06853333333333</v>
      </c>
      <c r="L701" s="143" t="str">
        <f ca="1"/>
        <v>Wiris Variasi</v>
      </c>
      <c r="M701" s="127"/>
      <c r="N701" s="127"/>
      <c r="O701" s="127"/>
      <c r="P701" s="127"/>
      <c r="Q701" s="127"/>
      <c r="R701" s="127"/>
      <c r="S701" s="127"/>
      <c r="T701" s="127"/>
      <c r="U701" s="127"/>
      <c r="V701" s="127"/>
      <c r="W701" s="127"/>
      <c r="X701" s="127"/>
      <c r="Y701" s="127"/>
      <c r="Z701" s="127"/>
      <c r="AA701" s="127"/>
    </row>
    <row r="702" spans="1:27">
      <c r="A702" s="127">
        <f ca="1">IFERROR(__xludf.DUMMYFUNCTION("""COMPUTED_VALUE"""),766589657993298)</f>
        <v>766589657993298</v>
      </c>
      <c r="B702" s="127" t="str">
        <f ca="1">IFERROR(__xludf.DUMMYFUNCTION("""COMPUTED_VALUE"""),"120232928017890235")</f>
        <v>120232928017890235</v>
      </c>
      <c r="C702" s="127" t="str">
        <f ca="1">IFERROR(__xludf.DUMMYFUNCTION("""COMPUTED_VALUE"""),"YUCA SIDO")</f>
        <v>YUCA SIDO</v>
      </c>
      <c r="D702" s="138" t="str">
        <f ca="1">IFERROR(__xludf.DUMMYFUNCTION("""COMPUTED_VALUE"""),"https://wa.me/6282399721881")</f>
        <v>https://wa.me/6282399721881</v>
      </c>
      <c r="E702" s="139" t="str">
        <f ca="1">IFERROR(__xludf.DUMMYFUNCTION("""COMPUTED_VALUE"""),"6282399721881")</f>
        <v>6282399721881</v>
      </c>
      <c r="F702" s="139">
        <f ca="1">IFERROR(__xludf.DUMMYFUNCTION("""COMPUTED_VALUE"""),3196)</f>
        <v>3196</v>
      </c>
      <c r="G702" s="139">
        <f ca="1">IFERROR(__xludf.DUMMYFUNCTION("""COMPUTED_VALUE"""),4705)</f>
        <v>4705</v>
      </c>
      <c r="H702" s="139">
        <f ca="1">IFERROR(__xludf.DUMMYFUNCTION("""COMPUTED_VALUE"""),14)</f>
        <v>14</v>
      </c>
      <c r="I702" s="140">
        <f ca="1">IFERROR(__xludf.DUMMYFUNCTION("""COMPUTED_VALUE"""),16017)</f>
        <v>16017</v>
      </c>
      <c r="J702" s="141">
        <f ca="1">IFERROR(__xludf.DUMMYFUNCTION("""COMPUTED_VALUE"""),1144.07142857142)</f>
        <v>1144.07142857142</v>
      </c>
      <c r="K702" s="142">
        <f ca="1">IFERROR(__xludf.DUMMYFUNCTION("""COMPUTED_VALUE"""),1.0678)</f>
        <v>1.0678000000000001</v>
      </c>
      <c r="L702" s="143" t="str">
        <f ca="1"/>
        <v>Wiris Variasi</v>
      </c>
      <c r="M702" s="127"/>
      <c r="N702" s="127"/>
      <c r="O702" s="127"/>
      <c r="P702" s="127"/>
      <c r="Q702" s="127"/>
      <c r="R702" s="127"/>
      <c r="S702" s="127"/>
      <c r="T702" s="127"/>
      <c r="U702" s="127"/>
      <c r="V702" s="127"/>
      <c r="W702" s="127"/>
      <c r="X702" s="127"/>
      <c r="Y702" s="127"/>
      <c r="Z702" s="127"/>
      <c r="AA702" s="127"/>
    </row>
    <row r="703" spans="1:27">
      <c r="A703" s="127">
        <f ca="1">IFERROR(__xludf.DUMMYFUNCTION("""COMPUTED_VALUE"""),766589657993298)</f>
        <v>766589657993298</v>
      </c>
      <c r="B703" s="127" t="str">
        <f ca="1">IFERROR(__xludf.DUMMYFUNCTION("""COMPUTED_VALUE"""),"120232953213670235")</f>
        <v>120232953213670235</v>
      </c>
      <c r="C703" s="127" t="str">
        <f ca="1">IFERROR(__xludf.DUMMYFUNCTION("""COMPUTED_VALUE"""),"Dicta Design")</f>
        <v>Dicta Design</v>
      </c>
      <c r="D703" s="138" t="str">
        <f ca="1">IFERROR(__xludf.DUMMYFUNCTION("""COMPUTED_VALUE"""),"https://wa.me/6282318568540")</f>
        <v>https://wa.me/6282318568540</v>
      </c>
      <c r="E703" s="139" t="str">
        <f ca="1">IFERROR(__xludf.DUMMYFUNCTION("""COMPUTED_VALUE"""),"6282318568540")</f>
        <v>6282318568540</v>
      </c>
      <c r="F703" s="139">
        <f ca="1">IFERROR(__xludf.DUMMYFUNCTION("""COMPUTED_VALUE"""),599)</f>
        <v>599</v>
      </c>
      <c r="G703" s="139">
        <f ca="1">IFERROR(__xludf.DUMMYFUNCTION("""COMPUTED_VALUE"""),25703)</f>
        <v>25703</v>
      </c>
      <c r="H703" s="139">
        <f ca="1">IFERROR(__xludf.DUMMYFUNCTION("""COMPUTED_VALUE"""),1)</f>
        <v>1</v>
      </c>
      <c r="I703" s="140">
        <f ca="1">IFERROR(__xludf.DUMMYFUNCTION("""COMPUTED_VALUE"""),16964)</f>
        <v>16964</v>
      </c>
      <c r="J703" s="141">
        <f ca="1">IFERROR(__xludf.DUMMYFUNCTION("""COMPUTED_VALUE"""),16964)</f>
        <v>16964</v>
      </c>
      <c r="K703" s="142">
        <f ca="1">IFERROR(__xludf.DUMMYFUNCTION("""COMPUTED_VALUE"""),1.13093333333333)</f>
        <v>1.13093333333333</v>
      </c>
      <c r="L703" s="143" t="str">
        <f ca="1"/>
        <v>Wiris Variasi</v>
      </c>
      <c r="M703" s="127"/>
      <c r="N703" s="127"/>
      <c r="O703" s="127"/>
      <c r="P703" s="127"/>
      <c r="Q703" s="127"/>
      <c r="R703" s="127"/>
      <c r="S703" s="127"/>
      <c r="T703" s="127"/>
      <c r="U703" s="127"/>
      <c r="V703" s="127"/>
      <c r="W703" s="127"/>
      <c r="X703" s="127"/>
      <c r="Y703" s="127"/>
      <c r="Z703" s="127"/>
      <c r="AA703" s="127"/>
    </row>
    <row r="704" spans="1:27">
      <c r="A704" s="127">
        <f ca="1">IFERROR(__xludf.DUMMYFUNCTION("""COMPUTED_VALUE"""),766589657993298)</f>
        <v>766589657993298</v>
      </c>
      <c r="B704" s="127" t="str">
        <f ca="1">IFERROR(__xludf.DUMMYFUNCTION("""COMPUTED_VALUE"""),"120232953632150235")</f>
        <v>120232953632150235</v>
      </c>
      <c r="C704" s="127" t="str">
        <f ca="1">IFERROR(__xludf.DUMMYFUNCTION("""COMPUTED_VALUE"""),"MEGAH PLAFON")</f>
        <v>MEGAH PLAFON</v>
      </c>
      <c r="D704" s="138" t="str">
        <f ca="1">IFERROR(__xludf.DUMMYFUNCTION("""COMPUTED_VALUE"""),"https://wa.me/6281323291817")</f>
        <v>https://wa.me/6281323291817</v>
      </c>
      <c r="E704" s="139" t="str">
        <f ca="1">IFERROR(__xludf.DUMMYFUNCTION("""COMPUTED_VALUE"""),"6281323291817")</f>
        <v>6281323291817</v>
      </c>
      <c r="F704" s="139">
        <f ca="1">IFERROR(__xludf.DUMMYFUNCTION("""COMPUTED_VALUE"""),1560)</f>
        <v>1560</v>
      </c>
      <c r="G704" s="139">
        <f ca="1">IFERROR(__xludf.DUMMYFUNCTION("""COMPUTED_VALUE"""),9595)</f>
        <v>9595</v>
      </c>
      <c r="H704" s="139">
        <f ca="1">IFERROR(__xludf.DUMMYFUNCTION("""COMPUTED_VALUE"""),7)</f>
        <v>7</v>
      </c>
      <c r="I704" s="140">
        <f ca="1">IFERROR(__xludf.DUMMYFUNCTION("""COMPUTED_VALUE"""),16581)</f>
        <v>16581</v>
      </c>
      <c r="J704" s="141">
        <f ca="1">IFERROR(__xludf.DUMMYFUNCTION("""COMPUTED_VALUE"""),2368.71428571428)</f>
        <v>2368.7142857142799</v>
      </c>
      <c r="K704" s="142">
        <f ca="1">IFERROR(__xludf.DUMMYFUNCTION("""COMPUTED_VALUE"""),1.1054)</f>
        <v>1.1053999999999999</v>
      </c>
      <c r="L704" s="143" t="str">
        <f ca="1"/>
        <v>Wiris Variasi</v>
      </c>
      <c r="M704" s="127"/>
      <c r="N704" s="127"/>
      <c r="O704" s="127"/>
      <c r="P704" s="127"/>
      <c r="Q704" s="127"/>
      <c r="R704" s="127"/>
      <c r="S704" s="127"/>
      <c r="T704" s="127"/>
      <c r="U704" s="127"/>
      <c r="V704" s="127"/>
      <c r="W704" s="127"/>
      <c r="X704" s="127"/>
      <c r="Y704" s="127"/>
      <c r="Z704" s="127"/>
      <c r="AA704" s="127"/>
    </row>
    <row r="705" spans="1:27">
      <c r="A705" s="127">
        <f ca="1">IFERROR(__xludf.DUMMYFUNCTION("""COMPUTED_VALUE"""),766589657993298)</f>
        <v>766589657993298</v>
      </c>
      <c r="B705" s="127" t="str">
        <f ca="1">IFERROR(__xludf.DUMMYFUNCTION("""COMPUTED_VALUE"""),"120232956559750235")</f>
        <v>120232956559750235</v>
      </c>
      <c r="C705" s="127" t="str">
        <f ca="1">IFERROR(__xludf.DUMMYFUNCTION("""COMPUTED_VALUE"""),"CV Satria")</f>
        <v>CV Satria</v>
      </c>
      <c r="D705" s="138" t="str">
        <f ca="1">IFERROR(__xludf.DUMMYFUNCTION("""COMPUTED_VALUE"""),"https://wa.me/6283890485123")</f>
        <v>https://wa.me/6283890485123</v>
      </c>
      <c r="E705" s="139" t="str">
        <f ca="1">IFERROR(__xludf.DUMMYFUNCTION("""COMPUTED_VALUE"""),"6283890485123")</f>
        <v>6283890485123</v>
      </c>
      <c r="F705" s="139">
        <f ca="1">IFERROR(__xludf.DUMMYFUNCTION("""COMPUTED_VALUE"""),459)</f>
        <v>459</v>
      </c>
      <c r="G705" s="139">
        <f ca="1">IFERROR(__xludf.DUMMYFUNCTION("""COMPUTED_VALUE"""),30967)</f>
        <v>30967</v>
      </c>
      <c r="H705" s="139">
        <f ca="1">IFERROR(__xludf.DUMMYFUNCTION("""COMPUTED_VALUE"""),1)</f>
        <v>1</v>
      </c>
      <c r="I705" s="140">
        <f ca="1">IFERROR(__xludf.DUMMYFUNCTION("""COMPUTED_VALUE"""),15793)</f>
        <v>15793</v>
      </c>
      <c r="J705" s="141">
        <f ca="1">IFERROR(__xludf.DUMMYFUNCTION("""COMPUTED_VALUE"""),15793)</f>
        <v>15793</v>
      </c>
      <c r="K705" s="142">
        <f ca="1">IFERROR(__xludf.DUMMYFUNCTION("""COMPUTED_VALUE"""),1.05286666666666)</f>
        <v>1.05286666666666</v>
      </c>
      <c r="L705" s="143" t="str">
        <f ca="1"/>
        <v>Wiris Variasi</v>
      </c>
      <c r="M705" s="127"/>
      <c r="N705" s="127"/>
      <c r="O705" s="127"/>
      <c r="P705" s="127"/>
      <c r="Q705" s="127"/>
      <c r="R705" s="127"/>
      <c r="S705" s="127"/>
      <c r="T705" s="127"/>
      <c r="U705" s="127"/>
      <c r="V705" s="127"/>
      <c r="W705" s="127"/>
      <c r="X705" s="127"/>
      <c r="Y705" s="127"/>
      <c r="Z705" s="127"/>
      <c r="AA705" s="127"/>
    </row>
    <row r="706" spans="1:27">
      <c r="A706" s="127">
        <f ca="1">IFERROR(__xludf.DUMMYFUNCTION("""COMPUTED_VALUE"""),766589657993298)</f>
        <v>766589657993298</v>
      </c>
      <c r="B706" s="127" t="str">
        <f ca="1">IFERROR(__xludf.DUMMYFUNCTION("""COMPUTED_VALUE"""),"120232986647510235")</f>
        <v>120232986647510235</v>
      </c>
      <c r="C706" s="127" t="str">
        <f ca="1">IFERROR(__xludf.DUMMYFUNCTION("""COMPUTED_VALUE"""),"Restu buana")</f>
        <v>Restu buana</v>
      </c>
      <c r="D706" s="138" t="str">
        <f ca="1">IFERROR(__xludf.DUMMYFUNCTION("""COMPUTED_VALUE"""),"https://wa.me/6285272737979")</f>
        <v>https://wa.me/6285272737979</v>
      </c>
      <c r="E706" s="139" t="str">
        <f ca="1">IFERROR(__xludf.DUMMYFUNCTION("""COMPUTED_VALUE"""),"6285272737979")</f>
        <v>6285272737979</v>
      </c>
      <c r="F706" s="139">
        <f ca="1">IFERROR(__xludf.DUMMYFUNCTION("""COMPUTED_VALUE"""),1765)</f>
        <v>1765</v>
      </c>
      <c r="G706" s="139">
        <f ca="1">IFERROR(__xludf.DUMMYFUNCTION("""COMPUTED_VALUE"""),7833)</f>
        <v>7833</v>
      </c>
      <c r="H706" s="139">
        <f ca="1">IFERROR(__xludf.DUMMYFUNCTION("""COMPUTED_VALUE"""),6)</f>
        <v>6</v>
      </c>
      <c r="I706" s="140">
        <f ca="1">IFERROR(__xludf.DUMMYFUNCTION("""COMPUTED_VALUE"""),15642)</f>
        <v>15642</v>
      </c>
      <c r="J706" s="141">
        <f ca="1">IFERROR(__xludf.DUMMYFUNCTION("""COMPUTED_VALUE"""),2607)</f>
        <v>2607</v>
      </c>
      <c r="K706" s="142">
        <f ca="1">IFERROR(__xludf.DUMMYFUNCTION("""COMPUTED_VALUE"""),1.0428)</f>
        <v>1.0427999999999999</v>
      </c>
      <c r="L706" s="143" t="str">
        <f ca="1"/>
        <v>Wiris Variasi</v>
      </c>
      <c r="M706" s="127"/>
      <c r="N706" s="127"/>
      <c r="O706" s="127"/>
      <c r="P706" s="127"/>
      <c r="Q706" s="127"/>
      <c r="R706" s="127"/>
      <c r="S706" s="127"/>
      <c r="T706" s="127"/>
      <c r="U706" s="127"/>
      <c r="V706" s="127"/>
      <c r="W706" s="127"/>
      <c r="X706" s="127"/>
      <c r="Y706" s="127"/>
      <c r="Z706" s="127"/>
      <c r="AA706" s="127"/>
    </row>
    <row r="707" spans="1:27">
      <c r="A707" s="127">
        <f ca="1">IFERROR(__xludf.DUMMYFUNCTION("""COMPUTED_VALUE"""),766589657993298)</f>
        <v>766589657993298</v>
      </c>
      <c r="B707" s="127" t="str">
        <f ca="1">IFERROR(__xludf.DUMMYFUNCTION("""COMPUTED_VALUE"""),"120232988169650235")</f>
        <v>120232988169650235</v>
      </c>
      <c r="C707" s="127" t="str">
        <f ca="1">IFERROR(__xludf.DUMMYFUNCTION("""COMPUTED_VALUE"""),"Ranu Wijaya")</f>
        <v>Ranu Wijaya</v>
      </c>
      <c r="D707" s="138" t="str">
        <f ca="1">IFERROR(__xludf.DUMMYFUNCTION("""COMPUTED_VALUE"""),"https://wa.me/62895420142524")</f>
        <v>https://wa.me/62895420142524</v>
      </c>
      <c r="E707" s="139" t="str">
        <f ca="1">IFERROR(__xludf.DUMMYFUNCTION("""COMPUTED_VALUE"""),"62895420142524")</f>
        <v>62895420142524</v>
      </c>
      <c r="F707" s="139">
        <f ca="1">IFERROR(__xludf.DUMMYFUNCTION("""COMPUTED_VALUE"""),230)</f>
        <v>230</v>
      </c>
      <c r="G707" s="139">
        <f ca="1">IFERROR(__xludf.DUMMYFUNCTION("""COMPUTED_VALUE"""),52203)</f>
        <v>52203</v>
      </c>
      <c r="H707" s="139">
        <f ca="1">IFERROR(__xludf.DUMMYFUNCTION("""COMPUTED_VALUE"""),1)</f>
        <v>1</v>
      </c>
      <c r="I707" s="140">
        <f ca="1">IFERROR(__xludf.DUMMYFUNCTION("""COMPUTED_VALUE"""),15191)</f>
        <v>15191</v>
      </c>
      <c r="J707" s="141">
        <f ca="1">IFERROR(__xludf.DUMMYFUNCTION("""COMPUTED_VALUE"""),15191)</f>
        <v>15191</v>
      </c>
      <c r="K707" s="142">
        <f ca="1">IFERROR(__xludf.DUMMYFUNCTION("""COMPUTED_VALUE"""),1.01273333333333)</f>
        <v>1.0127333333333299</v>
      </c>
      <c r="L707" s="143" t="str">
        <f ca="1"/>
        <v>Wiris Variasi</v>
      </c>
      <c r="M707" s="127"/>
      <c r="N707" s="127"/>
      <c r="O707" s="127"/>
      <c r="P707" s="127"/>
      <c r="Q707" s="127"/>
      <c r="R707" s="127"/>
      <c r="S707" s="127"/>
      <c r="T707" s="127"/>
      <c r="U707" s="127"/>
      <c r="V707" s="127"/>
      <c r="W707" s="127"/>
      <c r="X707" s="127"/>
      <c r="Y707" s="127"/>
      <c r="Z707" s="127"/>
      <c r="AA707" s="127"/>
    </row>
    <row r="708" spans="1:27">
      <c r="A708" s="127">
        <f ca="1">IFERROR(__xludf.DUMMYFUNCTION("""COMPUTED_VALUE"""),766589657993298)</f>
        <v>766589657993298</v>
      </c>
      <c r="B708" s="127" t="str">
        <f ca="1">IFERROR(__xludf.DUMMYFUNCTION("""COMPUTED_VALUE"""),"120233003413400235")</f>
        <v>120233003413400235</v>
      </c>
      <c r="C708" s="127" t="str">
        <f ca="1">IFERROR(__xludf.DUMMYFUNCTION("""COMPUTED_VALUE"""),"Fawaz Thnik")</f>
        <v>Fawaz Thnik</v>
      </c>
      <c r="D708" s="138" t="str">
        <f ca="1">IFERROR(__xludf.DUMMYFUNCTION("""COMPUTED_VALUE"""),"https://wa.me/6287871214170")</f>
        <v>https://wa.me/6287871214170</v>
      </c>
      <c r="E708" s="139" t="str">
        <f ca="1">IFERROR(__xludf.DUMMYFUNCTION("""COMPUTED_VALUE"""),"6287871214170")</f>
        <v>6287871214170</v>
      </c>
      <c r="F708" s="139">
        <f ca="1">IFERROR(__xludf.DUMMYFUNCTION("""COMPUTED_VALUE"""),754)</f>
        <v>754</v>
      </c>
      <c r="G708" s="139">
        <f ca="1">IFERROR(__xludf.DUMMYFUNCTION("""COMPUTED_VALUE"""),19094)</f>
        <v>19094</v>
      </c>
      <c r="H708" s="139">
        <f ca="1">IFERROR(__xludf.DUMMYFUNCTION("""COMPUTED_VALUE"""),2)</f>
        <v>2</v>
      </c>
      <c r="I708" s="140">
        <f ca="1">IFERROR(__xludf.DUMMYFUNCTION("""COMPUTED_VALUE"""),16803)</f>
        <v>16803</v>
      </c>
      <c r="J708" s="141">
        <f ca="1">IFERROR(__xludf.DUMMYFUNCTION("""COMPUTED_VALUE"""),8401.5)</f>
        <v>8401.5</v>
      </c>
      <c r="K708" s="142">
        <f ca="1">IFERROR(__xludf.DUMMYFUNCTION("""COMPUTED_VALUE"""),1.1202)</f>
        <v>1.1202000000000001</v>
      </c>
      <c r="L708" s="143" t="str">
        <f ca="1"/>
        <v>Wiris Variasi</v>
      </c>
      <c r="M708" s="127"/>
      <c r="N708" s="127"/>
      <c r="O708" s="127"/>
      <c r="P708" s="127"/>
      <c r="Q708" s="127"/>
      <c r="R708" s="127"/>
      <c r="S708" s="127"/>
      <c r="T708" s="127"/>
      <c r="U708" s="127"/>
      <c r="V708" s="127"/>
      <c r="W708" s="127"/>
      <c r="X708" s="127"/>
      <c r="Y708" s="127"/>
      <c r="Z708" s="127"/>
      <c r="AA708" s="127"/>
    </row>
    <row r="709" spans="1:27">
      <c r="A709" s="127">
        <f ca="1">IFERROR(__xludf.DUMMYFUNCTION("""COMPUTED_VALUE"""),766589657993298)</f>
        <v>766589657993298</v>
      </c>
      <c r="B709" s="127" t="str">
        <f ca="1">IFERROR(__xludf.DUMMYFUNCTION("""COMPUTED_VALUE"""),"120233003549470235")</f>
        <v>120233003549470235</v>
      </c>
      <c r="C709" s="127" t="str">
        <f ca="1">IFERROR(__xludf.DUMMYFUNCTION("""COMPUTED_VALUE"""),"AJP Adi")</f>
        <v>AJP Adi</v>
      </c>
      <c r="D709" s="138" t="str">
        <f ca="1">IFERROR(__xludf.DUMMYFUNCTION("""COMPUTED_VALUE"""),"https://wa.me/6283188945188")</f>
        <v>https://wa.me/6283188945188</v>
      </c>
      <c r="E709" s="139" t="str">
        <f ca="1">IFERROR(__xludf.DUMMYFUNCTION("""COMPUTED_VALUE"""),"6283188945188")</f>
        <v>6283188945188</v>
      </c>
      <c r="F709" s="139">
        <f ca="1">IFERROR(__xludf.DUMMYFUNCTION("""COMPUTED_VALUE"""),720)</f>
        <v>720</v>
      </c>
      <c r="G709" s="139">
        <f ca="1">IFERROR(__xludf.DUMMYFUNCTION("""COMPUTED_VALUE"""),19012)</f>
        <v>19012</v>
      </c>
      <c r="H709" s="139">
        <f ca="1">IFERROR(__xludf.DUMMYFUNCTION("""COMPUTED_VALUE"""),2)</f>
        <v>2</v>
      </c>
      <c r="I709" s="140">
        <f ca="1">IFERROR(__xludf.DUMMYFUNCTION("""COMPUTED_VALUE"""),16807)</f>
        <v>16807</v>
      </c>
      <c r="J709" s="141">
        <f ca="1">IFERROR(__xludf.DUMMYFUNCTION("""COMPUTED_VALUE"""),8403.5)</f>
        <v>8403.5</v>
      </c>
      <c r="K709" s="142">
        <f ca="1">IFERROR(__xludf.DUMMYFUNCTION("""COMPUTED_VALUE"""),1.12046666666666)</f>
        <v>1.1204666666666601</v>
      </c>
      <c r="L709" s="143" t="str">
        <f ca="1"/>
        <v>Wiris Variasi</v>
      </c>
      <c r="M709" s="127"/>
      <c r="N709" s="127"/>
      <c r="O709" s="127"/>
      <c r="P709" s="127"/>
      <c r="Q709" s="127"/>
      <c r="R709" s="127"/>
      <c r="S709" s="127"/>
      <c r="T709" s="127"/>
      <c r="U709" s="127"/>
      <c r="V709" s="127"/>
      <c r="W709" s="127"/>
      <c r="X709" s="127"/>
      <c r="Y709" s="127"/>
      <c r="Z709" s="127"/>
      <c r="AA709" s="127"/>
    </row>
    <row r="710" spans="1:27">
      <c r="A710" s="127">
        <f ca="1">IFERROR(__xludf.DUMMYFUNCTION("""COMPUTED_VALUE"""),766589657993298)</f>
        <v>766589657993298</v>
      </c>
      <c r="B710" s="127" t="str">
        <f ca="1">IFERROR(__xludf.DUMMYFUNCTION("""COMPUTED_VALUE"""),"120233049130950235")</f>
        <v>120233049130950235</v>
      </c>
      <c r="C710" s="127" t="str">
        <f ca="1">IFERROR(__xludf.DUMMYFUNCTION("""COMPUTED_VALUE"""),"Andalan group")</f>
        <v>Andalan group</v>
      </c>
      <c r="D710" s="138" t="str">
        <f ca="1">IFERROR(__xludf.DUMMYFUNCTION("""COMPUTED_VALUE"""),"https://wa.me/6285602235618")</f>
        <v>https://wa.me/6285602235618</v>
      </c>
      <c r="E710" s="139" t="str">
        <f ca="1">IFERROR(__xludf.DUMMYFUNCTION("""COMPUTED_VALUE"""),"6285602235618")</f>
        <v>6285602235618</v>
      </c>
      <c r="F710" s="139">
        <f ca="1">IFERROR(__xludf.DUMMYFUNCTION("""COMPUTED_VALUE"""),352)</f>
        <v>352</v>
      </c>
      <c r="G710" s="139">
        <f ca="1">IFERROR(__xludf.DUMMYFUNCTION("""COMPUTED_VALUE"""),33911)</f>
        <v>33911</v>
      </c>
      <c r="H710" s="139">
        <f ca="1">IFERROR(__xludf.DUMMYFUNCTION("""COMPUTED_VALUE"""),0)</f>
        <v>0</v>
      </c>
      <c r="I710" s="140">
        <f ca="1">IFERROR(__xludf.DUMMYFUNCTION("""COMPUTED_VALUE"""),16684)</f>
        <v>16684</v>
      </c>
      <c r="J710" s="141"/>
      <c r="K710" s="142">
        <f ca="1">IFERROR(__xludf.DUMMYFUNCTION("""COMPUTED_VALUE"""),1.11226666666666)</f>
        <v>1.1122666666666601</v>
      </c>
      <c r="L710" s="143" t="str">
        <f ca="1"/>
        <v>Wiris Variasi</v>
      </c>
      <c r="M710" s="127"/>
      <c r="N710" s="127"/>
      <c r="O710" s="127"/>
      <c r="P710" s="127"/>
      <c r="Q710" s="127"/>
      <c r="R710" s="127"/>
      <c r="S710" s="127"/>
      <c r="T710" s="127"/>
      <c r="U710" s="127"/>
      <c r="V710" s="127"/>
      <c r="W710" s="127"/>
      <c r="X710" s="127"/>
      <c r="Y710" s="127"/>
      <c r="Z710" s="127"/>
      <c r="AA710" s="127"/>
    </row>
    <row r="711" spans="1:27">
      <c r="A711" s="127">
        <f ca="1">IFERROR(__xludf.DUMMYFUNCTION("""COMPUTED_VALUE"""),766589657993298)</f>
        <v>766589657993298</v>
      </c>
      <c r="B711" s="127" t="str">
        <f ca="1">IFERROR(__xludf.DUMMYFUNCTION("""COMPUTED_VALUE"""),"120233101827990235")</f>
        <v>120233101827990235</v>
      </c>
      <c r="C711" s="127" t="str">
        <f ca="1">IFERROR(__xludf.DUMMYFUNCTION("""COMPUTED_VALUE"""),"PT Zahiraindo")</f>
        <v>PT Zahiraindo</v>
      </c>
      <c r="D711" s="138" t="str">
        <f ca="1">IFERROR(__xludf.DUMMYFUNCTION("""COMPUTED_VALUE"""),"https://wa.me/6282195508557")</f>
        <v>https://wa.me/6282195508557</v>
      </c>
      <c r="E711" s="139" t="str">
        <f ca="1">IFERROR(__xludf.DUMMYFUNCTION("""COMPUTED_VALUE"""),"6282195508557")</f>
        <v>6282195508557</v>
      </c>
      <c r="F711" s="139">
        <f ca="1">IFERROR(__xludf.DUMMYFUNCTION("""COMPUTED_VALUE"""),478)</f>
        <v>478</v>
      </c>
      <c r="G711" s="139">
        <f ca="1">IFERROR(__xludf.DUMMYFUNCTION("""COMPUTED_VALUE"""),26512)</f>
        <v>26512</v>
      </c>
      <c r="H711" s="139">
        <f ca="1">IFERROR(__xludf.DUMMYFUNCTION("""COMPUTED_VALUE"""),1)</f>
        <v>1</v>
      </c>
      <c r="I711" s="140">
        <f ca="1">IFERROR(__xludf.DUMMYFUNCTION("""COMPUTED_VALUE"""),14714)</f>
        <v>14714</v>
      </c>
      <c r="J711" s="141">
        <f ca="1">IFERROR(__xludf.DUMMYFUNCTION("""COMPUTED_VALUE"""),14714)</f>
        <v>14714</v>
      </c>
      <c r="K711" s="142">
        <f ca="1">IFERROR(__xludf.DUMMYFUNCTION("""COMPUTED_VALUE"""),0.980933333333333)</f>
        <v>0.98093333333333299</v>
      </c>
      <c r="L711" s="143" t="str">
        <f ca="1"/>
        <v>Wiris Variasi</v>
      </c>
      <c r="M711" s="127"/>
      <c r="N711" s="127"/>
      <c r="O711" s="127"/>
      <c r="P711" s="127"/>
      <c r="Q711" s="127"/>
      <c r="R711" s="127"/>
      <c r="S711" s="127"/>
      <c r="T711" s="127"/>
      <c r="U711" s="127"/>
      <c r="V711" s="127"/>
      <c r="W711" s="127"/>
      <c r="X711" s="127"/>
      <c r="Y711" s="127"/>
      <c r="Z711" s="127"/>
      <c r="AA711" s="127"/>
    </row>
    <row r="712" spans="1:27">
      <c r="A712" s="127">
        <f ca="1">IFERROR(__xludf.DUMMYFUNCTION("""COMPUTED_VALUE"""),766589657993298)</f>
        <v>766589657993298</v>
      </c>
      <c r="B712" s="127" t="str">
        <f ca="1">IFERROR(__xludf.DUMMYFUNCTION("""COMPUTED_VALUE"""),"120233178619080235")</f>
        <v>120233178619080235</v>
      </c>
      <c r="C712" s="127" t="str">
        <f ca="1">IFERROR(__xludf.DUMMYFUNCTION("""COMPUTED_VALUE"""),"Jasa tukang")</f>
        <v>Jasa tukang</v>
      </c>
      <c r="D712" s="138" t="str">
        <f ca="1">IFERROR(__xludf.DUMMYFUNCTION("""COMPUTED_VALUE"""),"https://wa.me/6282364480929")</f>
        <v>https://wa.me/6282364480929</v>
      </c>
      <c r="E712" s="139" t="str">
        <f ca="1">IFERROR(__xludf.DUMMYFUNCTION("""COMPUTED_VALUE"""),"6282364480929")</f>
        <v>6282364480929</v>
      </c>
      <c r="F712" s="139">
        <f ca="1">IFERROR(__xludf.DUMMYFUNCTION("""COMPUTED_VALUE"""),575)</f>
        <v>575</v>
      </c>
      <c r="G712" s="139">
        <f ca="1">IFERROR(__xludf.DUMMYFUNCTION("""COMPUTED_VALUE"""),19894)</f>
        <v>19894</v>
      </c>
      <c r="H712" s="139">
        <f ca="1">IFERROR(__xludf.DUMMYFUNCTION("""COMPUTED_VALUE"""),2)</f>
        <v>2</v>
      </c>
      <c r="I712" s="140">
        <f ca="1">IFERROR(__xludf.DUMMYFUNCTION("""COMPUTED_VALUE"""),15318)</f>
        <v>15318</v>
      </c>
      <c r="J712" s="141">
        <f ca="1">IFERROR(__xludf.DUMMYFUNCTION("""COMPUTED_VALUE"""),7659)</f>
        <v>7659</v>
      </c>
      <c r="K712" s="142">
        <f ca="1">IFERROR(__xludf.DUMMYFUNCTION("""COMPUTED_VALUE"""),1.0212)</f>
        <v>1.0212000000000001</v>
      </c>
      <c r="L712" s="143" t="str">
        <f ca="1"/>
        <v>Wiris Variasi</v>
      </c>
      <c r="M712" s="127"/>
      <c r="N712" s="127"/>
      <c r="O712" s="127"/>
      <c r="P712" s="127"/>
      <c r="Q712" s="127"/>
      <c r="R712" s="127"/>
      <c r="S712" s="127"/>
      <c r="T712" s="127"/>
      <c r="U712" s="127"/>
      <c r="V712" s="127"/>
      <c r="W712" s="127"/>
      <c r="X712" s="127"/>
      <c r="Y712" s="127"/>
      <c r="Z712" s="127"/>
      <c r="AA712" s="127"/>
    </row>
    <row r="713" spans="1:27">
      <c r="A713" s="127">
        <f ca="1">IFERROR(__xludf.DUMMYFUNCTION("""COMPUTED_VALUE"""),766589657993298)</f>
        <v>766589657993298</v>
      </c>
      <c r="B713" s="127" t="str">
        <f ca="1">IFERROR(__xludf.DUMMYFUNCTION("""COMPUTED_VALUE"""),"120233178781660235")</f>
        <v>120233178781660235</v>
      </c>
      <c r="C713" s="127" t="str">
        <f ca="1">IFERROR(__xludf.DUMMYFUNCTION("""COMPUTED_VALUE"""),"Tirtagucipools")</f>
        <v>Tirtagucipools</v>
      </c>
      <c r="D713" s="138" t="str">
        <f ca="1">IFERROR(__xludf.DUMMYFUNCTION("""COMPUTED_VALUE"""),"https://wa.me/6282111518881")</f>
        <v>https://wa.me/6282111518881</v>
      </c>
      <c r="E713" s="139" t="str">
        <f ca="1">IFERROR(__xludf.DUMMYFUNCTION("""COMPUTED_VALUE"""),"6282111518881")</f>
        <v>6282111518881</v>
      </c>
      <c r="F713" s="139">
        <f ca="1">IFERROR(__xludf.DUMMYFUNCTION("""COMPUTED_VALUE"""),238)</f>
        <v>238</v>
      </c>
      <c r="G713" s="139">
        <f ca="1">IFERROR(__xludf.DUMMYFUNCTION("""COMPUTED_VALUE"""),49542)</f>
        <v>49542</v>
      </c>
      <c r="H713" s="139">
        <f ca="1">IFERROR(__xludf.DUMMYFUNCTION("""COMPUTED_VALUE"""),4)</f>
        <v>4</v>
      </c>
      <c r="I713" s="140">
        <f ca="1">IFERROR(__xludf.DUMMYFUNCTION("""COMPUTED_VALUE"""),16101)</f>
        <v>16101</v>
      </c>
      <c r="J713" s="141">
        <f ca="1">IFERROR(__xludf.DUMMYFUNCTION("""COMPUTED_VALUE"""),4025.25)</f>
        <v>4025.25</v>
      </c>
      <c r="K713" s="142">
        <f ca="1">IFERROR(__xludf.DUMMYFUNCTION("""COMPUTED_VALUE"""),1.0734)</f>
        <v>1.0733999999999999</v>
      </c>
      <c r="L713" s="143" t="str">
        <f ca="1"/>
        <v>Wiris Variasi</v>
      </c>
      <c r="M713" s="127"/>
      <c r="N713" s="127"/>
      <c r="O713" s="127"/>
      <c r="P713" s="127"/>
      <c r="Q713" s="127"/>
      <c r="R713" s="127"/>
      <c r="S713" s="127"/>
      <c r="T713" s="127"/>
      <c r="U713" s="127"/>
      <c r="V713" s="127"/>
      <c r="W713" s="127"/>
      <c r="X713" s="127"/>
      <c r="Y713" s="127"/>
      <c r="Z713" s="127"/>
      <c r="AA713" s="127"/>
    </row>
    <row r="714" spans="1:27">
      <c r="A714" s="127">
        <f ca="1">IFERROR(__xludf.DUMMYFUNCTION("""COMPUTED_VALUE"""),766589657993298)</f>
        <v>766589657993298</v>
      </c>
      <c r="B714" s="127" t="str">
        <f ca="1">IFERROR(__xludf.DUMMYFUNCTION("""COMPUTED_VALUE"""),"120233179681010235")</f>
        <v>120233179681010235</v>
      </c>
      <c r="C714" s="127" t="str">
        <f ca="1">IFERROR(__xludf.DUMMYFUNCTION("""COMPUTED_VALUE"""),"Griya Jaya")</f>
        <v>Griya Jaya</v>
      </c>
      <c r="D714" s="138" t="str">
        <f ca="1">IFERROR(__xludf.DUMMYFUNCTION("""COMPUTED_VALUE"""),"https://wa.me/6285161653332")</f>
        <v>https://wa.me/6285161653332</v>
      </c>
      <c r="E714" s="139" t="str">
        <f ca="1">IFERROR(__xludf.DUMMYFUNCTION("""COMPUTED_VALUE"""),"6285161653332")</f>
        <v>6285161653332</v>
      </c>
      <c r="F714" s="139">
        <f ca="1">IFERROR(__xludf.DUMMYFUNCTION("""COMPUTED_VALUE"""),392)</f>
        <v>392</v>
      </c>
      <c r="G714" s="139">
        <f ca="1">IFERROR(__xludf.DUMMYFUNCTION("""COMPUTED_VALUE"""),35217)</f>
        <v>35217</v>
      </c>
      <c r="H714" s="139">
        <f ca="1">IFERROR(__xludf.DUMMYFUNCTION("""COMPUTED_VALUE"""),2)</f>
        <v>2</v>
      </c>
      <c r="I714" s="140">
        <f ca="1">IFERROR(__xludf.DUMMYFUNCTION("""COMPUTED_VALUE"""),14897)</f>
        <v>14897</v>
      </c>
      <c r="J714" s="141">
        <f ca="1">IFERROR(__xludf.DUMMYFUNCTION("""COMPUTED_VALUE"""),7448.5)</f>
        <v>7448.5</v>
      </c>
      <c r="K714" s="142">
        <f ca="1">IFERROR(__xludf.DUMMYFUNCTION("""COMPUTED_VALUE"""),0.993133333333333)</f>
        <v>0.99313333333333298</v>
      </c>
      <c r="L714" s="143" t="str">
        <f ca="1"/>
        <v>Wiris Variasi</v>
      </c>
      <c r="M714" s="127"/>
      <c r="N714" s="127"/>
      <c r="O714" s="127"/>
      <c r="P714" s="127"/>
      <c r="Q714" s="127"/>
      <c r="R714" s="127"/>
      <c r="S714" s="127"/>
      <c r="T714" s="127"/>
      <c r="U714" s="127"/>
      <c r="V714" s="127"/>
      <c r="W714" s="127"/>
      <c r="X714" s="127"/>
      <c r="Y714" s="127"/>
      <c r="Z714" s="127"/>
      <c r="AA714" s="127"/>
    </row>
    <row r="715" spans="1:27">
      <c r="A715" s="127">
        <f ca="1">IFERROR(__xludf.DUMMYFUNCTION("""COMPUTED_VALUE"""),768362231010540)</f>
        <v>768362231010540</v>
      </c>
      <c r="B715" s="127" t="str">
        <f ca="1">IFERROR(__xludf.DUMMYFUNCTION("""COMPUTED_VALUE"""),"120227277507390731")</f>
        <v>120227277507390731</v>
      </c>
      <c r="C715" s="127" t="str">
        <f ca="1">IFERROR(__xludf.DUMMYFUNCTION("""COMPUTED_VALUE"""),"Agen Property")</f>
        <v>Agen Property</v>
      </c>
      <c r="D715" s="138" t="str">
        <f ca="1">IFERROR(__xludf.DUMMYFUNCTION("""COMPUTED_VALUE"""),"https://wa.me/6282224315700")</f>
        <v>https://wa.me/6282224315700</v>
      </c>
      <c r="E715" s="139" t="str">
        <f ca="1">IFERROR(__xludf.DUMMYFUNCTION("""COMPUTED_VALUE"""),"6282224315700")</f>
        <v>6282224315700</v>
      </c>
      <c r="F715" s="139">
        <f ca="1">IFERROR(__xludf.DUMMYFUNCTION("""COMPUTED_VALUE"""),1401)</f>
        <v>1401</v>
      </c>
      <c r="G715" s="139">
        <f ca="1">IFERROR(__xludf.DUMMYFUNCTION("""COMPUTED_VALUE"""),52673.25)</f>
        <v>52673.25</v>
      </c>
      <c r="H715" s="139">
        <f ca="1">IFERROR(__xludf.DUMMYFUNCTION("""COMPUTED_VALUE"""),4)</f>
        <v>4</v>
      </c>
      <c r="I715" s="140">
        <f ca="1">IFERROR(__xludf.DUMMYFUNCTION("""COMPUTED_VALUE"""),76173)</f>
        <v>76173</v>
      </c>
      <c r="J715" s="141">
        <f ca="1">IFERROR(__xludf.DUMMYFUNCTION("""COMPUTED_VALUE"""),19043.25)</f>
        <v>19043.25</v>
      </c>
      <c r="K715" s="142">
        <f ca="1">IFERROR(__xludf.DUMMYFUNCTION("""COMPUTED_VALUE"""),5.0782)</f>
        <v>5.0781999999999998</v>
      </c>
      <c r="L715" s="143" t="str">
        <f ca="1"/>
        <v>Wiris Variasi</v>
      </c>
      <c r="M715" s="127"/>
      <c r="N715" s="127"/>
      <c r="O715" s="127"/>
      <c r="P715" s="127"/>
      <c r="Q715" s="127"/>
      <c r="R715" s="127"/>
      <c r="S715" s="127"/>
      <c r="T715" s="127"/>
      <c r="U715" s="127"/>
      <c r="V715" s="127"/>
      <c r="W715" s="127"/>
      <c r="X715" s="127"/>
      <c r="Y715" s="127"/>
      <c r="Z715" s="127"/>
      <c r="AA715" s="127"/>
    </row>
    <row r="716" spans="1:27">
      <c r="A716" s="127">
        <f ca="1">IFERROR(__xludf.DUMMYFUNCTION("""COMPUTED_VALUE"""),768362231010540)</f>
        <v>768362231010540</v>
      </c>
      <c r="B716" s="127" t="str">
        <f ca="1">IFERROR(__xludf.DUMMYFUNCTION("""COMPUTED_VALUE"""),"120227296626920731")</f>
        <v>120227296626920731</v>
      </c>
      <c r="C716" s="127" t="str">
        <f ca="1">IFERROR(__xludf.DUMMYFUNCTION("""COMPUTED_VALUE"""),"Uwais Property")</f>
        <v>Uwais Property</v>
      </c>
      <c r="D716" s="138" t="str">
        <f ca="1">IFERROR(__xludf.DUMMYFUNCTION("""COMPUTED_VALUE"""),"https://wa.me/6281575323811")</f>
        <v>https://wa.me/6281575323811</v>
      </c>
      <c r="E716" s="139" t="str">
        <f ca="1">IFERROR(__xludf.DUMMYFUNCTION("""COMPUTED_VALUE"""),"6281575323811")</f>
        <v>6281575323811</v>
      </c>
      <c r="F716" s="139">
        <f ca="1">IFERROR(__xludf.DUMMYFUNCTION("""COMPUTED_VALUE"""),4903)</f>
        <v>4903</v>
      </c>
      <c r="G716" s="139">
        <f ca="1">IFERROR(__xludf.DUMMYFUNCTION("""COMPUTED_VALUE"""),20024.6)</f>
        <v>20024.599999999999</v>
      </c>
      <c r="H716" s="139">
        <f ca="1">IFERROR(__xludf.DUMMYFUNCTION("""COMPUTED_VALUE"""),11)</f>
        <v>11</v>
      </c>
      <c r="I716" s="140">
        <f ca="1">IFERROR(__xludf.DUMMYFUNCTION("""COMPUTED_VALUE"""),116091)</f>
        <v>116091</v>
      </c>
      <c r="J716" s="141">
        <f ca="1">IFERROR(__xludf.DUMMYFUNCTION("""COMPUTED_VALUE"""),10553.7272727272)</f>
        <v>10553.727272727199</v>
      </c>
      <c r="K716" s="142">
        <f ca="1">IFERROR(__xludf.DUMMYFUNCTION("""COMPUTED_VALUE"""),7.7394)</f>
        <v>7.7393999999999998</v>
      </c>
      <c r="L716" s="143" t="str">
        <f ca="1"/>
        <v>Wiris Variasi</v>
      </c>
      <c r="M716" s="127"/>
      <c r="N716" s="127"/>
      <c r="O716" s="127"/>
      <c r="P716" s="127"/>
      <c r="Q716" s="127"/>
      <c r="R716" s="127"/>
      <c r="S716" s="127"/>
      <c r="T716" s="127"/>
      <c r="U716" s="127"/>
      <c r="V716" s="127"/>
      <c r="W716" s="127"/>
      <c r="X716" s="127"/>
      <c r="Y716" s="127"/>
      <c r="Z716" s="127"/>
      <c r="AA716" s="127"/>
    </row>
    <row r="717" spans="1:27">
      <c r="A717" s="127">
        <f ca="1">IFERROR(__xludf.DUMMYFUNCTION("""COMPUTED_VALUE"""),768362231010540)</f>
        <v>768362231010540</v>
      </c>
      <c r="B717" s="127" t="str">
        <f ca="1">IFERROR(__xludf.DUMMYFUNCTION("""COMPUTED_VALUE"""),"120227720523590731")</f>
        <v>120227720523590731</v>
      </c>
      <c r="C717" s="127" t="str">
        <f ca="1">IFERROR(__xludf.DUMMYFUNCTION("""COMPUTED_VALUE"""),"PT PANORAMA JAYA LABANA")</f>
        <v>PT PANORAMA JAYA LABANA</v>
      </c>
      <c r="D717" s="139"/>
      <c r="E717" s="139"/>
      <c r="F717" s="139">
        <f ca="1">IFERROR(__xludf.DUMMYFUNCTION("""COMPUTED_VALUE"""),533)</f>
        <v>533</v>
      </c>
      <c r="G717" s="139">
        <f ca="1">IFERROR(__xludf.DUMMYFUNCTION("""COMPUTED_VALUE"""),56623)</f>
        <v>56623</v>
      </c>
      <c r="H717" s="139">
        <f ca="1">IFERROR(__xludf.DUMMYFUNCTION("""COMPUTED_VALUE"""),4)</f>
        <v>4</v>
      </c>
      <c r="I717" s="140">
        <f ca="1">IFERROR(__xludf.DUMMYFUNCTION("""COMPUTED_VALUE"""),35317)</f>
        <v>35317</v>
      </c>
      <c r="J717" s="141">
        <f ca="1">IFERROR(__xludf.DUMMYFUNCTION("""COMPUTED_VALUE"""),8829.25)</f>
        <v>8829.25</v>
      </c>
      <c r="K717" s="142">
        <f ca="1">IFERROR(__xludf.DUMMYFUNCTION("""COMPUTED_VALUE"""),2.35446666666666)</f>
        <v>2.35446666666666</v>
      </c>
      <c r="L717" s="143" t="str">
        <f ca="1"/>
        <v>Wiris Variasi</v>
      </c>
      <c r="M717" s="127"/>
      <c r="N717" s="127"/>
      <c r="O717" s="127"/>
      <c r="P717" s="127"/>
      <c r="Q717" s="127"/>
      <c r="R717" s="127"/>
      <c r="S717" s="127"/>
      <c r="T717" s="127"/>
      <c r="U717" s="127"/>
      <c r="V717" s="127"/>
      <c r="W717" s="127"/>
      <c r="X717" s="127"/>
      <c r="Y717" s="127"/>
      <c r="Z717" s="127"/>
      <c r="AA717" s="127"/>
    </row>
    <row r="718" spans="1:27">
      <c r="A718" s="127"/>
      <c r="B718" s="127"/>
      <c r="C718" s="127"/>
      <c r="D718" s="139"/>
      <c r="E718" s="139"/>
      <c r="F718" s="139"/>
      <c r="G718" s="139"/>
      <c r="H718" s="139"/>
      <c r="I718" s="140"/>
      <c r="J718" s="141"/>
      <c r="K718" s="142"/>
      <c r="L718" s="127" t="str">
        <f ca="1"/>
        <v/>
      </c>
      <c r="M718" s="127"/>
      <c r="N718" s="127"/>
      <c r="O718" s="127"/>
      <c r="P718" s="127"/>
      <c r="Q718" s="127"/>
      <c r="R718" s="127"/>
      <c r="S718" s="127"/>
      <c r="T718" s="127"/>
      <c r="U718" s="127"/>
      <c r="V718" s="127"/>
      <c r="W718" s="127"/>
      <c r="X718" s="127"/>
      <c r="Y718" s="127"/>
      <c r="Z718" s="127"/>
      <c r="AA718" s="127"/>
    </row>
    <row r="719" spans="1:27">
      <c r="A719" s="127"/>
      <c r="B719" s="127"/>
      <c r="C719" s="127"/>
      <c r="D719" s="139"/>
      <c r="E719" s="139"/>
      <c r="F719" s="139"/>
      <c r="G719" s="139"/>
      <c r="H719" s="139"/>
      <c r="I719" s="140"/>
      <c r="J719" s="141"/>
      <c r="K719" s="142"/>
      <c r="L719" s="127" t="str">
        <f ca="1"/>
        <v/>
      </c>
      <c r="M719" s="127"/>
      <c r="N719" s="127"/>
      <c r="O719" s="127"/>
      <c r="P719" s="127"/>
      <c r="Q719" s="127"/>
      <c r="R719" s="127"/>
      <c r="S719" s="127"/>
      <c r="T719" s="127"/>
      <c r="U719" s="127"/>
      <c r="V719" s="127"/>
      <c r="W719" s="127"/>
      <c r="X719" s="127"/>
      <c r="Y719" s="127"/>
      <c r="Z719" s="127"/>
      <c r="AA719" s="127"/>
    </row>
    <row r="720" spans="1:27">
      <c r="A720" s="127"/>
      <c r="B720" s="127"/>
      <c r="C720" s="127"/>
      <c r="D720" s="139"/>
      <c r="E720" s="139"/>
      <c r="F720" s="139"/>
      <c r="G720" s="139"/>
      <c r="H720" s="139"/>
      <c r="I720" s="140"/>
      <c r="J720" s="141"/>
      <c r="K720" s="142"/>
      <c r="L720" s="127" t="str">
        <f ca="1"/>
        <v/>
      </c>
      <c r="M720" s="127"/>
      <c r="N720" s="127"/>
      <c r="O720" s="127"/>
      <c r="P720" s="127"/>
      <c r="Q720" s="127"/>
      <c r="R720" s="127"/>
      <c r="S720" s="127"/>
      <c r="T720" s="127"/>
      <c r="U720" s="127"/>
      <c r="V720" s="127"/>
      <c r="W720" s="127"/>
      <c r="X720" s="127"/>
      <c r="Y720" s="127"/>
      <c r="Z720" s="127"/>
      <c r="AA720" s="127"/>
    </row>
    <row r="721" spans="1:27">
      <c r="A721" s="127"/>
      <c r="B721" s="127"/>
      <c r="C721" s="127"/>
      <c r="D721" s="139"/>
      <c r="E721" s="139"/>
      <c r="F721" s="139"/>
      <c r="G721" s="139"/>
      <c r="H721" s="139"/>
      <c r="I721" s="140"/>
      <c r="J721" s="141"/>
      <c r="K721" s="142"/>
      <c r="L721" s="127" t="str">
        <f ca="1"/>
        <v/>
      </c>
      <c r="M721" s="127"/>
      <c r="N721" s="127"/>
      <c r="O721" s="127"/>
      <c r="P721" s="127"/>
      <c r="Q721" s="127"/>
      <c r="R721" s="127"/>
      <c r="S721" s="127"/>
      <c r="T721" s="127"/>
      <c r="U721" s="127"/>
      <c r="V721" s="127"/>
      <c r="W721" s="127"/>
      <c r="X721" s="127"/>
      <c r="Y721" s="127"/>
      <c r="Z721" s="127"/>
      <c r="AA721" s="127"/>
    </row>
    <row r="722" spans="1:27">
      <c r="A722" s="127"/>
      <c r="B722" s="127"/>
      <c r="C722" s="127"/>
      <c r="D722" s="139"/>
      <c r="E722" s="139"/>
      <c r="F722" s="139"/>
      <c r="G722" s="139"/>
      <c r="H722" s="139"/>
      <c r="I722" s="140"/>
      <c r="J722" s="141"/>
      <c r="K722" s="142"/>
      <c r="L722" s="127" t="str">
        <f ca="1"/>
        <v/>
      </c>
      <c r="M722" s="127"/>
      <c r="N722" s="127"/>
      <c r="O722" s="127"/>
      <c r="P722" s="127"/>
      <c r="Q722" s="127"/>
      <c r="R722" s="127"/>
      <c r="S722" s="127"/>
      <c r="T722" s="127"/>
      <c r="U722" s="127"/>
      <c r="V722" s="127"/>
      <c r="W722" s="127"/>
      <c r="X722" s="127"/>
      <c r="Y722" s="127"/>
      <c r="Z722" s="127"/>
      <c r="AA722" s="127"/>
    </row>
    <row r="723" spans="1:27">
      <c r="A723" s="127"/>
      <c r="B723" s="127"/>
      <c r="C723" s="127"/>
      <c r="D723" s="139"/>
      <c r="E723" s="139"/>
      <c r="F723" s="139"/>
      <c r="G723" s="139"/>
      <c r="H723" s="139"/>
      <c r="I723" s="140"/>
      <c r="J723" s="141"/>
      <c r="K723" s="142"/>
      <c r="L723" s="127" t="str">
        <f ca="1"/>
        <v/>
      </c>
      <c r="M723" s="127"/>
      <c r="N723" s="127"/>
      <c r="O723" s="127"/>
      <c r="P723" s="127"/>
      <c r="Q723" s="127"/>
      <c r="R723" s="127"/>
      <c r="S723" s="127"/>
      <c r="T723" s="127"/>
      <c r="U723" s="127"/>
      <c r="V723" s="127"/>
      <c r="W723" s="127"/>
      <c r="X723" s="127"/>
      <c r="Y723" s="127"/>
      <c r="Z723" s="127"/>
      <c r="AA723" s="127"/>
    </row>
    <row r="724" spans="1:27">
      <c r="A724" s="127"/>
      <c r="B724" s="127"/>
      <c r="C724" s="127"/>
      <c r="D724" s="139"/>
      <c r="E724" s="139"/>
      <c r="F724" s="139"/>
      <c r="G724" s="139"/>
      <c r="H724" s="139"/>
      <c r="I724" s="140"/>
      <c r="J724" s="141"/>
      <c r="K724" s="142"/>
      <c r="L724" s="127" t="str">
        <f ca="1"/>
        <v/>
      </c>
      <c r="M724" s="127"/>
      <c r="N724" s="127"/>
      <c r="O724" s="127"/>
      <c r="P724" s="127"/>
      <c r="Q724" s="127"/>
      <c r="R724" s="127"/>
      <c r="S724" s="127"/>
      <c r="T724" s="127"/>
      <c r="U724" s="127"/>
      <c r="V724" s="127"/>
      <c r="W724" s="127"/>
      <c r="X724" s="127"/>
      <c r="Y724" s="127"/>
      <c r="Z724" s="127"/>
      <c r="AA724" s="127"/>
    </row>
    <row r="725" spans="1:27">
      <c r="A725" s="127"/>
      <c r="B725" s="127"/>
      <c r="C725" s="127"/>
      <c r="D725" s="139"/>
      <c r="E725" s="139"/>
      <c r="F725" s="139"/>
      <c r="G725" s="139"/>
      <c r="H725" s="139"/>
      <c r="I725" s="140"/>
      <c r="J725" s="141"/>
      <c r="K725" s="142"/>
      <c r="L725" s="127" t="str">
        <f ca="1"/>
        <v/>
      </c>
      <c r="M725" s="127"/>
      <c r="N725" s="127"/>
      <c r="O725" s="127"/>
      <c r="P725" s="127"/>
      <c r="Q725" s="127"/>
      <c r="R725" s="127"/>
      <c r="S725" s="127"/>
      <c r="T725" s="127"/>
      <c r="U725" s="127"/>
      <c r="V725" s="127"/>
      <c r="W725" s="127"/>
      <c r="X725" s="127"/>
      <c r="Y725" s="127"/>
      <c r="Z725" s="127"/>
      <c r="AA725" s="127"/>
    </row>
    <row r="726" spans="1:27">
      <c r="A726" s="127"/>
      <c r="B726" s="127"/>
      <c r="C726" s="127"/>
      <c r="D726" s="139"/>
      <c r="E726" s="139"/>
      <c r="F726" s="139"/>
      <c r="G726" s="139"/>
      <c r="H726" s="139"/>
      <c r="I726" s="140"/>
      <c r="J726" s="141"/>
      <c r="K726" s="142"/>
      <c r="L726" s="127" t="str">
        <f ca="1"/>
        <v/>
      </c>
      <c r="M726" s="127"/>
      <c r="N726" s="127"/>
      <c r="O726" s="127"/>
      <c r="P726" s="127"/>
      <c r="Q726" s="127"/>
      <c r="R726" s="127"/>
      <c r="S726" s="127"/>
      <c r="T726" s="127"/>
      <c r="U726" s="127"/>
      <c r="V726" s="127"/>
      <c r="W726" s="127"/>
      <c r="X726" s="127"/>
      <c r="Y726" s="127"/>
      <c r="Z726" s="127"/>
      <c r="AA726" s="127"/>
    </row>
    <row r="727" spans="1:27">
      <c r="A727" s="127"/>
      <c r="B727" s="127"/>
      <c r="C727" s="127"/>
      <c r="D727" s="139"/>
      <c r="E727" s="139"/>
      <c r="F727" s="139"/>
      <c r="G727" s="139"/>
      <c r="H727" s="139"/>
      <c r="I727" s="140"/>
      <c r="J727" s="141"/>
      <c r="K727" s="142"/>
      <c r="L727" s="127" t="str">
        <f ca="1"/>
        <v/>
      </c>
      <c r="M727" s="127"/>
      <c r="N727" s="127"/>
      <c r="O727" s="127"/>
      <c r="P727" s="127"/>
      <c r="Q727" s="127"/>
      <c r="R727" s="127"/>
      <c r="S727" s="127"/>
      <c r="T727" s="127"/>
      <c r="U727" s="127"/>
      <c r="V727" s="127"/>
      <c r="W727" s="127"/>
      <c r="X727" s="127"/>
      <c r="Y727" s="127"/>
      <c r="Z727" s="127"/>
      <c r="AA727" s="127"/>
    </row>
    <row r="728" spans="1:27">
      <c r="A728" s="127"/>
      <c r="B728" s="127"/>
      <c r="C728" s="127"/>
      <c r="D728" s="139"/>
      <c r="E728" s="139"/>
      <c r="F728" s="139"/>
      <c r="G728" s="139"/>
      <c r="H728" s="139"/>
      <c r="I728" s="140"/>
      <c r="J728" s="141"/>
      <c r="K728" s="142"/>
      <c r="L728" s="127" t="str">
        <f ca="1"/>
        <v/>
      </c>
      <c r="M728" s="127"/>
      <c r="N728" s="127"/>
      <c r="O728" s="127"/>
      <c r="P728" s="127"/>
      <c r="Q728" s="127"/>
      <c r="R728" s="127"/>
      <c r="S728" s="127"/>
      <c r="T728" s="127"/>
      <c r="U728" s="127"/>
      <c r="V728" s="127"/>
      <c r="W728" s="127"/>
      <c r="X728" s="127"/>
      <c r="Y728" s="127"/>
      <c r="Z728" s="127"/>
      <c r="AA728" s="127"/>
    </row>
    <row r="729" spans="1:27">
      <c r="A729" s="127"/>
      <c r="B729" s="127"/>
      <c r="C729" s="127"/>
      <c r="D729" s="139"/>
      <c r="E729" s="139"/>
      <c r="F729" s="139"/>
      <c r="G729" s="139"/>
      <c r="H729" s="139"/>
      <c r="I729" s="140"/>
      <c r="J729" s="141"/>
      <c r="K729" s="142"/>
      <c r="L729" s="127" t="str">
        <f ca="1"/>
        <v/>
      </c>
      <c r="M729" s="127"/>
      <c r="N729" s="127"/>
      <c r="O729" s="127"/>
      <c r="P729" s="127"/>
      <c r="Q729" s="127"/>
      <c r="R729" s="127"/>
      <c r="S729" s="127"/>
      <c r="T729" s="127"/>
      <c r="U729" s="127"/>
      <c r="V729" s="127"/>
      <c r="W729" s="127"/>
      <c r="X729" s="127"/>
      <c r="Y729" s="127"/>
      <c r="Z729" s="127"/>
      <c r="AA729" s="127"/>
    </row>
    <row r="730" spans="1:27">
      <c r="A730" s="127"/>
      <c r="B730" s="127"/>
      <c r="C730" s="127"/>
      <c r="D730" s="139"/>
      <c r="E730" s="139"/>
      <c r="F730" s="139"/>
      <c r="G730" s="139"/>
      <c r="H730" s="139"/>
      <c r="I730" s="140"/>
      <c r="J730" s="141"/>
      <c r="K730" s="142"/>
      <c r="L730" s="127" t="str">
        <f ca="1"/>
        <v/>
      </c>
      <c r="M730" s="127"/>
      <c r="N730" s="127"/>
      <c r="O730" s="127"/>
      <c r="P730" s="127"/>
      <c r="Q730" s="127"/>
      <c r="R730" s="127"/>
      <c r="S730" s="127"/>
      <c r="T730" s="127"/>
      <c r="U730" s="127"/>
      <c r="V730" s="127"/>
      <c r="W730" s="127"/>
      <c r="X730" s="127"/>
      <c r="Y730" s="127"/>
      <c r="Z730" s="127"/>
      <c r="AA730" s="127"/>
    </row>
    <row r="731" spans="1:27">
      <c r="A731" s="127"/>
      <c r="B731" s="127"/>
      <c r="C731" s="127"/>
      <c r="D731" s="139"/>
      <c r="E731" s="139"/>
      <c r="F731" s="139"/>
      <c r="G731" s="139"/>
      <c r="H731" s="139"/>
      <c r="I731" s="140"/>
      <c r="J731" s="141"/>
      <c r="K731" s="142"/>
      <c r="L731" s="127" t="str">
        <f ca="1"/>
        <v/>
      </c>
      <c r="M731" s="127"/>
      <c r="N731" s="127"/>
      <c r="O731" s="127"/>
      <c r="P731" s="127"/>
      <c r="Q731" s="127"/>
      <c r="R731" s="127"/>
      <c r="S731" s="127"/>
      <c r="T731" s="127"/>
      <c r="U731" s="127"/>
      <c r="V731" s="127"/>
      <c r="W731" s="127"/>
      <c r="X731" s="127"/>
      <c r="Y731" s="127"/>
      <c r="Z731" s="127"/>
      <c r="AA731" s="127"/>
    </row>
    <row r="732" spans="1:27">
      <c r="A732" s="127"/>
      <c r="B732" s="127"/>
      <c r="C732" s="127"/>
      <c r="D732" s="139"/>
      <c r="E732" s="139"/>
      <c r="F732" s="139"/>
      <c r="G732" s="139"/>
      <c r="H732" s="139"/>
      <c r="I732" s="140"/>
      <c r="J732" s="141"/>
      <c r="K732" s="142"/>
      <c r="L732" s="127" t="str">
        <f ca="1"/>
        <v/>
      </c>
      <c r="M732" s="127"/>
      <c r="N732" s="127"/>
      <c r="O732" s="127"/>
      <c r="P732" s="127"/>
      <c r="Q732" s="127"/>
      <c r="R732" s="127"/>
      <c r="S732" s="127"/>
      <c r="T732" s="127"/>
      <c r="U732" s="127"/>
      <c r="V732" s="127"/>
      <c r="W732" s="127"/>
      <c r="X732" s="127"/>
      <c r="Y732" s="127"/>
      <c r="Z732" s="127"/>
      <c r="AA732" s="127"/>
    </row>
    <row r="733" spans="1:27">
      <c r="A733" s="127"/>
      <c r="B733" s="127"/>
      <c r="C733" s="127"/>
      <c r="D733" s="139"/>
      <c r="E733" s="139"/>
      <c r="F733" s="139"/>
      <c r="G733" s="139"/>
      <c r="H733" s="139"/>
      <c r="I733" s="140"/>
      <c r="J733" s="141"/>
      <c r="K733" s="142"/>
      <c r="L733" s="127" t="str">
        <f ca="1"/>
        <v/>
      </c>
      <c r="M733" s="127"/>
      <c r="N733" s="127"/>
      <c r="O733" s="127"/>
      <c r="P733" s="127"/>
      <c r="Q733" s="127"/>
      <c r="R733" s="127"/>
      <c r="S733" s="127"/>
      <c r="T733" s="127"/>
      <c r="U733" s="127"/>
      <c r="V733" s="127"/>
      <c r="W733" s="127"/>
      <c r="X733" s="127"/>
      <c r="Y733" s="127"/>
      <c r="Z733" s="127"/>
      <c r="AA733" s="127"/>
    </row>
    <row r="734" spans="1:27">
      <c r="A734" s="127"/>
      <c r="B734" s="127"/>
      <c r="C734" s="127"/>
      <c r="D734" s="139"/>
      <c r="E734" s="139"/>
      <c r="F734" s="139"/>
      <c r="G734" s="139"/>
      <c r="H734" s="139"/>
      <c r="I734" s="140"/>
      <c r="J734" s="141"/>
      <c r="K734" s="142"/>
      <c r="L734" s="127" t="str">
        <f ca="1"/>
        <v/>
      </c>
      <c r="M734" s="127"/>
      <c r="N734" s="127"/>
      <c r="O734" s="127"/>
      <c r="P734" s="127"/>
      <c r="Q734" s="127"/>
      <c r="R734" s="127"/>
      <c r="S734" s="127"/>
      <c r="T734" s="127"/>
      <c r="U734" s="127"/>
      <c r="V734" s="127"/>
      <c r="W734" s="127"/>
      <c r="X734" s="127"/>
      <c r="Y734" s="127"/>
      <c r="Z734" s="127"/>
      <c r="AA734" s="127"/>
    </row>
    <row r="735" spans="1:27">
      <c r="A735" s="127"/>
      <c r="B735" s="127"/>
      <c r="C735" s="127"/>
      <c r="D735" s="139"/>
      <c r="E735" s="139"/>
      <c r="F735" s="139"/>
      <c r="G735" s="139"/>
      <c r="H735" s="139"/>
      <c r="I735" s="140"/>
      <c r="J735" s="141"/>
      <c r="K735" s="142"/>
      <c r="L735" s="127" t="str">
        <f ca="1"/>
        <v/>
      </c>
      <c r="M735" s="127"/>
      <c r="N735" s="127"/>
      <c r="O735" s="127"/>
      <c r="P735" s="127"/>
      <c r="Q735" s="127"/>
      <c r="R735" s="127"/>
      <c r="S735" s="127"/>
      <c r="T735" s="127"/>
      <c r="U735" s="127"/>
      <c r="V735" s="127"/>
      <c r="W735" s="127"/>
      <c r="X735" s="127"/>
      <c r="Y735" s="127"/>
      <c r="Z735" s="127"/>
      <c r="AA735" s="127"/>
    </row>
    <row r="736" spans="1:27">
      <c r="A736" s="127"/>
      <c r="B736" s="127"/>
      <c r="C736" s="127"/>
      <c r="D736" s="139"/>
      <c r="E736" s="139"/>
      <c r="F736" s="139"/>
      <c r="G736" s="139"/>
      <c r="H736" s="139"/>
      <c r="I736" s="140"/>
      <c r="J736" s="141"/>
      <c r="K736" s="142"/>
      <c r="L736" s="127" t="str">
        <f ca="1"/>
        <v/>
      </c>
      <c r="M736" s="127"/>
      <c r="N736" s="127"/>
      <c r="O736" s="127"/>
      <c r="P736" s="127"/>
      <c r="Q736" s="127"/>
      <c r="R736" s="127"/>
      <c r="S736" s="127"/>
      <c r="T736" s="127"/>
      <c r="U736" s="127"/>
      <c r="V736" s="127"/>
      <c r="W736" s="127"/>
      <c r="X736" s="127"/>
      <c r="Y736" s="127"/>
      <c r="Z736" s="127"/>
      <c r="AA736" s="127"/>
    </row>
    <row r="737" spans="1:27">
      <c r="A737" s="127"/>
      <c r="B737" s="127"/>
      <c r="C737" s="127"/>
      <c r="D737" s="139"/>
      <c r="E737" s="139"/>
      <c r="F737" s="139"/>
      <c r="G737" s="139"/>
      <c r="H737" s="139"/>
      <c r="I737" s="140"/>
      <c r="J737" s="141"/>
      <c r="K737" s="142"/>
      <c r="L737" s="127" t="str">
        <f ca="1"/>
        <v/>
      </c>
      <c r="M737" s="127"/>
      <c r="N737" s="127"/>
      <c r="O737" s="127"/>
      <c r="P737" s="127"/>
      <c r="Q737" s="127"/>
      <c r="R737" s="127"/>
      <c r="S737" s="127"/>
      <c r="T737" s="127"/>
      <c r="U737" s="127"/>
      <c r="V737" s="127"/>
      <c r="W737" s="127"/>
      <c r="X737" s="127"/>
      <c r="Y737" s="127"/>
      <c r="Z737" s="127"/>
      <c r="AA737" s="127"/>
    </row>
    <row r="738" spans="1:27">
      <c r="A738" s="127"/>
      <c r="B738" s="127"/>
      <c r="C738" s="127"/>
      <c r="D738" s="139"/>
      <c r="E738" s="139"/>
      <c r="F738" s="139"/>
      <c r="G738" s="139"/>
      <c r="H738" s="139"/>
      <c r="I738" s="140"/>
      <c r="J738" s="141"/>
      <c r="K738" s="142"/>
      <c r="L738" s="127" t="str">
        <f ca="1"/>
        <v/>
      </c>
      <c r="M738" s="127"/>
      <c r="N738" s="127"/>
      <c r="O738" s="127"/>
      <c r="P738" s="127"/>
      <c r="Q738" s="127"/>
      <c r="R738" s="127"/>
      <c r="S738" s="127"/>
      <c r="T738" s="127"/>
      <c r="U738" s="127"/>
      <c r="V738" s="127"/>
      <c r="W738" s="127"/>
      <c r="X738" s="127"/>
      <c r="Y738" s="127"/>
      <c r="Z738" s="127"/>
      <c r="AA738" s="127"/>
    </row>
    <row r="739" spans="1:27">
      <c r="A739" s="127"/>
      <c r="B739" s="127"/>
      <c r="C739" s="127"/>
      <c r="D739" s="139"/>
      <c r="E739" s="139"/>
      <c r="F739" s="139"/>
      <c r="G739" s="139"/>
      <c r="H739" s="139"/>
      <c r="I739" s="140"/>
      <c r="J739" s="141"/>
      <c r="K739" s="142"/>
      <c r="L739" s="127" t="str">
        <f ca="1"/>
        <v/>
      </c>
      <c r="M739" s="127"/>
      <c r="N739" s="127"/>
      <c r="O739" s="127"/>
      <c r="P739" s="127"/>
      <c r="Q739" s="127"/>
      <c r="R739" s="127"/>
      <c r="S739" s="127"/>
      <c r="T739" s="127"/>
      <c r="U739" s="127"/>
      <c r="V739" s="127"/>
      <c r="W739" s="127"/>
      <c r="X739" s="127"/>
      <c r="Y739" s="127"/>
      <c r="Z739" s="127"/>
      <c r="AA739" s="127"/>
    </row>
    <row r="740" spans="1:27">
      <c r="A740" s="127"/>
      <c r="B740" s="127"/>
      <c r="C740" s="127"/>
      <c r="D740" s="139"/>
      <c r="E740" s="139"/>
      <c r="F740" s="139"/>
      <c r="G740" s="139"/>
      <c r="H740" s="139"/>
      <c r="I740" s="140"/>
      <c r="J740" s="141"/>
      <c r="K740" s="142"/>
      <c r="L740" s="127" t="str">
        <f ca="1"/>
        <v/>
      </c>
      <c r="M740" s="127"/>
      <c r="N740" s="127"/>
      <c r="O740" s="127"/>
      <c r="P740" s="127"/>
      <c r="Q740" s="127"/>
      <c r="R740" s="127"/>
      <c r="S740" s="127"/>
      <c r="T740" s="127"/>
      <c r="U740" s="127"/>
      <c r="V740" s="127"/>
      <c r="W740" s="127"/>
      <c r="X740" s="127"/>
      <c r="Y740" s="127"/>
      <c r="Z740" s="127"/>
      <c r="AA740" s="127"/>
    </row>
    <row r="741" spans="1:27">
      <c r="A741" s="127"/>
      <c r="B741" s="127"/>
      <c r="C741" s="127"/>
      <c r="D741" s="139"/>
      <c r="E741" s="139"/>
      <c r="F741" s="139"/>
      <c r="G741" s="139"/>
      <c r="H741" s="139"/>
      <c r="I741" s="140"/>
      <c r="J741" s="141"/>
      <c r="K741" s="142"/>
      <c r="L741" s="127" t="str">
        <f ca="1"/>
        <v/>
      </c>
      <c r="M741" s="127"/>
      <c r="N741" s="127"/>
      <c r="O741" s="127"/>
      <c r="P741" s="127"/>
      <c r="Q741" s="127"/>
      <c r="R741" s="127"/>
      <c r="S741" s="127"/>
      <c r="T741" s="127"/>
      <c r="U741" s="127"/>
      <c r="V741" s="127"/>
      <c r="W741" s="127"/>
      <c r="X741" s="127"/>
      <c r="Y741" s="127"/>
      <c r="Z741" s="127"/>
      <c r="AA741" s="127"/>
    </row>
    <row r="742" spans="1:27">
      <c r="A742" s="127"/>
      <c r="B742" s="127"/>
      <c r="C742" s="127"/>
      <c r="D742" s="139"/>
      <c r="E742" s="139"/>
      <c r="F742" s="139"/>
      <c r="G742" s="139"/>
      <c r="H742" s="139"/>
      <c r="I742" s="140"/>
      <c r="J742" s="141"/>
      <c r="K742" s="142"/>
      <c r="L742" s="127" t="str">
        <f ca="1"/>
        <v/>
      </c>
      <c r="M742" s="127"/>
      <c r="N742" s="127"/>
      <c r="O742" s="127"/>
      <c r="P742" s="127"/>
      <c r="Q742" s="127"/>
      <c r="R742" s="127"/>
      <c r="S742" s="127"/>
      <c r="T742" s="127"/>
      <c r="U742" s="127"/>
      <c r="V742" s="127"/>
      <c r="W742" s="127"/>
      <c r="X742" s="127"/>
      <c r="Y742" s="127"/>
      <c r="Z742" s="127"/>
      <c r="AA742" s="127"/>
    </row>
    <row r="743" spans="1:27">
      <c r="A743" s="127"/>
      <c r="B743" s="127"/>
      <c r="C743" s="127"/>
      <c r="D743" s="139"/>
      <c r="E743" s="139"/>
      <c r="F743" s="139"/>
      <c r="G743" s="139"/>
      <c r="H743" s="139"/>
      <c r="I743" s="140"/>
      <c r="J743" s="141"/>
      <c r="K743" s="142"/>
      <c r="L743" s="127" t="str">
        <f ca="1"/>
        <v/>
      </c>
      <c r="M743" s="127"/>
      <c r="N743" s="127"/>
      <c r="O743" s="127"/>
      <c r="P743" s="127"/>
      <c r="Q743" s="127"/>
      <c r="R743" s="127"/>
      <c r="S743" s="127"/>
      <c r="T743" s="127"/>
      <c r="U743" s="127"/>
      <c r="V743" s="127"/>
      <c r="W743" s="127"/>
      <c r="X743" s="127"/>
      <c r="Y743" s="127"/>
      <c r="Z743" s="127"/>
      <c r="AA743" s="127"/>
    </row>
    <row r="744" spans="1:27">
      <c r="A744" s="127"/>
      <c r="B744" s="127"/>
      <c r="C744" s="127"/>
      <c r="D744" s="139"/>
      <c r="E744" s="139"/>
      <c r="F744" s="139"/>
      <c r="G744" s="139"/>
      <c r="H744" s="139"/>
      <c r="I744" s="140"/>
      <c r="J744" s="141"/>
      <c r="K744" s="142"/>
      <c r="L744" s="127" t="str">
        <f ca="1"/>
        <v/>
      </c>
      <c r="M744" s="127"/>
      <c r="N744" s="127"/>
      <c r="O744" s="127"/>
      <c r="P744" s="127"/>
      <c r="Q744" s="127"/>
      <c r="R744" s="127"/>
      <c r="S744" s="127"/>
      <c r="T744" s="127"/>
      <c r="U744" s="127"/>
      <c r="V744" s="127"/>
      <c r="W744" s="127"/>
      <c r="X744" s="127"/>
      <c r="Y744" s="127"/>
      <c r="Z744" s="127"/>
      <c r="AA744" s="127"/>
    </row>
    <row r="745" spans="1:27">
      <c r="A745" s="127"/>
      <c r="B745" s="127"/>
      <c r="C745" s="127"/>
      <c r="D745" s="139"/>
      <c r="E745" s="139"/>
      <c r="F745" s="139"/>
      <c r="G745" s="139"/>
      <c r="H745" s="139"/>
      <c r="I745" s="140"/>
      <c r="J745" s="141"/>
      <c r="K745" s="142"/>
      <c r="L745" s="127" t="str">
        <f ca="1"/>
        <v/>
      </c>
      <c r="M745" s="127"/>
      <c r="N745" s="127"/>
      <c r="O745" s="127"/>
      <c r="P745" s="127"/>
      <c r="Q745" s="127"/>
      <c r="R745" s="127"/>
      <c r="S745" s="127"/>
      <c r="T745" s="127"/>
      <c r="U745" s="127"/>
      <c r="V745" s="127"/>
      <c r="W745" s="127"/>
      <c r="X745" s="127"/>
      <c r="Y745" s="127"/>
      <c r="Z745" s="127"/>
      <c r="AA745" s="127"/>
    </row>
    <row r="746" spans="1:27">
      <c r="A746" s="127"/>
      <c r="B746" s="127"/>
      <c r="C746" s="127"/>
      <c r="D746" s="139"/>
      <c r="E746" s="139"/>
      <c r="F746" s="139"/>
      <c r="G746" s="139"/>
      <c r="H746" s="139"/>
      <c r="I746" s="140"/>
      <c r="J746" s="141"/>
      <c r="K746" s="142"/>
      <c r="L746" s="127" t="str">
        <f ca="1"/>
        <v/>
      </c>
      <c r="M746" s="127"/>
      <c r="N746" s="127"/>
      <c r="O746" s="127"/>
      <c r="P746" s="127"/>
      <c r="Q746" s="127"/>
      <c r="R746" s="127"/>
      <c r="S746" s="127"/>
      <c r="T746" s="127"/>
      <c r="U746" s="127"/>
      <c r="V746" s="127"/>
      <c r="W746" s="127"/>
      <c r="X746" s="127"/>
      <c r="Y746" s="127"/>
      <c r="Z746" s="127"/>
      <c r="AA746" s="127"/>
    </row>
    <row r="747" spans="1:27">
      <c r="A747" s="127"/>
      <c r="B747" s="127"/>
      <c r="C747" s="127"/>
      <c r="D747" s="139"/>
      <c r="E747" s="139"/>
      <c r="F747" s="139"/>
      <c r="G747" s="139"/>
      <c r="H747" s="139"/>
      <c r="I747" s="140"/>
      <c r="J747" s="141"/>
      <c r="K747" s="142"/>
      <c r="L747" s="127" t="str">
        <f ca="1"/>
        <v/>
      </c>
      <c r="M747" s="127"/>
      <c r="N747" s="127"/>
      <c r="O747" s="127"/>
      <c r="P747" s="127"/>
      <c r="Q747" s="127"/>
      <c r="R747" s="127"/>
      <c r="S747" s="127"/>
      <c r="T747" s="127"/>
      <c r="U747" s="127"/>
      <c r="V747" s="127"/>
      <c r="W747" s="127"/>
      <c r="X747" s="127"/>
      <c r="Y747" s="127"/>
      <c r="Z747" s="127"/>
      <c r="AA747" s="127"/>
    </row>
    <row r="748" spans="1:27">
      <c r="A748" s="127"/>
      <c r="B748" s="127"/>
      <c r="C748" s="127"/>
      <c r="D748" s="139"/>
      <c r="E748" s="139"/>
      <c r="F748" s="139"/>
      <c r="G748" s="139"/>
      <c r="H748" s="139"/>
      <c r="I748" s="140"/>
      <c r="J748" s="141"/>
      <c r="K748" s="142"/>
      <c r="L748" s="127" t="str">
        <f ca="1"/>
        <v/>
      </c>
      <c r="M748" s="127"/>
      <c r="N748" s="127"/>
      <c r="O748" s="127"/>
      <c r="P748" s="127"/>
      <c r="Q748" s="127"/>
      <c r="R748" s="127"/>
      <c r="S748" s="127"/>
      <c r="T748" s="127"/>
      <c r="U748" s="127"/>
      <c r="V748" s="127"/>
      <c r="W748" s="127"/>
      <c r="X748" s="127"/>
      <c r="Y748" s="127"/>
      <c r="Z748" s="127"/>
      <c r="AA748" s="127"/>
    </row>
    <row r="749" spans="1:27">
      <c r="A749" s="127"/>
      <c r="B749" s="127"/>
      <c r="C749" s="127"/>
      <c r="D749" s="139"/>
      <c r="E749" s="139"/>
      <c r="F749" s="139"/>
      <c r="G749" s="139"/>
      <c r="H749" s="139"/>
      <c r="I749" s="140"/>
      <c r="J749" s="141"/>
      <c r="K749" s="142"/>
      <c r="L749" s="127" t="str">
        <f ca="1"/>
        <v/>
      </c>
      <c r="M749" s="127"/>
      <c r="N749" s="127"/>
      <c r="O749" s="127"/>
      <c r="P749" s="127"/>
      <c r="Q749" s="127"/>
      <c r="R749" s="127"/>
      <c r="S749" s="127"/>
      <c r="T749" s="127"/>
      <c r="U749" s="127"/>
      <c r="V749" s="127"/>
      <c r="W749" s="127"/>
      <c r="X749" s="127"/>
      <c r="Y749" s="127"/>
      <c r="Z749" s="127"/>
      <c r="AA749" s="127"/>
    </row>
    <row r="750" spans="1:27">
      <c r="A750" s="127"/>
      <c r="B750" s="127"/>
      <c r="C750" s="127"/>
      <c r="D750" s="139"/>
      <c r="E750" s="139"/>
      <c r="F750" s="139"/>
      <c r="G750" s="139"/>
      <c r="H750" s="139"/>
      <c r="I750" s="140"/>
      <c r="J750" s="141"/>
      <c r="K750" s="142"/>
      <c r="L750" s="127" t="str">
        <f ca="1"/>
        <v/>
      </c>
      <c r="M750" s="127"/>
      <c r="N750" s="127"/>
      <c r="O750" s="127"/>
      <c r="P750" s="127"/>
      <c r="Q750" s="127"/>
      <c r="R750" s="127"/>
      <c r="S750" s="127"/>
      <c r="T750" s="127"/>
      <c r="U750" s="127"/>
      <c r="V750" s="127"/>
      <c r="W750" s="127"/>
      <c r="X750" s="127"/>
      <c r="Y750" s="127"/>
      <c r="Z750" s="127"/>
      <c r="AA750" s="127"/>
    </row>
    <row r="751" spans="1:27">
      <c r="A751" s="127"/>
      <c r="B751" s="127"/>
      <c r="C751" s="127"/>
      <c r="D751" s="139"/>
      <c r="E751" s="139"/>
      <c r="F751" s="139"/>
      <c r="G751" s="139"/>
      <c r="H751" s="139"/>
      <c r="I751" s="140"/>
      <c r="J751" s="141"/>
      <c r="K751" s="142"/>
      <c r="L751" s="127" t="str">
        <f ca="1"/>
        <v/>
      </c>
      <c r="M751" s="127"/>
      <c r="N751" s="127"/>
      <c r="O751" s="127"/>
      <c r="P751" s="127"/>
      <c r="Q751" s="127"/>
      <c r="R751" s="127"/>
      <c r="S751" s="127"/>
      <c r="T751" s="127"/>
      <c r="U751" s="127"/>
      <c r="V751" s="127"/>
      <c r="W751" s="127"/>
      <c r="X751" s="127"/>
      <c r="Y751" s="127"/>
      <c r="Z751" s="127"/>
      <c r="AA751" s="127"/>
    </row>
    <row r="752" spans="1:27">
      <c r="A752" s="127"/>
      <c r="B752" s="127"/>
      <c r="C752" s="127"/>
      <c r="D752" s="139"/>
      <c r="E752" s="139"/>
      <c r="F752" s="139"/>
      <c r="G752" s="139"/>
      <c r="H752" s="139"/>
      <c r="I752" s="140"/>
      <c r="J752" s="141"/>
      <c r="K752" s="142"/>
      <c r="L752" s="127" t="str">
        <f ca="1"/>
        <v/>
      </c>
      <c r="M752" s="127"/>
      <c r="N752" s="127"/>
      <c r="O752" s="127"/>
      <c r="P752" s="127"/>
      <c r="Q752" s="127"/>
      <c r="R752" s="127"/>
      <c r="S752" s="127"/>
      <c r="T752" s="127"/>
      <c r="U752" s="127"/>
      <c r="V752" s="127"/>
      <c r="W752" s="127"/>
      <c r="X752" s="127"/>
      <c r="Y752" s="127"/>
      <c r="Z752" s="127"/>
      <c r="AA752" s="127"/>
    </row>
    <row r="753" spans="1:27">
      <c r="A753" s="127"/>
      <c r="B753" s="127"/>
      <c r="C753" s="127"/>
      <c r="D753" s="139"/>
      <c r="E753" s="139"/>
      <c r="F753" s="139"/>
      <c r="G753" s="139"/>
      <c r="H753" s="139"/>
      <c r="I753" s="140"/>
      <c r="J753" s="141"/>
      <c r="K753" s="142"/>
      <c r="L753" s="127" t="str">
        <f ca="1"/>
        <v/>
      </c>
      <c r="M753" s="127"/>
      <c r="N753" s="127"/>
      <c r="O753" s="127"/>
      <c r="P753" s="127"/>
      <c r="Q753" s="127"/>
      <c r="R753" s="127"/>
      <c r="S753" s="127"/>
      <c r="T753" s="127"/>
      <c r="U753" s="127"/>
      <c r="V753" s="127"/>
      <c r="W753" s="127"/>
      <c r="X753" s="127"/>
      <c r="Y753" s="127"/>
      <c r="Z753" s="127"/>
      <c r="AA753" s="127"/>
    </row>
    <row r="754" spans="1:27">
      <c r="A754" s="127"/>
      <c r="B754" s="127"/>
      <c r="C754" s="127"/>
      <c r="D754" s="139"/>
      <c r="E754" s="139"/>
      <c r="F754" s="139"/>
      <c r="G754" s="139"/>
      <c r="H754" s="139"/>
      <c r="I754" s="140"/>
      <c r="J754" s="141"/>
      <c r="K754" s="142"/>
      <c r="L754" s="127" t="str">
        <f ca="1"/>
        <v/>
      </c>
      <c r="M754" s="127"/>
      <c r="N754" s="127"/>
      <c r="O754" s="127"/>
      <c r="P754" s="127"/>
      <c r="Q754" s="127"/>
      <c r="R754" s="127"/>
      <c r="S754" s="127"/>
      <c r="T754" s="127"/>
      <c r="U754" s="127"/>
      <c r="V754" s="127"/>
      <c r="W754" s="127"/>
      <c r="X754" s="127"/>
      <c r="Y754" s="127"/>
      <c r="Z754" s="127"/>
      <c r="AA754" s="127"/>
    </row>
    <row r="755" spans="1:27">
      <c r="A755" s="127"/>
      <c r="B755" s="127"/>
      <c r="C755" s="127"/>
      <c r="D755" s="139"/>
      <c r="E755" s="139"/>
      <c r="F755" s="139"/>
      <c r="G755" s="139"/>
      <c r="H755" s="139"/>
      <c r="I755" s="140"/>
      <c r="J755" s="141"/>
      <c r="K755" s="142"/>
      <c r="L755" s="127" t="str">
        <f ca="1"/>
        <v/>
      </c>
      <c r="M755" s="127"/>
      <c r="N755" s="127"/>
      <c r="O755" s="127"/>
      <c r="P755" s="127"/>
      <c r="Q755" s="127"/>
      <c r="R755" s="127"/>
      <c r="S755" s="127"/>
      <c r="T755" s="127"/>
      <c r="U755" s="127"/>
      <c r="V755" s="127"/>
      <c r="W755" s="127"/>
      <c r="X755" s="127"/>
      <c r="Y755" s="127"/>
      <c r="Z755" s="127"/>
      <c r="AA755" s="127"/>
    </row>
    <row r="756" spans="1:27">
      <c r="A756" s="127"/>
      <c r="B756" s="127"/>
      <c r="C756" s="127"/>
      <c r="D756" s="139"/>
      <c r="E756" s="139"/>
      <c r="F756" s="139"/>
      <c r="G756" s="139"/>
      <c r="H756" s="139"/>
      <c r="I756" s="140"/>
      <c r="J756" s="141"/>
      <c r="K756" s="142"/>
      <c r="L756" s="127" t="str">
        <f ca="1"/>
        <v/>
      </c>
      <c r="M756" s="127"/>
      <c r="N756" s="127"/>
      <c r="O756" s="127"/>
      <c r="P756" s="127"/>
      <c r="Q756" s="127"/>
      <c r="R756" s="127"/>
      <c r="S756" s="127"/>
      <c r="T756" s="127"/>
      <c r="U756" s="127"/>
      <c r="V756" s="127"/>
      <c r="W756" s="127"/>
      <c r="X756" s="127"/>
      <c r="Y756" s="127"/>
      <c r="Z756" s="127"/>
      <c r="AA756" s="127"/>
    </row>
    <row r="757" spans="1:27">
      <c r="A757" s="127"/>
      <c r="B757" s="127"/>
      <c r="C757" s="127"/>
      <c r="D757" s="139"/>
      <c r="E757" s="139"/>
      <c r="F757" s="139"/>
      <c r="G757" s="139"/>
      <c r="H757" s="139"/>
      <c r="I757" s="140"/>
      <c r="J757" s="141"/>
      <c r="K757" s="142"/>
      <c r="L757" s="127" t="str">
        <f ca="1"/>
        <v/>
      </c>
      <c r="M757" s="127"/>
      <c r="N757" s="127"/>
      <c r="O757" s="127"/>
      <c r="P757" s="127"/>
      <c r="Q757" s="127"/>
      <c r="R757" s="127"/>
      <c r="S757" s="127"/>
      <c r="T757" s="127"/>
      <c r="U757" s="127"/>
      <c r="V757" s="127"/>
      <c r="W757" s="127"/>
      <c r="X757" s="127"/>
      <c r="Y757" s="127"/>
      <c r="Z757" s="127"/>
      <c r="AA757" s="127"/>
    </row>
    <row r="758" spans="1:27">
      <c r="A758" s="127"/>
      <c r="B758" s="127"/>
      <c r="C758" s="127"/>
      <c r="D758" s="139"/>
      <c r="E758" s="139"/>
      <c r="F758" s="139"/>
      <c r="G758" s="139"/>
      <c r="H758" s="139"/>
      <c r="I758" s="140"/>
      <c r="J758" s="141"/>
      <c r="K758" s="142"/>
      <c r="L758" s="127" t="str">
        <f ca="1"/>
        <v/>
      </c>
      <c r="M758" s="127"/>
      <c r="N758" s="127"/>
      <c r="O758" s="127"/>
      <c r="P758" s="127"/>
      <c r="Q758" s="127"/>
      <c r="R758" s="127"/>
      <c r="S758" s="127"/>
      <c r="T758" s="127"/>
      <c r="U758" s="127"/>
      <c r="V758" s="127"/>
      <c r="W758" s="127"/>
      <c r="X758" s="127"/>
      <c r="Y758" s="127"/>
      <c r="Z758" s="127"/>
      <c r="AA758" s="127"/>
    </row>
    <row r="759" spans="1:27">
      <c r="A759" s="127"/>
      <c r="B759" s="127"/>
      <c r="C759" s="127"/>
      <c r="D759" s="139"/>
      <c r="E759" s="139"/>
      <c r="F759" s="139"/>
      <c r="G759" s="139"/>
      <c r="H759" s="139"/>
      <c r="I759" s="140"/>
      <c r="J759" s="141"/>
      <c r="K759" s="142"/>
      <c r="L759" s="127" t="str">
        <f ca="1"/>
        <v/>
      </c>
      <c r="M759" s="127"/>
      <c r="N759" s="127"/>
      <c r="O759" s="127"/>
      <c r="P759" s="127"/>
      <c r="Q759" s="127"/>
      <c r="R759" s="127"/>
      <c r="S759" s="127"/>
      <c r="T759" s="127"/>
      <c r="U759" s="127"/>
      <c r="V759" s="127"/>
      <c r="W759" s="127"/>
      <c r="X759" s="127"/>
      <c r="Y759" s="127"/>
      <c r="Z759" s="127"/>
      <c r="AA759" s="127"/>
    </row>
    <row r="760" spans="1:27">
      <c r="A760" s="127"/>
      <c r="B760" s="127"/>
      <c r="C760" s="127"/>
      <c r="D760" s="139"/>
      <c r="E760" s="139"/>
      <c r="F760" s="139"/>
      <c r="G760" s="139"/>
      <c r="H760" s="139"/>
      <c r="I760" s="140"/>
      <c r="J760" s="141"/>
      <c r="K760" s="142"/>
      <c r="L760" s="127" t="str">
        <f ca="1"/>
        <v/>
      </c>
      <c r="M760" s="127"/>
      <c r="N760" s="127"/>
      <c r="O760" s="127"/>
      <c r="P760" s="127"/>
      <c r="Q760" s="127"/>
      <c r="R760" s="127"/>
      <c r="S760" s="127"/>
      <c r="T760" s="127"/>
      <c r="U760" s="127"/>
      <c r="V760" s="127"/>
      <c r="W760" s="127"/>
      <c r="X760" s="127"/>
      <c r="Y760" s="127"/>
      <c r="Z760" s="127"/>
      <c r="AA760" s="127"/>
    </row>
    <row r="761" spans="1:27">
      <c r="A761" s="127"/>
      <c r="B761" s="127"/>
      <c r="C761" s="127"/>
      <c r="D761" s="139"/>
      <c r="E761" s="139"/>
      <c r="F761" s="139"/>
      <c r="G761" s="139"/>
      <c r="H761" s="139"/>
      <c r="I761" s="140"/>
      <c r="J761" s="141"/>
      <c r="K761" s="142"/>
      <c r="L761" s="127" t="str">
        <f ca="1"/>
        <v/>
      </c>
      <c r="M761" s="127"/>
      <c r="N761" s="127"/>
      <c r="O761" s="127"/>
      <c r="P761" s="127"/>
      <c r="Q761" s="127"/>
      <c r="R761" s="127"/>
      <c r="S761" s="127"/>
      <c r="T761" s="127"/>
      <c r="U761" s="127"/>
      <c r="V761" s="127"/>
      <c r="W761" s="127"/>
      <c r="X761" s="127"/>
      <c r="Y761" s="127"/>
      <c r="Z761" s="127"/>
      <c r="AA761" s="127"/>
    </row>
    <row r="762" spans="1:27">
      <c r="A762" s="127"/>
      <c r="B762" s="127"/>
      <c r="C762" s="127"/>
      <c r="D762" s="139"/>
      <c r="E762" s="139"/>
      <c r="F762" s="139"/>
      <c r="G762" s="139"/>
      <c r="H762" s="139"/>
      <c r="I762" s="140"/>
      <c r="J762" s="141"/>
      <c r="K762" s="142"/>
      <c r="L762" s="127" t="str">
        <f ca="1"/>
        <v/>
      </c>
      <c r="M762" s="127"/>
      <c r="N762" s="127"/>
      <c r="O762" s="127"/>
      <c r="P762" s="127"/>
      <c r="Q762" s="127"/>
      <c r="R762" s="127"/>
      <c r="S762" s="127"/>
      <c r="T762" s="127"/>
      <c r="U762" s="127"/>
      <c r="V762" s="127"/>
      <c r="W762" s="127"/>
      <c r="X762" s="127"/>
      <c r="Y762" s="127"/>
      <c r="Z762" s="127"/>
      <c r="AA762" s="127"/>
    </row>
    <row r="763" spans="1:27">
      <c r="A763" s="127"/>
      <c r="B763" s="127"/>
      <c r="C763" s="127"/>
      <c r="D763" s="139"/>
      <c r="E763" s="139"/>
      <c r="F763" s="139"/>
      <c r="G763" s="139"/>
      <c r="H763" s="139"/>
      <c r="I763" s="140"/>
      <c r="J763" s="141"/>
      <c r="K763" s="142"/>
      <c r="L763" s="127" t="str">
        <f ca="1"/>
        <v/>
      </c>
      <c r="M763" s="127"/>
      <c r="N763" s="127"/>
      <c r="O763" s="127"/>
      <c r="P763" s="127"/>
      <c r="Q763" s="127"/>
      <c r="R763" s="127"/>
      <c r="S763" s="127"/>
      <c r="T763" s="127"/>
      <c r="U763" s="127"/>
      <c r="V763" s="127"/>
      <c r="W763" s="127"/>
      <c r="X763" s="127"/>
      <c r="Y763" s="127"/>
      <c r="Z763" s="127"/>
      <c r="AA763" s="127"/>
    </row>
    <row r="764" spans="1:27">
      <c r="A764" s="127"/>
      <c r="B764" s="127"/>
      <c r="C764" s="127"/>
      <c r="D764" s="139"/>
      <c r="E764" s="139"/>
      <c r="F764" s="139"/>
      <c r="G764" s="139"/>
      <c r="H764" s="139"/>
      <c r="I764" s="140"/>
      <c r="J764" s="141"/>
      <c r="K764" s="142"/>
      <c r="L764" s="127" t="str">
        <f ca="1"/>
        <v/>
      </c>
      <c r="M764" s="127"/>
      <c r="N764" s="127"/>
      <c r="O764" s="127"/>
      <c r="P764" s="127"/>
      <c r="Q764" s="127"/>
      <c r="R764" s="127"/>
      <c r="S764" s="127"/>
      <c r="T764" s="127"/>
      <c r="U764" s="127"/>
      <c r="V764" s="127"/>
      <c r="W764" s="127"/>
      <c r="X764" s="127"/>
      <c r="Y764" s="127"/>
      <c r="Z764" s="127"/>
      <c r="AA764" s="127"/>
    </row>
    <row r="765" spans="1:27">
      <c r="A765" s="127"/>
      <c r="B765" s="127"/>
      <c r="C765" s="127"/>
      <c r="D765" s="139"/>
      <c r="E765" s="139"/>
      <c r="F765" s="139"/>
      <c r="G765" s="139"/>
      <c r="H765" s="139"/>
      <c r="I765" s="140"/>
      <c r="J765" s="141"/>
      <c r="K765" s="142"/>
      <c r="L765" s="127" t="str">
        <f ca="1"/>
        <v/>
      </c>
      <c r="M765" s="127"/>
      <c r="N765" s="127"/>
      <c r="O765" s="127"/>
      <c r="P765" s="127"/>
      <c r="Q765" s="127"/>
      <c r="R765" s="127"/>
      <c r="S765" s="127"/>
      <c r="T765" s="127"/>
      <c r="U765" s="127"/>
      <c r="V765" s="127"/>
      <c r="W765" s="127"/>
      <c r="X765" s="127"/>
      <c r="Y765" s="127"/>
      <c r="Z765" s="127"/>
      <c r="AA765" s="127"/>
    </row>
    <row r="766" spans="1:27">
      <c r="A766" s="127"/>
      <c r="B766" s="127"/>
      <c r="C766" s="127"/>
      <c r="D766" s="139"/>
      <c r="E766" s="139"/>
      <c r="F766" s="139"/>
      <c r="G766" s="139"/>
      <c r="H766" s="139"/>
      <c r="I766" s="140"/>
      <c r="J766" s="141"/>
      <c r="K766" s="142"/>
      <c r="L766" s="127" t="str">
        <f ca="1"/>
        <v/>
      </c>
      <c r="M766" s="127"/>
      <c r="N766" s="127"/>
      <c r="O766" s="127"/>
      <c r="P766" s="127"/>
      <c r="Q766" s="127"/>
      <c r="R766" s="127"/>
      <c r="S766" s="127"/>
      <c r="T766" s="127"/>
      <c r="U766" s="127"/>
      <c r="V766" s="127"/>
      <c r="W766" s="127"/>
      <c r="X766" s="127"/>
      <c r="Y766" s="127"/>
      <c r="Z766" s="127"/>
      <c r="AA766" s="127"/>
    </row>
    <row r="767" spans="1:27">
      <c r="A767" s="127"/>
      <c r="B767" s="127"/>
      <c r="C767" s="127"/>
      <c r="D767" s="139"/>
      <c r="E767" s="139"/>
      <c r="F767" s="139"/>
      <c r="G767" s="139"/>
      <c r="H767" s="139"/>
      <c r="I767" s="140"/>
      <c r="J767" s="141"/>
      <c r="K767" s="142"/>
      <c r="L767" s="127" t="str">
        <f ca="1"/>
        <v/>
      </c>
      <c r="M767" s="127"/>
      <c r="N767" s="127"/>
      <c r="O767" s="127"/>
      <c r="P767" s="127"/>
      <c r="Q767" s="127"/>
      <c r="R767" s="127"/>
      <c r="S767" s="127"/>
      <c r="T767" s="127"/>
      <c r="U767" s="127"/>
      <c r="V767" s="127"/>
      <c r="W767" s="127"/>
      <c r="X767" s="127"/>
      <c r="Y767" s="127"/>
      <c r="Z767" s="127"/>
      <c r="AA767" s="127"/>
    </row>
    <row r="768" spans="1:27">
      <c r="A768" s="127"/>
      <c r="B768" s="127"/>
      <c r="C768" s="127"/>
      <c r="D768" s="139"/>
      <c r="E768" s="139"/>
      <c r="F768" s="139"/>
      <c r="G768" s="139"/>
      <c r="H768" s="139"/>
      <c r="I768" s="140"/>
      <c r="J768" s="141"/>
      <c r="K768" s="142"/>
      <c r="L768" s="127" t="str">
        <f ca="1"/>
        <v/>
      </c>
      <c r="M768" s="127"/>
      <c r="N768" s="127"/>
      <c r="O768" s="127"/>
      <c r="P768" s="127"/>
      <c r="Q768" s="127"/>
      <c r="R768" s="127"/>
      <c r="S768" s="127"/>
      <c r="T768" s="127"/>
      <c r="U768" s="127"/>
      <c r="V768" s="127"/>
      <c r="W768" s="127"/>
      <c r="X768" s="127"/>
      <c r="Y768" s="127"/>
      <c r="Z768" s="127"/>
      <c r="AA768" s="127"/>
    </row>
    <row r="769" spans="1:27">
      <c r="A769" s="127"/>
      <c r="B769" s="127"/>
      <c r="C769" s="127"/>
      <c r="D769" s="139"/>
      <c r="E769" s="139"/>
      <c r="F769" s="139"/>
      <c r="G769" s="139"/>
      <c r="H769" s="139"/>
      <c r="I769" s="140"/>
      <c r="J769" s="141"/>
      <c r="K769" s="142"/>
      <c r="L769" s="127" t="str">
        <f ca="1"/>
        <v/>
      </c>
      <c r="M769" s="127"/>
      <c r="N769" s="127"/>
      <c r="O769" s="127"/>
      <c r="P769" s="127"/>
      <c r="Q769" s="127"/>
      <c r="R769" s="127"/>
      <c r="S769" s="127"/>
      <c r="T769" s="127"/>
      <c r="U769" s="127"/>
      <c r="V769" s="127"/>
      <c r="W769" s="127"/>
      <c r="X769" s="127"/>
      <c r="Y769" s="127"/>
      <c r="Z769" s="127"/>
      <c r="AA769" s="127"/>
    </row>
    <row r="770" spans="1:27">
      <c r="A770" s="127"/>
      <c r="B770" s="127"/>
      <c r="C770" s="127"/>
      <c r="D770" s="139"/>
      <c r="E770" s="139"/>
      <c r="F770" s="139"/>
      <c r="G770" s="139"/>
      <c r="H770" s="139"/>
      <c r="I770" s="140"/>
      <c r="J770" s="141"/>
      <c r="K770" s="142"/>
      <c r="L770" s="127" t="str">
        <f ca="1"/>
        <v/>
      </c>
      <c r="M770" s="127"/>
      <c r="N770" s="127"/>
      <c r="O770" s="127"/>
      <c r="P770" s="127"/>
      <c r="Q770" s="127"/>
      <c r="R770" s="127"/>
      <c r="S770" s="127"/>
      <c r="T770" s="127"/>
      <c r="U770" s="127"/>
      <c r="V770" s="127"/>
      <c r="W770" s="127"/>
      <c r="X770" s="127"/>
      <c r="Y770" s="127"/>
      <c r="Z770" s="127"/>
      <c r="AA770" s="127"/>
    </row>
    <row r="771" spans="1:27">
      <c r="A771" s="127"/>
      <c r="B771" s="127"/>
      <c r="C771" s="127"/>
      <c r="D771" s="139"/>
      <c r="E771" s="139"/>
      <c r="F771" s="139"/>
      <c r="G771" s="139"/>
      <c r="H771" s="139"/>
      <c r="I771" s="140"/>
      <c r="J771" s="141"/>
      <c r="K771" s="142"/>
      <c r="L771" s="127" t="str">
        <f ca="1"/>
        <v/>
      </c>
      <c r="M771" s="127"/>
      <c r="N771" s="127"/>
      <c r="O771" s="127"/>
      <c r="P771" s="127"/>
      <c r="Q771" s="127"/>
      <c r="R771" s="127"/>
      <c r="S771" s="127"/>
      <c r="T771" s="127"/>
      <c r="U771" s="127"/>
      <c r="V771" s="127"/>
      <c r="W771" s="127"/>
      <c r="X771" s="127"/>
      <c r="Y771" s="127"/>
      <c r="Z771" s="127"/>
      <c r="AA771" s="127"/>
    </row>
    <row r="772" spans="1:27">
      <c r="A772" s="127"/>
      <c r="B772" s="127"/>
      <c r="C772" s="127"/>
      <c r="D772" s="139"/>
      <c r="E772" s="139"/>
      <c r="F772" s="139"/>
      <c r="G772" s="139"/>
      <c r="H772" s="139"/>
      <c r="I772" s="140"/>
      <c r="J772" s="141"/>
      <c r="K772" s="142"/>
      <c r="L772" s="127" t="str">
        <f ca="1"/>
        <v/>
      </c>
      <c r="M772" s="127"/>
      <c r="N772" s="127"/>
      <c r="O772" s="127"/>
      <c r="P772" s="127"/>
      <c r="Q772" s="127"/>
      <c r="R772" s="127"/>
      <c r="S772" s="127"/>
      <c r="T772" s="127"/>
      <c r="U772" s="127"/>
      <c r="V772" s="127"/>
      <c r="W772" s="127"/>
      <c r="X772" s="127"/>
      <c r="Y772" s="127"/>
      <c r="Z772" s="127"/>
      <c r="AA772" s="127"/>
    </row>
    <row r="773" spans="1:27">
      <c r="A773" s="127"/>
      <c r="B773" s="127"/>
      <c r="C773" s="127"/>
      <c r="D773" s="139"/>
      <c r="E773" s="139"/>
      <c r="F773" s="139"/>
      <c r="G773" s="139"/>
      <c r="H773" s="139"/>
      <c r="I773" s="140"/>
      <c r="J773" s="141"/>
      <c r="K773" s="142"/>
      <c r="L773" s="127" t="str">
        <f ca="1"/>
        <v/>
      </c>
      <c r="M773" s="127"/>
      <c r="N773" s="127"/>
      <c r="O773" s="127"/>
      <c r="P773" s="127"/>
      <c r="Q773" s="127"/>
      <c r="R773" s="127"/>
      <c r="S773" s="127"/>
      <c r="T773" s="127"/>
      <c r="U773" s="127"/>
      <c r="V773" s="127"/>
      <c r="W773" s="127"/>
      <c r="X773" s="127"/>
      <c r="Y773" s="127"/>
      <c r="Z773" s="127"/>
      <c r="AA773" s="127"/>
    </row>
    <row r="774" spans="1:27">
      <c r="A774" s="127"/>
      <c r="B774" s="127"/>
      <c r="C774" s="127"/>
      <c r="D774" s="139"/>
      <c r="E774" s="139"/>
      <c r="F774" s="139"/>
      <c r="G774" s="139"/>
      <c r="H774" s="139"/>
      <c r="I774" s="140"/>
      <c r="J774" s="141"/>
      <c r="K774" s="142"/>
      <c r="L774" s="127" t="str">
        <f ca="1"/>
        <v/>
      </c>
      <c r="M774" s="127"/>
      <c r="N774" s="127"/>
      <c r="O774" s="127"/>
      <c r="P774" s="127"/>
      <c r="Q774" s="127"/>
      <c r="R774" s="127"/>
      <c r="S774" s="127"/>
      <c r="T774" s="127"/>
      <c r="U774" s="127"/>
      <c r="V774" s="127"/>
      <c r="W774" s="127"/>
      <c r="X774" s="127"/>
      <c r="Y774" s="127"/>
      <c r="Z774" s="127"/>
      <c r="AA774" s="127"/>
    </row>
    <row r="775" spans="1:27">
      <c r="A775" s="127"/>
      <c r="B775" s="127"/>
      <c r="C775" s="127"/>
      <c r="D775" s="139"/>
      <c r="E775" s="139"/>
      <c r="F775" s="139"/>
      <c r="G775" s="139"/>
      <c r="H775" s="139"/>
      <c r="I775" s="140"/>
      <c r="J775" s="141"/>
      <c r="K775" s="142"/>
      <c r="L775" s="127" t="str">
        <f ca="1"/>
        <v/>
      </c>
      <c r="M775" s="127"/>
      <c r="N775" s="127"/>
      <c r="O775" s="127"/>
      <c r="P775" s="127"/>
      <c r="Q775" s="127"/>
      <c r="R775" s="127"/>
      <c r="S775" s="127"/>
      <c r="T775" s="127"/>
      <c r="U775" s="127"/>
      <c r="V775" s="127"/>
      <c r="W775" s="127"/>
      <c r="X775" s="127"/>
      <c r="Y775" s="127"/>
      <c r="Z775" s="127"/>
      <c r="AA775" s="127"/>
    </row>
    <row r="776" spans="1:27">
      <c r="A776" s="127"/>
      <c r="B776" s="127"/>
      <c r="C776" s="127"/>
      <c r="D776" s="139"/>
      <c r="E776" s="139"/>
      <c r="F776" s="139"/>
      <c r="G776" s="139"/>
      <c r="H776" s="139"/>
      <c r="I776" s="140"/>
      <c r="J776" s="141"/>
      <c r="K776" s="142"/>
      <c r="L776" s="127" t="str">
        <f ca="1"/>
        <v/>
      </c>
      <c r="M776" s="127"/>
      <c r="N776" s="127"/>
      <c r="O776" s="127"/>
      <c r="P776" s="127"/>
      <c r="Q776" s="127"/>
      <c r="R776" s="127"/>
      <c r="S776" s="127"/>
      <c r="T776" s="127"/>
      <c r="U776" s="127"/>
      <c r="V776" s="127"/>
      <c r="W776" s="127"/>
      <c r="X776" s="127"/>
      <c r="Y776" s="127"/>
      <c r="Z776" s="127"/>
      <c r="AA776" s="127"/>
    </row>
    <row r="777" spans="1:27">
      <c r="A777" s="127"/>
      <c r="B777" s="127"/>
      <c r="C777" s="127"/>
      <c r="D777" s="139"/>
      <c r="E777" s="139"/>
      <c r="F777" s="139"/>
      <c r="G777" s="139"/>
      <c r="H777" s="139"/>
      <c r="I777" s="140"/>
      <c r="J777" s="141"/>
      <c r="K777" s="142"/>
      <c r="L777" s="127" t="str">
        <f ca="1"/>
        <v/>
      </c>
      <c r="M777" s="127"/>
      <c r="N777" s="127"/>
      <c r="O777" s="127"/>
      <c r="P777" s="127"/>
      <c r="Q777" s="127"/>
      <c r="R777" s="127"/>
      <c r="S777" s="127"/>
      <c r="T777" s="127"/>
      <c r="U777" s="127"/>
      <c r="V777" s="127"/>
      <c r="W777" s="127"/>
      <c r="X777" s="127"/>
      <c r="Y777" s="127"/>
      <c r="Z777" s="127"/>
      <c r="AA777" s="127"/>
    </row>
    <row r="778" spans="1:27">
      <c r="A778" s="127"/>
      <c r="B778" s="127"/>
      <c r="C778" s="127"/>
      <c r="D778" s="139"/>
      <c r="E778" s="139"/>
      <c r="F778" s="139"/>
      <c r="G778" s="139"/>
      <c r="H778" s="139"/>
      <c r="I778" s="140"/>
      <c r="J778" s="141"/>
      <c r="K778" s="142"/>
      <c r="L778" s="127" t="str">
        <f ca="1"/>
        <v/>
      </c>
      <c r="M778" s="127"/>
      <c r="N778" s="127"/>
      <c r="O778" s="127"/>
      <c r="P778" s="127"/>
      <c r="Q778" s="127"/>
      <c r="R778" s="127"/>
      <c r="S778" s="127"/>
      <c r="T778" s="127"/>
      <c r="U778" s="127"/>
      <c r="V778" s="127"/>
      <c r="W778" s="127"/>
      <c r="X778" s="127"/>
      <c r="Y778" s="127"/>
      <c r="Z778" s="127"/>
      <c r="AA778" s="127"/>
    </row>
    <row r="779" spans="1:27">
      <c r="A779" s="127"/>
      <c r="B779" s="127"/>
      <c r="C779" s="127"/>
      <c r="D779" s="139"/>
      <c r="E779" s="139"/>
      <c r="F779" s="139"/>
      <c r="G779" s="139"/>
      <c r="H779" s="139"/>
      <c r="I779" s="140"/>
      <c r="J779" s="141"/>
      <c r="K779" s="142"/>
      <c r="L779" s="127" t="str">
        <f ca="1"/>
        <v/>
      </c>
      <c r="M779" s="127"/>
      <c r="N779" s="127"/>
      <c r="O779" s="127"/>
      <c r="P779" s="127"/>
      <c r="Q779" s="127"/>
      <c r="R779" s="127"/>
      <c r="S779" s="127"/>
      <c r="T779" s="127"/>
      <c r="U779" s="127"/>
      <c r="V779" s="127"/>
      <c r="W779" s="127"/>
      <c r="X779" s="127"/>
      <c r="Y779" s="127"/>
      <c r="Z779" s="127"/>
      <c r="AA779" s="127"/>
    </row>
    <row r="780" spans="1:27">
      <c r="A780" s="127"/>
      <c r="B780" s="127"/>
      <c r="C780" s="127"/>
      <c r="D780" s="139"/>
      <c r="E780" s="139"/>
      <c r="F780" s="139"/>
      <c r="G780" s="139"/>
      <c r="H780" s="139"/>
      <c r="I780" s="140"/>
      <c r="J780" s="141"/>
      <c r="K780" s="142"/>
      <c r="L780" s="127" t="str">
        <f ca="1"/>
        <v/>
      </c>
      <c r="M780" s="127"/>
      <c r="N780" s="127"/>
      <c r="O780" s="127"/>
      <c r="P780" s="127"/>
      <c r="Q780" s="127"/>
      <c r="R780" s="127"/>
      <c r="S780" s="127"/>
      <c r="T780" s="127"/>
      <c r="U780" s="127"/>
      <c r="V780" s="127"/>
      <c r="W780" s="127"/>
      <c r="X780" s="127"/>
      <c r="Y780" s="127"/>
      <c r="Z780" s="127"/>
      <c r="AA780" s="127"/>
    </row>
    <row r="781" spans="1:27">
      <c r="A781" s="127"/>
      <c r="B781" s="127"/>
      <c r="C781" s="127"/>
      <c r="D781" s="139"/>
      <c r="E781" s="139"/>
      <c r="F781" s="139"/>
      <c r="G781" s="139"/>
      <c r="H781" s="139"/>
      <c r="I781" s="140"/>
      <c r="J781" s="141"/>
      <c r="K781" s="142"/>
      <c r="L781" s="127" t="str">
        <f ca="1"/>
        <v/>
      </c>
      <c r="M781" s="127"/>
      <c r="N781" s="127"/>
      <c r="O781" s="127"/>
      <c r="P781" s="127"/>
      <c r="Q781" s="127"/>
      <c r="R781" s="127"/>
      <c r="S781" s="127"/>
      <c r="T781" s="127"/>
      <c r="U781" s="127"/>
      <c r="V781" s="127"/>
      <c r="W781" s="127"/>
      <c r="X781" s="127"/>
      <c r="Y781" s="127"/>
      <c r="Z781" s="127"/>
      <c r="AA781" s="127"/>
    </row>
    <row r="782" spans="1:27">
      <c r="A782" s="127"/>
      <c r="B782" s="127"/>
      <c r="C782" s="127"/>
      <c r="D782" s="139"/>
      <c r="E782" s="139"/>
      <c r="F782" s="139"/>
      <c r="G782" s="139"/>
      <c r="H782" s="139"/>
      <c r="I782" s="140"/>
      <c r="J782" s="141"/>
      <c r="K782" s="142"/>
      <c r="L782" s="127" t="str">
        <f ca="1"/>
        <v/>
      </c>
      <c r="M782" s="127"/>
      <c r="N782" s="127"/>
      <c r="O782" s="127"/>
      <c r="P782" s="127"/>
      <c r="Q782" s="127"/>
      <c r="R782" s="127"/>
      <c r="S782" s="127"/>
      <c r="T782" s="127"/>
      <c r="U782" s="127"/>
      <c r="V782" s="127"/>
      <c r="W782" s="127"/>
      <c r="X782" s="127"/>
      <c r="Y782" s="127"/>
      <c r="Z782" s="127"/>
      <c r="AA782" s="127"/>
    </row>
    <row r="783" spans="1:27">
      <c r="A783" s="127"/>
      <c r="B783" s="127"/>
      <c r="C783" s="127"/>
      <c r="D783" s="139"/>
      <c r="E783" s="139"/>
      <c r="F783" s="139"/>
      <c r="G783" s="139"/>
      <c r="H783" s="139"/>
      <c r="I783" s="140"/>
      <c r="J783" s="141"/>
      <c r="K783" s="142"/>
      <c r="L783" s="127" t="str">
        <f ca="1"/>
        <v/>
      </c>
      <c r="M783" s="127"/>
      <c r="N783" s="127"/>
      <c r="O783" s="127"/>
      <c r="P783" s="127"/>
      <c r="Q783" s="127"/>
      <c r="R783" s="127"/>
      <c r="S783" s="127"/>
      <c r="T783" s="127"/>
      <c r="U783" s="127"/>
      <c r="V783" s="127"/>
      <c r="W783" s="127"/>
      <c r="X783" s="127"/>
      <c r="Y783" s="127"/>
      <c r="Z783" s="127"/>
      <c r="AA783" s="127"/>
    </row>
  </sheetData>
  <conditionalFormatting sqref="E1:E783">
    <cfRule type="cellIs" dxfId="3" priority="1" operator="lessThan">
      <formula>1</formula>
    </cfRule>
  </conditionalFormatting>
  <conditionalFormatting sqref="G1:G783">
    <cfRule type="cellIs" dxfId="2" priority="2" operator="lessThan">
      <formula>5</formula>
    </cfRule>
  </conditionalFormatting>
  <conditionalFormatting sqref="F1:F783">
    <cfRule type="cellIs" dxfId="1" priority="3" operator="greaterThan">
      <formula>15000</formula>
    </cfRule>
  </conditionalFormatting>
  <conditionalFormatting sqref="H1:H783">
    <cfRule type="cellIs" dxfId="0" priority="4" operator="lessThan">
      <formula>1</formula>
    </cfRule>
  </conditionalFormatting>
  <hyperlinks>
    <hyperlink ref="D2" r:id="rId1" display="https://wa.me/6282242925264" xr:uid="{00000000-0004-0000-0900-000000000000}"/>
    <hyperlink ref="D3" r:id="rId2" display="https://wa.me/628115424402" xr:uid="{00000000-0004-0000-0900-000001000000}"/>
    <hyperlink ref="L3" r:id="rId3" display="https://adsmanager.facebook.com/adsmanager/manage/campaigns/edit/standalone?act=174904221976312&amp;selected_campaign_ids=120224030796970694" xr:uid="{00000000-0004-0000-0900-000002000000}"/>
    <hyperlink ref="D4" r:id="rId4" display="https://wa.me/6281241440688" xr:uid="{00000000-0004-0000-0900-000003000000}"/>
    <hyperlink ref="L4" r:id="rId5" display="https://adsmanager.facebook.com/adsmanager/manage/campaigns/edit/standalone?act=174904221976312&amp;selected_campaign_ids=120224403680120694" xr:uid="{00000000-0004-0000-0900-000004000000}"/>
    <hyperlink ref="D5" r:id="rId6" display="https://wa.me/6281378757554" xr:uid="{00000000-0004-0000-0900-000005000000}"/>
    <hyperlink ref="L5" r:id="rId7" display="https://adsmanager.facebook.com/adsmanager/manage/campaigns/edit/standalone?act=174904221976312&amp;selected_campaign_ids=120224679214120694" xr:uid="{00000000-0004-0000-0900-000006000000}"/>
    <hyperlink ref="L6" r:id="rId8" display="https://adsmanager.facebook.com/adsmanager/manage/campaigns/edit/standalone?act=174904221976312&amp;selected_campaign_ids=120224708398910694" xr:uid="{00000000-0004-0000-0900-000007000000}"/>
    <hyperlink ref="D7" r:id="rId9" display="https://wa.me/6282347206488" xr:uid="{00000000-0004-0000-0900-000008000000}"/>
    <hyperlink ref="L7" r:id="rId10" display="https://adsmanager.facebook.com/adsmanager/manage/campaigns/edit/standalone?act=174904221976312&amp;selected_campaign_ids=120224822861740694" xr:uid="{00000000-0004-0000-0900-000009000000}"/>
    <hyperlink ref="D8" r:id="rId11" display="https://wa.me/6282341426767" xr:uid="{00000000-0004-0000-0900-00000A000000}"/>
    <hyperlink ref="L8" r:id="rId12" display="https://adsmanager.facebook.com/adsmanager/manage/campaigns/edit/standalone?act=174904221976312&amp;selected_campaign_ids=120225065069670694" xr:uid="{00000000-0004-0000-0900-00000B000000}"/>
    <hyperlink ref="D9" r:id="rId13" display="https://wa.me/62882001677470" xr:uid="{00000000-0004-0000-0900-00000C000000}"/>
    <hyperlink ref="L9" r:id="rId14" display="https://adsmanager.facebook.com/adsmanager/manage/campaigns/edit/standalone?act=174904221976312&amp;selected_campaign_ids=120225230850710694" xr:uid="{00000000-0004-0000-0900-00000D000000}"/>
    <hyperlink ref="D10" r:id="rId15" display="https://wa.me/6282226594414" xr:uid="{00000000-0004-0000-0900-00000E000000}"/>
    <hyperlink ref="L10" r:id="rId16" display="https://adsmanager.facebook.com/adsmanager/manage/campaigns/edit/standalone?act=174904221976312&amp;selected_campaign_ids=120225346217950694" xr:uid="{00000000-0004-0000-0900-00000F000000}"/>
    <hyperlink ref="D11" r:id="rId17" display="https://wa.me/6282226594414" xr:uid="{00000000-0004-0000-0900-000010000000}"/>
    <hyperlink ref="L11" r:id="rId18" display="https://adsmanager.facebook.com/adsmanager/manage/campaigns/edit/standalone?act=174904221976312&amp;selected_campaign_ids=120225366947220694" xr:uid="{00000000-0004-0000-0900-000011000000}"/>
    <hyperlink ref="D12" r:id="rId19" display="https://wa.me/6281263113266" xr:uid="{00000000-0004-0000-0900-000012000000}"/>
    <hyperlink ref="L12" r:id="rId20" display="https://adsmanager.facebook.com/adsmanager/manage/campaigns/edit/standalone?act=174904221976312&amp;selected_campaign_ids=120225575002440694" xr:uid="{00000000-0004-0000-0900-000013000000}"/>
    <hyperlink ref="D13" r:id="rId21" display="https://wa.me/6282172291579" xr:uid="{00000000-0004-0000-0900-000014000000}"/>
    <hyperlink ref="L13" r:id="rId22" display="https://adsmanager.facebook.com/adsmanager/manage/campaigns/edit/standalone?act=174904221976312&amp;selected_campaign_ids=120225711165240694" xr:uid="{00000000-0004-0000-0900-000015000000}"/>
    <hyperlink ref="D14" r:id="rId23" display="https://wa.me/6285376667233" xr:uid="{00000000-0004-0000-0900-000016000000}"/>
    <hyperlink ref="L14" r:id="rId24" display="https://adsmanager.facebook.com/adsmanager/manage/campaigns/edit/standalone?act=174904221976312&amp;selected_campaign_ids=120225732456000694" xr:uid="{00000000-0004-0000-0900-000017000000}"/>
    <hyperlink ref="D15" r:id="rId25" display="https://wa.me/6281348555887" xr:uid="{00000000-0004-0000-0900-000018000000}"/>
    <hyperlink ref="L15" r:id="rId26" display="https://adsmanager.facebook.com/adsmanager/manage/campaigns/edit/standalone?act=174904221976312&amp;selected_campaign_ids=120225732846460694" xr:uid="{00000000-0004-0000-0900-000019000000}"/>
    <hyperlink ref="D16" r:id="rId27" display="https://wa.me/6282183184641" xr:uid="{00000000-0004-0000-0900-00001A000000}"/>
    <hyperlink ref="L16" r:id="rId28" display="https://adsmanager.facebook.com/adsmanager/manage/campaigns/edit/standalone?act=174904221976312&amp;selected_campaign_ids=120225924609850694" xr:uid="{00000000-0004-0000-0900-00001B000000}"/>
    <hyperlink ref="D17" r:id="rId29" display="https://wa.me/6281399998259" xr:uid="{00000000-0004-0000-0900-00001C000000}"/>
    <hyperlink ref="L17" r:id="rId30" display="https://adsmanager.facebook.com/adsmanager/manage/campaigns/edit/standalone?act=174904221976312&amp;selected_campaign_ids=120225943524550694" xr:uid="{00000000-0004-0000-0900-00001D000000}"/>
    <hyperlink ref="D18" r:id="rId31" display="https://wa.me/6285211510282" xr:uid="{00000000-0004-0000-0900-00001E000000}"/>
    <hyperlink ref="L18" r:id="rId32" display="https://adsmanager.facebook.com/adsmanager/manage/campaigns/edit/standalone?act=174904221976312&amp;selected_campaign_ids=120225980267140694" xr:uid="{00000000-0004-0000-0900-00001F000000}"/>
    <hyperlink ref="L19" r:id="rId33" display="https://adsmanager.facebook.com/adsmanager/manage/campaigns/edit/standalone?act=174904221976312&amp;selected_campaign_ids=120226032160860694" xr:uid="{00000000-0004-0000-0900-000020000000}"/>
    <hyperlink ref="L20" r:id="rId34" display="https://adsmanager.facebook.com/adsmanager/manage/campaigns/edit/standalone?act=174904221976312&amp;selected_campaign_ids=120226052237140694" xr:uid="{00000000-0004-0000-0900-000021000000}"/>
    <hyperlink ref="L21" r:id="rId35" display="https://adsmanager.facebook.com/adsmanager/manage/campaigns/edit/standalone?act=174904221976312&amp;selected_campaign_ids=120226089458750694" xr:uid="{00000000-0004-0000-0900-000022000000}"/>
    <hyperlink ref="L22" r:id="rId36" display="https://adsmanager.facebook.com/adsmanager/manage/campaigns/edit/standalone?act=174904221976312&amp;selected_campaign_ids=120226351656870694" xr:uid="{00000000-0004-0000-0900-000023000000}"/>
    <hyperlink ref="D23" r:id="rId37" display="https://wa.me/6281263113266" xr:uid="{00000000-0004-0000-0900-000024000000}"/>
    <hyperlink ref="L23" r:id="rId38" display="https://adsmanager.facebook.com/adsmanager/manage/campaigns/edit/standalone?act=174904221976312&amp;selected_campaign_ids=120226351716450694" xr:uid="{00000000-0004-0000-0900-000025000000}"/>
    <hyperlink ref="D24" r:id="rId39" display="https://wa.me/628988759290" xr:uid="{00000000-0004-0000-0900-000026000000}"/>
    <hyperlink ref="L24" r:id="rId40" display="https://adsmanager.facebook.com/adsmanager/manage/campaigns/edit/standalone?act=174904221976312&amp;selected_campaign_ids=120226464082810694" xr:uid="{00000000-0004-0000-0900-000027000000}"/>
    <hyperlink ref="L25" r:id="rId41" display="https://adsmanager.facebook.com/adsmanager/manage/campaigns/edit/standalone?act=174904221976312&amp;selected_campaign_ids=120226538247460694" xr:uid="{00000000-0004-0000-0900-000028000000}"/>
    <hyperlink ref="D26" r:id="rId42" display="https://wa.me/6285864008882" xr:uid="{00000000-0004-0000-0900-000029000000}"/>
    <hyperlink ref="L26" r:id="rId43" display="https://adsmanager.facebook.com/adsmanager/manage/campaigns/edit/standalone?act=174904221976312&amp;selected_campaign_ids=120226539786220694" xr:uid="{00000000-0004-0000-0900-00002A000000}"/>
    <hyperlink ref="L27" r:id="rId44" display="https://adsmanager.facebook.com/adsmanager/manage/campaigns/edit/standalone?act=174904221976312&amp;selected_campaign_ids=120226642991680694" xr:uid="{00000000-0004-0000-0900-00002B000000}"/>
    <hyperlink ref="D28" r:id="rId45" display="https://wa.me/6281221788919" xr:uid="{00000000-0004-0000-0900-00002C000000}"/>
    <hyperlink ref="L28" r:id="rId46" display="https://adsmanager.facebook.com/adsmanager/manage/campaigns/edit/standalone?act=174904221976312&amp;selected_campaign_ids=120226804141930694" xr:uid="{00000000-0004-0000-0900-00002D000000}"/>
    <hyperlink ref="D29" r:id="rId47" display="https://wa.me/6282129040031" xr:uid="{00000000-0004-0000-0900-00002E000000}"/>
    <hyperlink ref="L29" r:id="rId48" display="https://adsmanager.facebook.com/adsmanager/manage/campaigns/edit/standalone?act=174904221976312&amp;selected_campaign_ids=120226887056380694" xr:uid="{00000000-0004-0000-0900-00002F000000}"/>
    <hyperlink ref="D30" r:id="rId49" display="https://wa.me/6281904501876" xr:uid="{00000000-0004-0000-0900-000030000000}"/>
    <hyperlink ref="L30" r:id="rId50" display="https://adsmanager.facebook.com/adsmanager/manage/campaigns/edit/standalone?act=174904221976312&amp;selected_campaign_ids=120226909635070694" xr:uid="{00000000-0004-0000-0900-000031000000}"/>
    <hyperlink ref="D31" r:id="rId51" display="https://wa.me/6281905836259" xr:uid="{00000000-0004-0000-0900-000032000000}"/>
    <hyperlink ref="L31" r:id="rId52" display="https://adsmanager.facebook.com/adsmanager/manage/campaigns/edit/standalone?act=174904221976312&amp;selected_campaign_ids=120226995405450694" xr:uid="{00000000-0004-0000-0900-000033000000}"/>
    <hyperlink ref="D32" r:id="rId53" display="https://wa.me/6282258886603" xr:uid="{00000000-0004-0000-0900-000034000000}"/>
    <hyperlink ref="L32" r:id="rId54" display="https://adsmanager.facebook.com/adsmanager/manage/campaigns/edit/standalone?act=174904221976312&amp;selected_campaign_ids=120227059548820694" xr:uid="{00000000-0004-0000-0900-000035000000}"/>
    <hyperlink ref="D33" r:id="rId55" display="https://wa.me/628127962347" xr:uid="{00000000-0004-0000-0900-000036000000}"/>
    <hyperlink ref="L33" r:id="rId56" display="https://adsmanager.facebook.com/adsmanager/manage/campaigns/edit/standalone?act=174904221976312&amp;selected_campaign_ids=120227065288400694" xr:uid="{00000000-0004-0000-0900-000037000000}"/>
    <hyperlink ref="D34" r:id="rId57" display="https://wa.me/62818585822" xr:uid="{00000000-0004-0000-0900-000038000000}"/>
    <hyperlink ref="L34" r:id="rId58" display="https://adsmanager.facebook.com/adsmanager/manage/campaigns/edit/standalone?act=174904221976312&amp;selected_campaign_ids=120227123792540694" xr:uid="{00000000-0004-0000-0900-000039000000}"/>
    <hyperlink ref="D35" r:id="rId59" display="https://wa.me/6287858585808" xr:uid="{00000000-0004-0000-0900-00003A000000}"/>
    <hyperlink ref="L35" r:id="rId60" display="https://adsmanager.facebook.com/adsmanager/manage/campaigns/edit/standalone?act=174904221976312&amp;selected_campaign_ids=120227123792540694" xr:uid="{00000000-0004-0000-0900-00003B000000}"/>
    <hyperlink ref="D36" r:id="rId61" display="https://wa.me/6285227384634" xr:uid="{00000000-0004-0000-0900-00003C000000}"/>
    <hyperlink ref="L36" r:id="rId62" display="https://adsmanager.facebook.com/adsmanager/manage/campaigns/edit/standalone?act=174904221976312&amp;selected_campaign_ids=120227215734130694" xr:uid="{00000000-0004-0000-0900-00003D000000}"/>
    <hyperlink ref="D37" r:id="rId63" display="https://wa.me/6285725492572" xr:uid="{00000000-0004-0000-0900-00003E000000}"/>
    <hyperlink ref="L37" r:id="rId64" display="https://adsmanager.facebook.com/adsmanager/manage/campaigns/edit/standalone?act=174904221976312&amp;selected_campaign_ids=120227216143480694" xr:uid="{00000000-0004-0000-0900-00003F000000}"/>
    <hyperlink ref="D38" r:id="rId65" display="https://wa.me/6281393958199" xr:uid="{00000000-0004-0000-0900-000040000000}"/>
    <hyperlink ref="L38" r:id="rId66" display="https://adsmanager.facebook.com/adsmanager/manage/campaigns/edit/standalone?act=174904221976312&amp;selected_campaign_ids=120227216728120694" xr:uid="{00000000-0004-0000-0900-000041000000}"/>
    <hyperlink ref="D39" r:id="rId67" display="https://wa.me/6285733774700" xr:uid="{00000000-0004-0000-0900-000042000000}"/>
    <hyperlink ref="L39" r:id="rId68" display="https://adsmanager.facebook.com/adsmanager/manage/campaigns/edit/standalone?act=174904221976312&amp;selected_campaign_ids=120227271468170694" xr:uid="{00000000-0004-0000-0900-000043000000}"/>
    <hyperlink ref="D40" r:id="rId69" display="https://wa.me/6281299907533" xr:uid="{00000000-0004-0000-0900-000044000000}"/>
    <hyperlink ref="L40" r:id="rId70" display="https://adsmanager.facebook.com/adsmanager/manage/campaigns/edit/standalone?act=174904221976312&amp;selected_campaign_ids=120227399886270694" xr:uid="{00000000-0004-0000-0900-000045000000}"/>
    <hyperlink ref="D41" r:id="rId71" display="https://wa.me/6282399721881" xr:uid="{00000000-0004-0000-0900-000046000000}"/>
    <hyperlink ref="L41" r:id="rId72" display="https://adsmanager.facebook.com/adsmanager/manage/campaigns/edit/standalone?act=174904221976312&amp;selected_campaign_ids=120227436680530694" xr:uid="{00000000-0004-0000-0900-000047000000}"/>
    <hyperlink ref="D42" r:id="rId73" display="https://wa.me/6282183184641" xr:uid="{00000000-0004-0000-0900-000048000000}"/>
    <hyperlink ref="L42" r:id="rId74" display="https://adsmanager.facebook.com/adsmanager/manage/campaigns/edit/standalone?act=174904221976312&amp;selected_campaign_ids=120227497328100694" xr:uid="{00000000-0004-0000-0900-000049000000}"/>
    <hyperlink ref="D43" r:id="rId75" display="https://wa.me/6282325874670" xr:uid="{00000000-0004-0000-0900-00004A000000}"/>
    <hyperlink ref="L43" r:id="rId76" display="https://adsmanager.facebook.com/adsmanager/manage/campaigns/edit/standalone?act=174904221976312&amp;selected_campaign_ids=120227519164270694" xr:uid="{00000000-0004-0000-0900-00004B000000}"/>
    <hyperlink ref="D44" r:id="rId77" display="https://wa.me/6285240694097" xr:uid="{00000000-0004-0000-0900-00004C000000}"/>
    <hyperlink ref="L44" r:id="rId78" display="https://adsmanager.facebook.com/adsmanager/manage/campaigns/edit/standalone?act=174904221976312&amp;selected_campaign_ids=120227564446300694" xr:uid="{00000000-0004-0000-0900-00004D000000}"/>
    <hyperlink ref="D45" r:id="rId79" display="https://wa.me/6285266218699" xr:uid="{00000000-0004-0000-0900-00004E000000}"/>
    <hyperlink ref="L45" r:id="rId80" display="https://adsmanager.facebook.com/adsmanager/manage/campaigns/edit/standalone?act=174904221976312&amp;selected_campaign_ids=120227578600790694" xr:uid="{00000000-0004-0000-0900-00004F000000}"/>
    <hyperlink ref="D46" r:id="rId81" display="https://wa.me/6281938563373" xr:uid="{00000000-0004-0000-0900-000050000000}"/>
    <hyperlink ref="L46" r:id="rId82" display="https://adsmanager.facebook.com/adsmanager/manage/campaigns/edit/standalone?act=174904221976312&amp;selected_campaign_ids=120227588298590694" xr:uid="{00000000-0004-0000-0900-000051000000}"/>
    <hyperlink ref="D47" r:id="rId83" display="https://wa.me/6281347156140" xr:uid="{00000000-0004-0000-0900-000052000000}"/>
    <hyperlink ref="L47" r:id="rId84" display="https://adsmanager.facebook.com/adsmanager/manage/campaigns/edit/standalone?act=174904221976312&amp;selected_campaign_ids=120227693238420694" xr:uid="{00000000-0004-0000-0900-000053000000}"/>
    <hyperlink ref="D48" r:id="rId85" display="https://wa.me/6281213589905" xr:uid="{00000000-0004-0000-0900-000054000000}"/>
    <hyperlink ref="L48" r:id="rId86" display="https://adsmanager.facebook.com/adsmanager/manage/campaigns/edit/standalone?act=174904221976312&amp;selected_campaign_ids=120227698210920694" xr:uid="{00000000-0004-0000-0900-000055000000}"/>
    <hyperlink ref="D49" r:id="rId87" display="https://wa.me/6288228976100" xr:uid="{00000000-0004-0000-0900-000056000000}"/>
    <hyperlink ref="L49" r:id="rId88" display="https://adsmanager.facebook.com/adsmanager/manage/campaigns/edit/standalone?act=174904221976312&amp;selected_campaign_ids=120227814930420694" xr:uid="{00000000-0004-0000-0900-000057000000}"/>
    <hyperlink ref="D50" r:id="rId89" display="https://wa.me/6285340323663" xr:uid="{00000000-0004-0000-0900-000058000000}"/>
    <hyperlink ref="L50" r:id="rId90" display="https://adsmanager.facebook.com/adsmanager/manage/campaigns/edit/standalone?act=174904221976312&amp;selected_campaign_ids=120227825449170694" xr:uid="{00000000-0004-0000-0900-000059000000}"/>
    <hyperlink ref="D51" r:id="rId91" display="https://wa.me/6281938563373" xr:uid="{00000000-0004-0000-0900-00005A000000}"/>
    <hyperlink ref="L51" r:id="rId92" display="https://adsmanager.facebook.com/adsmanager/manage/campaigns/edit/standalone?act=174904221976312&amp;selected_campaign_ids=120227828357290694" xr:uid="{00000000-0004-0000-0900-00005B000000}"/>
    <hyperlink ref="D52" r:id="rId93" display="https://wa.me/6281291128945" xr:uid="{00000000-0004-0000-0900-00005C000000}"/>
    <hyperlink ref="L52" r:id="rId94" display="https://adsmanager.facebook.com/adsmanager/manage/campaigns/edit/standalone?act=174904221976312&amp;selected_campaign_ids=120227890334950694" xr:uid="{00000000-0004-0000-0900-00005D000000}"/>
    <hyperlink ref="D53" r:id="rId95" display="https://wa.me/6281343148204" xr:uid="{00000000-0004-0000-0900-00005E000000}"/>
    <hyperlink ref="L53" r:id="rId96" display="https://adsmanager.facebook.com/adsmanager/manage/campaigns/edit/standalone?act=174904221976312&amp;selected_campaign_ids=120227891726170694" xr:uid="{00000000-0004-0000-0900-00005F000000}"/>
    <hyperlink ref="D54" r:id="rId97" display="https://wa.me/6285869122507" xr:uid="{00000000-0004-0000-0900-000060000000}"/>
    <hyperlink ref="L54" r:id="rId98" display="https://adsmanager.facebook.com/adsmanager/manage/campaigns/edit/standalone?act=174904221976312&amp;selected_campaign_ids=120227891949720694" xr:uid="{00000000-0004-0000-0900-000061000000}"/>
    <hyperlink ref="D55" r:id="rId99" display="https://wa.me/6282188390340" xr:uid="{00000000-0004-0000-0900-000062000000}"/>
    <hyperlink ref="L55" r:id="rId100" display="https://adsmanager.facebook.com/adsmanager/manage/campaigns/edit/standalone?act=174904221976312&amp;selected_campaign_ids=120227938431120694" xr:uid="{00000000-0004-0000-0900-000063000000}"/>
    <hyperlink ref="D56" r:id="rId101" display="https://wa.me/6282247030008" xr:uid="{00000000-0004-0000-0900-000064000000}"/>
    <hyperlink ref="L56" r:id="rId102" display="https://adsmanager.facebook.com/adsmanager/manage/campaigns/edit/standalone?act=174904221976312&amp;selected_campaign_ids=120227947213130694" xr:uid="{00000000-0004-0000-0900-000065000000}"/>
    <hyperlink ref="D57" r:id="rId103" display="https://wa.me/6282131666003" xr:uid="{00000000-0004-0000-0900-000066000000}"/>
    <hyperlink ref="L57" r:id="rId104" display="https://adsmanager.facebook.com/adsmanager/manage/campaigns/edit/standalone?act=174904221976312&amp;selected_campaign_ids=120228017355590694" xr:uid="{00000000-0004-0000-0900-000067000000}"/>
    <hyperlink ref="D58" r:id="rId105" display="https://wa.me/6282114053996" xr:uid="{00000000-0004-0000-0900-000068000000}"/>
    <hyperlink ref="L58" r:id="rId106" display="https://adsmanager.facebook.com/adsmanager/manage/campaigns/edit/standalone?act=174904221976312&amp;selected_campaign_ids=120228021613470694" xr:uid="{00000000-0004-0000-0900-000069000000}"/>
    <hyperlink ref="D59" r:id="rId107" display="https://wa.me/6285263289844" xr:uid="{00000000-0004-0000-0900-00006A000000}"/>
    <hyperlink ref="L59" r:id="rId108" display="https://adsmanager.facebook.com/adsmanager/manage/campaigns/edit/standalone?act=174904221976312&amp;selected_campaign_ids=120228023842860694" xr:uid="{00000000-0004-0000-0900-00006B000000}"/>
    <hyperlink ref="D60" r:id="rId109" display="https://wa.me/6281934879222" xr:uid="{00000000-0004-0000-0900-00006C000000}"/>
    <hyperlink ref="L60" r:id="rId110" display="https://adsmanager.facebook.com/adsmanager/manage/campaigns/edit/standalone?act=174904221976312&amp;selected_campaign_ids=120228048305310694" xr:uid="{00000000-0004-0000-0900-00006D000000}"/>
    <hyperlink ref="D61" r:id="rId111" display="https://wa.me/6281378152512" xr:uid="{00000000-0004-0000-0900-00006E000000}"/>
    <hyperlink ref="L61" r:id="rId112" display="https://adsmanager.facebook.com/adsmanager/manage/campaigns/edit/standalone?act=174904221976312&amp;selected_campaign_ids=120228084912580694" xr:uid="{00000000-0004-0000-0900-00006F000000}"/>
    <hyperlink ref="D62" r:id="rId113" display="https://wa.me/6281352626888" xr:uid="{00000000-0004-0000-0900-000070000000}"/>
    <hyperlink ref="L62" r:id="rId114" display="https://adsmanager.facebook.com/adsmanager/manage/campaigns/edit/standalone?act=174904221976312&amp;selected_campaign_ids=120228138031140694" xr:uid="{00000000-0004-0000-0900-000071000000}"/>
    <hyperlink ref="D63" r:id="rId115" display="https://wa.me/6281355026552" xr:uid="{00000000-0004-0000-0900-000072000000}"/>
    <hyperlink ref="L63" r:id="rId116" display="https://adsmanager.facebook.com/adsmanager/manage/campaigns/edit/standalone?act=174904221976312&amp;selected_campaign_ids=120228138360020694" xr:uid="{00000000-0004-0000-0900-000073000000}"/>
    <hyperlink ref="D64" r:id="rId117" display="https://wa.me/6282125000978" xr:uid="{00000000-0004-0000-0900-000074000000}"/>
    <hyperlink ref="L64" r:id="rId118" display="https://adsmanager.facebook.com/adsmanager/manage/campaigns/edit/standalone?act=174904221976312&amp;selected_campaign_ids=120228138398410694" xr:uid="{00000000-0004-0000-0900-000075000000}"/>
    <hyperlink ref="D65" r:id="rId119" display="https://wa.me/6285727410479" xr:uid="{00000000-0004-0000-0900-000076000000}"/>
    <hyperlink ref="L65" r:id="rId120" display="https://adsmanager.facebook.com/adsmanager/manage/campaigns/edit/standalone?act=174904221976312&amp;selected_campaign_ids=120228138398410694" xr:uid="{00000000-0004-0000-0900-000077000000}"/>
    <hyperlink ref="D66" r:id="rId121" display="https://wa.me/6282227027805" xr:uid="{00000000-0004-0000-0900-000078000000}"/>
    <hyperlink ref="L66" r:id="rId122" display="https://adsmanager.facebook.com/adsmanager/manage/campaigns/edit/standalone?act=174904221976312&amp;selected_campaign_ids=120228143312350694" xr:uid="{00000000-0004-0000-0900-000079000000}"/>
    <hyperlink ref="D67" r:id="rId123" display="https://wa.me/6282192773278" xr:uid="{00000000-0004-0000-0900-00007A000000}"/>
    <hyperlink ref="L67" r:id="rId124" display="https://adsmanager.facebook.com/adsmanager/manage/campaigns/edit/standalone?act=174904221976312&amp;selected_campaign_ids=120228143698380694" xr:uid="{00000000-0004-0000-0900-00007B000000}"/>
    <hyperlink ref="D68" r:id="rId125" display="https://wa.me/6282115608585" xr:uid="{00000000-0004-0000-0900-00007C000000}"/>
    <hyperlink ref="L68" r:id="rId126" display="https://adsmanager.facebook.com/adsmanager/manage/campaigns/edit/standalone?act=174904221976312&amp;selected_campaign_ids=120228143940810694" xr:uid="{00000000-0004-0000-0900-00007D000000}"/>
    <hyperlink ref="D69" r:id="rId127" display="https://wa.me/6281943398970" xr:uid="{00000000-0004-0000-0900-00007E000000}"/>
    <hyperlink ref="L69" r:id="rId128" display="https://adsmanager.facebook.com/adsmanager/manage/campaigns/edit/standalone?act=174904221976312&amp;selected_campaign_ids=120228159122310694" xr:uid="{00000000-0004-0000-0900-00007F000000}"/>
    <hyperlink ref="D70" r:id="rId129" display="https://wa.me/628111508569" xr:uid="{00000000-0004-0000-0900-000080000000}"/>
    <hyperlink ref="L70" r:id="rId130" display="https://adsmanager.facebook.com/adsmanager/manage/campaigns/edit/standalone?act=174904221976312&amp;selected_campaign_ids=120228159283580694" xr:uid="{00000000-0004-0000-0900-000081000000}"/>
    <hyperlink ref="D71" r:id="rId131" display="https://wa.me/6282125330919" xr:uid="{00000000-0004-0000-0900-000082000000}"/>
    <hyperlink ref="L71" r:id="rId132" display="https://adsmanager.facebook.com/adsmanager/manage/campaigns/edit/standalone?act=174904221976312&amp;selected_campaign_ids=120228167785840694" xr:uid="{00000000-0004-0000-0900-000083000000}"/>
    <hyperlink ref="D72" r:id="rId133" display="https://wa.me/6282169851900" xr:uid="{00000000-0004-0000-0900-000084000000}"/>
    <hyperlink ref="L72" r:id="rId134" display="https://adsmanager.facebook.com/adsmanager/manage/campaigns/edit/standalone?act=174904221976312&amp;selected_campaign_ids=120228196067880694" xr:uid="{00000000-0004-0000-0900-000085000000}"/>
    <hyperlink ref="D73" r:id="rId135" display="https://wa.me/6281323910830" xr:uid="{00000000-0004-0000-0900-000086000000}"/>
    <hyperlink ref="L73" r:id="rId136" display="https://adsmanager.facebook.com/adsmanager/manage/campaigns/edit/standalone?act=174904221976312&amp;selected_campaign_ids=120228198210790694" xr:uid="{00000000-0004-0000-0900-000087000000}"/>
    <hyperlink ref="D74" r:id="rId137" display="https://wa.me/6285702653554" xr:uid="{00000000-0004-0000-0900-000088000000}"/>
    <hyperlink ref="L74" r:id="rId138" display="https://adsmanager.facebook.com/adsmanager/manage/campaigns/edit/standalone?act=174904221976312&amp;selected_campaign_ids=120228232279080694" xr:uid="{00000000-0004-0000-0900-000089000000}"/>
    <hyperlink ref="D75" r:id="rId139" display="https://wa.me/6285779532526" xr:uid="{00000000-0004-0000-0900-00008A000000}"/>
    <hyperlink ref="L75" r:id="rId140" display="https://adsmanager.facebook.com/adsmanager/manage/campaigns/edit/standalone?act=174904221976312&amp;selected_campaign_ids=120228232443180694" xr:uid="{00000000-0004-0000-0900-00008B000000}"/>
    <hyperlink ref="D76" r:id="rId141" display="https://wa.me/6281287982295" xr:uid="{00000000-0004-0000-0900-00008C000000}"/>
    <hyperlink ref="L76" r:id="rId142" display="https://adsmanager.facebook.com/adsmanager/manage/campaigns/edit/standalone?act=174904221976312&amp;selected_campaign_ids=120228233684810694" xr:uid="{00000000-0004-0000-0900-00008D000000}"/>
    <hyperlink ref="D77" r:id="rId143" display="https://wa.me/6285311472244" xr:uid="{00000000-0004-0000-0900-00008E000000}"/>
    <hyperlink ref="L77" r:id="rId144" display="https://adsmanager.facebook.com/adsmanager/manage/campaigns/edit/standalone?act=174904221976312&amp;selected_campaign_ids=120228259582540694" xr:uid="{00000000-0004-0000-0900-00008F000000}"/>
    <hyperlink ref="D78" r:id="rId145" display="https://wa.me/6283162052952" xr:uid="{00000000-0004-0000-0900-000090000000}"/>
    <hyperlink ref="L78" r:id="rId146" display="https://adsmanager.facebook.com/adsmanager/manage/campaigns/edit/standalone?act=174904221976312&amp;selected_campaign_ids=120228261048710694" xr:uid="{00000000-0004-0000-0900-000091000000}"/>
    <hyperlink ref="D79" r:id="rId147" display="https://wa.me/6289635171849" xr:uid="{00000000-0004-0000-0900-000092000000}"/>
    <hyperlink ref="L79" r:id="rId148" display="https://adsmanager.facebook.com/adsmanager/manage/campaigns/edit/standalone?act=174904221976312&amp;selected_campaign_ids=120228262403810694" xr:uid="{00000000-0004-0000-0900-000093000000}"/>
    <hyperlink ref="D80" r:id="rId149" display="https://wa.me/6287754552859" xr:uid="{00000000-0004-0000-0900-000094000000}"/>
    <hyperlink ref="L80" r:id="rId150" display="https://adsmanager.facebook.com/adsmanager/manage/campaigns/edit/standalone?act=174904221976312&amp;selected_campaign_ids=120228297292730694" xr:uid="{00000000-0004-0000-0900-000095000000}"/>
    <hyperlink ref="D81" r:id="rId151" display="https://wa.me/6285338137835" xr:uid="{00000000-0004-0000-0900-000096000000}"/>
    <hyperlink ref="L81" r:id="rId152" display="https://adsmanager.facebook.com/adsmanager/manage/campaigns/edit/standalone?act=174904221976312&amp;selected_campaign_ids=120228297491300694" xr:uid="{00000000-0004-0000-0900-000097000000}"/>
    <hyperlink ref="D82" r:id="rId153" display="https://wa.me/6281237893904" xr:uid="{00000000-0004-0000-0900-000098000000}"/>
    <hyperlink ref="L82" r:id="rId154" display="https://adsmanager.facebook.com/adsmanager/manage/campaigns/edit/standalone?act=174904221976312&amp;selected_campaign_ids=120228297893450694" xr:uid="{00000000-0004-0000-0900-000099000000}"/>
    <hyperlink ref="D83" r:id="rId155" display="https://wa.me/6281361879826" xr:uid="{00000000-0004-0000-0900-00009A000000}"/>
    <hyperlink ref="L83" r:id="rId156" display="https://adsmanager.facebook.com/adsmanager/manage/campaigns/edit/standalone?act=174904221976312&amp;selected_campaign_ids=120228298516200694" xr:uid="{00000000-0004-0000-0900-00009B000000}"/>
    <hyperlink ref="D84" r:id="rId157" display="https://wa.me/6282128714101" xr:uid="{00000000-0004-0000-0900-00009C000000}"/>
    <hyperlink ref="L84" r:id="rId158" display="https://adsmanager.facebook.com/adsmanager/manage/campaigns/edit/standalone?act=174904221976312&amp;selected_campaign_ids=120228301612890694" xr:uid="{00000000-0004-0000-0900-00009D000000}"/>
    <hyperlink ref="D85" r:id="rId159" display="https://wa.me/6281212295448" xr:uid="{00000000-0004-0000-0900-00009E000000}"/>
    <hyperlink ref="L85" r:id="rId160" display="https://adsmanager.facebook.com/adsmanager/manage/campaigns/edit/standalone?act=174904221976312&amp;selected_campaign_ids=120228320527520694" xr:uid="{00000000-0004-0000-0900-00009F000000}"/>
    <hyperlink ref="D86" r:id="rId161" display="https://wa.me/6281412281953" xr:uid="{00000000-0004-0000-0900-0000A0000000}"/>
    <hyperlink ref="L86" r:id="rId162" display="https://adsmanager.facebook.com/adsmanager/manage/campaigns/edit/standalone?act=174904221976312&amp;selected_campaign_ids=120228340733710694" xr:uid="{00000000-0004-0000-0900-0000A1000000}"/>
    <hyperlink ref="D87" r:id="rId163" display="https://wa.me/6281779578317" xr:uid="{00000000-0004-0000-0900-0000A2000000}"/>
    <hyperlink ref="L87" r:id="rId164" display="https://adsmanager.facebook.com/adsmanager/manage/campaigns/edit/standalone?act=174904221976312&amp;selected_campaign_ids=120228360684830694" xr:uid="{00000000-0004-0000-0900-0000A3000000}"/>
    <hyperlink ref="D88" r:id="rId165" display="https://wa.me/6282136273086" xr:uid="{00000000-0004-0000-0900-0000A4000000}"/>
    <hyperlink ref="L88" r:id="rId166" display="https://adsmanager.facebook.com/adsmanager/manage/campaigns/edit/standalone?act=174904221976312&amp;selected_campaign_ids=120228361482710694" xr:uid="{00000000-0004-0000-0900-0000A5000000}"/>
    <hyperlink ref="D89" r:id="rId167" display="https://wa.me/6281337504727" xr:uid="{00000000-0004-0000-0900-0000A6000000}"/>
    <hyperlink ref="L89" r:id="rId168" display="https://adsmanager.facebook.com/adsmanager/manage/campaigns/edit/standalone?act=174904221976312&amp;selected_campaign_ids=120228362069230694" xr:uid="{00000000-0004-0000-0900-0000A7000000}"/>
    <hyperlink ref="D90" r:id="rId169" display="https://wa.me/6285956579758" xr:uid="{00000000-0004-0000-0900-0000A8000000}"/>
    <hyperlink ref="L90" r:id="rId170" display="https://adsmanager.facebook.com/adsmanager/manage/campaigns/edit/standalone?act=174904221976312&amp;selected_campaign_ids=120228363354470694" xr:uid="{00000000-0004-0000-0900-0000A9000000}"/>
    <hyperlink ref="D91" r:id="rId171" display="https://wa.me/6283878405768" xr:uid="{00000000-0004-0000-0900-0000AA000000}"/>
    <hyperlink ref="L91" r:id="rId172" display="https://adsmanager.facebook.com/adsmanager/manage/campaigns/edit/standalone?act=174904221976312&amp;selected_campaign_ids=120228363859420694" xr:uid="{00000000-0004-0000-0900-0000AB000000}"/>
    <hyperlink ref="D92" r:id="rId173" display="https://wa.me/6288215032728" xr:uid="{00000000-0004-0000-0900-0000AC000000}"/>
    <hyperlink ref="L92" r:id="rId174" display="https://adsmanager.facebook.com/adsmanager/manage/campaigns/edit/standalone?act=174904221976312&amp;selected_campaign_ids=120228398605530694" xr:uid="{00000000-0004-0000-0900-0000AD000000}"/>
    <hyperlink ref="D93" r:id="rId175" display="https://wa.me/6281240144744" xr:uid="{00000000-0004-0000-0900-0000AE000000}"/>
    <hyperlink ref="L93" r:id="rId176" display="https://adsmanager.facebook.com/adsmanager/manage/campaigns/edit/standalone?act=174904221976312&amp;selected_campaign_ids=120228399025620694" xr:uid="{00000000-0004-0000-0900-0000AF000000}"/>
    <hyperlink ref="D94" r:id="rId177" display="https://wa.me/6288229559606" xr:uid="{00000000-0004-0000-0900-0000B0000000}"/>
    <hyperlink ref="L94" r:id="rId178" display="https://adsmanager.facebook.com/adsmanager/manage/campaigns/edit/standalone?act=174904221976312&amp;selected_campaign_ids=120228419715390694" xr:uid="{00000000-0004-0000-0900-0000B1000000}"/>
    <hyperlink ref="D95" r:id="rId179" display="https://wa.me/62859130962516" xr:uid="{00000000-0004-0000-0900-0000B2000000}"/>
    <hyperlink ref="L95" r:id="rId180" display="https://adsmanager.facebook.com/adsmanager/manage/campaigns/edit/standalone?act=174904221976312&amp;selected_campaign_ids=120228420024580694" xr:uid="{00000000-0004-0000-0900-0000B3000000}"/>
    <hyperlink ref="D96" r:id="rId181" display="https://wa.me/6282298717014" xr:uid="{00000000-0004-0000-0900-0000B4000000}"/>
    <hyperlink ref="L96" r:id="rId182" display="https://adsmanager.facebook.com/adsmanager/manage/campaigns/edit/standalone?act=174904221976312&amp;selected_campaign_ids=120228420201590694" xr:uid="{00000000-0004-0000-0900-0000B5000000}"/>
    <hyperlink ref="D97" r:id="rId183" display="https://wa.me/6285713536070" xr:uid="{00000000-0004-0000-0900-0000B6000000}"/>
    <hyperlink ref="L97" r:id="rId184" display="https://adsmanager.facebook.com/adsmanager/manage/campaigns/edit/standalone?act=174904221976312&amp;selected_campaign_ids=120228420949230694" xr:uid="{00000000-0004-0000-0900-0000B7000000}"/>
    <hyperlink ref="D98" r:id="rId185" display="https://wa.me/6285274759862" xr:uid="{00000000-0004-0000-0900-0000B8000000}"/>
    <hyperlink ref="L98" r:id="rId186" display="https://adsmanager.facebook.com/adsmanager/manage/campaigns/edit/standalone?act=174904221976312&amp;selected_campaign_ids=120228421229490694" xr:uid="{00000000-0004-0000-0900-0000B9000000}"/>
    <hyperlink ref="D99" r:id="rId187" display="https://wa.me/6285889229948" xr:uid="{00000000-0004-0000-0900-0000BA000000}"/>
    <hyperlink ref="L99" r:id="rId188" display="https://adsmanager.facebook.com/adsmanager/manage/campaigns/edit/standalone?act=174904221976312&amp;selected_campaign_ids=120228480638570694" xr:uid="{00000000-0004-0000-0900-0000BB000000}"/>
    <hyperlink ref="D100" r:id="rId189" display="https://wa.me/6287715704997" xr:uid="{00000000-0004-0000-0900-0000BC000000}"/>
    <hyperlink ref="L100" r:id="rId190" display="https://adsmanager.facebook.com/adsmanager/manage/campaigns/edit/standalone?act=174904221976312&amp;selected_campaign_ids=120228480915950694" xr:uid="{00000000-0004-0000-0900-0000BD000000}"/>
    <hyperlink ref="D101" r:id="rId191" display="https://wa.me/6285282777679" xr:uid="{00000000-0004-0000-0900-0000BE000000}"/>
    <hyperlink ref="L101" r:id="rId192" display="https://adsmanager.facebook.com/adsmanager/manage/campaigns/edit/standalone?act=174904221976312&amp;selected_campaign_ids=120228481112260694" xr:uid="{00000000-0004-0000-0900-0000BF000000}"/>
    <hyperlink ref="D102" r:id="rId193" display="https://wa.me/6285184844621" xr:uid="{00000000-0004-0000-0900-0000C0000000}"/>
    <hyperlink ref="L102" r:id="rId194" display="https://adsmanager.facebook.com/adsmanager/manage/campaigns/edit/standalone?act=174904221976312&amp;selected_campaign_ids=120228481767620694" xr:uid="{00000000-0004-0000-0900-0000C1000000}"/>
    <hyperlink ref="D103" r:id="rId195" display="https://wa.me/6285238093436" xr:uid="{00000000-0004-0000-0900-0000C2000000}"/>
    <hyperlink ref="L103" r:id="rId196" display="https://adsmanager.facebook.com/adsmanager/manage/campaigns/edit/standalone?act=174904221976312&amp;selected_campaign_ids=120228482134960694" xr:uid="{00000000-0004-0000-0900-0000C3000000}"/>
    <hyperlink ref="D104" r:id="rId197" display="https://wa.me/6282238154676" xr:uid="{00000000-0004-0000-0900-0000C4000000}"/>
    <hyperlink ref="L104" r:id="rId198" display="https://adsmanager.facebook.com/adsmanager/manage/campaigns/edit/standalone?act=174904221976312&amp;selected_campaign_ids=120228482422020694" xr:uid="{00000000-0004-0000-0900-0000C5000000}"/>
    <hyperlink ref="D105" r:id="rId199" display="https://wa.me/6281274238899" xr:uid="{00000000-0004-0000-0900-0000C6000000}"/>
    <hyperlink ref="L105" r:id="rId200" display="https://adsmanager.facebook.com/adsmanager/manage/campaigns/edit/standalone?act=174904221976312&amp;selected_campaign_ids=120228533962270694" xr:uid="{00000000-0004-0000-0900-0000C7000000}"/>
    <hyperlink ref="D106" r:id="rId201" display="https://wa.me/6283183643221" xr:uid="{00000000-0004-0000-0900-0000C8000000}"/>
    <hyperlink ref="L106" r:id="rId202" display="https://adsmanager.facebook.com/adsmanager/manage/campaigns/edit/standalone?act=174904221976312&amp;selected_campaign_ids=120228534502600694" xr:uid="{00000000-0004-0000-0900-0000C9000000}"/>
    <hyperlink ref="D107" r:id="rId203" display="https://wa.me/6281252867949" xr:uid="{00000000-0004-0000-0900-0000CA000000}"/>
    <hyperlink ref="L107" r:id="rId204" display="https://adsmanager.facebook.com/adsmanager/manage/campaigns/edit/standalone?act=174904221976312&amp;selected_campaign_ids=120228534648940694" xr:uid="{00000000-0004-0000-0900-0000CB000000}"/>
    <hyperlink ref="D108" r:id="rId205" display="https://wa.me/6285624268413" xr:uid="{00000000-0004-0000-0900-0000CC000000}"/>
    <hyperlink ref="L108" r:id="rId206" display="https://adsmanager.facebook.com/adsmanager/manage/campaigns/edit/standalone?act=174904221976312&amp;selected_campaign_ids=120228534838660694" xr:uid="{00000000-0004-0000-0900-0000CD000000}"/>
    <hyperlink ref="D109" r:id="rId207" display="https://wa.me/6285150556695" xr:uid="{00000000-0004-0000-0900-0000CE000000}"/>
    <hyperlink ref="L109" r:id="rId208" display="https://adsmanager.facebook.com/adsmanager/manage/campaigns/edit/standalone?act=174904221976312&amp;selected_campaign_ids=120228534954200694" xr:uid="{00000000-0004-0000-0900-0000CF000000}"/>
    <hyperlink ref="D110" r:id="rId209" display="https://wa.me/6281263113266" xr:uid="{00000000-0004-0000-0900-0000D0000000}"/>
    <hyperlink ref="L110" r:id="rId210" display="https://adsmanager.facebook.com/adsmanager/manage/campaigns/edit/standalone?act=174904221976312&amp;selected_campaign_ids=120228540636860694" xr:uid="{00000000-0004-0000-0900-0000D1000000}"/>
    <hyperlink ref="D111" r:id="rId211" display="https://wa.me/6281252228100" xr:uid="{00000000-0004-0000-0900-0000D2000000}"/>
    <hyperlink ref="L111" r:id="rId212" display="https://adsmanager.facebook.com/adsmanager/manage/campaigns/edit/standalone?act=174904221976312&amp;selected_campaign_ids=120228564831170694" xr:uid="{00000000-0004-0000-0900-0000D3000000}"/>
    <hyperlink ref="D112" r:id="rId213" display="https://wa.me/62895374644456" xr:uid="{00000000-0004-0000-0900-0000D4000000}"/>
    <hyperlink ref="L112" r:id="rId214" display="https://adsmanager.facebook.com/adsmanager/manage/campaigns/edit/standalone?act=174904221976312&amp;selected_campaign_ids=120228567413050694" xr:uid="{00000000-0004-0000-0900-0000D5000000}"/>
    <hyperlink ref="D113" r:id="rId215" display="https://wa.me/6289517787985" xr:uid="{00000000-0004-0000-0900-0000D6000000}"/>
    <hyperlink ref="L113" r:id="rId216" display="https://adsmanager.facebook.com/adsmanager/manage/campaigns/edit/standalone?act=174904221976312&amp;selected_campaign_ids=120228567563920694" xr:uid="{00000000-0004-0000-0900-0000D7000000}"/>
    <hyperlink ref="D114" r:id="rId217" display="https://wa.me/6281253629810" xr:uid="{00000000-0004-0000-0900-0000D8000000}"/>
    <hyperlink ref="L114" r:id="rId218" display="https://adsmanager.facebook.com/adsmanager/manage/campaigns/edit/standalone?act=174904221976312&amp;selected_campaign_ids=120228567832020694" xr:uid="{00000000-0004-0000-0900-0000D9000000}"/>
    <hyperlink ref="D115" r:id="rId219" display="https://wa.me/6287856746423" xr:uid="{00000000-0004-0000-0900-0000DA000000}"/>
    <hyperlink ref="L115" r:id="rId220" display="https://adsmanager.facebook.com/adsmanager/manage/campaigns/edit/standalone?act=174904221976312&amp;selected_campaign_ids=120228568209730694" xr:uid="{00000000-0004-0000-0900-0000DB000000}"/>
    <hyperlink ref="D116" r:id="rId221" display="https://wa.me/6285789446955" xr:uid="{00000000-0004-0000-0900-0000DC000000}"/>
    <hyperlink ref="L116" r:id="rId222" display="https://adsmanager.facebook.com/adsmanager/manage/campaigns/edit/standalone?act=174904221976312&amp;selected_campaign_ids=120228661886700694" xr:uid="{00000000-0004-0000-0900-0000DD000000}"/>
    <hyperlink ref="L117" r:id="rId223" display="https://adsmanager.facebook.com/adsmanager/manage/campaigns/edit/standalone?act=174904221976312&amp;selected_campaign_ids=120228661886700694" xr:uid="{00000000-0004-0000-0900-0000DE000000}"/>
    <hyperlink ref="D118" r:id="rId224" display="https://wa.me/6285696765224" xr:uid="{00000000-0004-0000-0900-0000DF000000}"/>
    <hyperlink ref="L118" r:id="rId225" display="https://adsmanager.facebook.com/adsmanager/manage/campaigns/edit/standalone?act=174904221976312&amp;selected_campaign_ids=120228662115630694" xr:uid="{00000000-0004-0000-0900-0000E0000000}"/>
    <hyperlink ref="L119" r:id="rId226" display="https://adsmanager.facebook.com/adsmanager/manage/campaigns/edit/standalone?act=174904221976312&amp;selected_campaign_ids=120228662115630694" xr:uid="{00000000-0004-0000-0900-0000E1000000}"/>
    <hyperlink ref="D120" r:id="rId227" display="https://wa.me/6281229745253" xr:uid="{00000000-0004-0000-0900-0000E2000000}"/>
    <hyperlink ref="L120" r:id="rId228" display="https://adsmanager.facebook.com/adsmanager/manage/campaigns/edit/standalone?act=174904221976312&amp;selected_campaign_ids=120228663053790694" xr:uid="{00000000-0004-0000-0900-0000E3000000}"/>
    <hyperlink ref="L121" r:id="rId229" display="https://adsmanager.facebook.com/adsmanager/manage/campaigns/edit/standalone?act=174904221976312&amp;selected_campaign_ids=120228663053790694" xr:uid="{00000000-0004-0000-0900-0000E4000000}"/>
    <hyperlink ref="D122" r:id="rId230" display="https://wa.me/6283845117965" xr:uid="{00000000-0004-0000-0900-0000E5000000}"/>
    <hyperlink ref="L122" r:id="rId231" display="https://adsmanager.facebook.com/adsmanager/manage/campaigns/edit/standalone?act=174904221976312&amp;selected_campaign_ids=120228683700970694" xr:uid="{00000000-0004-0000-0900-0000E6000000}"/>
    <hyperlink ref="L123" r:id="rId232" display="https://adsmanager.facebook.com/adsmanager/manage/campaigns/edit/standalone?act=174904221976312&amp;selected_campaign_ids=120228686186680694" xr:uid="{00000000-0004-0000-0900-0000E7000000}"/>
    <hyperlink ref="D124" r:id="rId233" display="https://wa.me/6285384321677" xr:uid="{00000000-0004-0000-0900-0000E8000000}"/>
    <hyperlink ref="L124" r:id="rId234" display="https://adsmanager.facebook.com/adsmanager/manage/campaigns/edit/standalone?act=174904221976312&amp;selected_campaign_ids=120228686186680694" xr:uid="{00000000-0004-0000-0900-0000E9000000}"/>
    <hyperlink ref="D125" r:id="rId235" display="https://wa.me/6287757150828" xr:uid="{00000000-0004-0000-0900-0000EA000000}"/>
    <hyperlink ref="L125" r:id="rId236" display="https://adsmanager.facebook.com/adsmanager/manage/campaigns/edit/standalone?act=174904221976312&amp;selected_campaign_ids=120228690635530694" xr:uid="{00000000-0004-0000-0900-0000EB000000}"/>
    <hyperlink ref="L126" r:id="rId237" display="https://adsmanager.facebook.com/adsmanager/manage/campaigns/edit/standalone?act=174904221976312&amp;selected_campaign_ids=120228690635530694" xr:uid="{00000000-0004-0000-0900-0000EC000000}"/>
    <hyperlink ref="D127" r:id="rId238" display="https://wa.me/6282339444339" xr:uid="{00000000-0004-0000-0900-0000ED000000}"/>
    <hyperlink ref="L127" r:id="rId239" display="https://adsmanager.facebook.com/adsmanager/manage/campaigns/edit/standalone?act=174904221976312&amp;selected_campaign_ids=120228690955610694" xr:uid="{00000000-0004-0000-0900-0000EE000000}"/>
    <hyperlink ref="L128" r:id="rId240" display="https://adsmanager.facebook.com/adsmanager/manage/campaigns/edit/standalone?act=174904221976312&amp;selected_campaign_ids=120228690955610694" xr:uid="{00000000-0004-0000-0900-0000EF000000}"/>
    <hyperlink ref="L129" r:id="rId241" display="https://adsmanager.facebook.com/adsmanager/manage/campaigns/edit/standalone?act=174904221976312&amp;selected_campaign_ids=120228691389180694" xr:uid="{00000000-0004-0000-0900-0000F0000000}"/>
    <hyperlink ref="D130" r:id="rId242" display="https://wa.me/6281316839343" xr:uid="{00000000-0004-0000-0900-0000F1000000}"/>
    <hyperlink ref="L130" r:id="rId243" display="https://adsmanager.facebook.com/adsmanager/manage/campaigns/edit/standalone?act=174904221976312&amp;selected_campaign_ids=120228691389180694" xr:uid="{00000000-0004-0000-0900-0000F2000000}"/>
    <hyperlink ref="D131" r:id="rId244" display="https://wa.me/6282277773540" xr:uid="{00000000-0004-0000-0900-0000F3000000}"/>
    <hyperlink ref="L131" r:id="rId245" display="https://adsmanager.facebook.com/adsmanager/manage/campaigns/edit/standalone?act=174904221976312&amp;selected_campaign_ids=120228759857360694" xr:uid="{00000000-0004-0000-0900-0000F4000000}"/>
    <hyperlink ref="D132" r:id="rId246" display="https://wa.me/6281217985917" xr:uid="{00000000-0004-0000-0900-0000F5000000}"/>
    <hyperlink ref="L132" r:id="rId247" display="https://adsmanager.facebook.com/adsmanager/manage/campaigns/edit/standalone?act=174904221976312&amp;selected_campaign_ids=120228849636070694" xr:uid="{00000000-0004-0000-0900-0000F6000000}"/>
    <hyperlink ref="D133" r:id="rId248" display="https://wa.me/6283865096870" xr:uid="{00000000-0004-0000-0900-0000F7000000}"/>
    <hyperlink ref="L133" r:id="rId249" display="https://adsmanager.facebook.com/adsmanager/manage/campaigns/edit/standalone?act=174904221976312&amp;selected_campaign_ids=120228849808840694" xr:uid="{00000000-0004-0000-0900-0000F8000000}"/>
    <hyperlink ref="D134" r:id="rId250" display="https://wa.me/6283147736523" xr:uid="{00000000-0004-0000-0900-0000F9000000}"/>
    <hyperlink ref="L134" r:id="rId251" display="https://adsmanager.facebook.com/adsmanager/manage/campaigns/edit/standalone?act=174904221976312&amp;selected_campaign_ids=120228850146110694" xr:uid="{00000000-0004-0000-0900-0000FA000000}"/>
    <hyperlink ref="D135" r:id="rId252" display="https://wa.me/6285714141525" xr:uid="{00000000-0004-0000-0900-0000FB000000}"/>
    <hyperlink ref="L135" r:id="rId253" display="https://adsmanager.facebook.com/adsmanager/manage/campaigns/edit/standalone?act=174904221976312&amp;selected_campaign_ids=120228850490520694" xr:uid="{00000000-0004-0000-0900-0000FC000000}"/>
    <hyperlink ref="D136" r:id="rId254" display="https://wa.me/6281223055720" xr:uid="{00000000-0004-0000-0900-0000FD000000}"/>
    <hyperlink ref="L136" r:id="rId255" display="https://adsmanager.facebook.com/adsmanager/manage/campaigns/edit/standalone?act=174904221976312&amp;selected_campaign_ids=120228850834280694" xr:uid="{00000000-0004-0000-0900-0000FE000000}"/>
    <hyperlink ref="D137" r:id="rId256" display="https://wa.me/628563562851" xr:uid="{00000000-0004-0000-0900-0000FF000000}"/>
    <hyperlink ref="L137" r:id="rId257" display="https://adsmanager.facebook.com/adsmanager/manage/campaigns/edit/standalone?act=174904221976312&amp;selected_campaign_ids=120228878146570694" xr:uid="{00000000-0004-0000-0900-000000010000}"/>
    <hyperlink ref="D138" r:id="rId258" display="https://wa.me/6282307376695" xr:uid="{00000000-0004-0000-0900-000001010000}"/>
    <hyperlink ref="L138" r:id="rId259" display="https://adsmanager.facebook.com/adsmanager/manage/campaigns/edit/standalone?act=174904221976312&amp;selected_campaign_ids=120228878484580694" xr:uid="{00000000-0004-0000-0900-000002010000}"/>
    <hyperlink ref="D139" r:id="rId260" display="https://wa.me/6283870060603" xr:uid="{00000000-0004-0000-0900-000003010000}"/>
    <hyperlink ref="L139" r:id="rId261" display="https://adsmanager.facebook.com/adsmanager/manage/campaigns/edit/standalone?act=174904221976312&amp;selected_campaign_ids=120228878659740694" xr:uid="{00000000-0004-0000-0900-000004010000}"/>
    <hyperlink ref="D140" r:id="rId262" display="https://wa.me/6281933176790" xr:uid="{00000000-0004-0000-0900-000005010000}"/>
    <hyperlink ref="L140" r:id="rId263" display="https://adsmanager.facebook.com/adsmanager/manage/campaigns/edit/standalone?act=174904221976312&amp;selected_campaign_ids=120228878890380694" xr:uid="{00000000-0004-0000-0900-000006010000}"/>
    <hyperlink ref="D141" r:id="rId264" display="https://wa.me/6285789446955" xr:uid="{00000000-0004-0000-0900-000007010000}"/>
    <hyperlink ref="L141" r:id="rId265" display="https://adsmanager.facebook.com/adsmanager/manage/campaigns/edit/standalone?act=174904221976312&amp;selected_campaign_ids=120228880895420694" xr:uid="{00000000-0004-0000-0900-000008010000}"/>
    <hyperlink ref="D142" r:id="rId266" display="https://wa.me/6281252595912" xr:uid="{00000000-0004-0000-0900-000009010000}"/>
    <hyperlink ref="L142" r:id="rId267" display="https://adsmanager.facebook.com/adsmanager/manage/campaigns/edit/standalone?act=174904221976312&amp;selected_campaign_ids=120228923411520694" xr:uid="{00000000-0004-0000-0900-00000A010000}"/>
    <hyperlink ref="D143" r:id="rId268" display="https://wa.me/6285268101557" xr:uid="{00000000-0004-0000-0900-00000B010000}"/>
    <hyperlink ref="L143" r:id="rId269" display="https://adsmanager.facebook.com/adsmanager/manage/campaigns/edit/standalone?act=174904221976312&amp;selected_campaign_ids=120228925862700694" xr:uid="{00000000-0004-0000-0900-00000C010000}"/>
    <hyperlink ref="D144" r:id="rId270" display="https://wa.me/6283891332074" xr:uid="{00000000-0004-0000-0900-00000D010000}"/>
    <hyperlink ref="L144" r:id="rId271" display="https://adsmanager.facebook.com/adsmanager/manage/campaigns/edit/standalone?act=174904221976312&amp;selected_campaign_ids=120228926103550694" xr:uid="{00000000-0004-0000-0900-00000E010000}"/>
    <hyperlink ref="D145" r:id="rId272" display="https://wa.me/6282128714101" xr:uid="{00000000-0004-0000-0900-00000F010000}"/>
    <hyperlink ref="L145" r:id="rId273" display="https://adsmanager.facebook.com/adsmanager/manage/campaigns/edit/standalone?act=174904221976312&amp;selected_campaign_ids=120228937956880694" xr:uid="{00000000-0004-0000-0900-000010010000}"/>
    <hyperlink ref="D147" r:id="rId274" display="https://wa.me/6281215284044" xr:uid="{00000000-0004-0000-0900-000011010000}"/>
    <hyperlink ref="L147" r:id="rId275" display="https://adsmanager.facebook.com/adsmanager/manage/campaigns/edit/standalone?act=174904221976312&amp;selected_campaign_ids=120228961494080694" xr:uid="{00000000-0004-0000-0900-000012010000}"/>
    <hyperlink ref="D148" r:id="rId276" display="https://wa.me/6285773570295" xr:uid="{00000000-0004-0000-0900-000013010000}"/>
    <hyperlink ref="L148" r:id="rId277" display="https://adsmanager.facebook.com/adsmanager/manage/campaigns/edit/standalone?act=174904221976312&amp;selected_campaign_ids=120228961524660694" xr:uid="{00000000-0004-0000-0900-000014010000}"/>
    <hyperlink ref="D149" r:id="rId278" display="https://wa.me/6281999375257" xr:uid="{00000000-0004-0000-0900-000015010000}"/>
    <hyperlink ref="L149" r:id="rId279" display="https://adsmanager.facebook.com/adsmanager/manage/campaigns/edit/standalone?act=174904221976312&amp;selected_campaign_ids=120228961595190694" xr:uid="{00000000-0004-0000-0900-000016010000}"/>
    <hyperlink ref="D150" r:id="rId280" display="https://wa.me/6285741977776" xr:uid="{00000000-0004-0000-0900-000017010000}"/>
    <hyperlink ref="L150" r:id="rId281" display="https://adsmanager.facebook.com/adsmanager/manage/campaigns/edit/standalone?act=174904221976312&amp;selected_campaign_ids=120229015032510694" xr:uid="{00000000-0004-0000-0900-000018010000}"/>
    <hyperlink ref="D151" r:id="rId282" display="https://wa.me/6282123039124" xr:uid="{00000000-0004-0000-0900-000019010000}"/>
    <hyperlink ref="L151" r:id="rId283" display="https://adsmanager.facebook.com/adsmanager/manage/campaigns/edit/standalone?act=174904221976312&amp;selected_campaign_ids=120229015252810694" xr:uid="{00000000-0004-0000-0900-00001A010000}"/>
    <hyperlink ref="D152" r:id="rId284" display="https://wa.me/6283131677011" xr:uid="{00000000-0004-0000-0900-00001B010000}"/>
    <hyperlink ref="L152" r:id="rId285" display="https://adsmanager.facebook.com/adsmanager/manage/campaigns/edit/standalone?act=174904221976312&amp;selected_campaign_ids=120229015330400694" xr:uid="{00000000-0004-0000-0900-00001C010000}"/>
    <hyperlink ref="D153" r:id="rId286" display="https://wa.me/6281219329853" xr:uid="{00000000-0004-0000-0900-00001D010000}"/>
    <hyperlink ref="L153" r:id="rId287" display="https://adsmanager.facebook.com/adsmanager/manage/campaigns/edit/standalone?act=174904221976312&amp;selected_campaign_ids=120229015403650694" xr:uid="{00000000-0004-0000-0900-00001E010000}"/>
    <hyperlink ref="D154" r:id="rId288" display="https://wa.me/6287762707927" xr:uid="{00000000-0004-0000-0900-00001F010000}"/>
    <hyperlink ref="L154" r:id="rId289" display="https://adsmanager.facebook.com/adsmanager/manage/campaigns/edit/standalone?act=174904221976312&amp;selected_campaign_ids=120229015913570694" xr:uid="{00000000-0004-0000-0900-000020010000}"/>
    <hyperlink ref="D155" r:id="rId290" display="https://wa.me/6281225745133" xr:uid="{00000000-0004-0000-0900-000021010000}"/>
    <hyperlink ref="L155" r:id="rId291" display="https://adsmanager.facebook.com/adsmanager/manage/campaigns/edit/standalone?act=174904221976312&amp;selected_campaign_ids=120229016020190694" xr:uid="{00000000-0004-0000-0900-000022010000}"/>
    <hyperlink ref="D156" r:id="rId292" display="https://wa.me/6282169354443" xr:uid="{00000000-0004-0000-0900-000023010000}"/>
    <hyperlink ref="L156" r:id="rId293" display="https://adsmanager.facebook.com/adsmanager/manage/campaigns/edit/standalone?act=174904221976312&amp;selected_campaign_ids=120229016148350694" xr:uid="{00000000-0004-0000-0900-000024010000}"/>
    <hyperlink ref="D157" r:id="rId294" display="https://wa.me/62816904358" xr:uid="{00000000-0004-0000-0900-000025010000}"/>
    <hyperlink ref="L157" r:id="rId295" display="https://adsmanager.facebook.com/adsmanager/manage/campaigns/edit/standalone?act=174904221976312&amp;selected_campaign_ids=120229016256900694" xr:uid="{00000000-0004-0000-0900-000026010000}"/>
    <hyperlink ref="D158" r:id="rId296" display="https://wa.me/6282197248722" xr:uid="{00000000-0004-0000-0900-000027010000}"/>
    <hyperlink ref="L158" r:id="rId297" display="https://adsmanager.facebook.com/adsmanager/manage/campaigns/edit/standalone?act=174904221976312&amp;selected_campaign_ids=120229064636490694" xr:uid="{00000000-0004-0000-0900-000028010000}"/>
    <hyperlink ref="D159" r:id="rId298" display="https://wa.me/6285234005559" xr:uid="{00000000-0004-0000-0900-000029010000}"/>
    <hyperlink ref="L159" r:id="rId299" display="https://adsmanager.facebook.com/adsmanager/manage/campaigns/edit/standalone?act=174904221976312&amp;selected_campaign_ids=120229065114710694" xr:uid="{00000000-0004-0000-0900-00002A010000}"/>
    <hyperlink ref="D160" r:id="rId300" display="https://wa.me/6289524188028" xr:uid="{00000000-0004-0000-0900-00002B010000}"/>
    <hyperlink ref="L160" r:id="rId301" display="https://adsmanager.facebook.com/adsmanager/manage/campaigns/edit/standalone?act=174904221976312&amp;selected_campaign_ids=120229068427860694" xr:uid="{00000000-0004-0000-0900-00002C010000}"/>
    <hyperlink ref="D161" r:id="rId302" display="https://wa.me/6285657238556" xr:uid="{00000000-0004-0000-0900-00002D010000}"/>
    <hyperlink ref="L161" r:id="rId303" display="https://adsmanager.facebook.com/adsmanager/manage/campaigns/edit/standalone?act=174904221976312&amp;selected_campaign_ids=120229069355830694" xr:uid="{00000000-0004-0000-0900-00002E010000}"/>
    <hyperlink ref="D162" r:id="rId304" display="https://wa.me/6285267044893" xr:uid="{00000000-0004-0000-0900-00002F010000}"/>
    <hyperlink ref="L162" r:id="rId305" display="https://adsmanager.facebook.com/adsmanager/manage/campaigns/edit/standalone?act=174904221976312&amp;selected_campaign_ids=120229070072380694" xr:uid="{00000000-0004-0000-0900-000030010000}"/>
    <hyperlink ref="D163" r:id="rId306" display="https://wa.me/6285645050058" xr:uid="{00000000-0004-0000-0900-000031010000}"/>
    <hyperlink ref="L163" r:id="rId307" display="https://adsmanager.facebook.com/adsmanager/manage/campaigns/edit/standalone?act=174904221976312&amp;selected_campaign_ids=120229070573230694" xr:uid="{00000000-0004-0000-0900-000032010000}"/>
    <hyperlink ref="D164" r:id="rId308" display="https://wa.me/6285657238556" xr:uid="{00000000-0004-0000-0900-000033010000}"/>
    <hyperlink ref="L164" r:id="rId309" display="https://adsmanager.facebook.com/adsmanager/manage/campaigns/edit/standalone?act=174904221976312&amp;selected_campaign_ids=120229127805640694" xr:uid="{00000000-0004-0000-0900-000034010000}"/>
    <hyperlink ref="D165" r:id="rId310" display="https://wa.me/6282133271189" xr:uid="{00000000-0004-0000-0900-000035010000}"/>
    <hyperlink ref="L165" r:id="rId311" display="https://adsmanager.facebook.com/adsmanager/manage/campaigns/edit/standalone?act=174904221976312&amp;selected_campaign_ids=120229129775820694" xr:uid="{00000000-0004-0000-0900-000036010000}"/>
    <hyperlink ref="D166" r:id="rId312" display="https://wa.me/6289607006888" xr:uid="{00000000-0004-0000-0900-000037010000}"/>
    <hyperlink ref="L166" r:id="rId313" display="https://adsmanager.facebook.com/adsmanager/manage/campaigns/edit/standalone?act=174904221976312&amp;selected_campaign_ids=120229130184660694" xr:uid="{00000000-0004-0000-0900-000038010000}"/>
    <hyperlink ref="D167" r:id="rId314" display="https://wa.me/6285186697099" xr:uid="{00000000-0004-0000-0900-000039010000}"/>
    <hyperlink ref="L167" r:id="rId315" display="https://adsmanager.facebook.com/adsmanager/manage/campaigns/edit/standalone?act=174904221976312&amp;selected_campaign_ids=120229187562570694" xr:uid="{00000000-0004-0000-0900-00003A010000}"/>
    <hyperlink ref="D168" r:id="rId316" display="https://wa.me/6285397990632" xr:uid="{00000000-0004-0000-0900-00003B010000}"/>
    <hyperlink ref="L168" r:id="rId317" display="https://adsmanager.facebook.com/adsmanager/manage/campaigns/edit/standalone?act=174904221976312&amp;selected_campaign_ids=120229188144990694" xr:uid="{00000000-0004-0000-0900-00003C010000}"/>
    <hyperlink ref="D169" r:id="rId318" display="https://wa.me/6281286402030" xr:uid="{00000000-0004-0000-0900-00003D010000}"/>
    <hyperlink ref="L169" r:id="rId319" display="https://adsmanager.facebook.com/adsmanager/manage/campaigns/edit/standalone?act=174904221976312&amp;selected_campaign_ids=120229188527800694" xr:uid="{00000000-0004-0000-0900-00003E010000}"/>
    <hyperlink ref="D170" r:id="rId320" display="https://wa.me/6285869122507" xr:uid="{00000000-0004-0000-0900-00003F010000}"/>
    <hyperlink ref="L170" r:id="rId321" display="https://adsmanager.facebook.com/adsmanager/manage/campaigns/edit/standalone?act=174904221976312&amp;selected_campaign_ids=120229188727430694" xr:uid="{00000000-0004-0000-0900-000040010000}"/>
    <hyperlink ref="D171" r:id="rId322" display="https://wa.me/62811693222" xr:uid="{00000000-0004-0000-0900-000041010000}"/>
    <hyperlink ref="L171" r:id="rId323" display="https://adsmanager.facebook.com/adsmanager/manage/campaigns/edit/standalone?act=174904221976312&amp;selected_campaign_ids=120229188907560694" xr:uid="{00000000-0004-0000-0900-000042010000}"/>
    <hyperlink ref="D172" r:id="rId324" display="https://wa.me/6282333203355" xr:uid="{00000000-0004-0000-0900-000043010000}"/>
    <hyperlink ref="L172" r:id="rId325" display="https://adsmanager.facebook.com/adsmanager/manage/campaigns/edit/standalone?act=174904221976312&amp;selected_campaign_ids=120229250160850694" xr:uid="{00000000-0004-0000-0900-000044010000}"/>
    <hyperlink ref="D173" r:id="rId326" display="https://wa.me/6281553075560" xr:uid="{00000000-0004-0000-0900-000045010000}"/>
    <hyperlink ref="L173" r:id="rId327" display="https://adsmanager.facebook.com/adsmanager/manage/campaigns/edit/standalone?act=174904221976312&amp;selected_campaign_ids=120229252947620694" xr:uid="{00000000-0004-0000-0900-000046010000}"/>
    <hyperlink ref="D174" r:id="rId328" display="https://wa.me/628113311777" xr:uid="{00000000-0004-0000-0900-000047010000}"/>
    <hyperlink ref="L174" r:id="rId329" display="https://adsmanager.facebook.com/adsmanager/manage/campaigns/edit/standalone?act=174904221976312&amp;selected_campaign_ids=120229253354330694" xr:uid="{00000000-0004-0000-0900-000048010000}"/>
    <hyperlink ref="D175" r:id="rId330" display="https://wa.me/6281327457634" xr:uid="{00000000-0004-0000-0900-000049010000}"/>
    <hyperlink ref="L175" r:id="rId331" display="https://adsmanager.facebook.com/adsmanager/manage/campaigns/edit/standalone?act=174904221976312&amp;selected_campaign_ids=120229253481400694" xr:uid="{00000000-0004-0000-0900-00004A010000}"/>
    <hyperlink ref="D176" r:id="rId332" display="https://wa.me/62823885166777" xr:uid="{00000000-0004-0000-0900-00004B010000}"/>
    <hyperlink ref="L176" r:id="rId333" display="https://adsmanager.facebook.com/adsmanager/manage/campaigns/edit/standalone?act=174904221976312&amp;selected_campaign_ids=120229259021980694" xr:uid="{00000000-0004-0000-0900-00004C010000}"/>
    <hyperlink ref="D177" r:id="rId334" display="https://wa.me/6287846030252" xr:uid="{00000000-0004-0000-0900-00004D010000}"/>
    <hyperlink ref="L177" r:id="rId335" display="https://adsmanager.facebook.com/adsmanager/manage/campaigns/edit/standalone?act=174904221976312&amp;selected_campaign_ids=120229259403190694" xr:uid="{00000000-0004-0000-0900-00004E010000}"/>
    <hyperlink ref="L178" r:id="rId336" display="https://adsmanager.facebook.com/adsmanager/manage/campaigns/edit/standalone?act=174904221976312&amp;selected_campaign_ids=120229280519010694" xr:uid="{00000000-0004-0000-0900-00004F010000}"/>
    <hyperlink ref="D179" r:id="rId337" display="https://wa.me/6282340878030" xr:uid="{00000000-0004-0000-0900-000050010000}"/>
    <hyperlink ref="L179" r:id="rId338" display="https://adsmanager.facebook.com/adsmanager/manage/campaigns/edit/standalone?act=174904221976312&amp;selected_campaign_ids=120229337944090694" xr:uid="{00000000-0004-0000-0900-000051010000}"/>
    <hyperlink ref="D180" r:id="rId339" display="https://wa.me/6287826386983" xr:uid="{00000000-0004-0000-0900-000052010000}"/>
    <hyperlink ref="L180" r:id="rId340" display="https://adsmanager.facebook.com/adsmanager/manage/campaigns/edit/standalone?act=174904221976312&amp;selected_campaign_ids=120229338279800694" xr:uid="{00000000-0004-0000-0900-000053010000}"/>
    <hyperlink ref="D181" r:id="rId341" display="https://wa.me/6282333358533" xr:uid="{00000000-0004-0000-0900-000054010000}"/>
    <hyperlink ref="L181" r:id="rId342" display="https://adsmanager.facebook.com/adsmanager/manage/campaigns/edit/standalone?act=174904221976312&amp;selected_campaign_ids=120229339382760694" xr:uid="{00000000-0004-0000-0900-000055010000}"/>
    <hyperlink ref="D182" r:id="rId343" display="https://wa.me/62881010278235" xr:uid="{00000000-0004-0000-0900-000056010000}"/>
    <hyperlink ref="L182" r:id="rId344" display="https://adsmanager.facebook.com/adsmanager/manage/campaigns/edit/standalone?act=174904221976312&amp;selected_campaign_ids=120229402979650694" xr:uid="{00000000-0004-0000-0900-000057010000}"/>
    <hyperlink ref="D183" r:id="rId345" display="https://wa.me/6282123587173" xr:uid="{00000000-0004-0000-0900-000058010000}"/>
    <hyperlink ref="L183" r:id="rId346" display="https://adsmanager.facebook.com/adsmanager/manage/campaigns/edit/standalone?act=174904221976312&amp;selected_campaign_ids=120229403125990694" xr:uid="{00000000-0004-0000-0900-000059010000}"/>
    <hyperlink ref="D184" r:id="rId347" display="https://wa.me/6281366479393" xr:uid="{00000000-0004-0000-0900-00005A010000}"/>
    <hyperlink ref="L184" r:id="rId348" display="https://adsmanager.facebook.com/adsmanager/manage/campaigns/edit/standalone?act=174904221976312&amp;selected_campaign_ids=120229403412790694" xr:uid="{00000000-0004-0000-0900-00005B010000}"/>
    <hyperlink ref="D185" r:id="rId349" display="https://wa.me/628155157779" xr:uid="{00000000-0004-0000-0900-00005C010000}"/>
    <hyperlink ref="L185" r:id="rId350" display="https://adsmanager.facebook.com/adsmanager/manage/campaigns/edit/standalone?act=174904221976312&amp;selected_campaign_ids=120229403735200694" xr:uid="{00000000-0004-0000-0900-00005D010000}"/>
    <hyperlink ref="D186" r:id="rId351" display="https://wa.me/6281255005229" xr:uid="{00000000-0004-0000-0900-00005E010000}"/>
    <hyperlink ref="L186" r:id="rId352" display="https://adsmanager.facebook.com/adsmanager/manage/campaigns/edit/standalone?act=174904221976312&amp;selected_campaign_ids=120229404588410694" xr:uid="{00000000-0004-0000-0900-00005F010000}"/>
    <hyperlink ref="D187" r:id="rId353" display="https://wa.me/6281280241630" xr:uid="{00000000-0004-0000-0900-000060010000}"/>
    <hyperlink ref="L187" r:id="rId354" display="https://adsmanager.facebook.com/adsmanager/manage/campaigns/edit/standalone?act=174904221976312&amp;selected_campaign_ids=120229415938980694" xr:uid="{00000000-0004-0000-0900-000061010000}"/>
    <hyperlink ref="D188" r:id="rId355" display="https://wa.me/6282285205998" xr:uid="{00000000-0004-0000-0900-000062010000}"/>
    <hyperlink ref="L188" r:id="rId356" display="https://adsmanager.facebook.com/adsmanager/manage/campaigns/edit/standalone?act=174904221976312&amp;selected_campaign_ids=120229418365250694" xr:uid="{00000000-0004-0000-0900-000063010000}"/>
    <hyperlink ref="D189" r:id="rId357" display="https://wa.me/6287790276733" xr:uid="{00000000-0004-0000-0900-000064010000}"/>
    <hyperlink ref="L189" r:id="rId358" display="https://adsmanager.facebook.com/adsmanager/manage/campaigns/edit/standalone?act=174904221976312&amp;selected_campaign_ids=120229420166220694" xr:uid="{00000000-0004-0000-0900-000065010000}"/>
    <hyperlink ref="D190" r:id="rId359" display="https://wa.me/6281938384000" xr:uid="{00000000-0004-0000-0900-000066010000}"/>
    <hyperlink ref="L190" r:id="rId360" display="https://adsmanager.facebook.com/adsmanager/manage/campaigns/edit/standalone?act=174904221976312&amp;selected_campaign_ids=120229422230120694" xr:uid="{00000000-0004-0000-0900-000067010000}"/>
    <hyperlink ref="D191" r:id="rId361" display="https://wa.me/6281399886462" xr:uid="{00000000-0004-0000-0900-000068010000}"/>
    <hyperlink ref="L191" r:id="rId362" display="https://adsmanager.facebook.com/adsmanager/manage/campaigns/edit/standalone?act=174904221976312&amp;selected_campaign_ids=120229427059860694" xr:uid="{00000000-0004-0000-0900-000069010000}"/>
    <hyperlink ref="D192" r:id="rId363" display="https://wa.me/6285727626320" xr:uid="{00000000-0004-0000-0900-00006A010000}"/>
    <hyperlink ref="L192" r:id="rId364" display="https://adsmanager.facebook.com/adsmanager/manage/campaigns/edit/standalone?act=174904221976312&amp;selected_campaign_ids=120229427577300694" xr:uid="{00000000-0004-0000-0900-00006B010000}"/>
    <hyperlink ref="D193" r:id="rId365" display="https://wa.me/6282186829904" xr:uid="{00000000-0004-0000-0900-00006C010000}"/>
    <hyperlink ref="L193" r:id="rId366" display="https://adsmanager.facebook.com/adsmanager/manage/campaigns/edit/standalone?act=174904221976312&amp;selected_campaign_ids=120229536211020694" xr:uid="{00000000-0004-0000-0900-00006D010000}"/>
    <hyperlink ref="D194" r:id="rId367" display="https://wa.me/6285207285812" xr:uid="{00000000-0004-0000-0900-00006E010000}"/>
    <hyperlink ref="L194" r:id="rId368" display="https://adsmanager.facebook.com/adsmanager/manage/campaigns/edit/standalone?act=174904221976312&amp;selected_campaign_ids=120229536549420694" xr:uid="{00000000-0004-0000-0900-00006F010000}"/>
    <hyperlink ref="D195" r:id="rId369" display="https://wa.me/6281217126285" xr:uid="{00000000-0004-0000-0900-000070010000}"/>
    <hyperlink ref="L195" r:id="rId370" display="https://adsmanager.facebook.com/adsmanager/manage/campaigns/edit/standalone?act=174904221976312&amp;selected_campaign_ids=120229538953550694" xr:uid="{00000000-0004-0000-0900-000071010000}"/>
    <hyperlink ref="D196" r:id="rId371" display="https://wa.me/6287745180632" xr:uid="{00000000-0004-0000-0900-000072010000}"/>
    <hyperlink ref="L196" r:id="rId372" display="https://adsmanager.facebook.com/adsmanager/manage/campaigns/edit/standalone?act=174904221976312&amp;selected_campaign_ids=120229539357380694" xr:uid="{00000000-0004-0000-0900-000073010000}"/>
    <hyperlink ref="D197" r:id="rId373" display="https://wa.me/6285820117323" xr:uid="{00000000-0004-0000-0900-000074010000}"/>
    <hyperlink ref="L197" r:id="rId374" display="https://adsmanager.facebook.com/adsmanager/manage/campaigns/edit/standalone?act=174904221976312&amp;selected_campaign_ids=120229631437820694" xr:uid="{00000000-0004-0000-0900-000075010000}"/>
    <hyperlink ref="D198" r:id="rId375" display="https://wa.me/6281330410391" xr:uid="{00000000-0004-0000-0900-000076010000}"/>
    <hyperlink ref="L198" r:id="rId376" display="https://adsmanager.facebook.com/adsmanager/manage/campaigns/edit/standalone?act=174904221976312&amp;selected_campaign_ids=120229631636590694" xr:uid="{00000000-0004-0000-0900-000077010000}"/>
    <hyperlink ref="D199" r:id="rId377" display="https://wa.me/6287865111033" xr:uid="{00000000-0004-0000-0900-000078010000}"/>
    <hyperlink ref="L199" r:id="rId378" display="https://adsmanager.facebook.com/adsmanager/manage/campaigns/edit/standalone?act=174904221976312&amp;selected_campaign_ids=120229632849320694" xr:uid="{00000000-0004-0000-0900-000079010000}"/>
    <hyperlink ref="D200" r:id="rId379" display="https://wa.me/6281111121020" xr:uid="{00000000-0004-0000-0900-00007A010000}"/>
    <hyperlink ref="L200" r:id="rId380" display="https://adsmanager.facebook.com/adsmanager/manage/campaigns/edit/standalone?act=174904221976312&amp;selected_campaign_ids=120229633717880694" xr:uid="{00000000-0004-0000-0900-00007B010000}"/>
    <hyperlink ref="D201" r:id="rId381" display="https://wa.me/6282154233977" xr:uid="{00000000-0004-0000-0900-00007C010000}"/>
    <hyperlink ref="L201" r:id="rId382" display="https://adsmanager.facebook.com/adsmanager/manage/campaigns/edit/standalone?act=174904221976312&amp;selected_campaign_ids=120229634636490694" xr:uid="{00000000-0004-0000-0900-00007D010000}"/>
    <hyperlink ref="D202" r:id="rId383" display="https://wa.me/6287762605372" xr:uid="{00000000-0004-0000-0900-00007E010000}"/>
    <hyperlink ref="L202" r:id="rId384" display="https://adsmanager.facebook.com/adsmanager/manage/campaigns/edit/standalone?act=174904221976312&amp;selected_campaign_ids=120229636262830694" xr:uid="{00000000-0004-0000-0900-00007F010000}"/>
    <hyperlink ref="D203" r:id="rId385" display="https://wa.me/6282142833445" xr:uid="{00000000-0004-0000-0900-000080010000}"/>
    <hyperlink ref="L203" r:id="rId386" display="https://adsmanager.facebook.com/adsmanager/manage/campaigns/edit/standalone?act=174904221976312&amp;selected_campaign_ids=120229733787950694" xr:uid="{00000000-0004-0000-0900-000081010000}"/>
    <hyperlink ref="D204" r:id="rId387" display="https://wa.me/6282292283543" xr:uid="{00000000-0004-0000-0900-000082010000}"/>
    <hyperlink ref="L204" r:id="rId388" display="https://adsmanager.facebook.com/adsmanager/manage/campaigns/edit/standalone?act=174904221976312&amp;selected_campaign_ids=120229734535510694" xr:uid="{00000000-0004-0000-0900-000083010000}"/>
    <hyperlink ref="D205" r:id="rId389" display="https://wa.me/628123264621" xr:uid="{00000000-0004-0000-0900-000084010000}"/>
    <hyperlink ref="L205" r:id="rId390" display="https://adsmanager.facebook.com/adsmanager/manage/campaigns/edit/standalone?act=174904221976312&amp;selected_campaign_ids=120229736695660694" xr:uid="{00000000-0004-0000-0900-000085010000}"/>
    <hyperlink ref="D206" r:id="rId391" display="https://wa.me/6281347245985" xr:uid="{00000000-0004-0000-0900-000086010000}"/>
    <hyperlink ref="L206" r:id="rId392" display="https://adsmanager.facebook.com/adsmanager/manage/campaigns/edit/standalone?act=174904221976312&amp;selected_campaign_ids=120229737136600694" xr:uid="{00000000-0004-0000-0900-000087010000}"/>
    <hyperlink ref="D207" r:id="rId393" display="https://wa.me/6282352307329" xr:uid="{00000000-0004-0000-0900-000088010000}"/>
    <hyperlink ref="L207" r:id="rId394" display="https://adsmanager.facebook.com/adsmanager/manage/campaigns/edit/standalone?act=174904221976312&amp;selected_campaign_ids=120229738054670694" xr:uid="{00000000-0004-0000-0900-000089010000}"/>
    <hyperlink ref="D208" r:id="rId395" display="https://wa.me/6285223186555" xr:uid="{00000000-0004-0000-0900-00008A010000}"/>
    <hyperlink ref="L208" r:id="rId396" display="https://adsmanager.facebook.com/adsmanager/manage/campaigns/edit/standalone?act=174904221976312&amp;selected_campaign_ids=120229739691850694" xr:uid="{00000000-0004-0000-0900-00008B010000}"/>
    <hyperlink ref="D209" r:id="rId397" display="https://wa.me/6283831211890" xr:uid="{00000000-0004-0000-0900-00008C010000}"/>
    <hyperlink ref="L209" r:id="rId398" display="https://adsmanager.facebook.com/adsmanager/manage/campaigns/edit/standalone?act=174904221976312&amp;selected_campaign_ids=120229740294440694" xr:uid="{00000000-0004-0000-0900-00008D010000}"/>
    <hyperlink ref="D210" r:id="rId399" display="https://wa.me/6285286258400" xr:uid="{00000000-0004-0000-0900-00008E010000}"/>
    <hyperlink ref="L210" r:id="rId400" display="https://adsmanager.facebook.com/adsmanager/manage/campaigns/edit/standalone?act=174904221976312&amp;selected_campaign_ids=120229741385100694" xr:uid="{00000000-0004-0000-0900-00008F010000}"/>
    <hyperlink ref="D211" r:id="rId401" display="https://wa.me/628111099911" xr:uid="{00000000-0004-0000-0900-000090010000}"/>
    <hyperlink ref="L211" r:id="rId402" display="https://adsmanager.facebook.com/adsmanager/manage/campaigns/edit/standalone?act=174904221976312&amp;selected_campaign_ids=120229865135390694" xr:uid="{00000000-0004-0000-0900-000091010000}"/>
    <hyperlink ref="D212" r:id="rId403" display="https://wa.me/6287829346006" xr:uid="{00000000-0004-0000-0900-000092010000}"/>
    <hyperlink ref="L212" r:id="rId404" display="https://adsmanager.facebook.com/adsmanager/manage/campaigns/edit/standalone?act=174904221976312&amp;selected_campaign_ids=120229866087510694" xr:uid="{00000000-0004-0000-0900-000093010000}"/>
    <hyperlink ref="D213" r:id="rId405" display="https://wa.me/6281392854108" xr:uid="{00000000-0004-0000-0900-000094010000}"/>
    <hyperlink ref="L213" r:id="rId406" display="https://adsmanager.facebook.com/adsmanager/manage/campaigns/edit/standalone?act=174904221976312&amp;selected_campaign_ids=120229867334710694" xr:uid="{00000000-0004-0000-0900-000095010000}"/>
    <hyperlink ref="D214" r:id="rId407" display="https://wa.me/6285294617773" xr:uid="{00000000-0004-0000-0900-000096010000}"/>
    <hyperlink ref="L214" r:id="rId408" display="https://adsmanager.facebook.com/adsmanager/manage/campaigns/edit/standalone?act=174904221976312&amp;selected_campaign_ids=120229943482960694" xr:uid="{00000000-0004-0000-0900-000097010000}"/>
    <hyperlink ref="D215" r:id="rId409" display="https://wa.me/6281362440234" xr:uid="{00000000-0004-0000-0900-000098010000}"/>
    <hyperlink ref="L215" r:id="rId410" display="https://adsmanager.facebook.com/adsmanager/manage/campaigns/edit/standalone?act=174904221976312&amp;selected_campaign_ids=120229943921030694" xr:uid="{00000000-0004-0000-0900-000099010000}"/>
    <hyperlink ref="D216" r:id="rId411" display="https://wa.me/6282118113002" xr:uid="{00000000-0004-0000-0900-00009A010000}"/>
    <hyperlink ref="L216" r:id="rId412" display="https://adsmanager.facebook.com/adsmanager/manage/campaigns/edit/standalone?act=174904221976312&amp;selected_campaign_ids=120229944823140694" xr:uid="{00000000-0004-0000-0900-00009B010000}"/>
    <hyperlink ref="D217" r:id="rId413" display="https://wa.me/6288802749485" xr:uid="{00000000-0004-0000-0900-00009C010000}"/>
    <hyperlink ref="L217" r:id="rId414" display="https://adsmanager.facebook.com/adsmanager/manage/campaigns/edit/standalone?act=174904221976312&amp;selected_campaign_ids=120229948422580694" xr:uid="{00000000-0004-0000-0900-00009D010000}"/>
    <hyperlink ref="D218" r:id="rId415" display="https://wa.me/6282249348536" xr:uid="{00000000-0004-0000-0900-00009E010000}"/>
    <hyperlink ref="L218" r:id="rId416" display="https://adsmanager.facebook.com/adsmanager/manage/campaigns/edit/standalone?act=174904221976312&amp;selected_campaign_ids=120229949048250694" xr:uid="{00000000-0004-0000-0900-00009F010000}"/>
    <hyperlink ref="D219" r:id="rId417" display="https://wa.me/6285326750989" xr:uid="{00000000-0004-0000-0900-0000A0010000}"/>
    <hyperlink ref="L219" r:id="rId418" display="https://adsmanager.facebook.com/adsmanager/manage/campaigns/edit/standalone?act=174904221976312&amp;selected_campaign_ids=120229949254840694" xr:uid="{00000000-0004-0000-0900-0000A1010000}"/>
    <hyperlink ref="D220" r:id="rId419" display="https://wa.me/6285780314346" xr:uid="{00000000-0004-0000-0900-0000A2010000}"/>
    <hyperlink ref="L220" r:id="rId420" display="https://adsmanager.facebook.com/adsmanager/manage/campaigns/edit/standalone?act=174904221976312&amp;selected_campaign_ids=120229981713820694" xr:uid="{00000000-0004-0000-0900-0000A3010000}"/>
    <hyperlink ref="D221" r:id="rId421" display="https://wa.me/6285920572002" xr:uid="{00000000-0004-0000-0900-0000A4010000}"/>
    <hyperlink ref="L221" r:id="rId422" display="https://adsmanager.facebook.com/adsmanager/manage/campaigns/edit/standalone?act=174904221976312&amp;selected_campaign_ids=120229982208650694" xr:uid="{00000000-0004-0000-0900-0000A5010000}"/>
    <hyperlink ref="D222" r:id="rId423" display="https://wa.me/628122703083" xr:uid="{00000000-0004-0000-0900-0000A6010000}"/>
    <hyperlink ref="L222" r:id="rId424" display="https://adsmanager.facebook.com/adsmanager/manage/campaigns/edit/standalone?act=174904221976312&amp;selected_campaign_ids=120229982659360694" xr:uid="{00000000-0004-0000-0900-0000A7010000}"/>
    <hyperlink ref="D223" r:id="rId425" display="https://wa.me/6285691146546" xr:uid="{00000000-0004-0000-0900-0000A8010000}"/>
    <hyperlink ref="L223" r:id="rId426" display="https://adsmanager.facebook.com/adsmanager/manage/campaigns/edit/standalone?act=174904221976312&amp;selected_campaign_ids=120229983154530694" xr:uid="{00000000-0004-0000-0900-0000A9010000}"/>
    <hyperlink ref="D224" r:id="rId427" display="https://wa.me/6281226950679" xr:uid="{00000000-0004-0000-0900-0000AA010000}"/>
    <hyperlink ref="L224" r:id="rId428" display="https://adsmanager.facebook.com/adsmanager/manage/campaigns/edit/standalone?act=174904221976312&amp;selected_campaign_ids=120229983590020694" xr:uid="{00000000-0004-0000-0900-0000AB010000}"/>
    <hyperlink ref="D225" r:id="rId429" display="https://wa.me/628990145388" xr:uid="{00000000-0004-0000-0900-0000AC010000}"/>
    <hyperlink ref="L225" r:id="rId430" display="https://adsmanager.facebook.com/adsmanager/manage/campaigns/edit/standalone?act=174904221976312&amp;selected_campaign_ids=120229983962720694" xr:uid="{00000000-0004-0000-0900-0000AD010000}"/>
    <hyperlink ref="D226" r:id="rId431" display="https://wa.me/6282384544939" xr:uid="{00000000-0004-0000-0900-0000AE010000}"/>
    <hyperlink ref="L226" r:id="rId432" display="https://adsmanager.facebook.com/adsmanager/manage/campaigns/edit/standalone?act=174904221976312&amp;selected_campaign_ids=120230030546360694" xr:uid="{00000000-0004-0000-0900-0000AF010000}"/>
    <hyperlink ref="D227" r:id="rId433" display="https://wa.me/628154336558" xr:uid="{00000000-0004-0000-0900-0000B0010000}"/>
    <hyperlink ref="L227" r:id="rId434" display="https://adsmanager.facebook.com/adsmanager/manage/campaigns/edit/standalone?act=174904221976312&amp;selected_campaign_ids=120230030663890694" xr:uid="{00000000-0004-0000-0900-0000B1010000}"/>
    <hyperlink ref="D228" r:id="rId435" display="https://wa.me/6285946504405" xr:uid="{00000000-0004-0000-0900-0000B2010000}"/>
    <hyperlink ref="L228" r:id="rId436" display="https://adsmanager.facebook.com/adsmanager/manage/campaigns/edit/standalone?act=174904221976312&amp;selected_campaign_ids=120230030751300694" xr:uid="{00000000-0004-0000-0900-0000B3010000}"/>
    <hyperlink ref="D229" r:id="rId437" display="https://wa.me/6281357754513" xr:uid="{00000000-0004-0000-0900-0000B4010000}"/>
    <hyperlink ref="L229" r:id="rId438" display="https://adsmanager.facebook.com/adsmanager/manage/campaigns/edit/standalone?act=174904221976312&amp;selected_campaign_ids=120230030877630694" xr:uid="{00000000-0004-0000-0900-0000B5010000}"/>
    <hyperlink ref="D230" r:id="rId439" display="https://wa.me/6281326757091" xr:uid="{00000000-0004-0000-0900-0000B6010000}"/>
    <hyperlink ref="L230" r:id="rId440" display="https://adsmanager.facebook.com/adsmanager/manage/campaigns/edit/standalone?act=174904221976312&amp;selected_campaign_ids=120230031060080694" xr:uid="{00000000-0004-0000-0900-0000B7010000}"/>
    <hyperlink ref="D231" r:id="rId441" display="https://wa.me/6283865096870" xr:uid="{00000000-0004-0000-0900-0000B8010000}"/>
    <hyperlink ref="L231" r:id="rId442" display="https://adsmanager.facebook.com/adsmanager/manage/campaigns/edit/standalone?act=174904221976312&amp;selected_campaign_ids=120230031289610694" xr:uid="{00000000-0004-0000-0900-0000B9010000}"/>
    <hyperlink ref="D232" r:id="rId443" display="https://wa.me/6285378141823" xr:uid="{00000000-0004-0000-0900-0000BA010000}"/>
    <hyperlink ref="L232" r:id="rId444" display="https://adsmanager.facebook.com/adsmanager/manage/campaigns/edit/standalone?act=174904221976312&amp;selected_campaign_ids=120230031385670694" xr:uid="{00000000-0004-0000-0900-0000BB010000}"/>
    <hyperlink ref="D233" r:id="rId445" display="https://wa.me/6287721853921" xr:uid="{00000000-0004-0000-0900-0000BC010000}"/>
    <hyperlink ref="L233" r:id="rId446" display="https://adsmanager.facebook.com/adsmanager/manage/campaigns/edit/standalone?act=174904221976312&amp;selected_campaign_ids=120230031554680694" xr:uid="{00000000-0004-0000-0900-0000BD010000}"/>
    <hyperlink ref="D234" r:id="rId447" display="https://wa.me/6285244535934" xr:uid="{00000000-0004-0000-0900-0000BE010000}"/>
    <hyperlink ref="L234" r:id="rId448" display="https://adsmanager.facebook.com/adsmanager/manage/campaigns/edit/standalone?act=174904221976312&amp;selected_campaign_ids=120230031719520694" xr:uid="{00000000-0004-0000-0900-0000BF010000}"/>
    <hyperlink ref="D235" r:id="rId449" display="https://wa.me/6281558225822" xr:uid="{00000000-0004-0000-0900-0000C0010000}"/>
    <hyperlink ref="L235" r:id="rId450" display="https://adsmanager.facebook.com/adsmanager/manage/campaigns/edit/standalone?act=174904221976312&amp;selected_campaign_ids=120230032002500694" xr:uid="{00000000-0004-0000-0900-0000C1010000}"/>
    <hyperlink ref="D236" r:id="rId451" display="https://wa.me/6282241824727" xr:uid="{00000000-0004-0000-0900-0000C2010000}"/>
    <hyperlink ref="L236" r:id="rId452" display="https://adsmanager.facebook.com/adsmanager/manage/campaigns/edit/standalone?act=174904221976312&amp;selected_campaign_ids=120230032290790694" xr:uid="{00000000-0004-0000-0900-0000C3010000}"/>
    <hyperlink ref="D237" r:id="rId453" display="https://wa.me/6287751970643" xr:uid="{00000000-0004-0000-0900-0000C4010000}"/>
    <hyperlink ref="L237" r:id="rId454" display="https://adsmanager.facebook.com/adsmanager/manage/campaigns/edit/standalone?act=174904221976312&amp;selected_campaign_ids=120230101256100694" xr:uid="{00000000-0004-0000-0900-0000C5010000}"/>
    <hyperlink ref="D238" r:id="rId455" display="https://wa.me/628557182563" xr:uid="{00000000-0004-0000-0900-0000C6010000}"/>
    <hyperlink ref="L238" r:id="rId456" display="https://adsmanager.facebook.com/adsmanager/manage/campaigns/edit/standalone?act=174904221976312&amp;selected_campaign_ids=120230102442580694" xr:uid="{00000000-0004-0000-0900-0000C7010000}"/>
    <hyperlink ref="D239" r:id="rId457" display="https://wa.me/6285241858483" xr:uid="{00000000-0004-0000-0900-0000C8010000}"/>
    <hyperlink ref="L239" r:id="rId458" display="https://adsmanager.facebook.com/adsmanager/manage/campaigns/edit/standalone?act=174904221976312&amp;selected_campaign_ids=120230102653090694" xr:uid="{00000000-0004-0000-0900-0000C9010000}"/>
    <hyperlink ref="D240" r:id="rId459" display="https://wa.me/6282129364133" xr:uid="{00000000-0004-0000-0900-0000CA010000}"/>
    <hyperlink ref="L240" r:id="rId460" display="https://adsmanager.facebook.com/adsmanager/manage/campaigns/edit/standalone?act=174904221976312&amp;selected_campaign_ids=120230103577590694" xr:uid="{00000000-0004-0000-0900-0000CB010000}"/>
    <hyperlink ref="D241" r:id="rId461" display="https://wa.me/6281374844270" xr:uid="{00000000-0004-0000-0900-0000CC010000}"/>
    <hyperlink ref="L241" r:id="rId462" display="https://adsmanager.facebook.com/adsmanager/manage/campaigns/edit/standalone?act=174904221976312&amp;selected_campaign_ids=120230104017690694" xr:uid="{00000000-0004-0000-0900-0000CD010000}"/>
    <hyperlink ref="D242" r:id="rId463" display="https://wa.me/6281363504410" xr:uid="{00000000-0004-0000-0900-0000CE010000}"/>
    <hyperlink ref="L242" r:id="rId464" display="https://adsmanager.facebook.com/adsmanager/manage/campaigns/edit/standalone?act=174904221976312&amp;selected_campaign_ids=120230104636090694" xr:uid="{00000000-0004-0000-0900-0000CF010000}"/>
    <hyperlink ref="D243" r:id="rId465" display="https://wa.me/6281238115957" xr:uid="{00000000-0004-0000-0900-0000D0010000}"/>
    <hyperlink ref="L243" r:id="rId466" display="https://adsmanager.facebook.com/adsmanager/manage/campaigns/edit/standalone?act=174904221976312&amp;selected_campaign_ids=120230104881210694" xr:uid="{00000000-0004-0000-0900-0000D1010000}"/>
    <hyperlink ref="D244" r:id="rId467" display="https://wa.me/6285821233475" xr:uid="{00000000-0004-0000-0900-0000D2010000}"/>
    <hyperlink ref="L244" r:id="rId468" display="https://adsmanager.facebook.com/adsmanager/manage/campaigns/edit/standalone?act=174904221976312&amp;selected_campaign_ids=120230105029980694" xr:uid="{00000000-0004-0000-0900-0000D3010000}"/>
    <hyperlink ref="D245" r:id="rId469" display="https://wa.me/6281225101319" xr:uid="{00000000-0004-0000-0900-0000D4010000}"/>
    <hyperlink ref="L245" r:id="rId470" display="https://adsmanager.facebook.com/adsmanager/manage/campaigns/edit/standalone?act=174904221976312&amp;selected_campaign_ids=120230105512900694" xr:uid="{00000000-0004-0000-0900-0000D5010000}"/>
    <hyperlink ref="D246" r:id="rId471" display="https://wa.me/6285338700113" xr:uid="{00000000-0004-0000-0900-0000D6010000}"/>
    <hyperlink ref="L246" r:id="rId472" display="https://adsmanager.facebook.com/adsmanager/manage/campaigns/edit/standalone?act=174904221976312&amp;selected_campaign_ids=120230152687050694" xr:uid="{00000000-0004-0000-0900-0000D7010000}"/>
    <hyperlink ref="D247" r:id="rId473" display="https://wa.me/6285333751528" xr:uid="{00000000-0004-0000-0900-0000D8010000}"/>
    <hyperlink ref="L247" r:id="rId474" display="https://adsmanager.facebook.com/adsmanager/manage/campaigns/edit/standalone?act=174904221976312&amp;selected_campaign_ids=120230152814350694" xr:uid="{00000000-0004-0000-0900-0000D9010000}"/>
    <hyperlink ref="D248" r:id="rId475" display="https://wa.me/6285299991164" xr:uid="{00000000-0004-0000-0900-0000DA010000}"/>
    <hyperlink ref="L248" r:id="rId476" display="https://adsmanager.facebook.com/adsmanager/manage/campaigns/edit/standalone?act=174904221976312&amp;selected_campaign_ids=120230153099780694" xr:uid="{00000000-0004-0000-0900-0000DB010000}"/>
    <hyperlink ref="D249" r:id="rId477" display="https://wa.me/6281378305888" xr:uid="{00000000-0004-0000-0900-0000DC010000}"/>
    <hyperlink ref="L249" r:id="rId478" display="https://adsmanager.facebook.com/adsmanager/manage/campaigns/edit/standalone?act=174904221976312&amp;selected_campaign_ids=120230153286200694" xr:uid="{00000000-0004-0000-0900-0000DD010000}"/>
    <hyperlink ref="D250" r:id="rId479" display="https://wa.me/6281915041833" xr:uid="{00000000-0004-0000-0900-0000DE010000}"/>
    <hyperlink ref="L250" r:id="rId480" display="https://adsmanager.facebook.com/adsmanager/manage/campaigns/edit/standalone?act=174904221976312&amp;selected_campaign_ids=120230153711420694" xr:uid="{00000000-0004-0000-0900-0000DF010000}"/>
    <hyperlink ref="D251" r:id="rId481" display="https://wa.me/6285191259285" xr:uid="{00000000-0004-0000-0900-0000E0010000}"/>
    <hyperlink ref="L251" r:id="rId482" display="https://adsmanager.facebook.com/adsmanager/manage/campaigns/edit/standalone?act=174904221976312&amp;selected_campaign_ids=120230200566270694" xr:uid="{00000000-0004-0000-0900-0000E1010000}"/>
    <hyperlink ref="D252" r:id="rId483" display="https://wa.me/6285338373761" xr:uid="{00000000-0004-0000-0900-0000E2010000}"/>
    <hyperlink ref="L252" r:id="rId484" display="https://adsmanager.facebook.com/adsmanager/manage/campaigns/edit/standalone?act=174904221976312&amp;selected_campaign_ids=120230200663390694" xr:uid="{00000000-0004-0000-0900-0000E3010000}"/>
    <hyperlink ref="D253" r:id="rId485" display="https://wa.me/628170204528" xr:uid="{00000000-0004-0000-0900-0000E4010000}"/>
    <hyperlink ref="L253" r:id="rId486" display="https://adsmanager.facebook.com/adsmanager/manage/campaigns/edit/standalone?act=174904221976312&amp;selected_campaign_ids=120230200770220694" xr:uid="{00000000-0004-0000-0900-0000E5010000}"/>
    <hyperlink ref="D254" r:id="rId487" display="https://wa.me/6289515920603" xr:uid="{00000000-0004-0000-0900-0000E6010000}"/>
    <hyperlink ref="L254" r:id="rId488" display="https://adsmanager.facebook.com/adsmanager/manage/campaigns/edit/standalone?act=174904221976312&amp;selected_campaign_ids=120230247451720694" xr:uid="{00000000-0004-0000-0900-0000E7010000}"/>
    <hyperlink ref="D255" r:id="rId489" display="https://wa.me/6285602235226" xr:uid="{00000000-0004-0000-0900-0000E8010000}"/>
    <hyperlink ref="L255" r:id="rId490" display="https://adsmanager.facebook.com/adsmanager/manage/campaigns/edit/standalone?act=174904221976312&amp;selected_campaign_ids=120230247721570694" xr:uid="{00000000-0004-0000-0900-0000E9010000}"/>
    <hyperlink ref="D256" r:id="rId491" display="https://wa.me/62882001438924" xr:uid="{00000000-0004-0000-0900-0000EA010000}"/>
    <hyperlink ref="L256" r:id="rId492" display="https://adsmanager.facebook.com/adsmanager/manage/campaigns/edit/standalone?act=174904221976312&amp;selected_campaign_ids=120230247893620694" xr:uid="{00000000-0004-0000-0900-0000EB010000}"/>
    <hyperlink ref="D257" r:id="rId493" display="https://wa.me/6285328883803" xr:uid="{00000000-0004-0000-0900-0000EC010000}"/>
    <hyperlink ref="L257" r:id="rId494" display="https://adsmanager.facebook.com/adsmanager/manage/campaigns/edit/standalone?act=174904221976312&amp;selected_campaign_ids=120230248027720694" xr:uid="{00000000-0004-0000-0900-0000ED010000}"/>
    <hyperlink ref="D258" r:id="rId495" display="https://wa.me/6287797504113" xr:uid="{00000000-0004-0000-0900-0000EE010000}"/>
    <hyperlink ref="L258" r:id="rId496" display="https://adsmanager.facebook.com/adsmanager/manage/campaigns/edit/standalone?act=174904221976312&amp;selected_campaign_ids=120230292981560694" xr:uid="{00000000-0004-0000-0900-0000EF010000}"/>
    <hyperlink ref="D259" r:id="rId497" display="https://wa.me/6281288245836" xr:uid="{00000000-0004-0000-0900-0000F0010000}"/>
    <hyperlink ref="L259" r:id="rId498" display="https://adsmanager.facebook.com/adsmanager/manage/campaigns/edit/standalone?act=174904221976312&amp;selected_campaign_ids=120230432275000694" xr:uid="{00000000-0004-0000-0900-0000F1010000}"/>
    <hyperlink ref="D260" r:id="rId499" display="https://wa.me/6285748377961" xr:uid="{00000000-0004-0000-0900-0000F2010000}"/>
    <hyperlink ref="L260" r:id="rId500" display="https://adsmanager.facebook.com/adsmanager/manage/campaigns/edit/standalone?act=174904221976312&amp;selected_campaign_ids=120230432872870694" xr:uid="{00000000-0004-0000-0900-0000F3010000}"/>
    <hyperlink ref="D261" r:id="rId501" display="https://wa.me/6285748377961" xr:uid="{00000000-0004-0000-0900-0000F4010000}"/>
    <hyperlink ref="L261" r:id="rId502" display="https://adsmanager.facebook.com/adsmanager/manage/campaigns/edit/standalone?act=174904221976312&amp;selected_campaign_ids=120230432938410694" xr:uid="{00000000-0004-0000-0900-0000F5010000}"/>
    <hyperlink ref="D262" r:id="rId503" display="https://wa.me/6281324481252" xr:uid="{00000000-0004-0000-0900-0000F6010000}"/>
    <hyperlink ref="L262" r:id="rId504" display="https://adsmanager.facebook.com/adsmanager/manage/campaigns/edit/standalone?act=174904221976312&amp;selected_campaign_ids=120230433021380694" xr:uid="{00000000-0004-0000-0900-0000F7010000}"/>
    <hyperlink ref="D263" r:id="rId505" display="https://wa.me/62817262229" xr:uid="{00000000-0004-0000-0900-0000F8010000}"/>
    <hyperlink ref="L263" r:id="rId506" display="https://adsmanager.facebook.com/adsmanager/manage/campaigns/edit/standalone?act=174904221976312&amp;selected_campaign_ids=120230433186760694" xr:uid="{00000000-0004-0000-0900-0000F9010000}"/>
    <hyperlink ref="D264" r:id="rId507" display="https://wa.me/6282112042148" xr:uid="{00000000-0004-0000-0900-0000FA010000}"/>
    <hyperlink ref="L264" r:id="rId508" display="https://adsmanager.facebook.com/adsmanager/manage/campaigns/edit/standalone?act=174904221976312&amp;selected_campaign_ids=120230433288220694" xr:uid="{00000000-0004-0000-0900-0000FB010000}"/>
    <hyperlink ref="D265" r:id="rId509" display="https://wa.me/6283870060603" xr:uid="{00000000-0004-0000-0900-0000FC010000}"/>
    <hyperlink ref="L265" r:id="rId510" display="https://adsmanager.facebook.com/adsmanager/manage/campaigns/edit/standalone?act=174904221976312&amp;selected_campaign_ids=120230433393450694" xr:uid="{00000000-0004-0000-0900-0000FD010000}"/>
    <hyperlink ref="D266" r:id="rId511" display="https://wa.me/6287886480138" xr:uid="{00000000-0004-0000-0900-0000FE010000}"/>
    <hyperlink ref="L266" r:id="rId512" display="https://adsmanager.facebook.com/adsmanager/manage/campaigns/edit/standalone?act=174904221976312&amp;selected_campaign_ids=120230433528630694" xr:uid="{00000000-0004-0000-0900-0000FF010000}"/>
    <hyperlink ref="D267" r:id="rId513" display="https://wa.me/6282153090123" xr:uid="{00000000-0004-0000-0900-000000020000}"/>
    <hyperlink ref="L267" r:id="rId514" display="https://adsmanager.facebook.com/adsmanager/manage/campaigns/edit/standalone?act=174904221976312&amp;selected_campaign_ids=120230493864380694" xr:uid="{00000000-0004-0000-0900-000001020000}"/>
    <hyperlink ref="D268" r:id="rId515" display="https://wa.me/6282382535847" xr:uid="{00000000-0004-0000-0900-000002020000}"/>
    <hyperlink ref="L268" r:id="rId516" display="https://adsmanager.facebook.com/adsmanager/manage/campaigns/edit/standalone?act=174904221976312&amp;selected_campaign_ids=120230493966180694" xr:uid="{00000000-0004-0000-0900-000003020000}"/>
    <hyperlink ref="D269" r:id="rId517" display="https://wa.me/6282241382009" xr:uid="{00000000-0004-0000-0900-000004020000}"/>
    <hyperlink ref="L269" r:id="rId518" display="https://adsmanager.facebook.com/adsmanager/manage/campaigns/edit/standalone?act=174904221976312&amp;selected_campaign_ids=120230494321050694" xr:uid="{00000000-0004-0000-0900-000005020000}"/>
    <hyperlink ref="D270" r:id="rId519" display="https://wa.me/628127962347" xr:uid="{00000000-0004-0000-0900-000006020000}"/>
    <hyperlink ref="L270" r:id="rId520" display="https://adsmanager.facebook.com/adsmanager/manage/campaigns/edit/standalone?act=174904221976312&amp;selected_campaign_ids=120230494428050694" xr:uid="{00000000-0004-0000-0900-000007020000}"/>
    <hyperlink ref="D271" r:id="rId521" display="https://wa.me/628179780980" xr:uid="{00000000-0004-0000-0900-000008020000}"/>
    <hyperlink ref="L271" r:id="rId522" display="https://adsmanager.facebook.com/adsmanager/manage/campaigns/edit/standalone?act=174904221976312&amp;selected_campaign_ids=120230494825900694" xr:uid="{00000000-0004-0000-0900-000009020000}"/>
    <hyperlink ref="D272" r:id="rId523" display="https://wa.me/6287701349406" xr:uid="{00000000-0004-0000-0900-00000A020000}"/>
    <hyperlink ref="L272" r:id="rId524" display="https://adsmanager.facebook.com/adsmanager/manage/campaigns/edit/standalone?act=174904221976312&amp;selected_campaign_ids=120230494969540694" xr:uid="{00000000-0004-0000-0900-00000B020000}"/>
    <hyperlink ref="D273" r:id="rId525" display="https://wa.me/62881010328220" xr:uid="{00000000-0004-0000-0900-00000C020000}"/>
    <hyperlink ref="L273" r:id="rId526" display="https://adsmanager.facebook.com/adsmanager/manage/campaigns/edit/standalone?act=174904221976312&amp;selected_campaign_ids=120230525743980694" xr:uid="{00000000-0004-0000-0900-00000D020000}"/>
    <hyperlink ref="D274" r:id="rId527" display="https://wa.me/6285294617773" xr:uid="{00000000-0004-0000-0900-00000E020000}"/>
    <hyperlink ref="L274" r:id="rId528" display="https://adsmanager.facebook.com/adsmanager/manage/campaigns/edit/standalone?act=174904221976312&amp;selected_campaign_ids=120230526115890694" xr:uid="{00000000-0004-0000-0900-00000F020000}"/>
    <hyperlink ref="D275" r:id="rId529" display="https://wa.me/6285361188745" xr:uid="{00000000-0004-0000-0900-000010020000}"/>
    <hyperlink ref="L275" r:id="rId530" display="https://adsmanager.facebook.com/adsmanager/manage/campaigns/edit/standalone?act=174904221976312&amp;selected_campaign_ids=120230526254600694" xr:uid="{00000000-0004-0000-0900-000011020000}"/>
    <hyperlink ref="D276" r:id="rId531" display="https://wa.me/6283129404339" xr:uid="{00000000-0004-0000-0900-000012020000}"/>
    <hyperlink ref="L276" r:id="rId532" display="https://adsmanager.facebook.com/adsmanager/manage/campaigns/edit/standalone?act=174904221976312&amp;selected_campaign_ids=120230526567290694" xr:uid="{00000000-0004-0000-0900-000013020000}"/>
    <hyperlink ref="D277" r:id="rId533" display="https://wa.me/6281558225822" xr:uid="{00000000-0004-0000-0900-000014020000}"/>
    <hyperlink ref="L277" r:id="rId534" display="https://adsmanager.facebook.com/adsmanager/manage/campaigns/edit/standalone?act=174904221976312&amp;selected_campaign_ids=120230588333970694" xr:uid="{00000000-0004-0000-0900-000015020000}"/>
    <hyperlink ref="D278" r:id="rId535" display="https://wa.me/6282390759437" xr:uid="{00000000-0004-0000-0900-000016020000}"/>
    <hyperlink ref="L278" r:id="rId536" display="https://adsmanager.facebook.com/adsmanager/manage/campaigns/edit/standalone?act=174904221976312&amp;selected_campaign_ids=120230588419380694" xr:uid="{00000000-0004-0000-0900-000017020000}"/>
    <hyperlink ref="D279" r:id="rId537" display="https://wa.me/6282221896658" xr:uid="{00000000-0004-0000-0900-000018020000}"/>
    <hyperlink ref="L279" r:id="rId538" display="https://adsmanager.facebook.com/adsmanager/manage/campaigns/edit/standalone?act=174904221976312&amp;selected_campaign_ids=120230588507090694" xr:uid="{00000000-0004-0000-0900-000019020000}"/>
    <hyperlink ref="D280" r:id="rId539" display="https://wa.me/6281339823715" xr:uid="{00000000-0004-0000-0900-00001A020000}"/>
    <hyperlink ref="L280" r:id="rId540" display="https://adsmanager.facebook.com/adsmanager/manage/campaigns/edit/standalone?act=174904221976312&amp;selected_campaign_ids=120230588570800694" xr:uid="{00000000-0004-0000-0900-00001B020000}"/>
    <hyperlink ref="D281" r:id="rId541" display="https://wa.me/6281320188313" xr:uid="{00000000-0004-0000-0900-00001C020000}"/>
    <hyperlink ref="L281" r:id="rId542" display="https://adsmanager.facebook.com/adsmanager/manage/campaigns/edit/standalone?act=174904221976312&amp;selected_campaign_ids=120230588843930694" xr:uid="{00000000-0004-0000-0900-00001D020000}"/>
    <hyperlink ref="D282" r:id="rId543" display="https://wa.me/6287864812126" xr:uid="{00000000-0004-0000-0900-00001E020000}"/>
    <hyperlink ref="L282" r:id="rId544" display="https://adsmanager.facebook.com/adsmanager/manage/campaigns/edit/standalone?act=174904221976312&amp;selected_campaign_ids=120230589652200694" xr:uid="{00000000-0004-0000-0900-00001F020000}"/>
    <hyperlink ref="D283" r:id="rId545" display="https://wa.me/628561302381" xr:uid="{00000000-0004-0000-0900-000020020000}"/>
    <hyperlink ref="L283" r:id="rId546" display="https://adsmanager.facebook.com/adsmanager/manage/campaigns/edit/standalone?act=174904221976312&amp;selected_campaign_ids=120230643397020694" xr:uid="{00000000-0004-0000-0900-000021020000}"/>
    <hyperlink ref="D284" r:id="rId547" display="https://wa.me/6285780314346" xr:uid="{00000000-0004-0000-0900-000022020000}"/>
    <hyperlink ref="L284" r:id="rId548" display="https://adsmanager.facebook.com/adsmanager/manage/campaigns/edit/standalone?act=174904221976312&amp;selected_campaign_ids=120230650450110694" xr:uid="{00000000-0004-0000-0900-000023020000}"/>
    <hyperlink ref="D285" r:id="rId549" display="https://wa.me/6285240194507" xr:uid="{00000000-0004-0000-0900-000024020000}"/>
    <hyperlink ref="L285" r:id="rId550" display="https://adsmanager.facebook.com/adsmanager/manage/campaigns/edit/standalone?act=174904221976312&amp;selected_campaign_ids=120230722040750694" xr:uid="{00000000-0004-0000-0900-000025020000}"/>
    <hyperlink ref="D286" r:id="rId551" display="https://wa.me/6285189492568" xr:uid="{00000000-0004-0000-0900-000026020000}"/>
    <hyperlink ref="L286" r:id="rId552" display="https://adsmanager.facebook.com/adsmanager/manage/campaigns/edit/standalone?act=174904221976312&amp;selected_campaign_ids=120230722106900694" xr:uid="{00000000-0004-0000-0900-000027020000}"/>
    <hyperlink ref="D287" r:id="rId553" display="https://wa.me/6285811111804" xr:uid="{00000000-0004-0000-0900-000028020000}"/>
    <hyperlink ref="L287" r:id="rId554" display="https://adsmanager.facebook.com/adsmanager/manage/campaigns/edit/standalone?act=174904221976312&amp;selected_campaign_ids=120230722176300694" xr:uid="{00000000-0004-0000-0900-000029020000}"/>
    <hyperlink ref="D288" r:id="rId555" display="https://wa.me/6281313889118" xr:uid="{00000000-0004-0000-0900-00002A020000}"/>
    <hyperlink ref="L288" r:id="rId556" display="https://adsmanager.facebook.com/adsmanager/manage/campaigns/edit/standalone?act=174904221976312&amp;selected_campaign_ids=120230722239150694" xr:uid="{00000000-0004-0000-0900-00002B020000}"/>
    <hyperlink ref="D289" r:id="rId557" display="https://wa.me/6282112073155" xr:uid="{00000000-0004-0000-0900-00002C020000}"/>
    <hyperlink ref="L289" r:id="rId558" display="https://adsmanager.facebook.com/adsmanager/manage/campaigns/edit/standalone?act=174904221976312&amp;selected_campaign_ids=120230722307480694" xr:uid="{00000000-0004-0000-0900-00002D020000}"/>
    <hyperlink ref="D290" r:id="rId559" display="https://wa.me/628195131666" xr:uid="{00000000-0004-0000-0900-00002E020000}"/>
    <hyperlink ref="L290" r:id="rId560" display="https://adsmanager.facebook.com/adsmanager/manage/campaigns/edit/standalone?act=174904221976312&amp;selected_campaign_ids=120230772135890694" xr:uid="{00000000-0004-0000-0900-00002F020000}"/>
    <hyperlink ref="D291" r:id="rId561" display="https://wa.me/628815361682" xr:uid="{00000000-0004-0000-0900-000030020000}"/>
    <hyperlink ref="L291" r:id="rId562" display="https://adsmanager.facebook.com/adsmanager/manage/campaigns/edit/standalone?act=174904221976312&amp;selected_campaign_ids=120230773935980694" xr:uid="{00000000-0004-0000-0900-000031020000}"/>
    <hyperlink ref="D292" r:id="rId563" display="https://wa.me/6285967129366" xr:uid="{00000000-0004-0000-0900-000032020000}"/>
    <hyperlink ref="L292" r:id="rId564" display="https://adsmanager.facebook.com/adsmanager/manage/campaigns/edit/standalone?act=174904221976312&amp;selected_campaign_ids=120230774466620694" xr:uid="{00000000-0004-0000-0900-000033020000}"/>
    <hyperlink ref="D293" r:id="rId565" display="https://wa.me/6289514176661" xr:uid="{00000000-0004-0000-0900-000034020000}"/>
    <hyperlink ref="L293" r:id="rId566" display="https://adsmanager.facebook.com/adsmanager/manage/campaigns/edit/standalone?act=174904221976312&amp;selected_campaign_ids=120230774682990694" xr:uid="{00000000-0004-0000-0900-000035020000}"/>
    <hyperlink ref="D294" r:id="rId567" display="https://wa.me/6285702241111" xr:uid="{00000000-0004-0000-0900-000036020000}"/>
    <hyperlink ref="L294" r:id="rId568" display="https://adsmanager.facebook.com/adsmanager/manage/campaigns/edit/standalone?act=174904221976312&amp;selected_campaign_ids=120230877077130694" xr:uid="{00000000-0004-0000-0900-000037020000}"/>
    <hyperlink ref="D295" r:id="rId569" display="https://wa.me/628179780980" xr:uid="{00000000-0004-0000-0900-000038020000}"/>
    <hyperlink ref="L295" r:id="rId570" display="https://adsmanager.facebook.com/adsmanager/manage/campaigns/edit/standalone?act=174904221976312&amp;selected_campaign_ids=120230877844000694" xr:uid="{00000000-0004-0000-0900-000039020000}"/>
    <hyperlink ref="D296" r:id="rId571" display="https://wa.me/6282160743576" xr:uid="{00000000-0004-0000-0900-00003A020000}"/>
    <hyperlink ref="L296" r:id="rId572" display="https://adsmanager.facebook.com/adsmanager/manage/campaigns/edit/standalone?act=174904221976312&amp;selected_campaign_ids=120230878618490694" xr:uid="{00000000-0004-0000-0900-00003B020000}"/>
    <hyperlink ref="D297" r:id="rId573" display="https://wa.me/6287740636181" xr:uid="{00000000-0004-0000-0900-00003C020000}"/>
    <hyperlink ref="L297" r:id="rId574" display="https://adsmanager.facebook.com/adsmanager/manage/campaigns/edit/standalone?act=174904221976312&amp;selected_campaign_ids=120230880083390694" xr:uid="{00000000-0004-0000-0900-00003D020000}"/>
    <hyperlink ref="D298" r:id="rId575" display="https://wa.me/6285255115894" xr:uid="{00000000-0004-0000-0900-00003E020000}"/>
    <hyperlink ref="L298" r:id="rId576" display="https://adsmanager.facebook.com/adsmanager/manage/campaigns/edit/standalone?act=174904221976312&amp;selected_campaign_ids=120230973891570694" xr:uid="{00000000-0004-0000-0900-00003F020000}"/>
    <hyperlink ref="D299" r:id="rId577" display="https://wa.me/6287862271550" xr:uid="{00000000-0004-0000-0900-000040020000}"/>
    <hyperlink ref="L299" r:id="rId578" display="https://adsmanager.facebook.com/adsmanager/manage/campaigns/edit/standalone?act=174904221976312&amp;selected_campaign_ids=120230974064560694" xr:uid="{00000000-0004-0000-0900-000041020000}"/>
    <hyperlink ref="D300" r:id="rId579" display="https://wa.me/6281210801646" xr:uid="{00000000-0004-0000-0900-000042020000}"/>
    <hyperlink ref="L300" r:id="rId580" display="https://adsmanager.facebook.com/adsmanager/manage/campaigns/edit/standalone?act=174904221976312&amp;selected_campaign_ids=120230974169070694" xr:uid="{00000000-0004-0000-0900-000043020000}"/>
    <hyperlink ref="D301" r:id="rId581" display="https://wa.me/6282154318629" xr:uid="{00000000-0004-0000-0900-000044020000}"/>
    <hyperlink ref="L301" r:id="rId582" display="https://adsmanager.facebook.com/adsmanager/manage/campaigns/edit/standalone?act=174904221976312&amp;selected_campaign_ids=120230974481300694" xr:uid="{00000000-0004-0000-0900-000045020000}"/>
    <hyperlink ref="D302" r:id="rId583" display="https://wa.me/62082287715351" xr:uid="{00000000-0004-0000-0900-000046020000}"/>
    <hyperlink ref="L302" r:id="rId584" display="https://adsmanager.facebook.com/adsmanager/manage/campaigns/edit/standalone?act=174904221976312&amp;selected_campaign_ids=120231053440480694" xr:uid="{00000000-0004-0000-0900-000047020000}"/>
    <hyperlink ref="D303" r:id="rId585" display="https://wa.me/6289667480162" xr:uid="{00000000-0004-0000-0900-000048020000}"/>
    <hyperlink ref="L303" r:id="rId586" display="https://adsmanager.facebook.com/adsmanager/manage/campaigns/edit/standalone?act=174904221976312&amp;selected_campaign_ids=120231053893780694" xr:uid="{00000000-0004-0000-0900-000049020000}"/>
    <hyperlink ref="D304" r:id="rId587" display="https://wa.me/6287776264559" xr:uid="{00000000-0004-0000-0900-00004A020000}"/>
    <hyperlink ref="L304" r:id="rId588" display="https://adsmanager.facebook.com/adsmanager/manage/campaigns/edit/standalone?act=174904221976312&amp;selected_campaign_ids=120231054261380694" xr:uid="{00000000-0004-0000-0900-00004B020000}"/>
    <hyperlink ref="D305" r:id="rId589" display="https://wa.me/6285166200242" xr:uid="{00000000-0004-0000-0900-00004C020000}"/>
    <hyperlink ref="L305" r:id="rId590" display="https://adsmanager.facebook.com/adsmanager/manage/campaigns/edit/standalone?act=174904221976312&amp;selected_campaign_ids=120231054975200694" xr:uid="{00000000-0004-0000-0900-00004D020000}"/>
    <hyperlink ref="D306" r:id="rId591" display="https://wa.me/6281334257715" xr:uid="{00000000-0004-0000-0900-00004E020000}"/>
    <hyperlink ref="L306" r:id="rId592" display="https://adsmanager.facebook.com/adsmanager/manage/campaigns/edit/standalone?act=174904221976312&amp;selected_campaign_ids=120231117105190694" xr:uid="{00000000-0004-0000-0900-00004F020000}"/>
    <hyperlink ref="D307" r:id="rId593" display="https://wa.me/6287821734079" xr:uid="{00000000-0004-0000-0900-000050020000}"/>
    <hyperlink ref="L307" r:id="rId594" display="https://adsmanager.facebook.com/adsmanager/manage/campaigns/edit/standalone?act=174904221976312&amp;selected_campaign_ids=120231117798000694" xr:uid="{00000000-0004-0000-0900-000051020000}"/>
    <hyperlink ref="C308" r:id="rId595" display="http://hratour.id/" xr:uid="{00000000-0004-0000-0900-000052020000}"/>
    <hyperlink ref="D308" r:id="rId596" display="https://wa.me/6285710239729" xr:uid="{00000000-0004-0000-0900-000053020000}"/>
    <hyperlink ref="L308" r:id="rId597" display="https://adsmanager.facebook.com/adsmanager/manage/campaigns/edit/standalone?act=174904221976312&amp;selected_campaign_ids=120231118151600694" xr:uid="{00000000-0004-0000-0900-000054020000}"/>
    <hyperlink ref="D309" r:id="rId598" display="https://wa.me/6281330410391" xr:uid="{00000000-0004-0000-0900-000055020000}"/>
    <hyperlink ref="L309" r:id="rId599" display="https://adsmanager.facebook.com/adsmanager/manage/campaigns/edit/standalone?act=174904221976312&amp;selected_campaign_ids=120231118398810694" xr:uid="{00000000-0004-0000-0900-000056020000}"/>
    <hyperlink ref="D310" r:id="rId600" display="https://wa.me/6281316807185" xr:uid="{00000000-0004-0000-0900-000057020000}"/>
    <hyperlink ref="L310" r:id="rId601" display="https://adsmanager.facebook.com/adsmanager/manage/campaigns/edit/standalone?act=174904221976312&amp;selected_campaign_ids=120231118865480694" xr:uid="{00000000-0004-0000-0900-000058020000}"/>
    <hyperlink ref="D311" r:id="rId602" display="https://wa.me/6285741888828" xr:uid="{00000000-0004-0000-0900-000059020000}"/>
    <hyperlink ref="L311" r:id="rId603" display="https://adsmanager.facebook.com/adsmanager/manage/campaigns/edit/standalone?act=174904221976312&amp;selected_campaign_ids=120231232396990694" xr:uid="{00000000-0004-0000-0900-00005A020000}"/>
    <hyperlink ref="D312" r:id="rId604" display="https://wa.me/628112656686" xr:uid="{00000000-0004-0000-0900-00005B020000}"/>
    <hyperlink ref="L312" r:id="rId605" display="https://adsmanager.facebook.com/adsmanager/manage/campaigns/edit/standalone?act=174904221976312&amp;selected_campaign_ids=120231232791260694" xr:uid="{00000000-0004-0000-0900-00005C020000}"/>
    <hyperlink ref="D313" r:id="rId606" display="https://wa.me/6281315163838" xr:uid="{00000000-0004-0000-0900-00005D020000}"/>
    <hyperlink ref="L313" r:id="rId607" display="https://adsmanager.facebook.com/adsmanager/manage/campaigns/edit/standalone?act=174904221976312&amp;selected_campaign_ids=120231233043910694" xr:uid="{00000000-0004-0000-0900-00005E020000}"/>
    <hyperlink ref="D314" r:id="rId608" display="https://wa.me/6282171085542" xr:uid="{00000000-0004-0000-0900-00005F020000}"/>
    <hyperlink ref="L314" r:id="rId609" display="https://adsmanager.facebook.com/adsmanager/manage/campaigns/edit/standalone?act=174904221976312&amp;selected_campaign_ids=120231241160470694" xr:uid="{00000000-0004-0000-0900-000060020000}"/>
    <hyperlink ref="D315" r:id="rId610" display="https://wa.me/6285169730762" xr:uid="{00000000-0004-0000-0900-000061020000}"/>
    <hyperlink ref="L315" r:id="rId611" display="https://adsmanager.facebook.com/adsmanager/manage/campaigns/edit/standalone?act=174904221976312&amp;selected_campaign_ids=120231241330280694" xr:uid="{00000000-0004-0000-0900-000062020000}"/>
    <hyperlink ref="D316" r:id="rId612" display="https://wa.me/6287842913251" xr:uid="{00000000-0004-0000-0900-000063020000}"/>
    <hyperlink ref="L316" r:id="rId613" display="https://adsmanager.facebook.com/adsmanager/manage/campaigns/edit/standalone?act=174904221976312&amp;selected_campaign_ids=120231245397520694" xr:uid="{00000000-0004-0000-0900-000064020000}"/>
    <hyperlink ref="D317" r:id="rId614" display="https://wa.me/6281513169730" xr:uid="{00000000-0004-0000-0900-000065020000}"/>
    <hyperlink ref="L317" r:id="rId615" display="https://adsmanager.facebook.com/adsmanager/manage/campaigns/edit/standalone?act=174904221976312&amp;selected_campaign_ids=120231298639100694" xr:uid="{00000000-0004-0000-0900-000066020000}"/>
    <hyperlink ref="D318" r:id="rId616" display="https://wa.me/6285642368174" xr:uid="{00000000-0004-0000-0900-000067020000}"/>
    <hyperlink ref="L318" r:id="rId617" display="https://adsmanager.facebook.com/adsmanager/manage/campaigns/edit/standalone?act=174904221976312&amp;selected_campaign_ids=120231299073280694" xr:uid="{00000000-0004-0000-0900-000068020000}"/>
    <hyperlink ref="D319" r:id="rId618" display="https://wa.me/6287777304498" xr:uid="{00000000-0004-0000-0900-000069020000}"/>
    <hyperlink ref="L319" r:id="rId619" display="https://adsmanager.facebook.com/adsmanager/manage/campaigns/edit/standalone?act=174904221976312&amp;selected_campaign_ids=120231299258430694" xr:uid="{00000000-0004-0000-0900-00006A020000}"/>
    <hyperlink ref="D320" r:id="rId620" display="https://wa.me/6285920572002" xr:uid="{00000000-0004-0000-0900-00006B020000}"/>
    <hyperlink ref="L320" r:id="rId621" display="https://adsmanager.facebook.com/adsmanager/manage/campaigns/edit/standalone?act=174904221976312&amp;selected_campaign_ids=120231299560650694" xr:uid="{00000000-0004-0000-0900-00006C020000}"/>
    <hyperlink ref="D321" r:id="rId622" display="https://wa.me/6287836691500" xr:uid="{00000000-0004-0000-0900-00006D020000}"/>
    <hyperlink ref="L321" r:id="rId623" display="https://adsmanager.facebook.com/adsmanager/manage/campaigns/edit/standalone?act=174904221976312&amp;selected_campaign_ids=120231302535890694" xr:uid="{00000000-0004-0000-0900-00006E020000}"/>
    <hyperlink ref="D322" r:id="rId624" display="https://wa.me/628122577723" xr:uid="{00000000-0004-0000-0900-00006F020000}"/>
    <hyperlink ref="L322" r:id="rId625" display="https://adsmanager.facebook.com/adsmanager/manage/campaigns/edit/standalone?act=174904221976312&amp;selected_campaign_ids=120231302907100694" xr:uid="{00000000-0004-0000-0900-000070020000}"/>
    <hyperlink ref="D323" r:id="rId626" display="https://wa.me/6281938384000" xr:uid="{00000000-0004-0000-0900-000071020000}"/>
    <hyperlink ref="L323" r:id="rId627" display="https://adsmanager.facebook.com/adsmanager/manage/campaigns/edit/standalone?act=174904221976312&amp;selected_campaign_ids=120231303251770694" xr:uid="{00000000-0004-0000-0900-000072020000}"/>
    <hyperlink ref="D324" r:id="rId628" display="https://wa.me/6281231382365" xr:uid="{00000000-0004-0000-0900-000073020000}"/>
    <hyperlink ref="L324" r:id="rId629" display="https://adsmanager.facebook.com/adsmanager/manage/campaigns/edit/standalone?act=174904221976312&amp;selected_campaign_ids=120231364279680694" xr:uid="{00000000-0004-0000-0900-000074020000}"/>
    <hyperlink ref="D325" r:id="rId630" display="https://wa.me/6285720705874" xr:uid="{00000000-0004-0000-0900-000075020000}"/>
    <hyperlink ref="L325" r:id="rId631" display="https://adsmanager.facebook.com/adsmanager/manage/campaigns/edit/standalone?act=174904221976312&amp;selected_campaign_ids=120231366267850694" xr:uid="{00000000-0004-0000-0900-000076020000}"/>
    <hyperlink ref="D326" r:id="rId632" display="https://wa.me/6281328027701" xr:uid="{00000000-0004-0000-0900-000077020000}"/>
    <hyperlink ref="L326" r:id="rId633" display="https://adsmanager.facebook.com/adsmanager/manage/campaigns/edit/standalone?act=174904221976312&amp;selected_campaign_ids=120231369762640694" xr:uid="{00000000-0004-0000-0900-000078020000}"/>
    <hyperlink ref="D327" r:id="rId634" display="https://wa.me/628152343305" xr:uid="{00000000-0004-0000-0900-000079020000}"/>
    <hyperlink ref="L327" r:id="rId635" display="https://adsmanager.facebook.com/adsmanager/manage/campaigns/edit/standalone?act=174904221976312&amp;selected_campaign_ids=120231370751180694" xr:uid="{00000000-0004-0000-0900-00007A020000}"/>
    <hyperlink ref="D328" r:id="rId636" display="https://wa.me/6281359605566" xr:uid="{00000000-0004-0000-0900-00007B020000}"/>
    <hyperlink ref="L328" r:id="rId637" display="https://adsmanager.facebook.com/adsmanager/manage/campaigns/edit/standalone?act=174904221976312&amp;selected_campaign_ids=120231434063200694" xr:uid="{00000000-0004-0000-0900-00007C020000}"/>
    <hyperlink ref="D329" r:id="rId638" display="https://wa.me/6287863509004" xr:uid="{00000000-0004-0000-0900-00007D020000}"/>
    <hyperlink ref="L329" r:id="rId639" display="https://adsmanager.facebook.com/adsmanager/manage/campaigns/edit/standalone?act=174904221976312&amp;selected_campaign_ids=120231434999530694" xr:uid="{00000000-0004-0000-0900-00007E020000}"/>
    <hyperlink ref="D330" r:id="rId640" display="https://wa.me/6285194619788" xr:uid="{00000000-0004-0000-0900-00007F020000}"/>
    <hyperlink ref="L330" r:id="rId641" display="https://adsmanager.facebook.com/adsmanager/manage/campaigns/edit/standalone?act=174904221976312&amp;selected_campaign_ids=120231435421690694" xr:uid="{00000000-0004-0000-0900-000080020000}"/>
    <hyperlink ref="D331" r:id="rId642" display="https://wa.me/6281239004410" xr:uid="{00000000-0004-0000-0900-000081020000}"/>
    <hyperlink ref="L331" r:id="rId643" display="https://adsmanager.facebook.com/adsmanager/manage/campaigns/edit/standalone?act=174904221976312&amp;selected_campaign_ids=120231435649290694" xr:uid="{00000000-0004-0000-0900-000082020000}"/>
    <hyperlink ref="D332" r:id="rId644" display="https://wa.me/6281226825253" xr:uid="{00000000-0004-0000-0900-000083020000}"/>
    <hyperlink ref="L332" r:id="rId645" display="https://adsmanager.facebook.com/adsmanager/manage/campaigns/edit/standalone?act=174904221976312&amp;selected_campaign_ids=120231435871590694" xr:uid="{00000000-0004-0000-0900-000084020000}"/>
    <hyperlink ref="D333" r:id="rId646" display="https://wa.me/6281558225822" xr:uid="{00000000-0004-0000-0900-000085020000}"/>
    <hyperlink ref="L333" r:id="rId647" display="https://adsmanager.facebook.com/adsmanager/manage/campaigns/edit/standalone?act=174904221976312&amp;selected_campaign_ids=120231436669930694" xr:uid="{00000000-0004-0000-0900-000086020000}"/>
    <hyperlink ref="D334" r:id="rId648" display="https://wa.me/6285214612372" xr:uid="{00000000-0004-0000-0900-000087020000}"/>
    <hyperlink ref="L334" r:id="rId649" display="https://adsmanager.facebook.com/adsmanager/manage/campaigns/edit/standalone?act=174904221976312&amp;selected_campaign_ids=120231472313090694" xr:uid="{00000000-0004-0000-0900-000088020000}"/>
    <hyperlink ref="D335" r:id="rId650" display="https://wa.me/62818533354" xr:uid="{00000000-0004-0000-0900-000089020000}"/>
    <hyperlink ref="L335" r:id="rId651" display="https://adsmanager.facebook.com/adsmanager/manage/campaigns/edit/standalone?act=174904221976312&amp;selected_campaign_ids=120231472987580694" xr:uid="{00000000-0004-0000-0900-00008A020000}"/>
    <hyperlink ref="D336" r:id="rId652" display="https://wa.me/6281381118500" xr:uid="{00000000-0004-0000-0900-00008B020000}"/>
    <hyperlink ref="L336" r:id="rId653" display="https://adsmanager.facebook.com/adsmanager/manage/campaigns/edit/standalone?act=174904221976312&amp;selected_campaign_ids=120231473075480694" xr:uid="{00000000-0004-0000-0900-00008C020000}"/>
    <hyperlink ref="D337" r:id="rId654" display="https://wa.me/6285361118289" xr:uid="{00000000-0004-0000-0900-00008D020000}"/>
    <hyperlink ref="L337" r:id="rId655" display="https://adsmanager.facebook.com/adsmanager/manage/campaigns/edit/standalone?act=174904221976312&amp;selected_campaign_ids=120231473177720694" xr:uid="{00000000-0004-0000-0900-00008E020000}"/>
    <hyperlink ref="D338" r:id="rId656" display="https://wa.me/6285787104091" xr:uid="{00000000-0004-0000-0900-00008F020000}"/>
    <hyperlink ref="L338" r:id="rId657" display="https://adsmanager.facebook.com/adsmanager/manage/campaigns/edit/standalone?act=174904221976312&amp;selected_campaign_ids=120231473309640694" xr:uid="{00000000-0004-0000-0900-000090020000}"/>
    <hyperlink ref="D339" r:id="rId658" display="https://wa.me/6285338058843" xr:uid="{00000000-0004-0000-0900-000091020000}"/>
    <hyperlink ref="L339" r:id="rId659" display="https://adsmanager.facebook.com/adsmanager/manage/campaigns/edit/standalone?act=174904221976312&amp;selected_campaign_ids=120231473546720694" xr:uid="{00000000-0004-0000-0900-000092020000}"/>
    <hyperlink ref="D340" r:id="rId660" display="https://wa.me/6281545971465" xr:uid="{00000000-0004-0000-0900-000093020000}"/>
    <hyperlink ref="L340" r:id="rId661" display="https://adsmanager.facebook.com/adsmanager/manage/campaigns/edit/standalone?act=174904221976312&amp;selected_campaign_ids=120231477014990694" xr:uid="{00000000-0004-0000-0900-000094020000}"/>
    <hyperlink ref="D341" r:id="rId662" display="https://wa.me/62811955059" xr:uid="{00000000-0004-0000-0900-000095020000}"/>
    <hyperlink ref="L341" r:id="rId663" display="https://adsmanager.facebook.com/adsmanager/manage/campaigns/edit/standalone?act=174904221976312&amp;selected_campaign_ids=120231478133960694" xr:uid="{00000000-0004-0000-0900-000096020000}"/>
    <hyperlink ref="D342" r:id="rId664" display="https://wa.me/6285194619788" xr:uid="{00000000-0004-0000-0900-000097020000}"/>
    <hyperlink ref="L342" r:id="rId665" display="https://adsmanager.facebook.com/adsmanager/manage/campaigns/edit/standalone?act=174904221976312&amp;selected_campaign_ids=120231539717410694" xr:uid="{00000000-0004-0000-0900-000098020000}"/>
    <hyperlink ref="D343" r:id="rId666" display="https://wa.me/6287863509004" xr:uid="{00000000-0004-0000-0900-000099020000}"/>
    <hyperlink ref="L343" r:id="rId667" display="https://adsmanager.facebook.com/adsmanager/manage/campaigns/edit/standalone?act=174904221976312&amp;selected_campaign_ids=120231540839570694" xr:uid="{00000000-0004-0000-0900-00009A020000}"/>
    <hyperlink ref="D344" r:id="rId668" display="https://wa.me/6289606523838" xr:uid="{00000000-0004-0000-0900-00009B020000}"/>
    <hyperlink ref="L344" r:id="rId669" display="https://adsmanager.facebook.com/adsmanager/manage/campaigns/edit/standalone?act=174904221976312&amp;selected_campaign_ids=120231540880250694" xr:uid="{00000000-0004-0000-0900-00009C020000}"/>
    <hyperlink ref="D345" r:id="rId670" display="https://wa.me/6285864550854" xr:uid="{00000000-0004-0000-0900-00009D020000}"/>
    <hyperlink ref="L345" r:id="rId671" display="https://adsmanager.facebook.com/adsmanager/manage/campaigns/edit/standalone?act=174904221976312&amp;selected_campaign_ids=120231541326030694" xr:uid="{00000000-0004-0000-0900-00009E020000}"/>
    <hyperlink ref="D346" r:id="rId672" display="https://wa.me/6285771466144" xr:uid="{00000000-0004-0000-0900-00009F020000}"/>
    <hyperlink ref="L346" r:id="rId673" display="https://adsmanager.facebook.com/adsmanager/manage/campaigns/edit/standalone?act=174904221976312&amp;selected_campaign_ids=120231542885150694" xr:uid="{00000000-0004-0000-0900-0000A0020000}"/>
    <hyperlink ref="D347" r:id="rId674" display="https://wa.me/6285645712595" xr:uid="{00000000-0004-0000-0900-0000A1020000}"/>
    <hyperlink ref="L347" r:id="rId675" display="https://adsmanager.facebook.com/adsmanager/manage/campaigns/edit/standalone?act=174904221976312&amp;selected_campaign_ids=120231548764730694" xr:uid="{00000000-0004-0000-0900-0000A2020000}"/>
    <hyperlink ref="D348" r:id="rId676" display="https://wa.me/6281222200099" xr:uid="{00000000-0004-0000-0900-0000A3020000}"/>
    <hyperlink ref="L348" r:id="rId677" display="https://adsmanager.facebook.com/adsmanager/manage/campaigns/edit/standalone?act=174904221976312&amp;selected_campaign_ids=120231549446640694" xr:uid="{00000000-0004-0000-0900-0000A4020000}"/>
    <hyperlink ref="D349" r:id="rId678" display="https://wa.me/6285748377961" xr:uid="{00000000-0004-0000-0900-0000A5020000}"/>
    <hyperlink ref="L349" r:id="rId679" display="https://adsmanager.facebook.com/adsmanager/manage/campaigns/edit/standalone?act=174904221976312&amp;selected_campaign_ids=120231550435920694" xr:uid="{00000000-0004-0000-0900-0000A6020000}"/>
    <hyperlink ref="D350" r:id="rId680" display="https://wa.me/6285748377961" xr:uid="{00000000-0004-0000-0900-0000A7020000}"/>
    <hyperlink ref="L350" r:id="rId681" display="https://adsmanager.facebook.com/adsmanager/manage/campaigns/edit/standalone?act=174904221976312&amp;selected_campaign_ids=120231550435920694" xr:uid="{00000000-0004-0000-0900-0000A8020000}"/>
    <hyperlink ref="D351" r:id="rId682" display="https://wa.me/6282217300224" xr:uid="{00000000-0004-0000-0900-0000A9020000}"/>
    <hyperlink ref="L351" r:id="rId683" display="https://adsmanager.facebook.com/adsmanager/manage/campaigns/edit/standalone?act=174904221976312&amp;selected_campaign_ids=120231574468460694" xr:uid="{00000000-0004-0000-0900-0000AA020000}"/>
    <hyperlink ref="C352" r:id="rId684" display="http://adhidezign.com/" xr:uid="{00000000-0004-0000-0900-0000AB020000}"/>
    <hyperlink ref="D352" r:id="rId685" display="https://wa.me/6285719003688" xr:uid="{00000000-0004-0000-0900-0000AC020000}"/>
    <hyperlink ref="L352" r:id="rId686" display="https://adsmanager.facebook.com/adsmanager/manage/campaigns/edit/standalone?act=174904221976312&amp;selected_campaign_ids=120231574977920694" xr:uid="{00000000-0004-0000-0900-0000AD020000}"/>
    <hyperlink ref="D353" r:id="rId687" display="https://wa.me/6281262080126" xr:uid="{00000000-0004-0000-0900-0000AE020000}"/>
    <hyperlink ref="L353" r:id="rId688" display="https://adsmanager.facebook.com/adsmanager/manage/campaigns/edit/standalone?act=174904221976312&amp;selected_campaign_ids=120231580965850694" xr:uid="{00000000-0004-0000-0900-0000AF020000}"/>
    <hyperlink ref="D354" r:id="rId689" display="https://wa.me/6281317409433" xr:uid="{00000000-0004-0000-0900-0000B0020000}"/>
    <hyperlink ref="L354" r:id="rId690" display="https://adsmanager.facebook.com/adsmanager/manage/campaigns/edit/standalone?act=174904221976312&amp;selected_campaign_ids=120231585902330694" xr:uid="{00000000-0004-0000-0900-0000B1020000}"/>
    <hyperlink ref="D355" r:id="rId691" display="https://wa.me/6285655300070" xr:uid="{00000000-0004-0000-0900-0000B2020000}"/>
    <hyperlink ref="L355" r:id="rId692" display="https://adsmanager.facebook.com/adsmanager/manage/campaigns/edit/standalone?act=174904221976312&amp;selected_campaign_ids=120231626031550694" xr:uid="{00000000-0004-0000-0900-0000B3020000}"/>
    <hyperlink ref="D356" r:id="rId693" display="https://wa.me/6285600822636" xr:uid="{00000000-0004-0000-0900-0000B4020000}"/>
    <hyperlink ref="L356" r:id="rId694" display="https://adsmanager.facebook.com/adsmanager/manage/campaigns/edit/standalone?act=174904221976312&amp;selected_campaign_ids=120231707002020694" xr:uid="{00000000-0004-0000-0900-0000B5020000}"/>
    <hyperlink ref="D357" r:id="rId695" display="https://wa.me/6287888330007" xr:uid="{00000000-0004-0000-0900-0000B6020000}"/>
    <hyperlink ref="L357" r:id="rId696" display="https://adsmanager.facebook.com/adsmanager/manage/campaigns/edit/standalone?act=174904221976312&amp;selected_campaign_ids=120231707265610694" xr:uid="{00000000-0004-0000-0900-0000B7020000}"/>
    <hyperlink ref="D358" r:id="rId697" display="https://wa.me/6285780314346" xr:uid="{00000000-0004-0000-0900-0000B8020000}"/>
    <hyperlink ref="L358" r:id="rId698" display="https://adsmanager.facebook.com/adsmanager/manage/campaigns/edit/standalone?act=174904221976312&amp;selected_campaign_ids=120231707486140694" xr:uid="{00000000-0004-0000-0900-0000B9020000}"/>
    <hyperlink ref="D359" r:id="rId699" display="https://wa.me/6285242515222" xr:uid="{00000000-0004-0000-0900-0000BA020000}"/>
    <hyperlink ref="L359" r:id="rId700" display="https://adsmanager.facebook.com/adsmanager/manage/campaigns/edit/standalone?act=174904221976312&amp;selected_campaign_ids=120231766664170694" xr:uid="{00000000-0004-0000-0900-0000BB020000}"/>
    <hyperlink ref="D360" r:id="rId701" display="https://wa.me/62895804080442" xr:uid="{00000000-0004-0000-0900-0000BC020000}"/>
    <hyperlink ref="L360" r:id="rId702" display="https://adsmanager.facebook.com/adsmanager/manage/campaigns/edit/standalone?act=174904221976312&amp;selected_campaign_ids=120231844321490694" xr:uid="{00000000-0004-0000-0900-0000BD020000}"/>
    <hyperlink ref="D361" r:id="rId703" display="https://wa.me/6282229433259" xr:uid="{00000000-0004-0000-0900-0000BE020000}"/>
    <hyperlink ref="L361" r:id="rId704" display="https://adsmanager.facebook.com/adsmanager/manage/campaigns/edit/standalone?act=174904221976312&amp;selected_campaign_ids=120231844479670694" xr:uid="{00000000-0004-0000-0900-0000BF020000}"/>
    <hyperlink ref="D362" r:id="rId705" display="https://wa.me/6282362576312" xr:uid="{00000000-0004-0000-0900-0000C0020000}"/>
    <hyperlink ref="L362" r:id="rId706" display="https://adsmanager.facebook.com/adsmanager/manage/campaigns/edit/standalone?act=174904221976312&amp;selected_campaign_ids=120231846522060694" xr:uid="{00000000-0004-0000-0900-0000C1020000}"/>
    <hyperlink ref="D363" r:id="rId707" display="https://wa.me/62817308228" xr:uid="{00000000-0004-0000-0900-0000C2020000}"/>
    <hyperlink ref="L363" r:id="rId708" display="https://adsmanager.facebook.com/adsmanager/manage/campaigns/edit/standalone?act=174904221976312&amp;selected_campaign_ids=120231846864380694" xr:uid="{00000000-0004-0000-0900-0000C3020000}"/>
    <hyperlink ref="D364" r:id="rId709" display="https://wa.me/6285786318640" xr:uid="{00000000-0004-0000-0900-0000C4020000}"/>
    <hyperlink ref="L364" r:id="rId710" display="https://adsmanager.facebook.com/adsmanager/manage/campaigns/edit/standalone?act=174904221976312&amp;selected_campaign_ids=120231847087390694" xr:uid="{00000000-0004-0000-0900-0000C5020000}"/>
    <hyperlink ref="D365" r:id="rId711" display="https://wa.me/6287849856444" xr:uid="{00000000-0004-0000-0900-0000C6020000}"/>
    <hyperlink ref="L365" r:id="rId712" display="https://adsmanager.facebook.com/adsmanager/manage/campaigns/edit/standalone?act=174904221976312&amp;selected_campaign_ids=120231847309410694" xr:uid="{00000000-0004-0000-0900-0000C7020000}"/>
    <hyperlink ref="D366" r:id="rId713" display="https://wa.me/6285384956538" xr:uid="{00000000-0004-0000-0900-0000C8020000}"/>
    <hyperlink ref="L366" r:id="rId714" display="https://adsmanager.facebook.com/adsmanager/manage/campaigns/edit/standalone?act=174904221976312&amp;selected_campaign_ids=120231847646080694" xr:uid="{00000000-0004-0000-0900-0000C9020000}"/>
    <hyperlink ref="D367" r:id="rId715" display="https://wa.me/6287838234518" xr:uid="{00000000-0004-0000-0900-0000CA020000}"/>
    <hyperlink ref="L367" r:id="rId716" display="https://adsmanager.facebook.com/adsmanager/manage/campaigns/edit/standalone?act=174904221976312&amp;selected_campaign_ids=120231849584150694" xr:uid="{00000000-0004-0000-0900-0000CB020000}"/>
    <hyperlink ref="D368" r:id="rId717" display="https://wa.me/6285921481643" xr:uid="{00000000-0004-0000-0900-0000CC020000}"/>
    <hyperlink ref="L368" r:id="rId718" display="https://adsmanager.facebook.com/adsmanager/manage/campaigns/edit/standalone?act=174904221976312&amp;selected_campaign_ids=120231912198630694" xr:uid="{00000000-0004-0000-0900-0000CD020000}"/>
    <hyperlink ref="D369" r:id="rId719" display="https://wa.me/62895614711817" xr:uid="{00000000-0004-0000-0900-0000CE020000}"/>
    <hyperlink ref="L369" r:id="rId720" display="https://adsmanager.facebook.com/adsmanager/manage/campaigns/edit/standalone?act=174904221976312&amp;selected_campaign_ids=120231912777610694" xr:uid="{00000000-0004-0000-0900-0000CF020000}"/>
    <hyperlink ref="D370" r:id="rId721" display="https://wa.me/6285333751528" xr:uid="{00000000-0004-0000-0900-0000D0020000}"/>
    <hyperlink ref="L370" r:id="rId722" display="https://adsmanager.facebook.com/adsmanager/manage/campaigns/edit/standalone?act=174904221976312&amp;selected_campaign_ids=120231913056310694" xr:uid="{00000000-0004-0000-0900-0000D1020000}"/>
    <hyperlink ref="D371" r:id="rId723" display="https://wa.me/6281558822937" xr:uid="{00000000-0004-0000-0900-0000D2020000}"/>
    <hyperlink ref="L371" r:id="rId724" display="https://adsmanager.facebook.com/adsmanager/manage/campaigns/edit/standalone?act=174904221976312&amp;selected_campaign_ids=120231913299820694" xr:uid="{00000000-0004-0000-0900-0000D3020000}"/>
    <hyperlink ref="D372" r:id="rId725" display="https://wa.me/6282286608220" xr:uid="{00000000-0004-0000-0900-0000D4020000}"/>
    <hyperlink ref="L372" r:id="rId726" display="https://adsmanager.facebook.com/adsmanager/manage/campaigns/edit/standalone?act=174904221976312&amp;selected_campaign_ids=120231927421490694" xr:uid="{00000000-0004-0000-0900-0000D5020000}"/>
    <hyperlink ref="D373" r:id="rId727" display="https://wa.me/6283865096870" xr:uid="{00000000-0004-0000-0900-0000D6020000}"/>
    <hyperlink ref="L373" r:id="rId728" display="https://adsmanager.facebook.com/adsmanager/manage/campaigns/edit/standalone?act=174904221976312&amp;selected_campaign_ids=120231927753270694" xr:uid="{00000000-0004-0000-0900-0000D7020000}"/>
    <hyperlink ref="D374" r:id="rId729" display="https://wa.me/6285654251369" xr:uid="{00000000-0004-0000-0900-0000D8020000}"/>
    <hyperlink ref="L374" r:id="rId730" display="https://adsmanager.facebook.com/adsmanager/manage/campaigns/edit/standalone?act=174904221976312&amp;selected_campaign_ids=120231927932960694" xr:uid="{00000000-0004-0000-0900-0000D9020000}"/>
    <hyperlink ref="D375" r:id="rId731" display="https://wa.me/6285600287735" xr:uid="{00000000-0004-0000-0900-0000DA020000}"/>
    <hyperlink ref="L375" r:id="rId732" display="https://adsmanager.facebook.com/adsmanager/manage/campaigns/edit/standalone?act=174904221976312&amp;selected_campaign_ids=120231972137420694" xr:uid="{00000000-0004-0000-0900-0000DB020000}"/>
    <hyperlink ref="D376" r:id="rId733" display="https://wa.me/6285280808856" xr:uid="{00000000-0004-0000-0900-0000DC020000}"/>
    <hyperlink ref="L376" r:id="rId734" display="https://adsmanager.facebook.com/adsmanager/manage/campaigns/edit/standalone?act=174904221976312&amp;selected_campaign_ids=120231972961220694" xr:uid="{00000000-0004-0000-0900-0000DD020000}"/>
    <hyperlink ref="D377" r:id="rId735" display="https://wa.me/6287722264777" xr:uid="{00000000-0004-0000-0900-0000DE020000}"/>
    <hyperlink ref="L377" r:id="rId736" display="https://adsmanager.facebook.com/adsmanager/manage/campaigns/edit/standalone?act=174904221976312&amp;selected_campaign_ids=120231974061480694" xr:uid="{00000000-0004-0000-0900-0000DF020000}"/>
    <hyperlink ref="D378" r:id="rId737" display="https://wa.me/6285710003464" xr:uid="{00000000-0004-0000-0900-0000E0020000}"/>
    <hyperlink ref="L378" r:id="rId738" display="https://adsmanager.facebook.com/adsmanager/manage/campaigns/edit/standalone?act=174904221976312&amp;selected_campaign_ids=120232003950460694" xr:uid="{00000000-0004-0000-0900-0000E1020000}"/>
    <hyperlink ref="D379" r:id="rId739" display="https://wa.me/62881022356673" xr:uid="{00000000-0004-0000-0900-0000E2020000}"/>
    <hyperlink ref="L379" r:id="rId740" display="https://adsmanager.facebook.com/adsmanager/manage/campaigns/edit/standalone?act=174904221976312&amp;selected_campaign_ids=120232004138370694" xr:uid="{00000000-0004-0000-0900-0000E3020000}"/>
    <hyperlink ref="D380" r:id="rId741" display="https://wa.me/6282266469686" xr:uid="{00000000-0004-0000-0900-0000E4020000}"/>
    <hyperlink ref="L380" r:id="rId742" display="https://adsmanager.facebook.com/adsmanager/manage/campaigns/edit/standalone?act=174904221976312&amp;selected_campaign_ids=120232058077190694" xr:uid="{00000000-0004-0000-0900-0000E5020000}"/>
    <hyperlink ref="D381" r:id="rId743" display="https://wa.me/6282391199993" xr:uid="{00000000-0004-0000-0900-0000E6020000}"/>
    <hyperlink ref="L381" r:id="rId744" display="https://adsmanager.facebook.com/adsmanager/manage/campaigns/edit/standalone?act=174904221976312&amp;selected_campaign_ids=120232058185790694" xr:uid="{00000000-0004-0000-0900-0000E7020000}"/>
    <hyperlink ref="D382" r:id="rId745" display="https://wa.me/6283149477297" xr:uid="{00000000-0004-0000-0900-0000E8020000}"/>
    <hyperlink ref="L382" r:id="rId746" display="https://adsmanager.facebook.com/adsmanager/manage/campaigns/edit/standalone?act=174904221976312&amp;selected_campaign_ids=120232058332040694" xr:uid="{00000000-0004-0000-0900-0000E9020000}"/>
    <hyperlink ref="D383" r:id="rId747" display="https://wa.me/6281249008778" xr:uid="{00000000-0004-0000-0900-0000EA020000}"/>
    <hyperlink ref="L383" r:id="rId748" display="https://adsmanager.facebook.com/adsmanager/manage/campaigns/edit/standalone?act=174904221976312&amp;selected_campaign_ids=120232058410160694" xr:uid="{00000000-0004-0000-0900-0000EB020000}"/>
    <hyperlink ref="D384" r:id="rId749" display="https://wa.me/6281460494182" xr:uid="{00000000-0004-0000-0900-0000EC020000}"/>
    <hyperlink ref="L384" r:id="rId750" display="https://adsmanager.facebook.com/adsmanager/manage/campaigns/edit/standalone?act=174904221976312&amp;selected_campaign_ids=120232058801810694" xr:uid="{00000000-0004-0000-0900-0000ED020000}"/>
    <hyperlink ref="D385" r:id="rId751" display="https://wa.me/6282280771367" xr:uid="{00000000-0004-0000-0900-0000EE020000}"/>
    <hyperlink ref="L385" r:id="rId752" display="https://adsmanager.facebook.com/adsmanager/manage/campaigns/edit/standalone?act=174904221976312&amp;selected_campaign_ids=120232058949570694" xr:uid="{00000000-0004-0000-0900-0000EF020000}"/>
    <hyperlink ref="D386" r:id="rId753" display="https://wa.me/62895374644456" xr:uid="{00000000-0004-0000-0900-0000F0020000}"/>
    <hyperlink ref="L386" r:id="rId754" display="https://adsmanager.facebook.com/adsmanager/manage/campaigns/edit/standalone?act=174904221976312&amp;selected_campaign_ids=120232113190750694" xr:uid="{00000000-0004-0000-0900-0000F1020000}"/>
    <hyperlink ref="D387" r:id="rId755" display="https://wa.me/6281355662725" xr:uid="{00000000-0004-0000-0900-0000F2020000}"/>
    <hyperlink ref="L387" r:id="rId756" display="https://adsmanager.facebook.com/adsmanager/manage/campaigns/edit/standalone?act=174904221976312&amp;selected_campaign_ids=120232113386830694" xr:uid="{00000000-0004-0000-0900-0000F3020000}"/>
    <hyperlink ref="D388" r:id="rId757" display="https://wa.me/6282220371971" xr:uid="{00000000-0004-0000-0900-0000F4020000}"/>
    <hyperlink ref="L388" r:id="rId758" display="https://adsmanager.facebook.com/adsmanager/manage/campaigns/edit/standalone?act=174904221976312&amp;selected_campaign_ids=120232113949300694" xr:uid="{00000000-0004-0000-0900-0000F5020000}"/>
    <hyperlink ref="D389" r:id="rId759" display="https://wa.me/6281348215665" xr:uid="{00000000-0004-0000-0900-0000F6020000}"/>
    <hyperlink ref="L389" r:id="rId760" display="https://adsmanager.facebook.com/adsmanager/manage/campaigns/edit/standalone?act=174904221976312&amp;selected_campaign_ids=120232114145450694" xr:uid="{00000000-0004-0000-0900-0000F7020000}"/>
    <hyperlink ref="D390" r:id="rId761" display="https://wa.me/6282220945171" xr:uid="{00000000-0004-0000-0900-0000F8020000}"/>
    <hyperlink ref="L390" r:id="rId762" display="https://adsmanager.facebook.com/adsmanager/manage/campaigns/edit/standalone?act=174904221976312&amp;selected_campaign_ids=120232114306460694" xr:uid="{00000000-0004-0000-0900-0000F9020000}"/>
    <hyperlink ref="D391" r:id="rId763" display="https://wa.me/6281341637566" xr:uid="{00000000-0004-0000-0900-0000FA020000}"/>
    <hyperlink ref="L391" r:id="rId764" display="https://adsmanager.facebook.com/adsmanager/manage/campaigns/edit/standalone?act=174904221976312&amp;selected_campaign_ids=120232114498080694" xr:uid="{00000000-0004-0000-0900-0000FB020000}"/>
    <hyperlink ref="D392" r:id="rId765" display="https://wa.me/6282135496939" xr:uid="{00000000-0004-0000-0900-0000FC020000}"/>
    <hyperlink ref="L392" r:id="rId766" display="https://adsmanager.facebook.com/adsmanager/manage/campaigns/edit/standalone?act=174904221976312&amp;selected_campaign_ids=120232159174090694" xr:uid="{00000000-0004-0000-0900-0000FD020000}"/>
    <hyperlink ref="D393" r:id="rId767" display="https://wa.me/6285213857442" xr:uid="{00000000-0004-0000-0900-0000FE020000}"/>
    <hyperlink ref="L393" r:id="rId768" display="https://adsmanager.facebook.com/adsmanager/manage/campaigns/edit/standalone?act=174904221976312&amp;selected_campaign_ids=120232159611040694" xr:uid="{00000000-0004-0000-0900-0000FF020000}"/>
    <hyperlink ref="D394" r:id="rId769" display="https://wa.me/6285657238556" xr:uid="{00000000-0004-0000-0900-000000030000}"/>
    <hyperlink ref="L394" r:id="rId770" display="https://adsmanager.facebook.com/adsmanager/manage/campaigns/edit/standalone?act=174904221976312&amp;selected_campaign_ids=120232250835440694" xr:uid="{00000000-0004-0000-0900-000001030000}"/>
    <hyperlink ref="D395" r:id="rId771" display="https://wa.me/6281338383022" xr:uid="{00000000-0004-0000-0900-000002030000}"/>
    <hyperlink ref="L395" r:id="rId772" display="https://adsmanager.facebook.com/adsmanager/manage/campaigns/edit/standalone?act=174904221976312&amp;selected_campaign_ids=120232275153200694" xr:uid="{00000000-0004-0000-0900-000003030000}"/>
    <hyperlink ref="D396" r:id="rId773" display="https://wa.me/6281232743716" xr:uid="{00000000-0004-0000-0900-000004030000}"/>
    <hyperlink ref="L396" r:id="rId774" display="https://adsmanager.facebook.com/adsmanager/manage/campaigns/edit/standalone?act=174904221976312&amp;selected_campaign_ids=120232275624570694" xr:uid="{00000000-0004-0000-0900-000005030000}"/>
    <hyperlink ref="D397" r:id="rId775" display="https://wa.me/6285750574301" xr:uid="{00000000-0004-0000-0900-000006030000}"/>
    <hyperlink ref="L397" r:id="rId776" display="https://adsmanager.facebook.com/adsmanager/manage/campaigns/edit/standalone?act=174904221976312&amp;selected_campaign_ids=120232276829050694" xr:uid="{00000000-0004-0000-0900-000007030000}"/>
    <hyperlink ref="D398" r:id="rId777" display="https://wa.me/6282249145533" xr:uid="{00000000-0004-0000-0900-000008030000}"/>
    <hyperlink ref="L398" r:id="rId778" display="https://adsmanager.facebook.com/adsmanager/manage/campaigns/edit/standalone?act=174904221976312&amp;selected_campaign_ids=120232278491810694" xr:uid="{00000000-0004-0000-0900-000009030000}"/>
    <hyperlink ref="D399" r:id="rId779" display="https://wa.me/6282225676438" xr:uid="{00000000-0004-0000-0900-00000A030000}"/>
    <hyperlink ref="L399" r:id="rId780" display="https://adsmanager.facebook.com/adsmanager/manage/campaigns/edit/standalone?act=174904221976312&amp;selected_campaign_ids=120232295972450694" xr:uid="{00000000-0004-0000-0900-00000B030000}"/>
    <hyperlink ref="D400" r:id="rId781" display="https://wa.me/6285245301996" xr:uid="{00000000-0004-0000-0900-00000C030000}"/>
    <hyperlink ref="L400" r:id="rId782" display="https://adsmanager.facebook.com/adsmanager/manage/campaigns/edit/standalone?act=174904221976312&amp;selected_campaign_ids=120232327804180694" xr:uid="{00000000-0004-0000-0900-00000D030000}"/>
    <hyperlink ref="D401" r:id="rId783" display="https://wa.me/6285255115894" xr:uid="{00000000-0004-0000-0900-00000E030000}"/>
    <hyperlink ref="L401" r:id="rId784" display="https://adsmanager.facebook.com/adsmanager/manage/campaigns/edit/standalone?act=174904221976312&amp;selected_campaign_ids=120232330305980694" xr:uid="{00000000-0004-0000-0900-00000F030000}"/>
    <hyperlink ref="D402" r:id="rId785" display="https://wa.me/6287822292311" xr:uid="{00000000-0004-0000-0900-000010030000}"/>
    <hyperlink ref="L402" r:id="rId786" display="https://adsmanager.facebook.com/adsmanager/manage/campaigns/edit/standalone?act=174904221976312&amp;selected_campaign_ids=120232348017250694" xr:uid="{00000000-0004-0000-0900-000011030000}"/>
    <hyperlink ref="D403" r:id="rId787" display="https://wa.me/6281224628935" xr:uid="{00000000-0004-0000-0900-000012030000}"/>
    <hyperlink ref="L403" r:id="rId788" display="https://adsmanager.facebook.com/adsmanager/manage/campaigns/edit/standalone?act=174904221976312&amp;selected_campaign_ids=120232348204770694" xr:uid="{00000000-0004-0000-0900-000013030000}"/>
    <hyperlink ref="D404" r:id="rId789" display="https://wa.me/62817164567" xr:uid="{00000000-0004-0000-0900-000014030000}"/>
    <hyperlink ref="L404" r:id="rId790" display="https://adsmanager.facebook.com/adsmanager/manage/campaigns/edit/standalone?act=174904221976312&amp;selected_campaign_ids=120232348569550694" xr:uid="{00000000-0004-0000-0900-000015030000}"/>
    <hyperlink ref="D405" r:id="rId791" display="https://wa.me/6285357908485" xr:uid="{00000000-0004-0000-0900-000016030000}"/>
    <hyperlink ref="L405" r:id="rId792" display="https://adsmanager.facebook.com/adsmanager/manage/campaigns/edit/standalone?act=174904221976312&amp;selected_campaign_ids=120232390053940694" xr:uid="{00000000-0004-0000-0900-000017030000}"/>
    <hyperlink ref="D406" r:id="rId793" display="https://wa.me/6287751068360" xr:uid="{00000000-0004-0000-0900-000018030000}"/>
    <hyperlink ref="L406" r:id="rId794" display="https://adsmanager.facebook.com/adsmanager/manage/campaigns/edit/standalone?act=174904221976312&amp;selected_campaign_ids=120232438619900694" xr:uid="{00000000-0004-0000-0900-000019030000}"/>
    <hyperlink ref="D407" r:id="rId795" display="https://wa.me/6287777144455" xr:uid="{00000000-0004-0000-0900-00001A030000}"/>
    <hyperlink ref="L407" r:id="rId796" display="https://adsmanager.facebook.com/adsmanager/manage/campaigns/edit/standalone?act=174904221976312&amp;selected_campaign_ids=120232438678280694" xr:uid="{00000000-0004-0000-0900-00001B030000}"/>
    <hyperlink ref="D408" r:id="rId797" display="https://wa.me/6281990022760" xr:uid="{00000000-0004-0000-0900-00001C030000}"/>
    <hyperlink ref="L408" r:id="rId798" display="https://adsmanager.facebook.com/adsmanager/manage/campaigns/edit/standalone?act=174904221976312&amp;selected_campaign_ids=120232493438140694" xr:uid="{00000000-0004-0000-0900-00001D030000}"/>
    <hyperlink ref="D409" r:id="rId799" display="https://wa.me/6285255550388" xr:uid="{00000000-0004-0000-0900-00001E030000}"/>
    <hyperlink ref="L409" r:id="rId800" display="https://adsmanager.facebook.com/adsmanager/manage/campaigns/edit/standalone?act=174904221976312&amp;selected_campaign_ids=120232493582410694" xr:uid="{00000000-0004-0000-0900-00001F030000}"/>
    <hyperlink ref="D410" r:id="rId801" display="https://wa.me/6281316122975" xr:uid="{00000000-0004-0000-0900-000020030000}"/>
    <hyperlink ref="L410" r:id="rId802" display="https://adsmanager.facebook.com/adsmanager/manage/campaigns/edit/standalone?act=174904221976312&amp;selected_campaign_ids=120232493664810694" xr:uid="{00000000-0004-0000-0900-000021030000}"/>
    <hyperlink ref="D411" r:id="rId803" display="https://wa.me/6282320232344" xr:uid="{00000000-0004-0000-0900-000022030000}"/>
    <hyperlink ref="L411" r:id="rId804" display="https://adsmanager.facebook.com/adsmanager/manage/campaigns/edit/standalone?act=174904221976312&amp;selected_campaign_ids=120232493738960694" xr:uid="{00000000-0004-0000-0900-000023030000}"/>
    <hyperlink ref="D412" r:id="rId805" display="https://wa.me/6283107086952" xr:uid="{00000000-0004-0000-0900-000024030000}"/>
    <hyperlink ref="L412" r:id="rId806" display="https://adsmanager.facebook.com/adsmanager/manage/campaigns/edit/standalone?act=174904221976312&amp;selected_campaign_ids=120232551859150694" xr:uid="{00000000-0004-0000-0900-000025030000}"/>
    <hyperlink ref="D413" r:id="rId807" display="https://wa.me/6281318819599" xr:uid="{00000000-0004-0000-0900-000026030000}"/>
    <hyperlink ref="L413" r:id="rId808" display="https://adsmanager.facebook.com/adsmanager/manage/campaigns/edit/standalone?act=174904221976312&amp;selected_campaign_ids=120232551939720694" xr:uid="{00000000-0004-0000-0900-000027030000}"/>
    <hyperlink ref="D414" r:id="rId809" display="https://wa.me/6281389082618" xr:uid="{00000000-0004-0000-0900-000028030000}"/>
    <hyperlink ref="L414" r:id="rId810" display="https://adsmanager.facebook.com/adsmanager/manage/campaigns/edit/standalone?act=174904221976312&amp;selected_campaign_ids=120232596013120694" xr:uid="{00000000-0004-0000-0900-000029030000}"/>
    <hyperlink ref="D415" r:id="rId811" display="https://wa.me/6281220005953" xr:uid="{00000000-0004-0000-0900-00002A030000}"/>
    <hyperlink ref="L415" r:id="rId812" display="https://adsmanager.facebook.com/adsmanager/manage/campaigns/edit/standalone?act=174904221976312&amp;selected_campaign_ids=120232596101660694" xr:uid="{00000000-0004-0000-0900-00002B030000}"/>
    <hyperlink ref="D416" r:id="rId813" display="https://wa.me/6285233857272" xr:uid="{00000000-0004-0000-0900-00002C030000}"/>
    <hyperlink ref="L416" r:id="rId814" display="https://adsmanager.facebook.com/adsmanager/manage/campaigns/edit/standalone?act=174904221976312&amp;selected_campaign_ids=120232596393070694" xr:uid="{00000000-0004-0000-0900-00002D030000}"/>
    <hyperlink ref="D417" r:id="rId815" display="https://wa.me/6282311906512" xr:uid="{00000000-0004-0000-0900-00002E030000}"/>
    <hyperlink ref="L417" r:id="rId816" display="https://adsmanager.facebook.com/adsmanager/manage/campaigns/edit/standalone?act=174904221976312&amp;selected_campaign_ids=120232650034850694" xr:uid="{00000000-0004-0000-0900-00002F030000}"/>
    <hyperlink ref="D418" r:id="rId817" display="https://wa.me/62823332108583" xr:uid="{00000000-0004-0000-0900-000030030000}"/>
    <hyperlink ref="L418" r:id="rId818" display="https://adsmanager.facebook.com/adsmanager/manage/campaigns/edit/standalone?act=174904221976312&amp;selected_campaign_ids=120232675266100694" xr:uid="{00000000-0004-0000-0900-000031030000}"/>
    <hyperlink ref="D419" r:id="rId819" display="https://wa.me/62881022322099" xr:uid="{00000000-0004-0000-0900-000032030000}"/>
    <hyperlink ref="L419" r:id="rId820" display="https://adsmanager.facebook.com/adsmanager/manage/campaigns/edit/standalone?act=174904221976312&amp;selected_campaign_ids=120232675271840694" xr:uid="{00000000-0004-0000-0900-000033030000}"/>
    <hyperlink ref="D420" r:id="rId821" display="https://wa.me/6282225676546" xr:uid="{00000000-0004-0000-0900-000034030000}"/>
    <hyperlink ref="L420" r:id="rId822" display="https://adsmanager.facebook.com/adsmanager/manage/campaigns/edit/standalone?act=174904221976312&amp;selected_campaign_ids=120232697827460694" xr:uid="{00000000-0004-0000-0900-000035030000}"/>
    <hyperlink ref="D421" r:id="rId823" display="https://wa.me/6282110222282" xr:uid="{00000000-0004-0000-0900-000036030000}"/>
    <hyperlink ref="L421" r:id="rId824" display="https://adsmanager.facebook.com/adsmanager/manage/campaigns/edit/standalone?act=174904221976312&amp;selected_campaign_ids=120232697830740694" xr:uid="{00000000-0004-0000-0900-000037030000}"/>
    <hyperlink ref="D422" r:id="rId825" display="https://wa.me/6282219980006" xr:uid="{00000000-0004-0000-0900-000038030000}"/>
    <hyperlink ref="L422" r:id="rId826" display="https://adsmanager.facebook.com/adsmanager/manage/campaigns/edit/standalone?act=174904221976312&amp;selected_campaign_ids=120232763903630694" xr:uid="{00000000-0004-0000-0900-000039030000}"/>
    <hyperlink ref="D423" r:id="rId827" display="https://wa.me/6285737244570" xr:uid="{00000000-0004-0000-0900-00003A030000}"/>
    <hyperlink ref="L423" r:id="rId828" display="https://adsmanager.facebook.com/adsmanager/manage/campaigns/edit/standalone?act=174904221976312&amp;selected_campaign_ids=120232823038490694" xr:uid="{00000000-0004-0000-0900-00003B030000}"/>
    <hyperlink ref="D424" r:id="rId829" display="https://wa.me/6281390669379" xr:uid="{00000000-0004-0000-0900-00003C030000}"/>
    <hyperlink ref="L424" r:id="rId830" display="https://adsmanager.facebook.com/adsmanager/manage/campaigns/edit/standalone?act=174904221976312&amp;selected_campaign_ids=120232868603190694" xr:uid="{00000000-0004-0000-0900-00003D030000}"/>
    <hyperlink ref="D425" r:id="rId831" display="https://wa.me/6281230656664" xr:uid="{00000000-0004-0000-0900-00003E030000}"/>
    <hyperlink ref="L425" r:id="rId832" display="https://adsmanager.facebook.com/adsmanager/manage/campaigns/edit/standalone?act=174904221976312&amp;selected_campaign_ids=120232868606340694" xr:uid="{00000000-0004-0000-0900-00003F030000}"/>
    <hyperlink ref="D426" r:id="rId833" display="https://wa.me/6282241290026" xr:uid="{00000000-0004-0000-0900-000040030000}"/>
    <hyperlink ref="L426" r:id="rId834" display="https://adsmanager.facebook.com/adsmanager/manage/campaigns/edit/standalone?act=174904221976312&amp;selected_campaign_ids=120232922135270694" xr:uid="{00000000-0004-0000-0900-000041030000}"/>
    <hyperlink ref="D427" r:id="rId835" display="https://wa.me/628179231111" xr:uid="{00000000-0004-0000-0900-000042030000}"/>
    <hyperlink ref="L427" r:id="rId836" display="https://adsmanager.facebook.com/adsmanager/manage/campaigns/edit/standalone?act=174904221976312&amp;selected_campaign_ids=120232922156320694" xr:uid="{00000000-0004-0000-0900-000043030000}"/>
    <hyperlink ref="D428" r:id="rId837" display="https://wa.me/6283196194949" xr:uid="{00000000-0004-0000-0900-000044030000}"/>
    <hyperlink ref="L428" r:id="rId838" display="https://adsmanager.facebook.com/adsmanager/manage/campaigns/edit/standalone?act=174904221976312&amp;selected_campaign_ids=120232988080700694" xr:uid="{00000000-0004-0000-0900-000045030000}"/>
    <hyperlink ref="D429" r:id="rId839" display="https://wa.me/6282194694492" xr:uid="{00000000-0004-0000-0900-000046030000}"/>
    <hyperlink ref="L429" r:id="rId840" display="https://adsmanager.facebook.com/adsmanager/manage/campaigns/edit/standalone?act=206726568613432&amp;selected_campaign_ids=120220128857930554" xr:uid="{00000000-0004-0000-0900-000047030000}"/>
    <hyperlink ref="D430" r:id="rId841" display="https://wa.me/6285668750416" xr:uid="{00000000-0004-0000-0900-000048030000}"/>
    <hyperlink ref="L430" r:id="rId842" display="https://adsmanager.facebook.com/adsmanager/manage/campaigns/edit/standalone?act=206726568613432&amp;selected_campaign_ids=120227805827950554" xr:uid="{00000000-0004-0000-0900-000049030000}"/>
    <hyperlink ref="D431" r:id="rId843" display="https://wa.me/6282194694492" xr:uid="{00000000-0004-0000-0900-00004A030000}"/>
    <hyperlink ref="L431" r:id="rId844" display="https://adsmanager.facebook.com/adsmanager/manage/campaigns/edit/standalone?act=206726568613432&amp;selected_campaign_ids=120227919393880554" xr:uid="{00000000-0004-0000-0900-00004B030000}"/>
    <hyperlink ref="D432" r:id="rId845" display="https://wa.me/6281549409606" xr:uid="{00000000-0004-0000-0900-00004C030000}"/>
    <hyperlink ref="L432" r:id="rId846" display="https://adsmanager.facebook.com/adsmanager/manage/campaigns/edit/standalone?act=759724529202804&amp;selected_campaign_ids=120227215523910200" xr:uid="{00000000-0004-0000-0900-00004D030000}"/>
    <hyperlink ref="D433" r:id="rId847" display="https://wa.me/6283129638348" xr:uid="{00000000-0004-0000-0900-00004E030000}"/>
    <hyperlink ref="L433" r:id="rId848" display="https://adsmanager.facebook.com/adsmanager/manage/campaigns/edit/standalone?act=759724529202804&amp;selected_campaign_ids=120227217218600200" xr:uid="{00000000-0004-0000-0900-00004F030000}"/>
    <hyperlink ref="L434" r:id="rId849" display="https://adsmanager.facebook.com/adsmanager/manage/campaigns/edit/standalone?act=759724529202804&amp;selected_campaign_ids=120227218075240200" xr:uid="{00000000-0004-0000-0900-000050030000}"/>
    <hyperlink ref="D435" r:id="rId850" display="https://wa.me/6282159148587" xr:uid="{00000000-0004-0000-0900-000051030000}"/>
    <hyperlink ref="L435" r:id="rId851" display="https://adsmanager.facebook.com/adsmanager/manage/campaigns/edit/standalone?act=759724529202804&amp;selected_campaign_ids=120227286789550200" xr:uid="{00000000-0004-0000-0900-000052030000}"/>
    <hyperlink ref="D436" r:id="rId852" display="https://wa.me/6282136666049" xr:uid="{00000000-0004-0000-0900-000053030000}"/>
    <hyperlink ref="L436" r:id="rId853" display="https://adsmanager.facebook.com/adsmanager/manage/campaigns/edit/standalone?act=759724529202804&amp;selected_campaign_ids=120227357012290200" xr:uid="{00000000-0004-0000-0900-000054030000}"/>
    <hyperlink ref="D437" r:id="rId854" display="https://wa.me/6285757057088" xr:uid="{00000000-0004-0000-0900-000055030000}"/>
    <hyperlink ref="L437" r:id="rId855" display="https://adsmanager.facebook.com/adsmanager/manage/campaigns/edit/standalone?act=759724529202804&amp;selected_campaign_ids=120227358608350200" xr:uid="{00000000-0004-0000-0900-000056030000}"/>
    <hyperlink ref="D438" r:id="rId856" display="https://wa.me/6282154483973" xr:uid="{00000000-0004-0000-0900-000057030000}"/>
    <hyperlink ref="L438" r:id="rId857" display="https://adsmanager.facebook.com/adsmanager/manage/campaigns/edit/standalone?act=759724529202804&amp;selected_campaign_ids=120227397964810200" xr:uid="{00000000-0004-0000-0900-000058030000}"/>
    <hyperlink ref="D439" r:id="rId858" display="https://wa.me/6285240684331" xr:uid="{00000000-0004-0000-0900-000059030000}"/>
    <hyperlink ref="L439" r:id="rId859" display="https://adsmanager.facebook.com/adsmanager/manage/campaigns/edit/standalone?act=759724529202804&amp;selected_campaign_ids=120227400653870200" xr:uid="{00000000-0004-0000-0900-00005A030000}"/>
    <hyperlink ref="L440" r:id="rId860" display="https://adsmanager.facebook.com/adsmanager/manage/campaigns/edit/standalone?act=759724529202804&amp;selected_campaign_ids=120227403909070200" xr:uid="{00000000-0004-0000-0900-00005B030000}"/>
    <hyperlink ref="D441" r:id="rId861" display="https://wa.me/6285220903499" xr:uid="{00000000-0004-0000-0900-00005C030000}"/>
    <hyperlink ref="L441" r:id="rId862" display="https://adsmanager.facebook.com/adsmanager/manage/campaigns/edit/standalone?act=759724529202804&amp;selected_campaign_ids=120227423725240200" xr:uid="{00000000-0004-0000-0900-00005D030000}"/>
    <hyperlink ref="D442" r:id="rId863" display="https://wa.me/6282348365032" xr:uid="{00000000-0004-0000-0900-00005E030000}"/>
    <hyperlink ref="L442" r:id="rId864" display="https://adsmanager.facebook.com/adsmanager/manage/campaigns/edit/standalone?act=759724529202804&amp;selected_campaign_ids=120227429269270200" xr:uid="{00000000-0004-0000-0900-00005F030000}"/>
    <hyperlink ref="D443" r:id="rId865" display="https://wa.me/6281331854948" xr:uid="{00000000-0004-0000-0900-000060030000}"/>
    <hyperlink ref="L443" r:id="rId866" display="https://adsmanager.facebook.com/adsmanager/manage/campaigns/edit/standalone?act=759724529202804&amp;selected_campaign_ids=120227432781140200" xr:uid="{00000000-0004-0000-0900-000061030000}"/>
    <hyperlink ref="D444" r:id="rId867" display="https://wa.me/6285255435848" xr:uid="{00000000-0004-0000-0900-000062030000}"/>
    <hyperlink ref="L444" r:id="rId868" display="https://adsmanager.facebook.com/adsmanager/manage/campaigns/edit/standalone?act=759724529202804&amp;selected_campaign_ids=120227433380380200" xr:uid="{00000000-0004-0000-0900-000063030000}"/>
    <hyperlink ref="D445" r:id="rId869" display="https://wa.me/628872305953" xr:uid="{00000000-0004-0000-0900-000064030000}"/>
    <hyperlink ref="L445" r:id="rId870" display="https://adsmanager.facebook.com/adsmanager/manage/campaigns/edit/standalone?act=759724529202804&amp;selected_campaign_ids=120227459128820200" xr:uid="{00000000-0004-0000-0900-000065030000}"/>
    <hyperlink ref="D446" r:id="rId871" display="https://wa.me/6285737244570" xr:uid="{00000000-0004-0000-0900-000066030000}"/>
    <hyperlink ref="L446" r:id="rId872" display="https://adsmanager.facebook.com/adsmanager/manage/campaigns/edit/standalone?act=759724529202804&amp;selected_campaign_ids=120227526331870200" xr:uid="{00000000-0004-0000-0900-000067030000}"/>
    <hyperlink ref="D447" r:id="rId873" display="https://wa.me/6282350524788" xr:uid="{00000000-0004-0000-0900-000068030000}"/>
    <hyperlink ref="L447" r:id="rId874" display="https://adsmanager.facebook.com/adsmanager/manage/campaigns/edit/standalone?act=759724529202804&amp;selected_campaign_ids=120227782745500200" xr:uid="{00000000-0004-0000-0900-000069030000}"/>
    <hyperlink ref="D448" r:id="rId875" display="https://wa.me/6282274447649" xr:uid="{00000000-0004-0000-0900-00006A030000}"/>
    <hyperlink ref="L448" r:id="rId876" display="https://adsmanager.facebook.com/adsmanager/manage/campaigns/edit/standalone?act=759724529202804&amp;selected_campaign_ids=120228023839160200" xr:uid="{00000000-0004-0000-0900-00006B030000}"/>
    <hyperlink ref="D449" r:id="rId877" display="https://wa.me/62895401448273" xr:uid="{00000000-0004-0000-0900-00006C030000}"/>
    <hyperlink ref="L449" r:id="rId878" display="https://adsmanager.facebook.com/adsmanager/manage/campaigns/edit/standalone?act=759724529202804&amp;selected_campaign_ids=120228159361750200" xr:uid="{00000000-0004-0000-0900-00006D030000}"/>
    <hyperlink ref="D450" r:id="rId879" display="https://wa.me/6288215545661" xr:uid="{00000000-0004-0000-0900-00006E030000}"/>
    <hyperlink ref="L450" r:id="rId880" display="https://adsmanager.facebook.com/adsmanager/manage/campaigns/edit/standalone?act=759724529202804&amp;selected_campaign_ids=120228387388660200" xr:uid="{00000000-0004-0000-0900-00006F030000}"/>
    <hyperlink ref="D451" r:id="rId881" display="https://wa.me/6281216962242" xr:uid="{00000000-0004-0000-0900-000070030000}"/>
    <hyperlink ref="L451" r:id="rId882" display="https://adsmanager.facebook.com/adsmanager/manage/campaigns/edit/standalone?act=759724529202804&amp;selected_campaign_ids=120228392828650200" xr:uid="{00000000-0004-0000-0900-000071030000}"/>
    <hyperlink ref="D452" r:id="rId883" display="https://wa.me/6281335728695" xr:uid="{00000000-0004-0000-0900-000072030000}"/>
    <hyperlink ref="L452" r:id="rId884" display="https://adsmanager.facebook.com/adsmanager/manage/campaigns/edit/standalone?act=759724529202804&amp;selected_campaign_ids=120228395930460200" xr:uid="{00000000-0004-0000-0900-000073030000}"/>
    <hyperlink ref="D453" r:id="rId885" display="https://wa.me/6285642607938" xr:uid="{00000000-0004-0000-0900-000074030000}"/>
    <hyperlink ref="L453" r:id="rId886" display="https://adsmanager.facebook.com/adsmanager/manage/campaigns/edit/standalone?act=759724529202804&amp;selected_campaign_ids=120228727080240200" xr:uid="{00000000-0004-0000-0900-000075030000}"/>
    <hyperlink ref="D454" r:id="rId887" display="https://wa.me/6282125465047" xr:uid="{00000000-0004-0000-0900-000076030000}"/>
    <hyperlink ref="L454" r:id="rId888" display="https://adsmanager.facebook.com/adsmanager/manage/campaigns/edit/standalone?act=759724529202804&amp;selected_campaign_ids=120228796214480200" xr:uid="{00000000-0004-0000-0900-000077030000}"/>
    <hyperlink ref="D455" r:id="rId889" display="https://wa.me/6285180805171" xr:uid="{00000000-0004-0000-0900-000078030000}"/>
    <hyperlink ref="L455" r:id="rId890" display="https://adsmanager.facebook.com/adsmanager/manage/campaigns/edit/standalone?act=759724529202804&amp;selected_campaign_ids=120228860995180200" xr:uid="{00000000-0004-0000-0900-000079030000}"/>
    <hyperlink ref="D456" r:id="rId891" display="https://wa.me/6282122880328" xr:uid="{00000000-0004-0000-0900-00007A030000}"/>
    <hyperlink ref="L456" r:id="rId892" display="https://adsmanager.facebook.com/adsmanager/manage/campaigns/edit/standalone?act=759724529202804&amp;selected_campaign_ids=120229042741890200" xr:uid="{00000000-0004-0000-0900-00007B030000}"/>
    <hyperlink ref="D457" r:id="rId893" display="https://wa.me/6281253792753" xr:uid="{00000000-0004-0000-0900-00007C030000}"/>
    <hyperlink ref="L457" r:id="rId894" display="https://adsmanager.facebook.com/adsmanager/manage/campaigns/edit/standalone?act=759724529202804&amp;selected_campaign_ids=120229043131290200" xr:uid="{00000000-0004-0000-0900-00007D030000}"/>
    <hyperlink ref="D458" r:id="rId895" display="https://wa.me/6281904501876" xr:uid="{00000000-0004-0000-0900-00007E030000}"/>
    <hyperlink ref="L458" r:id="rId896" display="https://adsmanager.facebook.com/adsmanager/manage/campaigns/edit/standalone?act=759724529202804&amp;selected_campaign_ids=120229044725650200" xr:uid="{00000000-0004-0000-0900-00007F030000}"/>
    <hyperlink ref="D459" r:id="rId897" display="https://wa.me/6285775986977" xr:uid="{00000000-0004-0000-0900-000080030000}"/>
    <hyperlink ref="L459" r:id="rId898" display="https://adsmanager.facebook.com/adsmanager/manage/campaigns/edit/standalone?act=759724529202804&amp;selected_campaign_ids=120229044952270200" xr:uid="{00000000-0004-0000-0900-000081030000}"/>
    <hyperlink ref="D460" r:id="rId899" display="https://wa.me/6285711667433" xr:uid="{00000000-0004-0000-0900-000082030000}"/>
    <hyperlink ref="L460" r:id="rId900" display="https://adsmanager.facebook.com/adsmanager/manage/campaigns/edit/standalone?act=759724529202804&amp;selected_campaign_ids=120229046011260200" xr:uid="{00000000-0004-0000-0900-000083030000}"/>
    <hyperlink ref="D461" r:id="rId901" display="https://wa.me/6285777110340" xr:uid="{00000000-0004-0000-0900-000084030000}"/>
    <hyperlink ref="L461" r:id="rId902" display="https://adsmanager.facebook.com/adsmanager/manage/campaigns/edit/standalone?act=759724529202804&amp;selected_campaign_ids=120229124392540200" xr:uid="{00000000-0004-0000-0900-000085030000}"/>
    <hyperlink ref="D462" r:id="rId903" display="https://wa.me/6281233038880" xr:uid="{00000000-0004-0000-0900-000086030000}"/>
    <hyperlink ref="L462" r:id="rId904" display="https://adsmanager.facebook.com/adsmanager/manage/campaigns/edit/standalone?act=759724529202804&amp;selected_campaign_ids=120229127021080200" xr:uid="{00000000-0004-0000-0900-000087030000}"/>
    <hyperlink ref="D463" r:id="rId905" display="https://wa.me/6281399731413" xr:uid="{00000000-0004-0000-0900-000088030000}"/>
    <hyperlink ref="L463" r:id="rId906" display="https://adsmanager.facebook.com/adsmanager/manage/campaigns/edit/standalone?act=759724529202804&amp;selected_campaign_ids=120229191444440200" xr:uid="{00000000-0004-0000-0900-000089030000}"/>
    <hyperlink ref="D464" r:id="rId907" display="https://wa.me/628158830325" xr:uid="{00000000-0004-0000-0900-00008A030000}"/>
    <hyperlink ref="L464" r:id="rId908" display="https://adsmanager.facebook.com/adsmanager/manage/campaigns/edit/standalone?act=759724529202804&amp;selected_campaign_ids=120229240968870200" xr:uid="{00000000-0004-0000-0900-00008B030000}"/>
    <hyperlink ref="D465" r:id="rId909" display="https://wa.me/6281248936324" xr:uid="{00000000-0004-0000-0900-00008C030000}"/>
    <hyperlink ref="L465" r:id="rId910" display="https://adsmanager.facebook.com/adsmanager/manage/campaigns/edit/standalone?act=759724529202804&amp;selected_campaign_ids=120229243414420200" xr:uid="{00000000-0004-0000-0900-00008D030000}"/>
    <hyperlink ref="D466" r:id="rId911" display="https://wa.me/6281649155643" xr:uid="{00000000-0004-0000-0900-00008E030000}"/>
    <hyperlink ref="L466" r:id="rId912" display="https://adsmanager.facebook.com/adsmanager/manage/campaigns/edit/standalone?act=759724529202804&amp;selected_campaign_ids=120229259215650200" xr:uid="{00000000-0004-0000-0900-00008F030000}"/>
    <hyperlink ref="D467" r:id="rId913" display="https://wa.me/628174741283" xr:uid="{00000000-0004-0000-0900-000090030000}"/>
    <hyperlink ref="L467" r:id="rId914" display="https://adsmanager.facebook.com/adsmanager/manage/campaigns/edit/standalone?act=759724529202804&amp;selected_campaign_ids=120229259533260200" xr:uid="{00000000-0004-0000-0900-000091030000}"/>
    <hyperlink ref="D468" r:id="rId915" display="https://wa.me/628174741283" xr:uid="{00000000-0004-0000-0900-000092030000}"/>
    <hyperlink ref="L468" r:id="rId916" display="https://adsmanager.facebook.com/adsmanager/manage/campaigns/edit/standalone?act=759724529202804&amp;selected_campaign_ids=120229310340250200" xr:uid="{00000000-0004-0000-0900-000093030000}"/>
    <hyperlink ref="D469" r:id="rId917" display="https://wa.me/6281269441611" xr:uid="{00000000-0004-0000-0900-000094030000}"/>
    <hyperlink ref="L469" r:id="rId918" display="https://adsmanager.facebook.com/adsmanager/manage/campaigns/edit/standalone?act=759724529202804&amp;selected_campaign_ids=120229316074150200" xr:uid="{00000000-0004-0000-0900-000095030000}"/>
    <hyperlink ref="D470" r:id="rId919" display="https://wa.me/6281366622333" xr:uid="{00000000-0004-0000-0900-000096030000}"/>
    <hyperlink ref="L470" r:id="rId920" display="https://adsmanager.facebook.com/adsmanager/manage/campaigns/edit/standalone?act=759724529202804&amp;selected_campaign_ids=120229368849020200" xr:uid="{00000000-0004-0000-0900-000097030000}"/>
    <hyperlink ref="D471" r:id="rId921" display="https://wa.me/6287777241263" xr:uid="{00000000-0004-0000-0900-000098030000}"/>
    <hyperlink ref="L471" r:id="rId922" display="https://adsmanager.facebook.com/adsmanager/manage/campaigns/edit/standalone?act=759724529202804&amp;selected_campaign_ids=120229445775520200" xr:uid="{00000000-0004-0000-0900-000099030000}"/>
    <hyperlink ref="D472" r:id="rId923" display="https://wa.me/6285974999484" xr:uid="{00000000-0004-0000-0900-00009A030000}"/>
    <hyperlink ref="L472" r:id="rId924" display="https://adsmanager.facebook.com/adsmanager/manage/campaigns/edit/standalone?act=759724529202804&amp;selected_campaign_ids=120229472269830200" xr:uid="{00000000-0004-0000-0900-00009B030000}"/>
    <hyperlink ref="D473" r:id="rId925" display="https://wa.me/6285169568997" xr:uid="{00000000-0004-0000-0900-00009C030000}"/>
    <hyperlink ref="L473" r:id="rId926" display="https://adsmanager.facebook.com/adsmanager/manage/campaigns/edit/standalone?act=759724529202804&amp;selected_campaign_ids=120229484888710200" xr:uid="{00000000-0004-0000-0900-00009D030000}"/>
    <hyperlink ref="D474" r:id="rId927" display="https://wa.me/6281282183261" xr:uid="{00000000-0004-0000-0900-00009E030000}"/>
    <hyperlink ref="L474" r:id="rId928" display="https://adsmanager.facebook.com/adsmanager/manage/campaigns/edit/standalone?act=759724529202804&amp;selected_campaign_ids=120229489313280200" xr:uid="{00000000-0004-0000-0900-00009F030000}"/>
    <hyperlink ref="D475" r:id="rId929" display="https://wa.me/628111988553" xr:uid="{00000000-0004-0000-0900-0000A0030000}"/>
    <hyperlink ref="L475" r:id="rId930" display="https://adsmanager.facebook.com/adsmanager/manage/campaigns/edit/standalone?act=759724529202804&amp;selected_campaign_ids=120229583661640200" xr:uid="{00000000-0004-0000-0900-0000A1030000}"/>
    <hyperlink ref="D476" r:id="rId931" display="https://wa.me/6285220903499" xr:uid="{00000000-0004-0000-0900-0000A2030000}"/>
    <hyperlink ref="L476" r:id="rId932" display="https://adsmanager.facebook.com/adsmanager/manage/campaigns/edit/standalone?act=759724529202804&amp;selected_campaign_ids=120229679951170200" xr:uid="{00000000-0004-0000-0900-0000A3030000}"/>
    <hyperlink ref="D477" r:id="rId933" display="https://wa.me/6288297718776" xr:uid="{00000000-0004-0000-0900-0000A4030000}"/>
    <hyperlink ref="L477" r:id="rId934" display="https://adsmanager.facebook.com/adsmanager/manage/campaigns/edit/standalone?act=759724529202804&amp;selected_campaign_ids=120229680154090200" xr:uid="{00000000-0004-0000-0900-0000A5030000}"/>
    <hyperlink ref="D478" r:id="rId935" display="https://wa.me/6281246211381" xr:uid="{00000000-0004-0000-0900-0000A6030000}"/>
    <hyperlink ref="L478" r:id="rId936" display="https://adsmanager.facebook.com/adsmanager/manage/campaigns/edit/standalone?act=759724529202804&amp;selected_campaign_ids=120229746465130200" xr:uid="{00000000-0004-0000-0900-0000A7030000}"/>
    <hyperlink ref="D479" r:id="rId937" display="https://wa.me/6282285691485" xr:uid="{00000000-0004-0000-0900-0000A8030000}"/>
    <hyperlink ref="L479" r:id="rId938" display="https://adsmanager.facebook.com/adsmanager/manage/campaigns/edit/standalone?act=759724529202804&amp;selected_campaign_ids=120229754781060200" xr:uid="{00000000-0004-0000-0900-0000A9030000}"/>
    <hyperlink ref="D480" r:id="rId939" display="https://wa.me/6282228737559" xr:uid="{00000000-0004-0000-0900-0000AA030000}"/>
    <hyperlink ref="L480" r:id="rId940" display="https://adsmanager.facebook.com/adsmanager/manage/campaigns/edit/standalone?act=759724529202804&amp;selected_campaign_ids=120229777078600200" xr:uid="{00000000-0004-0000-0900-0000AB030000}"/>
    <hyperlink ref="D481" r:id="rId941" display="https://wa.me/62882003293835" xr:uid="{00000000-0004-0000-0900-0000AC030000}"/>
    <hyperlink ref="L481" r:id="rId942" display="https://adsmanager.facebook.com/adsmanager/manage/campaigns/edit/standalone?act=759724529202804&amp;selected_campaign_ids=120229781163600200" xr:uid="{00000000-0004-0000-0900-0000AD030000}"/>
    <hyperlink ref="D482" r:id="rId943" display="https://wa.me/6282164919126" xr:uid="{00000000-0004-0000-0900-0000AE030000}"/>
    <hyperlink ref="L482" r:id="rId944" display="https://adsmanager.facebook.com/adsmanager/manage/campaigns/edit/standalone?act=759724529202804&amp;selected_campaign_ids=120229782482070200" xr:uid="{00000000-0004-0000-0900-0000AF030000}"/>
    <hyperlink ref="D483" r:id="rId945" display="https://wa.me/6282122880328" xr:uid="{00000000-0004-0000-0900-0000B0030000}"/>
    <hyperlink ref="L483" r:id="rId946" display="https://adsmanager.facebook.com/adsmanager/manage/campaigns/edit/standalone?act=759724529202804&amp;selected_campaign_ids=120229789530480200" xr:uid="{00000000-0004-0000-0900-0000B1030000}"/>
    <hyperlink ref="L484" r:id="rId947" display="https://adsmanager.facebook.com/adsmanager/manage/campaigns/edit/standalone?act=759724529202804&amp;selected_campaign_ids=120229794304570200" xr:uid="{00000000-0004-0000-0900-0000B2030000}"/>
    <hyperlink ref="L485" r:id="rId948" display="https://adsmanager.facebook.com/adsmanager/manage/campaigns/edit/standalone?act=759724529202804&amp;selected_campaign_ids=120229796298590200" xr:uid="{00000000-0004-0000-0900-0000B3030000}"/>
    <hyperlink ref="D486" r:id="rId949" display="https://wa.me/6282145068631" xr:uid="{00000000-0004-0000-0900-0000B4030000}"/>
    <hyperlink ref="L486" r:id="rId950" display="https://adsmanager.facebook.com/adsmanager/manage/campaigns/edit/standalone?act=759724529202804&amp;selected_campaign_ids=120229883458350200" xr:uid="{00000000-0004-0000-0900-0000B5030000}"/>
    <hyperlink ref="D487" r:id="rId951" display="https://wa.me/628562943274" xr:uid="{00000000-0004-0000-0900-0000B6030000}"/>
    <hyperlink ref="L487" r:id="rId952" display="https://adsmanager.facebook.com/adsmanager/manage/campaigns/edit/standalone?act=759724529202804&amp;selected_campaign_ids=120229902029190200" xr:uid="{00000000-0004-0000-0900-0000B7030000}"/>
    <hyperlink ref="D488" r:id="rId953" display="https://wa.me/62811339289839" xr:uid="{00000000-0004-0000-0900-0000B8030000}"/>
    <hyperlink ref="L488" r:id="rId954" display="https://adsmanager.facebook.com/adsmanager/manage/campaigns/edit/standalone?act=759724529202804&amp;selected_campaign_ids=120230102083340200" xr:uid="{00000000-0004-0000-0900-0000B9030000}"/>
    <hyperlink ref="D489" r:id="rId955" display="https://wa.me/6281904501876" xr:uid="{00000000-0004-0000-0900-0000BA030000}"/>
    <hyperlink ref="L489" r:id="rId956" display="https://adsmanager.facebook.com/adsmanager/manage/campaigns/edit/standalone?act=759724529202804&amp;selected_campaign_ids=120230277020900200" xr:uid="{00000000-0004-0000-0900-0000BB030000}"/>
    <hyperlink ref="D490" r:id="rId957" display="https://wa.me/6282258462258" xr:uid="{00000000-0004-0000-0900-0000BC030000}"/>
    <hyperlink ref="L490" r:id="rId958" display="https://adsmanager.facebook.com/adsmanager/manage/campaigns/edit/standalone?act=759724529202804&amp;selected_campaign_ids=120230399162310200" xr:uid="{00000000-0004-0000-0900-0000BD030000}"/>
    <hyperlink ref="D491" r:id="rId959" display="https://wa.me/6281916331011" xr:uid="{00000000-0004-0000-0900-0000BE030000}"/>
    <hyperlink ref="L491" r:id="rId960" display="https://adsmanager.facebook.com/adsmanager/manage/campaigns/edit/standalone?act=759724529202804&amp;selected_campaign_ids=120230422523240200" xr:uid="{00000000-0004-0000-0900-0000BF030000}"/>
    <hyperlink ref="L492" r:id="rId961" display="https://adsmanager.facebook.com/adsmanager/manage/campaigns/edit/standalone?act=759724529202804&amp;selected_campaign_ids=120230422523240200" xr:uid="{00000000-0004-0000-0900-0000C0030000}"/>
    <hyperlink ref="L493" r:id="rId962" display="https://adsmanager.facebook.com/adsmanager/manage/campaigns/edit/standalone?act=759724529202804&amp;selected_campaign_ids=120230422931920200" xr:uid="{00000000-0004-0000-0900-0000C1030000}"/>
    <hyperlink ref="D494" r:id="rId963" display="https://wa.me/6285339158435" xr:uid="{00000000-0004-0000-0900-0000C2030000}"/>
    <hyperlink ref="L494" r:id="rId964" display="https://adsmanager.facebook.com/adsmanager/manage/campaigns/edit/standalone?act=759724529202804&amp;selected_campaign_ids=120230422931920200" xr:uid="{00000000-0004-0000-0900-0000C3030000}"/>
    <hyperlink ref="D495" r:id="rId965" display="https://wa.me/6289608357133" xr:uid="{00000000-0004-0000-0900-0000C4030000}"/>
    <hyperlink ref="L495" r:id="rId966" display="https://adsmanager.facebook.com/adsmanager/manage/campaigns/edit/standalone?act=759724529202804&amp;selected_campaign_ids=120230489011020200" xr:uid="{00000000-0004-0000-0900-0000C5030000}"/>
    <hyperlink ref="D496" r:id="rId967" display="https://wa.me/6281269441611" xr:uid="{00000000-0004-0000-0900-0000C6030000}"/>
    <hyperlink ref="L496" r:id="rId968" display="https://adsmanager.facebook.com/adsmanager/manage/campaigns/edit/standalone?act=759724529202804&amp;selected_campaign_ids=120230570117160200" xr:uid="{00000000-0004-0000-0900-0000C7030000}"/>
    <hyperlink ref="D497" r:id="rId969" display="https://wa.me/6281299298585" xr:uid="{00000000-0004-0000-0900-0000C8030000}"/>
    <hyperlink ref="L497" r:id="rId970" display="https://adsmanager.facebook.com/adsmanager/manage/campaigns/edit/standalone?act=759724529202804&amp;selected_campaign_ids=120231605979100200" xr:uid="{00000000-0004-0000-0900-0000C9030000}"/>
    <hyperlink ref="D498" r:id="rId971" display="https://wa.me/628127126274" xr:uid="{00000000-0004-0000-0900-0000CA030000}"/>
    <hyperlink ref="L498" r:id="rId972" display="https://adsmanager.facebook.com/adsmanager/manage/campaigns/edit/standalone?act=759724529202804&amp;selected_campaign_ids=120231665720200200" xr:uid="{00000000-0004-0000-0900-0000CB030000}"/>
    <hyperlink ref="D499" r:id="rId973" display="https://wa.me/6285138380189" xr:uid="{00000000-0004-0000-0900-0000CC030000}"/>
    <hyperlink ref="L499" r:id="rId974" display="https://adsmanager.facebook.com/adsmanager/manage/campaigns/edit/standalone?act=759724529202804&amp;selected_campaign_ids=120231985215890200" xr:uid="{00000000-0004-0000-0900-0000CD030000}"/>
    <hyperlink ref="D500" r:id="rId975" display="https://wa.me/6287833789401" xr:uid="{00000000-0004-0000-0900-0000CE030000}"/>
    <hyperlink ref="L500" r:id="rId976" display="https://adsmanager.facebook.com/adsmanager/manage/campaigns/edit/standalone?act=759724529202804&amp;selected_campaign_ids=120232488433800200" xr:uid="{00000000-0004-0000-0900-0000CF030000}"/>
    <hyperlink ref="D501" r:id="rId977" display="https://wa.me/6282267832085" xr:uid="{00000000-0004-0000-0900-0000D0030000}"/>
    <hyperlink ref="L501" r:id="rId978" display="https://adsmanager.facebook.com/adsmanager/manage/campaigns/edit/standalone?act=759724529202804&amp;selected_campaign_ids=120232776985740200" xr:uid="{00000000-0004-0000-0900-0000D1030000}"/>
    <hyperlink ref="D502" r:id="rId979" display="https://wa.me/6287835601400" xr:uid="{00000000-0004-0000-0900-0000D2030000}"/>
    <hyperlink ref="L502" r:id="rId980" display="https://adsmanager.facebook.com/adsmanager/manage/campaigns/edit/standalone?act=759724529202804&amp;selected_campaign_ids=120233172775550200" xr:uid="{00000000-0004-0000-0900-0000D3030000}"/>
    <hyperlink ref="L503" r:id="rId981" display="https://adsmanager.facebook.com/adsmanager/manage/campaigns/edit/standalone?act=766589657993298&amp;selected_campaign_ids=120226446980020235" xr:uid="{00000000-0004-0000-0900-0000D4030000}"/>
    <hyperlink ref="D504" r:id="rId982" display="https://wa.me/6281347321820" xr:uid="{00000000-0004-0000-0900-0000D5030000}"/>
    <hyperlink ref="L504" r:id="rId983" display="https://adsmanager.facebook.com/adsmanager/manage/campaigns/edit/standalone?act=766589657993298&amp;selected_campaign_ids=120226449010810235" xr:uid="{00000000-0004-0000-0900-0000D6030000}"/>
    <hyperlink ref="D505" r:id="rId984" display="https://wa.me/6282154795446" xr:uid="{00000000-0004-0000-0900-0000D7030000}"/>
    <hyperlink ref="L505" r:id="rId985" display="https://adsmanager.facebook.com/adsmanager/manage/campaigns/edit/standalone?act=766589657993298&amp;selected_campaign_ids=120226497822570235" xr:uid="{00000000-0004-0000-0900-0000D8030000}"/>
    <hyperlink ref="D506" r:id="rId986" display="https://wa.me/6282288123215" xr:uid="{00000000-0004-0000-0900-0000D9030000}"/>
    <hyperlink ref="L506" r:id="rId987" display="https://adsmanager.facebook.com/adsmanager/manage/campaigns/edit/standalone?act=766589657993298&amp;selected_campaign_ids=120226503616670235" xr:uid="{00000000-0004-0000-0900-0000DA030000}"/>
    <hyperlink ref="D507" r:id="rId988" display="https://wa.me/62812" xr:uid="{00000000-0004-0000-0900-0000DB030000}"/>
    <hyperlink ref="L507" r:id="rId989" display="https://adsmanager.facebook.com/adsmanager/manage/campaigns/edit/standalone?act=766589657993298&amp;selected_campaign_ids=120226524173690235" xr:uid="{00000000-0004-0000-0900-0000DC030000}"/>
    <hyperlink ref="D508" r:id="rId990" display="https://wa.me/6281384925770" xr:uid="{00000000-0004-0000-0900-0000DD030000}"/>
    <hyperlink ref="L508" r:id="rId991" display="https://adsmanager.facebook.com/adsmanager/manage/campaigns/edit/standalone?act=766589657993298&amp;selected_campaign_ids=120226553971780235" xr:uid="{00000000-0004-0000-0900-0000DE030000}"/>
    <hyperlink ref="D509" r:id="rId992" display="https://wa.me/6281515877050" xr:uid="{00000000-0004-0000-0900-0000DF030000}"/>
    <hyperlink ref="L509" r:id="rId993" display="https://adsmanager.facebook.com/adsmanager/manage/campaigns/edit/standalone?act=766589657993298&amp;selected_campaign_ids=120226575228680235" xr:uid="{00000000-0004-0000-0900-0000E0030000}"/>
    <hyperlink ref="D510" r:id="rId994" display="https://wa.me/6281904501876" xr:uid="{00000000-0004-0000-0900-0000E1030000}"/>
    <hyperlink ref="L510" r:id="rId995" display="https://adsmanager.facebook.com/adsmanager/manage/campaigns/edit/standalone?act=766589657993298&amp;selected_campaign_ids=120226603543830235" xr:uid="{00000000-0004-0000-0900-0000E2030000}"/>
    <hyperlink ref="L511" r:id="rId996" display="https://adsmanager.facebook.com/adsmanager/manage/campaigns/edit/standalone?act=766589657993298&amp;selected_campaign_ids=120226675628850235" xr:uid="{00000000-0004-0000-0900-0000E3030000}"/>
    <hyperlink ref="D512" r:id="rId997" display="https://wa.me/6287845701116" xr:uid="{00000000-0004-0000-0900-0000E4030000}"/>
    <hyperlink ref="L512" r:id="rId998" display="https://adsmanager.facebook.com/adsmanager/manage/campaigns/edit/standalone?act=766589657993298&amp;selected_campaign_ids=120226709514130235" xr:uid="{00000000-0004-0000-0900-0000E5030000}"/>
    <hyperlink ref="D513" r:id="rId999" display="https://wa.me/6281219751312" xr:uid="{00000000-0004-0000-0900-0000E6030000}"/>
    <hyperlink ref="L513" r:id="rId1000" display="https://adsmanager.facebook.com/adsmanager/manage/campaigns/edit/standalone?act=766589657993298&amp;selected_campaign_ids=120226715098090235" xr:uid="{00000000-0004-0000-0900-0000E7030000}"/>
    <hyperlink ref="D514" r:id="rId1001" display="https://wa.me/6283134740502" xr:uid="{00000000-0004-0000-0900-0000E8030000}"/>
    <hyperlink ref="L514" r:id="rId1002" display="https://adsmanager.facebook.com/adsmanager/manage/campaigns/edit/standalone?act=766589657993298&amp;selected_campaign_ids=120226918169510235" xr:uid="{00000000-0004-0000-0900-0000E9030000}"/>
    <hyperlink ref="D515" r:id="rId1003" display="https://wa.me/6282399006447" xr:uid="{00000000-0004-0000-0900-0000EA030000}"/>
    <hyperlink ref="L515" r:id="rId1004" display="https://adsmanager.facebook.com/adsmanager/manage/campaigns/edit/standalone?act=766589657993298&amp;selected_campaign_ids=120227060405810235" xr:uid="{00000000-0004-0000-0900-0000EB030000}"/>
    <hyperlink ref="D516" r:id="rId1005" display="https://wa.me/6281222110766" xr:uid="{00000000-0004-0000-0900-0000EC030000}"/>
    <hyperlink ref="L516" r:id="rId1006" display="https://adsmanager.facebook.com/adsmanager/manage/campaigns/edit/standalone?act=766589657993298&amp;selected_campaign_ids=120227061721700235" xr:uid="{00000000-0004-0000-0900-0000ED030000}"/>
    <hyperlink ref="D517" r:id="rId1007" display="https://wa.me/6282211675028" xr:uid="{00000000-0004-0000-0900-0000EE030000}"/>
    <hyperlink ref="L517" r:id="rId1008" display="https://adsmanager.facebook.com/adsmanager/manage/campaigns/edit/standalone?act=766589657993298&amp;selected_campaign_ids=120227093810110235" xr:uid="{00000000-0004-0000-0900-0000EF030000}"/>
    <hyperlink ref="D518" r:id="rId1009" display="https://wa.me/6281340892328" xr:uid="{00000000-0004-0000-0900-0000F0030000}"/>
    <hyperlink ref="L518" r:id="rId1010" display="https://adsmanager.facebook.com/adsmanager/manage/campaigns/edit/standalone?act=766589657993298&amp;selected_campaign_ids=120227143125540235" xr:uid="{00000000-0004-0000-0900-0000F1030000}"/>
    <hyperlink ref="D519" r:id="rId1011" display="https://wa.me/6285220216325" xr:uid="{00000000-0004-0000-0900-0000F2030000}"/>
    <hyperlink ref="L519" r:id="rId1012" display="https://adsmanager.facebook.com/adsmanager/manage/campaigns/edit/standalone?act=766589657993298&amp;selected_campaign_ids=120227144320660235" xr:uid="{00000000-0004-0000-0900-0000F3030000}"/>
    <hyperlink ref="D520" r:id="rId1013" display="https://wa.me/6281952482523" xr:uid="{00000000-0004-0000-0900-0000F4030000}"/>
    <hyperlink ref="L520" r:id="rId1014" display="https://adsmanager.facebook.com/adsmanager/manage/campaigns/edit/standalone?act=766589657993298&amp;selected_campaign_ids=120227162549440235" xr:uid="{00000000-0004-0000-0900-0000F5030000}"/>
    <hyperlink ref="D521" r:id="rId1015" display="https://wa.me/6281278788088" xr:uid="{00000000-0004-0000-0900-0000F6030000}"/>
    <hyperlink ref="L521" r:id="rId1016" display="https://adsmanager.facebook.com/adsmanager/manage/campaigns/edit/standalone?act=766589657993298&amp;selected_campaign_ids=120227224515880235" xr:uid="{00000000-0004-0000-0900-0000F7030000}"/>
    <hyperlink ref="D522" r:id="rId1017" display="https://wa.me/628114170888" xr:uid="{00000000-0004-0000-0900-0000F8030000}"/>
    <hyperlink ref="L522" r:id="rId1018" display="https://adsmanager.facebook.com/adsmanager/manage/campaigns/edit/standalone?act=766589657993298&amp;selected_campaign_ids=120227228189250235" xr:uid="{00000000-0004-0000-0900-0000F9030000}"/>
    <hyperlink ref="D523" r:id="rId1019" display="https://wa.me/6285853370682" xr:uid="{00000000-0004-0000-0900-0000FA030000}"/>
    <hyperlink ref="L523" r:id="rId1020" display="https://adsmanager.facebook.com/adsmanager/manage/campaigns/edit/standalone?act=766589657993298&amp;selected_campaign_ids=120227228355510235" xr:uid="{00000000-0004-0000-0900-0000FB030000}"/>
    <hyperlink ref="D524" r:id="rId1021" display="https://wa.me/6281519225886" xr:uid="{00000000-0004-0000-0900-0000FC030000}"/>
    <hyperlink ref="L524" r:id="rId1022" display="https://adsmanager.facebook.com/adsmanager/manage/campaigns/edit/standalone?act=766589657993298&amp;selected_campaign_ids=120227229623580235" xr:uid="{00000000-0004-0000-0900-0000FD030000}"/>
    <hyperlink ref="D525" r:id="rId1023" display="https://wa.me/6285747906282" xr:uid="{00000000-0004-0000-0900-0000FE030000}"/>
    <hyperlink ref="L525" r:id="rId1024" display="https://adsmanager.facebook.com/adsmanager/manage/campaigns/edit/standalone?act=766589657993298&amp;selected_campaign_ids=120227261375460235" xr:uid="{00000000-0004-0000-0900-0000FF030000}"/>
    <hyperlink ref="D526" r:id="rId1025" display="https://wa.me/6282393168368" xr:uid="{00000000-0004-0000-0900-000000040000}"/>
    <hyperlink ref="L526" r:id="rId1026" display="https://adsmanager.facebook.com/adsmanager/manage/campaigns/edit/standalone?act=766589657993298&amp;selected_campaign_ids=120227272424500235" xr:uid="{00000000-0004-0000-0900-000001040000}"/>
    <hyperlink ref="D527" r:id="rId1027" display="https://wa.me/6285353864755" xr:uid="{00000000-0004-0000-0900-000002040000}"/>
    <hyperlink ref="L527" r:id="rId1028" display="https://adsmanager.facebook.com/adsmanager/manage/campaigns/edit/standalone?act=766589657993298&amp;selected_campaign_ids=120227281869150235" xr:uid="{00000000-0004-0000-0900-000003040000}"/>
    <hyperlink ref="D528" r:id="rId1029" display="https://wa.me/6283185169816" xr:uid="{00000000-0004-0000-0900-000004040000}"/>
    <hyperlink ref="L528" r:id="rId1030" display="https://adsmanager.facebook.com/adsmanager/manage/campaigns/edit/standalone?act=766589657993298&amp;selected_campaign_ids=120227332096230235" xr:uid="{00000000-0004-0000-0900-000005040000}"/>
    <hyperlink ref="D529" r:id="rId1031" display="https://wa.me/6285210107607" xr:uid="{00000000-0004-0000-0900-000006040000}"/>
    <hyperlink ref="L529" r:id="rId1032" display="https://adsmanager.facebook.com/adsmanager/manage/campaigns/edit/standalone?act=766589657993298&amp;selected_campaign_ids=120227332148190235" xr:uid="{00000000-0004-0000-0900-000007040000}"/>
    <hyperlink ref="D530" r:id="rId1033" display="https://wa.me/6285210107607" xr:uid="{00000000-0004-0000-0900-000008040000}"/>
    <hyperlink ref="L530" r:id="rId1034" display="https://adsmanager.facebook.com/adsmanager/manage/campaigns/edit/standalone?act=766589657993298&amp;selected_campaign_ids=120227332148190235" xr:uid="{00000000-0004-0000-0900-000009040000}"/>
    <hyperlink ref="D531" r:id="rId1035" display="https://wa.me/6285714611166" xr:uid="{00000000-0004-0000-0900-00000A040000}"/>
    <hyperlink ref="L531" r:id="rId1036" display="https://adsmanager.facebook.com/adsmanager/manage/campaigns/edit/standalone?act=766589657993298&amp;selected_campaign_ids=120227332233440235" xr:uid="{00000000-0004-0000-0900-00000B040000}"/>
    <hyperlink ref="D532" r:id="rId1037" display="https://wa.me/6285261023204" xr:uid="{00000000-0004-0000-0900-00000C040000}"/>
    <hyperlink ref="L532" r:id="rId1038" display="https://adsmanager.facebook.com/adsmanager/manage/campaigns/edit/standalone?act=766589657993298&amp;selected_campaign_ids=120227451758450235" xr:uid="{00000000-0004-0000-0900-00000D040000}"/>
    <hyperlink ref="L533" r:id="rId1039" display="https://adsmanager.facebook.com/adsmanager/manage/campaigns/edit/standalone?act=766589657993298&amp;selected_campaign_ids=120227481511780235" xr:uid="{00000000-0004-0000-0900-00000E040000}"/>
    <hyperlink ref="D534" r:id="rId1040" display="https://wa.me/628122102657" xr:uid="{00000000-0004-0000-0900-00000F040000}"/>
    <hyperlink ref="L534" r:id="rId1041" display="https://adsmanager.facebook.com/adsmanager/manage/campaigns/edit/standalone?act=766589657993298&amp;selected_campaign_ids=120227511849950235" xr:uid="{00000000-0004-0000-0900-000010040000}"/>
    <hyperlink ref="D535" r:id="rId1042" display="https://wa.me/6282162580404" xr:uid="{00000000-0004-0000-0900-000011040000}"/>
    <hyperlink ref="L535" r:id="rId1043" display="https://adsmanager.facebook.com/adsmanager/manage/campaigns/edit/standalone?act=766589657993298&amp;selected_campaign_ids=120227529488890235" xr:uid="{00000000-0004-0000-0900-000012040000}"/>
    <hyperlink ref="D536" r:id="rId1044" display="https://wa.me/6281338789995" xr:uid="{00000000-0004-0000-0900-000013040000}"/>
    <hyperlink ref="L536" r:id="rId1045" display="https://adsmanager.facebook.com/adsmanager/manage/campaigns/edit/standalone?act=766589657993298&amp;selected_campaign_ids=120227535188790235" xr:uid="{00000000-0004-0000-0900-000014040000}"/>
    <hyperlink ref="D537" r:id="rId1046" display="https://wa.me/6289523308892" xr:uid="{00000000-0004-0000-0900-000015040000}"/>
    <hyperlink ref="L537" r:id="rId1047" display="https://adsmanager.facebook.com/adsmanager/manage/campaigns/edit/standalone?act=766589657993298&amp;selected_campaign_ids=120227597018130235" xr:uid="{00000000-0004-0000-0900-000016040000}"/>
    <hyperlink ref="D538" r:id="rId1048" display="https://wa.me/6287778562681" xr:uid="{00000000-0004-0000-0900-000017040000}"/>
    <hyperlink ref="L538" r:id="rId1049" display="https://adsmanager.facebook.com/adsmanager/manage/campaigns/edit/standalone?act=766589657993298&amp;selected_campaign_ids=120227597633480235" xr:uid="{00000000-0004-0000-0900-000018040000}"/>
    <hyperlink ref="D539" r:id="rId1050" display="https://wa.me/6281316155059" xr:uid="{00000000-0004-0000-0900-000019040000}"/>
    <hyperlink ref="L539" r:id="rId1051" display="https://adsmanager.facebook.com/adsmanager/manage/campaigns/edit/standalone?act=766589657993298&amp;selected_campaign_ids=120227599304890235" xr:uid="{00000000-0004-0000-0900-00001A040000}"/>
    <hyperlink ref="D540" r:id="rId1052" display="https://wa.me/6282255726295" xr:uid="{00000000-0004-0000-0900-00001B040000}"/>
    <hyperlink ref="L540" r:id="rId1053" display="https://adsmanager.facebook.com/adsmanager/manage/campaigns/edit/standalone?act=766589657993298&amp;selected_campaign_ids=120227607532660235" xr:uid="{00000000-0004-0000-0900-00001C040000}"/>
    <hyperlink ref="D541" r:id="rId1054" display="https://wa.me/6281632236409" xr:uid="{00000000-0004-0000-0900-00001D040000}"/>
    <hyperlink ref="L541" r:id="rId1055" display="https://adsmanager.facebook.com/adsmanager/manage/campaigns/edit/standalone?act=766589657993298&amp;selected_campaign_ids=120227621644090235" xr:uid="{00000000-0004-0000-0900-00001E040000}"/>
    <hyperlink ref="D542" r:id="rId1056" display="https://wa.me/6282176695820" xr:uid="{00000000-0004-0000-0900-00001F040000}"/>
    <hyperlink ref="L542" r:id="rId1057" display="https://adsmanager.facebook.com/adsmanager/manage/campaigns/edit/standalone?act=766589657993298&amp;selected_campaign_ids=120227665462840235" xr:uid="{00000000-0004-0000-0900-000020040000}"/>
    <hyperlink ref="D543" r:id="rId1058" display="https://wa.me/6282141603091" xr:uid="{00000000-0004-0000-0900-000021040000}"/>
    <hyperlink ref="L543" r:id="rId1059" display="https://adsmanager.facebook.com/adsmanager/manage/campaigns/edit/standalone?act=766589657993298&amp;selected_campaign_ids=120227665552330235" xr:uid="{00000000-0004-0000-0900-000022040000}"/>
    <hyperlink ref="D544" r:id="rId1060" display="https://wa.me/6282324392716" xr:uid="{00000000-0004-0000-0900-000023040000}"/>
    <hyperlink ref="L544" r:id="rId1061" display="https://adsmanager.facebook.com/adsmanager/manage/campaigns/edit/standalone?act=766589657993298&amp;selected_campaign_ids=120227665559290235" xr:uid="{00000000-0004-0000-0900-000024040000}"/>
    <hyperlink ref="D545" r:id="rId1062" display="https://wa.me/6283866009989" xr:uid="{00000000-0004-0000-0900-000025040000}"/>
    <hyperlink ref="L545" r:id="rId1063" display="https://adsmanager.facebook.com/adsmanager/manage/campaigns/edit/standalone?act=766589657993298&amp;selected_campaign_ids=120227705972040235" xr:uid="{00000000-0004-0000-0900-000026040000}"/>
    <hyperlink ref="D546" r:id="rId1064" display="https://wa.me/6287877805175" xr:uid="{00000000-0004-0000-0900-000027040000}"/>
    <hyperlink ref="L546" r:id="rId1065" display="https://adsmanager.facebook.com/adsmanager/manage/campaigns/edit/standalone?act=766589657993298&amp;selected_campaign_ids=120227771574780235" xr:uid="{00000000-0004-0000-0900-000028040000}"/>
    <hyperlink ref="D547" r:id="rId1066" display="https://wa.me/6281215851833" xr:uid="{00000000-0004-0000-0900-000029040000}"/>
    <hyperlink ref="L547" r:id="rId1067" display="https://adsmanager.facebook.com/adsmanager/manage/campaigns/edit/standalone?act=766589657993298&amp;selected_campaign_ids=120227852715640235" xr:uid="{00000000-0004-0000-0900-00002A040000}"/>
    <hyperlink ref="D548" r:id="rId1068" display="https://wa.me/6289617461806" xr:uid="{00000000-0004-0000-0900-00002B040000}"/>
    <hyperlink ref="L548" r:id="rId1069" display="https://adsmanager.facebook.com/adsmanager/manage/campaigns/edit/standalone?act=766589657993298&amp;selected_campaign_ids=120227853313460235" xr:uid="{00000000-0004-0000-0900-00002C040000}"/>
    <hyperlink ref="D549" r:id="rId1070" display="https://wa.me/6281283325291" xr:uid="{00000000-0004-0000-0900-00002D040000}"/>
    <hyperlink ref="L549" r:id="rId1071" display="https://adsmanager.facebook.com/adsmanager/manage/campaigns/edit/standalone?act=766589657993298&amp;selected_campaign_ids=120227853904900235" xr:uid="{00000000-0004-0000-0900-00002E040000}"/>
    <hyperlink ref="D550" r:id="rId1072" display="https://wa.me/6281233044823" xr:uid="{00000000-0004-0000-0900-00002F040000}"/>
    <hyperlink ref="L550" r:id="rId1073" display="https://adsmanager.facebook.com/adsmanager/manage/campaigns/edit/standalone?act=766589657993298&amp;selected_campaign_ids=120227854419480235" xr:uid="{00000000-0004-0000-0900-000030040000}"/>
    <hyperlink ref="D551" r:id="rId1074" display="https://wa.me/6281230995752" xr:uid="{00000000-0004-0000-0900-000031040000}"/>
    <hyperlink ref="L551" r:id="rId1075" display="https://adsmanager.facebook.com/adsmanager/manage/campaigns/edit/standalone?act=766589657993298&amp;selected_campaign_ids=120227857030580235" xr:uid="{00000000-0004-0000-0900-000032040000}"/>
    <hyperlink ref="D552" r:id="rId1076" display="https://wa.me/6283151330372" xr:uid="{00000000-0004-0000-0900-000033040000}"/>
    <hyperlink ref="L552" r:id="rId1077" display="https://adsmanager.facebook.com/adsmanager/manage/campaigns/edit/standalone?act=766589657993298&amp;selected_campaign_ids=120227925985760235" xr:uid="{00000000-0004-0000-0900-000034040000}"/>
    <hyperlink ref="D553" r:id="rId1078" display="https://wa.me/6282183115806" xr:uid="{00000000-0004-0000-0900-000035040000}"/>
    <hyperlink ref="L553" r:id="rId1079" display="https://adsmanager.facebook.com/adsmanager/manage/campaigns/edit/standalone?act=766589657993298&amp;selected_campaign_ids=120227926378210235" xr:uid="{00000000-0004-0000-0900-000036040000}"/>
    <hyperlink ref="D554" r:id="rId1080" display="https://wa.me/6281514999073" xr:uid="{00000000-0004-0000-0900-000037040000}"/>
    <hyperlink ref="L554" r:id="rId1081" display="https://adsmanager.facebook.com/adsmanager/manage/campaigns/edit/standalone?act=766589657993298&amp;selected_campaign_ids=120227926808950235" xr:uid="{00000000-0004-0000-0900-000038040000}"/>
    <hyperlink ref="D555" r:id="rId1082" display="https://wa.me/6283135590465" xr:uid="{00000000-0004-0000-0900-000039040000}"/>
    <hyperlink ref="L555" r:id="rId1083" display="https://adsmanager.facebook.com/adsmanager/manage/campaigns/edit/standalone?act=766589657993298&amp;selected_campaign_ids=120228014435350235" xr:uid="{00000000-0004-0000-0900-00003A040000}"/>
    <hyperlink ref="D556" r:id="rId1084" display="https://wa.me/6281383899119" xr:uid="{00000000-0004-0000-0900-00003B040000}"/>
    <hyperlink ref="L556" r:id="rId1085" display="https://adsmanager.facebook.com/adsmanager/manage/campaigns/edit/standalone?act=766589657993298&amp;selected_campaign_ids=120228074309660235" xr:uid="{00000000-0004-0000-0900-00003C040000}"/>
    <hyperlink ref="D557" r:id="rId1086" display="https://wa.me/6281383434602" xr:uid="{00000000-0004-0000-0900-00003D040000}"/>
    <hyperlink ref="L557" r:id="rId1087" display="https://adsmanager.facebook.com/adsmanager/manage/campaigns/edit/standalone?act=766589657993298&amp;selected_campaign_ids=120228082065700235" xr:uid="{00000000-0004-0000-0900-00003E040000}"/>
    <hyperlink ref="D558" r:id="rId1088" display="https://wa.me/6281293309300" xr:uid="{00000000-0004-0000-0900-00003F040000}"/>
    <hyperlink ref="L558" r:id="rId1089" display="https://adsmanager.facebook.com/adsmanager/manage/campaigns/edit/standalone?act=766589657993298&amp;selected_campaign_ids=120228145715320235" xr:uid="{00000000-0004-0000-0900-000040040000}"/>
    <hyperlink ref="D559" r:id="rId1090" display="https://wa.me/6281374115054" xr:uid="{00000000-0004-0000-0900-000041040000}"/>
    <hyperlink ref="L559" r:id="rId1091" display="https://adsmanager.facebook.com/adsmanager/manage/campaigns/edit/standalone?act=766589657993298&amp;selected_campaign_ids=120228214040310235" xr:uid="{00000000-0004-0000-0900-000042040000}"/>
    <hyperlink ref="D560" r:id="rId1092" display="https://wa.me/6285167182620" xr:uid="{00000000-0004-0000-0900-000043040000}"/>
    <hyperlink ref="L560" r:id="rId1093" display="https://adsmanager.facebook.com/adsmanager/manage/campaigns/edit/standalone?act=766589657993298&amp;selected_campaign_ids=120228286701160235" xr:uid="{00000000-0004-0000-0900-000044040000}"/>
    <hyperlink ref="D561" r:id="rId1094" display="https://wa.me/6282365004117" xr:uid="{00000000-0004-0000-0900-000045040000}"/>
    <hyperlink ref="L561" r:id="rId1095" display="https://adsmanager.facebook.com/adsmanager/manage/campaigns/edit/standalone?act=766589657993298&amp;selected_campaign_ids=120228297236490235" xr:uid="{00000000-0004-0000-0900-000046040000}"/>
    <hyperlink ref="D562" r:id="rId1096" display="https://wa.me/6282385989828" xr:uid="{00000000-0004-0000-0900-000047040000}"/>
    <hyperlink ref="L562" r:id="rId1097" display="https://adsmanager.facebook.com/adsmanager/manage/campaigns/edit/standalone?act=766589657993298&amp;selected_campaign_ids=120228364654980235" xr:uid="{00000000-0004-0000-0900-000048040000}"/>
    <hyperlink ref="D563" r:id="rId1098" display="https://wa.me/6285715856120" xr:uid="{00000000-0004-0000-0900-000049040000}"/>
    <hyperlink ref="L563" r:id="rId1099" display="https://adsmanager.facebook.com/adsmanager/manage/campaigns/edit/standalone?act=766589657993298&amp;selected_campaign_ids=120228364900400235" xr:uid="{00000000-0004-0000-0900-00004A040000}"/>
    <hyperlink ref="D564" r:id="rId1100" display="https://wa.me/6281138301069" xr:uid="{00000000-0004-0000-0900-00004B040000}"/>
    <hyperlink ref="L564" r:id="rId1101" display="https://adsmanager.facebook.com/adsmanager/manage/campaigns/edit/standalone?act=766589657993298&amp;selected_campaign_ids=120228406232970235" xr:uid="{00000000-0004-0000-0900-00004C040000}"/>
    <hyperlink ref="D565" r:id="rId1102" display="https://wa.me/6287822304727" xr:uid="{00000000-0004-0000-0900-00004D040000}"/>
    <hyperlink ref="L565" r:id="rId1103" display="https://adsmanager.facebook.com/adsmanager/manage/campaigns/edit/standalone?act=766589657993298&amp;selected_campaign_ids=120228409156980235" xr:uid="{00000000-0004-0000-0900-00004E040000}"/>
    <hyperlink ref="D566" r:id="rId1104" display="https://wa.me/6282134333004" xr:uid="{00000000-0004-0000-0900-00004F040000}"/>
    <hyperlink ref="L566" r:id="rId1105" display="https://adsmanager.facebook.com/adsmanager/manage/campaigns/edit/standalone?act=766589657993298&amp;selected_campaign_ids=120228513630470235" xr:uid="{00000000-0004-0000-0900-000050040000}"/>
    <hyperlink ref="D567" r:id="rId1106" display="https://wa.me/6285774217794" xr:uid="{00000000-0004-0000-0900-000051040000}"/>
    <hyperlink ref="L567" r:id="rId1107" display="https://adsmanager.facebook.com/adsmanager/manage/campaigns/edit/standalone?act=766589657993298&amp;selected_campaign_ids=120228586109730235" xr:uid="{00000000-0004-0000-0900-000052040000}"/>
    <hyperlink ref="D568" r:id="rId1108" display="https://wa.me/6282338171577" xr:uid="{00000000-0004-0000-0900-000053040000}"/>
    <hyperlink ref="L568" r:id="rId1109" display="https://adsmanager.facebook.com/adsmanager/manage/campaigns/edit/standalone?act=766589657993298&amp;selected_campaign_ids=120228610165220235" xr:uid="{00000000-0004-0000-0900-000054040000}"/>
    <hyperlink ref="D569" r:id="rId1110" display="https://wa.me/6285950836788" xr:uid="{00000000-0004-0000-0900-000055040000}"/>
    <hyperlink ref="L569" r:id="rId1111" display="https://adsmanager.facebook.com/adsmanager/manage/campaigns/edit/standalone?act=766589657993298&amp;selected_campaign_ids=120228612470250235" xr:uid="{00000000-0004-0000-0900-000056040000}"/>
    <hyperlink ref="D570" r:id="rId1112" display="https://wa.me/6285647189964" xr:uid="{00000000-0004-0000-0900-000057040000}"/>
    <hyperlink ref="L570" r:id="rId1113" display="https://adsmanager.facebook.com/adsmanager/manage/campaigns/edit/standalone?act=766589657993298&amp;selected_campaign_ids=120228711977590235" xr:uid="{00000000-0004-0000-0900-000058040000}"/>
    <hyperlink ref="D571" r:id="rId1114" display="https://wa.me/6288980619907" xr:uid="{00000000-0004-0000-0900-000059040000}"/>
    <hyperlink ref="L571" r:id="rId1115" display="https://adsmanager.facebook.com/adsmanager/manage/campaigns/edit/standalone?act=766589657993298&amp;selected_campaign_ids=120228753116090235" xr:uid="{00000000-0004-0000-0900-00005A040000}"/>
    <hyperlink ref="D572" r:id="rId1116" display="https://wa.me/6282211473253" xr:uid="{00000000-0004-0000-0900-00005B040000}"/>
    <hyperlink ref="L572" r:id="rId1117" display="https://adsmanager.facebook.com/adsmanager/manage/campaigns/edit/standalone?act=766589657993298&amp;selected_campaign_ids=120228787960370235" xr:uid="{00000000-0004-0000-0900-00005C040000}"/>
    <hyperlink ref="D573" r:id="rId1118" display="https://wa.me/62818763108" xr:uid="{00000000-0004-0000-0900-00005D040000}"/>
    <hyperlink ref="L573" r:id="rId1119" display="https://adsmanager.facebook.com/adsmanager/manage/campaigns/edit/standalone?act=766589657993298&amp;selected_campaign_ids=120228848825870235" xr:uid="{00000000-0004-0000-0900-00005E040000}"/>
    <hyperlink ref="D574" r:id="rId1120" display="https://wa.me/6281290414113" xr:uid="{00000000-0004-0000-0900-00005F040000}"/>
    <hyperlink ref="L574" r:id="rId1121" display="https://adsmanager.facebook.com/adsmanager/manage/campaigns/edit/standalone?act=766589657993298&amp;selected_campaign_ids=120228848957610235" xr:uid="{00000000-0004-0000-0900-000060040000}"/>
    <hyperlink ref="D575" r:id="rId1122" display="https://wa.me/6282124027899" xr:uid="{00000000-0004-0000-0900-000061040000}"/>
    <hyperlink ref="L575" r:id="rId1123" display="https://adsmanager.facebook.com/adsmanager/manage/campaigns/edit/standalone?act=766589657993298&amp;selected_campaign_ids=120228849272030235" xr:uid="{00000000-0004-0000-0900-000062040000}"/>
    <hyperlink ref="D576" r:id="rId1124" display="https://wa.me/6285715856120" xr:uid="{00000000-0004-0000-0900-000063040000}"/>
    <hyperlink ref="L576" r:id="rId1125" display="https://adsmanager.facebook.com/adsmanager/manage/campaigns/edit/standalone?act=766589657993298&amp;selected_campaign_ids=120228956634140235" xr:uid="{00000000-0004-0000-0900-000064040000}"/>
    <hyperlink ref="L577" r:id="rId1126" display="https://adsmanager.facebook.com/adsmanager/manage/campaigns/edit/standalone?act=766589657993298&amp;selected_campaign_ids=120228960290140235" xr:uid="{00000000-0004-0000-0900-000065040000}"/>
    <hyperlink ref="D578" r:id="rId1127" display="https://wa.me/62895800343940" xr:uid="{00000000-0004-0000-0900-000066040000}"/>
    <hyperlink ref="L578" r:id="rId1128" display="https://adsmanager.facebook.com/adsmanager/manage/campaigns/edit/standalone?act=766589657993298&amp;selected_campaign_ids=120228977263800235" xr:uid="{00000000-0004-0000-0900-000067040000}"/>
    <hyperlink ref="D579" r:id="rId1129" display="https://wa.me/6281351666729" xr:uid="{00000000-0004-0000-0900-000068040000}"/>
    <hyperlink ref="L579" r:id="rId1130" display="https://adsmanager.facebook.com/adsmanager/manage/campaigns/edit/standalone?act=766589657993298&amp;selected_campaign_ids=120228977541530235" xr:uid="{00000000-0004-0000-0900-000069040000}"/>
    <hyperlink ref="D580" r:id="rId1131" display="https://wa.me/6282184019830" xr:uid="{00000000-0004-0000-0900-00006A040000}"/>
    <hyperlink ref="L580" r:id="rId1132" display="https://adsmanager.facebook.com/adsmanager/manage/campaigns/edit/standalone?act=766589657993298&amp;selected_campaign_ids=120229018787610235" xr:uid="{00000000-0004-0000-0900-00006B040000}"/>
    <hyperlink ref="D581" r:id="rId1133" display="https://wa.me/6281214999292" xr:uid="{00000000-0004-0000-0900-00006C040000}"/>
    <hyperlink ref="L581" r:id="rId1134" display="https://adsmanager.facebook.com/adsmanager/manage/campaigns/edit/standalone?act=766589657993298&amp;selected_campaign_ids=120229036686860235" xr:uid="{00000000-0004-0000-0900-00006D040000}"/>
    <hyperlink ref="D582" r:id="rId1135" display="https://wa.me/6282111180648" xr:uid="{00000000-0004-0000-0900-00006E040000}"/>
    <hyperlink ref="L582" r:id="rId1136" display="https://adsmanager.facebook.com/adsmanager/manage/campaigns/edit/standalone?act=766589657993298&amp;selected_campaign_ids=120229074253780235" xr:uid="{00000000-0004-0000-0900-00006F040000}"/>
    <hyperlink ref="D583" r:id="rId1137" display="https://wa.me/628112999165" xr:uid="{00000000-0004-0000-0900-000070040000}"/>
    <hyperlink ref="L583" r:id="rId1138" display="https://adsmanager.facebook.com/adsmanager/manage/campaigns/edit/standalone?act=766589657993298&amp;selected_campaign_ids=120229076677840235" xr:uid="{00000000-0004-0000-0900-000071040000}"/>
    <hyperlink ref="L584" r:id="rId1139" display="https://adsmanager.facebook.com/adsmanager/manage/campaigns/edit/standalone?act=766589657993298&amp;selected_campaign_ids=120229094467260235" xr:uid="{00000000-0004-0000-0900-000072040000}"/>
    <hyperlink ref="D585" r:id="rId1140" display="https://wa.me/6281384442619" xr:uid="{00000000-0004-0000-0900-000073040000}"/>
    <hyperlink ref="L585" r:id="rId1141" display="https://adsmanager.facebook.com/adsmanager/manage/campaigns/edit/standalone?act=766589657993298&amp;selected_campaign_ids=120229115814120235" xr:uid="{00000000-0004-0000-0900-000074040000}"/>
    <hyperlink ref="D586" r:id="rId1142" display="https://wa.me/6281213766426" xr:uid="{00000000-0004-0000-0900-000075040000}"/>
    <hyperlink ref="L586" r:id="rId1143" display="https://adsmanager.facebook.com/adsmanager/manage/campaigns/edit/standalone?act=766589657993298&amp;selected_campaign_ids=120229145167880235" xr:uid="{00000000-0004-0000-0900-000076040000}"/>
    <hyperlink ref="D587" r:id="rId1144" display="https://wa.me/6285279489086" xr:uid="{00000000-0004-0000-0900-000077040000}"/>
    <hyperlink ref="L587" r:id="rId1145" display="https://adsmanager.facebook.com/adsmanager/manage/campaigns/edit/standalone?act=766589657993298&amp;selected_campaign_ids=120229145408470235" xr:uid="{00000000-0004-0000-0900-000078040000}"/>
    <hyperlink ref="D588" r:id="rId1146" display="https://wa.me/6289525439559" xr:uid="{00000000-0004-0000-0900-000079040000}"/>
    <hyperlink ref="L588" r:id="rId1147" display="https://adsmanager.facebook.com/adsmanager/manage/campaigns/edit/standalone?act=766589657993298&amp;selected_campaign_ids=120229146041110235" xr:uid="{00000000-0004-0000-0900-00007A040000}"/>
    <hyperlink ref="C589" r:id="rId1148" display="http://primagriya.com/" xr:uid="{00000000-0004-0000-0900-00007B040000}"/>
    <hyperlink ref="D589" r:id="rId1149" display="https://wa.me/6281239874761" xr:uid="{00000000-0004-0000-0900-00007C040000}"/>
    <hyperlink ref="L589" r:id="rId1150" display="https://adsmanager.facebook.com/adsmanager/manage/campaigns/edit/standalone?act=766589657993298&amp;selected_campaign_ids=120229218876160235" xr:uid="{00000000-0004-0000-0900-00007D040000}"/>
    <hyperlink ref="D590" r:id="rId1151" display="https://wa.me/6281394618785" xr:uid="{00000000-0004-0000-0900-00007E040000}"/>
    <hyperlink ref="L590" r:id="rId1152" display="https://adsmanager.facebook.com/adsmanager/manage/campaigns/edit/standalone?act=766589657993298&amp;selected_campaign_ids=120229219083550235" xr:uid="{00000000-0004-0000-0900-00007F040000}"/>
    <hyperlink ref="D591" r:id="rId1153" display="https://wa.me/6281310204991" xr:uid="{00000000-0004-0000-0900-000080040000}"/>
    <hyperlink ref="L591" r:id="rId1154" display="https://adsmanager.facebook.com/adsmanager/manage/campaigns/edit/standalone?act=766589657993298&amp;selected_campaign_ids=120229221136410235" xr:uid="{00000000-0004-0000-0900-000081040000}"/>
    <hyperlink ref="D592" r:id="rId1155" display="https://wa.me/6285814054475" xr:uid="{00000000-0004-0000-0900-000082040000}"/>
    <hyperlink ref="L592" r:id="rId1156" display="https://adsmanager.facebook.com/adsmanager/manage/campaigns/edit/standalone?act=766589657993298&amp;selected_campaign_ids=120229274552110235" xr:uid="{00000000-0004-0000-0900-000083040000}"/>
    <hyperlink ref="D593" r:id="rId1157" display="https://wa.me/6282111000133" xr:uid="{00000000-0004-0000-0900-000084040000}"/>
    <hyperlink ref="L593" r:id="rId1158" display="https://adsmanager.facebook.com/adsmanager/manage/campaigns/edit/standalone?act=766589657993298&amp;selected_campaign_ids=120229312414330235" xr:uid="{00000000-0004-0000-0900-000085040000}"/>
    <hyperlink ref="D594" r:id="rId1159" display="https://wa.me/62812" xr:uid="{00000000-0004-0000-0900-000086040000}"/>
    <hyperlink ref="L594" r:id="rId1160" display="https://adsmanager.facebook.com/adsmanager/manage/campaigns/edit/standalone?act=766589657993298&amp;selected_campaign_ids=120229313795910235" xr:uid="{00000000-0004-0000-0900-000087040000}"/>
    <hyperlink ref="D595" r:id="rId1161" display="https://wa.me/6285853370682" xr:uid="{00000000-0004-0000-0900-000088040000}"/>
    <hyperlink ref="L595" r:id="rId1162" display="https://adsmanager.facebook.com/adsmanager/manage/campaigns/edit/standalone?act=766589657993298&amp;selected_campaign_ids=120229315008770235" xr:uid="{00000000-0004-0000-0900-000089040000}"/>
    <hyperlink ref="L596" r:id="rId1163" display="https://adsmanager.facebook.com/adsmanager/manage/campaigns/edit/standalone?act=766589657993298&amp;selected_campaign_ids=120229445583580235" xr:uid="{00000000-0004-0000-0900-00008A040000}"/>
    <hyperlink ref="D597" r:id="rId1164" display="https://wa.me/6282310465999" xr:uid="{00000000-0004-0000-0900-00008B040000}"/>
    <hyperlink ref="L597" r:id="rId1165" display="https://adsmanager.facebook.com/adsmanager/manage/campaigns/edit/standalone?act=766589657993298&amp;selected_campaign_ids=120229445583580235" xr:uid="{00000000-0004-0000-0900-00008C040000}"/>
    <hyperlink ref="L598" r:id="rId1166" display="https://adsmanager.facebook.com/adsmanager/manage/campaigns/edit/standalone?act=766589657993298&amp;selected_campaign_ids=120229446391380235" xr:uid="{00000000-0004-0000-0900-00008D040000}"/>
    <hyperlink ref="D599" r:id="rId1167" display="https://wa.me/6285811444456" xr:uid="{00000000-0004-0000-0900-00008E040000}"/>
    <hyperlink ref="L599" r:id="rId1168" display="https://adsmanager.facebook.com/adsmanager/manage/campaigns/edit/standalone?act=766589657993298&amp;selected_campaign_ids=120229446391380235" xr:uid="{00000000-0004-0000-0900-00008F040000}"/>
    <hyperlink ref="L600" r:id="rId1169" display="https://adsmanager.facebook.com/adsmanager/manage/campaigns/edit/standalone?act=766589657993298&amp;selected_campaign_ids=120229482872540235" xr:uid="{00000000-0004-0000-0900-000090040000}"/>
    <hyperlink ref="D601" r:id="rId1170" display="https://wa.me/6285169411418" xr:uid="{00000000-0004-0000-0900-000091040000}"/>
    <hyperlink ref="L601" r:id="rId1171" display="https://adsmanager.facebook.com/adsmanager/manage/campaigns/edit/standalone?act=766589657993298&amp;selected_campaign_ids=120229482872540235" xr:uid="{00000000-0004-0000-0900-000092040000}"/>
    <hyperlink ref="D602" r:id="rId1172" display="https://wa.me/6285186029090" xr:uid="{00000000-0004-0000-0900-000093040000}"/>
    <hyperlink ref="L602" r:id="rId1173" display="https://adsmanager.facebook.com/adsmanager/manage/campaigns/edit/standalone?act=766589657993298&amp;selected_campaign_ids=120229500053770235" xr:uid="{00000000-0004-0000-0900-000094040000}"/>
    <hyperlink ref="D603" r:id="rId1174" display="https://wa.me/6281347321820" xr:uid="{00000000-0004-0000-0900-000095040000}"/>
    <hyperlink ref="L603" r:id="rId1175" display="https://adsmanager.facebook.com/adsmanager/manage/campaigns/edit/standalone?act=766589657993298&amp;selected_campaign_ids=120229570652970235" xr:uid="{00000000-0004-0000-0900-000096040000}"/>
    <hyperlink ref="D604" r:id="rId1176" display="https://wa.me/6288274090631" xr:uid="{00000000-0004-0000-0900-000097040000}"/>
    <hyperlink ref="L604" r:id="rId1177" display="https://adsmanager.facebook.com/adsmanager/manage/campaigns/edit/standalone?act=766589657993298&amp;selected_campaign_ids=120229584743470235" xr:uid="{00000000-0004-0000-0900-000098040000}"/>
    <hyperlink ref="D605" r:id="rId1178" display="https://wa.me/62895416149255" xr:uid="{00000000-0004-0000-0900-000099040000}"/>
    <hyperlink ref="L605" r:id="rId1179" display="https://adsmanager.facebook.com/adsmanager/manage/campaigns/edit/standalone?act=766589657993298&amp;selected_campaign_ids=120229628582980235" xr:uid="{00000000-0004-0000-0900-00009A040000}"/>
    <hyperlink ref="D606" r:id="rId1180" display="https://wa.me/6281284410725" xr:uid="{00000000-0004-0000-0900-00009B040000}"/>
    <hyperlink ref="L606" r:id="rId1181" display="https://adsmanager.facebook.com/adsmanager/manage/campaigns/edit/standalone?act=766589657993298&amp;selected_campaign_ids=120229629574190235" xr:uid="{00000000-0004-0000-0900-00009C040000}"/>
    <hyperlink ref="D607" r:id="rId1182" display="https://wa.me/6285716210341" xr:uid="{00000000-0004-0000-0900-00009D040000}"/>
    <hyperlink ref="L607" r:id="rId1183" display="https://adsmanager.facebook.com/adsmanager/manage/campaigns/edit/standalone?act=766589657993298&amp;selected_campaign_ids=120229629770720235" xr:uid="{00000000-0004-0000-0900-00009E040000}"/>
    <hyperlink ref="D608" r:id="rId1184" display="https://wa.me/62881038177010" xr:uid="{00000000-0004-0000-0900-00009F040000}"/>
    <hyperlink ref="L608" r:id="rId1185" display="https://adsmanager.facebook.com/adsmanager/manage/campaigns/edit/standalone?act=766589657993298&amp;selected_campaign_ids=120229631182820235" xr:uid="{00000000-0004-0000-0900-0000A0040000}"/>
    <hyperlink ref="D609" r:id="rId1186" display="https://wa.me/6281317170441" xr:uid="{00000000-0004-0000-0900-0000A1040000}"/>
    <hyperlink ref="L609" r:id="rId1187" display="https://adsmanager.facebook.com/adsmanager/manage/campaigns/edit/standalone?act=766589657993298&amp;selected_campaign_ids=120229632014130235" xr:uid="{00000000-0004-0000-0900-0000A2040000}"/>
    <hyperlink ref="D610" r:id="rId1188" display="https://wa.me/6287856230745" xr:uid="{00000000-0004-0000-0900-0000A3040000}"/>
    <hyperlink ref="L610" r:id="rId1189" display="https://adsmanager.facebook.com/adsmanager/manage/campaigns/edit/standalone?act=766589657993298&amp;selected_campaign_ids=120229662655330235" xr:uid="{00000000-0004-0000-0900-0000A4040000}"/>
    <hyperlink ref="D611" r:id="rId1190" display="https://wa.me/6281298551100" xr:uid="{00000000-0004-0000-0900-0000A5040000}"/>
    <hyperlink ref="L611" r:id="rId1191" display="https://adsmanager.facebook.com/adsmanager/manage/campaigns/edit/standalone?act=766589657993298&amp;selected_campaign_ids=120229663117000235" xr:uid="{00000000-0004-0000-0900-0000A6040000}"/>
    <hyperlink ref="D612" r:id="rId1192" display="https://wa.me/6281385001244" xr:uid="{00000000-0004-0000-0900-0000A7040000}"/>
    <hyperlink ref="L612" r:id="rId1193" display="https://adsmanager.facebook.com/adsmanager/manage/campaigns/edit/standalone?act=766589657993298&amp;selected_campaign_ids=120229663429770235" xr:uid="{00000000-0004-0000-0900-0000A8040000}"/>
    <hyperlink ref="D613" r:id="rId1194" display="https://wa.me/6287888068088" xr:uid="{00000000-0004-0000-0900-0000A9040000}"/>
    <hyperlink ref="L613" r:id="rId1195" display="https://adsmanager.facebook.com/adsmanager/manage/campaigns/edit/standalone?act=766589657993298&amp;selected_campaign_ids=120229663641750235" xr:uid="{00000000-0004-0000-0900-0000AA040000}"/>
    <hyperlink ref="D614" r:id="rId1196" display="https://wa.me/6287734875393" xr:uid="{00000000-0004-0000-0900-0000AB040000}"/>
    <hyperlink ref="L614" r:id="rId1197" display="https://adsmanager.facebook.com/adsmanager/manage/campaigns/edit/standalone?act=766589657993298&amp;selected_campaign_ids=120229705279970235" xr:uid="{00000000-0004-0000-0900-0000AC040000}"/>
    <hyperlink ref="D615" r:id="rId1198" display="https://wa.me/628116655901" xr:uid="{00000000-0004-0000-0900-0000AD040000}"/>
    <hyperlink ref="L615" r:id="rId1199" display="https://adsmanager.facebook.com/adsmanager/manage/campaigns/edit/standalone?act=766589657993298&amp;selected_campaign_ids=120229705795080235" xr:uid="{00000000-0004-0000-0900-0000AE040000}"/>
    <hyperlink ref="D616" r:id="rId1200" display="https://wa.me/6281311129854" xr:uid="{00000000-0004-0000-0900-0000AF040000}"/>
    <hyperlink ref="L616" r:id="rId1201" display="https://adsmanager.facebook.com/adsmanager/manage/campaigns/edit/standalone?act=766589657993298&amp;selected_campaign_ids=120229706693350235" xr:uid="{00000000-0004-0000-0900-0000B0040000}"/>
    <hyperlink ref="D617" r:id="rId1202" display="https://wa.me/6287878863000" xr:uid="{00000000-0004-0000-0900-0000B1040000}"/>
    <hyperlink ref="L617" r:id="rId1203" display="https://adsmanager.facebook.com/adsmanager/manage/campaigns/edit/standalone?act=766589657993298&amp;selected_campaign_ids=120229706818760235" xr:uid="{00000000-0004-0000-0900-0000B2040000}"/>
    <hyperlink ref="D618" r:id="rId1204" display="https://wa.me/62882015555380" xr:uid="{00000000-0004-0000-0900-0000B3040000}"/>
    <hyperlink ref="L618" r:id="rId1205" display="https://adsmanager.facebook.com/adsmanager/manage/campaigns/edit/standalone?act=766589657993298&amp;selected_campaign_ids=120229763003210235" xr:uid="{00000000-0004-0000-0900-0000B4040000}"/>
    <hyperlink ref="D619" r:id="rId1206" display="https://wa.me/6287821760177" xr:uid="{00000000-0004-0000-0900-0000B5040000}"/>
    <hyperlink ref="L619" r:id="rId1207" display="https://adsmanager.facebook.com/adsmanager/manage/campaigns/edit/standalone?act=766589657993298&amp;selected_campaign_ids=120229763209960235" xr:uid="{00000000-0004-0000-0900-0000B6040000}"/>
    <hyperlink ref="D620" r:id="rId1208" display="https://wa.me/62895329361572" xr:uid="{00000000-0004-0000-0900-0000B7040000}"/>
    <hyperlink ref="L620" r:id="rId1209" display="https://adsmanager.facebook.com/adsmanager/manage/campaigns/edit/standalone?act=766589657993298&amp;selected_campaign_ids=120229763540830235" xr:uid="{00000000-0004-0000-0900-0000B8040000}"/>
    <hyperlink ref="D621" r:id="rId1210" display="https://wa.me/6285268858846" xr:uid="{00000000-0004-0000-0900-0000B9040000}"/>
    <hyperlink ref="L621" r:id="rId1211" display="https://adsmanager.facebook.com/adsmanager/manage/campaigns/edit/standalone?act=766589657993298&amp;selected_campaign_ids=120229839202590235" xr:uid="{00000000-0004-0000-0900-0000BA040000}"/>
    <hyperlink ref="D622" r:id="rId1212" display="https://wa.me/6285888590045" xr:uid="{00000000-0004-0000-0900-0000BB040000}"/>
    <hyperlink ref="L622" r:id="rId1213" display="https://adsmanager.facebook.com/adsmanager/manage/campaigns/edit/standalone?act=766589657993298&amp;selected_campaign_ids=120229839631960235" xr:uid="{00000000-0004-0000-0900-0000BC040000}"/>
    <hyperlink ref="D623" r:id="rId1214" display="https://wa.me/6285955053385" xr:uid="{00000000-0004-0000-0900-0000BD040000}"/>
    <hyperlink ref="L623" r:id="rId1215" display="https://adsmanager.facebook.com/adsmanager/manage/campaigns/edit/standalone?act=766589657993298&amp;selected_campaign_ids=120229935832610235" xr:uid="{00000000-0004-0000-0900-0000BE040000}"/>
    <hyperlink ref="D624" r:id="rId1216" display="https://wa.me/6281325757271" xr:uid="{00000000-0004-0000-0900-0000BF040000}"/>
    <hyperlink ref="L624" r:id="rId1217" display="https://adsmanager.facebook.com/adsmanager/manage/campaigns/edit/standalone?act=766589657993298&amp;selected_campaign_ids=120229935945510235" xr:uid="{00000000-0004-0000-0900-0000C0040000}"/>
    <hyperlink ref="D625" r:id="rId1218" display="https://wa.me/6285778471007" xr:uid="{00000000-0004-0000-0900-0000C1040000}"/>
    <hyperlink ref="L625" r:id="rId1219" display="https://adsmanager.facebook.com/adsmanager/manage/campaigns/edit/standalone?act=766589657993298&amp;selected_campaign_ids=120230026230590235" xr:uid="{00000000-0004-0000-0900-0000C2040000}"/>
    <hyperlink ref="D626" r:id="rId1220" display="https://wa.me/6285281921180" xr:uid="{00000000-0004-0000-0900-0000C3040000}"/>
    <hyperlink ref="L626" r:id="rId1221" display="https://adsmanager.facebook.com/adsmanager/manage/campaigns/edit/standalone?act=766589657993298&amp;selected_campaign_ids=120230026398020235" xr:uid="{00000000-0004-0000-0900-0000C4040000}"/>
    <hyperlink ref="C627" r:id="rId1222" display="http://derra.id/" xr:uid="{00000000-0004-0000-0900-0000C5040000}"/>
    <hyperlink ref="L627" r:id="rId1223" display="https://adsmanager.facebook.com/adsmanager/manage/campaigns/edit/standalone?act=766589657993298&amp;selected_campaign_ids=120230028166360235" xr:uid="{00000000-0004-0000-0900-0000C6040000}"/>
    <hyperlink ref="D628" r:id="rId1224" display="https://wa.me/6282299236521" xr:uid="{00000000-0004-0000-0900-0000C7040000}"/>
    <hyperlink ref="L628" r:id="rId1225" display="https://adsmanager.facebook.com/adsmanager/manage/campaigns/edit/standalone?act=766589657993298&amp;selected_campaign_ids=120230031655260235" xr:uid="{00000000-0004-0000-0900-0000C8040000}"/>
    <hyperlink ref="D629" r:id="rId1226" display="https://wa.me/6285921009099" xr:uid="{00000000-0004-0000-0900-0000C9040000}"/>
    <hyperlink ref="L629" r:id="rId1227" display="https://adsmanager.facebook.com/adsmanager/manage/campaigns/edit/standalone?act=766589657993298&amp;selected_campaign_ids=120230138850420235" xr:uid="{00000000-0004-0000-0900-0000CA040000}"/>
    <hyperlink ref="D630" r:id="rId1228" display="https://wa.me/6281258553437" xr:uid="{00000000-0004-0000-0900-0000CB040000}"/>
    <hyperlink ref="L630" r:id="rId1229" display="https://adsmanager.facebook.com/adsmanager/manage/campaigns/edit/standalone?act=766589657993298&amp;selected_campaign_ids=120230250559660235" xr:uid="{00000000-0004-0000-0900-0000CC040000}"/>
    <hyperlink ref="D631" r:id="rId1230" display="https://wa.me/6285373309275" xr:uid="{00000000-0004-0000-0900-0000CD040000}"/>
    <hyperlink ref="L631" r:id="rId1231" display="https://adsmanager.facebook.com/adsmanager/manage/campaigns/edit/standalone?act=766589657993298&amp;selected_campaign_ids=120230348158250235" xr:uid="{00000000-0004-0000-0900-0000CE040000}"/>
    <hyperlink ref="D632" r:id="rId1232" display="https://wa.me/6281321528899" xr:uid="{00000000-0004-0000-0900-0000CF040000}"/>
    <hyperlink ref="L632" r:id="rId1233" display="https://adsmanager.facebook.com/adsmanager/manage/campaigns/edit/standalone?act=766589657993298&amp;selected_campaign_ids=120230348327900235" xr:uid="{00000000-0004-0000-0900-0000D0040000}"/>
    <hyperlink ref="D633" r:id="rId1234" display="https://wa.me/62895632627969" xr:uid="{00000000-0004-0000-0900-0000D1040000}"/>
    <hyperlink ref="L633" r:id="rId1235" display="https://adsmanager.facebook.com/adsmanager/manage/campaigns/edit/standalone?act=766589657993298&amp;selected_campaign_ids=120230396785660235" xr:uid="{00000000-0004-0000-0900-0000D2040000}"/>
    <hyperlink ref="D634" r:id="rId1236" display="https://wa.me/6285893658659" xr:uid="{00000000-0004-0000-0900-0000D3040000}"/>
    <hyperlink ref="L634" r:id="rId1237" display="https://adsmanager.facebook.com/adsmanager/manage/campaigns/edit/standalone?act=766589657993298&amp;selected_campaign_ids=120230462264890235" xr:uid="{00000000-0004-0000-0900-0000D4040000}"/>
    <hyperlink ref="D635" r:id="rId1238" display="https://wa.me/6282297965454" xr:uid="{00000000-0004-0000-0900-0000D5040000}"/>
    <hyperlink ref="L635" r:id="rId1239" display="https://adsmanager.facebook.com/adsmanager/manage/campaigns/edit/standalone?act=766589657993298&amp;selected_campaign_ids=120230462474680235" xr:uid="{00000000-0004-0000-0900-0000D6040000}"/>
    <hyperlink ref="D636" r:id="rId1240" display="https://wa.me/6285785858869" xr:uid="{00000000-0004-0000-0900-0000D7040000}"/>
    <hyperlink ref="L636" r:id="rId1241" display="https://adsmanager.facebook.com/adsmanager/manage/campaigns/edit/standalone?act=766589657993298&amp;selected_campaign_ids=120230462746020235" xr:uid="{00000000-0004-0000-0900-0000D8040000}"/>
    <hyperlink ref="D637" r:id="rId1242" display="https://wa.me/6282177410110" xr:uid="{00000000-0004-0000-0900-0000D9040000}"/>
    <hyperlink ref="L637" r:id="rId1243" display="https://adsmanager.facebook.com/adsmanager/manage/campaigns/edit/standalone?act=766589657993298&amp;selected_campaign_ids=120230463035880235" xr:uid="{00000000-0004-0000-0900-0000DA040000}"/>
    <hyperlink ref="D638" r:id="rId1244" display="https://wa.me/6282164564557" xr:uid="{00000000-0004-0000-0900-0000DB040000}"/>
    <hyperlink ref="L638" r:id="rId1245" display="https://adsmanager.facebook.com/adsmanager/manage/campaigns/edit/standalone?act=766589657993298&amp;selected_campaign_ids=120230463174070235" xr:uid="{00000000-0004-0000-0900-0000DC040000}"/>
    <hyperlink ref="D639" r:id="rId1246" display="https://wa.me/62895635983361" xr:uid="{00000000-0004-0000-0900-0000DD040000}"/>
    <hyperlink ref="L639" r:id="rId1247" display="https://adsmanager.facebook.com/adsmanager/manage/campaigns/edit/standalone?act=766589657993298&amp;selected_campaign_ids=120230531310920235" xr:uid="{00000000-0004-0000-0900-0000DE040000}"/>
    <hyperlink ref="D640" r:id="rId1248" display="https://wa.me/6281230288300" xr:uid="{00000000-0004-0000-0900-0000DF040000}"/>
    <hyperlink ref="L640" r:id="rId1249" display="https://adsmanager.facebook.com/adsmanager/manage/campaigns/edit/standalone?act=766589657993298&amp;selected_campaign_ids=120230607617770235" xr:uid="{00000000-0004-0000-0900-0000E0040000}"/>
    <hyperlink ref="D641" r:id="rId1250" display="https://wa.me/6281326160059" xr:uid="{00000000-0004-0000-0900-0000E1040000}"/>
    <hyperlink ref="L641" r:id="rId1251" display="https://adsmanager.facebook.com/adsmanager/manage/campaigns/edit/standalone?act=766589657993298&amp;selected_campaign_ids=120230608770750235" xr:uid="{00000000-0004-0000-0900-0000E2040000}"/>
    <hyperlink ref="D642" r:id="rId1252" display="https://wa.me/6287709999980" xr:uid="{00000000-0004-0000-0900-0000E3040000}"/>
    <hyperlink ref="L642" r:id="rId1253" display="https://adsmanager.facebook.com/adsmanager/manage/campaigns/edit/standalone?act=766589657993298&amp;selected_campaign_ids=120230681195060235" xr:uid="{00000000-0004-0000-0900-0000E4040000}"/>
    <hyperlink ref="D643" r:id="rId1254" display="https://wa.me/6285737375137" xr:uid="{00000000-0004-0000-0900-0000E5040000}"/>
    <hyperlink ref="L643" r:id="rId1255" display="https://adsmanager.facebook.com/adsmanager/manage/campaigns/edit/standalone?act=766589657993298&amp;selected_campaign_ids=120230681708590235" xr:uid="{00000000-0004-0000-0900-0000E6040000}"/>
    <hyperlink ref="D644" r:id="rId1256" display="https://wa.me/6282384370009" xr:uid="{00000000-0004-0000-0900-0000E7040000}"/>
    <hyperlink ref="L644" r:id="rId1257" display="https://adsmanager.facebook.com/adsmanager/manage/campaigns/edit/standalone?act=766589657993298&amp;selected_campaign_ids=120230688221810235" xr:uid="{00000000-0004-0000-0900-0000E8040000}"/>
    <hyperlink ref="D645" r:id="rId1258" display="https://wa.me/6282322308711" xr:uid="{00000000-0004-0000-0900-0000E9040000}"/>
    <hyperlink ref="L645" r:id="rId1259" display="https://adsmanager.facebook.com/adsmanager/manage/campaigns/edit/standalone?act=766589657993298&amp;selected_campaign_ids=120230750875670235" xr:uid="{00000000-0004-0000-0900-0000EA040000}"/>
    <hyperlink ref="D646" r:id="rId1260" display="https://wa.me/6285694618282" xr:uid="{00000000-0004-0000-0900-0000EB040000}"/>
    <hyperlink ref="L646" r:id="rId1261" display="https://adsmanager.facebook.com/adsmanager/manage/campaigns/edit/standalone?act=766589657993298&amp;selected_campaign_ids=120230789620270235" xr:uid="{00000000-0004-0000-0900-0000EC040000}"/>
    <hyperlink ref="D647" r:id="rId1262" display="https://wa.me/6289609613105" xr:uid="{00000000-0004-0000-0900-0000ED040000}"/>
    <hyperlink ref="L647" r:id="rId1263" display="https://adsmanager.facebook.com/adsmanager/manage/campaigns/edit/standalone?act=766589657993298&amp;selected_campaign_ids=120230838084460235" xr:uid="{00000000-0004-0000-0900-0000EE040000}"/>
    <hyperlink ref="D648" r:id="rId1264" display="https://wa.me/6285767074516" xr:uid="{00000000-0004-0000-0900-0000EF040000}"/>
    <hyperlink ref="L648" r:id="rId1265" display="https://adsmanager.facebook.com/adsmanager/manage/campaigns/edit/standalone?act=766589657993298&amp;selected_campaign_ids=120230838244790235" xr:uid="{00000000-0004-0000-0900-0000F0040000}"/>
    <hyperlink ref="D649" r:id="rId1266" display="https://wa.me/6282130129819" xr:uid="{00000000-0004-0000-0900-0000F1040000}"/>
    <hyperlink ref="L649" r:id="rId1267" display="https://adsmanager.facebook.com/adsmanager/manage/campaigns/edit/standalone?act=766589657993298&amp;selected_campaign_ids=120231018888730235" xr:uid="{00000000-0004-0000-0900-0000F2040000}"/>
    <hyperlink ref="D650" r:id="rId1268" display="https://wa.me/6285888590045" xr:uid="{00000000-0004-0000-0900-0000F3040000}"/>
    <hyperlink ref="L650" r:id="rId1269" display="https://adsmanager.facebook.com/adsmanager/manage/campaigns/edit/standalone?act=766589657993298&amp;selected_campaign_ids=120231117427430235" xr:uid="{00000000-0004-0000-0900-0000F4040000}"/>
    <hyperlink ref="D651" r:id="rId1270" display="https://wa.me/6285888590045" xr:uid="{00000000-0004-0000-0900-0000F5040000}"/>
    <hyperlink ref="L651" r:id="rId1271" display="https://adsmanager.facebook.com/adsmanager/manage/campaigns/edit/standalone?act=766589657993298&amp;selected_campaign_ids=120231117671640235" xr:uid="{00000000-0004-0000-0900-0000F6040000}"/>
    <hyperlink ref="D652" r:id="rId1272" display="https://wa.me/6285888590045" xr:uid="{00000000-0004-0000-0900-0000F7040000}"/>
    <hyperlink ref="L652" r:id="rId1273" display="https://adsmanager.facebook.com/adsmanager/manage/campaigns/edit/standalone?act=766589657993298&amp;selected_campaign_ids=120231117829430235" xr:uid="{00000000-0004-0000-0900-0000F8040000}"/>
    <hyperlink ref="D653" r:id="rId1274" display="https://wa.me/6283856759344" xr:uid="{00000000-0004-0000-0900-0000F9040000}"/>
    <hyperlink ref="L653" r:id="rId1275" display="https://adsmanager.facebook.com/adsmanager/manage/campaigns/edit/standalone?act=766589657993298&amp;selected_campaign_ids=120231200403370235" xr:uid="{00000000-0004-0000-0900-0000FA040000}"/>
    <hyperlink ref="D654" r:id="rId1276" display="https://wa.me/6281353489660" xr:uid="{00000000-0004-0000-0900-0000FB040000}"/>
    <hyperlink ref="L654" r:id="rId1277" display="https://adsmanager.facebook.com/adsmanager/manage/campaigns/edit/standalone?act=766589657993298&amp;selected_campaign_ids=120231247351770235" xr:uid="{00000000-0004-0000-0900-0000FC040000}"/>
    <hyperlink ref="D655" r:id="rId1278" display="https://wa.me/6282236053835" xr:uid="{00000000-0004-0000-0900-0000FD040000}"/>
    <hyperlink ref="L655" r:id="rId1279" display="https://adsmanager.facebook.com/adsmanager/manage/campaigns/edit/standalone?act=766589657993298&amp;selected_campaign_ids=120231247426310235" xr:uid="{00000000-0004-0000-0900-0000FE040000}"/>
    <hyperlink ref="D656" r:id="rId1280" display="https://wa.me/6285814213281" xr:uid="{00000000-0004-0000-0900-0000FF040000}"/>
    <hyperlink ref="L656" r:id="rId1281" display="https://adsmanager.facebook.com/adsmanager/manage/campaigns/edit/standalone?act=766589657993298&amp;selected_campaign_ids=120231247466460235" xr:uid="{00000000-0004-0000-0900-000000050000}"/>
    <hyperlink ref="D657" r:id="rId1282" display="https://wa.me/62895321637812" xr:uid="{00000000-0004-0000-0900-000001050000}"/>
    <hyperlink ref="L657" r:id="rId1283" display="https://adsmanager.facebook.com/adsmanager/manage/campaigns/edit/standalone?act=766589657993298&amp;selected_campaign_ids=120231247515380235" xr:uid="{00000000-0004-0000-0900-000002050000}"/>
    <hyperlink ref="D658" r:id="rId1284" display="https://wa.me/628122102657" xr:uid="{00000000-0004-0000-0900-000003050000}"/>
    <hyperlink ref="L658" r:id="rId1285" display="https://adsmanager.facebook.com/adsmanager/manage/campaigns/edit/standalone?act=766589657993298&amp;selected_campaign_ids=120231287389280235" xr:uid="{00000000-0004-0000-0900-000004050000}"/>
    <hyperlink ref="D659" r:id="rId1286" display="https://wa.me/6281323291817" xr:uid="{00000000-0004-0000-0900-000005050000}"/>
    <hyperlink ref="L659" r:id="rId1287" display="https://adsmanager.facebook.com/adsmanager/manage/campaigns/edit/standalone?act=766589657993298&amp;selected_campaign_ids=120231313504010235" xr:uid="{00000000-0004-0000-0900-000006050000}"/>
    <hyperlink ref="D660" r:id="rId1288" display="https://wa.me/6285100570275" xr:uid="{00000000-0004-0000-0900-000007050000}"/>
    <hyperlink ref="L660" r:id="rId1289" display="https://adsmanager.facebook.com/adsmanager/manage/campaigns/edit/standalone?act=766589657993298&amp;selected_campaign_ids=120231314779900235" xr:uid="{00000000-0004-0000-0900-000008050000}"/>
    <hyperlink ref="D661" r:id="rId1290" display="https://wa.me/6287768646729" xr:uid="{00000000-0004-0000-0900-000009050000}"/>
    <hyperlink ref="L661" r:id="rId1291" display="https://adsmanager.facebook.com/adsmanager/manage/campaigns/edit/standalone?act=766589657993298&amp;selected_campaign_ids=120231375225040235" xr:uid="{00000000-0004-0000-0900-00000A050000}"/>
    <hyperlink ref="D662" r:id="rId1292" display="https://wa.me/6283185169816" xr:uid="{00000000-0004-0000-0900-00000B050000}"/>
    <hyperlink ref="L662" r:id="rId1293" display="https://adsmanager.facebook.com/adsmanager/manage/campaigns/edit/standalone?act=766589657993298&amp;selected_campaign_ids=120231375499440235" xr:uid="{00000000-0004-0000-0900-00000C050000}"/>
    <hyperlink ref="D663" r:id="rId1294" display="https://wa.me/6282184823441" xr:uid="{00000000-0004-0000-0900-00000D050000}"/>
    <hyperlink ref="L663" r:id="rId1295" display="https://adsmanager.facebook.com/adsmanager/manage/campaigns/edit/standalone?act=766589657993298&amp;selected_campaign_ids=120231436280770235" xr:uid="{00000000-0004-0000-0900-00000E050000}"/>
    <hyperlink ref="D664" r:id="rId1296" display="https://wa.me/6281243260218" xr:uid="{00000000-0004-0000-0900-00000F050000}"/>
    <hyperlink ref="L664" r:id="rId1297" display="https://adsmanager.facebook.com/adsmanager/manage/campaigns/edit/standalone?act=766589657993298&amp;selected_campaign_ids=120231436393170235" xr:uid="{00000000-0004-0000-0900-000010050000}"/>
    <hyperlink ref="D665" r:id="rId1298" display="https://wa.me/628156516849" xr:uid="{00000000-0004-0000-0900-000011050000}"/>
    <hyperlink ref="L665" r:id="rId1299" display="https://adsmanager.facebook.com/adsmanager/manage/campaigns/edit/standalone?act=766589657993298&amp;selected_campaign_ids=120231436593960235" xr:uid="{00000000-0004-0000-0900-000012050000}"/>
    <hyperlink ref="D666" r:id="rId1300" display="https://wa.me/6281231728008" xr:uid="{00000000-0004-0000-0900-000013050000}"/>
    <hyperlink ref="L666" r:id="rId1301" display="https://adsmanager.facebook.com/adsmanager/manage/campaigns/edit/standalone?act=766589657993298&amp;selected_campaign_ids=120231467426820235" xr:uid="{00000000-0004-0000-0900-000014050000}"/>
    <hyperlink ref="D667" r:id="rId1302" display="https://wa.me/628997485901" xr:uid="{00000000-0004-0000-0900-000015050000}"/>
    <hyperlink ref="L667" r:id="rId1303" display="https://adsmanager.facebook.com/adsmanager/manage/campaigns/edit/standalone?act=766589657993298&amp;selected_campaign_ids=120231467644280235" xr:uid="{00000000-0004-0000-0900-000016050000}"/>
    <hyperlink ref="D668" r:id="rId1304" display="https://wa.me/6285268858846" xr:uid="{00000000-0004-0000-0900-000017050000}"/>
    <hyperlink ref="L668" r:id="rId1305" display="https://adsmanager.facebook.com/adsmanager/manage/campaigns/edit/standalone?act=766589657993298&amp;selected_campaign_ids=120231478764880235" xr:uid="{00000000-0004-0000-0900-000018050000}"/>
    <hyperlink ref="D669" r:id="rId1306" display="https://wa.me/6285925102815" xr:uid="{00000000-0004-0000-0900-000019050000}"/>
    <hyperlink ref="L669" r:id="rId1307" display="https://adsmanager.facebook.com/adsmanager/manage/campaigns/edit/standalone?act=766589657993298&amp;selected_campaign_ids=120231482568200235" xr:uid="{00000000-0004-0000-0900-00001A050000}"/>
    <hyperlink ref="D670" r:id="rId1308" display="https://wa.me/6282328059129" xr:uid="{00000000-0004-0000-0900-00001B050000}"/>
    <hyperlink ref="L670" r:id="rId1309" display="https://adsmanager.facebook.com/adsmanager/manage/campaigns/edit/standalone?act=766589657993298&amp;selected_campaign_ids=120231482670400235" xr:uid="{00000000-0004-0000-0900-00001C050000}"/>
    <hyperlink ref="D671" r:id="rId1310" display="https://wa.me/6281342202869" xr:uid="{00000000-0004-0000-0900-00001D050000}"/>
    <hyperlink ref="L671" r:id="rId1311" display="https://adsmanager.facebook.com/adsmanager/manage/campaigns/edit/standalone?act=766589657993298&amp;selected_campaign_ids=120231483671990235" xr:uid="{00000000-0004-0000-0900-00001E050000}"/>
    <hyperlink ref="D672" r:id="rId1312" display="https://wa.me/62895635983361" xr:uid="{00000000-0004-0000-0900-00001F050000}"/>
    <hyperlink ref="L672" r:id="rId1313" display="https://adsmanager.facebook.com/adsmanager/manage/campaigns/edit/standalone?act=766589657993298&amp;selected_campaign_ids=120231499303500235" xr:uid="{00000000-0004-0000-0900-000020050000}"/>
    <hyperlink ref="D673" r:id="rId1314" display="https://wa.me/6283117425214" xr:uid="{00000000-0004-0000-0900-000021050000}"/>
    <hyperlink ref="L673" r:id="rId1315" display="https://adsmanager.facebook.com/adsmanager/manage/campaigns/edit/standalone?act=766589657993298&amp;selected_campaign_ids=120231541589610235" xr:uid="{00000000-0004-0000-0900-000022050000}"/>
    <hyperlink ref="D674" r:id="rId1316" display="https://wa.me/6281215552664" xr:uid="{00000000-0004-0000-0900-000023050000}"/>
    <hyperlink ref="L674" r:id="rId1317" display="https://adsmanager.facebook.com/adsmanager/manage/campaigns/edit/standalone?act=766589657993298&amp;selected_campaign_ids=120231542288540235" xr:uid="{00000000-0004-0000-0900-000024050000}"/>
    <hyperlink ref="D675" r:id="rId1318" display="https://wa.me/6285217189178" xr:uid="{00000000-0004-0000-0900-000025050000}"/>
    <hyperlink ref="L675" r:id="rId1319" display="https://adsmanager.facebook.com/adsmanager/manage/campaigns/edit/standalone?act=766589657993298&amp;selected_campaign_ids=120231543097380235" xr:uid="{00000000-0004-0000-0900-000026050000}"/>
    <hyperlink ref="D676" r:id="rId1320" display="https://wa.me/62882008302847" xr:uid="{00000000-0004-0000-0900-000027050000}"/>
    <hyperlink ref="L676" r:id="rId1321" display="https://adsmanager.facebook.com/adsmanager/manage/campaigns/edit/standalone?act=766589657993298&amp;selected_campaign_ids=120231642082840235" xr:uid="{00000000-0004-0000-0900-000028050000}"/>
    <hyperlink ref="D677" r:id="rId1322" display="https://wa.me/6285640123555" xr:uid="{00000000-0004-0000-0900-000029050000}"/>
    <hyperlink ref="L677" r:id="rId1323" display="https://adsmanager.facebook.com/adsmanager/manage/campaigns/edit/standalone?act=766589657993298&amp;selected_campaign_ids=120231648405350235" xr:uid="{00000000-0004-0000-0900-00002A050000}"/>
    <hyperlink ref="D678" r:id="rId1324" display="https://wa.me/628971115941" xr:uid="{00000000-0004-0000-0900-00002B050000}"/>
    <hyperlink ref="L678" r:id="rId1325" display="https://adsmanager.facebook.com/adsmanager/manage/campaigns/edit/standalone?act=766589657993298&amp;selected_campaign_ids=120231651390020235" xr:uid="{00000000-0004-0000-0900-00002C050000}"/>
    <hyperlink ref="D679" r:id="rId1326" display="https://wa.me/6281990865975" xr:uid="{00000000-0004-0000-0900-00002D050000}"/>
    <hyperlink ref="L679" r:id="rId1327" display="https://adsmanager.facebook.com/adsmanager/manage/campaigns/edit/standalone?act=766589657993298&amp;selected_campaign_ids=120231755357370235" xr:uid="{00000000-0004-0000-0900-00002E050000}"/>
    <hyperlink ref="D680" r:id="rId1328" display="https://wa.me/6281222788601" xr:uid="{00000000-0004-0000-0900-00002F050000}"/>
    <hyperlink ref="L680" r:id="rId1329" display="https://adsmanager.facebook.com/adsmanager/manage/campaigns/edit/standalone?act=766589657993298&amp;selected_campaign_ids=120231900991410235" xr:uid="{00000000-0004-0000-0900-000030050000}"/>
    <hyperlink ref="D681" r:id="rId1330" display="https://wa.me/6285854789952" xr:uid="{00000000-0004-0000-0900-000031050000}"/>
    <hyperlink ref="L681" r:id="rId1331" display="https://adsmanager.facebook.com/adsmanager/manage/campaigns/edit/standalone?act=766589657993298&amp;selected_campaign_ids=120231901190220235" xr:uid="{00000000-0004-0000-0900-000032050000}"/>
    <hyperlink ref="D682" r:id="rId1332" display="https://wa.me/6281380503300" xr:uid="{00000000-0004-0000-0900-000033050000}"/>
    <hyperlink ref="L682" r:id="rId1333" display="https://adsmanager.facebook.com/adsmanager/manage/campaigns/edit/standalone?act=766589657993298&amp;selected_campaign_ids=120231901449320235" xr:uid="{00000000-0004-0000-0900-000034050000}"/>
    <hyperlink ref="D683" r:id="rId1334" display="https://wa.me/6285864637086" xr:uid="{00000000-0004-0000-0900-000035050000}"/>
    <hyperlink ref="L683" r:id="rId1335" display="https://adsmanager.facebook.com/adsmanager/manage/campaigns/edit/standalone?act=766589657993298&amp;selected_campaign_ids=120231901930330235" xr:uid="{00000000-0004-0000-0900-000036050000}"/>
    <hyperlink ref="D684" r:id="rId1336" display="https://wa.me/6285333355756" xr:uid="{00000000-0004-0000-0900-000037050000}"/>
    <hyperlink ref="L684" r:id="rId1337" display="https://adsmanager.facebook.com/adsmanager/manage/campaigns/edit/standalone?act=766589657993298&amp;selected_campaign_ids=120231968086600235" xr:uid="{00000000-0004-0000-0900-000038050000}"/>
    <hyperlink ref="D685" r:id="rId1338" display="https://wa.me/6285888452389" xr:uid="{00000000-0004-0000-0900-000039050000}"/>
    <hyperlink ref="L685" r:id="rId1339" display="https://adsmanager.facebook.com/adsmanager/manage/campaigns/edit/standalone?act=766589657993298&amp;selected_campaign_ids=120231968346310235" xr:uid="{00000000-0004-0000-0900-00003A050000}"/>
    <hyperlink ref="D686" r:id="rId1340" display="https://wa.me/6285100570275" xr:uid="{00000000-0004-0000-0900-00003B050000}"/>
    <hyperlink ref="L686" r:id="rId1341" display="https://adsmanager.facebook.com/adsmanager/manage/campaigns/edit/standalone?act=766589657993298&amp;selected_campaign_ids=120231968557870235" xr:uid="{00000000-0004-0000-0900-00003C050000}"/>
    <hyperlink ref="D687" r:id="rId1342" display="https://wa.me/6282111180648" xr:uid="{00000000-0004-0000-0900-00003D050000}"/>
    <hyperlink ref="L687" r:id="rId1343" display="https://adsmanager.facebook.com/adsmanager/manage/campaigns/edit/standalone?act=766589657993298&amp;selected_campaign_ids=120232028046030235" xr:uid="{00000000-0004-0000-0900-00003E050000}"/>
    <hyperlink ref="D688" r:id="rId1344" display="https://wa.me/6282171933337" xr:uid="{00000000-0004-0000-0900-00003F050000}"/>
    <hyperlink ref="L688" r:id="rId1345" display="https://adsmanager.facebook.com/adsmanager/manage/campaigns/edit/standalone?act=766589657993298&amp;selected_campaign_ids=120232028435550235" xr:uid="{00000000-0004-0000-0900-000040050000}"/>
    <hyperlink ref="D689" r:id="rId1346" display="https://wa.me/6285251757431" xr:uid="{00000000-0004-0000-0900-000041050000}"/>
    <hyperlink ref="L689" r:id="rId1347" display="https://adsmanager.facebook.com/adsmanager/manage/campaigns/edit/standalone?act=766589657993298&amp;selected_campaign_ids=120232105906320235" xr:uid="{00000000-0004-0000-0900-000042050000}"/>
    <hyperlink ref="D690" r:id="rId1348" display="https://wa.me/6282365004117" xr:uid="{00000000-0004-0000-0900-000043050000}"/>
    <hyperlink ref="L690" r:id="rId1349" display="https://adsmanager.facebook.com/adsmanager/manage/campaigns/edit/standalone?act=766589657993298&amp;selected_campaign_ids=120232106119620235" xr:uid="{00000000-0004-0000-0900-000044050000}"/>
    <hyperlink ref="D691" r:id="rId1350" display="https://wa.me/6289630527354" xr:uid="{00000000-0004-0000-0900-000045050000}"/>
    <hyperlink ref="L691" r:id="rId1351" display="https://adsmanager.facebook.com/adsmanager/manage/campaigns/edit/standalone?act=766589657993298&amp;selected_campaign_ids=120232238423920235" xr:uid="{00000000-0004-0000-0900-000046050000}"/>
    <hyperlink ref="D692" r:id="rId1352" display="https://wa.me/628970060010" xr:uid="{00000000-0004-0000-0900-000047050000}"/>
    <hyperlink ref="L692" r:id="rId1353" display="https://adsmanager.facebook.com/adsmanager/manage/campaigns/edit/standalone?act=766589657993298&amp;selected_campaign_ids=120232238598290235" xr:uid="{00000000-0004-0000-0900-000048050000}"/>
    <hyperlink ref="D693" r:id="rId1354" display="https://wa.me/6289508681093" xr:uid="{00000000-0004-0000-0900-000049050000}"/>
    <hyperlink ref="L693" r:id="rId1355" display="https://adsmanager.facebook.com/adsmanager/manage/campaigns/edit/standalone?act=766589657993298&amp;selected_campaign_ids=120232304884750235" xr:uid="{00000000-0004-0000-0900-00004A050000}"/>
    <hyperlink ref="D694" r:id="rId1356" display="https://wa.me/6285225512004" xr:uid="{00000000-0004-0000-0900-00004B050000}"/>
    <hyperlink ref="L694" r:id="rId1357" display="https://adsmanager.facebook.com/adsmanager/manage/campaigns/edit/standalone?act=766589657993298&amp;selected_campaign_ids=120232599183480235" xr:uid="{00000000-0004-0000-0900-00004C050000}"/>
    <hyperlink ref="D695" r:id="rId1358" display="https://wa.me/6281328881949" xr:uid="{00000000-0004-0000-0900-00004D050000}"/>
    <hyperlink ref="L695" r:id="rId1359" display="https://adsmanager.facebook.com/adsmanager/manage/campaigns/edit/standalone?act=766589657993298&amp;selected_campaign_ids=120232600848910235" xr:uid="{00000000-0004-0000-0900-00004E050000}"/>
    <hyperlink ref="D696" r:id="rId1360" display="https://wa.me/6281283204192" xr:uid="{00000000-0004-0000-0900-00004F050000}"/>
    <hyperlink ref="L696" r:id="rId1361" display="https://adsmanager.facebook.com/adsmanager/manage/campaigns/edit/standalone?act=766589657993298&amp;selected_campaign_ids=120232606675200235" xr:uid="{00000000-0004-0000-0900-000050050000}"/>
    <hyperlink ref="D697" r:id="rId1362" display="https://wa.me/6287778562681" xr:uid="{00000000-0004-0000-0900-000051050000}"/>
    <hyperlink ref="L697" r:id="rId1363" display="https://adsmanager.facebook.com/adsmanager/manage/campaigns/edit/standalone?act=766589657993298&amp;selected_campaign_ids=120232610636700235" xr:uid="{00000000-0004-0000-0900-000052050000}"/>
    <hyperlink ref="D698" r:id="rId1364" display="https://wa.me/6281351572278" xr:uid="{00000000-0004-0000-0900-000053050000}"/>
    <hyperlink ref="L698" r:id="rId1365" display="https://adsmanager.facebook.com/adsmanager/manage/campaigns/edit/standalone?act=766589657993298&amp;selected_campaign_ids=120232739904620235" xr:uid="{00000000-0004-0000-0900-000054050000}"/>
    <hyperlink ref="D699" r:id="rId1366" display="https://wa.me/6281543128320" xr:uid="{00000000-0004-0000-0900-000055050000}"/>
    <hyperlink ref="L699" r:id="rId1367" display="https://adsmanager.facebook.com/adsmanager/manage/campaigns/edit/standalone?act=766589657993298&amp;selected_campaign_ids=120232811191080235" xr:uid="{00000000-0004-0000-0900-000056050000}"/>
    <hyperlink ref="C700" r:id="rId1368" display="http://primagriya.com/" xr:uid="{00000000-0004-0000-0900-000057050000}"/>
    <hyperlink ref="D700" r:id="rId1369" display="https://wa.me/6281239874761" xr:uid="{00000000-0004-0000-0900-000058050000}"/>
    <hyperlink ref="L700" r:id="rId1370" display="https://adsmanager.facebook.com/adsmanager/manage/campaigns/edit/standalone?act=766589657993298&amp;selected_campaign_ids=120232811430490235" xr:uid="{00000000-0004-0000-0900-000059050000}"/>
    <hyperlink ref="D701" r:id="rId1371" display="https://wa.me/6281323207611" xr:uid="{00000000-0004-0000-0900-00005A050000}"/>
    <hyperlink ref="L701" r:id="rId1372" display="https://adsmanager.facebook.com/adsmanager/manage/campaigns/edit/standalone?act=766589657993298&amp;selected_campaign_ids=120232916950590235" xr:uid="{00000000-0004-0000-0900-00005B050000}"/>
    <hyperlink ref="D702" r:id="rId1373" display="https://wa.me/6282399721881" xr:uid="{00000000-0004-0000-0900-00005C050000}"/>
    <hyperlink ref="L702" r:id="rId1374" display="https://adsmanager.facebook.com/adsmanager/manage/campaigns/edit/standalone?act=766589657993298&amp;selected_campaign_ids=120232928017890235" xr:uid="{00000000-0004-0000-0900-00005D050000}"/>
    <hyperlink ref="D703" r:id="rId1375" display="https://wa.me/6282318568540" xr:uid="{00000000-0004-0000-0900-00005E050000}"/>
    <hyperlink ref="L703" r:id="rId1376" display="https://adsmanager.facebook.com/adsmanager/manage/campaigns/edit/standalone?act=766589657993298&amp;selected_campaign_ids=120232953213670235" xr:uid="{00000000-0004-0000-0900-00005F050000}"/>
    <hyperlink ref="D704" r:id="rId1377" display="https://wa.me/6281323291817" xr:uid="{00000000-0004-0000-0900-000060050000}"/>
    <hyperlink ref="L704" r:id="rId1378" display="https://adsmanager.facebook.com/adsmanager/manage/campaigns/edit/standalone?act=766589657993298&amp;selected_campaign_ids=120232953632150235" xr:uid="{00000000-0004-0000-0900-000061050000}"/>
    <hyperlink ref="D705" r:id="rId1379" display="https://wa.me/6283890485123" xr:uid="{00000000-0004-0000-0900-000062050000}"/>
    <hyperlink ref="L705" r:id="rId1380" display="https://adsmanager.facebook.com/adsmanager/manage/campaigns/edit/standalone?act=766589657993298&amp;selected_campaign_ids=120232956559750235" xr:uid="{00000000-0004-0000-0900-000063050000}"/>
    <hyperlink ref="D706" r:id="rId1381" display="https://wa.me/6285272737979" xr:uid="{00000000-0004-0000-0900-000064050000}"/>
    <hyperlink ref="L706" r:id="rId1382" display="https://adsmanager.facebook.com/adsmanager/manage/campaigns/edit/standalone?act=766589657993298&amp;selected_campaign_ids=120232986647510235" xr:uid="{00000000-0004-0000-0900-000065050000}"/>
    <hyperlink ref="D707" r:id="rId1383" display="https://wa.me/62895420142524" xr:uid="{00000000-0004-0000-0900-000066050000}"/>
    <hyperlink ref="L707" r:id="rId1384" display="https://adsmanager.facebook.com/adsmanager/manage/campaigns/edit/standalone?act=766589657993298&amp;selected_campaign_ids=120232988169650235" xr:uid="{00000000-0004-0000-0900-000067050000}"/>
    <hyperlink ref="D708" r:id="rId1385" display="https://wa.me/6287871214170" xr:uid="{00000000-0004-0000-0900-000068050000}"/>
    <hyperlink ref="L708" r:id="rId1386" display="https://adsmanager.facebook.com/adsmanager/manage/campaigns/edit/standalone?act=766589657993298&amp;selected_campaign_ids=120233003413400235" xr:uid="{00000000-0004-0000-0900-000069050000}"/>
    <hyperlink ref="D709" r:id="rId1387" display="https://wa.me/6283188945188" xr:uid="{00000000-0004-0000-0900-00006A050000}"/>
    <hyperlink ref="L709" r:id="rId1388" display="https://adsmanager.facebook.com/adsmanager/manage/campaigns/edit/standalone?act=766589657993298&amp;selected_campaign_ids=120233003549470235" xr:uid="{00000000-0004-0000-0900-00006B050000}"/>
    <hyperlink ref="D710" r:id="rId1389" display="https://wa.me/6285602235618" xr:uid="{00000000-0004-0000-0900-00006C050000}"/>
    <hyperlink ref="L710" r:id="rId1390" display="https://adsmanager.facebook.com/adsmanager/manage/campaigns/edit/standalone?act=766589657993298&amp;selected_campaign_ids=120233049130950235" xr:uid="{00000000-0004-0000-0900-00006D050000}"/>
    <hyperlink ref="D711" r:id="rId1391" display="https://wa.me/6282195508557" xr:uid="{00000000-0004-0000-0900-00006E050000}"/>
    <hyperlink ref="L711" r:id="rId1392" display="https://adsmanager.facebook.com/adsmanager/manage/campaigns/edit/standalone?act=766589657993298&amp;selected_campaign_ids=120233101827990235" xr:uid="{00000000-0004-0000-0900-00006F050000}"/>
    <hyperlink ref="D712" r:id="rId1393" display="https://wa.me/6282364480929" xr:uid="{00000000-0004-0000-0900-000070050000}"/>
    <hyperlink ref="L712" r:id="rId1394" display="https://adsmanager.facebook.com/adsmanager/manage/campaigns/edit/standalone?act=766589657993298&amp;selected_campaign_ids=120233178619080235" xr:uid="{00000000-0004-0000-0900-000071050000}"/>
    <hyperlink ref="D713" r:id="rId1395" display="https://wa.me/6282111518881" xr:uid="{00000000-0004-0000-0900-000072050000}"/>
    <hyperlink ref="L713" r:id="rId1396" display="https://adsmanager.facebook.com/adsmanager/manage/campaigns/edit/standalone?act=766589657993298&amp;selected_campaign_ids=120233178781660235" xr:uid="{00000000-0004-0000-0900-000073050000}"/>
    <hyperlink ref="D714" r:id="rId1397" display="https://wa.me/6285161653332" xr:uid="{00000000-0004-0000-0900-000074050000}"/>
    <hyperlink ref="L714" r:id="rId1398" display="https://adsmanager.facebook.com/adsmanager/manage/campaigns/edit/standalone?act=766589657993298&amp;selected_campaign_ids=120233179681010235" xr:uid="{00000000-0004-0000-0900-000075050000}"/>
    <hyperlink ref="D715" r:id="rId1399" display="https://wa.me/6282224315700" xr:uid="{00000000-0004-0000-0900-000076050000}"/>
    <hyperlink ref="L715" r:id="rId1400" display="https://adsmanager.facebook.com/adsmanager/manage/campaigns/edit/standalone?act=768362231010540&amp;selected_campaign_ids=120227277507390731" xr:uid="{00000000-0004-0000-0900-000077050000}"/>
    <hyperlink ref="D716" r:id="rId1401" display="https://wa.me/6281575323811" xr:uid="{00000000-0004-0000-0900-000078050000}"/>
    <hyperlink ref="L716" r:id="rId1402" display="https://adsmanager.facebook.com/adsmanager/manage/campaigns/edit/standalone?act=768362231010540&amp;selected_campaign_ids=120227296626920731" xr:uid="{00000000-0004-0000-0900-000079050000}"/>
    <hyperlink ref="L717" r:id="rId1403" display="https://adsmanager.facebook.com/adsmanager/manage/campaigns/edit/standalone?act=768362231010540&amp;selected_campaign_ids=120227720523590731" xr:uid="{00000000-0004-0000-0900-00007A05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18"/>
  <sheetViews>
    <sheetView workbookViewId="0"/>
  </sheetViews>
  <sheetFormatPr defaultColWidth="12.5703125" defaultRowHeight="15.75" customHeight="1"/>
  <cols>
    <col min="1" max="1" width="15.140625" customWidth="1"/>
    <col min="2" max="2" width="31.42578125" customWidth="1"/>
  </cols>
  <sheetData>
    <row r="1" spans="1:5">
      <c r="A1" s="49" t="s">
        <v>12779</v>
      </c>
      <c r="B1" s="49" t="s">
        <v>12780</v>
      </c>
      <c r="E1" s="49" t="s">
        <v>30</v>
      </c>
    </row>
    <row r="2" spans="1:5">
      <c r="A2" s="49" t="s">
        <v>12781</v>
      </c>
      <c r="B2" s="144" t="s">
        <v>12782</v>
      </c>
      <c r="E2" s="145" t="s">
        <v>12783</v>
      </c>
    </row>
    <row r="3" spans="1:5">
      <c r="A3" s="49" t="s">
        <v>12784</v>
      </c>
      <c r="B3" s="49" t="s">
        <v>12785</v>
      </c>
      <c r="E3" s="145" t="s">
        <v>12786</v>
      </c>
    </row>
    <row r="4" spans="1:5">
      <c r="E4" s="145" t="s">
        <v>1711</v>
      </c>
    </row>
    <row r="5" spans="1:5">
      <c r="E5" s="145" t="s">
        <v>4481</v>
      </c>
    </row>
    <row r="6" spans="1:5">
      <c r="E6" s="145" t="s">
        <v>409</v>
      </c>
    </row>
    <row r="7" spans="1:5">
      <c r="E7" s="145" t="s">
        <v>12787</v>
      </c>
    </row>
    <row r="8" spans="1:5">
      <c r="E8" s="145" t="s">
        <v>12788</v>
      </c>
    </row>
    <row r="9" spans="1:5">
      <c r="E9" s="145" t="s">
        <v>409</v>
      </c>
    </row>
    <row r="10" spans="1:5">
      <c r="E10" s="145" t="s">
        <v>838</v>
      </c>
    </row>
    <row r="11" spans="1:5">
      <c r="E11" s="145" t="s">
        <v>12789</v>
      </c>
    </row>
    <row r="14" spans="1:5">
      <c r="E14" s="145"/>
    </row>
    <row r="16" spans="1:5">
      <c r="E16" s="145"/>
    </row>
    <row r="18" spans="5:5">
      <c r="E18" s="145"/>
    </row>
  </sheetData>
  <hyperlinks>
    <hyperlink ref="B2"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sheetPr>
  <dimension ref="A1:AC2794"/>
  <sheetViews>
    <sheetView workbookViewId="0"/>
  </sheetViews>
  <sheetFormatPr defaultColWidth="12.5703125" defaultRowHeight="15.75" customHeight="1"/>
  <cols>
    <col min="7" max="9" width="15.28515625" customWidth="1"/>
    <col min="10" max="10" width="19" customWidth="1"/>
    <col min="11" max="11" width="21.140625" customWidth="1"/>
    <col min="12" max="13" width="23.42578125" customWidth="1"/>
    <col min="14" max="14" width="109.5703125" customWidth="1"/>
  </cols>
  <sheetData>
    <row r="1" spans="1:29">
      <c r="A1" s="146" t="s">
        <v>3</v>
      </c>
      <c r="B1" s="147" t="s">
        <v>20</v>
      </c>
      <c r="C1" s="147" t="s">
        <v>4</v>
      </c>
      <c r="D1" s="147" t="s">
        <v>12790</v>
      </c>
      <c r="E1" s="147" t="s">
        <v>12791</v>
      </c>
      <c r="F1" s="147" t="s">
        <v>12792</v>
      </c>
      <c r="G1" s="147" t="s">
        <v>12792</v>
      </c>
      <c r="H1" s="147" t="s">
        <v>12793</v>
      </c>
      <c r="I1" s="147" t="s">
        <v>12794</v>
      </c>
      <c r="J1" s="147" t="s">
        <v>12795</v>
      </c>
      <c r="K1" s="147" t="s">
        <v>12796</v>
      </c>
      <c r="L1" s="147" t="s">
        <v>12797</v>
      </c>
      <c r="M1" s="147" t="s">
        <v>12798</v>
      </c>
      <c r="N1" s="147" t="s">
        <v>16</v>
      </c>
      <c r="O1" s="147" t="s">
        <v>17</v>
      </c>
      <c r="P1" s="147" t="s">
        <v>12799</v>
      </c>
      <c r="Q1" s="147" t="s">
        <v>12800</v>
      </c>
      <c r="R1" s="148"/>
      <c r="S1" s="148"/>
      <c r="T1" s="148"/>
      <c r="U1" s="148"/>
      <c r="V1" s="148"/>
      <c r="W1" s="148"/>
      <c r="X1" s="148"/>
      <c r="Y1" s="148"/>
      <c r="Z1" s="148"/>
      <c r="AA1" s="148"/>
      <c r="AB1" s="148"/>
      <c r="AC1" s="148"/>
    </row>
    <row r="2" spans="1:29">
      <c r="A2" s="146">
        <v>45817</v>
      </c>
      <c r="B2" s="147" t="s">
        <v>115</v>
      </c>
      <c r="C2" s="147">
        <v>1</v>
      </c>
      <c r="D2" s="147">
        <v>1</v>
      </c>
      <c r="E2" s="147"/>
      <c r="F2" s="147"/>
      <c r="G2" s="147"/>
      <c r="H2" s="147"/>
      <c r="I2" s="147"/>
      <c r="J2" s="147"/>
      <c r="K2" s="147"/>
      <c r="L2" s="147"/>
      <c r="M2" s="147"/>
      <c r="N2" s="147"/>
      <c r="O2" s="147"/>
      <c r="P2" s="147"/>
      <c r="Q2" s="147">
        <v>51</v>
      </c>
      <c r="R2" s="148"/>
      <c r="S2" s="148"/>
      <c r="T2" s="148"/>
      <c r="U2" s="148"/>
      <c r="V2" s="148"/>
      <c r="W2" s="148"/>
      <c r="X2" s="148"/>
      <c r="Y2" s="148"/>
      <c r="Z2" s="148"/>
      <c r="AA2" s="148"/>
      <c r="AB2" s="148"/>
      <c r="AC2" s="148"/>
    </row>
    <row r="3" spans="1:29">
      <c r="A3" s="146">
        <v>45818</v>
      </c>
      <c r="B3" s="147" t="s">
        <v>115</v>
      </c>
      <c r="C3" s="147">
        <v>1</v>
      </c>
      <c r="D3" s="147"/>
      <c r="E3" s="147">
        <v>1</v>
      </c>
      <c r="F3" s="147"/>
      <c r="G3" s="147"/>
      <c r="H3" s="147"/>
      <c r="I3" s="147"/>
      <c r="J3" s="147"/>
      <c r="K3" s="147"/>
      <c r="L3" s="147"/>
      <c r="M3" s="147"/>
      <c r="N3" s="147"/>
      <c r="O3" s="147"/>
      <c r="P3" s="147"/>
      <c r="Q3" s="147">
        <v>48</v>
      </c>
      <c r="R3" s="148"/>
      <c r="S3" s="148"/>
      <c r="T3" s="148"/>
      <c r="U3" s="148"/>
      <c r="V3" s="148"/>
      <c r="W3" s="148"/>
      <c r="X3" s="148"/>
      <c r="Y3" s="148"/>
      <c r="Z3" s="148"/>
      <c r="AA3" s="148"/>
      <c r="AB3" s="148"/>
      <c r="AC3" s="148"/>
    </row>
    <row r="4" spans="1:29">
      <c r="A4" s="146">
        <v>45819</v>
      </c>
      <c r="B4" s="147" t="s">
        <v>115</v>
      </c>
      <c r="C4" s="147">
        <v>3</v>
      </c>
      <c r="D4" s="147">
        <v>3</v>
      </c>
      <c r="E4" s="147"/>
      <c r="F4" s="147"/>
      <c r="G4" s="147"/>
      <c r="H4" s="147"/>
      <c r="I4" s="147"/>
      <c r="J4" s="147"/>
      <c r="K4" s="147"/>
      <c r="L4" s="147"/>
      <c r="M4" s="147"/>
      <c r="N4" s="147"/>
      <c r="O4" s="147"/>
      <c r="P4" s="147"/>
      <c r="Q4" s="147">
        <v>32</v>
      </c>
      <c r="R4" s="148"/>
      <c r="S4" s="148"/>
      <c r="T4" s="148"/>
      <c r="U4" s="148"/>
      <c r="V4" s="148"/>
      <c r="W4" s="148"/>
      <c r="X4" s="148"/>
      <c r="Y4" s="148"/>
      <c r="Z4" s="148"/>
      <c r="AA4" s="148"/>
      <c r="AB4" s="148"/>
      <c r="AC4" s="148"/>
    </row>
    <row r="5" spans="1:29" hidden="1">
      <c r="A5" s="146">
        <v>45817</v>
      </c>
      <c r="B5" s="147" t="s">
        <v>49</v>
      </c>
      <c r="C5" s="147"/>
      <c r="D5" s="147"/>
      <c r="E5" s="147"/>
      <c r="F5" s="147"/>
      <c r="G5" s="147"/>
      <c r="H5" s="147"/>
      <c r="I5" s="147"/>
      <c r="J5" s="147"/>
      <c r="K5" s="147"/>
      <c r="L5" s="147"/>
      <c r="M5" s="147"/>
      <c r="N5" s="147"/>
      <c r="O5" s="147"/>
      <c r="P5" s="147"/>
      <c r="Q5" s="147">
        <v>67</v>
      </c>
      <c r="R5" s="148"/>
      <c r="S5" s="148"/>
      <c r="T5" s="148"/>
      <c r="U5" s="148"/>
      <c r="V5" s="148"/>
      <c r="W5" s="148"/>
      <c r="X5" s="148"/>
      <c r="Y5" s="148"/>
      <c r="Z5" s="148"/>
      <c r="AA5" s="148"/>
      <c r="AB5" s="148"/>
      <c r="AC5" s="148"/>
    </row>
    <row r="6" spans="1:29" hidden="1">
      <c r="A6" s="146">
        <v>45818</v>
      </c>
      <c r="B6" s="147" t="s">
        <v>49</v>
      </c>
      <c r="C6" s="147"/>
      <c r="D6" s="147"/>
      <c r="E6" s="147"/>
      <c r="F6" s="147"/>
      <c r="G6" s="147"/>
      <c r="H6" s="147"/>
      <c r="I6" s="147"/>
      <c r="J6" s="147"/>
      <c r="K6" s="147"/>
      <c r="L6" s="147"/>
      <c r="M6" s="147"/>
      <c r="N6" s="147" t="s">
        <v>12801</v>
      </c>
      <c r="O6" s="147"/>
      <c r="P6" s="147"/>
      <c r="Q6" s="147">
        <v>13</v>
      </c>
      <c r="R6" s="148"/>
      <c r="S6" s="148"/>
      <c r="T6" s="148"/>
      <c r="U6" s="148"/>
      <c r="V6" s="148"/>
      <c r="W6" s="148"/>
      <c r="X6" s="148"/>
      <c r="Y6" s="148"/>
      <c r="Z6" s="148"/>
      <c r="AA6" s="148"/>
      <c r="AB6" s="148"/>
      <c r="AC6" s="148"/>
    </row>
    <row r="7" spans="1:29" hidden="1">
      <c r="A7" s="146">
        <v>45819</v>
      </c>
      <c r="B7" s="147" t="s">
        <v>49</v>
      </c>
      <c r="C7" s="147">
        <v>1</v>
      </c>
      <c r="D7" s="147">
        <v>1</v>
      </c>
      <c r="E7" s="147"/>
      <c r="F7" s="147"/>
      <c r="G7" s="147"/>
      <c r="H7" s="147"/>
      <c r="I7" s="147"/>
      <c r="J7" s="147"/>
      <c r="K7" s="147"/>
      <c r="L7" s="147"/>
      <c r="M7" s="147"/>
      <c r="N7" s="147" t="s">
        <v>12802</v>
      </c>
      <c r="O7" s="147"/>
      <c r="P7" s="147"/>
      <c r="Q7" s="147">
        <v>15</v>
      </c>
      <c r="R7" s="148"/>
      <c r="S7" s="148"/>
      <c r="T7" s="148"/>
      <c r="U7" s="148"/>
      <c r="V7" s="148"/>
      <c r="W7" s="148"/>
      <c r="X7" s="148"/>
      <c r="Y7" s="148"/>
      <c r="Z7" s="148"/>
      <c r="AA7" s="148"/>
      <c r="AB7" s="148"/>
      <c r="AC7" s="148"/>
    </row>
    <row r="8" spans="1:29" hidden="1">
      <c r="A8" s="146">
        <v>45818</v>
      </c>
      <c r="B8" s="147" t="s">
        <v>61</v>
      </c>
      <c r="C8" s="147">
        <v>2</v>
      </c>
      <c r="D8" s="147"/>
      <c r="E8" s="147">
        <v>2</v>
      </c>
      <c r="F8" s="147"/>
      <c r="G8" s="147"/>
      <c r="H8" s="147"/>
      <c r="I8" s="147"/>
      <c r="J8" s="147"/>
      <c r="K8" s="147"/>
      <c r="L8" s="147"/>
      <c r="M8" s="147"/>
      <c r="N8" s="147" t="s">
        <v>12803</v>
      </c>
      <c r="O8" s="147"/>
      <c r="P8" s="147"/>
      <c r="Q8" s="147">
        <v>56</v>
      </c>
      <c r="R8" s="148"/>
      <c r="S8" s="148"/>
      <c r="T8" s="148"/>
      <c r="U8" s="148"/>
      <c r="V8" s="148"/>
      <c r="W8" s="148"/>
      <c r="X8" s="148"/>
      <c r="Y8" s="148"/>
      <c r="Z8" s="148"/>
      <c r="AA8" s="148"/>
      <c r="AB8" s="148"/>
      <c r="AC8" s="148"/>
    </row>
    <row r="9" spans="1:29" hidden="1">
      <c r="A9" s="146">
        <v>45819</v>
      </c>
      <c r="B9" s="147" t="s">
        <v>61</v>
      </c>
      <c r="C9" s="147">
        <v>7</v>
      </c>
      <c r="D9" s="147">
        <v>6</v>
      </c>
      <c r="E9" s="147"/>
      <c r="F9" s="147"/>
      <c r="G9" s="147"/>
      <c r="H9" s="147"/>
      <c r="I9" s="147">
        <v>1</v>
      </c>
      <c r="J9" s="147"/>
      <c r="K9" s="147"/>
      <c r="L9" s="147"/>
      <c r="M9" s="147"/>
      <c r="N9" s="147" t="s">
        <v>12804</v>
      </c>
      <c r="O9" s="147"/>
      <c r="P9" s="147"/>
      <c r="Q9" s="147">
        <v>54</v>
      </c>
      <c r="R9" s="148"/>
      <c r="S9" s="148"/>
      <c r="T9" s="148"/>
      <c r="U9" s="148"/>
      <c r="V9" s="148"/>
      <c r="W9" s="148"/>
      <c r="X9" s="148"/>
      <c r="Y9" s="148"/>
      <c r="Z9" s="148"/>
      <c r="AA9" s="148"/>
      <c r="AB9" s="148"/>
      <c r="AC9" s="148"/>
    </row>
    <row r="10" spans="1:29" hidden="1">
      <c r="A10" s="146">
        <v>45816</v>
      </c>
      <c r="B10" s="147" t="s">
        <v>61</v>
      </c>
      <c r="C10" s="147">
        <v>1</v>
      </c>
      <c r="D10" s="147"/>
      <c r="E10" s="147"/>
      <c r="F10" s="147"/>
      <c r="G10" s="147"/>
      <c r="H10" s="147"/>
      <c r="I10" s="147">
        <v>1</v>
      </c>
      <c r="J10" s="147"/>
      <c r="K10" s="147"/>
      <c r="L10" s="147"/>
      <c r="M10" s="147"/>
      <c r="N10" s="147"/>
      <c r="O10" s="147"/>
      <c r="P10" s="147"/>
      <c r="Q10" s="147">
        <v>0</v>
      </c>
      <c r="R10" s="148"/>
      <c r="S10" s="148"/>
      <c r="T10" s="148"/>
      <c r="U10" s="148"/>
      <c r="V10" s="148"/>
      <c r="W10" s="148"/>
      <c r="X10" s="148"/>
      <c r="Y10" s="148"/>
      <c r="Z10" s="148"/>
      <c r="AA10" s="148"/>
      <c r="AB10" s="148"/>
      <c r="AC10" s="148"/>
    </row>
    <row r="11" spans="1:29">
      <c r="A11" s="146">
        <v>45820</v>
      </c>
      <c r="B11" s="147" t="s">
        <v>115</v>
      </c>
      <c r="C11" s="147">
        <v>2</v>
      </c>
      <c r="D11" s="147">
        <v>1</v>
      </c>
      <c r="E11" s="147"/>
      <c r="F11" s="147">
        <v>1</v>
      </c>
      <c r="G11" s="147"/>
      <c r="H11" s="147"/>
      <c r="I11" s="147"/>
      <c r="J11" s="147"/>
      <c r="K11" s="147"/>
      <c r="L11" s="147"/>
      <c r="M11" s="147"/>
      <c r="N11" s="147"/>
      <c r="O11" s="147"/>
      <c r="P11" s="147"/>
      <c r="Q11" s="147">
        <v>31</v>
      </c>
      <c r="R11" s="148"/>
      <c r="S11" s="148"/>
      <c r="T11" s="148"/>
      <c r="U11" s="148"/>
      <c r="V11" s="148"/>
      <c r="W11" s="148"/>
      <c r="X11" s="148"/>
      <c r="Y11" s="148"/>
      <c r="Z11" s="148"/>
      <c r="AA11" s="148"/>
      <c r="AB11" s="148"/>
      <c r="AC11" s="148"/>
    </row>
    <row r="12" spans="1:29" hidden="1">
      <c r="A12" s="146">
        <v>45820</v>
      </c>
      <c r="B12" s="147" t="s">
        <v>61</v>
      </c>
      <c r="C12" s="147">
        <v>3</v>
      </c>
      <c r="D12" s="147">
        <v>2</v>
      </c>
      <c r="E12" s="147"/>
      <c r="F12" s="147"/>
      <c r="G12" s="147"/>
      <c r="H12" s="147"/>
      <c r="I12" s="147">
        <v>1</v>
      </c>
      <c r="J12" s="147"/>
      <c r="K12" s="147"/>
      <c r="L12" s="147"/>
      <c r="M12" s="147"/>
      <c r="N12" s="147" t="s">
        <v>12805</v>
      </c>
      <c r="O12" s="147"/>
      <c r="P12" s="147"/>
      <c r="Q12" s="147">
        <v>76</v>
      </c>
      <c r="R12" s="148"/>
      <c r="S12" s="148"/>
      <c r="T12" s="148"/>
      <c r="U12" s="148"/>
      <c r="V12" s="148"/>
      <c r="W12" s="148"/>
      <c r="X12" s="148"/>
      <c r="Y12" s="148"/>
      <c r="Z12" s="148"/>
      <c r="AA12" s="148"/>
      <c r="AB12" s="148"/>
      <c r="AC12" s="148"/>
    </row>
    <row r="13" spans="1:29">
      <c r="A13" s="146">
        <v>45821</v>
      </c>
      <c r="B13" s="147" t="s">
        <v>115</v>
      </c>
      <c r="C13" s="147">
        <v>1</v>
      </c>
      <c r="D13" s="147">
        <v>1</v>
      </c>
      <c r="E13" s="147"/>
      <c r="F13" s="147"/>
      <c r="G13" s="147"/>
      <c r="H13" s="147"/>
      <c r="I13" s="147"/>
      <c r="J13" s="147"/>
      <c r="K13" s="147"/>
      <c r="L13" s="147"/>
      <c r="M13" s="147"/>
      <c r="N13" s="147"/>
      <c r="O13" s="147"/>
      <c r="P13" s="147"/>
      <c r="Q13" s="147">
        <v>44</v>
      </c>
      <c r="R13" s="148"/>
      <c r="S13" s="148"/>
      <c r="T13" s="148"/>
      <c r="U13" s="148"/>
      <c r="V13" s="148"/>
      <c r="W13" s="148"/>
      <c r="X13" s="148"/>
      <c r="Y13" s="148"/>
      <c r="Z13" s="148"/>
      <c r="AA13" s="148"/>
      <c r="AB13" s="148"/>
      <c r="AC13" s="148"/>
    </row>
    <row r="14" spans="1:29" hidden="1">
      <c r="A14" s="146">
        <v>45821</v>
      </c>
      <c r="B14" s="147" t="s">
        <v>61</v>
      </c>
      <c r="C14" s="147">
        <v>3</v>
      </c>
      <c r="D14" s="147">
        <v>3</v>
      </c>
      <c r="E14" s="147"/>
      <c r="F14" s="147"/>
      <c r="G14" s="147"/>
      <c r="H14" s="147"/>
      <c r="I14" s="147"/>
      <c r="J14" s="147"/>
      <c r="K14" s="147"/>
      <c r="L14" s="147"/>
      <c r="M14" s="147"/>
      <c r="N14" s="147" t="s">
        <v>12806</v>
      </c>
      <c r="O14" s="147"/>
      <c r="P14" s="147"/>
      <c r="Q14" s="147">
        <v>56</v>
      </c>
      <c r="R14" s="148"/>
      <c r="S14" s="148"/>
      <c r="T14" s="148"/>
      <c r="U14" s="148"/>
      <c r="V14" s="148"/>
      <c r="W14" s="148"/>
      <c r="X14" s="148"/>
      <c r="Y14" s="148"/>
      <c r="Z14" s="148"/>
      <c r="AA14" s="148"/>
      <c r="AB14" s="148"/>
      <c r="AC14" s="148"/>
    </row>
    <row r="15" spans="1:29">
      <c r="A15" s="146">
        <v>45822</v>
      </c>
      <c r="B15" s="147" t="s">
        <v>115</v>
      </c>
      <c r="C15" s="147">
        <v>2</v>
      </c>
      <c r="D15" s="147">
        <v>1</v>
      </c>
      <c r="E15" s="147"/>
      <c r="F15" s="147">
        <v>1</v>
      </c>
      <c r="G15" s="147"/>
      <c r="H15" s="147"/>
      <c r="I15" s="147"/>
      <c r="J15" s="147"/>
      <c r="K15" s="147"/>
      <c r="L15" s="147"/>
      <c r="M15" s="147"/>
      <c r="N15" s="147"/>
      <c r="O15" s="147"/>
      <c r="P15" s="147"/>
      <c r="Q15" s="147">
        <v>52</v>
      </c>
      <c r="R15" s="148"/>
      <c r="S15" s="148"/>
      <c r="T15" s="148"/>
      <c r="U15" s="148"/>
      <c r="V15" s="148"/>
      <c r="W15" s="148"/>
      <c r="X15" s="148"/>
      <c r="Y15" s="148"/>
      <c r="Z15" s="148"/>
      <c r="AA15" s="148"/>
      <c r="AB15" s="148"/>
      <c r="AC15" s="148"/>
    </row>
    <row r="16" spans="1:29" hidden="1">
      <c r="A16" s="146">
        <v>45822</v>
      </c>
      <c r="B16" s="147" t="s">
        <v>49</v>
      </c>
      <c r="C16" s="147">
        <v>2</v>
      </c>
      <c r="D16" s="147">
        <v>1</v>
      </c>
      <c r="E16" s="147">
        <v>1</v>
      </c>
      <c r="F16" s="147"/>
      <c r="G16" s="147"/>
      <c r="H16" s="147"/>
      <c r="I16" s="147"/>
      <c r="J16" s="147"/>
      <c r="K16" s="147"/>
      <c r="L16" s="147"/>
      <c r="M16" s="147"/>
      <c r="N16" s="147"/>
      <c r="O16" s="147"/>
      <c r="P16" s="147"/>
      <c r="Q16" s="147"/>
      <c r="R16" s="148"/>
      <c r="S16" s="148"/>
      <c r="T16" s="148"/>
      <c r="U16" s="148"/>
      <c r="V16" s="148"/>
      <c r="W16" s="148"/>
      <c r="X16" s="148"/>
      <c r="Y16" s="148"/>
      <c r="Z16" s="148"/>
      <c r="AA16" s="148"/>
      <c r="AB16" s="148"/>
      <c r="AC16" s="148"/>
    </row>
    <row r="17" spans="1:29" hidden="1">
      <c r="A17" s="146">
        <v>45822</v>
      </c>
      <c r="B17" s="147" t="s">
        <v>61</v>
      </c>
      <c r="C17" s="147">
        <v>1</v>
      </c>
      <c r="D17" s="147"/>
      <c r="E17" s="147"/>
      <c r="F17" s="147"/>
      <c r="G17" s="147"/>
      <c r="H17" s="147"/>
      <c r="I17" s="147"/>
      <c r="J17" s="147"/>
      <c r="K17" s="147"/>
      <c r="L17" s="147"/>
      <c r="M17" s="147">
        <v>1</v>
      </c>
      <c r="N17" s="147" t="s">
        <v>12807</v>
      </c>
      <c r="O17" s="147"/>
      <c r="P17" s="147"/>
      <c r="Q17" s="147">
        <v>6</v>
      </c>
      <c r="R17" s="148"/>
      <c r="S17" s="148"/>
      <c r="T17" s="148"/>
      <c r="U17" s="148"/>
      <c r="V17" s="148"/>
      <c r="W17" s="148"/>
      <c r="X17" s="148"/>
      <c r="Y17" s="148"/>
      <c r="Z17" s="148"/>
      <c r="AA17" s="148"/>
      <c r="AB17" s="148"/>
      <c r="AC17" s="148"/>
    </row>
    <row r="18" spans="1:29">
      <c r="A18" s="146">
        <v>45823</v>
      </c>
      <c r="B18" s="147" t="s">
        <v>115</v>
      </c>
      <c r="C18" s="147">
        <v>4</v>
      </c>
      <c r="D18" s="147">
        <v>3</v>
      </c>
      <c r="E18" s="147">
        <v>1</v>
      </c>
      <c r="F18" s="147"/>
      <c r="G18" s="147"/>
      <c r="H18" s="147"/>
      <c r="I18" s="147"/>
      <c r="J18" s="147"/>
      <c r="K18" s="147"/>
      <c r="L18" s="147"/>
      <c r="M18" s="147"/>
      <c r="N18" s="147"/>
      <c r="O18" s="147"/>
      <c r="P18" s="147"/>
      <c r="Q18" s="147">
        <v>60</v>
      </c>
      <c r="R18" s="148"/>
      <c r="S18" s="148"/>
      <c r="T18" s="148"/>
      <c r="U18" s="148"/>
      <c r="V18" s="148"/>
      <c r="W18" s="148"/>
      <c r="X18" s="148"/>
      <c r="Y18" s="148"/>
      <c r="Z18" s="148"/>
      <c r="AA18" s="148"/>
      <c r="AB18" s="148"/>
      <c r="AC18" s="148"/>
    </row>
    <row r="19" spans="1:29" hidden="1">
      <c r="A19" s="146">
        <v>45823</v>
      </c>
      <c r="B19" s="147" t="s">
        <v>49</v>
      </c>
      <c r="C19" s="147">
        <v>1</v>
      </c>
      <c r="D19" s="147">
        <v>1</v>
      </c>
      <c r="E19" s="147"/>
      <c r="F19" s="147"/>
      <c r="G19" s="147"/>
      <c r="H19" s="147"/>
      <c r="I19" s="147"/>
      <c r="J19" s="147"/>
      <c r="K19" s="147"/>
      <c r="L19" s="147"/>
      <c r="M19" s="147"/>
      <c r="N19" s="147"/>
      <c r="O19" s="147"/>
      <c r="P19" s="147"/>
      <c r="Q19" s="147">
        <v>3</v>
      </c>
      <c r="R19" s="148"/>
      <c r="S19" s="148"/>
      <c r="T19" s="148"/>
      <c r="U19" s="148"/>
      <c r="V19" s="148"/>
      <c r="W19" s="148"/>
      <c r="X19" s="148"/>
      <c r="Y19" s="148"/>
      <c r="Z19" s="148"/>
      <c r="AA19" s="148"/>
      <c r="AB19" s="148"/>
      <c r="AC19" s="148"/>
    </row>
    <row r="20" spans="1:29">
      <c r="A20" s="146">
        <v>45824</v>
      </c>
      <c r="B20" s="147" t="s">
        <v>115</v>
      </c>
      <c r="C20" s="147">
        <v>5</v>
      </c>
      <c r="D20" s="147">
        <v>5</v>
      </c>
      <c r="E20" s="147"/>
      <c r="F20" s="147"/>
      <c r="G20" s="147"/>
      <c r="H20" s="147"/>
      <c r="I20" s="147"/>
      <c r="J20" s="147"/>
      <c r="K20" s="147"/>
      <c r="L20" s="147"/>
      <c r="M20" s="147"/>
      <c r="N20" s="147"/>
      <c r="O20" s="147"/>
      <c r="P20" s="147"/>
      <c r="Q20" s="147">
        <v>66</v>
      </c>
      <c r="R20" s="148"/>
      <c r="S20" s="148"/>
      <c r="T20" s="148"/>
      <c r="U20" s="148"/>
      <c r="V20" s="148"/>
      <c r="W20" s="148"/>
      <c r="X20" s="148"/>
      <c r="Y20" s="148"/>
      <c r="Z20" s="148"/>
      <c r="AA20" s="148"/>
      <c r="AB20" s="148"/>
      <c r="AC20" s="148"/>
    </row>
    <row r="21" spans="1:29" hidden="1">
      <c r="A21" s="146">
        <v>45823</v>
      </c>
      <c r="B21" s="147" t="s">
        <v>61</v>
      </c>
      <c r="C21" s="147">
        <v>2</v>
      </c>
      <c r="D21" s="147">
        <v>1</v>
      </c>
      <c r="E21" s="147">
        <v>1</v>
      </c>
      <c r="F21" s="147"/>
      <c r="G21" s="147"/>
      <c r="H21" s="147"/>
      <c r="I21" s="147"/>
      <c r="J21" s="147"/>
      <c r="K21" s="147"/>
      <c r="L21" s="147"/>
      <c r="M21" s="147"/>
      <c r="N21" s="147" t="s">
        <v>12808</v>
      </c>
      <c r="O21" s="147"/>
      <c r="P21" s="147"/>
      <c r="Q21" s="147">
        <v>65</v>
      </c>
      <c r="R21" s="148"/>
      <c r="S21" s="148"/>
      <c r="T21" s="148"/>
      <c r="U21" s="148"/>
      <c r="V21" s="148"/>
      <c r="W21" s="148"/>
      <c r="X21" s="148"/>
      <c r="Y21" s="148"/>
      <c r="Z21" s="148"/>
      <c r="AA21" s="148"/>
      <c r="AB21" s="148"/>
      <c r="AC21" s="148"/>
    </row>
    <row r="22" spans="1:29" hidden="1">
      <c r="A22" s="146">
        <v>45824</v>
      </c>
      <c r="B22" s="147" t="s">
        <v>61</v>
      </c>
      <c r="C22" s="147">
        <v>2</v>
      </c>
      <c r="D22" s="147">
        <v>1</v>
      </c>
      <c r="E22" s="147">
        <v>1</v>
      </c>
      <c r="F22" s="147"/>
      <c r="G22" s="147"/>
      <c r="H22" s="147"/>
      <c r="I22" s="147"/>
      <c r="J22" s="147"/>
      <c r="K22" s="147"/>
      <c r="L22" s="147"/>
      <c r="M22" s="147"/>
      <c r="N22" s="147" t="s">
        <v>12809</v>
      </c>
      <c r="O22" s="147"/>
      <c r="P22" s="147"/>
      <c r="Q22" s="147">
        <v>22</v>
      </c>
      <c r="R22" s="148"/>
      <c r="S22" s="148"/>
      <c r="T22" s="148"/>
      <c r="U22" s="148"/>
      <c r="V22" s="148"/>
      <c r="W22" s="148"/>
      <c r="X22" s="148"/>
      <c r="Y22" s="148"/>
      <c r="Z22" s="148"/>
      <c r="AA22" s="148"/>
      <c r="AB22" s="148"/>
      <c r="AC22" s="148"/>
    </row>
    <row r="23" spans="1:29" hidden="1">
      <c r="A23" s="146">
        <v>45824</v>
      </c>
      <c r="B23" s="147" t="s">
        <v>49</v>
      </c>
      <c r="C23" s="147"/>
      <c r="D23" s="147"/>
      <c r="E23" s="147"/>
      <c r="F23" s="147"/>
      <c r="G23" s="147"/>
      <c r="H23" s="147"/>
      <c r="I23" s="147"/>
      <c r="J23" s="147"/>
      <c r="K23" s="147"/>
      <c r="L23" s="147"/>
      <c r="M23" s="147"/>
      <c r="N23" s="147"/>
      <c r="O23" s="147"/>
      <c r="P23" s="147"/>
      <c r="Q23" s="147">
        <v>21</v>
      </c>
      <c r="R23" s="148"/>
      <c r="S23" s="148"/>
      <c r="T23" s="148"/>
      <c r="U23" s="148"/>
      <c r="V23" s="148"/>
      <c r="W23" s="148"/>
      <c r="X23" s="148"/>
      <c r="Y23" s="148"/>
      <c r="Z23" s="148"/>
      <c r="AA23" s="148"/>
      <c r="AB23" s="148"/>
      <c r="AC23" s="148"/>
    </row>
    <row r="24" spans="1:29">
      <c r="A24" s="146">
        <v>45825</v>
      </c>
      <c r="B24" s="147" t="s">
        <v>115</v>
      </c>
      <c r="C24" s="147">
        <v>4</v>
      </c>
      <c r="D24" s="147">
        <v>4</v>
      </c>
      <c r="E24" s="147"/>
      <c r="F24" s="147"/>
      <c r="G24" s="147"/>
      <c r="H24" s="147"/>
      <c r="I24" s="147"/>
      <c r="J24" s="147"/>
      <c r="K24" s="147"/>
      <c r="L24" s="147"/>
      <c r="M24" s="147"/>
      <c r="N24" s="147"/>
      <c r="O24" s="147"/>
      <c r="P24" s="147"/>
      <c r="Q24" s="147">
        <v>43</v>
      </c>
      <c r="R24" s="148"/>
      <c r="S24" s="148"/>
      <c r="T24" s="148"/>
      <c r="U24" s="148"/>
      <c r="V24" s="148"/>
      <c r="W24" s="148"/>
      <c r="X24" s="148"/>
      <c r="Y24" s="148"/>
      <c r="Z24" s="148"/>
      <c r="AA24" s="148"/>
      <c r="AB24" s="148"/>
      <c r="AC24" s="148"/>
    </row>
    <row r="25" spans="1:29" hidden="1">
      <c r="A25" s="146">
        <v>45825</v>
      </c>
      <c r="B25" s="147" t="s">
        <v>49</v>
      </c>
      <c r="C25" s="147">
        <v>1</v>
      </c>
      <c r="D25" s="147">
        <v>1</v>
      </c>
      <c r="E25" s="147"/>
      <c r="F25" s="147"/>
      <c r="G25" s="147"/>
      <c r="H25" s="147"/>
      <c r="I25" s="147"/>
      <c r="J25" s="147"/>
      <c r="K25" s="147"/>
      <c r="L25" s="147"/>
      <c r="M25" s="147"/>
      <c r="N25" s="147"/>
      <c r="O25" s="147"/>
      <c r="P25" s="147"/>
      <c r="Q25" s="147">
        <v>52</v>
      </c>
      <c r="R25" s="148"/>
      <c r="S25" s="148"/>
      <c r="T25" s="148"/>
      <c r="U25" s="148"/>
      <c r="V25" s="148"/>
      <c r="W25" s="148"/>
      <c r="X25" s="148"/>
      <c r="Y25" s="148"/>
      <c r="Z25" s="148"/>
      <c r="AA25" s="148"/>
      <c r="AB25" s="148"/>
      <c r="AC25" s="148"/>
    </row>
    <row r="26" spans="1:29">
      <c r="A26" s="146">
        <v>45826</v>
      </c>
      <c r="B26" s="147" t="s">
        <v>115</v>
      </c>
      <c r="C26" s="147">
        <v>3</v>
      </c>
      <c r="D26" s="147">
        <v>2</v>
      </c>
      <c r="E26" s="147">
        <v>1</v>
      </c>
      <c r="F26" s="147"/>
      <c r="G26" s="147"/>
      <c r="H26" s="147"/>
      <c r="I26" s="147"/>
      <c r="J26" s="147"/>
      <c r="K26" s="147"/>
      <c r="L26" s="147"/>
      <c r="M26" s="147"/>
      <c r="N26" s="147"/>
      <c r="O26" s="147"/>
      <c r="P26" s="147"/>
      <c r="Q26" s="147">
        <v>54</v>
      </c>
      <c r="R26" s="148"/>
      <c r="S26" s="148"/>
      <c r="T26" s="148"/>
      <c r="U26" s="148"/>
      <c r="V26" s="148"/>
      <c r="W26" s="148"/>
      <c r="X26" s="148"/>
      <c r="Y26" s="148"/>
      <c r="Z26" s="148"/>
      <c r="AA26" s="148"/>
      <c r="AB26" s="148"/>
      <c r="AC26" s="148"/>
    </row>
    <row r="27" spans="1:29" hidden="1">
      <c r="A27" s="146">
        <v>45825</v>
      </c>
      <c r="B27" s="147" t="s">
        <v>61</v>
      </c>
      <c r="C27" s="147">
        <v>1</v>
      </c>
      <c r="D27" s="147">
        <v>1</v>
      </c>
      <c r="E27" s="147"/>
      <c r="F27" s="147"/>
      <c r="G27" s="147"/>
      <c r="H27" s="147"/>
      <c r="I27" s="147"/>
      <c r="J27" s="147"/>
      <c r="K27" s="147"/>
      <c r="L27" s="147"/>
      <c r="M27" s="147"/>
      <c r="N27" s="147" t="s">
        <v>12810</v>
      </c>
      <c r="O27" s="147"/>
      <c r="P27" s="147"/>
      <c r="Q27" s="147">
        <v>55</v>
      </c>
      <c r="R27" s="148"/>
      <c r="S27" s="148"/>
      <c r="T27" s="148"/>
      <c r="U27" s="148"/>
      <c r="V27" s="148"/>
      <c r="W27" s="148"/>
      <c r="X27" s="148"/>
      <c r="Y27" s="148"/>
      <c r="Z27" s="148"/>
      <c r="AA27" s="148"/>
      <c r="AB27" s="148"/>
      <c r="AC27" s="148"/>
    </row>
    <row r="28" spans="1:29" hidden="1">
      <c r="A28" s="146">
        <v>45826</v>
      </c>
      <c r="B28" s="147" t="s">
        <v>61</v>
      </c>
      <c r="C28" s="147">
        <v>3</v>
      </c>
      <c r="D28" s="147"/>
      <c r="E28" s="147">
        <v>1</v>
      </c>
      <c r="F28" s="147"/>
      <c r="G28" s="147"/>
      <c r="H28" s="147">
        <v>1</v>
      </c>
      <c r="I28" s="147"/>
      <c r="J28" s="147">
        <v>1</v>
      </c>
      <c r="K28" s="147"/>
      <c r="L28" s="147"/>
      <c r="M28" s="147"/>
      <c r="N28" s="147" t="s">
        <v>12811</v>
      </c>
      <c r="O28" s="147"/>
      <c r="P28" s="147"/>
      <c r="Q28" s="147">
        <v>47</v>
      </c>
      <c r="R28" s="148"/>
      <c r="S28" s="148"/>
      <c r="T28" s="148"/>
      <c r="U28" s="148"/>
      <c r="V28" s="148"/>
      <c r="W28" s="148"/>
      <c r="X28" s="148"/>
      <c r="Y28" s="148"/>
      <c r="Z28" s="148"/>
      <c r="AA28" s="148"/>
      <c r="AB28" s="148"/>
      <c r="AC28" s="148"/>
    </row>
    <row r="29" spans="1:29" hidden="1">
      <c r="A29" s="146">
        <v>45826</v>
      </c>
      <c r="B29" s="147" t="s">
        <v>49</v>
      </c>
      <c r="C29" s="147">
        <v>1</v>
      </c>
      <c r="D29" s="147">
        <v>1</v>
      </c>
      <c r="E29" s="147"/>
      <c r="F29" s="147"/>
      <c r="G29" s="147"/>
      <c r="H29" s="147"/>
      <c r="I29" s="147"/>
      <c r="J29" s="147"/>
      <c r="K29" s="147"/>
      <c r="L29" s="147"/>
      <c r="M29" s="147"/>
      <c r="N29" s="147"/>
      <c r="O29" s="147"/>
      <c r="P29" s="147"/>
      <c r="Q29" s="147">
        <v>40</v>
      </c>
      <c r="R29" s="148"/>
      <c r="S29" s="148"/>
      <c r="T29" s="148"/>
      <c r="U29" s="148"/>
      <c r="V29" s="148"/>
      <c r="W29" s="148"/>
      <c r="X29" s="148"/>
      <c r="Y29" s="148"/>
      <c r="Z29" s="148"/>
      <c r="AA29" s="148"/>
      <c r="AB29" s="148"/>
      <c r="AC29" s="148"/>
    </row>
    <row r="30" spans="1:29" hidden="1">
      <c r="A30" s="146">
        <v>45827</v>
      </c>
      <c r="B30" s="147" t="s">
        <v>61</v>
      </c>
      <c r="C30" s="147">
        <v>4</v>
      </c>
      <c r="D30" s="147"/>
      <c r="E30" s="147"/>
      <c r="F30" s="147"/>
      <c r="G30" s="147"/>
      <c r="H30" s="147"/>
      <c r="I30" s="147">
        <v>2</v>
      </c>
      <c r="J30" s="147">
        <v>2</v>
      </c>
      <c r="K30" s="147"/>
      <c r="L30" s="147"/>
      <c r="M30" s="147"/>
      <c r="N30" s="147" t="s">
        <v>12812</v>
      </c>
      <c r="O30" s="147"/>
      <c r="P30" s="147"/>
      <c r="Q30" s="147">
        <v>1</v>
      </c>
      <c r="R30" s="148"/>
      <c r="S30" s="148"/>
      <c r="T30" s="148"/>
      <c r="U30" s="148"/>
      <c r="V30" s="148"/>
      <c r="W30" s="148"/>
      <c r="X30" s="148"/>
      <c r="Y30" s="148"/>
      <c r="Z30" s="148"/>
      <c r="AA30" s="148"/>
      <c r="AB30" s="148"/>
      <c r="AC30" s="148"/>
    </row>
    <row r="31" spans="1:29">
      <c r="A31" s="146">
        <v>45827</v>
      </c>
      <c r="B31" s="147" t="s">
        <v>115</v>
      </c>
      <c r="C31" s="147">
        <v>2</v>
      </c>
      <c r="D31" s="147">
        <v>2</v>
      </c>
      <c r="E31" s="147"/>
      <c r="F31" s="147"/>
      <c r="G31" s="147"/>
      <c r="H31" s="147"/>
      <c r="I31" s="147"/>
      <c r="J31" s="147"/>
      <c r="K31" s="147"/>
      <c r="L31" s="147"/>
      <c r="M31" s="147"/>
      <c r="N31" s="147"/>
      <c r="O31" s="147"/>
      <c r="P31" s="147"/>
      <c r="Q31" s="147">
        <v>44</v>
      </c>
      <c r="R31" s="148"/>
      <c r="S31" s="148"/>
      <c r="T31" s="148"/>
      <c r="U31" s="148"/>
      <c r="V31" s="148"/>
      <c r="W31" s="148"/>
      <c r="X31" s="148"/>
      <c r="Y31" s="148"/>
      <c r="Z31" s="148"/>
      <c r="AA31" s="148"/>
      <c r="AB31" s="148"/>
      <c r="AC31" s="148"/>
    </row>
    <row r="32" spans="1:29" hidden="1">
      <c r="A32" s="146">
        <v>45827</v>
      </c>
      <c r="B32" s="147" t="s">
        <v>49</v>
      </c>
      <c r="C32" s="147">
        <v>1</v>
      </c>
      <c r="D32" s="147">
        <v>1</v>
      </c>
      <c r="E32" s="147"/>
      <c r="F32" s="147"/>
      <c r="G32" s="147"/>
      <c r="H32" s="147"/>
      <c r="I32" s="147"/>
      <c r="J32" s="147"/>
      <c r="K32" s="147"/>
      <c r="L32" s="147"/>
      <c r="M32" s="147"/>
      <c r="N32" s="147"/>
      <c r="O32" s="147"/>
      <c r="P32" s="147"/>
      <c r="Q32" s="147">
        <v>15</v>
      </c>
      <c r="R32" s="148"/>
      <c r="S32" s="148"/>
      <c r="T32" s="148"/>
      <c r="U32" s="148"/>
      <c r="V32" s="148"/>
      <c r="W32" s="148"/>
      <c r="X32" s="148"/>
      <c r="Y32" s="148"/>
      <c r="Z32" s="148"/>
      <c r="AA32" s="148"/>
      <c r="AB32" s="148"/>
      <c r="AC32" s="148"/>
    </row>
    <row r="33" spans="1:29">
      <c r="A33" s="146">
        <v>45828</v>
      </c>
      <c r="B33" s="147" t="s">
        <v>115</v>
      </c>
      <c r="C33" s="147">
        <v>3</v>
      </c>
      <c r="D33" s="147">
        <v>1</v>
      </c>
      <c r="E33" s="147">
        <v>1</v>
      </c>
      <c r="F33" s="147"/>
      <c r="G33" s="147"/>
      <c r="H33" s="147"/>
      <c r="I33" s="147"/>
      <c r="J33" s="147">
        <v>1</v>
      </c>
      <c r="K33" s="147"/>
      <c r="L33" s="147"/>
      <c r="M33" s="147"/>
      <c r="N33" s="147"/>
      <c r="O33" s="147"/>
      <c r="P33" s="147"/>
      <c r="Q33" s="147">
        <v>59</v>
      </c>
      <c r="R33" s="148"/>
      <c r="S33" s="148"/>
      <c r="T33" s="148"/>
      <c r="U33" s="148"/>
      <c r="V33" s="148"/>
      <c r="W33" s="148"/>
      <c r="X33" s="148"/>
      <c r="Y33" s="148"/>
      <c r="Z33" s="148"/>
      <c r="AA33" s="148"/>
      <c r="AB33" s="148"/>
      <c r="AC33" s="148"/>
    </row>
    <row r="34" spans="1:29" hidden="1">
      <c r="A34" s="146">
        <v>45828</v>
      </c>
      <c r="B34" s="147" t="s">
        <v>1229</v>
      </c>
      <c r="C34" s="147"/>
      <c r="D34" s="147"/>
      <c r="E34" s="147"/>
      <c r="F34" s="147"/>
      <c r="G34" s="147"/>
      <c r="H34" s="147"/>
      <c r="I34" s="147"/>
      <c r="J34" s="147"/>
      <c r="K34" s="147"/>
      <c r="L34" s="147"/>
      <c r="M34" s="147"/>
      <c r="N34" s="147"/>
      <c r="O34" s="147"/>
      <c r="P34" s="147"/>
      <c r="Q34" s="147">
        <v>9</v>
      </c>
      <c r="R34" s="148"/>
      <c r="S34" s="148"/>
      <c r="T34" s="148"/>
      <c r="U34" s="148"/>
      <c r="V34" s="148"/>
      <c r="W34" s="148"/>
      <c r="X34" s="148"/>
      <c r="Y34" s="148"/>
      <c r="Z34" s="148"/>
      <c r="AA34" s="148"/>
      <c r="AB34" s="148"/>
      <c r="AC34" s="148"/>
    </row>
    <row r="35" spans="1:29" hidden="1">
      <c r="A35" s="146">
        <v>45828</v>
      </c>
      <c r="B35" s="147" t="s">
        <v>49</v>
      </c>
      <c r="C35" s="147">
        <v>1</v>
      </c>
      <c r="D35" s="147"/>
      <c r="E35" s="147">
        <v>1</v>
      </c>
      <c r="F35" s="147"/>
      <c r="G35" s="147"/>
      <c r="H35" s="147"/>
      <c r="I35" s="147"/>
      <c r="J35" s="147"/>
      <c r="K35" s="147"/>
      <c r="L35" s="147"/>
      <c r="M35" s="147"/>
      <c r="N35" s="147"/>
      <c r="O35" s="147"/>
      <c r="P35" s="147"/>
      <c r="Q35" s="147">
        <v>12</v>
      </c>
      <c r="R35" s="148"/>
      <c r="S35" s="148"/>
      <c r="T35" s="148"/>
      <c r="U35" s="148"/>
      <c r="V35" s="148"/>
      <c r="W35" s="148"/>
      <c r="X35" s="148"/>
      <c r="Y35" s="148"/>
      <c r="Z35" s="148"/>
      <c r="AA35" s="148"/>
      <c r="AB35" s="148"/>
      <c r="AC35" s="148"/>
    </row>
    <row r="36" spans="1:29" hidden="1">
      <c r="A36" s="146">
        <v>45828</v>
      </c>
      <c r="B36" s="147" t="s">
        <v>61</v>
      </c>
      <c r="C36" s="147">
        <v>2</v>
      </c>
      <c r="D36" s="147"/>
      <c r="E36" s="147"/>
      <c r="F36" s="147"/>
      <c r="G36" s="147"/>
      <c r="H36" s="147"/>
      <c r="I36" s="147">
        <v>2</v>
      </c>
      <c r="J36" s="147"/>
      <c r="K36" s="147"/>
      <c r="L36" s="147"/>
      <c r="M36" s="147"/>
      <c r="N36" s="147" t="s">
        <v>12813</v>
      </c>
      <c r="O36" s="147"/>
      <c r="P36" s="147"/>
      <c r="Q36" s="147">
        <v>18</v>
      </c>
      <c r="R36" s="148"/>
      <c r="S36" s="148"/>
      <c r="T36" s="148"/>
      <c r="U36" s="148"/>
      <c r="V36" s="148"/>
      <c r="W36" s="148"/>
      <c r="X36" s="148"/>
      <c r="Y36" s="148"/>
      <c r="Z36" s="148"/>
      <c r="AA36" s="148"/>
      <c r="AB36" s="148"/>
      <c r="AC36" s="148"/>
    </row>
    <row r="37" spans="1:29">
      <c r="A37" s="146">
        <v>45829</v>
      </c>
      <c r="B37" s="147" t="s">
        <v>115</v>
      </c>
      <c r="C37" s="147">
        <v>1</v>
      </c>
      <c r="D37" s="147">
        <v>1</v>
      </c>
      <c r="E37" s="147"/>
      <c r="F37" s="147"/>
      <c r="G37" s="147"/>
      <c r="H37" s="147"/>
      <c r="I37" s="147"/>
      <c r="J37" s="147"/>
      <c r="K37" s="147"/>
      <c r="L37" s="147"/>
      <c r="M37" s="147"/>
      <c r="N37" s="147"/>
      <c r="O37" s="147"/>
      <c r="P37" s="147"/>
      <c r="Q37" s="147">
        <v>30</v>
      </c>
      <c r="R37" s="148"/>
      <c r="S37" s="148"/>
      <c r="T37" s="148"/>
      <c r="U37" s="148"/>
      <c r="V37" s="148"/>
      <c r="W37" s="148"/>
      <c r="X37" s="148"/>
      <c r="Y37" s="148"/>
      <c r="Z37" s="148"/>
      <c r="AA37" s="148"/>
      <c r="AB37" s="148"/>
      <c r="AC37" s="148"/>
    </row>
    <row r="38" spans="1:29" hidden="1">
      <c r="A38" s="146">
        <v>45829</v>
      </c>
      <c r="B38" s="147" t="s">
        <v>61</v>
      </c>
      <c r="C38" s="147">
        <v>3</v>
      </c>
      <c r="D38" s="147">
        <v>1</v>
      </c>
      <c r="E38" s="147"/>
      <c r="F38" s="147"/>
      <c r="G38" s="147"/>
      <c r="H38" s="147"/>
      <c r="I38" s="147">
        <v>1</v>
      </c>
      <c r="J38" s="147"/>
      <c r="K38" s="147"/>
      <c r="L38" s="147">
        <v>1</v>
      </c>
      <c r="M38" s="147"/>
      <c r="N38" s="147" t="s">
        <v>12814</v>
      </c>
      <c r="O38" s="147"/>
      <c r="P38" s="147"/>
      <c r="Q38" s="147">
        <v>9</v>
      </c>
      <c r="R38" s="148"/>
      <c r="S38" s="148"/>
      <c r="T38" s="148"/>
      <c r="U38" s="148"/>
      <c r="V38" s="148"/>
      <c r="W38" s="148"/>
      <c r="X38" s="148"/>
      <c r="Y38" s="148"/>
      <c r="Z38" s="148"/>
      <c r="AA38" s="148"/>
      <c r="AB38" s="148"/>
      <c r="AC38" s="148"/>
    </row>
    <row r="39" spans="1:29" hidden="1">
      <c r="A39" s="146">
        <v>45829</v>
      </c>
      <c r="B39" s="147" t="s">
        <v>1229</v>
      </c>
      <c r="C39" s="147"/>
      <c r="D39" s="147"/>
      <c r="E39" s="147"/>
      <c r="F39" s="147"/>
      <c r="G39" s="147"/>
      <c r="H39" s="147"/>
      <c r="I39" s="147"/>
      <c r="J39" s="147"/>
      <c r="K39" s="147"/>
      <c r="L39" s="147"/>
      <c r="M39" s="147"/>
      <c r="N39" s="147" t="s">
        <v>12815</v>
      </c>
      <c r="O39" s="147"/>
      <c r="P39" s="147"/>
      <c r="Q39" s="147">
        <v>4</v>
      </c>
      <c r="R39" s="148"/>
      <c r="S39" s="148"/>
      <c r="T39" s="148"/>
      <c r="U39" s="148"/>
      <c r="V39" s="148"/>
      <c r="W39" s="148"/>
      <c r="X39" s="148"/>
      <c r="Y39" s="148"/>
      <c r="Z39" s="148"/>
      <c r="AA39" s="148"/>
      <c r="AB39" s="148"/>
      <c r="AC39" s="148"/>
    </row>
    <row r="40" spans="1:29" hidden="1">
      <c r="A40" s="146">
        <v>45829</v>
      </c>
      <c r="B40" s="147" t="s">
        <v>49</v>
      </c>
      <c r="C40" s="147">
        <v>2</v>
      </c>
      <c r="D40" s="147">
        <v>1</v>
      </c>
      <c r="E40" s="147"/>
      <c r="F40" s="147"/>
      <c r="G40" s="147"/>
      <c r="H40" s="147"/>
      <c r="I40" s="147"/>
      <c r="J40" s="147"/>
      <c r="K40" s="147"/>
      <c r="L40" s="147">
        <v>1</v>
      </c>
      <c r="M40" s="147"/>
      <c r="N40" s="147"/>
      <c r="O40" s="147"/>
      <c r="P40" s="147"/>
      <c r="Q40" s="147">
        <v>29</v>
      </c>
      <c r="R40" s="148"/>
      <c r="S40" s="148"/>
      <c r="T40" s="148"/>
      <c r="U40" s="148"/>
      <c r="V40" s="148"/>
      <c r="W40" s="148"/>
      <c r="X40" s="148"/>
      <c r="Y40" s="148"/>
      <c r="Z40" s="148"/>
      <c r="AA40" s="148"/>
      <c r="AB40" s="148"/>
      <c r="AC40" s="148"/>
    </row>
    <row r="41" spans="1:29">
      <c r="A41" s="146">
        <v>45830</v>
      </c>
      <c r="B41" s="147" t="s">
        <v>115</v>
      </c>
      <c r="C41" s="147">
        <v>3</v>
      </c>
      <c r="D41" s="147">
        <v>3</v>
      </c>
      <c r="E41" s="147"/>
      <c r="F41" s="147"/>
      <c r="G41" s="147"/>
      <c r="H41" s="147"/>
      <c r="I41" s="147"/>
      <c r="J41" s="147"/>
      <c r="K41" s="147"/>
      <c r="L41" s="147"/>
      <c r="M41" s="147"/>
      <c r="N41" s="147"/>
      <c r="O41" s="147"/>
      <c r="P41" s="147"/>
      <c r="Q41" s="147">
        <v>78</v>
      </c>
      <c r="R41" s="148"/>
      <c r="S41" s="148"/>
      <c r="T41" s="148"/>
      <c r="U41" s="148"/>
      <c r="V41" s="148"/>
      <c r="W41" s="148"/>
      <c r="X41" s="148"/>
      <c r="Y41" s="148"/>
      <c r="Z41" s="148"/>
      <c r="AA41" s="148"/>
      <c r="AB41" s="148"/>
      <c r="AC41" s="148"/>
    </row>
    <row r="42" spans="1:29" hidden="1">
      <c r="A42" s="146">
        <v>45830</v>
      </c>
      <c r="B42" s="147" t="s">
        <v>1229</v>
      </c>
      <c r="C42" s="147">
        <v>1</v>
      </c>
      <c r="D42" s="147">
        <v>1</v>
      </c>
      <c r="E42" s="147"/>
      <c r="F42" s="147"/>
      <c r="G42" s="147"/>
      <c r="H42" s="147"/>
      <c r="I42" s="147"/>
      <c r="J42" s="147"/>
      <c r="K42" s="147"/>
      <c r="L42" s="147"/>
      <c r="M42" s="147"/>
      <c r="N42" s="147" t="s">
        <v>12816</v>
      </c>
      <c r="O42" s="147"/>
      <c r="P42" s="147"/>
      <c r="Q42" s="147">
        <v>23</v>
      </c>
      <c r="R42" s="148"/>
      <c r="S42" s="148"/>
      <c r="T42" s="148"/>
      <c r="U42" s="148"/>
      <c r="V42" s="148"/>
      <c r="W42" s="148"/>
      <c r="X42" s="148"/>
      <c r="Y42" s="148"/>
      <c r="Z42" s="148"/>
      <c r="AA42" s="148"/>
      <c r="AB42" s="148"/>
      <c r="AC42" s="148"/>
    </row>
    <row r="43" spans="1:29" hidden="1">
      <c r="A43" s="146">
        <v>45830</v>
      </c>
      <c r="B43" s="147" t="s">
        <v>49</v>
      </c>
      <c r="C43" s="147"/>
      <c r="D43" s="147"/>
      <c r="E43" s="147"/>
      <c r="F43" s="147"/>
      <c r="G43" s="147"/>
      <c r="H43" s="147"/>
      <c r="I43" s="147"/>
      <c r="J43" s="147"/>
      <c r="K43" s="147"/>
      <c r="L43" s="147"/>
      <c r="M43" s="147"/>
      <c r="N43" s="147"/>
      <c r="O43" s="147"/>
      <c r="P43" s="147"/>
      <c r="Q43" s="147">
        <v>33</v>
      </c>
      <c r="R43" s="148"/>
      <c r="S43" s="148"/>
      <c r="T43" s="148"/>
      <c r="U43" s="148"/>
      <c r="V43" s="148"/>
      <c r="W43" s="148"/>
      <c r="X43" s="148"/>
      <c r="Y43" s="148"/>
      <c r="Z43" s="148"/>
      <c r="AA43" s="148"/>
      <c r="AB43" s="148"/>
      <c r="AC43" s="148"/>
    </row>
    <row r="44" spans="1:29" hidden="1">
      <c r="A44" s="146">
        <v>45830</v>
      </c>
      <c r="B44" s="147" t="s">
        <v>61</v>
      </c>
      <c r="C44" s="147">
        <v>2</v>
      </c>
      <c r="D44" s="147"/>
      <c r="E44" s="147"/>
      <c r="F44" s="147"/>
      <c r="G44" s="147"/>
      <c r="H44" s="147"/>
      <c r="I44" s="147"/>
      <c r="J44" s="147">
        <v>1</v>
      </c>
      <c r="K44" s="147"/>
      <c r="L44" s="147"/>
      <c r="M44" s="147">
        <v>1</v>
      </c>
      <c r="N44" s="147" t="s">
        <v>12817</v>
      </c>
      <c r="O44" s="147"/>
      <c r="P44" s="147"/>
      <c r="Q44" s="147">
        <v>51</v>
      </c>
      <c r="R44" s="148"/>
      <c r="S44" s="148"/>
      <c r="T44" s="148"/>
      <c r="U44" s="148"/>
      <c r="V44" s="148"/>
      <c r="W44" s="148"/>
      <c r="X44" s="148"/>
      <c r="Y44" s="148"/>
      <c r="Z44" s="148"/>
      <c r="AA44" s="148"/>
      <c r="AB44" s="148"/>
      <c r="AC44" s="148"/>
    </row>
    <row r="45" spans="1:29" hidden="1">
      <c r="A45" s="146">
        <v>45817</v>
      </c>
      <c r="B45" s="147" t="s">
        <v>61</v>
      </c>
      <c r="C45" s="147">
        <v>3</v>
      </c>
      <c r="D45" s="147">
        <v>2</v>
      </c>
      <c r="E45" s="147">
        <v>1</v>
      </c>
      <c r="F45" s="147"/>
      <c r="G45" s="147"/>
      <c r="H45" s="147"/>
      <c r="I45" s="147"/>
      <c r="J45" s="147"/>
      <c r="K45" s="147"/>
      <c r="L45" s="147"/>
      <c r="M45" s="147"/>
      <c r="N45" s="147" t="s">
        <v>12818</v>
      </c>
      <c r="O45" s="147"/>
      <c r="P45" s="147"/>
      <c r="Q45" s="147">
        <v>32</v>
      </c>
      <c r="R45" s="148"/>
      <c r="S45" s="148"/>
      <c r="T45" s="148"/>
      <c r="U45" s="148"/>
      <c r="V45" s="148"/>
      <c r="W45" s="148"/>
      <c r="X45" s="148"/>
      <c r="Y45" s="148"/>
      <c r="Z45" s="148"/>
      <c r="AA45" s="148"/>
      <c r="AB45" s="148"/>
      <c r="AC45" s="148"/>
    </row>
    <row r="46" spans="1:29">
      <c r="A46" s="146">
        <v>45831</v>
      </c>
      <c r="B46" s="147" t="s">
        <v>115</v>
      </c>
      <c r="C46" s="147">
        <v>2</v>
      </c>
      <c r="D46" s="147">
        <v>1</v>
      </c>
      <c r="E46" s="147"/>
      <c r="F46" s="147"/>
      <c r="G46" s="147"/>
      <c r="H46" s="147"/>
      <c r="I46" s="147">
        <v>1</v>
      </c>
      <c r="J46" s="147"/>
      <c r="K46" s="147"/>
      <c r="L46" s="147"/>
      <c r="M46" s="147"/>
      <c r="N46" s="147"/>
      <c r="O46" s="147"/>
      <c r="P46" s="147"/>
      <c r="Q46" s="147">
        <v>54</v>
      </c>
      <c r="R46" s="148"/>
      <c r="S46" s="148"/>
      <c r="T46" s="148"/>
      <c r="U46" s="148"/>
      <c r="V46" s="148"/>
      <c r="W46" s="148"/>
      <c r="X46" s="148"/>
      <c r="Y46" s="148"/>
      <c r="Z46" s="148"/>
      <c r="AA46" s="148"/>
      <c r="AB46" s="148"/>
      <c r="AC46" s="148"/>
    </row>
    <row r="47" spans="1:29" hidden="1">
      <c r="A47" s="146">
        <v>45831</v>
      </c>
      <c r="B47" s="147" t="s">
        <v>49</v>
      </c>
      <c r="C47" s="147">
        <v>4</v>
      </c>
      <c r="D47" s="147">
        <v>3</v>
      </c>
      <c r="E47" s="147"/>
      <c r="F47" s="147"/>
      <c r="G47" s="147"/>
      <c r="H47" s="147">
        <v>1</v>
      </c>
      <c r="I47" s="147"/>
      <c r="J47" s="147"/>
      <c r="K47" s="147"/>
      <c r="L47" s="147"/>
      <c r="M47" s="147"/>
      <c r="N47" s="147"/>
      <c r="O47" s="147"/>
      <c r="P47" s="147"/>
      <c r="Q47" s="147">
        <v>12</v>
      </c>
      <c r="R47" s="148"/>
      <c r="S47" s="148"/>
      <c r="T47" s="148"/>
      <c r="U47" s="148"/>
      <c r="V47" s="148"/>
      <c r="W47" s="148"/>
      <c r="X47" s="148"/>
      <c r="Y47" s="148"/>
      <c r="Z47" s="148"/>
      <c r="AA47" s="148"/>
      <c r="AB47" s="148"/>
      <c r="AC47" s="148"/>
    </row>
    <row r="48" spans="1:29" hidden="1">
      <c r="A48" s="146">
        <v>45831</v>
      </c>
      <c r="B48" s="147" t="s">
        <v>61</v>
      </c>
      <c r="C48" s="147">
        <v>8</v>
      </c>
      <c r="D48" s="147">
        <v>6</v>
      </c>
      <c r="E48" s="147">
        <v>1</v>
      </c>
      <c r="F48" s="147"/>
      <c r="G48" s="147"/>
      <c r="H48" s="147"/>
      <c r="I48" s="147">
        <v>1</v>
      </c>
      <c r="J48" s="147"/>
      <c r="K48" s="147"/>
      <c r="L48" s="147"/>
      <c r="M48" s="147"/>
      <c r="N48" s="147" t="s">
        <v>12819</v>
      </c>
      <c r="O48" s="147"/>
      <c r="P48" s="147"/>
      <c r="Q48" s="147">
        <v>56</v>
      </c>
      <c r="R48" s="148"/>
      <c r="S48" s="148"/>
      <c r="T48" s="148"/>
      <c r="U48" s="148"/>
      <c r="V48" s="148"/>
      <c r="W48" s="148"/>
      <c r="X48" s="148"/>
      <c r="Y48" s="148"/>
      <c r="Z48" s="148"/>
      <c r="AA48" s="148"/>
      <c r="AB48" s="148"/>
      <c r="AC48" s="148"/>
    </row>
    <row r="49" spans="1:29">
      <c r="A49" s="146">
        <v>45832</v>
      </c>
      <c r="B49" s="147" t="s">
        <v>115</v>
      </c>
      <c r="C49" s="147">
        <v>6</v>
      </c>
      <c r="D49" s="147">
        <v>6</v>
      </c>
      <c r="E49" s="147"/>
      <c r="F49" s="147"/>
      <c r="G49" s="147"/>
      <c r="H49" s="147"/>
      <c r="I49" s="147"/>
      <c r="J49" s="147"/>
      <c r="K49" s="147"/>
      <c r="L49" s="147"/>
      <c r="M49" s="147"/>
      <c r="N49" s="147"/>
      <c r="O49" s="147"/>
      <c r="P49" s="147"/>
      <c r="Q49" s="147">
        <v>44</v>
      </c>
      <c r="R49" s="148"/>
      <c r="S49" s="148"/>
      <c r="T49" s="148"/>
      <c r="U49" s="148"/>
      <c r="V49" s="148"/>
      <c r="W49" s="148"/>
      <c r="X49" s="148"/>
      <c r="Y49" s="148"/>
      <c r="Z49" s="148"/>
      <c r="AA49" s="148"/>
      <c r="AB49" s="148"/>
      <c r="AC49" s="148"/>
    </row>
    <row r="50" spans="1:29" hidden="1">
      <c r="A50" s="146">
        <v>45832</v>
      </c>
      <c r="B50" s="147" t="s">
        <v>49</v>
      </c>
      <c r="C50" s="147"/>
      <c r="D50" s="147"/>
      <c r="E50" s="147"/>
      <c r="F50" s="147"/>
      <c r="G50" s="147"/>
      <c r="H50" s="147"/>
      <c r="I50" s="147"/>
      <c r="J50" s="147"/>
      <c r="K50" s="147"/>
      <c r="L50" s="147"/>
      <c r="M50" s="147"/>
      <c r="N50" s="147"/>
      <c r="O50" s="147"/>
      <c r="P50" s="147"/>
      <c r="Q50" s="147">
        <v>23</v>
      </c>
      <c r="R50" s="148"/>
      <c r="S50" s="148"/>
      <c r="T50" s="148"/>
      <c r="U50" s="148"/>
      <c r="V50" s="148"/>
      <c r="W50" s="148"/>
      <c r="X50" s="148"/>
      <c r="Y50" s="148"/>
      <c r="Z50" s="148"/>
      <c r="AA50" s="148"/>
      <c r="AB50" s="148"/>
      <c r="AC50" s="148"/>
    </row>
    <row r="51" spans="1:29" hidden="1">
      <c r="A51" s="146">
        <v>45832</v>
      </c>
      <c r="B51" s="147" t="s">
        <v>61</v>
      </c>
      <c r="C51" s="147">
        <v>2</v>
      </c>
      <c r="D51" s="147">
        <v>1</v>
      </c>
      <c r="E51" s="147"/>
      <c r="F51" s="147"/>
      <c r="G51" s="147"/>
      <c r="H51" s="147"/>
      <c r="I51" s="147"/>
      <c r="J51" s="147">
        <v>1</v>
      </c>
      <c r="K51" s="147"/>
      <c r="L51" s="147"/>
      <c r="M51" s="147"/>
      <c r="N51" s="147" t="s">
        <v>12820</v>
      </c>
      <c r="O51" s="147"/>
      <c r="P51" s="147"/>
      <c r="Q51" s="147">
        <v>77</v>
      </c>
      <c r="R51" s="148"/>
      <c r="S51" s="148"/>
      <c r="T51" s="148"/>
      <c r="U51" s="148"/>
      <c r="V51" s="148"/>
      <c r="W51" s="148"/>
      <c r="X51" s="148"/>
      <c r="Y51" s="148"/>
      <c r="Z51" s="148"/>
      <c r="AA51" s="148"/>
      <c r="AB51" s="148"/>
      <c r="AC51" s="148"/>
    </row>
    <row r="52" spans="1:29">
      <c r="A52" s="146">
        <v>45833</v>
      </c>
      <c r="B52" s="147" t="s">
        <v>115</v>
      </c>
      <c r="C52" s="147">
        <v>1</v>
      </c>
      <c r="D52" s="147">
        <v>1</v>
      </c>
      <c r="E52" s="147"/>
      <c r="F52" s="147"/>
      <c r="G52" s="147"/>
      <c r="H52" s="147"/>
      <c r="I52" s="147"/>
      <c r="J52" s="147"/>
      <c r="K52" s="147"/>
      <c r="L52" s="147"/>
      <c r="M52" s="147"/>
      <c r="N52" s="147"/>
      <c r="O52" s="147"/>
      <c r="P52" s="147"/>
      <c r="Q52" s="147">
        <v>32</v>
      </c>
      <c r="R52" s="148"/>
      <c r="S52" s="148"/>
      <c r="T52" s="148"/>
      <c r="U52" s="148"/>
      <c r="V52" s="148"/>
      <c r="W52" s="148"/>
      <c r="X52" s="148"/>
      <c r="Y52" s="148"/>
      <c r="Z52" s="148"/>
      <c r="AA52" s="148"/>
      <c r="AB52" s="148"/>
      <c r="AC52" s="148"/>
    </row>
    <row r="53" spans="1:29" hidden="1">
      <c r="A53" s="146">
        <v>45833</v>
      </c>
      <c r="B53" s="147" t="s">
        <v>49</v>
      </c>
      <c r="C53" s="147">
        <v>4</v>
      </c>
      <c r="D53" s="147">
        <v>2</v>
      </c>
      <c r="E53" s="147">
        <v>1</v>
      </c>
      <c r="F53" s="147"/>
      <c r="G53" s="147"/>
      <c r="H53" s="147"/>
      <c r="I53" s="147">
        <v>1</v>
      </c>
      <c r="J53" s="147"/>
      <c r="K53" s="147"/>
      <c r="L53" s="147"/>
      <c r="M53" s="147"/>
      <c r="N53" s="147"/>
      <c r="O53" s="147"/>
      <c r="P53" s="147"/>
      <c r="Q53" s="147">
        <v>8</v>
      </c>
      <c r="R53" s="148"/>
      <c r="S53" s="148"/>
      <c r="T53" s="148"/>
      <c r="U53" s="148"/>
      <c r="V53" s="148"/>
      <c r="W53" s="148"/>
      <c r="X53" s="148"/>
      <c r="Y53" s="148"/>
      <c r="Z53" s="148"/>
      <c r="AA53" s="148"/>
      <c r="AB53" s="148"/>
      <c r="AC53" s="148"/>
    </row>
    <row r="54" spans="1:29" hidden="1">
      <c r="A54" s="146">
        <v>45833</v>
      </c>
      <c r="B54" s="147" t="s">
        <v>1229</v>
      </c>
      <c r="C54" s="147">
        <v>1</v>
      </c>
      <c r="D54" s="147">
        <v>1</v>
      </c>
      <c r="E54" s="147"/>
      <c r="F54" s="147"/>
      <c r="G54" s="147"/>
      <c r="H54" s="147"/>
      <c r="I54" s="147"/>
      <c r="J54" s="147"/>
      <c r="K54" s="147"/>
      <c r="L54" s="147"/>
      <c r="M54" s="147"/>
      <c r="N54" s="147" t="s">
        <v>12821</v>
      </c>
      <c r="O54" s="147"/>
      <c r="P54" s="147"/>
      <c r="Q54" s="147">
        <v>16</v>
      </c>
      <c r="R54" s="148"/>
      <c r="S54" s="148"/>
      <c r="T54" s="148"/>
      <c r="U54" s="148"/>
      <c r="V54" s="148"/>
      <c r="W54" s="148"/>
      <c r="X54" s="148"/>
      <c r="Y54" s="148"/>
      <c r="Z54" s="148"/>
      <c r="AA54" s="148"/>
      <c r="AB54" s="148"/>
      <c r="AC54" s="148"/>
    </row>
    <row r="55" spans="1:29" hidden="1">
      <c r="A55" s="146">
        <v>45833</v>
      </c>
      <c r="B55" s="147" t="s">
        <v>61</v>
      </c>
      <c r="C55" s="147">
        <v>1</v>
      </c>
      <c r="D55" s="147"/>
      <c r="E55" s="147"/>
      <c r="F55" s="147"/>
      <c r="G55" s="147"/>
      <c r="H55" s="147"/>
      <c r="I55" s="147">
        <v>1</v>
      </c>
      <c r="J55" s="147"/>
      <c r="K55" s="147"/>
      <c r="L55" s="147"/>
      <c r="M55" s="147"/>
      <c r="N55" s="147" t="s">
        <v>12822</v>
      </c>
      <c r="O55" s="147"/>
      <c r="P55" s="147"/>
      <c r="Q55" s="147">
        <v>13</v>
      </c>
      <c r="R55" s="148"/>
      <c r="S55" s="148"/>
      <c r="T55" s="148"/>
      <c r="U55" s="148"/>
      <c r="V55" s="148"/>
      <c r="W55" s="148"/>
      <c r="X55" s="148"/>
      <c r="Y55" s="148"/>
      <c r="Z55" s="148"/>
      <c r="AA55" s="148"/>
      <c r="AB55" s="148"/>
      <c r="AC55" s="148"/>
    </row>
    <row r="56" spans="1:29">
      <c r="A56" s="146">
        <v>45834</v>
      </c>
      <c r="B56" s="147" t="s">
        <v>115</v>
      </c>
      <c r="C56" s="147">
        <v>3</v>
      </c>
      <c r="D56" s="147">
        <v>2</v>
      </c>
      <c r="E56" s="147"/>
      <c r="F56" s="147">
        <v>1</v>
      </c>
      <c r="G56" s="147"/>
      <c r="H56" s="147"/>
      <c r="I56" s="147"/>
      <c r="J56" s="147"/>
      <c r="K56" s="147"/>
      <c r="L56" s="147"/>
      <c r="M56" s="147"/>
      <c r="N56" s="147"/>
      <c r="O56" s="147"/>
      <c r="P56" s="147"/>
      <c r="Q56" s="147">
        <v>17</v>
      </c>
      <c r="R56" s="148"/>
      <c r="S56" s="148"/>
      <c r="T56" s="148"/>
      <c r="U56" s="148"/>
      <c r="V56" s="148"/>
      <c r="W56" s="148"/>
      <c r="X56" s="148"/>
      <c r="Y56" s="148"/>
      <c r="Z56" s="148"/>
      <c r="AA56" s="148"/>
      <c r="AB56" s="148"/>
      <c r="AC56" s="148"/>
    </row>
    <row r="57" spans="1:29" hidden="1">
      <c r="A57" s="146">
        <v>45834</v>
      </c>
      <c r="B57" s="147" t="s">
        <v>49</v>
      </c>
      <c r="C57" s="147">
        <v>1</v>
      </c>
      <c r="D57" s="147">
        <v>1</v>
      </c>
      <c r="E57" s="147"/>
      <c r="F57" s="147"/>
      <c r="G57" s="147"/>
      <c r="H57" s="147"/>
      <c r="I57" s="147"/>
      <c r="J57" s="147"/>
      <c r="K57" s="147"/>
      <c r="L57" s="147"/>
      <c r="M57" s="147"/>
      <c r="N57" s="147"/>
      <c r="O57" s="147"/>
      <c r="P57" s="147"/>
      <c r="Q57" s="147">
        <v>10</v>
      </c>
      <c r="R57" s="148"/>
      <c r="S57" s="148"/>
      <c r="T57" s="148"/>
      <c r="U57" s="148"/>
      <c r="V57" s="148"/>
      <c r="W57" s="148"/>
      <c r="X57" s="148"/>
      <c r="Y57" s="148"/>
      <c r="Z57" s="148"/>
      <c r="AA57" s="148"/>
      <c r="AB57" s="148"/>
      <c r="AC57" s="148"/>
    </row>
    <row r="58" spans="1:29" hidden="1">
      <c r="A58" s="146">
        <v>45834</v>
      </c>
      <c r="B58" s="147" t="s">
        <v>1229</v>
      </c>
      <c r="C58" s="147">
        <v>2</v>
      </c>
      <c r="D58" s="147">
        <v>2</v>
      </c>
      <c r="E58" s="147"/>
      <c r="F58" s="147"/>
      <c r="G58" s="147"/>
      <c r="H58" s="147"/>
      <c r="I58" s="147"/>
      <c r="J58" s="147"/>
      <c r="K58" s="147"/>
      <c r="L58" s="147"/>
      <c r="M58" s="147"/>
      <c r="N58" s="147"/>
      <c r="O58" s="147"/>
      <c r="P58" s="147"/>
      <c r="Q58" s="147">
        <v>84</v>
      </c>
      <c r="R58" s="148"/>
      <c r="S58" s="148"/>
      <c r="T58" s="148"/>
      <c r="U58" s="148"/>
      <c r="V58" s="148"/>
      <c r="W58" s="148"/>
      <c r="X58" s="148"/>
      <c r="Y58" s="148"/>
      <c r="Z58" s="148"/>
      <c r="AA58" s="148"/>
      <c r="AB58" s="148"/>
      <c r="AC58" s="148"/>
    </row>
    <row r="59" spans="1:29">
      <c r="A59" s="146">
        <v>45835</v>
      </c>
      <c r="B59" s="147" t="s">
        <v>115</v>
      </c>
      <c r="C59" s="147">
        <v>4</v>
      </c>
      <c r="D59" s="147">
        <v>2</v>
      </c>
      <c r="E59" s="147"/>
      <c r="F59" s="147"/>
      <c r="G59" s="147"/>
      <c r="H59" s="147"/>
      <c r="I59" s="147"/>
      <c r="J59" s="147"/>
      <c r="K59" s="147"/>
      <c r="L59" s="147"/>
      <c r="M59" s="147">
        <v>2</v>
      </c>
      <c r="N59" s="147"/>
      <c r="O59" s="147"/>
      <c r="P59" s="147"/>
      <c r="Q59" s="147">
        <v>49</v>
      </c>
      <c r="R59" s="148"/>
      <c r="S59" s="148"/>
      <c r="T59" s="148"/>
      <c r="U59" s="148"/>
      <c r="V59" s="148"/>
      <c r="W59" s="148"/>
      <c r="X59" s="148"/>
      <c r="Y59" s="148"/>
      <c r="Z59" s="148"/>
      <c r="AA59" s="148"/>
      <c r="AB59" s="148"/>
      <c r="AC59" s="148"/>
    </row>
    <row r="60" spans="1:29" hidden="1">
      <c r="A60" s="146">
        <v>45834</v>
      </c>
      <c r="B60" s="147" t="s">
        <v>61</v>
      </c>
      <c r="C60" s="147">
        <v>1</v>
      </c>
      <c r="D60" s="147"/>
      <c r="E60" s="147">
        <v>1</v>
      </c>
      <c r="F60" s="147"/>
      <c r="G60" s="147"/>
      <c r="H60" s="147"/>
      <c r="I60" s="147"/>
      <c r="J60" s="147"/>
      <c r="K60" s="147"/>
      <c r="L60" s="147"/>
      <c r="M60" s="147"/>
      <c r="N60" s="147" t="s">
        <v>12823</v>
      </c>
      <c r="O60" s="147"/>
      <c r="P60" s="147"/>
      <c r="Q60" s="147">
        <v>31</v>
      </c>
      <c r="R60" s="148"/>
      <c r="S60" s="148"/>
      <c r="T60" s="148"/>
      <c r="U60" s="148"/>
      <c r="V60" s="148"/>
      <c r="W60" s="148"/>
      <c r="X60" s="148"/>
      <c r="Y60" s="148"/>
      <c r="Z60" s="148"/>
      <c r="AA60" s="148"/>
      <c r="AB60" s="148"/>
      <c r="AC60" s="148"/>
    </row>
    <row r="61" spans="1:29" hidden="1">
      <c r="A61" s="146">
        <v>45835</v>
      </c>
      <c r="B61" s="147" t="s">
        <v>61</v>
      </c>
      <c r="C61" s="147">
        <v>6</v>
      </c>
      <c r="D61" s="147">
        <v>2</v>
      </c>
      <c r="E61" s="147">
        <v>1</v>
      </c>
      <c r="F61" s="147">
        <v>2</v>
      </c>
      <c r="G61" s="147"/>
      <c r="H61" s="147"/>
      <c r="I61" s="147">
        <v>1</v>
      </c>
      <c r="J61" s="147"/>
      <c r="K61" s="147"/>
      <c r="L61" s="147"/>
      <c r="M61" s="147">
        <v>1</v>
      </c>
      <c r="N61" s="147" t="s">
        <v>12824</v>
      </c>
      <c r="O61" s="147"/>
      <c r="P61" s="147"/>
      <c r="Q61" s="147">
        <v>71</v>
      </c>
      <c r="R61" s="148"/>
      <c r="S61" s="148"/>
      <c r="T61" s="148"/>
      <c r="U61" s="148"/>
      <c r="V61" s="148"/>
      <c r="W61" s="148"/>
      <c r="X61" s="148"/>
      <c r="Y61" s="148"/>
      <c r="Z61" s="148"/>
      <c r="AA61" s="148"/>
      <c r="AB61" s="148"/>
      <c r="AC61" s="148"/>
    </row>
    <row r="62" spans="1:29" hidden="1">
      <c r="A62" s="146">
        <v>45835</v>
      </c>
      <c r="B62" s="147" t="s">
        <v>49</v>
      </c>
      <c r="C62" s="147">
        <v>2</v>
      </c>
      <c r="D62" s="147">
        <v>1</v>
      </c>
      <c r="E62" s="147"/>
      <c r="F62" s="147"/>
      <c r="G62" s="147"/>
      <c r="H62" s="147">
        <v>1</v>
      </c>
      <c r="I62" s="147"/>
      <c r="J62" s="147"/>
      <c r="K62" s="147"/>
      <c r="L62" s="147"/>
      <c r="M62" s="147"/>
      <c r="N62" s="147"/>
      <c r="O62" s="147"/>
      <c r="P62" s="147"/>
      <c r="Q62" s="147">
        <v>41</v>
      </c>
      <c r="R62" s="148"/>
      <c r="S62" s="148"/>
      <c r="T62" s="148"/>
      <c r="U62" s="148"/>
      <c r="V62" s="148"/>
      <c r="W62" s="148"/>
      <c r="X62" s="148"/>
      <c r="Y62" s="148"/>
      <c r="Z62" s="148"/>
      <c r="AA62" s="148"/>
      <c r="AB62" s="148"/>
      <c r="AC62" s="148"/>
    </row>
    <row r="63" spans="1:29">
      <c r="A63" s="146">
        <v>45836</v>
      </c>
      <c r="B63" s="147" t="s">
        <v>115</v>
      </c>
      <c r="C63" s="147">
        <v>2</v>
      </c>
      <c r="D63" s="147">
        <v>2</v>
      </c>
      <c r="E63" s="147"/>
      <c r="F63" s="147"/>
      <c r="G63" s="147"/>
      <c r="H63" s="147"/>
      <c r="I63" s="147"/>
      <c r="J63" s="147"/>
      <c r="K63" s="147"/>
      <c r="L63" s="147"/>
      <c r="M63" s="147"/>
      <c r="N63" s="147"/>
      <c r="O63" s="147"/>
      <c r="P63" s="147"/>
      <c r="Q63" s="147">
        <v>86</v>
      </c>
      <c r="R63" s="148"/>
      <c r="S63" s="148"/>
      <c r="T63" s="148"/>
      <c r="U63" s="148"/>
      <c r="V63" s="148"/>
      <c r="W63" s="148"/>
      <c r="X63" s="148"/>
      <c r="Y63" s="148"/>
      <c r="Z63" s="148"/>
      <c r="AA63" s="148"/>
      <c r="AB63" s="148"/>
      <c r="AC63" s="148"/>
    </row>
    <row r="64" spans="1:29" hidden="1">
      <c r="A64" s="146">
        <v>45836</v>
      </c>
      <c r="B64" s="147" t="s">
        <v>61</v>
      </c>
      <c r="C64" s="147">
        <v>8</v>
      </c>
      <c r="D64" s="147">
        <v>4</v>
      </c>
      <c r="E64" s="147"/>
      <c r="F64" s="147"/>
      <c r="G64" s="147"/>
      <c r="H64" s="147">
        <v>1</v>
      </c>
      <c r="I64" s="147">
        <v>1</v>
      </c>
      <c r="J64" s="147">
        <v>1</v>
      </c>
      <c r="K64" s="147"/>
      <c r="L64" s="147"/>
      <c r="M64" s="147">
        <v>1</v>
      </c>
      <c r="N64" s="147" t="s">
        <v>12825</v>
      </c>
      <c r="O64" s="147"/>
      <c r="P64" s="147"/>
      <c r="Q64" s="147">
        <v>82</v>
      </c>
      <c r="R64" s="148"/>
      <c r="S64" s="148"/>
      <c r="T64" s="148"/>
      <c r="U64" s="148"/>
      <c r="V64" s="148"/>
      <c r="W64" s="148"/>
      <c r="X64" s="148"/>
      <c r="Y64" s="148"/>
      <c r="Z64" s="148"/>
      <c r="AA64" s="148"/>
      <c r="AB64" s="148"/>
      <c r="AC64" s="148"/>
    </row>
    <row r="65" spans="1:29" hidden="1">
      <c r="A65" s="146">
        <v>45836</v>
      </c>
      <c r="B65" s="147" t="s">
        <v>49</v>
      </c>
      <c r="C65" s="147">
        <v>2</v>
      </c>
      <c r="D65" s="147">
        <v>2</v>
      </c>
      <c r="E65" s="147"/>
      <c r="F65" s="147"/>
      <c r="G65" s="147"/>
      <c r="H65" s="147"/>
      <c r="I65" s="147"/>
      <c r="J65" s="147"/>
      <c r="K65" s="147"/>
      <c r="L65" s="147"/>
      <c r="M65" s="147"/>
      <c r="N65" s="147"/>
      <c r="O65" s="147"/>
      <c r="P65" s="147"/>
      <c r="Q65" s="147">
        <v>118</v>
      </c>
      <c r="R65" s="148"/>
      <c r="S65" s="148"/>
      <c r="T65" s="148"/>
      <c r="U65" s="148"/>
      <c r="V65" s="148"/>
      <c r="W65" s="148"/>
      <c r="X65" s="148"/>
      <c r="Y65" s="148"/>
      <c r="Z65" s="148"/>
      <c r="AA65" s="148"/>
      <c r="AB65" s="148"/>
      <c r="AC65" s="148"/>
    </row>
    <row r="66" spans="1:29" hidden="1">
      <c r="A66" s="146">
        <v>45837</v>
      </c>
      <c r="B66" s="147" t="s">
        <v>49</v>
      </c>
      <c r="C66" s="147">
        <v>1</v>
      </c>
      <c r="D66" s="147">
        <v>1</v>
      </c>
      <c r="E66" s="147"/>
      <c r="F66" s="147"/>
      <c r="G66" s="147"/>
      <c r="H66" s="147"/>
      <c r="I66" s="147"/>
      <c r="J66" s="147"/>
      <c r="K66" s="147"/>
      <c r="L66" s="147"/>
      <c r="M66" s="147"/>
      <c r="N66" s="147"/>
      <c r="O66" s="147"/>
      <c r="P66" s="147"/>
      <c r="Q66" s="147"/>
      <c r="R66" s="148"/>
      <c r="S66" s="148"/>
      <c r="T66" s="148"/>
      <c r="U66" s="148"/>
      <c r="V66" s="148"/>
      <c r="W66" s="148"/>
      <c r="X66" s="148"/>
      <c r="Y66" s="148"/>
      <c r="Z66" s="148"/>
      <c r="AA66" s="148"/>
      <c r="AB66" s="148"/>
      <c r="AC66" s="148"/>
    </row>
    <row r="67" spans="1:29" hidden="1">
      <c r="A67" s="146">
        <v>45837</v>
      </c>
      <c r="B67" s="147" t="s">
        <v>61</v>
      </c>
      <c r="C67" s="147">
        <v>1</v>
      </c>
      <c r="D67" s="147">
        <v>1</v>
      </c>
      <c r="E67" s="147"/>
      <c r="F67" s="147"/>
      <c r="G67" s="147"/>
      <c r="H67" s="147"/>
      <c r="I67" s="147"/>
      <c r="J67" s="147"/>
      <c r="K67" s="147"/>
      <c r="L67" s="147"/>
      <c r="M67" s="147"/>
      <c r="N67" s="147" t="s">
        <v>12826</v>
      </c>
      <c r="O67" s="147"/>
      <c r="P67" s="147"/>
      <c r="Q67" s="147">
        <v>2</v>
      </c>
      <c r="R67" s="148"/>
      <c r="S67" s="148"/>
      <c r="T67" s="148"/>
      <c r="U67" s="148"/>
      <c r="V67" s="148"/>
      <c r="W67" s="148"/>
      <c r="X67" s="148"/>
      <c r="Y67" s="148"/>
      <c r="Z67" s="148"/>
      <c r="AA67" s="148"/>
      <c r="AB67" s="148"/>
      <c r="AC67" s="148"/>
    </row>
    <row r="68" spans="1:29">
      <c r="A68" s="146">
        <v>45837</v>
      </c>
      <c r="B68" s="147" t="s">
        <v>115</v>
      </c>
      <c r="C68" s="147">
        <v>1</v>
      </c>
      <c r="D68" s="147">
        <v>1</v>
      </c>
      <c r="E68" s="147"/>
      <c r="F68" s="147"/>
      <c r="G68" s="147"/>
      <c r="H68" s="147"/>
      <c r="I68" s="147"/>
      <c r="J68" s="147"/>
      <c r="K68" s="147"/>
      <c r="L68" s="147"/>
      <c r="M68" s="147"/>
      <c r="N68" s="147"/>
      <c r="O68" s="147"/>
      <c r="P68" s="147"/>
      <c r="Q68" s="147"/>
      <c r="R68" s="148"/>
      <c r="S68" s="148"/>
      <c r="T68" s="148"/>
      <c r="U68" s="148"/>
      <c r="V68" s="148"/>
      <c r="W68" s="148"/>
      <c r="X68" s="148"/>
      <c r="Y68" s="148"/>
      <c r="Z68" s="148"/>
      <c r="AA68" s="148"/>
      <c r="AB68" s="148"/>
      <c r="AC68" s="148"/>
    </row>
    <row r="69" spans="1:29">
      <c r="A69" s="146">
        <v>45838</v>
      </c>
      <c r="B69" s="147" t="s">
        <v>115</v>
      </c>
      <c r="C69" s="147">
        <v>3</v>
      </c>
      <c r="D69" s="147">
        <v>3</v>
      </c>
      <c r="E69" s="147"/>
      <c r="F69" s="147"/>
      <c r="G69" s="147"/>
      <c r="H69" s="147"/>
      <c r="I69" s="147"/>
      <c r="J69" s="147"/>
      <c r="K69" s="147"/>
      <c r="L69" s="147"/>
      <c r="M69" s="147"/>
      <c r="N69" s="147"/>
      <c r="O69" s="147"/>
      <c r="P69" s="147"/>
      <c r="Q69" s="147">
        <v>94</v>
      </c>
      <c r="R69" s="148"/>
      <c r="S69" s="148"/>
      <c r="T69" s="148"/>
      <c r="U69" s="148"/>
      <c r="V69" s="148"/>
      <c r="W69" s="148"/>
      <c r="X69" s="148"/>
      <c r="Y69" s="148"/>
      <c r="Z69" s="148"/>
      <c r="AA69" s="148"/>
      <c r="AB69" s="148"/>
      <c r="AC69" s="148"/>
    </row>
    <row r="70" spans="1:29" hidden="1">
      <c r="A70" s="146">
        <v>45838</v>
      </c>
      <c r="B70" s="147" t="s">
        <v>61</v>
      </c>
      <c r="C70" s="147">
        <v>4</v>
      </c>
      <c r="D70" s="147">
        <v>3</v>
      </c>
      <c r="E70" s="147">
        <v>1</v>
      </c>
      <c r="F70" s="147"/>
      <c r="G70" s="147"/>
      <c r="H70" s="147"/>
      <c r="I70" s="147"/>
      <c r="J70" s="147"/>
      <c r="K70" s="147"/>
      <c r="L70" s="147"/>
      <c r="M70" s="147"/>
      <c r="N70" s="147" t="s">
        <v>12827</v>
      </c>
      <c r="O70" s="147"/>
      <c r="P70" s="147"/>
      <c r="Q70" s="147">
        <v>120</v>
      </c>
      <c r="R70" s="148"/>
      <c r="S70" s="148"/>
      <c r="T70" s="148"/>
      <c r="U70" s="148"/>
      <c r="V70" s="148"/>
      <c r="W70" s="148"/>
      <c r="X70" s="148"/>
      <c r="Y70" s="148"/>
      <c r="Z70" s="148"/>
      <c r="AA70" s="148"/>
      <c r="AB70" s="148"/>
      <c r="AC70" s="148"/>
    </row>
    <row r="71" spans="1:29" hidden="1">
      <c r="A71" s="146">
        <v>45838</v>
      </c>
      <c r="B71" s="147" t="s">
        <v>49</v>
      </c>
      <c r="C71" s="147">
        <v>1</v>
      </c>
      <c r="D71" s="147"/>
      <c r="E71" s="147"/>
      <c r="F71" s="147"/>
      <c r="G71" s="147"/>
      <c r="H71" s="147"/>
      <c r="I71" s="147"/>
      <c r="J71" s="147">
        <v>1</v>
      </c>
      <c r="K71" s="147"/>
      <c r="L71" s="147"/>
      <c r="M71" s="147"/>
      <c r="N71" s="147"/>
      <c r="O71" s="147"/>
      <c r="P71" s="147"/>
      <c r="Q71" s="147">
        <v>50</v>
      </c>
      <c r="R71" s="148"/>
      <c r="S71" s="148"/>
      <c r="T71" s="148"/>
      <c r="U71" s="148"/>
      <c r="V71" s="148"/>
      <c r="W71" s="148"/>
      <c r="X71" s="148"/>
      <c r="Y71" s="148"/>
      <c r="Z71" s="148"/>
      <c r="AA71" s="148"/>
      <c r="AB71" s="148"/>
      <c r="AC71" s="148"/>
    </row>
    <row r="72" spans="1:29">
      <c r="A72" s="146">
        <v>45839</v>
      </c>
      <c r="B72" s="147" t="s">
        <v>115</v>
      </c>
      <c r="C72" s="147">
        <v>5</v>
      </c>
      <c r="D72" s="147">
        <v>3</v>
      </c>
      <c r="E72" s="147">
        <v>1</v>
      </c>
      <c r="F72" s="147"/>
      <c r="G72" s="147"/>
      <c r="H72" s="147"/>
      <c r="I72" s="147"/>
      <c r="J72" s="147">
        <v>1</v>
      </c>
      <c r="K72" s="147"/>
      <c r="L72" s="147"/>
      <c r="M72" s="147"/>
      <c r="N72" s="147"/>
      <c r="O72" s="147"/>
      <c r="P72" s="147"/>
      <c r="Q72" s="147">
        <v>6</v>
      </c>
      <c r="R72" s="148"/>
      <c r="S72" s="148"/>
      <c r="T72" s="148"/>
      <c r="U72" s="148"/>
      <c r="V72" s="148"/>
      <c r="W72" s="148"/>
      <c r="X72" s="148"/>
      <c r="Y72" s="148"/>
      <c r="Z72" s="148"/>
      <c r="AA72" s="148"/>
      <c r="AB72" s="148"/>
      <c r="AC72" s="148"/>
    </row>
    <row r="73" spans="1:29" hidden="1">
      <c r="A73" s="146">
        <v>45839</v>
      </c>
      <c r="B73" s="147" t="s">
        <v>49</v>
      </c>
      <c r="C73" s="147">
        <v>1</v>
      </c>
      <c r="D73" s="147">
        <v>1</v>
      </c>
      <c r="E73" s="147"/>
      <c r="F73" s="147"/>
      <c r="G73" s="147"/>
      <c r="H73" s="147"/>
      <c r="I73" s="147"/>
      <c r="J73" s="147"/>
      <c r="K73" s="147"/>
      <c r="L73" s="147"/>
      <c r="M73" s="147"/>
      <c r="N73" s="147"/>
      <c r="O73" s="147"/>
      <c r="P73" s="147"/>
      <c r="Q73" s="147">
        <v>4</v>
      </c>
      <c r="R73" s="148"/>
      <c r="S73" s="148"/>
      <c r="T73" s="148"/>
      <c r="U73" s="148"/>
      <c r="V73" s="148"/>
      <c r="W73" s="148"/>
      <c r="X73" s="148"/>
      <c r="Y73" s="148"/>
      <c r="Z73" s="148"/>
      <c r="AA73" s="148"/>
      <c r="AB73" s="148"/>
      <c r="AC73" s="148"/>
    </row>
    <row r="74" spans="1:29">
      <c r="A74" s="146">
        <v>45840</v>
      </c>
      <c r="B74" s="147" t="s">
        <v>115</v>
      </c>
      <c r="C74" s="147">
        <v>4</v>
      </c>
      <c r="D74" s="147">
        <v>3</v>
      </c>
      <c r="E74" s="147">
        <v>1</v>
      </c>
      <c r="F74" s="147"/>
      <c r="G74" s="147"/>
      <c r="H74" s="147"/>
      <c r="I74" s="147"/>
      <c r="J74" s="147"/>
      <c r="K74" s="147"/>
      <c r="L74" s="147"/>
      <c r="M74" s="147"/>
      <c r="N74" s="147"/>
      <c r="O74" s="147"/>
      <c r="P74" s="147"/>
      <c r="Q74" s="147">
        <v>161</v>
      </c>
      <c r="R74" s="148"/>
      <c r="S74" s="148"/>
      <c r="T74" s="148"/>
      <c r="U74" s="148"/>
      <c r="V74" s="148"/>
      <c r="W74" s="148"/>
      <c r="X74" s="148"/>
      <c r="Y74" s="148"/>
      <c r="Z74" s="148"/>
      <c r="AA74" s="148"/>
      <c r="AB74" s="148"/>
      <c r="AC74" s="148"/>
    </row>
    <row r="75" spans="1:29" hidden="1">
      <c r="A75" s="146">
        <v>45839</v>
      </c>
      <c r="B75" s="147" t="s">
        <v>61</v>
      </c>
      <c r="C75" s="147">
        <v>5</v>
      </c>
      <c r="D75" s="147"/>
      <c r="E75" s="147"/>
      <c r="F75" s="147"/>
      <c r="G75" s="147"/>
      <c r="H75" s="147"/>
      <c r="I75" s="147"/>
      <c r="J75" s="147"/>
      <c r="K75" s="147"/>
      <c r="L75" s="147"/>
      <c r="M75" s="147"/>
      <c r="N75" s="147"/>
      <c r="O75" s="147"/>
      <c r="P75" s="147"/>
      <c r="Q75" s="147">
        <v>127</v>
      </c>
      <c r="R75" s="148"/>
      <c r="S75" s="148"/>
      <c r="T75" s="148"/>
      <c r="U75" s="148"/>
      <c r="V75" s="148"/>
      <c r="W75" s="148"/>
      <c r="X75" s="148"/>
      <c r="Y75" s="148"/>
      <c r="Z75" s="148"/>
      <c r="AA75" s="148"/>
      <c r="AB75" s="148"/>
      <c r="AC75" s="148"/>
    </row>
    <row r="76" spans="1:29" hidden="1">
      <c r="A76" s="146">
        <v>45840</v>
      </c>
      <c r="B76" s="147" t="s">
        <v>61</v>
      </c>
      <c r="C76" s="147">
        <v>4</v>
      </c>
      <c r="D76" s="147">
        <v>3</v>
      </c>
      <c r="E76" s="147"/>
      <c r="F76" s="147"/>
      <c r="G76" s="147"/>
      <c r="H76" s="147">
        <v>1</v>
      </c>
      <c r="I76" s="147"/>
      <c r="J76" s="147"/>
      <c r="K76" s="147"/>
      <c r="L76" s="147"/>
      <c r="M76" s="147"/>
      <c r="N76" s="147" t="s">
        <v>12828</v>
      </c>
      <c r="O76" s="147"/>
      <c r="P76" s="147"/>
      <c r="Q76" s="147" t="s">
        <v>12829</v>
      </c>
      <c r="R76" s="148"/>
      <c r="S76" s="148"/>
      <c r="T76" s="148"/>
      <c r="U76" s="148"/>
      <c r="V76" s="148"/>
      <c r="W76" s="148"/>
      <c r="X76" s="148"/>
      <c r="Y76" s="148"/>
      <c r="Z76" s="148"/>
      <c r="AA76" s="148"/>
      <c r="AB76" s="148"/>
      <c r="AC76" s="148"/>
    </row>
    <row r="77" spans="1:29" hidden="1">
      <c r="A77" s="146">
        <v>45840</v>
      </c>
      <c r="B77" s="147" t="s">
        <v>49</v>
      </c>
      <c r="C77" s="147">
        <v>1</v>
      </c>
      <c r="D77" s="147">
        <v>1</v>
      </c>
      <c r="E77" s="147"/>
      <c r="F77" s="147"/>
      <c r="G77" s="147"/>
      <c r="H77" s="147"/>
      <c r="I77" s="147"/>
      <c r="J77" s="147"/>
      <c r="K77" s="147"/>
      <c r="L77" s="147"/>
      <c r="M77" s="147"/>
      <c r="N77" s="147"/>
      <c r="O77" s="147"/>
      <c r="P77" s="147"/>
      <c r="Q77" s="147">
        <v>1</v>
      </c>
      <c r="R77" s="148"/>
      <c r="S77" s="148"/>
      <c r="T77" s="148"/>
      <c r="U77" s="148"/>
      <c r="V77" s="148"/>
      <c r="W77" s="148"/>
      <c r="X77" s="148"/>
      <c r="Y77" s="148"/>
      <c r="Z77" s="148"/>
      <c r="AA77" s="148"/>
      <c r="AB77" s="148"/>
      <c r="AC77" s="148"/>
    </row>
    <row r="78" spans="1:29">
      <c r="A78" s="146">
        <v>45841</v>
      </c>
      <c r="B78" s="147" t="s">
        <v>115</v>
      </c>
      <c r="C78" s="147">
        <v>5</v>
      </c>
      <c r="D78" s="147">
        <v>4</v>
      </c>
      <c r="E78" s="147"/>
      <c r="F78" s="147"/>
      <c r="G78" s="147"/>
      <c r="H78" s="147"/>
      <c r="I78" s="147"/>
      <c r="J78" s="147"/>
      <c r="K78" s="147"/>
      <c r="L78" s="147">
        <v>1</v>
      </c>
      <c r="M78" s="147"/>
      <c r="N78" s="147"/>
      <c r="O78" s="147"/>
      <c r="P78" s="147"/>
      <c r="Q78" s="147">
        <v>125</v>
      </c>
      <c r="R78" s="148"/>
      <c r="S78" s="148"/>
      <c r="T78" s="148"/>
      <c r="U78" s="148"/>
      <c r="V78" s="148"/>
      <c r="W78" s="148"/>
      <c r="X78" s="148"/>
      <c r="Y78" s="148"/>
      <c r="Z78" s="148"/>
      <c r="AA78" s="148"/>
      <c r="AB78" s="148"/>
      <c r="AC78" s="148"/>
    </row>
    <row r="79" spans="1:29" hidden="1">
      <c r="A79" s="146">
        <v>45841</v>
      </c>
      <c r="B79" s="147" t="s">
        <v>61</v>
      </c>
      <c r="C79" s="147">
        <v>6</v>
      </c>
      <c r="D79" s="147">
        <v>3</v>
      </c>
      <c r="E79" s="147"/>
      <c r="F79" s="147"/>
      <c r="G79" s="147"/>
      <c r="H79" s="147"/>
      <c r="I79" s="147">
        <v>2</v>
      </c>
      <c r="J79" s="147">
        <v>1</v>
      </c>
      <c r="K79" s="147"/>
      <c r="L79" s="147"/>
      <c r="M79" s="147"/>
      <c r="N79" s="147" t="s">
        <v>12830</v>
      </c>
      <c r="O79" s="147"/>
      <c r="P79" s="147"/>
      <c r="Q79" s="147">
        <v>2</v>
      </c>
      <c r="R79" s="148"/>
      <c r="S79" s="148"/>
      <c r="T79" s="148"/>
      <c r="U79" s="148"/>
      <c r="V79" s="148"/>
      <c r="W79" s="148"/>
      <c r="X79" s="148"/>
      <c r="Y79" s="148"/>
      <c r="Z79" s="148"/>
      <c r="AA79" s="148"/>
      <c r="AB79" s="148"/>
      <c r="AC79" s="148"/>
    </row>
    <row r="80" spans="1:29" hidden="1">
      <c r="A80" s="146">
        <v>45841</v>
      </c>
      <c r="B80" s="147" t="s">
        <v>49</v>
      </c>
      <c r="C80" s="147">
        <v>1</v>
      </c>
      <c r="D80" s="147"/>
      <c r="E80" s="147"/>
      <c r="F80" s="147"/>
      <c r="G80" s="147"/>
      <c r="H80" s="147"/>
      <c r="I80" s="147">
        <v>1</v>
      </c>
      <c r="J80" s="147"/>
      <c r="K80" s="147"/>
      <c r="L80" s="147"/>
      <c r="M80" s="147"/>
      <c r="N80" s="147"/>
      <c r="O80" s="147"/>
      <c r="P80" s="147"/>
      <c r="Q80" s="147"/>
      <c r="R80" s="148"/>
      <c r="S80" s="148"/>
      <c r="T80" s="148"/>
      <c r="U80" s="148"/>
      <c r="V80" s="148"/>
      <c r="W80" s="148"/>
      <c r="X80" s="148"/>
      <c r="Y80" s="148"/>
      <c r="Z80" s="148"/>
      <c r="AA80" s="148"/>
      <c r="AB80" s="148"/>
      <c r="AC80" s="148"/>
    </row>
    <row r="81" spans="1:29" hidden="1">
      <c r="A81" s="146">
        <v>45842</v>
      </c>
      <c r="B81" s="147" t="s">
        <v>61</v>
      </c>
      <c r="C81" s="147">
        <v>9</v>
      </c>
      <c r="D81" s="147">
        <v>7</v>
      </c>
      <c r="E81" s="147">
        <v>1</v>
      </c>
      <c r="F81" s="147"/>
      <c r="G81" s="147"/>
      <c r="H81" s="147">
        <v>1</v>
      </c>
      <c r="I81" s="147"/>
      <c r="J81" s="147"/>
      <c r="K81" s="147"/>
      <c r="L81" s="147"/>
      <c r="M81" s="147"/>
      <c r="N81" s="147" t="s">
        <v>12831</v>
      </c>
      <c r="O81" s="147"/>
      <c r="P81" s="147"/>
      <c r="Q81" s="147">
        <v>133</v>
      </c>
      <c r="R81" s="148"/>
      <c r="S81" s="148"/>
      <c r="T81" s="148"/>
      <c r="U81" s="148"/>
      <c r="V81" s="148"/>
      <c r="W81" s="148"/>
      <c r="X81" s="148"/>
      <c r="Y81" s="148"/>
      <c r="Z81" s="148"/>
      <c r="AA81" s="148"/>
      <c r="AB81" s="148"/>
      <c r="AC81" s="148"/>
    </row>
    <row r="82" spans="1:29">
      <c r="A82" s="146">
        <v>45842</v>
      </c>
      <c r="B82" s="147" t="s">
        <v>115</v>
      </c>
      <c r="C82" s="147">
        <v>2</v>
      </c>
      <c r="D82" s="147">
        <v>2</v>
      </c>
      <c r="E82" s="147"/>
      <c r="F82" s="147"/>
      <c r="G82" s="147"/>
      <c r="H82" s="147"/>
      <c r="I82" s="147"/>
      <c r="J82" s="147"/>
      <c r="K82" s="147"/>
      <c r="L82" s="147"/>
      <c r="M82" s="147"/>
      <c r="N82" s="147"/>
      <c r="O82" s="147"/>
      <c r="P82" s="147"/>
      <c r="Q82" s="147">
        <v>147</v>
      </c>
      <c r="R82" s="148"/>
      <c r="S82" s="148"/>
      <c r="T82" s="148"/>
      <c r="U82" s="148"/>
      <c r="V82" s="148"/>
      <c r="W82" s="148"/>
      <c r="X82" s="148"/>
      <c r="Y82" s="148"/>
      <c r="Z82" s="148"/>
      <c r="AA82" s="148"/>
      <c r="AB82" s="148"/>
      <c r="AC82" s="148"/>
    </row>
    <row r="83" spans="1:29" hidden="1">
      <c r="A83" s="146">
        <v>45842</v>
      </c>
      <c r="B83" s="147" t="s">
        <v>1774</v>
      </c>
      <c r="C83" s="147">
        <v>2</v>
      </c>
      <c r="D83" s="147">
        <v>2</v>
      </c>
      <c r="E83" s="147"/>
      <c r="F83" s="147"/>
      <c r="G83" s="147"/>
      <c r="H83" s="147"/>
      <c r="I83" s="147"/>
      <c r="J83" s="147"/>
      <c r="K83" s="147"/>
      <c r="L83" s="147"/>
      <c r="M83" s="147"/>
      <c r="N83" s="147"/>
      <c r="O83" s="147"/>
      <c r="P83" s="147"/>
      <c r="Q83" s="147">
        <v>34</v>
      </c>
      <c r="R83" s="148"/>
      <c r="S83" s="148"/>
      <c r="T83" s="148"/>
      <c r="U83" s="148"/>
      <c r="V83" s="148"/>
      <c r="W83" s="148"/>
      <c r="X83" s="148"/>
      <c r="Y83" s="148"/>
      <c r="Z83" s="148"/>
      <c r="AA83" s="148"/>
      <c r="AB83" s="148"/>
      <c r="AC83" s="148"/>
    </row>
    <row r="84" spans="1:29" hidden="1">
      <c r="A84" s="146">
        <v>45842</v>
      </c>
      <c r="B84" s="147" t="s">
        <v>1229</v>
      </c>
      <c r="C84" s="147">
        <v>2</v>
      </c>
      <c r="D84" s="147">
        <v>1</v>
      </c>
      <c r="E84" s="147"/>
      <c r="F84" s="147"/>
      <c r="G84" s="147"/>
      <c r="H84" s="147"/>
      <c r="I84" s="147">
        <v>1</v>
      </c>
      <c r="J84" s="147"/>
      <c r="K84" s="147"/>
      <c r="L84" s="147"/>
      <c r="M84" s="147"/>
      <c r="N84" s="147"/>
      <c r="O84" s="147"/>
      <c r="P84" s="147"/>
      <c r="Q84" s="147">
        <v>0</v>
      </c>
      <c r="R84" s="148"/>
      <c r="S84" s="148"/>
      <c r="T84" s="148"/>
      <c r="U84" s="148"/>
      <c r="V84" s="148"/>
      <c r="W84" s="148"/>
      <c r="X84" s="148"/>
      <c r="Y84" s="148"/>
      <c r="Z84" s="148"/>
      <c r="AA84" s="148"/>
      <c r="AB84" s="148"/>
      <c r="AC84" s="148"/>
    </row>
    <row r="85" spans="1:29">
      <c r="A85" s="146">
        <v>45843</v>
      </c>
      <c r="B85" s="147" t="s">
        <v>115</v>
      </c>
      <c r="C85" s="147">
        <v>5</v>
      </c>
      <c r="D85" s="147">
        <v>2</v>
      </c>
      <c r="E85" s="147">
        <v>2</v>
      </c>
      <c r="F85" s="147">
        <v>1</v>
      </c>
      <c r="G85" s="147"/>
      <c r="H85" s="147"/>
      <c r="I85" s="147"/>
      <c r="J85" s="147"/>
      <c r="K85" s="147"/>
      <c r="L85" s="147"/>
      <c r="M85" s="147"/>
      <c r="N85" s="147"/>
      <c r="O85" s="147"/>
      <c r="P85" s="147"/>
      <c r="Q85" s="147">
        <v>109</v>
      </c>
      <c r="R85" s="148"/>
      <c r="S85" s="148"/>
      <c r="T85" s="148"/>
      <c r="U85" s="148"/>
      <c r="V85" s="148"/>
      <c r="W85" s="148"/>
      <c r="X85" s="148"/>
      <c r="Y85" s="148"/>
      <c r="Z85" s="148"/>
      <c r="AA85" s="148"/>
      <c r="AB85" s="148"/>
      <c r="AC85" s="148"/>
    </row>
    <row r="86" spans="1:29" hidden="1">
      <c r="A86" s="146">
        <v>45843</v>
      </c>
      <c r="B86" s="147" t="s">
        <v>1774</v>
      </c>
      <c r="C86" s="147"/>
      <c r="D86" s="147"/>
      <c r="E86" s="147"/>
      <c r="F86" s="147"/>
      <c r="G86" s="147"/>
      <c r="H86" s="147"/>
      <c r="I86" s="147"/>
      <c r="J86" s="147"/>
      <c r="K86" s="147"/>
      <c r="L86" s="147"/>
      <c r="M86" s="147"/>
      <c r="N86" s="147"/>
      <c r="O86" s="147"/>
      <c r="P86" s="147"/>
      <c r="Q86" s="147">
        <v>36</v>
      </c>
      <c r="R86" s="148"/>
      <c r="S86" s="148"/>
      <c r="T86" s="148"/>
      <c r="U86" s="148"/>
      <c r="V86" s="148"/>
      <c r="W86" s="148"/>
      <c r="X86" s="148"/>
      <c r="Y86" s="148"/>
      <c r="Z86" s="148"/>
      <c r="AA86" s="148"/>
      <c r="AB86" s="148"/>
      <c r="AC86" s="148"/>
    </row>
    <row r="87" spans="1:29" hidden="1">
      <c r="A87" s="146">
        <v>45843</v>
      </c>
      <c r="B87" s="147" t="s">
        <v>1229</v>
      </c>
      <c r="C87" s="147">
        <v>3</v>
      </c>
      <c r="D87" s="147">
        <v>2</v>
      </c>
      <c r="E87" s="147"/>
      <c r="F87" s="147"/>
      <c r="G87" s="147"/>
      <c r="H87" s="147"/>
      <c r="I87" s="147">
        <v>1</v>
      </c>
      <c r="J87" s="147"/>
      <c r="K87" s="147"/>
      <c r="L87" s="147"/>
      <c r="M87" s="147"/>
      <c r="N87" s="147"/>
      <c r="O87" s="147"/>
      <c r="P87" s="147"/>
      <c r="Q87" s="147">
        <v>4</v>
      </c>
      <c r="R87" s="148"/>
      <c r="S87" s="148"/>
      <c r="T87" s="148"/>
      <c r="U87" s="148"/>
      <c r="V87" s="148"/>
      <c r="W87" s="148"/>
      <c r="X87" s="148"/>
      <c r="Y87" s="148"/>
      <c r="Z87" s="148"/>
      <c r="AA87" s="148"/>
      <c r="AB87" s="148"/>
      <c r="AC87" s="148"/>
    </row>
    <row r="88" spans="1:29">
      <c r="A88" s="146">
        <v>45844</v>
      </c>
      <c r="B88" s="147" t="s">
        <v>115</v>
      </c>
      <c r="C88" s="147">
        <v>2</v>
      </c>
      <c r="D88" s="147">
        <v>1</v>
      </c>
      <c r="E88" s="147">
        <v>1</v>
      </c>
      <c r="F88" s="147"/>
      <c r="G88" s="147"/>
      <c r="H88" s="147"/>
      <c r="I88" s="147"/>
      <c r="J88" s="147"/>
      <c r="K88" s="147"/>
      <c r="L88" s="147"/>
      <c r="M88" s="147"/>
      <c r="N88" s="147"/>
      <c r="O88" s="147"/>
      <c r="P88" s="147"/>
      <c r="Q88" s="147"/>
      <c r="R88" s="148"/>
      <c r="S88" s="148"/>
      <c r="T88" s="148"/>
      <c r="U88" s="148"/>
      <c r="V88" s="148"/>
      <c r="W88" s="148"/>
      <c r="X88" s="148"/>
      <c r="Y88" s="148"/>
      <c r="Z88" s="148"/>
      <c r="AA88" s="148"/>
      <c r="AB88" s="148"/>
      <c r="AC88" s="148"/>
    </row>
    <row r="89" spans="1:29">
      <c r="A89" s="146">
        <v>45845</v>
      </c>
      <c r="B89" s="147" t="s">
        <v>115</v>
      </c>
      <c r="C89" s="147">
        <v>3</v>
      </c>
      <c r="D89" s="147">
        <v>3</v>
      </c>
      <c r="E89" s="147"/>
      <c r="F89" s="147"/>
      <c r="G89" s="147"/>
      <c r="H89" s="147"/>
      <c r="I89" s="147"/>
      <c r="J89" s="147"/>
      <c r="K89" s="147"/>
      <c r="L89" s="147"/>
      <c r="M89" s="147"/>
      <c r="N89" s="147"/>
      <c r="O89" s="147"/>
      <c r="P89" s="147"/>
      <c r="Q89" s="147">
        <v>9</v>
      </c>
      <c r="R89" s="148"/>
      <c r="S89" s="148"/>
      <c r="T89" s="148"/>
      <c r="U89" s="148"/>
      <c r="V89" s="148"/>
      <c r="W89" s="148"/>
      <c r="X89" s="148"/>
      <c r="Y89" s="148"/>
      <c r="Z89" s="148"/>
      <c r="AA89" s="148"/>
      <c r="AB89" s="148"/>
      <c r="AC89" s="148"/>
    </row>
    <row r="90" spans="1:29" hidden="1">
      <c r="A90" s="146">
        <v>45845</v>
      </c>
      <c r="B90" s="147" t="s">
        <v>1774</v>
      </c>
      <c r="C90" s="147"/>
      <c r="D90" s="147"/>
      <c r="E90" s="147"/>
      <c r="F90" s="147"/>
      <c r="G90" s="147"/>
      <c r="H90" s="147"/>
      <c r="I90" s="147"/>
      <c r="J90" s="147"/>
      <c r="K90" s="147"/>
      <c r="L90" s="147"/>
      <c r="M90" s="147"/>
      <c r="N90" s="147"/>
      <c r="O90" s="147"/>
      <c r="P90" s="147"/>
      <c r="Q90" s="147">
        <v>34</v>
      </c>
      <c r="R90" s="148"/>
      <c r="S90" s="148"/>
      <c r="T90" s="148"/>
      <c r="U90" s="148"/>
      <c r="V90" s="148"/>
      <c r="W90" s="148"/>
      <c r="X90" s="148"/>
      <c r="Y90" s="148"/>
      <c r="Z90" s="148"/>
      <c r="AA90" s="148"/>
      <c r="AB90" s="148"/>
      <c r="AC90" s="148"/>
    </row>
    <row r="91" spans="1:29" hidden="1">
      <c r="A91" s="146">
        <v>45815</v>
      </c>
      <c r="B91" s="147" t="s">
        <v>1229</v>
      </c>
      <c r="C91" s="147"/>
      <c r="D91" s="147"/>
      <c r="E91" s="147"/>
      <c r="F91" s="147"/>
      <c r="G91" s="147"/>
      <c r="H91" s="147"/>
      <c r="I91" s="147"/>
      <c r="J91" s="147"/>
      <c r="K91" s="147"/>
      <c r="L91" s="147"/>
      <c r="M91" s="147"/>
      <c r="N91" s="147"/>
      <c r="O91" s="147"/>
      <c r="P91" s="147"/>
      <c r="Q91" s="147">
        <v>23</v>
      </c>
      <c r="R91" s="148"/>
      <c r="S91" s="148"/>
      <c r="T91" s="148"/>
      <c r="U91" s="148"/>
      <c r="V91" s="148"/>
      <c r="W91" s="148"/>
      <c r="X91" s="148"/>
      <c r="Y91" s="148"/>
      <c r="Z91" s="148"/>
      <c r="AA91" s="148"/>
      <c r="AB91" s="148"/>
      <c r="AC91" s="148"/>
    </row>
    <row r="92" spans="1:29" hidden="1">
      <c r="A92" s="146">
        <v>45844</v>
      </c>
      <c r="B92" s="147" t="s">
        <v>61</v>
      </c>
      <c r="C92" s="147">
        <v>4</v>
      </c>
      <c r="D92" s="147">
        <v>3</v>
      </c>
      <c r="E92" s="147">
        <v>1</v>
      </c>
      <c r="F92" s="147"/>
      <c r="G92" s="147"/>
      <c r="H92" s="147"/>
      <c r="I92" s="147"/>
      <c r="J92" s="147"/>
      <c r="K92" s="147"/>
      <c r="L92" s="147"/>
      <c r="M92" s="147"/>
      <c r="N92" s="147" t="s">
        <v>12826</v>
      </c>
      <c r="O92" s="147"/>
      <c r="P92" s="147"/>
      <c r="Q92" s="147">
        <v>2</v>
      </c>
      <c r="R92" s="148"/>
      <c r="S92" s="148"/>
      <c r="T92" s="148"/>
      <c r="U92" s="148"/>
      <c r="V92" s="148"/>
      <c r="W92" s="148"/>
      <c r="X92" s="148"/>
      <c r="Y92" s="148"/>
      <c r="Z92" s="148"/>
      <c r="AA92" s="148"/>
      <c r="AB92" s="148"/>
      <c r="AC92" s="148"/>
    </row>
    <row r="93" spans="1:29" hidden="1">
      <c r="A93" s="146">
        <v>45845</v>
      </c>
      <c r="B93" s="147" t="s">
        <v>49</v>
      </c>
      <c r="C93" s="147">
        <v>1</v>
      </c>
      <c r="D93" s="147">
        <v>1</v>
      </c>
      <c r="E93" s="147"/>
      <c r="F93" s="147"/>
      <c r="G93" s="147"/>
      <c r="H93" s="147"/>
      <c r="I93" s="147"/>
      <c r="J93" s="147"/>
      <c r="K93" s="147"/>
      <c r="L93" s="147"/>
      <c r="M93" s="147"/>
      <c r="N93" s="147"/>
      <c r="O93" s="147"/>
      <c r="P93" s="147"/>
      <c r="Q93" s="147"/>
      <c r="R93" s="148"/>
      <c r="S93" s="148"/>
      <c r="T93" s="148"/>
      <c r="U93" s="148"/>
      <c r="V93" s="148"/>
      <c r="W93" s="148"/>
      <c r="X93" s="148"/>
      <c r="Y93" s="148"/>
      <c r="Z93" s="148"/>
      <c r="AA93" s="148"/>
      <c r="AB93" s="148"/>
      <c r="AC93" s="148"/>
    </row>
    <row r="94" spans="1:29">
      <c r="A94" s="146">
        <v>45846</v>
      </c>
      <c r="B94" s="147" t="s">
        <v>115</v>
      </c>
      <c r="C94" s="147">
        <v>1</v>
      </c>
      <c r="D94" s="147">
        <v>1</v>
      </c>
      <c r="E94" s="147"/>
      <c r="F94" s="147"/>
      <c r="G94" s="147"/>
      <c r="H94" s="147"/>
      <c r="I94" s="147"/>
      <c r="J94" s="147"/>
      <c r="K94" s="147"/>
      <c r="L94" s="147"/>
      <c r="M94" s="147"/>
      <c r="N94" s="147"/>
      <c r="O94" s="147"/>
      <c r="P94" s="147"/>
      <c r="Q94" s="147">
        <v>2</v>
      </c>
      <c r="R94" s="148"/>
      <c r="S94" s="148"/>
      <c r="T94" s="148"/>
      <c r="U94" s="148"/>
      <c r="V94" s="148"/>
      <c r="W94" s="148"/>
      <c r="X94" s="148"/>
      <c r="Y94" s="148"/>
      <c r="Z94" s="148"/>
      <c r="AA94" s="148"/>
      <c r="AB94" s="148"/>
      <c r="AC94" s="148"/>
    </row>
    <row r="95" spans="1:29" hidden="1">
      <c r="A95" s="146">
        <v>45846</v>
      </c>
      <c r="B95" s="147" t="s">
        <v>1774</v>
      </c>
      <c r="C95" s="147">
        <v>1</v>
      </c>
      <c r="D95" s="147"/>
      <c r="E95" s="147">
        <v>1</v>
      </c>
      <c r="F95" s="147"/>
      <c r="G95" s="147"/>
      <c r="H95" s="147"/>
      <c r="I95" s="147"/>
      <c r="J95" s="147"/>
      <c r="K95" s="147"/>
      <c r="L95" s="147"/>
      <c r="M95" s="147"/>
      <c r="N95" s="147"/>
      <c r="O95" s="147"/>
      <c r="P95" s="147"/>
      <c r="Q95" s="147">
        <v>33</v>
      </c>
      <c r="R95" s="148"/>
      <c r="S95" s="148"/>
      <c r="T95" s="148"/>
      <c r="U95" s="148"/>
      <c r="V95" s="148"/>
      <c r="W95" s="148"/>
      <c r="X95" s="148"/>
      <c r="Y95" s="148"/>
      <c r="Z95" s="148"/>
      <c r="AA95" s="148"/>
      <c r="AB95" s="148"/>
      <c r="AC95" s="148"/>
    </row>
    <row r="96" spans="1:29" hidden="1">
      <c r="A96" s="146">
        <v>45846</v>
      </c>
      <c r="B96" s="147" t="s">
        <v>61</v>
      </c>
      <c r="C96" s="147">
        <v>4</v>
      </c>
      <c r="D96" s="147">
        <v>3</v>
      </c>
      <c r="E96" s="147"/>
      <c r="F96" s="147"/>
      <c r="G96" s="147"/>
      <c r="H96" s="147"/>
      <c r="I96" s="147"/>
      <c r="J96" s="147"/>
      <c r="K96" s="147"/>
      <c r="L96" s="147"/>
      <c r="M96" s="147">
        <v>1</v>
      </c>
      <c r="N96" s="147" t="s">
        <v>12832</v>
      </c>
      <c r="O96" s="147"/>
      <c r="P96" s="147"/>
      <c r="Q96" s="147">
        <v>159</v>
      </c>
      <c r="R96" s="148"/>
      <c r="S96" s="148"/>
      <c r="T96" s="148"/>
      <c r="U96" s="148"/>
      <c r="V96" s="148"/>
      <c r="W96" s="148"/>
      <c r="X96" s="148"/>
      <c r="Y96" s="148"/>
      <c r="Z96" s="148"/>
      <c r="AA96" s="148"/>
      <c r="AB96" s="148"/>
      <c r="AC96" s="148"/>
    </row>
    <row r="97" spans="1:29" hidden="1">
      <c r="A97" s="146">
        <v>45845</v>
      </c>
      <c r="B97" s="147" t="s">
        <v>61</v>
      </c>
      <c r="C97" s="147">
        <v>7</v>
      </c>
      <c r="D97" s="147">
        <v>4</v>
      </c>
      <c r="E97" s="147">
        <v>1</v>
      </c>
      <c r="F97" s="147"/>
      <c r="G97" s="147"/>
      <c r="H97" s="147"/>
      <c r="I97" s="147">
        <v>1</v>
      </c>
      <c r="J97" s="147">
        <v>1</v>
      </c>
      <c r="K97" s="147"/>
      <c r="L97" s="147"/>
      <c r="M97" s="147"/>
      <c r="N97" s="147" t="s">
        <v>12833</v>
      </c>
      <c r="O97" s="147"/>
      <c r="P97" s="147"/>
      <c r="Q97" s="147">
        <v>56</v>
      </c>
      <c r="R97" s="148"/>
      <c r="S97" s="148"/>
      <c r="T97" s="148"/>
      <c r="U97" s="148"/>
      <c r="V97" s="148"/>
      <c r="W97" s="148"/>
      <c r="X97" s="148"/>
      <c r="Y97" s="148"/>
      <c r="Z97" s="148"/>
      <c r="AA97" s="148"/>
      <c r="AB97" s="148"/>
      <c r="AC97" s="148"/>
    </row>
    <row r="98" spans="1:29" hidden="1">
      <c r="A98" s="146">
        <v>45846</v>
      </c>
      <c r="B98" s="147" t="s">
        <v>1229</v>
      </c>
      <c r="C98" s="147"/>
      <c r="D98" s="147"/>
      <c r="E98" s="147"/>
      <c r="F98" s="147"/>
      <c r="G98" s="147"/>
      <c r="H98" s="147"/>
      <c r="I98" s="147"/>
      <c r="J98" s="147"/>
      <c r="K98" s="147"/>
      <c r="L98" s="147"/>
      <c r="M98" s="147"/>
      <c r="N98" s="147"/>
      <c r="O98" s="147"/>
      <c r="P98" s="147"/>
      <c r="Q98" s="147">
        <v>45</v>
      </c>
      <c r="R98" s="148"/>
      <c r="S98" s="148"/>
      <c r="T98" s="148"/>
      <c r="U98" s="148"/>
      <c r="V98" s="148"/>
      <c r="W98" s="148"/>
      <c r="X98" s="148"/>
      <c r="Y98" s="148"/>
      <c r="Z98" s="148"/>
      <c r="AA98" s="148"/>
      <c r="AB98" s="148"/>
      <c r="AC98" s="148"/>
    </row>
    <row r="99" spans="1:29" hidden="1">
      <c r="A99" s="146">
        <v>45847</v>
      </c>
      <c r="B99" s="147" t="s">
        <v>1774</v>
      </c>
      <c r="C99" s="147">
        <v>1</v>
      </c>
      <c r="D99" s="147"/>
      <c r="E99" s="147"/>
      <c r="F99" s="147"/>
      <c r="G99" s="147">
        <v>1</v>
      </c>
      <c r="H99" s="147"/>
      <c r="I99" s="147"/>
      <c r="J99" s="147"/>
      <c r="K99" s="147"/>
      <c r="L99" s="147"/>
      <c r="M99" s="147"/>
      <c r="N99" s="147"/>
      <c r="O99" s="147"/>
      <c r="P99" s="147"/>
      <c r="Q99" s="147">
        <v>40</v>
      </c>
      <c r="R99" s="148"/>
      <c r="S99" s="148"/>
      <c r="T99" s="148"/>
      <c r="U99" s="148"/>
      <c r="V99" s="148"/>
      <c r="W99" s="148"/>
      <c r="X99" s="148"/>
      <c r="Y99" s="148"/>
      <c r="Z99" s="148"/>
      <c r="AA99" s="148"/>
      <c r="AB99" s="148"/>
      <c r="AC99" s="148"/>
    </row>
    <row r="100" spans="1:29">
      <c r="A100" s="146">
        <v>45848</v>
      </c>
      <c r="B100" s="147" t="s">
        <v>115</v>
      </c>
      <c r="C100" s="147">
        <v>5</v>
      </c>
      <c r="D100" s="147">
        <v>3</v>
      </c>
      <c r="E100" s="147">
        <v>1</v>
      </c>
      <c r="F100" s="147"/>
      <c r="G100" s="147"/>
      <c r="H100" s="147"/>
      <c r="I100" s="147">
        <v>1</v>
      </c>
      <c r="J100" s="147"/>
      <c r="K100" s="147"/>
      <c r="L100" s="147"/>
      <c r="M100" s="147"/>
      <c r="N100" s="147"/>
      <c r="O100" s="147"/>
      <c r="P100" s="147"/>
      <c r="Q100" s="147">
        <v>110</v>
      </c>
      <c r="R100" s="148"/>
      <c r="S100" s="148"/>
      <c r="T100" s="148"/>
      <c r="U100" s="148"/>
      <c r="V100" s="148"/>
      <c r="W100" s="148"/>
      <c r="X100" s="148"/>
      <c r="Y100" s="148"/>
      <c r="Z100" s="148"/>
      <c r="AA100" s="148"/>
      <c r="AB100" s="148"/>
      <c r="AC100" s="148"/>
    </row>
    <row r="101" spans="1:29" hidden="1">
      <c r="A101" s="146">
        <v>45848</v>
      </c>
      <c r="B101" s="147" t="s">
        <v>1774</v>
      </c>
      <c r="C101" s="147">
        <v>1</v>
      </c>
      <c r="D101" s="147">
        <v>1</v>
      </c>
      <c r="E101" s="147"/>
      <c r="F101" s="147"/>
      <c r="G101" s="147"/>
      <c r="H101" s="147"/>
      <c r="I101" s="147"/>
      <c r="J101" s="147"/>
      <c r="K101" s="147"/>
      <c r="L101" s="147"/>
      <c r="M101" s="147"/>
      <c r="N101" s="147"/>
      <c r="O101" s="147"/>
      <c r="P101" s="147"/>
      <c r="Q101" s="147">
        <v>0</v>
      </c>
      <c r="R101" s="148"/>
      <c r="S101" s="148"/>
      <c r="T101" s="148"/>
      <c r="U101" s="148"/>
      <c r="V101" s="148"/>
      <c r="W101" s="148"/>
      <c r="X101" s="148"/>
      <c r="Y101" s="148"/>
      <c r="Z101" s="148"/>
      <c r="AA101" s="148"/>
      <c r="AB101" s="148"/>
      <c r="AC101" s="148"/>
    </row>
    <row r="102" spans="1:29" hidden="1">
      <c r="A102" s="146">
        <v>45847</v>
      </c>
      <c r="B102" s="147" t="s">
        <v>61</v>
      </c>
      <c r="C102" s="147">
        <v>6</v>
      </c>
      <c r="D102" s="147">
        <v>5</v>
      </c>
      <c r="E102" s="147">
        <v>1</v>
      </c>
      <c r="F102" s="147"/>
      <c r="G102" s="147"/>
      <c r="H102" s="147"/>
      <c r="I102" s="147"/>
      <c r="J102" s="147"/>
      <c r="K102" s="147"/>
      <c r="L102" s="147"/>
      <c r="M102" s="147"/>
      <c r="N102" s="147" t="s">
        <v>12834</v>
      </c>
      <c r="O102" s="147"/>
      <c r="P102" s="147"/>
      <c r="Q102" s="147">
        <v>140</v>
      </c>
      <c r="R102" s="148"/>
      <c r="S102" s="148"/>
      <c r="T102" s="148"/>
      <c r="U102" s="148"/>
      <c r="V102" s="148"/>
      <c r="W102" s="148"/>
      <c r="X102" s="148"/>
      <c r="Y102" s="148"/>
      <c r="Z102" s="148"/>
      <c r="AA102" s="148"/>
      <c r="AB102" s="148"/>
      <c r="AC102" s="148"/>
    </row>
    <row r="103" spans="1:29" hidden="1">
      <c r="A103" s="146">
        <v>45848</v>
      </c>
      <c r="B103" s="147" t="s">
        <v>61</v>
      </c>
      <c r="C103" s="147">
        <v>4</v>
      </c>
      <c r="D103" s="147">
        <v>3</v>
      </c>
      <c r="E103" s="147">
        <v>1</v>
      </c>
      <c r="F103" s="147"/>
      <c r="G103" s="147"/>
      <c r="H103" s="147"/>
      <c r="I103" s="147"/>
      <c r="J103" s="147"/>
      <c r="K103" s="147"/>
      <c r="L103" s="147"/>
      <c r="M103" s="147"/>
      <c r="N103" s="147" t="s">
        <v>12835</v>
      </c>
      <c r="O103" s="147"/>
      <c r="P103" s="147"/>
      <c r="Q103" s="147">
        <v>127</v>
      </c>
      <c r="R103" s="148"/>
      <c r="S103" s="148"/>
      <c r="T103" s="148"/>
      <c r="U103" s="148"/>
      <c r="V103" s="148"/>
      <c r="W103" s="148"/>
      <c r="X103" s="148"/>
      <c r="Y103" s="148"/>
      <c r="Z103" s="148"/>
      <c r="AA103" s="148"/>
      <c r="AB103" s="148"/>
      <c r="AC103" s="148"/>
    </row>
    <row r="104" spans="1:29">
      <c r="A104" s="146">
        <v>45849</v>
      </c>
      <c r="B104" s="147" t="s">
        <v>115</v>
      </c>
      <c r="C104" s="147">
        <v>3</v>
      </c>
      <c r="D104" s="147">
        <v>2</v>
      </c>
      <c r="E104" s="147"/>
      <c r="F104" s="147"/>
      <c r="G104" s="147"/>
      <c r="H104" s="147">
        <v>1</v>
      </c>
      <c r="I104" s="147"/>
      <c r="J104" s="147"/>
      <c r="K104" s="147"/>
      <c r="L104" s="147"/>
      <c r="M104" s="147"/>
      <c r="N104" s="147"/>
      <c r="O104" s="147"/>
      <c r="P104" s="147"/>
      <c r="Q104" s="147">
        <v>176</v>
      </c>
      <c r="R104" s="148"/>
      <c r="S104" s="148"/>
      <c r="T104" s="148"/>
      <c r="U104" s="148"/>
      <c r="V104" s="148"/>
      <c r="W104" s="148"/>
      <c r="X104" s="148"/>
      <c r="Y104" s="148"/>
      <c r="Z104" s="148"/>
      <c r="AA104" s="148"/>
      <c r="AB104" s="148"/>
      <c r="AC104" s="148"/>
    </row>
    <row r="105" spans="1:29" hidden="1">
      <c r="A105" s="146">
        <v>45849</v>
      </c>
      <c r="B105" s="147" t="s">
        <v>61</v>
      </c>
      <c r="C105" s="147">
        <v>5</v>
      </c>
      <c r="D105" s="147">
        <v>1</v>
      </c>
      <c r="E105" s="147"/>
      <c r="F105" s="147"/>
      <c r="G105" s="147"/>
      <c r="H105" s="147">
        <v>1</v>
      </c>
      <c r="I105" s="147">
        <v>1</v>
      </c>
      <c r="J105" s="147">
        <v>1</v>
      </c>
      <c r="K105" s="147"/>
      <c r="L105" s="147"/>
      <c r="M105" s="147">
        <v>1</v>
      </c>
      <c r="N105" s="147"/>
      <c r="O105" s="147"/>
      <c r="P105" s="147"/>
      <c r="Q105" s="147">
        <v>73</v>
      </c>
      <c r="R105" s="148"/>
      <c r="S105" s="148"/>
      <c r="T105" s="148"/>
      <c r="U105" s="148"/>
      <c r="V105" s="148"/>
      <c r="W105" s="148"/>
      <c r="X105" s="148"/>
      <c r="Y105" s="148"/>
      <c r="Z105" s="148"/>
      <c r="AA105" s="148"/>
      <c r="AB105" s="148"/>
      <c r="AC105" s="148"/>
    </row>
    <row r="106" spans="1:29" hidden="1">
      <c r="A106" s="146">
        <v>45850</v>
      </c>
      <c r="B106" s="147" t="s">
        <v>49</v>
      </c>
      <c r="C106" s="147"/>
      <c r="D106" s="147"/>
      <c r="E106" s="147"/>
      <c r="F106" s="147"/>
      <c r="G106" s="147"/>
      <c r="H106" s="147"/>
      <c r="I106" s="147"/>
      <c r="J106" s="147"/>
      <c r="K106" s="147"/>
      <c r="L106" s="147"/>
      <c r="M106" s="147"/>
      <c r="N106" s="147"/>
      <c r="O106" s="147"/>
      <c r="P106" s="147"/>
      <c r="Q106" s="147">
        <v>2</v>
      </c>
      <c r="R106" s="148"/>
      <c r="S106" s="148"/>
      <c r="T106" s="148"/>
      <c r="U106" s="148"/>
      <c r="V106" s="148"/>
      <c r="W106" s="148"/>
      <c r="X106" s="148"/>
      <c r="Y106" s="148"/>
      <c r="Z106" s="148"/>
      <c r="AA106" s="148"/>
      <c r="AB106" s="148"/>
      <c r="AC106" s="148"/>
    </row>
    <row r="107" spans="1:29">
      <c r="A107" s="146">
        <v>45850</v>
      </c>
      <c r="B107" s="147" t="s">
        <v>115</v>
      </c>
      <c r="C107" s="147">
        <v>1</v>
      </c>
      <c r="D107" s="147">
        <v>1</v>
      </c>
      <c r="E107" s="147"/>
      <c r="F107" s="147"/>
      <c r="G107" s="147"/>
      <c r="H107" s="147"/>
      <c r="I107" s="147"/>
      <c r="J107" s="147"/>
      <c r="K107" s="147"/>
      <c r="L107" s="147"/>
      <c r="M107" s="147"/>
      <c r="N107" s="147"/>
      <c r="O107" s="147"/>
      <c r="P107" s="147"/>
      <c r="Q107" s="147">
        <v>148</v>
      </c>
      <c r="R107" s="148"/>
      <c r="S107" s="148"/>
      <c r="T107" s="148"/>
      <c r="U107" s="148"/>
      <c r="V107" s="148"/>
      <c r="W107" s="148"/>
      <c r="X107" s="148"/>
      <c r="Y107" s="148"/>
      <c r="Z107" s="148"/>
      <c r="AA107" s="148"/>
      <c r="AB107" s="148"/>
      <c r="AC107" s="148"/>
    </row>
    <row r="108" spans="1:29" hidden="1">
      <c r="A108" s="146">
        <v>45850</v>
      </c>
      <c r="B108" s="147" t="s">
        <v>1774</v>
      </c>
      <c r="C108" s="147">
        <v>2</v>
      </c>
      <c r="D108" s="147">
        <v>2</v>
      </c>
      <c r="E108" s="147"/>
      <c r="F108" s="147"/>
      <c r="G108" s="147"/>
      <c r="H108" s="147"/>
      <c r="I108" s="147"/>
      <c r="J108" s="147"/>
      <c r="K108" s="147"/>
      <c r="L108" s="147"/>
      <c r="M108" s="147"/>
      <c r="N108" s="147"/>
      <c r="O108" s="147"/>
      <c r="P108" s="147"/>
      <c r="Q108" s="147">
        <v>0</v>
      </c>
      <c r="R108" s="148"/>
      <c r="S108" s="148"/>
      <c r="T108" s="148"/>
      <c r="U108" s="148"/>
      <c r="V108" s="148"/>
      <c r="W108" s="148"/>
      <c r="X108" s="148"/>
      <c r="Y108" s="148"/>
      <c r="Z108" s="148"/>
      <c r="AA108" s="148"/>
      <c r="AB108" s="148"/>
      <c r="AC108" s="148"/>
    </row>
    <row r="109" spans="1:29" hidden="1">
      <c r="A109" s="146">
        <v>45851</v>
      </c>
      <c r="B109" s="147" t="s">
        <v>49</v>
      </c>
      <c r="C109" s="147"/>
      <c r="D109" s="147"/>
      <c r="E109" s="147"/>
      <c r="F109" s="147"/>
      <c r="G109" s="147"/>
      <c r="H109" s="147"/>
      <c r="I109" s="147"/>
      <c r="J109" s="147"/>
      <c r="K109" s="147"/>
      <c r="L109" s="147"/>
      <c r="M109" s="147"/>
      <c r="N109" s="147"/>
      <c r="O109" s="147"/>
      <c r="P109" s="147"/>
      <c r="Q109" s="147">
        <v>2</v>
      </c>
      <c r="R109" s="148"/>
      <c r="S109" s="148"/>
      <c r="T109" s="148"/>
      <c r="U109" s="148"/>
      <c r="V109" s="148"/>
      <c r="W109" s="148"/>
      <c r="X109" s="148"/>
      <c r="Y109" s="148"/>
      <c r="Z109" s="148"/>
      <c r="AA109" s="148"/>
      <c r="AB109" s="148"/>
      <c r="AC109" s="148"/>
    </row>
    <row r="110" spans="1:29" hidden="1">
      <c r="A110" s="146">
        <v>45850</v>
      </c>
      <c r="B110" s="147" t="s">
        <v>1229</v>
      </c>
      <c r="C110" s="147">
        <v>1</v>
      </c>
      <c r="D110" s="147">
        <v>1</v>
      </c>
      <c r="E110" s="147"/>
      <c r="F110" s="147"/>
      <c r="G110" s="147"/>
      <c r="H110" s="147"/>
      <c r="I110" s="147"/>
      <c r="J110" s="147"/>
      <c r="K110" s="147"/>
      <c r="L110" s="147"/>
      <c r="M110" s="147"/>
      <c r="N110" s="147"/>
      <c r="O110" s="147"/>
      <c r="P110" s="147"/>
      <c r="Q110" s="147">
        <v>0</v>
      </c>
      <c r="R110" s="148"/>
      <c r="S110" s="148"/>
      <c r="T110" s="148"/>
      <c r="U110" s="148"/>
      <c r="V110" s="148"/>
      <c r="W110" s="148"/>
      <c r="X110" s="148"/>
      <c r="Y110" s="148"/>
      <c r="Z110" s="148"/>
      <c r="AA110" s="148"/>
      <c r="AB110" s="148"/>
      <c r="AC110" s="148"/>
    </row>
    <row r="111" spans="1:29" hidden="1">
      <c r="A111" s="146">
        <v>45850</v>
      </c>
      <c r="B111" s="147" t="s">
        <v>61</v>
      </c>
      <c r="C111" s="147">
        <v>6</v>
      </c>
      <c r="D111" s="147">
        <v>5</v>
      </c>
      <c r="E111" s="147">
        <v>1</v>
      </c>
      <c r="F111" s="147"/>
      <c r="G111" s="147"/>
      <c r="H111" s="147"/>
      <c r="I111" s="147"/>
      <c r="J111" s="147"/>
      <c r="K111" s="147"/>
      <c r="L111" s="147"/>
      <c r="M111" s="147"/>
      <c r="N111" s="147" t="s">
        <v>12836</v>
      </c>
      <c r="O111" s="147"/>
      <c r="P111" s="147"/>
      <c r="Q111" s="147">
        <v>98</v>
      </c>
      <c r="R111" s="148"/>
      <c r="S111" s="148"/>
      <c r="T111" s="148"/>
      <c r="U111" s="148"/>
      <c r="V111" s="148"/>
      <c r="W111" s="148"/>
      <c r="X111" s="148"/>
      <c r="Y111" s="148"/>
      <c r="Z111" s="148"/>
      <c r="AA111" s="148"/>
      <c r="AB111" s="148"/>
      <c r="AC111" s="148"/>
    </row>
    <row r="112" spans="1:29" hidden="1">
      <c r="A112" s="146">
        <v>45851</v>
      </c>
      <c r="B112" s="147" t="s">
        <v>61</v>
      </c>
      <c r="C112" s="147">
        <v>2</v>
      </c>
      <c r="D112" s="147"/>
      <c r="E112" s="147"/>
      <c r="F112" s="147"/>
      <c r="G112" s="147"/>
      <c r="H112" s="147"/>
      <c r="I112" s="147">
        <v>2</v>
      </c>
      <c r="J112" s="147"/>
      <c r="K112" s="147"/>
      <c r="L112" s="147"/>
      <c r="M112" s="147"/>
      <c r="N112" s="147" t="s">
        <v>12837</v>
      </c>
      <c r="O112" s="147"/>
      <c r="P112" s="147"/>
      <c r="Q112" s="147">
        <v>0</v>
      </c>
      <c r="R112" s="148"/>
      <c r="S112" s="148"/>
      <c r="T112" s="148"/>
      <c r="U112" s="148"/>
      <c r="V112" s="148"/>
      <c r="W112" s="148"/>
      <c r="X112" s="148"/>
      <c r="Y112" s="148"/>
      <c r="Z112" s="148"/>
      <c r="AA112" s="148"/>
      <c r="AB112" s="148"/>
      <c r="AC112" s="148"/>
    </row>
    <row r="113" spans="1:29" hidden="1">
      <c r="A113" s="146">
        <v>45851</v>
      </c>
      <c r="B113" s="147" t="s">
        <v>1229</v>
      </c>
      <c r="C113" s="147">
        <v>2</v>
      </c>
      <c r="D113" s="147">
        <v>2</v>
      </c>
      <c r="E113" s="147"/>
      <c r="F113" s="147"/>
      <c r="G113" s="147"/>
      <c r="H113" s="147"/>
      <c r="I113" s="147"/>
      <c r="J113" s="147"/>
      <c r="K113" s="147"/>
      <c r="L113" s="147"/>
      <c r="M113" s="147"/>
      <c r="N113" s="147"/>
      <c r="O113" s="147"/>
      <c r="P113" s="147"/>
      <c r="Q113" s="147">
        <v>0</v>
      </c>
      <c r="R113" s="148"/>
      <c r="S113" s="148"/>
      <c r="T113" s="148"/>
      <c r="U113" s="148"/>
      <c r="V113" s="148"/>
      <c r="W113" s="148"/>
      <c r="X113" s="148"/>
      <c r="Y113" s="148"/>
      <c r="Z113" s="148"/>
      <c r="AA113" s="148"/>
      <c r="AB113" s="148"/>
      <c r="AC113" s="148"/>
    </row>
    <row r="114" spans="1:29" hidden="1">
      <c r="A114" s="146">
        <v>45852</v>
      </c>
      <c r="B114" s="147" t="s">
        <v>61</v>
      </c>
      <c r="C114" s="147">
        <v>3</v>
      </c>
      <c r="D114" s="147">
        <v>2</v>
      </c>
      <c r="E114" s="147"/>
      <c r="F114" s="147"/>
      <c r="G114" s="147"/>
      <c r="H114" s="147"/>
      <c r="I114" s="147">
        <v>1</v>
      </c>
      <c r="J114" s="147"/>
      <c r="K114" s="147"/>
      <c r="L114" s="147"/>
      <c r="M114" s="147"/>
      <c r="N114" s="147"/>
      <c r="O114" s="147"/>
      <c r="P114" s="147"/>
      <c r="Q114" s="147">
        <v>88</v>
      </c>
      <c r="R114" s="148"/>
      <c r="S114" s="148"/>
      <c r="T114" s="148"/>
      <c r="U114" s="148"/>
      <c r="V114" s="148"/>
      <c r="W114" s="148"/>
      <c r="X114" s="148"/>
      <c r="Y114" s="148"/>
      <c r="Z114" s="148"/>
      <c r="AA114" s="148"/>
      <c r="AB114" s="148"/>
      <c r="AC114" s="148"/>
    </row>
    <row r="115" spans="1:29" hidden="1">
      <c r="A115" s="146">
        <v>45852</v>
      </c>
      <c r="B115" s="147" t="s">
        <v>1774</v>
      </c>
      <c r="C115" s="147"/>
      <c r="D115" s="147"/>
      <c r="E115" s="147"/>
      <c r="F115" s="147"/>
      <c r="G115" s="147"/>
      <c r="H115" s="147"/>
      <c r="I115" s="147"/>
      <c r="J115" s="147"/>
      <c r="K115" s="147"/>
      <c r="L115" s="147"/>
      <c r="M115" s="147"/>
      <c r="N115" s="147"/>
      <c r="O115" s="147"/>
      <c r="P115" s="147"/>
      <c r="Q115" s="147">
        <v>16</v>
      </c>
      <c r="R115" s="148"/>
      <c r="S115" s="148"/>
      <c r="T115" s="148"/>
      <c r="U115" s="148"/>
      <c r="V115" s="148"/>
      <c r="W115" s="148"/>
      <c r="X115" s="148"/>
      <c r="Y115" s="148"/>
      <c r="Z115" s="148"/>
      <c r="AA115" s="148"/>
      <c r="AB115" s="148"/>
      <c r="AC115" s="148"/>
    </row>
    <row r="116" spans="1:29">
      <c r="A116" s="146">
        <v>45851</v>
      </c>
      <c r="B116" s="147" t="s">
        <v>115</v>
      </c>
      <c r="C116" s="147">
        <v>1</v>
      </c>
      <c r="D116" s="147">
        <v>1</v>
      </c>
      <c r="E116" s="147"/>
      <c r="F116" s="147"/>
      <c r="G116" s="147"/>
      <c r="H116" s="147"/>
      <c r="I116" s="147"/>
      <c r="J116" s="147"/>
      <c r="K116" s="147"/>
      <c r="L116" s="147"/>
      <c r="M116" s="147"/>
      <c r="N116" s="147"/>
      <c r="O116" s="147"/>
      <c r="P116" s="147"/>
      <c r="Q116" s="147"/>
      <c r="R116" s="148"/>
      <c r="S116" s="148"/>
      <c r="T116" s="148"/>
      <c r="U116" s="148"/>
      <c r="V116" s="148"/>
      <c r="W116" s="148"/>
      <c r="X116" s="148"/>
      <c r="Y116" s="148"/>
      <c r="Z116" s="148"/>
      <c r="AA116" s="148"/>
      <c r="AB116" s="148"/>
      <c r="AC116" s="148"/>
    </row>
    <row r="117" spans="1:29" hidden="1">
      <c r="A117" s="146">
        <v>45852</v>
      </c>
      <c r="B117" s="147" t="s">
        <v>1229</v>
      </c>
      <c r="C117" s="147">
        <v>1</v>
      </c>
      <c r="D117" s="147"/>
      <c r="E117" s="147"/>
      <c r="F117" s="147"/>
      <c r="G117" s="147"/>
      <c r="H117" s="147"/>
      <c r="I117" s="147">
        <v>1</v>
      </c>
      <c r="J117" s="147"/>
      <c r="K117" s="147"/>
      <c r="L117" s="147"/>
      <c r="M117" s="147"/>
      <c r="N117" s="147"/>
      <c r="O117" s="147"/>
      <c r="P117" s="147"/>
      <c r="Q117" s="147"/>
      <c r="R117" s="148"/>
      <c r="S117" s="148"/>
      <c r="T117" s="148"/>
      <c r="U117" s="148"/>
      <c r="V117" s="148"/>
      <c r="W117" s="148"/>
      <c r="X117" s="148"/>
      <c r="Y117" s="148"/>
      <c r="Z117" s="148"/>
      <c r="AA117" s="148"/>
      <c r="AB117" s="148"/>
      <c r="AC117" s="148"/>
    </row>
    <row r="118" spans="1:29">
      <c r="A118" s="146">
        <v>45853</v>
      </c>
      <c r="B118" s="147" t="s">
        <v>115</v>
      </c>
      <c r="C118" s="147">
        <v>2</v>
      </c>
      <c r="D118" s="147">
        <v>1</v>
      </c>
      <c r="E118" s="147">
        <v>1</v>
      </c>
      <c r="F118" s="147"/>
      <c r="G118" s="147"/>
      <c r="H118" s="147"/>
      <c r="I118" s="147"/>
      <c r="J118" s="147"/>
      <c r="K118" s="147"/>
      <c r="L118" s="147"/>
      <c r="M118" s="147"/>
      <c r="N118" s="147"/>
      <c r="O118" s="147"/>
      <c r="P118" s="147"/>
      <c r="Q118" s="147"/>
      <c r="R118" s="148"/>
      <c r="S118" s="148"/>
      <c r="T118" s="148"/>
      <c r="U118" s="148"/>
      <c r="V118" s="148"/>
      <c r="W118" s="148"/>
      <c r="X118" s="148"/>
      <c r="Y118" s="148"/>
      <c r="Z118" s="148"/>
      <c r="AA118" s="148"/>
      <c r="AB118" s="148"/>
      <c r="AC118" s="148"/>
    </row>
    <row r="119" spans="1:29" hidden="1">
      <c r="A119" s="146">
        <v>45853</v>
      </c>
      <c r="B119" s="147" t="s">
        <v>1774</v>
      </c>
      <c r="C119" s="147">
        <v>2</v>
      </c>
      <c r="D119" s="147">
        <v>1</v>
      </c>
      <c r="E119" s="147"/>
      <c r="F119" s="147">
        <v>1</v>
      </c>
      <c r="G119" s="147"/>
      <c r="H119" s="147"/>
      <c r="I119" s="147"/>
      <c r="J119" s="147"/>
      <c r="K119" s="147"/>
      <c r="L119" s="147"/>
      <c r="M119" s="147"/>
      <c r="N119" s="147"/>
      <c r="O119" s="147"/>
      <c r="P119" s="147"/>
      <c r="Q119" s="147">
        <v>86</v>
      </c>
      <c r="R119" s="148"/>
      <c r="S119" s="148"/>
      <c r="T119" s="148"/>
      <c r="U119" s="148"/>
      <c r="V119" s="148"/>
      <c r="W119" s="148"/>
      <c r="X119" s="148"/>
      <c r="Y119" s="148"/>
      <c r="Z119" s="148"/>
      <c r="AA119" s="148"/>
      <c r="AB119" s="148"/>
      <c r="AC119" s="148"/>
    </row>
    <row r="120" spans="1:29" hidden="1">
      <c r="A120" s="146">
        <v>45853</v>
      </c>
      <c r="B120" s="147" t="s">
        <v>61</v>
      </c>
      <c r="C120" s="147">
        <v>8</v>
      </c>
      <c r="D120" s="147">
        <v>6</v>
      </c>
      <c r="E120" s="147">
        <v>1</v>
      </c>
      <c r="F120" s="147"/>
      <c r="G120" s="147"/>
      <c r="H120" s="147"/>
      <c r="I120" s="147">
        <v>1</v>
      </c>
      <c r="J120" s="147"/>
      <c r="K120" s="147"/>
      <c r="L120" s="147"/>
      <c r="M120" s="147"/>
      <c r="N120" s="147"/>
      <c r="O120" s="147"/>
      <c r="P120" s="147"/>
      <c r="Q120" s="147">
        <v>156</v>
      </c>
      <c r="R120" s="148"/>
      <c r="S120" s="148"/>
      <c r="T120" s="148"/>
      <c r="U120" s="148"/>
      <c r="V120" s="148"/>
      <c r="W120" s="148"/>
      <c r="X120" s="148"/>
      <c r="Y120" s="148"/>
      <c r="Z120" s="148"/>
      <c r="AA120" s="148"/>
      <c r="AB120" s="148"/>
      <c r="AC120" s="148"/>
    </row>
    <row r="121" spans="1:29" hidden="1">
      <c r="A121" s="146">
        <v>45853</v>
      </c>
      <c r="B121" s="147" t="s">
        <v>49</v>
      </c>
      <c r="C121" s="147">
        <v>1</v>
      </c>
      <c r="D121" s="147"/>
      <c r="E121" s="147"/>
      <c r="F121" s="147"/>
      <c r="G121" s="147"/>
      <c r="H121" s="147"/>
      <c r="I121" s="147"/>
      <c r="J121" s="147">
        <v>1</v>
      </c>
      <c r="K121" s="147"/>
      <c r="L121" s="147"/>
      <c r="M121" s="147"/>
      <c r="N121" s="147"/>
      <c r="O121" s="147"/>
      <c r="P121" s="147"/>
      <c r="Q121" s="147"/>
      <c r="R121" s="148"/>
      <c r="S121" s="148"/>
      <c r="T121" s="148"/>
      <c r="U121" s="148"/>
      <c r="V121" s="148"/>
      <c r="W121" s="148"/>
      <c r="X121" s="148"/>
      <c r="Y121" s="148"/>
      <c r="Z121" s="148"/>
      <c r="AA121" s="148"/>
      <c r="AB121" s="148"/>
      <c r="AC121" s="148"/>
    </row>
    <row r="122" spans="1:29" hidden="1">
      <c r="A122" s="146">
        <v>45853</v>
      </c>
      <c r="B122" s="147" t="s">
        <v>1229</v>
      </c>
      <c r="C122" s="147">
        <v>1</v>
      </c>
      <c r="D122" s="147">
        <v>1</v>
      </c>
      <c r="E122" s="147"/>
      <c r="F122" s="147"/>
      <c r="G122" s="147"/>
      <c r="H122" s="147"/>
      <c r="I122" s="147"/>
      <c r="J122" s="147"/>
      <c r="K122" s="147"/>
      <c r="L122" s="147"/>
      <c r="M122" s="147"/>
      <c r="N122" s="147"/>
      <c r="O122" s="147"/>
      <c r="P122" s="147"/>
      <c r="Q122" s="147"/>
      <c r="R122" s="148"/>
      <c r="S122" s="148"/>
      <c r="T122" s="148"/>
      <c r="U122" s="148"/>
      <c r="V122" s="148"/>
      <c r="W122" s="148"/>
      <c r="X122" s="148"/>
      <c r="Y122" s="148"/>
      <c r="Z122" s="148"/>
      <c r="AA122" s="148"/>
      <c r="AB122" s="148"/>
      <c r="AC122" s="148"/>
    </row>
    <row r="123" spans="1:29">
      <c r="A123" s="146">
        <v>45854</v>
      </c>
      <c r="B123" s="147" t="s">
        <v>115</v>
      </c>
      <c r="C123" s="147">
        <v>2</v>
      </c>
      <c r="D123" s="147">
        <v>1</v>
      </c>
      <c r="E123" s="147"/>
      <c r="F123" s="147"/>
      <c r="G123" s="147"/>
      <c r="H123" s="147"/>
      <c r="I123" s="147">
        <v>1</v>
      </c>
      <c r="J123" s="147"/>
      <c r="K123" s="147"/>
      <c r="L123" s="147"/>
      <c r="M123" s="147"/>
      <c r="N123" s="147"/>
      <c r="O123" s="147"/>
      <c r="P123" s="147"/>
      <c r="Q123" s="147">
        <v>6</v>
      </c>
      <c r="R123" s="148"/>
      <c r="S123" s="148"/>
      <c r="T123" s="148"/>
      <c r="U123" s="148"/>
      <c r="V123" s="148"/>
      <c r="W123" s="148"/>
      <c r="X123" s="148"/>
      <c r="Y123" s="148"/>
      <c r="Z123" s="148"/>
      <c r="AA123" s="148"/>
      <c r="AB123" s="148"/>
      <c r="AC123" s="148"/>
    </row>
    <row r="124" spans="1:29" hidden="1">
      <c r="A124" s="146">
        <v>45854</v>
      </c>
      <c r="B124" s="147" t="s">
        <v>61</v>
      </c>
      <c r="C124" s="147">
        <v>8</v>
      </c>
      <c r="D124" s="147">
        <v>2</v>
      </c>
      <c r="E124" s="147">
        <v>2</v>
      </c>
      <c r="F124" s="147"/>
      <c r="G124" s="147"/>
      <c r="H124" s="147"/>
      <c r="I124" s="147">
        <v>3</v>
      </c>
      <c r="J124" s="147">
        <v>1</v>
      </c>
      <c r="K124" s="147"/>
      <c r="L124" s="147"/>
      <c r="M124" s="147"/>
      <c r="N124" s="147"/>
      <c r="O124" s="147"/>
      <c r="P124" s="147"/>
      <c r="Q124" s="147">
        <v>165</v>
      </c>
      <c r="R124" s="148"/>
      <c r="S124" s="148"/>
      <c r="T124" s="148"/>
      <c r="U124" s="148"/>
      <c r="V124" s="148"/>
      <c r="W124" s="148"/>
      <c r="X124" s="148"/>
      <c r="Y124" s="148"/>
      <c r="Z124" s="148"/>
      <c r="AA124" s="148"/>
      <c r="AB124" s="148"/>
      <c r="AC124" s="148"/>
    </row>
    <row r="125" spans="1:29" hidden="1">
      <c r="A125" s="146">
        <v>45854</v>
      </c>
      <c r="B125" s="147" t="s">
        <v>1774</v>
      </c>
      <c r="C125" s="147">
        <v>1</v>
      </c>
      <c r="D125" s="147">
        <v>1</v>
      </c>
      <c r="E125" s="147"/>
      <c r="F125" s="147"/>
      <c r="G125" s="147"/>
      <c r="H125" s="147"/>
      <c r="I125" s="147"/>
      <c r="J125" s="147"/>
      <c r="K125" s="147"/>
      <c r="L125" s="147"/>
      <c r="M125" s="147"/>
      <c r="N125" s="147"/>
      <c r="O125" s="147"/>
      <c r="P125" s="147"/>
      <c r="Q125" s="147">
        <v>42</v>
      </c>
      <c r="R125" s="148"/>
      <c r="S125" s="148"/>
      <c r="T125" s="148"/>
      <c r="U125" s="148"/>
      <c r="V125" s="148"/>
      <c r="W125" s="148"/>
      <c r="X125" s="148"/>
      <c r="Y125" s="148"/>
      <c r="Z125" s="148"/>
      <c r="AA125" s="148"/>
      <c r="AB125" s="148"/>
      <c r="AC125" s="148"/>
    </row>
    <row r="126" spans="1:29" hidden="1">
      <c r="A126" s="149">
        <v>45854</v>
      </c>
      <c r="B126" s="147" t="s">
        <v>1229</v>
      </c>
      <c r="C126" s="147"/>
      <c r="D126" s="147"/>
      <c r="E126" s="147"/>
      <c r="F126" s="147"/>
      <c r="G126" s="147"/>
      <c r="H126" s="147"/>
      <c r="I126" s="147"/>
      <c r="J126" s="147"/>
      <c r="K126" s="147"/>
      <c r="L126" s="147"/>
      <c r="M126" s="147"/>
      <c r="N126" s="147"/>
      <c r="O126" s="147"/>
      <c r="P126" s="147"/>
      <c r="Q126" s="147">
        <v>46</v>
      </c>
      <c r="R126" s="148"/>
      <c r="S126" s="148"/>
      <c r="T126" s="148"/>
      <c r="U126" s="148"/>
      <c r="V126" s="148"/>
      <c r="W126" s="148"/>
      <c r="X126" s="148"/>
      <c r="Y126" s="148"/>
      <c r="Z126" s="148"/>
      <c r="AA126" s="148"/>
      <c r="AB126" s="148"/>
      <c r="AC126" s="148"/>
    </row>
    <row r="127" spans="1:29" hidden="1">
      <c r="A127" s="149">
        <v>45854</v>
      </c>
      <c r="B127" s="147" t="s">
        <v>49</v>
      </c>
      <c r="C127" s="147">
        <v>2</v>
      </c>
      <c r="D127" s="147"/>
      <c r="E127" s="147"/>
      <c r="F127" s="147"/>
      <c r="G127" s="147">
        <v>1</v>
      </c>
      <c r="H127" s="147">
        <v>1</v>
      </c>
      <c r="I127" s="147"/>
      <c r="J127" s="147"/>
      <c r="K127" s="147"/>
      <c r="L127" s="147"/>
      <c r="M127" s="147"/>
      <c r="N127" s="147"/>
      <c r="O127" s="147"/>
      <c r="P127" s="147"/>
      <c r="Q127" s="147">
        <v>81</v>
      </c>
      <c r="R127" s="148"/>
      <c r="S127" s="148"/>
      <c r="T127" s="148"/>
      <c r="U127" s="148"/>
      <c r="V127" s="148"/>
      <c r="W127" s="148"/>
      <c r="X127" s="148"/>
      <c r="Y127" s="148"/>
      <c r="Z127" s="148"/>
      <c r="AA127" s="148"/>
      <c r="AB127" s="148"/>
      <c r="AC127" s="148"/>
    </row>
    <row r="128" spans="1:29">
      <c r="A128" s="149">
        <v>45855</v>
      </c>
      <c r="B128" s="147" t="s">
        <v>115</v>
      </c>
      <c r="C128" s="147">
        <v>4</v>
      </c>
      <c r="D128" s="147">
        <v>2</v>
      </c>
      <c r="E128" s="147">
        <v>2</v>
      </c>
      <c r="F128" s="147"/>
      <c r="G128" s="147"/>
      <c r="H128" s="147"/>
      <c r="I128" s="147"/>
      <c r="J128" s="147"/>
      <c r="K128" s="147"/>
      <c r="L128" s="147"/>
      <c r="M128" s="147"/>
      <c r="N128" s="147"/>
      <c r="O128" s="147"/>
      <c r="P128" s="147"/>
      <c r="Q128" s="147"/>
      <c r="R128" s="148"/>
      <c r="S128" s="148"/>
      <c r="T128" s="148"/>
      <c r="U128" s="148"/>
      <c r="V128" s="148"/>
      <c r="W128" s="148"/>
      <c r="X128" s="148"/>
      <c r="Y128" s="148"/>
      <c r="Z128" s="148"/>
      <c r="AA128" s="148"/>
      <c r="AB128" s="148"/>
      <c r="AC128" s="148"/>
    </row>
    <row r="129" spans="1:29" hidden="1">
      <c r="A129" s="149">
        <v>45855</v>
      </c>
      <c r="B129" s="147" t="s">
        <v>1229</v>
      </c>
      <c r="C129" s="147">
        <v>2</v>
      </c>
      <c r="D129" s="147">
        <v>2</v>
      </c>
      <c r="E129" s="147"/>
      <c r="F129" s="147"/>
      <c r="G129" s="147"/>
      <c r="H129" s="147"/>
      <c r="I129" s="147"/>
      <c r="J129" s="147"/>
      <c r="K129" s="147"/>
      <c r="L129" s="147"/>
      <c r="M129" s="147"/>
      <c r="N129" s="147"/>
      <c r="O129" s="147"/>
      <c r="P129" s="147"/>
      <c r="Q129" s="147">
        <v>28</v>
      </c>
      <c r="R129" s="148"/>
      <c r="S129" s="148"/>
      <c r="T129" s="148"/>
      <c r="U129" s="148"/>
      <c r="V129" s="148"/>
      <c r="W129" s="148"/>
      <c r="X129" s="148"/>
      <c r="Y129" s="148"/>
      <c r="Z129" s="148"/>
      <c r="AA129" s="148"/>
      <c r="AB129" s="148"/>
      <c r="AC129" s="148"/>
    </row>
    <row r="130" spans="1:29" hidden="1">
      <c r="A130" s="149">
        <v>45855</v>
      </c>
      <c r="B130" s="147" t="s">
        <v>61</v>
      </c>
      <c r="C130" s="147">
        <v>4</v>
      </c>
      <c r="D130" s="147">
        <v>2</v>
      </c>
      <c r="E130" s="147">
        <v>1</v>
      </c>
      <c r="F130" s="147"/>
      <c r="G130" s="147"/>
      <c r="H130" s="147"/>
      <c r="I130" s="147">
        <v>1</v>
      </c>
      <c r="J130" s="147"/>
      <c r="K130" s="147"/>
      <c r="L130" s="147"/>
      <c r="M130" s="147"/>
      <c r="N130" s="147"/>
      <c r="O130" s="147"/>
      <c r="P130" s="147"/>
      <c r="Q130" s="147">
        <v>90</v>
      </c>
      <c r="R130" s="148"/>
      <c r="S130" s="148"/>
      <c r="T130" s="148"/>
      <c r="U130" s="148"/>
      <c r="V130" s="148"/>
      <c r="W130" s="148"/>
      <c r="X130" s="148"/>
      <c r="Y130" s="148"/>
      <c r="Z130" s="148"/>
      <c r="AA130" s="148"/>
      <c r="AB130" s="148"/>
      <c r="AC130" s="148"/>
    </row>
    <row r="131" spans="1:29" hidden="1">
      <c r="A131" s="149">
        <v>45855</v>
      </c>
      <c r="B131" s="147" t="s">
        <v>1774</v>
      </c>
      <c r="C131" s="147"/>
      <c r="D131" s="147"/>
      <c r="E131" s="147"/>
      <c r="F131" s="147"/>
      <c r="G131" s="147"/>
      <c r="H131" s="147"/>
      <c r="I131" s="147"/>
      <c r="J131" s="147"/>
      <c r="K131" s="147"/>
      <c r="L131" s="147"/>
      <c r="M131" s="147"/>
      <c r="N131" s="147"/>
      <c r="O131" s="147"/>
      <c r="P131" s="147"/>
      <c r="Q131" s="147">
        <v>34</v>
      </c>
      <c r="R131" s="148"/>
      <c r="S131" s="148"/>
      <c r="T131" s="148"/>
      <c r="U131" s="148"/>
      <c r="V131" s="148"/>
      <c r="W131" s="148"/>
      <c r="X131" s="148"/>
      <c r="Y131" s="148"/>
      <c r="Z131" s="148"/>
      <c r="AA131" s="148"/>
      <c r="AB131" s="148"/>
      <c r="AC131" s="148"/>
    </row>
    <row r="132" spans="1:29" hidden="1">
      <c r="A132" s="149">
        <v>45855</v>
      </c>
      <c r="B132" s="147" t="s">
        <v>49</v>
      </c>
      <c r="C132" s="147"/>
      <c r="D132" s="147"/>
      <c r="E132" s="147"/>
      <c r="F132" s="147"/>
      <c r="G132" s="147"/>
      <c r="H132" s="147"/>
      <c r="I132" s="147"/>
      <c r="J132" s="147"/>
      <c r="K132" s="147"/>
      <c r="L132" s="147"/>
      <c r="M132" s="147"/>
      <c r="N132" s="147"/>
      <c r="O132" s="147"/>
      <c r="P132" s="147"/>
      <c r="Q132" s="147">
        <v>58</v>
      </c>
      <c r="R132" s="148"/>
      <c r="S132" s="148"/>
      <c r="T132" s="148"/>
      <c r="U132" s="148"/>
      <c r="V132" s="148"/>
      <c r="W132" s="148"/>
      <c r="X132" s="148"/>
      <c r="Y132" s="148"/>
      <c r="Z132" s="148"/>
      <c r="AA132" s="148"/>
      <c r="AB132" s="148"/>
      <c r="AC132" s="148"/>
    </row>
    <row r="133" spans="1:29" hidden="1">
      <c r="A133" s="149">
        <v>45856</v>
      </c>
      <c r="B133" s="147" t="s">
        <v>1774</v>
      </c>
      <c r="C133" s="147"/>
      <c r="D133" s="147"/>
      <c r="E133" s="147"/>
      <c r="F133" s="147"/>
      <c r="G133" s="147"/>
      <c r="H133" s="147"/>
      <c r="I133" s="147"/>
      <c r="J133" s="147"/>
      <c r="K133" s="147"/>
      <c r="L133" s="147"/>
      <c r="M133" s="147"/>
      <c r="N133" s="147"/>
      <c r="O133" s="147"/>
      <c r="P133" s="147"/>
      <c r="Q133" s="147">
        <v>58</v>
      </c>
      <c r="R133" s="148"/>
      <c r="S133" s="148"/>
      <c r="T133" s="148"/>
      <c r="U133" s="148"/>
      <c r="V133" s="148"/>
      <c r="W133" s="148"/>
      <c r="X133" s="148"/>
      <c r="Y133" s="148"/>
      <c r="Z133" s="148"/>
      <c r="AA133" s="148"/>
      <c r="AB133" s="148"/>
      <c r="AC133" s="148"/>
    </row>
    <row r="134" spans="1:29" hidden="1">
      <c r="A134" s="149">
        <v>45856</v>
      </c>
      <c r="B134" s="147" t="s">
        <v>61</v>
      </c>
      <c r="C134" s="147">
        <v>7</v>
      </c>
      <c r="D134" s="147">
        <v>4</v>
      </c>
      <c r="E134" s="147"/>
      <c r="F134" s="147">
        <v>1</v>
      </c>
      <c r="G134" s="147"/>
      <c r="H134" s="147">
        <v>1</v>
      </c>
      <c r="I134" s="147"/>
      <c r="J134" s="147">
        <v>1</v>
      </c>
      <c r="K134" s="147"/>
      <c r="L134" s="147"/>
      <c r="M134" s="147"/>
      <c r="N134" s="147"/>
      <c r="O134" s="147"/>
      <c r="P134" s="147"/>
      <c r="Q134" s="147">
        <v>120</v>
      </c>
      <c r="R134" s="148"/>
      <c r="S134" s="148"/>
      <c r="T134" s="148"/>
      <c r="U134" s="148"/>
      <c r="V134" s="148"/>
      <c r="W134" s="148"/>
      <c r="X134" s="148"/>
      <c r="Y134" s="148"/>
      <c r="Z134" s="148"/>
      <c r="AA134" s="148"/>
      <c r="AB134" s="148"/>
      <c r="AC134" s="148"/>
    </row>
    <row r="135" spans="1:29" hidden="1">
      <c r="A135" s="149">
        <v>45856</v>
      </c>
      <c r="B135" s="147" t="s">
        <v>49</v>
      </c>
      <c r="C135" s="147">
        <v>1</v>
      </c>
      <c r="D135" s="147">
        <v>1</v>
      </c>
      <c r="E135" s="147"/>
      <c r="F135" s="147"/>
      <c r="G135" s="147"/>
      <c r="H135" s="147"/>
      <c r="I135" s="147"/>
      <c r="J135" s="147"/>
      <c r="K135" s="147"/>
      <c r="L135" s="147"/>
      <c r="M135" s="147"/>
      <c r="N135" s="147"/>
      <c r="O135" s="147"/>
      <c r="P135" s="147"/>
      <c r="Q135" s="147">
        <v>64</v>
      </c>
      <c r="R135" s="148"/>
      <c r="S135" s="148"/>
      <c r="T135" s="148"/>
      <c r="U135" s="148"/>
      <c r="V135" s="148"/>
      <c r="W135" s="148"/>
      <c r="X135" s="148"/>
      <c r="Y135" s="148"/>
      <c r="Z135" s="148"/>
      <c r="AA135" s="148"/>
      <c r="AB135" s="148"/>
      <c r="AC135" s="148"/>
    </row>
    <row r="136" spans="1:29" hidden="1">
      <c r="A136" s="149">
        <v>45856</v>
      </c>
      <c r="B136" s="147" t="s">
        <v>1229</v>
      </c>
      <c r="C136" s="147">
        <v>1</v>
      </c>
      <c r="D136" s="147"/>
      <c r="E136" s="147"/>
      <c r="F136" s="147"/>
      <c r="G136" s="147"/>
      <c r="H136" s="147"/>
      <c r="I136" s="147"/>
      <c r="J136" s="147">
        <v>1</v>
      </c>
      <c r="K136" s="147"/>
      <c r="L136" s="147"/>
      <c r="M136" s="147"/>
      <c r="N136" s="147"/>
      <c r="O136" s="147"/>
      <c r="P136" s="147"/>
      <c r="Q136" s="147">
        <v>19</v>
      </c>
      <c r="R136" s="148"/>
      <c r="S136" s="148"/>
      <c r="T136" s="148"/>
      <c r="U136" s="148"/>
      <c r="V136" s="148"/>
      <c r="W136" s="148"/>
      <c r="X136" s="148"/>
      <c r="Y136" s="148"/>
      <c r="Z136" s="148"/>
      <c r="AA136" s="148"/>
      <c r="AB136" s="148"/>
      <c r="AC136" s="148"/>
    </row>
    <row r="137" spans="1:29">
      <c r="A137" s="149">
        <v>45857</v>
      </c>
      <c r="B137" s="147" t="s">
        <v>115</v>
      </c>
      <c r="C137" s="147">
        <v>1</v>
      </c>
      <c r="D137" s="147"/>
      <c r="E137" s="147"/>
      <c r="F137" s="147"/>
      <c r="G137" s="147"/>
      <c r="H137" s="147"/>
      <c r="I137" s="147"/>
      <c r="J137" s="147"/>
      <c r="K137" s="147">
        <v>1</v>
      </c>
      <c r="L137" s="147"/>
      <c r="M137" s="147"/>
      <c r="N137" s="147"/>
      <c r="O137" s="147"/>
      <c r="P137" s="147"/>
      <c r="Q137" s="147"/>
      <c r="R137" s="148"/>
      <c r="S137" s="148"/>
      <c r="T137" s="148"/>
      <c r="U137" s="148"/>
      <c r="V137" s="148"/>
      <c r="W137" s="148"/>
      <c r="X137" s="148"/>
      <c r="Y137" s="148"/>
      <c r="Z137" s="148"/>
      <c r="AA137" s="148"/>
      <c r="AB137" s="148"/>
      <c r="AC137" s="148"/>
    </row>
    <row r="138" spans="1:29" hidden="1">
      <c r="A138" s="149">
        <v>45857</v>
      </c>
      <c r="B138" s="147" t="s">
        <v>61</v>
      </c>
      <c r="C138" s="147">
        <v>6</v>
      </c>
      <c r="D138" s="147">
        <v>3</v>
      </c>
      <c r="E138" s="147">
        <v>1</v>
      </c>
      <c r="F138" s="147"/>
      <c r="G138" s="147"/>
      <c r="H138" s="147"/>
      <c r="I138" s="147">
        <v>2</v>
      </c>
      <c r="J138" s="147"/>
      <c r="K138" s="147"/>
      <c r="L138" s="147"/>
      <c r="M138" s="147"/>
      <c r="N138" s="147"/>
      <c r="O138" s="147"/>
      <c r="P138" s="147"/>
      <c r="Q138" s="147">
        <v>93</v>
      </c>
      <c r="R138" s="148"/>
      <c r="S138" s="148"/>
      <c r="T138" s="148"/>
      <c r="U138" s="148"/>
      <c r="V138" s="148"/>
      <c r="W138" s="148"/>
      <c r="X138" s="148"/>
      <c r="Y138" s="148"/>
      <c r="Z138" s="148"/>
      <c r="AA138" s="148"/>
      <c r="AB138" s="148"/>
      <c r="AC138" s="148"/>
    </row>
    <row r="139" spans="1:29" hidden="1">
      <c r="A139" s="149">
        <v>45857</v>
      </c>
      <c r="B139" s="147" t="s">
        <v>1774</v>
      </c>
      <c r="C139" s="147">
        <v>1</v>
      </c>
      <c r="D139" s="147">
        <v>1</v>
      </c>
      <c r="E139" s="147"/>
      <c r="F139" s="147"/>
      <c r="G139" s="147"/>
      <c r="H139" s="147"/>
      <c r="I139" s="147"/>
      <c r="J139" s="147"/>
      <c r="K139" s="147"/>
      <c r="L139" s="147"/>
      <c r="M139" s="147"/>
      <c r="N139" s="147"/>
      <c r="O139" s="147"/>
      <c r="P139" s="147"/>
      <c r="Q139" s="147">
        <v>41</v>
      </c>
      <c r="R139" s="148"/>
      <c r="S139" s="148"/>
      <c r="T139" s="148"/>
      <c r="U139" s="148"/>
      <c r="V139" s="148"/>
      <c r="W139" s="148"/>
      <c r="X139" s="148"/>
      <c r="Y139" s="148"/>
      <c r="Z139" s="148"/>
      <c r="AA139" s="148"/>
      <c r="AB139" s="148"/>
      <c r="AC139" s="148"/>
    </row>
    <row r="140" spans="1:29" hidden="1">
      <c r="A140" s="149">
        <v>45857</v>
      </c>
      <c r="B140" s="147" t="s">
        <v>1229</v>
      </c>
      <c r="C140" s="147">
        <v>1</v>
      </c>
      <c r="D140" s="147"/>
      <c r="E140" s="147"/>
      <c r="F140" s="147"/>
      <c r="G140" s="147"/>
      <c r="H140" s="147">
        <v>1</v>
      </c>
      <c r="I140" s="147"/>
      <c r="J140" s="147"/>
      <c r="K140" s="147"/>
      <c r="L140" s="147"/>
      <c r="M140" s="147"/>
      <c r="N140" s="147"/>
      <c r="O140" s="147"/>
      <c r="P140" s="147"/>
      <c r="Q140" s="147">
        <v>14</v>
      </c>
      <c r="R140" s="148"/>
      <c r="S140" s="148"/>
      <c r="T140" s="148"/>
      <c r="U140" s="148"/>
      <c r="V140" s="148"/>
      <c r="W140" s="148"/>
      <c r="X140" s="148"/>
      <c r="Y140" s="148"/>
      <c r="Z140" s="148"/>
      <c r="AA140" s="148"/>
      <c r="AB140" s="148"/>
      <c r="AC140" s="148"/>
    </row>
    <row r="141" spans="1:29" hidden="1">
      <c r="A141" s="149">
        <v>45858</v>
      </c>
      <c r="B141" s="147" t="s">
        <v>61</v>
      </c>
      <c r="C141" s="147">
        <v>4</v>
      </c>
      <c r="D141" s="147">
        <v>1</v>
      </c>
      <c r="E141" s="147">
        <v>1</v>
      </c>
      <c r="F141" s="147"/>
      <c r="G141" s="147"/>
      <c r="H141" s="147">
        <v>1</v>
      </c>
      <c r="I141" s="147">
        <v>1</v>
      </c>
      <c r="J141" s="147"/>
      <c r="K141" s="147"/>
      <c r="L141" s="147"/>
      <c r="M141" s="147"/>
      <c r="N141" s="147" t="s">
        <v>12838</v>
      </c>
      <c r="O141" s="147"/>
      <c r="P141" s="147"/>
      <c r="Q141" s="147">
        <v>0</v>
      </c>
      <c r="R141" s="148"/>
      <c r="S141" s="148"/>
      <c r="T141" s="148"/>
      <c r="U141" s="148"/>
      <c r="V141" s="148"/>
      <c r="W141" s="148"/>
      <c r="X141" s="148"/>
      <c r="Y141" s="148"/>
      <c r="Z141" s="148"/>
      <c r="AA141" s="148"/>
      <c r="AB141" s="148"/>
      <c r="AC141" s="148"/>
    </row>
    <row r="142" spans="1:29">
      <c r="A142" s="149">
        <v>45858</v>
      </c>
      <c r="B142" s="147" t="s">
        <v>115</v>
      </c>
      <c r="C142" s="147">
        <v>1</v>
      </c>
      <c r="D142" s="147"/>
      <c r="E142" s="147">
        <v>1</v>
      </c>
      <c r="F142" s="147"/>
      <c r="G142" s="147"/>
      <c r="H142" s="147"/>
      <c r="I142" s="147"/>
      <c r="J142" s="147"/>
      <c r="K142" s="147"/>
      <c r="L142" s="147"/>
      <c r="M142" s="147"/>
      <c r="N142" s="147"/>
      <c r="O142" s="147"/>
      <c r="P142" s="147"/>
      <c r="Q142" s="147"/>
      <c r="R142" s="148"/>
      <c r="S142" s="148"/>
      <c r="T142" s="148"/>
      <c r="U142" s="148"/>
      <c r="V142" s="148"/>
      <c r="W142" s="148"/>
      <c r="X142" s="148"/>
      <c r="Y142" s="148"/>
      <c r="Z142" s="148"/>
      <c r="AA142" s="148"/>
      <c r="AB142" s="148"/>
      <c r="AC142" s="148"/>
    </row>
    <row r="143" spans="1:29" hidden="1">
      <c r="A143" s="149">
        <v>45858</v>
      </c>
      <c r="B143" s="147" t="s">
        <v>1774</v>
      </c>
      <c r="C143" s="147">
        <v>1</v>
      </c>
      <c r="D143" s="147"/>
      <c r="E143" s="147">
        <v>1</v>
      </c>
      <c r="F143" s="147"/>
      <c r="G143" s="147"/>
      <c r="H143" s="147"/>
      <c r="I143" s="147"/>
      <c r="J143" s="147"/>
      <c r="K143" s="147"/>
      <c r="L143" s="147"/>
      <c r="M143" s="147"/>
      <c r="N143" s="147"/>
      <c r="O143" s="147"/>
      <c r="P143" s="147"/>
      <c r="Q143" s="147"/>
      <c r="R143" s="148"/>
      <c r="S143" s="148"/>
      <c r="T143" s="148"/>
      <c r="U143" s="148"/>
      <c r="V143" s="148"/>
      <c r="W143" s="148"/>
      <c r="X143" s="148"/>
      <c r="Y143" s="148"/>
      <c r="Z143" s="148"/>
      <c r="AA143" s="148"/>
      <c r="AB143" s="148"/>
      <c r="AC143" s="148"/>
    </row>
    <row r="144" spans="1:29" hidden="1">
      <c r="A144" s="149">
        <v>45858</v>
      </c>
      <c r="B144" s="147" t="s">
        <v>1229</v>
      </c>
      <c r="C144" s="147">
        <v>1</v>
      </c>
      <c r="D144" s="147"/>
      <c r="E144" s="147"/>
      <c r="F144" s="147"/>
      <c r="G144" s="147">
        <v>1</v>
      </c>
      <c r="H144" s="147"/>
      <c r="I144" s="147"/>
      <c r="J144" s="147"/>
      <c r="K144" s="147"/>
      <c r="L144" s="147"/>
      <c r="M144" s="147"/>
      <c r="N144" s="147"/>
      <c r="O144" s="147"/>
      <c r="P144" s="147"/>
      <c r="Q144" s="147"/>
      <c r="R144" s="148"/>
      <c r="S144" s="148"/>
      <c r="T144" s="148"/>
      <c r="U144" s="148"/>
      <c r="V144" s="148"/>
      <c r="W144" s="148"/>
      <c r="X144" s="148"/>
      <c r="Y144" s="148"/>
      <c r="Z144" s="148"/>
      <c r="AA144" s="148"/>
      <c r="AB144" s="148"/>
      <c r="AC144" s="148"/>
    </row>
    <row r="145" spans="1:29" hidden="1">
      <c r="A145" s="149">
        <v>45857</v>
      </c>
      <c r="B145" s="147" t="s">
        <v>49</v>
      </c>
      <c r="C145" s="147"/>
      <c r="D145" s="147"/>
      <c r="E145" s="147"/>
      <c r="F145" s="147"/>
      <c r="G145" s="147"/>
      <c r="H145" s="147"/>
      <c r="I145" s="147"/>
      <c r="J145" s="147"/>
      <c r="K145" s="147"/>
      <c r="L145" s="147"/>
      <c r="M145" s="147"/>
      <c r="N145" s="147"/>
      <c r="O145" s="147"/>
      <c r="P145" s="147"/>
      <c r="Q145" s="147">
        <v>88</v>
      </c>
      <c r="R145" s="148"/>
      <c r="S145" s="148"/>
      <c r="T145" s="148"/>
      <c r="U145" s="148"/>
      <c r="V145" s="148"/>
      <c r="W145" s="148"/>
      <c r="X145" s="148"/>
      <c r="Y145" s="148"/>
      <c r="Z145" s="148"/>
      <c r="AA145" s="148"/>
      <c r="AB145" s="148"/>
      <c r="AC145" s="148"/>
    </row>
    <row r="146" spans="1:29" hidden="1">
      <c r="A146" s="149">
        <v>45858</v>
      </c>
      <c r="B146" s="147" t="s">
        <v>49</v>
      </c>
      <c r="C146" s="147"/>
      <c r="D146" s="147"/>
      <c r="E146" s="147"/>
      <c r="F146" s="147"/>
      <c r="G146" s="147"/>
      <c r="H146" s="147"/>
      <c r="I146" s="147"/>
      <c r="J146" s="147"/>
      <c r="K146" s="147"/>
      <c r="L146" s="147"/>
      <c r="M146" s="147"/>
      <c r="N146" s="147"/>
      <c r="O146" s="147"/>
      <c r="P146" s="147"/>
      <c r="Q146" s="147">
        <v>3</v>
      </c>
      <c r="R146" s="148"/>
      <c r="S146" s="148"/>
      <c r="T146" s="148"/>
      <c r="U146" s="148"/>
      <c r="V146" s="148"/>
      <c r="W146" s="148"/>
      <c r="X146" s="148"/>
      <c r="Y146" s="148"/>
      <c r="Z146" s="148"/>
      <c r="AA146" s="148"/>
      <c r="AB146" s="148"/>
      <c r="AC146" s="148"/>
    </row>
    <row r="147" spans="1:29" hidden="1">
      <c r="A147" s="149">
        <v>45859</v>
      </c>
      <c r="B147" s="147" t="s">
        <v>1229</v>
      </c>
      <c r="C147" s="147">
        <v>1</v>
      </c>
      <c r="D147" s="147"/>
      <c r="E147" s="147">
        <v>1</v>
      </c>
      <c r="F147" s="147"/>
      <c r="G147" s="147"/>
      <c r="H147" s="147"/>
      <c r="I147" s="147"/>
      <c r="J147" s="147"/>
      <c r="K147" s="147"/>
      <c r="L147" s="147"/>
      <c r="M147" s="147"/>
      <c r="N147" s="147"/>
      <c r="O147" s="147"/>
      <c r="P147" s="147"/>
      <c r="Q147" s="147">
        <v>4</v>
      </c>
      <c r="R147" s="148"/>
      <c r="S147" s="148"/>
      <c r="T147" s="148"/>
      <c r="U147" s="148"/>
      <c r="V147" s="148"/>
      <c r="W147" s="148"/>
      <c r="X147" s="148"/>
      <c r="Y147" s="148"/>
      <c r="Z147" s="148"/>
      <c r="AA147" s="148"/>
      <c r="AB147" s="148"/>
      <c r="AC147" s="148"/>
    </row>
    <row r="148" spans="1:29">
      <c r="A148" s="149">
        <v>45859</v>
      </c>
      <c r="B148" s="147" t="s">
        <v>115</v>
      </c>
      <c r="C148" s="147">
        <v>2</v>
      </c>
      <c r="D148" s="147">
        <v>1</v>
      </c>
      <c r="E148" s="147">
        <v>1</v>
      </c>
      <c r="F148" s="147"/>
      <c r="G148" s="147"/>
      <c r="H148" s="147"/>
      <c r="I148" s="147"/>
      <c r="J148" s="147"/>
      <c r="K148" s="147"/>
      <c r="L148" s="147"/>
      <c r="M148" s="147"/>
      <c r="N148" s="147"/>
      <c r="O148" s="147"/>
      <c r="P148" s="147"/>
      <c r="Q148" s="147">
        <v>20</v>
      </c>
      <c r="R148" s="148"/>
      <c r="S148" s="148"/>
      <c r="T148" s="148"/>
      <c r="U148" s="148"/>
      <c r="V148" s="148"/>
      <c r="W148" s="148"/>
      <c r="X148" s="148"/>
      <c r="Y148" s="148"/>
      <c r="Z148" s="148"/>
      <c r="AA148" s="148"/>
      <c r="AB148" s="148"/>
      <c r="AC148" s="148"/>
    </row>
    <row r="149" spans="1:29" hidden="1">
      <c r="A149" s="149">
        <v>45859</v>
      </c>
      <c r="B149" s="147" t="s">
        <v>61</v>
      </c>
      <c r="C149" s="147">
        <v>7</v>
      </c>
      <c r="D149" s="147">
        <v>6</v>
      </c>
      <c r="E149" s="147">
        <v>1</v>
      </c>
      <c r="F149" s="147"/>
      <c r="G149" s="147"/>
      <c r="H149" s="147"/>
      <c r="I149" s="147"/>
      <c r="J149" s="147"/>
      <c r="K149" s="147"/>
      <c r="L149" s="147"/>
      <c r="M149" s="147"/>
      <c r="N149" s="147"/>
      <c r="O149" s="147"/>
      <c r="P149" s="147"/>
      <c r="Q149" s="147">
        <v>106</v>
      </c>
      <c r="R149" s="148"/>
      <c r="S149" s="148"/>
      <c r="T149" s="148"/>
      <c r="U149" s="148"/>
      <c r="V149" s="148"/>
      <c r="W149" s="148"/>
      <c r="X149" s="148"/>
      <c r="Y149" s="148"/>
      <c r="Z149" s="148"/>
      <c r="AA149" s="148"/>
      <c r="AB149" s="148"/>
      <c r="AC149" s="148"/>
    </row>
    <row r="150" spans="1:29" hidden="1">
      <c r="A150" s="149">
        <v>45859</v>
      </c>
      <c r="B150" s="147" t="s">
        <v>49</v>
      </c>
      <c r="C150" s="147">
        <v>1</v>
      </c>
      <c r="D150" s="147">
        <v>1</v>
      </c>
      <c r="E150" s="147"/>
      <c r="F150" s="147"/>
      <c r="G150" s="147"/>
      <c r="H150" s="147"/>
      <c r="I150" s="147"/>
      <c r="J150" s="147"/>
      <c r="K150" s="147"/>
      <c r="L150" s="147"/>
      <c r="M150" s="147"/>
      <c r="N150" s="147"/>
      <c r="O150" s="147"/>
      <c r="P150" s="147"/>
      <c r="Q150" s="147"/>
      <c r="R150" s="148"/>
      <c r="S150" s="148"/>
      <c r="T150" s="148"/>
      <c r="U150" s="148"/>
      <c r="V150" s="148"/>
      <c r="W150" s="148"/>
      <c r="X150" s="148"/>
      <c r="Y150" s="148"/>
      <c r="Z150" s="148"/>
      <c r="AA150" s="148"/>
      <c r="AB150" s="148"/>
      <c r="AC150" s="148"/>
    </row>
    <row r="151" spans="1:29">
      <c r="A151" s="149">
        <v>45860</v>
      </c>
      <c r="B151" s="147" t="s">
        <v>115</v>
      </c>
      <c r="C151" s="147">
        <v>1</v>
      </c>
      <c r="D151" s="147"/>
      <c r="E151" s="147"/>
      <c r="F151" s="147">
        <v>1</v>
      </c>
      <c r="G151" s="147"/>
      <c r="H151" s="147"/>
      <c r="I151" s="147"/>
      <c r="J151" s="147"/>
      <c r="K151" s="147"/>
      <c r="L151" s="147"/>
      <c r="M151" s="147"/>
      <c r="N151" s="147"/>
      <c r="O151" s="147"/>
      <c r="P151" s="147"/>
      <c r="Q151" s="147">
        <v>64</v>
      </c>
      <c r="R151" s="148"/>
      <c r="S151" s="148"/>
      <c r="T151" s="148"/>
      <c r="U151" s="148"/>
      <c r="V151" s="148"/>
      <c r="W151" s="148"/>
      <c r="X151" s="148"/>
      <c r="Y151" s="148"/>
      <c r="Z151" s="148"/>
      <c r="AA151" s="148"/>
      <c r="AB151" s="148"/>
      <c r="AC151" s="148"/>
    </row>
    <row r="152" spans="1:29" hidden="1">
      <c r="A152" s="149">
        <v>45860</v>
      </c>
      <c r="B152" s="147" t="s">
        <v>61</v>
      </c>
      <c r="C152" s="147">
        <v>8</v>
      </c>
      <c r="D152" s="147">
        <v>4</v>
      </c>
      <c r="E152" s="147">
        <v>3</v>
      </c>
      <c r="F152" s="147"/>
      <c r="G152" s="147"/>
      <c r="H152" s="147"/>
      <c r="I152" s="147"/>
      <c r="J152" s="147">
        <v>1</v>
      </c>
      <c r="K152" s="147"/>
      <c r="L152" s="147"/>
      <c r="M152" s="147"/>
      <c r="N152" s="147"/>
      <c r="O152" s="147"/>
      <c r="P152" s="147"/>
      <c r="Q152" s="147">
        <v>39</v>
      </c>
      <c r="R152" s="148"/>
      <c r="S152" s="148"/>
      <c r="T152" s="148"/>
      <c r="U152" s="148"/>
      <c r="V152" s="148"/>
      <c r="W152" s="148"/>
      <c r="X152" s="148"/>
      <c r="Y152" s="148"/>
      <c r="Z152" s="148"/>
      <c r="AA152" s="148"/>
      <c r="AB152" s="148"/>
      <c r="AC152" s="148"/>
    </row>
    <row r="153" spans="1:29" hidden="1">
      <c r="A153" s="149">
        <v>45860</v>
      </c>
      <c r="B153" s="147" t="s">
        <v>1774</v>
      </c>
      <c r="C153" s="147">
        <v>1</v>
      </c>
      <c r="D153" s="147"/>
      <c r="E153" s="147"/>
      <c r="F153" s="147"/>
      <c r="G153" s="147"/>
      <c r="H153" s="147"/>
      <c r="I153" s="147">
        <v>1</v>
      </c>
      <c r="J153" s="147"/>
      <c r="K153" s="147"/>
      <c r="L153" s="147"/>
      <c r="M153" s="147"/>
      <c r="N153" s="147"/>
      <c r="O153" s="147"/>
      <c r="P153" s="147"/>
      <c r="Q153" s="147"/>
      <c r="R153" s="148"/>
      <c r="S153" s="148"/>
      <c r="T153" s="148"/>
      <c r="U153" s="148"/>
      <c r="V153" s="148"/>
      <c r="W153" s="148"/>
      <c r="X153" s="148"/>
      <c r="Y153" s="148"/>
      <c r="Z153" s="148"/>
      <c r="AA153" s="148"/>
      <c r="AB153" s="148"/>
      <c r="AC153" s="148"/>
    </row>
    <row r="154" spans="1:29" hidden="1">
      <c r="A154" s="149">
        <v>45860</v>
      </c>
      <c r="B154" s="147" t="s">
        <v>1229</v>
      </c>
      <c r="C154" s="147"/>
      <c r="D154" s="147"/>
      <c r="E154" s="147"/>
      <c r="F154" s="147"/>
      <c r="G154" s="147"/>
      <c r="H154" s="147"/>
      <c r="I154" s="147"/>
      <c r="J154" s="147"/>
      <c r="K154" s="147"/>
      <c r="L154" s="147"/>
      <c r="M154" s="147"/>
      <c r="N154" s="147"/>
      <c r="O154" s="147"/>
      <c r="P154" s="147"/>
      <c r="Q154" s="147">
        <v>27</v>
      </c>
      <c r="R154" s="148"/>
      <c r="S154" s="148"/>
      <c r="T154" s="148"/>
      <c r="U154" s="148"/>
      <c r="V154" s="148"/>
      <c r="W154" s="148"/>
      <c r="X154" s="148"/>
      <c r="Y154" s="148"/>
      <c r="Z154" s="148"/>
      <c r="AA154" s="148"/>
      <c r="AB154" s="148"/>
      <c r="AC154" s="148"/>
    </row>
    <row r="155" spans="1:29">
      <c r="A155" s="149">
        <v>45861</v>
      </c>
      <c r="B155" s="147" t="s">
        <v>115</v>
      </c>
      <c r="C155" s="147">
        <v>6</v>
      </c>
      <c r="D155" s="147">
        <v>3</v>
      </c>
      <c r="E155" s="147"/>
      <c r="F155" s="147">
        <v>1</v>
      </c>
      <c r="G155" s="147"/>
      <c r="H155" s="147"/>
      <c r="I155" s="147">
        <v>2</v>
      </c>
      <c r="J155" s="147"/>
      <c r="K155" s="147"/>
      <c r="L155" s="147"/>
      <c r="M155" s="147"/>
      <c r="N155" s="147"/>
      <c r="O155" s="147"/>
      <c r="P155" s="147"/>
      <c r="Q155" s="147">
        <v>93</v>
      </c>
      <c r="R155" s="148"/>
      <c r="S155" s="148"/>
      <c r="T155" s="148"/>
      <c r="U155" s="148"/>
      <c r="V155" s="148"/>
      <c r="W155" s="148"/>
      <c r="X155" s="148"/>
      <c r="Y155" s="148"/>
      <c r="Z155" s="148"/>
      <c r="AA155" s="148"/>
      <c r="AB155" s="148"/>
      <c r="AC155" s="148"/>
    </row>
    <row r="156" spans="1:29" hidden="1">
      <c r="A156" s="149">
        <v>45861</v>
      </c>
      <c r="B156" s="147" t="s">
        <v>1229</v>
      </c>
      <c r="C156" s="147">
        <v>1</v>
      </c>
      <c r="D156" s="147"/>
      <c r="E156" s="147">
        <v>1</v>
      </c>
      <c r="F156" s="147"/>
      <c r="G156" s="147"/>
      <c r="H156" s="147"/>
      <c r="I156" s="147"/>
      <c r="J156" s="147"/>
      <c r="K156" s="147"/>
      <c r="L156" s="147"/>
      <c r="M156" s="147"/>
      <c r="N156" s="147"/>
      <c r="O156" s="147"/>
      <c r="P156" s="147"/>
      <c r="Q156" s="147">
        <v>41</v>
      </c>
      <c r="R156" s="148"/>
      <c r="S156" s="148"/>
      <c r="T156" s="148"/>
      <c r="U156" s="148"/>
      <c r="V156" s="148"/>
      <c r="W156" s="148"/>
      <c r="X156" s="148"/>
      <c r="Y156" s="148"/>
      <c r="Z156" s="148"/>
      <c r="AA156" s="148"/>
      <c r="AB156" s="148"/>
      <c r="AC156" s="148"/>
    </row>
    <row r="157" spans="1:29" hidden="1">
      <c r="A157" s="149">
        <v>45861</v>
      </c>
      <c r="B157" s="147" t="s">
        <v>61</v>
      </c>
      <c r="C157" s="147">
        <v>5</v>
      </c>
      <c r="D157" s="147">
        <v>1</v>
      </c>
      <c r="E157" s="147">
        <v>2</v>
      </c>
      <c r="F157" s="147"/>
      <c r="G157" s="147">
        <v>1</v>
      </c>
      <c r="H157" s="147"/>
      <c r="I157" s="147">
        <v>1</v>
      </c>
      <c r="J157" s="147"/>
      <c r="K157" s="147"/>
      <c r="L157" s="147"/>
      <c r="M157" s="147"/>
      <c r="N157" s="147"/>
      <c r="O157" s="147"/>
      <c r="P157" s="147"/>
      <c r="Q157" s="147">
        <v>33</v>
      </c>
      <c r="R157" s="148"/>
      <c r="S157" s="148"/>
      <c r="T157" s="148"/>
      <c r="U157" s="148"/>
      <c r="V157" s="148"/>
      <c r="W157" s="148"/>
      <c r="X157" s="148"/>
      <c r="Y157" s="148"/>
      <c r="Z157" s="148"/>
      <c r="AA157" s="148"/>
      <c r="AB157" s="148"/>
      <c r="AC157" s="148"/>
    </row>
    <row r="158" spans="1:29" hidden="1">
      <c r="A158" s="149">
        <v>45861</v>
      </c>
      <c r="B158" s="147" t="s">
        <v>1774</v>
      </c>
      <c r="C158" s="147">
        <v>2</v>
      </c>
      <c r="D158" s="147">
        <v>2</v>
      </c>
      <c r="E158" s="147"/>
      <c r="F158" s="147"/>
      <c r="G158" s="147"/>
      <c r="H158" s="147"/>
      <c r="I158" s="147"/>
      <c r="J158" s="147"/>
      <c r="K158" s="147"/>
      <c r="L158" s="147"/>
      <c r="M158" s="147"/>
      <c r="N158" s="147"/>
      <c r="O158" s="147"/>
      <c r="P158" s="147"/>
      <c r="Q158" s="147"/>
      <c r="R158" s="148"/>
      <c r="S158" s="148"/>
      <c r="T158" s="148"/>
      <c r="U158" s="148"/>
      <c r="V158" s="148"/>
      <c r="W158" s="148"/>
      <c r="X158" s="148"/>
      <c r="Y158" s="148"/>
      <c r="Z158" s="148"/>
      <c r="AA158" s="148"/>
      <c r="AB158" s="148"/>
      <c r="AC158" s="148"/>
    </row>
    <row r="159" spans="1:29" hidden="1">
      <c r="A159" s="149">
        <v>45861</v>
      </c>
      <c r="B159" s="147" t="s">
        <v>49</v>
      </c>
      <c r="C159" s="147">
        <v>1</v>
      </c>
      <c r="D159" s="147">
        <v>1</v>
      </c>
      <c r="E159" s="147"/>
      <c r="F159" s="147"/>
      <c r="G159" s="147"/>
      <c r="H159" s="147"/>
      <c r="I159" s="147"/>
      <c r="J159" s="147"/>
      <c r="K159" s="147"/>
      <c r="L159" s="147"/>
      <c r="M159" s="147"/>
      <c r="N159" s="147"/>
      <c r="O159" s="147"/>
      <c r="P159" s="147"/>
      <c r="Q159" s="147"/>
      <c r="R159" s="148"/>
      <c r="S159" s="148"/>
      <c r="T159" s="148"/>
      <c r="U159" s="148"/>
      <c r="V159" s="148"/>
      <c r="W159" s="148"/>
      <c r="X159" s="148"/>
      <c r="Y159" s="148"/>
      <c r="Z159" s="148"/>
      <c r="AA159" s="148"/>
      <c r="AB159" s="148"/>
      <c r="AC159" s="148"/>
    </row>
    <row r="160" spans="1:29">
      <c r="A160" s="149">
        <v>45862</v>
      </c>
      <c r="B160" s="147" t="s">
        <v>115</v>
      </c>
      <c r="C160" s="147">
        <v>1</v>
      </c>
      <c r="D160" s="147">
        <v>1</v>
      </c>
      <c r="E160" s="147"/>
      <c r="F160" s="147"/>
      <c r="G160" s="147"/>
      <c r="H160" s="147"/>
      <c r="I160" s="147"/>
      <c r="J160" s="147"/>
      <c r="K160" s="147"/>
      <c r="L160" s="147"/>
      <c r="M160" s="147"/>
      <c r="N160" s="147"/>
      <c r="O160" s="147"/>
      <c r="P160" s="147"/>
      <c r="Q160" s="147">
        <v>30</v>
      </c>
      <c r="R160" s="148"/>
      <c r="S160" s="148"/>
      <c r="T160" s="148"/>
      <c r="U160" s="148"/>
      <c r="V160" s="148"/>
      <c r="W160" s="148"/>
      <c r="X160" s="148"/>
      <c r="Y160" s="148"/>
      <c r="Z160" s="148"/>
      <c r="AA160" s="148"/>
      <c r="AB160" s="148"/>
      <c r="AC160" s="148"/>
    </row>
    <row r="161" spans="1:29" hidden="1">
      <c r="A161" s="149">
        <v>45862</v>
      </c>
      <c r="B161" s="147" t="s">
        <v>1774</v>
      </c>
      <c r="C161" s="147">
        <v>1</v>
      </c>
      <c r="D161" s="147"/>
      <c r="E161" s="147">
        <v>1</v>
      </c>
      <c r="F161" s="147"/>
      <c r="G161" s="147"/>
      <c r="H161" s="147"/>
      <c r="I161" s="147"/>
      <c r="J161" s="147"/>
      <c r="K161" s="147"/>
      <c r="L161" s="147"/>
      <c r="M161" s="147"/>
      <c r="N161" s="147"/>
      <c r="O161" s="147"/>
      <c r="P161" s="147"/>
      <c r="Q161" s="147"/>
      <c r="R161" s="148"/>
      <c r="S161" s="148"/>
      <c r="T161" s="148"/>
      <c r="U161" s="148"/>
      <c r="V161" s="148"/>
      <c r="W161" s="148"/>
      <c r="X161" s="148"/>
      <c r="Y161" s="148"/>
      <c r="Z161" s="148"/>
      <c r="AA161" s="148"/>
      <c r="AB161" s="148"/>
      <c r="AC161" s="148"/>
    </row>
    <row r="162" spans="1:29" hidden="1">
      <c r="A162" s="149">
        <v>45862</v>
      </c>
      <c r="B162" s="147" t="s">
        <v>1229</v>
      </c>
      <c r="C162" s="147">
        <v>2</v>
      </c>
      <c r="D162" s="147"/>
      <c r="E162" s="147">
        <v>1</v>
      </c>
      <c r="F162" s="147"/>
      <c r="G162" s="147"/>
      <c r="H162" s="147"/>
      <c r="I162" s="147"/>
      <c r="J162" s="147"/>
      <c r="K162" s="147">
        <v>1</v>
      </c>
      <c r="L162" s="147"/>
      <c r="M162" s="147"/>
      <c r="N162" s="147"/>
      <c r="O162" s="147"/>
      <c r="P162" s="147"/>
      <c r="Q162" s="147">
        <v>24</v>
      </c>
      <c r="R162" s="148"/>
      <c r="S162" s="148"/>
      <c r="T162" s="148"/>
      <c r="U162" s="148"/>
      <c r="V162" s="148"/>
      <c r="W162" s="148"/>
      <c r="X162" s="148"/>
      <c r="Y162" s="148"/>
      <c r="Z162" s="148"/>
      <c r="AA162" s="148"/>
      <c r="AB162" s="148"/>
      <c r="AC162" s="148"/>
    </row>
    <row r="163" spans="1:29" hidden="1">
      <c r="A163" s="149">
        <v>45862</v>
      </c>
      <c r="B163" s="147" t="s">
        <v>61</v>
      </c>
      <c r="C163" s="147">
        <v>6</v>
      </c>
      <c r="D163" s="147">
        <v>5</v>
      </c>
      <c r="E163" s="147"/>
      <c r="F163" s="147"/>
      <c r="G163" s="147"/>
      <c r="H163" s="147"/>
      <c r="I163" s="147">
        <v>1</v>
      </c>
      <c r="J163" s="147"/>
      <c r="K163" s="147"/>
      <c r="L163" s="147"/>
      <c r="M163" s="147"/>
      <c r="N163" s="147"/>
      <c r="O163" s="147"/>
      <c r="P163" s="147"/>
      <c r="Q163" s="147">
        <v>115</v>
      </c>
      <c r="R163" s="148"/>
      <c r="S163" s="148"/>
      <c r="T163" s="148"/>
      <c r="U163" s="148"/>
      <c r="V163" s="148"/>
      <c r="W163" s="148"/>
      <c r="X163" s="148"/>
      <c r="Y163" s="148"/>
      <c r="Z163" s="148"/>
      <c r="AA163" s="148"/>
      <c r="AB163" s="148"/>
      <c r="AC163" s="148"/>
    </row>
    <row r="164" spans="1:29">
      <c r="A164" s="149">
        <v>45863</v>
      </c>
      <c r="B164" s="147" t="s">
        <v>115</v>
      </c>
      <c r="C164" s="147">
        <v>4</v>
      </c>
      <c r="D164" s="147">
        <v>3</v>
      </c>
      <c r="E164" s="147"/>
      <c r="F164" s="147"/>
      <c r="G164" s="147"/>
      <c r="H164" s="147"/>
      <c r="I164" s="147">
        <v>1</v>
      </c>
      <c r="J164" s="147"/>
      <c r="K164" s="147"/>
      <c r="L164" s="147"/>
      <c r="M164" s="147"/>
      <c r="N164" s="147"/>
      <c r="O164" s="147"/>
      <c r="P164" s="147"/>
      <c r="Q164" s="147">
        <v>82</v>
      </c>
      <c r="R164" s="148"/>
      <c r="S164" s="148"/>
      <c r="T164" s="148"/>
      <c r="U164" s="148"/>
      <c r="V164" s="148"/>
      <c r="W164" s="148"/>
      <c r="X164" s="148"/>
      <c r="Y164" s="148"/>
      <c r="Z164" s="148"/>
      <c r="AA164" s="148"/>
      <c r="AB164" s="148"/>
      <c r="AC164" s="148"/>
    </row>
    <row r="165" spans="1:29" hidden="1">
      <c r="A165" s="149">
        <v>45863</v>
      </c>
      <c r="B165" s="147" t="s">
        <v>1774</v>
      </c>
      <c r="C165" s="147">
        <v>1</v>
      </c>
      <c r="D165" s="147"/>
      <c r="E165" s="147">
        <v>1</v>
      </c>
      <c r="F165" s="147"/>
      <c r="G165" s="147"/>
      <c r="H165" s="147"/>
      <c r="I165" s="147"/>
      <c r="J165" s="147"/>
      <c r="K165" s="147"/>
      <c r="L165" s="147"/>
      <c r="M165" s="147"/>
      <c r="N165" s="147"/>
      <c r="O165" s="147"/>
      <c r="P165" s="147"/>
      <c r="Q165" s="147"/>
      <c r="R165" s="148"/>
      <c r="S165" s="148"/>
      <c r="T165" s="148"/>
      <c r="U165" s="148"/>
      <c r="V165" s="148"/>
      <c r="W165" s="148"/>
      <c r="X165" s="148"/>
      <c r="Y165" s="148"/>
      <c r="Z165" s="148"/>
      <c r="AA165" s="148"/>
      <c r="AB165" s="148"/>
      <c r="AC165" s="148"/>
    </row>
    <row r="166" spans="1:29" hidden="1">
      <c r="A166" s="149">
        <v>45863</v>
      </c>
      <c r="B166" s="147" t="s">
        <v>61</v>
      </c>
      <c r="C166" s="147">
        <v>4</v>
      </c>
      <c r="D166" s="147">
        <v>4</v>
      </c>
      <c r="E166" s="147"/>
      <c r="F166" s="147"/>
      <c r="G166" s="147"/>
      <c r="H166" s="147"/>
      <c r="I166" s="147"/>
      <c r="J166" s="147"/>
      <c r="K166" s="147"/>
      <c r="L166" s="147"/>
      <c r="M166" s="147"/>
      <c r="N166" s="147"/>
      <c r="O166" s="147"/>
      <c r="P166" s="147"/>
      <c r="Q166" s="147">
        <v>76</v>
      </c>
      <c r="R166" s="148"/>
      <c r="S166" s="148"/>
      <c r="T166" s="148"/>
      <c r="U166" s="148"/>
      <c r="V166" s="148"/>
      <c r="W166" s="148"/>
      <c r="X166" s="148"/>
      <c r="Y166" s="148"/>
      <c r="Z166" s="148"/>
      <c r="AA166" s="148"/>
      <c r="AB166" s="148"/>
      <c r="AC166" s="148"/>
    </row>
    <row r="167" spans="1:29">
      <c r="A167" s="149">
        <v>45864</v>
      </c>
      <c r="B167" s="147" t="s">
        <v>115</v>
      </c>
      <c r="C167" s="147">
        <v>1</v>
      </c>
      <c r="D167" s="147"/>
      <c r="E167" s="147"/>
      <c r="F167" s="147"/>
      <c r="G167" s="147"/>
      <c r="H167" s="147"/>
      <c r="I167" s="147">
        <v>1</v>
      </c>
      <c r="J167" s="147"/>
      <c r="K167" s="147"/>
      <c r="L167" s="147"/>
      <c r="M167" s="147"/>
      <c r="N167" s="147"/>
      <c r="O167" s="147"/>
      <c r="P167" s="147"/>
      <c r="Q167" s="147">
        <v>44</v>
      </c>
      <c r="R167" s="148"/>
      <c r="S167" s="148"/>
      <c r="T167" s="148"/>
      <c r="U167" s="148"/>
      <c r="V167" s="148"/>
      <c r="W167" s="148"/>
      <c r="X167" s="148"/>
      <c r="Y167" s="148"/>
      <c r="Z167" s="148"/>
      <c r="AA167" s="148"/>
      <c r="AB167" s="148"/>
      <c r="AC167" s="148"/>
    </row>
    <row r="168" spans="1:29" hidden="1">
      <c r="A168" s="149">
        <v>45864</v>
      </c>
      <c r="B168" s="147" t="s">
        <v>61</v>
      </c>
      <c r="C168" s="147">
        <v>7</v>
      </c>
      <c r="D168" s="147">
        <v>6</v>
      </c>
      <c r="E168" s="147"/>
      <c r="F168" s="147">
        <v>1</v>
      </c>
      <c r="G168" s="147"/>
      <c r="H168" s="147"/>
      <c r="I168" s="147"/>
      <c r="J168" s="147"/>
      <c r="K168" s="147"/>
      <c r="L168" s="147"/>
      <c r="M168" s="147"/>
      <c r="N168" s="147"/>
      <c r="O168" s="147"/>
      <c r="P168" s="147"/>
      <c r="Q168" s="147">
        <v>63</v>
      </c>
      <c r="R168" s="148"/>
      <c r="S168" s="148"/>
      <c r="T168" s="148"/>
      <c r="U168" s="148"/>
      <c r="V168" s="148"/>
      <c r="W168" s="148"/>
      <c r="X168" s="148"/>
      <c r="Y168" s="148"/>
      <c r="Z168" s="148"/>
      <c r="AA168" s="148"/>
      <c r="AB168" s="148"/>
      <c r="AC168" s="148"/>
    </row>
    <row r="169" spans="1:29" hidden="1">
      <c r="A169" s="149">
        <v>45864</v>
      </c>
      <c r="B169" s="147" t="s">
        <v>1774</v>
      </c>
      <c r="C169" s="147">
        <v>1</v>
      </c>
      <c r="D169" s="147">
        <v>1</v>
      </c>
      <c r="E169" s="147"/>
      <c r="F169" s="147"/>
      <c r="G169" s="147"/>
      <c r="H169" s="147"/>
      <c r="I169" s="147"/>
      <c r="J169" s="147"/>
      <c r="K169" s="147"/>
      <c r="L169" s="147"/>
      <c r="M169" s="147"/>
      <c r="N169" s="147"/>
      <c r="O169" s="147"/>
      <c r="P169" s="147"/>
      <c r="Q169" s="147"/>
      <c r="R169" s="148"/>
      <c r="S169" s="148"/>
      <c r="T169" s="148"/>
      <c r="U169" s="148"/>
      <c r="V169" s="148"/>
      <c r="W169" s="148"/>
      <c r="X169" s="148"/>
      <c r="Y169" s="148"/>
      <c r="Z169" s="148"/>
      <c r="AA169" s="148"/>
      <c r="AB169" s="148"/>
      <c r="AC169" s="148"/>
    </row>
    <row r="170" spans="1:29" hidden="1">
      <c r="A170" s="149">
        <v>45865</v>
      </c>
      <c r="B170" s="147" t="s">
        <v>61</v>
      </c>
      <c r="C170" s="147">
        <v>5</v>
      </c>
      <c r="D170" s="147">
        <v>4</v>
      </c>
      <c r="E170" s="147"/>
      <c r="F170" s="147"/>
      <c r="G170" s="147"/>
      <c r="H170" s="147"/>
      <c r="I170" s="147"/>
      <c r="J170" s="147"/>
      <c r="K170" s="147"/>
      <c r="L170" s="147"/>
      <c r="M170" s="147">
        <v>1</v>
      </c>
      <c r="N170" s="147"/>
      <c r="O170" s="147"/>
      <c r="P170" s="147"/>
      <c r="Q170" s="147">
        <v>0</v>
      </c>
      <c r="R170" s="148"/>
      <c r="S170" s="148"/>
      <c r="T170" s="148"/>
      <c r="U170" s="148"/>
      <c r="V170" s="148"/>
      <c r="W170" s="148"/>
      <c r="X170" s="148"/>
      <c r="Y170" s="148"/>
      <c r="Z170" s="148"/>
      <c r="AA170" s="148"/>
      <c r="AB170" s="148"/>
      <c r="AC170" s="148"/>
    </row>
    <row r="171" spans="1:29" hidden="1">
      <c r="A171" s="149">
        <v>45865</v>
      </c>
      <c r="B171" s="147" t="s">
        <v>49</v>
      </c>
      <c r="C171" s="147">
        <v>1</v>
      </c>
      <c r="D171" s="147"/>
      <c r="E171" s="147"/>
      <c r="F171" s="147"/>
      <c r="G171" s="147"/>
      <c r="H171" s="147"/>
      <c r="I171" s="147">
        <v>1</v>
      </c>
      <c r="J171" s="147"/>
      <c r="K171" s="147"/>
      <c r="L171" s="147"/>
      <c r="M171" s="147"/>
      <c r="N171" s="147"/>
      <c r="O171" s="147"/>
      <c r="P171" s="147"/>
      <c r="Q171" s="147">
        <v>0</v>
      </c>
      <c r="R171" s="148"/>
      <c r="S171" s="148"/>
      <c r="T171" s="148"/>
      <c r="U171" s="148"/>
      <c r="V171" s="148"/>
      <c r="W171" s="148"/>
      <c r="X171" s="148"/>
      <c r="Y171" s="148"/>
      <c r="Z171" s="148"/>
      <c r="AA171" s="148"/>
      <c r="AB171" s="148"/>
      <c r="AC171" s="148"/>
    </row>
    <row r="172" spans="1:29" hidden="1">
      <c r="A172" s="149">
        <v>45866</v>
      </c>
      <c r="B172" s="147" t="s">
        <v>61</v>
      </c>
      <c r="C172" s="147">
        <v>5</v>
      </c>
      <c r="D172" s="147">
        <v>1</v>
      </c>
      <c r="E172" s="147">
        <v>2</v>
      </c>
      <c r="F172" s="147"/>
      <c r="G172" s="147"/>
      <c r="H172" s="147"/>
      <c r="I172" s="147">
        <v>1</v>
      </c>
      <c r="J172" s="147">
        <v>1</v>
      </c>
      <c r="K172" s="147"/>
      <c r="L172" s="147"/>
      <c r="M172" s="147"/>
      <c r="N172" s="147"/>
      <c r="O172" s="147"/>
      <c r="P172" s="147"/>
      <c r="Q172" s="147">
        <v>62</v>
      </c>
      <c r="R172" s="148"/>
      <c r="S172" s="148"/>
      <c r="T172" s="148"/>
      <c r="U172" s="148"/>
      <c r="V172" s="148"/>
      <c r="W172" s="148"/>
      <c r="X172" s="148"/>
      <c r="Y172" s="148"/>
      <c r="Z172" s="148"/>
      <c r="AA172" s="148"/>
      <c r="AB172" s="148"/>
      <c r="AC172" s="148"/>
    </row>
    <row r="173" spans="1:29" hidden="1">
      <c r="A173" s="149">
        <v>45866</v>
      </c>
      <c r="B173" s="147" t="s">
        <v>1774</v>
      </c>
      <c r="C173" s="147">
        <v>2</v>
      </c>
      <c r="D173" s="147">
        <v>1</v>
      </c>
      <c r="E173" s="147">
        <v>1</v>
      </c>
      <c r="F173" s="147"/>
      <c r="G173" s="147"/>
      <c r="H173" s="147"/>
      <c r="I173" s="147"/>
      <c r="J173" s="147"/>
      <c r="K173" s="147"/>
      <c r="L173" s="147"/>
      <c r="M173" s="147"/>
      <c r="N173" s="147"/>
      <c r="O173" s="147"/>
      <c r="P173" s="147"/>
      <c r="Q173" s="147"/>
      <c r="R173" s="148"/>
      <c r="S173" s="148"/>
      <c r="T173" s="148"/>
      <c r="U173" s="148"/>
      <c r="V173" s="148"/>
      <c r="W173" s="148"/>
      <c r="X173" s="148"/>
      <c r="Y173" s="148"/>
      <c r="Z173" s="148"/>
      <c r="AA173" s="148"/>
      <c r="AB173" s="148"/>
      <c r="AC173" s="148"/>
    </row>
    <row r="174" spans="1:29">
      <c r="A174" s="149">
        <v>45866</v>
      </c>
      <c r="B174" s="147" t="s">
        <v>115</v>
      </c>
      <c r="C174" s="147">
        <v>4</v>
      </c>
      <c r="D174" s="147">
        <v>4</v>
      </c>
      <c r="E174" s="147"/>
      <c r="F174" s="147"/>
      <c r="G174" s="147"/>
      <c r="H174" s="147"/>
      <c r="I174" s="147"/>
      <c r="J174" s="147"/>
      <c r="K174" s="147"/>
      <c r="L174" s="147"/>
      <c r="M174" s="147"/>
      <c r="N174" s="147"/>
      <c r="O174" s="147"/>
      <c r="P174" s="147"/>
      <c r="Q174" s="147">
        <v>71</v>
      </c>
      <c r="R174" s="148"/>
      <c r="S174" s="148"/>
      <c r="T174" s="148"/>
      <c r="U174" s="148"/>
      <c r="V174" s="148"/>
      <c r="W174" s="148"/>
      <c r="X174" s="148"/>
      <c r="Y174" s="148"/>
      <c r="Z174" s="148"/>
      <c r="AA174" s="148"/>
      <c r="AB174" s="148"/>
      <c r="AC174" s="148"/>
    </row>
    <row r="175" spans="1:29" hidden="1">
      <c r="A175" s="149">
        <v>45866</v>
      </c>
      <c r="B175" s="147" t="s">
        <v>1229</v>
      </c>
      <c r="C175" s="147">
        <v>1</v>
      </c>
      <c r="D175" s="147">
        <v>1</v>
      </c>
      <c r="E175" s="147"/>
      <c r="F175" s="147"/>
      <c r="G175" s="147"/>
      <c r="H175" s="147"/>
      <c r="I175" s="147"/>
      <c r="J175" s="147"/>
      <c r="K175" s="147"/>
      <c r="L175" s="147"/>
      <c r="M175" s="147"/>
      <c r="N175" s="147"/>
      <c r="O175" s="147"/>
      <c r="P175" s="147"/>
      <c r="Q175" s="147"/>
      <c r="R175" s="148"/>
      <c r="S175" s="148"/>
      <c r="T175" s="148"/>
      <c r="U175" s="148"/>
      <c r="V175" s="148"/>
      <c r="W175" s="148"/>
      <c r="X175" s="148"/>
      <c r="Y175" s="148"/>
      <c r="Z175" s="148"/>
      <c r="AA175" s="148"/>
      <c r="AB175" s="148"/>
      <c r="AC175" s="148"/>
    </row>
    <row r="176" spans="1:29" hidden="1">
      <c r="A176" s="149">
        <v>45866</v>
      </c>
      <c r="B176" s="147" t="s">
        <v>49</v>
      </c>
      <c r="C176" s="147">
        <v>1</v>
      </c>
      <c r="D176" s="147"/>
      <c r="E176" s="147">
        <v>1</v>
      </c>
      <c r="F176" s="147"/>
      <c r="G176" s="147"/>
      <c r="H176" s="147"/>
      <c r="I176" s="147"/>
      <c r="J176" s="147"/>
      <c r="K176" s="147"/>
      <c r="L176" s="147"/>
      <c r="M176" s="147"/>
      <c r="N176" s="147"/>
      <c r="O176" s="147"/>
      <c r="P176" s="147"/>
      <c r="Q176" s="147">
        <v>1</v>
      </c>
      <c r="R176" s="148"/>
      <c r="S176" s="148"/>
      <c r="T176" s="148"/>
      <c r="U176" s="148"/>
      <c r="V176" s="148"/>
      <c r="W176" s="148"/>
      <c r="X176" s="148"/>
      <c r="Y176" s="148"/>
      <c r="Z176" s="148"/>
      <c r="AA176" s="148"/>
      <c r="AB176" s="148"/>
      <c r="AC176" s="148"/>
    </row>
    <row r="177" spans="1:29">
      <c r="A177" s="149">
        <v>45867</v>
      </c>
      <c r="B177" s="147" t="s">
        <v>115</v>
      </c>
      <c r="C177" s="147">
        <v>2</v>
      </c>
      <c r="D177" s="147">
        <v>2</v>
      </c>
      <c r="E177" s="147"/>
      <c r="F177" s="147"/>
      <c r="G177" s="147"/>
      <c r="H177" s="147"/>
      <c r="I177" s="147"/>
      <c r="J177" s="147"/>
      <c r="K177" s="147"/>
      <c r="L177" s="147"/>
      <c r="M177" s="147"/>
      <c r="N177" s="147"/>
      <c r="O177" s="147"/>
      <c r="P177" s="147"/>
      <c r="Q177" s="147">
        <v>51</v>
      </c>
      <c r="R177" s="148"/>
      <c r="S177" s="148"/>
      <c r="T177" s="148"/>
      <c r="U177" s="148"/>
      <c r="V177" s="148"/>
      <c r="W177" s="148"/>
      <c r="X177" s="148"/>
      <c r="Y177" s="148"/>
      <c r="Z177" s="148"/>
      <c r="AA177" s="148"/>
      <c r="AB177" s="148"/>
      <c r="AC177" s="148"/>
    </row>
    <row r="178" spans="1:29" hidden="1">
      <c r="A178" s="149">
        <v>45867</v>
      </c>
      <c r="B178" s="147" t="s">
        <v>1774</v>
      </c>
      <c r="C178" s="147">
        <v>2</v>
      </c>
      <c r="D178" s="147">
        <v>2</v>
      </c>
      <c r="E178" s="147"/>
      <c r="F178" s="147"/>
      <c r="G178" s="147"/>
      <c r="H178" s="147"/>
      <c r="I178" s="147"/>
      <c r="J178" s="147"/>
      <c r="K178" s="147"/>
      <c r="L178" s="147"/>
      <c r="M178" s="147"/>
      <c r="N178" s="147"/>
      <c r="O178" s="147"/>
      <c r="P178" s="147"/>
      <c r="Q178" s="147">
        <v>43</v>
      </c>
      <c r="R178" s="148"/>
      <c r="S178" s="148"/>
      <c r="T178" s="148"/>
      <c r="U178" s="148"/>
      <c r="V178" s="148"/>
      <c r="W178" s="148"/>
      <c r="X178" s="148"/>
      <c r="Y178" s="148"/>
      <c r="Z178" s="148"/>
      <c r="AA178" s="148"/>
      <c r="AB178" s="148"/>
      <c r="AC178" s="148"/>
    </row>
    <row r="179" spans="1:29" hidden="1">
      <c r="A179" s="149">
        <v>45867</v>
      </c>
      <c r="B179" s="147" t="s">
        <v>61</v>
      </c>
      <c r="C179" s="147">
        <v>3</v>
      </c>
      <c r="D179" s="147">
        <v>1</v>
      </c>
      <c r="E179" s="147">
        <v>2</v>
      </c>
      <c r="F179" s="147"/>
      <c r="G179" s="147"/>
      <c r="H179" s="147"/>
      <c r="I179" s="147"/>
      <c r="J179" s="147"/>
      <c r="K179" s="147"/>
      <c r="L179" s="147"/>
      <c r="M179" s="147"/>
      <c r="N179" s="147"/>
      <c r="O179" s="147"/>
      <c r="P179" s="147"/>
      <c r="Q179" s="147">
        <v>87</v>
      </c>
      <c r="R179" s="148"/>
      <c r="S179" s="148"/>
      <c r="T179" s="148"/>
      <c r="U179" s="148"/>
      <c r="V179" s="148"/>
      <c r="W179" s="148"/>
      <c r="X179" s="148"/>
      <c r="Y179" s="148"/>
      <c r="Z179" s="148"/>
      <c r="AA179" s="148"/>
      <c r="AB179" s="148"/>
      <c r="AC179" s="148"/>
    </row>
    <row r="180" spans="1:29" hidden="1">
      <c r="A180" s="149">
        <v>45867</v>
      </c>
      <c r="B180" s="147" t="s">
        <v>49</v>
      </c>
      <c r="C180" s="147">
        <v>1</v>
      </c>
      <c r="D180" s="147">
        <v>1</v>
      </c>
      <c r="E180" s="147"/>
      <c r="F180" s="147"/>
      <c r="G180" s="147"/>
      <c r="H180" s="147"/>
      <c r="I180" s="147"/>
      <c r="J180" s="147"/>
      <c r="K180" s="147"/>
      <c r="L180" s="147"/>
      <c r="M180" s="147"/>
      <c r="N180" s="147"/>
      <c r="O180" s="147"/>
      <c r="P180" s="147"/>
      <c r="Q180" s="147">
        <v>0</v>
      </c>
      <c r="R180" s="148"/>
      <c r="S180" s="148"/>
      <c r="T180" s="148"/>
      <c r="U180" s="148"/>
      <c r="V180" s="148"/>
      <c r="W180" s="148"/>
      <c r="X180" s="148"/>
      <c r="Y180" s="148"/>
      <c r="Z180" s="148"/>
      <c r="AA180" s="148"/>
      <c r="AB180" s="148"/>
      <c r="AC180" s="148"/>
    </row>
    <row r="181" spans="1:29" hidden="1">
      <c r="A181" s="149">
        <v>45867</v>
      </c>
      <c r="B181" s="147" t="s">
        <v>1229</v>
      </c>
      <c r="C181" s="147">
        <v>2</v>
      </c>
      <c r="D181" s="147"/>
      <c r="E181" s="147"/>
      <c r="F181" s="147">
        <v>1</v>
      </c>
      <c r="G181" s="147"/>
      <c r="H181" s="147">
        <v>1</v>
      </c>
      <c r="I181" s="147"/>
      <c r="J181" s="147"/>
      <c r="K181" s="147"/>
      <c r="L181" s="147"/>
      <c r="M181" s="147"/>
      <c r="N181" s="147"/>
      <c r="O181" s="147"/>
      <c r="P181" s="147"/>
      <c r="Q181" s="147">
        <v>32</v>
      </c>
      <c r="R181" s="148"/>
      <c r="S181" s="148"/>
      <c r="T181" s="148"/>
      <c r="U181" s="148"/>
      <c r="V181" s="148"/>
      <c r="W181" s="148"/>
      <c r="X181" s="148"/>
      <c r="Y181" s="148"/>
      <c r="Z181" s="148"/>
      <c r="AA181" s="148"/>
      <c r="AB181" s="148"/>
      <c r="AC181" s="148"/>
    </row>
    <row r="182" spans="1:29">
      <c r="A182" s="149">
        <v>45868</v>
      </c>
      <c r="B182" s="147" t="s">
        <v>115</v>
      </c>
      <c r="C182" s="147">
        <v>2</v>
      </c>
      <c r="D182" s="147">
        <v>2</v>
      </c>
      <c r="E182" s="147"/>
      <c r="F182" s="147"/>
      <c r="G182" s="147"/>
      <c r="H182" s="147"/>
      <c r="I182" s="147"/>
      <c r="J182" s="147"/>
      <c r="K182" s="147"/>
      <c r="L182" s="147"/>
      <c r="M182" s="147"/>
      <c r="N182" s="147"/>
      <c r="O182" s="147"/>
      <c r="P182" s="147"/>
      <c r="Q182" s="147">
        <v>52</v>
      </c>
      <c r="R182" s="148"/>
      <c r="S182" s="148"/>
      <c r="T182" s="148"/>
      <c r="U182" s="148"/>
      <c r="V182" s="148"/>
      <c r="W182" s="148"/>
      <c r="X182" s="148"/>
      <c r="Y182" s="148"/>
      <c r="Z182" s="148"/>
      <c r="AA182" s="148"/>
      <c r="AB182" s="148"/>
      <c r="AC182" s="148"/>
    </row>
    <row r="183" spans="1:29" hidden="1">
      <c r="A183" s="149">
        <v>45868</v>
      </c>
      <c r="B183" s="147" t="s">
        <v>1229</v>
      </c>
      <c r="C183" s="147">
        <v>3</v>
      </c>
      <c r="D183" s="147">
        <v>3</v>
      </c>
      <c r="E183" s="147"/>
      <c r="F183" s="147"/>
      <c r="G183" s="147"/>
      <c r="H183" s="147"/>
      <c r="I183" s="147"/>
      <c r="J183" s="147"/>
      <c r="K183" s="147"/>
      <c r="L183" s="147"/>
      <c r="M183" s="147"/>
      <c r="N183" s="147"/>
      <c r="O183" s="147"/>
      <c r="P183" s="147"/>
      <c r="Q183" s="147">
        <v>35</v>
      </c>
      <c r="R183" s="148"/>
      <c r="S183" s="148"/>
      <c r="T183" s="148"/>
      <c r="U183" s="148"/>
      <c r="V183" s="148"/>
      <c r="W183" s="148"/>
      <c r="X183" s="148"/>
      <c r="Y183" s="148"/>
      <c r="Z183" s="148"/>
      <c r="AA183" s="148"/>
      <c r="AB183" s="148"/>
      <c r="AC183" s="148"/>
    </row>
    <row r="184" spans="1:29" hidden="1">
      <c r="A184" s="149">
        <v>45868</v>
      </c>
      <c r="B184" s="147" t="s">
        <v>61</v>
      </c>
      <c r="C184" s="147">
        <v>8</v>
      </c>
      <c r="D184" s="147">
        <v>3</v>
      </c>
      <c r="E184" s="147"/>
      <c r="F184" s="147"/>
      <c r="G184" s="147">
        <v>2</v>
      </c>
      <c r="H184" s="147">
        <v>1</v>
      </c>
      <c r="I184" s="147">
        <v>2</v>
      </c>
      <c r="J184" s="147"/>
      <c r="K184" s="147"/>
      <c r="L184" s="147"/>
      <c r="M184" s="147"/>
      <c r="N184" s="147"/>
      <c r="O184" s="147"/>
      <c r="P184" s="147"/>
      <c r="Q184" s="147">
        <v>79</v>
      </c>
      <c r="R184" s="148"/>
      <c r="S184" s="148"/>
      <c r="T184" s="148"/>
      <c r="U184" s="148"/>
      <c r="V184" s="148"/>
      <c r="W184" s="148"/>
      <c r="X184" s="148"/>
      <c r="Y184" s="148"/>
      <c r="Z184" s="148"/>
      <c r="AA184" s="148"/>
      <c r="AB184" s="148"/>
      <c r="AC184" s="148"/>
    </row>
    <row r="185" spans="1:29" hidden="1">
      <c r="A185" s="149">
        <v>45868</v>
      </c>
      <c r="B185" s="147" t="s">
        <v>1774</v>
      </c>
      <c r="C185" s="147">
        <v>1</v>
      </c>
      <c r="D185" s="147">
        <v>1</v>
      </c>
      <c r="E185" s="147"/>
      <c r="F185" s="147"/>
      <c r="G185" s="147"/>
      <c r="H185" s="147"/>
      <c r="I185" s="147"/>
      <c r="J185" s="147"/>
      <c r="K185" s="147"/>
      <c r="L185" s="147"/>
      <c r="M185" s="147"/>
      <c r="N185" s="147"/>
      <c r="O185" s="147"/>
      <c r="P185" s="147"/>
      <c r="Q185" s="147">
        <v>29</v>
      </c>
      <c r="R185" s="148"/>
      <c r="S185" s="148"/>
      <c r="T185" s="148"/>
      <c r="U185" s="148"/>
      <c r="V185" s="148"/>
      <c r="W185" s="148"/>
      <c r="X185" s="148"/>
      <c r="Y185" s="148"/>
      <c r="Z185" s="148"/>
      <c r="AA185" s="148"/>
      <c r="AB185" s="148"/>
      <c r="AC185" s="148"/>
    </row>
    <row r="186" spans="1:29" hidden="1">
      <c r="A186" s="149">
        <v>45869</v>
      </c>
      <c r="B186" s="147" t="s">
        <v>61</v>
      </c>
      <c r="C186" s="147">
        <v>4</v>
      </c>
      <c r="D186" s="147">
        <v>2</v>
      </c>
      <c r="E186" s="147">
        <v>1</v>
      </c>
      <c r="F186" s="147"/>
      <c r="G186" s="147"/>
      <c r="H186" s="147">
        <v>1</v>
      </c>
      <c r="I186" s="147"/>
      <c r="J186" s="147"/>
      <c r="K186" s="147"/>
      <c r="L186" s="147"/>
      <c r="M186" s="147"/>
      <c r="N186" s="147"/>
      <c r="O186" s="147"/>
      <c r="P186" s="147"/>
      <c r="Q186" s="147">
        <v>89</v>
      </c>
      <c r="R186" s="148"/>
      <c r="S186" s="148"/>
      <c r="T186" s="148"/>
      <c r="U186" s="148"/>
      <c r="V186" s="148"/>
      <c r="W186" s="148"/>
      <c r="X186" s="148"/>
      <c r="Y186" s="148"/>
      <c r="Z186" s="148"/>
      <c r="AA186" s="148"/>
      <c r="AB186" s="148"/>
      <c r="AC186" s="148"/>
    </row>
    <row r="187" spans="1:29">
      <c r="A187" s="149">
        <v>45869</v>
      </c>
      <c r="B187" s="147" t="s">
        <v>115</v>
      </c>
      <c r="C187" s="147">
        <v>3</v>
      </c>
      <c r="D187" s="147">
        <v>1</v>
      </c>
      <c r="E187" s="147"/>
      <c r="F187" s="147"/>
      <c r="G187" s="147"/>
      <c r="H187" s="147">
        <v>1</v>
      </c>
      <c r="I187" s="147">
        <v>1</v>
      </c>
      <c r="J187" s="147"/>
      <c r="K187" s="147"/>
      <c r="L187" s="147"/>
      <c r="M187" s="147"/>
      <c r="N187" s="147"/>
      <c r="O187" s="147"/>
      <c r="P187" s="147"/>
      <c r="Q187" s="147">
        <v>69</v>
      </c>
      <c r="R187" s="148"/>
      <c r="S187" s="148"/>
      <c r="T187" s="148"/>
      <c r="U187" s="148"/>
      <c r="V187" s="148"/>
      <c r="W187" s="148"/>
      <c r="X187" s="148"/>
      <c r="Y187" s="148"/>
      <c r="Z187" s="148"/>
      <c r="AA187" s="148"/>
      <c r="AB187" s="148"/>
      <c r="AC187" s="148"/>
    </row>
    <row r="188" spans="1:29" hidden="1">
      <c r="A188" s="149">
        <v>45869</v>
      </c>
      <c r="B188" s="147" t="s">
        <v>1774</v>
      </c>
      <c r="C188" s="147"/>
      <c r="D188" s="147"/>
      <c r="E188" s="147"/>
      <c r="F188" s="147"/>
      <c r="G188" s="147"/>
      <c r="H188" s="147"/>
      <c r="I188" s="147"/>
      <c r="J188" s="147"/>
      <c r="K188" s="147"/>
      <c r="L188" s="147"/>
      <c r="M188" s="147"/>
      <c r="N188" s="147"/>
      <c r="O188" s="147"/>
      <c r="P188" s="147"/>
      <c r="Q188" s="147">
        <v>45</v>
      </c>
      <c r="R188" s="148"/>
      <c r="S188" s="148"/>
      <c r="T188" s="148"/>
      <c r="U188" s="148"/>
      <c r="V188" s="148"/>
      <c r="W188" s="148"/>
      <c r="X188" s="148"/>
      <c r="Y188" s="148"/>
      <c r="Z188" s="148"/>
      <c r="AA188" s="148"/>
      <c r="AB188" s="148"/>
      <c r="AC188" s="148"/>
    </row>
    <row r="189" spans="1:29" hidden="1">
      <c r="A189" s="149">
        <v>45869</v>
      </c>
      <c r="B189" s="147" t="s">
        <v>1229</v>
      </c>
      <c r="C189" s="147">
        <v>2</v>
      </c>
      <c r="D189" s="147">
        <v>1</v>
      </c>
      <c r="E189" s="147"/>
      <c r="F189" s="147"/>
      <c r="G189" s="147"/>
      <c r="H189" s="147"/>
      <c r="I189" s="147"/>
      <c r="J189" s="147"/>
      <c r="K189" s="147"/>
      <c r="L189" s="147"/>
      <c r="M189" s="147"/>
      <c r="N189" s="147"/>
      <c r="O189" s="147"/>
      <c r="P189" s="147"/>
      <c r="Q189" s="147">
        <v>3</v>
      </c>
      <c r="R189" s="148"/>
      <c r="S189" s="148"/>
      <c r="T189" s="148"/>
      <c r="U189" s="148"/>
      <c r="V189" s="148"/>
      <c r="W189" s="148"/>
      <c r="X189" s="148"/>
      <c r="Y189" s="148"/>
      <c r="Z189" s="148"/>
      <c r="AA189" s="148"/>
      <c r="AB189" s="148"/>
      <c r="AC189" s="148"/>
    </row>
    <row r="190" spans="1:29" hidden="1">
      <c r="A190" s="149">
        <v>45869</v>
      </c>
      <c r="B190" s="147" t="s">
        <v>1229</v>
      </c>
      <c r="C190" s="147">
        <v>2</v>
      </c>
      <c r="D190" s="147">
        <v>2</v>
      </c>
      <c r="E190" s="147"/>
      <c r="F190" s="147"/>
      <c r="G190" s="147"/>
      <c r="H190" s="147"/>
      <c r="I190" s="147"/>
      <c r="J190" s="147"/>
      <c r="K190" s="147"/>
      <c r="L190" s="147"/>
      <c r="M190" s="147"/>
      <c r="N190" s="147"/>
      <c r="O190" s="147"/>
      <c r="P190" s="147"/>
      <c r="Q190" s="147">
        <v>3</v>
      </c>
      <c r="R190" s="148"/>
      <c r="S190" s="148"/>
      <c r="T190" s="148"/>
      <c r="U190" s="148"/>
      <c r="V190" s="148"/>
      <c r="W190" s="148"/>
      <c r="X190" s="148"/>
      <c r="Y190" s="148"/>
      <c r="Z190" s="148"/>
      <c r="AA190" s="148"/>
      <c r="AB190" s="148"/>
      <c r="AC190" s="148"/>
    </row>
    <row r="191" spans="1:29">
      <c r="A191" s="149">
        <v>45870</v>
      </c>
      <c r="B191" s="147" t="s">
        <v>115</v>
      </c>
      <c r="C191" s="147">
        <v>1</v>
      </c>
      <c r="D191" s="147"/>
      <c r="E191" s="147"/>
      <c r="F191" s="147">
        <v>1</v>
      </c>
      <c r="G191" s="147"/>
      <c r="H191" s="147"/>
      <c r="I191" s="147"/>
      <c r="J191" s="147"/>
      <c r="K191" s="147"/>
      <c r="L191" s="147"/>
      <c r="M191" s="147"/>
      <c r="N191" s="147"/>
      <c r="O191" s="147"/>
      <c r="P191" s="147"/>
      <c r="Q191" s="147">
        <v>36</v>
      </c>
      <c r="R191" s="148"/>
      <c r="S191" s="148"/>
      <c r="T191" s="148"/>
      <c r="U191" s="148"/>
      <c r="V191" s="148"/>
      <c r="W191" s="148"/>
      <c r="X191" s="148"/>
      <c r="Y191" s="148"/>
      <c r="Z191" s="148"/>
      <c r="AA191" s="148"/>
      <c r="AB191" s="148"/>
      <c r="AC191" s="148"/>
    </row>
    <row r="192" spans="1:29" hidden="1">
      <c r="A192" s="149">
        <v>45870</v>
      </c>
      <c r="B192" s="147" t="s">
        <v>1774</v>
      </c>
      <c r="C192" s="147">
        <v>1</v>
      </c>
      <c r="D192" s="147"/>
      <c r="E192" s="147"/>
      <c r="F192" s="147"/>
      <c r="G192" s="147"/>
      <c r="H192" s="147"/>
      <c r="I192" s="147">
        <v>1</v>
      </c>
      <c r="J192" s="147"/>
      <c r="K192" s="147"/>
      <c r="L192" s="147"/>
      <c r="M192" s="147"/>
      <c r="N192" s="147"/>
      <c r="O192" s="147"/>
      <c r="P192" s="147"/>
      <c r="Q192" s="147">
        <v>21</v>
      </c>
      <c r="R192" s="148"/>
      <c r="S192" s="148"/>
      <c r="T192" s="148"/>
      <c r="U192" s="148"/>
      <c r="V192" s="148"/>
      <c r="W192" s="148"/>
      <c r="X192" s="148"/>
      <c r="Y192" s="148"/>
      <c r="Z192" s="148"/>
      <c r="AA192" s="148"/>
      <c r="AB192" s="148"/>
      <c r="AC192" s="148"/>
    </row>
    <row r="193" spans="1:29" hidden="1">
      <c r="A193" s="149">
        <v>45870</v>
      </c>
      <c r="B193" s="147" t="s">
        <v>61</v>
      </c>
      <c r="C193" s="147">
        <v>4</v>
      </c>
      <c r="D193" s="147">
        <v>2</v>
      </c>
      <c r="E193" s="147">
        <v>1</v>
      </c>
      <c r="F193" s="147">
        <v>1</v>
      </c>
      <c r="G193" s="147"/>
      <c r="H193" s="147"/>
      <c r="I193" s="147"/>
      <c r="J193" s="147"/>
      <c r="K193" s="147"/>
      <c r="L193" s="147"/>
      <c r="M193" s="147"/>
      <c r="N193" s="147"/>
      <c r="O193" s="147"/>
      <c r="P193" s="147"/>
      <c r="Q193" s="147">
        <v>57</v>
      </c>
      <c r="R193" s="148"/>
      <c r="S193" s="148"/>
      <c r="T193" s="148"/>
      <c r="U193" s="148"/>
      <c r="V193" s="148"/>
      <c r="W193" s="148"/>
      <c r="X193" s="148"/>
      <c r="Y193" s="148"/>
      <c r="Z193" s="148"/>
      <c r="AA193" s="148"/>
      <c r="AB193" s="148"/>
      <c r="AC193" s="148"/>
    </row>
    <row r="194" spans="1:29" hidden="1">
      <c r="A194" s="149">
        <v>45870</v>
      </c>
      <c r="B194" s="147" t="s">
        <v>1229</v>
      </c>
      <c r="C194" s="147">
        <v>1</v>
      </c>
      <c r="D194" s="147">
        <v>1</v>
      </c>
      <c r="E194" s="147"/>
      <c r="F194" s="147"/>
      <c r="G194" s="147"/>
      <c r="H194" s="147"/>
      <c r="I194" s="147"/>
      <c r="J194" s="147"/>
      <c r="K194" s="147"/>
      <c r="L194" s="147"/>
      <c r="M194" s="147"/>
      <c r="N194" s="147"/>
      <c r="O194" s="147"/>
      <c r="P194" s="147"/>
      <c r="Q194" s="147">
        <v>20</v>
      </c>
      <c r="R194" s="148"/>
      <c r="S194" s="148"/>
      <c r="T194" s="148"/>
      <c r="U194" s="148"/>
      <c r="V194" s="148"/>
      <c r="W194" s="148"/>
      <c r="X194" s="148"/>
      <c r="Y194" s="148"/>
      <c r="Z194" s="148"/>
      <c r="AA194" s="148"/>
      <c r="AB194" s="148"/>
      <c r="AC194" s="148"/>
    </row>
    <row r="195" spans="1:29">
      <c r="A195" s="149">
        <v>45871</v>
      </c>
      <c r="B195" s="147" t="s">
        <v>115</v>
      </c>
      <c r="C195" s="147">
        <v>3</v>
      </c>
      <c r="D195" s="147">
        <v>1</v>
      </c>
      <c r="E195" s="147">
        <v>1</v>
      </c>
      <c r="F195" s="147"/>
      <c r="G195" s="147"/>
      <c r="H195" s="147"/>
      <c r="I195" s="147"/>
      <c r="J195" s="147">
        <v>1</v>
      </c>
      <c r="K195" s="147"/>
      <c r="L195" s="147"/>
      <c r="M195" s="147"/>
      <c r="N195" s="147"/>
      <c r="O195" s="147"/>
      <c r="P195" s="147"/>
      <c r="Q195" s="147">
        <v>3</v>
      </c>
      <c r="R195" s="148"/>
      <c r="S195" s="148"/>
      <c r="T195" s="148"/>
      <c r="U195" s="148"/>
      <c r="V195" s="148"/>
      <c r="W195" s="148"/>
      <c r="X195" s="148"/>
      <c r="Y195" s="148"/>
      <c r="Z195" s="148"/>
      <c r="AA195" s="148"/>
      <c r="AB195" s="148"/>
      <c r="AC195" s="148"/>
    </row>
    <row r="196" spans="1:29" hidden="1">
      <c r="A196" s="149">
        <v>45871</v>
      </c>
      <c r="B196" s="147" t="s">
        <v>1774</v>
      </c>
      <c r="C196" s="147">
        <v>2</v>
      </c>
      <c r="D196" s="147">
        <v>1</v>
      </c>
      <c r="E196" s="147"/>
      <c r="F196" s="147">
        <v>1</v>
      </c>
      <c r="G196" s="147"/>
      <c r="H196" s="147"/>
      <c r="I196" s="147"/>
      <c r="J196" s="147"/>
      <c r="K196" s="147"/>
      <c r="L196" s="147"/>
      <c r="M196" s="147"/>
      <c r="N196" s="147"/>
      <c r="O196" s="147"/>
      <c r="P196" s="147"/>
      <c r="Q196" s="147">
        <v>42</v>
      </c>
      <c r="R196" s="148"/>
      <c r="S196" s="148"/>
      <c r="T196" s="148"/>
      <c r="U196" s="148"/>
      <c r="V196" s="148"/>
      <c r="W196" s="148"/>
      <c r="X196" s="148"/>
      <c r="Y196" s="148"/>
      <c r="Z196" s="148"/>
      <c r="AA196" s="148"/>
      <c r="AB196" s="148"/>
      <c r="AC196" s="148"/>
    </row>
    <row r="197" spans="1:29" hidden="1">
      <c r="A197" s="149">
        <v>45871</v>
      </c>
      <c r="B197" s="147" t="s">
        <v>1229</v>
      </c>
      <c r="C197" s="147"/>
      <c r="D197" s="147"/>
      <c r="E197" s="147"/>
      <c r="F197" s="147"/>
      <c r="G197" s="147"/>
      <c r="H197" s="147"/>
      <c r="I197" s="147"/>
      <c r="J197" s="147"/>
      <c r="K197" s="147"/>
      <c r="L197" s="147"/>
      <c r="M197" s="147"/>
      <c r="N197" s="147"/>
      <c r="O197" s="147"/>
      <c r="P197" s="147"/>
      <c r="Q197" s="147">
        <v>9</v>
      </c>
      <c r="R197" s="148"/>
      <c r="S197" s="148"/>
      <c r="T197" s="148"/>
      <c r="U197" s="148"/>
      <c r="V197" s="148"/>
      <c r="W197" s="148"/>
      <c r="X197" s="148"/>
      <c r="Y197" s="148"/>
      <c r="Z197" s="148"/>
      <c r="AA197" s="148"/>
      <c r="AB197" s="148"/>
      <c r="AC197" s="148"/>
    </row>
    <row r="198" spans="1:29" hidden="1">
      <c r="A198" s="149">
        <v>45871</v>
      </c>
      <c r="B198" s="147" t="s">
        <v>61</v>
      </c>
      <c r="C198" s="147">
        <v>3</v>
      </c>
      <c r="D198" s="147">
        <v>1</v>
      </c>
      <c r="E198" s="147">
        <v>1</v>
      </c>
      <c r="F198" s="147"/>
      <c r="G198" s="147"/>
      <c r="H198" s="147"/>
      <c r="I198" s="147">
        <v>1</v>
      </c>
      <c r="J198" s="147"/>
      <c r="K198" s="147"/>
      <c r="L198" s="147"/>
      <c r="M198" s="147"/>
      <c r="N198" s="147"/>
      <c r="O198" s="147"/>
      <c r="P198" s="147"/>
      <c r="Q198" s="147">
        <v>16</v>
      </c>
      <c r="R198" s="148"/>
      <c r="S198" s="148"/>
      <c r="T198" s="148"/>
      <c r="U198" s="148"/>
      <c r="V198" s="148"/>
      <c r="W198" s="148"/>
      <c r="X198" s="148"/>
      <c r="Y198" s="148"/>
      <c r="Z198" s="148"/>
      <c r="AA198" s="148"/>
      <c r="AB198" s="148"/>
      <c r="AC198" s="148"/>
    </row>
    <row r="199" spans="1:29">
      <c r="A199" s="149">
        <v>45872</v>
      </c>
      <c r="B199" s="147" t="s">
        <v>115</v>
      </c>
      <c r="C199" s="147">
        <v>1</v>
      </c>
      <c r="D199" s="147">
        <v>1</v>
      </c>
      <c r="E199" s="147">
        <v>1</v>
      </c>
      <c r="F199" s="147"/>
      <c r="G199" s="147"/>
      <c r="H199" s="147"/>
      <c r="I199" s="147"/>
      <c r="J199" s="147"/>
      <c r="K199" s="147"/>
      <c r="L199" s="147"/>
      <c r="M199" s="147"/>
      <c r="N199" s="147"/>
      <c r="O199" s="147"/>
      <c r="P199" s="147"/>
      <c r="Q199" s="147">
        <v>1</v>
      </c>
      <c r="R199" s="148"/>
      <c r="S199" s="148"/>
      <c r="T199" s="148"/>
      <c r="U199" s="148"/>
      <c r="V199" s="148"/>
      <c r="W199" s="148"/>
      <c r="X199" s="148"/>
      <c r="Y199" s="148"/>
      <c r="Z199" s="148"/>
      <c r="AA199" s="148"/>
      <c r="AB199" s="148"/>
      <c r="AC199" s="148"/>
    </row>
    <row r="200" spans="1:29" hidden="1">
      <c r="A200" s="149">
        <v>45872</v>
      </c>
      <c r="B200" s="147" t="s">
        <v>61</v>
      </c>
      <c r="C200" s="147">
        <v>2</v>
      </c>
      <c r="D200" s="147"/>
      <c r="E200" s="147">
        <v>1</v>
      </c>
      <c r="F200" s="147"/>
      <c r="G200" s="147"/>
      <c r="H200" s="147"/>
      <c r="I200" s="147">
        <v>1</v>
      </c>
      <c r="J200" s="147"/>
      <c r="K200" s="147"/>
      <c r="L200" s="147"/>
      <c r="M200" s="147"/>
      <c r="N200" s="147"/>
      <c r="O200" s="147"/>
      <c r="P200" s="147"/>
      <c r="Q200" s="147">
        <v>0</v>
      </c>
      <c r="R200" s="148"/>
      <c r="S200" s="148"/>
      <c r="T200" s="148"/>
      <c r="U200" s="148"/>
      <c r="V200" s="148"/>
      <c r="W200" s="148"/>
      <c r="X200" s="148"/>
      <c r="Y200" s="148"/>
      <c r="Z200" s="148"/>
      <c r="AA200" s="148"/>
      <c r="AB200" s="148"/>
      <c r="AC200" s="148"/>
    </row>
    <row r="201" spans="1:29" hidden="1">
      <c r="A201" s="149">
        <v>45872</v>
      </c>
      <c r="B201" s="147" t="s">
        <v>1774</v>
      </c>
      <c r="C201" s="147">
        <v>3</v>
      </c>
      <c r="D201" s="147">
        <v>2</v>
      </c>
      <c r="E201" s="147"/>
      <c r="F201" s="147"/>
      <c r="G201" s="147"/>
      <c r="H201" s="147">
        <v>1</v>
      </c>
      <c r="I201" s="147"/>
      <c r="J201" s="147"/>
      <c r="K201" s="147"/>
      <c r="L201" s="147"/>
      <c r="M201" s="147"/>
      <c r="N201" s="147"/>
      <c r="O201" s="147"/>
      <c r="P201" s="147"/>
      <c r="Q201" s="147">
        <v>36</v>
      </c>
      <c r="R201" s="148"/>
      <c r="S201" s="148"/>
      <c r="T201" s="148"/>
      <c r="U201" s="148"/>
      <c r="V201" s="148"/>
      <c r="W201" s="148"/>
      <c r="X201" s="148"/>
      <c r="Y201" s="148"/>
      <c r="Z201" s="148"/>
      <c r="AA201" s="148"/>
      <c r="AB201" s="148"/>
      <c r="AC201" s="148"/>
    </row>
    <row r="202" spans="1:29" hidden="1">
      <c r="A202" s="149">
        <v>45873</v>
      </c>
      <c r="B202" s="147" t="s">
        <v>61</v>
      </c>
      <c r="C202" s="147">
        <v>5</v>
      </c>
      <c r="D202" s="147"/>
      <c r="E202" s="147"/>
      <c r="F202" s="147"/>
      <c r="G202" s="147"/>
      <c r="H202" s="147">
        <v>1</v>
      </c>
      <c r="I202" s="147">
        <v>2</v>
      </c>
      <c r="J202" s="147">
        <v>2</v>
      </c>
      <c r="K202" s="147"/>
      <c r="L202" s="147"/>
      <c r="M202" s="147"/>
      <c r="N202" s="147"/>
      <c r="O202" s="147"/>
      <c r="P202" s="147"/>
      <c r="Q202" s="147">
        <v>66</v>
      </c>
      <c r="R202" s="148"/>
      <c r="S202" s="148"/>
      <c r="T202" s="148"/>
      <c r="U202" s="148"/>
      <c r="V202" s="148"/>
      <c r="W202" s="148"/>
      <c r="X202" s="148"/>
      <c r="Y202" s="148"/>
      <c r="Z202" s="148"/>
      <c r="AA202" s="148"/>
      <c r="AB202" s="148"/>
      <c r="AC202" s="148"/>
    </row>
    <row r="203" spans="1:29" hidden="1">
      <c r="A203" s="149">
        <v>45874</v>
      </c>
      <c r="B203" s="147" t="s">
        <v>61</v>
      </c>
      <c r="C203" s="147">
        <v>4</v>
      </c>
      <c r="D203" s="147"/>
      <c r="E203" s="147">
        <v>3</v>
      </c>
      <c r="F203" s="147"/>
      <c r="G203" s="147"/>
      <c r="H203" s="147"/>
      <c r="I203" s="147">
        <v>1</v>
      </c>
      <c r="J203" s="147"/>
      <c r="K203" s="147"/>
      <c r="L203" s="147"/>
      <c r="M203" s="147"/>
      <c r="N203" s="147"/>
      <c r="O203" s="147"/>
      <c r="P203" s="147"/>
      <c r="Q203" s="147">
        <v>51</v>
      </c>
      <c r="R203" s="148"/>
      <c r="S203" s="148"/>
      <c r="T203" s="148"/>
      <c r="U203" s="148"/>
      <c r="V203" s="148"/>
      <c r="W203" s="148"/>
      <c r="X203" s="148"/>
      <c r="Y203" s="148"/>
      <c r="Z203" s="148"/>
      <c r="AA203" s="148"/>
      <c r="AB203" s="148"/>
      <c r="AC203" s="148"/>
    </row>
    <row r="204" spans="1:29" hidden="1">
      <c r="A204" s="149">
        <v>45874</v>
      </c>
      <c r="B204" s="147" t="s">
        <v>1229</v>
      </c>
      <c r="C204" s="147">
        <v>3</v>
      </c>
      <c r="D204" s="147">
        <v>2</v>
      </c>
      <c r="E204" s="147"/>
      <c r="F204" s="147"/>
      <c r="G204" s="147">
        <v>1</v>
      </c>
      <c r="H204" s="147"/>
      <c r="I204" s="147"/>
      <c r="J204" s="147"/>
      <c r="K204" s="147"/>
      <c r="L204" s="147"/>
      <c r="M204" s="147"/>
      <c r="N204" s="147"/>
      <c r="O204" s="147"/>
      <c r="P204" s="147"/>
      <c r="Q204" s="147">
        <v>49</v>
      </c>
      <c r="R204" s="148"/>
      <c r="S204" s="148"/>
      <c r="T204" s="148"/>
      <c r="U204" s="148"/>
      <c r="V204" s="148"/>
      <c r="W204" s="148"/>
      <c r="X204" s="148"/>
      <c r="Y204" s="148"/>
      <c r="Z204" s="148"/>
      <c r="AA204" s="148"/>
      <c r="AB204" s="148"/>
      <c r="AC204" s="148"/>
    </row>
    <row r="205" spans="1:29">
      <c r="A205" s="149">
        <v>45874</v>
      </c>
      <c r="B205" s="147" t="s">
        <v>115</v>
      </c>
      <c r="C205" s="147">
        <v>4</v>
      </c>
      <c r="D205" s="147">
        <v>2</v>
      </c>
      <c r="E205" s="147"/>
      <c r="F205" s="147"/>
      <c r="G205" s="147"/>
      <c r="H205" s="147"/>
      <c r="I205" s="147"/>
      <c r="J205" s="147">
        <v>1</v>
      </c>
      <c r="K205" s="147">
        <v>1</v>
      </c>
      <c r="L205" s="147"/>
      <c r="M205" s="147"/>
      <c r="N205" s="147"/>
      <c r="O205" s="147"/>
      <c r="P205" s="147"/>
      <c r="Q205" s="147">
        <v>34</v>
      </c>
      <c r="R205" s="148"/>
      <c r="S205" s="148"/>
      <c r="T205" s="148"/>
      <c r="U205" s="148"/>
      <c r="V205" s="148"/>
      <c r="W205" s="148"/>
      <c r="X205" s="148"/>
      <c r="Y205" s="148"/>
      <c r="Z205" s="148"/>
      <c r="AA205" s="148"/>
      <c r="AB205" s="148"/>
      <c r="AC205" s="148"/>
    </row>
    <row r="206" spans="1:29" hidden="1">
      <c r="A206" s="149">
        <v>45875</v>
      </c>
      <c r="B206" s="147" t="s">
        <v>1229</v>
      </c>
      <c r="C206" s="147">
        <v>2</v>
      </c>
      <c r="D206" s="147">
        <v>2</v>
      </c>
      <c r="E206" s="147"/>
      <c r="F206" s="147"/>
      <c r="G206" s="147"/>
      <c r="H206" s="147"/>
      <c r="I206" s="147"/>
      <c r="J206" s="147"/>
      <c r="K206" s="147"/>
      <c r="L206" s="147"/>
      <c r="M206" s="147"/>
      <c r="N206" s="147"/>
      <c r="O206" s="147"/>
      <c r="P206" s="147"/>
      <c r="Q206" s="147">
        <v>39</v>
      </c>
      <c r="R206" s="148"/>
      <c r="S206" s="148"/>
      <c r="T206" s="148"/>
      <c r="U206" s="148"/>
      <c r="V206" s="148"/>
      <c r="W206" s="148"/>
      <c r="X206" s="148"/>
      <c r="Y206" s="148"/>
      <c r="Z206" s="148"/>
      <c r="AA206" s="148"/>
      <c r="AB206" s="148"/>
      <c r="AC206" s="148"/>
    </row>
    <row r="207" spans="1:29" hidden="1">
      <c r="A207" s="149">
        <v>45875</v>
      </c>
      <c r="B207" s="147" t="s">
        <v>61</v>
      </c>
      <c r="C207" s="147">
        <v>4</v>
      </c>
      <c r="D207" s="147">
        <v>1</v>
      </c>
      <c r="E207" s="147">
        <v>1</v>
      </c>
      <c r="F207" s="147"/>
      <c r="G207" s="147"/>
      <c r="H207" s="147"/>
      <c r="I207" s="147">
        <v>1</v>
      </c>
      <c r="J207" s="147">
        <v>1</v>
      </c>
      <c r="K207" s="147"/>
      <c r="L207" s="147"/>
      <c r="M207" s="147"/>
      <c r="N207" s="147"/>
      <c r="O207" s="147"/>
      <c r="P207" s="147"/>
      <c r="Q207" s="147">
        <v>78</v>
      </c>
      <c r="R207" s="148"/>
      <c r="S207" s="148"/>
      <c r="T207" s="148"/>
      <c r="U207" s="148"/>
      <c r="V207" s="148"/>
      <c r="W207" s="148"/>
      <c r="X207" s="148"/>
      <c r="Y207" s="148"/>
      <c r="Z207" s="148"/>
      <c r="AA207" s="148"/>
      <c r="AB207" s="148"/>
      <c r="AC207" s="148"/>
    </row>
    <row r="208" spans="1:29">
      <c r="A208" s="149">
        <v>45875</v>
      </c>
      <c r="B208" s="147" t="s">
        <v>115</v>
      </c>
      <c r="C208" s="147">
        <v>3</v>
      </c>
      <c r="D208" s="147"/>
      <c r="E208" s="147"/>
      <c r="F208" s="147"/>
      <c r="G208" s="147"/>
      <c r="H208" s="147"/>
      <c r="I208" s="147"/>
      <c r="J208" s="147"/>
      <c r="K208" s="147">
        <v>1</v>
      </c>
      <c r="L208" s="147"/>
      <c r="M208" s="147">
        <v>2</v>
      </c>
      <c r="N208" s="147"/>
      <c r="O208" s="147"/>
      <c r="P208" s="147"/>
      <c r="Q208" s="147"/>
      <c r="R208" s="148"/>
      <c r="S208" s="148"/>
      <c r="T208" s="148"/>
      <c r="U208" s="148"/>
      <c r="V208" s="148"/>
      <c r="W208" s="148"/>
      <c r="X208" s="148"/>
      <c r="Y208" s="148"/>
      <c r="Z208" s="148"/>
      <c r="AA208" s="148"/>
      <c r="AB208" s="148"/>
      <c r="AC208" s="148"/>
    </row>
    <row r="209" spans="1:29" hidden="1">
      <c r="A209" s="149">
        <v>45873</v>
      </c>
      <c r="B209" s="147" t="s">
        <v>1774</v>
      </c>
      <c r="C209" s="147">
        <v>1</v>
      </c>
      <c r="D209" s="147">
        <v>1</v>
      </c>
      <c r="E209" s="147"/>
      <c r="F209" s="147"/>
      <c r="G209" s="147"/>
      <c r="H209" s="147"/>
      <c r="I209" s="147"/>
      <c r="J209" s="147"/>
      <c r="K209" s="147"/>
      <c r="L209" s="147"/>
      <c r="M209" s="147"/>
      <c r="N209" s="147"/>
      <c r="O209" s="147"/>
      <c r="P209" s="147"/>
      <c r="Q209" s="147">
        <v>5</v>
      </c>
      <c r="R209" s="148"/>
      <c r="S209" s="148"/>
      <c r="T209" s="148"/>
      <c r="U209" s="148"/>
      <c r="V209" s="148"/>
      <c r="W209" s="148"/>
      <c r="X209" s="148"/>
      <c r="Y209" s="148"/>
      <c r="Z209" s="148"/>
      <c r="AA209" s="148"/>
      <c r="AB209" s="148"/>
      <c r="AC209" s="148"/>
    </row>
    <row r="210" spans="1:29">
      <c r="A210" s="149">
        <v>45876</v>
      </c>
      <c r="B210" s="147" t="s">
        <v>115</v>
      </c>
      <c r="C210" s="147">
        <v>1</v>
      </c>
      <c r="D210" s="147"/>
      <c r="E210" s="147"/>
      <c r="F210" s="147"/>
      <c r="G210" s="147"/>
      <c r="H210" s="147"/>
      <c r="I210" s="147"/>
      <c r="J210" s="147">
        <v>1</v>
      </c>
      <c r="K210" s="147"/>
      <c r="L210" s="147"/>
      <c r="M210" s="147"/>
      <c r="N210" s="147"/>
      <c r="O210" s="147"/>
      <c r="P210" s="147"/>
      <c r="Q210" s="147"/>
      <c r="R210" s="148"/>
      <c r="S210" s="148"/>
      <c r="T210" s="148"/>
      <c r="U210" s="148"/>
      <c r="V210" s="148"/>
      <c r="W210" s="148"/>
      <c r="X210" s="148"/>
      <c r="Y210" s="148"/>
      <c r="Z210" s="148"/>
      <c r="AA210" s="148"/>
      <c r="AB210" s="148"/>
      <c r="AC210" s="148"/>
    </row>
    <row r="211" spans="1:29" hidden="1">
      <c r="A211" s="149">
        <v>45876</v>
      </c>
      <c r="B211" s="147" t="s">
        <v>1229</v>
      </c>
      <c r="C211" s="147">
        <v>3</v>
      </c>
      <c r="D211" s="147"/>
      <c r="E211" s="147"/>
      <c r="F211" s="147"/>
      <c r="G211" s="147">
        <v>2</v>
      </c>
      <c r="H211" s="147"/>
      <c r="I211" s="147">
        <v>1</v>
      </c>
      <c r="J211" s="147"/>
      <c r="K211" s="147"/>
      <c r="L211" s="147"/>
      <c r="M211" s="147"/>
      <c r="N211" s="147"/>
      <c r="O211" s="147"/>
      <c r="P211" s="147"/>
      <c r="Q211" s="147">
        <v>8</v>
      </c>
      <c r="R211" s="148"/>
      <c r="S211" s="148"/>
      <c r="T211" s="148"/>
      <c r="U211" s="148"/>
      <c r="V211" s="148"/>
      <c r="W211" s="148"/>
      <c r="X211" s="148"/>
      <c r="Y211" s="148"/>
      <c r="Z211" s="148"/>
      <c r="AA211" s="148"/>
      <c r="AB211" s="148"/>
      <c r="AC211" s="148"/>
    </row>
    <row r="212" spans="1:29" hidden="1">
      <c r="A212" s="149">
        <v>45876</v>
      </c>
      <c r="B212" s="147" t="s">
        <v>61</v>
      </c>
      <c r="C212" s="147">
        <v>4</v>
      </c>
      <c r="D212" s="147"/>
      <c r="E212" s="147"/>
      <c r="F212" s="147"/>
      <c r="G212" s="147"/>
      <c r="H212" s="147">
        <v>1</v>
      </c>
      <c r="I212" s="147">
        <v>1</v>
      </c>
      <c r="J212" s="147">
        <v>2</v>
      </c>
      <c r="K212" s="147"/>
      <c r="L212" s="147"/>
      <c r="M212" s="147"/>
      <c r="N212" s="147"/>
      <c r="O212" s="147"/>
      <c r="P212" s="147"/>
      <c r="Q212" s="147">
        <v>95</v>
      </c>
      <c r="R212" s="148"/>
      <c r="S212" s="148"/>
      <c r="T212" s="148"/>
      <c r="U212" s="148"/>
      <c r="V212" s="148"/>
      <c r="W212" s="148"/>
      <c r="X212" s="148"/>
      <c r="Y212" s="148"/>
      <c r="Z212" s="148"/>
      <c r="AA212" s="148"/>
      <c r="AB212" s="148"/>
      <c r="AC212" s="148"/>
    </row>
    <row r="213" spans="1:29">
      <c r="A213" s="149">
        <v>45877</v>
      </c>
      <c r="B213" s="147" t="s">
        <v>115</v>
      </c>
      <c r="C213" s="147"/>
      <c r="D213" s="147"/>
      <c r="E213" s="147"/>
      <c r="F213" s="147"/>
      <c r="G213" s="147"/>
      <c r="H213" s="147"/>
      <c r="I213" s="147"/>
      <c r="J213" s="147"/>
      <c r="K213" s="147"/>
      <c r="L213" s="147"/>
      <c r="M213" s="147"/>
      <c r="N213" s="147"/>
      <c r="O213" s="147"/>
      <c r="P213" s="147"/>
      <c r="Q213" s="147">
        <v>12</v>
      </c>
      <c r="R213" s="148"/>
      <c r="S213" s="148"/>
      <c r="T213" s="148"/>
      <c r="U213" s="148"/>
      <c r="V213" s="148"/>
      <c r="W213" s="148"/>
      <c r="X213" s="148"/>
      <c r="Y213" s="148"/>
      <c r="Z213" s="148"/>
      <c r="AA213" s="148"/>
      <c r="AB213" s="148"/>
      <c r="AC213" s="148"/>
    </row>
    <row r="214" spans="1:29" hidden="1">
      <c r="A214" s="149">
        <v>45877</v>
      </c>
      <c r="B214" s="147" t="s">
        <v>1774</v>
      </c>
      <c r="C214" s="147">
        <v>1</v>
      </c>
      <c r="D214" s="147"/>
      <c r="E214" s="147"/>
      <c r="F214" s="147"/>
      <c r="G214" s="147"/>
      <c r="H214" s="147"/>
      <c r="I214" s="147">
        <v>1</v>
      </c>
      <c r="J214" s="147"/>
      <c r="K214" s="147"/>
      <c r="L214" s="147"/>
      <c r="M214" s="147"/>
      <c r="N214" s="147"/>
      <c r="O214" s="147"/>
      <c r="P214" s="147"/>
      <c r="Q214" s="147">
        <v>9</v>
      </c>
      <c r="R214" s="148"/>
      <c r="S214" s="148"/>
      <c r="T214" s="148"/>
      <c r="U214" s="148"/>
      <c r="V214" s="148"/>
      <c r="W214" s="148"/>
      <c r="X214" s="148"/>
      <c r="Y214" s="148"/>
      <c r="Z214" s="148"/>
      <c r="AA214" s="148"/>
      <c r="AB214" s="148"/>
      <c r="AC214" s="148"/>
    </row>
    <row r="215" spans="1:29" hidden="1">
      <c r="A215" s="149">
        <v>45877</v>
      </c>
      <c r="B215" s="147" t="s">
        <v>61</v>
      </c>
      <c r="C215" s="147">
        <v>5</v>
      </c>
      <c r="D215" s="147">
        <v>1</v>
      </c>
      <c r="E215" s="147">
        <v>1</v>
      </c>
      <c r="F215" s="147"/>
      <c r="G215" s="147">
        <v>1</v>
      </c>
      <c r="H215" s="147"/>
      <c r="I215" s="147">
        <v>2</v>
      </c>
      <c r="J215" s="147"/>
      <c r="K215" s="147"/>
      <c r="L215" s="147"/>
      <c r="M215" s="147"/>
      <c r="N215" s="147"/>
      <c r="O215" s="147"/>
      <c r="P215" s="147"/>
      <c r="Q215" s="147">
        <v>107</v>
      </c>
      <c r="R215" s="148"/>
      <c r="S215" s="148"/>
      <c r="T215" s="148"/>
      <c r="U215" s="148"/>
      <c r="V215" s="148"/>
      <c r="W215" s="148"/>
      <c r="X215" s="148"/>
      <c r="Y215" s="148"/>
      <c r="Z215" s="148"/>
      <c r="AA215" s="148"/>
      <c r="AB215" s="148"/>
      <c r="AC215" s="148"/>
    </row>
    <row r="216" spans="1:29" hidden="1">
      <c r="A216" s="149">
        <v>45877</v>
      </c>
      <c r="B216" s="147" t="s">
        <v>1229</v>
      </c>
      <c r="C216" s="147"/>
      <c r="D216" s="147"/>
      <c r="E216" s="147"/>
      <c r="F216" s="147"/>
      <c r="G216" s="147"/>
      <c r="H216" s="147"/>
      <c r="I216" s="147"/>
      <c r="J216" s="147"/>
      <c r="K216" s="147"/>
      <c r="L216" s="147"/>
      <c r="M216" s="147"/>
      <c r="N216" s="147"/>
      <c r="O216" s="147"/>
      <c r="P216" s="147"/>
      <c r="Q216" s="147">
        <v>20</v>
      </c>
      <c r="R216" s="148"/>
      <c r="S216" s="148"/>
      <c r="T216" s="148"/>
      <c r="U216" s="148"/>
      <c r="V216" s="148"/>
      <c r="W216" s="148"/>
      <c r="X216" s="148"/>
      <c r="Y216" s="148"/>
      <c r="Z216" s="148"/>
      <c r="AA216" s="148"/>
      <c r="AB216" s="148"/>
      <c r="AC216" s="148"/>
    </row>
    <row r="217" spans="1:29">
      <c r="A217" s="149">
        <v>45878</v>
      </c>
      <c r="B217" s="147" t="s">
        <v>115</v>
      </c>
      <c r="C217" s="147">
        <v>2</v>
      </c>
      <c r="D217" s="147">
        <v>1</v>
      </c>
      <c r="E217" s="147"/>
      <c r="F217" s="147"/>
      <c r="G217" s="147"/>
      <c r="H217" s="147"/>
      <c r="I217" s="147"/>
      <c r="J217" s="147"/>
      <c r="K217" s="147">
        <v>1</v>
      </c>
      <c r="L217" s="147"/>
      <c r="M217" s="147"/>
      <c r="N217" s="147"/>
      <c r="O217" s="147"/>
      <c r="P217" s="147"/>
      <c r="Q217" s="147">
        <v>33</v>
      </c>
      <c r="R217" s="148"/>
      <c r="S217" s="148"/>
      <c r="T217" s="148"/>
      <c r="U217" s="148"/>
      <c r="V217" s="148"/>
      <c r="W217" s="148"/>
      <c r="X217" s="148"/>
      <c r="Y217" s="148"/>
      <c r="Z217" s="148"/>
      <c r="AA217" s="148"/>
      <c r="AB217" s="148"/>
      <c r="AC217" s="148"/>
    </row>
    <row r="218" spans="1:29" hidden="1">
      <c r="A218" s="149">
        <v>45878</v>
      </c>
      <c r="B218" s="147" t="s">
        <v>1229</v>
      </c>
      <c r="C218" s="147">
        <v>1</v>
      </c>
      <c r="D218" s="147">
        <v>1</v>
      </c>
      <c r="E218" s="147"/>
      <c r="F218" s="147"/>
      <c r="G218" s="147"/>
      <c r="H218" s="147"/>
      <c r="I218" s="147"/>
      <c r="J218" s="147"/>
      <c r="K218" s="147"/>
      <c r="L218" s="147"/>
      <c r="M218" s="147"/>
      <c r="N218" s="147"/>
      <c r="O218" s="147"/>
      <c r="P218" s="147"/>
      <c r="Q218" s="147">
        <v>34</v>
      </c>
      <c r="R218" s="148"/>
      <c r="S218" s="148"/>
      <c r="T218" s="148"/>
      <c r="U218" s="148"/>
      <c r="V218" s="148"/>
      <c r="W218" s="148"/>
      <c r="X218" s="148"/>
      <c r="Y218" s="148"/>
      <c r="Z218" s="148"/>
      <c r="AA218" s="148"/>
      <c r="AB218" s="148"/>
      <c r="AC218" s="148"/>
    </row>
    <row r="219" spans="1:29" hidden="1">
      <c r="A219" s="149">
        <v>45878</v>
      </c>
      <c r="B219" s="147" t="s">
        <v>1774</v>
      </c>
      <c r="C219" s="147">
        <v>1</v>
      </c>
      <c r="D219" s="147">
        <v>1</v>
      </c>
      <c r="E219" s="147"/>
      <c r="F219" s="147"/>
      <c r="G219" s="147"/>
      <c r="H219" s="147"/>
      <c r="I219" s="147"/>
      <c r="J219" s="147"/>
      <c r="K219" s="147"/>
      <c r="L219" s="147"/>
      <c r="M219" s="147"/>
      <c r="N219" s="147"/>
      <c r="O219" s="147"/>
      <c r="P219" s="147"/>
      <c r="Q219" s="147">
        <v>67</v>
      </c>
      <c r="R219" s="148"/>
      <c r="S219" s="148"/>
      <c r="T219" s="148"/>
      <c r="U219" s="148"/>
      <c r="V219" s="148"/>
      <c r="W219" s="148"/>
      <c r="X219" s="148"/>
      <c r="Y219" s="148"/>
      <c r="Z219" s="148"/>
      <c r="AA219" s="148"/>
      <c r="AB219" s="148"/>
      <c r="AC219" s="148"/>
    </row>
    <row r="220" spans="1:29" hidden="1">
      <c r="A220" s="149">
        <v>45878</v>
      </c>
      <c r="B220" s="147" t="s">
        <v>61</v>
      </c>
      <c r="C220" s="147">
        <v>6</v>
      </c>
      <c r="D220" s="147">
        <v>3</v>
      </c>
      <c r="E220" s="147">
        <v>1</v>
      </c>
      <c r="F220" s="147"/>
      <c r="G220" s="147">
        <v>1</v>
      </c>
      <c r="H220" s="147"/>
      <c r="I220" s="147">
        <v>1</v>
      </c>
      <c r="J220" s="147"/>
      <c r="K220" s="147"/>
      <c r="L220" s="147"/>
      <c r="M220" s="147"/>
      <c r="N220" s="147"/>
      <c r="O220" s="147"/>
      <c r="P220" s="147"/>
      <c r="Q220" s="147">
        <v>58</v>
      </c>
      <c r="R220" s="148"/>
      <c r="S220" s="148"/>
      <c r="T220" s="148"/>
      <c r="U220" s="148"/>
      <c r="V220" s="148"/>
      <c r="W220" s="148"/>
      <c r="X220" s="148"/>
      <c r="Y220" s="148"/>
      <c r="Z220" s="148"/>
      <c r="AA220" s="148"/>
      <c r="AB220" s="148"/>
      <c r="AC220" s="148"/>
    </row>
    <row r="221" spans="1:29" hidden="1">
      <c r="A221" s="149">
        <v>45879</v>
      </c>
      <c r="B221" s="147" t="s">
        <v>61</v>
      </c>
      <c r="C221" s="147">
        <v>2</v>
      </c>
      <c r="D221" s="147">
        <v>2</v>
      </c>
      <c r="E221" s="147"/>
      <c r="F221" s="147"/>
      <c r="G221" s="147"/>
      <c r="H221" s="147"/>
      <c r="I221" s="147"/>
      <c r="J221" s="147"/>
      <c r="K221" s="147"/>
      <c r="L221" s="147"/>
      <c r="M221" s="147"/>
      <c r="N221" s="147"/>
      <c r="O221" s="147"/>
      <c r="P221" s="147"/>
      <c r="Q221" s="147">
        <v>0</v>
      </c>
      <c r="R221" s="148"/>
      <c r="S221" s="148"/>
      <c r="T221" s="148"/>
      <c r="U221" s="148"/>
      <c r="V221" s="148"/>
      <c r="W221" s="148"/>
      <c r="X221" s="148"/>
      <c r="Y221" s="148"/>
      <c r="Z221" s="148"/>
      <c r="AA221" s="148"/>
      <c r="AB221" s="148"/>
      <c r="AC221" s="148"/>
    </row>
    <row r="222" spans="1:29" hidden="1">
      <c r="A222" s="149">
        <v>45879</v>
      </c>
      <c r="B222" s="147" t="s">
        <v>1229</v>
      </c>
      <c r="C222" s="147">
        <v>2</v>
      </c>
      <c r="D222" s="147">
        <v>1</v>
      </c>
      <c r="E222" s="147"/>
      <c r="F222" s="147"/>
      <c r="G222" s="147">
        <v>1</v>
      </c>
      <c r="H222" s="147"/>
      <c r="I222" s="147"/>
      <c r="J222" s="147"/>
      <c r="K222" s="147"/>
      <c r="L222" s="147"/>
      <c r="M222" s="147"/>
      <c r="N222" s="147"/>
      <c r="O222" s="147"/>
      <c r="P222" s="147"/>
      <c r="Q222" s="147">
        <v>2</v>
      </c>
      <c r="R222" s="148"/>
      <c r="S222" s="148"/>
      <c r="T222" s="148"/>
      <c r="U222" s="148"/>
      <c r="V222" s="148"/>
      <c r="W222" s="148"/>
      <c r="X222" s="148"/>
      <c r="Y222" s="148"/>
      <c r="Z222" s="148"/>
      <c r="AA222" s="148"/>
      <c r="AB222" s="148"/>
      <c r="AC222" s="148"/>
    </row>
    <row r="223" spans="1:29">
      <c r="A223" s="149">
        <v>45879</v>
      </c>
      <c r="B223" s="147" t="s">
        <v>115</v>
      </c>
      <c r="C223" s="147"/>
      <c r="D223" s="147"/>
      <c r="E223" s="147"/>
      <c r="F223" s="147"/>
      <c r="G223" s="147"/>
      <c r="H223" s="147"/>
      <c r="I223" s="147"/>
      <c r="J223" s="147"/>
      <c r="K223" s="147"/>
      <c r="L223" s="147"/>
      <c r="M223" s="147"/>
      <c r="N223" s="147" t="s">
        <v>12839</v>
      </c>
      <c r="O223" s="147"/>
      <c r="P223" s="147"/>
      <c r="Q223" s="147">
        <v>1</v>
      </c>
      <c r="R223" s="148"/>
      <c r="S223" s="148"/>
      <c r="T223" s="148"/>
      <c r="U223" s="148"/>
      <c r="V223" s="148"/>
      <c r="W223" s="148"/>
      <c r="X223" s="148"/>
      <c r="Y223" s="148"/>
      <c r="Z223" s="148"/>
      <c r="AA223" s="148"/>
      <c r="AB223" s="148"/>
      <c r="AC223" s="148"/>
    </row>
    <row r="224" spans="1:29" hidden="1">
      <c r="A224" s="149">
        <v>45880</v>
      </c>
      <c r="B224" s="147" t="s">
        <v>1229</v>
      </c>
      <c r="C224" s="147">
        <v>3</v>
      </c>
      <c r="D224" s="147">
        <v>2</v>
      </c>
      <c r="E224" s="147"/>
      <c r="F224" s="147"/>
      <c r="G224" s="147">
        <v>1</v>
      </c>
      <c r="H224" s="147"/>
      <c r="I224" s="147"/>
      <c r="J224" s="147"/>
      <c r="K224" s="147"/>
      <c r="L224" s="147"/>
      <c r="M224" s="147"/>
      <c r="N224" s="147"/>
      <c r="O224" s="147"/>
      <c r="P224" s="147"/>
      <c r="Q224" s="147">
        <v>34</v>
      </c>
      <c r="R224" s="148"/>
      <c r="S224" s="148"/>
      <c r="T224" s="148"/>
      <c r="U224" s="148"/>
      <c r="V224" s="148"/>
      <c r="W224" s="148"/>
      <c r="X224" s="148"/>
      <c r="Y224" s="148"/>
      <c r="Z224" s="148"/>
      <c r="AA224" s="148"/>
      <c r="AB224" s="148"/>
      <c r="AC224" s="148"/>
    </row>
    <row r="225" spans="1:29">
      <c r="A225" s="149">
        <v>45880</v>
      </c>
      <c r="B225" s="147" t="s">
        <v>115</v>
      </c>
      <c r="C225" s="147">
        <v>2</v>
      </c>
      <c r="D225" s="147"/>
      <c r="E225" s="147">
        <v>2</v>
      </c>
      <c r="F225" s="147"/>
      <c r="G225" s="147"/>
      <c r="H225" s="147"/>
      <c r="I225" s="147"/>
      <c r="J225" s="147"/>
      <c r="K225" s="147"/>
      <c r="L225" s="147"/>
      <c r="M225" s="147"/>
      <c r="N225" s="147"/>
      <c r="O225" s="147"/>
      <c r="P225" s="147"/>
      <c r="Q225" s="147">
        <v>32</v>
      </c>
      <c r="R225" s="148"/>
      <c r="S225" s="148"/>
      <c r="T225" s="148"/>
      <c r="U225" s="148"/>
      <c r="V225" s="148"/>
      <c r="W225" s="148"/>
      <c r="X225" s="148"/>
      <c r="Y225" s="148"/>
      <c r="Z225" s="148"/>
      <c r="AA225" s="148"/>
      <c r="AB225" s="148"/>
      <c r="AC225" s="148"/>
    </row>
    <row r="226" spans="1:29" hidden="1">
      <c r="A226" s="149">
        <v>45880</v>
      </c>
      <c r="B226" s="147" t="s">
        <v>61</v>
      </c>
      <c r="C226" s="147">
        <v>7</v>
      </c>
      <c r="D226" s="147">
        <v>1</v>
      </c>
      <c r="E226" s="147">
        <v>1</v>
      </c>
      <c r="F226" s="147">
        <v>1</v>
      </c>
      <c r="G226" s="147"/>
      <c r="H226" s="147"/>
      <c r="I226" s="147">
        <v>2</v>
      </c>
      <c r="J226" s="147">
        <v>2</v>
      </c>
      <c r="K226" s="147"/>
      <c r="L226" s="147"/>
      <c r="M226" s="147"/>
      <c r="N226" s="147"/>
      <c r="O226" s="147"/>
      <c r="P226" s="147"/>
      <c r="Q226" s="147">
        <v>61</v>
      </c>
      <c r="R226" s="148"/>
      <c r="S226" s="148"/>
      <c r="T226" s="148"/>
      <c r="U226" s="148"/>
      <c r="V226" s="148"/>
      <c r="W226" s="148"/>
      <c r="X226" s="148"/>
      <c r="Y226" s="148"/>
      <c r="Z226" s="148"/>
      <c r="AA226" s="148"/>
      <c r="AB226" s="148"/>
      <c r="AC226" s="148"/>
    </row>
    <row r="227" spans="1:29" hidden="1">
      <c r="A227" s="149">
        <v>45880</v>
      </c>
      <c r="B227" s="147" t="s">
        <v>1774</v>
      </c>
      <c r="C227" s="147">
        <v>2</v>
      </c>
      <c r="D227" s="147">
        <v>1</v>
      </c>
      <c r="E227" s="147"/>
      <c r="F227" s="147"/>
      <c r="G227" s="147"/>
      <c r="H227" s="147"/>
      <c r="I227" s="147"/>
      <c r="J227" s="147">
        <v>1</v>
      </c>
      <c r="K227" s="147"/>
      <c r="L227" s="147"/>
      <c r="M227" s="147"/>
      <c r="N227" s="147"/>
      <c r="O227" s="147"/>
      <c r="P227" s="147"/>
      <c r="Q227" s="147">
        <v>21</v>
      </c>
      <c r="R227" s="148"/>
      <c r="S227" s="148"/>
      <c r="T227" s="148"/>
      <c r="U227" s="148"/>
      <c r="V227" s="148"/>
      <c r="W227" s="148"/>
      <c r="X227" s="148"/>
      <c r="Y227" s="148"/>
      <c r="Z227" s="148"/>
      <c r="AA227" s="148"/>
      <c r="AB227" s="148"/>
      <c r="AC227" s="148"/>
    </row>
    <row r="228" spans="1:29">
      <c r="A228" s="149">
        <v>45881</v>
      </c>
      <c r="B228" s="147" t="s">
        <v>115</v>
      </c>
      <c r="C228" s="147"/>
      <c r="D228" s="147"/>
      <c r="E228" s="147"/>
      <c r="F228" s="147"/>
      <c r="G228" s="147"/>
      <c r="H228" s="147"/>
      <c r="I228" s="147"/>
      <c r="J228" s="147"/>
      <c r="K228" s="147"/>
      <c r="L228" s="147"/>
      <c r="M228" s="147"/>
      <c r="N228" s="147"/>
      <c r="O228" s="147"/>
      <c r="P228" s="147"/>
      <c r="Q228" s="147">
        <v>4</v>
      </c>
      <c r="R228" s="148"/>
      <c r="S228" s="148"/>
      <c r="T228" s="148"/>
      <c r="U228" s="148"/>
      <c r="V228" s="148"/>
      <c r="W228" s="148"/>
      <c r="X228" s="148"/>
      <c r="Y228" s="148"/>
      <c r="Z228" s="148"/>
      <c r="AA228" s="148"/>
      <c r="AB228" s="148"/>
      <c r="AC228" s="148"/>
    </row>
    <row r="229" spans="1:29" hidden="1">
      <c r="A229" s="149">
        <v>45881</v>
      </c>
      <c r="B229" s="147" t="s">
        <v>1229</v>
      </c>
      <c r="C229" s="147">
        <v>7</v>
      </c>
      <c r="D229" s="147">
        <v>4</v>
      </c>
      <c r="E229" s="147"/>
      <c r="F229" s="147">
        <v>2</v>
      </c>
      <c r="G229" s="147">
        <v>1</v>
      </c>
      <c r="H229" s="147"/>
      <c r="I229" s="147"/>
      <c r="J229" s="147"/>
      <c r="K229" s="147"/>
      <c r="L229" s="147"/>
      <c r="M229" s="147"/>
      <c r="N229" s="147"/>
      <c r="O229" s="147"/>
      <c r="P229" s="147"/>
      <c r="Q229" s="147">
        <v>43</v>
      </c>
      <c r="R229" s="148"/>
      <c r="S229" s="148"/>
      <c r="T229" s="148"/>
      <c r="U229" s="148"/>
      <c r="V229" s="148"/>
      <c r="W229" s="148"/>
      <c r="X229" s="148"/>
      <c r="Y229" s="148"/>
      <c r="Z229" s="148"/>
      <c r="AA229" s="148"/>
      <c r="AB229" s="148"/>
      <c r="AC229" s="148"/>
    </row>
    <row r="230" spans="1:29" hidden="1">
      <c r="A230" s="149">
        <v>45881</v>
      </c>
      <c r="B230" s="147" t="s">
        <v>61</v>
      </c>
      <c r="C230" s="147">
        <v>5</v>
      </c>
      <c r="D230" s="147">
        <v>2</v>
      </c>
      <c r="E230" s="147">
        <v>2</v>
      </c>
      <c r="F230" s="147"/>
      <c r="G230" s="147"/>
      <c r="H230" s="147"/>
      <c r="I230" s="147">
        <v>1</v>
      </c>
      <c r="J230" s="147"/>
      <c r="K230" s="147"/>
      <c r="L230" s="147"/>
      <c r="M230" s="147"/>
      <c r="N230" s="147"/>
      <c r="O230" s="147"/>
      <c r="P230" s="147"/>
      <c r="Q230" s="147">
        <v>50</v>
      </c>
      <c r="R230" s="148"/>
      <c r="S230" s="148"/>
      <c r="T230" s="148"/>
      <c r="U230" s="148"/>
      <c r="V230" s="148"/>
      <c r="W230" s="148"/>
      <c r="X230" s="148"/>
      <c r="Y230" s="148"/>
      <c r="Z230" s="148"/>
      <c r="AA230" s="148"/>
      <c r="AB230" s="148"/>
      <c r="AC230" s="148"/>
    </row>
    <row r="231" spans="1:29" hidden="1">
      <c r="A231" s="149">
        <v>45881</v>
      </c>
      <c r="B231" s="147" t="s">
        <v>1774</v>
      </c>
      <c r="C231" s="147">
        <v>2</v>
      </c>
      <c r="D231" s="147">
        <v>2</v>
      </c>
      <c r="E231" s="147"/>
      <c r="F231" s="147"/>
      <c r="G231" s="147"/>
      <c r="H231" s="147"/>
      <c r="I231" s="147"/>
      <c r="J231" s="147"/>
      <c r="K231" s="147"/>
      <c r="L231" s="147"/>
      <c r="M231" s="147"/>
      <c r="N231" s="147"/>
      <c r="O231" s="147"/>
      <c r="P231" s="147"/>
      <c r="Q231" s="147">
        <v>79</v>
      </c>
      <c r="R231" s="148"/>
      <c r="S231" s="148"/>
      <c r="T231" s="148"/>
      <c r="U231" s="148"/>
      <c r="V231" s="148"/>
      <c r="W231" s="148"/>
      <c r="X231" s="148"/>
      <c r="Y231" s="148"/>
      <c r="Z231" s="148"/>
      <c r="AA231" s="148"/>
      <c r="AB231" s="148"/>
      <c r="AC231" s="148"/>
    </row>
    <row r="232" spans="1:29">
      <c r="A232" s="149">
        <v>45882</v>
      </c>
      <c r="B232" s="147" t="s">
        <v>115</v>
      </c>
      <c r="C232" s="147"/>
      <c r="D232" s="147"/>
      <c r="E232" s="147"/>
      <c r="F232" s="147"/>
      <c r="G232" s="147"/>
      <c r="H232" s="147"/>
      <c r="I232" s="147"/>
      <c r="J232" s="147"/>
      <c r="K232" s="147"/>
      <c r="L232" s="147"/>
      <c r="M232" s="147"/>
      <c r="N232" s="147"/>
      <c r="O232" s="147"/>
      <c r="P232" s="147"/>
      <c r="Q232" s="147">
        <v>68</v>
      </c>
      <c r="R232" s="148"/>
      <c r="S232" s="148"/>
      <c r="T232" s="148"/>
      <c r="U232" s="148"/>
      <c r="V232" s="148"/>
      <c r="W232" s="148"/>
      <c r="X232" s="148"/>
      <c r="Y232" s="148"/>
      <c r="Z232" s="148"/>
      <c r="AA232" s="148"/>
      <c r="AB232" s="148"/>
      <c r="AC232" s="148"/>
    </row>
    <row r="233" spans="1:29" hidden="1">
      <c r="A233" s="149">
        <v>45882</v>
      </c>
      <c r="B233" s="147" t="s">
        <v>1774</v>
      </c>
      <c r="C233" s="147">
        <v>1</v>
      </c>
      <c r="D233" s="147">
        <v>1</v>
      </c>
      <c r="E233" s="147"/>
      <c r="F233" s="147"/>
      <c r="G233" s="147"/>
      <c r="H233" s="147"/>
      <c r="I233" s="147"/>
      <c r="J233" s="147"/>
      <c r="K233" s="147"/>
      <c r="L233" s="147"/>
      <c r="M233" s="147"/>
      <c r="N233" s="147"/>
      <c r="O233" s="147"/>
      <c r="P233" s="147"/>
      <c r="Q233" s="147">
        <v>56</v>
      </c>
      <c r="R233" s="148"/>
      <c r="S233" s="148"/>
      <c r="T233" s="148"/>
      <c r="U233" s="148"/>
      <c r="V233" s="148"/>
      <c r="W233" s="148"/>
      <c r="X233" s="148"/>
      <c r="Y233" s="148"/>
      <c r="Z233" s="148"/>
      <c r="AA233" s="148"/>
      <c r="AB233" s="148"/>
      <c r="AC233" s="148"/>
    </row>
    <row r="234" spans="1:29" hidden="1">
      <c r="A234" s="149">
        <v>45882</v>
      </c>
      <c r="B234" s="147" t="s">
        <v>1229</v>
      </c>
      <c r="C234" s="147"/>
      <c r="D234" s="147"/>
      <c r="E234" s="147"/>
      <c r="F234" s="147"/>
      <c r="G234" s="147"/>
      <c r="H234" s="147"/>
      <c r="I234" s="147"/>
      <c r="J234" s="147"/>
      <c r="K234" s="147"/>
      <c r="L234" s="147"/>
      <c r="M234" s="147"/>
      <c r="N234" s="147"/>
      <c r="O234" s="147"/>
      <c r="P234" s="147"/>
      <c r="Q234" s="147">
        <v>14</v>
      </c>
      <c r="R234" s="148"/>
      <c r="S234" s="148"/>
      <c r="T234" s="148"/>
      <c r="U234" s="148"/>
      <c r="V234" s="148"/>
      <c r="W234" s="148"/>
      <c r="X234" s="148"/>
      <c r="Y234" s="148"/>
      <c r="Z234" s="148"/>
      <c r="AA234" s="148"/>
      <c r="AB234" s="148"/>
      <c r="AC234" s="148"/>
    </row>
    <row r="235" spans="1:29" hidden="1">
      <c r="A235" s="149">
        <v>45882</v>
      </c>
      <c r="B235" s="147" t="s">
        <v>61</v>
      </c>
      <c r="C235" s="147">
        <v>6</v>
      </c>
      <c r="D235" s="147">
        <v>2</v>
      </c>
      <c r="E235" s="147">
        <v>1</v>
      </c>
      <c r="F235" s="147"/>
      <c r="G235" s="147"/>
      <c r="H235" s="147"/>
      <c r="I235" s="147">
        <v>1</v>
      </c>
      <c r="J235" s="147">
        <v>1</v>
      </c>
      <c r="K235" s="147">
        <v>1</v>
      </c>
      <c r="L235" s="147"/>
      <c r="M235" s="147"/>
      <c r="N235" s="147"/>
      <c r="O235" s="147"/>
      <c r="P235" s="147"/>
      <c r="Q235" s="147">
        <v>46</v>
      </c>
      <c r="R235" s="148"/>
      <c r="S235" s="148"/>
      <c r="T235" s="148"/>
      <c r="U235" s="148"/>
      <c r="V235" s="148"/>
      <c r="W235" s="148"/>
      <c r="X235" s="148"/>
      <c r="Y235" s="148"/>
      <c r="Z235" s="148"/>
      <c r="AA235" s="148"/>
      <c r="AB235" s="148"/>
      <c r="AC235" s="148"/>
    </row>
    <row r="236" spans="1:29">
      <c r="A236" s="149">
        <v>45884</v>
      </c>
      <c r="B236" s="147" t="s">
        <v>115</v>
      </c>
      <c r="C236" s="147">
        <v>3</v>
      </c>
      <c r="D236" s="147">
        <v>3</v>
      </c>
      <c r="E236" s="147"/>
      <c r="F236" s="147"/>
      <c r="G236" s="147"/>
      <c r="H236" s="147"/>
      <c r="I236" s="147"/>
      <c r="J236" s="147"/>
      <c r="K236" s="147"/>
      <c r="L236" s="147"/>
      <c r="M236" s="147"/>
      <c r="N236" s="147"/>
      <c r="O236" s="147"/>
      <c r="P236" s="147"/>
      <c r="Q236" s="147">
        <v>112</v>
      </c>
      <c r="R236" s="148"/>
      <c r="S236" s="148"/>
      <c r="T236" s="148"/>
      <c r="U236" s="148"/>
      <c r="V236" s="148"/>
      <c r="W236" s="148"/>
      <c r="X236" s="148"/>
      <c r="Y236" s="148"/>
      <c r="Z236" s="148"/>
      <c r="AA236" s="148"/>
      <c r="AB236" s="148"/>
      <c r="AC236" s="148"/>
    </row>
    <row r="237" spans="1:29" hidden="1">
      <c r="A237" s="149">
        <v>45883</v>
      </c>
      <c r="B237" s="147" t="s">
        <v>1774</v>
      </c>
      <c r="C237" s="147">
        <v>2</v>
      </c>
      <c r="D237" s="147"/>
      <c r="E237" s="147"/>
      <c r="F237" s="147"/>
      <c r="G237" s="147">
        <v>1</v>
      </c>
      <c r="H237" s="147"/>
      <c r="I237" s="147"/>
      <c r="J237" s="147">
        <v>1</v>
      </c>
      <c r="K237" s="147"/>
      <c r="L237" s="147"/>
      <c r="M237" s="147"/>
      <c r="N237" s="147"/>
      <c r="O237" s="147"/>
      <c r="P237" s="147"/>
      <c r="Q237" s="147">
        <v>4</v>
      </c>
      <c r="R237" s="148"/>
      <c r="S237" s="148"/>
      <c r="T237" s="148"/>
      <c r="U237" s="148"/>
      <c r="V237" s="148"/>
      <c r="W237" s="148"/>
      <c r="X237" s="148"/>
      <c r="Y237" s="148"/>
      <c r="Z237" s="148"/>
      <c r="AA237" s="148"/>
      <c r="AB237" s="148"/>
      <c r="AC237" s="148"/>
    </row>
    <row r="238" spans="1:29" hidden="1">
      <c r="A238" s="149">
        <v>45884</v>
      </c>
      <c r="B238" s="147" t="s">
        <v>1774</v>
      </c>
      <c r="C238" s="147">
        <v>1</v>
      </c>
      <c r="D238" s="147">
        <v>1</v>
      </c>
      <c r="E238" s="147"/>
      <c r="F238" s="147"/>
      <c r="G238" s="147"/>
      <c r="H238" s="147"/>
      <c r="I238" s="147"/>
      <c r="J238" s="147"/>
      <c r="K238" s="147"/>
      <c r="L238" s="147"/>
      <c r="M238" s="147"/>
      <c r="N238" s="147"/>
      <c r="O238" s="147"/>
      <c r="P238" s="147"/>
      <c r="Q238" s="147">
        <v>1</v>
      </c>
      <c r="R238" s="148"/>
      <c r="S238" s="148"/>
      <c r="T238" s="148"/>
      <c r="U238" s="148"/>
      <c r="V238" s="148"/>
      <c r="W238" s="148"/>
      <c r="X238" s="148"/>
      <c r="Y238" s="148"/>
      <c r="Z238" s="148"/>
      <c r="AA238" s="148"/>
      <c r="AB238" s="148"/>
      <c r="AC238" s="148"/>
    </row>
    <row r="239" spans="1:29" hidden="1">
      <c r="A239" s="149">
        <v>45883</v>
      </c>
      <c r="B239" s="147" t="s">
        <v>61</v>
      </c>
      <c r="C239" s="147">
        <v>1</v>
      </c>
      <c r="D239" s="147">
        <v>1</v>
      </c>
      <c r="E239" s="147"/>
      <c r="F239" s="147"/>
      <c r="G239" s="147"/>
      <c r="H239" s="147"/>
      <c r="I239" s="147"/>
      <c r="J239" s="147"/>
      <c r="K239" s="147"/>
      <c r="L239" s="147"/>
      <c r="M239" s="147"/>
      <c r="N239" s="147"/>
      <c r="O239" s="147"/>
      <c r="P239" s="147"/>
      <c r="Q239" s="147">
        <v>18</v>
      </c>
      <c r="R239" s="148"/>
      <c r="S239" s="148"/>
      <c r="T239" s="148"/>
      <c r="U239" s="148"/>
      <c r="V239" s="148"/>
      <c r="W239" s="148"/>
      <c r="X239" s="148"/>
      <c r="Y239" s="148"/>
      <c r="Z239" s="148"/>
      <c r="AA239" s="148"/>
      <c r="AB239" s="148"/>
      <c r="AC239" s="148"/>
    </row>
    <row r="240" spans="1:29" hidden="1">
      <c r="A240" s="149">
        <v>45884</v>
      </c>
      <c r="B240" s="147" t="s">
        <v>61</v>
      </c>
      <c r="C240" s="147">
        <v>5</v>
      </c>
      <c r="D240" s="147">
        <v>2</v>
      </c>
      <c r="E240" s="147"/>
      <c r="F240" s="147"/>
      <c r="G240" s="147"/>
      <c r="H240" s="147"/>
      <c r="I240" s="147">
        <v>1</v>
      </c>
      <c r="J240" s="147">
        <v>2</v>
      </c>
      <c r="K240" s="147"/>
      <c r="L240" s="147"/>
      <c r="M240" s="147"/>
      <c r="N240" s="147"/>
      <c r="O240" s="147"/>
      <c r="P240" s="147"/>
      <c r="Q240" s="147">
        <v>5</v>
      </c>
      <c r="R240" s="148"/>
      <c r="S240" s="148"/>
      <c r="T240" s="148"/>
      <c r="U240" s="148"/>
      <c r="V240" s="148"/>
      <c r="W240" s="148"/>
      <c r="X240" s="148"/>
      <c r="Y240" s="148"/>
      <c r="Z240" s="148"/>
      <c r="AA240" s="148"/>
      <c r="AB240" s="148"/>
      <c r="AC240" s="148"/>
    </row>
    <row r="241" spans="1:29">
      <c r="A241" s="149">
        <v>45885</v>
      </c>
      <c r="B241" s="147" t="s">
        <v>115</v>
      </c>
      <c r="C241" s="147">
        <v>3</v>
      </c>
      <c r="D241" s="147">
        <v>3</v>
      </c>
      <c r="E241" s="147"/>
      <c r="F241" s="147"/>
      <c r="G241" s="147"/>
      <c r="H241" s="147"/>
      <c r="I241" s="147"/>
      <c r="J241" s="147"/>
      <c r="K241" s="147"/>
      <c r="L241" s="147"/>
      <c r="M241" s="147"/>
      <c r="N241" s="147" t="s">
        <v>12840</v>
      </c>
      <c r="O241" s="147"/>
      <c r="P241" s="147"/>
      <c r="Q241" s="147">
        <v>86</v>
      </c>
      <c r="R241" s="148"/>
      <c r="S241" s="148"/>
      <c r="T241" s="148"/>
      <c r="U241" s="148"/>
      <c r="V241" s="148"/>
      <c r="W241" s="148"/>
      <c r="X241" s="148"/>
      <c r="Y241" s="148"/>
      <c r="Z241" s="148"/>
      <c r="AA241" s="148"/>
      <c r="AB241" s="148"/>
      <c r="AC241" s="148"/>
    </row>
    <row r="242" spans="1:29" hidden="1">
      <c r="A242" s="149">
        <v>45885</v>
      </c>
      <c r="B242" s="147" t="s">
        <v>1229</v>
      </c>
      <c r="C242" s="147">
        <v>2</v>
      </c>
      <c r="D242" s="147">
        <v>2</v>
      </c>
      <c r="E242" s="147"/>
      <c r="F242" s="147"/>
      <c r="G242" s="147"/>
      <c r="H242" s="147"/>
      <c r="I242" s="147"/>
      <c r="J242" s="147"/>
      <c r="K242" s="147"/>
      <c r="L242" s="147"/>
      <c r="M242" s="147"/>
      <c r="N242" s="147"/>
      <c r="O242" s="147"/>
      <c r="P242" s="147"/>
      <c r="Q242" s="147">
        <v>19</v>
      </c>
      <c r="R242" s="148"/>
      <c r="S242" s="148"/>
      <c r="T242" s="148"/>
      <c r="U242" s="148"/>
      <c r="V242" s="148"/>
      <c r="W242" s="148"/>
      <c r="X242" s="148"/>
      <c r="Y242" s="148"/>
      <c r="Z242" s="148"/>
      <c r="AA242" s="148"/>
      <c r="AB242" s="148"/>
      <c r="AC242" s="148"/>
    </row>
    <row r="243" spans="1:29" hidden="1">
      <c r="A243" s="149">
        <v>45885</v>
      </c>
      <c r="B243" s="147" t="s">
        <v>61</v>
      </c>
      <c r="C243" s="147">
        <v>5</v>
      </c>
      <c r="D243" s="147">
        <v>2</v>
      </c>
      <c r="E243" s="147">
        <v>1</v>
      </c>
      <c r="F243" s="147"/>
      <c r="G243" s="147"/>
      <c r="H243" s="147">
        <v>1</v>
      </c>
      <c r="I243" s="147">
        <v>1</v>
      </c>
      <c r="J243" s="147"/>
      <c r="K243" s="147"/>
      <c r="L243" s="147"/>
      <c r="M243" s="147"/>
      <c r="N243" s="147"/>
      <c r="O243" s="147"/>
      <c r="P243" s="147"/>
      <c r="Q243" s="147">
        <v>100</v>
      </c>
      <c r="R243" s="148"/>
      <c r="S243" s="148"/>
      <c r="T243" s="148"/>
      <c r="U243" s="148"/>
      <c r="V243" s="148"/>
      <c r="W243" s="148"/>
      <c r="X243" s="148"/>
      <c r="Y243" s="148"/>
      <c r="Z243" s="148"/>
      <c r="AA243" s="148"/>
      <c r="AB243" s="148"/>
      <c r="AC243" s="148"/>
    </row>
    <row r="244" spans="1:29" hidden="1">
      <c r="A244" s="149">
        <v>45885</v>
      </c>
      <c r="B244" s="147" t="s">
        <v>1774</v>
      </c>
      <c r="C244" s="147"/>
      <c r="D244" s="147"/>
      <c r="E244" s="147"/>
      <c r="F244" s="147"/>
      <c r="G244" s="147"/>
      <c r="H244" s="147"/>
      <c r="I244" s="147"/>
      <c r="J244" s="147"/>
      <c r="K244" s="147"/>
      <c r="L244" s="147"/>
      <c r="M244" s="147"/>
      <c r="N244" s="147"/>
      <c r="O244" s="147"/>
      <c r="P244" s="147"/>
      <c r="Q244" s="147">
        <v>1</v>
      </c>
      <c r="R244" s="148"/>
      <c r="S244" s="148"/>
      <c r="T244" s="148"/>
      <c r="U244" s="148"/>
      <c r="V244" s="148"/>
      <c r="W244" s="148"/>
      <c r="X244" s="148"/>
      <c r="Y244" s="148"/>
      <c r="Z244" s="148"/>
      <c r="AA244" s="148"/>
      <c r="AB244" s="148"/>
      <c r="AC244" s="148"/>
    </row>
    <row r="245" spans="1:29" hidden="1">
      <c r="A245" s="149">
        <v>45884</v>
      </c>
      <c r="B245" s="147" t="s">
        <v>1229</v>
      </c>
      <c r="C245" s="147">
        <v>1</v>
      </c>
      <c r="D245" s="147">
        <v>1</v>
      </c>
      <c r="E245" s="147"/>
      <c r="F245" s="147"/>
      <c r="G245" s="147"/>
      <c r="H245" s="147"/>
      <c r="I245" s="147"/>
      <c r="J245" s="147"/>
      <c r="K245" s="147"/>
      <c r="L245" s="147"/>
      <c r="M245" s="147"/>
      <c r="N245" s="147"/>
      <c r="O245" s="147"/>
      <c r="P245" s="147"/>
      <c r="Q245" s="147">
        <v>40</v>
      </c>
      <c r="R245" s="148"/>
      <c r="S245" s="148"/>
      <c r="T245" s="148"/>
      <c r="U245" s="148"/>
      <c r="V245" s="148"/>
      <c r="W245" s="148"/>
      <c r="X245" s="148"/>
      <c r="Y245" s="148"/>
      <c r="Z245" s="148"/>
      <c r="AA245" s="148"/>
      <c r="AB245" s="148"/>
      <c r="AC245" s="148"/>
    </row>
    <row r="246" spans="1:29">
      <c r="A246" s="149">
        <v>45886</v>
      </c>
      <c r="B246" s="147" t="s">
        <v>115</v>
      </c>
      <c r="C246" s="147">
        <v>2</v>
      </c>
      <c r="D246" s="147">
        <v>2</v>
      </c>
      <c r="E246" s="147"/>
      <c r="F246" s="147"/>
      <c r="G246" s="147"/>
      <c r="H246" s="147"/>
      <c r="I246" s="147"/>
      <c r="J246" s="147"/>
      <c r="K246" s="147"/>
      <c r="L246" s="147"/>
      <c r="M246" s="147"/>
      <c r="N246" s="147"/>
      <c r="O246" s="147"/>
      <c r="P246" s="147"/>
      <c r="Q246" s="147"/>
      <c r="R246" s="148"/>
      <c r="S246" s="148"/>
      <c r="T246" s="148"/>
      <c r="U246" s="148"/>
      <c r="V246" s="148"/>
      <c r="W246" s="148"/>
      <c r="X246" s="148"/>
      <c r="Y246" s="148"/>
      <c r="Z246" s="148"/>
      <c r="AA246" s="148"/>
      <c r="AB246" s="148"/>
      <c r="AC246" s="148"/>
    </row>
    <row r="247" spans="1:29" hidden="1">
      <c r="A247" s="149">
        <v>45886</v>
      </c>
      <c r="B247" s="147" t="s">
        <v>61</v>
      </c>
      <c r="C247" s="147">
        <v>1</v>
      </c>
      <c r="D247" s="147">
        <v>1</v>
      </c>
      <c r="E247" s="147"/>
      <c r="F247" s="147"/>
      <c r="G247" s="147"/>
      <c r="H247" s="147"/>
      <c r="I247" s="147"/>
      <c r="J247" s="147"/>
      <c r="K247" s="147"/>
      <c r="L247" s="147"/>
      <c r="M247" s="147"/>
      <c r="N247" s="147"/>
      <c r="O247" s="147"/>
      <c r="P247" s="147"/>
      <c r="Q247" s="147"/>
      <c r="R247" s="148"/>
      <c r="S247" s="148"/>
      <c r="T247" s="148"/>
      <c r="U247" s="148"/>
      <c r="V247" s="148"/>
      <c r="W247" s="148"/>
      <c r="X247" s="148"/>
      <c r="Y247" s="148"/>
      <c r="Z247" s="148"/>
      <c r="AA247" s="148"/>
      <c r="AB247" s="148"/>
      <c r="AC247" s="148"/>
    </row>
    <row r="248" spans="1:29" hidden="1">
      <c r="A248" s="149">
        <v>45887</v>
      </c>
      <c r="B248" s="147" t="s">
        <v>1229</v>
      </c>
      <c r="C248" s="147">
        <v>3</v>
      </c>
      <c r="D248" s="147">
        <v>1</v>
      </c>
      <c r="E248" s="147">
        <v>1</v>
      </c>
      <c r="F248" s="147"/>
      <c r="G248" s="147"/>
      <c r="H248" s="147"/>
      <c r="I248" s="147">
        <v>1</v>
      </c>
      <c r="J248" s="147"/>
      <c r="K248" s="147"/>
      <c r="L248" s="147"/>
      <c r="M248" s="147"/>
      <c r="N248" s="147"/>
      <c r="O248" s="147"/>
      <c r="P248" s="147"/>
      <c r="Q248" s="147">
        <v>58</v>
      </c>
      <c r="R248" s="148"/>
      <c r="S248" s="148"/>
      <c r="T248" s="148"/>
      <c r="U248" s="148"/>
      <c r="V248" s="148"/>
      <c r="W248" s="148"/>
      <c r="X248" s="148"/>
      <c r="Y248" s="148"/>
      <c r="Z248" s="148"/>
      <c r="AA248" s="148"/>
      <c r="AB248" s="148"/>
      <c r="AC248" s="148"/>
    </row>
    <row r="249" spans="1:29" hidden="1">
      <c r="A249" s="149">
        <v>45887</v>
      </c>
      <c r="B249" s="147" t="s">
        <v>61</v>
      </c>
      <c r="C249" s="147">
        <v>7</v>
      </c>
      <c r="D249" s="147">
        <v>3</v>
      </c>
      <c r="E249" s="147">
        <v>1</v>
      </c>
      <c r="F249" s="147">
        <v>1</v>
      </c>
      <c r="G249" s="147"/>
      <c r="H249" s="147"/>
      <c r="I249" s="147">
        <v>2</v>
      </c>
      <c r="J249" s="147"/>
      <c r="K249" s="147"/>
      <c r="L249" s="147"/>
      <c r="M249" s="147"/>
      <c r="N249" s="147"/>
      <c r="O249" s="147"/>
      <c r="P249" s="147"/>
      <c r="Q249" s="147">
        <v>105</v>
      </c>
      <c r="R249" s="148"/>
      <c r="S249" s="148"/>
      <c r="T249" s="148"/>
      <c r="U249" s="148"/>
      <c r="V249" s="148"/>
      <c r="W249" s="148"/>
      <c r="X249" s="148"/>
      <c r="Y249" s="148"/>
      <c r="Z249" s="148"/>
      <c r="AA249" s="148"/>
      <c r="AB249" s="148"/>
      <c r="AC249" s="148"/>
    </row>
    <row r="250" spans="1:29" hidden="1">
      <c r="A250" s="149">
        <v>45887</v>
      </c>
      <c r="B250" s="147" t="s">
        <v>1774</v>
      </c>
      <c r="C250" s="147">
        <v>1</v>
      </c>
      <c r="D250" s="147"/>
      <c r="E250" s="147"/>
      <c r="F250" s="147">
        <v>1</v>
      </c>
      <c r="G250" s="147"/>
      <c r="H250" s="147"/>
      <c r="I250" s="147"/>
      <c r="J250" s="147"/>
      <c r="K250" s="147"/>
      <c r="L250" s="147"/>
      <c r="M250" s="147"/>
      <c r="N250" s="147"/>
      <c r="O250" s="147"/>
      <c r="P250" s="147"/>
      <c r="Q250" s="147">
        <v>5</v>
      </c>
      <c r="R250" s="148"/>
      <c r="S250" s="148"/>
      <c r="T250" s="148"/>
      <c r="U250" s="148"/>
      <c r="V250" s="148"/>
      <c r="W250" s="148"/>
      <c r="X250" s="148"/>
      <c r="Y250" s="148"/>
      <c r="Z250" s="148"/>
      <c r="AA250" s="148"/>
      <c r="AB250" s="148"/>
      <c r="AC250" s="148"/>
    </row>
    <row r="251" spans="1:29" hidden="1">
      <c r="A251" s="149">
        <v>45888</v>
      </c>
      <c r="B251" s="147" t="s">
        <v>1774</v>
      </c>
      <c r="C251" s="147">
        <v>2</v>
      </c>
      <c r="D251" s="147">
        <v>1</v>
      </c>
      <c r="E251" s="147"/>
      <c r="F251" s="147"/>
      <c r="G251" s="147"/>
      <c r="H251" s="147"/>
      <c r="I251" s="147">
        <v>1</v>
      </c>
      <c r="J251" s="147"/>
      <c r="K251" s="147"/>
      <c r="L251" s="147"/>
      <c r="M251" s="147"/>
      <c r="N251" s="147"/>
      <c r="O251" s="147"/>
      <c r="P251" s="147"/>
      <c r="Q251" s="147">
        <v>2</v>
      </c>
      <c r="R251" s="148"/>
      <c r="S251" s="148"/>
      <c r="T251" s="148"/>
      <c r="U251" s="148"/>
      <c r="V251" s="148"/>
      <c r="W251" s="148"/>
      <c r="X251" s="148"/>
      <c r="Y251" s="148"/>
      <c r="Z251" s="148"/>
      <c r="AA251" s="148"/>
      <c r="AB251" s="148"/>
      <c r="AC251" s="148"/>
    </row>
    <row r="252" spans="1:29">
      <c r="A252" s="149">
        <v>45887</v>
      </c>
      <c r="B252" s="147" t="s">
        <v>115</v>
      </c>
      <c r="C252" s="147">
        <v>2</v>
      </c>
      <c r="D252" s="147">
        <v>2</v>
      </c>
      <c r="E252" s="147"/>
      <c r="F252" s="147"/>
      <c r="G252" s="147"/>
      <c r="H252" s="147"/>
      <c r="I252" s="147"/>
      <c r="J252" s="147"/>
      <c r="K252" s="147"/>
      <c r="L252" s="147"/>
      <c r="M252" s="147"/>
      <c r="N252" s="147"/>
      <c r="O252" s="147"/>
      <c r="P252" s="147"/>
      <c r="Q252" s="147">
        <v>3</v>
      </c>
      <c r="R252" s="148"/>
      <c r="S252" s="148"/>
      <c r="T252" s="148"/>
      <c r="U252" s="148"/>
      <c r="V252" s="148"/>
      <c r="W252" s="148"/>
      <c r="X252" s="148"/>
      <c r="Y252" s="148"/>
      <c r="Z252" s="148"/>
      <c r="AA252" s="148"/>
      <c r="AB252" s="148"/>
      <c r="AC252" s="148"/>
    </row>
    <row r="253" spans="1:29">
      <c r="A253" s="149">
        <v>45887</v>
      </c>
      <c r="B253" s="147" t="s">
        <v>115</v>
      </c>
      <c r="C253" s="147">
        <v>2</v>
      </c>
      <c r="D253" s="147">
        <v>2</v>
      </c>
      <c r="E253" s="147"/>
      <c r="F253" s="147"/>
      <c r="G253" s="147"/>
      <c r="H253" s="147"/>
      <c r="I253" s="147"/>
      <c r="J253" s="147"/>
      <c r="K253" s="147"/>
      <c r="L253" s="147"/>
      <c r="M253" s="147"/>
      <c r="N253" s="147"/>
      <c r="O253" s="147"/>
      <c r="P253" s="147"/>
      <c r="Q253" s="147">
        <v>3</v>
      </c>
      <c r="R253" s="148"/>
      <c r="S253" s="148"/>
      <c r="T253" s="148"/>
      <c r="U253" s="148"/>
      <c r="V253" s="148"/>
      <c r="W253" s="148"/>
      <c r="X253" s="148"/>
      <c r="Y253" s="148"/>
      <c r="Z253" s="148"/>
      <c r="AA253" s="148"/>
      <c r="AB253" s="148"/>
      <c r="AC253" s="148"/>
    </row>
    <row r="254" spans="1:29">
      <c r="A254" s="149">
        <v>45888</v>
      </c>
      <c r="B254" s="147" t="s">
        <v>115</v>
      </c>
      <c r="C254" s="147">
        <v>2</v>
      </c>
      <c r="D254" s="147">
        <v>2</v>
      </c>
      <c r="E254" s="147"/>
      <c r="F254" s="147"/>
      <c r="G254" s="147"/>
      <c r="H254" s="147"/>
      <c r="I254" s="147"/>
      <c r="J254" s="147">
        <v>2</v>
      </c>
      <c r="K254" s="147"/>
      <c r="L254" s="147"/>
      <c r="M254" s="147"/>
      <c r="N254" s="147"/>
      <c r="O254" s="147"/>
      <c r="P254" s="147"/>
      <c r="Q254" s="147"/>
      <c r="R254" s="148"/>
      <c r="S254" s="148"/>
      <c r="T254" s="148"/>
      <c r="U254" s="148"/>
      <c r="V254" s="148"/>
      <c r="W254" s="148"/>
      <c r="X254" s="148"/>
      <c r="Y254" s="148"/>
      <c r="Z254" s="148"/>
      <c r="AA254" s="148"/>
      <c r="AB254" s="148"/>
      <c r="AC254" s="148"/>
    </row>
    <row r="255" spans="1:29">
      <c r="A255" s="149">
        <v>45888</v>
      </c>
      <c r="B255" s="147" t="s">
        <v>115</v>
      </c>
      <c r="C255" s="147">
        <v>2</v>
      </c>
      <c r="D255" s="147"/>
      <c r="E255" s="147"/>
      <c r="F255" s="147"/>
      <c r="G255" s="147"/>
      <c r="H255" s="147"/>
      <c r="I255" s="147"/>
      <c r="J255" s="147">
        <v>2</v>
      </c>
      <c r="K255" s="147"/>
      <c r="L255" s="147"/>
      <c r="M255" s="147"/>
      <c r="N255" s="147"/>
      <c r="O255" s="147"/>
      <c r="P255" s="147"/>
      <c r="Q255" s="147"/>
      <c r="R255" s="148"/>
      <c r="S255" s="148"/>
      <c r="T255" s="148"/>
      <c r="U255" s="148"/>
      <c r="V255" s="148"/>
      <c r="W255" s="148"/>
      <c r="X255" s="148"/>
      <c r="Y255" s="148"/>
      <c r="Z255" s="148"/>
      <c r="AA255" s="148"/>
      <c r="AB255" s="148"/>
      <c r="AC255" s="148"/>
    </row>
    <row r="256" spans="1:29" hidden="1">
      <c r="A256" s="149">
        <v>45888</v>
      </c>
      <c r="B256" s="147" t="s">
        <v>61</v>
      </c>
      <c r="C256" s="147">
        <v>8</v>
      </c>
      <c r="D256" s="147">
        <v>4</v>
      </c>
      <c r="E256" s="147">
        <v>1</v>
      </c>
      <c r="F256" s="147">
        <v>1</v>
      </c>
      <c r="G256" s="147"/>
      <c r="H256" s="147">
        <v>1</v>
      </c>
      <c r="I256" s="147">
        <v>1</v>
      </c>
      <c r="J256" s="147"/>
      <c r="K256" s="147"/>
      <c r="L256" s="147"/>
      <c r="M256" s="147"/>
      <c r="N256" s="147"/>
      <c r="O256" s="147"/>
      <c r="P256" s="147"/>
      <c r="Q256" s="147">
        <v>97</v>
      </c>
      <c r="R256" s="148"/>
      <c r="S256" s="148"/>
      <c r="T256" s="148"/>
      <c r="U256" s="148"/>
      <c r="V256" s="148"/>
      <c r="W256" s="148"/>
      <c r="X256" s="148"/>
      <c r="Y256" s="148"/>
      <c r="Z256" s="148"/>
      <c r="AA256" s="148"/>
      <c r="AB256" s="148"/>
      <c r="AC256" s="148"/>
    </row>
    <row r="257" spans="1:29" hidden="1">
      <c r="A257" s="149">
        <v>45888</v>
      </c>
      <c r="B257" s="147" t="s">
        <v>1229</v>
      </c>
      <c r="C257" s="147">
        <v>1</v>
      </c>
      <c r="D257" s="147">
        <v>1</v>
      </c>
      <c r="E257" s="147"/>
      <c r="F257" s="147"/>
      <c r="G257" s="147"/>
      <c r="H257" s="147"/>
      <c r="I257" s="147"/>
      <c r="J257" s="147"/>
      <c r="K257" s="147"/>
      <c r="L257" s="147"/>
      <c r="M257" s="147"/>
      <c r="N257" s="147"/>
      <c r="O257" s="147"/>
      <c r="P257" s="147"/>
      <c r="Q257" s="147">
        <v>23</v>
      </c>
      <c r="R257" s="148"/>
      <c r="S257" s="148"/>
      <c r="T257" s="148"/>
      <c r="U257" s="148"/>
      <c r="V257" s="148"/>
      <c r="W257" s="148"/>
      <c r="X257" s="148"/>
      <c r="Y257" s="148"/>
      <c r="Z257" s="148"/>
      <c r="AA257" s="148"/>
      <c r="AB257" s="148"/>
      <c r="AC257" s="148"/>
    </row>
    <row r="258" spans="1:29">
      <c r="A258" s="149">
        <v>45889</v>
      </c>
      <c r="B258" s="147" t="s">
        <v>115</v>
      </c>
      <c r="C258" s="147">
        <v>1</v>
      </c>
      <c r="D258" s="147"/>
      <c r="E258" s="147"/>
      <c r="F258" s="147"/>
      <c r="G258" s="147"/>
      <c r="H258" s="147"/>
      <c r="I258" s="147"/>
      <c r="J258" s="147">
        <v>1</v>
      </c>
      <c r="K258" s="147"/>
      <c r="L258" s="147"/>
      <c r="M258" s="147"/>
      <c r="N258" s="147"/>
      <c r="O258" s="147"/>
      <c r="P258" s="147"/>
      <c r="Q258" s="147"/>
      <c r="R258" s="148"/>
      <c r="S258" s="148"/>
      <c r="T258" s="148"/>
      <c r="U258" s="148"/>
      <c r="V258" s="148"/>
      <c r="W258" s="148"/>
      <c r="X258" s="148"/>
      <c r="Y258" s="148"/>
      <c r="Z258" s="148"/>
      <c r="AA258" s="148"/>
      <c r="AB258" s="148"/>
      <c r="AC258" s="148"/>
    </row>
    <row r="259" spans="1:29" hidden="1">
      <c r="A259" s="149">
        <v>45889</v>
      </c>
      <c r="B259" s="147" t="s">
        <v>1229</v>
      </c>
      <c r="C259" s="147">
        <v>2</v>
      </c>
      <c r="D259" s="147">
        <v>1</v>
      </c>
      <c r="E259" s="147"/>
      <c r="F259" s="147">
        <v>1</v>
      </c>
      <c r="G259" s="147"/>
      <c r="H259" s="147"/>
      <c r="I259" s="147"/>
      <c r="J259" s="147"/>
      <c r="K259" s="147"/>
      <c r="L259" s="147"/>
      <c r="M259" s="147"/>
      <c r="N259" s="147"/>
      <c r="O259" s="147"/>
      <c r="P259" s="147"/>
      <c r="Q259" s="147">
        <v>10</v>
      </c>
      <c r="R259" s="148"/>
      <c r="S259" s="148"/>
      <c r="T259" s="148"/>
      <c r="U259" s="148"/>
      <c r="V259" s="148"/>
      <c r="W259" s="148"/>
      <c r="X259" s="148"/>
      <c r="Y259" s="148"/>
      <c r="Z259" s="148"/>
      <c r="AA259" s="148"/>
      <c r="AB259" s="148"/>
      <c r="AC259" s="148"/>
    </row>
    <row r="260" spans="1:29" hidden="1">
      <c r="A260" s="149">
        <v>45889</v>
      </c>
      <c r="B260" s="147" t="s">
        <v>61</v>
      </c>
      <c r="C260" s="147">
        <v>3</v>
      </c>
      <c r="D260" s="147">
        <v>3</v>
      </c>
      <c r="E260" s="147"/>
      <c r="F260" s="147"/>
      <c r="G260" s="147"/>
      <c r="H260" s="147"/>
      <c r="I260" s="147"/>
      <c r="J260" s="147">
        <v>1</v>
      </c>
      <c r="K260" s="147"/>
      <c r="L260" s="147"/>
      <c r="M260" s="147"/>
      <c r="N260" s="147"/>
      <c r="O260" s="147"/>
      <c r="P260" s="147"/>
      <c r="Q260" s="147">
        <v>47</v>
      </c>
      <c r="R260" s="148"/>
      <c r="S260" s="148"/>
      <c r="T260" s="148"/>
      <c r="U260" s="148"/>
      <c r="V260" s="148"/>
      <c r="W260" s="148"/>
      <c r="X260" s="148"/>
      <c r="Y260" s="148"/>
      <c r="Z260" s="148"/>
      <c r="AA260" s="148"/>
      <c r="AB260" s="148"/>
      <c r="AC260" s="148"/>
    </row>
    <row r="261" spans="1:29" hidden="1">
      <c r="A261" s="149">
        <v>45889</v>
      </c>
      <c r="B261" s="147" t="s">
        <v>61</v>
      </c>
      <c r="C261" s="147">
        <v>4</v>
      </c>
      <c r="D261" s="147">
        <v>3</v>
      </c>
      <c r="E261" s="147"/>
      <c r="F261" s="147"/>
      <c r="G261" s="147"/>
      <c r="H261" s="147"/>
      <c r="I261" s="147"/>
      <c r="J261" s="147">
        <v>1</v>
      </c>
      <c r="K261" s="147"/>
      <c r="L261" s="147"/>
      <c r="M261" s="147"/>
      <c r="N261" s="147"/>
      <c r="O261" s="147"/>
      <c r="P261" s="147"/>
      <c r="Q261" s="147">
        <v>47</v>
      </c>
      <c r="R261" s="148"/>
      <c r="S261" s="148"/>
      <c r="T261" s="148"/>
      <c r="U261" s="148"/>
      <c r="V261" s="148"/>
      <c r="W261" s="148"/>
      <c r="X261" s="148"/>
      <c r="Y261" s="148"/>
      <c r="Z261" s="148"/>
      <c r="AA261" s="148"/>
      <c r="AB261" s="148"/>
      <c r="AC261" s="148"/>
    </row>
    <row r="262" spans="1:29" hidden="1">
      <c r="A262" s="149">
        <v>45890</v>
      </c>
      <c r="B262" s="147" t="s">
        <v>1229</v>
      </c>
      <c r="C262" s="147"/>
      <c r="D262" s="147"/>
      <c r="E262" s="147"/>
      <c r="F262" s="147"/>
      <c r="G262" s="147"/>
      <c r="H262" s="147"/>
      <c r="I262" s="147"/>
      <c r="J262" s="147"/>
      <c r="K262" s="147"/>
      <c r="L262" s="147"/>
      <c r="M262" s="147"/>
      <c r="N262" s="147"/>
      <c r="O262" s="147"/>
      <c r="P262" s="147"/>
      <c r="Q262" s="147">
        <v>9</v>
      </c>
      <c r="R262" s="148"/>
      <c r="S262" s="148"/>
      <c r="T262" s="148"/>
      <c r="U262" s="148"/>
      <c r="V262" s="148"/>
      <c r="W262" s="148"/>
      <c r="X262" s="148"/>
      <c r="Y262" s="148"/>
      <c r="Z262" s="148"/>
      <c r="AA262" s="148"/>
      <c r="AB262" s="148"/>
      <c r="AC262" s="148"/>
    </row>
    <row r="263" spans="1:29" hidden="1">
      <c r="A263" s="149">
        <v>45890</v>
      </c>
      <c r="B263" s="147" t="s">
        <v>1774</v>
      </c>
      <c r="C263" s="147">
        <v>1</v>
      </c>
      <c r="D263" s="147"/>
      <c r="E263" s="147">
        <v>1</v>
      </c>
      <c r="F263" s="147"/>
      <c r="G263" s="147"/>
      <c r="H263" s="147"/>
      <c r="I263" s="147"/>
      <c r="J263" s="147"/>
      <c r="K263" s="147"/>
      <c r="L263" s="147"/>
      <c r="M263" s="147"/>
      <c r="N263" s="147"/>
      <c r="O263" s="147"/>
      <c r="P263" s="147"/>
      <c r="Q263" s="147">
        <v>3</v>
      </c>
      <c r="R263" s="148"/>
      <c r="S263" s="148"/>
      <c r="T263" s="148"/>
      <c r="U263" s="148"/>
      <c r="V263" s="148"/>
      <c r="W263" s="148"/>
      <c r="X263" s="148"/>
      <c r="Y263" s="148"/>
      <c r="Z263" s="148"/>
      <c r="AA263" s="148"/>
      <c r="AB263" s="148"/>
      <c r="AC263" s="148"/>
    </row>
    <row r="264" spans="1:29" hidden="1">
      <c r="A264" s="149">
        <v>45890</v>
      </c>
      <c r="B264" s="147" t="s">
        <v>61</v>
      </c>
      <c r="C264" s="147">
        <v>7</v>
      </c>
      <c r="D264" s="147">
        <v>3</v>
      </c>
      <c r="E264" s="147">
        <v>1</v>
      </c>
      <c r="F264" s="147"/>
      <c r="G264" s="147"/>
      <c r="H264" s="147"/>
      <c r="I264" s="147">
        <v>2</v>
      </c>
      <c r="J264" s="147">
        <v>1</v>
      </c>
      <c r="K264" s="147"/>
      <c r="L264" s="147"/>
      <c r="M264" s="147"/>
      <c r="N264" s="147"/>
      <c r="O264" s="147"/>
      <c r="P264" s="147"/>
      <c r="Q264" s="147">
        <v>15</v>
      </c>
      <c r="R264" s="148"/>
      <c r="S264" s="148"/>
      <c r="T264" s="148"/>
      <c r="U264" s="148"/>
      <c r="V264" s="148"/>
      <c r="W264" s="148"/>
      <c r="X264" s="148"/>
      <c r="Y264" s="148"/>
      <c r="Z264" s="148"/>
      <c r="AA264" s="148"/>
      <c r="AB264" s="148"/>
      <c r="AC264" s="148"/>
    </row>
    <row r="265" spans="1:29">
      <c r="A265" s="149">
        <v>45890</v>
      </c>
      <c r="B265" s="147" t="s">
        <v>115</v>
      </c>
      <c r="C265" s="147"/>
      <c r="D265" s="147"/>
      <c r="E265" s="147"/>
      <c r="F265" s="147"/>
      <c r="G265" s="147"/>
      <c r="H265" s="147"/>
      <c r="I265" s="147"/>
      <c r="J265" s="147"/>
      <c r="K265" s="147"/>
      <c r="L265" s="147"/>
      <c r="M265" s="147"/>
      <c r="N265" s="147"/>
      <c r="O265" s="147"/>
      <c r="P265" s="147"/>
      <c r="Q265" s="147"/>
      <c r="R265" s="148"/>
      <c r="S265" s="148"/>
      <c r="T265" s="148"/>
      <c r="U265" s="148"/>
      <c r="V265" s="148"/>
      <c r="W265" s="148"/>
      <c r="X265" s="148"/>
      <c r="Y265" s="148"/>
      <c r="Z265" s="148"/>
      <c r="AA265" s="148"/>
      <c r="AB265" s="148"/>
      <c r="AC265" s="148"/>
    </row>
    <row r="266" spans="1:29" hidden="1">
      <c r="A266" s="149">
        <v>45891</v>
      </c>
      <c r="B266" s="147" t="s">
        <v>1229</v>
      </c>
      <c r="C266" s="147">
        <v>3</v>
      </c>
      <c r="D266" s="147"/>
      <c r="E266" s="147"/>
      <c r="F266" s="147"/>
      <c r="G266" s="147"/>
      <c r="H266" s="147"/>
      <c r="I266" s="147">
        <v>2</v>
      </c>
      <c r="J266" s="147"/>
      <c r="K266" s="147"/>
      <c r="L266" s="147">
        <v>1</v>
      </c>
      <c r="M266" s="147"/>
      <c r="N266" s="147"/>
      <c r="O266" s="147"/>
      <c r="P266" s="147"/>
      <c r="Q266" s="147">
        <v>46</v>
      </c>
      <c r="R266" s="148"/>
      <c r="S266" s="148"/>
      <c r="T266" s="148"/>
      <c r="U266" s="148"/>
      <c r="V266" s="148"/>
      <c r="W266" s="148"/>
      <c r="X266" s="148"/>
      <c r="Y266" s="148"/>
      <c r="Z266" s="148"/>
      <c r="AA266" s="148"/>
      <c r="AB266" s="148"/>
      <c r="AC266" s="148"/>
    </row>
    <row r="267" spans="1:29" hidden="1">
      <c r="A267" s="149">
        <v>45891</v>
      </c>
      <c r="B267" s="147" t="s">
        <v>1774</v>
      </c>
      <c r="C267" s="147"/>
      <c r="D267" s="147"/>
      <c r="E267" s="147"/>
      <c r="F267" s="147"/>
      <c r="G267" s="147"/>
      <c r="H267" s="147"/>
      <c r="I267" s="147"/>
      <c r="J267" s="147"/>
      <c r="K267" s="147"/>
      <c r="L267" s="147"/>
      <c r="M267" s="147"/>
      <c r="N267" s="147"/>
      <c r="O267" s="147"/>
      <c r="P267" s="147"/>
      <c r="Q267" s="147">
        <v>6</v>
      </c>
      <c r="R267" s="148"/>
      <c r="S267" s="148"/>
      <c r="T267" s="148"/>
      <c r="U267" s="148"/>
      <c r="V267" s="148"/>
      <c r="W267" s="148"/>
      <c r="X267" s="148"/>
      <c r="Y267" s="148"/>
      <c r="Z267" s="148"/>
      <c r="AA267" s="148"/>
      <c r="AB267" s="148"/>
      <c r="AC267" s="148"/>
    </row>
    <row r="268" spans="1:29">
      <c r="A268" s="149">
        <v>45891</v>
      </c>
      <c r="B268" s="147" t="s">
        <v>115</v>
      </c>
      <c r="C268" s="147"/>
      <c r="D268" s="147"/>
      <c r="E268" s="147"/>
      <c r="F268" s="147"/>
      <c r="G268" s="147"/>
      <c r="H268" s="147"/>
      <c r="I268" s="147"/>
      <c r="J268" s="147"/>
      <c r="K268" s="147"/>
      <c r="L268" s="147"/>
      <c r="M268" s="147"/>
      <c r="N268" s="147"/>
      <c r="O268" s="147"/>
      <c r="P268" s="147"/>
      <c r="Q268" s="147"/>
      <c r="R268" s="148"/>
      <c r="S268" s="148"/>
      <c r="T268" s="148"/>
      <c r="U268" s="148"/>
      <c r="V268" s="148"/>
      <c r="W268" s="148"/>
      <c r="X268" s="148"/>
      <c r="Y268" s="148"/>
      <c r="Z268" s="148"/>
      <c r="AA268" s="148"/>
      <c r="AB268" s="148"/>
      <c r="AC268" s="148"/>
    </row>
    <row r="269" spans="1:29" hidden="1">
      <c r="A269" s="149">
        <v>45891</v>
      </c>
      <c r="B269" s="147" t="s">
        <v>61</v>
      </c>
      <c r="C269" s="147">
        <v>6</v>
      </c>
      <c r="D269" s="147">
        <v>3</v>
      </c>
      <c r="E269" s="147"/>
      <c r="F269" s="147"/>
      <c r="G269" s="147">
        <v>1</v>
      </c>
      <c r="H269" s="147">
        <v>1</v>
      </c>
      <c r="I269" s="147"/>
      <c r="J269" s="147">
        <v>1</v>
      </c>
      <c r="K269" s="147"/>
      <c r="L269" s="147"/>
      <c r="M269" s="147"/>
      <c r="N269" s="147"/>
      <c r="O269" s="147"/>
      <c r="P269" s="147"/>
      <c r="Q269" s="147">
        <v>56</v>
      </c>
      <c r="R269" s="148"/>
      <c r="S269" s="148"/>
      <c r="T269" s="148"/>
      <c r="U269" s="148"/>
      <c r="V269" s="148"/>
      <c r="W269" s="148"/>
      <c r="X269" s="148"/>
      <c r="Y269" s="148"/>
      <c r="Z269" s="148"/>
      <c r="AA269" s="148"/>
      <c r="AB269" s="148"/>
      <c r="AC269" s="148"/>
    </row>
    <row r="270" spans="1:29" hidden="1">
      <c r="A270" s="149">
        <v>45892</v>
      </c>
      <c r="B270" s="147" t="s">
        <v>61</v>
      </c>
      <c r="C270" s="147">
        <v>5</v>
      </c>
      <c r="D270" s="147">
        <v>2</v>
      </c>
      <c r="E270" s="147">
        <v>1</v>
      </c>
      <c r="F270" s="147"/>
      <c r="G270" s="147">
        <v>1</v>
      </c>
      <c r="H270" s="147"/>
      <c r="I270" s="147"/>
      <c r="J270" s="147">
        <v>1</v>
      </c>
      <c r="K270" s="147"/>
      <c r="L270" s="147"/>
      <c r="M270" s="147"/>
      <c r="N270" s="147"/>
      <c r="O270" s="147"/>
      <c r="P270" s="147"/>
      <c r="Q270" s="147">
        <v>81</v>
      </c>
      <c r="R270" s="148"/>
      <c r="S270" s="148"/>
      <c r="T270" s="148"/>
      <c r="U270" s="148"/>
      <c r="V270" s="148"/>
      <c r="W270" s="148"/>
      <c r="X270" s="148"/>
      <c r="Y270" s="148"/>
      <c r="Z270" s="148"/>
      <c r="AA270" s="148"/>
      <c r="AB270" s="148"/>
      <c r="AC270" s="148"/>
    </row>
    <row r="271" spans="1:29" hidden="1">
      <c r="A271" s="149">
        <v>45892</v>
      </c>
      <c r="B271" s="147" t="s">
        <v>1774</v>
      </c>
      <c r="C271" s="147">
        <v>2</v>
      </c>
      <c r="D271" s="147"/>
      <c r="E271" s="147"/>
      <c r="F271" s="147">
        <v>1</v>
      </c>
      <c r="G271" s="147"/>
      <c r="H271" s="147"/>
      <c r="I271" s="147"/>
      <c r="J271" s="147">
        <v>1</v>
      </c>
      <c r="K271" s="147"/>
      <c r="L271" s="147"/>
      <c r="M271" s="147"/>
      <c r="N271" s="147"/>
      <c r="O271" s="147"/>
      <c r="P271" s="147"/>
      <c r="Q271" s="147"/>
      <c r="R271" s="148"/>
      <c r="S271" s="148"/>
      <c r="T271" s="148"/>
      <c r="U271" s="148"/>
      <c r="V271" s="148"/>
      <c r="W271" s="148"/>
      <c r="X271" s="148"/>
      <c r="Y271" s="148"/>
      <c r="Z271" s="148"/>
      <c r="AA271" s="148"/>
      <c r="AB271" s="148"/>
      <c r="AC271" s="148"/>
    </row>
    <row r="272" spans="1:29">
      <c r="A272" s="149">
        <v>45892</v>
      </c>
      <c r="B272" s="147" t="s">
        <v>115</v>
      </c>
      <c r="C272" s="147">
        <v>2</v>
      </c>
      <c r="D272" s="147"/>
      <c r="E272" s="147"/>
      <c r="F272" s="147"/>
      <c r="G272" s="147"/>
      <c r="H272" s="147"/>
      <c r="I272" s="147"/>
      <c r="J272" s="147"/>
      <c r="K272" s="147">
        <v>1</v>
      </c>
      <c r="L272" s="147"/>
      <c r="M272" s="147">
        <v>1</v>
      </c>
      <c r="N272" s="147"/>
      <c r="O272" s="147"/>
      <c r="P272" s="147"/>
      <c r="Q272" s="147">
        <v>25</v>
      </c>
      <c r="R272" s="148"/>
      <c r="S272" s="148"/>
      <c r="T272" s="148"/>
      <c r="U272" s="148"/>
      <c r="V272" s="148"/>
      <c r="W272" s="148"/>
      <c r="X272" s="148"/>
      <c r="Y272" s="148"/>
      <c r="Z272" s="148"/>
      <c r="AA272" s="148"/>
      <c r="AB272" s="148"/>
      <c r="AC272" s="148"/>
    </row>
    <row r="273" spans="1:29" hidden="1">
      <c r="A273" s="149">
        <v>45893</v>
      </c>
      <c r="B273" s="147" t="s">
        <v>61</v>
      </c>
      <c r="C273" s="147">
        <v>2</v>
      </c>
      <c r="D273" s="147"/>
      <c r="E273" s="147"/>
      <c r="F273" s="147"/>
      <c r="G273" s="147"/>
      <c r="H273" s="147"/>
      <c r="I273" s="147">
        <v>2</v>
      </c>
      <c r="J273" s="147"/>
      <c r="K273" s="147"/>
      <c r="L273" s="147"/>
      <c r="M273" s="147"/>
      <c r="N273" s="147"/>
      <c r="O273" s="147"/>
      <c r="P273" s="147"/>
      <c r="Q273" s="147"/>
      <c r="R273" s="148"/>
      <c r="S273" s="148"/>
      <c r="T273" s="148"/>
      <c r="U273" s="148"/>
      <c r="V273" s="148"/>
      <c r="W273" s="148"/>
      <c r="X273" s="148"/>
      <c r="Y273" s="148"/>
      <c r="Z273" s="148"/>
      <c r="AA273" s="148"/>
      <c r="AB273" s="148"/>
      <c r="AC273" s="148"/>
    </row>
    <row r="274" spans="1:29">
      <c r="A274" s="149">
        <v>45893</v>
      </c>
      <c r="B274" s="147" t="s">
        <v>115</v>
      </c>
      <c r="C274" s="147"/>
      <c r="D274" s="147"/>
      <c r="E274" s="147"/>
      <c r="F274" s="147"/>
      <c r="G274" s="147"/>
      <c r="H274" s="147"/>
      <c r="I274" s="147"/>
      <c r="J274" s="147"/>
      <c r="K274" s="147"/>
      <c r="L274" s="147"/>
      <c r="M274" s="147"/>
      <c r="N274" s="147" t="s">
        <v>12841</v>
      </c>
      <c r="O274" s="147"/>
      <c r="P274" s="147"/>
      <c r="Q274" s="147"/>
      <c r="R274" s="148"/>
      <c r="S274" s="148"/>
      <c r="T274" s="148"/>
      <c r="U274" s="148"/>
      <c r="V274" s="148"/>
      <c r="W274" s="148"/>
      <c r="X274" s="148"/>
      <c r="Y274" s="148"/>
      <c r="Z274" s="148"/>
      <c r="AA274" s="148"/>
      <c r="AB274" s="148"/>
      <c r="AC274" s="148"/>
    </row>
    <row r="275" spans="1:29" hidden="1">
      <c r="A275" s="149">
        <v>45892</v>
      </c>
      <c r="B275" s="147" t="s">
        <v>1229</v>
      </c>
      <c r="C275" s="147">
        <v>5</v>
      </c>
      <c r="D275" s="147">
        <v>2</v>
      </c>
      <c r="E275" s="147"/>
      <c r="F275" s="147">
        <v>3</v>
      </c>
      <c r="G275" s="147"/>
      <c r="H275" s="147"/>
      <c r="I275" s="147"/>
      <c r="J275" s="147"/>
      <c r="K275" s="147"/>
      <c r="L275" s="147"/>
      <c r="M275" s="147"/>
      <c r="N275" s="147"/>
      <c r="O275" s="147"/>
      <c r="P275" s="147"/>
      <c r="Q275" s="147">
        <v>84</v>
      </c>
      <c r="R275" s="148"/>
      <c r="S275" s="148"/>
      <c r="T275" s="148"/>
      <c r="U275" s="148"/>
      <c r="V275" s="148"/>
      <c r="W275" s="148"/>
      <c r="X275" s="148"/>
      <c r="Y275" s="148"/>
      <c r="Z275" s="148"/>
      <c r="AA275" s="148"/>
      <c r="AB275" s="148"/>
      <c r="AC275" s="148"/>
    </row>
    <row r="276" spans="1:29" hidden="1">
      <c r="A276" s="149">
        <v>45893</v>
      </c>
      <c r="B276" s="147" t="s">
        <v>1229</v>
      </c>
      <c r="C276" s="147">
        <v>4</v>
      </c>
      <c r="D276" s="147">
        <v>3</v>
      </c>
      <c r="E276" s="147">
        <v>1</v>
      </c>
      <c r="F276" s="147"/>
      <c r="G276" s="147"/>
      <c r="H276" s="147"/>
      <c r="I276" s="147"/>
      <c r="J276" s="147"/>
      <c r="K276" s="147"/>
      <c r="L276" s="147"/>
      <c r="M276" s="147"/>
      <c r="N276" s="147"/>
      <c r="O276" s="147"/>
      <c r="P276" s="147"/>
      <c r="Q276" s="147"/>
      <c r="R276" s="148"/>
      <c r="S276" s="148"/>
      <c r="T276" s="148"/>
      <c r="U276" s="148"/>
      <c r="V276" s="148"/>
      <c r="W276" s="148"/>
      <c r="X276" s="148"/>
      <c r="Y276" s="148"/>
      <c r="Z276" s="148"/>
      <c r="AA276" s="148"/>
      <c r="AB276" s="148"/>
      <c r="AC276" s="148"/>
    </row>
    <row r="277" spans="1:29">
      <c r="A277" s="149">
        <v>45894</v>
      </c>
      <c r="B277" s="147" t="s">
        <v>115</v>
      </c>
      <c r="C277" s="147">
        <v>3</v>
      </c>
      <c r="D277" s="147">
        <v>1</v>
      </c>
      <c r="E277" s="147"/>
      <c r="F277" s="147"/>
      <c r="G277" s="147"/>
      <c r="H277" s="147"/>
      <c r="I277" s="147"/>
      <c r="J277" s="147">
        <v>1</v>
      </c>
      <c r="K277" s="147">
        <v>1</v>
      </c>
      <c r="L277" s="147"/>
      <c r="M277" s="147">
        <v>1</v>
      </c>
      <c r="N277" s="147"/>
      <c r="O277" s="147"/>
      <c r="P277" s="147"/>
      <c r="Q277" s="147">
        <v>130</v>
      </c>
      <c r="R277" s="148"/>
      <c r="S277" s="148"/>
      <c r="T277" s="148"/>
      <c r="U277" s="148"/>
      <c r="V277" s="148"/>
      <c r="W277" s="148"/>
      <c r="X277" s="148"/>
      <c r="Y277" s="148"/>
      <c r="Z277" s="148"/>
      <c r="AA277" s="148"/>
      <c r="AB277" s="148"/>
      <c r="AC277" s="148"/>
    </row>
    <row r="278" spans="1:29">
      <c r="A278" s="149">
        <v>45894</v>
      </c>
      <c r="B278" s="147" t="s">
        <v>115</v>
      </c>
      <c r="C278" s="147">
        <v>3</v>
      </c>
      <c r="D278" s="147">
        <v>1</v>
      </c>
      <c r="E278" s="147"/>
      <c r="F278" s="147"/>
      <c r="G278" s="147"/>
      <c r="H278" s="147"/>
      <c r="I278" s="147"/>
      <c r="J278" s="147">
        <v>1</v>
      </c>
      <c r="K278" s="147">
        <v>1</v>
      </c>
      <c r="L278" s="147"/>
      <c r="M278" s="147"/>
      <c r="N278" s="147"/>
      <c r="O278" s="147"/>
      <c r="P278" s="147"/>
      <c r="Q278" s="147">
        <v>130</v>
      </c>
      <c r="R278" s="148"/>
      <c r="S278" s="148"/>
      <c r="T278" s="148"/>
      <c r="U278" s="148"/>
      <c r="V278" s="148"/>
      <c r="W278" s="148"/>
      <c r="X278" s="148"/>
      <c r="Y278" s="148"/>
      <c r="Z278" s="148"/>
      <c r="AA278" s="148"/>
      <c r="AB278" s="148"/>
      <c r="AC278" s="148"/>
    </row>
    <row r="279" spans="1:29" hidden="1">
      <c r="A279" s="149">
        <v>45894</v>
      </c>
      <c r="B279" s="147" t="s">
        <v>1229</v>
      </c>
      <c r="C279" s="147">
        <v>4</v>
      </c>
      <c r="D279" s="147">
        <v>2</v>
      </c>
      <c r="E279" s="147">
        <v>1</v>
      </c>
      <c r="F279" s="147"/>
      <c r="G279" s="147"/>
      <c r="H279" s="147"/>
      <c r="I279" s="147"/>
      <c r="J279" s="147"/>
      <c r="K279" s="147">
        <v>1</v>
      </c>
      <c r="L279" s="147"/>
      <c r="M279" s="147"/>
      <c r="N279" s="147"/>
      <c r="O279" s="147"/>
      <c r="P279" s="147"/>
      <c r="Q279" s="147">
        <v>46</v>
      </c>
      <c r="R279" s="148"/>
      <c r="S279" s="148"/>
      <c r="T279" s="148"/>
      <c r="U279" s="148"/>
      <c r="V279" s="148"/>
      <c r="W279" s="148"/>
      <c r="X279" s="148"/>
      <c r="Y279" s="148"/>
      <c r="Z279" s="148"/>
      <c r="AA279" s="148"/>
      <c r="AB279" s="148"/>
      <c r="AC279" s="148"/>
    </row>
    <row r="280" spans="1:29" hidden="1">
      <c r="A280" s="149">
        <v>45894</v>
      </c>
      <c r="B280" s="147" t="s">
        <v>61</v>
      </c>
      <c r="C280" s="147">
        <v>1</v>
      </c>
      <c r="D280" s="147">
        <v>1</v>
      </c>
      <c r="E280" s="147"/>
      <c r="F280" s="147"/>
      <c r="G280" s="147"/>
      <c r="H280" s="147"/>
      <c r="I280" s="147"/>
      <c r="J280" s="147"/>
      <c r="K280" s="147"/>
      <c r="L280" s="147"/>
      <c r="M280" s="147"/>
      <c r="N280" s="147"/>
      <c r="O280" s="147"/>
      <c r="P280" s="147"/>
      <c r="Q280" s="147">
        <v>35</v>
      </c>
      <c r="R280" s="148"/>
      <c r="S280" s="148"/>
      <c r="T280" s="148"/>
      <c r="U280" s="148"/>
      <c r="V280" s="148"/>
      <c r="W280" s="148"/>
      <c r="X280" s="148"/>
      <c r="Y280" s="148"/>
      <c r="Z280" s="148"/>
      <c r="AA280" s="148"/>
      <c r="AB280" s="148"/>
      <c r="AC280" s="148"/>
    </row>
    <row r="281" spans="1:29">
      <c r="A281" s="149">
        <v>45895</v>
      </c>
      <c r="B281" s="147" t="s">
        <v>115</v>
      </c>
      <c r="C281" s="147">
        <v>4</v>
      </c>
      <c r="D281" s="147">
        <v>1</v>
      </c>
      <c r="E281" s="147">
        <v>1</v>
      </c>
      <c r="F281" s="147"/>
      <c r="G281" s="147"/>
      <c r="H281" s="147"/>
      <c r="I281" s="147">
        <v>1</v>
      </c>
      <c r="J281" s="147"/>
      <c r="K281" s="147"/>
      <c r="L281" s="147"/>
      <c r="M281" s="147">
        <v>1</v>
      </c>
      <c r="N281" s="147"/>
      <c r="O281" s="147"/>
      <c r="P281" s="147"/>
      <c r="Q281" s="147">
        <v>68</v>
      </c>
      <c r="R281" s="148"/>
      <c r="S281" s="148"/>
      <c r="T281" s="148"/>
      <c r="U281" s="148"/>
      <c r="V281" s="148"/>
      <c r="W281" s="148"/>
      <c r="X281" s="148"/>
      <c r="Y281" s="148"/>
      <c r="Z281" s="148"/>
      <c r="AA281" s="148"/>
      <c r="AB281" s="148"/>
      <c r="AC281" s="148"/>
    </row>
    <row r="282" spans="1:29" hidden="1">
      <c r="A282" s="149">
        <v>45895</v>
      </c>
      <c r="B282" s="147" t="s">
        <v>1774</v>
      </c>
      <c r="C282" s="147">
        <v>2</v>
      </c>
      <c r="D282" s="147">
        <v>1</v>
      </c>
      <c r="E282" s="147"/>
      <c r="F282" s="147"/>
      <c r="G282" s="147"/>
      <c r="H282" s="147"/>
      <c r="I282" s="147">
        <v>1</v>
      </c>
      <c r="J282" s="147"/>
      <c r="K282" s="147"/>
      <c r="L282" s="147"/>
      <c r="M282" s="147"/>
      <c r="N282" s="147"/>
      <c r="O282" s="147"/>
      <c r="P282" s="147"/>
      <c r="Q282" s="147"/>
      <c r="R282" s="148"/>
      <c r="S282" s="148"/>
      <c r="T282" s="148"/>
      <c r="U282" s="148"/>
      <c r="V282" s="148"/>
      <c r="W282" s="148"/>
      <c r="X282" s="148"/>
      <c r="Y282" s="148"/>
      <c r="Z282" s="148"/>
      <c r="AA282" s="148"/>
      <c r="AB282" s="148"/>
      <c r="AC282" s="148"/>
    </row>
    <row r="283" spans="1:29" hidden="1">
      <c r="A283" s="149">
        <v>45895</v>
      </c>
      <c r="B283" s="147" t="s">
        <v>1229</v>
      </c>
      <c r="C283" s="147">
        <v>3</v>
      </c>
      <c r="D283" s="147">
        <v>3</v>
      </c>
      <c r="E283" s="147"/>
      <c r="F283" s="147"/>
      <c r="G283" s="147"/>
      <c r="H283" s="147"/>
      <c r="I283" s="147"/>
      <c r="J283" s="147"/>
      <c r="K283" s="147"/>
      <c r="L283" s="147"/>
      <c r="M283" s="147"/>
      <c r="N283" s="147"/>
      <c r="O283" s="147"/>
      <c r="P283" s="147"/>
      <c r="Q283" s="147">
        <v>18</v>
      </c>
      <c r="R283" s="148"/>
      <c r="S283" s="148"/>
      <c r="T283" s="148"/>
      <c r="U283" s="148"/>
      <c r="V283" s="148"/>
      <c r="W283" s="148"/>
      <c r="X283" s="148"/>
      <c r="Y283" s="148"/>
      <c r="Z283" s="148"/>
      <c r="AA283" s="148"/>
      <c r="AB283" s="148"/>
      <c r="AC283" s="148"/>
    </row>
    <row r="284" spans="1:29" hidden="1">
      <c r="A284" s="149">
        <v>45895</v>
      </c>
      <c r="B284" s="147" t="s">
        <v>61</v>
      </c>
      <c r="C284" s="147">
        <v>2</v>
      </c>
      <c r="D284" s="147">
        <v>1</v>
      </c>
      <c r="E284" s="147"/>
      <c r="F284" s="147"/>
      <c r="G284" s="147"/>
      <c r="H284" s="147"/>
      <c r="I284" s="147"/>
      <c r="J284" s="147"/>
      <c r="K284" s="147"/>
      <c r="L284" s="147"/>
      <c r="M284" s="147">
        <v>1</v>
      </c>
      <c r="N284" s="147"/>
      <c r="O284" s="147"/>
      <c r="P284" s="147"/>
      <c r="Q284" s="147">
        <v>33</v>
      </c>
      <c r="R284" s="148"/>
      <c r="S284" s="148"/>
      <c r="T284" s="148"/>
      <c r="U284" s="148"/>
      <c r="V284" s="148"/>
      <c r="W284" s="148"/>
      <c r="X284" s="148"/>
      <c r="Y284" s="148"/>
      <c r="Z284" s="148"/>
      <c r="AA284" s="148"/>
      <c r="AB284" s="148"/>
      <c r="AC284" s="148"/>
    </row>
    <row r="285" spans="1:29">
      <c r="A285" s="149">
        <v>45896</v>
      </c>
      <c r="B285" s="147" t="s">
        <v>115</v>
      </c>
      <c r="C285" s="147">
        <v>1</v>
      </c>
      <c r="D285" s="147">
        <v>1</v>
      </c>
      <c r="E285" s="147"/>
      <c r="F285" s="147"/>
      <c r="G285" s="147"/>
      <c r="H285" s="147"/>
      <c r="I285" s="147"/>
      <c r="J285" s="147"/>
      <c r="K285" s="147"/>
      <c r="L285" s="147"/>
      <c r="M285" s="147"/>
      <c r="N285" s="147"/>
      <c r="O285" s="147"/>
      <c r="P285" s="147"/>
      <c r="Q285" s="147"/>
      <c r="R285" s="148"/>
      <c r="S285" s="148"/>
      <c r="T285" s="148"/>
      <c r="U285" s="148"/>
      <c r="V285" s="148"/>
      <c r="W285" s="148"/>
      <c r="X285" s="148"/>
      <c r="Y285" s="148"/>
      <c r="Z285" s="148"/>
      <c r="AA285" s="148"/>
      <c r="AB285" s="148"/>
      <c r="AC285" s="148"/>
    </row>
    <row r="286" spans="1:29" hidden="1">
      <c r="A286" s="149">
        <v>45896</v>
      </c>
      <c r="B286" s="147" t="s">
        <v>1774</v>
      </c>
      <c r="C286" s="147">
        <v>1</v>
      </c>
      <c r="D286" s="147">
        <v>1</v>
      </c>
      <c r="E286" s="147"/>
      <c r="F286" s="147"/>
      <c r="G286" s="147"/>
      <c r="H286" s="147"/>
      <c r="I286" s="147"/>
      <c r="J286" s="147"/>
      <c r="K286" s="147"/>
      <c r="L286" s="147"/>
      <c r="M286" s="147"/>
      <c r="N286" s="147"/>
      <c r="O286" s="147"/>
      <c r="P286" s="147"/>
      <c r="Q286" s="147">
        <v>21</v>
      </c>
      <c r="R286" s="148"/>
      <c r="S286" s="148"/>
      <c r="T286" s="148"/>
      <c r="U286" s="148"/>
      <c r="V286" s="148"/>
      <c r="W286" s="148"/>
      <c r="X286" s="148"/>
      <c r="Y286" s="148"/>
      <c r="Z286" s="148"/>
      <c r="AA286" s="148"/>
      <c r="AB286" s="148"/>
      <c r="AC286" s="148"/>
    </row>
    <row r="287" spans="1:29" hidden="1">
      <c r="A287" s="149">
        <v>45896</v>
      </c>
      <c r="B287" s="147" t="s">
        <v>61</v>
      </c>
      <c r="C287" s="147">
        <v>6</v>
      </c>
      <c r="D287" s="147">
        <v>4</v>
      </c>
      <c r="E287" s="147"/>
      <c r="F287" s="147">
        <v>1</v>
      </c>
      <c r="G287" s="147"/>
      <c r="H287" s="147"/>
      <c r="I287" s="147">
        <v>1</v>
      </c>
      <c r="J287" s="147"/>
      <c r="K287" s="147"/>
      <c r="L287" s="147"/>
      <c r="M287" s="147"/>
      <c r="N287" s="147"/>
      <c r="O287" s="147"/>
      <c r="P287" s="147"/>
      <c r="Q287" s="147">
        <v>67</v>
      </c>
      <c r="R287" s="148"/>
      <c r="S287" s="148"/>
      <c r="T287" s="148"/>
      <c r="U287" s="148"/>
      <c r="V287" s="148"/>
      <c r="W287" s="148"/>
      <c r="X287" s="148"/>
      <c r="Y287" s="148"/>
      <c r="Z287" s="148"/>
      <c r="AA287" s="148"/>
      <c r="AB287" s="148"/>
      <c r="AC287" s="148"/>
    </row>
    <row r="288" spans="1:29">
      <c r="A288" s="149">
        <v>45897</v>
      </c>
      <c r="B288" s="147" t="s">
        <v>115</v>
      </c>
      <c r="C288" s="147">
        <v>2</v>
      </c>
      <c r="D288" s="147"/>
      <c r="E288" s="147"/>
      <c r="F288" s="147">
        <v>1</v>
      </c>
      <c r="G288" s="147"/>
      <c r="H288" s="147"/>
      <c r="I288" s="147"/>
      <c r="J288" s="147"/>
      <c r="K288" s="147">
        <v>1</v>
      </c>
      <c r="L288" s="147"/>
      <c r="M288" s="147"/>
      <c r="N288" s="147"/>
      <c r="O288" s="147"/>
      <c r="P288" s="147"/>
      <c r="Q288" s="147">
        <v>5</v>
      </c>
      <c r="R288" s="148"/>
      <c r="S288" s="148"/>
      <c r="T288" s="148"/>
      <c r="U288" s="148"/>
      <c r="V288" s="148"/>
      <c r="W288" s="148"/>
      <c r="X288" s="148"/>
      <c r="Y288" s="148"/>
      <c r="Z288" s="148"/>
      <c r="AA288" s="148"/>
      <c r="AB288" s="148"/>
      <c r="AC288" s="148"/>
    </row>
    <row r="289" spans="1:29" hidden="1">
      <c r="A289" s="149">
        <v>45897</v>
      </c>
      <c r="B289" s="147" t="s">
        <v>61</v>
      </c>
      <c r="C289" s="147">
        <v>7</v>
      </c>
      <c r="D289" s="147">
        <v>4</v>
      </c>
      <c r="E289" s="147"/>
      <c r="F289" s="147"/>
      <c r="G289" s="147">
        <v>1</v>
      </c>
      <c r="H289" s="147">
        <v>1</v>
      </c>
      <c r="I289" s="147"/>
      <c r="J289" s="147">
        <v>1</v>
      </c>
      <c r="K289" s="147"/>
      <c r="L289" s="147"/>
      <c r="M289" s="147"/>
      <c r="N289" s="147"/>
      <c r="O289" s="147"/>
      <c r="P289" s="147"/>
      <c r="Q289" s="147">
        <v>70</v>
      </c>
      <c r="R289" s="148"/>
      <c r="S289" s="148"/>
      <c r="T289" s="148"/>
      <c r="U289" s="148"/>
      <c r="V289" s="148"/>
      <c r="W289" s="148"/>
      <c r="X289" s="148"/>
      <c r="Y289" s="148"/>
      <c r="Z289" s="148"/>
      <c r="AA289" s="148"/>
      <c r="AB289" s="148"/>
      <c r="AC289" s="148"/>
    </row>
    <row r="290" spans="1:29" hidden="1">
      <c r="A290" s="149">
        <v>45897</v>
      </c>
      <c r="B290" s="147" t="s">
        <v>1774</v>
      </c>
      <c r="C290" s="147">
        <v>1</v>
      </c>
      <c r="D290" s="147">
        <v>1</v>
      </c>
      <c r="E290" s="147"/>
      <c r="F290" s="147"/>
      <c r="G290" s="147"/>
      <c r="H290" s="147"/>
      <c r="I290" s="147"/>
      <c r="J290" s="147"/>
      <c r="K290" s="147"/>
      <c r="L290" s="147"/>
      <c r="M290" s="147"/>
      <c r="N290" s="147"/>
      <c r="O290" s="147"/>
      <c r="P290" s="147"/>
      <c r="Q290" s="147">
        <v>27</v>
      </c>
      <c r="R290" s="148"/>
      <c r="S290" s="148"/>
      <c r="T290" s="148"/>
      <c r="U290" s="148"/>
      <c r="V290" s="148"/>
      <c r="W290" s="148"/>
      <c r="X290" s="148"/>
      <c r="Y290" s="148"/>
      <c r="Z290" s="148"/>
      <c r="AA290" s="148"/>
      <c r="AB290" s="148"/>
      <c r="AC290" s="148"/>
    </row>
    <row r="291" spans="1:29" hidden="1">
      <c r="A291" s="149">
        <v>45897</v>
      </c>
      <c r="B291" s="147" t="s">
        <v>1229</v>
      </c>
      <c r="C291" s="147">
        <v>6</v>
      </c>
      <c r="D291" s="147">
        <v>1</v>
      </c>
      <c r="E291" s="147">
        <v>1</v>
      </c>
      <c r="F291" s="147"/>
      <c r="G291" s="147"/>
      <c r="H291" s="147"/>
      <c r="I291" s="147"/>
      <c r="J291" s="147">
        <v>3</v>
      </c>
      <c r="K291" s="147"/>
      <c r="L291" s="147">
        <v>1</v>
      </c>
      <c r="M291" s="147"/>
      <c r="N291" s="147"/>
      <c r="O291" s="147"/>
      <c r="P291" s="147"/>
      <c r="Q291" s="147">
        <v>92</v>
      </c>
      <c r="R291" s="148"/>
      <c r="S291" s="148"/>
      <c r="T291" s="148"/>
      <c r="U291" s="148"/>
      <c r="V291" s="148"/>
      <c r="W291" s="148"/>
      <c r="X291" s="148"/>
      <c r="Y291" s="148"/>
      <c r="Z291" s="148"/>
      <c r="AA291" s="148"/>
      <c r="AB291" s="148"/>
      <c r="AC291" s="148"/>
    </row>
    <row r="292" spans="1:29" hidden="1">
      <c r="A292" s="149">
        <v>45835</v>
      </c>
      <c r="B292" s="147" t="s">
        <v>1229</v>
      </c>
      <c r="C292" s="147">
        <v>3</v>
      </c>
      <c r="D292" s="147">
        <v>1</v>
      </c>
      <c r="E292" s="147">
        <v>1</v>
      </c>
      <c r="F292" s="147"/>
      <c r="G292" s="147"/>
      <c r="H292" s="147"/>
      <c r="I292" s="147"/>
      <c r="J292" s="147">
        <v>1</v>
      </c>
      <c r="K292" s="147"/>
      <c r="L292" s="147"/>
      <c r="M292" s="147"/>
      <c r="N292" s="147"/>
      <c r="O292" s="147"/>
      <c r="P292" s="147"/>
      <c r="Q292" s="147">
        <v>56</v>
      </c>
      <c r="R292" s="148"/>
      <c r="S292" s="148"/>
      <c r="T292" s="148"/>
      <c r="U292" s="148"/>
      <c r="V292" s="148"/>
      <c r="W292" s="148"/>
      <c r="X292" s="148"/>
      <c r="Y292" s="148"/>
      <c r="Z292" s="148"/>
      <c r="AA292" s="148"/>
      <c r="AB292" s="148"/>
      <c r="AC292" s="148"/>
    </row>
    <row r="293" spans="1:29">
      <c r="A293" s="149">
        <v>45898</v>
      </c>
      <c r="B293" s="147" t="s">
        <v>115</v>
      </c>
      <c r="C293" s="147">
        <v>1</v>
      </c>
      <c r="D293" s="147"/>
      <c r="E293" s="147">
        <v>1</v>
      </c>
      <c r="F293" s="147"/>
      <c r="G293" s="147"/>
      <c r="H293" s="147"/>
      <c r="I293" s="147"/>
      <c r="J293" s="147"/>
      <c r="K293" s="147"/>
      <c r="L293" s="147"/>
      <c r="M293" s="147"/>
      <c r="N293" s="147"/>
      <c r="O293" s="147"/>
      <c r="P293" s="147"/>
      <c r="Q293" s="147">
        <v>26</v>
      </c>
      <c r="R293" s="148"/>
      <c r="S293" s="148"/>
      <c r="T293" s="148"/>
      <c r="U293" s="148"/>
      <c r="V293" s="148"/>
      <c r="W293" s="148"/>
      <c r="X293" s="148"/>
      <c r="Y293" s="148"/>
      <c r="Z293" s="148"/>
      <c r="AA293" s="148"/>
      <c r="AB293" s="148"/>
      <c r="AC293" s="148"/>
    </row>
    <row r="294" spans="1:29" hidden="1">
      <c r="A294" s="149">
        <v>45898</v>
      </c>
      <c r="B294" s="147" t="s">
        <v>1229</v>
      </c>
      <c r="C294" s="147">
        <v>2</v>
      </c>
      <c r="D294" s="147">
        <v>1</v>
      </c>
      <c r="E294" s="147"/>
      <c r="F294" s="147">
        <v>1</v>
      </c>
      <c r="G294" s="147"/>
      <c r="H294" s="147"/>
      <c r="I294" s="147"/>
      <c r="J294" s="147"/>
      <c r="K294" s="147"/>
      <c r="L294" s="147"/>
      <c r="M294" s="147"/>
      <c r="N294" s="147"/>
      <c r="O294" s="147"/>
      <c r="P294" s="147"/>
      <c r="Q294" s="147">
        <v>122</v>
      </c>
      <c r="R294" s="148"/>
      <c r="S294" s="148"/>
      <c r="T294" s="148"/>
      <c r="U294" s="148"/>
      <c r="V294" s="148"/>
      <c r="W294" s="148"/>
      <c r="X294" s="148"/>
      <c r="Y294" s="148"/>
      <c r="Z294" s="148"/>
      <c r="AA294" s="148"/>
      <c r="AB294" s="148"/>
      <c r="AC294" s="148"/>
    </row>
    <row r="295" spans="1:29" hidden="1">
      <c r="A295" s="149">
        <v>45898</v>
      </c>
      <c r="B295" s="147" t="s">
        <v>61</v>
      </c>
      <c r="C295" s="147">
        <v>4</v>
      </c>
      <c r="D295" s="147">
        <v>2</v>
      </c>
      <c r="E295" s="147">
        <v>1</v>
      </c>
      <c r="F295" s="147"/>
      <c r="G295" s="147"/>
      <c r="H295" s="147"/>
      <c r="I295" s="147"/>
      <c r="J295" s="147"/>
      <c r="K295" s="147"/>
      <c r="L295" s="147"/>
      <c r="M295" s="147">
        <v>1</v>
      </c>
      <c r="N295" s="147"/>
      <c r="O295" s="147"/>
      <c r="P295" s="147"/>
      <c r="Q295" s="147">
        <v>41</v>
      </c>
      <c r="R295" s="148"/>
      <c r="S295" s="148"/>
      <c r="T295" s="148"/>
      <c r="U295" s="148"/>
      <c r="V295" s="148"/>
      <c r="W295" s="148"/>
      <c r="X295" s="148"/>
      <c r="Y295" s="148"/>
      <c r="Z295" s="148"/>
      <c r="AA295" s="148"/>
      <c r="AB295" s="148"/>
      <c r="AC295" s="148"/>
    </row>
    <row r="296" spans="1:29" hidden="1">
      <c r="A296" s="149">
        <v>45898</v>
      </c>
      <c r="B296" s="147" t="s">
        <v>1774</v>
      </c>
      <c r="C296" s="147">
        <v>2</v>
      </c>
      <c r="D296" s="147"/>
      <c r="E296" s="147">
        <v>1</v>
      </c>
      <c r="F296" s="147"/>
      <c r="G296" s="147"/>
      <c r="H296" s="147"/>
      <c r="I296" s="147"/>
      <c r="J296" s="147">
        <v>1</v>
      </c>
      <c r="K296" s="147"/>
      <c r="L296" s="147"/>
      <c r="M296" s="147"/>
      <c r="N296" s="147"/>
      <c r="O296" s="147"/>
      <c r="P296" s="147"/>
      <c r="Q296" s="147">
        <v>6</v>
      </c>
      <c r="R296" s="148"/>
      <c r="S296" s="148"/>
      <c r="T296" s="148"/>
      <c r="U296" s="148"/>
      <c r="V296" s="148"/>
      <c r="W296" s="148"/>
      <c r="X296" s="148"/>
      <c r="Y296" s="148"/>
      <c r="Z296" s="148"/>
      <c r="AA296" s="148"/>
      <c r="AB296" s="148"/>
      <c r="AC296" s="148"/>
    </row>
    <row r="297" spans="1:29">
      <c r="A297" s="149">
        <v>45899</v>
      </c>
      <c r="B297" s="147" t="s">
        <v>115</v>
      </c>
      <c r="C297" s="147">
        <v>2</v>
      </c>
      <c r="D297" s="147"/>
      <c r="E297" s="147"/>
      <c r="F297" s="147"/>
      <c r="G297" s="147"/>
      <c r="H297" s="147"/>
      <c r="I297" s="147"/>
      <c r="J297" s="147">
        <v>2</v>
      </c>
      <c r="K297" s="147"/>
      <c r="L297" s="147"/>
      <c r="M297" s="147"/>
      <c r="N297" s="147"/>
      <c r="O297" s="147"/>
      <c r="P297" s="147"/>
      <c r="Q297" s="147">
        <v>0</v>
      </c>
      <c r="R297" s="148"/>
      <c r="S297" s="148"/>
      <c r="T297" s="148"/>
      <c r="U297" s="148"/>
      <c r="V297" s="148"/>
      <c r="W297" s="148"/>
      <c r="X297" s="148"/>
      <c r="Y297" s="148"/>
      <c r="Z297" s="148"/>
      <c r="AA297" s="148"/>
      <c r="AB297" s="148"/>
      <c r="AC297" s="148"/>
    </row>
    <row r="298" spans="1:29" hidden="1">
      <c r="A298" s="149">
        <v>45899</v>
      </c>
      <c r="B298" s="147" t="s">
        <v>61</v>
      </c>
      <c r="C298" s="147">
        <v>4</v>
      </c>
      <c r="D298" s="147">
        <v>2</v>
      </c>
      <c r="E298" s="147"/>
      <c r="F298" s="147"/>
      <c r="G298" s="147"/>
      <c r="H298" s="147"/>
      <c r="I298" s="147"/>
      <c r="J298" s="147">
        <v>2</v>
      </c>
      <c r="K298" s="147"/>
      <c r="L298" s="147"/>
      <c r="M298" s="147"/>
      <c r="N298" s="147"/>
      <c r="O298" s="147"/>
      <c r="P298" s="147"/>
      <c r="Q298" s="147">
        <v>18</v>
      </c>
      <c r="R298" s="148"/>
      <c r="S298" s="148"/>
      <c r="T298" s="148"/>
      <c r="U298" s="148"/>
      <c r="V298" s="148"/>
      <c r="W298" s="148"/>
      <c r="X298" s="148"/>
      <c r="Y298" s="148"/>
      <c r="Z298" s="148"/>
      <c r="AA298" s="148"/>
      <c r="AB298" s="148"/>
      <c r="AC298" s="148"/>
    </row>
    <row r="299" spans="1:29" hidden="1">
      <c r="A299" s="149">
        <v>45899</v>
      </c>
      <c r="B299" s="147" t="s">
        <v>1229</v>
      </c>
      <c r="C299" s="147">
        <v>1</v>
      </c>
      <c r="D299" s="147">
        <v>1</v>
      </c>
      <c r="E299" s="147"/>
      <c r="F299" s="147"/>
      <c r="G299" s="147"/>
      <c r="H299" s="147"/>
      <c r="I299" s="147"/>
      <c r="J299" s="147"/>
      <c r="K299" s="147"/>
      <c r="L299" s="147"/>
      <c r="M299" s="147"/>
      <c r="N299" s="147"/>
      <c r="O299" s="147"/>
      <c r="P299" s="147"/>
      <c r="Q299" s="147">
        <v>35</v>
      </c>
      <c r="R299" s="148"/>
      <c r="S299" s="148"/>
      <c r="T299" s="148"/>
      <c r="U299" s="148"/>
      <c r="V299" s="148"/>
      <c r="W299" s="148"/>
      <c r="X299" s="148"/>
      <c r="Y299" s="148"/>
      <c r="Z299" s="148"/>
      <c r="AA299" s="148"/>
      <c r="AB299" s="148"/>
      <c r="AC299" s="148"/>
    </row>
    <row r="300" spans="1:29" hidden="1">
      <c r="A300" s="149">
        <v>45899</v>
      </c>
      <c r="B300" s="147" t="s">
        <v>1774</v>
      </c>
      <c r="C300" s="147">
        <v>1</v>
      </c>
      <c r="D300" s="147"/>
      <c r="E300" s="147"/>
      <c r="F300" s="147"/>
      <c r="G300" s="147"/>
      <c r="H300" s="147"/>
      <c r="I300" s="147"/>
      <c r="J300" s="147">
        <v>1</v>
      </c>
      <c r="K300" s="147"/>
      <c r="L300" s="147"/>
      <c r="M300" s="147"/>
      <c r="N300" s="147"/>
      <c r="O300" s="147"/>
      <c r="P300" s="147"/>
      <c r="Q300" s="147">
        <v>4</v>
      </c>
      <c r="R300" s="148"/>
      <c r="S300" s="148"/>
      <c r="T300" s="148"/>
      <c r="U300" s="148"/>
      <c r="V300" s="148"/>
      <c r="W300" s="148"/>
      <c r="X300" s="148"/>
      <c r="Y300" s="148"/>
      <c r="Z300" s="148"/>
      <c r="AA300" s="148"/>
      <c r="AB300" s="148"/>
      <c r="AC300" s="148"/>
    </row>
    <row r="301" spans="1:29" hidden="1">
      <c r="A301" s="149">
        <v>45900</v>
      </c>
      <c r="B301" s="147" t="s">
        <v>61</v>
      </c>
      <c r="C301" s="147">
        <v>3</v>
      </c>
      <c r="D301" s="147">
        <v>1</v>
      </c>
      <c r="E301" s="147"/>
      <c r="F301" s="147"/>
      <c r="G301" s="147"/>
      <c r="H301" s="147">
        <v>1</v>
      </c>
      <c r="I301" s="147"/>
      <c r="J301" s="147">
        <v>1</v>
      </c>
      <c r="K301" s="147"/>
      <c r="L301" s="147"/>
      <c r="M301" s="147"/>
      <c r="N301" s="147"/>
      <c r="O301" s="147"/>
      <c r="P301" s="147"/>
      <c r="Q301" s="147"/>
      <c r="R301" s="148"/>
      <c r="S301" s="148"/>
      <c r="T301" s="148"/>
      <c r="U301" s="148"/>
      <c r="V301" s="148"/>
      <c r="W301" s="148"/>
      <c r="X301" s="148"/>
      <c r="Y301" s="148"/>
      <c r="Z301" s="148"/>
      <c r="AA301" s="148"/>
      <c r="AB301" s="148"/>
      <c r="AC301" s="148"/>
    </row>
    <row r="302" spans="1:29">
      <c r="A302" s="149">
        <v>45900</v>
      </c>
      <c r="B302" s="147" t="s">
        <v>115</v>
      </c>
      <c r="C302" s="147">
        <v>1</v>
      </c>
      <c r="D302" s="147"/>
      <c r="E302" s="147">
        <v>1</v>
      </c>
      <c r="F302" s="147"/>
      <c r="G302" s="147"/>
      <c r="H302" s="147"/>
      <c r="I302" s="147"/>
      <c r="J302" s="147">
        <v>2</v>
      </c>
      <c r="K302" s="147"/>
      <c r="L302" s="147"/>
      <c r="M302" s="147"/>
      <c r="N302" s="147"/>
      <c r="O302" s="147"/>
      <c r="P302" s="147"/>
      <c r="Q302" s="147">
        <v>0</v>
      </c>
      <c r="R302" s="148"/>
      <c r="S302" s="148"/>
      <c r="T302" s="148"/>
      <c r="U302" s="148"/>
      <c r="V302" s="148"/>
      <c r="W302" s="148"/>
      <c r="X302" s="148"/>
      <c r="Y302" s="148"/>
      <c r="Z302" s="148"/>
      <c r="AA302" s="148"/>
      <c r="AB302" s="148"/>
      <c r="AC302" s="148"/>
    </row>
    <row r="303" spans="1:29">
      <c r="A303" s="149">
        <v>45900</v>
      </c>
      <c r="B303" s="147" t="s">
        <v>115</v>
      </c>
      <c r="C303" s="147">
        <v>1</v>
      </c>
      <c r="D303" s="147"/>
      <c r="E303" s="147">
        <v>1</v>
      </c>
      <c r="F303" s="147"/>
      <c r="G303" s="147"/>
      <c r="H303" s="147"/>
      <c r="I303" s="147"/>
      <c r="J303" s="147"/>
      <c r="K303" s="147"/>
      <c r="L303" s="147"/>
      <c r="M303" s="147"/>
      <c r="N303" s="147"/>
      <c r="O303" s="147"/>
      <c r="P303" s="147"/>
      <c r="Q303" s="147">
        <v>0</v>
      </c>
      <c r="R303" s="148"/>
      <c r="S303" s="148"/>
      <c r="T303" s="148"/>
      <c r="U303" s="148"/>
      <c r="V303" s="148"/>
      <c r="W303" s="148"/>
      <c r="X303" s="148"/>
      <c r="Y303" s="148"/>
      <c r="Z303" s="148"/>
      <c r="AA303" s="148"/>
      <c r="AB303" s="148"/>
      <c r="AC303" s="148"/>
    </row>
    <row r="304" spans="1:29" hidden="1">
      <c r="A304" s="149">
        <v>45900</v>
      </c>
      <c r="B304" s="147" t="s">
        <v>1774</v>
      </c>
      <c r="C304" s="147">
        <v>1</v>
      </c>
      <c r="D304" s="147">
        <v>1</v>
      </c>
      <c r="E304" s="147"/>
      <c r="F304" s="147"/>
      <c r="G304" s="147"/>
      <c r="H304" s="147"/>
      <c r="I304" s="147"/>
      <c r="J304" s="147"/>
      <c r="K304" s="147"/>
      <c r="L304" s="147"/>
      <c r="M304" s="147"/>
      <c r="N304" s="147"/>
      <c r="O304" s="147"/>
      <c r="P304" s="147"/>
      <c r="Q304" s="147"/>
      <c r="R304" s="148"/>
      <c r="S304" s="148"/>
      <c r="T304" s="148"/>
      <c r="U304" s="148"/>
      <c r="V304" s="148"/>
      <c r="W304" s="148"/>
      <c r="X304" s="148"/>
      <c r="Y304" s="148"/>
      <c r="Z304" s="148"/>
      <c r="AA304" s="148"/>
      <c r="AB304" s="148"/>
      <c r="AC304" s="148"/>
    </row>
    <row r="305" spans="1:29" hidden="1">
      <c r="A305" s="149">
        <v>45900</v>
      </c>
      <c r="B305" s="147" t="s">
        <v>1229</v>
      </c>
      <c r="C305" s="147">
        <v>1</v>
      </c>
      <c r="D305" s="147">
        <v>1</v>
      </c>
      <c r="E305" s="147"/>
      <c r="F305" s="147"/>
      <c r="G305" s="147"/>
      <c r="H305" s="147"/>
      <c r="I305" s="147"/>
      <c r="J305" s="147"/>
      <c r="K305" s="147"/>
      <c r="L305" s="147"/>
      <c r="M305" s="147"/>
      <c r="N305" s="147"/>
      <c r="O305" s="147"/>
      <c r="P305" s="147"/>
      <c r="Q305" s="147">
        <v>35</v>
      </c>
      <c r="R305" s="148"/>
      <c r="S305" s="148"/>
      <c r="T305" s="148"/>
      <c r="U305" s="148"/>
      <c r="V305" s="148"/>
      <c r="W305" s="148"/>
      <c r="X305" s="148"/>
      <c r="Y305" s="148"/>
      <c r="Z305" s="148"/>
      <c r="AA305" s="148"/>
      <c r="AB305" s="148"/>
      <c r="AC305" s="148"/>
    </row>
    <row r="306" spans="1:29">
      <c r="A306" s="149">
        <v>45900</v>
      </c>
      <c r="B306" s="147" t="s">
        <v>1229</v>
      </c>
      <c r="C306" s="147"/>
      <c r="D306" s="147">
        <v>1</v>
      </c>
      <c r="E306" s="147"/>
      <c r="F306" s="147"/>
      <c r="G306" s="147"/>
      <c r="H306" s="147"/>
      <c r="I306" s="147"/>
      <c r="J306" s="147"/>
      <c r="K306" s="147"/>
      <c r="L306" s="147"/>
      <c r="M306" s="147"/>
      <c r="N306" s="147"/>
      <c r="O306" s="147"/>
      <c r="P306" s="147"/>
      <c r="Q306" s="147"/>
      <c r="R306" s="148"/>
      <c r="S306" s="148"/>
      <c r="T306" s="148"/>
      <c r="U306" s="148"/>
      <c r="V306" s="148"/>
      <c r="W306" s="148"/>
      <c r="X306" s="148"/>
      <c r="Y306" s="148"/>
      <c r="Z306" s="148"/>
      <c r="AA306" s="148"/>
      <c r="AB306" s="148"/>
      <c r="AC306" s="148"/>
    </row>
    <row r="307" spans="1:29">
      <c r="A307" s="149">
        <v>45901</v>
      </c>
      <c r="B307" s="147" t="s">
        <v>115</v>
      </c>
      <c r="C307" s="147">
        <v>3</v>
      </c>
      <c r="D307" s="147">
        <v>1</v>
      </c>
      <c r="E307" s="147"/>
      <c r="F307" s="147"/>
      <c r="G307" s="147"/>
      <c r="H307" s="147"/>
      <c r="I307" s="147">
        <v>1</v>
      </c>
      <c r="J307" s="147">
        <v>1</v>
      </c>
      <c r="K307" s="147"/>
      <c r="L307" s="147"/>
      <c r="M307" s="147"/>
      <c r="N307" s="147"/>
      <c r="O307" s="147"/>
      <c r="P307" s="147"/>
      <c r="Q307" s="147">
        <v>48</v>
      </c>
      <c r="R307" s="148"/>
      <c r="S307" s="148"/>
      <c r="T307" s="148"/>
      <c r="U307" s="148"/>
      <c r="V307" s="148"/>
      <c r="W307" s="148"/>
      <c r="X307" s="148"/>
      <c r="Y307" s="148"/>
      <c r="Z307" s="148"/>
      <c r="AA307" s="148"/>
      <c r="AB307" s="148"/>
      <c r="AC307" s="148"/>
    </row>
    <row r="308" spans="1:29">
      <c r="A308" s="149">
        <v>45901</v>
      </c>
      <c r="B308" s="147" t="s">
        <v>1774</v>
      </c>
      <c r="C308" s="147">
        <v>3</v>
      </c>
      <c r="D308" s="147">
        <v>3</v>
      </c>
      <c r="E308" s="147"/>
      <c r="F308" s="147"/>
      <c r="G308" s="147"/>
      <c r="H308" s="147"/>
      <c r="I308" s="147"/>
      <c r="J308" s="147"/>
      <c r="K308" s="147"/>
      <c r="L308" s="147"/>
      <c r="M308" s="147"/>
      <c r="N308" s="147"/>
      <c r="O308" s="147"/>
      <c r="P308" s="147"/>
      <c r="Q308" s="147">
        <v>65</v>
      </c>
      <c r="R308" s="148"/>
      <c r="S308" s="148"/>
      <c r="T308" s="148"/>
      <c r="U308" s="148"/>
      <c r="V308" s="148"/>
      <c r="W308" s="148"/>
      <c r="X308" s="148"/>
      <c r="Y308" s="148"/>
      <c r="Z308" s="148"/>
      <c r="AA308" s="148"/>
      <c r="AB308" s="148"/>
      <c r="AC308" s="148"/>
    </row>
    <row r="309" spans="1:29">
      <c r="A309" s="149">
        <v>45901</v>
      </c>
      <c r="B309" s="147" t="s">
        <v>61</v>
      </c>
      <c r="C309" s="147">
        <v>6</v>
      </c>
      <c r="D309" s="147">
        <v>1</v>
      </c>
      <c r="E309" s="147"/>
      <c r="F309" s="147"/>
      <c r="G309" s="147">
        <v>1</v>
      </c>
      <c r="H309" s="147"/>
      <c r="I309" s="147">
        <v>1</v>
      </c>
      <c r="J309" s="147">
        <v>1</v>
      </c>
      <c r="K309" s="147"/>
      <c r="L309" s="147"/>
      <c r="M309" s="147">
        <v>2</v>
      </c>
      <c r="N309" s="147"/>
      <c r="O309" s="147"/>
      <c r="P309" s="147"/>
      <c r="Q309" s="147">
        <v>15</v>
      </c>
      <c r="R309" s="148"/>
      <c r="S309" s="148"/>
      <c r="T309" s="148"/>
      <c r="U309" s="148"/>
      <c r="V309" s="148"/>
      <c r="W309" s="148"/>
      <c r="X309" s="148"/>
      <c r="Y309" s="148"/>
      <c r="Z309" s="148"/>
      <c r="AA309" s="148"/>
      <c r="AB309" s="148"/>
      <c r="AC309" s="148"/>
    </row>
    <row r="310" spans="1:29">
      <c r="A310" s="149">
        <v>45901</v>
      </c>
      <c r="B310" s="147" t="s">
        <v>1229</v>
      </c>
      <c r="C310" s="147">
        <v>2</v>
      </c>
      <c r="D310" s="147"/>
      <c r="E310" s="147"/>
      <c r="F310" s="147"/>
      <c r="G310" s="147"/>
      <c r="H310" s="147"/>
      <c r="I310" s="147"/>
      <c r="J310" s="147">
        <v>2</v>
      </c>
      <c r="K310" s="147"/>
      <c r="L310" s="147"/>
      <c r="M310" s="147"/>
      <c r="N310" s="147"/>
      <c r="O310" s="147"/>
      <c r="P310" s="147"/>
      <c r="Q310" s="147">
        <v>19</v>
      </c>
      <c r="R310" s="148"/>
      <c r="S310" s="148"/>
      <c r="T310" s="148"/>
      <c r="U310" s="148"/>
      <c r="V310" s="148"/>
      <c r="W310" s="148"/>
      <c r="X310" s="148"/>
      <c r="Y310" s="148"/>
      <c r="Z310" s="148"/>
      <c r="AA310" s="148"/>
      <c r="AB310" s="148"/>
      <c r="AC310" s="148"/>
    </row>
    <row r="311" spans="1:29">
      <c r="A311" s="149">
        <v>45901</v>
      </c>
      <c r="B311" s="147" t="s">
        <v>1229</v>
      </c>
      <c r="C311" s="147">
        <v>2</v>
      </c>
      <c r="D311" s="147"/>
      <c r="E311" s="147"/>
      <c r="F311" s="147"/>
      <c r="G311" s="147"/>
      <c r="H311" s="147"/>
      <c r="I311" s="147">
        <v>2</v>
      </c>
      <c r="J311" s="147"/>
      <c r="K311" s="147"/>
      <c r="L311" s="147"/>
      <c r="M311" s="147"/>
      <c r="N311" s="147"/>
      <c r="O311" s="147"/>
      <c r="P311" s="147"/>
      <c r="Q311" s="147">
        <v>19</v>
      </c>
      <c r="R311" s="148"/>
      <c r="S311" s="148"/>
      <c r="T311" s="148"/>
      <c r="U311" s="148"/>
      <c r="V311" s="148"/>
      <c r="W311" s="148"/>
      <c r="X311" s="148"/>
      <c r="Y311" s="148"/>
      <c r="Z311" s="148"/>
      <c r="AA311" s="148"/>
      <c r="AB311" s="148"/>
      <c r="AC311" s="148"/>
    </row>
    <row r="312" spans="1:29">
      <c r="A312" s="149">
        <v>45902</v>
      </c>
      <c r="B312" s="147" t="s">
        <v>1229</v>
      </c>
      <c r="C312" s="147">
        <v>9</v>
      </c>
      <c r="D312" s="147">
        <v>7</v>
      </c>
      <c r="E312" s="147">
        <v>1</v>
      </c>
      <c r="F312" s="147"/>
      <c r="G312" s="147"/>
      <c r="H312" s="147"/>
      <c r="I312" s="147">
        <v>1</v>
      </c>
      <c r="J312" s="147"/>
      <c r="K312" s="147"/>
      <c r="L312" s="147"/>
      <c r="M312" s="147"/>
      <c r="N312" s="147"/>
      <c r="O312" s="147"/>
      <c r="P312" s="147"/>
      <c r="Q312" s="147">
        <v>95</v>
      </c>
      <c r="R312" s="148"/>
      <c r="S312" s="148"/>
      <c r="T312" s="148"/>
      <c r="U312" s="148"/>
      <c r="V312" s="148"/>
      <c r="W312" s="148"/>
      <c r="X312" s="148"/>
      <c r="Y312" s="148"/>
      <c r="Z312" s="148"/>
      <c r="AA312" s="148"/>
      <c r="AB312" s="148"/>
      <c r="AC312" s="148"/>
    </row>
    <row r="313" spans="1:29">
      <c r="A313" s="149">
        <v>45902</v>
      </c>
      <c r="B313" s="147" t="s">
        <v>115</v>
      </c>
      <c r="C313" s="147"/>
      <c r="D313" s="147"/>
      <c r="E313" s="147"/>
      <c r="F313" s="147"/>
      <c r="G313" s="147"/>
      <c r="H313" s="147"/>
      <c r="I313" s="147"/>
      <c r="J313" s="147"/>
      <c r="K313" s="147"/>
      <c r="L313" s="147"/>
      <c r="M313" s="147"/>
      <c r="N313" s="147"/>
      <c r="O313" s="147"/>
      <c r="P313" s="147"/>
      <c r="Q313" s="147">
        <v>5</v>
      </c>
      <c r="R313" s="148"/>
      <c r="S313" s="148"/>
      <c r="T313" s="148"/>
      <c r="U313" s="148"/>
      <c r="V313" s="148"/>
      <c r="W313" s="148"/>
      <c r="X313" s="148"/>
      <c r="Y313" s="148"/>
      <c r="Z313" s="148"/>
      <c r="AA313" s="148"/>
      <c r="AB313" s="148"/>
      <c r="AC313" s="148"/>
    </row>
    <row r="314" spans="1:29">
      <c r="A314" s="149">
        <v>45902</v>
      </c>
      <c r="B314" s="147" t="s">
        <v>1774</v>
      </c>
      <c r="C314" s="147">
        <v>1</v>
      </c>
      <c r="D314" s="147"/>
      <c r="E314" s="147"/>
      <c r="F314" s="147">
        <v>1</v>
      </c>
      <c r="G314" s="147"/>
      <c r="H314" s="147"/>
      <c r="I314" s="147"/>
      <c r="J314" s="147"/>
      <c r="K314" s="147"/>
      <c r="L314" s="147"/>
      <c r="M314" s="147"/>
      <c r="N314" s="147"/>
      <c r="O314" s="147"/>
      <c r="P314" s="147"/>
      <c r="Q314" s="147">
        <v>66</v>
      </c>
      <c r="R314" s="148"/>
      <c r="S314" s="148"/>
      <c r="T314" s="148"/>
      <c r="U314" s="148"/>
      <c r="V314" s="148"/>
      <c r="W314" s="148"/>
      <c r="X314" s="148"/>
      <c r="Y314" s="148"/>
      <c r="Z314" s="148"/>
      <c r="AA314" s="148"/>
      <c r="AB314" s="148"/>
      <c r="AC314" s="148"/>
    </row>
    <row r="315" spans="1:29">
      <c r="A315" s="149">
        <v>45902</v>
      </c>
      <c r="B315" s="147" t="s">
        <v>61</v>
      </c>
      <c r="C315" s="147">
        <v>8</v>
      </c>
      <c r="D315" s="147">
        <v>5</v>
      </c>
      <c r="E315" s="147"/>
      <c r="F315" s="147"/>
      <c r="G315" s="147"/>
      <c r="H315" s="147"/>
      <c r="I315" s="147">
        <v>2</v>
      </c>
      <c r="J315" s="147">
        <v>1</v>
      </c>
      <c r="K315" s="147"/>
      <c r="L315" s="147"/>
      <c r="M315" s="147"/>
      <c r="N315" s="147"/>
      <c r="O315" s="147"/>
      <c r="P315" s="147"/>
      <c r="Q315" s="147">
        <v>128</v>
      </c>
      <c r="R315" s="148"/>
      <c r="S315" s="148"/>
      <c r="T315" s="148"/>
      <c r="U315" s="148"/>
      <c r="V315" s="148"/>
      <c r="W315" s="148"/>
      <c r="X315" s="148"/>
      <c r="Y315" s="148"/>
      <c r="Z315" s="148"/>
      <c r="AA315" s="148"/>
      <c r="AB315" s="148"/>
      <c r="AC315" s="148"/>
    </row>
    <row r="316" spans="1:29">
      <c r="A316" s="149">
        <v>45903</v>
      </c>
      <c r="B316" s="147" t="s">
        <v>115</v>
      </c>
      <c r="C316" s="147" t="s">
        <v>12842</v>
      </c>
      <c r="D316" s="147"/>
      <c r="E316" s="147"/>
      <c r="F316" s="147"/>
      <c r="G316" s="147"/>
      <c r="H316" s="147"/>
      <c r="I316" s="147"/>
      <c r="J316" s="147"/>
      <c r="K316" s="147"/>
      <c r="L316" s="147"/>
      <c r="M316" s="147"/>
      <c r="N316" s="147"/>
      <c r="O316" s="147"/>
      <c r="P316" s="147"/>
      <c r="Q316" s="147">
        <v>22</v>
      </c>
      <c r="R316" s="148"/>
      <c r="S316" s="148"/>
      <c r="T316" s="148"/>
      <c r="U316" s="148"/>
      <c r="V316" s="148"/>
      <c r="W316" s="148"/>
      <c r="X316" s="148"/>
      <c r="Y316" s="148"/>
      <c r="Z316" s="148"/>
      <c r="AA316" s="148"/>
      <c r="AB316" s="148"/>
      <c r="AC316" s="148"/>
    </row>
    <row r="317" spans="1:29">
      <c r="A317" s="149">
        <v>45903</v>
      </c>
      <c r="B317" s="147" t="s">
        <v>1774</v>
      </c>
      <c r="C317" s="147">
        <v>1</v>
      </c>
      <c r="D317" s="147">
        <v>1</v>
      </c>
      <c r="E317" s="147"/>
      <c r="F317" s="147"/>
      <c r="G317" s="147"/>
      <c r="H317" s="147"/>
      <c r="I317" s="147"/>
      <c r="J317" s="147"/>
      <c r="K317" s="147"/>
      <c r="L317" s="147"/>
      <c r="M317" s="147"/>
      <c r="N317" s="147"/>
      <c r="O317" s="147"/>
      <c r="P317" s="147"/>
      <c r="Q317" s="147">
        <v>40</v>
      </c>
      <c r="R317" s="148"/>
      <c r="S317" s="148"/>
      <c r="T317" s="148"/>
      <c r="U317" s="148"/>
      <c r="V317" s="148"/>
      <c r="W317" s="148"/>
      <c r="X317" s="148"/>
      <c r="Y317" s="148"/>
      <c r="Z317" s="148"/>
      <c r="AA317" s="148"/>
      <c r="AB317" s="148"/>
      <c r="AC317" s="148"/>
    </row>
    <row r="318" spans="1:29">
      <c r="A318" s="149">
        <v>45903</v>
      </c>
      <c r="B318" s="147" t="s">
        <v>61</v>
      </c>
      <c r="C318" s="147">
        <v>7</v>
      </c>
      <c r="D318" s="147">
        <v>2</v>
      </c>
      <c r="E318" s="147"/>
      <c r="F318" s="147">
        <v>1</v>
      </c>
      <c r="G318" s="147"/>
      <c r="H318" s="147">
        <v>2</v>
      </c>
      <c r="I318" s="147">
        <v>1</v>
      </c>
      <c r="J318" s="147">
        <v>1</v>
      </c>
      <c r="K318" s="147"/>
      <c r="L318" s="147"/>
      <c r="M318" s="147"/>
      <c r="N318" s="147"/>
      <c r="O318" s="147"/>
      <c r="P318" s="147"/>
      <c r="Q318" s="147">
        <v>98</v>
      </c>
      <c r="R318" s="148"/>
      <c r="S318" s="148"/>
      <c r="T318" s="148"/>
      <c r="U318" s="148"/>
      <c r="V318" s="148"/>
      <c r="W318" s="148"/>
      <c r="X318" s="148"/>
      <c r="Y318" s="148"/>
      <c r="Z318" s="148"/>
      <c r="AA318" s="148"/>
      <c r="AB318" s="148"/>
      <c r="AC318" s="148"/>
    </row>
    <row r="319" spans="1:29">
      <c r="A319" s="149">
        <v>45903</v>
      </c>
      <c r="B319" s="147" t="s">
        <v>1229</v>
      </c>
      <c r="C319" s="147">
        <v>5</v>
      </c>
      <c r="D319" s="147">
        <v>3</v>
      </c>
      <c r="E319" s="147"/>
      <c r="F319" s="147">
        <v>1</v>
      </c>
      <c r="G319" s="147"/>
      <c r="H319" s="147"/>
      <c r="I319" s="147"/>
      <c r="J319" s="147"/>
      <c r="K319" s="147">
        <v>1</v>
      </c>
      <c r="L319" s="147"/>
      <c r="M319" s="147"/>
      <c r="N319" s="147"/>
      <c r="O319" s="147"/>
      <c r="P319" s="147"/>
      <c r="Q319" s="147">
        <v>88</v>
      </c>
      <c r="R319" s="148"/>
      <c r="S319" s="148"/>
      <c r="T319" s="148"/>
      <c r="U319" s="148"/>
      <c r="V319" s="148"/>
      <c r="W319" s="148"/>
      <c r="X319" s="148"/>
      <c r="Y319" s="148"/>
      <c r="Z319" s="148"/>
      <c r="AA319" s="148"/>
      <c r="AB319" s="148"/>
      <c r="AC319" s="148"/>
    </row>
    <row r="320" spans="1:29">
      <c r="A320" s="149">
        <v>45904</v>
      </c>
      <c r="B320" s="147" t="s">
        <v>61</v>
      </c>
      <c r="C320" s="147">
        <v>4</v>
      </c>
      <c r="D320" s="147">
        <v>4</v>
      </c>
      <c r="E320" s="147"/>
      <c r="F320" s="147"/>
      <c r="G320" s="147"/>
      <c r="H320" s="147"/>
      <c r="I320" s="147"/>
      <c r="J320" s="147"/>
      <c r="K320" s="147"/>
      <c r="L320" s="147"/>
      <c r="M320" s="147"/>
      <c r="N320" s="147"/>
      <c r="O320" s="147"/>
      <c r="P320" s="147"/>
      <c r="Q320" s="147">
        <v>51</v>
      </c>
      <c r="R320" s="148"/>
      <c r="S320" s="148"/>
      <c r="T320" s="148"/>
      <c r="U320" s="148"/>
      <c r="V320" s="148"/>
      <c r="W320" s="148"/>
      <c r="X320" s="148"/>
      <c r="Y320" s="148"/>
      <c r="Z320" s="148"/>
      <c r="AA320" s="148"/>
      <c r="AB320" s="148"/>
      <c r="AC320" s="148"/>
    </row>
    <row r="321" spans="1:29">
      <c r="A321" s="149">
        <v>45904</v>
      </c>
      <c r="B321" s="147" t="s">
        <v>1774</v>
      </c>
      <c r="C321" s="147">
        <v>1</v>
      </c>
      <c r="D321" s="147">
        <v>1</v>
      </c>
      <c r="E321" s="147"/>
      <c r="F321" s="147"/>
      <c r="G321" s="147"/>
      <c r="H321" s="147"/>
      <c r="I321" s="147"/>
      <c r="J321" s="147"/>
      <c r="K321" s="147"/>
      <c r="L321" s="147"/>
      <c r="M321" s="147"/>
      <c r="N321" s="147"/>
      <c r="O321" s="147"/>
      <c r="P321" s="147"/>
      <c r="Q321" s="147">
        <v>4</v>
      </c>
      <c r="R321" s="148"/>
      <c r="S321" s="148"/>
      <c r="T321" s="148"/>
      <c r="U321" s="148"/>
      <c r="V321" s="148"/>
      <c r="W321" s="148"/>
      <c r="X321" s="148"/>
      <c r="Y321" s="148"/>
      <c r="Z321" s="148"/>
      <c r="AA321" s="148"/>
      <c r="AB321" s="148"/>
      <c r="AC321" s="148"/>
    </row>
    <row r="322" spans="1:29">
      <c r="A322" s="149">
        <v>45904</v>
      </c>
      <c r="B322" s="147" t="s">
        <v>115</v>
      </c>
      <c r="C322" s="147">
        <v>2</v>
      </c>
      <c r="D322" s="147">
        <v>1</v>
      </c>
      <c r="E322" s="147">
        <v>1</v>
      </c>
      <c r="F322" s="147"/>
      <c r="G322" s="147"/>
      <c r="H322" s="147"/>
      <c r="I322" s="147"/>
      <c r="J322" s="147"/>
      <c r="K322" s="147"/>
      <c r="L322" s="147"/>
      <c r="M322" s="147"/>
      <c r="N322" s="147"/>
      <c r="O322" s="147"/>
      <c r="P322" s="147"/>
      <c r="Q322" s="147">
        <v>10</v>
      </c>
      <c r="R322" s="148"/>
      <c r="S322" s="148"/>
      <c r="T322" s="148"/>
      <c r="U322" s="148"/>
      <c r="V322" s="148"/>
      <c r="W322" s="148"/>
      <c r="X322" s="148"/>
      <c r="Y322" s="148"/>
      <c r="Z322" s="148"/>
      <c r="AA322" s="148"/>
      <c r="AB322" s="148"/>
      <c r="AC322" s="148"/>
    </row>
    <row r="323" spans="1:29">
      <c r="A323" s="149">
        <v>45904</v>
      </c>
      <c r="B323" s="147" t="s">
        <v>1229</v>
      </c>
      <c r="C323" s="147">
        <v>4</v>
      </c>
      <c r="D323" s="147">
        <v>2</v>
      </c>
      <c r="E323" s="147">
        <v>1</v>
      </c>
      <c r="F323" s="147">
        <v>1</v>
      </c>
      <c r="G323" s="147"/>
      <c r="H323" s="147"/>
      <c r="I323" s="147"/>
      <c r="J323" s="147"/>
      <c r="K323" s="147"/>
      <c r="L323" s="147"/>
      <c r="M323" s="147"/>
      <c r="N323" s="147"/>
      <c r="O323" s="147"/>
      <c r="P323" s="147"/>
      <c r="Q323" s="147">
        <v>66</v>
      </c>
      <c r="R323" s="148"/>
      <c r="S323" s="148"/>
      <c r="T323" s="148"/>
      <c r="U323" s="148"/>
      <c r="V323" s="148"/>
      <c r="W323" s="148"/>
      <c r="X323" s="148"/>
      <c r="Y323" s="148"/>
      <c r="Z323" s="148"/>
      <c r="AA323" s="148"/>
      <c r="AB323" s="148"/>
      <c r="AC323" s="148"/>
    </row>
    <row r="324" spans="1:29">
      <c r="A324" s="149">
        <v>45905</v>
      </c>
      <c r="B324" s="147" t="s">
        <v>115</v>
      </c>
      <c r="C324" s="147">
        <v>1</v>
      </c>
      <c r="D324" s="147">
        <v>1</v>
      </c>
      <c r="E324" s="147"/>
      <c r="F324" s="147"/>
      <c r="G324" s="147"/>
      <c r="H324" s="147"/>
      <c r="I324" s="147"/>
      <c r="J324" s="147"/>
      <c r="K324" s="147"/>
      <c r="L324" s="147"/>
      <c r="M324" s="147"/>
      <c r="N324" s="147"/>
      <c r="O324" s="147"/>
      <c r="P324" s="147"/>
      <c r="Q324" s="147">
        <v>19</v>
      </c>
      <c r="R324" s="148"/>
      <c r="S324" s="148"/>
      <c r="T324" s="148"/>
      <c r="U324" s="148"/>
      <c r="V324" s="148"/>
      <c r="W324" s="148"/>
      <c r="X324" s="148"/>
      <c r="Y324" s="148"/>
      <c r="Z324" s="148"/>
      <c r="AA324" s="148"/>
      <c r="AB324" s="148"/>
      <c r="AC324" s="148"/>
    </row>
    <row r="325" spans="1:29">
      <c r="A325" s="149">
        <v>45905</v>
      </c>
      <c r="B325" s="147" t="s">
        <v>61</v>
      </c>
      <c r="C325" s="147">
        <v>5</v>
      </c>
      <c r="D325" s="147">
        <v>1</v>
      </c>
      <c r="E325" s="147">
        <v>1</v>
      </c>
      <c r="F325" s="147"/>
      <c r="G325" s="147"/>
      <c r="H325" s="147"/>
      <c r="I325" s="147">
        <v>2</v>
      </c>
      <c r="J325" s="147"/>
      <c r="K325" s="147">
        <v>1</v>
      </c>
      <c r="L325" s="147"/>
      <c r="M325" s="147"/>
      <c r="N325" s="147"/>
      <c r="O325" s="147"/>
      <c r="P325" s="147"/>
      <c r="Q325" s="147">
        <v>91</v>
      </c>
      <c r="R325" s="148"/>
      <c r="S325" s="148"/>
      <c r="T325" s="148"/>
      <c r="U325" s="148"/>
      <c r="V325" s="148"/>
      <c r="W325" s="148"/>
      <c r="X325" s="148"/>
      <c r="Y325" s="148"/>
      <c r="Z325" s="148"/>
      <c r="AA325" s="148"/>
      <c r="AB325" s="148"/>
      <c r="AC325" s="148"/>
    </row>
    <row r="326" spans="1:29">
      <c r="A326" s="149">
        <v>45905</v>
      </c>
      <c r="B326" s="147" t="s">
        <v>1229</v>
      </c>
      <c r="C326" s="147"/>
      <c r="D326" s="147"/>
      <c r="E326" s="147"/>
      <c r="F326" s="147"/>
      <c r="G326" s="147"/>
      <c r="H326" s="147"/>
      <c r="I326" s="147"/>
      <c r="J326" s="147"/>
      <c r="K326" s="147"/>
      <c r="L326" s="147"/>
      <c r="M326" s="147"/>
      <c r="N326" s="147"/>
      <c r="O326" s="147"/>
      <c r="P326" s="147"/>
      <c r="Q326" s="147">
        <v>101</v>
      </c>
      <c r="R326" s="148"/>
      <c r="S326" s="148"/>
      <c r="T326" s="148"/>
      <c r="U326" s="148"/>
      <c r="V326" s="148"/>
      <c r="W326" s="148"/>
      <c r="X326" s="148"/>
      <c r="Y326" s="148"/>
      <c r="Z326" s="148"/>
      <c r="AA326" s="148"/>
      <c r="AB326" s="148"/>
      <c r="AC326" s="148"/>
    </row>
    <row r="327" spans="1:29">
      <c r="A327" s="149">
        <v>45905</v>
      </c>
      <c r="B327" s="147" t="s">
        <v>1774</v>
      </c>
      <c r="C327" s="147"/>
      <c r="D327" s="147"/>
      <c r="E327" s="147"/>
      <c r="F327" s="147"/>
      <c r="G327" s="147"/>
      <c r="H327" s="147"/>
      <c r="I327" s="147"/>
      <c r="J327" s="147"/>
      <c r="K327" s="147"/>
      <c r="L327" s="147"/>
      <c r="M327" s="147"/>
      <c r="N327" s="147"/>
      <c r="O327" s="147"/>
      <c r="P327" s="147"/>
      <c r="Q327" s="147">
        <v>1</v>
      </c>
      <c r="R327" s="148"/>
      <c r="S327" s="148"/>
      <c r="T327" s="148"/>
      <c r="U327" s="148"/>
      <c r="V327" s="148"/>
      <c r="W327" s="148"/>
      <c r="X327" s="148"/>
      <c r="Y327" s="148"/>
      <c r="Z327" s="148"/>
      <c r="AA327" s="148"/>
      <c r="AB327" s="148"/>
      <c r="AC327" s="148"/>
    </row>
    <row r="328" spans="1:29">
      <c r="A328" s="149">
        <v>45905</v>
      </c>
      <c r="B328" s="147" t="s">
        <v>115</v>
      </c>
      <c r="C328" s="147">
        <v>1</v>
      </c>
      <c r="D328" s="147">
        <v>1</v>
      </c>
      <c r="E328" s="147"/>
      <c r="F328" s="147"/>
      <c r="G328" s="147"/>
      <c r="H328" s="147"/>
      <c r="I328" s="147"/>
      <c r="J328" s="147"/>
      <c r="K328" s="147"/>
      <c r="L328" s="147"/>
      <c r="M328" s="147"/>
      <c r="N328" s="147"/>
      <c r="O328" s="147"/>
      <c r="P328" s="147"/>
      <c r="Q328" s="147">
        <v>19</v>
      </c>
      <c r="R328" s="148"/>
      <c r="S328" s="148"/>
      <c r="T328" s="148"/>
      <c r="U328" s="148"/>
      <c r="V328" s="148"/>
      <c r="W328" s="148"/>
      <c r="X328" s="148"/>
      <c r="Y328" s="148"/>
      <c r="Z328" s="148"/>
      <c r="AA328" s="148"/>
      <c r="AB328" s="148"/>
      <c r="AC328" s="148"/>
    </row>
    <row r="329" spans="1:29">
      <c r="A329" s="149">
        <v>45906</v>
      </c>
      <c r="B329" s="147" t="s">
        <v>115</v>
      </c>
      <c r="C329" s="147">
        <v>0</v>
      </c>
      <c r="D329" s="147">
        <v>1</v>
      </c>
      <c r="E329" s="147"/>
      <c r="F329" s="147"/>
      <c r="G329" s="147"/>
      <c r="H329" s="147"/>
      <c r="I329" s="147"/>
      <c r="J329" s="147"/>
      <c r="K329" s="147"/>
      <c r="L329" s="147"/>
      <c r="M329" s="147"/>
      <c r="N329" s="147"/>
      <c r="O329" s="147"/>
      <c r="P329" s="147"/>
      <c r="Q329" s="147">
        <v>14</v>
      </c>
      <c r="R329" s="148"/>
      <c r="S329" s="148"/>
      <c r="T329" s="148"/>
      <c r="U329" s="148"/>
      <c r="V329" s="148"/>
      <c r="W329" s="148"/>
      <c r="X329" s="148"/>
      <c r="Y329" s="148"/>
      <c r="Z329" s="148"/>
      <c r="AA329" s="148"/>
      <c r="AB329" s="148"/>
      <c r="AC329" s="148"/>
    </row>
    <row r="330" spans="1:29">
      <c r="A330" s="149">
        <v>45906</v>
      </c>
      <c r="B330" s="147" t="s">
        <v>1229</v>
      </c>
      <c r="C330" s="147">
        <v>3</v>
      </c>
      <c r="D330" s="147">
        <v>1</v>
      </c>
      <c r="E330" s="147"/>
      <c r="F330" s="147">
        <v>1</v>
      </c>
      <c r="G330" s="147"/>
      <c r="H330" s="147"/>
      <c r="I330" s="147">
        <v>1</v>
      </c>
      <c r="J330" s="147"/>
      <c r="K330" s="147"/>
      <c r="L330" s="147"/>
      <c r="M330" s="147"/>
      <c r="N330" s="147"/>
      <c r="O330" s="147"/>
      <c r="P330" s="147"/>
      <c r="Q330" s="147">
        <v>66</v>
      </c>
      <c r="R330" s="148"/>
      <c r="S330" s="148"/>
      <c r="T330" s="148"/>
      <c r="U330" s="148"/>
      <c r="V330" s="148"/>
      <c r="W330" s="148"/>
      <c r="X330" s="148"/>
      <c r="Y330" s="148"/>
      <c r="Z330" s="148"/>
      <c r="AA330" s="148"/>
      <c r="AB330" s="148"/>
      <c r="AC330" s="148"/>
    </row>
    <row r="331" spans="1:29">
      <c r="A331" s="149">
        <v>45906</v>
      </c>
      <c r="B331" s="147" t="s">
        <v>1774</v>
      </c>
      <c r="C331" s="147">
        <v>2</v>
      </c>
      <c r="D331" s="147"/>
      <c r="E331" s="147"/>
      <c r="F331" s="147"/>
      <c r="G331" s="147"/>
      <c r="H331" s="147"/>
      <c r="I331" s="147">
        <v>2</v>
      </c>
      <c r="J331" s="147"/>
      <c r="K331" s="147"/>
      <c r="L331" s="147"/>
      <c r="M331" s="147"/>
      <c r="N331" s="147"/>
      <c r="O331" s="147"/>
      <c r="P331" s="147"/>
      <c r="Q331" s="147">
        <v>1</v>
      </c>
      <c r="R331" s="148"/>
      <c r="S331" s="148"/>
      <c r="T331" s="148"/>
      <c r="U331" s="148"/>
      <c r="V331" s="148"/>
      <c r="W331" s="148"/>
      <c r="X331" s="148"/>
      <c r="Y331" s="148"/>
      <c r="Z331" s="148"/>
      <c r="AA331" s="148"/>
      <c r="AB331" s="148"/>
      <c r="AC331" s="148"/>
    </row>
    <row r="332" spans="1:29">
      <c r="A332" s="149">
        <v>45906</v>
      </c>
      <c r="B332" s="147" t="s">
        <v>243</v>
      </c>
      <c r="C332" s="147">
        <v>1</v>
      </c>
      <c r="D332" s="147">
        <v>1</v>
      </c>
      <c r="E332" s="147"/>
      <c r="F332" s="147"/>
      <c r="G332" s="147"/>
      <c r="H332" s="147"/>
      <c r="I332" s="147"/>
      <c r="J332" s="147"/>
      <c r="K332" s="147"/>
      <c r="L332" s="147"/>
      <c r="M332" s="147"/>
      <c r="N332" s="147"/>
      <c r="O332" s="147"/>
      <c r="P332" s="147"/>
      <c r="Q332" s="147">
        <v>3</v>
      </c>
      <c r="R332" s="148"/>
      <c r="S332" s="148"/>
      <c r="T332" s="148"/>
      <c r="U332" s="148"/>
      <c r="V332" s="148"/>
      <c r="W332" s="148"/>
      <c r="X332" s="148"/>
      <c r="Y332" s="148"/>
      <c r="Z332" s="148"/>
      <c r="AA332" s="148"/>
      <c r="AB332" s="148"/>
      <c r="AC332" s="148"/>
    </row>
    <row r="333" spans="1:29">
      <c r="A333" s="149">
        <v>45906</v>
      </c>
      <c r="B333" s="147" t="s">
        <v>61</v>
      </c>
      <c r="C333" s="147">
        <v>3</v>
      </c>
      <c r="D333" s="147">
        <v>1</v>
      </c>
      <c r="E333" s="147"/>
      <c r="F333" s="147"/>
      <c r="G333" s="147"/>
      <c r="H333" s="147"/>
      <c r="I333" s="147">
        <v>1</v>
      </c>
      <c r="J333" s="147">
        <v>1</v>
      </c>
      <c r="K333" s="147"/>
      <c r="L333" s="147"/>
      <c r="M333" s="147"/>
      <c r="N333" s="147"/>
      <c r="O333" s="147"/>
      <c r="P333" s="147"/>
      <c r="Q333" s="147">
        <v>50</v>
      </c>
      <c r="R333" s="148"/>
      <c r="S333" s="148"/>
      <c r="T333" s="148"/>
      <c r="U333" s="148"/>
      <c r="V333" s="148"/>
      <c r="W333" s="148"/>
      <c r="X333" s="148"/>
      <c r="Y333" s="148"/>
      <c r="Z333" s="148"/>
      <c r="AA333" s="148"/>
      <c r="AB333" s="148"/>
      <c r="AC333" s="148"/>
    </row>
    <row r="334" spans="1:29">
      <c r="A334" s="149">
        <v>45907</v>
      </c>
      <c r="B334" s="147" t="s">
        <v>61</v>
      </c>
      <c r="C334" s="147">
        <v>2</v>
      </c>
      <c r="D334" s="147">
        <v>1</v>
      </c>
      <c r="E334" s="147"/>
      <c r="F334" s="147"/>
      <c r="G334" s="147"/>
      <c r="H334" s="147"/>
      <c r="I334" s="147">
        <v>1</v>
      </c>
      <c r="J334" s="147"/>
      <c r="K334" s="147"/>
      <c r="L334" s="147"/>
      <c r="M334" s="147"/>
      <c r="N334" s="147"/>
      <c r="O334" s="147"/>
      <c r="P334" s="147"/>
      <c r="Q334" s="147"/>
      <c r="R334" s="148"/>
      <c r="S334" s="148"/>
      <c r="T334" s="148"/>
      <c r="U334" s="148"/>
      <c r="V334" s="148"/>
      <c r="W334" s="148"/>
      <c r="X334" s="148"/>
      <c r="Y334" s="148"/>
      <c r="Z334" s="148"/>
      <c r="AA334" s="148"/>
      <c r="AB334" s="148"/>
      <c r="AC334" s="148"/>
    </row>
    <row r="335" spans="1:29">
      <c r="A335" s="149">
        <v>45907</v>
      </c>
      <c r="B335" s="147" t="s">
        <v>1229</v>
      </c>
      <c r="C335" s="147">
        <v>3</v>
      </c>
      <c r="D335" s="147"/>
      <c r="E335" s="147"/>
      <c r="F335" s="147">
        <v>2</v>
      </c>
      <c r="G335" s="147"/>
      <c r="H335" s="147">
        <v>1</v>
      </c>
      <c r="I335" s="147"/>
      <c r="J335" s="147"/>
      <c r="K335" s="147"/>
      <c r="L335" s="147"/>
      <c r="M335" s="147"/>
      <c r="N335" s="147"/>
      <c r="O335" s="147"/>
      <c r="P335" s="147"/>
      <c r="Q335" s="147"/>
      <c r="R335" s="148"/>
      <c r="S335" s="148"/>
      <c r="T335" s="148"/>
      <c r="U335" s="148"/>
      <c r="V335" s="148"/>
      <c r="W335" s="148"/>
      <c r="X335" s="148"/>
      <c r="Y335" s="148"/>
      <c r="Z335" s="148"/>
      <c r="AA335" s="148"/>
      <c r="AB335" s="148"/>
      <c r="AC335" s="148"/>
    </row>
    <row r="336" spans="1:29">
      <c r="A336" s="149">
        <v>45907</v>
      </c>
      <c r="B336" s="147" t="s">
        <v>1229</v>
      </c>
      <c r="C336" s="147">
        <v>3</v>
      </c>
      <c r="D336" s="147"/>
      <c r="E336" s="147"/>
      <c r="F336" s="147">
        <v>2</v>
      </c>
      <c r="G336" s="147">
        <v>1</v>
      </c>
      <c r="H336" s="147"/>
      <c r="I336" s="147"/>
      <c r="J336" s="147"/>
      <c r="K336" s="147"/>
      <c r="L336" s="147"/>
      <c r="M336" s="147"/>
      <c r="N336" s="147"/>
      <c r="O336" s="147"/>
      <c r="P336" s="147"/>
      <c r="Q336" s="147"/>
      <c r="R336" s="148"/>
      <c r="S336" s="148"/>
      <c r="T336" s="148"/>
      <c r="U336" s="148"/>
      <c r="V336" s="148"/>
      <c r="W336" s="148"/>
      <c r="X336" s="148"/>
      <c r="Y336" s="148"/>
      <c r="Z336" s="148"/>
      <c r="AA336" s="148"/>
      <c r="AB336" s="148"/>
      <c r="AC336" s="148"/>
    </row>
    <row r="337" spans="1:29">
      <c r="A337" s="149">
        <v>45907</v>
      </c>
      <c r="B337" s="147" t="s">
        <v>243</v>
      </c>
      <c r="C337" s="147"/>
      <c r="D337" s="147"/>
      <c r="E337" s="147"/>
      <c r="F337" s="147"/>
      <c r="G337" s="147"/>
      <c r="H337" s="147"/>
      <c r="I337" s="147"/>
      <c r="J337" s="147"/>
      <c r="K337" s="147"/>
      <c r="L337" s="147"/>
      <c r="M337" s="147"/>
      <c r="N337" s="147"/>
      <c r="O337" s="147"/>
      <c r="P337" s="147"/>
      <c r="Q337" s="147"/>
      <c r="R337" s="148"/>
      <c r="S337" s="148"/>
      <c r="T337" s="148"/>
      <c r="U337" s="148"/>
      <c r="V337" s="148"/>
      <c r="W337" s="148"/>
      <c r="X337" s="148"/>
      <c r="Y337" s="148"/>
      <c r="Z337" s="148"/>
      <c r="AA337" s="148"/>
      <c r="AB337" s="148"/>
      <c r="AC337" s="148"/>
    </row>
    <row r="338" spans="1:29">
      <c r="A338" s="149">
        <v>45907</v>
      </c>
      <c r="B338" s="147" t="s">
        <v>115</v>
      </c>
      <c r="C338" s="147"/>
      <c r="D338" s="147"/>
      <c r="E338" s="147"/>
      <c r="F338" s="147"/>
      <c r="G338" s="147"/>
      <c r="H338" s="147"/>
      <c r="I338" s="147"/>
      <c r="J338" s="147"/>
      <c r="K338" s="147"/>
      <c r="L338" s="147"/>
      <c r="M338" s="147"/>
      <c r="N338" s="147"/>
      <c r="O338" s="147"/>
      <c r="P338" s="147"/>
      <c r="Q338" s="147"/>
      <c r="R338" s="148"/>
      <c r="S338" s="148"/>
      <c r="T338" s="148"/>
      <c r="U338" s="148"/>
      <c r="V338" s="148"/>
      <c r="W338" s="148"/>
      <c r="X338" s="148"/>
      <c r="Y338" s="148"/>
      <c r="Z338" s="148"/>
      <c r="AA338" s="148"/>
      <c r="AB338" s="148"/>
      <c r="AC338" s="148"/>
    </row>
    <row r="339" spans="1:29">
      <c r="A339" s="149">
        <v>45907</v>
      </c>
      <c r="B339" s="147" t="s">
        <v>1774</v>
      </c>
      <c r="C339" s="147"/>
      <c r="D339" s="147"/>
      <c r="E339" s="147"/>
      <c r="F339" s="147"/>
      <c r="G339" s="147"/>
      <c r="H339" s="147"/>
      <c r="I339" s="147"/>
      <c r="J339" s="147"/>
      <c r="K339" s="147"/>
      <c r="L339" s="147"/>
      <c r="M339" s="147"/>
      <c r="N339" s="147"/>
      <c r="O339" s="147"/>
      <c r="P339" s="147"/>
      <c r="Q339" s="147"/>
      <c r="R339" s="148"/>
      <c r="S339" s="148"/>
      <c r="T339" s="148"/>
      <c r="U339" s="148"/>
      <c r="V339" s="148"/>
      <c r="W339" s="148"/>
      <c r="X339" s="148"/>
      <c r="Y339" s="148"/>
      <c r="Z339" s="148"/>
      <c r="AA339" s="148"/>
      <c r="AB339" s="148"/>
      <c r="AC339" s="148"/>
    </row>
    <row r="340" spans="1:29">
      <c r="A340" s="149">
        <v>45908</v>
      </c>
      <c r="B340" s="147" t="s">
        <v>115</v>
      </c>
      <c r="C340" s="147"/>
      <c r="D340" s="147"/>
      <c r="E340" s="147"/>
      <c r="F340" s="147"/>
      <c r="G340" s="147"/>
      <c r="H340" s="147"/>
      <c r="I340" s="147"/>
      <c r="J340" s="147"/>
      <c r="K340" s="147"/>
      <c r="L340" s="147"/>
      <c r="M340" s="147"/>
      <c r="N340" s="147"/>
      <c r="O340" s="147"/>
      <c r="P340" s="147"/>
      <c r="Q340" s="147">
        <v>5</v>
      </c>
      <c r="R340" s="148"/>
      <c r="S340" s="148"/>
      <c r="T340" s="148"/>
      <c r="U340" s="148"/>
      <c r="V340" s="148"/>
      <c r="W340" s="148"/>
      <c r="X340" s="148"/>
      <c r="Y340" s="148"/>
      <c r="Z340" s="148"/>
      <c r="AA340" s="148"/>
      <c r="AB340" s="148"/>
      <c r="AC340" s="148"/>
    </row>
    <row r="341" spans="1:29">
      <c r="A341" s="149">
        <v>45908</v>
      </c>
      <c r="B341" s="147" t="s">
        <v>1774</v>
      </c>
      <c r="C341" s="147">
        <v>1</v>
      </c>
      <c r="D341" s="147"/>
      <c r="E341" s="147"/>
      <c r="F341" s="147"/>
      <c r="G341" s="147"/>
      <c r="H341" s="147"/>
      <c r="I341" s="147"/>
      <c r="J341" s="147">
        <v>1</v>
      </c>
      <c r="K341" s="147"/>
      <c r="L341" s="147"/>
      <c r="M341" s="147"/>
      <c r="N341" s="147"/>
      <c r="O341" s="147"/>
      <c r="P341" s="147"/>
      <c r="Q341" s="147">
        <v>1</v>
      </c>
      <c r="R341" s="148"/>
      <c r="S341" s="148"/>
      <c r="T341" s="148"/>
      <c r="U341" s="148"/>
      <c r="V341" s="148"/>
      <c r="W341" s="148"/>
      <c r="X341" s="148"/>
      <c r="Y341" s="148"/>
      <c r="Z341" s="148"/>
      <c r="AA341" s="148"/>
      <c r="AB341" s="148"/>
      <c r="AC341" s="148"/>
    </row>
    <row r="342" spans="1:29">
      <c r="A342" s="149">
        <v>45908</v>
      </c>
      <c r="B342" s="147" t="s">
        <v>243</v>
      </c>
      <c r="C342" s="147">
        <v>1</v>
      </c>
      <c r="D342" s="147">
        <v>1</v>
      </c>
      <c r="E342" s="147"/>
      <c r="F342" s="147"/>
      <c r="G342" s="147"/>
      <c r="H342" s="147"/>
      <c r="I342" s="147"/>
      <c r="J342" s="147"/>
      <c r="K342" s="147"/>
      <c r="L342" s="147"/>
      <c r="M342" s="147"/>
      <c r="N342" s="147"/>
      <c r="O342" s="147"/>
      <c r="P342" s="147"/>
      <c r="Q342" s="147">
        <v>45</v>
      </c>
      <c r="R342" s="148"/>
      <c r="S342" s="148"/>
      <c r="T342" s="148"/>
      <c r="U342" s="148"/>
      <c r="V342" s="148"/>
      <c r="W342" s="148"/>
      <c r="X342" s="148"/>
      <c r="Y342" s="148"/>
      <c r="Z342" s="148"/>
      <c r="AA342" s="148"/>
      <c r="AB342" s="148"/>
      <c r="AC342" s="148"/>
    </row>
    <row r="343" spans="1:29">
      <c r="A343" s="149">
        <v>45908</v>
      </c>
      <c r="B343" s="147" t="s">
        <v>61</v>
      </c>
      <c r="C343" s="147">
        <v>5</v>
      </c>
      <c r="D343" s="147">
        <v>3</v>
      </c>
      <c r="E343" s="147"/>
      <c r="F343" s="147"/>
      <c r="G343" s="147"/>
      <c r="H343" s="147"/>
      <c r="I343" s="147"/>
      <c r="J343" s="147">
        <v>1</v>
      </c>
      <c r="K343" s="147"/>
      <c r="L343" s="147"/>
      <c r="M343" s="147">
        <v>1</v>
      </c>
      <c r="N343" s="147"/>
      <c r="O343" s="147"/>
      <c r="P343" s="147"/>
      <c r="Q343" s="147">
        <v>105</v>
      </c>
      <c r="R343" s="148"/>
      <c r="S343" s="148"/>
      <c r="T343" s="148"/>
      <c r="U343" s="148"/>
      <c r="V343" s="148"/>
      <c r="W343" s="148"/>
      <c r="X343" s="148"/>
      <c r="Y343" s="148"/>
      <c r="Z343" s="148"/>
      <c r="AA343" s="148"/>
      <c r="AB343" s="148"/>
      <c r="AC343" s="148"/>
    </row>
    <row r="344" spans="1:29">
      <c r="A344" s="149">
        <v>45908</v>
      </c>
      <c r="B344" s="147" t="s">
        <v>1229</v>
      </c>
      <c r="C344" s="147">
        <v>3</v>
      </c>
      <c r="D344" s="147"/>
      <c r="E344" s="147"/>
      <c r="F344" s="147">
        <v>1</v>
      </c>
      <c r="G344" s="147">
        <v>1</v>
      </c>
      <c r="H344" s="147"/>
      <c r="I344" s="147"/>
      <c r="J344" s="147"/>
      <c r="K344" s="147">
        <v>1</v>
      </c>
      <c r="L344" s="147"/>
      <c r="M344" s="147"/>
      <c r="N344" s="147"/>
      <c r="O344" s="147"/>
      <c r="P344" s="147"/>
      <c r="Q344" s="147">
        <v>120</v>
      </c>
      <c r="R344" s="148"/>
      <c r="S344" s="148"/>
      <c r="T344" s="148"/>
      <c r="U344" s="148"/>
      <c r="V344" s="148"/>
      <c r="W344" s="148"/>
      <c r="X344" s="148"/>
      <c r="Y344" s="148"/>
      <c r="Z344" s="148"/>
      <c r="AA344" s="148"/>
      <c r="AB344" s="148"/>
      <c r="AC344" s="148"/>
    </row>
    <row r="345" spans="1:29">
      <c r="A345" s="149">
        <v>45909</v>
      </c>
      <c r="B345" s="147" t="s">
        <v>1229</v>
      </c>
      <c r="C345" s="147">
        <v>1</v>
      </c>
      <c r="D345" s="147">
        <v>1</v>
      </c>
      <c r="E345" s="147"/>
      <c r="F345" s="147"/>
      <c r="G345" s="147"/>
      <c r="H345" s="147"/>
      <c r="I345" s="147"/>
      <c r="J345" s="147"/>
      <c r="K345" s="147"/>
      <c r="L345" s="147"/>
      <c r="M345" s="147"/>
      <c r="N345" s="147"/>
      <c r="O345" s="147"/>
      <c r="P345" s="147"/>
      <c r="Q345" s="147">
        <v>38</v>
      </c>
      <c r="R345" s="148"/>
      <c r="S345" s="148"/>
      <c r="T345" s="148"/>
      <c r="U345" s="148"/>
      <c r="V345" s="148"/>
      <c r="W345" s="148"/>
      <c r="X345" s="148"/>
      <c r="Y345" s="148"/>
      <c r="Z345" s="148"/>
      <c r="AA345" s="148"/>
      <c r="AB345" s="148"/>
      <c r="AC345" s="148"/>
    </row>
    <row r="346" spans="1:29">
      <c r="A346" s="149">
        <v>45909</v>
      </c>
      <c r="B346" s="147" t="s">
        <v>115</v>
      </c>
      <c r="C346" s="147">
        <v>5</v>
      </c>
      <c r="D346" s="147">
        <v>2</v>
      </c>
      <c r="E346" s="147"/>
      <c r="F346" s="147"/>
      <c r="G346" s="147"/>
      <c r="H346" s="147"/>
      <c r="I346" s="147"/>
      <c r="J346" s="147"/>
      <c r="K346" s="147">
        <v>1</v>
      </c>
      <c r="L346" s="147"/>
      <c r="M346" s="147">
        <v>2</v>
      </c>
      <c r="N346" s="147"/>
      <c r="O346" s="147"/>
      <c r="P346" s="147"/>
      <c r="Q346" s="147">
        <v>15</v>
      </c>
      <c r="R346" s="148"/>
      <c r="S346" s="148"/>
      <c r="T346" s="148"/>
      <c r="U346" s="148"/>
      <c r="V346" s="148"/>
      <c r="W346" s="148"/>
      <c r="X346" s="148"/>
      <c r="Y346" s="148"/>
      <c r="Z346" s="148"/>
      <c r="AA346" s="148"/>
      <c r="AB346" s="148"/>
      <c r="AC346" s="148"/>
    </row>
    <row r="347" spans="1:29">
      <c r="A347" s="149">
        <v>45909</v>
      </c>
      <c r="B347" s="147" t="s">
        <v>61</v>
      </c>
      <c r="C347" s="147">
        <v>3</v>
      </c>
      <c r="D347" s="147"/>
      <c r="E347" s="147"/>
      <c r="F347" s="147"/>
      <c r="G347" s="147"/>
      <c r="H347" s="147"/>
      <c r="I347" s="147">
        <v>3</v>
      </c>
      <c r="J347" s="147"/>
      <c r="K347" s="147"/>
      <c r="L347" s="147"/>
      <c r="M347" s="147"/>
      <c r="N347" s="147"/>
      <c r="O347" s="147"/>
      <c r="P347" s="147"/>
      <c r="Q347" s="147">
        <v>97</v>
      </c>
      <c r="R347" s="148"/>
      <c r="S347" s="148"/>
      <c r="T347" s="148"/>
      <c r="U347" s="148"/>
      <c r="V347" s="148"/>
      <c r="W347" s="148"/>
      <c r="X347" s="148"/>
      <c r="Y347" s="148"/>
      <c r="Z347" s="148"/>
      <c r="AA347" s="148"/>
      <c r="AB347" s="148"/>
      <c r="AC347" s="148"/>
    </row>
    <row r="348" spans="1:29">
      <c r="A348" s="149">
        <v>45909</v>
      </c>
      <c r="B348" s="147" t="s">
        <v>1774</v>
      </c>
      <c r="C348" s="147"/>
      <c r="D348" s="147"/>
      <c r="E348" s="147"/>
      <c r="F348" s="147"/>
      <c r="G348" s="147"/>
      <c r="H348" s="147"/>
      <c r="I348" s="147"/>
      <c r="J348" s="147"/>
      <c r="K348" s="147"/>
      <c r="L348" s="147"/>
      <c r="M348" s="147"/>
      <c r="N348" s="147"/>
      <c r="O348" s="147"/>
      <c r="P348" s="147"/>
      <c r="Q348" s="147">
        <v>2</v>
      </c>
      <c r="R348" s="148"/>
      <c r="S348" s="148"/>
      <c r="T348" s="148"/>
      <c r="U348" s="148"/>
      <c r="V348" s="148"/>
      <c r="W348" s="148"/>
      <c r="X348" s="148"/>
      <c r="Y348" s="148"/>
      <c r="Z348" s="148"/>
      <c r="AA348" s="148"/>
      <c r="AB348" s="148"/>
      <c r="AC348" s="148"/>
    </row>
    <row r="349" spans="1:29">
      <c r="A349" s="149">
        <v>45909</v>
      </c>
      <c r="B349" s="147" t="s">
        <v>243</v>
      </c>
      <c r="C349" s="147">
        <v>0</v>
      </c>
      <c r="D349" s="147"/>
      <c r="E349" s="147"/>
      <c r="F349" s="147"/>
      <c r="G349" s="147"/>
      <c r="H349" s="147"/>
      <c r="I349" s="147"/>
      <c r="J349" s="147"/>
      <c r="K349" s="147"/>
      <c r="L349" s="147"/>
      <c r="M349" s="147"/>
      <c r="N349" s="147"/>
      <c r="O349" s="147"/>
      <c r="P349" s="147"/>
      <c r="Q349" s="147">
        <v>21</v>
      </c>
      <c r="R349" s="148"/>
      <c r="S349" s="148"/>
      <c r="T349" s="148"/>
      <c r="U349" s="148"/>
      <c r="V349" s="148"/>
      <c r="W349" s="148"/>
      <c r="X349" s="148"/>
      <c r="Y349" s="148"/>
      <c r="Z349" s="148"/>
      <c r="AA349" s="148"/>
      <c r="AB349" s="148"/>
      <c r="AC349" s="148"/>
    </row>
    <row r="350" spans="1:29">
      <c r="A350" s="149">
        <v>45910</v>
      </c>
      <c r="B350" s="147" t="s">
        <v>115</v>
      </c>
      <c r="C350" s="147">
        <v>1</v>
      </c>
      <c r="D350" s="147">
        <v>1</v>
      </c>
      <c r="E350" s="147"/>
      <c r="F350" s="147"/>
      <c r="G350" s="147"/>
      <c r="H350" s="147"/>
      <c r="I350" s="147"/>
      <c r="J350" s="147"/>
      <c r="K350" s="147"/>
      <c r="L350" s="147"/>
      <c r="M350" s="147"/>
      <c r="N350" s="147"/>
      <c r="O350" s="147"/>
      <c r="P350" s="147"/>
      <c r="Q350" s="147">
        <v>93</v>
      </c>
      <c r="R350" s="148"/>
      <c r="S350" s="148"/>
      <c r="T350" s="148"/>
      <c r="U350" s="148"/>
      <c r="V350" s="148"/>
      <c r="W350" s="148"/>
      <c r="X350" s="148"/>
      <c r="Y350" s="148"/>
      <c r="Z350" s="148"/>
      <c r="AA350" s="148"/>
      <c r="AB350" s="148"/>
      <c r="AC350" s="148"/>
    </row>
    <row r="351" spans="1:29">
      <c r="A351" s="149">
        <v>45910</v>
      </c>
      <c r="B351" s="147" t="s">
        <v>1229</v>
      </c>
      <c r="C351" s="147">
        <v>3</v>
      </c>
      <c r="D351" s="147">
        <v>3</v>
      </c>
      <c r="E351" s="147"/>
      <c r="F351" s="147"/>
      <c r="G351" s="147"/>
      <c r="H351" s="147"/>
      <c r="I351" s="147"/>
      <c r="J351" s="147"/>
      <c r="K351" s="147"/>
      <c r="L351" s="147"/>
      <c r="M351" s="147"/>
      <c r="N351" s="147"/>
      <c r="O351" s="147"/>
      <c r="P351" s="147"/>
      <c r="Q351" s="147">
        <v>14</v>
      </c>
      <c r="R351" s="148"/>
      <c r="S351" s="148"/>
      <c r="T351" s="148"/>
      <c r="U351" s="148"/>
      <c r="V351" s="148"/>
      <c r="W351" s="148"/>
      <c r="X351" s="148"/>
      <c r="Y351" s="148"/>
      <c r="Z351" s="148"/>
      <c r="AA351" s="148"/>
      <c r="AB351" s="148"/>
      <c r="AC351" s="148"/>
    </row>
    <row r="352" spans="1:29">
      <c r="A352" s="149">
        <v>45910</v>
      </c>
      <c r="B352" s="147" t="s">
        <v>1774</v>
      </c>
      <c r="C352" s="147">
        <v>2</v>
      </c>
      <c r="D352" s="147">
        <v>1</v>
      </c>
      <c r="E352" s="147"/>
      <c r="F352" s="147"/>
      <c r="G352" s="147"/>
      <c r="H352" s="147"/>
      <c r="I352" s="147">
        <v>1</v>
      </c>
      <c r="J352" s="147"/>
      <c r="K352" s="147"/>
      <c r="L352" s="147"/>
      <c r="M352" s="147"/>
      <c r="N352" s="147"/>
      <c r="O352" s="147"/>
      <c r="P352" s="147"/>
      <c r="Q352" s="147">
        <v>3</v>
      </c>
      <c r="R352" s="148"/>
      <c r="S352" s="148"/>
      <c r="T352" s="148"/>
      <c r="U352" s="148"/>
      <c r="V352" s="148"/>
      <c r="W352" s="148"/>
      <c r="X352" s="148"/>
      <c r="Y352" s="148"/>
      <c r="Z352" s="148"/>
      <c r="AA352" s="148"/>
      <c r="AB352" s="148"/>
      <c r="AC352" s="148"/>
    </row>
    <row r="353" spans="1:29">
      <c r="A353" s="149">
        <v>45910</v>
      </c>
      <c r="B353" s="147" t="s">
        <v>61</v>
      </c>
      <c r="C353" s="147">
        <v>7</v>
      </c>
      <c r="D353" s="147">
        <v>3</v>
      </c>
      <c r="E353" s="147">
        <v>3</v>
      </c>
      <c r="F353" s="147">
        <v>1</v>
      </c>
      <c r="G353" s="147"/>
      <c r="H353" s="147"/>
      <c r="I353" s="147"/>
      <c r="J353" s="147"/>
      <c r="K353" s="147"/>
      <c r="L353" s="147"/>
      <c r="M353" s="147"/>
      <c r="N353" s="147"/>
      <c r="O353" s="147"/>
      <c r="P353" s="147"/>
      <c r="Q353" s="147">
        <v>26</v>
      </c>
      <c r="R353" s="148"/>
      <c r="S353" s="148"/>
      <c r="T353" s="148"/>
      <c r="U353" s="148"/>
      <c r="V353" s="148"/>
      <c r="W353" s="148"/>
      <c r="X353" s="148"/>
      <c r="Y353" s="148"/>
      <c r="Z353" s="148"/>
      <c r="AA353" s="148"/>
      <c r="AB353" s="148"/>
      <c r="AC353" s="148"/>
    </row>
    <row r="354" spans="1:29">
      <c r="A354" s="149">
        <v>45910</v>
      </c>
      <c r="B354" s="147" t="s">
        <v>243</v>
      </c>
      <c r="C354" s="147"/>
      <c r="D354" s="147"/>
      <c r="E354" s="147"/>
      <c r="F354" s="147"/>
      <c r="G354" s="147"/>
      <c r="H354" s="147"/>
      <c r="I354" s="147"/>
      <c r="J354" s="147"/>
      <c r="K354" s="147"/>
      <c r="L354" s="147"/>
      <c r="M354" s="147"/>
      <c r="N354" s="147"/>
      <c r="O354" s="147"/>
      <c r="P354" s="147"/>
      <c r="Q354" s="147"/>
      <c r="R354" s="148"/>
      <c r="S354" s="148"/>
      <c r="T354" s="148"/>
      <c r="U354" s="148"/>
      <c r="V354" s="148"/>
      <c r="W354" s="148"/>
      <c r="X354" s="148"/>
      <c r="Y354" s="148"/>
      <c r="Z354" s="148"/>
      <c r="AA354" s="148"/>
      <c r="AB354" s="148"/>
      <c r="AC354" s="148"/>
    </row>
    <row r="355" spans="1:29">
      <c r="A355" s="149">
        <v>45911</v>
      </c>
      <c r="B355" s="147" t="s">
        <v>115</v>
      </c>
      <c r="C355" s="147">
        <v>4</v>
      </c>
      <c r="D355" s="147">
        <v>2</v>
      </c>
      <c r="E355" s="147"/>
      <c r="F355" s="147"/>
      <c r="G355" s="147"/>
      <c r="H355" s="147"/>
      <c r="I355" s="147"/>
      <c r="J355" s="147">
        <v>1</v>
      </c>
      <c r="K355" s="147">
        <v>1</v>
      </c>
      <c r="L355" s="147"/>
      <c r="M355" s="147"/>
      <c r="N355" s="147"/>
      <c r="O355" s="147"/>
      <c r="P355" s="147"/>
      <c r="Q355" s="147">
        <v>26</v>
      </c>
      <c r="R355" s="148"/>
      <c r="S355" s="148"/>
      <c r="T355" s="148"/>
      <c r="U355" s="148"/>
      <c r="V355" s="148"/>
      <c r="W355" s="148"/>
      <c r="X355" s="148"/>
      <c r="Y355" s="148"/>
      <c r="Z355" s="148"/>
      <c r="AA355" s="148"/>
      <c r="AB355" s="148"/>
      <c r="AC355" s="148"/>
    </row>
    <row r="356" spans="1:29">
      <c r="A356" s="149">
        <v>45911</v>
      </c>
      <c r="B356" s="147" t="s">
        <v>1774</v>
      </c>
      <c r="C356" s="147"/>
      <c r="D356" s="147"/>
      <c r="E356" s="147"/>
      <c r="F356" s="147"/>
      <c r="G356" s="147"/>
      <c r="H356" s="147"/>
      <c r="I356" s="147"/>
      <c r="J356" s="147"/>
      <c r="K356" s="147"/>
      <c r="L356" s="147"/>
      <c r="M356" s="147"/>
      <c r="N356" s="147"/>
      <c r="O356" s="147"/>
      <c r="P356" s="147"/>
      <c r="Q356" s="147">
        <v>38</v>
      </c>
      <c r="R356" s="148"/>
      <c r="S356" s="148"/>
      <c r="T356" s="148"/>
      <c r="U356" s="148"/>
      <c r="V356" s="148"/>
      <c r="W356" s="148"/>
      <c r="X356" s="148"/>
      <c r="Y356" s="148"/>
      <c r="Z356" s="148"/>
      <c r="AA356" s="148"/>
      <c r="AB356" s="148"/>
      <c r="AC356" s="148"/>
    </row>
    <row r="357" spans="1:29">
      <c r="A357" s="149">
        <v>45911</v>
      </c>
      <c r="B357" s="147" t="s">
        <v>243</v>
      </c>
      <c r="C357" s="147">
        <v>1</v>
      </c>
      <c r="D357" s="147">
        <v>1</v>
      </c>
      <c r="E357" s="147"/>
      <c r="F357" s="147"/>
      <c r="G357" s="147"/>
      <c r="H357" s="147"/>
      <c r="I357" s="147"/>
      <c r="J357" s="147"/>
      <c r="K357" s="147"/>
      <c r="L357" s="147"/>
      <c r="M357" s="147"/>
      <c r="N357" s="147"/>
      <c r="O357" s="147"/>
      <c r="P357" s="147"/>
      <c r="Q357" s="147"/>
      <c r="R357" s="148"/>
      <c r="S357" s="148"/>
      <c r="T357" s="148"/>
      <c r="U357" s="148"/>
      <c r="V357" s="148"/>
      <c r="W357" s="148"/>
      <c r="X357" s="148"/>
      <c r="Y357" s="148"/>
      <c r="Z357" s="148"/>
      <c r="AA357" s="148"/>
      <c r="AB357" s="148"/>
      <c r="AC357" s="148"/>
    </row>
    <row r="358" spans="1:29">
      <c r="A358" s="149">
        <v>45911</v>
      </c>
      <c r="B358" s="147" t="s">
        <v>1229</v>
      </c>
      <c r="C358" s="147">
        <v>1</v>
      </c>
      <c r="D358" s="147"/>
      <c r="E358" s="147"/>
      <c r="F358" s="147"/>
      <c r="G358" s="147"/>
      <c r="H358" s="147"/>
      <c r="I358" s="147">
        <v>1</v>
      </c>
      <c r="J358" s="147"/>
      <c r="K358" s="147"/>
      <c r="L358" s="147"/>
      <c r="M358" s="147"/>
      <c r="N358" s="147"/>
      <c r="O358" s="147"/>
      <c r="P358" s="147"/>
      <c r="Q358" s="147"/>
      <c r="R358" s="148"/>
      <c r="S358" s="148"/>
      <c r="T358" s="148"/>
      <c r="U358" s="148"/>
      <c r="V358" s="148"/>
      <c r="W358" s="148"/>
      <c r="X358" s="148"/>
      <c r="Y358" s="148"/>
      <c r="Z358" s="148"/>
      <c r="AA358" s="148"/>
      <c r="AB358" s="148"/>
      <c r="AC358" s="148"/>
    </row>
    <row r="359" spans="1:29">
      <c r="A359" s="149">
        <v>45911</v>
      </c>
      <c r="B359" s="147" t="s">
        <v>61</v>
      </c>
      <c r="C359" s="147">
        <v>6</v>
      </c>
      <c r="D359" s="147">
        <v>3</v>
      </c>
      <c r="E359" s="147">
        <v>2</v>
      </c>
      <c r="F359" s="147"/>
      <c r="G359" s="147"/>
      <c r="H359" s="147">
        <v>1</v>
      </c>
      <c r="I359" s="147"/>
      <c r="J359" s="147"/>
      <c r="K359" s="147"/>
      <c r="L359" s="147"/>
      <c r="M359" s="147"/>
      <c r="N359" s="147"/>
      <c r="O359" s="147"/>
      <c r="P359" s="147"/>
      <c r="Q359" s="147">
        <v>41</v>
      </c>
      <c r="R359" s="148"/>
      <c r="S359" s="148"/>
      <c r="T359" s="148"/>
      <c r="U359" s="148"/>
      <c r="V359" s="148"/>
      <c r="W359" s="148"/>
      <c r="X359" s="148"/>
      <c r="Y359" s="148"/>
      <c r="Z359" s="148"/>
      <c r="AA359" s="148"/>
      <c r="AB359" s="148"/>
      <c r="AC359" s="148"/>
    </row>
    <row r="360" spans="1:29">
      <c r="A360" s="149">
        <v>45912</v>
      </c>
      <c r="B360" s="147" t="s">
        <v>115</v>
      </c>
      <c r="C360" s="147">
        <v>3</v>
      </c>
      <c r="D360" s="147">
        <v>2</v>
      </c>
      <c r="E360" s="147"/>
      <c r="F360" s="147"/>
      <c r="G360" s="147"/>
      <c r="H360" s="147"/>
      <c r="I360" s="147">
        <v>1</v>
      </c>
      <c r="J360" s="147"/>
      <c r="K360" s="147"/>
      <c r="L360" s="147"/>
      <c r="M360" s="147"/>
      <c r="N360" s="147"/>
      <c r="O360" s="147"/>
      <c r="P360" s="147"/>
      <c r="Q360" s="147">
        <v>83</v>
      </c>
      <c r="R360" s="148"/>
      <c r="S360" s="148"/>
      <c r="T360" s="148"/>
      <c r="U360" s="148"/>
      <c r="V360" s="148"/>
      <c r="W360" s="148"/>
      <c r="X360" s="148"/>
      <c r="Y360" s="148"/>
      <c r="Z360" s="148"/>
      <c r="AA360" s="148"/>
      <c r="AB360" s="148"/>
      <c r="AC360" s="148"/>
    </row>
    <row r="361" spans="1:29">
      <c r="A361" s="149">
        <v>45912</v>
      </c>
      <c r="B361" s="147" t="s">
        <v>1774</v>
      </c>
      <c r="C361" s="147">
        <v>2</v>
      </c>
      <c r="D361" s="147">
        <v>1</v>
      </c>
      <c r="E361" s="147"/>
      <c r="F361" s="147"/>
      <c r="G361" s="147"/>
      <c r="H361" s="147"/>
      <c r="I361" s="147"/>
      <c r="J361" s="147"/>
      <c r="K361" s="147"/>
      <c r="L361" s="147">
        <v>1</v>
      </c>
      <c r="M361" s="147"/>
      <c r="N361" s="147"/>
      <c r="O361" s="147"/>
      <c r="P361" s="147"/>
      <c r="Q361" s="147">
        <v>5</v>
      </c>
      <c r="R361" s="148"/>
      <c r="S361" s="148"/>
      <c r="T361" s="148"/>
      <c r="U361" s="148"/>
      <c r="V361" s="148"/>
      <c r="W361" s="148"/>
      <c r="X361" s="148"/>
      <c r="Y361" s="148"/>
      <c r="Z361" s="148"/>
      <c r="AA361" s="148"/>
      <c r="AB361" s="148"/>
      <c r="AC361" s="148"/>
    </row>
    <row r="362" spans="1:29">
      <c r="A362" s="149">
        <v>45912</v>
      </c>
      <c r="B362" s="147" t="s">
        <v>61</v>
      </c>
      <c r="C362" s="147">
        <v>6</v>
      </c>
      <c r="D362" s="147">
        <v>3</v>
      </c>
      <c r="E362" s="147"/>
      <c r="F362" s="147">
        <v>1</v>
      </c>
      <c r="G362" s="147"/>
      <c r="H362" s="147"/>
      <c r="I362" s="147">
        <v>1</v>
      </c>
      <c r="J362" s="147">
        <v>2</v>
      </c>
      <c r="K362" s="147"/>
      <c r="L362" s="147"/>
      <c r="M362" s="147"/>
      <c r="N362" s="147"/>
      <c r="O362" s="147"/>
      <c r="P362" s="147"/>
      <c r="Q362" s="147">
        <v>111</v>
      </c>
      <c r="R362" s="148"/>
      <c r="S362" s="148"/>
      <c r="T362" s="148"/>
      <c r="U362" s="148"/>
      <c r="V362" s="148"/>
      <c r="W362" s="148"/>
      <c r="X362" s="148"/>
      <c r="Y362" s="148"/>
      <c r="Z362" s="148"/>
      <c r="AA362" s="148"/>
      <c r="AB362" s="148"/>
      <c r="AC362" s="148"/>
    </row>
    <row r="363" spans="1:29">
      <c r="A363" s="149">
        <v>45912</v>
      </c>
      <c r="B363" s="147" t="s">
        <v>61</v>
      </c>
      <c r="C363" s="147">
        <v>6</v>
      </c>
      <c r="D363" s="147">
        <v>3</v>
      </c>
      <c r="E363" s="147"/>
      <c r="F363" s="147">
        <v>1</v>
      </c>
      <c r="G363" s="147"/>
      <c r="H363" s="147"/>
      <c r="I363" s="147">
        <v>1</v>
      </c>
      <c r="J363" s="147">
        <v>1</v>
      </c>
      <c r="K363" s="147"/>
      <c r="L363" s="147"/>
      <c r="M363" s="147"/>
      <c r="N363" s="147"/>
      <c r="O363" s="147"/>
      <c r="P363" s="147"/>
      <c r="Q363" s="147">
        <v>111</v>
      </c>
      <c r="R363" s="148"/>
      <c r="S363" s="148"/>
      <c r="T363" s="148"/>
      <c r="U363" s="148"/>
      <c r="V363" s="148"/>
      <c r="W363" s="148"/>
      <c r="X363" s="148"/>
      <c r="Y363" s="148"/>
      <c r="Z363" s="148"/>
      <c r="AA363" s="148"/>
      <c r="AB363" s="148"/>
      <c r="AC363" s="148"/>
    </row>
    <row r="364" spans="1:29">
      <c r="A364" s="149">
        <v>45912</v>
      </c>
      <c r="B364" s="147" t="s">
        <v>243</v>
      </c>
      <c r="C364" s="147"/>
      <c r="D364" s="147"/>
      <c r="E364" s="147"/>
      <c r="F364" s="147"/>
      <c r="G364" s="147"/>
      <c r="H364" s="147"/>
      <c r="I364" s="147"/>
      <c r="J364" s="147"/>
      <c r="K364" s="147"/>
      <c r="L364" s="147"/>
      <c r="M364" s="147"/>
      <c r="N364" s="147"/>
      <c r="O364" s="147"/>
      <c r="P364" s="147"/>
      <c r="Q364" s="147">
        <v>3</v>
      </c>
      <c r="R364" s="148"/>
      <c r="S364" s="148"/>
      <c r="T364" s="148"/>
      <c r="U364" s="148"/>
      <c r="V364" s="148"/>
      <c r="W364" s="148"/>
      <c r="X364" s="148"/>
      <c r="Y364" s="148"/>
      <c r="Z364" s="148"/>
      <c r="AA364" s="148"/>
      <c r="AB364" s="148"/>
      <c r="AC364" s="148"/>
    </row>
    <row r="365" spans="1:29">
      <c r="A365" s="149">
        <v>45912</v>
      </c>
      <c r="B365" s="147" t="s">
        <v>1229</v>
      </c>
      <c r="C365" s="147">
        <v>1</v>
      </c>
      <c r="D365" s="147">
        <v>1</v>
      </c>
      <c r="E365" s="147"/>
      <c r="F365" s="147"/>
      <c r="G365" s="147"/>
      <c r="H365" s="147"/>
      <c r="I365" s="147"/>
      <c r="J365" s="147"/>
      <c r="K365" s="147"/>
      <c r="L365" s="147"/>
      <c r="M365" s="147"/>
      <c r="N365" s="147"/>
      <c r="O365" s="147"/>
      <c r="P365" s="147"/>
      <c r="Q365" s="147">
        <v>12</v>
      </c>
      <c r="R365" s="148"/>
      <c r="S365" s="148"/>
      <c r="T365" s="148"/>
      <c r="U365" s="148"/>
      <c r="V365" s="148"/>
      <c r="W365" s="148"/>
      <c r="X365" s="148"/>
      <c r="Y365" s="148"/>
      <c r="Z365" s="148"/>
      <c r="AA365" s="148"/>
      <c r="AB365" s="148"/>
      <c r="AC365" s="148"/>
    </row>
    <row r="366" spans="1:29">
      <c r="A366" s="149">
        <v>45912</v>
      </c>
      <c r="B366" s="147" t="s">
        <v>115</v>
      </c>
      <c r="C366" s="147">
        <v>1</v>
      </c>
      <c r="D366" s="147"/>
      <c r="E366" s="147"/>
      <c r="F366" s="147"/>
      <c r="G366" s="147">
        <v>1</v>
      </c>
      <c r="H366" s="147"/>
      <c r="I366" s="147"/>
      <c r="J366" s="147"/>
      <c r="K366" s="147"/>
      <c r="L366" s="147"/>
      <c r="M366" s="147"/>
      <c r="N366" s="147"/>
      <c r="O366" s="147"/>
      <c r="P366" s="147"/>
      <c r="Q366" s="147">
        <v>4</v>
      </c>
      <c r="R366" s="148"/>
      <c r="S366" s="148"/>
      <c r="T366" s="148"/>
      <c r="U366" s="148"/>
      <c r="V366" s="148"/>
      <c r="W366" s="148"/>
      <c r="X366" s="148"/>
      <c r="Y366" s="148"/>
      <c r="Z366" s="148"/>
      <c r="AA366" s="148"/>
      <c r="AB366" s="148"/>
      <c r="AC366" s="148"/>
    </row>
    <row r="367" spans="1:29">
      <c r="A367" s="149">
        <v>45913</v>
      </c>
      <c r="B367" s="147" t="s">
        <v>1774</v>
      </c>
      <c r="C367" s="147">
        <v>3</v>
      </c>
      <c r="D367" s="147">
        <v>1</v>
      </c>
      <c r="E367" s="147">
        <v>1</v>
      </c>
      <c r="F367" s="147"/>
      <c r="G367" s="147"/>
      <c r="H367" s="147"/>
      <c r="I367" s="147">
        <v>1</v>
      </c>
      <c r="J367" s="147"/>
      <c r="K367" s="147"/>
      <c r="L367" s="147"/>
      <c r="M367" s="147"/>
      <c r="N367" s="147"/>
      <c r="O367" s="147"/>
      <c r="P367" s="147"/>
      <c r="Q367" s="147">
        <v>2</v>
      </c>
      <c r="R367" s="148"/>
      <c r="S367" s="148"/>
      <c r="T367" s="148"/>
      <c r="U367" s="148"/>
      <c r="V367" s="148"/>
      <c r="W367" s="148"/>
      <c r="X367" s="148"/>
      <c r="Y367" s="148"/>
      <c r="Z367" s="148"/>
      <c r="AA367" s="148"/>
      <c r="AB367" s="148"/>
      <c r="AC367" s="148"/>
    </row>
    <row r="368" spans="1:29">
      <c r="A368" s="149">
        <v>45913</v>
      </c>
      <c r="B368" s="147" t="s">
        <v>243</v>
      </c>
      <c r="C368" s="147"/>
      <c r="D368" s="147"/>
      <c r="E368" s="147"/>
      <c r="F368" s="147"/>
      <c r="G368" s="147"/>
      <c r="H368" s="147"/>
      <c r="I368" s="147"/>
      <c r="J368" s="147"/>
      <c r="K368" s="147"/>
      <c r="L368" s="147"/>
      <c r="M368" s="147"/>
      <c r="N368" s="147"/>
      <c r="O368" s="147"/>
      <c r="P368" s="147"/>
      <c r="Q368" s="147"/>
      <c r="R368" s="148"/>
      <c r="S368" s="148"/>
      <c r="T368" s="148"/>
      <c r="U368" s="148"/>
      <c r="V368" s="148"/>
      <c r="W368" s="148"/>
      <c r="X368" s="148"/>
      <c r="Y368" s="148"/>
      <c r="Z368" s="148"/>
      <c r="AA368" s="148"/>
      <c r="AB368" s="148"/>
      <c r="AC368" s="148"/>
    </row>
    <row r="369" spans="1:29">
      <c r="A369" s="149">
        <v>45913</v>
      </c>
      <c r="B369" s="147" t="s">
        <v>61</v>
      </c>
      <c r="C369" s="147">
        <v>4</v>
      </c>
      <c r="D369" s="147">
        <v>3</v>
      </c>
      <c r="E369" s="147"/>
      <c r="F369" s="147"/>
      <c r="G369" s="147"/>
      <c r="H369" s="147"/>
      <c r="I369" s="147">
        <v>1</v>
      </c>
      <c r="J369" s="147"/>
      <c r="K369" s="147"/>
      <c r="L369" s="147"/>
      <c r="M369" s="147"/>
      <c r="N369" s="147"/>
      <c r="O369" s="147"/>
      <c r="P369" s="147"/>
      <c r="Q369" s="147">
        <v>25</v>
      </c>
      <c r="R369" s="148"/>
      <c r="S369" s="148"/>
      <c r="T369" s="148"/>
      <c r="U369" s="148"/>
      <c r="V369" s="148"/>
      <c r="W369" s="148"/>
      <c r="X369" s="148"/>
      <c r="Y369" s="148"/>
      <c r="Z369" s="148"/>
      <c r="AA369" s="148"/>
      <c r="AB369" s="148"/>
      <c r="AC369" s="148"/>
    </row>
    <row r="370" spans="1:29">
      <c r="A370" s="149">
        <v>45913</v>
      </c>
      <c r="B370" s="147" t="s">
        <v>1229</v>
      </c>
      <c r="C370" s="147">
        <v>1</v>
      </c>
      <c r="D370" s="147"/>
      <c r="E370" s="147"/>
      <c r="F370" s="147">
        <v>1</v>
      </c>
      <c r="G370" s="147"/>
      <c r="H370" s="147"/>
      <c r="I370" s="147"/>
      <c r="J370" s="147"/>
      <c r="K370" s="147"/>
      <c r="L370" s="147"/>
      <c r="M370" s="147"/>
      <c r="N370" s="147"/>
      <c r="O370" s="147"/>
      <c r="P370" s="147"/>
      <c r="Q370" s="147"/>
      <c r="R370" s="148"/>
      <c r="S370" s="148"/>
      <c r="T370" s="148"/>
      <c r="U370" s="148"/>
      <c r="V370" s="148"/>
      <c r="W370" s="148"/>
      <c r="X370" s="148"/>
      <c r="Y370" s="148"/>
      <c r="Z370" s="148"/>
      <c r="AA370" s="148"/>
      <c r="AB370" s="148"/>
      <c r="AC370" s="148"/>
    </row>
    <row r="371" spans="1:29">
      <c r="A371" s="149">
        <v>45914</v>
      </c>
      <c r="B371" s="147" t="s">
        <v>115</v>
      </c>
      <c r="C371" s="147">
        <v>1</v>
      </c>
      <c r="D371" s="147">
        <v>1</v>
      </c>
      <c r="E371" s="147"/>
      <c r="F371" s="147"/>
      <c r="G371" s="147"/>
      <c r="H371" s="147"/>
      <c r="I371" s="147"/>
      <c r="J371" s="147"/>
      <c r="K371" s="147"/>
      <c r="L371" s="147"/>
      <c r="M371" s="147"/>
      <c r="N371" s="147"/>
      <c r="O371" s="147"/>
      <c r="P371" s="147"/>
      <c r="Q371" s="147">
        <v>49</v>
      </c>
      <c r="R371" s="148"/>
      <c r="S371" s="148"/>
      <c r="T371" s="148"/>
      <c r="U371" s="148"/>
      <c r="V371" s="148"/>
      <c r="W371" s="148"/>
      <c r="X371" s="148"/>
      <c r="Y371" s="148"/>
      <c r="Z371" s="148"/>
      <c r="AA371" s="148"/>
      <c r="AB371" s="148"/>
      <c r="AC371" s="148"/>
    </row>
    <row r="372" spans="1:29">
      <c r="A372" s="149">
        <v>45914</v>
      </c>
      <c r="B372" s="147" t="s">
        <v>1774</v>
      </c>
      <c r="C372" s="147">
        <v>1</v>
      </c>
      <c r="D372" s="147">
        <v>1</v>
      </c>
      <c r="E372" s="147"/>
      <c r="F372" s="147"/>
      <c r="G372" s="147"/>
      <c r="H372" s="147"/>
      <c r="I372" s="147"/>
      <c r="J372" s="147"/>
      <c r="K372" s="147"/>
      <c r="L372" s="147"/>
      <c r="M372" s="147"/>
      <c r="N372" s="147"/>
      <c r="O372" s="147"/>
      <c r="P372" s="147"/>
      <c r="Q372" s="147">
        <v>13</v>
      </c>
      <c r="R372" s="148"/>
      <c r="S372" s="148"/>
      <c r="T372" s="148"/>
      <c r="U372" s="148"/>
      <c r="V372" s="148"/>
      <c r="W372" s="148"/>
      <c r="X372" s="148"/>
      <c r="Y372" s="148"/>
      <c r="Z372" s="148"/>
      <c r="AA372" s="148"/>
      <c r="AB372" s="148"/>
      <c r="AC372" s="148"/>
    </row>
    <row r="373" spans="1:29">
      <c r="A373" s="149">
        <v>45914</v>
      </c>
      <c r="B373" s="147" t="s">
        <v>243</v>
      </c>
      <c r="C373" s="147"/>
      <c r="D373" s="147"/>
      <c r="E373" s="147"/>
      <c r="F373" s="147"/>
      <c r="G373" s="147"/>
      <c r="H373" s="147"/>
      <c r="I373" s="147"/>
      <c r="J373" s="147"/>
      <c r="K373" s="147"/>
      <c r="L373" s="147"/>
      <c r="M373" s="147"/>
      <c r="N373" s="147"/>
      <c r="O373" s="147"/>
      <c r="P373" s="147"/>
      <c r="Q373" s="147"/>
      <c r="R373" s="148"/>
      <c r="S373" s="148"/>
      <c r="T373" s="148"/>
      <c r="U373" s="148"/>
      <c r="V373" s="148"/>
      <c r="W373" s="148"/>
      <c r="X373" s="148"/>
      <c r="Y373" s="148"/>
      <c r="Z373" s="148"/>
      <c r="AA373" s="148"/>
      <c r="AB373" s="148"/>
      <c r="AC373" s="148"/>
    </row>
    <row r="374" spans="1:29">
      <c r="A374" s="149">
        <v>45914</v>
      </c>
      <c r="B374" s="147" t="s">
        <v>1229</v>
      </c>
      <c r="C374" s="147">
        <v>1</v>
      </c>
      <c r="D374" s="147">
        <v>1</v>
      </c>
      <c r="E374" s="147"/>
      <c r="F374" s="147"/>
      <c r="G374" s="147"/>
      <c r="H374" s="147"/>
      <c r="I374" s="147"/>
      <c r="J374" s="147"/>
      <c r="K374" s="147"/>
      <c r="L374" s="147"/>
      <c r="M374" s="147"/>
      <c r="N374" s="147"/>
      <c r="O374" s="147"/>
      <c r="P374" s="147"/>
      <c r="Q374" s="147"/>
      <c r="R374" s="148"/>
      <c r="S374" s="148"/>
      <c r="T374" s="148"/>
      <c r="U374" s="148"/>
      <c r="V374" s="148"/>
      <c r="W374" s="148"/>
      <c r="X374" s="148"/>
      <c r="Y374" s="148"/>
      <c r="Z374" s="148"/>
      <c r="AA374" s="148"/>
      <c r="AB374" s="148"/>
      <c r="AC374" s="148"/>
    </row>
    <row r="375" spans="1:29">
      <c r="A375" s="149">
        <v>45914</v>
      </c>
      <c r="B375" s="147" t="s">
        <v>61</v>
      </c>
      <c r="C375" s="147">
        <v>4</v>
      </c>
      <c r="D375" s="147"/>
      <c r="E375" s="147"/>
      <c r="F375" s="147">
        <v>1</v>
      </c>
      <c r="G375" s="147"/>
      <c r="H375" s="147"/>
      <c r="I375" s="147">
        <v>1</v>
      </c>
      <c r="J375" s="147">
        <v>2</v>
      </c>
      <c r="K375" s="147"/>
      <c r="L375" s="147"/>
      <c r="M375" s="147"/>
      <c r="N375" s="147"/>
      <c r="O375" s="147"/>
      <c r="P375" s="147"/>
      <c r="Q375" s="147">
        <v>76</v>
      </c>
      <c r="R375" s="148"/>
      <c r="S375" s="148"/>
      <c r="T375" s="148"/>
      <c r="U375" s="148"/>
      <c r="V375" s="148"/>
      <c r="W375" s="148"/>
      <c r="X375" s="148"/>
      <c r="Y375" s="148"/>
      <c r="Z375" s="148"/>
      <c r="AA375" s="148"/>
      <c r="AB375" s="148"/>
      <c r="AC375" s="148"/>
    </row>
    <row r="376" spans="1:29">
      <c r="A376" s="149">
        <v>45915</v>
      </c>
      <c r="B376" s="147" t="s">
        <v>115</v>
      </c>
      <c r="C376" s="147"/>
      <c r="D376" s="147"/>
      <c r="E376" s="147"/>
      <c r="F376" s="147"/>
      <c r="G376" s="147"/>
      <c r="H376" s="147"/>
      <c r="I376" s="147"/>
      <c r="J376" s="147"/>
      <c r="K376" s="147"/>
      <c r="L376" s="147"/>
      <c r="M376" s="147"/>
      <c r="N376" s="147"/>
      <c r="O376" s="147"/>
      <c r="P376" s="147"/>
      <c r="Q376" s="147">
        <v>29</v>
      </c>
      <c r="R376" s="148"/>
      <c r="S376" s="148"/>
      <c r="T376" s="148"/>
      <c r="U376" s="148"/>
      <c r="V376" s="148"/>
      <c r="W376" s="148"/>
      <c r="X376" s="148"/>
      <c r="Y376" s="148"/>
      <c r="Z376" s="148"/>
      <c r="AA376" s="148"/>
      <c r="AB376" s="148"/>
      <c r="AC376" s="148"/>
    </row>
    <row r="377" spans="1:29">
      <c r="A377" s="149">
        <v>45915</v>
      </c>
      <c r="B377" s="147" t="s">
        <v>1774</v>
      </c>
      <c r="C377" s="147">
        <v>2</v>
      </c>
      <c r="D377" s="147">
        <v>2</v>
      </c>
      <c r="E377" s="147"/>
      <c r="F377" s="147"/>
      <c r="G377" s="147"/>
      <c r="H377" s="147"/>
      <c r="I377" s="147"/>
      <c r="J377" s="147"/>
      <c r="K377" s="147"/>
      <c r="L377" s="147"/>
      <c r="M377" s="147"/>
      <c r="N377" s="147"/>
      <c r="O377" s="147"/>
      <c r="P377" s="147"/>
      <c r="Q377" s="147">
        <v>58</v>
      </c>
      <c r="R377" s="148"/>
      <c r="S377" s="148"/>
      <c r="T377" s="148"/>
      <c r="U377" s="148"/>
      <c r="V377" s="148"/>
      <c r="W377" s="148"/>
      <c r="X377" s="148"/>
      <c r="Y377" s="148"/>
      <c r="Z377" s="148"/>
      <c r="AA377" s="148"/>
      <c r="AB377" s="148"/>
      <c r="AC377" s="148"/>
    </row>
    <row r="378" spans="1:29">
      <c r="A378" s="149">
        <v>45915</v>
      </c>
      <c r="B378" s="147" t="s">
        <v>1229</v>
      </c>
      <c r="C378" s="147">
        <v>1</v>
      </c>
      <c r="D378" s="147">
        <v>1</v>
      </c>
      <c r="E378" s="147"/>
      <c r="F378" s="147"/>
      <c r="G378" s="147"/>
      <c r="H378" s="147"/>
      <c r="I378" s="147"/>
      <c r="J378" s="147"/>
      <c r="K378" s="147"/>
      <c r="L378" s="147"/>
      <c r="M378" s="147"/>
      <c r="N378" s="147"/>
      <c r="O378" s="147"/>
      <c r="P378" s="147"/>
      <c r="Q378" s="147"/>
      <c r="R378" s="148"/>
      <c r="S378" s="148"/>
      <c r="T378" s="148"/>
      <c r="U378" s="148"/>
      <c r="V378" s="148"/>
      <c r="W378" s="148"/>
      <c r="X378" s="148"/>
      <c r="Y378" s="148"/>
      <c r="Z378" s="148"/>
      <c r="AA378" s="148"/>
      <c r="AB378" s="148"/>
      <c r="AC378" s="148"/>
    </row>
    <row r="379" spans="1:29">
      <c r="A379" s="149">
        <v>45915</v>
      </c>
      <c r="B379" s="147" t="s">
        <v>243</v>
      </c>
      <c r="C379" s="147"/>
      <c r="D379" s="147"/>
      <c r="E379" s="147"/>
      <c r="F379" s="147"/>
      <c r="G379" s="147"/>
      <c r="H379" s="147"/>
      <c r="I379" s="147"/>
      <c r="J379" s="147"/>
      <c r="K379" s="147"/>
      <c r="L379" s="147"/>
      <c r="M379" s="147"/>
      <c r="N379" s="147"/>
      <c r="O379" s="147"/>
      <c r="P379" s="147"/>
      <c r="Q379" s="147"/>
      <c r="R379" s="148"/>
      <c r="S379" s="148"/>
      <c r="T379" s="148"/>
      <c r="U379" s="148"/>
      <c r="V379" s="148"/>
      <c r="W379" s="148"/>
      <c r="X379" s="148"/>
      <c r="Y379" s="148"/>
      <c r="Z379" s="148"/>
      <c r="AA379" s="148"/>
      <c r="AB379" s="148"/>
      <c r="AC379" s="148"/>
    </row>
    <row r="380" spans="1:29">
      <c r="A380" s="149">
        <v>45915</v>
      </c>
      <c r="B380" s="147" t="s">
        <v>61</v>
      </c>
      <c r="C380" s="147">
        <v>2</v>
      </c>
      <c r="D380" s="147">
        <v>1</v>
      </c>
      <c r="E380" s="147"/>
      <c r="F380" s="147"/>
      <c r="G380" s="147"/>
      <c r="H380" s="147"/>
      <c r="I380" s="147">
        <v>1</v>
      </c>
      <c r="J380" s="147"/>
      <c r="K380" s="147"/>
      <c r="L380" s="147"/>
      <c r="M380" s="147"/>
      <c r="N380" s="147"/>
      <c r="O380" s="147"/>
      <c r="P380" s="147"/>
      <c r="Q380" s="147">
        <v>32</v>
      </c>
      <c r="R380" s="148"/>
      <c r="S380" s="148"/>
      <c r="T380" s="148"/>
      <c r="U380" s="148"/>
      <c r="V380" s="148"/>
      <c r="W380" s="148"/>
      <c r="X380" s="148"/>
      <c r="Y380" s="148"/>
      <c r="Z380" s="148"/>
      <c r="AA380" s="148"/>
      <c r="AB380" s="148"/>
      <c r="AC380" s="148"/>
    </row>
    <row r="381" spans="1:29">
      <c r="A381" s="149">
        <v>45916</v>
      </c>
      <c r="B381" s="147" t="s">
        <v>61</v>
      </c>
      <c r="C381" s="147">
        <v>5</v>
      </c>
      <c r="D381" s="147">
        <v>1</v>
      </c>
      <c r="E381" s="147"/>
      <c r="F381" s="147"/>
      <c r="G381" s="147"/>
      <c r="H381" s="147"/>
      <c r="I381" s="147">
        <v>2</v>
      </c>
      <c r="J381" s="147">
        <v>2</v>
      </c>
      <c r="K381" s="147"/>
      <c r="L381" s="147"/>
      <c r="M381" s="147"/>
      <c r="N381" s="147"/>
      <c r="O381" s="147"/>
      <c r="P381" s="147"/>
      <c r="Q381" s="147">
        <v>90</v>
      </c>
      <c r="R381" s="148"/>
      <c r="S381" s="148"/>
      <c r="T381" s="148"/>
      <c r="U381" s="148"/>
      <c r="V381" s="148"/>
      <c r="W381" s="148"/>
      <c r="X381" s="148"/>
      <c r="Y381" s="148"/>
      <c r="Z381" s="148"/>
      <c r="AA381" s="148"/>
      <c r="AB381" s="148"/>
      <c r="AC381" s="148"/>
    </row>
    <row r="382" spans="1:29">
      <c r="A382" s="149">
        <v>45916</v>
      </c>
      <c r="B382" s="147" t="s">
        <v>1774</v>
      </c>
      <c r="C382" s="147">
        <v>2</v>
      </c>
      <c r="D382" s="147">
        <v>1</v>
      </c>
      <c r="E382" s="147"/>
      <c r="F382" s="147">
        <v>1</v>
      </c>
      <c r="G382" s="147"/>
      <c r="H382" s="147"/>
      <c r="I382" s="147"/>
      <c r="J382" s="147"/>
      <c r="K382" s="147"/>
      <c r="L382" s="147"/>
      <c r="M382" s="147"/>
      <c r="N382" s="147"/>
      <c r="O382" s="147"/>
      <c r="P382" s="147"/>
      <c r="Q382" s="147">
        <v>68</v>
      </c>
      <c r="R382" s="148"/>
      <c r="S382" s="148"/>
      <c r="T382" s="148"/>
      <c r="U382" s="148"/>
      <c r="V382" s="148"/>
      <c r="W382" s="148"/>
      <c r="X382" s="148"/>
      <c r="Y382" s="148"/>
      <c r="Z382" s="148"/>
      <c r="AA382" s="148"/>
      <c r="AB382" s="148"/>
      <c r="AC382" s="148"/>
    </row>
    <row r="383" spans="1:29">
      <c r="A383" s="149">
        <v>45916</v>
      </c>
      <c r="B383" s="147" t="s">
        <v>115</v>
      </c>
      <c r="C383" s="147">
        <v>3</v>
      </c>
      <c r="D383" s="147">
        <v>3</v>
      </c>
      <c r="E383" s="147"/>
      <c r="F383" s="147"/>
      <c r="G383" s="147"/>
      <c r="H383" s="147"/>
      <c r="I383" s="147"/>
      <c r="J383" s="147"/>
      <c r="K383" s="147"/>
      <c r="L383" s="147"/>
      <c r="M383" s="147"/>
      <c r="N383" s="147"/>
      <c r="O383" s="147"/>
      <c r="P383" s="147"/>
      <c r="Q383" s="147">
        <v>64</v>
      </c>
      <c r="R383" s="148"/>
      <c r="S383" s="148"/>
      <c r="T383" s="148"/>
      <c r="U383" s="148"/>
      <c r="V383" s="148"/>
      <c r="W383" s="148"/>
      <c r="X383" s="148"/>
      <c r="Y383" s="148"/>
      <c r="Z383" s="148"/>
      <c r="AA383" s="148"/>
      <c r="AB383" s="148"/>
      <c r="AC383" s="148"/>
    </row>
    <row r="384" spans="1:29">
      <c r="A384" s="149">
        <v>45916</v>
      </c>
      <c r="B384" s="147" t="s">
        <v>243</v>
      </c>
      <c r="C384" s="147"/>
      <c r="D384" s="147"/>
      <c r="E384" s="147"/>
      <c r="F384" s="147"/>
      <c r="G384" s="147"/>
      <c r="H384" s="147"/>
      <c r="I384" s="147"/>
      <c r="J384" s="147"/>
      <c r="K384" s="147"/>
      <c r="L384" s="147"/>
      <c r="M384" s="147"/>
      <c r="N384" s="147"/>
      <c r="O384" s="147"/>
      <c r="P384" s="147"/>
      <c r="Q384" s="147"/>
      <c r="R384" s="148"/>
      <c r="S384" s="148"/>
      <c r="T384" s="148"/>
      <c r="U384" s="148"/>
      <c r="V384" s="148"/>
      <c r="W384" s="148"/>
      <c r="X384" s="148"/>
      <c r="Y384" s="148"/>
      <c r="Z384" s="148"/>
      <c r="AA384" s="148"/>
      <c r="AB384" s="148"/>
      <c r="AC384" s="148"/>
    </row>
    <row r="385" spans="1:29">
      <c r="A385" s="149">
        <v>45917</v>
      </c>
      <c r="B385" s="147" t="s">
        <v>1229</v>
      </c>
      <c r="C385" s="147">
        <v>2</v>
      </c>
      <c r="D385" s="147">
        <v>2</v>
      </c>
      <c r="E385" s="147"/>
      <c r="F385" s="147"/>
      <c r="G385" s="147"/>
      <c r="H385" s="147"/>
      <c r="I385" s="147"/>
      <c r="J385" s="147"/>
      <c r="K385" s="147"/>
      <c r="L385" s="147"/>
      <c r="M385" s="147"/>
      <c r="N385" s="147"/>
      <c r="O385" s="147"/>
      <c r="P385" s="147"/>
      <c r="Q385" s="147">
        <v>38</v>
      </c>
      <c r="R385" s="148"/>
      <c r="S385" s="148"/>
      <c r="T385" s="148"/>
      <c r="U385" s="148"/>
      <c r="V385" s="148"/>
      <c r="W385" s="148"/>
      <c r="X385" s="148"/>
      <c r="Y385" s="148"/>
      <c r="Z385" s="148"/>
      <c r="AA385" s="148"/>
      <c r="AB385" s="148"/>
      <c r="AC385" s="148"/>
    </row>
    <row r="386" spans="1:29">
      <c r="A386" s="149">
        <v>45916</v>
      </c>
      <c r="B386" s="147" t="s">
        <v>1229</v>
      </c>
      <c r="C386" s="147">
        <v>2</v>
      </c>
      <c r="D386" s="147">
        <v>2</v>
      </c>
      <c r="E386" s="147"/>
      <c r="F386" s="147"/>
      <c r="G386" s="147"/>
      <c r="H386" s="147"/>
      <c r="I386" s="147"/>
      <c r="J386" s="147"/>
      <c r="K386" s="147"/>
      <c r="L386" s="147"/>
      <c r="M386" s="147"/>
      <c r="N386" s="147"/>
      <c r="O386" s="147"/>
      <c r="P386" s="147"/>
      <c r="Q386" s="147">
        <v>38</v>
      </c>
      <c r="R386" s="148"/>
      <c r="S386" s="148"/>
      <c r="T386" s="148"/>
      <c r="U386" s="148"/>
      <c r="V386" s="148"/>
      <c r="W386" s="148"/>
      <c r="X386" s="148"/>
      <c r="Y386" s="148"/>
      <c r="Z386" s="148"/>
      <c r="AA386" s="148"/>
      <c r="AB386" s="148"/>
      <c r="AC386" s="148"/>
    </row>
    <row r="387" spans="1:29">
      <c r="A387" s="149">
        <v>45917</v>
      </c>
      <c r="B387" s="147" t="s">
        <v>115</v>
      </c>
      <c r="C387" s="147">
        <v>1</v>
      </c>
      <c r="D387" s="147">
        <v>1</v>
      </c>
      <c r="E387" s="147"/>
      <c r="F387" s="147"/>
      <c r="G387" s="147"/>
      <c r="H387" s="147"/>
      <c r="I387" s="147"/>
      <c r="J387" s="147"/>
      <c r="K387" s="147"/>
      <c r="L387" s="147"/>
      <c r="M387" s="147"/>
      <c r="N387" s="147"/>
      <c r="O387" s="147"/>
      <c r="P387" s="147"/>
      <c r="Q387" s="147">
        <v>23</v>
      </c>
      <c r="R387" s="148"/>
      <c r="S387" s="148"/>
      <c r="T387" s="148"/>
      <c r="U387" s="148"/>
      <c r="V387" s="148"/>
      <c r="W387" s="148"/>
      <c r="X387" s="148"/>
      <c r="Y387" s="148"/>
      <c r="Z387" s="148"/>
      <c r="AA387" s="148"/>
      <c r="AB387" s="148"/>
      <c r="AC387" s="148"/>
    </row>
    <row r="388" spans="1:29">
      <c r="A388" s="149">
        <v>45917</v>
      </c>
      <c r="B388" s="147" t="s">
        <v>1774</v>
      </c>
      <c r="C388" s="147">
        <v>3</v>
      </c>
      <c r="D388" s="147">
        <v>2</v>
      </c>
      <c r="E388" s="147"/>
      <c r="F388" s="147"/>
      <c r="G388" s="147"/>
      <c r="H388" s="147"/>
      <c r="I388" s="147"/>
      <c r="J388" s="147"/>
      <c r="K388" s="147"/>
      <c r="L388" s="147"/>
      <c r="M388" s="147">
        <v>1</v>
      </c>
      <c r="N388" s="147"/>
      <c r="O388" s="147"/>
      <c r="P388" s="147"/>
      <c r="Q388" s="147">
        <v>7</v>
      </c>
      <c r="R388" s="148"/>
      <c r="S388" s="148"/>
      <c r="T388" s="148"/>
      <c r="U388" s="148"/>
      <c r="V388" s="148"/>
      <c r="W388" s="148"/>
      <c r="X388" s="148"/>
      <c r="Y388" s="148"/>
      <c r="Z388" s="148"/>
      <c r="AA388" s="148"/>
      <c r="AB388" s="148"/>
      <c r="AC388" s="148"/>
    </row>
    <row r="389" spans="1:29">
      <c r="A389" s="149">
        <v>45917</v>
      </c>
      <c r="B389" s="147" t="s">
        <v>243</v>
      </c>
      <c r="C389" s="147"/>
      <c r="D389" s="147"/>
      <c r="E389" s="147"/>
      <c r="F389" s="147"/>
      <c r="G389" s="147"/>
      <c r="H389" s="147"/>
      <c r="I389" s="147"/>
      <c r="J389" s="147"/>
      <c r="K389" s="147"/>
      <c r="L389" s="147"/>
      <c r="M389" s="147"/>
      <c r="N389" s="147"/>
      <c r="O389" s="147"/>
      <c r="P389" s="147"/>
      <c r="Q389" s="147">
        <v>38</v>
      </c>
      <c r="R389" s="148"/>
      <c r="S389" s="148"/>
      <c r="T389" s="148"/>
      <c r="U389" s="148"/>
      <c r="V389" s="148"/>
      <c r="W389" s="148"/>
      <c r="X389" s="148"/>
      <c r="Y389" s="148"/>
      <c r="Z389" s="148"/>
      <c r="AA389" s="148"/>
      <c r="AB389" s="148"/>
      <c r="AC389" s="148"/>
    </row>
    <row r="390" spans="1:29">
      <c r="A390" s="149">
        <v>45917</v>
      </c>
      <c r="B390" s="147" t="s">
        <v>61</v>
      </c>
      <c r="C390" s="147">
        <v>5</v>
      </c>
      <c r="D390" s="147">
        <v>3</v>
      </c>
      <c r="E390" s="147"/>
      <c r="F390" s="147">
        <v>1</v>
      </c>
      <c r="G390" s="147"/>
      <c r="H390" s="147"/>
      <c r="I390" s="147">
        <v>1</v>
      </c>
      <c r="J390" s="147"/>
      <c r="K390" s="147"/>
      <c r="L390" s="147"/>
      <c r="M390" s="147"/>
      <c r="N390" s="147"/>
      <c r="O390" s="147"/>
      <c r="P390" s="147"/>
      <c r="Q390" s="147">
        <v>44</v>
      </c>
      <c r="R390" s="148"/>
      <c r="S390" s="148"/>
      <c r="T390" s="148"/>
      <c r="U390" s="148"/>
      <c r="V390" s="148"/>
      <c r="W390" s="148"/>
      <c r="X390" s="148"/>
      <c r="Y390" s="148"/>
      <c r="Z390" s="148"/>
      <c r="AA390" s="148"/>
      <c r="AB390" s="148"/>
      <c r="AC390" s="148"/>
    </row>
    <row r="391" spans="1:29">
      <c r="A391" s="149">
        <v>45918</v>
      </c>
      <c r="B391" s="147" t="s">
        <v>115</v>
      </c>
      <c r="C391" s="147">
        <v>1</v>
      </c>
      <c r="D391" s="147"/>
      <c r="E391" s="147">
        <v>1</v>
      </c>
      <c r="F391" s="147"/>
      <c r="G391" s="147"/>
      <c r="H391" s="147"/>
      <c r="I391" s="147"/>
      <c r="J391" s="147"/>
      <c r="K391" s="147"/>
      <c r="L391" s="147"/>
      <c r="M391" s="147"/>
      <c r="N391" s="147"/>
      <c r="O391" s="147"/>
      <c r="P391" s="147"/>
      <c r="Q391" s="147">
        <v>8</v>
      </c>
      <c r="R391" s="148"/>
      <c r="S391" s="148"/>
      <c r="T391" s="148"/>
      <c r="U391" s="148"/>
      <c r="V391" s="148"/>
      <c r="W391" s="148"/>
      <c r="X391" s="148"/>
      <c r="Y391" s="148"/>
      <c r="Z391" s="148"/>
      <c r="AA391" s="148"/>
      <c r="AB391" s="148"/>
      <c r="AC391" s="148"/>
    </row>
    <row r="392" spans="1:29">
      <c r="A392" s="149">
        <v>45918</v>
      </c>
      <c r="B392" s="147" t="s">
        <v>1774</v>
      </c>
      <c r="C392" s="147">
        <v>1</v>
      </c>
      <c r="D392" s="147">
        <v>1</v>
      </c>
      <c r="E392" s="147"/>
      <c r="F392" s="147"/>
      <c r="G392" s="147"/>
      <c r="H392" s="147"/>
      <c r="I392" s="147"/>
      <c r="J392" s="147"/>
      <c r="K392" s="147"/>
      <c r="L392" s="147"/>
      <c r="M392" s="147"/>
      <c r="N392" s="147"/>
      <c r="O392" s="147"/>
      <c r="P392" s="147"/>
      <c r="Q392" s="147">
        <v>26</v>
      </c>
      <c r="R392" s="148"/>
      <c r="S392" s="148"/>
      <c r="T392" s="148"/>
      <c r="U392" s="148"/>
      <c r="V392" s="148"/>
      <c r="W392" s="148"/>
      <c r="X392" s="148"/>
      <c r="Y392" s="148"/>
      <c r="Z392" s="148"/>
      <c r="AA392" s="148"/>
      <c r="AB392" s="148"/>
      <c r="AC392" s="148"/>
    </row>
    <row r="393" spans="1:29">
      <c r="A393" s="149">
        <v>45918</v>
      </c>
      <c r="B393" s="147" t="s">
        <v>243</v>
      </c>
      <c r="C393" s="147"/>
      <c r="D393" s="147"/>
      <c r="E393" s="147"/>
      <c r="F393" s="147"/>
      <c r="G393" s="147"/>
      <c r="H393" s="147"/>
      <c r="I393" s="147"/>
      <c r="J393" s="147"/>
      <c r="K393" s="147"/>
      <c r="L393" s="147"/>
      <c r="M393" s="147"/>
      <c r="N393" s="147"/>
      <c r="O393" s="147"/>
      <c r="P393" s="147"/>
      <c r="Q393" s="147">
        <v>4</v>
      </c>
      <c r="R393" s="148"/>
      <c r="S393" s="148"/>
      <c r="T393" s="148"/>
      <c r="U393" s="148"/>
      <c r="V393" s="148"/>
      <c r="W393" s="148"/>
      <c r="X393" s="148"/>
      <c r="Y393" s="148"/>
      <c r="Z393" s="148"/>
      <c r="AA393" s="148"/>
      <c r="AB393" s="148"/>
      <c r="AC393" s="148"/>
    </row>
    <row r="394" spans="1:29">
      <c r="A394" s="149">
        <v>45918</v>
      </c>
      <c r="B394" s="147" t="s">
        <v>61</v>
      </c>
      <c r="C394" s="147">
        <v>3</v>
      </c>
      <c r="D394" s="147">
        <v>2</v>
      </c>
      <c r="E394" s="147"/>
      <c r="F394" s="147"/>
      <c r="G394" s="147"/>
      <c r="H394" s="147"/>
      <c r="I394" s="147"/>
      <c r="J394" s="147">
        <v>1</v>
      </c>
      <c r="K394" s="147"/>
      <c r="L394" s="147"/>
      <c r="M394" s="147"/>
      <c r="N394" s="147"/>
      <c r="O394" s="147"/>
      <c r="P394" s="147"/>
      <c r="Q394" s="147">
        <v>73</v>
      </c>
      <c r="R394" s="148"/>
      <c r="S394" s="148"/>
      <c r="T394" s="148"/>
      <c r="U394" s="148"/>
      <c r="V394" s="148"/>
      <c r="W394" s="148"/>
      <c r="X394" s="148"/>
      <c r="Y394" s="148"/>
      <c r="Z394" s="148"/>
      <c r="AA394" s="148"/>
      <c r="AB394" s="148"/>
      <c r="AC394" s="148"/>
    </row>
    <row r="395" spans="1:29">
      <c r="A395" s="149">
        <v>45919</v>
      </c>
      <c r="B395" s="147" t="s">
        <v>61</v>
      </c>
      <c r="C395" s="147">
        <v>4</v>
      </c>
      <c r="D395" s="147">
        <v>3</v>
      </c>
      <c r="E395" s="147"/>
      <c r="F395" s="147"/>
      <c r="G395" s="147"/>
      <c r="H395" s="147"/>
      <c r="I395" s="147">
        <v>1</v>
      </c>
      <c r="J395" s="147"/>
      <c r="K395" s="147"/>
      <c r="L395" s="147"/>
      <c r="M395" s="147"/>
      <c r="N395" s="147"/>
      <c r="O395" s="147"/>
      <c r="P395" s="147"/>
      <c r="Q395" s="147">
        <v>23</v>
      </c>
      <c r="R395" s="148"/>
      <c r="S395" s="148"/>
      <c r="T395" s="148"/>
      <c r="U395" s="148"/>
      <c r="V395" s="148"/>
      <c r="W395" s="148"/>
      <c r="X395" s="148"/>
      <c r="Y395" s="148"/>
      <c r="Z395" s="148"/>
      <c r="AA395" s="148"/>
      <c r="AB395" s="148"/>
      <c r="AC395" s="148"/>
    </row>
    <row r="396" spans="1:29">
      <c r="A396" s="149">
        <v>45919</v>
      </c>
      <c r="B396" s="147" t="s">
        <v>1774</v>
      </c>
      <c r="C396" s="147">
        <v>1</v>
      </c>
      <c r="D396" s="147"/>
      <c r="E396" s="147"/>
      <c r="F396" s="147"/>
      <c r="G396" s="147"/>
      <c r="H396" s="147"/>
      <c r="I396" s="147"/>
      <c r="J396" s="147">
        <v>1</v>
      </c>
      <c r="K396" s="147"/>
      <c r="L396" s="147"/>
      <c r="M396" s="147"/>
      <c r="N396" s="147"/>
      <c r="O396" s="147"/>
      <c r="P396" s="147"/>
      <c r="Q396" s="147">
        <v>1</v>
      </c>
      <c r="R396" s="148"/>
      <c r="S396" s="148"/>
      <c r="T396" s="148"/>
      <c r="U396" s="148"/>
      <c r="V396" s="148"/>
      <c r="W396" s="148"/>
      <c r="X396" s="148"/>
      <c r="Y396" s="148"/>
      <c r="Z396" s="148"/>
      <c r="AA396" s="148"/>
      <c r="AB396" s="148"/>
      <c r="AC396" s="148"/>
    </row>
    <row r="397" spans="1:29">
      <c r="A397" s="149">
        <v>45920</v>
      </c>
      <c r="B397" s="147" t="s">
        <v>115</v>
      </c>
      <c r="C397" s="147">
        <v>1</v>
      </c>
      <c r="D397" s="147"/>
      <c r="E397" s="147"/>
      <c r="F397" s="147"/>
      <c r="G397" s="147"/>
      <c r="H397" s="147"/>
      <c r="I397" s="147"/>
      <c r="J397" s="147"/>
      <c r="K397" s="147">
        <v>1</v>
      </c>
      <c r="L397" s="147"/>
      <c r="M397" s="147"/>
      <c r="N397" s="147"/>
      <c r="O397" s="147"/>
      <c r="P397" s="147"/>
      <c r="Q397" s="147"/>
      <c r="R397" s="148"/>
      <c r="S397" s="148"/>
      <c r="T397" s="148"/>
      <c r="U397" s="148"/>
      <c r="V397" s="148"/>
      <c r="W397" s="148"/>
      <c r="X397" s="148"/>
      <c r="Y397" s="148"/>
      <c r="Z397" s="148"/>
      <c r="AA397" s="148"/>
      <c r="AB397" s="148"/>
      <c r="AC397" s="148"/>
    </row>
    <row r="398" spans="1:29">
      <c r="A398" s="149">
        <v>45920</v>
      </c>
      <c r="B398" s="147" t="s">
        <v>61</v>
      </c>
      <c r="C398" s="147">
        <v>3</v>
      </c>
      <c r="D398" s="147">
        <v>1</v>
      </c>
      <c r="E398" s="147">
        <v>1</v>
      </c>
      <c r="F398" s="147"/>
      <c r="G398" s="147"/>
      <c r="H398" s="147">
        <v>1</v>
      </c>
      <c r="I398" s="147"/>
      <c r="J398" s="147"/>
      <c r="K398" s="147"/>
      <c r="L398" s="147"/>
      <c r="M398" s="147"/>
      <c r="N398" s="147"/>
      <c r="O398" s="147"/>
      <c r="P398" s="147"/>
      <c r="Q398" s="147">
        <v>2</v>
      </c>
      <c r="R398" s="148"/>
      <c r="S398" s="148"/>
      <c r="T398" s="148"/>
      <c r="U398" s="148"/>
      <c r="V398" s="148"/>
      <c r="W398" s="148"/>
      <c r="X398" s="148"/>
      <c r="Y398" s="148"/>
      <c r="Z398" s="148"/>
      <c r="AA398" s="148"/>
      <c r="AB398" s="148"/>
      <c r="AC398" s="148"/>
    </row>
    <row r="399" spans="1:29">
      <c r="A399" s="149">
        <v>45920</v>
      </c>
      <c r="B399" s="147" t="s">
        <v>1229</v>
      </c>
      <c r="C399" s="147">
        <v>1</v>
      </c>
      <c r="D399" s="147">
        <v>2</v>
      </c>
      <c r="E399" s="147"/>
      <c r="F399" s="147"/>
      <c r="G399" s="147"/>
      <c r="H399" s="147"/>
      <c r="I399" s="147"/>
      <c r="J399" s="147"/>
      <c r="K399" s="147"/>
      <c r="L399" s="147"/>
      <c r="M399" s="147"/>
      <c r="N399" s="147"/>
      <c r="O399" s="147"/>
      <c r="P399" s="147"/>
      <c r="Q399" s="147"/>
      <c r="R399" s="148"/>
      <c r="S399" s="148"/>
      <c r="T399" s="148"/>
      <c r="U399" s="148"/>
      <c r="V399" s="148"/>
      <c r="W399" s="148"/>
      <c r="X399" s="148"/>
      <c r="Y399" s="148"/>
      <c r="Z399" s="148"/>
      <c r="AA399" s="148"/>
      <c r="AB399" s="148"/>
      <c r="AC399" s="148"/>
    </row>
    <row r="400" spans="1:29">
      <c r="A400" s="149">
        <v>45920</v>
      </c>
      <c r="B400" s="147" t="s">
        <v>1774</v>
      </c>
      <c r="C400" s="147">
        <v>1</v>
      </c>
      <c r="D400" s="147">
        <v>1</v>
      </c>
      <c r="E400" s="147"/>
      <c r="F400" s="147"/>
      <c r="G400" s="147"/>
      <c r="H400" s="147"/>
      <c r="I400" s="147"/>
      <c r="J400" s="147"/>
      <c r="K400" s="147"/>
      <c r="L400" s="147"/>
      <c r="M400" s="147"/>
      <c r="N400" s="147"/>
      <c r="O400" s="147"/>
      <c r="P400" s="147"/>
      <c r="Q400" s="147"/>
      <c r="R400" s="148"/>
      <c r="S400" s="148"/>
      <c r="T400" s="148"/>
      <c r="U400" s="148"/>
      <c r="V400" s="148"/>
      <c r="W400" s="148"/>
      <c r="X400" s="148"/>
      <c r="Y400" s="148"/>
      <c r="Z400" s="148"/>
      <c r="AA400" s="148"/>
      <c r="AB400" s="148"/>
      <c r="AC400" s="148"/>
    </row>
    <row r="401" spans="1:29">
      <c r="A401" s="149">
        <v>45920</v>
      </c>
      <c r="B401" s="147" t="s">
        <v>243</v>
      </c>
      <c r="C401" s="147"/>
      <c r="D401" s="147"/>
      <c r="E401" s="147"/>
      <c r="F401" s="147"/>
      <c r="G401" s="147"/>
      <c r="H401" s="147"/>
      <c r="I401" s="147"/>
      <c r="J401" s="147"/>
      <c r="K401" s="147"/>
      <c r="L401" s="147"/>
      <c r="M401" s="147"/>
      <c r="N401" s="147"/>
      <c r="O401" s="147"/>
      <c r="P401" s="147"/>
      <c r="Q401" s="147"/>
      <c r="R401" s="148"/>
      <c r="S401" s="148"/>
      <c r="T401" s="148"/>
      <c r="U401" s="148"/>
      <c r="V401" s="148"/>
      <c r="W401" s="148"/>
      <c r="X401" s="148"/>
      <c r="Y401" s="148"/>
      <c r="Z401" s="148"/>
      <c r="AA401" s="148"/>
      <c r="AB401" s="148"/>
      <c r="AC401" s="148"/>
    </row>
    <row r="402" spans="1:29">
      <c r="A402" s="149">
        <v>45921</v>
      </c>
      <c r="B402" s="147" t="s">
        <v>115</v>
      </c>
      <c r="C402" s="147">
        <v>1</v>
      </c>
      <c r="D402" s="147"/>
      <c r="E402" s="147"/>
      <c r="F402" s="147"/>
      <c r="G402" s="147"/>
      <c r="H402" s="147"/>
      <c r="I402" s="147">
        <v>1</v>
      </c>
      <c r="J402" s="147"/>
      <c r="K402" s="147"/>
      <c r="L402" s="147"/>
      <c r="M402" s="147"/>
      <c r="N402" s="147"/>
      <c r="O402" s="147"/>
      <c r="P402" s="147"/>
      <c r="Q402" s="147"/>
      <c r="R402" s="148"/>
      <c r="S402" s="148"/>
      <c r="T402" s="148"/>
      <c r="U402" s="148"/>
      <c r="V402" s="148"/>
      <c r="W402" s="148"/>
      <c r="X402" s="148"/>
      <c r="Y402" s="148"/>
      <c r="Z402" s="148"/>
      <c r="AA402" s="148"/>
      <c r="AB402" s="148"/>
      <c r="AC402" s="148"/>
    </row>
    <row r="403" spans="1:29">
      <c r="A403" s="149">
        <v>45921</v>
      </c>
      <c r="B403" s="147" t="s">
        <v>61</v>
      </c>
      <c r="C403" s="147">
        <v>2</v>
      </c>
      <c r="D403" s="147"/>
      <c r="E403" s="147">
        <v>2</v>
      </c>
      <c r="F403" s="147"/>
      <c r="G403" s="147"/>
      <c r="H403" s="147"/>
      <c r="I403" s="147"/>
      <c r="J403" s="147"/>
      <c r="K403" s="147"/>
      <c r="L403" s="147"/>
      <c r="M403" s="147"/>
      <c r="N403" s="147"/>
      <c r="O403" s="147"/>
      <c r="P403" s="147"/>
      <c r="Q403" s="147">
        <v>0</v>
      </c>
      <c r="R403" s="148"/>
      <c r="S403" s="148"/>
      <c r="T403" s="148"/>
      <c r="U403" s="148"/>
      <c r="V403" s="148"/>
      <c r="W403" s="148"/>
      <c r="X403" s="148"/>
      <c r="Y403" s="148"/>
      <c r="Z403" s="148"/>
      <c r="AA403" s="148"/>
      <c r="AB403" s="148"/>
      <c r="AC403" s="148"/>
    </row>
    <row r="404" spans="1:29">
      <c r="A404" s="149">
        <v>45921</v>
      </c>
      <c r="B404" s="147" t="s">
        <v>1774</v>
      </c>
      <c r="C404" s="147"/>
      <c r="D404" s="147"/>
      <c r="E404" s="147"/>
      <c r="F404" s="147"/>
      <c r="G404" s="147"/>
      <c r="H404" s="147"/>
      <c r="I404" s="147"/>
      <c r="J404" s="147"/>
      <c r="K404" s="147"/>
      <c r="L404" s="147"/>
      <c r="M404" s="147"/>
      <c r="N404" s="147"/>
      <c r="O404" s="147"/>
      <c r="P404" s="147"/>
      <c r="Q404" s="147"/>
      <c r="R404" s="148"/>
      <c r="S404" s="148"/>
      <c r="T404" s="148"/>
      <c r="U404" s="148"/>
      <c r="V404" s="148"/>
      <c r="W404" s="148"/>
      <c r="X404" s="148"/>
      <c r="Y404" s="148"/>
      <c r="Z404" s="148"/>
      <c r="AA404" s="148"/>
      <c r="AB404" s="148"/>
      <c r="AC404" s="148"/>
    </row>
    <row r="405" spans="1:29">
      <c r="A405" s="149">
        <v>45921</v>
      </c>
      <c r="B405" s="147" t="s">
        <v>1229</v>
      </c>
      <c r="C405" s="147"/>
      <c r="D405" s="147"/>
      <c r="E405" s="147"/>
      <c r="F405" s="147"/>
      <c r="G405" s="147"/>
      <c r="H405" s="147"/>
      <c r="I405" s="147"/>
      <c r="J405" s="147"/>
      <c r="K405" s="147"/>
      <c r="L405" s="147"/>
      <c r="M405" s="147"/>
      <c r="N405" s="147"/>
      <c r="O405" s="147"/>
      <c r="P405" s="147"/>
      <c r="Q405" s="147"/>
      <c r="R405" s="148"/>
      <c r="S405" s="148"/>
      <c r="T405" s="148"/>
      <c r="U405" s="148"/>
      <c r="V405" s="148"/>
      <c r="W405" s="148"/>
      <c r="X405" s="148"/>
      <c r="Y405" s="148"/>
      <c r="Z405" s="148"/>
      <c r="AA405" s="148"/>
      <c r="AB405" s="148"/>
      <c r="AC405" s="148"/>
    </row>
    <row r="406" spans="1:29">
      <c r="A406" s="149">
        <v>45921</v>
      </c>
      <c r="B406" s="147" t="s">
        <v>243</v>
      </c>
      <c r="C406" s="147"/>
      <c r="D406" s="147"/>
      <c r="E406" s="147"/>
      <c r="F406" s="147"/>
      <c r="G406" s="147"/>
      <c r="H406" s="147"/>
      <c r="I406" s="147"/>
      <c r="J406" s="147"/>
      <c r="K406" s="147"/>
      <c r="L406" s="147"/>
      <c r="M406" s="147"/>
      <c r="N406" s="147"/>
      <c r="O406" s="147"/>
      <c r="P406" s="147"/>
      <c r="Q406" s="147"/>
      <c r="R406" s="148"/>
      <c r="S406" s="148"/>
      <c r="T406" s="148"/>
      <c r="U406" s="148"/>
      <c r="V406" s="148"/>
      <c r="W406" s="148"/>
      <c r="X406" s="148"/>
      <c r="Y406" s="148"/>
      <c r="Z406" s="148"/>
      <c r="AA406" s="148"/>
      <c r="AB406" s="148"/>
      <c r="AC406" s="148"/>
    </row>
    <row r="407" spans="1:29">
      <c r="A407" s="149">
        <v>45922</v>
      </c>
      <c r="B407" s="147" t="s">
        <v>115</v>
      </c>
      <c r="C407" s="147">
        <v>1</v>
      </c>
      <c r="D407" s="147"/>
      <c r="E407" s="147"/>
      <c r="F407" s="147"/>
      <c r="G407" s="147"/>
      <c r="H407" s="147"/>
      <c r="I407" s="147"/>
      <c r="J407" s="147">
        <v>1</v>
      </c>
      <c r="K407" s="147"/>
      <c r="L407" s="147"/>
      <c r="M407" s="147"/>
      <c r="N407" s="147"/>
      <c r="O407" s="147"/>
      <c r="P407" s="147"/>
      <c r="Q407" s="147">
        <v>38</v>
      </c>
      <c r="R407" s="148"/>
      <c r="S407" s="148"/>
      <c r="T407" s="148"/>
      <c r="U407" s="148"/>
      <c r="V407" s="148"/>
      <c r="W407" s="148"/>
      <c r="X407" s="148"/>
      <c r="Y407" s="148"/>
      <c r="Z407" s="148"/>
      <c r="AA407" s="148"/>
      <c r="AB407" s="148"/>
      <c r="AC407" s="148"/>
    </row>
    <row r="408" spans="1:29">
      <c r="A408" s="149">
        <v>45922</v>
      </c>
      <c r="B408" s="147" t="s">
        <v>1774</v>
      </c>
      <c r="C408" s="147"/>
      <c r="D408" s="147"/>
      <c r="E408" s="147"/>
      <c r="F408" s="147"/>
      <c r="G408" s="147"/>
      <c r="H408" s="147"/>
      <c r="I408" s="147"/>
      <c r="J408" s="147"/>
      <c r="K408" s="147"/>
      <c r="L408" s="147"/>
      <c r="M408" s="147"/>
      <c r="N408" s="147"/>
      <c r="O408" s="147"/>
      <c r="P408" s="147"/>
      <c r="Q408" s="147">
        <v>5</v>
      </c>
      <c r="R408" s="148"/>
      <c r="S408" s="148"/>
      <c r="T408" s="148"/>
      <c r="U408" s="148"/>
      <c r="V408" s="148"/>
      <c r="W408" s="148"/>
      <c r="X408" s="148"/>
      <c r="Y408" s="148"/>
      <c r="Z408" s="148"/>
      <c r="AA408" s="148"/>
      <c r="AB408" s="148"/>
      <c r="AC408" s="148"/>
    </row>
    <row r="409" spans="1:29">
      <c r="A409" s="149">
        <v>45922</v>
      </c>
      <c r="B409" s="147" t="s">
        <v>243</v>
      </c>
      <c r="C409" s="147">
        <v>1</v>
      </c>
      <c r="D409" s="147">
        <v>1</v>
      </c>
      <c r="E409" s="147"/>
      <c r="F409" s="147"/>
      <c r="G409" s="147"/>
      <c r="H409" s="147"/>
      <c r="I409" s="147"/>
      <c r="J409" s="147"/>
      <c r="K409" s="147"/>
      <c r="L409" s="147"/>
      <c r="M409" s="147"/>
      <c r="N409" s="147"/>
      <c r="O409" s="147"/>
      <c r="P409" s="147"/>
      <c r="Q409" s="147"/>
      <c r="R409" s="148"/>
      <c r="S409" s="148"/>
      <c r="T409" s="148"/>
      <c r="U409" s="148"/>
      <c r="V409" s="148"/>
      <c r="W409" s="148"/>
      <c r="X409" s="148"/>
      <c r="Y409" s="148"/>
      <c r="Z409" s="148"/>
      <c r="AA409" s="148"/>
      <c r="AB409" s="148"/>
      <c r="AC409" s="148"/>
    </row>
    <row r="410" spans="1:29">
      <c r="A410" s="149">
        <v>45922</v>
      </c>
      <c r="B410" s="147" t="s">
        <v>61</v>
      </c>
      <c r="C410" s="147">
        <v>1</v>
      </c>
      <c r="D410" s="147"/>
      <c r="E410" s="147"/>
      <c r="F410" s="147"/>
      <c r="G410" s="147"/>
      <c r="H410" s="147"/>
      <c r="I410" s="147"/>
      <c r="J410" s="147">
        <v>1</v>
      </c>
      <c r="K410" s="147"/>
      <c r="L410" s="147"/>
      <c r="M410" s="147"/>
      <c r="N410" s="147"/>
      <c r="O410" s="147"/>
      <c r="P410" s="147"/>
      <c r="Q410" s="147">
        <v>22</v>
      </c>
      <c r="R410" s="148"/>
      <c r="S410" s="148"/>
      <c r="T410" s="148"/>
      <c r="U410" s="148"/>
      <c r="V410" s="148"/>
      <c r="W410" s="148"/>
      <c r="X410" s="148"/>
      <c r="Y410" s="148"/>
      <c r="Z410" s="148"/>
      <c r="AA410" s="148"/>
      <c r="AB410" s="148"/>
      <c r="AC410" s="148"/>
    </row>
    <row r="411" spans="1:29">
      <c r="A411" s="149">
        <v>45922</v>
      </c>
      <c r="B411" s="147" t="s">
        <v>1229</v>
      </c>
      <c r="C411" s="147"/>
      <c r="D411" s="147"/>
      <c r="E411" s="147"/>
      <c r="F411" s="147"/>
      <c r="G411" s="147"/>
      <c r="H411" s="147"/>
      <c r="I411" s="147"/>
      <c r="J411" s="147"/>
      <c r="K411" s="147"/>
      <c r="L411" s="147"/>
      <c r="M411" s="147"/>
      <c r="N411" s="147"/>
      <c r="O411" s="147"/>
      <c r="P411" s="147"/>
      <c r="Q411" s="147">
        <v>46</v>
      </c>
      <c r="R411" s="148"/>
      <c r="S411" s="148"/>
      <c r="T411" s="148"/>
      <c r="U411" s="148"/>
      <c r="V411" s="148"/>
      <c r="W411" s="148"/>
      <c r="X411" s="148"/>
      <c r="Y411" s="148"/>
      <c r="Z411" s="148"/>
      <c r="AA411" s="148"/>
      <c r="AB411" s="148"/>
      <c r="AC411" s="148"/>
    </row>
    <row r="412" spans="1:29">
      <c r="A412" s="149">
        <v>45923</v>
      </c>
      <c r="B412" s="147" t="s">
        <v>115</v>
      </c>
      <c r="C412" s="147">
        <v>2</v>
      </c>
      <c r="D412" s="147"/>
      <c r="E412" s="147"/>
      <c r="F412" s="147"/>
      <c r="G412" s="147"/>
      <c r="H412" s="147"/>
      <c r="I412" s="147">
        <v>1</v>
      </c>
      <c r="J412" s="147">
        <v>1</v>
      </c>
      <c r="K412" s="147"/>
      <c r="L412" s="147"/>
      <c r="M412" s="147"/>
      <c r="N412" s="147"/>
      <c r="O412" s="147"/>
      <c r="P412" s="147"/>
      <c r="Q412" s="147">
        <v>17</v>
      </c>
      <c r="R412" s="148"/>
      <c r="S412" s="148"/>
      <c r="T412" s="148"/>
      <c r="U412" s="148"/>
      <c r="V412" s="148"/>
      <c r="W412" s="148"/>
      <c r="X412" s="148"/>
      <c r="Y412" s="148"/>
      <c r="Z412" s="148"/>
      <c r="AA412" s="148"/>
      <c r="AB412" s="148"/>
      <c r="AC412" s="148"/>
    </row>
    <row r="413" spans="1:29">
      <c r="A413" s="149">
        <v>45923</v>
      </c>
      <c r="B413" s="147" t="s">
        <v>1229</v>
      </c>
      <c r="C413" s="147">
        <v>2</v>
      </c>
      <c r="D413" s="147"/>
      <c r="E413" s="147"/>
      <c r="F413" s="147"/>
      <c r="G413" s="147"/>
      <c r="H413" s="147">
        <v>1</v>
      </c>
      <c r="I413" s="147"/>
      <c r="J413" s="147"/>
      <c r="K413" s="147"/>
      <c r="L413" s="147">
        <v>1</v>
      </c>
      <c r="M413" s="147"/>
      <c r="N413" s="147"/>
      <c r="O413" s="147"/>
      <c r="P413" s="147"/>
      <c r="Q413" s="147">
        <v>36</v>
      </c>
      <c r="R413" s="148"/>
      <c r="S413" s="148"/>
      <c r="T413" s="148"/>
      <c r="U413" s="148"/>
      <c r="V413" s="148"/>
      <c r="W413" s="148"/>
      <c r="X413" s="148"/>
      <c r="Y413" s="148"/>
      <c r="Z413" s="148"/>
      <c r="AA413" s="148"/>
      <c r="AB413" s="148"/>
      <c r="AC413" s="148"/>
    </row>
    <row r="414" spans="1:29">
      <c r="A414" s="149">
        <v>45923</v>
      </c>
      <c r="B414" s="147" t="s">
        <v>243</v>
      </c>
      <c r="C414" s="147"/>
      <c r="D414" s="147"/>
      <c r="E414" s="147"/>
      <c r="F414" s="147"/>
      <c r="G414" s="147"/>
      <c r="H414" s="147"/>
      <c r="I414" s="147"/>
      <c r="J414" s="147"/>
      <c r="K414" s="147"/>
      <c r="L414" s="147"/>
      <c r="M414" s="147"/>
      <c r="N414" s="147"/>
      <c r="O414" s="147"/>
      <c r="P414" s="147"/>
      <c r="Q414" s="147"/>
      <c r="R414" s="148"/>
      <c r="S414" s="148"/>
      <c r="T414" s="148"/>
      <c r="U414" s="148"/>
      <c r="V414" s="148"/>
      <c r="W414" s="148"/>
      <c r="X414" s="148"/>
      <c r="Y414" s="148"/>
      <c r="Z414" s="148"/>
      <c r="AA414" s="148"/>
      <c r="AB414" s="148"/>
      <c r="AC414" s="148"/>
    </row>
    <row r="415" spans="1:29">
      <c r="A415" s="149">
        <v>45923</v>
      </c>
      <c r="B415" s="147" t="s">
        <v>1774</v>
      </c>
      <c r="C415" s="147">
        <v>1</v>
      </c>
      <c r="D415" s="147"/>
      <c r="E415" s="147">
        <v>1</v>
      </c>
      <c r="F415" s="147"/>
      <c r="G415" s="147"/>
      <c r="H415" s="147"/>
      <c r="I415" s="147"/>
      <c r="J415" s="147"/>
      <c r="K415" s="147"/>
      <c r="L415" s="147"/>
      <c r="M415" s="147"/>
      <c r="N415" s="147"/>
      <c r="O415" s="147"/>
      <c r="P415" s="147"/>
      <c r="Q415" s="147">
        <v>29</v>
      </c>
      <c r="R415" s="148"/>
      <c r="S415" s="148"/>
      <c r="T415" s="148"/>
      <c r="U415" s="148"/>
      <c r="V415" s="148"/>
      <c r="W415" s="148"/>
      <c r="X415" s="148"/>
      <c r="Y415" s="148"/>
      <c r="Z415" s="148"/>
      <c r="AA415" s="148"/>
      <c r="AB415" s="148"/>
      <c r="AC415" s="148"/>
    </row>
    <row r="416" spans="1:29">
      <c r="A416" s="149">
        <v>45923</v>
      </c>
      <c r="B416" s="147" t="s">
        <v>61</v>
      </c>
      <c r="C416" s="147"/>
      <c r="D416" s="147"/>
      <c r="E416" s="147"/>
      <c r="F416" s="147"/>
      <c r="G416" s="147"/>
      <c r="H416" s="147"/>
      <c r="I416" s="147"/>
      <c r="J416" s="147"/>
      <c r="K416" s="147"/>
      <c r="L416" s="147"/>
      <c r="M416" s="147"/>
      <c r="N416" s="147"/>
      <c r="O416" s="147"/>
      <c r="P416" s="147"/>
      <c r="Q416" s="147">
        <v>42</v>
      </c>
      <c r="R416" s="148"/>
      <c r="S416" s="148"/>
      <c r="T416" s="148"/>
      <c r="U416" s="148"/>
      <c r="V416" s="148"/>
      <c r="W416" s="148"/>
      <c r="X416" s="148"/>
      <c r="Y416" s="148"/>
      <c r="Z416" s="148"/>
      <c r="AA416" s="148"/>
      <c r="AB416" s="148"/>
      <c r="AC416" s="148"/>
    </row>
    <row r="417" spans="1:29">
      <c r="A417" s="149">
        <v>45924</v>
      </c>
      <c r="B417" s="147" t="s">
        <v>115</v>
      </c>
      <c r="C417" s="147"/>
      <c r="D417" s="147"/>
      <c r="E417" s="147"/>
      <c r="F417" s="147"/>
      <c r="G417" s="147"/>
      <c r="H417" s="147"/>
      <c r="I417" s="147"/>
      <c r="J417" s="147"/>
      <c r="K417" s="147"/>
      <c r="L417" s="147"/>
      <c r="M417" s="147"/>
      <c r="N417" s="147"/>
      <c r="O417" s="147"/>
      <c r="P417" s="147"/>
      <c r="Q417" s="147">
        <v>19</v>
      </c>
      <c r="R417" s="148"/>
      <c r="S417" s="148"/>
      <c r="T417" s="148"/>
      <c r="U417" s="148"/>
      <c r="V417" s="148"/>
      <c r="W417" s="148"/>
      <c r="X417" s="148"/>
      <c r="Y417" s="148"/>
      <c r="Z417" s="148"/>
      <c r="AA417" s="148"/>
      <c r="AB417" s="148"/>
      <c r="AC417" s="148"/>
    </row>
    <row r="418" spans="1:29">
      <c r="A418" s="149">
        <v>45924</v>
      </c>
      <c r="B418" s="147" t="s">
        <v>1774</v>
      </c>
      <c r="C418" s="147">
        <v>1</v>
      </c>
      <c r="D418" s="147"/>
      <c r="E418" s="147"/>
      <c r="F418" s="147"/>
      <c r="G418" s="147"/>
      <c r="H418" s="147"/>
      <c r="I418" s="147">
        <v>1</v>
      </c>
      <c r="J418" s="147"/>
      <c r="K418" s="147"/>
      <c r="L418" s="147"/>
      <c r="M418" s="147"/>
      <c r="N418" s="147"/>
      <c r="O418" s="147"/>
      <c r="P418" s="147"/>
      <c r="Q418" s="147">
        <v>23</v>
      </c>
      <c r="R418" s="148"/>
      <c r="S418" s="148"/>
      <c r="T418" s="148"/>
      <c r="U418" s="148"/>
      <c r="V418" s="148"/>
      <c r="W418" s="148"/>
      <c r="X418" s="148"/>
      <c r="Y418" s="148"/>
      <c r="Z418" s="148"/>
      <c r="AA418" s="148"/>
      <c r="AB418" s="148"/>
      <c r="AC418" s="148"/>
    </row>
    <row r="419" spans="1:29">
      <c r="A419" s="149">
        <v>45924</v>
      </c>
      <c r="B419" s="147" t="s">
        <v>243</v>
      </c>
      <c r="C419" s="147"/>
      <c r="D419" s="147"/>
      <c r="E419" s="147"/>
      <c r="F419" s="147"/>
      <c r="G419" s="147"/>
      <c r="H419" s="147"/>
      <c r="I419" s="147"/>
      <c r="J419" s="147"/>
      <c r="K419" s="147"/>
      <c r="L419" s="147"/>
      <c r="M419" s="147"/>
      <c r="N419" s="147"/>
      <c r="O419" s="147"/>
      <c r="P419" s="147"/>
      <c r="Q419" s="147">
        <v>6</v>
      </c>
      <c r="R419" s="148"/>
      <c r="S419" s="148"/>
      <c r="T419" s="148"/>
      <c r="U419" s="148"/>
      <c r="V419" s="148"/>
      <c r="W419" s="148"/>
      <c r="X419" s="148"/>
      <c r="Y419" s="148"/>
      <c r="Z419" s="148"/>
      <c r="AA419" s="148"/>
      <c r="AB419" s="148"/>
      <c r="AC419" s="148"/>
    </row>
    <row r="420" spans="1:29">
      <c r="A420" s="149">
        <v>45924</v>
      </c>
      <c r="B420" s="147" t="s">
        <v>61</v>
      </c>
      <c r="C420" s="147">
        <v>2</v>
      </c>
      <c r="D420" s="147"/>
      <c r="E420" s="147"/>
      <c r="F420" s="147"/>
      <c r="G420" s="147"/>
      <c r="H420" s="147"/>
      <c r="I420" s="147"/>
      <c r="J420" s="147"/>
      <c r="K420" s="147">
        <v>1</v>
      </c>
      <c r="L420" s="147">
        <v>1</v>
      </c>
      <c r="M420" s="147"/>
      <c r="N420" s="147"/>
      <c r="O420" s="147"/>
      <c r="P420" s="147"/>
      <c r="Q420" s="147">
        <v>47</v>
      </c>
      <c r="R420" s="148"/>
      <c r="S420" s="148"/>
      <c r="T420" s="148"/>
      <c r="U420" s="148"/>
      <c r="V420" s="148"/>
      <c r="W420" s="148"/>
      <c r="X420" s="148"/>
      <c r="Y420" s="148"/>
      <c r="Z420" s="148"/>
      <c r="AA420" s="148"/>
      <c r="AB420" s="148"/>
      <c r="AC420" s="148"/>
    </row>
    <row r="421" spans="1:29">
      <c r="A421" s="149">
        <v>45924</v>
      </c>
      <c r="B421" s="147" t="s">
        <v>61</v>
      </c>
      <c r="C421" s="147">
        <v>2</v>
      </c>
      <c r="D421" s="147"/>
      <c r="E421" s="147"/>
      <c r="F421" s="147"/>
      <c r="G421" s="147"/>
      <c r="H421" s="147"/>
      <c r="I421" s="147"/>
      <c r="J421" s="147">
        <v>1</v>
      </c>
      <c r="K421" s="147"/>
      <c r="L421" s="147">
        <v>1</v>
      </c>
      <c r="M421" s="147"/>
      <c r="N421" s="147"/>
      <c r="O421" s="147"/>
      <c r="P421" s="147"/>
      <c r="Q421" s="147">
        <v>47</v>
      </c>
      <c r="R421" s="148"/>
      <c r="S421" s="148"/>
      <c r="T421" s="148"/>
      <c r="U421" s="148"/>
      <c r="V421" s="148"/>
      <c r="W421" s="148"/>
      <c r="X421" s="148"/>
      <c r="Y421" s="148"/>
      <c r="Z421" s="148"/>
      <c r="AA421" s="148"/>
      <c r="AB421" s="148"/>
      <c r="AC421" s="148"/>
    </row>
    <row r="422" spans="1:29">
      <c r="A422" s="149">
        <v>45924</v>
      </c>
      <c r="B422" s="147" t="s">
        <v>1229</v>
      </c>
      <c r="C422" s="147">
        <v>1</v>
      </c>
      <c r="D422" s="147"/>
      <c r="E422" s="147"/>
      <c r="F422" s="147">
        <v>1</v>
      </c>
      <c r="G422" s="147"/>
      <c r="H422" s="147"/>
      <c r="I422" s="147"/>
      <c r="J422" s="147"/>
      <c r="K422" s="147"/>
      <c r="L422" s="147"/>
      <c r="M422" s="147"/>
      <c r="N422" s="147"/>
      <c r="O422" s="147"/>
      <c r="P422" s="147"/>
      <c r="Q422" s="147">
        <v>28</v>
      </c>
      <c r="R422" s="148"/>
      <c r="S422" s="148"/>
      <c r="T422" s="148"/>
      <c r="U422" s="148"/>
      <c r="V422" s="148"/>
      <c r="W422" s="148"/>
      <c r="X422" s="148"/>
      <c r="Y422" s="148"/>
      <c r="Z422" s="148"/>
      <c r="AA422" s="148"/>
      <c r="AB422" s="148"/>
      <c r="AC422" s="148"/>
    </row>
    <row r="423" spans="1:29">
      <c r="A423" s="149">
        <v>45925</v>
      </c>
      <c r="B423" s="147" t="s">
        <v>115</v>
      </c>
      <c r="C423" s="147">
        <v>1</v>
      </c>
      <c r="D423" s="147"/>
      <c r="E423" s="147"/>
      <c r="F423" s="147"/>
      <c r="G423" s="147"/>
      <c r="H423" s="147"/>
      <c r="I423" s="147"/>
      <c r="J423" s="147"/>
      <c r="K423" s="147">
        <v>1</v>
      </c>
      <c r="L423" s="147"/>
      <c r="M423" s="147"/>
      <c r="N423" s="147"/>
      <c r="O423" s="147"/>
      <c r="P423" s="147"/>
      <c r="Q423" s="147">
        <v>17</v>
      </c>
      <c r="R423" s="148"/>
      <c r="S423" s="148"/>
      <c r="T423" s="148"/>
      <c r="U423" s="148"/>
      <c r="V423" s="148"/>
      <c r="W423" s="148"/>
      <c r="X423" s="148"/>
      <c r="Y423" s="148"/>
      <c r="Z423" s="148"/>
      <c r="AA423" s="148"/>
      <c r="AB423" s="148"/>
      <c r="AC423" s="148"/>
    </row>
    <row r="424" spans="1:29">
      <c r="A424" s="149">
        <v>45925</v>
      </c>
      <c r="B424" s="147" t="s">
        <v>61</v>
      </c>
      <c r="C424" s="147">
        <v>6</v>
      </c>
      <c r="D424" s="147">
        <v>1</v>
      </c>
      <c r="E424" s="147">
        <v>2</v>
      </c>
      <c r="F424" s="147"/>
      <c r="G424" s="147"/>
      <c r="H424" s="147"/>
      <c r="I424" s="147"/>
      <c r="J424" s="147">
        <v>2</v>
      </c>
      <c r="K424" s="147"/>
      <c r="L424" s="147">
        <v>1</v>
      </c>
      <c r="M424" s="147"/>
      <c r="N424" s="147"/>
      <c r="O424" s="147"/>
      <c r="P424" s="147"/>
      <c r="Q424" s="147">
        <v>6</v>
      </c>
      <c r="R424" s="148"/>
      <c r="S424" s="148"/>
      <c r="T424" s="148"/>
      <c r="U424" s="148"/>
      <c r="V424" s="148"/>
      <c r="W424" s="148"/>
      <c r="X424" s="148"/>
      <c r="Y424" s="148"/>
      <c r="Z424" s="148"/>
      <c r="AA424" s="148"/>
      <c r="AB424" s="148"/>
      <c r="AC424" s="148"/>
    </row>
    <row r="425" spans="1:29">
      <c r="A425" s="149">
        <v>45925</v>
      </c>
      <c r="B425" s="147" t="s">
        <v>1774</v>
      </c>
      <c r="C425" s="147">
        <v>2</v>
      </c>
      <c r="D425" s="147"/>
      <c r="E425" s="147"/>
      <c r="F425" s="147"/>
      <c r="G425" s="147"/>
      <c r="H425" s="147"/>
      <c r="I425" s="147"/>
      <c r="J425" s="147">
        <v>1</v>
      </c>
      <c r="K425" s="147">
        <v>1</v>
      </c>
      <c r="L425" s="147"/>
      <c r="M425" s="147"/>
      <c r="N425" s="147"/>
      <c r="O425" s="147"/>
      <c r="P425" s="147"/>
      <c r="Q425" s="147">
        <v>23</v>
      </c>
      <c r="R425" s="148"/>
      <c r="S425" s="148"/>
      <c r="T425" s="148"/>
      <c r="U425" s="148"/>
      <c r="V425" s="148"/>
      <c r="W425" s="148"/>
      <c r="X425" s="148"/>
      <c r="Y425" s="148"/>
      <c r="Z425" s="148"/>
      <c r="AA425" s="148"/>
      <c r="AB425" s="148"/>
      <c r="AC425" s="148"/>
    </row>
    <row r="426" spans="1:29">
      <c r="A426" s="149">
        <v>45925</v>
      </c>
      <c r="B426" s="147" t="s">
        <v>243</v>
      </c>
      <c r="C426" s="147">
        <v>1</v>
      </c>
      <c r="D426" s="147">
        <v>1</v>
      </c>
      <c r="E426" s="147"/>
      <c r="F426" s="147"/>
      <c r="G426" s="147"/>
      <c r="H426" s="147"/>
      <c r="I426" s="147"/>
      <c r="J426" s="147"/>
      <c r="K426" s="147"/>
      <c r="L426" s="147"/>
      <c r="M426" s="147"/>
      <c r="N426" s="147"/>
      <c r="O426" s="147"/>
      <c r="P426" s="147"/>
      <c r="Q426" s="147"/>
      <c r="R426" s="148"/>
      <c r="S426" s="148"/>
      <c r="T426" s="148"/>
      <c r="U426" s="148"/>
      <c r="V426" s="148"/>
      <c r="W426" s="148"/>
      <c r="X426" s="148"/>
      <c r="Y426" s="148"/>
      <c r="Z426" s="148"/>
      <c r="AA426" s="148"/>
      <c r="AB426" s="148"/>
      <c r="AC426" s="148"/>
    </row>
    <row r="427" spans="1:29">
      <c r="A427" s="149">
        <v>45925</v>
      </c>
      <c r="B427" s="147" t="s">
        <v>1229</v>
      </c>
      <c r="C427" s="147">
        <v>2</v>
      </c>
      <c r="D427" s="147"/>
      <c r="E427" s="147"/>
      <c r="F427" s="147">
        <v>2</v>
      </c>
      <c r="G427" s="147"/>
      <c r="H427" s="147"/>
      <c r="I427" s="147"/>
      <c r="J427" s="147"/>
      <c r="K427" s="147"/>
      <c r="L427" s="147"/>
      <c r="M427" s="147"/>
      <c r="N427" s="147"/>
      <c r="O427" s="147"/>
      <c r="P427" s="147"/>
      <c r="Q427" s="147">
        <v>26</v>
      </c>
      <c r="R427" s="148"/>
      <c r="S427" s="148"/>
      <c r="T427" s="148"/>
      <c r="U427" s="148"/>
      <c r="V427" s="148"/>
      <c r="W427" s="148"/>
      <c r="X427" s="148"/>
      <c r="Y427" s="148"/>
      <c r="Z427" s="148"/>
      <c r="AA427" s="148"/>
      <c r="AB427" s="148"/>
      <c r="AC427" s="148"/>
    </row>
    <row r="428" spans="1:29">
      <c r="A428" s="149">
        <v>45926</v>
      </c>
      <c r="B428" s="147" t="s">
        <v>1229</v>
      </c>
      <c r="C428" s="147"/>
      <c r="D428" s="147"/>
      <c r="E428" s="147"/>
      <c r="F428" s="147">
        <v>1</v>
      </c>
      <c r="G428" s="147"/>
      <c r="H428" s="147"/>
      <c r="I428" s="147"/>
      <c r="J428" s="147"/>
      <c r="K428" s="147"/>
      <c r="L428" s="147"/>
      <c r="M428" s="147"/>
      <c r="N428" s="147"/>
      <c r="O428" s="147"/>
      <c r="P428" s="147"/>
      <c r="Q428" s="147"/>
      <c r="R428" s="148"/>
      <c r="S428" s="148"/>
      <c r="T428" s="148"/>
      <c r="U428" s="148"/>
      <c r="V428" s="148"/>
      <c r="W428" s="148"/>
      <c r="X428" s="148"/>
      <c r="Y428" s="148"/>
      <c r="Z428" s="148"/>
      <c r="AA428" s="148"/>
      <c r="AB428" s="148"/>
      <c r="AC428" s="148"/>
    </row>
    <row r="429" spans="1:29">
      <c r="A429" s="149">
        <v>45926</v>
      </c>
      <c r="B429" s="147" t="s">
        <v>1774</v>
      </c>
      <c r="C429" s="147"/>
      <c r="D429" s="147"/>
      <c r="E429" s="147"/>
      <c r="F429" s="147"/>
      <c r="G429" s="147"/>
      <c r="H429" s="147"/>
      <c r="I429" s="147"/>
      <c r="J429" s="147"/>
      <c r="K429" s="147"/>
      <c r="L429" s="147"/>
      <c r="M429" s="147"/>
      <c r="N429" s="147"/>
      <c r="O429" s="147"/>
      <c r="P429" s="147"/>
      <c r="Q429" s="147"/>
      <c r="R429" s="148"/>
      <c r="S429" s="148"/>
      <c r="T429" s="148"/>
      <c r="U429" s="148"/>
      <c r="V429" s="148"/>
      <c r="W429" s="148"/>
      <c r="X429" s="148"/>
      <c r="Y429" s="148"/>
      <c r="Z429" s="148"/>
      <c r="AA429" s="148"/>
      <c r="AB429" s="148"/>
      <c r="AC429" s="148"/>
    </row>
    <row r="430" spans="1:29">
      <c r="A430" s="149">
        <v>45926</v>
      </c>
      <c r="B430" s="147" t="s">
        <v>1229</v>
      </c>
      <c r="C430" s="147"/>
      <c r="D430" s="147"/>
      <c r="E430" s="147"/>
      <c r="F430" s="147">
        <v>1</v>
      </c>
      <c r="G430" s="147"/>
      <c r="H430" s="147"/>
      <c r="I430" s="147"/>
      <c r="J430" s="147"/>
      <c r="K430" s="147"/>
      <c r="L430" s="147"/>
      <c r="M430" s="147"/>
      <c r="N430" s="147"/>
      <c r="O430" s="147"/>
      <c r="P430" s="147"/>
      <c r="Q430" s="147"/>
      <c r="R430" s="148"/>
      <c r="S430" s="148"/>
      <c r="T430" s="148"/>
      <c r="U430" s="148"/>
      <c r="V430" s="148"/>
      <c r="W430" s="148"/>
      <c r="X430" s="148"/>
      <c r="Y430" s="148"/>
      <c r="Z430" s="148"/>
      <c r="AA430" s="148"/>
      <c r="AB430" s="148"/>
      <c r="AC430" s="148"/>
    </row>
    <row r="431" spans="1:29">
      <c r="A431" s="149">
        <v>45926</v>
      </c>
      <c r="B431" s="147" t="s">
        <v>61</v>
      </c>
      <c r="C431" s="147">
        <v>2</v>
      </c>
      <c r="D431" s="147"/>
      <c r="E431" s="147"/>
      <c r="F431" s="147"/>
      <c r="G431" s="147"/>
      <c r="H431" s="147"/>
      <c r="I431" s="147">
        <v>1</v>
      </c>
      <c r="J431" s="147">
        <v>1</v>
      </c>
      <c r="K431" s="147"/>
      <c r="L431" s="147"/>
      <c r="M431" s="147"/>
      <c r="N431" s="147"/>
      <c r="O431" s="147"/>
      <c r="P431" s="147"/>
      <c r="Q431" s="147">
        <v>0</v>
      </c>
      <c r="R431" s="148"/>
      <c r="S431" s="148"/>
      <c r="T431" s="148"/>
      <c r="U431" s="148"/>
      <c r="V431" s="148"/>
      <c r="W431" s="148"/>
      <c r="X431" s="148"/>
      <c r="Y431" s="148"/>
      <c r="Z431" s="148"/>
      <c r="AA431" s="148"/>
      <c r="AB431" s="148"/>
      <c r="AC431" s="148"/>
    </row>
    <row r="432" spans="1:29">
      <c r="A432" s="149">
        <v>45927</v>
      </c>
      <c r="B432" s="147" t="s">
        <v>115</v>
      </c>
      <c r="C432" s="147">
        <v>2</v>
      </c>
      <c r="D432" s="147"/>
      <c r="E432" s="147">
        <v>1</v>
      </c>
      <c r="F432" s="147"/>
      <c r="G432" s="147"/>
      <c r="H432" s="147"/>
      <c r="I432" s="147"/>
      <c r="J432" s="147"/>
      <c r="K432" s="147">
        <v>1</v>
      </c>
      <c r="L432" s="147"/>
      <c r="M432" s="147"/>
      <c r="N432" s="147"/>
      <c r="O432" s="147"/>
      <c r="P432" s="147"/>
      <c r="Q432" s="147"/>
      <c r="R432" s="148"/>
      <c r="S432" s="148"/>
      <c r="T432" s="148"/>
      <c r="U432" s="148"/>
      <c r="V432" s="148"/>
      <c r="W432" s="148"/>
      <c r="X432" s="148"/>
      <c r="Y432" s="148"/>
      <c r="Z432" s="148"/>
      <c r="AA432" s="148"/>
      <c r="AB432" s="148"/>
      <c r="AC432" s="148"/>
    </row>
    <row r="433" spans="1:29">
      <c r="A433" s="149">
        <v>45927</v>
      </c>
      <c r="B433" s="147" t="s">
        <v>1774</v>
      </c>
      <c r="C433" s="147">
        <v>1</v>
      </c>
      <c r="D433" s="147"/>
      <c r="E433" s="147"/>
      <c r="F433" s="147"/>
      <c r="G433" s="147"/>
      <c r="H433" s="147"/>
      <c r="I433" s="147"/>
      <c r="J433" s="147">
        <v>1</v>
      </c>
      <c r="K433" s="147"/>
      <c r="L433" s="147"/>
      <c r="M433" s="147"/>
      <c r="N433" s="147"/>
      <c r="O433" s="147"/>
      <c r="P433" s="147"/>
      <c r="Q433" s="147"/>
      <c r="R433" s="148"/>
      <c r="S433" s="148"/>
      <c r="T433" s="148"/>
      <c r="U433" s="148"/>
      <c r="V433" s="148"/>
      <c r="W433" s="148"/>
      <c r="X433" s="148"/>
      <c r="Y433" s="148"/>
      <c r="Z433" s="148"/>
      <c r="AA433" s="148"/>
      <c r="AB433" s="148"/>
      <c r="AC433" s="148"/>
    </row>
    <row r="434" spans="1:29">
      <c r="A434" s="149">
        <v>45927</v>
      </c>
      <c r="B434" s="147" t="s">
        <v>61</v>
      </c>
      <c r="C434" s="147">
        <v>2</v>
      </c>
      <c r="D434" s="147"/>
      <c r="E434" s="147"/>
      <c r="F434" s="147"/>
      <c r="G434" s="147"/>
      <c r="H434" s="147"/>
      <c r="I434" s="147"/>
      <c r="J434" s="147">
        <v>2</v>
      </c>
      <c r="K434" s="147"/>
      <c r="L434" s="147"/>
      <c r="M434" s="147"/>
      <c r="N434" s="147"/>
      <c r="O434" s="147"/>
      <c r="P434" s="147"/>
      <c r="Q434" s="147"/>
      <c r="R434" s="148"/>
      <c r="S434" s="148"/>
      <c r="T434" s="148"/>
      <c r="U434" s="148"/>
      <c r="V434" s="148"/>
      <c r="W434" s="148"/>
      <c r="X434" s="148"/>
      <c r="Y434" s="148"/>
      <c r="Z434" s="148"/>
      <c r="AA434" s="148"/>
      <c r="AB434" s="148"/>
      <c r="AC434" s="148"/>
    </row>
    <row r="435" spans="1:29">
      <c r="A435" s="149">
        <v>45927</v>
      </c>
      <c r="B435" s="147" t="s">
        <v>1229</v>
      </c>
      <c r="C435" s="147">
        <v>1</v>
      </c>
      <c r="D435" s="147"/>
      <c r="E435" s="147"/>
      <c r="F435" s="147"/>
      <c r="G435" s="147"/>
      <c r="H435" s="147"/>
      <c r="I435" s="147"/>
      <c r="J435" s="147">
        <v>1</v>
      </c>
      <c r="K435" s="147"/>
      <c r="L435" s="147"/>
      <c r="M435" s="147"/>
      <c r="N435" s="147"/>
      <c r="O435" s="147"/>
      <c r="P435" s="147"/>
      <c r="Q435" s="147"/>
      <c r="R435" s="148"/>
      <c r="S435" s="148"/>
      <c r="T435" s="148"/>
      <c r="U435" s="148"/>
      <c r="V435" s="148"/>
      <c r="W435" s="148"/>
      <c r="X435" s="148"/>
      <c r="Y435" s="148"/>
      <c r="Z435" s="148"/>
      <c r="AA435" s="148"/>
      <c r="AB435" s="148"/>
      <c r="AC435" s="148"/>
    </row>
    <row r="436" spans="1:29">
      <c r="A436" s="149">
        <v>45927</v>
      </c>
      <c r="B436" s="147" t="s">
        <v>243</v>
      </c>
      <c r="C436" s="147"/>
      <c r="D436" s="147"/>
      <c r="E436" s="147"/>
      <c r="F436" s="147"/>
      <c r="G436" s="147"/>
      <c r="H436" s="147"/>
      <c r="I436" s="147"/>
      <c r="J436" s="147"/>
      <c r="K436" s="147"/>
      <c r="L436" s="147"/>
      <c r="M436" s="147"/>
      <c r="N436" s="147"/>
      <c r="O436" s="147"/>
      <c r="P436" s="147"/>
      <c r="Q436" s="147"/>
      <c r="R436" s="148"/>
      <c r="S436" s="148"/>
      <c r="T436" s="148"/>
      <c r="U436" s="148"/>
      <c r="V436" s="148"/>
      <c r="W436" s="148"/>
      <c r="X436" s="148"/>
      <c r="Y436" s="148"/>
      <c r="Z436" s="148"/>
      <c r="AA436" s="148"/>
      <c r="AB436" s="148"/>
      <c r="AC436" s="148"/>
    </row>
    <row r="437" spans="1:29">
      <c r="A437" s="149">
        <v>45928</v>
      </c>
      <c r="B437" s="147" t="s">
        <v>61</v>
      </c>
      <c r="C437" s="147">
        <v>1</v>
      </c>
      <c r="D437" s="147"/>
      <c r="E437" s="147"/>
      <c r="F437" s="147"/>
      <c r="G437" s="147"/>
      <c r="H437" s="147"/>
      <c r="I437" s="147"/>
      <c r="J437" s="147">
        <v>1</v>
      </c>
      <c r="K437" s="147"/>
      <c r="L437" s="147"/>
      <c r="M437" s="147"/>
      <c r="N437" s="147"/>
      <c r="O437" s="147"/>
      <c r="P437" s="147"/>
      <c r="Q437" s="147"/>
      <c r="R437" s="148"/>
      <c r="S437" s="148"/>
      <c r="T437" s="148"/>
      <c r="U437" s="148"/>
      <c r="V437" s="148"/>
      <c r="W437" s="148"/>
      <c r="X437" s="148"/>
      <c r="Y437" s="148"/>
      <c r="Z437" s="148"/>
      <c r="AA437" s="148"/>
      <c r="AB437" s="148"/>
      <c r="AC437" s="148"/>
    </row>
    <row r="438" spans="1:29">
      <c r="A438" s="149">
        <v>45929</v>
      </c>
      <c r="B438" s="147" t="s">
        <v>1229</v>
      </c>
      <c r="C438" s="147">
        <v>2</v>
      </c>
      <c r="D438" s="147">
        <v>1</v>
      </c>
      <c r="E438" s="147">
        <v>1</v>
      </c>
      <c r="F438" s="147"/>
      <c r="G438" s="147"/>
      <c r="H438" s="147"/>
      <c r="I438" s="147"/>
      <c r="J438" s="147"/>
      <c r="K438" s="147"/>
      <c r="L438" s="147"/>
      <c r="M438" s="147"/>
      <c r="N438" s="147"/>
      <c r="O438" s="147"/>
      <c r="P438" s="147"/>
      <c r="Q438" s="147"/>
      <c r="R438" s="148"/>
      <c r="S438" s="148"/>
      <c r="T438" s="148"/>
      <c r="U438" s="148"/>
      <c r="V438" s="148"/>
      <c r="W438" s="148"/>
      <c r="X438" s="148"/>
      <c r="Y438" s="148"/>
      <c r="Z438" s="148"/>
      <c r="AA438" s="148"/>
      <c r="AB438" s="148"/>
      <c r="AC438" s="148"/>
    </row>
    <row r="439" spans="1:29">
      <c r="A439" s="149">
        <v>45928</v>
      </c>
      <c r="B439" s="147" t="s">
        <v>1774</v>
      </c>
      <c r="C439" s="147"/>
      <c r="D439" s="147"/>
      <c r="E439" s="147"/>
      <c r="F439" s="147"/>
      <c r="G439" s="147"/>
      <c r="H439" s="147"/>
      <c r="I439" s="147"/>
      <c r="J439" s="147"/>
      <c r="K439" s="147"/>
      <c r="L439" s="147"/>
      <c r="M439" s="147"/>
      <c r="N439" s="147"/>
      <c r="O439" s="147"/>
      <c r="P439" s="147"/>
      <c r="Q439" s="147"/>
      <c r="R439" s="148"/>
      <c r="S439" s="148"/>
      <c r="T439" s="148"/>
      <c r="U439" s="148"/>
      <c r="V439" s="148"/>
      <c r="W439" s="148"/>
      <c r="X439" s="148"/>
      <c r="Y439" s="148"/>
      <c r="Z439" s="148"/>
      <c r="AA439" s="148"/>
      <c r="AB439" s="148"/>
      <c r="AC439" s="148"/>
    </row>
    <row r="440" spans="1:29">
      <c r="A440" s="149">
        <v>45928</v>
      </c>
      <c r="B440" s="147" t="s">
        <v>1229</v>
      </c>
      <c r="C440" s="147">
        <v>2</v>
      </c>
      <c r="D440" s="147"/>
      <c r="E440" s="147">
        <v>2</v>
      </c>
      <c r="F440" s="147"/>
      <c r="G440" s="147"/>
      <c r="H440" s="147"/>
      <c r="I440" s="147"/>
      <c r="J440" s="147"/>
      <c r="K440" s="147"/>
      <c r="L440" s="147"/>
      <c r="M440" s="147"/>
      <c r="N440" s="147"/>
      <c r="O440" s="147"/>
      <c r="P440" s="147"/>
      <c r="Q440" s="147"/>
      <c r="R440" s="148"/>
      <c r="S440" s="148"/>
      <c r="T440" s="148"/>
      <c r="U440" s="148"/>
      <c r="V440" s="148"/>
      <c r="W440" s="148"/>
      <c r="X440" s="148"/>
      <c r="Y440" s="148"/>
      <c r="Z440" s="148"/>
      <c r="AA440" s="148"/>
      <c r="AB440" s="148"/>
      <c r="AC440" s="148"/>
    </row>
    <row r="441" spans="1:29">
      <c r="A441" s="149">
        <v>45928</v>
      </c>
      <c r="B441" s="147" t="s">
        <v>243</v>
      </c>
      <c r="C441" s="147"/>
      <c r="D441" s="147"/>
      <c r="E441" s="147"/>
      <c r="F441" s="147"/>
      <c r="G441" s="147"/>
      <c r="H441" s="147"/>
      <c r="I441" s="147"/>
      <c r="J441" s="147"/>
      <c r="K441" s="147"/>
      <c r="L441" s="147"/>
      <c r="M441" s="147"/>
      <c r="N441" s="147"/>
      <c r="O441" s="147"/>
      <c r="P441" s="147"/>
      <c r="Q441" s="147"/>
      <c r="R441" s="148"/>
      <c r="S441" s="148"/>
      <c r="T441" s="148"/>
      <c r="U441" s="148"/>
      <c r="V441" s="148"/>
      <c r="W441" s="148"/>
      <c r="X441" s="148"/>
      <c r="Y441" s="148"/>
      <c r="Z441" s="148"/>
      <c r="AA441" s="148"/>
      <c r="AB441" s="148"/>
      <c r="AC441" s="148"/>
    </row>
    <row r="442" spans="1:29">
      <c r="A442" s="149">
        <v>45930</v>
      </c>
      <c r="B442" s="147" t="s">
        <v>115</v>
      </c>
      <c r="C442" s="147">
        <v>1</v>
      </c>
      <c r="D442" s="147"/>
      <c r="E442" s="147">
        <v>1</v>
      </c>
      <c r="F442" s="147"/>
      <c r="G442" s="147"/>
      <c r="H442" s="147"/>
      <c r="I442" s="147"/>
      <c r="J442" s="147"/>
      <c r="K442" s="147"/>
      <c r="L442" s="147"/>
      <c r="M442" s="147"/>
      <c r="N442" s="147"/>
      <c r="O442" s="147"/>
      <c r="P442" s="147"/>
      <c r="Q442" s="147"/>
      <c r="R442" s="148"/>
      <c r="S442" s="148"/>
      <c r="T442" s="148"/>
      <c r="U442" s="148"/>
      <c r="V442" s="148"/>
      <c r="W442" s="148"/>
      <c r="X442" s="148"/>
      <c r="Y442" s="148"/>
      <c r="Z442" s="148"/>
      <c r="AA442" s="148"/>
      <c r="AB442" s="148"/>
      <c r="AC442" s="148"/>
    </row>
    <row r="443" spans="1:29">
      <c r="A443" s="149">
        <v>45930</v>
      </c>
      <c r="B443" s="147" t="s">
        <v>61</v>
      </c>
      <c r="C443" s="147">
        <v>5</v>
      </c>
      <c r="D443" s="147">
        <v>1</v>
      </c>
      <c r="E443" s="147">
        <v>1</v>
      </c>
      <c r="F443" s="147"/>
      <c r="G443" s="147">
        <v>1</v>
      </c>
      <c r="H443" s="147"/>
      <c r="I443" s="147"/>
      <c r="J443" s="147">
        <v>1</v>
      </c>
      <c r="K443" s="147"/>
      <c r="L443" s="147"/>
      <c r="M443" s="147">
        <v>1</v>
      </c>
      <c r="N443" s="147"/>
      <c r="O443" s="147"/>
      <c r="P443" s="147"/>
      <c r="Q443" s="147"/>
      <c r="R443" s="148"/>
      <c r="S443" s="148"/>
      <c r="T443" s="148"/>
      <c r="U443" s="148"/>
      <c r="V443" s="148"/>
      <c r="W443" s="148"/>
      <c r="X443" s="148"/>
      <c r="Y443" s="148"/>
      <c r="Z443" s="148"/>
      <c r="AA443" s="148"/>
      <c r="AB443" s="148"/>
      <c r="AC443" s="148"/>
    </row>
    <row r="444" spans="1:29">
      <c r="A444" s="149">
        <v>45930</v>
      </c>
      <c r="B444" s="147" t="s">
        <v>243</v>
      </c>
      <c r="C444" s="147"/>
      <c r="D444" s="147"/>
      <c r="E444" s="147"/>
      <c r="F444" s="147"/>
      <c r="G444" s="147"/>
      <c r="H444" s="147"/>
      <c r="I444" s="147"/>
      <c r="J444" s="147"/>
      <c r="K444" s="147"/>
      <c r="L444" s="147"/>
      <c r="M444" s="147"/>
      <c r="N444" s="147"/>
      <c r="O444" s="147"/>
      <c r="P444" s="147"/>
      <c r="Q444" s="147"/>
      <c r="R444" s="148"/>
      <c r="S444" s="148"/>
      <c r="T444" s="148"/>
      <c r="U444" s="148"/>
      <c r="V444" s="148"/>
      <c r="W444" s="148"/>
      <c r="X444" s="148"/>
      <c r="Y444" s="148"/>
      <c r="Z444" s="148"/>
      <c r="AA444" s="148"/>
      <c r="AB444" s="148"/>
      <c r="AC444" s="148"/>
    </row>
    <row r="445" spans="1:29">
      <c r="A445" s="149">
        <v>45930</v>
      </c>
      <c r="B445" s="147" t="s">
        <v>1774</v>
      </c>
      <c r="C445" s="147"/>
      <c r="D445" s="147"/>
      <c r="E445" s="147"/>
      <c r="F445" s="147"/>
      <c r="G445" s="147"/>
      <c r="H445" s="147"/>
      <c r="I445" s="147"/>
      <c r="J445" s="147"/>
      <c r="K445" s="147"/>
      <c r="L445" s="147"/>
      <c r="M445" s="147"/>
      <c r="N445" s="147"/>
      <c r="O445" s="147"/>
      <c r="P445" s="147"/>
      <c r="Q445" s="147"/>
      <c r="R445" s="148"/>
      <c r="S445" s="148"/>
      <c r="T445" s="148"/>
      <c r="U445" s="148"/>
      <c r="V445" s="148"/>
      <c r="W445" s="148"/>
      <c r="X445" s="148"/>
      <c r="Y445" s="148"/>
      <c r="Z445" s="148"/>
      <c r="AA445" s="148"/>
      <c r="AB445" s="148"/>
      <c r="AC445" s="148"/>
    </row>
    <row r="446" spans="1:29">
      <c r="A446" s="149">
        <v>45931</v>
      </c>
      <c r="B446" s="147" t="s">
        <v>115</v>
      </c>
      <c r="C446" s="147">
        <v>1</v>
      </c>
      <c r="D446" s="147"/>
      <c r="E446" s="147"/>
      <c r="F446" s="147"/>
      <c r="G446" s="147"/>
      <c r="H446" s="147"/>
      <c r="I446" s="147"/>
      <c r="J446" s="147"/>
      <c r="K446" s="147"/>
      <c r="L446" s="147"/>
      <c r="M446" s="147">
        <v>1</v>
      </c>
      <c r="N446" s="147"/>
      <c r="O446" s="147"/>
      <c r="P446" s="147"/>
      <c r="Q446" s="147"/>
      <c r="R446" s="148"/>
      <c r="S446" s="148"/>
      <c r="T446" s="148"/>
      <c r="U446" s="148"/>
      <c r="V446" s="148"/>
      <c r="W446" s="148"/>
      <c r="X446" s="148"/>
      <c r="Y446" s="148"/>
      <c r="Z446" s="148"/>
      <c r="AA446" s="148"/>
      <c r="AB446" s="148"/>
      <c r="AC446" s="148"/>
    </row>
    <row r="447" spans="1:29">
      <c r="A447" s="150">
        <v>45931</v>
      </c>
      <c r="B447" s="147" t="s">
        <v>1774</v>
      </c>
      <c r="C447" s="147">
        <v>2</v>
      </c>
      <c r="D447" s="147"/>
      <c r="E447" s="147"/>
      <c r="F447" s="147"/>
      <c r="G447" s="147"/>
      <c r="H447" s="147"/>
      <c r="I447" s="147">
        <v>1</v>
      </c>
      <c r="J447" s="147"/>
      <c r="K447" s="147">
        <v>1</v>
      </c>
      <c r="L447" s="147"/>
      <c r="M447" s="147"/>
      <c r="N447" s="147"/>
      <c r="O447" s="147"/>
      <c r="P447" s="147"/>
      <c r="Q447" s="147"/>
      <c r="R447" s="148"/>
      <c r="S447" s="148"/>
      <c r="T447" s="148"/>
      <c r="U447" s="148"/>
      <c r="V447" s="148"/>
      <c r="W447" s="148"/>
      <c r="X447" s="148"/>
      <c r="Y447" s="148"/>
      <c r="Z447" s="148"/>
      <c r="AA447" s="148"/>
      <c r="AB447" s="148"/>
      <c r="AC447" s="148"/>
    </row>
    <row r="448" spans="1:29">
      <c r="A448" s="150">
        <v>45931</v>
      </c>
      <c r="B448" s="147" t="s">
        <v>61</v>
      </c>
      <c r="C448" s="147">
        <v>2</v>
      </c>
      <c r="D448" s="147"/>
      <c r="E448" s="147">
        <v>2</v>
      </c>
      <c r="F448" s="147"/>
      <c r="G448" s="147"/>
      <c r="H448" s="147"/>
      <c r="I448" s="147"/>
      <c r="J448" s="147"/>
      <c r="K448" s="147"/>
      <c r="L448" s="147"/>
      <c r="M448" s="147"/>
      <c r="N448" s="147"/>
      <c r="O448" s="147"/>
      <c r="P448" s="147"/>
      <c r="Q448" s="147">
        <v>10</v>
      </c>
      <c r="R448" s="148"/>
      <c r="S448" s="148"/>
      <c r="T448" s="148"/>
      <c r="U448" s="148"/>
      <c r="V448" s="148"/>
      <c r="W448" s="148"/>
      <c r="X448" s="148"/>
      <c r="Y448" s="148"/>
      <c r="Z448" s="148"/>
      <c r="AA448" s="148"/>
      <c r="AB448" s="148"/>
      <c r="AC448" s="148"/>
    </row>
    <row r="449" spans="1:29">
      <c r="A449" s="150">
        <v>45932</v>
      </c>
      <c r="B449" s="147" t="s">
        <v>61</v>
      </c>
      <c r="C449" s="147">
        <v>2</v>
      </c>
      <c r="D449" s="147">
        <v>1</v>
      </c>
      <c r="E449" s="147"/>
      <c r="F449" s="147"/>
      <c r="G449" s="147"/>
      <c r="H449" s="147"/>
      <c r="I449" s="147"/>
      <c r="J449" s="147">
        <v>1</v>
      </c>
      <c r="K449" s="147"/>
      <c r="L449" s="147"/>
      <c r="M449" s="147"/>
      <c r="N449" s="147"/>
      <c r="O449" s="147"/>
      <c r="P449" s="147"/>
      <c r="Q449" s="147">
        <v>19</v>
      </c>
      <c r="R449" s="148"/>
      <c r="S449" s="148"/>
      <c r="T449" s="148"/>
      <c r="U449" s="148"/>
      <c r="V449" s="148"/>
      <c r="W449" s="148"/>
      <c r="X449" s="148"/>
      <c r="Y449" s="148"/>
      <c r="Z449" s="148"/>
      <c r="AA449" s="148"/>
      <c r="AB449" s="148"/>
      <c r="AC449" s="148"/>
    </row>
    <row r="450" spans="1:29">
      <c r="A450" s="150">
        <v>45932</v>
      </c>
      <c r="B450" s="147" t="s">
        <v>115</v>
      </c>
      <c r="C450" s="147">
        <v>1</v>
      </c>
      <c r="D450" s="147">
        <v>1</v>
      </c>
      <c r="E450" s="147"/>
      <c r="F450" s="147"/>
      <c r="G450" s="147"/>
      <c r="H450" s="147"/>
      <c r="I450" s="147"/>
      <c r="J450" s="147"/>
      <c r="K450" s="147"/>
      <c r="L450" s="147"/>
      <c r="M450" s="147"/>
      <c r="N450" s="147"/>
      <c r="O450" s="147"/>
      <c r="P450" s="147"/>
      <c r="Q450" s="147">
        <v>26</v>
      </c>
      <c r="R450" s="148"/>
      <c r="S450" s="148"/>
      <c r="T450" s="148"/>
      <c r="U450" s="148"/>
      <c r="V450" s="148"/>
      <c r="W450" s="148"/>
      <c r="X450" s="148"/>
      <c r="Y450" s="148"/>
      <c r="Z450" s="148"/>
      <c r="AA450" s="148"/>
      <c r="AB450" s="148"/>
      <c r="AC450" s="148"/>
    </row>
    <row r="451" spans="1:29">
      <c r="A451" s="150">
        <v>45931</v>
      </c>
      <c r="B451" s="147" t="s">
        <v>1774</v>
      </c>
      <c r="C451" s="147">
        <v>2</v>
      </c>
      <c r="D451" s="147"/>
      <c r="E451" s="147"/>
      <c r="F451" s="147"/>
      <c r="G451" s="147"/>
      <c r="H451" s="147"/>
      <c r="I451" s="147">
        <v>1</v>
      </c>
      <c r="J451" s="147"/>
      <c r="K451" s="147">
        <v>1</v>
      </c>
      <c r="L451" s="147"/>
      <c r="M451" s="147"/>
      <c r="N451" s="147"/>
      <c r="O451" s="147"/>
      <c r="P451" s="147"/>
      <c r="Q451" s="147">
        <v>10</v>
      </c>
      <c r="R451" s="148"/>
      <c r="S451" s="148"/>
      <c r="T451" s="148"/>
      <c r="U451" s="148"/>
      <c r="V451" s="148"/>
      <c r="W451" s="148"/>
      <c r="X451" s="148"/>
      <c r="Y451" s="148"/>
      <c r="Z451" s="148"/>
      <c r="AA451" s="148"/>
      <c r="AB451" s="148"/>
      <c r="AC451" s="148"/>
    </row>
    <row r="452" spans="1:29">
      <c r="A452" s="150">
        <v>45932</v>
      </c>
      <c r="B452" s="147" t="s">
        <v>1774</v>
      </c>
      <c r="C452" s="147">
        <v>4</v>
      </c>
      <c r="D452" s="147">
        <v>2</v>
      </c>
      <c r="E452" s="147"/>
      <c r="F452" s="147"/>
      <c r="G452" s="147"/>
      <c r="H452" s="147"/>
      <c r="I452" s="147"/>
      <c r="J452" s="147">
        <v>2</v>
      </c>
      <c r="K452" s="147"/>
      <c r="L452" s="147"/>
      <c r="M452" s="147"/>
      <c r="N452" s="147"/>
      <c r="O452" s="147"/>
      <c r="P452" s="147"/>
      <c r="Q452" s="147">
        <v>18</v>
      </c>
      <c r="R452" s="148"/>
      <c r="S452" s="148"/>
      <c r="T452" s="148"/>
      <c r="U452" s="148"/>
      <c r="V452" s="148"/>
      <c r="W452" s="148"/>
      <c r="X452" s="148"/>
      <c r="Y452" s="148"/>
      <c r="Z452" s="148"/>
      <c r="AA452" s="148"/>
      <c r="AB452" s="148"/>
      <c r="AC452" s="148"/>
    </row>
    <row r="453" spans="1:29">
      <c r="A453" s="150">
        <v>45931</v>
      </c>
      <c r="B453" s="147" t="s">
        <v>243</v>
      </c>
      <c r="C453" s="147"/>
      <c r="D453" s="147"/>
      <c r="E453" s="147"/>
      <c r="F453" s="147"/>
      <c r="G453" s="147"/>
      <c r="H453" s="147"/>
      <c r="I453" s="147"/>
      <c r="J453" s="147"/>
      <c r="K453" s="147"/>
      <c r="L453" s="147"/>
      <c r="M453" s="147"/>
      <c r="N453" s="147"/>
      <c r="O453" s="147"/>
      <c r="P453" s="147"/>
      <c r="Q453" s="147">
        <v>11</v>
      </c>
      <c r="R453" s="148"/>
      <c r="S453" s="148"/>
      <c r="T453" s="148"/>
      <c r="U453" s="148"/>
      <c r="V453" s="148"/>
      <c r="W453" s="148"/>
      <c r="X453" s="148"/>
      <c r="Y453" s="148"/>
      <c r="Z453" s="148"/>
      <c r="AA453" s="148"/>
      <c r="AB453" s="148"/>
      <c r="AC453" s="148"/>
    </row>
    <row r="454" spans="1:29">
      <c r="A454" s="150">
        <v>45931</v>
      </c>
      <c r="B454" s="147" t="s">
        <v>243</v>
      </c>
      <c r="C454" s="147"/>
      <c r="D454" s="147"/>
      <c r="E454" s="147"/>
      <c r="F454" s="147"/>
      <c r="G454" s="147"/>
      <c r="H454" s="147"/>
      <c r="I454" s="147"/>
      <c r="J454" s="147"/>
      <c r="K454" s="147"/>
      <c r="L454" s="147"/>
      <c r="M454" s="147"/>
      <c r="N454" s="147"/>
      <c r="O454" s="147"/>
      <c r="P454" s="147"/>
      <c r="Q454" s="147">
        <v>21</v>
      </c>
      <c r="R454" s="148"/>
      <c r="S454" s="148"/>
      <c r="T454" s="148"/>
      <c r="U454" s="148"/>
      <c r="V454" s="148"/>
      <c r="W454" s="148"/>
      <c r="X454" s="148"/>
      <c r="Y454" s="148"/>
      <c r="Z454" s="148"/>
      <c r="AA454" s="148"/>
      <c r="AB454" s="148"/>
      <c r="AC454" s="148"/>
    </row>
    <row r="455" spans="1:29">
      <c r="A455" s="147" t="s">
        <v>6186</v>
      </c>
      <c r="B455" s="147" t="s">
        <v>1229</v>
      </c>
      <c r="C455" s="147"/>
      <c r="D455" s="147"/>
      <c r="E455" s="147"/>
      <c r="F455" s="147"/>
      <c r="G455" s="147"/>
      <c r="H455" s="147"/>
      <c r="I455" s="147"/>
      <c r="J455" s="147"/>
      <c r="K455" s="147"/>
      <c r="L455" s="147"/>
      <c r="M455" s="147"/>
      <c r="N455" s="147"/>
      <c r="O455" s="147"/>
      <c r="P455" s="147"/>
      <c r="Q455" s="147">
        <v>8</v>
      </c>
      <c r="R455" s="148"/>
      <c r="S455" s="148"/>
      <c r="T455" s="148"/>
      <c r="U455" s="148"/>
      <c r="V455" s="148"/>
      <c r="W455" s="148"/>
      <c r="X455" s="148"/>
      <c r="Y455" s="148"/>
      <c r="Z455" s="148"/>
      <c r="AA455" s="148"/>
      <c r="AB455" s="148"/>
      <c r="AC455" s="148"/>
    </row>
    <row r="456" spans="1:29">
      <c r="A456" s="149">
        <v>45931</v>
      </c>
      <c r="B456" s="147" t="s">
        <v>1229</v>
      </c>
      <c r="C456" s="147"/>
      <c r="D456" s="147"/>
      <c r="E456" s="147"/>
      <c r="F456" s="147"/>
      <c r="G456" s="147"/>
      <c r="H456" s="147"/>
      <c r="I456" s="147"/>
      <c r="J456" s="147"/>
      <c r="K456" s="147"/>
      <c r="L456" s="147"/>
      <c r="M456" s="147"/>
      <c r="N456" s="147"/>
      <c r="O456" s="147"/>
      <c r="P456" s="147"/>
      <c r="Q456" s="147">
        <v>8</v>
      </c>
      <c r="R456" s="148"/>
      <c r="S456" s="148"/>
      <c r="T456" s="148"/>
      <c r="U456" s="148"/>
      <c r="V456" s="148"/>
      <c r="W456" s="148"/>
      <c r="X456" s="148"/>
      <c r="Y456" s="148"/>
      <c r="Z456" s="148"/>
      <c r="AA456" s="148"/>
      <c r="AB456" s="148"/>
      <c r="AC456" s="148"/>
    </row>
    <row r="457" spans="1:29">
      <c r="A457" s="149">
        <v>45932</v>
      </c>
      <c r="B457" s="147" t="s">
        <v>1229</v>
      </c>
      <c r="C457" s="147">
        <v>3</v>
      </c>
      <c r="D457" s="147"/>
      <c r="E457" s="147"/>
      <c r="F457" s="147"/>
      <c r="G457" s="147"/>
      <c r="H457" s="147"/>
      <c r="I457" s="147"/>
      <c r="J457" s="147">
        <v>3</v>
      </c>
      <c r="K457" s="147"/>
      <c r="L457" s="147"/>
      <c r="M457" s="147"/>
      <c r="N457" s="147"/>
      <c r="O457" s="147"/>
      <c r="P457" s="147"/>
      <c r="Q457" s="147">
        <v>19</v>
      </c>
      <c r="R457" s="148"/>
      <c r="S457" s="148"/>
      <c r="T457" s="148"/>
      <c r="U457" s="148"/>
      <c r="V457" s="148"/>
      <c r="W457" s="148"/>
      <c r="X457" s="148"/>
      <c r="Y457" s="148"/>
      <c r="Z457" s="148"/>
      <c r="AA457" s="148"/>
      <c r="AB457" s="148"/>
      <c r="AC457" s="148"/>
    </row>
    <row r="458" spans="1:29">
      <c r="A458" s="149">
        <v>45933</v>
      </c>
      <c r="B458" s="147" t="s">
        <v>115</v>
      </c>
      <c r="C458" s="147">
        <v>2</v>
      </c>
      <c r="D458" s="147"/>
      <c r="E458" s="147"/>
      <c r="F458" s="147"/>
      <c r="G458" s="147"/>
      <c r="H458" s="147"/>
      <c r="I458" s="147"/>
      <c r="J458" s="147"/>
      <c r="K458" s="147">
        <v>1</v>
      </c>
      <c r="L458" s="147"/>
      <c r="M458" s="147">
        <v>1</v>
      </c>
      <c r="N458" s="147"/>
      <c r="O458" s="147"/>
      <c r="P458" s="147"/>
      <c r="Q458" s="147">
        <v>44</v>
      </c>
      <c r="R458" s="148"/>
      <c r="S458" s="148"/>
      <c r="T458" s="148"/>
      <c r="U458" s="148"/>
      <c r="V458" s="148"/>
      <c r="W458" s="148"/>
      <c r="X458" s="148"/>
      <c r="Y458" s="148"/>
      <c r="Z458" s="148"/>
      <c r="AA458" s="148"/>
      <c r="AB458" s="148"/>
      <c r="AC458" s="148"/>
    </row>
    <row r="459" spans="1:29">
      <c r="A459" s="149">
        <v>45933</v>
      </c>
      <c r="B459" s="147" t="s">
        <v>1774</v>
      </c>
      <c r="C459" s="147">
        <v>2</v>
      </c>
      <c r="D459" s="147">
        <v>1</v>
      </c>
      <c r="E459" s="147">
        <v>1</v>
      </c>
      <c r="F459" s="147"/>
      <c r="G459" s="147"/>
      <c r="H459" s="147"/>
      <c r="I459" s="147"/>
      <c r="J459" s="147"/>
      <c r="K459" s="147"/>
      <c r="L459" s="147"/>
      <c r="M459" s="147"/>
      <c r="N459" s="147"/>
      <c r="O459" s="147"/>
      <c r="P459" s="147"/>
      <c r="Q459" s="147">
        <v>41</v>
      </c>
      <c r="R459" s="148"/>
      <c r="S459" s="148"/>
      <c r="T459" s="148"/>
      <c r="U459" s="148"/>
      <c r="V459" s="148"/>
      <c r="W459" s="148"/>
      <c r="X459" s="148"/>
      <c r="Y459" s="148"/>
      <c r="Z459" s="148"/>
      <c r="AA459" s="148"/>
      <c r="AB459" s="148"/>
      <c r="AC459" s="148"/>
    </row>
    <row r="460" spans="1:29">
      <c r="A460" s="149">
        <v>45933</v>
      </c>
      <c r="B460" s="147" t="s">
        <v>1229</v>
      </c>
      <c r="C460" s="147">
        <v>1</v>
      </c>
      <c r="D460" s="147"/>
      <c r="E460" s="147">
        <v>1</v>
      </c>
      <c r="F460" s="147"/>
      <c r="G460" s="147"/>
      <c r="H460" s="147"/>
      <c r="I460" s="147"/>
      <c r="J460" s="147"/>
      <c r="K460" s="147"/>
      <c r="L460" s="147"/>
      <c r="M460" s="147"/>
      <c r="N460" s="147"/>
      <c r="O460" s="147"/>
      <c r="P460" s="147"/>
      <c r="Q460" s="147">
        <v>43</v>
      </c>
      <c r="R460" s="148"/>
      <c r="S460" s="148"/>
      <c r="T460" s="148"/>
      <c r="U460" s="148"/>
      <c r="V460" s="148"/>
      <c r="W460" s="148"/>
      <c r="X460" s="148"/>
      <c r="Y460" s="148"/>
      <c r="Z460" s="148"/>
      <c r="AA460" s="148"/>
      <c r="AB460" s="148"/>
      <c r="AC460" s="148"/>
    </row>
    <row r="461" spans="1:29">
      <c r="A461" s="149">
        <v>45933</v>
      </c>
      <c r="B461" s="147" t="s">
        <v>243</v>
      </c>
      <c r="C461" s="147"/>
      <c r="D461" s="147"/>
      <c r="E461" s="147"/>
      <c r="F461" s="147"/>
      <c r="G461" s="147"/>
      <c r="H461" s="147"/>
      <c r="I461" s="147"/>
      <c r="J461" s="147"/>
      <c r="K461" s="147"/>
      <c r="L461" s="147"/>
      <c r="M461" s="147"/>
      <c r="N461" s="147"/>
      <c r="O461" s="147"/>
      <c r="P461" s="147"/>
      <c r="Q461" s="147">
        <v>42</v>
      </c>
      <c r="R461" s="148"/>
      <c r="S461" s="148"/>
      <c r="T461" s="148"/>
      <c r="U461" s="148"/>
      <c r="V461" s="148"/>
      <c r="W461" s="148"/>
      <c r="X461" s="148"/>
      <c r="Y461" s="148"/>
      <c r="Z461" s="148"/>
      <c r="AA461" s="148"/>
      <c r="AB461" s="148"/>
      <c r="AC461" s="148"/>
    </row>
    <row r="462" spans="1:29">
      <c r="A462" s="149">
        <v>45933</v>
      </c>
      <c r="B462" s="147" t="s">
        <v>61</v>
      </c>
      <c r="C462" s="147">
        <v>3</v>
      </c>
      <c r="D462" s="147">
        <v>1</v>
      </c>
      <c r="E462" s="147"/>
      <c r="F462" s="147"/>
      <c r="G462" s="147"/>
      <c r="H462" s="147">
        <v>1</v>
      </c>
      <c r="I462" s="147"/>
      <c r="J462" s="147"/>
      <c r="K462" s="147">
        <v>1</v>
      </c>
      <c r="L462" s="147"/>
      <c r="M462" s="147"/>
      <c r="N462" s="147"/>
      <c r="O462" s="147"/>
      <c r="P462" s="147"/>
      <c r="Q462" s="147">
        <v>21</v>
      </c>
      <c r="R462" s="148"/>
      <c r="S462" s="148"/>
      <c r="T462" s="148"/>
      <c r="U462" s="148"/>
      <c r="V462" s="148"/>
      <c r="W462" s="148"/>
      <c r="X462" s="148"/>
      <c r="Y462" s="148"/>
      <c r="Z462" s="148"/>
      <c r="AA462" s="148"/>
      <c r="AB462" s="148"/>
      <c r="AC462" s="148"/>
    </row>
    <row r="463" spans="1:29">
      <c r="A463" s="149">
        <v>45934</v>
      </c>
      <c r="B463" s="147" t="s">
        <v>61</v>
      </c>
      <c r="C463" s="147">
        <v>2</v>
      </c>
      <c r="D463" s="147">
        <v>2</v>
      </c>
      <c r="E463" s="147"/>
      <c r="F463" s="147"/>
      <c r="G463" s="147"/>
      <c r="H463" s="147"/>
      <c r="I463" s="147"/>
      <c r="J463" s="147"/>
      <c r="K463" s="147"/>
      <c r="L463" s="147"/>
      <c r="M463" s="147"/>
      <c r="N463" s="147"/>
      <c r="O463" s="147"/>
      <c r="P463" s="147"/>
      <c r="Q463" s="147">
        <v>47</v>
      </c>
      <c r="R463" s="148"/>
      <c r="S463" s="148"/>
      <c r="T463" s="148"/>
      <c r="U463" s="148"/>
      <c r="V463" s="148"/>
      <c r="W463" s="148"/>
      <c r="X463" s="148"/>
      <c r="Y463" s="148"/>
      <c r="Z463" s="148"/>
      <c r="AA463" s="148"/>
      <c r="AB463" s="148"/>
      <c r="AC463" s="148"/>
    </row>
    <row r="464" spans="1:29">
      <c r="A464" s="149">
        <v>45934</v>
      </c>
      <c r="B464" s="147" t="s">
        <v>1774</v>
      </c>
      <c r="C464" s="147"/>
      <c r="D464" s="147"/>
      <c r="E464" s="147"/>
      <c r="F464" s="147"/>
      <c r="G464" s="147"/>
      <c r="H464" s="147"/>
      <c r="I464" s="147"/>
      <c r="J464" s="147"/>
      <c r="K464" s="147"/>
      <c r="L464" s="147"/>
      <c r="M464" s="147"/>
      <c r="N464" s="147"/>
      <c r="O464" s="147"/>
      <c r="P464" s="147"/>
      <c r="Q464" s="147">
        <v>12</v>
      </c>
      <c r="R464" s="148"/>
      <c r="S464" s="148"/>
      <c r="T464" s="148"/>
      <c r="U464" s="148"/>
      <c r="V464" s="148"/>
      <c r="W464" s="148"/>
      <c r="X464" s="148"/>
      <c r="Y464" s="148"/>
      <c r="Z464" s="148"/>
      <c r="AA464" s="148"/>
      <c r="AB464" s="148"/>
      <c r="AC464" s="148"/>
    </row>
    <row r="465" spans="1:29">
      <c r="A465" s="149">
        <v>45934</v>
      </c>
      <c r="B465" s="147" t="s">
        <v>115</v>
      </c>
      <c r="C465" s="147">
        <v>2</v>
      </c>
      <c r="D465" s="147"/>
      <c r="E465" s="147"/>
      <c r="F465" s="147"/>
      <c r="G465" s="147"/>
      <c r="H465" s="147"/>
      <c r="I465" s="147"/>
      <c r="J465" s="147"/>
      <c r="K465" s="147">
        <v>2</v>
      </c>
      <c r="L465" s="147"/>
      <c r="M465" s="147"/>
      <c r="N465" s="147"/>
      <c r="O465" s="147"/>
      <c r="P465" s="147"/>
      <c r="Q465" s="147">
        <v>16</v>
      </c>
      <c r="R465" s="148"/>
      <c r="S465" s="148"/>
      <c r="T465" s="148"/>
      <c r="U465" s="148"/>
      <c r="V465" s="148"/>
      <c r="W465" s="148"/>
      <c r="X465" s="148"/>
      <c r="Y465" s="148"/>
      <c r="Z465" s="148"/>
      <c r="AA465" s="148"/>
      <c r="AB465" s="148"/>
      <c r="AC465" s="148"/>
    </row>
    <row r="466" spans="1:29">
      <c r="A466" s="149">
        <v>45934</v>
      </c>
      <c r="B466" s="147" t="s">
        <v>243</v>
      </c>
      <c r="C466" s="147"/>
      <c r="D466" s="147"/>
      <c r="E466" s="147"/>
      <c r="F466" s="147"/>
      <c r="G466" s="147"/>
      <c r="H466" s="147"/>
      <c r="I466" s="147"/>
      <c r="J466" s="147"/>
      <c r="K466" s="147"/>
      <c r="L466" s="147"/>
      <c r="M466" s="147"/>
      <c r="N466" s="147"/>
      <c r="O466" s="147"/>
      <c r="P466" s="147"/>
      <c r="Q466" s="147">
        <v>11</v>
      </c>
      <c r="R466" s="148"/>
      <c r="S466" s="148"/>
      <c r="T466" s="148"/>
      <c r="U466" s="148"/>
      <c r="V466" s="148"/>
      <c r="W466" s="148"/>
      <c r="X466" s="148"/>
      <c r="Y466" s="148"/>
      <c r="Z466" s="148"/>
      <c r="AA466" s="148"/>
      <c r="AB466" s="148"/>
      <c r="AC466" s="148"/>
    </row>
    <row r="467" spans="1:29">
      <c r="A467" s="149">
        <v>45934</v>
      </c>
      <c r="B467" s="147" t="s">
        <v>1229</v>
      </c>
      <c r="C467" s="147">
        <v>2</v>
      </c>
      <c r="D467" s="147">
        <v>1</v>
      </c>
      <c r="E467" s="147"/>
      <c r="F467" s="147"/>
      <c r="G467" s="147"/>
      <c r="H467" s="147"/>
      <c r="I467" s="147"/>
      <c r="J467" s="147"/>
      <c r="K467" s="147">
        <v>1</v>
      </c>
      <c r="L467" s="147"/>
      <c r="M467" s="147"/>
      <c r="N467" s="147"/>
      <c r="O467" s="147"/>
      <c r="P467" s="147"/>
      <c r="Q467" s="147">
        <v>20</v>
      </c>
      <c r="R467" s="148"/>
      <c r="S467" s="148"/>
      <c r="T467" s="148"/>
      <c r="U467" s="148"/>
      <c r="V467" s="148"/>
      <c r="W467" s="148"/>
      <c r="X467" s="148"/>
      <c r="Y467" s="148"/>
      <c r="Z467" s="148"/>
      <c r="AA467" s="148"/>
      <c r="AB467" s="148"/>
      <c r="AC467" s="148"/>
    </row>
    <row r="468" spans="1:29">
      <c r="A468" s="149">
        <v>45935</v>
      </c>
      <c r="B468" s="147" t="s">
        <v>61</v>
      </c>
      <c r="C468" s="147">
        <v>2</v>
      </c>
      <c r="D468" s="147"/>
      <c r="E468" s="147">
        <v>1</v>
      </c>
      <c r="F468" s="147"/>
      <c r="G468" s="147"/>
      <c r="H468" s="147"/>
      <c r="I468" s="147">
        <v>1</v>
      </c>
      <c r="J468" s="147"/>
      <c r="K468" s="147"/>
      <c r="L468" s="147"/>
      <c r="M468" s="147"/>
      <c r="N468" s="147"/>
      <c r="O468" s="147"/>
      <c r="P468" s="147"/>
      <c r="Q468" s="147">
        <v>0</v>
      </c>
      <c r="R468" s="148"/>
      <c r="S468" s="148"/>
      <c r="T468" s="148"/>
      <c r="U468" s="148"/>
      <c r="V468" s="148"/>
      <c r="W468" s="148"/>
      <c r="X468" s="148"/>
      <c r="Y468" s="148"/>
      <c r="Z468" s="148"/>
      <c r="AA468" s="148"/>
      <c r="AB468" s="148"/>
      <c r="AC468" s="148"/>
    </row>
    <row r="469" spans="1:29">
      <c r="A469" s="149">
        <v>45935</v>
      </c>
      <c r="B469" s="147" t="s">
        <v>1774</v>
      </c>
      <c r="C469" s="147">
        <v>1</v>
      </c>
      <c r="D469" s="147">
        <v>1</v>
      </c>
      <c r="E469" s="147"/>
      <c r="F469" s="147"/>
      <c r="G469" s="147"/>
      <c r="H469" s="147"/>
      <c r="I469" s="147"/>
      <c r="J469" s="147"/>
      <c r="K469" s="147"/>
      <c r="L469" s="147"/>
      <c r="M469" s="147"/>
      <c r="N469" s="147"/>
      <c r="O469" s="147"/>
      <c r="P469" s="147"/>
      <c r="Q469" s="147"/>
      <c r="R469" s="148"/>
      <c r="S469" s="148"/>
      <c r="T469" s="148"/>
      <c r="U469" s="148"/>
      <c r="V469" s="148"/>
      <c r="W469" s="148"/>
      <c r="X469" s="148"/>
      <c r="Y469" s="148"/>
      <c r="Z469" s="148"/>
      <c r="AA469" s="148"/>
      <c r="AB469" s="148"/>
      <c r="AC469" s="148"/>
    </row>
    <row r="470" spans="1:29">
      <c r="A470" s="149">
        <v>45935</v>
      </c>
      <c r="B470" s="147" t="s">
        <v>1229</v>
      </c>
      <c r="C470" s="147">
        <v>3</v>
      </c>
      <c r="D470" s="147">
        <v>1</v>
      </c>
      <c r="E470" s="147"/>
      <c r="F470" s="147"/>
      <c r="G470" s="147"/>
      <c r="H470" s="147"/>
      <c r="I470" s="147">
        <v>1</v>
      </c>
      <c r="J470" s="147">
        <v>1</v>
      </c>
      <c r="K470" s="147"/>
      <c r="L470" s="147"/>
      <c r="M470" s="147"/>
      <c r="N470" s="147"/>
      <c r="O470" s="147"/>
      <c r="P470" s="147"/>
      <c r="Q470" s="147"/>
      <c r="R470" s="148"/>
      <c r="S470" s="148"/>
      <c r="T470" s="148"/>
      <c r="U470" s="148"/>
      <c r="V470" s="148"/>
      <c r="W470" s="148"/>
      <c r="X470" s="148"/>
      <c r="Y470" s="148"/>
      <c r="Z470" s="148"/>
      <c r="AA470" s="148"/>
      <c r="AB470" s="148"/>
      <c r="AC470" s="148"/>
    </row>
    <row r="471" spans="1:29">
      <c r="A471" s="149">
        <v>45936</v>
      </c>
      <c r="B471" s="147" t="s">
        <v>1229</v>
      </c>
      <c r="C471" s="147"/>
      <c r="D471" s="147">
        <v>1</v>
      </c>
      <c r="E471" s="147">
        <v>1</v>
      </c>
      <c r="F471" s="147"/>
      <c r="G471" s="147"/>
      <c r="H471" s="147"/>
      <c r="I471" s="147"/>
      <c r="J471" s="147">
        <v>1</v>
      </c>
      <c r="K471" s="147"/>
      <c r="L471" s="147"/>
      <c r="M471" s="147"/>
      <c r="N471" s="147"/>
      <c r="O471" s="147"/>
      <c r="P471" s="147"/>
      <c r="Q471" s="147"/>
      <c r="R471" s="148"/>
      <c r="S471" s="148"/>
      <c r="T471" s="148"/>
      <c r="U471" s="148"/>
      <c r="V471" s="148"/>
      <c r="W471" s="148"/>
      <c r="X471" s="148"/>
      <c r="Y471" s="148"/>
      <c r="Z471" s="148"/>
      <c r="AA471" s="148"/>
      <c r="AB471" s="148"/>
      <c r="AC471" s="148"/>
    </row>
    <row r="472" spans="1:29">
      <c r="A472" s="149">
        <v>45936</v>
      </c>
      <c r="B472" s="147" t="s">
        <v>115</v>
      </c>
      <c r="C472" s="147">
        <v>1</v>
      </c>
      <c r="D472" s="147"/>
      <c r="E472" s="147"/>
      <c r="F472" s="147"/>
      <c r="G472" s="147"/>
      <c r="H472" s="147"/>
      <c r="I472" s="147"/>
      <c r="J472" s="147">
        <v>1</v>
      </c>
      <c r="K472" s="147"/>
      <c r="L472" s="147"/>
      <c r="M472" s="147"/>
      <c r="N472" s="147"/>
      <c r="O472" s="147"/>
      <c r="P472" s="147"/>
      <c r="Q472" s="147"/>
      <c r="R472" s="148"/>
      <c r="S472" s="148"/>
      <c r="T472" s="148"/>
      <c r="U472" s="148"/>
      <c r="V472" s="148"/>
      <c r="W472" s="148"/>
      <c r="X472" s="148"/>
      <c r="Y472" s="148"/>
      <c r="Z472" s="148"/>
      <c r="AA472" s="148"/>
      <c r="AB472" s="148"/>
      <c r="AC472" s="148"/>
    </row>
    <row r="473" spans="1:29">
      <c r="A473" s="149">
        <v>45936</v>
      </c>
      <c r="B473" s="147" t="s">
        <v>1229</v>
      </c>
      <c r="C473" s="147">
        <v>3</v>
      </c>
      <c r="D473" s="147">
        <v>1</v>
      </c>
      <c r="E473" s="147">
        <v>1</v>
      </c>
      <c r="F473" s="147"/>
      <c r="G473" s="147"/>
      <c r="H473" s="147"/>
      <c r="I473" s="147"/>
      <c r="J473" s="147">
        <v>1</v>
      </c>
      <c r="K473" s="147"/>
      <c r="L473" s="147"/>
      <c r="M473" s="147"/>
      <c r="N473" s="147"/>
      <c r="O473" s="147"/>
      <c r="P473" s="147"/>
      <c r="Q473" s="147"/>
      <c r="R473" s="148"/>
      <c r="S473" s="148"/>
      <c r="T473" s="148"/>
      <c r="U473" s="148"/>
      <c r="V473" s="148"/>
      <c r="W473" s="148"/>
      <c r="X473" s="148"/>
      <c r="Y473" s="148"/>
      <c r="Z473" s="148"/>
      <c r="AA473" s="148"/>
      <c r="AB473" s="148"/>
      <c r="AC473" s="148"/>
    </row>
    <row r="474" spans="1:29">
      <c r="A474" s="149">
        <v>45936</v>
      </c>
      <c r="B474" s="147" t="s">
        <v>1774</v>
      </c>
      <c r="C474" s="147">
        <v>2</v>
      </c>
      <c r="D474" s="147">
        <v>2</v>
      </c>
      <c r="E474" s="147"/>
      <c r="F474" s="147"/>
      <c r="G474" s="147"/>
      <c r="H474" s="147"/>
      <c r="I474" s="147"/>
      <c r="J474" s="147"/>
      <c r="K474" s="147"/>
      <c r="L474" s="147"/>
      <c r="M474" s="147"/>
      <c r="N474" s="147"/>
      <c r="O474" s="147"/>
      <c r="P474" s="147"/>
      <c r="Q474" s="147">
        <v>8</v>
      </c>
      <c r="R474" s="148"/>
      <c r="S474" s="148"/>
      <c r="T474" s="148"/>
      <c r="U474" s="148"/>
      <c r="V474" s="148"/>
      <c r="W474" s="148"/>
      <c r="X474" s="148"/>
      <c r="Y474" s="148"/>
      <c r="Z474" s="148"/>
      <c r="AA474" s="148"/>
      <c r="AB474" s="148"/>
      <c r="AC474" s="148"/>
    </row>
    <row r="475" spans="1:29">
      <c r="A475" s="149">
        <v>45936</v>
      </c>
      <c r="B475" s="147" t="s">
        <v>61</v>
      </c>
      <c r="C475" s="147">
        <v>4</v>
      </c>
      <c r="D475" s="147">
        <v>1</v>
      </c>
      <c r="E475" s="147"/>
      <c r="F475" s="147"/>
      <c r="G475" s="147"/>
      <c r="H475" s="147"/>
      <c r="I475" s="147"/>
      <c r="J475" s="147">
        <v>3</v>
      </c>
      <c r="K475" s="147"/>
      <c r="L475" s="147"/>
      <c r="M475" s="147"/>
      <c r="N475" s="147"/>
      <c r="O475" s="147"/>
      <c r="P475" s="147"/>
      <c r="Q475" s="147">
        <v>11</v>
      </c>
      <c r="R475" s="148"/>
      <c r="S475" s="148"/>
      <c r="T475" s="148"/>
      <c r="U475" s="148"/>
      <c r="V475" s="148"/>
      <c r="W475" s="148"/>
      <c r="X475" s="148"/>
      <c r="Y475" s="148"/>
      <c r="Z475" s="148"/>
      <c r="AA475" s="148"/>
      <c r="AB475" s="148"/>
      <c r="AC475" s="148"/>
    </row>
    <row r="476" spans="1:29">
      <c r="A476" s="149">
        <v>45936</v>
      </c>
      <c r="B476" s="147" t="s">
        <v>243</v>
      </c>
      <c r="C476" s="147">
        <v>1</v>
      </c>
      <c r="D476" s="147"/>
      <c r="E476" s="147"/>
      <c r="F476" s="147"/>
      <c r="G476" s="147"/>
      <c r="H476" s="147"/>
      <c r="I476" s="147"/>
      <c r="J476" s="147"/>
      <c r="K476" s="147"/>
      <c r="L476" s="147"/>
      <c r="M476" s="147"/>
      <c r="N476" s="147"/>
      <c r="O476" s="147"/>
      <c r="P476" s="147"/>
      <c r="Q476" s="147"/>
      <c r="R476" s="148"/>
      <c r="S476" s="148"/>
      <c r="T476" s="148"/>
      <c r="U476" s="148"/>
      <c r="V476" s="148"/>
      <c r="W476" s="148"/>
      <c r="X476" s="148"/>
      <c r="Y476" s="148"/>
      <c r="Z476" s="148"/>
      <c r="AA476" s="148"/>
      <c r="AB476" s="148"/>
      <c r="AC476" s="148"/>
    </row>
    <row r="477" spans="1:29">
      <c r="A477" s="149">
        <v>45937</v>
      </c>
      <c r="B477" s="147" t="s">
        <v>61</v>
      </c>
      <c r="C477" s="147">
        <v>7</v>
      </c>
      <c r="D477" s="147">
        <v>4</v>
      </c>
      <c r="E477" s="147">
        <v>1</v>
      </c>
      <c r="F477" s="147"/>
      <c r="G477" s="147"/>
      <c r="H477" s="147"/>
      <c r="I477" s="147">
        <v>1</v>
      </c>
      <c r="J477" s="147">
        <v>1</v>
      </c>
      <c r="K477" s="147"/>
      <c r="L477" s="147"/>
      <c r="M477" s="147"/>
      <c r="N477" s="147"/>
      <c r="O477" s="147"/>
      <c r="P477" s="147"/>
      <c r="Q477" s="147">
        <v>39</v>
      </c>
      <c r="R477" s="148"/>
      <c r="S477" s="148"/>
      <c r="T477" s="148"/>
      <c r="U477" s="148"/>
      <c r="V477" s="148"/>
      <c r="W477" s="148"/>
      <c r="X477" s="148"/>
      <c r="Y477" s="148"/>
      <c r="Z477" s="148"/>
      <c r="AA477" s="148"/>
      <c r="AB477" s="148"/>
      <c r="AC477" s="148"/>
    </row>
    <row r="478" spans="1:29">
      <c r="A478" s="149">
        <v>45937</v>
      </c>
      <c r="B478" s="147" t="s">
        <v>1774</v>
      </c>
      <c r="C478" s="147">
        <v>1</v>
      </c>
      <c r="D478" s="147"/>
      <c r="E478" s="147"/>
      <c r="F478" s="147"/>
      <c r="G478" s="147"/>
      <c r="H478" s="147"/>
      <c r="I478" s="147">
        <v>1</v>
      </c>
      <c r="J478" s="147"/>
      <c r="K478" s="147"/>
      <c r="L478" s="147"/>
      <c r="M478" s="147"/>
      <c r="N478" s="147"/>
      <c r="O478" s="147"/>
      <c r="P478" s="147"/>
      <c r="Q478" s="147">
        <v>39</v>
      </c>
      <c r="R478" s="148"/>
      <c r="S478" s="148"/>
      <c r="T478" s="148"/>
      <c r="U478" s="148"/>
      <c r="V478" s="148"/>
      <c r="W478" s="148"/>
      <c r="X478" s="148"/>
      <c r="Y478" s="148"/>
      <c r="Z478" s="148"/>
      <c r="AA478" s="148"/>
      <c r="AB478" s="148"/>
      <c r="AC478" s="148"/>
    </row>
    <row r="479" spans="1:29">
      <c r="A479" s="149">
        <v>45937</v>
      </c>
      <c r="B479" s="147" t="s">
        <v>115</v>
      </c>
      <c r="C479" s="147"/>
      <c r="D479" s="147"/>
      <c r="E479" s="147"/>
      <c r="F479" s="147"/>
      <c r="G479" s="147"/>
      <c r="H479" s="147"/>
      <c r="I479" s="147"/>
      <c r="J479" s="147"/>
      <c r="K479" s="147"/>
      <c r="L479" s="147"/>
      <c r="M479" s="147"/>
      <c r="N479" s="147"/>
      <c r="O479" s="147"/>
      <c r="P479" s="147"/>
      <c r="Q479" s="147"/>
      <c r="R479" s="148"/>
      <c r="S479" s="148"/>
      <c r="T479" s="148"/>
      <c r="U479" s="148"/>
      <c r="V479" s="148"/>
      <c r="W479" s="148"/>
      <c r="X479" s="148"/>
      <c r="Y479" s="148"/>
      <c r="Z479" s="148"/>
      <c r="AA479" s="148"/>
      <c r="AB479" s="148"/>
      <c r="AC479" s="148"/>
    </row>
    <row r="480" spans="1:29">
      <c r="A480" s="149">
        <v>45937</v>
      </c>
      <c r="B480" s="147" t="s">
        <v>1229</v>
      </c>
      <c r="C480" s="147">
        <v>2</v>
      </c>
      <c r="D480" s="147"/>
      <c r="E480" s="147"/>
      <c r="F480" s="147"/>
      <c r="G480" s="147"/>
      <c r="H480" s="147"/>
      <c r="I480" s="147"/>
      <c r="J480" s="147"/>
      <c r="K480" s="147"/>
      <c r="L480" s="147"/>
      <c r="M480" s="147"/>
      <c r="N480" s="147"/>
      <c r="O480" s="147"/>
      <c r="P480" s="147"/>
      <c r="Q480" s="147">
        <v>14</v>
      </c>
      <c r="R480" s="148"/>
      <c r="S480" s="148"/>
      <c r="T480" s="148"/>
      <c r="U480" s="148"/>
      <c r="V480" s="148"/>
      <c r="W480" s="148"/>
      <c r="X480" s="148"/>
      <c r="Y480" s="148"/>
      <c r="Z480" s="148"/>
      <c r="AA480" s="148"/>
      <c r="AB480" s="148"/>
      <c r="AC480" s="148"/>
    </row>
    <row r="481" spans="1:29">
      <c r="A481" s="149">
        <v>45937</v>
      </c>
      <c r="B481" s="147" t="s">
        <v>1229</v>
      </c>
      <c r="C481" s="147">
        <v>2</v>
      </c>
      <c r="D481" s="147"/>
      <c r="E481" s="147"/>
      <c r="F481" s="147"/>
      <c r="G481" s="147"/>
      <c r="H481" s="147"/>
      <c r="I481" s="147">
        <v>1</v>
      </c>
      <c r="J481" s="147">
        <v>1</v>
      </c>
      <c r="K481" s="147"/>
      <c r="L481" s="147"/>
      <c r="M481" s="147"/>
      <c r="N481" s="147"/>
      <c r="O481" s="147"/>
      <c r="P481" s="147"/>
      <c r="Q481" s="147">
        <v>14</v>
      </c>
      <c r="R481" s="148"/>
      <c r="S481" s="148"/>
      <c r="T481" s="148"/>
      <c r="U481" s="148"/>
      <c r="V481" s="148"/>
      <c r="W481" s="148"/>
      <c r="X481" s="148"/>
      <c r="Y481" s="148"/>
      <c r="Z481" s="148"/>
      <c r="AA481" s="148"/>
      <c r="AB481" s="148"/>
      <c r="AC481" s="148"/>
    </row>
    <row r="482" spans="1:29">
      <c r="A482" s="149">
        <v>45937</v>
      </c>
      <c r="B482" s="147" t="s">
        <v>243</v>
      </c>
      <c r="C482" s="147"/>
      <c r="D482" s="147"/>
      <c r="E482" s="147"/>
      <c r="F482" s="147"/>
      <c r="G482" s="147"/>
      <c r="H482" s="147"/>
      <c r="I482" s="147"/>
      <c r="J482" s="147"/>
      <c r="K482" s="147"/>
      <c r="L482" s="147"/>
      <c r="M482" s="147"/>
      <c r="N482" s="147"/>
      <c r="O482" s="147"/>
      <c r="P482" s="147"/>
      <c r="Q482" s="147"/>
      <c r="R482" s="148"/>
      <c r="S482" s="148"/>
      <c r="T482" s="148"/>
      <c r="U482" s="148"/>
      <c r="V482" s="148"/>
      <c r="W482" s="148"/>
      <c r="X482" s="148"/>
      <c r="Y482" s="148"/>
      <c r="Z482" s="148"/>
      <c r="AA482" s="148"/>
      <c r="AB482" s="148"/>
      <c r="AC482" s="148"/>
    </row>
    <row r="483" spans="1:29">
      <c r="A483" s="149">
        <v>45938</v>
      </c>
      <c r="B483" s="147" t="s">
        <v>1774</v>
      </c>
      <c r="C483" s="147"/>
      <c r="D483" s="147"/>
      <c r="E483" s="147"/>
      <c r="F483" s="147"/>
      <c r="G483" s="147"/>
      <c r="H483" s="147"/>
      <c r="I483" s="147"/>
      <c r="J483" s="147"/>
      <c r="K483" s="147"/>
      <c r="L483" s="147"/>
      <c r="M483" s="147"/>
      <c r="N483" s="147"/>
      <c r="O483" s="147"/>
      <c r="P483" s="147"/>
      <c r="Q483" s="147">
        <v>74</v>
      </c>
      <c r="R483" s="148"/>
      <c r="S483" s="148"/>
      <c r="T483" s="148"/>
      <c r="U483" s="148"/>
      <c r="V483" s="148"/>
      <c r="W483" s="148"/>
      <c r="X483" s="148"/>
      <c r="Y483" s="148"/>
      <c r="Z483" s="148"/>
      <c r="AA483" s="148"/>
      <c r="AB483" s="148"/>
      <c r="AC483" s="148"/>
    </row>
    <row r="484" spans="1:29">
      <c r="A484" s="149">
        <v>45938</v>
      </c>
      <c r="B484" s="147" t="s">
        <v>115</v>
      </c>
      <c r="C484" s="147"/>
      <c r="D484" s="147"/>
      <c r="E484" s="147"/>
      <c r="F484" s="147"/>
      <c r="G484" s="147"/>
      <c r="H484" s="147"/>
      <c r="I484" s="147"/>
      <c r="J484" s="147"/>
      <c r="K484" s="147"/>
      <c r="L484" s="147"/>
      <c r="M484" s="147"/>
      <c r="N484" s="147"/>
      <c r="O484" s="147"/>
      <c r="P484" s="147"/>
      <c r="Q484" s="147"/>
      <c r="R484" s="148"/>
      <c r="S484" s="148"/>
      <c r="T484" s="148"/>
      <c r="U484" s="148"/>
      <c r="V484" s="148"/>
      <c r="W484" s="148"/>
      <c r="X484" s="148"/>
      <c r="Y484" s="148"/>
      <c r="Z484" s="148"/>
      <c r="AA484" s="148"/>
      <c r="AB484" s="148"/>
      <c r="AC484" s="148"/>
    </row>
    <row r="485" spans="1:29">
      <c r="A485" s="149">
        <v>45938</v>
      </c>
      <c r="B485" s="147" t="s">
        <v>61</v>
      </c>
      <c r="C485" s="147">
        <v>2</v>
      </c>
      <c r="D485" s="147"/>
      <c r="E485" s="147"/>
      <c r="F485" s="147"/>
      <c r="G485" s="147"/>
      <c r="H485" s="147"/>
      <c r="I485" s="147"/>
      <c r="J485" s="147">
        <v>1</v>
      </c>
      <c r="K485" s="147">
        <v>1</v>
      </c>
      <c r="L485" s="147"/>
      <c r="M485" s="147"/>
      <c r="N485" s="147"/>
      <c r="O485" s="147"/>
      <c r="P485" s="147"/>
      <c r="Q485" s="147">
        <v>79</v>
      </c>
      <c r="R485" s="148"/>
      <c r="S485" s="148"/>
      <c r="T485" s="148"/>
      <c r="U485" s="148"/>
      <c r="V485" s="148"/>
      <c r="W485" s="148"/>
      <c r="X485" s="148"/>
      <c r="Y485" s="148"/>
      <c r="Z485" s="148"/>
      <c r="AA485" s="148"/>
      <c r="AB485" s="148"/>
      <c r="AC485" s="148"/>
    </row>
    <row r="486" spans="1:29">
      <c r="A486" s="149">
        <v>45938</v>
      </c>
      <c r="B486" s="147" t="s">
        <v>1229</v>
      </c>
      <c r="C486" s="147">
        <v>3</v>
      </c>
      <c r="D486" s="147">
        <v>2</v>
      </c>
      <c r="E486" s="147">
        <v>1</v>
      </c>
      <c r="F486" s="147"/>
      <c r="G486" s="147"/>
      <c r="H486" s="147"/>
      <c r="I486" s="147"/>
      <c r="J486" s="147"/>
      <c r="K486" s="147"/>
      <c r="L486" s="147"/>
      <c r="M486" s="147"/>
      <c r="N486" s="147"/>
      <c r="O486" s="147"/>
      <c r="P486" s="147"/>
      <c r="Q486" s="147">
        <v>43</v>
      </c>
      <c r="R486" s="148"/>
      <c r="S486" s="148"/>
      <c r="T486" s="148"/>
      <c r="U486" s="148"/>
      <c r="V486" s="148"/>
      <c r="W486" s="148"/>
      <c r="X486" s="148"/>
      <c r="Y486" s="148"/>
      <c r="Z486" s="148"/>
      <c r="AA486" s="148"/>
      <c r="AB486" s="148"/>
      <c r="AC486" s="148"/>
    </row>
    <row r="487" spans="1:29">
      <c r="A487" s="149">
        <v>45938</v>
      </c>
      <c r="B487" s="147" t="s">
        <v>243</v>
      </c>
      <c r="C487" s="147"/>
      <c r="D487" s="147"/>
      <c r="E487" s="147"/>
      <c r="F487" s="147"/>
      <c r="G487" s="147"/>
      <c r="H487" s="147"/>
      <c r="I487" s="147"/>
      <c r="J487" s="147"/>
      <c r="K487" s="147"/>
      <c r="L487" s="147"/>
      <c r="M487" s="147"/>
      <c r="N487" s="147"/>
      <c r="O487" s="147"/>
      <c r="P487" s="147"/>
      <c r="Q487" s="147"/>
      <c r="R487" s="148"/>
      <c r="S487" s="148"/>
      <c r="T487" s="148"/>
      <c r="U487" s="148"/>
      <c r="V487" s="148"/>
      <c r="W487" s="148"/>
      <c r="X487" s="148"/>
      <c r="Y487" s="148"/>
      <c r="Z487" s="148"/>
      <c r="AA487" s="148"/>
      <c r="AB487" s="148"/>
      <c r="AC487" s="148"/>
    </row>
    <row r="488" spans="1:29">
      <c r="A488" s="149">
        <v>45939</v>
      </c>
      <c r="B488" s="147" t="s">
        <v>1229</v>
      </c>
      <c r="C488" s="147">
        <v>1</v>
      </c>
      <c r="D488" s="147"/>
      <c r="E488" s="147"/>
      <c r="F488" s="147"/>
      <c r="G488" s="147"/>
      <c r="H488" s="147"/>
      <c r="I488" s="147"/>
      <c r="J488" s="147">
        <v>1</v>
      </c>
      <c r="K488" s="147"/>
      <c r="L488" s="147">
        <v>1</v>
      </c>
      <c r="M488" s="147"/>
      <c r="N488" s="147"/>
      <c r="O488" s="147"/>
      <c r="P488" s="147"/>
      <c r="Q488" s="147">
        <v>28</v>
      </c>
      <c r="R488" s="148"/>
      <c r="S488" s="148"/>
      <c r="T488" s="148"/>
      <c r="U488" s="148"/>
      <c r="V488" s="148"/>
      <c r="W488" s="148"/>
      <c r="X488" s="148"/>
      <c r="Y488" s="148"/>
      <c r="Z488" s="148"/>
      <c r="AA488" s="148"/>
      <c r="AB488" s="148"/>
      <c r="AC488" s="148"/>
    </row>
    <row r="489" spans="1:29">
      <c r="A489" s="149">
        <v>45939</v>
      </c>
      <c r="B489" s="147" t="s">
        <v>1774</v>
      </c>
      <c r="C489" s="147">
        <v>1</v>
      </c>
      <c r="D489" s="147">
        <v>1</v>
      </c>
      <c r="E489" s="147"/>
      <c r="F489" s="147"/>
      <c r="G489" s="147"/>
      <c r="H489" s="147"/>
      <c r="I489" s="147"/>
      <c r="J489" s="147"/>
      <c r="K489" s="147"/>
      <c r="L489" s="147"/>
      <c r="M489" s="147"/>
      <c r="N489" s="147"/>
      <c r="O489" s="147"/>
      <c r="P489" s="147"/>
      <c r="Q489" s="147">
        <v>13</v>
      </c>
      <c r="R489" s="148"/>
      <c r="S489" s="148"/>
      <c r="T489" s="148"/>
      <c r="U489" s="148"/>
      <c r="V489" s="148"/>
      <c r="W489" s="148"/>
      <c r="X489" s="148"/>
      <c r="Y489" s="148"/>
      <c r="Z489" s="148"/>
      <c r="AA489" s="148"/>
      <c r="AB489" s="148"/>
      <c r="AC489" s="148"/>
    </row>
    <row r="490" spans="1:29">
      <c r="A490" s="149">
        <v>45939</v>
      </c>
      <c r="B490" s="147" t="s">
        <v>1229</v>
      </c>
      <c r="C490" s="147">
        <v>2</v>
      </c>
      <c r="D490" s="147"/>
      <c r="E490" s="147"/>
      <c r="F490" s="147"/>
      <c r="G490" s="147"/>
      <c r="H490" s="147"/>
      <c r="I490" s="147"/>
      <c r="J490" s="147">
        <v>1</v>
      </c>
      <c r="K490" s="147"/>
      <c r="L490" s="147">
        <v>1</v>
      </c>
      <c r="M490" s="147"/>
      <c r="N490" s="147"/>
      <c r="O490" s="147"/>
      <c r="P490" s="147"/>
      <c r="Q490" s="147">
        <v>28</v>
      </c>
      <c r="R490" s="148"/>
      <c r="S490" s="148"/>
      <c r="T490" s="148"/>
      <c r="U490" s="148"/>
      <c r="V490" s="148"/>
      <c r="W490" s="148"/>
      <c r="X490" s="148"/>
      <c r="Y490" s="148"/>
      <c r="Z490" s="148"/>
      <c r="AA490" s="148"/>
      <c r="AB490" s="148"/>
      <c r="AC490" s="148"/>
    </row>
    <row r="491" spans="1:29">
      <c r="A491" s="149">
        <v>45939</v>
      </c>
      <c r="B491" s="147" t="s">
        <v>115</v>
      </c>
      <c r="C491" s="147"/>
      <c r="D491" s="147"/>
      <c r="E491" s="147"/>
      <c r="F491" s="147"/>
      <c r="G491" s="147"/>
      <c r="H491" s="147"/>
      <c r="I491" s="147"/>
      <c r="J491" s="147"/>
      <c r="K491" s="147"/>
      <c r="L491" s="147"/>
      <c r="M491" s="147"/>
      <c r="N491" s="147"/>
      <c r="O491" s="147"/>
      <c r="P491" s="147"/>
      <c r="Q491" s="147"/>
      <c r="R491" s="148"/>
      <c r="S491" s="148"/>
      <c r="T491" s="148"/>
      <c r="U491" s="148"/>
      <c r="V491" s="148"/>
      <c r="W491" s="148"/>
      <c r="X491" s="148"/>
      <c r="Y491" s="148"/>
      <c r="Z491" s="148"/>
      <c r="AA491" s="148"/>
      <c r="AB491" s="148"/>
      <c r="AC491" s="148"/>
    </row>
    <row r="492" spans="1:29">
      <c r="A492" s="149">
        <v>45939</v>
      </c>
      <c r="B492" s="147" t="s">
        <v>243</v>
      </c>
      <c r="C492" s="147"/>
      <c r="D492" s="147"/>
      <c r="E492" s="147"/>
      <c r="F492" s="147"/>
      <c r="G492" s="147"/>
      <c r="H492" s="147"/>
      <c r="I492" s="147"/>
      <c r="J492" s="147"/>
      <c r="K492" s="147"/>
      <c r="L492" s="147"/>
      <c r="M492" s="147"/>
      <c r="N492" s="147"/>
      <c r="O492" s="147"/>
      <c r="P492" s="147"/>
      <c r="Q492" s="147"/>
      <c r="R492" s="148"/>
      <c r="S492" s="148"/>
      <c r="T492" s="148"/>
      <c r="U492" s="148"/>
      <c r="V492" s="148"/>
      <c r="W492" s="148"/>
      <c r="X492" s="148"/>
      <c r="Y492" s="148"/>
      <c r="Z492" s="148"/>
      <c r="AA492" s="148"/>
      <c r="AB492" s="148"/>
      <c r="AC492" s="148"/>
    </row>
    <row r="493" spans="1:29">
      <c r="A493" s="149">
        <v>45939</v>
      </c>
      <c r="B493" s="147" t="s">
        <v>61</v>
      </c>
      <c r="C493" s="147">
        <v>3</v>
      </c>
      <c r="D493" s="147">
        <v>1</v>
      </c>
      <c r="E493" s="147"/>
      <c r="F493" s="147"/>
      <c r="G493" s="147"/>
      <c r="H493" s="147"/>
      <c r="I493" s="147"/>
      <c r="J493" s="147">
        <v>2</v>
      </c>
      <c r="K493" s="147"/>
      <c r="L493" s="147"/>
      <c r="M493" s="147"/>
      <c r="N493" s="147"/>
      <c r="O493" s="147"/>
      <c r="P493" s="147"/>
      <c r="Q493" s="147">
        <v>26</v>
      </c>
      <c r="R493" s="148"/>
      <c r="S493" s="148"/>
      <c r="T493" s="148"/>
      <c r="U493" s="148"/>
      <c r="V493" s="148"/>
      <c r="W493" s="148"/>
      <c r="X493" s="148"/>
      <c r="Y493" s="148"/>
      <c r="Z493" s="148"/>
      <c r="AA493" s="148"/>
      <c r="AB493" s="148"/>
      <c r="AC493" s="148"/>
    </row>
    <row r="494" spans="1:29">
      <c r="A494" s="149">
        <v>45940</v>
      </c>
      <c r="B494" s="147" t="s">
        <v>61</v>
      </c>
      <c r="C494" s="147">
        <v>3</v>
      </c>
      <c r="D494" s="147"/>
      <c r="E494" s="147"/>
      <c r="F494" s="147"/>
      <c r="G494" s="147"/>
      <c r="H494" s="147">
        <v>1</v>
      </c>
      <c r="I494" s="147"/>
      <c r="J494" s="147"/>
      <c r="K494" s="147">
        <v>1</v>
      </c>
      <c r="L494" s="147"/>
      <c r="M494" s="147">
        <v>1</v>
      </c>
      <c r="N494" s="147"/>
      <c r="O494" s="147"/>
      <c r="P494" s="147"/>
      <c r="Q494" s="147">
        <v>30</v>
      </c>
      <c r="R494" s="148"/>
      <c r="S494" s="148"/>
      <c r="T494" s="148"/>
      <c r="U494" s="148"/>
      <c r="V494" s="148"/>
      <c r="W494" s="148"/>
      <c r="X494" s="148"/>
      <c r="Y494" s="148"/>
      <c r="Z494" s="148"/>
      <c r="AA494" s="148"/>
      <c r="AB494" s="148"/>
      <c r="AC494" s="148"/>
    </row>
    <row r="495" spans="1:29">
      <c r="A495" s="149">
        <v>45940</v>
      </c>
      <c r="B495" s="147" t="s">
        <v>115</v>
      </c>
      <c r="C495" s="147">
        <v>1</v>
      </c>
      <c r="D495" s="147">
        <v>1</v>
      </c>
      <c r="E495" s="147"/>
      <c r="F495" s="147"/>
      <c r="G495" s="147"/>
      <c r="H495" s="147"/>
      <c r="I495" s="147"/>
      <c r="J495" s="147"/>
      <c r="K495" s="147"/>
      <c r="L495" s="147"/>
      <c r="M495" s="147"/>
      <c r="N495" s="147"/>
      <c r="O495" s="147"/>
      <c r="P495" s="147"/>
      <c r="Q495" s="147"/>
      <c r="R495" s="148"/>
      <c r="S495" s="148"/>
      <c r="T495" s="148"/>
      <c r="U495" s="148"/>
      <c r="V495" s="148"/>
      <c r="W495" s="148"/>
      <c r="X495" s="148"/>
      <c r="Y495" s="148"/>
      <c r="Z495" s="148"/>
      <c r="AA495" s="148"/>
      <c r="AB495" s="148"/>
      <c r="AC495" s="148"/>
    </row>
    <row r="496" spans="1:29">
      <c r="A496" s="149">
        <v>45940</v>
      </c>
      <c r="B496" s="147" t="s">
        <v>1774</v>
      </c>
      <c r="C496" s="147">
        <v>1</v>
      </c>
      <c r="D496" s="147"/>
      <c r="E496" s="147"/>
      <c r="F496" s="147"/>
      <c r="G496" s="147"/>
      <c r="H496" s="147"/>
      <c r="I496" s="147"/>
      <c r="J496" s="147">
        <v>1</v>
      </c>
      <c r="K496" s="147"/>
      <c r="L496" s="147"/>
      <c r="M496" s="147"/>
      <c r="N496" s="147"/>
      <c r="O496" s="147"/>
      <c r="P496" s="147"/>
      <c r="Q496" s="147">
        <v>15</v>
      </c>
      <c r="R496" s="148"/>
      <c r="S496" s="148"/>
      <c r="T496" s="148"/>
      <c r="U496" s="148"/>
      <c r="V496" s="148"/>
      <c r="W496" s="148"/>
      <c r="X496" s="148"/>
      <c r="Y496" s="148"/>
      <c r="Z496" s="148"/>
      <c r="AA496" s="148"/>
      <c r="AB496" s="148"/>
      <c r="AC496" s="148"/>
    </row>
    <row r="497" spans="1:29">
      <c r="A497" s="149">
        <v>45940</v>
      </c>
      <c r="B497" s="147" t="s">
        <v>1229</v>
      </c>
      <c r="C497" s="147">
        <v>1</v>
      </c>
      <c r="D497" s="147"/>
      <c r="E497" s="147">
        <v>1</v>
      </c>
      <c r="F497" s="147"/>
      <c r="G497" s="147"/>
      <c r="H497" s="147"/>
      <c r="I497" s="147"/>
      <c r="J497" s="147"/>
      <c r="K497" s="147"/>
      <c r="L497" s="147"/>
      <c r="M497" s="147"/>
      <c r="N497" s="147"/>
      <c r="O497" s="147"/>
      <c r="P497" s="147"/>
      <c r="Q497" s="147">
        <v>28</v>
      </c>
      <c r="R497" s="148"/>
      <c r="S497" s="148"/>
      <c r="T497" s="148"/>
      <c r="U497" s="148"/>
      <c r="V497" s="148"/>
      <c r="W497" s="148"/>
      <c r="X497" s="148"/>
      <c r="Y497" s="148"/>
      <c r="Z497" s="148"/>
      <c r="AA497" s="148"/>
      <c r="AB497" s="148"/>
      <c r="AC497" s="148"/>
    </row>
    <row r="498" spans="1:29">
      <c r="A498" s="149">
        <v>45940</v>
      </c>
      <c r="B498" s="147" t="s">
        <v>243</v>
      </c>
      <c r="C498" s="147">
        <v>1</v>
      </c>
      <c r="D498" s="147">
        <v>1</v>
      </c>
      <c r="E498" s="147"/>
      <c r="F498" s="147"/>
      <c r="G498" s="147"/>
      <c r="H498" s="147"/>
      <c r="I498" s="147"/>
      <c r="J498" s="147"/>
      <c r="K498" s="147"/>
      <c r="L498" s="147"/>
      <c r="M498" s="147"/>
      <c r="N498" s="147"/>
      <c r="O498" s="147"/>
      <c r="P498" s="147"/>
      <c r="Q498" s="147"/>
      <c r="R498" s="148"/>
      <c r="S498" s="148"/>
      <c r="T498" s="148"/>
      <c r="U498" s="148"/>
      <c r="V498" s="148"/>
      <c r="W498" s="148"/>
      <c r="X498" s="148"/>
      <c r="Y498" s="148"/>
      <c r="Z498" s="148"/>
      <c r="AA498" s="148"/>
      <c r="AB498" s="148"/>
      <c r="AC498" s="148"/>
    </row>
    <row r="499" spans="1:29">
      <c r="A499" s="149">
        <v>45941</v>
      </c>
      <c r="B499" s="147" t="s">
        <v>61</v>
      </c>
      <c r="C499" s="147">
        <v>3</v>
      </c>
      <c r="D499" s="147">
        <v>1</v>
      </c>
      <c r="E499" s="147">
        <v>1</v>
      </c>
      <c r="F499" s="147"/>
      <c r="G499" s="147"/>
      <c r="H499" s="147"/>
      <c r="I499" s="147"/>
      <c r="J499" s="147">
        <v>1</v>
      </c>
      <c r="K499" s="147"/>
      <c r="L499" s="147"/>
      <c r="M499" s="147"/>
      <c r="N499" s="147"/>
      <c r="O499" s="147"/>
      <c r="P499" s="147"/>
      <c r="Q499" s="147">
        <v>15</v>
      </c>
      <c r="R499" s="148"/>
      <c r="S499" s="148"/>
      <c r="T499" s="148"/>
      <c r="U499" s="148"/>
      <c r="V499" s="148"/>
      <c r="W499" s="148"/>
      <c r="X499" s="148"/>
      <c r="Y499" s="148"/>
      <c r="Z499" s="148"/>
      <c r="AA499" s="148"/>
      <c r="AB499" s="148"/>
      <c r="AC499" s="148"/>
    </row>
    <row r="500" spans="1:29">
      <c r="A500" s="149">
        <v>45941</v>
      </c>
      <c r="B500" s="147" t="s">
        <v>1774</v>
      </c>
      <c r="C500" s="147">
        <v>2</v>
      </c>
      <c r="D500" s="147">
        <v>1</v>
      </c>
      <c r="E500" s="147"/>
      <c r="F500" s="147"/>
      <c r="G500" s="147"/>
      <c r="H500" s="147">
        <v>1</v>
      </c>
      <c r="I500" s="147"/>
      <c r="J500" s="147"/>
      <c r="K500" s="147"/>
      <c r="L500" s="147"/>
      <c r="M500" s="147"/>
      <c r="N500" s="147"/>
      <c r="O500" s="147"/>
      <c r="P500" s="147"/>
      <c r="Q500" s="147">
        <v>10</v>
      </c>
      <c r="R500" s="148"/>
      <c r="S500" s="148"/>
      <c r="T500" s="148"/>
      <c r="U500" s="148"/>
      <c r="V500" s="148"/>
      <c r="W500" s="148"/>
      <c r="X500" s="148"/>
      <c r="Y500" s="148"/>
      <c r="Z500" s="148"/>
      <c r="AA500" s="148"/>
      <c r="AB500" s="148"/>
      <c r="AC500" s="148"/>
    </row>
    <row r="501" spans="1:29">
      <c r="A501" s="149">
        <v>45941</v>
      </c>
      <c r="B501" s="147" t="s">
        <v>1229</v>
      </c>
      <c r="C501" s="147"/>
      <c r="D501" s="147"/>
      <c r="E501" s="147"/>
      <c r="F501" s="147"/>
      <c r="G501" s="147"/>
      <c r="H501" s="147"/>
      <c r="I501" s="147"/>
      <c r="J501" s="147"/>
      <c r="K501" s="147"/>
      <c r="L501" s="147"/>
      <c r="M501" s="147"/>
      <c r="N501" s="147"/>
      <c r="O501" s="147"/>
      <c r="P501" s="147"/>
      <c r="Q501" s="147">
        <v>15</v>
      </c>
      <c r="R501" s="148"/>
      <c r="S501" s="148"/>
      <c r="T501" s="148"/>
      <c r="U501" s="148"/>
      <c r="V501" s="148"/>
      <c r="W501" s="148"/>
      <c r="X501" s="148"/>
      <c r="Y501" s="148"/>
      <c r="Z501" s="148"/>
      <c r="AA501" s="148"/>
      <c r="AB501" s="148"/>
      <c r="AC501" s="148"/>
    </row>
    <row r="502" spans="1:29">
      <c r="A502" s="149">
        <v>45941</v>
      </c>
      <c r="B502" s="147" t="s">
        <v>243</v>
      </c>
      <c r="C502" s="147"/>
      <c r="D502" s="147"/>
      <c r="E502" s="147"/>
      <c r="F502" s="147"/>
      <c r="G502" s="147"/>
      <c r="H502" s="147"/>
      <c r="I502" s="147"/>
      <c r="J502" s="147"/>
      <c r="K502" s="147"/>
      <c r="L502" s="147"/>
      <c r="M502" s="147"/>
      <c r="N502" s="147"/>
      <c r="O502" s="147"/>
      <c r="P502" s="147"/>
      <c r="Q502" s="147"/>
      <c r="R502" s="148"/>
      <c r="S502" s="148"/>
      <c r="T502" s="148"/>
      <c r="U502" s="148"/>
      <c r="V502" s="148"/>
      <c r="W502" s="148"/>
      <c r="X502" s="148"/>
      <c r="Y502" s="148"/>
      <c r="Z502" s="148"/>
      <c r="AA502" s="148"/>
      <c r="AB502" s="148"/>
      <c r="AC502" s="148"/>
    </row>
    <row r="503" spans="1:29">
      <c r="A503" s="149">
        <v>45941</v>
      </c>
      <c r="B503" s="147" t="s">
        <v>115</v>
      </c>
      <c r="C503" s="147"/>
      <c r="D503" s="147"/>
      <c r="E503" s="147"/>
      <c r="F503" s="147"/>
      <c r="G503" s="147"/>
      <c r="H503" s="147"/>
      <c r="I503" s="147"/>
      <c r="J503" s="147"/>
      <c r="K503" s="147"/>
      <c r="L503" s="147"/>
      <c r="M503" s="147"/>
      <c r="N503" s="147"/>
      <c r="O503" s="147"/>
      <c r="P503" s="147"/>
      <c r="Q503" s="147"/>
      <c r="R503" s="148"/>
      <c r="S503" s="148"/>
      <c r="T503" s="148"/>
      <c r="U503" s="148"/>
      <c r="V503" s="148"/>
      <c r="W503" s="148"/>
      <c r="X503" s="148"/>
      <c r="Y503" s="148"/>
      <c r="Z503" s="148"/>
      <c r="AA503" s="148"/>
      <c r="AB503" s="148"/>
      <c r="AC503" s="148"/>
    </row>
    <row r="504" spans="1:29">
      <c r="A504" s="149">
        <v>45942</v>
      </c>
      <c r="B504" s="147" t="s">
        <v>115</v>
      </c>
      <c r="C504" s="147">
        <v>1</v>
      </c>
      <c r="D504" s="147"/>
      <c r="E504" s="147"/>
      <c r="F504" s="147"/>
      <c r="G504" s="147"/>
      <c r="H504" s="147"/>
      <c r="I504" s="147"/>
      <c r="J504" s="147"/>
      <c r="K504" s="147">
        <v>1</v>
      </c>
      <c r="L504" s="147"/>
      <c r="M504" s="147"/>
      <c r="N504" s="147"/>
      <c r="O504" s="147"/>
      <c r="P504" s="147"/>
      <c r="Q504" s="147"/>
      <c r="R504" s="148"/>
      <c r="S504" s="148"/>
      <c r="T504" s="148"/>
      <c r="U504" s="148"/>
      <c r="V504" s="148"/>
      <c r="W504" s="148"/>
      <c r="X504" s="148"/>
      <c r="Y504" s="148"/>
      <c r="Z504" s="148"/>
      <c r="AA504" s="148"/>
      <c r="AB504" s="148"/>
      <c r="AC504" s="148"/>
    </row>
    <row r="505" spans="1:29">
      <c r="A505" s="149">
        <v>45942</v>
      </c>
      <c r="B505" s="147" t="s">
        <v>1774</v>
      </c>
      <c r="C505" s="147">
        <v>2</v>
      </c>
      <c r="D505" s="147"/>
      <c r="E505" s="147">
        <v>1</v>
      </c>
      <c r="F505" s="147"/>
      <c r="G505" s="147"/>
      <c r="H505" s="147"/>
      <c r="I505" s="147">
        <v>1</v>
      </c>
      <c r="J505" s="147"/>
      <c r="K505" s="147"/>
      <c r="L505" s="147"/>
      <c r="M505" s="147"/>
      <c r="N505" s="147"/>
      <c r="O505" s="147"/>
      <c r="P505" s="147"/>
      <c r="Q505" s="147"/>
      <c r="R505" s="148"/>
      <c r="S505" s="148"/>
      <c r="T505" s="148"/>
      <c r="U505" s="148"/>
      <c r="V505" s="148"/>
      <c r="W505" s="148"/>
      <c r="X505" s="148"/>
      <c r="Y505" s="148"/>
      <c r="Z505" s="148"/>
      <c r="AA505" s="148"/>
      <c r="AB505" s="148"/>
      <c r="AC505" s="148"/>
    </row>
    <row r="506" spans="1:29">
      <c r="A506" s="149">
        <v>45942</v>
      </c>
      <c r="B506" s="147" t="s">
        <v>61</v>
      </c>
      <c r="C506" s="147"/>
      <c r="D506" s="147"/>
      <c r="E506" s="147"/>
      <c r="F506" s="147"/>
      <c r="G506" s="147"/>
      <c r="H506" s="147"/>
      <c r="I506" s="147"/>
      <c r="J506" s="147"/>
      <c r="K506" s="147"/>
      <c r="L506" s="147"/>
      <c r="M506" s="147"/>
      <c r="N506" s="147"/>
      <c r="O506" s="147"/>
      <c r="P506" s="147"/>
      <c r="Q506" s="147"/>
      <c r="R506" s="148"/>
      <c r="S506" s="148"/>
      <c r="T506" s="148"/>
      <c r="U506" s="148"/>
      <c r="V506" s="148"/>
      <c r="W506" s="148"/>
      <c r="X506" s="148"/>
      <c r="Y506" s="148"/>
      <c r="Z506" s="148"/>
      <c r="AA506" s="148"/>
      <c r="AB506" s="148"/>
      <c r="AC506" s="148"/>
    </row>
    <row r="507" spans="1:29">
      <c r="A507" s="149">
        <v>45942</v>
      </c>
      <c r="B507" s="147" t="s">
        <v>243</v>
      </c>
      <c r="C507" s="147"/>
      <c r="D507" s="147"/>
      <c r="E507" s="147"/>
      <c r="F507" s="147"/>
      <c r="G507" s="147"/>
      <c r="H507" s="147"/>
      <c r="I507" s="147"/>
      <c r="J507" s="147"/>
      <c r="K507" s="147"/>
      <c r="L507" s="147"/>
      <c r="M507" s="147"/>
      <c r="N507" s="147"/>
      <c r="O507" s="147"/>
      <c r="P507" s="147"/>
      <c r="Q507" s="147"/>
      <c r="R507" s="148"/>
      <c r="S507" s="148"/>
      <c r="T507" s="148"/>
      <c r="U507" s="148"/>
      <c r="V507" s="148"/>
      <c r="W507" s="148"/>
      <c r="X507" s="148"/>
      <c r="Y507" s="148"/>
      <c r="Z507" s="148"/>
      <c r="AA507" s="148"/>
      <c r="AB507" s="148"/>
      <c r="AC507" s="148"/>
    </row>
    <row r="508" spans="1:29">
      <c r="A508" s="149">
        <v>45942</v>
      </c>
      <c r="B508" s="147" t="s">
        <v>1229</v>
      </c>
      <c r="C508" s="147"/>
      <c r="D508" s="147"/>
      <c r="E508" s="147"/>
      <c r="F508" s="147"/>
      <c r="G508" s="147"/>
      <c r="H508" s="147"/>
      <c r="I508" s="147"/>
      <c r="J508" s="147"/>
      <c r="K508" s="147"/>
      <c r="L508" s="147"/>
      <c r="M508" s="147"/>
      <c r="N508" s="147"/>
      <c r="O508" s="147"/>
      <c r="P508" s="147"/>
      <c r="Q508" s="147"/>
      <c r="R508" s="148"/>
      <c r="S508" s="148"/>
      <c r="T508" s="148"/>
      <c r="U508" s="148"/>
      <c r="V508" s="148"/>
      <c r="W508" s="148"/>
      <c r="X508" s="148"/>
      <c r="Y508" s="148"/>
      <c r="Z508" s="148"/>
      <c r="AA508" s="148"/>
      <c r="AB508" s="148"/>
      <c r="AC508" s="148"/>
    </row>
    <row r="509" spans="1:29">
      <c r="A509" s="149">
        <v>45943</v>
      </c>
      <c r="B509" s="147" t="s">
        <v>115</v>
      </c>
      <c r="C509" s="147">
        <v>1</v>
      </c>
      <c r="D509" s="147"/>
      <c r="E509" s="147"/>
      <c r="F509" s="147"/>
      <c r="G509" s="147"/>
      <c r="H509" s="147"/>
      <c r="I509" s="147"/>
      <c r="J509" s="147">
        <v>1</v>
      </c>
      <c r="K509" s="147"/>
      <c r="L509" s="147"/>
      <c r="M509" s="147"/>
      <c r="N509" s="147"/>
      <c r="O509" s="147"/>
      <c r="P509" s="147"/>
      <c r="Q509" s="147"/>
      <c r="R509" s="148"/>
      <c r="S509" s="148"/>
      <c r="T509" s="148"/>
      <c r="U509" s="148"/>
      <c r="V509" s="148"/>
      <c r="W509" s="148"/>
      <c r="X509" s="148"/>
      <c r="Y509" s="148"/>
      <c r="Z509" s="148"/>
      <c r="AA509" s="148"/>
      <c r="AB509" s="148"/>
      <c r="AC509" s="148"/>
    </row>
    <row r="510" spans="1:29">
      <c r="A510" s="149">
        <v>45943</v>
      </c>
      <c r="B510" s="147" t="s">
        <v>61</v>
      </c>
      <c r="C510" s="147">
        <v>4</v>
      </c>
      <c r="D510" s="147"/>
      <c r="E510" s="147"/>
      <c r="F510" s="147">
        <v>1</v>
      </c>
      <c r="G510" s="147"/>
      <c r="H510" s="147"/>
      <c r="I510" s="147"/>
      <c r="J510" s="147">
        <v>2</v>
      </c>
      <c r="K510" s="147"/>
      <c r="L510" s="147">
        <v>1</v>
      </c>
      <c r="M510" s="147"/>
      <c r="N510" s="147"/>
      <c r="O510" s="147"/>
      <c r="P510" s="147"/>
      <c r="Q510" s="147"/>
      <c r="R510" s="148"/>
      <c r="S510" s="148"/>
      <c r="T510" s="148"/>
      <c r="U510" s="148"/>
      <c r="V510" s="148"/>
      <c r="W510" s="148"/>
      <c r="X510" s="148"/>
      <c r="Y510" s="148"/>
      <c r="Z510" s="148"/>
      <c r="AA510" s="148"/>
      <c r="AB510" s="148"/>
      <c r="AC510" s="148"/>
    </row>
    <row r="511" spans="1:29">
      <c r="A511" s="149">
        <v>45943</v>
      </c>
      <c r="B511" s="147" t="s">
        <v>1774</v>
      </c>
      <c r="C511" s="147">
        <v>1</v>
      </c>
      <c r="D511" s="147"/>
      <c r="E511" s="147"/>
      <c r="F511" s="147"/>
      <c r="G511" s="147"/>
      <c r="H511" s="147"/>
      <c r="I511" s="147"/>
      <c r="J511" s="147"/>
      <c r="K511" s="147">
        <v>1</v>
      </c>
      <c r="L511" s="147"/>
      <c r="M511" s="147"/>
      <c r="N511" s="147"/>
      <c r="O511" s="147"/>
      <c r="P511" s="147"/>
      <c r="Q511" s="147"/>
      <c r="R511" s="148"/>
      <c r="S511" s="148"/>
      <c r="T511" s="148"/>
      <c r="U511" s="148"/>
      <c r="V511" s="148"/>
      <c r="W511" s="148"/>
      <c r="X511" s="148"/>
      <c r="Y511" s="148"/>
      <c r="Z511" s="148"/>
      <c r="AA511" s="148"/>
      <c r="AB511" s="148"/>
      <c r="AC511" s="148"/>
    </row>
    <row r="512" spans="1:29">
      <c r="A512" s="149">
        <v>45943</v>
      </c>
      <c r="B512" s="147" t="s">
        <v>1229</v>
      </c>
      <c r="C512" s="147">
        <v>2</v>
      </c>
      <c r="D512" s="147">
        <v>1</v>
      </c>
      <c r="E512" s="147"/>
      <c r="F512" s="147"/>
      <c r="G512" s="147"/>
      <c r="H512" s="147"/>
      <c r="I512" s="147"/>
      <c r="J512" s="147">
        <v>1</v>
      </c>
      <c r="K512" s="147"/>
      <c r="L512" s="147"/>
      <c r="M512" s="147"/>
      <c r="N512" s="147"/>
      <c r="O512" s="147"/>
      <c r="P512" s="147"/>
      <c r="Q512" s="147"/>
      <c r="R512" s="148"/>
      <c r="S512" s="148"/>
      <c r="T512" s="148"/>
      <c r="U512" s="148"/>
      <c r="V512" s="148"/>
      <c r="W512" s="148"/>
      <c r="X512" s="148"/>
      <c r="Y512" s="148"/>
      <c r="Z512" s="148"/>
      <c r="AA512" s="148"/>
      <c r="AB512" s="148"/>
      <c r="AC512" s="148"/>
    </row>
    <row r="513" spans="1:29">
      <c r="A513" s="149">
        <v>45943</v>
      </c>
      <c r="B513" s="147" t="s">
        <v>243</v>
      </c>
      <c r="C513" s="147">
        <v>1</v>
      </c>
      <c r="D513" s="147">
        <v>1</v>
      </c>
      <c r="E513" s="147"/>
      <c r="F513" s="147"/>
      <c r="G513" s="147"/>
      <c r="H513" s="147"/>
      <c r="I513" s="147"/>
      <c r="J513" s="147"/>
      <c r="K513" s="147"/>
      <c r="L513" s="147"/>
      <c r="M513" s="147"/>
      <c r="N513" s="147"/>
      <c r="O513" s="147"/>
      <c r="P513" s="147"/>
      <c r="Q513" s="147"/>
      <c r="R513" s="148"/>
      <c r="S513" s="148"/>
      <c r="T513" s="148"/>
      <c r="U513" s="148"/>
      <c r="V513" s="148"/>
      <c r="W513" s="148"/>
      <c r="X513" s="148"/>
      <c r="Y513" s="148"/>
      <c r="Z513" s="148"/>
      <c r="AA513" s="148"/>
      <c r="AB513" s="148"/>
      <c r="AC513" s="148"/>
    </row>
    <row r="514" spans="1:29">
      <c r="A514" s="149">
        <v>45944</v>
      </c>
      <c r="B514" s="147" t="s">
        <v>115</v>
      </c>
      <c r="C514" s="147">
        <v>1</v>
      </c>
      <c r="D514" s="147"/>
      <c r="E514" s="147"/>
      <c r="F514" s="147"/>
      <c r="G514" s="147"/>
      <c r="H514" s="147"/>
      <c r="I514" s="147">
        <v>1</v>
      </c>
      <c r="J514" s="147"/>
      <c r="K514" s="147"/>
      <c r="L514" s="147"/>
      <c r="M514" s="147"/>
      <c r="N514" s="147"/>
      <c r="O514" s="147"/>
      <c r="P514" s="147"/>
      <c r="Q514" s="147"/>
      <c r="R514" s="148"/>
      <c r="S514" s="148"/>
      <c r="T514" s="148"/>
      <c r="U514" s="148"/>
      <c r="V514" s="148"/>
      <c r="W514" s="148"/>
      <c r="X514" s="148"/>
      <c r="Y514" s="148"/>
      <c r="Z514" s="148"/>
      <c r="AA514" s="148"/>
      <c r="AB514" s="148"/>
      <c r="AC514" s="148"/>
    </row>
    <row r="515" spans="1:29">
      <c r="A515" s="149">
        <v>45944</v>
      </c>
      <c r="B515" s="147" t="s">
        <v>61</v>
      </c>
      <c r="C515" s="147">
        <v>3</v>
      </c>
      <c r="D515" s="147" t="s">
        <v>12843</v>
      </c>
      <c r="E515" s="147"/>
      <c r="F515" s="147"/>
      <c r="G515" s="147"/>
      <c r="H515" s="147"/>
      <c r="I515" s="147"/>
      <c r="J515" s="147">
        <v>3</v>
      </c>
      <c r="K515" s="147"/>
      <c r="L515" s="147"/>
      <c r="M515" s="147"/>
      <c r="N515" s="147"/>
      <c r="O515" s="147"/>
      <c r="P515" s="147"/>
      <c r="Q515" s="147">
        <v>32</v>
      </c>
      <c r="R515" s="148"/>
      <c r="S515" s="148"/>
      <c r="T515" s="148"/>
      <c r="U515" s="148"/>
      <c r="V515" s="148"/>
      <c r="W515" s="148"/>
      <c r="X515" s="148"/>
      <c r="Y515" s="148"/>
      <c r="Z515" s="148"/>
      <c r="AA515" s="148"/>
      <c r="AB515" s="148"/>
      <c r="AC515" s="148"/>
    </row>
    <row r="516" spans="1:29">
      <c r="A516" s="149">
        <v>45944</v>
      </c>
      <c r="B516" s="147" t="s">
        <v>1774</v>
      </c>
      <c r="C516" s="147">
        <v>1</v>
      </c>
      <c r="D516" s="147"/>
      <c r="E516" s="147"/>
      <c r="F516" s="147"/>
      <c r="G516" s="147"/>
      <c r="H516" s="147"/>
      <c r="I516" s="147"/>
      <c r="J516" s="147">
        <v>1</v>
      </c>
      <c r="K516" s="147"/>
      <c r="L516" s="147"/>
      <c r="M516" s="147"/>
      <c r="N516" s="147"/>
      <c r="O516" s="147"/>
      <c r="P516" s="147"/>
      <c r="Q516" s="147"/>
      <c r="R516" s="148"/>
      <c r="S516" s="148"/>
      <c r="T516" s="148"/>
      <c r="U516" s="148"/>
      <c r="V516" s="148"/>
      <c r="W516" s="148"/>
      <c r="X516" s="148"/>
      <c r="Y516" s="148"/>
      <c r="Z516" s="148"/>
      <c r="AA516" s="148"/>
      <c r="AB516" s="148"/>
      <c r="AC516" s="148"/>
    </row>
    <row r="517" spans="1:29">
      <c r="A517" s="149">
        <v>45944</v>
      </c>
      <c r="B517" s="147" t="s">
        <v>243</v>
      </c>
      <c r="C517" s="147">
        <v>2</v>
      </c>
      <c r="D517" s="147">
        <v>1</v>
      </c>
      <c r="E517" s="147"/>
      <c r="F517" s="147">
        <v>1</v>
      </c>
      <c r="G517" s="147"/>
      <c r="H517" s="147"/>
      <c r="I517" s="147"/>
      <c r="J517" s="147"/>
      <c r="K517" s="147"/>
      <c r="L517" s="147"/>
      <c r="M517" s="147"/>
      <c r="N517" s="147"/>
      <c r="O517" s="147"/>
      <c r="P517" s="147"/>
      <c r="Q517" s="147">
        <v>22</v>
      </c>
      <c r="R517" s="148"/>
      <c r="S517" s="148"/>
      <c r="T517" s="148"/>
      <c r="U517" s="148"/>
      <c r="V517" s="148"/>
      <c r="W517" s="148"/>
      <c r="X517" s="148"/>
      <c r="Y517" s="148"/>
      <c r="Z517" s="148"/>
      <c r="AA517" s="148"/>
      <c r="AB517" s="148"/>
      <c r="AC517" s="148"/>
    </row>
    <row r="518" spans="1:29">
      <c r="A518" s="149">
        <v>45944</v>
      </c>
      <c r="B518" s="147" t="s">
        <v>243</v>
      </c>
      <c r="C518" s="147">
        <v>2</v>
      </c>
      <c r="D518" s="147">
        <v>1</v>
      </c>
      <c r="E518" s="147">
        <v>1</v>
      </c>
      <c r="F518" s="147"/>
      <c r="G518" s="147"/>
      <c r="H518" s="147"/>
      <c r="I518" s="147"/>
      <c r="J518" s="147"/>
      <c r="K518" s="147"/>
      <c r="L518" s="147"/>
      <c r="M518" s="147"/>
      <c r="N518" s="147"/>
      <c r="O518" s="147"/>
      <c r="P518" s="147"/>
      <c r="Q518" s="147">
        <v>22</v>
      </c>
      <c r="R518" s="148"/>
      <c r="S518" s="148"/>
      <c r="T518" s="148"/>
      <c r="U518" s="148"/>
      <c r="V518" s="148"/>
      <c r="W518" s="148"/>
      <c r="X518" s="148"/>
      <c r="Y518" s="148"/>
      <c r="Z518" s="148"/>
      <c r="AA518" s="148"/>
      <c r="AB518" s="148"/>
      <c r="AC518" s="148"/>
    </row>
    <row r="519" spans="1:29">
      <c r="A519" s="149">
        <v>45945</v>
      </c>
      <c r="B519" s="147" t="s">
        <v>61</v>
      </c>
      <c r="C519" s="147">
        <v>3</v>
      </c>
      <c r="D519" s="147">
        <v>1</v>
      </c>
      <c r="E519" s="147"/>
      <c r="F519" s="147">
        <v>1</v>
      </c>
      <c r="G519" s="147"/>
      <c r="H519" s="147"/>
      <c r="I519" s="147">
        <v>1</v>
      </c>
      <c r="J519" s="147"/>
      <c r="K519" s="147"/>
      <c r="L519" s="147"/>
      <c r="M519" s="147"/>
      <c r="N519" s="147"/>
      <c r="O519" s="147"/>
      <c r="P519" s="147"/>
      <c r="Q519" s="147">
        <v>23</v>
      </c>
      <c r="R519" s="148"/>
      <c r="S519" s="148"/>
      <c r="T519" s="148"/>
      <c r="U519" s="148"/>
      <c r="V519" s="148"/>
      <c r="W519" s="148"/>
      <c r="X519" s="148"/>
      <c r="Y519" s="148"/>
      <c r="Z519" s="148"/>
      <c r="AA519" s="148"/>
      <c r="AB519" s="148"/>
      <c r="AC519" s="148"/>
    </row>
    <row r="520" spans="1:29">
      <c r="A520" s="149">
        <v>45945</v>
      </c>
      <c r="B520" s="147" t="s">
        <v>115</v>
      </c>
      <c r="C520" s="147"/>
      <c r="D520" s="147"/>
      <c r="E520" s="147"/>
      <c r="F520" s="147"/>
      <c r="G520" s="147"/>
      <c r="H520" s="147"/>
      <c r="I520" s="147"/>
      <c r="J520" s="147"/>
      <c r="K520" s="147"/>
      <c r="L520" s="147"/>
      <c r="M520" s="147"/>
      <c r="N520" s="147"/>
      <c r="O520" s="147"/>
      <c r="P520" s="147"/>
      <c r="Q520" s="147"/>
      <c r="R520" s="148"/>
      <c r="S520" s="148"/>
      <c r="T520" s="148"/>
      <c r="U520" s="148"/>
      <c r="V520" s="148"/>
      <c r="W520" s="148"/>
      <c r="X520" s="148"/>
      <c r="Y520" s="148"/>
      <c r="Z520" s="148"/>
      <c r="AA520" s="148"/>
      <c r="AB520" s="148"/>
      <c r="AC520" s="148"/>
    </row>
    <row r="521" spans="1:29">
      <c r="A521" s="149">
        <v>45945</v>
      </c>
      <c r="B521" s="147" t="s">
        <v>1774</v>
      </c>
      <c r="C521" s="147">
        <v>1</v>
      </c>
      <c r="D521" s="147"/>
      <c r="E521" s="147"/>
      <c r="F521" s="147"/>
      <c r="G521" s="147"/>
      <c r="H521" s="147"/>
      <c r="I521" s="147"/>
      <c r="J521" s="147">
        <v>1</v>
      </c>
      <c r="K521" s="147"/>
      <c r="L521" s="147"/>
      <c r="M521" s="147"/>
      <c r="N521" s="147"/>
      <c r="O521" s="147"/>
      <c r="P521" s="147"/>
      <c r="Q521" s="147"/>
      <c r="R521" s="148"/>
      <c r="S521" s="148"/>
      <c r="T521" s="148"/>
      <c r="U521" s="148"/>
      <c r="V521" s="148"/>
      <c r="W521" s="148"/>
      <c r="X521" s="148"/>
      <c r="Y521" s="148"/>
      <c r="Z521" s="148"/>
      <c r="AA521" s="148"/>
      <c r="AB521" s="148"/>
      <c r="AC521" s="148"/>
    </row>
    <row r="522" spans="1:29">
      <c r="A522" s="149">
        <v>45945</v>
      </c>
      <c r="B522" s="147" t="s">
        <v>1229</v>
      </c>
      <c r="C522" s="147">
        <v>2</v>
      </c>
      <c r="D522" s="147">
        <v>1</v>
      </c>
      <c r="E522" s="147"/>
      <c r="F522" s="147"/>
      <c r="G522" s="147"/>
      <c r="H522" s="147"/>
      <c r="I522" s="147"/>
      <c r="J522" s="147">
        <v>1</v>
      </c>
      <c r="K522" s="147"/>
      <c r="L522" s="147"/>
      <c r="M522" s="147"/>
      <c r="N522" s="147"/>
      <c r="O522" s="147"/>
      <c r="P522" s="147"/>
      <c r="Q522" s="147">
        <v>14</v>
      </c>
      <c r="R522" s="148"/>
      <c r="S522" s="148"/>
      <c r="T522" s="148"/>
      <c r="U522" s="148"/>
      <c r="V522" s="148"/>
      <c r="W522" s="148"/>
      <c r="X522" s="148"/>
      <c r="Y522" s="148"/>
      <c r="Z522" s="148"/>
      <c r="AA522" s="148"/>
      <c r="AB522" s="148"/>
      <c r="AC522" s="148"/>
    </row>
    <row r="523" spans="1:29">
      <c r="A523" s="149">
        <v>45945</v>
      </c>
      <c r="B523" s="147" t="s">
        <v>243</v>
      </c>
      <c r="C523" s="147">
        <v>1</v>
      </c>
      <c r="D523" s="147">
        <v>1</v>
      </c>
      <c r="E523" s="147"/>
      <c r="F523" s="147"/>
      <c r="G523" s="147"/>
      <c r="H523" s="147"/>
      <c r="I523" s="147"/>
      <c r="J523" s="147"/>
      <c r="K523" s="147"/>
      <c r="L523" s="147"/>
      <c r="M523" s="147"/>
      <c r="N523" s="147"/>
      <c r="O523" s="147"/>
      <c r="P523" s="147"/>
      <c r="Q523" s="147">
        <v>14</v>
      </c>
      <c r="R523" s="148"/>
      <c r="S523" s="148"/>
      <c r="T523" s="148"/>
      <c r="U523" s="148"/>
      <c r="V523" s="148"/>
      <c r="W523" s="148"/>
      <c r="X523" s="148"/>
      <c r="Y523" s="148"/>
      <c r="Z523" s="148"/>
      <c r="AA523" s="148"/>
      <c r="AB523" s="148"/>
      <c r="AC523" s="148"/>
    </row>
    <row r="524" spans="1:29">
      <c r="A524" s="149">
        <v>45946</v>
      </c>
      <c r="B524" s="147" t="s">
        <v>61</v>
      </c>
      <c r="C524" s="147">
        <v>5</v>
      </c>
      <c r="D524" s="147">
        <v>2</v>
      </c>
      <c r="E524" s="147">
        <v>1</v>
      </c>
      <c r="F524" s="147"/>
      <c r="G524" s="147"/>
      <c r="H524" s="147"/>
      <c r="I524" s="147"/>
      <c r="J524" s="147">
        <v>2</v>
      </c>
      <c r="K524" s="147"/>
      <c r="L524" s="147"/>
      <c r="M524" s="147"/>
      <c r="N524" s="147"/>
      <c r="O524" s="147"/>
      <c r="P524" s="147"/>
      <c r="Q524" s="147">
        <v>91</v>
      </c>
      <c r="R524" s="148"/>
      <c r="S524" s="148"/>
      <c r="T524" s="148"/>
      <c r="U524" s="148"/>
      <c r="V524" s="148"/>
      <c r="W524" s="148"/>
      <c r="X524" s="148"/>
      <c r="Y524" s="148"/>
      <c r="Z524" s="148"/>
      <c r="AA524" s="148"/>
      <c r="AB524" s="148"/>
      <c r="AC524" s="148"/>
    </row>
    <row r="525" spans="1:29">
      <c r="A525" s="149">
        <v>45946</v>
      </c>
      <c r="B525" s="147" t="s">
        <v>1774</v>
      </c>
      <c r="C525" s="147">
        <v>3</v>
      </c>
      <c r="D525" s="147"/>
      <c r="E525" s="147"/>
      <c r="F525" s="147"/>
      <c r="G525" s="147"/>
      <c r="H525" s="147"/>
      <c r="I525" s="147">
        <v>3</v>
      </c>
      <c r="J525" s="147"/>
      <c r="K525" s="147"/>
      <c r="L525" s="147"/>
      <c r="M525" s="147"/>
      <c r="N525" s="147"/>
      <c r="O525" s="147"/>
      <c r="P525" s="147"/>
      <c r="Q525" s="147"/>
      <c r="R525" s="148"/>
      <c r="S525" s="148"/>
      <c r="T525" s="148"/>
      <c r="U525" s="148"/>
      <c r="V525" s="148"/>
      <c r="W525" s="148"/>
      <c r="X525" s="148"/>
      <c r="Y525" s="148"/>
      <c r="Z525" s="148"/>
      <c r="AA525" s="148"/>
      <c r="AB525" s="148"/>
      <c r="AC525" s="148"/>
    </row>
    <row r="526" spans="1:29">
      <c r="A526" s="149">
        <v>45946</v>
      </c>
      <c r="B526" s="147" t="s">
        <v>1229</v>
      </c>
      <c r="C526" s="147">
        <v>1</v>
      </c>
      <c r="D526" s="147">
        <v>1</v>
      </c>
      <c r="E526" s="147"/>
      <c r="F526" s="147"/>
      <c r="G526" s="147"/>
      <c r="H526" s="147"/>
      <c r="I526" s="147"/>
      <c r="J526" s="147"/>
      <c r="K526" s="147"/>
      <c r="L526" s="147"/>
      <c r="M526" s="147"/>
      <c r="N526" s="147"/>
      <c r="O526" s="147"/>
      <c r="P526" s="147"/>
      <c r="Q526" s="147">
        <v>93</v>
      </c>
      <c r="R526" s="148"/>
      <c r="S526" s="148"/>
      <c r="T526" s="148"/>
      <c r="U526" s="148"/>
      <c r="V526" s="148"/>
      <c r="W526" s="148"/>
      <c r="X526" s="148"/>
      <c r="Y526" s="148"/>
      <c r="Z526" s="148"/>
      <c r="AA526" s="148"/>
      <c r="AB526" s="148"/>
      <c r="AC526" s="148"/>
    </row>
    <row r="527" spans="1:29">
      <c r="A527" s="149">
        <v>45946</v>
      </c>
      <c r="B527" s="147" t="s">
        <v>115</v>
      </c>
      <c r="C527" s="147">
        <v>1</v>
      </c>
      <c r="D527" s="147"/>
      <c r="E527" s="147"/>
      <c r="F527" s="147"/>
      <c r="G527" s="147"/>
      <c r="H527" s="147"/>
      <c r="I527" s="147"/>
      <c r="J527" s="147"/>
      <c r="K527" s="147">
        <v>1</v>
      </c>
      <c r="L527" s="147"/>
      <c r="M527" s="147"/>
      <c r="N527" s="147"/>
      <c r="O527" s="147"/>
      <c r="P527" s="147"/>
      <c r="Q527" s="147"/>
      <c r="R527" s="148"/>
      <c r="S527" s="148"/>
      <c r="T527" s="148"/>
      <c r="U527" s="148"/>
      <c r="V527" s="148"/>
      <c r="W527" s="148"/>
      <c r="X527" s="148"/>
      <c r="Y527" s="148"/>
      <c r="Z527" s="148"/>
      <c r="AA527" s="148"/>
      <c r="AB527" s="148"/>
      <c r="AC527" s="148"/>
    </row>
    <row r="528" spans="1:29">
      <c r="A528" s="149">
        <v>45946</v>
      </c>
      <c r="B528" s="147" t="s">
        <v>243</v>
      </c>
      <c r="C528" s="147">
        <v>2</v>
      </c>
      <c r="D528" s="147">
        <v>2</v>
      </c>
      <c r="E528" s="147"/>
      <c r="F528" s="147"/>
      <c r="G528" s="147"/>
      <c r="H528" s="147"/>
      <c r="I528" s="147"/>
      <c r="J528" s="147"/>
      <c r="K528" s="147"/>
      <c r="L528" s="147"/>
      <c r="M528" s="147"/>
      <c r="N528" s="147"/>
      <c r="O528" s="147"/>
      <c r="P528" s="147"/>
      <c r="Q528" s="147">
        <v>47</v>
      </c>
      <c r="R528" s="148"/>
      <c r="S528" s="148"/>
      <c r="T528" s="148"/>
      <c r="U528" s="148"/>
      <c r="V528" s="148"/>
      <c r="W528" s="148"/>
      <c r="X528" s="148"/>
      <c r="Y528" s="148"/>
      <c r="Z528" s="148"/>
      <c r="AA528" s="148"/>
      <c r="AB528" s="148"/>
      <c r="AC528" s="148"/>
    </row>
    <row r="529" spans="1:29">
      <c r="A529" s="149">
        <v>45947</v>
      </c>
      <c r="B529" s="147" t="s">
        <v>1774</v>
      </c>
      <c r="C529" s="147">
        <v>1</v>
      </c>
      <c r="D529" s="147"/>
      <c r="E529" s="147">
        <v>1</v>
      </c>
      <c r="F529" s="147"/>
      <c r="G529" s="147"/>
      <c r="H529" s="147"/>
      <c r="I529" s="147"/>
      <c r="J529" s="147"/>
      <c r="K529" s="147"/>
      <c r="L529" s="147"/>
      <c r="M529" s="147"/>
      <c r="N529" s="147"/>
      <c r="O529" s="147"/>
      <c r="P529" s="147"/>
      <c r="Q529" s="147"/>
      <c r="R529" s="148"/>
      <c r="S529" s="148"/>
      <c r="T529" s="148"/>
      <c r="U529" s="148"/>
      <c r="V529" s="148"/>
      <c r="W529" s="148"/>
      <c r="X529" s="148"/>
      <c r="Y529" s="148"/>
      <c r="Z529" s="148"/>
      <c r="AA529" s="148"/>
      <c r="AB529" s="148"/>
      <c r="AC529" s="148"/>
    </row>
    <row r="530" spans="1:29">
      <c r="A530" s="149">
        <v>45947</v>
      </c>
      <c r="B530" s="147" t="s">
        <v>115</v>
      </c>
      <c r="C530" s="147">
        <v>1</v>
      </c>
      <c r="D530" s="147"/>
      <c r="E530" s="147"/>
      <c r="F530" s="147"/>
      <c r="G530" s="147"/>
      <c r="H530" s="147"/>
      <c r="I530" s="147"/>
      <c r="J530" s="147"/>
      <c r="K530" s="147"/>
      <c r="L530" s="147"/>
      <c r="M530" s="147">
        <v>1</v>
      </c>
      <c r="N530" s="147"/>
      <c r="O530" s="147"/>
      <c r="P530" s="147"/>
      <c r="Q530" s="147"/>
      <c r="R530" s="148"/>
      <c r="S530" s="148"/>
      <c r="T530" s="148"/>
      <c r="U530" s="148"/>
      <c r="V530" s="148"/>
      <c r="W530" s="148"/>
      <c r="X530" s="148"/>
      <c r="Y530" s="148"/>
      <c r="Z530" s="148"/>
      <c r="AA530" s="148"/>
      <c r="AB530" s="148"/>
      <c r="AC530" s="148"/>
    </row>
    <row r="531" spans="1:29">
      <c r="A531" s="149">
        <v>45947</v>
      </c>
      <c r="B531" s="147" t="s">
        <v>1229</v>
      </c>
      <c r="C531" s="147">
        <v>4</v>
      </c>
      <c r="D531" s="147">
        <v>1</v>
      </c>
      <c r="E531" s="147">
        <v>2</v>
      </c>
      <c r="F531" s="147"/>
      <c r="G531" s="147"/>
      <c r="H531" s="147"/>
      <c r="I531" s="147"/>
      <c r="J531" s="147"/>
      <c r="K531" s="147"/>
      <c r="L531" s="147"/>
      <c r="M531" s="147">
        <v>1</v>
      </c>
      <c r="N531" s="147"/>
      <c r="O531" s="147"/>
      <c r="P531" s="147"/>
      <c r="Q531" s="147">
        <v>75</v>
      </c>
      <c r="R531" s="148"/>
      <c r="S531" s="148"/>
      <c r="T531" s="148"/>
      <c r="U531" s="148"/>
      <c r="V531" s="148"/>
      <c r="W531" s="148"/>
      <c r="X531" s="148"/>
      <c r="Y531" s="148"/>
      <c r="Z531" s="148"/>
      <c r="AA531" s="148"/>
      <c r="AB531" s="148"/>
      <c r="AC531" s="148"/>
    </row>
    <row r="532" spans="1:29">
      <c r="A532" s="149">
        <v>45947</v>
      </c>
      <c r="B532" s="147" t="s">
        <v>61</v>
      </c>
      <c r="C532" s="147">
        <v>7</v>
      </c>
      <c r="D532" s="147">
        <v>5</v>
      </c>
      <c r="E532" s="147"/>
      <c r="F532" s="147"/>
      <c r="G532" s="147"/>
      <c r="H532" s="147"/>
      <c r="I532" s="147"/>
      <c r="J532" s="147">
        <v>1</v>
      </c>
      <c r="K532" s="147"/>
      <c r="L532" s="147">
        <v>1</v>
      </c>
      <c r="M532" s="147"/>
      <c r="N532" s="147"/>
      <c r="O532" s="147"/>
      <c r="P532" s="147"/>
      <c r="Q532" s="147">
        <v>86</v>
      </c>
      <c r="R532" s="148"/>
      <c r="S532" s="148"/>
      <c r="T532" s="148"/>
      <c r="U532" s="148"/>
      <c r="V532" s="148"/>
      <c r="W532" s="148"/>
      <c r="X532" s="148"/>
      <c r="Y532" s="148"/>
      <c r="Z532" s="148"/>
      <c r="AA532" s="148"/>
      <c r="AB532" s="148"/>
      <c r="AC532" s="148"/>
    </row>
    <row r="533" spans="1:29">
      <c r="A533" s="149">
        <v>45947</v>
      </c>
      <c r="B533" s="147" t="s">
        <v>243</v>
      </c>
      <c r="C533" s="147"/>
      <c r="D533" s="147"/>
      <c r="E533" s="147"/>
      <c r="F533" s="147"/>
      <c r="G533" s="147"/>
      <c r="H533" s="147"/>
      <c r="I533" s="147"/>
      <c r="J533" s="147"/>
      <c r="K533" s="147"/>
      <c r="L533" s="147"/>
      <c r="M533" s="147"/>
      <c r="N533" s="147"/>
      <c r="O533" s="147"/>
      <c r="P533" s="147"/>
      <c r="Q533" s="147">
        <v>50</v>
      </c>
      <c r="R533" s="148"/>
      <c r="S533" s="148"/>
      <c r="T533" s="148"/>
      <c r="U533" s="148"/>
      <c r="V533" s="148"/>
      <c r="W533" s="148"/>
      <c r="X533" s="148"/>
      <c r="Y533" s="148"/>
      <c r="Z533" s="148"/>
      <c r="AA533" s="148"/>
      <c r="AB533" s="148"/>
      <c r="AC533" s="148"/>
    </row>
    <row r="534" spans="1:29">
      <c r="A534" s="149">
        <v>45948</v>
      </c>
      <c r="B534" s="147" t="s">
        <v>61</v>
      </c>
      <c r="C534" s="147">
        <v>4</v>
      </c>
      <c r="D534" s="147">
        <v>1</v>
      </c>
      <c r="E534" s="147">
        <v>2</v>
      </c>
      <c r="F534" s="147"/>
      <c r="G534" s="147"/>
      <c r="H534" s="147"/>
      <c r="I534" s="147">
        <v>1</v>
      </c>
      <c r="J534" s="147"/>
      <c r="K534" s="147"/>
      <c r="L534" s="147"/>
      <c r="M534" s="147"/>
      <c r="N534" s="147"/>
      <c r="O534" s="147"/>
      <c r="P534" s="147"/>
      <c r="Q534" s="147">
        <v>74</v>
      </c>
      <c r="R534" s="148"/>
      <c r="S534" s="148"/>
      <c r="T534" s="148"/>
      <c r="U534" s="148"/>
      <c r="V534" s="148"/>
      <c r="W534" s="148"/>
      <c r="X534" s="148"/>
      <c r="Y534" s="148"/>
      <c r="Z534" s="148"/>
      <c r="AA534" s="148"/>
      <c r="AB534" s="148"/>
      <c r="AC534" s="148"/>
    </row>
    <row r="535" spans="1:29">
      <c r="A535" s="149">
        <v>45948</v>
      </c>
      <c r="B535" s="147" t="s">
        <v>61</v>
      </c>
      <c r="C535" s="147">
        <v>4</v>
      </c>
      <c r="D535" s="147">
        <v>1</v>
      </c>
      <c r="E535" s="147"/>
      <c r="F535" s="147"/>
      <c r="G535" s="147"/>
      <c r="H535" s="147"/>
      <c r="I535" s="147">
        <v>1</v>
      </c>
      <c r="J535" s="147">
        <v>2</v>
      </c>
      <c r="K535" s="147"/>
      <c r="L535" s="147"/>
      <c r="M535" s="147"/>
      <c r="N535" s="147"/>
      <c r="O535" s="147"/>
      <c r="P535" s="147"/>
      <c r="Q535" s="147">
        <v>74</v>
      </c>
      <c r="R535" s="148"/>
      <c r="S535" s="148"/>
      <c r="T535" s="148"/>
      <c r="U535" s="148"/>
      <c r="V535" s="148"/>
      <c r="W535" s="148"/>
      <c r="X535" s="148"/>
      <c r="Y535" s="148"/>
      <c r="Z535" s="148"/>
      <c r="AA535" s="148"/>
      <c r="AB535" s="148"/>
      <c r="AC535" s="148"/>
    </row>
    <row r="536" spans="1:29">
      <c r="A536" s="149">
        <v>45948</v>
      </c>
      <c r="B536" s="147" t="s">
        <v>115</v>
      </c>
      <c r="C536" s="147"/>
      <c r="D536" s="147"/>
      <c r="E536" s="147"/>
      <c r="F536" s="147"/>
      <c r="G536" s="147"/>
      <c r="H536" s="147"/>
      <c r="I536" s="147"/>
      <c r="J536" s="147"/>
      <c r="K536" s="147"/>
      <c r="L536" s="147"/>
      <c r="M536" s="147"/>
      <c r="N536" s="147"/>
      <c r="O536" s="147"/>
      <c r="P536" s="147"/>
      <c r="Q536" s="147"/>
      <c r="R536" s="148"/>
      <c r="S536" s="148"/>
      <c r="T536" s="148"/>
      <c r="U536" s="148"/>
      <c r="V536" s="148"/>
      <c r="W536" s="148"/>
      <c r="X536" s="148"/>
      <c r="Y536" s="148"/>
      <c r="Z536" s="148"/>
      <c r="AA536" s="148"/>
      <c r="AB536" s="148"/>
      <c r="AC536" s="148"/>
    </row>
    <row r="537" spans="1:29">
      <c r="A537" s="149">
        <v>45948</v>
      </c>
      <c r="B537" s="147" t="s">
        <v>1229</v>
      </c>
      <c r="C537" s="147">
        <v>3</v>
      </c>
      <c r="D537" s="147"/>
      <c r="E537" s="147"/>
      <c r="F537" s="147"/>
      <c r="G537" s="147"/>
      <c r="H537" s="147"/>
      <c r="I537" s="147"/>
      <c r="J537" s="147">
        <v>2</v>
      </c>
      <c r="K537" s="147"/>
      <c r="L537" s="147">
        <v>1</v>
      </c>
      <c r="M537" s="147"/>
      <c r="N537" s="147"/>
      <c r="O537" s="147"/>
      <c r="P537" s="147"/>
      <c r="Q537" s="147">
        <v>42</v>
      </c>
      <c r="R537" s="148"/>
      <c r="S537" s="148"/>
      <c r="T537" s="148"/>
      <c r="U537" s="148"/>
      <c r="V537" s="148"/>
      <c r="W537" s="148"/>
      <c r="X537" s="148"/>
      <c r="Y537" s="148"/>
      <c r="Z537" s="148"/>
      <c r="AA537" s="148"/>
      <c r="AB537" s="148"/>
      <c r="AC537" s="148"/>
    </row>
    <row r="538" spans="1:29">
      <c r="A538" s="149">
        <v>45948</v>
      </c>
      <c r="B538" s="147" t="s">
        <v>1774</v>
      </c>
      <c r="C538" s="147"/>
      <c r="D538" s="147"/>
      <c r="E538" s="147"/>
      <c r="F538" s="147"/>
      <c r="G538" s="147"/>
      <c r="H538" s="147"/>
      <c r="I538" s="147"/>
      <c r="J538" s="147"/>
      <c r="K538" s="147"/>
      <c r="L538" s="147"/>
      <c r="M538" s="147"/>
      <c r="N538" s="147"/>
      <c r="O538" s="147"/>
      <c r="P538" s="147"/>
      <c r="Q538" s="147">
        <v>32</v>
      </c>
      <c r="R538" s="148"/>
      <c r="S538" s="148"/>
      <c r="T538" s="148"/>
      <c r="U538" s="148"/>
      <c r="V538" s="148"/>
      <c r="W538" s="148"/>
      <c r="X538" s="148"/>
      <c r="Y538" s="148"/>
      <c r="Z538" s="148"/>
      <c r="AA538" s="148"/>
      <c r="AB538" s="148"/>
      <c r="AC538" s="148"/>
    </row>
    <row r="539" spans="1:29">
      <c r="A539" s="149">
        <v>45948</v>
      </c>
      <c r="B539" s="147" t="s">
        <v>243</v>
      </c>
      <c r="C539" s="147">
        <v>1</v>
      </c>
      <c r="D539" s="147">
        <v>1</v>
      </c>
      <c r="E539" s="147"/>
      <c r="F539" s="147"/>
      <c r="G539" s="147"/>
      <c r="H539" s="147"/>
      <c r="I539" s="147"/>
      <c r="J539" s="147">
        <v>2</v>
      </c>
      <c r="K539" s="147"/>
      <c r="L539" s="147">
        <v>1</v>
      </c>
      <c r="M539" s="147"/>
      <c r="N539" s="147"/>
      <c r="O539" s="147"/>
      <c r="P539" s="147"/>
      <c r="Q539" s="147">
        <v>37</v>
      </c>
      <c r="R539" s="148"/>
      <c r="S539" s="148"/>
      <c r="T539" s="148"/>
      <c r="U539" s="148"/>
      <c r="V539" s="148"/>
      <c r="W539" s="148"/>
      <c r="X539" s="148"/>
      <c r="Y539" s="148"/>
      <c r="Z539" s="148"/>
      <c r="AA539" s="148"/>
      <c r="AB539" s="148"/>
      <c r="AC539" s="148"/>
    </row>
    <row r="540" spans="1:29">
      <c r="A540" s="149">
        <v>45948</v>
      </c>
      <c r="B540" s="147" t="s">
        <v>243</v>
      </c>
      <c r="C540" s="147">
        <v>1</v>
      </c>
      <c r="D540" s="147">
        <v>1</v>
      </c>
      <c r="E540" s="147"/>
      <c r="F540" s="147"/>
      <c r="G540" s="147"/>
      <c r="H540" s="147"/>
      <c r="I540" s="147"/>
      <c r="J540" s="147"/>
      <c r="K540" s="147"/>
      <c r="L540" s="147"/>
      <c r="M540" s="147"/>
      <c r="N540" s="147"/>
      <c r="O540" s="147"/>
      <c r="P540" s="147"/>
      <c r="Q540" s="147">
        <v>37</v>
      </c>
      <c r="R540" s="148"/>
      <c r="S540" s="148"/>
      <c r="T540" s="148"/>
      <c r="U540" s="148"/>
      <c r="V540" s="148"/>
      <c r="W540" s="148"/>
      <c r="X540" s="148"/>
      <c r="Y540" s="148"/>
      <c r="Z540" s="148"/>
      <c r="AA540" s="148"/>
      <c r="AB540" s="148"/>
      <c r="AC540" s="148"/>
    </row>
    <row r="541" spans="1:29">
      <c r="A541" s="149">
        <v>45949</v>
      </c>
      <c r="B541" s="147" t="s">
        <v>1229</v>
      </c>
      <c r="C541" s="147">
        <v>5</v>
      </c>
      <c r="D541" s="147">
        <v>3</v>
      </c>
      <c r="E541" s="147">
        <v>1</v>
      </c>
      <c r="F541" s="147"/>
      <c r="G541" s="147"/>
      <c r="H541" s="147"/>
      <c r="I541" s="147"/>
      <c r="J541" s="147"/>
      <c r="K541" s="147">
        <v>1</v>
      </c>
      <c r="L541" s="147"/>
      <c r="M541" s="147"/>
      <c r="N541" s="147"/>
      <c r="O541" s="147"/>
      <c r="P541" s="147"/>
      <c r="Q541" s="147"/>
      <c r="R541" s="148"/>
      <c r="S541" s="148"/>
      <c r="T541" s="148"/>
      <c r="U541" s="148"/>
      <c r="V541" s="148"/>
      <c r="W541" s="148"/>
      <c r="X541" s="148"/>
      <c r="Y541" s="148"/>
      <c r="Z541" s="148"/>
      <c r="AA541" s="148"/>
      <c r="AB541" s="148"/>
      <c r="AC541" s="148"/>
    </row>
    <row r="542" spans="1:29">
      <c r="A542" s="149">
        <v>45949</v>
      </c>
      <c r="B542" s="147" t="s">
        <v>115</v>
      </c>
      <c r="C542" s="147">
        <v>1</v>
      </c>
      <c r="D542" s="147"/>
      <c r="E542" s="147"/>
      <c r="F542" s="147"/>
      <c r="G542" s="147"/>
      <c r="H542" s="147"/>
      <c r="I542" s="147">
        <v>1</v>
      </c>
      <c r="J542" s="147"/>
      <c r="K542" s="147"/>
      <c r="L542" s="147"/>
      <c r="M542" s="147"/>
      <c r="N542" s="147"/>
      <c r="O542" s="147"/>
      <c r="P542" s="147"/>
      <c r="Q542" s="147"/>
      <c r="R542" s="148"/>
      <c r="S542" s="148"/>
      <c r="T542" s="148"/>
      <c r="U542" s="148"/>
      <c r="V542" s="148"/>
      <c r="W542" s="148"/>
      <c r="X542" s="148"/>
      <c r="Y542" s="148"/>
      <c r="Z542" s="148"/>
      <c r="AA542" s="148"/>
      <c r="AB542" s="148"/>
      <c r="AC542" s="148"/>
    </row>
    <row r="543" spans="1:29">
      <c r="A543" s="149">
        <v>45949</v>
      </c>
      <c r="B543" s="147" t="s">
        <v>1774</v>
      </c>
      <c r="C543" s="147">
        <v>1</v>
      </c>
      <c r="D543" s="147"/>
      <c r="E543" s="147"/>
      <c r="F543" s="147"/>
      <c r="G543" s="147"/>
      <c r="H543" s="147"/>
      <c r="I543" s="147"/>
      <c r="J543" s="147"/>
      <c r="K543" s="147"/>
      <c r="L543" s="147">
        <v>1</v>
      </c>
      <c r="M543" s="147"/>
      <c r="N543" s="147"/>
      <c r="O543" s="147"/>
      <c r="P543" s="147"/>
      <c r="Q543" s="147"/>
      <c r="R543" s="148"/>
      <c r="S543" s="148"/>
      <c r="T543" s="148"/>
      <c r="U543" s="148"/>
      <c r="V543" s="148"/>
      <c r="W543" s="148"/>
      <c r="X543" s="148"/>
      <c r="Y543" s="148"/>
      <c r="Z543" s="148"/>
      <c r="AA543" s="148"/>
      <c r="AB543" s="148"/>
      <c r="AC543" s="148"/>
    </row>
    <row r="544" spans="1:29">
      <c r="A544" s="149">
        <v>45950</v>
      </c>
      <c r="B544" s="147" t="s">
        <v>115</v>
      </c>
      <c r="C544" s="147">
        <v>1</v>
      </c>
      <c r="D544" s="147">
        <v>1</v>
      </c>
      <c r="E544" s="147"/>
      <c r="F544" s="147"/>
      <c r="G544" s="147"/>
      <c r="H544" s="147"/>
      <c r="I544" s="147"/>
      <c r="J544" s="147"/>
      <c r="K544" s="147"/>
      <c r="L544" s="147"/>
      <c r="M544" s="147"/>
      <c r="N544" s="147"/>
      <c r="O544" s="147"/>
      <c r="P544" s="147"/>
      <c r="Q544" s="147"/>
      <c r="R544" s="148"/>
      <c r="S544" s="148"/>
      <c r="T544" s="148"/>
      <c r="U544" s="148"/>
      <c r="V544" s="148"/>
      <c r="W544" s="148"/>
      <c r="X544" s="148"/>
      <c r="Y544" s="148"/>
      <c r="Z544" s="148"/>
      <c r="AA544" s="148"/>
      <c r="AB544" s="148"/>
      <c r="AC544" s="148"/>
    </row>
    <row r="545" spans="1:29">
      <c r="A545" s="149">
        <v>45950</v>
      </c>
      <c r="B545" s="147" t="s">
        <v>61</v>
      </c>
      <c r="C545" s="147">
        <v>9</v>
      </c>
      <c r="D545" s="147">
        <v>5</v>
      </c>
      <c r="E545" s="147">
        <v>4</v>
      </c>
      <c r="F545" s="147"/>
      <c r="G545" s="147"/>
      <c r="H545" s="147"/>
      <c r="I545" s="147"/>
      <c r="J545" s="147"/>
      <c r="K545" s="147"/>
      <c r="L545" s="147"/>
      <c r="M545" s="147"/>
      <c r="N545" s="147"/>
      <c r="O545" s="147"/>
      <c r="P545" s="147"/>
      <c r="Q545" s="147">
        <v>113</v>
      </c>
      <c r="R545" s="148"/>
      <c r="S545" s="148"/>
      <c r="T545" s="148"/>
      <c r="U545" s="148"/>
      <c r="V545" s="148"/>
      <c r="W545" s="148"/>
      <c r="X545" s="148"/>
      <c r="Y545" s="148"/>
      <c r="Z545" s="148"/>
      <c r="AA545" s="148"/>
      <c r="AB545" s="148"/>
      <c r="AC545" s="148"/>
    </row>
    <row r="546" spans="1:29">
      <c r="A546" s="149">
        <v>45951</v>
      </c>
      <c r="B546" s="147" t="s">
        <v>61</v>
      </c>
      <c r="C546" s="147">
        <v>7</v>
      </c>
      <c r="D546" s="147">
        <v>2</v>
      </c>
      <c r="E546" s="147">
        <v>3</v>
      </c>
      <c r="F546" s="147"/>
      <c r="G546" s="147">
        <v>1</v>
      </c>
      <c r="H546" s="147"/>
      <c r="I546" s="147"/>
      <c r="J546" s="147">
        <v>1</v>
      </c>
      <c r="K546" s="147"/>
      <c r="L546" s="147"/>
      <c r="M546" s="147"/>
      <c r="N546" s="147"/>
      <c r="O546" s="147"/>
      <c r="P546" s="147"/>
      <c r="Q546" s="147">
        <v>89</v>
      </c>
      <c r="R546" s="148"/>
      <c r="S546" s="148"/>
      <c r="T546" s="148"/>
      <c r="U546" s="148"/>
      <c r="V546" s="148"/>
      <c r="W546" s="148"/>
      <c r="X546" s="148"/>
      <c r="Y546" s="148"/>
      <c r="Z546" s="148"/>
      <c r="AA546" s="148"/>
      <c r="AB546" s="148"/>
      <c r="AC546" s="148"/>
    </row>
    <row r="547" spans="1:29">
      <c r="A547" s="149">
        <v>45951</v>
      </c>
      <c r="B547" s="147" t="s">
        <v>115</v>
      </c>
      <c r="C547" s="147"/>
      <c r="D547" s="147"/>
      <c r="E547" s="147"/>
      <c r="F547" s="147"/>
      <c r="G547" s="147"/>
      <c r="H547" s="147"/>
      <c r="I547" s="147"/>
      <c r="J547" s="147"/>
      <c r="K547" s="147"/>
      <c r="L547" s="147"/>
      <c r="M547" s="147"/>
      <c r="N547" s="147"/>
      <c r="O547" s="147"/>
      <c r="P547" s="147"/>
      <c r="Q547" s="147"/>
      <c r="R547" s="148"/>
      <c r="S547" s="148"/>
      <c r="T547" s="148"/>
      <c r="U547" s="148"/>
      <c r="V547" s="148"/>
      <c r="W547" s="148"/>
      <c r="X547" s="148"/>
      <c r="Y547" s="148"/>
      <c r="Z547" s="148"/>
      <c r="AA547" s="148"/>
      <c r="AB547" s="148"/>
      <c r="AC547" s="148"/>
    </row>
    <row r="548" spans="1:29">
      <c r="A548" s="149">
        <v>45921</v>
      </c>
      <c r="B548" s="147" t="s">
        <v>1229</v>
      </c>
      <c r="C548" s="147">
        <v>3</v>
      </c>
      <c r="D548" s="147">
        <v>1</v>
      </c>
      <c r="E548" s="147">
        <v>1</v>
      </c>
      <c r="F548" s="147"/>
      <c r="G548" s="147"/>
      <c r="H548" s="147"/>
      <c r="I548" s="147">
        <v>1</v>
      </c>
      <c r="J548" s="147"/>
      <c r="K548" s="147"/>
      <c r="L548" s="147"/>
      <c r="M548" s="147"/>
      <c r="N548" s="147"/>
      <c r="O548" s="147"/>
      <c r="P548" s="147"/>
      <c r="Q548" s="147"/>
      <c r="R548" s="148"/>
      <c r="S548" s="148"/>
      <c r="T548" s="148"/>
      <c r="U548" s="148"/>
      <c r="V548" s="148"/>
      <c r="W548" s="148"/>
      <c r="X548" s="148"/>
      <c r="Y548" s="148"/>
      <c r="Z548" s="148"/>
      <c r="AA548" s="148"/>
      <c r="AB548" s="148"/>
      <c r="AC548" s="148"/>
    </row>
    <row r="549" spans="1:29">
      <c r="A549" s="149">
        <v>45951</v>
      </c>
      <c r="B549" s="147" t="s">
        <v>1774</v>
      </c>
      <c r="C549" s="147">
        <v>1</v>
      </c>
      <c r="D549" s="147">
        <v>1</v>
      </c>
      <c r="E549" s="147"/>
      <c r="F549" s="147"/>
      <c r="G549" s="147"/>
      <c r="H549" s="147"/>
      <c r="I549" s="147"/>
      <c r="J549" s="147"/>
      <c r="K549" s="147"/>
      <c r="L549" s="147"/>
      <c r="M549" s="147"/>
      <c r="N549" s="147"/>
      <c r="O549" s="147"/>
      <c r="P549" s="147"/>
      <c r="Q549" s="147"/>
      <c r="R549" s="148"/>
      <c r="S549" s="148"/>
      <c r="T549" s="148"/>
      <c r="U549" s="148"/>
      <c r="V549" s="148"/>
      <c r="W549" s="148"/>
      <c r="X549" s="148"/>
      <c r="Y549" s="148"/>
      <c r="Z549" s="148"/>
      <c r="AA549" s="148"/>
      <c r="AB549" s="148"/>
      <c r="AC549" s="148"/>
    </row>
    <row r="550" spans="1:29">
      <c r="A550" s="149">
        <v>45952</v>
      </c>
      <c r="B550" s="147" t="s">
        <v>1774</v>
      </c>
      <c r="C550" s="147">
        <v>2</v>
      </c>
      <c r="D550" s="147">
        <v>2</v>
      </c>
      <c r="E550" s="147"/>
      <c r="F550" s="147"/>
      <c r="G550" s="147"/>
      <c r="H550" s="147"/>
      <c r="I550" s="147"/>
      <c r="J550" s="147"/>
      <c r="K550" s="147"/>
      <c r="L550" s="147"/>
      <c r="M550" s="147"/>
      <c r="N550" s="147"/>
      <c r="O550" s="147"/>
      <c r="P550" s="147"/>
      <c r="Q550" s="147">
        <v>68</v>
      </c>
      <c r="R550" s="148"/>
      <c r="S550" s="148"/>
      <c r="T550" s="148"/>
      <c r="U550" s="148"/>
      <c r="V550" s="148"/>
      <c r="W550" s="148"/>
      <c r="X550" s="148"/>
      <c r="Y550" s="148"/>
      <c r="Z550" s="148"/>
      <c r="AA550" s="148"/>
      <c r="AB550" s="148"/>
      <c r="AC550" s="148"/>
    </row>
    <row r="551" spans="1:29">
      <c r="A551" s="149">
        <v>45952</v>
      </c>
      <c r="B551" s="147" t="s">
        <v>1229</v>
      </c>
      <c r="C551" s="147">
        <v>2</v>
      </c>
      <c r="D551" s="147"/>
      <c r="E551" s="147"/>
      <c r="F551" s="147"/>
      <c r="G551" s="147"/>
      <c r="H551" s="147"/>
      <c r="I551" s="147">
        <v>1</v>
      </c>
      <c r="J551" s="147"/>
      <c r="K551" s="147">
        <v>1</v>
      </c>
      <c r="L551" s="147"/>
      <c r="M551" s="147"/>
      <c r="N551" s="147"/>
      <c r="O551" s="147"/>
      <c r="P551" s="147"/>
      <c r="Q551" s="147"/>
      <c r="R551" s="148"/>
      <c r="S551" s="148"/>
      <c r="T551" s="148"/>
      <c r="U551" s="148"/>
      <c r="V551" s="148"/>
      <c r="W551" s="148"/>
      <c r="X551" s="148"/>
      <c r="Y551" s="148"/>
      <c r="Z551" s="148"/>
      <c r="AA551" s="148"/>
      <c r="AB551" s="148"/>
      <c r="AC551" s="148"/>
    </row>
    <row r="552" spans="1:29">
      <c r="A552" s="149">
        <v>45952</v>
      </c>
      <c r="B552" s="147" t="s">
        <v>61</v>
      </c>
      <c r="C552" s="147">
        <v>5</v>
      </c>
      <c r="D552" s="147">
        <v>3</v>
      </c>
      <c r="E552" s="147"/>
      <c r="F552" s="147"/>
      <c r="G552" s="147"/>
      <c r="H552" s="147"/>
      <c r="I552" s="147"/>
      <c r="J552" s="147">
        <v>2</v>
      </c>
      <c r="K552" s="147"/>
      <c r="L552" s="147"/>
      <c r="M552" s="147"/>
      <c r="N552" s="147"/>
      <c r="O552" s="147"/>
      <c r="P552" s="147"/>
      <c r="Q552" s="147">
        <v>62</v>
      </c>
      <c r="R552" s="148"/>
      <c r="S552" s="148"/>
      <c r="T552" s="148"/>
      <c r="U552" s="148"/>
      <c r="V552" s="148"/>
      <c r="W552" s="148"/>
      <c r="X552" s="148"/>
      <c r="Y552" s="148"/>
      <c r="Z552" s="148"/>
      <c r="AA552" s="148"/>
      <c r="AB552" s="148"/>
      <c r="AC552" s="148"/>
    </row>
    <row r="553" spans="1:29">
      <c r="A553" s="149">
        <v>45952</v>
      </c>
      <c r="B553" s="147" t="s">
        <v>1229</v>
      </c>
      <c r="C553" s="147">
        <v>2</v>
      </c>
      <c r="D553" s="147"/>
      <c r="E553" s="147"/>
      <c r="F553" s="147"/>
      <c r="G553" s="147"/>
      <c r="H553" s="147"/>
      <c r="I553" s="147">
        <v>1</v>
      </c>
      <c r="J553" s="147">
        <v>1</v>
      </c>
      <c r="K553" s="147"/>
      <c r="L553" s="147"/>
      <c r="M553" s="147"/>
      <c r="N553" s="147"/>
      <c r="O553" s="147"/>
      <c r="P553" s="147"/>
      <c r="Q553" s="147"/>
      <c r="R553" s="148"/>
      <c r="S553" s="148"/>
      <c r="T553" s="148"/>
      <c r="U553" s="148"/>
      <c r="V553" s="148"/>
      <c r="W553" s="148"/>
      <c r="X553" s="148"/>
      <c r="Y553" s="148"/>
      <c r="Z553" s="148"/>
      <c r="AA553" s="148"/>
      <c r="AB553" s="148"/>
      <c r="AC553" s="148"/>
    </row>
    <row r="554" spans="1:29">
      <c r="A554" s="149">
        <v>45952</v>
      </c>
      <c r="B554" s="147" t="s">
        <v>243</v>
      </c>
      <c r="C554" s="147"/>
      <c r="D554" s="147"/>
      <c r="E554" s="147"/>
      <c r="F554" s="147"/>
      <c r="G554" s="147"/>
      <c r="H554" s="147"/>
      <c r="I554" s="147"/>
      <c r="J554" s="147"/>
      <c r="K554" s="147"/>
      <c r="L554" s="147"/>
      <c r="M554" s="147"/>
      <c r="N554" s="147"/>
      <c r="O554" s="147"/>
      <c r="P554" s="147"/>
      <c r="Q554" s="147"/>
      <c r="R554" s="148"/>
      <c r="S554" s="148"/>
      <c r="T554" s="148"/>
      <c r="U554" s="148"/>
      <c r="V554" s="148"/>
      <c r="W554" s="148"/>
      <c r="X554" s="148"/>
      <c r="Y554" s="148"/>
      <c r="Z554" s="148"/>
      <c r="AA554" s="148"/>
      <c r="AB554" s="148"/>
      <c r="AC554" s="148"/>
    </row>
    <row r="555" spans="1:29">
      <c r="A555" s="149">
        <v>45953</v>
      </c>
      <c r="B555" s="147" t="s">
        <v>115</v>
      </c>
      <c r="C555" s="147">
        <v>1</v>
      </c>
      <c r="D555" s="147"/>
      <c r="E555" s="147"/>
      <c r="F555" s="147"/>
      <c r="G555" s="147"/>
      <c r="H555" s="147"/>
      <c r="I555" s="147"/>
      <c r="J555" s="147">
        <v>1</v>
      </c>
      <c r="K555" s="147"/>
      <c r="L555" s="147"/>
      <c r="M555" s="147"/>
      <c r="N555" s="147"/>
      <c r="O555" s="147"/>
      <c r="P555" s="147"/>
      <c r="Q555" s="147"/>
      <c r="R555" s="148"/>
      <c r="S555" s="148"/>
      <c r="T555" s="148"/>
      <c r="U555" s="148"/>
      <c r="V555" s="148"/>
      <c r="W555" s="148"/>
      <c r="X555" s="148"/>
      <c r="Y555" s="148"/>
      <c r="Z555" s="148"/>
      <c r="AA555" s="148"/>
      <c r="AB555" s="148"/>
      <c r="AC555" s="148"/>
    </row>
    <row r="556" spans="1:29">
      <c r="A556" s="149">
        <v>45953</v>
      </c>
      <c r="B556" s="147" t="s">
        <v>1229</v>
      </c>
      <c r="C556" s="147"/>
      <c r="D556" s="147">
        <v>1</v>
      </c>
      <c r="E556" s="147"/>
      <c r="F556" s="147"/>
      <c r="G556" s="147"/>
      <c r="H556" s="147">
        <v>1</v>
      </c>
      <c r="I556" s="147"/>
      <c r="J556" s="147"/>
      <c r="K556" s="147"/>
      <c r="L556" s="147"/>
      <c r="M556" s="147"/>
      <c r="N556" s="147"/>
      <c r="O556" s="147"/>
      <c r="P556" s="147"/>
      <c r="Q556" s="147"/>
      <c r="R556" s="148"/>
      <c r="S556" s="148"/>
      <c r="T556" s="148"/>
      <c r="U556" s="148"/>
      <c r="V556" s="148"/>
      <c r="W556" s="148"/>
      <c r="X556" s="148"/>
      <c r="Y556" s="148"/>
      <c r="Z556" s="148"/>
      <c r="AA556" s="148"/>
      <c r="AB556" s="148"/>
      <c r="AC556" s="148"/>
    </row>
    <row r="557" spans="1:29">
      <c r="A557" s="149">
        <v>45953</v>
      </c>
      <c r="B557" s="147" t="s">
        <v>1229</v>
      </c>
      <c r="C557" s="147">
        <v>2</v>
      </c>
      <c r="D557" s="147">
        <v>1</v>
      </c>
      <c r="E557" s="147"/>
      <c r="F557" s="147"/>
      <c r="G557" s="147"/>
      <c r="H557" s="147">
        <v>1</v>
      </c>
      <c r="I557" s="147"/>
      <c r="J557" s="147"/>
      <c r="K557" s="147"/>
      <c r="L557" s="147"/>
      <c r="M557" s="147"/>
      <c r="N557" s="147"/>
      <c r="O557" s="147"/>
      <c r="P557" s="147"/>
      <c r="Q557" s="147"/>
      <c r="R557" s="148"/>
      <c r="S557" s="148"/>
      <c r="T557" s="148"/>
      <c r="U557" s="148"/>
      <c r="V557" s="148"/>
      <c r="W557" s="148"/>
      <c r="X557" s="148"/>
      <c r="Y557" s="148"/>
      <c r="Z557" s="148"/>
      <c r="AA557" s="148"/>
      <c r="AB557" s="148"/>
      <c r="AC557" s="148"/>
    </row>
    <row r="558" spans="1:29">
      <c r="A558" s="149">
        <v>45953</v>
      </c>
      <c r="B558" s="147" t="s">
        <v>1774</v>
      </c>
      <c r="C558" s="147">
        <v>6</v>
      </c>
      <c r="D558" s="147">
        <v>5</v>
      </c>
      <c r="E558" s="147"/>
      <c r="F558" s="147"/>
      <c r="G558" s="147"/>
      <c r="H558" s="147"/>
      <c r="I558" s="147">
        <v>1</v>
      </c>
      <c r="J558" s="147"/>
      <c r="K558" s="147"/>
      <c r="L558" s="147"/>
      <c r="M558" s="147"/>
      <c r="N558" s="147"/>
      <c r="O558" s="147"/>
      <c r="P558" s="147"/>
      <c r="Q558" s="147">
        <v>77</v>
      </c>
      <c r="R558" s="148"/>
      <c r="S558" s="148"/>
      <c r="T558" s="148"/>
      <c r="U558" s="148"/>
      <c r="V558" s="148"/>
      <c r="W558" s="148"/>
      <c r="X558" s="148"/>
      <c r="Y558" s="148"/>
      <c r="Z558" s="148"/>
      <c r="AA558" s="148"/>
      <c r="AB558" s="148"/>
      <c r="AC558" s="148"/>
    </row>
    <row r="559" spans="1:29">
      <c r="A559" s="149">
        <v>45953</v>
      </c>
      <c r="B559" s="147" t="s">
        <v>243</v>
      </c>
      <c r="C559" s="147">
        <v>1</v>
      </c>
      <c r="D559" s="147"/>
      <c r="E559" s="147"/>
      <c r="F559" s="147"/>
      <c r="G559" s="147"/>
      <c r="H559" s="147">
        <v>1</v>
      </c>
      <c r="I559" s="147"/>
      <c r="J559" s="147">
        <v>1</v>
      </c>
      <c r="K559" s="147"/>
      <c r="L559" s="147"/>
      <c r="M559" s="147"/>
      <c r="N559" s="147"/>
      <c r="O559" s="147"/>
      <c r="P559" s="147"/>
      <c r="Q559" s="147"/>
      <c r="R559" s="148"/>
      <c r="S559" s="148"/>
      <c r="T559" s="148"/>
      <c r="U559" s="148"/>
      <c r="V559" s="148"/>
      <c r="W559" s="148"/>
      <c r="X559" s="148"/>
      <c r="Y559" s="148"/>
      <c r="Z559" s="148"/>
      <c r="AA559" s="148"/>
      <c r="AB559" s="148"/>
      <c r="AC559" s="148"/>
    </row>
    <row r="560" spans="1:29">
      <c r="A560" s="149">
        <v>45954</v>
      </c>
      <c r="B560" s="147" t="s">
        <v>115</v>
      </c>
      <c r="C560" s="147">
        <v>1</v>
      </c>
      <c r="D560" s="147">
        <v>1</v>
      </c>
      <c r="E560" s="147"/>
      <c r="F560" s="147"/>
      <c r="G560" s="147"/>
      <c r="H560" s="147"/>
      <c r="I560" s="147"/>
      <c r="J560" s="147"/>
      <c r="K560" s="147"/>
      <c r="L560" s="147"/>
      <c r="M560" s="147"/>
      <c r="N560" s="147"/>
      <c r="O560" s="147"/>
      <c r="P560" s="147"/>
      <c r="Q560" s="147">
        <v>12</v>
      </c>
      <c r="R560" s="148"/>
      <c r="S560" s="148"/>
      <c r="T560" s="148"/>
      <c r="U560" s="148"/>
      <c r="V560" s="148"/>
      <c r="W560" s="148"/>
      <c r="X560" s="148"/>
      <c r="Y560" s="148"/>
      <c r="Z560" s="148"/>
      <c r="AA560" s="148"/>
      <c r="AB560" s="148"/>
      <c r="AC560" s="148"/>
    </row>
    <row r="561" spans="1:29">
      <c r="A561" s="149">
        <v>45954</v>
      </c>
      <c r="B561" s="147" t="s">
        <v>1774</v>
      </c>
      <c r="C561" s="147">
        <v>2</v>
      </c>
      <c r="D561" s="147"/>
      <c r="E561" s="147">
        <v>1</v>
      </c>
      <c r="F561" s="147"/>
      <c r="G561" s="147"/>
      <c r="H561" s="147"/>
      <c r="I561" s="147"/>
      <c r="J561" s="147">
        <v>1</v>
      </c>
      <c r="K561" s="147"/>
      <c r="L561" s="147"/>
      <c r="M561" s="147"/>
      <c r="N561" s="147"/>
      <c r="O561" s="147"/>
      <c r="P561" s="147"/>
      <c r="Q561" s="147">
        <v>12</v>
      </c>
      <c r="R561" s="148"/>
      <c r="S561" s="148"/>
      <c r="T561" s="148"/>
      <c r="U561" s="148"/>
      <c r="V561" s="148"/>
      <c r="W561" s="148"/>
      <c r="X561" s="148"/>
      <c r="Y561" s="148"/>
      <c r="Z561" s="148"/>
      <c r="AA561" s="148"/>
      <c r="AB561" s="148"/>
      <c r="AC561" s="148"/>
    </row>
    <row r="562" spans="1:29">
      <c r="A562" s="149">
        <v>45954</v>
      </c>
      <c r="B562" s="147" t="s">
        <v>1229</v>
      </c>
      <c r="C562" s="147">
        <v>4</v>
      </c>
      <c r="D562" s="147">
        <v>2</v>
      </c>
      <c r="E562" s="147">
        <v>1</v>
      </c>
      <c r="F562" s="147"/>
      <c r="G562" s="147"/>
      <c r="H562" s="147"/>
      <c r="I562" s="147"/>
      <c r="J562" s="147"/>
      <c r="K562" s="147">
        <v>1</v>
      </c>
      <c r="L562" s="147"/>
      <c r="M562" s="147"/>
      <c r="N562" s="147"/>
      <c r="O562" s="147"/>
      <c r="P562" s="147"/>
      <c r="Q562" s="147">
        <v>24</v>
      </c>
      <c r="R562" s="148"/>
      <c r="S562" s="148"/>
      <c r="T562" s="148"/>
      <c r="U562" s="148"/>
      <c r="V562" s="148"/>
      <c r="W562" s="148"/>
      <c r="X562" s="148"/>
      <c r="Y562" s="148"/>
      <c r="Z562" s="148"/>
      <c r="AA562" s="148"/>
      <c r="AB562" s="148"/>
      <c r="AC562" s="148"/>
    </row>
    <row r="563" spans="1:29">
      <c r="A563" s="149">
        <v>45953</v>
      </c>
      <c r="B563" s="147" t="s">
        <v>61</v>
      </c>
      <c r="C563" s="147">
        <v>6</v>
      </c>
      <c r="D563" s="147">
        <v>5</v>
      </c>
      <c r="E563" s="147"/>
      <c r="F563" s="147"/>
      <c r="G563" s="147"/>
      <c r="H563" s="147"/>
      <c r="I563" s="147"/>
      <c r="J563" s="147">
        <v>1</v>
      </c>
      <c r="K563" s="147"/>
      <c r="L563" s="147"/>
      <c r="M563" s="147"/>
      <c r="N563" s="147"/>
      <c r="O563" s="147"/>
      <c r="P563" s="147"/>
      <c r="Q563" s="147">
        <v>67</v>
      </c>
      <c r="R563" s="148"/>
      <c r="S563" s="148"/>
      <c r="T563" s="148"/>
      <c r="U563" s="148"/>
      <c r="V563" s="148"/>
      <c r="W563" s="148"/>
      <c r="X563" s="148"/>
      <c r="Y563" s="148"/>
      <c r="Z563" s="148"/>
      <c r="AA563" s="148"/>
      <c r="AB563" s="148"/>
      <c r="AC563" s="148"/>
    </row>
    <row r="564" spans="1:29">
      <c r="A564" s="149">
        <v>45954</v>
      </c>
      <c r="B564" s="147" t="s">
        <v>61</v>
      </c>
      <c r="C564" s="147">
        <v>2</v>
      </c>
      <c r="D564" s="147">
        <v>1</v>
      </c>
      <c r="E564" s="147" t="s">
        <v>12843</v>
      </c>
      <c r="F564" s="147"/>
      <c r="G564" s="147">
        <v>1</v>
      </c>
      <c r="H564" s="147"/>
      <c r="I564" s="147"/>
      <c r="J564" s="147"/>
      <c r="K564" s="147"/>
      <c r="L564" s="147"/>
      <c r="M564" s="147"/>
      <c r="N564" s="147"/>
      <c r="O564" s="147"/>
      <c r="P564" s="147"/>
      <c r="Q564" s="147">
        <v>22</v>
      </c>
      <c r="R564" s="148"/>
      <c r="S564" s="148"/>
      <c r="T564" s="148"/>
      <c r="U564" s="148"/>
      <c r="V564" s="148"/>
      <c r="W564" s="148"/>
      <c r="X564" s="148"/>
      <c r="Y564" s="148"/>
      <c r="Z564" s="148"/>
      <c r="AA564" s="148"/>
      <c r="AB564" s="148"/>
      <c r="AC564" s="148"/>
    </row>
    <row r="565" spans="1:29">
      <c r="A565" s="149">
        <v>45954</v>
      </c>
      <c r="B565" s="147" t="s">
        <v>243</v>
      </c>
      <c r="C565" s="147"/>
      <c r="D565" s="147"/>
      <c r="E565" s="147"/>
      <c r="F565" s="147"/>
      <c r="G565" s="147"/>
      <c r="H565" s="147"/>
      <c r="I565" s="147"/>
      <c r="J565" s="147"/>
      <c r="K565" s="147"/>
      <c r="L565" s="147"/>
      <c r="M565" s="147"/>
      <c r="N565" s="147"/>
      <c r="O565" s="147"/>
      <c r="P565" s="147"/>
      <c r="Q565" s="147"/>
      <c r="R565" s="148"/>
      <c r="S565" s="148"/>
      <c r="T565" s="148"/>
      <c r="U565" s="148"/>
      <c r="V565" s="148"/>
      <c r="W565" s="148"/>
      <c r="X565" s="148"/>
      <c r="Y565" s="148"/>
      <c r="Z565" s="148"/>
      <c r="AA565" s="148"/>
      <c r="AB565" s="148"/>
      <c r="AC565" s="148"/>
    </row>
    <row r="566" spans="1:29">
      <c r="A566" s="149">
        <v>45956</v>
      </c>
      <c r="B566" s="147" t="s">
        <v>115</v>
      </c>
      <c r="C566" s="147"/>
      <c r="D566" s="147"/>
      <c r="E566" s="147"/>
      <c r="F566" s="147"/>
      <c r="G566" s="147"/>
      <c r="H566" s="147"/>
      <c r="I566" s="147"/>
      <c r="J566" s="147"/>
      <c r="K566" s="147"/>
      <c r="L566" s="147"/>
      <c r="M566" s="147"/>
      <c r="N566" s="147"/>
      <c r="O566" s="147"/>
      <c r="P566" s="147"/>
      <c r="Q566" s="147">
        <v>21</v>
      </c>
      <c r="R566" s="148"/>
      <c r="S566" s="148"/>
      <c r="T566" s="148"/>
      <c r="U566" s="148"/>
      <c r="V566" s="148"/>
      <c r="W566" s="148"/>
      <c r="X566" s="148"/>
      <c r="Y566" s="148"/>
      <c r="Z566" s="148"/>
      <c r="AA566" s="148"/>
      <c r="AB566" s="148"/>
      <c r="AC566" s="148"/>
    </row>
    <row r="567" spans="1:29">
      <c r="A567" s="149">
        <v>45956</v>
      </c>
      <c r="B567" s="147" t="s">
        <v>1774</v>
      </c>
      <c r="C567" s="147"/>
      <c r="D567" s="147"/>
      <c r="E567" s="147"/>
      <c r="F567" s="147"/>
      <c r="G567" s="147"/>
      <c r="H567" s="147"/>
      <c r="I567" s="147"/>
      <c r="J567" s="147"/>
      <c r="K567" s="147"/>
      <c r="L567" s="147"/>
      <c r="M567" s="147"/>
      <c r="N567" s="147"/>
      <c r="O567" s="147"/>
      <c r="P567" s="147"/>
      <c r="Q567" s="147">
        <v>23</v>
      </c>
      <c r="R567" s="148"/>
      <c r="S567" s="148"/>
      <c r="T567" s="148"/>
      <c r="U567" s="148"/>
      <c r="V567" s="148"/>
      <c r="W567" s="148"/>
      <c r="X567" s="148"/>
      <c r="Y567" s="148"/>
      <c r="Z567" s="148"/>
      <c r="AA567" s="148"/>
      <c r="AB567" s="148"/>
      <c r="AC567" s="148"/>
    </row>
    <row r="568" spans="1:29">
      <c r="A568" s="149">
        <v>45956</v>
      </c>
      <c r="B568" s="147" t="s">
        <v>61</v>
      </c>
      <c r="C568" s="147">
        <v>3</v>
      </c>
      <c r="D568" s="147">
        <v>1</v>
      </c>
      <c r="E568" s="147"/>
      <c r="F568" s="147"/>
      <c r="G568" s="147"/>
      <c r="H568" s="147"/>
      <c r="I568" s="147">
        <v>1</v>
      </c>
      <c r="J568" s="147">
        <v>1</v>
      </c>
      <c r="K568" s="147"/>
      <c r="L568" s="147"/>
      <c r="M568" s="147"/>
      <c r="N568" s="147"/>
      <c r="O568" s="147"/>
      <c r="P568" s="147"/>
      <c r="Q568" s="147">
        <v>17</v>
      </c>
      <c r="R568" s="148"/>
      <c r="S568" s="148"/>
      <c r="T568" s="148"/>
      <c r="U568" s="148"/>
      <c r="V568" s="148"/>
      <c r="W568" s="148"/>
      <c r="X568" s="148"/>
      <c r="Y568" s="148"/>
      <c r="Z568" s="148"/>
      <c r="AA568" s="148"/>
      <c r="AB568" s="148"/>
      <c r="AC568" s="148"/>
    </row>
    <row r="569" spans="1:29">
      <c r="A569" s="149">
        <v>45956</v>
      </c>
      <c r="B569" s="147" t="s">
        <v>1229</v>
      </c>
      <c r="C569" s="147">
        <v>4</v>
      </c>
      <c r="D569" s="147">
        <v>1</v>
      </c>
      <c r="E569" s="147">
        <v>2</v>
      </c>
      <c r="F569" s="147"/>
      <c r="G569" s="147"/>
      <c r="H569" s="147"/>
      <c r="I569" s="147"/>
      <c r="J569" s="147"/>
      <c r="K569" s="147">
        <v>1</v>
      </c>
      <c r="L569" s="147"/>
      <c r="M569" s="147"/>
      <c r="N569" s="147"/>
      <c r="O569" s="147"/>
      <c r="P569" s="147"/>
      <c r="Q569" s="147">
        <v>18</v>
      </c>
      <c r="R569" s="148"/>
      <c r="S569" s="148"/>
      <c r="T569" s="148"/>
      <c r="U569" s="148"/>
      <c r="V569" s="148"/>
      <c r="W569" s="148"/>
      <c r="X569" s="148"/>
      <c r="Y569" s="148"/>
      <c r="Z569" s="148"/>
      <c r="AA569" s="148"/>
      <c r="AB569" s="148"/>
      <c r="AC569" s="148"/>
    </row>
    <row r="570" spans="1:29">
      <c r="A570" s="149">
        <v>45956</v>
      </c>
      <c r="B570" s="147" t="s">
        <v>1229</v>
      </c>
      <c r="C570" s="147"/>
      <c r="D570" s="147">
        <v>1</v>
      </c>
      <c r="E570" s="147">
        <v>2</v>
      </c>
      <c r="F570" s="147"/>
      <c r="G570" s="147"/>
      <c r="H570" s="147"/>
      <c r="I570" s="147">
        <v>1</v>
      </c>
      <c r="J570" s="147"/>
      <c r="K570" s="147"/>
      <c r="L570" s="147"/>
      <c r="M570" s="147"/>
      <c r="N570" s="147"/>
      <c r="O570" s="147"/>
      <c r="P570" s="147"/>
      <c r="Q570" s="147"/>
      <c r="R570" s="148"/>
      <c r="S570" s="148"/>
      <c r="T570" s="148"/>
      <c r="U570" s="148"/>
      <c r="V570" s="148"/>
      <c r="W570" s="148"/>
      <c r="X570" s="148"/>
      <c r="Y570" s="148"/>
      <c r="Z570" s="148"/>
      <c r="AA570" s="148"/>
      <c r="AB570" s="148"/>
      <c r="AC570" s="148"/>
    </row>
    <row r="571" spans="1:29">
      <c r="A571" s="149">
        <v>45956</v>
      </c>
      <c r="B571" s="147" t="s">
        <v>1229</v>
      </c>
      <c r="C571" s="147">
        <v>4</v>
      </c>
      <c r="D571" s="147">
        <v>1</v>
      </c>
      <c r="E571" s="147">
        <v>2</v>
      </c>
      <c r="F571" s="147"/>
      <c r="G571" s="147"/>
      <c r="H571" s="147"/>
      <c r="I571" s="147">
        <v>1</v>
      </c>
      <c r="J571" s="147"/>
      <c r="K571" s="147"/>
      <c r="L571" s="147"/>
      <c r="M571" s="147"/>
      <c r="N571" s="147"/>
      <c r="O571" s="147"/>
      <c r="P571" s="147"/>
      <c r="Q571" s="147">
        <v>18</v>
      </c>
      <c r="R571" s="148"/>
      <c r="S571" s="148"/>
      <c r="T571" s="148"/>
      <c r="U571" s="148"/>
      <c r="V571" s="148"/>
      <c r="W571" s="148"/>
      <c r="X571" s="148"/>
      <c r="Y571" s="148"/>
      <c r="Z571" s="148"/>
      <c r="AA571" s="148"/>
      <c r="AB571" s="148"/>
      <c r="AC571" s="148"/>
    </row>
    <row r="572" spans="1:29">
      <c r="A572" s="149">
        <v>45956</v>
      </c>
      <c r="B572" s="147" t="s">
        <v>243</v>
      </c>
      <c r="C572" s="147">
        <v>2</v>
      </c>
      <c r="D572" s="147">
        <v>1</v>
      </c>
      <c r="E572" s="147"/>
      <c r="F572" s="147"/>
      <c r="G572" s="147"/>
      <c r="H572" s="147"/>
      <c r="I572" s="147">
        <v>1</v>
      </c>
      <c r="J572" s="147"/>
      <c r="K572" s="147"/>
      <c r="L572" s="147"/>
      <c r="M572" s="147"/>
      <c r="N572" s="147"/>
      <c r="O572" s="147"/>
      <c r="P572" s="147"/>
      <c r="Q572" s="147"/>
      <c r="R572" s="148"/>
      <c r="S572" s="148"/>
      <c r="T572" s="148"/>
      <c r="U572" s="148"/>
      <c r="V572" s="148"/>
      <c r="W572" s="148"/>
      <c r="X572" s="148"/>
      <c r="Y572" s="148"/>
      <c r="Z572" s="148"/>
      <c r="AA572" s="148"/>
      <c r="AB572" s="148"/>
      <c r="AC572" s="148"/>
    </row>
    <row r="573" spans="1:29">
      <c r="A573" s="149">
        <v>45956</v>
      </c>
      <c r="B573" s="147" t="s">
        <v>61</v>
      </c>
      <c r="C573" s="147">
        <v>1</v>
      </c>
      <c r="D573" s="147"/>
      <c r="E573" s="147">
        <v>1</v>
      </c>
      <c r="F573" s="147"/>
      <c r="G573" s="147"/>
      <c r="H573" s="147"/>
      <c r="I573" s="147"/>
      <c r="J573" s="147"/>
      <c r="K573" s="147"/>
      <c r="L573" s="147"/>
      <c r="M573" s="147"/>
      <c r="N573" s="147"/>
      <c r="O573" s="147"/>
      <c r="P573" s="147"/>
      <c r="Q573" s="147">
        <v>4</v>
      </c>
      <c r="R573" s="148"/>
      <c r="S573" s="148"/>
      <c r="T573" s="148"/>
      <c r="U573" s="148"/>
      <c r="V573" s="148"/>
      <c r="W573" s="148"/>
      <c r="X573" s="148"/>
      <c r="Y573" s="148"/>
      <c r="Z573" s="148"/>
      <c r="AA573" s="148"/>
      <c r="AB573" s="148"/>
      <c r="AC573" s="148"/>
    </row>
    <row r="574" spans="1:29">
      <c r="A574" s="149">
        <v>45956</v>
      </c>
      <c r="B574" s="147" t="s">
        <v>1774</v>
      </c>
      <c r="C574" s="147">
        <v>1</v>
      </c>
      <c r="D574" s="147">
        <v>1</v>
      </c>
      <c r="E574" s="147"/>
      <c r="F574" s="147"/>
      <c r="G574" s="147"/>
      <c r="H574" s="147"/>
      <c r="I574" s="147"/>
      <c r="J574" s="147"/>
      <c r="K574" s="147"/>
      <c r="L574" s="147"/>
      <c r="M574" s="147"/>
      <c r="N574" s="147"/>
      <c r="O574" s="147"/>
      <c r="P574" s="147"/>
      <c r="Q574" s="147">
        <v>3</v>
      </c>
      <c r="R574" s="148"/>
      <c r="S574" s="148"/>
      <c r="T574" s="148"/>
      <c r="U574" s="148"/>
      <c r="V574" s="148"/>
      <c r="W574" s="148"/>
      <c r="X574" s="148"/>
      <c r="Y574" s="148"/>
      <c r="Z574" s="148"/>
      <c r="AA574" s="148"/>
      <c r="AB574" s="148"/>
      <c r="AC574" s="148"/>
    </row>
    <row r="575" spans="1:29">
      <c r="A575" s="149">
        <v>45956</v>
      </c>
      <c r="B575" s="147" t="s">
        <v>243</v>
      </c>
      <c r="C575" s="147">
        <v>1</v>
      </c>
      <c r="D575" s="147">
        <v>1</v>
      </c>
      <c r="E575" s="147"/>
      <c r="F575" s="147"/>
      <c r="G575" s="147"/>
      <c r="H575" s="147"/>
      <c r="I575" s="147"/>
      <c r="J575" s="147"/>
      <c r="K575" s="147"/>
      <c r="L575" s="147"/>
      <c r="M575" s="147"/>
      <c r="N575" s="147"/>
      <c r="O575" s="147"/>
      <c r="P575" s="147"/>
      <c r="Q575" s="147"/>
      <c r="R575" s="148"/>
      <c r="S575" s="148"/>
      <c r="T575" s="148"/>
      <c r="U575" s="148"/>
      <c r="V575" s="148"/>
      <c r="W575" s="148"/>
      <c r="X575" s="148"/>
      <c r="Y575" s="148"/>
      <c r="Z575" s="148"/>
      <c r="AA575" s="148"/>
      <c r="AB575" s="148"/>
      <c r="AC575" s="148"/>
    </row>
    <row r="576" spans="1:29">
      <c r="A576" s="149">
        <v>45956</v>
      </c>
      <c r="B576" s="147" t="s">
        <v>243</v>
      </c>
      <c r="C576" s="147">
        <v>1</v>
      </c>
      <c r="D576" s="147">
        <v>1</v>
      </c>
      <c r="E576" s="147"/>
      <c r="F576" s="147"/>
      <c r="G576" s="147"/>
      <c r="H576" s="147"/>
      <c r="I576" s="147"/>
      <c r="J576" s="147"/>
      <c r="K576" s="147"/>
      <c r="L576" s="147"/>
      <c r="M576" s="147"/>
      <c r="N576" s="147"/>
      <c r="O576" s="147"/>
      <c r="P576" s="147"/>
      <c r="Q576" s="147"/>
      <c r="R576" s="148"/>
      <c r="S576" s="148"/>
      <c r="T576" s="148"/>
      <c r="U576" s="148"/>
      <c r="V576" s="148"/>
      <c r="W576" s="148"/>
      <c r="X576" s="148"/>
      <c r="Y576" s="148"/>
      <c r="Z576" s="148"/>
      <c r="AA576" s="148"/>
      <c r="AB576" s="148"/>
      <c r="AC576" s="148"/>
    </row>
    <row r="577" spans="1:29">
      <c r="A577" s="149">
        <v>45957</v>
      </c>
      <c r="B577" s="147" t="s">
        <v>115</v>
      </c>
      <c r="C577" s="147">
        <v>2</v>
      </c>
      <c r="D577" s="147">
        <v>1</v>
      </c>
      <c r="E577" s="147"/>
      <c r="F577" s="147"/>
      <c r="G577" s="147"/>
      <c r="H577" s="147">
        <v>1</v>
      </c>
      <c r="I577" s="147"/>
      <c r="J577" s="147"/>
      <c r="K577" s="147"/>
      <c r="L577" s="147"/>
      <c r="M577" s="147"/>
      <c r="N577" s="147"/>
      <c r="O577" s="147"/>
      <c r="P577" s="147"/>
      <c r="Q577" s="147">
        <v>19</v>
      </c>
      <c r="R577" s="148"/>
      <c r="S577" s="148"/>
      <c r="T577" s="148"/>
      <c r="U577" s="148"/>
      <c r="V577" s="148"/>
      <c r="W577" s="148"/>
      <c r="X577" s="148"/>
      <c r="Y577" s="148"/>
      <c r="Z577" s="148"/>
      <c r="AA577" s="148"/>
      <c r="AB577" s="148"/>
      <c r="AC577" s="148"/>
    </row>
    <row r="578" spans="1:29">
      <c r="A578" s="149">
        <v>45957</v>
      </c>
      <c r="B578" s="147" t="s">
        <v>1229</v>
      </c>
      <c r="C578" s="147">
        <v>2</v>
      </c>
      <c r="D578" s="147"/>
      <c r="E578" s="147"/>
      <c r="F578" s="147">
        <v>1</v>
      </c>
      <c r="G578" s="147"/>
      <c r="H578" s="147"/>
      <c r="I578" s="147">
        <v>1</v>
      </c>
      <c r="J578" s="147"/>
      <c r="K578" s="147"/>
      <c r="L578" s="147"/>
      <c r="M578" s="147"/>
      <c r="N578" s="147"/>
      <c r="O578" s="147"/>
      <c r="P578" s="147"/>
      <c r="Q578" s="147">
        <v>14</v>
      </c>
      <c r="R578" s="148"/>
      <c r="S578" s="148"/>
      <c r="T578" s="148"/>
      <c r="U578" s="148"/>
      <c r="V578" s="148"/>
      <c r="W578" s="148"/>
      <c r="X578" s="148"/>
      <c r="Y578" s="148"/>
      <c r="Z578" s="148"/>
      <c r="AA578" s="148"/>
      <c r="AB578" s="148"/>
      <c r="AC578" s="148"/>
    </row>
    <row r="579" spans="1:29">
      <c r="A579" s="149">
        <v>45957</v>
      </c>
      <c r="B579" s="147" t="s">
        <v>1774</v>
      </c>
      <c r="C579" s="147">
        <v>1</v>
      </c>
      <c r="D579" s="147"/>
      <c r="E579" s="147"/>
      <c r="F579" s="147"/>
      <c r="G579" s="147"/>
      <c r="H579" s="147"/>
      <c r="I579" s="147"/>
      <c r="J579" s="147"/>
      <c r="K579" s="147">
        <v>1</v>
      </c>
      <c r="L579" s="147"/>
      <c r="M579" s="147"/>
      <c r="N579" s="147"/>
      <c r="O579" s="147"/>
      <c r="P579" s="147"/>
      <c r="Q579" s="147">
        <v>15</v>
      </c>
      <c r="R579" s="148"/>
      <c r="S579" s="148"/>
      <c r="T579" s="148"/>
      <c r="U579" s="148"/>
      <c r="V579" s="148"/>
      <c r="W579" s="148"/>
      <c r="X579" s="148"/>
      <c r="Y579" s="148"/>
      <c r="Z579" s="148"/>
      <c r="AA579" s="148"/>
      <c r="AB579" s="148"/>
      <c r="AC579" s="148"/>
    </row>
    <row r="580" spans="1:29">
      <c r="A580" s="149">
        <v>45957</v>
      </c>
      <c r="B580" s="147" t="s">
        <v>243</v>
      </c>
      <c r="C580" s="147"/>
      <c r="D580" s="147"/>
      <c r="E580" s="147"/>
      <c r="F580" s="147"/>
      <c r="G580" s="147"/>
      <c r="H580" s="147"/>
      <c r="I580" s="147"/>
      <c r="J580" s="147"/>
      <c r="K580" s="147"/>
      <c r="L580" s="147"/>
      <c r="M580" s="147"/>
      <c r="N580" s="147"/>
      <c r="O580" s="147"/>
      <c r="P580" s="147"/>
      <c r="Q580" s="147">
        <v>6</v>
      </c>
      <c r="R580" s="148"/>
      <c r="S580" s="148"/>
      <c r="T580" s="148"/>
      <c r="U580" s="148"/>
      <c r="V580" s="148"/>
      <c r="W580" s="148"/>
      <c r="X580" s="148"/>
      <c r="Y580" s="148"/>
      <c r="Z580" s="148"/>
      <c r="AA580" s="148"/>
      <c r="AB580" s="148"/>
      <c r="AC580" s="148"/>
    </row>
    <row r="581" spans="1:29">
      <c r="A581" s="149">
        <v>45957</v>
      </c>
      <c r="B581" s="147" t="s">
        <v>61</v>
      </c>
      <c r="C581" s="147">
        <v>4</v>
      </c>
      <c r="D581" s="147">
        <v>2</v>
      </c>
      <c r="E581" s="147"/>
      <c r="F581" s="147"/>
      <c r="G581" s="147"/>
      <c r="H581" s="147">
        <v>1</v>
      </c>
      <c r="I581" s="147"/>
      <c r="J581" s="147">
        <v>1</v>
      </c>
      <c r="K581" s="147"/>
      <c r="L581" s="147"/>
      <c r="M581" s="147"/>
      <c r="N581" s="147"/>
      <c r="O581" s="147"/>
      <c r="P581" s="147"/>
      <c r="Q581" s="147">
        <v>31</v>
      </c>
      <c r="R581" s="148"/>
      <c r="S581" s="148"/>
      <c r="T581" s="148"/>
      <c r="U581" s="148"/>
      <c r="V581" s="148"/>
      <c r="W581" s="148"/>
      <c r="X581" s="148"/>
      <c r="Y581" s="148"/>
      <c r="Z581" s="148"/>
      <c r="AA581" s="148"/>
      <c r="AB581" s="148"/>
      <c r="AC581" s="148"/>
    </row>
    <row r="582" spans="1:29">
      <c r="A582" s="149">
        <v>45958</v>
      </c>
      <c r="B582" s="147" t="s">
        <v>115</v>
      </c>
      <c r="C582" s="147">
        <v>6</v>
      </c>
      <c r="D582" s="147">
        <v>1</v>
      </c>
      <c r="E582" s="147"/>
      <c r="F582" s="147"/>
      <c r="G582" s="147"/>
      <c r="H582" s="147"/>
      <c r="I582" s="147">
        <v>4</v>
      </c>
      <c r="J582" s="147">
        <v>1</v>
      </c>
      <c r="K582" s="147"/>
      <c r="L582" s="147"/>
      <c r="M582" s="147"/>
      <c r="N582" s="147"/>
      <c r="O582" s="147"/>
      <c r="P582" s="147"/>
      <c r="Q582" s="147">
        <v>18</v>
      </c>
      <c r="R582" s="148"/>
      <c r="S582" s="148"/>
      <c r="T582" s="148"/>
      <c r="U582" s="148"/>
      <c r="V582" s="148"/>
      <c r="W582" s="148"/>
      <c r="X582" s="148"/>
      <c r="Y582" s="148"/>
      <c r="Z582" s="148"/>
      <c r="AA582" s="148"/>
      <c r="AB582" s="148"/>
      <c r="AC582" s="148"/>
    </row>
    <row r="583" spans="1:29">
      <c r="A583" s="149">
        <v>45958</v>
      </c>
      <c r="B583" s="147" t="s">
        <v>61</v>
      </c>
      <c r="C583" s="147">
        <v>5</v>
      </c>
      <c r="D583" s="147">
        <v>1</v>
      </c>
      <c r="E583" s="147">
        <v>1</v>
      </c>
      <c r="F583" s="147"/>
      <c r="G583" s="147"/>
      <c r="H583" s="147"/>
      <c r="I583" s="147"/>
      <c r="J583" s="147">
        <v>3</v>
      </c>
      <c r="K583" s="147"/>
      <c r="L583" s="147"/>
      <c r="M583" s="147"/>
      <c r="N583" s="147"/>
      <c r="O583" s="147"/>
      <c r="P583" s="147"/>
      <c r="Q583" s="147">
        <v>36</v>
      </c>
      <c r="R583" s="148"/>
      <c r="S583" s="148"/>
      <c r="T583" s="148"/>
      <c r="U583" s="148"/>
      <c r="V583" s="148"/>
      <c r="W583" s="148"/>
      <c r="X583" s="148"/>
      <c r="Y583" s="148"/>
      <c r="Z583" s="148"/>
      <c r="AA583" s="148"/>
      <c r="AB583" s="148"/>
      <c r="AC583" s="148"/>
    </row>
    <row r="584" spans="1:29">
      <c r="A584" s="147" t="s">
        <v>12844</v>
      </c>
      <c r="B584" s="147" t="s">
        <v>1774</v>
      </c>
      <c r="C584" s="147">
        <v>4</v>
      </c>
      <c r="D584" s="147">
        <v>4</v>
      </c>
      <c r="E584" s="147"/>
      <c r="F584" s="147"/>
      <c r="G584" s="147"/>
      <c r="H584" s="147"/>
      <c r="I584" s="147"/>
      <c r="J584" s="147"/>
      <c r="K584" s="147"/>
      <c r="L584" s="147"/>
      <c r="M584" s="147"/>
      <c r="N584" s="147"/>
      <c r="O584" s="147"/>
      <c r="P584" s="147"/>
      <c r="Q584" s="147">
        <v>18</v>
      </c>
      <c r="R584" s="148"/>
      <c r="S584" s="148"/>
      <c r="T584" s="148"/>
      <c r="U584" s="148"/>
      <c r="V584" s="148"/>
      <c r="W584" s="148"/>
      <c r="X584" s="148"/>
      <c r="Y584" s="148"/>
      <c r="Z584" s="148"/>
      <c r="AA584" s="148"/>
      <c r="AB584" s="148"/>
      <c r="AC584" s="148"/>
    </row>
    <row r="585" spans="1:29">
      <c r="A585" s="149">
        <v>45958</v>
      </c>
      <c r="B585" s="147" t="s">
        <v>1774</v>
      </c>
      <c r="C585" s="147">
        <v>4</v>
      </c>
      <c r="D585" s="147">
        <v>4</v>
      </c>
      <c r="E585" s="147"/>
      <c r="F585" s="147"/>
      <c r="G585" s="147"/>
      <c r="H585" s="147"/>
      <c r="I585" s="147"/>
      <c r="J585" s="147"/>
      <c r="K585" s="147"/>
      <c r="L585" s="147"/>
      <c r="M585" s="147"/>
      <c r="N585" s="147"/>
      <c r="O585" s="147"/>
      <c r="P585" s="147"/>
      <c r="Q585" s="147">
        <v>18</v>
      </c>
      <c r="R585" s="148"/>
      <c r="S585" s="148"/>
      <c r="T585" s="148"/>
      <c r="U585" s="148"/>
      <c r="V585" s="148"/>
      <c r="W585" s="148"/>
      <c r="X585" s="148"/>
      <c r="Y585" s="148"/>
      <c r="Z585" s="148"/>
      <c r="AA585" s="148"/>
      <c r="AB585" s="148"/>
      <c r="AC585" s="148"/>
    </row>
    <row r="586" spans="1:29">
      <c r="A586" s="149">
        <v>45958</v>
      </c>
      <c r="B586" s="147" t="s">
        <v>243</v>
      </c>
      <c r="C586" s="147"/>
      <c r="D586" s="147"/>
      <c r="E586" s="147"/>
      <c r="F586" s="147"/>
      <c r="G586" s="147"/>
      <c r="H586" s="147"/>
      <c r="I586" s="147"/>
      <c r="J586" s="147"/>
      <c r="K586" s="147"/>
      <c r="L586" s="147"/>
      <c r="M586" s="147"/>
      <c r="N586" s="147"/>
      <c r="O586" s="147"/>
      <c r="P586" s="147"/>
      <c r="Q586" s="147">
        <v>19</v>
      </c>
      <c r="R586" s="148"/>
      <c r="S586" s="148"/>
      <c r="T586" s="148"/>
      <c r="U586" s="148"/>
      <c r="V586" s="148"/>
      <c r="W586" s="148"/>
      <c r="X586" s="148"/>
      <c r="Y586" s="148"/>
      <c r="Z586" s="148"/>
      <c r="AA586" s="148"/>
      <c r="AB586" s="148"/>
      <c r="AC586" s="148"/>
    </row>
    <row r="587" spans="1:29">
      <c r="A587" s="149">
        <v>45958</v>
      </c>
      <c r="B587" s="147" t="s">
        <v>1229</v>
      </c>
      <c r="C587" s="147">
        <v>2</v>
      </c>
      <c r="D587" s="147"/>
      <c r="E587" s="147"/>
      <c r="F587" s="147"/>
      <c r="G587" s="147"/>
      <c r="H587" s="147"/>
      <c r="I587" s="147"/>
      <c r="J587" s="147">
        <v>1</v>
      </c>
      <c r="K587" s="147">
        <v>1</v>
      </c>
      <c r="L587" s="147"/>
      <c r="M587" s="147"/>
      <c r="N587" s="147"/>
      <c r="O587" s="147"/>
      <c r="P587" s="147"/>
      <c r="Q587" s="147">
        <v>18</v>
      </c>
      <c r="R587" s="148"/>
      <c r="S587" s="148"/>
      <c r="T587" s="148"/>
      <c r="U587" s="148"/>
      <c r="V587" s="148"/>
      <c r="W587" s="148"/>
      <c r="X587" s="148"/>
      <c r="Y587" s="148"/>
      <c r="Z587" s="148"/>
      <c r="AA587" s="148"/>
      <c r="AB587" s="148"/>
      <c r="AC587" s="148"/>
    </row>
    <row r="588" spans="1:29">
      <c r="A588" s="149">
        <v>45958</v>
      </c>
      <c r="B588" s="147" t="s">
        <v>61</v>
      </c>
      <c r="C588" s="147">
        <v>5</v>
      </c>
      <c r="D588" s="147">
        <v>1</v>
      </c>
      <c r="E588" s="147">
        <v>3</v>
      </c>
      <c r="F588" s="147"/>
      <c r="G588" s="147"/>
      <c r="H588" s="147"/>
      <c r="I588" s="147"/>
      <c r="J588" s="147">
        <v>1</v>
      </c>
      <c r="K588" s="147"/>
      <c r="L588" s="147"/>
      <c r="M588" s="147"/>
      <c r="N588" s="147"/>
      <c r="O588" s="147"/>
      <c r="P588" s="147"/>
      <c r="Q588" s="147">
        <v>36</v>
      </c>
      <c r="R588" s="148"/>
      <c r="S588" s="148"/>
      <c r="T588" s="148"/>
      <c r="U588" s="148"/>
      <c r="V588" s="148"/>
      <c r="W588" s="148"/>
      <c r="X588" s="148"/>
      <c r="Y588" s="148"/>
      <c r="Z588" s="148"/>
      <c r="AA588" s="148"/>
      <c r="AB588" s="148"/>
      <c r="AC588" s="148"/>
    </row>
    <row r="589" spans="1:29">
      <c r="A589" s="149">
        <v>45959</v>
      </c>
      <c r="B589" s="147" t="s">
        <v>61</v>
      </c>
      <c r="C589" s="147">
        <v>5</v>
      </c>
      <c r="D589" s="147">
        <v>1</v>
      </c>
      <c r="E589" s="147">
        <v>3</v>
      </c>
      <c r="F589" s="147"/>
      <c r="G589" s="147"/>
      <c r="H589" s="147"/>
      <c r="I589" s="147"/>
      <c r="J589" s="147">
        <v>1</v>
      </c>
      <c r="K589" s="147"/>
      <c r="L589" s="147"/>
      <c r="M589" s="147"/>
      <c r="N589" s="147"/>
      <c r="O589" s="147"/>
      <c r="P589" s="147"/>
      <c r="Q589" s="147">
        <v>10</v>
      </c>
      <c r="R589" s="148"/>
      <c r="S589" s="148"/>
      <c r="T589" s="148"/>
      <c r="U589" s="148"/>
      <c r="V589" s="148"/>
      <c r="W589" s="148"/>
      <c r="X589" s="148"/>
      <c r="Y589" s="148"/>
      <c r="Z589" s="148"/>
      <c r="AA589" s="148"/>
      <c r="AB589" s="148"/>
      <c r="AC589" s="148"/>
    </row>
    <row r="590" spans="1:29">
      <c r="A590" s="149">
        <v>45960</v>
      </c>
      <c r="B590" s="147" t="s">
        <v>115</v>
      </c>
      <c r="C590" s="147">
        <v>2</v>
      </c>
      <c r="D590" s="147">
        <v>1</v>
      </c>
      <c r="E590" s="147"/>
      <c r="F590" s="147"/>
      <c r="G590" s="147"/>
      <c r="H590" s="147"/>
      <c r="I590" s="147"/>
      <c r="J590" s="147"/>
      <c r="K590" s="147"/>
      <c r="L590" s="147"/>
      <c r="M590" s="147">
        <v>1</v>
      </c>
      <c r="N590" s="147"/>
      <c r="O590" s="147"/>
      <c r="P590" s="147"/>
      <c r="Q590" s="147">
        <v>5</v>
      </c>
      <c r="R590" s="148"/>
      <c r="S590" s="148"/>
      <c r="T590" s="148"/>
      <c r="U590" s="148"/>
      <c r="V590" s="148"/>
      <c r="W590" s="148"/>
      <c r="X590" s="148"/>
      <c r="Y590" s="148"/>
      <c r="Z590" s="148"/>
      <c r="AA590" s="148"/>
      <c r="AB590" s="148"/>
      <c r="AC590" s="148"/>
    </row>
    <row r="591" spans="1:29">
      <c r="A591" s="149">
        <v>45959</v>
      </c>
      <c r="B591" s="147" t="s">
        <v>1774</v>
      </c>
      <c r="C591" s="147">
        <v>2</v>
      </c>
      <c r="D591" s="147">
        <v>2</v>
      </c>
      <c r="E591" s="147"/>
      <c r="F591" s="147"/>
      <c r="G591" s="147"/>
      <c r="H591" s="147"/>
      <c r="I591" s="147"/>
      <c r="J591" s="147"/>
      <c r="K591" s="147"/>
      <c r="L591" s="147"/>
      <c r="M591" s="147"/>
      <c r="N591" s="147"/>
      <c r="O591" s="147"/>
      <c r="P591" s="147"/>
      <c r="Q591" s="147">
        <v>5</v>
      </c>
      <c r="R591" s="148"/>
      <c r="S591" s="148"/>
      <c r="T591" s="148"/>
      <c r="U591" s="148"/>
      <c r="V591" s="148"/>
      <c r="W591" s="148"/>
      <c r="X591" s="148"/>
      <c r="Y591" s="148"/>
      <c r="Z591" s="148"/>
      <c r="AA591" s="148"/>
      <c r="AB591" s="148"/>
      <c r="AC591" s="148"/>
    </row>
    <row r="592" spans="1:29">
      <c r="A592" s="149">
        <v>45959</v>
      </c>
      <c r="B592" s="147" t="s">
        <v>243</v>
      </c>
      <c r="C592" s="147"/>
      <c r="D592" s="147"/>
      <c r="E592" s="147"/>
      <c r="F592" s="147"/>
      <c r="G592" s="147"/>
      <c r="H592" s="147"/>
      <c r="I592" s="147"/>
      <c r="J592" s="147"/>
      <c r="K592" s="147"/>
      <c r="L592" s="147"/>
      <c r="M592" s="147"/>
      <c r="N592" s="147"/>
      <c r="O592" s="147"/>
      <c r="P592" s="147"/>
      <c r="Q592" s="147">
        <v>5</v>
      </c>
      <c r="R592" s="148"/>
      <c r="S592" s="148"/>
      <c r="T592" s="148"/>
      <c r="U592" s="148"/>
      <c r="V592" s="148"/>
      <c r="W592" s="148"/>
      <c r="X592" s="148"/>
      <c r="Y592" s="148"/>
      <c r="Z592" s="148"/>
      <c r="AA592" s="148"/>
      <c r="AB592" s="148"/>
      <c r="AC592" s="148"/>
    </row>
    <row r="593" spans="1:29">
      <c r="A593" s="149">
        <v>45960</v>
      </c>
      <c r="B593" s="147" t="s">
        <v>1229</v>
      </c>
      <c r="C593" s="147">
        <v>1</v>
      </c>
      <c r="D593" s="147"/>
      <c r="E593" s="147"/>
      <c r="F593" s="147"/>
      <c r="G593" s="147"/>
      <c r="H593" s="147">
        <v>1</v>
      </c>
      <c r="I593" s="147"/>
      <c r="J593" s="147"/>
      <c r="K593" s="147"/>
      <c r="L593" s="147"/>
      <c r="M593" s="147"/>
      <c r="N593" s="147"/>
      <c r="O593" s="147"/>
      <c r="P593" s="147"/>
      <c r="Q593" s="147">
        <v>5</v>
      </c>
      <c r="R593" s="148"/>
      <c r="S593" s="148"/>
      <c r="T593" s="148"/>
      <c r="U593" s="148"/>
      <c r="V593" s="148"/>
      <c r="W593" s="148"/>
      <c r="X593" s="148"/>
      <c r="Y593" s="148"/>
      <c r="Z593" s="148"/>
      <c r="AA593" s="148"/>
      <c r="AB593" s="148"/>
      <c r="AC593" s="148"/>
    </row>
    <row r="594" spans="1:29">
      <c r="A594" s="149">
        <v>45959</v>
      </c>
      <c r="B594" s="147" t="s">
        <v>1229</v>
      </c>
      <c r="C594" s="147">
        <v>1</v>
      </c>
      <c r="D594" s="147"/>
      <c r="E594" s="147"/>
      <c r="F594" s="147"/>
      <c r="G594" s="147"/>
      <c r="H594" s="147">
        <v>1</v>
      </c>
      <c r="I594" s="147"/>
      <c r="J594" s="147"/>
      <c r="K594" s="147"/>
      <c r="L594" s="147"/>
      <c r="M594" s="147"/>
      <c r="N594" s="147"/>
      <c r="O594" s="147"/>
      <c r="P594" s="147"/>
      <c r="Q594" s="147">
        <v>5</v>
      </c>
      <c r="R594" s="148"/>
      <c r="S594" s="148"/>
      <c r="T594" s="148"/>
      <c r="U594" s="148"/>
      <c r="V594" s="148"/>
      <c r="W594" s="148"/>
      <c r="X594" s="148"/>
      <c r="Y594" s="148"/>
      <c r="Z594" s="148"/>
      <c r="AA594" s="148"/>
      <c r="AB594" s="148"/>
      <c r="AC594" s="148"/>
    </row>
    <row r="595" spans="1:29">
      <c r="A595" s="149">
        <v>45961</v>
      </c>
      <c r="B595" s="147" t="s">
        <v>115</v>
      </c>
      <c r="C595" s="147">
        <v>2</v>
      </c>
      <c r="D595" s="147"/>
      <c r="E595" s="147"/>
      <c r="F595" s="147"/>
      <c r="G595" s="147"/>
      <c r="H595" s="147"/>
      <c r="I595" s="147">
        <v>1</v>
      </c>
      <c r="J595" s="147"/>
      <c r="K595" s="147">
        <v>1</v>
      </c>
      <c r="L595" s="147"/>
      <c r="M595" s="147"/>
      <c r="N595" s="147"/>
      <c r="O595" s="147"/>
      <c r="P595" s="147"/>
      <c r="Q595" s="147">
        <v>3</v>
      </c>
      <c r="R595" s="148"/>
      <c r="S595" s="148"/>
      <c r="T595" s="148"/>
      <c r="U595" s="148"/>
      <c r="V595" s="148"/>
      <c r="W595" s="148"/>
      <c r="X595" s="148"/>
      <c r="Y595" s="148"/>
      <c r="Z595" s="148"/>
      <c r="AA595" s="148"/>
      <c r="AB595" s="148"/>
      <c r="AC595" s="148"/>
    </row>
    <row r="596" spans="1:29">
      <c r="A596" s="149">
        <v>45961</v>
      </c>
      <c r="B596" s="147" t="s">
        <v>1774</v>
      </c>
      <c r="C596" s="147">
        <v>2</v>
      </c>
      <c r="D596" s="147"/>
      <c r="E596" s="147"/>
      <c r="F596" s="147"/>
      <c r="G596" s="147"/>
      <c r="H596" s="147"/>
      <c r="I596" s="147">
        <v>2</v>
      </c>
      <c r="J596" s="147"/>
      <c r="K596" s="147"/>
      <c r="L596" s="147"/>
      <c r="M596" s="147"/>
      <c r="N596" s="147"/>
      <c r="O596" s="147"/>
      <c r="P596" s="147"/>
      <c r="Q596" s="147">
        <v>3</v>
      </c>
      <c r="R596" s="148"/>
      <c r="S596" s="148"/>
      <c r="T596" s="148"/>
      <c r="U596" s="148"/>
      <c r="V596" s="148"/>
      <c r="W596" s="148"/>
      <c r="X596" s="148"/>
      <c r="Y596" s="148"/>
      <c r="Z596" s="148"/>
      <c r="AA596" s="148"/>
      <c r="AB596" s="148"/>
      <c r="AC596" s="148"/>
    </row>
    <row r="597" spans="1:29">
      <c r="A597" s="149">
        <v>45961</v>
      </c>
      <c r="B597" s="147" t="s">
        <v>243</v>
      </c>
      <c r="C597" s="147">
        <v>1</v>
      </c>
      <c r="D597" s="147">
        <v>1</v>
      </c>
      <c r="E597" s="147"/>
      <c r="F597" s="147"/>
      <c r="G597" s="147"/>
      <c r="H597" s="147"/>
      <c r="I597" s="147"/>
      <c r="J597" s="147"/>
      <c r="K597" s="147"/>
      <c r="L597" s="147"/>
      <c r="M597" s="147"/>
      <c r="N597" s="147"/>
      <c r="O597" s="147"/>
      <c r="P597" s="147"/>
      <c r="Q597" s="147">
        <v>3</v>
      </c>
      <c r="R597" s="148"/>
      <c r="S597" s="148"/>
      <c r="T597" s="148"/>
      <c r="U597" s="148"/>
      <c r="V597" s="148"/>
      <c r="W597" s="148"/>
      <c r="X597" s="148"/>
      <c r="Y597" s="148"/>
      <c r="Z597" s="148"/>
      <c r="AA597" s="148"/>
      <c r="AB597" s="148"/>
      <c r="AC597" s="148"/>
    </row>
    <row r="598" spans="1:29">
      <c r="A598" s="149">
        <v>45960</v>
      </c>
      <c r="B598" s="147" t="s">
        <v>61</v>
      </c>
      <c r="C598" s="147">
        <v>5</v>
      </c>
      <c r="D598" s="147">
        <v>4</v>
      </c>
      <c r="E598" s="147"/>
      <c r="F598" s="147"/>
      <c r="G598" s="147"/>
      <c r="H598" s="147">
        <v>1</v>
      </c>
      <c r="I598" s="147"/>
      <c r="J598" s="147"/>
      <c r="K598" s="147"/>
      <c r="L598" s="147"/>
      <c r="M598" s="147"/>
      <c r="N598" s="147"/>
      <c r="O598" s="147"/>
      <c r="P598" s="147"/>
      <c r="Q598" s="147">
        <v>6</v>
      </c>
      <c r="R598" s="148"/>
      <c r="S598" s="148"/>
      <c r="T598" s="148"/>
      <c r="U598" s="148"/>
      <c r="V598" s="148"/>
      <c r="W598" s="148"/>
      <c r="X598" s="148"/>
      <c r="Y598" s="148"/>
      <c r="Z598" s="148"/>
      <c r="AA598" s="148"/>
      <c r="AB598" s="148"/>
      <c r="AC598" s="148"/>
    </row>
    <row r="599" spans="1:29">
      <c r="A599" s="149">
        <v>45960</v>
      </c>
      <c r="B599" s="147" t="s">
        <v>115</v>
      </c>
      <c r="C599" s="147">
        <v>2</v>
      </c>
      <c r="D599" s="147"/>
      <c r="E599" s="147"/>
      <c r="F599" s="147"/>
      <c r="G599" s="147"/>
      <c r="H599" s="147"/>
      <c r="I599" s="147">
        <v>1</v>
      </c>
      <c r="J599" s="147"/>
      <c r="K599" s="147">
        <v>1</v>
      </c>
      <c r="L599" s="147"/>
      <c r="M599" s="147"/>
      <c r="N599" s="147"/>
      <c r="O599" s="147"/>
      <c r="P599" s="147"/>
      <c r="Q599" s="147">
        <v>3</v>
      </c>
      <c r="R599" s="148"/>
      <c r="S599" s="148"/>
      <c r="T599" s="148"/>
      <c r="U599" s="148"/>
      <c r="V599" s="148"/>
      <c r="W599" s="148"/>
      <c r="X599" s="148"/>
      <c r="Y599" s="148"/>
      <c r="Z599" s="148"/>
      <c r="AA599" s="148"/>
      <c r="AB599" s="148"/>
      <c r="AC599" s="148"/>
    </row>
    <row r="600" spans="1:29">
      <c r="A600" s="149">
        <v>45960</v>
      </c>
      <c r="B600" s="147" t="s">
        <v>1774</v>
      </c>
      <c r="C600" s="147">
        <v>2</v>
      </c>
      <c r="D600" s="147"/>
      <c r="E600" s="147"/>
      <c r="F600" s="147"/>
      <c r="G600" s="147"/>
      <c r="H600" s="147"/>
      <c r="I600" s="147">
        <v>2</v>
      </c>
      <c r="J600" s="147"/>
      <c r="K600" s="147"/>
      <c r="L600" s="147"/>
      <c r="M600" s="147"/>
      <c r="N600" s="147"/>
      <c r="O600" s="147"/>
      <c r="P600" s="147"/>
      <c r="Q600" s="147">
        <v>3</v>
      </c>
      <c r="R600" s="148"/>
      <c r="S600" s="148"/>
      <c r="T600" s="148"/>
      <c r="U600" s="148"/>
      <c r="V600" s="148"/>
      <c r="W600" s="148"/>
      <c r="X600" s="148"/>
      <c r="Y600" s="148"/>
      <c r="Z600" s="148"/>
      <c r="AA600" s="148"/>
      <c r="AB600" s="148"/>
      <c r="AC600" s="148"/>
    </row>
    <row r="601" spans="1:29">
      <c r="A601" s="149">
        <v>45960</v>
      </c>
      <c r="B601" s="147" t="s">
        <v>1229</v>
      </c>
      <c r="C601" s="147">
        <v>3</v>
      </c>
      <c r="D601" s="147">
        <v>1</v>
      </c>
      <c r="E601" s="147"/>
      <c r="F601" s="147"/>
      <c r="G601" s="147"/>
      <c r="H601" s="147"/>
      <c r="I601" s="147">
        <v>1</v>
      </c>
      <c r="J601" s="147">
        <v>1</v>
      </c>
      <c r="K601" s="147"/>
      <c r="L601" s="147"/>
      <c r="M601" s="147"/>
      <c r="N601" s="147"/>
      <c r="O601" s="147"/>
      <c r="P601" s="147"/>
      <c r="Q601" s="147">
        <v>3</v>
      </c>
      <c r="R601" s="148"/>
      <c r="S601" s="148"/>
      <c r="T601" s="148"/>
      <c r="U601" s="148"/>
      <c r="V601" s="148"/>
      <c r="W601" s="148"/>
      <c r="X601" s="148"/>
      <c r="Y601" s="148"/>
      <c r="Z601" s="148"/>
      <c r="AA601" s="148"/>
      <c r="AB601" s="148"/>
      <c r="AC601" s="148"/>
    </row>
    <row r="602" spans="1:29">
      <c r="A602" s="149">
        <v>45960</v>
      </c>
      <c r="B602" s="147" t="s">
        <v>243</v>
      </c>
      <c r="C602" s="147">
        <v>1</v>
      </c>
      <c r="D602" s="147">
        <v>1</v>
      </c>
      <c r="E602" s="147"/>
      <c r="F602" s="147"/>
      <c r="G602" s="147"/>
      <c r="H602" s="147"/>
      <c r="I602" s="147"/>
      <c r="J602" s="147"/>
      <c r="K602" s="147"/>
      <c r="L602" s="147"/>
      <c r="M602" s="147"/>
      <c r="N602" s="147"/>
      <c r="O602" s="147"/>
      <c r="P602" s="147"/>
      <c r="Q602" s="147">
        <v>3</v>
      </c>
      <c r="R602" s="148"/>
      <c r="S602" s="148"/>
      <c r="T602" s="148"/>
      <c r="U602" s="148"/>
      <c r="V602" s="148"/>
      <c r="W602" s="148"/>
      <c r="X602" s="148"/>
      <c r="Y602" s="148"/>
      <c r="Z602" s="148"/>
      <c r="AA602" s="148"/>
      <c r="AB602" s="148"/>
      <c r="AC602" s="148"/>
    </row>
    <row r="603" spans="1:29">
      <c r="A603" s="149">
        <v>45961</v>
      </c>
      <c r="B603" s="147" t="s">
        <v>115</v>
      </c>
      <c r="C603" s="147"/>
      <c r="D603" s="147"/>
      <c r="E603" s="147"/>
      <c r="F603" s="147"/>
      <c r="G603" s="147"/>
      <c r="H603" s="147"/>
      <c r="I603" s="147"/>
      <c r="J603" s="147"/>
      <c r="K603" s="147"/>
      <c r="L603" s="147"/>
      <c r="M603" s="147"/>
      <c r="N603" s="147"/>
      <c r="O603" s="147"/>
      <c r="P603" s="147"/>
      <c r="Q603" s="147">
        <v>8</v>
      </c>
      <c r="R603" s="148"/>
      <c r="S603" s="148"/>
      <c r="T603" s="148"/>
      <c r="U603" s="148"/>
      <c r="V603" s="148"/>
      <c r="W603" s="148"/>
      <c r="X603" s="148"/>
      <c r="Y603" s="148"/>
      <c r="Z603" s="148"/>
      <c r="AA603" s="148"/>
      <c r="AB603" s="148"/>
      <c r="AC603" s="148"/>
    </row>
    <row r="604" spans="1:29">
      <c r="A604" s="149">
        <v>45961</v>
      </c>
      <c r="B604" s="147" t="s">
        <v>1774</v>
      </c>
      <c r="C604" s="147"/>
      <c r="D604" s="147"/>
      <c r="E604" s="147"/>
      <c r="F604" s="147"/>
      <c r="G604" s="147"/>
      <c r="H604" s="147"/>
      <c r="I604" s="147"/>
      <c r="J604" s="147"/>
      <c r="K604" s="147"/>
      <c r="L604" s="147"/>
      <c r="M604" s="147"/>
      <c r="N604" s="147"/>
      <c r="O604" s="147"/>
      <c r="P604" s="147"/>
      <c r="Q604" s="147">
        <v>9</v>
      </c>
      <c r="R604" s="148"/>
      <c r="S604" s="148"/>
      <c r="T604" s="148"/>
      <c r="U604" s="148"/>
      <c r="V604" s="148"/>
      <c r="W604" s="148"/>
      <c r="X604" s="148"/>
      <c r="Y604" s="148"/>
      <c r="Z604" s="148"/>
      <c r="AA604" s="148"/>
      <c r="AB604" s="148"/>
      <c r="AC604" s="148"/>
    </row>
    <row r="605" spans="1:29">
      <c r="A605" s="149">
        <v>45961</v>
      </c>
      <c r="B605" s="147" t="s">
        <v>61</v>
      </c>
      <c r="C605" s="147">
        <v>1</v>
      </c>
      <c r="D605" s="147">
        <v>1</v>
      </c>
      <c r="E605" s="147"/>
      <c r="F605" s="147"/>
      <c r="G605" s="147"/>
      <c r="H605" s="147"/>
      <c r="I605" s="147"/>
      <c r="J605" s="147"/>
      <c r="K605" s="147"/>
      <c r="L605" s="147"/>
      <c r="M605" s="147"/>
      <c r="N605" s="147"/>
      <c r="O605" s="147"/>
      <c r="P605" s="147"/>
      <c r="Q605" s="147">
        <v>15</v>
      </c>
      <c r="R605" s="148"/>
      <c r="S605" s="148"/>
      <c r="T605" s="148"/>
      <c r="U605" s="148"/>
      <c r="V605" s="148"/>
      <c r="W605" s="148"/>
      <c r="X605" s="148"/>
      <c r="Y605" s="148"/>
      <c r="Z605" s="148"/>
      <c r="AA605" s="148"/>
      <c r="AB605" s="148"/>
      <c r="AC605" s="148"/>
    </row>
    <row r="606" spans="1:29">
      <c r="A606" s="149">
        <v>45961</v>
      </c>
      <c r="B606" s="147" t="s">
        <v>1229</v>
      </c>
      <c r="C606" s="147"/>
      <c r="D606" s="147"/>
      <c r="E606" s="147"/>
      <c r="F606" s="147"/>
      <c r="G606" s="147"/>
      <c r="H606" s="147"/>
      <c r="I606" s="147"/>
      <c r="J606" s="147"/>
      <c r="K606" s="147"/>
      <c r="L606" s="147"/>
      <c r="M606" s="147"/>
      <c r="N606" s="147"/>
      <c r="O606" s="147"/>
      <c r="P606" s="147"/>
      <c r="Q606" s="147">
        <v>9</v>
      </c>
      <c r="R606" s="148"/>
      <c r="S606" s="148"/>
      <c r="T606" s="148"/>
      <c r="U606" s="148"/>
      <c r="V606" s="148"/>
      <c r="W606" s="148"/>
      <c r="X606" s="148"/>
      <c r="Y606" s="148"/>
      <c r="Z606" s="148"/>
      <c r="AA606" s="148"/>
      <c r="AB606" s="148"/>
      <c r="AC606" s="148"/>
    </row>
    <row r="607" spans="1:29">
      <c r="A607" s="149">
        <v>45961</v>
      </c>
      <c r="B607" s="147" t="s">
        <v>243</v>
      </c>
      <c r="C607" s="147"/>
      <c r="D607" s="147"/>
      <c r="E607" s="147"/>
      <c r="F607" s="147"/>
      <c r="G607" s="147"/>
      <c r="H607" s="147"/>
      <c r="I607" s="147"/>
      <c r="J607" s="147"/>
      <c r="K607" s="147"/>
      <c r="L607" s="147"/>
      <c r="M607" s="147"/>
      <c r="N607" s="147"/>
      <c r="O607" s="147"/>
      <c r="P607" s="147"/>
      <c r="Q607" s="147">
        <v>9</v>
      </c>
      <c r="R607" s="148"/>
      <c r="S607" s="148"/>
      <c r="T607" s="148"/>
      <c r="U607" s="148"/>
      <c r="V607" s="148"/>
      <c r="W607" s="148"/>
      <c r="X607" s="148"/>
      <c r="Y607" s="148"/>
      <c r="Z607" s="148"/>
      <c r="AA607" s="148"/>
      <c r="AB607" s="148"/>
      <c r="AC607" s="148"/>
    </row>
    <row r="608" spans="1:29">
      <c r="A608" s="149">
        <v>45962</v>
      </c>
      <c r="B608" s="147" t="s">
        <v>115</v>
      </c>
      <c r="C608" s="147">
        <v>1</v>
      </c>
      <c r="D608" s="147"/>
      <c r="E608" s="147"/>
      <c r="F608" s="147"/>
      <c r="G608" s="147"/>
      <c r="H608" s="147"/>
      <c r="I608" s="147"/>
      <c r="J608" s="147"/>
      <c r="K608" s="147">
        <v>1</v>
      </c>
      <c r="L608" s="147"/>
      <c r="M608" s="147"/>
      <c r="N608" s="147"/>
      <c r="O608" s="147"/>
      <c r="P608" s="147"/>
      <c r="Q608" s="147">
        <v>3</v>
      </c>
      <c r="R608" s="148"/>
      <c r="S608" s="148"/>
      <c r="T608" s="148"/>
      <c r="U608" s="148"/>
      <c r="V608" s="148"/>
      <c r="W608" s="148"/>
      <c r="X608" s="148"/>
      <c r="Y608" s="148"/>
      <c r="Z608" s="148"/>
      <c r="AA608" s="148"/>
      <c r="AB608" s="148"/>
      <c r="AC608" s="148"/>
    </row>
    <row r="609" spans="1:29">
      <c r="A609" s="149">
        <v>45964</v>
      </c>
      <c r="B609" s="147" t="s">
        <v>1774</v>
      </c>
      <c r="C609" s="147">
        <v>1</v>
      </c>
      <c r="D609" s="147"/>
      <c r="E609" s="147"/>
      <c r="F609" s="147"/>
      <c r="G609" s="147"/>
      <c r="H609" s="147"/>
      <c r="I609" s="147"/>
      <c r="J609" s="147">
        <v>1</v>
      </c>
      <c r="K609" s="147"/>
      <c r="L609" s="147"/>
      <c r="M609" s="147"/>
      <c r="N609" s="147"/>
      <c r="O609" s="147"/>
      <c r="P609" s="147"/>
      <c r="Q609" s="147">
        <v>4</v>
      </c>
      <c r="R609" s="148"/>
      <c r="S609" s="148"/>
      <c r="T609" s="148"/>
      <c r="U609" s="148"/>
      <c r="V609" s="148"/>
      <c r="W609" s="148"/>
      <c r="X609" s="148"/>
      <c r="Y609" s="148"/>
      <c r="Z609" s="148"/>
      <c r="AA609" s="148"/>
      <c r="AB609" s="148"/>
      <c r="AC609" s="148"/>
    </row>
    <row r="610" spans="1:29">
      <c r="A610" s="149">
        <v>45964</v>
      </c>
      <c r="B610" s="147" t="s">
        <v>61</v>
      </c>
      <c r="C610" s="147">
        <v>2</v>
      </c>
      <c r="D610" s="147" t="s">
        <v>12843</v>
      </c>
      <c r="E610" s="147">
        <v>1</v>
      </c>
      <c r="F610" s="147"/>
      <c r="G610" s="147"/>
      <c r="H610" s="147"/>
      <c r="I610" s="147"/>
      <c r="J610" s="147">
        <v>1</v>
      </c>
      <c r="K610" s="147"/>
      <c r="L610" s="147"/>
      <c r="M610" s="147"/>
      <c r="N610" s="147"/>
      <c r="O610" s="147"/>
      <c r="P610" s="147"/>
      <c r="Q610" s="147">
        <v>6</v>
      </c>
      <c r="R610" s="148"/>
      <c r="S610" s="148"/>
      <c r="T610" s="148"/>
      <c r="U610" s="148"/>
      <c r="V610" s="148"/>
      <c r="W610" s="148"/>
      <c r="X610" s="148"/>
      <c r="Y610" s="148"/>
      <c r="Z610" s="148"/>
      <c r="AA610" s="148"/>
      <c r="AB610" s="148"/>
      <c r="AC610" s="148"/>
    </row>
    <row r="611" spans="1:29">
      <c r="A611" s="149">
        <v>45962</v>
      </c>
      <c r="B611" s="147" t="s">
        <v>243</v>
      </c>
      <c r="C611" s="147"/>
      <c r="D611" s="147"/>
      <c r="E611" s="147"/>
      <c r="F611" s="147"/>
      <c r="G611" s="147"/>
      <c r="H611" s="147"/>
      <c r="I611" s="147"/>
      <c r="J611" s="147"/>
      <c r="K611" s="147"/>
      <c r="L611" s="147"/>
      <c r="M611" s="147"/>
      <c r="N611" s="147"/>
      <c r="O611" s="147"/>
      <c r="P611" s="147"/>
      <c r="Q611" s="147">
        <v>3</v>
      </c>
      <c r="R611" s="148"/>
      <c r="S611" s="148"/>
      <c r="T611" s="148"/>
      <c r="U611" s="148"/>
      <c r="V611" s="148"/>
      <c r="W611" s="148"/>
      <c r="X611" s="148"/>
      <c r="Y611" s="148"/>
      <c r="Z611" s="148"/>
      <c r="AA611" s="148"/>
      <c r="AB611" s="148"/>
      <c r="AC611" s="148"/>
    </row>
    <row r="612" spans="1:29">
      <c r="A612" s="149">
        <v>45962</v>
      </c>
      <c r="B612" s="147" t="s">
        <v>1774</v>
      </c>
      <c r="C612" s="147">
        <v>1</v>
      </c>
      <c r="D612" s="147"/>
      <c r="E612" s="147"/>
      <c r="F612" s="147"/>
      <c r="G612" s="147"/>
      <c r="H612" s="147"/>
      <c r="I612" s="147"/>
      <c r="J612" s="147">
        <v>1</v>
      </c>
      <c r="K612" s="147"/>
      <c r="L612" s="147"/>
      <c r="M612" s="147"/>
      <c r="N612" s="147"/>
      <c r="O612" s="147"/>
      <c r="P612" s="147"/>
      <c r="Q612" s="147">
        <v>4</v>
      </c>
      <c r="R612" s="148"/>
      <c r="S612" s="148"/>
      <c r="T612" s="148"/>
      <c r="U612" s="148"/>
      <c r="V612" s="148"/>
      <c r="W612" s="148"/>
      <c r="X612" s="148"/>
      <c r="Y612" s="148"/>
      <c r="Z612" s="148"/>
      <c r="AA612" s="148"/>
      <c r="AB612" s="148"/>
      <c r="AC612" s="148"/>
    </row>
    <row r="613" spans="1:29">
      <c r="A613" s="149">
        <v>45962</v>
      </c>
      <c r="B613" s="147" t="s">
        <v>61</v>
      </c>
      <c r="C613" s="147">
        <v>2</v>
      </c>
      <c r="D613" s="147" t="s">
        <v>12843</v>
      </c>
      <c r="E613" s="147">
        <v>1</v>
      </c>
      <c r="F613" s="147"/>
      <c r="G613" s="147"/>
      <c r="H613" s="147"/>
      <c r="I613" s="147"/>
      <c r="J613" s="147">
        <v>1</v>
      </c>
      <c r="K613" s="147"/>
      <c r="L613" s="147"/>
      <c r="M613" s="147"/>
      <c r="N613" s="147"/>
      <c r="O613" s="147"/>
      <c r="P613" s="147"/>
      <c r="Q613" s="147">
        <v>6</v>
      </c>
      <c r="R613" s="148"/>
      <c r="S613" s="148"/>
      <c r="T613" s="148"/>
      <c r="U613" s="148"/>
      <c r="V613" s="148"/>
      <c r="W613" s="148"/>
      <c r="X613" s="148"/>
      <c r="Y613" s="148"/>
      <c r="Z613" s="148"/>
      <c r="AA613" s="148"/>
      <c r="AB613" s="148"/>
      <c r="AC613" s="148"/>
    </row>
    <row r="614" spans="1:29">
      <c r="A614" s="149">
        <v>45962</v>
      </c>
      <c r="B614" s="147" t="s">
        <v>1229</v>
      </c>
      <c r="C614" s="147">
        <v>4</v>
      </c>
      <c r="D614" s="147">
        <v>2</v>
      </c>
      <c r="E614" s="147">
        <v>1</v>
      </c>
      <c r="F614" s="147"/>
      <c r="G614" s="147"/>
      <c r="H614" s="147"/>
      <c r="I614" s="147">
        <v>1</v>
      </c>
      <c r="J614" s="147"/>
      <c r="K614" s="147"/>
      <c r="L614" s="147"/>
      <c r="M614" s="147"/>
      <c r="N614" s="147"/>
      <c r="O614" s="147"/>
      <c r="P614" s="147"/>
      <c r="Q614" s="147">
        <v>3</v>
      </c>
      <c r="R614" s="148"/>
      <c r="S614" s="148"/>
      <c r="T614" s="148"/>
      <c r="U614" s="148"/>
      <c r="V614" s="148"/>
      <c r="W614" s="148"/>
      <c r="X614" s="148"/>
      <c r="Y614" s="148"/>
      <c r="Z614" s="148"/>
      <c r="AA614" s="148"/>
      <c r="AB614" s="148"/>
      <c r="AC614" s="148"/>
    </row>
    <row r="615" spans="1:29">
      <c r="A615" s="149">
        <v>45963</v>
      </c>
      <c r="B615" s="147" t="s">
        <v>1229</v>
      </c>
      <c r="C615" s="147">
        <v>2</v>
      </c>
      <c r="D615" s="147"/>
      <c r="E615" s="147">
        <v>1</v>
      </c>
      <c r="F615" s="147"/>
      <c r="G615" s="147"/>
      <c r="H615" s="147"/>
      <c r="I615" s="147"/>
      <c r="J615" s="147">
        <v>1</v>
      </c>
      <c r="K615" s="147"/>
      <c r="L615" s="147"/>
      <c r="M615" s="147"/>
      <c r="N615" s="147"/>
      <c r="O615" s="147"/>
      <c r="P615" s="147"/>
      <c r="Q615" s="147"/>
      <c r="R615" s="148"/>
      <c r="S615" s="148"/>
      <c r="T615" s="148"/>
      <c r="U615" s="148"/>
      <c r="V615" s="148"/>
      <c r="W615" s="148"/>
      <c r="X615" s="148"/>
      <c r="Y615" s="148"/>
      <c r="Z615" s="148"/>
      <c r="AA615" s="148"/>
      <c r="AB615" s="148"/>
      <c r="AC615" s="148"/>
    </row>
    <row r="616" spans="1:29">
      <c r="A616" s="149">
        <v>45963</v>
      </c>
      <c r="B616" s="147" t="s">
        <v>61</v>
      </c>
      <c r="C616" s="147">
        <v>6</v>
      </c>
      <c r="D616" s="147">
        <v>2</v>
      </c>
      <c r="E616" s="147"/>
      <c r="F616" s="147"/>
      <c r="G616" s="147"/>
      <c r="H616" s="147"/>
      <c r="I616" s="147">
        <v>1</v>
      </c>
      <c r="J616" s="147">
        <v>2</v>
      </c>
      <c r="K616" s="147"/>
      <c r="L616" s="147"/>
      <c r="M616" s="147">
        <v>1</v>
      </c>
      <c r="N616" s="147"/>
      <c r="O616" s="147"/>
      <c r="P616" s="147"/>
      <c r="Q616" s="147"/>
      <c r="R616" s="148"/>
      <c r="S616" s="148"/>
      <c r="T616" s="148"/>
      <c r="U616" s="148"/>
      <c r="V616" s="148"/>
      <c r="W616" s="148"/>
      <c r="X616" s="148"/>
      <c r="Y616" s="148"/>
      <c r="Z616" s="148"/>
      <c r="AA616" s="148"/>
      <c r="AB616" s="148"/>
      <c r="AC616" s="148"/>
    </row>
    <row r="617" spans="1:29">
      <c r="A617" s="149">
        <v>45963</v>
      </c>
      <c r="B617" s="147" t="s">
        <v>1774</v>
      </c>
      <c r="C617" s="147">
        <v>1</v>
      </c>
      <c r="D617" s="147"/>
      <c r="E617" s="147"/>
      <c r="F617" s="147"/>
      <c r="G617" s="147"/>
      <c r="H617" s="147"/>
      <c r="I617" s="147">
        <v>1</v>
      </c>
      <c r="J617" s="147"/>
      <c r="K617" s="147"/>
      <c r="L617" s="147"/>
      <c r="M617" s="147"/>
      <c r="N617" s="147"/>
      <c r="O617" s="147"/>
      <c r="P617" s="147"/>
      <c r="Q617" s="147"/>
      <c r="R617" s="148"/>
      <c r="S617" s="148"/>
      <c r="T617" s="148"/>
      <c r="U617" s="148"/>
      <c r="V617" s="148"/>
      <c r="W617" s="148"/>
      <c r="X617" s="148"/>
      <c r="Y617" s="148"/>
      <c r="Z617" s="148"/>
      <c r="AA617" s="148"/>
      <c r="AB617" s="148"/>
      <c r="AC617" s="148"/>
    </row>
    <row r="618" spans="1:29">
      <c r="A618" s="149">
        <v>45963</v>
      </c>
      <c r="B618" s="147" t="s">
        <v>115</v>
      </c>
      <c r="C618" s="147">
        <v>1</v>
      </c>
      <c r="D618" s="147"/>
      <c r="E618" s="147"/>
      <c r="F618" s="147"/>
      <c r="G618" s="147"/>
      <c r="H618" s="147"/>
      <c r="I618" s="147">
        <v>1</v>
      </c>
      <c r="J618" s="147"/>
      <c r="K618" s="147"/>
      <c r="L618" s="147"/>
      <c r="M618" s="147"/>
      <c r="N618" s="147"/>
      <c r="O618" s="147"/>
      <c r="P618" s="147"/>
      <c r="Q618" s="147">
        <v>0</v>
      </c>
      <c r="R618" s="148"/>
      <c r="S618" s="148"/>
      <c r="T618" s="148"/>
      <c r="U618" s="148"/>
      <c r="V618" s="148"/>
      <c r="W618" s="148"/>
      <c r="X618" s="148"/>
      <c r="Y618" s="148"/>
      <c r="Z618" s="148"/>
      <c r="AA618" s="148"/>
      <c r="AB618" s="148"/>
      <c r="AC618" s="148"/>
    </row>
    <row r="619" spans="1:29">
      <c r="A619" s="149">
        <v>45963</v>
      </c>
      <c r="B619" s="147" t="s">
        <v>243</v>
      </c>
      <c r="C619" s="147">
        <v>1</v>
      </c>
      <c r="D619" s="147">
        <v>1</v>
      </c>
      <c r="E619" s="147"/>
      <c r="F619" s="147"/>
      <c r="G619" s="147"/>
      <c r="H619" s="147"/>
      <c r="I619" s="147"/>
      <c r="J619" s="147"/>
      <c r="K619" s="147"/>
      <c r="L619" s="147"/>
      <c r="M619" s="147"/>
      <c r="N619" s="147"/>
      <c r="O619" s="147"/>
      <c r="P619" s="147"/>
      <c r="Q619" s="147">
        <v>0</v>
      </c>
      <c r="R619" s="148"/>
      <c r="S619" s="148"/>
      <c r="T619" s="148"/>
      <c r="U619" s="148"/>
      <c r="V619" s="148"/>
      <c r="W619" s="148"/>
      <c r="X619" s="148"/>
      <c r="Y619" s="148"/>
      <c r="Z619" s="148"/>
      <c r="AA619" s="148"/>
      <c r="AB619" s="148"/>
      <c r="AC619" s="148"/>
    </row>
    <row r="620" spans="1:29">
      <c r="A620" s="149">
        <v>45964</v>
      </c>
      <c r="B620" s="147" t="s">
        <v>115</v>
      </c>
      <c r="C620" s="147">
        <v>3</v>
      </c>
      <c r="D620" s="147">
        <v>2</v>
      </c>
      <c r="E620" s="147"/>
      <c r="F620" s="147"/>
      <c r="G620" s="147"/>
      <c r="H620" s="147"/>
      <c r="I620" s="147"/>
      <c r="J620" s="147"/>
      <c r="K620" s="147"/>
      <c r="L620" s="147">
        <v>1</v>
      </c>
      <c r="M620" s="147"/>
      <c r="N620" s="147"/>
      <c r="O620" s="147"/>
      <c r="P620" s="147"/>
      <c r="Q620" s="147">
        <v>22</v>
      </c>
      <c r="R620" s="148"/>
      <c r="S620" s="148"/>
      <c r="T620" s="148"/>
      <c r="U620" s="148"/>
      <c r="V620" s="148"/>
      <c r="W620" s="148"/>
      <c r="X620" s="148"/>
      <c r="Y620" s="148"/>
      <c r="Z620" s="148"/>
      <c r="AA620" s="148"/>
      <c r="AB620" s="148"/>
      <c r="AC620" s="148"/>
    </row>
    <row r="621" spans="1:29">
      <c r="A621" s="149">
        <v>45964</v>
      </c>
      <c r="B621" s="147" t="s">
        <v>1774</v>
      </c>
      <c r="C621" s="147">
        <v>1</v>
      </c>
      <c r="D621" s="147"/>
      <c r="E621" s="147"/>
      <c r="F621" s="147"/>
      <c r="G621" s="147"/>
      <c r="H621" s="147"/>
      <c r="I621" s="147">
        <v>1</v>
      </c>
      <c r="J621" s="147"/>
      <c r="K621" s="147"/>
      <c r="L621" s="147"/>
      <c r="M621" s="147"/>
      <c r="N621" s="147"/>
      <c r="O621" s="147"/>
      <c r="P621" s="147"/>
      <c r="Q621" s="147">
        <v>23</v>
      </c>
      <c r="R621" s="148"/>
      <c r="S621" s="148"/>
      <c r="T621" s="148"/>
      <c r="U621" s="148"/>
      <c r="V621" s="148"/>
      <c r="W621" s="148"/>
      <c r="X621" s="148"/>
      <c r="Y621" s="148"/>
      <c r="Z621" s="148"/>
      <c r="AA621" s="148"/>
      <c r="AB621" s="148"/>
      <c r="AC621" s="148"/>
    </row>
    <row r="622" spans="1:29">
      <c r="A622" s="149">
        <v>45964</v>
      </c>
      <c r="B622" s="147" t="s">
        <v>61</v>
      </c>
      <c r="C622" s="147">
        <v>6</v>
      </c>
      <c r="D622" s="147">
        <v>5</v>
      </c>
      <c r="E622" s="147"/>
      <c r="F622" s="147"/>
      <c r="G622" s="147"/>
      <c r="H622" s="147"/>
      <c r="I622" s="147"/>
      <c r="J622" s="147">
        <v>1</v>
      </c>
      <c r="K622" s="147"/>
      <c r="L622" s="147"/>
      <c r="M622" s="147"/>
      <c r="N622" s="147"/>
      <c r="O622" s="147"/>
      <c r="P622" s="147"/>
      <c r="Q622" s="147">
        <v>28</v>
      </c>
      <c r="R622" s="148"/>
      <c r="S622" s="148"/>
      <c r="T622" s="148"/>
      <c r="U622" s="148"/>
      <c r="V622" s="148"/>
      <c r="W622" s="148"/>
      <c r="X622" s="148"/>
      <c r="Y622" s="148"/>
      <c r="Z622" s="148"/>
      <c r="AA622" s="148"/>
      <c r="AB622" s="148"/>
      <c r="AC622" s="148"/>
    </row>
    <row r="623" spans="1:29">
      <c r="A623" s="149">
        <v>45964</v>
      </c>
      <c r="B623" s="147" t="s">
        <v>243</v>
      </c>
      <c r="C623" s="147">
        <v>1</v>
      </c>
      <c r="D623" s="147">
        <v>1</v>
      </c>
      <c r="E623" s="147"/>
      <c r="F623" s="147"/>
      <c r="G623" s="147"/>
      <c r="H623" s="147"/>
      <c r="I623" s="147"/>
      <c r="J623" s="147"/>
      <c r="K623" s="147"/>
      <c r="L623" s="147"/>
      <c r="M623" s="147"/>
      <c r="N623" s="147"/>
      <c r="O623" s="147"/>
      <c r="P623" s="147"/>
      <c r="Q623" s="147">
        <v>20</v>
      </c>
      <c r="R623" s="148"/>
      <c r="S623" s="148"/>
      <c r="T623" s="148"/>
      <c r="U623" s="148"/>
      <c r="V623" s="148"/>
      <c r="W623" s="148"/>
      <c r="X623" s="148"/>
      <c r="Y623" s="148"/>
      <c r="Z623" s="148"/>
      <c r="AA623" s="148"/>
      <c r="AB623" s="148"/>
      <c r="AC623" s="148"/>
    </row>
    <row r="624" spans="1:29">
      <c r="A624" s="149">
        <v>45964</v>
      </c>
      <c r="B624" s="147" t="s">
        <v>1229</v>
      </c>
      <c r="C624" s="147">
        <v>2</v>
      </c>
      <c r="D624" s="147">
        <v>1</v>
      </c>
      <c r="E624" s="147"/>
      <c r="F624" s="147"/>
      <c r="G624" s="147"/>
      <c r="H624" s="147">
        <v>1</v>
      </c>
      <c r="I624" s="147"/>
      <c r="J624" s="147"/>
      <c r="K624" s="147"/>
      <c r="L624" s="147"/>
      <c r="M624" s="147"/>
      <c r="N624" s="147"/>
      <c r="O624" s="147"/>
      <c r="P624" s="147"/>
      <c r="Q624" s="147">
        <v>24</v>
      </c>
      <c r="R624" s="148"/>
      <c r="S624" s="148"/>
      <c r="T624" s="148"/>
      <c r="U624" s="148"/>
      <c r="V624" s="148"/>
      <c r="W624" s="148"/>
      <c r="X624" s="148"/>
      <c r="Y624" s="148"/>
      <c r="Z624" s="148"/>
      <c r="AA624" s="148"/>
      <c r="AB624" s="148"/>
      <c r="AC624" s="148"/>
    </row>
    <row r="625" spans="1:29">
      <c r="A625" s="149">
        <v>45965</v>
      </c>
      <c r="B625" s="147" t="s">
        <v>115</v>
      </c>
      <c r="C625" s="147">
        <v>6</v>
      </c>
      <c r="D625" s="147">
        <v>3</v>
      </c>
      <c r="E625" s="147"/>
      <c r="F625" s="147"/>
      <c r="G625" s="147"/>
      <c r="H625" s="147"/>
      <c r="I625" s="147">
        <v>1</v>
      </c>
      <c r="J625" s="147">
        <v>1</v>
      </c>
      <c r="K625" s="147">
        <v>1</v>
      </c>
      <c r="L625" s="147"/>
      <c r="M625" s="147"/>
      <c r="N625" s="147"/>
      <c r="O625" s="147"/>
      <c r="P625" s="147"/>
      <c r="Q625" s="147">
        <v>29</v>
      </c>
      <c r="R625" s="148"/>
      <c r="S625" s="148"/>
      <c r="T625" s="148"/>
      <c r="U625" s="148"/>
      <c r="V625" s="148"/>
      <c r="W625" s="148"/>
      <c r="X625" s="148"/>
      <c r="Y625" s="148"/>
      <c r="Z625" s="148"/>
      <c r="AA625" s="148"/>
      <c r="AB625" s="148"/>
      <c r="AC625" s="148"/>
    </row>
    <row r="626" spans="1:29">
      <c r="A626" s="149">
        <v>45965</v>
      </c>
      <c r="B626" s="147" t="s">
        <v>1774</v>
      </c>
      <c r="C626" s="147">
        <v>3</v>
      </c>
      <c r="D626" s="147"/>
      <c r="E626" s="147"/>
      <c r="F626" s="147">
        <v>1</v>
      </c>
      <c r="G626" s="147"/>
      <c r="H626" s="147"/>
      <c r="I626" s="147"/>
      <c r="J626" s="147">
        <v>2</v>
      </c>
      <c r="K626" s="147"/>
      <c r="L626" s="147"/>
      <c r="M626" s="147"/>
      <c r="N626" s="147"/>
      <c r="O626" s="147"/>
      <c r="P626" s="147"/>
      <c r="Q626" s="147">
        <v>31</v>
      </c>
      <c r="R626" s="148"/>
      <c r="S626" s="148"/>
      <c r="T626" s="148"/>
      <c r="U626" s="148"/>
      <c r="V626" s="148"/>
      <c r="W626" s="148"/>
      <c r="X626" s="148"/>
      <c r="Y626" s="148"/>
      <c r="Z626" s="148"/>
      <c r="AA626" s="148"/>
      <c r="AB626" s="148"/>
      <c r="AC626" s="148"/>
    </row>
    <row r="627" spans="1:29">
      <c r="A627" s="149">
        <v>45965</v>
      </c>
      <c r="B627" s="147" t="s">
        <v>61</v>
      </c>
      <c r="C627" s="147">
        <v>3</v>
      </c>
      <c r="D627" s="147">
        <v>1</v>
      </c>
      <c r="E627" s="147"/>
      <c r="F627" s="147"/>
      <c r="G627" s="147"/>
      <c r="H627" s="147">
        <v>1</v>
      </c>
      <c r="I627" s="147"/>
      <c r="J627" s="147">
        <v>1</v>
      </c>
      <c r="K627" s="147"/>
      <c r="L627" s="147"/>
      <c r="M627" s="147"/>
      <c r="N627" s="147"/>
      <c r="O627" s="147"/>
      <c r="P627" s="147"/>
      <c r="Q627" s="147">
        <v>61</v>
      </c>
      <c r="R627" s="148"/>
      <c r="S627" s="148"/>
      <c r="T627" s="148"/>
      <c r="U627" s="148"/>
      <c r="V627" s="148"/>
      <c r="W627" s="148"/>
      <c r="X627" s="148"/>
      <c r="Y627" s="148"/>
      <c r="Z627" s="148"/>
      <c r="AA627" s="148"/>
      <c r="AB627" s="148"/>
      <c r="AC627" s="148"/>
    </row>
    <row r="628" spans="1:29">
      <c r="A628" s="149">
        <v>45965</v>
      </c>
      <c r="B628" s="147" t="s">
        <v>1229</v>
      </c>
      <c r="C628" s="147">
        <v>1</v>
      </c>
      <c r="D628" s="147">
        <v>1</v>
      </c>
      <c r="E628" s="147"/>
      <c r="F628" s="147"/>
      <c r="G628" s="147"/>
      <c r="H628" s="147"/>
      <c r="I628" s="147"/>
      <c r="J628" s="147"/>
      <c r="K628" s="147"/>
      <c r="L628" s="147"/>
      <c r="M628" s="147"/>
      <c r="N628" s="147"/>
      <c r="O628" s="147"/>
      <c r="P628" s="147"/>
      <c r="Q628" s="147">
        <v>31</v>
      </c>
      <c r="R628" s="148"/>
      <c r="S628" s="148"/>
      <c r="T628" s="148"/>
      <c r="U628" s="148"/>
      <c r="V628" s="148"/>
      <c r="W628" s="148"/>
      <c r="X628" s="148"/>
      <c r="Y628" s="148"/>
      <c r="Z628" s="148"/>
      <c r="AA628" s="148"/>
      <c r="AB628" s="148"/>
      <c r="AC628" s="148"/>
    </row>
    <row r="629" spans="1:29">
      <c r="A629" s="149">
        <v>45965</v>
      </c>
      <c r="B629" s="147" t="s">
        <v>243</v>
      </c>
      <c r="C629" s="147"/>
      <c r="D629" s="147"/>
      <c r="E629" s="147"/>
      <c r="F629" s="147"/>
      <c r="G629" s="147"/>
      <c r="H629" s="147"/>
      <c r="I629" s="147"/>
      <c r="J629" s="147"/>
      <c r="K629" s="147"/>
      <c r="L629" s="147"/>
      <c r="M629" s="147"/>
      <c r="N629" s="147"/>
      <c r="O629" s="147"/>
      <c r="P629" s="147"/>
      <c r="Q629" s="147">
        <v>32</v>
      </c>
      <c r="R629" s="148"/>
      <c r="S629" s="148"/>
      <c r="T629" s="148"/>
      <c r="U629" s="148"/>
      <c r="V629" s="148"/>
      <c r="W629" s="148"/>
      <c r="X629" s="148"/>
      <c r="Y629" s="148"/>
      <c r="Z629" s="148"/>
      <c r="AA629" s="148"/>
      <c r="AB629" s="148"/>
      <c r="AC629" s="148"/>
    </row>
    <row r="630" spans="1:29">
      <c r="A630" s="149">
        <v>45966</v>
      </c>
      <c r="B630" s="147" t="s">
        <v>115</v>
      </c>
      <c r="C630" s="147">
        <v>2</v>
      </c>
      <c r="D630" s="147">
        <v>1</v>
      </c>
      <c r="E630" s="147"/>
      <c r="F630" s="147"/>
      <c r="G630" s="147"/>
      <c r="H630" s="147"/>
      <c r="I630" s="147"/>
      <c r="J630" s="147">
        <v>1</v>
      </c>
      <c r="K630" s="147"/>
      <c r="L630" s="147"/>
      <c r="M630" s="147"/>
      <c r="N630" s="147"/>
      <c r="O630" s="147"/>
      <c r="P630" s="147"/>
      <c r="Q630" s="147">
        <v>25</v>
      </c>
      <c r="R630" s="148"/>
      <c r="S630" s="148"/>
      <c r="T630" s="148"/>
      <c r="U630" s="148"/>
      <c r="V630" s="148"/>
      <c r="W630" s="148"/>
      <c r="X630" s="148"/>
      <c r="Y630" s="148"/>
      <c r="Z630" s="148"/>
      <c r="AA630" s="148"/>
      <c r="AB630" s="148"/>
      <c r="AC630" s="148"/>
    </row>
    <row r="631" spans="1:29">
      <c r="A631" s="149">
        <v>45966</v>
      </c>
      <c r="B631" s="147" t="s">
        <v>61</v>
      </c>
      <c r="C631" s="147">
        <v>5</v>
      </c>
      <c r="D631" s="147">
        <v>1</v>
      </c>
      <c r="E631" s="147"/>
      <c r="F631" s="147"/>
      <c r="G631" s="147"/>
      <c r="H631" s="147">
        <v>1</v>
      </c>
      <c r="I631" s="147"/>
      <c r="J631" s="147">
        <v>1</v>
      </c>
      <c r="K631" s="147"/>
      <c r="L631" s="147"/>
      <c r="M631" s="147">
        <v>2</v>
      </c>
      <c r="N631" s="147"/>
      <c r="O631" s="147"/>
      <c r="P631" s="147"/>
      <c r="Q631" s="147">
        <v>19</v>
      </c>
      <c r="R631" s="148"/>
      <c r="S631" s="148"/>
      <c r="T631" s="148"/>
      <c r="U631" s="148"/>
      <c r="V631" s="148"/>
      <c r="W631" s="148"/>
      <c r="X631" s="148"/>
      <c r="Y631" s="148"/>
      <c r="Z631" s="148"/>
      <c r="AA631" s="148"/>
      <c r="AB631" s="148"/>
      <c r="AC631" s="148"/>
    </row>
    <row r="632" spans="1:29">
      <c r="A632" s="149">
        <v>45966</v>
      </c>
      <c r="B632" s="147" t="s">
        <v>1229</v>
      </c>
      <c r="C632" s="147">
        <v>2</v>
      </c>
      <c r="D632" s="147"/>
      <c r="E632" s="147">
        <v>2</v>
      </c>
      <c r="F632" s="147"/>
      <c r="G632" s="147"/>
      <c r="H632" s="147"/>
      <c r="I632" s="147"/>
      <c r="J632" s="147"/>
      <c r="K632" s="147"/>
      <c r="L632" s="147"/>
      <c r="M632" s="147"/>
      <c r="N632" s="147"/>
      <c r="O632" s="147"/>
      <c r="P632" s="147"/>
      <c r="Q632" s="147">
        <v>23</v>
      </c>
      <c r="R632" s="148"/>
      <c r="S632" s="148"/>
      <c r="T632" s="148"/>
      <c r="U632" s="148"/>
      <c r="V632" s="148"/>
      <c r="W632" s="148"/>
      <c r="X632" s="148"/>
      <c r="Y632" s="148"/>
      <c r="Z632" s="148"/>
      <c r="AA632" s="148"/>
      <c r="AB632" s="148"/>
      <c r="AC632" s="148"/>
    </row>
    <row r="633" spans="1:29">
      <c r="A633" s="149">
        <v>45966</v>
      </c>
      <c r="B633" s="147" t="s">
        <v>1774</v>
      </c>
      <c r="C633" s="147">
        <v>3</v>
      </c>
      <c r="D633" s="147">
        <v>2</v>
      </c>
      <c r="E633" s="147"/>
      <c r="F633" s="147"/>
      <c r="G633" s="147"/>
      <c r="H633" s="147"/>
      <c r="I633" s="147">
        <v>1</v>
      </c>
      <c r="J633" s="147"/>
      <c r="K633" s="147"/>
      <c r="L633" s="147"/>
      <c r="M633" s="147"/>
      <c r="N633" s="147"/>
      <c r="O633" s="147"/>
      <c r="P633" s="147"/>
      <c r="Q633" s="147">
        <v>3</v>
      </c>
      <c r="R633" s="148"/>
      <c r="S633" s="148"/>
      <c r="T633" s="148"/>
      <c r="U633" s="148"/>
      <c r="V633" s="148"/>
      <c r="W633" s="148"/>
      <c r="X633" s="148"/>
      <c r="Y633" s="148"/>
      <c r="Z633" s="148"/>
      <c r="AA633" s="148"/>
      <c r="AB633" s="148"/>
      <c r="AC633" s="148"/>
    </row>
    <row r="634" spans="1:29">
      <c r="A634" s="149">
        <v>45966</v>
      </c>
      <c r="B634" s="147" t="s">
        <v>243</v>
      </c>
      <c r="C634" s="147">
        <v>1</v>
      </c>
      <c r="D634" s="147">
        <v>1</v>
      </c>
      <c r="E634" s="147"/>
      <c r="F634" s="147"/>
      <c r="G634" s="147"/>
      <c r="H634" s="147"/>
      <c r="I634" s="147"/>
      <c r="J634" s="147"/>
      <c r="K634" s="147"/>
      <c r="L634" s="147"/>
      <c r="M634" s="147"/>
      <c r="N634" s="147"/>
      <c r="O634" s="147"/>
      <c r="P634" s="147"/>
      <c r="Q634" s="147">
        <v>4</v>
      </c>
      <c r="R634" s="148"/>
      <c r="S634" s="148"/>
      <c r="T634" s="148"/>
      <c r="U634" s="148"/>
      <c r="V634" s="148"/>
      <c r="W634" s="148"/>
      <c r="X634" s="148"/>
      <c r="Y634" s="148"/>
      <c r="Z634" s="148"/>
      <c r="AA634" s="148"/>
      <c r="AB634" s="148"/>
      <c r="AC634" s="148"/>
    </row>
    <row r="635" spans="1:29">
      <c r="A635" s="149">
        <v>45967</v>
      </c>
      <c r="B635" s="147" t="s">
        <v>61</v>
      </c>
      <c r="C635" s="147">
        <v>2</v>
      </c>
      <c r="D635" s="147">
        <v>1</v>
      </c>
      <c r="E635" s="147"/>
      <c r="F635" s="147"/>
      <c r="G635" s="147"/>
      <c r="H635" s="147"/>
      <c r="I635" s="147"/>
      <c r="J635" s="147">
        <v>1</v>
      </c>
      <c r="K635" s="147"/>
      <c r="L635" s="147"/>
      <c r="M635" s="147"/>
      <c r="N635" s="147"/>
      <c r="O635" s="147"/>
      <c r="P635" s="147"/>
      <c r="Q635" s="147">
        <v>45</v>
      </c>
      <c r="R635" s="148"/>
      <c r="S635" s="148"/>
      <c r="T635" s="148"/>
      <c r="U635" s="148"/>
      <c r="V635" s="148"/>
      <c r="W635" s="148"/>
      <c r="X635" s="148"/>
      <c r="Y635" s="148"/>
      <c r="Z635" s="148"/>
      <c r="AA635" s="148"/>
      <c r="AB635" s="148"/>
      <c r="AC635" s="148"/>
    </row>
    <row r="636" spans="1:29">
      <c r="A636" s="149">
        <v>45967</v>
      </c>
      <c r="B636" s="147" t="s">
        <v>61</v>
      </c>
      <c r="C636" s="147">
        <v>2</v>
      </c>
      <c r="D636" s="147">
        <v>1</v>
      </c>
      <c r="E636" s="147"/>
      <c r="F636" s="147"/>
      <c r="G636" s="147"/>
      <c r="H636" s="147"/>
      <c r="I636" s="147"/>
      <c r="J636" s="147">
        <v>1</v>
      </c>
      <c r="K636" s="147"/>
      <c r="L636" s="147"/>
      <c r="M636" s="147"/>
      <c r="N636" s="147"/>
      <c r="O636" s="147"/>
      <c r="P636" s="147"/>
      <c r="Q636" s="147">
        <v>45</v>
      </c>
      <c r="R636" s="148"/>
      <c r="S636" s="148"/>
      <c r="T636" s="148"/>
      <c r="U636" s="148"/>
      <c r="V636" s="148"/>
      <c r="W636" s="148"/>
      <c r="X636" s="148"/>
      <c r="Y636" s="148"/>
      <c r="Z636" s="148"/>
      <c r="AA636" s="148"/>
      <c r="AB636" s="148"/>
      <c r="AC636" s="148"/>
    </row>
    <row r="637" spans="1:29">
      <c r="A637" s="149">
        <v>45967</v>
      </c>
      <c r="B637" s="147" t="s">
        <v>1774</v>
      </c>
      <c r="C637" s="147">
        <v>3</v>
      </c>
      <c r="D637" s="147">
        <v>2</v>
      </c>
      <c r="E637" s="147"/>
      <c r="F637" s="147"/>
      <c r="G637" s="147"/>
      <c r="H637" s="147"/>
      <c r="I637" s="147"/>
      <c r="J637" s="147">
        <v>1</v>
      </c>
      <c r="K637" s="147"/>
      <c r="L637" s="147"/>
      <c r="M637" s="147"/>
      <c r="N637" s="147"/>
      <c r="O637" s="147"/>
      <c r="P637" s="147"/>
      <c r="Q637" s="147">
        <v>4</v>
      </c>
      <c r="R637" s="148"/>
      <c r="S637" s="148"/>
      <c r="T637" s="148"/>
      <c r="U637" s="148"/>
      <c r="V637" s="148"/>
      <c r="W637" s="148"/>
      <c r="X637" s="148"/>
      <c r="Y637" s="148"/>
      <c r="Z637" s="148"/>
      <c r="AA637" s="148"/>
      <c r="AB637" s="148"/>
      <c r="AC637" s="148"/>
    </row>
    <row r="638" spans="1:29">
      <c r="A638" s="149">
        <v>45967</v>
      </c>
      <c r="B638" s="147" t="s">
        <v>1774</v>
      </c>
      <c r="C638" s="147">
        <v>3</v>
      </c>
      <c r="D638" s="147">
        <v>2</v>
      </c>
      <c r="E638" s="147"/>
      <c r="F638" s="147"/>
      <c r="G638" s="147"/>
      <c r="H638" s="147"/>
      <c r="I638" s="147"/>
      <c r="J638" s="147">
        <v>1</v>
      </c>
      <c r="K638" s="147"/>
      <c r="L638" s="147"/>
      <c r="M638" s="147"/>
      <c r="N638" s="147"/>
      <c r="O638" s="147"/>
      <c r="P638" s="147"/>
      <c r="Q638" s="147">
        <v>4</v>
      </c>
      <c r="R638" s="148"/>
      <c r="S638" s="148"/>
      <c r="T638" s="148"/>
      <c r="U638" s="148"/>
      <c r="V638" s="148"/>
      <c r="W638" s="148"/>
      <c r="X638" s="148"/>
      <c r="Y638" s="148"/>
      <c r="Z638" s="148"/>
      <c r="AA638" s="148"/>
      <c r="AB638" s="148"/>
      <c r="AC638" s="148"/>
    </row>
    <row r="639" spans="1:29">
      <c r="A639" s="149">
        <v>45967</v>
      </c>
      <c r="B639" s="147" t="s">
        <v>115</v>
      </c>
      <c r="C639" s="147">
        <v>1</v>
      </c>
      <c r="D639" s="147">
        <v>1</v>
      </c>
      <c r="E639" s="147"/>
      <c r="F639" s="147"/>
      <c r="G639" s="147"/>
      <c r="H639" s="147"/>
      <c r="I639" s="147"/>
      <c r="J639" s="147"/>
      <c r="K639" s="147"/>
      <c r="L639" s="147"/>
      <c r="M639" s="147"/>
      <c r="N639" s="147"/>
      <c r="O639" s="147"/>
      <c r="P639" s="147"/>
      <c r="Q639" s="147">
        <v>36</v>
      </c>
      <c r="R639" s="148"/>
      <c r="S639" s="148"/>
      <c r="T639" s="148"/>
      <c r="U639" s="148"/>
      <c r="V639" s="148"/>
      <c r="W639" s="148"/>
      <c r="X639" s="148"/>
      <c r="Y639" s="148"/>
      <c r="Z639" s="148"/>
      <c r="AA639" s="148"/>
      <c r="AB639" s="148"/>
      <c r="AC639" s="148"/>
    </row>
    <row r="640" spans="1:29">
      <c r="A640" s="149">
        <v>45967</v>
      </c>
      <c r="B640" s="147" t="s">
        <v>115</v>
      </c>
      <c r="C640" s="147">
        <v>1</v>
      </c>
      <c r="D640" s="147">
        <v>1</v>
      </c>
      <c r="E640" s="147"/>
      <c r="F640" s="147"/>
      <c r="G640" s="147"/>
      <c r="H640" s="147"/>
      <c r="I640" s="147"/>
      <c r="J640" s="147"/>
      <c r="K640" s="147"/>
      <c r="L640" s="147"/>
      <c r="M640" s="147"/>
      <c r="N640" s="147"/>
      <c r="O640" s="147"/>
      <c r="P640" s="147"/>
      <c r="Q640" s="147">
        <v>36</v>
      </c>
      <c r="R640" s="148"/>
      <c r="S640" s="148"/>
      <c r="T640" s="148"/>
      <c r="U640" s="148"/>
      <c r="V640" s="148"/>
      <c r="W640" s="148"/>
      <c r="X640" s="148"/>
      <c r="Y640" s="148"/>
      <c r="Z640" s="148"/>
      <c r="AA640" s="148"/>
      <c r="AB640" s="148"/>
      <c r="AC640" s="148"/>
    </row>
    <row r="641" spans="1:29">
      <c r="A641" s="149">
        <v>45967</v>
      </c>
      <c r="B641" s="147" t="s">
        <v>243</v>
      </c>
      <c r="C641" s="147">
        <v>0</v>
      </c>
      <c r="D641" s="147"/>
      <c r="E641" s="147"/>
      <c r="F641" s="147"/>
      <c r="G641" s="147"/>
      <c r="H641" s="147"/>
      <c r="I641" s="147"/>
      <c r="J641" s="147"/>
      <c r="K641" s="147"/>
      <c r="L641" s="147"/>
      <c r="M641" s="147"/>
      <c r="N641" s="147"/>
      <c r="O641" s="147"/>
      <c r="P641" s="147"/>
      <c r="Q641" s="147">
        <v>0</v>
      </c>
      <c r="R641" s="148"/>
      <c r="S641" s="148"/>
      <c r="T641" s="148"/>
      <c r="U641" s="148"/>
      <c r="V641" s="148"/>
      <c r="W641" s="148"/>
      <c r="X641" s="148"/>
      <c r="Y641" s="148"/>
      <c r="Z641" s="148"/>
      <c r="AA641" s="148"/>
      <c r="AB641" s="148"/>
      <c r="AC641" s="148"/>
    </row>
    <row r="642" spans="1:29">
      <c r="A642" s="149"/>
      <c r="B642" s="147"/>
      <c r="C642" s="147"/>
      <c r="D642" s="147"/>
      <c r="E642" s="147"/>
      <c r="F642" s="147"/>
      <c r="G642" s="147"/>
      <c r="H642" s="147"/>
      <c r="I642" s="147"/>
      <c r="J642" s="147"/>
      <c r="K642" s="147"/>
      <c r="L642" s="147"/>
      <c r="M642" s="147"/>
      <c r="N642" s="147"/>
      <c r="O642" s="147"/>
      <c r="P642" s="147"/>
      <c r="Q642" s="147"/>
      <c r="R642" s="148"/>
      <c r="S642" s="148"/>
      <c r="T642" s="148"/>
      <c r="U642" s="148"/>
      <c r="V642" s="148"/>
      <c r="W642" s="148"/>
      <c r="X642" s="148"/>
      <c r="Y642" s="148"/>
      <c r="Z642" s="148"/>
      <c r="AA642" s="148"/>
      <c r="AB642" s="148"/>
      <c r="AC642" s="148"/>
    </row>
    <row r="643" spans="1:29">
      <c r="A643" s="149">
        <v>45967</v>
      </c>
      <c r="B643" s="147" t="s">
        <v>243</v>
      </c>
      <c r="C643" s="147">
        <v>0</v>
      </c>
      <c r="D643" s="147"/>
      <c r="E643" s="147"/>
      <c r="F643" s="147"/>
      <c r="G643" s="147"/>
      <c r="H643" s="147"/>
      <c r="I643" s="147"/>
      <c r="J643" s="147"/>
      <c r="K643" s="147"/>
      <c r="L643" s="147"/>
      <c r="M643" s="147"/>
      <c r="N643" s="147"/>
      <c r="O643" s="147"/>
      <c r="P643" s="147"/>
      <c r="Q643" s="147">
        <v>0</v>
      </c>
      <c r="R643" s="148"/>
      <c r="S643" s="148"/>
      <c r="T643" s="148"/>
      <c r="U643" s="148"/>
      <c r="V643" s="148"/>
      <c r="W643" s="148"/>
      <c r="X643" s="148"/>
      <c r="Y643" s="148"/>
      <c r="Z643" s="148"/>
      <c r="AA643" s="148"/>
      <c r="AB643" s="148"/>
      <c r="AC643" s="148"/>
    </row>
    <row r="644" spans="1:29">
      <c r="A644" s="149">
        <v>45967</v>
      </c>
      <c r="B644" s="147" t="s">
        <v>1229</v>
      </c>
      <c r="C644" s="147">
        <v>1</v>
      </c>
      <c r="D644" s="147"/>
      <c r="E644" s="147">
        <v>1</v>
      </c>
      <c r="F644" s="147"/>
      <c r="G644" s="147"/>
      <c r="H644" s="147"/>
      <c r="I644" s="147"/>
      <c r="J644" s="147"/>
      <c r="K644" s="147"/>
      <c r="L644" s="147"/>
      <c r="M644" s="147"/>
      <c r="N644" s="147"/>
      <c r="O644" s="147"/>
      <c r="P644" s="147"/>
      <c r="Q644" s="147">
        <v>36</v>
      </c>
      <c r="R644" s="148"/>
      <c r="S644" s="148"/>
      <c r="T644" s="148"/>
      <c r="U644" s="148"/>
      <c r="V644" s="148"/>
      <c r="W644" s="148"/>
      <c r="X644" s="148"/>
      <c r="Y644" s="148"/>
      <c r="Z644" s="148"/>
      <c r="AA644" s="148"/>
      <c r="AB644" s="148"/>
      <c r="AC644" s="148"/>
    </row>
    <row r="645" spans="1:29">
      <c r="A645" s="149">
        <v>45967</v>
      </c>
      <c r="B645" s="147" t="s">
        <v>1229</v>
      </c>
      <c r="C645" s="147">
        <v>1</v>
      </c>
      <c r="D645" s="147"/>
      <c r="E645" s="147">
        <v>1</v>
      </c>
      <c r="F645" s="147"/>
      <c r="G645" s="147"/>
      <c r="H645" s="147"/>
      <c r="I645" s="147"/>
      <c r="J645" s="147"/>
      <c r="K645" s="147"/>
      <c r="L645" s="147"/>
      <c r="M645" s="147"/>
      <c r="N645" s="147"/>
      <c r="O645" s="147"/>
      <c r="P645" s="147"/>
      <c r="Q645" s="147">
        <v>36</v>
      </c>
      <c r="R645" s="148"/>
      <c r="S645" s="148"/>
      <c r="T645" s="148"/>
      <c r="U645" s="148"/>
      <c r="V645" s="148"/>
      <c r="W645" s="148"/>
      <c r="X645" s="148"/>
      <c r="Y645" s="148"/>
      <c r="Z645" s="148"/>
      <c r="AA645" s="148"/>
      <c r="AB645" s="148"/>
      <c r="AC645" s="148"/>
    </row>
    <row r="646" spans="1:29">
      <c r="A646" s="149">
        <v>45968</v>
      </c>
      <c r="B646" s="147" t="s">
        <v>61</v>
      </c>
      <c r="C646" s="147">
        <v>4</v>
      </c>
      <c r="D646" s="147">
        <v>2</v>
      </c>
      <c r="E646" s="147"/>
      <c r="F646" s="147"/>
      <c r="G646" s="147"/>
      <c r="H646" s="147"/>
      <c r="I646" s="147"/>
      <c r="J646" s="147">
        <v>1</v>
      </c>
      <c r="K646" s="147"/>
      <c r="L646" s="147"/>
      <c r="M646" s="147">
        <v>1</v>
      </c>
      <c r="N646" s="147"/>
      <c r="O646" s="147"/>
      <c r="P646" s="147"/>
      <c r="Q646" s="147">
        <v>10</v>
      </c>
      <c r="R646" s="148"/>
      <c r="S646" s="148"/>
      <c r="T646" s="148"/>
      <c r="U646" s="148"/>
      <c r="V646" s="148"/>
      <c r="W646" s="148"/>
      <c r="X646" s="148"/>
      <c r="Y646" s="148"/>
      <c r="Z646" s="148"/>
      <c r="AA646" s="148"/>
      <c r="AB646" s="148"/>
      <c r="AC646" s="148"/>
    </row>
    <row r="647" spans="1:29">
      <c r="A647" s="149">
        <v>45968</v>
      </c>
      <c r="B647" s="147" t="s">
        <v>61</v>
      </c>
      <c r="C647" s="147">
        <v>4</v>
      </c>
      <c r="D647" s="147">
        <v>2</v>
      </c>
      <c r="E647" s="147"/>
      <c r="F647" s="147"/>
      <c r="G647" s="147"/>
      <c r="H647" s="147"/>
      <c r="I647" s="147"/>
      <c r="J647" s="147">
        <v>1</v>
      </c>
      <c r="K647" s="147"/>
      <c r="L647" s="147"/>
      <c r="M647" s="147">
        <v>1</v>
      </c>
      <c r="N647" s="147"/>
      <c r="O647" s="147"/>
      <c r="P647" s="147"/>
      <c r="Q647" s="147">
        <v>10</v>
      </c>
      <c r="R647" s="148"/>
      <c r="S647" s="148"/>
      <c r="T647" s="148"/>
      <c r="U647" s="148"/>
      <c r="V647" s="148"/>
      <c r="W647" s="148"/>
      <c r="X647" s="148"/>
      <c r="Y647" s="148"/>
      <c r="Z647" s="148"/>
      <c r="AA647" s="148"/>
      <c r="AB647" s="148"/>
      <c r="AC647" s="148"/>
    </row>
    <row r="648" spans="1:29">
      <c r="A648" s="149">
        <v>45968</v>
      </c>
      <c r="B648" s="147" t="s">
        <v>1229</v>
      </c>
      <c r="C648" s="147">
        <v>2</v>
      </c>
      <c r="D648" s="147">
        <v>2</v>
      </c>
      <c r="E648" s="147"/>
      <c r="F648" s="147"/>
      <c r="G648" s="147"/>
      <c r="H648" s="147"/>
      <c r="I648" s="147"/>
      <c r="J648" s="147"/>
      <c r="K648" s="147"/>
      <c r="L648" s="147"/>
      <c r="M648" s="147"/>
      <c r="N648" s="147"/>
      <c r="O648" s="147"/>
      <c r="P648" s="147"/>
      <c r="Q648" s="147">
        <v>12</v>
      </c>
      <c r="R648" s="148"/>
      <c r="S648" s="148"/>
      <c r="T648" s="148"/>
      <c r="U648" s="148"/>
      <c r="V648" s="148"/>
      <c r="W648" s="148"/>
      <c r="X648" s="148"/>
      <c r="Y648" s="148"/>
      <c r="Z648" s="148"/>
      <c r="AA648" s="148"/>
      <c r="AB648" s="148"/>
      <c r="AC648" s="148"/>
    </row>
    <row r="649" spans="1:29">
      <c r="A649" s="149">
        <v>45968</v>
      </c>
      <c r="B649" s="147" t="s">
        <v>1229</v>
      </c>
      <c r="C649" s="147">
        <v>2</v>
      </c>
      <c r="D649" s="147">
        <v>2</v>
      </c>
      <c r="E649" s="147"/>
      <c r="F649" s="147"/>
      <c r="G649" s="147"/>
      <c r="H649" s="147"/>
      <c r="I649" s="147"/>
      <c r="J649" s="147"/>
      <c r="K649" s="147"/>
      <c r="L649" s="147"/>
      <c r="M649" s="147"/>
      <c r="N649" s="147"/>
      <c r="O649" s="147"/>
      <c r="P649" s="147"/>
      <c r="Q649" s="147">
        <v>12</v>
      </c>
      <c r="R649" s="148"/>
      <c r="S649" s="148"/>
      <c r="T649" s="148"/>
      <c r="U649" s="148"/>
      <c r="V649" s="148"/>
      <c r="W649" s="148"/>
      <c r="X649" s="148"/>
      <c r="Y649" s="148"/>
      <c r="Z649" s="148"/>
      <c r="AA649" s="148"/>
      <c r="AB649" s="148"/>
      <c r="AC649" s="148"/>
    </row>
    <row r="650" spans="1:29">
      <c r="A650" s="149">
        <v>45968</v>
      </c>
      <c r="B650" s="147" t="s">
        <v>1774</v>
      </c>
      <c r="C650" s="147">
        <v>4</v>
      </c>
      <c r="D650" s="147">
        <v>2</v>
      </c>
      <c r="E650" s="147"/>
      <c r="F650" s="147"/>
      <c r="G650" s="147"/>
      <c r="H650" s="147"/>
      <c r="I650" s="147">
        <v>1</v>
      </c>
      <c r="J650" s="147">
        <v>1</v>
      </c>
      <c r="K650" s="147"/>
      <c r="L650" s="147"/>
      <c r="M650" s="147"/>
      <c r="N650" s="147"/>
      <c r="O650" s="147"/>
      <c r="P650" s="147"/>
      <c r="Q650" s="147">
        <v>4</v>
      </c>
      <c r="R650" s="148"/>
      <c r="S650" s="148"/>
      <c r="T650" s="148"/>
      <c r="U650" s="148"/>
      <c r="V650" s="148"/>
      <c r="W650" s="148"/>
      <c r="X650" s="148"/>
      <c r="Y650" s="148"/>
      <c r="Z650" s="148"/>
      <c r="AA650" s="148"/>
      <c r="AB650" s="148"/>
      <c r="AC650" s="148"/>
    </row>
    <row r="651" spans="1:29">
      <c r="A651" s="149">
        <v>45968</v>
      </c>
      <c r="B651" s="147" t="s">
        <v>1774</v>
      </c>
      <c r="C651" s="147">
        <v>4</v>
      </c>
      <c r="D651" s="147">
        <v>2</v>
      </c>
      <c r="E651" s="147"/>
      <c r="F651" s="147"/>
      <c r="G651" s="147"/>
      <c r="H651" s="147"/>
      <c r="I651" s="147">
        <v>1</v>
      </c>
      <c r="J651" s="147">
        <v>1</v>
      </c>
      <c r="K651" s="147"/>
      <c r="L651" s="147"/>
      <c r="M651" s="147"/>
      <c r="N651" s="147"/>
      <c r="O651" s="147"/>
      <c r="P651" s="147"/>
      <c r="Q651" s="147">
        <v>4</v>
      </c>
      <c r="R651" s="148"/>
      <c r="S651" s="148"/>
      <c r="T651" s="148"/>
      <c r="U651" s="148"/>
      <c r="V651" s="148"/>
      <c r="W651" s="148"/>
      <c r="X651" s="148"/>
      <c r="Y651" s="148"/>
      <c r="Z651" s="148"/>
      <c r="AA651" s="148"/>
      <c r="AB651" s="148"/>
      <c r="AC651" s="148"/>
    </row>
    <row r="652" spans="1:29">
      <c r="A652" s="149">
        <v>45968</v>
      </c>
      <c r="B652" s="147" t="s">
        <v>115</v>
      </c>
      <c r="C652" s="147">
        <v>3</v>
      </c>
      <c r="D652" s="147">
        <v>2</v>
      </c>
      <c r="E652" s="147"/>
      <c r="F652" s="147"/>
      <c r="G652" s="147"/>
      <c r="H652" s="147"/>
      <c r="I652" s="147"/>
      <c r="J652" s="147">
        <v>1</v>
      </c>
      <c r="K652" s="147"/>
      <c r="L652" s="147"/>
      <c r="M652" s="147"/>
      <c r="N652" s="147"/>
      <c r="O652" s="147"/>
      <c r="P652" s="147"/>
      <c r="Q652" s="147">
        <v>4</v>
      </c>
      <c r="R652" s="148"/>
      <c r="S652" s="148"/>
      <c r="T652" s="148"/>
      <c r="U652" s="148"/>
      <c r="V652" s="148"/>
      <c r="W652" s="148"/>
      <c r="X652" s="148"/>
      <c r="Y652" s="148"/>
      <c r="Z652" s="148"/>
      <c r="AA652" s="148"/>
      <c r="AB652" s="148"/>
      <c r="AC652" s="148"/>
    </row>
    <row r="653" spans="1:29">
      <c r="A653" s="149">
        <v>45968</v>
      </c>
      <c r="B653" s="147" t="s">
        <v>115</v>
      </c>
      <c r="C653" s="147">
        <v>3</v>
      </c>
      <c r="D653" s="147">
        <v>2</v>
      </c>
      <c r="E653" s="147"/>
      <c r="F653" s="147"/>
      <c r="G653" s="147"/>
      <c r="H653" s="147"/>
      <c r="I653" s="147"/>
      <c r="J653" s="147">
        <v>1</v>
      </c>
      <c r="K653" s="147"/>
      <c r="L653" s="147"/>
      <c r="M653" s="147"/>
      <c r="N653" s="147"/>
      <c r="O653" s="147"/>
      <c r="P653" s="147"/>
      <c r="Q653" s="147">
        <v>4</v>
      </c>
      <c r="R653" s="148"/>
      <c r="S653" s="148"/>
      <c r="T653" s="148"/>
      <c r="U653" s="148"/>
      <c r="V653" s="148"/>
      <c r="W653" s="148"/>
      <c r="X653" s="148"/>
      <c r="Y653" s="148"/>
      <c r="Z653" s="148"/>
      <c r="AA653" s="148"/>
      <c r="AB653" s="148"/>
      <c r="AC653" s="148"/>
    </row>
    <row r="654" spans="1:29">
      <c r="A654" s="149">
        <v>45968</v>
      </c>
      <c r="B654" s="147" t="s">
        <v>243</v>
      </c>
      <c r="C654" s="147">
        <v>2</v>
      </c>
      <c r="D654" s="147">
        <v>2</v>
      </c>
      <c r="E654" s="147"/>
      <c r="F654" s="147"/>
      <c r="G654" s="147"/>
      <c r="H654" s="147"/>
      <c r="I654" s="147"/>
      <c r="J654" s="147"/>
      <c r="K654" s="147"/>
      <c r="L654" s="147"/>
      <c r="M654" s="147"/>
      <c r="N654" s="147"/>
      <c r="O654" s="147"/>
      <c r="P654" s="147"/>
      <c r="Q654" s="147"/>
      <c r="R654" s="148"/>
      <c r="S654" s="148"/>
      <c r="T654" s="148"/>
      <c r="U654" s="148"/>
      <c r="V654" s="148"/>
      <c r="W654" s="148"/>
      <c r="X654" s="148"/>
      <c r="Y654" s="148"/>
      <c r="Z654" s="148"/>
      <c r="AA654" s="148"/>
      <c r="AB654" s="148"/>
      <c r="AC654" s="148"/>
    </row>
    <row r="655" spans="1:29">
      <c r="A655" s="149">
        <v>45968</v>
      </c>
      <c r="B655" s="147" t="s">
        <v>243</v>
      </c>
      <c r="C655" s="147">
        <v>2</v>
      </c>
      <c r="D655" s="147">
        <v>2</v>
      </c>
      <c r="E655" s="147"/>
      <c r="F655" s="147"/>
      <c r="G655" s="147"/>
      <c r="H655" s="147"/>
      <c r="I655" s="147"/>
      <c r="J655" s="147"/>
      <c r="K655" s="147"/>
      <c r="L655" s="147"/>
      <c r="M655" s="147"/>
      <c r="N655" s="147"/>
      <c r="O655" s="147"/>
      <c r="P655" s="147"/>
      <c r="Q655" s="147"/>
      <c r="R655" s="148"/>
      <c r="S655" s="148"/>
      <c r="T655" s="148"/>
      <c r="U655" s="148"/>
      <c r="V655" s="148"/>
      <c r="W655" s="148"/>
      <c r="X655" s="148"/>
      <c r="Y655" s="148"/>
      <c r="Z655" s="148"/>
      <c r="AA655" s="148"/>
      <c r="AB655" s="148"/>
      <c r="AC655" s="148"/>
    </row>
    <row r="656" spans="1:29">
      <c r="A656" s="149">
        <v>45969</v>
      </c>
      <c r="B656" s="147" t="s">
        <v>1229</v>
      </c>
      <c r="C656" s="147">
        <v>3</v>
      </c>
      <c r="D656" s="147">
        <v>1</v>
      </c>
      <c r="E656" s="147"/>
      <c r="F656" s="147"/>
      <c r="G656" s="147"/>
      <c r="H656" s="147"/>
      <c r="I656" s="147">
        <v>1</v>
      </c>
      <c r="J656" s="147"/>
      <c r="K656" s="147"/>
      <c r="L656" s="147">
        <v>1</v>
      </c>
      <c r="M656" s="147"/>
      <c r="N656" s="147"/>
      <c r="O656" s="147"/>
      <c r="P656" s="147"/>
      <c r="Q656" s="147">
        <v>16</v>
      </c>
      <c r="R656" s="148"/>
      <c r="S656" s="148"/>
      <c r="T656" s="148"/>
      <c r="U656" s="148"/>
      <c r="V656" s="148"/>
      <c r="W656" s="148"/>
      <c r="X656" s="148"/>
      <c r="Y656" s="148"/>
      <c r="Z656" s="148"/>
      <c r="AA656" s="148"/>
      <c r="AB656" s="148"/>
      <c r="AC656" s="148"/>
    </row>
    <row r="657" spans="1:29">
      <c r="A657" s="149">
        <v>45969</v>
      </c>
      <c r="B657" s="147" t="s">
        <v>1229</v>
      </c>
      <c r="C657" s="147">
        <v>3</v>
      </c>
      <c r="D657" s="147">
        <v>1</v>
      </c>
      <c r="E657" s="147"/>
      <c r="F657" s="147"/>
      <c r="G657" s="147"/>
      <c r="H657" s="147"/>
      <c r="I657" s="147">
        <v>1</v>
      </c>
      <c r="J657" s="147"/>
      <c r="K657" s="147"/>
      <c r="L657" s="147">
        <v>1</v>
      </c>
      <c r="M657" s="147"/>
      <c r="N657" s="147"/>
      <c r="O657" s="147"/>
      <c r="P657" s="147"/>
      <c r="Q657" s="147">
        <v>16</v>
      </c>
      <c r="R657" s="148"/>
      <c r="S657" s="148"/>
      <c r="T657" s="148"/>
      <c r="U657" s="148"/>
      <c r="V657" s="148"/>
      <c r="W657" s="148"/>
      <c r="X657" s="148"/>
      <c r="Y657" s="148"/>
      <c r="Z657" s="148"/>
      <c r="AA657" s="148"/>
      <c r="AB657" s="148"/>
      <c r="AC657" s="148"/>
    </row>
    <row r="658" spans="1:29">
      <c r="A658" s="149">
        <v>45969</v>
      </c>
      <c r="B658" s="147" t="s">
        <v>1774</v>
      </c>
      <c r="C658" s="147">
        <v>3</v>
      </c>
      <c r="D658" s="147">
        <v>2</v>
      </c>
      <c r="E658" s="147"/>
      <c r="F658" s="147">
        <v>1</v>
      </c>
      <c r="G658" s="147"/>
      <c r="H658" s="147"/>
      <c r="I658" s="147"/>
      <c r="J658" s="147"/>
      <c r="K658" s="147"/>
      <c r="L658" s="147"/>
      <c r="M658" s="147"/>
      <c r="N658" s="147"/>
      <c r="O658" s="147"/>
      <c r="P658" s="147"/>
      <c r="Q658" s="147">
        <v>13</v>
      </c>
      <c r="R658" s="148"/>
      <c r="S658" s="148"/>
      <c r="T658" s="148"/>
      <c r="U658" s="148"/>
      <c r="V658" s="148"/>
      <c r="W658" s="148"/>
      <c r="X658" s="148"/>
      <c r="Y658" s="148"/>
      <c r="Z658" s="148"/>
      <c r="AA658" s="148"/>
      <c r="AB658" s="148"/>
      <c r="AC658" s="148"/>
    </row>
    <row r="659" spans="1:29">
      <c r="A659" s="149">
        <v>45969</v>
      </c>
      <c r="B659" s="147" t="s">
        <v>1774</v>
      </c>
      <c r="C659" s="147">
        <v>3</v>
      </c>
      <c r="D659" s="147">
        <v>2</v>
      </c>
      <c r="E659" s="147"/>
      <c r="F659" s="147">
        <v>1</v>
      </c>
      <c r="G659" s="147"/>
      <c r="H659" s="147"/>
      <c r="I659" s="147"/>
      <c r="J659" s="147"/>
      <c r="K659" s="147"/>
      <c r="L659" s="147"/>
      <c r="M659" s="147"/>
      <c r="N659" s="147"/>
      <c r="O659" s="147"/>
      <c r="P659" s="147"/>
      <c r="Q659" s="147">
        <v>13</v>
      </c>
      <c r="R659" s="148"/>
      <c r="S659" s="148"/>
      <c r="T659" s="148"/>
      <c r="U659" s="148"/>
      <c r="V659" s="148"/>
      <c r="W659" s="148"/>
      <c r="X659" s="148"/>
      <c r="Y659" s="148"/>
      <c r="Z659" s="148"/>
      <c r="AA659" s="148"/>
      <c r="AB659" s="148"/>
      <c r="AC659" s="148"/>
    </row>
    <row r="660" spans="1:29">
      <c r="A660" s="149">
        <v>45969</v>
      </c>
      <c r="B660" s="147" t="s">
        <v>115</v>
      </c>
      <c r="C660" s="147">
        <v>1</v>
      </c>
      <c r="D660" s="147"/>
      <c r="E660" s="147"/>
      <c r="F660" s="147"/>
      <c r="G660" s="147"/>
      <c r="H660" s="147"/>
      <c r="I660" s="147">
        <v>1</v>
      </c>
      <c r="J660" s="147"/>
      <c r="K660" s="147"/>
      <c r="L660" s="147"/>
      <c r="M660" s="147"/>
      <c r="N660" s="147"/>
      <c r="O660" s="147"/>
      <c r="P660" s="147"/>
      <c r="Q660" s="147">
        <v>11</v>
      </c>
      <c r="R660" s="148"/>
      <c r="S660" s="148"/>
      <c r="T660" s="148"/>
      <c r="U660" s="148"/>
      <c r="V660" s="148"/>
      <c r="W660" s="148"/>
      <c r="X660" s="148"/>
      <c r="Y660" s="148"/>
      <c r="Z660" s="148"/>
      <c r="AA660" s="148"/>
      <c r="AB660" s="148"/>
      <c r="AC660" s="148"/>
    </row>
    <row r="661" spans="1:29">
      <c r="A661" s="149">
        <v>45969</v>
      </c>
      <c r="B661" s="147" t="s">
        <v>115</v>
      </c>
      <c r="C661" s="147">
        <v>1</v>
      </c>
      <c r="D661" s="147"/>
      <c r="E661" s="147"/>
      <c r="F661" s="147"/>
      <c r="G661" s="147"/>
      <c r="H661" s="147"/>
      <c r="I661" s="147">
        <v>1</v>
      </c>
      <c r="J661" s="147"/>
      <c r="K661" s="147"/>
      <c r="L661" s="147"/>
      <c r="M661" s="147"/>
      <c r="N661" s="147"/>
      <c r="O661" s="147"/>
      <c r="P661" s="147"/>
      <c r="Q661" s="147">
        <v>11</v>
      </c>
      <c r="R661" s="148"/>
      <c r="S661" s="148"/>
      <c r="T661" s="148"/>
      <c r="U661" s="148"/>
      <c r="V661" s="148"/>
      <c r="W661" s="148"/>
      <c r="X661" s="148"/>
      <c r="Y661" s="148"/>
      <c r="Z661" s="148"/>
      <c r="AA661" s="148"/>
      <c r="AB661" s="148"/>
      <c r="AC661" s="148"/>
    </row>
    <row r="662" spans="1:29">
      <c r="A662" s="149">
        <v>45969</v>
      </c>
      <c r="B662" s="147" t="s">
        <v>61</v>
      </c>
      <c r="C662" s="147">
        <v>6</v>
      </c>
      <c r="D662" s="147">
        <v>3</v>
      </c>
      <c r="E662" s="147"/>
      <c r="F662" s="147"/>
      <c r="G662" s="147"/>
      <c r="H662" s="147"/>
      <c r="I662" s="147">
        <v>1</v>
      </c>
      <c r="J662" s="147">
        <v>2</v>
      </c>
      <c r="K662" s="147"/>
      <c r="L662" s="147"/>
      <c r="M662" s="147"/>
      <c r="N662" s="147"/>
      <c r="O662" s="147"/>
      <c r="P662" s="147"/>
      <c r="Q662" s="147">
        <v>28</v>
      </c>
      <c r="R662" s="148"/>
      <c r="S662" s="148"/>
      <c r="T662" s="148"/>
      <c r="U662" s="148"/>
      <c r="V662" s="148"/>
      <c r="W662" s="148"/>
      <c r="X662" s="148"/>
      <c r="Y662" s="148"/>
      <c r="Z662" s="148"/>
      <c r="AA662" s="148"/>
      <c r="AB662" s="148"/>
      <c r="AC662" s="148"/>
    </row>
    <row r="663" spans="1:29">
      <c r="A663" s="149">
        <v>45969</v>
      </c>
      <c r="B663" s="147" t="s">
        <v>61</v>
      </c>
      <c r="C663" s="147">
        <v>6</v>
      </c>
      <c r="D663" s="147">
        <v>3</v>
      </c>
      <c r="E663" s="147"/>
      <c r="F663" s="147"/>
      <c r="G663" s="147"/>
      <c r="H663" s="147"/>
      <c r="I663" s="147">
        <v>1</v>
      </c>
      <c r="J663" s="147">
        <v>2</v>
      </c>
      <c r="K663" s="147"/>
      <c r="L663" s="147"/>
      <c r="M663" s="147"/>
      <c r="N663" s="147"/>
      <c r="O663" s="147"/>
      <c r="P663" s="147"/>
      <c r="Q663" s="147">
        <v>28</v>
      </c>
      <c r="R663" s="148"/>
      <c r="S663" s="148"/>
      <c r="T663" s="148"/>
      <c r="U663" s="148"/>
      <c r="V663" s="148"/>
      <c r="W663" s="148"/>
      <c r="X663" s="148"/>
      <c r="Y663" s="148"/>
      <c r="Z663" s="148"/>
      <c r="AA663" s="148"/>
      <c r="AB663" s="148"/>
      <c r="AC663" s="148"/>
    </row>
    <row r="664" spans="1:29">
      <c r="A664" s="149">
        <v>45969</v>
      </c>
      <c r="B664" s="147" t="s">
        <v>243</v>
      </c>
      <c r="C664" s="147"/>
      <c r="D664" s="147"/>
      <c r="E664" s="147"/>
      <c r="F664" s="147"/>
      <c r="G664" s="147"/>
      <c r="H664" s="147"/>
      <c r="I664" s="147"/>
      <c r="J664" s="147"/>
      <c r="K664" s="147"/>
      <c r="L664" s="147"/>
      <c r="M664" s="147"/>
      <c r="N664" s="147"/>
      <c r="O664" s="147"/>
      <c r="P664" s="147"/>
      <c r="Q664" s="147">
        <v>11</v>
      </c>
      <c r="R664" s="148"/>
      <c r="S664" s="148"/>
      <c r="T664" s="148"/>
      <c r="U664" s="148"/>
      <c r="V664" s="148"/>
      <c r="W664" s="148"/>
      <c r="X664" s="148"/>
      <c r="Y664" s="148"/>
      <c r="Z664" s="148"/>
      <c r="AA664" s="148"/>
      <c r="AB664" s="148"/>
      <c r="AC664" s="148"/>
    </row>
    <row r="665" spans="1:29">
      <c r="A665" s="149">
        <v>45969</v>
      </c>
      <c r="B665" s="147" t="s">
        <v>243</v>
      </c>
      <c r="C665" s="147"/>
      <c r="D665" s="147"/>
      <c r="E665" s="147"/>
      <c r="F665" s="147"/>
      <c r="G665" s="147"/>
      <c r="H665" s="147"/>
      <c r="I665" s="147"/>
      <c r="J665" s="147"/>
      <c r="K665" s="147"/>
      <c r="L665" s="147"/>
      <c r="M665" s="147"/>
      <c r="N665" s="147"/>
      <c r="O665" s="147"/>
      <c r="P665" s="147"/>
      <c r="Q665" s="147">
        <v>11</v>
      </c>
      <c r="R665" s="148"/>
      <c r="S665" s="148"/>
      <c r="T665" s="148"/>
      <c r="U665" s="148"/>
      <c r="V665" s="148"/>
      <c r="W665" s="148"/>
      <c r="X665" s="148"/>
      <c r="Y665" s="148"/>
      <c r="Z665" s="148"/>
      <c r="AA665" s="148"/>
      <c r="AB665" s="148"/>
      <c r="AC665" s="148"/>
    </row>
    <row r="666" spans="1:29">
      <c r="A666" s="149">
        <v>45970</v>
      </c>
      <c r="B666" s="147" t="s">
        <v>61</v>
      </c>
      <c r="C666" s="147">
        <v>5</v>
      </c>
      <c r="D666" s="147"/>
      <c r="E666" s="147">
        <v>1</v>
      </c>
      <c r="F666" s="147"/>
      <c r="G666" s="147"/>
      <c r="H666" s="147"/>
      <c r="I666" s="147"/>
      <c r="J666" s="147">
        <v>2</v>
      </c>
      <c r="K666" s="147">
        <v>2</v>
      </c>
      <c r="L666" s="147"/>
      <c r="M666" s="147"/>
      <c r="N666" s="147"/>
      <c r="O666" s="147"/>
      <c r="P666" s="147"/>
      <c r="Q666" s="147"/>
      <c r="R666" s="148"/>
      <c r="S666" s="148"/>
      <c r="T666" s="148"/>
      <c r="U666" s="148"/>
      <c r="V666" s="148"/>
      <c r="W666" s="148"/>
      <c r="X666" s="148"/>
      <c r="Y666" s="148"/>
      <c r="Z666" s="148"/>
      <c r="AA666" s="148"/>
      <c r="AB666" s="148"/>
      <c r="AC666" s="148"/>
    </row>
    <row r="667" spans="1:29">
      <c r="A667" s="149">
        <v>45970</v>
      </c>
      <c r="B667" s="147" t="s">
        <v>61</v>
      </c>
      <c r="C667" s="147">
        <v>5</v>
      </c>
      <c r="D667" s="147"/>
      <c r="E667" s="147">
        <v>1</v>
      </c>
      <c r="F667" s="147"/>
      <c r="G667" s="147"/>
      <c r="H667" s="147"/>
      <c r="I667" s="147"/>
      <c r="J667" s="147">
        <v>2</v>
      </c>
      <c r="K667" s="147">
        <v>2</v>
      </c>
      <c r="L667" s="147"/>
      <c r="M667" s="147"/>
      <c r="N667" s="147"/>
      <c r="O667" s="147"/>
      <c r="P667" s="147"/>
      <c r="Q667" s="147"/>
      <c r="R667" s="148"/>
      <c r="S667" s="148"/>
      <c r="T667" s="148"/>
      <c r="U667" s="148"/>
      <c r="V667" s="148"/>
      <c r="W667" s="148"/>
      <c r="X667" s="148"/>
      <c r="Y667" s="148"/>
      <c r="Z667" s="148"/>
      <c r="AA667" s="148"/>
      <c r="AB667" s="148"/>
      <c r="AC667" s="148"/>
    </row>
    <row r="668" spans="1:29">
      <c r="A668" s="149">
        <v>45970</v>
      </c>
      <c r="B668" s="147" t="s">
        <v>1774</v>
      </c>
      <c r="C668" s="147"/>
      <c r="D668" s="147"/>
      <c r="E668" s="147"/>
      <c r="F668" s="147"/>
      <c r="G668" s="147"/>
      <c r="H668" s="147"/>
      <c r="I668" s="147"/>
      <c r="J668" s="147"/>
      <c r="K668" s="147"/>
      <c r="L668" s="147"/>
      <c r="M668" s="147"/>
      <c r="N668" s="147"/>
      <c r="O668" s="147"/>
      <c r="P668" s="147"/>
      <c r="Q668" s="147"/>
      <c r="R668" s="148"/>
      <c r="S668" s="148"/>
      <c r="T668" s="148"/>
      <c r="U668" s="148"/>
      <c r="V668" s="148"/>
      <c r="W668" s="148"/>
      <c r="X668" s="148"/>
      <c r="Y668" s="148"/>
      <c r="Z668" s="148"/>
      <c r="AA668" s="148"/>
      <c r="AB668" s="148"/>
      <c r="AC668" s="148"/>
    </row>
    <row r="669" spans="1:29">
      <c r="A669" s="149">
        <v>45970</v>
      </c>
      <c r="B669" s="147" t="s">
        <v>1774</v>
      </c>
      <c r="C669" s="147"/>
      <c r="D669" s="147"/>
      <c r="E669" s="147"/>
      <c r="F669" s="147"/>
      <c r="G669" s="147"/>
      <c r="H669" s="147"/>
      <c r="I669" s="147"/>
      <c r="J669" s="147"/>
      <c r="K669" s="147"/>
      <c r="L669" s="147"/>
      <c r="M669" s="147"/>
      <c r="N669" s="147"/>
      <c r="O669" s="147"/>
      <c r="P669" s="147"/>
      <c r="Q669" s="147"/>
      <c r="R669" s="148"/>
      <c r="S669" s="148"/>
      <c r="T669" s="148"/>
      <c r="U669" s="148"/>
      <c r="V669" s="148"/>
      <c r="W669" s="148"/>
      <c r="X669" s="148"/>
      <c r="Y669" s="148"/>
      <c r="Z669" s="148"/>
      <c r="AA669" s="148"/>
      <c r="AB669" s="148"/>
      <c r="AC669" s="148"/>
    </row>
    <row r="670" spans="1:29">
      <c r="A670" s="149">
        <v>45970</v>
      </c>
      <c r="B670" s="147" t="s">
        <v>115</v>
      </c>
      <c r="C670" s="147"/>
      <c r="D670" s="147"/>
      <c r="E670" s="147"/>
      <c r="F670" s="147"/>
      <c r="G670" s="147"/>
      <c r="H670" s="147"/>
      <c r="I670" s="147"/>
      <c r="J670" s="147"/>
      <c r="K670" s="147"/>
      <c r="L670" s="147"/>
      <c r="M670" s="147"/>
      <c r="N670" s="147"/>
      <c r="O670" s="147"/>
      <c r="P670" s="147"/>
      <c r="Q670" s="147"/>
      <c r="R670" s="148"/>
      <c r="S670" s="148"/>
      <c r="T670" s="148"/>
      <c r="U670" s="148"/>
      <c r="V670" s="148"/>
      <c r="W670" s="148"/>
      <c r="X670" s="148"/>
      <c r="Y670" s="148"/>
      <c r="Z670" s="148"/>
      <c r="AA670" s="148"/>
      <c r="AB670" s="148"/>
      <c r="AC670" s="148"/>
    </row>
    <row r="671" spans="1:29">
      <c r="A671" s="149">
        <v>45970</v>
      </c>
      <c r="B671" s="147" t="s">
        <v>115</v>
      </c>
      <c r="C671" s="147"/>
      <c r="D671" s="147"/>
      <c r="E671" s="147"/>
      <c r="F671" s="147"/>
      <c r="G671" s="147"/>
      <c r="H671" s="147"/>
      <c r="I671" s="147"/>
      <c r="J671" s="147"/>
      <c r="K671" s="147"/>
      <c r="L671" s="147"/>
      <c r="M671" s="147"/>
      <c r="N671" s="147"/>
      <c r="O671" s="147"/>
      <c r="P671" s="147"/>
      <c r="Q671" s="147"/>
      <c r="R671" s="148"/>
      <c r="S671" s="148"/>
      <c r="T671" s="148"/>
      <c r="U671" s="148"/>
      <c r="V671" s="148"/>
      <c r="W671" s="148"/>
      <c r="X671" s="148"/>
      <c r="Y671" s="148"/>
      <c r="Z671" s="148"/>
      <c r="AA671" s="148"/>
      <c r="AB671" s="148"/>
      <c r="AC671" s="148"/>
    </row>
    <row r="672" spans="1:29">
      <c r="A672" s="149">
        <v>45970</v>
      </c>
      <c r="B672" s="147" t="s">
        <v>243</v>
      </c>
      <c r="C672" s="147"/>
      <c r="D672" s="147"/>
      <c r="E672" s="147"/>
      <c r="F672" s="147"/>
      <c r="G672" s="147"/>
      <c r="H672" s="147"/>
      <c r="I672" s="147"/>
      <c r="J672" s="147"/>
      <c r="K672" s="147"/>
      <c r="L672" s="147"/>
      <c r="M672" s="147"/>
      <c r="N672" s="147"/>
      <c r="O672" s="147"/>
      <c r="P672" s="147"/>
      <c r="Q672" s="147"/>
      <c r="R672" s="148"/>
      <c r="S672" s="148"/>
      <c r="T672" s="148"/>
      <c r="U672" s="148"/>
      <c r="V672" s="148"/>
      <c r="W672" s="148"/>
      <c r="X672" s="148"/>
      <c r="Y672" s="148"/>
      <c r="Z672" s="148"/>
      <c r="AA672" s="148"/>
      <c r="AB672" s="148"/>
      <c r="AC672" s="148"/>
    </row>
    <row r="673" spans="1:29">
      <c r="A673" s="149">
        <v>45971</v>
      </c>
      <c r="B673" s="147" t="s">
        <v>115</v>
      </c>
      <c r="C673" s="147"/>
      <c r="D673" s="147"/>
      <c r="E673" s="147"/>
      <c r="F673" s="147"/>
      <c r="G673" s="147"/>
      <c r="H673" s="147"/>
      <c r="I673" s="147"/>
      <c r="J673" s="147"/>
      <c r="K673" s="147"/>
      <c r="L673" s="147"/>
      <c r="M673" s="147"/>
      <c r="N673" s="147"/>
      <c r="O673" s="147"/>
      <c r="P673" s="147"/>
      <c r="Q673" s="147">
        <v>4</v>
      </c>
      <c r="R673" s="148"/>
      <c r="S673" s="148"/>
      <c r="T673" s="148"/>
      <c r="U673" s="148"/>
      <c r="V673" s="148"/>
      <c r="W673" s="148"/>
      <c r="X673" s="148"/>
      <c r="Y673" s="148"/>
      <c r="Z673" s="148"/>
      <c r="AA673" s="148"/>
      <c r="AB673" s="148"/>
      <c r="AC673" s="148"/>
    </row>
    <row r="674" spans="1:29">
      <c r="A674" s="149">
        <v>45971</v>
      </c>
      <c r="B674" s="147" t="s">
        <v>1774</v>
      </c>
      <c r="C674" s="147">
        <v>3</v>
      </c>
      <c r="D674" s="147">
        <v>3</v>
      </c>
      <c r="E674" s="147"/>
      <c r="F674" s="147"/>
      <c r="G674" s="147"/>
      <c r="H674" s="147"/>
      <c r="I674" s="147"/>
      <c r="J674" s="147"/>
      <c r="K674" s="147"/>
      <c r="L674" s="147"/>
      <c r="M674" s="147"/>
      <c r="N674" s="147"/>
      <c r="O674" s="147"/>
      <c r="P674" s="147"/>
      <c r="Q674" s="147">
        <v>9</v>
      </c>
      <c r="R674" s="148"/>
      <c r="S674" s="148"/>
      <c r="T674" s="148"/>
      <c r="U674" s="148"/>
      <c r="V674" s="148"/>
      <c r="W674" s="148"/>
      <c r="X674" s="148"/>
      <c r="Y674" s="148"/>
      <c r="Z674" s="148"/>
      <c r="AA674" s="148"/>
      <c r="AB674" s="148"/>
      <c r="AC674" s="148"/>
    </row>
    <row r="675" spans="1:29">
      <c r="A675" s="149">
        <v>45971</v>
      </c>
      <c r="B675" s="147" t="s">
        <v>243</v>
      </c>
      <c r="C675" s="147"/>
      <c r="D675" s="147"/>
      <c r="E675" s="147"/>
      <c r="F675" s="147"/>
      <c r="G675" s="147"/>
      <c r="H675" s="147"/>
      <c r="I675" s="147"/>
      <c r="J675" s="147"/>
      <c r="K675" s="147"/>
      <c r="L675" s="147"/>
      <c r="M675" s="147"/>
      <c r="N675" s="147"/>
      <c r="O675" s="147"/>
      <c r="P675" s="147"/>
      <c r="Q675" s="147">
        <v>9</v>
      </c>
      <c r="R675" s="148"/>
      <c r="S675" s="148"/>
      <c r="T675" s="148"/>
      <c r="U675" s="148"/>
      <c r="V675" s="148"/>
      <c r="W675" s="148"/>
      <c r="X675" s="148"/>
      <c r="Y675" s="148"/>
      <c r="Z675" s="148"/>
      <c r="AA675" s="148"/>
      <c r="AB675" s="148"/>
      <c r="AC675" s="148"/>
    </row>
    <row r="676" spans="1:29">
      <c r="A676" s="149">
        <v>45974</v>
      </c>
      <c r="B676" s="147" t="s">
        <v>61</v>
      </c>
      <c r="C676" s="147"/>
      <c r="D676" s="147"/>
      <c r="E676" s="147"/>
      <c r="F676" s="147"/>
      <c r="G676" s="147"/>
      <c r="H676" s="147"/>
      <c r="I676" s="147"/>
      <c r="J676" s="147"/>
      <c r="K676" s="147"/>
      <c r="L676" s="147"/>
      <c r="M676" s="147"/>
      <c r="N676" s="147"/>
      <c r="O676" s="147"/>
      <c r="P676" s="147"/>
      <c r="Q676" s="147">
        <v>60</v>
      </c>
      <c r="R676" s="148"/>
      <c r="S676" s="148"/>
      <c r="T676" s="148"/>
      <c r="U676" s="148"/>
      <c r="V676" s="148"/>
      <c r="W676" s="148"/>
      <c r="X676" s="148"/>
      <c r="Y676" s="148"/>
      <c r="Z676" s="148"/>
      <c r="AA676" s="148"/>
      <c r="AB676" s="148"/>
      <c r="AC676" s="148"/>
    </row>
    <row r="677" spans="1:29">
      <c r="A677" s="149">
        <v>45974</v>
      </c>
      <c r="B677" s="147" t="s">
        <v>61</v>
      </c>
      <c r="C677" s="147"/>
      <c r="D677" s="147"/>
      <c r="E677" s="147"/>
      <c r="F677" s="147"/>
      <c r="G677" s="147"/>
      <c r="H677" s="147"/>
      <c r="I677" s="147"/>
      <c r="J677" s="147"/>
      <c r="K677" s="147"/>
      <c r="L677" s="147"/>
      <c r="M677" s="147"/>
      <c r="N677" s="147"/>
      <c r="O677" s="147"/>
      <c r="P677" s="147"/>
      <c r="Q677" s="147">
        <v>60</v>
      </c>
      <c r="R677" s="148"/>
      <c r="S677" s="148"/>
      <c r="T677" s="148"/>
      <c r="U677" s="148"/>
      <c r="V677" s="148"/>
      <c r="W677" s="148"/>
      <c r="X677" s="148"/>
      <c r="Y677" s="148"/>
      <c r="Z677" s="148"/>
      <c r="AA677" s="148"/>
      <c r="AB677" s="148"/>
      <c r="AC677" s="148"/>
    </row>
    <row r="678" spans="1:29">
      <c r="A678" s="149">
        <v>45975</v>
      </c>
      <c r="B678" s="147" t="s">
        <v>61</v>
      </c>
      <c r="C678" s="147">
        <v>3</v>
      </c>
      <c r="D678" s="147"/>
      <c r="E678" s="147"/>
      <c r="F678" s="147">
        <v>1</v>
      </c>
      <c r="G678" s="147"/>
      <c r="H678" s="147"/>
      <c r="I678" s="147">
        <v>1</v>
      </c>
      <c r="J678" s="147">
        <v>1</v>
      </c>
      <c r="K678" s="147"/>
      <c r="L678" s="147"/>
      <c r="M678" s="147"/>
      <c r="N678" s="147"/>
      <c r="O678" s="147"/>
      <c r="P678" s="147"/>
      <c r="Q678" s="147">
        <v>5</v>
      </c>
      <c r="R678" s="148"/>
      <c r="S678" s="148"/>
      <c r="T678" s="148"/>
      <c r="U678" s="148"/>
      <c r="V678" s="148"/>
      <c r="W678" s="148"/>
      <c r="X678" s="148"/>
      <c r="Y678" s="148"/>
      <c r="Z678" s="148"/>
      <c r="AA678" s="148"/>
      <c r="AB678" s="148"/>
      <c r="AC678" s="148"/>
    </row>
    <row r="679" spans="1:29">
      <c r="A679" s="149">
        <v>45976</v>
      </c>
      <c r="B679" s="147" t="s">
        <v>115</v>
      </c>
      <c r="C679" s="147">
        <v>1</v>
      </c>
      <c r="D679" s="147"/>
      <c r="E679" s="147"/>
      <c r="F679" s="147"/>
      <c r="G679" s="147"/>
      <c r="H679" s="147"/>
      <c r="I679" s="147"/>
      <c r="J679" s="147"/>
      <c r="K679" s="147">
        <v>1</v>
      </c>
      <c r="L679" s="147"/>
      <c r="M679" s="147"/>
      <c r="N679" s="147"/>
      <c r="O679" s="147"/>
      <c r="P679" s="147"/>
      <c r="Q679" s="147"/>
      <c r="R679" s="148"/>
      <c r="S679" s="148"/>
      <c r="T679" s="148"/>
      <c r="U679" s="148"/>
      <c r="V679" s="148"/>
      <c r="W679" s="148"/>
      <c r="X679" s="148"/>
      <c r="Y679" s="148"/>
      <c r="Z679" s="148"/>
      <c r="AA679" s="148"/>
      <c r="AB679" s="148"/>
      <c r="AC679" s="148"/>
    </row>
    <row r="680" spans="1:29">
      <c r="A680" s="149">
        <v>45976</v>
      </c>
      <c r="B680" s="147" t="s">
        <v>61</v>
      </c>
      <c r="C680" s="147">
        <v>1</v>
      </c>
      <c r="D680" s="147"/>
      <c r="E680" s="147"/>
      <c r="F680" s="147">
        <v>1</v>
      </c>
      <c r="G680" s="147"/>
      <c r="H680" s="147"/>
      <c r="I680" s="147"/>
      <c r="J680" s="147"/>
      <c r="K680" s="147"/>
      <c r="L680" s="147"/>
      <c r="M680" s="147"/>
      <c r="N680" s="147"/>
      <c r="O680" s="147"/>
      <c r="P680" s="147"/>
      <c r="Q680" s="147">
        <v>45</v>
      </c>
      <c r="R680" s="148"/>
      <c r="S680" s="148"/>
      <c r="T680" s="148"/>
      <c r="U680" s="148"/>
      <c r="V680" s="148"/>
      <c r="W680" s="148"/>
      <c r="X680" s="148"/>
      <c r="Y680" s="148"/>
      <c r="Z680" s="148"/>
      <c r="AA680" s="148"/>
      <c r="AB680" s="148"/>
      <c r="AC680" s="148"/>
    </row>
    <row r="681" spans="1:29">
      <c r="A681" s="149">
        <v>45977</v>
      </c>
      <c r="B681" s="147" t="s">
        <v>61</v>
      </c>
      <c r="C681" s="147">
        <v>3</v>
      </c>
      <c r="D681" s="147"/>
      <c r="E681" s="147">
        <v>1</v>
      </c>
      <c r="F681" s="147"/>
      <c r="G681" s="147"/>
      <c r="H681" s="147"/>
      <c r="I681" s="147"/>
      <c r="J681" s="147">
        <v>2</v>
      </c>
      <c r="K681" s="147"/>
      <c r="L681" s="147"/>
      <c r="M681" s="147"/>
      <c r="N681" s="147"/>
      <c r="O681" s="147"/>
      <c r="P681" s="147"/>
      <c r="Q681" s="147">
        <v>3</v>
      </c>
      <c r="R681" s="148"/>
      <c r="S681" s="148"/>
      <c r="T681" s="148"/>
      <c r="U681" s="148"/>
      <c r="V681" s="148"/>
      <c r="W681" s="148"/>
      <c r="X681" s="148"/>
      <c r="Y681" s="148"/>
      <c r="Z681" s="148"/>
      <c r="AA681" s="148"/>
      <c r="AB681" s="148"/>
      <c r="AC681" s="148"/>
    </row>
    <row r="682" spans="1:29">
      <c r="A682" s="149">
        <v>45977</v>
      </c>
      <c r="B682" s="147" t="s">
        <v>115</v>
      </c>
      <c r="C682" s="147">
        <v>1</v>
      </c>
      <c r="D682" s="147"/>
      <c r="E682" s="147"/>
      <c r="F682" s="147"/>
      <c r="G682" s="147"/>
      <c r="H682" s="147"/>
      <c r="I682" s="147"/>
      <c r="J682" s="147"/>
      <c r="K682" s="147"/>
      <c r="L682" s="147"/>
      <c r="M682" s="147">
        <v>1</v>
      </c>
      <c r="N682" s="147"/>
      <c r="O682" s="147"/>
      <c r="P682" s="147"/>
      <c r="Q682" s="147"/>
      <c r="R682" s="148"/>
      <c r="S682" s="148"/>
      <c r="T682" s="148"/>
      <c r="U682" s="148"/>
      <c r="V682" s="148"/>
      <c r="W682" s="148"/>
      <c r="X682" s="148"/>
      <c r="Y682" s="148"/>
      <c r="Z682" s="148"/>
      <c r="AA682" s="148"/>
      <c r="AB682" s="148"/>
      <c r="AC682" s="148"/>
    </row>
    <row r="683" spans="1:29">
      <c r="A683" s="149">
        <v>45977</v>
      </c>
      <c r="B683" s="147" t="s">
        <v>61</v>
      </c>
      <c r="C683" s="147">
        <v>3</v>
      </c>
      <c r="D683" s="147"/>
      <c r="E683" s="147">
        <v>2</v>
      </c>
      <c r="F683" s="147"/>
      <c r="G683" s="147"/>
      <c r="H683" s="147"/>
      <c r="I683" s="147"/>
      <c r="J683" s="147">
        <v>1</v>
      </c>
      <c r="K683" s="147"/>
      <c r="L683" s="147"/>
      <c r="M683" s="147"/>
      <c r="N683" s="147"/>
      <c r="O683" s="147"/>
      <c r="P683" s="147"/>
      <c r="Q683" s="147">
        <v>3</v>
      </c>
      <c r="R683" s="148"/>
      <c r="S683" s="148"/>
      <c r="T683" s="148"/>
      <c r="U683" s="148"/>
      <c r="V683" s="148"/>
      <c r="W683" s="148"/>
      <c r="X683" s="148"/>
      <c r="Y683" s="148"/>
      <c r="Z683" s="148"/>
      <c r="AA683" s="148"/>
      <c r="AB683" s="148"/>
      <c r="AC683" s="148"/>
    </row>
    <row r="684" spans="1:29">
      <c r="A684" s="149">
        <v>45977</v>
      </c>
      <c r="B684" s="147" t="s">
        <v>1774</v>
      </c>
      <c r="C684" s="147">
        <v>1</v>
      </c>
      <c r="D684" s="147">
        <v>1</v>
      </c>
      <c r="E684" s="147"/>
      <c r="F684" s="147"/>
      <c r="G684" s="147"/>
      <c r="H684" s="147"/>
      <c r="I684" s="147"/>
      <c r="J684" s="147"/>
      <c r="K684" s="147"/>
      <c r="L684" s="147"/>
      <c r="M684" s="147"/>
      <c r="N684" s="147"/>
      <c r="O684" s="147"/>
      <c r="P684" s="147"/>
      <c r="Q684" s="147"/>
      <c r="R684" s="148"/>
      <c r="S684" s="148"/>
      <c r="T684" s="148"/>
      <c r="U684" s="148"/>
      <c r="V684" s="148"/>
      <c r="W684" s="148"/>
      <c r="X684" s="148"/>
      <c r="Y684" s="148"/>
      <c r="Z684" s="148"/>
      <c r="AA684" s="148"/>
      <c r="AB684" s="148"/>
      <c r="AC684" s="148"/>
    </row>
    <row r="685" spans="1:29">
      <c r="A685" s="149">
        <v>45977</v>
      </c>
      <c r="B685" s="147" t="s">
        <v>115</v>
      </c>
      <c r="C685" s="147">
        <v>1</v>
      </c>
      <c r="D685" s="147"/>
      <c r="E685" s="147"/>
      <c r="F685" s="147"/>
      <c r="G685" s="147"/>
      <c r="H685" s="147"/>
      <c r="I685" s="147"/>
      <c r="J685" s="147"/>
      <c r="K685" s="147"/>
      <c r="L685" s="147"/>
      <c r="M685" s="147">
        <v>1</v>
      </c>
      <c r="N685" s="147"/>
      <c r="O685" s="147">
        <v>-1003470351325</v>
      </c>
      <c r="P685" s="147"/>
      <c r="Q685" s="147"/>
      <c r="R685" s="148"/>
      <c r="S685" s="148"/>
      <c r="T685" s="148"/>
      <c r="U685" s="148"/>
      <c r="V685" s="148"/>
      <c r="W685" s="148"/>
      <c r="X685" s="148"/>
      <c r="Y685" s="148"/>
      <c r="Z685" s="148"/>
      <c r="AA685" s="148"/>
      <c r="AB685" s="148"/>
      <c r="AC685" s="148"/>
    </row>
    <row r="686" spans="1:29">
      <c r="A686" s="149">
        <v>45978</v>
      </c>
      <c r="B686" s="147" t="s">
        <v>115</v>
      </c>
      <c r="C686" s="147">
        <v>2</v>
      </c>
      <c r="D686" s="147"/>
      <c r="E686" s="147"/>
      <c r="F686" s="147"/>
      <c r="G686" s="147"/>
      <c r="H686" s="147"/>
      <c r="I686" s="147">
        <v>1</v>
      </c>
      <c r="J686" s="147">
        <v>1</v>
      </c>
      <c r="K686" s="147"/>
      <c r="L686" s="147"/>
      <c r="M686" s="147"/>
      <c r="N686" s="147"/>
      <c r="O686" s="147">
        <v>7486128115</v>
      </c>
      <c r="P686" s="147"/>
      <c r="Q686" s="147">
        <v>11</v>
      </c>
      <c r="R686" s="148"/>
      <c r="S686" s="148"/>
      <c r="T686" s="148"/>
      <c r="U686" s="148"/>
      <c r="V686" s="148"/>
      <c r="W686" s="148"/>
      <c r="X686" s="148"/>
      <c r="Y686" s="148"/>
      <c r="Z686" s="148"/>
      <c r="AA686" s="148"/>
      <c r="AB686" s="148"/>
      <c r="AC686" s="148"/>
    </row>
    <row r="687" spans="1:29">
      <c r="A687" s="149">
        <v>45978</v>
      </c>
      <c r="B687" s="147" t="s">
        <v>115</v>
      </c>
      <c r="C687" s="147">
        <v>2</v>
      </c>
      <c r="D687" s="147"/>
      <c r="E687" s="147"/>
      <c r="F687" s="147"/>
      <c r="G687" s="147"/>
      <c r="H687" s="147"/>
      <c r="I687" s="147">
        <v>1</v>
      </c>
      <c r="J687" s="147">
        <v>1</v>
      </c>
      <c r="K687" s="147"/>
      <c r="L687" s="147"/>
      <c r="M687" s="147"/>
      <c r="N687" s="147"/>
      <c r="O687" s="147">
        <v>-1003470351325</v>
      </c>
      <c r="P687" s="147"/>
      <c r="Q687" s="147">
        <v>11</v>
      </c>
      <c r="R687" s="148"/>
      <c r="S687" s="148"/>
      <c r="T687" s="148"/>
      <c r="U687" s="148"/>
      <c r="V687" s="148"/>
      <c r="W687" s="148"/>
      <c r="X687" s="148"/>
      <c r="Y687" s="148"/>
      <c r="Z687" s="148"/>
      <c r="AA687" s="148"/>
      <c r="AB687" s="148"/>
      <c r="AC687" s="148"/>
    </row>
    <row r="688" spans="1:29">
      <c r="A688" s="149">
        <v>45978</v>
      </c>
      <c r="B688" s="147" t="s">
        <v>61</v>
      </c>
      <c r="C688" s="147">
        <v>2</v>
      </c>
      <c r="D688" s="147"/>
      <c r="E688" s="147">
        <v>1</v>
      </c>
      <c r="F688" s="147"/>
      <c r="G688" s="147"/>
      <c r="H688" s="147"/>
      <c r="I688" s="147"/>
      <c r="J688" s="147">
        <v>1</v>
      </c>
      <c r="K688" s="147"/>
      <c r="L688" s="147"/>
      <c r="M688" s="147"/>
      <c r="N688" s="147"/>
      <c r="O688" s="147">
        <v>-1003470351325</v>
      </c>
      <c r="P688" s="147"/>
      <c r="Q688" s="147">
        <v>25</v>
      </c>
      <c r="R688" s="148"/>
      <c r="S688" s="148"/>
      <c r="T688" s="148"/>
      <c r="U688" s="148"/>
      <c r="V688" s="148"/>
      <c r="W688" s="148"/>
      <c r="X688" s="148"/>
      <c r="Y688" s="148"/>
      <c r="Z688" s="148"/>
      <c r="AA688" s="148"/>
      <c r="AB688" s="148"/>
      <c r="AC688" s="148"/>
    </row>
    <row r="689" spans="1:29">
      <c r="A689" s="149">
        <v>45978</v>
      </c>
      <c r="B689" s="147" t="s">
        <v>1774</v>
      </c>
      <c r="C689" s="147">
        <v>2</v>
      </c>
      <c r="D689" s="147"/>
      <c r="E689" s="147"/>
      <c r="F689" s="147"/>
      <c r="G689" s="147"/>
      <c r="H689" s="147"/>
      <c r="I689" s="147">
        <v>2</v>
      </c>
      <c r="J689" s="147"/>
      <c r="K689" s="147"/>
      <c r="L689" s="147"/>
      <c r="M689" s="147"/>
      <c r="N689" s="147"/>
      <c r="O689" s="147">
        <v>-1003470351325</v>
      </c>
      <c r="P689" s="147"/>
      <c r="Q689" s="147">
        <v>12</v>
      </c>
      <c r="R689" s="148"/>
      <c r="S689" s="148"/>
      <c r="T689" s="148"/>
      <c r="U689" s="148"/>
      <c r="V689" s="148"/>
      <c r="W689" s="148"/>
      <c r="X689" s="148"/>
      <c r="Y689" s="148"/>
      <c r="Z689" s="148"/>
      <c r="AA689" s="148"/>
      <c r="AB689" s="148"/>
      <c r="AC689" s="148"/>
    </row>
    <row r="690" spans="1:29">
      <c r="A690" s="149">
        <v>45978</v>
      </c>
      <c r="B690" s="147" t="s">
        <v>243</v>
      </c>
      <c r="C690" s="147"/>
      <c r="D690" s="147"/>
      <c r="E690" s="147"/>
      <c r="F690" s="147"/>
      <c r="G690" s="147"/>
      <c r="H690" s="147"/>
      <c r="I690" s="147"/>
      <c r="J690" s="147"/>
      <c r="K690" s="147"/>
      <c r="L690" s="147"/>
      <c r="M690" s="147"/>
      <c r="N690" s="147"/>
      <c r="O690" s="147">
        <v>-1003470351325</v>
      </c>
      <c r="P690" s="147"/>
      <c r="Q690" s="147">
        <v>11</v>
      </c>
      <c r="R690" s="148"/>
      <c r="S690" s="148"/>
      <c r="T690" s="148"/>
      <c r="U690" s="148"/>
      <c r="V690" s="148"/>
      <c r="W690" s="148"/>
      <c r="X690" s="148"/>
      <c r="Y690" s="148"/>
      <c r="Z690" s="148"/>
      <c r="AA690" s="148"/>
      <c r="AB690" s="148"/>
      <c r="AC690" s="148"/>
    </row>
    <row r="691" spans="1:29">
      <c r="A691" s="149">
        <v>45979</v>
      </c>
      <c r="B691" s="147" t="s">
        <v>115</v>
      </c>
      <c r="C691" s="147">
        <v>1</v>
      </c>
      <c r="D691" s="147"/>
      <c r="E691" s="147"/>
      <c r="F691" s="147"/>
      <c r="G691" s="147"/>
      <c r="H691" s="147"/>
      <c r="I691" s="147">
        <v>1</v>
      </c>
      <c r="J691" s="147"/>
      <c r="K691" s="147"/>
      <c r="L691" s="147"/>
      <c r="M691" s="147"/>
      <c r="N691" s="147"/>
      <c r="O691" s="147">
        <v>-1003470351325</v>
      </c>
      <c r="P691" s="147"/>
      <c r="Q691" s="147">
        <v>9</v>
      </c>
      <c r="R691" s="148"/>
      <c r="S691" s="148"/>
      <c r="T691" s="148"/>
      <c r="U691" s="148"/>
      <c r="V691" s="148"/>
      <c r="W691" s="148"/>
      <c r="X691" s="148"/>
      <c r="Y691" s="148"/>
      <c r="Z691" s="148"/>
      <c r="AA691" s="148"/>
      <c r="AB691" s="148"/>
      <c r="AC691" s="148"/>
    </row>
    <row r="692" spans="1:29">
      <c r="A692" s="149">
        <v>45979</v>
      </c>
      <c r="B692" s="147" t="s">
        <v>1774</v>
      </c>
      <c r="C692" s="147">
        <v>4</v>
      </c>
      <c r="D692" s="147">
        <v>1</v>
      </c>
      <c r="E692" s="147"/>
      <c r="F692" s="147"/>
      <c r="G692" s="147"/>
      <c r="H692" s="147"/>
      <c r="I692" s="147">
        <v>2</v>
      </c>
      <c r="J692" s="147">
        <v>1</v>
      </c>
      <c r="K692" s="147"/>
      <c r="L692" s="147"/>
      <c r="M692" s="147"/>
      <c r="N692" s="147"/>
      <c r="O692" s="147">
        <v>-1003470351325</v>
      </c>
      <c r="P692" s="147"/>
      <c r="Q692" s="147">
        <v>10</v>
      </c>
      <c r="R692" s="148"/>
      <c r="S692" s="148"/>
      <c r="T692" s="148"/>
      <c r="U692" s="148"/>
      <c r="V692" s="148"/>
      <c r="W692" s="148"/>
      <c r="X692" s="148"/>
      <c r="Y692" s="148"/>
      <c r="Z692" s="148"/>
      <c r="AA692" s="148"/>
      <c r="AB692" s="148"/>
      <c r="AC692" s="148"/>
    </row>
    <row r="693" spans="1:29">
      <c r="A693" s="149">
        <v>45978</v>
      </c>
      <c r="B693" s="147" t="s">
        <v>1229</v>
      </c>
      <c r="C693" s="147">
        <v>1</v>
      </c>
      <c r="D693" s="147">
        <v>1</v>
      </c>
      <c r="E693" s="147"/>
      <c r="F693" s="147"/>
      <c r="G693" s="147"/>
      <c r="H693" s="147"/>
      <c r="I693" s="147"/>
      <c r="J693" s="147"/>
      <c r="K693" s="147"/>
      <c r="L693" s="147"/>
      <c r="M693" s="147"/>
      <c r="N693" s="147"/>
      <c r="O693" s="147">
        <v>-1003470351325</v>
      </c>
      <c r="P693" s="147"/>
      <c r="Q693" s="147">
        <v>11</v>
      </c>
      <c r="R693" s="148"/>
      <c r="S693" s="148"/>
      <c r="T693" s="148"/>
      <c r="U693" s="148"/>
      <c r="V693" s="148"/>
      <c r="W693" s="148"/>
      <c r="X693" s="148"/>
      <c r="Y693" s="148"/>
      <c r="Z693" s="148"/>
      <c r="AA693" s="148"/>
      <c r="AB693" s="148"/>
      <c r="AC693" s="148"/>
    </row>
    <row r="694" spans="1:29">
      <c r="A694" s="149">
        <v>45979</v>
      </c>
      <c r="B694" s="147" t="s">
        <v>243</v>
      </c>
      <c r="C694" s="147"/>
      <c r="D694" s="147"/>
      <c r="E694" s="147"/>
      <c r="F694" s="147"/>
      <c r="G694" s="147"/>
      <c r="H694" s="147"/>
      <c r="I694" s="147"/>
      <c r="J694" s="147"/>
      <c r="K694" s="147"/>
      <c r="L694" s="147"/>
      <c r="M694" s="147"/>
      <c r="N694" s="147"/>
      <c r="O694" s="147">
        <v>-1003470351325</v>
      </c>
      <c r="P694" s="147"/>
      <c r="Q694" s="147">
        <v>5</v>
      </c>
      <c r="R694" s="148"/>
      <c r="S694" s="148"/>
      <c r="T694" s="148"/>
      <c r="U694" s="148"/>
      <c r="V694" s="148"/>
      <c r="W694" s="148"/>
      <c r="X694" s="148"/>
      <c r="Y694" s="148"/>
      <c r="Z694" s="148"/>
      <c r="AA694" s="148"/>
      <c r="AB694" s="148"/>
      <c r="AC694" s="148"/>
    </row>
    <row r="695" spans="1:29">
      <c r="A695" s="149">
        <v>45979</v>
      </c>
      <c r="B695" s="147" t="s">
        <v>61</v>
      </c>
      <c r="C695" s="147"/>
      <c r="D695" s="147" t="s">
        <v>12843</v>
      </c>
      <c r="E695" s="147"/>
      <c r="F695" s="147"/>
      <c r="G695" s="147"/>
      <c r="H695" s="147"/>
      <c r="I695" s="147"/>
      <c r="J695" s="147"/>
      <c r="K695" s="147"/>
      <c r="L695" s="147"/>
      <c r="M695" s="147"/>
      <c r="N695" s="147"/>
      <c r="O695" s="147">
        <v>-1003470351325</v>
      </c>
      <c r="P695" s="147"/>
      <c r="Q695" s="147">
        <v>19</v>
      </c>
      <c r="R695" s="148"/>
      <c r="S695" s="148"/>
      <c r="T695" s="148"/>
      <c r="U695" s="148"/>
      <c r="V695" s="148"/>
      <c r="W695" s="148"/>
      <c r="X695" s="148"/>
      <c r="Y695" s="148"/>
      <c r="Z695" s="148"/>
      <c r="AA695" s="148"/>
      <c r="AB695" s="148"/>
      <c r="AC695" s="148"/>
    </row>
    <row r="696" spans="1:29">
      <c r="A696" s="149">
        <v>45979</v>
      </c>
      <c r="B696" s="147" t="s">
        <v>243</v>
      </c>
      <c r="C696" s="147">
        <v>1</v>
      </c>
      <c r="D696" s="147"/>
      <c r="E696" s="147">
        <v>1</v>
      </c>
      <c r="F696" s="147"/>
      <c r="G696" s="147"/>
      <c r="H696" s="147"/>
      <c r="I696" s="147"/>
      <c r="J696" s="147"/>
      <c r="K696" s="147"/>
      <c r="L696" s="147"/>
      <c r="M696" s="147"/>
      <c r="N696" s="147"/>
      <c r="O696" s="147">
        <v>-1003470351325</v>
      </c>
      <c r="P696" s="147"/>
      <c r="Q696" s="147">
        <v>5</v>
      </c>
      <c r="R696" s="148"/>
      <c r="S696" s="148"/>
      <c r="T696" s="148"/>
      <c r="U696" s="148"/>
      <c r="V696" s="148"/>
      <c r="W696" s="148"/>
      <c r="X696" s="148"/>
      <c r="Y696" s="148"/>
      <c r="Z696" s="148"/>
      <c r="AA696" s="148"/>
      <c r="AB696" s="148"/>
      <c r="AC696" s="148"/>
    </row>
    <row r="697" spans="1:29">
      <c r="A697" s="149">
        <v>45980</v>
      </c>
      <c r="B697" s="147" t="s">
        <v>115</v>
      </c>
      <c r="C697" s="147">
        <v>1</v>
      </c>
      <c r="D697" s="147"/>
      <c r="E697" s="147"/>
      <c r="F697" s="147"/>
      <c r="G697" s="147"/>
      <c r="H697" s="147"/>
      <c r="I697" s="147">
        <v>1</v>
      </c>
      <c r="J697" s="147"/>
      <c r="K697" s="147"/>
      <c r="L697" s="147"/>
      <c r="M697" s="147"/>
      <c r="N697" s="147"/>
      <c r="O697" s="147">
        <v>-1003470351325</v>
      </c>
      <c r="P697" s="147"/>
      <c r="Q697" s="147">
        <v>7</v>
      </c>
      <c r="R697" s="148"/>
      <c r="S697" s="148"/>
      <c r="T697" s="148"/>
      <c r="U697" s="148"/>
      <c r="V697" s="148"/>
      <c r="W697" s="148"/>
      <c r="X697" s="148"/>
      <c r="Y697" s="148"/>
      <c r="Z697" s="148"/>
      <c r="AA697" s="148"/>
      <c r="AB697" s="148"/>
      <c r="AC697" s="148"/>
    </row>
    <row r="698" spans="1:29">
      <c r="A698" s="149">
        <v>45980</v>
      </c>
      <c r="B698" s="147" t="s">
        <v>61</v>
      </c>
      <c r="C698" s="147">
        <v>2</v>
      </c>
      <c r="D698" s="147">
        <v>2</v>
      </c>
      <c r="E698" s="147"/>
      <c r="F698" s="147"/>
      <c r="G698" s="147"/>
      <c r="H698" s="147"/>
      <c r="I698" s="147"/>
      <c r="J698" s="147"/>
      <c r="K698" s="147"/>
      <c r="L698" s="147"/>
      <c r="M698" s="147"/>
      <c r="N698" s="147"/>
      <c r="O698" s="147">
        <v>-1003470351325</v>
      </c>
      <c r="P698" s="147"/>
      <c r="Q698" s="147">
        <v>15</v>
      </c>
      <c r="R698" s="148"/>
      <c r="S698" s="148"/>
      <c r="T698" s="148"/>
      <c r="U698" s="148"/>
      <c r="V698" s="148"/>
      <c r="W698" s="148"/>
      <c r="X698" s="148"/>
      <c r="Y698" s="148"/>
      <c r="Z698" s="148"/>
      <c r="AA698" s="148"/>
      <c r="AB698" s="148"/>
      <c r="AC698" s="148"/>
    </row>
    <row r="699" spans="1:29">
      <c r="A699" s="149">
        <v>45980</v>
      </c>
      <c r="B699" s="147" t="s">
        <v>1774</v>
      </c>
      <c r="C699" s="147">
        <v>3</v>
      </c>
      <c r="D699" s="147">
        <v>2</v>
      </c>
      <c r="E699" s="147"/>
      <c r="F699" s="147"/>
      <c r="G699" s="147"/>
      <c r="H699" s="147"/>
      <c r="I699" s="147"/>
      <c r="J699" s="147">
        <v>1</v>
      </c>
      <c r="K699" s="147"/>
      <c r="L699" s="147"/>
      <c r="M699" s="147"/>
      <c r="N699" s="147"/>
      <c r="O699" s="147">
        <v>-1003470351325</v>
      </c>
      <c r="P699" s="147"/>
      <c r="Q699" s="147">
        <v>7</v>
      </c>
      <c r="R699" s="148"/>
      <c r="S699" s="148"/>
      <c r="T699" s="148"/>
      <c r="U699" s="148"/>
      <c r="V699" s="148"/>
      <c r="W699" s="148"/>
      <c r="X699" s="148"/>
      <c r="Y699" s="148"/>
      <c r="Z699" s="148"/>
      <c r="AA699" s="148"/>
      <c r="AB699" s="148"/>
      <c r="AC699" s="148"/>
    </row>
    <row r="700" spans="1:29">
      <c r="A700" s="149">
        <v>45980</v>
      </c>
      <c r="B700" s="147" t="s">
        <v>243</v>
      </c>
      <c r="C700" s="147">
        <v>1</v>
      </c>
      <c r="D700" s="147">
        <v>1</v>
      </c>
      <c r="E700" s="147"/>
      <c r="F700" s="147"/>
      <c r="G700" s="147"/>
      <c r="H700" s="147"/>
      <c r="I700" s="147"/>
      <c r="J700" s="147"/>
      <c r="K700" s="147"/>
      <c r="L700" s="147"/>
      <c r="M700" s="147"/>
      <c r="N700" s="147"/>
      <c r="O700" s="147">
        <v>-1003470351325</v>
      </c>
      <c r="P700" s="147"/>
      <c r="Q700" s="147">
        <v>7</v>
      </c>
      <c r="R700" s="148"/>
      <c r="S700" s="148"/>
      <c r="T700" s="148"/>
      <c r="U700" s="148"/>
      <c r="V700" s="148"/>
      <c r="W700" s="148"/>
      <c r="X700" s="148"/>
      <c r="Y700" s="148"/>
      <c r="Z700" s="148"/>
      <c r="AA700" s="148"/>
      <c r="AB700" s="148"/>
      <c r="AC700" s="148"/>
    </row>
    <row r="701" spans="1:29">
      <c r="A701" s="149">
        <v>45981</v>
      </c>
      <c r="B701" s="147" t="s">
        <v>61</v>
      </c>
      <c r="C701" s="147">
        <v>5</v>
      </c>
      <c r="D701" s="147">
        <v>1</v>
      </c>
      <c r="E701" s="147"/>
      <c r="F701" s="147"/>
      <c r="G701" s="147"/>
      <c r="H701" s="147"/>
      <c r="I701" s="147">
        <v>1</v>
      </c>
      <c r="J701" s="147">
        <v>2</v>
      </c>
      <c r="K701" s="147">
        <v>1</v>
      </c>
      <c r="L701" s="147"/>
      <c r="M701" s="147"/>
      <c r="N701" s="147"/>
      <c r="O701" s="147">
        <v>-1003470351325</v>
      </c>
      <c r="P701" s="147"/>
      <c r="Q701" s="147">
        <v>5</v>
      </c>
      <c r="R701" s="148"/>
      <c r="S701" s="148"/>
      <c r="T701" s="148"/>
      <c r="U701" s="148"/>
      <c r="V701" s="148"/>
      <c r="W701" s="148"/>
      <c r="X701" s="148"/>
      <c r="Y701" s="148"/>
      <c r="Z701" s="148"/>
      <c r="AA701" s="148"/>
      <c r="AB701" s="148"/>
      <c r="AC701" s="148"/>
    </row>
    <row r="702" spans="1:29">
      <c r="A702" s="149">
        <v>45981</v>
      </c>
      <c r="B702" s="147" t="s">
        <v>115</v>
      </c>
      <c r="C702" s="147">
        <v>2</v>
      </c>
      <c r="D702" s="147"/>
      <c r="E702" s="147"/>
      <c r="F702" s="147"/>
      <c r="G702" s="147"/>
      <c r="H702" s="147"/>
      <c r="I702" s="147">
        <v>1</v>
      </c>
      <c r="J702" s="147">
        <v>1</v>
      </c>
      <c r="K702" s="147"/>
      <c r="L702" s="147"/>
      <c r="M702" s="147"/>
      <c r="N702" s="147"/>
      <c r="O702" s="147">
        <v>-1003470351325</v>
      </c>
      <c r="P702" s="147"/>
      <c r="Q702" s="147">
        <v>5</v>
      </c>
      <c r="R702" s="148"/>
      <c r="S702" s="148"/>
      <c r="T702" s="148"/>
      <c r="U702" s="148"/>
      <c r="V702" s="148"/>
      <c r="W702" s="148"/>
      <c r="X702" s="148"/>
      <c r="Y702" s="148"/>
      <c r="Z702" s="148"/>
      <c r="AA702" s="148"/>
      <c r="AB702" s="148"/>
      <c r="AC702" s="148"/>
    </row>
    <row r="703" spans="1:29">
      <c r="A703" s="149">
        <v>45981</v>
      </c>
      <c r="B703" s="147" t="s">
        <v>1774</v>
      </c>
      <c r="C703" s="147">
        <v>3</v>
      </c>
      <c r="D703" s="147"/>
      <c r="E703" s="147">
        <v>1</v>
      </c>
      <c r="F703" s="147"/>
      <c r="G703" s="147"/>
      <c r="H703" s="147"/>
      <c r="I703" s="147">
        <v>1</v>
      </c>
      <c r="J703" s="147">
        <v>1</v>
      </c>
      <c r="K703" s="147"/>
      <c r="L703" s="147"/>
      <c r="M703" s="147"/>
      <c r="N703" s="147"/>
      <c r="O703" s="147">
        <v>-1003470351325</v>
      </c>
      <c r="P703" s="147"/>
      <c r="Q703" s="147">
        <v>4</v>
      </c>
      <c r="R703" s="148"/>
      <c r="S703" s="148"/>
      <c r="T703" s="148"/>
      <c r="U703" s="148"/>
      <c r="V703" s="148"/>
      <c r="W703" s="148"/>
      <c r="X703" s="148"/>
      <c r="Y703" s="148"/>
      <c r="Z703" s="148"/>
      <c r="AA703" s="148"/>
      <c r="AB703" s="148"/>
      <c r="AC703" s="148"/>
    </row>
    <row r="704" spans="1:29">
      <c r="A704" s="149">
        <v>45981</v>
      </c>
      <c r="B704" s="147" t="s">
        <v>243</v>
      </c>
      <c r="C704" s="147">
        <v>1</v>
      </c>
      <c r="D704" s="147"/>
      <c r="E704" s="147">
        <v>1</v>
      </c>
      <c r="F704" s="147"/>
      <c r="G704" s="147"/>
      <c r="H704" s="147"/>
      <c r="I704" s="147"/>
      <c r="J704" s="147"/>
      <c r="K704" s="147"/>
      <c r="L704" s="147"/>
      <c r="M704" s="147"/>
      <c r="N704" s="147"/>
      <c r="O704" s="147">
        <v>-1003470351325</v>
      </c>
      <c r="P704" s="147"/>
      <c r="Q704" s="147">
        <v>4</v>
      </c>
      <c r="R704" s="148"/>
      <c r="S704" s="148"/>
      <c r="T704" s="148"/>
      <c r="U704" s="148"/>
      <c r="V704" s="148"/>
      <c r="W704" s="148"/>
      <c r="X704" s="148"/>
      <c r="Y704" s="148"/>
      <c r="Z704" s="148"/>
      <c r="AA704" s="148"/>
      <c r="AB704" s="148"/>
      <c r="AC704" s="148"/>
    </row>
    <row r="705" spans="1:29">
      <c r="A705" s="149">
        <v>45982</v>
      </c>
      <c r="B705" s="147" t="s">
        <v>61</v>
      </c>
      <c r="C705" s="147">
        <v>3</v>
      </c>
      <c r="D705" s="147"/>
      <c r="E705" s="147">
        <v>1</v>
      </c>
      <c r="F705" s="147"/>
      <c r="G705" s="147"/>
      <c r="H705" s="147"/>
      <c r="I705" s="147"/>
      <c r="J705" s="147">
        <v>1</v>
      </c>
      <c r="K705" s="147"/>
      <c r="L705" s="147">
        <v>1</v>
      </c>
      <c r="M705" s="147"/>
      <c r="N705" s="147"/>
      <c r="O705" s="147">
        <v>-1003470351325</v>
      </c>
      <c r="P705" s="147"/>
      <c r="Q705" s="147">
        <v>10</v>
      </c>
      <c r="R705" s="148"/>
      <c r="S705" s="148"/>
      <c r="T705" s="148"/>
      <c r="U705" s="148"/>
      <c r="V705" s="148"/>
      <c r="W705" s="148"/>
      <c r="X705" s="148"/>
      <c r="Y705" s="148"/>
      <c r="Z705" s="148"/>
      <c r="AA705" s="148"/>
      <c r="AB705" s="148"/>
      <c r="AC705" s="148"/>
    </row>
    <row r="706" spans="1:29">
      <c r="A706" s="149">
        <v>45982</v>
      </c>
      <c r="B706" s="147" t="s">
        <v>115</v>
      </c>
      <c r="C706" s="147"/>
      <c r="D706" s="147"/>
      <c r="E706" s="147"/>
      <c r="F706" s="147"/>
      <c r="G706" s="147"/>
      <c r="H706" s="147"/>
      <c r="I706" s="147"/>
      <c r="J706" s="147"/>
      <c r="K706" s="147"/>
      <c r="L706" s="147"/>
      <c r="M706" s="147"/>
      <c r="N706" s="147"/>
      <c r="O706" s="147">
        <v>-1003470351325</v>
      </c>
      <c r="P706" s="147"/>
      <c r="Q706" s="147">
        <v>5</v>
      </c>
      <c r="R706" s="148"/>
      <c r="S706" s="148"/>
      <c r="T706" s="148"/>
      <c r="U706" s="148"/>
      <c r="V706" s="148"/>
      <c r="W706" s="148"/>
      <c r="X706" s="148"/>
      <c r="Y706" s="148"/>
      <c r="Z706" s="148"/>
      <c r="AA706" s="148"/>
      <c r="AB706" s="148"/>
      <c r="AC706" s="148"/>
    </row>
    <row r="707" spans="1:29">
      <c r="A707" s="149">
        <v>45982</v>
      </c>
      <c r="B707" s="147" t="s">
        <v>1774</v>
      </c>
      <c r="C707" s="147">
        <v>1</v>
      </c>
      <c r="D707" s="147"/>
      <c r="E707" s="147"/>
      <c r="F707" s="147"/>
      <c r="G707" s="147"/>
      <c r="H707" s="147"/>
      <c r="I707" s="147">
        <v>1</v>
      </c>
      <c r="J707" s="147"/>
      <c r="K707" s="147"/>
      <c r="L707" s="147"/>
      <c r="M707" s="147"/>
      <c r="N707" s="147"/>
      <c r="O707" s="147">
        <v>-1003470351325</v>
      </c>
      <c r="P707" s="147"/>
      <c r="Q707" s="147">
        <v>6</v>
      </c>
      <c r="R707" s="148"/>
      <c r="S707" s="148"/>
      <c r="T707" s="148"/>
      <c r="U707" s="148"/>
      <c r="V707" s="148"/>
      <c r="W707" s="148"/>
      <c r="X707" s="148"/>
      <c r="Y707" s="148"/>
      <c r="Z707" s="148"/>
      <c r="AA707" s="148"/>
      <c r="AB707" s="148"/>
      <c r="AC707" s="148"/>
    </row>
    <row r="708" spans="1:29">
      <c r="A708" s="149">
        <v>45982</v>
      </c>
      <c r="B708" s="147" t="s">
        <v>243</v>
      </c>
      <c r="C708" s="147"/>
      <c r="D708" s="147"/>
      <c r="E708" s="147"/>
      <c r="F708" s="147"/>
      <c r="G708" s="147"/>
      <c r="H708" s="147"/>
      <c r="I708" s="147"/>
      <c r="J708" s="147"/>
      <c r="K708" s="147"/>
      <c r="L708" s="147"/>
      <c r="M708" s="147"/>
      <c r="N708" s="147"/>
      <c r="O708" s="147">
        <v>-1003470351325</v>
      </c>
      <c r="P708" s="147"/>
      <c r="Q708" s="147">
        <v>3</v>
      </c>
      <c r="R708" s="148"/>
      <c r="S708" s="148"/>
      <c r="T708" s="148"/>
      <c r="U708" s="148"/>
      <c r="V708" s="148"/>
      <c r="W708" s="148"/>
      <c r="X708" s="148"/>
      <c r="Y708" s="148"/>
      <c r="Z708" s="148"/>
      <c r="AA708" s="148"/>
      <c r="AB708" s="148"/>
      <c r="AC708" s="148"/>
    </row>
    <row r="709" spans="1:29">
      <c r="A709" s="149">
        <v>45983</v>
      </c>
      <c r="B709" s="147" t="s">
        <v>115</v>
      </c>
      <c r="C709" s="147">
        <v>1</v>
      </c>
      <c r="D709" s="147"/>
      <c r="E709" s="147"/>
      <c r="F709" s="147"/>
      <c r="G709" s="147"/>
      <c r="H709" s="147"/>
      <c r="I709" s="147"/>
      <c r="J709" s="147"/>
      <c r="K709" s="147"/>
      <c r="L709" s="147"/>
      <c r="M709" s="147">
        <v>1</v>
      </c>
      <c r="N709" s="147"/>
      <c r="O709" s="147">
        <v>-1003470351325</v>
      </c>
      <c r="P709" s="147"/>
      <c r="Q709" s="147"/>
      <c r="R709" s="148"/>
      <c r="S709" s="148"/>
      <c r="T709" s="148"/>
      <c r="U709" s="148"/>
      <c r="V709" s="148"/>
      <c r="W709" s="148"/>
      <c r="X709" s="148"/>
      <c r="Y709" s="148"/>
      <c r="Z709" s="148"/>
      <c r="AA709" s="148"/>
      <c r="AB709" s="148"/>
      <c r="AC709" s="148"/>
    </row>
    <row r="710" spans="1:29">
      <c r="A710" s="149">
        <v>45983</v>
      </c>
      <c r="B710" s="147" t="s">
        <v>1774</v>
      </c>
      <c r="C710" s="147">
        <v>1</v>
      </c>
      <c r="D710" s="147"/>
      <c r="E710" s="147"/>
      <c r="F710" s="147"/>
      <c r="G710" s="147"/>
      <c r="H710" s="147"/>
      <c r="I710" s="147">
        <v>1</v>
      </c>
      <c r="J710" s="147"/>
      <c r="K710" s="147"/>
      <c r="L710" s="147"/>
      <c r="M710" s="147"/>
      <c r="N710" s="147"/>
      <c r="O710" s="147">
        <v>-1003470351325</v>
      </c>
      <c r="P710" s="147"/>
      <c r="Q710" s="147"/>
      <c r="R710" s="148"/>
      <c r="S710" s="148"/>
      <c r="T710" s="148"/>
      <c r="U710" s="148"/>
      <c r="V710" s="148"/>
      <c r="W710" s="148"/>
      <c r="X710" s="148"/>
      <c r="Y710" s="148"/>
      <c r="Z710" s="148"/>
      <c r="AA710" s="148"/>
      <c r="AB710" s="148"/>
      <c r="AC710" s="148"/>
    </row>
    <row r="711" spans="1:29">
      <c r="A711" s="149">
        <v>45983</v>
      </c>
      <c r="B711" s="147" t="s">
        <v>243</v>
      </c>
      <c r="C711" s="147">
        <v>1</v>
      </c>
      <c r="D711" s="147"/>
      <c r="E711" s="147">
        <v>1</v>
      </c>
      <c r="F711" s="147"/>
      <c r="G711" s="147"/>
      <c r="H711" s="147"/>
      <c r="I711" s="147"/>
      <c r="J711" s="147"/>
      <c r="K711" s="147"/>
      <c r="L711" s="147"/>
      <c r="M711" s="147"/>
      <c r="N711" s="147"/>
      <c r="O711" s="147">
        <v>-1003470351325</v>
      </c>
      <c r="P711" s="147"/>
      <c r="Q711" s="147"/>
      <c r="R711" s="148"/>
      <c r="S711" s="148"/>
      <c r="T711" s="148"/>
      <c r="U711" s="148"/>
      <c r="V711" s="148"/>
      <c r="W711" s="148"/>
      <c r="X711" s="148"/>
      <c r="Y711" s="148"/>
      <c r="Z711" s="148"/>
      <c r="AA711" s="148"/>
      <c r="AB711" s="148"/>
      <c r="AC711" s="148"/>
    </row>
    <row r="712" spans="1:29">
      <c r="A712" s="149">
        <v>45983</v>
      </c>
      <c r="B712" s="147" t="s">
        <v>61</v>
      </c>
      <c r="C712" s="147">
        <v>3</v>
      </c>
      <c r="D712" s="147">
        <v>2</v>
      </c>
      <c r="E712" s="147"/>
      <c r="F712" s="147"/>
      <c r="G712" s="147"/>
      <c r="H712" s="147"/>
      <c r="I712" s="147">
        <v>1</v>
      </c>
      <c r="J712" s="147"/>
      <c r="K712" s="147"/>
      <c r="L712" s="147"/>
      <c r="M712" s="147"/>
      <c r="N712" s="147"/>
      <c r="O712" s="147">
        <v>-1003470351325</v>
      </c>
      <c r="P712" s="147"/>
      <c r="Q712" s="147">
        <v>19</v>
      </c>
      <c r="R712" s="148"/>
      <c r="S712" s="148"/>
      <c r="T712" s="148"/>
      <c r="U712" s="148"/>
      <c r="V712" s="148"/>
      <c r="W712" s="148"/>
      <c r="X712" s="148"/>
      <c r="Y712" s="148"/>
      <c r="Z712" s="148"/>
      <c r="AA712" s="148"/>
      <c r="AB712" s="148"/>
      <c r="AC712" s="148"/>
    </row>
    <row r="713" spans="1:29">
      <c r="A713" s="149">
        <v>45984</v>
      </c>
      <c r="B713" s="147" t="s">
        <v>1774</v>
      </c>
      <c r="C713" s="147">
        <v>1</v>
      </c>
      <c r="D713" s="147">
        <v>1</v>
      </c>
      <c r="E713" s="147"/>
      <c r="F713" s="147"/>
      <c r="G713" s="147"/>
      <c r="H713" s="147"/>
      <c r="I713" s="147"/>
      <c r="J713" s="147"/>
      <c r="K713" s="147"/>
      <c r="L713" s="147"/>
      <c r="M713" s="147"/>
      <c r="N713" s="147"/>
      <c r="O713" s="147">
        <v>-1003470351325</v>
      </c>
      <c r="P713" s="147"/>
      <c r="Q713" s="147"/>
      <c r="R713" s="148"/>
      <c r="S713" s="148"/>
      <c r="T713" s="148"/>
      <c r="U713" s="148"/>
      <c r="V713" s="148"/>
      <c r="W713" s="148"/>
      <c r="X713" s="148"/>
      <c r="Y713" s="148"/>
      <c r="Z713" s="148"/>
      <c r="AA713" s="148"/>
      <c r="AB713" s="148"/>
      <c r="AC713" s="148"/>
    </row>
    <row r="714" spans="1:29">
      <c r="A714" s="149">
        <v>45984</v>
      </c>
      <c r="B714" s="147" t="s">
        <v>115</v>
      </c>
      <c r="C714" s="147">
        <v>1</v>
      </c>
      <c r="D714" s="147">
        <v>1</v>
      </c>
      <c r="E714" s="147"/>
      <c r="F714" s="147"/>
      <c r="G714" s="147"/>
      <c r="H714" s="147"/>
      <c r="I714" s="147"/>
      <c r="J714" s="147"/>
      <c r="K714" s="147"/>
      <c r="L714" s="147"/>
      <c r="M714" s="147"/>
      <c r="N714" s="147"/>
      <c r="O714" s="147">
        <v>-1003470351325</v>
      </c>
      <c r="P714" s="147"/>
      <c r="Q714" s="147"/>
      <c r="R714" s="148"/>
      <c r="S714" s="148"/>
      <c r="T714" s="148"/>
      <c r="U714" s="148"/>
      <c r="V714" s="148"/>
      <c r="W714" s="148"/>
      <c r="X714" s="148"/>
      <c r="Y714" s="148"/>
      <c r="Z714" s="148"/>
      <c r="AA714" s="148"/>
      <c r="AB714" s="148"/>
      <c r="AC714" s="148"/>
    </row>
    <row r="715" spans="1:29">
      <c r="A715" s="149">
        <v>45984</v>
      </c>
      <c r="B715" s="147" t="s">
        <v>243</v>
      </c>
      <c r="C715" s="147"/>
      <c r="D715" s="147"/>
      <c r="E715" s="147"/>
      <c r="F715" s="147"/>
      <c r="G715" s="147"/>
      <c r="H715" s="147"/>
      <c r="I715" s="147"/>
      <c r="J715" s="147"/>
      <c r="K715" s="147"/>
      <c r="L715" s="147"/>
      <c r="M715" s="147"/>
      <c r="N715" s="147"/>
      <c r="O715" s="147">
        <v>-1003470351325</v>
      </c>
      <c r="P715" s="147"/>
      <c r="Q715" s="147"/>
      <c r="R715" s="148"/>
      <c r="S715" s="148"/>
      <c r="T715" s="148"/>
      <c r="U715" s="148"/>
      <c r="V715" s="148"/>
      <c r="W715" s="148"/>
      <c r="X715" s="148"/>
      <c r="Y715" s="148"/>
      <c r="Z715" s="148"/>
      <c r="AA715" s="148"/>
      <c r="AB715" s="148"/>
      <c r="AC715" s="148"/>
    </row>
    <row r="716" spans="1:29">
      <c r="A716" s="149">
        <v>45985</v>
      </c>
      <c r="B716" s="147" t="s">
        <v>115</v>
      </c>
      <c r="C716" s="147">
        <v>1</v>
      </c>
      <c r="D716" s="147"/>
      <c r="E716" s="147"/>
      <c r="F716" s="147"/>
      <c r="G716" s="147"/>
      <c r="H716" s="147"/>
      <c r="I716" s="147">
        <v>1</v>
      </c>
      <c r="J716" s="147"/>
      <c r="K716" s="147"/>
      <c r="L716" s="147"/>
      <c r="M716" s="147"/>
      <c r="N716" s="147"/>
      <c r="O716" s="147">
        <v>-1003470351325</v>
      </c>
      <c r="P716" s="147"/>
      <c r="Q716" s="147"/>
      <c r="R716" s="148"/>
      <c r="S716" s="148"/>
      <c r="T716" s="148"/>
      <c r="U716" s="148"/>
      <c r="V716" s="148"/>
      <c r="W716" s="148"/>
      <c r="X716" s="148"/>
      <c r="Y716" s="148"/>
      <c r="Z716" s="148"/>
      <c r="AA716" s="148"/>
      <c r="AB716" s="148"/>
      <c r="AC716" s="148"/>
    </row>
    <row r="717" spans="1:29">
      <c r="A717" s="149">
        <v>45985</v>
      </c>
      <c r="B717" s="147" t="s">
        <v>1774</v>
      </c>
      <c r="C717" s="147">
        <v>1</v>
      </c>
      <c r="D717" s="147"/>
      <c r="E717" s="147"/>
      <c r="F717" s="147"/>
      <c r="G717" s="147"/>
      <c r="H717" s="147"/>
      <c r="I717" s="147">
        <v>1</v>
      </c>
      <c r="J717" s="147"/>
      <c r="K717" s="147"/>
      <c r="L717" s="147"/>
      <c r="M717" s="147"/>
      <c r="N717" s="147"/>
      <c r="O717" s="147">
        <v>-1003470351325</v>
      </c>
      <c r="P717" s="147"/>
      <c r="Q717" s="147">
        <v>3</v>
      </c>
      <c r="R717" s="148"/>
      <c r="S717" s="148"/>
      <c r="T717" s="148"/>
      <c r="U717" s="148"/>
      <c r="V717" s="148"/>
      <c r="W717" s="148"/>
      <c r="X717" s="148"/>
      <c r="Y717" s="148"/>
      <c r="Z717" s="148"/>
      <c r="AA717" s="148"/>
      <c r="AB717" s="148"/>
      <c r="AC717" s="148"/>
    </row>
    <row r="718" spans="1:29">
      <c r="A718" s="149">
        <v>45985</v>
      </c>
      <c r="B718" s="147" t="s">
        <v>243</v>
      </c>
      <c r="C718" s="147"/>
      <c r="D718" s="147"/>
      <c r="E718" s="147"/>
      <c r="F718" s="147"/>
      <c r="G718" s="147"/>
      <c r="H718" s="147"/>
      <c r="I718" s="147"/>
      <c r="J718" s="147"/>
      <c r="K718" s="147"/>
      <c r="L718" s="147"/>
      <c r="M718" s="147"/>
      <c r="N718" s="147"/>
      <c r="O718" s="147">
        <v>-1003470351325</v>
      </c>
      <c r="P718" s="147"/>
      <c r="Q718" s="147">
        <v>4</v>
      </c>
      <c r="R718" s="148"/>
      <c r="S718" s="148"/>
      <c r="T718" s="148"/>
      <c r="U718" s="148"/>
      <c r="V718" s="148"/>
      <c r="W718" s="148"/>
      <c r="X718" s="148"/>
      <c r="Y718" s="148"/>
      <c r="Z718" s="148"/>
      <c r="AA718" s="148"/>
      <c r="AB718" s="148"/>
      <c r="AC718" s="148"/>
    </row>
    <row r="719" spans="1:29">
      <c r="A719" s="149">
        <v>45986</v>
      </c>
      <c r="B719" s="147" t="s">
        <v>115</v>
      </c>
      <c r="C719" s="147">
        <v>2</v>
      </c>
      <c r="D719" s="147">
        <v>1</v>
      </c>
      <c r="E719" s="147"/>
      <c r="F719" s="147"/>
      <c r="G719" s="147"/>
      <c r="H719" s="147"/>
      <c r="I719" s="147"/>
      <c r="J719" s="147">
        <v>1</v>
      </c>
      <c r="K719" s="147"/>
      <c r="L719" s="147"/>
      <c r="M719" s="147"/>
      <c r="N719" s="147"/>
      <c r="O719" s="147">
        <v>-1003470351325</v>
      </c>
      <c r="P719" s="147"/>
      <c r="Q719" s="147">
        <v>2</v>
      </c>
      <c r="R719" s="148"/>
      <c r="S719" s="148"/>
      <c r="T719" s="148"/>
      <c r="U719" s="148"/>
      <c r="V719" s="148"/>
      <c r="W719" s="148"/>
      <c r="X719" s="148"/>
      <c r="Y719" s="148"/>
      <c r="Z719" s="148"/>
      <c r="AA719" s="148"/>
      <c r="AB719" s="148"/>
      <c r="AC719" s="148"/>
    </row>
    <row r="720" spans="1:29">
      <c r="A720" s="149">
        <v>45985</v>
      </c>
      <c r="B720" s="147" t="s">
        <v>61</v>
      </c>
      <c r="C720" s="147"/>
      <c r="D720" s="147"/>
      <c r="E720" s="147"/>
      <c r="F720" s="147"/>
      <c r="G720" s="147"/>
      <c r="H720" s="147"/>
      <c r="I720" s="147"/>
      <c r="J720" s="147"/>
      <c r="K720" s="147"/>
      <c r="L720" s="147"/>
      <c r="M720" s="147"/>
      <c r="N720" s="147"/>
      <c r="O720" s="147">
        <v>-1003470351325</v>
      </c>
      <c r="P720" s="147"/>
      <c r="Q720" s="147">
        <v>6</v>
      </c>
      <c r="R720" s="148"/>
      <c r="S720" s="148"/>
      <c r="T720" s="148"/>
      <c r="U720" s="148"/>
      <c r="V720" s="148"/>
      <c r="W720" s="148"/>
      <c r="X720" s="148"/>
      <c r="Y720" s="148"/>
      <c r="Z720" s="148"/>
      <c r="AA720" s="148"/>
      <c r="AB720" s="148"/>
      <c r="AC720" s="148"/>
    </row>
    <row r="721" spans="1:29">
      <c r="A721" s="149">
        <v>45986</v>
      </c>
      <c r="B721" s="147" t="s">
        <v>61</v>
      </c>
      <c r="C721" s="147">
        <v>2</v>
      </c>
      <c r="D721" s="147">
        <v>1</v>
      </c>
      <c r="E721" s="147"/>
      <c r="F721" s="147"/>
      <c r="G721" s="147"/>
      <c r="H721" s="147"/>
      <c r="I721" s="147"/>
      <c r="J721" s="147">
        <v>1</v>
      </c>
      <c r="K721" s="147"/>
      <c r="L721" s="147"/>
      <c r="M721" s="147"/>
      <c r="N721" s="147"/>
      <c r="O721" s="147">
        <v>-1003470351325</v>
      </c>
      <c r="P721" s="147"/>
      <c r="Q721" s="147">
        <v>5</v>
      </c>
      <c r="R721" s="148"/>
      <c r="S721" s="148"/>
      <c r="T721" s="148"/>
      <c r="U721" s="148"/>
      <c r="V721" s="148"/>
      <c r="W721" s="148"/>
      <c r="X721" s="148"/>
      <c r="Y721" s="148"/>
      <c r="Z721" s="148"/>
      <c r="AA721" s="148"/>
      <c r="AB721" s="148"/>
      <c r="AC721" s="148"/>
    </row>
    <row r="722" spans="1:29">
      <c r="A722" s="149">
        <v>45986</v>
      </c>
      <c r="B722" s="147" t="s">
        <v>243</v>
      </c>
      <c r="C722" s="147"/>
      <c r="D722" s="147"/>
      <c r="E722" s="147"/>
      <c r="F722" s="147"/>
      <c r="G722" s="147"/>
      <c r="H722" s="147"/>
      <c r="I722" s="147"/>
      <c r="J722" s="147"/>
      <c r="K722" s="147"/>
      <c r="L722" s="147"/>
      <c r="M722" s="147"/>
      <c r="N722" s="147"/>
      <c r="O722" s="147">
        <v>-1003470351325</v>
      </c>
      <c r="P722" s="147"/>
      <c r="Q722" s="147">
        <v>4</v>
      </c>
      <c r="R722" s="148"/>
      <c r="S722" s="148"/>
      <c r="T722" s="148"/>
      <c r="U722" s="148"/>
      <c r="V722" s="148"/>
      <c r="W722" s="148"/>
      <c r="X722" s="148"/>
      <c r="Y722" s="148"/>
      <c r="Z722" s="148"/>
      <c r="AA722" s="148"/>
      <c r="AB722" s="148"/>
      <c r="AC722" s="148"/>
    </row>
    <row r="723" spans="1:29">
      <c r="A723" s="149">
        <v>45987</v>
      </c>
      <c r="B723" s="147" t="s">
        <v>115</v>
      </c>
      <c r="C723" s="147">
        <v>1</v>
      </c>
      <c r="D723" s="147"/>
      <c r="E723" s="147"/>
      <c r="F723" s="147"/>
      <c r="G723" s="147"/>
      <c r="H723" s="147"/>
      <c r="I723" s="147"/>
      <c r="J723" s="147">
        <v>1</v>
      </c>
      <c r="K723" s="147"/>
      <c r="L723" s="147"/>
      <c r="M723" s="147"/>
      <c r="N723" s="147"/>
      <c r="O723" s="147">
        <v>-1003470351325</v>
      </c>
      <c r="P723" s="147"/>
      <c r="Q723" s="147">
        <v>4</v>
      </c>
      <c r="R723" s="148"/>
      <c r="S723" s="148"/>
      <c r="T723" s="148"/>
      <c r="U723" s="148"/>
      <c r="V723" s="148"/>
      <c r="W723" s="148"/>
      <c r="X723" s="148"/>
      <c r="Y723" s="148"/>
      <c r="Z723" s="148"/>
      <c r="AA723" s="148"/>
      <c r="AB723" s="148"/>
      <c r="AC723" s="148"/>
    </row>
    <row r="724" spans="1:29">
      <c r="A724" s="149">
        <v>45987</v>
      </c>
      <c r="B724" s="147" t="s">
        <v>61</v>
      </c>
      <c r="C724" s="147">
        <v>2</v>
      </c>
      <c r="D724" s="147">
        <v>1</v>
      </c>
      <c r="E724" s="147"/>
      <c r="F724" s="147"/>
      <c r="G724" s="147"/>
      <c r="H724" s="147"/>
      <c r="I724" s="147">
        <v>1</v>
      </c>
      <c r="J724" s="147"/>
      <c r="K724" s="147"/>
      <c r="L724" s="147"/>
      <c r="M724" s="147"/>
      <c r="N724" s="147"/>
      <c r="O724" s="147">
        <v>-1003470351325</v>
      </c>
      <c r="P724" s="147"/>
      <c r="Q724" s="147">
        <v>6</v>
      </c>
      <c r="R724" s="148"/>
      <c r="S724" s="148"/>
      <c r="T724" s="148"/>
      <c r="U724" s="148"/>
      <c r="V724" s="148"/>
      <c r="W724" s="148"/>
      <c r="X724" s="148"/>
      <c r="Y724" s="148"/>
      <c r="Z724" s="148"/>
      <c r="AA724" s="148"/>
      <c r="AB724" s="148"/>
      <c r="AC724" s="148"/>
    </row>
    <row r="725" spans="1:29">
      <c r="A725" s="149">
        <v>45987</v>
      </c>
      <c r="B725" s="147" t="s">
        <v>1774</v>
      </c>
      <c r="C725" s="147">
        <v>2</v>
      </c>
      <c r="D725" s="147"/>
      <c r="E725" s="147"/>
      <c r="F725" s="147"/>
      <c r="G725" s="147"/>
      <c r="H725" s="147"/>
      <c r="I725" s="147">
        <v>1</v>
      </c>
      <c r="J725" s="147"/>
      <c r="K725" s="147">
        <v>1</v>
      </c>
      <c r="L725" s="147"/>
      <c r="M725" s="147"/>
      <c r="N725" s="147"/>
      <c r="O725" s="147">
        <v>-1003470351325</v>
      </c>
      <c r="P725" s="147"/>
      <c r="Q725" s="147">
        <v>1</v>
      </c>
      <c r="R725" s="148"/>
      <c r="S725" s="148"/>
      <c r="T725" s="148"/>
      <c r="U725" s="148"/>
      <c r="V725" s="148"/>
      <c r="W725" s="148"/>
      <c r="X725" s="148"/>
      <c r="Y725" s="148"/>
      <c r="Z725" s="148"/>
      <c r="AA725" s="148"/>
      <c r="AB725" s="148"/>
      <c r="AC725" s="148"/>
    </row>
    <row r="726" spans="1:29">
      <c r="A726" s="149">
        <v>45987</v>
      </c>
      <c r="B726" s="147" t="s">
        <v>243</v>
      </c>
      <c r="C726" s="147"/>
      <c r="D726" s="147"/>
      <c r="E726" s="147"/>
      <c r="F726" s="147"/>
      <c r="G726" s="147"/>
      <c r="H726" s="147"/>
      <c r="I726" s="147"/>
      <c r="J726" s="147"/>
      <c r="K726" s="147"/>
      <c r="L726" s="147"/>
      <c r="M726" s="147"/>
      <c r="N726" s="147"/>
      <c r="O726" s="147">
        <v>-1003470351325</v>
      </c>
      <c r="P726" s="147"/>
      <c r="Q726" s="147">
        <v>3</v>
      </c>
      <c r="R726" s="148"/>
      <c r="S726" s="148"/>
      <c r="T726" s="148"/>
      <c r="U726" s="148"/>
      <c r="V726" s="148"/>
      <c r="W726" s="148"/>
      <c r="X726" s="148"/>
      <c r="Y726" s="148"/>
      <c r="Z726" s="148"/>
      <c r="AA726" s="148"/>
      <c r="AB726" s="148"/>
      <c r="AC726" s="148"/>
    </row>
    <row r="727" spans="1:29">
      <c r="A727" s="149">
        <v>45988</v>
      </c>
      <c r="B727" s="147" t="s">
        <v>115</v>
      </c>
      <c r="C727" s="147">
        <v>1</v>
      </c>
      <c r="D727" s="147"/>
      <c r="E727" s="147"/>
      <c r="F727" s="147"/>
      <c r="G727" s="147"/>
      <c r="H727" s="147"/>
      <c r="I727" s="147">
        <v>1</v>
      </c>
      <c r="J727" s="147"/>
      <c r="K727" s="147"/>
      <c r="L727" s="147"/>
      <c r="M727" s="147"/>
      <c r="N727" s="147"/>
      <c r="O727" s="147">
        <v>-1003470351325</v>
      </c>
      <c r="P727" s="147"/>
      <c r="Q727" s="147">
        <v>1</v>
      </c>
      <c r="R727" s="148"/>
      <c r="S727" s="148"/>
      <c r="T727" s="148"/>
      <c r="U727" s="148"/>
      <c r="V727" s="148"/>
      <c r="W727" s="148"/>
      <c r="X727" s="148"/>
      <c r="Y727" s="148"/>
      <c r="Z727" s="148"/>
      <c r="AA727" s="148"/>
      <c r="AB727" s="148"/>
      <c r="AC727" s="148"/>
    </row>
    <row r="728" spans="1:29">
      <c r="A728" s="149">
        <v>45988</v>
      </c>
      <c r="B728" s="147" t="s">
        <v>1774</v>
      </c>
      <c r="C728" s="147">
        <v>1</v>
      </c>
      <c r="D728" s="147">
        <v>1</v>
      </c>
      <c r="E728" s="147"/>
      <c r="F728" s="147"/>
      <c r="G728" s="147"/>
      <c r="H728" s="147"/>
      <c r="I728" s="147"/>
      <c r="J728" s="147"/>
      <c r="K728" s="147"/>
      <c r="L728" s="147"/>
      <c r="M728" s="147"/>
      <c r="N728" s="147"/>
      <c r="O728" s="147">
        <v>-1003470351325</v>
      </c>
      <c r="P728" s="147"/>
      <c r="Q728" s="147">
        <v>2</v>
      </c>
      <c r="R728" s="148"/>
      <c r="S728" s="148"/>
      <c r="T728" s="148"/>
      <c r="U728" s="148"/>
      <c r="V728" s="148"/>
      <c r="W728" s="148"/>
      <c r="X728" s="148"/>
      <c r="Y728" s="148"/>
      <c r="Z728" s="148"/>
      <c r="AA728" s="148"/>
      <c r="AB728" s="148"/>
      <c r="AC728" s="148"/>
    </row>
    <row r="729" spans="1:29">
      <c r="A729" s="149">
        <v>45989</v>
      </c>
      <c r="B729" s="147" t="s">
        <v>115</v>
      </c>
      <c r="C729" s="147">
        <v>4</v>
      </c>
      <c r="D729" s="147">
        <v>1</v>
      </c>
      <c r="E729" s="147"/>
      <c r="F729" s="147"/>
      <c r="G729" s="147"/>
      <c r="H729" s="147"/>
      <c r="I729" s="147">
        <v>1</v>
      </c>
      <c r="J729" s="147"/>
      <c r="K729" s="147">
        <v>1</v>
      </c>
      <c r="L729" s="147"/>
      <c r="M729" s="147">
        <v>1</v>
      </c>
      <c r="N729" s="147"/>
      <c r="O729" s="147">
        <v>-1003470351325</v>
      </c>
      <c r="P729" s="147"/>
      <c r="Q729" s="147"/>
      <c r="R729" s="148"/>
      <c r="S729" s="148"/>
      <c r="T729" s="148"/>
      <c r="U729" s="148"/>
      <c r="V729" s="148"/>
      <c r="W729" s="148"/>
      <c r="X729" s="148"/>
      <c r="Y729" s="148"/>
      <c r="Z729" s="148"/>
      <c r="AA729" s="148"/>
      <c r="AB729" s="148"/>
      <c r="AC729" s="148"/>
    </row>
    <row r="730" spans="1:29">
      <c r="A730" s="149">
        <v>45989</v>
      </c>
      <c r="B730" s="147" t="s">
        <v>1774</v>
      </c>
      <c r="C730" s="147"/>
      <c r="D730" s="147"/>
      <c r="E730" s="147"/>
      <c r="F730" s="147"/>
      <c r="G730" s="147"/>
      <c r="H730" s="147"/>
      <c r="I730" s="147"/>
      <c r="J730" s="147"/>
      <c r="K730" s="147"/>
      <c r="L730" s="147"/>
      <c r="M730" s="147"/>
      <c r="N730" s="147"/>
      <c r="O730" s="147">
        <v>-1003470351325</v>
      </c>
      <c r="P730" s="147"/>
      <c r="Q730" s="147"/>
      <c r="R730" s="148"/>
      <c r="S730" s="148"/>
      <c r="T730" s="148"/>
      <c r="U730" s="148"/>
      <c r="V730" s="148"/>
      <c r="W730" s="148"/>
      <c r="X730" s="148"/>
      <c r="Y730" s="148"/>
      <c r="Z730" s="148"/>
      <c r="AA730" s="148"/>
      <c r="AB730" s="148"/>
      <c r="AC730" s="148"/>
    </row>
    <row r="731" spans="1:29">
      <c r="A731" s="149">
        <v>45988</v>
      </c>
      <c r="B731" s="147" t="s">
        <v>243</v>
      </c>
      <c r="C731" s="147"/>
      <c r="D731" s="147"/>
      <c r="E731" s="147"/>
      <c r="F731" s="147"/>
      <c r="G731" s="147"/>
      <c r="H731" s="147"/>
      <c r="I731" s="147"/>
      <c r="J731" s="147"/>
      <c r="K731" s="147"/>
      <c r="L731" s="147"/>
      <c r="M731" s="147"/>
      <c r="N731" s="147"/>
      <c r="O731" s="147">
        <v>-1003470351325</v>
      </c>
      <c r="P731" s="147"/>
      <c r="Q731" s="147">
        <v>2</v>
      </c>
      <c r="R731" s="148"/>
      <c r="S731" s="148"/>
      <c r="T731" s="148"/>
      <c r="U731" s="148"/>
      <c r="V731" s="148"/>
      <c r="W731" s="148"/>
      <c r="X731" s="148"/>
      <c r="Y731" s="148"/>
      <c r="Z731" s="148"/>
      <c r="AA731" s="148"/>
      <c r="AB731" s="148"/>
      <c r="AC731" s="148"/>
    </row>
    <row r="732" spans="1:29">
      <c r="A732" s="149">
        <v>45989</v>
      </c>
      <c r="B732" s="147" t="s">
        <v>243</v>
      </c>
      <c r="C732" s="147">
        <v>1</v>
      </c>
      <c r="D732" s="147"/>
      <c r="E732" s="147"/>
      <c r="F732" s="147"/>
      <c r="G732" s="147"/>
      <c r="H732" s="147"/>
      <c r="I732" s="147">
        <v>1</v>
      </c>
      <c r="J732" s="147"/>
      <c r="K732" s="147"/>
      <c r="L732" s="147"/>
      <c r="M732" s="147"/>
      <c r="N732" s="147"/>
      <c r="O732" s="147">
        <v>-1003470351325</v>
      </c>
      <c r="P732" s="147"/>
      <c r="Q732" s="147">
        <v>1</v>
      </c>
      <c r="R732" s="148"/>
      <c r="S732" s="148"/>
      <c r="T732" s="148"/>
      <c r="U732" s="148"/>
      <c r="V732" s="148"/>
      <c r="W732" s="148"/>
      <c r="X732" s="148"/>
      <c r="Y732" s="148"/>
      <c r="Z732" s="148"/>
      <c r="AA732" s="148"/>
      <c r="AB732" s="148"/>
      <c r="AC732" s="148"/>
    </row>
    <row r="733" spans="1:29">
      <c r="A733" s="149">
        <v>45990</v>
      </c>
      <c r="B733" s="147" t="s">
        <v>115</v>
      </c>
      <c r="C733" s="147">
        <v>2</v>
      </c>
      <c r="D733" s="147"/>
      <c r="E733" s="147"/>
      <c r="F733" s="147"/>
      <c r="G733" s="147"/>
      <c r="H733" s="147"/>
      <c r="I733" s="147">
        <v>2</v>
      </c>
      <c r="J733" s="147"/>
      <c r="K733" s="147"/>
      <c r="L733" s="147"/>
      <c r="M733" s="147"/>
      <c r="N733" s="147"/>
      <c r="O733" s="147">
        <v>-1003470351325</v>
      </c>
      <c r="P733" s="147"/>
      <c r="Q733" s="147"/>
      <c r="R733" s="148"/>
      <c r="S733" s="148"/>
      <c r="T733" s="148"/>
      <c r="U733" s="148"/>
      <c r="V733" s="148"/>
      <c r="W733" s="148"/>
      <c r="X733" s="148"/>
      <c r="Y733" s="148"/>
      <c r="Z733" s="148"/>
      <c r="AA733" s="148"/>
      <c r="AB733" s="148"/>
      <c r="AC733" s="148"/>
    </row>
    <row r="734" spans="1:29">
      <c r="A734" s="149">
        <v>45988</v>
      </c>
      <c r="B734" s="147" t="s">
        <v>61</v>
      </c>
      <c r="C734" s="147"/>
      <c r="D734" s="147"/>
      <c r="E734" s="147"/>
      <c r="F734" s="147"/>
      <c r="G734" s="147"/>
      <c r="H734" s="147"/>
      <c r="I734" s="147"/>
      <c r="J734" s="147"/>
      <c r="K734" s="147"/>
      <c r="L734" s="147"/>
      <c r="M734" s="147"/>
      <c r="N734" s="147"/>
      <c r="O734" s="147">
        <v>-1003470351325</v>
      </c>
      <c r="P734" s="147"/>
      <c r="Q734" s="147">
        <v>3</v>
      </c>
      <c r="R734" s="148"/>
      <c r="S734" s="148"/>
      <c r="T734" s="148"/>
      <c r="U734" s="148"/>
      <c r="V734" s="148"/>
      <c r="W734" s="148"/>
      <c r="X734" s="148"/>
      <c r="Y734" s="148"/>
      <c r="Z734" s="148"/>
      <c r="AA734" s="148"/>
      <c r="AB734" s="148"/>
      <c r="AC734" s="148"/>
    </row>
    <row r="735" spans="1:29">
      <c r="A735" s="149">
        <v>45989</v>
      </c>
      <c r="B735" s="147" t="s">
        <v>61</v>
      </c>
      <c r="C735" s="147">
        <v>1</v>
      </c>
      <c r="D735" s="147"/>
      <c r="E735" s="147"/>
      <c r="F735" s="147"/>
      <c r="G735" s="147"/>
      <c r="H735" s="147"/>
      <c r="I735" s="147">
        <v>1</v>
      </c>
      <c r="J735" s="147"/>
      <c r="K735" s="147"/>
      <c r="L735" s="147"/>
      <c r="M735" s="147"/>
      <c r="N735" s="147"/>
      <c r="O735" s="147">
        <v>-1003470351325</v>
      </c>
      <c r="P735" s="147"/>
      <c r="Q735" s="147"/>
      <c r="R735" s="148"/>
      <c r="S735" s="148"/>
      <c r="T735" s="148"/>
      <c r="U735" s="148"/>
      <c r="V735" s="148"/>
      <c r="W735" s="148"/>
      <c r="X735" s="148"/>
      <c r="Y735" s="148"/>
      <c r="Z735" s="148"/>
      <c r="AA735" s="148"/>
      <c r="AB735" s="148"/>
      <c r="AC735" s="148"/>
    </row>
    <row r="736" spans="1:29">
      <c r="A736" s="149">
        <v>45990</v>
      </c>
      <c r="B736" s="147" t="s">
        <v>61</v>
      </c>
      <c r="C736" s="147">
        <v>1</v>
      </c>
      <c r="D736" s="147">
        <v>1</v>
      </c>
      <c r="E736" s="147"/>
      <c r="F736" s="147"/>
      <c r="G736" s="147"/>
      <c r="H736" s="147"/>
      <c r="I736" s="147"/>
      <c r="J736" s="147"/>
      <c r="K736" s="147"/>
      <c r="L736" s="147"/>
      <c r="M736" s="147"/>
      <c r="N736" s="147"/>
      <c r="O736" s="147">
        <v>-1003470351325</v>
      </c>
      <c r="P736" s="147"/>
      <c r="Q736" s="147">
        <v>3</v>
      </c>
      <c r="R736" s="148"/>
      <c r="S736" s="148"/>
      <c r="T736" s="148"/>
      <c r="U736" s="148"/>
      <c r="V736" s="148"/>
      <c r="W736" s="148"/>
      <c r="X736" s="148"/>
      <c r="Y736" s="148"/>
      <c r="Z736" s="148"/>
      <c r="AA736" s="148"/>
      <c r="AB736" s="148"/>
      <c r="AC736" s="148"/>
    </row>
    <row r="737" spans="1:29">
      <c r="A737" s="149">
        <v>45990</v>
      </c>
      <c r="B737" s="147" t="s">
        <v>1774</v>
      </c>
      <c r="C737" s="147">
        <v>1</v>
      </c>
      <c r="D737" s="147"/>
      <c r="E737" s="147"/>
      <c r="F737" s="147"/>
      <c r="G737" s="147"/>
      <c r="H737" s="147"/>
      <c r="I737" s="147">
        <v>1</v>
      </c>
      <c r="J737" s="147"/>
      <c r="K737" s="147"/>
      <c r="L737" s="147"/>
      <c r="M737" s="147"/>
      <c r="N737" s="147"/>
      <c r="O737" s="147">
        <v>-1003470351325</v>
      </c>
      <c r="P737" s="147"/>
      <c r="Q737" s="147">
        <v>1</v>
      </c>
      <c r="R737" s="148"/>
      <c r="S737" s="148"/>
      <c r="T737" s="148"/>
      <c r="U737" s="148"/>
      <c r="V737" s="148"/>
      <c r="W737" s="148"/>
      <c r="X737" s="148"/>
      <c r="Y737" s="148"/>
      <c r="Z737" s="148"/>
      <c r="AA737" s="148"/>
      <c r="AB737" s="148"/>
      <c r="AC737" s="148"/>
    </row>
    <row r="738" spans="1:29">
      <c r="A738" s="149">
        <v>45990</v>
      </c>
      <c r="B738" s="147" t="s">
        <v>243</v>
      </c>
      <c r="C738" s="147"/>
      <c r="D738" s="147"/>
      <c r="E738" s="147"/>
      <c r="F738" s="147"/>
      <c r="G738" s="147"/>
      <c r="H738" s="147"/>
      <c r="I738" s="147"/>
      <c r="J738" s="147"/>
      <c r="K738" s="147"/>
      <c r="L738" s="147"/>
      <c r="M738" s="147"/>
      <c r="N738" s="147"/>
      <c r="O738" s="147">
        <v>-1003470351325</v>
      </c>
      <c r="P738" s="147"/>
      <c r="Q738" s="147">
        <v>1</v>
      </c>
      <c r="R738" s="148"/>
      <c r="S738" s="148"/>
      <c r="T738" s="148"/>
      <c r="U738" s="148"/>
      <c r="V738" s="148"/>
      <c r="W738" s="148"/>
      <c r="X738" s="148"/>
      <c r="Y738" s="148"/>
      <c r="Z738" s="148"/>
      <c r="AA738" s="148"/>
      <c r="AB738" s="148"/>
      <c r="AC738" s="148"/>
    </row>
    <row r="739" spans="1:29">
      <c r="A739" s="149">
        <v>45991</v>
      </c>
      <c r="B739" s="147" t="s">
        <v>115</v>
      </c>
      <c r="C739" s="147">
        <v>1</v>
      </c>
      <c r="D739" s="147"/>
      <c r="E739" s="147"/>
      <c r="F739" s="147"/>
      <c r="G739" s="147"/>
      <c r="H739" s="147"/>
      <c r="I739" s="147">
        <v>1</v>
      </c>
      <c r="J739" s="147"/>
      <c r="K739" s="147"/>
      <c r="L739" s="147"/>
      <c r="M739" s="147"/>
      <c r="N739" s="147"/>
      <c r="O739" s="147">
        <v>-1003470351325</v>
      </c>
      <c r="P739" s="147"/>
      <c r="Q739" s="147"/>
      <c r="R739" s="148"/>
      <c r="S739" s="148"/>
      <c r="T739" s="148"/>
      <c r="U739" s="148"/>
      <c r="V739" s="148"/>
      <c r="W739" s="148"/>
      <c r="X739" s="148"/>
      <c r="Y739" s="148"/>
      <c r="Z739" s="148"/>
      <c r="AA739" s="148"/>
      <c r="AB739" s="148"/>
      <c r="AC739" s="148"/>
    </row>
    <row r="740" spans="1:29">
      <c r="A740" s="149">
        <v>45991</v>
      </c>
      <c r="B740" s="147" t="s">
        <v>1774</v>
      </c>
      <c r="C740" s="147"/>
      <c r="D740" s="147"/>
      <c r="E740" s="147"/>
      <c r="F740" s="147"/>
      <c r="G740" s="147"/>
      <c r="H740" s="147"/>
      <c r="I740" s="147"/>
      <c r="J740" s="147"/>
      <c r="K740" s="147"/>
      <c r="L740" s="147"/>
      <c r="M740" s="147"/>
      <c r="N740" s="147"/>
      <c r="O740" s="147">
        <v>-1003470351325</v>
      </c>
      <c r="P740" s="147"/>
      <c r="Q740" s="147"/>
      <c r="R740" s="148"/>
      <c r="S740" s="148"/>
      <c r="T740" s="148"/>
      <c r="U740" s="148"/>
      <c r="V740" s="148"/>
      <c r="W740" s="148"/>
      <c r="X740" s="148"/>
      <c r="Y740" s="148"/>
      <c r="Z740" s="148"/>
      <c r="AA740" s="148"/>
      <c r="AB740" s="148"/>
      <c r="AC740" s="148"/>
    </row>
    <row r="741" spans="1:29">
      <c r="A741" s="147" t="s">
        <v>8284</v>
      </c>
      <c r="B741" s="147" t="s">
        <v>61</v>
      </c>
      <c r="C741" s="147">
        <v>5</v>
      </c>
      <c r="D741" s="147">
        <v>2</v>
      </c>
      <c r="E741" s="147"/>
      <c r="F741" s="147"/>
      <c r="G741" s="147"/>
      <c r="H741" s="147"/>
      <c r="I741" s="147"/>
      <c r="J741" s="147">
        <v>3</v>
      </c>
      <c r="K741" s="147"/>
      <c r="L741" s="147"/>
      <c r="M741" s="147"/>
      <c r="N741" s="147"/>
      <c r="O741" s="147"/>
      <c r="P741" s="147"/>
      <c r="Q741" s="147">
        <v>1</v>
      </c>
      <c r="R741" s="148"/>
      <c r="S741" s="148"/>
      <c r="T741" s="148"/>
      <c r="U741" s="148"/>
      <c r="V741" s="148"/>
      <c r="W741" s="148"/>
      <c r="X741" s="148"/>
      <c r="Y741" s="148"/>
      <c r="Z741" s="148"/>
      <c r="AA741" s="148"/>
      <c r="AB741" s="148"/>
      <c r="AC741" s="148"/>
    </row>
    <row r="742" spans="1:29">
      <c r="A742" s="149">
        <v>45991</v>
      </c>
      <c r="B742" s="147" t="s">
        <v>61</v>
      </c>
      <c r="C742" s="147">
        <v>2</v>
      </c>
      <c r="D742" s="147">
        <v>1</v>
      </c>
      <c r="E742" s="147"/>
      <c r="F742" s="147"/>
      <c r="G742" s="147"/>
      <c r="H742" s="147"/>
      <c r="I742" s="147">
        <v>1</v>
      </c>
      <c r="J742" s="147"/>
      <c r="K742" s="147"/>
      <c r="L742" s="147"/>
      <c r="M742" s="147"/>
      <c r="N742" s="147"/>
      <c r="O742" s="147">
        <v>-1003470351325</v>
      </c>
      <c r="P742" s="147"/>
      <c r="Q742" s="147"/>
      <c r="R742" s="148"/>
      <c r="S742" s="148"/>
      <c r="T742" s="148"/>
      <c r="U742" s="148"/>
      <c r="V742" s="148"/>
      <c r="W742" s="148"/>
      <c r="X742" s="148"/>
      <c r="Y742" s="148"/>
      <c r="Z742" s="148"/>
      <c r="AA742" s="148"/>
      <c r="AB742" s="148"/>
      <c r="AC742" s="148"/>
    </row>
    <row r="743" spans="1:29">
      <c r="A743" s="147" t="s">
        <v>8284</v>
      </c>
      <c r="B743" s="147" t="s">
        <v>61</v>
      </c>
      <c r="C743" s="147">
        <v>4</v>
      </c>
      <c r="D743" s="147">
        <v>1</v>
      </c>
      <c r="E743" s="147"/>
      <c r="F743" s="147"/>
      <c r="G743" s="147"/>
      <c r="H743" s="147"/>
      <c r="I743" s="147"/>
      <c r="J743" s="147">
        <v>3</v>
      </c>
      <c r="K743" s="147"/>
      <c r="L743" s="147"/>
      <c r="M743" s="147"/>
      <c r="N743" s="147"/>
      <c r="O743" s="147">
        <v>-1003470351325</v>
      </c>
      <c r="P743" s="147"/>
      <c r="Q743" s="147">
        <v>1</v>
      </c>
      <c r="R743" s="148"/>
      <c r="S743" s="148"/>
      <c r="T743" s="148"/>
      <c r="U743" s="148"/>
      <c r="V743" s="148"/>
      <c r="W743" s="148"/>
      <c r="X743" s="148"/>
      <c r="Y743" s="148"/>
      <c r="Z743" s="148"/>
      <c r="AA743" s="148"/>
      <c r="AB743" s="148"/>
      <c r="AC743" s="148"/>
    </row>
    <row r="744" spans="1:29">
      <c r="A744" s="147" t="s">
        <v>2341</v>
      </c>
      <c r="B744" s="147" t="s">
        <v>115</v>
      </c>
      <c r="C744" s="147">
        <v>4</v>
      </c>
      <c r="D744" s="147">
        <v>1</v>
      </c>
      <c r="E744" s="147"/>
      <c r="F744" s="147"/>
      <c r="G744" s="147"/>
      <c r="H744" s="147"/>
      <c r="I744" s="147"/>
      <c r="J744" s="147">
        <v>1</v>
      </c>
      <c r="K744" s="147"/>
      <c r="L744" s="147">
        <v>1</v>
      </c>
      <c r="M744" s="147">
        <v>1</v>
      </c>
      <c r="N744" s="147"/>
      <c r="O744" s="147">
        <v>-1003470351325</v>
      </c>
      <c r="P744" s="147"/>
      <c r="Q744" s="147">
        <v>2</v>
      </c>
      <c r="R744" s="148"/>
      <c r="S744" s="148"/>
      <c r="T744" s="148"/>
      <c r="U744" s="148"/>
      <c r="V744" s="148"/>
      <c r="W744" s="148"/>
      <c r="X744" s="148"/>
      <c r="Y744" s="148"/>
      <c r="Z744" s="148"/>
      <c r="AA744" s="148"/>
      <c r="AB744" s="148"/>
      <c r="AC744" s="148"/>
    </row>
    <row r="745" spans="1:29">
      <c r="A745" s="147" t="s">
        <v>8284</v>
      </c>
      <c r="B745" s="147" t="s">
        <v>1229</v>
      </c>
      <c r="C745" s="147">
        <v>2</v>
      </c>
      <c r="D745" s="147"/>
      <c r="E745" s="147"/>
      <c r="F745" s="147"/>
      <c r="G745" s="147"/>
      <c r="H745" s="147"/>
      <c r="I745" s="147"/>
      <c r="J745" s="147">
        <v>1</v>
      </c>
      <c r="K745" s="147"/>
      <c r="L745" s="147"/>
      <c r="M745" s="147">
        <v>1</v>
      </c>
      <c r="N745" s="147"/>
      <c r="O745" s="147"/>
      <c r="P745" s="147"/>
      <c r="Q745" s="147"/>
      <c r="R745" s="148"/>
      <c r="S745" s="148"/>
      <c r="T745" s="148"/>
      <c r="U745" s="148"/>
      <c r="V745" s="148"/>
      <c r="W745" s="148"/>
      <c r="X745" s="148"/>
      <c r="Y745" s="148"/>
      <c r="Z745" s="148"/>
      <c r="AA745" s="148"/>
      <c r="AB745" s="148"/>
      <c r="AC745" s="148"/>
    </row>
    <row r="746" spans="1:29">
      <c r="A746" s="147" t="s">
        <v>8284</v>
      </c>
      <c r="B746" s="147" t="s">
        <v>1774</v>
      </c>
      <c r="C746" s="147">
        <v>2</v>
      </c>
      <c r="D746" s="147"/>
      <c r="E746" s="147"/>
      <c r="F746" s="147"/>
      <c r="G746" s="147"/>
      <c r="H746" s="147"/>
      <c r="I746" s="147">
        <v>1</v>
      </c>
      <c r="J746" s="147">
        <v>1</v>
      </c>
      <c r="K746" s="147"/>
      <c r="L746" s="147"/>
      <c r="M746" s="147"/>
      <c r="N746" s="147"/>
      <c r="O746" s="147"/>
      <c r="P746" s="147"/>
      <c r="Q746" s="147"/>
      <c r="R746" s="148"/>
      <c r="S746" s="148"/>
      <c r="T746" s="148"/>
      <c r="U746" s="148"/>
      <c r="V746" s="148"/>
      <c r="W746" s="148"/>
      <c r="X746" s="148"/>
      <c r="Y746" s="148"/>
      <c r="Z746" s="148"/>
      <c r="AA746" s="148"/>
      <c r="AB746" s="148"/>
      <c r="AC746" s="148"/>
    </row>
    <row r="747" spans="1:29">
      <c r="A747" s="149">
        <v>45991</v>
      </c>
      <c r="B747" s="147" t="s">
        <v>243</v>
      </c>
      <c r="C747" s="147"/>
      <c r="D747" s="147"/>
      <c r="E747" s="147"/>
      <c r="F747" s="147"/>
      <c r="G747" s="147"/>
      <c r="H747" s="147"/>
      <c r="I747" s="147"/>
      <c r="J747" s="147"/>
      <c r="K747" s="147"/>
      <c r="L747" s="147"/>
      <c r="M747" s="147"/>
      <c r="N747" s="147"/>
      <c r="O747" s="147">
        <v>-1003470351325</v>
      </c>
      <c r="P747" s="147"/>
      <c r="Q747" s="147">
        <v>2</v>
      </c>
      <c r="R747" s="148"/>
      <c r="S747" s="148"/>
      <c r="T747" s="148"/>
      <c r="U747" s="148"/>
      <c r="V747" s="148"/>
      <c r="W747" s="148"/>
      <c r="X747" s="148"/>
      <c r="Y747" s="148"/>
      <c r="Z747" s="148"/>
      <c r="AA747" s="148"/>
      <c r="AB747" s="148"/>
      <c r="AC747" s="148"/>
    </row>
    <row r="748" spans="1:29">
      <c r="A748" s="147" t="s">
        <v>2341</v>
      </c>
      <c r="B748" s="147" t="s">
        <v>243</v>
      </c>
      <c r="C748" s="147"/>
      <c r="D748" s="147"/>
      <c r="E748" s="147"/>
      <c r="F748" s="147"/>
      <c r="G748" s="147"/>
      <c r="H748" s="147"/>
      <c r="I748" s="147"/>
      <c r="J748" s="147"/>
      <c r="K748" s="147"/>
      <c r="L748" s="147"/>
      <c r="M748" s="147"/>
      <c r="N748" s="147"/>
      <c r="O748" s="147">
        <v>-1003470351325</v>
      </c>
      <c r="P748" s="147"/>
      <c r="Q748" s="147">
        <v>1</v>
      </c>
      <c r="R748" s="148"/>
      <c r="S748" s="148"/>
      <c r="T748" s="148"/>
      <c r="U748" s="148"/>
      <c r="V748" s="148"/>
      <c r="W748" s="148"/>
      <c r="X748" s="148"/>
      <c r="Y748" s="148"/>
      <c r="Z748" s="148"/>
      <c r="AA748" s="148"/>
      <c r="AB748" s="148"/>
      <c r="AC748" s="148"/>
    </row>
    <row r="749" spans="1:29">
      <c r="A749" s="147" t="s">
        <v>3459</v>
      </c>
      <c r="B749" s="147" t="s">
        <v>115</v>
      </c>
      <c r="C749" s="147">
        <v>1</v>
      </c>
      <c r="D749" s="147"/>
      <c r="E749" s="147"/>
      <c r="F749" s="147"/>
      <c r="G749" s="147"/>
      <c r="H749" s="147"/>
      <c r="I749" s="147">
        <v>1</v>
      </c>
      <c r="J749" s="147"/>
      <c r="K749" s="147"/>
      <c r="L749" s="147"/>
      <c r="M749" s="147"/>
      <c r="N749" s="147"/>
      <c r="O749" s="147">
        <v>-1003470351325</v>
      </c>
      <c r="P749" s="147"/>
      <c r="Q749" s="147"/>
      <c r="R749" s="148"/>
      <c r="S749" s="148"/>
      <c r="T749" s="148"/>
      <c r="U749" s="148"/>
      <c r="V749" s="148"/>
      <c r="W749" s="148"/>
      <c r="X749" s="148"/>
      <c r="Y749" s="148"/>
      <c r="Z749" s="148"/>
      <c r="AA749" s="148"/>
      <c r="AB749" s="148"/>
      <c r="AC749" s="148"/>
    </row>
    <row r="750" spans="1:29">
      <c r="A750" s="147" t="s">
        <v>8299</v>
      </c>
      <c r="B750" s="147" t="s">
        <v>61</v>
      </c>
      <c r="C750" s="147">
        <v>5</v>
      </c>
      <c r="D750" s="147">
        <v>3</v>
      </c>
      <c r="E750" s="147"/>
      <c r="F750" s="147"/>
      <c r="G750" s="147"/>
      <c r="H750" s="147"/>
      <c r="I750" s="147"/>
      <c r="J750" s="147">
        <v>1</v>
      </c>
      <c r="K750" s="147"/>
      <c r="L750" s="147"/>
      <c r="M750" s="147">
        <v>1</v>
      </c>
      <c r="N750" s="147"/>
      <c r="O750" s="147"/>
      <c r="P750" s="147"/>
      <c r="Q750" s="147">
        <v>4</v>
      </c>
      <c r="R750" s="148"/>
      <c r="S750" s="148"/>
      <c r="T750" s="148"/>
      <c r="U750" s="148"/>
      <c r="V750" s="148"/>
      <c r="W750" s="148"/>
      <c r="X750" s="148"/>
      <c r="Y750" s="148"/>
      <c r="Z750" s="148"/>
      <c r="AA750" s="148"/>
      <c r="AB750" s="148"/>
      <c r="AC750" s="148"/>
    </row>
    <row r="751" spans="1:29">
      <c r="A751" s="147" t="s">
        <v>8299</v>
      </c>
      <c r="B751" s="147" t="s">
        <v>61</v>
      </c>
      <c r="C751" s="147">
        <v>5</v>
      </c>
      <c r="D751" s="147">
        <v>3</v>
      </c>
      <c r="E751" s="147"/>
      <c r="F751" s="147"/>
      <c r="G751" s="147"/>
      <c r="H751" s="147"/>
      <c r="I751" s="147"/>
      <c r="J751" s="147">
        <v>1</v>
      </c>
      <c r="K751" s="147"/>
      <c r="L751" s="147"/>
      <c r="M751" s="147">
        <v>1</v>
      </c>
      <c r="N751" s="147"/>
      <c r="O751" s="147">
        <v>-1003470351325</v>
      </c>
      <c r="P751" s="147"/>
      <c r="Q751" s="147">
        <v>4</v>
      </c>
      <c r="R751" s="148"/>
      <c r="S751" s="148"/>
      <c r="T751" s="148"/>
      <c r="U751" s="148"/>
      <c r="V751" s="148"/>
      <c r="W751" s="148"/>
      <c r="X751" s="148"/>
      <c r="Y751" s="148"/>
      <c r="Z751" s="148"/>
      <c r="AA751" s="148"/>
      <c r="AB751" s="148"/>
      <c r="AC751" s="148"/>
    </row>
    <row r="752" spans="1:29">
      <c r="A752" s="147" t="s">
        <v>8299</v>
      </c>
      <c r="B752" s="147" t="s">
        <v>1774</v>
      </c>
      <c r="C752" s="147"/>
      <c r="D752" s="147"/>
      <c r="E752" s="147"/>
      <c r="F752" s="147"/>
      <c r="G752" s="147"/>
      <c r="H752" s="147"/>
      <c r="I752" s="147"/>
      <c r="J752" s="147"/>
      <c r="K752" s="147"/>
      <c r="L752" s="147"/>
      <c r="M752" s="147"/>
      <c r="N752" s="147"/>
      <c r="O752" s="147"/>
      <c r="P752" s="147"/>
      <c r="Q752" s="147">
        <v>2</v>
      </c>
      <c r="R752" s="148"/>
      <c r="S752" s="148"/>
      <c r="T752" s="148"/>
      <c r="U752" s="148"/>
      <c r="V752" s="148"/>
      <c r="W752" s="148"/>
      <c r="X752" s="148"/>
      <c r="Y752" s="148"/>
      <c r="Z752" s="148"/>
      <c r="AA752" s="148"/>
      <c r="AB752" s="148"/>
      <c r="AC752" s="148"/>
    </row>
    <row r="753" spans="1:29">
      <c r="A753" s="147" t="s">
        <v>3459</v>
      </c>
      <c r="B753" s="147" t="s">
        <v>115</v>
      </c>
      <c r="C753" s="147">
        <v>1</v>
      </c>
      <c r="D753" s="147"/>
      <c r="E753" s="147"/>
      <c r="F753" s="147"/>
      <c r="G753" s="147"/>
      <c r="H753" s="147"/>
      <c r="I753" s="147">
        <v>1</v>
      </c>
      <c r="J753" s="147"/>
      <c r="K753" s="147"/>
      <c r="L753" s="147"/>
      <c r="M753" s="147"/>
      <c r="N753" s="147"/>
      <c r="O753" s="147"/>
      <c r="P753" s="147"/>
      <c r="Q753" s="147"/>
      <c r="R753" s="148"/>
      <c r="S753" s="148"/>
      <c r="T753" s="148"/>
      <c r="U753" s="148"/>
      <c r="V753" s="148"/>
      <c r="W753" s="148"/>
      <c r="X753" s="148"/>
      <c r="Y753" s="148"/>
      <c r="Z753" s="148"/>
      <c r="AA753" s="148"/>
      <c r="AB753" s="148"/>
      <c r="AC753" s="148"/>
    </row>
    <row r="754" spans="1:29">
      <c r="A754" s="147" t="s">
        <v>8242</v>
      </c>
      <c r="B754" s="147" t="s">
        <v>115</v>
      </c>
      <c r="C754" s="147">
        <v>2</v>
      </c>
      <c r="D754" s="147">
        <v>1</v>
      </c>
      <c r="E754" s="147"/>
      <c r="F754" s="147"/>
      <c r="G754" s="147"/>
      <c r="H754" s="147"/>
      <c r="I754" s="147">
        <v>1</v>
      </c>
      <c r="J754" s="147"/>
      <c r="K754" s="147"/>
      <c r="L754" s="147"/>
      <c r="M754" s="147"/>
      <c r="N754" s="147"/>
      <c r="O754" s="147">
        <v>-1003470351325</v>
      </c>
      <c r="P754" s="147"/>
      <c r="Q754" s="147"/>
      <c r="R754" s="148"/>
      <c r="S754" s="148"/>
      <c r="T754" s="148"/>
      <c r="U754" s="148"/>
      <c r="V754" s="148"/>
      <c r="W754" s="148"/>
      <c r="X754" s="148"/>
      <c r="Y754" s="148"/>
      <c r="Z754" s="148"/>
      <c r="AA754" s="148"/>
      <c r="AB754" s="148"/>
      <c r="AC754" s="148"/>
    </row>
    <row r="755" spans="1:29">
      <c r="A755" s="147" t="s">
        <v>8242</v>
      </c>
      <c r="B755" s="147" t="s">
        <v>1774</v>
      </c>
      <c r="C755" s="147">
        <v>1</v>
      </c>
      <c r="D755" s="147"/>
      <c r="E755" s="147"/>
      <c r="F755" s="147"/>
      <c r="G755" s="147"/>
      <c r="H755" s="147"/>
      <c r="I755" s="147"/>
      <c r="J755" s="147"/>
      <c r="K755" s="147">
        <v>1</v>
      </c>
      <c r="L755" s="147"/>
      <c r="M755" s="147"/>
      <c r="N755" s="147"/>
      <c r="O755" s="147">
        <v>-1003470351325</v>
      </c>
      <c r="P755" s="147"/>
      <c r="Q755" s="147"/>
      <c r="R755" s="148"/>
      <c r="S755" s="148"/>
      <c r="T755" s="148"/>
      <c r="U755" s="148"/>
      <c r="V755" s="148"/>
      <c r="W755" s="148"/>
      <c r="X755" s="148"/>
      <c r="Y755" s="148"/>
      <c r="Z755" s="148"/>
      <c r="AA755" s="148"/>
      <c r="AB755" s="148"/>
      <c r="AC755" s="148"/>
    </row>
    <row r="756" spans="1:29">
      <c r="A756" s="147" t="s">
        <v>3459</v>
      </c>
      <c r="B756" s="147" t="s">
        <v>243</v>
      </c>
      <c r="C756" s="147"/>
      <c r="D756" s="147"/>
      <c r="E756" s="147"/>
      <c r="F756" s="147"/>
      <c r="G756" s="147"/>
      <c r="H756" s="147"/>
      <c r="I756" s="147"/>
      <c r="J756" s="147"/>
      <c r="K756" s="147"/>
      <c r="L756" s="147"/>
      <c r="M756" s="147"/>
      <c r="N756" s="147"/>
      <c r="O756" s="147">
        <v>-1003470351325</v>
      </c>
      <c r="P756" s="147"/>
      <c r="Q756" s="147"/>
      <c r="R756" s="148"/>
      <c r="S756" s="148"/>
      <c r="T756" s="148"/>
      <c r="U756" s="148"/>
      <c r="V756" s="148"/>
      <c r="W756" s="148"/>
      <c r="X756" s="148"/>
      <c r="Y756" s="148"/>
      <c r="Z756" s="148"/>
      <c r="AA756" s="148"/>
      <c r="AB756" s="148"/>
      <c r="AC756" s="148"/>
    </row>
    <row r="757" spans="1:29">
      <c r="A757" s="147" t="s">
        <v>8242</v>
      </c>
      <c r="B757" s="147" t="s">
        <v>243</v>
      </c>
      <c r="C757" s="147"/>
      <c r="D757" s="147"/>
      <c r="E757" s="147"/>
      <c r="F757" s="147"/>
      <c r="G757" s="147"/>
      <c r="H757" s="147"/>
      <c r="I757" s="147"/>
      <c r="J757" s="147"/>
      <c r="K757" s="147"/>
      <c r="L757" s="147"/>
      <c r="M757" s="147"/>
      <c r="N757" s="147"/>
      <c r="O757" s="147">
        <v>-1003470351325</v>
      </c>
      <c r="P757" s="147"/>
      <c r="Q757" s="147"/>
      <c r="R757" s="148"/>
      <c r="S757" s="148"/>
      <c r="T757" s="148"/>
      <c r="U757" s="148"/>
      <c r="V757" s="148"/>
      <c r="W757" s="148"/>
      <c r="X757" s="148"/>
      <c r="Y757" s="148"/>
      <c r="Z757" s="148"/>
      <c r="AA757" s="148"/>
      <c r="AB757" s="148"/>
      <c r="AC757" s="148"/>
    </row>
    <row r="758" spans="1:29">
      <c r="A758" s="147" t="s">
        <v>8317</v>
      </c>
      <c r="B758" s="147" t="s">
        <v>115</v>
      </c>
      <c r="C758" s="147">
        <v>3</v>
      </c>
      <c r="D758" s="147"/>
      <c r="E758" s="147"/>
      <c r="F758" s="147"/>
      <c r="G758" s="147"/>
      <c r="H758" s="147"/>
      <c r="I758" s="147">
        <v>2</v>
      </c>
      <c r="J758" s="147">
        <v>1</v>
      </c>
      <c r="K758" s="147"/>
      <c r="L758" s="147"/>
      <c r="M758" s="147"/>
      <c r="N758" s="147"/>
      <c r="O758" s="147">
        <v>-1003470351325</v>
      </c>
      <c r="P758" s="147"/>
      <c r="Q758" s="147"/>
      <c r="R758" s="148"/>
      <c r="S758" s="148"/>
      <c r="T758" s="148"/>
      <c r="U758" s="148"/>
      <c r="V758" s="148"/>
      <c r="W758" s="148"/>
      <c r="X758" s="148"/>
      <c r="Y758" s="148"/>
      <c r="Z758" s="148"/>
      <c r="AA758" s="148"/>
      <c r="AB758" s="148"/>
      <c r="AC758" s="148"/>
    </row>
    <row r="759" spans="1:29">
      <c r="A759" s="147" t="s">
        <v>8317</v>
      </c>
      <c r="B759" s="147" t="s">
        <v>1774</v>
      </c>
      <c r="C759" s="147">
        <v>3</v>
      </c>
      <c r="D759" s="147">
        <v>1</v>
      </c>
      <c r="E759" s="147"/>
      <c r="F759" s="147"/>
      <c r="G759" s="147"/>
      <c r="H759" s="147"/>
      <c r="I759" s="147"/>
      <c r="J759" s="147">
        <v>1</v>
      </c>
      <c r="K759" s="147">
        <v>1</v>
      </c>
      <c r="L759" s="147"/>
      <c r="M759" s="147"/>
      <c r="N759" s="147"/>
      <c r="O759" s="147">
        <v>-1003470351325</v>
      </c>
      <c r="P759" s="147"/>
      <c r="Q759" s="147"/>
      <c r="R759" s="148"/>
      <c r="S759" s="148"/>
      <c r="T759" s="148"/>
      <c r="U759" s="148"/>
      <c r="V759" s="148"/>
      <c r="W759" s="148"/>
      <c r="X759" s="148"/>
      <c r="Y759" s="148"/>
      <c r="Z759" s="148"/>
      <c r="AA759" s="148"/>
      <c r="AB759" s="148"/>
      <c r="AC759" s="148"/>
    </row>
    <row r="760" spans="1:29">
      <c r="A760" s="147" t="s">
        <v>8317</v>
      </c>
      <c r="B760" s="147" t="s">
        <v>243</v>
      </c>
      <c r="C760" s="147">
        <v>1</v>
      </c>
      <c r="D760" s="147"/>
      <c r="E760" s="147">
        <v>1</v>
      </c>
      <c r="F760" s="147"/>
      <c r="G760" s="147"/>
      <c r="H760" s="147"/>
      <c r="I760" s="147"/>
      <c r="J760" s="147"/>
      <c r="K760" s="147"/>
      <c r="L760" s="147"/>
      <c r="M760" s="147"/>
      <c r="N760" s="147"/>
      <c r="O760" s="147">
        <v>-1003470351325</v>
      </c>
      <c r="P760" s="147"/>
      <c r="Q760" s="147"/>
      <c r="R760" s="148"/>
      <c r="S760" s="148"/>
      <c r="T760" s="148"/>
      <c r="U760" s="148"/>
      <c r="V760" s="148"/>
      <c r="W760" s="148"/>
      <c r="X760" s="148"/>
      <c r="Y760" s="148"/>
      <c r="Z760" s="148"/>
      <c r="AA760" s="148"/>
      <c r="AB760" s="148"/>
      <c r="AC760" s="148"/>
    </row>
    <row r="761" spans="1:29">
      <c r="A761" s="147" t="s">
        <v>8345</v>
      </c>
      <c r="B761" s="147" t="s">
        <v>115</v>
      </c>
      <c r="C761" s="147">
        <v>3</v>
      </c>
      <c r="D761" s="147">
        <v>1</v>
      </c>
      <c r="E761" s="147"/>
      <c r="F761" s="147"/>
      <c r="G761" s="147"/>
      <c r="H761" s="147"/>
      <c r="I761" s="147">
        <v>2</v>
      </c>
      <c r="J761" s="147"/>
      <c r="K761" s="147"/>
      <c r="L761" s="147"/>
      <c r="M761" s="147"/>
      <c r="N761" s="147"/>
      <c r="O761" s="147">
        <v>-1003470351325</v>
      </c>
      <c r="P761" s="147"/>
      <c r="Q761" s="147">
        <v>12</v>
      </c>
      <c r="R761" s="148"/>
      <c r="S761" s="148"/>
      <c r="T761" s="148"/>
      <c r="U761" s="148"/>
      <c r="V761" s="148"/>
      <c r="W761" s="148"/>
      <c r="X761" s="148"/>
      <c r="Y761" s="148"/>
      <c r="Z761" s="148"/>
      <c r="AA761" s="148"/>
      <c r="AB761" s="148"/>
      <c r="AC761" s="148"/>
    </row>
    <row r="762" spans="1:29">
      <c r="A762" s="147" t="s">
        <v>8345</v>
      </c>
      <c r="B762" s="147" t="s">
        <v>1774</v>
      </c>
      <c r="C762" s="147">
        <v>2</v>
      </c>
      <c r="D762" s="147">
        <v>2</v>
      </c>
      <c r="E762" s="147"/>
      <c r="F762" s="147"/>
      <c r="G762" s="147"/>
      <c r="H762" s="147"/>
      <c r="I762" s="147"/>
      <c r="J762" s="147"/>
      <c r="K762" s="147"/>
      <c r="L762" s="147"/>
      <c r="M762" s="147"/>
      <c r="N762" s="147"/>
      <c r="O762" s="147">
        <v>-1003470351325</v>
      </c>
      <c r="P762" s="147"/>
      <c r="Q762" s="147">
        <v>21</v>
      </c>
      <c r="R762" s="148"/>
      <c r="S762" s="148"/>
      <c r="T762" s="148"/>
      <c r="U762" s="148"/>
      <c r="V762" s="148"/>
      <c r="W762" s="148"/>
      <c r="X762" s="148"/>
      <c r="Y762" s="148"/>
      <c r="Z762" s="148"/>
      <c r="AA762" s="148"/>
      <c r="AB762" s="148"/>
      <c r="AC762" s="148"/>
    </row>
    <row r="763" spans="1:29">
      <c r="A763" s="147" t="s">
        <v>8345</v>
      </c>
      <c r="B763" s="147" t="s">
        <v>243</v>
      </c>
      <c r="C763" s="147"/>
      <c r="D763" s="147"/>
      <c r="E763" s="147"/>
      <c r="F763" s="147"/>
      <c r="G763" s="147"/>
      <c r="H763" s="147"/>
      <c r="I763" s="147"/>
      <c r="J763" s="147"/>
      <c r="K763" s="147"/>
      <c r="L763" s="147"/>
      <c r="M763" s="147"/>
      <c r="N763" s="147"/>
      <c r="O763" s="147">
        <v>-1003470351325</v>
      </c>
      <c r="P763" s="147"/>
      <c r="Q763" s="147"/>
      <c r="R763" s="148"/>
      <c r="S763" s="148"/>
      <c r="T763" s="148"/>
      <c r="U763" s="148"/>
      <c r="V763" s="148"/>
      <c r="W763" s="148"/>
      <c r="X763" s="148"/>
      <c r="Y763" s="148"/>
      <c r="Z763" s="148"/>
      <c r="AA763" s="148"/>
      <c r="AB763" s="148"/>
      <c r="AC763" s="148"/>
    </row>
    <row r="764" spans="1:29">
      <c r="A764" s="147" t="s">
        <v>8345</v>
      </c>
      <c r="B764" s="147" t="s">
        <v>61</v>
      </c>
      <c r="C764" s="147">
        <v>1</v>
      </c>
      <c r="D764" s="147"/>
      <c r="E764" s="147"/>
      <c r="F764" s="147"/>
      <c r="G764" s="147"/>
      <c r="H764" s="147"/>
      <c r="I764" s="147">
        <v>1</v>
      </c>
      <c r="J764" s="147"/>
      <c r="K764" s="147"/>
      <c r="L764" s="147"/>
      <c r="M764" s="147"/>
      <c r="N764" s="147"/>
      <c r="O764" s="147">
        <v>-1003470351325</v>
      </c>
      <c r="P764" s="147"/>
      <c r="Q764" s="147">
        <v>40</v>
      </c>
      <c r="R764" s="148"/>
      <c r="S764" s="148"/>
      <c r="T764" s="148"/>
      <c r="U764" s="148"/>
      <c r="V764" s="148"/>
      <c r="W764" s="148"/>
      <c r="X764" s="148"/>
      <c r="Y764" s="148"/>
      <c r="Z764" s="148"/>
      <c r="AA764" s="148"/>
      <c r="AB764" s="148"/>
      <c r="AC764" s="148"/>
    </row>
    <row r="765" spans="1:29">
      <c r="A765" s="147" t="s">
        <v>8354</v>
      </c>
      <c r="B765" s="147" t="s">
        <v>61</v>
      </c>
      <c r="C765" s="147">
        <v>2</v>
      </c>
      <c r="D765" s="147">
        <v>2</v>
      </c>
      <c r="E765" s="147"/>
      <c r="F765" s="147"/>
      <c r="G765" s="147"/>
      <c r="H765" s="147"/>
      <c r="I765" s="147"/>
      <c r="J765" s="147"/>
      <c r="K765" s="147"/>
      <c r="L765" s="147"/>
      <c r="M765" s="147"/>
      <c r="N765" s="147"/>
      <c r="O765" s="147">
        <v>-1003470351325</v>
      </c>
      <c r="P765" s="147"/>
      <c r="Q765" s="147">
        <v>24</v>
      </c>
      <c r="R765" s="148"/>
      <c r="S765" s="148"/>
      <c r="T765" s="148"/>
      <c r="U765" s="148"/>
      <c r="V765" s="148"/>
      <c r="W765" s="148"/>
      <c r="X765" s="148"/>
      <c r="Y765" s="148"/>
      <c r="Z765" s="148"/>
      <c r="AA765" s="148"/>
      <c r="AB765" s="148"/>
      <c r="AC765" s="148"/>
    </row>
    <row r="766" spans="1:29">
      <c r="A766" s="147" t="s">
        <v>8354</v>
      </c>
      <c r="B766" s="147" t="s">
        <v>115</v>
      </c>
      <c r="C766" s="147">
        <v>5</v>
      </c>
      <c r="D766" s="147">
        <v>1</v>
      </c>
      <c r="E766" s="147">
        <v>1</v>
      </c>
      <c r="F766" s="147"/>
      <c r="G766" s="147"/>
      <c r="H766" s="147"/>
      <c r="I766" s="147">
        <v>2</v>
      </c>
      <c r="J766" s="147"/>
      <c r="K766" s="147">
        <v>1</v>
      </c>
      <c r="L766" s="147"/>
      <c r="M766" s="147"/>
      <c r="N766" s="147"/>
      <c r="O766" s="147">
        <v>-1003470351325</v>
      </c>
      <c r="P766" s="147"/>
      <c r="Q766" s="147">
        <v>49</v>
      </c>
      <c r="R766" s="148"/>
      <c r="S766" s="148"/>
      <c r="T766" s="148"/>
      <c r="U766" s="148"/>
      <c r="V766" s="148"/>
      <c r="W766" s="148"/>
      <c r="X766" s="148"/>
      <c r="Y766" s="148"/>
      <c r="Z766" s="148"/>
      <c r="AA766" s="148"/>
      <c r="AB766" s="148"/>
      <c r="AC766" s="148"/>
    </row>
    <row r="767" spans="1:29">
      <c r="A767" s="147" t="s">
        <v>8354</v>
      </c>
      <c r="B767" s="147" t="s">
        <v>1774</v>
      </c>
      <c r="C767" s="147"/>
      <c r="D767" s="147"/>
      <c r="E767" s="147"/>
      <c r="F767" s="147"/>
      <c r="G767" s="147"/>
      <c r="H767" s="147"/>
      <c r="I767" s="147"/>
      <c r="J767" s="147"/>
      <c r="K767" s="147"/>
      <c r="L767" s="147"/>
      <c r="M767" s="147"/>
      <c r="N767" s="147"/>
      <c r="O767" s="147">
        <v>-1003470351325</v>
      </c>
      <c r="P767" s="147"/>
      <c r="Q767" s="147">
        <v>18</v>
      </c>
      <c r="R767" s="148"/>
      <c r="S767" s="148"/>
      <c r="T767" s="148"/>
      <c r="U767" s="148"/>
      <c r="V767" s="148"/>
      <c r="W767" s="148"/>
      <c r="X767" s="148"/>
      <c r="Y767" s="148"/>
      <c r="Z767" s="148"/>
      <c r="AA767" s="148"/>
      <c r="AB767" s="148"/>
      <c r="AC767" s="148"/>
    </row>
    <row r="768" spans="1:29">
      <c r="A768" s="147" t="s">
        <v>8354</v>
      </c>
      <c r="B768" s="147" t="s">
        <v>243</v>
      </c>
      <c r="C768" s="147"/>
      <c r="D768" s="147"/>
      <c r="E768" s="147"/>
      <c r="F768" s="147"/>
      <c r="G768" s="147"/>
      <c r="H768" s="147"/>
      <c r="I768" s="147"/>
      <c r="J768" s="147"/>
      <c r="K768" s="147"/>
      <c r="L768" s="147"/>
      <c r="M768" s="147"/>
      <c r="N768" s="147"/>
      <c r="O768" s="147">
        <v>-1003470351325</v>
      </c>
      <c r="P768" s="147"/>
      <c r="Q768" s="147"/>
      <c r="R768" s="148"/>
      <c r="S768" s="148"/>
      <c r="T768" s="148"/>
      <c r="U768" s="148"/>
      <c r="V768" s="148"/>
      <c r="W768" s="148"/>
      <c r="X768" s="148"/>
      <c r="Y768" s="148"/>
      <c r="Z768" s="148"/>
      <c r="AA768" s="148"/>
      <c r="AB768" s="148"/>
      <c r="AC768" s="148"/>
    </row>
    <row r="769" spans="1:29">
      <c r="A769" s="147" t="s">
        <v>8392</v>
      </c>
      <c r="B769" s="147" t="s">
        <v>61</v>
      </c>
      <c r="C769" s="147">
        <v>1</v>
      </c>
      <c r="D769" s="147"/>
      <c r="E769" s="147"/>
      <c r="F769" s="147"/>
      <c r="G769" s="147"/>
      <c r="H769" s="147"/>
      <c r="I769" s="147">
        <v>1</v>
      </c>
      <c r="J769" s="147"/>
      <c r="K769" s="147"/>
      <c r="L769" s="147"/>
      <c r="M769" s="147"/>
      <c r="N769" s="147"/>
      <c r="O769" s="147">
        <v>-1003470351325</v>
      </c>
      <c r="P769" s="147"/>
      <c r="Q769" s="147"/>
      <c r="R769" s="148"/>
      <c r="S769" s="148"/>
      <c r="T769" s="148"/>
      <c r="U769" s="148"/>
      <c r="V769" s="148"/>
      <c r="W769" s="148"/>
      <c r="X769" s="148"/>
      <c r="Y769" s="148"/>
      <c r="Z769" s="148"/>
      <c r="AA769" s="148"/>
      <c r="AB769" s="148"/>
      <c r="AC769" s="148"/>
    </row>
    <row r="770" spans="1:29">
      <c r="A770" s="147" t="s">
        <v>8392</v>
      </c>
      <c r="B770" s="147" t="s">
        <v>1774</v>
      </c>
      <c r="C770" s="147">
        <v>2</v>
      </c>
      <c r="D770" s="147">
        <v>1</v>
      </c>
      <c r="E770" s="147"/>
      <c r="F770" s="147"/>
      <c r="G770" s="147"/>
      <c r="H770" s="147"/>
      <c r="I770" s="147">
        <v>1</v>
      </c>
      <c r="J770" s="147"/>
      <c r="K770" s="147"/>
      <c r="L770" s="147"/>
      <c r="M770" s="147"/>
      <c r="N770" s="147"/>
      <c r="O770" s="147">
        <v>-1003470351325</v>
      </c>
      <c r="P770" s="147"/>
      <c r="Q770" s="147">
        <v>14</v>
      </c>
      <c r="R770" s="148"/>
      <c r="S770" s="148"/>
      <c r="T770" s="148"/>
      <c r="U770" s="148"/>
      <c r="V770" s="148"/>
      <c r="W770" s="148"/>
      <c r="X770" s="148"/>
      <c r="Y770" s="148"/>
      <c r="Z770" s="148"/>
      <c r="AA770" s="148"/>
      <c r="AB770" s="148"/>
      <c r="AC770" s="148"/>
    </row>
    <row r="771" spans="1:29">
      <c r="A771" s="147" t="s">
        <v>8392</v>
      </c>
      <c r="B771" s="147" t="s">
        <v>115</v>
      </c>
      <c r="C771" s="147">
        <v>1</v>
      </c>
      <c r="D771" s="147"/>
      <c r="E771" s="147"/>
      <c r="F771" s="147"/>
      <c r="G771" s="147"/>
      <c r="H771" s="147"/>
      <c r="I771" s="147">
        <v>1</v>
      </c>
      <c r="J771" s="147"/>
      <c r="K771" s="147"/>
      <c r="L771" s="147"/>
      <c r="M771" s="147"/>
      <c r="N771" s="147"/>
      <c r="O771" s="147">
        <v>-1003470351325</v>
      </c>
      <c r="P771" s="147"/>
      <c r="Q771" s="147"/>
      <c r="R771" s="148"/>
      <c r="S771" s="148"/>
      <c r="T771" s="148"/>
      <c r="U771" s="148"/>
      <c r="V771" s="148"/>
      <c r="W771" s="148"/>
      <c r="X771" s="148"/>
      <c r="Y771" s="148"/>
      <c r="Z771" s="148"/>
      <c r="AA771" s="148"/>
      <c r="AB771" s="148"/>
      <c r="AC771" s="148"/>
    </row>
    <row r="772" spans="1:29">
      <c r="A772" s="147" t="s">
        <v>8409</v>
      </c>
      <c r="B772" s="147" t="s">
        <v>115</v>
      </c>
      <c r="C772" s="147">
        <v>2</v>
      </c>
      <c r="D772" s="147">
        <v>2</v>
      </c>
      <c r="E772" s="147"/>
      <c r="F772" s="147"/>
      <c r="G772" s="147"/>
      <c r="H772" s="147"/>
      <c r="I772" s="147"/>
      <c r="J772" s="147"/>
      <c r="K772" s="147"/>
      <c r="L772" s="147"/>
      <c r="M772" s="147"/>
      <c r="N772" s="147"/>
      <c r="O772" s="147">
        <v>-1003470351325</v>
      </c>
      <c r="P772" s="147"/>
      <c r="Q772" s="147">
        <v>54</v>
      </c>
      <c r="R772" s="148"/>
      <c r="S772" s="148"/>
      <c r="T772" s="148"/>
      <c r="U772" s="148"/>
      <c r="V772" s="148"/>
      <c r="W772" s="148"/>
      <c r="X772" s="148"/>
      <c r="Y772" s="148"/>
      <c r="Z772" s="148"/>
      <c r="AA772" s="148"/>
      <c r="AB772" s="148"/>
      <c r="AC772" s="148"/>
    </row>
    <row r="773" spans="1:29">
      <c r="A773" s="147" t="s">
        <v>8409</v>
      </c>
      <c r="B773" s="147" t="s">
        <v>1774</v>
      </c>
      <c r="C773" s="147">
        <v>3</v>
      </c>
      <c r="D773" s="147">
        <v>2</v>
      </c>
      <c r="E773" s="147"/>
      <c r="F773" s="147"/>
      <c r="G773" s="147"/>
      <c r="H773" s="147"/>
      <c r="I773" s="147"/>
      <c r="J773" s="147"/>
      <c r="K773" s="147"/>
      <c r="L773" s="147"/>
      <c r="M773" s="147">
        <v>1</v>
      </c>
      <c r="N773" s="147"/>
      <c r="O773" s="147">
        <v>-1003470351325</v>
      </c>
      <c r="P773" s="147"/>
      <c r="Q773" s="147">
        <v>2</v>
      </c>
      <c r="R773" s="148"/>
      <c r="S773" s="148"/>
      <c r="T773" s="148"/>
      <c r="U773" s="148"/>
      <c r="V773" s="148"/>
      <c r="W773" s="148"/>
      <c r="X773" s="148"/>
      <c r="Y773" s="148"/>
      <c r="Z773" s="148"/>
      <c r="AA773" s="148"/>
      <c r="AB773" s="148"/>
      <c r="AC773" s="148"/>
    </row>
    <row r="774" spans="1:29">
      <c r="A774" s="147" t="s">
        <v>12845</v>
      </c>
      <c r="B774" s="147" t="s">
        <v>115</v>
      </c>
      <c r="C774" s="147">
        <v>1</v>
      </c>
      <c r="D774" s="147">
        <v>1</v>
      </c>
      <c r="E774" s="147"/>
      <c r="F774" s="147"/>
      <c r="G774" s="147"/>
      <c r="H774" s="147"/>
      <c r="I774" s="147"/>
      <c r="J774" s="147"/>
      <c r="K774" s="147"/>
      <c r="L774" s="147"/>
      <c r="M774" s="147"/>
      <c r="N774" s="147"/>
      <c r="O774" s="147">
        <v>-1003470351325</v>
      </c>
      <c r="P774" s="147"/>
      <c r="Q774" s="147">
        <v>11</v>
      </c>
      <c r="R774" s="148"/>
      <c r="S774" s="148"/>
      <c r="T774" s="148"/>
      <c r="U774" s="148"/>
      <c r="V774" s="148"/>
      <c r="W774" s="148"/>
      <c r="X774" s="148"/>
      <c r="Y774" s="148"/>
      <c r="Z774" s="148"/>
      <c r="AA774" s="148"/>
      <c r="AB774" s="148"/>
      <c r="AC774" s="148"/>
    </row>
    <row r="775" spans="1:29">
      <c r="A775" s="147" t="s">
        <v>8409</v>
      </c>
      <c r="B775" s="147" t="s">
        <v>61</v>
      </c>
      <c r="C775" s="147">
        <v>4</v>
      </c>
      <c r="D775" s="147">
        <v>1</v>
      </c>
      <c r="E775" s="147">
        <v>1</v>
      </c>
      <c r="F775" s="147"/>
      <c r="G775" s="147"/>
      <c r="H775" s="147"/>
      <c r="I775" s="147">
        <v>1</v>
      </c>
      <c r="J775" s="147">
        <v>1</v>
      </c>
      <c r="K775" s="147"/>
      <c r="L775" s="147"/>
      <c r="M775" s="147"/>
      <c r="N775" s="147"/>
      <c r="O775" s="147">
        <v>-1003470351325</v>
      </c>
      <c r="P775" s="147"/>
      <c r="Q775" s="147">
        <v>27</v>
      </c>
      <c r="R775" s="148"/>
      <c r="S775" s="148"/>
      <c r="T775" s="148"/>
      <c r="U775" s="148"/>
      <c r="V775" s="148"/>
      <c r="W775" s="148"/>
      <c r="X775" s="148"/>
      <c r="Y775" s="148"/>
      <c r="Z775" s="148"/>
      <c r="AA775" s="148"/>
      <c r="AB775" s="148"/>
      <c r="AC775" s="148"/>
    </row>
    <row r="776" spans="1:29">
      <c r="A776" s="147" t="s">
        <v>12845</v>
      </c>
      <c r="B776" s="147" t="s">
        <v>61</v>
      </c>
      <c r="C776" s="147">
        <v>2</v>
      </c>
      <c r="D776" s="147"/>
      <c r="E776" s="147">
        <v>1</v>
      </c>
      <c r="F776" s="147"/>
      <c r="G776" s="147"/>
      <c r="H776" s="147"/>
      <c r="I776" s="147"/>
      <c r="J776" s="147"/>
      <c r="K776" s="147"/>
      <c r="L776" s="147"/>
      <c r="M776" s="147">
        <v>1</v>
      </c>
      <c r="N776" s="147"/>
      <c r="O776" s="147">
        <v>-1003470351325</v>
      </c>
      <c r="P776" s="147"/>
      <c r="Q776" s="147">
        <v>46</v>
      </c>
      <c r="R776" s="148"/>
      <c r="S776" s="148"/>
      <c r="T776" s="148"/>
      <c r="U776" s="148"/>
      <c r="V776" s="148"/>
      <c r="W776" s="148"/>
      <c r="X776" s="148"/>
      <c r="Y776" s="148"/>
      <c r="Z776" s="148"/>
      <c r="AA776" s="148"/>
      <c r="AB776" s="148"/>
      <c r="AC776" s="148"/>
    </row>
    <row r="777" spans="1:29">
      <c r="A777" s="147" t="s">
        <v>12845</v>
      </c>
      <c r="B777" s="147" t="s">
        <v>1774</v>
      </c>
      <c r="C777" s="147"/>
      <c r="D777" s="147"/>
      <c r="E777" s="147"/>
      <c r="F777" s="147"/>
      <c r="G777" s="147"/>
      <c r="H777" s="147"/>
      <c r="I777" s="147"/>
      <c r="J777" s="147"/>
      <c r="K777" s="147"/>
      <c r="L777" s="147"/>
      <c r="M777" s="147"/>
      <c r="N777" s="147"/>
      <c r="O777" s="147">
        <v>-1003470351325</v>
      </c>
      <c r="P777" s="147"/>
      <c r="Q777" s="147">
        <v>15</v>
      </c>
      <c r="R777" s="148"/>
      <c r="S777" s="148"/>
      <c r="T777" s="148"/>
      <c r="U777" s="148"/>
      <c r="V777" s="148"/>
      <c r="W777" s="148"/>
      <c r="X777" s="148"/>
      <c r="Y777" s="148"/>
      <c r="Z777" s="148"/>
      <c r="AA777" s="148"/>
      <c r="AB777" s="148"/>
      <c r="AC777" s="148"/>
    </row>
    <row r="778" spans="1:29">
      <c r="A778" s="147" t="s">
        <v>8453</v>
      </c>
      <c r="B778" s="147" t="s">
        <v>61</v>
      </c>
      <c r="C778" s="147"/>
      <c r="D778" s="147"/>
      <c r="E778" s="147"/>
      <c r="F778" s="147"/>
      <c r="G778" s="147"/>
      <c r="H778" s="147"/>
      <c r="I778" s="147"/>
      <c r="J778" s="147"/>
      <c r="K778" s="147"/>
      <c r="L778" s="147"/>
      <c r="M778" s="147"/>
      <c r="N778" s="147"/>
      <c r="O778" s="147">
        <v>-1003470351325</v>
      </c>
      <c r="P778" s="147"/>
      <c r="Q778" s="147">
        <v>62</v>
      </c>
      <c r="R778" s="148"/>
      <c r="S778" s="148"/>
      <c r="T778" s="148"/>
      <c r="U778" s="148"/>
      <c r="V778" s="148"/>
      <c r="W778" s="148"/>
      <c r="X778" s="148"/>
      <c r="Y778" s="148"/>
      <c r="Z778" s="148"/>
      <c r="AA778" s="148"/>
      <c r="AB778" s="148"/>
      <c r="AC778" s="148"/>
    </row>
    <row r="779" spans="1:29">
      <c r="A779" s="147" t="s">
        <v>8453</v>
      </c>
      <c r="B779" s="147" t="s">
        <v>115</v>
      </c>
      <c r="C779" s="147"/>
      <c r="D779" s="147"/>
      <c r="E779" s="147"/>
      <c r="F779" s="147"/>
      <c r="G779" s="147"/>
      <c r="H779" s="147"/>
      <c r="I779" s="147"/>
      <c r="J779" s="147"/>
      <c r="K779" s="147"/>
      <c r="L779" s="147"/>
      <c r="M779" s="147"/>
      <c r="N779" s="147"/>
      <c r="O779" s="147">
        <v>-1003470351325</v>
      </c>
      <c r="P779" s="147"/>
      <c r="Q779" s="147">
        <v>16</v>
      </c>
      <c r="R779" s="148"/>
      <c r="S779" s="148"/>
      <c r="T779" s="148"/>
      <c r="U779" s="148"/>
      <c r="V779" s="148"/>
      <c r="W779" s="148"/>
      <c r="X779" s="148"/>
      <c r="Y779" s="148"/>
      <c r="Z779" s="148"/>
      <c r="AA779" s="148"/>
      <c r="AB779" s="148"/>
      <c r="AC779" s="148"/>
    </row>
    <row r="780" spans="1:29">
      <c r="A780" s="147" t="s">
        <v>8453</v>
      </c>
      <c r="B780" s="147" t="s">
        <v>1229</v>
      </c>
      <c r="C780" s="147">
        <v>1</v>
      </c>
      <c r="D780" s="147">
        <v>1</v>
      </c>
      <c r="E780" s="147"/>
      <c r="F780" s="147"/>
      <c r="G780" s="147"/>
      <c r="H780" s="147"/>
      <c r="I780" s="147"/>
      <c r="J780" s="147"/>
      <c r="K780" s="147"/>
      <c r="L780" s="147"/>
      <c r="M780" s="147"/>
      <c r="N780" s="147"/>
      <c r="O780" s="147">
        <v>-1003470351325</v>
      </c>
      <c r="P780" s="147"/>
      <c r="Q780" s="147">
        <v>22</v>
      </c>
      <c r="R780" s="148"/>
      <c r="S780" s="148"/>
      <c r="T780" s="148"/>
      <c r="U780" s="148"/>
      <c r="V780" s="148"/>
      <c r="W780" s="148"/>
      <c r="X780" s="148"/>
      <c r="Y780" s="148"/>
      <c r="Z780" s="148"/>
      <c r="AA780" s="148"/>
      <c r="AB780" s="148"/>
      <c r="AC780" s="148"/>
    </row>
    <row r="781" spans="1:29">
      <c r="A781" s="147" t="s">
        <v>8453</v>
      </c>
      <c r="B781" s="147" t="s">
        <v>1774</v>
      </c>
      <c r="C781" s="147">
        <v>1</v>
      </c>
      <c r="D781" s="147">
        <v>1</v>
      </c>
      <c r="E781" s="147"/>
      <c r="F781" s="147"/>
      <c r="G781" s="147"/>
      <c r="H781" s="147"/>
      <c r="I781" s="147"/>
      <c r="J781" s="147"/>
      <c r="K781" s="147"/>
      <c r="L781" s="147"/>
      <c r="M781" s="147"/>
      <c r="N781" s="147"/>
      <c r="O781" s="147">
        <v>-1003470351325</v>
      </c>
      <c r="P781" s="147"/>
      <c r="Q781" s="147">
        <v>10</v>
      </c>
      <c r="R781" s="148"/>
      <c r="S781" s="148"/>
      <c r="T781" s="148"/>
      <c r="U781" s="148"/>
      <c r="V781" s="148"/>
      <c r="W781" s="148"/>
      <c r="X781" s="148"/>
      <c r="Y781" s="148"/>
      <c r="Z781" s="148"/>
      <c r="AA781" s="148"/>
      <c r="AB781" s="148"/>
      <c r="AC781" s="148"/>
    </row>
    <row r="782" spans="1:29">
      <c r="A782" s="147" t="s">
        <v>8463</v>
      </c>
      <c r="B782" s="147" t="s">
        <v>61</v>
      </c>
      <c r="C782" s="147">
        <v>2</v>
      </c>
      <c r="D782" s="147"/>
      <c r="E782" s="147">
        <v>1</v>
      </c>
      <c r="F782" s="147"/>
      <c r="G782" s="147"/>
      <c r="H782" s="147"/>
      <c r="I782" s="147">
        <v>1</v>
      </c>
      <c r="J782" s="147"/>
      <c r="K782" s="147"/>
      <c r="L782" s="147"/>
      <c r="M782" s="147"/>
      <c r="N782" s="147"/>
      <c r="O782" s="147">
        <v>-1003470351325</v>
      </c>
      <c r="P782" s="147"/>
      <c r="Q782" s="147">
        <v>10</v>
      </c>
      <c r="R782" s="148"/>
      <c r="S782" s="148"/>
      <c r="T782" s="148"/>
      <c r="U782" s="148"/>
      <c r="V782" s="148"/>
      <c r="W782" s="148"/>
      <c r="X782" s="148"/>
      <c r="Y782" s="148"/>
      <c r="Z782" s="148"/>
      <c r="AA782" s="148"/>
      <c r="AB782" s="148"/>
      <c r="AC782" s="148"/>
    </row>
    <row r="783" spans="1:29">
      <c r="A783" s="147" t="s">
        <v>8463</v>
      </c>
      <c r="B783" s="147" t="s">
        <v>115</v>
      </c>
      <c r="C783" s="147">
        <v>1</v>
      </c>
      <c r="D783" s="147"/>
      <c r="E783" s="147"/>
      <c r="F783" s="147"/>
      <c r="G783" s="147"/>
      <c r="H783" s="147"/>
      <c r="I783" s="147"/>
      <c r="J783" s="147">
        <v>1</v>
      </c>
      <c r="K783" s="147"/>
      <c r="L783" s="147"/>
      <c r="M783" s="147"/>
      <c r="N783" s="147"/>
      <c r="O783" s="147">
        <v>-1003470351325</v>
      </c>
      <c r="P783" s="147"/>
      <c r="Q783" s="147">
        <v>26</v>
      </c>
      <c r="R783" s="148"/>
      <c r="S783" s="148"/>
      <c r="T783" s="148"/>
      <c r="U783" s="148"/>
      <c r="V783" s="148"/>
      <c r="W783" s="148"/>
      <c r="X783" s="148"/>
      <c r="Y783" s="148"/>
      <c r="Z783" s="148"/>
      <c r="AA783" s="148"/>
      <c r="AB783" s="148"/>
      <c r="AC783" s="148"/>
    </row>
    <row r="784" spans="1:29">
      <c r="A784" s="147" t="s">
        <v>737</v>
      </c>
      <c r="B784" s="147" t="s">
        <v>1774</v>
      </c>
      <c r="C784" s="147">
        <v>2</v>
      </c>
      <c r="D784" s="147">
        <v>2</v>
      </c>
      <c r="E784" s="147"/>
      <c r="F784" s="147"/>
      <c r="G784" s="147"/>
      <c r="H784" s="147"/>
      <c r="I784" s="147"/>
      <c r="J784" s="147"/>
      <c r="K784" s="147"/>
      <c r="L784" s="147"/>
      <c r="M784" s="147"/>
      <c r="N784" s="147"/>
      <c r="O784" s="147">
        <v>-1003470351325</v>
      </c>
      <c r="P784" s="147"/>
      <c r="Q784" s="147">
        <v>37</v>
      </c>
      <c r="R784" s="148"/>
      <c r="S784" s="148"/>
      <c r="T784" s="148"/>
      <c r="U784" s="148"/>
      <c r="V784" s="148"/>
      <c r="W784" s="148"/>
      <c r="X784" s="148"/>
      <c r="Y784" s="148"/>
      <c r="Z784" s="148"/>
      <c r="AA784" s="148"/>
      <c r="AB784" s="148"/>
      <c r="AC784" s="148"/>
    </row>
    <row r="785" spans="1:29">
      <c r="A785" s="147" t="s">
        <v>8463</v>
      </c>
      <c r="B785" s="147" t="s">
        <v>1774</v>
      </c>
      <c r="C785" s="147">
        <v>2</v>
      </c>
      <c r="D785" s="147">
        <v>2</v>
      </c>
      <c r="E785" s="147"/>
      <c r="F785" s="147"/>
      <c r="G785" s="147"/>
      <c r="H785" s="147"/>
      <c r="I785" s="147"/>
      <c r="J785" s="147"/>
      <c r="K785" s="147"/>
      <c r="L785" s="147"/>
      <c r="M785" s="147"/>
      <c r="N785" s="147"/>
      <c r="O785" s="147">
        <v>-1003470351325</v>
      </c>
      <c r="P785" s="147"/>
      <c r="Q785" s="147">
        <v>37</v>
      </c>
      <c r="R785" s="148"/>
      <c r="S785" s="148"/>
      <c r="T785" s="148"/>
      <c r="U785" s="148"/>
      <c r="V785" s="148"/>
      <c r="W785" s="148"/>
      <c r="X785" s="148"/>
      <c r="Y785" s="148"/>
      <c r="Z785" s="148"/>
      <c r="AA785" s="148"/>
      <c r="AB785" s="148"/>
      <c r="AC785" s="148"/>
    </row>
    <row r="786" spans="1:29">
      <c r="A786" s="147" t="s">
        <v>737</v>
      </c>
      <c r="B786" s="147" t="s">
        <v>61</v>
      </c>
      <c r="C786" s="147">
        <v>3</v>
      </c>
      <c r="D786" s="147">
        <v>3</v>
      </c>
      <c r="E786" s="147"/>
      <c r="F786" s="147"/>
      <c r="G786" s="147"/>
      <c r="H786" s="147"/>
      <c r="I786" s="147"/>
      <c r="J786" s="147"/>
      <c r="K786" s="147"/>
      <c r="L786" s="147"/>
      <c r="M786" s="147"/>
      <c r="N786" s="147"/>
      <c r="O786" s="147">
        <v>-1003470351325</v>
      </c>
      <c r="P786" s="147"/>
      <c r="Q786" s="147"/>
      <c r="R786" s="148"/>
      <c r="S786" s="148"/>
      <c r="T786" s="148"/>
      <c r="U786" s="148"/>
      <c r="V786" s="148"/>
      <c r="W786" s="148"/>
      <c r="X786" s="148"/>
      <c r="Y786" s="148"/>
      <c r="Z786" s="148"/>
      <c r="AA786" s="148"/>
      <c r="AB786" s="148"/>
      <c r="AC786" s="148"/>
    </row>
    <row r="787" spans="1:29">
      <c r="A787" s="147" t="s">
        <v>6820</v>
      </c>
      <c r="B787" s="147" t="s">
        <v>1774</v>
      </c>
      <c r="C787" s="147">
        <v>2</v>
      </c>
      <c r="D787" s="147"/>
      <c r="E787" s="147"/>
      <c r="F787" s="147"/>
      <c r="G787" s="147"/>
      <c r="H787" s="147"/>
      <c r="I787" s="147">
        <v>1</v>
      </c>
      <c r="J787" s="147">
        <v>1</v>
      </c>
      <c r="K787" s="147"/>
      <c r="L787" s="147"/>
      <c r="M787" s="147"/>
      <c r="N787" s="147"/>
      <c r="O787" s="147">
        <v>-1003470351325</v>
      </c>
      <c r="P787" s="147"/>
      <c r="Q787" s="147"/>
      <c r="R787" s="148"/>
      <c r="S787" s="148"/>
      <c r="T787" s="148"/>
      <c r="U787" s="148"/>
      <c r="V787" s="148"/>
      <c r="W787" s="148"/>
      <c r="X787" s="148"/>
      <c r="Y787" s="148"/>
      <c r="Z787" s="148"/>
      <c r="AA787" s="148"/>
      <c r="AB787" s="148"/>
      <c r="AC787" s="148"/>
    </row>
    <row r="788" spans="1:29">
      <c r="A788" s="147" t="s">
        <v>6820</v>
      </c>
      <c r="B788" s="147" t="s">
        <v>61</v>
      </c>
      <c r="C788" s="147">
        <v>3</v>
      </c>
      <c r="D788" s="147"/>
      <c r="E788" s="147"/>
      <c r="F788" s="147"/>
      <c r="G788" s="147"/>
      <c r="H788" s="147"/>
      <c r="I788" s="147">
        <v>1</v>
      </c>
      <c r="J788" s="147">
        <v>2</v>
      </c>
      <c r="K788" s="147"/>
      <c r="L788" s="147"/>
      <c r="M788" s="147"/>
      <c r="N788" s="147"/>
      <c r="O788" s="147">
        <v>-1003470351325</v>
      </c>
      <c r="P788" s="147"/>
      <c r="Q788" s="147"/>
      <c r="R788" s="148"/>
      <c r="S788" s="148"/>
      <c r="T788" s="148"/>
      <c r="U788" s="148"/>
      <c r="V788" s="148"/>
      <c r="W788" s="148"/>
      <c r="X788" s="148"/>
      <c r="Y788" s="148"/>
      <c r="Z788" s="148"/>
      <c r="AA788" s="148"/>
      <c r="AB788" s="148"/>
      <c r="AC788" s="148"/>
    </row>
    <row r="789" spans="1:29">
      <c r="A789" s="147" t="s">
        <v>737</v>
      </c>
      <c r="B789" s="147" t="s">
        <v>115</v>
      </c>
      <c r="C789" s="147">
        <v>3</v>
      </c>
      <c r="D789" s="147">
        <v>1</v>
      </c>
      <c r="E789" s="147"/>
      <c r="F789" s="147"/>
      <c r="G789" s="147"/>
      <c r="H789" s="147"/>
      <c r="I789" s="147">
        <v>1</v>
      </c>
      <c r="J789" s="147"/>
      <c r="K789" s="147"/>
      <c r="L789" s="147"/>
      <c r="M789" s="147">
        <v>1</v>
      </c>
      <c r="N789" s="147"/>
      <c r="O789" s="147">
        <v>-1003470351325</v>
      </c>
      <c r="P789" s="147"/>
      <c r="Q789" s="147"/>
      <c r="R789" s="148"/>
      <c r="S789" s="148"/>
      <c r="T789" s="148"/>
      <c r="U789" s="148"/>
      <c r="V789" s="148"/>
      <c r="W789" s="148"/>
      <c r="X789" s="148"/>
      <c r="Y789" s="148"/>
      <c r="Z789" s="148"/>
      <c r="AA789" s="148"/>
      <c r="AB789" s="148"/>
      <c r="AC789" s="148"/>
    </row>
    <row r="790" spans="1:29">
      <c r="A790" s="147" t="s">
        <v>6820</v>
      </c>
      <c r="B790" s="147" t="s">
        <v>115</v>
      </c>
      <c r="C790" s="147">
        <v>1</v>
      </c>
      <c r="D790" s="147"/>
      <c r="E790" s="147"/>
      <c r="F790" s="147"/>
      <c r="G790" s="147"/>
      <c r="H790" s="147"/>
      <c r="I790" s="147">
        <v>1</v>
      </c>
      <c r="J790" s="147"/>
      <c r="K790" s="147"/>
      <c r="L790" s="147"/>
      <c r="M790" s="147"/>
      <c r="N790" s="147"/>
      <c r="O790" s="147">
        <v>-1003470351325</v>
      </c>
      <c r="P790" s="147"/>
      <c r="Q790" s="147"/>
      <c r="R790" s="148"/>
      <c r="S790" s="148"/>
      <c r="T790" s="148"/>
      <c r="U790" s="148"/>
      <c r="V790" s="148"/>
      <c r="W790" s="148"/>
      <c r="X790" s="148"/>
      <c r="Y790" s="148"/>
      <c r="Z790" s="148"/>
      <c r="AA790" s="148"/>
      <c r="AB790" s="148"/>
      <c r="AC790" s="148"/>
    </row>
    <row r="791" spans="1:29">
      <c r="A791" s="147" t="s">
        <v>6856</v>
      </c>
      <c r="B791" s="147" t="s">
        <v>115</v>
      </c>
      <c r="C791" s="147">
        <v>3</v>
      </c>
      <c r="D791" s="147"/>
      <c r="E791" s="147"/>
      <c r="F791" s="147"/>
      <c r="G791" s="147"/>
      <c r="H791" s="147"/>
      <c r="I791" s="147">
        <v>3</v>
      </c>
      <c r="J791" s="147"/>
      <c r="K791" s="147"/>
      <c r="L791" s="147"/>
      <c r="M791" s="147"/>
      <c r="N791" s="147"/>
      <c r="O791" s="147">
        <v>-1003470351325</v>
      </c>
      <c r="P791" s="147"/>
      <c r="Q791" s="147"/>
      <c r="R791" s="148"/>
      <c r="S791" s="148"/>
      <c r="T791" s="148"/>
      <c r="U791" s="148"/>
      <c r="V791" s="148"/>
      <c r="W791" s="148"/>
      <c r="X791" s="148"/>
      <c r="Y791" s="148"/>
      <c r="Z791" s="148"/>
      <c r="AA791" s="148"/>
      <c r="AB791" s="148"/>
      <c r="AC791" s="148"/>
    </row>
    <row r="792" spans="1:29">
      <c r="A792" s="147" t="s">
        <v>6856</v>
      </c>
      <c r="B792" s="147" t="s">
        <v>1774</v>
      </c>
      <c r="C792" s="147">
        <v>1</v>
      </c>
      <c r="D792" s="147"/>
      <c r="E792" s="147"/>
      <c r="F792" s="147"/>
      <c r="G792" s="147"/>
      <c r="H792" s="147"/>
      <c r="I792" s="147"/>
      <c r="J792" s="147">
        <v>1</v>
      </c>
      <c r="K792" s="147"/>
      <c r="L792" s="147"/>
      <c r="M792" s="147"/>
      <c r="N792" s="147"/>
      <c r="O792" s="147">
        <v>-1003470351325</v>
      </c>
      <c r="P792" s="147"/>
      <c r="Q792" s="147"/>
      <c r="R792" s="148"/>
      <c r="S792" s="148"/>
      <c r="T792" s="148"/>
      <c r="U792" s="148"/>
      <c r="V792" s="148"/>
      <c r="W792" s="148"/>
      <c r="X792" s="148"/>
      <c r="Y792" s="148"/>
      <c r="Z792" s="148"/>
      <c r="AA792" s="148"/>
      <c r="AB792" s="148"/>
      <c r="AC792" s="148"/>
    </row>
    <row r="793" spans="1:29">
      <c r="A793" s="147" t="s">
        <v>6856</v>
      </c>
      <c r="B793" s="147" t="s">
        <v>115</v>
      </c>
      <c r="C793" s="147">
        <v>4</v>
      </c>
      <c r="D793" s="147">
        <v>1</v>
      </c>
      <c r="E793" s="147"/>
      <c r="F793" s="147"/>
      <c r="G793" s="147"/>
      <c r="H793" s="147"/>
      <c r="I793" s="147">
        <v>1</v>
      </c>
      <c r="J793" s="147"/>
      <c r="K793" s="147"/>
      <c r="L793" s="147">
        <v>2</v>
      </c>
      <c r="M793" s="147"/>
      <c r="N793" s="147"/>
      <c r="O793" s="147">
        <v>-1003470351325</v>
      </c>
      <c r="P793" s="147"/>
      <c r="Q793" s="147"/>
      <c r="R793" s="148"/>
      <c r="S793" s="148"/>
      <c r="T793" s="148"/>
      <c r="U793" s="148"/>
      <c r="V793" s="148"/>
      <c r="W793" s="148"/>
      <c r="X793" s="148"/>
      <c r="Y793" s="148"/>
      <c r="Z793" s="148"/>
      <c r="AA793" s="148"/>
      <c r="AB793" s="148"/>
      <c r="AC793" s="148"/>
    </row>
    <row r="794" spans="1:29">
      <c r="A794" s="147" t="s">
        <v>8512</v>
      </c>
      <c r="B794" s="147" t="s">
        <v>1774</v>
      </c>
      <c r="C794" s="147">
        <v>2</v>
      </c>
      <c r="D794" s="147">
        <v>1</v>
      </c>
      <c r="E794" s="147"/>
      <c r="F794" s="147"/>
      <c r="G794" s="147"/>
      <c r="H794" s="147"/>
      <c r="I794" s="147">
        <v>1</v>
      </c>
      <c r="J794" s="147"/>
      <c r="K794" s="147"/>
      <c r="L794" s="147"/>
      <c r="M794" s="147"/>
      <c r="N794" s="147"/>
      <c r="O794" s="147">
        <v>-1003470351325</v>
      </c>
      <c r="P794" s="147"/>
      <c r="Q794" s="147"/>
      <c r="R794" s="148"/>
      <c r="S794" s="148"/>
      <c r="T794" s="148"/>
      <c r="U794" s="148"/>
      <c r="V794" s="148"/>
      <c r="W794" s="148"/>
      <c r="X794" s="148"/>
      <c r="Y794" s="148"/>
      <c r="Z794" s="148"/>
      <c r="AA794" s="148"/>
      <c r="AB794" s="148"/>
      <c r="AC794" s="148"/>
    </row>
    <row r="795" spans="1:29">
      <c r="A795" s="147" t="s">
        <v>6856</v>
      </c>
      <c r="B795" s="147" t="s">
        <v>61</v>
      </c>
      <c r="C795" s="147">
        <v>4</v>
      </c>
      <c r="D795" s="147">
        <v>1</v>
      </c>
      <c r="E795" s="147"/>
      <c r="F795" s="147"/>
      <c r="G795" s="147"/>
      <c r="H795" s="147"/>
      <c r="I795" s="147">
        <v>1</v>
      </c>
      <c r="J795" s="147"/>
      <c r="K795" s="147"/>
      <c r="L795" s="147">
        <v>2</v>
      </c>
      <c r="M795" s="147"/>
      <c r="N795" s="147"/>
      <c r="O795" s="147">
        <v>-1003470351325</v>
      </c>
      <c r="P795" s="147"/>
      <c r="Q795" s="147"/>
      <c r="R795" s="148"/>
      <c r="S795" s="148"/>
      <c r="T795" s="148"/>
      <c r="U795" s="148"/>
      <c r="V795" s="148"/>
      <c r="W795" s="148"/>
      <c r="X795" s="148"/>
      <c r="Y795" s="148"/>
      <c r="Z795" s="148"/>
      <c r="AA795" s="148"/>
      <c r="AB795" s="148"/>
      <c r="AC795" s="148"/>
    </row>
    <row r="796" spans="1:29">
      <c r="A796" s="147" t="s">
        <v>8182</v>
      </c>
      <c r="B796" s="147" t="s">
        <v>115</v>
      </c>
      <c r="C796" s="147">
        <v>3</v>
      </c>
      <c r="D796" s="147"/>
      <c r="E796" s="147"/>
      <c r="F796" s="147"/>
      <c r="G796" s="147"/>
      <c r="H796" s="147"/>
      <c r="I796" s="147">
        <v>1</v>
      </c>
      <c r="J796" s="147">
        <v>2</v>
      </c>
      <c r="K796" s="147"/>
      <c r="L796" s="147"/>
      <c r="M796" s="147"/>
      <c r="N796" s="147"/>
      <c r="O796" s="147">
        <v>-1003470351325</v>
      </c>
      <c r="P796" s="147"/>
      <c r="Q796" s="147"/>
      <c r="R796" s="148"/>
      <c r="S796" s="148"/>
      <c r="T796" s="148"/>
      <c r="U796" s="148"/>
      <c r="V796" s="148"/>
      <c r="W796" s="148"/>
      <c r="X796" s="148"/>
      <c r="Y796" s="148"/>
      <c r="Z796" s="148"/>
      <c r="AA796" s="148"/>
      <c r="AB796" s="148"/>
      <c r="AC796" s="148"/>
    </row>
    <row r="797" spans="1:29">
      <c r="A797" s="147" t="s">
        <v>8528</v>
      </c>
      <c r="B797" s="147" t="s">
        <v>115</v>
      </c>
      <c r="C797" s="147">
        <v>2</v>
      </c>
      <c r="D797" s="147"/>
      <c r="E797" s="147"/>
      <c r="F797" s="147"/>
      <c r="G797" s="147"/>
      <c r="H797" s="147"/>
      <c r="I797" s="147"/>
      <c r="J797" s="147">
        <v>1</v>
      </c>
      <c r="K797" s="147"/>
      <c r="L797" s="147"/>
      <c r="M797" s="147">
        <v>1</v>
      </c>
      <c r="N797" s="147"/>
      <c r="O797" s="147">
        <v>-1003470351325</v>
      </c>
      <c r="P797" s="147"/>
      <c r="Q797" s="147"/>
      <c r="R797" s="148"/>
      <c r="S797" s="148"/>
      <c r="T797" s="148"/>
      <c r="U797" s="148"/>
      <c r="V797" s="148"/>
      <c r="W797" s="148"/>
      <c r="X797" s="148"/>
      <c r="Y797" s="148"/>
      <c r="Z797" s="148"/>
      <c r="AA797" s="148"/>
      <c r="AB797" s="148"/>
      <c r="AC797" s="148"/>
    </row>
    <row r="798" spans="1:29">
      <c r="A798" s="147" t="s">
        <v>8528</v>
      </c>
      <c r="B798" s="147" t="s">
        <v>61</v>
      </c>
      <c r="C798" s="147">
        <v>1</v>
      </c>
      <c r="D798" s="147"/>
      <c r="E798" s="147"/>
      <c r="F798" s="147"/>
      <c r="G798" s="147"/>
      <c r="H798" s="147"/>
      <c r="I798" s="147">
        <v>1</v>
      </c>
      <c r="J798" s="147"/>
      <c r="K798" s="147"/>
      <c r="L798" s="147"/>
      <c r="M798" s="147"/>
      <c r="N798" s="147"/>
      <c r="O798" s="147">
        <v>-1003470351325</v>
      </c>
      <c r="P798" s="147"/>
      <c r="Q798" s="147"/>
      <c r="R798" s="148"/>
      <c r="S798" s="148"/>
      <c r="T798" s="148"/>
      <c r="U798" s="148"/>
      <c r="V798" s="148"/>
      <c r="W798" s="148"/>
      <c r="X798" s="148"/>
      <c r="Y798" s="148"/>
      <c r="Z798" s="148"/>
      <c r="AA798" s="148"/>
      <c r="AB798" s="148"/>
      <c r="AC798" s="148"/>
    </row>
    <row r="799" spans="1:29">
      <c r="A799" s="147" t="s">
        <v>8182</v>
      </c>
      <c r="B799" s="147" t="s">
        <v>61</v>
      </c>
      <c r="C799" s="147">
        <v>3</v>
      </c>
      <c r="D799" s="147">
        <v>1</v>
      </c>
      <c r="E799" s="147"/>
      <c r="F799" s="147"/>
      <c r="G799" s="147"/>
      <c r="H799" s="147"/>
      <c r="I799" s="147">
        <v>1</v>
      </c>
      <c r="J799" s="147">
        <v>1</v>
      </c>
      <c r="K799" s="147"/>
      <c r="L799" s="147"/>
      <c r="M799" s="147"/>
      <c r="N799" s="147"/>
      <c r="O799" s="147">
        <v>-1003470351325</v>
      </c>
      <c r="P799" s="147"/>
      <c r="Q799" s="147"/>
      <c r="R799" s="148"/>
      <c r="S799" s="148"/>
      <c r="T799" s="148"/>
      <c r="U799" s="148"/>
      <c r="V799" s="148"/>
      <c r="W799" s="148"/>
      <c r="X799" s="148"/>
      <c r="Y799" s="148"/>
      <c r="Z799" s="148"/>
      <c r="AA799" s="148"/>
      <c r="AB799" s="148"/>
      <c r="AC799" s="148"/>
    </row>
    <row r="800" spans="1:29">
      <c r="A800" s="147" t="s">
        <v>8512</v>
      </c>
      <c r="B800" s="147" t="s">
        <v>61</v>
      </c>
      <c r="C800" s="147">
        <v>1</v>
      </c>
      <c r="D800" s="147">
        <v>1</v>
      </c>
      <c r="E800" s="147"/>
      <c r="F800" s="147"/>
      <c r="G800" s="147"/>
      <c r="H800" s="147"/>
      <c r="I800" s="147"/>
      <c r="J800" s="147"/>
      <c r="K800" s="147"/>
      <c r="L800" s="147"/>
      <c r="M800" s="147"/>
      <c r="N800" s="147"/>
      <c r="O800" s="147">
        <v>-1003470351325</v>
      </c>
      <c r="P800" s="147"/>
      <c r="Q800" s="147"/>
      <c r="R800" s="148"/>
      <c r="S800" s="148"/>
      <c r="T800" s="148"/>
      <c r="U800" s="148"/>
      <c r="V800" s="148"/>
      <c r="W800" s="148"/>
      <c r="X800" s="148"/>
      <c r="Y800" s="148"/>
      <c r="Z800" s="148"/>
      <c r="AA800" s="148"/>
      <c r="AB800" s="148"/>
      <c r="AC800" s="148"/>
    </row>
    <row r="801" spans="1:29">
      <c r="A801" s="147" t="s">
        <v>8546</v>
      </c>
      <c r="B801" s="147" t="s">
        <v>1774</v>
      </c>
      <c r="C801" s="147">
        <v>1</v>
      </c>
      <c r="D801" s="147"/>
      <c r="E801" s="147"/>
      <c r="F801" s="147"/>
      <c r="G801" s="147"/>
      <c r="H801" s="147"/>
      <c r="I801" s="147">
        <v>1</v>
      </c>
      <c r="J801" s="147"/>
      <c r="K801" s="147"/>
      <c r="L801" s="147"/>
      <c r="M801" s="147"/>
      <c r="N801" s="147"/>
      <c r="O801" s="147">
        <v>-1003470351325</v>
      </c>
      <c r="P801" s="147"/>
      <c r="Q801" s="147"/>
      <c r="R801" s="148"/>
      <c r="S801" s="148"/>
      <c r="T801" s="148"/>
      <c r="U801" s="148"/>
      <c r="V801" s="148"/>
      <c r="W801" s="148"/>
      <c r="X801" s="148"/>
      <c r="Y801" s="148"/>
      <c r="Z801" s="148"/>
      <c r="AA801" s="148"/>
      <c r="AB801" s="148"/>
      <c r="AC801" s="148"/>
    </row>
    <row r="802" spans="1:29">
      <c r="A802" s="147" t="s">
        <v>4196</v>
      </c>
      <c r="B802" s="147" t="s">
        <v>115</v>
      </c>
      <c r="C802" s="147">
        <v>2</v>
      </c>
      <c r="D802" s="147"/>
      <c r="E802" s="147"/>
      <c r="F802" s="147"/>
      <c r="G802" s="147"/>
      <c r="H802" s="147"/>
      <c r="I802" s="147">
        <v>2</v>
      </c>
      <c r="J802" s="147"/>
      <c r="K802" s="147"/>
      <c r="L802" s="147"/>
      <c r="M802" s="147"/>
      <c r="N802" s="147"/>
      <c r="O802" s="147">
        <v>-1003470351325</v>
      </c>
      <c r="P802" s="147"/>
      <c r="Q802" s="147"/>
      <c r="R802" s="148"/>
      <c r="S802" s="148"/>
      <c r="T802" s="148"/>
      <c r="U802" s="148"/>
      <c r="V802" s="148"/>
      <c r="W802" s="148"/>
      <c r="X802" s="148"/>
      <c r="Y802" s="148"/>
      <c r="Z802" s="148"/>
      <c r="AA802" s="148"/>
      <c r="AB802" s="148"/>
      <c r="AC802" s="148"/>
    </row>
    <row r="803" spans="1:29">
      <c r="A803" s="147" t="s">
        <v>4196</v>
      </c>
      <c r="B803" s="147" t="s">
        <v>1774</v>
      </c>
      <c r="C803" s="147">
        <v>1</v>
      </c>
      <c r="D803" s="147"/>
      <c r="E803" s="147"/>
      <c r="F803" s="147"/>
      <c r="G803" s="147"/>
      <c r="H803" s="147"/>
      <c r="I803" s="147"/>
      <c r="J803" s="147">
        <v>1</v>
      </c>
      <c r="K803" s="147"/>
      <c r="L803" s="147"/>
      <c r="M803" s="147"/>
      <c r="N803" s="147"/>
      <c r="O803" s="147">
        <v>-1003470351325</v>
      </c>
      <c r="P803" s="147"/>
      <c r="Q803" s="147"/>
      <c r="R803" s="148"/>
      <c r="S803" s="148"/>
      <c r="T803" s="148"/>
      <c r="U803" s="148"/>
      <c r="V803" s="148"/>
      <c r="W803" s="148"/>
      <c r="X803" s="148"/>
      <c r="Y803" s="148"/>
      <c r="Z803" s="148"/>
      <c r="AA803" s="148"/>
      <c r="AB803" s="148"/>
      <c r="AC803" s="148"/>
    </row>
    <row r="804" spans="1:29">
      <c r="A804" s="147" t="s">
        <v>12846</v>
      </c>
      <c r="B804" s="147" t="s">
        <v>1774</v>
      </c>
      <c r="C804" s="147">
        <v>1</v>
      </c>
      <c r="D804" s="147"/>
      <c r="E804" s="147"/>
      <c r="F804" s="147"/>
      <c r="G804" s="147"/>
      <c r="H804" s="147"/>
      <c r="I804" s="147"/>
      <c r="J804" s="147"/>
      <c r="K804" s="147">
        <v>1</v>
      </c>
      <c r="L804" s="147"/>
      <c r="M804" s="147"/>
      <c r="N804" s="147"/>
      <c r="O804" s="147">
        <v>-1003470351325</v>
      </c>
      <c r="P804" s="147"/>
      <c r="Q804" s="147">
        <v>2</v>
      </c>
      <c r="R804" s="148"/>
      <c r="S804" s="148"/>
      <c r="T804" s="148"/>
      <c r="U804" s="148"/>
      <c r="V804" s="148"/>
      <c r="W804" s="148"/>
      <c r="X804" s="148"/>
      <c r="Y804" s="148"/>
      <c r="Z804" s="148"/>
      <c r="AA804" s="148"/>
      <c r="AB804" s="148"/>
      <c r="AC804" s="148"/>
    </row>
    <row r="805" spans="1:29">
      <c r="A805" s="147" t="s">
        <v>12846</v>
      </c>
      <c r="B805" s="147" t="s">
        <v>61</v>
      </c>
      <c r="C805" s="147">
        <v>2</v>
      </c>
      <c r="D805" s="147">
        <v>1</v>
      </c>
      <c r="E805" s="147"/>
      <c r="F805" s="147"/>
      <c r="G805" s="147"/>
      <c r="H805" s="147"/>
      <c r="I805" s="147">
        <v>1</v>
      </c>
      <c r="J805" s="147"/>
      <c r="K805" s="147"/>
      <c r="L805" s="147"/>
      <c r="M805" s="147"/>
      <c r="N805" s="147"/>
      <c r="O805" s="147">
        <v>-1003470351325</v>
      </c>
      <c r="P805" s="147"/>
      <c r="Q805" s="147"/>
      <c r="R805" s="148"/>
      <c r="S805" s="148"/>
      <c r="T805" s="148"/>
      <c r="U805" s="148"/>
      <c r="V805" s="148"/>
      <c r="W805" s="148"/>
      <c r="X805" s="148"/>
      <c r="Y805" s="148"/>
      <c r="Z805" s="148"/>
      <c r="AA805" s="148"/>
      <c r="AB805" s="148"/>
      <c r="AC805" s="148"/>
    </row>
    <row r="806" spans="1:29">
      <c r="A806" s="147" t="s">
        <v>4196</v>
      </c>
      <c r="B806" s="147" t="s">
        <v>61</v>
      </c>
      <c r="C806" s="147"/>
      <c r="D806" s="147"/>
      <c r="E806" s="147"/>
      <c r="F806" s="147"/>
      <c r="G806" s="147"/>
      <c r="H806" s="147"/>
      <c r="I806" s="147"/>
      <c r="J806" s="147"/>
      <c r="K806" s="147"/>
      <c r="L806" s="147"/>
      <c r="M806" s="147"/>
      <c r="N806" s="147"/>
      <c r="O806" s="147">
        <v>-1003470351325</v>
      </c>
      <c r="P806" s="147"/>
      <c r="Q806" s="147"/>
      <c r="R806" s="148"/>
      <c r="S806" s="148"/>
      <c r="T806" s="148"/>
      <c r="U806" s="148"/>
      <c r="V806" s="148"/>
      <c r="W806" s="148"/>
      <c r="X806" s="148"/>
      <c r="Y806" s="148"/>
      <c r="Z806" s="148"/>
      <c r="AA806" s="148"/>
      <c r="AB806" s="148"/>
      <c r="AC806" s="148"/>
    </row>
    <row r="807" spans="1:29">
      <c r="A807" s="147" t="s">
        <v>8546</v>
      </c>
      <c r="B807" s="147" t="s">
        <v>61</v>
      </c>
      <c r="C807" s="147">
        <v>1</v>
      </c>
      <c r="D807" s="147">
        <v>1</v>
      </c>
      <c r="E807" s="147"/>
      <c r="F807" s="147"/>
      <c r="G807" s="147"/>
      <c r="H807" s="147"/>
      <c r="I807" s="147"/>
      <c r="J807" s="147"/>
      <c r="K807" s="147"/>
      <c r="L807" s="147"/>
      <c r="M807" s="147"/>
      <c r="N807" s="147"/>
      <c r="O807" s="147">
        <v>-1003470351325</v>
      </c>
      <c r="P807" s="147"/>
      <c r="Q807" s="147"/>
      <c r="R807" s="148"/>
      <c r="S807" s="148"/>
      <c r="T807" s="148"/>
      <c r="U807" s="148"/>
      <c r="V807" s="148"/>
      <c r="W807" s="148"/>
      <c r="X807" s="148"/>
      <c r="Y807" s="148"/>
      <c r="Z807" s="148"/>
      <c r="AA807" s="148"/>
      <c r="AB807" s="148"/>
      <c r="AC807" s="148"/>
    </row>
    <row r="808" spans="1:29">
      <c r="A808" s="147" t="s">
        <v>8557</v>
      </c>
      <c r="B808" s="147" t="s">
        <v>61</v>
      </c>
      <c r="C808" s="147"/>
      <c r="D808" s="147"/>
      <c r="E808" s="147"/>
      <c r="F808" s="147"/>
      <c r="G808" s="147"/>
      <c r="H808" s="147"/>
      <c r="I808" s="147"/>
      <c r="J808" s="147"/>
      <c r="K808" s="147"/>
      <c r="L808" s="147"/>
      <c r="M808" s="147"/>
      <c r="N808" s="147"/>
      <c r="O808" s="147">
        <v>-1003470351325</v>
      </c>
      <c r="P808" s="147"/>
      <c r="Q808" s="147"/>
      <c r="R808" s="148"/>
      <c r="S808" s="148"/>
      <c r="T808" s="148"/>
      <c r="U808" s="148"/>
      <c r="V808" s="148"/>
      <c r="W808" s="148"/>
      <c r="X808" s="148"/>
      <c r="Y808" s="148"/>
      <c r="Z808" s="148"/>
      <c r="AA808" s="148"/>
      <c r="AB808" s="148"/>
      <c r="AC808" s="148"/>
    </row>
    <row r="809" spans="1:29">
      <c r="A809" s="147" t="s">
        <v>8574</v>
      </c>
      <c r="B809" s="147" t="s">
        <v>115</v>
      </c>
      <c r="C809" s="147">
        <v>2</v>
      </c>
      <c r="D809" s="147"/>
      <c r="E809" s="147"/>
      <c r="F809" s="147"/>
      <c r="G809" s="147"/>
      <c r="H809" s="147"/>
      <c r="I809" s="147">
        <v>1</v>
      </c>
      <c r="J809" s="147">
        <v>1</v>
      </c>
      <c r="K809" s="147"/>
      <c r="L809" s="147"/>
      <c r="M809" s="147"/>
      <c r="N809" s="147"/>
      <c r="O809" s="147">
        <v>-1003470351325</v>
      </c>
      <c r="P809" s="147"/>
      <c r="Q809" s="147"/>
      <c r="R809" s="148"/>
      <c r="S809" s="148"/>
      <c r="T809" s="148"/>
      <c r="U809" s="148"/>
      <c r="V809" s="148"/>
      <c r="W809" s="148"/>
      <c r="X809" s="148"/>
      <c r="Y809" s="148"/>
      <c r="Z809" s="148"/>
      <c r="AA809" s="148"/>
      <c r="AB809" s="148"/>
      <c r="AC809" s="148"/>
    </row>
    <row r="810" spans="1:29">
      <c r="A810" s="147" t="s">
        <v>8574</v>
      </c>
      <c r="B810" s="147" t="s">
        <v>1774</v>
      </c>
      <c r="C810" s="147"/>
      <c r="D810" s="147"/>
      <c r="E810" s="147"/>
      <c r="F810" s="147"/>
      <c r="G810" s="147"/>
      <c r="H810" s="147"/>
      <c r="I810" s="147"/>
      <c r="J810" s="147"/>
      <c r="K810" s="147"/>
      <c r="L810" s="147"/>
      <c r="M810" s="147"/>
      <c r="N810" s="147"/>
      <c r="O810" s="147">
        <v>-1003470351325</v>
      </c>
      <c r="P810" s="147"/>
      <c r="Q810" s="147">
        <v>57</v>
      </c>
      <c r="R810" s="148"/>
      <c r="S810" s="148"/>
      <c r="T810" s="148"/>
      <c r="U810" s="148"/>
      <c r="V810" s="148"/>
      <c r="W810" s="148"/>
      <c r="X810" s="148"/>
      <c r="Y810" s="148"/>
      <c r="Z810" s="148"/>
      <c r="AA810" s="148"/>
      <c r="AB810" s="148"/>
      <c r="AC810" s="148"/>
    </row>
    <row r="811" spans="1:29">
      <c r="A811" s="147" t="s">
        <v>8587</v>
      </c>
      <c r="B811" s="147" t="s">
        <v>1774</v>
      </c>
      <c r="C811" s="147">
        <v>1</v>
      </c>
      <c r="D811" s="147"/>
      <c r="E811" s="147">
        <v>1</v>
      </c>
      <c r="F811" s="147"/>
      <c r="G811" s="147"/>
      <c r="H811" s="147"/>
      <c r="I811" s="147"/>
      <c r="J811" s="147"/>
      <c r="K811" s="147"/>
      <c r="L811" s="147"/>
      <c r="M811" s="147"/>
      <c r="N811" s="147"/>
      <c r="O811" s="147">
        <v>-1003470351325</v>
      </c>
      <c r="P811" s="147"/>
      <c r="Q811" s="147">
        <v>45</v>
      </c>
      <c r="R811" s="148"/>
      <c r="S811" s="148"/>
      <c r="T811" s="148"/>
      <c r="U811" s="148"/>
      <c r="V811" s="148"/>
      <c r="W811" s="148"/>
      <c r="X811" s="148"/>
      <c r="Y811" s="148"/>
      <c r="Z811" s="148"/>
      <c r="AA811" s="148"/>
      <c r="AB811" s="148"/>
      <c r="AC811" s="148"/>
    </row>
    <row r="812" spans="1:29">
      <c r="A812" s="147" t="s">
        <v>7994</v>
      </c>
      <c r="B812" s="147" t="s">
        <v>1774</v>
      </c>
      <c r="C812" s="147">
        <v>3</v>
      </c>
      <c r="D812" s="147"/>
      <c r="E812" s="147">
        <v>1</v>
      </c>
      <c r="F812" s="147">
        <v>1</v>
      </c>
      <c r="G812" s="147"/>
      <c r="H812" s="147"/>
      <c r="I812" s="147">
        <v>1</v>
      </c>
      <c r="J812" s="147"/>
      <c r="K812" s="147"/>
      <c r="L812" s="147"/>
      <c r="M812" s="147"/>
      <c r="N812" s="147"/>
      <c r="O812" s="147">
        <v>-1003470351325</v>
      </c>
      <c r="P812" s="147"/>
      <c r="Q812" s="147"/>
      <c r="R812" s="148"/>
      <c r="S812" s="148"/>
      <c r="T812" s="148"/>
      <c r="U812" s="148"/>
      <c r="V812" s="148"/>
      <c r="W812" s="148"/>
      <c r="X812" s="148"/>
      <c r="Y812" s="148"/>
      <c r="Z812" s="148"/>
      <c r="AA812" s="148"/>
      <c r="AB812" s="148"/>
      <c r="AC812" s="148"/>
    </row>
    <row r="813" spans="1:29">
      <c r="A813" s="147" t="s">
        <v>7994</v>
      </c>
      <c r="B813" s="147" t="s">
        <v>115</v>
      </c>
      <c r="C813" s="147"/>
      <c r="D813" s="147"/>
      <c r="E813" s="147"/>
      <c r="F813" s="147"/>
      <c r="G813" s="147"/>
      <c r="H813" s="147"/>
      <c r="I813" s="147"/>
      <c r="J813" s="147"/>
      <c r="K813" s="147"/>
      <c r="L813" s="147"/>
      <c r="M813" s="147"/>
      <c r="N813" s="147"/>
      <c r="O813" s="147">
        <v>-1003470351325</v>
      </c>
      <c r="P813" s="147"/>
      <c r="Q813" s="147">
        <v>48</v>
      </c>
      <c r="R813" s="148"/>
      <c r="S813" s="148"/>
      <c r="T813" s="148"/>
      <c r="U813" s="148"/>
      <c r="V813" s="148"/>
      <c r="W813" s="148"/>
      <c r="X813" s="148"/>
      <c r="Y813" s="148"/>
      <c r="Z813" s="148"/>
      <c r="AA813" s="148"/>
      <c r="AB813" s="148"/>
      <c r="AC813" s="148"/>
    </row>
    <row r="814" spans="1:29">
      <c r="A814" s="147" t="s">
        <v>8587</v>
      </c>
      <c r="B814" s="147" t="s">
        <v>61</v>
      </c>
      <c r="C814" s="147">
        <v>1</v>
      </c>
      <c r="D814" s="147"/>
      <c r="E814" s="147"/>
      <c r="F814" s="147"/>
      <c r="G814" s="147"/>
      <c r="H814" s="147"/>
      <c r="I814" s="147">
        <v>1</v>
      </c>
      <c r="J814" s="147"/>
      <c r="K814" s="147"/>
      <c r="L814" s="147"/>
      <c r="M814" s="147"/>
      <c r="N814" s="147"/>
      <c r="O814" s="147">
        <v>-1003470351325</v>
      </c>
      <c r="P814" s="147"/>
      <c r="Q814" s="147"/>
      <c r="R814" s="148"/>
      <c r="S814" s="148"/>
      <c r="T814" s="148"/>
      <c r="U814" s="148"/>
      <c r="V814" s="148"/>
      <c r="W814" s="148"/>
      <c r="X814" s="148"/>
      <c r="Y814" s="148"/>
      <c r="Z814" s="148"/>
      <c r="AA814" s="148"/>
      <c r="AB814" s="148"/>
      <c r="AC814" s="148"/>
    </row>
    <row r="815" spans="1:29">
      <c r="A815" s="147" t="s">
        <v>8574</v>
      </c>
      <c r="B815" s="147" t="s">
        <v>61</v>
      </c>
      <c r="C815" s="147"/>
      <c r="D815" s="147"/>
      <c r="E815" s="147"/>
      <c r="F815" s="147"/>
      <c r="G815" s="147"/>
      <c r="H815" s="147"/>
      <c r="I815" s="147"/>
      <c r="J815" s="147"/>
      <c r="K815" s="147"/>
      <c r="L815" s="147"/>
      <c r="M815" s="147"/>
      <c r="N815" s="147"/>
      <c r="O815" s="147">
        <v>-1003470351325</v>
      </c>
      <c r="P815" s="147"/>
      <c r="Q815" s="147"/>
      <c r="R815" s="148"/>
      <c r="S815" s="148"/>
      <c r="T815" s="148"/>
      <c r="U815" s="148"/>
      <c r="V815" s="148"/>
      <c r="W815" s="148"/>
      <c r="X815" s="148"/>
      <c r="Y815" s="148"/>
      <c r="Z815" s="148"/>
      <c r="AA815" s="148"/>
      <c r="AB815" s="148"/>
      <c r="AC815" s="148"/>
    </row>
    <row r="816" spans="1:29">
      <c r="A816" s="147" t="s">
        <v>7994</v>
      </c>
      <c r="B816" s="147" t="s">
        <v>61</v>
      </c>
      <c r="C816" s="147">
        <v>1</v>
      </c>
      <c r="D816" s="147"/>
      <c r="E816" s="147"/>
      <c r="F816" s="147"/>
      <c r="G816" s="147"/>
      <c r="H816" s="147"/>
      <c r="I816" s="147">
        <v>1</v>
      </c>
      <c r="J816" s="147"/>
      <c r="K816" s="147"/>
      <c r="L816" s="147"/>
      <c r="M816" s="147"/>
      <c r="N816" s="147"/>
      <c r="O816" s="147">
        <v>-1003470351325</v>
      </c>
      <c r="P816" s="147"/>
      <c r="Q816" s="147">
        <v>53</v>
      </c>
      <c r="R816" s="148"/>
      <c r="S816" s="148"/>
      <c r="T816" s="148"/>
      <c r="U816" s="148"/>
      <c r="V816" s="148"/>
      <c r="W816" s="148"/>
      <c r="X816" s="148"/>
      <c r="Y816" s="148"/>
      <c r="Z816" s="148"/>
      <c r="AA816" s="148"/>
      <c r="AB816" s="148"/>
      <c r="AC816" s="148"/>
    </row>
    <row r="817" spans="1:29">
      <c r="A817" s="147" t="s">
        <v>512</v>
      </c>
      <c r="B817" s="147" t="s">
        <v>61</v>
      </c>
      <c r="C817" s="147">
        <v>3</v>
      </c>
      <c r="D817" s="147"/>
      <c r="E817" s="147"/>
      <c r="F817" s="147"/>
      <c r="G817" s="147"/>
      <c r="H817" s="147"/>
      <c r="I817" s="147">
        <v>1</v>
      </c>
      <c r="J817" s="147">
        <v>1</v>
      </c>
      <c r="K817" s="147"/>
      <c r="L817" s="147"/>
      <c r="M817" s="147">
        <v>1</v>
      </c>
      <c r="N817" s="147"/>
      <c r="O817" s="147">
        <v>-1003470351325</v>
      </c>
      <c r="P817" s="147"/>
      <c r="Q817" s="147"/>
      <c r="R817" s="148"/>
      <c r="S817" s="148"/>
      <c r="T817" s="148"/>
      <c r="U817" s="148"/>
      <c r="V817" s="148"/>
      <c r="W817" s="148"/>
      <c r="X817" s="148"/>
      <c r="Y817" s="148"/>
      <c r="Z817" s="148"/>
      <c r="AA817" s="148"/>
      <c r="AB817" s="148"/>
      <c r="AC817" s="148"/>
    </row>
    <row r="818" spans="1:29">
      <c r="A818" s="147" t="s">
        <v>512</v>
      </c>
      <c r="B818" s="147" t="s">
        <v>115</v>
      </c>
      <c r="C818" s="147">
        <v>3</v>
      </c>
      <c r="D818" s="147">
        <v>1</v>
      </c>
      <c r="E818" s="147"/>
      <c r="F818" s="147"/>
      <c r="G818" s="147"/>
      <c r="H818" s="147"/>
      <c r="I818" s="147"/>
      <c r="J818" s="147"/>
      <c r="K818" s="147"/>
      <c r="L818" s="147">
        <v>1</v>
      </c>
      <c r="M818" s="147">
        <v>1</v>
      </c>
      <c r="N818" s="147"/>
      <c r="O818" s="147">
        <v>-1003470351325</v>
      </c>
      <c r="P818" s="147"/>
      <c r="Q818" s="147"/>
      <c r="R818" s="148"/>
      <c r="S818" s="148"/>
      <c r="T818" s="148"/>
      <c r="U818" s="148"/>
      <c r="V818" s="148"/>
      <c r="W818" s="148"/>
      <c r="X818" s="148"/>
      <c r="Y818" s="148"/>
      <c r="Z818" s="148"/>
      <c r="AA818" s="148"/>
      <c r="AB818" s="148"/>
      <c r="AC818" s="148"/>
    </row>
    <row r="819" spans="1:29">
      <c r="A819" s="147" t="s">
        <v>512</v>
      </c>
      <c r="B819" s="147" t="s">
        <v>1774</v>
      </c>
      <c r="C819" s="147">
        <v>1</v>
      </c>
      <c r="D819" s="147"/>
      <c r="E819" s="147">
        <v>1</v>
      </c>
      <c r="F819" s="147"/>
      <c r="G819" s="147"/>
      <c r="H819" s="147"/>
      <c r="I819" s="147"/>
      <c r="J819" s="147"/>
      <c r="K819" s="147"/>
      <c r="L819" s="147"/>
      <c r="M819" s="147"/>
      <c r="N819" s="147"/>
      <c r="O819" s="147">
        <v>-1003470351325</v>
      </c>
      <c r="P819" s="147"/>
      <c r="Q819" s="147"/>
      <c r="R819" s="148"/>
      <c r="S819" s="148"/>
      <c r="T819" s="148"/>
      <c r="U819" s="148"/>
      <c r="V819" s="148"/>
      <c r="W819" s="148"/>
      <c r="X819" s="148"/>
      <c r="Y819" s="148"/>
      <c r="Z819" s="148"/>
      <c r="AA819" s="148"/>
      <c r="AB819" s="148"/>
      <c r="AC819" s="148"/>
    </row>
    <row r="820" spans="1:29">
      <c r="A820" s="147" t="s">
        <v>4141</v>
      </c>
      <c r="B820" s="147" t="s">
        <v>115</v>
      </c>
      <c r="C820" s="147">
        <v>2</v>
      </c>
      <c r="D820" s="147"/>
      <c r="E820" s="147"/>
      <c r="F820" s="147"/>
      <c r="G820" s="147"/>
      <c r="H820" s="147"/>
      <c r="I820" s="147">
        <v>1</v>
      </c>
      <c r="J820" s="147">
        <v>1</v>
      </c>
      <c r="K820" s="147"/>
      <c r="L820" s="147"/>
      <c r="M820" s="147"/>
      <c r="N820" s="147"/>
      <c r="O820" s="147">
        <v>-1003470351325</v>
      </c>
      <c r="P820" s="147"/>
      <c r="Q820" s="147">
        <v>5</v>
      </c>
      <c r="R820" s="148"/>
      <c r="S820" s="148"/>
      <c r="T820" s="148"/>
      <c r="U820" s="148"/>
      <c r="V820" s="148"/>
      <c r="W820" s="148"/>
      <c r="X820" s="148"/>
      <c r="Y820" s="148"/>
      <c r="Z820" s="148"/>
      <c r="AA820" s="148"/>
      <c r="AB820" s="148"/>
      <c r="AC820" s="148"/>
    </row>
    <row r="821" spans="1:29">
      <c r="A821" s="147" t="s">
        <v>4141</v>
      </c>
      <c r="B821" s="147" t="s">
        <v>1774</v>
      </c>
      <c r="C821" s="147"/>
      <c r="D821" s="147"/>
      <c r="E821" s="147"/>
      <c r="F821" s="147"/>
      <c r="G821" s="147"/>
      <c r="H821" s="147"/>
      <c r="I821" s="147"/>
      <c r="J821" s="147"/>
      <c r="K821" s="147"/>
      <c r="L821" s="147"/>
      <c r="M821" s="147"/>
      <c r="N821" s="147"/>
      <c r="O821" s="147">
        <v>-1003470351325</v>
      </c>
      <c r="P821" s="147"/>
      <c r="Q821" s="147">
        <v>86</v>
      </c>
      <c r="R821" s="148"/>
      <c r="S821" s="148"/>
      <c r="T821" s="148"/>
      <c r="U821" s="148"/>
      <c r="V821" s="148"/>
      <c r="W821" s="148"/>
      <c r="X821" s="148"/>
      <c r="Y821" s="148"/>
      <c r="Z821" s="148"/>
      <c r="AA821" s="148"/>
      <c r="AB821" s="148"/>
      <c r="AC821" s="148"/>
    </row>
    <row r="822" spans="1:29">
      <c r="A822" s="147" t="s">
        <v>7709</v>
      </c>
      <c r="B822" s="147" t="s">
        <v>115</v>
      </c>
      <c r="C822" s="147">
        <v>2</v>
      </c>
      <c r="D822" s="147"/>
      <c r="E822" s="147"/>
      <c r="F822" s="147"/>
      <c r="G822" s="147"/>
      <c r="H822" s="147"/>
      <c r="I822" s="147">
        <v>2</v>
      </c>
      <c r="J822" s="147"/>
      <c r="K822" s="147"/>
      <c r="L822" s="147"/>
      <c r="M822" s="147"/>
      <c r="N822" s="147"/>
      <c r="O822" s="147">
        <v>-1003470351325</v>
      </c>
      <c r="P822" s="147"/>
      <c r="Q822" s="147"/>
      <c r="R822" s="148"/>
      <c r="S822" s="148"/>
      <c r="T822" s="148"/>
      <c r="U822" s="148"/>
      <c r="V822" s="148"/>
      <c r="W822" s="148"/>
      <c r="X822" s="148"/>
      <c r="Y822" s="148"/>
      <c r="Z822" s="148"/>
      <c r="AA822" s="148"/>
      <c r="AB822" s="148"/>
      <c r="AC822" s="148"/>
    </row>
    <row r="823" spans="1:29">
      <c r="A823" s="147" t="s">
        <v>7709</v>
      </c>
      <c r="B823" s="147" t="s">
        <v>1774</v>
      </c>
      <c r="C823" s="147">
        <v>1</v>
      </c>
      <c r="D823" s="147"/>
      <c r="E823" s="147"/>
      <c r="F823" s="147"/>
      <c r="G823" s="147"/>
      <c r="H823" s="147"/>
      <c r="I823" s="147">
        <v>1</v>
      </c>
      <c r="J823" s="147"/>
      <c r="K823" s="147"/>
      <c r="L823" s="147"/>
      <c r="M823" s="147"/>
      <c r="N823" s="147"/>
      <c r="O823" s="147">
        <v>-1003470351325</v>
      </c>
      <c r="P823" s="147"/>
      <c r="Q823" s="147"/>
      <c r="R823" s="148"/>
      <c r="S823" s="148"/>
      <c r="T823" s="148"/>
      <c r="U823" s="148"/>
      <c r="V823" s="148"/>
      <c r="W823" s="148"/>
      <c r="X823" s="148"/>
      <c r="Y823" s="148"/>
      <c r="Z823" s="148"/>
      <c r="AA823" s="148"/>
      <c r="AB823" s="148"/>
      <c r="AC823" s="148"/>
    </row>
    <row r="824" spans="1:29">
      <c r="A824" s="147" t="s">
        <v>7709</v>
      </c>
      <c r="B824" s="147" t="s">
        <v>61</v>
      </c>
      <c r="C824" s="147">
        <v>1</v>
      </c>
      <c r="D824" s="147">
        <v>1</v>
      </c>
      <c r="E824" s="147"/>
      <c r="F824" s="147"/>
      <c r="G824" s="147"/>
      <c r="H824" s="147"/>
      <c r="I824" s="147"/>
      <c r="J824" s="147"/>
      <c r="K824" s="147"/>
      <c r="L824" s="147"/>
      <c r="M824" s="147"/>
      <c r="N824" s="147"/>
      <c r="O824" s="147">
        <v>-1003470351325</v>
      </c>
      <c r="P824" s="147"/>
      <c r="Q824" s="147"/>
      <c r="R824" s="148"/>
      <c r="S824" s="148"/>
      <c r="T824" s="148"/>
      <c r="U824" s="148"/>
      <c r="V824" s="148"/>
      <c r="W824" s="148"/>
      <c r="X824" s="148"/>
      <c r="Y824" s="148"/>
      <c r="Z824" s="148"/>
      <c r="AA824" s="148"/>
      <c r="AB824" s="148"/>
      <c r="AC824" s="148"/>
    </row>
    <row r="825" spans="1:29">
      <c r="A825" s="147" t="s">
        <v>3670</v>
      </c>
      <c r="B825" s="147" t="s">
        <v>115</v>
      </c>
      <c r="C825" s="147">
        <v>2</v>
      </c>
      <c r="D825" s="147"/>
      <c r="E825" s="147"/>
      <c r="F825" s="147"/>
      <c r="G825" s="147"/>
      <c r="H825" s="147"/>
      <c r="I825" s="147"/>
      <c r="J825" s="147">
        <v>2</v>
      </c>
      <c r="K825" s="147"/>
      <c r="L825" s="147"/>
      <c r="M825" s="147"/>
      <c r="N825" s="147"/>
      <c r="O825" s="147">
        <v>-1003470351325</v>
      </c>
      <c r="P825" s="147"/>
      <c r="Q825" s="147"/>
      <c r="R825" s="148"/>
      <c r="S825" s="148"/>
      <c r="T825" s="148"/>
      <c r="U825" s="148"/>
      <c r="V825" s="148"/>
      <c r="W825" s="148"/>
      <c r="X825" s="148"/>
      <c r="Y825" s="148"/>
      <c r="Z825" s="148"/>
      <c r="AA825" s="148"/>
      <c r="AB825" s="148"/>
      <c r="AC825" s="148"/>
    </row>
    <row r="826" spans="1:29">
      <c r="A826" s="147" t="s">
        <v>3501</v>
      </c>
      <c r="B826" s="147" t="s">
        <v>115</v>
      </c>
      <c r="C826" s="147">
        <v>1</v>
      </c>
      <c r="D826" s="147"/>
      <c r="E826" s="147"/>
      <c r="F826" s="147"/>
      <c r="G826" s="147"/>
      <c r="H826" s="147"/>
      <c r="I826" s="147"/>
      <c r="J826" s="147">
        <v>1</v>
      </c>
      <c r="K826" s="147"/>
      <c r="L826" s="147"/>
      <c r="M826" s="147"/>
      <c r="N826" s="147"/>
      <c r="O826" s="147">
        <v>-1003470351325</v>
      </c>
      <c r="P826" s="147"/>
      <c r="Q826" s="147"/>
      <c r="R826" s="148"/>
      <c r="S826" s="148"/>
      <c r="T826" s="148"/>
      <c r="U826" s="148"/>
      <c r="V826" s="148"/>
      <c r="W826" s="148"/>
      <c r="X826" s="148"/>
      <c r="Y826" s="148"/>
      <c r="Z826" s="148"/>
      <c r="AA826" s="148"/>
      <c r="AB826" s="148"/>
      <c r="AC826" s="148"/>
    </row>
    <row r="827" spans="1:29">
      <c r="A827" s="147" t="s">
        <v>3670</v>
      </c>
      <c r="B827" s="147" t="s">
        <v>61</v>
      </c>
      <c r="C827" s="147">
        <v>1</v>
      </c>
      <c r="D827" s="147"/>
      <c r="E827" s="147"/>
      <c r="F827" s="147"/>
      <c r="G827" s="147"/>
      <c r="H827" s="147"/>
      <c r="I827" s="147">
        <v>1</v>
      </c>
      <c r="J827" s="147"/>
      <c r="K827" s="147"/>
      <c r="L827" s="147"/>
      <c r="M827" s="147"/>
      <c r="N827" s="147"/>
      <c r="O827" s="147">
        <v>-1003470351325</v>
      </c>
      <c r="P827" s="147"/>
      <c r="Q827" s="147"/>
      <c r="R827" s="148"/>
      <c r="S827" s="148"/>
      <c r="T827" s="148"/>
      <c r="U827" s="148"/>
      <c r="V827" s="148"/>
      <c r="W827" s="148"/>
      <c r="X827" s="148"/>
      <c r="Y827" s="148"/>
      <c r="Z827" s="148"/>
      <c r="AA827" s="148"/>
      <c r="AB827" s="148"/>
      <c r="AC827" s="148"/>
    </row>
    <row r="828" spans="1:29">
      <c r="A828" s="147" t="s">
        <v>3501</v>
      </c>
      <c r="B828" s="147" t="s">
        <v>61</v>
      </c>
      <c r="C828" s="147">
        <v>3</v>
      </c>
      <c r="D828" s="147"/>
      <c r="E828" s="147"/>
      <c r="F828" s="147">
        <v>1</v>
      </c>
      <c r="G828" s="147"/>
      <c r="H828" s="147"/>
      <c r="I828" s="147">
        <v>1</v>
      </c>
      <c r="J828" s="147">
        <v>1</v>
      </c>
      <c r="K828" s="147"/>
      <c r="L828" s="147"/>
      <c r="M828" s="147"/>
      <c r="N828" s="147"/>
      <c r="O828" s="147">
        <v>-1003470351325</v>
      </c>
      <c r="P828" s="147"/>
      <c r="Q828" s="147"/>
      <c r="R828" s="148"/>
      <c r="S828" s="148"/>
      <c r="T828" s="148"/>
      <c r="U828" s="148"/>
      <c r="V828" s="148"/>
      <c r="W828" s="148"/>
      <c r="X828" s="148"/>
      <c r="Y828" s="148"/>
      <c r="Z828" s="148"/>
      <c r="AA828" s="148"/>
      <c r="AB828" s="148"/>
      <c r="AC828" s="148"/>
    </row>
    <row r="829" spans="1:29">
      <c r="A829" s="147" t="s">
        <v>7709</v>
      </c>
      <c r="B829" s="147" t="s">
        <v>61</v>
      </c>
      <c r="C829" s="147">
        <v>1</v>
      </c>
      <c r="D829" s="147">
        <v>1</v>
      </c>
      <c r="E829" s="147"/>
      <c r="F829" s="147"/>
      <c r="G829" s="147"/>
      <c r="H829" s="147"/>
      <c r="I829" s="147"/>
      <c r="J829" s="147"/>
      <c r="K829" s="147"/>
      <c r="L829" s="147"/>
      <c r="M829" s="147"/>
      <c r="N829" s="147"/>
      <c r="O829" s="147">
        <v>-1003470351325</v>
      </c>
      <c r="P829" s="147"/>
      <c r="Q829" s="147"/>
      <c r="R829" s="148"/>
      <c r="S829" s="148"/>
      <c r="T829" s="148"/>
      <c r="U829" s="148"/>
      <c r="V829" s="148"/>
      <c r="W829" s="148"/>
      <c r="X829" s="148"/>
      <c r="Y829" s="148"/>
      <c r="Z829" s="148"/>
      <c r="AA829" s="148"/>
      <c r="AB829" s="148"/>
      <c r="AC829" s="148"/>
    </row>
    <row r="830" spans="1:29">
      <c r="A830" s="147" t="s">
        <v>3501</v>
      </c>
      <c r="B830" s="147" t="s">
        <v>1774</v>
      </c>
      <c r="C830" s="147">
        <v>1</v>
      </c>
      <c r="D830" s="147"/>
      <c r="E830" s="147"/>
      <c r="F830" s="147"/>
      <c r="G830" s="147"/>
      <c r="H830" s="147"/>
      <c r="I830" s="147">
        <v>1</v>
      </c>
      <c r="J830" s="147"/>
      <c r="K830" s="147"/>
      <c r="L830" s="147"/>
      <c r="M830" s="147"/>
      <c r="N830" s="147"/>
      <c r="O830" s="147">
        <v>-1003470351325</v>
      </c>
      <c r="P830" s="147"/>
      <c r="Q830" s="147"/>
      <c r="R830" s="148"/>
      <c r="S830" s="148"/>
      <c r="T830" s="148"/>
      <c r="U830" s="148"/>
      <c r="V830" s="148"/>
      <c r="W830" s="148"/>
      <c r="X830" s="148"/>
      <c r="Y830" s="148"/>
      <c r="Z830" s="148"/>
      <c r="AA830" s="148"/>
      <c r="AB830" s="148"/>
      <c r="AC830" s="148"/>
    </row>
    <row r="831" spans="1:29">
      <c r="A831" s="150">
        <v>45658</v>
      </c>
      <c r="B831" s="147" t="s">
        <v>115</v>
      </c>
      <c r="C831" s="147">
        <v>1</v>
      </c>
      <c r="D831" s="147"/>
      <c r="E831" s="147"/>
      <c r="F831" s="147"/>
      <c r="G831" s="147"/>
      <c r="H831" s="147"/>
      <c r="I831" s="147"/>
      <c r="J831" s="147"/>
      <c r="K831" s="147"/>
      <c r="L831" s="147"/>
      <c r="M831" s="147">
        <v>1</v>
      </c>
      <c r="N831" s="147"/>
      <c r="O831" s="147">
        <v>-1003470351325</v>
      </c>
      <c r="P831" s="147"/>
      <c r="Q831" s="147"/>
      <c r="R831" s="148"/>
      <c r="S831" s="148"/>
      <c r="T831" s="148"/>
      <c r="U831" s="148"/>
      <c r="V831" s="148"/>
      <c r="W831" s="148"/>
      <c r="X831" s="148"/>
      <c r="Y831" s="148"/>
      <c r="Z831" s="148"/>
      <c r="AA831" s="148"/>
      <c r="AB831" s="148"/>
      <c r="AC831" s="148"/>
    </row>
    <row r="832" spans="1:29">
      <c r="A832" s="150">
        <v>45658</v>
      </c>
      <c r="B832" s="147" t="s">
        <v>61</v>
      </c>
      <c r="C832" s="147">
        <v>1</v>
      </c>
      <c r="D832" s="147"/>
      <c r="E832" s="147"/>
      <c r="F832" s="147"/>
      <c r="G832" s="147"/>
      <c r="H832" s="147"/>
      <c r="I832" s="147"/>
      <c r="J832" s="147">
        <v>1</v>
      </c>
      <c r="K832" s="147"/>
      <c r="L832" s="147"/>
      <c r="M832" s="147"/>
      <c r="N832" s="147"/>
      <c r="O832" s="147">
        <v>-1003470351325</v>
      </c>
      <c r="P832" s="147"/>
      <c r="Q832" s="147"/>
      <c r="R832" s="148"/>
      <c r="S832" s="148"/>
      <c r="T832" s="148"/>
      <c r="U832" s="148"/>
      <c r="V832" s="148"/>
      <c r="W832" s="148"/>
      <c r="X832" s="148"/>
      <c r="Y832" s="148"/>
      <c r="Z832" s="148"/>
      <c r="AA832" s="148"/>
      <c r="AB832" s="148"/>
      <c r="AC832" s="148"/>
    </row>
    <row r="833" spans="1:29">
      <c r="A833" s="150">
        <v>45659</v>
      </c>
      <c r="B833" s="147" t="s">
        <v>115</v>
      </c>
      <c r="C833" s="147">
        <v>3</v>
      </c>
      <c r="D833" s="147">
        <v>3</v>
      </c>
      <c r="E833" s="147"/>
      <c r="F833" s="147"/>
      <c r="G833" s="147"/>
      <c r="H833" s="147"/>
      <c r="I833" s="147"/>
      <c r="J833" s="147"/>
      <c r="K833" s="147"/>
      <c r="L833" s="147"/>
      <c r="M833" s="147"/>
      <c r="N833" s="147"/>
      <c r="O833" s="147">
        <v>-1003470351325</v>
      </c>
      <c r="P833" s="147"/>
      <c r="Q833" s="147">
        <v>64</v>
      </c>
      <c r="R833" s="148"/>
      <c r="S833" s="148"/>
      <c r="T833" s="148"/>
      <c r="U833" s="148"/>
      <c r="V833" s="148"/>
      <c r="W833" s="148"/>
      <c r="X833" s="148"/>
      <c r="Y833" s="148"/>
      <c r="Z833" s="148"/>
      <c r="AA833" s="148"/>
      <c r="AB833" s="148"/>
      <c r="AC833" s="148"/>
    </row>
    <row r="834" spans="1:29">
      <c r="A834" s="150">
        <v>45659</v>
      </c>
      <c r="B834" s="147" t="s">
        <v>61</v>
      </c>
      <c r="C834" s="147">
        <v>5</v>
      </c>
      <c r="D834" s="147">
        <v>1</v>
      </c>
      <c r="E834" s="147"/>
      <c r="F834" s="147">
        <v>1</v>
      </c>
      <c r="G834" s="147"/>
      <c r="H834" s="147"/>
      <c r="I834" s="147">
        <v>1</v>
      </c>
      <c r="J834" s="147">
        <v>1</v>
      </c>
      <c r="K834" s="147">
        <v>1</v>
      </c>
      <c r="L834" s="147"/>
      <c r="M834" s="147"/>
      <c r="N834" s="147"/>
      <c r="O834" s="147">
        <v>-1003470351325</v>
      </c>
      <c r="P834" s="147"/>
      <c r="Q834" s="147">
        <v>54</v>
      </c>
      <c r="R834" s="148"/>
      <c r="S834" s="148"/>
      <c r="T834" s="148"/>
      <c r="U834" s="148"/>
      <c r="V834" s="148"/>
      <c r="W834" s="148"/>
      <c r="X834" s="148"/>
      <c r="Y834" s="148"/>
      <c r="Z834" s="148"/>
      <c r="AA834" s="148"/>
      <c r="AB834" s="148"/>
      <c r="AC834" s="148"/>
    </row>
    <row r="835" spans="1:29">
      <c r="A835" s="150">
        <v>45660</v>
      </c>
      <c r="B835" s="147" t="s">
        <v>115</v>
      </c>
      <c r="C835" s="147">
        <v>1</v>
      </c>
      <c r="D835" s="147"/>
      <c r="E835" s="147"/>
      <c r="F835" s="147"/>
      <c r="G835" s="147"/>
      <c r="H835" s="147"/>
      <c r="I835" s="147">
        <v>1</v>
      </c>
      <c r="J835" s="147"/>
      <c r="K835" s="147"/>
      <c r="L835" s="147"/>
      <c r="M835" s="147"/>
      <c r="N835" s="147"/>
      <c r="O835" s="147">
        <v>-1003470351325</v>
      </c>
      <c r="P835" s="147"/>
      <c r="Q835" s="147">
        <v>54</v>
      </c>
      <c r="R835" s="148"/>
      <c r="S835" s="148"/>
      <c r="T835" s="148"/>
      <c r="U835" s="148"/>
      <c r="V835" s="148"/>
      <c r="W835" s="148"/>
      <c r="X835" s="148"/>
      <c r="Y835" s="148"/>
      <c r="Z835" s="148"/>
      <c r="AA835" s="148"/>
      <c r="AB835" s="148"/>
      <c r="AC835" s="148"/>
    </row>
    <row r="836" spans="1:29">
      <c r="A836" s="150">
        <v>45660</v>
      </c>
      <c r="B836" s="147" t="s">
        <v>61</v>
      </c>
      <c r="C836" s="147">
        <v>7</v>
      </c>
      <c r="D836" s="147">
        <v>3</v>
      </c>
      <c r="E836" s="147"/>
      <c r="F836" s="147"/>
      <c r="G836" s="147"/>
      <c r="H836" s="147"/>
      <c r="I836" s="147">
        <v>1</v>
      </c>
      <c r="J836" s="147">
        <v>2</v>
      </c>
      <c r="K836" s="147"/>
      <c r="L836" s="147"/>
      <c r="M836" s="147">
        <v>1</v>
      </c>
      <c r="N836" s="147"/>
      <c r="O836" s="147">
        <v>-1003470351325</v>
      </c>
      <c r="P836" s="147"/>
      <c r="Q836" s="147">
        <v>47</v>
      </c>
      <c r="R836" s="148"/>
      <c r="S836" s="148"/>
      <c r="T836" s="148"/>
      <c r="U836" s="148"/>
      <c r="V836" s="148"/>
      <c r="W836" s="148"/>
      <c r="X836" s="148"/>
      <c r="Y836" s="148"/>
      <c r="Z836" s="148"/>
      <c r="AA836" s="148"/>
      <c r="AB836" s="148"/>
      <c r="AC836" s="148"/>
    </row>
    <row r="837" spans="1:29">
      <c r="A837" s="150">
        <v>46026</v>
      </c>
      <c r="B837" s="147" t="s">
        <v>61</v>
      </c>
      <c r="C837" s="147">
        <v>1</v>
      </c>
      <c r="D837" s="147"/>
      <c r="E837" s="147"/>
      <c r="F837" s="147"/>
      <c r="G837" s="147"/>
      <c r="H837" s="147"/>
      <c r="I837" s="147"/>
      <c r="J837" s="147"/>
      <c r="K837" s="147"/>
      <c r="L837" s="147"/>
      <c r="M837" s="147">
        <v>1</v>
      </c>
      <c r="N837" s="147"/>
      <c r="O837" s="147">
        <v>-1003470351325</v>
      </c>
      <c r="P837" s="147"/>
      <c r="Q837" s="147">
        <v>27</v>
      </c>
      <c r="R837" s="148"/>
      <c r="S837" s="148"/>
      <c r="T837" s="148"/>
      <c r="U837" s="148"/>
      <c r="V837" s="148"/>
      <c r="W837" s="148"/>
      <c r="X837" s="148"/>
      <c r="Y837" s="148"/>
      <c r="Z837" s="148"/>
      <c r="AA837" s="148"/>
      <c r="AB837" s="148"/>
      <c r="AC837" s="148"/>
    </row>
    <row r="838" spans="1:29">
      <c r="A838" s="150">
        <v>45661</v>
      </c>
      <c r="B838" s="147" t="s">
        <v>115</v>
      </c>
      <c r="C838" s="147">
        <v>1</v>
      </c>
      <c r="D838" s="147"/>
      <c r="E838" s="147"/>
      <c r="F838" s="147"/>
      <c r="G838" s="147"/>
      <c r="H838" s="147"/>
      <c r="I838" s="147">
        <v>1</v>
      </c>
      <c r="J838" s="147"/>
      <c r="K838" s="147"/>
      <c r="L838" s="147"/>
      <c r="M838" s="147"/>
      <c r="N838" s="147"/>
      <c r="O838" s="147">
        <v>-1003470351325</v>
      </c>
      <c r="P838" s="147"/>
      <c r="Q838" s="147">
        <v>27</v>
      </c>
      <c r="R838" s="148"/>
      <c r="S838" s="148"/>
      <c r="T838" s="148"/>
      <c r="U838" s="148"/>
      <c r="V838" s="148"/>
      <c r="W838" s="148"/>
      <c r="X838" s="148"/>
      <c r="Y838" s="148"/>
      <c r="Z838" s="148"/>
      <c r="AA838" s="148"/>
      <c r="AB838" s="148"/>
      <c r="AC838" s="148"/>
    </row>
    <row r="839" spans="1:29">
      <c r="A839" s="150">
        <v>45662</v>
      </c>
      <c r="B839" s="147" t="s">
        <v>115</v>
      </c>
      <c r="C839" s="147">
        <v>5</v>
      </c>
      <c r="D839" s="147">
        <v>1</v>
      </c>
      <c r="E839" s="147"/>
      <c r="F839" s="147"/>
      <c r="G839" s="147"/>
      <c r="H839" s="147"/>
      <c r="I839" s="147">
        <v>1</v>
      </c>
      <c r="J839" s="147">
        <v>1</v>
      </c>
      <c r="K839" s="147">
        <v>1</v>
      </c>
      <c r="L839" s="147"/>
      <c r="M839" s="147">
        <v>1</v>
      </c>
      <c r="N839" s="147"/>
      <c r="O839" s="147">
        <v>-1003470351325</v>
      </c>
      <c r="P839" s="147"/>
      <c r="Q839" s="147">
        <v>53</v>
      </c>
      <c r="R839" s="148"/>
      <c r="S839" s="148"/>
      <c r="T839" s="148"/>
      <c r="U839" s="148"/>
      <c r="V839" s="148"/>
      <c r="W839" s="148"/>
      <c r="X839" s="148"/>
      <c r="Y839" s="148"/>
      <c r="Z839" s="148"/>
      <c r="AA839" s="148"/>
      <c r="AB839" s="148"/>
      <c r="AC839" s="148"/>
    </row>
    <row r="840" spans="1:29">
      <c r="A840" s="150">
        <v>45662</v>
      </c>
      <c r="B840" s="147" t="s">
        <v>61</v>
      </c>
      <c r="C840" s="147">
        <v>6</v>
      </c>
      <c r="D840" s="147"/>
      <c r="E840" s="147">
        <v>1</v>
      </c>
      <c r="F840" s="147"/>
      <c r="G840" s="147"/>
      <c r="H840" s="147"/>
      <c r="I840" s="147">
        <v>2</v>
      </c>
      <c r="J840" s="147">
        <v>2</v>
      </c>
      <c r="K840" s="147"/>
      <c r="L840" s="147">
        <v>1</v>
      </c>
      <c r="M840" s="147"/>
      <c r="N840" s="147"/>
      <c r="O840" s="147">
        <v>-1003470351325</v>
      </c>
      <c r="P840" s="147"/>
      <c r="Q840" s="147">
        <v>37</v>
      </c>
      <c r="R840" s="148"/>
      <c r="S840" s="148"/>
      <c r="T840" s="148"/>
      <c r="U840" s="148"/>
      <c r="V840" s="148"/>
      <c r="W840" s="148"/>
      <c r="X840" s="148"/>
      <c r="Y840" s="148"/>
      <c r="Z840" s="148"/>
      <c r="AA840" s="148"/>
      <c r="AB840" s="148"/>
      <c r="AC840" s="148"/>
    </row>
    <row r="841" spans="1:29">
      <c r="A841" s="150">
        <v>45663</v>
      </c>
      <c r="B841" s="147" t="s">
        <v>61</v>
      </c>
      <c r="C841" s="147">
        <v>2</v>
      </c>
      <c r="D841" s="147">
        <v>1</v>
      </c>
      <c r="E841" s="147"/>
      <c r="F841" s="147"/>
      <c r="G841" s="147"/>
      <c r="H841" s="147"/>
      <c r="I841" s="147"/>
      <c r="J841" s="147"/>
      <c r="K841" s="147">
        <v>1</v>
      </c>
      <c r="L841" s="147"/>
      <c r="M841" s="147"/>
      <c r="N841" s="147"/>
      <c r="O841" s="147">
        <v>-1003470351325</v>
      </c>
      <c r="P841" s="147"/>
      <c r="Q841" s="147"/>
      <c r="R841" s="148"/>
      <c r="S841" s="148"/>
      <c r="T841" s="148"/>
      <c r="U841" s="148"/>
      <c r="V841" s="148"/>
      <c r="W841" s="148"/>
      <c r="X841" s="148"/>
      <c r="Y841" s="148"/>
      <c r="Z841" s="148"/>
      <c r="AA841" s="148"/>
      <c r="AB841" s="148"/>
      <c r="AC841" s="148"/>
    </row>
    <row r="842" spans="1:29">
      <c r="A842" s="150">
        <v>45663</v>
      </c>
      <c r="B842" s="147" t="s">
        <v>115</v>
      </c>
      <c r="C842" s="147">
        <v>2</v>
      </c>
      <c r="D842" s="147"/>
      <c r="E842" s="147"/>
      <c r="F842" s="147"/>
      <c r="G842" s="147"/>
      <c r="H842" s="147"/>
      <c r="I842" s="147">
        <v>1</v>
      </c>
      <c r="J842" s="147"/>
      <c r="K842" s="147"/>
      <c r="L842" s="147"/>
      <c r="M842" s="147">
        <v>1</v>
      </c>
      <c r="N842" s="147"/>
      <c r="O842" s="147">
        <v>-1003470351325</v>
      </c>
      <c r="P842" s="147"/>
      <c r="Q842" s="147"/>
      <c r="R842" s="148"/>
      <c r="S842" s="148"/>
      <c r="T842" s="148"/>
      <c r="U842" s="148"/>
      <c r="V842" s="148"/>
      <c r="W842" s="148"/>
      <c r="X842" s="148"/>
      <c r="Y842" s="148"/>
      <c r="Z842" s="148"/>
      <c r="AA842" s="148"/>
      <c r="AB842" s="148"/>
      <c r="AC842" s="148"/>
    </row>
    <row r="843" spans="1:29">
      <c r="A843" s="150">
        <v>45664</v>
      </c>
      <c r="B843" s="147" t="s">
        <v>115</v>
      </c>
      <c r="C843" s="147">
        <v>3</v>
      </c>
      <c r="D843" s="147">
        <v>1</v>
      </c>
      <c r="E843" s="147"/>
      <c r="F843" s="147"/>
      <c r="G843" s="147"/>
      <c r="H843" s="147"/>
      <c r="I843" s="147">
        <v>1</v>
      </c>
      <c r="J843" s="147">
        <v>1</v>
      </c>
      <c r="K843" s="147"/>
      <c r="L843" s="147"/>
      <c r="M843" s="147"/>
      <c r="N843" s="147"/>
      <c r="O843" s="147">
        <v>-1003470351325</v>
      </c>
      <c r="P843" s="147"/>
      <c r="Q843" s="147"/>
      <c r="R843" s="148"/>
      <c r="S843" s="148"/>
      <c r="T843" s="148"/>
      <c r="U843" s="148"/>
      <c r="V843" s="148"/>
      <c r="W843" s="148"/>
      <c r="X843" s="148"/>
      <c r="Y843" s="148"/>
      <c r="Z843" s="148"/>
      <c r="AA843" s="148"/>
      <c r="AB843" s="148"/>
      <c r="AC843" s="148"/>
    </row>
    <row r="844" spans="1:29">
      <c r="A844" s="150">
        <v>45665</v>
      </c>
      <c r="B844" s="147" t="s">
        <v>115</v>
      </c>
      <c r="C844" s="147">
        <v>1</v>
      </c>
      <c r="D844" s="147"/>
      <c r="E844" s="147"/>
      <c r="F844" s="147"/>
      <c r="G844" s="147"/>
      <c r="H844" s="147"/>
      <c r="I844" s="147">
        <v>1</v>
      </c>
      <c r="J844" s="147"/>
      <c r="K844" s="147"/>
      <c r="L844" s="147"/>
      <c r="M844" s="147"/>
      <c r="N844" s="147"/>
      <c r="O844" s="147">
        <v>-1003470351325</v>
      </c>
      <c r="P844" s="147"/>
      <c r="Q844" s="147"/>
      <c r="R844" s="148"/>
      <c r="S844" s="148"/>
      <c r="T844" s="148"/>
      <c r="U844" s="148"/>
      <c r="V844" s="148"/>
      <c r="W844" s="148"/>
      <c r="X844" s="148"/>
      <c r="Y844" s="148"/>
      <c r="Z844" s="148"/>
      <c r="AA844" s="148"/>
      <c r="AB844" s="148"/>
      <c r="AC844" s="148"/>
    </row>
    <row r="845" spans="1:29">
      <c r="A845" s="150">
        <v>45665</v>
      </c>
      <c r="B845" s="147" t="s">
        <v>61</v>
      </c>
      <c r="C845" s="147">
        <v>1</v>
      </c>
      <c r="D845" s="147"/>
      <c r="E845" s="147"/>
      <c r="F845" s="147"/>
      <c r="G845" s="147"/>
      <c r="H845" s="147"/>
      <c r="I845" s="147">
        <v>1</v>
      </c>
      <c r="J845" s="147"/>
      <c r="K845" s="147"/>
      <c r="L845" s="147"/>
      <c r="M845" s="147"/>
      <c r="N845" s="147"/>
      <c r="O845" s="147">
        <v>-1003470351325</v>
      </c>
      <c r="P845" s="147"/>
      <c r="Q845" s="147"/>
      <c r="R845" s="148"/>
      <c r="S845" s="148"/>
      <c r="T845" s="148"/>
      <c r="U845" s="148"/>
      <c r="V845" s="148"/>
      <c r="W845" s="148"/>
      <c r="X845" s="148"/>
      <c r="Y845" s="148"/>
      <c r="Z845" s="148"/>
      <c r="AA845" s="148"/>
      <c r="AB845" s="148"/>
      <c r="AC845" s="148"/>
    </row>
    <row r="846" spans="1:29">
      <c r="A846" s="150">
        <v>45666</v>
      </c>
      <c r="B846" s="147" t="s">
        <v>115</v>
      </c>
      <c r="C846" s="147">
        <v>1</v>
      </c>
      <c r="D846" s="147"/>
      <c r="E846" s="147"/>
      <c r="F846" s="147"/>
      <c r="G846" s="147"/>
      <c r="H846" s="147"/>
      <c r="I846" s="147">
        <v>1</v>
      </c>
      <c r="J846" s="147"/>
      <c r="K846" s="147"/>
      <c r="L846" s="147"/>
      <c r="M846" s="147"/>
      <c r="N846" s="147"/>
      <c r="O846" s="147">
        <v>-1003470351325</v>
      </c>
      <c r="P846" s="147"/>
      <c r="Q846" s="147"/>
      <c r="R846" s="148"/>
      <c r="S846" s="148"/>
      <c r="T846" s="148"/>
      <c r="U846" s="148"/>
      <c r="V846" s="148"/>
      <c r="W846" s="148"/>
      <c r="X846" s="148"/>
      <c r="Y846" s="148"/>
      <c r="Z846" s="148"/>
      <c r="AA846" s="148"/>
      <c r="AB846" s="148"/>
      <c r="AC846" s="148"/>
    </row>
    <row r="847" spans="1:29">
      <c r="A847" s="150">
        <v>45666</v>
      </c>
      <c r="B847" s="147" t="s">
        <v>1774</v>
      </c>
      <c r="C847" s="147">
        <v>1</v>
      </c>
      <c r="D847" s="147">
        <v>1</v>
      </c>
      <c r="E847" s="147"/>
      <c r="F847" s="147"/>
      <c r="G847" s="147"/>
      <c r="H847" s="147"/>
      <c r="I847" s="147"/>
      <c r="J847" s="147"/>
      <c r="K847" s="147"/>
      <c r="L847" s="147"/>
      <c r="M847" s="147"/>
      <c r="N847" s="147"/>
      <c r="O847" s="147">
        <v>-1003470351325</v>
      </c>
      <c r="P847" s="147"/>
      <c r="Q847" s="147"/>
      <c r="R847" s="148"/>
      <c r="S847" s="148"/>
      <c r="T847" s="148"/>
      <c r="U847" s="148"/>
      <c r="V847" s="148"/>
      <c r="W847" s="148"/>
      <c r="X847" s="148"/>
      <c r="Y847" s="148"/>
      <c r="Z847" s="148"/>
      <c r="AA847" s="148"/>
      <c r="AB847" s="148"/>
      <c r="AC847" s="148"/>
    </row>
    <row r="848" spans="1:29">
      <c r="A848" s="150">
        <v>45667</v>
      </c>
      <c r="B848" s="147" t="s">
        <v>115</v>
      </c>
      <c r="C848" s="147">
        <v>2</v>
      </c>
      <c r="D848" s="147"/>
      <c r="E848" s="147"/>
      <c r="F848" s="147"/>
      <c r="G848" s="147"/>
      <c r="H848" s="147"/>
      <c r="I848" s="147">
        <v>2</v>
      </c>
      <c r="J848" s="147"/>
      <c r="K848" s="147"/>
      <c r="L848" s="147"/>
      <c r="M848" s="147"/>
      <c r="N848" s="147"/>
      <c r="O848" s="147">
        <v>-1003470351325</v>
      </c>
      <c r="P848" s="147"/>
      <c r="Q848" s="147"/>
      <c r="R848" s="148"/>
      <c r="S848" s="148"/>
      <c r="T848" s="148"/>
      <c r="U848" s="148"/>
      <c r="V848" s="148"/>
      <c r="W848" s="148"/>
      <c r="X848" s="148"/>
      <c r="Y848" s="148"/>
      <c r="Z848" s="148"/>
      <c r="AA848" s="148"/>
      <c r="AB848" s="148"/>
      <c r="AC848" s="148"/>
    </row>
    <row r="849" spans="1:29">
      <c r="A849" s="150">
        <v>45667</v>
      </c>
      <c r="B849" s="147" t="s">
        <v>1774</v>
      </c>
      <c r="C849" s="147">
        <v>2</v>
      </c>
      <c r="D849" s="147"/>
      <c r="E849" s="147"/>
      <c r="F849" s="147"/>
      <c r="G849" s="147"/>
      <c r="H849" s="147"/>
      <c r="I849" s="147"/>
      <c r="J849" s="147">
        <v>1</v>
      </c>
      <c r="K849" s="147">
        <v>1</v>
      </c>
      <c r="L849" s="147"/>
      <c r="M849" s="147"/>
      <c r="N849" s="147"/>
      <c r="O849" s="147">
        <v>-1003470351325</v>
      </c>
      <c r="P849" s="147"/>
      <c r="Q849" s="147"/>
      <c r="R849" s="148"/>
      <c r="S849" s="148"/>
      <c r="T849" s="148"/>
      <c r="U849" s="148"/>
      <c r="V849" s="148"/>
      <c r="W849" s="148"/>
      <c r="X849" s="148"/>
      <c r="Y849" s="148"/>
      <c r="Z849" s="148"/>
      <c r="AA849" s="148"/>
      <c r="AB849" s="148"/>
      <c r="AC849" s="148"/>
    </row>
    <row r="850" spans="1:29">
      <c r="A850" s="150">
        <v>45668</v>
      </c>
      <c r="B850" s="147" t="s">
        <v>115</v>
      </c>
      <c r="C850" s="147">
        <v>1</v>
      </c>
      <c r="D850" s="147">
        <v>1</v>
      </c>
      <c r="E850" s="147"/>
      <c r="F850" s="147"/>
      <c r="G850" s="147"/>
      <c r="H850" s="147"/>
      <c r="I850" s="147"/>
      <c r="J850" s="147"/>
      <c r="K850" s="147"/>
      <c r="L850" s="147"/>
      <c r="M850" s="147"/>
      <c r="N850" s="147"/>
      <c r="O850" s="147">
        <v>-1003470351325</v>
      </c>
      <c r="P850" s="147"/>
      <c r="Q850" s="147"/>
      <c r="R850" s="148"/>
      <c r="S850" s="148"/>
      <c r="T850" s="148"/>
      <c r="U850" s="148"/>
      <c r="V850" s="148"/>
      <c r="W850" s="148"/>
      <c r="X850" s="148"/>
      <c r="Y850" s="148"/>
      <c r="Z850" s="148"/>
      <c r="AA850" s="148"/>
      <c r="AB850" s="148"/>
      <c r="AC850" s="148"/>
    </row>
    <row r="851" spans="1:29">
      <c r="A851" s="150">
        <v>45669</v>
      </c>
      <c r="B851" s="147" t="s">
        <v>115</v>
      </c>
      <c r="C851" s="147">
        <v>2</v>
      </c>
      <c r="D851" s="147"/>
      <c r="E851" s="147"/>
      <c r="F851" s="147"/>
      <c r="G851" s="147"/>
      <c r="H851" s="147"/>
      <c r="I851" s="147">
        <v>1</v>
      </c>
      <c r="J851" s="147">
        <v>1</v>
      </c>
      <c r="K851" s="147"/>
      <c r="L851" s="147"/>
      <c r="M851" s="147"/>
      <c r="N851" s="147"/>
      <c r="O851" s="147">
        <v>-1003470351325</v>
      </c>
      <c r="P851" s="147"/>
      <c r="Q851" s="147"/>
      <c r="R851" s="148"/>
      <c r="S851" s="148"/>
      <c r="T851" s="148"/>
      <c r="U851" s="148"/>
      <c r="V851" s="148"/>
      <c r="W851" s="148"/>
      <c r="X851" s="148"/>
      <c r="Y851" s="148"/>
      <c r="Z851" s="148"/>
      <c r="AA851" s="148"/>
      <c r="AB851" s="148"/>
      <c r="AC851" s="148"/>
    </row>
    <row r="852" spans="1:29">
      <c r="A852" s="150">
        <v>45670</v>
      </c>
      <c r="B852" s="147" t="s">
        <v>115</v>
      </c>
      <c r="C852" s="147">
        <v>2</v>
      </c>
      <c r="D852" s="147"/>
      <c r="E852" s="147"/>
      <c r="F852" s="147"/>
      <c r="G852" s="147"/>
      <c r="H852" s="147"/>
      <c r="I852" s="147">
        <v>2</v>
      </c>
      <c r="J852" s="147"/>
      <c r="K852" s="147"/>
      <c r="L852" s="147"/>
      <c r="M852" s="147"/>
      <c r="N852" s="147"/>
      <c r="O852" s="147">
        <v>-1003470351325</v>
      </c>
      <c r="P852" s="147"/>
      <c r="Q852" s="147"/>
      <c r="R852" s="148"/>
      <c r="S852" s="148"/>
      <c r="T852" s="148"/>
      <c r="U852" s="148"/>
      <c r="V852" s="148"/>
      <c r="W852" s="148"/>
      <c r="X852" s="148"/>
      <c r="Y852" s="148"/>
      <c r="Z852" s="148"/>
      <c r="AA852" s="148"/>
      <c r="AB852" s="148"/>
      <c r="AC852" s="148"/>
    </row>
    <row r="853" spans="1:29">
      <c r="A853" s="150">
        <v>45671</v>
      </c>
      <c r="B853" s="147" t="s">
        <v>115</v>
      </c>
      <c r="C853" s="147">
        <v>1</v>
      </c>
      <c r="D853" s="147"/>
      <c r="E853" s="147"/>
      <c r="F853" s="147"/>
      <c r="G853" s="147"/>
      <c r="H853" s="147"/>
      <c r="I853" s="147">
        <v>1</v>
      </c>
      <c r="J853" s="147"/>
      <c r="K853" s="147"/>
      <c r="L853" s="147"/>
      <c r="M853" s="147"/>
      <c r="N853" s="147"/>
      <c r="O853" s="147">
        <v>-1003470351325</v>
      </c>
      <c r="P853" s="147"/>
      <c r="Q853" s="147"/>
      <c r="R853" s="148"/>
      <c r="S853" s="148"/>
      <c r="T853" s="148"/>
      <c r="U853" s="148"/>
      <c r="V853" s="148"/>
      <c r="W853" s="148"/>
      <c r="X853" s="148"/>
      <c r="Y853" s="148"/>
      <c r="Z853" s="148"/>
      <c r="AA853" s="148"/>
      <c r="AB853" s="148"/>
      <c r="AC853" s="148"/>
    </row>
    <row r="854" spans="1:29">
      <c r="A854" s="150">
        <v>45673</v>
      </c>
      <c r="B854" s="147" t="s">
        <v>115</v>
      </c>
      <c r="C854" s="147">
        <v>2</v>
      </c>
      <c r="D854" s="147"/>
      <c r="E854" s="147"/>
      <c r="F854" s="147"/>
      <c r="G854" s="147"/>
      <c r="H854" s="147"/>
      <c r="I854" s="147">
        <v>1</v>
      </c>
      <c r="J854" s="147">
        <v>1</v>
      </c>
      <c r="K854" s="147"/>
      <c r="L854" s="147"/>
      <c r="M854" s="147"/>
      <c r="N854" s="147"/>
      <c r="O854" s="147">
        <v>-1003470351325</v>
      </c>
      <c r="P854" s="147"/>
      <c r="Q854" s="147"/>
      <c r="R854" s="148"/>
      <c r="S854" s="148"/>
      <c r="T854" s="148"/>
      <c r="U854" s="148"/>
      <c r="V854" s="148"/>
      <c r="W854" s="148"/>
      <c r="X854" s="148"/>
      <c r="Y854" s="148"/>
      <c r="Z854" s="148"/>
      <c r="AA854" s="148"/>
      <c r="AB854" s="148"/>
      <c r="AC854" s="148"/>
    </row>
    <row r="855" spans="1:29">
      <c r="A855" s="150">
        <v>45674</v>
      </c>
      <c r="B855" s="147" t="s">
        <v>115</v>
      </c>
      <c r="C855" s="147">
        <v>2</v>
      </c>
      <c r="D855" s="147"/>
      <c r="E855" s="147"/>
      <c r="F855" s="147"/>
      <c r="G855" s="147"/>
      <c r="H855" s="147"/>
      <c r="I855" s="147">
        <v>1</v>
      </c>
      <c r="J855" s="147">
        <v>1</v>
      </c>
      <c r="K855" s="147"/>
      <c r="L855" s="147"/>
      <c r="M855" s="147"/>
      <c r="N855" s="147"/>
      <c r="O855" s="147">
        <v>-1003470351325</v>
      </c>
      <c r="P855" s="147"/>
      <c r="Q855" s="147"/>
      <c r="R855" s="148"/>
      <c r="S855" s="148"/>
      <c r="T855" s="148"/>
      <c r="U855" s="148"/>
      <c r="V855" s="148"/>
      <c r="W855" s="148"/>
      <c r="X855" s="148"/>
      <c r="Y855" s="148"/>
      <c r="Z855" s="148"/>
      <c r="AA855" s="148"/>
      <c r="AB855" s="148"/>
      <c r="AC855" s="148"/>
    </row>
    <row r="856" spans="1:29">
      <c r="A856" s="150">
        <v>45674</v>
      </c>
      <c r="B856" s="147" t="s">
        <v>1774</v>
      </c>
      <c r="C856" s="147">
        <v>1</v>
      </c>
      <c r="D856" s="147"/>
      <c r="E856" s="147"/>
      <c r="F856" s="147"/>
      <c r="G856" s="147"/>
      <c r="H856" s="147"/>
      <c r="I856" s="147"/>
      <c r="J856" s="147">
        <v>1</v>
      </c>
      <c r="K856" s="147"/>
      <c r="L856" s="147"/>
      <c r="M856" s="147"/>
      <c r="N856" s="147"/>
      <c r="O856" s="147">
        <v>-1003470351325</v>
      </c>
      <c r="P856" s="147"/>
      <c r="Q856" s="147"/>
      <c r="R856" s="148"/>
      <c r="S856" s="148"/>
      <c r="T856" s="148"/>
      <c r="U856" s="148"/>
      <c r="V856" s="148"/>
      <c r="W856" s="148"/>
      <c r="X856" s="148"/>
      <c r="Y856" s="148"/>
      <c r="Z856" s="148"/>
      <c r="AA856" s="148"/>
      <c r="AB856" s="148"/>
      <c r="AC856" s="148"/>
    </row>
    <row r="857" spans="1:29">
      <c r="A857" s="150">
        <v>45675</v>
      </c>
      <c r="B857" s="147" t="s">
        <v>115</v>
      </c>
      <c r="C857" s="147">
        <v>1</v>
      </c>
      <c r="D857" s="147"/>
      <c r="E857" s="147"/>
      <c r="F857" s="147"/>
      <c r="G857" s="147"/>
      <c r="H857" s="147"/>
      <c r="I857" s="147"/>
      <c r="J857" s="147">
        <v>1</v>
      </c>
      <c r="K857" s="147"/>
      <c r="L857" s="147"/>
      <c r="M857" s="147"/>
      <c r="N857" s="147"/>
      <c r="O857" s="147">
        <v>-1003470351325</v>
      </c>
      <c r="P857" s="147"/>
      <c r="Q857" s="147"/>
      <c r="R857" s="148"/>
      <c r="S857" s="148"/>
      <c r="T857" s="148"/>
      <c r="U857" s="148"/>
      <c r="V857" s="148"/>
      <c r="W857" s="148"/>
      <c r="X857" s="148"/>
      <c r="Y857" s="148"/>
      <c r="Z857" s="148"/>
      <c r="AA857" s="148"/>
      <c r="AB857" s="148"/>
      <c r="AC857" s="148"/>
    </row>
    <row r="858" spans="1:29">
      <c r="A858" s="150">
        <v>45675</v>
      </c>
      <c r="B858" s="147" t="s">
        <v>61</v>
      </c>
      <c r="C858" s="147">
        <v>1</v>
      </c>
      <c r="D858" s="147">
        <v>1</v>
      </c>
      <c r="E858" s="147"/>
      <c r="F858" s="147"/>
      <c r="G858" s="147"/>
      <c r="H858" s="147"/>
      <c r="I858" s="147"/>
      <c r="J858" s="147"/>
      <c r="K858" s="147"/>
      <c r="L858" s="147"/>
      <c r="M858" s="147"/>
      <c r="N858" s="147"/>
      <c r="O858" s="147">
        <v>-1003470351325</v>
      </c>
      <c r="P858" s="147"/>
      <c r="Q858" s="147"/>
      <c r="R858" s="148"/>
      <c r="S858" s="148"/>
      <c r="T858" s="148"/>
      <c r="U858" s="148"/>
      <c r="V858" s="148"/>
      <c r="W858" s="148"/>
      <c r="X858" s="148"/>
      <c r="Y858" s="148"/>
      <c r="Z858" s="148"/>
      <c r="AA858" s="148"/>
      <c r="AB858" s="148"/>
      <c r="AC858" s="148"/>
    </row>
    <row r="859" spans="1:29">
      <c r="A859" s="150">
        <v>45677</v>
      </c>
      <c r="B859" s="147" t="s">
        <v>115</v>
      </c>
      <c r="C859" s="147">
        <v>2</v>
      </c>
      <c r="D859" s="147"/>
      <c r="E859" s="147"/>
      <c r="F859" s="147"/>
      <c r="G859" s="147"/>
      <c r="H859" s="147"/>
      <c r="I859" s="147"/>
      <c r="J859" s="147"/>
      <c r="K859" s="147">
        <v>2</v>
      </c>
      <c r="L859" s="147"/>
      <c r="M859" s="147"/>
      <c r="N859" s="147"/>
      <c r="O859" s="147">
        <v>-1003470351325</v>
      </c>
      <c r="P859" s="147"/>
      <c r="Q859" s="147"/>
      <c r="R859" s="148"/>
      <c r="S859" s="148"/>
      <c r="T859" s="148"/>
      <c r="U859" s="148"/>
      <c r="V859" s="148"/>
      <c r="W859" s="148"/>
      <c r="X859" s="148"/>
      <c r="Y859" s="148"/>
      <c r="Z859" s="148"/>
      <c r="AA859" s="148"/>
      <c r="AB859" s="148"/>
      <c r="AC859" s="148"/>
    </row>
    <row r="860" spans="1:29">
      <c r="A860" s="150">
        <v>46043</v>
      </c>
      <c r="B860" s="147" t="s">
        <v>115</v>
      </c>
      <c r="C860" s="147">
        <v>1</v>
      </c>
      <c r="D860" s="147"/>
      <c r="E860" s="147"/>
      <c r="F860" s="147"/>
      <c r="G860" s="147"/>
      <c r="H860" s="147"/>
      <c r="I860" s="147">
        <v>1</v>
      </c>
      <c r="J860" s="147"/>
      <c r="K860" s="147"/>
      <c r="L860" s="147"/>
      <c r="M860" s="147"/>
      <c r="N860" s="147"/>
      <c r="O860" s="147">
        <v>-1003470351325</v>
      </c>
      <c r="P860" s="147"/>
      <c r="Q860" s="147"/>
      <c r="R860" s="148"/>
      <c r="S860" s="148"/>
      <c r="T860" s="148"/>
      <c r="U860" s="148"/>
      <c r="V860" s="148"/>
      <c r="W860" s="148"/>
      <c r="X860" s="148"/>
      <c r="Y860" s="148"/>
      <c r="Z860" s="148"/>
      <c r="AA860" s="148"/>
      <c r="AB860" s="148"/>
      <c r="AC860" s="148"/>
    </row>
    <row r="861" spans="1:29">
      <c r="A861" s="150">
        <v>46045</v>
      </c>
      <c r="B861" s="147" t="s">
        <v>115</v>
      </c>
      <c r="C861" s="147">
        <v>1</v>
      </c>
      <c r="D861" s="147"/>
      <c r="E861" s="147"/>
      <c r="F861" s="147"/>
      <c r="G861" s="147"/>
      <c r="H861" s="147"/>
      <c r="I861" s="147">
        <v>1</v>
      </c>
      <c r="J861" s="147"/>
      <c r="K861" s="147"/>
      <c r="L861" s="147"/>
      <c r="M861" s="147"/>
      <c r="N861" s="147"/>
      <c r="O861" s="147">
        <v>-1003470351325</v>
      </c>
      <c r="P861" s="147"/>
      <c r="Q861" s="147"/>
      <c r="R861" s="148"/>
      <c r="S861" s="148"/>
      <c r="T861" s="148"/>
      <c r="U861" s="148"/>
      <c r="V861" s="148"/>
      <c r="W861" s="148"/>
      <c r="X861" s="148"/>
      <c r="Y861" s="148"/>
      <c r="Z861" s="148"/>
      <c r="AA861" s="148"/>
      <c r="AB861" s="148"/>
      <c r="AC861" s="148"/>
    </row>
    <row r="862" spans="1:29">
      <c r="A862" s="150">
        <v>46046</v>
      </c>
      <c r="B862" s="147" t="s">
        <v>115</v>
      </c>
      <c r="C862" s="147">
        <v>0</v>
      </c>
      <c r="D862" s="147"/>
      <c r="E862" s="147"/>
      <c r="F862" s="147"/>
      <c r="G862" s="147"/>
      <c r="H862" s="147"/>
      <c r="I862" s="147"/>
      <c r="J862" s="147"/>
      <c r="K862" s="147"/>
      <c r="L862" s="147"/>
      <c r="M862" s="147"/>
      <c r="N862" s="147"/>
      <c r="O862" s="147">
        <v>-1003470351325</v>
      </c>
      <c r="P862" s="147"/>
      <c r="Q862" s="147">
        <v>23</v>
      </c>
      <c r="R862" s="148"/>
      <c r="S862" s="148"/>
      <c r="T862" s="148"/>
      <c r="U862" s="148"/>
      <c r="V862" s="148"/>
      <c r="W862" s="148"/>
      <c r="X862" s="148"/>
      <c r="Y862" s="148"/>
      <c r="Z862" s="148"/>
      <c r="AA862" s="148"/>
      <c r="AB862" s="148"/>
      <c r="AC862" s="148"/>
    </row>
    <row r="863" spans="1:29">
      <c r="A863" s="150">
        <v>46047</v>
      </c>
      <c r="B863" s="147" t="s">
        <v>115</v>
      </c>
      <c r="C863" s="147">
        <v>2</v>
      </c>
      <c r="D863" s="147"/>
      <c r="E863" s="147"/>
      <c r="F863" s="147"/>
      <c r="G863" s="147"/>
      <c r="H863" s="147"/>
      <c r="I863" s="147">
        <v>1</v>
      </c>
      <c r="J863" s="147">
        <v>1</v>
      </c>
      <c r="K863" s="147"/>
      <c r="L863" s="147"/>
      <c r="M863" s="147"/>
      <c r="N863" s="147"/>
      <c r="O863" s="147">
        <v>-1003470351325</v>
      </c>
      <c r="P863" s="147"/>
      <c r="Q863" s="147"/>
      <c r="R863" s="148"/>
      <c r="S863" s="148"/>
      <c r="T863" s="148"/>
      <c r="U863" s="148"/>
      <c r="V863" s="148"/>
      <c r="W863" s="148"/>
      <c r="X863" s="148"/>
      <c r="Y863" s="148"/>
      <c r="Z863" s="148"/>
      <c r="AA863" s="148"/>
      <c r="AB863" s="148"/>
      <c r="AC863" s="148"/>
    </row>
    <row r="864" spans="1:29">
      <c r="A864" s="150">
        <v>46045</v>
      </c>
      <c r="B864" s="147" t="s">
        <v>1774</v>
      </c>
      <c r="C864" s="147">
        <v>1</v>
      </c>
      <c r="D864" s="147"/>
      <c r="E864" s="147"/>
      <c r="F864" s="147"/>
      <c r="G864" s="147"/>
      <c r="H864" s="147"/>
      <c r="I864" s="147"/>
      <c r="J864" s="147"/>
      <c r="K864" s="147">
        <v>1</v>
      </c>
      <c r="L864" s="147"/>
      <c r="M864" s="147"/>
      <c r="N864" s="147"/>
      <c r="O864" s="147">
        <v>-1003470351325</v>
      </c>
      <c r="P864" s="147"/>
      <c r="Q864" s="147"/>
      <c r="R864" s="148"/>
      <c r="S864" s="148"/>
      <c r="T864" s="148"/>
      <c r="U864" s="148"/>
      <c r="V864" s="148"/>
      <c r="W864" s="148"/>
      <c r="X864" s="148"/>
      <c r="Y864" s="148"/>
      <c r="Z864" s="148"/>
      <c r="AA864" s="148"/>
      <c r="AB864" s="148"/>
      <c r="AC864" s="148"/>
    </row>
    <row r="865" spans="1:29">
      <c r="A865" s="150">
        <v>46047</v>
      </c>
      <c r="B865" s="147" t="s">
        <v>1774</v>
      </c>
      <c r="C865" s="147">
        <v>1</v>
      </c>
      <c r="D865" s="147"/>
      <c r="E865" s="147"/>
      <c r="F865" s="147"/>
      <c r="G865" s="147"/>
      <c r="H865" s="147"/>
      <c r="I865" s="147"/>
      <c r="J865" s="147">
        <v>1</v>
      </c>
      <c r="K865" s="147"/>
      <c r="L865" s="147"/>
      <c r="M865" s="147"/>
      <c r="N865" s="147"/>
      <c r="O865" s="147">
        <v>-1003470351325</v>
      </c>
      <c r="P865" s="147"/>
      <c r="Q865" s="147"/>
      <c r="R865" s="148"/>
      <c r="S865" s="148"/>
      <c r="T865" s="148"/>
      <c r="U865" s="148"/>
      <c r="V865" s="148"/>
      <c r="W865" s="148"/>
      <c r="X865" s="148"/>
      <c r="Y865" s="148"/>
      <c r="Z865" s="148"/>
      <c r="AA865" s="148"/>
      <c r="AB865" s="148"/>
      <c r="AC865" s="148"/>
    </row>
    <row r="866" spans="1:29">
      <c r="A866" s="150">
        <v>46048</v>
      </c>
      <c r="B866" s="147" t="s">
        <v>1774</v>
      </c>
      <c r="C866" s="147">
        <v>2</v>
      </c>
      <c r="D866" s="147"/>
      <c r="E866" s="147"/>
      <c r="F866" s="147"/>
      <c r="G866" s="147"/>
      <c r="H866" s="147"/>
      <c r="I866" s="147"/>
      <c r="J866" s="147"/>
      <c r="K866" s="147">
        <v>2</v>
      </c>
      <c r="L866" s="147"/>
      <c r="M866" s="147"/>
      <c r="N866" s="147"/>
      <c r="O866" s="147">
        <v>-1003470351325</v>
      </c>
      <c r="P866" s="147"/>
      <c r="Q866" s="147"/>
      <c r="R866" s="148"/>
      <c r="S866" s="148"/>
      <c r="T866" s="148"/>
      <c r="U866" s="148"/>
      <c r="V866" s="148"/>
      <c r="W866" s="148"/>
      <c r="X866" s="148"/>
      <c r="Y866" s="148"/>
      <c r="Z866" s="148"/>
      <c r="AA866" s="148"/>
      <c r="AB866" s="148"/>
      <c r="AC866" s="148"/>
    </row>
    <row r="867" spans="1:29">
      <c r="A867" s="150">
        <v>46048</v>
      </c>
      <c r="B867" s="147" t="s">
        <v>115</v>
      </c>
      <c r="C867" s="147">
        <v>2</v>
      </c>
      <c r="D867" s="147"/>
      <c r="E867" s="147"/>
      <c r="F867" s="147"/>
      <c r="G867" s="147"/>
      <c r="H867" s="147"/>
      <c r="I867" s="147">
        <v>1</v>
      </c>
      <c r="J867" s="147"/>
      <c r="K867" s="147"/>
      <c r="L867" s="147"/>
      <c r="M867" s="147">
        <v>1</v>
      </c>
      <c r="N867" s="147"/>
      <c r="O867" s="147">
        <v>-1003470351325</v>
      </c>
      <c r="P867" s="147"/>
      <c r="Q867" s="147">
        <v>24</v>
      </c>
      <c r="R867" s="148"/>
      <c r="S867" s="148"/>
      <c r="T867" s="148"/>
      <c r="U867" s="148"/>
      <c r="V867" s="148"/>
      <c r="W867" s="148"/>
      <c r="X867" s="148"/>
      <c r="Y867" s="148"/>
      <c r="Z867" s="148"/>
      <c r="AA867" s="148"/>
      <c r="AB867" s="148"/>
      <c r="AC867" s="148"/>
    </row>
    <row r="868" spans="1:29">
      <c r="A868" s="150">
        <v>46049</v>
      </c>
      <c r="B868" s="147" t="s">
        <v>115</v>
      </c>
      <c r="C868" s="147">
        <v>2</v>
      </c>
      <c r="D868" s="147"/>
      <c r="E868" s="147"/>
      <c r="F868" s="147"/>
      <c r="G868" s="147"/>
      <c r="H868" s="147"/>
      <c r="I868" s="147">
        <v>2</v>
      </c>
      <c r="J868" s="147"/>
      <c r="K868" s="147"/>
      <c r="L868" s="147"/>
      <c r="M868" s="147"/>
      <c r="N868" s="147"/>
      <c r="O868" s="147">
        <v>-1003470351325</v>
      </c>
      <c r="P868" s="147"/>
      <c r="Q868" s="147"/>
      <c r="R868" s="148"/>
      <c r="S868" s="148"/>
      <c r="T868" s="148"/>
      <c r="U868" s="148"/>
      <c r="V868" s="148"/>
      <c r="W868" s="148"/>
      <c r="X868" s="148"/>
      <c r="Y868" s="148"/>
      <c r="Z868" s="148"/>
      <c r="AA868" s="148"/>
      <c r="AB868" s="148"/>
      <c r="AC868" s="148"/>
    </row>
    <row r="869" spans="1:29">
      <c r="A869" s="150">
        <v>46050</v>
      </c>
      <c r="B869" s="147" t="s">
        <v>115</v>
      </c>
      <c r="C869" s="147">
        <v>1</v>
      </c>
      <c r="D869" s="147"/>
      <c r="E869" s="147"/>
      <c r="F869" s="147"/>
      <c r="G869" s="147"/>
      <c r="H869" s="147"/>
      <c r="I869" s="147"/>
      <c r="J869" s="147">
        <v>1</v>
      </c>
      <c r="K869" s="147"/>
      <c r="L869" s="147"/>
      <c r="M869" s="147"/>
      <c r="N869" s="147"/>
      <c r="O869" s="147">
        <v>-1003470351325</v>
      </c>
      <c r="P869" s="147"/>
      <c r="Q869" s="147"/>
      <c r="R869" s="148"/>
      <c r="S869" s="148"/>
      <c r="T869" s="148"/>
      <c r="U869" s="148"/>
      <c r="V869" s="148"/>
      <c r="W869" s="148"/>
      <c r="X869" s="148"/>
      <c r="Y869" s="148"/>
      <c r="Z869" s="148"/>
      <c r="AA869" s="148"/>
      <c r="AB869" s="148"/>
      <c r="AC869" s="148"/>
    </row>
    <row r="870" spans="1:29">
      <c r="A870" s="150">
        <v>46051</v>
      </c>
      <c r="B870" s="147" t="s">
        <v>115</v>
      </c>
      <c r="C870" s="147">
        <v>1</v>
      </c>
      <c r="D870" s="147"/>
      <c r="E870" s="147"/>
      <c r="F870" s="147"/>
      <c r="G870" s="147"/>
      <c r="H870" s="147"/>
      <c r="I870" s="147"/>
      <c r="J870" s="147">
        <v>1</v>
      </c>
      <c r="K870" s="147"/>
      <c r="L870" s="147"/>
      <c r="M870" s="147"/>
      <c r="N870" s="147"/>
      <c r="O870" s="147">
        <v>-1003470351325</v>
      </c>
      <c r="P870" s="147"/>
      <c r="Q870" s="147"/>
      <c r="R870" s="148"/>
      <c r="S870" s="148"/>
      <c r="T870" s="148"/>
      <c r="U870" s="148"/>
      <c r="V870" s="148"/>
      <c r="W870" s="148"/>
      <c r="X870" s="148"/>
      <c r="Y870" s="148"/>
      <c r="Z870" s="148"/>
      <c r="AA870" s="148"/>
      <c r="AB870" s="148"/>
      <c r="AC870" s="148"/>
    </row>
    <row r="871" spans="1:29">
      <c r="A871" s="150">
        <v>46054</v>
      </c>
      <c r="B871" s="147" t="s">
        <v>115</v>
      </c>
      <c r="C871" s="147">
        <v>2</v>
      </c>
      <c r="D871" s="147"/>
      <c r="E871" s="147"/>
      <c r="F871" s="147"/>
      <c r="G871" s="147"/>
      <c r="H871" s="147"/>
      <c r="I871" s="147">
        <v>1</v>
      </c>
      <c r="J871" s="147"/>
      <c r="K871" s="147"/>
      <c r="L871" s="147"/>
      <c r="M871" s="147">
        <v>1</v>
      </c>
      <c r="N871" s="147"/>
      <c r="O871" s="147">
        <v>-1003470351325</v>
      </c>
      <c r="P871" s="147"/>
      <c r="Q871" s="147"/>
      <c r="R871" s="148"/>
      <c r="S871" s="148"/>
      <c r="T871" s="148"/>
      <c r="U871" s="148"/>
      <c r="V871" s="148"/>
      <c r="W871" s="148"/>
      <c r="X871" s="148"/>
      <c r="Y871" s="148"/>
      <c r="Z871" s="148"/>
      <c r="AA871" s="148"/>
      <c r="AB871" s="148"/>
      <c r="AC871" s="148"/>
    </row>
    <row r="872" spans="1:29">
      <c r="A872" s="150">
        <v>46054</v>
      </c>
      <c r="B872" s="147" t="s">
        <v>61</v>
      </c>
      <c r="C872" s="147">
        <v>3</v>
      </c>
      <c r="D872" s="147"/>
      <c r="E872" s="147"/>
      <c r="F872" s="147"/>
      <c r="G872" s="147"/>
      <c r="H872" s="147"/>
      <c r="I872" s="147">
        <v>1</v>
      </c>
      <c r="J872" s="147">
        <v>1</v>
      </c>
      <c r="K872" s="147"/>
      <c r="L872" s="147">
        <v>1</v>
      </c>
      <c r="M872" s="147"/>
      <c r="N872" s="147"/>
      <c r="O872" s="147">
        <v>-1003470351325</v>
      </c>
      <c r="P872" s="147"/>
      <c r="Q872" s="147"/>
      <c r="R872" s="148"/>
      <c r="S872" s="148"/>
      <c r="T872" s="148"/>
      <c r="U872" s="148"/>
      <c r="V872" s="148"/>
      <c r="W872" s="148"/>
      <c r="X872" s="148"/>
      <c r="Y872" s="148"/>
      <c r="Z872" s="148"/>
      <c r="AA872" s="148"/>
      <c r="AB872" s="148"/>
      <c r="AC872" s="148"/>
    </row>
    <row r="873" spans="1:29">
      <c r="A873" s="150">
        <v>46055</v>
      </c>
      <c r="B873" s="147" t="s">
        <v>115</v>
      </c>
      <c r="C873" s="147">
        <v>2</v>
      </c>
      <c r="D873" s="147"/>
      <c r="E873" s="147"/>
      <c r="F873" s="147"/>
      <c r="G873" s="147"/>
      <c r="H873" s="147"/>
      <c r="I873" s="147">
        <v>2</v>
      </c>
      <c r="J873" s="147"/>
      <c r="K873" s="147"/>
      <c r="L873" s="147"/>
      <c r="M873" s="147"/>
      <c r="N873" s="147"/>
      <c r="O873" s="147">
        <v>-1003470351325</v>
      </c>
      <c r="P873" s="147"/>
      <c r="Q873" s="147"/>
      <c r="R873" s="148"/>
      <c r="S873" s="148"/>
      <c r="T873" s="148"/>
      <c r="U873" s="148"/>
      <c r="V873" s="148"/>
      <c r="W873" s="148"/>
      <c r="X873" s="148"/>
      <c r="Y873" s="148"/>
      <c r="Z873" s="148"/>
      <c r="AA873" s="148"/>
      <c r="AB873" s="148"/>
      <c r="AC873" s="148"/>
    </row>
    <row r="874" spans="1:29">
      <c r="A874" s="150">
        <v>46055</v>
      </c>
      <c r="B874" s="147" t="s">
        <v>61</v>
      </c>
      <c r="C874" s="147">
        <v>5</v>
      </c>
      <c r="D874" s="147"/>
      <c r="E874" s="147"/>
      <c r="F874" s="147"/>
      <c r="G874" s="147"/>
      <c r="H874" s="147"/>
      <c r="I874" s="147">
        <v>1</v>
      </c>
      <c r="J874" s="147">
        <v>2</v>
      </c>
      <c r="K874" s="147"/>
      <c r="L874" s="147"/>
      <c r="M874" s="147">
        <v>2</v>
      </c>
      <c r="N874" s="147"/>
      <c r="O874" s="147">
        <v>-1003470351325</v>
      </c>
      <c r="P874" s="147"/>
      <c r="Q874" s="147"/>
      <c r="R874" s="148"/>
      <c r="S874" s="148"/>
      <c r="T874" s="148"/>
      <c r="U874" s="148"/>
      <c r="V874" s="148"/>
      <c r="W874" s="148"/>
      <c r="X874" s="148"/>
      <c r="Y874" s="148"/>
      <c r="Z874" s="148"/>
      <c r="AA874" s="148"/>
      <c r="AB874" s="148"/>
      <c r="AC874" s="148"/>
    </row>
    <row r="875" spans="1:29">
      <c r="A875" s="150">
        <v>46056</v>
      </c>
      <c r="B875" s="147" t="s">
        <v>61</v>
      </c>
      <c r="C875" s="147">
        <v>1</v>
      </c>
      <c r="D875" s="147"/>
      <c r="E875" s="147"/>
      <c r="F875" s="147"/>
      <c r="G875" s="147"/>
      <c r="H875" s="147"/>
      <c r="I875" s="147">
        <v>1</v>
      </c>
      <c r="J875" s="147"/>
      <c r="K875" s="147"/>
      <c r="L875" s="147"/>
      <c r="M875" s="147"/>
      <c r="N875" s="147"/>
      <c r="O875" s="147">
        <v>-1003470351325</v>
      </c>
      <c r="P875" s="147"/>
      <c r="Q875" s="147"/>
      <c r="R875" s="148"/>
      <c r="S875" s="148"/>
      <c r="T875" s="148"/>
      <c r="U875" s="148"/>
      <c r="V875" s="148"/>
      <c r="W875" s="148"/>
      <c r="X875" s="148"/>
      <c r="Y875" s="148"/>
      <c r="Z875" s="148"/>
      <c r="AA875" s="148"/>
      <c r="AB875" s="148"/>
      <c r="AC875" s="148"/>
    </row>
    <row r="876" spans="1:29">
      <c r="A876" s="150">
        <v>46056</v>
      </c>
      <c r="B876" s="147" t="s">
        <v>115</v>
      </c>
      <c r="C876" s="147">
        <v>1</v>
      </c>
      <c r="D876" s="147"/>
      <c r="E876" s="147"/>
      <c r="F876" s="147"/>
      <c r="G876" s="147"/>
      <c r="H876" s="147"/>
      <c r="I876" s="147">
        <v>1</v>
      </c>
      <c r="J876" s="147"/>
      <c r="K876" s="147"/>
      <c r="L876" s="147"/>
      <c r="M876" s="147"/>
      <c r="N876" s="147"/>
      <c r="O876" s="147">
        <v>-1003470351325</v>
      </c>
      <c r="P876" s="147"/>
      <c r="Q876" s="147"/>
      <c r="R876" s="148"/>
      <c r="S876" s="148"/>
      <c r="T876" s="148"/>
      <c r="U876" s="148"/>
      <c r="V876" s="148"/>
      <c r="W876" s="148"/>
      <c r="X876" s="148"/>
      <c r="Y876" s="148"/>
      <c r="Z876" s="148"/>
      <c r="AA876" s="148"/>
      <c r="AB876" s="148"/>
      <c r="AC876" s="148"/>
    </row>
    <row r="877" spans="1:29">
      <c r="A877" s="150">
        <v>46058</v>
      </c>
      <c r="B877" s="147" t="s">
        <v>115</v>
      </c>
      <c r="C877" s="147">
        <v>3</v>
      </c>
      <c r="D877" s="147"/>
      <c r="E877" s="147"/>
      <c r="F877" s="147"/>
      <c r="G877" s="147"/>
      <c r="H877" s="147"/>
      <c r="I877" s="147">
        <v>1</v>
      </c>
      <c r="J877" s="147">
        <v>1</v>
      </c>
      <c r="K877" s="147">
        <v>1</v>
      </c>
      <c r="L877" s="147"/>
      <c r="M877" s="147"/>
      <c r="N877" s="147"/>
      <c r="O877" s="147">
        <v>-1003470351325</v>
      </c>
      <c r="P877" s="147"/>
      <c r="Q877" s="147"/>
      <c r="R877" s="148"/>
      <c r="S877" s="148"/>
      <c r="T877" s="148"/>
      <c r="U877" s="148"/>
      <c r="V877" s="148"/>
      <c r="W877" s="148"/>
      <c r="X877" s="148"/>
      <c r="Y877" s="148"/>
      <c r="Z877" s="148"/>
      <c r="AA877" s="148"/>
      <c r="AB877" s="148"/>
      <c r="AC877" s="148"/>
    </row>
    <row r="878" spans="1:29">
      <c r="A878" s="150">
        <v>46059</v>
      </c>
      <c r="B878" s="147" t="s">
        <v>115</v>
      </c>
      <c r="C878" s="147">
        <v>2</v>
      </c>
      <c r="D878" s="147"/>
      <c r="E878" s="147"/>
      <c r="F878" s="147"/>
      <c r="G878" s="147"/>
      <c r="H878" s="147"/>
      <c r="I878" s="147"/>
      <c r="J878" s="147"/>
      <c r="K878" s="147">
        <v>1</v>
      </c>
      <c r="L878" s="147"/>
      <c r="M878" s="147">
        <v>1</v>
      </c>
      <c r="N878" s="147"/>
      <c r="O878" s="147">
        <v>-1003470351325</v>
      </c>
      <c r="P878" s="147"/>
      <c r="Q878" s="147"/>
      <c r="R878" s="148"/>
      <c r="S878" s="148"/>
      <c r="T878" s="148"/>
      <c r="U878" s="148"/>
      <c r="V878" s="148"/>
      <c r="W878" s="148"/>
      <c r="X878" s="148"/>
      <c r="Y878" s="148"/>
      <c r="Z878" s="148"/>
      <c r="AA878" s="148"/>
      <c r="AB878" s="148"/>
      <c r="AC878" s="148"/>
    </row>
    <row r="879" spans="1:29">
      <c r="A879" s="150">
        <v>46060</v>
      </c>
      <c r="B879" s="147" t="s">
        <v>115</v>
      </c>
      <c r="C879" s="147">
        <v>2</v>
      </c>
      <c r="D879" s="147"/>
      <c r="E879" s="147"/>
      <c r="F879" s="147"/>
      <c r="G879" s="147"/>
      <c r="H879" s="147"/>
      <c r="I879" s="147"/>
      <c r="J879" s="147">
        <v>1</v>
      </c>
      <c r="K879" s="147">
        <v>1</v>
      </c>
      <c r="L879" s="147"/>
      <c r="M879" s="147"/>
      <c r="N879" s="147"/>
      <c r="O879" s="147">
        <v>-1003470351325</v>
      </c>
      <c r="P879" s="147"/>
      <c r="Q879" s="147"/>
      <c r="R879" s="148"/>
      <c r="S879" s="148"/>
      <c r="T879" s="148"/>
      <c r="U879" s="148"/>
      <c r="V879" s="148"/>
      <c r="W879" s="148"/>
      <c r="X879" s="148"/>
      <c r="Y879" s="148"/>
      <c r="Z879" s="148"/>
      <c r="AA879" s="148"/>
      <c r="AB879" s="148"/>
      <c r="AC879" s="148"/>
    </row>
    <row r="880" spans="1:29">
      <c r="A880" s="150">
        <v>46060</v>
      </c>
      <c r="B880" s="147" t="s">
        <v>61</v>
      </c>
      <c r="C880" s="147">
        <v>1</v>
      </c>
      <c r="D880" s="147"/>
      <c r="E880" s="147"/>
      <c r="F880" s="147"/>
      <c r="G880" s="147"/>
      <c r="H880" s="147"/>
      <c r="I880" s="147"/>
      <c r="J880" s="147">
        <v>1</v>
      </c>
      <c r="K880" s="147"/>
      <c r="L880" s="147"/>
      <c r="M880" s="147"/>
      <c r="N880" s="147"/>
      <c r="O880" s="147">
        <v>-1003470351325</v>
      </c>
      <c r="P880" s="147"/>
      <c r="Q880" s="147"/>
      <c r="R880" s="148"/>
      <c r="S880" s="148"/>
      <c r="T880" s="148"/>
      <c r="U880" s="148"/>
      <c r="V880" s="148"/>
      <c r="W880" s="148"/>
      <c r="X880" s="148"/>
      <c r="Y880" s="148"/>
      <c r="Z880" s="148"/>
      <c r="AA880" s="148"/>
      <c r="AB880" s="148"/>
      <c r="AC880" s="148"/>
    </row>
    <row r="881" spans="1:29">
      <c r="A881" s="150">
        <v>46059</v>
      </c>
      <c r="B881" s="147" t="s">
        <v>61</v>
      </c>
      <c r="C881" s="147">
        <v>3</v>
      </c>
      <c r="D881" s="147"/>
      <c r="E881" s="147">
        <v>2</v>
      </c>
      <c r="F881" s="147"/>
      <c r="G881" s="147"/>
      <c r="H881" s="147"/>
      <c r="I881" s="147"/>
      <c r="J881" s="147"/>
      <c r="K881" s="147">
        <v>1</v>
      </c>
      <c r="L881" s="147"/>
      <c r="M881" s="147">
        <v>1</v>
      </c>
      <c r="N881" s="147"/>
      <c r="O881" s="147">
        <v>-1003470351325</v>
      </c>
      <c r="P881" s="147"/>
      <c r="Q881" s="147"/>
      <c r="R881" s="148"/>
      <c r="S881" s="148"/>
      <c r="T881" s="148"/>
      <c r="U881" s="148"/>
      <c r="V881" s="148"/>
      <c r="W881" s="148"/>
      <c r="X881" s="148"/>
      <c r="Y881" s="148"/>
      <c r="Z881" s="148"/>
      <c r="AA881" s="148"/>
      <c r="AB881" s="148"/>
      <c r="AC881" s="148"/>
    </row>
    <row r="882" spans="1:29">
      <c r="A882" s="150">
        <v>46058</v>
      </c>
      <c r="B882" s="147" t="s">
        <v>61</v>
      </c>
      <c r="C882" s="147"/>
      <c r="D882" s="147">
        <v>1</v>
      </c>
      <c r="E882" s="147"/>
      <c r="F882" s="147"/>
      <c r="G882" s="147"/>
      <c r="H882" s="147"/>
      <c r="I882" s="147"/>
      <c r="J882" s="147"/>
      <c r="K882" s="147"/>
      <c r="L882" s="147"/>
      <c r="M882" s="147"/>
      <c r="N882" s="147"/>
      <c r="O882" s="147">
        <v>-1003470351325</v>
      </c>
      <c r="P882" s="147"/>
      <c r="Q882" s="147"/>
      <c r="R882" s="148"/>
      <c r="S882" s="148"/>
      <c r="T882" s="148"/>
      <c r="U882" s="148"/>
      <c r="V882" s="148"/>
      <c r="W882" s="148"/>
      <c r="X882" s="148"/>
      <c r="Y882" s="148"/>
      <c r="Z882" s="148"/>
      <c r="AA882" s="148"/>
      <c r="AB882" s="148"/>
      <c r="AC882" s="148"/>
    </row>
    <row r="883" spans="1:29">
      <c r="A883" s="150">
        <v>46057</v>
      </c>
      <c r="B883" s="147" t="s">
        <v>61</v>
      </c>
      <c r="C883" s="147">
        <v>1</v>
      </c>
      <c r="D883" s="147"/>
      <c r="E883" s="147"/>
      <c r="F883" s="147"/>
      <c r="G883" s="147"/>
      <c r="H883" s="147"/>
      <c r="I883" s="147">
        <v>1</v>
      </c>
      <c r="J883" s="147"/>
      <c r="K883" s="147"/>
      <c r="L883" s="147"/>
      <c r="M883" s="147"/>
      <c r="N883" s="147"/>
      <c r="O883" s="147">
        <v>-1003470351325</v>
      </c>
      <c r="P883" s="147"/>
      <c r="Q883" s="147"/>
      <c r="R883" s="148"/>
      <c r="S883" s="148"/>
      <c r="T883" s="148"/>
      <c r="U883" s="148"/>
      <c r="V883" s="148"/>
      <c r="W883" s="148"/>
      <c r="X883" s="148"/>
      <c r="Y883" s="148"/>
      <c r="Z883" s="148"/>
      <c r="AA883" s="148"/>
      <c r="AB883" s="148"/>
      <c r="AC883" s="148"/>
    </row>
    <row r="884" spans="1:29">
      <c r="A884" s="150">
        <v>46054</v>
      </c>
      <c r="B884" s="147" t="s">
        <v>1774</v>
      </c>
      <c r="C884" s="147">
        <v>2</v>
      </c>
      <c r="D884" s="147"/>
      <c r="E884" s="147"/>
      <c r="F884" s="147"/>
      <c r="G884" s="147"/>
      <c r="H884" s="147"/>
      <c r="I884" s="147">
        <v>2</v>
      </c>
      <c r="J884" s="147"/>
      <c r="K884" s="147"/>
      <c r="L884" s="147"/>
      <c r="M884" s="147"/>
      <c r="N884" s="147"/>
      <c r="O884" s="147">
        <v>-1003470351325</v>
      </c>
      <c r="P884" s="147"/>
      <c r="Q884" s="147"/>
      <c r="R884" s="148"/>
      <c r="S884" s="148"/>
      <c r="T884" s="148"/>
      <c r="U884" s="148"/>
      <c r="V884" s="148"/>
      <c r="W884" s="148"/>
      <c r="X884" s="148"/>
      <c r="Y884" s="148"/>
      <c r="Z884" s="148"/>
      <c r="AA884" s="148"/>
      <c r="AB884" s="148"/>
      <c r="AC884" s="148"/>
    </row>
    <row r="885" spans="1:29">
      <c r="A885" s="150">
        <v>46056</v>
      </c>
      <c r="B885" s="147" t="s">
        <v>1774</v>
      </c>
      <c r="C885" s="147">
        <v>2</v>
      </c>
      <c r="D885" s="147"/>
      <c r="E885" s="147">
        <v>1</v>
      </c>
      <c r="F885" s="147"/>
      <c r="G885" s="147"/>
      <c r="H885" s="147"/>
      <c r="I885" s="147">
        <v>1</v>
      </c>
      <c r="J885" s="147"/>
      <c r="K885" s="147"/>
      <c r="L885" s="147"/>
      <c r="M885" s="147"/>
      <c r="N885" s="147"/>
      <c r="O885" s="147">
        <v>-1003470351325</v>
      </c>
      <c r="P885" s="147"/>
      <c r="Q885" s="147"/>
      <c r="R885" s="148"/>
      <c r="S885" s="148"/>
      <c r="T885" s="148"/>
      <c r="U885" s="148"/>
      <c r="V885" s="148"/>
      <c r="W885" s="148"/>
      <c r="X885" s="148"/>
      <c r="Y885" s="148"/>
      <c r="Z885" s="148"/>
      <c r="AA885" s="148"/>
      <c r="AB885" s="148"/>
      <c r="AC885" s="148"/>
    </row>
    <row r="886" spans="1:29">
      <c r="A886" s="150">
        <v>46060</v>
      </c>
      <c r="B886" s="147" t="s">
        <v>1774</v>
      </c>
      <c r="C886" s="147">
        <v>1</v>
      </c>
      <c r="D886" s="147"/>
      <c r="E886" s="147"/>
      <c r="F886" s="147"/>
      <c r="G886" s="147"/>
      <c r="H886" s="147"/>
      <c r="I886" s="147"/>
      <c r="J886" s="147"/>
      <c r="K886" s="147"/>
      <c r="L886" s="147"/>
      <c r="M886" s="147">
        <v>1</v>
      </c>
      <c r="N886" s="147"/>
      <c r="O886" s="147">
        <v>-1003470351325</v>
      </c>
      <c r="P886" s="147"/>
      <c r="Q886" s="147"/>
      <c r="R886" s="148"/>
      <c r="S886" s="148"/>
      <c r="T886" s="148"/>
      <c r="U886" s="148"/>
      <c r="V886" s="148"/>
      <c r="W886" s="148"/>
      <c r="X886" s="148"/>
      <c r="Y886" s="148"/>
      <c r="Z886" s="148"/>
      <c r="AA886" s="148"/>
      <c r="AB886" s="148"/>
      <c r="AC886" s="148"/>
    </row>
    <row r="887" spans="1:29">
      <c r="A887" s="150">
        <v>46061</v>
      </c>
      <c r="B887" s="147" t="s">
        <v>1774</v>
      </c>
      <c r="C887" s="147">
        <v>1</v>
      </c>
      <c r="D887" s="147"/>
      <c r="E887" s="147"/>
      <c r="F887" s="147"/>
      <c r="G887" s="147"/>
      <c r="H887" s="147"/>
      <c r="I887" s="147">
        <v>1</v>
      </c>
      <c r="J887" s="147"/>
      <c r="K887" s="147"/>
      <c r="L887" s="147"/>
      <c r="M887" s="147"/>
      <c r="N887" s="147"/>
      <c r="O887" s="147">
        <v>-1003470351325</v>
      </c>
      <c r="P887" s="147"/>
      <c r="Q887" s="147"/>
      <c r="R887" s="148"/>
      <c r="S887" s="148"/>
      <c r="T887" s="148"/>
      <c r="U887" s="148"/>
      <c r="V887" s="148"/>
      <c r="W887" s="148"/>
      <c r="X887" s="148"/>
      <c r="Y887" s="148"/>
      <c r="Z887" s="148"/>
      <c r="AA887" s="148"/>
      <c r="AB887" s="148"/>
      <c r="AC887" s="148"/>
    </row>
    <row r="888" spans="1:29">
      <c r="A888" s="150"/>
      <c r="B888" s="147"/>
      <c r="C888" s="147"/>
      <c r="D888" s="147"/>
      <c r="E888" s="147"/>
      <c r="F888" s="147"/>
      <c r="G888" s="147"/>
      <c r="H888" s="147"/>
      <c r="I888" s="147"/>
      <c r="J888" s="147"/>
      <c r="K888" s="147"/>
      <c r="L888" s="147"/>
      <c r="M888" s="147"/>
      <c r="N888" s="147"/>
      <c r="O888" s="147"/>
      <c r="P888" s="147"/>
      <c r="Q888" s="147"/>
      <c r="R888" s="148"/>
      <c r="S888" s="148"/>
      <c r="T888" s="148"/>
      <c r="U888" s="148"/>
      <c r="V888" s="148"/>
      <c r="W888" s="148"/>
      <c r="X888" s="148"/>
      <c r="Y888" s="148"/>
      <c r="Z888" s="148"/>
      <c r="AA888" s="148"/>
      <c r="AB888" s="148"/>
      <c r="AC888" s="148"/>
    </row>
    <row r="889" spans="1:29">
      <c r="A889" s="150"/>
      <c r="B889" s="147"/>
      <c r="C889" s="147"/>
      <c r="D889" s="147"/>
      <c r="E889" s="147"/>
      <c r="F889" s="147"/>
      <c r="G889" s="147"/>
      <c r="H889" s="147"/>
      <c r="I889" s="147"/>
      <c r="J889" s="147"/>
      <c r="K889" s="147"/>
      <c r="L889" s="147"/>
      <c r="M889" s="147"/>
      <c r="N889" s="147"/>
      <c r="O889" s="147"/>
      <c r="P889" s="147"/>
      <c r="Q889" s="147"/>
      <c r="R889" s="148"/>
      <c r="S889" s="148"/>
      <c r="T889" s="148"/>
      <c r="U889" s="148"/>
      <c r="V889" s="148"/>
      <c r="W889" s="148"/>
      <c r="X889" s="148"/>
      <c r="Y889" s="148"/>
      <c r="Z889" s="148"/>
      <c r="AA889" s="148"/>
      <c r="AB889" s="148"/>
      <c r="AC889" s="148"/>
    </row>
    <row r="890" spans="1:29">
      <c r="A890" s="150"/>
      <c r="B890" s="147"/>
      <c r="C890" s="147"/>
      <c r="D890" s="147"/>
      <c r="E890" s="147"/>
      <c r="F890" s="147"/>
      <c r="G890" s="147"/>
      <c r="H890" s="147"/>
      <c r="I890" s="147"/>
      <c r="J890" s="147"/>
      <c r="K890" s="147"/>
      <c r="L890" s="147"/>
      <c r="M890" s="147"/>
      <c r="N890" s="147"/>
      <c r="O890" s="147"/>
      <c r="P890" s="147"/>
      <c r="Q890" s="147"/>
      <c r="R890" s="148"/>
      <c r="S890" s="148"/>
      <c r="T890" s="148"/>
      <c r="U890" s="148"/>
      <c r="V890" s="148"/>
      <c r="W890" s="148"/>
      <c r="X890" s="148"/>
      <c r="Y890" s="148"/>
      <c r="Z890" s="148"/>
      <c r="AA890" s="148"/>
      <c r="AB890" s="148"/>
      <c r="AC890" s="148"/>
    </row>
    <row r="891" spans="1:29">
      <c r="A891" s="150"/>
      <c r="B891" s="147"/>
      <c r="C891" s="147"/>
      <c r="D891" s="147"/>
      <c r="E891" s="147"/>
      <c r="F891" s="147"/>
      <c r="G891" s="147"/>
      <c r="H891" s="147"/>
      <c r="I891" s="147"/>
      <c r="J891" s="147"/>
      <c r="K891" s="147"/>
      <c r="L891" s="147"/>
      <c r="M891" s="147"/>
      <c r="N891" s="147"/>
      <c r="O891" s="147"/>
      <c r="P891" s="147"/>
      <c r="Q891" s="147"/>
      <c r="R891" s="148"/>
      <c r="S891" s="148"/>
      <c r="T891" s="148"/>
      <c r="U891" s="148"/>
      <c r="V891" s="148"/>
      <c r="W891" s="148"/>
      <c r="X891" s="148"/>
      <c r="Y891" s="148"/>
      <c r="Z891" s="148"/>
      <c r="AA891" s="148"/>
      <c r="AB891" s="148"/>
      <c r="AC891" s="148"/>
    </row>
    <row r="892" spans="1:29">
      <c r="A892" s="150"/>
      <c r="B892" s="147"/>
      <c r="C892" s="147"/>
      <c r="D892" s="147"/>
      <c r="E892" s="147"/>
      <c r="F892" s="147"/>
      <c r="G892" s="147"/>
      <c r="H892" s="147"/>
      <c r="I892" s="147"/>
      <c r="J892" s="147"/>
      <c r="K892" s="147"/>
      <c r="L892" s="147"/>
      <c r="M892" s="147"/>
      <c r="N892" s="147"/>
      <c r="O892" s="147"/>
      <c r="P892" s="147"/>
      <c r="Q892" s="147"/>
      <c r="R892" s="148"/>
      <c r="S892" s="148"/>
      <c r="T892" s="148"/>
      <c r="U892" s="148"/>
      <c r="V892" s="148"/>
      <c r="W892" s="148"/>
      <c r="X892" s="148"/>
      <c r="Y892" s="148"/>
      <c r="Z892" s="148"/>
      <c r="AA892" s="148"/>
      <c r="AB892" s="148"/>
      <c r="AC892" s="148"/>
    </row>
    <row r="893" spans="1:29">
      <c r="A893" s="150"/>
      <c r="B893" s="147"/>
      <c r="C893" s="147"/>
      <c r="D893" s="147"/>
      <c r="E893" s="147"/>
      <c r="F893" s="147"/>
      <c r="G893" s="147"/>
      <c r="H893" s="147"/>
      <c r="I893" s="147"/>
      <c r="J893" s="147"/>
      <c r="K893" s="147"/>
      <c r="L893" s="147"/>
      <c r="M893" s="147"/>
      <c r="N893" s="147"/>
      <c r="O893" s="147"/>
      <c r="P893" s="147"/>
      <c r="Q893" s="147"/>
      <c r="R893" s="148"/>
      <c r="S893" s="148"/>
      <c r="T893" s="148"/>
      <c r="U893" s="148"/>
      <c r="V893" s="148"/>
      <c r="W893" s="148"/>
      <c r="X893" s="148"/>
      <c r="Y893" s="148"/>
      <c r="Z893" s="148"/>
      <c r="AA893" s="148"/>
      <c r="AB893" s="148"/>
      <c r="AC893" s="148"/>
    </row>
    <row r="894" spans="1:29">
      <c r="A894" s="150"/>
      <c r="B894" s="147"/>
      <c r="C894" s="147"/>
      <c r="D894" s="147"/>
      <c r="E894" s="147"/>
      <c r="F894" s="147"/>
      <c r="G894" s="147"/>
      <c r="H894" s="147"/>
      <c r="I894" s="147"/>
      <c r="J894" s="147"/>
      <c r="K894" s="147"/>
      <c r="L894" s="147"/>
      <c r="M894" s="147"/>
      <c r="N894" s="147"/>
      <c r="O894" s="147"/>
      <c r="P894" s="147"/>
      <c r="Q894" s="147"/>
      <c r="R894" s="148"/>
      <c r="S894" s="148"/>
      <c r="T894" s="148"/>
      <c r="U894" s="148"/>
      <c r="V894" s="148"/>
      <c r="W894" s="148"/>
      <c r="X894" s="148"/>
      <c r="Y894" s="148"/>
      <c r="Z894" s="148"/>
      <c r="AA894" s="148"/>
      <c r="AB894" s="148"/>
      <c r="AC894" s="148"/>
    </row>
    <row r="895" spans="1:29">
      <c r="A895" s="150"/>
      <c r="B895" s="147"/>
      <c r="C895" s="147"/>
      <c r="D895" s="147"/>
      <c r="E895" s="147"/>
      <c r="F895" s="147"/>
      <c r="G895" s="147"/>
      <c r="H895" s="147"/>
      <c r="I895" s="147"/>
      <c r="J895" s="147"/>
      <c r="K895" s="147"/>
      <c r="L895" s="147"/>
      <c r="M895" s="147"/>
      <c r="N895" s="147"/>
      <c r="O895" s="147"/>
      <c r="P895" s="147"/>
      <c r="Q895" s="147"/>
      <c r="R895" s="148"/>
      <c r="S895" s="148"/>
      <c r="T895" s="148"/>
      <c r="U895" s="148"/>
      <c r="V895" s="148"/>
      <c r="W895" s="148"/>
      <c r="X895" s="148"/>
      <c r="Y895" s="148"/>
      <c r="Z895" s="148"/>
      <c r="AA895" s="148"/>
      <c r="AB895" s="148"/>
      <c r="AC895" s="148"/>
    </row>
    <row r="896" spans="1:29">
      <c r="A896" s="150"/>
      <c r="B896" s="147"/>
      <c r="C896" s="147"/>
      <c r="D896" s="147"/>
      <c r="E896" s="147"/>
      <c r="F896" s="147"/>
      <c r="G896" s="147"/>
      <c r="H896" s="147"/>
      <c r="I896" s="147"/>
      <c r="J896" s="147"/>
      <c r="K896" s="147"/>
      <c r="L896" s="147"/>
      <c r="M896" s="147"/>
      <c r="N896" s="147"/>
      <c r="O896" s="147"/>
      <c r="P896" s="147"/>
      <c r="Q896" s="147"/>
      <c r="R896" s="148"/>
      <c r="S896" s="148"/>
      <c r="T896" s="148"/>
      <c r="U896" s="148"/>
      <c r="V896" s="148"/>
      <c r="W896" s="148"/>
      <c r="X896" s="148"/>
      <c r="Y896" s="148"/>
      <c r="Z896" s="148"/>
      <c r="AA896" s="148"/>
      <c r="AB896" s="148"/>
      <c r="AC896" s="148"/>
    </row>
    <row r="897" spans="1:29">
      <c r="A897" s="150"/>
      <c r="B897" s="147"/>
      <c r="C897" s="147"/>
      <c r="D897" s="147"/>
      <c r="E897" s="147"/>
      <c r="F897" s="147"/>
      <c r="G897" s="147"/>
      <c r="H897" s="147"/>
      <c r="I897" s="147"/>
      <c r="J897" s="147"/>
      <c r="K897" s="147"/>
      <c r="L897" s="147"/>
      <c r="M897" s="147"/>
      <c r="N897" s="147"/>
      <c r="O897" s="147"/>
      <c r="P897" s="147"/>
      <c r="Q897" s="147"/>
      <c r="R897" s="148"/>
      <c r="S897" s="148"/>
      <c r="T897" s="148"/>
      <c r="U897" s="148"/>
      <c r="V897" s="148"/>
      <c r="W897" s="148"/>
      <c r="X897" s="148"/>
      <c r="Y897" s="148"/>
      <c r="Z897" s="148"/>
      <c r="AA897" s="148"/>
      <c r="AB897" s="148"/>
      <c r="AC897" s="148"/>
    </row>
    <row r="898" spans="1:29">
      <c r="A898" s="150"/>
      <c r="B898" s="147"/>
      <c r="C898" s="147"/>
      <c r="D898" s="147"/>
      <c r="E898" s="147"/>
      <c r="F898" s="147"/>
      <c r="G898" s="147"/>
      <c r="H898" s="147"/>
      <c r="I898" s="147"/>
      <c r="J898" s="147"/>
      <c r="K898" s="147"/>
      <c r="L898" s="147"/>
      <c r="M898" s="147"/>
      <c r="N898" s="147"/>
      <c r="O898" s="147"/>
      <c r="P898" s="147"/>
      <c r="Q898" s="147"/>
      <c r="R898" s="148"/>
      <c r="S898" s="148"/>
      <c r="T898" s="148"/>
      <c r="U898" s="148"/>
      <c r="V898" s="148"/>
      <c r="W898" s="148"/>
      <c r="X898" s="148"/>
      <c r="Y898" s="148"/>
      <c r="Z898" s="148"/>
      <c r="AA898" s="148"/>
      <c r="AB898" s="148"/>
      <c r="AC898" s="148"/>
    </row>
    <row r="899" spans="1:29">
      <c r="A899" s="150"/>
      <c r="B899" s="147"/>
      <c r="C899" s="147"/>
      <c r="D899" s="147"/>
      <c r="E899" s="147"/>
      <c r="F899" s="147"/>
      <c r="G899" s="147"/>
      <c r="H899" s="147"/>
      <c r="I899" s="147"/>
      <c r="J899" s="147"/>
      <c r="K899" s="147"/>
      <c r="L899" s="147"/>
      <c r="M899" s="147"/>
      <c r="N899" s="147"/>
      <c r="O899" s="147"/>
      <c r="P899" s="147"/>
      <c r="Q899" s="147"/>
      <c r="R899" s="148"/>
      <c r="S899" s="148"/>
      <c r="T899" s="148"/>
      <c r="U899" s="148"/>
      <c r="V899" s="148"/>
      <c r="W899" s="148"/>
      <c r="X899" s="148"/>
      <c r="Y899" s="148"/>
      <c r="Z899" s="148"/>
      <c r="AA899" s="148"/>
      <c r="AB899" s="148"/>
      <c r="AC899" s="148"/>
    </row>
    <row r="900" spans="1:29">
      <c r="A900" s="150"/>
      <c r="B900" s="147"/>
      <c r="C900" s="147"/>
      <c r="D900" s="147"/>
      <c r="E900" s="147"/>
      <c r="F900" s="147"/>
      <c r="G900" s="147"/>
      <c r="H900" s="147"/>
      <c r="I900" s="147"/>
      <c r="J900" s="147"/>
      <c r="K900" s="147"/>
      <c r="L900" s="147"/>
      <c r="M900" s="147"/>
      <c r="N900" s="147"/>
      <c r="O900" s="147"/>
      <c r="P900" s="147"/>
      <c r="Q900" s="147"/>
      <c r="R900" s="148"/>
      <c r="S900" s="148"/>
      <c r="T900" s="148"/>
      <c r="U900" s="148"/>
      <c r="V900" s="148"/>
      <c r="W900" s="148"/>
      <c r="X900" s="148"/>
      <c r="Y900" s="148"/>
      <c r="Z900" s="148"/>
      <c r="AA900" s="148"/>
      <c r="AB900" s="148"/>
      <c r="AC900" s="148"/>
    </row>
    <row r="901" spans="1:29">
      <c r="A901" s="150"/>
      <c r="B901" s="147"/>
      <c r="C901" s="147"/>
      <c r="D901" s="147"/>
      <c r="E901" s="147"/>
      <c r="F901" s="147"/>
      <c r="G901" s="147"/>
      <c r="H901" s="147"/>
      <c r="I901" s="147"/>
      <c r="J901" s="147"/>
      <c r="K901" s="147"/>
      <c r="L901" s="147"/>
      <c r="M901" s="147"/>
      <c r="N901" s="147"/>
      <c r="O901" s="147"/>
      <c r="P901" s="147"/>
      <c r="Q901" s="147"/>
      <c r="R901" s="148"/>
      <c r="S901" s="148"/>
      <c r="T901" s="148"/>
      <c r="U901" s="148"/>
      <c r="V901" s="148"/>
      <c r="W901" s="148"/>
      <c r="X901" s="148"/>
      <c r="Y901" s="148"/>
      <c r="Z901" s="148"/>
      <c r="AA901" s="148"/>
      <c r="AB901" s="148"/>
      <c r="AC901" s="148"/>
    </row>
    <row r="902" spans="1:29">
      <c r="A902" s="150"/>
      <c r="B902" s="147"/>
      <c r="C902" s="147"/>
      <c r="D902" s="147"/>
      <c r="E902" s="147"/>
      <c r="F902" s="147"/>
      <c r="G902" s="147"/>
      <c r="H902" s="147"/>
      <c r="I902" s="147"/>
      <c r="J902" s="147"/>
      <c r="K902" s="147"/>
      <c r="L902" s="147"/>
      <c r="M902" s="147"/>
      <c r="N902" s="147"/>
      <c r="O902" s="147"/>
      <c r="P902" s="147"/>
      <c r="Q902" s="147"/>
      <c r="R902" s="148"/>
      <c r="S902" s="148"/>
      <c r="T902" s="148"/>
      <c r="U902" s="148"/>
      <c r="V902" s="148"/>
      <c r="W902" s="148"/>
      <c r="X902" s="148"/>
      <c r="Y902" s="148"/>
      <c r="Z902" s="148"/>
      <c r="AA902" s="148"/>
      <c r="AB902" s="148"/>
      <c r="AC902" s="148"/>
    </row>
    <row r="903" spans="1:29">
      <c r="A903" s="150"/>
      <c r="B903" s="147"/>
      <c r="C903" s="147"/>
      <c r="D903" s="147"/>
      <c r="E903" s="147"/>
      <c r="F903" s="147"/>
      <c r="G903" s="147"/>
      <c r="H903" s="147"/>
      <c r="I903" s="147"/>
      <c r="J903" s="147"/>
      <c r="K903" s="147"/>
      <c r="L903" s="147"/>
      <c r="M903" s="147"/>
      <c r="N903" s="147"/>
      <c r="O903" s="147"/>
      <c r="P903" s="147"/>
      <c r="Q903" s="147"/>
      <c r="R903" s="148"/>
      <c r="S903" s="148"/>
      <c r="T903" s="148"/>
      <c r="U903" s="148"/>
      <c r="V903" s="148"/>
      <c r="W903" s="148"/>
      <c r="X903" s="148"/>
      <c r="Y903" s="148"/>
      <c r="Z903" s="148"/>
      <c r="AA903" s="148"/>
      <c r="AB903" s="148"/>
      <c r="AC903" s="148"/>
    </row>
    <row r="904" spans="1:29">
      <c r="A904" s="150"/>
      <c r="B904" s="147"/>
      <c r="C904" s="147"/>
      <c r="D904" s="147"/>
      <c r="E904" s="147"/>
      <c r="F904" s="147"/>
      <c r="G904" s="147"/>
      <c r="H904" s="147"/>
      <c r="I904" s="147"/>
      <c r="J904" s="147"/>
      <c r="K904" s="147"/>
      <c r="L904" s="147"/>
      <c r="M904" s="147"/>
      <c r="N904" s="147"/>
      <c r="O904" s="147"/>
      <c r="P904" s="147"/>
      <c r="Q904" s="147"/>
      <c r="R904" s="148"/>
      <c r="S904" s="148"/>
      <c r="T904" s="148"/>
      <c r="U904" s="148"/>
      <c r="V904" s="148"/>
      <c r="W904" s="148"/>
      <c r="X904" s="148"/>
      <c r="Y904" s="148"/>
      <c r="Z904" s="148"/>
      <c r="AA904" s="148"/>
      <c r="AB904" s="148"/>
      <c r="AC904" s="148"/>
    </row>
    <row r="905" spans="1:29">
      <c r="A905" s="150"/>
      <c r="B905" s="147"/>
      <c r="C905" s="147"/>
      <c r="D905" s="147"/>
      <c r="E905" s="147"/>
      <c r="F905" s="147"/>
      <c r="G905" s="147"/>
      <c r="H905" s="147"/>
      <c r="I905" s="147"/>
      <c r="J905" s="147"/>
      <c r="K905" s="147"/>
      <c r="L905" s="147"/>
      <c r="M905" s="147"/>
      <c r="N905" s="147"/>
      <c r="O905" s="147"/>
      <c r="P905" s="147"/>
      <c r="Q905" s="147"/>
      <c r="R905" s="148"/>
      <c r="S905" s="148"/>
      <c r="T905" s="148"/>
      <c r="U905" s="148"/>
      <c r="V905" s="148"/>
      <c r="W905" s="148"/>
      <c r="X905" s="148"/>
      <c r="Y905" s="148"/>
      <c r="Z905" s="148"/>
      <c r="AA905" s="148"/>
      <c r="AB905" s="148"/>
      <c r="AC905" s="148"/>
    </row>
    <row r="906" spans="1:29">
      <c r="A906" s="150"/>
      <c r="B906" s="147"/>
      <c r="C906" s="147"/>
      <c r="D906" s="147"/>
      <c r="E906" s="147"/>
      <c r="F906" s="147"/>
      <c r="G906" s="147"/>
      <c r="H906" s="147"/>
      <c r="I906" s="147"/>
      <c r="J906" s="147"/>
      <c r="K906" s="147"/>
      <c r="L906" s="147"/>
      <c r="M906" s="147"/>
      <c r="N906" s="147"/>
      <c r="O906" s="147"/>
      <c r="P906" s="147"/>
      <c r="Q906" s="147"/>
      <c r="R906" s="148"/>
      <c r="S906" s="148"/>
      <c r="T906" s="148"/>
      <c r="U906" s="148"/>
      <c r="V906" s="148"/>
      <c r="W906" s="148"/>
      <c r="X906" s="148"/>
      <c r="Y906" s="148"/>
      <c r="Z906" s="148"/>
      <c r="AA906" s="148"/>
      <c r="AB906" s="148"/>
      <c r="AC906" s="148"/>
    </row>
    <row r="907" spans="1:29">
      <c r="A907" s="150"/>
      <c r="B907" s="147"/>
      <c r="C907" s="147"/>
      <c r="D907" s="147"/>
      <c r="E907" s="147"/>
      <c r="F907" s="147"/>
      <c r="G907" s="147"/>
      <c r="H907" s="147"/>
      <c r="I907" s="147"/>
      <c r="J907" s="147"/>
      <c r="K907" s="147"/>
      <c r="L907" s="147"/>
      <c r="M907" s="147"/>
      <c r="N907" s="147"/>
      <c r="O907" s="147"/>
      <c r="P907" s="147"/>
      <c r="Q907" s="147"/>
      <c r="R907" s="148"/>
      <c r="S907" s="148"/>
      <c r="T907" s="148"/>
      <c r="U907" s="148"/>
      <c r="V907" s="148"/>
      <c r="W907" s="148"/>
      <c r="X907" s="148"/>
      <c r="Y907" s="148"/>
      <c r="Z907" s="148"/>
      <c r="AA907" s="148"/>
      <c r="AB907" s="148"/>
      <c r="AC907" s="148"/>
    </row>
    <row r="908" spans="1:29">
      <c r="A908" s="150"/>
      <c r="B908" s="147"/>
      <c r="C908" s="147"/>
      <c r="D908" s="147"/>
      <c r="E908" s="147"/>
      <c r="F908" s="147"/>
      <c r="G908" s="147"/>
      <c r="H908" s="147"/>
      <c r="I908" s="147"/>
      <c r="J908" s="147"/>
      <c r="K908" s="147"/>
      <c r="L908" s="147"/>
      <c r="M908" s="147"/>
      <c r="N908" s="147"/>
      <c r="O908" s="147"/>
      <c r="P908" s="147"/>
      <c r="Q908" s="147"/>
      <c r="R908" s="148"/>
      <c r="S908" s="148"/>
      <c r="T908" s="148"/>
      <c r="U908" s="148"/>
      <c r="V908" s="148"/>
      <c r="W908" s="148"/>
      <c r="X908" s="148"/>
      <c r="Y908" s="148"/>
      <c r="Z908" s="148"/>
      <c r="AA908" s="148"/>
      <c r="AB908" s="148"/>
      <c r="AC908" s="148"/>
    </row>
    <row r="909" spans="1:29">
      <c r="A909" s="150"/>
      <c r="B909" s="147"/>
      <c r="C909" s="147"/>
      <c r="D909" s="147"/>
      <c r="E909" s="147"/>
      <c r="F909" s="147"/>
      <c r="G909" s="147"/>
      <c r="H909" s="147"/>
      <c r="I909" s="147"/>
      <c r="J909" s="147"/>
      <c r="K909" s="147"/>
      <c r="L909" s="147"/>
      <c r="M909" s="147"/>
      <c r="N909" s="147"/>
      <c r="O909" s="147"/>
      <c r="P909" s="147"/>
      <c r="Q909" s="147"/>
      <c r="R909" s="148"/>
      <c r="S909" s="148"/>
      <c r="T909" s="148"/>
      <c r="U909" s="148"/>
      <c r="V909" s="148"/>
      <c r="W909" s="148"/>
      <c r="X909" s="148"/>
      <c r="Y909" s="148"/>
      <c r="Z909" s="148"/>
      <c r="AA909" s="148"/>
      <c r="AB909" s="148"/>
      <c r="AC909" s="148"/>
    </row>
    <row r="910" spans="1:29">
      <c r="A910" s="150"/>
      <c r="B910" s="147"/>
      <c r="C910" s="147"/>
      <c r="D910" s="147"/>
      <c r="E910" s="147"/>
      <c r="F910" s="147"/>
      <c r="G910" s="147"/>
      <c r="H910" s="147"/>
      <c r="I910" s="147"/>
      <c r="J910" s="147"/>
      <c r="K910" s="147"/>
      <c r="L910" s="147"/>
      <c r="M910" s="147"/>
      <c r="N910" s="147"/>
      <c r="O910" s="147"/>
      <c r="P910" s="147"/>
      <c r="Q910" s="147"/>
      <c r="R910" s="148"/>
      <c r="S910" s="148"/>
      <c r="T910" s="148"/>
      <c r="U910" s="148"/>
      <c r="V910" s="148"/>
      <c r="W910" s="148"/>
      <c r="X910" s="148"/>
      <c r="Y910" s="148"/>
      <c r="Z910" s="148"/>
      <c r="AA910" s="148"/>
      <c r="AB910" s="148"/>
      <c r="AC910" s="148"/>
    </row>
    <row r="911" spans="1:29">
      <c r="A911" s="150"/>
      <c r="B911" s="147"/>
      <c r="C911" s="147"/>
      <c r="D911" s="147"/>
      <c r="E911" s="147"/>
      <c r="F911" s="147"/>
      <c r="G911" s="147"/>
      <c r="H911" s="147"/>
      <c r="I911" s="147"/>
      <c r="J911" s="147"/>
      <c r="K911" s="147"/>
      <c r="L911" s="147"/>
      <c r="M911" s="147"/>
      <c r="N911" s="147"/>
      <c r="O911" s="147"/>
      <c r="P911" s="147"/>
      <c r="Q911" s="147"/>
      <c r="R911" s="148"/>
      <c r="S911" s="148"/>
      <c r="T911" s="148"/>
      <c r="U911" s="148"/>
      <c r="V911" s="148"/>
      <c r="W911" s="148"/>
      <c r="X911" s="148"/>
      <c r="Y911" s="148"/>
      <c r="Z911" s="148"/>
      <c r="AA911" s="148"/>
      <c r="AB911" s="148"/>
      <c r="AC911" s="148"/>
    </row>
    <row r="912" spans="1:29">
      <c r="A912" s="150"/>
      <c r="B912" s="147"/>
      <c r="C912" s="147"/>
      <c r="D912" s="147"/>
      <c r="E912" s="147"/>
      <c r="F912" s="147"/>
      <c r="G912" s="147"/>
      <c r="H912" s="147"/>
      <c r="I912" s="147"/>
      <c r="J912" s="147"/>
      <c r="K912" s="147"/>
      <c r="L912" s="147"/>
      <c r="M912" s="147"/>
      <c r="N912" s="147"/>
      <c r="O912" s="147"/>
      <c r="P912" s="147"/>
      <c r="Q912" s="147"/>
      <c r="R912" s="148"/>
      <c r="S912" s="148"/>
      <c r="T912" s="148"/>
      <c r="U912" s="148"/>
      <c r="V912" s="148"/>
      <c r="W912" s="148"/>
      <c r="X912" s="148"/>
      <c r="Y912" s="148"/>
      <c r="Z912" s="148"/>
      <c r="AA912" s="148"/>
      <c r="AB912" s="148"/>
      <c r="AC912" s="148"/>
    </row>
    <row r="913" spans="1:29">
      <c r="A913" s="150"/>
      <c r="B913" s="147"/>
      <c r="C913" s="147"/>
      <c r="D913" s="147"/>
      <c r="E913" s="147"/>
      <c r="F913" s="147"/>
      <c r="G913" s="147"/>
      <c r="H913" s="147"/>
      <c r="I913" s="147"/>
      <c r="J913" s="147"/>
      <c r="K913" s="147"/>
      <c r="L913" s="147"/>
      <c r="M913" s="147"/>
      <c r="N913" s="147"/>
      <c r="O913" s="147"/>
      <c r="P913" s="147"/>
      <c r="Q913" s="147"/>
      <c r="R913" s="148"/>
      <c r="S913" s="148"/>
      <c r="T913" s="148"/>
      <c r="U913" s="148"/>
      <c r="V913" s="148"/>
      <c r="W913" s="148"/>
      <c r="X913" s="148"/>
      <c r="Y913" s="148"/>
      <c r="Z913" s="148"/>
      <c r="AA913" s="148"/>
      <c r="AB913" s="148"/>
      <c r="AC913" s="148"/>
    </row>
    <row r="914" spans="1:29">
      <c r="A914" s="150"/>
      <c r="B914" s="147"/>
      <c r="C914" s="147"/>
      <c r="D914" s="147"/>
      <c r="E914" s="147"/>
      <c r="F914" s="147"/>
      <c r="G914" s="147"/>
      <c r="H914" s="147"/>
      <c r="I914" s="147"/>
      <c r="J914" s="147"/>
      <c r="K914" s="147"/>
      <c r="L914" s="147"/>
      <c r="M914" s="147"/>
      <c r="N914" s="147"/>
      <c r="O914" s="147"/>
      <c r="P914" s="147"/>
      <c r="Q914" s="147"/>
      <c r="R914" s="148"/>
      <c r="S914" s="148"/>
      <c r="T914" s="148"/>
      <c r="U914" s="148"/>
      <c r="V914" s="148"/>
      <c r="W914" s="148"/>
      <c r="X914" s="148"/>
      <c r="Y914" s="148"/>
      <c r="Z914" s="148"/>
      <c r="AA914" s="148"/>
      <c r="AB914" s="148"/>
      <c r="AC914" s="148"/>
    </row>
    <row r="915" spans="1:29">
      <c r="A915" s="150"/>
      <c r="B915" s="147"/>
      <c r="C915" s="147"/>
      <c r="D915" s="147"/>
      <c r="E915" s="147"/>
      <c r="F915" s="147"/>
      <c r="G915" s="147"/>
      <c r="H915" s="147"/>
      <c r="I915" s="147"/>
      <c r="J915" s="147"/>
      <c r="K915" s="147"/>
      <c r="L915" s="147"/>
      <c r="M915" s="147"/>
      <c r="N915" s="147"/>
      <c r="O915" s="147"/>
      <c r="P915" s="147"/>
      <c r="Q915" s="147"/>
      <c r="R915" s="148"/>
      <c r="S915" s="148"/>
      <c r="T915" s="148"/>
      <c r="U915" s="148"/>
      <c r="V915" s="148"/>
      <c r="W915" s="148"/>
      <c r="X915" s="148"/>
      <c r="Y915" s="148"/>
      <c r="Z915" s="148"/>
      <c r="AA915" s="148"/>
      <c r="AB915" s="148"/>
      <c r="AC915" s="148"/>
    </row>
    <row r="916" spans="1:29">
      <c r="A916" s="150"/>
      <c r="B916" s="147"/>
      <c r="C916" s="147"/>
      <c r="D916" s="147"/>
      <c r="E916" s="147"/>
      <c r="F916" s="147"/>
      <c r="G916" s="147"/>
      <c r="H916" s="147"/>
      <c r="I916" s="147"/>
      <c r="J916" s="147"/>
      <c r="K916" s="147"/>
      <c r="L916" s="147"/>
      <c r="M916" s="147"/>
      <c r="N916" s="147"/>
      <c r="O916" s="147"/>
      <c r="P916" s="147"/>
      <c r="Q916" s="147"/>
      <c r="R916" s="148"/>
      <c r="S916" s="148"/>
      <c r="T916" s="148"/>
      <c r="U916" s="148"/>
      <c r="V916" s="148"/>
      <c r="W916" s="148"/>
      <c r="X916" s="148"/>
      <c r="Y916" s="148"/>
      <c r="Z916" s="148"/>
      <c r="AA916" s="148"/>
      <c r="AB916" s="148"/>
      <c r="AC916" s="148"/>
    </row>
    <row r="917" spans="1:29">
      <c r="A917" s="150"/>
      <c r="B917" s="147"/>
      <c r="C917" s="147"/>
      <c r="D917" s="147"/>
      <c r="E917" s="147"/>
      <c r="F917" s="147"/>
      <c r="G917" s="147"/>
      <c r="H917" s="147"/>
      <c r="I917" s="147"/>
      <c r="J917" s="147"/>
      <c r="K917" s="147"/>
      <c r="L917" s="147"/>
      <c r="M917" s="147"/>
      <c r="N917" s="147"/>
      <c r="O917" s="147"/>
      <c r="P917" s="147"/>
      <c r="Q917" s="147"/>
      <c r="R917" s="148"/>
      <c r="S917" s="148"/>
      <c r="T917" s="148"/>
      <c r="U917" s="148"/>
      <c r="V917" s="148"/>
      <c r="W917" s="148"/>
      <c r="X917" s="148"/>
      <c r="Y917" s="148"/>
      <c r="Z917" s="148"/>
      <c r="AA917" s="148"/>
      <c r="AB917" s="148"/>
      <c r="AC917" s="148"/>
    </row>
    <row r="918" spans="1:29">
      <c r="A918" s="150"/>
      <c r="B918" s="147"/>
      <c r="C918" s="147"/>
      <c r="D918" s="147"/>
      <c r="E918" s="147"/>
      <c r="F918" s="147"/>
      <c r="G918" s="147"/>
      <c r="H918" s="147"/>
      <c r="I918" s="147"/>
      <c r="J918" s="147"/>
      <c r="K918" s="147"/>
      <c r="L918" s="147"/>
      <c r="M918" s="147"/>
      <c r="N918" s="147"/>
      <c r="O918" s="147"/>
      <c r="P918" s="147"/>
      <c r="Q918" s="147"/>
      <c r="R918" s="148"/>
      <c r="S918" s="148"/>
      <c r="T918" s="148"/>
      <c r="U918" s="148"/>
      <c r="V918" s="148"/>
      <c r="W918" s="148"/>
      <c r="X918" s="148"/>
      <c r="Y918" s="148"/>
      <c r="Z918" s="148"/>
      <c r="AA918" s="148"/>
      <c r="AB918" s="148"/>
      <c r="AC918" s="148"/>
    </row>
    <row r="919" spans="1:29">
      <c r="A919" s="150"/>
      <c r="B919" s="147"/>
      <c r="C919" s="147"/>
      <c r="D919" s="147"/>
      <c r="E919" s="147"/>
      <c r="F919" s="147"/>
      <c r="G919" s="147"/>
      <c r="H919" s="147"/>
      <c r="I919" s="147"/>
      <c r="J919" s="147"/>
      <c r="K919" s="147"/>
      <c r="L919" s="147"/>
      <c r="M919" s="147"/>
      <c r="N919" s="147"/>
      <c r="O919" s="147"/>
      <c r="P919" s="147"/>
      <c r="Q919" s="147"/>
      <c r="R919" s="148"/>
      <c r="S919" s="148"/>
      <c r="T919" s="148"/>
      <c r="U919" s="148"/>
      <c r="V919" s="148"/>
      <c r="W919" s="148"/>
      <c r="X919" s="148"/>
      <c r="Y919" s="148"/>
      <c r="Z919" s="148"/>
      <c r="AA919" s="148"/>
      <c r="AB919" s="148"/>
      <c r="AC919" s="148"/>
    </row>
    <row r="920" spans="1:29">
      <c r="A920" s="150"/>
      <c r="B920" s="147"/>
      <c r="C920" s="147"/>
      <c r="D920" s="147"/>
      <c r="E920" s="147"/>
      <c r="F920" s="147"/>
      <c r="G920" s="147"/>
      <c r="H920" s="147"/>
      <c r="I920" s="147"/>
      <c r="J920" s="147"/>
      <c r="K920" s="147"/>
      <c r="L920" s="147"/>
      <c r="M920" s="147"/>
      <c r="N920" s="147"/>
      <c r="O920" s="147"/>
      <c r="P920" s="147"/>
      <c r="Q920" s="147"/>
      <c r="R920" s="148"/>
      <c r="S920" s="148"/>
      <c r="T920" s="148"/>
      <c r="U920" s="148"/>
      <c r="V920" s="148"/>
      <c r="W920" s="148"/>
      <c r="X920" s="148"/>
      <c r="Y920" s="148"/>
      <c r="Z920" s="148"/>
      <c r="AA920" s="148"/>
      <c r="AB920" s="148"/>
      <c r="AC920" s="148"/>
    </row>
    <row r="921" spans="1:29">
      <c r="A921" s="150"/>
      <c r="B921" s="147"/>
      <c r="C921" s="147"/>
      <c r="D921" s="147"/>
      <c r="E921" s="147"/>
      <c r="F921" s="147"/>
      <c r="G921" s="147"/>
      <c r="H921" s="147"/>
      <c r="I921" s="147"/>
      <c r="J921" s="147"/>
      <c r="K921" s="147"/>
      <c r="L921" s="147"/>
      <c r="M921" s="147"/>
      <c r="N921" s="147"/>
      <c r="O921" s="147"/>
      <c r="P921" s="147"/>
      <c r="Q921" s="147"/>
      <c r="R921" s="148"/>
      <c r="S921" s="148"/>
      <c r="T921" s="148"/>
      <c r="U921" s="148"/>
      <c r="V921" s="148"/>
      <c r="W921" s="148"/>
      <c r="X921" s="148"/>
      <c r="Y921" s="148"/>
      <c r="Z921" s="148"/>
      <c r="AA921" s="148"/>
      <c r="AB921" s="148"/>
      <c r="AC921" s="148"/>
    </row>
    <row r="922" spans="1:29">
      <c r="A922" s="150"/>
      <c r="B922" s="147"/>
      <c r="C922" s="147"/>
      <c r="D922" s="147"/>
      <c r="E922" s="147"/>
      <c r="F922" s="147"/>
      <c r="G922" s="147"/>
      <c r="H922" s="147"/>
      <c r="I922" s="147"/>
      <c r="J922" s="147"/>
      <c r="K922" s="147"/>
      <c r="L922" s="147"/>
      <c r="M922" s="147"/>
      <c r="N922" s="147"/>
      <c r="O922" s="147"/>
      <c r="P922" s="147"/>
      <c r="Q922" s="147"/>
      <c r="R922" s="148"/>
      <c r="S922" s="148"/>
      <c r="T922" s="148"/>
      <c r="U922" s="148"/>
      <c r="V922" s="148"/>
      <c r="W922" s="148"/>
      <c r="X922" s="148"/>
      <c r="Y922" s="148"/>
      <c r="Z922" s="148"/>
      <c r="AA922" s="148"/>
      <c r="AB922" s="148"/>
      <c r="AC922" s="148"/>
    </row>
    <row r="923" spans="1:29">
      <c r="A923" s="150"/>
      <c r="B923" s="147"/>
      <c r="C923" s="147"/>
      <c r="D923" s="147"/>
      <c r="E923" s="147"/>
      <c r="F923" s="147"/>
      <c r="G923" s="147"/>
      <c r="H923" s="147"/>
      <c r="I923" s="147"/>
      <c r="J923" s="147"/>
      <c r="K923" s="147"/>
      <c r="L923" s="147"/>
      <c r="M923" s="147"/>
      <c r="N923" s="147"/>
      <c r="O923" s="147"/>
      <c r="P923" s="147"/>
      <c r="Q923" s="147"/>
      <c r="R923" s="148"/>
      <c r="S923" s="148"/>
      <c r="T923" s="148"/>
      <c r="U923" s="148"/>
      <c r="V923" s="148"/>
      <c r="W923" s="148"/>
      <c r="X923" s="148"/>
      <c r="Y923" s="148"/>
      <c r="Z923" s="148"/>
      <c r="AA923" s="148"/>
      <c r="AB923" s="148"/>
      <c r="AC923" s="148"/>
    </row>
    <row r="924" spans="1:29">
      <c r="A924" s="150"/>
      <c r="B924" s="147"/>
      <c r="C924" s="147"/>
      <c r="D924" s="147"/>
      <c r="E924" s="147"/>
      <c r="F924" s="147"/>
      <c r="G924" s="147"/>
      <c r="H924" s="147"/>
      <c r="I924" s="147"/>
      <c r="J924" s="147"/>
      <c r="K924" s="147"/>
      <c r="L924" s="147"/>
      <c r="M924" s="147"/>
      <c r="N924" s="147"/>
      <c r="O924" s="147"/>
      <c r="P924" s="147"/>
      <c r="Q924" s="147"/>
      <c r="R924" s="148"/>
      <c r="S924" s="148"/>
      <c r="T924" s="148"/>
      <c r="U924" s="148"/>
      <c r="V924" s="148"/>
      <c r="W924" s="148"/>
      <c r="X924" s="148"/>
      <c r="Y924" s="148"/>
      <c r="Z924" s="148"/>
      <c r="AA924" s="148"/>
      <c r="AB924" s="148"/>
      <c r="AC924" s="148"/>
    </row>
    <row r="925" spans="1:29">
      <c r="A925" s="150"/>
      <c r="B925" s="147"/>
      <c r="C925" s="147"/>
      <c r="D925" s="147"/>
      <c r="E925" s="147"/>
      <c r="F925" s="147"/>
      <c r="G925" s="147"/>
      <c r="H925" s="147"/>
      <c r="I925" s="147"/>
      <c r="J925" s="147"/>
      <c r="K925" s="147"/>
      <c r="L925" s="147"/>
      <c r="M925" s="147"/>
      <c r="N925" s="147"/>
      <c r="O925" s="147"/>
      <c r="P925" s="147"/>
      <c r="Q925" s="147"/>
      <c r="R925" s="148"/>
      <c r="S925" s="148"/>
      <c r="T925" s="148"/>
      <c r="U925" s="148"/>
      <c r="V925" s="148"/>
      <c r="W925" s="148"/>
      <c r="X925" s="148"/>
      <c r="Y925" s="148"/>
      <c r="Z925" s="148"/>
      <c r="AA925" s="148"/>
      <c r="AB925" s="148"/>
      <c r="AC925" s="148"/>
    </row>
    <row r="926" spans="1:29">
      <c r="A926" s="150"/>
      <c r="B926" s="147"/>
      <c r="C926" s="147"/>
      <c r="D926" s="147"/>
      <c r="E926" s="147"/>
      <c r="F926" s="147"/>
      <c r="G926" s="147"/>
      <c r="H926" s="147"/>
      <c r="I926" s="147"/>
      <c r="J926" s="147"/>
      <c r="K926" s="147"/>
      <c r="L926" s="147"/>
      <c r="M926" s="147"/>
      <c r="N926" s="147"/>
      <c r="O926" s="147"/>
      <c r="P926" s="147"/>
      <c r="Q926" s="147"/>
      <c r="R926" s="148"/>
      <c r="S926" s="148"/>
      <c r="T926" s="148"/>
      <c r="U926" s="148"/>
      <c r="V926" s="148"/>
      <c r="W926" s="148"/>
      <c r="X926" s="148"/>
      <c r="Y926" s="148"/>
      <c r="Z926" s="148"/>
      <c r="AA926" s="148"/>
      <c r="AB926" s="148"/>
      <c r="AC926" s="148"/>
    </row>
    <row r="927" spans="1:29">
      <c r="A927" s="150"/>
      <c r="B927" s="147"/>
      <c r="C927" s="147"/>
      <c r="D927" s="147"/>
      <c r="E927" s="147"/>
      <c r="F927" s="147"/>
      <c r="G927" s="147"/>
      <c r="H927" s="147"/>
      <c r="I927" s="147"/>
      <c r="J927" s="147"/>
      <c r="K927" s="147"/>
      <c r="L927" s="147"/>
      <c r="M927" s="147"/>
      <c r="N927" s="147"/>
      <c r="O927" s="147"/>
      <c r="P927" s="147"/>
      <c r="Q927" s="147"/>
      <c r="R927" s="148"/>
      <c r="S927" s="148"/>
      <c r="T927" s="148"/>
      <c r="U927" s="148"/>
      <c r="V927" s="148"/>
      <c r="W927" s="148"/>
      <c r="X927" s="148"/>
      <c r="Y927" s="148"/>
      <c r="Z927" s="148"/>
      <c r="AA927" s="148"/>
      <c r="AB927" s="148"/>
      <c r="AC927" s="148"/>
    </row>
    <row r="928" spans="1:29">
      <c r="A928" s="150"/>
      <c r="B928" s="147"/>
      <c r="C928" s="147"/>
      <c r="D928" s="147"/>
      <c r="E928" s="147"/>
      <c r="F928" s="147"/>
      <c r="G928" s="147"/>
      <c r="H928" s="147"/>
      <c r="I928" s="147"/>
      <c r="J928" s="147"/>
      <c r="K928" s="147"/>
      <c r="L928" s="147"/>
      <c r="M928" s="147"/>
      <c r="N928" s="147"/>
      <c r="O928" s="147"/>
      <c r="P928" s="147"/>
      <c r="Q928" s="147"/>
      <c r="R928" s="148"/>
      <c r="S928" s="148"/>
      <c r="T928" s="148"/>
      <c r="U928" s="148"/>
      <c r="V928" s="148"/>
      <c r="W928" s="148"/>
      <c r="X928" s="148"/>
      <c r="Y928" s="148"/>
      <c r="Z928" s="148"/>
      <c r="AA928" s="148"/>
      <c r="AB928" s="148"/>
      <c r="AC928" s="148"/>
    </row>
    <row r="929" spans="1:29">
      <c r="A929" s="150"/>
      <c r="B929" s="147"/>
      <c r="C929" s="147"/>
      <c r="D929" s="147"/>
      <c r="E929" s="147"/>
      <c r="F929" s="147"/>
      <c r="G929" s="147"/>
      <c r="H929" s="147"/>
      <c r="I929" s="147"/>
      <c r="J929" s="147"/>
      <c r="K929" s="147"/>
      <c r="L929" s="147"/>
      <c r="M929" s="147"/>
      <c r="N929" s="147"/>
      <c r="O929" s="147"/>
      <c r="P929" s="147"/>
      <c r="Q929" s="147"/>
      <c r="R929" s="148"/>
      <c r="S929" s="148"/>
      <c r="T929" s="148"/>
      <c r="U929" s="148"/>
      <c r="V929" s="148"/>
      <c r="W929" s="148"/>
      <c r="X929" s="148"/>
      <c r="Y929" s="148"/>
      <c r="Z929" s="148"/>
      <c r="AA929" s="148"/>
      <c r="AB929" s="148"/>
      <c r="AC929" s="148"/>
    </row>
    <row r="930" spans="1:29">
      <c r="A930" s="150"/>
      <c r="B930" s="147"/>
      <c r="C930" s="147"/>
      <c r="D930" s="147"/>
      <c r="E930" s="147"/>
      <c r="F930" s="147"/>
      <c r="G930" s="147"/>
      <c r="H930" s="147"/>
      <c r="I930" s="147"/>
      <c r="J930" s="147"/>
      <c r="K930" s="147"/>
      <c r="L930" s="147"/>
      <c r="M930" s="147"/>
      <c r="N930" s="147"/>
      <c r="O930" s="147"/>
      <c r="P930" s="147"/>
      <c r="Q930" s="147"/>
      <c r="R930" s="148"/>
      <c r="S930" s="148"/>
      <c r="T930" s="148"/>
      <c r="U930" s="148"/>
      <c r="V930" s="148"/>
      <c r="W930" s="148"/>
      <c r="X930" s="148"/>
      <c r="Y930" s="148"/>
      <c r="Z930" s="148"/>
      <c r="AA930" s="148"/>
      <c r="AB930" s="148"/>
      <c r="AC930" s="148"/>
    </row>
    <row r="931" spans="1:29">
      <c r="A931" s="150"/>
      <c r="B931" s="147"/>
      <c r="C931" s="147"/>
      <c r="D931" s="147"/>
      <c r="E931" s="147"/>
      <c r="F931" s="147"/>
      <c r="G931" s="147"/>
      <c r="H931" s="147"/>
      <c r="I931" s="147"/>
      <c r="J931" s="147"/>
      <c r="K931" s="147"/>
      <c r="L931" s="147"/>
      <c r="M931" s="147"/>
      <c r="N931" s="147"/>
      <c r="O931" s="147"/>
      <c r="P931" s="147"/>
      <c r="Q931" s="147"/>
      <c r="R931" s="148"/>
      <c r="S931" s="148"/>
      <c r="T931" s="148"/>
      <c r="U931" s="148"/>
      <c r="V931" s="148"/>
      <c r="W931" s="148"/>
      <c r="X931" s="148"/>
      <c r="Y931" s="148"/>
      <c r="Z931" s="148"/>
      <c r="AA931" s="148"/>
      <c r="AB931" s="148"/>
      <c r="AC931" s="148"/>
    </row>
    <row r="932" spans="1:29">
      <c r="A932" s="150"/>
      <c r="B932" s="147"/>
      <c r="C932" s="147"/>
      <c r="D932" s="147"/>
      <c r="E932" s="147"/>
      <c r="F932" s="147"/>
      <c r="G932" s="147"/>
      <c r="H932" s="147"/>
      <c r="I932" s="147"/>
      <c r="J932" s="147"/>
      <c r="K932" s="147"/>
      <c r="L932" s="147"/>
      <c r="M932" s="147"/>
      <c r="N932" s="147"/>
      <c r="O932" s="147"/>
      <c r="P932" s="147"/>
      <c r="Q932" s="147"/>
      <c r="R932" s="148"/>
      <c r="S932" s="148"/>
      <c r="T932" s="148"/>
      <c r="U932" s="148"/>
      <c r="V932" s="148"/>
      <c r="W932" s="148"/>
      <c r="X932" s="148"/>
      <c r="Y932" s="148"/>
      <c r="Z932" s="148"/>
      <c r="AA932" s="148"/>
      <c r="AB932" s="148"/>
      <c r="AC932" s="148"/>
    </row>
    <row r="933" spans="1:29">
      <c r="A933" s="150"/>
      <c r="B933" s="147"/>
      <c r="C933" s="147"/>
      <c r="D933" s="147"/>
      <c r="E933" s="147"/>
      <c r="F933" s="147"/>
      <c r="G933" s="147"/>
      <c r="H933" s="147"/>
      <c r="I933" s="147"/>
      <c r="J933" s="147"/>
      <c r="K933" s="147"/>
      <c r="L933" s="147"/>
      <c r="M933" s="147"/>
      <c r="N933" s="147"/>
      <c r="O933" s="147"/>
      <c r="P933" s="147"/>
      <c r="Q933" s="147"/>
      <c r="R933" s="148"/>
      <c r="S933" s="148"/>
      <c r="T933" s="148"/>
      <c r="U933" s="148"/>
      <c r="V933" s="148"/>
      <c r="W933" s="148"/>
      <c r="X933" s="148"/>
      <c r="Y933" s="148"/>
      <c r="Z933" s="148"/>
      <c r="AA933" s="148"/>
      <c r="AB933" s="148"/>
      <c r="AC933" s="148"/>
    </row>
    <row r="934" spans="1:29">
      <c r="A934" s="150"/>
      <c r="B934" s="147"/>
      <c r="C934" s="147"/>
      <c r="D934" s="147"/>
      <c r="E934" s="147"/>
      <c r="F934" s="147"/>
      <c r="G934" s="147"/>
      <c r="H934" s="147"/>
      <c r="I934" s="147"/>
      <c r="J934" s="147"/>
      <c r="K934" s="147"/>
      <c r="L934" s="147"/>
      <c r="M934" s="147"/>
      <c r="N934" s="147"/>
      <c r="O934" s="147"/>
      <c r="P934" s="147"/>
      <c r="Q934" s="147"/>
      <c r="R934" s="148"/>
      <c r="S934" s="148"/>
      <c r="T934" s="148"/>
      <c r="U934" s="148"/>
      <c r="V934" s="148"/>
      <c r="W934" s="148"/>
      <c r="X934" s="148"/>
      <c r="Y934" s="148"/>
      <c r="Z934" s="148"/>
      <c r="AA934" s="148"/>
      <c r="AB934" s="148"/>
      <c r="AC934" s="148"/>
    </row>
    <row r="935" spans="1:29">
      <c r="A935" s="150"/>
      <c r="B935" s="147"/>
      <c r="C935" s="147"/>
      <c r="D935" s="147"/>
      <c r="E935" s="147"/>
      <c r="F935" s="147"/>
      <c r="G935" s="147"/>
      <c r="H935" s="147"/>
      <c r="I935" s="147"/>
      <c r="J935" s="147"/>
      <c r="K935" s="147"/>
      <c r="L935" s="147"/>
      <c r="M935" s="147"/>
      <c r="N935" s="147"/>
      <c r="O935" s="147"/>
      <c r="P935" s="147"/>
      <c r="Q935" s="147"/>
      <c r="R935" s="148"/>
      <c r="S935" s="148"/>
      <c r="T935" s="148"/>
      <c r="U935" s="148"/>
      <c r="V935" s="148"/>
      <c r="W935" s="148"/>
      <c r="X935" s="148"/>
      <c r="Y935" s="148"/>
      <c r="Z935" s="148"/>
      <c r="AA935" s="148"/>
      <c r="AB935" s="148"/>
      <c r="AC935" s="148"/>
    </row>
    <row r="936" spans="1:29">
      <c r="A936" s="150"/>
      <c r="B936" s="147"/>
      <c r="C936" s="147"/>
      <c r="D936" s="147"/>
      <c r="E936" s="147"/>
      <c r="F936" s="147"/>
      <c r="G936" s="147"/>
      <c r="H936" s="147"/>
      <c r="I936" s="147"/>
      <c r="J936" s="147"/>
      <c r="K936" s="147"/>
      <c r="L936" s="147"/>
      <c r="M936" s="147"/>
      <c r="N936" s="147"/>
      <c r="O936" s="147"/>
      <c r="P936" s="147"/>
      <c r="Q936" s="147"/>
      <c r="R936" s="148"/>
      <c r="S936" s="148"/>
      <c r="T936" s="148"/>
      <c r="U936" s="148"/>
      <c r="V936" s="148"/>
      <c r="W936" s="148"/>
      <c r="X936" s="148"/>
      <c r="Y936" s="148"/>
      <c r="Z936" s="148"/>
      <c r="AA936" s="148"/>
      <c r="AB936" s="148"/>
      <c r="AC936" s="148"/>
    </row>
    <row r="937" spans="1:29">
      <c r="A937" s="150"/>
      <c r="B937" s="147"/>
      <c r="C937" s="147"/>
      <c r="D937" s="147"/>
      <c r="E937" s="147"/>
      <c r="F937" s="147"/>
      <c r="G937" s="147"/>
      <c r="H937" s="147"/>
      <c r="I937" s="147"/>
      <c r="J937" s="147"/>
      <c r="K937" s="147"/>
      <c r="L937" s="147"/>
      <c r="M937" s="147"/>
      <c r="N937" s="147"/>
      <c r="O937" s="147"/>
      <c r="P937" s="147"/>
      <c r="Q937" s="147"/>
      <c r="R937" s="148"/>
      <c r="S937" s="148"/>
      <c r="T937" s="148"/>
      <c r="U937" s="148"/>
      <c r="V937" s="148"/>
      <c r="W937" s="148"/>
      <c r="X937" s="148"/>
      <c r="Y937" s="148"/>
      <c r="Z937" s="148"/>
      <c r="AA937" s="148"/>
      <c r="AB937" s="148"/>
      <c r="AC937" s="148"/>
    </row>
    <row r="938" spans="1:29">
      <c r="A938" s="150"/>
      <c r="B938" s="147"/>
      <c r="C938" s="147"/>
      <c r="D938" s="147"/>
      <c r="E938" s="147"/>
      <c r="F938" s="147"/>
      <c r="G938" s="147"/>
      <c r="H938" s="147"/>
      <c r="I938" s="147"/>
      <c r="J938" s="147"/>
      <c r="K938" s="147"/>
      <c r="L938" s="147"/>
      <c r="M938" s="147"/>
      <c r="N938" s="147"/>
      <c r="O938" s="147"/>
      <c r="P938" s="147"/>
      <c r="Q938" s="147"/>
      <c r="R938" s="148"/>
      <c r="S938" s="148"/>
      <c r="T938" s="148"/>
      <c r="U938" s="148"/>
      <c r="V938" s="148"/>
      <c r="W938" s="148"/>
      <c r="X938" s="148"/>
      <c r="Y938" s="148"/>
      <c r="Z938" s="148"/>
      <c r="AA938" s="148"/>
      <c r="AB938" s="148"/>
      <c r="AC938" s="148"/>
    </row>
    <row r="939" spans="1:29">
      <c r="A939" s="150"/>
      <c r="B939" s="147"/>
      <c r="C939" s="147"/>
      <c r="D939" s="147"/>
      <c r="E939" s="147"/>
      <c r="F939" s="147"/>
      <c r="G939" s="147"/>
      <c r="H939" s="147"/>
      <c r="I939" s="147"/>
      <c r="J939" s="147"/>
      <c r="K939" s="147"/>
      <c r="L939" s="147"/>
      <c r="M939" s="147"/>
      <c r="N939" s="147"/>
      <c r="O939" s="147"/>
      <c r="P939" s="147"/>
      <c r="Q939" s="147"/>
      <c r="R939" s="148"/>
      <c r="S939" s="148"/>
      <c r="T939" s="148"/>
      <c r="U939" s="148"/>
      <c r="V939" s="148"/>
      <c r="W939" s="148"/>
      <c r="X939" s="148"/>
      <c r="Y939" s="148"/>
      <c r="Z939" s="148"/>
      <c r="AA939" s="148"/>
      <c r="AB939" s="148"/>
      <c r="AC939" s="148"/>
    </row>
    <row r="940" spans="1:29">
      <c r="A940" s="150"/>
      <c r="B940" s="147"/>
      <c r="C940" s="147"/>
      <c r="D940" s="147"/>
      <c r="E940" s="147"/>
      <c r="F940" s="147"/>
      <c r="G940" s="147"/>
      <c r="H940" s="147"/>
      <c r="I940" s="147"/>
      <c r="J940" s="147"/>
      <c r="K940" s="147"/>
      <c r="L940" s="147"/>
      <c r="M940" s="147"/>
      <c r="N940" s="147"/>
      <c r="O940" s="147"/>
      <c r="P940" s="147"/>
      <c r="Q940" s="147"/>
      <c r="R940" s="148"/>
      <c r="S940" s="148"/>
      <c r="T940" s="148"/>
      <c r="U940" s="148"/>
      <c r="V940" s="148"/>
      <c r="W940" s="148"/>
      <c r="X940" s="148"/>
      <c r="Y940" s="148"/>
      <c r="Z940" s="148"/>
      <c r="AA940" s="148"/>
      <c r="AB940" s="148"/>
      <c r="AC940" s="148"/>
    </row>
    <row r="941" spans="1:29">
      <c r="A941" s="150"/>
      <c r="B941" s="147"/>
      <c r="C941" s="147"/>
      <c r="D941" s="147"/>
      <c r="E941" s="147"/>
      <c r="F941" s="147"/>
      <c r="G941" s="147"/>
      <c r="H941" s="147"/>
      <c r="I941" s="147"/>
      <c r="J941" s="147"/>
      <c r="K941" s="147"/>
      <c r="L941" s="147"/>
      <c r="M941" s="147"/>
      <c r="N941" s="147"/>
      <c r="O941" s="147"/>
      <c r="P941" s="147"/>
      <c r="Q941" s="147"/>
      <c r="R941" s="148"/>
      <c r="S941" s="148"/>
      <c r="T941" s="148"/>
      <c r="U941" s="148"/>
      <c r="V941" s="148"/>
      <c r="W941" s="148"/>
      <c r="X941" s="148"/>
      <c r="Y941" s="148"/>
      <c r="Z941" s="148"/>
      <c r="AA941" s="148"/>
      <c r="AB941" s="148"/>
      <c r="AC941" s="148"/>
    </row>
    <row r="942" spans="1:29">
      <c r="A942" s="150"/>
      <c r="B942" s="147"/>
      <c r="C942" s="147"/>
      <c r="D942" s="147"/>
      <c r="E942" s="147"/>
      <c r="F942" s="147"/>
      <c r="G942" s="147"/>
      <c r="H942" s="147"/>
      <c r="I942" s="147"/>
      <c r="J942" s="147"/>
      <c r="K942" s="147"/>
      <c r="L942" s="147"/>
      <c r="M942" s="147"/>
      <c r="N942" s="147"/>
      <c r="O942" s="147"/>
      <c r="P942" s="147"/>
      <c r="Q942" s="147"/>
      <c r="R942" s="148"/>
      <c r="S942" s="148"/>
      <c r="T942" s="148"/>
      <c r="U942" s="148"/>
      <c r="V942" s="148"/>
      <c r="W942" s="148"/>
      <c r="X942" s="148"/>
      <c r="Y942" s="148"/>
      <c r="Z942" s="148"/>
      <c r="AA942" s="148"/>
      <c r="AB942" s="148"/>
      <c r="AC942" s="148"/>
    </row>
    <row r="943" spans="1:29">
      <c r="A943" s="150"/>
      <c r="B943" s="147"/>
      <c r="C943" s="147"/>
      <c r="D943" s="147"/>
      <c r="E943" s="147"/>
      <c r="F943" s="147"/>
      <c r="G943" s="147"/>
      <c r="H943" s="147"/>
      <c r="I943" s="147"/>
      <c r="J943" s="147"/>
      <c r="K943" s="147"/>
      <c r="L943" s="147"/>
      <c r="M943" s="147"/>
      <c r="N943" s="147"/>
      <c r="O943" s="147"/>
      <c r="P943" s="147"/>
      <c r="Q943" s="147"/>
      <c r="R943" s="148"/>
      <c r="S943" s="148"/>
      <c r="T943" s="148"/>
      <c r="U943" s="148"/>
      <c r="V943" s="148"/>
      <c r="W943" s="148"/>
      <c r="X943" s="148"/>
      <c r="Y943" s="148"/>
      <c r="Z943" s="148"/>
      <c r="AA943" s="148"/>
      <c r="AB943" s="148"/>
      <c r="AC943" s="148"/>
    </row>
    <row r="944" spans="1:29">
      <c r="A944" s="147"/>
      <c r="B944" s="147"/>
      <c r="C944" s="147"/>
      <c r="D944" s="147"/>
      <c r="E944" s="147"/>
      <c r="F944" s="147"/>
      <c r="G944" s="147"/>
      <c r="H944" s="147"/>
      <c r="I944" s="147"/>
      <c r="J944" s="147"/>
      <c r="K944" s="147"/>
      <c r="L944" s="147"/>
      <c r="M944" s="147"/>
      <c r="N944" s="147"/>
      <c r="O944" s="147"/>
      <c r="P944" s="147"/>
      <c r="Q944" s="147"/>
      <c r="R944" s="148"/>
      <c r="S944" s="148"/>
      <c r="T944" s="148"/>
      <c r="U944" s="148"/>
      <c r="V944" s="148"/>
      <c r="W944" s="148"/>
      <c r="X944" s="148"/>
      <c r="Y944" s="148"/>
      <c r="Z944" s="148"/>
      <c r="AA944" s="148"/>
      <c r="AB944" s="148"/>
      <c r="AC944" s="148"/>
    </row>
    <row r="945" spans="1:29">
      <c r="A945" s="147"/>
      <c r="B945" s="147"/>
      <c r="C945" s="147"/>
      <c r="D945" s="147"/>
      <c r="E945" s="147"/>
      <c r="F945" s="147"/>
      <c r="G945" s="147"/>
      <c r="H945" s="147"/>
      <c r="I945" s="147"/>
      <c r="J945" s="147"/>
      <c r="K945" s="147"/>
      <c r="L945" s="147"/>
      <c r="M945" s="147"/>
      <c r="N945" s="147"/>
      <c r="O945" s="147"/>
      <c r="P945" s="147"/>
      <c r="Q945" s="147"/>
      <c r="R945" s="148"/>
      <c r="S945" s="148"/>
      <c r="T945" s="148"/>
      <c r="U945" s="148"/>
      <c r="V945" s="148"/>
      <c r="W945" s="148"/>
      <c r="X945" s="148"/>
      <c r="Y945" s="148"/>
      <c r="Z945" s="148"/>
      <c r="AA945" s="148"/>
      <c r="AB945" s="148"/>
      <c r="AC945" s="148"/>
    </row>
    <row r="946" spans="1:29">
      <c r="A946" s="147"/>
      <c r="B946" s="147"/>
      <c r="C946" s="147"/>
      <c r="D946" s="147"/>
      <c r="E946" s="147"/>
      <c r="F946" s="147"/>
      <c r="G946" s="147"/>
      <c r="H946" s="147"/>
      <c r="I946" s="147"/>
      <c r="J946" s="147"/>
      <c r="K946" s="147"/>
      <c r="L946" s="147"/>
      <c r="M946" s="147"/>
      <c r="N946" s="147"/>
      <c r="O946" s="147"/>
      <c r="P946" s="147"/>
      <c r="Q946" s="147"/>
      <c r="R946" s="148"/>
      <c r="S946" s="148"/>
      <c r="T946" s="148"/>
      <c r="U946" s="148"/>
      <c r="V946" s="148"/>
      <c r="W946" s="148"/>
      <c r="X946" s="148"/>
      <c r="Y946" s="148"/>
      <c r="Z946" s="148"/>
      <c r="AA946" s="148"/>
      <c r="AB946" s="148"/>
      <c r="AC946" s="148"/>
    </row>
    <row r="947" spans="1:29">
      <c r="A947" s="147"/>
      <c r="B947" s="147"/>
      <c r="C947" s="147"/>
      <c r="D947" s="147"/>
      <c r="E947" s="147"/>
      <c r="F947" s="147"/>
      <c r="G947" s="147"/>
      <c r="H947" s="147"/>
      <c r="I947" s="147"/>
      <c r="J947" s="147"/>
      <c r="K947" s="147"/>
      <c r="L947" s="147"/>
      <c r="M947" s="147"/>
      <c r="N947" s="147"/>
      <c r="O947" s="147"/>
      <c r="P947" s="147"/>
      <c r="Q947" s="147"/>
      <c r="R947" s="148"/>
      <c r="S947" s="148"/>
      <c r="T947" s="148"/>
      <c r="U947" s="148"/>
      <c r="V947" s="148"/>
      <c r="W947" s="148"/>
      <c r="X947" s="148"/>
      <c r="Y947" s="148"/>
      <c r="Z947" s="148"/>
      <c r="AA947" s="148"/>
      <c r="AB947" s="148"/>
      <c r="AC947" s="148"/>
    </row>
    <row r="948" spans="1:29">
      <c r="A948" s="147"/>
      <c r="B948" s="147"/>
      <c r="C948" s="147"/>
      <c r="D948" s="147"/>
      <c r="E948" s="147"/>
      <c r="F948" s="147"/>
      <c r="G948" s="147"/>
      <c r="H948" s="147"/>
      <c r="I948" s="147"/>
      <c r="J948" s="147"/>
      <c r="K948" s="147"/>
      <c r="L948" s="147"/>
      <c r="M948" s="147"/>
      <c r="N948" s="147"/>
      <c r="O948" s="147"/>
      <c r="P948" s="147"/>
      <c r="Q948" s="147"/>
      <c r="R948" s="148"/>
      <c r="S948" s="148"/>
      <c r="T948" s="148"/>
      <c r="U948" s="148"/>
      <c r="V948" s="148"/>
      <c r="W948" s="148"/>
      <c r="X948" s="148"/>
      <c r="Y948" s="148"/>
      <c r="Z948" s="148"/>
      <c r="AA948" s="148"/>
      <c r="AB948" s="148"/>
      <c r="AC948" s="148"/>
    </row>
    <row r="949" spans="1:29">
      <c r="A949" s="147"/>
      <c r="B949" s="147"/>
      <c r="C949" s="147"/>
      <c r="D949" s="147"/>
      <c r="E949" s="147"/>
      <c r="F949" s="147"/>
      <c r="G949" s="147"/>
      <c r="H949" s="147"/>
      <c r="I949" s="147"/>
      <c r="J949" s="147"/>
      <c r="K949" s="147"/>
      <c r="L949" s="147"/>
      <c r="M949" s="147"/>
      <c r="N949" s="147"/>
      <c r="O949" s="147"/>
      <c r="P949" s="147"/>
      <c r="Q949" s="147"/>
      <c r="R949" s="148"/>
      <c r="S949" s="148"/>
      <c r="T949" s="148"/>
      <c r="U949" s="148"/>
      <c r="V949" s="148"/>
      <c r="W949" s="148"/>
      <c r="X949" s="148"/>
      <c r="Y949" s="148"/>
      <c r="Z949" s="148"/>
      <c r="AA949" s="148"/>
      <c r="AB949" s="148"/>
      <c r="AC949" s="148"/>
    </row>
    <row r="950" spans="1:29">
      <c r="A950" s="147"/>
      <c r="B950" s="147"/>
      <c r="C950" s="147"/>
      <c r="D950" s="147"/>
      <c r="E950" s="147"/>
      <c r="F950" s="147"/>
      <c r="G950" s="147"/>
      <c r="H950" s="147"/>
      <c r="I950" s="147"/>
      <c r="J950" s="147"/>
      <c r="K950" s="147"/>
      <c r="L950" s="147"/>
      <c r="M950" s="147"/>
      <c r="N950" s="147"/>
      <c r="O950" s="147"/>
      <c r="P950" s="147"/>
      <c r="Q950" s="147"/>
      <c r="R950" s="148"/>
      <c r="S950" s="148"/>
      <c r="T950" s="148"/>
      <c r="U950" s="148"/>
      <c r="V950" s="148"/>
      <c r="W950" s="148"/>
      <c r="X950" s="148"/>
      <c r="Y950" s="148"/>
      <c r="Z950" s="148"/>
      <c r="AA950" s="148"/>
      <c r="AB950" s="148"/>
      <c r="AC950" s="148"/>
    </row>
    <row r="951" spans="1:29">
      <c r="A951" s="147"/>
      <c r="B951" s="147"/>
      <c r="C951" s="147"/>
      <c r="D951" s="147"/>
      <c r="E951" s="147"/>
      <c r="F951" s="147"/>
      <c r="G951" s="147"/>
      <c r="H951" s="147"/>
      <c r="I951" s="147"/>
      <c r="J951" s="147"/>
      <c r="K951" s="147"/>
      <c r="L951" s="147"/>
      <c r="M951" s="147"/>
      <c r="N951" s="147"/>
      <c r="O951" s="147"/>
      <c r="P951" s="147"/>
      <c r="Q951" s="147"/>
      <c r="R951" s="148"/>
      <c r="S951" s="148"/>
      <c r="T951" s="148"/>
      <c r="U951" s="148"/>
      <c r="V951" s="148"/>
      <c r="W951" s="148"/>
      <c r="X951" s="148"/>
      <c r="Y951" s="148"/>
      <c r="Z951" s="148"/>
      <c r="AA951" s="148"/>
      <c r="AB951" s="148"/>
      <c r="AC951" s="148"/>
    </row>
    <row r="952" spans="1:29">
      <c r="A952" s="147"/>
      <c r="B952" s="147"/>
      <c r="C952" s="147"/>
      <c r="D952" s="147"/>
      <c r="E952" s="147"/>
      <c r="F952" s="147"/>
      <c r="G952" s="147"/>
      <c r="H952" s="147"/>
      <c r="I952" s="147"/>
      <c r="J952" s="147"/>
      <c r="K952" s="147"/>
      <c r="L952" s="147"/>
      <c r="M952" s="147"/>
      <c r="N952" s="147"/>
      <c r="O952" s="147"/>
      <c r="P952" s="147"/>
      <c r="Q952" s="147"/>
      <c r="R952" s="148"/>
      <c r="S952" s="148"/>
      <c r="T952" s="148"/>
      <c r="U952" s="148"/>
      <c r="V952" s="148"/>
      <c r="W952" s="148"/>
      <c r="X952" s="148"/>
      <c r="Y952" s="148"/>
      <c r="Z952" s="148"/>
      <c r="AA952" s="148"/>
      <c r="AB952" s="148"/>
      <c r="AC952" s="148"/>
    </row>
    <row r="953" spans="1:29">
      <c r="A953" s="147"/>
      <c r="B953" s="147"/>
      <c r="C953" s="147"/>
      <c r="D953" s="147"/>
      <c r="E953" s="147"/>
      <c r="F953" s="147"/>
      <c r="G953" s="147"/>
      <c r="H953" s="147"/>
      <c r="I953" s="147"/>
      <c r="J953" s="147"/>
      <c r="K953" s="147"/>
      <c r="L953" s="147"/>
      <c r="M953" s="147"/>
      <c r="N953" s="147"/>
      <c r="O953" s="147"/>
      <c r="P953" s="147"/>
      <c r="Q953" s="147"/>
      <c r="R953" s="148"/>
      <c r="S953" s="148"/>
      <c r="T953" s="148"/>
      <c r="U953" s="148"/>
      <c r="V953" s="148"/>
      <c r="W953" s="148"/>
      <c r="X953" s="148"/>
      <c r="Y953" s="148"/>
      <c r="Z953" s="148"/>
      <c r="AA953" s="148"/>
      <c r="AB953" s="148"/>
      <c r="AC953" s="148"/>
    </row>
    <row r="954" spans="1:29">
      <c r="A954" s="147"/>
      <c r="B954" s="147"/>
      <c r="C954" s="147"/>
      <c r="D954" s="147"/>
      <c r="E954" s="147"/>
      <c r="F954" s="147"/>
      <c r="G954" s="147"/>
      <c r="H954" s="147"/>
      <c r="I954" s="147"/>
      <c r="J954" s="147"/>
      <c r="K954" s="147"/>
      <c r="L954" s="147"/>
      <c r="M954" s="147"/>
      <c r="N954" s="147"/>
      <c r="O954" s="147"/>
      <c r="P954" s="147"/>
      <c r="Q954" s="147"/>
      <c r="R954" s="148"/>
      <c r="S954" s="148"/>
      <c r="T954" s="148"/>
      <c r="U954" s="148"/>
      <c r="V954" s="148"/>
      <c r="W954" s="148"/>
      <c r="X954" s="148"/>
      <c r="Y954" s="148"/>
      <c r="Z954" s="148"/>
      <c r="AA954" s="148"/>
      <c r="AB954" s="148"/>
      <c r="AC954" s="148"/>
    </row>
    <row r="955" spans="1:29">
      <c r="A955" s="147"/>
      <c r="B955" s="147"/>
      <c r="C955" s="147"/>
      <c r="D955" s="147"/>
      <c r="E955" s="147"/>
      <c r="F955" s="147"/>
      <c r="G955" s="147"/>
      <c r="H955" s="147"/>
      <c r="I955" s="147"/>
      <c r="J955" s="147"/>
      <c r="K955" s="147"/>
      <c r="L955" s="147"/>
      <c r="M955" s="147"/>
      <c r="N955" s="147"/>
      <c r="O955" s="147"/>
      <c r="P955" s="147"/>
      <c r="Q955" s="147"/>
      <c r="R955" s="148"/>
      <c r="S955" s="148"/>
      <c r="T955" s="148"/>
      <c r="U955" s="148"/>
      <c r="V955" s="148"/>
      <c r="W955" s="148"/>
      <c r="X955" s="148"/>
      <c r="Y955" s="148"/>
      <c r="Z955" s="148"/>
      <c r="AA955" s="148"/>
      <c r="AB955" s="148"/>
      <c r="AC955" s="148"/>
    </row>
    <row r="956" spans="1:29">
      <c r="A956" s="147"/>
      <c r="B956" s="147"/>
      <c r="C956" s="147"/>
      <c r="D956" s="147"/>
      <c r="E956" s="147"/>
      <c r="F956" s="147"/>
      <c r="G956" s="147"/>
      <c r="H956" s="147"/>
      <c r="I956" s="147"/>
      <c r="J956" s="147"/>
      <c r="K956" s="147"/>
      <c r="L956" s="147"/>
      <c r="M956" s="147"/>
      <c r="N956" s="147"/>
      <c r="O956" s="147"/>
      <c r="P956" s="147"/>
      <c r="Q956" s="147"/>
      <c r="R956" s="148"/>
      <c r="S956" s="148"/>
      <c r="T956" s="148"/>
      <c r="U956" s="148"/>
      <c r="V956" s="148"/>
      <c r="W956" s="148"/>
      <c r="X956" s="148"/>
      <c r="Y956" s="148"/>
      <c r="Z956" s="148"/>
      <c r="AA956" s="148"/>
      <c r="AB956" s="148"/>
      <c r="AC956" s="148"/>
    </row>
    <row r="957" spans="1:29">
      <c r="A957" s="147"/>
      <c r="B957" s="147"/>
      <c r="C957" s="147"/>
      <c r="D957" s="147"/>
      <c r="E957" s="147"/>
      <c r="F957" s="147"/>
      <c r="G957" s="147"/>
      <c r="H957" s="147"/>
      <c r="I957" s="147"/>
      <c r="J957" s="147"/>
      <c r="K957" s="147"/>
      <c r="L957" s="147"/>
      <c r="M957" s="147"/>
      <c r="N957" s="147"/>
      <c r="O957" s="147"/>
      <c r="P957" s="147"/>
      <c r="Q957" s="147"/>
      <c r="R957" s="148"/>
      <c r="S957" s="148"/>
      <c r="T957" s="148"/>
      <c r="U957" s="148"/>
      <c r="V957" s="148"/>
      <c r="W957" s="148"/>
      <c r="X957" s="148"/>
      <c r="Y957" s="148"/>
      <c r="Z957" s="148"/>
      <c r="AA957" s="148"/>
      <c r="AB957" s="148"/>
      <c r="AC957" s="148"/>
    </row>
    <row r="958" spans="1:29">
      <c r="A958" s="147"/>
      <c r="B958" s="147"/>
      <c r="C958" s="147"/>
      <c r="D958" s="147"/>
      <c r="E958" s="147"/>
      <c r="F958" s="147"/>
      <c r="G958" s="147"/>
      <c r="H958" s="147"/>
      <c r="I958" s="147"/>
      <c r="J958" s="147"/>
      <c r="K958" s="147"/>
      <c r="L958" s="147"/>
      <c r="M958" s="147"/>
      <c r="N958" s="147"/>
      <c r="O958" s="147"/>
      <c r="P958" s="147"/>
      <c r="Q958" s="147"/>
      <c r="R958" s="148"/>
      <c r="S958" s="148"/>
      <c r="T958" s="148"/>
      <c r="U958" s="148"/>
      <c r="V958" s="148"/>
      <c r="W958" s="148"/>
      <c r="X958" s="148"/>
      <c r="Y958" s="148"/>
      <c r="Z958" s="148"/>
      <c r="AA958" s="148"/>
      <c r="AB958" s="148"/>
      <c r="AC958" s="148"/>
    </row>
    <row r="959" spans="1:29">
      <c r="A959" s="147"/>
      <c r="B959" s="147"/>
      <c r="C959" s="147"/>
      <c r="D959" s="147"/>
      <c r="E959" s="147"/>
      <c r="F959" s="147"/>
      <c r="G959" s="147"/>
      <c r="H959" s="147"/>
      <c r="I959" s="147"/>
      <c r="J959" s="147"/>
      <c r="K959" s="147"/>
      <c r="L959" s="147"/>
      <c r="M959" s="147"/>
      <c r="N959" s="147"/>
      <c r="O959" s="147"/>
      <c r="P959" s="147"/>
      <c r="Q959" s="147"/>
      <c r="R959" s="148"/>
      <c r="S959" s="148"/>
      <c r="T959" s="148"/>
      <c r="U959" s="148"/>
      <c r="V959" s="148"/>
      <c r="W959" s="148"/>
      <c r="X959" s="148"/>
      <c r="Y959" s="148"/>
      <c r="Z959" s="148"/>
      <c r="AA959" s="148"/>
      <c r="AB959" s="148"/>
      <c r="AC959" s="148"/>
    </row>
    <row r="960" spans="1:29">
      <c r="A960" s="147"/>
      <c r="B960" s="147"/>
      <c r="C960" s="147"/>
      <c r="D960" s="147"/>
      <c r="E960" s="147"/>
      <c r="F960" s="147"/>
      <c r="G960" s="147"/>
      <c r="H960" s="147"/>
      <c r="I960" s="147"/>
      <c r="J960" s="147"/>
      <c r="K960" s="147"/>
      <c r="L960" s="147"/>
      <c r="M960" s="147"/>
      <c r="N960" s="147"/>
      <c r="O960" s="147"/>
      <c r="P960" s="147"/>
      <c r="Q960" s="147"/>
      <c r="R960" s="148"/>
      <c r="S960" s="148"/>
      <c r="T960" s="148"/>
      <c r="U960" s="148"/>
      <c r="V960" s="148"/>
      <c r="W960" s="148"/>
      <c r="X960" s="148"/>
      <c r="Y960" s="148"/>
      <c r="Z960" s="148"/>
      <c r="AA960" s="148"/>
      <c r="AB960" s="148"/>
      <c r="AC960" s="148"/>
    </row>
    <row r="961" spans="1:29">
      <c r="A961" s="147"/>
      <c r="B961" s="147"/>
      <c r="C961" s="147"/>
      <c r="D961" s="147"/>
      <c r="E961" s="147"/>
      <c r="F961" s="147"/>
      <c r="G961" s="147"/>
      <c r="H961" s="147"/>
      <c r="I961" s="147"/>
      <c r="J961" s="147"/>
      <c r="K961" s="147"/>
      <c r="L961" s="147"/>
      <c r="M961" s="147"/>
      <c r="N961" s="147"/>
      <c r="O961" s="147"/>
      <c r="P961" s="147"/>
      <c r="Q961" s="147"/>
      <c r="R961" s="148"/>
      <c r="S961" s="148"/>
      <c r="T961" s="148"/>
      <c r="U961" s="148"/>
      <c r="V961" s="148"/>
      <c r="W961" s="148"/>
      <c r="X961" s="148"/>
      <c r="Y961" s="148"/>
      <c r="Z961" s="148"/>
      <c r="AA961" s="148"/>
      <c r="AB961" s="148"/>
      <c r="AC961" s="148"/>
    </row>
    <row r="962" spans="1:29">
      <c r="A962" s="147"/>
      <c r="B962" s="147"/>
      <c r="C962" s="147"/>
      <c r="D962" s="147"/>
      <c r="E962" s="147"/>
      <c r="F962" s="147"/>
      <c r="G962" s="147"/>
      <c r="H962" s="147"/>
      <c r="I962" s="147"/>
      <c r="J962" s="147"/>
      <c r="K962" s="147"/>
      <c r="L962" s="147"/>
      <c r="M962" s="147"/>
      <c r="N962" s="147"/>
      <c r="O962" s="147"/>
      <c r="P962" s="147"/>
      <c r="Q962" s="147"/>
      <c r="R962" s="148"/>
      <c r="S962" s="148"/>
      <c r="T962" s="148"/>
      <c r="U962" s="148"/>
      <c r="V962" s="148"/>
      <c r="W962" s="148"/>
      <c r="X962" s="148"/>
      <c r="Y962" s="148"/>
      <c r="Z962" s="148"/>
      <c r="AA962" s="148"/>
      <c r="AB962" s="148"/>
      <c r="AC962" s="148"/>
    </row>
    <row r="963" spans="1:29">
      <c r="A963" s="147"/>
      <c r="B963" s="147"/>
      <c r="C963" s="147"/>
      <c r="D963" s="147"/>
      <c r="E963" s="147"/>
      <c r="F963" s="147"/>
      <c r="G963" s="147"/>
      <c r="H963" s="147"/>
      <c r="I963" s="147"/>
      <c r="J963" s="147"/>
      <c r="K963" s="147"/>
      <c r="L963" s="147"/>
      <c r="M963" s="147"/>
      <c r="N963" s="147"/>
      <c r="O963" s="147"/>
      <c r="P963" s="147"/>
      <c r="Q963" s="147"/>
      <c r="R963" s="148"/>
      <c r="S963" s="148"/>
      <c r="T963" s="148"/>
      <c r="U963" s="148"/>
      <c r="V963" s="148"/>
      <c r="W963" s="148"/>
      <c r="X963" s="148"/>
      <c r="Y963" s="148"/>
      <c r="Z963" s="148"/>
      <c r="AA963" s="148"/>
      <c r="AB963" s="148"/>
      <c r="AC963" s="148"/>
    </row>
    <row r="964" spans="1:29">
      <c r="A964" s="147"/>
      <c r="B964" s="147"/>
      <c r="C964" s="147"/>
      <c r="D964" s="147"/>
      <c r="E964" s="147"/>
      <c r="F964" s="147"/>
      <c r="G964" s="147"/>
      <c r="H964" s="147"/>
      <c r="I964" s="147"/>
      <c r="J964" s="147"/>
      <c r="K964" s="147"/>
      <c r="L964" s="147"/>
      <c r="M964" s="147"/>
      <c r="N964" s="147"/>
      <c r="O964" s="147"/>
      <c r="P964" s="147"/>
      <c r="Q964" s="147"/>
      <c r="R964" s="148"/>
      <c r="S964" s="148"/>
      <c r="T964" s="148"/>
      <c r="U964" s="148"/>
      <c r="V964" s="148"/>
      <c r="W964" s="148"/>
      <c r="X964" s="148"/>
      <c r="Y964" s="148"/>
      <c r="Z964" s="148"/>
      <c r="AA964" s="148"/>
      <c r="AB964" s="148"/>
      <c r="AC964" s="148"/>
    </row>
    <row r="965" spans="1:29">
      <c r="A965" s="147"/>
      <c r="B965" s="147"/>
      <c r="C965" s="147"/>
      <c r="D965" s="147"/>
      <c r="E965" s="147"/>
      <c r="F965" s="147"/>
      <c r="G965" s="147"/>
      <c r="H965" s="147"/>
      <c r="I965" s="147"/>
      <c r="J965" s="147"/>
      <c r="K965" s="147"/>
      <c r="L965" s="147"/>
      <c r="M965" s="147"/>
      <c r="N965" s="147"/>
      <c r="O965" s="147"/>
      <c r="P965" s="147"/>
      <c r="Q965" s="147"/>
      <c r="R965" s="148"/>
      <c r="S965" s="148"/>
      <c r="T965" s="148"/>
      <c r="U965" s="148"/>
      <c r="V965" s="148"/>
      <c r="W965" s="148"/>
      <c r="X965" s="148"/>
      <c r="Y965" s="148"/>
      <c r="Z965" s="148"/>
      <c r="AA965" s="148"/>
      <c r="AB965" s="148"/>
      <c r="AC965" s="148"/>
    </row>
    <row r="966" spans="1:29">
      <c r="A966" s="147"/>
      <c r="B966" s="147"/>
      <c r="C966" s="147"/>
      <c r="D966" s="147"/>
      <c r="E966" s="147"/>
      <c r="F966" s="147"/>
      <c r="G966" s="147"/>
      <c r="H966" s="147"/>
      <c r="I966" s="147"/>
      <c r="J966" s="147"/>
      <c r="K966" s="147"/>
      <c r="L966" s="147"/>
      <c r="M966" s="147"/>
      <c r="N966" s="147"/>
      <c r="O966" s="147"/>
      <c r="P966" s="147"/>
      <c r="Q966" s="147"/>
      <c r="R966" s="148"/>
      <c r="S966" s="148"/>
      <c r="T966" s="148"/>
      <c r="U966" s="148"/>
      <c r="V966" s="148"/>
      <c r="W966" s="148"/>
      <c r="X966" s="148"/>
      <c r="Y966" s="148"/>
      <c r="Z966" s="148"/>
      <c r="AA966" s="148"/>
      <c r="AB966" s="148"/>
      <c r="AC966" s="148"/>
    </row>
    <row r="967" spans="1:29">
      <c r="A967" s="147"/>
      <c r="B967" s="147"/>
      <c r="C967" s="147"/>
      <c r="D967" s="147"/>
      <c r="E967" s="147"/>
      <c r="F967" s="147"/>
      <c r="G967" s="147"/>
      <c r="H967" s="147"/>
      <c r="I967" s="147"/>
      <c r="J967" s="147"/>
      <c r="K967" s="147"/>
      <c r="L967" s="147"/>
      <c r="M967" s="147"/>
      <c r="N967" s="147"/>
      <c r="O967" s="147"/>
      <c r="P967" s="147"/>
      <c r="Q967" s="147"/>
      <c r="R967" s="148"/>
      <c r="S967" s="148"/>
      <c r="T967" s="148"/>
      <c r="U967" s="148"/>
      <c r="V967" s="148"/>
      <c r="W967" s="148"/>
      <c r="X967" s="148"/>
      <c r="Y967" s="148"/>
      <c r="Z967" s="148"/>
      <c r="AA967" s="148"/>
      <c r="AB967" s="148"/>
      <c r="AC967" s="148"/>
    </row>
    <row r="968" spans="1:29">
      <c r="A968" s="147"/>
      <c r="B968" s="147"/>
      <c r="C968" s="147"/>
      <c r="D968" s="147"/>
      <c r="E968" s="147"/>
      <c r="F968" s="147"/>
      <c r="G968" s="147"/>
      <c r="H968" s="147"/>
      <c r="I968" s="147"/>
      <c r="J968" s="147"/>
      <c r="K968" s="147"/>
      <c r="L968" s="147"/>
      <c r="M968" s="147"/>
      <c r="N968" s="147"/>
      <c r="O968" s="147"/>
      <c r="P968" s="147"/>
      <c r="Q968" s="147"/>
      <c r="R968" s="148"/>
      <c r="S968" s="148"/>
      <c r="T968" s="148"/>
      <c r="U968" s="148"/>
      <c r="V968" s="148"/>
      <c r="W968" s="148"/>
      <c r="X968" s="148"/>
      <c r="Y968" s="148"/>
      <c r="Z968" s="148"/>
      <c r="AA968" s="148"/>
      <c r="AB968" s="148"/>
      <c r="AC968" s="148"/>
    </row>
    <row r="969" spans="1:29">
      <c r="A969" s="147"/>
      <c r="B969" s="147"/>
      <c r="C969" s="147"/>
      <c r="D969" s="147"/>
      <c r="E969" s="147"/>
      <c r="F969" s="147"/>
      <c r="G969" s="147"/>
      <c r="H969" s="147"/>
      <c r="I969" s="147"/>
      <c r="J969" s="147"/>
      <c r="K969" s="147"/>
      <c r="L969" s="147"/>
      <c r="M969" s="147"/>
      <c r="N969" s="147"/>
      <c r="O969" s="147"/>
      <c r="P969" s="147"/>
      <c r="Q969" s="147"/>
      <c r="R969" s="148"/>
      <c r="S969" s="148"/>
      <c r="T969" s="148"/>
      <c r="U969" s="148"/>
      <c r="V969" s="148"/>
      <c r="W969" s="148"/>
      <c r="X969" s="148"/>
      <c r="Y969" s="148"/>
      <c r="Z969" s="148"/>
      <c r="AA969" s="148"/>
      <c r="AB969" s="148"/>
      <c r="AC969" s="148"/>
    </row>
    <row r="970" spans="1:29">
      <c r="A970" s="147"/>
      <c r="B970" s="147"/>
      <c r="C970" s="147"/>
      <c r="D970" s="147"/>
      <c r="E970" s="147"/>
      <c r="F970" s="147"/>
      <c r="G970" s="147"/>
      <c r="H970" s="147"/>
      <c r="I970" s="147"/>
      <c r="J970" s="147"/>
      <c r="K970" s="147"/>
      <c r="L970" s="147"/>
      <c r="M970" s="147"/>
      <c r="N970" s="147"/>
      <c r="O970" s="147"/>
      <c r="P970" s="147"/>
      <c r="Q970" s="147"/>
      <c r="R970" s="148"/>
      <c r="S970" s="148"/>
      <c r="T970" s="148"/>
      <c r="U970" s="148"/>
      <c r="V970" s="148"/>
      <c r="W970" s="148"/>
      <c r="X970" s="148"/>
      <c r="Y970" s="148"/>
      <c r="Z970" s="148"/>
      <c r="AA970" s="148"/>
      <c r="AB970" s="148"/>
      <c r="AC970" s="148"/>
    </row>
    <row r="971" spans="1:29">
      <c r="A971" s="147"/>
      <c r="B971" s="147"/>
      <c r="C971" s="147"/>
      <c r="D971" s="147"/>
      <c r="E971" s="147"/>
      <c r="F971" s="147"/>
      <c r="G971" s="147"/>
      <c r="H971" s="147"/>
      <c r="I971" s="147"/>
      <c r="J971" s="147"/>
      <c r="K971" s="147"/>
      <c r="L971" s="147"/>
      <c r="M971" s="147"/>
      <c r="N971" s="147"/>
      <c r="O971" s="147"/>
      <c r="P971" s="147"/>
      <c r="Q971" s="147"/>
      <c r="R971" s="148"/>
      <c r="S971" s="148"/>
      <c r="T971" s="148"/>
      <c r="U971" s="148"/>
      <c r="V971" s="148"/>
      <c r="W971" s="148"/>
      <c r="X971" s="148"/>
      <c r="Y971" s="148"/>
      <c r="Z971" s="148"/>
      <c r="AA971" s="148"/>
      <c r="AB971" s="148"/>
      <c r="AC971" s="148"/>
    </row>
    <row r="972" spans="1:29">
      <c r="A972" s="147"/>
      <c r="B972" s="147"/>
      <c r="C972" s="147"/>
      <c r="D972" s="147"/>
      <c r="E972" s="147"/>
      <c r="F972" s="147"/>
      <c r="G972" s="147"/>
      <c r="H972" s="147"/>
      <c r="I972" s="147"/>
      <c r="J972" s="147"/>
      <c r="K972" s="147"/>
      <c r="L972" s="147"/>
      <c r="M972" s="147"/>
      <c r="N972" s="147"/>
      <c r="O972" s="147"/>
      <c r="P972" s="147"/>
      <c r="Q972" s="147"/>
      <c r="R972" s="148"/>
      <c r="S972" s="148"/>
      <c r="T972" s="148"/>
      <c r="U972" s="148"/>
      <c r="V972" s="148"/>
      <c r="W972" s="148"/>
      <c r="X972" s="148"/>
      <c r="Y972" s="148"/>
      <c r="Z972" s="148"/>
      <c r="AA972" s="148"/>
      <c r="AB972" s="148"/>
      <c r="AC972" s="148"/>
    </row>
    <row r="973" spans="1:29">
      <c r="A973" s="147"/>
      <c r="B973" s="147"/>
      <c r="C973" s="147"/>
      <c r="D973" s="147"/>
      <c r="E973" s="147"/>
      <c r="F973" s="147"/>
      <c r="G973" s="147"/>
      <c r="H973" s="147"/>
      <c r="I973" s="147"/>
      <c r="J973" s="147"/>
      <c r="K973" s="147"/>
      <c r="L973" s="147"/>
      <c r="M973" s="147"/>
      <c r="N973" s="147"/>
      <c r="O973" s="147"/>
      <c r="P973" s="147"/>
      <c r="Q973" s="147"/>
      <c r="R973" s="148"/>
      <c r="S973" s="148"/>
      <c r="T973" s="148"/>
      <c r="U973" s="148"/>
      <c r="V973" s="148"/>
      <c r="W973" s="148"/>
      <c r="X973" s="148"/>
      <c r="Y973" s="148"/>
      <c r="Z973" s="148"/>
      <c r="AA973" s="148"/>
      <c r="AB973" s="148"/>
      <c r="AC973" s="148"/>
    </row>
    <row r="974" spans="1:29">
      <c r="A974" s="147"/>
      <c r="B974" s="147"/>
      <c r="C974" s="147"/>
      <c r="D974" s="147"/>
      <c r="E974" s="147"/>
      <c r="F974" s="147"/>
      <c r="G974" s="147"/>
      <c r="H974" s="147"/>
      <c r="I974" s="147"/>
      <c r="J974" s="147"/>
      <c r="K974" s="147"/>
      <c r="L974" s="147"/>
      <c r="M974" s="147"/>
      <c r="N974" s="147"/>
      <c r="O974" s="147"/>
      <c r="P974" s="147"/>
      <c r="Q974" s="147"/>
      <c r="R974" s="148"/>
      <c r="S974" s="148"/>
      <c r="T974" s="148"/>
      <c r="U974" s="148"/>
      <c r="V974" s="148"/>
      <c r="W974" s="148"/>
      <c r="X974" s="148"/>
      <c r="Y974" s="148"/>
      <c r="Z974" s="148"/>
      <c r="AA974" s="148"/>
      <c r="AB974" s="148"/>
      <c r="AC974" s="148"/>
    </row>
    <row r="975" spans="1:29">
      <c r="A975" s="147"/>
      <c r="B975" s="147"/>
      <c r="C975" s="147"/>
      <c r="D975" s="147"/>
      <c r="E975" s="147"/>
      <c r="F975" s="147"/>
      <c r="G975" s="147"/>
      <c r="H975" s="147"/>
      <c r="I975" s="147"/>
      <c r="J975" s="147"/>
      <c r="K975" s="147"/>
      <c r="L975" s="147"/>
      <c r="M975" s="147"/>
      <c r="N975" s="147"/>
      <c r="O975" s="147"/>
      <c r="P975" s="147"/>
      <c r="Q975" s="147"/>
      <c r="R975" s="148"/>
      <c r="S975" s="148"/>
      <c r="T975" s="148"/>
      <c r="U975" s="148"/>
      <c r="V975" s="148"/>
      <c r="W975" s="148"/>
      <c r="X975" s="148"/>
      <c r="Y975" s="148"/>
      <c r="Z975" s="148"/>
      <c r="AA975" s="148"/>
      <c r="AB975" s="148"/>
      <c r="AC975" s="148"/>
    </row>
    <row r="976" spans="1:29">
      <c r="A976" s="147"/>
      <c r="B976" s="147"/>
      <c r="C976" s="147"/>
      <c r="D976" s="147"/>
      <c r="E976" s="147"/>
      <c r="F976" s="147"/>
      <c r="G976" s="147"/>
      <c r="H976" s="147"/>
      <c r="I976" s="147"/>
      <c r="J976" s="147"/>
      <c r="K976" s="147"/>
      <c r="L976" s="147"/>
      <c r="M976" s="147"/>
      <c r="N976" s="147"/>
      <c r="O976" s="147"/>
      <c r="P976" s="147"/>
      <c r="Q976" s="147"/>
      <c r="R976" s="148"/>
      <c r="S976" s="148"/>
      <c r="T976" s="148"/>
      <c r="U976" s="148"/>
      <c r="V976" s="148"/>
      <c r="W976" s="148"/>
      <c r="X976" s="148"/>
      <c r="Y976" s="148"/>
      <c r="Z976" s="148"/>
      <c r="AA976" s="148"/>
      <c r="AB976" s="148"/>
      <c r="AC976" s="148"/>
    </row>
    <row r="977" spans="1:29">
      <c r="A977" s="147"/>
      <c r="B977" s="147"/>
      <c r="C977" s="147"/>
      <c r="D977" s="147"/>
      <c r="E977" s="147"/>
      <c r="F977" s="147"/>
      <c r="G977" s="147"/>
      <c r="H977" s="147"/>
      <c r="I977" s="147"/>
      <c r="J977" s="147"/>
      <c r="K977" s="147"/>
      <c r="L977" s="147"/>
      <c r="M977" s="147"/>
      <c r="N977" s="147"/>
      <c r="O977" s="147"/>
      <c r="P977" s="147"/>
      <c r="Q977" s="147"/>
      <c r="R977" s="148"/>
      <c r="S977" s="148"/>
      <c r="T977" s="148"/>
      <c r="U977" s="148"/>
      <c r="V977" s="148"/>
      <c r="W977" s="148"/>
      <c r="X977" s="148"/>
      <c r="Y977" s="148"/>
      <c r="Z977" s="148"/>
      <c r="AA977" s="148"/>
      <c r="AB977" s="148"/>
      <c r="AC977" s="148"/>
    </row>
    <row r="978" spans="1:29">
      <c r="A978" s="147"/>
      <c r="B978" s="147"/>
      <c r="C978" s="147"/>
      <c r="D978" s="147"/>
      <c r="E978" s="147"/>
      <c r="F978" s="147"/>
      <c r="G978" s="147"/>
      <c r="H978" s="147"/>
      <c r="I978" s="147"/>
      <c r="J978" s="147"/>
      <c r="K978" s="147"/>
      <c r="L978" s="147"/>
      <c r="M978" s="147"/>
      <c r="N978" s="147"/>
      <c r="O978" s="147"/>
      <c r="P978" s="147"/>
      <c r="Q978" s="147"/>
      <c r="R978" s="148"/>
      <c r="S978" s="148"/>
      <c r="T978" s="148"/>
      <c r="U978" s="148"/>
      <c r="V978" s="148"/>
      <c r="W978" s="148"/>
      <c r="X978" s="148"/>
      <c r="Y978" s="148"/>
      <c r="Z978" s="148"/>
      <c r="AA978" s="148"/>
      <c r="AB978" s="148"/>
      <c r="AC978" s="148"/>
    </row>
    <row r="979" spans="1:29">
      <c r="A979" s="147"/>
      <c r="B979" s="147"/>
      <c r="C979" s="147"/>
      <c r="D979" s="147"/>
      <c r="E979" s="147"/>
      <c r="F979" s="147"/>
      <c r="G979" s="147"/>
      <c r="H979" s="147"/>
      <c r="I979" s="147"/>
      <c r="J979" s="147"/>
      <c r="K979" s="147"/>
      <c r="L979" s="147"/>
      <c r="M979" s="147"/>
      <c r="N979" s="147"/>
      <c r="O979" s="147"/>
      <c r="P979" s="147"/>
      <c r="Q979" s="147"/>
      <c r="R979" s="148"/>
      <c r="S979" s="148"/>
      <c r="T979" s="148"/>
      <c r="U979" s="148"/>
      <c r="V979" s="148"/>
      <c r="W979" s="148"/>
      <c r="X979" s="148"/>
      <c r="Y979" s="148"/>
      <c r="Z979" s="148"/>
      <c r="AA979" s="148"/>
      <c r="AB979" s="148"/>
      <c r="AC979" s="148"/>
    </row>
    <row r="980" spans="1:29">
      <c r="A980" s="147"/>
      <c r="B980" s="147"/>
      <c r="C980" s="147"/>
      <c r="D980" s="147"/>
      <c r="E980" s="147"/>
      <c r="F980" s="147"/>
      <c r="G980" s="147"/>
      <c r="H980" s="147"/>
      <c r="I980" s="147"/>
      <c r="J980" s="147"/>
      <c r="K980" s="147"/>
      <c r="L980" s="147"/>
      <c r="M980" s="147"/>
      <c r="N980" s="147"/>
      <c r="O980" s="147"/>
      <c r="P980" s="147"/>
      <c r="Q980" s="147"/>
      <c r="R980" s="148"/>
      <c r="S980" s="148"/>
      <c r="T980" s="148"/>
      <c r="U980" s="148"/>
      <c r="V980" s="148"/>
      <c r="W980" s="148"/>
      <c r="X980" s="148"/>
      <c r="Y980" s="148"/>
      <c r="Z980" s="148"/>
      <c r="AA980" s="148"/>
      <c r="AB980" s="148"/>
      <c r="AC980" s="148"/>
    </row>
    <row r="981" spans="1:29">
      <c r="A981" s="147"/>
      <c r="B981" s="147"/>
      <c r="C981" s="147"/>
      <c r="D981" s="147"/>
      <c r="E981" s="147"/>
      <c r="F981" s="147"/>
      <c r="G981" s="147"/>
      <c r="H981" s="147"/>
      <c r="I981" s="147"/>
      <c r="J981" s="147"/>
      <c r="K981" s="147"/>
      <c r="L981" s="147"/>
      <c r="M981" s="147"/>
      <c r="N981" s="147"/>
      <c r="O981" s="147"/>
      <c r="P981" s="147"/>
      <c r="Q981" s="147"/>
      <c r="R981" s="148"/>
      <c r="S981" s="148"/>
      <c r="T981" s="148"/>
      <c r="U981" s="148"/>
      <c r="V981" s="148"/>
      <c r="W981" s="148"/>
      <c r="X981" s="148"/>
      <c r="Y981" s="148"/>
      <c r="Z981" s="148"/>
      <c r="AA981" s="148"/>
      <c r="AB981" s="148"/>
      <c r="AC981" s="148"/>
    </row>
    <row r="982" spans="1:29">
      <c r="A982" s="147"/>
      <c r="B982" s="147"/>
      <c r="C982" s="147"/>
      <c r="D982" s="147"/>
      <c r="E982" s="147"/>
      <c r="F982" s="147"/>
      <c r="G982" s="147"/>
      <c r="H982" s="147"/>
      <c r="I982" s="147"/>
      <c r="J982" s="147"/>
      <c r="K982" s="147"/>
      <c r="L982" s="147"/>
      <c r="M982" s="147"/>
      <c r="N982" s="147"/>
      <c r="O982" s="147"/>
      <c r="P982" s="147"/>
      <c r="Q982" s="147"/>
      <c r="R982" s="148"/>
      <c r="S982" s="148"/>
      <c r="T982" s="148"/>
      <c r="U982" s="148"/>
      <c r="V982" s="148"/>
      <c r="W982" s="148"/>
      <c r="X982" s="148"/>
      <c r="Y982" s="148"/>
      <c r="Z982" s="148"/>
      <c r="AA982" s="148"/>
      <c r="AB982" s="148"/>
      <c r="AC982" s="148"/>
    </row>
    <row r="983" spans="1:29">
      <c r="A983" s="147"/>
      <c r="B983" s="147"/>
      <c r="C983" s="147"/>
      <c r="D983" s="147"/>
      <c r="E983" s="147"/>
      <c r="F983" s="147"/>
      <c r="G983" s="147"/>
      <c r="H983" s="147"/>
      <c r="I983" s="147"/>
      <c r="J983" s="147"/>
      <c r="K983" s="147"/>
      <c r="L983" s="147"/>
      <c r="M983" s="147"/>
      <c r="N983" s="147"/>
      <c r="O983" s="147"/>
      <c r="P983" s="147"/>
      <c r="Q983" s="147"/>
      <c r="R983" s="148"/>
      <c r="S983" s="148"/>
      <c r="T983" s="148"/>
      <c r="U983" s="148"/>
      <c r="V983" s="148"/>
      <c r="W983" s="148"/>
      <c r="X983" s="148"/>
      <c r="Y983" s="148"/>
      <c r="Z983" s="148"/>
      <c r="AA983" s="148"/>
      <c r="AB983" s="148"/>
      <c r="AC983" s="148"/>
    </row>
    <row r="984" spans="1:29">
      <c r="A984" s="147"/>
      <c r="B984" s="147"/>
      <c r="C984" s="147"/>
      <c r="D984" s="147"/>
      <c r="E984" s="147"/>
      <c r="F984" s="147"/>
      <c r="G984" s="147"/>
      <c r="H984" s="147"/>
      <c r="I984" s="147"/>
      <c r="J984" s="147"/>
      <c r="K984" s="147"/>
      <c r="L984" s="147"/>
      <c r="M984" s="147"/>
      <c r="N984" s="147"/>
      <c r="O984" s="147"/>
      <c r="P984" s="147"/>
      <c r="Q984" s="147"/>
      <c r="R984" s="148"/>
      <c r="S984" s="148"/>
      <c r="T984" s="148"/>
      <c r="U984" s="148"/>
      <c r="V984" s="148"/>
      <c r="W984" s="148"/>
      <c r="X984" s="148"/>
      <c r="Y984" s="148"/>
      <c r="Z984" s="148"/>
      <c r="AA984" s="148"/>
      <c r="AB984" s="148"/>
      <c r="AC984" s="148"/>
    </row>
    <row r="985" spans="1:29">
      <c r="A985" s="147"/>
      <c r="B985" s="147"/>
      <c r="C985" s="147"/>
      <c r="D985" s="147"/>
      <c r="E985" s="147"/>
      <c r="F985" s="147"/>
      <c r="G985" s="147"/>
      <c r="H985" s="147"/>
      <c r="I985" s="147"/>
      <c r="J985" s="147"/>
      <c r="K985" s="147"/>
      <c r="L985" s="147"/>
      <c r="M985" s="147"/>
      <c r="N985" s="147"/>
      <c r="O985" s="147"/>
      <c r="P985" s="147"/>
      <c r="Q985" s="147"/>
      <c r="R985" s="148"/>
      <c r="S985" s="148"/>
      <c r="T985" s="148"/>
      <c r="U985" s="148"/>
      <c r="V985" s="148"/>
      <c r="W985" s="148"/>
      <c r="X985" s="148"/>
      <c r="Y985" s="148"/>
      <c r="Z985" s="148"/>
      <c r="AA985" s="148"/>
      <c r="AB985" s="148"/>
      <c r="AC985" s="148"/>
    </row>
    <row r="986" spans="1:29">
      <c r="A986" s="147"/>
      <c r="B986" s="147"/>
      <c r="C986" s="147"/>
      <c r="D986" s="147"/>
      <c r="E986" s="147"/>
      <c r="F986" s="147"/>
      <c r="G986" s="147"/>
      <c r="H986" s="147"/>
      <c r="I986" s="147"/>
      <c r="J986" s="147"/>
      <c r="K986" s="147"/>
      <c r="L986" s="147"/>
      <c r="M986" s="147"/>
      <c r="N986" s="147"/>
      <c r="O986" s="147"/>
      <c r="P986" s="147"/>
      <c r="Q986" s="147"/>
      <c r="R986" s="148"/>
      <c r="S986" s="148"/>
      <c r="T986" s="148"/>
      <c r="U986" s="148"/>
      <c r="V986" s="148"/>
      <c r="W986" s="148"/>
      <c r="X986" s="148"/>
      <c r="Y986" s="148"/>
      <c r="Z986" s="148"/>
      <c r="AA986" s="148"/>
      <c r="AB986" s="148"/>
      <c r="AC986" s="148"/>
    </row>
    <row r="987" spans="1:29">
      <c r="A987" s="147"/>
      <c r="B987" s="147"/>
      <c r="C987" s="147"/>
      <c r="D987" s="147"/>
      <c r="E987" s="147"/>
      <c r="F987" s="147"/>
      <c r="G987" s="147"/>
      <c r="H987" s="147"/>
      <c r="I987" s="147"/>
      <c r="J987" s="147"/>
      <c r="K987" s="147"/>
      <c r="L987" s="147"/>
      <c r="M987" s="147"/>
      <c r="N987" s="147"/>
      <c r="O987" s="147"/>
      <c r="P987" s="147"/>
      <c r="Q987" s="147"/>
      <c r="R987" s="148"/>
      <c r="S987" s="148"/>
      <c r="T987" s="148"/>
      <c r="U987" s="148"/>
      <c r="V987" s="148"/>
      <c r="W987" s="148"/>
      <c r="X987" s="148"/>
      <c r="Y987" s="148"/>
      <c r="Z987" s="148"/>
      <c r="AA987" s="148"/>
      <c r="AB987" s="148"/>
      <c r="AC987" s="148"/>
    </row>
    <row r="988" spans="1:29">
      <c r="A988" s="147"/>
      <c r="B988" s="147"/>
      <c r="C988" s="147"/>
      <c r="D988" s="147"/>
      <c r="E988" s="147"/>
      <c r="F988" s="147"/>
      <c r="G988" s="147"/>
      <c r="H988" s="147"/>
      <c r="I988" s="147"/>
      <c r="J988" s="147"/>
      <c r="K988" s="147"/>
      <c r="L988" s="147"/>
      <c r="M988" s="147"/>
      <c r="N988" s="147"/>
      <c r="O988" s="147"/>
      <c r="P988" s="147"/>
      <c r="Q988" s="147"/>
      <c r="R988" s="148"/>
      <c r="S988" s="148"/>
      <c r="T988" s="148"/>
      <c r="U988" s="148"/>
      <c r="V988" s="148"/>
      <c r="W988" s="148"/>
      <c r="X988" s="148"/>
      <c r="Y988" s="148"/>
      <c r="Z988" s="148"/>
      <c r="AA988" s="148"/>
      <c r="AB988" s="148"/>
      <c r="AC988" s="148"/>
    </row>
    <row r="989" spans="1:29">
      <c r="A989" s="147"/>
      <c r="B989" s="147"/>
      <c r="C989" s="147"/>
      <c r="D989" s="147"/>
      <c r="E989" s="147"/>
      <c r="F989" s="147"/>
      <c r="G989" s="147"/>
      <c r="H989" s="147"/>
      <c r="I989" s="147"/>
      <c r="J989" s="147"/>
      <c r="K989" s="147"/>
      <c r="L989" s="147"/>
      <c r="M989" s="147"/>
      <c r="N989" s="147"/>
      <c r="O989" s="147"/>
      <c r="P989" s="147"/>
      <c r="Q989" s="147"/>
      <c r="R989" s="148"/>
      <c r="S989" s="148"/>
      <c r="T989" s="148"/>
      <c r="U989" s="148"/>
      <c r="V989" s="148"/>
      <c r="W989" s="148"/>
      <c r="X989" s="148"/>
      <c r="Y989" s="148"/>
      <c r="Z989" s="148"/>
      <c r="AA989" s="148"/>
      <c r="AB989" s="148"/>
      <c r="AC989" s="148"/>
    </row>
    <row r="990" spans="1:29">
      <c r="A990" s="147"/>
      <c r="B990" s="147"/>
      <c r="C990" s="147"/>
      <c r="D990" s="147"/>
      <c r="E990" s="147"/>
      <c r="F990" s="147"/>
      <c r="G990" s="147"/>
      <c r="H990" s="147"/>
      <c r="I990" s="147"/>
      <c r="J990" s="147"/>
      <c r="K990" s="147"/>
      <c r="L990" s="147"/>
      <c r="M990" s="147"/>
      <c r="N990" s="147"/>
      <c r="O990" s="147"/>
      <c r="P990" s="147"/>
      <c r="Q990" s="147"/>
      <c r="R990" s="148"/>
      <c r="S990" s="148"/>
      <c r="T990" s="148"/>
      <c r="U990" s="148"/>
      <c r="V990" s="148"/>
      <c r="W990" s="148"/>
      <c r="X990" s="148"/>
      <c r="Y990" s="148"/>
      <c r="Z990" s="148"/>
      <c r="AA990" s="148"/>
      <c r="AB990" s="148"/>
      <c r="AC990" s="148"/>
    </row>
    <row r="991" spans="1:29">
      <c r="A991" s="147"/>
      <c r="B991" s="147"/>
      <c r="C991" s="147"/>
      <c r="D991" s="147"/>
      <c r="E991" s="147"/>
      <c r="F991" s="147"/>
      <c r="G991" s="147"/>
      <c r="H991" s="147"/>
      <c r="I991" s="147"/>
      <c r="J991" s="147"/>
      <c r="K991" s="147"/>
      <c r="L991" s="147"/>
      <c r="M991" s="147"/>
      <c r="N991" s="147"/>
      <c r="O991" s="147"/>
      <c r="P991" s="147"/>
      <c r="Q991" s="147"/>
      <c r="R991" s="148"/>
      <c r="S991" s="148"/>
      <c r="T991" s="148"/>
      <c r="U991" s="148"/>
      <c r="V991" s="148"/>
      <c r="W991" s="148"/>
      <c r="X991" s="148"/>
      <c r="Y991" s="148"/>
      <c r="Z991" s="148"/>
      <c r="AA991" s="148"/>
      <c r="AB991" s="148"/>
      <c r="AC991" s="148"/>
    </row>
    <row r="992" spans="1:29">
      <c r="A992" s="147"/>
      <c r="B992" s="147"/>
      <c r="C992" s="147"/>
      <c r="D992" s="147"/>
      <c r="E992" s="147"/>
      <c r="F992" s="147"/>
      <c r="G992" s="147"/>
      <c r="H992" s="147"/>
      <c r="I992" s="147"/>
      <c r="J992" s="147"/>
      <c r="K992" s="147"/>
      <c r="L992" s="147"/>
      <c r="M992" s="147"/>
      <c r="N992" s="147"/>
      <c r="O992" s="147"/>
      <c r="P992" s="147"/>
      <c r="Q992" s="147"/>
      <c r="R992" s="148"/>
      <c r="S992" s="148"/>
      <c r="T992" s="148"/>
      <c r="U992" s="148"/>
      <c r="V992" s="148"/>
      <c r="W992" s="148"/>
      <c r="X992" s="148"/>
      <c r="Y992" s="148"/>
      <c r="Z992" s="148"/>
      <c r="AA992" s="148"/>
      <c r="AB992" s="148"/>
      <c r="AC992" s="148"/>
    </row>
    <row r="993" spans="1:29">
      <c r="A993" s="147"/>
      <c r="B993" s="147"/>
      <c r="C993" s="147"/>
      <c r="D993" s="147"/>
      <c r="E993" s="147"/>
      <c r="F993" s="147"/>
      <c r="G993" s="147"/>
      <c r="H993" s="147"/>
      <c r="I993" s="147"/>
      <c r="J993" s="147"/>
      <c r="K993" s="147"/>
      <c r="L993" s="147"/>
      <c r="M993" s="147"/>
      <c r="N993" s="147"/>
      <c r="O993" s="147"/>
      <c r="P993" s="147"/>
      <c r="Q993" s="147"/>
      <c r="R993" s="148"/>
      <c r="S993" s="148"/>
      <c r="T993" s="148"/>
      <c r="U993" s="148"/>
      <c r="V993" s="148"/>
      <c r="W993" s="148"/>
      <c r="X993" s="148"/>
      <c r="Y993" s="148"/>
      <c r="Z993" s="148"/>
      <c r="AA993" s="148"/>
      <c r="AB993" s="148"/>
      <c r="AC993" s="148"/>
    </row>
    <row r="994" spans="1:29">
      <c r="A994" s="147"/>
      <c r="B994" s="147"/>
      <c r="C994" s="147"/>
      <c r="D994" s="147"/>
      <c r="E994" s="147"/>
      <c r="F994" s="147"/>
      <c r="G994" s="147"/>
      <c r="H994" s="147"/>
      <c r="I994" s="147"/>
      <c r="J994" s="147"/>
      <c r="K994" s="147"/>
      <c r="L994" s="147"/>
      <c r="M994" s="147"/>
      <c r="N994" s="147"/>
      <c r="O994" s="147"/>
      <c r="P994" s="147"/>
      <c r="Q994" s="147"/>
      <c r="R994" s="148"/>
      <c r="S994" s="148"/>
      <c r="T994" s="148"/>
      <c r="U994" s="148"/>
      <c r="V994" s="148"/>
      <c r="W994" s="148"/>
      <c r="X994" s="148"/>
      <c r="Y994" s="148"/>
      <c r="Z994" s="148"/>
      <c r="AA994" s="148"/>
      <c r="AB994" s="148"/>
      <c r="AC994" s="148"/>
    </row>
    <row r="995" spans="1:29">
      <c r="A995" s="147"/>
      <c r="B995" s="147"/>
      <c r="C995" s="147"/>
      <c r="D995" s="147"/>
      <c r="E995" s="147"/>
      <c r="F995" s="147"/>
      <c r="G995" s="147"/>
      <c r="H995" s="147"/>
      <c r="I995" s="147"/>
      <c r="J995" s="147"/>
      <c r="K995" s="147"/>
      <c r="L995" s="147"/>
      <c r="M995" s="147"/>
      <c r="N995" s="147"/>
      <c r="O995" s="147"/>
      <c r="P995" s="147"/>
      <c r="Q995" s="147"/>
      <c r="R995" s="148"/>
      <c r="S995" s="148"/>
      <c r="T995" s="148"/>
      <c r="U995" s="148"/>
      <c r="V995" s="148"/>
      <c r="W995" s="148"/>
      <c r="X995" s="148"/>
      <c r="Y995" s="148"/>
      <c r="Z995" s="148"/>
      <c r="AA995" s="148"/>
      <c r="AB995" s="148"/>
      <c r="AC995" s="148"/>
    </row>
    <row r="996" spans="1:29">
      <c r="A996" s="147"/>
      <c r="B996" s="147"/>
      <c r="C996" s="147"/>
      <c r="D996" s="147"/>
      <c r="E996" s="147"/>
      <c r="F996" s="147"/>
      <c r="G996" s="147"/>
      <c r="H996" s="147"/>
      <c r="I996" s="147"/>
      <c r="J996" s="147"/>
      <c r="K996" s="147"/>
      <c r="L996" s="147"/>
      <c r="M996" s="147"/>
      <c r="N996" s="147"/>
      <c r="O996" s="147"/>
      <c r="P996" s="147"/>
      <c r="Q996" s="147"/>
      <c r="R996" s="148"/>
      <c r="S996" s="148"/>
      <c r="T996" s="148"/>
      <c r="U996" s="148"/>
      <c r="V996" s="148"/>
      <c r="W996" s="148"/>
      <c r="X996" s="148"/>
      <c r="Y996" s="148"/>
      <c r="Z996" s="148"/>
      <c r="AA996" s="148"/>
      <c r="AB996" s="148"/>
      <c r="AC996" s="148"/>
    </row>
    <row r="997" spans="1:29">
      <c r="A997" s="147"/>
      <c r="B997" s="147"/>
      <c r="C997" s="147"/>
      <c r="D997" s="147"/>
      <c r="E997" s="147"/>
      <c r="F997" s="147"/>
      <c r="G997" s="147"/>
      <c r="H997" s="147"/>
      <c r="I997" s="147"/>
      <c r="J997" s="147"/>
      <c r="K997" s="147"/>
      <c r="L997" s="147"/>
      <c r="M997" s="147"/>
      <c r="N997" s="147"/>
      <c r="O997" s="147"/>
      <c r="P997" s="147"/>
      <c r="Q997" s="147"/>
      <c r="R997" s="148"/>
      <c r="S997" s="148"/>
      <c r="T997" s="148"/>
      <c r="U997" s="148"/>
      <c r="V997" s="148"/>
      <c r="W997" s="148"/>
      <c r="X997" s="148"/>
      <c r="Y997" s="148"/>
      <c r="Z997" s="148"/>
      <c r="AA997" s="148"/>
      <c r="AB997" s="148"/>
      <c r="AC997" s="148"/>
    </row>
    <row r="998" spans="1:29">
      <c r="A998" s="147"/>
      <c r="B998" s="147"/>
      <c r="C998" s="147"/>
      <c r="D998" s="147"/>
      <c r="E998" s="147"/>
      <c r="F998" s="147"/>
      <c r="G998" s="147"/>
      <c r="H998" s="147"/>
      <c r="I998" s="147"/>
      <c r="J998" s="147"/>
      <c r="K998" s="147"/>
      <c r="L998" s="147"/>
      <c r="M998" s="147"/>
      <c r="N998" s="147"/>
      <c r="O998" s="147"/>
      <c r="P998" s="147"/>
      <c r="Q998" s="147"/>
      <c r="R998" s="148"/>
      <c r="S998" s="148"/>
      <c r="T998" s="148"/>
      <c r="U998" s="148"/>
      <c r="V998" s="148"/>
      <c r="W998" s="148"/>
      <c r="X998" s="148"/>
      <c r="Y998" s="148"/>
      <c r="Z998" s="148"/>
      <c r="AA998" s="148"/>
      <c r="AB998" s="148"/>
      <c r="AC998" s="148"/>
    </row>
    <row r="999" spans="1:29">
      <c r="A999" s="147"/>
      <c r="B999" s="147"/>
      <c r="C999" s="147"/>
      <c r="D999" s="147"/>
      <c r="E999" s="147"/>
      <c r="F999" s="147"/>
      <c r="G999" s="147"/>
      <c r="H999" s="147"/>
      <c r="I999" s="147"/>
      <c r="J999" s="147"/>
      <c r="K999" s="147"/>
      <c r="L999" s="147"/>
      <c r="M999" s="147"/>
      <c r="N999" s="147"/>
      <c r="O999" s="147"/>
      <c r="P999" s="147"/>
      <c r="Q999" s="147"/>
      <c r="R999" s="148"/>
      <c r="S999" s="148"/>
      <c r="T999" s="148"/>
      <c r="U999" s="148"/>
      <c r="V999" s="148"/>
      <c r="W999" s="148"/>
      <c r="X999" s="148"/>
      <c r="Y999" s="148"/>
      <c r="Z999" s="148"/>
      <c r="AA999" s="148"/>
      <c r="AB999" s="148"/>
      <c r="AC999" s="148"/>
    </row>
    <row r="1000" spans="1:29">
      <c r="A1000" s="147"/>
      <c r="B1000" s="147"/>
      <c r="C1000" s="147"/>
      <c r="D1000" s="147"/>
      <c r="E1000" s="147"/>
      <c r="F1000" s="147"/>
      <c r="G1000" s="147"/>
      <c r="H1000" s="147"/>
      <c r="I1000" s="147"/>
      <c r="J1000" s="147"/>
      <c r="K1000" s="147"/>
      <c r="L1000" s="147"/>
      <c r="M1000" s="147"/>
      <c r="N1000" s="147"/>
      <c r="O1000" s="147"/>
      <c r="P1000" s="147"/>
      <c r="Q1000" s="147"/>
      <c r="R1000" s="148"/>
      <c r="S1000" s="148"/>
      <c r="T1000" s="148"/>
      <c r="U1000" s="148"/>
      <c r="V1000" s="148"/>
      <c r="W1000" s="148"/>
      <c r="X1000" s="148"/>
      <c r="Y1000" s="148"/>
      <c r="Z1000" s="148"/>
      <c r="AA1000" s="148"/>
      <c r="AB1000" s="148"/>
      <c r="AC1000" s="148"/>
    </row>
    <row r="1001" spans="1:29">
      <c r="A1001" s="147"/>
      <c r="B1001" s="147"/>
      <c r="C1001" s="147"/>
      <c r="D1001" s="147"/>
      <c r="E1001" s="147"/>
      <c r="F1001" s="147"/>
      <c r="G1001" s="147"/>
      <c r="H1001" s="147"/>
      <c r="I1001" s="147"/>
      <c r="J1001" s="147"/>
      <c r="K1001" s="147"/>
      <c r="L1001" s="147"/>
      <c r="M1001" s="147"/>
      <c r="N1001" s="147"/>
      <c r="O1001" s="147"/>
      <c r="P1001" s="147"/>
      <c r="Q1001" s="147"/>
      <c r="R1001" s="148"/>
      <c r="S1001" s="148"/>
      <c r="T1001" s="148"/>
      <c r="U1001" s="148"/>
      <c r="V1001" s="148"/>
      <c r="W1001" s="148"/>
      <c r="X1001" s="148"/>
      <c r="Y1001" s="148"/>
      <c r="Z1001" s="148"/>
      <c r="AA1001" s="148"/>
      <c r="AB1001" s="148"/>
      <c r="AC1001" s="148"/>
    </row>
    <row r="1002" spans="1:29">
      <c r="A1002" s="147"/>
      <c r="B1002" s="147"/>
      <c r="C1002" s="147"/>
      <c r="D1002" s="147"/>
      <c r="E1002" s="147"/>
      <c r="F1002" s="147"/>
      <c r="G1002" s="147"/>
      <c r="H1002" s="147"/>
      <c r="I1002" s="147"/>
      <c r="J1002" s="147"/>
      <c r="K1002" s="147"/>
      <c r="L1002" s="147"/>
      <c r="M1002" s="147"/>
      <c r="N1002" s="147"/>
      <c r="O1002" s="147"/>
      <c r="P1002" s="147"/>
      <c r="Q1002" s="147"/>
      <c r="R1002" s="148"/>
      <c r="S1002" s="148"/>
      <c r="T1002" s="148"/>
      <c r="U1002" s="148"/>
      <c r="V1002" s="148"/>
      <c r="W1002" s="148"/>
      <c r="X1002" s="148"/>
      <c r="Y1002" s="148"/>
      <c r="Z1002" s="148"/>
      <c r="AA1002" s="148"/>
      <c r="AB1002" s="148"/>
      <c r="AC1002" s="148"/>
    </row>
    <row r="1003" spans="1:29">
      <c r="A1003" s="147"/>
      <c r="B1003" s="147"/>
      <c r="C1003" s="147"/>
      <c r="D1003" s="147"/>
      <c r="E1003" s="147"/>
      <c r="F1003" s="147"/>
      <c r="G1003" s="147"/>
      <c r="H1003" s="147"/>
      <c r="I1003" s="147"/>
      <c r="J1003" s="147"/>
      <c r="K1003" s="147"/>
      <c r="L1003" s="147"/>
      <c r="M1003" s="147"/>
      <c r="N1003" s="147"/>
      <c r="O1003" s="147"/>
      <c r="P1003" s="147"/>
      <c r="Q1003" s="147"/>
      <c r="R1003" s="148"/>
      <c r="S1003" s="148"/>
      <c r="T1003" s="148"/>
      <c r="U1003" s="148"/>
      <c r="V1003" s="148"/>
      <c r="W1003" s="148"/>
      <c r="X1003" s="148"/>
      <c r="Y1003" s="148"/>
      <c r="Z1003" s="148"/>
      <c r="AA1003" s="148"/>
      <c r="AB1003" s="148"/>
      <c r="AC1003" s="148"/>
    </row>
    <row r="1004" spans="1:29">
      <c r="A1004" s="147"/>
      <c r="B1004" s="147"/>
      <c r="C1004" s="147"/>
      <c r="D1004" s="147"/>
      <c r="E1004" s="147"/>
      <c r="F1004" s="147"/>
      <c r="G1004" s="147"/>
      <c r="H1004" s="147"/>
      <c r="I1004" s="147"/>
      <c r="J1004" s="147"/>
      <c r="K1004" s="147"/>
      <c r="L1004" s="147"/>
      <c r="M1004" s="147"/>
      <c r="N1004" s="147"/>
      <c r="O1004" s="147"/>
      <c r="P1004" s="147"/>
      <c r="Q1004" s="147"/>
      <c r="R1004" s="148"/>
      <c r="S1004" s="148"/>
      <c r="T1004" s="148"/>
      <c r="U1004" s="148"/>
      <c r="V1004" s="148"/>
      <c r="W1004" s="148"/>
      <c r="X1004" s="148"/>
      <c r="Y1004" s="148"/>
      <c r="Z1004" s="148"/>
      <c r="AA1004" s="148"/>
      <c r="AB1004" s="148"/>
      <c r="AC1004" s="148"/>
    </row>
    <row r="1005" spans="1:29">
      <c r="A1005" s="147"/>
      <c r="B1005" s="147"/>
      <c r="C1005" s="147"/>
      <c r="D1005" s="147"/>
      <c r="E1005" s="147"/>
      <c r="F1005" s="147"/>
      <c r="G1005" s="147"/>
      <c r="H1005" s="147"/>
      <c r="I1005" s="147"/>
      <c r="J1005" s="147"/>
      <c r="K1005" s="147"/>
      <c r="L1005" s="147"/>
      <c r="M1005" s="147"/>
      <c r="N1005" s="147"/>
      <c r="O1005" s="147"/>
      <c r="P1005" s="147"/>
      <c r="Q1005" s="147"/>
      <c r="R1005" s="148"/>
      <c r="S1005" s="148"/>
      <c r="T1005" s="148"/>
      <c r="U1005" s="148"/>
      <c r="V1005" s="148"/>
      <c r="W1005" s="148"/>
      <c r="X1005" s="148"/>
      <c r="Y1005" s="148"/>
      <c r="Z1005" s="148"/>
      <c r="AA1005" s="148"/>
      <c r="AB1005" s="148"/>
      <c r="AC1005" s="148"/>
    </row>
    <row r="1006" spans="1:29">
      <c r="A1006" s="147"/>
      <c r="B1006" s="147"/>
      <c r="C1006" s="147"/>
      <c r="D1006" s="147"/>
      <c r="E1006" s="147"/>
      <c r="F1006" s="147"/>
      <c r="G1006" s="147"/>
      <c r="H1006" s="147"/>
      <c r="I1006" s="147"/>
      <c r="J1006" s="147"/>
      <c r="K1006" s="147"/>
      <c r="L1006" s="147"/>
      <c r="M1006" s="147"/>
      <c r="N1006" s="147"/>
      <c r="O1006" s="147"/>
      <c r="P1006" s="147"/>
      <c r="Q1006" s="147"/>
      <c r="R1006" s="148"/>
      <c r="S1006" s="148"/>
      <c r="T1006" s="148"/>
      <c r="U1006" s="148"/>
      <c r="V1006" s="148"/>
      <c r="W1006" s="148"/>
      <c r="X1006" s="148"/>
      <c r="Y1006" s="148"/>
      <c r="Z1006" s="148"/>
      <c r="AA1006" s="148"/>
      <c r="AB1006" s="148"/>
      <c r="AC1006" s="148"/>
    </row>
    <row r="1007" spans="1:29">
      <c r="A1007" s="147"/>
      <c r="B1007" s="147"/>
      <c r="C1007" s="147"/>
      <c r="D1007" s="147"/>
      <c r="E1007" s="147"/>
      <c r="F1007" s="147"/>
      <c r="G1007" s="147"/>
      <c r="H1007" s="147"/>
      <c r="I1007" s="147"/>
      <c r="J1007" s="147"/>
      <c r="K1007" s="147"/>
      <c r="L1007" s="147"/>
      <c r="M1007" s="147"/>
      <c r="N1007" s="147"/>
      <c r="O1007" s="147"/>
      <c r="P1007" s="147"/>
      <c r="Q1007" s="147"/>
      <c r="R1007" s="148"/>
      <c r="S1007" s="148"/>
      <c r="T1007" s="148"/>
      <c r="U1007" s="148"/>
      <c r="V1007" s="148"/>
      <c r="W1007" s="148"/>
      <c r="X1007" s="148"/>
      <c r="Y1007" s="148"/>
      <c r="Z1007" s="148"/>
      <c r="AA1007" s="148"/>
      <c r="AB1007" s="148"/>
      <c r="AC1007" s="148"/>
    </row>
    <row r="1008" spans="1:29">
      <c r="A1008" s="147"/>
      <c r="B1008" s="147"/>
      <c r="C1008" s="147"/>
      <c r="D1008" s="147"/>
      <c r="E1008" s="147"/>
      <c r="F1008" s="147"/>
      <c r="G1008" s="147"/>
      <c r="H1008" s="147"/>
      <c r="I1008" s="147"/>
      <c r="J1008" s="147"/>
      <c r="K1008" s="147"/>
      <c r="L1008" s="147"/>
      <c r="M1008" s="147"/>
      <c r="N1008" s="147"/>
      <c r="O1008" s="147"/>
      <c r="P1008" s="147"/>
      <c r="Q1008" s="147"/>
      <c r="R1008" s="148"/>
      <c r="S1008" s="148"/>
      <c r="T1008" s="148"/>
      <c r="U1008" s="148"/>
      <c r="V1008" s="148"/>
      <c r="W1008" s="148"/>
      <c r="X1008" s="148"/>
      <c r="Y1008" s="148"/>
      <c r="Z1008" s="148"/>
      <c r="AA1008" s="148"/>
      <c r="AB1008" s="148"/>
      <c r="AC1008" s="148"/>
    </row>
    <row r="1009" spans="1:29">
      <c r="A1009" s="147"/>
      <c r="B1009" s="147"/>
      <c r="C1009" s="147"/>
      <c r="D1009" s="147"/>
      <c r="E1009" s="147"/>
      <c r="F1009" s="147"/>
      <c r="G1009" s="147"/>
      <c r="H1009" s="147"/>
      <c r="I1009" s="147"/>
      <c r="J1009" s="147"/>
      <c r="K1009" s="147"/>
      <c r="L1009" s="147"/>
      <c r="M1009" s="147"/>
      <c r="N1009" s="147"/>
      <c r="O1009" s="147"/>
      <c r="P1009" s="147"/>
      <c r="Q1009" s="147"/>
      <c r="R1009" s="148"/>
      <c r="S1009" s="148"/>
      <c r="T1009" s="148"/>
      <c r="U1009" s="148"/>
      <c r="V1009" s="148"/>
      <c r="W1009" s="148"/>
      <c r="X1009" s="148"/>
      <c r="Y1009" s="148"/>
      <c r="Z1009" s="148"/>
      <c r="AA1009" s="148"/>
      <c r="AB1009" s="148"/>
      <c r="AC1009" s="148"/>
    </row>
    <row r="1010" spans="1:29">
      <c r="A1010" s="147"/>
      <c r="B1010" s="147"/>
      <c r="C1010" s="147"/>
      <c r="D1010" s="147"/>
      <c r="E1010" s="147"/>
      <c r="F1010" s="147"/>
      <c r="G1010" s="147"/>
      <c r="H1010" s="147"/>
      <c r="I1010" s="147"/>
      <c r="J1010" s="147"/>
      <c r="K1010" s="147"/>
      <c r="L1010" s="147"/>
      <c r="M1010" s="147"/>
      <c r="N1010" s="147"/>
      <c r="O1010" s="147"/>
      <c r="P1010" s="147"/>
      <c r="Q1010" s="147"/>
      <c r="R1010" s="148"/>
      <c r="S1010" s="148"/>
      <c r="T1010" s="148"/>
      <c r="U1010" s="148"/>
      <c r="V1010" s="148"/>
      <c r="W1010" s="148"/>
      <c r="X1010" s="148"/>
      <c r="Y1010" s="148"/>
      <c r="Z1010" s="148"/>
      <c r="AA1010" s="148"/>
      <c r="AB1010" s="148"/>
      <c r="AC1010" s="148"/>
    </row>
    <row r="1011" spans="1:29">
      <c r="A1011" s="147"/>
      <c r="B1011" s="147"/>
      <c r="C1011" s="147"/>
      <c r="D1011" s="147"/>
      <c r="E1011" s="147"/>
      <c r="F1011" s="147"/>
      <c r="G1011" s="147"/>
      <c r="H1011" s="147"/>
      <c r="I1011" s="147"/>
      <c r="J1011" s="147"/>
      <c r="K1011" s="147"/>
      <c r="L1011" s="147"/>
      <c r="M1011" s="147"/>
      <c r="N1011" s="147"/>
      <c r="O1011" s="147"/>
      <c r="P1011" s="147"/>
      <c r="Q1011" s="147"/>
      <c r="R1011" s="148"/>
      <c r="S1011" s="148"/>
      <c r="T1011" s="148"/>
      <c r="U1011" s="148"/>
      <c r="V1011" s="148"/>
      <c r="W1011" s="148"/>
      <c r="X1011" s="148"/>
      <c r="Y1011" s="148"/>
      <c r="Z1011" s="148"/>
      <c r="AA1011" s="148"/>
      <c r="AB1011" s="148"/>
      <c r="AC1011" s="148"/>
    </row>
    <row r="1012" spans="1:29">
      <c r="A1012" s="147"/>
      <c r="B1012" s="147"/>
      <c r="C1012" s="147"/>
      <c r="D1012" s="147"/>
      <c r="E1012" s="147"/>
      <c r="F1012" s="147"/>
      <c r="G1012" s="147"/>
      <c r="H1012" s="147"/>
      <c r="I1012" s="147"/>
      <c r="J1012" s="147"/>
      <c r="K1012" s="147"/>
      <c r="L1012" s="147"/>
      <c r="M1012" s="147"/>
      <c r="N1012" s="147"/>
      <c r="O1012" s="147"/>
      <c r="P1012" s="147"/>
      <c r="Q1012" s="147"/>
      <c r="R1012" s="148"/>
      <c r="S1012" s="148"/>
      <c r="T1012" s="148"/>
      <c r="U1012" s="148"/>
      <c r="V1012" s="148"/>
      <c r="W1012" s="148"/>
      <c r="X1012" s="148"/>
      <c r="Y1012" s="148"/>
      <c r="Z1012" s="148"/>
      <c r="AA1012" s="148"/>
      <c r="AB1012" s="148"/>
      <c r="AC1012" s="148"/>
    </row>
    <row r="1013" spans="1:29">
      <c r="A1013" s="147"/>
      <c r="B1013" s="147"/>
      <c r="C1013" s="147"/>
      <c r="D1013" s="147"/>
      <c r="E1013" s="147"/>
      <c r="F1013" s="147"/>
      <c r="G1013" s="147"/>
      <c r="H1013" s="147"/>
      <c r="I1013" s="147"/>
      <c r="J1013" s="147"/>
      <c r="K1013" s="147"/>
      <c r="L1013" s="147"/>
      <c r="M1013" s="147"/>
      <c r="N1013" s="147"/>
      <c r="O1013" s="147"/>
      <c r="P1013" s="147"/>
      <c r="Q1013" s="147"/>
      <c r="R1013" s="148"/>
      <c r="S1013" s="148"/>
      <c r="T1013" s="148"/>
      <c r="U1013" s="148"/>
      <c r="V1013" s="148"/>
      <c r="W1013" s="148"/>
      <c r="X1013" s="148"/>
      <c r="Y1013" s="148"/>
      <c r="Z1013" s="148"/>
      <c r="AA1013" s="148"/>
      <c r="AB1013" s="148"/>
      <c r="AC1013" s="148"/>
    </row>
    <row r="1014" spans="1:29">
      <c r="A1014" s="147"/>
      <c r="B1014" s="147"/>
      <c r="C1014" s="147"/>
      <c r="D1014" s="147"/>
      <c r="E1014" s="147"/>
      <c r="F1014" s="147"/>
      <c r="G1014" s="147"/>
      <c r="H1014" s="147"/>
      <c r="I1014" s="147"/>
      <c r="J1014" s="147"/>
      <c r="K1014" s="147"/>
      <c r="L1014" s="147"/>
      <c r="M1014" s="147"/>
      <c r="N1014" s="147"/>
      <c r="O1014" s="147"/>
      <c r="P1014" s="147"/>
      <c r="Q1014" s="147"/>
      <c r="R1014" s="148"/>
      <c r="S1014" s="148"/>
      <c r="T1014" s="148"/>
      <c r="U1014" s="148"/>
      <c r="V1014" s="148"/>
      <c r="W1014" s="148"/>
      <c r="X1014" s="148"/>
      <c r="Y1014" s="148"/>
      <c r="Z1014" s="148"/>
      <c r="AA1014" s="148"/>
      <c r="AB1014" s="148"/>
      <c r="AC1014" s="148"/>
    </row>
    <row r="1015" spans="1:29">
      <c r="A1015" s="147"/>
      <c r="B1015" s="147"/>
      <c r="C1015" s="147"/>
      <c r="D1015" s="147"/>
      <c r="E1015" s="147"/>
      <c r="F1015" s="147"/>
      <c r="G1015" s="147"/>
      <c r="H1015" s="147"/>
      <c r="I1015" s="147"/>
      <c r="J1015" s="147"/>
      <c r="K1015" s="147"/>
      <c r="L1015" s="147"/>
      <c r="M1015" s="147"/>
      <c r="N1015" s="147"/>
      <c r="O1015" s="147"/>
      <c r="P1015" s="147"/>
      <c r="Q1015" s="147"/>
      <c r="R1015" s="148"/>
      <c r="S1015" s="148"/>
      <c r="T1015" s="148"/>
      <c r="U1015" s="148"/>
      <c r="V1015" s="148"/>
      <c r="W1015" s="148"/>
      <c r="X1015" s="148"/>
      <c r="Y1015" s="148"/>
      <c r="Z1015" s="148"/>
      <c r="AA1015" s="148"/>
      <c r="AB1015" s="148"/>
      <c r="AC1015" s="148"/>
    </row>
    <row r="1016" spans="1:29">
      <c r="A1016" s="147"/>
      <c r="B1016" s="147"/>
      <c r="C1016" s="147"/>
      <c r="D1016" s="147"/>
      <c r="E1016" s="147"/>
      <c r="F1016" s="147"/>
      <c r="G1016" s="147"/>
      <c r="H1016" s="147"/>
      <c r="I1016" s="147"/>
      <c r="J1016" s="147"/>
      <c r="K1016" s="147"/>
      <c r="L1016" s="147"/>
      <c r="M1016" s="147"/>
      <c r="N1016" s="147"/>
      <c r="O1016" s="147"/>
      <c r="P1016" s="147"/>
      <c r="Q1016" s="147"/>
      <c r="R1016" s="148"/>
      <c r="S1016" s="148"/>
      <c r="T1016" s="148"/>
      <c r="U1016" s="148"/>
      <c r="V1016" s="148"/>
      <c r="W1016" s="148"/>
      <c r="X1016" s="148"/>
      <c r="Y1016" s="148"/>
      <c r="Z1016" s="148"/>
      <c r="AA1016" s="148"/>
      <c r="AB1016" s="148"/>
      <c r="AC1016" s="148"/>
    </row>
    <row r="1017" spans="1:29">
      <c r="A1017" s="147"/>
      <c r="B1017" s="147"/>
      <c r="C1017" s="147"/>
      <c r="D1017" s="147"/>
      <c r="E1017" s="147"/>
      <c r="F1017" s="147"/>
      <c r="G1017" s="147"/>
      <c r="H1017" s="147"/>
      <c r="I1017" s="147"/>
      <c r="J1017" s="147"/>
      <c r="K1017" s="147"/>
      <c r="L1017" s="147"/>
      <c r="M1017" s="147"/>
      <c r="N1017" s="147"/>
      <c r="O1017" s="147"/>
      <c r="P1017" s="147"/>
      <c r="Q1017" s="147"/>
      <c r="R1017" s="148"/>
      <c r="S1017" s="148"/>
      <c r="T1017" s="148"/>
      <c r="U1017" s="148"/>
      <c r="V1017" s="148"/>
      <c r="W1017" s="148"/>
      <c r="X1017" s="148"/>
      <c r="Y1017" s="148"/>
      <c r="Z1017" s="148"/>
      <c r="AA1017" s="148"/>
      <c r="AB1017" s="148"/>
      <c r="AC1017" s="148"/>
    </row>
    <row r="1018" spans="1:29">
      <c r="A1018" s="147"/>
      <c r="B1018" s="147"/>
      <c r="C1018" s="147"/>
      <c r="D1018" s="147"/>
      <c r="E1018" s="147"/>
      <c r="F1018" s="147"/>
      <c r="G1018" s="147"/>
      <c r="H1018" s="147"/>
      <c r="I1018" s="147"/>
      <c r="J1018" s="147"/>
      <c r="K1018" s="147"/>
      <c r="L1018" s="147"/>
      <c r="M1018" s="147"/>
      <c r="N1018" s="147"/>
      <c r="O1018" s="147"/>
      <c r="P1018" s="147"/>
      <c r="Q1018" s="147"/>
      <c r="R1018" s="148"/>
      <c r="S1018" s="148"/>
      <c r="T1018" s="148"/>
      <c r="U1018" s="148"/>
      <c r="V1018" s="148"/>
      <c r="W1018" s="148"/>
      <c r="X1018" s="148"/>
      <c r="Y1018" s="148"/>
      <c r="Z1018" s="148"/>
      <c r="AA1018" s="148"/>
      <c r="AB1018" s="148"/>
      <c r="AC1018" s="148"/>
    </row>
    <row r="1019" spans="1:29">
      <c r="A1019" s="147"/>
      <c r="B1019" s="147"/>
      <c r="C1019" s="147"/>
      <c r="D1019" s="147"/>
      <c r="E1019" s="147"/>
      <c r="F1019" s="147"/>
      <c r="G1019" s="147"/>
      <c r="H1019" s="147"/>
      <c r="I1019" s="147"/>
      <c r="J1019" s="147"/>
      <c r="K1019" s="147"/>
      <c r="L1019" s="147"/>
      <c r="M1019" s="147"/>
      <c r="N1019" s="147"/>
      <c r="O1019" s="147"/>
      <c r="P1019" s="147"/>
      <c r="Q1019" s="147"/>
      <c r="R1019" s="148"/>
      <c r="S1019" s="148"/>
      <c r="T1019" s="148"/>
      <c r="U1019" s="148"/>
      <c r="V1019" s="148"/>
      <c r="W1019" s="148"/>
      <c r="X1019" s="148"/>
      <c r="Y1019" s="148"/>
      <c r="Z1019" s="148"/>
      <c r="AA1019" s="148"/>
      <c r="AB1019" s="148"/>
      <c r="AC1019" s="148"/>
    </row>
    <row r="1020" spans="1:29">
      <c r="A1020" s="147"/>
      <c r="B1020" s="147"/>
      <c r="C1020" s="147"/>
      <c r="D1020" s="147"/>
      <c r="E1020" s="147"/>
      <c r="F1020" s="147"/>
      <c r="G1020" s="147"/>
      <c r="H1020" s="147"/>
      <c r="I1020" s="147"/>
      <c r="J1020" s="147"/>
      <c r="K1020" s="147"/>
      <c r="L1020" s="147"/>
      <c r="M1020" s="147"/>
      <c r="N1020" s="147"/>
      <c r="O1020" s="147"/>
      <c r="P1020" s="147"/>
      <c r="Q1020" s="147"/>
      <c r="R1020" s="148"/>
      <c r="S1020" s="148"/>
      <c r="T1020" s="148"/>
      <c r="U1020" s="148"/>
      <c r="V1020" s="148"/>
      <c r="W1020" s="148"/>
      <c r="X1020" s="148"/>
      <c r="Y1020" s="148"/>
      <c r="Z1020" s="148"/>
      <c r="AA1020" s="148"/>
      <c r="AB1020" s="148"/>
      <c r="AC1020" s="148"/>
    </row>
    <row r="1021" spans="1:29">
      <c r="A1021" s="147"/>
      <c r="B1021" s="147"/>
      <c r="C1021" s="147"/>
      <c r="D1021" s="147"/>
      <c r="E1021" s="147"/>
      <c r="F1021" s="147"/>
      <c r="G1021" s="147"/>
      <c r="H1021" s="147"/>
      <c r="I1021" s="147"/>
      <c r="J1021" s="147"/>
      <c r="K1021" s="147"/>
      <c r="L1021" s="147"/>
      <c r="M1021" s="147"/>
      <c r="N1021" s="147"/>
      <c r="O1021" s="147"/>
      <c r="P1021" s="147"/>
      <c r="Q1021" s="147"/>
      <c r="R1021" s="148"/>
      <c r="S1021" s="148"/>
      <c r="T1021" s="148"/>
      <c r="U1021" s="148"/>
      <c r="V1021" s="148"/>
      <c r="W1021" s="148"/>
      <c r="X1021" s="148"/>
      <c r="Y1021" s="148"/>
      <c r="Z1021" s="148"/>
      <c r="AA1021" s="148"/>
      <c r="AB1021" s="148"/>
      <c r="AC1021" s="148"/>
    </row>
    <row r="1022" spans="1:29">
      <c r="A1022" s="147"/>
      <c r="B1022" s="147"/>
      <c r="C1022" s="147"/>
      <c r="D1022" s="147"/>
      <c r="E1022" s="147"/>
      <c r="F1022" s="147"/>
      <c r="G1022" s="147"/>
      <c r="H1022" s="147"/>
      <c r="I1022" s="147"/>
      <c r="J1022" s="147"/>
      <c r="K1022" s="147"/>
      <c r="L1022" s="147"/>
      <c r="M1022" s="147"/>
      <c r="N1022" s="147"/>
      <c r="O1022" s="147"/>
      <c r="P1022" s="147"/>
      <c r="Q1022" s="147"/>
      <c r="R1022" s="148"/>
      <c r="S1022" s="148"/>
      <c r="T1022" s="148"/>
      <c r="U1022" s="148"/>
      <c r="V1022" s="148"/>
      <c r="W1022" s="148"/>
      <c r="X1022" s="148"/>
      <c r="Y1022" s="148"/>
      <c r="Z1022" s="148"/>
      <c r="AA1022" s="148"/>
      <c r="AB1022" s="148"/>
      <c r="AC1022" s="148"/>
    </row>
    <row r="1023" spans="1:29">
      <c r="A1023" s="147"/>
      <c r="B1023" s="147"/>
      <c r="C1023" s="147"/>
      <c r="D1023" s="147"/>
      <c r="E1023" s="147"/>
      <c r="F1023" s="147"/>
      <c r="G1023" s="147"/>
      <c r="H1023" s="147"/>
      <c r="I1023" s="147"/>
      <c r="J1023" s="147"/>
      <c r="K1023" s="147"/>
      <c r="L1023" s="147"/>
      <c r="M1023" s="147"/>
      <c r="N1023" s="147"/>
      <c r="O1023" s="147"/>
      <c r="P1023" s="147"/>
      <c r="Q1023" s="147"/>
      <c r="R1023" s="148"/>
      <c r="S1023" s="148"/>
      <c r="T1023" s="148"/>
      <c r="U1023" s="148"/>
      <c r="V1023" s="148"/>
      <c r="W1023" s="148"/>
      <c r="X1023" s="148"/>
      <c r="Y1023" s="148"/>
      <c r="Z1023" s="148"/>
      <c r="AA1023" s="148"/>
      <c r="AB1023" s="148"/>
      <c r="AC1023" s="148"/>
    </row>
    <row r="1024" spans="1:29">
      <c r="A1024" s="147"/>
      <c r="B1024" s="147"/>
      <c r="C1024" s="147"/>
      <c r="D1024" s="147"/>
      <c r="E1024" s="147"/>
      <c r="F1024" s="147"/>
      <c r="G1024" s="147"/>
      <c r="H1024" s="147"/>
      <c r="I1024" s="147"/>
      <c r="J1024" s="147"/>
      <c r="K1024" s="147"/>
      <c r="L1024" s="147"/>
      <c r="M1024" s="147"/>
      <c r="N1024" s="147"/>
      <c r="O1024" s="147"/>
      <c r="P1024" s="147"/>
      <c r="Q1024" s="147"/>
      <c r="R1024" s="148"/>
      <c r="S1024" s="148"/>
      <c r="T1024" s="148"/>
      <c r="U1024" s="148"/>
      <c r="V1024" s="148"/>
      <c r="W1024" s="148"/>
      <c r="X1024" s="148"/>
      <c r="Y1024" s="148"/>
      <c r="Z1024" s="148"/>
      <c r="AA1024" s="148"/>
      <c r="AB1024" s="148"/>
      <c r="AC1024" s="148"/>
    </row>
    <row r="1025" spans="1:29">
      <c r="A1025" s="147"/>
      <c r="B1025" s="147"/>
      <c r="C1025" s="147"/>
      <c r="D1025" s="147"/>
      <c r="E1025" s="147"/>
      <c r="F1025" s="147"/>
      <c r="G1025" s="147"/>
      <c r="H1025" s="147"/>
      <c r="I1025" s="147"/>
      <c r="J1025" s="147"/>
      <c r="K1025" s="147"/>
      <c r="L1025" s="147"/>
      <c r="M1025" s="147"/>
      <c r="N1025" s="147"/>
      <c r="O1025" s="147"/>
      <c r="P1025" s="147"/>
      <c r="Q1025" s="147"/>
      <c r="R1025" s="148"/>
      <c r="S1025" s="148"/>
      <c r="T1025" s="148"/>
      <c r="U1025" s="148"/>
      <c r="V1025" s="148"/>
      <c r="W1025" s="148"/>
      <c r="X1025" s="148"/>
      <c r="Y1025" s="148"/>
      <c r="Z1025" s="148"/>
      <c r="AA1025" s="148"/>
      <c r="AB1025" s="148"/>
      <c r="AC1025" s="148"/>
    </row>
    <row r="1026" spans="1:29">
      <c r="A1026" s="147"/>
      <c r="B1026" s="147"/>
      <c r="C1026" s="147"/>
      <c r="D1026" s="147"/>
      <c r="E1026" s="147"/>
      <c r="F1026" s="147"/>
      <c r="G1026" s="147"/>
      <c r="H1026" s="147"/>
      <c r="I1026" s="147"/>
      <c r="J1026" s="147"/>
      <c r="K1026" s="147"/>
      <c r="L1026" s="147"/>
      <c r="M1026" s="147"/>
      <c r="N1026" s="147"/>
      <c r="O1026" s="147"/>
      <c r="P1026" s="147"/>
      <c r="Q1026" s="147"/>
      <c r="R1026" s="148"/>
      <c r="S1026" s="148"/>
      <c r="T1026" s="148"/>
      <c r="U1026" s="148"/>
      <c r="V1026" s="148"/>
      <c r="W1026" s="148"/>
      <c r="X1026" s="148"/>
      <c r="Y1026" s="148"/>
      <c r="Z1026" s="148"/>
      <c r="AA1026" s="148"/>
      <c r="AB1026" s="148"/>
      <c r="AC1026" s="148"/>
    </row>
    <row r="1027" spans="1:29">
      <c r="A1027" s="149"/>
      <c r="B1027" s="147"/>
      <c r="C1027" s="147"/>
      <c r="D1027" s="147"/>
      <c r="E1027" s="147"/>
      <c r="F1027" s="147"/>
      <c r="G1027" s="147"/>
      <c r="H1027" s="147"/>
      <c r="I1027" s="147"/>
      <c r="J1027" s="147"/>
      <c r="K1027" s="147"/>
      <c r="L1027" s="147"/>
      <c r="M1027" s="147"/>
      <c r="N1027" s="147"/>
      <c r="O1027" s="147"/>
      <c r="P1027" s="147"/>
      <c r="Q1027" s="147"/>
      <c r="R1027" s="148"/>
      <c r="S1027" s="148"/>
      <c r="T1027" s="148"/>
      <c r="U1027" s="148"/>
      <c r="V1027" s="148"/>
      <c r="W1027" s="148"/>
      <c r="X1027" s="148"/>
      <c r="Y1027" s="148"/>
      <c r="Z1027" s="148"/>
      <c r="AA1027" s="148"/>
      <c r="AB1027" s="148"/>
      <c r="AC1027" s="148"/>
    </row>
    <row r="1028" spans="1:29">
      <c r="A1028" s="147"/>
      <c r="B1028" s="147"/>
      <c r="C1028" s="147"/>
      <c r="D1028" s="147"/>
      <c r="E1028" s="147"/>
      <c r="F1028" s="147"/>
      <c r="G1028" s="147"/>
      <c r="H1028" s="147"/>
      <c r="I1028" s="147"/>
      <c r="J1028" s="147"/>
      <c r="K1028" s="147"/>
      <c r="L1028" s="147"/>
      <c r="M1028" s="147"/>
      <c r="N1028" s="147"/>
      <c r="O1028" s="147"/>
      <c r="P1028" s="147"/>
      <c r="Q1028" s="147"/>
      <c r="R1028" s="148"/>
      <c r="S1028" s="148"/>
      <c r="T1028" s="148"/>
      <c r="U1028" s="148"/>
      <c r="V1028" s="148"/>
      <c r="W1028" s="148"/>
      <c r="X1028" s="148"/>
      <c r="Y1028" s="148"/>
      <c r="Z1028" s="148"/>
      <c r="AA1028" s="148"/>
      <c r="AB1028" s="148"/>
      <c r="AC1028" s="148"/>
    </row>
    <row r="1029" spans="1:29">
      <c r="A1029" s="147"/>
      <c r="B1029" s="147"/>
      <c r="C1029" s="147"/>
      <c r="D1029" s="147"/>
      <c r="E1029" s="147"/>
      <c r="F1029" s="147"/>
      <c r="G1029" s="147"/>
      <c r="H1029" s="147"/>
      <c r="I1029" s="147"/>
      <c r="J1029" s="147"/>
      <c r="K1029" s="147"/>
      <c r="L1029" s="147"/>
      <c r="M1029" s="147"/>
      <c r="N1029" s="147"/>
      <c r="O1029" s="147"/>
      <c r="P1029" s="147"/>
      <c r="Q1029" s="147"/>
      <c r="R1029" s="148"/>
      <c r="S1029" s="148"/>
      <c r="T1029" s="148"/>
      <c r="U1029" s="148"/>
      <c r="V1029" s="148"/>
      <c r="W1029" s="148"/>
      <c r="X1029" s="148"/>
      <c r="Y1029" s="148"/>
      <c r="Z1029" s="148"/>
      <c r="AA1029" s="148"/>
      <c r="AB1029" s="148"/>
      <c r="AC1029" s="148"/>
    </row>
    <row r="1030" spans="1:29">
      <c r="A1030" s="147"/>
      <c r="B1030" s="147"/>
      <c r="C1030" s="147"/>
      <c r="D1030" s="147"/>
      <c r="E1030" s="147"/>
      <c r="F1030" s="147"/>
      <c r="G1030" s="147"/>
      <c r="H1030" s="147"/>
      <c r="I1030" s="147"/>
      <c r="J1030" s="147"/>
      <c r="K1030" s="147"/>
      <c r="L1030" s="147"/>
      <c r="M1030" s="147"/>
      <c r="N1030" s="147"/>
      <c r="O1030" s="147"/>
      <c r="P1030" s="147"/>
      <c r="Q1030" s="147"/>
      <c r="R1030" s="148"/>
      <c r="S1030" s="148"/>
      <c r="T1030" s="148"/>
      <c r="U1030" s="148"/>
      <c r="V1030" s="148"/>
      <c r="W1030" s="148"/>
      <c r="X1030" s="148"/>
      <c r="Y1030" s="148"/>
      <c r="Z1030" s="148"/>
      <c r="AA1030" s="148"/>
      <c r="AB1030" s="148"/>
      <c r="AC1030" s="148"/>
    </row>
    <row r="1031" spans="1:29">
      <c r="A1031" s="147"/>
      <c r="B1031" s="147"/>
      <c r="C1031" s="147"/>
      <c r="D1031" s="147"/>
      <c r="E1031" s="147"/>
      <c r="F1031" s="147"/>
      <c r="G1031" s="147"/>
      <c r="H1031" s="147"/>
      <c r="I1031" s="147"/>
      <c r="J1031" s="147"/>
      <c r="K1031" s="147"/>
      <c r="L1031" s="147"/>
      <c r="M1031" s="147"/>
      <c r="N1031" s="147"/>
      <c r="O1031" s="147"/>
      <c r="P1031" s="147"/>
      <c r="Q1031" s="147"/>
      <c r="R1031" s="148"/>
      <c r="S1031" s="148"/>
      <c r="T1031" s="148"/>
      <c r="U1031" s="148"/>
      <c r="V1031" s="148"/>
      <c r="W1031" s="148"/>
      <c r="X1031" s="148"/>
      <c r="Y1031" s="148"/>
      <c r="Z1031" s="148"/>
      <c r="AA1031" s="148"/>
      <c r="AB1031" s="148"/>
      <c r="AC1031" s="148"/>
    </row>
    <row r="1032" spans="1:29">
      <c r="A1032" s="149"/>
      <c r="B1032" s="147"/>
      <c r="C1032" s="147"/>
      <c r="D1032" s="147"/>
      <c r="E1032" s="147"/>
      <c r="F1032" s="147"/>
      <c r="G1032" s="147"/>
      <c r="H1032" s="147"/>
      <c r="I1032" s="147"/>
      <c r="J1032" s="147"/>
      <c r="K1032" s="147"/>
      <c r="L1032" s="147"/>
      <c r="M1032" s="147"/>
      <c r="N1032" s="147"/>
      <c r="O1032" s="147"/>
      <c r="P1032" s="147"/>
      <c r="Q1032" s="147"/>
      <c r="R1032" s="148"/>
      <c r="S1032" s="148"/>
      <c r="T1032" s="148"/>
      <c r="U1032" s="148"/>
      <c r="V1032" s="148"/>
      <c r="W1032" s="148"/>
      <c r="X1032" s="148"/>
      <c r="Y1032" s="148"/>
      <c r="Z1032" s="148"/>
      <c r="AA1032" s="148"/>
      <c r="AB1032" s="148"/>
      <c r="AC1032" s="148"/>
    </row>
    <row r="1033" spans="1:29">
      <c r="A1033" s="147"/>
      <c r="B1033" s="147"/>
      <c r="C1033" s="147"/>
      <c r="D1033" s="147"/>
      <c r="E1033" s="147"/>
      <c r="F1033" s="147"/>
      <c r="G1033" s="147"/>
      <c r="H1033" s="147"/>
      <c r="I1033" s="147"/>
      <c r="J1033" s="147"/>
      <c r="K1033" s="147"/>
      <c r="L1033" s="147"/>
      <c r="M1033" s="147"/>
      <c r="N1033" s="147"/>
      <c r="O1033" s="147"/>
      <c r="P1033" s="147"/>
      <c r="Q1033" s="147"/>
      <c r="R1033" s="148"/>
      <c r="S1033" s="148"/>
      <c r="T1033" s="148"/>
      <c r="U1033" s="148"/>
      <c r="V1033" s="148"/>
      <c r="W1033" s="148"/>
      <c r="X1033" s="148"/>
      <c r="Y1033" s="148"/>
      <c r="Z1033" s="148"/>
      <c r="AA1033" s="148"/>
      <c r="AB1033" s="148"/>
      <c r="AC1033" s="148"/>
    </row>
    <row r="1034" spans="1:29">
      <c r="A1034" s="149"/>
      <c r="B1034" s="147"/>
      <c r="C1034" s="147"/>
      <c r="D1034" s="147"/>
      <c r="E1034" s="147"/>
      <c r="F1034" s="147"/>
      <c r="G1034" s="147"/>
      <c r="H1034" s="147"/>
      <c r="I1034" s="147"/>
      <c r="J1034" s="147"/>
      <c r="K1034" s="147"/>
      <c r="L1034" s="147"/>
      <c r="M1034" s="147"/>
      <c r="N1034" s="147"/>
      <c r="O1034" s="147"/>
      <c r="P1034" s="147"/>
      <c r="Q1034" s="147"/>
      <c r="R1034" s="148"/>
      <c r="S1034" s="148"/>
      <c r="T1034" s="148"/>
      <c r="U1034" s="148"/>
      <c r="V1034" s="148"/>
      <c r="W1034" s="148"/>
      <c r="X1034" s="148"/>
      <c r="Y1034" s="148"/>
      <c r="Z1034" s="148"/>
      <c r="AA1034" s="148"/>
      <c r="AB1034" s="148"/>
      <c r="AC1034" s="148"/>
    </row>
    <row r="1035" spans="1:29">
      <c r="A1035" s="149"/>
      <c r="B1035" s="147"/>
      <c r="C1035" s="147"/>
      <c r="D1035" s="147"/>
      <c r="E1035" s="147"/>
      <c r="F1035" s="147"/>
      <c r="G1035" s="147"/>
      <c r="H1035" s="147"/>
      <c r="I1035" s="147"/>
      <c r="J1035" s="147"/>
      <c r="K1035" s="147"/>
      <c r="L1035" s="147"/>
      <c r="M1035" s="147"/>
      <c r="N1035" s="147"/>
      <c r="O1035" s="147"/>
      <c r="P1035" s="147"/>
      <c r="Q1035" s="147"/>
      <c r="R1035" s="148"/>
      <c r="S1035" s="148"/>
      <c r="T1035" s="148"/>
      <c r="U1035" s="148"/>
      <c r="V1035" s="148"/>
      <c r="W1035" s="148"/>
      <c r="X1035" s="148"/>
      <c r="Y1035" s="148"/>
      <c r="Z1035" s="148"/>
      <c r="AA1035" s="148"/>
      <c r="AB1035" s="148"/>
      <c r="AC1035" s="148"/>
    </row>
    <row r="1036" spans="1:29">
      <c r="A1036" s="149"/>
      <c r="B1036" s="147"/>
      <c r="C1036" s="147"/>
      <c r="D1036" s="147"/>
      <c r="E1036" s="147"/>
      <c r="F1036" s="147"/>
      <c r="G1036" s="147"/>
      <c r="H1036" s="147"/>
      <c r="I1036" s="147"/>
      <c r="J1036" s="147"/>
      <c r="K1036" s="147"/>
      <c r="L1036" s="147"/>
      <c r="M1036" s="147"/>
      <c r="N1036" s="147"/>
      <c r="O1036" s="147"/>
      <c r="P1036" s="147"/>
      <c r="Q1036" s="147"/>
      <c r="R1036" s="148"/>
      <c r="S1036" s="148"/>
      <c r="T1036" s="148"/>
      <c r="U1036" s="148"/>
      <c r="V1036" s="148"/>
      <c r="W1036" s="148"/>
      <c r="X1036" s="148"/>
      <c r="Y1036" s="148"/>
      <c r="Z1036" s="148"/>
      <c r="AA1036" s="148"/>
      <c r="AB1036" s="148"/>
      <c r="AC1036" s="148"/>
    </row>
    <row r="1037" spans="1:29">
      <c r="A1037" s="149"/>
      <c r="B1037" s="147"/>
      <c r="C1037" s="147"/>
      <c r="D1037" s="147"/>
      <c r="E1037" s="147"/>
      <c r="F1037" s="147"/>
      <c r="G1037" s="147"/>
      <c r="H1037" s="147"/>
      <c r="I1037" s="147"/>
      <c r="J1037" s="147"/>
      <c r="K1037" s="147"/>
      <c r="L1037" s="147"/>
      <c r="M1037" s="147"/>
      <c r="N1037" s="147"/>
      <c r="O1037" s="147"/>
      <c r="P1037" s="147"/>
      <c r="Q1037" s="147"/>
      <c r="R1037" s="148"/>
      <c r="S1037" s="148"/>
      <c r="T1037" s="148"/>
      <c r="U1037" s="148"/>
      <c r="V1037" s="148"/>
      <c r="W1037" s="148"/>
      <c r="X1037" s="148"/>
      <c r="Y1037" s="148"/>
      <c r="Z1037" s="148"/>
      <c r="AA1037" s="148"/>
      <c r="AB1037" s="148"/>
      <c r="AC1037" s="148"/>
    </row>
    <row r="1038" spans="1:29">
      <c r="A1038" s="149"/>
      <c r="B1038" s="147"/>
      <c r="C1038" s="147"/>
      <c r="D1038" s="147"/>
      <c r="E1038" s="147"/>
      <c r="F1038" s="147"/>
      <c r="G1038" s="147"/>
      <c r="H1038" s="147"/>
      <c r="I1038" s="147"/>
      <c r="J1038" s="147"/>
      <c r="K1038" s="147"/>
      <c r="L1038" s="147"/>
      <c r="M1038" s="147"/>
      <c r="N1038" s="147"/>
      <c r="O1038" s="147"/>
      <c r="P1038" s="147"/>
      <c r="Q1038" s="147"/>
      <c r="R1038" s="148"/>
      <c r="S1038" s="148"/>
      <c r="T1038" s="148"/>
      <c r="U1038" s="148"/>
      <c r="V1038" s="148"/>
      <c r="W1038" s="148"/>
      <c r="X1038" s="148"/>
      <c r="Y1038" s="148"/>
      <c r="Z1038" s="148"/>
      <c r="AA1038" s="148"/>
      <c r="AB1038" s="148"/>
      <c r="AC1038" s="148"/>
    </row>
    <row r="1039" spans="1:29">
      <c r="A1039" s="149"/>
      <c r="B1039" s="147"/>
      <c r="C1039" s="147"/>
      <c r="D1039" s="147"/>
      <c r="E1039" s="147"/>
      <c r="F1039" s="147"/>
      <c r="G1039" s="147"/>
      <c r="H1039" s="147"/>
      <c r="I1039" s="147"/>
      <c r="J1039" s="147"/>
      <c r="K1039" s="147"/>
      <c r="L1039" s="147"/>
      <c r="M1039" s="147"/>
      <c r="N1039" s="147"/>
      <c r="O1039" s="147"/>
      <c r="P1039" s="147"/>
      <c r="Q1039" s="147"/>
      <c r="R1039" s="148"/>
      <c r="S1039" s="148"/>
      <c r="T1039" s="148"/>
      <c r="U1039" s="148"/>
      <c r="V1039" s="148"/>
      <c r="W1039" s="148"/>
      <c r="X1039" s="148"/>
      <c r="Y1039" s="148"/>
      <c r="Z1039" s="148"/>
      <c r="AA1039" s="148"/>
      <c r="AB1039" s="148"/>
      <c r="AC1039" s="148"/>
    </row>
    <row r="1040" spans="1:29">
      <c r="A1040" s="149"/>
      <c r="B1040" s="147"/>
      <c r="C1040" s="147"/>
      <c r="D1040" s="147"/>
      <c r="E1040" s="147"/>
      <c r="F1040" s="147"/>
      <c r="G1040" s="147"/>
      <c r="H1040" s="147"/>
      <c r="I1040" s="147"/>
      <c r="J1040" s="147"/>
      <c r="K1040" s="147"/>
      <c r="L1040" s="147"/>
      <c r="M1040" s="147"/>
      <c r="N1040" s="147"/>
      <c r="O1040" s="147"/>
      <c r="P1040" s="147"/>
      <c r="Q1040" s="147"/>
      <c r="R1040" s="148"/>
      <c r="S1040" s="148"/>
      <c r="T1040" s="148"/>
      <c r="U1040" s="148"/>
      <c r="V1040" s="148"/>
      <c r="W1040" s="148"/>
      <c r="X1040" s="148"/>
      <c r="Y1040" s="148"/>
      <c r="Z1040" s="148"/>
      <c r="AA1040" s="148"/>
      <c r="AB1040" s="148"/>
      <c r="AC1040" s="148"/>
    </row>
    <row r="1041" spans="1:29">
      <c r="A1041" s="149"/>
      <c r="B1041" s="147"/>
      <c r="C1041" s="147"/>
      <c r="D1041" s="147"/>
      <c r="E1041" s="147"/>
      <c r="F1041" s="147"/>
      <c r="G1041" s="147"/>
      <c r="H1041" s="147"/>
      <c r="I1041" s="147"/>
      <c r="J1041" s="147"/>
      <c r="K1041" s="147"/>
      <c r="L1041" s="147"/>
      <c r="M1041" s="147"/>
      <c r="N1041" s="147"/>
      <c r="O1041" s="147"/>
      <c r="P1041" s="147"/>
      <c r="Q1041" s="147"/>
      <c r="R1041" s="148"/>
      <c r="S1041" s="148"/>
      <c r="T1041" s="148"/>
      <c r="U1041" s="148"/>
      <c r="V1041" s="148"/>
      <c r="W1041" s="148"/>
      <c r="X1041" s="148"/>
      <c r="Y1041" s="148"/>
      <c r="Z1041" s="148"/>
      <c r="AA1041" s="148"/>
      <c r="AB1041" s="148"/>
      <c r="AC1041" s="148"/>
    </row>
    <row r="1042" spans="1:29">
      <c r="A1042" s="149"/>
      <c r="B1042" s="147"/>
      <c r="C1042" s="147"/>
      <c r="D1042" s="147"/>
      <c r="E1042" s="147"/>
      <c r="F1042" s="147"/>
      <c r="G1042" s="147"/>
      <c r="H1042" s="147"/>
      <c r="I1042" s="147"/>
      <c r="J1042" s="147"/>
      <c r="K1042" s="147"/>
      <c r="L1042" s="147"/>
      <c r="M1042" s="147"/>
      <c r="N1042" s="147"/>
      <c r="O1042" s="147"/>
      <c r="P1042" s="147"/>
      <c r="Q1042" s="147"/>
      <c r="R1042" s="148"/>
      <c r="S1042" s="148"/>
      <c r="T1042" s="148"/>
      <c r="U1042" s="148"/>
      <c r="V1042" s="148"/>
      <c r="W1042" s="148"/>
      <c r="X1042" s="148"/>
      <c r="Y1042" s="148"/>
      <c r="Z1042" s="148"/>
      <c r="AA1042" s="148"/>
      <c r="AB1042" s="148"/>
      <c r="AC1042" s="148"/>
    </row>
    <row r="1043" spans="1:29">
      <c r="A1043" s="149"/>
      <c r="B1043" s="147"/>
      <c r="C1043" s="147"/>
      <c r="D1043" s="147"/>
      <c r="E1043" s="147"/>
      <c r="F1043" s="147"/>
      <c r="G1043" s="147"/>
      <c r="H1043" s="147"/>
      <c r="I1043" s="147"/>
      <c r="J1043" s="147"/>
      <c r="K1043" s="147"/>
      <c r="L1043" s="147"/>
      <c r="M1043" s="147"/>
      <c r="N1043" s="147"/>
      <c r="O1043" s="147"/>
      <c r="P1043" s="147"/>
      <c r="Q1043" s="147"/>
      <c r="R1043" s="148"/>
      <c r="S1043" s="148"/>
      <c r="T1043" s="148"/>
      <c r="U1043" s="148"/>
      <c r="V1043" s="148"/>
      <c r="W1043" s="148"/>
      <c r="X1043" s="148"/>
      <c r="Y1043" s="148"/>
      <c r="Z1043" s="148"/>
      <c r="AA1043" s="148"/>
      <c r="AB1043" s="148"/>
      <c r="AC1043" s="148"/>
    </row>
    <row r="1044" spans="1:29">
      <c r="A1044" s="149"/>
      <c r="B1044" s="147"/>
      <c r="C1044" s="147"/>
      <c r="D1044" s="147"/>
      <c r="E1044" s="147"/>
      <c r="F1044" s="147"/>
      <c r="G1044" s="147"/>
      <c r="H1044" s="147"/>
      <c r="I1044" s="147"/>
      <c r="J1044" s="147"/>
      <c r="K1044" s="147"/>
      <c r="L1044" s="147"/>
      <c r="M1044" s="147"/>
      <c r="N1044" s="147"/>
      <c r="O1044" s="147"/>
      <c r="P1044" s="147"/>
      <c r="Q1044" s="147"/>
      <c r="R1044" s="148"/>
      <c r="S1044" s="148"/>
      <c r="T1044" s="148"/>
      <c r="U1044" s="148"/>
      <c r="V1044" s="148"/>
      <c r="W1044" s="148"/>
      <c r="X1044" s="148"/>
      <c r="Y1044" s="148"/>
      <c r="Z1044" s="148"/>
      <c r="AA1044" s="148"/>
      <c r="AB1044" s="148"/>
      <c r="AC1044" s="148"/>
    </row>
    <row r="1045" spans="1:29">
      <c r="A1045" s="149"/>
      <c r="B1045" s="147"/>
      <c r="C1045" s="147"/>
      <c r="D1045" s="147"/>
      <c r="E1045" s="147"/>
      <c r="F1045" s="147"/>
      <c r="G1045" s="147"/>
      <c r="H1045" s="147"/>
      <c r="I1045" s="147"/>
      <c r="J1045" s="147"/>
      <c r="K1045" s="147"/>
      <c r="L1045" s="147"/>
      <c r="M1045" s="147"/>
      <c r="N1045" s="147"/>
      <c r="O1045" s="147"/>
      <c r="P1045" s="147"/>
      <c r="Q1045" s="147"/>
      <c r="R1045" s="148"/>
      <c r="S1045" s="148"/>
      <c r="T1045" s="148"/>
      <c r="U1045" s="148"/>
      <c r="V1045" s="148"/>
      <c r="W1045" s="148"/>
      <c r="X1045" s="148"/>
      <c r="Y1045" s="148"/>
      <c r="Z1045" s="148"/>
      <c r="AA1045" s="148"/>
      <c r="AB1045" s="148"/>
      <c r="AC1045" s="148"/>
    </row>
    <row r="1046" spans="1:29">
      <c r="A1046" s="149"/>
      <c r="B1046" s="147"/>
      <c r="C1046" s="147"/>
      <c r="D1046" s="147"/>
      <c r="E1046" s="147"/>
      <c r="F1046" s="147"/>
      <c r="G1046" s="147"/>
      <c r="H1046" s="147"/>
      <c r="I1046" s="147"/>
      <c r="J1046" s="147"/>
      <c r="K1046" s="147"/>
      <c r="L1046" s="147"/>
      <c r="M1046" s="147"/>
      <c r="N1046" s="147"/>
      <c r="O1046" s="147"/>
      <c r="P1046" s="147"/>
      <c r="Q1046" s="147"/>
      <c r="R1046" s="148"/>
      <c r="S1046" s="148"/>
      <c r="T1046" s="148"/>
      <c r="U1046" s="148"/>
      <c r="V1046" s="148"/>
      <c r="W1046" s="148"/>
      <c r="X1046" s="148"/>
      <c r="Y1046" s="148"/>
      <c r="Z1046" s="148"/>
      <c r="AA1046" s="148"/>
      <c r="AB1046" s="148"/>
      <c r="AC1046" s="148"/>
    </row>
    <row r="1047" spans="1:29">
      <c r="A1047" s="149"/>
      <c r="B1047" s="147"/>
      <c r="C1047" s="147"/>
      <c r="D1047" s="147"/>
      <c r="E1047" s="147"/>
      <c r="F1047" s="147"/>
      <c r="G1047" s="147"/>
      <c r="H1047" s="147"/>
      <c r="I1047" s="147"/>
      <c r="J1047" s="147"/>
      <c r="K1047" s="147"/>
      <c r="L1047" s="147"/>
      <c r="M1047" s="147"/>
      <c r="N1047" s="147"/>
      <c r="O1047" s="147"/>
      <c r="P1047" s="147"/>
      <c r="Q1047" s="147"/>
      <c r="R1047" s="148"/>
      <c r="S1047" s="148"/>
      <c r="T1047" s="148"/>
      <c r="U1047" s="148"/>
      <c r="V1047" s="148"/>
      <c r="W1047" s="148"/>
      <c r="X1047" s="148"/>
      <c r="Y1047" s="148"/>
      <c r="Z1047" s="148"/>
      <c r="AA1047" s="148"/>
      <c r="AB1047" s="148"/>
      <c r="AC1047" s="148"/>
    </row>
    <row r="1048" spans="1:29">
      <c r="A1048" s="149"/>
      <c r="B1048" s="147"/>
      <c r="C1048" s="147"/>
      <c r="D1048" s="147"/>
      <c r="E1048" s="147"/>
      <c r="F1048" s="147"/>
      <c r="G1048" s="147"/>
      <c r="H1048" s="147"/>
      <c r="I1048" s="147"/>
      <c r="J1048" s="147"/>
      <c r="K1048" s="147"/>
      <c r="L1048" s="147"/>
      <c r="M1048" s="147"/>
      <c r="N1048" s="147"/>
      <c r="O1048" s="147"/>
      <c r="P1048" s="147"/>
      <c r="Q1048" s="147"/>
      <c r="R1048" s="148"/>
      <c r="S1048" s="148"/>
      <c r="T1048" s="148"/>
      <c r="U1048" s="148"/>
      <c r="V1048" s="148"/>
      <c r="W1048" s="148"/>
      <c r="X1048" s="148"/>
      <c r="Y1048" s="148"/>
      <c r="Z1048" s="148"/>
      <c r="AA1048" s="148"/>
      <c r="AB1048" s="148"/>
      <c r="AC1048" s="148"/>
    </row>
    <row r="1049" spans="1:29">
      <c r="A1049" s="149"/>
      <c r="B1049" s="147"/>
      <c r="C1049" s="147"/>
      <c r="D1049" s="147"/>
      <c r="E1049" s="147"/>
      <c r="F1049" s="147"/>
      <c r="G1049" s="147"/>
      <c r="H1049" s="147"/>
      <c r="I1049" s="147"/>
      <c r="J1049" s="147"/>
      <c r="K1049" s="147"/>
      <c r="L1049" s="147"/>
      <c r="M1049" s="147"/>
      <c r="N1049" s="147"/>
      <c r="O1049" s="147"/>
      <c r="P1049" s="147"/>
      <c r="Q1049" s="147"/>
      <c r="R1049" s="148"/>
      <c r="S1049" s="148"/>
      <c r="T1049" s="148"/>
      <c r="U1049" s="148"/>
      <c r="V1049" s="148"/>
      <c r="W1049" s="148"/>
      <c r="X1049" s="148"/>
      <c r="Y1049" s="148"/>
      <c r="Z1049" s="148"/>
      <c r="AA1049" s="148"/>
      <c r="AB1049" s="148"/>
      <c r="AC1049" s="148"/>
    </row>
    <row r="1050" spans="1:29">
      <c r="A1050" s="149"/>
      <c r="B1050" s="147"/>
      <c r="C1050" s="147"/>
      <c r="D1050" s="147"/>
      <c r="E1050" s="147"/>
      <c r="F1050" s="147"/>
      <c r="G1050" s="147"/>
      <c r="H1050" s="147"/>
      <c r="I1050" s="147"/>
      <c r="J1050" s="147"/>
      <c r="K1050" s="147"/>
      <c r="L1050" s="147"/>
      <c r="M1050" s="147"/>
      <c r="N1050" s="147"/>
      <c r="O1050" s="147"/>
      <c r="P1050" s="147"/>
      <c r="Q1050" s="147"/>
      <c r="R1050" s="148"/>
      <c r="S1050" s="148"/>
      <c r="T1050" s="148"/>
      <c r="U1050" s="148"/>
      <c r="V1050" s="148"/>
      <c r="W1050" s="148"/>
      <c r="X1050" s="148"/>
      <c r="Y1050" s="148"/>
      <c r="Z1050" s="148"/>
      <c r="AA1050" s="148"/>
      <c r="AB1050" s="148"/>
      <c r="AC1050" s="148"/>
    </row>
    <row r="1051" spans="1:29">
      <c r="A1051" s="149"/>
      <c r="B1051" s="147"/>
      <c r="C1051" s="147"/>
      <c r="D1051" s="147"/>
      <c r="E1051" s="147"/>
      <c r="F1051" s="147"/>
      <c r="G1051" s="147"/>
      <c r="H1051" s="147"/>
      <c r="I1051" s="147"/>
      <c r="J1051" s="147"/>
      <c r="K1051" s="147"/>
      <c r="L1051" s="147"/>
      <c r="M1051" s="147"/>
      <c r="N1051" s="147"/>
      <c r="O1051" s="147"/>
      <c r="P1051" s="147"/>
      <c r="Q1051" s="147"/>
      <c r="R1051" s="148"/>
      <c r="S1051" s="148"/>
      <c r="T1051" s="148"/>
      <c r="U1051" s="148"/>
      <c r="V1051" s="148"/>
      <c r="W1051" s="148"/>
      <c r="X1051" s="148"/>
      <c r="Y1051" s="148"/>
      <c r="Z1051" s="148"/>
      <c r="AA1051" s="148"/>
      <c r="AB1051" s="148"/>
      <c r="AC1051" s="148"/>
    </row>
    <row r="1052" spans="1:29">
      <c r="A1052" s="149"/>
      <c r="B1052" s="147"/>
      <c r="C1052" s="147"/>
      <c r="D1052" s="147"/>
      <c r="E1052" s="147"/>
      <c r="F1052" s="147"/>
      <c r="G1052" s="147"/>
      <c r="H1052" s="147"/>
      <c r="I1052" s="147"/>
      <c r="J1052" s="147"/>
      <c r="K1052" s="147"/>
      <c r="L1052" s="147"/>
      <c r="M1052" s="147"/>
      <c r="N1052" s="147"/>
      <c r="O1052" s="147"/>
      <c r="P1052" s="147"/>
      <c r="Q1052" s="147"/>
      <c r="R1052" s="148"/>
      <c r="S1052" s="148"/>
      <c r="T1052" s="148"/>
      <c r="U1052" s="148"/>
      <c r="V1052" s="148"/>
      <c r="W1052" s="148"/>
      <c r="X1052" s="148"/>
      <c r="Y1052" s="148"/>
      <c r="Z1052" s="148"/>
      <c r="AA1052" s="148"/>
      <c r="AB1052" s="148"/>
      <c r="AC1052" s="148"/>
    </row>
    <row r="1053" spans="1:29">
      <c r="A1053" s="149"/>
      <c r="B1053" s="147"/>
      <c r="C1053" s="147"/>
      <c r="D1053" s="147"/>
      <c r="E1053" s="147"/>
      <c r="F1053" s="147"/>
      <c r="G1053" s="147"/>
      <c r="H1053" s="147"/>
      <c r="I1053" s="147"/>
      <c r="J1053" s="147"/>
      <c r="K1053" s="147"/>
      <c r="L1053" s="147"/>
      <c r="M1053" s="147"/>
      <c r="N1053" s="147"/>
      <c r="O1053" s="147"/>
      <c r="P1053" s="147"/>
      <c r="Q1053" s="147"/>
      <c r="R1053" s="148"/>
      <c r="S1053" s="148"/>
      <c r="T1053" s="148"/>
      <c r="U1053" s="148"/>
      <c r="V1053" s="148"/>
      <c r="W1053" s="148"/>
      <c r="X1053" s="148"/>
      <c r="Y1053" s="148"/>
      <c r="Z1053" s="148"/>
      <c r="AA1053" s="148"/>
      <c r="AB1053" s="148"/>
      <c r="AC1053" s="148"/>
    </row>
    <row r="1054" spans="1:29">
      <c r="A1054" s="149"/>
      <c r="B1054" s="147"/>
      <c r="C1054" s="147"/>
      <c r="D1054" s="147"/>
      <c r="E1054" s="147"/>
      <c r="F1054" s="147"/>
      <c r="G1054" s="147"/>
      <c r="H1054" s="147"/>
      <c r="I1054" s="147"/>
      <c r="J1054" s="147"/>
      <c r="K1054" s="147"/>
      <c r="L1054" s="147"/>
      <c r="M1054" s="147"/>
      <c r="N1054" s="147"/>
      <c r="O1054" s="147"/>
      <c r="P1054" s="147"/>
      <c r="Q1054" s="147"/>
      <c r="R1054" s="148"/>
      <c r="S1054" s="148"/>
      <c r="T1054" s="148"/>
      <c r="U1054" s="148"/>
      <c r="V1054" s="148"/>
      <c r="W1054" s="148"/>
      <c r="X1054" s="148"/>
      <c r="Y1054" s="148"/>
      <c r="Z1054" s="148"/>
      <c r="AA1054" s="148"/>
      <c r="AB1054" s="148"/>
      <c r="AC1054" s="148"/>
    </row>
    <row r="1055" spans="1:29">
      <c r="A1055" s="149"/>
      <c r="B1055" s="147"/>
      <c r="C1055" s="147"/>
      <c r="D1055" s="147"/>
      <c r="E1055" s="147"/>
      <c r="F1055" s="147"/>
      <c r="G1055" s="147"/>
      <c r="H1055" s="147"/>
      <c r="I1055" s="147"/>
      <c r="J1055" s="147"/>
      <c r="K1055" s="147"/>
      <c r="L1055" s="147"/>
      <c r="M1055" s="147"/>
      <c r="N1055" s="147"/>
      <c r="O1055" s="147"/>
      <c r="P1055" s="147"/>
      <c r="Q1055" s="147"/>
      <c r="R1055" s="148"/>
      <c r="S1055" s="148"/>
      <c r="T1055" s="148"/>
      <c r="U1055" s="148"/>
      <c r="V1055" s="148"/>
      <c r="W1055" s="148"/>
      <c r="X1055" s="148"/>
      <c r="Y1055" s="148"/>
      <c r="Z1055" s="148"/>
      <c r="AA1055" s="148"/>
      <c r="AB1055" s="148"/>
      <c r="AC1055" s="148"/>
    </row>
    <row r="1056" spans="1:29">
      <c r="A1056" s="149"/>
      <c r="B1056" s="147"/>
      <c r="C1056" s="147"/>
      <c r="D1056" s="147"/>
      <c r="E1056" s="147"/>
      <c r="F1056" s="147"/>
      <c r="G1056" s="147"/>
      <c r="H1056" s="147"/>
      <c r="I1056" s="147"/>
      <c r="J1056" s="147"/>
      <c r="K1056" s="147"/>
      <c r="L1056" s="147"/>
      <c r="M1056" s="147"/>
      <c r="N1056" s="147"/>
      <c r="O1056" s="147"/>
      <c r="P1056" s="147"/>
      <c r="Q1056" s="147"/>
      <c r="R1056" s="148"/>
      <c r="S1056" s="148"/>
      <c r="T1056" s="148"/>
      <c r="U1056" s="148"/>
      <c r="V1056" s="148"/>
      <c r="W1056" s="148"/>
      <c r="X1056" s="148"/>
      <c r="Y1056" s="148"/>
      <c r="Z1056" s="148"/>
      <c r="AA1056" s="148"/>
      <c r="AB1056" s="148"/>
      <c r="AC1056" s="148"/>
    </row>
    <row r="1057" spans="1:29">
      <c r="A1057" s="149"/>
      <c r="B1057" s="147"/>
      <c r="C1057" s="147"/>
      <c r="D1057" s="147"/>
      <c r="E1057" s="147"/>
      <c r="F1057" s="147"/>
      <c r="G1057" s="147"/>
      <c r="H1057" s="147"/>
      <c r="I1057" s="147"/>
      <c r="J1057" s="147"/>
      <c r="K1057" s="147"/>
      <c r="L1057" s="147"/>
      <c r="M1057" s="147"/>
      <c r="N1057" s="147"/>
      <c r="O1057" s="147"/>
      <c r="P1057" s="147"/>
      <c r="Q1057" s="147"/>
      <c r="R1057" s="148"/>
      <c r="S1057" s="148"/>
      <c r="T1057" s="148"/>
      <c r="U1057" s="148"/>
      <c r="V1057" s="148"/>
      <c r="W1057" s="148"/>
      <c r="X1057" s="148"/>
      <c r="Y1057" s="148"/>
      <c r="Z1057" s="148"/>
      <c r="AA1057" s="148"/>
      <c r="AB1057" s="148"/>
      <c r="AC1057" s="148"/>
    </row>
    <row r="1058" spans="1:29">
      <c r="A1058" s="149"/>
      <c r="B1058" s="147"/>
      <c r="C1058" s="147"/>
      <c r="D1058" s="147"/>
      <c r="E1058" s="147"/>
      <c r="F1058" s="147"/>
      <c r="G1058" s="147"/>
      <c r="H1058" s="147"/>
      <c r="I1058" s="147"/>
      <c r="J1058" s="147"/>
      <c r="K1058" s="147"/>
      <c r="L1058" s="147"/>
      <c r="M1058" s="147"/>
      <c r="N1058" s="147"/>
      <c r="O1058" s="147"/>
      <c r="P1058" s="147"/>
      <c r="Q1058" s="147"/>
      <c r="R1058" s="148"/>
      <c r="S1058" s="148"/>
      <c r="T1058" s="148"/>
      <c r="U1058" s="148"/>
      <c r="V1058" s="148"/>
      <c r="W1058" s="148"/>
      <c r="X1058" s="148"/>
      <c r="Y1058" s="148"/>
      <c r="Z1058" s="148"/>
      <c r="AA1058" s="148"/>
      <c r="AB1058" s="148"/>
      <c r="AC1058" s="148"/>
    </row>
    <row r="1059" spans="1:29">
      <c r="A1059" s="149"/>
      <c r="B1059" s="147"/>
      <c r="C1059" s="147"/>
      <c r="D1059" s="147"/>
      <c r="E1059" s="147"/>
      <c r="F1059" s="147"/>
      <c r="G1059" s="147"/>
      <c r="H1059" s="147"/>
      <c r="I1059" s="147"/>
      <c r="J1059" s="147"/>
      <c r="K1059" s="147"/>
      <c r="L1059" s="147"/>
      <c r="M1059" s="147"/>
      <c r="N1059" s="147"/>
      <c r="O1059" s="147"/>
      <c r="P1059" s="147"/>
      <c r="Q1059" s="147"/>
      <c r="R1059" s="148"/>
      <c r="S1059" s="148"/>
      <c r="T1059" s="148"/>
      <c r="U1059" s="148"/>
      <c r="V1059" s="148"/>
      <c r="W1059" s="148"/>
      <c r="X1059" s="148"/>
      <c r="Y1059" s="148"/>
      <c r="Z1059" s="148"/>
      <c r="AA1059" s="148"/>
      <c r="AB1059" s="148"/>
      <c r="AC1059" s="148"/>
    </row>
    <row r="1060" spans="1:29">
      <c r="A1060" s="149"/>
      <c r="B1060" s="147"/>
      <c r="C1060" s="147"/>
      <c r="D1060" s="147"/>
      <c r="E1060" s="147"/>
      <c r="F1060" s="147"/>
      <c r="G1060" s="147"/>
      <c r="H1060" s="147"/>
      <c r="I1060" s="147"/>
      <c r="J1060" s="147"/>
      <c r="K1060" s="147"/>
      <c r="L1060" s="147"/>
      <c r="M1060" s="147"/>
      <c r="N1060" s="147"/>
      <c r="O1060" s="147"/>
      <c r="P1060" s="147"/>
      <c r="Q1060" s="147"/>
      <c r="R1060" s="148"/>
      <c r="S1060" s="148"/>
      <c r="T1060" s="148"/>
      <c r="U1060" s="148"/>
      <c r="V1060" s="148"/>
      <c r="W1060" s="148"/>
      <c r="X1060" s="148"/>
      <c r="Y1060" s="148"/>
      <c r="Z1060" s="148"/>
      <c r="AA1060" s="148"/>
      <c r="AB1060" s="148"/>
      <c r="AC1060" s="148"/>
    </row>
    <row r="1061" spans="1:29">
      <c r="A1061" s="149"/>
      <c r="B1061" s="147"/>
      <c r="C1061" s="147"/>
      <c r="D1061" s="147"/>
      <c r="E1061" s="147"/>
      <c r="F1061" s="147"/>
      <c r="G1061" s="147"/>
      <c r="H1061" s="147"/>
      <c r="I1061" s="147"/>
      <c r="J1061" s="147"/>
      <c r="K1061" s="147"/>
      <c r="L1061" s="147"/>
      <c r="M1061" s="147"/>
      <c r="N1061" s="147"/>
      <c r="O1061" s="147"/>
      <c r="P1061" s="147"/>
      <c r="Q1061" s="147"/>
      <c r="R1061" s="148"/>
      <c r="S1061" s="148"/>
      <c r="T1061" s="148"/>
      <c r="U1061" s="148"/>
      <c r="V1061" s="148"/>
      <c r="W1061" s="148"/>
      <c r="X1061" s="148"/>
      <c r="Y1061" s="148"/>
      <c r="Z1061" s="148"/>
      <c r="AA1061" s="148"/>
      <c r="AB1061" s="148"/>
      <c r="AC1061" s="148"/>
    </row>
    <row r="1062" spans="1:29">
      <c r="A1062" s="149"/>
      <c r="B1062" s="147"/>
      <c r="C1062" s="147"/>
      <c r="D1062" s="147"/>
      <c r="E1062" s="147"/>
      <c r="F1062" s="147"/>
      <c r="G1062" s="147"/>
      <c r="H1062" s="147"/>
      <c r="I1062" s="147"/>
      <c r="J1062" s="147"/>
      <c r="K1062" s="147"/>
      <c r="L1062" s="147"/>
      <c r="M1062" s="147"/>
      <c r="N1062" s="147"/>
      <c r="O1062" s="147"/>
      <c r="P1062" s="147"/>
      <c r="Q1062" s="147"/>
      <c r="R1062" s="148"/>
      <c r="S1062" s="148"/>
      <c r="T1062" s="148"/>
      <c r="U1062" s="148"/>
      <c r="V1062" s="148"/>
      <c r="W1062" s="148"/>
      <c r="X1062" s="148"/>
      <c r="Y1062" s="148"/>
      <c r="Z1062" s="148"/>
      <c r="AA1062" s="148"/>
      <c r="AB1062" s="148"/>
      <c r="AC1062" s="148"/>
    </row>
    <row r="1063" spans="1:29">
      <c r="A1063" s="149"/>
      <c r="B1063" s="147"/>
      <c r="C1063" s="147"/>
      <c r="D1063" s="147"/>
      <c r="E1063" s="147"/>
      <c r="F1063" s="147"/>
      <c r="G1063" s="147"/>
      <c r="H1063" s="147"/>
      <c r="I1063" s="147"/>
      <c r="J1063" s="147"/>
      <c r="K1063" s="147"/>
      <c r="L1063" s="147"/>
      <c r="M1063" s="147"/>
      <c r="N1063" s="147"/>
      <c r="O1063" s="147"/>
      <c r="P1063" s="147"/>
      <c r="Q1063" s="147"/>
      <c r="R1063" s="148"/>
      <c r="S1063" s="148"/>
      <c r="T1063" s="148"/>
      <c r="U1063" s="148"/>
      <c r="V1063" s="148"/>
      <c r="W1063" s="148"/>
      <c r="X1063" s="148"/>
      <c r="Y1063" s="148"/>
      <c r="Z1063" s="148"/>
      <c r="AA1063" s="148"/>
      <c r="AB1063" s="148"/>
      <c r="AC1063" s="148"/>
    </row>
    <row r="1064" spans="1:29">
      <c r="A1064" s="149"/>
      <c r="B1064" s="147"/>
      <c r="C1064" s="147"/>
      <c r="D1064" s="147"/>
      <c r="E1064" s="147"/>
      <c r="F1064" s="147"/>
      <c r="G1064" s="147"/>
      <c r="H1064" s="147"/>
      <c r="I1064" s="147"/>
      <c r="J1064" s="147"/>
      <c r="K1064" s="147"/>
      <c r="L1064" s="147"/>
      <c r="M1064" s="147"/>
      <c r="N1064" s="147"/>
      <c r="O1064" s="147"/>
      <c r="P1064" s="147"/>
      <c r="Q1064" s="147"/>
      <c r="R1064" s="148"/>
      <c r="S1064" s="148"/>
      <c r="T1064" s="148"/>
      <c r="U1064" s="148"/>
      <c r="V1064" s="148"/>
      <c r="W1064" s="148"/>
      <c r="X1064" s="148"/>
      <c r="Y1064" s="148"/>
      <c r="Z1064" s="148"/>
      <c r="AA1064" s="148"/>
      <c r="AB1064" s="148"/>
      <c r="AC1064" s="148"/>
    </row>
    <row r="1065" spans="1:29">
      <c r="A1065" s="149"/>
      <c r="B1065" s="147"/>
      <c r="C1065" s="147"/>
      <c r="D1065" s="147"/>
      <c r="E1065" s="147"/>
      <c r="F1065" s="147"/>
      <c r="G1065" s="147"/>
      <c r="H1065" s="147"/>
      <c r="I1065" s="147"/>
      <c r="J1065" s="147"/>
      <c r="K1065" s="147"/>
      <c r="L1065" s="147"/>
      <c r="M1065" s="147"/>
      <c r="N1065" s="147"/>
      <c r="O1065" s="147"/>
      <c r="P1065" s="147"/>
      <c r="Q1065" s="147"/>
      <c r="R1065" s="148"/>
      <c r="S1065" s="148"/>
      <c r="T1065" s="148"/>
      <c r="U1065" s="148"/>
      <c r="V1065" s="148"/>
      <c r="W1065" s="148"/>
      <c r="X1065" s="148"/>
      <c r="Y1065" s="148"/>
      <c r="Z1065" s="148"/>
      <c r="AA1065" s="148"/>
      <c r="AB1065" s="148"/>
      <c r="AC1065" s="148"/>
    </row>
    <row r="1066" spans="1:29">
      <c r="A1066" s="149"/>
      <c r="B1066" s="147"/>
      <c r="C1066" s="147"/>
      <c r="D1066" s="147"/>
      <c r="E1066" s="147"/>
      <c r="F1066" s="147"/>
      <c r="G1066" s="147"/>
      <c r="H1066" s="147"/>
      <c r="I1066" s="147"/>
      <c r="J1066" s="147"/>
      <c r="K1066" s="147"/>
      <c r="L1066" s="147"/>
      <c r="M1066" s="147"/>
      <c r="N1066" s="147"/>
      <c r="O1066" s="147"/>
      <c r="P1066" s="147"/>
      <c r="Q1066" s="147"/>
      <c r="R1066" s="148"/>
      <c r="S1066" s="148"/>
      <c r="T1066" s="148"/>
      <c r="U1066" s="148"/>
      <c r="V1066" s="148"/>
      <c r="W1066" s="148"/>
      <c r="X1066" s="148"/>
      <c r="Y1066" s="148"/>
      <c r="Z1066" s="148"/>
      <c r="AA1066" s="148"/>
      <c r="AB1066" s="148"/>
      <c r="AC1066" s="148"/>
    </row>
    <row r="1067" spans="1:29">
      <c r="A1067" s="149"/>
      <c r="B1067" s="147"/>
      <c r="C1067" s="147"/>
      <c r="D1067" s="147"/>
      <c r="E1067" s="147"/>
      <c r="F1067" s="147"/>
      <c r="G1067" s="147"/>
      <c r="H1067" s="147"/>
      <c r="I1067" s="147"/>
      <c r="J1067" s="147"/>
      <c r="K1067" s="147"/>
      <c r="L1067" s="147"/>
      <c r="M1067" s="147"/>
      <c r="N1067" s="147"/>
      <c r="O1067" s="147"/>
      <c r="P1067" s="147"/>
      <c r="Q1067" s="147"/>
      <c r="R1067" s="148"/>
      <c r="S1067" s="148"/>
      <c r="T1067" s="148"/>
      <c r="U1067" s="148"/>
      <c r="V1067" s="148"/>
      <c r="W1067" s="148"/>
      <c r="X1067" s="148"/>
      <c r="Y1067" s="148"/>
      <c r="Z1067" s="148"/>
      <c r="AA1067" s="148"/>
      <c r="AB1067" s="148"/>
      <c r="AC1067" s="148"/>
    </row>
    <row r="1068" spans="1:29">
      <c r="A1068" s="149"/>
      <c r="B1068" s="147"/>
      <c r="C1068" s="147"/>
      <c r="D1068" s="147"/>
      <c r="E1068" s="147"/>
      <c r="F1068" s="147"/>
      <c r="G1068" s="147"/>
      <c r="H1068" s="147"/>
      <c r="I1068" s="147"/>
      <c r="J1068" s="147"/>
      <c r="K1068" s="147"/>
      <c r="L1068" s="147"/>
      <c r="M1068" s="147"/>
      <c r="N1068" s="147"/>
      <c r="O1068" s="147"/>
      <c r="P1068" s="147"/>
      <c r="Q1068" s="147"/>
      <c r="R1068" s="148"/>
      <c r="S1068" s="148"/>
      <c r="T1068" s="148"/>
      <c r="U1068" s="148"/>
      <c r="V1068" s="148"/>
      <c r="W1068" s="148"/>
      <c r="X1068" s="148"/>
      <c r="Y1068" s="148"/>
      <c r="Z1068" s="148"/>
      <c r="AA1068" s="148"/>
      <c r="AB1068" s="148"/>
      <c r="AC1068" s="148"/>
    </row>
    <row r="1069" spans="1:29">
      <c r="A1069" s="149"/>
      <c r="B1069" s="147"/>
      <c r="C1069" s="147"/>
      <c r="D1069" s="147"/>
      <c r="E1069" s="147"/>
      <c r="F1069" s="147"/>
      <c r="G1069" s="147"/>
      <c r="H1069" s="147"/>
      <c r="I1069" s="147"/>
      <c r="J1069" s="147"/>
      <c r="K1069" s="147"/>
      <c r="L1069" s="147"/>
      <c r="M1069" s="147"/>
      <c r="N1069" s="147"/>
      <c r="O1069" s="147"/>
      <c r="P1069" s="147"/>
      <c r="Q1069" s="147"/>
      <c r="R1069" s="148"/>
      <c r="S1069" s="148"/>
      <c r="T1069" s="148"/>
      <c r="U1069" s="148"/>
      <c r="V1069" s="148"/>
      <c r="W1069" s="148"/>
      <c r="X1069" s="148"/>
      <c r="Y1069" s="148"/>
      <c r="Z1069" s="148"/>
      <c r="AA1069" s="148"/>
      <c r="AB1069" s="148"/>
      <c r="AC1069" s="148"/>
    </row>
    <row r="1070" spans="1:29">
      <c r="A1070" s="149"/>
      <c r="B1070" s="147"/>
      <c r="C1070" s="147"/>
      <c r="D1070" s="147"/>
      <c r="E1070" s="147"/>
      <c r="F1070" s="147"/>
      <c r="G1070" s="147"/>
      <c r="H1070" s="147"/>
      <c r="I1070" s="147"/>
      <c r="J1070" s="147"/>
      <c r="K1070" s="147"/>
      <c r="L1070" s="147"/>
      <c r="M1070" s="147"/>
      <c r="N1070" s="147"/>
      <c r="O1070" s="147"/>
      <c r="P1070" s="147"/>
      <c r="Q1070" s="147"/>
      <c r="R1070" s="148"/>
      <c r="S1070" s="148"/>
      <c r="T1070" s="148"/>
      <c r="U1070" s="148"/>
      <c r="V1070" s="148"/>
      <c r="W1070" s="148"/>
      <c r="X1070" s="148"/>
      <c r="Y1070" s="148"/>
      <c r="Z1070" s="148"/>
      <c r="AA1070" s="148"/>
      <c r="AB1070" s="148"/>
      <c r="AC1070" s="148"/>
    </row>
    <row r="1071" spans="1:29">
      <c r="A1071" s="149"/>
      <c r="B1071" s="147"/>
      <c r="C1071" s="147"/>
      <c r="D1071" s="147"/>
      <c r="E1071" s="147"/>
      <c r="F1071" s="147"/>
      <c r="G1071" s="147"/>
      <c r="H1071" s="147"/>
      <c r="I1071" s="147"/>
      <c r="J1071" s="147"/>
      <c r="K1071" s="147"/>
      <c r="L1071" s="147"/>
      <c r="M1071" s="147"/>
      <c r="N1071" s="147"/>
      <c r="O1071" s="147"/>
      <c r="P1071" s="147"/>
      <c r="Q1071" s="147"/>
      <c r="R1071" s="148"/>
      <c r="S1071" s="148"/>
      <c r="T1071" s="148"/>
      <c r="U1071" s="148"/>
      <c r="V1071" s="148"/>
      <c r="W1071" s="148"/>
      <c r="X1071" s="148"/>
      <c r="Y1071" s="148"/>
      <c r="Z1071" s="148"/>
      <c r="AA1071" s="148"/>
      <c r="AB1071" s="148"/>
      <c r="AC1071" s="148"/>
    </row>
    <row r="1072" spans="1:29">
      <c r="A1072" s="149"/>
      <c r="B1072" s="147"/>
      <c r="C1072" s="147"/>
      <c r="D1072" s="147"/>
      <c r="E1072" s="147"/>
      <c r="F1072" s="147"/>
      <c r="G1072" s="147"/>
      <c r="H1072" s="147"/>
      <c r="I1072" s="147"/>
      <c r="J1072" s="147"/>
      <c r="K1072" s="147"/>
      <c r="L1072" s="147"/>
      <c r="M1072" s="147"/>
      <c r="N1072" s="147"/>
      <c r="O1072" s="147"/>
      <c r="P1072" s="147"/>
      <c r="Q1072" s="147"/>
      <c r="R1072" s="148"/>
      <c r="S1072" s="148"/>
      <c r="T1072" s="148"/>
      <c r="U1072" s="148"/>
      <c r="V1072" s="148"/>
      <c r="W1072" s="148"/>
      <c r="X1072" s="148"/>
      <c r="Y1072" s="148"/>
      <c r="Z1072" s="148"/>
      <c r="AA1072" s="148"/>
      <c r="AB1072" s="148"/>
      <c r="AC1072" s="148"/>
    </row>
    <row r="1073" spans="1:29">
      <c r="A1073" s="149"/>
      <c r="B1073" s="147"/>
      <c r="C1073" s="147"/>
      <c r="D1073" s="147"/>
      <c r="E1073" s="147"/>
      <c r="F1073" s="147"/>
      <c r="G1073" s="147"/>
      <c r="H1073" s="147"/>
      <c r="I1073" s="147"/>
      <c r="J1073" s="147"/>
      <c r="K1073" s="147"/>
      <c r="L1073" s="147"/>
      <c r="M1073" s="147"/>
      <c r="N1073" s="147"/>
      <c r="O1073" s="147"/>
      <c r="P1073" s="147"/>
      <c r="Q1073" s="147"/>
      <c r="R1073" s="148"/>
      <c r="S1073" s="148"/>
      <c r="T1073" s="148"/>
      <c r="U1073" s="148"/>
      <c r="V1073" s="148"/>
      <c r="W1073" s="148"/>
      <c r="X1073" s="148"/>
      <c r="Y1073" s="148"/>
      <c r="Z1073" s="148"/>
      <c r="AA1073" s="148"/>
      <c r="AB1073" s="148"/>
      <c r="AC1073" s="148"/>
    </row>
    <row r="1074" spans="1:29">
      <c r="A1074" s="149"/>
      <c r="B1074" s="147"/>
      <c r="C1074" s="147"/>
      <c r="D1074" s="147"/>
      <c r="E1074" s="147"/>
      <c r="F1074" s="147"/>
      <c r="G1074" s="147"/>
      <c r="H1074" s="147"/>
      <c r="I1074" s="147"/>
      <c r="J1074" s="147"/>
      <c r="K1074" s="147"/>
      <c r="L1074" s="147"/>
      <c r="M1074" s="147"/>
      <c r="N1074" s="147"/>
      <c r="O1074" s="147"/>
      <c r="P1074" s="147"/>
      <c r="Q1074" s="147"/>
      <c r="R1074" s="148"/>
      <c r="S1074" s="148"/>
      <c r="T1074" s="148"/>
      <c r="U1074" s="148"/>
      <c r="V1074" s="148"/>
      <c r="W1074" s="148"/>
      <c r="X1074" s="148"/>
      <c r="Y1074" s="148"/>
      <c r="Z1074" s="148"/>
      <c r="AA1074" s="148"/>
      <c r="AB1074" s="148"/>
      <c r="AC1074" s="148"/>
    </row>
    <row r="1075" spans="1:29">
      <c r="A1075" s="149"/>
      <c r="B1075" s="147"/>
      <c r="C1075" s="147"/>
      <c r="D1075" s="147"/>
      <c r="E1075" s="147"/>
      <c r="F1075" s="147"/>
      <c r="G1075" s="147"/>
      <c r="H1075" s="147"/>
      <c r="I1075" s="147"/>
      <c r="J1075" s="147"/>
      <c r="K1075" s="147"/>
      <c r="L1075" s="147"/>
      <c r="M1075" s="147"/>
      <c r="N1075" s="147"/>
      <c r="O1075" s="147"/>
      <c r="P1075" s="147"/>
      <c r="Q1075" s="147"/>
      <c r="R1075" s="148"/>
      <c r="S1075" s="148"/>
      <c r="T1075" s="148"/>
      <c r="U1075" s="148"/>
      <c r="V1075" s="148"/>
      <c r="W1075" s="148"/>
      <c r="X1075" s="148"/>
      <c r="Y1075" s="148"/>
      <c r="Z1075" s="148"/>
      <c r="AA1075" s="148"/>
      <c r="AB1075" s="148"/>
      <c r="AC1075" s="148"/>
    </row>
    <row r="1076" spans="1:29">
      <c r="A1076" s="149"/>
      <c r="B1076" s="147"/>
      <c r="C1076" s="147"/>
      <c r="D1076" s="147"/>
      <c r="E1076" s="147"/>
      <c r="F1076" s="147"/>
      <c r="G1076" s="147"/>
      <c r="H1076" s="147"/>
      <c r="I1076" s="147"/>
      <c r="J1076" s="147"/>
      <c r="K1076" s="147"/>
      <c r="L1076" s="147"/>
      <c r="M1076" s="147"/>
      <c r="N1076" s="147"/>
      <c r="O1076" s="147"/>
      <c r="P1076" s="147"/>
      <c r="Q1076" s="147"/>
      <c r="R1076" s="148"/>
      <c r="S1076" s="148"/>
      <c r="T1076" s="148"/>
      <c r="U1076" s="148"/>
      <c r="V1076" s="148"/>
      <c r="W1076" s="148"/>
      <c r="X1076" s="148"/>
      <c r="Y1076" s="148"/>
      <c r="Z1076" s="148"/>
      <c r="AA1076" s="148"/>
      <c r="AB1076" s="148"/>
      <c r="AC1076" s="148"/>
    </row>
    <row r="1077" spans="1:29">
      <c r="A1077" s="149"/>
      <c r="B1077" s="147"/>
      <c r="C1077" s="147"/>
      <c r="D1077" s="147"/>
      <c r="E1077" s="147"/>
      <c r="F1077" s="147"/>
      <c r="G1077" s="147"/>
      <c r="H1077" s="147"/>
      <c r="I1077" s="147"/>
      <c r="J1077" s="147"/>
      <c r="K1077" s="147"/>
      <c r="L1077" s="147"/>
      <c r="M1077" s="147"/>
      <c r="N1077" s="147"/>
      <c r="O1077" s="147"/>
      <c r="P1077" s="147"/>
      <c r="Q1077" s="147"/>
      <c r="R1077" s="148"/>
      <c r="S1077" s="148"/>
      <c r="T1077" s="148"/>
      <c r="U1077" s="148"/>
      <c r="V1077" s="148"/>
      <c r="W1077" s="148"/>
      <c r="X1077" s="148"/>
      <c r="Y1077" s="148"/>
      <c r="Z1077" s="148"/>
      <c r="AA1077" s="148"/>
      <c r="AB1077" s="148"/>
      <c r="AC1077" s="148"/>
    </row>
    <row r="1078" spans="1:29">
      <c r="A1078" s="149"/>
      <c r="B1078" s="147"/>
      <c r="C1078" s="147"/>
      <c r="D1078" s="147"/>
      <c r="E1078" s="147"/>
      <c r="F1078" s="147"/>
      <c r="G1078" s="147"/>
      <c r="H1078" s="147"/>
      <c r="I1078" s="147"/>
      <c r="J1078" s="147"/>
      <c r="K1078" s="147"/>
      <c r="L1078" s="147"/>
      <c r="M1078" s="147"/>
      <c r="N1078" s="147"/>
      <c r="O1078" s="147"/>
      <c r="P1078" s="147"/>
      <c r="Q1078" s="147"/>
      <c r="R1078" s="148"/>
      <c r="S1078" s="148"/>
      <c r="T1078" s="148"/>
      <c r="U1078" s="148"/>
      <c r="V1078" s="148"/>
      <c r="W1078" s="148"/>
      <c r="X1078" s="148"/>
      <c r="Y1078" s="148"/>
      <c r="Z1078" s="148"/>
      <c r="AA1078" s="148"/>
      <c r="AB1078" s="148"/>
      <c r="AC1078" s="148"/>
    </row>
    <row r="1079" spans="1:29">
      <c r="A1079" s="149"/>
      <c r="B1079" s="147"/>
      <c r="C1079" s="147"/>
      <c r="D1079" s="147"/>
      <c r="E1079" s="147"/>
      <c r="F1079" s="147"/>
      <c r="G1079" s="147"/>
      <c r="H1079" s="147"/>
      <c r="I1079" s="147"/>
      <c r="J1079" s="147"/>
      <c r="K1079" s="147"/>
      <c r="L1079" s="147"/>
      <c r="M1079" s="147"/>
      <c r="N1079" s="147"/>
      <c r="O1079" s="147"/>
      <c r="P1079" s="147"/>
      <c r="Q1079" s="147"/>
      <c r="R1079" s="148"/>
      <c r="S1079" s="148"/>
      <c r="T1079" s="148"/>
      <c r="U1079" s="148"/>
      <c r="V1079" s="148"/>
      <c r="W1079" s="148"/>
      <c r="X1079" s="148"/>
      <c r="Y1079" s="148"/>
      <c r="Z1079" s="148"/>
      <c r="AA1079" s="148"/>
      <c r="AB1079" s="148"/>
      <c r="AC1079" s="148"/>
    </row>
    <row r="1080" spans="1:29">
      <c r="A1080" s="149"/>
      <c r="B1080" s="147"/>
      <c r="C1080" s="147"/>
      <c r="D1080" s="147"/>
      <c r="E1080" s="147"/>
      <c r="F1080" s="147"/>
      <c r="G1080" s="147"/>
      <c r="H1080" s="147"/>
      <c r="I1080" s="147"/>
      <c r="J1080" s="147"/>
      <c r="K1080" s="147"/>
      <c r="L1080" s="147"/>
      <c r="M1080" s="147"/>
      <c r="N1080" s="147"/>
      <c r="O1080" s="147"/>
      <c r="P1080" s="147"/>
      <c r="Q1080" s="147"/>
      <c r="R1080" s="148"/>
      <c r="S1080" s="148"/>
      <c r="T1080" s="148"/>
      <c r="U1080" s="148"/>
      <c r="V1080" s="148"/>
      <c r="W1080" s="148"/>
      <c r="X1080" s="148"/>
      <c r="Y1080" s="148"/>
      <c r="Z1080" s="148"/>
      <c r="AA1080" s="148"/>
      <c r="AB1080" s="148"/>
      <c r="AC1080" s="148"/>
    </row>
    <row r="1081" spans="1:29">
      <c r="A1081" s="149"/>
      <c r="B1081" s="147"/>
      <c r="C1081" s="147"/>
      <c r="D1081" s="147"/>
      <c r="E1081" s="147"/>
      <c r="F1081" s="147"/>
      <c r="G1081" s="147"/>
      <c r="H1081" s="147"/>
      <c r="I1081" s="147"/>
      <c r="J1081" s="147"/>
      <c r="K1081" s="147"/>
      <c r="L1081" s="147"/>
      <c r="M1081" s="147"/>
      <c r="N1081" s="147"/>
      <c r="O1081" s="147"/>
      <c r="P1081" s="147"/>
      <c r="Q1081" s="147"/>
      <c r="R1081" s="148"/>
      <c r="S1081" s="148"/>
      <c r="T1081" s="148"/>
      <c r="U1081" s="148"/>
      <c r="V1081" s="148"/>
      <c r="W1081" s="148"/>
      <c r="X1081" s="148"/>
      <c r="Y1081" s="148"/>
      <c r="Z1081" s="148"/>
      <c r="AA1081" s="148"/>
      <c r="AB1081" s="148"/>
      <c r="AC1081" s="148"/>
    </row>
    <row r="1082" spans="1:29">
      <c r="A1082" s="149"/>
      <c r="B1082" s="147"/>
      <c r="C1082" s="147"/>
      <c r="D1082" s="147"/>
      <c r="E1082" s="147"/>
      <c r="F1082" s="147"/>
      <c r="G1082" s="147"/>
      <c r="H1082" s="147"/>
      <c r="I1082" s="147"/>
      <c r="J1082" s="147"/>
      <c r="K1082" s="147"/>
      <c r="L1082" s="147"/>
      <c r="M1082" s="147"/>
      <c r="N1082" s="147"/>
      <c r="O1082" s="147"/>
      <c r="P1082" s="147"/>
      <c r="Q1082" s="147"/>
      <c r="R1082" s="148"/>
      <c r="S1082" s="148"/>
      <c r="T1082" s="148"/>
      <c r="U1082" s="148"/>
      <c r="V1082" s="148"/>
      <c r="W1082" s="148"/>
      <c r="X1082" s="148"/>
      <c r="Y1082" s="148"/>
      <c r="Z1082" s="148"/>
      <c r="AA1082" s="148"/>
      <c r="AB1082" s="148"/>
      <c r="AC1082" s="148"/>
    </row>
    <row r="1083" spans="1:29">
      <c r="A1083" s="149"/>
      <c r="B1083" s="147"/>
      <c r="C1083" s="147"/>
      <c r="D1083" s="147"/>
      <c r="E1083" s="147"/>
      <c r="F1083" s="147"/>
      <c r="G1083" s="147"/>
      <c r="H1083" s="147"/>
      <c r="I1083" s="147"/>
      <c r="J1083" s="147"/>
      <c r="K1083" s="147"/>
      <c r="L1083" s="147"/>
      <c r="M1083" s="147"/>
      <c r="N1083" s="147"/>
      <c r="O1083" s="147"/>
      <c r="P1083" s="147"/>
      <c r="Q1083" s="147"/>
      <c r="R1083" s="148"/>
      <c r="S1083" s="148"/>
      <c r="T1083" s="148"/>
      <c r="U1083" s="148"/>
      <c r="V1083" s="148"/>
      <c r="W1083" s="148"/>
      <c r="X1083" s="148"/>
      <c r="Y1083" s="148"/>
      <c r="Z1083" s="148"/>
      <c r="AA1083" s="148"/>
      <c r="AB1083" s="148"/>
      <c r="AC1083" s="148"/>
    </row>
    <row r="1084" spans="1:29">
      <c r="A1084" s="149"/>
      <c r="B1084" s="147"/>
      <c r="C1084" s="147"/>
      <c r="D1084" s="147"/>
      <c r="E1084" s="147"/>
      <c r="F1084" s="147"/>
      <c r="G1084" s="147"/>
      <c r="H1084" s="147"/>
      <c r="I1084" s="147"/>
      <c r="J1084" s="147"/>
      <c r="K1084" s="147"/>
      <c r="L1084" s="147"/>
      <c r="M1084" s="147"/>
      <c r="N1084" s="147"/>
      <c r="O1084" s="147"/>
      <c r="P1084" s="147"/>
      <c r="Q1084" s="147"/>
      <c r="R1084" s="148"/>
      <c r="S1084" s="148"/>
      <c r="T1084" s="148"/>
      <c r="U1084" s="148"/>
      <c r="V1084" s="148"/>
      <c r="W1084" s="148"/>
      <c r="X1084" s="148"/>
      <c r="Y1084" s="148"/>
      <c r="Z1084" s="148"/>
      <c r="AA1084" s="148"/>
      <c r="AB1084" s="148"/>
      <c r="AC1084" s="148"/>
    </row>
    <row r="1085" spans="1:29">
      <c r="A1085" s="149"/>
      <c r="B1085" s="147"/>
      <c r="C1085" s="147"/>
      <c r="D1085" s="147"/>
      <c r="E1085" s="147"/>
      <c r="F1085" s="147"/>
      <c r="G1085" s="147"/>
      <c r="H1085" s="147"/>
      <c r="I1085" s="147"/>
      <c r="J1085" s="147"/>
      <c r="K1085" s="147"/>
      <c r="L1085" s="147"/>
      <c r="M1085" s="147"/>
      <c r="N1085" s="147"/>
      <c r="O1085" s="147"/>
      <c r="P1085" s="147"/>
      <c r="Q1085" s="147"/>
      <c r="R1085" s="148"/>
      <c r="S1085" s="148"/>
      <c r="T1085" s="148"/>
      <c r="U1085" s="148"/>
      <c r="V1085" s="148"/>
      <c r="W1085" s="148"/>
      <c r="X1085" s="148"/>
      <c r="Y1085" s="148"/>
      <c r="Z1085" s="148"/>
      <c r="AA1085" s="148"/>
      <c r="AB1085" s="148"/>
      <c r="AC1085" s="148"/>
    </row>
    <row r="1086" spans="1:29">
      <c r="A1086" s="149"/>
      <c r="B1086" s="147"/>
      <c r="C1086" s="147"/>
      <c r="D1086" s="147"/>
      <c r="E1086" s="147"/>
      <c r="F1086" s="147"/>
      <c r="G1086" s="147"/>
      <c r="H1086" s="147"/>
      <c r="I1086" s="147"/>
      <c r="J1086" s="147"/>
      <c r="K1086" s="147"/>
      <c r="L1086" s="147"/>
      <c r="M1086" s="147"/>
      <c r="N1086" s="147"/>
      <c r="O1086" s="147"/>
      <c r="P1086" s="147"/>
      <c r="Q1086" s="147"/>
      <c r="R1086" s="148"/>
      <c r="S1086" s="148"/>
      <c r="T1086" s="148"/>
      <c r="U1086" s="148"/>
      <c r="V1086" s="148"/>
      <c r="W1086" s="148"/>
      <c r="X1086" s="148"/>
      <c r="Y1086" s="148"/>
      <c r="Z1086" s="148"/>
      <c r="AA1086" s="148"/>
      <c r="AB1086" s="148"/>
      <c r="AC1086" s="148"/>
    </row>
    <row r="1087" spans="1:29">
      <c r="A1087" s="149"/>
      <c r="B1087" s="147"/>
      <c r="C1087" s="147"/>
      <c r="D1087" s="147"/>
      <c r="E1087" s="147"/>
      <c r="F1087" s="147"/>
      <c r="G1087" s="147"/>
      <c r="H1087" s="147"/>
      <c r="I1087" s="147"/>
      <c r="J1087" s="147"/>
      <c r="K1087" s="147"/>
      <c r="L1087" s="147"/>
      <c r="M1087" s="147"/>
      <c r="N1087" s="147"/>
      <c r="O1087" s="147"/>
      <c r="P1087" s="147"/>
      <c r="Q1087" s="147"/>
      <c r="R1087" s="148"/>
      <c r="S1087" s="148"/>
      <c r="T1087" s="148"/>
      <c r="U1087" s="148"/>
      <c r="V1087" s="148"/>
      <c r="W1087" s="148"/>
      <c r="X1087" s="148"/>
      <c r="Y1087" s="148"/>
      <c r="Z1087" s="148"/>
      <c r="AA1087" s="148"/>
      <c r="AB1087" s="148"/>
      <c r="AC1087" s="148"/>
    </row>
    <row r="1088" spans="1:29">
      <c r="A1088" s="149"/>
      <c r="B1088" s="147"/>
      <c r="C1088" s="147"/>
      <c r="D1088" s="147"/>
      <c r="E1088" s="147"/>
      <c r="F1088" s="147"/>
      <c r="G1088" s="147"/>
      <c r="H1088" s="147"/>
      <c r="I1088" s="147"/>
      <c r="J1088" s="147"/>
      <c r="K1088" s="147"/>
      <c r="L1088" s="147"/>
      <c r="M1088" s="147"/>
      <c r="N1088" s="147"/>
      <c r="O1088" s="147"/>
      <c r="P1088" s="147"/>
      <c r="Q1088" s="147"/>
      <c r="R1088" s="148"/>
      <c r="S1088" s="148"/>
      <c r="T1088" s="148"/>
      <c r="U1088" s="148"/>
      <c r="V1088" s="148"/>
      <c r="W1088" s="148"/>
      <c r="X1088" s="148"/>
      <c r="Y1088" s="148"/>
      <c r="Z1088" s="148"/>
      <c r="AA1088" s="148"/>
      <c r="AB1088" s="148"/>
      <c r="AC1088" s="148"/>
    </row>
    <row r="1089" spans="1:29">
      <c r="A1089" s="149"/>
      <c r="B1089" s="147"/>
      <c r="C1089" s="147"/>
      <c r="D1089" s="147"/>
      <c r="E1089" s="147"/>
      <c r="F1089" s="147"/>
      <c r="G1089" s="147"/>
      <c r="H1089" s="147"/>
      <c r="I1089" s="147"/>
      <c r="J1089" s="147"/>
      <c r="K1089" s="147"/>
      <c r="L1089" s="147"/>
      <c r="M1089" s="147"/>
      <c r="N1089" s="147"/>
      <c r="O1089" s="147"/>
      <c r="P1089" s="147"/>
      <c r="Q1089" s="147"/>
      <c r="R1089" s="148"/>
      <c r="S1089" s="148"/>
      <c r="T1089" s="148"/>
      <c r="U1089" s="148"/>
      <c r="V1089" s="148"/>
      <c r="W1089" s="148"/>
      <c r="X1089" s="148"/>
      <c r="Y1089" s="148"/>
      <c r="Z1089" s="148"/>
      <c r="AA1089" s="148"/>
      <c r="AB1089" s="148"/>
      <c r="AC1089" s="148"/>
    </row>
    <row r="1090" spans="1:29">
      <c r="A1090" s="149"/>
      <c r="B1090" s="147"/>
      <c r="C1090" s="147"/>
      <c r="D1090" s="147"/>
      <c r="E1090" s="147"/>
      <c r="F1090" s="147"/>
      <c r="G1090" s="147"/>
      <c r="H1090" s="147"/>
      <c r="I1090" s="147"/>
      <c r="J1090" s="147"/>
      <c r="K1090" s="147"/>
      <c r="L1090" s="147"/>
      <c r="M1090" s="147"/>
      <c r="N1090" s="147"/>
      <c r="O1090" s="147"/>
      <c r="P1090" s="147"/>
      <c r="Q1090" s="147"/>
      <c r="R1090" s="148"/>
      <c r="S1090" s="148"/>
      <c r="T1090" s="148"/>
      <c r="U1090" s="148"/>
      <c r="V1090" s="148"/>
      <c r="W1090" s="148"/>
      <c r="X1090" s="148"/>
      <c r="Y1090" s="148"/>
      <c r="Z1090" s="148"/>
      <c r="AA1090" s="148"/>
      <c r="AB1090" s="148"/>
      <c r="AC1090" s="148"/>
    </row>
    <row r="1091" spans="1:29">
      <c r="A1091" s="149"/>
      <c r="B1091" s="147"/>
      <c r="C1091" s="147"/>
      <c r="D1091" s="147"/>
      <c r="E1091" s="147"/>
      <c r="F1091" s="147"/>
      <c r="G1091" s="147"/>
      <c r="H1091" s="147"/>
      <c r="I1091" s="147"/>
      <c r="J1091" s="147"/>
      <c r="K1091" s="147"/>
      <c r="L1091" s="147"/>
      <c r="M1091" s="147"/>
      <c r="N1091" s="147"/>
      <c r="O1091" s="147"/>
      <c r="P1091" s="147"/>
      <c r="Q1091" s="147"/>
      <c r="R1091" s="148"/>
      <c r="S1091" s="148"/>
      <c r="T1091" s="148"/>
      <c r="U1091" s="148"/>
      <c r="V1091" s="148"/>
      <c r="W1091" s="148"/>
      <c r="X1091" s="148"/>
      <c r="Y1091" s="148"/>
      <c r="Z1091" s="148"/>
      <c r="AA1091" s="148"/>
      <c r="AB1091" s="148"/>
      <c r="AC1091" s="148"/>
    </row>
    <row r="1092" spans="1:29">
      <c r="A1092" s="149"/>
      <c r="B1092" s="147"/>
      <c r="C1092" s="147"/>
      <c r="D1092" s="147"/>
      <c r="E1092" s="147"/>
      <c r="F1092" s="147"/>
      <c r="G1092" s="147"/>
      <c r="H1092" s="147"/>
      <c r="I1092" s="147"/>
      <c r="J1092" s="147"/>
      <c r="K1092" s="147"/>
      <c r="L1092" s="147"/>
      <c r="M1092" s="147"/>
      <c r="N1092" s="147"/>
      <c r="O1092" s="147"/>
      <c r="P1092" s="147"/>
      <c r="Q1092" s="147"/>
      <c r="R1092" s="148"/>
      <c r="S1092" s="148"/>
      <c r="T1092" s="148"/>
      <c r="U1092" s="148"/>
      <c r="V1092" s="148"/>
      <c r="W1092" s="148"/>
      <c r="X1092" s="148"/>
      <c r="Y1092" s="148"/>
      <c r="Z1092" s="148"/>
      <c r="AA1092" s="148"/>
      <c r="AB1092" s="148"/>
      <c r="AC1092" s="148"/>
    </row>
    <row r="1093" spans="1:29">
      <c r="A1093" s="149"/>
      <c r="B1093" s="147"/>
      <c r="C1093" s="147"/>
      <c r="D1093" s="147"/>
      <c r="E1093" s="147"/>
      <c r="F1093" s="147"/>
      <c r="G1093" s="147"/>
      <c r="H1093" s="147"/>
      <c r="I1093" s="147"/>
      <c r="J1093" s="147"/>
      <c r="K1093" s="147"/>
      <c r="L1093" s="147"/>
      <c r="M1093" s="147"/>
      <c r="N1093" s="147"/>
      <c r="O1093" s="147"/>
      <c r="P1093" s="147"/>
      <c r="Q1093" s="147"/>
      <c r="R1093" s="148"/>
      <c r="S1093" s="148"/>
      <c r="T1093" s="148"/>
      <c r="U1093" s="148"/>
      <c r="V1093" s="148"/>
      <c r="W1093" s="148"/>
      <c r="X1093" s="148"/>
      <c r="Y1093" s="148"/>
      <c r="Z1093" s="148"/>
      <c r="AA1093" s="148"/>
      <c r="AB1093" s="148"/>
      <c r="AC1093" s="148"/>
    </row>
    <row r="1094" spans="1:29">
      <c r="A1094" s="149"/>
      <c r="B1094" s="147"/>
      <c r="C1094" s="147"/>
      <c r="D1094" s="147"/>
      <c r="E1094" s="147"/>
      <c r="F1094" s="147"/>
      <c r="G1094" s="147"/>
      <c r="H1094" s="147"/>
      <c r="I1094" s="147"/>
      <c r="J1094" s="147"/>
      <c r="K1094" s="147"/>
      <c r="L1094" s="147"/>
      <c r="M1094" s="147"/>
      <c r="N1094" s="147"/>
      <c r="O1094" s="147"/>
      <c r="P1094" s="147"/>
      <c r="Q1094" s="147"/>
      <c r="R1094" s="148"/>
      <c r="S1094" s="148"/>
      <c r="T1094" s="148"/>
      <c r="U1094" s="148"/>
      <c r="V1094" s="148"/>
      <c r="W1094" s="148"/>
      <c r="X1094" s="148"/>
      <c r="Y1094" s="148"/>
      <c r="Z1094" s="148"/>
      <c r="AA1094" s="148"/>
      <c r="AB1094" s="148"/>
      <c r="AC1094" s="148"/>
    </row>
    <row r="1095" spans="1:29">
      <c r="A1095" s="149"/>
      <c r="B1095" s="147"/>
      <c r="C1095" s="147"/>
      <c r="D1095" s="147"/>
      <c r="E1095" s="147"/>
      <c r="F1095" s="147"/>
      <c r="G1095" s="147"/>
      <c r="H1095" s="147"/>
      <c r="I1095" s="147"/>
      <c r="J1095" s="147"/>
      <c r="K1095" s="147"/>
      <c r="L1095" s="147"/>
      <c r="M1095" s="147"/>
      <c r="N1095" s="147"/>
      <c r="O1095" s="147"/>
      <c r="P1095" s="147"/>
      <c r="Q1095" s="147"/>
      <c r="R1095" s="148"/>
      <c r="S1095" s="148"/>
      <c r="T1095" s="148"/>
      <c r="U1095" s="148"/>
      <c r="V1095" s="148"/>
      <c r="W1095" s="148"/>
      <c r="X1095" s="148"/>
      <c r="Y1095" s="148"/>
      <c r="Z1095" s="148"/>
      <c r="AA1095" s="148"/>
      <c r="AB1095" s="148"/>
      <c r="AC1095" s="148"/>
    </row>
    <row r="1096" spans="1:29">
      <c r="A1096" s="149"/>
      <c r="B1096" s="147"/>
      <c r="C1096" s="147"/>
      <c r="D1096" s="147"/>
      <c r="E1096" s="147"/>
      <c r="F1096" s="147"/>
      <c r="G1096" s="147"/>
      <c r="H1096" s="147"/>
      <c r="I1096" s="147"/>
      <c r="J1096" s="147"/>
      <c r="K1096" s="147"/>
      <c r="L1096" s="147"/>
      <c r="M1096" s="147"/>
      <c r="N1096" s="147"/>
      <c r="O1096" s="147"/>
      <c r="P1096" s="147"/>
      <c r="Q1096" s="147"/>
      <c r="R1096" s="148"/>
      <c r="S1096" s="148"/>
      <c r="T1096" s="148"/>
      <c r="U1096" s="148"/>
      <c r="V1096" s="148"/>
      <c r="W1096" s="148"/>
      <c r="X1096" s="148"/>
      <c r="Y1096" s="148"/>
      <c r="Z1096" s="148"/>
      <c r="AA1096" s="148"/>
      <c r="AB1096" s="148"/>
      <c r="AC1096" s="148"/>
    </row>
    <row r="1097" spans="1:29">
      <c r="A1097" s="149"/>
      <c r="B1097" s="147"/>
      <c r="C1097" s="147"/>
      <c r="D1097" s="147"/>
      <c r="E1097" s="147"/>
      <c r="F1097" s="147"/>
      <c r="G1097" s="147"/>
      <c r="H1097" s="147"/>
      <c r="I1097" s="147"/>
      <c r="J1097" s="147"/>
      <c r="K1097" s="147"/>
      <c r="L1097" s="147"/>
      <c r="M1097" s="147"/>
      <c r="N1097" s="147"/>
      <c r="O1097" s="147"/>
      <c r="P1097" s="147"/>
      <c r="Q1097" s="147"/>
      <c r="R1097" s="148"/>
      <c r="S1097" s="148"/>
      <c r="T1097" s="148"/>
      <c r="U1097" s="148"/>
      <c r="V1097" s="148"/>
      <c r="W1097" s="148"/>
      <c r="X1097" s="148"/>
      <c r="Y1097" s="148"/>
      <c r="Z1097" s="148"/>
      <c r="AA1097" s="148"/>
      <c r="AB1097" s="148"/>
      <c r="AC1097" s="148"/>
    </row>
    <row r="1098" spans="1:29">
      <c r="A1098" s="149"/>
      <c r="B1098" s="147"/>
      <c r="C1098" s="147"/>
      <c r="D1098" s="147"/>
      <c r="E1098" s="147"/>
      <c r="F1098" s="147"/>
      <c r="G1098" s="147"/>
      <c r="H1098" s="147"/>
      <c r="I1098" s="147"/>
      <c r="J1098" s="147"/>
      <c r="K1098" s="147"/>
      <c r="L1098" s="147"/>
      <c r="M1098" s="147"/>
      <c r="N1098" s="147"/>
      <c r="O1098" s="147"/>
      <c r="P1098" s="147"/>
      <c r="Q1098" s="147"/>
      <c r="R1098" s="148"/>
      <c r="S1098" s="148"/>
      <c r="T1098" s="148"/>
      <c r="U1098" s="148"/>
      <c r="V1098" s="148"/>
      <c r="W1098" s="148"/>
      <c r="X1098" s="148"/>
      <c r="Y1098" s="148"/>
      <c r="Z1098" s="148"/>
      <c r="AA1098" s="148"/>
      <c r="AB1098" s="148"/>
      <c r="AC1098" s="148"/>
    </row>
    <row r="1099" spans="1:29">
      <c r="A1099" s="149"/>
      <c r="B1099" s="147"/>
      <c r="C1099" s="147"/>
      <c r="D1099" s="147"/>
      <c r="E1099" s="147"/>
      <c r="F1099" s="147"/>
      <c r="G1099" s="147"/>
      <c r="H1099" s="147"/>
      <c r="I1099" s="147"/>
      <c r="J1099" s="147"/>
      <c r="K1099" s="147"/>
      <c r="L1099" s="147"/>
      <c r="M1099" s="147"/>
      <c r="N1099" s="147"/>
      <c r="O1099" s="147"/>
      <c r="P1099" s="147"/>
      <c r="Q1099" s="147"/>
      <c r="R1099" s="148"/>
      <c r="S1099" s="148"/>
      <c r="T1099" s="148"/>
      <c r="U1099" s="148"/>
      <c r="V1099" s="148"/>
      <c r="W1099" s="148"/>
      <c r="X1099" s="148"/>
      <c r="Y1099" s="148"/>
      <c r="Z1099" s="148"/>
      <c r="AA1099" s="148"/>
      <c r="AB1099" s="148"/>
      <c r="AC1099" s="148"/>
    </row>
    <row r="1100" spans="1:29">
      <c r="A1100" s="149"/>
      <c r="B1100" s="147"/>
      <c r="C1100" s="147"/>
      <c r="D1100" s="147"/>
      <c r="E1100" s="147"/>
      <c r="F1100" s="147"/>
      <c r="G1100" s="147"/>
      <c r="H1100" s="147"/>
      <c r="I1100" s="147"/>
      <c r="J1100" s="147"/>
      <c r="K1100" s="147"/>
      <c r="L1100" s="147"/>
      <c r="M1100" s="147"/>
      <c r="N1100" s="147"/>
      <c r="O1100" s="147"/>
      <c r="P1100" s="147"/>
      <c r="Q1100" s="147"/>
      <c r="R1100" s="148"/>
      <c r="S1100" s="148"/>
      <c r="T1100" s="148"/>
      <c r="U1100" s="148"/>
      <c r="V1100" s="148"/>
      <c r="W1100" s="148"/>
      <c r="X1100" s="148"/>
      <c r="Y1100" s="148"/>
      <c r="Z1100" s="148"/>
      <c r="AA1100" s="148"/>
      <c r="AB1100" s="148"/>
      <c r="AC1100" s="148"/>
    </row>
    <row r="1101" spans="1:29">
      <c r="A1101" s="149"/>
      <c r="B1101" s="147"/>
      <c r="C1101" s="147"/>
      <c r="D1101" s="147"/>
      <c r="E1101" s="147"/>
      <c r="F1101" s="147"/>
      <c r="G1101" s="147"/>
      <c r="H1101" s="147"/>
      <c r="I1101" s="147"/>
      <c r="J1101" s="147"/>
      <c r="K1101" s="147"/>
      <c r="L1101" s="147"/>
      <c r="M1101" s="147"/>
      <c r="N1101" s="147"/>
      <c r="O1101" s="147"/>
      <c r="P1101" s="147"/>
      <c r="Q1101" s="147"/>
      <c r="R1101" s="148"/>
      <c r="S1101" s="148"/>
      <c r="T1101" s="148"/>
      <c r="U1101" s="148"/>
      <c r="V1101" s="148"/>
      <c r="W1101" s="148"/>
      <c r="X1101" s="148"/>
      <c r="Y1101" s="148"/>
      <c r="Z1101" s="148"/>
      <c r="AA1101" s="148"/>
      <c r="AB1101" s="148"/>
      <c r="AC1101" s="148"/>
    </row>
    <row r="1102" spans="1:29">
      <c r="A1102" s="149"/>
      <c r="B1102" s="147"/>
      <c r="C1102" s="147"/>
      <c r="D1102" s="147"/>
      <c r="E1102" s="147"/>
      <c r="F1102" s="147"/>
      <c r="G1102" s="147"/>
      <c r="H1102" s="147"/>
      <c r="I1102" s="147"/>
      <c r="J1102" s="147"/>
      <c r="K1102" s="147"/>
      <c r="L1102" s="147"/>
      <c r="M1102" s="147"/>
      <c r="N1102" s="147"/>
      <c r="O1102" s="147"/>
      <c r="P1102" s="147"/>
      <c r="Q1102" s="147"/>
      <c r="R1102" s="148"/>
      <c r="S1102" s="148"/>
      <c r="T1102" s="148"/>
      <c r="U1102" s="148"/>
      <c r="V1102" s="148"/>
      <c r="W1102" s="148"/>
      <c r="X1102" s="148"/>
      <c r="Y1102" s="148"/>
      <c r="Z1102" s="148"/>
      <c r="AA1102" s="148"/>
      <c r="AB1102" s="148"/>
      <c r="AC1102" s="148"/>
    </row>
    <row r="1103" spans="1:29">
      <c r="A1103" s="149"/>
      <c r="B1103" s="147"/>
      <c r="C1103" s="147"/>
      <c r="D1103" s="147"/>
      <c r="E1103" s="147"/>
      <c r="F1103" s="147"/>
      <c r="G1103" s="147"/>
      <c r="H1103" s="147"/>
      <c r="I1103" s="147"/>
      <c r="J1103" s="147"/>
      <c r="K1103" s="147"/>
      <c r="L1103" s="147"/>
      <c r="M1103" s="147"/>
      <c r="N1103" s="147"/>
      <c r="O1103" s="147"/>
      <c r="P1103" s="147"/>
      <c r="Q1103" s="147"/>
      <c r="R1103" s="148"/>
      <c r="S1103" s="148"/>
      <c r="T1103" s="148"/>
      <c r="U1103" s="148"/>
      <c r="V1103" s="148"/>
      <c r="W1103" s="148"/>
      <c r="X1103" s="148"/>
      <c r="Y1103" s="148"/>
      <c r="Z1103" s="148"/>
      <c r="AA1103" s="148"/>
      <c r="AB1103" s="148"/>
      <c r="AC1103" s="148"/>
    </row>
    <row r="1104" spans="1:29">
      <c r="A1104" s="149"/>
      <c r="B1104" s="147"/>
      <c r="C1104" s="147"/>
      <c r="D1104" s="147"/>
      <c r="E1104" s="147"/>
      <c r="F1104" s="147"/>
      <c r="G1104" s="147"/>
      <c r="H1104" s="147"/>
      <c r="I1104" s="147"/>
      <c r="J1104" s="147"/>
      <c r="K1104" s="147"/>
      <c r="L1104" s="147"/>
      <c r="M1104" s="147"/>
      <c r="N1104" s="147"/>
      <c r="O1104" s="147"/>
      <c r="P1104" s="147"/>
      <c r="Q1104" s="147"/>
      <c r="R1104" s="148"/>
      <c r="S1104" s="148"/>
      <c r="T1104" s="148"/>
      <c r="U1104" s="148"/>
      <c r="V1104" s="148"/>
      <c r="W1104" s="148"/>
      <c r="X1104" s="148"/>
      <c r="Y1104" s="148"/>
      <c r="Z1104" s="148"/>
      <c r="AA1104" s="148"/>
      <c r="AB1104" s="148"/>
      <c r="AC1104" s="148"/>
    </row>
    <row r="1105" spans="1:29">
      <c r="A1105" s="149"/>
      <c r="B1105" s="147"/>
      <c r="C1105" s="147"/>
      <c r="D1105" s="147"/>
      <c r="E1105" s="147"/>
      <c r="F1105" s="147"/>
      <c r="G1105" s="147"/>
      <c r="H1105" s="147"/>
      <c r="I1105" s="147"/>
      <c r="J1105" s="147"/>
      <c r="K1105" s="147"/>
      <c r="L1105" s="147"/>
      <c r="M1105" s="147"/>
      <c r="N1105" s="147"/>
      <c r="O1105" s="147"/>
      <c r="P1105" s="147"/>
      <c r="Q1105" s="147"/>
      <c r="R1105" s="148"/>
      <c r="S1105" s="148"/>
      <c r="T1105" s="148"/>
      <c r="U1105" s="148"/>
      <c r="V1105" s="148"/>
      <c r="W1105" s="148"/>
      <c r="X1105" s="148"/>
      <c r="Y1105" s="148"/>
      <c r="Z1105" s="148"/>
      <c r="AA1105" s="148"/>
      <c r="AB1105" s="148"/>
      <c r="AC1105" s="148"/>
    </row>
    <row r="1106" spans="1:29">
      <c r="A1106" s="149"/>
      <c r="B1106" s="147"/>
      <c r="C1106" s="147"/>
      <c r="D1106" s="147"/>
      <c r="E1106" s="147"/>
      <c r="F1106" s="147"/>
      <c r="G1106" s="147"/>
      <c r="H1106" s="147"/>
      <c r="I1106" s="147"/>
      <c r="J1106" s="147"/>
      <c r="K1106" s="147"/>
      <c r="L1106" s="147"/>
      <c r="M1106" s="147"/>
      <c r="N1106" s="147"/>
      <c r="O1106" s="147"/>
      <c r="P1106" s="147"/>
      <c r="Q1106" s="147"/>
      <c r="R1106" s="148"/>
      <c r="S1106" s="148"/>
      <c r="T1106" s="148"/>
      <c r="U1106" s="148"/>
      <c r="V1106" s="148"/>
      <c r="W1106" s="148"/>
      <c r="X1106" s="148"/>
      <c r="Y1106" s="148"/>
      <c r="Z1106" s="148"/>
      <c r="AA1106" s="148"/>
      <c r="AB1106" s="148"/>
      <c r="AC1106" s="148"/>
    </row>
    <row r="1107" spans="1:29">
      <c r="A1107" s="149"/>
      <c r="B1107" s="147"/>
      <c r="C1107" s="147"/>
      <c r="D1107" s="147"/>
      <c r="E1107" s="147"/>
      <c r="F1107" s="147"/>
      <c r="G1107" s="147"/>
      <c r="H1107" s="147"/>
      <c r="I1107" s="147"/>
      <c r="J1107" s="147"/>
      <c r="K1107" s="147"/>
      <c r="L1107" s="147"/>
      <c r="M1107" s="147"/>
      <c r="N1107" s="147"/>
      <c r="O1107" s="147"/>
      <c r="P1107" s="147"/>
      <c r="Q1107" s="147"/>
      <c r="R1107" s="148"/>
      <c r="S1107" s="148"/>
      <c r="T1107" s="148"/>
      <c r="U1107" s="148"/>
      <c r="V1107" s="148"/>
      <c r="W1107" s="148"/>
      <c r="X1107" s="148"/>
      <c r="Y1107" s="148"/>
      <c r="Z1107" s="148"/>
      <c r="AA1107" s="148"/>
      <c r="AB1107" s="148"/>
      <c r="AC1107" s="148"/>
    </row>
    <row r="1108" spans="1:29">
      <c r="A1108" s="149"/>
      <c r="B1108" s="147"/>
      <c r="C1108" s="147"/>
      <c r="D1108" s="147"/>
      <c r="E1108" s="147"/>
      <c r="F1108" s="147"/>
      <c r="G1108" s="147"/>
      <c r="H1108" s="147"/>
      <c r="I1108" s="147"/>
      <c r="J1108" s="147"/>
      <c r="K1108" s="147"/>
      <c r="L1108" s="147"/>
      <c r="M1108" s="147"/>
      <c r="N1108" s="147"/>
      <c r="O1108" s="147"/>
      <c r="P1108" s="147"/>
      <c r="Q1108" s="147"/>
      <c r="R1108" s="148"/>
      <c r="S1108" s="148"/>
      <c r="T1108" s="148"/>
      <c r="U1108" s="148"/>
      <c r="V1108" s="148"/>
      <c r="W1108" s="148"/>
      <c r="X1108" s="148"/>
      <c r="Y1108" s="148"/>
      <c r="Z1108" s="148"/>
      <c r="AA1108" s="148"/>
      <c r="AB1108" s="148"/>
      <c r="AC1108" s="148"/>
    </row>
    <row r="1109" spans="1:29">
      <c r="A1109" s="149"/>
      <c r="B1109" s="147"/>
      <c r="C1109" s="147"/>
      <c r="D1109" s="147"/>
      <c r="E1109" s="147"/>
      <c r="F1109" s="147"/>
      <c r="G1109" s="147"/>
      <c r="H1109" s="147"/>
      <c r="I1109" s="147"/>
      <c r="J1109" s="147"/>
      <c r="K1109" s="147"/>
      <c r="L1109" s="147"/>
      <c r="M1109" s="147"/>
      <c r="N1109" s="147"/>
      <c r="O1109" s="147"/>
      <c r="P1109" s="147"/>
      <c r="Q1109" s="147"/>
      <c r="R1109" s="148"/>
      <c r="S1109" s="148"/>
      <c r="T1109" s="148"/>
      <c r="U1109" s="148"/>
      <c r="V1109" s="148"/>
      <c r="W1109" s="148"/>
      <c r="X1109" s="148"/>
      <c r="Y1109" s="148"/>
      <c r="Z1109" s="148"/>
      <c r="AA1109" s="148"/>
      <c r="AB1109" s="148"/>
      <c r="AC1109" s="148"/>
    </row>
    <row r="1110" spans="1:29">
      <c r="A1110" s="149"/>
      <c r="B1110" s="147"/>
      <c r="C1110" s="147"/>
      <c r="D1110" s="147"/>
      <c r="E1110" s="147"/>
      <c r="F1110" s="147"/>
      <c r="G1110" s="147"/>
      <c r="H1110" s="147"/>
      <c r="I1110" s="147"/>
      <c r="J1110" s="147"/>
      <c r="K1110" s="147"/>
      <c r="L1110" s="147"/>
      <c r="M1110" s="147"/>
      <c r="N1110" s="147"/>
      <c r="O1110" s="147"/>
      <c r="P1110" s="147"/>
      <c r="Q1110" s="147"/>
      <c r="R1110" s="148"/>
      <c r="S1110" s="148"/>
      <c r="T1110" s="148"/>
      <c r="U1110" s="148"/>
      <c r="V1110" s="148"/>
      <c r="W1110" s="148"/>
      <c r="X1110" s="148"/>
      <c r="Y1110" s="148"/>
      <c r="Z1110" s="148"/>
      <c r="AA1110" s="148"/>
      <c r="AB1110" s="148"/>
      <c r="AC1110" s="148"/>
    </row>
    <row r="1111" spans="1:29">
      <c r="A1111" s="149"/>
      <c r="B1111" s="147"/>
      <c r="C1111" s="147"/>
      <c r="D1111" s="147"/>
      <c r="E1111" s="147"/>
      <c r="F1111" s="147"/>
      <c r="G1111" s="147"/>
      <c r="H1111" s="147"/>
      <c r="I1111" s="147"/>
      <c r="J1111" s="147"/>
      <c r="K1111" s="147"/>
      <c r="L1111" s="147"/>
      <c r="M1111" s="147"/>
      <c r="N1111" s="147"/>
      <c r="O1111" s="147"/>
      <c r="P1111" s="147"/>
      <c r="Q1111" s="147"/>
      <c r="R1111" s="148"/>
      <c r="S1111" s="148"/>
      <c r="T1111" s="148"/>
      <c r="U1111" s="148"/>
      <c r="V1111" s="148"/>
      <c r="W1111" s="148"/>
      <c r="X1111" s="148"/>
      <c r="Y1111" s="148"/>
      <c r="Z1111" s="148"/>
      <c r="AA1111" s="148"/>
      <c r="AB1111" s="148"/>
      <c r="AC1111" s="148"/>
    </row>
    <row r="1112" spans="1:29">
      <c r="A1112" s="149"/>
      <c r="B1112" s="147"/>
      <c r="C1112" s="147"/>
      <c r="D1112" s="147"/>
      <c r="E1112" s="147"/>
      <c r="F1112" s="147"/>
      <c r="G1112" s="147"/>
      <c r="H1112" s="147"/>
      <c r="I1112" s="147"/>
      <c r="J1112" s="147"/>
      <c r="K1112" s="147"/>
      <c r="L1112" s="147"/>
      <c r="M1112" s="147"/>
      <c r="N1112" s="147"/>
      <c r="O1112" s="147"/>
      <c r="P1112" s="147"/>
      <c r="Q1112" s="147"/>
      <c r="R1112" s="148"/>
      <c r="S1112" s="148"/>
      <c r="T1112" s="148"/>
      <c r="U1112" s="148"/>
      <c r="V1112" s="148"/>
      <c r="W1112" s="148"/>
      <c r="X1112" s="148"/>
      <c r="Y1112" s="148"/>
      <c r="Z1112" s="148"/>
      <c r="AA1112" s="148"/>
      <c r="AB1112" s="148"/>
      <c r="AC1112" s="148"/>
    </row>
    <row r="1113" spans="1:29">
      <c r="A1113" s="149"/>
      <c r="B1113" s="147"/>
      <c r="C1113" s="147"/>
      <c r="D1113" s="147"/>
      <c r="E1113" s="147"/>
      <c r="F1113" s="147"/>
      <c r="G1113" s="147"/>
      <c r="H1113" s="147"/>
      <c r="I1113" s="147"/>
      <c r="J1113" s="147"/>
      <c r="K1113" s="147"/>
      <c r="L1113" s="147"/>
      <c r="M1113" s="147"/>
      <c r="N1113" s="147"/>
      <c r="O1113" s="147"/>
      <c r="P1113" s="147"/>
      <c r="Q1113" s="147"/>
      <c r="R1113" s="148"/>
      <c r="S1113" s="148"/>
      <c r="T1113" s="148"/>
      <c r="U1113" s="148"/>
      <c r="V1113" s="148"/>
      <c r="W1113" s="148"/>
      <c r="X1113" s="148"/>
      <c r="Y1113" s="148"/>
      <c r="Z1113" s="148"/>
      <c r="AA1113" s="148"/>
      <c r="AB1113" s="148"/>
      <c r="AC1113" s="148"/>
    </row>
    <row r="1114" spans="1:29">
      <c r="A1114" s="149"/>
      <c r="B1114" s="147"/>
      <c r="C1114" s="147"/>
      <c r="D1114" s="147"/>
      <c r="E1114" s="147"/>
      <c r="F1114" s="147"/>
      <c r="G1114" s="147"/>
      <c r="H1114" s="147"/>
      <c r="I1114" s="147"/>
      <c r="J1114" s="147"/>
      <c r="K1114" s="147"/>
      <c r="L1114" s="147"/>
      <c r="M1114" s="147"/>
      <c r="N1114" s="147"/>
      <c r="O1114" s="147"/>
      <c r="P1114" s="147"/>
      <c r="Q1114" s="147"/>
      <c r="R1114" s="148"/>
      <c r="S1114" s="148"/>
      <c r="T1114" s="148"/>
      <c r="U1114" s="148"/>
      <c r="V1114" s="148"/>
      <c r="W1114" s="148"/>
      <c r="X1114" s="148"/>
      <c r="Y1114" s="148"/>
      <c r="Z1114" s="148"/>
      <c r="AA1114" s="148"/>
      <c r="AB1114" s="148"/>
      <c r="AC1114" s="148"/>
    </row>
    <row r="1115" spans="1:29">
      <c r="A1115" s="149"/>
      <c r="B1115" s="147"/>
      <c r="C1115" s="147"/>
      <c r="D1115" s="147"/>
      <c r="E1115" s="147"/>
      <c r="F1115" s="147"/>
      <c r="G1115" s="147"/>
      <c r="H1115" s="147"/>
      <c r="I1115" s="147"/>
      <c r="J1115" s="147"/>
      <c r="K1115" s="147"/>
      <c r="L1115" s="147"/>
      <c r="M1115" s="147"/>
      <c r="N1115" s="147"/>
      <c r="O1115" s="147"/>
      <c r="P1115" s="147"/>
      <c r="Q1115" s="147"/>
      <c r="R1115" s="148"/>
      <c r="S1115" s="148"/>
      <c r="T1115" s="148"/>
      <c r="U1115" s="148"/>
      <c r="V1115" s="148"/>
      <c r="W1115" s="148"/>
      <c r="X1115" s="148"/>
      <c r="Y1115" s="148"/>
      <c r="Z1115" s="148"/>
      <c r="AA1115" s="148"/>
      <c r="AB1115" s="148"/>
      <c r="AC1115" s="148"/>
    </row>
    <row r="1116" spans="1:29">
      <c r="A1116" s="149"/>
      <c r="B1116" s="147"/>
      <c r="C1116" s="147"/>
      <c r="D1116" s="147"/>
      <c r="E1116" s="147"/>
      <c r="F1116" s="147"/>
      <c r="G1116" s="147"/>
      <c r="H1116" s="147"/>
      <c r="I1116" s="147"/>
      <c r="J1116" s="147"/>
      <c r="K1116" s="147"/>
      <c r="L1116" s="147"/>
      <c r="M1116" s="147"/>
      <c r="N1116" s="147"/>
      <c r="O1116" s="147"/>
      <c r="P1116" s="147"/>
      <c r="Q1116" s="147"/>
      <c r="R1116" s="148"/>
      <c r="S1116" s="148"/>
      <c r="T1116" s="148"/>
      <c r="U1116" s="148"/>
      <c r="V1116" s="148"/>
      <c r="W1116" s="148"/>
      <c r="X1116" s="148"/>
      <c r="Y1116" s="148"/>
      <c r="Z1116" s="148"/>
      <c r="AA1116" s="148"/>
      <c r="AB1116" s="148"/>
      <c r="AC1116" s="148"/>
    </row>
    <row r="1117" spans="1:29">
      <c r="A1117" s="149"/>
      <c r="B1117" s="147"/>
      <c r="C1117" s="147"/>
      <c r="D1117" s="147"/>
      <c r="E1117" s="147"/>
      <c r="F1117" s="147"/>
      <c r="G1117" s="147"/>
      <c r="H1117" s="147"/>
      <c r="I1117" s="147"/>
      <c r="J1117" s="147"/>
      <c r="K1117" s="147"/>
      <c r="L1117" s="147"/>
      <c r="M1117" s="147"/>
      <c r="N1117" s="147"/>
      <c r="O1117" s="147"/>
      <c r="P1117" s="147"/>
      <c r="Q1117" s="147"/>
      <c r="R1117" s="148"/>
      <c r="S1117" s="148"/>
      <c r="T1117" s="148"/>
      <c r="U1117" s="148"/>
      <c r="V1117" s="148"/>
      <c r="W1117" s="148"/>
      <c r="X1117" s="148"/>
      <c r="Y1117" s="148"/>
      <c r="Z1117" s="148"/>
      <c r="AA1117" s="148"/>
      <c r="AB1117" s="148"/>
      <c r="AC1117" s="148"/>
    </row>
    <row r="1118" spans="1:29">
      <c r="A1118" s="149"/>
      <c r="B1118" s="147"/>
      <c r="C1118" s="147"/>
      <c r="D1118" s="147"/>
      <c r="E1118" s="147"/>
      <c r="F1118" s="147"/>
      <c r="G1118" s="147"/>
      <c r="H1118" s="147"/>
      <c r="I1118" s="147"/>
      <c r="J1118" s="147"/>
      <c r="K1118" s="147"/>
      <c r="L1118" s="147"/>
      <c r="M1118" s="147"/>
      <c r="N1118" s="147"/>
      <c r="O1118" s="147"/>
      <c r="P1118" s="147"/>
      <c r="Q1118" s="147"/>
      <c r="R1118" s="148"/>
      <c r="S1118" s="148"/>
      <c r="T1118" s="148"/>
      <c r="U1118" s="148"/>
      <c r="V1118" s="148"/>
      <c r="W1118" s="148"/>
      <c r="X1118" s="148"/>
      <c r="Y1118" s="148"/>
      <c r="Z1118" s="148"/>
      <c r="AA1118" s="148"/>
      <c r="AB1118" s="148"/>
      <c r="AC1118" s="148"/>
    </row>
    <row r="1119" spans="1:29">
      <c r="A1119" s="149"/>
      <c r="B1119" s="147"/>
      <c r="C1119" s="147"/>
      <c r="D1119" s="147"/>
      <c r="E1119" s="147"/>
      <c r="F1119" s="147"/>
      <c r="G1119" s="147"/>
      <c r="H1119" s="147"/>
      <c r="I1119" s="147"/>
      <c r="J1119" s="147"/>
      <c r="K1119" s="147"/>
      <c r="L1119" s="147"/>
      <c r="M1119" s="147"/>
      <c r="N1119" s="147"/>
      <c r="O1119" s="147"/>
      <c r="P1119" s="147"/>
      <c r="Q1119" s="147"/>
      <c r="R1119" s="148"/>
      <c r="S1119" s="148"/>
      <c r="T1119" s="148"/>
      <c r="U1119" s="148"/>
      <c r="V1119" s="148"/>
      <c r="W1119" s="148"/>
      <c r="X1119" s="148"/>
      <c r="Y1119" s="148"/>
      <c r="Z1119" s="148"/>
      <c r="AA1119" s="148"/>
      <c r="AB1119" s="148"/>
      <c r="AC1119" s="148"/>
    </row>
    <row r="1120" spans="1:29">
      <c r="A1120" s="149"/>
      <c r="B1120" s="147"/>
      <c r="C1120" s="147"/>
      <c r="D1120" s="147"/>
      <c r="E1120" s="147"/>
      <c r="F1120" s="147"/>
      <c r="G1120" s="147"/>
      <c r="H1120" s="147"/>
      <c r="I1120" s="147"/>
      <c r="J1120" s="147"/>
      <c r="K1120" s="147"/>
      <c r="L1120" s="147"/>
      <c r="M1120" s="147"/>
      <c r="N1120" s="147"/>
      <c r="O1120" s="147"/>
      <c r="P1120" s="147"/>
      <c r="Q1120" s="147"/>
      <c r="R1120" s="148"/>
      <c r="S1120" s="148"/>
      <c r="T1120" s="148"/>
      <c r="U1120" s="148"/>
      <c r="V1120" s="148"/>
      <c r="W1120" s="148"/>
      <c r="X1120" s="148"/>
      <c r="Y1120" s="148"/>
      <c r="Z1120" s="148"/>
      <c r="AA1120" s="148"/>
      <c r="AB1120" s="148"/>
      <c r="AC1120" s="148"/>
    </row>
    <row r="1121" spans="1:29">
      <c r="A1121" s="149"/>
      <c r="B1121" s="147"/>
      <c r="C1121" s="147"/>
      <c r="D1121" s="147"/>
      <c r="E1121" s="147"/>
      <c r="F1121" s="147"/>
      <c r="G1121" s="147"/>
      <c r="H1121" s="147"/>
      <c r="I1121" s="147"/>
      <c r="J1121" s="147"/>
      <c r="K1121" s="147"/>
      <c r="L1121" s="147"/>
      <c r="M1121" s="147"/>
      <c r="N1121" s="147"/>
      <c r="O1121" s="147"/>
      <c r="P1121" s="147"/>
      <c r="Q1121" s="147"/>
      <c r="R1121" s="148"/>
      <c r="S1121" s="148"/>
      <c r="T1121" s="148"/>
      <c r="U1121" s="148"/>
      <c r="V1121" s="148"/>
      <c r="W1121" s="148"/>
      <c r="X1121" s="148"/>
      <c r="Y1121" s="148"/>
      <c r="Z1121" s="148"/>
      <c r="AA1121" s="148"/>
      <c r="AB1121" s="148"/>
      <c r="AC1121" s="148"/>
    </row>
    <row r="1122" spans="1:29">
      <c r="A1122" s="149"/>
      <c r="B1122" s="147"/>
      <c r="C1122" s="147"/>
      <c r="D1122" s="147"/>
      <c r="E1122" s="147"/>
      <c r="F1122" s="147"/>
      <c r="G1122" s="147"/>
      <c r="H1122" s="147"/>
      <c r="I1122" s="147"/>
      <c r="J1122" s="147"/>
      <c r="K1122" s="147"/>
      <c r="L1122" s="147"/>
      <c r="M1122" s="147"/>
      <c r="N1122" s="147"/>
      <c r="O1122" s="147"/>
      <c r="P1122" s="147"/>
      <c r="Q1122" s="147"/>
      <c r="R1122" s="148"/>
      <c r="S1122" s="148"/>
      <c r="T1122" s="148"/>
      <c r="U1122" s="148"/>
      <c r="V1122" s="148"/>
      <c r="W1122" s="148"/>
      <c r="X1122" s="148"/>
      <c r="Y1122" s="148"/>
      <c r="Z1122" s="148"/>
      <c r="AA1122" s="148"/>
      <c r="AB1122" s="148"/>
      <c r="AC1122" s="148"/>
    </row>
    <row r="1123" spans="1:29">
      <c r="A1123" s="149"/>
      <c r="B1123" s="147"/>
      <c r="C1123" s="147"/>
      <c r="D1123" s="147"/>
      <c r="E1123" s="147"/>
      <c r="F1123" s="147"/>
      <c r="G1123" s="147"/>
      <c r="H1123" s="147"/>
      <c r="I1123" s="147"/>
      <c r="J1123" s="147"/>
      <c r="K1123" s="147"/>
      <c r="L1123" s="147"/>
      <c r="M1123" s="147"/>
      <c r="N1123" s="147"/>
      <c r="O1123" s="147"/>
      <c r="P1123" s="147"/>
      <c r="Q1123" s="147"/>
      <c r="R1123" s="148"/>
      <c r="S1123" s="148"/>
      <c r="T1123" s="148"/>
      <c r="U1123" s="148"/>
      <c r="V1123" s="148"/>
      <c r="W1123" s="148"/>
      <c r="X1123" s="148"/>
      <c r="Y1123" s="148"/>
      <c r="Z1123" s="148"/>
      <c r="AA1123" s="148"/>
      <c r="AB1123" s="148"/>
      <c r="AC1123" s="148"/>
    </row>
    <row r="1124" spans="1:29">
      <c r="A1124" s="149"/>
      <c r="B1124" s="147"/>
      <c r="C1124" s="147"/>
      <c r="D1124" s="147"/>
      <c r="E1124" s="147"/>
      <c r="F1124" s="147"/>
      <c r="G1124" s="147"/>
      <c r="H1124" s="147"/>
      <c r="I1124" s="147"/>
      <c r="J1124" s="147"/>
      <c r="K1124" s="147"/>
      <c r="L1124" s="147"/>
      <c r="M1124" s="147"/>
      <c r="N1124" s="147"/>
      <c r="O1124" s="147"/>
      <c r="P1124" s="147"/>
      <c r="Q1124" s="147"/>
      <c r="R1124" s="148"/>
      <c r="S1124" s="148"/>
      <c r="T1124" s="148"/>
      <c r="U1124" s="148"/>
      <c r="V1124" s="148"/>
      <c r="W1124" s="148"/>
      <c r="X1124" s="148"/>
      <c r="Y1124" s="148"/>
      <c r="Z1124" s="148"/>
      <c r="AA1124" s="148"/>
      <c r="AB1124" s="148"/>
      <c r="AC1124" s="148"/>
    </row>
    <row r="1125" spans="1:29">
      <c r="A1125" s="149"/>
      <c r="B1125" s="147"/>
      <c r="C1125" s="147"/>
      <c r="D1125" s="147"/>
      <c r="E1125" s="147"/>
      <c r="F1125" s="147"/>
      <c r="G1125" s="147"/>
      <c r="H1125" s="147"/>
      <c r="I1125" s="147"/>
      <c r="J1125" s="147"/>
      <c r="K1125" s="147"/>
      <c r="L1125" s="147"/>
      <c r="M1125" s="147"/>
      <c r="N1125" s="147"/>
      <c r="O1125" s="147"/>
      <c r="P1125" s="147"/>
      <c r="Q1125" s="147"/>
      <c r="R1125" s="148"/>
      <c r="S1125" s="148"/>
      <c r="T1125" s="148"/>
      <c r="U1125" s="148"/>
      <c r="V1125" s="148"/>
      <c r="W1125" s="148"/>
      <c r="X1125" s="148"/>
      <c r="Y1125" s="148"/>
      <c r="Z1125" s="148"/>
      <c r="AA1125" s="148"/>
      <c r="AB1125" s="148"/>
      <c r="AC1125" s="148"/>
    </row>
    <row r="1126" spans="1:29">
      <c r="A1126" s="149"/>
      <c r="B1126" s="147"/>
      <c r="C1126" s="147"/>
      <c r="D1126" s="147"/>
      <c r="E1126" s="147"/>
      <c r="F1126" s="147"/>
      <c r="G1126" s="147"/>
      <c r="H1126" s="147"/>
      <c r="I1126" s="147"/>
      <c r="J1126" s="147"/>
      <c r="K1126" s="147"/>
      <c r="L1126" s="147"/>
      <c r="M1126" s="147"/>
      <c r="N1126" s="147"/>
      <c r="O1126" s="147"/>
      <c r="P1126" s="147"/>
      <c r="Q1126" s="147"/>
      <c r="R1126" s="148"/>
      <c r="S1126" s="148"/>
      <c r="T1126" s="148"/>
      <c r="U1126" s="148"/>
      <c r="V1126" s="148"/>
      <c r="W1126" s="148"/>
      <c r="X1126" s="148"/>
      <c r="Y1126" s="148"/>
      <c r="Z1126" s="148"/>
      <c r="AA1126" s="148"/>
      <c r="AB1126" s="148"/>
      <c r="AC1126" s="148"/>
    </row>
    <row r="1127" spans="1:29">
      <c r="A1127" s="149"/>
      <c r="B1127" s="147"/>
      <c r="C1127" s="147"/>
      <c r="D1127" s="147"/>
      <c r="E1127" s="147"/>
      <c r="F1127" s="147"/>
      <c r="G1127" s="147"/>
      <c r="H1127" s="147"/>
      <c r="I1127" s="147"/>
      <c r="J1127" s="147"/>
      <c r="K1127" s="147"/>
      <c r="L1127" s="147"/>
      <c r="M1127" s="147"/>
      <c r="N1127" s="147"/>
      <c r="O1127" s="147"/>
      <c r="P1127" s="147"/>
      <c r="Q1127" s="147"/>
      <c r="R1127" s="148"/>
      <c r="S1127" s="148"/>
      <c r="T1127" s="148"/>
      <c r="U1127" s="148"/>
      <c r="V1127" s="148"/>
      <c r="W1127" s="148"/>
      <c r="X1127" s="148"/>
      <c r="Y1127" s="148"/>
      <c r="Z1127" s="148"/>
      <c r="AA1127" s="148"/>
      <c r="AB1127" s="148"/>
      <c r="AC1127" s="148"/>
    </row>
    <row r="1128" spans="1:29">
      <c r="A1128" s="149"/>
      <c r="B1128" s="147"/>
      <c r="C1128" s="147"/>
      <c r="D1128" s="147"/>
      <c r="E1128" s="147"/>
      <c r="F1128" s="147"/>
      <c r="G1128" s="147"/>
      <c r="H1128" s="147"/>
      <c r="I1128" s="147"/>
      <c r="J1128" s="147"/>
      <c r="K1128" s="147"/>
      <c r="L1128" s="147"/>
      <c r="M1128" s="147"/>
      <c r="N1128" s="147"/>
      <c r="O1128" s="147"/>
      <c r="P1128" s="147"/>
      <c r="Q1128" s="147"/>
      <c r="R1128" s="148"/>
      <c r="S1128" s="148"/>
      <c r="T1128" s="148"/>
      <c r="U1128" s="148"/>
      <c r="V1128" s="148"/>
      <c r="W1128" s="148"/>
      <c r="X1128" s="148"/>
      <c r="Y1128" s="148"/>
      <c r="Z1128" s="148"/>
      <c r="AA1128" s="148"/>
      <c r="AB1128" s="148"/>
      <c r="AC1128" s="148"/>
    </row>
    <row r="1129" spans="1:29">
      <c r="A1129" s="149"/>
      <c r="B1129" s="147"/>
      <c r="C1129" s="147"/>
      <c r="D1129" s="147"/>
      <c r="E1129" s="147"/>
      <c r="F1129" s="147"/>
      <c r="G1129" s="147"/>
      <c r="H1129" s="147"/>
      <c r="I1129" s="147"/>
      <c r="J1129" s="147"/>
      <c r="K1129" s="147"/>
      <c r="L1129" s="147"/>
      <c r="M1129" s="147"/>
      <c r="N1129" s="147"/>
      <c r="O1129" s="147"/>
      <c r="P1129" s="147"/>
      <c r="Q1129" s="147"/>
      <c r="R1129" s="148"/>
      <c r="S1129" s="148"/>
      <c r="T1129" s="148"/>
      <c r="U1129" s="148"/>
      <c r="V1129" s="148"/>
      <c r="W1129" s="148"/>
      <c r="X1129" s="148"/>
      <c r="Y1129" s="148"/>
      <c r="Z1129" s="148"/>
      <c r="AA1129" s="148"/>
      <c r="AB1129" s="148"/>
      <c r="AC1129" s="148"/>
    </row>
    <row r="1130" spans="1:29">
      <c r="A1130" s="149"/>
      <c r="B1130" s="147"/>
      <c r="C1130" s="147"/>
      <c r="D1130" s="147"/>
      <c r="E1130" s="147"/>
      <c r="F1130" s="147"/>
      <c r="G1130" s="147"/>
      <c r="H1130" s="147"/>
      <c r="I1130" s="147"/>
      <c r="J1130" s="147"/>
      <c r="K1130" s="147"/>
      <c r="L1130" s="147"/>
      <c r="M1130" s="147"/>
      <c r="N1130" s="147"/>
      <c r="O1130" s="147"/>
      <c r="P1130" s="147"/>
      <c r="Q1130" s="147"/>
      <c r="R1130" s="148"/>
      <c r="S1130" s="148"/>
      <c r="T1130" s="148"/>
      <c r="U1130" s="148"/>
      <c r="V1130" s="148"/>
      <c r="W1130" s="148"/>
      <c r="X1130" s="148"/>
      <c r="Y1130" s="148"/>
      <c r="Z1130" s="148"/>
      <c r="AA1130" s="148"/>
      <c r="AB1130" s="148"/>
      <c r="AC1130" s="148"/>
    </row>
    <row r="1131" spans="1:29">
      <c r="A1131" s="149"/>
      <c r="B1131" s="147"/>
      <c r="C1131" s="147"/>
      <c r="D1131" s="147"/>
      <c r="E1131" s="147"/>
      <c r="F1131" s="147"/>
      <c r="G1131" s="147"/>
      <c r="H1131" s="147"/>
      <c r="I1131" s="147"/>
      <c r="J1131" s="147"/>
      <c r="K1131" s="147"/>
      <c r="L1131" s="147"/>
      <c r="M1131" s="147"/>
      <c r="N1131" s="147"/>
      <c r="O1131" s="147"/>
      <c r="P1131" s="147"/>
      <c r="Q1131" s="147"/>
      <c r="R1131" s="148"/>
      <c r="S1131" s="148"/>
      <c r="T1131" s="148"/>
      <c r="U1131" s="148"/>
      <c r="V1131" s="148"/>
      <c r="W1131" s="148"/>
      <c r="X1131" s="148"/>
      <c r="Y1131" s="148"/>
      <c r="Z1131" s="148"/>
      <c r="AA1131" s="148"/>
      <c r="AB1131" s="148"/>
      <c r="AC1131" s="148"/>
    </row>
    <row r="1132" spans="1:29">
      <c r="A1132" s="149"/>
      <c r="B1132" s="147"/>
      <c r="C1132" s="147"/>
      <c r="D1132" s="147"/>
      <c r="E1132" s="147"/>
      <c r="F1132" s="147"/>
      <c r="G1132" s="147"/>
      <c r="H1132" s="147"/>
      <c r="I1132" s="147"/>
      <c r="J1132" s="147"/>
      <c r="K1132" s="147"/>
      <c r="L1132" s="147"/>
      <c r="M1132" s="147"/>
      <c r="N1132" s="147"/>
      <c r="O1132" s="147"/>
      <c r="P1132" s="147"/>
      <c r="Q1132" s="147"/>
      <c r="R1132" s="148"/>
      <c r="S1132" s="148"/>
      <c r="T1132" s="148"/>
      <c r="U1132" s="148"/>
      <c r="V1132" s="148"/>
      <c r="W1132" s="148"/>
      <c r="X1132" s="148"/>
      <c r="Y1132" s="148"/>
      <c r="Z1132" s="148"/>
      <c r="AA1132" s="148"/>
      <c r="AB1132" s="148"/>
      <c r="AC1132" s="148"/>
    </row>
    <row r="1133" spans="1:29">
      <c r="A1133" s="149"/>
      <c r="B1133" s="147"/>
      <c r="C1133" s="147"/>
      <c r="D1133" s="147"/>
      <c r="E1133" s="147"/>
      <c r="F1133" s="147"/>
      <c r="G1133" s="147"/>
      <c r="H1133" s="147"/>
      <c r="I1133" s="147"/>
      <c r="J1133" s="147"/>
      <c r="K1133" s="147"/>
      <c r="L1133" s="147"/>
      <c r="M1133" s="147"/>
      <c r="N1133" s="147"/>
      <c r="O1133" s="147"/>
      <c r="P1133" s="147"/>
      <c r="Q1133" s="147"/>
      <c r="R1133" s="148"/>
      <c r="S1133" s="148"/>
      <c r="T1133" s="148"/>
      <c r="U1133" s="148"/>
      <c r="V1133" s="148"/>
      <c r="W1133" s="148"/>
      <c r="X1133" s="148"/>
      <c r="Y1133" s="148"/>
      <c r="Z1133" s="148"/>
      <c r="AA1133" s="148"/>
      <c r="AB1133" s="148"/>
      <c r="AC1133" s="148"/>
    </row>
    <row r="1134" spans="1:29">
      <c r="A1134" s="149"/>
      <c r="B1134" s="147"/>
      <c r="C1134" s="147"/>
      <c r="D1134" s="147"/>
      <c r="E1134" s="147"/>
      <c r="F1134" s="147"/>
      <c r="G1134" s="147"/>
      <c r="H1134" s="147"/>
      <c r="I1134" s="147"/>
      <c r="J1134" s="147"/>
      <c r="K1134" s="147"/>
      <c r="L1134" s="147"/>
      <c r="M1134" s="147"/>
      <c r="N1134" s="147"/>
      <c r="O1134" s="147"/>
      <c r="P1134" s="147"/>
      <c r="Q1134" s="147"/>
      <c r="R1134" s="148"/>
      <c r="S1134" s="148"/>
      <c r="T1134" s="148"/>
      <c r="U1134" s="148"/>
      <c r="V1134" s="148"/>
      <c r="W1134" s="148"/>
      <c r="X1134" s="148"/>
      <c r="Y1134" s="148"/>
      <c r="Z1134" s="148"/>
      <c r="AA1134" s="148"/>
      <c r="AB1134" s="148"/>
      <c r="AC1134" s="148"/>
    </row>
    <row r="1135" spans="1:29">
      <c r="A1135" s="149"/>
      <c r="B1135" s="147"/>
      <c r="C1135" s="147"/>
      <c r="D1135" s="147"/>
      <c r="E1135" s="147"/>
      <c r="F1135" s="147"/>
      <c r="G1135" s="147"/>
      <c r="H1135" s="147"/>
      <c r="I1135" s="147"/>
      <c r="J1135" s="147"/>
      <c r="K1135" s="147"/>
      <c r="L1135" s="147"/>
      <c r="M1135" s="147"/>
      <c r="N1135" s="147"/>
      <c r="O1135" s="147"/>
      <c r="P1135" s="147"/>
      <c r="Q1135" s="147"/>
      <c r="R1135" s="148"/>
      <c r="S1135" s="148"/>
      <c r="T1135" s="148"/>
      <c r="U1135" s="148"/>
      <c r="V1135" s="148"/>
      <c r="W1135" s="148"/>
      <c r="X1135" s="148"/>
      <c r="Y1135" s="148"/>
      <c r="Z1135" s="148"/>
      <c r="AA1135" s="148"/>
      <c r="AB1135" s="148"/>
      <c r="AC1135" s="148"/>
    </row>
    <row r="1136" spans="1:29">
      <c r="A1136" s="149"/>
      <c r="B1136" s="147"/>
      <c r="C1136" s="147"/>
      <c r="D1136" s="147"/>
      <c r="E1136" s="147"/>
      <c r="F1136" s="147"/>
      <c r="G1136" s="147"/>
      <c r="H1136" s="147"/>
      <c r="I1136" s="147"/>
      <c r="J1136" s="147"/>
      <c r="K1136" s="147"/>
      <c r="L1136" s="147"/>
      <c r="M1136" s="147"/>
      <c r="N1136" s="147"/>
      <c r="O1136" s="147"/>
      <c r="P1136" s="147"/>
      <c r="Q1136" s="147"/>
      <c r="R1136" s="148"/>
      <c r="S1136" s="148"/>
      <c r="T1136" s="148"/>
      <c r="U1136" s="148"/>
      <c r="V1136" s="148"/>
      <c r="W1136" s="148"/>
      <c r="X1136" s="148"/>
      <c r="Y1136" s="148"/>
      <c r="Z1136" s="148"/>
      <c r="AA1136" s="148"/>
      <c r="AB1136" s="148"/>
      <c r="AC1136" s="148"/>
    </row>
    <row r="1137" spans="1:29">
      <c r="A1137" s="149"/>
      <c r="B1137" s="147"/>
      <c r="C1137" s="147"/>
      <c r="D1137" s="147"/>
      <c r="E1137" s="147"/>
      <c r="F1137" s="147"/>
      <c r="G1137" s="147"/>
      <c r="H1137" s="147"/>
      <c r="I1137" s="147"/>
      <c r="J1137" s="147"/>
      <c r="K1137" s="147"/>
      <c r="L1137" s="147"/>
      <c r="M1137" s="147"/>
      <c r="N1137" s="147"/>
      <c r="O1137" s="147"/>
      <c r="P1137" s="147"/>
      <c r="Q1137" s="147"/>
      <c r="R1137" s="148"/>
      <c r="S1137" s="148"/>
      <c r="T1137" s="148"/>
      <c r="U1137" s="148"/>
      <c r="V1137" s="148"/>
      <c r="W1137" s="148"/>
      <c r="X1137" s="148"/>
      <c r="Y1137" s="148"/>
      <c r="Z1137" s="148"/>
      <c r="AA1137" s="148"/>
      <c r="AB1137" s="148"/>
      <c r="AC1137" s="148"/>
    </row>
    <row r="1138" spans="1:29">
      <c r="A1138" s="149"/>
      <c r="B1138" s="147"/>
      <c r="C1138" s="147"/>
      <c r="D1138" s="147"/>
      <c r="E1138" s="147"/>
      <c r="F1138" s="147"/>
      <c r="G1138" s="147"/>
      <c r="H1138" s="147"/>
      <c r="I1138" s="147"/>
      <c r="J1138" s="147"/>
      <c r="K1138" s="147"/>
      <c r="L1138" s="147"/>
      <c r="M1138" s="147"/>
      <c r="N1138" s="147"/>
      <c r="O1138" s="147"/>
      <c r="P1138" s="147"/>
      <c r="Q1138" s="147"/>
      <c r="R1138" s="148"/>
      <c r="S1138" s="148"/>
      <c r="T1138" s="148"/>
      <c r="U1138" s="148"/>
      <c r="V1138" s="148"/>
      <c r="W1138" s="148"/>
      <c r="X1138" s="148"/>
      <c r="Y1138" s="148"/>
      <c r="Z1138" s="148"/>
      <c r="AA1138" s="148"/>
      <c r="AB1138" s="148"/>
      <c r="AC1138" s="148"/>
    </row>
    <row r="1139" spans="1:29">
      <c r="A1139" s="149"/>
      <c r="B1139" s="147"/>
      <c r="C1139" s="147"/>
      <c r="D1139" s="147"/>
      <c r="E1139" s="147"/>
      <c r="F1139" s="147"/>
      <c r="G1139" s="147"/>
      <c r="H1139" s="147"/>
      <c r="I1139" s="147"/>
      <c r="J1139" s="147"/>
      <c r="K1139" s="147"/>
      <c r="L1139" s="147"/>
      <c r="M1139" s="147"/>
      <c r="N1139" s="147"/>
      <c r="O1139" s="147"/>
      <c r="P1139" s="147"/>
      <c r="Q1139" s="147"/>
      <c r="R1139" s="148"/>
      <c r="S1139" s="148"/>
      <c r="T1139" s="148"/>
      <c r="U1139" s="148"/>
      <c r="V1139" s="148"/>
      <c r="W1139" s="148"/>
      <c r="X1139" s="148"/>
      <c r="Y1139" s="148"/>
      <c r="Z1139" s="148"/>
      <c r="AA1139" s="148"/>
      <c r="AB1139" s="148"/>
      <c r="AC1139" s="148"/>
    </row>
    <row r="1140" spans="1:29">
      <c r="A1140" s="149"/>
      <c r="B1140" s="147"/>
      <c r="C1140" s="147"/>
      <c r="D1140" s="147"/>
      <c r="E1140" s="147"/>
      <c r="F1140" s="147"/>
      <c r="G1140" s="147"/>
      <c r="H1140" s="147"/>
      <c r="I1140" s="147"/>
      <c r="J1140" s="147"/>
      <c r="K1140" s="147"/>
      <c r="L1140" s="147"/>
      <c r="M1140" s="147"/>
      <c r="N1140" s="147"/>
      <c r="O1140" s="147"/>
      <c r="P1140" s="147"/>
      <c r="Q1140" s="147"/>
      <c r="R1140" s="148"/>
      <c r="S1140" s="148"/>
      <c r="T1140" s="148"/>
      <c r="U1140" s="148"/>
      <c r="V1140" s="148"/>
      <c r="W1140" s="148"/>
      <c r="X1140" s="148"/>
      <c r="Y1140" s="148"/>
      <c r="Z1140" s="148"/>
      <c r="AA1140" s="148"/>
      <c r="AB1140" s="148"/>
      <c r="AC1140" s="148"/>
    </row>
    <row r="1141" spans="1:29">
      <c r="A1141" s="149"/>
      <c r="B1141" s="147"/>
      <c r="C1141" s="147"/>
      <c r="D1141" s="147"/>
      <c r="E1141" s="147"/>
      <c r="F1141" s="147"/>
      <c r="G1141" s="147"/>
      <c r="H1141" s="147"/>
      <c r="I1141" s="147"/>
      <c r="J1141" s="147"/>
      <c r="K1141" s="147"/>
      <c r="L1141" s="147"/>
      <c r="M1141" s="147"/>
      <c r="N1141" s="147"/>
      <c r="O1141" s="147"/>
      <c r="P1141" s="147"/>
      <c r="Q1141" s="147"/>
      <c r="R1141" s="148"/>
      <c r="S1141" s="148"/>
      <c r="T1141" s="148"/>
      <c r="U1141" s="148"/>
      <c r="V1141" s="148"/>
      <c r="W1141" s="148"/>
      <c r="X1141" s="148"/>
      <c r="Y1141" s="148"/>
      <c r="Z1141" s="148"/>
      <c r="AA1141" s="148"/>
      <c r="AB1141" s="148"/>
      <c r="AC1141" s="148"/>
    </row>
    <row r="1142" spans="1:29">
      <c r="A1142" s="149"/>
      <c r="B1142" s="147"/>
      <c r="C1142" s="147"/>
      <c r="D1142" s="147"/>
      <c r="E1142" s="147"/>
      <c r="F1142" s="147"/>
      <c r="G1142" s="147"/>
      <c r="H1142" s="147"/>
      <c r="I1142" s="147"/>
      <c r="J1142" s="147"/>
      <c r="K1142" s="147"/>
      <c r="L1142" s="147"/>
      <c r="M1142" s="147"/>
      <c r="N1142" s="147"/>
      <c r="O1142" s="147"/>
      <c r="P1142" s="147"/>
      <c r="Q1142" s="147"/>
      <c r="R1142" s="148"/>
      <c r="S1142" s="148"/>
      <c r="T1142" s="148"/>
      <c r="U1142" s="148"/>
      <c r="V1142" s="148"/>
      <c r="W1142" s="148"/>
      <c r="X1142" s="148"/>
      <c r="Y1142" s="148"/>
      <c r="Z1142" s="148"/>
      <c r="AA1142" s="148"/>
      <c r="AB1142" s="148"/>
      <c r="AC1142" s="148"/>
    </row>
    <row r="1143" spans="1:29">
      <c r="A1143" s="149"/>
      <c r="B1143" s="147"/>
      <c r="C1143" s="147"/>
      <c r="D1143" s="147"/>
      <c r="E1143" s="147"/>
      <c r="F1143" s="147"/>
      <c r="G1143" s="147"/>
      <c r="H1143" s="147"/>
      <c r="I1143" s="147"/>
      <c r="J1143" s="147"/>
      <c r="K1143" s="147"/>
      <c r="L1143" s="147"/>
      <c r="M1143" s="147"/>
      <c r="N1143" s="147"/>
      <c r="O1143" s="147"/>
      <c r="P1143" s="147"/>
      <c r="Q1143" s="147"/>
      <c r="R1143" s="148"/>
      <c r="S1143" s="148"/>
      <c r="T1143" s="148"/>
      <c r="U1143" s="148"/>
      <c r="V1143" s="148"/>
      <c r="W1143" s="148"/>
      <c r="X1143" s="148"/>
      <c r="Y1143" s="148"/>
      <c r="Z1143" s="148"/>
      <c r="AA1143" s="148"/>
      <c r="AB1143" s="148"/>
      <c r="AC1143" s="148"/>
    </row>
    <row r="1144" spans="1:29">
      <c r="A1144" s="149"/>
      <c r="B1144" s="147"/>
      <c r="C1144" s="147"/>
      <c r="D1144" s="147"/>
      <c r="E1144" s="147"/>
      <c r="F1144" s="147"/>
      <c r="G1144" s="147"/>
      <c r="H1144" s="147"/>
      <c r="I1144" s="147"/>
      <c r="J1144" s="147"/>
      <c r="K1144" s="147"/>
      <c r="L1144" s="147"/>
      <c r="M1144" s="147"/>
      <c r="N1144" s="147"/>
      <c r="O1144" s="147"/>
      <c r="P1144" s="147"/>
      <c r="Q1144" s="147"/>
      <c r="R1144" s="148"/>
      <c r="S1144" s="148"/>
      <c r="T1144" s="148"/>
      <c r="U1144" s="148"/>
      <c r="V1144" s="148"/>
      <c r="W1144" s="148"/>
      <c r="X1144" s="148"/>
      <c r="Y1144" s="148"/>
      <c r="Z1144" s="148"/>
      <c r="AA1144" s="148"/>
      <c r="AB1144" s="148"/>
      <c r="AC1144" s="148"/>
    </row>
    <row r="1145" spans="1:29">
      <c r="A1145" s="149"/>
      <c r="B1145" s="147"/>
      <c r="C1145" s="147"/>
      <c r="D1145" s="147"/>
      <c r="E1145" s="147"/>
      <c r="F1145" s="147"/>
      <c r="G1145" s="147"/>
      <c r="H1145" s="147"/>
      <c r="I1145" s="147"/>
      <c r="J1145" s="147"/>
      <c r="K1145" s="147"/>
      <c r="L1145" s="147"/>
      <c r="M1145" s="147"/>
      <c r="N1145" s="147"/>
      <c r="O1145" s="147"/>
      <c r="P1145" s="147"/>
      <c r="Q1145" s="147"/>
      <c r="R1145" s="148"/>
      <c r="S1145" s="148"/>
      <c r="T1145" s="148"/>
      <c r="U1145" s="148"/>
      <c r="V1145" s="148"/>
      <c r="W1145" s="148"/>
      <c r="X1145" s="148"/>
      <c r="Y1145" s="148"/>
      <c r="Z1145" s="148"/>
      <c r="AA1145" s="148"/>
      <c r="AB1145" s="148"/>
      <c r="AC1145" s="148"/>
    </row>
    <row r="1146" spans="1:29">
      <c r="A1146" s="149"/>
      <c r="B1146" s="147"/>
      <c r="C1146" s="147"/>
      <c r="D1146" s="147"/>
      <c r="E1146" s="147"/>
      <c r="F1146" s="147"/>
      <c r="G1146" s="147"/>
      <c r="H1146" s="147"/>
      <c r="I1146" s="147"/>
      <c r="J1146" s="147"/>
      <c r="K1146" s="147"/>
      <c r="L1146" s="147"/>
      <c r="M1146" s="147"/>
      <c r="N1146" s="147"/>
      <c r="O1146" s="147"/>
      <c r="P1146" s="147"/>
      <c r="Q1146" s="147"/>
      <c r="R1146" s="148"/>
      <c r="S1146" s="148"/>
      <c r="T1146" s="148"/>
      <c r="U1146" s="148"/>
      <c r="V1146" s="148"/>
      <c r="W1146" s="148"/>
      <c r="X1146" s="148"/>
      <c r="Y1146" s="148"/>
      <c r="Z1146" s="148"/>
      <c r="AA1146" s="148"/>
      <c r="AB1146" s="148"/>
      <c r="AC1146" s="148"/>
    </row>
    <row r="1147" spans="1:29">
      <c r="A1147" s="149"/>
      <c r="B1147" s="147"/>
      <c r="C1147" s="147"/>
      <c r="D1147" s="147"/>
      <c r="E1147" s="147"/>
      <c r="F1147" s="147"/>
      <c r="G1147" s="147"/>
      <c r="H1147" s="147"/>
      <c r="I1147" s="147"/>
      <c r="J1147" s="147"/>
      <c r="K1147" s="147"/>
      <c r="L1147" s="147"/>
      <c r="M1147" s="147"/>
      <c r="N1147" s="147"/>
      <c r="O1147" s="147"/>
      <c r="P1147" s="147"/>
      <c r="Q1147" s="147"/>
      <c r="R1147" s="148"/>
      <c r="S1147" s="148"/>
      <c r="T1147" s="148"/>
      <c r="U1147" s="148"/>
      <c r="V1147" s="148"/>
      <c r="W1147" s="148"/>
      <c r="X1147" s="148"/>
      <c r="Y1147" s="148"/>
      <c r="Z1147" s="148"/>
      <c r="AA1147" s="148"/>
      <c r="AB1147" s="148"/>
      <c r="AC1147" s="148"/>
    </row>
    <row r="1148" spans="1:29">
      <c r="A1148" s="149"/>
      <c r="B1148" s="147"/>
      <c r="C1148" s="147"/>
      <c r="D1148" s="147"/>
      <c r="E1148" s="147"/>
      <c r="F1148" s="147"/>
      <c r="G1148" s="147"/>
      <c r="H1148" s="147"/>
      <c r="I1148" s="147"/>
      <c r="J1148" s="147"/>
      <c r="K1148" s="147"/>
      <c r="L1148" s="147"/>
      <c r="M1148" s="147"/>
      <c r="N1148" s="147"/>
      <c r="O1148" s="147"/>
      <c r="P1148" s="147"/>
      <c r="Q1148" s="147"/>
      <c r="R1148" s="148"/>
      <c r="S1148" s="148"/>
      <c r="T1148" s="148"/>
      <c r="U1148" s="148"/>
      <c r="V1148" s="148"/>
      <c r="W1148" s="148"/>
      <c r="X1148" s="148"/>
      <c r="Y1148" s="148"/>
      <c r="Z1148" s="148"/>
      <c r="AA1148" s="148"/>
      <c r="AB1148" s="148"/>
      <c r="AC1148" s="148"/>
    </row>
    <row r="1149" spans="1:29">
      <c r="A1149" s="149"/>
      <c r="B1149" s="147"/>
      <c r="C1149" s="147"/>
      <c r="D1149" s="147"/>
      <c r="E1149" s="147"/>
      <c r="F1149" s="147"/>
      <c r="G1149" s="147"/>
      <c r="H1149" s="147"/>
      <c r="I1149" s="147"/>
      <c r="J1149" s="147"/>
      <c r="K1149" s="147"/>
      <c r="L1149" s="147"/>
      <c r="M1149" s="147"/>
      <c r="N1149" s="147"/>
      <c r="O1149" s="147"/>
      <c r="P1149" s="147"/>
      <c r="Q1149" s="147"/>
      <c r="R1149" s="148"/>
      <c r="S1149" s="148"/>
      <c r="T1149" s="148"/>
      <c r="U1149" s="148"/>
      <c r="V1149" s="148"/>
      <c r="W1149" s="148"/>
      <c r="X1149" s="148"/>
      <c r="Y1149" s="148"/>
      <c r="Z1149" s="148"/>
      <c r="AA1149" s="148"/>
      <c r="AB1149" s="148"/>
      <c r="AC1149" s="148"/>
    </row>
    <row r="1150" spans="1:29">
      <c r="A1150" s="149"/>
      <c r="B1150" s="147"/>
      <c r="C1150" s="147"/>
      <c r="D1150" s="147"/>
      <c r="E1150" s="147"/>
      <c r="F1150" s="147"/>
      <c r="G1150" s="147"/>
      <c r="H1150" s="147"/>
      <c r="I1150" s="147"/>
      <c r="J1150" s="147"/>
      <c r="K1150" s="147"/>
      <c r="L1150" s="147"/>
      <c r="M1150" s="147"/>
      <c r="N1150" s="147"/>
      <c r="O1150" s="147"/>
      <c r="P1150" s="147"/>
      <c r="Q1150" s="147"/>
      <c r="R1150" s="148"/>
      <c r="S1150" s="148"/>
      <c r="T1150" s="148"/>
      <c r="U1150" s="148"/>
      <c r="V1150" s="148"/>
      <c r="W1150" s="148"/>
      <c r="X1150" s="148"/>
      <c r="Y1150" s="148"/>
      <c r="Z1150" s="148"/>
      <c r="AA1150" s="148"/>
      <c r="AB1150" s="148"/>
      <c r="AC1150" s="148"/>
    </row>
    <row r="1151" spans="1:29">
      <c r="A1151" s="149"/>
      <c r="B1151" s="147"/>
      <c r="C1151" s="147"/>
      <c r="D1151" s="147"/>
      <c r="E1151" s="147"/>
      <c r="F1151" s="147"/>
      <c r="G1151" s="147"/>
      <c r="H1151" s="147"/>
      <c r="I1151" s="147"/>
      <c r="J1151" s="147"/>
      <c r="K1151" s="147"/>
      <c r="L1151" s="147"/>
      <c r="M1151" s="147"/>
      <c r="N1151" s="147"/>
      <c r="O1151" s="147"/>
      <c r="P1151" s="147"/>
      <c r="Q1151" s="147"/>
      <c r="R1151" s="148"/>
      <c r="S1151" s="148"/>
      <c r="T1151" s="148"/>
      <c r="U1151" s="148"/>
      <c r="V1151" s="148"/>
      <c r="W1151" s="148"/>
      <c r="X1151" s="148"/>
      <c r="Y1151" s="148"/>
      <c r="Z1151" s="148"/>
      <c r="AA1151" s="148"/>
      <c r="AB1151" s="148"/>
      <c r="AC1151" s="148"/>
    </row>
    <row r="1152" spans="1:29">
      <c r="A1152" s="149"/>
      <c r="B1152" s="147"/>
      <c r="C1152" s="147"/>
      <c r="D1152" s="147"/>
      <c r="E1152" s="147"/>
      <c r="F1152" s="147"/>
      <c r="G1152" s="147"/>
      <c r="H1152" s="147"/>
      <c r="I1152" s="147"/>
      <c r="J1152" s="147"/>
      <c r="K1152" s="147"/>
      <c r="L1152" s="147"/>
      <c r="M1152" s="147"/>
      <c r="N1152" s="147"/>
      <c r="O1152" s="147"/>
      <c r="P1152" s="147"/>
      <c r="Q1152" s="147"/>
      <c r="R1152" s="148"/>
      <c r="S1152" s="148"/>
      <c r="T1152" s="148"/>
      <c r="U1152" s="148"/>
      <c r="V1152" s="148"/>
      <c r="W1152" s="148"/>
      <c r="X1152" s="148"/>
      <c r="Y1152" s="148"/>
      <c r="Z1152" s="148"/>
      <c r="AA1152" s="148"/>
      <c r="AB1152" s="148"/>
      <c r="AC1152" s="148"/>
    </row>
    <row r="1153" spans="1:29">
      <c r="A1153" s="149"/>
      <c r="B1153" s="147"/>
      <c r="C1153" s="147"/>
      <c r="D1153" s="147"/>
      <c r="E1153" s="147"/>
      <c r="F1153" s="147"/>
      <c r="G1153" s="147"/>
      <c r="H1153" s="147"/>
      <c r="I1153" s="147"/>
      <c r="J1153" s="147"/>
      <c r="K1153" s="147"/>
      <c r="L1153" s="147"/>
      <c r="M1153" s="147"/>
      <c r="N1153" s="147"/>
      <c r="O1153" s="147"/>
      <c r="P1153" s="147"/>
      <c r="Q1153" s="147"/>
      <c r="R1153" s="148"/>
      <c r="S1153" s="148"/>
      <c r="T1153" s="148"/>
      <c r="U1153" s="148"/>
      <c r="V1153" s="148"/>
      <c r="W1153" s="148"/>
      <c r="X1153" s="148"/>
      <c r="Y1153" s="148"/>
      <c r="Z1153" s="148"/>
      <c r="AA1153" s="148"/>
      <c r="AB1153" s="148"/>
      <c r="AC1153" s="148"/>
    </row>
    <row r="1154" spans="1:29">
      <c r="A1154" s="149"/>
      <c r="B1154" s="147"/>
      <c r="C1154" s="147"/>
      <c r="D1154" s="147"/>
      <c r="E1154" s="147"/>
      <c r="F1154" s="147"/>
      <c r="G1154" s="147"/>
      <c r="H1154" s="147"/>
      <c r="I1154" s="147"/>
      <c r="J1154" s="147"/>
      <c r="K1154" s="147"/>
      <c r="L1154" s="147"/>
      <c r="M1154" s="147"/>
      <c r="N1154" s="147"/>
      <c r="O1154" s="147"/>
      <c r="P1154" s="147"/>
      <c r="Q1154" s="147"/>
      <c r="R1154" s="148"/>
      <c r="S1154" s="148"/>
      <c r="T1154" s="148"/>
      <c r="U1154" s="148"/>
      <c r="V1154" s="148"/>
      <c r="W1154" s="148"/>
      <c r="X1154" s="148"/>
      <c r="Y1154" s="148"/>
      <c r="Z1154" s="148"/>
      <c r="AA1154" s="148"/>
      <c r="AB1154" s="148"/>
      <c r="AC1154" s="148"/>
    </row>
    <row r="1155" spans="1:29">
      <c r="A1155" s="149"/>
      <c r="B1155" s="147"/>
      <c r="C1155" s="147"/>
      <c r="D1155" s="147"/>
      <c r="E1155" s="147"/>
      <c r="F1155" s="147"/>
      <c r="G1155" s="147"/>
      <c r="H1155" s="147"/>
      <c r="I1155" s="147"/>
      <c r="J1155" s="147"/>
      <c r="K1155" s="147"/>
      <c r="L1155" s="147"/>
      <c r="M1155" s="147"/>
      <c r="N1155" s="147"/>
      <c r="O1155" s="147"/>
      <c r="P1155" s="147"/>
      <c r="Q1155" s="147"/>
      <c r="R1155" s="148"/>
      <c r="S1155" s="148"/>
      <c r="T1155" s="148"/>
      <c r="U1155" s="148"/>
      <c r="V1155" s="148"/>
      <c r="W1155" s="148"/>
      <c r="X1155" s="148"/>
      <c r="Y1155" s="148"/>
      <c r="Z1155" s="148"/>
      <c r="AA1155" s="148"/>
      <c r="AB1155" s="148"/>
      <c r="AC1155" s="148"/>
    </row>
    <row r="1156" spans="1:29">
      <c r="A1156" s="149"/>
      <c r="B1156" s="147"/>
      <c r="C1156" s="147"/>
      <c r="D1156" s="147"/>
      <c r="E1156" s="147"/>
      <c r="F1156" s="147"/>
      <c r="G1156" s="147"/>
      <c r="H1156" s="147"/>
      <c r="I1156" s="147"/>
      <c r="J1156" s="147"/>
      <c r="K1156" s="147"/>
      <c r="L1156" s="147"/>
      <c r="M1156" s="147"/>
      <c r="N1156" s="147"/>
      <c r="O1156" s="147"/>
      <c r="P1156" s="147"/>
      <c r="Q1156" s="147"/>
      <c r="R1156" s="148"/>
      <c r="S1156" s="148"/>
      <c r="T1156" s="148"/>
      <c r="U1156" s="148"/>
      <c r="V1156" s="148"/>
      <c r="W1156" s="148"/>
      <c r="X1156" s="148"/>
      <c r="Y1156" s="148"/>
      <c r="Z1156" s="148"/>
      <c r="AA1156" s="148"/>
      <c r="AB1156" s="148"/>
      <c r="AC1156" s="148"/>
    </row>
    <row r="1157" spans="1:29">
      <c r="A1157" s="149"/>
      <c r="B1157" s="147"/>
      <c r="C1157" s="147"/>
      <c r="D1157" s="147"/>
      <c r="E1157" s="147"/>
      <c r="F1157" s="147"/>
      <c r="G1157" s="147"/>
      <c r="H1157" s="147"/>
      <c r="I1157" s="147"/>
      <c r="J1157" s="147"/>
      <c r="K1157" s="147"/>
      <c r="L1157" s="147"/>
      <c r="M1157" s="147"/>
      <c r="N1157" s="147"/>
      <c r="O1157" s="147"/>
      <c r="P1157" s="147"/>
      <c r="Q1157" s="147"/>
      <c r="R1157" s="148"/>
      <c r="S1157" s="148"/>
      <c r="T1157" s="148"/>
      <c r="U1157" s="148"/>
      <c r="V1157" s="148"/>
      <c r="W1157" s="148"/>
      <c r="X1157" s="148"/>
      <c r="Y1157" s="148"/>
      <c r="Z1157" s="148"/>
      <c r="AA1157" s="148"/>
      <c r="AB1157" s="148"/>
      <c r="AC1157" s="148"/>
    </row>
    <row r="1158" spans="1:29">
      <c r="A1158" s="149"/>
      <c r="B1158" s="147"/>
      <c r="C1158" s="147"/>
      <c r="D1158" s="147"/>
      <c r="E1158" s="147"/>
      <c r="F1158" s="147"/>
      <c r="G1158" s="147"/>
      <c r="H1158" s="147"/>
      <c r="I1158" s="147"/>
      <c r="J1158" s="147"/>
      <c r="K1158" s="147"/>
      <c r="L1158" s="147"/>
      <c r="M1158" s="147"/>
      <c r="N1158" s="147"/>
      <c r="O1158" s="147"/>
      <c r="P1158" s="147"/>
      <c r="Q1158" s="147"/>
      <c r="R1158" s="148"/>
      <c r="S1158" s="148"/>
      <c r="T1158" s="148"/>
      <c r="U1158" s="148"/>
      <c r="V1158" s="148"/>
      <c r="W1158" s="148"/>
      <c r="X1158" s="148"/>
      <c r="Y1158" s="148"/>
      <c r="Z1158" s="148"/>
      <c r="AA1158" s="148"/>
      <c r="AB1158" s="148"/>
      <c r="AC1158" s="148"/>
    </row>
    <row r="1159" spans="1:29">
      <c r="A1159" s="149"/>
      <c r="B1159" s="147"/>
      <c r="C1159" s="147"/>
      <c r="D1159" s="147"/>
      <c r="E1159" s="147"/>
      <c r="F1159" s="147"/>
      <c r="G1159" s="147"/>
      <c r="H1159" s="147"/>
      <c r="I1159" s="147"/>
      <c r="J1159" s="147"/>
      <c r="K1159" s="147"/>
      <c r="L1159" s="147"/>
      <c r="M1159" s="147"/>
      <c r="N1159" s="147"/>
      <c r="O1159" s="147"/>
      <c r="P1159" s="147"/>
      <c r="Q1159" s="147"/>
      <c r="R1159" s="148"/>
      <c r="S1159" s="148"/>
      <c r="T1159" s="148"/>
      <c r="U1159" s="148"/>
      <c r="V1159" s="148"/>
      <c r="W1159" s="148"/>
      <c r="X1159" s="148"/>
      <c r="Y1159" s="148"/>
      <c r="Z1159" s="148"/>
      <c r="AA1159" s="148"/>
      <c r="AB1159" s="148"/>
      <c r="AC1159" s="148"/>
    </row>
    <row r="1160" spans="1:29">
      <c r="A1160" s="149"/>
      <c r="B1160" s="147"/>
      <c r="C1160" s="147"/>
      <c r="D1160" s="147"/>
      <c r="E1160" s="147"/>
      <c r="F1160" s="147"/>
      <c r="G1160" s="147"/>
      <c r="H1160" s="147"/>
      <c r="I1160" s="147"/>
      <c r="J1160" s="147"/>
      <c r="K1160" s="147"/>
      <c r="L1160" s="147"/>
      <c r="M1160" s="147"/>
      <c r="N1160" s="147"/>
      <c r="O1160" s="147"/>
      <c r="P1160" s="147"/>
      <c r="Q1160" s="147"/>
      <c r="R1160" s="148"/>
      <c r="S1160" s="148"/>
      <c r="T1160" s="148"/>
      <c r="U1160" s="148"/>
      <c r="V1160" s="148"/>
      <c r="W1160" s="148"/>
      <c r="X1160" s="148"/>
      <c r="Y1160" s="148"/>
      <c r="Z1160" s="148"/>
      <c r="AA1160" s="148"/>
      <c r="AB1160" s="148"/>
      <c r="AC1160" s="148"/>
    </row>
    <row r="1161" spans="1:29">
      <c r="A1161" s="149"/>
      <c r="B1161" s="147"/>
      <c r="C1161" s="147"/>
      <c r="D1161" s="147"/>
      <c r="E1161" s="147"/>
      <c r="F1161" s="147"/>
      <c r="G1161" s="147"/>
      <c r="H1161" s="147"/>
      <c r="I1161" s="147"/>
      <c r="J1161" s="147"/>
      <c r="K1161" s="147"/>
      <c r="L1161" s="147"/>
      <c r="M1161" s="147"/>
      <c r="N1161" s="147"/>
      <c r="O1161" s="147"/>
      <c r="P1161" s="147"/>
      <c r="Q1161" s="147"/>
      <c r="R1161" s="148"/>
      <c r="S1161" s="148"/>
      <c r="T1161" s="148"/>
      <c r="U1161" s="148"/>
      <c r="V1161" s="148"/>
      <c r="W1161" s="148"/>
      <c r="X1161" s="148"/>
      <c r="Y1161" s="148"/>
      <c r="Z1161" s="148"/>
      <c r="AA1161" s="148"/>
      <c r="AB1161" s="148"/>
      <c r="AC1161" s="148"/>
    </row>
    <row r="1162" spans="1:29">
      <c r="A1162" s="149"/>
      <c r="B1162" s="147"/>
      <c r="C1162" s="147"/>
      <c r="D1162" s="147"/>
      <c r="E1162" s="147"/>
      <c r="F1162" s="147"/>
      <c r="G1162" s="147"/>
      <c r="H1162" s="147"/>
      <c r="I1162" s="147"/>
      <c r="J1162" s="147"/>
      <c r="K1162" s="147"/>
      <c r="L1162" s="147"/>
      <c r="M1162" s="147"/>
      <c r="N1162" s="147"/>
      <c r="O1162" s="147"/>
      <c r="P1162" s="147"/>
      <c r="Q1162" s="147"/>
      <c r="R1162" s="148"/>
      <c r="S1162" s="148"/>
      <c r="T1162" s="148"/>
      <c r="U1162" s="148"/>
      <c r="V1162" s="148"/>
      <c r="W1162" s="148"/>
      <c r="X1162" s="148"/>
      <c r="Y1162" s="148"/>
      <c r="Z1162" s="148"/>
      <c r="AA1162" s="148"/>
      <c r="AB1162" s="148"/>
      <c r="AC1162" s="148"/>
    </row>
    <row r="1163" spans="1:29">
      <c r="A1163" s="149"/>
      <c r="B1163" s="147"/>
      <c r="C1163" s="147"/>
      <c r="D1163" s="147"/>
      <c r="E1163" s="147"/>
      <c r="F1163" s="147"/>
      <c r="G1163" s="147"/>
      <c r="H1163" s="147"/>
      <c r="I1163" s="147"/>
      <c r="J1163" s="147"/>
      <c r="K1163" s="147"/>
      <c r="L1163" s="147"/>
      <c r="M1163" s="147"/>
      <c r="N1163" s="147"/>
      <c r="O1163" s="147"/>
      <c r="P1163" s="147"/>
      <c r="Q1163" s="147"/>
      <c r="R1163" s="148"/>
      <c r="S1163" s="148"/>
      <c r="T1163" s="148"/>
      <c r="U1163" s="148"/>
      <c r="V1163" s="148"/>
      <c r="W1163" s="148"/>
      <c r="X1163" s="148"/>
      <c r="Y1163" s="148"/>
      <c r="Z1163" s="148"/>
      <c r="AA1163" s="148"/>
      <c r="AB1163" s="148"/>
      <c r="AC1163" s="148"/>
    </row>
    <row r="1164" spans="1:29">
      <c r="A1164" s="149"/>
      <c r="B1164" s="147"/>
      <c r="C1164" s="147"/>
      <c r="D1164" s="147"/>
      <c r="E1164" s="147"/>
      <c r="F1164" s="147"/>
      <c r="G1164" s="147"/>
      <c r="H1164" s="147"/>
      <c r="I1164" s="147"/>
      <c r="J1164" s="147"/>
      <c r="K1164" s="147"/>
      <c r="L1164" s="147"/>
      <c r="M1164" s="147"/>
      <c r="N1164" s="147"/>
      <c r="O1164" s="147"/>
      <c r="P1164" s="147"/>
      <c r="Q1164" s="147"/>
      <c r="R1164" s="148"/>
      <c r="S1164" s="148"/>
      <c r="T1164" s="148"/>
      <c r="U1164" s="148"/>
      <c r="V1164" s="148"/>
      <c r="W1164" s="148"/>
      <c r="X1164" s="148"/>
      <c r="Y1164" s="148"/>
      <c r="Z1164" s="148"/>
      <c r="AA1164" s="148"/>
      <c r="AB1164" s="148"/>
      <c r="AC1164" s="148"/>
    </row>
    <row r="1165" spans="1:29">
      <c r="A1165" s="149"/>
      <c r="B1165" s="147"/>
      <c r="C1165" s="147"/>
      <c r="D1165" s="147"/>
      <c r="E1165" s="147"/>
      <c r="F1165" s="147"/>
      <c r="G1165" s="147"/>
      <c r="H1165" s="147"/>
      <c r="I1165" s="147"/>
      <c r="J1165" s="147"/>
      <c r="K1165" s="147"/>
      <c r="L1165" s="147"/>
      <c r="M1165" s="147"/>
      <c r="N1165" s="147"/>
      <c r="O1165" s="147"/>
      <c r="P1165" s="147"/>
      <c r="Q1165" s="147"/>
      <c r="R1165" s="148"/>
      <c r="S1165" s="148"/>
      <c r="T1165" s="148"/>
      <c r="U1165" s="148"/>
      <c r="V1165" s="148"/>
      <c r="W1165" s="148"/>
      <c r="X1165" s="148"/>
      <c r="Y1165" s="148"/>
      <c r="Z1165" s="148"/>
      <c r="AA1165" s="148"/>
      <c r="AB1165" s="148"/>
      <c r="AC1165" s="148"/>
    </row>
    <row r="1166" spans="1:29">
      <c r="A1166" s="149"/>
      <c r="B1166" s="147"/>
      <c r="C1166" s="147"/>
      <c r="D1166" s="147"/>
      <c r="E1166" s="147"/>
      <c r="F1166" s="147"/>
      <c r="G1166" s="147"/>
      <c r="H1166" s="147"/>
      <c r="I1166" s="147"/>
      <c r="J1166" s="147"/>
      <c r="K1166" s="147"/>
      <c r="L1166" s="147"/>
      <c r="M1166" s="147"/>
      <c r="N1166" s="147"/>
      <c r="O1166" s="147"/>
      <c r="P1166" s="147"/>
      <c r="Q1166" s="147"/>
      <c r="R1166" s="148"/>
      <c r="S1166" s="148"/>
      <c r="T1166" s="148"/>
      <c r="U1166" s="148"/>
      <c r="V1166" s="148"/>
      <c r="W1166" s="148"/>
      <c r="X1166" s="148"/>
      <c r="Y1166" s="148"/>
      <c r="Z1166" s="148"/>
      <c r="AA1166" s="148"/>
      <c r="AB1166" s="148"/>
      <c r="AC1166" s="148"/>
    </row>
    <row r="1167" spans="1:29">
      <c r="A1167" s="149"/>
      <c r="B1167" s="147"/>
      <c r="C1167" s="147"/>
      <c r="D1167" s="147"/>
      <c r="E1167" s="147"/>
      <c r="F1167" s="147"/>
      <c r="G1167" s="147"/>
      <c r="H1167" s="147"/>
      <c r="I1167" s="147"/>
      <c r="J1167" s="147"/>
      <c r="K1167" s="147"/>
      <c r="L1167" s="147"/>
      <c r="M1167" s="147"/>
      <c r="N1167" s="147"/>
      <c r="O1167" s="147"/>
      <c r="P1167" s="147"/>
      <c r="Q1167" s="147"/>
      <c r="R1167" s="148"/>
      <c r="S1167" s="148"/>
      <c r="T1167" s="148"/>
      <c r="U1167" s="148"/>
      <c r="V1167" s="148"/>
      <c r="W1167" s="148"/>
      <c r="X1167" s="148"/>
      <c r="Y1167" s="148"/>
      <c r="Z1167" s="148"/>
      <c r="AA1167" s="148"/>
      <c r="AB1167" s="148"/>
      <c r="AC1167" s="148"/>
    </row>
    <row r="1168" spans="1:29">
      <c r="A1168" s="149"/>
      <c r="B1168" s="147"/>
      <c r="C1168" s="147"/>
      <c r="D1168" s="147"/>
      <c r="E1168" s="147"/>
      <c r="F1168" s="147"/>
      <c r="G1168" s="147"/>
      <c r="H1168" s="147"/>
      <c r="I1168" s="147"/>
      <c r="J1168" s="147"/>
      <c r="K1168" s="147"/>
      <c r="L1168" s="147"/>
      <c r="M1168" s="147"/>
      <c r="N1168" s="147"/>
      <c r="O1168" s="147"/>
      <c r="P1168" s="147"/>
      <c r="Q1168" s="147"/>
      <c r="R1168" s="148"/>
      <c r="S1168" s="148"/>
      <c r="T1168" s="148"/>
      <c r="U1168" s="148"/>
      <c r="V1168" s="148"/>
      <c r="W1168" s="148"/>
      <c r="X1168" s="148"/>
      <c r="Y1168" s="148"/>
      <c r="Z1168" s="148"/>
      <c r="AA1168" s="148"/>
      <c r="AB1168" s="148"/>
      <c r="AC1168" s="148"/>
    </row>
    <row r="1169" spans="1:29">
      <c r="A1169" s="149"/>
      <c r="B1169" s="147"/>
      <c r="C1169" s="147"/>
      <c r="D1169" s="147"/>
      <c r="E1169" s="147"/>
      <c r="F1169" s="147"/>
      <c r="G1169" s="147"/>
      <c r="H1169" s="147"/>
      <c r="I1169" s="147"/>
      <c r="J1169" s="147"/>
      <c r="K1169" s="147"/>
      <c r="L1169" s="147"/>
      <c r="M1169" s="147"/>
      <c r="N1169" s="147"/>
      <c r="O1169" s="147"/>
      <c r="P1169" s="147"/>
      <c r="Q1169" s="147"/>
      <c r="R1169" s="148"/>
      <c r="S1169" s="148"/>
      <c r="T1169" s="148"/>
      <c r="U1169" s="148"/>
      <c r="V1169" s="148"/>
      <c r="W1169" s="148"/>
      <c r="X1169" s="148"/>
      <c r="Y1169" s="148"/>
      <c r="Z1169" s="148"/>
      <c r="AA1169" s="148"/>
      <c r="AB1169" s="148"/>
      <c r="AC1169" s="148"/>
    </row>
    <row r="1170" spans="1:29">
      <c r="A1170" s="149"/>
      <c r="B1170" s="147"/>
      <c r="C1170" s="147"/>
      <c r="D1170" s="147"/>
      <c r="E1170" s="147"/>
      <c r="F1170" s="147"/>
      <c r="G1170" s="147"/>
      <c r="H1170" s="147"/>
      <c r="I1170" s="147"/>
      <c r="J1170" s="147"/>
      <c r="K1170" s="147"/>
      <c r="L1170" s="147"/>
      <c r="M1170" s="147"/>
      <c r="N1170" s="147"/>
      <c r="O1170" s="147"/>
      <c r="P1170" s="147"/>
      <c r="Q1170" s="147"/>
      <c r="R1170" s="148"/>
      <c r="S1170" s="148"/>
      <c r="T1170" s="148"/>
      <c r="U1170" s="148"/>
      <c r="V1170" s="148"/>
      <c r="W1170" s="148"/>
      <c r="X1170" s="148"/>
      <c r="Y1170" s="148"/>
      <c r="Z1170" s="148"/>
      <c r="AA1170" s="148"/>
      <c r="AB1170" s="148"/>
      <c r="AC1170" s="148"/>
    </row>
    <row r="1171" spans="1:29">
      <c r="A1171" s="149"/>
      <c r="B1171" s="147"/>
      <c r="C1171" s="147"/>
      <c r="D1171" s="147"/>
      <c r="E1171" s="147"/>
      <c r="F1171" s="147"/>
      <c r="G1171" s="147"/>
      <c r="H1171" s="147"/>
      <c r="I1171" s="147"/>
      <c r="J1171" s="147"/>
      <c r="K1171" s="147"/>
      <c r="L1171" s="147"/>
      <c r="M1171" s="147"/>
      <c r="N1171" s="147"/>
      <c r="O1171" s="147"/>
      <c r="P1171" s="147"/>
      <c r="Q1171" s="147"/>
      <c r="R1171" s="148"/>
      <c r="S1171" s="148"/>
      <c r="T1171" s="148"/>
      <c r="U1171" s="148"/>
      <c r="V1171" s="148"/>
      <c r="W1171" s="148"/>
      <c r="X1171" s="148"/>
      <c r="Y1171" s="148"/>
      <c r="Z1171" s="148"/>
      <c r="AA1171" s="148"/>
      <c r="AB1171" s="148"/>
      <c r="AC1171" s="148"/>
    </row>
    <row r="1172" spans="1:29">
      <c r="A1172" s="149"/>
      <c r="B1172" s="147"/>
      <c r="C1172" s="147"/>
      <c r="D1172" s="147"/>
      <c r="E1172" s="147"/>
      <c r="F1172" s="147"/>
      <c r="G1172" s="147"/>
      <c r="H1172" s="147"/>
      <c r="I1172" s="147"/>
      <c r="J1172" s="147"/>
      <c r="K1172" s="147"/>
      <c r="L1172" s="147"/>
      <c r="M1172" s="147"/>
      <c r="N1172" s="147"/>
      <c r="O1172" s="147"/>
      <c r="P1172" s="147"/>
      <c r="Q1172" s="147"/>
      <c r="R1172" s="148"/>
      <c r="S1172" s="148"/>
      <c r="T1172" s="148"/>
      <c r="U1172" s="148"/>
      <c r="V1172" s="148"/>
      <c r="W1172" s="148"/>
      <c r="X1172" s="148"/>
      <c r="Y1172" s="148"/>
      <c r="Z1172" s="148"/>
      <c r="AA1172" s="148"/>
      <c r="AB1172" s="148"/>
      <c r="AC1172" s="148"/>
    </row>
    <row r="1173" spans="1:29">
      <c r="A1173" s="149"/>
      <c r="B1173" s="147"/>
      <c r="C1173" s="147"/>
      <c r="D1173" s="147"/>
      <c r="E1173" s="147"/>
      <c r="F1173" s="147"/>
      <c r="G1173" s="147"/>
      <c r="H1173" s="147"/>
      <c r="I1173" s="147"/>
      <c r="J1173" s="147"/>
      <c r="K1173" s="147"/>
      <c r="L1173" s="147"/>
      <c r="M1173" s="147"/>
      <c r="N1173" s="147"/>
      <c r="O1173" s="147"/>
      <c r="P1173" s="147"/>
      <c r="Q1173" s="147"/>
      <c r="R1173" s="148"/>
      <c r="S1173" s="148"/>
      <c r="T1173" s="148"/>
      <c r="U1173" s="148"/>
      <c r="V1173" s="148"/>
      <c r="W1173" s="148"/>
      <c r="X1173" s="148"/>
      <c r="Y1173" s="148"/>
      <c r="Z1173" s="148"/>
      <c r="AA1173" s="148"/>
      <c r="AB1173" s="148"/>
      <c r="AC1173" s="148"/>
    </row>
    <row r="1174" spans="1:29">
      <c r="A1174" s="149"/>
      <c r="B1174" s="147"/>
      <c r="C1174" s="147"/>
      <c r="D1174" s="147"/>
      <c r="E1174" s="147"/>
      <c r="F1174" s="147"/>
      <c r="G1174" s="147"/>
      <c r="H1174" s="147"/>
      <c r="I1174" s="147"/>
      <c r="J1174" s="147"/>
      <c r="K1174" s="147"/>
      <c r="L1174" s="147"/>
      <c r="M1174" s="147"/>
      <c r="N1174" s="147"/>
      <c r="O1174" s="147"/>
      <c r="P1174" s="147"/>
      <c r="Q1174" s="147"/>
      <c r="R1174" s="148"/>
      <c r="S1174" s="148"/>
      <c r="T1174" s="148"/>
      <c r="U1174" s="148"/>
      <c r="V1174" s="148"/>
      <c r="W1174" s="148"/>
      <c r="X1174" s="148"/>
      <c r="Y1174" s="148"/>
      <c r="Z1174" s="148"/>
      <c r="AA1174" s="148"/>
      <c r="AB1174" s="148"/>
      <c r="AC1174" s="148"/>
    </row>
    <row r="1175" spans="1:29">
      <c r="A1175" s="149"/>
      <c r="B1175" s="147"/>
      <c r="C1175" s="147"/>
      <c r="D1175" s="147"/>
      <c r="E1175" s="147"/>
      <c r="F1175" s="147"/>
      <c r="G1175" s="147"/>
      <c r="H1175" s="147"/>
      <c r="I1175" s="147"/>
      <c r="J1175" s="147"/>
      <c r="K1175" s="147"/>
      <c r="L1175" s="147"/>
      <c r="M1175" s="147"/>
      <c r="N1175" s="147"/>
      <c r="O1175" s="147"/>
      <c r="P1175" s="147"/>
      <c r="Q1175" s="147"/>
      <c r="R1175" s="148"/>
      <c r="S1175" s="148"/>
      <c r="T1175" s="148"/>
      <c r="U1175" s="148"/>
      <c r="V1175" s="148"/>
      <c r="W1175" s="148"/>
      <c r="X1175" s="148"/>
      <c r="Y1175" s="148"/>
      <c r="Z1175" s="148"/>
      <c r="AA1175" s="148"/>
      <c r="AB1175" s="148"/>
      <c r="AC1175" s="148"/>
    </row>
    <row r="1176" spans="1:29">
      <c r="A1176" s="149"/>
      <c r="B1176" s="147"/>
      <c r="C1176" s="147"/>
      <c r="D1176" s="147"/>
      <c r="E1176" s="147"/>
      <c r="F1176" s="147"/>
      <c r="G1176" s="147"/>
      <c r="H1176" s="147"/>
      <c r="I1176" s="147"/>
      <c r="J1176" s="147"/>
      <c r="K1176" s="147"/>
      <c r="L1176" s="147"/>
      <c r="M1176" s="147"/>
      <c r="N1176" s="147"/>
      <c r="O1176" s="147"/>
      <c r="P1176" s="147"/>
      <c r="Q1176" s="147"/>
      <c r="R1176" s="148"/>
      <c r="S1176" s="148"/>
      <c r="T1176" s="148"/>
      <c r="U1176" s="148"/>
      <c r="V1176" s="148"/>
      <c r="W1176" s="148"/>
      <c r="X1176" s="148"/>
      <c r="Y1176" s="148"/>
      <c r="Z1176" s="148"/>
      <c r="AA1176" s="148"/>
      <c r="AB1176" s="148"/>
      <c r="AC1176" s="148"/>
    </row>
    <row r="1177" spans="1:29">
      <c r="A1177" s="149"/>
      <c r="B1177" s="147"/>
      <c r="C1177" s="147"/>
      <c r="D1177" s="147"/>
      <c r="E1177" s="147"/>
      <c r="F1177" s="147"/>
      <c r="G1177" s="147"/>
      <c r="H1177" s="147"/>
      <c r="I1177" s="147"/>
      <c r="J1177" s="147"/>
      <c r="K1177" s="147"/>
      <c r="L1177" s="147"/>
      <c r="M1177" s="147"/>
      <c r="N1177" s="147"/>
      <c r="O1177" s="147"/>
      <c r="P1177" s="147"/>
      <c r="Q1177" s="147"/>
      <c r="R1177" s="148"/>
      <c r="S1177" s="148"/>
      <c r="T1177" s="148"/>
      <c r="U1177" s="148"/>
      <c r="V1177" s="148"/>
      <c r="W1177" s="148"/>
      <c r="X1177" s="148"/>
      <c r="Y1177" s="148"/>
      <c r="Z1177" s="148"/>
      <c r="AA1177" s="148"/>
      <c r="AB1177" s="148"/>
      <c r="AC1177" s="148"/>
    </row>
    <row r="1178" spans="1:29">
      <c r="A1178" s="149"/>
      <c r="B1178" s="147"/>
      <c r="C1178" s="147"/>
      <c r="D1178" s="147"/>
      <c r="E1178" s="147"/>
      <c r="F1178" s="147"/>
      <c r="G1178" s="147"/>
      <c r="H1178" s="147"/>
      <c r="I1178" s="147"/>
      <c r="J1178" s="147"/>
      <c r="K1178" s="147"/>
      <c r="L1178" s="147"/>
      <c r="M1178" s="147"/>
      <c r="N1178" s="147"/>
      <c r="O1178" s="147"/>
      <c r="P1178" s="147"/>
      <c r="Q1178" s="147"/>
      <c r="R1178" s="148"/>
      <c r="S1178" s="148"/>
      <c r="T1178" s="148"/>
      <c r="U1178" s="148"/>
      <c r="V1178" s="148"/>
      <c r="W1178" s="148"/>
      <c r="X1178" s="148"/>
      <c r="Y1178" s="148"/>
      <c r="Z1178" s="148"/>
      <c r="AA1178" s="148"/>
      <c r="AB1178" s="148"/>
      <c r="AC1178" s="148"/>
    </row>
    <row r="1179" spans="1:29">
      <c r="A1179" s="149"/>
      <c r="B1179" s="147"/>
      <c r="C1179" s="147"/>
      <c r="D1179" s="147"/>
      <c r="E1179" s="147"/>
      <c r="F1179" s="147"/>
      <c r="G1179" s="147"/>
      <c r="H1179" s="147"/>
      <c r="I1179" s="147"/>
      <c r="J1179" s="147"/>
      <c r="K1179" s="147"/>
      <c r="L1179" s="147"/>
      <c r="M1179" s="147"/>
      <c r="N1179" s="147"/>
      <c r="O1179" s="147"/>
      <c r="P1179" s="147"/>
      <c r="Q1179" s="147"/>
      <c r="R1179" s="148"/>
      <c r="S1179" s="148"/>
      <c r="T1179" s="148"/>
      <c r="U1179" s="148"/>
      <c r="V1179" s="148"/>
      <c r="W1179" s="148"/>
      <c r="X1179" s="148"/>
      <c r="Y1179" s="148"/>
      <c r="Z1179" s="148"/>
      <c r="AA1179" s="148"/>
      <c r="AB1179" s="148"/>
      <c r="AC1179" s="148"/>
    </row>
    <row r="1180" spans="1:29">
      <c r="A1180" s="149"/>
      <c r="B1180" s="147"/>
      <c r="C1180" s="147"/>
      <c r="D1180" s="147"/>
      <c r="E1180" s="147"/>
      <c r="F1180" s="147"/>
      <c r="G1180" s="147"/>
      <c r="H1180" s="147"/>
      <c r="I1180" s="147"/>
      <c r="J1180" s="147"/>
      <c r="K1180" s="147"/>
      <c r="L1180" s="147"/>
      <c r="M1180" s="147"/>
      <c r="N1180" s="147"/>
      <c r="O1180" s="147"/>
      <c r="P1180" s="147"/>
      <c r="Q1180" s="147"/>
      <c r="R1180" s="148"/>
      <c r="S1180" s="148"/>
      <c r="T1180" s="148"/>
      <c r="U1180" s="148"/>
      <c r="V1180" s="148"/>
      <c r="W1180" s="148"/>
      <c r="X1180" s="148"/>
      <c r="Y1180" s="148"/>
      <c r="Z1180" s="148"/>
      <c r="AA1180" s="148"/>
      <c r="AB1180" s="148"/>
      <c r="AC1180" s="148"/>
    </row>
    <row r="1181" spans="1:29">
      <c r="A1181" s="149"/>
      <c r="B1181" s="147"/>
      <c r="C1181" s="147"/>
      <c r="D1181" s="147"/>
      <c r="E1181" s="147"/>
      <c r="F1181" s="147"/>
      <c r="G1181" s="147"/>
      <c r="H1181" s="147"/>
      <c r="I1181" s="147"/>
      <c r="J1181" s="147"/>
      <c r="K1181" s="147"/>
      <c r="L1181" s="147"/>
      <c r="M1181" s="147"/>
      <c r="N1181" s="147"/>
      <c r="O1181" s="147"/>
      <c r="P1181" s="147"/>
      <c r="Q1181" s="147"/>
      <c r="R1181" s="148"/>
      <c r="S1181" s="148"/>
      <c r="T1181" s="148"/>
      <c r="U1181" s="148"/>
      <c r="V1181" s="148"/>
      <c r="W1181" s="148"/>
      <c r="X1181" s="148"/>
      <c r="Y1181" s="148"/>
      <c r="Z1181" s="148"/>
      <c r="AA1181" s="148"/>
      <c r="AB1181" s="148"/>
      <c r="AC1181" s="148"/>
    </row>
    <row r="1182" spans="1:29">
      <c r="A1182" s="149"/>
      <c r="B1182" s="147"/>
      <c r="C1182" s="147"/>
      <c r="D1182" s="147"/>
      <c r="E1182" s="147"/>
      <c r="F1182" s="147"/>
      <c r="G1182" s="147"/>
      <c r="H1182" s="147"/>
      <c r="I1182" s="147"/>
      <c r="J1182" s="147"/>
      <c r="K1182" s="147"/>
      <c r="L1182" s="147"/>
      <c r="M1182" s="147"/>
      <c r="N1182" s="147"/>
      <c r="O1182" s="147"/>
      <c r="P1182" s="147"/>
      <c r="Q1182" s="147"/>
      <c r="R1182" s="148"/>
      <c r="S1182" s="148"/>
      <c r="T1182" s="148"/>
      <c r="U1182" s="148"/>
      <c r="V1182" s="148"/>
      <c r="W1182" s="148"/>
      <c r="X1182" s="148"/>
      <c r="Y1182" s="148"/>
      <c r="Z1182" s="148"/>
      <c r="AA1182" s="148"/>
      <c r="AB1182" s="148"/>
      <c r="AC1182" s="148"/>
    </row>
    <row r="1183" spans="1:29">
      <c r="A1183" s="149"/>
      <c r="B1183" s="147"/>
      <c r="C1183" s="147"/>
      <c r="D1183" s="147"/>
      <c r="E1183" s="147"/>
      <c r="F1183" s="147"/>
      <c r="G1183" s="147"/>
      <c r="H1183" s="147"/>
      <c r="I1183" s="147"/>
      <c r="J1183" s="147"/>
      <c r="K1183" s="147"/>
      <c r="L1183" s="147"/>
      <c r="M1183" s="147"/>
      <c r="N1183" s="147"/>
      <c r="O1183" s="147"/>
      <c r="P1183" s="147"/>
      <c r="Q1183" s="147"/>
      <c r="R1183" s="148"/>
      <c r="S1183" s="148"/>
      <c r="T1183" s="148"/>
      <c r="U1183" s="148"/>
      <c r="V1183" s="148"/>
      <c r="W1183" s="148"/>
      <c r="X1183" s="148"/>
      <c r="Y1183" s="148"/>
      <c r="Z1183" s="148"/>
      <c r="AA1183" s="148"/>
      <c r="AB1183" s="148"/>
      <c r="AC1183" s="148"/>
    </row>
    <row r="1184" spans="1:29">
      <c r="A1184" s="149"/>
      <c r="B1184" s="147"/>
      <c r="C1184" s="147"/>
      <c r="D1184" s="147"/>
      <c r="E1184" s="147"/>
      <c r="F1184" s="147"/>
      <c r="G1184" s="147"/>
      <c r="H1184" s="147"/>
      <c r="I1184" s="147"/>
      <c r="J1184" s="147"/>
      <c r="K1184" s="147"/>
      <c r="L1184" s="147"/>
      <c r="M1184" s="147"/>
      <c r="N1184" s="147"/>
      <c r="O1184" s="147"/>
      <c r="P1184" s="147"/>
      <c r="Q1184" s="147"/>
      <c r="R1184" s="148"/>
      <c r="S1184" s="148"/>
      <c r="T1184" s="148"/>
      <c r="U1184" s="148"/>
      <c r="V1184" s="148"/>
      <c r="W1184" s="148"/>
      <c r="X1184" s="148"/>
      <c r="Y1184" s="148"/>
      <c r="Z1184" s="148"/>
      <c r="AA1184" s="148"/>
      <c r="AB1184" s="148"/>
      <c r="AC1184" s="148"/>
    </row>
    <row r="1185" spans="1:29">
      <c r="A1185" s="149"/>
      <c r="B1185" s="147"/>
      <c r="C1185" s="147"/>
      <c r="D1185" s="147"/>
      <c r="E1185" s="147"/>
      <c r="F1185" s="147"/>
      <c r="G1185" s="147"/>
      <c r="H1185" s="147"/>
      <c r="I1185" s="147"/>
      <c r="J1185" s="147"/>
      <c r="K1185" s="147"/>
      <c r="L1185" s="147"/>
      <c r="M1185" s="147"/>
      <c r="N1185" s="147"/>
      <c r="O1185" s="147"/>
      <c r="P1185" s="147"/>
      <c r="Q1185" s="147"/>
      <c r="R1185" s="148"/>
      <c r="S1185" s="148"/>
      <c r="T1185" s="148"/>
      <c r="U1185" s="148"/>
      <c r="V1185" s="148"/>
      <c r="W1185" s="148"/>
      <c r="X1185" s="148"/>
      <c r="Y1185" s="148"/>
      <c r="Z1185" s="148"/>
      <c r="AA1185" s="148"/>
      <c r="AB1185" s="148"/>
      <c r="AC1185" s="148"/>
    </row>
    <row r="1186" spans="1:29">
      <c r="A1186" s="149"/>
      <c r="B1186" s="147"/>
      <c r="C1186" s="147"/>
      <c r="D1186" s="147"/>
      <c r="E1186" s="147"/>
      <c r="F1186" s="147"/>
      <c r="G1186" s="147"/>
      <c r="H1186" s="147"/>
      <c r="I1186" s="147"/>
      <c r="J1186" s="147"/>
      <c r="K1186" s="147"/>
      <c r="L1186" s="147"/>
      <c r="M1186" s="147"/>
      <c r="N1186" s="147"/>
      <c r="O1186" s="147"/>
      <c r="P1186" s="147"/>
      <c r="Q1186" s="147"/>
      <c r="R1186" s="148"/>
      <c r="S1186" s="148"/>
      <c r="T1186" s="148"/>
      <c r="U1186" s="148"/>
      <c r="V1186" s="148"/>
      <c r="W1186" s="148"/>
      <c r="X1186" s="148"/>
      <c r="Y1186" s="148"/>
      <c r="Z1186" s="148"/>
      <c r="AA1186" s="148"/>
      <c r="AB1186" s="148"/>
      <c r="AC1186" s="148"/>
    </row>
    <row r="1187" spans="1:29">
      <c r="A1187" s="149"/>
      <c r="B1187" s="147"/>
      <c r="C1187" s="147"/>
      <c r="D1187" s="147"/>
      <c r="E1187" s="147"/>
      <c r="F1187" s="147"/>
      <c r="G1187" s="147"/>
      <c r="H1187" s="147"/>
      <c r="I1187" s="147"/>
      <c r="J1187" s="147"/>
      <c r="K1187" s="147"/>
      <c r="L1187" s="147"/>
      <c r="M1187" s="147"/>
      <c r="N1187" s="147"/>
      <c r="O1187" s="147"/>
      <c r="P1187" s="147"/>
      <c r="Q1187" s="147"/>
      <c r="R1187" s="148"/>
      <c r="S1187" s="148"/>
      <c r="T1187" s="148"/>
      <c r="U1187" s="148"/>
      <c r="V1187" s="148"/>
      <c r="W1187" s="148"/>
      <c r="X1187" s="148"/>
      <c r="Y1187" s="148"/>
      <c r="Z1187" s="148"/>
      <c r="AA1187" s="148"/>
      <c r="AB1187" s="148"/>
      <c r="AC1187" s="148"/>
    </row>
    <row r="1188" spans="1:29">
      <c r="A1188" s="147"/>
      <c r="B1188" s="147"/>
      <c r="C1188" s="147"/>
      <c r="D1188" s="147"/>
      <c r="E1188" s="147"/>
      <c r="F1188" s="147"/>
      <c r="G1188" s="147"/>
      <c r="H1188" s="147"/>
      <c r="I1188" s="147"/>
      <c r="J1188" s="147"/>
      <c r="K1188" s="147"/>
      <c r="L1188" s="147"/>
      <c r="M1188" s="147"/>
      <c r="N1188" s="147"/>
      <c r="O1188" s="147"/>
      <c r="P1188" s="147"/>
      <c r="Q1188" s="147"/>
      <c r="R1188" s="148"/>
      <c r="S1188" s="148"/>
      <c r="T1188" s="148"/>
      <c r="U1188" s="148"/>
      <c r="V1188" s="148"/>
      <c r="W1188" s="148"/>
      <c r="X1188" s="148"/>
      <c r="Y1188" s="148"/>
      <c r="Z1188" s="148"/>
      <c r="AA1188" s="148"/>
      <c r="AB1188" s="148"/>
      <c r="AC1188" s="148"/>
    </row>
    <row r="1189" spans="1:29">
      <c r="A1189" s="149"/>
      <c r="B1189" s="147"/>
      <c r="C1189" s="147"/>
      <c r="D1189" s="147"/>
      <c r="E1189" s="147"/>
      <c r="F1189" s="147"/>
      <c r="G1189" s="147"/>
      <c r="H1189" s="147"/>
      <c r="I1189" s="147"/>
      <c r="J1189" s="147"/>
      <c r="K1189" s="147"/>
      <c r="L1189" s="147"/>
      <c r="M1189" s="147"/>
      <c r="N1189" s="147"/>
      <c r="O1189" s="147"/>
      <c r="P1189" s="147"/>
      <c r="Q1189" s="147"/>
      <c r="R1189" s="148"/>
      <c r="S1189" s="148"/>
      <c r="T1189" s="148"/>
      <c r="U1189" s="148"/>
      <c r="V1189" s="148"/>
      <c r="W1189" s="148"/>
      <c r="X1189" s="148"/>
      <c r="Y1189" s="148"/>
      <c r="Z1189" s="148"/>
      <c r="AA1189" s="148"/>
      <c r="AB1189" s="148"/>
      <c r="AC1189" s="148"/>
    </row>
    <row r="1190" spans="1:29">
      <c r="A1190" s="149"/>
      <c r="B1190" s="147"/>
      <c r="C1190" s="147"/>
      <c r="D1190" s="147"/>
      <c r="E1190" s="147"/>
      <c r="F1190" s="147"/>
      <c r="G1190" s="147"/>
      <c r="H1190" s="147"/>
      <c r="I1190" s="147"/>
      <c r="J1190" s="147"/>
      <c r="K1190" s="147"/>
      <c r="L1190" s="147"/>
      <c r="M1190" s="147"/>
      <c r="N1190" s="147"/>
      <c r="O1190" s="147"/>
      <c r="P1190" s="147"/>
      <c r="Q1190" s="147"/>
      <c r="R1190" s="148"/>
      <c r="S1190" s="148"/>
      <c r="T1190" s="148"/>
      <c r="U1190" s="148"/>
      <c r="V1190" s="148"/>
      <c r="W1190" s="148"/>
      <c r="X1190" s="148"/>
      <c r="Y1190" s="148"/>
      <c r="Z1190" s="148"/>
      <c r="AA1190" s="148"/>
      <c r="AB1190" s="148"/>
      <c r="AC1190" s="148"/>
    </row>
    <row r="1191" spans="1:29">
      <c r="A1191" s="149"/>
      <c r="B1191" s="147"/>
      <c r="C1191" s="147"/>
      <c r="D1191" s="147"/>
      <c r="E1191" s="147"/>
      <c r="F1191" s="147"/>
      <c r="G1191" s="147"/>
      <c r="H1191" s="147"/>
      <c r="I1191" s="147"/>
      <c r="J1191" s="147"/>
      <c r="K1191" s="147"/>
      <c r="L1191" s="147"/>
      <c r="M1191" s="147"/>
      <c r="N1191" s="147"/>
      <c r="O1191" s="147"/>
      <c r="P1191" s="147"/>
      <c r="Q1191" s="147"/>
      <c r="R1191" s="148"/>
      <c r="S1191" s="148"/>
      <c r="T1191" s="148"/>
      <c r="U1191" s="148"/>
      <c r="V1191" s="148"/>
      <c r="W1191" s="148"/>
      <c r="X1191" s="148"/>
      <c r="Y1191" s="148"/>
      <c r="Z1191" s="148"/>
      <c r="AA1191" s="148"/>
      <c r="AB1191" s="148"/>
      <c r="AC1191" s="148"/>
    </row>
    <row r="1192" spans="1:29">
      <c r="A1192" s="149"/>
      <c r="B1192" s="147"/>
      <c r="C1192" s="147"/>
      <c r="D1192" s="147"/>
      <c r="E1192" s="147"/>
      <c r="F1192" s="147"/>
      <c r="G1192" s="147"/>
      <c r="H1192" s="147"/>
      <c r="I1192" s="147"/>
      <c r="J1192" s="147"/>
      <c r="K1192" s="147"/>
      <c r="L1192" s="147"/>
      <c r="M1192" s="147"/>
      <c r="N1192" s="147"/>
      <c r="O1192" s="147"/>
      <c r="P1192" s="147"/>
      <c r="Q1192" s="147"/>
      <c r="R1192" s="148"/>
      <c r="S1192" s="148"/>
      <c r="T1192" s="148"/>
      <c r="U1192" s="148"/>
      <c r="V1192" s="148"/>
      <c r="W1192" s="148"/>
      <c r="X1192" s="148"/>
      <c r="Y1192" s="148"/>
      <c r="Z1192" s="148"/>
      <c r="AA1192" s="148"/>
      <c r="AB1192" s="148"/>
      <c r="AC1192" s="148"/>
    </row>
    <row r="1193" spans="1:29">
      <c r="A1193" s="149"/>
      <c r="B1193" s="147"/>
      <c r="C1193" s="147"/>
      <c r="D1193" s="147"/>
      <c r="E1193" s="147"/>
      <c r="F1193" s="147"/>
      <c r="G1193" s="147"/>
      <c r="H1193" s="147"/>
      <c r="I1193" s="147"/>
      <c r="J1193" s="147"/>
      <c r="K1193" s="147"/>
      <c r="L1193" s="147"/>
      <c r="M1193" s="147"/>
      <c r="N1193" s="147"/>
      <c r="O1193" s="147"/>
      <c r="P1193" s="147"/>
      <c r="Q1193" s="147"/>
      <c r="R1193" s="148"/>
      <c r="S1193" s="148"/>
      <c r="T1193" s="148"/>
      <c r="U1193" s="148"/>
      <c r="V1193" s="148"/>
      <c r="W1193" s="148"/>
      <c r="X1193" s="148"/>
      <c r="Y1193" s="148"/>
      <c r="Z1193" s="148"/>
      <c r="AA1193" s="148"/>
      <c r="AB1193" s="148"/>
      <c r="AC1193" s="148"/>
    </row>
    <row r="1194" spans="1:29">
      <c r="A1194" s="149"/>
      <c r="B1194" s="147"/>
      <c r="C1194" s="147"/>
      <c r="D1194" s="147"/>
      <c r="E1194" s="147"/>
      <c r="F1194" s="147"/>
      <c r="G1194" s="147"/>
      <c r="H1194" s="147"/>
      <c r="I1194" s="147"/>
      <c r="J1194" s="147"/>
      <c r="K1194" s="147"/>
      <c r="L1194" s="147"/>
      <c r="M1194" s="147"/>
      <c r="N1194" s="147"/>
      <c r="O1194" s="147"/>
      <c r="P1194" s="147"/>
      <c r="Q1194" s="147"/>
      <c r="R1194" s="148"/>
      <c r="S1194" s="148"/>
      <c r="T1194" s="148"/>
      <c r="U1194" s="148"/>
      <c r="V1194" s="148"/>
      <c r="W1194" s="148"/>
      <c r="X1194" s="148"/>
      <c r="Y1194" s="148"/>
      <c r="Z1194" s="148"/>
      <c r="AA1194" s="148"/>
      <c r="AB1194" s="148"/>
      <c r="AC1194" s="148"/>
    </row>
    <row r="1195" spans="1:29">
      <c r="A1195" s="149"/>
      <c r="B1195" s="147"/>
      <c r="C1195" s="147"/>
      <c r="D1195" s="147"/>
      <c r="E1195" s="147"/>
      <c r="F1195" s="147"/>
      <c r="G1195" s="147"/>
      <c r="H1195" s="147"/>
      <c r="I1195" s="147"/>
      <c r="J1195" s="147"/>
      <c r="K1195" s="147"/>
      <c r="L1195" s="147"/>
      <c r="M1195" s="147"/>
      <c r="N1195" s="147"/>
      <c r="O1195" s="147"/>
      <c r="P1195" s="147"/>
      <c r="Q1195" s="147"/>
      <c r="R1195" s="148"/>
      <c r="S1195" s="148"/>
      <c r="T1195" s="148"/>
      <c r="U1195" s="148"/>
      <c r="V1195" s="148"/>
      <c r="W1195" s="148"/>
      <c r="X1195" s="148"/>
      <c r="Y1195" s="148"/>
      <c r="Z1195" s="148"/>
      <c r="AA1195" s="148"/>
      <c r="AB1195" s="148"/>
      <c r="AC1195" s="148"/>
    </row>
    <row r="1196" spans="1:29">
      <c r="A1196" s="149"/>
      <c r="B1196" s="147"/>
      <c r="C1196" s="147"/>
      <c r="D1196" s="147"/>
      <c r="E1196" s="147"/>
      <c r="F1196" s="147"/>
      <c r="G1196" s="147"/>
      <c r="H1196" s="147"/>
      <c r="I1196" s="147"/>
      <c r="J1196" s="147"/>
      <c r="K1196" s="147"/>
      <c r="L1196" s="147"/>
      <c r="M1196" s="147"/>
      <c r="N1196" s="147"/>
      <c r="O1196" s="147"/>
      <c r="P1196" s="147"/>
      <c r="Q1196" s="147"/>
      <c r="R1196" s="148"/>
      <c r="S1196" s="148"/>
      <c r="T1196" s="148"/>
      <c r="U1196" s="148"/>
      <c r="V1196" s="148"/>
      <c r="W1196" s="148"/>
      <c r="X1196" s="148"/>
      <c r="Y1196" s="148"/>
      <c r="Z1196" s="148"/>
      <c r="AA1196" s="148"/>
      <c r="AB1196" s="148"/>
      <c r="AC1196" s="148"/>
    </row>
    <row r="1197" spans="1:29">
      <c r="A1197" s="149"/>
      <c r="B1197" s="147"/>
      <c r="C1197" s="147"/>
      <c r="D1197" s="147"/>
      <c r="E1197" s="147"/>
      <c r="F1197" s="147"/>
      <c r="G1197" s="147"/>
      <c r="H1197" s="147"/>
      <c r="I1197" s="147"/>
      <c r="J1197" s="147"/>
      <c r="K1197" s="147"/>
      <c r="L1197" s="147"/>
      <c r="M1197" s="147"/>
      <c r="N1197" s="147"/>
      <c r="O1197" s="147"/>
      <c r="P1197" s="147"/>
      <c r="Q1197" s="147"/>
      <c r="R1197" s="148"/>
      <c r="S1197" s="148"/>
      <c r="T1197" s="148"/>
      <c r="U1197" s="148"/>
      <c r="V1197" s="148"/>
      <c r="W1197" s="148"/>
      <c r="X1197" s="148"/>
      <c r="Y1197" s="148"/>
      <c r="Z1197" s="148"/>
      <c r="AA1197" s="148"/>
      <c r="AB1197" s="148"/>
      <c r="AC1197" s="148"/>
    </row>
    <row r="1198" spans="1:29">
      <c r="A1198" s="149"/>
      <c r="B1198" s="147"/>
      <c r="C1198" s="147"/>
      <c r="D1198" s="147"/>
      <c r="E1198" s="147"/>
      <c r="F1198" s="147"/>
      <c r="G1198" s="147"/>
      <c r="H1198" s="147"/>
      <c r="I1198" s="147"/>
      <c r="J1198" s="147"/>
      <c r="K1198" s="147"/>
      <c r="L1198" s="147"/>
      <c r="M1198" s="147"/>
      <c r="N1198" s="147"/>
      <c r="O1198" s="147"/>
      <c r="P1198" s="147"/>
      <c r="Q1198" s="147"/>
      <c r="R1198" s="148"/>
      <c r="S1198" s="148"/>
      <c r="T1198" s="148"/>
      <c r="U1198" s="148"/>
      <c r="V1198" s="148"/>
      <c r="W1198" s="148"/>
      <c r="X1198" s="148"/>
      <c r="Y1198" s="148"/>
      <c r="Z1198" s="148"/>
      <c r="AA1198" s="148"/>
      <c r="AB1198" s="148"/>
      <c r="AC1198" s="148"/>
    </row>
    <row r="1199" spans="1:29">
      <c r="A1199" s="149"/>
      <c r="B1199" s="147"/>
      <c r="C1199" s="147"/>
      <c r="D1199" s="147"/>
      <c r="E1199" s="147"/>
      <c r="F1199" s="147"/>
      <c r="G1199" s="147"/>
      <c r="H1199" s="147"/>
      <c r="I1199" s="147"/>
      <c r="J1199" s="147"/>
      <c r="K1199" s="147"/>
      <c r="L1199" s="147"/>
      <c r="M1199" s="147"/>
      <c r="N1199" s="147"/>
      <c r="O1199" s="147"/>
      <c r="P1199" s="147"/>
      <c r="Q1199" s="147"/>
      <c r="R1199" s="148"/>
      <c r="S1199" s="148"/>
      <c r="T1199" s="148"/>
      <c r="U1199" s="148"/>
      <c r="V1199" s="148"/>
      <c r="W1199" s="148"/>
      <c r="X1199" s="148"/>
      <c r="Y1199" s="148"/>
      <c r="Z1199" s="148"/>
      <c r="AA1199" s="148"/>
      <c r="AB1199" s="148"/>
      <c r="AC1199" s="148"/>
    </row>
    <row r="1200" spans="1:29">
      <c r="A1200" s="149"/>
      <c r="B1200" s="147"/>
      <c r="C1200" s="147"/>
      <c r="D1200" s="147"/>
      <c r="E1200" s="147"/>
      <c r="F1200" s="147"/>
      <c r="G1200" s="147"/>
      <c r="H1200" s="147"/>
      <c r="I1200" s="147"/>
      <c r="J1200" s="147"/>
      <c r="K1200" s="147"/>
      <c r="L1200" s="147"/>
      <c r="M1200" s="147"/>
      <c r="N1200" s="147"/>
      <c r="O1200" s="147"/>
      <c r="P1200" s="147"/>
      <c r="Q1200" s="147"/>
      <c r="R1200" s="148"/>
      <c r="S1200" s="148"/>
      <c r="T1200" s="148"/>
      <c r="U1200" s="148"/>
      <c r="V1200" s="148"/>
      <c r="W1200" s="148"/>
      <c r="X1200" s="148"/>
      <c r="Y1200" s="148"/>
      <c r="Z1200" s="148"/>
      <c r="AA1200" s="148"/>
      <c r="AB1200" s="148"/>
      <c r="AC1200" s="148"/>
    </row>
    <row r="1201" spans="1:29">
      <c r="A1201" s="149"/>
      <c r="B1201" s="147"/>
      <c r="C1201" s="147"/>
      <c r="D1201" s="147"/>
      <c r="E1201" s="147"/>
      <c r="F1201" s="147"/>
      <c r="G1201" s="147"/>
      <c r="H1201" s="147"/>
      <c r="I1201" s="147"/>
      <c r="J1201" s="147"/>
      <c r="K1201" s="147"/>
      <c r="L1201" s="147"/>
      <c r="M1201" s="147"/>
      <c r="N1201" s="147"/>
      <c r="O1201" s="147"/>
      <c r="P1201" s="147"/>
      <c r="Q1201" s="147"/>
      <c r="R1201" s="148"/>
      <c r="S1201" s="148"/>
      <c r="T1201" s="148"/>
      <c r="U1201" s="148"/>
      <c r="V1201" s="148"/>
      <c r="W1201" s="148"/>
      <c r="X1201" s="148"/>
      <c r="Y1201" s="148"/>
      <c r="Z1201" s="148"/>
      <c r="AA1201" s="148"/>
      <c r="AB1201" s="148"/>
      <c r="AC1201" s="148"/>
    </row>
    <row r="1202" spans="1:29">
      <c r="A1202" s="149"/>
      <c r="B1202" s="147"/>
      <c r="C1202" s="147"/>
      <c r="D1202" s="147"/>
      <c r="E1202" s="147"/>
      <c r="F1202" s="147"/>
      <c r="G1202" s="147"/>
      <c r="H1202" s="147"/>
      <c r="I1202" s="147"/>
      <c r="J1202" s="147"/>
      <c r="K1202" s="147"/>
      <c r="L1202" s="147"/>
      <c r="M1202" s="147"/>
      <c r="N1202" s="147"/>
      <c r="O1202" s="147"/>
      <c r="P1202" s="147"/>
      <c r="Q1202" s="147"/>
      <c r="R1202" s="148"/>
      <c r="S1202" s="148"/>
      <c r="T1202" s="148"/>
      <c r="U1202" s="148"/>
      <c r="V1202" s="148"/>
      <c r="W1202" s="148"/>
      <c r="X1202" s="148"/>
      <c r="Y1202" s="148"/>
      <c r="Z1202" s="148"/>
      <c r="AA1202" s="148"/>
      <c r="AB1202" s="148"/>
      <c r="AC1202" s="148"/>
    </row>
    <row r="1203" spans="1:29">
      <c r="A1203" s="149"/>
      <c r="B1203" s="147"/>
      <c r="C1203" s="147"/>
      <c r="D1203" s="147"/>
      <c r="E1203" s="147"/>
      <c r="F1203" s="147"/>
      <c r="G1203" s="147"/>
      <c r="H1203" s="147"/>
      <c r="I1203" s="147"/>
      <c r="J1203" s="147"/>
      <c r="K1203" s="147"/>
      <c r="L1203" s="147"/>
      <c r="M1203" s="147"/>
      <c r="N1203" s="147"/>
      <c r="O1203" s="147"/>
      <c r="P1203" s="147"/>
      <c r="Q1203" s="147"/>
      <c r="R1203" s="148"/>
      <c r="S1203" s="148"/>
      <c r="T1203" s="148"/>
      <c r="U1203" s="148"/>
      <c r="V1203" s="148"/>
      <c r="W1203" s="148"/>
      <c r="X1203" s="148"/>
      <c r="Y1203" s="148"/>
      <c r="Z1203" s="148"/>
      <c r="AA1203" s="148"/>
      <c r="AB1203" s="148"/>
      <c r="AC1203" s="148"/>
    </row>
    <row r="1204" spans="1:29">
      <c r="A1204" s="149"/>
      <c r="B1204" s="147"/>
      <c r="C1204" s="147"/>
      <c r="D1204" s="147"/>
      <c r="E1204" s="147"/>
      <c r="F1204" s="147"/>
      <c r="G1204" s="147"/>
      <c r="H1204" s="147"/>
      <c r="I1204" s="147"/>
      <c r="J1204" s="147"/>
      <c r="K1204" s="147"/>
      <c r="L1204" s="147"/>
      <c r="M1204" s="147"/>
      <c r="N1204" s="147"/>
      <c r="O1204" s="147"/>
      <c r="P1204" s="147"/>
      <c r="Q1204" s="147"/>
      <c r="R1204" s="148"/>
      <c r="S1204" s="148"/>
      <c r="T1204" s="148"/>
      <c r="U1204" s="148"/>
      <c r="V1204" s="148"/>
      <c r="W1204" s="148"/>
      <c r="X1204" s="148"/>
      <c r="Y1204" s="148"/>
      <c r="Z1204" s="148"/>
      <c r="AA1204" s="148"/>
      <c r="AB1204" s="148"/>
      <c r="AC1204" s="148"/>
    </row>
    <row r="1205" spans="1:29">
      <c r="A1205" s="149"/>
      <c r="B1205" s="147"/>
      <c r="C1205" s="147"/>
      <c r="D1205" s="147"/>
      <c r="E1205" s="147"/>
      <c r="F1205" s="147"/>
      <c r="G1205" s="147"/>
      <c r="H1205" s="147"/>
      <c r="I1205" s="147"/>
      <c r="J1205" s="147"/>
      <c r="K1205" s="147"/>
      <c r="L1205" s="147"/>
      <c r="M1205" s="147"/>
      <c r="N1205" s="147"/>
      <c r="O1205" s="147"/>
      <c r="P1205" s="147"/>
      <c r="Q1205" s="147"/>
      <c r="R1205" s="148"/>
      <c r="S1205" s="148"/>
      <c r="T1205" s="148"/>
      <c r="U1205" s="148"/>
      <c r="V1205" s="148"/>
      <c r="W1205" s="148"/>
      <c r="X1205" s="148"/>
      <c r="Y1205" s="148"/>
      <c r="Z1205" s="148"/>
      <c r="AA1205" s="148"/>
      <c r="AB1205" s="148"/>
      <c r="AC1205" s="148"/>
    </row>
    <row r="1206" spans="1:29">
      <c r="A1206" s="149"/>
      <c r="B1206" s="147"/>
      <c r="C1206" s="147"/>
      <c r="D1206" s="147"/>
      <c r="E1206" s="147"/>
      <c r="F1206" s="147"/>
      <c r="G1206" s="147"/>
      <c r="H1206" s="147"/>
      <c r="I1206" s="147"/>
      <c r="J1206" s="147"/>
      <c r="K1206" s="147"/>
      <c r="L1206" s="147"/>
      <c r="M1206" s="147"/>
      <c r="N1206" s="147"/>
      <c r="O1206" s="147"/>
      <c r="P1206" s="147"/>
      <c r="Q1206" s="147"/>
      <c r="R1206" s="148"/>
      <c r="S1206" s="148"/>
      <c r="T1206" s="148"/>
      <c r="U1206" s="148"/>
      <c r="V1206" s="148"/>
      <c r="W1206" s="148"/>
      <c r="X1206" s="148"/>
      <c r="Y1206" s="148"/>
      <c r="Z1206" s="148"/>
      <c r="AA1206" s="148"/>
      <c r="AB1206" s="148"/>
      <c r="AC1206" s="148"/>
    </row>
    <row r="1207" spans="1:29">
      <c r="A1207" s="149"/>
      <c r="B1207" s="147"/>
      <c r="C1207" s="147"/>
      <c r="D1207" s="147"/>
      <c r="E1207" s="147"/>
      <c r="F1207" s="147"/>
      <c r="G1207" s="147"/>
      <c r="H1207" s="147"/>
      <c r="I1207" s="147"/>
      <c r="J1207" s="147"/>
      <c r="K1207" s="147"/>
      <c r="L1207" s="147"/>
      <c r="M1207" s="147"/>
      <c r="N1207" s="147"/>
      <c r="O1207" s="147"/>
      <c r="P1207" s="147"/>
      <c r="Q1207" s="147"/>
      <c r="R1207" s="148"/>
      <c r="S1207" s="148"/>
      <c r="T1207" s="148"/>
      <c r="U1207" s="148"/>
      <c r="V1207" s="148"/>
      <c r="W1207" s="148"/>
      <c r="X1207" s="148"/>
      <c r="Y1207" s="148"/>
      <c r="Z1207" s="148"/>
      <c r="AA1207" s="148"/>
      <c r="AB1207" s="148"/>
      <c r="AC1207" s="148"/>
    </row>
    <row r="1208" spans="1:29">
      <c r="A1208" s="149"/>
      <c r="B1208" s="147"/>
      <c r="C1208" s="147"/>
      <c r="D1208" s="147"/>
      <c r="E1208" s="147"/>
      <c r="F1208" s="147"/>
      <c r="G1208" s="147"/>
      <c r="H1208" s="147"/>
      <c r="I1208" s="147"/>
      <c r="J1208" s="147"/>
      <c r="K1208" s="147"/>
      <c r="L1208" s="147"/>
      <c r="M1208" s="147"/>
      <c r="N1208" s="147"/>
      <c r="O1208" s="147"/>
      <c r="P1208" s="147"/>
      <c r="Q1208" s="147"/>
      <c r="R1208" s="148"/>
      <c r="S1208" s="148"/>
      <c r="T1208" s="148"/>
      <c r="U1208" s="148"/>
      <c r="V1208" s="148"/>
      <c r="W1208" s="148"/>
      <c r="X1208" s="148"/>
      <c r="Y1208" s="148"/>
      <c r="Z1208" s="148"/>
      <c r="AA1208" s="148"/>
      <c r="AB1208" s="148"/>
      <c r="AC1208" s="148"/>
    </row>
    <row r="1209" spans="1:29">
      <c r="A1209" s="149"/>
      <c r="B1209" s="147"/>
      <c r="C1209" s="147"/>
      <c r="D1209" s="147"/>
      <c r="E1209" s="147"/>
      <c r="F1209" s="147"/>
      <c r="G1209" s="147"/>
      <c r="H1209" s="147"/>
      <c r="I1209" s="147"/>
      <c r="J1209" s="147"/>
      <c r="K1209" s="147"/>
      <c r="L1209" s="147"/>
      <c r="M1209" s="147"/>
      <c r="N1209" s="147"/>
      <c r="O1209" s="147"/>
      <c r="P1209" s="147"/>
      <c r="Q1209" s="147"/>
      <c r="R1209" s="148"/>
      <c r="S1209" s="148"/>
      <c r="T1209" s="148"/>
      <c r="U1209" s="148"/>
      <c r="V1209" s="148"/>
      <c r="W1209" s="148"/>
      <c r="X1209" s="148"/>
      <c r="Y1209" s="148"/>
      <c r="Z1209" s="148"/>
      <c r="AA1209" s="148"/>
      <c r="AB1209" s="148"/>
      <c r="AC1209" s="148"/>
    </row>
    <row r="1210" spans="1:29">
      <c r="A1210" s="149"/>
      <c r="B1210" s="147"/>
      <c r="C1210" s="147"/>
      <c r="D1210" s="147"/>
      <c r="E1210" s="147"/>
      <c r="F1210" s="147"/>
      <c r="G1210" s="147"/>
      <c r="H1210" s="147"/>
      <c r="I1210" s="147"/>
      <c r="J1210" s="147"/>
      <c r="K1210" s="147"/>
      <c r="L1210" s="147"/>
      <c r="M1210" s="147"/>
      <c r="N1210" s="147"/>
      <c r="O1210" s="147"/>
      <c r="P1210" s="147"/>
      <c r="Q1210" s="147"/>
      <c r="R1210" s="148"/>
      <c r="S1210" s="148"/>
      <c r="T1210" s="148"/>
      <c r="U1210" s="148"/>
      <c r="V1210" s="148"/>
      <c r="W1210" s="148"/>
      <c r="X1210" s="148"/>
      <c r="Y1210" s="148"/>
      <c r="Z1210" s="148"/>
      <c r="AA1210" s="148"/>
      <c r="AB1210" s="148"/>
      <c r="AC1210" s="148"/>
    </row>
    <row r="1211" spans="1:29">
      <c r="A1211" s="149"/>
      <c r="B1211" s="147"/>
      <c r="C1211" s="147"/>
      <c r="D1211" s="147"/>
      <c r="E1211" s="147"/>
      <c r="F1211" s="147"/>
      <c r="G1211" s="147"/>
      <c r="H1211" s="147"/>
      <c r="I1211" s="147"/>
      <c r="J1211" s="147"/>
      <c r="K1211" s="147"/>
      <c r="L1211" s="147"/>
      <c r="M1211" s="147"/>
      <c r="N1211" s="147"/>
      <c r="O1211" s="147"/>
      <c r="P1211" s="147"/>
      <c r="Q1211" s="147"/>
      <c r="R1211" s="148"/>
      <c r="S1211" s="148"/>
      <c r="T1211" s="148"/>
      <c r="U1211" s="148"/>
      <c r="V1211" s="148"/>
      <c r="W1211" s="148"/>
      <c r="X1211" s="148"/>
      <c r="Y1211" s="148"/>
      <c r="Z1211" s="148"/>
      <c r="AA1211" s="148"/>
      <c r="AB1211" s="148"/>
      <c r="AC1211" s="148"/>
    </row>
    <row r="1212" spans="1:29">
      <c r="A1212" s="149"/>
      <c r="B1212" s="147"/>
      <c r="C1212" s="147"/>
      <c r="D1212" s="147"/>
      <c r="E1212" s="147"/>
      <c r="F1212" s="147"/>
      <c r="G1212" s="147"/>
      <c r="H1212" s="147"/>
      <c r="I1212" s="147"/>
      <c r="J1212" s="147"/>
      <c r="K1212" s="147"/>
      <c r="L1212" s="147"/>
      <c r="M1212" s="147"/>
      <c r="N1212" s="147"/>
      <c r="O1212" s="147"/>
      <c r="P1212" s="147"/>
      <c r="Q1212" s="147"/>
      <c r="R1212" s="148"/>
      <c r="S1212" s="148"/>
      <c r="T1212" s="148"/>
      <c r="U1212" s="148"/>
      <c r="V1212" s="148"/>
      <c r="W1212" s="148"/>
      <c r="X1212" s="148"/>
      <c r="Y1212" s="148"/>
      <c r="Z1212" s="148"/>
      <c r="AA1212" s="148"/>
      <c r="AB1212" s="148"/>
      <c r="AC1212" s="148"/>
    </row>
    <row r="1213" spans="1:29">
      <c r="A1213" s="149"/>
      <c r="B1213" s="147"/>
      <c r="C1213" s="147"/>
      <c r="D1213" s="147"/>
      <c r="E1213" s="147"/>
      <c r="F1213" s="147"/>
      <c r="G1213" s="147"/>
      <c r="H1213" s="147"/>
      <c r="I1213" s="147"/>
      <c r="J1213" s="147"/>
      <c r="K1213" s="147"/>
      <c r="L1213" s="147"/>
      <c r="M1213" s="147"/>
      <c r="N1213" s="147"/>
      <c r="O1213" s="147"/>
      <c r="P1213" s="147"/>
      <c r="Q1213" s="147"/>
      <c r="R1213" s="148"/>
      <c r="S1213" s="148"/>
      <c r="T1213" s="148"/>
      <c r="U1213" s="148"/>
      <c r="V1213" s="148"/>
      <c r="W1213" s="148"/>
      <c r="X1213" s="148"/>
      <c r="Y1213" s="148"/>
      <c r="Z1213" s="148"/>
      <c r="AA1213" s="148"/>
      <c r="AB1213" s="148"/>
      <c r="AC1213" s="148"/>
    </row>
    <row r="1214" spans="1:29">
      <c r="A1214" s="149"/>
      <c r="B1214" s="147"/>
      <c r="C1214" s="147"/>
      <c r="D1214" s="147"/>
      <c r="E1214" s="147"/>
      <c r="F1214" s="147"/>
      <c r="G1214" s="147"/>
      <c r="H1214" s="147"/>
      <c r="I1214" s="147"/>
      <c r="J1214" s="147"/>
      <c r="K1214" s="147"/>
      <c r="L1214" s="147"/>
      <c r="M1214" s="147"/>
      <c r="N1214" s="147"/>
      <c r="O1214" s="147"/>
      <c r="P1214" s="147"/>
      <c r="Q1214" s="147"/>
      <c r="R1214" s="148"/>
      <c r="S1214" s="148"/>
      <c r="T1214" s="148"/>
      <c r="U1214" s="148"/>
      <c r="V1214" s="148"/>
      <c r="W1214" s="148"/>
      <c r="X1214" s="148"/>
      <c r="Y1214" s="148"/>
      <c r="Z1214" s="148"/>
      <c r="AA1214" s="148"/>
      <c r="AB1214" s="148"/>
      <c r="AC1214" s="148"/>
    </row>
    <row r="1215" spans="1:29">
      <c r="A1215" s="149"/>
      <c r="B1215" s="147"/>
      <c r="C1215" s="147"/>
      <c r="D1215" s="147"/>
      <c r="E1215" s="147"/>
      <c r="F1215" s="147"/>
      <c r="G1215" s="147"/>
      <c r="H1215" s="147"/>
      <c r="I1215" s="147"/>
      <c r="J1215" s="147"/>
      <c r="K1215" s="147"/>
      <c r="L1215" s="147"/>
      <c r="M1215" s="147"/>
      <c r="N1215" s="147"/>
      <c r="O1215" s="147"/>
      <c r="P1215" s="147"/>
      <c r="Q1215" s="147"/>
      <c r="R1215" s="148"/>
      <c r="S1215" s="148"/>
      <c r="T1215" s="148"/>
      <c r="U1215" s="148"/>
      <c r="V1215" s="148"/>
      <c r="W1215" s="148"/>
      <c r="X1215" s="148"/>
      <c r="Y1215" s="148"/>
      <c r="Z1215" s="148"/>
      <c r="AA1215" s="148"/>
      <c r="AB1215" s="148"/>
      <c r="AC1215" s="148"/>
    </row>
    <row r="1216" spans="1:29">
      <c r="A1216" s="149"/>
      <c r="B1216" s="147"/>
      <c r="C1216" s="147"/>
      <c r="D1216" s="147"/>
      <c r="E1216" s="147"/>
      <c r="F1216" s="147"/>
      <c r="G1216" s="147"/>
      <c r="H1216" s="147"/>
      <c r="I1216" s="147"/>
      <c r="J1216" s="147"/>
      <c r="K1216" s="147"/>
      <c r="L1216" s="147"/>
      <c r="M1216" s="147"/>
      <c r="N1216" s="147"/>
      <c r="O1216" s="147"/>
      <c r="P1216" s="147"/>
      <c r="Q1216" s="147"/>
      <c r="R1216" s="148"/>
      <c r="S1216" s="148"/>
      <c r="T1216" s="148"/>
      <c r="U1216" s="148"/>
      <c r="V1216" s="148"/>
      <c r="W1216" s="148"/>
      <c r="X1216" s="148"/>
      <c r="Y1216" s="148"/>
      <c r="Z1216" s="148"/>
      <c r="AA1216" s="148"/>
      <c r="AB1216" s="148"/>
      <c r="AC1216" s="148"/>
    </row>
    <row r="1217" spans="1:29">
      <c r="A1217" s="149"/>
      <c r="B1217" s="147"/>
      <c r="C1217" s="147"/>
      <c r="D1217" s="147"/>
      <c r="E1217" s="147"/>
      <c r="F1217" s="147"/>
      <c r="G1217" s="147"/>
      <c r="H1217" s="147"/>
      <c r="I1217" s="147"/>
      <c r="J1217" s="147"/>
      <c r="K1217" s="147"/>
      <c r="L1217" s="147"/>
      <c r="M1217" s="147"/>
      <c r="N1217" s="147"/>
      <c r="O1217" s="147"/>
      <c r="P1217" s="147"/>
      <c r="Q1217" s="147"/>
      <c r="R1217" s="148"/>
      <c r="S1217" s="148"/>
      <c r="T1217" s="148"/>
      <c r="U1217" s="148"/>
      <c r="V1217" s="148"/>
      <c r="W1217" s="148"/>
      <c r="X1217" s="148"/>
      <c r="Y1217" s="148"/>
      <c r="Z1217" s="148"/>
      <c r="AA1217" s="148"/>
      <c r="AB1217" s="148"/>
      <c r="AC1217" s="148"/>
    </row>
    <row r="1218" spans="1:29">
      <c r="A1218" s="149"/>
      <c r="B1218" s="147"/>
      <c r="C1218" s="147"/>
      <c r="D1218" s="147"/>
      <c r="E1218" s="147"/>
      <c r="F1218" s="147"/>
      <c r="G1218" s="147"/>
      <c r="H1218" s="147"/>
      <c r="I1218" s="147"/>
      <c r="J1218" s="147"/>
      <c r="K1218" s="147"/>
      <c r="L1218" s="147"/>
      <c r="M1218" s="147"/>
      <c r="N1218" s="147"/>
      <c r="O1218" s="147"/>
      <c r="P1218" s="147"/>
      <c r="Q1218" s="147"/>
      <c r="R1218" s="148"/>
      <c r="S1218" s="148"/>
      <c r="T1218" s="148"/>
      <c r="U1218" s="148"/>
      <c r="V1218" s="148"/>
      <c r="W1218" s="148"/>
      <c r="X1218" s="148"/>
      <c r="Y1218" s="148"/>
      <c r="Z1218" s="148"/>
      <c r="AA1218" s="148"/>
      <c r="AB1218" s="148"/>
      <c r="AC1218" s="148"/>
    </row>
    <row r="1219" spans="1:29">
      <c r="A1219" s="149"/>
      <c r="B1219" s="147"/>
      <c r="C1219" s="147"/>
      <c r="D1219" s="147"/>
      <c r="E1219" s="147"/>
      <c r="F1219" s="147"/>
      <c r="G1219" s="147"/>
      <c r="H1219" s="147"/>
      <c r="I1219" s="147"/>
      <c r="J1219" s="147"/>
      <c r="K1219" s="147"/>
      <c r="L1219" s="147"/>
      <c r="M1219" s="147"/>
      <c r="N1219" s="147"/>
      <c r="O1219" s="147"/>
      <c r="P1219" s="147"/>
      <c r="Q1219" s="147"/>
      <c r="R1219" s="148"/>
      <c r="S1219" s="148"/>
      <c r="T1219" s="148"/>
      <c r="U1219" s="148"/>
      <c r="V1219" s="148"/>
      <c r="W1219" s="148"/>
      <c r="X1219" s="148"/>
      <c r="Y1219" s="148"/>
      <c r="Z1219" s="148"/>
      <c r="AA1219" s="148"/>
      <c r="AB1219" s="148"/>
      <c r="AC1219" s="148"/>
    </row>
    <row r="1220" spans="1:29">
      <c r="A1220" s="149"/>
      <c r="B1220" s="147"/>
      <c r="C1220" s="147"/>
      <c r="D1220" s="147"/>
      <c r="E1220" s="147"/>
      <c r="F1220" s="147"/>
      <c r="G1220" s="147"/>
      <c r="H1220" s="147"/>
      <c r="I1220" s="147"/>
      <c r="J1220" s="147"/>
      <c r="K1220" s="147"/>
      <c r="L1220" s="147"/>
      <c r="M1220" s="147"/>
      <c r="N1220" s="147"/>
      <c r="O1220" s="147"/>
      <c r="P1220" s="147"/>
      <c r="Q1220" s="147"/>
      <c r="R1220" s="148"/>
      <c r="S1220" s="148"/>
      <c r="T1220" s="148"/>
      <c r="U1220" s="148"/>
      <c r="V1220" s="148"/>
      <c r="W1220" s="148"/>
      <c r="X1220" s="148"/>
      <c r="Y1220" s="148"/>
      <c r="Z1220" s="148"/>
      <c r="AA1220" s="148"/>
      <c r="AB1220" s="148"/>
      <c r="AC1220" s="148"/>
    </row>
    <row r="1221" spans="1:29">
      <c r="A1221" s="149"/>
      <c r="B1221" s="147"/>
      <c r="C1221" s="147"/>
      <c r="D1221" s="147"/>
      <c r="E1221" s="147"/>
      <c r="F1221" s="147"/>
      <c r="G1221" s="147"/>
      <c r="H1221" s="147"/>
      <c r="I1221" s="147"/>
      <c r="J1221" s="147"/>
      <c r="K1221" s="147"/>
      <c r="L1221" s="147"/>
      <c r="M1221" s="147"/>
      <c r="N1221" s="147"/>
      <c r="O1221" s="147"/>
      <c r="P1221" s="147"/>
      <c r="Q1221" s="147"/>
      <c r="R1221" s="148"/>
      <c r="S1221" s="148"/>
      <c r="T1221" s="148"/>
      <c r="U1221" s="148"/>
      <c r="V1221" s="148"/>
      <c r="W1221" s="148"/>
      <c r="X1221" s="148"/>
      <c r="Y1221" s="148"/>
      <c r="Z1221" s="148"/>
      <c r="AA1221" s="148"/>
      <c r="AB1221" s="148"/>
      <c r="AC1221" s="148"/>
    </row>
    <row r="1222" spans="1:29">
      <c r="A1222" s="149"/>
      <c r="B1222" s="147"/>
      <c r="C1222" s="147"/>
      <c r="D1222" s="147"/>
      <c r="E1222" s="147"/>
      <c r="F1222" s="147"/>
      <c r="G1222" s="147"/>
      <c r="H1222" s="147"/>
      <c r="I1222" s="147"/>
      <c r="J1222" s="147"/>
      <c r="K1222" s="147"/>
      <c r="L1222" s="147"/>
      <c r="M1222" s="147"/>
      <c r="N1222" s="147"/>
      <c r="O1222" s="147"/>
      <c r="P1222" s="147"/>
      <c r="Q1222" s="147"/>
      <c r="R1222" s="148"/>
      <c r="S1222" s="148"/>
      <c r="T1222" s="148"/>
      <c r="U1222" s="148"/>
      <c r="V1222" s="148"/>
      <c r="W1222" s="148"/>
      <c r="X1222" s="148"/>
      <c r="Y1222" s="148"/>
      <c r="Z1222" s="148"/>
      <c r="AA1222" s="148"/>
      <c r="AB1222" s="148"/>
      <c r="AC1222" s="148"/>
    </row>
    <row r="1223" spans="1:29">
      <c r="A1223" s="149"/>
      <c r="B1223" s="147"/>
      <c r="C1223" s="147"/>
      <c r="D1223" s="147"/>
      <c r="E1223" s="147"/>
      <c r="F1223" s="147"/>
      <c r="G1223" s="147"/>
      <c r="H1223" s="147"/>
      <c r="I1223" s="147"/>
      <c r="J1223" s="147"/>
      <c r="K1223" s="147"/>
      <c r="L1223" s="147"/>
      <c r="M1223" s="147"/>
      <c r="N1223" s="147"/>
      <c r="O1223" s="147"/>
      <c r="P1223" s="147"/>
      <c r="Q1223" s="147"/>
      <c r="R1223" s="148"/>
      <c r="S1223" s="148"/>
      <c r="T1223" s="148"/>
      <c r="U1223" s="148"/>
      <c r="V1223" s="148"/>
      <c r="W1223" s="148"/>
      <c r="X1223" s="148"/>
      <c r="Y1223" s="148"/>
      <c r="Z1223" s="148"/>
      <c r="AA1223" s="148"/>
      <c r="AB1223" s="148"/>
      <c r="AC1223" s="148"/>
    </row>
    <row r="1224" spans="1:29">
      <c r="A1224" s="149"/>
      <c r="B1224" s="147"/>
      <c r="C1224" s="147"/>
      <c r="D1224" s="147"/>
      <c r="E1224" s="147"/>
      <c r="F1224" s="147"/>
      <c r="G1224" s="147"/>
      <c r="H1224" s="147"/>
      <c r="I1224" s="147"/>
      <c r="J1224" s="147"/>
      <c r="K1224" s="147"/>
      <c r="L1224" s="147"/>
      <c r="M1224" s="147"/>
      <c r="N1224" s="147"/>
      <c r="O1224" s="147"/>
      <c r="P1224" s="147"/>
      <c r="Q1224" s="147"/>
      <c r="R1224" s="148"/>
      <c r="S1224" s="148"/>
      <c r="T1224" s="148"/>
      <c r="U1224" s="148"/>
      <c r="V1224" s="148"/>
      <c r="W1224" s="148"/>
      <c r="X1224" s="148"/>
      <c r="Y1224" s="148"/>
      <c r="Z1224" s="148"/>
      <c r="AA1224" s="148"/>
      <c r="AB1224" s="148"/>
      <c r="AC1224" s="148"/>
    </row>
    <row r="1225" spans="1:29">
      <c r="A1225" s="149"/>
      <c r="B1225" s="147"/>
      <c r="C1225" s="147"/>
      <c r="D1225" s="147"/>
      <c r="E1225" s="147"/>
      <c r="F1225" s="147"/>
      <c r="G1225" s="147"/>
      <c r="H1225" s="147"/>
      <c r="I1225" s="147"/>
      <c r="J1225" s="147"/>
      <c r="K1225" s="147"/>
      <c r="L1225" s="147"/>
      <c r="M1225" s="147"/>
      <c r="N1225" s="147"/>
      <c r="O1225" s="147"/>
      <c r="P1225" s="147"/>
      <c r="Q1225" s="147"/>
      <c r="R1225" s="148"/>
      <c r="S1225" s="148"/>
      <c r="T1225" s="148"/>
      <c r="U1225" s="148"/>
      <c r="V1225" s="148"/>
      <c r="W1225" s="148"/>
      <c r="X1225" s="148"/>
      <c r="Y1225" s="148"/>
      <c r="Z1225" s="148"/>
      <c r="AA1225" s="148"/>
      <c r="AB1225" s="148"/>
      <c r="AC1225" s="148"/>
    </row>
    <row r="1226" spans="1:29">
      <c r="A1226" s="149"/>
      <c r="B1226" s="147"/>
      <c r="C1226" s="147"/>
      <c r="D1226" s="147"/>
      <c r="E1226" s="147"/>
      <c r="F1226" s="147"/>
      <c r="G1226" s="147"/>
      <c r="H1226" s="147"/>
      <c r="I1226" s="147"/>
      <c r="J1226" s="147"/>
      <c r="K1226" s="147"/>
      <c r="L1226" s="147"/>
      <c r="M1226" s="147"/>
      <c r="N1226" s="147"/>
      <c r="O1226" s="147"/>
      <c r="P1226" s="147"/>
      <c r="Q1226" s="147"/>
      <c r="R1226" s="148"/>
      <c r="S1226" s="148"/>
      <c r="T1226" s="148"/>
      <c r="U1226" s="148"/>
      <c r="V1226" s="148"/>
      <c r="W1226" s="148"/>
      <c r="X1226" s="148"/>
      <c r="Y1226" s="148"/>
      <c r="Z1226" s="148"/>
      <c r="AA1226" s="148"/>
      <c r="AB1226" s="148"/>
      <c r="AC1226" s="148"/>
    </row>
    <row r="1227" spans="1:29">
      <c r="A1227" s="149"/>
      <c r="B1227" s="147"/>
      <c r="C1227" s="147"/>
      <c r="D1227" s="147"/>
      <c r="E1227" s="147"/>
      <c r="F1227" s="147"/>
      <c r="G1227" s="147"/>
      <c r="H1227" s="147"/>
      <c r="I1227" s="147"/>
      <c r="J1227" s="147"/>
      <c r="K1227" s="147"/>
      <c r="L1227" s="147"/>
      <c r="M1227" s="147"/>
      <c r="N1227" s="147"/>
      <c r="O1227" s="147"/>
      <c r="P1227" s="147"/>
      <c r="Q1227" s="147"/>
      <c r="R1227" s="148"/>
      <c r="S1227" s="148"/>
      <c r="T1227" s="148"/>
      <c r="U1227" s="148"/>
      <c r="V1227" s="148"/>
      <c r="W1227" s="148"/>
      <c r="X1227" s="148"/>
      <c r="Y1227" s="148"/>
      <c r="Z1227" s="148"/>
      <c r="AA1227" s="148"/>
      <c r="AB1227" s="148"/>
      <c r="AC1227" s="148"/>
    </row>
    <row r="1228" spans="1:29">
      <c r="A1228" s="149"/>
      <c r="B1228" s="147"/>
      <c r="C1228" s="147"/>
      <c r="D1228" s="147"/>
      <c r="E1228" s="147"/>
      <c r="F1228" s="147"/>
      <c r="G1228" s="147"/>
      <c r="H1228" s="147"/>
      <c r="I1228" s="147"/>
      <c r="J1228" s="147"/>
      <c r="K1228" s="147"/>
      <c r="L1228" s="147"/>
      <c r="M1228" s="147"/>
      <c r="N1228" s="147"/>
      <c r="O1228" s="147"/>
      <c r="P1228" s="147"/>
      <c r="Q1228" s="147"/>
      <c r="R1228" s="148"/>
      <c r="S1228" s="148"/>
      <c r="T1228" s="148"/>
      <c r="U1228" s="148"/>
      <c r="V1228" s="148"/>
      <c r="W1228" s="148"/>
      <c r="X1228" s="148"/>
      <c r="Y1228" s="148"/>
      <c r="Z1228" s="148"/>
      <c r="AA1228" s="148"/>
      <c r="AB1228" s="148"/>
      <c r="AC1228" s="148"/>
    </row>
    <row r="1229" spans="1:29">
      <c r="A1229" s="149"/>
      <c r="B1229" s="147"/>
      <c r="C1229" s="147"/>
      <c r="D1229" s="147"/>
      <c r="E1229" s="147"/>
      <c r="F1229" s="147"/>
      <c r="G1229" s="147"/>
      <c r="H1229" s="147"/>
      <c r="I1229" s="147"/>
      <c r="J1229" s="147"/>
      <c r="K1229" s="147"/>
      <c r="L1229" s="147"/>
      <c r="M1229" s="147"/>
      <c r="N1229" s="147"/>
      <c r="O1229" s="147"/>
      <c r="P1229" s="147"/>
      <c r="Q1229" s="147"/>
      <c r="R1229" s="148"/>
      <c r="S1229" s="148"/>
      <c r="T1229" s="148"/>
      <c r="U1229" s="148"/>
      <c r="V1229" s="148"/>
      <c r="W1229" s="148"/>
      <c r="X1229" s="148"/>
      <c r="Y1229" s="148"/>
      <c r="Z1229" s="148"/>
      <c r="AA1229" s="148"/>
      <c r="AB1229" s="148"/>
      <c r="AC1229" s="148"/>
    </row>
    <row r="1230" spans="1:29">
      <c r="A1230" s="149"/>
      <c r="B1230" s="147"/>
      <c r="C1230" s="147"/>
      <c r="D1230" s="147"/>
      <c r="E1230" s="147"/>
      <c r="F1230" s="147"/>
      <c r="G1230" s="147"/>
      <c r="H1230" s="147"/>
      <c r="I1230" s="147"/>
      <c r="J1230" s="147"/>
      <c r="K1230" s="147"/>
      <c r="L1230" s="147"/>
      <c r="M1230" s="147"/>
      <c r="N1230" s="147"/>
      <c r="O1230" s="147"/>
      <c r="P1230" s="147"/>
      <c r="Q1230" s="147"/>
      <c r="R1230" s="148"/>
      <c r="S1230" s="148"/>
      <c r="T1230" s="148"/>
      <c r="U1230" s="148"/>
      <c r="V1230" s="148"/>
      <c r="W1230" s="148"/>
      <c r="X1230" s="148"/>
      <c r="Y1230" s="148"/>
      <c r="Z1230" s="148"/>
      <c r="AA1230" s="148"/>
      <c r="AB1230" s="148"/>
      <c r="AC1230" s="148"/>
    </row>
    <row r="1231" spans="1:29">
      <c r="A1231" s="149"/>
      <c r="B1231" s="147"/>
      <c r="C1231" s="147"/>
      <c r="D1231" s="147"/>
      <c r="E1231" s="147"/>
      <c r="F1231" s="147"/>
      <c r="G1231" s="147"/>
      <c r="H1231" s="147"/>
      <c r="I1231" s="147"/>
      <c r="J1231" s="147"/>
      <c r="K1231" s="147"/>
      <c r="L1231" s="147"/>
      <c r="M1231" s="147"/>
      <c r="N1231" s="147"/>
      <c r="O1231" s="147"/>
      <c r="P1231" s="147"/>
      <c r="Q1231" s="147"/>
      <c r="R1231" s="148"/>
      <c r="S1231" s="148"/>
      <c r="T1231" s="148"/>
      <c r="U1231" s="148"/>
      <c r="V1231" s="148"/>
      <c r="W1231" s="148"/>
      <c r="X1231" s="148"/>
      <c r="Y1231" s="148"/>
      <c r="Z1231" s="148"/>
      <c r="AA1231" s="148"/>
      <c r="AB1231" s="148"/>
      <c r="AC1231" s="148"/>
    </row>
    <row r="1232" spans="1:29">
      <c r="A1232" s="149"/>
      <c r="B1232" s="147"/>
      <c r="C1232" s="147"/>
      <c r="D1232" s="147"/>
      <c r="E1232" s="147"/>
      <c r="F1232" s="147"/>
      <c r="G1232" s="147"/>
      <c r="H1232" s="147"/>
      <c r="I1232" s="147"/>
      <c r="J1232" s="147"/>
      <c r="K1232" s="147"/>
      <c r="L1232" s="147"/>
      <c r="M1232" s="147"/>
      <c r="N1232" s="147"/>
      <c r="O1232" s="147"/>
      <c r="P1232" s="147"/>
      <c r="Q1232" s="147"/>
      <c r="R1232" s="148"/>
      <c r="S1232" s="148"/>
      <c r="T1232" s="148"/>
      <c r="U1232" s="148"/>
      <c r="V1232" s="148"/>
      <c r="W1232" s="148"/>
      <c r="X1232" s="148"/>
      <c r="Y1232" s="148"/>
      <c r="Z1232" s="148"/>
      <c r="AA1232" s="148"/>
      <c r="AB1232" s="148"/>
      <c r="AC1232" s="148"/>
    </row>
    <row r="1233" spans="1:29">
      <c r="A1233" s="149"/>
      <c r="B1233" s="147"/>
      <c r="C1233" s="147"/>
      <c r="D1233" s="147"/>
      <c r="E1233" s="147"/>
      <c r="F1233" s="147"/>
      <c r="G1233" s="147"/>
      <c r="H1233" s="147"/>
      <c r="I1233" s="147"/>
      <c r="J1233" s="147"/>
      <c r="K1233" s="147"/>
      <c r="L1233" s="147"/>
      <c r="M1233" s="147"/>
      <c r="N1233" s="147"/>
      <c r="O1233" s="147"/>
      <c r="P1233" s="147"/>
      <c r="Q1233" s="147"/>
      <c r="R1233" s="148"/>
      <c r="S1233" s="148"/>
      <c r="T1233" s="148"/>
      <c r="U1233" s="148"/>
      <c r="V1233" s="148"/>
      <c r="W1233" s="148"/>
      <c r="X1233" s="148"/>
      <c r="Y1233" s="148"/>
      <c r="Z1233" s="148"/>
      <c r="AA1233" s="148"/>
      <c r="AB1233" s="148"/>
      <c r="AC1233" s="148"/>
    </row>
    <row r="1234" spans="1:29">
      <c r="A1234" s="149"/>
      <c r="B1234" s="147"/>
      <c r="C1234" s="147"/>
      <c r="D1234" s="147"/>
      <c r="E1234" s="147"/>
      <c r="F1234" s="147"/>
      <c r="G1234" s="147"/>
      <c r="H1234" s="147"/>
      <c r="I1234" s="147"/>
      <c r="J1234" s="147"/>
      <c r="K1234" s="147"/>
      <c r="L1234" s="147"/>
      <c r="M1234" s="147"/>
      <c r="N1234" s="147"/>
      <c r="O1234" s="147"/>
      <c r="P1234" s="147"/>
      <c r="Q1234" s="147"/>
      <c r="R1234" s="148"/>
      <c r="S1234" s="148"/>
      <c r="T1234" s="148"/>
      <c r="U1234" s="148"/>
      <c r="V1234" s="148"/>
      <c r="W1234" s="148"/>
      <c r="X1234" s="148"/>
      <c r="Y1234" s="148"/>
      <c r="Z1234" s="148"/>
      <c r="AA1234" s="148"/>
      <c r="AB1234" s="148"/>
      <c r="AC1234" s="148"/>
    </row>
    <row r="1235" spans="1:29">
      <c r="A1235" s="149"/>
      <c r="B1235" s="147"/>
      <c r="C1235" s="147"/>
      <c r="D1235" s="147"/>
      <c r="E1235" s="147"/>
      <c r="F1235" s="147"/>
      <c r="G1235" s="147"/>
      <c r="H1235" s="147"/>
      <c r="I1235" s="147"/>
      <c r="J1235" s="147"/>
      <c r="K1235" s="147"/>
      <c r="L1235" s="147"/>
      <c r="M1235" s="147"/>
      <c r="N1235" s="147"/>
      <c r="O1235" s="147"/>
      <c r="P1235" s="147"/>
      <c r="Q1235" s="147"/>
      <c r="R1235" s="148"/>
      <c r="S1235" s="148"/>
      <c r="T1235" s="148"/>
      <c r="U1235" s="148"/>
      <c r="V1235" s="148"/>
      <c r="W1235" s="148"/>
      <c r="X1235" s="148"/>
      <c r="Y1235" s="148"/>
      <c r="Z1235" s="148"/>
      <c r="AA1235" s="148"/>
      <c r="AB1235" s="148"/>
      <c r="AC1235" s="148"/>
    </row>
    <row r="1236" spans="1:29">
      <c r="A1236" s="149"/>
      <c r="B1236" s="147"/>
      <c r="C1236" s="147"/>
      <c r="D1236" s="147"/>
      <c r="E1236" s="147"/>
      <c r="F1236" s="147"/>
      <c r="G1236" s="147"/>
      <c r="H1236" s="147"/>
      <c r="I1236" s="147"/>
      <c r="J1236" s="147"/>
      <c r="K1236" s="147"/>
      <c r="L1236" s="147"/>
      <c r="M1236" s="147"/>
      <c r="N1236" s="147"/>
      <c r="O1236" s="147"/>
      <c r="P1236" s="147"/>
      <c r="Q1236" s="147"/>
      <c r="R1236" s="148"/>
      <c r="S1236" s="148"/>
      <c r="T1236" s="148"/>
      <c r="U1236" s="148"/>
      <c r="V1236" s="148"/>
      <c r="W1236" s="148"/>
      <c r="X1236" s="148"/>
      <c r="Y1236" s="148"/>
      <c r="Z1236" s="148"/>
      <c r="AA1236" s="148"/>
      <c r="AB1236" s="148"/>
      <c r="AC1236" s="148"/>
    </row>
    <row r="1237" spans="1:29">
      <c r="A1237" s="149"/>
      <c r="B1237" s="147"/>
      <c r="C1237" s="147"/>
      <c r="D1237" s="147"/>
      <c r="E1237" s="147"/>
      <c r="F1237" s="147"/>
      <c r="G1237" s="147"/>
      <c r="H1237" s="147"/>
      <c r="I1237" s="147"/>
      <c r="J1237" s="147"/>
      <c r="K1237" s="147"/>
      <c r="L1237" s="147"/>
      <c r="M1237" s="147"/>
      <c r="N1237" s="147"/>
      <c r="O1237" s="147"/>
      <c r="P1237" s="147"/>
      <c r="Q1237" s="147"/>
      <c r="R1237" s="148"/>
      <c r="S1237" s="148"/>
      <c r="T1237" s="148"/>
      <c r="U1237" s="148"/>
      <c r="V1237" s="148"/>
      <c r="W1237" s="148"/>
      <c r="X1237" s="148"/>
      <c r="Y1237" s="148"/>
      <c r="Z1237" s="148"/>
      <c r="AA1237" s="148"/>
      <c r="AB1237" s="148"/>
      <c r="AC1237" s="148"/>
    </row>
    <row r="1238" spans="1:29">
      <c r="A1238" s="149"/>
      <c r="B1238" s="147"/>
      <c r="C1238" s="147"/>
      <c r="D1238" s="147"/>
      <c r="E1238" s="147"/>
      <c r="F1238" s="147"/>
      <c r="G1238" s="147"/>
      <c r="H1238" s="147"/>
      <c r="I1238" s="147"/>
      <c r="J1238" s="147"/>
      <c r="K1238" s="147"/>
      <c r="L1238" s="147"/>
      <c r="M1238" s="147"/>
      <c r="N1238" s="147"/>
      <c r="O1238" s="147"/>
      <c r="P1238" s="147"/>
      <c r="Q1238" s="147"/>
      <c r="R1238" s="148"/>
      <c r="S1238" s="148"/>
      <c r="T1238" s="148"/>
      <c r="U1238" s="148"/>
      <c r="V1238" s="148"/>
      <c r="W1238" s="148"/>
      <c r="X1238" s="148"/>
      <c r="Y1238" s="148"/>
      <c r="Z1238" s="148"/>
      <c r="AA1238" s="148"/>
      <c r="AB1238" s="148"/>
      <c r="AC1238" s="148"/>
    </row>
    <row r="1239" spans="1:29">
      <c r="A1239" s="149"/>
      <c r="B1239" s="147"/>
      <c r="C1239" s="147"/>
      <c r="D1239" s="147"/>
      <c r="E1239" s="147"/>
      <c r="F1239" s="147"/>
      <c r="G1239" s="147"/>
      <c r="H1239" s="147"/>
      <c r="I1239" s="147"/>
      <c r="J1239" s="147"/>
      <c r="K1239" s="147"/>
      <c r="L1239" s="147"/>
      <c r="M1239" s="147"/>
      <c r="N1239" s="147"/>
      <c r="O1239" s="147"/>
      <c r="P1239" s="147"/>
      <c r="Q1239" s="147"/>
      <c r="R1239" s="148"/>
      <c r="S1239" s="148"/>
      <c r="T1239" s="148"/>
      <c r="U1239" s="148"/>
      <c r="V1239" s="148"/>
      <c r="W1239" s="148"/>
      <c r="X1239" s="148"/>
      <c r="Y1239" s="148"/>
      <c r="Z1239" s="148"/>
      <c r="AA1239" s="148"/>
      <c r="AB1239" s="148"/>
      <c r="AC1239" s="148"/>
    </row>
    <row r="1240" spans="1:29">
      <c r="A1240" s="149"/>
      <c r="B1240" s="147"/>
      <c r="C1240" s="147"/>
      <c r="D1240" s="147"/>
      <c r="E1240" s="147"/>
      <c r="F1240" s="147"/>
      <c r="G1240" s="147"/>
      <c r="H1240" s="147"/>
      <c r="I1240" s="147"/>
      <c r="J1240" s="147"/>
      <c r="K1240" s="147"/>
      <c r="L1240" s="147"/>
      <c r="M1240" s="147"/>
      <c r="N1240" s="147"/>
      <c r="O1240" s="147"/>
      <c r="P1240" s="147"/>
      <c r="Q1240" s="147"/>
      <c r="R1240" s="148"/>
      <c r="S1240" s="148"/>
      <c r="T1240" s="148"/>
      <c r="U1240" s="148"/>
      <c r="V1240" s="148"/>
      <c r="W1240" s="148"/>
      <c r="X1240" s="148"/>
      <c r="Y1240" s="148"/>
      <c r="Z1240" s="148"/>
      <c r="AA1240" s="148"/>
      <c r="AB1240" s="148"/>
      <c r="AC1240" s="148"/>
    </row>
    <row r="1241" spans="1:29">
      <c r="A1241" s="149"/>
      <c r="B1241" s="147"/>
      <c r="C1241" s="147"/>
      <c r="D1241" s="147"/>
      <c r="E1241" s="147"/>
      <c r="F1241" s="147"/>
      <c r="G1241" s="147"/>
      <c r="H1241" s="147"/>
      <c r="I1241" s="147"/>
      <c r="J1241" s="147"/>
      <c r="K1241" s="147"/>
      <c r="L1241" s="147"/>
      <c r="M1241" s="147"/>
      <c r="N1241" s="147"/>
      <c r="O1241" s="147"/>
      <c r="P1241" s="147"/>
      <c r="Q1241" s="147"/>
      <c r="R1241" s="148"/>
      <c r="S1241" s="148"/>
      <c r="T1241" s="148"/>
      <c r="U1241" s="148"/>
      <c r="V1241" s="148"/>
      <c r="W1241" s="148"/>
      <c r="X1241" s="148"/>
      <c r="Y1241" s="148"/>
      <c r="Z1241" s="148"/>
      <c r="AA1241" s="148"/>
      <c r="AB1241" s="148"/>
      <c r="AC1241" s="148"/>
    </row>
    <row r="1242" spans="1:29">
      <c r="A1242" s="149"/>
      <c r="B1242" s="147"/>
      <c r="C1242" s="147"/>
      <c r="D1242" s="147"/>
      <c r="E1242" s="147"/>
      <c r="F1242" s="147"/>
      <c r="G1242" s="147"/>
      <c r="H1242" s="147"/>
      <c r="I1242" s="147"/>
      <c r="J1242" s="147"/>
      <c r="K1242" s="147"/>
      <c r="L1242" s="147"/>
      <c r="M1242" s="147"/>
      <c r="N1242" s="147"/>
      <c r="O1242" s="147"/>
      <c r="P1242" s="147"/>
      <c r="Q1242" s="147"/>
      <c r="R1242" s="148"/>
      <c r="S1242" s="148"/>
      <c r="T1242" s="148"/>
      <c r="U1242" s="148"/>
      <c r="V1242" s="148"/>
      <c r="W1242" s="148"/>
      <c r="X1242" s="148"/>
      <c r="Y1242" s="148"/>
      <c r="Z1242" s="148"/>
      <c r="AA1242" s="148"/>
      <c r="AB1242" s="148"/>
      <c r="AC1242" s="148"/>
    </row>
    <row r="1243" spans="1:29">
      <c r="A1243" s="149"/>
      <c r="B1243" s="147"/>
      <c r="C1243" s="147"/>
      <c r="D1243" s="147"/>
      <c r="E1243" s="147"/>
      <c r="F1243" s="147"/>
      <c r="G1243" s="147"/>
      <c r="H1243" s="147"/>
      <c r="I1243" s="147"/>
      <c r="J1243" s="147"/>
      <c r="K1243" s="147"/>
      <c r="L1243" s="147"/>
      <c r="M1243" s="147"/>
      <c r="N1243" s="147"/>
      <c r="O1243" s="147"/>
      <c r="P1243" s="147"/>
      <c r="Q1243" s="147"/>
      <c r="R1243" s="148"/>
      <c r="S1243" s="148"/>
      <c r="T1243" s="148"/>
      <c r="U1243" s="148"/>
      <c r="V1243" s="148"/>
      <c r="W1243" s="148"/>
      <c r="X1243" s="148"/>
      <c r="Y1243" s="148"/>
      <c r="Z1243" s="148"/>
      <c r="AA1243" s="148"/>
      <c r="AB1243" s="148"/>
      <c r="AC1243" s="148"/>
    </row>
    <row r="1244" spans="1:29">
      <c r="A1244" s="149"/>
      <c r="B1244" s="147"/>
      <c r="C1244" s="147"/>
      <c r="D1244" s="147"/>
      <c r="E1244" s="147"/>
      <c r="F1244" s="147"/>
      <c r="G1244" s="147"/>
      <c r="H1244" s="147"/>
      <c r="I1244" s="147"/>
      <c r="J1244" s="147"/>
      <c r="K1244" s="147"/>
      <c r="L1244" s="147"/>
      <c r="M1244" s="147"/>
      <c r="N1244" s="147"/>
      <c r="O1244" s="147"/>
      <c r="P1244" s="147"/>
      <c r="Q1244" s="147"/>
      <c r="R1244" s="148"/>
      <c r="S1244" s="148"/>
      <c r="T1244" s="148"/>
      <c r="U1244" s="148"/>
      <c r="V1244" s="148"/>
      <c r="W1244" s="148"/>
      <c r="X1244" s="148"/>
      <c r="Y1244" s="148"/>
      <c r="Z1244" s="148"/>
      <c r="AA1244" s="148"/>
      <c r="AB1244" s="148"/>
      <c r="AC1244" s="148"/>
    </row>
    <row r="1245" spans="1:29">
      <c r="A1245" s="149"/>
      <c r="B1245" s="147"/>
      <c r="C1245" s="147"/>
      <c r="D1245" s="147"/>
      <c r="E1245" s="147"/>
      <c r="F1245" s="147"/>
      <c r="G1245" s="147"/>
      <c r="H1245" s="147"/>
      <c r="I1245" s="147"/>
      <c r="J1245" s="147"/>
      <c r="K1245" s="147"/>
      <c r="L1245" s="147"/>
      <c r="M1245" s="147"/>
      <c r="N1245" s="147"/>
      <c r="O1245" s="147"/>
      <c r="P1245" s="147"/>
      <c r="Q1245" s="147"/>
      <c r="R1245" s="148"/>
      <c r="S1245" s="148"/>
      <c r="T1245" s="148"/>
      <c r="U1245" s="148"/>
      <c r="V1245" s="148"/>
      <c r="W1245" s="148"/>
      <c r="X1245" s="148"/>
      <c r="Y1245" s="148"/>
      <c r="Z1245" s="148"/>
      <c r="AA1245" s="148"/>
      <c r="AB1245" s="148"/>
      <c r="AC1245" s="148"/>
    </row>
    <row r="1246" spans="1:29">
      <c r="A1246" s="149"/>
      <c r="B1246" s="147"/>
      <c r="C1246" s="147"/>
      <c r="D1246" s="147"/>
      <c r="E1246" s="147"/>
      <c r="F1246" s="147"/>
      <c r="G1246" s="147"/>
      <c r="H1246" s="147"/>
      <c r="I1246" s="147"/>
      <c r="J1246" s="147"/>
      <c r="K1246" s="147"/>
      <c r="L1246" s="147"/>
      <c r="M1246" s="147"/>
      <c r="N1246" s="147"/>
      <c r="O1246" s="147"/>
      <c r="P1246" s="147"/>
      <c r="Q1246" s="147"/>
      <c r="R1246" s="148"/>
      <c r="S1246" s="148"/>
      <c r="T1246" s="148"/>
      <c r="U1246" s="148"/>
      <c r="V1246" s="148"/>
      <c r="W1246" s="148"/>
      <c r="X1246" s="148"/>
      <c r="Y1246" s="148"/>
      <c r="Z1246" s="148"/>
      <c r="AA1246" s="148"/>
      <c r="AB1246" s="148"/>
      <c r="AC1246" s="148"/>
    </row>
    <row r="1247" spans="1:29">
      <c r="A1247" s="149"/>
      <c r="B1247" s="147"/>
      <c r="C1247" s="147"/>
      <c r="D1247" s="147"/>
      <c r="E1247" s="147"/>
      <c r="F1247" s="147"/>
      <c r="G1247" s="147"/>
      <c r="H1247" s="147"/>
      <c r="I1247" s="147"/>
      <c r="J1247" s="147"/>
      <c r="K1247" s="147"/>
      <c r="L1247" s="147"/>
      <c r="M1247" s="147"/>
      <c r="N1247" s="147"/>
      <c r="O1247" s="147"/>
      <c r="P1247" s="147"/>
      <c r="Q1247" s="147"/>
      <c r="R1247" s="148"/>
      <c r="S1247" s="148"/>
      <c r="T1247" s="148"/>
      <c r="U1247" s="148"/>
      <c r="V1247" s="148"/>
      <c r="W1247" s="148"/>
      <c r="X1247" s="148"/>
      <c r="Y1247" s="148"/>
      <c r="Z1247" s="148"/>
      <c r="AA1247" s="148"/>
      <c r="AB1247" s="148"/>
      <c r="AC1247" s="148"/>
    </row>
    <row r="1248" spans="1:29">
      <c r="A1248" s="149"/>
      <c r="B1248" s="147"/>
      <c r="C1248" s="147"/>
      <c r="D1248" s="147"/>
      <c r="E1248" s="147"/>
      <c r="F1248" s="147"/>
      <c r="G1248" s="147"/>
      <c r="H1248" s="147"/>
      <c r="I1248" s="147"/>
      <c r="J1248" s="147"/>
      <c r="K1248" s="147"/>
      <c r="L1248" s="147"/>
      <c r="M1248" s="147"/>
      <c r="N1248" s="147"/>
      <c r="O1248" s="147"/>
      <c r="P1248" s="147"/>
      <c r="Q1248" s="147"/>
      <c r="R1248" s="148"/>
      <c r="S1248" s="148"/>
      <c r="T1248" s="148"/>
      <c r="U1248" s="148"/>
      <c r="V1248" s="148"/>
      <c r="W1248" s="148"/>
      <c r="X1248" s="148"/>
      <c r="Y1248" s="148"/>
      <c r="Z1248" s="148"/>
      <c r="AA1248" s="148"/>
      <c r="AB1248" s="148"/>
      <c r="AC1248" s="148"/>
    </row>
    <row r="1249" spans="1:29">
      <c r="A1249" s="149"/>
      <c r="B1249" s="147"/>
      <c r="C1249" s="147"/>
      <c r="D1249" s="147"/>
      <c r="E1249" s="147"/>
      <c r="F1249" s="147"/>
      <c r="G1249" s="147"/>
      <c r="H1249" s="147"/>
      <c r="I1249" s="147"/>
      <c r="J1249" s="147"/>
      <c r="K1249" s="147"/>
      <c r="L1249" s="147"/>
      <c r="M1249" s="147"/>
      <c r="N1249" s="147"/>
      <c r="O1249" s="147"/>
      <c r="P1249" s="147"/>
      <c r="Q1249" s="147"/>
      <c r="R1249" s="148"/>
      <c r="S1249" s="148"/>
      <c r="T1249" s="148"/>
      <c r="U1249" s="148"/>
      <c r="V1249" s="148"/>
      <c r="W1249" s="148"/>
      <c r="X1249" s="148"/>
      <c r="Y1249" s="148"/>
      <c r="Z1249" s="148"/>
      <c r="AA1249" s="148"/>
      <c r="AB1249" s="148"/>
      <c r="AC1249" s="148"/>
    </row>
    <row r="1250" spans="1:29">
      <c r="A1250" s="149"/>
      <c r="B1250" s="147"/>
      <c r="C1250" s="147"/>
      <c r="D1250" s="147"/>
      <c r="E1250" s="147"/>
      <c r="F1250" s="147"/>
      <c r="G1250" s="147"/>
      <c r="H1250" s="147"/>
      <c r="I1250" s="147"/>
      <c r="J1250" s="147"/>
      <c r="K1250" s="147"/>
      <c r="L1250" s="147"/>
      <c r="M1250" s="147"/>
      <c r="N1250" s="147"/>
      <c r="O1250" s="147"/>
      <c r="P1250" s="147"/>
      <c r="Q1250" s="147"/>
      <c r="R1250" s="148"/>
      <c r="S1250" s="148"/>
      <c r="T1250" s="148"/>
      <c r="U1250" s="148"/>
      <c r="V1250" s="148"/>
      <c r="W1250" s="148"/>
      <c r="X1250" s="148"/>
      <c r="Y1250" s="148"/>
      <c r="Z1250" s="148"/>
      <c r="AA1250" s="148"/>
      <c r="AB1250" s="148"/>
      <c r="AC1250" s="148"/>
    </row>
    <row r="1251" spans="1:29">
      <c r="A1251" s="149"/>
      <c r="B1251" s="147"/>
      <c r="C1251" s="147"/>
      <c r="D1251" s="147"/>
      <c r="E1251" s="147"/>
      <c r="F1251" s="147"/>
      <c r="G1251" s="147"/>
      <c r="H1251" s="147"/>
      <c r="I1251" s="147"/>
      <c r="J1251" s="147"/>
      <c r="K1251" s="147"/>
      <c r="L1251" s="147"/>
      <c r="M1251" s="147"/>
      <c r="N1251" s="147"/>
      <c r="O1251" s="147"/>
      <c r="P1251" s="147"/>
      <c r="Q1251" s="147"/>
      <c r="R1251" s="148"/>
      <c r="S1251" s="148"/>
      <c r="T1251" s="148"/>
      <c r="U1251" s="148"/>
      <c r="V1251" s="148"/>
      <c r="W1251" s="148"/>
      <c r="X1251" s="148"/>
      <c r="Y1251" s="148"/>
      <c r="Z1251" s="148"/>
      <c r="AA1251" s="148"/>
      <c r="AB1251" s="148"/>
      <c r="AC1251" s="148"/>
    </row>
    <row r="1252" spans="1:29">
      <c r="A1252" s="149"/>
      <c r="B1252" s="147"/>
      <c r="C1252" s="147"/>
      <c r="D1252" s="147"/>
      <c r="E1252" s="147"/>
      <c r="F1252" s="147"/>
      <c r="G1252" s="147"/>
      <c r="H1252" s="147"/>
      <c r="I1252" s="147"/>
      <c r="J1252" s="147"/>
      <c r="K1252" s="147"/>
      <c r="L1252" s="147"/>
      <c r="M1252" s="147"/>
      <c r="N1252" s="147"/>
      <c r="O1252" s="147"/>
      <c r="P1252" s="147"/>
      <c r="Q1252" s="147"/>
      <c r="R1252" s="148"/>
      <c r="S1252" s="148"/>
      <c r="T1252" s="148"/>
      <c r="U1252" s="148"/>
      <c r="V1252" s="148"/>
      <c r="W1252" s="148"/>
      <c r="X1252" s="148"/>
      <c r="Y1252" s="148"/>
      <c r="Z1252" s="148"/>
      <c r="AA1252" s="148"/>
      <c r="AB1252" s="148"/>
      <c r="AC1252" s="148"/>
    </row>
    <row r="1253" spans="1:29">
      <c r="A1253" s="149"/>
      <c r="B1253" s="147"/>
      <c r="C1253" s="147"/>
      <c r="D1253" s="147"/>
      <c r="E1253" s="147"/>
      <c r="F1253" s="147"/>
      <c r="G1253" s="147"/>
      <c r="H1253" s="147"/>
      <c r="I1253" s="147"/>
      <c r="J1253" s="147"/>
      <c r="K1253" s="147"/>
      <c r="L1253" s="147"/>
      <c r="M1253" s="147"/>
      <c r="N1253" s="147"/>
      <c r="O1253" s="147"/>
      <c r="P1253" s="147"/>
      <c r="Q1253" s="147"/>
      <c r="R1253" s="148"/>
      <c r="S1253" s="148"/>
      <c r="T1253" s="148"/>
      <c r="U1253" s="148"/>
      <c r="V1253" s="148"/>
      <c r="W1253" s="148"/>
      <c r="X1253" s="148"/>
      <c r="Y1253" s="148"/>
      <c r="Z1253" s="148"/>
      <c r="AA1253" s="148"/>
      <c r="AB1253" s="148"/>
      <c r="AC1253" s="148"/>
    </row>
    <row r="1254" spans="1:29">
      <c r="A1254" s="149"/>
      <c r="B1254" s="147"/>
      <c r="C1254" s="147"/>
      <c r="D1254" s="147"/>
      <c r="E1254" s="147"/>
      <c r="F1254" s="147"/>
      <c r="G1254" s="147"/>
      <c r="H1254" s="147"/>
      <c r="I1254" s="147"/>
      <c r="J1254" s="147"/>
      <c r="K1254" s="147"/>
      <c r="L1254" s="147"/>
      <c r="M1254" s="147"/>
      <c r="N1254" s="147"/>
      <c r="O1254" s="147"/>
      <c r="P1254" s="147"/>
      <c r="Q1254" s="147"/>
      <c r="R1254" s="148"/>
      <c r="S1254" s="148"/>
      <c r="T1254" s="148"/>
      <c r="U1254" s="148"/>
      <c r="V1254" s="148"/>
      <c r="W1254" s="148"/>
      <c r="X1254" s="148"/>
      <c r="Y1254" s="148"/>
      <c r="Z1254" s="148"/>
      <c r="AA1254" s="148"/>
      <c r="AB1254" s="148"/>
      <c r="AC1254" s="148"/>
    </row>
    <row r="1255" spans="1:29">
      <c r="A1255" s="149"/>
      <c r="B1255" s="147"/>
      <c r="C1255" s="147"/>
      <c r="D1255" s="147"/>
      <c r="E1255" s="147"/>
      <c r="F1255" s="147"/>
      <c r="G1255" s="147"/>
      <c r="H1255" s="147"/>
      <c r="I1255" s="147"/>
      <c r="J1255" s="147"/>
      <c r="K1255" s="147"/>
      <c r="L1255" s="147"/>
      <c r="M1255" s="147"/>
      <c r="N1255" s="147"/>
      <c r="O1255" s="147"/>
      <c r="P1255" s="147"/>
      <c r="Q1255" s="147"/>
      <c r="R1255" s="148"/>
      <c r="S1255" s="148"/>
      <c r="T1255" s="148"/>
      <c r="U1255" s="148"/>
      <c r="V1255" s="148"/>
      <c r="W1255" s="148"/>
      <c r="X1255" s="148"/>
      <c r="Y1255" s="148"/>
      <c r="Z1255" s="148"/>
      <c r="AA1255" s="148"/>
      <c r="AB1255" s="148"/>
      <c r="AC1255" s="148"/>
    </row>
    <row r="1256" spans="1:29">
      <c r="A1256" s="149"/>
      <c r="B1256" s="147"/>
      <c r="C1256" s="147"/>
      <c r="D1256" s="147"/>
      <c r="E1256" s="147"/>
      <c r="F1256" s="147"/>
      <c r="G1256" s="147"/>
      <c r="H1256" s="147"/>
      <c r="I1256" s="147"/>
      <c r="J1256" s="147"/>
      <c r="K1256" s="147"/>
      <c r="L1256" s="147"/>
      <c r="M1256" s="147"/>
      <c r="N1256" s="147"/>
      <c r="O1256" s="147"/>
      <c r="P1256" s="147"/>
      <c r="Q1256" s="147"/>
      <c r="R1256" s="148"/>
      <c r="S1256" s="148"/>
      <c r="T1256" s="148"/>
      <c r="U1256" s="148"/>
      <c r="V1256" s="148"/>
      <c r="W1256" s="148"/>
      <c r="X1256" s="148"/>
      <c r="Y1256" s="148"/>
      <c r="Z1256" s="148"/>
      <c r="AA1256" s="148"/>
      <c r="AB1256" s="148"/>
      <c r="AC1256" s="148"/>
    </row>
    <row r="1257" spans="1:29">
      <c r="A1257" s="149"/>
      <c r="B1257" s="147"/>
      <c r="C1257" s="147"/>
      <c r="D1257" s="147"/>
      <c r="E1257" s="147"/>
      <c r="F1257" s="147"/>
      <c r="G1257" s="147"/>
      <c r="H1257" s="147"/>
      <c r="I1257" s="147"/>
      <c r="J1257" s="147"/>
      <c r="K1257" s="147"/>
      <c r="L1257" s="147"/>
      <c r="M1257" s="147"/>
      <c r="N1257" s="147"/>
      <c r="O1257" s="147"/>
      <c r="P1257" s="147"/>
      <c r="Q1257" s="147"/>
      <c r="R1257" s="148"/>
      <c r="S1257" s="148"/>
      <c r="T1257" s="148"/>
      <c r="U1257" s="148"/>
      <c r="V1257" s="148"/>
      <c r="W1257" s="148"/>
      <c r="X1257" s="148"/>
      <c r="Y1257" s="148"/>
      <c r="Z1257" s="148"/>
      <c r="AA1257" s="148"/>
      <c r="AB1257" s="148"/>
      <c r="AC1257" s="148"/>
    </row>
    <row r="1258" spans="1:29">
      <c r="A1258" s="149"/>
      <c r="B1258" s="147"/>
      <c r="C1258" s="147"/>
      <c r="D1258" s="147"/>
      <c r="E1258" s="147"/>
      <c r="F1258" s="147"/>
      <c r="G1258" s="147"/>
      <c r="H1258" s="147"/>
      <c r="I1258" s="147"/>
      <c r="J1258" s="147"/>
      <c r="K1258" s="147"/>
      <c r="L1258" s="147"/>
      <c r="M1258" s="147"/>
      <c r="N1258" s="147"/>
      <c r="O1258" s="147"/>
      <c r="P1258" s="147"/>
      <c r="Q1258" s="147"/>
      <c r="R1258" s="148"/>
      <c r="S1258" s="148"/>
      <c r="T1258" s="148"/>
      <c r="U1258" s="148"/>
      <c r="V1258" s="148"/>
      <c r="W1258" s="148"/>
      <c r="X1258" s="148"/>
      <c r="Y1258" s="148"/>
      <c r="Z1258" s="148"/>
      <c r="AA1258" s="148"/>
      <c r="AB1258" s="148"/>
      <c r="AC1258" s="148"/>
    </row>
    <row r="1259" spans="1:29">
      <c r="A1259" s="149"/>
      <c r="B1259" s="147"/>
      <c r="C1259" s="147"/>
      <c r="D1259" s="147"/>
      <c r="E1259" s="147"/>
      <c r="F1259" s="147"/>
      <c r="G1259" s="147"/>
      <c r="H1259" s="147"/>
      <c r="I1259" s="147"/>
      <c r="J1259" s="147"/>
      <c r="K1259" s="147"/>
      <c r="L1259" s="147"/>
      <c r="M1259" s="147"/>
      <c r="N1259" s="147"/>
      <c r="O1259" s="147"/>
      <c r="P1259" s="147"/>
      <c r="Q1259" s="147"/>
      <c r="R1259" s="148"/>
      <c r="S1259" s="148"/>
      <c r="T1259" s="148"/>
      <c r="U1259" s="148"/>
      <c r="V1259" s="148"/>
      <c r="W1259" s="148"/>
      <c r="X1259" s="148"/>
      <c r="Y1259" s="148"/>
      <c r="Z1259" s="148"/>
      <c r="AA1259" s="148"/>
      <c r="AB1259" s="148"/>
      <c r="AC1259" s="148"/>
    </row>
    <row r="1260" spans="1:29">
      <c r="A1260" s="149"/>
      <c r="B1260" s="147"/>
      <c r="C1260" s="147"/>
      <c r="D1260" s="147"/>
      <c r="E1260" s="147"/>
      <c r="F1260" s="147"/>
      <c r="G1260" s="147"/>
      <c r="H1260" s="147"/>
      <c r="I1260" s="147"/>
      <c r="J1260" s="147"/>
      <c r="K1260" s="147"/>
      <c r="L1260" s="147"/>
      <c r="M1260" s="147"/>
      <c r="N1260" s="147"/>
      <c r="O1260" s="147"/>
      <c r="P1260" s="147"/>
      <c r="Q1260" s="147"/>
      <c r="R1260" s="148"/>
      <c r="S1260" s="148"/>
      <c r="T1260" s="148"/>
      <c r="U1260" s="148"/>
      <c r="V1260" s="148"/>
      <c r="W1260" s="148"/>
      <c r="X1260" s="148"/>
      <c r="Y1260" s="148"/>
      <c r="Z1260" s="148"/>
      <c r="AA1260" s="148"/>
      <c r="AB1260" s="148"/>
      <c r="AC1260" s="148"/>
    </row>
    <row r="1261" spans="1:29">
      <c r="A1261" s="149"/>
      <c r="B1261" s="147"/>
      <c r="C1261" s="147"/>
      <c r="D1261" s="147"/>
      <c r="E1261" s="147"/>
      <c r="F1261" s="147"/>
      <c r="G1261" s="147"/>
      <c r="H1261" s="147"/>
      <c r="I1261" s="147"/>
      <c r="J1261" s="147"/>
      <c r="K1261" s="147"/>
      <c r="L1261" s="147"/>
      <c r="M1261" s="147"/>
      <c r="N1261" s="147"/>
      <c r="O1261" s="147"/>
      <c r="P1261" s="147"/>
      <c r="Q1261" s="147"/>
      <c r="R1261" s="148"/>
      <c r="S1261" s="148"/>
      <c r="T1261" s="148"/>
      <c r="U1261" s="148"/>
      <c r="V1261" s="148"/>
      <c r="W1261" s="148"/>
      <c r="X1261" s="148"/>
      <c r="Y1261" s="148"/>
      <c r="Z1261" s="148"/>
      <c r="AA1261" s="148"/>
      <c r="AB1261" s="148"/>
      <c r="AC1261" s="148"/>
    </row>
    <row r="1262" spans="1:29">
      <c r="A1262" s="149"/>
      <c r="B1262" s="147"/>
      <c r="C1262" s="147"/>
      <c r="D1262" s="147"/>
      <c r="E1262" s="147"/>
      <c r="F1262" s="147"/>
      <c r="G1262" s="147"/>
      <c r="H1262" s="147"/>
      <c r="I1262" s="147"/>
      <c r="J1262" s="147"/>
      <c r="K1262" s="147"/>
      <c r="L1262" s="147"/>
      <c r="M1262" s="147"/>
      <c r="N1262" s="147"/>
      <c r="O1262" s="147"/>
      <c r="P1262" s="147"/>
      <c r="Q1262" s="147"/>
      <c r="R1262" s="148"/>
      <c r="S1262" s="148"/>
      <c r="T1262" s="148"/>
      <c r="U1262" s="148"/>
      <c r="V1262" s="148"/>
      <c r="W1262" s="148"/>
      <c r="X1262" s="148"/>
      <c r="Y1262" s="148"/>
      <c r="Z1262" s="148"/>
      <c r="AA1262" s="148"/>
      <c r="AB1262" s="148"/>
      <c r="AC1262" s="148"/>
    </row>
    <row r="1263" spans="1:29">
      <c r="A1263" s="149"/>
      <c r="B1263" s="147"/>
      <c r="C1263" s="147"/>
      <c r="D1263" s="147"/>
      <c r="E1263" s="147"/>
      <c r="F1263" s="147"/>
      <c r="G1263" s="147"/>
      <c r="H1263" s="147"/>
      <c r="I1263" s="147"/>
      <c r="J1263" s="147"/>
      <c r="K1263" s="147"/>
      <c r="L1263" s="147"/>
      <c r="M1263" s="147"/>
      <c r="N1263" s="147"/>
      <c r="O1263" s="147"/>
      <c r="P1263" s="147"/>
      <c r="Q1263" s="147"/>
      <c r="R1263" s="148"/>
      <c r="S1263" s="148"/>
      <c r="T1263" s="148"/>
      <c r="U1263" s="148"/>
      <c r="V1263" s="148"/>
      <c r="W1263" s="148"/>
      <c r="X1263" s="148"/>
      <c r="Y1263" s="148"/>
      <c r="Z1263" s="148"/>
      <c r="AA1263" s="148"/>
      <c r="AB1263" s="148"/>
      <c r="AC1263" s="148"/>
    </row>
    <row r="1264" spans="1:29">
      <c r="A1264" s="149"/>
      <c r="B1264" s="147"/>
      <c r="C1264" s="147"/>
      <c r="D1264" s="147"/>
      <c r="E1264" s="147"/>
      <c r="F1264" s="147"/>
      <c r="G1264" s="147"/>
      <c r="H1264" s="147"/>
      <c r="I1264" s="147"/>
      <c r="J1264" s="147"/>
      <c r="K1264" s="147"/>
      <c r="L1264" s="147"/>
      <c r="M1264" s="147"/>
      <c r="N1264" s="147"/>
      <c r="O1264" s="147"/>
      <c r="P1264" s="147"/>
      <c r="Q1264" s="147"/>
      <c r="R1264" s="148"/>
      <c r="S1264" s="148"/>
      <c r="T1264" s="148"/>
      <c r="U1264" s="148"/>
      <c r="V1264" s="148"/>
      <c r="W1264" s="148"/>
      <c r="X1264" s="148"/>
      <c r="Y1264" s="148"/>
      <c r="Z1264" s="148"/>
      <c r="AA1264" s="148"/>
      <c r="AB1264" s="148"/>
      <c r="AC1264" s="148"/>
    </row>
    <row r="1265" spans="1:29">
      <c r="A1265" s="149"/>
      <c r="B1265" s="147"/>
      <c r="C1265" s="147"/>
      <c r="D1265" s="147"/>
      <c r="E1265" s="147"/>
      <c r="F1265" s="147"/>
      <c r="G1265" s="147"/>
      <c r="H1265" s="147"/>
      <c r="I1265" s="147"/>
      <c r="J1265" s="147"/>
      <c r="K1265" s="147"/>
      <c r="L1265" s="147"/>
      <c r="M1265" s="147"/>
      <c r="N1265" s="147"/>
      <c r="O1265" s="147"/>
      <c r="P1265" s="147"/>
      <c r="Q1265" s="147"/>
      <c r="R1265" s="148"/>
      <c r="S1265" s="148"/>
      <c r="T1265" s="148"/>
      <c r="U1265" s="148"/>
      <c r="V1265" s="148"/>
      <c r="W1265" s="148"/>
      <c r="X1265" s="148"/>
      <c r="Y1265" s="148"/>
      <c r="Z1265" s="148"/>
      <c r="AA1265" s="148"/>
      <c r="AB1265" s="148"/>
      <c r="AC1265" s="148"/>
    </row>
    <row r="1266" spans="1:29">
      <c r="A1266" s="149"/>
      <c r="B1266" s="147"/>
      <c r="C1266" s="147"/>
      <c r="D1266" s="147"/>
      <c r="E1266" s="147"/>
      <c r="F1266" s="147"/>
      <c r="G1266" s="147"/>
      <c r="H1266" s="147"/>
      <c r="I1266" s="147"/>
      <c r="J1266" s="147"/>
      <c r="K1266" s="147"/>
      <c r="L1266" s="147"/>
      <c r="M1266" s="147"/>
      <c r="N1266" s="147"/>
      <c r="O1266" s="147"/>
      <c r="P1266" s="147"/>
      <c r="Q1266" s="147"/>
      <c r="R1266" s="148"/>
      <c r="S1266" s="148"/>
      <c r="T1266" s="148"/>
      <c r="U1266" s="148"/>
      <c r="V1266" s="148"/>
      <c r="W1266" s="148"/>
      <c r="X1266" s="148"/>
      <c r="Y1266" s="148"/>
      <c r="Z1266" s="148"/>
      <c r="AA1266" s="148"/>
      <c r="AB1266" s="148"/>
      <c r="AC1266" s="148"/>
    </row>
    <row r="1267" spans="1:29">
      <c r="A1267" s="149"/>
      <c r="B1267" s="147"/>
      <c r="C1267" s="147"/>
      <c r="D1267" s="147"/>
      <c r="E1267" s="147"/>
      <c r="F1267" s="147"/>
      <c r="G1267" s="147"/>
      <c r="H1267" s="147"/>
      <c r="I1267" s="147"/>
      <c r="J1267" s="147"/>
      <c r="K1267" s="147"/>
      <c r="L1267" s="147"/>
      <c r="M1267" s="147"/>
      <c r="N1267" s="147"/>
      <c r="O1267" s="147"/>
      <c r="P1267" s="147"/>
      <c r="Q1267" s="147"/>
      <c r="R1267" s="148"/>
      <c r="S1267" s="148"/>
      <c r="T1267" s="148"/>
      <c r="U1267" s="148"/>
      <c r="V1267" s="148"/>
      <c r="W1267" s="148"/>
      <c r="X1267" s="148"/>
      <c r="Y1267" s="148"/>
      <c r="Z1267" s="148"/>
      <c r="AA1267" s="148"/>
      <c r="AB1267" s="148"/>
      <c r="AC1267" s="148"/>
    </row>
    <row r="1268" spans="1:29">
      <c r="A1268" s="149"/>
      <c r="B1268" s="147"/>
      <c r="C1268" s="147"/>
      <c r="D1268" s="147"/>
      <c r="E1268" s="147"/>
      <c r="F1268" s="147"/>
      <c r="G1268" s="147"/>
      <c r="H1268" s="147"/>
      <c r="I1268" s="147"/>
      <c r="J1268" s="147"/>
      <c r="K1268" s="147"/>
      <c r="L1268" s="147"/>
      <c r="M1268" s="147"/>
      <c r="N1268" s="147"/>
      <c r="O1268" s="147"/>
      <c r="P1268" s="147"/>
      <c r="Q1268" s="147"/>
      <c r="R1268" s="148"/>
      <c r="S1268" s="148"/>
      <c r="T1268" s="148"/>
      <c r="U1268" s="148"/>
      <c r="V1268" s="148"/>
      <c r="W1268" s="148"/>
      <c r="X1268" s="148"/>
      <c r="Y1268" s="148"/>
      <c r="Z1268" s="148"/>
      <c r="AA1268" s="148"/>
      <c r="AB1268" s="148"/>
      <c r="AC1268" s="148"/>
    </row>
    <row r="1269" spans="1:29">
      <c r="A1269" s="149"/>
      <c r="B1269" s="147"/>
      <c r="C1269" s="147"/>
      <c r="D1269" s="147"/>
      <c r="E1269" s="147"/>
      <c r="F1269" s="147"/>
      <c r="G1269" s="147"/>
      <c r="H1269" s="147"/>
      <c r="I1269" s="147"/>
      <c r="J1269" s="147"/>
      <c r="K1269" s="147"/>
      <c r="L1269" s="147"/>
      <c r="M1269" s="147"/>
      <c r="N1269" s="147"/>
      <c r="O1269" s="147"/>
      <c r="P1269" s="147"/>
      <c r="Q1269" s="147"/>
      <c r="R1269" s="148"/>
      <c r="S1269" s="148"/>
      <c r="T1269" s="148"/>
      <c r="U1269" s="148"/>
      <c r="V1269" s="148"/>
      <c r="W1269" s="148"/>
      <c r="X1269" s="148"/>
      <c r="Y1269" s="148"/>
      <c r="Z1269" s="148"/>
      <c r="AA1269" s="148"/>
      <c r="AB1269" s="148"/>
      <c r="AC1269" s="148"/>
    </row>
    <row r="1270" spans="1:29">
      <c r="A1270" s="149"/>
      <c r="B1270" s="147"/>
      <c r="C1270" s="147"/>
      <c r="D1270" s="147"/>
      <c r="E1270" s="147"/>
      <c r="F1270" s="147"/>
      <c r="G1270" s="147"/>
      <c r="H1270" s="147"/>
      <c r="I1270" s="147"/>
      <c r="J1270" s="147"/>
      <c r="K1270" s="147"/>
      <c r="L1270" s="147"/>
      <c r="M1270" s="147"/>
      <c r="N1270" s="147"/>
      <c r="O1270" s="147"/>
      <c r="P1270" s="147"/>
      <c r="Q1270" s="147"/>
      <c r="R1270" s="148"/>
      <c r="S1270" s="148"/>
      <c r="T1270" s="148"/>
      <c r="U1270" s="148"/>
      <c r="V1270" s="148"/>
      <c r="W1270" s="148"/>
      <c r="X1270" s="148"/>
      <c r="Y1270" s="148"/>
      <c r="Z1270" s="148"/>
      <c r="AA1270" s="148"/>
      <c r="AB1270" s="148"/>
      <c r="AC1270" s="148"/>
    </row>
    <row r="1271" spans="1:29">
      <c r="A1271" s="149"/>
      <c r="B1271" s="147"/>
      <c r="C1271" s="147"/>
      <c r="D1271" s="147"/>
      <c r="E1271" s="147"/>
      <c r="F1271" s="147"/>
      <c r="G1271" s="147"/>
      <c r="H1271" s="147"/>
      <c r="I1271" s="147"/>
      <c r="J1271" s="147"/>
      <c r="K1271" s="147"/>
      <c r="L1271" s="147"/>
      <c r="M1271" s="147"/>
      <c r="N1271" s="147"/>
      <c r="O1271" s="147"/>
      <c r="P1271" s="147"/>
      <c r="Q1271" s="147"/>
      <c r="R1271" s="148"/>
      <c r="S1271" s="148"/>
      <c r="T1271" s="148"/>
      <c r="U1271" s="148"/>
      <c r="V1271" s="148"/>
      <c r="W1271" s="148"/>
      <c r="X1271" s="148"/>
      <c r="Y1271" s="148"/>
      <c r="Z1271" s="148"/>
      <c r="AA1271" s="148"/>
      <c r="AB1271" s="148"/>
      <c r="AC1271" s="148"/>
    </row>
    <row r="1272" spans="1:29">
      <c r="A1272" s="149"/>
      <c r="B1272" s="147"/>
      <c r="C1272" s="147"/>
      <c r="D1272" s="147"/>
      <c r="E1272" s="147"/>
      <c r="F1272" s="147"/>
      <c r="G1272" s="147"/>
      <c r="H1272" s="147"/>
      <c r="I1272" s="147"/>
      <c r="J1272" s="147"/>
      <c r="K1272" s="147"/>
      <c r="L1272" s="147"/>
      <c r="M1272" s="147"/>
      <c r="N1272" s="147"/>
      <c r="O1272" s="147"/>
      <c r="P1272" s="147"/>
      <c r="Q1272" s="147"/>
      <c r="R1272" s="148"/>
      <c r="S1272" s="148"/>
      <c r="T1272" s="148"/>
      <c r="U1272" s="148"/>
      <c r="V1272" s="148"/>
      <c r="W1272" s="148"/>
      <c r="X1272" s="148"/>
      <c r="Y1272" s="148"/>
      <c r="Z1272" s="148"/>
      <c r="AA1272" s="148"/>
      <c r="AB1272" s="148"/>
      <c r="AC1272" s="148"/>
    </row>
    <row r="1273" spans="1:29">
      <c r="A1273" s="149"/>
      <c r="B1273" s="147"/>
      <c r="C1273" s="147"/>
      <c r="D1273" s="147"/>
      <c r="E1273" s="147"/>
      <c r="F1273" s="147"/>
      <c r="G1273" s="147"/>
      <c r="H1273" s="147"/>
      <c r="I1273" s="147"/>
      <c r="J1273" s="147"/>
      <c r="K1273" s="147"/>
      <c r="L1273" s="147"/>
      <c r="M1273" s="147"/>
      <c r="N1273" s="147"/>
      <c r="O1273" s="147"/>
      <c r="P1273" s="147"/>
      <c r="Q1273" s="147"/>
      <c r="R1273" s="148"/>
      <c r="S1273" s="148"/>
      <c r="T1273" s="148"/>
      <c r="U1273" s="148"/>
      <c r="V1273" s="148"/>
      <c r="W1273" s="148"/>
      <c r="X1273" s="148"/>
      <c r="Y1273" s="148"/>
      <c r="Z1273" s="148"/>
      <c r="AA1273" s="148"/>
      <c r="AB1273" s="148"/>
      <c r="AC1273" s="148"/>
    </row>
    <row r="1274" spans="1:29">
      <c r="A1274" s="149"/>
      <c r="B1274" s="147"/>
      <c r="C1274" s="147"/>
      <c r="D1274" s="147"/>
      <c r="E1274" s="147"/>
      <c r="F1274" s="147"/>
      <c r="G1274" s="147"/>
      <c r="H1274" s="147"/>
      <c r="I1274" s="147"/>
      <c r="J1274" s="147"/>
      <c r="K1274" s="147"/>
      <c r="L1274" s="147"/>
      <c r="M1274" s="147"/>
      <c r="N1274" s="147"/>
      <c r="O1274" s="147"/>
      <c r="P1274" s="147"/>
      <c r="Q1274" s="147"/>
      <c r="R1274" s="148"/>
      <c r="S1274" s="148"/>
      <c r="T1274" s="148"/>
      <c r="U1274" s="148"/>
      <c r="V1274" s="148"/>
      <c r="W1274" s="148"/>
      <c r="X1274" s="148"/>
      <c r="Y1274" s="148"/>
      <c r="Z1274" s="148"/>
      <c r="AA1274" s="148"/>
      <c r="AB1274" s="148"/>
      <c r="AC1274" s="148"/>
    </row>
    <row r="1275" spans="1:29">
      <c r="A1275" s="149"/>
      <c r="B1275" s="147"/>
      <c r="C1275" s="147"/>
      <c r="D1275" s="147"/>
      <c r="E1275" s="147"/>
      <c r="F1275" s="147"/>
      <c r="G1275" s="147"/>
      <c r="H1275" s="147"/>
      <c r="I1275" s="147"/>
      <c r="J1275" s="147"/>
      <c r="K1275" s="147"/>
      <c r="L1275" s="147"/>
      <c r="M1275" s="147"/>
      <c r="N1275" s="147"/>
      <c r="O1275" s="147"/>
      <c r="P1275" s="147"/>
      <c r="Q1275" s="147"/>
      <c r="R1275" s="148"/>
      <c r="S1275" s="148"/>
      <c r="T1275" s="148"/>
      <c r="U1275" s="148"/>
      <c r="V1275" s="148"/>
      <c r="W1275" s="148"/>
      <c r="X1275" s="148"/>
      <c r="Y1275" s="148"/>
      <c r="Z1275" s="148"/>
      <c r="AA1275" s="148"/>
      <c r="AB1275" s="148"/>
      <c r="AC1275" s="148"/>
    </row>
    <row r="1276" spans="1:29">
      <c r="A1276" s="149"/>
      <c r="B1276" s="147"/>
      <c r="C1276" s="147"/>
      <c r="D1276" s="147"/>
      <c r="E1276" s="147"/>
      <c r="F1276" s="147"/>
      <c r="G1276" s="147"/>
      <c r="H1276" s="147"/>
      <c r="I1276" s="147"/>
      <c r="J1276" s="147"/>
      <c r="K1276" s="147"/>
      <c r="L1276" s="147"/>
      <c r="M1276" s="147"/>
      <c r="N1276" s="147"/>
      <c r="O1276" s="147"/>
      <c r="P1276" s="147"/>
      <c r="Q1276" s="147"/>
      <c r="R1276" s="148"/>
      <c r="S1276" s="148"/>
      <c r="T1276" s="148"/>
      <c r="U1276" s="148"/>
      <c r="V1276" s="148"/>
      <c r="W1276" s="148"/>
      <c r="X1276" s="148"/>
      <c r="Y1276" s="148"/>
      <c r="Z1276" s="148"/>
      <c r="AA1276" s="148"/>
      <c r="AB1276" s="148"/>
      <c r="AC1276" s="148"/>
    </row>
    <row r="1277" spans="1:29">
      <c r="A1277" s="149"/>
      <c r="B1277" s="147"/>
      <c r="C1277" s="147"/>
      <c r="D1277" s="147"/>
      <c r="E1277" s="147"/>
      <c r="F1277" s="147"/>
      <c r="G1277" s="147"/>
      <c r="H1277" s="147"/>
      <c r="I1277" s="147"/>
      <c r="J1277" s="147"/>
      <c r="K1277" s="147"/>
      <c r="L1277" s="147"/>
      <c r="M1277" s="147"/>
      <c r="N1277" s="147"/>
      <c r="O1277" s="147"/>
      <c r="P1277" s="147"/>
      <c r="Q1277" s="147"/>
      <c r="R1277" s="148"/>
      <c r="S1277" s="148"/>
      <c r="T1277" s="148"/>
      <c r="U1277" s="148"/>
      <c r="V1277" s="148"/>
      <c r="W1277" s="148"/>
      <c r="X1277" s="148"/>
      <c r="Y1277" s="148"/>
      <c r="Z1277" s="148"/>
      <c r="AA1277" s="148"/>
      <c r="AB1277" s="148"/>
      <c r="AC1277" s="148"/>
    </row>
    <row r="1278" spans="1:29">
      <c r="A1278" s="149"/>
      <c r="B1278" s="147"/>
      <c r="C1278" s="147"/>
      <c r="D1278" s="147"/>
      <c r="E1278" s="147"/>
      <c r="F1278" s="147"/>
      <c r="G1278" s="147"/>
      <c r="H1278" s="147"/>
      <c r="I1278" s="147"/>
      <c r="J1278" s="147"/>
      <c r="K1278" s="147"/>
      <c r="L1278" s="147"/>
      <c r="M1278" s="147"/>
      <c r="N1278" s="147"/>
      <c r="O1278" s="147"/>
      <c r="P1278" s="147"/>
      <c r="Q1278" s="147"/>
      <c r="R1278" s="148"/>
      <c r="S1278" s="148"/>
      <c r="T1278" s="148"/>
      <c r="U1278" s="148"/>
      <c r="V1278" s="148"/>
      <c r="W1278" s="148"/>
      <c r="X1278" s="148"/>
      <c r="Y1278" s="148"/>
      <c r="Z1278" s="148"/>
      <c r="AA1278" s="148"/>
      <c r="AB1278" s="148"/>
      <c r="AC1278" s="148"/>
    </row>
    <row r="1279" spans="1:29">
      <c r="A1279" s="149"/>
      <c r="B1279" s="147"/>
      <c r="C1279" s="147"/>
      <c r="D1279" s="147"/>
      <c r="E1279" s="147"/>
      <c r="F1279" s="147"/>
      <c r="G1279" s="147"/>
      <c r="H1279" s="147"/>
      <c r="I1279" s="147"/>
      <c r="J1279" s="147"/>
      <c r="K1279" s="147"/>
      <c r="L1279" s="147"/>
      <c r="M1279" s="147"/>
      <c r="N1279" s="147"/>
      <c r="O1279" s="147"/>
      <c r="P1279" s="147"/>
      <c r="Q1279" s="147"/>
      <c r="R1279" s="148"/>
      <c r="S1279" s="148"/>
      <c r="T1279" s="148"/>
      <c r="U1279" s="148"/>
      <c r="V1279" s="148"/>
      <c r="W1279" s="148"/>
      <c r="X1279" s="148"/>
      <c r="Y1279" s="148"/>
      <c r="Z1279" s="148"/>
      <c r="AA1279" s="148"/>
      <c r="AB1279" s="148"/>
      <c r="AC1279" s="148"/>
    </row>
    <row r="1280" spans="1:29">
      <c r="A1280" s="149"/>
      <c r="B1280" s="147"/>
      <c r="C1280" s="147"/>
      <c r="D1280" s="147"/>
      <c r="E1280" s="147"/>
      <c r="F1280" s="147"/>
      <c r="G1280" s="147"/>
      <c r="H1280" s="147"/>
      <c r="I1280" s="147"/>
      <c r="J1280" s="147"/>
      <c r="K1280" s="147"/>
      <c r="L1280" s="147"/>
      <c r="M1280" s="147"/>
      <c r="N1280" s="147"/>
      <c r="O1280" s="147"/>
      <c r="P1280" s="147"/>
      <c r="Q1280" s="147"/>
      <c r="R1280" s="148"/>
      <c r="S1280" s="148"/>
      <c r="T1280" s="148"/>
      <c r="U1280" s="148"/>
      <c r="V1280" s="148"/>
      <c r="W1280" s="148"/>
      <c r="X1280" s="148"/>
      <c r="Y1280" s="148"/>
      <c r="Z1280" s="148"/>
      <c r="AA1280" s="148"/>
      <c r="AB1280" s="148"/>
      <c r="AC1280" s="148"/>
    </row>
    <row r="1281" spans="1:29">
      <c r="A1281" s="149"/>
      <c r="B1281" s="147"/>
      <c r="C1281" s="147"/>
      <c r="D1281" s="147"/>
      <c r="E1281" s="147"/>
      <c r="F1281" s="147"/>
      <c r="G1281" s="147"/>
      <c r="H1281" s="147"/>
      <c r="I1281" s="147"/>
      <c r="J1281" s="147"/>
      <c r="K1281" s="147"/>
      <c r="L1281" s="147"/>
      <c r="M1281" s="147"/>
      <c r="N1281" s="147"/>
      <c r="O1281" s="147"/>
      <c r="P1281" s="147"/>
      <c r="Q1281" s="147"/>
      <c r="R1281" s="148"/>
      <c r="S1281" s="148"/>
      <c r="T1281" s="148"/>
      <c r="U1281" s="148"/>
      <c r="V1281" s="148"/>
      <c r="W1281" s="148"/>
      <c r="X1281" s="148"/>
      <c r="Y1281" s="148"/>
      <c r="Z1281" s="148"/>
      <c r="AA1281" s="148"/>
      <c r="AB1281" s="148"/>
      <c r="AC1281" s="148"/>
    </row>
    <row r="1282" spans="1:29">
      <c r="A1282" s="149"/>
      <c r="B1282" s="147"/>
      <c r="C1282" s="147"/>
      <c r="D1282" s="147"/>
      <c r="E1282" s="147"/>
      <c r="F1282" s="147"/>
      <c r="G1282" s="147"/>
      <c r="H1282" s="147"/>
      <c r="I1282" s="147"/>
      <c r="J1282" s="147"/>
      <c r="K1282" s="147"/>
      <c r="L1282" s="147"/>
      <c r="M1282" s="147"/>
      <c r="N1282" s="147"/>
      <c r="O1282" s="147"/>
      <c r="P1282" s="147"/>
      <c r="Q1282" s="147"/>
      <c r="R1282" s="148"/>
      <c r="S1282" s="148"/>
      <c r="T1282" s="148"/>
      <c r="U1282" s="148"/>
      <c r="V1282" s="148"/>
      <c r="W1282" s="148"/>
      <c r="X1282" s="148"/>
      <c r="Y1282" s="148"/>
      <c r="Z1282" s="148"/>
      <c r="AA1282" s="148"/>
      <c r="AB1282" s="148"/>
      <c r="AC1282" s="148"/>
    </row>
    <row r="1283" spans="1:29">
      <c r="A1283" s="149"/>
      <c r="B1283" s="147"/>
      <c r="C1283" s="147"/>
      <c r="D1283" s="147"/>
      <c r="E1283" s="147"/>
      <c r="F1283" s="147"/>
      <c r="G1283" s="147"/>
      <c r="H1283" s="147"/>
      <c r="I1283" s="147"/>
      <c r="J1283" s="147"/>
      <c r="K1283" s="147"/>
      <c r="L1283" s="147"/>
      <c r="M1283" s="147"/>
      <c r="N1283" s="147"/>
      <c r="O1283" s="147"/>
      <c r="P1283" s="147"/>
      <c r="Q1283" s="147"/>
      <c r="R1283" s="148"/>
      <c r="S1283" s="148"/>
      <c r="T1283" s="148"/>
      <c r="U1283" s="148"/>
      <c r="V1283" s="148"/>
      <c r="W1283" s="148"/>
      <c r="X1283" s="148"/>
      <c r="Y1283" s="148"/>
      <c r="Z1283" s="148"/>
      <c r="AA1283" s="148"/>
      <c r="AB1283" s="148"/>
      <c r="AC1283" s="148"/>
    </row>
    <row r="1284" spans="1:29">
      <c r="A1284" s="149"/>
      <c r="B1284" s="147"/>
      <c r="C1284" s="147"/>
      <c r="D1284" s="147"/>
      <c r="E1284" s="147"/>
      <c r="F1284" s="147"/>
      <c r="G1284" s="147"/>
      <c r="H1284" s="147"/>
      <c r="I1284" s="147"/>
      <c r="J1284" s="147"/>
      <c r="K1284" s="147"/>
      <c r="L1284" s="147"/>
      <c r="M1284" s="147"/>
      <c r="N1284" s="147"/>
      <c r="O1284" s="147"/>
      <c r="P1284" s="147"/>
      <c r="Q1284" s="147"/>
      <c r="R1284" s="148"/>
      <c r="S1284" s="148"/>
      <c r="T1284" s="148"/>
      <c r="U1284" s="148"/>
      <c r="V1284" s="148"/>
      <c r="W1284" s="148"/>
      <c r="X1284" s="148"/>
      <c r="Y1284" s="148"/>
      <c r="Z1284" s="148"/>
      <c r="AA1284" s="148"/>
      <c r="AB1284" s="148"/>
      <c r="AC1284" s="148"/>
    </row>
    <row r="1285" spans="1:29">
      <c r="A1285" s="149"/>
      <c r="B1285" s="147"/>
      <c r="C1285" s="147"/>
      <c r="D1285" s="147"/>
      <c r="E1285" s="147"/>
      <c r="F1285" s="147"/>
      <c r="G1285" s="147"/>
      <c r="H1285" s="147"/>
      <c r="I1285" s="147"/>
      <c r="J1285" s="147"/>
      <c r="K1285" s="147"/>
      <c r="L1285" s="147"/>
      <c r="M1285" s="147"/>
      <c r="N1285" s="147"/>
      <c r="O1285" s="147"/>
      <c r="P1285" s="147"/>
      <c r="Q1285" s="147"/>
      <c r="R1285" s="148"/>
      <c r="S1285" s="148"/>
      <c r="T1285" s="148"/>
      <c r="U1285" s="148"/>
      <c r="V1285" s="148"/>
      <c r="W1285" s="148"/>
      <c r="X1285" s="148"/>
      <c r="Y1285" s="148"/>
      <c r="Z1285" s="148"/>
      <c r="AA1285" s="148"/>
      <c r="AB1285" s="148"/>
      <c r="AC1285" s="148"/>
    </row>
    <row r="1286" spans="1:29">
      <c r="A1286" s="149"/>
      <c r="B1286" s="147"/>
      <c r="C1286" s="147"/>
      <c r="D1286" s="147"/>
      <c r="E1286" s="147"/>
      <c r="F1286" s="147"/>
      <c r="G1286" s="147"/>
      <c r="H1286" s="147"/>
      <c r="I1286" s="147"/>
      <c r="J1286" s="147"/>
      <c r="K1286" s="147"/>
      <c r="L1286" s="147"/>
      <c r="M1286" s="147"/>
      <c r="N1286" s="147"/>
      <c r="O1286" s="147"/>
      <c r="P1286" s="147"/>
      <c r="Q1286" s="147"/>
      <c r="R1286" s="148"/>
      <c r="S1286" s="148"/>
      <c r="T1286" s="148"/>
      <c r="U1286" s="148"/>
      <c r="V1286" s="148"/>
      <c r="W1286" s="148"/>
      <c r="X1286" s="148"/>
      <c r="Y1286" s="148"/>
      <c r="Z1286" s="148"/>
      <c r="AA1286" s="148"/>
      <c r="AB1286" s="148"/>
      <c r="AC1286" s="148"/>
    </row>
    <row r="1287" spans="1:29">
      <c r="A1287" s="149"/>
      <c r="B1287" s="147"/>
      <c r="C1287" s="147"/>
      <c r="D1287" s="147"/>
      <c r="E1287" s="147"/>
      <c r="F1287" s="147"/>
      <c r="G1287" s="147"/>
      <c r="H1287" s="147"/>
      <c r="I1287" s="147"/>
      <c r="J1287" s="147"/>
      <c r="K1287" s="147"/>
      <c r="L1287" s="147"/>
      <c r="M1287" s="147"/>
      <c r="N1287" s="147"/>
      <c r="O1287" s="147"/>
      <c r="P1287" s="147"/>
      <c r="Q1287" s="147"/>
      <c r="R1287" s="148"/>
      <c r="S1287" s="148"/>
      <c r="T1287" s="148"/>
      <c r="U1287" s="148"/>
      <c r="V1287" s="148"/>
      <c r="W1287" s="148"/>
      <c r="X1287" s="148"/>
      <c r="Y1287" s="148"/>
      <c r="Z1287" s="148"/>
      <c r="AA1287" s="148"/>
      <c r="AB1287" s="148"/>
      <c r="AC1287" s="148"/>
    </row>
    <row r="1288" spans="1:29">
      <c r="A1288" s="149"/>
      <c r="B1288" s="147"/>
      <c r="C1288" s="147"/>
      <c r="D1288" s="147"/>
      <c r="E1288" s="147"/>
      <c r="F1288" s="147"/>
      <c r="G1288" s="147"/>
      <c r="H1288" s="147"/>
      <c r="I1288" s="147"/>
      <c r="J1288" s="147"/>
      <c r="K1288" s="147"/>
      <c r="L1288" s="147"/>
      <c r="M1288" s="147"/>
      <c r="N1288" s="147"/>
      <c r="O1288" s="147"/>
      <c r="P1288" s="147"/>
      <c r="Q1288" s="147"/>
      <c r="R1288" s="148"/>
      <c r="S1288" s="148"/>
      <c r="T1288" s="148"/>
      <c r="U1288" s="148"/>
      <c r="V1288" s="148"/>
      <c r="W1288" s="148"/>
      <c r="X1288" s="148"/>
      <c r="Y1288" s="148"/>
      <c r="Z1288" s="148"/>
      <c r="AA1288" s="148"/>
      <c r="AB1288" s="148"/>
      <c r="AC1288" s="148"/>
    </row>
    <row r="1289" spans="1:29">
      <c r="A1289" s="149"/>
      <c r="B1289" s="147"/>
      <c r="C1289" s="147"/>
      <c r="D1289" s="147"/>
      <c r="E1289" s="147"/>
      <c r="F1289" s="147"/>
      <c r="G1289" s="147"/>
      <c r="H1289" s="147"/>
      <c r="I1289" s="147"/>
      <c r="J1289" s="147"/>
      <c r="K1289" s="147"/>
      <c r="L1289" s="147"/>
      <c r="M1289" s="147"/>
      <c r="N1289" s="147"/>
      <c r="O1289" s="147"/>
      <c r="P1289" s="147"/>
      <c r="Q1289" s="147"/>
      <c r="R1289" s="148"/>
      <c r="S1289" s="148"/>
      <c r="T1289" s="148"/>
      <c r="U1289" s="148"/>
      <c r="V1289" s="148"/>
      <c r="W1289" s="148"/>
      <c r="X1289" s="148"/>
      <c r="Y1289" s="148"/>
      <c r="Z1289" s="148"/>
      <c r="AA1289" s="148"/>
      <c r="AB1289" s="148"/>
      <c r="AC1289" s="148"/>
    </row>
    <row r="1290" spans="1:29">
      <c r="A1290" s="149"/>
      <c r="B1290" s="147"/>
      <c r="C1290" s="147"/>
      <c r="D1290" s="147"/>
      <c r="E1290" s="147"/>
      <c r="F1290" s="147"/>
      <c r="G1290" s="147"/>
      <c r="H1290" s="147"/>
      <c r="I1290" s="147"/>
      <c r="J1290" s="147"/>
      <c r="K1290" s="147"/>
      <c r="L1290" s="147"/>
      <c r="M1290" s="147"/>
      <c r="N1290" s="147"/>
      <c r="O1290" s="147"/>
      <c r="P1290" s="147"/>
      <c r="Q1290" s="147"/>
      <c r="R1290" s="148"/>
      <c r="S1290" s="148"/>
      <c r="T1290" s="148"/>
      <c r="U1290" s="148"/>
      <c r="V1290" s="148"/>
      <c r="W1290" s="148"/>
      <c r="X1290" s="148"/>
      <c r="Y1290" s="148"/>
      <c r="Z1290" s="148"/>
      <c r="AA1290" s="148"/>
      <c r="AB1290" s="148"/>
      <c r="AC1290" s="148"/>
    </row>
    <row r="1291" spans="1:29">
      <c r="A1291" s="149"/>
      <c r="B1291" s="147"/>
      <c r="C1291" s="147"/>
      <c r="D1291" s="147"/>
      <c r="E1291" s="147"/>
      <c r="F1291" s="147"/>
      <c r="G1291" s="147"/>
      <c r="H1291" s="147"/>
      <c r="I1291" s="147"/>
      <c r="J1291" s="147"/>
      <c r="K1291" s="147"/>
      <c r="L1291" s="147"/>
      <c r="M1291" s="147"/>
      <c r="N1291" s="147"/>
      <c r="O1291" s="147"/>
      <c r="P1291" s="147"/>
      <c r="Q1291" s="147"/>
      <c r="R1291" s="148"/>
      <c r="S1291" s="148"/>
      <c r="T1291" s="148"/>
      <c r="U1291" s="148"/>
      <c r="V1291" s="148"/>
      <c r="W1291" s="148"/>
      <c r="X1291" s="148"/>
      <c r="Y1291" s="148"/>
      <c r="Z1291" s="148"/>
      <c r="AA1291" s="148"/>
      <c r="AB1291" s="148"/>
      <c r="AC1291" s="148"/>
    </row>
    <row r="1292" spans="1:29">
      <c r="A1292" s="149"/>
      <c r="B1292" s="147"/>
      <c r="C1292" s="147"/>
      <c r="D1292" s="147"/>
      <c r="E1292" s="147"/>
      <c r="F1292" s="147"/>
      <c r="G1292" s="147"/>
      <c r="H1292" s="147"/>
      <c r="I1292" s="147"/>
      <c r="J1292" s="147"/>
      <c r="K1292" s="147"/>
      <c r="L1292" s="147"/>
      <c r="M1292" s="147"/>
      <c r="N1292" s="147"/>
      <c r="O1292" s="147"/>
      <c r="P1292" s="147"/>
      <c r="Q1292" s="147"/>
      <c r="R1292" s="148"/>
      <c r="S1292" s="148"/>
      <c r="T1292" s="148"/>
      <c r="U1292" s="148"/>
      <c r="V1292" s="148"/>
      <c r="W1292" s="148"/>
      <c r="X1292" s="148"/>
      <c r="Y1292" s="148"/>
      <c r="Z1292" s="148"/>
      <c r="AA1292" s="148"/>
      <c r="AB1292" s="148"/>
      <c r="AC1292" s="148"/>
    </row>
    <row r="1293" spans="1:29">
      <c r="A1293" s="149"/>
      <c r="B1293" s="147"/>
      <c r="C1293" s="147"/>
      <c r="D1293" s="147"/>
      <c r="E1293" s="147"/>
      <c r="F1293" s="147"/>
      <c r="G1293" s="147"/>
      <c r="H1293" s="147"/>
      <c r="I1293" s="147"/>
      <c r="J1293" s="147"/>
      <c r="K1293" s="147"/>
      <c r="L1293" s="147"/>
      <c r="M1293" s="147"/>
      <c r="N1293" s="147"/>
      <c r="O1293" s="147"/>
      <c r="P1293" s="147"/>
      <c r="Q1293" s="147"/>
      <c r="R1293" s="148"/>
      <c r="S1293" s="148"/>
      <c r="T1293" s="148"/>
      <c r="U1293" s="148"/>
      <c r="V1293" s="148"/>
      <c r="W1293" s="148"/>
      <c r="X1293" s="148"/>
      <c r="Y1293" s="148"/>
      <c r="Z1293" s="148"/>
      <c r="AA1293" s="148"/>
      <c r="AB1293" s="148"/>
      <c r="AC1293" s="148"/>
    </row>
    <row r="1294" spans="1:29">
      <c r="A1294" s="149"/>
      <c r="B1294" s="147"/>
      <c r="C1294" s="147"/>
      <c r="D1294" s="147"/>
      <c r="E1294" s="147"/>
      <c r="F1294" s="147"/>
      <c r="G1294" s="147"/>
      <c r="H1294" s="147"/>
      <c r="I1294" s="147"/>
      <c r="J1294" s="147"/>
      <c r="K1294" s="147"/>
      <c r="L1294" s="147"/>
      <c r="M1294" s="147"/>
      <c r="N1294" s="147"/>
      <c r="O1294" s="147"/>
      <c r="P1294" s="147"/>
      <c r="Q1294" s="147"/>
      <c r="R1294" s="148"/>
      <c r="S1294" s="148"/>
      <c r="T1294" s="148"/>
      <c r="U1294" s="148"/>
      <c r="V1294" s="148"/>
      <c r="W1294" s="148"/>
      <c r="X1294" s="148"/>
      <c r="Y1294" s="148"/>
      <c r="Z1294" s="148"/>
      <c r="AA1294" s="148"/>
      <c r="AB1294" s="148"/>
      <c r="AC1294" s="148"/>
    </row>
    <row r="1295" spans="1:29">
      <c r="A1295" s="149"/>
      <c r="B1295" s="147"/>
      <c r="C1295" s="147"/>
      <c r="D1295" s="147"/>
      <c r="E1295" s="147"/>
      <c r="F1295" s="147"/>
      <c r="G1295" s="147"/>
      <c r="H1295" s="147"/>
      <c r="I1295" s="147"/>
      <c r="J1295" s="147"/>
      <c r="K1295" s="147"/>
      <c r="L1295" s="147"/>
      <c r="M1295" s="147"/>
      <c r="N1295" s="147"/>
      <c r="O1295" s="147"/>
      <c r="P1295" s="147"/>
      <c r="Q1295" s="147"/>
      <c r="R1295" s="148"/>
      <c r="S1295" s="148"/>
      <c r="T1295" s="148"/>
      <c r="U1295" s="148"/>
      <c r="V1295" s="148"/>
      <c r="W1295" s="148"/>
      <c r="X1295" s="148"/>
      <c r="Y1295" s="148"/>
      <c r="Z1295" s="148"/>
      <c r="AA1295" s="148"/>
      <c r="AB1295" s="148"/>
      <c r="AC1295" s="148"/>
    </row>
    <row r="1296" spans="1:29">
      <c r="A1296" s="149"/>
      <c r="B1296" s="147"/>
      <c r="C1296" s="147"/>
      <c r="D1296" s="147"/>
      <c r="E1296" s="147"/>
      <c r="F1296" s="147"/>
      <c r="G1296" s="147"/>
      <c r="H1296" s="147"/>
      <c r="I1296" s="147"/>
      <c r="J1296" s="147"/>
      <c r="K1296" s="147"/>
      <c r="L1296" s="147"/>
      <c r="M1296" s="147"/>
      <c r="N1296" s="147"/>
      <c r="O1296" s="147"/>
      <c r="P1296" s="147"/>
      <c r="Q1296" s="147"/>
      <c r="R1296" s="148"/>
      <c r="S1296" s="148"/>
      <c r="T1296" s="148"/>
      <c r="U1296" s="148"/>
      <c r="V1296" s="148"/>
      <c r="W1296" s="148"/>
      <c r="X1296" s="148"/>
      <c r="Y1296" s="148"/>
      <c r="Z1296" s="148"/>
      <c r="AA1296" s="148"/>
      <c r="AB1296" s="148"/>
      <c r="AC1296" s="148"/>
    </row>
    <row r="1297" spans="1:29">
      <c r="A1297" s="149"/>
      <c r="B1297" s="147"/>
      <c r="C1297" s="147"/>
      <c r="D1297" s="147"/>
      <c r="E1297" s="147"/>
      <c r="F1297" s="147"/>
      <c r="G1297" s="147"/>
      <c r="H1297" s="147"/>
      <c r="I1297" s="147"/>
      <c r="J1297" s="147"/>
      <c r="K1297" s="147"/>
      <c r="L1297" s="147"/>
      <c r="M1297" s="147"/>
      <c r="N1297" s="147"/>
      <c r="O1297" s="147"/>
      <c r="P1297" s="147"/>
      <c r="Q1297" s="147"/>
      <c r="R1297" s="148"/>
      <c r="S1297" s="148"/>
      <c r="T1297" s="148"/>
      <c r="U1297" s="148"/>
      <c r="V1297" s="148"/>
      <c r="W1297" s="148"/>
      <c r="X1297" s="148"/>
      <c r="Y1297" s="148"/>
      <c r="Z1297" s="148"/>
      <c r="AA1297" s="148"/>
      <c r="AB1297" s="148"/>
      <c r="AC1297" s="148"/>
    </row>
    <row r="1298" spans="1:29">
      <c r="A1298" s="149"/>
      <c r="B1298" s="147"/>
      <c r="C1298" s="147"/>
      <c r="D1298" s="147"/>
      <c r="E1298" s="147"/>
      <c r="F1298" s="147"/>
      <c r="G1298" s="147"/>
      <c r="H1298" s="147"/>
      <c r="I1298" s="147"/>
      <c r="J1298" s="147"/>
      <c r="K1298" s="147"/>
      <c r="L1298" s="147"/>
      <c r="M1298" s="147"/>
      <c r="N1298" s="147"/>
      <c r="O1298" s="147"/>
      <c r="P1298" s="147"/>
      <c r="Q1298" s="147"/>
      <c r="R1298" s="148"/>
      <c r="S1298" s="148"/>
      <c r="T1298" s="148"/>
      <c r="U1298" s="148"/>
      <c r="V1298" s="148"/>
      <c r="W1298" s="148"/>
      <c r="X1298" s="148"/>
      <c r="Y1298" s="148"/>
      <c r="Z1298" s="148"/>
      <c r="AA1298" s="148"/>
      <c r="AB1298" s="148"/>
      <c r="AC1298" s="148"/>
    </row>
    <row r="1299" spans="1:29">
      <c r="A1299" s="149"/>
      <c r="B1299" s="147"/>
      <c r="C1299" s="147"/>
      <c r="D1299" s="147"/>
      <c r="E1299" s="147"/>
      <c r="F1299" s="147"/>
      <c r="G1299" s="147"/>
      <c r="H1299" s="147"/>
      <c r="I1299" s="147"/>
      <c r="J1299" s="147"/>
      <c r="K1299" s="147"/>
      <c r="L1299" s="147"/>
      <c r="M1299" s="147"/>
      <c r="N1299" s="147"/>
      <c r="O1299" s="147"/>
      <c r="P1299" s="147"/>
      <c r="Q1299" s="147"/>
      <c r="R1299" s="148"/>
      <c r="S1299" s="148"/>
      <c r="T1299" s="148"/>
      <c r="U1299" s="148"/>
      <c r="V1299" s="148"/>
      <c r="W1299" s="148"/>
      <c r="X1299" s="148"/>
      <c r="Y1299" s="148"/>
      <c r="Z1299" s="148"/>
      <c r="AA1299" s="148"/>
      <c r="AB1299" s="148"/>
      <c r="AC1299" s="148"/>
    </row>
    <row r="1300" spans="1:29">
      <c r="A1300" s="149"/>
      <c r="B1300" s="147"/>
      <c r="C1300" s="147"/>
      <c r="D1300" s="147"/>
      <c r="E1300" s="147"/>
      <c r="F1300" s="147"/>
      <c r="G1300" s="147"/>
      <c r="H1300" s="147"/>
      <c r="I1300" s="147"/>
      <c r="J1300" s="147"/>
      <c r="K1300" s="147"/>
      <c r="L1300" s="147"/>
      <c r="M1300" s="147"/>
      <c r="N1300" s="147"/>
      <c r="O1300" s="147"/>
      <c r="P1300" s="147"/>
      <c r="Q1300" s="147"/>
      <c r="R1300" s="148"/>
      <c r="S1300" s="148"/>
      <c r="T1300" s="148"/>
      <c r="U1300" s="148"/>
      <c r="V1300" s="148"/>
      <c r="W1300" s="148"/>
      <c r="X1300" s="148"/>
      <c r="Y1300" s="148"/>
      <c r="Z1300" s="148"/>
      <c r="AA1300" s="148"/>
      <c r="AB1300" s="148"/>
      <c r="AC1300" s="148"/>
    </row>
    <row r="1301" spans="1:29">
      <c r="A1301" s="149"/>
      <c r="B1301" s="147"/>
      <c r="C1301" s="147"/>
      <c r="D1301" s="147"/>
      <c r="E1301" s="147"/>
      <c r="F1301" s="147"/>
      <c r="G1301" s="147"/>
      <c r="H1301" s="147"/>
      <c r="I1301" s="147"/>
      <c r="J1301" s="147"/>
      <c r="K1301" s="147"/>
      <c r="L1301" s="147"/>
      <c r="M1301" s="147"/>
      <c r="N1301" s="147"/>
      <c r="O1301" s="147"/>
      <c r="P1301" s="147"/>
      <c r="Q1301" s="147"/>
      <c r="R1301" s="148"/>
      <c r="S1301" s="148"/>
      <c r="T1301" s="148"/>
      <c r="U1301" s="148"/>
      <c r="V1301" s="148"/>
      <c r="W1301" s="148"/>
      <c r="X1301" s="148"/>
      <c r="Y1301" s="148"/>
      <c r="Z1301" s="148"/>
      <c r="AA1301" s="148"/>
      <c r="AB1301" s="148"/>
      <c r="AC1301" s="148"/>
    </row>
    <row r="1302" spans="1:29">
      <c r="A1302" s="149"/>
      <c r="B1302" s="147"/>
      <c r="C1302" s="147"/>
      <c r="D1302" s="147"/>
      <c r="E1302" s="147"/>
      <c r="F1302" s="147"/>
      <c r="G1302" s="147"/>
      <c r="H1302" s="147"/>
      <c r="I1302" s="147"/>
      <c r="J1302" s="147"/>
      <c r="K1302" s="147"/>
      <c r="L1302" s="147"/>
      <c r="M1302" s="147"/>
      <c r="N1302" s="147"/>
      <c r="O1302" s="147"/>
      <c r="P1302" s="147"/>
      <c r="Q1302" s="147"/>
      <c r="R1302" s="148"/>
      <c r="S1302" s="148"/>
      <c r="T1302" s="148"/>
      <c r="U1302" s="148"/>
      <c r="V1302" s="148"/>
      <c r="W1302" s="148"/>
      <c r="X1302" s="148"/>
      <c r="Y1302" s="148"/>
      <c r="Z1302" s="148"/>
      <c r="AA1302" s="148"/>
      <c r="AB1302" s="148"/>
      <c r="AC1302" s="148"/>
    </row>
    <row r="1303" spans="1:29">
      <c r="A1303" s="149"/>
      <c r="B1303" s="147"/>
      <c r="C1303" s="147"/>
      <c r="D1303" s="147"/>
      <c r="E1303" s="147"/>
      <c r="F1303" s="147"/>
      <c r="G1303" s="147"/>
      <c r="H1303" s="147"/>
      <c r="I1303" s="147"/>
      <c r="J1303" s="147"/>
      <c r="K1303" s="147"/>
      <c r="L1303" s="147"/>
      <c r="M1303" s="147"/>
      <c r="N1303" s="147"/>
      <c r="O1303" s="147"/>
      <c r="P1303" s="147"/>
      <c r="Q1303" s="147"/>
      <c r="R1303" s="148"/>
      <c r="S1303" s="148"/>
      <c r="T1303" s="148"/>
      <c r="U1303" s="148"/>
      <c r="V1303" s="148"/>
      <c r="W1303" s="148"/>
      <c r="X1303" s="148"/>
      <c r="Y1303" s="148"/>
      <c r="Z1303" s="148"/>
      <c r="AA1303" s="148"/>
      <c r="AB1303" s="148"/>
      <c r="AC1303" s="148"/>
    </row>
    <row r="1304" spans="1:29">
      <c r="A1304" s="149"/>
      <c r="B1304" s="147"/>
      <c r="C1304" s="147"/>
      <c r="D1304" s="147"/>
      <c r="E1304" s="147"/>
      <c r="F1304" s="147"/>
      <c r="G1304" s="147"/>
      <c r="H1304" s="147"/>
      <c r="I1304" s="147"/>
      <c r="J1304" s="147"/>
      <c r="K1304" s="147"/>
      <c r="L1304" s="147"/>
      <c r="M1304" s="147"/>
      <c r="N1304" s="147"/>
      <c r="O1304" s="147"/>
      <c r="P1304" s="147"/>
      <c r="Q1304" s="147"/>
      <c r="R1304" s="148"/>
      <c r="S1304" s="148"/>
      <c r="T1304" s="148"/>
      <c r="U1304" s="148"/>
      <c r="V1304" s="148"/>
      <c r="W1304" s="148"/>
      <c r="X1304" s="148"/>
      <c r="Y1304" s="148"/>
      <c r="Z1304" s="148"/>
      <c r="AA1304" s="148"/>
      <c r="AB1304" s="148"/>
      <c r="AC1304" s="148"/>
    </row>
    <row r="1305" spans="1:29">
      <c r="A1305" s="149"/>
      <c r="B1305" s="147"/>
      <c r="C1305" s="147"/>
      <c r="D1305" s="147"/>
      <c r="E1305" s="147"/>
      <c r="F1305" s="147"/>
      <c r="G1305" s="147"/>
      <c r="H1305" s="147"/>
      <c r="I1305" s="147"/>
      <c r="J1305" s="147"/>
      <c r="K1305" s="147"/>
      <c r="L1305" s="147"/>
      <c r="M1305" s="147"/>
      <c r="N1305" s="147"/>
      <c r="O1305" s="147"/>
      <c r="P1305" s="147"/>
      <c r="Q1305" s="147"/>
      <c r="R1305" s="148"/>
      <c r="S1305" s="148"/>
      <c r="T1305" s="148"/>
      <c r="U1305" s="148"/>
      <c r="V1305" s="148"/>
      <c r="W1305" s="148"/>
      <c r="X1305" s="148"/>
      <c r="Y1305" s="148"/>
      <c r="Z1305" s="148"/>
      <c r="AA1305" s="148"/>
      <c r="AB1305" s="148"/>
      <c r="AC1305" s="148"/>
    </row>
    <row r="1306" spans="1:29">
      <c r="A1306" s="149"/>
      <c r="B1306" s="147"/>
      <c r="C1306" s="147"/>
      <c r="D1306" s="147"/>
      <c r="E1306" s="147"/>
      <c r="F1306" s="147"/>
      <c r="G1306" s="147"/>
      <c r="H1306" s="147"/>
      <c r="I1306" s="147"/>
      <c r="J1306" s="147"/>
      <c r="K1306" s="147"/>
      <c r="L1306" s="147"/>
      <c r="M1306" s="147"/>
      <c r="N1306" s="147"/>
      <c r="O1306" s="147"/>
      <c r="P1306" s="147"/>
      <c r="Q1306" s="147"/>
      <c r="R1306" s="148"/>
      <c r="S1306" s="148"/>
      <c r="T1306" s="148"/>
      <c r="U1306" s="148"/>
      <c r="V1306" s="148"/>
      <c r="W1306" s="148"/>
      <c r="X1306" s="148"/>
      <c r="Y1306" s="148"/>
      <c r="Z1306" s="148"/>
      <c r="AA1306" s="148"/>
      <c r="AB1306" s="148"/>
      <c r="AC1306" s="148"/>
    </row>
    <row r="1307" spans="1:29">
      <c r="A1307" s="149"/>
      <c r="B1307" s="147"/>
      <c r="C1307" s="147"/>
      <c r="D1307" s="147"/>
      <c r="E1307" s="147"/>
      <c r="F1307" s="147"/>
      <c r="G1307" s="147"/>
      <c r="H1307" s="147"/>
      <c r="I1307" s="147"/>
      <c r="J1307" s="147"/>
      <c r="K1307" s="147"/>
      <c r="L1307" s="147"/>
      <c r="M1307" s="147"/>
      <c r="N1307" s="147"/>
      <c r="O1307" s="147"/>
      <c r="P1307" s="147"/>
      <c r="Q1307" s="147"/>
      <c r="R1307" s="148"/>
      <c r="S1307" s="148"/>
      <c r="T1307" s="148"/>
      <c r="U1307" s="148"/>
      <c r="V1307" s="148"/>
      <c r="W1307" s="148"/>
      <c r="X1307" s="148"/>
      <c r="Y1307" s="148"/>
      <c r="Z1307" s="148"/>
      <c r="AA1307" s="148"/>
      <c r="AB1307" s="148"/>
      <c r="AC1307" s="148"/>
    </row>
    <row r="1308" spans="1:29">
      <c r="A1308" s="149"/>
      <c r="B1308" s="147"/>
      <c r="C1308" s="147"/>
      <c r="D1308" s="147"/>
      <c r="E1308" s="147"/>
      <c r="F1308" s="147"/>
      <c r="G1308" s="147"/>
      <c r="H1308" s="147"/>
      <c r="I1308" s="147"/>
      <c r="J1308" s="147"/>
      <c r="K1308" s="147"/>
      <c r="L1308" s="147"/>
      <c r="M1308" s="147"/>
      <c r="N1308" s="147"/>
      <c r="O1308" s="147"/>
      <c r="P1308" s="147"/>
      <c r="Q1308" s="147"/>
      <c r="R1308" s="148"/>
      <c r="S1308" s="148"/>
      <c r="T1308" s="148"/>
      <c r="U1308" s="148"/>
      <c r="V1308" s="148"/>
      <c r="W1308" s="148"/>
      <c r="X1308" s="148"/>
      <c r="Y1308" s="148"/>
      <c r="Z1308" s="148"/>
      <c r="AA1308" s="148"/>
      <c r="AB1308" s="148"/>
      <c r="AC1308" s="148"/>
    </row>
    <row r="1309" spans="1:29">
      <c r="A1309" s="149"/>
      <c r="B1309" s="147"/>
      <c r="C1309" s="147"/>
      <c r="D1309" s="147"/>
      <c r="E1309" s="147"/>
      <c r="F1309" s="147"/>
      <c r="G1309" s="147"/>
      <c r="H1309" s="147"/>
      <c r="I1309" s="147"/>
      <c r="J1309" s="147"/>
      <c r="K1309" s="147"/>
      <c r="L1309" s="147"/>
      <c r="M1309" s="147"/>
      <c r="N1309" s="147"/>
      <c r="O1309" s="147"/>
      <c r="P1309" s="147"/>
      <c r="Q1309" s="147"/>
      <c r="R1309" s="148"/>
      <c r="S1309" s="148"/>
      <c r="T1309" s="148"/>
      <c r="U1309" s="148"/>
      <c r="V1309" s="148"/>
      <c r="W1309" s="148"/>
      <c r="X1309" s="148"/>
      <c r="Y1309" s="148"/>
      <c r="Z1309" s="148"/>
      <c r="AA1309" s="148"/>
      <c r="AB1309" s="148"/>
      <c r="AC1309" s="148"/>
    </row>
    <row r="1310" spans="1:29">
      <c r="A1310" s="149"/>
      <c r="B1310" s="147"/>
      <c r="C1310" s="147"/>
      <c r="D1310" s="147"/>
      <c r="E1310" s="147"/>
      <c r="F1310" s="147"/>
      <c r="G1310" s="147"/>
      <c r="H1310" s="147"/>
      <c r="I1310" s="147"/>
      <c r="J1310" s="147"/>
      <c r="K1310" s="147"/>
      <c r="L1310" s="147"/>
      <c r="M1310" s="147"/>
      <c r="N1310" s="147"/>
      <c r="O1310" s="147"/>
      <c r="P1310" s="147"/>
      <c r="Q1310" s="147"/>
      <c r="R1310" s="148"/>
      <c r="S1310" s="148"/>
      <c r="T1310" s="148"/>
      <c r="U1310" s="148"/>
      <c r="V1310" s="148"/>
      <c r="W1310" s="148"/>
      <c r="X1310" s="148"/>
      <c r="Y1310" s="148"/>
      <c r="Z1310" s="148"/>
      <c r="AA1310" s="148"/>
      <c r="AB1310" s="148"/>
      <c r="AC1310" s="148"/>
    </row>
    <row r="1311" spans="1:29">
      <c r="A1311" s="149"/>
      <c r="B1311" s="147"/>
      <c r="C1311" s="147"/>
      <c r="D1311" s="147"/>
      <c r="E1311" s="147"/>
      <c r="F1311" s="147"/>
      <c r="G1311" s="147"/>
      <c r="H1311" s="147"/>
      <c r="I1311" s="147"/>
      <c r="J1311" s="147"/>
      <c r="K1311" s="147"/>
      <c r="L1311" s="147"/>
      <c r="M1311" s="147"/>
      <c r="N1311" s="147"/>
      <c r="O1311" s="147"/>
      <c r="P1311" s="147"/>
      <c r="Q1311" s="147"/>
      <c r="R1311" s="148"/>
      <c r="S1311" s="148"/>
      <c r="T1311" s="148"/>
      <c r="U1311" s="148"/>
      <c r="V1311" s="148"/>
      <c r="W1311" s="148"/>
      <c r="X1311" s="148"/>
      <c r="Y1311" s="148"/>
      <c r="Z1311" s="148"/>
      <c r="AA1311" s="148"/>
      <c r="AB1311" s="148"/>
      <c r="AC1311" s="148"/>
    </row>
    <row r="1312" spans="1:29">
      <c r="A1312" s="149"/>
      <c r="B1312" s="147"/>
      <c r="C1312" s="147"/>
      <c r="D1312" s="147"/>
      <c r="E1312" s="147"/>
      <c r="F1312" s="147"/>
      <c r="G1312" s="147"/>
      <c r="H1312" s="147"/>
      <c r="I1312" s="147"/>
      <c r="J1312" s="147"/>
      <c r="K1312" s="147"/>
      <c r="L1312" s="147"/>
      <c r="M1312" s="147"/>
      <c r="N1312" s="147"/>
      <c r="O1312" s="147"/>
      <c r="P1312" s="147"/>
      <c r="Q1312" s="147"/>
      <c r="R1312" s="148"/>
      <c r="S1312" s="148"/>
      <c r="T1312" s="148"/>
      <c r="U1312" s="148"/>
      <c r="V1312" s="148"/>
      <c r="W1312" s="148"/>
      <c r="X1312" s="148"/>
      <c r="Y1312" s="148"/>
      <c r="Z1312" s="148"/>
      <c r="AA1312" s="148"/>
      <c r="AB1312" s="148"/>
      <c r="AC1312" s="148"/>
    </row>
    <row r="1313" spans="1:29">
      <c r="A1313" s="149"/>
      <c r="B1313" s="147"/>
      <c r="C1313" s="147"/>
      <c r="D1313" s="147"/>
      <c r="E1313" s="147"/>
      <c r="F1313" s="147"/>
      <c r="G1313" s="147"/>
      <c r="H1313" s="147"/>
      <c r="I1313" s="147"/>
      <c r="J1313" s="147"/>
      <c r="K1313" s="147"/>
      <c r="L1313" s="147"/>
      <c r="M1313" s="147"/>
      <c r="N1313" s="147"/>
      <c r="O1313" s="147"/>
      <c r="P1313" s="147"/>
      <c r="Q1313" s="147"/>
      <c r="R1313" s="148"/>
      <c r="S1313" s="148"/>
      <c r="T1313" s="148"/>
      <c r="U1313" s="148"/>
      <c r="V1313" s="148"/>
      <c r="W1313" s="148"/>
      <c r="X1313" s="148"/>
      <c r="Y1313" s="148"/>
      <c r="Z1313" s="148"/>
      <c r="AA1313" s="148"/>
      <c r="AB1313" s="148"/>
      <c r="AC1313" s="148"/>
    </row>
    <row r="1314" spans="1:29">
      <c r="A1314" s="149"/>
      <c r="B1314" s="147"/>
      <c r="C1314" s="147"/>
      <c r="D1314" s="147"/>
      <c r="E1314" s="147"/>
      <c r="F1314" s="147"/>
      <c r="G1314" s="147"/>
      <c r="H1314" s="147"/>
      <c r="I1314" s="147"/>
      <c r="J1314" s="147"/>
      <c r="K1314" s="147"/>
      <c r="L1314" s="147"/>
      <c r="M1314" s="147"/>
      <c r="N1314" s="147"/>
      <c r="O1314" s="147"/>
      <c r="P1314" s="147"/>
      <c r="Q1314" s="147"/>
      <c r="R1314" s="148"/>
      <c r="S1314" s="148"/>
      <c r="T1314" s="148"/>
      <c r="U1314" s="148"/>
      <c r="V1314" s="148"/>
      <c r="W1314" s="148"/>
      <c r="X1314" s="148"/>
      <c r="Y1314" s="148"/>
      <c r="Z1314" s="148"/>
      <c r="AA1314" s="148"/>
      <c r="AB1314" s="148"/>
      <c r="AC1314" s="148"/>
    </row>
    <row r="1315" spans="1:29">
      <c r="A1315" s="149"/>
      <c r="B1315" s="147"/>
      <c r="C1315" s="147"/>
      <c r="D1315" s="147"/>
      <c r="E1315" s="147"/>
      <c r="F1315" s="147"/>
      <c r="G1315" s="147"/>
      <c r="H1315" s="147"/>
      <c r="I1315" s="147"/>
      <c r="J1315" s="147"/>
      <c r="K1315" s="147"/>
      <c r="L1315" s="147"/>
      <c r="M1315" s="147"/>
      <c r="N1315" s="147"/>
      <c r="O1315" s="147"/>
      <c r="P1315" s="147"/>
      <c r="Q1315" s="147"/>
      <c r="R1315" s="148"/>
      <c r="S1315" s="148"/>
      <c r="T1315" s="148"/>
      <c r="U1315" s="148"/>
      <c r="V1315" s="148"/>
      <c r="W1315" s="148"/>
      <c r="X1315" s="148"/>
      <c r="Y1315" s="148"/>
      <c r="Z1315" s="148"/>
      <c r="AA1315" s="148"/>
      <c r="AB1315" s="148"/>
      <c r="AC1315" s="148"/>
    </row>
    <row r="1316" spans="1:29">
      <c r="A1316" s="149"/>
      <c r="B1316" s="147"/>
      <c r="C1316" s="147"/>
      <c r="D1316" s="147"/>
      <c r="E1316" s="147"/>
      <c r="F1316" s="147"/>
      <c r="G1316" s="147"/>
      <c r="H1316" s="147"/>
      <c r="I1316" s="147"/>
      <c r="J1316" s="147"/>
      <c r="K1316" s="147"/>
      <c r="L1316" s="147"/>
      <c r="M1316" s="147"/>
      <c r="N1316" s="147"/>
      <c r="O1316" s="147"/>
      <c r="P1316" s="147"/>
      <c r="Q1316" s="147"/>
      <c r="R1316" s="148"/>
      <c r="S1316" s="148"/>
      <c r="T1316" s="148"/>
      <c r="U1316" s="148"/>
      <c r="V1316" s="148"/>
      <c r="W1316" s="148"/>
      <c r="X1316" s="148"/>
      <c r="Y1316" s="148"/>
      <c r="Z1316" s="148"/>
      <c r="AA1316" s="148"/>
      <c r="AB1316" s="148"/>
      <c r="AC1316" s="148"/>
    </row>
    <row r="1317" spans="1:29">
      <c r="A1317" s="147"/>
      <c r="B1317" s="147"/>
      <c r="C1317" s="147"/>
      <c r="D1317" s="147"/>
      <c r="E1317" s="147"/>
      <c r="F1317" s="147"/>
      <c r="G1317" s="147"/>
      <c r="H1317" s="147"/>
      <c r="I1317" s="147"/>
      <c r="J1317" s="147"/>
      <c r="K1317" s="147"/>
      <c r="L1317" s="147"/>
      <c r="M1317" s="147"/>
      <c r="N1317" s="147"/>
      <c r="O1317" s="147"/>
      <c r="P1317" s="147"/>
      <c r="Q1317" s="147"/>
      <c r="R1317" s="148"/>
      <c r="S1317" s="148"/>
      <c r="T1317" s="148"/>
      <c r="U1317" s="148"/>
      <c r="V1317" s="148"/>
      <c r="W1317" s="148"/>
      <c r="X1317" s="148"/>
      <c r="Y1317" s="148"/>
      <c r="Z1317" s="148"/>
      <c r="AA1317" s="148"/>
      <c r="AB1317" s="148"/>
      <c r="AC1317" s="148"/>
    </row>
    <row r="1318" spans="1:29">
      <c r="A1318" s="150"/>
      <c r="B1318" s="147"/>
      <c r="C1318" s="147"/>
      <c r="D1318" s="147"/>
      <c r="E1318" s="147"/>
      <c r="F1318" s="147"/>
      <c r="G1318" s="147"/>
      <c r="H1318" s="147"/>
      <c r="I1318" s="147"/>
      <c r="J1318" s="147"/>
      <c r="K1318" s="147"/>
      <c r="L1318" s="147"/>
      <c r="M1318" s="147"/>
      <c r="N1318" s="147"/>
      <c r="O1318" s="147"/>
      <c r="P1318" s="147"/>
      <c r="Q1318" s="147"/>
      <c r="R1318" s="148"/>
      <c r="S1318" s="148"/>
      <c r="T1318" s="148"/>
      <c r="U1318" s="148"/>
      <c r="V1318" s="148"/>
      <c r="W1318" s="148"/>
      <c r="X1318" s="148"/>
      <c r="Y1318" s="148"/>
      <c r="Z1318" s="148"/>
      <c r="AA1318" s="148"/>
      <c r="AB1318" s="148"/>
      <c r="AC1318" s="148"/>
    </row>
    <row r="1319" spans="1:29">
      <c r="A1319" s="150"/>
      <c r="B1319" s="147"/>
      <c r="C1319" s="147"/>
      <c r="D1319" s="147"/>
      <c r="E1319" s="147"/>
      <c r="F1319" s="147"/>
      <c r="G1319" s="147"/>
      <c r="H1319" s="147"/>
      <c r="I1319" s="147"/>
      <c r="J1319" s="147"/>
      <c r="K1319" s="147"/>
      <c r="L1319" s="147"/>
      <c r="M1319" s="147"/>
      <c r="N1319" s="147"/>
      <c r="O1319" s="147"/>
      <c r="P1319" s="147"/>
      <c r="Q1319" s="147"/>
      <c r="R1319" s="148"/>
      <c r="S1319" s="148"/>
      <c r="T1319" s="148"/>
      <c r="U1319" s="148"/>
      <c r="V1319" s="148"/>
      <c r="W1319" s="148"/>
      <c r="X1319" s="148"/>
      <c r="Y1319" s="148"/>
      <c r="Z1319" s="148"/>
      <c r="AA1319" s="148"/>
      <c r="AB1319" s="148"/>
      <c r="AC1319" s="148"/>
    </row>
    <row r="1320" spans="1:29">
      <c r="A1320" s="150"/>
      <c r="B1320" s="147"/>
      <c r="C1320" s="147"/>
      <c r="D1320" s="147"/>
      <c r="E1320" s="147"/>
      <c r="F1320" s="147"/>
      <c r="G1320" s="147"/>
      <c r="H1320" s="147"/>
      <c r="I1320" s="147"/>
      <c r="J1320" s="147"/>
      <c r="K1320" s="147"/>
      <c r="L1320" s="147"/>
      <c r="M1320" s="147"/>
      <c r="N1320" s="147"/>
      <c r="O1320" s="147"/>
      <c r="P1320" s="147"/>
      <c r="Q1320" s="147"/>
      <c r="R1320" s="148"/>
      <c r="S1320" s="148"/>
      <c r="T1320" s="148"/>
      <c r="U1320" s="148"/>
      <c r="V1320" s="148"/>
      <c r="W1320" s="148"/>
      <c r="X1320" s="148"/>
      <c r="Y1320" s="148"/>
      <c r="Z1320" s="148"/>
      <c r="AA1320" s="148"/>
      <c r="AB1320" s="148"/>
      <c r="AC1320" s="148"/>
    </row>
    <row r="1321" spans="1:29">
      <c r="A1321" s="150"/>
      <c r="B1321" s="147"/>
      <c r="C1321" s="147"/>
      <c r="D1321" s="147"/>
      <c r="E1321" s="147"/>
      <c r="F1321" s="147"/>
      <c r="G1321" s="147"/>
      <c r="H1321" s="147"/>
      <c r="I1321" s="147"/>
      <c r="J1321" s="147"/>
      <c r="K1321" s="147"/>
      <c r="L1321" s="147"/>
      <c r="M1321" s="147"/>
      <c r="N1321" s="147"/>
      <c r="O1321" s="147"/>
      <c r="P1321" s="147"/>
      <c r="Q1321" s="147"/>
      <c r="R1321" s="148"/>
      <c r="S1321" s="148"/>
      <c r="T1321" s="148"/>
      <c r="U1321" s="148"/>
      <c r="V1321" s="148"/>
      <c r="W1321" s="148"/>
      <c r="X1321" s="148"/>
      <c r="Y1321" s="148"/>
      <c r="Z1321" s="148"/>
      <c r="AA1321" s="148"/>
      <c r="AB1321" s="148"/>
      <c r="AC1321" s="148"/>
    </row>
    <row r="1322" spans="1:29">
      <c r="A1322" s="150"/>
      <c r="B1322" s="147"/>
      <c r="C1322" s="147"/>
      <c r="D1322" s="147"/>
      <c r="E1322" s="147"/>
      <c r="F1322" s="147"/>
      <c r="G1322" s="147"/>
      <c r="H1322" s="147"/>
      <c r="I1322" s="147"/>
      <c r="J1322" s="147"/>
      <c r="K1322" s="147"/>
      <c r="L1322" s="147"/>
      <c r="M1322" s="147"/>
      <c r="N1322" s="147"/>
      <c r="O1322" s="147"/>
      <c r="P1322" s="147"/>
      <c r="Q1322" s="147"/>
      <c r="R1322" s="148"/>
      <c r="S1322" s="148"/>
      <c r="T1322" s="148"/>
      <c r="U1322" s="148"/>
      <c r="V1322" s="148"/>
      <c r="W1322" s="148"/>
      <c r="X1322" s="148"/>
      <c r="Y1322" s="148"/>
      <c r="Z1322" s="148"/>
      <c r="AA1322" s="148"/>
      <c r="AB1322" s="148"/>
      <c r="AC1322" s="148"/>
    </row>
    <row r="1323" spans="1:29">
      <c r="A1323" s="150"/>
      <c r="B1323" s="147"/>
      <c r="C1323" s="147"/>
      <c r="D1323" s="147"/>
      <c r="E1323" s="147"/>
      <c r="F1323" s="147"/>
      <c r="G1323" s="147"/>
      <c r="H1323" s="147"/>
      <c r="I1323" s="147"/>
      <c r="J1323" s="147"/>
      <c r="K1323" s="147"/>
      <c r="L1323" s="147"/>
      <c r="M1323" s="147"/>
      <c r="N1323" s="147"/>
      <c r="O1323" s="147"/>
      <c r="P1323" s="147"/>
      <c r="Q1323" s="147"/>
      <c r="R1323" s="148"/>
      <c r="S1323" s="148"/>
      <c r="T1323" s="148"/>
      <c r="U1323" s="148"/>
      <c r="V1323" s="148"/>
      <c r="W1323" s="148"/>
      <c r="X1323" s="148"/>
      <c r="Y1323" s="148"/>
      <c r="Z1323" s="148"/>
      <c r="AA1323" s="148"/>
      <c r="AB1323" s="148"/>
      <c r="AC1323" s="148"/>
    </row>
    <row r="1324" spans="1:29">
      <c r="A1324" s="150"/>
      <c r="B1324" s="147"/>
      <c r="C1324" s="147"/>
      <c r="D1324" s="147"/>
      <c r="E1324" s="147"/>
      <c r="F1324" s="147"/>
      <c r="G1324" s="147"/>
      <c r="H1324" s="147"/>
      <c r="I1324" s="147"/>
      <c r="J1324" s="147"/>
      <c r="K1324" s="147"/>
      <c r="L1324" s="147"/>
      <c r="M1324" s="147"/>
      <c r="N1324" s="147"/>
      <c r="O1324" s="147"/>
      <c r="P1324" s="147"/>
      <c r="Q1324" s="147"/>
      <c r="R1324" s="148"/>
      <c r="S1324" s="148"/>
      <c r="T1324" s="148"/>
      <c r="U1324" s="148"/>
      <c r="V1324" s="148"/>
      <c r="W1324" s="148"/>
      <c r="X1324" s="148"/>
      <c r="Y1324" s="148"/>
      <c r="Z1324" s="148"/>
      <c r="AA1324" s="148"/>
      <c r="AB1324" s="148"/>
      <c r="AC1324" s="148"/>
    </row>
    <row r="1325" spans="1:29">
      <c r="A1325" s="150"/>
      <c r="B1325" s="147"/>
      <c r="C1325" s="147"/>
      <c r="D1325" s="147"/>
      <c r="E1325" s="147"/>
      <c r="F1325" s="147"/>
      <c r="G1325" s="147"/>
      <c r="H1325" s="147"/>
      <c r="I1325" s="147"/>
      <c r="J1325" s="147"/>
      <c r="K1325" s="147"/>
      <c r="L1325" s="147"/>
      <c r="M1325" s="147"/>
      <c r="N1325" s="147"/>
      <c r="O1325" s="147"/>
      <c r="P1325" s="147"/>
      <c r="Q1325" s="147"/>
      <c r="R1325" s="148"/>
      <c r="S1325" s="148"/>
      <c r="T1325" s="148"/>
      <c r="U1325" s="148"/>
      <c r="V1325" s="148"/>
      <c r="W1325" s="148"/>
      <c r="X1325" s="148"/>
      <c r="Y1325" s="148"/>
      <c r="Z1325" s="148"/>
      <c r="AA1325" s="148"/>
      <c r="AB1325" s="148"/>
      <c r="AC1325" s="148"/>
    </row>
    <row r="1326" spans="1:29">
      <c r="A1326" s="150"/>
      <c r="B1326" s="147"/>
      <c r="C1326" s="147"/>
      <c r="D1326" s="147"/>
      <c r="E1326" s="147"/>
      <c r="F1326" s="147"/>
      <c r="G1326" s="147"/>
      <c r="H1326" s="147"/>
      <c r="I1326" s="147"/>
      <c r="J1326" s="147"/>
      <c r="K1326" s="147"/>
      <c r="L1326" s="147"/>
      <c r="M1326" s="147"/>
      <c r="N1326" s="147"/>
      <c r="O1326" s="147"/>
      <c r="P1326" s="147"/>
      <c r="Q1326" s="147"/>
      <c r="R1326" s="148"/>
      <c r="S1326" s="148"/>
      <c r="T1326" s="148"/>
      <c r="U1326" s="148"/>
      <c r="V1326" s="148"/>
      <c r="W1326" s="148"/>
      <c r="X1326" s="148"/>
      <c r="Y1326" s="148"/>
      <c r="Z1326" s="148"/>
      <c r="AA1326" s="148"/>
      <c r="AB1326" s="148"/>
      <c r="AC1326" s="148"/>
    </row>
    <row r="1327" spans="1:29">
      <c r="A1327" s="147"/>
      <c r="B1327" s="147"/>
      <c r="C1327" s="147"/>
      <c r="D1327" s="147"/>
      <c r="E1327" s="147"/>
      <c r="F1327" s="147"/>
      <c r="G1327" s="147"/>
      <c r="H1327" s="147"/>
      <c r="I1327" s="147"/>
      <c r="J1327" s="147"/>
      <c r="K1327" s="147"/>
      <c r="L1327" s="147"/>
      <c r="M1327" s="147"/>
      <c r="N1327" s="147"/>
      <c r="O1327" s="147"/>
      <c r="P1327" s="147"/>
      <c r="Q1327" s="147"/>
      <c r="R1327" s="148"/>
      <c r="S1327" s="148"/>
      <c r="T1327" s="148"/>
      <c r="U1327" s="148"/>
      <c r="V1327" s="148"/>
      <c r="W1327" s="148"/>
      <c r="X1327" s="148"/>
      <c r="Y1327" s="148"/>
      <c r="Z1327" s="148"/>
      <c r="AA1327" s="148"/>
      <c r="AB1327" s="148"/>
      <c r="AC1327" s="148"/>
    </row>
    <row r="1328" spans="1:29">
      <c r="A1328" s="147"/>
      <c r="B1328" s="147"/>
      <c r="C1328" s="147"/>
      <c r="D1328" s="147"/>
      <c r="E1328" s="147"/>
      <c r="F1328" s="147"/>
      <c r="G1328" s="147"/>
      <c r="H1328" s="147"/>
      <c r="I1328" s="147"/>
      <c r="J1328" s="147"/>
      <c r="K1328" s="147"/>
      <c r="L1328" s="147"/>
      <c r="M1328" s="147"/>
      <c r="N1328" s="147"/>
      <c r="O1328" s="147"/>
      <c r="P1328" s="147"/>
      <c r="Q1328" s="147"/>
      <c r="R1328" s="148"/>
      <c r="S1328" s="148"/>
      <c r="T1328" s="148"/>
      <c r="U1328" s="148"/>
      <c r="V1328" s="148"/>
      <c r="W1328" s="148"/>
      <c r="X1328" s="148"/>
      <c r="Y1328" s="148"/>
      <c r="Z1328" s="148"/>
      <c r="AA1328" s="148"/>
      <c r="AB1328" s="148"/>
      <c r="AC1328" s="148"/>
    </row>
    <row r="1329" spans="1:29">
      <c r="A1329" s="149"/>
      <c r="B1329" s="147"/>
      <c r="C1329" s="147"/>
      <c r="D1329" s="147"/>
      <c r="E1329" s="147"/>
      <c r="F1329" s="147"/>
      <c r="G1329" s="147"/>
      <c r="H1329" s="147"/>
      <c r="I1329" s="147"/>
      <c r="J1329" s="147"/>
      <c r="K1329" s="147"/>
      <c r="L1329" s="147"/>
      <c r="M1329" s="147"/>
      <c r="N1329" s="147"/>
      <c r="O1329" s="147"/>
      <c r="P1329" s="147"/>
      <c r="Q1329" s="147"/>
      <c r="R1329" s="148"/>
      <c r="S1329" s="148"/>
      <c r="T1329" s="148"/>
      <c r="U1329" s="148"/>
      <c r="V1329" s="148"/>
      <c r="W1329" s="148"/>
      <c r="X1329" s="148"/>
      <c r="Y1329" s="148"/>
      <c r="Z1329" s="148"/>
      <c r="AA1329" s="148"/>
      <c r="AB1329" s="148"/>
      <c r="AC1329" s="148"/>
    </row>
    <row r="1330" spans="1:29">
      <c r="A1330" s="149"/>
      <c r="B1330" s="147"/>
      <c r="C1330" s="147"/>
      <c r="D1330" s="147"/>
      <c r="E1330" s="147"/>
      <c r="F1330" s="147"/>
      <c r="G1330" s="147"/>
      <c r="H1330" s="147"/>
      <c r="I1330" s="147"/>
      <c r="J1330" s="147"/>
      <c r="K1330" s="147"/>
      <c r="L1330" s="147"/>
      <c r="M1330" s="147"/>
      <c r="N1330" s="147"/>
      <c r="O1330" s="147"/>
      <c r="P1330" s="147"/>
      <c r="Q1330" s="147"/>
      <c r="R1330" s="148"/>
      <c r="S1330" s="148"/>
      <c r="T1330" s="148"/>
      <c r="U1330" s="148"/>
      <c r="V1330" s="148"/>
      <c r="W1330" s="148"/>
      <c r="X1330" s="148"/>
      <c r="Y1330" s="148"/>
      <c r="Z1330" s="148"/>
      <c r="AA1330" s="148"/>
      <c r="AB1330" s="148"/>
      <c r="AC1330" s="148"/>
    </row>
    <row r="1331" spans="1:29">
      <c r="A1331" s="149"/>
      <c r="B1331" s="147"/>
      <c r="C1331" s="147"/>
      <c r="D1331" s="147"/>
      <c r="E1331" s="147"/>
      <c r="F1331" s="147"/>
      <c r="G1331" s="147"/>
      <c r="H1331" s="147"/>
      <c r="I1331" s="147"/>
      <c r="J1331" s="147"/>
      <c r="K1331" s="147"/>
      <c r="L1331" s="147"/>
      <c r="M1331" s="147"/>
      <c r="N1331" s="147"/>
      <c r="O1331" s="147"/>
      <c r="P1331" s="147"/>
      <c r="Q1331" s="147"/>
      <c r="R1331" s="148"/>
      <c r="S1331" s="148"/>
      <c r="T1331" s="148"/>
      <c r="U1331" s="148"/>
      <c r="V1331" s="148"/>
      <c r="W1331" s="148"/>
      <c r="X1331" s="148"/>
      <c r="Y1331" s="148"/>
      <c r="Z1331" s="148"/>
      <c r="AA1331" s="148"/>
      <c r="AB1331" s="148"/>
      <c r="AC1331" s="148"/>
    </row>
    <row r="1332" spans="1:29">
      <c r="A1332" s="149"/>
      <c r="B1332" s="147"/>
      <c r="C1332" s="147"/>
      <c r="D1332" s="147"/>
      <c r="E1332" s="147"/>
      <c r="F1332" s="147"/>
      <c r="G1332" s="147"/>
      <c r="H1332" s="147"/>
      <c r="I1332" s="147"/>
      <c r="J1332" s="147"/>
      <c r="K1332" s="147"/>
      <c r="L1332" s="147"/>
      <c r="M1332" s="147"/>
      <c r="N1332" s="147"/>
      <c r="O1332" s="147"/>
      <c r="P1332" s="147"/>
      <c r="Q1332" s="147"/>
      <c r="R1332" s="148"/>
      <c r="S1332" s="148"/>
      <c r="T1332" s="148"/>
      <c r="U1332" s="148"/>
      <c r="V1332" s="148"/>
      <c r="W1332" s="148"/>
      <c r="X1332" s="148"/>
      <c r="Y1332" s="148"/>
      <c r="Z1332" s="148"/>
      <c r="AA1332" s="148"/>
      <c r="AB1332" s="148"/>
      <c r="AC1332" s="148"/>
    </row>
    <row r="1333" spans="1:29">
      <c r="A1333" s="149"/>
      <c r="B1333" s="147"/>
      <c r="C1333" s="147"/>
      <c r="D1333" s="147"/>
      <c r="E1333" s="147"/>
      <c r="F1333" s="147"/>
      <c r="G1333" s="147"/>
      <c r="H1333" s="147"/>
      <c r="I1333" s="147"/>
      <c r="J1333" s="147"/>
      <c r="K1333" s="147"/>
      <c r="L1333" s="147"/>
      <c r="M1333" s="147"/>
      <c r="N1333" s="147"/>
      <c r="O1333" s="147"/>
      <c r="P1333" s="147"/>
      <c r="Q1333" s="147"/>
      <c r="R1333" s="148"/>
      <c r="S1333" s="148"/>
      <c r="T1333" s="148"/>
      <c r="U1333" s="148"/>
      <c r="V1333" s="148"/>
      <c r="W1333" s="148"/>
      <c r="X1333" s="148"/>
      <c r="Y1333" s="148"/>
      <c r="Z1333" s="148"/>
      <c r="AA1333" s="148"/>
      <c r="AB1333" s="148"/>
      <c r="AC1333" s="148"/>
    </row>
    <row r="1334" spans="1:29">
      <c r="A1334" s="149"/>
      <c r="B1334" s="147"/>
      <c r="C1334" s="147"/>
      <c r="D1334" s="147"/>
      <c r="E1334" s="147"/>
      <c r="F1334" s="147"/>
      <c r="G1334" s="147"/>
      <c r="H1334" s="147"/>
      <c r="I1334" s="147"/>
      <c r="J1334" s="147"/>
      <c r="K1334" s="147"/>
      <c r="L1334" s="147"/>
      <c r="M1334" s="147"/>
      <c r="N1334" s="147"/>
      <c r="O1334" s="147"/>
      <c r="P1334" s="147"/>
      <c r="Q1334" s="147"/>
      <c r="R1334" s="148"/>
      <c r="S1334" s="148"/>
      <c r="T1334" s="148"/>
      <c r="U1334" s="148"/>
      <c r="V1334" s="148"/>
      <c r="W1334" s="148"/>
      <c r="X1334" s="148"/>
      <c r="Y1334" s="148"/>
      <c r="Z1334" s="148"/>
      <c r="AA1334" s="148"/>
      <c r="AB1334" s="148"/>
      <c r="AC1334" s="148"/>
    </row>
    <row r="1335" spans="1:29">
      <c r="A1335" s="149"/>
      <c r="B1335" s="147"/>
      <c r="C1335" s="147"/>
      <c r="D1335" s="147"/>
      <c r="E1335" s="147"/>
      <c r="F1335" s="147"/>
      <c r="G1335" s="147"/>
      <c r="H1335" s="147"/>
      <c r="I1335" s="147"/>
      <c r="J1335" s="147"/>
      <c r="K1335" s="147"/>
      <c r="L1335" s="147"/>
      <c r="M1335" s="147"/>
      <c r="N1335" s="147"/>
      <c r="O1335" s="147"/>
      <c r="P1335" s="147"/>
      <c r="Q1335" s="147"/>
      <c r="R1335" s="148"/>
      <c r="S1335" s="148"/>
      <c r="T1335" s="148"/>
      <c r="U1335" s="148"/>
      <c r="V1335" s="148"/>
      <c r="W1335" s="148"/>
      <c r="X1335" s="148"/>
      <c r="Y1335" s="148"/>
      <c r="Z1335" s="148"/>
      <c r="AA1335" s="148"/>
      <c r="AB1335" s="148"/>
      <c r="AC1335" s="148"/>
    </row>
    <row r="1336" spans="1:29">
      <c r="A1336" s="149"/>
      <c r="B1336" s="147"/>
      <c r="C1336" s="147"/>
      <c r="D1336" s="147"/>
      <c r="E1336" s="147"/>
      <c r="F1336" s="147"/>
      <c r="G1336" s="147"/>
      <c r="H1336" s="147"/>
      <c r="I1336" s="147"/>
      <c r="J1336" s="147"/>
      <c r="K1336" s="147"/>
      <c r="L1336" s="147"/>
      <c r="M1336" s="147"/>
      <c r="N1336" s="147"/>
      <c r="O1336" s="147"/>
      <c r="P1336" s="147"/>
      <c r="Q1336" s="147"/>
      <c r="R1336" s="148"/>
      <c r="S1336" s="148"/>
      <c r="T1336" s="148"/>
      <c r="U1336" s="148"/>
      <c r="V1336" s="148"/>
      <c r="W1336" s="148"/>
      <c r="X1336" s="148"/>
      <c r="Y1336" s="148"/>
      <c r="Z1336" s="148"/>
      <c r="AA1336" s="148"/>
      <c r="AB1336" s="148"/>
      <c r="AC1336" s="148"/>
    </row>
    <row r="1337" spans="1:29">
      <c r="A1337" s="149"/>
      <c r="B1337" s="147"/>
      <c r="C1337" s="147"/>
      <c r="D1337" s="147"/>
      <c r="E1337" s="147"/>
      <c r="F1337" s="147"/>
      <c r="G1337" s="147"/>
      <c r="H1337" s="147"/>
      <c r="I1337" s="147"/>
      <c r="J1337" s="147"/>
      <c r="K1337" s="147"/>
      <c r="L1337" s="147"/>
      <c r="M1337" s="147"/>
      <c r="N1337" s="147"/>
      <c r="O1337" s="147"/>
      <c r="P1337" s="147"/>
      <c r="Q1337" s="147"/>
      <c r="R1337" s="148"/>
      <c r="S1337" s="148"/>
      <c r="T1337" s="148"/>
      <c r="U1337" s="148"/>
      <c r="V1337" s="148"/>
      <c r="W1337" s="148"/>
      <c r="X1337" s="148"/>
      <c r="Y1337" s="148"/>
      <c r="Z1337" s="148"/>
      <c r="AA1337" s="148"/>
      <c r="AB1337" s="148"/>
      <c r="AC1337" s="148"/>
    </row>
    <row r="1338" spans="1:29">
      <c r="A1338" s="149"/>
      <c r="B1338" s="147"/>
      <c r="C1338" s="147"/>
      <c r="D1338" s="147"/>
      <c r="E1338" s="147"/>
      <c r="F1338" s="147"/>
      <c r="G1338" s="147"/>
      <c r="H1338" s="147"/>
      <c r="I1338" s="147"/>
      <c r="J1338" s="147"/>
      <c r="K1338" s="147"/>
      <c r="L1338" s="147"/>
      <c r="M1338" s="147"/>
      <c r="N1338" s="147"/>
      <c r="O1338" s="147"/>
      <c r="P1338" s="147"/>
      <c r="Q1338" s="147"/>
      <c r="R1338" s="148"/>
      <c r="S1338" s="148"/>
      <c r="T1338" s="148"/>
      <c r="U1338" s="148"/>
      <c r="V1338" s="148"/>
      <c r="W1338" s="148"/>
      <c r="X1338" s="148"/>
      <c r="Y1338" s="148"/>
      <c r="Z1338" s="148"/>
      <c r="AA1338" s="148"/>
      <c r="AB1338" s="148"/>
      <c r="AC1338" s="148"/>
    </row>
    <row r="1339" spans="1:29">
      <c r="A1339" s="149"/>
      <c r="B1339" s="147"/>
      <c r="C1339" s="147"/>
      <c r="D1339" s="147"/>
      <c r="E1339" s="147"/>
      <c r="F1339" s="147"/>
      <c r="G1339" s="147"/>
      <c r="H1339" s="147"/>
      <c r="I1339" s="147"/>
      <c r="J1339" s="147"/>
      <c r="K1339" s="147"/>
      <c r="L1339" s="147"/>
      <c r="M1339" s="147"/>
      <c r="N1339" s="147"/>
      <c r="O1339" s="147"/>
      <c r="P1339" s="147"/>
      <c r="Q1339" s="147"/>
      <c r="R1339" s="148"/>
      <c r="S1339" s="148"/>
      <c r="T1339" s="148"/>
      <c r="U1339" s="148"/>
      <c r="V1339" s="148"/>
      <c r="W1339" s="148"/>
      <c r="X1339" s="148"/>
      <c r="Y1339" s="148"/>
      <c r="Z1339" s="148"/>
      <c r="AA1339" s="148"/>
      <c r="AB1339" s="148"/>
      <c r="AC1339" s="148"/>
    </row>
    <row r="1340" spans="1:29">
      <c r="A1340" s="149"/>
      <c r="B1340" s="147"/>
      <c r="C1340" s="147"/>
      <c r="D1340" s="147"/>
      <c r="E1340" s="147"/>
      <c r="F1340" s="147"/>
      <c r="G1340" s="147"/>
      <c r="H1340" s="147"/>
      <c r="I1340" s="147"/>
      <c r="J1340" s="147"/>
      <c r="K1340" s="147"/>
      <c r="L1340" s="147"/>
      <c r="M1340" s="147"/>
      <c r="N1340" s="147"/>
      <c r="O1340" s="147"/>
      <c r="P1340" s="147"/>
      <c r="Q1340" s="147"/>
      <c r="R1340" s="148"/>
      <c r="S1340" s="148"/>
      <c r="T1340" s="148"/>
      <c r="U1340" s="148"/>
      <c r="V1340" s="148"/>
      <c r="W1340" s="148"/>
      <c r="X1340" s="148"/>
      <c r="Y1340" s="148"/>
      <c r="Z1340" s="148"/>
      <c r="AA1340" s="148"/>
      <c r="AB1340" s="148"/>
      <c r="AC1340" s="148"/>
    </row>
    <row r="1341" spans="1:29">
      <c r="A1341" s="149"/>
      <c r="B1341" s="147"/>
      <c r="C1341" s="147"/>
      <c r="D1341" s="147"/>
      <c r="E1341" s="147"/>
      <c r="F1341" s="147"/>
      <c r="G1341" s="147"/>
      <c r="H1341" s="147"/>
      <c r="I1341" s="147"/>
      <c r="J1341" s="147"/>
      <c r="K1341" s="147"/>
      <c r="L1341" s="147"/>
      <c r="M1341" s="147"/>
      <c r="N1341" s="147"/>
      <c r="O1341" s="147"/>
      <c r="P1341" s="147"/>
      <c r="Q1341" s="147"/>
      <c r="R1341" s="148"/>
      <c r="S1341" s="148"/>
      <c r="T1341" s="148"/>
      <c r="U1341" s="148"/>
      <c r="V1341" s="148"/>
      <c r="W1341" s="148"/>
      <c r="X1341" s="148"/>
      <c r="Y1341" s="148"/>
      <c r="Z1341" s="148"/>
      <c r="AA1341" s="148"/>
      <c r="AB1341" s="148"/>
      <c r="AC1341" s="148"/>
    </row>
    <row r="1342" spans="1:29">
      <c r="A1342" s="149"/>
      <c r="B1342" s="147"/>
      <c r="C1342" s="147"/>
      <c r="D1342" s="147"/>
      <c r="E1342" s="147"/>
      <c r="F1342" s="147"/>
      <c r="G1342" s="147"/>
      <c r="H1342" s="147"/>
      <c r="I1342" s="147"/>
      <c r="J1342" s="147"/>
      <c r="K1342" s="147"/>
      <c r="L1342" s="147"/>
      <c r="M1342" s="147"/>
      <c r="N1342" s="147"/>
      <c r="O1342" s="147"/>
      <c r="P1342" s="147"/>
      <c r="Q1342" s="147"/>
      <c r="R1342" s="148"/>
      <c r="S1342" s="148"/>
      <c r="T1342" s="148"/>
      <c r="U1342" s="148"/>
      <c r="V1342" s="148"/>
      <c r="W1342" s="148"/>
      <c r="X1342" s="148"/>
      <c r="Y1342" s="148"/>
      <c r="Z1342" s="148"/>
      <c r="AA1342" s="148"/>
      <c r="AB1342" s="148"/>
      <c r="AC1342" s="148"/>
    </row>
    <row r="1343" spans="1:29">
      <c r="A1343" s="149"/>
      <c r="B1343" s="147"/>
      <c r="C1343" s="147"/>
      <c r="D1343" s="147"/>
      <c r="E1343" s="147"/>
      <c r="F1343" s="147"/>
      <c r="G1343" s="147"/>
      <c r="H1343" s="147"/>
      <c r="I1343" s="147"/>
      <c r="J1343" s="147"/>
      <c r="K1343" s="147"/>
      <c r="L1343" s="147"/>
      <c r="M1343" s="147"/>
      <c r="N1343" s="147"/>
      <c r="O1343" s="147"/>
      <c r="P1343" s="147"/>
      <c r="Q1343" s="147"/>
      <c r="R1343" s="148"/>
      <c r="S1343" s="148"/>
      <c r="T1343" s="148"/>
      <c r="U1343" s="148"/>
      <c r="V1343" s="148"/>
      <c r="W1343" s="148"/>
      <c r="X1343" s="148"/>
      <c r="Y1343" s="148"/>
      <c r="Z1343" s="148"/>
      <c r="AA1343" s="148"/>
      <c r="AB1343" s="148"/>
      <c r="AC1343" s="148"/>
    </row>
    <row r="1344" spans="1:29">
      <c r="A1344" s="149"/>
      <c r="B1344" s="147"/>
      <c r="C1344" s="147"/>
      <c r="D1344" s="147"/>
      <c r="E1344" s="147"/>
      <c r="F1344" s="147"/>
      <c r="G1344" s="147"/>
      <c r="H1344" s="147"/>
      <c r="I1344" s="147"/>
      <c r="J1344" s="147"/>
      <c r="K1344" s="147"/>
      <c r="L1344" s="147"/>
      <c r="M1344" s="147"/>
      <c r="N1344" s="147"/>
      <c r="O1344" s="147"/>
      <c r="P1344" s="147"/>
      <c r="Q1344" s="147"/>
      <c r="R1344" s="148"/>
      <c r="S1344" s="148"/>
      <c r="T1344" s="148"/>
      <c r="U1344" s="148"/>
      <c r="V1344" s="148"/>
      <c r="W1344" s="148"/>
      <c r="X1344" s="148"/>
      <c r="Y1344" s="148"/>
      <c r="Z1344" s="148"/>
      <c r="AA1344" s="148"/>
      <c r="AB1344" s="148"/>
      <c r="AC1344" s="148"/>
    </row>
    <row r="1345" spans="1:29">
      <c r="A1345" s="149"/>
      <c r="B1345" s="147"/>
      <c r="C1345" s="147"/>
      <c r="D1345" s="147"/>
      <c r="E1345" s="147"/>
      <c r="F1345" s="147"/>
      <c r="G1345" s="147"/>
      <c r="H1345" s="147"/>
      <c r="I1345" s="147"/>
      <c r="J1345" s="147"/>
      <c r="K1345" s="147"/>
      <c r="L1345" s="147"/>
      <c r="M1345" s="147"/>
      <c r="N1345" s="147"/>
      <c r="O1345" s="147"/>
      <c r="P1345" s="147"/>
      <c r="Q1345" s="147"/>
      <c r="R1345" s="148"/>
      <c r="S1345" s="148"/>
      <c r="T1345" s="148"/>
      <c r="U1345" s="148"/>
      <c r="V1345" s="148"/>
      <c r="W1345" s="148"/>
      <c r="X1345" s="148"/>
      <c r="Y1345" s="148"/>
      <c r="Z1345" s="148"/>
      <c r="AA1345" s="148"/>
      <c r="AB1345" s="148"/>
      <c r="AC1345" s="148"/>
    </row>
    <row r="1346" spans="1:29">
      <c r="A1346" s="149"/>
      <c r="B1346" s="147"/>
      <c r="C1346" s="147"/>
      <c r="D1346" s="147"/>
      <c r="E1346" s="147"/>
      <c r="F1346" s="147"/>
      <c r="G1346" s="147"/>
      <c r="H1346" s="147"/>
      <c r="I1346" s="147"/>
      <c r="J1346" s="147"/>
      <c r="K1346" s="147"/>
      <c r="L1346" s="147"/>
      <c r="M1346" s="147"/>
      <c r="N1346" s="147"/>
      <c r="O1346" s="147"/>
      <c r="P1346" s="147"/>
      <c r="Q1346" s="147"/>
      <c r="R1346" s="148"/>
      <c r="S1346" s="148"/>
      <c r="T1346" s="148"/>
      <c r="U1346" s="148"/>
      <c r="V1346" s="148"/>
      <c r="W1346" s="148"/>
      <c r="X1346" s="148"/>
      <c r="Y1346" s="148"/>
      <c r="Z1346" s="148"/>
      <c r="AA1346" s="148"/>
      <c r="AB1346" s="148"/>
      <c r="AC1346" s="148"/>
    </row>
    <row r="1347" spans="1:29">
      <c r="A1347" s="149"/>
      <c r="B1347" s="147"/>
      <c r="C1347" s="147"/>
      <c r="D1347" s="147"/>
      <c r="E1347" s="147"/>
      <c r="F1347" s="147"/>
      <c r="G1347" s="147"/>
      <c r="H1347" s="147"/>
      <c r="I1347" s="147"/>
      <c r="J1347" s="147"/>
      <c r="K1347" s="147"/>
      <c r="L1347" s="147"/>
      <c r="M1347" s="147"/>
      <c r="N1347" s="147"/>
      <c r="O1347" s="147"/>
      <c r="P1347" s="147"/>
      <c r="Q1347" s="147"/>
      <c r="R1347" s="148"/>
      <c r="S1347" s="148"/>
      <c r="T1347" s="148"/>
      <c r="U1347" s="148"/>
      <c r="V1347" s="148"/>
      <c r="W1347" s="148"/>
      <c r="X1347" s="148"/>
      <c r="Y1347" s="148"/>
      <c r="Z1347" s="148"/>
      <c r="AA1347" s="148"/>
      <c r="AB1347" s="148"/>
      <c r="AC1347" s="148"/>
    </row>
    <row r="1348" spans="1:29">
      <c r="A1348" s="149"/>
      <c r="B1348" s="147"/>
      <c r="C1348" s="147"/>
      <c r="D1348" s="147"/>
      <c r="E1348" s="147"/>
      <c r="F1348" s="147"/>
      <c r="G1348" s="147"/>
      <c r="H1348" s="147"/>
      <c r="I1348" s="147"/>
      <c r="J1348" s="147"/>
      <c r="K1348" s="147"/>
      <c r="L1348" s="147"/>
      <c r="M1348" s="147"/>
      <c r="N1348" s="147"/>
      <c r="O1348" s="147"/>
      <c r="P1348" s="147"/>
      <c r="Q1348" s="147"/>
      <c r="R1348" s="148"/>
      <c r="S1348" s="148"/>
      <c r="T1348" s="148"/>
      <c r="U1348" s="148"/>
      <c r="V1348" s="148"/>
      <c r="W1348" s="148"/>
      <c r="X1348" s="148"/>
      <c r="Y1348" s="148"/>
      <c r="Z1348" s="148"/>
      <c r="AA1348" s="148"/>
      <c r="AB1348" s="148"/>
      <c r="AC1348" s="148"/>
    </row>
    <row r="1349" spans="1:29">
      <c r="A1349" s="149"/>
      <c r="B1349" s="147"/>
      <c r="C1349" s="147"/>
      <c r="D1349" s="147"/>
      <c r="E1349" s="147"/>
      <c r="F1349" s="147"/>
      <c r="G1349" s="147"/>
      <c r="H1349" s="147"/>
      <c r="I1349" s="147"/>
      <c r="J1349" s="147"/>
      <c r="K1349" s="147"/>
      <c r="L1349" s="147"/>
      <c r="M1349" s="147"/>
      <c r="N1349" s="147"/>
      <c r="O1349" s="147"/>
      <c r="P1349" s="147"/>
      <c r="Q1349" s="147"/>
      <c r="R1349" s="148"/>
      <c r="S1349" s="148"/>
      <c r="T1349" s="148"/>
      <c r="U1349" s="148"/>
      <c r="V1349" s="148"/>
      <c r="W1349" s="148"/>
      <c r="X1349" s="148"/>
      <c r="Y1349" s="148"/>
      <c r="Z1349" s="148"/>
      <c r="AA1349" s="148"/>
      <c r="AB1349" s="148"/>
      <c r="AC1349" s="148"/>
    </row>
    <row r="1350" spans="1:29">
      <c r="A1350" s="149"/>
      <c r="B1350" s="147"/>
      <c r="C1350" s="147"/>
      <c r="D1350" s="147"/>
      <c r="E1350" s="147"/>
      <c r="F1350" s="147"/>
      <c r="G1350" s="147"/>
      <c r="H1350" s="147"/>
      <c r="I1350" s="147"/>
      <c r="J1350" s="147"/>
      <c r="K1350" s="147"/>
      <c r="L1350" s="147"/>
      <c r="M1350" s="147"/>
      <c r="N1350" s="147"/>
      <c r="O1350" s="147"/>
      <c r="P1350" s="147"/>
      <c r="Q1350" s="147"/>
      <c r="R1350" s="148"/>
      <c r="S1350" s="148"/>
      <c r="T1350" s="148"/>
      <c r="U1350" s="148"/>
      <c r="V1350" s="148"/>
      <c r="W1350" s="148"/>
      <c r="X1350" s="148"/>
      <c r="Y1350" s="148"/>
      <c r="Z1350" s="148"/>
      <c r="AA1350" s="148"/>
      <c r="AB1350" s="148"/>
      <c r="AC1350" s="148"/>
    </row>
    <row r="1351" spans="1:29">
      <c r="A1351" s="149"/>
      <c r="B1351" s="147"/>
      <c r="C1351" s="147"/>
      <c r="D1351" s="147"/>
      <c r="E1351" s="147"/>
      <c r="F1351" s="147"/>
      <c r="G1351" s="147"/>
      <c r="H1351" s="147"/>
      <c r="I1351" s="147"/>
      <c r="J1351" s="147"/>
      <c r="K1351" s="147"/>
      <c r="L1351" s="147"/>
      <c r="M1351" s="147"/>
      <c r="N1351" s="147"/>
      <c r="O1351" s="147"/>
      <c r="P1351" s="147"/>
      <c r="Q1351" s="147"/>
      <c r="R1351" s="148"/>
      <c r="S1351" s="148"/>
      <c r="T1351" s="148"/>
      <c r="U1351" s="148"/>
      <c r="V1351" s="148"/>
      <c r="W1351" s="148"/>
      <c r="X1351" s="148"/>
      <c r="Y1351" s="148"/>
      <c r="Z1351" s="148"/>
      <c r="AA1351" s="148"/>
      <c r="AB1351" s="148"/>
      <c r="AC1351" s="148"/>
    </row>
    <row r="1352" spans="1:29">
      <c r="A1352" s="149"/>
      <c r="B1352" s="147"/>
      <c r="C1352" s="147"/>
      <c r="D1352" s="147"/>
      <c r="E1352" s="147"/>
      <c r="F1352" s="147"/>
      <c r="G1352" s="147"/>
      <c r="H1352" s="147"/>
      <c r="I1352" s="147"/>
      <c r="J1352" s="147"/>
      <c r="K1352" s="147"/>
      <c r="L1352" s="147"/>
      <c r="M1352" s="147"/>
      <c r="N1352" s="147"/>
      <c r="O1352" s="147"/>
      <c r="P1352" s="147"/>
      <c r="Q1352" s="147"/>
      <c r="R1352" s="148"/>
      <c r="S1352" s="148"/>
      <c r="T1352" s="148"/>
      <c r="U1352" s="148"/>
      <c r="V1352" s="148"/>
      <c r="W1352" s="148"/>
      <c r="X1352" s="148"/>
      <c r="Y1352" s="148"/>
      <c r="Z1352" s="148"/>
      <c r="AA1352" s="148"/>
      <c r="AB1352" s="148"/>
      <c r="AC1352" s="148"/>
    </row>
    <row r="1353" spans="1:29">
      <c r="A1353" s="149"/>
      <c r="B1353" s="147"/>
      <c r="C1353" s="147"/>
      <c r="D1353" s="147"/>
      <c r="E1353" s="147"/>
      <c r="F1353" s="147"/>
      <c r="G1353" s="147"/>
      <c r="H1353" s="147"/>
      <c r="I1353" s="147"/>
      <c r="J1353" s="147"/>
      <c r="K1353" s="147"/>
      <c r="L1353" s="147"/>
      <c r="M1353" s="147"/>
      <c r="N1353" s="147"/>
      <c r="O1353" s="147"/>
      <c r="P1353" s="147"/>
      <c r="Q1353" s="147"/>
      <c r="R1353" s="148"/>
      <c r="S1353" s="148"/>
      <c r="T1353" s="148"/>
      <c r="U1353" s="148"/>
      <c r="V1353" s="148"/>
      <c r="W1353" s="148"/>
      <c r="X1353" s="148"/>
      <c r="Y1353" s="148"/>
      <c r="Z1353" s="148"/>
      <c r="AA1353" s="148"/>
      <c r="AB1353" s="148"/>
      <c r="AC1353" s="148"/>
    </row>
    <row r="1354" spans="1:29">
      <c r="A1354" s="149"/>
      <c r="B1354" s="147"/>
      <c r="C1354" s="147"/>
      <c r="D1354" s="147"/>
      <c r="E1354" s="147"/>
      <c r="F1354" s="147"/>
      <c r="G1354" s="147"/>
      <c r="H1354" s="147"/>
      <c r="I1354" s="147"/>
      <c r="J1354" s="147"/>
      <c r="K1354" s="147"/>
      <c r="L1354" s="147"/>
      <c r="M1354" s="147"/>
      <c r="N1354" s="147"/>
      <c r="O1354" s="147"/>
      <c r="P1354" s="147"/>
      <c r="Q1354" s="147"/>
      <c r="R1354" s="148"/>
      <c r="S1354" s="148"/>
      <c r="T1354" s="148"/>
      <c r="U1354" s="148"/>
      <c r="V1354" s="148"/>
      <c r="W1354" s="148"/>
      <c r="X1354" s="148"/>
      <c r="Y1354" s="148"/>
      <c r="Z1354" s="148"/>
      <c r="AA1354" s="148"/>
      <c r="AB1354" s="148"/>
      <c r="AC1354" s="148"/>
    </row>
    <row r="1355" spans="1:29">
      <c r="A1355" s="149"/>
      <c r="B1355" s="147"/>
      <c r="C1355" s="147"/>
      <c r="D1355" s="147"/>
      <c r="E1355" s="147"/>
      <c r="F1355" s="147"/>
      <c r="G1355" s="147"/>
      <c r="H1355" s="147"/>
      <c r="I1355" s="147"/>
      <c r="J1355" s="147"/>
      <c r="K1355" s="147"/>
      <c r="L1355" s="147"/>
      <c r="M1355" s="147"/>
      <c r="N1355" s="147"/>
      <c r="O1355" s="147"/>
      <c r="P1355" s="147"/>
      <c r="Q1355" s="147"/>
      <c r="R1355" s="148"/>
      <c r="S1355" s="148"/>
      <c r="T1355" s="148"/>
      <c r="U1355" s="148"/>
      <c r="V1355" s="148"/>
      <c r="W1355" s="148"/>
      <c r="X1355" s="148"/>
      <c r="Y1355" s="148"/>
      <c r="Z1355" s="148"/>
      <c r="AA1355" s="148"/>
      <c r="AB1355" s="148"/>
      <c r="AC1355" s="148"/>
    </row>
    <row r="1356" spans="1:29">
      <c r="A1356" s="149"/>
      <c r="B1356" s="147"/>
      <c r="C1356" s="147"/>
      <c r="D1356" s="147"/>
      <c r="E1356" s="147"/>
      <c r="F1356" s="147"/>
      <c r="G1356" s="147"/>
      <c r="H1356" s="147"/>
      <c r="I1356" s="147"/>
      <c r="J1356" s="147"/>
      <c r="K1356" s="147"/>
      <c r="L1356" s="147"/>
      <c r="M1356" s="147"/>
      <c r="N1356" s="147"/>
      <c r="O1356" s="147"/>
      <c r="P1356" s="147"/>
      <c r="Q1356" s="147"/>
      <c r="R1356" s="148"/>
      <c r="S1356" s="148"/>
      <c r="T1356" s="148"/>
      <c r="U1356" s="148"/>
      <c r="V1356" s="148"/>
      <c r="W1356" s="148"/>
      <c r="X1356" s="148"/>
      <c r="Y1356" s="148"/>
      <c r="Z1356" s="148"/>
      <c r="AA1356" s="148"/>
      <c r="AB1356" s="148"/>
      <c r="AC1356" s="148"/>
    </row>
    <row r="1357" spans="1:29">
      <c r="A1357" s="149"/>
      <c r="B1357" s="147"/>
      <c r="C1357" s="147"/>
      <c r="D1357" s="147"/>
      <c r="E1357" s="147"/>
      <c r="F1357" s="147"/>
      <c r="G1357" s="147"/>
      <c r="H1357" s="147"/>
      <c r="I1357" s="147"/>
      <c r="J1357" s="147"/>
      <c r="K1357" s="147"/>
      <c r="L1357" s="147"/>
      <c r="M1357" s="147"/>
      <c r="N1357" s="147"/>
      <c r="O1357" s="147"/>
      <c r="P1357" s="147"/>
      <c r="Q1357" s="147"/>
      <c r="R1357" s="148"/>
      <c r="S1357" s="148"/>
      <c r="T1357" s="148"/>
      <c r="U1357" s="148"/>
      <c r="V1357" s="148"/>
      <c r="W1357" s="148"/>
      <c r="X1357" s="148"/>
      <c r="Y1357" s="148"/>
      <c r="Z1357" s="148"/>
      <c r="AA1357" s="148"/>
      <c r="AB1357" s="148"/>
      <c r="AC1357" s="148"/>
    </row>
    <row r="1358" spans="1:29">
      <c r="A1358" s="149"/>
      <c r="B1358" s="147"/>
      <c r="C1358" s="147"/>
      <c r="D1358" s="147"/>
      <c r="E1358" s="147"/>
      <c r="F1358" s="147"/>
      <c r="G1358" s="147"/>
      <c r="H1358" s="147"/>
      <c r="I1358" s="147"/>
      <c r="J1358" s="147"/>
      <c r="K1358" s="147"/>
      <c r="L1358" s="147"/>
      <c r="M1358" s="147"/>
      <c r="N1358" s="147"/>
      <c r="O1358" s="147"/>
      <c r="P1358" s="147"/>
      <c r="Q1358" s="147"/>
      <c r="R1358" s="148"/>
      <c r="S1358" s="148"/>
      <c r="T1358" s="148"/>
      <c r="U1358" s="148"/>
      <c r="V1358" s="148"/>
      <c r="W1358" s="148"/>
      <c r="X1358" s="148"/>
      <c r="Y1358" s="148"/>
      <c r="Z1358" s="148"/>
      <c r="AA1358" s="148"/>
      <c r="AB1358" s="148"/>
      <c r="AC1358" s="148"/>
    </row>
    <row r="1359" spans="1:29">
      <c r="A1359" s="149"/>
      <c r="B1359" s="147"/>
      <c r="C1359" s="147"/>
      <c r="D1359" s="147"/>
      <c r="E1359" s="147"/>
      <c r="F1359" s="147"/>
      <c r="G1359" s="147"/>
      <c r="H1359" s="147"/>
      <c r="I1359" s="147"/>
      <c r="J1359" s="147"/>
      <c r="K1359" s="147"/>
      <c r="L1359" s="147"/>
      <c r="M1359" s="147"/>
      <c r="N1359" s="147"/>
      <c r="O1359" s="147"/>
      <c r="P1359" s="147"/>
      <c r="Q1359" s="147"/>
      <c r="R1359" s="148"/>
      <c r="S1359" s="148"/>
      <c r="T1359" s="148"/>
      <c r="U1359" s="148"/>
      <c r="V1359" s="148"/>
      <c r="W1359" s="148"/>
      <c r="X1359" s="148"/>
      <c r="Y1359" s="148"/>
      <c r="Z1359" s="148"/>
      <c r="AA1359" s="148"/>
      <c r="AB1359" s="148"/>
      <c r="AC1359" s="148"/>
    </row>
    <row r="1360" spans="1:29">
      <c r="A1360" s="149"/>
      <c r="B1360" s="147"/>
      <c r="C1360" s="147"/>
      <c r="D1360" s="147"/>
      <c r="E1360" s="147"/>
      <c r="F1360" s="147"/>
      <c r="G1360" s="147"/>
      <c r="H1360" s="147"/>
      <c r="I1360" s="147"/>
      <c r="J1360" s="147"/>
      <c r="K1360" s="147"/>
      <c r="L1360" s="147"/>
      <c r="M1360" s="147"/>
      <c r="N1360" s="147"/>
      <c r="O1360" s="147"/>
      <c r="P1360" s="147"/>
      <c r="Q1360" s="147"/>
      <c r="R1360" s="148"/>
      <c r="S1360" s="148"/>
      <c r="T1360" s="148"/>
      <c r="U1360" s="148"/>
      <c r="V1360" s="148"/>
      <c r="W1360" s="148"/>
      <c r="X1360" s="148"/>
      <c r="Y1360" s="148"/>
      <c r="Z1360" s="148"/>
      <c r="AA1360" s="148"/>
      <c r="AB1360" s="148"/>
      <c r="AC1360" s="148"/>
    </row>
    <row r="1361" spans="1:29">
      <c r="A1361" s="149"/>
      <c r="B1361" s="147"/>
      <c r="C1361" s="147"/>
      <c r="D1361" s="147"/>
      <c r="E1361" s="147"/>
      <c r="F1361" s="147"/>
      <c r="G1361" s="147"/>
      <c r="H1361" s="147"/>
      <c r="I1361" s="147"/>
      <c r="J1361" s="147"/>
      <c r="K1361" s="147"/>
      <c r="L1361" s="147"/>
      <c r="M1361" s="147"/>
      <c r="N1361" s="147"/>
      <c r="O1361" s="147"/>
      <c r="P1361" s="147"/>
      <c r="Q1361" s="147"/>
      <c r="R1361" s="148"/>
      <c r="S1361" s="148"/>
      <c r="T1361" s="148"/>
      <c r="U1361" s="148"/>
      <c r="V1361" s="148"/>
      <c r="W1361" s="148"/>
      <c r="X1361" s="148"/>
      <c r="Y1361" s="148"/>
      <c r="Z1361" s="148"/>
      <c r="AA1361" s="148"/>
      <c r="AB1361" s="148"/>
      <c r="AC1361" s="148"/>
    </row>
    <row r="1362" spans="1:29">
      <c r="A1362" s="149"/>
      <c r="B1362" s="147"/>
      <c r="C1362" s="147"/>
      <c r="D1362" s="147"/>
      <c r="E1362" s="147"/>
      <c r="F1362" s="147"/>
      <c r="G1362" s="147"/>
      <c r="H1362" s="147"/>
      <c r="I1362" s="147"/>
      <c r="J1362" s="147"/>
      <c r="K1362" s="147"/>
      <c r="L1362" s="147"/>
      <c r="M1362" s="147"/>
      <c r="N1362" s="147"/>
      <c r="O1362" s="147"/>
      <c r="P1362" s="147"/>
      <c r="Q1362" s="147"/>
      <c r="R1362" s="148"/>
      <c r="S1362" s="148"/>
      <c r="T1362" s="148"/>
      <c r="U1362" s="148"/>
      <c r="V1362" s="148"/>
      <c r="W1362" s="148"/>
      <c r="X1362" s="148"/>
      <c r="Y1362" s="148"/>
      <c r="Z1362" s="148"/>
      <c r="AA1362" s="148"/>
      <c r="AB1362" s="148"/>
      <c r="AC1362" s="148"/>
    </row>
    <row r="1363" spans="1:29">
      <c r="A1363" s="149"/>
      <c r="B1363" s="147"/>
      <c r="C1363" s="147"/>
      <c r="D1363" s="147"/>
      <c r="E1363" s="147"/>
      <c r="F1363" s="147"/>
      <c r="G1363" s="147"/>
      <c r="H1363" s="147"/>
      <c r="I1363" s="147"/>
      <c r="J1363" s="147"/>
      <c r="K1363" s="147"/>
      <c r="L1363" s="147"/>
      <c r="M1363" s="147"/>
      <c r="N1363" s="147"/>
      <c r="O1363" s="147"/>
      <c r="P1363" s="147"/>
      <c r="Q1363" s="147"/>
      <c r="R1363" s="148"/>
      <c r="S1363" s="148"/>
      <c r="T1363" s="148"/>
      <c r="U1363" s="148"/>
      <c r="V1363" s="148"/>
      <c r="W1363" s="148"/>
      <c r="X1363" s="148"/>
      <c r="Y1363" s="148"/>
      <c r="Z1363" s="148"/>
      <c r="AA1363" s="148"/>
      <c r="AB1363" s="148"/>
      <c r="AC1363" s="148"/>
    </row>
    <row r="1364" spans="1:29">
      <c r="A1364" s="149"/>
      <c r="B1364" s="147"/>
      <c r="C1364" s="147"/>
      <c r="D1364" s="147"/>
      <c r="E1364" s="147"/>
      <c r="F1364" s="147"/>
      <c r="G1364" s="147"/>
      <c r="H1364" s="147"/>
      <c r="I1364" s="147"/>
      <c r="J1364" s="147"/>
      <c r="K1364" s="147"/>
      <c r="L1364" s="147"/>
      <c r="M1364" s="147"/>
      <c r="N1364" s="147"/>
      <c r="O1364" s="147"/>
      <c r="P1364" s="147"/>
      <c r="Q1364" s="147"/>
      <c r="R1364" s="148"/>
      <c r="S1364" s="148"/>
      <c r="T1364" s="148"/>
      <c r="U1364" s="148"/>
      <c r="V1364" s="148"/>
      <c r="W1364" s="148"/>
      <c r="X1364" s="148"/>
      <c r="Y1364" s="148"/>
      <c r="Z1364" s="148"/>
      <c r="AA1364" s="148"/>
      <c r="AB1364" s="148"/>
      <c r="AC1364" s="148"/>
    </row>
    <row r="1365" spans="1:29">
      <c r="A1365" s="149"/>
      <c r="B1365" s="147"/>
      <c r="C1365" s="147"/>
      <c r="D1365" s="147"/>
      <c r="E1365" s="147"/>
      <c r="F1365" s="147"/>
      <c r="G1365" s="147"/>
      <c r="H1365" s="147"/>
      <c r="I1365" s="147"/>
      <c r="J1365" s="147"/>
      <c r="K1365" s="147"/>
      <c r="L1365" s="147"/>
      <c r="M1365" s="147"/>
      <c r="N1365" s="147"/>
      <c r="O1365" s="147"/>
      <c r="P1365" s="147"/>
      <c r="Q1365" s="147"/>
      <c r="R1365" s="148"/>
      <c r="S1365" s="148"/>
      <c r="T1365" s="148"/>
      <c r="U1365" s="148"/>
      <c r="V1365" s="148"/>
      <c r="W1365" s="148"/>
      <c r="X1365" s="148"/>
      <c r="Y1365" s="148"/>
      <c r="Z1365" s="148"/>
      <c r="AA1365" s="148"/>
      <c r="AB1365" s="148"/>
      <c r="AC1365" s="148"/>
    </row>
    <row r="1366" spans="1:29">
      <c r="A1366" s="149"/>
      <c r="B1366" s="147"/>
      <c r="C1366" s="147"/>
      <c r="D1366" s="147"/>
      <c r="E1366" s="147"/>
      <c r="F1366" s="147"/>
      <c r="G1366" s="147"/>
      <c r="H1366" s="147"/>
      <c r="I1366" s="147"/>
      <c r="J1366" s="147"/>
      <c r="K1366" s="147"/>
      <c r="L1366" s="147"/>
      <c r="M1366" s="147"/>
      <c r="N1366" s="147"/>
      <c r="O1366" s="147"/>
      <c r="P1366" s="147"/>
      <c r="Q1366" s="147"/>
      <c r="R1366" s="148"/>
      <c r="S1366" s="148"/>
      <c r="T1366" s="148"/>
      <c r="U1366" s="148"/>
      <c r="V1366" s="148"/>
      <c r="W1366" s="148"/>
      <c r="X1366" s="148"/>
      <c r="Y1366" s="148"/>
      <c r="Z1366" s="148"/>
      <c r="AA1366" s="148"/>
      <c r="AB1366" s="148"/>
      <c r="AC1366" s="148"/>
    </row>
    <row r="1367" spans="1:29">
      <c r="A1367" s="149"/>
      <c r="B1367" s="147"/>
      <c r="C1367" s="147"/>
      <c r="D1367" s="147"/>
      <c r="E1367" s="147"/>
      <c r="F1367" s="147"/>
      <c r="G1367" s="147"/>
      <c r="H1367" s="147"/>
      <c r="I1367" s="147"/>
      <c r="J1367" s="147"/>
      <c r="K1367" s="147"/>
      <c r="L1367" s="147"/>
      <c r="M1367" s="147"/>
      <c r="N1367" s="147"/>
      <c r="O1367" s="147"/>
      <c r="P1367" s="147"/>
      <c r="Q1367" s="147"/>
      <c r="R1367" s="148"/>
      <c r="S1367" s="148"/>
      <c r="T1367" s="148"/>
      <c r="U1367" s="148"/>
      <c r="V1367" s="148"/>
      <c r="W1367" s="148"/>
      <c r="X1367" s="148"/>
      <c r="Y1367" s="148"/>
      <c r="Z1367" s="148"/>
      <c r="AA1367" s="148"/>
      <c r="AB1367" s="148"/>
      <c r="AC1367" s="148"/>
    </row>
    <row r="1368" spans="1:29">
      <c r="A1368" s="149"/>
      <c r="B1368" s="147"/>
      <c r="C1368" s="147"/>
      <c r="D1368" s="147"/>
      <c r="E1368" s="147"/>
      <c r="F1368" s="147"/>
      <c r="G1368" s="147"/>
      <c r="H1368" s="147"/>
      <c r="I1368" s="147"/>
      <c r="J1368" s="147"/>
      <c r="K1368" s="147"/>
      <c r="L1368" s="147"/>
      <c r="M1368" s="147"/>
      <c r="N1368" s="147"/>
      <c r="O1368" s="147"/>
      <c r="P1368" s="147"/>
      <c r="Q1368" s="147"/>
      <c r="R1368" s="148"/>
      <c r="S1368" s="148"/>
      <c r="T1368" s="148"/>
      <c r="U1368" s="148"/>
      <c r="V1368" s="148"/>
      <c r="W1368" s="148"/>
      <c r="X1368" s="148"/>
      <c r="Y1368" s="148"/>
      <c r="Z1368" s="148"/>
      <c r="AA1368" s="148"/>
      <c r="AB1368" s="148"/>
      <c r="AC1368" s="148"/>
    </row>
    <row r="1369" spans="1:29">
      <c r="A1369" s="149"/>
      <c r="B1369" s="147"/>
      <c r="C1369" s="147"/>
      <c r="D1369" s="147"/>
      <c r="E1369" s="147"/>
      <c r="F1369" s="147"/>
      <c r="G1369" s="147"/>
      <c r="H1369" s="147"/>
      <c r="I1369" s="147"/>
      <c r="J1369" s="147"/>
      <c r="K1369" s="147"/>
      <c r="L1369" s="147"/>
      <c r="M1369" s="147"/>
      <c r="N1369" s="147"/>
      <c r="O1369" s="147"/>
      <c r="P1369" s="147"/>
      <c r="Q1369" s="147"/>
      <c r="R1369" s="148"/>
      <c r="S1369" s="148"/>
      <c r="T1369" s="148"/>
      <c r="U1369" s="148"/>
      <c r="V1369" s="148"/>
      <c r="W1369" s="148"/>
      <c r="X1369" s="148"/>
      <c r="Y1369" s="148"/>
      <c r="Z1369" s="148"/>
      <c r="AA1369" s="148"/>
      <c r="AB1369" s="148"/>
      <c r="AC1369" s="148"/>
    </row>
    <row r="1370" spans="1:29">
      <c r="A1370" s="149"/>
      <c r="B1370" s="147"/>
      <c r="C1370" s="147"/>
      <c r="D1370" s="147"/>
      <c r="E1370" s="147"/>
      <c r="F1370" s="147"/>
      <c r="G1370" s="147"/>
      <c r="H1370" s="147"/>
      <c r="I1370" s="147"/>
      <c r="J1370" s="147"/>
      <c r="K1370" s="147"/>
      <c r="L1370" s="147"/>
      <c r="M1370" s="147"/>
      <c r="N1370" s="147"/>
      <c r="O1370" s="147"/>
      <c r="P1370" s="147"/>
      <c r="Q1370" s="147"/>
      <c r="R1370" s="148"/>
      <c r="S1370" s="148"/>
      <c r="T1370" s="148"/>
      <c r="U1370" s="148"/>
      <c r="V1370" s="148"/>
      <c r="W1370" s="148"/>
      <c r="X1370" s="148"/>
      <c r="Y1370" s="148"/>
      <c r="Z1370" s="148"/>
      <c r="AA1370" s="148"/>
      <c r="AB1370" s="148"/>
      <c r="AC1370" s="148"/>
    </row>
    <row r="1371" spans="1:29">
      <c r="A1371" s="149"/>
      <c r="B1371" s="147"/>
      <c r="C1371" s="147"/>
      <c r="D1371" s="147"/>
      <c r="E1371" s="147"/>
      <c r="F1371" s="147"/>
      <c r="G1371" s="147"/>
      <c r="H1371" s="147"/>
      <c r="I1371" s="147"/>
      <c r="J1371" s="147"/>
      <c r="K1371" s="147"/>
      <c r="L1371" s="147"/>
      <c r="M1371" s="147"/>
      <c r="N1371" s="147"/>
      <c r="O1371" s="147"/>
      <c r="P1371" s="147"/>
      <c r="Q1371" s="147"/>
      <c r="R1371" s="148"/>
      <c r="S1371" s="148"/>
      <c r="T1371" s="148"/>
      <c r="U1371" s="148"/>
      <c r="V1371" s="148"/>
      <c r="W1371" s="148"/>
      <c r="X1371" s="148"/>
      <c r="Y1371" s="148"/>
      <c r="Z1371" s="148"/>
      <c r="AA1371" s="148"/>
      <c r="AB1371" s="148"/>
      <c r="AC1371" s="148"/>
    </row>
    <row r="1372" spans="1:29">
      <c r="A1372" s="149"/>
      <c r="B1372" s="147"/>
      <c r="C1372" s="147"/>
      <c r="D1372" s="147"/>
      <c r="E1372" s="147"/>
      <c r="F1372" s="147"/>
      <c r="G1372" s="147"/>
      <c r="H1372" s="147"/>
      <c r="I1372" s="147"/>
      <c r="J1372" s="147"/>
      <c r="K1372" s="147"/>
      <c r="L1372" s="147"/>
      <c r="M1372" s="147"/>
      <c r="N1372" s="147"/>
      <c r="O1372" s="147"/>
      <c r="P1372" s="147"/>
      <c r="Q1372" s="147"/>
      <c r="R1372" s="148"/>
      <c r="S1372" s="148"/>
      <c r="T1372" s="148"/>
      <c r="U1372" s="148"/>
      <c r="V1372" s="148"/>
      <c r="W1372" s="148"/>
      <c r="X1372" s="148"/>
      <c r="Y1372" s="148"/>
      <c r="Z1372" s="148"/>
      <c r="AA1372" s="148"/>
      <c r="AB1372" s="148"/>
      <c r="AC1372" s="148"/>
    </row>
    <row r="1373" spans="1:29">
      <c r="A1373" s="149"/>
      <c r="B1373" s="147"/>
      <c r="C1373" s="147"/>
      <c r="D1373" s="147"/>
      <c r="E1373" s="147"/>
      <c r="F1373" s="147"/>
      <c r="G1373" s="147"/>
      <c r="H1373" s="147"/>
      <c r="I1373" s="147"/>
      <c r="J1373" s="147"/>
      <c r="K1373" s="147"/>
      <c r="L1373" s="147"/>
      <c r="M1373" s="147"/>
      <c r="N1373" s="147"/>
      <c r="O1373" s="147"/>
      <c r="P1373" s="147"/>
      <c r="Q1373" s="147"/>
      <c r="R1373" s="148"/>
      <c r="S1373" s="148"/>
      <c r="T1373" s="148"/>
      <c r="U1373" s="148"/>
      <c r="V1373" s="148"/>
      <c r="W1373" s="148"/>
      <c r="X1373" s="148"/>
      <c r="Y1373" s="148"/>
      <c r="Z1373" s="148"/>
      <c r="AA1373" s="148"/>
      <c r="AB1373" s="148"/>
      <c r="AC1373" s="148"/>
    </row>
    <row r="1374" spans="1:29">
      <c r="A1374" s="149"/>
      <c r="B1374" s="147"/>
      <c r="C1374" s="147"/>
      <c r="D1374" s="147"/>
      <c r="E1374" s="147"/>
      <c r="F1374" s="147"/>
      <c r="G1374" s="147"/>
      <c r="H1374" s="147"/>
      <c r="I1374" s="147"/>
      <c r="J1374" s="147"/>
      <c r="K1374" s="147"/>
      <c r="L1374" s="147"/>
      <c r="M1374" s="147"/>
      <c r="N1374" s="147"/>
      <c r="O1374" s="147"/>
      <c r="P1374" s="147"/>
      <c r="Q1374" s="147"/>
      <c r="R1374" s="148"/>
      <c r="S1374" s="148"/>
      <c r="T1374" s="148"/>
      <c r="U1374" s="148"/>
      <c r="V1374" s="148"/>
      <c r="W1374" s="148"/>
      <c r="X1374" s="148"/>
      <c r="Y1374" s="148"/>
      <c r="Z1374" s="148"/>
      <c r="AA1374" s="148"/>
      <c r="AB1374" s="148"/>
      <c r="AC1374" s="148"/>
    </row>
    <row r="1375" spans="1:29">
      <c r="A1375" s="149"/>
      <c r="B1375" s="147"/>
      <c r="C1375" s="147"/>
      <c r="D1375" s="147"/>
      <c r="E1375" s="147"/>
      <c r="F1375" s="147"/>
      <c r="G1375" s="147"/>
      <c r="H1375" s="147"/>
      <c r="I1375" s="147"/>
      <c r="J1375" s="147"/>
      <c r="K1375" s="147"/>
      <c r="L1375" s="147"/>
      <c r="M1375" s="147"/>
      <c r="N1375" s="147"/>
      <c r="O1375" s="147"/>
      <c r="P1375" s="147"/>
      <c r="Q1375" s="147"/>
      <c r="R1375" s="148"/>
      <c r="S1375" s="148"/>
      <c r="T1375" s="148"/>
      <c r="U1375" s="148"/>
      <c r="V1375" s="148"/>
      <c r="W1375" s="148"/>
      <c r="X1375" s="148"/>
      <c r="Y1375" s="148"/>
      <c r="Z1375" s="148"/>
      <c r="AA1375" s="148"/>
      <c r="AB1375" s="148"/>
      <c r="AC1375" s="148"/>
    </row>
    <row r="1376" spans="1:29">
      <c r="A1376" s="149"/>
      <c r="B1376" s="147"/>
      <c r="C1376" s="147"/>
      <c r="D1376" s="147"/>
      <c r="E1376" s="147"/>
      <c r="F1376" s="147"/>
      <c r="G1376" s="147"/>
      <c r="H1376" s="147"/>
      <c r="I1376" s="147"/>
      <c r="J1376" s="147"/>
      <c r="K1376" s="147"/>
      <c r="L1376" s="147"/>
      <c r="M1376" s="147"/>
      <c r="N1376" s="147"/>
      <c r="O1376" s="147"/>
      <c r="P1376" s="147"/>
      <c r="Q1376" s="147"/>
      <c r="R1376" s="148"/>
      <c r="S1376" s="148"/>
      <c r="T1376" s="148"/>
      <c r="U1376" s="148"/>
      <c r="V1376" s="148"/>
      <c r="W1376" s="148"/>
      <c r="X1376" s="148"/>
      <c r="Y1376" s="148"/>
      <c r="Z1376" s="148"/>
      <c r="AA1376" s="148"/>
      <c r="AB1376" s="148"/>
      <c r="AC1376" s="148"/>
    </row>
    <row r="1377" spans="1:29">
      <c r="A1377" s="149"/>
      <c r="B1377" s="147"/>
      <c r="C1377" s="147"/>
      <c r="D1377" s="147"/>
      <c r="E1377" s="147"/>
      <c r="F1377" s="147"/>
      <c r="G1377" s="147"/>
      <c r="H1377" s="147"/>
      <c r="I1377" s="147"/>
      <c r="J1377" s="147"/>
      <c r="K1377" s="147"/>
      <c r="L1377" s="147"/>
      <c r="M1377" s="147"/>
      <c r="N1377" s="147"/>
      <c r="O1377" s="147"/>
      <c r="P1377" s="147"/>
      <c r="Q1377" s="147"/>
      <c r="R1377" s="148"/>
      <c r="S1377" s="148"/>
      <c r="T1377" s="148"/>
      <c r="U1377" s="148"/>
      <c r="V1377" s="148"/>
      <c r="W1377" s="148"/>
      <c r="X1377" s="148"/>
      <c r="Y1377" s="148"/>
      <c r="Z1377" s="148"/>
      <c r="AA1377" s="148"/>
      <c r="AB1377" s="148"/>
      <c r="AC1377" s="148"/>
    </row>
    <row r="1378" spans="1:29">
      <c r="A1378" s="149"/>
      <c r="B1378" s="147"/>
      <c r="C1378" s="147"/>
      <c r="D1378" s="147"/>
      <c r="E1378" s="147"/>
      <c r="F1378" s="147"/>
      <c r="G1378" s="147"/>
      <c r="H1378" s="147"/>
      <c r="I1378" s="147"/>
      <c r="J1378" s="147"/>
      <c r="K1378" s="147"/>
      <c r="L1378" s="147"/>
      <c r="M1378" s="147"/>
      <c r="N1378" s="147"/>
      <c r="O1378" s="147"/>
      <c r="P1378" s="147"/>
      <c r="Q1378" s="147"/>
      <c r="R1378" s="148"/>
      <c r="S1378" s="148"/>
      <c r="T1378" s="148"/>
      <c r="U1378" s="148"/>
      <c r="V1378" s="148"/>
      <c r="W1378" s="148"/>
      <c r="X1378" s="148"/>
      <c r="Y1378" s="148"/>
      <c r="Z1378" s="148"/>
      <c r="AA1378" s="148"/>
      <c r="AB1378" s="148"/>
      <c r="AC1378" s="148"/>
    </row>
    <row r="1379" spans="1:29">
      <c r="A1379" s="149"/>
      <c r="B1379" s="147"/>
      <c r="C1379" s="147"/>
      <c r="D1379" s="147"/>
      <c r="E1379" s="147"/>
      <c r="F1379" s="147"/>
      <c r="G1379" s="147"/>
      <c r="H1379" s="147"/>
      <c r="I1379" s="147"/>
      <c r="J1379" s="147"/>
      <c r="K1379" s="147"/>
      <c r="L1379" s="147"/>
      <c r="M1379" s="147"/>
      <c r="N1379" s="147"/>
      <c r="O1379" s="147"/>
      <c r="P1379" s="147"/>
      <c r="Q1379" s="147"/>
      <c r="R1379" s="148"/>
      <c r="S1379" s="148"/>
      <c r="T1379" s="148"/>
      <c r="U1379" s="148"/>
      <c r="V1379" s="148"/>
      <c r="W1379" s="148"/>
      <c r="X1379" s="148"/>
      <c r="Y1379" s="148"/>
      <c r="Z1379" s="148"/>
      <c r="AA1379" s="148"/>
      <c r="AB1379" s="148"/>
      <c r="AC1379" s="148"/>
    </row>
    <row r="1380" spans="1:29">
      <c r="A1380" s="149"/>
      <c r="B1380" s="147"/>
      <c r="C1380" s="147"/>
      <c r="D1380" s="147"/>
      <c r="E1380" s="147"/>
      <c r="F1380" s="147"/>
      <c r="G1380" s="147"/>
      <c r="H1380" s="147"/>
      <c r="I1380" s="147"/>
      <c r="J1380" s="147"/>
      <c r="K1380" s="147"/>
      <c r="L1380" s="147"/>
      <c r="M1380" s="147"/>
      <c r="N1380" s="147"/>
      <c r="O1380" s="147"/>
      <c r="P1380" s="147"/>
      <c r="Q1380" s="147"/>
      <c r="R1380" s="148"/>
      <c r="S1380" s="148"/>
      <c r="T1380" s="148"/>
      <c r="U1380" s="148"/>
      <c r="V1380" s="148"/>
      <c r="W1380" s="148"/>
      <c r="X1380" s="148"/>
      <c r="Y1380" s="148"/>
      <c r="Z1380" s="148"/>
      <c r="AA1380" s="148"/>
      <c r="AB1380" s="148"/>
      <c r="AC1380" s="148"/>
    </row>
    <row r="1381" spans="1:29">
      <c r="A1381" s="149"/>
      <c r="B1381" s="147"/>
      <c r="C1381" s="147"/>
      <c r="D1381" s="147"/>
      <c r="E1381" s="147"/>
      <c r="F1381" s="147"/>
      <c r="G1381" s="147"/>
      <c r="H1381" s="147"/>
      <c r="I1381" s="147"/>
      <c r="J1381" s="147"/>
      <c r="K1381" s="147"/>
      <c r="L1381" s="147"/>
      <c r="M1381" s="147"/>
      <c r="N1381" s="147"/>
      <c r="O1381" s="147"/>
      <c r="P1381" s="147"/>
      <c r="Q1381" s="147"/>
      <c r="R1381" s="148"/>
      <c r="S1381" s="148"/>
      <c r="T1381" s="148"/>
      <c r="U1381" s="148"/>
      <c r="V1381" s="148"/>
      <c r="W1381" s="148"/>
      <c r="X1381" s="148"/>
      <c r="Y1381" s="148"/>
      <c r="Z1381" s="148"/>
      <c r="AA1381" s="148"/>
      <c r="AB1381" s="148"/>
      <c r="AC1381" s="148"/>
    </row>
    <row r="1382" spans="1:29">
      <c r="A1382" s="149"/>
      <c r="B1382" s="147"/>
      <c r="C1382" s="147"/>
      <c r="D1382" s="147"/>
      <c r="E1382" s="147"/>
      <c r="F1382" s="147"/>
      <c r="G1382" s="147"/>
      <c r="H1382" s="147"/>
      <c r="I1382" s="147"/>
      <c r="J1382" s="147"/>
      <c r="K1382" s="147"/>
      <c r="L1382" s="147"/>
      <c r="M1382" s="147"/>
      <c r="N1382" s="147"/>
      <c r="O1382" s="147"/>
      <c r="P1382" s="147"/>
      <c r="Q1382" s="147"/>
      <c r="R1382" s="148"/>
      <c r="S1382" s="148"/>
      <c r="T1382" s="148"/>
      <c r="U1382" s="148"/>
      <c r="V1382" s="148"/>
      <c r="W1382" s="148"/>
      <c r="X1382" s="148"/>
      <c r="Y1382" s="148"/>
      <c r="Z1382" s="148"/>
      <c r="AA1382" s="148"/>
      <c r="AB1382" s="148"/>
      <c r="AC1382" s="148"/>
    </row>
    <row r="1383" spans="1:29">
      <c r="A1383" s="149"/>
      <c r="B1383" s="147"/>
      <c r="C1383" s="147"/>
      <c r="D1383" s="147"/>
      <c r="E1383" s="147"/>
      <c r="F1383" s="147"/>
      <c r="G1383" s="147"/>
      <c r="H1383" s="147"/>
      <c r="I1383" s="147"/>
      <c r="J1383" s="147"/>
      <c r="K1383" s="147"/>
      <c r="L1383" s="147"/>
      <c r="M1383" s="147"/>
      <c r="N1383" s="147"/>
      <c r="O1383" s="147"/>
      <c r="P1383" s="147"/>
      <c r="Q1383" s="147"/>
      <c r="R1383" s="148"/>
      <c r="S1383" s="148"/>
      <c r="T1383" s="148"/>
      <c r="U1383" s="148"/>
      <c r="V1383" s="148"/>
      <c r="W1383" s="148"/>
      <c r="X1383" s="148"/>
      <c r="Y1383" s="148"/>
      <c r="Z1383" s="148"/>
      <c r="AA1383" s="148"/>
      <c r="AB1383" s="148"/>
      <c r="AC1383" s="148"/>
    </row>
    <row r="1384" spans="1:29">
      <c r="A1384" s="149"/>
      <c r="B1384" s="147"/>
      <c r="C1384" s="147"/>
      <c r="D1384" s="147"/>
      <c r="E1384" s="147"/>
      <c r="F1384" s="147"/>
      <c r="G1384" s="147"/>
      <c r="H1384" s="147"/>
      <c r="I1384" s="147"/>
      <c r="J1384" s="147"/>
      <c r="K1384" s="147"/>
      <c r="L1384" s="147"/>
      <c r="M1384" s="147"/>
      <c r="N1384" s="147"/>
      <c r="O1384" s="147"/>
      <c r="P1384" s="147"/>
      <c r="Q1384" s="147"/>
      <c r="R1384" s="148"/>
      <c r="S1384" s="148"/>
      <c r="T1384" s="148"/>
      <c r="U1384" s="148"/>
      <c r="V1384" s="148"/>
      <c r="W1384" s="148"/>
      <c r="X1384" s="148"/>
      <c r="Y1384" s="148"/>
      <c r="Z1384" s="148"/>
      <c r="AA1384" s="148"/>
      <c r="AB1384" s="148"/>
      <c r="AC1384" s="148"/>
    </row>
    <row r="1385" spans="1:29">
      <c r="A1385" s="149"/>
      <c r="B1385" s="147"/>
      <c r="C1385" s="147"/>
      <c r="D1385" s="147"/>
      <c r="E1385" s="147"/>
      <c r="F1385" s="147"/>
      <c r="G1385" s="147"/>
      <c r="H1385" s="147"/>
      <c r="I1385" s="147"/>
      <c r="J1385" s="147"/>
      <c r="K1385" s="147"/>
      <c r="L1385" s="147"/>
      <c r="M1385" s="147"/>
      <c r="N1385" s="147"/>
      <c r="O1385" s="147"/>
      <c r="P1385" s="147"/>
      <c r="Q1385" s="147"/>
      <c r="R1385" s="148"/>
      <c r="S1385" s="148"/>
      <c r="T1385" s="148"/>
      <c r="U1385" s="148"/>
      <c r="V1385" s="148"/>
      <c r="W1385" s="148"/>
      <c r="X1385" s="148"/>
      <c r="Y1385" s="148"/>
      <c r="Z1385" s="148"/>
      <c r="AA1385" s="148"/>
      <c r="AB1385" s="148"/>
      <c r="AC1385" s="148"/>
    </row>
    <row r="1386" spans="1:29">
      <c r="A1386" s="149"/>
      <c r="B1386" s="147"/>
      <c r="C1386" s="147"/>
      <c r="D1386" s="147"/>
      <c r="E1386" s="147"/>
      <c r="F1386" s="147"/>
      <c r="G1386" s="147"/>
      <c r="H1386" s="147"/>
      <c r="I1386" s="147"/>
      <c r="J1386" s="147"/>
      <c r="K1386" s="147"/>
      <c r="L1386" s="147"/>
      <c r="M1386" s="147"/>
      <c r="N1386" s="147"/>
      <c r="O1386" s="147"/>
      <c r="P1386" s="147"/>
      <c r="Q1386" s="147"/>
      <c r="R1386" s="148"/>
      <c r="S1386" s="148"/>
      <c r="T1386" s="148"/>
      <c r="U1386" s="148"/>
      <c r="V1386" s="148"/>
      <c r="W1386" s="148"/>
      <c r="X1386" s="148"/>
      <c r="Y1386" s="148"/>
      <c r="Z1386" s="148"/>
      <c r="AA1386" s="148"/>
      <c r="AB1386" s="148"/>
      <c r="AC1386" s="148"/>
    </row>
    <row r="1387" spans="1:29">
      <c r="A1387" s="149"/>
      <c r="B1387" s="147"/>
      <c r="C1387" s="147"/>
      <c r="D1387" s="147"/>
      <c r="E1387" s="147"/>
      <c r="F1387" s="147"/>
      <c r="G1387" s="147"/>
      <c r="H1387" s="147"/>
      <c r="I1387" s="147"/>
      <c r="J1387" s="147"/>
      <c r="K1387" s="147"/>
      <c r="L1387" s="147"/>
      <c r="M1387" s="147"/>
      <c r="N1387" s="147"/>
      <c r="O1387" s="147"/>
      <c r="P1387" s="147"/>
      <c r="Q1387" s="147"/>
      <c r="R1387" s="148"/>
      <c r="S1387" s="148"/>
      <c r="T1387" s="148"/>
      <c r="U1387" s="148"/>
      <c r="V1387" s="148"/>
      <c r="W1387" s="148"/>
      <c r="X1387" s="148"/>
      <c r="Y1387" s="148"/>
      <c r="Z1387" s="148"/>
      <c r="AA1387" s="148"/>
      <c r="AB1387" s="148"/>
      <c r="AC1387" s="148"/>
    </row>
    <row r="1388" spans="1:29">
      <c r="A1388" s="149"/>
      <c r="B1388" s="147"/>
      <c r="C1388" s="147"/>
      <c r="D1388" s="147"/>
      <c r="E1388" s="147"/>
      <c r="F1388" s="147"/>
      <c r="G1388" s="147"/>
      <c r="H1388" s="147"/>
      <c r="I1388" s="147"/>
      <c r="J1388" s="147"/>
      <c r="K1388" s="147"/>
      <c r="L1388" s="147"/>
      <c r="M1388" s="147"/>
      <c r="N1388" s="147"/>
      <c r="O1388" s="147"/>
      <c r="P1388" s="147"/>
      <c r="Q1388" s="147"/>
      <c r="R1388" s="148"/>
      <c r="S1388" s="148"/>
      <c r="T1388" s="148"/>
      <c r="U1388" s="148"/>
      <c r="V1388" s="148"/>
      <c r="W1388" s="148"/>
      <c r="X1388" s="148"/>
      <c r="Y1388" s="148"/>
      <c r="Z1388" s="148"/>
      <c r="AA1388" s="148"/>
      <c r="AB1388" s="148"/>
      <c r="AC1388" s="148"/>
    </row>
    <row r="1389" spans="1:29">
      <c r="A1389" s="149"/>
      <c r="B1389" s="147"/>
      <c r="C1389" s="147"/>
      <c r="D1389" s="147"/>
      <c r="E1389" s="147"/>
      <c r="F1389" s="147"/>
      <c r="G1389" s="147"/>
      <c r="H1389" s="147"/>
      <c r="I1389" s="147"/>
      <c r="J1389" s="147"/>
      <c r="K1389" s="147"/>
      <c r="L1389" s="147"/>
      <c r="M1389" s="147"/>
      <c r="N1389" s="147"/>
      <c r="O1389" s="147"/>
      <c r="P1389" s="147"/>
      <c r="Q1389" s="147"/>
      <c r="R1389" s="148"/>
      <c r="S1389" s="148"/>
      <c r="T1389" s="148"/>
      <c r="U1389" s="148"/>
      <c r="V1389" s="148"/>
      <c r="W1389" s="148"/>
      <c r="X1389" s="148"/>
      <c r="Y1389" s="148"/>
      <c r="Z1389" s="148"/>
      <c r="AA1389" s="148"/>
      <c r="AB1389" s="148"/>
      <c r="AC1389" s="148"/>
    </row>
    <row r="1390" spans="1:29">
      <c r="A1390" s="149"/>
      <c r="B1390" s="147"/>
      <c r="C1390" s="147"/>
      <c r="D1390" s="147"/>
      <c r="E1390" s="147"/>
      <c r="F1390" s="147"/>
      <c r="G1390" s="147"/>
      <c r="H1390" s="147"/>
      <c r="I1390" s="147"/>
      <c r="J1390" s="147"/>
      <c r="K1390" s="147"/>
      <c r="L1390" s="147"/>
      <c r="M1390" s="147"/>
      <c r="N1390" s="147"/>
      <c r="O1390" s="147"/>
      <c r="P1390" s="147"/>
      <c r="Q1390" s="147"/>
      <c r="R1390" s="148"/>
      <c r="S1390" s="148"/>
      <c r="T1390" s="148"/>
      <c r="U1390" s="148"/>
      <c r="V1390" s="148"/>
      <c r="W1390" s="148"/>
      <c r="X1390" s="148"/>
      <c r="Y1390" s="148"/>
      <c r="Z1390" s="148"/>
      <c r="AA1390" s="148"/>
      <c r="AB1390" s="148"/>
      <c r="AC1390" s="148"/>
    </row>
    <row r="1391" spans="1:29">
      <c r="A1391" s="149"/>
      <c r="B1391" s="147"/>
      <c r="C1391" s="147"/>
      <c r="D1391" s="147"/>
      <c r="E1391" s="147"/>
      <c r="F1391" s="147"/>
      <c r="G1391" s="147"/>
      <c r="H1391" s="147"/>
      <c r="I1391" s="147"/>
      <c r="J1391" s="147"/>
      <c r="K1391" s="147"/>
      <c r="L1391" s="147"/>
      <c r="M1391" s="147"/>
      <c r="N1391" s="147"/>
      <c r="O1391" s="147"/>
      <c r="P1391" s="147"/>
      <c r="Q1391" s="147"/>
      <c r="R1391" s="148"/>
      <c r="S1391" s="148"/>
      <c r="T1391" s="148"/>
      <c r="U1391" s="148"/>
      <c r="V1391" s="148"/>
      <c r="W1391" s="148"/>
      <c r="X1391" s="148"/>
      <c r="Y1391" s="148"/>
      <c r="Z1391" s="148"/>
      <c r="AA1391" s="148"/>
      <c r="AB1391" s="148"/>
      <c r="AC1391" s="148"/>
    </row>
    <row r="1392" spans="1:29">
      <c r="A1392" s="149"/>
      <c r="B1392" s="147"/>
      <c r="C1392" s="147"/>
      <c r="D1392" s="147"/>
      <c r="E1392" s="147"/>
      <c r="F1392" s="147"/>
      <c r="G1392" s="147"/>
      <c r="H1392" s="147"/>
      <c r="I1392" s="147"/>
      <c r="J1392" s="147"/>
      <c r="K1392" s="147"/>
      <c r="L1392" s="147"/>
      <c r="M1392" s="147"/>
      <c r="N1392" s="147"/>
      <c r="O1392" s="147"/>
      <c r="P1392" s="147"/>
      <c r="Q1392" s="147"/>
      <c r="R1392" s="148"/>
      <c r="S1392" s="148"/>
      <c r="T1392" s="148"/>
      <c r="U1392" s="148"/>
      <c r="V1392" s="148"/>
      <c r="W1392" s="148"/>
      <c r="X1392" s="148"/>
      <c r="Y1392" s="148"/>
      <c r="Z1392" s="148"/>
      <c r="AA1392" s="148"/>
      <c r="AB1392" s="148"/>
      <c r="AC1392" s="148"/>
    </row>
    <row r="1393" spans="1:29">
      <c r="A1393" s="149"/>
      <c r="B1393" s="147"/>
      <c r="C1393" s="147"/>
      <c r="D1393" s="147"/>
      <c r="E1393" s="147"/>
      <c r="F1393" s="147"/>
      <c r="G1393" s="147"/>
      <c r="H1393" s="147"/>
      <c r="I1393" s="147"/>
      <c r="J1393" s="147"/>
      <c r="K1393" s="147"/>
      <c r="L1393" s="147"/>
      <c r="M1393" s="147"/>
      <c r="N1393" s="147"/>
      <c r="O1393" s="147"/>
      <c r="P1393" s="147"/>
      <c r="Q1393" s="147"/>
      <c r="R1393" s="148"/>
      <c r="S1393" s="148"/>
      <c r="T1393" s="148"/>
      <c r="U1393" s="148"/>
      <c r="V1393" s="148"/>
      <c r="W1393" s="148"/>
      <c r="X1393" s="148"/>
      <c r="Y1393" s="148"/>
      <c r="Z1393" s="148"/>
      <c r="AA1393" s="148"/>
      <c r="AB1393" s="148"/>
      <c r="AC1393" s="148"/>
    </row>
    <row r="1394" spans="1:29">
      <c r="A1394" s="149"/>
      <c r="B1394" s="147"/>
      <c r="C1394" s="147"/>
      <c r="D1394" s="147"/>
      <c r="E1394" s="147"/>
      <c r="F1394" s="147"/>
      <c r="G1394" s="147"/>
      <c r="H1394" s="147"/>
      <c r="I1394" s="147"/>
      <c r="J1394" s="147"/>
      <c r="K1394" s="147"/>
      <c r="L1394" s="147"/>
      <c r="M1394" s="147"/>
      <c r="N1394" s="147"/>
      <c r="O1394" s="147"/>
      <c r="P1394" s="147"/>
      <c r="Q1394" s="147"/>
      <c r="R1394" s="148"/>
      <c r="S1394" s="148"/>
      <c r="T1394" s="148"/>
      <c r="U1394" s="148"/>
      <c r="V1394" s="148"/>
      <c r="W1394" s="148"/>
      <c r="X1394" s="148"/>
      <c r="Y1394" s="148"/>
      <c r="Z1394" s="148"/>
      <c r="AA1394" s="148"/>
      <c r="AB1394" s="148"/>
      <c r="AC1394" s="148"/>
    </row>
    <row r="1395" spans="1:29">
      <c r="A1395" s="149"/>
      <c r="B1395" s="147"/>
      <c r="C1395" s="147"/>
      <c r="D1395" s="147"/>
      <c r="E1395" s="147"/>
      <c r="F1395" s="147"/>
      <c r="G1395" s="147"/>
      <c r="H1395" s="147"/>
      <c r="I1395" s="147"/>
      <c r="J1395" s="147"/>
      <c r="K1395" s="147"/>
      <c r="L1395" s="147"/>
      <c r="M1395" s="147"/>
      <c r="N1395" s="147"/>
      <c r="O1395" s="147"/>
      <c r="P1395" s="147"/>
      <c r="Q1395" s="147"/>
      <c r="R1395" s="148"/>
      <c r="S1395" s="148"/>
      <c r="T1395" s="148"/>
      <c r="U1395" s="148"/>
      <c r="V1395" s="148"/>
      <c r="W1395" s="148"/>
      <c r="X1395" s="148"/>
      <c r="Y1395" s="148"/>
      <c r="Z1395" s="148"/>
      <c r="AA1395" s="148"/>
      <c r="AB1395" s="148"/>
      <c r="AC1395" s="148"/>
    </row>
    <row r="1396" spans="1:29">
      <c r="A1396" s="149"/>
      <c r="B1396" s="147"/>
      <c r="C1396" s="147"/>
      <c r="D1396" s="147"/>
      <c r="E1396" s="147"/>
      <c r="F1396" s="147"/>
      <c r="G1396" s="147"/>
      <c r="H1396" s="147"/>
      <c r="I1396" s="147"/>
      <c r="J1396" s="147"/>
      <c r="K1396" s="147"/>
      <c r="L1396" s="147"/>
      <c r="M1396" s="147"/>
      <c r="N1396" s="147"/>
      <c r="O1396" s="147"/>
      <c r="P1396" s="147"/>
      <c r="Q1396" s="147"/>
      <c r="R1396" s="148"/>
      <c r="S1396" s="148"/>
      <c r="T1396" s="148"/>
      <c r="U1396" s="148"/>
      <c r="V1396" s="148"/>
      <c r="W1396" s="148"/>
      <c r="X1396" s="148"/>
      <c r="Y1396" s="148"/>
      <c r="Z1396" s="148"/>
      <c r="AA1396" s="148"/>
      <c r="AB1396" s="148"/>
      <c r="AC1396" s="148"/>
    </row>
    <row r="1397" spans="1:29">
      <c r="A1397" s="149"/>
      <c r="B1397" s="147"/>
      <c r="C1397" s="147"/>
      <c r="D1397" s="147"/>
      <c r="E1397" s="147"/>
      <c r="F1397" s="147"/>
      <c r="G1397" s="147"/>
      <c r="H1397" s="147"/>
      <c r="I1397" s="147"/>
      <c r="J1397" s="147"/>
      <c r="K1397" s="147"/>
      <c r="L1397" s="147"/>
      <c r="M1397" s="147"/>
      <c r="N1397" s="147"/>
      <c r="O1397" s="147"/>
      <c r="P1397" s="147"/>
      <c r="Q1397" s="147"/>
      <c r="R1397" s="148"/>
      <c r="S1397" s="148"/>
      <c r="T1397" s="148"/>
      <c r="U1397" s="148"/>
      <c r="V1397" s="148"/>
      <c r="W1397" s="148"/>
      <c r="X1397" s="148"/>
      <c r="Y1397" s="148"/>
      <c r="Z1397" s="148"/>
      <c r="AA1397" s="148"/>
      <c r="AB1397" s="148"/>
      <c r="AC1397" s="148"/>
    </row>
    <row r="1398" spans="1:29">
      <c r="A1398" s="149"/>
      <c r="B1398" s="147"/>
      <c r="C1398" s="147"/>
      <c r="D1398" s="147"/>
      <c r="E1398" s="147"/>
      <c r="F1398" s="147"/>
      <c r="G1398" s="147"/>
      <c r="H1398" s="147"/>
      <c r="I1398" s="147"/>
      <c r="J1398" s="147"/>
      <c r="K1398" s="147"/>
      <c r="L1398" s="147"/>
      <c r="M1398" s="147"/>
      <c r="N1398" s="147"/>
      <c r="O1398" s="147"/>
      <c r="P1398" s="147"/>
      <c r="Q1398" s="147"/>
      <c r="R1398" s="148"/>
      <c r="S1398" s="148"/>
      <c r="T1398" s="148"/>
      <c r="U1398" s="148"/>
      <c r="V1398" s="148"/>
      <c r="W1398" s="148"/>
      <c r="X1398" s="148"/>
      <c r="Y1398" s="148"/>
      <c r="Z1398" s="148"/>
      <c r="AA1398" s="148"/>
      <c r="AB1398" s="148"/>
      <c r="AC1398" s="148"/>
    </row>
    <row r="1399" spans="1:29">
      <c r="A1399" s="149"/>
      <c r="B1399" s="147"/>
      <c r="C1399" s="147"/>
      <c r="D1399" s="147"/>
      <c r="E1399" s="147"/>
      <c r="F1399" s="147"/>
      <c r="G1399" s="147"/>
      <c r="H1399" s="147"/>
      <c r="I1399" s="147"/>
      <c r="J1399" s="147"/>
      <c r="K1399" s="147"/>
      <c r="L1399" s="147"/>
      <c r="M1399" s="147"/>
      <c r="N1399" s="147"/>
      <c r="O1399" s="147"/>
      <c r="P1399" s="147"/>
      <c r="Q1399" s="147"/>
      <c r="R1399" s="148"/>
      <c r="S1399" s="148"/>
      <c r="T1399" s="148"/>
      <c r="U1399" s="148"/>
      <c r="V1399" s="148"/>
      <c r="W1399" s="148"/>
      <c r="X1399" s="148"/>
      <c r="Y1399" s="148"/>
      <c r="Z1399" s="148"/>
      <c r="AA1399" s="148"/>
      <c r="AB1399" s="148"/>
      <c r="AC1399" s="148"/>
    </row>
    <row r="1400" spans="1:29">
      <c r="A1400" s="149"/>
      <c r="B1400" s="147"/>
      <c r="C1400" s="147"/>
      <c r="D1400" s="147"/>
      <c r="E1400" s="147"/>
      <c r="F1400" s="147"/>
      <c r="G1400" s="147"/>
      <c r="H1400" s="147"/>
      <c r="I1400" s="147"/>
      <c r="J1400" s="147"/>
      <c r="K1400" s="147"/>
      <c r="L1400" s="147"/>
      <c r="M1400" s="147"/>
      <c r="N1400" s="147"/>
      <c r="O1400" s="147"/>
      <c r="P1400" s="147"/>
      <c r="Q1400" s="147"/>
      <c r="R1400" s="148"/>
      <c r="S1400" s="148"/>
      <c r="T1400" s="148"/>
      <c r="U1400" s="148"/>
      <c r="V1400" s="148"/>
      <c r="W1400" s="148"/>
      <c r="X1400" s="148"/>
      <c r="Y1400" s="148"/>
      <c r="Z1400" s="148"/>
      <c r="AA1400" s="148"/>
      <c r="AB1400" s="148"/>
      <c r="AC1400" s="148"/>
    </row>
    <row r="1401" spans="1:29">
      <c r="A1401" s="149"/>
      <c r="B1401" s="147"/>
      <c r="C1401" s="147"/>
      <c r="D1401" s="147"/>
      <c r="E1401" s="147"/>
      <c r="F1401" s="147"/>
      <c r="G1401" s="147"/>
      <c r="H1401" s="147"/>
      <c r="I1401" s="147"/>
      <c r="J1401" s="147"/>
      <c r="K1401" s="147"/>
      <c r="L1401" s="147"/>
      <c r="M1401" s="147"/>
      <c r="N1401" s="147"/>
      <c r="O1401" s="147"/>
      <c r="P1401" s="147"/>
      <c r="Q1401" s="147"/>
      <c r="R1401" s="148"/>
      <c r="S1401" s="148"/>
      <c r="T1401" s="148"/>
      <c r="U1401" s="148"/>
      <c r="V1401" s="148"/>
      <c r="W1401" s="148"/>
      <c r="X1401" s="148"/>
      <c r="Y1401" s="148"/>
      <c r="Z1401" s="148"/>
      <c r="AA1401" s="148"/>
      <c r="AB1401" s="148"/>
      <c r="AC1401" s="148"/>
    </row>
    <row r="1402" spans="1:29">
      <c r="A1402" s="149"/>
      <c r="B1402" s="147"/>
      <c r="C1402" s="147"/>
      <c r="D1402" s="147"/>
      <c r="E1402" s="147"/>
      <c r="F1402" s="147"/>
      <c r="G1402" s="147"/>
      <c r="H1402" s="147"/>
      <c r="I1402" s="147"/>
      <c r="J1402" s="147"/>
      <c r="K1402" s="147"/>
      <c r="L1402" s="147"/>
      <c r="M1402" s="147"/>
      <c r="N1402" s="147"/>
      <c r="O1402" s="147"/>
      <c r="P1402" s="147"/>
      <c r="Q1402" s="147"/>
      <c r="R1402" s="148"/>
      <c r="S1402" s="148"/>
      <c r="T1402" s="148"/>
      <c r="U1402" s="148"/>
      <c r="V1402" s="148"/>
      <c r="W1402" s="148"/>
      <c r="X1402" s="148"/>
      <c r="Y1402" s="148"/>
      <c r="Z1402" s="148"/>
      <c r="AA1402" s="148"/>
      <c r="AB1402" s="148"/>
      <c r="AC1402" s="148"/>
    </row>
    <row r="1403" spans="1:29">
      <c r="A1403" s="149"/>
      <c r="B1403" s="147"/>
      <c r="C1403" s="147"/>
      <c r="D1403" s="147"/>
      <c r="E1403" s="147"/>
      <c r="F1403" s="147"/>
      <c r="G1403" s="147"/>
      <c r="H1403" s="147"/>
      <c r="I1403" s="147"/>
      <c r="J1403" s="147"/>
      <c r="K1403" s="147"/>
      <c r="L1403" s="147"/>
      <c r="M1403" s="147"/>
      <c r="N1403" s="147"/>
      <c r="O1403" s="147"/>
      <c r="P1403" s="147"/>
      <c r="Q1403" s="147"/>
      <c r="R1403" s="148"/>
      <c r="S1403" s="148"/>
      <c r="T1403" s="148"/>
      <c r="U1403" s="148"/>
      <c r="V1403" s="148"/>
      <c r="W1403" s="148"/>
      <c r="X1403" s="148"/>
      <c r="Y1403" s="148"/>
      <c r="Z1403" s="148"/>
      <c r="AA1403" s="148"/>
      <c r="AB1403" s="148"/>
      <c r="AC1403" s="148"/>
    </row>
    <row r="1404" spans="1:29">
      <c r="A1404" s="149"/>
      <c r="B1404" s="147"/>
      <c r="C1404" s="147"/>
      <c r="D1404" s="147"/>
      <c r="E1404" s="147"/>
      <c r="F1404" s="147"/>
      <c r="G1404" s="147"/>
      <c r="H1404" s="147"/>
      <c r="I1404" s="147"/>
      <c r="J1404" s="147"/>
      <c r="K1404" s="147"/>
      <c r="L1404" s="147"/>
      <c r="M1404" s="147"/>
      <c r="N1404" s="147"/>
      <c r="O1404" s="147"/>
      <c r="P1404" s="147"/>
      <c r="Q1404" s="147"/>
      <c r="R1404" s="148"/>
      <c r="S1404" s="148"/>
      <c r="T1404" s="148"/>
      <c r="U1404" s="148"/>
      <c r="V1404" s="148"/>
      <c r="W1404" s="148"/>
      <c r="X1404" s="148"/>
      <c r="Y1404" s="148"/>
      <c r="Z1404" s="148"/>
      <c r="AA1404" s="148"/>
      <c r="AB1404" s="148"/>
      <c r="AC1404" s="148"/>
    </row>
    <row r="1405" spans="1:29">
      <c r="A1405" s="149"/>
      <c r="B1405" s="147"/>
      <c r="C1405" s="147"/>
      <c r="D1405" s="147"/>
      <c r="E1405" s="147"/>
      <c r="F1405" s="147"/>
      <c r="G1405" s="147"/>
      <c r="H1405" s="147"/>
      <c r="I1405" s="147"/>
      <c r="J1405" s="147"/>
      <c r="K1405" s="147"/>
      <c r="L1405" s="147"/>
      <c r="M1405" s="147"/>
      <c r="N1405" s="147"/>
      <c r="O1405" s="147"/>
      <c r="P1405" s="147"/>
      <c r="Q1405" s="147"/>
      <c r="R1405" s="148"/>
      <c r="S1405" s="148"/>
      <c r="T1405" s="148"/>
      <c r="U1405" s="148"/>
      <c r="V1405" s="148"/>
      <c r="W1405" s="148"/>
      <c r="X1405" s="148"/>
      <c r="Y1405" s="148"/>
      <c r="Z1405" s="148"/>
      <c r="AA1405" s="148"/>
      <c r="AB1405" s="148"/>
      <c r="AC1405" s="148"/>
    </row>
    <row r="1406" spans="1:29">
      <c r="A1406" s="149"/>
      <c r="B1406" s="147"/>
      <c r="C1406" s="147"/>
      <c r="D1406" s="147"/>
      <c r="E1406" s="147"/>
      <c r="F1406" s="147"/>
      <c r="G1406" s="147"/>
      <c r="H1406" s="147"/>
      <c r="I1406" s="147"/>
      <c r="J1406" s="147"/>
      <c r="K1406" s="147"/>
      <c r="L1406" s="147"/>
      <c r="M1406" s="147"/>
      <c r="N1406" s="147"/>
      <c r="O1406" s="147"/>
      <c r="P1406" s="147"/>
      <c r="Q1406" s="147"/>
      <c r="R1406" s="148"/>
      <c r="S1406" s="148"/>
      <c r="T1406" s="148"/>
      <c r="U1406" s="148"/>
      <c r="V1406" s="148"/>
      <c r="W1406" s="148"/>
      <c r="X1406" s="148"/>
      <c r="Y1406" s="148"/>
      <c r="Z1406" s="148"/>
      <c r="AA1406" s="148"/>
      <c r="AB1406" s="148"/>
      <c r="AC1406" s="148"/>
    </row>
    <row r="1407" spans="1:29">
      <c r="A1407" s="149"/>
      <c r="B1407" s="147"/>
      <c r="C1407" s="147"/>
      <c r="D1407" s="147"/>
      <c r="E1407" s="147"/>
      <c r="F1407" s="147"/>
      <c r="G1407" s="147"/>
      <c r="H1407" s="147"/>
      <c r="I1407" s="147"/>
      <c r="J1407" s="147"/>
      <c r="K1407" s="147"/>
      <c r="L1407" s="147"/>
      <c r="M1407" s="147"/>
      <c r="N1407" s="147"/>
      <c r="O1407" s="147"/>
      <c r="P1407" s="147"/>
      <c r="Q1407" s="147"/>
      <c r="R1407" s="148"/>
      <c r="S1407" s="148"/>
      <c r="T1407" s="148"/>
      <c r="U1407" s="148"/>
      <c r="V1407" s="148"/>
      <c r="W1407" s="148"/>
      <c r="X1407" s="148"/>
      <c r="Y1407" s="148"/>
      <c r="Z1407" s="148"/>
      <c r="AA1407" s="148"/>
      <c r="AB1407" s="148"/>
      <c r="AC1407" s="148"/>
    </row>
    <row r="1408" spans="1:29">
      <c r="A1408" s="149"/>
      <c r="B1408" s="147"/>
      <c r="C1408" s="147"/>
      <c r="D1408" s="147"/>
      <c r="E1408" s="147"/>
      <c r="F1408" s="147"/>
      <c r="G1408" s="147"/>
      <c r="H1408" s="147"/>
      <c r="I1408" s="147"/>
      <c r="J1408" s="147"/>
      <c r="K1408" s="147"/>
      <c r="L1408" s="147"/>
      <c r="M1408" s="147"/>
      <c r="N1408" s="147"/>
      <c r="O1408" s="147"/>
      <c r="P1408" s="147"/>
      <c r="Q1408" s="147"/>
      <c r="R1408" s="148"/>
      <c r="S1408" s="148"/>
      <c r="T1408" s="148"/>
      <c r="U1408" s="148"/>
      <c r="V1408" s="148"/>
      <c r="W1408" s="148"/>
      <c r="X1408" s="148"/>
      <c r="Y1408" s="148"/>
      <c r="Z1408" s="148"/>
      <c r="AA1408" s="148"/>
      <c r="AB1408" s="148"/>
      <c r="AC1408" s="148"/>
    </row>
    <row r="1409" spans="1:29">
      <c r="A1409" s="149"/>
      <c r="B1409" s="147"/>
      <c r="C1409" s="147"/>
      <c r="D1409" s="147"/>
      <c r="E1409" s="147"/>
      <c r="F1409" s="147"/>
      <c r="G1409" s="147"/>
      <c r="H1409" s="147"/>
      <c r="I1409" s="147"/>
      <c r="J1409" s="147"/>
      <c r="K1409" s="147"/>
      <c r="L1409" s="147"/>
      <c r="M1409" s="147"/>
      <c r="N1409" s="147"/>
      <c r="O1409" s="147"/>
      <c r="P1409" s="147"/>
      <c r="Q1409" s="147"/>
      <c r="R1409" s="148"/>
      <c r="S1409" s="148"/>
      <c r="T1409" s="148"/>
      <c r="U1409" s="148"/>
      <c r="V1409" s="148"/>
      <c r="W1409" s="148"/>
      <c r="X1409" s="148"/>
      <c r="Y1409" s="148"/>
      <c r="Z1409" s="148"/>
      <c r="AA1409" s="148"/>
      <c r="AB1409" s="148"/>
      <c r="AC1409" s="148"/>
    </row>
    <row r="1410" spans="1:29">
      <c r="A1410" s="149"/>
      <c r="B1410" s="147"/>
      <c r="C1410" s="147"/>
      <c r="D1410" s="147"/>
      <c r="E1410" s="147"/>
      <c r="F1410" s="147"/>
      <c r="G1410" s="147"/>
      <c r="H1410" s="147"/>
      <c r="I1410" s="147"/>
      <c r="J1410" s="147"/>
      <c r="K1410" s="147"/>
      <c r="L1410" s="147"/>
      <c r="M1410" s="147"/>
      <c r="N1410" s="147"/>
      <c r="O1410" s="147"/>
      <c r="P1410" s="147"/>
      <c r="Q1410" s="147"/>
      <c r="R1410" s="148"/>
      <c r="S1410" s="148"/>
      <c r="T1410" s="148"/>
      <c r="U1410" s="148"/>
      <c r="V1410" s="148"/>
      <c r="W1410" s="148"/>
      <c r="X1410" s="148"/>
      <c r="Y1410" s="148"/>
      <c r="Z1410" s="148"/>
      <c r="AA1410" s="148"/>
      <c r="AB1410" s="148"/>
      <c r="AC1410" s="148"/>
    </row>
    <row r="1411" spans="1:29">
      <c r="A1411" s="149"/>
      <c r="B1411" s="147"/>
      <c r="C1411" s="147"/>
      <c r="D1411" s="147"/>
      <c r="E1411" s="147"/>
      <c r="F1411" s="147"/>
      <c r="G1411" s="147"/>
      <c r="H1411" s="147"/>
      <c r="I1411" s="147"/>
      <c r="J1411" s="147"/>
      <c r="K1411" s="147"/>
      <c r="L1411" s="147"/>
      <c r="M1411" s="147"/>
      <c r="N1411" s="147"/>
      <c r="O1411" s="147"/>
      <c r="P1411" s="147"/>
      <c r="Q1411" s="147"/>
      <c r="R1411" s="148"/>
      <c r="S1411" s="148"/>
      <c r="T1411" s="148"/>
      <c r="U1411" s="148"/>
      <c r="V1411" s="148"/>
      <c r="W1411" s="148"/>
      <c r="X1411" s="148"/>
      <c r="Y1411" s="148"/>
      <c r="Z1411" s="148"/>
      <c r="AA1411" s="148"/>
      <c r="AB1411" s="148"/>
      <c r="AC1411" s="148"/>
    </row>
    <row r="1412" spans="1:29">
      <c r="A1412" s="149"/>
      <c r="B1412" s="147"/>
      <c r="C1412" s="147"/>
      <c r="D1412" s="147"/>
      <c r="E1412" s="147"/>
      <c r="F1412" s="147"/>
      <c r="G1412" s="147"/>
      <c r="H1412" s="147"/>
      <c r="I1412" s="147"/>
      <c r="J1412" s="147"/>
      <c r="K1412" s="147"/>
      <c r="L1412" s="147"/>
      <c r="M1412" s="147"/>
      <c r="N1412" s="147"/>
      <c r="O1412" s="147"/>
      <c r="P1412" s="147"/>
      <c r="Q1412" s="147"/>
      <c r="R1412" s="148"/>
      <c r="S1412" s="148"/>
      <c r="T1412" s="148"/>
      <c r="U1412" s="148"/>
      <c r="V1412" s="148"/>
      <c r="W1412" s="148"/>
      <c r="X1412" s="148"/>
      <c r="Y1412" s="148"/>
      <c r="Z1412" s="148"/>
      <c r="AA1412" s="148"/>
      <c r="AB1412" s="148"/>
      <c r="AC1412" s="148"/>
    </row>
    <row r="1413" spans="1:29">
      <c r="A1413" s="149"/>
      <c r="B1413" s="147"/>
      <c r="C1413" s="147"/>
      <c r="D1413" s="147"/>
      <c r="E1413" s="147"/>
      <c r="F1413" s="147"/>
      <c r="G1413" s="147"/>
      <c r="H1413" s="147"/>
      <c r="I1413" s="147"/>
      <c r="J1413" s="147"/>
      <c r="K1413" s="147"/>
      <c r="L1413" s="147"/>
      <c r="M1413" s="147"/>
      <c r="N1413" s="147"/>
      <c r="O1413" s="147"/>
      <c r="P1413" s="147"/>
      <c r="Q1413" s="147"/>
      <c r="R1413" s="148"/>
      <c r="S1413" s="148"/>
      <c r="T1413" s="148"/>
      <c r="U1413" s="148"/>
      <c r="V1413" s="148"/>
      <c r="W1413" s="148"/>
      <c r="X1413" s="148"/>
      <c r="Y1413" s="148"/>
      <c r="Z1413" s="148"/>
      <c r="AA1413" s="148"/>
      <c r="AB1413" s="148"/>
      <c r="AC1413" s="148"/>
    </row>
    <row r="1414" spans="1:29">
      <c r="A1414" s="149"/>
      <c r="B1414" s="147"/>
      <c r="C1414" s="147"/>
      <c r="D1414" s="147"/>
      <c r="E1414" s="147"/>
      <c r="F1414" s="147"/>
      <c r="G1414" s="147"/>
      <c r="H1414" s="147"/>
      <c r="I1414" s="147"/>
      <c r="J1414" s="147"/>
      <c r="K1414" s="147"/>
      <c r="L1414" s="147"/>
      <c r="M1414" s="147"/>
      <c r="N1414" s="147"/>
      <c r="O1414" s="147"/>
      <c r="P1414" s="147"/>
      <c r="Q1414" s="147"/>
      <c r="R1414" s="148"/>
      <c r="S1414" s="148"/>
      <c r="T1414" s="148"/>
      <c r="U1414" s="148"/>
      <c r="V1414" s="148"/>
      <c r="W1414" s="148"/>
      <c r="X1414" s="148"/>
      <c r="Y1414" s="148"/>
      <c r="Z1414" s="148"/>
      <c r="AA1414" s="148"/>
      <c r="AB1414" s="148"/>
      <c r="AC1414" s="148"/>
    </row>
    <row r="1415" spans="1:29">
      <c r="A1415" s="149"/>
      <c r="B1415" s="147"/>
      <c r="C1415" s="147"/>
      <c r="D1415" s="147"/>
      <c r="E1415" s="147"/>
      <c r="F1415" s="147"/>
      <c r="G1415" s="147"/>
      <c r="H1415" s="147"/>
      <c r="I1415" s="147"/>
      <c r="J1415" s="147"/>
      <c r="K1415" s="147"/>
      <c r="L1415" s="147"/>
      <c r="M1415" s="147"/>
      <c r="N1415" s="147"/>
      <c r="O1415" s="147"/>
      <c r="P1415" s="147"/>
      <c r="Q1415" s="147"/>
      <c r="R1415" s="148"/>
      <c r="S1415" s="148"/>
      <c r="T1415" s="148"/>
      <c r="U1415" s="148"/>
      <c r="V1415" s="148"/>
      <c r="W1415" s="148"/>
      <c r="X1415" s="148"/>
      <c r="Y1415" s="148"/>
      <c r="Z1415" s="148"/>
      <c r="AA1415" s="148"/>
      <c r="AB1415" s="148"/>
      <c r="AC1415" s="148"/>
    </row>
    <row r="1416" spans="1:29">
      <c r="A1416" s="149"/>
      <c r="B1416" s="147"/>
      <c r="C1416" s="147"/>
      <c r="D1416" s="147"/>
      <c r="E1416" s="147"/>
      <c r="F1416" s="147"/>
      <c r="G1416" s="147"/>
      <c r="H1416" s="147"/>
      <c r="I1416" s="147"/>
      <c r="J1416" s="147"/>
      <c r="K1416" s="147"/>
      <c r="L1416" s="147"/>
      <c r="M1416" s="147"/>
      <c r="N1416" s="147"/>
      <c r="O1416" s="147"/>
      <c r="P1416" s="147"/>
      <c r="Q1416" s="147"/>
      <c r="R1416" s="148"/>
      <c r="S1416" s="148"/>
      <c r="T1416" s="148"/>
      <c r="U1416" s="148"/>
      <c r="V1416" s="148"/>
      <c r="W1416" s="148"/>
      <c r="X1416" s="148"/>
      <c r="Y1416" s="148"/>
      <c r="Z1416" s="148"/>
      <c r="AA1416" s="148"/>
      <c r="AB1416" s="148"/>
      <c r="AC1416" s="148"/>
    </row>
    <row r="1417" spans="1:29">
      <c r="A1417" s="149"/>
      <c r="B1417" s="147"/>
      <c r="C1417" s="147"/>
      <c r="D1417" s="147"/>
      <c r="E1417" s="147"/>
      <c r="F1417" s="147"/>
      <c r="G1417" s="147"/>
      <c r="H1417" s="147"/>
      <c r="I1417" s="147"/>
      <c r="J1417" s="147"/>
      <c r="K1417" s="147"/>
      <c r="L1417" s="147"/>
      <c r="M1417" s="147"/>
      <c r="N1417" s="147"/>
      <c r="O1417" s="147"/>
      <c r="P1417" s="147"/>
      <c r="Q1417" s="147"/>
      <c r="R1417" s="148"/>
      <c r="S1417" s="148"/>
      <c r="T1417" s="148"/>
      <c r="U1417" s="148"/>
      <c r="V1417" s="148"/>
      <c r="W1417" s="148"/>
      <c r="X1417" s="148"/>
      <c r="Y1417" s="148"/>
      <c r="Z1417" s="148"/>
      <c r="AA1417" s="148"/>
      <c r="AB1417" s="148"/>
      <c r="AC1417" s="148"/>
    </row>
    <row r="1418" spans="1:29">
      <c r="A1418" s="149"/>
      <c r="B1418" s="147"/>
      <c r="C1418" s="147"/>
      <c r="D1418" s="147"/>
      <c r="E1418" s="147"/>
      <c r="F1418" s="147"/>
      <c r="G1418" s="147"/>
      <c r="H1418" s="147"/>
      <c r="I1418" s="147"/>
      <c r="J1418" s="147"/>
      <c r="K1418" s="147"/>
      <c r="L1418" s="147"/>
      <c r="M1418" s="147"/>
      <c r="N1418" s="147"/>
      <c r="O1418" s="147"/>
      <c r="P1418" s="147"/>
      <c r="Q1418" s="147"/>
      <c r="R1418" s="148"/>
      <c r="S1418" s="148"/>
      <c r="T1418" s="148"/>
      <c r="U1418" s="148"/>
      <c r="V1418" s="148"/>
      <c r="W1418" s="148"/>
      <c r="X1418" s="148"/>
      <c r="Y1418" s="148"/>
      <c r="Z1418" s="148"/>
      <c r="AA1418" s="148"/>
      <c r="AB1418" s="148"/>
      <c r="AC1418" s="148"/>
    </row>
    <row r="1419" spans="1:29">
      <c r="A1419" s="149"/>
      <c r="B1419" s="147"/>
      <c r="C1419" s="147"/>
      <c r="D1419" s="147"/>
      <c r="E1419" s="147"/>
      <c r="F1419" s="147"/>
      <c r="G1419" s="147"/>
      <c r="H1419" s="147"/>
      <c r="I1419" s="147"/>
      <c r="J1419" s="147"/>
      <c r="K1419" s="147"/>
      <c r="L1419" s="147"/>
      <c r="M1419" s="147"/>
      <c r="N1419" s="147"/>
      <c r="O1419" s="147"/>
      <c r="P1419" s="147"/>
      <c r="Q1419" s="147"/>
      <c r="R1419" s="148"/>
      <c r="S1419" s="148"/>
      <c r="T1419" s="148"/>
      <c r="U1419" s="148"/>
      <c r="V1419" s="148"/>
      <c r="W1419" s="148"/>
      <c r="X1419" s="148"/>
      <c r="Y1419" s="148"/>
      <c r="Z1419" s="148"/>
      <c r="AA1419" s="148"/>
      <c r="AB1419" s="148"/>
      <c r="AC1419" s="148"/>
    </row>
    <row r="1420" spans="1:29">
      <c r="A1420" s="149"/>
      <c r="B1420" s="147"/>
      <c r="C1420" s="147"/>
      <c r="D1420" s="147"/>
      <c r="E1420" s="147"/>
      <c r="F1420" s="147"/>
      <c r="G1420" s="147"/>
      <c r="H1420" s="147"/>
      <c r="I1420" s="147"/>
      <c r="J1420" s="147"/>
      <c r="K1420" s="147"/>
      <c r="L1420" s="147"/>
      <c r="M1420" s="147"/>
      <c r="N1420" s="147"/>
      <c r="O1420" s="147"/>
      <c r="P1420" s="147"/>
      <c r="Q1420" s="147"/>
      <c r="R1420" s="148"/>
      <c r="S1420" s="148"/>
      <c r="T1420" s="148"/>
      <c r="U1420" s="148"/>
      <c r="V1420" s="148"/>
      <c r="W1420" s="148"/>
      <c r="X1420" s="148"/>
      <c r="Y1420" s="148"/>
      <c r="Z1420" s="148"/>
      <c r="AA1420" s="148"/>
      <c r="AB1420" s="148"/>
      <c r="AC1420" s="148"/>
    </row>
    <row r="1421" spans="1:29">
      <c r="A1421" s="149"/>
      <c r="B1421" s="147"/>
      <c r="C1421" s="147"/>
      <c r="D1421" s="147"/>
      <c r="E1421" s="147"/>
      <c r="F1421" s="147"/>
      <c r="G1421" s="147"/>
      <c r="H1421" s="147"/>
      <c r="I1421" s="147"/>
      <c r="J1421" s="147"/>
      <c r="K1421" s="147"/>
      <c r="L1421" s="147"/>
      <c r="M1421" s="147"/>
      <c r="N1421" s="147"/>
      <c r="O1421" s="147"/>
      <c r="P1421" s="147"/>
      <c r="Q1421" s="147"/>
      <c r="R1421" s="148"/>
      <c r="S1421" s="148"/>
      <c r="T1421" s="148"/>
      <c r="U1421" s="148"/>
      <c r="V1421" s="148"/>
      <c r="W1421" s="148"/>
      <c r="X1421" s="148"/>
      <c r="Y1421" s="148"/>
      <c r="Z1421" s="148"/>
      <c r="AA1421" s="148"/>
      <c r="AB1421" s="148"/>
      <c r="AC1421" s="148"/>
    </row>
    <row r="1422" spans="1:29">
      <c r="A1422" s="149"/>
      <c r="B1422" s="147"/>
      <c r="C1422" s="147"/>
      <c r="D1422" s="147"/>
      <c r="E1422" s="147"/>
      <c r="F1422" s="147"/>
      <c r="G1422" s="147"/>
      <c r="H1422" s="147"/>
      <c r="I1422" s="147"/>
      <c r="J1422" s="147"/>
      <c r="K1422" s="147"/>
      <c r="L1422" s="147"/>
      <c r="M1422" s="147"/>
      <c r="N1422" s="147"/>
      <c r="O1422" s="147"/>
      <c r="P1422" s="147"/>
      <c r="Q1422" s="147"/>
      <c r="R1422" s="148"/>
      <c r="S1422" s="148"/>
      <c r="T1422" s="148"/>
      <c r="U1422" s="148"/>
      <c r="V1422" s="148"/>
      <c r="W1422" s="148"/>
      <c r="X1422" s="148"/>
      <c r="Y1422" s="148"/>
      <c r="Z1422" s="148"/>
      <c r="AA1422" s="148"/>
      <c r="AB1422" s="148"/>
      <c r="AC1422" s="148"/>
    </row>
    <row r="1423" spans="1:29">
      <c r="A1423" s="149"/>
      <c r="B1423" s="147"/>
      <c r="C1423" s="147"/>
      <c r="D1423" s="147"/>
      <c r="E1423" s="147"/>
      <c r="F1423" s="147"/>
      <c r="G1423" s="147"/>
      <c r="H1423" s="147"/>
      <c r="I1423" s="147"/>
      <c r="J1423" s="147"/>
      <c r="K1423" s="147"/>
      <c r="L1423" s="147"/>
      <c r="M1423" s="147"/>
      <c r="N1423" s="147"/>
      <c r="O1423" s="147"/>
      <c r="P1423" s="147"/>
      <c r="Q1423" s="147"/>
      <c r="R1423" s="148"/>
      <c r="S1423" s="148"/>
      <c r="T1423" s="148"/>
      <c r="U1423" s="148"/>
      <c r="V1423" s="148"/>
      <c r="W1423" s="148"/>
      <c r="X1423" s="148"/>
      <c r="Y1423" s="148"/>
      <c r="Z1423" s="148"/>
      <c r="AA1423" s="148"/>
      <c r="AB1423" s="148"/>
      <c r="AC1423" s="148"/>
    </row>
    <row r="1424" spans="1:29">
      <c r="A1424" s="149"/>
      <c r="B1424" s="147"/>
      <c r="C1424" s="147"/>
      <c r="D1424" s="147"/>
      <c r="E1424" s="147"/>
      <c r="F1424" s="147"/>
      <c r="G1424" s="147"/>
      <c r="H1424" s="147"/>
      <c r="I1424" s="147"/>
      <c r="J1424" s="147"/>
      <c r="K1424" s="147"/>
      <c r="L1424" s="147"/>
      <c r="M1424" s="147"/>
      <c r="N1424" s="147"/>
      <c r="O1424" s="147"/>
      <c r="P1424" s="147"/>
      <c r="Q1424" s="147"/>
      <c r="R1424" s="148"/>
      <c r="S1424" s="148"/>
      <c r="T1424" s="148"/>
      <c r="U1424" s="148"/>
      <c r="V1424" s="148"/>
      <c r="W1424" s="148"/>
      <c r="X1424" s="148"/>
      <c r="Y1424" s="148"/>
      <c r="Z1424" s="148"/>
      <c r="AA1424" s="148"/>
      <c r="AB1424" s="148"/>
      <c r="AC1424" s="148"/>
    </row>
    <row r="1425" spans="1:29">
      <c r="A1425" s="149"/>
      <c r="B1425" s="147"/>
      <c r="C1425" s="147"/>
      <c r="D1425" s="147"/>
      <c r="E1425" s="147"/>
      <c r="F1425" s="147"/>
      <c r="G1425" s="147"/>
      <c r="H1425" s="147"/>
      <c r="I1425" s="147"/>
      <c r="J1425" s="147"/>
      <c r="K1425" s="147"/>
      <c r="L1425" s="147"/>
      <c r="M1425" s="147"/>
      <c r="N1425" s="147"/>
      <c r="O1425" s="147"/>
      <c r="P1425" s="147"/>
      <c r="Q1425" s="147"/>
      <c r="R1425" s="148"/>
      <c r="S1425" s="148"/>
      <c r="T1425" s="148"/>
      <c r="U1425" s="148"/>
      <c r="V1425" s="148"/>
      <c r="W1425" s="148"/>
      <c r="X1425" s="148"/>
      <c r="Y1425" s="148"/>
      <c r="Z1425" s="148"/>
      <c r="AA1425" s="148"/>
      <c r="AB1425" s="148"/>
      <c r="AC1425" s="148"/>
    </row>
    <row r="1426" spans="1:29">
      <c r="A1426" s="149"/>
      <c r="B1426" s="147"/>
      <c r="C1426" s="147"/>
      <c r="D1426" s="147"/>
      <c r="E1426" s="147"/>
      <c r="F1426" s="147"/>
      <c r="G1426" s="147"/>
      <c r="H1426" s="147"/>
      <c r="I1426" s="147"/>
      <c r="J1426" s="147"/>
      <c r="K1426" s="147"/>
      <c r="L1426" s="147"/>
      <c r="M1426" s="147"/>
      <c r="N1426" s="147"/>
      <c r="O1426" s="147"/>
      <c r="P1426" s="147"/>
      <c r="Q1426" s="147"/>
      <c r="R1426" s="148"/>
      <c r="S1426" s="148"/>
      <c r="T1426" s="148"/>
      <c r="U1426" s="148"/>
      <c r="V1426" s="148"/>
      <c r="W1426" s="148"/>
      <c r="X1426" s="148"/>
      <c r="Y1426" s="148"/>
      <c r="Z1426" s="148"/>
      <c r="AA1426" s="148"/>
      <c r="AB1426" s="148"/>
      <c r="AC1426" s="148"/>
    </row>
    <row r="1427" spans="1:29">
      <c r="A1427" s="149"/>
      <c r="B1427" s="147"/>
      <c r="C1427" s="147"/>
      <c r="D1427" s="147"/>
      <c r="E1427" s="147"/>
      <c r="F1427" s="147"/>
      <c r="G1427" s="147"/>
      <c r="H1427" s="147"/>
      <c r="I1427" s="147"/>
      <c r="J1427" s="147"/>
      <c r="K1427" s="147"/>
      <c r="L1427" s="147"/>
      <c r="M1427" s="147"/>
      <c r="N1427" s="147"/>
      <c r="O1427" s="147"/>
      <c r="P1427" s="147"/>
      <c r="Q1427" s="147"/>
      <c r="R1427" s="148"/>
      <c r="S1427" s="148"/>
      <c r="T1427" s="148"/>
      <c r="U1427" s="148"/>
      <c r="V1427" s="148"/>
      <c r="W1427" s="148"/>
      <c r="X1427" s="148"/>
      <c r="Y1427" s="148"/>
      <c r="Z1427" s="148"/>
      <c r="AA1427" s="148"/>
      <c r="AB1427" s="148"/>
      <c r="AC1427" s="148"/>
    </row>
    <row r="1428" spans="1:29">
      <c r="A1428" s="149"/>
      <c r="B1428" s="147"/>
      <c r="C1428" s="147"/>
      <c r="D1428" s="147"/>
      <c r="E1428" s="147"/>
      <c r="F1428" s="147"/>
      <c r="G1428" s="147"/>
      <c r="H1428" s="147"/>
      <c r="I1428" s="147"/>
      <c r="J1428" s="147"/>
      <c r="K1428" s="147"/>
      <c r="L1428" s="147"/>
      <c r="M1428" s="147"/>
      <c r="N1428" s="147"/>
      <c r="O1428" s="147"/>
      <c r="P1428" s="147"/>
      <c r="Q1428" s="147"/>
      <c r="R1428" s="148"/>
      <c r="S1428" s="148"/>
      <c r="T1428" s="148"/>
      <c r="U1428" s="148"/>
      <c r="V1428" s="148"/>
      <c r="W1428" s="148"/>
      <c r="X1428" s="148"/>
      <c r="Y1428" s="148"/>
      <c r="Z1428" s="148"/>
      <c r="AA1428" s="148"/>
      <c r="AB1428" s="148"/>
      <c r="AC1428" s="148"/>
    </row>
    <row r="1429" spans="1:29">
      <c r="A1429" s="149"/>
      <c r="B1429" s="147"/>
      <c r="C1429" s="147"/>
      <c r="D1429" s="147"/>
      <c r="E1429" s="147"/>
      <c r="F1429" s="147"/>
      <c r="G1429" s="147"/>
      <c r="H1429" s="147"/>
      <c r="I1429" s="147"/>
      <c r="J1429" s="147"/>
      <c r="K1429" s="147"/>
      <c r="L1429" s="147"/>
      <c r="M1429" s="147"/>
      <c r="N1429" s="147"/>
      <c r="O1429" s="147"/>
      <c r="P1429" s="147"/>
      <c r="Q1429" s="147"/>
      <c r="R1429" s="148"/>
      <c r="S1429" s="148"/>
      <c r="T1429" s="148"/>
      <c r="U1429" s="148"/>
      <c r="V1429" s="148"/>
      <c r="W1429" s="148"/>
      <c r="X1429" s="148"/>
      <c r="Y1429" s="148"/>
      <c r="Z1429" s="148"/>
      <c r="AA1429" s="148"/>
      <c r="AB1429" s="148"/>
      <c r="AC1429" s="148"/>
    </row>
    <row r="1430" spans="1:29">
      <c r="A1430" s="149"/>
      <c r="B1430" s="147"/>
      <c r="C1430" s="147"/>
      <c r="D1430" s="147"/>
      <c r="E1430" s="147"/>
      <c r="F1430" s="147"/>
      <c r="G1430" s="147"/>
      <c r="H1430" s="147"/>
      <c r="I1430" s="147"/>
      <c r="J1430" s="147"/>
      <c r="K1430" s="147"/>
      <c r="L1430" s="147"/>
      <c r="M1430" s="147"/>
      <c r="N1430" s="147"/>
      <c r="O1430" s="147"/>
      <c r="P1430" s="147"/>
      <c r="Q1430" s="147"/>
      <c r="R1430" s="148"/>
      <c r="S1430" s="148"/>
      <c r="T1430" s="148"/>
      <c r="U1430" s="148"/>
      <c r="V1430" s="148"/>
      <c r="W1430" s="148"/>
      <c r="X1430" s="148"/>
      <c r="Y1430" s="148"/>
      <c r="Z1430" s="148"/>
      <c r="AA1430" s="148"/>
      <c r="AB1430" s="148"/>
      <c r="AC1430" s="148"/>
    </row>
    <row r="1431" spans="1:29">
      <c r="A1431" s="149"/>
      <c r="B1431" s="147"/>
      <c r="C1431" s="147"/>
      <c r="D1431" s="147"/>
      <c r="E1431" s="147"/>
      <c r="F1431" s="147"/>
      <c r="G1431" s="147"/>
      <c r="H1431" s="147"/>
      <c r="I1431" s="147"/>
      <c r="J1431" s="147"/>
      <c r="K1431" s="147"/>
      <c r="L1431" s="147"/>
      <c r="M1431" s="147"/>
      <c r="N1431" s="147"/>
      <c r="O1431" s="147"/>
      <c r="P1431" s="147"/>
      <c r="Q1431" s="147"/>
      <c r="R1431" s="148"/>
      <c r="S1431" s="148"/>
      <c r="T1431" s="148"/>
      <c r="U1431" s="148"/>
      <c r="V1431" s="148"/>
      <c r="W1431" s="148"/>
      <c r="X1431" s="148"/>
      <c r="Y1431" s="148"/>
      <c r="Z1431" s="148"/>
      <c r="AA1431" s="148"/>
      <c r="AB1431" s="148"/>
      <c r="AC1431" s="148"/>
    </row>
    <row r="1432" spans="1:29">
      <c r="A1432" s="149"/>
      <c r="B1432" s="147"/>
      <c r="C1432" s="147"/>
      <c r="D1432" s="147"/>
      <c r="E1432" s="147"/>
      <c r="F1432" s="147"/>
      <c r="G1432" s="147"/>
      <c r="H1432" s="147"/>
      <c r="I1432" s="147"/>
      <c r="J1432" s="147"/>
      <c r="K1432" s="147"/>
      <c r="L1432" s="147"/>
      <c r="M1432" s="147"/>
      <c r="N1432" s="147"/>
      <c r="O1432" s="147"/>
      <c r="P1432" s="147"/>
      <c r="Q1432" s="147"/>
      <c r="R1432" s="148"/>
      <c r="S1432" s="148"/>
      <c r="T1432" s="148"/>
      <c r="U1432" s="148"/>
      <c r="V1432" s="148"/>
      <c r="W1432" s="148"/>
      <c r="X1432" s="148"/>
      <c r="Y1432" s="148"/>
      <c r="Z1432" s="148"/>
      <c r="AA1432" s="148"/>
      <c r="AB1432" s="148"/>
      <c r="AC1432" s="148"/>
    </row>
    <row r="1433" spans="1:29">
      <c r="A1433" s="149"/>
      <c r="B1433" s="147"/>
      <c r="C1433" s="147"/>
      <c r="D1433" s="147"/>
      <c r="E1433" s="147"/>
      <c r="F1433" s="147"/>
      <c r="G1433" s="147"/>
      <c r="H1433" s="147"/>
      <c r="I1433" s="147"/>
      <c r="J1433" s="147"/>
      <c r="K1433" s="147"/>
      <c r="L1433" s="147"/>
      <c r="M1433" s="147"/>
      <c r="N1433" s="147"/>
      <c r="O1433" s="147"/>
      <c r="P1433" s="147"/>
      <c r="Q1433" s="147"/>
      <c r="R1433" s="148"/>
      <c r="S1433" s="148"/>
      <c r="T1433" s="148"/>
      <c r="U1433" s="148"/>
      <c r="V1433" s="148"/>
      <c r="W1433" s="148"/>
      <c r="X1433" s="148"/>
      <c r="Y1433" s="148"/>
      <c r="Z1433" s="148"/>
      <c r="AA1433" s="148"/>
      <c r="AB1433" s="148"/>
      <c r="AC1433" s="148"/>
    </row>
    <row r="1434" spans="1:29">
      <c r="A1434" s="149"/>
      <c r="B1434" s="147"/>
      <c r="C1434" s="147"/>
      <c r="D1434" s="147"/>
      <c r="E1434" s="147"/>
      <c r="F1434" s="147"/>
      <c r="G1434" s="147"/>
      <c r="H1434" s="147"/>
      <c r="I1434" s="147"/>
      <c r="J1434" s="147"/>
      <c r="K1434" s="147"/>
      <c r="L1434" s="147"/>
      <c r="M1434" s="147"/>
      <c r="N1434" s="147"/>
      <c r="O1434" s="147"/>
      <c r="P1434" s="147"/>
      <c r="Q1434" s="147"/>
      <c r="R1434" s="148"/>
      <c r="S1434" s="148"/>
      <c r="T1434" s="148"/>
      <c r="U1434" s="148"/>
      <c r="V1434" s="148"/>
      <c r="W1434" s="148"/>
      <c r="X1434" s="148"/>
      <c r="Y1434" s="148"/>
      <c r="Z1434" s="148"/>
      <c r="AA1434" s="148"/>
      <c r="AB1434" s="148"/>
      <c r="AC1434" s="148"/>
    </row>
    <row r="1435" spans="1:29">
      <c r="A1435" s="149"/>
      <c r="B1435" s="147"/>
      <c r="C1435" s="147"/>
      <c r="D1435" s="147"/>
      <c r="E1435" s="147"/>
      <c r="F1435" s="147"/>
      <c r="G1435" s="147"/>
      <c r="H1435" s="147"/>
      <c r="I1435" s="147"/>
      <c r="J1435" s="147"/>
      <c r="K1435" s="147"/>
      <c r="L1435" s="147"/>
      <c r="M1435" s="147"/>
      <c r="N1435" s="147"/>
      <c r="O1435" s="147"/>
      <c r="P1435" s="147"/>
      <c r="Q1435" s="147"/>
      <c r="R1435" s="148"/>
      <c r="S1435" s="148"/>
      <c r="T1435" s="148"/>
      <c r="U1435" s="148"/>
      <c r="V1435" s="148"/>
      <c r="W1435" s="148"/>
      <c r="X1435" s="148"/>
      <c r="Y1435" s="148"/>
      <c r="Z1435" s="148"/>
      <c r="AA1435" s="148"/>
      <c r="AB1435" s="148"/>
      <c r="AC1435" s="148"/>
    </row>
    <row r="1436" spans="1:29">
      <c r="A1436" s="149"/>
      <c r="B1436" s="147"/>
      <c r="C1436" s="147"/>
      <c r="D1436" s="147"/>
      <c r="E1436" s="147"/>
      <c r="F1436" s="147"/>
      <c r="G1436" s="147"/>
      <c r="H1436" s="147"/>
      <c r="I1436" s="147"/>
      <c r="J1436" s="147"/>
      <c r="K1436" s="147"/>
      <c r="L1436" s="147"/>
      <c r="M1436" s="147"/>
      <c r="N1436" s="147"/>
      <c r="O1436" s="147"/>
      <c r="P1436" s="147"/>
      <c r="Q1436" s="147"/>
      <c r="R1436" s="148"/>
      <c r="S1436" s="148"/>
      <c r="T1436" s="148"/>
      <c r="U1436" s="148"/>
      <c r="V1436" s="148"/>
      <c r="W1436" s="148"/>
      <c r="X1436" s="148"/>
      <c r="Y1436" s="148"/>
      <c r="Z1436" s="148"/>
      <c r="AA1436" s="148"/>
      <c r="AB1436" s="148"/>
      <c r="AC1436" s="148"/>
    </row>
    <row r="1437" spans="1:29">
      <c r="A1437" s="149"/>
      <c r="B1437" s="147"/>
      <c r="C1437" s="147"/>
      <c r="D1437" s="147"/>
      <c r="E1437" s="147"/>
      <c r="F1437" s="147"/>
      <c r="G1437" s="147"/>
      <c r="H1437" s="147"/>
      <c r="I1437" s="147"/>
      <c r="J1437" s="147"/>
      <c r="K1437" s="147"/>
      <c r="L1437" s="147"/>
      <c r="M1437" s="147"/>
      <c r="N1437" s="147"/>
      <c r="O1437" s="147"/>
      <c r="P1437" s="147"/>
      <c r="Q1437" s="147"/>
      <c r="R1437" s="148"/>
      <c r="S1437" s="148"/>
      <c r="T1437" s="148"/>
      <c r="U1437" s="148"/>
      <c r="V1437" s="148"/>
      <c r="W1437" s="148"/>
      <c r="X1437" s="148"/>
      <c r="Y1437" s="148"/>
      <c r="Z1437" s="148"/>
      <c r="AA1437" s="148"/>
      <c r="AB1437" s="148"/>
      <c r="AC1437" s="148"/>
    </row>
    <row r="1438" spans="1:29">
      <c r="A1438" s="149"/>
      <c r="B1438" s="147"/>
      <c r="C1438" s="147"/>
      <c r="D1438" s="147"/>
      <c r="E1438" s="147"/>
      <c r="F1438" s="147"/>
      <c r="G1438" s="147"/>
      <c r="H1438" s="147"/>
      <c r="I1438" s="147"/>
      <c r="J1438" s="147"/>
      <c r="K1438" s="147"/>
      <c r="L1438" s="147"/>
      <c r="M1438" s="147"/>
      <c r="N1438" s="147"/>
      <c r="O1438" s="147"/>
      <c r="P1438" s="147"/>
      <c r="Q1438" s="147"/>
      <c r="R1438" s="148"/>
      <c r="S1438" s="148"/>
      <c r="T1438" s="148"/>
      <c r="U1438" s="148"/>
      <c r="V1438" s="148"/>
      <c r="W1438" s="148"/>
      <c r="X1438" s="148"/>
      <c r="Y1438" s="148"/>
      <c r="Z1438" s="148"/>
      <c r="AA1438" s="148"/>
      <c r="AB1438" s="148"/>
      <c r="AC1438" s="148"/>
    </row>
    <row r="1439" spans="1:29">
      <c r="A1439" s="149"/>
      <c r="B1439" s="147"/>
      <c r="C1439" s="147"/>
      <c r="D1439" s="147"/>
      <c r="E1439" s="147"/>
      <c r="F1439" s="147"/>
      <c r="G1439" s="147"/>
      <c r="H1439" s="147"/>
      <c r="I1439" s="147"/>
      <c r="J1439" s="147"/>
      <c r="K1439" s="147"/>
      <c r="L1439" s="147"/>
      <c r="M1439" s="147"/>
      <c r="N1439" s="147"/>
      <c r="O1439" s="147"/>
      <c r="P1439" s="147"/>
      <c r="Q1439" s="147"/>
      <c r="R1439" s="148"/>
      <c r="S1439" s="148"/>
      <c r="T1439" s="148"/>
      <c r="U1439" s="148"/>
      <c r="V1439" s="148"/>
      <c r="W1439" s="148"/>
      <c r="X1439" s="148"/>
      <c r="Y1439" s="148"/>
      <c r="Z1439" s="148"/>
      <c r="AA1439" s="148"/>
      <c r="AB1439" s="148"/>
      <c r="AC1439" s="148"/>
    </row>
    <row r="1440" spans="1:29">
      <c r="A1440" s="149"/>
      <c r="B1440" s="147"/>
      <c r="C1440" s="147"/>
      <c r="D1440" s="147"/>
      <c r="E1440" s="147"/>
      <c r="F1440" s="147"/>
      <c r="G1440" s="147"/>
      <c r="H1440" s="147"/>
      <c r="I1440" s="147"/>
      <c r="J1440" s="147"/>
      <c r="K1440" s="147"/>
      <c r="L1440" s="147"/>
      <c r="M1440" s="147"/>
      <c r="N1440" s="147"/>
      <c r="O1440" s="147"/>
      <c r="P1440" s="147"/>
      <c r="Q1440" s="147"/>
      <c r="R1440" s="148"/>
      <c r="S1440" s="148"/>
      <c r="T1440" s="148"/>
      <c r="U1440" s="148"/>
      <c r="V1440" s="148"/>
      <c r="W1440" s="148"/>
      <c r="X1440" s="148"/>
      <c r="Y1440" s="148"/>
      <c r="Z1440" s="148"/>
      <c r="AA1440" s="148"/>
      <c r="AB1440" s="148"/>
      <c r="AC1440" s="148"/>
    </row>
    <row r="1441" spans="1:29">
      <c r="A1441" s="149"/>
      <c r="B1441" s="147"/>
      <c r="C1441" s="147"/>
      <c r="D1441" s="147"/>
      <c r="E1441" s="147"/>
      <c r="F1441" s="147"/>
      <c r="G1441" s="147"/>
      <c r="H1441" s="147"/>
      <c r="I1441" s="147"/>
      <c r="J1441" s="147"/>
      <c r="K1441" s="147"/>
      <c r="L1441" s="147"/>
      <c r="M1441" s="147"/>
      <c r="N1441" s="147"/>
      <c r="O1441" s="147"/>
      <c r="P1441" s="147"/>
      <c r="Q1441" s="147"/>
      <c r="R1441" s="148"/>
      <c r="S1441" s="148"/>
      <c r="T1441" s="148"/>
      <c r="U1441" s="148"/>
      <c r="V1441" s="148"/>
      <c r="W1441" s="148"/>
      <c r="X1441" s="148"/>
      <c r="Y1441" s="148"/>
      <c r="Z1441" s="148"/>
      <c r="AA1441" s="148"/>
      <c r="AB1441" s="148"/>
      <c r="AC1441" s="148"/>
    </row>
    <row r="1442" spans="1:29">
      <c r="A1442" s="149"/>
      <c r="B1442" s="147"/>
      <c r="C1442" s="147"/>
      <c r="D1442" s="147"/>
      <c r="E1442" s="147"/>
      <c r="F1442" s="147"/>
      <c r="G1442" s="147"/>
      <c r="H1442" s="147"/>
      <c r="I1442" s="147"/>
      <c r="J1442" s="147"/>
      <c r="K1442" s="147"/>
      <c r="L1442" s="147"/>
      <c r="M1442" s="147"/>
      <c r="N1442" s="147"/>
      <c r="O1442" s="147"/>
      <c r="P1442" s="147"/>
      <c r="Q1442" s="147"/>
      <c r="R1442" s="148"/>
      <c r="S1442" s="148"/>
      <c r="T1442" s="148"/>
      <c r="U1442" s="148"/>
      <c r="V1442" s="148"/>
      <c r="W1442" s="148"/>
      <c r="X1442" s="148"/>
      <c r="Y1442" s="148"/>
      <c r="Z1442" s="148"/>
      <c r="AA1442" s="148"/>
      <c r="AB1442" s="148"/>
      <c r="AC1442" s="148"/>
    </row>
    <row r="1443" spans="1:29">
      <c r="A1443" s="149"/>
      <c r="B1443" s="147"/>
      <c r="C1443" s="147"/>
      <c r="D1443" s="147"/>
      <c r="E1443" s="147"/>
      <c r="F1443" s="147"/>
      <c r="G1443" s="147"/>
      <c r="H1443" s="147"/>
      <c r="I1443" s="147"/>
      <c r="J1443" s="147"/>
      <c r="K1443" s="147"/>
      <c r="L1443" s="147"/>
      <c r="M1443" s="147"/>
      <c r="N1443" s="147"/>
      <c r="O1443" s="147"/>
      <c r="P1443" s="147"/>
      <c r="Q1443" s="147"/>
      <c r="R1443" s="148"/>
      <c r="S1443" s="148"/>
      <c r="T1443" s="148"/>
      <c r="U1443" s="148"/>
      <c r="V1443" s="148"/>
      <c r="W1443" s="148"/>
      <c r="X1443" s="148"/>
      <c r="Y1443" s="148"/>
      <c r="Z1443" s="148"/>
      <c r="AA1443" s="148"/>
      <c r="AB1443" s="148"/>
      <c r="AC1443" s="148"/>
    </row>
    <row r="1444" spans="1:29">
      <c r="A1444" s="149"/>
      <c r="B1444" s="147"/>
      <c r="C1444" s="147"/>
      <c r="D1444" s="147"/>
      <c r="E1444" s="147"/>
      <c r="F1444" s="147"/>
      <c r="G1444" s="147"/>
      <c r="H1444" s="147"/>
      <c r="I1444" s="147"/>
      <c r="J1444" s="147"/>
      <c r="K1444" s="147"/>
      <c r="L1444" s="147"/>
      <c r="M1444" s="147"/>
      <c r="N1444" s="147"/>
      <c r="O1444" s="147"/>
      <c r="P1444" s="147"/>
      <c r="Q1444" s="147"/>
      <c r="R1444" s="148"/>
      <c r="S1444" s="148"/>
      <c r="T1444" s="148"/>
      <c r="U1444" s="148"/>
      <c r="V1444" s="148"/>
      <c r="W1444" s="148"/>
      <c r="X1444" s="148"/>
      <c r="Y1444" s="148"/>
      <c r="Z1444" s="148"/>
      <c r="AA1444" s="148"/>
      <c r="AB1444" s="148"/>
      <c r="AC1444" s="148"/>
    </row>
    <row r="1445" spans="1:29">
      <c r="A1445" s="149"/>
      <c r="B1445" s="147"/>
      <c r="C1445" s="147"/>
      <c r="D1445" s="147"/>
      <c r="E1445" s="147"/>
      <c r="F1445" s="147"/>
      <c r="G1445" s="147"/>
      <c r="H1445" s="147"/>
      <c r="I1445" s="147"/>
      <c r="J1445" s="147"/>
      <c r="K1445" s="147"/>
      <c r="L1445" s="147"/>
      <c r="M1445" s="147"/>
      <c r="N1445" s="147"/>
      <c r="O1445" s="147"/>
      <c r="P1445" s="147"/>
      <c r="Q1445" s="147"/>
      <c r="R1445" s="148"/>
      <c r="S1445" s="148"/>
      <c r="T1445" s="148"/>
      <c r="U1445" s="148"/>
      <c r="V1445" s="148"/>
      <c r="W1445" s="148"/>
      <c r="X1445" s="148"/>
      <c r="Y1445" s="148"/>
      <c r="Z1445" s="148"/>
      <c r="AA1445" s="148"/>
      <c r="AB1445" s="148"/>
      <c r="AC1445" s="148"/>
    </row>
    <row r="1446" spans="1:29">
      <c r="A1446" s="149"/>
      <c r="B1446" s="147"/>
      <c r="C1446" s="147"/>
      <c r="D1446" s="147"/>
      <c r="E1446" s="147"/>
      <c r="F1446" s="147"/>
      <c r="G1446" s="147"/>
      <c r="H1446" s="147"/>
      <c r="I1446" s="147"/>
      <c r="J1446" s="147"/>
      <c r="K1446" s="147"/>
      <c r="L1446" s="147"/>
      <c r="M1446" s="147"/>
      <c r="N1446" s="147"/>
      <c r="O1446" s="147"/>
      <c r="P1446" s="147"/>
      <c r="Q1446" s="147"/>
      <c r="R1446" s="148"/>
      <c r="S1446" s="148"/>
      <c r="T1446" s="148"/>
      <c r="U1446" s="148"/>
      <c r="V1446" s="148"/>
      <c r="W1446" s="148"/>
      <c r="X1446" s="148"/>
      <c r="Y1446" s="148"/>
      <c r="Z1446" s="148"/>
      <c r="AA1446" s="148"/>
      <c r="AB1446" s="148"/>
      <c r="AC1446" s="148"/>
    </row>
    <row r="1447" spans="1:29">
      <c r="A1447" s="149"/>
      <c r="B1447" s="147"/>
      <c r="C1447" s="147"/>
      <c r="D1447" s="147"/>
      <c r="E1447" s="147"/>
      <c r="F1447" s="147"/>
      <c r="G1447" s="147"/>
      <c r="H1447" s="147"/>
      <c r="I1447" s="147"/>
      <c r="J1447" s="147"/>
      <c r="K1447" s="147"/>
      <c r="L1447" s="147"/>
      <c r="M1447" s="147"/>
      <c r="N1447" s="147"/>
      <c r="O1447" s="147"/>
      <c r="P1447" s="147"/>
      <c r="Q1447" s="147"/>
      <c r="R1447" s="148"/>
      <c r="S1447" s="148"/>
      <c r="T1447" s="148"/>
      <c r="U1447" s="148"/>
      <c r="V1447" s="148"/>
      <c r="W1447" s="148"/>
      <c r="X1447" s="148"/>
      <c r="Y1447" s="148"/>
      <c r="Z1447" s="148"/>
      <c r="AA1447" s="148"/>
      <c r="AB1447" s="148"/>
      <c r="AC1447" s="148"/>
    </row>
    <row r="1448" spans="1:29">
      <c r="A1448" s="149"/>
      <c r="B1448" s="147"/>
      <c r="C1448" s="147"/>
      <c r="D1448" s="147"/>
      <c r="E1448" s="147"/>
      <c r="F1448" s="147"/>
      <c r="G1448" s="147"/>
      <c r="H1448" s="147"/>
      <c r="I1448" s="147"/>
      <c r="J1448" s="147"/>
      <c r="K1448" s="147"/>
      <c r="L1448" s="147"/>
      <c r="M1448" s="147"/>
      <c r="N1448" s="147"/>
      <c r="O1448" s="147"/>
      <c r="P1448" s="147"/>
      <c r="Q1448" s="147"/>
      <c r="R1448" s="148"/>
      <c r="S1448" s="148"/>
      <c r="T1448" s="148"/>
      <c r="U1448" s="148"/>
      <c r="V1448" s="148"/>
      <c r="W1448" s="148"/>
      <c r="X1448" s="148"/>
      <c r="Y1448" s="148"/>
      <c r="Z1448" s="148"/>
      <c r="AA1448" s="148"/>
      <c r="AB1448" s="148"/>
      <c r="AC1448" s="148"/>
    </row>
    <row r="1449" spans="1:29">
      <c r="A1449" s="149"/>
      <c r="B1449" s="147"/>
      <c r="C1449" s="147"/>
      <c r="D1449" s="147"/>
      <c r="E1449" s="147"/>
      <c r="F1449" s="147"/>
      <c r="G1449" s="147"/>
      <c r="H1449" s="147"/>
      <c r="I1449" s="147"/>
      <c r="J1449" s="147"/>
      <c r="K1449" s="147"/>
      <c r="L1449" s="147"/>
      <c r="M1449" s="147"/>
      <c r="N1449" s="147"/>
      <c r="O1449" s="147"/>
      <c r="P1449" s="147"/>
      <c r="Q1449" s="147"/>
      <c r="R1449" s="148"/>
      <c r="S1449" s="148"/>
      <c r="T1449" s="148"/>
      <c r="U1449" s="148"/>
      <c r="V1449" s="148"/>
      <c r="W1449" s="148"/>
      <c r="X1449" s="148"/>
      <c r="Y1449" s="148"/>
      <c r="Z1449" s="148"/>
      <c r="AA1449" s="148"/>
      <c r="AB1449" s="148"/>
      <c r="AC1449" s="148"/>
    </row>
    <row r="1450" spans="1:29">
      <c r="A1450" s="149"/>
      <c r="B1450" s="147"/>
      <c r="C1450" s="147"/>
      <c r="D1450" s="147"/>
      <c r="E1450" s="147"/>
      <c r="F1450" s="147"/>
      <c r="G1450" s="147"/>
      <c r="H1450" s="147"/>
      <c r="I1450" s="147"/>
      <c r="J1450" s="147"/>
      <c r="K1450" s="147"/>
      <c r="L1450" s="147"/>
      <c r="M1450" s="147"/>
      <c r="N1450" s="147"/>
      <c r="O1450" s="147"/>
      <c r="P1450" s="147"/>
      <c r="Q1450" s="147"/>
      <c r="R1450" s="148"/>
      <c r="S1450" s="148"/>
      <c r="T1450" s="148"/>
      <c r="U1450" s="148"/>
      <c r="V1450" s="148"/>
      <c r="W1450" s="148"/>
      <c r="X1450" s="148"/>
      <c r="Y1450" s="148"/>
      <c r="Z1450" s="148"/>
      <c r="AA1450" s="148"/>
      <c r="AB1450" s="148"/>
      <c r="AC1450" s="148"/>
    </row>
    <row r="1451" spans="1:29">
      <c r="A1451" s="149"/>
      <c r="B1451" s="147"/>
      <c r="C1451" s="147"/>
      <c r="D1451" s="147"/>
      <c r="E1451" s="147"/>
      <c r="F1451" s="147"/>
      <c r="G1451" s="147"/>
      <c r="H1451" s="147"/>
      <c r="I1451" s="147"/>
      <c r="J1451" s="147"/>
      <c r="K1451" s="147"/>
      <c r="L1451" s="147"/>
      <c r="M1451" s="147"/>
      <c r="N1451" s="147"/>
      <c r="O1451" s="147"/>
      <c r="P1451" s="147"/>
      <c r="Q1451" s="147"/>
      <c r="R1451" s="148"/>
      <c r="S1451" s="148"/>
      <c r="T1451" s="148"/>
      <c r="U1451" s="148"/>
      <c r="V1451" s="148"/>
      <c r="W1451" s="148"/>
      <c r="X1451" s="148"/>
      <c r="Y1451" s="148"/>
      <c r="Z1451" s="148"/>
      <c r="AA1451" s="148"/>
      <c r="AB1451" s="148"/>
      <c r="AC1451" s="148"/>
    </row>
    <row r="1452" spans="1:29">
      <c r="A1452" s="149"/>
      <c r="B1452" s="147"/>
      <c r="C1452" s="147"/>
      <c r="D1452" s="147"/>
      <c r="E1452" s="147"/>
      <c r="F1452" s="147"/>
      <c r="G1452" s="147"/>
      <c r="H1452" s="147"/>
      <c r="I1452" s="147"/>
      <c r="J1452" s="147"/>
      <c r="K1452" s="147"/>
      <c r="L1452" s="147"/>
      <c r="M1452" s="147"/>
      <c r="N1452" s="147"/>
      <c r="O1452" s="147"/>
      <c r="P1452" s="147"/>
      <c r="Q1452" s="147"/>
      <c r="R1452" s="148"/>
      <c r="S1452" s="148"/>
      <c r="T1452" s="148"/>
      <c r="U1452" s="148"/>
      <c r="V1452" s="148"/>
      <c r="W1452" s="148"/>
      <c r="X1452" s="148"/>
      <c r="Y1452" s="148"/>
      <c r="Z1452" s="148"/>
      <c r="AA1452" s="148"/>
      <c r="AB1452" s="148"/>
      <c r="AC1452" s="148"/>
    </row>
    <row r="1453" spans="1:29">
      <c r="A1453" s="149"/>
      <c r="B1453" s="147"/>
      <c r="C1453" s="147"/>
      <c r="D1453" s="147"/>
      <c r="E1453" s="147"/>
      <c r="F1453" s="147"/>
      <c r="G1453" s="147"/>
      <c r="H1453" s="147"/>
      <c r="I1453" s="147"/>
      <c r="J1453" s="147"/>
      <c r="K1453" s="147"/>
      <c r="L1453" s="147"/>
      <c r="M1453" s="147"/>
      <c r="N1453" s="147"/>
      <c r="O1453" s="147"/>
      <c r="P1453" s="147"/>
      <c r="Q1453" s="147"/>
      <c r="R1453" s="148"/>
      <c r="S1453" s="148"/>
      <c r="T1453" s="148"/>
      <c r="U1453" s="148"/>
      <c r="V1453" s="148"/>
      <c r="W1453" s="148"/>
      <c r="X1453" s="148"/>
      <c r="Y1453" s="148"/>
      <c r="Z1453" s="148"/>
      <c r="AA1453" s="148"/>
      <c r="AB1453" s="148"/>
      <c r="AC1453" s="148"/>
    </row>
    <row r="1454" spans="1:29">
      <c r="A1454" s="149"/>
      <c r="B1454" s="147"/>
      <c r="C1454" s="147"/>
      <c r="D1454" s="147"/>
      <c r="E1454" s="147"/>
      <c r="F1454" s="147"/>
      <c r="G1454" s="147"/>
      <c r="H1454" s="147"/>
      <c r="I1454" s="147"/>
      <c r="J1454" s="147"/>
      <c r="K1454" s="147"/>
      <c r="L1454" s="147"/>
      <c r="M1454" s="147"/>
      <c r="N1454" s="147"/>
      <c r="O1454" s="147"/>
      <c r="P1454" s="147"/>
      <c r="Q1454" s="147"/>
      <c r="R1454" s="148"/>
      <c r="S1454" s="148"/>
      <c r="T1454" s="148"/>
      <c r="U1454" s="148"/>
      <c r="V1454" s="148"/>
      <c r="W1454" s="148"/>
      <c r="X1454" s="148"/>
      <c r="Y1454" s="148"/>
      <c r="Z1454" s="148"/>
      <c r="AA1454" s="148"/>
      <c r="AB1454" s="148"/>
      <c r="AC1454" s="148"/>
    </row>
    <row r="1455" spans="1:29">
      <c r="A1455" s="149"/>
      <c r="B1455" s="147"/>
      <c r="C1455" s="147"/>
      <c r="D1455" s="147"/>
      <c r="E1455" s="147"/>
      <c r="F1455" s="147"/>
      <c r="G1455" s="147"/>
      <c r="H1455" s="147"/>
      <c r="I1455" s="147"/>
      <c r="J1455" s="147"/>
      <c r="K1455" s="147"/>
      <c r="L1455" s="147"/>
      <c r="M1455" s="147"/>
      <c r="N1455" s="147"/>
      <c r="O1455" s="147"/>
      <c r="P1455" s="147"/>
      <c r="Q1455" s="147"/>
      <c r="R1455" s="148"/>
      <c r="S1455" s="148"/>
      <c r="T1455" s="148"/>
      <c r="U1455" s="148"/>
      <c r="V1455" s="148"/>
      <c r="W1455" s="148"/>
      <c r="X1455" s="148"/>
      <c r="Y1455" s="148"/>
      <c r="Z1455" s="148"/>
      <c r="AA1455" s="148"/>
      <c r="AB1455" s="148"/>
      <c r="AC1455" s="148"/>
    </row>
    <row r="1456" spans="1:29">
      <c r="A1456" s="149"/>
      <c r="B1456" s="147"/>
      <c r="C1456" s="147"/>
      <c r="D1456" s="147"/>
      <c r="E1456" s="147"/>
      <c r="F1456" s="147"/>
      <c r="G1456" s="147"/>
      <c r="H1456" s="147"/>
      <c r="I1456" s="147"/>
      <c r="J1456" s="147"/>
      <c r="K1456" s="147"/>
      <c r="L1456" s="147"/>
      <c r="M1456" s="147"/>
      <c r="N1456" s="147"/>
      <c r="O1456" s="147"/>
      <c r="P1456" s="147"/>
      <c r="Q1456" s="147"/>
      <c r="R1456" s="148"/>
      <c r="S1456" s="148"/>
      <c r="T1456" s="148"/>
      <c r="U1456" s="148"/>
      <c r="V1456" s="148"/>
      <c r="W1456" s="148"/>
      <c r="X1456" s="148"/>
      <c r="Y1456" s="148"/>
      <c r="Z1456" s="148"/>
      <c r="AA1456" s="148"/>
      <c r="AB1456" s="148"/>
      <c r="AC1456" s="148"/>
    </row>
    <row r="1457" spans="1:29">
      <c r="A1457" s="149"/>
      <c r="B1457" s="147"/>
      <c r="C1457" s="147"/>
      <c r="D1457" s="147"/>
      <c r="E1457" s="147"/>
      <c r="F1457" s="147"/>
      <c r="G1457" s="147"/>
      <c r="H1457" s="147"/>
      <c r="I1457" s="147"/>
      <c r="J1457" s="147"/>
      <c r="K1457" s="147"/>
      <c r="L1457" s="147"/>
      <c r="M1457" s="147"/>
      <c r="N1457" s="147"/>
      <c r="O1457" s="147"/>
      <c r="P1457" s="147"/>
      <c r="Q1457" s="147"/>
      <c r="R1457" s="148"/>
      <c r="S1457" s="148"/>
      <c r="T1457" s="148"/>
      <c r="U1457" s="148"/>
      <c r="V1457" s="148"/>
      <c r="W1457" s="148"/>
      <c r="X1457" s="148"/>
      <c r="Y1457" s="148"/>
      <c r="Z1457" s="148"/>
      <c r="AA1457" s="148"/>
      <c r="AB1457" s="148"/>
      <c r="AC1457" s="148"/>
    </row>
    <row r="1458" spans="1:29">
      <c r="A1458" s="149"/>
      <c r="B1458" s="147"/>
      <c r="C1458" s="147"/>
      <c r="D1458" s="147"/>
      <c r="E1458" s="147"/>
      <c r="F1458" s="147"/>
      <c r="G1458" s="147"/>
      <c r="H1458" s="147"/>
      <c r="I1458" s="147"/>
      <c r="J1458" s="147"/>
      <c r="K1458" s="147"/>
      <c r="L1458" s="147"/>
      <c r="M1458" s="147"/>
      <c r="N1458" s="147"/>
      <c r="O1458" s="147"/>
      <c r="P1458" s="147"/>
      <c r="Q1458" s="147"/>
      <c r="R1458" s="148"/>
      <c r="S1458" s="148"/>
      <c r="T1458" s="148"/>
      <c r="U1458" s="148"/>
      <c r="V1458" s="148"/>
      <c r="W1458" s="148"/>
      <c r="X1458" s="148"/>
      <c r="Y1458" s="148"/>
      <c r="Z1458" s="148"/>
      <c r="AA1458" s="148"/>
      <c r="AB1458" s="148"/>
      <c r="AC1458" s="148"/>
    </row>
    <row r="1459" spans="1:29">
      <c r="A1459" s="149"/>
      <c r="B1459" s="147"/>
      <c r="C1459" s="147"/>
      <c r="D1459" s="147"/>
      <c r="E1459" s="147"/>
      <c r="F1459" s="147"/>
      <c r="G1459" s="147"/>
      <c r="H1459" s="147"/>
      <c r="I1459" s="147"/>
      <c r="J1459" s="147"/>
      <c r="K1459" s="147"/>
      <c r="L1459" s="147"/>
      <c r="M1459" s="147"/>
      <c r="N1459" s="147"/>
      <c r="O1459" s="147"/>
      <c r="P1459" s="147"/>
      <c r="Q1459" s="147"/>
      <c r="R1459" s="148"/>
      <c r="S1459" s="148"/>
      <c r="T1459" s="148"/>
      <c r="U1459" s="148"/>
      <c r="V1459" s="148"/>
      <c r="W1459" s="148"/>
      <c r="X1459" s="148"/>
      <c r="Y1459" s="148"/>
      <c r="Z1459" s="148"/>
      <c r="AA1459" s="148"/>
      <c r="AB1459" s="148"/>
      <c r="AC1459" s="148"/>
    </row>
    <row r="1460" spans="1:29">
      <c r="A1460" s="149"/>
      <c r="B1460" s="147"/>
      <c r="C1460" s="147"/>
      <c r="D1460" s="147"/>
      <c r="E1460" s="147"/>
      <c r="F1460" s="147"/>
      <c r="G1460" s="147"/>
      <c r="H1460" s="147"/>
      <c r="I1460" s="147"/>
      <c r="J1460" s="147"/>
      <c r="K1460" s="147"/>
      <c r="L1460" s="147"/>
      <c r="M1460" s="147"/>
      <c r="N1460" s="147"/>
      <c r="O1460" s="147"/>
      <c r="P1460" s="147"/>
      <c r="Q1460" s="147"/>
      <c r="R1460" s="148"/>
      <c r="S1460" s="148"/>
      <c r="T1460" s="148"/>
      <c r="U1460" s="148"/>
      <c r="V1460" s="148"/>
      <c r="W1460" s="148"/>
      <c r="X1460" s="148"/>
      <c r="Y1460" s="148"/>
      <c r="Z1460" s="148"/>
      <c r="AA1460" s="148"/>
      <c r="AB1460" s="148"/>
      <c r="AC1460" s="148"/>
    </row>
    <row r="1461" spans="1:29">
      <c r="A1461" s="149"/>
      <c r="B1461" s="147"/>
      <c r="C1461" s="147"/>
      <c r="D1461" s="147"/>
      <c r="E1461" s="147"/>
      <c r="F1461" s="147"/>
      <c r="G1461" s="147"/>
      <c r="H1461" s="147"/>
      <c r="I1461" s="147"/>
      <c r="J1461" s="147"/>
      <c r="K1461" s="147"/>
      <c r="L1461" s="147"/>
      <c r="M1461" s="147"/>
      <c r="N1461" s="147"/>
      <c r="O1461" s="147"/>
      <c r="P1461" s="147"/>
      <c r="Q1461" s="147"/>
      <c r="R1461" s="148"/>
      <c r="S1461" s="148"/>
      <c r="T1461" s="148"/>
      <c r="U1461" s="148"/>
      <c r="V1461" s="148"/>
      <c r="W1461" s="148"/>
      <c r="X1461" s="148"/>
      <c r="Y1461" s="148"/>
      <c r="Z1461" s="148"/>
      <c r="AA1461" s="148"/>
      <c r="AB1461" s="148"/>
      <c r="AC1461" s="148"/>
    </row>
    <row r="1462" spans="1:29">
      <c r="A1462" s="149"/>
      <c r="B1462" s="147"/>
      <c r="C1462" s="147"/>
      <c r="D1462" s="147"/>
      <c r="E1462" s="147"/>
      <c r="F1462" s="147"/>
      <c r="G1462" s="147"/>
      <c r="H1462" s="147"/>
      <c r="I1462" s="147"/>
      <c r="J1462" s="147"/>
      <c r="K1462" s="147"/>
      <c r="L1462" s="147"/>
      <c r="M1462" s="147"/>
      <c r="N1462" s="147"/>
      <c r="O1462" s="147"/>
      <c r="P1462" s="147"/>
      <c r="Q1462" s="147"/>
      <c r="R1462" s="148"/>
      <c r="S1462" s="148"/>
      <c r="T1462" s="148"/>
      <c r="U1462" s="148"/>
      <c r="V1462" s="148"/>
      <c r="W1462" s="148"/>
      <c r="X1462" s="148"/>
      <c r="Y1462" s="148"/>
      <c r="Z1462" s="148"/>
      <c r="AA1462" s="148"/>
      <c r="AB1462" s="148"/>
      <c r="AC1462" s="148"/>
    </row>
    <row r="1463" spans="1:29">
      <c r="A1463" s="149"/>
      <c r="B1463" s="147"/>
      <c r="C1463" s="147"/>
      <c r="D1463" s="147"/>
      <c r="E1463" s="147"/>
      <c r="F1463" s="147"/>
      <c r="G1463" s="147"/>
      <c r="H1463" s="147"/>
      <c r="I1463" s="147"/>
      <c r="J1463" s="147"/>
      <c r="K1463" s="147"/>
      <c r="L1463" s="147"/>
      <c r="M1463" s="147"/>
      <c r="N1463" s="147"/>
      <c r="O1463" s="147"/>
      <c r="P1463" s="147"/>
      <c r="Q1463" s="147"/>
      <c r="R1463" s="148"/>
      <c r="S1463" s="148"/>
      <c r="T1463" s="148"/>
      <c r="U1463" s="148"/>
      <c r="V1463" s="148"/>
      <c r="W1463" s="148"/>
      <c r="X1463" s="148"/>
      <c r="Y1463" s="148"/>
      <c r="Z1463" s="148"/>
      <c r="AA1463" s="148"/>
      <c r="AB1463" s="148"/>
      <c r="AC1463" s="148"/>
    </row>
    <row r="1464" spans="1:29">
      <c r="A1464" s="149"/>
      <c r="B1464" s="147"/>
      <c r="C1464" s="147"/>
      <c r="D1464" s="147"/>
      <c r="E1464" s="147"/>
      <c r="F1464" s="147"/>
      <c r="G1464" s="147"/>
      <c r="H1464" s="147"/>
      <c r="I1464" s="147"/>
      <c r="J1464" s="147"/>
      <c r="K1464" s="147"/>
      <c r="L1464" s="147"/>
      <c r="M1464" s="147"/>
      <c r="N1464" s="147"/>
      <c r="O1464" s="147"/>
      <c r="P1464" s="147"/>
      <c r="Q1464" s="147"/>
      <c r="R1464" s="148"/>
      <c r="S1464" s="148"/>
      <c r="T1464" s="148"/>
      <c r="U1464" s="148"/>
      <c r="V1464" s="148"/>
      <c r="W1464" s="148"/>
      <c r="X1464" s="148"/>
      <c r="Y1464" s="148"/>
      <c r="Z1464" s="148"/>
      <c r="AA1464" s="148"/>
      <c r="AB1464" s="148"/>
      <c r="AC1464" s="148"/>
    </row>
    <row r="1465" spans="1:29">
      <c r="A1465" s="149"/>
      <c r="B1465" s="147"/>
      <c r="C1465" s="147"/>
      <c r="D1465" s="147"/>
      <c r="E1465" s="147"/>
      <c r="F1465" s="147"/>
      <c r="G1465" s="147"/>
      <c r="H1465" s="147"/>
      <c r="I1465" s="147"/>
      <c r="J1465" s="147"/>
      <c r="K1465" s="147"/>
      <c r="L1465" s="147"/>
      <c r="M1465" s="147"/>
      <c r="N1465" s="147"/>
      <c r="O1465" s="147"/>
      <c r="P1465" s="147"/>
      <c r="Q1465" s="147"/>
      <c r="R1465" s="148"/>
      <c r="S1465" s="148"/>
      <c r="T1465" s="148"/>
      <c r="U1465" s="148"/>
      <c r="V1465" s="148"/>
      <c r="W1465" s="148"/>
      <c r="X1465" s="148"/>
      <c r="Y1465" s="148"/>
      <c r="Z1465" s="148"/>
      <c r="AA1465" s="148"/>
      <c r="AB1465" s="148"/>
      <c r="AC1465" s="148"/>
    </row>
    <row r="1466" spans="1:29">
      <c r="A1466" s="149"/>
      <c r="B1466" s="147"/>
      <c r="C1466" s="147"/>
      <c r="D1466" s="147"/>
      <c r="E1466" s="147"/>
      <c r="F1466" s="147"/>
      <c r="G1466" s="147"/>
      <c r="H1466" s="147"/>
      <c r="I1466" s="147"/>
      <c r="J1466" s="147"/>
      <c r="K1466" s="147"/>
      <c r="L1466" s="147"/>
      <c r="M1466" s="147"/>
      <c r="N1466" s="147"/>
      <c r="O1466" s="147"/>
      <c r="P1466" s="147"/>
      <c r="Q1466" s="147"/>
      <c r="R1466" s="148"/>
      <c r="S1466" s="148"/>
      <c r="T1466" s="148"/>
      <c r="U1466" s="148"/>
      <c r="V1466" s="148"/>
      <c r="W1466" s="148"/>
      <c r="X1466" s="148"/>
      <c r="Y1466" s="148"/>
      <c r="Z1466" s="148"/>
      <c r="AA1466" s="148"/>
      <c r="AB1466" s="148"/>
      <c r="AC1466" s="148"/>
    </row>
    <row r="1467" spans="1:29">
      <c r="A1467" s="149"/>
      <c r="B1467" s="147"/>
      <c r="C1467" s="147"/>
      <c r="D1467" s="147"/>
      <c r="E1467" s="147"/>
      <c r="F1467" s="147"/>
      <c r="G1467" s="147"/>
      <c r="H1467" s="147"/>
      <c r="I1467" s="147"/>
      <c r="J1467" s="147"/>
      <c r="K1467" s="147"/>
      <c r="L1467" s="147"/>
      <c r="M1467" s="147"/>
      <c r="N1467" s="147"/>
      <c r="O1467" s="147"/>
      <c r="P1467" s="147"/>
      <c r="Q1467" s="147"/>
      <c r="R1467" s="148"/>
      <c r="S1467" s="148"/>
      <c r="T1467" s="148"/>
      <c r="U1467" s="148"/>
      <c r="V1467" s="148"/>
      <c r="W1467" s="148"/>
      <c r="X1467" s="148"/>
      <c r="Y1467" s="148"/>
      <c r="Z1467" s="148"/>
      <c r="AA1467" s="148"/>
      <c r="AB1467" s="148"/>
      <c r="AC1467" s="148"/>
    </row>
    <row r="1468" spans="1:29">
      <c r="A1468" s="149"/>
      <c r="B1468" s="147"/>
      <c r="C1468" s="147"/>
      <c r="D1468" s="147"/>
      <c r="E1468" s="147"/>
      <c r="F1468" s="147"/>
      <c r="G1468" s="147"/>
      <c r="H1468" s="147"/>
      <c r="I1468" s="147"/>
      <c r="J1468" s="147"/>
      <c r="K1468" s="147"/>
      <c r="L1468" s="147"/>
      <c r="M1468" s="147"/>
      <c r="N1468" s="147"/>
      <c r="O1468" s="147"/>
      <c r="P1468" s="147"/>
      <c r="Q1468" s="147"/>
      <c r="R1468" s="148"/>
      <c r="S1468" s="148"/>
      <c r="T1468" s="148"/>
      <c r="U1468" s="148"/>
      <c r="V1468" s="148"/>
      <c r="W1468" s="148"/>
      <c r="X1468" s="148"/>
      <c r="Y1468" s="148"/>
      <c r="Z1468" s="148"/>
      <c r="AA1468" s="148"/>
      <c r="AB1468" s="148"/>
      <c r="AC1468" s="148"/>
    </row>
    <row r="1469" spans="1:29">
      <c r="A1469" s="149"/>
      <c r="B1469" s="147"/>
      <c r="C1469" s="147"/>
      <c r="D1469" s="147"/>
      <c r="E1469" s="147"/>
      <c r="F1469" s="147"/>
      <c r="G1469" s="147"/>
      <c r="H1469" s="147"/>
      <c r="I1469" s="147"/>
      <c r="J1469" s="147"/>
      <c r="K1469" s="147"/>
      <c r="L1469" s="147"/>
      <c r="M1469" s="147"/>
      <c r="N1469" s="147"/>
      <c r="O1469" s="147"/>
      <c r="P1469" s="147"/>
      <c r="Q1469" s="147"/>
      <c r="R1469" s="148"/>
      <c r="S1469" s="148"/>
      <c r="T1469" s="148"/>
      <c r="U1469" s="148"/>
      <c r="V1469" s="148"/>
      <c r="W1469" s="148"/>
      <c r="X1469" s="148"/>
      <c r="Y1469" s="148"/>
      <c r="Z1469" s="148"/>
      <c r="AA1469" s="148"/>
      <c r="AB1469" s="148"/>
      <c r="AC1469" s="148"/>
    </row>
    <row r="1470" spans="1:29">
      <c r="A1470" s="149"/>
      <c r="B1470" s="147"/>
      <c r="C1470" s="147"/>
      <c r="D1470" s="147"/>
      <c r="E1470" s="147"/>
      <c r="F1470" s="147"/>
      <c r="G1470" s="147"/>
      <c r="H1470" s="147"/>
      <c r="I1470" s="147"/>
      <c r="J1470" s="147"/>
      <c r="K1470" s="147"/>
      <c r="L1470" s="147"/>
      <c r="M1470" s="147"/>
      <c r="N1470" s="147"/>
      <c r="O1470" s="147"/>
      <c r="P1470" s="147"/>
      <c r="Q1470" s="147"/>
      <c r="R1470" s="148"/>
      <c r="S1470" s="148"/>
      <c r="T1470" s="148"/>
      <c r="U1470" s="148"/>
      <c r="V1470" s="148"/>
      <c r="W1470" s="148"/>
      <c r="X1470" s="148"/>
      <c r="Y1470" s="148"/>
      <c r="Z1470" s="148"/>
      <c r="AA1470" s="148"/>
      <c r="AB1470" s="148"/>
      <c r="AC1470" s="148"/>
    </row>
    <row r="1471" spans="1:29">
      <c r="A1471" s="149"/>
      <c r="B1471" s="147"/>
      <c r="C1471" s="147"/>
      <c r="D1471" s="147"/>
      <c r="E1471" s="147"/>
      <c r="F1471" s="147"/>
      <c r="G1471" s="147"/>
      <c r="H1471" s="147"/>
      <c r="I1471" s="147"/>
      <c r="J1471" s="147"/>
      <c r="K1471" s="147"/>
      <c r="L1471" s="147"/>
      <c r="M1471" s="147"/>
      <c r="N1471" s="147"/>
      <c r="O1471" s="147"/>
      <c r="P1471" s="147"/>
      <c r="Q1471" s="147"/>
      <c r="R1471" s="148"/>
      <c r="S1471" s="148"/>
      <c r="T1471" s="148"/>
      <c r="U1471" s="148"/>
      <c r="V1471" s="148"/>
      <c r="W1471" s="148"/>
      <c r="X1471" s="148"/>
      <c r="Y1471" s="148"/>
      <c r="Z1471" s="148"/>
      <c r="AA1471" s="148"/>
      <c r="AB1471" s="148"/>
      <c r="AC1471" s="148"/>
    </row>
    <row r="1472" spans="1:29">
      <c r="A1472" s="149"/>
      <c r="B1472" s="147"/>
      <c r="C1472" s="147"/>
      <c r="D1472" s="147"/>
      <c r="E1472" s="147"/>
      <c r="F1472" s="147"/>
      <c r="G1472" s="147"/>
      <c r="H1472" s="147"/>
      <c r="I1472" s="147"/>
      <c r="J1472" s="147"/>
      <c r="K1472" s="147"/>
      <c r="L1472" s="147"/>
      <c r="M1472" s="147"/>
      <c r="N1472" s="147"/>
      <c r="O1472" s="147"/>
      <c r="P1472" s="147"/>
      <c r="Q1472" s="147"/>
      <c r="R1472" s="148"/>
      <c r="S1472" s="148"/>
      <c r="T1472" s="148"/>
      <c r="U1472" s="148"/>
      <c r="V1472" s="148"/>
      <c r="W1472" s="148"/>
      <c r="X1472" s="148"/>
      <c r="Y1472" s="148"/>
      <c r="Z1472" s="148"/>
      <c r="AA1472" s="148"/>
      <c r="AB1472" s="148"/>
      <c r="AC1472" s="148"/>
    </row>
    <row r="1473" spans="1:29" hidden="1">
      <c r="A1473" s="149"/>
      <c r="B1473" s="147"/>
      <c r="C1473" s="147"/>
      <c r="D1473" s="147"/>
      <c r="E1473" s="147"/>
      <c r="F1473" s="147"/>
      <c r="G1473" s="147"/>
      <c r="H1473" s="147"/>
      <c r="I1473" s="147"/>
      <c r="J1473" s="147"/>
      <c r="K1473" s="147"/>
      <c r="L1473" s="147"/>
      <c r="M1473" s="147"/>
      <c r="N1473" s="147"/>
      <c r="O1473" s="147"/>
      <c r="P1473" s="147"/>
      <c r="Q1473" s="147"/>
      <c r="R1473" s="148"/>
      <c r="S1473" s="148"/>
      <c r="T1473" s="148"/>
      <c r="U1473" s="148"/>
      <c r="V1473" s="148"/>
      <c r="W1473" s="148"/>
      <c r="X1473" s="148"/>
      <c r="Y1473" s="148"/>
      <c r="Z1473" s="148"/>
      <c r="AA1473" s="148"/>
      <c r="AB1473" s="148"/>
      <c r="AC1473" s="148"/>
    </row>
    <row r="1474" spans="1:29" hidden="1">
      <c r="A1474" s="149"/>
      <c r="B1474" s="147"/>
      <c r="C1474" s="147"/>
      <c r="D1474" s="147"/>
      <c r="E1474" s="147"/>
      <c r="F1474" s="147"/>
      <c r="G1474" s="147"/>
      <c r="H1474" s="147"/>
      <c r="I1474" s="147"/>
      <c r="J1474" s="147"/>
      <c r="K1474" s="147"/>
      <c r="L1474" s="147"/>
      <c r="M1474" s="147"/>
      <c r="N1474" s="147"/>
      <c r="O1474" s="147"/>
      <c r="P1474" s="147"/>
      <c r="Q1474" s="147"/>
      <c r="R1474" s="148"/>
      <c r="S1474" s="148"/>
      <c r="T1474" s="148"/>
      <c r="U1474" s="148"/>
      <c r="V1474" s="148"/>
      <c r="W1474" s="148"/>
      <c r="X1474" s="148"/>
      <c r="Y1474" s="148"/>
      <c r="Z1474" s="148"/>
      <c r="AA1474" s="148"/>
      <c r="AB1474" s="148"/>
      <c r="AC1474" s="148"/>
    </row>
    <row r="1475" spans="1:29" hidden="1">
      <c r="A1475" s="149"/>
      <c r="B1475" s="147"/>
      <c r="C1475" s="147"/>
      <c r="D1475" s="147"/>
      <c r="E1475" s="147"/>
      <c r="F1475" s="147"/>
      <c r="G1475" s="147"/>
      <c r="H1475" s="147"/>
      <c r="I1475" s="147"/>
      <c r="J1475" s="147"/>
      <c r="K1475" s="147"/>
      <c r="L1475" s="147"/>
      <c r="M1475" s="147"/>
      <c r="N1475" s="147"/>
      <c r="O1475" s="147"/>
      <c r="P1475" s="147"/>
      <c r="Q1475" s="147"/>
      <c r="R1475" s="148"/>
      <c r="S1475" s="148"/>
      <c r="T1475" s="148"/>
      <c r="U1475" s="148"/>
      <c r="V1475" s="148"/>
      <c r="W1475" s="148"/>
      <c r="X1475" s="148"/>
      <c r="Y1475" s="148"/>
      <c r="Z1475" s="148"/>
      <c r="AA1475" s="148"/>
      <c r="AB1475" s="148"/>
      <c r="AC1475" s="148"/>
    </row>
    <row r="1476" spans="1:29" hidden="1">
      <c r="A1476" s="149"/>
      <c r="B1476" s="147"/>
      <c r="C1476" s="147"/>
      <c r="D1476" s="147"/>
      <c r="E1476" s="147"/>
      <c r="F1476" s="147"/>
      <c r="G1476" s="147"/>
      <c r="H1476" s="147"/>
      <c r="I1476" s="147"/>
      <c r="J1476" s="147"/>
      <c r="K1476" s="147"/>
      <c r="L1476" s="147"/>
      <c r="M1476" s="147"/>
      <c r="N1476" s="147"/>
      <c r="O1476" s="147"/>
      <c r="P1476" s="147"/>
      <c r="Q1476" s="147"/>
      <c r="R1476" s="148"/>
      <c r="S1476" s="148"/>
      <c r="T1476" s="148"/>
      <c r="U1476" s="148"/>
      <c r="V1476" s="148"/>
      <c r="W1476" s="148"/>
      <c r="X1476" s="148"/>
      <c r="Y1476" s="148"/>
      <c r="Z1476" s="148"/>
      <c r="AA1476" s="148"/>
      <c r="AB1476" s="148"/>
      <c r="AC1476" s="148"/>
    </row>
    <row r="1477" spans="1:29" hidden="1">
      <c r="A1477" s="149"/>
      <c r="B1477" s="147"/>
      <c r="C1477" s="147"/>
      <c r="D1477" s="147"/>
      <c r="E1477" s="147"/>
      <c r="F1477" s="147"/>
      <c r="G1477" s="147"/>
      <c r="H1477" s="147"/>
      <c r="I1477" s="147"/>
      <c r="J1477" s="147"/>
      <c r="K1477" s="147"/>
      <c r="L1477" s="147"/>
      <c r="M1477" s="147"/>
      <c r="N1477" s="147"/>
      <c r="O1477" s="147"/>
      <c r="P1477" s="147"/>
      <c r="Q1477" s="147"/>
      <c r="R1477" s="148"/>
      <c r="S1477" s="148"/>
      <c r="T1477" s="148"/>
      <c r="U1477" s="148"/>
      <c r="V1477" s="148"/>
      <c r="W1477" s="148"/>
      <c r="X1477" s="148"/>
      <c r="Y1477" s="148"/>
      <c r="Z1477" s="148"/>
      <c r="AA1477" s="148"/>
      <c r="AB1477" s="148"/>
      <c r="AC1477" s="148"/>
    </row>
    <row r="1478" spans="1:29" hidden="1">
      <c r="A1478" s="149"/>
      <c r="B1478" s="147"/>
      <c r="C1478" s="147"/>
      <c r="D1478" s="147"/>
      <c r="E1478" s="147"/>
      <c r="F1478" s="147"/>
      <c r="G1478" s="147"/>
      <c r="H1478" s="147"/>
      <c r="I1478" s="147"/>
      <c r="J1478" s="147"/>
      <c r="K1478" s="147"/>
      <c r="L1478" s="147"/>
      <c r="M1478" s="147"/>
      <c r="N1478" s="147"/>
      <c r="O1478" s="147"/>
      <c r="P1478" s="147"/>
      <c r="Q1478" s="147"/>
      <c r="R1478" s="148"/>
      <c r="S1478" s="148"/>
      <c r="T1478" s="148"/>
      <c r="U1478" s="148"/>
      <c r="V1478" s="148"/>
      <c r="W1478" s="148"/>
      <c r="X1478" s="148"/>
      <c r="Y1478" s="148"/>
      <c r="Z1478" s="148"/>
      <c r="AA1478" s="148"/>
      <c r="AB1478" s="148"/>
      <c r="AC1478" s="148"/>
    </row>
    <row r="1479" spans="1:29" hidden="1">
      <c r="A1479" s="149"/>
      <c r="B1479" s="147"/>
      <c r="C1479" s="147"/>
      <c r="D1479" s="147"/>
      <c r="E1479" s="147"/>
      <c r="F1479" s="147"/>
      <c r="G1479" s="147"/>
      <c r="H1479" s="147"/>
      <c r="I1479" s="147"/>
      <c r="J1479" s="147"/>
      <c r="K1479" s="147"/>
      <c r="L1479" s="147"/>
      <c r="M1479" s="147"/>
      <c r="N1479" s="147"/>
      <c r="O1479" s="147"/>
      <c r="P1479" s="147"/>
      <c r="Q1479" s="147"/>
      <c r="R1479" s="148"/>
      <c r="S1479" s="148"/>
      <c r="T1479" s="148"/>
      <c r="U1479" s="148"/>
      <c r="V1479" s="148"/>
      <c r="W1479" s="148"/>
      <c r="X1479" s="148"/>
      <c r="Y1479" s="148"/>
      <c r="Z1479" s="148"/>
      <c r="AA1479" s="148"/>
      <c r="AB1479" s="148"/>
      <c r="AC1479" s="148"/>
    </row>
    <row r="1480" spans="1:29" hidden="1">
      <c r="A1480" s="149"/>
      <c r="B1480" s="147"/>
      <c r="C1480" s="147"/>
      <c r="D1480" s="147"/>
      <c r="E1480" s="147"/>
      <c r="F1480" s="147"/>
      <c r="G1480" s="147"/>
      <c r="H1480" s="147"/>
      <c r="I1480" s="147"/>
      <c r="J1480" s="147"/>
      <c r="K1480" s="147"/>
      <c r="L1480" s="147"/>
      <c r="M1480" s="147"/>
      <c r="N1480" s="147"/>
      <c r="O1480" s="147"/>
      <c r="P1480" s="147"/>
      <c r="Q1480" s="147"/>
      <c r="R1480" s="148"/>
      <c r="S1480" s="148"/>
      <c r="T1480" s="148"/>
      <c r="U1480" s="148"/>
      <c r="V1480" s="148"/>
      <c r="W1480" s="148"/>
      <c r="X1480" s="148"/>
      <c r="Y1480" s="148"/>
      <c r="Z1480" s="148"/>
      <c r="AA1480" s="148"/>
      <c r="AB1480" s="148"/>
      <c r="AC1480" s="148"/>
    </row>
    <row r="1481" spans="1:29" hidden="1">
      <c r="A1481" s="149"/>
      <c r="B1481" s="147"/>
      <c r="C1481" s="147"/>
      <c r="D1481" s="147"/>
      <c r="E1481" s="147"/>
      <c r="F1481" s="147"/>
      <c r="G1481" s="147"/>
      <c r="H1481" s="147"/>
      <c r="I1481" s="147"/>
      <c r="J1481" s="147"/>
      <c r="K1481" s="147"/>
      <c r="L1481" s="147"/>
      <c r="M1481" s="147"/>
      <c r="N1481" s="147"/>
      <c r="O1481" s="147"/>
      <c r="P1481" s="147"/>
      <c r="Q1481" s="147"/>
      <c r="R1481" s="148"/>
      <c r="S1481" s="148"/>
      <c r="T1481" s="148"/>
      <c r="U1481" s="148"/>
      <c r="V1481" s="148"/>
      <c r="W1481" s="148"/>
      <c r="X1481" s="148"/>
      <c r="Y1481" s="148"/>
      <c r="Z1481" s="148"/>
      <c r="AA1481" s="148"/>
      <c r="AB1481" s="148"/>
      <c r="AC1481" s="148"/>
    </row>
    <row r="1482" spans="1:29" hidden="1">
      <c r="A1482" s="149"/>
      <c r="B1482" s="147"/>
      <c r="C1482" s="147"/>
      <c r="D1482" s="147"/>
      <c r="E1482" s="147"/>
      <c r="F1482" s="147"/>
      <c r="G1482" s="147"/>
      <c r="H1482" s="147"/>
      <c r="I1482" s="147"/>
      <c r="J1482" s="147"/>
      <c r="K1482" s="147"/>
      <c r="L1482" s="147"/>
      <c r="M1482" s="147"/>
      <c r="N1482" s="147"/>
      <c r="O1482" s="147"/>
      <c r="P1482" s="147"/>
      <c r="Q1482" s="147"/>
      <c r="R1482" s="148"/>
      <c r="S1482" s="148"/>
      <c r="T1482" s="148"/>
      <c r="U1482" s="148"/>
      <c r="V1482" s="148"/>
      <c r="W1482" s="148"/>
      <c r="X1482" s="148"/>
      <c r="Y1482" s="148"/>
      <c r="Z1482" s="148"/>
      <c r="AA1482" s="148"/>
      <c r="AB1482" s="148"/>
      <c r="AC1482" s="148"/>
    </row>
    <row r="1483" spans="1:29" hidden="1">
      <c r="A1483" s="149"/>
      <c r="B1483" s="147"/>
      <c r="C1483" s="147"/>
      <c r="D1483" s="147"/>
      <c r="E1483" s="147"/>
      <c r="F1483" s="147"/>
      <c r="G1483" s="147"/>
      <c r="H1483" s="147"/>
      <c r="I1483" s="147"/>
      <c r="J1483" s="147"/>
      <c r="K1483" s="147"/>
      <c r="L1483" s="147"/>
      <c r="M1483" s="147"/>
      <c r="N1483" s="147"/>
      <c r="O1483" s="147"/>
      <c r="P1483" s="147"/>
      <c r="Q1483" s="147"/>
      <c r="R1483" s="148"/>
      <c r="S1483" s="148"/>
      <c r="T1483" s="148"/>
      <c r="U1483" s="148"/>
      <c r="V1483" s="148"/>
      <c r="W1483" s="148"/>
      <c r="X1483" s="148"/>
      <c r="Y1483" s="148"/>
      <c r="Z1483" s="148"/>
      <c r="AA1483" s="148"/>
      <c r="AB1483" s="148"/>
      <c r="AC1483" s="148"/>
    </row>
    <row r="1484" spans="1:29" hidden="1">
      <c r="A1484" s="149"/>
      <c r="B1484" s="147"/>
      <c r="C1484" s="147"/>
      <c r="D1484" s="147"/>
      <c r="E1484" s="147"/>
      <c r="F1484" s="147"/>
      <c r="G1484" s="147"/>
      <c r="H1484" s="147"/>
      <c r="I1484" s="147"/>
      <c r="J1484" s="147"/>
      <c r="K1484" s="147"/>
      <c r="L1484" s="147"/>
      <c r="M1484" s="147"/>
      <c r="N1484" s="147"/>
      <c r="O1484" s="147"/>
      <c r="P1484" s="147"/>
      <c r="Q1484" s="147"/>
      <c r="R1484" s="148"/>
      <c r="S1484" s="148"/>
      <c r="T1484" s="148"/>
      <c r="U1484" s="148"/>
      <c r="V1484" s="148"/>
      <c r="W1484" s="148"/>
      <c r="X1484" s="148"/>
      <c r="Y1484" s="148"/>
      <c r="Z1484" s="148"/>
      <c r="AA1484" s="148"/>
      <c r="AB1484" s="148"/>
      <c r="AC1484" s="148"/>
    </row>
    <row r="1485" spans="1:29" hidden="1">
      <c r="A1485" s="149"/>
      <c r="B1485" s="147"/>
      <c r="C1485" s="147"/>
      <c r="D1485" s="147"/>
      <c r="E1485" s="147"/>
      <c r="F1485" s="147"/>
      <c r="G1485" s="147"/>
      <c r="H1485" s="147"/>
      <c r="I1485" s="147"/>
      <c r="J1485" s="147"/>
      <c r="K1485" s="147"/>
      <c r="L1485" s="147"/>
      <c r="M1485" s="147"/>
      <c r="N1485" s="147"/>
      <c r="O1485" s="147"/>
      <c r="P1485" s="147"/>
      <c r="Q1485" s="147"/>
      <c r="R1485" s="148"/>
      <c r="S1485" s="148"/>
      <c r="T1485" s="148"/>
      <c r="U1485" s="148"/>
      <c r="V1485" s="148"/>
      <c r="W1485" s="148"/>
      <c r="X1485" s="148"/>
      <c r="Y1485" s="148"/>
      <c r="Z1485" s="148"/>
      <c r="AA1485" s="148"/>
      <c r="AB1485" s="148"/>
      <c r="AC1485" s="148"/>
    </row>
    <row r="1486" spans="1:29" hidden="1">
      <c r="A1486" s="149"/>
      <c r="B1486" s="147"/>
      <c r="C1486" s="147"/>
      <c r="D1486" s="147"/>
      <c r="E1486" s="147"/>
      <c r="F1486" s="147"/>
      <c r="G1486" s="147"/>
      <c r="H1486" s="147"/>
      <c r="I1486" s="147"/>
      <c r="J1486" s="147"/>
      <c r="K1486" s="147"/>
      <c r="L1486" s="147"/>
      <c r="M1486" s="147"/>
      <c r="N1486" s="147"/>
      <c r="O1486" s="147"/>
      <c r="P1486" s="147"/>
      <c r="Q1486" s="147"/>
      <c r="R1486" s="148"/>
      <c r="S1486" s="148"/>
      <c r="T1486" s="148"/>
      <c r="U1486" s="148"/>
      <c r="V1486" s="148"/>
      <c r="W1486" s="148"/>
      <c r="X1486" s="148"/>
      <c r="Y1486" s="148"/>
      <c r="Z1486" s="148"/>
      <c r="AA1486" s="148"/>
      <c r="AB1486" s="148"/>
      <c r="AC1486" s="148"/>
    </row>
    <row r="1487" spans="1:29" hidden="1">
      <c r="A1487" s="149"/>
      <c r="B1487" s="147"/>
      <c r="C1487" s="147"/>
      <c r="D1487" s="147"/>
      <c r="E1487" s="147"/>
      <c r="F1487" s="147"/>
      <c r="G1487" s="147"/>
      <c r="H1487" s="147"/>
      <c r="I1487" s="147"/>
      <c r="J1487" s="147"/>
      <c r="K1487" s="147"/>
      <c r="L1487" s="147"/>
      <c r="M1487" s="147"/>
      <c r="N1487" s="147"/>
      <c r="O1487" s="147"/>
      <c r="P1487" s="147"/>
      <c r="Q1487" s="147"/>
      <c r="R1487" s="148"/>
      <c r="S1487" s="148"/>
      <c r="T1487" s="148"/>
      <c r="U1487" s="148"/>
      <c r="V1487" s="148"/>
      <c r="W1487" s="148"/>
      <c r="X1487" s="148"/>
      <c r="Y1487" s="148"/>
      <c r="Z1487" s="148"/>
      <c r="AA1487" s="148"/>
      <c r="AB1487" s="148"/>
      <c r="AC1487" s="148"/>
    </row>
    <row r="1488" spans="1:29" hidden="1">
      <c r="A1488" s="149"/>
      <c r="B1488" s="147"/>
      <c r="C1488" s="147"/>
      <c r="D1488" s="147"/>
      <c r="E1488" s="147"/>
      <c r="F1488" s="147"/>
      <c r="G1488" s="147"/>
      <c r="H1488" s="147"/>
      <c r="I1488" s="147"/>
      <c r="J1488" s="147"/>
      <c r="K1488" s="147"/>
      <c r="L1488" s="147"/>
      <c r="M1488" s="147"/>
      <c r="N1488" s="147"/>
      <c r="O1488" s="147"/>
      <c r="P1488" s="147"/>
      <c r="Q1488" s="147"/>
      <c r="R1488" s="148"/>
      <c r="S1488" s="148"/>
      <c r="T1488" s="148"/>
      <c r="U1488" s="148"/>
      <c r="V1488" s="148"/>
      <c r="W1488" s="148"/>
      <c r="X1488" s="148"/>
      <c r="Y1488" s="148"/>
      <c r="Z1488" s="148"/>
      <c r="AA1488" s="148"/>
      <c r="AB1488" s="148"/>
      <c r="AC1488" s="148"/>
    </row>
    <row r="1489" spans="1:29" hidden="1">
      <c r="A1489" s="149"/>
      <c r="B1489" s="147"/>
      <c r="C1489" s="147"/>
      <c r="D1489" s="147"/>
      <c r="E1489" s="147"/>
      <c r="F1489" s="147"/>
      <c r="G1489" s="147"/>
      <c r="H1489" s="147"/>
      <c r="I1489" s="147"/>
      <c r="J1489" s="147"/>
      <c r="K1489" s="147"/>
      <c r="L1489" s="147"/>
      <c r="M1489" s="147"/>
      <c r="N1489" s="147"/>
      <c r="O1489" s="147"/>
      <c r="P1489" s="147"/>
      <c r="Q1489" s="147"/>
      <c r="R1489" s="148"/>
      <c r="S1489" s="148"/>
      <c r="T1489" s="148"/>
      <c r="U1489" s="148"/>
      <c r="V1489" s="148"/>
      <c r="W1489" s="148"/>
      <c r="X1489" s="148"/>
      <c r="Y1489" s="148"/>
      <c r="Z1489" s="148"/>
      <c r="AA1489" s="148"/>
      <c r="AB1489" s="148"/>
      <c r="AC1489" s="148"/>
    </row>
    <row r="1490" spans="1:29" hidden="1">
      <c r="A1490" s="149"/>
      <c r="B1490" s="147"/>
      <c r="C1490" s="147"/>
      <c r="D1490" s="147"/>
      <c r="E1490" s="147"/>
      <c r="F1490" s="147"/>
      <c r="G1490" s="147"/>
      <c r="H1490" s="147"/>
      <c r="I1490" s="147"/>
      <c r="J1490" s="147"/>
      <c r="K1490" s="147"/>
      <c r="L1490" s="147"/>
      <c r="M1490" s="147"/>
      <c r="N1490" s="147"/>
      <c r="O1490" s="147"/>
      <c r="P1490" s="147"/>
      <c r="Q1490" s="147"/>
      <c r="R1490" s="148"/>
      <c r="S1490" s="148"/>
      <c r="T1490" s="148"/>
      <c r="U1490" s="148"/>
      <c r="V1490" s="148"/>
      <c r="W1490" s="148"/>
      <c r="X1490" s="148"/>
      <c r="Y1490" s="148"/>
      <c r="Z1490" s="148"/>
      <c r="AA1490" s="148"/>
      <c r="AB1490" s="148"/>
      <c r="AC1490" s="148"/>
    </row>
    <row r="1491" spans="1:29" hidden="1">
      <c r="A1491" s="149"/>
      <c r="B1491" s="147"/>
      <c r="C1491" s="147"/>
      <c r="D1491" s="147"/>
      <c r="E1491" s="147"/>
      <c r="F1491" s="147"/>
      <c r="G1491" s="147"/>
      <c r="H1491" s="147"/>
      <c r="I1491" s="147"/>
      <c r="J1491" s="147"/>
      <c r="K1491" s="147"/>
      <c r="L1491" s="147"/>
      <c r="M1491" s="147"/>
      <c r="N1491" s="147"/>
      <c r="O1491" s="147"/>
      <c r="P1491" s="147"/>
      <c r="Q1491" s="147"/>
      <c r="R1491" s="148"/>
      <c r="S1491" s="148"/>
      <c r="T1491" s="148"/>
      <c r="U1491" s="148"/>
      <c r="V1491" s="148"/>
      <c r="W1491" s="148"/>
      <c r="X1491" s="148"/>
      <c r="Y1491" s="148"/>
      <c r="Z1491" s="148"/>
      <c r="AA1491" s="148"/>
      <c r="AB1491" s="148"/>
      <c r="AC1491" s="148"/>
    </row>
    <row r="1492" spans="1:29" hidden="1">
      <c r="A1492" s="149"/>
      <c r="B1492" s="147"/>
      <c r="C1492" s="147"/>
      <c r="D1492" s="147"/>
      <c r="E1492" s="147"/>
      <c r="F1492" s="147"/>
      <c r="G1492" s="147"/>
      <c r="H1492" s="147"/>
      <c r="I1492" s="147"/>
      <c r="J1492" s="147"/>
      <c r="K1492" s="147"/>
      <c r="L1492" s="147"/>
      <c r="M1492" s="147"/>
      <c r="N1492" s="147"/>
      <c r="O1492" s="147"/>
      <c r="P1492" s="147"/>
      <c r="Q1492" s="147"/>
      <c r="R1492" s="148"/>
      <c r="S1492" s="148"/>
      <c r="T1492" s="148"/>
      <c r="U1492" s="148"/>
      <c r="V1492" s="148"/>
      <c r="W1492" s="148"/>
      <c r="X1492" s="148"/>
      <c r="Y1492" s="148"/>
      <c r="Z1492" s="148"/>
      <c r="AA1492" s="148"/>
      <c r="AB1492" s="148"/>
      <c r="AC1492" s="148"/>
    </row>
    <row r="1493" spans="1:29" hidden="1">
      <c r="A1493" s="149"/>
      <c r="B1493" s="147"/>
      <c r="C1493" s="147"/>
      <c r="D1493" s="147"/>
      <c r="E1493" s="147"/>
      <c r="F1493" s="147"/>
      <c r="G1493" s="147"/>
      <c r="H1493" s="147"/>
      <c r="I1493" s="147"/>
      <c r="J1493" s="147"/>
      <c r="K1493" s="147"/>
      <c r="L1493" s="147"/>
      <c r="M1493" s="147"/>
      <c r="N1493" s="147"/>
      <c r="O1493" s="147"/>
      <c r="P1493" s="147"/>
      <c r="Q1493" s="147"/>
      <c r="R1493" s="148"/>
      <c r="S1493" s="148"/>
      <c r="T1493" s="148"/>
      <c r="U1493" s="148"/>
      <c r="V1493" s="148"/>
      <c r="W1493" s="148"/>
      <c r="X1493" s="148"/>
      <c r="Y1493" s="148"/>
      <c r="Z1493" s="148"/>
      <c r="AA1493" s="148"/>
      <c r="AB1493" s="148"/>
      <c r="AC1493" s="148"/>
    </row>
    <row r="1494" spans="1:29" hidden="1">
      <c r="A1494" s="149"/>
      <c r="B1494" s="147"/>
      <c r="C1494" s="147"/>
      <c r="D1494" s="147"/>
      <c r="E1494" s="147"/>
      <c r="F1494" s="147"/>
      <c r="G1494" s="147"/>
      <c r="H1494" s="147"/>
      <c r="I1494" s="147"/>
      <c r="J1494" s="147"/>
      <c r="K1494" s="147"/>
      <c r="L1494" s="147"/>
      <c r="M1494" s="147"/>
      <c r="N1494" s="147"/>
      <c r="O1494" s="147"/>
      <c r="P1494" s="147"/>
      <c r="Q1494" s="147"/>
      <c r="R1494" s="148"/>
      <c r="S1494" s="148"/>
      <c r="T1494" s="148"/>
      <c r="U1494" s="148"/>
      <c r="V1494" s="148"/>
      <c r="W1494" s="148"/>
      <c r="X1494" s="148"/>
      <c r="Y1494" s="148"/>
      <c r="Z1494" s="148"/>
      <c r="AA1494" s="148"/>
      <c r="AB1494" s="148"/>
      <c r="AC1494" s="148"/>
    </row>
    <row r="1495" spans="1:29" hidden="1">
      <c r="A1495" s="149"/>
      <c r="B1495" s="147"/>
      <c r="C1495" s="147"/>
      <c r="D1495" s="147"/>
      <c r="E1495" s="147"/>
      <c r="F1495" s="147"/>
      <c r="G1495" s="147"/>
      <c r="H1495" s="147"/>
      <c r="I1495" s="147"/>
      <c r="J1495" s="147"/>
      <c r="K1495" s="147"/>
      <c r="L1495" s="147"/>
      <c r="M1495" s="147"/>
      <c r="N1495" s="147"/>
      <c r="O1495" s="147"/>
      <c r="P1495" s="147"/>
      <c r="Q1495" s="147"/>
      <c r="R1495" s="148"/>
      <c r="S1495" s="148"/>
      <c r="T1495" s="148"/>
      <c r="U1495" s="148"/>
      <c r="V1495" s="148"/>
      <c r="W1495" s="148"/>
      <c r="X1495" s="148"/>
      <c r="Y1495" s="148"/>
      <c r="Z1495" s="148"/>
      <c r="AA1495" s="148"/>
      <c r="AB1495" s="148"/>
      <c r="AC1495" s="148"/>
    </row>
    <row r="1496" spans="1:29" hidden="1">
      <c r="A1496" s="149"/>
      <c r="B1496" s="147"/>
      <c r="C1496" s="147"/>
      <c r="D1496" s="147"/>
      <c r="E1496" s="147"/>
      <c r="F1496" s="147"/>
      <c r="G1496" s="147"/>
      <c r="H1496" s="147"/>
      <c r="I1496" s="147"/>
      <c r="J1496" s="147"/>
      <c r="K1496" s="147"/>
      <c r="L1496" s="147"/>
      <c r="M1496" s="147"/>
      <c r="N1496" s="147"/>
      <c r="O1496" s="147"/>
      <c r="P1496" s="147"/>
      <c r="Q1496" s="147"/>
      <c r="R1496" s="148"/>
      <c r="S1496" s="148"/>
      <c r="T1496" s="148"/>
      <c r="U1496" s="148"/>
      <c r="V1496" s="148"/>
      <c r="W1496" s="148"/>
      <c r="X1496" s="148"/>
      <c r="Y1496" s="148"/>
      <c r="Z1496" s="148"/>
      <c r="AA1496" s="148"/>
      <c r="AB1496" s="148"/>
      <c r="AC1496" s="148"/>
    </row>
    <row r="1497" spans="1:29" hidden="1">
      <c r="A1497" s="149"/>
      <c r="B1497" s="147"/>
      <c r="C1497" s="147"/>
      <c r="D1497" s="147"/>
      <c r="E1497" s="147"/>
      <c r="F1497" s="147"/>
      <c r="G1497" s="147"/>
      <c r="H1497" s="147"/>
      <c r="I1497" s="147"/>
      <c r="J1497" s="147"/>
      <c r="K1497" s="147"/>
      <c r="L1497" s="147"/>
      <c r="M1497" s="147"/>
      <c r="N1497" s="147"/>
      <c r="O1497" s="147"/>
      <c r="P1497" s="147"/>
      <c r="Q1497" s="147"/>
      <c r="R1497" s="148"/>
      <c r="S1497" s="148"/>
      <c r="T1497" s="148"/>
      <c r="U1497" s="148"/>
      <c r="V1497" s="148"/>
      <c r="W1497" s="148"/>
      <c r="X1497" s="148"/>
      <c r="Y1497" s="148"/>
      <c r="Z1497" s="148"/>
      <c r="AA1497" s="148"/>
      <c r="AB1497" s="148"/>
      <c r="AC1497" s="148"/>
    </row>
    <row r="1498" spans="1:29" hidden="1">
      <c r="A1498" s="149"/>
      <c r="B1498" s="147"/>
      <c r="C1498" s="147"/>
      <c r="D1498" s="147"/>
      <c r="E1498" s="147"/>
      <c r="F1498" s="147"/>
      <c r="G1498" s="147"/>
      <c r="H1498" s="147"/>
      <c r="I1498" s="147"/>
      <c r="J1498" s="147"/>
      <c r="K1498" s="147"/>
      <c r="L1498" s="147"/>
      <c r="M1498" s="147"/>
      <c r="N1498" s="147"/>
      <c r="O1498" s="147"/>
      <c r="P1498" s="147"/>
      <c r="Q1498" s="147"/>
      <c r="R1498" s="148"/>
      <c r="S1498" s="148"/>
      <c r="T1498" s="148"/>
      <c r="U1498" s="148"/>
      <c r="V1498" s="148"/>
      <c r="W1498" s="148"/>
      <c r="X1498" s="148"/>
      <c r="Y1498" s="148"/>
      <c r="Z1498" s="148"/>
      <c r="AA1498" s="148"/>
      <c r="AB1498" s="148"/>
      <c r="AC1498" s="148"/>
    </row>
    <row r="1499" spans="1:29" hidden="1">
      <c r="A1499" s="149"/>
      <c r="B1499" s="147"/>
      <c r="C1499" s="147"/>
      <c r="D1499" s="147"/>
      <c r="E1499" s="147"/>
      <c r="F1499" s="147"/>
      <c r="G1499" s="147"/>
      <c r="H1499" s="147"/>
      <c r="I1499" s="147"/>
      <c r="J1499" s="147"/>
      <c r="K1499" s="147"/>
      <c r="L1499" s="147"/>
      <c r="M1499" s="147"/>
      <c r="N1499" s="147"/>
      <c r="O1499" s="147"/>
      <c r="P1499" s="147"/>
      <c r="Q1499" s="147"/>
      <c r="R1499" s="148"/>
      <c r="S1499" s="148"/>
      <c r="T1499" s="148"/>
      <c r="U1499" s="148"/>
      <c r="V1499" s="148"/>
      <c r="W1499" s="148"/>
      <c r="X1499" s="148"/>
      <c r="Y1499" s="148"/>
      <c r="Z1499" s="148"/>
      <c r="AA1499" s="148"/>
      <c r="AB1499" s="148"/>
      <c r="AC1499" s="148"/>
    </row>
    <row r="1500" spans="1:29" hidden="1">
      <c r="A1500" s="149"/>
      <c r="B1500" s="147"/>
      <c r="C1500" s="147"/>
      <c r="D1500" s="147"/>
      <c r="E1500" s="147"/>
      <c r="F1500" s="147"/>
      <c r="G1500" s="147"/>
      <c r="H1500" s="147"/>
      <c r="I1500" s="147"/>
      <c r="J1500" s="147"/>
      <c r="K1500" s="147"/>
      <c r="L1500" s="147"/>
      <c r="M1500" s="147"/>
      <c r="N1500" s="147"/>
      <c r="O1500" s="147"/>
      <c r="P1500" s="147"/>
      <c r="Q1500" s="147"/>
      <c r="R1500" s="148"/>
      <c r="S1500" s="148"/>
      <c r="T1500" s="148"/>
      <c r="U1500" s="148"/>
      <c r="V1500" s="148"/>
      <c r="W1500" s="148"/>
      <c r="X1500" s="148"/>
      <c r="Y1500" s="148"/>
      <c r="Z1500" s="148"/>
      <c r="AA1500" s="148"/>
      <c r="AB1500" s="148"/>
      <c r="AC1500" s="148"/>
    </row>
    <row r="1501" spans="1:29" hidden="1">
      <c r="A1501" s="149"/>
      <c r="B1501" s="147"/>
      <c r="C1501" s="147"/>
      <c r="D1501" s="147"/>
      <c r="E1501" s="147"/>
      <c r="F1501" s="147"/>
      <c r="G1501" s="147"/>
      <c r="H1501" s="147"/>
      <c r="I1501" s="147"/>
      <c r="J1501" s="147"/>
      <c r="K1501" s="147"/>
      <c r="L1501" s="147"/>
      <c r="M1501" s="147"/>
      <c r="N1501" s="147"/>
      <c r="O1501" s="147"/>
      <c r="P1501" s="147"/>
      <c r="Q1501" s="147"/>
      <c r="R1501" s="148"/>
      <c r="S1501" s="148"/>
      <c r="T1501" s="148"/>
      <c r="U1501" s="148"/>
      <c r="V1501" s="148"/>
      <c r="W1501" s="148"/>
      <c r="X1501" s="148"/>
      <c r="Y1501" s="148"/>
      <c r="Z1501" s="148"/>
      <c r="AA1501" s="148"/>
      <c r="AB1501" s="148"/>
      <c r="AC1501" s="148"/>
    </row>
    <row r="1502" spans="1:29" hidden="1">
      <c r="A1502" s="149"/>
      <c r="B1502" s="147"/>
      <c r="C1502" s="147"/>
      <c r="D1502" s="147"/>
      <c r="E1502" s="147"/>
      <c r="F1502" s="147"/>
      <c r="G1502" s="147"/>
      <c r="H1502" s="147"/>
      <c r="I1502" s="147"/>
      <c r="J1502" s="147"/>
      <c r="K1502" s="147"/>
      <c r="L1502" s="147"/>
      <c r="M1502" s="147"/>
      <c r="N1502" s="147"/>
      <c r="O1502" s="147"/>
      <c r="P1502" s="147"/>
      <c r="Q1502" s="147"/>
      <c r="R1502" s="148"/>
      <c r="S1502" s="148"/>
      <c r="T1502" s="148"/>
      <c r="U1502" s="148"/>
      <c r="V1502" s="148"/>
      <c r="W1502" s="148"/>
      <c r="X1502" s="148"/>
      <c r="Y1502" s="148"/>
      <c r="Z1502" s="148"/>
      <c r="AA1502" s="148"/>
      <c r="AB1502" s="148"/>
      <c r="AC1502" s="148"/>
    </row>
    <row r="1503" spans="1:29" hidden="1">
      <c r="A1503" s="149"/>
      <c r="B1503" s="147"/>
      <c r="C1503" s="147"/>
      <c r="D1503" s="147"/>
      <c r="E1503" s="147"/>
      <c r="F1503" s="147"/>
      <c r="G1503" s="147"/>
      <c r="H1503" s="147"/>
      <c r="I1503" s="147"/>
      <c r="J1503" s="147"/>
      <c r="K1503" s="147"/>
      <c r="L1503" s="147"/>
      <c r="M1503" s="147"/>
      <c r="N1503" s="147"/>
      <c r="O1503" s="147"/>
      <c r="P1503" s="147"/>
      <c r="Q1503" s="147"/>
      <c r="R1503" s="148"/>
      <c r="S1503" s="148"/>
      <c r="T1503" s="148"/>
      <c r="U1503" s="148"/>
      <c r="V1503" s="148"/>
      <c r="W1503" s="148"/>
      <c r="X1503" s="148"/>
      <c r="Y1503" s="148"/>
      <c r="Z1503" s="148"/>
      <c r="AA1503" s="148"/>
      <c r="AB1503" s="148"/>
      <c r="AC1503" s="148"/>
    </row>
    <row r="1504" spans="1:29" hidden="1">
      <c r="A1504" s="149"/>
      <c r="B1504" s="147"/>
      <c r="C1504" s="147"/>
      <c r="D1504" s="147"/>
      <c r="E1504" s="147"/>
      <c r="F1504" s="147"/>
      <c r="G1504" s="147"/>
      <c r="H1504" s="147"/>
      <c r="I1504" s="147"/>
      <c r="J1504" s="147"/>
      <c r="K1504" s="147"/>
      <c r="L1504" s="147"/>
      <c r="M1504" s="147"/>
      <c r="N1504" s="147"/>
      <c r="O1504" s="147"/>
      <c r="P1504" s="147"/>
      <c r="Q1504" s="147"/>
      <c r="R1504" s="148"/>
      <c r="S1504" s="148"/>
      <c r="T1504" s="148"/>
      <c r="U1504" s="148"/>
      <c r="V1504" s="148"/>
      <c r="W1504" s="148"/>
      <c r="X1504" s="148"/>
      <c r="Y1504" s="148"/>
      <c r="Z1504" s="148"/>
      <c r="AA1504" s="148"/>
      <c r="AB1504" s="148"/>
      <c r="AC1504" s="148"/>
    </row>
    <row r="1505" spans="1:29" hidden="1">
      <c r="A1505" s="149"/>
      <c r="B1505" s="147"/>
      <c r="C1505" s="147"/>
      <c r="D1505" s="147"/>
      <c r="E1505" s="147"/>
      <c r="F1505" s="147"/>
      <c r="G1505" s="147"/>
      <c r="H1505" s="147"/>
      <c r="I1505" s="147"/>
      <c r="J1505" s="147"/>
      <c r="K1505" s="147"/>
      <c r="L1505" s="147"/>
      <c r="M1505" s="147"/>
      <c r="N1505" s="147"/>
      <c r="O1505" s="147"/>
      <c r="P1505" s="147"/>
      <c r="Q1505" s="147"/>
      <c r="R1505" s="148"/>
      <c r="S1505" s="148"/>
      <c r="T1505" s="148"/>
      <c r="U1505" s="148"/>
      <c r="V1505" s="148"/>
      <c r="W1505" s="148"/>
      <c r="X1505" s="148"/>
      <c r="Y1505" s="148"/>
      <c r="Z1505" s="148"/>
      <c r="AA1505" s="148"/>
      <c r="AB1505" s="148"/>
      <c r="AC1505" s="148"/>
    </row>
    <row r="1506" spans="1:29" hidden="1">
      <c r="A1506" s="149"/>
      <c r="B1506" s="147"/>
      <c r="C1506" s="147"/>
      <c r="D1506" s="147"/>
      <c r="E1506" s="147"/>
      <c r="F1506" s="147"/>
      <c r="G1506" s="147"/>
      <c r="H1506" s="147"/>
      <c r="I1506" s="147"/>
      <c r="J1506" s="147"/>
      <c r="K1506" s="147"/>
      <c r="L1506" s="147"/>
      <c r="M1506" s="147"/>
      <c r="N1506" s="147"/>
      <c r="O1506" s="147"/>
      <c r="P1506" s="147"/>
      <c r="Q1506" s="147"/>
      <c r="R1506" s="148"/>
      <c r="S1506" s="148"/>
      <c r="T1506" s="148"/>
      <c r="U1506" s="148"/>
      <c r="V1506" s="148"/>
      <c r="W1506" s="148"/>
      <c r="X1506" s="148"/>
      <c r="Y1506" s="148"/>
      <c r="Z1506" s="148"/>
      <c r="AA1506" s="148"/>
      <c r="AB1506" s="148"/>
      <c r="AC1506" s="148"/>
    </row>
    <row r="1507" spans="1:29" hidden="1">
      <c r="A1507" s="149"/>
      <c r="B1507" s="147"/>
      <c r="C1507" s="147"/>
      <c r="D1507" s="147"/>
      <c r="E1507" s="147"/>
      <c r="F1507" s="147"/>
      <c r="G1507" s="147"/>
      <c r="H1507" s="147"/>
      <c r="I1507" s="147"/>
      <c r="J1507" s="147"/>
      <c r="K1507" s="147"/>
      <c r="L1507" s="147"/>
      <c r="M1507" s="147"/>
      <c r="N1507" s="147"/>
      <c r="O1507" s="147"/>
      <c r="P1507" s="147"/>
      <c r="Q1507" s="147"/>
      <c r="R1507" s="148"/>
      <c r="S1507" s="148"/>
      <c r="T1507" s="148"/>
      <c r="U1507" s="148"/>
      <c r="V1507" s="148"/>
      <c r="W1507" s="148"/>
      <c r="X1507" s="148"/>
      <c r="Y1507" s="148"/>
      <c r="Z1507" s="148"/>
      <c r="AA1507" s="148"/>
      <c r="AB1507" s="148"/>
      <c r="AC1507" s="148"/>
    </row>
    <row r="1508" spans="1:29" hidden="1">
      <c r="A1508" s="149"/>
      <c r="B1508" s="147"/>
      <c r="C1508" s="147"/>
      <c r="D1508" s="147"/>
      <c r="E1508" s="147"/>
      <c r="F1508" s="147"/>
      <c r="G1508" s="147"/>
      <c r="H1508" s="147"/>
      <c r="I1508" s="147"/>
      <c r="J1508" s="147"/>
      <c r="K1508" s="147"/>
      <c r="L1508" s="147"/>
      <c r="M1508" s="147"/>
      <c r="N1508" s="147"/>
      <c r="O1508" s="147"/>
      <c r="P1508" s="147"/>
      <c r="Q1508" s="147"/>
      <c r="R1508" s="148"/>
      <c r="S1508" s="148"/>
      <c r="T1508" s="148"/>
      <c r="U1508" s="148"/>
      <c r="V1508" s="148"/>
      <c r="W1508" s="148"/>
      <c r="X1508" s="148"/>
      <c r="Y1508" s="148"/>
      <c r="Z1508" s="148"/>
      <c r="AA1508" s="148"/>
      <c r="AB1508" s="148"/>
      <c r="AC1508" s="148"/>
    </row>
    <row r="1509" spans="1:29" hidden="1">
      <c r="A1509" s="149"/>
      <c r="B1509" s="147"/>
      <c r="C1509" s="147"/>
      <c r="D1509" s="147"/>
      <c r="E1509" s="147"/>
      <c r="F1509" s="147"/>
      <c r="G1509" s="147"/>
      <c r="H1509" s="147"/>
      <c r="I1509" s="147"/>
      <c r="J1509" s="147"/>
      <c r="K1509" s="147"/>
      <c r="L1509" s="147"/>
      <c r="M1509" s="147"/>
      <c r="N1509" s="147"/>
      <c r="O1509" s="147"/>
      <c r="P1509" s="147"/>
      <c r="Q1509" s="147"/>
      <c r="R1509" s="148"/>
      <c r="S1509" s="148"/>
      <c r="T1509" s="148"/>
      <c r="U1509" s="148"/>
      <c r="V1509" s="148"/>
      <c r="W1509" s="148"/>
      <c r="X1509" s="148"/>
      <c r="Y1509" s="148"/>
      <c r="Z1509" s="148"/>
      <c r="AA1509" s="148"/>
      <c r="AB1509" s="148"/>
      <c r="AC1509" s="148"/>
    </row>
    <row r="1510" spans="1:29" hidden="1">
      <c r="A1510" s="149"/>
      <c r="B1510" s="147"/>
      <c r="C1510" s="147"/>
      <c r="D1510" s="147"/>
      <c r="E1510" s="147"/>
      <c r="F1510" s="147"/>
      <c r="G1510" s="147"/>
      <c r="H1510" s="147"/>
      <c r="I1510" s="147"/>
      <c r="J1510" s="147"/>
      <c r="K1510" s="147"/>
      <c r="L1510" s="147"/>
      <c r="M1510" s="147"/>
      <c r="N1510" s="147"/>
      <c r="O1510" s="147"/>
      <c r="P1510" s="147"/>
      <c r="Q1510" s="147"/>
      <c r="R1510" s="148"/>
      <c r="S1510" s="148"/>
      <c r="T1510" s="148"/>
      <c r="U1510" s="148"/>
      <c r="V1510" s="148"/>
      <c r="W1510" s="148"/>
      <c r="X1510" s="148"/>
      <c r="Y1510" s="148"/>
      <c r="Z1510" s="148"/>
      <c r="AA1510" s="148"/>
      <c r="AB1510" s="148"/>
      <c r="AC1510" s="148"/>
    </row>
    <row r="1511" spans="1:29" hidden="1">
      <c r="A1511" s="149"/>
      <c r="B1511" s="147"/>
      <c r="C1511" s="147"/>
      <c r="D1511" s="147"/>
      <c r="E1511" s="147"/>
      <c r="F1511" s="147"/>
      <c r="G1511" s="147"/>
      <c r="H1511" s="147"/>
      <c r="I1511" s="147"/>
      <c r="J1511" s="147"/>
      <c r="K1511" s="147"/>
      <c r="L1511" s="147"/>
      <c r="M1511" s="147"/>
      <c r="N1511" s="147"/>
      <c r="O1511" s="147"/>
      <c r="P1511" s="147"/>
      <c r="Q1511" s="147"/>
      <c r="R1511" s="148"/>
      <c r="S1511" s="148"/>
      <c r="T1511" s="148"/>
      <c r="U1511" s="148"/>
      <c r="V1511" s="148"/>
      <c r="W1511" s="148"/>
      <c r="X1511" s="148"/>
      <c r="Y1511" s="148"/>
      <c r="Z1511" s="148"/>
      <c r="AA1511" s="148"/>
      <c r="AB1511" s="148"/>
      <c r="AC1511" s="148"/>
    </row>
    <row r="1512" spans="1:29" hidden="1">
      <c r="A1512" s="149"/>
      <c r="B1512" s="147"/>
      <c r="C1512" s="147"/>
      <c r="D1512" s="147"/>
      <c r="E1512" s="147"/>
      <c r="F1512" s="147"/>
      <c r="G1512" s="147"/>
      <c r="H1512" s="147"/>
      <c r="I1512" s="147"/>
      <c r="J1512" s="147"/>
      <c r="K1512" s="147"/>
      <c r="L1512" s="147"/>
      <c r="M1512" s="147"/>
      <c r="N1512" s="147"/>
      <c r="O1512" s="147"/>
      <c r="P1512" s="147"/>
      <c r="Q1512" s="147"/>
      <c r="R1512" s="148"/>
      <c r="S1512" s="148"/>
      <c r="T1512" s="148"/>
      <c r="U1512" s="148"/>
      <c r="V1512" s="148"/>
      <c r="W1512" s="148"/>
      <c r="X1512" s="148"/>
      <c r="Y1512" s="148"/>
      <c r="Z1512" s="148"/>
      <c r="AA1512" s="148"/>
      <c r="AB1512" s="148"/>
      <c r="AC1512" s="148"/>
    </row>
    <row r="1513" spans="1:29" hidden="1">
      <c r="A1513" s="149"/>
      <c r="B1513" s="147"/>
      <c r="C1513" s="147"/>
      <c r="D1513" s="147"/>
      <c r="E1513" s="147"/>
      <c r="F1513" s="147"/>
      <c r="G1513" s="147"/>
      <c r="H1513" s="147"/>
      <c r="I1513" s="147"/>
      <c r="J1513" s="147"/>
      <c r="K1513" s="147"/>
      <c r="L1513" s="147"/>
      <c r="M1513" s="147"/>
      <c r="N1513" s="147"/>
      <c r="O1513" s="147"/>
      <c r="P1513" s="147"/>
      <c r="Q1513" s="147"/>
      <c r="R1513" s="148"/>
      <c r="S1513" s="148"/>
      <c r="T1513" s="148"/>
      <c r="U1513" s="148"/>
      <c r="V1513" s="148"/>
      <c r="W1513" s="148"/>
      <c r="X1513" s="148"/>
      <c r="Y1513" s="148"/>
      <c r="Z1513" s="148"/>
      <c r="AA1513" s="148"/>
      <c r="AB1513" s="148"/>
      <c r="AC1513" s="148"/>
    </row>
    <row r="1514" spans="1:29" hidden="1">
      <c r="A1514" s="149"/>
      <c r="B1514" s="147"/>
      <c r="C1514" s="147"/>
      <c r="D1514" s="147"/>
      <c r="E1514" s="147"/>
      <c r="F1514" s="147"/>
      <c r="G1514" s="147"/>
      <c r="H1514" s="147"/>
      <c r="I1514" s="147"/>
      <c r="J1514" s="147"/>
      <c r="K1514" s="147"/>
      <c r="L1514" s="147"/>
      <c r="M1514" s="147"/>
      <c r="N1514" s="147"/>
      <c r="O1514" s="147"/>
      <c r="P1514" s="147"/>
      <c r="Q1514" s="147"/>
      <c r="R1514" s="148"/>
      <c r="S1514" s="148"/>
      <c r="T1514" s="148"/>
      <c r="U1514" s="148"/>
      <c r="V1514" s="148"/>
      <c r="W1514" s="148"/>
      <c r="X1514" s="148"/>
      <c r="Y1514" s="148"/>
      <c r="Z1514" s="148"/>
      <c r="AA1514" s="148"/>
      <c r="AB1514" s="148"/>
      <c r="AC1514" s="148"/>
    </row>
    <row r="1515" spans="1:29" hidden="1">
      <c r="A1515" s="149"/>
      <c r="B1515" s="147"/>
      <c r="C1515" s="147"/>
      <c r="D1515" s="147"/>
      <c r="E1515" s="147"/>
      <c r="F1515" s="147"/>
      <c r="G1515" s="147"/>
      <c r="H1515" s="147"/>
      <c r="I1515" s="147"/>
      <c r="J1515" s="147"/>
      <c r="K1515" s="147"/>
      <c r="L1515" s="147"/>
      <c r="M1515" s="147"/>
      <c r="N1515" s="147"/>
      <c r="O1515" s="147"/>
      <c r="P1515" s="147"/>
      <c r="Q1515" s="147"/>
      <c r="R1515" s="148"/>
      <c r="S1515" s="148"/>
      <c r="T1515" s="148"/>
      <c r="U1515" s="148"/>
      <c r="V1515" s="148"/>
      <c r="W1515" s="148"/>
      <c r="X1515" s="148"/>
      <c r="Y1515" s="148"/>
      <c r="Z1515" s="148"/>
      <c r="AA1515" s="148"/>
      <c r="AB1515" s="148"/>
      <c r="AC1515" s="148"/>
    </row>
    <row r="1516" spans="1:29" hidden="1">
      <c r="A1516" s="149"/>
      <c r="B1516" s="147"/>
      <c r="C1516" s="147"/>
      <c r="D1516" s="147"/>
      <c r="E1516" s="147"/>
      <c r="F1516" s="147"/>
      <c r="G1516" s="147"/>
      <c r="H1516" s="147"/>
      <c r="I1516" s="147"/>
      <c r="J1516" s="147"/>
      <c r="K1516" s="147"/>
      <c r="L1516" s="147"/>
      <c r="M1516" s="147"/>
      <c r="N1516" s="147"/>
      <c r="O1516" s="147"/>
      <c r="P1516" s="147"/>
      <c r="Q1516" s="147"/>
      <c r="R1516" s="148"/>
      <c r="S1516" s="148"/>
      <c r="T1516" s="148"/>
      <c r="U1516" s="148"/>
      <c r="V1516" s="148"/>
      <c r="W1516" s="148"/>
      <c r="X1516" s="148"/>
      <c r="Y1516" s="148"/>
      <c r="Z1516" s="148"/>
      <c r="AA1516" s="148"/>
      <c r="AB1516" s="148"/>
      <c r="AC1516" s="148"/>
    </row>
    <row r="1517" spans="1:29" hidden="1">
      <c r="A1517" s="149"/>
      <c r="B1517" s="147"/>
      <c r="C1517" s="147"/>
      <c r="D1517" s="147"/>
      <c r="E1517" s="147"/>
      <c r="F1517" s="147"/>
      <c r="G1517" s="147"/>
      <c r="H1517" s="147"/>
      <c r="I1517" s="147"/>
      <c r="J1517" s="147"/>
      <c r="K1517" s="147"/>
      <c r="L1517" s="147"/>
      <c r="M1517" s="147"/>
      <c r="N1517" s="147"/>
      <c r="O1517" s="147"/>
      <c r="P1517" s="147"/>
      <c r="Q1517" s="147"/>
      <c r="R1517" s="148"/>
      <c r="S1517" s="148"/>
      <c r="T1517" s="148"/>
      <c r="U1517" s="148"/>
      <c r="V1517" s="148"/>
      <c r="W1517" s="148"/>
      <c r="X1517" s="148"/>
      <c r="Y1517" s="148"/>
      <c r="Z1517" s="148"/>
      <c r="AA1517" s="148"/>
      <c r="AB1517" s="148"/>
      <c r="AC1517" s="148"/>
    </row>
    <row r="1518" spans="1:29" hidden="1">
      <c r="A1518" s="149"/>
      <c r="B1518" s="147"/>
      <c r="C1518" s="147"/>
      <c r="D1518" s="147"/>
      <c r="E1518" s="147"/>
      <c r="F1518" s="147"/>
      <c r="G1518" s="147"/>
      <c r="H1518" s="147"/>
      <c r="I1518" s="147"/>
      <c r="J1518" s="147"/>
      <c r="K1518" s="147"/>
      <c r="L1518" s="147"/>
      <c r="M1518" s="147"/>
      <c r="N1518" s="147"/>
      <c r="O1518" s="147"/>
      <c r="P1518" s="147"/>
      <c r="Q1518" s="147"/>
      <c r="R1518" s="148"/>
      <c r="S1518" s="148"/>
      <c r="T1518" s="148"/>
      <c r="U1518" s="148"/>
      <c r="V1518" s="148"/>
      <c r="W1518" s="148"/>
      <c r="X1518" s="148"/>
      <c r="Y1518" s="148"/>
      <c r="Z1518" s="148"/>
      <c r="AA1518" s="148"/>
      <c r="AB1518" s="148"/>
      <c r="AC1518" s="148"/>
    </row>
    <row r="1519" spans="1:29" hidden="1">
      <c r="A1519" s="149"/>
      <c r="B1519" s="147"/>
      <c r="C1519" s="147"/>
      <c r="D1519" s="147"/>
      <c r="E1519" s="147"/>
      <c r="F1519" s="147"/>
      <c r="G1519" s="147"/>
      <c r="H1519" s="147"/>
      <c r="I1519" s="147"/>
      <c r="J1519" s="147"/>
      <c r="K1519" s="147"/>
      <c r="L1519" s="147"/>
      <c r="M1519" s="147"/>
      <c r="N1519" s="147"/>
      <c r="O1519" s="147"/>
      <c r="P1519" s="147"/>
      <c r="Q1519" s="147"/>
      <c r="R1519" s="148"/>
      <c r="S1519" s="148"/>
      <c r="T1519" s="148"/>
      <c r="U1519" s="148"/>
      <c r="V1519" s="148"/>
      <c r="W1519" s="148"/>
      <c r="X1519" s="148"/>
      <c r="Y1519" s="148"/>
      <c r="Z1519" s="148"/>
      <c r="AA1519" s="148"/>
      <c r="AB1519" s="148"/>
      <c r="AC1519" s="148"/>
    </row>
    <row r="1520" spans="1:29" hidden="1">
      <c r="A1520" s="149"/>
      <c r="B1520" s="147"/>
      <c r="C1520" s="147"/>
      <c r="D1520" s="147"/>
      <c r="E1520" s="147"/>
      <c r="F1520" s="147"/>
      <c r="G1520" s="147"/>
      <c r="H1520" s="147"/>
      <c r="I1520" s="147"/>
      <c r="J1520" s="147"/>
      <c r="K1520" s="147"/>
      <c r="L1520" s="147"/>
      <c r="M1520" s="147"/>
      <c r="N1520" s="147"/>
      <c r="O1520" s="147"/>
      <c r="P1520" s="147"/>
      <c r="Q1520" s="147"/>
      <c r="R1520" s="148"/>
      <c r="S1520" s="148"/>
      <c r="T1520" s="148"/>
      <c r="U1520" s="148"/>
      <c r="V1520" s="148"/>
      <c r="W1520" s="148"/>
      <c r="X1520" s="148"/>
      <c r="Y1520" s="148"/>
      <c r="Z1520" s="148"/>
      <c r="AA1520" s="148"/>
      <c r="AB1520" s="148"/>
      <c r="AC1520" s="148"/>
    </row>
    <row r="1521" spans="1:29" hidden="1">
      <c r="A1521" s="149"/>
      <c r="B1521" s="147"/>
      <c r="C1521" s="147"/>
      <c r="D1521" s="147"/>
      <c r="E1521" s="147"/>
      <c r="F1521" s="147"/>
      <c r="G1521" s="147"/>
      <c r="H1521" s="147"/>
      <c r="I1521" s="147"/>
      <c r="J1521" s="147"/>
      <c r="K1521" s="147"/>
      <c r="L1521" s="147"/>
      <c r="M1521" s="147"/>
      <c r="N1521" s="147"/>
      <c r="O1521" s="147"/>
      <c r="P1521" s="147"/>
      <c r="Q1521" s="147"/>
      <c r="R1521" s="148"/>
      <c r="S1521" s="148"/>
      <c r="T1521" s="148"/>
      <c r="U1521" s="148"/>
      <c r="V1521" s="148"/>
      <c r="W1521" s="148"/>
      <c r="X1521" s="148"/>
      <c r="Y1521" s="148"/>
      <c r="Z1521" s="148"/>
      <c r="AA1521" s="148"/>
      <c r="AB1521" s="148"/>
      <c r="AC1521" s="148"/>
    </row>
    <row r="1522" spans="1:29" hidden="1">
      <c r="A1522" s="149"/>
      <c r="B1522" s="147"/>
      <c r="C1522" s="147"/>
      <c r="D1522" s="147"/>
      <c r="E1522" s="147"/>
      <c r="F1522" s="147"/>
      <c r="G1522" s="147"/>
      <c r="H1522" s="147"/>
      <c r="I1522" s="147"/>
      <c r="J1522" s="147"/>
      <c r="K1522" s="147"/>
      <c r="L1522" s="147"/>
      <c r="M1522" s="147"/>
      <c r="N1522" s="147"/>
      <c r="O1522" s="147"/>
      <c r="P1522" s="147"/>
      <c r="Q1522" s="147"/>
      <c r="R1522" s="148"/>
      <c r="S1522" s="148"/>
      <c r="T1522" s="148"/>
      <c r="U1522" s="148"/>
      <c r="V1522" s="148"/>
      <c r="W1522" s="148"/>
      <c r="X1522" s="148"/>
      <c r="Y1522" s="148"/>
      <c r="Z1522" s="148"/>
      <c r="AA1522" s="148"/>
      <c r="AB1522" s="148"/>
      <c r="AC1522" s="148"/>
    </row>
    <row r="1523" spans="1:29" hidden="1">
      <c r="A1523" s="149"/>
      <c r="B1523" s="147"/>
      <c r="C1523" s="147"/>
      <c r="D1523" s="147"/>
      <c r="E1523" s="147"/>
      <c r="F1523" s="147"/>
      <c r="G1523" s="147"/>
      <c r="H1523" s="147"/>
      <c r="I1523" s="147"/>
      <c r="J1523" s="147"/>
      <c r="K1523" s="147"/>
      <c r="L1523" s="147"/>
      <c r="M1523" s="147"/>
      <c r="N1523" s="147"/>
      <c r="O1523" s="147"/>
      <c r="P1523" s="147"/>
      <c r="Q1523" s="147"/>
      <c r="R1523" s="148"/>
      <c r="S1523" s="148"/>
      <c r="T1523" s="148"/>
      <c r="U1523" s="148"/>
      <c r="V1523" s="148"/>
      <c r="W1523" s="148"/>
      <c r="X1523" s="148"/>
      <c r="Y1523" s="148"/>
      <c r="Z1523" s="148"/>
      <c r="AA1523" s="148"/>
      <c r="AB1523" s="148"/>
      <c r="AC1523" s="148"/>
    </row>
    <row r="1524" spans="1:29" hidden="1">
      <c r="A1524" s="149"/>
      <c r="B1524" s="147"/>
      <c r="C1524" s="147"/>
      <c r="D1524" s="147"/>
      <c r="E1524" s="147"/>
      <c r="F1524" s="147"/>
      <c r="G1524" s="147"/>
      <c r="H1524" s="147"/>
      <c r="I1524" s="147"/>
      <c r="J1524" s="147"/>
      <c r="K1524" s="147"/>
      <c r="L1524" s="147"/>
      <c r="M1524" s="147"/>
      <c r="N1524" s="147"/>
      <c r="O1524" s="147"/>
      <c r="P1524" s="147"/>
      <c r="Q1524" s="147"/>
      <c r="R1524" s="148"/>
      <c r="S1524" s="148"/>
      <c r="T1524" s="148"/>
      <c r="U1524" s="148"/>
      <c r="V1524" s="148"/>
      <c r="W1524" s="148"/>
      <c r="X1524" s="148"/>
      <c r="Y1524" s="148"/>
      <c r="Z1524" s="148"/>
      <c r="AA1524" s="148"/>
      <c r="AB1524" s="148"/>
      <c r="AC1524" s="148"/>
    </row>
    <row r="1525" spans="1:29" hidden="1">
      <c r="A1525" s="149"/>
      <c r="B1525" s="147"/>
      <c r="C1525" s="147"/>
      <c r="D1525" s="147"/>
      <c r="E1525" s="147"/>
      <c r="F1525" s="147"/>
      <c r="G1525" s="147"/>
      <c r="H1525" s="147"/>
      <c r="I1525" s="147"/>
      <c r="J1525" s="147"/>
      <c r="K1525" s="147"/>
      <c r="L1525" s="147"/>
      <c r="M1525" s="147"/>
      <c r="N1525" s="147"/>
      <c r="O1525" s="147"/>
      <c r="P1525" s="147"/>
      <c r="Q1525" s="147"/>
      <c r="R1525" s="148"/>
      <c r="S1525" s="148"/>
      <c r="T1525" s="148"/>
      <c r="U1525" s="148"/>
      <c r="V1525" s="148"/>
      <c r="W1525" s="148"/>
      <c r="X1525" s="148"/>
      <c r="Y1525" s="148"/>
      <c r="Z1525" s="148"/>
      <c r="AA1525" s="148"/>
      <c r="AB1525" s="148"/>
      <c r="AC1525" s="148"/>
    </row>
    <row r="1526" spans="1:29" hidden="1">
      <c r="A1526" s="149"/>
      <c r="B1526" s="147"/>
      <c r="C1526" s="147"/>
      <c r="D1526" s="147"/>
      <c r="E1526" s="147"/>
      <c r="F1526" s="147"/>
      <c r="G1526" s="147"/>
      <c r="H1526" s="147"/>
      <c r="I1526" s="147"/>
      <c r="J1526" s="147"/>
      <c r="K1526" s="147"/>
      <c r="L1526" s="147"/>
      <c r="M1526" s="147"/>
      <c r="N1526" s="147"/>
      <c r="O1526" s="147"/>
      <c r="P1526" s="147"/>
      <c r="Q1526" s="147"/>
      <c r="R1526" s="148"/>
      <c r="S1526" s="148"/>
      <c r="T1526" s="148"/>
      <c r="U1526" s="148"/>
      <c r="V1526" s="148"/>
      <c r="W1526" s="148"/>
      <c r="X1526" s="148"/>
      <c r="Y1526" s="148"/>
      <c r="Z1526" s="148"/>
      <c r="AA1526" s="148"/>
      <c r="AB1526" s="148"/>
      <c r="AC1526" s="148"/>
    </row>
    <row r="1527" spans="1:29" hidden="1">
      <c r="A1527" s="149"/>
      <c r="B1527" s="147"/>
      <c r="C1527" s="147"/>
      <c r="D1527" s="147"/>
      <c r="E1527" s="147"/>
      <c r="F1527" s="147"/>
      <c r="G1527" s="147"/>
      <c r="H1527" s="147"/>
      <c r="I1527" s="147"/>
      <c r="J1527" s="147"/>
      <c r="K1527" s="147"/>
      <c r="L1527" s="147"/>
      <c r="M1527" s="147"/>
      <c r="N1527" s="147"/>
      <c r="O1527" s="147"/>
      <c r="P1527" s="147"/>
      <c r="Q1527" s="147"/>
      <c r="R1527" s="148"/>
      <c r="S1527" s="148"/>
      <c r="T1527" s="148"/>
      <c r="U1527" s="148"/>
      <c r="V1527" s="148"/>
      <c r="W1527" s="148"/>
      <c r="X1527" s="148"/>
      <c r="Y1527" s="148"/>
      <c r="Z1527" s="148"/>
      <c r="AA1527" s="148"/>
      <c r="AB1527" s="148"/>
      <c r="AC1527" s="148"/>
    </row>
    <row r="1528" spans="1:29" hidden="1">
      <c r="A1528" s="149"/>
      <c r="B1528" s="147"/>
      <c r="C1528" s="147"/>
      <c r="D1528" s="147"/>
      <c r="E1528" s="147"/>
      <c r="F1528" s="147"/>
      <c r="G1528" s="147"/>
      <c r="H1528" s="147"/>
      <c r="I1528" s="147"/>
      <c r="J1528" s="147"/>
      <c r="K1528" s="147"/>
      <c r="L1528" s="147"/>
      <c r="M1528" s="147"/>
      <c r="N1528" s="147"/>
      <c r="O1528" s="147"/>
      <c r="P1528" s="147"/>
      <c r="Q1528" s="147"/>
      <c r="R1528" s="148"/>
      <c r="S1528" s="148"/>
      <c r="T1528" s="148"/>
      <c r="U1528" s="148"/>
      <c r="V1528" s="148"/>
      <c r="W1528" s="148"/>
      <c r="X1528" s="148"/>
      <c r="Y1528" s="148"/>
      <c r="Z1528" s="148"/>
      <c r="AA1528" s="148"/>
      <c r="AB1528" s="148"/>
      <c r="AC1528" s="148"/>
    </row>
    <row r="1529" spans="1:29" hidden="1">
      <c r="A1529" s="149"/>
      <c r="B1529" s="147"/>
      <c r="C1529" s="147"/>
      <c r="D1529" s="147"/>
      <c r="E1529" s="147"/>
      <c r="F1529" s="147"/>
      <c r="G1529" s="147"/>
      <c r="H1529" s="147"/>
      <c r="I1529" s="147"/>
      <c r="J1529" s="147"/>
      <c r="K1529" s="147"/>
      <c r="L1529" s="147"/>
      <c r="M1529" s="147"/>
      <c r="N1529" s="147"/>
      <c r="O1529" s="147"/>
      <c r="P1529" s="147"/>
      <c r="Q1529" s="147"/>
      <c r="R1529" s="148"/>
      <c r="S1529" s="148"/>
      <c r="T1529" s="148"/>
      <c r="U1529" s="148"/>
      <c r="V1529" s="148"/>
      <c r="W1529" s="148"/>
      <c r="X1529" s="148"/>
      <c r="Y1529" s="148"/>
      <c r="Z1529" s="148"/>
      <c r="AA1529" s="148"/>
      <c r="AB1529" s="148"/>
      <c r="AC1529" s="148"/>
    </row>
    <row r="1530" spans="1:29" hidden="1">
      <c r="A1530" s="149"/>
      <c r="B1530" s="147"/>
      <c r="C1530" s="147"/>
      <c r="D1530" s="147"/>
      <c r="E1530" s="147"/>
      <c r="F1530" s="147"/>
      <c r="G1530" s="147"/>
      <c r="H1530" s="147"/>
      <c r="I1530" s="147"/>
      <c r="J1530" s="147"/>
      <c r="K1530" s="147"/>
      <c r="L1530" s="147"/>
      <c r="M1530" s="147"/>
      <c r="N1530" s="147"/>
      <c r="O1530" s="147"/>
      <c r="P1530" s="147"/>
      <c r="Q1530" s="147"/>
      <c r="R1530" s="148"/>
      <c r="S1530" s="148"/>
      <c r="T1530" s="148"/>
      <c r="U1530" s="148"/>
      <c r="V1530" s="148"/>
      <c r="W1530" s="148"/>
      <c r="X1530" s="148"/>
      <c r="Y1530" s="148"/>
      <c r="Z1530" s="148"/>
      <c r="AA1530" s="148"/>
      <c r="AB1530" s="148"/>
      <c r="AC1530" s="148"/>
    </row>
    <row r="1531" spans="1:29" hidden="1">
      <c r="A1531" s="149"/>
      <c r="B1531" s="147"/>
      <c r="C1531" s="147"/>
      <c r="D1531" s="147"/>
      <c r="E1531" s="147"/>
      <c r="F1531" s="147"/>
      <c r="G1531" s="147"/>
      <c r="H1531" s="147"/>
      <c r="I1531" s="147"/>
      <c r="J1531" s="147"/>
      <c r="K1531" s="147"/>
      <c r="L1531" s="147"/>
      <c r="M1531" s="147"/>
      <c r="N1531" s="147"/>
      <c r="O1531" s="147"/>
      <c r="P1531" s="147"/>
      <c r="Q1531" s="147"/>
      <c r="R1531" s="148"/>
      <c r="S1531" s="148"/>
      <c r="T1531" s="148"/>
      <c r="U1531" s="148"/>
      <c r="V1531" s="148"/>
      <c r="W1531" s="148"/>
      <c r="X1531" s="148"/>
      <c r="Y1531" s="148"/>
      <c r="Z1531" s="148"/>
      <c r="AA1531" s="148"/>
      <c r="AB1531" s="148"/>
      <c r="AC1531" s="148"/>
    </row>
    <row r="1532" spans="1:29" hidden="1">
      <c r="A1532" s="149"/>
      <c r="B1532" s="147"/>
      <c r="C1532" s="147"/>
      <c r="D1532" s="147"/>
      <c r="E1532" s="147"/>
      <c r="F1532" s="147"/>
      <c r="G1532" s="147"/>
      <c r="H1532" s="147"/>
      <c r="I1532" s="147"/>
      <c r="J1532" s="147"/>
      <c r="K1532" s="147"/>
      <c r="L1532" s="147"/>
      <c r="M1532" s="147"/>
      <c r="N1532" s="147"/>
      <c r="O1532" s="147"/>
      <c r="P1532" s="147"/>
      <c r="Q1532" s="147"/>
      <c r="R1532" s="148"/>
      <c r="S1532" s="148"/>
      <c r="T1532" s="148"/>
      <c r="U1532" s="148"/>
      <c r="V1532" s="148"/>
      <c r="W1532" s="148"/>
      <c r="X1532" s="148"/>
      <c r="Y1532" s="148"/>
      <c r="Z1532" s="148"/>
      <c r="AA1532" s="148"/>
      <c r="AB1532" s="148"/>
      <c r="AC1532" s="148"/>
    </row>
    <row r="1533" spans="1:29" hidden="1">
      <c r="A1533" s="149"/>
      <c r="B1533" s="147"/>
      <c r="C1533" s="147"/>
      <c r="D1533" s="147"/>
      <c r="E1533" s="147"/>
      <c r="F1533" s="147"/>
      <c r="G1533" s="147"/>
      <c r="H1533" s="147"/>
      <c r="I1533" s="147"/>
      <c r="J1533" s="147"/>
      <c r="K1533" s="147"/>
      <c r="L1533" s="147"/>
      <c r="M1533" s="147"/>
      <c r="N1533" s="147"/>
      <c r="O1533" s="147"/>
      <c r="P1533" s="147"/>
      <c r="Q1533" s="147"/>
      <c r="R1533" s="148"/>
      <c r="S1533" s="148"/>
      <c r="T1533" s="148"/>
      <c r="U1533" s="148"/>
      <c r="V1533" s="148"/>
      <c r="W1533" s="148"/>
      <c r="X1533" s="148"/>
      <c r="Y1533" s="148"/>
      <c r="Z1533" s="148"/>
      <c r="AA1533" s="148"/>
      <c r="AB1533" s="148"/>
      <c r="AC1533" s="148"/>
    </row>
    <row r="1534" spans="1:29" hidden="1">
      <c r="A1534" s="149"/>
      <c r="B1534" s="147"/>
      <c r="C1534" s="147"/>
      <c r="D1534" s="147"/>
      <c r="E1534" s="147"/>
      <c r="F1534" s="147"/>
      <c r="G1534" s="147"/>
      <c r="H1534" s="147"/>
      <c r="I1534" s="147"/>
      <c r="J1534" s="147"/>
      <c r="K1534" s="147"/>
      <c r="L1534" s="147"/>
      <c r="M1534" s="147"/>
      <c r="N1534" s="147"/>
      <c r="O1534" s="147"/>
      <c r="P1534" s="147"/>
      <c r="Q1534" s="147"/>
      <c r="R1534" s="148"/>
      <c r="S1534" s="148"/>
      <c r="T1534" s="148"/>
      <c r="U1534" s="148"/>
      <c r="V1534" s="148"/>
      <c r="W1534" s="148"/>
      <c r="X1534" s="148"/>
      <c r="Y1534" s="148"/>
      <c r="Z1534" s="148"/>
      <c r="AA1534" s="148"/>
      <c r="AB1534" s="148"/>
      <c r="AC1534" s="148"/>
    </row>
    <row r="1535" spans="1:29" hidden="1">
      <c r="A1535" s="149"/>
      <c r="B1535" s="147"/>
      <c r="C1535" s="147"/>
      <c r="D1535" s="147"/>
      <c r="E1535" s="147"/>
      <c r="F1535" s="147"/>
      <c r="G1535" s="147"/>
      <c r="H1535" s="147"/>
      <c r="I1535" s="147"/>
      <c r="J1535" s="147"/>
      <c r="K1535" s="147"/>
      <c r="L1535" s="147"/>
      <c r="M1535" s="147"/>
      <c r="N1535" s="147"/>
      <c r="O1535" s="147"/>
      <c r="P1535" s="147"/>
      <c r="Q1535" s="147"/>
      <c r="R1535" s="148"/>
      <c r="S1535" s="148"/>
      <c r="T1535" s="148"/>
      <c r="U1535" s="148"/>
      <c r="V1535" s="148"/>
      <c r="W1535" s="148"/>
      <c r="X1535" s="148"/>
      <c r="Y1535" s="148"/>
      <c r="Z1535" s="148"/>
      <c r="AA1535" s="148"/>
      <c r="AB1535" s="148"/>
      <c r="AC1535" s="148"/>
    </row>
    <row r="1536" spans="1:29" hidden="1">
      <c r="A1536" s="149"/>
      <c r="B1536" s="147"/>
      <c r="C1536" s="147"/>
      <c r="D1536" s="147"/>
      <c r="E1536" s="147"/>
      <c r="F1536" s="147"/>
      <c r="G1536" s="147"/>
      <c r="H1536" s="147"/>
      <c r="I1536" s="147"/>
      <c r="J1536" s="147"/>
      <c r="K1536" s="147"/>
      <c r="L1536" s="147"/>
      <c r="M1536" s="147"/>
      <c r="N1536" s="147"/>
      <c r="O1536" s="147"/>
      <c r="P1536" s="147"/>
      <c r="Q1536" s="147"/>
      <c r="R1536" s="148"/>
      <c r="S1536" s="148"/>
      <c r="T1536" s="148"/>
      <c r="U1536" s="148"/>
      <c r="V1536" s="148"/>
      <c r="W1536" s="148"/>
      <c r="X1536" s="148"/>
      <c r="Y1536" s="148"/>
      <c r="Z1536" s="148"/>
      <c r="AA1536" s="148"/>
      <c r="AB1536" s="148"/>
      <c r="AC1536" s="148"/>
    </row>
    <row r="1537" spans="1:29" hidden="1">
      <c r="A1537" s="149"/>
      <c r="B1537" s="147"/>
      <c r="C1537" s="147"/>
      <c r="D1537" s="147"/>
      <c r="E1537" s="147"/>
      <c r="F1537" s="147"/>
      <c r="G1537" s="147"/>
      <c r="H1537" s="147"/>
      <c r="I1537" s="147"/>
      <c r="J1537" s="147"/>
      <c r="K1537" s="147"/>
      <c r="L1537" s="147"/>
      <c r="M1537" s="147"/>
      <c r="N1537" s="147"/>
      <c r="O1537" s="147"/>
      <c r="P1537" s="147"/>
      <c r="Q1537" s="147"/>
      <c r="R1537" s="148"/>
      <c r="S1537" s="148"/>
      <c r="T1537" s="148"/>
      <c r="U1537" s="148"/>
      <c r="V1537" s="148"/>
      <c r="W1537" s="148"/>
      <c r="X1537" s="148"/>
      <c r="Y1537" s="148"/>
      <c r="Z1537" s="148"/>
      <c r="AA1537" s="148"/>
      <c r="AB1537" s="148"/>
      <c r="AC1537" s="148"/>
    </row>
    <row r="1538" spans="1:29" hidden="1">
      <c r="A1538" s="149"/>
      <c r="B1538" s="147"/>
      <c r="C1538" s="147"/>
      <c r="D1538" s="147"/>
      <c r="E1538" s="147"/>
      <c r="F1538" s="147"/>
      <c r="G1538" s="147"/>
      <c r="H1538" s="147"/>
      <c r="I1538" s="147"/>
      <c r="J1538" s="147"/>
      <c r="K1538" s="147"/>
      <c r="L1538" s="147"/>
      <c r="M1538" s="147"/>
      <c r="N1538" s="147"/>
      <c r="O1538" s="147"/>
      <c r="P1538" s="147"/>
      <c r="Q1538" s="147"/>
      <c r="R1538" s="148"/>
      <c r="S1538" s="148"/>
      <c r="T1538" s="148"/>
      <c r="U1538" s="148"/>
      <c r="V1538" s="148"/>
      <c r="W1538" s="148"/>
      <c r="X1538" s="148"/>
      <c r="Y1538" s="148"/>
      <c r="Z1538" s="148"/>
      <c r="AA1538" s="148"/>
      <c r="AB1538" s="148"/>
      <c r="AC1538" s="148"/>
    </row>
    <row r="1539" spans="1:29" hidden="1">
      <c r="A1539" s="149"/>
      <c r="B1539" s="147"/>
      <c r="C1539" s="147"/>
      <c r="D1539" s="147"/>
      <c r="E1539" s="147"/>
      <c r="F1539" s="147"/>
      <c r="G1539" s="147"/>
      <c r="H1539" s="147"/>
      <c r="I1539" s="147"/>
      <c r="J1539" s="147"/>
      <c r="K1539" s="147"/>
      <c r="L1539" s="147"/>
      <c r="M1539" s="147"/>
      <c r="N1539" s="147"/>
      <c r="O1539" s="147"/>
      <c r="P1539" s="147"/>
      <c r="Q1539" s="147"/>
      <c r="R1539" s="148"/>
      <c r="S1539" s="148"/>
      <c r="T1539" s="148"/>
      <c r="U1539" s="148"/>
      <c r="V1539" s="148"/>
      <c r="W1539" s="148"/>
      <c r="X1539" s="148"/>
      <c r="Y1539" s="148"/>
      <c r="Z1539" s="148"/>
      <c r="AA1539" s="148"/>
      <c r="AB1539" s="148"/>
      <c r="AC1539" s="148"/>
    </row>
    <row r="1540" spans="1:29" hidden="1">
      <c r="A1540" s="149"/>
      <c r="B1540" s="147"/>
      <c r="C1540" s="147"/>
      <c r="D1540" s="147"/>
      <c r="E1540" s="147"/>
      <c r="F1540" s="147"/>
      <c r="G1540" s="147"/>
      <c r="H1540" s="147"/>
      <c r="I1540" s="147"/>
      <c r="J1540" s="147"/>
      <c r="K1540" s="147"/>
      <c r="L1540" s="147"/>
      <c r="M1540" s="147"/>
      <c r="N1540" s="147"/>
      <c r="O1540" s="147"/>
      <c r="P1540" s="147"/>
      <c r="Q1540" s="147"/>
      <c r="R1540" s="148"/>
      <c r="S1540" s="148"/>
      <c r="T1540" s="148"/>
      <c r="U1540" s="148"/>
      <c r="V1540" s="148"/>
      <c r="W1540" s="148"/>
      <c r="X1540" s="148"/>
      <c r="Y1540" s="148"/>
      <c r="Z1540" s="148"/>
      <c r="AA1540" s="148"/>
      <c r="AB1540" s="148"/>
      <c r="AC1540" s="148"/>
    </row>
    <row r="1541" spans="1:29" hidden="1">
      <c r="A1541" s="149"/>
      <c r="B1541" s="147"/>
      <c r="C1541" s="147"/>
      <c r="D1541" s="147"/>
      <c r="E1541" s="147"/>
      <c r="F1541" s="147"/>
      <c r="G1541" s="147"/>
      <c r="H1541" s="147"/>
      <c r="I1541" s="147"/>
      <c r="J1541" s="147"/>
      <c r="K1541" s="147"/>
      <c r="L1541" s="147"/>
      <c r="M1541" s="147"/>
      <c r="N1541" s="147"/>
      <c r="O1541" s="147"/>
      <c r="P1541" s="147"/>
      <c r="Q1541" s="147"/>
      <c r="R1541" s="148"/>
      <c r="S1541" s="148"/>
      <c r="T1541" s="148"/>
      <c r="U1541" s="148"/>
      <c r="V1541" s="148"/>
      <c r="W1541" s="148"/>
      <c r="X1541" s="148"/>
      <c r="Y1541" s="148"/>
      <c r="Z1541" s="148"/>
      <c r="AA1541" s="148"/>
      <c r="AB1541" s="148"/>
      <c r="AC1541" s="148"/>
    </row>
    <row r="1542" spans="1:29" hidden="1">
      <c r="A1542" s="149"/>
      <c r="B1542" s="147"/>
      <c r="C1542" s="147"/>
      <c r="D1542" s="147"/>
      <c r="E1542" s="147"/>
      <c r="F1542" s="147"/>
      <c r="G1542" s="147"/>
      <c r="H1542" s="147"/>
      <c r="I1542" s="147"/>
      <c r="J1542" s="147"/>
      <c r="K1542" s="147"/>
      <c r="L1542" s="147"/>
      <c r="M1542" s="147"/>
      <c r="N1542" s="147"/>
      <c r="O1542" s="147"/>
      <c r="P1542" s="147"/>
      <c r="Q1542" s="147"/>
      <c r="R1542" s="148"/>
      <c r="S1542" s="148"/>
      <c r="T1542" s="148"/>
      <c r="U1542" s="148"/>
      <c r="V1542" s="148"/>
      <c r="W1542" s="148"/>
      <c r="X1542" s="148"/>
      <c r="Y1542" s="148"/>
      <c r="Z1542" s="148"/>
      <c r="AA1542" s="148"/>
      <c r="AB1542" s="148"/>
      <c r="AC1542" s="148"/>
    </row>
    <row r="1543" spans="1:29" hidden="1">
      <c r="A1543" s="149"/>
      <c r="B1543" s="147"/>
      <c r="C1543" s="147"/>
      <c r="D1543" s="147"/>
      <c r="E1543" s="147"/>
      <c r="F1543" s="147"/>
      <c r="G1543" s="147"/>
      <c r="H1543" s="147"/>
      <c r="I1543" s="147"/>
      <c r="J1543" s="147"/>
      <c r="K1543" s="147"/>
      <c r="L1543" s="147"/>
      <c r="M1543" s="147"/>
      <c r="N1543" s="147"/>
      <c r="O1543" s="147"/>
      <c r="P1543" s="147"/>
      <c r="Q1543" s="147"/>
      <c r="R1543" s="148"/>
      <c r="S1543" s="148"/>
      <c r="T1543" s="148"/>
      <c r="U1543" s="148"/>
      <c r="V1543" s="148"/>
      <c r="W1543" s="148"/>
      <c r="X1543" s="148"/>
      <c r="Y1543" s="148"/>
      <c r="Z1543" s="148"/>
      <c r="AA1543" s="148"/>
      <c r="AB1543" s="148"/>
      <c r="AC1543" s="148"/>
    </row>
    <row r="1544" spans="1:29" hidden="1">
      <c r="A1544" s="149"/>
      <c r="B1544" s="147"/>
      <c r="C1544" s="147"/>
      <c r="D1544" s="147"/>
      <c r="E1544" s="147"/>
      <c r="F1544" s="147"/>
      <c r="G1544" s="147"/>
      <c r="H1544" s="147"/>
      <c r="I1544" s="147"/>
      <c r="J1544" s="147"/>
      <c r="K1544" s="147"/>
      <c r="L1544" s="147"/>
      <c r="M1544" s="147"/>
      <c r="N1544" s="147"/>
      <c r="O1544" s="147"/>
      <c r="P1544" s="147"/>
      <c r="Q1544" s="147"/>
      <c r="R1544" s="148"/>
      <c r="S1544" s="148"/>
      <c r="T1544" s="148"/>
      <c r="U1544" s="148"/>
      <c r="V1544" s="148"/>
      <c r="W1544" s="148"/>
      <c r="X1544" s="148"/>
      <c r="Y1544" s="148"/>
      <c r="Z1544" s="148"/>
      <c r="AA1544" s="148"/>
      <c r="AB1544" s="148"/>
      <c r="AC1544" s="148"/>
    </row>
    <row r="1545" spans="1:29" hidden="1">
      <c r="A1545" s="149"/>
      <c r="B1545" s="147"/>
      <c r="C1545" s="147"/>
      <c r="D1545" s="147"/>
      <c r="E1545" s="147"/>
      <c r="F1545" s="147"/>
      <c r="G1545" s="147"/>
      <c r="H1545" s="147"/>
      <c r="I1545" s="147"/>
      <c r="J1545" s="147"/>
      <c r="K1545" s="147"/>
      <c r="L1545" s="147"/>
      <c r="M1545" s="147"/>
      <c r="N1545" s="147"/>
      <c r="O1545" s="147"/>
      <c r="P1545" s="147"/>
      <c r="Q1545" s="147"/>
      <c r="R1545" s="148"/>
      <c r="S1545" s="148"/>
      <c r="T1545" s="148"/>
      <c r="U1545" s="148"/>
      <c r="V1545" s="148"/>
      <c r="W1545" s="148"/>
      <c r="X1545" s="148"/>
      <c r="Y1545" s="148"/>
      <c r="Z1545" s="148"/>
      <c r="AA1545" s="148"/>
      <c r="AB1545" s="148"/>
      <c r="AC1545" s="148"/>
    </row>
    <row r="1546" spans="1:29" hidden="1">
      <c r="A1546" s="149"/>
      <c r="B1546" s="147"/>
      <c r="C1546" s="147"/>
      <c r="D1546" s="147"/>
      <c r="E1546" s="147"/>
      <c r="F1546" s="147"/>
      <c r="G1546" s="147"/>
      <c r="H1546" s="147"/>
      <c r="I1546" s="147"/>
      <c r="J1546" s="147"/>
      <c r="K1546" s="147"/>
      <c r="L1546" s="147"/>
      <c r="M1546" s="147"/>
      <c r="N1546" s="147"/>
      <c r="O1546" s="147"/>
      <c r="P1546" s="147"/>
      <c r="Q1546" s="147"/>
      <c r="R1546" s="148"/>
      <c r="S1546" s="148"/>
      <c r="T1546" s="148"/>
      <c r="U1546" s="148"/>
      <c r="V1546" s="148"/>
      <c r="W1546" s="148"/>
      <c r="X1546" s="148"/>
      <c r="Y1546" s="148"/>
      <c r="Z1546" s="148"/>
      <c r="AA1546" s="148"/>
      <c r="AB1546" s="148"/>
      <c r="AC1546" s="148"/>
    </row>
    <row r="1547" spans="1:29" hidden="1">
      <c r="A1547" s="149"/>
      <c r="B1547" s="147"/>
      <c r="C1547" s="147"/>
      <c r="D1547" s="147"/>
      <c r="E1547" s="147"/>
      <c r="F1547" s="147"/>
      <c r="G1547" s="147"/>
      <c r="H1547" s="147"/>
      <c r="I1547" s="147"/>
      <c r="J1547" s="147"/>
      <c r="K1547" s="147"/>
      <c r="L1547" s="147"/>
      <c r="M1547" s="147"/>
      <c r="N1547" s="147"/>
      <c r="O1547" s="147"/>
      <c r="P1547" s="147"/>
      <c r="Q1547" s="147"/>
      <c r="R1547" s="148"/>
      <c r="S1547" s="148"/>
      <c r="T1547" s="148"/>
      <c r="U1547" s="148"/>
      <c r="V1547" s="148"/>
      <c r="W1547" s="148"/>
      <c r="X1547" s="148"/>
      <c r="Y1547" s="148"/>
      <c r="Z1547" s="148"/>
      <c r="AA1547" s="148"/>
      <c r="AB1547" s="148"/>
      <c r="AC1547" s="148"/>
    </row>
    <row r="1548" spans="1:29" hidden="1">
      <c r="A1548" s="149"/>
      <c r="B1548" s="147"/>
      <c r="C1548" s="147"/>
      <c r="D1548" s="147"/>
      <c r="E1548" s="147"/>
      <c r="F1548" s="147"/>
      <c r="G1548" s="147"/>
      <c r="H1548" s="147"/>
      <c r="I1548" s="147"/>
      <c r="J1548" s="147"/>
      <c r="K1548" s="147"/>
      <c r="L1548" s="147"/>
      <c r="M1548" s="147"/>
      <c r="N1548" s="147"/>
      <c r="O1548" s="147"/>
      <c r="P1548" s="147"/>
      <c r="Q1548" s="147"/>
      <c r="R1548" s="148"/>
      <c r="S1548" s="148"/>
      <c r="T1548" s="148"/>
      <c r="U1548" s="148"/>
      <c r="V1548" s="148"/>
      <c r="W1548" s="148"/>
      <c r="X1548" s="148"/>
      <c r="Y1548" s="148"/>
      <c r="Z1548" s="148"/>
      <c r="AA1548" s="148"/>
      <c r="AB1548" s="148"/>
      <c r="AC1548" s="148"/>
    </row>
    <row r="1549" spans="1:29" hidden="1">
      <c r="A1549" s="149"/>
      <c r="B1549" s="147"/>
      <c r="C1549" s="147"/>
      <c r="D1549" s="147"/>
      <c r="E1549" s="147"/>
      <c r="F1549" s="147"/>
      <c r="G1549" s="147"/>
      <c r="H1549" s="147"/>
      <c r="I1549" s="147"/>
      <c r="J1549" s="147"/>
      <c r="K1549" s="147"/>
      <c r="L1549" s="147"/>
      <c r="M1549" s="147"/>
      <c r="N1549" s="147"/>
      <c r="O1549" s="147"/>
      <c r="P1549" s="147"/>
      <c r="Q1549" s="147"/>
      <c r="R1549" s="148"/>
      <c r="S1549" s="148"/>
      <c r="T1549" s="148"/>
      <c r="U1549" s="148"/>
      <c r="V1549" s="148"/>
      <c r="W1549" s="148"/>
      <c r="X1549" s="148"/>
      <c r="Y1549" s="148"/>
      <c r="Z1549" s="148"/>
      <c r="AA1549" s="148"/>
      <c r="AB1549" s="148"/>
      <c r="AC1549" s="148"/>
    </row>
    <row r="1550" spans="1:29" hidden="1">
      <c r="A1550" s="149"/>
      <c r="B1550" s="147"/>
      <c r="C1550" s="147"/>
      <c r="D1550" s="147"/>
      <c r="E1550" s="147"/>
      <c r="F1550" s="147"/>
      <c r="G1550" s="147"/>
      <c r="H1550" s="147"/>
      <c r="I1550" s="147"/>
      <c r="J1550" s="147"/>
      <c r="K1550" s="147"/>
      <c r="L1550" s="147"/>
      <c r="M1550" s="147"/>
      <c r="N1550" s="147"/>
      <c r="O1550" s="147"/>
      <c r="P1550" s="147"/>
      <c r="Q1550" s="147"/>
      <c r="R1550" s="148"/>
      <c r="S1550" s="148"/>
      <c r="T1550" s="148"/>
      <c r="U1550" s="148"/>
      <c r="V1550" s="148"/>
      <c r="W1550" s="148"/>
      <c r="X1550" s="148"/>
      <c r="Y1550" s="148"/>
      <c r="Z1550" s="148"/>
      <c r="AA1550" s="148"/>
      <c r="AB1550" s="148"/>
      <c r="AC1550" s="148"/>
    </row>
    <row r="1551" spans="1:29" hidden="1">
      <c r="A1551" s="149"/>
      <c r="B1551" s="147"/>
      <c r="C1551" s="147"/>
      <c r="D1551" s="147"/>
      <c r="E1551" s="147"/>
      <c r="F1551" s="147"/>
      <c r="G1551" s="147"/>
      <c r="H1551" s="147"/>
      <c r="I1551" s="147"/>
      <c r="J1551" s="147"/>
      <c r="K1551" s="147"/>
      <c r="L1551" s="147"/>
      <c r="M1551" s="147"/>
      <c r="N1551" s="147"/>
      <c r="O1551" s="147"/>
      <c r="P1551" s="147"/>
      <c r="Q1551" s="147"/>
      <c r="R1551" s="148"/>
      <c r="S1551" s="148"/>
      <c r="T1551" s="148"/>
      <c r="U1551" s="148"/>
      <c r="V1551" s="148"/>
      <c r="W1551" s="148"/>
      <c r="X1551" s="148"/>
      <c r="Y1551" s="148"/>
      <c r="Z1551" s="148"/>
      <c r="AA1551" s="148"/>
      <c r="AB1551" s="148"/>
      <c r="AC1551" s="148"/>
    </row>
    <row r="1552" spans="1:29" hidden="1">
      <c r="A1552" s="149"/>
      <c r="B1552" s="147"/>
      <c r="C1552" s="147"/>
      <c r="D1552" s="147"/>
      <c r="E1552" s="147"/>
      <c r="F1552" s="147"/>
      <c r="G1552" s="147"/>
      <c r="H1552" s="147"/>
      <c r="I1552" s="147"/>
      <c r="J1552" s="147"/>
      <c r="K1552" s="147"/>
      <c r="L1552" s="147"/>
      <c r="M1552" s="147"/>
      <c r="N1552" s="147"/>
      <c r="O1552" s="147"/>
      <c r="P1552" s="147"/>
      <c r="Q1552" s="147"/>
      <c r="R1552" s="148"/>
      <c r="S1552" s="148"/>
      <c r="T1552" s="148"/>
      <c r="U1552" s="148"/>
      <c r="V1552" s="148"/>
      <c r="W1552" s="148"/>
      <c r="X1552" s="148"/>
      <c r="Y1552" s="148"/>
      <c r="Z1552" s="148"/>
      <c r="AA1552" s="148"/>
      <c r="AB1552" s="148"/>
      <c r="AC1552" s="148"/>
    </row>
    <row r="1553" spans="1:29" hidden="1">
      <c r="A1553" s="149"/>
      <c r="B1553" s="147"/>
      <c r="C1553" s="147"/>
      <c r="D1553" s="147"/>
      <c r="E1553" s="147"/>
      <c r="F1553" s="147"/>
      <c r="G1553" s="147"/>
      <c r="H1553" s="147"/>
      <c r="I1553" s="147"/>
      <c r="J1553" s="147"/>
      <c r="K1553" s="147"/>
      <c r="L1553" s="147"/>
      <c r="M1553" s="147"/>
      <c r="N1553" s="147"/>
      <c r="O1553" s="147"/>
      <c r="P1553" s="147"/>
      <c r="Q1553" s="147"/>
      <c r="R1553" s="148"/>
      <c r="S1553" s="148"/>
      <c r="T1553" s="148"/>
      <c r="U1553" s="148"/>
      <c r="V1553" s="148"/>
      <c r="W1553" s="148"/>
      <c r="X1553" s="148"/>
      <c r="Y1553" s="148"/>
      <c r="Z1553" s="148"/>
      <c r="AA1553" s="148"/>
      <c r="AB1553" s="148"/>
      <c r="AC1553" s="148"/>
    </row>
    <row r="1554" spans="1:29" hidden="1">
      <c r="A1554" s="149"/>
      <c r="B1554" s="147"/>
      <c r="C1554" s="147"/>
      <c r="D1554" s="147"/>
      <c r="E1554" s="147"/>
      <c r="F1554" s="147"/>
      <c r="G1554" s="147"/>
      <c r="H1554" s="147"/>
      <c r="I1554" s="147"/>
      <c r="J1554" s="147"/>
      <c r="K1554" s="147"/>
      <c r="L1554" s="147"/>
      <c r="M1554" s="147"/>
      <c r="N1554" s="147"/>
      <c r="O1554" s="147"/>
      <c r="P1554" s="147"/>
      <c r="Q1554" s="147"/>
      <c r="R1554" s="148"/>
      <c r="S1554" s="148"/>
      <c r="T1554" s="148"/>
      <c r="U1554" s="148"/>
      <c r="V1554" s="148"/>
      <c r="W1554" s="148"/>
      <c r="X1554" s="148"/>
      <c r="Y1554" s="148"/>
      <c r="Z1554" s="148"/>
      <c r="AA1554" s="148"/>
      <c r="AB1554" s="148"/>
      <c r="AC1554" s="148"/>
    </row>
    <row r="1555" spans="1:29" hidden="1">
      <c r="A1555" s="149"/>
      <c r="B1555" s="147"/>
      <c r="C1555" s="147"/>
      <c r="D1555" s="147"/>
      <c r="E1555" s="147"/>
      <c r="F1555" s="147"/>
      <c r="G1555" s="147"/>
      <c r="H1555" s="147"/>
      <c r="I1555" s="147"/>
      <c r="J1555" s="147"/>
      <c r="K1555" s="147"/>
      <c r="L1555" s="147"/>
      <c r="M1555" s="147"/>
      <c r="N1555" s="147"/>
      <c r="O1555" s="147"/>
      <c r="P1555" s="147"/>
      <c r="Q1555" s="147"/>
      <c r="R1555" s="148"/>
      <c r="S1555" s="148"/>
      <c r="T1555" s="148"/>
      <c r="U1555" s="148"/>
      <c r="V1555" s="148"/>
      <c r="W1555" s="148"/>
      <c r="X1555" s="148"/>
      <c r="Y1555" s="148"/>
      <c r="Z1555" s="148"/>
      <c r="AA1555" s="148"/>
      <c r="AB1555" s="148"/>
      <c r="AC1555" s="148"/>
    </row>
    <row r="1556" spans="1:29" hidden="1">
      <c r="A1556" s="149"/>
      <c r="B1556" s="147"/>
      <c r="C1556" s="147"/>
      <c r="D1556" s="147"/>
      <c r="E1556" s="147"/>
      <c r="F1556" s="147"/>
      <c r="G1556" s="147"/>
      <c r="H1556" s="147"/>
      <c r="I1556" s="147"/>
      <c r="J1556" s="147"/>
      <c r="K1556" s="147"/>
      <c r="L1556" s="147"/>
      <c r="M1556" s="147"/>
      <c r="N1556" s="147"/>
      <c r="O1556" s="147"/>
      <c r="P1556" s="147"/>
      <c r="Q1556" s="147"/>
      <c r="R1556" s="148"/>
      <c r="S1556" s="148"/>
      <c r="T1556" s="148"/>
      <c r="U1556" s="148"/>
      <c r="V1556" s="148"/>
      <c r="W1556" s="148"/>
      <c r="X1556" s="148"/>
      <c r="Y1556" s="148"/>
      <c r="Z1556" s="148"/>
      <c r="AA1556" s="148"/>
      <c r="AB1556" s="148"/>
      <c r="AC1556" s="148"/>
    </row>
    <row r="1557" spans="1:29" hidden="1">
      <c r="A1557" s="149"/>
      <c r="B1557" s="147"/>
      <c r="C1557" s="147"/>
      <c r="D1557" s="147"/>
      <c r="E1557" s="147"/>
      <c r="F1557" s="147"/>
      <c r="G1557" s="147"/>
      <c r="H1557" s="147"/>
      <c r="I1557" s="147"/>
      <c r="J1557" s="147"/>
      <c r="K1557" s="147"/>
      <c r="L1557" s="147"/>
      <c r="M1557" s="147"/>
      <c r="N1557" s="147"/>
      <c r="O1557" s="147"/>
      <c r="P1557" s="147"/>
      <c r="Q1557" s="147"/>
      <c r="R1557" s="148"/>
      <c r="S1557" s="148"/>
      <c r="T1557" s="148"/>
      <c r="U1557" s="148"/>
      <c r="V1557" s="148"/>
      <c r="W1557" s="148"/>
      <c r="X1557" s="148"/>
      <c r="Y1557" s="148"/>
      <c r="Z1557" s="148"/>
      <c r="AA1557" s="148"/>
      <c r="AB1557" s="148"/>
      <c r="AC1557" s="148"/>
    </row>
    <row r="1558" spans="1:29" hidden="1">
      <c r="A1558" s="149"/>
      <c r="B1558" s="147"/>
      <c r="C1558" s="147"/>
      <c r="D1558" s="147"/>
      <c r="E1558" s="147"/>
      <c r="F1558" s="147"/>
      <c r="G1558" s="147"/>
      <c r="H1558" s="147"/>
      <c r="I1558" s="147"/>
      <c r="J1558" s="147"/>
      <c r="K1558" s="147"/>
      <c r="L1558" s="147"/>
      <c r="M1558" s="147"/>
      <c r="N1558" s="147"/>
      <c r="O1558" s="147"/>
      <c r="P1558" s="147"/>
      <c r="Q1558" s="147"/>
      <c r="R1558" s="148"/>
      <c r="S1558" s="148"/>
      <c r="T1558" s="148"/>
      <c r="U1558" s="148"/>
      <c r="V1558" s="148"/>
      <c r="W1558" s="148"/>
      <c r="X1558" s="148"/>
      <c r="Y1558" s="148"/>
      <c r="Z1558" s="148"/>
      <c r="AA1558" s="148"/>
      <c r="AB1558" s="148"/>
      <c r="AC1558" s="148"/>
    </row>
    <row r="1559" spans="1:29" hidden="1">
      <c r="A1559" s="149"/>
      <c r="B1559" s="147"/>
      <c r="C1559" s="147"/>
      <c r="D1559" s="147"/>
      <c r="E1559" s="147"/>
      <c r="F1559" s="147"/>
      <c r="G1559" s="147"/>
      <c r="H1559" s="147"/>
      <c r="I1559" s="147"/>
      <c r="J1559" s="147"/>
      <c r="K1559" s="147"/>
      <c r="L1559" s="147"/>
      <c r="M1559" s="147"/>
      <c r="N1559" s="147"/>
      <c r="O1559" s="147"/>
      <c r="P1559" s="147"/>
      <c r="Q1559" s="147"/>
      <c r="R1559" s="148"/>
      <c r="S1559" s="148"/>
      <c r="T1559" s="148"/>
      <c r="U1559" s="148"/>
      <c r="V1559" s="148"/>
      <c r="W1559" s="148"/>
      <c r="X1559" s="148"/>
      <c r="Y1559" s="148"/>
      <c r="Z1559" s="148"/>
      <c r="AA1559" s="148"/>
      <c r="AB1559" s="148"/>
      <c r="AC1559" s="148"/>
    </row>
    <row r="1560" spans="1:29" hidden="1">
      <c r="A1560" s="149"/>
      <c r="B1560" s="147"/>
      <c r="C1560" s="147"/>
      <c r="D1560" s="147"/>
      <c r="E1560" s="147"/>
      <c r="F1560" s="147"/>
      <c r="G1560" s="147"/>
      <c r="H1560" s="147"/>
      <c r="I1560" s="147"/>
      <c r="J1560" s="147"/>
      <c r="K1560" s="147"/>
      <c r="L1560" s="147"/>
      <c r="M1560" s="147"/>
      <c r="N1560" s="147"/>
      <c r="O1560" s="147"/>
      <c r="P1560" s="147"/>
      <c r="Q1560" s="147"/>
      <c r="R1560" s="148"/>
      <c r="S1560" s="148"/>
      <c r="T1560" s="148"/>
      <c r="U1560" s="148"/>
      <c r="V1560" s="148"/>
      <c r="W1560" s="148"/>
      <c r="X1560" s="148"/>
      <c r="Y1560" s="148"/>
      <c r="Z1560" s="148"/>
      <c r="AA1560" s="148"/>
      <c r="AB1560" s="148"/>
      <c r="AC1560" s="148"/>
    </row>
    <row r="1561" spans="1:29" hidden="1">
      <c r="A1561" s="149"/>
      <c r="B1561" s="147"/>
      <c r="C1561" s="147"/>
      <c r="D1561" s="147"/>
      <c r="E1561" s="147"/>
      <c r="F1561" s="147"/>
      <c r="G1561" s="147"/>
      <c r="H1561" s="147"/>
      <c r="I1561" s="147"/>
      <c r="J1561" s="147"/>
      <c r="K1561" s="147"/>
      <c r="L1561" s="147"/>
      <c r="M1561" s="147"/>
      <c r="N1561" s="147"/>
      <c r="O1561" s="147"/>
      <c r="P1561" s="147"/>
      <c r="Q1561" s="147"/>
      <c r="R1561" s="148"/>
      <c r="S1561" s="148"/>
      <c r="T1561" s="148"/>
      <c r="U1561" s="148"/>
      <c r="V1561" s="148"/>
      <c r="W1561" s="148"/>
      <c r="X1561" s="148"/>
      <c r="Y1561" s="148"/>
      <c r="Z1561" s="148"/>
      <c r="AA1561" s="148"/>
      <c r="AB1561" s="148"/>
      <c r="AC1561" s="148"/>
    </row>
    <row r="1562" spans="1:29" hidden="1">
      <c r="A1562" s="149"/>
      <c r="B1562" s="147"/>
      <c r="C1562" s="147"/>
      <c r="D1562" s="147"/>
      <c r="E1562" s="147"/>
      <c r="F1562" s="147"/>
      <c r="G1562" s="147"/>
      <c r="H1562" s="147"/>
      <c r="I1562" s="147"/>
      <c r="J1562" s="147"/>
      <c r="K1562" s="147"/>
      <c r="L1562" s="147"/>
      <c r="M1562" s="147"/>
      <c r="N1562" s="147"/>
      <c r="O1562" s="147"/>
      <c r="P1562" s="147"/>
      <c r="Q1562" s="147"/>
      <c r="R1562" s="148"/>
      <c r="S1562" s="148"/>
      <c r="T1562" s="148"/>
      <c r="U1562" s="148"/>
      <c r="V1562" s="148"/>
      <c r="W1562" s="148"/>
      <c r="X1562" s="148"/>
      <c r="Y1562" s="148"/>
      <c r="Z1562" s="148"/>
      <c r="AA1562" s="148"/>
      <c r="AB1562" s="148"/>
      <c r="AC1562" s="148"/>
    </row>
    <row r="1563" spans="1:29" hidden="1">
      <c r="A1563" s="149"/>
      <c r="B1563" s="147"/>
      <c r="C1563" s="147"/>
      <c r="D1563" s="147"/>
      <c r="E1563" s="147"/>
      <c r="F1563" s="147"/>
      <c r="G1563" s="147"/>
      <c r="H1563" s="147"/>
      <c r="I1563" s="147"/>
      <c r="J1563" s="147"/>
      <c r="K1563" s="147"/>
      <c r="L1563" s="147"/>
      <c r="M1563" s="147"/>
      <c r="N1563" s="147"/>
      <c r="O1563" s="147"/>
      <c r="P1563" s="147"/>
      <c r="Q1563" s="147"/>
      <c r="R1563" s="148"/>
      <c r="S1563" s="148"/>
      <c r="T1563" s="148"/>
      <c r="U1563" s="148"/>
      <c r="V1563" s="148"/>
      <c r="W1563" s="148"/>
      <c r="X1563" s="148"/>
      <c r="Y1563" s="148"/>
      <c r="Z1563" s="148"/>
      <c r="AA1563" s="148"/>
      <c r="AB1563" s="148"/>
      <c r="AC1563" s="148"/>
    </row>
    <row r="1564" spans="1:29" hidden="1">
      <c r="A1564" s="149"/>
      <c r="B1564" s="147"/>
      <c r="C1564" s="147"/>
      <c r="D1564" s="147"/>
      <c r="E1564" s="147"/>
      <c r="F1564" s="147"/>
      <c r="G1564" s="147"/>
      <c r="H1564" s="147"/>
      <c r="I1564" s="147"/>
      <c r="J1564" s="147"/>
      <c r="K1564" s="147"/>
      <c r="L1564" s="147"/>
      <c r="M1564" s="147"/>
      <c r="N1564" s="147"/>
      <c r="O1564" s="147"/>
      <c r="P1564" s="147"/>
      <c r="Q1564" s="147"/>
      <c r="R1564" s="148"/>
      <c r="S1564" s="148"/>
      <c r="T1564" s="148"/>
      <c r="U1564" s="148"/>
      <c r="V1564" s="148"/>
      <c r="W1564" s="148"/>
      <c r="X1564" s="148"/>
      <c r="Y1564" s="148"/>
      <c r="Z1564" s="148"/>
      <c r="AA1564" s="148"/>
      <c r="AB1564" s="148"/>
      <c r="AC1564" s="148"/>
    </row>
    <row r="1565" spans="1:29" hidden="1">
      <c r="A1565" s="149"/>
      <c r="B1565" s="147"/>
      <c r="C1565" s="147"/>
      <c r="D1565" s="147"/>
      <c r="E1565" s="147"/>
      <c r="F1565" s="147"/>
      <c r="G1565" s="147"/>
      <c r="H1565" s="147"/>
      <c r="I1565" s="147"/>
      <c r="J1565" s="147"/>
      <c r="K1565" s="147"/>
      <c r="L1565" s="147"/>
      <c r="M1565" s="147"/>
      <c r="N1565" s="147"/>
      <c r="O1565" s="147"/>
      <c r="P1565" s="147"/>
      <c r="Q1565" s="147"/>
      <c r="R1565" s="148"/>
      <c r="S1565" s="148"/>
      <c r="T1565" s="148"/>
      <c r="U1565" s="148"/>
      <c r="V1565" s="148"/>
      <c r="W1565" s="148"/>
      <c r="X1565" s="148"/>
      <c r="Y1565" s="148"/>
      <c r="Z1565" s="148"/>
      <c r="AA1565" s="148"/>
      <c r="AB1565" s="148"/>
      <c r="AC1565" s="148"/>
    </row>
    <row r="1566" spans="1:29" hidden="1">
      <c r="A1566" s="149"/>
      <c r="B1566" s="147"/>
      <c r="C1566" s="147"/>
      <c r="D1566" s="147"/>
      <c r="E1566" s="147"/>
      <c r="F1566" s="147"/>
      <c r="G1566" s="147"/>
      <c r="H1566" s="147"/>
      <c r="I1566" s="147"/>
      <c r="J1566" s="147"/>
      <c r="K1566" s="147"/>
      <c r="L1566" s="147"/>
      <c r="M1566" s="147"/>
      <c r="N1566" s="147"/>
      <c r="O1566" s="147"/>
      <c r="P1566" s="147"/>
      <c r="Q1566" s="147"/>
      <c r="R1566" s="148"/>
      <c r="S1566" s="148"/>
      <c r="T1566" s="148"/>
      <c r="U1566" s="148"/>
      <c r="V1566" s="148"/>
      <c r="W1566" s="148"/>
      <c r="X1566" s="148"/>
      <c r="Y1566" s="148"/>
      <c r="Z1566" s="148"/>
      <c r="AA1566" s="148"/>
      <c r="AB1566" s="148"/>
      <c r="AC1566" s="148"/>
    </row>
    <row r="1567" spans="1:29" hidden="1">
      <c r="A1567" s="149"/>
      <c r="B1567" s="147"/>
      <c r="C1567" s="147"/>
      <c r="D1567" s="147"/>
      <c r="E1567" s="147"/>
      <c r="F1567" s="147"/>
      <c r="G1567" s="147"/>
      <c r="H1567" s="147"/>
      <c r="I1567" s="147"/>
      <c r="J1567" s="147"/>
      <c r="K1567" s="147"/>
      <c r="L1567" s="147"/>
      <c r="M1567" s="147"/>
      <c r="N1567" s="147"/>
      <c r="O1567" s="147"/>
      <c r="P1567" s="147"/>
      <c r="Q1567" s="147"/>
      <c r="R1567" s="148"/>
      <c r="S1567" s="148"/>
      <c r="T1567" s="148"/>
      <c r="U1567" s="148"/>
      <c r="V1567" s="148"/>
      <c r="W1567" s="148"/>
      <c r="X1567" s="148"/>
      <c r="Y1567" s="148"/>
      <c r="Z1567" s="148"/>
      <c r="AA1567" s="148"/>
      <c r="AB1567" s="148"/>
      <c r="AC1567" s="148"/>
    </row>
    <row r="1568" spans="1:29" hidden="1">
      <c r="A1568" s="149"/>
      <c r="B1568" s="147"/>
      <c r="C1568" s="147"/>
      <c r="D1568" s="147"/>
      <c r="E1568" s="147"/>
      <c r="F1568" s="147"/>
      <c r="G1568" s="147"/>
      <c r="H1568" s="147"/>
      <c r="I1568" s="147"/>
      <c r="J1568" s="147"/>
      <c r="K1568" s="147"/>
      <c r="L1568" s="147"/>
      <c r="M1568" s="147"/>
      <c r="N1568" s="147"/>
      <c r="O1568" s="147"/>
      <c r="P1568" s="147"/>
      <c r="Q1568" s="147"/>
      <c r="R1568" s="148"/>
      <c r="S1568" s="148"/>
      <c r="T1568" s="148"/>
      <c r="U1568" s="148"/>
      <c r="V1568" s="148"/>
      <c r="W1568" s="148"/>
      <c r="X1568" s="148"/>
      <c r="Y1568" s="148"/>
      <c r="Z1568" s="148"/>
      <c r="AA1568" s="148"/>
      <c r="AB1568" s="148"/>
      <c r="AC1568" s="148"/>
    </row>
    <row r="1569" spans="1:29" hidden="1">
      <c r="A1569" s="149"/>
      <c r="B1569" s="147"/>
      <c r="C1569" s="147"/>
      <c r="D1569" s="147"/>
      <c r="E1569" s="147"/>
      <c r="F1569" s="147"/>
      <c r="G1569" s="147"/>
      <c r="H1569" s="147"/>
      <c r="I1569" s="147"/>
      <c r="J1569" s="147"/>
      <c r="K1569" s="147"/>
      <c r="L1569" s="147"/>
      <c r="M1569" s="147"/>
      <c r="N1569" s="147"/>
      <c r="O1569" s="147"/>
      <c r="P1569" s="147"/>
      <c r="Q1569" s="147"/>
      <c r="R1569" s="148"/>
      <c r="S1569" s="148"/>
      <c r="T1569" s="148"/>
      <c r="U1569" s="148"/>
      <c r="V1569" s="148"/>
      <c r="W1569" s="148"/>
      <c r="X1569" s="148"/>
      <c r="Y1569" s="148"/>
      <c r="Z1569" s="148"/>
      <c r="AA1569" s="148"/>
      <c r="AB1569" s="148"/>
      <c r="AC1569" s="148"/>
    </row>
    <row r="1570" spans="1:29" hidden="1">
      <c r="A1570" s="149"/>
      <c r="B1570" s="147"/>
      <c r="C1570" s="147"/>
      <c r="D1570" s="147"/>
      <c r="E1570" s="147"/>
      <c r="F1570" s="147"/>
      <c r="G1570" s="147"/>
      <c r="H1570" s="147"/>
      <c r="I1570" s="147"/>
      <c r="J1570" s="147"/>
      <c r="K1570" s="147"/>
      <c r="L1570" s="147"/>
      <c r="M1570" s="147"/>
      <c r="N1570" s="147"/>
      <c r="O1570" s="147"/>
      <c r="P1570" s="147"/>
      <c r="Q1570" s="147"/>
      <c r="R1570" s="148"/>
      <c r="S1570" s="148"/>
      <c r="T1570" s="148"/>
      <c r="U1570" s="148"/>
      <c r="V1570" s="148"/>
      <c r="W1570" s="148"/>
      <c r="X1570" s="148"/>
      <c r="Y1570" s="148"/>
      <c r="Z1570" s="148"/>
      <c r="AA1570" s="148"/>
      <c r="AB1570" s="148"/>
      <c r="AC1570" s="148"/>
    </row>
    <row r="1571" spans="1:29" hidden="1">
      <c r="A1571" s="149"/>
      <c r="B1571" s="147"/>
      <c r="C1571" s="147"/>
      <c r="D1571" s="147"/>
      <c r="E1571" s="147"/>
      <c r="F1571" s="147"/>
      <c r="G1571" s="147"/>
      <c r="H1571" s="147"/>
      <c r="I1571" s="147"/>
      <c r="J1571" s="147"/>
      <c r="K1571" s="147"/>
      <c r="L1571" s="147"/>
      <c r="M1571" s="147"/>
      <c r="N1571" s="147"/>
      <c r="O1571" s="147"/>
      <c r="P1571" s="147"/>
      <c r="Q1571" s="147"/>
      <c r="R1571" s="148"/>
      <c r="S1571" s="148"/>
      <c r="T1571" s="148"/>
      <c r="U1571" s="148"/>
      <c r="V1571" s="148"/>
      <c r="W1571" s="148"/>
      <c r="X1571" s="148"/>
      <c r="Y1571" s="148"/>
      <c r="Z1571" s="148"/>
      <c r="AA1571" s="148"/>
      <c r="AB1571" s="148"/>
      <c r="AC1571" s="148"/>
    </row>
    <row r="1572" spans="1:29" hidden="1">
      <c r="A1572" s="149"/>
      <c r="B1572" s="147"/>
      <c r="C1572" s="147"/>
      <c r="D1572" s="147"/>
      <c r="E1572" s="147"/>
      <c r="F1572" s="147"/>
      <c r="G1572" s="147"/>
      <c r="H1572" s="147"/>
      <c r="I1572" s="147"/>
      <c r="J1572" s="147"/>
      <c r="K1572" s="147"/>
      <c r="L1572" s="147"/>
      <c r="M1572" s="147"/>
      <c r="N1572" s="147"/>
      <c r="O1572" s="147"/>
      <c r="P1572" s="147"/>
      <c r="Q1572" s="147"/>
      <c r="R1572" s="148"/>
      <c r="S1572" s="148"/>
      <c r="T1572" s="148"/>
      <c r="U1572" s="148"/>
      <c r="V1572" s="148"/>
      <c r="W1572" s="148"/>
      <c r="X1572" s="148"/>
      <c r="Y1572" s="148"/>
      <c r="Z1572" s="148"/>
      <c r="AA1572" s="148"/>
      <c r="AB1572" s="148"/>
      <c r="AC1572" s="148"/>
    </row>
    <row r="1573" spans="1:29" hidden="1">
      <c r="A1573" s="149"/>
      <c r="B1573" s="147"/>
      <c r="C1573" s="147"/>
      <c r="D1573" s="147"/>
      <c r="E1573" s="147"/>
      <c r="F1573" s="147"/>
      <c r="G1573" s="147"/>
      <c r="H1573" s="147"/>
      <c r="I1573" s="147"/>
      <c r="J1573" s="147"/>
      <c r="K1573" s="147"/>
      <c r="L1573" s="147"/>
      <c r="M1573" s="147"/>
      <c r="N1573" s="147"/>
      <c r="O1573" s="147"/>
      <c r="P1573" s="147"/>
      <c r="Q1573" s="147"/>
      <c r="R1573" s="148"/>
      <c r="S1573" s="148"/>
      <c r="T1573" s="148"/>
      <c r="U1573" s="148"/>
      <c r="V1573" s="148"/>
      <c r="W1573" s="148"/>
      <c r="X1573" s="148"/>
      <c r="Y1573" s="148"/>
      <c r="Z1573" s="148"/>
      <c r="AA1573" s="148"/>
      <c r="AB1573" s="148"/>
      <c r="AC1573" s="148"/>
    </row>
    <row r="1574" spans="1:29" hidden="1">
      <c r="A1574" s="149"/>
      <c r="B1574" s="147"/>
      <c r="C1574" s="147"/>
      <c r="D1574" s="147"/>
      <c r="E1574" s="147"/>
      <c r="F1574" s="147"/>
      <c r="G1574" s="147"/>
      <c r="H1574" s="147"/>
      <c r="I1574" s="147"/>
      <c r="J1574" s="147"/>
      <c r="K1574" s="147"/>
      <c r="L1574" s="147"/>
      <c r="M1574" s="147"/>
      <c r="N1574" s="147"/>
      <c r="O1574" s="147"/>
      <c r="P1574" s="147"/>
      <c r="Q1574" s="147"/>
      <c r="R1574" s="148"/>
      <c r="S1574" s="148"/>
      <c r="T1574" s="148"/>
      <c r="U1574" s="148"/>
      <c r="V1574" s="148"/>
      <c r="W1574" s="148"/>
      <c r="X1574" s="148"/>
      <c r="Y1574" s="148"/>
      <c r="Z1574" s="148"/>
      <c r="AA1574" s="148"/>
      <c r="AB1574" s="148"/>
      <c r="AC1574" s="148"/>
    </row>
    <row r="1575" spans="1:29" hidden="1">
      <c r="A1575" s="149"/>
      <c r="B1575" s="147"/>
      <c r="C1575" s="147"/>
      <c r="D1575" s="147"/>
      <c r="E1575" s="147"/>
      <c r="F1575" s="147"/>
      <c r="G1575" s="147"/>
      <c r="H1575" s="147"/>
      <c r="I1575" s="147"/>
      <c r="J1575" s="147"/>
      <c r="K1575" s="147"/>
      <c r="L1575" s="147"/>
      <c r="M1575" s="147"/>
      <c r="N1575" s="147"/>
      <c r="O1575" s="147"/>
      <c r="P1575" s="147"/>
      <c r="Q1575" s="147"/>
      <c r="R1575" s="148"/>
      <c r="S1575" s="148"/>
      <c r="T1575" s="148"/>
      <c r="U1575" s="148"/>
      <c r="V1575" s="148"/>
      <c r="W1575" s="148"/>
      <c r="X1575" s="148"/>
      <c r="Y1575" s="148"/>
      <c r="Z1575" s="148"/>
      <c r="AA1575" s="148"/>
      <c r="AB1575" s="148"/>
      <c r="AC1575" s="148"/>
    </row>
    <row r="1576" spans="1:29" hidden="1">
      <c r="A1576" s="149"/>
      <c r="B1576" s="147"/>
      <c r="C1576" s="147"/>
      <c r="D1576" s="147"/>
      <c r="E1576" s="147"/>
      <c r="F1576" s="147"/>
      <c r="G1576" s="147"/>
      <c r="H1576" s="147"/>
      <c r="I1576" s="147"/>
      <c r="J1576" s="147"/>
      <c r="K1576" s="147"/>
      <c r="L1576" s="147"/>
      <c r="M1576" s="147"/>
      <c r="N1576" s="147"/>
      <c r="O1576" s="147"/>
      <c r="P1576" s="147"/>
      <c r="Q1576" s="147"/>
      <c r="R1576" s="148"/>
      <c r="S1576" s="148"/>
      <c r="T1576" s="148"/>
      <c r="U1576" s="148"/>
      <c r="V1576" s="148"/>
      <c r="W1576" s="148"/>
      <c r="X1576" s="148"/>
      <c r="Y1576" s="148"/>
      <c r="Z1576" s="148"/>
      <c r="AA1576" s="148"/>
      <c r="AB1576" s="148"/>
      <c r="AC1576" s="148"/>
    </row>
    <row r="1577" spans="1:29" hidden="1">
      <c r="A1577" s="149"/>
      <c r="B1577" s="147"/>
      <c r="C1577" s="147"/>
      <c r="D1577" s="147"/>
      <c r="E1577" s="147"/>
      <c r="F1577" s="147"/>
      <c r="G1577" s="147"/>
      <c r="H1577" s="147"/>
      <c r="I1577" s="147"/>
      <c r="J1577" s="147"/>
      <c r="K1577" s="147"/>
      <c r="L1577" s="147"/>
      <c r="M1577" s="147"/>
      <c r="N1577" s="147"/>
      <c r="O1577" s="147"/>
      <c r="P1577" s="147"/>
      <c r="Q1577" s="147"/>
      <c r="R1577" s="148"/>
      <c r="S1577" s="148"/>
      <c r="T1577" s="148"/>
      <c r="U1577" s="148"/>
      <c r="V1577" s="148"/>
      <c r="W1577" s="148"/>
      <c r="X1577" s="148"/>
      <c r="Y1577" s="148"/>
      <c r="Z1577" s="148"/>
      <c r="AA1577" s="148"/>
      <c r="AB1577" s="148"/>
      <c r="AC1577" s="148"/>
    </row>
    <row r="1578" spans="1:29" hidden="1">
      <c r="A1578" s="149"/>
      <c r="B1578" s="147"/>
      <c r="C1578" s="147"/>
      <c r="D1578" s="147"/>
      <c r="E1578" s="147"/>
      <c r="F1578" s="147"/>
      <c r="G1578" s="147"/>
      <c r="H1578" s="147"/>
      <c r="I1578" s="147"/>
      <c r="J1578" s="147"/>
      <c r="K1578" s="147"/>
      <c r="L1578" s="147"/>
      <c r="M1578" s="147"/>
      <c r="N1578" s="147"/>
      <c r="O1578" s="147"/>
      <c r="P1578" s="147"/>
      <c r="Q1578" s="147"/>
      <c r="R1578" s="148"/>
      <c r="S1578" s="148"/>
      <c r="T1578" s="148"/>
      <c r="U1578" s="148"/>
      <c r="V1578" s="148"/>
      <c r="W1578" s="148"/>
      <c r="X1578" s="148"/>
      <c r="Y1578" s="148"/>
      <c r="Z1578" s="148"/>
      <c r="AA1578" s="148"/>
      <c r="AB1578" s="148"/>
      <c r="AC1578" s="148"/>
    </row>
    <row r="1579" spans="1:29" hidden="1">
      <c r="A1579" s="149"/>
      <c r="B1579" s="147"/>
      <c r="C1579" s="147"/>
      <c r="D1579" s="147"/>
      <c r="E1579" s="147"/>
      <c r="F1579" s="147"/>
      <c r="G1579" s="147"/>
      <c r="H1579" s="147"/>
      <c r="I1579" s="147"/>
      <c r="J1579" s="147"/>
      <c r="K1579" s="147"/>
      <c r="L1579" s="147"/>
      <c r="M1579" s="147"/>
      <c r="N1579" s="147"/>
      <c r="O1579" s="147"/>
      <c r="P1579" s="147"/>
      <c r="Q1579" s="147"/>
      <c r="R1579" s="148"/>
      <c r="S1579" s="148"/>
      <c r="T1579" s="148"/>
      <c r="U1579" s="148"/>
      <c r="V1579" s="148"/>
      <c r="W1579" s="148"/>
      <c r="X1579" s="148"/>
      <c r="Y1579" s="148"/>
      <c r="Z1579" s="148"/>
      <c r="AA1579" s="148"/>
      <c r="AB1579" s="148"/>
      <c r="AC1579" s="148"/>
    </row>
    <row r="1580" spans="1:29" hidden="1">
      <c r="A1580" s="149"/>
      <c r="B1580" s="147"/>
      <c r="C1580" s="147"/>
      <c r="D1580" s="147"/>
      <c r="E1580" s="147"/>
      <c r="F1580" s="147"/>
      <c r="G1580" s="147"/>
      <c r="H1580" s="147"/>
      <c r="I1580" s="147"/>
      <c r="J1580" s="147"/>
      <c r="K1580" s="147"/>
      <c r="L1580" s="147"/>
      <c r="M1580" s="147"/>
      <c r="N1580" s="147"/>
      <c r="O1580" s="147"/>
      <c r="P1580" s="147"/>
      <c r="Q1580" s="147"/>
      <c r="R1580" s="148"/>
      <c r="S1580" s="148"/>
      <c r="T1580" s="148"/>
      <c r="U1580" s="148"/>
      <c r="V1580" s="148"/>
      <c r="W1580" s="148"/>
      <c r="X1580" s="148"/>
      <c r="Y1580" s="148"/>
      <c r="Z1580" s="148"/>
      <c r="AA1580" s="148"/>
      <c r="AB1580" s="148"/>
      <c r="AC1580" s="148"/>
    </row>
    <row r="1581" spans="1:29" hidden="1">
      <c r="A1581" s="149"/>
      <c r="B1581" s="147"/>
      <c r="C1581" s="147"/>
      <c r="D1581" s="147"/>
      <c r="E1581" s="147"/>
      <c r="F1581" s="147"/>
      <c r="G1581" s="147"/>
      <c r="H1581" s="147"/>
      <c r="I1581" s="147"/>
      <c r="J1581" s="147"/>
      <c r="K1581" s="147"/>
      <c r="L1581" s="147"/>
      <c r="M1581" s="147"/>
      <c r="N1581" s="147"/>
      <c r="O1581" s="147"/>
      <c r="P1581" s="147"/>
      <c r="Q1581" s="147"/>
      <c r="R1581" s="148"/>
      <c r="S1581" s="148"/>
      <c r="T1581" s="148"/>
      <c r="U1581" s="148"/>
      <c r="V1581" s="148"/>
      <c r="W1581" s="148"/>
      <c r="X1581" s="148"/>
      <c r="Y1581" s="148"/>
      <c r="Z1581" s="148"/>
      <c r="AA1581" s="148"/>
      <c r="AB1581" s="148"/>
      <c r="AC1581" s="148"/>
    </row>
    <row r="1582" spans="1:29" hidden="1">
      <c r="A1582" s="149"/>
      <c r="B1582" s="147"/>
      <c r="C1582" s="147"/>
      <c r="D1582" s="147"/>
      <c r="E1582" s="147"/>
      <c r="F1582" s="147"/>
      <c r="G1582" s="147"/>
      <c r="H1582" s="147"/>
      <c r="I1582" s="147"/>
      <c r="J1582" s="147"/>
      <c r="K1582" s="147"/>
      <c r="L1582" s="147"/>
      <c r="M1582" s="147"/>
      <c r="N1582" s="147"/>
      <c r="O1582" s="147"/>
      <c r="P1582" s="147"/>
      <c r="Q1582" s="147"/>
      <c r="R1582" s="148"/>
      <c r="S1582" s="148"/>
      <c r="T1582" s="148"/>
      <c r="U1582" s="148"/>
      <c r="V1582" s="148"/>
      <c r="W1582" s="148"/>
      <c r="X1582" s="148"/>
      <c r="Y1582" s="148"/>
      <c r="Z1582" s="148"/>
      <c r="AA1582" s="148"/>
      <c r="AB1582" s="148"/>
      <c r="AC1582" s="148"/>
    </row>
    <row r="1583" spans="1:29" hidden="1">
      <c r="A1583" s="149"/>
      <c r="B1583" s="147"/>
      <c r="C1583" s="147"/>
      <c r="D1583" s="147"/>
      <c r="E1583" s="147"/>
      <c r="F1583" s="147"/>
      <c r="G1583" s="147"/>
      <c r="H1583" s="147"/>
      <c r="I1583" s="147"/>
      <c r="J1583" s="147"/>
      <c r="K1583" s="147"/>
      <c r="L1583" s="147"/>
      <c r="M1583" s="147"/>
      <c r="N1583" s="147"/>
      <c r="O1583" s="147"/>
      <c r="P1583" s="147"/>
      <c r="Q1583" s="147"/>
      <c r="R1583" s="148"/>
      <c r="S1583" s="148"/>
      <c r="T1583" s="148"/>
      <c r="U1583" s="148"/>
      <c r="V1583" s="148"/>
      <c r="W1583" s="148"/>
      <c r="X1583" s="148"/>
      <c r="Y1583" s="148"/>
      <c r="Z1583" s="148"/>
      <c r="AA1583" s="148"/>
      <c r="AB1583" s="148"/>
      <c r="AC1583" s="148"/>
    </row>
    <row r="1584" spans="1:29" hidden="1">
      <c r="A1584" s="149"/>
      <c r="B1584" s="147"/>
      <c r="C1584" s="147"/>
      <c r="D1584" s="147"/>
      <c r="E1584" s="147"/>
      <c r="F1584" s="147"/>
      <c r="G1584" s="147"/>
      <c r="H1584" s="147"/>
      <c r="I1584" s="147"/>
      <c r="J1584" s="147"/>
      <c r="K1584" s="147"/>
      <c r="L1584" s="147"/>
      <c r="M1584" s="147"/>
      <c r="N1584" s="147"/>
      <c r="O1584" s="147"/>
      <c r="P1584" s="147"/>
      <c r="Q1584" s="147"/>
      <c r="R1584" s="148"/>
      <c r="S1584" s="148"/>
      <c r="T1584" s="148"/>
      <c r="U1584" s="148"/>
      <c r="V1584" s="148"/>
      <c r="W1584" s="148"/>
      <c r="X1584" s="148"/>
      <c r="Y1584" s="148"/>
      <c r="Z1584" s="148"/>
      <c r="AA1584" s="148"/>
      <c r="AB1584" s="148"/>
      <c r="AC1584" s="148"/>
    </row>
    <row r="1585" spans="1:29" hidden="1">
      <c r="A1585" s="149"/>
      <c r="B1585" s="147"/>
      <c r="C1585" s="147"/>
      <c r="D1585" s="147"/>
      <c r="E1585" s="147"/>
      <c r="F1585" s="147"/>
      <c r="G1585" s="147"/>
      <c r="H1585" s="147"/>
      <c r="I1585" s="147"/>
      <c r="J1585" s="147"/>
      <c r="K1585" s="147"/>
      <c r="L1585" s="147"/>
      <c r="M1585" s="147"/>
      <c r="N1585" s="147"/>
      <c r="O1585" s="147"/>
      <c r="P1585" s="147"/>
      <c r="Q1585" s="147"/>
      <c r="R1585" s="148"/>
      <c r="S1585" s="148"/>
      <c r="T1585" s="148"/>
      <c r="U1585" s="148"/>
      <c r="V1585" s="148"/>
      <c r="W1585" s="148"/>
      <c r="X1585" s="148"/>
      <c r="Y1585" s="148"/>
      <c r="Z1585" s="148"/>
      <c r="AA1585" s="148"/>
      <c r="AB1585" s="148"/>
      <c r="AC1585" s="148"/>
    </row>
    <row r="1586" spans="1:29" hidden="1">
      <c r="A1586" s="149"/>
      <c r="B1586" s="147"/>
      <c r="C1586" s="147"/>
      <c r="D1586" s="147"/>
      <c r="E1586" s="147"/>
      <c r="F1586" s="147"/>
      <c r="G1586" s="147"/>
      <c r="H1586" s="147"/>
      <c r="I1586" s="147"/>
      <c r="J1586" s="147"/>
      <c r="K1586" s="147"/>
      <c r="L1586" s="147"/>
      <c r="M1586" s="147"/>
      <c r="N1586" s="147"/>
      <c r="O1586" s="147"/>
      <c r="P1586" s="147"/>
      <c r="Q1586" s="147"/>
      <c r="R1586" s="148"/>
      <c r="S1586" s="148"/>
      <c r="T1586" s="148"/>
      <c r="U1586" s="148"/>
      <c r="V1586" s="148"/>
      <c r="W1586" s="148"/>
      <c r="X1586" s="148"/>
      <c r="Y1586" s="148"/>
      <c r="Z1586" s="148"/>
      <c r="AA1586" s="148"/>
      <c r="AB1586" s="148"/>
      <c r="AC1586" s="148"/>
    </row>
    <row r="1587" spans="1:29" hidden="1">
      <c r="A1587" s="149"/>
      <c r="B1587" s="147"/>
      <c r="C1587" s="147"/>
      <c r="D1587" s="147"/>
      <c r="E1587" s="147"/>
      <c r="F1587" s="147"/>
      <c r="G1587" s="147"/>
      <c r="H1587" s="147"/>
      <c r="I1587" s="147"/>
      <c r="J1587" s="147"/>
      <c r="K1587" s="147"/>
      <c r="L1587" s="147"/>
      <c r="M1587" s="147"/>
      <c r="N1587" s="147"/>
      <c r="O1587" s="147"/>
      <c r="P1587" s="147"/>
      <c r="Q1587" s="147"/>
      <c r="R1587" s="148"/>
      <c r="S1587" s="148"/>
      <c r="T1587" s="148"/>
      <c r="U1587" s="148"/>
      <c r="V1587" s="148"/>
      <c r="W1587" s="148"/>
      <c r="X1587" s="148"/>
      <c r="Y1587" s="148"/>
      <c r="Z1587" s="148"/>
      <c r="AA1587" s="148"/>
      <c r="AB1587" s="148"/>
      <c r="AC1587" s="148"/>
    </row>
    <row r="1588" spans="1:29" hidden="1">
      <c r="A1588" s="149"/>
      <c r="B1588" s="147"/>
      <c r="C1588" s="147"/>
      <c r="D1588" s="147"/>
      <c r="E1588" s="147"/>
      <c r="F1588" s="147"/>
      <c r="G1588" s="147"/>
      <c r="H1588" s="147"/>
      <c r="I1588" s="147"/>
      <c r="J1588" s="147"/>
      <c r="K1588" s="147"/>
      <c r="L1588" s="147"/>
      <c r="M1588" s="147"/>
      <c r="N1588" s="147"/>
      <c r="O1588" s="147"/>
      <c r="P1588" s="147"/>
      <c r="Q1588" s="147"/>
      <c r="R1588" s="148"/>
      <c r="S1588" s="148"/>
      <c r="T1588" s="148"/>
      <c r="U1588" s="148"/>
      <c r="V1588" s="148"/>
      <c r="W1588" s="148"/>
      <c r="X1588" s="148"/>
      <c r="Y1588" s="148"/>
      <c r="Z1588" s="148"/>
      <c r="AA1588" s="148"/>
      <c r="AB1588" s="148"/>
      <c r="AC1588" s="148"/>
    </row>
    <row r="1589" spans="1:29" hidden="1">
      <c r="A1589" s="149"/>
      <c r="B1589" s="147"/>
      <c r="C1589" s="147"/>
      <c r="D1589" s="147"/>
      <c r="E1589" s="147"/>
      <c r="F1589" s="147"/>
      <c r="G1589" s="147"/>
      <c r="H1589" s="147"/>
      <c r="I1589" s="147"/>
      <c r="J1589" s="147"/>
      <c r="K1589" s="147"/>
      <c r="L1589" s="147"/>
      <c r="M1589" s="147"/>
      <c r="N1589" s="147"/>
      <c r="O1589" s="147"/>
      <c r="P1589" s="147"/>
      <c r="Q1589" s="147"/>
      <c r="R1589" s="148"/>
      <c r="S1589" s="148"/>
      <c r="T1589" s="148"/>
      <c r="U1589" s="148"/>
      <c r="V1589" s="148"/>
      <c r="W1589" s="148"/>
      <c r="X1589" s="148"/>
      <c r="Y1589" s="148"/>
      <c r="Z1589" s="148"/>
      <c r="AA1589" s="148"/>
      <c r="AB1589" s="148"/>
      <c r="AC1589" s="148"/>
    </row>
    <row r="1590" spans="1:29" hidden="1">
      <c r="A1590" s="149"/>
      <c r="B1590" s="147"/>
      <c r="C1590" s="147"/>
      <c r="D1590" s="147"/>
      <c r="E1590" s="147"/>
      <c r="F1590" s="147"/>
      <c r="G1590" s="147"/>
      <c r="H1590" s="147"/>
      <c r="I1590" s="147"/>
      <c r="J1590" s="147"/>
      <c r="K1590" s="147"/>
      <c r="L1590" s="147"/>
      <c r="M1590" s="147"/>
      <c r="N1590" s="147"/>
      <c r="O1590" s="147"/>
      <c r="P1590" s="147"/>
      <c r="Q1590" s="147"/>
      <c r="R1590" s="148"/>
      <c r="S1590" s="148"/>
      <c r="T1590" s="148"/>
      <c r="U1590" s="148"/>
      <c r="V1590" s="148"/>
      <c r="W1590" s="148"/>
      <c r="X1590" s="148"/>
      <c r="Y1590" s="148"/>
      <c r="Z1590" s="148"/>
      <c r="AA1590" s="148"/>
      <c r="AB1590" s="148"/>
      <c r="AC1590" s="148"/>
    </row>
    <row r="1591" spans="1:29" hidden="1">
      <c r="A1591" s="149"/>
      <c r="B1591" s="147"/>
      <c r="C1591" s="147"/>
      <c r="D1591" s="147"/>
      <c r="E1591" s="147"/>
      <c r="F1591" s="147"/>
      <c r="G1591" s="147"/>
      <c r="H1591" s="147"/>
      <c r="I1591" s="147"/>
      <c r="J1591" s="147"/>
      <c r="K1591" s="147"/>
      <c r="L1591" s="147"/>
      <c r="M1591" s="147"/>
      <c r="N1591" s="147"/>
      <c r="O1591" s="147"/>
      <c r="P1591" s="147"/>
      <c r="Q1591" s="147"/>
      <c r="R1591" s="148"/>
      <c r="S1591" s="148"/>
      <c r="T1591" s="148"/>
      <c r="U1591" s="148"/>
      <c r="V1591" s="148"/>
      <c r="W1591" s="148"/>
      <c r="X1591" s="148"/>
      <c r="Y1591" s="148"/>
      <c r="Z1591" s="148"/>
      <c r="AA1591" s="148"/>
      <c r="AB1591" s="148"/>
      <c r="AC1591" s="148"/>
    </row>
    <row r="1592" spans="1:29" hidden="1">
      <c r="A1592" s="147"/>
      <c r="B1592" s="147"/>
      <c r="C1592" s="147"/>
      <c r="D1592" s="147"/>
      <c r="E1592" s="147"/>
      <c r="F1592" s="147"/>
      <c r="G1592" s="147"/>
      <c r="H1592" s="147"/>
      <c r="I1592" s="147"/>
      <c r="J1592" s="147"/>
      <c r="K1592" s="147"/>
      <c r="L1592" s="147"/>
      <c r="M1592" s="147"/>
      <c r="N1592" s="147"/>
      <c r="O1592" s="147"/>
      <c r="P1592" s="147"/>
      <c r="Q1592" s="147"/>
      <c r="R1592" s="148"/>
      <c r="S1592" s="148"/>
      <c r="T1592" s="148"/>
      <c r="U1592" s="148"/>
      <c r="V1592" s="148"/>
      <c r="W1592" s="148"/>
      <c r="X1592" s="148"/>
      <c r="Y1592" s="148"/>
      <c r="Z1592" s="148"/>
      <c r="AA1592" s="148"/>
      <c r="AB1592" s="148"/>
      <c r="AC1592" s="148"/>
    </row>
    <row r="1593" spans="1:29" hidden="1">
      <c r="A1593" s="149"/>
      <c r="B1593" s="147"/>
      <c r="C1593" s="147"/>
      <c r="D1593" s="147"/>
      <c r="E1593" s="147"/>
      <c r="F1593" s="147"/>
      <c r="G1593" s="147"/>
      <c r="H1593" s="147"/>
      <c r="I1593" s="147"/>
      <c r="J1593" s="147"/>
      <c r="K1593" s="147"/>
      <c r="L1593" s="147"/>
      <c r="M1593" s="147"/>
      <c r="N1593" s="147"/>
      <c r="O1593" s="147"/>
      <c r="P1593" s="147"/>
      <c r="Q1593" s="147"/>
      <c r="R1593" s="148"/>
      <c r="S1593" s="148"/>
      <c r="T1593" s="148"/>
      <c r="U1593" s="148"/>
      <c r="V1593" s="148"/>
      <c r="W1593" s="148"/>
      <c r="X1593" s="148"/>
      <c r="Y1593" s="148"/>
      <c r="Z1593" s="148"/>
      <c r="AA1593" s="148"/>
      <c r="AB1593" s="148"/>
      <c r="AC1593" s="148"/>
    </row>
    <row r="1594" spans="1:29" hidden="1">
      <c r="A1594" s="149"/>
      <c r="B1594" s="147"/>
      <c r="C1594" s="147"/>
      <c r="D1594" s="147"/>
      <c r="E1594" s="147"/>
      <c r="F1594" s="147"/>
      <c r="G1594" s="147"/>
      <c r="H1594" s="147"/>
      <c r="I1594" s="147"/>
      <c r="J1594" s="147"/>
      <c r="K1594" s="147"/>
      <c r="L1594" s="147"/>
      <c r="M1594" s="147"/>
      <c r="N1594" s="147"/>
      <c r="O1594" s="147"/>
      <c r="P1594" s="147"/>
      <c r="Q1594" s="147"/>
      <c r="R1594" s="148"/>
      <c r="S1594" s="148"/>
      <c r="T1594" s="148"/>
      <c r="U1594" s="148"/>
      <c r="V1594" s="148"/>
      <c r="W1594" s="148"/>
      <c r="X1594" s="148"/>
      <c r="Y1594" s="148"/>
      <c r="Z1594" s="148"/>
      <c r="AA1594" s="148"/>
      <c r="AB1594" s="148"/>
      <c r="AC1594" s="148"/>
    </row>
    <row r="1595" spans="1:29" hidden="1">
      <c r="A1595" s="149"/>
      <c r="B1595" s="147"/>
      <c r="C1595" s="147"/>
      <c r="D1595" s="147"/>
      <c r="E1595" s="147"/>
      <c r="F1595" s="147"/>
      <c r="G1595" s="147"/>
      <c r="H1595" s="147"/>
      <c r="I1595" s="147"/>
      <c r="J1595" s="147"/>
      <c r="K1595" s="147"/>
      <c r="L1595" s="147"/>
      <c r="M1595" s="147"/>
      <c r="N1595" s="147"/>
      <c r="O1595" s="147"/>
      <c r="P1595" s="147"/>
      <c r="Q1595" s="147"/>
      <c r="R1595" s="148"/>
      <c r="S1595" s="148"/>
      <c r="T1595" s="148"/>
      <c r="U1595" s="148"/>
      <c r="V1595" s="148"/>
      <c r="W1595" s="148"/>
      <c r="X1595" s="148"/>
      <c r="Y1595" s="148"/>
      <c r="Z1595" s="148"/>
      <c r="AA1595" s="148"/>
      <c r="AB1595" s="148"/>
      <c r="AC1595" s="148"/>
    </row>
    <row r="1596" spans="1:29" hidden="1">
      <c r="A1596" s="149"/>
      <c r="B1596" s="147"/>
      <c r="C1596" s="147"/>
      <c r="D1596" s="147"/>
      <c r="E1596" s="147"/>
      <c r="F1596" s="147"/>
      <c r="G1596" s="147"/>
      <c r="H1596" s="147"/>
      <c r="I1596" s="147"/>
      <c r="J1596" s="147"/>
      <c r="K1596" s="147"/>
      <c r="L1596" s="147"/>
      <c r="M1596" s="147"/>
      <c r="N1596" s="147"/>
      <c r="O1596" s="147"/>
      <c r="P1596" s="147"/>
      <c r="Q1596" s="147"/>
      <c r="R1596" s="148"/>
      <c r="S1596" s="148"/>
      <c r="T1596" s="148"/>
      <c r="U1596" s="148"/>
      <c r="V1596" s="148"/>
      <c r="W1596" s="148"/>
      <c r="X1596" s="148"/>
      <c r="Y1596" s="148"/>
      <c r="Z1596" s="148"/>
      <c r="AA1596" s="148"/>
      <c r="AB1596" s="148"/>
      <c r="AC1596" s="148"/>
    </row>
    <row r="1597" spans="1:29" hidden="1">
      <c r="A1597" s="149"/>
      <c r="B1597" s="147"/>
      <c r="C1597" s="147"/>
      <c r="D1597" s="147"/>
      <c r="E1597" s="147"/>
      <c r="F1597" s="147"/>
      <c r="G1597" s="147"/>
      <c r="H1597" s="147"/>
      <c r="I1597" s="147"/>
      <c r="J1597" s="147"/>
      <c r="K1597" s="147"/>
      <c r="L1597" s="147"/>
      <c r="M1597" s="147"/>
      <c r="N1597" s="147"/>
      <c r="O1597" s="147"/>
      <c r="P1597" s="147"/>
      <c r="Q1597" s="147"/>
      <c r="R1597" s="148"/>
      <c r="S1597" s="148"/>
      <c r="T1597" s="148"/>
      <c r="U1597" s="148"/>
      <c r="V1597" s="148"/>
      <c r="W1597" s="148"/>
      <c r="X1597" s="148"/>
      <c r="Y1597" s="148"/>
      <c r="Z1597" s="148"/>
      <c r="AA1597" s="148"/>
      <c r="AB1597" s="148"/>
      <c r="AC1597" s="148"/>
    </row>
    <row r="1598" spans="1:29" hidden="1">
      <c r="A1598" s="149"/>
      <c r="B1598" s="147"/>
      <c r="C1598" s="147"/>
      <c r="D1598" s="147"/>
      <c r="E1598" s="147"/>
      <c r="F1598" s="147"/>
      <c r="G1598" s="147"/>
      <c r="H1598" s="147"/>
      <c r="I1598" s="147"/>
      <c r="J1598" s="147"/>
      <c r="K1598" s="147"/>
      <c r="L1598" s="147"/>
      <c r="M1598" s="147"/>
      <c r="N1598" s="147"/>
      <c r="O1598" s="147"/>
      <c r="P1598" s="147"/>
      <c r="Q1598" s="147"/>
      <c r="R1598" s="148"/>
      <c r="S1598" s="148"/>
      <c r="T1598" s="148"/>
      <c r="U1598" s="148"/>
      <c r="V1598" s="148"/>
      <c r="W1598" s="148"/>
      <c r="X1598" s="148"/>
      <c r="Y1598" s="148"/>
      <c r="Z1598" s="148"/>
      <c r="AA1598" s="148"/>
      <c r="AB1598" s="148"/>
      <c r="AC1598" s="148"/>
    </row>
    <row r="1599" spans="1:29" hidden="1">
      <c r="A1599" s="149"/>
      <c r="B1599" s="147"/>
      <c r="C1599" s="147"/>
      <c r="D1599" s="147"/>
      <c r="E1599" s="147"/>
      <c r="F1599" s="147"/>
      <c r="G1599" s="147"/>
      <c r="H1599" s="147"/>
      <c r="I1599" s="147"/>
      <c r="J1599" s="147"/>
      <c r="K1599" s="147"/>
      <c r="L1599" s="147"/>
      <c r="M1599" s="147"/>
      <c r="N1599" s="147"/>
      <c r="O1599" s="147"/>
      <c r="P1599" s="147"/>
      <c r="Q1599" s="147"/>
      <c r="R1599" s="148"/>
      <c r="S1599" s="148"/>
      <c r="T1599" s="148"/>
      <c r="U1599" s="148"/>
      <c r="V1599" s="148"/>
      <c r="W1599" s="148"/>
      <c r="X1599" s="148"/>
      <c r="Y1599" s="148"/>
      <c r="Z1599" s="148"/>
      <c r="AA1599" s="148"/>
      <c r="AB1599" s="148"/>
      <c r="AC1599" s="148"/>
    </row>
    <row r="1600" spans="1:29" hidden="1">
      <c r="A1600" s="149"/>
      <c r="B1600" s="147"/>
      <c r="C1600" s="147"/>
      <c r="D1600" s="147"/>
      <c r="E1600" s="147"/>
      <c r="F1600" s="147"/>
      <c r="G1600" s="147"/>
      <c r="H1600" s="147"/>
      <c r="I1600" s="147"/>
      <c r="J1600" s="147"/>
      <c r="K1600" s="147"/>
      <c r="L1600" s="147"/>
      <c r="M1600" s="147"/>
      <c r="N1600" s="147"/>
      <c r="O1600" s="147"/>
      <c r="P1600" s="147"/>
      <c r="Q1600" s="147"/>
      <c r="R1600" s="148"/>
      <c r="S1600" s="148"/>
      <c r="T1600" s="148"/>
      <c r="U1600" s="148"/>
      <c r="V1600" s="148"/>
      <c r="W1600" s="148"/>
      <c r="X1600" s="148"/>
      <c r="Y1600" s="148"/>
      <c r="Z1600" s="148"/>
      <c r="AA1600" s="148"/>
      <c r="AB1600" s="148"/>
      <c r="AC1600" s="148"/>
    </row>
    <row r="1601" spans="1:29" hidden="1">
      <c r="A1601" s="149"/>
      <c r="B1601" s="147"/>
      <c r="C1601" s="147"/>
      <c r="D1601" s="147"/>
      <c r="E1601" s="147"/>
      <c r="F1601" s="147"/>
      <c r="G1601" s="147"/>
      <c r="H1601" s="147"/>
      <c r="I1601" s="147"/>
      <c r="J1601" s="147"/>
      <c r="K1601" s="147"/>
      <c r="L1601" s="147"/>
      <c r="M1601" s="147"/>
      <c r="N1601" s="147"/>
      <c r="O1601" s="147"/>
      <c r="P1601" s="147"/>
      <c r="Q1601" s="147"/>
      <c r="R1601" s="148"/>
      <c r="S1601" s="148"/>
      <c r="T1601" s="148"/>
      <c r="U1601" s="148"/>
      <c r="V1601" s="148"/>
      <c r="W1601" s="148"/>
      <c r="X1601" s="148"/>
      <c r="Y1601" s="148"/>
      <c r="Z1601" s="148"/>
      <c r="AA1601" s="148"/>
      <c r="AB1601" s="148"/>
      <c r="AC1601" s="148"/>
    </row>
    <row r="1602" spans="1:29" hidden="1">
      <c r="A1602" s="149"/>
      <c r="B1602" s="147"/>
      <c r="C1602" s="147"/>
      <c r="D1602" s="147"/>
      <c r="E1602" s="147"/>
      <c r="F1602" s="147"/>
      <c r="G1602" s="147"/>
      <c r="H1602" s="147"/>
      <c r="I1602" s="147"/>
      <c r="J1602" s="147"/>
      <c r="K1602" s="147"/>
      <c r="L1602" s="147"/>
      <c r="M1602" s="147"/>
      <c r="N1602" s="147"/>
      <c r="O1602" s="147"/>
      <c r="P1602" s="147"/>
      <c r="Q1602" s="147"/>
      <c r="R1602" s="148"/>
      <c r="S1602" s="148"/>
      <c r="T1602" s="148"/>
      <c r="U1602" s="148"/>
      <c r="V1602" s="148"/>
      <c r="W1602" s="148"/>
      <c r="X1602" s="148"/>
      <c r="Y1602" s="148"/>
      <c r="Z1602" s="148"/>
      <c r="AA1602" s="148"/>
      <c r="AB1602" s="148"/>
      <c r="AC1602" s="148"/>
    </row>
    <row r="1603" spans="1:29" hidden="1">
      <c r="A1603" s="149"/>
      <c r="B1603" s="147"/>
      <c r="C1603" s="147"/>
      <c r="D1603" s="147"/>
      <c r="E1603" s="147"/>
      <c r="F1603" s="147"/>
      <c r="G1603" s="147"/>
      <c r="H1603" s="147"/>
      <c r="I1603" s="147"/>
      <c r="J1603" s="147"/>
      <c r="K1603" s="147"/>
      <c r="L1603" s="147"/>
      <c r="M1603" s="147"/>
      <c r="N1603" s="147"/>
      <c r="O1603" s="147"/>
      <c r="P1603" s="147"/>
      <c r="Q1603" s="147"/>
      <c r="R1603" s="148"/>
      <c r="S1603" s="148"/>
      <c r="T1603" s="148"/>
      <c r="U1603" s="148"/>
      <c r="V1603" s="148"/>
      <c r="W1603" s="148"/>
      <c r="X1603" s="148"/>
      <c r="Y1603" s="148"/>
      <c r="Z1603" s="148"/>
      <c r="AA1603" s="148"/>
      <c r="AB1603" s="148"/>
      <c r="AC1603" s="148"/>
    </row>
    <row r="1604" spans="1:29" hidden="1">
      <c r="A1604" s="149"/>
      <c r="B1604" s="147"/>
      <c r="C1604" s="147"/>
      <c r="D1604" s="147"/>
      <c r="E1604" s="147"/>
      <c r="F1604" s="147"/>
      <c r="G1604" s="147"/>
      <c r="H1604" s="147"/>
      <c r="I1604" s="147"/>
      <c r="J1604" s="147"/>
      <c r="K1604" s="147"/>
      <c r="L1604" s="147"/>
      <c r="M1604" s="147"/>
      <c r="N1604" s="147"/>
      <c r="O1604" s="147"/>
      <c r="P1604" s="147"/>
      <c r="Q1604" s="147"/>
      <c r="R1604" s="148"/>
      <c r="S1604" s="148"/>
      <c r="T1604" s="148"/>
      <c r="U1604" s="148"/>
      <c r="V1604" s="148"/>
      <c r="W1604" s="148"/>
      <c r="X1604" s="148"/>
      <c r="Y1604" s="148"/>
      <c r="Z1604" s="148"/>
      <c r="AA1604" s="148"/>
      <c r="AB1604" s="148"/>
      <c r="AC1604" s="148"/>
    </row>
    <row r="1605" spans="1:29" hidden="1">
      <c r="A1605" s="149"/>
      <c r="B1605" s="147"/>
      <c r="C1605" s="147"/>
      <c r="D1605" s="147"/>
      <c r="E1605" s="147"/>
      <c r="F1605" s="147"/>
      <c r="G1605" s="147"/>
      <c r="H1605" s="147"/>
      <c r="I1605" s="147"/>
      <c r="J1605" s="147"/>
      <c r="K1605" s="147"/>
      <c r="L1605" s="147"/>
      <c r="M1605" s="147"/>
      <c r="N1605" s="147"/>
      <c r="O1605" s="147"/>
      <c r="P1605" s="147"/>
      <c r="Q1605" s="147"/>
      <c r="R1605" s="148"/>
      <c r="S1605" s="148"/>
      <c r="T1605" s="148"/>
      <c r="U1605" s="148"/>
      <c r="V1605" s="148"/>
      <c r="W1605" s="148"/>
      <c r="X1605" s="148"/>
      <c r="Y1605" s="148"/>
      <c r="Z1605" s="148"/>
      <c r="AA1605" s="148"/>
      <c r="AB1605" s="148"/>
      <c r="AC1605" s="148"/>
    </row>
    <row r="1606" spans="1:29" hidden="1">
      <c r="A1606" s="149"/>
      <c r="B1606" s="147"/>
      <c r="C1606" s="147"/>
      <c r="D1606" s="147"/>
      <c r="E1606" s="147"/>
      <c r="F1606" s="147"/>
      <c r="G1606" s="147"/>
      <c r="H1606" s="147"/>
      <c r="I1606" s="147"/>
      <c r="J1606" s="147"/>
      <c r="K1606" s="147"/>
      <c r="L1606" s="147"/>
      <c r="M1606" s="147"/>
      <c r="N1606" s="147"/>
      <c r="O1606" s="147"/>
      <c r="P1606" s="147"/>
      <c r="Q1606" s="147"/>
      <c r="R1606" s="148"/>
      <c r="S1606" s="148"/>
      <c r="T1606" s="148"/>
      <c r="U1606" s="148"/>
      <c r="V1606" s="148"/>
      <c r="W1606" s="148"/>
      <c r="X1606" s="148"/>
      <c r="Y1606" s="148"/>
      <c r="Z1606" s="148"/>
      <c r="AA1606" s="148"/>
      <c r="AB1606" s="148"/>
      <c r="AC1606" s="148"/>
    </row>
    <row r="1607" spans="1:29" hidden="1">
      <c r="A1607" s="149"/>
      <c r="B1607" s="147"/>
      <c r="C1607" s="147"/>
      <c r="D1607" s="147"/>
      <c r="E1607" s="147"/>
      <c r="F1607" s="147"/>
      <c r="G1607" s="147"/>
      <c r="H1607" s="147"/>
      <c r="I1607" s="147"/>
      <c r="J1607" s="147"/>
      <c r="K1607" s="147"/>
      <c r="L1607" s="147"/>
      <c r="M1607" s="147"/>
      <c r="N1607" s="147"/>
      <c r="O1607" s="147"/>
      <c r="P1607" s="147"/>
      <c r="Q1607" s="147"/>
      <c r="R1607" s="148"/>
      <c r="S1607" s="148"/>
      <c r="T1607" s="148"/>
      <c r="U1607" s="148"/>
      <c r="V1607" s="148"/>
      <c r="W1607" s="148"/>
      <c r="X1607" s="148"/>
      <c r="Y1607" s="148"/>
      <c r="Z1607" s="148"/>
      <c r="AA1607" s="148"/>
      <c r="AB1607" s="148"/>
      <c r="AC1607" s="148"/>
    </row>
    <row r="1608" spans="1:29" hidden="1">
      <c r="A1608" s="149"/>
      <c r="B1608" s="147"/>
      <c r="C1608" s="147"/>
      <c r="D1608" s="147"/>
      <c r="E1608" s="147"/>
      <c r="F1608" s="147"/>
      <c r="G1608" s="147"/>
      <c r="H1608" s="147"/>
      <c r="I1608" s="147"/>
      <c r="J1608" s="147"/>
      <c r="K1608" s="147"/>
      <c r="L1608" s="147"/>
      <c r="M1608" s="147"/>
      <c r="N1608" s="147"/>
      <c r="O1608" s="147"/>
      <c r="P1608" s="147"/>
      <c r="Q1608" s="147"/>
      <c r="R1608" s="148"/>
      <c r="S1608" s="148"/>
      <c r="T1608" s="148"/>
      <c r="U1608" s="148"/>
      <c r="V1608" s="148"/>
      <c r="W1608" s="148"/>
      <c r="X1608" s="148"/>
      <c r="Y1608" s="148"/>
      <c r="Z1608" s="148"/>
      <c r="AA1608" s="148"/>
      <c r="AB1608" s="148"/>
      <c r="AC1608" s="148"/>
    </row>
    <row r="1609" spans="1:29" hidden="1">
      <c r="A1609" s="149"/>
      <c r="B1609" s="147"/>
      <c r="C1609" s="147"/>
      <c r="D1609" s="147"/>
      <c r="E1609" s="147"/>
      <c r="F1609" s="147"/>
      <c r="G1609" s="147"/>
      <c r="H1609" s="147"/>
      <c r="I1609" s="147"/>
      <c r="J1609" s="147"/>
      <c r="K1609" s="147"/>
      <c r="L1609" s="147"/>
      <c r="M1609" s="147"/>
      <c r="N1609" s="147"/>
      <c r="O1609" s="147"/>
      <c r="P1609" s="147"/>
      <c r="Q1609" s="147"/>
      <c r="R1609" s="148"/>
      <c r="S1609" s="148"/>
      <c r="T1609" s="148"/>
      <c r="U1609" s="148"/>
      <c r="V1609" s="148"/>
      <c r="W1609" s="148"/>
      <c r="X1609" s="148"/>
      <c r="Y1609" s="148"/>
      <c r="Z1609" s="148"/>
      <c r="AA1609" s="148"/>
      <c r="AB1609" s="148"/>
      <c r="AC1609" s="148"/>
    </row>
    <row r="1610" spans="1:29" hidden="1">
      <c r="A1610" s="149"/>
      <c r="B1610" s="147"/>
      <c r="C1610" s="147"/>
      <c r="D1610" s="147"/>
      <c r="E1610" s="147"/>
      <c r="F1610" s="147"/>
      <c r="G1610" s="147"/>
      <c r="H1610" s="147"/>
      <c r="I1610" s="147"/>
      <c r="J1610" s="147"/>
      <c r="K1610" s="147"/>
      <c r="L1610" s="147"/>
      <c r="M1610" s="147"/>
      <c r="N1610" s="147"/>
      <c r="O1610" s="147"/>
      <c r="P1610" s="147"/>
      <c r="Q1610" s="147"/>
      <c r="R1610" s="148"/>
      <c r="S1610" s="148"/>
      <c r="T1610" s="148"/>
      <c r="U1610" s="148"/>
      <c r="V1610" s="148"/>
      <c r="W1610" s="148"/>
      <c r="X1610" s="148"/>
      <c r="Y1610" s="148"/>
      <c r="Z1610" s="148"/>
      <c r="AA1610" s="148"/>
      <c r="AB1610" s="148"/>
      <c r="AC1610" s="148"/>
    </row>
    <row r="1611" spans="1:29" hidden="1">
      <c r="A1611" s="149"/>
      <c r="B1611" s="147"/>
      <c r="C1611" s="147"/>
      <c r="D1611" s="147"/>
      <c r="E1611" s="147"/>
      <c r="F1611" s="147"/>
      <c r="G1611" s="147"/>
      <c r="H1611" s="147"/>
      <c r="I1611" s="147"/>
      <c r="J1611" s="147"/>
      <c r="K1611" s="147"/>
      <c r="L1611" s="147"/>
      <c r="M1611" s="147"/>
      <c r="N1611" s="147"/>
      <c r="O1611" s="147"/>
      <c r="P1611" s="147"/>
      <c r="Q1611" s="147"/>
      <c r="R1611" s="148"/>
      <c r="S1611" s="148"/>
      <c r="T1611" s="148"/>
      <c r="U1611" s="148"/>
      <c r="V1611" s="148"/>
      <c r="W1611" s="148"/>
      <c r="X1611" s="148"/>
      <c r="Y1611" s="148"/>
      <c r="Z1611" s="148"/>
      <c r="AA1611" s="148"/>
      <c r="AB1611" s="148"/>
      <c r="AC1611" s="148"/>
    </row>
    <row r="1612" spans="1:29" hidden="1">
      <c r="A1612" s="149"/>
      <c r="B1612" s="147"/>
      <c r="C1612" s="147"/>
      <c r="D1612" s="147"/>
      <c r="E1612" s="147"/>
      <c r="F1612" s="147"/>
      <c r="G1612" s="147"/>
      <c r="H1612" s="147"/>
      <c r="I1612" s="147"/>
      <c r="J1612" s="147"/>
      <c r="K1612" s="147"/>
      <c r="L1612" s="147"/>
      <c r="M1612" s="147"/>
      <c r="N1612" s="147"/>
      <c r="O1612" s="147"/>
      <c r="P1612" s="147"/>
      <c r="Q1612" s="147"/>
      <c r="R1612" s="148"/>
      <c r="S1612" s="148"/>
      <c r="T1612" s="148"/>
      <c r="U1612" s="148"/>
      <c r="V1612" s="148"/>
      <c r="W1612" s="148"/>
      <c r="X1612" s="148"/>
      <c r="Y1612" s="148"/>
      <c r="Z1612" s="148"/>
      <c r="AA1612" s="148"/>
      <c r="AB1612" s="148"/>
      <c r="AC1612" s="148"/>
    </row>
    <row r="1613" spans="1:29" hidden="1">
      <c r="A1613" s="149"/>
      <c r="B1613" s="147"/>
      <c r="C1613" s="147"/>
      <c r="D1613" s="147"/>
      <c r="E1613" s="147"/>
      <c r="F1613" s="147"/>
      <c r="G1613" s="147"/>
      <c r="H1613" s="147"/>
      <c r="I1613" s="147"/>
      <c r="J1613" s="147"/>
      <c r="K1613" s="147"/>
      <c r="L1613" s="147"/>
      <c r="M1613" s="147"/>
      <c r="N1613" s="147"/>
      <c r="O1613" s="147"/>
      <c r="P1613" s="147"/>
      <c r="Q1613" s="147"/>
      <c r="R1613" s="148"/>
      <c r="S1613" s="148"/>
      <c r="T1613" s="148"/>
      <c r="U1613" s="148"/>
      <c r="V1613" s="148"/>
      <c r="W1613" s="148"/>
      <c r="X1613" s="148"/>
      <c r="Y1613" s="148"/>
      <c r="Z1613" s="148"/>
      <c r="AA1613" s="148"/>
      <c r="AB1613" s="148"/>
      <c r="AC1613" s="148"/>
    </row>
    <row r="1614" spans="1:29" hidden="1">
      <c r="A1614" s="149"/>
      <c r="B1614" s="147"/>
      <c r="C1614" s="147"/>
      <c r="D1614" s="147"/>
      <c r="E1614" s="147"/>
      <c r="F1614" s="147"/>
      <c r="G1614" s="147"/>
      <c r="H1614" s="147"/>
      <c r="I1614" s="147"/>
      <c r="J1614" s="147"/>
      <c r="K1614" s="147"/>
      <c r="L1614" s="147"/>
      <c r="M1614" s="147"/>
      <c r="N1614" s="147"/>
      <c r="O1614" s="147"/>
      <c r="P1614" s="147"/>
      <c r="Q1614" s="147"/>
      <c r="R1614" s="148"/>
      <c r="S1614" s="148"/>
      <c r="T1614" s="148"/>
      <c r="U1614" s="148"/>
      <c r="V1614" s="148"/>
      <c r="W1614" s="148"/>
      <c r="X1614" s="148"/>
      <c r="Y1614" s="148"/>
      <c r="Z1614" s="148"/>
      <c r="AA1614" s="148"/>
      <c r="AB1614" s="148"/>
      <c r="AC1614" s="148"/>
    </row>
    <row r="1615" spans="1:29" hidden="1">
      <c r="A1615" s="149"/>
      <c r="B1615" s="147"/>
      <c r="C1615" s="147"/>
      <c r="D1615" s="147"/>
      <c r="E1615" s="147"/>
      <c r="F1615" s="147"/>
      <c r="G1615" s="147"/>
      <c r="H1615" s="147"/>
      <c r="I1615" s="147"/>
      <c r="J1615" s="147"/>
      <c r="K1615" s="147"/>
      <c r="L1615" s="147"/>
      <c r="M1615" s="147"/>
      <c r="N1615" s="147"/>
      <c r="O1615" s="147"/>
      <c r="P1615" s="147"/>
      <c r="Q1615" s="147"/>
      <c r="R1615" s="148"/>
      <c r="S1615" s="148"/>
      <c r="T1615" s="148"/>
      <c r="U1615" s="148"/>
      <c r="V1615" s="148"/>
      <c r="W1615" s="148"/>
      <c r="X1615" s="148"/>
      <c r="Y1615" s="148"/>
      <c r="Z1615" s="148"/>
      <c r="AA1615" s="148"/>
      <c r="AB1615" s="148"/>
      <c r="AC1615" s="148"/>
    </row>
    <row r="1616" spans="1:29" hidden="1">
      <c r="A1616" s="149"/>
      <c r="B1616" s="147"/>
      <c r="C1616" s="147"/>
      <c r="D1616" s="147"/>
      <c r="E1616" s="147"/>
      <c r="F1616" s="147"/>
      <c r="G1616" s="147"/>
      <c r="H1616" s="147"/>
      <c r="I1616" s="147"/>
      <c r="J1616" s="147"/>
      <c r="K1616" s="147"/>
      <c r="L1616" s="147"/>
      <c r="M1616" s="147"/>
      <c r="N1616" s="147"/>
      <c r="O1616" s="147"/>
      <c r="P1616" s="147"/>
      <c r="Q1616" s="147"/>
      <c r="R1616" s="148"/>
      <c r="S1616" s="148"/>
      <c r="T1616" s="148"/>
      <c r="U1616" s="148"/>
      <c r="V1616" s="148"/>
      <c r="W1616" s="148"/>
      <c r="X1616" s="148"/>
      <c r="Y1616" s="148"/>
      <c r="Z1616" s="148"/>
      <c r="AA1616" s="148"/>
      <c r="AB1616" s="148"/>
      <c r="AC1616" s="148"/>
    </row>
    <row r="1617" spans="1:29" hidden="1">
      <c r="A1617" s="149"/>
      <c r="B1617" s="147"/>
      <c r="C1617" s="147"/>
      <c r="D1617" s="147"/>
      <c r="E1617" s="147"/>
      <c r="F1617" s="147"/>
      <c r="G1617" s="147"/>
      <c r="H1617" s="147"/>
      <c r="I1617" s="147"/>
      <c r="J1617" s="147"/>
      <c r="K1617" s="147"/>
      <c r="L1617" s="147"/>
      <c r="M1617" s="147"/>
      <c r="N1617" s="147"/>
      <c r="O1617" s="147"/>
      <c r="P1617" s="147"/>
      <c r="Q1617" s="147"/>
      <c r="R1617" s="148"/>
      <c r="S1617" s="148"/>
      <c r="T1617" s="148"/>
      <c r="U1617" s="148"/>
      <c r="V1617" s="148"/>
      <c r="W1617" s="148"/>
      <c r="X1617" s="148"/>
      <c r="Y1617" s="148"/>
      <c r="Z1617" s="148"/>
      <c r="AA1617" s="148"/>
      <c r="AB1617" s="148"/>
      <c r="AC1617" s="148"/>
    </row>
    <row r="1618" spans="1:29" hidden="1">
      <c r="A1618" s="149"/>
      <c r="B1618" s="147"/>
      <c r="C1618" s="147"/>
      <c r="D1618" s="147"/>
      <c r="E1618" s="147"/>
      <c r="F1618" s="147"/>
      <c r="G1618" s="147"/>
      <c r="H1618" s="147"/>
      <c r="I1618" s="147"/>
      <c r="J1618" s="147"/>
      <c r="K1618" s="147"/>
      <c r="L1618" s="147"/>
      <c r="M1618" s="147"/>
      <c r="N1618" s="147"/>
      <c r="O1618" s="147"/>
      <c r="P1618" s="147"/>
      <c r="Q1618" s="147"/>
      <c r="R1618" s="148"/>
      <c r="S1618" s="148"/>
      <c r="T1618" s="148"/>
      <c r="U1618" s="148"/>
      <c r="V1618" s="148"/>
      <c r="W1618" s="148"/>
      <c r="X1618" s="148"/>
      <c r="Y1618" s="148"/>
      <c r="Z1618" s="148"/>
      <c r="AA1618" s="148"/>
      <c r="AB1618" s="148"/>
      <c r="AC1618" s="148"/>
    </row>
    <row r="1619" spans="1:29" hidden="1">
      <c r="A1619" s="149"/>
      <c r="B1619" s="147"/>
      <c r="C1619" s="147"/>
      <c r="D1619" s="147"/>
      <c r="E1619" s="147"/>
      <c r="F1619" s="147"/>
      <c r="G1619" s="147"/>
      <c r="H1619" s="147"/>
      <c r="I1619" s="147"/>
      <c r="J1619" s="147"/>
      <c r="K1619" s="147"/>
      <c r="L1619" s="147"/>
      <c r="M1619" s="147"/>
      <c r="N1619" s="147"/>
      <c r="O1619" s="147"/>
      <c r="P1619" s="147"/>
      <c r="Q1619" s="147"/>
      <c r="R1619" s="148"/>
      <c r="S1619" s="148"/>
      <c r="T1619" s="148"/>
      <c r="U1619" s="148"/>
      <c r="V1619" s="148"/>
      <c r="W1619" s="148"/>
      <c r="X1619" s="148"/>
      <c r="Y1619" s="148"/>
      <c r="Z1619" s="148"/>
      <c r="AA1619" s="148"/>
      <c r="AB1619" s="148"/>
      <c r="AC1619" s="148"/>
    </row>
    <row r="1620" spans="1:29" hidden="1">
      <c r="A1620" s="147"/>
      <c r="B1620" s="147"/>
      <c r="C1620" s="147"/>
      <c r="D1620" s="147"/>
      <c r="E1620" s="147"/>
      <c r="F1620" s="147"/>
      <c r="G1620" s="147"/>
      <c r="H1620" s="147"/>
      <c r="I1620" s="147"/>
      <c r="J1620" s="147"/>
      <c r="K1620" s="147"/>
      <c r="L1620" s="147"/>
      <c r="M1620" s="147"/>
      <c r="N1620" s="147"/>
      <c r="O1620" s="147"/>
      <c r="P1620" s="147"/>
      <c r="Q1620" s="147"/>
      <c r="R1620" s="148"/>
      <c r="S1620" s="148"/>
      <c r="T1620" s="148"/>
      <c r="U1620" s="148"/>
      <c r="V1620" s="148"/>
      <c r="W1620" s="148"/>
      <c r="X1620" s="148"/>
      <c r="Y1620" s="148"/>
      <c r="Z1620" s="148"/>
      <c r="AA1620" s="148"/>
      <c r="AB1620" s="148"/>
      <c r="AC1620" s="148"/>
    </row>
    <row r="1621" spans="1:29" hidden="1">
      <c r="A1621" s="149"/>
      <c r="B1621" s="147"/>
      <c r="C1621" s="147"/>
      <c r="D1621" s="147"/>
      <c r="E1621" s="147"/>
      <c r="F1621" s="147"/>
      <c r="G1621" s="147"/>
      <c r="H1621" s="147"/>
      <c r="I1621" s="147"/>
      <c r="J1621" s="147"/>
      <c r="K1621" s="147"/>
      <c r="L1621" s="147"/>
      <c r="M1621" s="147"/>
      <c r="N1621" s="147"/>
      <c r="O1621" s="147"/>
      <c r="P1621" s="147"/>
      <c r="Q1621" s="147"/>
      <c r="R1621" s="148"/>
      <c r="S1621" s="148"/>
      <c r="T1621" s="148"/>
      <c r="U1621" s="148"/>
      <c r="V1621" s="148"/>
      <c r="W1621" s="148"/>
      <c r="X1621" s="148"/>
      <c r="Y1621" s="148"/>
      <c r="Z1621" s="148"/>
      <c r="AA1621" s="148"/>
      <c r="AB1621" s="148"/>
      <c r="AC1621" s="148"/>
    </row>
    <row r="1622" spans="1:29" hidden="1">
      <c r="A1622" s="149"/>
      <c r="B1622" s="147"/>
      <c r="C1622" s="147"/>
      <c r="D1622" s="147"/>
      <c r="E1622" s="147"/>
      <c r="F1622" s="147"/>
      <c r="G1622" s="147"/>
      <c r="H1622" s="147"/>
      <c r="I1622" s="147"/>
      <c r="J1622" s="147"/>
      <c r="K1622" s="147"/>
      <c r="L1622" s="147"/>
      <c r="M1622" s="147"/>
      <c r="N1622" s="147"/>
      <c r="O1622" s="147"/>
      <c r="P1622" s="147"/>
      <c r="Q1622" s="147"/>
      <c r="R1622" s="148"/>
      <c r="S1622" s="148"/>
      <c r="T1622" s="148"/>
      <c r="U1622" s="148"/>
      <c r="V1622" s="148"/>
      <c r="W1622" s="148"/>
      <c r="X1622" s="148"/>
      <c r="Y1622" s="148"/>
      <c r="Z1622" s="148"/>
      <c r="AA1622" s="148"/>
      <c r="AB1622" s="148"/>
      <c r="AC1622" s="148"/>
    </row>
    <row r="1623" spans="1:29" hidden="1">
      <c r="A1623" s="149"/>
      <c r="B1623" s="147"/>
      <c r="C1623" s="147"/>
      <c r="D1623" s="147"/>
      <c r="E1623" s="147"/>
      <c r="F1623" s="147"/>
      <c r="G1623" s="147"/>
      <c r="H1623" s="147"/>
      <c r="I1623" s="147"/>
      <c r="J1623" s="147"/>
      <c r="K1623" s="147"/>
      <c r="L1623" s="147"/>
      <c r="M1623" s="147"/>
      <c r="N1623" s="147"/>
      <c r="O1623" s="147"/>
      <c r="P1623" s="147"/>
      <c r="Q1623" s="147"/>
      <c r="R1623" s="148"/>
      <c r="S1623" s="148"/>
      <c r="T1623" s="148"/>
      <c r="U1623" s="148"/>
      <c r="V1623" s="148"/>
      <c r="W1623" s="148"/>
      <c r="X1623" s="148"/>
      <c r="Y1623" s="148"/>
      <c r="Z1623" s="148"/>
      <c r="AA1623" s="148"/>
      <c r="AB1623" s="148"/>
      <c r="AC1623" s="148"/>
    </row>
    <row r="1624" spans="1:29" hidden="1">
      <c r="A1624" s="149"/>
      <c r="B1624" s="147"/>
      <c r="C1624" s="147"/>
      <c r="D1624" s="147"/>
      <c r="E1624" s="147"/>
      <c r="F1624" s="147"/>
      <c r="G1624" s="147"/>
      <c r="H1624" s="147"/>
      <c r="I1624" s="147"/>
      <c r="J1624" s="147"/>
      <c r="K1624" s="147"/>
      <c r="L1624" s="147"/>
      <c r="M1624" s="147"/>
      <c r="N1624" s="147"/>
      <c r="O1624" s="147"/>
      <c r="P1624" s="147"/>
      <c r="Q1624" s="147"/>
      <c r="R1624" s="148"/>
      <c r="S1624" s="148"/>
      <c r="T1624" s="148"/>
      <c r="U1624" s="148"/>
      <c r="V1624" s="148"/>
      <c r="W1624" s="148"/>
      <c r="X1624" s="148"/>
      <c r="Y1624" s="148"/>
      <c r="Z1624" s="148"/>
      <c r="AA1624" s="148"/>
      <c r="AB1624" s="148"/>
      <c r="AC1624" s="148"/>
    </row>
    <row r="1625" spans="1:29" hidden="1">
      <c r="A1625" s="149"/>
      <c r="B1625" s="147"/>
      <c r="C1625" s="147"/>
      <c r="D1625" s="147"/>
      <c r="E1625" s="147"/>
      <c r="F1625" s="147"/>
      <c r="G1625" s="147"/>
      <c r="H1625" s="147"/>
      <c r="I1625" s="147"/>
      <c r="J1625" s="147"/>
      <c r="K1625" s="147"/>
      <c r="L1625" s="147"/>
      <c r="M1625" s="147"/>
      <c r="N1625" s="147"/>
      <c r="O1625" s="147"/>
      <c r="P1625" s="147"/>
      <c r="Q1625" s="147"/>
      <c r="R1625" s="148"/>
      <c r="S1625" s="148"/>
      <c r="T1625" s="148"/>
      <c r="U1625" s="148"/>
      <c r="V1625" s="148"/>
      <c r="W1625" s="148"/>
      <c r="X1625" s="148"/>
      <c r="Y1625" s="148"/>
      <c r="Z1625" s="148"/>
      <c r="AA1625" s="148"/>
      <c r="AB1625" s="148"/>
      <c r="AC1625" s="148"/>
    </row>
    <row r="1626" spans="1:29" hidden="1">
      <c r="A1626" s="149"/>
      <c r="B1626" s="147"/>
      <c r="C1626" s="147"/>
      <c r="D1626" s="147"/>
      <c r="E1626" s="147"/>
      <c r="F1626" s="147"/>
      <c r="G1626" s="147"/>
      <c r="H1626" s="147"/>
      <c r="I1626" s="147"/>
      <c r="J1626" s="147"/>
      <c r="K1626" s="147"/>
      <c r="L1626" s="147"/>
      <c r="M1626" s="147"/>
      <c r="N1626" s="147"/>
      <c r="O1626" s="147"/>
      <c r="P1626" s="147"/>
      <c r="Q1626" s="147"/>
      <c r="R1626" s="148"/>
      <c r="S1626" s="148"/>
      <c r="T1626" s="148"/>
      <c r="U1626" s="148"/>
      <c r="V1626" s="148"/>
      <c r="W1626" s="148"/>
      <c r="X1626" s="148"/>
      <c r="Y1626" s="148"/>
      <c r="Z1626" s="148"/>
      <c r="AA1626" s="148"/>
      <c r="AB1626" s="148"/>
      <c r="AC1626" s="148"/>
    </row>
    <row r="1627" spans="1:29" hidden="1">
      <c r="A1627" s="149"/>
      <c r="B1627" s="147"/>
      <c r="C1627" s="147"/>
      <c r="D1627" s="147"/>
      <c r="E1627" s="147"/>
      <c r="F1627" s="147"/>
      <c r="G1627" s="147"/>
      <c r="H1627" s="147"/>
      <c r="I1627" s="147"/>
      <c r="J1627" s="147"/>
      <c r="K1627" s="147"/>
      <c r="L1627" s="147"/>
      <c r="M1627" s="147"/>
      <c r="N1627" s="147"/>
      <c r="O1627" s="147"/>
      <c r="P1627" s="147"/>
      <c r="Q1627" s="147"/>
      <c r="R1627" s="148"/>
      <c r="S1627" s="148"/>
      <c r="T1627" s="148"/>
      <c r="U1627" s="148"/>
      <c r="V1627" s="148"/>
      <c r="W1627" s="148"/>
      <c r="X1627" s="148"/>
      <c r="Y1627" s="148"/>
      <c r="Z1627" s="148"/>
      <c r="AA1627" s="148"/>
      <c r="AB1627" s="148"/>
      <c r="AC1627" s="148"/>
    </row>
    <row r="1628" spans="1:29" hidden="1">
      <c r="A1628" s="149"/>
      <c r="B1628" s="147"/>
      <c r="C1628" s="147"/>
      <c r="D1628" s="147"/>
      <c r="E1628" s="147"/>
      <c r="F1628" s="147"/>
      <c r="G1628" s="147"/>
      <c r="H1628" s="147"/>
      <c r="I1628" s="147"/>
      <c r="J1628" s="147"/>
      <c r="K1628" s="147"/>
      <c r="L1628" s="147"/>
      <c r="M1628" s="147"/>
      <c r="N1628" s="147"/>
      <c r="O1628" s="147"/>
      <c r="P1628" s="147"/>
      <c r="Q1628" s="147"/>
      <c r="R1628" s="148"/>
      <c r="S1628" s="148"/>
      <c r="T1628" s="148"/>
      <c r="U1628" s="148"/>
      <c r="V1628" s="148"/>
      <c r="W1628" s="148"/>
      <c r="X1628" s="148"/>
      <c r="Y1628" s="148"/>
      <c r="Z1628" s="148"/>
      <c r="AA1628" s="148"/>
      <c r="AB1628" s="148"/>
      <c r="AC1628" s="148"/>
    </row>
    <row r="1629" spans="1:29" hidden="1">
      <c r="A1629" s="149"/>
      <c r="B1629" s="147"/>
      <c r="C1629" s="147"/>
      <c r="D1629" s="147"/>
      <c r="E1629" s="147"/>
      <c r="F1629" s="147"/>
      <c r="G1629" s="147"/>
      <c r="H1629" s="147"/>
      <c r="I1629" s="147"/>
      <c r="J1629" s="147"/>
      <c r="K1629" s="147"/>
      <c r="L1629" s="147"/>
      <c r="M1629" s="147"/>
      <c r="N1629" s="147"/>
      <c r="O1629" s="147"/>
      <c r="P1629" s="147"/>
      <c r="Q1629" s="147"/>
      <c r="R1629" s="148"/>
      <c r="S1629" s="148"/>
      <c r="T1629" s="148"/>
      <c r="U1629" s="148"/>
      <c r="V1629" s="148"/>
      <c r="W1629" s="148"/>
      <c r="X1629" s="148"/>
      <c r="Y1629" s="148"/>
      <c r="Z1629" s="148"/>
      <c r="AA1629" s="148"/>
      <c r="AB1629" s="148"/>
      <c r="AC1629" s="148"/>
    </row>
    <row r="1630" spans="1:29" hidden="1">
      <c r="A1630" s="149"/>
      <c r="B1630" s="147"/>
      <c r="C1630" s="147"/>
      <c r="D1630" s="147"/>
      <c r="E1630" s="147"/>
      <c r="F1630" s="147"/>
      <c r="G1630" s="147"/>
      <c r="H1630" s="147"/>
      <c r="I1630" s="147"/>
      <c r="J1630" s="147"/>
      <c r="K1630" s="147"/>
      <c r="L1630" s="147"/>
      <c r="M1630" s="147"/>
      <c r="N1630" s="147"/>
      <c r="O1630" s="147"/>
      <c r="P1630" s="147"/>
      <c r="Q1630" s="147"/>
      <c r="R1630" s="148"/>
      <c r="S1630" s="148"/>
      <c r="T1630" s="148"/>
      <c r="U1630" s="148"/>
      <c r="V1630" s="148"/>
      <c r="W1630" s="148"/>
      <c r="X1630" s="148"/>
      <c r="Y1630" s="148"/>
      <c r="Z1630" s="148"/>
      <c r="AA1630" s="148"/>
      <c r="AB1630" s="148"/>
      <c r="AC1630" s="148"/>
    </row>
    <row r="1631" spans="1:29" hidden="1">
      <c r="A1631" s="149"/>
      <c r="B1631" s="147"/>
      <c r="C1631" s="147"/>
      <c r="D1631" s="147"/>
      <c r="E1631" s="147"/>
      <c r="F1631" s="147"/>
      <c r="G1631" s="147"/>
      <c r="H1631" s="147"/>
      <c r="I1631" s="147"/>
      <c r="J1631" s="147"/>
      <c r="K1631" s="147"/>
      <c r="L1631" s="147"/>
      <c r="M1631" s="147"/>
      <c r="N1631" s="147"/>
      <c r="O1631" s="147"/>
      <c r="P1631" s="147"/>
      <c r="Q1631" s="147"/>
      <c r="R1631" s="148"/>
      <c r="S1631" s="148"/>
      <c r="T1631" s="148"/>
      <c r="U1631" s="148"/>
      <c r="V1631" s="148"/>
      <c r="W1631" s="148"/>
      <c r="X1631" s="148"/>
      <c r="Y1631" s="148"/>
      <c r="Z1631" s="148"/>
      <c r="AA1631" s="148"/>
      <c r="AB1631" s="148"/>
      <c r="AC1631" s="148"/>
    </row>
    <row r="1632" spans="1:29" hidden="1">
      <c r="A1632" s="149"/>
      <c r="B1632" s="147"/>
      <c r="C1632" s="147"/>
      <c r="D1632" s="147"/>
      <c r="E1632" s="147"/>
      <c r="F1632" s="147"/>
      <c r="G1632" s="147"/>
      <c r="H1632" s="147"/>
      <c r="I1632" s="147"/>
      <c r="J1632" s="147"/>
      <c r="K1632" s="147"/>
      <c r="L1632" s="147"/>
      <c r="M1632" s="147"/>
      <c r="N1632" s="147"/>
      <c r="O1632" s="147"/>
      <c r="P1632" s="147"/>
      <c r="Q1632" s="147"/>
      <c r="R1632" s="148"/>
      <c r="S1632" s="148"/>
      <c r="T1632" s="148"/>
      <c r="U1632" s="148"/>
      <c r="V1632" s="148"/>
      <c r="W1632" s="148"/>
      <c r="X1632" s="148"/>
      <c r="Y1632" s="148"/>
      <c r="Z1632" s="148"/>
      <c r="AA1632" s="148"/>
      <c r="AB1632" s="148"/>
      <c r="AC1632" s="148"/>
    </row>
    <row r="1633" spans="1:29" hidden="1">
      <c r="A1633" s="149"/>
      <c r="B1633" s="147"/>
      <c r="C1633" s="147"/>
      <c r="D1633" s="147"/>
      <c r="E1633" s="147"/>
      <c r="F1633" s="147"/>
      <c r="G1633" s="147"/>
      <c r="H1633" s="147"/>
      <c r="I1633" s="147"/>
      <c r="J1633" s="147"/>
      <c r="K1633" s="147"/>
      <c r="L1633" s="147"/>
      <c r="M1633" s="147"/>
      <c r="N1633" s="147"/>
      <c r="O1633" s="147"/>
      <c r="P1633" s="147"/>
      <c r="Q1633" s="147"/>
      <c r="R1633" s="148"/>
      <c r="S1633" s="148"/>
      <c r="T1633" s="148"/>
      <c r="U1633" s="148"/>
      <c r="V1633" s="148"/>
      <c r="W1633" s="148"/>
      <c r="X1633" s="148"/>
      <c r="Y1633" s="148"/>
      <c r="Z1633" s="148"/>
      <c r="AA1633" s="148"/>
      <c r="AB1633" s="148"/>
      <c r="AC1633" s="148"/>
    </row>
    <row r="1634" spans="1:29" hidden="1">
      <c r="A1634" s="149"/>
      <c r="B1634" s="147"/>
      <c r="C1634" s="147"/>
      <c r="D1634" s="147"/>
      <c r="E1634" s="147"/>
      <c r="F1634" s="147"/>
      <c r="G1634" s="147"/>
      <c r="H1634" s="147"/>
      <c r="I1634" s="147"/>
      <c r="J1634" s="147"/>
      <c r="K1634" s="147"/>
      <c r="L1634" s="147"/>
      <c r="M1634" s="147"/>
      <c r="N1634" s="147"/>
      <c r="O1634" s="147"/>
      <c r="P1634" s="147"/>
      <c r="Q1634" s="147"/>
      <c r="R1634" s="148"/>
      <c r="S1634" s="148"/>
      <c r="T1634" s="148"/>
      <c r="U1634" s="148"/>
      <c r="V1634" s="148"/>
      <c r="W1634" s="148"/>
      <c r="X1634" s="148"/>
      <c r="Y1634" s="148"/>
      <c r="Z1634" s="148"/>
      <c r="AA1634" s="148"/>
      <c r="AB1634" s="148"/>
      <c r="AC1634" s="148"/>
    </row>
    <row r="1635" spans="1:29" hidden="1">
      <c r="A1635" s="149"/>
      <c r="B1635" s="147"/>
      <c r="C1635" s="147"/>
      <c r="D1635" s="147"/>
      <c r="E1635" s="147"/>
      <c r="F1635" s="147"/>
      <c r="G1635" s="147"/>
      <c r="H1635" s="147"/>
      <c r="I1635" s="147"/>
      <c r="J1635" s="147"/>
      <c r="K1635" s="147"/>
      <c r="L1635" s="147"/>
      <c r="M1635" s="147"/>
      <c r="N1635" s="147"/>
      <c r="O1635" s="147"/>
      <c r="P1635" s="147"/>
      <c r="Q1635" s="147"/>
      <c r="R1635" s="148"/>
      <c r="S1635" s="148"/>
      <c r="T1635" s="148"/>
      <c r="U1635" s="148"/>
      <c r="V1635" s="148"/>
      <c r="W1635" s="148"/>
      <c r="X1635" s="148"/>
      <c r="Y1635" s="148"/>
      <c r="Z1635" s="148"/>
      <c r="AA1635" s="148"/>
      <c r="AB1635" s="148"/>
      <c r="AC1635" s="148"/>
    </row>
    <row r="1636" spans="1:29" hidden="1">
      <c r="A1636" s="149"/>
      <c r="B1636" s="147"/>
      <c r="C1636" s="147"/>
      <c r="D1636" s="147"/>
      <c r="E1636" s="147"/>
      <c r="F1636" s="147"/>
      <c r="G1636" s="147"/>
      <c r="H1636" s="147"/>
      <c r="I1636" s="147"/>
      <c r="J1636" s="147"/>
      <c r="K1636" s="147"/>
      <c r="L1636" s="147"/>
      <c r="M1636" s="147"/>
      <c r="N1636" s="147"/>
      <c r="O1636" s="147"/>
      <c r="P1636" s="147"/>
      <c r="Q1636" s="147"/>
      <c r="R1636" s="148"/>
      <c r="S1636" s="148"/>
      <c r="T1636" s="148"/>
      <c r="U1636" s="148"/>
      <c r="V1636" s="148"/>
      <c r="W1636" s="148"/>
      <c r="X1636" s="148"/>
      <c r="Y1636" s="148"/>
      <c r="Z1636" s="148"/>
      <c r="AA1636" s="148"/>
      <c r="AB1636" s="148"/>
      <c r="AC1636" s="148"/>
    </row>
    <row r="1637" spans="1:29" hidden="1">
      <c r="A1637" s="149"/>
      <c r="B1637" s="147"/>
      <c r="C1637" s="147"/>
      <c r="D1637" s="147"/>
      <c r="E1637" s="147"/>
      <c r="F1637" s="147"/>
      <c r="G1637" s="147"/>
      <c r="H1637" s="147"/>
      <c r="I1637" s="147"/>
      <c r="J1637" s="147"/>
      <c r="K1637" s="147"/>
      <c r="L1637" s="147"/>
      <c r="M1637" s="147"/>
      <c r="N1637" s="147"/>
      <c r="O1637" s="147"/>
      <c r="P1637" s="147"/>
      <c r="Q1637" s="147"/>
      <c r="R1637" s="148"/>
      <c r="S1637" s="148"/>
      <c r="T1637" s="148"/>
      <c r="U1637" s="148"/>
      <c r="V1637" s="148"/>
      <c r="W1637" s="148"/>
      <c r="X1637" s="148"/>
      <c r="Y1637" s="148"/>
      <c r="Z1637" s="148"/>
      <c r="AA1637" s="148"/>
      <c r="AB1637" s="148"/>
      <c r="AC1637" s="148"/>
    </row>
    <row r="1638" spans="1:29" hidden="1">
      <c r="A1638" s="149"/>
      <c r="B1638" s="147"/>
      <c r="C1638" s="147"/>
      <c r="D1638" s="147"/>
      <c r="E1638" s="147"/>
      <c r="F1638" s="147"/>
      <c r="G1638" s="147"/>
      <c r="H1638" s="147"/>
      <c r="I1638" s="147"/>
      <c r="J1638" s="147"/>
      <c r="K1638" s="147"/>
      <c r="L1638" s="147"/>
      <c r="M1638" s="147"/>
      <c r="N1638" s="147"/>
      <c r="O1638" s="147"/>
      <c r="P1638" s="147"/>
      <c r="Q1638" s="147"/>
      <c r="R1638" s="148"/>
      <c r="S1638" s="148"/>
      <c r="T1638" s="148"/>
      <c r="U1638" s="148"/>
      <c r="V1638" s="148"/>
      <c r="W1638" s="148"/>
      <c r="X1638" s="148"/>
      <c r="Y1638" s="148"/>
      <c r="Z1638" s="148"/>
      <c r="AA1638" s="148"/>
      <c r="AB1638" s="148"/>
      <c r="AC1638" s="148"/>
    </row>
    <row r="1639" spans="1:29" hidden="1">
      <c r="A1639" s="149"/>
      <c r="B1639" s="147"/>
      <c r="C1639" s="147"/>
      <c r="D1639" s="147"/>
      <c r="E1639" s="147"/>
      <c r="F1639" s="147"/>
      <c r="G1639" s="147"/>
      <c r="H1639" s="147"/>
      <c r="I1639" s="147"/>
      <c r="J1639" s="147"/>
      <c r="K1639" s="147"/>
      <c r="L1639" s="147"/>
      <c r="M1639" s="147"/>
      <c r="N1639" s="147"/>
      <c r="O1639" s="147"/>
      <c r="P1639" s="147"/>
      <c r="Q1639" s="147"/>
      <c r="R1639" s="148"/>
      <c r="S1639" s="148"/>
      <c r="T1639" s="148"/>
      <c r="U1639" s="148"/>
      <c r="V1639" s="148"/>
      <c r="W1639" s="148"/>
      <c r="X1639" s="148"/>
      <c r="Y1639" s="148"/>
      <c r="Z1639" s="148"/>
      <c r="AA1639" s="148"/>
      <c r="AB1639" s="148"/>
      <c r="AC1639" s="148"/>
    </row>
    <row r="1640" spans="1:29" hidden="1">
      <c r="A1640" s="149"/>
      <c r="B1640" s="147"/>
      <c r="C1640" s="147"/>
      <c r="D1640" s="147"/>
      <c r="E1640" s="147"/>
      <c r="F1640" s="147"/>
      <c r="G1640" s="147"/>
      <c r="H1640" s="147"/>
      <c r="I1640" s="147"/>
      <c r="J1640" s="147"/>
      <c r="K1640" s="147"/>
      <c r="L1640" s="147"/>
      <c r="M1640" s="147"/>
      <c r="N1640" s="147"/>
      <c r="O1640" s="147"/>
      <c r="P1640" s="147"/>
      <c r="Q1640" s="147"/>
      <c r="R1640" s="148"/>
      <c r="S1640" s="148"/>
      <c r="T1640" s="148"/>
      <c r="U1640" s="148"/>
      <c r="V1640" s="148"/>
      <c r="W1640" s="148"/>
      <c r="X1640" s="148"/>
      <c r="Y1640" s="148"/>
      <c r="Z1640" s="148"/>
      <c r="AA1640" s="148"/>
      <c r="AB1640" s="148"/>
      <c r="AC1640" s="148"/>
    </row>
    <row r="1641" spans="1:29" hidden="1">
      <c r="A1641" s="149"/>
      <c r="B1641" s="147"/>
      <c r="C1641" s="147"/>
      <c r="D1641" s="147"/>
      <c r="E1641" s="147"/>
      <c r="F1641" s="147"/>
      <c r="G1641" s="147"/>
      <c r="H1641" s="147"/>
      <c r="I1641" s="147"/>
      <c r="J1641" s="147"/>
      <c r="K1641" s="147"/>
      <c r="L1641" s="147"/>
      <c r="M1641" s="147"/>
      <c r="N1641" s="147"/>
      <c r="O1641" s="147"/>
      <c r="P1641" s="147"/>
      <c r="Q1641" s="147"/>
      <c r="R1641" s="148"/>
      <c r="S1641" s="148"/>
      <c r="T1641" s="148"/>
      <c r="U1641" s="148"/>
      <c r="V1641" s="148"/>
      <c r="W1641" s="148"/>
      <c r="X1641" s="148"/>
      <c r="Y1641" s="148"/>
      <c r="Z1641" s="148"/>
      <c r="AA1641" s="148"/>
      <c r="AB1641" s="148"/>
      <c r="AC1641" s="148"/>
    </row>
    <row r="1642" spans="1:29" hidden="1">
      <c r="A1642" s="149"/>
      <c r="B1642" s="147"/>
      <c r="C1642" s="147"/>
      <c r="D1642" s="147"/>
      <c r="E1642" s="147"/>
      <c r="F1642" s="147"/>
      <c r="G1642" s="147"/>
      <c r="H1642" s="147"/>
      <c r="I1642" s="147"/>
      <c r="J1642" s="147"/>
      <c r="K1642" s="147"/>
      <c r="L1642" s="147"/>
      <c r="M1642" s="147"/>
      <c r="N1642" s="147"/>
      <c r="O1642" s="147"/>
      <c r="P1642" s="147"/>
      <c r="Q1642" s="147"/>
      <c r="R1642" s="148"/>
      <c r="S1642" s="148"/>
      <c r="T1642" s="148"/>
      <c r="U1642" s="148"/>
      <c r="V1642" s="148"/>
      <c r="W1642" s="148"/>
      <c r="X1642" s="148"/>
      <c r="Y1642" s="148"/>
      <c r="Z1642" s="148"/>
      <c r="AA1642" s="148"/>
      <c r="AB1642" s="148"/>
      <c r="AC1642" s="148"/>
    </row>
    <row r="1643" spans="1:29" hidden="1">
      <c r="A1643" s="149"/>
      <c r="B1643" s="147"/>
      <c r="C1643" s="147"/>
      <c r="D1643" s="147"/>
      <c r="E1643" s="147"/>
      <c r="F1643" s="147"/>
      <c r="G1643" s="147"/>
      <c r="H1643" s="147"/>
      <c r="I1643" s="147"/>
      <c r="J1643" s="147"/>
      <c r="K1643" s="147"/>
      <c r="L1643" s="147"/>
      <c r="M1643" s="147"/>
      <c r="N1643" s="147"/>
      <c r="O1643" s="147"/>
      <c r="P1643" s="147"/>
      <c r="Q1643" s="147"/>
      <c r="R1643" s="148"/>
      <c r="S1643" s="148"/>
      <c r="T1643" s="148"/>
      <c r="U1643" s="148"/>
      <c r="V1643" s="148"/>
      <c r="W1643" s="148"/>
      <c r="X1643" s="148"/>
      <c r="Y1643" s="148"/>
      <c r="Z1643" s="148"/>
      <c r="AA1643" s="148"/>
      <c r="AB1643" s="148"/>
      <c r="AC1643" s="148"/>
    </row>
    <row r="1644" spans="1:29" hidden="1">
      <c r="A1644" s="149"/>
      <c r="B1644" s="147"/>
      <c r="C1644" s="147"/>
      <c r="D1644" s="147"/>
      <c r="E1644" s="147"/>
      <c r="F1644" s="147"/>
      <c r="G1644" s="147"/>
      <c r="H1644" s="147"/>
      <c r="I1644" s="147"/>
      <c r="J1644" s="147"/>
      <c r="K1644" s="147"/>
      <c r="L1644" s="147"/>
      <c r="M1644" s="147"/>
      <c r="N1644" s="147"/>
      <c r="O1644" s="147"/>
      <c r="P1644" s="147"/>
      <c r="Q1644" s="147"/>
      <c r="R1644" s="148"/>
      <c r="S1644" s="148"/>
      <c r="T1644" s="148"/>
      <c r="U1644" s="148"/>
      <c r="V1644" s="148"/>
      <c r="W1644" s="148"/>
      <c r="X1644" s="148"/>
      <c r="Y1644" s="148"/>
      <c r="Z1644" s="148"/>
      <c r="AA1644" s="148"/>
      <c r="AB1644" s="148"/>
      <c r="AC1644" s="148"/>
    </row>
    <row r="1645" spans="1:29" hidden="1">
      <c r="A1645" s="149"/>
      <c r="B1645" s="147"/>
      <c r="C1645" s="147"/>
      <c r="D1645" s="147"/>
      <c r="E1645" s="147"/>
      <c r="F1645" s="147"/>
      <c r="G1645" s="147"/>
      <c r="H1645" s="147"/>
      <c r="I1645" s="147"/>
      <c r="J1645" s="147"/>
      <c r="K1645" s="147"/>
      <c r="L1645" s="147"/>
      <c r="M1645" s="147"/>
      <c r="N1645" s="147"/>
      <c r="O1645" s="147"/>
      <c r="P1645" s="147"/>
      <c r="Q1645" s="147"/>
      <c r="R1645" s="148"/>
      <c r="S1645" s="148"/>
      <c r="T1645" s="148"/>
      <c r="U1645" s="148"/>
      <c r="V1645" s="148"/>
      <c r="W1645" s="148"/>
      <c r="X1645" s="148"/>
      <c r="Y1645" s="148"/>
      <c r="Z1645" s="148"/>
      <c r="AA1645" s="148"/>
      <c r="AB1645" s="148"/>
      <c r="AC1645" s="148"/>
    </row>
    <row r="1646" spans="1:29" hidden="1">
      <c r="A1646" s="149"/>
      <c r="B1646" s="147"/>
      <c r="C1646" s="147"/>
      <c r="D1646" s="147"/>
      <c r="E1646" s="147"/>
      <c r="F1646" s="147"/>
      <c r="G1646" s="147"/>
      <c r="H1646" s="147"/>
      <c r="I1646" s="147"/>
      <c r="J1646" s="147"/>
      <c r="K1646" s="147"/>
      <c r="L1646" s="147"/>
      <c r="M1646" s="147"/>
      <c r="N1646" s="147"/>
      <c r="O1646" s="147"/>
      <c r="P1646" s="147"/>
      <c r="Q1646" s="147"/>
      <c r="R1646" s="148"/>
      <c r="S1646" s="148"/>
      <c r="T1646" s="148"/>
      <c r="U1646" s="148"/>
      <c r="V1646" s="148"/>
      <c r="W1646" s="148"/>
      <c r="X1646" s="148"/>
      <c r="Y1646" s="148"/>
      <c r="Z1646" s="148"/>
      <c r="AA1646" s="148"/>
      <c r="AB1646" s="148"/>
      <c r="AC1646" s="148"/>
    </row>
    <row r="1647" spans="1:29" hidden="1">
      <c r="A1647" s="149"/>
      <c r="B1647" s="147"/>
      <c r="C1647" s="147"/>
      <c r="D1647" s="147"/>
      <c r="E1647" s="147"/>
      <c r="F1647" s="147"/>
      <c r="G1647" s="147"/>
      <c r="H1647" s="147"/>
      <c r="I1647" s="147"/>
      <c r="J1647" s="147"/>
      <c r="K1647" s="147"/>
      <c r="L1647" s="147"/>
      <c r="M1647" s="147"/>
      <c r="N1647" s="147"/>
      <c r="O1647" s="147"/>
      <c r="P1647" s="147"/>
      <c r="Q1647" s="147"/>
      <c r="R1647" s="148"/>
      <c r="S1647" s="148"/>
      <c r="T1647" s="148"/>
      <c r="U1647" s="148"/>
      <c r="V1647" s="148"/>
      <c r="W1647" s="148"/>
      <c r="X1647" s="148"/>
      <c r="Y1647" s="148"/>
      <c r="Z1647" s="148"/>
      <c r="AA1647" s="148"/>
      <c r="AB1647" s="148"/>
      <c r="AC1647" s="148"/>
    </row>
    <row r="1648" spans="1:29" hidden="1">
      <c r="A1648" s="147"/>
      <c r="B1648" s="147"/>
      <c r="C1648" s="147"/>
      <c r="D1648" s="147"/>
      <c r="E1648" s="147"/>
      <c r="F1648" s="147"/>
      <c r="G1648" s="147"/>
      <c r="H1648" s="147"/>
      <c r="I1648" s="147"/>
      <c r="J1648" s="147"/>
      <c r="K1648" s="147"/>
      <c r="L1648" s="147"/>
      <c r="M1648" s="147"/>
      <c r="N1648" s="147"/>
      <c r="O1648" s="147"/>
      <c r="P1648" s="147"/>
      <c r="Q1648" s="147"/>
      <c r="R1648" s="148"/>
      <c r="S1648" s="148"/>
      <c r="T1648" s="148"/>
      <c r="U1648" s="148"/>
      <c r="V1648" s="148"/>
      <c r="W1648" s="148"/>
      <c r="X1648" s="148"/>
      <c r="Y1648" s="148"/>
      <c r="Z1648" s="148"/>
      <c r="AA1648" s="148"/>
      <c r="AB1648" s="148"/>
      <c r="AC1648" s="148"/>
    </row>
    <row r="1649" spans="1:29" hidden="1">
      <c r="A1649" s="149"/>
      <c r="B1649" s="147"/>
      <c r="C1649" s="147"/>
      <c r="D1649" s="147"/>
      <c r="E1649" s="147"/>
      <c r="F1649" s="147"/>
      <c r="G1649" s="147"/>
      <c r="H1649" s="147"/>
      <c r="I1649" s="147"/>
      <c r="J1649" s="147"/>
      <c r="K1649" s="147"/>
      <c r="L1649" s="147"/>
      <c r="M1649" s="147"/>
      <c r="N1649" s="147"/>
      <c r="O1649" s="147"/>
      <c r="P1649" s="147"/>
      <c r="Q1649" s="147"/>
      <c r="R1649" s="148"/>
      <c r="S1649" s="148"/>
      <c r="T1649" s="148"/>
      <c r="U1649" s="148"/>
      <c r="V1649" s="148"/>
      <c r="W1649" s="148"/>
      <c r="X1649" s="148"/>
      <c r="Y1649" s="148"/>
      <c r="Z1649" s="148"/>
      <c r="AA1649" s="148"/>
      <c r="AB1649" s="148"/>
      <c r="AC1649" s="148"/>
    </row>
    <row r="1650" spans="1:29" hidden="1">
      <c r="A1650" s="149"/>
      <c r="B1650" s="147"/>
      <c r="C1650" s="147"/>
      <c r="D1650" s="147"/>
      <c r="E1650" s="147"/>
      <c r="F1650" s="147"/>
      <c r="G1650" s="147"/>
      <c r="H1650" s="147"/>
      <c r="I1650" s="147"/>
      <c r="J1650" s="147"/>
      <c r="K1650" s="147"/>
      <c r="L1650" s="147"/>
      <c r="M1650" s="147"/>
      <c r="N1650" s="147"/>
      <c r="O1650" s="147"/>
      <c r="P1650" s="147"/>
      <c r="Q1650" s="147"/>
      <c r="R1650" s="148"/>
      <c r="S1650" s="148"/>
      <c r="T1650" s="148"/>
      <c r="U1650" s="148"/>
      <c r="V1650" s="148"/>
      <c r="W1650" s="148"/>
      <c r="X1650" s="148"/>
      <c r="Y1650" s="148"/>
      <c r="Z1650" s="148"/>
      <c r="AA1650" s="148"/>
      <c r="AB1650" s="148"/>
      <c r="AC1650" s="148"/>
    </row>
    <row r="1651" spans="1:29" hidden="1">
      <c r="A1651" s="149"/>
      <c r="B1651" s="147"/>
      <c r="C1651" s="147"/>
      <c r="D1651" s="147"/>
      <c r="E1651" s="147"/>
      <c r="F1651" s="147"/>
      <c r="G1651" s="147"/>
      <c r="H1651" s="147"/>
      <c r="I1651" s="147"/>
      <c r="J1651" s="147"/>
      <c r="K1651" s="147"/>
      <c r="L1651" s="147"/>
      <c r="M1651" s="147"/>
      <c r="N1651" s="147"/>
      <c r="O1651" s="147"/>
      <c r="P1651" s="147"/>
      <c r="Q1651" s="147"/>
      <c r="R1651" s="148"/>
      <c r="S1651" s="148"/>
      <c r="T1651" s="148"/>
      <c r="U1651" s="148"/>
      <c r="V1651" s="148"/>
      <c r="W1651" s="148"/>
      <c r="X1651" s="148"/>
      <c r="Y1651" s="148"/>
      <c r="Z1651" s="148"/>
      <c r="AA1651" s="148"/>
      <c r="AB1651" s="148"/>
      <c r="AC1651" s="148"/>
    </row>
    <row r="1652" spans="1:29" hidden="1">
      <c r="A1652" s="149"/>
      <c r="B1652" s="147"/>
      <c r="C1652" s="147"/>
      <c r="D1652" s="147"/>
      <c r="E1652" s="147"/>
      <c r="F1652" s="147"/>
      <c r="G1652" s="147"/>
      <c r="H1652" s="147"/>
      <c r="I1652" s="147"/>
      <c r="J1652" s="147"/>
      <c r="K1652" s="147"/>
      <c r="L1652" s="147"/>
      <c r="M1652" s="147"/>
      <c r="N1652" s="147"/>
      <c r="O1652" s="147"/>
      <c r="P1652" s="147"/>
      <c r="Q1652" s="147"/>
      <c r="R1652" s="148"/>
      <c r="S1652" s="148"/>
      <c r="T1652" s="148"/>
      <c r="U1652" s="148"/>
      <c r="V1652" s="148"/>
      <c r="W1652" s="148"/>
      <c r="X1652" s="148"/>
      <c r="Y1652" s="148"/>
      <c r="Z1652" s="148"/>
      <c r="AA1652" s="148"/>
      <c r="AB1652" s="148"/>
      <c r="AC1652" s="148"/>
    </row>
    <row r="1653" spans="1:29" hidden="1">
      <c r="A1653" s="149"/>
      <c r="B1653" s="147"/>
      <c r="C1653" s="147"/>
      <c r="D1653" s="147"/>
      <c r="E1653" s="147"/>
      <c r="F1653" s="147"/>
      <c r="G1653" s="147"/>
      <c r="H1653" s="147"/>
      <c r="I1653" s="147"/>
      <c r="J1653" s="147"/>
      <c r="K1653" s="147"/>
      <c r="L1653" s="147"/>
      <c r="M1653" s="147"/>
      <c r="N1653" s="147"/>
      <c r="O1653" s="147"/>
      <c r="P1653" s="147"/>
      <c r="Q1653" s="147"/>
      <c r="R1653" s="148"/>
      <c r="S1653" s="148"/>
      <c r="T1653" s="148"/>
      <c r="U1653" s="148"/>
      <c r="V1653" s="148"/>
      <c r="W1653" s="148"/>
      <c r="X1653" s="148"/>
      <c r="Y1653" s="148"/>
      <c r="Z1653" s="148"/>
      <c r="AA1653" s="148"/>
      <c r="AB1653" s="148"/>
      <c r="AC1653" s="148"/>
    </row>
    <row r="1654" spans="1:29" hidden="1">
      <c r="A1654" s="149"/>
      <c r="B1654" s="147"/>
      <c r="C1654" s="147"/>
      <c r="D1654" s="147"/>
      <c r="E1654" s="147"/>
      <c r="F1654" s="147"/>
      <c r="G1654" s="147"/>
      <c r="H1654" s="147"/>
      <c r="I1654" s="147"/>
      <c r="J1654" s="147"/>
      <c r="K1654" s="147"/>
      <c r="L1654" s="147"/>
      <c r="M1654" s="147"/>
      <c r="N1654" s="147"/>
      <c r="O1654" s="147"/>
      <c r="P1654" s="147"/>
      <c r="Q1654" s="147"/>
      <c r="R1654" s="148"/>
      <c r="S1654" s="148"/>
      <c r="T1654" s="148"/>
      <c r="U1654" s="148"/>
      <c r="V1654" s="148"/>
      <c r="W1654" s="148"/>
      <c r="X1654" s="148"/>
      <c r="Y1654" s="148"/>
      <c r="Z1654" s="148"/>
      <c r="AA1654" s="148"/>
      <c r="AB1654" s="148"/>
      <c r="AC1654" s="148"/>
    </row>
    <row r="1655" spans="1:29" hidden="1">
      <c r="A1655" s="149"/>
      <c r="B1655" s="147"/>
      <c r="C1655" s="147"/>
      <c r="D1655" s="147"/>
      <c r="E1655" s="147"/>
      <c r="F1655" s="147"/>
      <c r="G1655" s="147"/>
      <c r="H1655" s="147"/>
      <c r="I1655" s="147"/>
      <c r="J1655" s="147"/>
      <c r="K1655" s="147"/>
      <c r="L1655" s="147"/>
      <c r="M1655" s="147"/>
      <c r="N1655" s="147"/>
      <c r="O1655" s="147"/>
      <c r="P1655" s="147"/>
      <c r="Q1655" s="147"/>
      <c r="R1655" s="148"/>
      <c r="S1655" s="148"/>
      <c r="T1655" s="148"/>
      <c r="U1655" s="148"/>
      <c r="V1655" s="148"/>
      <c r="W1655" s="148"/>
      <c r="X1655" s="148"/>
      <c r="Y1655" s="148"/>
      <c r="Z1655" s="148"/>
      <c r="AA1655" s="148"/>
      <c r="AB1655" s="148"/>
      <c r="AC1655" s="148"/>
    </row>
    <row r="1656" spans="1:29" hidden="1">
      <c r="A1656" s="149"/>
      <c r="B1656" s="147"/>
      <c r="C1656" s="147"/>
      <c r="D1656" s="147"/>
      <c r="E1656" s="147"/>
      <c r="F1656" s="147"/>
      <c r="G1656" s="147"/>
      <c r="H1656" s="147"/>
      <c r="I1656" s="147"/>
      <c r="J1656" s="147"/>
      <c r="K1656" s="147"/>
      <c r="L1656" s="147"/>
      <c r="M1656" s="147"/>
      <c r="N1656" s="147"/>
      <c r="O1656" s="147"/>
      <c r="P1656" s="147"/>
      <c r="Q1656" s="147"/>
      <c r="R1656" s="148"/>
      <c r="S1656" s="148"/>
      <c r="T1656" s="148"/>
      <c r="U1656" s="148"/>
      <c r="V1656" s="148"/>
      <c r="W1656" s="148"/>
      <c r="X1656" s="148"/>
      <c r="Y1656" s="148"/>
      <c r="Z1656" s="148"/>
      <c r="AA1656" s="148"/>
      <c r="AB1656" s="148"/>
      <c r="AC1656" s="148"/>
    </row>
    <row r="1657" spans="1:29" hidden="1">
      <c r="A1657" s="149"/>
      <c r="B1657" s="147"/>
      <c r="C1657" s="147"/>
      <c r="D1657" s="147"/>
      <c r="E1657" s="147"/>
      <c r="F1657" s="147"/>
      <c r="G1657" s="147"/>
      <c r="H1657" s="147"/>
      <c r="I1657" s="147"/>
      <c r="J1657" s="147"/>
      <c r="K1657" s="147"/>
      <c r="L1657" s="147"/>
      <c r="M1657" s="147"/>
      <c r="N1657" s="147"/>
      <c r="O1657" s="147"/>
      <c r="P1657" s="147"/>
      <c r="Q1657" s="147"/>
      <c r="R1657" s="148"/>
      <c r="S1657" s="148"/>
      <c r="T1657" s="148"/>
      <c r="U1657" s="148"/>
      <c r="V1657" s="148"/>
      <c r="W1657" s="148"/>
      <c r="X1657" s="148"/>
      <c r="Y1657" s="148"/>
      <c r="Z1657" s="148"/>
      <c r="AA1657" s="148"/>
      <c r="AB1657" s="148"/>
      <c r="AC1657" s="148"/>
    </row>
    <row r="1658" spans="1:29" hidden="1">
      <c r="A1658" s="147"/>
      <c r="B1658" s="147"/>
      <c r="C1658" s="147"/>
      <c r="D1658" s="147"/>
      <c r="E1658" s="147"/>
      <c r="F1658" s="147"/>
      <c r="G1658" s="147"/>
      <c r="H1658" s="147"/>
      <c r="I1658" s="147"/>
      <c r="J1658" s="147"/>
      <c r="K1658" s="147"/>
      <c r="L1658" s="147"/>
      <c r="M1658" s="147"/>
      <c r="N1658" s="147"/>
      <c r="O1658" s="147"/>
      <c r="P1658" s="147"/>
      <c r="Q1658" s="147"/>
      <c r="R1658" s="148"/>
      <c r="S1658" s="148"/>
      <c r="T1658" s="148"/>
      <c r="U1658" s="148"/>
      <c r="V1658" s="148"/>
      <c r="W1658" s="148"/>
      <c r="X1658" s="148"/>
      <c r="Y1658" s="148"/>
      <c r="Z1658" s="148"/>
      <c r="AA1658" s="148"/>
      <c r="AB1658" s="148"/>
      <c r="AC1658" s="148"/>
    </row>
    <row r="1659" spans="1:29" hidden="1">
      <c r="A1659" s="146"/>
      <c r="B1659" s="147"/>
      <c r="C1659" s="147"/>
      <c r="D1659" s="147"/>
      <c r="E1659" s="147"/>
      <c r="F1659" s="147"/>
      <c r="G1659" s="147"/>
      <c r="H1659" s="147"/>
      <c r="I1659" s="147"/>
      <c r="J1659" s="147"/>
      <c r="K1659" s="147"/>
      <c r="L1659" s="147"/>
      <c r="M1659" s="147"/>
      <c r="N1659" s="147"/>
      <c r="O1659" s="147"/>
      <c r="P1659" s="147"/>
      <c r="Q1659" s="147"/>
      <c r="R1659" s="148"/>
      <c r="S1659" s="148"/>
      <c r="T1659" s="148"/>
      <c r="U1659" s="148"/>
      <c r="V1659" s="148"/>
      <c r="W1659" s="148"/>
      <c r="X1659" s="148"/>
      <c r="Y1659" s="148"/>
      <c r="Z1659" s="148"/>
      <c r="AA1659" s="148"/>
      <c r="AB1659" s="148"/>
      <c r="AC1659" s="148"/>
    </row>
    <row r="1660" spans="1:29" hidden="1">
      <c r="A1660" s="146"/>
      <c r="B1660" s="147"/>
      <c r="C1660" s="147"/>
      <c r="D1660" s="147"/>
      <c r="E1660" s="147"/>
      <c r="F1660" s="147"/>
      <c r="G1660" s="147"/>
      <c r="H1660" s="147"/>
      <c r="I1660" s="147"/>
      <c r="J1660" s="147"/>
      <c r="K1660" s="147"/>
      <c r="L1660" s="147"/>
      <c r="M1660" s="147"/>
      <c r="N1660" s="147"/>
      <c r="O1660" s="147"/>
      <c r="P1660" s="147"/>
      <c r="Q1660" s="147"/>
      <c r="R1660" s="148"/>
      <c r="S1660" s="148"/>
      <c r="T1660" s="148"/>
      <c r="U1660" s="148"/>
      <c r="V1660" s="148"/>
      <c r="W1660" s="148"/>
      <c r="X1660" s="148"/>
      <c r="Y1660" s="148"/>
      <c r="Z1660" s="148"/>
      <c r="AA1660" s="148"/>
      <c r="AB1660" s="148"/>
      <c r="AC1660" s="148"/>
    </row>
    <row r="1661" spans="1:29" hidden="1">
      <c r="A1661" s="146"/>
      <c r="B1661" s="147"/>
      <c r="C1661" s="147"/>
      <c r="D1661" s="147"/>
      <c r="E1661" s="147"/>
      <c r="F1661" s="147"/>
      <c r="G1661" s="147"/>
      <c r="H1661" s="147"/>
      <c r="I1661" s="147"/>
      <c r="J1661" s="147"/>
      <c r="K1661" s="147"/>
      <c r="L1661" s="147"/>
      <c r="M1661" s="147"/>
      <c r="N1661" s="147"/>
      <c r="O1661" s="147"/>
      <c r="P1661" s="147"/>
      <c r="Q1661" s="147"/>
      <c r="R1661" s="148"/>
      <c r="S1661" s="148"/>
      <c r="T1661" s="148"/>
      <c r="U1661" s="148"/>
      <c r="V1661" s="148"/>
      <c r="W1661" s="148"/>
      <c r="X1661" s="148"/>
      <c r="Y1661" s="148"/>
      <c r="Z1661" s="148"/>
      <c r="AA1661" s="148"/>
      <c r="AB1661" s="148"/>
      <c r="AC1661" s="148"/>
    </row>
    <row r="1662" spans="1:29" hidden="1">
      <c r="A1662" s="146"/>
      <c r="B1662" s="147"/>
      <c r="C1662" s="147"/>
      <c r="D1662" s="147"/>
      <c r="E1662" s="147"/>
      <c r="F1662" s="147"/>
      <c r="G1662" s="147"/>
      <c r="H1662" s="147"/>
      <c r="I1662" s="147"/>
      <c r="J1662" s="147"/>
      <c r="K1662" s="147"/>
      <c r="L1662" s="147"/>
      <c r="M1662" s="147"/>
      <c r="N1662" s="147"/>
      <c r="O1662" s="147"/>
      <c r="P1662" s="147"/>
      <c r="Q1662" s="147"/>
      <c r="R1662" s="148"/>
      <c r="S1662" s="148"/>
      <c r="T1662" s="148"/>
      <c r="U1662" s="148"/>
      <c r="V1662" s="148"/>
      <c r="W1662" s="148"/>
      <c r="X1662" s="148"/>
      <c r="Y1662" s="148"/>
      <c r="Z1662" s="148"/>
      <c r="AA1662" s="148"/>
      <c r="AB1662" s="148"/>
      <c r="AC1662" s="148"/>
    </row>
    <row r="1663" spans="1:29" hidden="1">
      <c r="A1663" s="146"/>
      <c r="B1663" s="147"/>
      <c r="C1663" s="147"/>
      <c r="D1663" s="147"/>
      <c r="E1663" s="147"/>
      <c r="F1663" s="147"/>
      <c r="G1663" s="147"/>
      <c r="H1663" s="147"/>
      <c r="I1663" s="147"/>
      <c r="J1663" s="147"/>
      <c r="K1663" s="147"/>
      <c r="L1663" s="147"/>
      <c r="M1663" s="147"/>
      <c r="N1663" s="147"/>
      <c r="O1663" s="147"/>
      <c r="P1663" s="147"/>
      <c r="Q1663" s="147"/>
      <c r="R1663" s="148"/>
      <c r="S1663" s="148"/>
      <c r="T1663" s="148"/>
      <c r="U1663" s="148"/>
      <c r="V1663" s="148"/>
      <c r="W1663" s="148"/>
      <c r="X1663" s="148"/>
      <c r="Y1663" s="148"/>
      <c r="Z1663" s="148"/>
      <c r="AA1663" s="148"/>
      <c r="AB1663" s="148"/>
      <c r="AC1663" s="148"/>
    </row>
    <row r="1664" spans="1:29" hidden="1">
      <c r="A1664" s="146"/>
      <c r="B1664" s="147"/>
      <c r="C1664" s="147"/>
      <c r="D1664" s="147"/>
      <c r="E1664" s="147"/>
      <c r="F1664" s="147"/>
      <c r="G1664" s="147"/>
      <c r="H1664" s="147"/>
      <c r="I1664" s="147"/>
      <c r="J1664" s="147"/>
      <c r="K1664" s="147"/>
      <c r="L1664" s="147"/>
      <c r="M1664" s="147"/>
      <c r="N1664" s="147"/>
      <c r="O1664" s="147"/>
      <c r="P1664" s="147"/>
      <c r="Q1664" s="147"/>
      <c r="R1664" s="148"/>
      <c r="S1664" s="148"/>
      <c r="T1664" s="148"/>
      <c r="U1664" s="148"/>
      <c r="V1664" s="148"/>
      <c r="W1664" s="148"/>
      <c r="X1664" s="148"/>
      <c r="Y1664" s="148"/>
      <c r="Z1664" s="148"/>
      <c r="AA1664" s="148"/>
      <c r="AB1664" s="148"/>
      <c r="AC1664" s="148"/>
    </row>
    <row r="1665" spans="1:29" hidden="1">
      <c r="A1665" s="146"/>
      <c r="B1665" s="147"/>
      <c r="C1665" s="147"/>
      <c r="D1665" s="147"/>
      <c r="E1665" s="147"/>
      <c r="F1665" s="147"/>
      <c r="G1665" s="147"/>
      <c r="H1665" s="147"/>
      <c r="I1665" s="147"/>
      <c r="J1665" s="147"/>
      <c r="K1665" s="147"/>
      <c r="L1665" s="147"/>
      <c r="M1665" s="147"/>
      <c r="N1665" s="147"/>
      <c r="O1665" s="147"/>
      <c r="P1665" s="147"/>
      <c r="Q1665" s="147"/>
      <c r="R1665" s="148"/>
      <c r="S1665" s="148"/>
      <c r="T1665" s="148"/>
      <c r="U1665" s="148"/>
      <c r="V1665" s="148"/>
      <c r="W1665" s="148"/>
      <c r="X1665" s="148"/>
      <c r="Y1665" s="148"/>
      <c r="Z1665" s="148"/>
      <c r="AA1665" s="148"/>
      <c r="AB1665" s="148"/>
      <c r="AC1665" s="148"/>
    </row>
    <row r="1666" spans="1:29" hidden="1">
      <c r="A1666" s="146"/>
      <c r="B1666" s="147"/>
      <c r="C1666" s="147"/>
      <c r="D1666" s="147"/>
      <c r="E1666" s="147"/>
      <c r="F1666" s="147"/>
      <c r="G1666" s="147"/>
      <c r="H1666" s="147"/>
      <c r="I1666" s="147"/>
      <c r="J1666" s="147"/>
      <c r="K1666" s="147"/>
      <c r="L1666" s="147"/>
      <c r="M1666" s="147"/>
      <c r="N1666" s="147"/>
      <c r="O1666" s="147"/>
      <c r="P1666" s="147"/>
      <c r="Q1666" s="147"/>
      <c r="R1666" s="148"/>
      <c r="S1666" s="148"/>
      <c r="T1666" s="148"/>
      <c r="U1666" s="148"/>
      <c r="V1666" s="148"/>
      <c r="W1666" s="148"/>
      <c r="X1666" s="148"/>
      <c r="Y1666" s="148"/>
      <c r="Z1666" s="148"/>
      <c r="AA1666" s="148"/>
      <c r="AB1666" s="148"/>
      <c r="AC1666" s="148"/>
    </row>
    <row r="1667" spans="1:29" hidden="1">
      <c r="A1667" s="146"/>
      <c r="B1667" s="147"/>
      <c r="C1667" s="147"/>
      <c r="D1667" s="147"/>
      <c r="E1667" s="147"/>
      <c r="F1667" s="147"/>
      <c r="G1667" s="147"/>
      <c r="H1667" s="147"/>
      <c r="I1667" s="147"/>
      <c r="J1667" s="147"/>
      <c r="K1667" s="147"/>
      <c r="L1667" s="147"/>
      <c r="M1667" s="147"/>
      <c r="N1667" s="147"/>
      <c r="O1667" s="147"/>
      <c r="P1667" s="147"/>
      <c r="Q1667" s="147"/>
      <c r="R1667" s="148"/>
      <c r="S1667" s="148"/>
      <c r="T1667" s="148"/>
      <c r="U1667" s="148"/>
      <c r="V1667" s="148"/>
      <c r="W1667" s="148"/>
      <c r="X1667" s="148"/>
      <c r="Y1667" s="148"/>
      <c r="Z1667" s="148"/>
      <c r="AA1667" s="148"/>
      <c r="AB1667" s="148"/>
      <c r="AC1667" s="148"/>
    </row>
    <row r="1668" spans="1:29" hidden="1">
      <c r="A1668" s="146"/>
      <c r="B1668" s="147"/>
      <c r="C1668" s="147"/>
      <c r="D1668" s="147"/>
      <c r="E1668" s="147"/>
      <c r="F1668" s="147"/>
      <c r="G1668" s="147"/>
      <c r="H1668" s="147"/>
      <c r="I1668" s="147"/>
      <c r="J1668" s="147"/>
      <c r="K1668" s="147"/>
      <c r="L1668" s="147"/>
      <c r="M1668" s="147"/>
      <c r="N1668" s="147"/>
      <c r="O1668" s="147"/>
      <c r="P1668" s="147"/>
      <c r="Q1668" s="147"/>
      <c r="R1668" s="148"/>
      <c r="S1668" s="148"/>
      <c r="T1668" s="148"/>
      <c r="U1668" s="148"/>
      <c r="V1668" s="148"/>
      <c r="W1668" s="148"/>
      <c r="X1668" s="148"/>
      <c r="Y1668" s="148"/>
      <c r="Z1668" s="148"/>
      <c r="AA1668" s="148"/>
      <c r="AB1668" s="148"/>
      <c r="AC1668" s="148"/>
    </row>
    <row r="1669" spans="1:29" hidden="1">
      <c r="A1669" s="146"/>
      <c r="B1669" s="147"/>
      <c r="C1669" s="147"/>
      <c r="D1669" s="147"/>
      <c r="E1669" s="147"/>
      <c r="F1669" s="147"/>
      <c r="G1669" s="147"/>
      <c r="H1669" s="147"/>
      <c r="I1669" s="147"/>
      <c r="J1669" s="147"/>
      <c r="K1669" s="147"/>
      <c r="L1669" s="147"/>
      <c r="M1669" s="147"/>
      <c r="N1669" s="147"/>
      <c r="O1669" s="147"/>
      <c r="P1669" s="147"/>
      <c r="Q1669" s="147"/>
      <c r="R1669" s="148"/>
      <c r="S1669" s="148"/>
      <c r="T1669" s="148"/>
      <c r="U1669" s="148"/>
      <c r="V1669" s="148"/>
      <c r="W1669" s="148"/>
      <c r="X1669" s="148"/>
      <c r="Y1669" s="148"/>
      <c r="Z1669" s="148"/>
      <c r="AA1669" s="148"/>
      <c r="AB1669" s="148"/>
      <c r="AC1669" s="148"/>
    </row>
    <row r="1670" spans="1:29" hidden="1">
      <c r="A1670" s="146"/>
      <c r="B1670" s="147"/>
      <c r="C1670" s="147"/>
      <c r="D1670" s="147"/>
      <c r="E1670" s="147"/>
      <c r="F1670" s="147"/>
      <c r="G1670" s="147"/>
      <c r="H1670" s="147"/>
      <c r="I1670" s="147"/>
      <c r="J1670" s="147"/>
      <c r="K1670" s="147"/>
      <c r="L1670" s="147"/>
      <c r="M1670" s="147"/>
      <c r="N1670" s="147"/>
      <c r="O1670" s="147"/>
      <c r="P1670" s="147"/>
      <c r="Q1670" s="147"/>
      <c r="R1670" s="148"/>
      <c r="S1670" s="148"/>
      <c r="T1670" s="148"/>
      <c r="U1670" s="148"/>
      <c r="V1670" s="148"/>
      <c r="W1670" s="148"/>
      <c r="X1670" s="148"/>
      <c r="Y1670" s="148"/>
      <c r="Z1670" s="148"/>
      <c r="AA1670" s="148"/>
      <c r="AB1670" s="148"/>
      <c r="AC1670" s="148"/>
    </row>
    <row r="1671" spans="1:29" hidden="1">
      <c r="A1671" s="146"/>
      <c r="B1671" s="147"/>
      <c r="C1671" s="147"/>
      <c r="D1671" s="147"/>
      <c r="E1671" s="147"/>
      <c r="F1671" s="147"/>
      <c r="G1671" s="147"/>
      <c r="H1671" s="147"/>
      <c r="I1671" s="147"/>
      <c r="J1671" s="147"/>
      <c r="K1671" s="147"/>
      <c r="L1671" s="147"/>
      <c r="M1671" s="147"/>
      <c r="N1671" s="147"/>
      <c r="O1671" s="147"/>
      <c r="P1671" s="147"/>
      <c r="Q1671" s="147"/>
      <c r="R1671" s="148"/>
      <c r="S1671" s="148"/>
      <c r="T1671" s="148"/>
      <c r="U1671" s="148"/>
      <c r="V1671" s="148"/>
      <c r="W1671" s="148"/>
      <c r="X1671" s="148"/>
      <c r="Y1671" s="148"/>
      <c r="Z1671" s="148"/>
      <c r="AA1671" s="148"/>
      <c r="AB1671" s="148"/>
      <c r="AC1671" s="148"/>
    </row>
    <row r="1672" spans="1:29" hidden="1">
      <c r="A1672" s="146"/>
      <c r="B1672" s="147"/>
      <c r="C1672" s="147"/>
      <c r="D1672" s="147"/>
      <c r="E1672" s="147"/>
      <c r="F1672" s="147"/>
      <c r="G1672" s="147"/>
      <c r="H1672" s="147"/>
      <c r="I1672" s="147"/>
      <c r="J1672" s="147"/>
      <c r="K1672" s="147"/>
      <c r="L1672" s="147"/>
      <c r="M1672" s="147"/>
      <c r="N1672" s="147"/>
      <c r="O1672" s="147"/>
      <c r="P1672" s="147"/>
      <c r="Q1672" s="147"/>
      <c r="R1672" s="148"/>
      <c r="S1672" s="148"/>
      <c r="T1672" s="148"/>
      <c r="U1672" s="148"/>
      <c r="V1672" s="148"/>
      <c r="W1672" s="148"/>
      <c r="X1672" s="148"/>
      <c r="Y1672" s="148"/>
      <c r="Z1672" s="148"/>
      <c r="AA1672" s="148"/>
      <c r="AB1672" s="148"/>
      <c r="AC1672" s="148"/>
    </row>
    <row r="1673" spans="1:29" hidden="1">
      <c r="A1673" s="146"/>
      <c r="B1673" s="147"/>
      <c r="C1673" s="147"/>
      <c r="D1673" s="147"/>
      <c r="E1673" s="147"/>
      <c r="F1673" s="147"/>
      <c r="G1673" s="147"/>
      <c r="H1673" s="147"/>
      <c r="I1673" s="147"/>
      <c r="J1673" s="147"/>
      <c r="K1673" s="147"/>
      <c r="L1673" s="147"/>
      <c r="M1673" s="147"/>
      <c r="N1673" s="147"/>
      <c r="O1673" s="147"/>
      <c r="P1673" s="147"/>
      <c r="Q1673" s="147"/>
      <c r="R1673" s="148"/>
      <c r="S1673" s="148"/>
      <c r="T1673" s="148"/>
      <c r="U1673" s="148"/>
      <c r="V1673" s="148"/>
      <c r="W1673" s="148"/>
      <c r="X1673" s="148"/>
      <c r="Y1673" s="148"/>
      <c r="Z1673" s="148"/>
      <c r="AA1673" s="148"/>
      <c r="AB1673" s="148"/>
      <c r="AC1673" s="148"/>
    </row>
    <row r="1674" spans="1:29" hidden="1">
      <c r="A1674" s="146"/>
      <c r="B1674" s="147"/>
      <c r="C1674" s="147"/>
      <c r="D1674" s="147"/>
      <c r="E1674" s="147"/>
      <c r="F1674" s="147"/>
      <c r="G1674" s="147"/>
      <c r="H1674" s="147"/>
      <c r="I1674" s="147"/>
      <c r="J1674" s="147"/>
      <c r="K1674" s="147"/>
      <c r="L1674" s="147"/>
      <c r="M1674" s="147"/>
      <c r="N1674" s="147"/>
      <c r="O1674" s="147"/>
      <c r="P1674" s="147"/>
      <c r="Q1674" s="147"/>
      <c r="R1674" s="148"/>
      <c r="S1674" s="148"/>
      <c r="T1674" s="148"/>
      <c r="U1674" s="148"/>
      <c r="V1674" s="148"/>
      <c r="W1674" s="148"/>
      <c r="X1674" s="148"/>
      <c r="Y1674" s="148"/>
      <c r="Z1674" s="148"/>
      <c r="AA1674" s="148"/>
      <c r="AB1674" s="148"/>
      <c r="AC1674" s="148"/>
    </row>
    <row r="1675" spans="1:29" hidden="1">
      <c r="A1675" s="146"/>
      <c r="B1675" s="147"/>
      <c r="C1675" s="147"/>
      <c r="D1675" s="147"/>
      <c r="E1675" s="147"/>
      <c r="F1675" s="147"/>
      <c r="G1675" s="147"/>
      <c r="H1675" s="147"/>
      <c r="I1675" s="147"/>
      <c r="J1675" s="147"/>
      <c r="K1675" s="147"/>
      <c r="L1675" s="147"/>
      <c r="M1675" s="147"/>
      <c r="N1675" s="147"/>
      <c r="O1675" s="147"/>
      <c r="P1675" s="147"/>
      <c r="Q1675" s="147"/>
      <c r="R1675" s="148"/>
      <c r="S1675" s="148"/>
      <c r="T1675" s="148"/>
      <c r="U1675" s="148"/>
      <c r="V1675" s="148"/>
      <c r="W1675" s="148"/>
      <c r="X1675" s="148"/>
      <c r="Y1675" s="148"/>
      <c r="Z1675" s="148"/>
      <c r="AA1675" s="148"/>
      <c r="AB1675" s="148"/>
      <c r="AC1675" s="148"/>
    </row>
    <row r="1676" spans="1:29" hidden="1">
      <c r="A1676" s="146"/>
      <c r="B1676" s="147"/>
      <c r="C1676" s="147"/>
      <c r="D1676" s="147"/>
      <c r="E1676" s="147"/>
      <c r="F1676" s="147"/>
      <c r="G1676" s="147"/>
      <c r="H1676" s="147"/>
      <c r="I1676" s="147"/>
      <c r="J1676" s="147"/>
      <c r="K1676" s="147"/>
      <c r="L1676" s="147"/>
      <c r="M1676" s="147"/>
      <c r="N1676" s="147"/>
      <c r="O1676" s="147"/>
      <c r="P1676" s="147"/>
      <c r="Q1676" s="147"/>
      <c r="R1676" s="148"/>
      <c r="S1676" s="148"/>
      <c r="T1676" s="148"/>
      <c r="U1676" s="148"/>
      <c r="V1676" s="148"/>
      <c r="W1676" s="148"/>
      <c r="X1676" s="148"/>
      <c r="Y1676" s="148"/>
      <c r="Z1676" s="148"/>
      <c r="AA1676" s="148"/>
      <c r="AB1676" s="148"/>
      <c r="AC1676" s="148"/>
    </row>
    <row r="1677" spans="1:29" hidden="1">
      <c r="A1677" s="146"/>
      <c r="B1677" s="147"/>
      <c r="C1677" s="147"/>
      <c r="D1677" s="147"/>
      <c r="E1677" s="147"/>
      <c r="F1677" s="147"/>
      <c r="G1677" s="147"/>
      <c r="H1677" s="147"/>
      <c r="I1677" s="147"/>
      <c r="J1677" s="147"/>
      <c r="K1677" s="147"/>
      <c r="L1677" s="147"/>
      <c r="M1677" s="147"/>
      <c r="N1677" s="147"/>
      <c r="O1677" s="147"/>
      <c r="P1677" s="147"/>
      <c r="Q1677" s="147"/>
      <c r="R1677" s="148"/>
      <c r="S1677" s="148"/>
      <c r="T1677" s="148"/>
      <c r="U1677" s="148"/>
      <c r="V1677" s="148"/>
      <c r="W1677" s="148"/>
      <c r="X1677" s="148"/>
      <c r="Y1677" s="148"/>
      <c r="Z1677" s="148"/>
      <c r="AA1677" s="148"/>
      <c r="AB1677" s="148"/>
      <c r="AC1677" s="148"/>
    </row>
    <row r="1678" spans="1:29" hidden="1">
      <c r="A1678" s="146"/>
      <c r="B1678" s="147"/>
      <c r="C1678" s="147"/>
      <c r="D1678" s="147"/>
      <c r="E1678" s="147"/>
      <c r="F1678" s="147"/>
      <c r="G1678" s="147"/>
      <c r="H1678" s="147"/>
      <c r="I1678" s="147"/>
      <c r="J1678" s="147"/>
      <c r="K1678" s="147"/>
      <c r="L1678" s="147"/>
      <c r="M1678" s="147"/>
      <c r="N1678" s="147"/>
      <c r="O1678" s="147"/>
      <c r="P1678" s="147"/>
      <c r="Q1678" s="147"/>
      <c r="R1678" s="148"/>
      <c r="S1678" s="148"/>
      <c r="T1678" s="148"/>
      <c r="U1678" s="148"/>
      <c r="V1678" s="148"/>
      <c r="W1678" s="148"/>
      <c r="X1678" s="148"/>
      <c r="Y1678" s="148"/>
      <c r="Z1678" s="148"/>
      <c r="AA1678" s="148"/>
      <c r="AB1678" s="148"/>
      <c r="AC1678" s="148"/>
    </row>
    <row r="1679" spans="1:29" hidden="1">
      <c r="A1679" s="146"/>
      <c r="B1679" s="147"/>
      <c r="C1679" s="147"/>
      <c r="D1679" s="147"/>
      <c r="E1679" s="147"/>
      <c r="F1679" s="147"/>
      <c r="G1679" s="147"/>
      <c r="H1679" s="147"/>
      <c r="I1679" s="147"/>
      <c r="J1679" s="147"/>
      <c r="K1679" s="147"/>
      <c r="L1679" s="147"/>
      <c r="M1679" s="147"/>
      <c r="N1679" s="147"/>
      <c r="O1679" s="147"/>
      <c r="P1679" s="147"/>
      <c r="Q1679" s="147"/>
      <c r="R1679" s="148"/>
      <c r="S1679" s="148"/>
      <c r="T1679" s="148"/>
      <c r="U1679" s="148"/>
      <c r="V1679" s="148"/>
      <c r="W1679" s="148"/>
      <c r="X1679" s="148"/>
      <c r="Y1679" s="148"/>
      <c r="Z1679" s="148"/>
      <c r="AA1679" s="148"/>
      <c r="AB1679" s="148"/>
      <c r="AC1679" s="148"/>
    </row>
    <row r="1680" spans="1:29" hidden="1">
      <c r="A1680" s="146"/>
      <c r="B1680" s="147"/>
      <c r="C1680" s="147"/>
      <c r="D1680" s="147"/>
      <c r="E1680" s="147"/>
      <c r="F1680" s="147"/>
      <c r="G1680" s="147"/>
      <c r="H1680" s="147"/>
      <c r="I1680" s="147"/>
      <c r="J1680" s="147"/>
      <c r="K1680" s="147"/>
      <c r="L1680" s="147"/>
      <c r="M1680" s="147"/>
      <c r="N1680" s="147"/>
      <c r="O1680" s="147"/>
      <c r="P1680" s="147"/>
      <c r="Q1680" s="147"/>
      <c r="R1680" s="148"/>
      <c r="S1680" s="148"/>
      <c r="T1680" s="148"/>
      <c r="U1680" s="148"/>
      <c r="V1680" s="148"/>
      <c r="W1680" s="148"/>
      <c r="X1680" s="148"/>
      <c r="Y1680" s="148"/>
      <c r="Z1680" s="148"/>
      <c r="AA1680" s="148"/>
      <c r="AB1680" s="148"/>
      <c r="AC1680" s="148"/>
    </row>
    <row r="1681" spans="1:29" hidden="1">
      <c r="A1681" s="146"/>
      <c r="B1681" s="147"/>
      <c r="C1681" s="147"/>
      <c r="D1681" s="147"/>
      <c r="E1681" s="147"/>
      <c r="F1681" s="147"/>
      <c r="G1681" s="147"/>
      <c r="H1681" s="147"/>
      <c r="I1681" s="147"/>
      <c r="J1681" s="147"/>
      <c r="K1681" s="147"/>
      <c r="L1681" s="147"/>
      <c r="M1681" s="147"/>
      <c r="N1681" s="147"/>
      <c r="O1681" s="147"/>
      <c r="P1681" s="147"/>
      <c r="Q1681" s="147"/>
      <c r="R1681" s="148"/>
      <c r="S1681" s="148"/>
      <c r="T1681" s="148"/>
      <c r="U1681" s="148"/>
      <c r="V1681" s="148"/>
      <c r="W1681" s="148"/>
      <c r="X1681" s="148"/>
      <c r="Y1681" s="148"/>
      <c r="Z1681" s="148"/>
      <c r="AA1681" s="148"/>
      <c r="AB1681" s="148"/>
      <c r="AC1681" s="148"/>
    </row>
    <row r="1682" spans="1:29" hidden="1">
      <c r="A1682" s="146"/>
      <c r="B1682" s="147"/>
      <c r="C1682" s="147"/>
      <c r="D1682" s="147"/>
      <c r="E1682" s="147"/>
      <c r="F1682" s="147"/>
      <c r="G1682" s="147"/>
      <c r="H1682" s="147"/>
      <c r="I1682" s="147"/>
      <c r="J1682" s="147"/>
      <c r="K1682" s="147"/>
      <c r="L1682" s="147"/>
      <c r="M1682" s="147"/>
      <c r="N1682" s="147"/>
      <c r="O1682" s="147"/>
      <c r="P1682" s="147"/>
      <c r="Q1682" s="147"/>
      <c r="R1682" s="148"/>
      <c r="S1682" s="148"/>
      <c r="T1682" s="148"/>
      <c r="U1682" s="148"/>
      <c r="V1682" s="148"/>
      <c r="W1682" s="148"/>
      <c r="X1682" s="148"/>
      <c r="Y1682" s="148"/>
      <c r="Z1682" s="148"/>
      <c r="AA1682" s="148"/>
      <c r="AB1682" s="148"/>
      <c r="AC1682" s="148"/>
    </row>
    <row r="1683" spans="1:29" hidden="1">
      <c r="A1683" s="146"/>
      <c r="B1683" s="147"/>
      <c r="C1683" s="147"/>
      <c r="D1683" s="147"/>
      <c r="E1683" s="147"/>
      <c r="F1683" s="147"/>
      <c r="G1683" s="147"/>
      <c r="H1683" s="147"/>
      <c r="I1683" s="147"/>
      <c r="J1683" s="147"/>
      <c r="K1683" s="147"/>
      <c r="L1683" s="147"/>
      <c r="M1683" s="147"/>
      <c r="N1683" s="147"/>
      <c r="O1683" s="147"/>
      <c r="P1683" s="147"/>
      <c r="Q1683" s="147"/>
      <c r="R1683" s="148"/>
      <c r="S1683" s="148"/>
      <c r="T1683" s="148"/>
      <c r="U1683" s="148"/>
      <c r="V1683" s="148"/>
      <c r="W1683" s="148"/>
      <c r="X1683" s="148"/>
      <c r="Y1683" s="148"/>
      <c r="Z1683" s="148"/>
      <c r="AA1683" s="148"/>
      <c r="AB1683" s="148"/>
      <c r="AC1683" s="148"/>
    </row>
    <row r="1684" spans="1:29" hidden="1">
      <c r="A1684" s="146"/>
      <c r="B1684" s="147"/>
      <c r="C1684" s="147"/>
      <c r="D1684" s="147"/>
      <c r="E1684" s="147"/>
      <c r="F1684" s="147"/>
      <c r="G1684" s="147"/>
      <c r="H1684" s="147"/>
      <c r="I1684" s="147"/>
      <c r="J1684" s="147"/>
      <c r="K1684" s="147"/>
      <c r="L1684" s="147"/>
      <c r="M1684" s="147"/>
      <c r="N1684" s="147"/>
      <c r="O1684" s="147"/>
      <c r="P1684" s="147"/>
      <c r="Q1684" s="147"/>
      <c r="R1684" s="148"/>
      <c r="S1684" s="148"/>
      <c r="T1684" s="148"/>
      <c r="U1684" s="148"/>
      <c r="V1684" s="148"/>
      <c r="W1684" s="148"/>
      <c r="X1684" s="148"/>
      <c r="Y1684" s="148"/>
      <c r="Z1684" s="148"/>
      <c r="AA1684" s="148"/>
      <c r="AB1684" s="148"/>
      <c r="AC1684" s="148"/>
    </row>
    <row r="1685" spans="1:29" hidden="1">
      <c r="A1685" s="146"/>
      <c r="B1685" s="147"/>
      <c r="C1685" s="147"/>
      <c r="D1685" s="147"/>
      <c r="E1685" s="147"/>
      <c r="F1685" s="147"/>
      <c r="G1685" s="147"/>
      <c r="H1685" s="147"/>
      <c r="I1685" s="147"/>
      <c r="J1685" s="147"/>
      <c r="K1685" s="147"/>
      <c r="L1685" s="147"/>
      <c r="M1685" s="147"/>
      <c r="N1685" s="147"/>
      <c r="O1685" s="147"/>
      <c r="P1685" s="147"/>
      <c r="Q1685" s="147"/>
      <c r="R1685" s="148"/>
      <c r="S1685" s="148"/>
      <c r="T1685" s="148"/>
      <c r="U1685" s="148"/>
      <c r="V1685" s="148"/>
      <c r="W1685" s="148"/>
      <c r="X1685" s="148"/>
      <c r="Y1685" s="148"/>
      <c r="Z1685" s="148"/>
      <c r="AA1685" s="148"/>
      <c r="AB1685" s="148"/>
      <c r="AC1685" s="148"/>
    </row>
    <row r="1686" spans="1:29" hidden="1">
      <c r="A1686" s="146"/>
      <c r="B1686" s="147"/>
      <c r="C1686" s="147"/>
      <c r="D1686" s="147"/>
      <c r="E1686" s="147"/>
      <c r="F1686" s="147"/>
      <c r="G1686" s="147"/>
      <c r="H1686" s="147"/>
      <c r="I1686" s="147"/>
      <c r="J1686" s="147"/>
      <c r="K1686" s="147"/>
      <c r="L1686" s="147"/>
      <c r="M1686" s="147"/>
      <c r="N1686" s="147"/>
      <c r="O1686" s="147"/>
      <c r="P1686" s="147"/>
      <c r="Q1686" s="147"/>
      <c r="R1686" s="148"/>
      <c r="S1686" s="148"/>
      <c r="T1686" s="148"/>
      <c r="U1686" s="148"/>
      <c r="V1686" s="148"/>
      <c r="W1686" s="148"/>
      <c r="X1686" s="148"/>
      <c r="Y1686" s="148"/>
      <c r="Z1686" s="148"/>
      <c r="AA1686" s="148"/>
      <c r="AB1686" s="148"/>
      <c r="AC1686" s="148"/>
    </row>
    <row r="1687" spans="1:29" hidden="1">
      <c r="A1687" s="146"/>
      <c r="B1687" s="147"/>
      <c r="C1687" s="147"/>
      <c r="D1687" s="147"/>
      <c r="E1687" s="147"/>
      <c r="F1687" s="147"/>
      <c r="G1687" s="147"/>
      <c r="H1687" s="147"/>
      <c r="I1687" s="147"/>
      <c r="J1687" s="147"/>
      <c r="K1687" s="147"/>
      <c r="L1687" s="147"/>
      <c r="M1687" s="147"/>
      <c r="N1687" s="147"/>
      <c r="O1687" s="147"/>
      <c r="P1687" s="147"/>
      <c r="Q1687" s="147"/>
      <c r="R1687" s="148"/>
      <c r="S1687" s="148"/>
      <c r="T1687" s="148"/>
      <c r="U1687" s="148"/>
      <c r="V1687" s="148"/>
      <c r="W1687" s="148"/>
      <c r="X1687" s="148"/>
      <c r="Y1687" s="148"/>
      <c r="Z1687" s="148"/>
      <c r="AA1687" s="148"/>
      <c r="AB1687" s="148"/>
      <c r="AC1687" s="148"/>
    </row>
    <row r="1688" spans="1:29" hidden="1">
      <c r="A1688" s="146"/>
      <c r="B1688" s="147"/>
      <c r="C1688" s="147"/>
      <c r="D1688" s="147"/>
      <c r="E1688" s="147"/>
      <c r="F1688" s="147"/>
      <c r="G1688" s="147"/>
      <c r="H1688" s="147"/>
      <c r="I1688" s="147"/>
      <c r="J1688" s="147"/>
      <c r="K1688" s="147"/>
      <c r="L1688" s="147"/>
      <c r="M1688" s="147"/>
      <c r="N1688" s="147"/>
      <c r="O1688" s="147"/>
      <c r="P1688" s="147"/>
      <c r="Q1688" s="147"/>
      <c r="R1688" s="148"/>
      <c r="S1688" s="148"/>
      <c r="T1688" s="148"/>
      <c r="U1688" s="148"/>
      <c r="V1688" s="148"/>
      <c r="W1688" s="148"/>
      <c r="X1688" s="148"/>
      <c r="Y1688" s="148"/>
      <c r="Z1688" s="148"/>
      <c r="AA1688" s="148"/>
      <c r="AB1688" s="148"/>
      <c r="AC1688" s="148"/>
    </row>
    <row r="1689" spans="1:29" hidden="1">
      <c r="A1689" s="146"/>
      <c r="B1689" s="147"/>
      <c r="C1689" s="147"/>
      <c r="D1689" s="147"/>
      <c r="E1689" s="147"/>
      <c r="F1689" s="147"/>
      <c r="G1689" s="147"/>
      <c r="H1689" s="147"/>
      <c r="I1689" s="147"/>
      <c r="J1689" s="147"/>
      <c r="K1689" s="147"/>
      <c r="L1689" s="147"/>
      <c r="M1689" s="147"/>
      <c r="N1689" s="147"/>
      <c r="O1689" s="147"/>
      <c r="P1689" s="147"/>
      <c r="Q1689" s="147"/>
      <c r="R1689" s="148"/>
      <c r="S1689" s="148"/>
      <c r="T1689" s="148"/>
      <c r="U1689" s="148"/>
      <c r="V1689" s="148"/>
      <c r="W1689" s="148"/>
      <c r="X1689" s="148"/>
      <c r="Y1689" s="148"/>
      <c r="Z1689" s="148"/>
      <c r="AA1689" s="148"/>
      <c r="AB1689" s="148"/>
      <c r="AC1689" s="148"/>
    </row>
    <row r="1690" spans="1:29" hidden="1">
      <c r="A1690" s="146"/>
      <c r="B1690" s="147"/>
      <c r="C1690" s="147"/>
      <c r="D1690" s="147"/>
      <c r="E1690" s="147"/>
      <c r="F1690" s="147"/>
      <c r="G1690" s="147"/>
      <c r="H1690" s="147"/>
      <c r="I1690" s="147"/>
      <c r="J1690" s="147"/>
      <c r="K1690" s="147"/>
      <c r="L1690" s="147"/>
      <c r="M1690" s="147"/>
      <c r="N1690" s="147"/>
      <c r="O1690" s="147"/>
      <c r="P1690" s="147"/>
      <c r="Q1690" s="147"/>
      <c r="R1690" s="148"/>
      <c r="S1690" s="148"/>
      <c r="T1690" s="148"/>
      <c r="U1690" s="148"/>
      <c r="V1690" s="148"/>
      <c r="W1690" s="148"/>
      <c r="X1690" s="148"/>
      <c r="Y1690" s="148"/>
      <c r="Z1690" s="148"/>
      <c r="AA1690" s="148"/>
      <c r="AB1690" s="148"/>
      <c r="AC1690" s="148"/>
    </row>
    <row r="1691" spans="1:29" hidden="1">
      <c r="A1691" s="146"/>
      <c r="B1691" s="147"/>
      <c r="C1691" s="147"/>
      <c r="D1691" s="147"/>
      <c r="E1691" s="147"/>
      <c r="F1691" s="147"/>
      <c r="G1691" s="147"/>
      <c r="H1691" s="147"/>
      <c r="I1691" s="147"/>
      <c r="J1691" s="147"/>
      <c r="K1691" s="147"/>
      <c r="L1691" s="147"/>
      <c r="M1691" s="147"/>
      <c r="N1691" s="147"/>
      <c r="O1691" s="147"/>
      <c r="P1691" s="147"/>
      <c r="Q1691" s="147"/>
      <c r="R1691" s="148"/>
      <c r="S1691" s="148"/>
      <c r="T1691" s="148"/>
      <c r="U1691" s="148"/>
      <c r="V1691" s="148"/>
      <c r="W1691" s="148"/>
      <c r="X1691" s="148"/>
      <c r="Y1691" s="148"/>
      <c r="Z1691" s="148"/>
      <c r="AA1691" s="148"/>
      <c r="AB1691" s="148"/>
      <c r="AC1691" s="148"/>
    </row>
    <row r="1692" spans="1:29" hidden="1">
      <c r="A1692" s="146"/>
      <c r="B1692" s="147"/>
      <c r="C1692" s="147"/>
      <c r="D1692" s="147"/>
      <c r="E1692" s="147"/>
      <c r="F1692" s="147"/>
      <c r="G1692" s="147"/>
      <c r="H1692" s="147"/>
      <c r="I1692" s="147"/>
      <c r="J1692" s="147"/>
      <c r="K1692" s="147"/>
      <c r="L1692" s="147"/>
      <c r="M1692" s="147"/>
      <c r="N1692" s="147"/>
      <c r="O1692" s="147"/>
      <c r="P1692" s="147"/>
      <c r="Q1692" s="147"/>
      <c r="R1692" s="148"/>
      <c r="S1692" s="148"/>
      <c r="T1692" s="148"/>
      <c r="U1692" s="148"/>
      <c r="V1692" s="148"/>
      <c r="W1692" s="148"/>
      <c r="X1692" s="148"/>
      <c r="Y1692" s="148"/>
      <c r="Z1692" s="148"/>
      <c r="AA1692" s="148"/>
      <c r="AB1692" s="148"/>
      <c r="AC1692" s="148"/>
    </row>
    <row r="1693" spans="1:29" hidden="1">
      <c r="A1693" s="146"/>
      <c r="B1693" s="147"/>
      <c r="C1693" s="147"/>
      <c r="D1693" s="147"/>
      <c r="E1693" s="147"/>
      <c r="F1693" s="147"/>
      <c r="G1693" s="147"/>
      <c r="H1693" s="147"/>
      <c r="I1693" s="147"/>
      <c r="J1693" s="147"/>
      <c r="K1693" s="147"/>
      <c r="L1693" s="147"/>
      <c r="M1693" s="147"/>
      <c r="N1693" s="147"/>
      <c r="O1693" s="147"/>
      <c r="P1693" s="147"/>
      <c r="Q1693" s="147"/>
      <c r="R1693" s="148"/>
      <c r="S1693" s="148"/>
      <c r="T1693" s="148"/>
      <c r="U1693" s="148"/>
      <c r="V1693" s="148"/>
      <c r="W1693" s="148"/>
      <c r="X1693" s="148"/>
      <c r="Y1693" s="148"/>
      <c r="Z1693" s="148"/>
      <c r="AA1693" s="148"/>
      <c r="AB1693" s="148"/>
      <c r="AC1693" s="148"/>
    </row>
    <row r="1694" spans="1:29" hidden="1">
      <c r="A1694" s="146"/>
      <c r="B1694" s="147"/>
      <c r="C1694" s="147"/>
      <c r="D1694" s="147"/>
      <c r="E1694" s="147"/>
      <c r="F1694" s="147"/>
      <c r="G1694" s="147"/>
      <c r="H1694" s="147"/>
      <c r="I1694" s="147"/>
      <c r="J1694" s="147"/>
      <c r="K1694" s="147"/>
      <c r="L1694" s="147"/>
      <c r="M1694" s="147"/>
      <c r="N1694" s="147"/>
      <c r="O1694" s="147"/>
      <c r="P1694" s="147"/>
      <c r="Q1694" s="147"/>
      <c r="R1694" s="148"/>
      <c r="S1694" s="148"/>
      <c r="T1694" s="148"/>
      <c r="U1694" s="148"/>
      <c r="V1694" s="148"/>
      <c r="W1694" s="148"/>
      <c r="X1694" s="148"/>
      <c r="Y1694" s="148"/>
      <c r="Z1694" s="148"/>
      <c r="AA1694" s="148"/>
      <c r="AB1694" s="148"/>
      <c r="AC1694" s="148"/>
    </row>
    <row r="1695" spans="1:29" hidden="1">
      <c r="A1695" s="146"/>
      <c r="B1695" s="147"/>
      <c r="C1695" s="147"/>
      <c r="D1695" s="147"/>
      <c r="E1695" s="147"/>
      <c r="F1695" s="147"/>
      <c r="G1695" s="147"/>
      <c r="H1695" s="147"/>
      <c r="I1695" s="147"/>
      <c r="J1695" s="147"/>
      <c r="K1695" s="147"/>
      <c r="L1695" s="147"/>
      <c r="M1695" s="147"/>
      <c r="N1695" s="147"/>
      <c r="O1695" s="147"/>
      <c r="P1695" s="147"/>
      <c r="Q1695" s="147"/>
      <c r="R1695" s="148"/>
      <c r="S1695" s="148"/>
      <c r="T1695" s="148"/>
      <c r="U1695" s="148"/>
      <c r="V1695" s="148"/>
      <c r="W1695" s="148"/>
      <c r="X1695" s="148"/>
      <c r="Y1695" s="148"/>
      <c r="Z1695" s="148"/>
      <c r="AA1695" s="148"/>
      <c r="AB1695" s="148"/>
      <c r="AC1695" s="148"/>
    </row>
    <row r="1696" spans="1:29" hidden="1">
      <c r="A1696" s="146"/>
      <c r="B1696" s="147"/>
      <c r="C1696" s="147"/>
      <c r="D1696" s="147"/>
      <c r="E1696" s="147"/>
      <c r="F1696" s="147"/>
      <c r="G1696" s="147"/>
      <c r="H1696" s="147"/>
      <c r="I1696" s="147"/>
      <c r="J1696" s="147"/>
      <c r="K1696" s="147"/>
      <c r="L1696" s="147"/>
      <c r="M1696" s="147"/>
      <c r="N1696" s="147"/>
      <c r="O1696" s="147"/>
      <c r="P1696" s="147"/>
      <c r="Q1696" s="147"/>
      <c r="R1696" s="148"/>
      <c r="S1696" s="148"/>
      <c r="T1696" s="148"/>
      <c r="U1696" s="148"/>
      <c r="V1696" s="148"/>
      <c r="W1696" s="148"/>
      <c r="X1696" s="148"/>
      <c r="Y1696" s="148"/>
      <c r="Z1696" s="148"/>
      <c r="AA1696" s="148"/>
      <c r="AB1696" s="148"/>
      <c r="AC1696" s="148"/>
    </row>
    <row r="1697" spans="1:29" hidden="1">
      <c r="A1697" s="146"/>
      <c r="B1697" s="147"/>
      <c r="C1697" s="147"/>
      <c r="D1697" s="147"/>
      <c r="E1697" s="147"/>
      <c r="F1697" s="147"/>
      <c r="G1697" s="147"/>
      <c r="H1697" s="147"/>
      <c r="I1697" s="147"/>
      <c r="J1697" s="147"/>
      <c r="K1697" s="147"/>
      <c r="L1697" s="147"/>
      <c r="M1697" s="147"/>
      <c r="N1697" s="147"/>
      <c r="O1697" s="147"/>
      <c r="P1697" s="147"/>
      <c r="Q1697" s="147"/>
      <c r="R1697" s="148"/>
      <c r="S1697" s="148"/>
      <c r="T1697" s="148"/>
      <c r="U1697" s="148"/>
      <c r="V1697" s="148"/>
      <c r="W1697" s="148"/>
      <c r="X1697" s="148"/>
      <c r="Y1697" s="148"/>
      <c r="Z1697" s="148"/>
      <c r="AA1697" s="148"/>
      <c r="AB1697" s="148"/>
      <c r="AC1697" s="148"/>
    </row>
    <row r="1698" spans="1:29" hidden="1">
      <c r="A1698" s="146"/>
      <c r="B1698" s="147"/>
      <c r="C1698" s="147"/>
      <c r="D1698" s="147"/>
      <c r="E1698" s="147"/>
      <c r="F1698" s="147"/>
      <c r="G1698" s="147"/>
      <c r="H1698" s="147"/>
      <c r="I1698" s="147"/>
      <c r="J1698" s="147"/>
      <c r="K1698" s="147"/>
      <c r="L1698" s="147"/>
      <c r="M1698" s="147"/>
      <c r="N1698" s="147"/>
      <c r="O1698" s="147"/>
      <c r="P1698" s="147"/>
      <c r="Q1698" s="147"/>
      <c r="R1698" s="148"/>
      <c r="S1698" s="148"/>
      <c r="T1698" s="148"/>
      <c r="U1698" s="148"/>
      <c r="V1698" s="148"/>
      <c r="W1698" s="148"/>
      <c r="X1698" s="148"/>
      <c r="Y1698" s="148"/>
      <c r="Z1698" s="148"/>
      <c r="AA1698" s="148"/>
      <c r="AB1698" s="148"/>
      <c r="AC1698" s="148"/>
    </row>
    <row r="1699" spans="1:29" hidden="1">
      <c r="A1699" s="146"/>
      <c r="B1699" s="147"/>
      <c r="C1699" s="147"/>
      <c r="D1699" s="147"/>
      <c r="E1699" s="147"/>
      <c r="F1699" s="147"/>
      <c r="G1699" s="147"/>
      <c r="H1699" s="147"/>
      <c r="I1699" s="147"/>
      <c r="J1699" s="147"/>
      <c r="K1699" s="147"/>
      <c r="L1699" s="147"/>
      <c r="M1699" s="147"/>
      <c r="N1699" s="147"/>
      <c r="O1699" s="147"/>
      <c r="P1699" s="147"/>
      <c r="Q1699" s="147"/>
      <c r="R1699" s="148"/>
      <c r="S1699" s="148"/>
      <c r="T1699" s="148"/>
      <c r="U1699" s="148"/>
      <c r="V1699" s="148"/>
      <c r="W1699" s="148"/>
      <c r="X1699" s="148"/>
      <c r="Y1699" s="148"/>
      <c r="Z1699" s="148"/>
      <c r="AA1699" s="148"/>
      <c r="AB1699" s="148"/>
      <c r="AC1699" s="148"/>
    </row>
    <row r="1700" spans="1:29" hidden="1">
      <c r="A1700" s="146"/>
      <c r="B1700" s="147"/>
      <c r="C1700" s="147"/>
      <c r="D1700" s="147"/>
      <c r="E1700" s="147"/>
      <c r="F1700" s="147"/>
      <c r="G1700" s="147"/>
      <c r="H1700" s="147"/>
      <c r="I1700" s="147"/>
      <c r="J1700" s="147"/>
      <c r="K1700" s="147"/>
      <c r="L1700" s="147"/>
      <c r="M1700" s="147"/>
      <c r="N1700" s="147"/>
      <c r="O1700" s="147"/>
      <c r="P1700" s="147"/>
      <c r="Q1700" s="147"/>
      <c r="R1700" s="148"/>
      <c r="S1700" s="148"/>
      <c r="T1700" s="148"/>
      <c r="U1700" s="148"/>
      <c r="V1700" s="148"/>
      <c r="W1700" s="148"/>
      <c r="X1700" s="148"/>
      <c r="Y1700" s="148"/>
      <c r="Z1700" s="148"/>
      <c r="AA1700" s="148"/>
      <c r="AB1700" s="148"/>
      <c r="AC1700" s="148"/>
    </row>
    <row r="1701" spans="1:29" hidden="1">
      <c r="A1701" s="146"/>
      <c r="B1701" s="147"/>
      <c r="C1701" s="147"/>
      <c r="D1701" s="147"/>
      <c r="E1701" s="147"/>
      <c r="F1701" s="147"/>
      <c r="G1701" s="147"/>
      <c r="H1701" s="147"/>
      <c r="I1701" s="147"/>
      <c r="J1701" s="147"/>
      <c r="K1701" s="147"/>
      <c r="L1701" s="147"/>
      <c r="M1701" s="147"/>
      <c r="N1701" s="147"/>
      <c r="O1701" s="147"/>
      <c r="P1701" s="147"/>
      <c r="Q1701" s="147"/>
      <c r="R1701" s="148"/>
      <c r="S1701" s="148"/>
      <c r="T1701" s="148"/>
      <c r="U1701" s="148"/>
      <c r="V1701" s="148"/>
      <c r="W1701" s="148"/>
      <c r="X1701" s="148"/>
      <c r="Y1701" s="148"/>
      <c r="Z1701" s="148"/>
      <c r="AA1701" s="148"/>
      <c r="AB1701" s="148"/>
      <c r="AC1701" s="148"/>
    </row>
    <row r="1702" spans="1:29" hidden="1">
      <c r="A1702" s="146"/>
      <c r="B1702" s="147"/>
      <c r="C1702" s="147"/>
      <c r="D1702" s="147"/>
      <c r="E1702" s="147"/>
      <c r="F1702" s="147"/>
      <c r="G1702" s="147"/>
      <c r="H1702" s="147"/>
      <c r="I1702" s="147"/>
      <c r="J1702" s="147"/>
      <c r="K1702" s="147"/>
      <c r="L1702" s="147"/>
      <c r="M1702" s="147"/>
      <c r="N1702" s="147"/>
      <c r="O1702" s="147"/>
      <c r="P1702" s="147"/>
      <c r="Q1702" s="147"/>
      <c r="R1702" s="148"/>
      <c r="S1702" s="148"/>
      <c r="T1702" s="148"/>
      <c r="U1702" s="148"/>
      <c r="V1702" s="148"/>
      <c r="W1702" s="148"/>
      <c r="X1702" s="148"/>
      <c r="Y1702" s="148"/>
      <c r="Z1702" s="148"/>
      <c r="AA1702" s="148"/>
      <c r="AB1702" s="148"/>
      <c r="AC1702" s="148"/>
    </row>
    <row r="1703" spans="1:29" hidden="1">
      <c r="A1703" s="146"/>
      <c r="B1703" s="147"/>
      <c r="C1703" s="147"/>
      <c r="D1703" s="147"/>
      <c r="E1703" s="147"/>
      <c r="F1703" s="147"/>
      <c r="G1703" s="147"/>
      <c r="H1703" s="147"/>
      <c r="I1703" s="147"/>
      <c r="J1703" s="147"/>
      <c r="K1703" s="147"/>
      <c r="L1703" s="147"/>
      <c r="M1703" s="147"/>
      <c r="N1703" s="147"/>
      <c r="O1703" s="147"/>
      <c r="P1703" s="147"/>
      <c r="Q1703" s="147"/>
      <c r="R1703" s="148"/>
      <c r="S1703" s="148"/>
      <c r="T1703" s="148"/>
      <c r="U1703" s="148"/>
      <c r="V1703" s="148"/>
      <c r="W1703" s="148"/>
      <c r="X1703" s="148"/>
      <c r="Y1703" s="148"/>
      <c r="Z1703" s="148"/>
      <c r="AA1703" s="148"/>
      <c r="AB1703" s="148"/>
      <c r="AC1703" s="148"/>
    </row>
    <row r="1704" spans="1:29" hidden="1">
      <c r="A1704" s="146"/>
      <c r="B1704" s="147"/>
      <c r="C1704" s="147"/>
      <c r="D1704" s="147"/>
      <c r="E1704" s="147"/>
      <c r="F1704" s="147"/>
      <c r="G1704" s="147"/>
      <c r="H1704" s="147"/>
      <c r="I1704" s="147"/>
      <c r="J1704" s="147"/>
      <c r="K1704" s="147"/>
      <c r="L1704" s="147"/>
      <c r="M1704" s="147"/>
      <c r="N1704" s="147"/>
      <c r="O1704" s="147"/>
      <c r="P1704" s="147"/>
      <c r="Q1704" s="147"/>
      <c r="R1704" s="148"/>
      <c r="S1704" s="148"/>
      <c r="T1704" s="148"/>
      <c r="U1704" s="148"/>
      <c r="V1704" s="148"/>
      <c r="W1704" s="148"/>
      <c r="X1704" s="148"/>
      <c r="Y1704" s="148"/>
      <c r="Z1704" s="148"/>
      <c r="AA1704" s="148"/>
      <c r="AB1704" s="148"/>
      <c r="AC1704" s="148"/>
    </row>
    <row r="1705" spans="1:29" hidden="1">
      <c r="A1705" s="146"/>
      <c r="B1705" s="147"/>
      <c r="C1705" s="147"/>
      <c r="D1705" s="147"/>
      <c r="E1705" s="147"/>
      <c r="F1705" s="147"/>
      <c r="G1705" s="147"/>
      <c r="H1705" s="147"/>
      <c r="I1705" s="147"/>
      <c r="J1705" s="147"/>
      <c r="K1705" s="147"/>
      <c r="L1705" s="147"/>
      <c r="M1705" s="147"/>
      <c r="N1705" s="147"/>
      <c r="O1705" s="147"/>
      <c r="P1705" s="147"/>
      <c r="Q1705" s="147"/>
      <c r="R1705" s="148"/>
      <c r="S1705" s="148"/>
      <c r="T1705" s="148"/>
      <c r="U1705" s="148"/>
      <c r="V1705" s="148"/>
      <c r="W1705" s="148"/>
      <c r="X1705" s="148"/>
      <c r="Y1705" s="148"/>
      <c r="Z1705" s="148"/>
      <c r="AA1705" s="148"/>
      <c r="AB1705" s="148"/>
      <c r="AC1705" s="148"/>
    </row>
    <row r="1706" spans="1:29" hidden="1">
      <c r="A1706" s="146"/>
      <c r="B1706" s="147"/>
      <c r="C1706" s="147"/>
      <c r="D1706" s="147"/>
      <c r="E1706" s="147"/>
      <c r="F1706" s="147"/>
      <c r="G1706" s="147"/>
      <c r="H1706" s="147"/>
      <c r="I1706" s="147"/>
      <c r="J1706" s="147"/>
      <c r="K1706" s="147"/>
      <c r="L1706" s="147"/>
      <c r="M1706" s="147"/>
      <c r="N1706" s="147"/>
      <c r="O1706" s="147"/>
      <c r="P1706" s="147"/>
      <c r="Q1706" s="147"/>
      <c r="R1706" s="148"/>
      <c r="S1706" s="148"/>
      <c r="T1706" s="148"/>
      <c r="U1706" s="148"/>
      <c r="V1706" s="148"/>
      <c r="W1706" s="148"/>
      <c r="X1706" s="148"/>
      <c r="Y1706" s="148"/>
      <c r="Z1706" s="148"/>
      <c r="AA1706" s="148"/>
      <c r="AB1706" s="148"/>
      <c r="AC1706" s="148"/>
    </row>
    <row r="1707" spans="1:29" hidden="1">
      <c r="A1707" s="146"/>
      <c r="B1707" s="147"/>
      <c r="C1707" s="147"/>
      <c r="D1707" s="147"/>
      <c r="E1707" s="147"/>
      <c r="F1707" s="147"/>
      <c r="G1707" s="147"/>
      <c r="H1707" s="147"/>
      <c r="I1707" s="147"/>
      <c r="J1707" s="147"/>
      <c r="K1707" s="147"/>
      <c r="L1707" s="147"/>
      <c r="M1707" s="147"/>
      <c r="N1707" s="147"/>
      <c r="O1707" s="147"/>
      <c r="P1707" s="147"/>
      <c r="Q1707" s="147"/>
      <c r="R1707" s="148"/>
      <c r="S1707" s="148"/>
      <c r="T1707" s="148"/>
      <c r="U1707" s="148"/>
      <c r="V1707" s="148"/>
      <c r="W1707" s="148"/>
      <c r="X1707" s="148"/>
      <c r="Y1707" s="148"/>
      <c r="Z1707" s="148"/>
      <c r="AA1707" s="148"/>
      <c r="AB1707" s="148"/>
      <c r="AC1707" s="148"/>
    </row>
    <row r="1708" spans="1:29" hidden="1">
      <c r="A1708" s="146"/>
      <c r="B1708" s="147"/>
      <c r="C1708" s="147"/>
      <c r="D1708" s="147"/>
      <c r="E1708" s="147"/>
      <c r="F1708" s="147"/>
      <c r="G1708" s="147"/>
      <c r="H1708" s="147"/>
      <c r="I1708" s="147"/>
      <c r="J1708" s="147"/>
      <c r="K1708" s="147"/>
      <c r="L1708" s="147"/>
      <c r="M1708" s="147"/>
      <c r="N1708" s="147"/>
      <c r="O1708" s="147"/>
      <c r="P1708" s="147"/>
      <c r="Q1708" s="147"/>
      <c r="R1708" s="148"/>
      <c r="S1708" s="148"/>
      <c r="T1708" s="148"/>
      <c r="U1708" s="148"/>
      <c r="V1708" s="148"/>
      <c r="W1708" s="148"/>
      <c r="X1708" s="148"/>
      <c r="Y1708" s="148"/>
      <c r="Z1708" s="148"/>
      <c r="AA1708" s="148"/>
      <c r="AB1708" s="148"/>
      <c r="AC1708" s="148"/>
    </row>
    <row r="1709" spans="1:29" hidden="1">
      <c r="A1709" s="146"/>
      <c r="B1709" s="147"/>
      <c r="C1709" s="147"/>
      <c r="D1709" s="147"/>
      <c r="E1709" s="147"/>
      <c r="F1709" s="147"/>
      <c r="G1709" s="147"/>
      <c r="H1709" s="147"/>
      <c r="I1709" s="147"/>
      <c r="J1709" s="147"/>
      <c r="K1709" s="147"/>
      <c r="L1709" s="147"/>
      <c r="M1709" s="147"/>
      <c r="N1709" s="147"/>
      <c r="O1709" s="147"/>
      <c r="P1709" s="147"/>
      <c r="Q1709" s="147"/>
      <c r="R1709" s="148"/>
      <c r="S1709" s="148"/>
      <c r="T1709" s="148"/>
      <c r="U1709" s="148"/>
      <c r="V1709" s="148"/>
      <c r="W1709" s="148"/>
      <c r="X1709" s="148"/>
      <c r="Y1709" s="148"/>
      <c r="Z1709" s="148"/>
      <c r="AA1709" s="148"/>
      <c r="AB1709" s="148"/>
      <c r="AC1709" s="148"/>
    </row>
    <row r="1710" spans="1:29" hidden="1">
      <c r="A1710" s="146"/>
      <c r="B1710" s="147"/>
      <c r="C1710" s="147"/>
      <c r="D1710" s="147"/>
      <c r="E1710" s="147"/>
      <c r="F1710" s="147"/>
      <c r="G1710" s="147"/>
      <c r="H1710" s="147"/>
      <c r="I1710" s="147"/>
      <c r="J1710" s="147"/>
      <c r="K1710" s="147"/>
      <c r="L1710" s="147"/>
      <c r="M1710" s="147"/>
      <c r="N1710" s="147"/>
      <c r="O1710" s="147"/>
      <c r="P1710" s="147"/>
      <c r="Q1710" s="147"/>
      <c r="R1710" s="148"/>
      <c r="S1710" s="148"/>
      <c r="T1710" s="148"/>
      <c r="U1710" s="148"/>
      <c r="V1710" s="148"/>
      <c r="W1710" s="148"/>
      <c r="X1710" s="148"/>
      <c r="Y1710" s="148"/>
      <c r="Z1710" s="148"/>
      <c r="AA1710" s="148"/>
      <c r="AB1710" s="148"/>
      <c r="AC1710" s="148"/>
    </row>
    <row r="1711" spans="1:29" hidden="1">
      <c r="A1711" s="146"/>
      <c r="B1711" s="147"/>
      <c r="C1711" s="147"/>
      <c r="D1711" s="147"/>
      <c r="E1711" s="147"/>
      <c r="F1711" s="147"/>
      <c r="G1711" s="147"/>
      <c r="H1711" s="147"/>
      <c r="I1711" s="147"/>
      <c r="J1711" s="147"/>
      <c r="K1711" s="147"/>
      <c r="L1711" s="147"/>
      <c r="M1711" s="147"/>
      <c r="N1711" s="147"/>
      <c r="O1711" s="147"/>
      <c r="P1711" s="147"/>
      <c r="Q1711" s="147"/>
      <c r="R1711" s="148"/>
      <c r="S1711" s="148"/>
      <c r="T1711" s="148"/>
      <c r="U1711" s="148"/>
      <c r="V1711" s="148"/>
      <c r="W1711" s="148"/>
      <c r="X1711" s="148"/>
      <c r="Y1711" s="148"/>
      <c r="Z1711" s="148"/>
      <c r="AA1711" s="148"/>
      <c r="AB1711" s="148"/>
      <c r="AC1711" s="148"/>
    </row>
    <row r="1712" spans="1:29" hidden="1">
      <c r="A1712" s="146"/>
      <c r="B1712" s="147"/>
      <c r="C1712" s="147"/>
      <c r="D1712" s="147"/>
      <c r="E1712" s="147"/>
      <c r="F1712" s="147"/>
      <c r="G1712" s="147"/>
      <c r="H1712" s="147"/>
      <c r="I1712" s="147"/>
      <c r="J1712" s="147"/>
      <c r="K1712" s="147"/>
      <c r="L1712" s="147"/>
      <c r="M1712" s="147"/>
      <c r="N1712" s="147"/>
      <c r="O1712" s="147"/>
      <c r="P1712" s="147"/>
      <c r="Q1712" s="147"/>
      <c r="R1712" s="148"/>
      <c r="S1712" s="148"/>
      <c r="T1712" s="148"/>
      <c r="U1712" s="148"/>
      <c r="V1712" s="148"/>
      <c r="W1712" s="148"/>
      <c r="X1712" s="148"/>
      <c r="Y1712" s="148"/>
      <c r="Z1712" s="148"/>
      <c r="AA1712" s="148"/>
      <c r="AB1712" s="148"/>
      <c r="AC1712" s="148"/>
    </row>
    <row r="1713" spans="1:29" hidden="1">
      <c r="A1713" s="146"/>
      <c r="B1713" s="147"/>
      <c r="C1713" s="147"/>
      <c r="D1713" s="147"/>
      <c r="E1713" s="147"/>
      <c r="F1713" s="147"/>
      <c r="G1713" s="147"/>
      <c r="H1713" s="147"/>
      <c r="I1713" s="147"/>
      <c r="J1713" s="147"/>
      <c r="K1713" s="147"/>
      <c r="L1713" s="147"/>
      <c r="M1713" s="147"/>
      <c r="N1713" s="147"/>
      <c r="O1713" s="147"/>
      <c r="P1713" s="147"/>
      <c r="Q1713" s="147"/>
      <c r="R1713" s="148"/>
      <c r="S1713" s="148"/>
      <c r="T1713" s="148"/>
      <c r="U1713" s="148"/>
      <c r="V1713" s="148"/>
      <c r="W1713" s="148"/>
      <c r="X1713" s="148"/>
      <c r="Y1713" s="148"/>
      <c r="Z1713" s="148"/>
      <c r="AA1713" s="148"/>
      <c r="AB1713" s="148"/>
      <c r="AC1713" s="148"/>
    </row>
    <row r="1714" spans="1:29" hidden="1">
      <c r="A1714" s="146"/>
      <c r="B1714" s="147"/>
      <c r="C1714" s="147"/>
      <c r="D1714" s="147"/>
      <c r="E1714" s="147"/>
      <c r="F1714" s="147"/>
      <c r="G1714" s="147"/>
      <c r="H1714" s="147"/>
      <c r="I1714" s="147"/>
      <c r="J1714" s="147"/>
      <c r="K1714" s="147"/>
      <c r="L1714" s="147"/>
      <c r="M1714" s="147"/>
      <c r="N1714" s="147"/>
      <c r="O1714" s="147"/>
      <c r="P1714" s="147"/>
      <c r="Q1714" s="147"/>
      <c r="R1714" s="148"/>
      <c r="S1714" s="148"/>
      <c r="T1714" s="148"/>
      <c r="U1714" s="148"/>
      <c r="V1714" s="148"/>
      <c r="W1714" s="148"/>
      <c r="X1714" s="148"/>
      <c r="Y1714" s="148"/>
      <c r="Z1714" s="148"/>
      <c r="AA1714" s="148"/>
      <c r="AB1714" s="148"/>
      <c r="AC1714" s="148"/>
    </row>
    <row r="1715" spans="1:29" hidden="1">
      <c r="A1715" s="146"/>
      <c r="B1715" s="147"/>
      <c r="C1715" s="147"/>
      <c r="D1715" s="147"/>
      <c r="E1715" s="147"/>
      <c r="F1715" s="147"/>
      <c r="G1715" s="147"/>
      <c r="H1715" s="147"/>
      <c r="I1715" s="147"/>
      <c r="J1715" s="147"/>
      <c r="K1715" s="147"/>
      <c r="L1715" s="147"/>
      <c r="M1715" s="147"/>
      <c r="N1715" s="147"/>
      <c r="O1715" s="147"/>
      <c r="P1715" s="147"/>
      <c r="Q1715" s="147"/>
      <c r="R1715" s="148"/>
      <c r="S1715" s="148"/>
      <c r="T1715" s="148"/>
      <c r="U1715" s="148"/>
      <c r="V1715" s="148"/>
      <c r="W1715" s="148"/>
      <c r="X1715" s="148"/>
      <c r="Y1715" s="148"/>
      <c r="Z1715" s="148"/>
      <c r="AA1715" s="148"/>
      <c r="AB1715" s="148"/>
      <c r="AC1715" s="148"/>
    </row>
    <row r="1716" spans="1:29" hidden="1">
      <c r="A1716" s="146"/>
      <c r="B1716" s="147"/>
      <c r="C1716" s="147"/>
      <c r="D1716" s="147"/>
      <c r="E1716" s="147"/>
      <c r="F1716" s="147"/>
      <c r="G1716" s="147"/>
      <c r="H1716" s="147"/>
      <c r="I1716" s="147"/>
      <c r="J1716" s="147"/>
      <c r="K1716" s="147"/>
      <c r="L1716" s="147"/>
      <c r="M1716" s="147"/>
      <c r="N1716" s="147"/>
      <c r="O1716" s="147"/>
      <c r="P1716" s="147"/>
      <c r="Q1716" s="147"/>
      <c r="R1716" s="148"/>
      <c r="S1716" s="148"/>
      <c r="T1716" s="148"/>
      <c r="U1716" s="148"/>
      <c r="V1716" s="148"/>
      <c r="W1716" s="148"/>
      <c r="X1716" s="148"/>
      <c r="Y1716" s="148"/>
      <c r="Z1716" s="148"/>
      <c r="AA1716" s="148"/>
      <c r="AB1716" s="148"/>
      <c r="AC1716" s="148"/>
    </row>
    <row r="1717" spans="1:29" hidden="1">
      <c r="A1717" s="146"/>
      <c r="B1717" s="147"/>
      <c r="C1717" s="147"/>
      <c r="D1717" s="147"/>
      <c r="E1717" s="147"/>
      <c r="F1717" s="147"/>
      <c r="G1717" s="147"/>
      <c r="H1717" s="147"/>
      <c r="I1717" s="147"/>
      <c r="J1717" s="147"/>
      <c r="K1717" s="147"/>
      <c r="L1717" s="147"/>
      <c r="M1717" s="147"/>
      <c r="N1717" s="147"/>
      <c r="O1717" s="147"/>
      <c r="P1717" s="147"/>
      <c r="Q1717" s="147"/>
      <c r="R1717" s="148"/>
      <c r="S1717" s="148"/>
      <c r="T1717" s="148"/>
      <c r="U1717" s="148"/>
      <c r="V1717" s="148"/>
      <c r="W1717" s="148"/>
      <c r="X1717" s="148"/>
      <c r="Y1717" s="148"/>
      <c r="Z1717" s="148"/>
      <c r="AA1717" s="148"/>
      <c r="AB1717" s="148"/>
      <c r="AC1717" s="148"/>
    </row>
    <row r="1718" spans="1:29" hidden="1">
      <c r="A1718" s="146"/>
      <c r="B1718" s="147"/>
      <c r="C1718" s="147"/>
      <c r="D1718" s="147"/>
      <c r="E1718" s="147"/>
      <c r="F1718" s="147"/>
      <c r="G1718" s="147"/>
      <c r="H1718" s="147"/>
      <c r="I1718" s="147"/>
      <c r="J1718" s="147"/>
      <c r="K1718" s="147"/>
      <c r="L1718" s="147"/>
      <c r="M1718" s="147"/>
      <c r="N1718" s="147"/>
      <c r="O1718" s="147"/>
      <c r="P1718" s="147"/>
      <c r="Q1718" s="147"/>
      <c r="R1718" s="148"/>
      <c r="S1718" s="148"/>
      <c r="T1718" s="148"/>
      <c r="U1718" s="148"/>
      <c r="V1718" s="148"/>
      <c r="W1718" s="148"/>
      <c r="X1718" s="148"/>
      <c r="Y1718" s="148"/>
      <c r="Z1718" s="148"/>
      <c r="AA1718" s="148"/>
      <c r="AB1718" s="148"/>
      <c r="AC1718" s="148"/>
    </row>
    <row r="1719" spans="1:29" hidden="1">
      <c r="A1719" s="146"/>
      <c r="B1719" s="147"/>
      <c r="C1719" s="147"/>
      <c r="D1719" s="147"/>
      <c r="E1719" s="147"/>
      <c r="F1719" s="147"/>
      <c r="G1719" s="147"/>
      <c r="H1719" s="147"/>
      <c r="I1719" s="147"/>
      <c r="J1719" s="147"/>
      <c r="K1719" s="147"/>
      <c r="L1719" s="147"/>
      <c r="M1719" s="147"/>
      <c r="N1719" s="147"/>
      <c r="O1719" s="147"/>
      <c r="P1719" s="147"/>
      <c r="Q1719" s="147"/>
      <c r="R1719" s="148"/>
      <c r="S1719" s="148"/>
      <c r="T1719" s="148"/>
      <c r="U1719" s="148"/>
      <c r="V1719" s="148"/>
      <c r="W1719" s="148"/>
      <c r="X1719" s="148"/>
      <c r="Y1719" s="148"/>
      <c r="Z1719" s="148"/>
      <c r="AA1719" s="148"/>
      <c r="AB1719" s="148"/>
      <c r="AC1719" s="148"/>
    </row>
    <row r="1720" spans="1:29" hidden="1">
      <c r="A1720" s="146"/>
      <c r="B1720" s="147"/>
      <c r="C1720" s="147"/>
      <c r="D1720" s="147"/>
      <c r="E1720" s="147"/>
      <c r="F1720" s="147"/>
      <c r="G1720" s="147"/>
      <c r="H1720" s="147"/>
      <c r="I1720" s="147"/>
      <c r="J1720" s="147"/>
      <c r="K1720" s="147"/>
      <c r="L1720" s="147"/>
      <c r="M1720" s="147"/>
      <c r="N1720" s="147"/>
      <c r="O1720" s="147"/>
      <c r="P1720" s="147"/>
      <c r="Q1720" s="147"/>
      <c r="R1720" s="148"/>
      <c r="S1720" s="148"/>
      <c r="T1720" s="148"/>
      <c r="U1720" s="148"/>
      <c r="V1720" s="148"/>
      <c r="W1720" s="148"/>
      <c r="X1720" s="148"/>
      <c r="Y1720" s="148"/>
      <c r="Z1720" s="148"/>
      <c r="AA1720" s="148"/>
      <c r="AB1720" s="148"/>
      <c r="AC1720" s="148"/>
    </row>
    <row r="1721" spans="1:29" hidden="1">
      <c r="A1721" s="146"/>
      <c r="B1721" s="147"/>
      <c r="C1721" s="147"/>
      <c r="D1721" s="147"/>
      <c r="E1721" s="147"/>
      <c r="F1721" s="147"/>
      <c r="G1721" s="147"/>
      <c r="H1721" s="147"/>
      <c r="I1721" s="147"/>
      <c r="J1721" s="147"/>
      <c r="K1721" s="147"/>
      <c r="L1721" s="147"/>
      <c r="M1721" s="147"/>
      <c r="N1721" s="147"/>
      <c r="O1721" s="147"/>
      <c r="P1721" s="147"/>
      <c r="Q1721" s="147"/>
      <c r="R1721" s="148"/>
      <c r="S1721" s="148"/>
      <c r="T1721" s="148"/>
      <c r="U1721" s="148"/>
      <c r="V1721" s="148"/>
      <c r="W1721" s="148"/>
      <c r="X1721" s="148"/>
      <c r="Y1721" s="148"/>
      <c r="Z1721" s="148"/>
      <c r="AA1721" s="148"/>
      <c r="AB1721" s="148"/>
      <c r="AC1721" s="148"/>
    </row>
    <row r="1722" spans="1:29" hidden="1">
      <c r="A1722" s="146"/>
      <c r="B1722" s="147"/>
      <c r="C1722" s="147"/>
      <c r="D1722" s="147"/>
      <c r="E1722" s="147"/>
      <c r="F1722" s="147"/>
      <c r="G1722" s="147"/>
      <c r="H1722" s="147"/>
      <c r="I1722" s="147"/>
      <c r="J1722" s="147"/>
      <c r="K1722" s="147"/>
      <c r="L1722" s="147"/>
      <c r="M1722" s="147"/>
      <c r="N1722" s="147"/>
      <c r="O1722" s="147"/>
      <c r="P1722" s="147"/>
      <c r="Q1722" s="147"/>
      <c r="R1722" s="148"/>
      <c r="S1722" s="148"/>
      <c r="T1722" s="148"/>
      <c r="U1722" s="148"/>
      <c r="V1722" s="148"/>
      <c r="W1722" s="148"/>
      <c r="X1722" s="148"/>
      <c r="Y1722" s="148"/>
      <c r="Z1722" s="148"/>
      <c r="AA1722" s="148"/>
      <c r="AB1722" s="148"/>
      <c r="AC1722" s="148"/>
    </row>
    <row r="1723" spans="1:29" hidden="1">
      <c r="A1723" s="146"/>
      <c r="B1723" s="147"/>
      <c r="C1723" s="147"/>
      <c r="D1723" s="147"/>
      <c r="E1723" s="147"/>
      <c r="F1723" s="147"/>
      <c r="G1723" s="147"/>
      <c r="H1723" s="147"/>
      <c r="I1723" s="147"/>
      <c r="J1723" s="147"/>
      <c r="K1723" s="147"/>
      <c r="L1723" s="147"/>
      <c r="M1723" s="147"/>
      <c r="N1723" s="147"/>
      <c r="O1723" s="147"/>
      <c r="P1723" s="147"/>
      <c r="Q1723" s="147"/>
      <c r="R1723" s="148"/>
      <c r="S1723" s="148"/>
      <c r="T1723" s="148"/>
      <c r="U1723" s="148"/>
      <c r="V1723" s="148"/>
      <c r="W1723" s="148"/>
      <c r="X1723" s="148"/>
      <c r="Y1723" s="148"/>
      <c r="Z1723" s="148"/>
      <c r="AA1723" s="148"/>
      <c r="AB1723" s="148"/>
      <c r="AC1723" s="148"/>
    </row>
    <row r="1724" spans="1:29" hidden="1">
      <c r="A1724" s="146"/>
      <c r="B1724" s="147"/>
      <c r="C1724" s="147"/>
      <c r="D1724" s="147"/>
      <c r="E1724" s="147"/>
      <c r="F1724" s="147"/>
      <c r="G1724" s="147"/>
      <c r="H1724" s="147"/>
      <c r="I1724" s="147"/>
      <c r="J1724" s="147"/>
      <c r="K1724" s="147"/>
      <c r="L1724" s="147"/>
      <c r="M1724" s="147"/>
      <c r="N1724" s="147"/>
      <c r="O1724" s="147"/>
      <c r="P1724" s="147"/>
      <c r="Q1724" s="147"/>
      <c r="R1724" s="148"/>
      <c r="S1724" s="148"/>
      <c r="T1724" s="148"/>
      <c r="U1724" s="148"/>
      <c r="V1724" s="148"/>
      <c r="W1724" s="148"/>
      <c r="X1724" s="148"/>
      <c r="Y1724" s="148"/>
      <c r="Z1724" s="148"/>
      <c r="AA1724" s="148"/>
      <c r="AB1724" s="148"/>
      <c r="AC1724" s="148"/>
    </row>
    <row r="1725" spans="1:29" hidden="1">
      <c r="A1725" s="146"/>
      <c r="B1725" s="147"/>
      <c r="C1725" s="147"/>
      <c r="D1725" s="147"/>
      <c r="E1725" s="147"/>
      <c r="F1725" s="147"/>
      <c r="G1725" s="147"/>
      <c r="H1725" s="147"/>
      <c r="I1725" s="147"/>
      <c r="J1725" s="147"/>
      <c r="K1725" s="147"/>
      <c r="L1725" s="147"/>
      <c r="M1725" s="147"/>
      <c r="N1725" s="147"/>
      <c r="O1725" s="147"/>
      <c r="P1725" s="147"/>
      <c r="Q1725" s="147"/>
      <c r="R1725" s="148"/>
      <c r="S1725" s="148"/>
      <c r="T1725" s="148"/>
      <c r="U1725" s="148"/>
      <c r="V1725" s="148"/>
      <c r="W1725" s="148"/>
      <c r="X1725" s="148"/>
      <c r="Y1725" s="148"/>
      <c r="Z1725" s="148"/>
      <c r="AA1725" s="148"/>
      <c r="AB1725" s="148"/>
      <c r="AC1725" s="148"/>
    </row>
    <row r="1726" spans="1:29" hidden="1">
      <c r="A1726" s="146"/>
      <c r="B1726" s="147"/>
      <c r="C1726" s="147"/>
      <c r="D1726" s="147"/>
      <c r="E1726" s="147"/>
      <c r="F1726" s="147"/>
      <c r="G1726" s="147"/>
      <c r="H1726" s="147"/>
      <c r="I1726" s="147"/>
      <c r="J1726" s="147"/>
      <c r="K1726" s="147"/>
      <c r="L1726" s="147"/>
      <c r="M1726" s="147"/>
      <c r="N1726" s="147"/>
      <c r="O1726" s="147"/>
      <c r="P1726" s="147"/>
      <c r="Q1726" s="147"/>
      <c r="R1726" s="148"/>
      <c r="S1726" s="148"/>
      <c r="T1726" s="148"/>
      <c r="U1726" s="148"/>
      <c r="V1726" s="148"/>
      <c r="W1726" s="148"/>
      <c r="X1726" s="148"/>
      <c r="Y1726" s="148"/>
      <c r="Z1726" s="148"/>
      <c r="AA1726" s="148"/>
      <c r="AB1726" s="148"/>
      <c r="AC1726" s="148"/>
    </row>
    <row r="1727" spans="1:29" hidden="1">
      <c r="A1727" s="146"/>
      <c r="B1727" s="147"/>
      <c r="C1727" s="147"/>
      <c r="D1727" s="147"/>
      <c r="E1727" s="147"/>
      <c r="F1727" s="147"/>
      <c r="G1727" s="147"/>
      <c r="H1727" s="147"/>
      <c r="I1727" s="147"/>
      <c r="J1727" s="147"/>
      <c r="K1727" s="147"/>
      <c r="L1727" s="147"/>
      <c r="M1727" s="147"/>
      <c r="N1727" s="147"/>
      <c r="O1727" s="147"/>
      <c r="P1727" s="147"/>
      <c r="Q1727" s="147"/>
      <c r="R1727" s="148"/>
      <c r="S1727" s="148"/>
      <c r="T1727" s="148"/>
      <c r="U1727" s="148"/>
      <c r="V1727" s="148"/>
      <c r="W1727" s="148"/>
      <c r="X1727" s="148"/>
      <c r="Y1727" s="148"/>
      <c r="Z1727" s="148"/>
      <c r="AA1727" s="148"/>
      <c r="AB1727" s="148"/>
      <c r="AC1727" s="148"/>
    </row>
    <row r="1728" spans="1:29" hidden="1">
      <c r="A1728" s="146"/>
      <c r="B1728" s="147"/>
      <c r="C1728" s="147"/>
      <c r="D1728" s="147"/>
      <c r="E1728" s="147"/>
      <c r="F1728" s="147"/>
      <c r="G1728" s="147"/>
      <c r="H1728" s="147"/>
      <c r="I1728" s="147"/>
      <c r="J1728" s="147"/>
      <c r="K1728" s="147"/>
      <c r="L1728" s="147"/>
      <c r="M1728" s="147"/>
      <c r="N1728" s="147"/>
      <c r="O1728" s="147"/>
      <c r="P1728" s="147"/>
      <c r="Q1728" s="147"/>
      <c r="R1728" s="148"/>
      <c r="S1728" s="148"/>
      <c r="T1728" s="148"/>
      <c r="U1728" s="148"/>
      <c r="V1728" s="148"/>
      <c r="W1728" s="148"/>
      <c r="X1728" s="148"/>
      <c r="Y1728" s="148"/>
      <c r="Z1728" s="148"/>
      <c r="AA1728" s="148"/>
      <c r="AB1728" s="148"/>
      <c r="AC1728" s="148"/>
    </row>
    <row r="1729" spans="1:29" hidden="1">
      <c r="A1729" s="146"/>
      <c r="B1729" s="147"/>
      <c r="C1729" s="147"/>
      <c r="D1729" s="147"/>
      <c r="E1729" s="147"/>
      <c r="F1729" s="147"/>
      <c r="G1729" s="147"/>
      <c r="H1729" s="147"/>
      <c r="I1729" s="147"/>
      <c r="J1729" s="147"/>
      <c r="K1729" s="147"/>
      <c r="L1729" s="147"/>
      <c r="M1729" s="147"/>
      <c r="N1729" s="147"/>
      <c r="O1729" s="147"/>
      <c r="P1729" s="147"/>
      <c r="Q1729" s="147"/>
      <c r="R1729" s="148"/>
      <c r="S1729" s="148"/>
      <c r="T1729" s="148"/>
      <c r="U1729" s="148"/>
      <c r="V1729" s="148"/>
      <c r="W1729" s="148"/>
      <c r="X1729" s="148"/>
      <c r="Y1729" s="148"/>
      <c r="Z1729" s="148"/>
      <c r="AA1729" s="148"/>
      <c r="AB1729" s="148"/>
      <c r="AC1729" s="148"/>
    </row>
    <row r="1730" spans="1:29" hidden="1">
      <c r="A1730" s="146"/>
      <c r="B1730" s="147"/>
      <c r="C1730" s="147"/>
      <c r="D1730" s="147"/>
      <c r="E1730" s="147"/>
      <c r="F1730" s="147"/>
      <c r="G1730" s="147"/>
      <c r="H1730" s="147"/>
      <c r="I1730" s="147"/>
      <c r="J1730" s="147"/>
      <c r="K1730" s="147"/>
      <c r="L1730" s="147"/>
      <c r="M1730" s="147"/>
      <c r="N1730" s="147"/>
      <c r="O1730" s="147"/>
      <c r="P1730" s="147"/>
      <c r="Q1730" s="147"/>
      <c r="R1730" s="148"/>
      <c r="S1730" s="148"/>
      <c r="T1730" s="148"/>
      <c r="U1730" s="148"/>
      <c r="V1730" s="148"/>
      <c r="W1730" s="148"/>
      <c r="X1730" s="148"/>
      <c r="Y1730" s="148"/>
      <c r="Z1730" s="148"/>
      <c r="AA1730" s="148"/>
      <c r="AB1730" s="148"/>
      <c r="AC1730" s="148"/>
    </row>
    <row r="1731" spans="1:29" hidden="1">
      <c r="A1731" s="146"/>
      <c r="B1731" s="147"/>
      <c r="C1731" s="147"/>
      <c r="D1731" s="147"/>
      <c r="E1731" s="147"/>
      <c r="F1731" s="147"/>
      <c r="G1731" s="147"/>
      <c r="H1731" s="147"/>
      <c r="I1731" s="147"/>
      <c r="J1731" s="147"/>
      <c r="K1731" s="147"/>
      <c r="L1731" s="147"/>
      <c r="M1731" s="147"/>
      <c r="N1731" s="147"/>
      <c r="O1731" s="147"/>
      <c r="P1731" s="147"/>
      <c r="Q1731" s="147"/>
      <c r="R1731" s="148"/>
      <c r="S1731" s="148"/>
      <c r="T1731" s="148"/>
      <c r="U1731" s="148"/>
      <c r="V1731" s="148"/>
      <c r="W1731" s="148"/>
      <c r="X1731" s="148"/>
      <c r="Y1731" s="148"/>
      <c r="Z1731" s="148"/>
      <c r="AA1731" s="148"/>
      <c r="AB1731" s="148"/>
      <c r="AC1731" s="148"/>
    </row>
    <row r="1732" spans="1:29" hidden="1">
      <c r="A1732" s="146"/>
      <c r="B1732" s="147"/>
      <c r="C1732" s="147"/>
      <c r="D1732" s="147"/>
      <c r="E1732" s="147"/>
      <c r="F1732" s="147"/>
      <c r="G1732" s="147"/>
      <c r="H1732" s="147"/>
      <c r="I1732" s="147"/>
      <c r="J1732" s="147"/>
      <c r="K1732" s="147"/>
      <c r="L1732" s="147"/>
      <c r="M1732" s="147"/>
      <c r="N1732" s="147"/>
      <c r="O1732" s="147"/>
      <c r="P1732" s="147"/>
      <c r="Q1732" s="147"/>
      <c r="R1732" s="148"/>
      <c r="S1732" s="148"/>
      <c r="T1732" s="148"/>
      <c r="U1732" s="148"/>
      <c r="V1732" s="148"/>
      <c r="W1732" s="148"/>
      <c r="X1732" s="148"/>
      <c r="Y1732" s="148"/>
      <c r="Z1732" s="148"/>
      <c r="AA1732" s="148"/>
      <c r="AB1732" s="148"/>
      <c r="AC1732" s="148"/>
    </row>
    <row r="1733" spans="1:29" hidden="1">
      <c r="A1733" s="146"/>
      <c r="B1733" s="147"/>
      <c r="C1733" s="147"/>
      <c r="D1733" s="147"/>
      <c r="E1733" s="147"/>
      <c r="F1733" s="147"/>
      <c r="G1733" s="147"/>
      <c r="H1733" s="147"/>
      <c r="I1733" s="147"/>
      <c r="J1733" s="147"/>
      <c r="K1733" s="147"/>
      <c r="L1733" s="147"/>
      <c r="M1733" s="147"/>
      <c r="N1733" s="147"/>
      <c r="O1733" s="147"/>
      <c r="P1733" s="147"/>
      <c r="Q1733" s="147"/>
      <c r="R1733" s="148"/>
      <c r="S1733" s="148"/>
      <c r="T1733" s="148"/>
      <c r="U1733" s="148"/>
      <c r="V1733" s="148"/>
      <c r="W1733" s="148"/>
      <c r="X1733" s="148"/>
      <c r="Y1733" s="148"/>
      <c r="Z1733" s="148"/>
      <c r="AA1733" s="148"/>
      <c r="AB1733" s="148"/>
      <c r="AC1733" s="148"/>
    </row>
    <row r="1734" spans="1:29" hidden="1">
      <c r="A1734" s="146"/>
      <c r="B1734" s="147"/>
      <c r="C1734" s="147"/>
      <c r="D1734" s="147"/>
      <c r="E1734" s="147"/>
      <c r="F1734" s="147"/>
      <c r="G1734" s="147"/>
      <c r="H1734" s="147"/>
      <c r="I1734" s="147"/>
      <c r="J1734" s="147"/>
      <c r="K1734" s="147"/>
      <c r="L1734" s="147"/>
      <c r="M1734" s="147"/>
      <c r="N1734" s="147"/>
      <c r="O1734" s="147"/>
      <c r="P1734" s="147"/>
      <c r="Q1734" s="147"/>
      <c r="R1734" s="148"/>
      <c r="S1734" s="148"/>
      <c r="T1734" s="148"/>
      <c r="U1734" s="148"/>
      <c r="V1734" s="148"/>
      <c r="W1734" s="148"/>
      <c r="X1734" s="148"/>
      <c r="Y1734" s="148"/>
      <c r="Z1734" s="148"/>
      <c r="AA1734" s="148"/>
      <c r="AB1734" s="148"/>
      <c r="AC1734" s="148"/>
    </row>
    <row r="1735" spans="1:29" hidden="1">
      <c r="A1735" s="146"/>
      <c r="B1735" s="147"/>
      <c r="C1735" s="147"/>
      <c r="D1735" s="147"/>
      <c r="E1735" s="147"/>
      <c r="F1735" s="147"/>
      <c r="G1735" s="147"/>
      <c r="H1735" s="147"/>
      <c r="I1735" s="147"/>
      <c r="J1735" s="147"/>
      <c r="K1735" s="147"/>
      <c r="L1735" s="147"/>
      <c r="M1735" s="147"/>
      <c r="N1735" s="147"/>
      <c r="O1735" s="147"/>
      <c r="P1735" s="147"/>
      <c r="Q1735" s="147"/>
      <c r="R1735" s="148"/>
      <c r="S1735" s="148"/>
      <c r="T1735" s="148"/>
      <c r="U1735" s="148"/>
      <c r="V1735" s="148"/>
      <c r="W1735" s="148"/>
      <c r="X1735" s="148"/>
      <c r="Y1735" s="148"/>
      <c r="Z1735" s="148"/>
      <c r="AA1735" s="148"/>
      <c r="AB1735" s="148"/>
      <c r="AC1735" s="148"/>
    </row>
    <row r="1736" spans="1:29" hidden="1">
      <c r="A1736" s="146"/>
      <c r="B1736" s="147"/>
      <c r="C1736" s="147"/>
      <c r="D1736" s="147"/>
      <c r="E1736" s="147"/>
      <c r="F1736" s="147"/>
      <c r="G1736" s="147"/>
      <c r="H1736" s="147"/>
      <c r="I1736" s="147"/>
      <c r="J1736" s="147"/>
      <c r="K1736" s="147"/>
      <c r="L1736" s="147"/>
      <c r="M1736" s="147"/>
      <c r="N1736" s="147"/>
      <c r="O1736" s="147"/>
      <c r="P1736" s="147"/>
      <c r="Q1736" s="147"/>
      <c r="R1736" s="148"/>
      <c r="S1736" s="148"/>
      <c r="T1736" s="148"/>
      <c r="U1736" s="148"/>
      <c r="V1736" s="148"/>
      <c r="W1736" s="148"/>
      <c r="X1736" s="148"/>
      <c r="Y1736" s="148"/>
      <c r="Z1736" s="148"/>
      <c r="AA1736" s="148"/>
      <c r="AB1736" s="148"/>
      <c r="AC1736" s="148"/>
    </row>
    <row r="1737" spans="1:29" hidden="1">
      <c r="A1737" s="146"/>
      <c r="B1737" s="147"/>
      <c r="C1737" s="147"/>
      <c r="D1737" s="147"/>
      <c r="E1737" s="147"/>
      <c r="F1737" s="147"/>
      <c r="G1737" s="147"/>
      <c r="H1737" s="147"/>
      <c r="I1737" s="147"/>
      <c r="J1737" s="147"/>
      <c r="K1737" s="147"/>
      <c r="L1737" s="147"/>
      <c r="M1737" s="147"/>
      <c r="N1737" s="147"/>
      <c r="O1737" s="147"/>
      <c r="P1737" s="147"/>
      <c r="Q1737" s="147"/>
      <c r="R1737" s="148"/>
      <c r="S1737" s="148"/>
      <c r="T1737" s="148"/>
      <c r="U1737" s="148"/>
      <c r="V1737" s="148"/>
      <c r="W1737" s="148"/>
      <c r="X1737" s="148"/>
      <c r="Y1737" s="148"/>
      <c r="Z1737" s="148"/>
      <c r="AA1737" s="148"/>
      <c r="AB1737" s="148"/>
      <c r="AC1737" s="148"/>
    </row>
    <row r="1738" spans="1:29" hidden="1">
      <c r="A1738" s="146"/>
      <c r="B1738" s="147"/>
      <c r="C1738" s="147"/>
      <c r="D1738" s="147"/>
      <c r="E1738" s="147"/>
      <c r="F1738" s="147"/>
      <c r="G1738" s="147"/>
      <c r="H1738" s="147"/>
      <c r="I1738" s="147"/>
      <c r="J1738" s="147"/>
      <c r="K1738" s="147"/>
      <c r="L1738" s="147"/>
      <c r="M1738" s="147"/>
      <c r="N1738" s="147"/>
      <c r="O1738" s="147"/>
      <c r="P1738" s="147"/>
      <c r="Q1738" s="147"/>
      <c r="R1738" s="148"/>
      <c r="S1738" s="148"/>
      <c r="T1738" s="148"/>
      <c r="U1738" s="148"/>
      <c r="V1738" s="148"/>
      <c r="W1738" s="148"/>
      <c r="X1738" s="148"/>
      <c r="Y1738" s="148"/>
      <c r="Z1738" s="148"/>
      <c r="AA1738" s="148"/>
      <c r="AB1738" s="148"/>
      <c r="AC1738" s="148"/>
    </row>
    <row r="1739" spans="1:29" hidden="1">
      <c r="A1739" s="146"/>
      <c r="B1739" s="147"/>
      <c r="C1739" s="147"/>
      <c r="D1739" s="147"/>
      <c r="E1739" s="147"/>
      <c r="F1739" s="147"/>
      <c r="G1739" s="147"/>
      <c r="H1739" s="147"/>
      <c r="I1739" s="147"/>
      <c r="J1739" s="147"/>
      <c r="K1739" s="147"/>
      <c r="L1739" s="147"/>
      <c r="M1739" s="147"/>
      <c r="N1739" s="147"/>
      <c r="O1739" s="147"/>
      <c r="P1739" s="147"/>
      <c r="Q1739" s="147"/>
      <c r="R1739" s="148"/>
      <c r="S1739" s="148"/>
      <c r="T1739" s="148"/>
      <c r="U1739" s="148"/>
      <c r="V1739" s="148"/>
      <c r="W1739" s="148"/>
      <c r="X1739" s="148"/>
      <c r="Y1739" s="148"/>
      <c r="Z1739" s="148"/>
      <c r="AA1739" s="148"/>
      <c r="AB1739" s="148"/>
      <c r="AC1739" s="148"/>
    </row>
    <row r="1740" spans="1:29" hidden="1">
      <c r="A1740" s="146"/>
      <c r="B1740" s="147"/>
      <c r="C1740" s="147"/>
      <c r="D1740" s="147"/>
      <c r="E1740" s="147"/>
      <c r="F1740" s="147"/>
      <c r="G1740" s="147"/>
      <c r="H1740" s="147"/>
      <c r="I1740" s="147"/>
      <c r="J1740" s="147"/>
      <c r="K1740" s="147"/>
      <c r="L1740" s="147"/>
      <c r="M1740" s="147"/>
      <c r="N1740" s="147"/>
      <c r="O1740" s="147"/>
      <c r="P1740" s="147"/>
      <c r="Q1740" s="147"/>
      <c r="R1740" s="148"/>
      <c r="S1740" s="148"/>
      <c r="T1740" s="148"/>
      <c r="U1740" s="148"/>
      <c r="V1740" s="148"/>
      <c r="W1740" s="148"/>
      <c r="X1740" s="148"/>
      <c r="Y1740" s="148"/>
      <c r="Z1740" s="148"/>
      <c r="AA1740" s="148"/>
      <c r="AB1740" s="148"/>
      <c r="AC1740" s="148"/>
    </row>
    <row r="1741" spans="1:29" hidden="1">
      <c r="A1741" s="146"/>
      <c r="B1741" s="147"/>
      <c r="C1741" s="147"/>
      <c r="D1741" s="147"/>
      <c r="E1741" s="147"/>
      <c r="F1741" s="147"/>
      <c r="G1741" s="147"/>
      <c r="H1741" s="147"/>
      <c r="I1741" s="147"/>
      <c r="J1741" s="147"/>
      <c r="K1741" s="147"/>
      <c r="L1741" s="147"/>
      <c r="M1741" s="147"/>
      <c r="N1741" s="147"/>
      <c r="O1741" s="147"/>
      <c r="P1741" s="147"/>
      <c r="Q1741" s="147"/>
      <c r="R1741" s="148"/>
      <c r="S1741" s="148"/>
      <c r="T1741" s="148"/>
      <c r="U1741" s="148"/>
      <c r="V1741" s="148"/>
      <c r="W1741" s="148"/>
      <c r="X1741" s="148"/>
      <c r="Y1741" s="148"/>
      <c r="Z1741" s="148"/>
      <c r="AA1741" s="148"/>
      <c r="AB1741" s="148"/>
      <c r="AC1741" s="148"/>
    </row>
    <row r="1742" spans="1:29" hidden="1">
      <c r="A1742" s="146"/>
      <c r="B1742" s="147"/>
      <c r="C1742" s="147"/>
      <c r="D1742" s="147"/>
      <c r="E1742" s="147"/>
      <c r="F1742" s="147"/>
      <c r="G1742" s="147"/>
      <c r="H1742" s="147"/>
      <c r="I1742" s="147"/>
      <c r="J1742" s="147"/>
      <c r="K1742" s="147"/>
      <c r="L1742" s="147"/>
      <c r="M1742" s="147"/>
      <c r="N1742" s="147"/>
      <c r="O1742" s="147"/>
      <c r="P1742" s="147"/>
      <c r="Q1742" s="147"/>
      <c r="R1742" s="148"/>
      <c r="S1742" s="148"/>
      <c r="T1742" s="148"/>
      <c r="U1742" s="148"/>
      <c r="V1742" s="148"/>
      <c r="W1742" s="148"/>
      <c r="X1742" s="148"/>
      <c r="Y1742" s="148"/>
      <c r="Z1742" s="148"/>
      <c r="AA1742" s="148"/>
      <c r="AB1742" s="148"/>
      <c r="AC1742" s="148"/>
    </row>
    <row r="1743" spans="1:29" hidden="1">
      <c r="A1743" s="146"/>
      <c r="B1743" s="147"/>
      <c r="C1743" s="147"/>
      <c r="D1743" s="147"/>
      <c r="E1743" s="147"/>
      <c r="F1743" s="147"/>
      <c r="G1743" s="147"/>
      <c r="H1743" s="147"/>
      <c r="I1743" s="147"/>
      <c r="J1743" s="147"/>
      <c r="K1743" s="147"/>
      <c r="L1743" s="147"/>
      <c r="M1743" s="147"/>
      <c r="N1743" s="147"/>
      <c r="O1743" s="147"/>
      <c r="P1743" s="147"/>
      <c r="Q1743" s="147"/>
      <c r="R1743" s="148"/>
      <c r="S1743" s="148"/>
      <c r="T1743" s="148"/>
      <c r="U1743" s="148"/>
      <c r="V1743" s="148"/>
      <c r="W1743" s="148"/>
      <c r="X1743" s="148"/>
      <c r="Y1743" s="148"/>
      <c r="Z1743" s="148"/>
      <c r="AA1743" s="148"/>
      <c r="AB1743" s="148"/>
      <c r="AC1743" s="148"/>
    </row>
    <row r="1744" spans="1:29" hidden="1">
      <c r="A1744" s="146"/>
      <c r="B1744" s="147"/>
      <c r="C1744" s="147"/>
      <c r="D1744" s="147"/>
      <c r="E1744" s="147"/>
      <c r="F1744" s="147"/>
      <c r="G1744" s="147"/>
      <c r="H1744" s="147"/>
      <c r="I1744" s="147"/>
      <c r="J1744" s="147"/>
      <c r="K1744" s="147"/>
      <c r="L1744" s="147"/>
      <c r="M1744" s="147"/>
      <c r="N1744" s="147"/>
      <c r="O1744" s="147"/>
      <c r="P1744" s="147"/>
      <c r="Q1744" s="147"/>
      <c r="R1744" s="148"/>
      <c r="S1744" s="148"/>
      <c r="T1744" s="148"/>
      <c r="U1744" s="148"/>
      <c r="V1744" s="148"/>
      <c r="W1744" s="148"/>
      <c r="X1744" s="148"/>
      <c r="Y1744" s="148"/>
      <c r="Z1744" s="148"/>
      <c r="AA1744" s="148"/>
      <c r="AB1744" s="148"/>
      <c r="AC1744" s="148"/>
    </row>
    <row r="1745" spans="1:29" hidden="1">
      <c r="A1745" s="146"/>
      <c r="B1745" s="147"/>
      <c r="C1745" s="147"/>
      <c r="D1745" s="147"/>
      <c r="E1745" s="147"/>
      <c r="F1745" s="147"/>
      <c r="G1745" s="147"/>
      <c r="H1745" s="147"/>
      <c r="I1745" s="147"/>
      <c r="J1745" s="147"/>
      <c r="K1745" s="147"/>
      <c r="L1745" s="147"/>
      <c r="M1745" s="147"/>
      <c r="N1745" s="147"/>
      <c r="O1745" s="147"/>
      <c r="P1745" s="147"/>
      <c r="Q1745" s="147"/>
      <c r="R1745" s="148"/>
      <c r="S1745" s="148"/>
      <c r="T1745" s="148"/>
      <c r="U1745" s="148"/>
      <c r="V1745" s="148"/>
      <c r="W1745" s="148"/>
      <c r="X1745" s="148"/>
      <c r="Y1745" s="148"/>
      <c r="Z1745" s="148"/>
      <c r="AA1745" s="148"/>
      <c r="AB1745" s="148"/>
      <c r="AC1745" s="148"/>
    </row>
    <row r="1746" spans="1:29" hidden="1">
      <c r="A1746" s="146"/>
      <c r="B1746" s="147"/>
      <c r="C1746" s="147"/>
      <c r="D1746" s="147"/>
      <c r="E1746" s="147"/>
      <c r="F1746" s="147"/>
      <c r="G1746" s="147"/>
      <c r="H1746" s="147"/>
      <c r="I1746" s="147"/>
      <c r="J1746" s="147"/>
      <c r="K1746" s="147"/>
      <c r="L1746" s="147"/>
      <c r="M1746" s="147"/>
      <c r="N1746" s="147"/>
      <c r="O1746" s="147"/>
      <c r="P1746" s="147"/>
      <c r="Q1746" s="147"/>
      <c r="R1746" s="148"/>
      <c r="S1746" s="148"/>
      <c r="T1746" s="148"/>
      <c r="U1746" s="148"/>
      <c r="V1746" s="148"/>
      <c r="W1746" s="148"/>
      <c r="X1746" s="148"/>
      <c r="Y1746" s="148"/>
      <c r="Z1746" s="148"/>
      <c r="AA1746" s="148"/>
      <c r="AB1746" s="148"/>
      <c r="AC1746" s="148"/>
    </row>
    <row r="1747" spans="1:29" hidden="1">
      <c r="A1747" s="146"/>
      <c r="B1747" s="147"/>
      <c r="C1747" s="147"/>
      <c r="D1747" s="147"/>
      <c r="E1747" s="147"/>
      <c r="F1747" s="147"/>
      <c r="G1747" s="147"/>
      <c r="H1747" s="147"/>
      <c r="I1747" s="147"/>
      <c r="J1747" s="147"/>
      <c r="K1747" s="147"/>
      <c r="L1747" s="147"/>
      <c r="M1747" s="147"/>
      <c r="N1747" s="147"/>
      <c r="O1747" s="147"/>
      <c r="P1747" s="147"/>
      <c r="Q1747" s="147"/>
      <c r="R1747" s="148"/>
      <c r="S1747" s="148"/>
      <c r="T1747" s="148"/>
      <c r="U1747" s="148"/>
      <c r="V1747" s="148"/>
      <c r="W1747" s="148"/>
      <c r="X1747" s="148"/>
      <c r="Y1747" s="148"/>
      <c r="Z1747" s="148"/>
      <c r="AA1747" s="148"/>
      <c r="AB1747" s="148"/>
      <c r="AC1747" s="148"/>
    </row>
    <row r="1748" spans="1:29" hidden="1">
      <c r="A1748" s="146"/>
      <c r="B1748" s="147"/>
      <c r="C1748" s="147"/>
      <c r="D1748" s="147"/>
      <c r="E1748" s="147"/>
      <c r="F1748" s="147"/>
      <c r="G1748" s="147"/>
      <c r="H1748" s="147"/>
      <c r="I1748" s="147"/>
      <c r="J1748" s="147"/>
      <c r="K1748" s="147"/>
      <c r="L1748" s="147"/>
      <c r="M1748" s="147"/>
      <c r="N1748" s="147"/>
      <c r="O1748" s="147"/>
      <c r="P1748" s="147"/>
      <c r="Q1748" s="147"/>
      <c r="R1748" s="148"/>
      <c r="S1748" s="148"/>
      <c r="T1748" s="148"/>
      <c r="U1748" s="148"/>
      <c r="V1748" s="148"/>
      <c r="W1748" s="148"/>
      <c r="X1748" s="148"/>
      <c r="Y1748" s="148"/>
      <c r="Z1748" s="148"/>
      <c r="AA1748" s="148"/>
      <c r="AB1748" s="148"/>
      <c r="AC1748" s="148"/>
    </row>
    <row r="1749" spans="1:29" hidden="1">
      <c r="A1749" s="146"/>
      <c r="B1749" s="147"/>
      <c r="C1749" s="147"/>
      <c r="D1749" s="147"/>
      <c r="E1749" s="147"/>
      <c r="F1749" s="147"/>
      <c r="G1749" s="147"/>
      <c r="H1749" s="147"/>
      <c r="I1749" s="147"/>
      <c r="J1749" s="147"/>
      <c r="K1749" s="147"/>
      <c r="L1749" s="147"/>
      <c r="M1749" s="147"/>
      <c r="N1749" s="147"/>
      <c r="O1749" s="147"/>
      <c r="P1749" s="147"/>
      <c r="Q1749" s="147"/>
      <c r="R1749" s="148"/>
      <c r="S1749" s="148"/>
      <c r="T1749" s="148"/>
      <c r="U1749" s="148"/>
      <c r="V1749" s="148"/>
      <c r="W1749" s="148"/>
      <c r="X1749" s="148"/>
      <c r="Y1749" s="148"/>
      <c r="Z1749" s="148"/>
      <c r="AA1749" s="148"/>
      <c r="AB1749" s="148"/>
      <c r="AC1749" s="148"/>
    </row>
    <row r="1750" spans="1:29" hidden="1">
      <c r="A1750" s="146"/>
      <c r="B1750" s="147"/>
      <c r="C1750" s="147"/>
      <c r="D1750" s="147"/>
      <c r="E1750" s="147"/>
      <c r="F1750" s="147"/>
      <c r="G1750" s="147"/>
      <c r="H1750" s="147"/>
      <c r="I1750" s="147"/>
      <c r="J1750" s="147"/>
      <c r="K1750" s="147"/>
      <c r="L1750" s="147"/>
      <c r="M1750" s="147"/>
      <c r="N1750" s="147"/>
      <c r="O1750" s="147"/>
      <c r="P1750" s="147"/>
      <c r="Q1750" s="147"/>
      <c r="R1750" s="148"/>
      <c r="S1750" s="148"/>
      <c r="T1750" s="148"/>
      <c r="U1750" s="148"/>
      <c r="V1750" s="148"/>
      <c r="W1750" s="148"/>
      <c r="X1750" s="148"/>
      <c r="Y1750" s="148"/>
      <c r="Z1750" s="148"/>
      <c r="AA1750" s="148"/>
      <c r="AB1750" s="148"/>
      <c r="AC1750" s="148"/>
    </row>
    <row r="1751" spans="1:29" hidden="1">
      <c r="A1751" s="146"/>
      <c r="B1751" s="147"/>
      <c r="C1751" s="147"/>
      <c r="D1751" s="147"/>
      <c r="E1751" s="147"/>
      <c r="F1751" s="147"/>
      <c r="G1751" s="147"/>
      <c r="H1751" s="147"/>
      <c r="I1751" s="147"/>
      <c r="J1751" s="147"/>
      <c r="K1751" s="147"/>
      <c r="L1751" s="147"/>
      <c r="M1751" s="147"/>
      <c r="N1751" s="147"/>
      <c r="O1751" s="147"/>
      <c r="P1751" s="147"/>
      <c r="Q1751" s="147"/>
      <c r="R1751" s="148"/>
      <c r="S1751" s="148"/>
      <c r="T1751" s="148"/>
      <c r="U1751" s="148"/>
      <c r="V1751" s="148"/>
      <c r="W1751" s="148"/>
      <c r="X1751" s="148"/>
      <c r="Y1751" s="148"/>
      <c r="Z1751" s="148"/>
      <c r="AA1751" s="148"/>
      <c r="AB1751" s="148"/>
      <c r="AC1751" s="148"/>
    </row>
    <row r="1752" spans="1:29" hidden="1">
      <c r="A1752" s="146"/>
      <c r="B1752" s="147"/>
      <c r="C1752" s="147"/>
      <c r="D1752" s="147"/>
      <c r="E1752" s="147"/>
      <c r="F1752" s="147"/>
      <c r="G1752" s="147"/>
      <c r="H1752" s="147"/>
      <c r="I1752" s="147"/>
      <c r="J1752" s="147"/>
      <c r="K1752" s="147"/>
      <c r="L1752" s="147"/>
      <c r="M1752" s="147"/>
      <c r="N1752" s="147"/>
      <c r="O1752" s="147"/>
      <c r="P1752" s="147"/>
      <c r="Q1752" s="147"/>
      <c r="R1752" s="148"/>
      <c r="S1752" s="148"/>
      <c r="T1752" s="148"/>
      <c r="U1752" s="148"/>
      <c r="V1752" s="148"/>
      <c r="W1752" s="148"/>
      <c r="X1752" s="148"/>
      <c r="Y1752" s="148"/>
      <c r="Z1752" s="148"/>
      <c r="AA1752" s="148"/>
      <c r="AB1752" s="148"/>
      <c r="AC1752" s="148"/>
    </row>
    <row r="1753" spans="1:29" hidden="1">
      <c r="A1753" s="146"/>
      <c r="B1753" s="147"/>
      <c r="C1753" s="147"/>
      <c r="D1753" s="147"/>
      <c r="E1753" s="147"/>
      <c r="F1753" s="147"/>
      <c r="G1753" s="147"/>
      <c r="H1753" s="147"/>
      <c r="I1753" s="147"/>
      <c r="J1753" s="147"/>
      <c r="K1753" s="147"/>
      <c r="L1753" s="147"/>
      <c r="M1753" s="147"/>
      <c r="N1753" s="147"/>
      <c r="O1753" s="147"/>
      <c r="P1753" s="147"/>
      <c r="Q1753" s="147"/>
      <c r="R1753" s="148"/>
      <c r="S1753" s="148"/>
      <c r="T1753" s="148"/>
      <c r="U1753" s="148"/>
      <c r="V1753" s="148"/>
      <c r="W1753" s="148"/>
      <c r="X1753" s="148"/>
      <c r="Y1753" s="148"/>
      <c r="Z1753" s="148"/>
      <c r="AA1753" s="148"/>
      <c r="AB1753" s="148"/>
      <c r="AC1753" s="148"/>
    </row>
    <row r="1754" spans="1:29" hidden="1">
      <c r="A1754" s="146"/>
      <c r="B1754" s="147"/>
      <c r="C1754" s="147"/>
      <c r="D1754" s="147"/>
      <c r="E1754" s="147"/>
      <c r="F1754" s="147"/>
      <c r="G1754" s="147"/>
      <c r="H1754" s="147"/>
      <c r="I1754" s="147"/>
      <c r="J1754" s="147"/>
      <c r="K1754" s="147"/>
      <c r="L1754" s="147"/>
      <c r="M1754" s="147"/>
      <c r="N1754" s="147"/>
      <c r="O1754" s="147"/>
      <c r="P1754" s="147"/>
      <c r="Q1754" s="147"/>
      <c r="R1754" s="148"/>
      <c r="S1754" s="148"/>
      <c r="T1754" s="148"/>
      <c r="U1754" s="148"/>
      <c r="V1754" s="148"/>
      <c r="W1754" s="148"/>
      <c r="X1754" s="148"/>
      <c r="Y1754" s="148"/>
      <c r="Z1754" s="148"/>
      <c r="AA1754" s="148"/>
      <c r="AB1754" s="148"/>
      <c r="AC1754" s="148"/>
    </row>
    <row r="1755" spans="1:29" hidden="1">
      <c r="A1755" s="146"/>
      <c r="B1755" s="147"/>
      <c r="C1755" s="147"/>
      <c r="D1755" s="147"/>
      <c r="E1755" s="147"/>
      <c r="F1755" s="147"/>
      <c r="G1755" s="147"/>
      <c r="H1755" s="147"/>
      <c r="I1755" s="147"/>
      <c r="J1755" s="147"/>
      <c r="K1755" s="147"/>
      <c r="L1755" s="147"/>
      <c r="M1755" s="147"/>
      <c r="N1755" s="147"/>
      <c r="O1755" s="147"/>
      <c r="P1755" s="147"/>
      <c r="Q1755" s="147"/>
      <c r="R1755" s="148"/>
      <c r="S1755" s="148"/>
      <c r="T1755" s="148"/>
      <c r="U1755" s="148"/>
      <c r="V1755" s="148"/>
      <c r="W1755" s="148"/>
      <c r="X1755" s="148"/>
      <c r="Y1755" s="148"/>
      <c r="Z1755" s="148"/>
      <c r="AA1755" s="148"/>
      <c r="AB1755" s="148"/>
      <c r="AC1755" s="148"/>
    </row>
    <row r="1756" spans="1:29" hidden="1">
      <c r="A1756" s="146"/>
      <c r="B1756" s="147"/>
      <c r="C1756" s="147"/>
      <c r="D1756" s="147"/>
      <c r="E1756" s="147"/>
      <c r="F1756" s="147"/>
      <c r="G1756" s="147"/>
      <c r="H1756" s="147"/>
      <c r="I1756" s="147"/>
      <c r="J1756" s="147"/>
      <c r="K1756" s="147"/>
      <c r="L1756" s="147"/>
      <c r="M1756" s="147"/>
      <c r="N1756" s="147"/>
      <c r="O1756" s="147"/>
      <c r="P1756" s="147"/>
      <c r="Q1756" s="147"/>
      <c r="R1756" s="148"/>
      <c r="S1756" s="148"/>
      <c r="T1756" s="148"/>
      <c r="U1756" s="148"/>
      <c r="V1756" s="148"/>
      <c r="W1756" s="148"/>
      <c r="X1756" s="148"/>
      <c r="Y1756" s="148"/>
      <c r="Z1756" s="148"/>
      <c r="AA1756" s="148"/>
      <c r="AB1756" s="148"/>
      <c r="AC1756" s="148"/>
    </row>
    <row r="1757" spans="1:29" hidden="1">
      <c r="A1757" s="146"/>
      <c r="B1757" s="147"/>
      <c r="C1757" s="147"/>
      <c r="D1757" s="147"/>
      <c r="E1757" s="147"/>
      <c r="F1757" s="147"/>
      <c r="G1757" s="147"/>
      <c r="H1757" s="147"/>
      <c r="I1757" s="147"/>
      <c r="J1757" s="147"/>
      <c r="K1757" s="147"/>
      <c r="L1757" s="147"/>
      <c r="M1757" s="147"/>
      <c r="N1757" s="147"/>
      <c r="O1757" s="147"/>
      <c r="P1757" s="147"/>
      <c r="Q1757" s="147"/>
      <c r="R1757" s="148"/>
      <c r="S1757" s="148"/>
      <c r="T1757" s="148"/>
      <c r="U1757" s="148"/>
      <c r="V1757" s="148"/>
      <c r="W1757" s="148"/>
      <c r="X1757" s="148"/>
      <c r="Y1757" s="148"/>
      <c r="Z1757" s="148"/>
      <c r="AA1757" s="148"/>
      <c r="AB1757" s="148"/>
      <c r="AC1757" s="148"/>
    </row>
    <row r="1758" spans="1:29" hidden="1">
      <c r="A1758" s="146"/>
      <c r="B1758" s="147"/>
      <c r="C1758" s="147"/>
      <c r="D1758" s="147"/>
      <c r="E1758" s="147"/>
      <c r="F1758" s="147"/>
      <c r="G1758" s="147"/>
      <c r="H1758" s="147"/>
      <c r="I1758" s="147"/>
      <c r="J1758" s="147"/>
      <c r="K1758" s="147"/>
      <c r="L1758" s="147"/>
      <c r="M1758" s="147"/>
      <c r="N1758" s="147"/>
      <c r="O1758" s="147"/>
      <c r="P1758" s="147"/>
      <c r="Q1758" s="147"/>
      <c r="R1758" s="148"/>
      <c r="S1758" s="148"/>
      <c r="T1758" s="148"/>
      <c r="U1758" s="148"/>
      <c r="V1758" s="148"/>
      <c r="W1758" s="148"/>
      <c r="X1758" s="148"/>
      <c r="Y1758" s="148"/>
      <c r="Z1758" s="148"/>
      <c r="AA1758" s="148"/>
      <c r="AB1758" s="148"/>
      <c r="AC1758" s="148"/>
    </row>
    <row r="1759" spans="1:29" hidden="1">
      <c r="A1759" s="146"/>
      <c r="B1759" s="147"/>
      <c r="C1759" s="147"/>
      <c r="D1759" s="147"/>
      <c r="E1759" s="147"/>
      <c r="F1759" s="147"/>
      <c r="G1759" s="147"/>
      <c r="H1759" s="147"/>
      <c r="I1759" s="147"/>
      <c r="J1759" s="147"/>
      <c r="K1759" s="147"/>
      <c r="L1759" s="147"/>
      <c r="M1759" s="147"/>
      <c r="N1759" s="147"/>
      <c r="O1759" s="147"/>
      <c r="P1759" s="147"/>
      <c r="Q1759" s="147"/>
      <c r="R1759" s="148"/>
      <c r="S1759" s="148"/>
      <c r="T1759" s="148"/>
      <c r="U1759" s="148"/>
      <c r="V1759" s="148"/>
      <c r="W1759" s="148"/>
      <c r="X1759" s="148"/>
      <c r="Y1759" s="148"/>
      <c r="Z1759" s="148"/>
      <c r="AA1759" s="148"/>
      <c r="AB1759" s="148"/>
      <c r="AC1759" s="148"/>
    </row>
    <row r="1760" spans="1:29" hidden="1">
      <c r="A1760" s="146"/>
      <c r="B1760" s="147"/>
      <c r="C1760" s="147"/>
      <c r="D1760" s="147"/>
      <c r="E1760" s="147"/>
      <c r="F1760" s="147"/>
      <c r="G1760" s="147"/>
      <c r="H1760" s="147"/>
      <c r="I1760" s="147"/>
      <c r="J1760" s="147"/>
      <c r="K1760" s="147"/>
      <c r="L1760" s="147"/>
      <c r="M1760" s="147"/>
      <c r="N1760" s="147"/>
      <c r="O1760" s="147"/>
      <c r="P1760" s="147"/>
      <c r="Q1760" s="147"/>
      <c r="R1760" s="148"/>
      <c r="S1760" s="148"/>
      <c r="T1760" s="148"/>
      <c r="U1760" s="148"/>
      <c r="V1760" s="148"/>
      <c r="W1760" s="148"/>
      <c r="X1760" s="148"/>
      <c r="Y1760" s="148"/>
      <c r="Z1760" s="148"/>
      <c r="AA1760" s="148"/>
      <c r="AB1760" s="148"/>
      <c r="AC1760" s="148"/>
    </row>
    <row r="1761" spans="1:29" hidden="1">
      <c r="A1761" s="146"/>
      <c r="B1761" s="147"/>
      <c r="C1761" s="147"/>
      <c r="D1761" s="147"/>
      <c r="E1761" s="147"/>
      <c r="F1761" s="147"/>
      <c r="G1761" s="147"/>
      <c r="H1761" s="147"/>
      <c r="I1761" s="147"/>
      <c r="J1761" s="147"/>
      <c r="K1761" s="147"/>
      <c r="L1761" s="147"/>
      <c r="M1761" s="147"/>
      <c r="N1761" s="147"/>
      <c r="O1761" s="147"/>
      <c r="P1761" s="147"/>
      <c r="Q1761" s="147"/>
      <c r="R1761" s="148"/>
      <c r="S1761" s="148"/>
      <c r="T1761" s="148"/>
      <c r="U1761" s="148"/>
      <c r="V1761" s="148"/>
      <c r="W1761" s="148"/>
      <c r="X1761" s="148"/>
      <c r="Y1761" s="148"/>
      <c r="Z1761" s="148"/>
      <c r="AA1761" s="148"/>
      <c r="AB1761" s="148"/>
      <c r="AC1761" s="148"/>
    </row>
    <row r="1762" spans="1:29" hidden="1">
      <c r="A1762" s="146"/>
      <c r="B1762" s="147"/>
      <c r="C1762" s="147"/>
      <c r="D1762" s="147"/>
      <c r="E1762" s="147"/>
      <c r="F1762" s="147"/>
      <c r="G1762" s="147"/>
      <c r="H1762" s="147"/>
      <c r="I1762" s="147"/>
      <c r="J1762" s="147"/>
      <c r="K1762" s="147"/>
      <c r="L1762" s="147"/>
      <c r="M1762" s="147"/>
      <c r="N1762" s="147"/>
      <c r="O1762" s="147"/>
      <c r="P1762" s="147"/>
      <c r="Q1762" s="147"/>
      <c r="R1762" s="148"/>
      <c r="S1762" s="148"/>
      <c r="T1762" s="148"/>
      <c r="U1762" s="148"/>
      <c r="V1762" s="148"/>
      <c r="W1762" s="148"/>
      <c r="X1762" s="148"/>
      <c r="Y1762" s="148"/>
      <c r="Z1762" s="148"/>
      <c r="AA1762" s="148"/>
      <c r="AB1762" s="148"/>
      <c r="AC1762" s="148"/>
    </row>
    <row r="1763" spans="1:29" hidden="1">
      <c r="A1763" s="146"/>
      <c r="B1763" s="147"/>
      <c r="C1763" s="147"/>
      <c r="D1763" s="147"/>
      <c r="E1763" s="147"/>
      <c r="F1763" s="147"/>
      <c r="G1763" s="147"/>
      <c r="H1763" s="147"/>
      <c r="I1763" s="147"/>
      <c r="J1763" s="147"/>
      <c r="K1763" s="147"/>
      <c r="L1763" s="147"/>
      <c r="M1763" s="147"/>
      <c r="N1763" s="147"/>
      <c r="O1763" s="147"/>
      <c r="P1763" s="147"/>
      <c r="Q1763" s="147"/>
      <c r="R1763" s="148"/>
      <c r="S1763" s="148"/>
      <c r="T1763" s="148"/>
      <c r="U1763" s="148"/>
      <c r="V1763" s="148"/>
      <c r="W1763" s="148"/>
      <c r="X1763" s="148"/>
      <c r="Y1763" s="148"/>
      <c r="Z1763" s="148"/>
      <c r="AA1763" s="148"/>
      <c r="AB1763" s="148"/>
      <c r="AC1763" s="148"/>
    </row>
    <row r="1764" spans="1:29" hidden="1">
      <c r="A1764" s="146"/>
      <c r="B1764" s="147"/>
      <c r="C1764" s="147"/>
      <c r="D1764" s="147"/>
      <c r="E1764" s="147"/>
      <c r="F1764" s="147"/>
      <c r="G1764" s="147"/>
      <c r="H1764" s="147"/>
      <c r="I1764" s="147"/>
      <c r="J1764" s="147"/>
      <c r="K1764" s="147"/>
      <c r="L1764" s="147"/>
      <c r="M1764" s="147"/>
      <c r="N1764" s="147"/>
      <c r="O1764" s="147"/>
      <c r="P1764" s="147"/>
      <c r="Q1764" s="147"/>
      <c r="R1764" s="148"/>
      <c r="S1764" s="148"/>
      <c r="T1764" s="148"/>
      <c r="U1764" s="148"/>
      <c r="V1764" s="148"/>
      <c r="W1764" s="148"/>
      <c r="X1764" s="148"/>
      <c r="Y1764" s="148"/>
      <c r="Z1764" s="148"/>
      <c r="AA1764" s="148"/>
      <c r="AB1764" s="148"/>
      <c r="AC1764" s="148"/>
    </row>
    <row r="1765" spans="1:29" hidden="1">
      <c r="A1765" s="146"/>
      <c r="B1765" s="147"/>
      <c r="C1765" s="147"/>
      <c r="D1765" s="147"/>
      <c r="E1765" s="147"/>
      <c r="F1765" s="147"/>
      <c r="G1765" s="147"/>
      <c r="H1765" s="147"/>
      <c r="I1765" s="147"/>
      <c r="J1765" s="147"/>
      <c r="K1765" s="147"/>
      <c r="L1765" s="147"/>
      <c r="M1765" s="147"/>
      <c r="N1765" s="147"/>
      <c r="O1765" s="147"/>
      <c r="P1765" s="147"/>
      <c r="Q1765" s="147"/>
      <c r="R1765" s="148"/>
      <c r="S1765" s="148"/>
      <c r="T1765" s="148"/>
      <c r="U1765" s="148"/>
      <c r="V1765" s="148"/>
      <c r="W1765" s="148"/>
      <c r="X1765" s="148"/>
      <c r="Y1765" s="148"/>
      <c r="Z1765" s="148"/>
      <c r="AA1765" s="148"/>
      <c r="AB1765" s="148"/>
      <c r="AC1765" s="148"/>
    </row>
    <row r="1766" spans="1:29" hidden="1">
      <c r="A1766" s="146"/>
      <c r="B1766" s="147"/>
      <c r="C1766" s="147"/>
      <c r="D1766" s="147"/>
      <c r="E1766" s="147"/>
      <c r="F1766" s="147"/>
      <c r="G1766" s="147"/>
      <c r="H1766" s="147"/>
      <c r="I1766" s="147"/>
      <c r="J1766" s="147"/>
      <c r="K1766" s="147"/>
      <c r="L1766" s="147"/>
      <c r="M1766" s="147"/>
      <c r="N1766" s="147"/>
      <c r="O1766" s="147"/>
      <c r="P1766" s="147"/>
      <c r="Q1766" s="147"/>
      <c r="R1766" s="148"/>
      <c r="S1766" s="148"/>
      <c r="T1766" s="148"/>
      <c r="U1766" s="148"/>
      <c r="V1766" s="148"/>
      <c r="W1766" s="148"/>
      <c r="X1766" s="148"/>
      <c r="Y1766" s="148"/>
      <c r="Z1766" s="148"/>
      <c r="AA1766" s="148"/>
      <c r="AB1766" s="148"/>
      <c r="AC1766" s="148"/>
    </row>
    <row r="1767" spans="1:29" hidden="1">
      <c r="A1767" s="146"/>
      <c r="B1767" s="147"/>
      <c r="C1767" s="147"/>
      <c r="D1767" s="147"/>
      <c r="E1767" s="147"/>
      <c r="F1767" s="147"/>
      <c r="G1767" s="147"/>
      <c r="H1767" s="147"/>
      <c r="I1767" s="147"/>
      <c r="J1767" s="147"/>
      <c r="K1767" s="147"/>
      <c r="L1767" s="147"/>
      <c r="M1767" s="147"/>
      <c r="N1767" s="147"/>
      <c r="O1767" s="147"/>
      <c r="P1767" s="147"/>
      <c r="Q1767" s="147"/>
      <c r="R1767" s="148"/>
      <c r="S1767" s="148"/>
      <c r="T1767" s="148"/>
      <c r="U1767" s="148"/>
      <c r="V1767" s="148"/>
      <c r="W1767" s="148"/>
      <c r="X1767" s="148"/>
      <c r="Y1767" s="148"/>
      <c r="Z1767" s="148"/>
      <c r="AA1767" s="148"/>
      <c r="AB1767" s="148"/>
      <c r="AC1767" s="148"/>
    </row>
    <row r="1768" spans="1:29" hidden="1">
      <c r="A1768" s="146"/>
      <c r="B1768" s="147"/>
      <c r="C1768" s="147"/>
      <c r="D1768" s="147"/>
      <c r="E1768" s="147"/>
      <c r="F1768" s="147"/>
      <c r="G1768" s="147"/>
      <c r="H1768" s="147"/>
      <c r="I1768" s="147"/>
      <c r="J1768" s="147"/>
      <c r="K1768" s="147"/>
      <c r="L1768" s="147"/>
      <c r="M1768" s="147"/>
      <c r="N1768" s="147"/>
      <c r="O1768" s="147"/>
      <c r="P1768" s="147"/>
      <c r="Q1768" s="147"/>
      <c r="R1768" s="148"/>
      <c r="S1768" s="148"/>
      <c r="T1768" s="148"/>
      <c r="U1768" s="148"/>
      <c r="V1768" s="148"/>
      <c r="W1768" s="148"/>
      <c r="X1768" s="148"/>
      <c r="Y1768" s="148"/>
      <c r="Z1768" s="148"/>
      <c r="AA1768" s="148"/>
      <c r="AB1768" s="148"/>
      <c r="AC1768" s="148"/>
    </row>
    <row r="1769" spans="1:29" hidden="1">
      <c r="A1769" s="146"/>
      <c r="B1769" s="147"/>
      <c r="C1769" s="147"/>
      <c r="D1769" s="147"/>
      <c r="E1769" s="147"/>
      <c r="F1769" s="147"/>
      <c r="G1769" s="147"/>
      <c r="H1769" s="147"/>
      <c r="I1769" s="147"/>
      <c r="J1769" s="147"/>
      <c r="K1769" s="147"/>
      <c r="L1769" s="147"/>
      <c r="M1769" s="147"/>
      <c r="N1769" s="147"/>
      <c r="O1769" s="147"/>
      <c r="P1769" s="147"/>
      <c r="Q1769" s="147"/>
      <c r="R1769" s="148"/>
      <c r="S1769" s="148"/>
      <c r="T1769" s="148"/>
      <c r="U1769" s="148"/>
      <c r="V1769" s="148"/>
      <c r="W1769" s="148"/>
      <c r="X1769" s="148"/>
      <c r="Y1769" s="148"/>
      <c r="Z1769" s="148"/>
      <c r="AA1769" s="148"/>
      <c r="AB1769" s="148"/>
      <c r="AC1769" s="148"/>
    </row>
    <row r="1770" spans="1:29" hidden="1">
      <c r="A1770" s="146"/>
      <c r="B1770" s="147"/>
      <c r="C1770" s="147"/>
      <c r="D1770" s="147"/>
      <c r="E1770" s="147"/>
      <c r="F1770" s="147"/>
      <c r="G1770" s="147"/>
      <c r="H1770" s="147"/>
      <c r="I1770" s="147"/>
      <c r="J1770" s="147"/>
      <c r="K1770" s="147"/>
      <c r="L1770" s="147"/>
      <c r="M1770" s="147"/>
      <c r="N1770" s="147"/>
      <c r="O1770" s="147"/>
      <c r="P1770" s="147"/>
      <c r="Q1770" s="147"/>
      <c r="R1770" s="148"/>
      <c r="S1770" s="148"/>
      <c r="T1770" s="148"/>
      <c r="U1770" s="148"/>
      <c r="V1770" s="148"/>
      <c r="W1770" s="148"/>
      <c r="X1770" s="148"/>
      <c r="Y1770" s="148"/>
      <c r="Z1770" s="148"/>
      <c r="AA1770" s="148"/>
      <c r="AB1770" s="148"/>
      <c r="AC1770" s="148"/>
    </row>
    <row r="1771" spans="1:29" hidden="1">
      <c r="A1771" s="146"/>
      <c r="B1771" s="147"/>
      <c r="C1771" s="147"/>
      <c r="D1771" s="147"/>
      <c r="E1771" s="147"/>
      <c r="F1771" s="147"/>
      <c r="G1771" s="147"/>
      <c r="H1771" s="147"/>
      <c r="I1771" s="147"/>
      <c r="J1771" s="147"/>
      <c r="K1771" s="147"/>
      <c r="L1771" s="147"/>
      <c r="M1771" s="147"/>
      <c r="N1771" s="147"/>
      <c r="O1771" s="147"/>
      <c r="P1771" s="147"/>
      <c r="Q1771" s="147"/>
      <c r="R1771" s="148"/>
      <c r="S1771" s="148"/>
      <c r="T1771" s="148"/>
      <c r="U1771" s="148"/>
      <c r="V1771" s="148"/>
      <c r="W1771" s="148"/>
      <c r="X1771" s="148"/>
      <c r="Y1771" s="148"/>
      <c r="Z1771" s="148"/>
      <c r="AA1771" s="148"/>
      <c r="AB1771" s="148"/>
      <c r="AC1771" s="148"/>
    </row>
    <row r="1772" spans="1:29" hidden="1">
      <c r="A1772" s="146"/>
      <c r="B1772" s="147"/>
      <c r="C1772" s="147"/>
      <c r="D1772" s="147"/>
      <c r="E1772" s="147"/>
      <c r="F1772" s="147"/>
      <c r="G1772" s="147"/>
      <c r="H1772" s="147"/>
      <c r="I1772" s="147"/>
      <c r="J1772" s="147"/>
      <c r="K1772" s="147"/>
      <c r="L1772" s="147"/>
      <c r="M1772" s="147"/>
      <c r="N1772" s="147"/>
      <c r="O1772" s="147"/>
      <c r="P1772" s="147"/>
      <c r="Q1772" s="147"/>
      <c r="R1772" s="148"/>
      <c r="S1772" s="148"/>
      <c r="T1772" s="148"/>
      <c r="U1772" s="148"/>
      <c r="V1772" s="148"/>
      <c r="W1772" s="148"/>
      <c r="X1772" s="148"/>
      <c r="Y1772" s="148"/>
      <c r="Z1772" s="148"/>
      <c r="AA1772" s="148"/>
      <c r="AB1772" s="148"/>
      <c r="AC1772" s="148"/>
    </row>
    <row r="1773" spans="1:29" hidden="1">
      <c r="A1773" s="146"/>
      <c r="B1773" s="147"/>
      <c r="C1773" s="147"/>
      <c r="D1773" s="147"/>
      <c r="E1773" s="147"/>
      <c r="F1773" s="147"/>
      <c r="G1773" s="147"/>
      <c r="H1773" s="147"/>
      <c r="I1773" s="147"/>
      <c r="J1773" s="147"/>
      <c r="K1773" s="147"/>
      <c r="L1773" s="147"/>
      <c r="M1773" s="147"/>
      <c r="N1773" s="147"/>
      <c r="O1773" s="147"/>
      <c r="P1773" s="147"/>
      <c r="Q1773" s="147"/>
      <c r="R1773" s="148"/>
      <c r="S1773" s="148"/>
      <c r="T1773" s="148"/>
      <c r="U1773" s="148"/>
      <c r="V1773" s="148"/>
      <c r="W1773" s="148"/>
      <c r="X1773" s="148"/>
      <c r="Y1773" s="148"/>
      <c r="Z1773" s="148"/>
      <c r="AA1773" s="148"/>
      <c r="AB1773" s="148"/>
      <c r="AC1773" s="148"/>
    </row>
    <row r="1774" spans="1:29" hidden="1">
      <c r="A1774" s="146"/>
      <c r="B1774" s="147"/>
      <c r="C1774" s="147"/>
      <c r="D1774" s="147"/>
      <c r="E1774" s="147"/>
      <c r="F1774" s="147"/>
      <c r="G1774" s="147"/>
      <c r="H1774" s="147"/>
      <c r="I1774" s="147"/>
      <c r="J1774" s="147"/>
      <c r="K1774" s="147"/>
      <c r="L1774" s="147"/>
      <c r="M1774" s="147"/>
      <c r="N1774" s="147"/>
      <c r="O1774" s="147"/>
      <c r="P1774" s="147"/>
      <c r="Q1774" s="147"/>
      <c r="R1774" s="148"/>
      <c r="S1774" s="148"/>
      <c r="T1774" s="148"/>
      <c r="U1774" s="148"/>
      <c r="V1774" s="148"/>
      <c r="W1774" s="148"/>
      <c r="X1774" s="148"/>
      <c r="Y1774" s="148"/>
      <c r="Z1774" s="148"/>
      <c r="AA1774" s="148"/>
      <c r="AB1774" s="148"/>
      <c r="AC1774" s="148"/>
    </row>
    <row r="1775" spans="1:29" hidden="1">
      <c r="A1775" s="146"/>
      <c r="B1775" s="147"/>
      <c r="C1775" s="147"/>
      <c r="D1775" s="147"/>
      <c r="E1775" s="147"/>
      <c r="F1775" s="147"/>
      <c r="G1775" s="147"/>
      <c r="H1775" s="147"/>
      <c r="I1775" s="147"/>
      <c r="J1775" s="147"/>
      <c r="K1775" s="147"/>
      <c r="L1775" s="147"/>
      <c r="M1775" s="147"/>
      <c r="N1775" s="147"/>
      <c r="O1775" s="147"/>
      <c r="P1775" s="147"/>
      <c r="Q1775" s="147"/>
      <c r="R1775" s="148"/>
      <c r="S1775" s="148"/>
      <c r="T1775" s="148"/>
      <c r="U1775" s="148"/>
      <c r="V1775" s="148"/>
      <c r="W1775" s="148"/>
      <c r="X1775" s="148"/>
      <c r="Y1775" s="148"/>
      <c r="Z1775" s="148"/>
      <c r="AA1775" s="148"/>
      <c r="AB1775" s="148"/>
      <c r="AC1775" s="148"/>
    </row>
    <row r="1776" spans="1:29" hidden="1">
      <c r="A1776" s="146"/>
      <c r="B1776" s="147"/>
      <c r="C1776" s="147"/>
      <c r="D1776" s="147"/>
      <c r="E1776" s="147"/>
      <c r="F1776" s="147"/>
      <c r="G1776" s="147"/>
      <c r="H1776" s="147"/>
      <c r="I1776" s="147"/>
      <c r="J1776" s="147"/>
      <c r="K1776" s="147"/>
      <c r="L1776" s="147"/>
      <c r="M1776" s="147"/>
      <c r="N1776" s="147"/>
      <c r="O1776" s="147"/>
      <c r="P1776" s="147"/>
      <c r="Q1776" s="147"/>
      <c r="R1776" s="148"/>
      <c r="S1776" s="148"/>
      <c r="T1776" s="148"/>
      <c r="U1776" s="148"/>
      <c r="V1776" s="148"/>
      <c r="W1776" s="148"/>
      <c r="X1776" s="148"/>
      <c r="Y1776" s="148"/>
      <c r="Z1776" s="148"/>
      <c r="AA1776" s="148"/>
      <c r="AB1776" s="148"/>
      <c r="AC1776" s="148"/>
    </row>
    <row r="1777" spans="1:29" hidden="1">
      <c r="A1777" s="146"/>
      <c r="B1777" s="147"/>
      <c r="C1777" s="147"/>
      <c r="D1777" s="147"/>
      <c r="E1777" s="147"/>
      <c r="F1777" s="147"/>
      <c r="G1777" s="147"/>
      <c r="H1777" s="147"/>
      <c r="I1777" s="147"/>
      <c r="J1777" s="147"/>
      <c r="K1777" s="147"/>
      <c r="L1777" s="147"/>
      <c r="M1777" s="147"/>
      <c r="N1777" s="147"/>
      <c r="O1777" s="147"/>
      <c r="P1777" s="147"/>
      <c r="Q1777" s="147"/>
      <c r="R1777" s="148"/>
      <c r="S1777" s="148"/>
      <c r="T1777" s="148"/>
      <c r="U1777" s="148"/>
      <c r="V1777" s="148"/>
      <c r="W1777" s="148"/>
      <c r="X1777" s="148"/>
      <c r="Y1777" s="148"/>
      <c r="Z1777" s="148"/>
      <c r="AA1777" s="148"/>
      <c r="AB1777" s="148"/>
      <c r="AC1777" s="148"/>
    </row>
    <row r="1778" spans="1:29" hidden="1">
      <c r="A1778" s="146"/>
      <c r="B1778" s="147"/>
      <c r="C1778" s="147"/>
      <c r="D1778" s="147"/>
      <c r="E1778" s="147"/>
      <c r="F1778" s="147"/>
      <c r="G1778" s="147"/>
      <c r="H1778" s="147"/>
      <c r="I1778" s="147"/>
      <c r="J1778" s="147"/>
      <c r="K1778" s="147"/>
      <c r="L1778" s="147"/>
      <c r="M1778" s="147"/>
      <c r="N1778" s="147"/>
      <c r="O1778" s="147"/>
      <c r="P1778" s="147"/>
      <c r="Q1778" s="147"/>
      <c r="R1778" s="148"/>
      <c r="S1778" s="148"/>
      <c r="T1778" s="148"/>
      <c r="U1778" s="148"/>
      <c r="V1778" s="148"/>
      <c r="W1778" s="148"/>
      <c r="X1778" s="148"/>
      <c r="Y1778" s="148"/>
      <c r="Z1778" s="148"/>
      <c r="AA1778" s="148"/>
      <c r="AB1778" s="148"/>
      <c r="AC1778" s="148"/>
    </row>
    <row r="1779" spans="1:29" hidden="1">
      <c r="A1779" s="146"/>
      <c r="B1779" s="147"/>
      <c r="C1779" s="147"/>
      <c r="D1779" s="147"/>
      <c r="E1779" s="147"/>
      <c r="F1779" s="147"/>
      <c r="G1779" s="147"/>
      <c r="H1779" s="147"/>
      <c r="I1779" s="147"/>
      <c r="J1779" s="147"/>
      <c r="K1779" s="147"/>
      <c r="L1779" s="147"/>
      <c r="M1779" s="147"/>
      <c r="N1779" s="147"/>
      <c r="O1779" s="147"/>
      <c r="P1779" s="147"/>
      <c r="Q1779" s="147"/>
      <c r="R1779" s="148"/>
      <c r="S1779" s="148"/>
      <c r="T1779" s="148"/>
      <c r="U1779" s="148"/>
      <c r="V1779" s="148"/>
      <c r="W1779" s="148"/>
      <c r="X1779" s="148"/>
      <c r="Y1779" s="148"/>
      <c r="Z1779" s="148"/>
      <c r="AA1779" s="148"/>
      <c r="AB1779" s="148"/>
      <c r="AC1779" s="148"/>
    </row>
    <row r="1780" spans="1:29" hidden="1">
      <c r="A1780" s="146"/>
      <c r="B1780" s="147"/>
      <c r="C1780" s="147"/>
      <c r="D1780" s="147"/>
      <c r="E1780" s="147"/>
      <c r="F1780" s="147"/>
      <c r="G1780" s="147"/>
      <c r="H1780" s="147"/>
      <c r="I1780" s="147"/>
      <c r="J1780" s="147"/>
      <c r="K1780" s="147"/>
      <c r="L1780" s="147"/>
      <c r="M1780" s="147"/>
      <c r="N1780" s="147"/>
      <c r="O1780" s="147"/>
      <c r="P1780" s="147"/>
      <c r="Q1780" s="147"/>
      <c r="R1780" s="148"/>
      <c r="S1780" s="148"/>
      <c r="T1780" s="148"/>
      <c r="U1780" s="148"/>
      <c r="V1780" s="148"/>
      <c r="W1780" s="148"/>
      <c r="X1780" s="148"/>
      <c r="Y1780" s="148"/>
      <c r="Z1780" s="148"/>
      <c r="AA1780" s="148"/>
      <c r="AB1780" s="148"/>
      <c r="AC1780" s="148"/>
    </row>
    <row r="1781" spans="1:29" hidden="1">
      <c r="A1781" s="146"/>
      <c r="B1781" s="147"/>
      <c r="C1781" s="147"/>
      <c r="D1781" s="147"/>
      <c r="E1781" s="147"/>
      <c r="F1781" s="147"/>
      <c r="G1781" s="147"/>
      <c r="H1781" s="147"/>
      <c r="I1781" s="147"/>
      <c r="J1781" s="147"/>
      <c r="K1781" s="147"/>
      <c r="L1781" s="147"/>
      <c r="M1781" s="147"/>
      <c r="N1781" s="147"/>
      <c r="O1781" s="147"/>
      <c r="P1781" s="147"/>
      <c r="Q1781" s="147"/>
      <c r="R1781" s="148"/>
      <c r="S1781" s="148"/>
      <c r="T1781" s="148"/>
      <c r="U1781" s="148"/>
      <c r="V1781" s="148"/>
      <c r="W1781" s="148"/>
      <c r="X1781" s="148"/>
      <c r="Y1781" s="148"/>
      <c r="Z1781" s="148"/>
      <c r="AA1781" s="148"/>
      <c r="AB1781" s="148"/>
      <c r="AC1781" s="148"/>
    </row>
    <row r="1782" spans="1:29" hidden="1">
      <c r="A1782" s="146"/>
      <c r="B1782" s="147"/>
      <c r="C1782" s="147"/>
      <c r="D1782" s="147"/>
      <c r="E1782" s="147"/>
      <c r="F1782" s="147"/>
      <c r="G1782" s="147"/>
      <c r="H1782" s="147"/>
      <c r="I1782" s="147"/>
      <c r="J1782" s="147"/>
      <c r="K1782" s="147"/>
      <c r="L1782" s="147"/>
      <c r="M1782" s="147"/>
      <c r="N1782" s="147"/>
      <c r="O1782" s="147"/>
      <c r="P1782" s="147"/>
      <c r="Q1782" s="147"/>
      <c r="R1782" s="148"/>
      <c r="S1782" s="148"/>
      <c r="T1782" s="148"/>
      <c r="U1782" s="148"/>
      <c r="V1782" s="148"/>
      <c r="W1782" s="148"/>
      <c r="X1782" s="148"/>
      <c r="Y1782" s="148"/>
      <c r="Z1782" s="148"/>
      <c r="AA1782" s="148"/>
      <c r="AB1782" s="148"/>
      <c r="AC1782" s="148"/>
    </row>
    <row r="1783" spans="1:29" hidden="1">
      <c r="A1783" s="146"/>
      <c r="B1783" s="147"/>
      <c r="C1783" s="147"/>
      <c r="D1783" s="147"/>
      <c r="E1783" s="147"/>
      <c r="F1783" s="147"/>
      <c r="G1783" s="147"/>
      <c r="H1783" s="147"/>
      <c r="I1783" s="147"/>
      <c r="J1783" s="147"/>
      <c r="K1783" s="147"/>
      <c r="L1783" s="147"/>
      <c r="M1783" s="147"/>
      <c r="N1783" s="147"/>
      <c r="O1783" s="147"/>
      <c r="P1783" s="147"/>
      <c r="Q1783" s="147"/>
      <c r="R1783" s="148"/>
      <c r="S1783" s="148"/>
      <c r="T1783" s="148"/>
      <c r="U1783" s="148"/>
      <c r="V1783" s="148"/>
      <c r="W1783" s="148"/>
      <c r="X1783" s="148"/>
      <c r="Y1783" s="148"/>
      <c r="Z1783" s="148"/>
      <c r="AA1783" s="148"/>
      <c r="AB1783" s="148"/>
      <c r="AC1783" s="148"/>
    </row>
    <row r="1784" spans="1:29" hidden="1">
      <c r="A1784" s="146"/>
      <c r="B1784" s="147"/>
      <c r="C1784" s="147"/>
      <c r="D1784" s="147"/>
      <c r="E1784" s="147"/>
      <c r="F1784" s="147"/>
      <c r="G1784" s="147"/>
      <c r="H1784" s="147"/>
      <c r="I1784" s="147"/>
      <c r="J1784" s="147"/>
      <c r="K1784" s="147"/>
      <c r="L1784" s="147"/>
      <c r="M1784" s="147"/>
      <c r="N1784" s="147"/>
      <c r="O1784" s="147"/>
      <c r="P1784" s="147"/>
      <c r="Q1784" s="147"/>
      <c r="R1784" s="148"/>
      <c r="S1784" s="148"/>
      <c r="T1784" s="148"/>
      <c r="U1784" s="148"/>
      <c r="V1784" s="148"/>
      <c r="W1784" s="148"/>
      <c r="X1784" s="148"/>
      <c r="Y1784" s="148"/>
      <c r="Z1784" s="148"/>
      <c r="AA1784" s="148"/>
      <c r="AB1784" s="148"/>
      <c r="AC1784" s="148"/>
    </row>
    <row r="1785" spans="1:29" hidden="1">
      <c r="A1785" s="146"/>
      <c r="B1785" s="147"/>
      <c r="C1785" s="147"/>
      <c r="D1785" s="147"/>
      <c r="E1785" s="147"/>
      <c r="F1785" s="147"/>
      <c r="G1785" s="147"/>
      <c r="H1785" s="147"/>
      <c r="I1785" s="147"/>
      <c r="J1785" s="147"/>
      <c r="K1785" s="147"/>
      <c r="L1785" s="147"/>
      <c r="M1785" s="147"/>
      <c r="N1785" s="147"/>
      <c r="O1785" s="147"/>
      <c r="P1785" s="147"/>
      <c r="Q1785" s="147"/>
      <c r="R1785" s="148"/>
      <c r="S1785" s="148"/>
      <c r="T1785" s="148"/>
      <c r="U1785" s="148"/>
      <c r="V1785" s="148"/>
      <c r="W1785" s="148"/>
      <c r="X1785" s="148"/>
      <c r="Y1785" s="148"/>
      <c r="Z1785" s="148"/>
      <c r="AA1785" s="148"/>
      <c r="AB1785" s="148"/>
      <c r="AC1785" s="148"/>
    </row>
    <row r="1786" spans="1:29" hidden="1">
      <c r="A1786" s="146"/>
      <c r="B1786" s="147"/>
      <c r="C1786" s="147"/>
      <c r="D1786" s="147"/>
      <c r="E1786" s="147"/>
      <c r="F1786" s="147"/>
      <c r="G1786" s="147"/>
      <c r="H1786" s="147"/>
      <c r="I1786" s="147"/>
      <c r="J1786" s="147"/>
      <c r="K1786" s="147"/>
      <c r="L1786" s="147"/>
      <c r="M1786" s="147"/>
      <c r="N1786" s="147"/>
      <c r="O1786" s="147"/>
      <c r="P1786" s="147"/>
      <c r="Q1786" s="147"/>
      <c r="R1786" s="148"/>
      <c r="S1786" s="148"/>
      <c r="T1786" s="148"/>
      <c r="U1786" s="148"/>
      <c r="V1786" s="148"/>
      <c r="W1786" s="148"/>
      <c r="X1786" s="148"/>
      <c r="Y1786" s="148"/>
      <c r="Z1786" s="148"/>
      <c r="AA1786" s="148"/>
      <c r="AB1786" s="148"/>
      <c r="AC1786" s="148"/>
    </row>
    <row r="1787" spans="1:29" hidden="1">
      <c r="A1787" s="146"/>
      <c r="B1787" s="147"/>
      <c r="C1787" s="147"/>
      <c r="D1787" s="147"/>
      <c r="E1787" s="147"/>
      <c r="F1787" s="147"/>
      <c r="G1787" s="147"/>
      <c r="H1787" s="147"/>
      <c r="I1787" s="147"/>
      <c r="J1787" s="147"/>
      <c r="K1787" s="147"/>
      <c r="L1787" s="147"/>
      <c r="M1787" s="147"/>
      <c r="N1787" s="147"/>
      <c r="O1787" s="147"/>
      <c r="P1787" s="147"/>
      <c r="Q1787" s="147"/>
      <c r="R1787" s="148"/>
      <c r="S1787" s="148"/>
      <c r="T1787" s="148"/>
      <c r="U1787" s="148"/>
      <c r="V1787" s="148"/>
      <c r="W1787" s="148"/>
      <c r="X1787" s="148"/>
      <c r="Y1787" s="148"/>
      <c r="Z1787" s="148"/>
      <c r="AA1787" s="148"/>
      <c r="AB1787" s="148"/>
      <c r="AC1787" s="148"/>
    </row>
    <row r="1788" spans="1:29" hidden="1">
      <c r="A1788" s="146"/>
      <c r="B1788" s="147"/>
      <c r="C1788" s="147"/>
      <c r="D1788" s="147"/>
      <c r="E1788" s="147"/>
      <c r="F1788" s="147"/>
      <c r="G1788" s="147"/>
      <c r="H1788" s="147"/>
      <c r="I1788" s="147"/>
      <c r="J1788" s="147"/>
      <c r="K1788" s="147"/>
      <c r="L1788" s="147"/>
      <c r="M1788" s="147"/>
      <c r="N1788" s="147"/>
      <c r="O1788" s="147"/>
      <c r="P1788" s="147"/>
      <c r="Q1788" s="147"/>
      <c r="R1788" s="148"/>
      <c r="S1788" s="148"/>
      <c r="T1788" s="148"/>
      <c r="U1788" s="148"/>
      <c r="V1788" s="148"/>
      <c r="W1788" s="148"/>
      <c r="X1788" s="148"/>
      <c r="Y1788" s="148"/>
      <c r="Z1788" s="148"/>
      <c r="AA1788" s="148"/>
      <c r="AB1788" s="148"/>
      <c r="AC1788" s="148"/>
    </row>
    <row r="1789" spans="1:29" hidden="1">
      <c r="A1789" s="146"/>
      <c r="B1789" s="147"/>
      <c r="C1789" s="147"/>
      <c r="D1789" s="147"/>
      <c r="E1789" s="147"/>
      <c r="F1789" s="147"/>
      <c r="G1789" s="147"/>
      <c r="H1789" s="147"/>
      <c r="I1789" s="147"/>
      <c r="J1789" s="147"/>
      <c r="K1789" s="147"/>
      <c r="L1789" s="147"/>
      <c r="M1789" s="147"/>
      <c r="N1789" s="147"/>
      <c r="O1789" s="147"/>
      <c r="P1789" s="147"/>
      <c r="Q1789" s="147"/>
      <c r="R1789" s="148"/>
      <c r="S1789" s="148"/>
      <c r="T1789" s="148"/>
      <c r="U1789" s="148"/>
      <c r="V1789" s="148"/>
      <c r="W1789" s="148"/>
      <c r="X1789" s="148"/>
      <c r="Y1789" s="148"/>
      <c r="Z1789" s="148"/>
      <c r="AA1789" s="148"/>
      <c r="AB1789" s="148"/>
      <c r="AC1789" s="148"/>
    </row>
    <row r="1790" spans="1:29" hidden="1">
      <c r="A1790" s="146"/>
      <c r="B1790" s="147"/>
      <c r="C1790" s="147"/>
      <c r="D1790" s="147"/>
      <c r="E1790" s="147"/>
      <c r="F1790" s="147"/>
      <c r="G1790" s="147"/>
      <c r="H1790" s="147"/>
      <c r="I1790" s="147"/>
      <c r="J1790" s="147"/>
      <c r="K1790" s="147"/>
      <c r="L1790" s="147"/>
      <c r="M1790" s="147"/>
      <c r="N1790" s="147"/>
      <c r="O1790" s="147"/>
      <c r="P1790" s="147"/>
      <c r="Q1790" s="147"/>
      <c r="R1790" s="148"/>
      <c r="S1790" s="148"/>
      <c r="T1790" s="148"/>
      <c r="U1790" s="148"/>
      <c r="V1790" s="148"/>
      <c r="W1790" s="148"/>
      <c r="X1790" s="148"/>
      <c r="Y1790" s="148"/>
      <c r="Z1790" s="148"/>
      <c r="AA1790" s="148"/>
      <c r="AB1790" s="148"/>
      <c r="AC1790" s="148"/>
    </row>
    <row r="1791" spans="1:29" hidden="1">
      <c r="A1791" s="146"/>
      <c r="B1791" s="147"/>
      <c r="C1791" s="147"/>
      <c r="D1791" s="147"/>
      <c r="E1791" s="147"/>
      <c r="F1791" s="147"/>
      <c r="G1791" s="147"/>
      <c r="H1791" s="147"/>
      <c r="I1791" s="147"/>
      <c r="J1791" s="147"/>
      <c r="K1791" s="147"/>
      <c r="L1791" s="147"/>
      <c r="M1791" s="147"/>
      <c r="N1791" s="147"/>
      <c r="O1791" s="147"/>
      <c r="P1791" s="147"/>
      <c r="Q1791" s="147"/>
      <c r="R1791" s="148"/>
      <c r="S1791" s="148"/>
      <c r="T1791" s="148"/>
      <c r="U1791" s="148"/>
      <c r="V1791" s="148"/>
      <c r="W1791" s="148"/>
      <c r="X1791" s="148"/>
      <c r="Y1791" s="148"/>
      <c r="Z1791" s="148"/>
      <c r="AA1791" s="148"/>
      <c r="AB1791" s="148"/>
      <c r="AC1791" s="148"/>
    </row>
    <row r="1792" spans="1:29" hidden="1">
      <c r="A1792" s="146"/>
      <c r="B1792" s="147"/>
      <c r="C1792" s="147"/>
      <c r="D1792" s="147"/>
      <c r="E1792" s="147"/>
      <c r="F1792" s="147"/>
      <c r="G1792" s="147"/>
      <c r="H1792" s="147"/>
      <c r="I1792" s="147"/>
      <c r="J1792" s="147"/>
      <c r="K1792" s="147"/>
      <c r="L1792" s="147"/>
      <c r="M1792" s="147"/>
      <c r="N1792" s="147"/>
      <c r="O1792" s="147"/>
      <c r="P1792" s="147"/>
      <c r="Q1792" s="147"/>
      <c r="R1792" s="148"/>
      <c r="S1792" s="148"/>
      <c r="T1792" s="148"/>
      <c r="U1792" s="148"/>
      <c r="V1792" s="148"/>
      <c r="W1792" s="148"/>
      <c r="X1792" s="148"/>
      <c r="Y1792" s="148"/>
      <c r="Z1792" s="148"/>
      <c r="AA1792" s="148"/>
      <c r="AB1792" s="148"/>
      <c r="AC1792" s="148"/>
    </row>
    <row r="1793" spans="1:29" hidden="1">
      <c r="A1793" s="146"/>
      <c r="B1793" s="147"/>
      <c r="C1793" s="147"/>
      <c r="D1793" s="147"/>
      <c r="E1793" s="147"/>
      <c r="F1793" s="147"/>
      <c r="G1793" s="147"/>
      <c r="H1793" s="147"/>
      <c r="I1793" s="147"/>
      <c r="J1793" s="147"/>
      <c r="K1793" s="147"/>
      <c r="L1793" s="147"/>
      <c r="M1793" s="147"/>
      <c r="N1793" s="147"/>
      <c r="O1793" s="147"/>
      <c r="P1793" s="147"/>
      <c r="Q1793" s="147"/>
      <c r="R1793" s="148"/>
      <c r="S1793" s="148"/>
      <c r="T1793" s="148"/>
      <c r="U1793" s="148"/>
      <c r="V1793" s="148"/>
      <c r="W1793" s="148"/>
      <c r="X1793" s="148"/>
      <c r="Y1793" s="148"/>
      <c r="Z1793" s="148"/>
      <c r="AA1793" s="148"/>
      <c r="AB1793" s="148"/>
      <c r="AC1793" s="148"/>
    </row>
    <row r="1794" spans="1:29" hidden="1">
      <c r="A1794" s="146"/>
      <c r="B1794" s="147"/>
      <c r="C1794" s="147"/>
      <c r="D1794" s="147"/>
      <c r="E1794" s="147"/>
      <c r="F1794" s="147"/>
      <c r="G1794" s="147"/>
      <c r="H1794" s="147"/>
      <c r="I1794" s="147"/>
      <c r="J1794" s="147"/>
      <c r="K1794" s="147"/>
      <c r="L1794" s="147"/>
      <c r="M1794" s="147"/>
      <c r="N1794" s="147"/>
      <c r="O1794" s="147"/>
      <c r="P1794" s="147"/>
      <c r="Q1794" s="147"/>
      <c r="R1794" s="148"/>
      <c r="S1794" s="148"/>
      <c r="T1794" s="148"/>
      <c r="U1794" s="148"/>
      <c r="V1794" s="148"/>
      <c r="W1794" s="148"/>
      <c r="X1794" s="148"/>
      <c r="Y1794" s="148"/>
      <c r="Z1794" s="148"/>
      <c r="AA1794" s="148"/>
      <c r="AB1794" s="148"/>
      <c r="AC1794" s="148"/>
    </row>
    <row r="1795" spans="1:29" hidden="1">
      <c r="A1795" s="146"/>
      <c r="B1795" s="147"/>
      <c r="C1795" s="147"/>
      <c r="D1795" s="147"/>
      <c r="E1795" s="147"/>
      <c r="F1795" s="147"/>
      <c r="G1795" s="147"/>
      <c r="H1795" s="147"/>
      <c r="I1795" s="147"/>
      <c r="J1795" s="147"/>
      <c r="K1795" s="147"/>
      <c r="L1795" s="147"/>
      <c r="M1795" s="147"/>
      <c r="N1795" s="147"/>
      <c r="O1795" s="147"/>
      <c r="P1795" s="147"/>
      <c r="Q1795" s="147"/>
      <c r="R1795" s="148"/>
      <c r="S1795" s="148"/>
      <c r="T1795" s="148"/>
      <c r="U1795" s="148"/>
      <c r="V1795" s="148"/>
      <c r="W1795" s="148"/>
      <c r="X1795" s="148"/>
      <c r="Y1795" s="148"/>
      <c r="Z1795" s="148"/>
      <c r="AA1795" s="148"/>
      <c r="AB1795" s="148"/>
      <c r="AC1795" s="148"/>
    </row>
    <row r="1796" spans="1:29" hidden="1">
      <c r="A1796" s="146"/>
      <c r="B1796" s="147"/>
      <c r="C1796" s="147"/>
      <c r="D1796" s="147"/>
      <c r="E1796" s="147"/>
      <c r="F1796" s="147"/>
      <c r="G1796" s="147"/>
      <c r="H1796" s="147"/>
      <c r="I1796" s="147"/>
      <c r="J1796" s="147"/>
      <c r="K1796" s="147"/>
      <c r="L1796" s="147"/>
      <c r="M1796" s="147"/>
      <c r="N1796" s="147"/>
      <c r="O1796" s="147"/>
      <c r="P1796" s="147"/>
      <c r="Q1796" s="147"/>
      <c r="R1796" s="148"/>
      <c r="S1796" s="148"/>
      <c r="T1796" s="148"/>
      <c r="U1796" s="148"/>
      <c r="V1796" s="148"/>
      <c r="W1796" s="148"/>
      <c r="X1796" s="148"/>
      <c r="Y1796" s="148"/>
      <c r="Z1796" s="148"/>
      <c r="AA1796" s="148"/>
      <c r="AB1796" s="148"/>
      <c r="AC1796" s="148"/>
    </row>
    <row r="1797" spans="1:29" hidden="1">
      <c r="A1797" s="146"/>
      <c r="B1797" s="147"/>
      <c r="C1797" s="147"/>
      <c r="D1797" s="147"/>
      <c r="E1797" s="147"/>
      <c r="F1797" s="147"/>
      <c r="G1797" s="147"/>
      <c r="H1797" s="147"/>
      <c r="I1797" s="147"/>
      <c r="J1797" s="147"/>
      <c r="K1797" s="147"/>
      <c r="L1797" s="147"/>
      <c r="M1797" s="147"/>
      <c r="N1797" s="147"/>
      <c r="O1797" s="147"/>
      <c r="P1797" s="147"/>
      <c r="Q1797" s="147"/>
      <c r="R1797" s="148"/>
      <c r="S1797" s="148"/>
      <c r="T1797" s="148"/>
      <c r="U1797" s="148"/>
      <c r="V1797" s="148"/>
      <c r="W1797" s="148"/>
      <c r="X1797" s="148"/>
      <c r="Y1797" s="148"/>
      <c r="Z1797" s="148"/>
      <c r="AA1797" s="148"/>
      <c r="AB1797" s="148"/>
      <c r="AC1797" s="148"/>
    </row>
    <row r="1798" spans="1:29" hidden="1">
      <c r="A1798" s="146"/>
      <c r="B1798" s="147"/>
      <c r="C1798" s="147"/>
      <c r="D1798" s="147"/>
      <c r="E1798" s="147"/>
      <c r="F1798" s="147"/>
      <c r="G1798" s="147"/>
      <c r="H1798" s="147"/>
      <c r="I1798" s="147"/>
      <c r="J1798" s="147"/>
      <c r="K1798" s="147"/>
      <c r="L1798" s="147"/>
      <c r="M1798" s="147"/>
      <c r="N1798" s="147"/>
      <c r="O1798" s="147"/>
      <c r="P1798" s="147"/>
      <c r="Q1798" s="147"/>
      <c r="R1798" s="148"/>
      <c r="S1798" s="148"/>
      <c r="T1798" s="148"/>
      <c r="U1798" s="148"/>
      <c r="V1798" s="148"/>
      <c r="W1798" s="148"/>
      <c r="X1798" s="148"/>
      <c r="Y1798" s="148"/>
      <c r="Z1798" s="148"/>
      <c r="AA1798" s="148"/>
      <c r="AB1798" s="148"/>
      <c r="AC1798" s="148"/>
    </row>
    <row r="1799" spans="1:29" hidden="1">
      <c r="A1799" s="146"/>
      <c r="B1799" s="147"/>
      <c r="C1799" s="147"/>
      <c r="D1799" s="147"/>
      <c r="E1799" s="147"/>
      <c r="F1799" s="147"/>
      <c r="G1799" s="147"/>
      <c r="H1799" s="147"/>
      <c r="I1799" s="147"/>
      <c r="J1799" s="147"/>
      <c r="K1799" s="147"/>
      <c r="L1799" s="147"/>
      <c r="M1799" s="147"/>
      <c r="N1799" s="147"/>
      <c r="O1799" s="147"/>
      <c r="P1799" s="147"/>
      <c r="Q1799" s="147"/>
      <c r="R1799" s="148"/>
      <c r="S1799" s="148"/>
      <c r="T1799" s="148"/>
      <c r="U1799" s="148"/>
      <c r="V1799" s="148"/>
      <c r="W1799" s="148"/>
      <c r="X1799" s="148"/>
      <c r="Y1799" s="148"/>
      <c r="Z1799" s="148"/>
      <c r="AA1799" s="148"/>
      <c r="AB1799" s="148"/>
      <c r="AC1799" s="148"/>
    </row>
    <row r="1800" spans="1:29" hidden="1">
      <c r="A1800" s="146"/>
      <c r="B1800" s="147"/>
      <c r="C1800" s="147"/>
      <c r="D1800" s="147"/>
      <c r="E1800" s="147"/>
      <c r="F1800" s="147"/>
      <c r="G1800" s="147"/>
      <c r="H1800" s="147"/>
      <c r="I1800" s="147"/>
      <c r="J1800" s="147"/>
      <c r="K1800" s="147"/>
      <c r="L1800" s="147"/>
      <c r="M1800" s="147"/>
      <c r="N1800" s="147"/>
      <c r="O1800" s="147"/>
      <c r="P1800" s="147"/>
      <c r="Q1800" s="147"/>
      <c r="R1800" s="148"/>
      <c r="S1800" s="148"/>
      <c r="T1800" s="148"/>
      <c r="U1800" s="148"/>
      <c r="V1800" s="148"/>
      <c r="W1800" s="148"/>
      <c r="X1800" s="148"/>
      <c r="Y1800" s="148"/>
      <c r="Z1800" s="148"/>
      <c r="AA1800" s="148"/>
      <c r="AB1800" s="148"/>
      <c r="AC1800" s="148"/>
    </row>
    <row r="1801" spans="1:29" hidden="1">
      <c r="A1801" s="146"/>
      <c r="B1801" s="147"/>
      <c r="C1801" s="147"/>
      <c r="D1801" s="147"/>
      <c r="E1801" s="147"/>
      <c r="F1801" s="147"/>
      <c r="G1801" s="147"/>
      <c r="H1801" s="147"/>
      <c r="I1801" s="147"/>
      <c r="J1801" s="147"/>
      <c r="K1801" s="147"/>
      <c r="L1801" s="147"/>
      <c r="M1801" s="147"/>
      <c r="N1801" s="147"/>
      <c r="O1801" s="147"/>
      <c r="P1801" s="147"/>
      <c r="Q1801" s="147"/>
      <c r="R1801" s="148"/>
      <c r="S1801" s="148"/>
      <c r="T1801" s="148"/>
      <c r="U1801" s="148"/>
      <c r="V1801" s="148"/>
      <c r="W1801" s="148"/>
      <c r="X1801" s="148"/>
      <c r="Y1801" s="148"/>
      <c r="Z1801" s="148"/>
      <c r="AA1801" s="148"/>
      <c r="AB1801" s="148"/>
      <c r="AC1801" s="148"/>
    </row>
    <row r="1802" spans="1:29" hidden="1">
      <c r="A1802" s="146"/>
      <c r="B1802" s="147"/>
      <c r="C1802" s="147"/>
      <c r="D1802" s="147"/>
      <c r="E1802" s="147"/>
      <c r="F1802" s="147"/>
      <c r="G1802" s="147"/>
      <c r="H1802" s="147"/>
      <c r="I1802" s="147"/>
      <c r="J1802" s="147"/>
      <c r="K1802" s="147"/>
      <c r="L1802" s="147"/>
      <c r="M1802" s="147"/>
      <c r="N1802" s="147"/>
      <c r="O1802" s="147"/>
      <c r="P1802" s="147"/>
      <c r="Q1802" s="147"/>
      <c r="R1802" s="148"/>
      <c r="S1802" s="148"/>
      <c r="T1802" s="148"/>
      <c r="U1802" s="148"/>
      <c r="V1802" s="148"/>
      <c r="W1802" s="148"/>
      <c r="X1802" s="148"/>
      <c r="Y1802" s="148"/>
      <c r="Z1802" s="148"/>
      <c r="AA1802" s="148"/>
      <c r="AB1802" s="148"/>
      <c r="AC1802" s="148"/>
    </row>
    <row r="1803" spans="1:29" hidden="1">
      <c r="A1803" s="146"/>
      <c r="B1803" s="147"/>
      <c r="C1803" s="147"/>
      <c r="D1803" s="147"/>
      <c r="E1803" s="147"/>
      <c r="F1803" s="147"/>
      <c r="G1803" s="147"/>
      <c r="H1803" s="147"/>
      <c r="I1803" s="147"/>
      <c r="J1803" s="147"/>
      <c r="K1803" s="147"/>
      <c r="L1803" s="147"/>
      <c r="M1803" s="147"/>
      <c r="N1803" s="147"/>
      <c r="O1803" s="147"/>
      <c r="P1803" s="147"/>
      <c r="Q1803" s="147"/>
      <c r="R1803" s="148"/>
      <c r="S1803" s="148"/>
      <c r="T1803" s="148"/>
      <c r="U1803" s="148"/>
      <c r="V1803" s="148"/>
      <c r="W1803" s="148"/>
      <c r="X1803" s="148"/>
      <c r="Y1803" s="148"/>
      <c r="Z1803" s="148"/>
      <c r="AA1803" s="148"/>
      <c r="AB1803" s="148"/>
      <c r="AC1803" s="148"/>
    </row>
    <row r="1804" spans="1:29" hidden="1">
      <c r="A1804" s="146"/>
      <c r="B1804" s="147"/>
      <c r="C1804" s="147"/>
      <c r="D1804" s="147"/>
      <c r="E1804" s="147"/>
      <c r="F1804" s="147"/>
      <c r="G1804" s="147"/>
      <c r="H1804" s="147"/>
      <c r="I1804" s="147"/>
      <c r="J1804" s="147"/>
      <c r="K1804" s="147"/>
      <c r="L1804" s="147"/>
      <c r="M1804" s="147"/>
      <c r="N1804" s="147"/>
      <c r="O1804" s="147"/>
      <c r="P1804" s="147"/>
      <c r="Q1804" s="147"/>
      <c r="R1804" s="148"/>
      <c r="S1804" s="148"/>
      <c r="T1804" s="148"/>
      <c r="U1804" s="148"/>
      <c r="V1804" s="148"/>
      <c r="W1804" s="148"/>
      <c r="X1804" s="148"/>
      <c r="Y1804" s="148"/>
      <c r="Z1804" s="148"/>
      <c r="AA1804" s="148"/>
      <c r="AB1804" s="148"/>
      <c r="AC1804" s="148"/>
    </row>
    <row r="1805" spans="1:29" hidden="1">
      <c r="A1805" s="146"/>
      <c r="B1805" s="147"/>
      <c r="C1805" s="147"/>
      <c r="D1805" s="147"/>
      <c r="E1805" s="147"/>
      <c r="F1805" s="147"/>
      <c r="G1805" s="147"/>
      <c r="H1805" s="147"/>
      <c r="I1805" s="147"/>
      <c r="J1805" s="147"/>
      <c r="K1805" s="147"/>
      <c r="L1805" s="147"/>
      <c r="M1805" s="147"/>
      <c r="N1805" s="147"/>
      <c r="O1805" s="147"/>
      <c r="P1805" s="147"/>
      <c r="Q1805" s="147"/>
      <c r="R1805" s="148"/>
      <c r="S1805" s="148"/>
      <c r="T1805" s="148"/>
      <c r="U1805" s="148"/>
      <c r="V1805" s="148"/>
      <c r="W1805" s="148"/>
      <c r="X1805" s="148"/>
      <c r="Y1805" s="148"/>
      <c r="Z1805" s="148"/>
      <c r="AA1805" s="148"/>
      <c r="AB1805" s="148"/>
      <c r="AC1805" s="148"/>
    </row>
    <row r="1806" spans="1:29" hidden="1">
      <c r="A1806" s="146"/>
      <c r="B1806" s="147"/>
      <c r="C1806" s="147"/>
      <c r="D1806" s="147"/>
      <c r="E1806" s="147"/>
      <c r="F1806" s="147"/>
      <c r="G1806" s="147"/>
      <c r="H1806" s="147"/>
      <c r="I1806" s="147"/>
      <c r="J1806" s="147"/>
      <c r="K1806" s="147"/>
      <c r="L1806" s="147"/>
      <c r="M1806" s="147"/>
      <c r="N1806" s="147"/>
      <c r="O1806" s="147"/>
      <c r="P1806" s="147"/>
      <c r="Q1806" s="147"/>
      <c r="R1806" s="148"/>
      <c r="S1806" s="148"/>
      <c r="T1806" s="148"/>
      <c r="U1806" s="148"/>
      <c r="V1806" s="148"/>
      <c r="W1806" s="148"/>
      <c r="X1806" s="148"/>
      <c r="Y1806" s="148"/>
      <c r="Z1806" s="148"/>
      <c r="AA1806" s="148"/>
      <c r="AB1806" s="148"/>
      <c r="AC1806" s="148"/>
    </row>
    <row r="1807" spans="1:29" hidden="1">
      <c r="A1807" s="146"/>
      <c r="B1807" s="147"/>
      <c r="C1807" s="147"/>
      <c r="D1807" s="147"/>
      <c r="E1807" s="147"/>
      <c r="F1807" s="147"/>
      <c r="G1807" s="147"/>
      <c r="H1807" s="147"/>
      <c r="I1807" s="147"/>
      <c r="J1807" s="147"/>
      <c r="K1807" s="147"/>
      <c r="L1807" s="147"/>
      <c r="M1807" s="147"/>
      <c r="N1807" s="147"/>
      <c r="O1807" s="147"/>
      <c r="P1807" s="147"/>
      <c r="Q1807" s="147"/>
      <c r="R1807" s="148"/>
      <c r="S1807" s="148"/>
      <c r="T1807" s="148"/>
      <c r="U1807" s="148"/>
      <c r="V1807" s="148"/>
      <c r="W1807" s="148"/>
      <c r="X1807" s="148"/>
      <c r="Y1807" s="148"/>
      <c r="Z1807" s="148"/>
      <c r="AA1807" s="148"/>
      <c r="AB1807" s="148"/>
      <c r="AC1807" s="148"/>
    </row>
    <row r="1808" spans="1:29" hidden="1">
      <c r="A1808" s="146"/>
      <c r="B1808" s="147"/>
      <c r="C1808" s="147"/>
      <c r="D1808" s="147"/>
      <c r="E1808" s="147"/>
      <c r="F1808" s="147"/>
      <c r="G1808" s="147"/>
      <c r="H1808" s="147"/>
      <c r="I1808" s="147"/>
      <c r="J1808" s="147"/>
      <c r="K1808" s="147"/>
      <c r="L1808" s="147"/>
      <c r="M1808" s="147"/>
      <c r="N1808" s="147"/>
      <c r="O1808" s="147"/>
      <c r="P1808" s="147"/>
      <c r="Q1808" s="147"/>
      <c r="R1808" s="148"/>
      <c r="S1808" s="148"/>
      <c r="T1808" s="148"/>
      <c r="U1808" s="148"/>
      <c r="V1808" s="148"/>
      <c r="W1808" s="148"/>
      <c r="X1808" s="148"/>
      <c r="Y1808" s="148"/>
      <c r="Z1808" s="148"/>
      <c r="AA1808" s="148"/>
      <c r="AB1808" s="148"/>
      <c r="AC1808" s="148"/>
    </row>
    <row r="1809" spans="1:29" hidden="1">
      <c r="A1809" s="146"/>
      <c r="B1809" s="147"/>
      <c r="C1809" s="147"/>
      <c r="D1809" s="147"/>
      <c r="E1809" s="147"/>
      <c r="F1809" s="147"/>
      <c r="G1809" s="147"/>
      <c r="H1809" s="147"/>
      <c r="I1809" s="147"/>
      <c r="J1809" s="147"/>
      <c r="K1809" s="147"/>
      <c r="L1809" s="147"/>
      <c r="M1809" s="147"/>
      <c r="N1809" s="147"/>
      <c r="O1809" s="147"/>
      <c r="P1809" s="147"/>
      <c r="Q1809" s="147"/>
      <c r="R1809" s="148"/>
      <c r="S1809" s="148"/>
      <c r="T1809" s="148"/>
      <c r="U1809" s="148"/>
      <c r="V1809" s="148"/>
      <c r="W1809" s="148"/>
      <c r="X1809" s="148"/>
      <c r="Y1809" s="148"/>
      <c r="Z1809" s="148"/>
      <c r="AA1809" s="148"/>
      <c r="AB1809" s="148"/>
      <c r="AC1809" s="148"/>
    </row>
    <row r="1810" spans="1:29" hidden="1">
      <c r="A1810" s="146"/>
      <c r="B1810" s="147"/>
      <c r="C1810" s="147"/>
      <c r="D1810" s="147"/>
      <c r="E1810" s="147"/>
      <c r="F1810" s="147"/>
      <c r="G1810" s="147"/>
      <c r="H1810" s="147"/>
      <c r="I1810" s="147"/>
      <c r="J1810" s="147"/>
      <c r="K1810" s="147"/>
      <c r="L1810" s="147"/>
      <c r="M1810" s="147"/>
      <c r="N1810" s="147"/>
      <c r="O1810" s="147"/>
      <c r="P1810" s="147"/>
      <c r="Q1810" s="147"/>
      <c r="R1810" s="148"/>
      <c r="S1810" s="148"/>
      <c r="T1810" s="148"/>
      <c r="U1810" s="148"/>
      <c r="V1810" s="148"/>
      <c r="W1810" s="148"/>
      <c r="X1810" s="148"/>
      <c r="Y1810" s="148"/>
      <c r="Z1810" s="148"/>
      <c r="AA1810" s="148"/>
      <c r="AB1810" s="148"/>
      <c r="AC1810" s="148"/>
    </row>
    <row r="1811" spans="1:29" hidden="1">
      <c r="A1811" s="146"/>
      <c r="B1811" s="147"/>
      <c r="C1811" s="147"/>
      <c r="D1811" s="147"/>
      <c r="E1811" s="147"/>
      <c r="F1811" s="147"/>
      <c r="G1811" s="147"/>
      <c r="H1811" s="147"/>
      <c r="I1811" s="147"/>
      <c r="J1811" s="147"/>
      <c r="K1811" s="147"/>
      <c r="L1811" s="147"/>
      <c r="M1811" s="147"/>
      <c r="N1811" s="147"/>
      <c r="O1811" s="147"/>
      <c r="P1811" s="147"/>
      <c r="Q1811" s="147"/>
      <c r="R1811" s="148"/>
      <c r="S1811" s="148"/>
      <c r="T1811" s="148"/>
      <c r="U1811" s="148"/>
      <c r="V1811" s="148"/>
      <c r="W1811" s="148"/>
      <c r="X1811" s="148"/>
      <c r="Y1811" s="148"/>
      <c r="Z1811" s="148"/>
      <c r="AA1811" s="148"/>
      <c r="AB1811" s="148"/>
      <c r="AC1811" s="148"/>
    </row>
    <row r="1812" spans="1:29" hidden="1">
      <c r="A1812" s="146"/>
      <c r="B1812" s="147"/>
      <c r="C1812" s="147"/>
      <c r="D1812" s="147"/>
      <c r="E1812" s="147"/>
      <c r="F1812" s="147"/>
      <c r="G1812" s="147"/>
      <c r="H1812" s="147"/>
      <c r="I1812" s="147"/>
      <c r="J1812" s="147"/>
      <c r="K1812" s="147"/>
      <c r="L1812" s="147"/>
      <c r="M1812" s="147"/>
      <c r="N1812" s="147"/>
      <c r="O1812" s="147"/>
      <c r="P1812" s="147"/>
      <c r="Q1812" s="147"/>
      <c r="R1812" s="148"/>
      <c r="S1812" s="148"/>
      <c r="T1812" s="148"/>
      <c r="U1812" s="148"/>
      <c r="V1812" s="148"/>
      <c r="W1812" s="148"/>
      <c r="X1812" s="148"/>
      <c r="Y1812" s="148"/>
      <c r="Z1812" s="148"/>
      <c r="AA1812" s="148"/>
      <c r="AB1812" s="148"/>
      <c r="AC1812" s="148"/>
    </row>
    <row r="1813" spans="1:29" hidden="1">
      <c r="A1813" s="146"/>
      <c r="B1813" s="147"/>
      <c r="C1813" s="147"/>
      <c r="D1813" s="147"/>
      <c r="E1813" s="147"/>
      <c r="F1813" s="147"/>
      <c r="G1813" s="147"/>
      <c r="H1813" s="147"/>
      <c r="I1813" s="147"/>
      <c r="J1813" s="147"/>
      <c r="K1813" s="147"/>
      <c r="L1813" s="147"/>
      <c r="M1813" s="147"/>
      <c r="N1813" s="147"/>
      <c r="O1813" s="147"/>
      <c r="P1813" s="147"/>
      <c r="Q1813" s="147"/>
      <c r="R1813" s="148"/>
      <c r="S1813" s="148"/>
      <c r="T1813" s="148"/>
      <c r="U1813" s="148"/>
      <c r="V1813" s="148"/>
      <c r="W1813" s="148"/>
      <c r="X1813" s="148"/>
      <c r="Y1813" s="148"/>
      <c r="Z1813" s="148"/>
      <c r="AA1813" s="148"/>
      <c r="AB1813" s="148"/>
      <c r="AC1813" s="148"/>
    </row>
    <row r="1814" spans="1:29" hidden="1">
      <c r="A1814" s="146"/>
      <c r="B1814" s="147"/>
      <c r="C1814" s="147"/>
      <c r="D1814" s="147"/>
      <c r="E1814" s="147"/>
      <c r="F1814" s="147"/>
      <c r="G1814" s="147"/>
      <c r="H1814" s="147"/>
      <c r="I1814" s="147"/>
      <c r="J1814" s="147"/>
      <c r="K1814" s="147"/>
      <c r="L1814" s="147"/>
      <c r="M1814" s="147"/>
      <c r="N1814" s="147"/>
      <c r="O1814" s="147"/>
      <c r="P1814" s="147"/>
      <c r="Q1814" s="147"/>
      <c r="R1814" s="148"/>
      <c r="S1814" s="148"/>
      <c r="T1814" s="148"/>
      <c r="U1814" s="148"/>
      <c r="V1814" s="148"/>
      <c r="W1814" s="148"/>
      <c r="X1814" s="148"/>
      <c r="Y1814" s="148"/>
      <c r="Z1814" s="148"/>
      <c r="AA1814" s="148"/>
      <c r="AB1814" s="148"/>
      <c r="AC1814" s="148"/>
    </row>
    <row r="1815" spans="1:29" hidden="1">
      <c r="A1815" s="146"/>
      <c r="B1815" s="147"/>
      <c r="C1815" s="147"/>
      <c r="D1815" s="147"/>
      <c r="E1815" s="147"/>
      <c r="F1815" s="147"/>
      <c r="G1815" s="147"/>
      <c r="H1815" s="147"/>
      <c r="I1815" s="147"/>
      <c r="J1815" s="147"/>
      <c r="K1815" s="147"/>
      <c r="L1815" s="147"/>
      <c r="M1815" s="147"/>
      <c r="N1815" s="147"/>
      <c r="O1815" s="147"/>
      <c r="P1815" s="147"/>
      <c r="Q1815" s="147"/>
      <c r="R1815" s="148"/>
      <c r="S1815" s="148"/>
      <c r="T1815" s="148"/>
      <c r="U1815" s="148"/>
      <c r="V1815" s="148"/>
      <c r="W1815" s="148"/>
      <c r="X1815" s="148"/>
      <c r="Y1815" s="148"/>
      <c r="Z1815" s="148"/>
      <c r="AA1815" s="148"/>
      <c r="AB1815" s="148"/>
      <c r="AC1815" s="148"/>
    </row>
    <row r="1816" spans="1:29" hidden="1">
      <c r="A1816" s="146"/>
      <c r="B1816" s="147"/>
      <c r="C1816" s="147"/>
      <c r="D1816" s="147"/>
      <c r="E1816" s="147"/>
      <c r="F1816" s="147"/>
      <c r="G1816" s="147"/>
      <c r="H1816" s="147"/>
      <c r="I1816" s="147"/>
      <c r="J1816" s="147"/>
      <c r="K1816" s="147"/>
      <c r="L1816" s="147"/>
      <c r="M1816" s="147"/>
      <c r="N1816" s="147"/>
      <c r="O1816" s="147"/>
      <c r="P1816" s="147"/>
      <c r="Q1816" s="147"/>
      <c r="R1816" s="148"/>
      <c r="S1816" s="148"/>
      <c r="T1816" s="148"/>
      <c r="U1816" s="148"/>
      <c r="V1816" s="148"/>
      <c r="W1816" s="148"/>
      <c r="X1816" s="148"/>
      <c r="Y1816" s="148"/>
      <c r="Z1816" s="148"/>
      <c r="AA1816" s="148"/>
      <c r="AB1816" s="148"/>
      <c r="AC1816" s="148"/>
    </row>
    <row r="1817" spans="1:29" hidden="1">
      <c r="A1817" s="146"/>
      <c r="B1817" s="147"/>
      <c r="C1817" s="147"/>
      <c r="D1817" s="147"/>
      <c r="E1817" s="147"/>
      <c r="F1817" s="147"/>
      <c r="G1817" s="147"/>
      <c r="H1817" s="147"/>
      <c r="I1817" s="147"/>
      <c r="J1817" s="147"/>
      <c r="K1817" s="147"/>
      <c r="L1817" s="147"/>
      <c r="M1817" s="147"/>
      <c r="N1817" s="147"/>
      <c r="O1817" s="147"/>
      <c r="P1817" s="147"/>
      <c r="Q1817" s="147"/>
      <c r="R1817" s="148"/>
      <c r="S1817" s="148"/>
      <c r="T1817" s="148"/>
      <c r="U1817" s="148"/>
      <c r="V1817" s="148"/>
      <c r="W1817" s="148"/>
      <c r="X1817" s="148"/>
      <c r="Y1817" s="148"/>
      <c r="Z1817" s="148"/>
      <c r="AA1817" s="148"/>
      <c r="AB1817" s="148"/>
      <c r="AC1817" s="148"/>
    </row>
    <row r="1818" spans="1:29" hidden="1">
      <c r="A1818" s="146"/>
      <c r="B1818" s="147"/>
      <c r="C1818" s="147"/>
      <c r="D1818" s="147"/>
      <c r="E1818" s="147"/>
      <c r="F1818" s="147"/>
      <c r="G1818" s="147"/>
      <c r="H1818" s="147"/>
      <c r="I1818" s="147"/>
      <c r="J1818" s="147"/>
      <c r="K1818" s="147"/>
      <c r="L1818" s="147"/>
      <c r="M1818" s="147"/>
      <c r="N1818" s="147"/>
      <c r="O1818" s="147"/>
      <c r="P1818" s="147"/>
      <c r="Q1818" s="147"/>
      <c r="R1818" s="148"/>
      <c r="S1818" s="148"/>
      <c r="T1818" s="148"/>
      <c r="U1818" s="148"/>
      <c r="V1818" s="148"/>
      <c r="W1818" s="148"/>
      <c r="X1818" s="148"/>
      <c r="Y1818" s="148"/>
      <c r="Z1818" s="148"/>
      <c r="AA1818" s="148"/>
      <c r="AB1818" s="148"/>
      <c r="AC1818" s="148"/>
    </row>
    <row r="1819" spans="1:29" hidden="1">
      <c r="A1819" s="146"/>
      <c r="B1819" s="147"/>
      <c r="C1819" s="147"/>
      <c r="D1819" s="147"/>
      <c r="E1819" s="147"/>
      <c r="F1819" s="147"/>
      <c r="G1819" s="147"/>
      <c r="H1819" s="147"/>
      <c r="I1819" s="147"/>
      <c r="J1819" s="147"/>
      <c r="K1819" s="147"/>
      <c r="L1819" s="147"/>
      <c r="M1819" s="147"/>
      <c r="N1819" s="147"/>
      <c r="O1819" s="147"/>
      <c r="P1819" s="147"/>
      <c r="Q1819" s="147"/>
      <c r="R1819" s="148"/>
      <c r="S1819" s="148"/>
      <c r="T1819" s="148"/>
      <c r="U1819" s="148"/>
      <c r="V1819" s="148"/>
      <c r="W1819" s="148"/>
      <c r="X1819" s="148"/>
      <c r="Y1819" s="148"/>
      <c r="Z1819" s="148"/>
      <c r="AA1819" s="148"/>
      <c r="AB1819" s="148"/>
      <c r="AC1819" s="148"/>
    </row>
    <row r="1820" spans="1:29" hidden="1">
      <c r="A1820" s="146"/>
      <c r="B1820" s="147"/>
      <c r="C1820" s="147"/>
      <c r="D1820" s="147"/>
      <c r="E1820" s="147"/>
      <c r="F1820" s="147"/>
      <c r="G1820" s="147"/>
      <c r="H1820" s="147"/>
      <c r="I1820" s="147"/>
      <c r="J1820" s="147"/>
      <c r="K1820" s="147"/>
      <c r="L1820" s="147"/>
      <c r="M1820" s="147"/>
      <c r="N1820" s="147"/>
      <c r="O1820" s="147"/>
      <c r="P1820" s="147"/>
      <c r="Q1820" s="147"/>
      <c r="R1820" s="148"/>
      <c r="S1820" s="148"/>
      <c r="T1820" s="148"/>
      <c r="U1820" s="148"/>
      <c r="V1820" s="148"/>
      <c r="W1820" s="148"/>
      <c r="X1820" s="148"/>
      <c r="Y1820" s="148"/>
      <c r="Z1820" s="148"/>
      <c r="AA1820" s="148"/>
      <c r="AB1820" s="148"/>
      <c r="AC1820" s="148"/>
    </row>
    <row r="1821" spans="1:29" hidden="1">
      <c r="A1821" s="146"/>
      <c r="B1821" s="147"/>
      <c r="C1821" s="147"/>
      <c r="D1821" s="147"/>
      <c r="E1821" s="147"/>
      <c r="F1821" s="147"/>
      <c r="G1821" s="147"/>
      <c r="H1821" s="147"/>
      <c r="I1821" s="147"/>
      <c r="J1821" s="147"/>
      <c r="K1821" s="147"/>
      <c r="L1821" s="147"/>
      <c r="M1821" s="147"/>
      <c r="N1821" s="147"/>
      <c r="O1821" s="147"/>
      <c r="P1821" s="147"/>
      <c r="Q1821" s="147"/>
      <c r="R1821" s="148"/>
      <c r="S1821" s="148"/>
      <c r="T1821" s="148"/>
      <c r="U1821" s="148"/>
      <c r="V1821" s="148"/>
      <c r="W1821" s="148"/>
      <c r="X1821" s="148"/>
      <c r="Y1821" s="148"/>
      <c r="Z1821" s="148"/>
      <c r="AA1821" s="148"/>
      <c r="AB1821" s="148"/>
      <c r="AC1821" s="148"/>
    </row>
    <row r="1822" spans="1:29" hidden="1">
      <c r="A1822" s="146"/>
      <c r="B1822" s="147"/>
      <c r="C1822" s="147"/>
      <c r="D1822" s="147"/>
      <c r="E1822" s="147"/>
      <c r="F1822" s="147"/>
      <c r="G1822" s="147"/>
      <c r="H1822" s="147"/>
      <c r="I1822" s="147"/>
      <c r="J1822" s="147"/>
      <c r="K1822" s="147"/>
      <c r="L1822" s="147"/>
      <c r="M1822" s="147"/>
      <c r="N1822" s="147"/>
      <c r="O1822" s="147"/>
      <c r="P1822" s="147"/>
      <c r="Q1822" s="147"/>
      <c r="R1822" s="148"/>
      <c r="S1822" s="148"/>
      <c r="T1822" s="148"/>
      <c r="U1822" s="148"/>
      <c r="V1822" s="148"/>
      <c r="W1822" s="148"/>
      <c r="X1822" s="148"/>
      <c r="Y1822" s="148"/>
      <c r="Z1822" s="148"/>
      <c r="AA1822" s="148"/>
      <c r="AB1822" s="148"/>
      <c r="AC1822" s="148"/>
    </row>
    <row r="1823" spans="1:29" hidden="1">
      <c r="A1823" s="146"/>
      <c r="B1823" s="147"/>
      <c r="C1823" s="147"/>
      <c r="D1823" s="147"/>
      <c r="E1823" s="147"/>
      <c r="F1823" s="147"/>
      <c r="G1823" s="147"/>
      <c r="H1823" s="147"/>
      <c r="I1823" s="147"/>
      <c r="J1823" s="147"/>
      <c r="K1823" s="147"/>
      <c r="L1823" s="147"/>
      <c r="M1823" s="147"/>
      <c r="N1823" s="147"/>
      <c r="O1823" s="147"/>
      <c r="P1823" s="147"/>
      <c r="Q1823" s="147"/>
      <c r="R1823" s="148"/>
      <c r="S1823" s="148"/>
      <c r="T1823" s="148"/>
      <c r="U1823" s="148"/>
      <c r="V1823" s="148"/>
      <c r="W1823" s="148"/>
      <c r="X1823" s="148"/>
      <c r="Y1823" s="148"/>
      <c r="Z1823" s="148"/>
      <c r="AA1823" s="148"/>
      <c r="AB1823" s="148"/>
      <c r="AC1823" s="148"/>
    </row>
    <row r="1824" spans="1:29" hidden="1">
      <c r="A1824" s="146"/>
      <c r="B1824" s="147"/>
      <c r="C1824" s="147"/>
      <c r="D1824" s="147"/>
      <c r="E1824" s="147"/>
      <c r="F1824" s="147"/>
      <c r="G1824" s="147"/>
      <c r="H1824" s="147"/>
      <c r="I1824" s="147"/>
      <c r="J1824" s="147"/>
      <c r="K1824" s="147"/>
      <c r="L1824" s="147"/>
      <c r="M1824" s="147"/>
      <c r="N1824" s="147"/>
      <c r="O1824" s="147"/>
      <c r="P1824" s="147"/>
      <c r="Q1824" s="147"/>
      <c r="R1824" s="148"/>
      <c r="S1824" s="148"/>
      <c r="T1824" s="148"/>
      <c r="U1824" s="148"/>
      <c r="V1824" s="148"/>
      <c r="W1824" s="148"/>
      <c r="X1824" s="148"/>
      <c r="Y1824" s="148"/>
      <c r="Z1824" s="148"/>
      <c r="AA1824" s="148"/>
      <c r="AB1824" s="148"/>
      <c r="AC1824" s="148"/>
    </row>
    <row r="1825" spans="1:29" hidden="1">
      <c r="A1825" s="146"/>
      <c r="B1825" s="147"/>
      <c r="C1825" s="147"/>
      <c r="D1825" s="147"/>
      <c r="E1825" s="147"/>
      <c r="F1825" s="147"/>
      <c r="G1825" s="147"/>
      <c r="H1825" s="147"/>
      <c r="I1825" s="147"/>
      <c r="J1825" s="147"/>
      <c r="K1825" s="147"/>
      <c r="L1825" s="147"/>
      <c r="M1825" s="147"/>
      <c r="N1825" s="147"/>
      <c r="O1825" s="147"/>
      <c r="P1825" s="147"/>
      <c r="Q1825" s="147"/>
      <c r="R1825" s="148"/>
      <c r="S1825" s="148"/>
      <c r="T1825" s="148"/>
      <c r="U1825" s="148"/>
      <c r="V1825" s="148"/>
      <c r="W1825" s="148"/>
      <c r="X1825" s="148"/>
      <c r="Y1825" s="148"/>
      <c r="Z1825" s="148"/>
      <c r="AA1825" s="148"/>
      <c r="AB1825" s="148"/>
      <c r="AC1825" s="148"/>
    </row>
    <row r="1826" spans="1:29" hidden="1">
      <c r="A1826" s="146"/>
      <c r="B1826" s="147"/>
      <c r="C1826" s="147"/>
      <c r="D1826" s="147"/>
      <c r="E1826" s="147"/>
      <c r="F1826" s="147"/>
      <c r="G1826" s="147"/>
      <c r="H1826" s="147"/>
      <c r="I1826" s="147"/>
      <c r="J1826" s="147"/>
      <c r="K1826" s="147"/>
      <c r="L1826" s="147"/>
      <c r="M1826" s="147"/>
      <c r="N1826" s="147"/>
      <c r="O1826" s="147"/>
      <c r="P1826" s="147"/>
      <c r="Q1826" s="147"/>
      <c r="R1826" s="148"/>
      <c r="S1826" s="148"/>
      <c r="T1826" s="148"/>
      <c r="U1826" s="148"/>
      <c r="V1826" s="148"/>
      <c r="W1826" s="148"/>
      <c r="X1826" s="148"/>
      <c r="Y1826" s="148"/>
      <c r="Z1826" s="148"/>
      <c r="AA1826" s="148"/>
      <c r="AB1826" s="148"/>
      <c r="AC1826" s="148"/>
    </row>
    <row r="1827" spans="1:29" hidden="1">
      <c r="A1827" s="146"/>
      <c r="B1827" s="147"/>
      <c r="C1827" s="147"/>
      <c r="D1827" s="147"/>
      <c r="E1827" s="147"/>
      <c r="F1827" s="147"/>
      <c r="G1827" s="147"/>
      <c r="H1827" s="147"/>
      <c r="I1827" s="147"/>
      <c r="J1827" s="147"/>
      <c r="K1827" s="147"/>
      <c r="L1827" s="147"/>
      <c r="M1827" s="147"/>
      <c r="N1827" s="147"/>
      <c r="O1827" s="147"/>
      <c r="P1827" s="147"/>
      <c r="Q1827" s="147"/>
      <c r="R1827" s="148"/>
      <c r="S1827" s="148"/>
      <c r="T1827" s="148"/>
      <c r="U1827" s="148"/>
      <c r="V1827" s="148"/>
      <c r="W1827" s="148"/>
      <c r="X1827" s="148"/>
      <c r="Y1827" s="148"/>
      <c r="Z1827" s="148"/>
      <c r="AA1827" s="148"/>
      <c r="AB1827" s="148"/>
      <c r="AC1827" s="148"/>
    </row>
    <row r="1828" spans="1:29" hidden="1">
      <c r="A1828" s="146"/>
      <c r="B1828" s="147"/>
      <c r="C1828" s="147"/>
      <c r="D1828" s="147"/>
      <c r="E1828" s="147"/>
      <c r="F1828" s="147"/>
      <c r="G1828" s="147"/>
      <c r="H1828" s="147"/>
      <c r="I1828" s="147"/>
      <c r="J1828" s="147"/>
      <c r="K1828" s="147"/>
      <c r="L1828" s="147"/>
      <c r="M1828" s="147"/>
      <c r="N1828" s="147"/>
      <c r="O1828" s="147"/>
      <c r="P1828" s="147"/>
      <c r="Q1828" s="147"/>
      <c r="R1828" s="148"/>
      <c r="S1828" s="148"/>
      <c r="T1828" s="148"/>
      <c r="U1828" s="148"/>
      <c r="V1828" s="148"/>
      <c r="W1828" s="148"/>
      <c r="X1828" s="148"/>
      <c r="Y1828" s="148"/>
      <c r="Z1828" s="148"/>
      <c r="AA1828" s="148"/>
      <c r="AB1828" s="148"/>
      <c r="AC1828" s="148"/>
    </row>
    <row r="1829" spans="1:29" hidden="1">
      <c r="A1829" s="146"/>
      <c r="B1829" s="147"/>
      <c r="C1829" s="147"/>
      <c r="D1829" s="147"/>
      <c r="E1829" s="147"/>
      <c r="F1829" s="147"/>
      <c r="G1829" s="147"/>
      <c r="H1829" s="147"/>
      <c r="I1829" s="147"/>
      <c r="J1829" s="147"/>
      <c r="K1829" s="147"/>
      <c r="L1829" s="147"/>
      <c r="M1829" s="147"/>
      <c r="N1829" s="147"/>
      <c r="O1829" s="147"/>
      <c r="P1829" s="147"/>
      <c r="Q1829" s="147"/>
      <c r="R1829" s="148"/>
      <c r="S1829" s="148"/>
      <c r="T1829" s="148"/>
      <c r="U1829" s="148"/>
      <c r="V1829" s="148"/>
      <c r="W1829" s="148"/>
      <c r="X1829" s="148"/>
      <c r="Y1829" s="148"/>
      <c r="Z1829" s="148"/>
      <c r="AA1829" s="148"/>
      <c r="AB1829" s="148"/>
      <c r="AC1829" s="148"/>
    </row>
    <row r="1830" spans="1:29" hidden="1">
      <c r="A1830" s="146"/>
      <c r="B1830" s="147"/>
      <c r="C1830" s="147"/>
      <c r="D1830" s="147"/>
      <c r="E1830" s="147"/>
      <c r="F1830" s="147"/>
      <c r="G1830" s="147"/>
      <c r="H1830" s="147"/>
      <c r="I1830" s="147"/>
      <c r="J1830" s="147"/>
      <c r="K1830" s="147"/>
      <c r="L1830" s="147"/>
      <c r="M1830" s="147"/>
      <c r="N1830" s="147"/>
      <c r="O1830" s="147"/>
      <c r="P1830" s="147"/>
      <c r="Q1830" s="147"/>
      <c r="R1830" s="148"/>
      <c r="S1830" s="148"/>
      <c r="T1830" s="148"/>
      <c r="U1830" s="148"/>
      <c r="V1830" s="148"/>
      <c r="W1830" s="148"/>
      <c r="X1830" s="148"/>
      <c r="Y1830" s="148"/>
      <c r="Z1830" s="148"/>
      <c r="AA1830" s="148"/>
      <c r="AB1830" s="148"/>
      <c r="AC1830" s="148"/>
    </row>
    <row r="1831" spans="1:29" hidden="1">
      <c r="A1831" s="146"/>
      <c r="B1831" s="147"/>
      <c r="C1831" s="147"/>
      <c r="D1831" s="147"/>
      <c r="E1831" s="147"/>
      <c r="F1831" s="147"/>
      <c r="G1831" s="147"/>
      <c r="H1831" s="147"/>
      <c r="I1831" s="147"/>
      <c r="J1831" s="147"/>
      <c r="K1831" s="147"/>
      <c r="L1831" s="147"/>
      <c r="M1831" s="147"/>
      <c r="N1831" s="147"/>
      <c r="O1831" s="147"/>
      <c r="P1831" s="147"/>
      <c r="Q1831" s="147"/>
      <c r="R1831" s="148"/>
      <c r="S1831" s="148"/>
      <c r="T1831" s="148"/>
      <c r="U1831" s="148"/>
      <c r="V1831" s="148"/>
      <c r="W1831" s="148"/>
      <c r="X1831" s="148"/>
      <c r="Y1831" s="148"/>
      <c r="Z1831" s="148"/>
      <c r="AA1831" s="148"/>
      <c r="AB1831" s="148"/>
      <c r="AC1831" s="148"/>
    </row>
    <row r="1832" spans="1:29" hidden="1">
      <c r="A1832" s="146"/>
      <c r="B1832" s="147"/>
      <c r="C1832" s="147"/>
      <c r="D1832" s="147"/>
      <c r="E1832" s="147"/>
      <c r="F1832" s="147"/>
      <c r="G1832" s="147"/>
      <c r="H1832" s="147"/>
      <c r="I1832" s="147"/>
      <c r="J1832" s="147"/>
      <c r="K1832" s="147"/>
      <c r="L1832" s="147"/>
      <c r="M1832" s="147"/>
      <c r="N1832" s="147"/>
      <c r="O1832" s="147"/>
      <c r="P1832" s="147"/>
      <c r="Q1832" s="147"/>
      <c r="R1832" s="148"/>
      <c r="S1832" s="148"/>
      <c r="T1832" s="148"/>
      <c r="U1832" s="148"/>
      <c r="V1832" s="148"/>
      <c r="W1832" s="148"/>
      <c r="X1832" s="148"/>
      <c r="Y1832" s="148"/>
      <c r="Z1832" s="148"/>
      <c r="AA1832" s="148"/>
      <c r="AB1832" s="148"/>
      <c r="AC1832" s="148"/>
    </row>
    <row r="1833" spans="1:29" hidden="1">
      <c r="A1833" s="146"/>
      <c r="B1833" s="147"/>
      <c r="C1833" s="147"/>
      <c r="D1833" s="147"/>
      <c r="E1833" s="147"/>
      <c r="F1833" s="147"/>
      <c r="G1833" s="147"/>
      <c r="H1833" s="147"/>
      <c r="I1833" s="147"/>
      <c r="J1833" s="147"/>
      <c r="K1833" s="147"/>
      <c r="L1833" s="147"/>
      <c r="M1833" s="147"/>
      <c r="N1833" s="147"/>
      <c r="O1833" s="147"/>
      <c r="P1833" s="147"/>
      <c r="Q1833" s="147"/>
      <c r="R1833" s="148"/>
      <c r="S1833" s="148"/>
      <c r="T1833" s="148"/>
      <c r="U1833" s="148"/>
      <c r="V1833" s="148"/>
      <c r="W1833" s="148"/>
      <c r="X1833" s="148"/>
      <c r="Y1833" s="148"/>
      <c r="Z1833" s="148"/>
      <c r="AA1833" s="148"/>
      <c r="AB1833" s="148"/>
      <c r="AC1833" s="148"/>
    </row>
    <row r="1834" spans="1:29" hidden="1">
      <c r="A1834" s="146"/>
      <c r="B1834" s="147"/>
      <c r="C1834" s="147"/>
      <c r="D1834" s="147"/>
      <c r="E1834" s="147"/>
      <c r="F1834" s="147"/>
      <c r="G1834" s="147"/>
      <c r="H1834" s="147"/>
      <c r="I1834" s="147"/>
      <c r="J1834" s="147"/>
      <c r="K1834" s="147"/>
      <c r="L1834" s="147"/>
      <c r="M1834" s="147"/>
      <c r="N1834" s="147"/>
      <c r="O1834" s="147"/>
      <c r="P1834" s="147"/>
      <c r="Q1834" s="147"/>
      <c r="R1834" s="148"/>
      <c r="S1834" s="148"/>
      <c r="T1834" s="148"/>
      <c r="U1834" s="148"/>
      <c r="V1834" s="148"/>
      <c r="W1834" s="148"/>
      <c r="X1834" s="148"/>
      <c r="Y1834" s="148"/>
      <c r="Z1834" s="148"/>
      <c r="AA1834" s="148"/>
      <c r="AB1834" s="148"/>
      <c r="AC1834" s="148"/>
    </row>
    <row r="1835" spans="1:29" hidden="1">
      <c r="A1835" s="146"/>
      <c r="B1835" s="147"/>
      <c r="C1835" s="147"/>
      <c r="D1835" s="147"/>
      <c r="E1835" s="147"/>
      <c r="F1835" s="147"/>
      <c r="G1835" s="147"/>
      <c r="H1835" s="147"/>
      <c r="I1835" s="147"/>
      <c r="J1835" s="147"/>
      <c r="K1835" s="147"/>
      <c r="L1835" s="147"/>
      <c r="M1835" s="147"/>
      <c r="N1835" s="147"/>
      <c r="O1835" s="147"/>
      <c r="P1835" s="147"/>
      <c r="Q1835" s="147"/>
      <c r="R1835" s="148"/>
      <c r="S1835" s="148"/>
      <c r="T1835" s="148"/>
      <c r="U1835" s="148"/>
      <c r="V1835" s="148"/>
      <c r="W1835" s="148"/>
      <c r="X1835" s="148"/>
      <c r="Y1835" s="148"/>
      <c r="Z1835" s="148"/>
      <c r="AA1835" s="148"/>
      <c r="AB1835" s="148"/>
      <c r="AC1835" s="148"/>
    </row>
    <row r="1836" spans="1:29" hidden="1">
      <c r="A1836" s="146"/>
      <c r="B1836" s="147"/>
      <c r="C1836" s="147"/>
      <c r="D1836" s="147"/>
      <c r="E1836" s="147"/>
      <c r="F1836" s="147"/>
      <c r="G1836" s="147"/>
      <c r="H1836" s="147"/>
      <c r="I1836" s="147"/>
      <c r="J1836" s="147"/>
      <c r="K1836" s="147"/>
      <c r="L1836" s="147"/>
      <c r="M1836" s="147"/>
      <c r="N1836" s="147"/>
      <c r="O1836" s="147"/>
      <c r="P1836" s="147"/>
      <c r="Q1836" s="147"/>
      <c r="R1836" s="148"/>
      <c r="S1836" s="148"/>
      <c r="T1836" s="148"/>
      <c r="U1836" s="148"/>
      <c r="V1836" s="148"/>
      <c r="W1836" s="148"/>
      <c r="X1836" s="148"/>
      <c r="Y1836" s="148"/>
      <c r="Z1836" s="148"/>
      <c r="AA1836" s="148"/>
      <c r="AB1836" s="148"/>
      <c r="AC1836" s="148"/>
    </row>
    <row r="1837" spans="1:29" hidden="1">
      <c r="A1837" s="146"/>
      <c r="B1837" s="147"/>
      <c r="C1837" s="147"/>
      <c r="D1837" s="147"/>
      <c r="E1837" s="147"/>
      <c r="F1837" s="147"/>
      <c r="G1837" s="147"/>
      <c r="H1837" s="147"/>
      <c r="I1837" s="147"/>
      <c r="J1837" s="147"/>
      <c r="K1837" s="147"/>
      <c r="L1837" s="147"/>
      <c r="M1837" s="147"/>
      <c r="N1837" s="147"/>
      <c r="O1837" s="147"/>
      <c r="P1837" s="147"/>
      <c r="Q1837" s="147"/>
      <c r="R1837" s="148"/>
      <c r="S1837" s="148"/>
      <c r="T1837" s="148"/>
      <c r="U1837" s="148"/>
      <c r="V1837" s="148"/>
      <c r="W1837" s="148"/>
      <c r="X1837" s="148"/>
      <c r="Y1837" s="148"/>
      <c r="Z1837" s="148"/>
      <c r="AA1837" s="148"/>
      <c r="AB1837" s="148"/>
      <c r="AC1837" s="148"/>
    </row>
    <row r="1838" spans="1:29" hidden="1">
      <c r="A1838" s="146"/>
      <c r="B1838" s="147"/>
      <c r="C1838" s="147"/>
      <c r="D1838" s="147"/>
      <c r="E1838" s="147"/>
      <c r="F1838" s="147"/>
      <c r="G1838" s="147"/>
      <c r="H1838" s="147"/>
      <c r="I1838" s="147"/>
      <c r="J1838" s="147"/>
      <c r="K1838" s="147"/>
      <c r="L1838" s="147"/>
      <c r="M1838" s="147"/>
      <c r="N1838" s="147"/>
      <c r="O1838" s="147"/>
      <c r="P1838" s="147"/>
      <c r="Q1838" s="147"/>
      <c r="R1838" s="148"/>
      <c r="S1838" s="148"/>
      <c r="T1838" s="148"/>
      <c r="U1838" s="148"/>
      <c r="V1838" s="148"/>
      <c r="W1838" s="148"/>
      <c r="X1838" s="148"/>
      <c r="Y1838" s="148"/>
      <c r="Z1838" s="148"/>
      <c r="AA1838" s="148"/>
      <c r="AB1838" s="148"/>
      <c r="AC1838" s="148"/>
    </row>
    <row r="1839" spans="1:29" hidden="1">
      <c r="A1839" s="146"/>
      <c r="B1839" s="147"/>
      <c r="C1839" s="147"/>
      <c r="D1839" s="147"/>
      <c r="E1839" s="147"/>
      <c r="F1839" s="147"/>
      <c r="G1839" s="147"/>
      <c r="H1839" s="147"/>
      <c r="I1839" s="147"/>
      <c r="J1839" s="147"/>
      <c r="K1839" s="147"/>
      <c r="L1839" s="147"/>
      <c r="M1839" s="147"/>
      <c r="N1839" s="147"/>
      <c r="O1839" s="147"/>
      <c r="P1839" s="147"/>
      <c r="Q1839" s="147"/>
      <c r="R1839" s="148"/>
      <c r="S1839" s="148"/>
      <c r="T1839" s="148"/>
      <c r="U1839" s="148"/>
      <c r="V1839" s="148"/>
      <c r="W1839" s="148"/>
      <c r="X1839" s="148"/>
      <c r="Y1839" s="148"/>
      <c r="Z1839" s="148"/>
      <c r="AA1839" s="148"/>
      <c r="AB1839" s="148"/>
      <c r="AC1839" s="148"/>
    </row>
    <row r="1840" spans="1:29" hidden="1">
      <c r="A1840" s="146"/>
      <c r="B1840" s="147"/>
      <c r="C1840" s="147"/>
      <c r="D1840" s="147"/>
      <c r="E1840" s="147"/>
      <c r="F1840" s="147"/>
      <c r="G1840" s="147"/>
      <c r="H1840" s="147"/>
      <c r="I1840" s="147"/>
      <c r="J1840" s="147"/>
      <c r="K1840" s="147"/>
      <c r="L1840" s="147"/>
      <c r="M1840" s="147"/>
      <c r="N1840" s="147"/>
      <c r="O1840" s="147"/>
      <c r="P1840" s="147"/>
      <c r="Q1840" s="147"/>
      <c r="R1840" s="148"/>
      <c r="S1840" s="148"/>
      <c r="T1840" s="148"/>
      <c r="U1840" s="148"/>
      <c r="V1840" s="148"/>
      <c r="W1840" s="148"/>
      <c r="X1840" s="148"/>
      <c r="Y1840" s="148"/>
      <c r="Z1840" s="148"/>
      <c r="AA1840" s="148"/>
      <c r="AB1840" s="148"/>
      <c r="AC1840" s="148"/>
    </row>
    <row r="1841" spans="1:29" hidden="1">
      <c r="A1841" s="146"/>
      <c r="B1841" s="147"/>
      <c r="C1841" s="147"/>
      <c r="D1841" s="147"/>
      <c r="E1841" s="147"/>
      <c r="F1841" s="147"/>
      <c r="G1841" s="147"/>
      <c r="H1841" s="147"/>
      <c r="I1841" s="147"/>
      <c r="J1841" s="147"/>
      <c r="K1841" s="147"/>
      <c r="L1841" s="147"/>
      <c r="M1841" s="147"/>
      <c r="N1841" s="147"/>
      <c r="O1841" s="147"/>
      <c r="P1841" s="147"/>
      <c r="Q1841" s="147"/>
      <c r="R1841" s="148"/>
      <c r="S1841" s="148"/>
      <c r="T1841" s="148"/>
      <c r="U1841" s="148"/>
      <c r="V1841" s="148"/>
      <c r="W1841" s="148"/>
      <c r="X1841" s="148"/>
      <c r="Y1841" s="148"/>
      <c r="Z1841" s="148"/>
      <c r="AA1841" s="148"/>
      <c r="AB1841" s="148"/>
      <c r="AC1841" s="148"/>
    </row>
    <row r="1842" spans="1:29" hidden="1">
      <c r="A1842" s="146"/>
      <c r="B1842" s="147"/>
      <c r="C1842" s="147"/>
      <c r="D1842" s="147"/>
      <c r="E1842" s="147"/>
      <c r="F1842" s="147"/>
      <c r="G1842" s="147"/>
      <c r="H1842" s="147"/>
      <c r="I1842" s="147"/>
      <c r="J1842" s="147"/>
      <c r="K1842" s="147"/>
      <c r="L1842" s="147"/>
      <c r="M1842" s="147"/>
      <c r="N1842" s="147"/>
      <c r="O1842" s="147"/>
      <c r="P1842" s="147"/>
      <c r="Q1842" s="147"/>
      <c r="R1842" s="148"/>
      <c r="S1842" s="148"/>
      <c r="T1842" s="148"/>
      <c r="U1842" s="148"/>
      <c r="V1842" s="148"/>
      <c r="W1842" s="148"/>
      <c r="X1842" s="148"/>
      <c r="Y1842" s="148"/>
      <c r="Z1842" s="148"/>
      <c r="AA1842" s="148"/>
      <c r="AB1842" s="148"/>
      <c r="AC1842" s="148"/>
    </row>
    <row r="1843" spans="1:29" hidden="1">
      <c r="A1843" s="146"/>
      <c r="B1843" s="147"/>
      <c r="C1843" s="147"/>
      <c r="D1843" s="147"/>
      <c r="E1843" s="147"/>
      <c r="F1843" s="147"/>
      <c r="G1843" s="147"/>
      <c r="H1843" s="147"/>
      <c r="I1843" s="147"/>
      <c r="J1843" s="147"/>
      <c r="K1843" s="147"/>
      <c r="L1843" s="147"/>
      <c r="M1843" s="147"/>
      <c r="N1843" s="147"/>
      <c r="O1843" s="147"/>
      <c r="P1843" s="147"/>
      <c r="Q1843" s="147"/>
      <c r="R1843" s="148"/>
      <c r="S1843" s="148"/>
      <c r="T1843" s="148"/>
      <c r="U1843" s="148"/>
      <c r="V1843" s="148"/>
      <c r="W1843" s="148"/>
      <c r="X1843" s="148"/>
      <c r="Y1843" s="148"/>
      <c r="Z1843" s="148"/>
      <c r="AA1843" s="148"/>
      <c r="AB1843" s="148"/>
      <c r="AC1843" s="148"/>
    </row>
    <row r="1844" spans="1:29" hidden="1">
      <c r="A1844" s="146"/>
      <c r="B1844" s="147"/>
      <c r="C1844" s="147"/>
      <c r="D1844" s="147"/>
      <c r="E1844" s="147"/>
      <c r="F1844" s="147"/>
      <c r="G1844" s="147"/>
      <c r="H1844" s="147"/>
      <c r="I1844" s="147"/>
      <c r="J1844" s="147"/>
      <c r="K1844" s="147"/>
      <c r="L1844" s="147"/>
      <c r="M1844" s="147"/>
      <c r="N1844" s="147"/>
      <c r="O1844" s="147"/>
      <c r="P1844" s="147"/>
      <c r="Q1844" s="147"/>
      <c r="R1844" s="148"/>
      <c r="S1844" s="148"/>
      <c r="T1844" s="148"/>
      <c r="U1844" s="148"/>
      <c r="V1844" s="148"/>
      <c r="W1844" s="148"/>
      <c r="X1844" s="148"/>
      <c r="Y1844" s="148"/>
      <c r="Z1844" s="148"/>
      <c r="AA1844" s="148"/>
      <c r="AB1844" s="148"/>
      <c r="AC1844" s="148"/>
    </row>
    <row r="1845" spans="1:29" hidden="1">
      <c r="A1845" s="146"/>
      <c r="B1845" s="147"/>
      <c r="C1845" s="147"/>
      <c r="D1845" s="147"/>
      <c r="E1845" s="147"/>
      <c r="F1845" s="147"/>
      <c r="G1845" s="147"/>
      <c r="H1845" s="147"/>
      <c r="I1845" s="147"/>
      <c r="J1845" s="147"/>
      <c r="K1845" s="147"/>
      <c r="L1845" s="147"/>
      <c r="M1845" s="147"/>
      <c r="N1845" s="147"/>
      <c r="O1845" s="147"/>
      <c r="P1845" s="147"/>
      <c r="Q1845" s="147"/>
      <c r="R1845" s="148"/>
      <c r="S1845" s="148"/>
      <c r="T1845" s="148"/>
      <c r="U1845" s="148"/>
      <c r="V1845" s="148"/>
      <c r="W1845" s="148"/>
      <c r="X1845" s="148"/>
      <c r="Y1845" s="148"/>
      <c r="Z1845" s="148"/>
      <c r="AA1845" s="148"/>
      <c r="AB1845" s="148"/>
      <c r="AC1845" s="148"/>
    </row>
    <row r="1846" spans="1:29" hidden="1">
      <c r="A1846" s="146"/>
      <c r="B1846" s="147"/>
      <c r="C1846" s="147"/>
      <c r="D1846" s="147"/>
      <c r="E1846" s="147"/>
      <c r="F1846" s="147"/>
      <c r="G1846" s="147"/>
      <c r="H1846" s="147"/>
      <c r="I1846" s="147"/>
      <c r="J1846" s="147"/>
      <c r="K1846" s="147"/>
      <c r="L1846" s="147"/>
      <c r="M1846" s="147"/>
      <c r="N1846" s="147"/>
      <c r="O1846" s="147"/>
      <c r="P1846" s="147"/>
      <c r="Q1846" s="147"/>
      <c r="R1846" s="148"/>
      <c r="S1846" s="148"/>
      <c r="T1846" s="148"/>
      <c r="U1846" s="148"/>
      <c r="V1846" s="148"/>
      <c r="W1846" s="148"/>
      <c r="X1846" s="148"/>
      <c r="Y1846" s="148"/>
      <c r="Z1846" s="148"/>
      <c r="AA1846" s="148"/>
      <c r="AB1846" s="148"/>
      <c r="AC1846" s="148"/>
    </row>
    <row r="1847" spans="1:29" hidden="1">
      <c r="A1847" s="146"/>
      <c r="B1847" s="147"/>
      <c r="C1847" s="147"/>
      <c r="D1847" s="147"/>
      <c r="E1847" s="147"/>
      <c r="F1847" s="147"/>
      <c r="G1847" s="147"/>
      <c r="H1847" s="147"/>
      <c r="I1847" s="147"/>
      <c r="J1847" s="147"/>
      <c r="K1847" s="147"/>
      <c r="L1847" s="147"/>
      <c r="M1847" s="147"/>
      <c r="N1847" s="147"/>
      <c r="O1847" s="147"/>
      <c r="P1847" s="147"/>
      <c r="Q1847" s="147"/>
      <c r="R1847" s="148"/>
      <c r="S1847" s="148"/>
      <c r="T1847" s="148"/>
      <c r="U1847" s="148"/>
      <c r="V1847" s="148"/>
      <c r="W1847" s="148"/>
      <c r="X1847" s="148"/>
      <c r="Y1847" s="148"/>
      <c r="Z1847" s="148"/>
      <c r="AA1847" s="148"/>
      <c r="AB1847" s="148"/>
      <c r="AC1847" s="148"/>
    </row>
    <row r="1848" spans="1:29" hidden="1">
      <c r="A1848" s="146"/>
      <c r="B1848" s="147"/>
      <c r="C1848" s="147"/>
      <c r="D1848" s="147"/>
      <c r="E1848" s="147"/>
      <c r="F1848" s="147"/>
      <c r="G1848" s="147"/>
      <c r="H1848" s="147"/>
      <c r="I1848" s="147"/>
      <c r="J1848" s="147"/>
      <c r="K1848" s="147"/>
      <c r="L1848" s="147"/>
      <c r="M1848" s="147"/>
      <c r="N1848" s="147"/>
      <c r="O1848" s="147"/>
      <c r="P1848" s="147"/>
      <c r="Q1848" s="147"/>
      <c r="R1848" s="148"/>
      <c r="S1848" s="148"/>
      <c r="T1848" s="148"/>
      <c r="U1848" s="148"/>
      <c r="V1848" s="148"/>
      <c r="W1848" s="148"/>
      <c r="X1848" s="148"/>
      <c r="Y1848" s="148"/>
      <c r="Z1848" s="148"/>
      <c r="AA1848" s="148"/>
      <c r="AB1848" s="148"/>
      <c r="AC1848" s="148"/>
    </row>
    <row r="1849" spans="1:29" hidden="1">
      <c r="A1849" s="146"/>
      <c r="B1849" s="147"/>
      <c r="C1849" s="147"/>
      <c r="D1849" s="147"/>
      <c r="E1849" s="147"/>
      <c r="F1849" s="147"/>
      <c r="G1849" s="147"/>
      <c r="H1849" s="147"/>
      <c r="I1849" s="147"/>
      <c r="J1849" s="147"/>
      <c r="K1849" s="147"/>
      <c r="L1849" s="147"/>
      <c r="M1849" s="147"/>
      <c r="N1849" s="147"/>
      <c r="O1849" s="147"/>
      <c r="P1849" s="147"/>
      <c r="Q1849" s="147"/>
      <c r="R1849" s="148"/>
      <c r="S1849" s="148"/>
      <c r="T1849" s="148"/>
      <c r="U1849" s="148"/>
      <c r="V1849" s="148"/>
      <c r="W1849" s="148"/>
      <c r="X1849" s="148"/>
      <c r="Y1849" s="148"/>
      <c r="Z1849" s="148"/>
      <c r="AA1849" s="148"/>
      <c r="AB1849" s="148"/>
      <c r="AC1849" s="148"/>
    </row>
    <row r="1850" spans="1:29" hidden="1">
      <c r="A1850" s="146"/>
      <c r="B1850" s="147"/>
      <c r="C1850" s="147"/>
      <c r="D1850" s="147"/>
      <c r="E1850" s="147"/>
      <c r="F1850" s="147"/>
      <c r="G1850" s="147"/>
      <c r="H1850" s="147"/>
      <c r="I1850" s="147"/>
      <c r="J1850" s="147"/>
      <c r="K1850" s="147"/>
      <c r="L1850" s="147"/>
      <c r="M1850" s="147"/>
      <c r="N1850" s="147"/>
      <c r="O1850" s="147"/>
      <c r="P1850" s="147"/>
      <c r="Q1850" s="147"/>
      <c r="R1850" s="148"/>
      <c r="S1850" s="148"/>
      <c r="T1850" s="148"/>
      <c r="U1850" s="148"/>
      <c r="V1850" s="148"/>
      <c r="W1850" s="148"/>
      <c r="X1850" s="148"/>
      <c r="Y1850" s="148"/>
      <c r="Z1850" s="148"/>
      <c r="AA1850" s="148"/>
      <c r="AB1850" s="148"/>
      <c r="AC1850" s="148"/>
    </row>
    <row r="1851" spans="1:29" hidden="1">
      <c r="A1851" s="146"/>
      <c r="B1851" s="147"/>
      <c r="C1851" s="147"/>
      <c r="D1851" s="147"/>
      <c r="E1851" s="147"/>
      <c r="F1851" s="147"/>
      <c r="G1851" s="147"/>
      <c r="H1851" s="147"/>
      <c r="I1851" s="147"/>
      <c r="J1851" s="147"/>
      <c r="K1851" s="147"/>
      <c r="L1851" s="147"/>
      <c r="M1851" s="147"/>
      <c r="N1851" s="147"/>
      <c r="O1851" s="147"/>
      <c r="P1851" s="147"/>
      <c r="Q1851" s="147"/>
      <c r="R1851" s="148"/>
      <c r="S1851" s="148"/>
      <c r="T1851" s="148"/>
      <c r="U1851" s="148"/>
      <c r="V1851" s="148"/>
      <c r="W1851" s="148"/>
      <c r="X1851" s="148"/>
      <c r="Y1851" s="148"/>
      <c r="Z1851" s="148"/>
      <c r="AA1851" s="148"/>
      <c r="AB1851" s="148"/>
      <c r="AC1851" s="148"/>
    </row>
    <row r="1852" spans="1:29" hidden="1">
      <c r="A1852" s="146"/>
      <c r="B1852" s="147"/>
      <c r="C1852" s="147"/>
      <c r="D1852" s="147"/>
      <c r="E1852" s="147"/>
      <c r="F1852" s="147"/>
      <c r="G1852" s="147"/>
      <c r="H1852" s="147"/>
      <c r="I1852" s="147"/>
      <c r="J1852" s="147"/>
      <c r="K1852" s="147"/>
      <c r="L1852" s="147"/>
      <c r="M1852" s="147"/>
      <c r="N1852" s="147"/>
      <c r="O1852" s="147"/>
      <c r="P1852" s="147"/>
      <c r="Q1852" s="147"/>
      <c r="R1852" s="148"/>
      <c r="S1852" s="148"/>
      <c r="T1852" s="148"/>
      <c r="U1852" s="148"/>
      <c r="V1852" s="148"/>
      <c r="W1852" s="148"/>
      <c r="X1852" s="148"/>
      <c r="Y1852" s="148"/>
      <c r="Z1852" s="148"/>
      <c r="AA1852" s="148"/>
      <c r="AB1852" s="148"/>
      <c r="AC1852" s="148"/>
    </row>
    <row r="1853" spans="1:29" hidden="1">
      <c r="A1853" s="146"/>
      <c r="B1853" s="147"/>
      <c r="C1853" s="147"/>
      <c r="D1853" s="147"/>
      <c r="E1853" s="147"/>
      <c r="F1853" s="147"/>
      <c r="G1853" s="147"/>
      <c r="H1853" s="147"/>
      <c r="I1853" s="147"/>
      <c r="J1853" s="147"/>
      <c r="K1853" s="147"/>
      <c r="L1853" s="147"/>
      <c r="M1853" s="147"/>
      <c r="N1853" s="147"/>
      <c r="O1853" s="147"/>
      <c r="P1853" s="147"/>
      <c r="Q1853" s="147"/>
      <c r="R1853" s="148"/>
      <c r="S1853" s="148"/>
      <c r="T1853" s="148"/>
      <c r="U1853" s="148"/>
      <c r="V1853" s="148"/>
      <c r="W1853" s="148"/>
      <c r="X1853" s="148"/>
      <c r="Y1853" s="148"/>
      <c r="Z1853" s="148"/>
      <c r="AA1853" s="148"/>
      <c r="AB1853" s="148"/>
      <c r="AC1853" s="148"/>
    </row>
    <row r="1854" spans="1:29" hidden="1">
      <c r="A1854" s="146"/>
      <c r="B1854" s="147"/>
      <c r="C1854" s="147"/>
      <c r="D1854" s="147"/>
      <c r="E1854" s="147"/>
      <c r="F1854" s="147"/>
      <c r="G1854" s="147"/>
      <c r="H1854" s="147"/>
      <c r="I1854" s="147"/>
      <c r="J1854" s="147"/>
      <c r="K1854" s="147"/>
      <c r="L1854" s="147"/>
      <c r="M1854" s="147"/>
      <c r="N1854" s="147"/>
      <c r="O1854" s="147"/>
      <c r="P1854" s="147"/>
      <c r="Q1854" s="147"/>
      <c r="R1854" s="148"/>
      <c r="S1854" s="148"/>
      <c r="T1854" s="148"/>
      <c r="U1854" s="148"/>
      <c r="V1854" s="148"/>
      <c r="W1854" s="148"/>
      <c r="X1854" s="148"/>
      <c r="Y1854" s="148"/>
      <c r="Z1854" s="148"/>
      <c r="AA1854" s="148"/>
      <c r="AB1854" s="148"/>
      <c r="AC1854" s="148"/>
    </row>
    <row r="1855" spans="1:29" hidden="1">
      <c r="A1855" s="146"/>
      <c r="B1855" s="147"/>
      <c r="C1855" s="147"/>
      <c r="D1855" s="147"/>
      <c r="E1855" s="147"/>
      <c r="F1855" s="147"/>
      <c r="G1855" s="147"/>
      <c r="H1855" s="147"/>
      <c r="I1855" s="147"/>
      <c r="J1855" s="147"/>
      <c r="K1855" s="147"/>
      <c r="L1855" s="147"/>
      <c r="M1855" s="147"/>
      <c r="N1855" s="147"/>
      <c r="O1855" s="147"/>
      <c r="P1855" s="147"/>
      <c r="Q1855" s="147"/>
      <c r="R1855" s="148"/>
      <c r="S1855" s="148"/>
      <c r="T1855" s="148"/>
      <c r="U1855" s="148"/>
      <c r="V1855" s="148"/>
      <c r="W1855" s="148"/>
      <c r="X1855" s="148"/>
      <c r="Y1855" s="148"/>
      <c r="Z1855" s="148"/>
      <c r="AA1855" s="148"/>
      <c r="AB1855" s="148"/>
      <c r="AC1855" s="148"/>
    </row>
    <row r="1856" spans="1:29" hidden="1">
      <c r="A1856" s="146"/>
      <c r="B1856" s="147"/>
      <c r="C1856" s="147"/>
      <c r="D1856" s="147"/>
      <c r="E1856" s="147"/>
      <c r="F1856" s="147"/>
      <c r="G1856" s="147"/>
      <c r="H1856" s="147"/>
      <c r="I1856" s="147"/>
      <c r="J1856" s="147"/>
      <c r="K1856" s="147"/>
      <c r="L1856" s="147"/>
      <c r="M1856" s="147"/>
      <c r="N1856" s="147"/>
      <c r="O1856" s="147"/>
      <c r="P1856" s="147"/>
      <c r="Q1856" s="147"/>
      <c r="R1856" s="148"/>
      <c r="S1856" s="148"/>
      <c r="T1856" s="148"/>
      <c r="U1856" s="148"/>
      <c r="V1856" s="148"/>
      <c r="W1856" s="148"/>
      <c r="X1856" s="148"/>
      <c r="Y1856" s="148"/>
      <c r="Z1856" s="148"/>
      <c r="AA1856" s="148"/>
      <c r="AB1856" s="148"/>
      <c r="AC1856" s="148"/>
    </row>
    <row r="1857" spans="1:29" hidden="1">
      <c r="A1857" s="146"/>
      <c r="B1857" s="147"/>
      <c r="C1857" s="147"/>
      <c r="D1857" s="147"/>
      <c r="E1857" s="147"/>
      <c r="F1857" s="147"/>
      <c r="G1857" s="147"/>
      <c r="H1857" s="147"/>
      <c r="I1857" s="147"/>
      <c r="J1857" s="147"/>
      <c r="K1857" s="147"/>
      <c r="L1857" s="147"/>
      <c r="M1857" s="147"/>
      <c r="N1857" s="147"/>
      <c r="O1857" s="147"/>
      <c r="P1857" s="147"/>
      <c r="Q1857" s="147"/>
      <c r="R1857" s="148"/>
      <c r="S1857" s="148"/>
      <c r="T1857" s="148"/>
      <c r="U1857" s="148"/>
      <c r="V1857" s="148"/>
      <c r="W1857" s="148"/>
      <c r="X1857" s="148"/>
      <c r="Y1857" s="148"/>
      <c r="Z1857" s="148"/>
      <c r="AA1857" s="148"/>
      <c r="AB1857" s="148"/>
      <c r="AC1857" s="148"/>
    </row>
    <row r="1858" spans="1:29" hidden="1">
      <c r="A1858" s="146"/>
      <c r="B1858" s="147"/>
      <c r="C1858" s="147"/>
      <c r="D1858" s="147"/>
      <c r="E1858" s="147"/>
      <c r="F1858" s="147"/>
      <c r="G1858" s="147"/>
      <c r="H1858" s="147"/>
      <c r="I1858" s="147"/>
      <c r="J1858" s="147"/>
      <c r="K1858" s="147"/>
      <c r="L1858" s="147"/>
      <c r="M1858" s="147"/>
      <c r="N1858" s="147"/>
      <c r="O1858" s="147"/>
      <c r="P1858" s="147"/>
      <c r="Q1858" s="147"/>
      <c r="R1858" s="148"/>
      <c r="S1858" s="148"/>
      <c r="T1858" s="148"/>
      <c r="U1858" s="148"/>
      <c r="V1858" s="148"/>
      <c r="W1858" s="148"/>
      <c r="X1858" s="148"/>
      <c r="Y1858" s="148"/>
      <c r="Z1858" s="148"/>
      <c r="AA1858" s="148"/>
      <c r="AB1858" s="148"/>
      <c r="AC1858" s="148"/>
    </row>
    <row r="1859" spans="1:29" hidden="1">
      <c r="A1859" s="146"/>
      <c r="B1859" s="147"/>
      <c r="C1859" s="147"/>
      <c r="D1859" s="147"/>
      <c r="E1859" s="147"/>
      <c r="F1859" s="147"/>
      <c r="G1859" s="147"/>
      <c r="H1859" s="147"/>
      <c r="I1859" s="147"/>
      <c r="J1859" s="147"/>
      <c r="K1859" s="147"/>
      <c r="L1859" s="147"/>
      <c r="M1859" s="147"/>
      <c r="N1859" s="147"/>
      <c r="O1859" s="147"/>
      <c r="P1859" s="147"/>
      <c r="Q1859" s="147"/>
      <c r="R1859" s="148"/>
      <c r="S1859" s="148"/>
      <c r="T1859" s="148"/>
      <c r="U1859" s="148"/>
      <c r="V1859" s="148"/>
      <c r="W1859" s="148"/>
      <c r="X1859" s="148"/>
      <c r="Y1859" s="148"/>
      <c r="Z1859" s="148"/>
      <c r="AA1859" s="148"/>
      <c r="AB1859" s="148"/>
      <c r="AC1859" s="148"/>
    </row>
    <row r="1860" spans="1:29" hidden="1">
      <c r="A1860" s="146"/>
      <c r="B1860" s="147"/>
      <c r="C1860" s="147"/>
      <c r="D1860" s="147"/>
      <c r="E1860" s="147"/>
      <c r="F1860" s="147"/>
      <c r="G1860" s="147"/>
      <c r="H1860" s="147"/>
      <c r="I1860" s="147"/>
      <c r="J1860" s="147"/>
      <c r="K1860" s="147"/>
      <c r="L1860" s="147"/>
      <c r="M1860" s="147"/>
      <c r="N1860" s="147"/>
      <c r="O1860" s="147"/>
      <c r="P1860" s="147"/>
      <c r="Q1860" s="147"/>
      <c r="R1860" s="148"/>
      <c r="S1860" s="148"/>
      <c r="T1860" s="148"/>
      <c r="U1860" s="148"/>
      <c r="V1860" s="148"/>
      <c r="W1860" s="148"/>
      <c r="X1860" s="148"/>
      <c r="Y1860" s="148"/>
      <c r="Z1860" s="148"/>
      <c r="AA1860" s="148"/>
      <c r="AB1860" s="148"/>
      <c r="AC1860" s="148"/>
    </row>
    <row r="1861" spans="1:29" hidden="1">
      <c r="A1861" s="146"/>
      <c r="B1861" s="147"/>
      <c r="C1861" s="147"/>
      <c r="D1861" s="147"/>
      <c r="E1861" s="147"/>
      <c r="F1861" s="147"/>
      <c r="G1861" s="147"/>
      <c r="H1861" s="147"/>
      <c r="I1861" s="147"/>
      <c r="J1861" s="147"/>
      <c r="K1861" s="147"/>
      <c r="L1861" s="147"/>
      <c r="M1861" s="147"/>
      <c r="N1861" s="147"/>
      <c r="O1861" s="147"/>
      <c r="P1861" s="147"/>
      <c r="Q1861" s="147"/>
      <c r="R1861" s="148"/>
      <c r="S1861" s="148"/>
      <c r="T1861" s="148"/>
      <c r="U1861" s="148"/>
      <c r="V1861" s="148"/>
      <c r="W1861" s="148"/>
      <c r="X1861" s="148"/>
      <c r="Y1861" s="148"/>
      <c r="Z1861" s="148"/>
      <c r="AA1861" s="148"/>
      <c r="AB1861" s="148"/>
      <c r="AC1861" s="148"/>
    </row>
    <row r="1862" spans="1:29" hidden="1">
      <c r="A1862" s="146"/>
      <c r="B1862" s="147"/>
      <c r="C1862" s="147"/>
      <c r="D1862" s="147"/>
      <c r="E1862" s="147"/>
      <c r="F1862" s="147"/>
      <c r="G1862" s="147"/>
      <c r="H1862" s="147"/>
      <c r="I1862" s="147"/>
      <c r="J1862" s="147"/>
      <c r="K1862" s="147"/>
      <c r="L1862" s="147"/>
      <c r="M1862" s="147"/>
      <c r="N1862" s="147"/>
      <c r="O1862" s="147"/>
      <c r="P1862" s="147"/>
      <c r="Q1862" s="147"/>
      <c r="R1862" s="148"/>
      <c r="S1862" s="148"/>
      <c r="T1862" s="148"/>
      <c r="U1862" s="148"/>
      <c r="V1862" s="148"/>
      <c r="W1862" s="148"/>
      <c r="X1862" s="148"/>
      <c r="Y1862" s="148"/>
      <c r="Z1862" s="148"/>
      <c r="AA1862" s="148"/>
      <c r="AB1862" s="148"/>
      <c r="AC1862" s="148"/>
    </row>
    <row r="1863" spans="1:29" hidden="1">
      <c r="A1863" s="146"/>
      <c r="B1863" s="147"/>
      <c r="C1863" s="147"/>
      <c r="D1863" s="147"/>
      <c r="E1863" s="147"/>
      <c r="F1863" s="147"/>
      <c r="G1863" s="147"/>
      <c r="H1863" s="147"/>
      <c r="I1863" s="147"/>
      <c r="J1863" s="147"/>
      <c r="K1863" s="147"/>
      <c r="L1863" s="147"/>
      <c r="M1863" s="147"/>
      <c r="N1863" s="147"/>
      <c r="O1863" s="147"/>
      <c r="P1863" s="147"/>
      <c r="Q1863" s="147"/>
      <c r="R1863" s="148"/>
      <c r="S1863" s="148"/>
      <c r="T1863" s="148"/>
      <c r="U1863" s="148"/>
      <c r="V1863" s="148"/>
      <c r="W1863" s="148"/>
      <c r="X1863" s="148"/>
      <c r="Y1863" s="148"/>
      <c r="Z1863" s="148"/>
      <c r="AA1863" s="148"/>
      <c r="AB1863" s="148"/>
      <c r="AC1863" s="148"/>
    </row>
    <row r="1864" spans="1:29" hidden="1">
      <c r="A1864" s="146"/>
      <c r="B1864" s="147"/>
      <c r="C1864" s="147"/>
      <c r="D1864" s="147"/>
      <c r="E1864" s="147"/>
      <c r="F1864" s="147"/>
      <c r="G1864" s="147"/>
      <c r="H1864" s="147"/>
      <c r="I1864" s="147"/>
      <c r="J1864" s="147"/>
      <c r="K1864" s="147"/>
      <c r="L1864" s="147"/>
      <c r="M1864" s="147"/>
      <c r="N1864" s="147"/>
      <c r="O1864" s="147"/>
      <c r="P1864" s="147"/>
      <c r="Q1864" s="147"/>
      <c r="R1864" s="148"/>
      <c r="S1864" s="148"/>
      <c r="T1864" s="148"/>
      <c r="U1864" s="148"/>
      <c r="V1864" s="148"/>
      <c r="W1864" s="148"/>
      <c r="X1864" s="148"/>
      <c r="Y1864" s="148"/>
      <c r="Z1864" s="148"/>
      <c r="AA1864" s="148"/>
      <c r="AB1864" s="148"/>
      <c r="AC1864" s="148"/>
    </row>
    <row r="1865" spans="1:29" hidden="1">
      <c r="A1865" s="146"/>
      <c r="B1865" s="147"/>
      <c r="C1865" s="147"/>
      <c r="D1865" s="147"/>
      <c r="E1865" s="147"/>
      <c r="F1865" s="147"/>
      <c r="G1865" s="147"/>
      <c r="H1865" s="147"/>
      <c r="I1865" s="147"/>
      <c r="J1865" s="147"/>
      <c r="K1865" s="147"/>
      <c r="L1865" s="147"/>
      <c r="M1865" s="147"/>
      <c r="N1865" s="147"/>
      <c r="O1865" s="147"/>
      <c r="P1865" s="147"/>
      <c r="Q1865" s="147"/>
      <c r="R1865" s="148"/>
      <c r="S1865" s="148"/>
      <c r="T1865" s="148"/>
      <c r="U1865" s="148"/>
      <c r="V1865" s="148"/>
      <c r="W1865" s="148"/>
      <c r="X1865" s="148"/>
      <c r="Y1865" s="148"/>
      <c r="Z1865" s="148"/>
      <c r="AA1865" s="148"/>
      <c r="AB1865" s="148"/>
      <c r="AC1865" s="148"/>
    </row>
    <row r="1866" spans="1:29" hidden="1">
      <c r="A1866" s="146"/>
      <c r="B1866" s="147"/>
      <c r="C1866" s="147"/>
      <c r="D1866" s="147"/>
      <c r="E1866" s="147"/>
      <c r="F1866" s="147"/>
      <c r="G1866" s="147"/>
      <c r="H1866" s="147"/>
      <c r="I1866" s="147"/>
      <c r="J1866" s="147"/>
      <c r="K1866" s="147"/>
      <c r="L1866" s="147"/>
      <c r="M1866" s="147"/>
      <c r="N1866" s="147"/>
      <c r="O1866" s="147"/>
      <c r="P1866" s="147"/>
      <c r="Q1866" s="147"/>
      <c r="R1866" s="148"/>
      <c r="S1866" s="148"/>
      <c r="T1866" s="148"/>
      <c r="U1866" s="148"/>
      <c r="V1866" s="148"/>
      <c r="W1866" s="148"/>
      <c r="X1866" s="148"/>
      <c r="Y1866" s="148"/>
      <c r="Z1866" s="148"/>
      <c r="AA1866" s="148"/>
      <c r="AB1866" s="148"/>
      <c r="AC1866" s="148"/>
    </row>
    <row r="1867" spans="1:29" hidden="1">
      <c r="A1867" s="146"/>
      <c r="B1867" s="147"/>
      <c r="C1867" s="147"/>
      <c r="D1867" s="147"/>
      <c r="E1867" s="147"/>
      <c r="F1867" s="147"/>
      <c r="G1867" s="147"/>
      <c r="H1867" s="147"/>
      <c r="I1867" s="147"/>
      <c r="J1867" s="147"/>
      <c r="K1867" s="147"/>
      <c r="L1867" s="147"/>
      <c r="M1867" s="147"/>
      <c r="N1867" s="147"/>
      <c r="O1867" s="147"/>
      <c r="P1867" s="147"/>
      <c r="Q1867" s="147"/>
      <c r="R1867" s="148"/>
      <c r="S1867" s="148"/>
      <c r="T1867" s="148"/>
      <c r="U1867" s="148"/>
      <c r="V1867" s="148"/>
      <c r="W1867" s="148"/>
      <c r="X1867" s="148"/>
      <c r="Y1867" s="148"/>
      <c r="Z1867" s="148"/>
      <c r="AA1867" s="148"/>
      <c r="AB1867" s="148"/>
      <c r="AC1867" s="148"/>
    </row>
    <row r="1868" spans="1:29" hidden="1">
      <c r="A1868" s="146"/>
      <c r="B1868" s="147"/>
      <c r="C1868" s="147"/>
      <c r="D1868" s="147"/>
      <c r="E1868" s="147"/>
      <c r="F1868" s="147"/>
      <c r="G1868" s="147"/>
      <c r="H1868" s="147"/>
      <c r="I1868" s="147"/>
      <c r="J1868" s="147"/>
      <c r="K1868" s="147"/>
      <c r="L1868" s="147"/>
      <c r="M1868" s="147"/>
      <c r="N1868" s="147"/>
      <c r="O1868" s="147"/>
      <c r="P1868" s="147"/>
      <c r="Q1868" s="147"/>
      <c r="R1868" s="148"/>
      <c r="S1868" s="148"/>
      <c r="T1868" s="148"/>
      <c r="U1868" s="148"/>
      <c r="V1868" s="148"/>
      <c r="W1868" s="148"/>
      <c r="X1868" s="148"/>
      <c r="Y1868" s="148"/>
      <c r="Z1868" s="148"/>
      <c r="AA1868" s="148"/>
      <c r="AB1868" s="148"/>
      <c r="AC1868" s="148"/>
    </row>
    <row r="1869" spans="1:29" hidden="1">
      <c r="A1869" s="146"/>
      <c r="B1869" s="147"/>
      <c r="C1869" s="147"/>
      <c r="D1869" s="147"/>
      <c r="E1869" s="147"/>
      <c r="F1869" s="147"/>
      <c r="G1869" s="147"/>
      <c r="H1869" s="147"/>
      <c r="I1869" s="147"/>
      <c r="J1869" s="147"/>
      <c r="K1869" s="147"/>
      <c r="L1869" s="147"/>
      <c r="M1869" s="147"/>
      <c r="N1869" s="147"/>
      <c r="O1869" s="147"/>
      <c r="P1869" s="147"/>
      <c r="Q1869" s="147"/>
      <c r="R1869" s="148"/>
      <c r="S1869" s="148"/>
      <c r="T1869" s="148"/>
      <c r="U1869" s="148"/>
      <c r="V1869" s="148"/>
      <c r="W1869" s="148"/>
      <c r="X1869" s="148"/>
      <c r="Y1869" s="148"/>
      <c r="Z1869" s="148"/>
      <c r="AA1869" s="148"/>
      <c r="AB1869" s="148"/>
      <c r="AC1869" s="148"/>
    </row>
    <row r="1870" spans="1:29" hidden="1">
      <c r="A1870" s="146"/>
      <c r="B1870" s="147"/>
      <c r="C1870" s="147"/>
      <c r="D1870" s="147"/>
      <c r="E1870" s="147"/>
      <c r="F1870" s="147"/>
      <c r="G1870" s="147"/>
      <c r="H1870" s="147"/>
      <c r="I1870" s="147"/>
      <c r="J1870" s="147"/>
      <c r="K1870" s="147"/>
      <c r="L1870" s="147"/>
      <c r="M1870" s="147"/>
      <c r="N1870" s="147"/>
      <c r="O1870" s="147"/>
      <c r="P1870" s="147"/>
      <c r="Q1870" s="147"/>
      <c r="R1870" s="148"/>
      <c r="S1870" s="148"/>
      <c r="T1870" s="148"/>
      <c r="U1870" s="148"/>
      <c r="V1870" s="148"/>
      <c r="W1870" s="148"/>
      <c r="X1870" s="148"/>
      <c r="Y1870" s="148"/>
      <c r="Z1870" s="148"/>
      <c r="AA1870" s="148"/>
      <c r="AB1870" s="148"/>
      <c r="AC1870" s="148"/>
    </row>
    <row r="1871" spans="1:29" hidden="1">
      <c r="A1871" s="146"/>
      <c r="B1871" s="147"/>
      <c r="C1871" s="147"/>
      <c r="D1871" s="147"/>
      <c r="E1871" s="147"/>
      <c r="F1871" s="147"/>
      <c r="G1871" s="147"/>
      <c r="H1871" s="147"/>
      <c r="I1871" s="147"/>
      <c r="J1871" s="147"/>
      <c r="K1871" s="147"/>
      <c r="L1871" s="147"/>
      <c r="M1871" s="147"/>
      <c r="N1871" s="147"/>
      <c r="O1871" s="147"/>
      <c r="P1871" s="147"/>
      <c r="Q1871" s="147"/>
      <c r="R1871" s="148"/>
      <c r="S1871" s="148"/>
      <c r="T1871" s="148"/>
      <c r="U1871" s="148"/>
      <c r="V1871" s="148"/>
      <c r="W1871" s="148"/>
      <c r="X1871" s="148"/>
      <c r="Y1871" s="148"/>
      <c r="Z1871" s="148"/>
      <c r="AA1871" s="148"/>
      <c r="AB1871" s="148"/>
      <c r="AC1871" s="148"/>
    </row>
    <row r="1872" spans="1:29" hidden="1">
      <c r="A1872" s="146"/>
      <c r="B1872" s="147"/>
      <c r="C1872" s="147"/>
      <c r="D1872" s="147"/>
      <c r="E1872" s="147"/>
      <c r="F1872" s="147"/>
      <c r="G1872" s="147"/>
      <c r="H1872" s="147"/>
      <c r="I1872" s="147"/>
      <c r="J1872" s="147"/>
      <c r="K1872" s="147"/>
      <c r="L1872" s="147"/>
      <c r="M1872" s="147"/>
      <c r="N1872" s="147"/>
      <c r="O1872" s="147"/>
      <c r="P1872" s="147"/>
      <c r="Q1872" s="147"/>
      <c r="R1872" s="148"/>
      <c r="S1872" s="148"/>
      <c r="T1872" s="148"/>
      <c r="U1872" s="148"/>
      <c r="V1872" s="148"/>
      <c r="W1872" s="148"/>
      <c r="X1872" s="148"/>
      <c r="Y1872" s="148"/>
      <c r="Z1872" s="148"/>
      <c r="AA1872" s="148"/>
      <c r="AB1872" s="148"/>
      <c r="AC1872" s="148"/>
    </row>
    <row r="1873" spans="1:29" hidden="1">
      <c r="A1873" s="146"/>
      <c r="B1873" s="147"/>
      <c r="C1873" s="147"/>
      <c r="D1873" s="147"/>
      <c r="E1873" s="147"/>
      <c r="F1873" s="147"/>
      <c r="G1873" s="147"/>
      <c r="H1873" s="147"/>
      <c r="I1873" s="147"/>
      <c r="J1873" s="147"/>
      <c r="K1873" s="147"/>
      <c r="L1873" s="147"/>
      <c r="M1873" s="147"/>
      <c r="N1873" s="147"/>
      <c r="O1873" s="147"/>
      <c r="P1873" s="147"/>
      <c r="Q1873" s="147"/>
      <c r="R1873" s="148"/>
      <c r="S1873" s="148"/>
      <c r="T1873" s="148"/>
      <c r="U1873" s="148"/>
      <c r="V1873" s="148"/>
      <c r="W1873" s="148"/>
      <c r="X1873" s="148"/>
      <c r="Y1873" s="148"/>
      <c r="Z1873" s="148"/>
      <c r="AA1873" s="148"/>
      <c r="AB1873" s="148"/>
      <c r="AC1873" s="148"/>
    </row>
    <row r="1874" spans="1:29" hidden="1">
      <c r="A1874" s="146"/>
      <c r="B1874" s="147"/>
      <c r="C1874" s="147"/>
      <c r="D1874" s="147"/>
      <c r="E1874" s="147"/>
      <c r="F1874" s="147"/>
      <c r="G1874" s="147"/>
      <c r="H1874" s="147"/>
      <c r="I1874" s="147"/>
      <c r="J1874" s="147"/>
      <c r="K1874" s="147"/>
      <c r="L1874" s="147"/>
      <c r="M1874" s="147"/>
      <c r="N1874" s="147"/>
      <c r="O1874" s="147"/>
      <c r="P1874" s="147"/>
      <c r="Q1874" s="147"/>
      <c r="R1874" s="148"/>
      <c r="S1874" s="148"/>
      <c r="T1874" s="148"/>
      <c r="U1874" s="148"/>
      <c r="V1874" s="148"/>
      <c r="W1874" s="148"/>
      <c r="X1874" s="148"/>
      <c r="Y1874" s="148"/>
      <c r="Z1874" s="148"/>
      <c r="AA1874" s="148"/>
      <c r="AB1874" s="148"/>
      <c r="AC1874" s="148"/>
    </row>
    <row r="1875" spans="1:29" hidden="1">
      <c r="A1875" s="146"/>
      <c r="B1875" s="147"/>
      <c r="C1875" s="147"/>
      <c r="D1875" s="147"/>
      <c r="E1875" s="147"/>
      <c r="F1875" s="147"/>
      <c r="G1875" s="147"/>
      <c r="H1875" s="147"/>
      <c r="I1875" s="147"/>
      <c r="J1875" s="147"/>
      <c r="K1875" s="147"/>
      <c r="L1875" s="147"/>
      <c r="M1875" s="147"/>
      <c r="N1875" s="147"/>
      <c r="O1875" s="147"/>
      <c r="P1875" s="147"/>
      <c r="Q1875" s="147"/>
      <c r="R1875" s="148"/>
      <c r="S1875" s="148"/>
      <c r="T1875" s="148"/>
      <c r="U1875" s="148"/>
      <c r="V1875" s="148"/>
      <c r="W1875" s="148"/>
      <c r="X1875" s="148"/>
      <c r="Y1875" s="148"/>
      <c r="Z1875" s="148"/>
      <c r="AA1875" s="148"/>
      <c r="AB1875" s="148"/>
      <c r="AC1875" s="148"/>
    </row>
    <row r="1876" spans="1:29" hidden="1">
      <c r="A1876" s="146"/>
      <c r="B1876" s="147"/>
      <c r="C1876" s="147"/>
      <c r="D1876" s="147"/>
      <c r="E1876" s="147"/>
      <c r="F1876" s="147"/>
      <c r="G1876" s="147"/>
      <c r="H1876" s="147"/>
      <c r="I1876" s="147"/>
      <c r="J1876" s="147"/>
      <c r="K1876" s="147"/>
      <c r="L1876" s="147"/>
      <c r="M1876" s="147"/>
      <c r="N1876" s="147"/>
      <c r="O1876" s="147"/>
      <c r="P1876" s="147"/>
      <c r="Q1876" s="147"/>
      <c r="R1876" s="148"/>
      <c r="S1876" s="148"/>
      <c r="T1876" s="148"/>
      <c r="U1876" s="148"/>
      <c r="V1876" s="148"/>
      <c r="W1876" s="148"/>
      <c r="X1876" s="148"/>
      <c r="Y1876" s="148"/>
      <c r="Z1876" s="148"/>
      <c r="AA1876" s="148"/>
      <c r="AB1876" s="148"/>
      <c r="AC1876" s="148"/>
    </row>
    <row r="1877" spans="1:29" hidden="1">
      <c r="A1877" s="146"/>
      <c r="B1877" s="147"/>
      <c r="C1877" s="147"/>
      <c r="D1877" s="147"/>
      <c r="E1877" s="147"/>
      <c r="F1877" s="147"/>
      <c r="G1877" s="147"/>
      <c r="H1877" s="147"/>
      <c r="I1877" s="147"/>
      <c r="J1877" s="147"/>
      <c r="K1877" s="147"/>
      <c r="L1877" s="147"/>
      <c r="M1877" s="147"/>
      <c r="N1877" s="147"/>
      <c r="O1877" s="147"/>
      <c r="P1877" s="147"/>
      <c r="Q1877" s="147"/>
      <c r="R1877" s="148"/>
      <c r="S1877" s="148"/>
      <c r="T1877" s="148"/>
      <c r="U1877" s="148"/>
      <c r="V1877" s="148"/>
      <c r="W1877" s="148"/>
      <c r="X1877" s="148"/>
      <c r="Y1877" s="148"/>
      <c r="Z1877" s="148"/>
      <c r="AA1877" s="148"/>
      <c r="AB1877" s="148"/>
      <c r="AC1877" s="148"/>
    </row>
    <row r="1878" spans="1:29" hidden="1">
      <c r="A1878" s="146"/>
      <c r="B1878" s="147"/>
      <c r="C1878" s="147"/>
      <c r="D1878" s="147"/>
      <c r="E1878" s="147"/>
      <c r="F1878" s="147"/>
      <c r="G1878" s="147"/>
      <c r="H1878" s="147"/>
      <c r="I1878" s="147"/>
      <c r="J1878" s="147"/>
      <c r="K1878" s="147"/>
      <c r="L1878" s="147"/>
      <c r="M1878" s="147"/>
      <c r="N1878" s="147"/>
      <c r="O1878" s="147"/>
      <c r="P1878" s="147"/>
      <c r="Q1878" s="147"/>
      <c r="R1878" s="148"/>
      <c r="S1878" s="148"/>
      <c r="T1878" s="148"/>
      <c r="U1878" s="148"/>
      <c r="V1878" s="148"/>
      <c r="W1878" s="148"/>
      <c r="X1878" s="148"/>
      <c r="Y1878" s="148"/>
      <c r="Z1878" s="148"/>
      <c r="AA1878" s="148"/>
      <c r="AB1878" s="148"/>
      <c r="AC1878" s="148"/>
    </row>
    <row r="1879" spans="1:29" hidden="1">
      <c r="A1879" s="146"/>
      <c r="B1879" s="147"/>
      <c r="C1879" s="147"/>
      <c r="D1879" s="147"/>
      <c r="E1879" s="147"/>
      <c r="F1879" s="147"/>
      <c r="G1879" s="147"/>
      <c r="H1879" s="147"/>
      <c r="I1879" s="147"/>
      <c r="J1879" s="147"/>
      <c r="K1879" s="147"/>
      <c r="L1879" s="147"/>
      <c r="M1879" s="147"/>
      <c r="N1879" s="147"/>
      <c r="O1879" s="147"/>
      <c r="P1879" s="147"/>
      <c r="Q1879" s="147"/>
      <c r="R1879" s="148"/>
      <c r="S1879" s="148"/>
      <c r="T1879" s="148"/>
      <c r="U1879" s="148"/>
      <c r="V1879" s="148"/>
      <c r="W1879" s="148"/>
      <c r="X1879" s="148"/>
      <c r="Y1879" s="148"/>
      <c r="Z1879" s="148"/>
      <c r="AA1879" s="148"/>
      <c r="AB1879" s="148"/>
      <c r="AC1879" s="148"/>
    </row>
    <row r="1880" spans="1:29" hidden="1">
      <c r="A1880" s="146"/>
      <c r="B1880" s="147"/>
      <c r="C1880" s="147"/>
      <c r="D1880" s="147"/>
      <c r="E1880" s="147"/>
      <c r="F1880" s="147"/>
      <c r="G1880" s="147"/>
      <c r="H1880" s="147"/>
      <c r="I1880" s="147"/>
      <c r="J1880" s="147"/>
      <c r="K1880" s="147"/>
      <c r="L1880" s="147"/>
      <c r="M1880" s="147"/>
      <c r="N1880" s="147"/>
      <c r="O1880" s="147"/>
      <c r="P1880" s="147"/>
      <c r="Q1880" s="147"/>
      <c r="R1880" s="148"/>
      <c r="S1880" s="148"/>
      <c r="T1880" s="148"/>
      <c r="U1880" s="148"/>
      <c r="V1880" s="148"/>
      <c r="W1880" s="148"/>
      <c r="X1880" s="148"/>
      <c r="Y1880" s="148"/>
      <c r="Z1880" s="148"/>
      <c r="AA1880" s="148"/>
      <c r="AB1880" s="148"/>
      <c r="AC1880" s="148"/>
    </row>
    <row r="1881" spans="1:29" hidden="1">
      <c r="A1881" s="146"/>
      <c r="B1881" s="147"/>
      <c r="C1881" s="147"/>
      <c r="D1881" s="147"/>
      <c r="E1881" s="147"/>
      <c r="F1881" s="147"/>
      <c r="G1881" s="147"/>
      <c r="H1881" s="147"/>
      <c r="I1881" s="147"/>
      <c r="J1881" s="147"/>
      <c r="K1881" s="147"/>
      <c r="L1881" s="147"/>
      <c r="M1881" s="147"/>
      <c r="N1881" s="147"/>
      <c r="O1881" s="147"/>
      <c r="P1881" s="147"/>
      <c r="Q1881" s="147"/>
      <c r="R1881" s="148"/>
      <c r="S1881" s="148"/>
      <c r="T1881" s="148"/>
      <c r="U1881" s="148"/>
      <c r="V1881" s="148"/>
      <c r="W1881" s="148"/>
      <c r="X1881" s="148"/>
      <c r="Y1881" s="148"/>
      <c r="Z1881" s="148"/>
      <c r="AA1881" s="148"/>
      <c r="AB1881" s="148"/>
      <c r="AC1881" s="148"/>
    </row>
    <row r="1882" spans="1:29" hidden="1">
      <c r="A1882" s="146"/>
      <c r="B1882" s="147"/>
      <c r="C1882" s="147"/>
      <c r="D1882" s="147"/>
      <c r="E1882" s="147"/>
      <c r="F1882" s="147"/>
      <c r="G1882" s="147"/>
      <c r="H1882" s="147"/>
      <c r="I1882" s="147"/>
      <c r="J1882" s="147"/>
      <c r="K1882" s="147"/>
      <c r="L1882" s="147"/>
      <c r="M1882" s="147"/>
      <c r="N1882" s="147"/>
      <c r="O1882" s="147"/>
      <c r="P1882" s="147"/>
      <c r="Q1882" s="147"/>
      <c r="R1882" s="148"/>
      <c r="S1882" s="148"/>
      <c r="T1882" s="148"/>
      <c r="U1882" s="148"/>
      <c r="V1882" s="148"/>
      <c r="W1882" s="148"/>
      <c r="X1882" s="148"/>
      <c r="Y1882" s="148"/>
      <c r="Z1882" s="148"/>
      <c r="AA1882" s="148"/>
      <c r="AB1882" s="148"/>
      <c r="AC1882" s="148"/>
    </row>
    <row r="1883" spans="1:29" hidden="1">
      <c r="A1883" s="146"/>
      <c r="B1883" s="147"/>
      <c r="C1883" s="147"/>
      <c r="D1883" s="147"/>
      <c r="E1883" s="147"/>
      <c r="F1883" s="147"/>
      <c r="G1883" s="147"/>
      <c r="H1883" s="147"/>
      <c r="I1883" s="147"/>
      <c r="J1883" s="147"/>
      <c r="K1883" s="147"/>
      <c r="L1883" s="147"/>
      <c r="M1883" s="147"/>
      <c r="N1883" s="147"/>
      <c r="O1883" s="147"/>
      <c r="P1883" s="147"/>
      <c r="Q1883" s="147"/>
      <c r="R1883" s="148"/>
      <c r="S1883" s="148"/>
      <c r="T1883" s="148"/>
      <c r="U1883" s="148"/>
      <c r="V1883" s="148"/>
      <c r="W1883" s="148"/>
      <c r="X1883" s="148"/>
      <c r="Y1883" s="148"/>
      <c r="Z1883" s="148"/>
      <c r="AA1883" s="148"/>
      <c r="AB1883" s="148"/>
      <c r="AC1883" s="148"/>
    </row>
    <row r="1884" spans="1:29" hidden="1">
      <c r="A1884" s="146"/>
      <c r="B1884" s="147"/>
      <c r="C1884" s="147"/>
      <c r="D1884" s="147"/>
      <c r="E1884" s="147"/>
      <c r="F1884" s="147"/>
      <c r="G1884" s="147"/>
      <c r="H1884" s="147"/>
      <c r="I1884" s="147"/>
      <c r="J1884" s="147"/>
      <c r="K1884" s="147"/>
      <c r="L1884" s="147"/>
      <c r="M1884" s="147"/>
      <c r="N1884" s="147"/>
      <c r="O1884" s="147"/>
      <c r="P1884" s="147"/>
      <c r="Q1884" s="147"/>
      <c r="R1884" s="148"/>
      <c r="S1884" s="148"/>
      <c r="T1884" s="148"/>
      <c r="U1884" s="148"/>
      <c r="V1884" s="148"/>
      <c r="W1884" s="148"/>
      <c r="X1884" s="148"/>
      <c r="Y1884" s="148"/>
      <c r="Z1884" s="148"/>
      <c r="AA1884" s="148"/>
      <c r="AB1884" s="148"/>
      <c r="AC1884" s="148"/>
    </row>
    <row r="1885" spans="1:29" hidden="1">
      <c r="A1885" s="146"/>
      <c r="B1885" s="147"/>
      <c r="C1885" s="147"/>
      <c r="D1885" s="147"/>
      <c r="E1885" s="147"/>
      <c r="F1885" s="147"/>
      <c r="G1885" s="147"/>
      <c r="H1885" s="147"/>
      <c r="I1885" s="147"/>
      <c r="J1885" s="147"/>
      <c r="K1885" s="147"/>
      <c r="L1885" s="147"/>
      <c r="M1885" s="147"/>
      <c r="N1885" s="147"/>
      <c r="O1885" s="147"/>
      <c r="P1885" s="147"/>
      <c r="Q1885" s="147"/>
      <c r="R1885" s="148"/>
      <c r="S1885" s="148"/>
      <c r="T1885" s="148"/>
      <c r="U1885" s="148"/>
      <c r="V1885" s="148"/>
      <c r="W1885" s="148"/>
      <c r="X1885" s="148"/>
      <c r="Y1885" s="148"/>
      <c r="Z1885" s="148"/>
      <c r="AA1885" s="148"/>
      <c r="AB1885" s="148"/>
      <c r="AC1885" s="148"/>
    </row>
    <row r="1886" spans="1:29" hidden="1">
      <c r="A1886" s="146"/>
      <c r="B1886" s="147"/>
      <c r="C1886" s="147"/>
      <c r="D1886" s="147"/>
      <c r="E1886" s="147"/>
      <c r="F1886" s="147"/>
      <c r="G1886" s="147"/>
      <c r="H1886" s="147"/>
      <c r="I1886" s="147"/>
      <c r="J1886" s="147"/>
      <c r="K1886" s="147"/>
      <c r="L1886" s="147"/>
      <c r="M1886" s="147"/>
      <c r="N1886" s="147"/>
      <c r="O1886" s="147"/>
      <c r="P1886" s="147"/>
      <c r="Q1886" s="147"/>
      <c r="R1886" s="148"/>
      <c r="S1886" s="148"/>
      <c r="T1886" s="148"/>
      <c r="U1886" s="148"/>
      <c r="V1886" s="148"/>
      <c r="W1886" s="148"/>
      <c r="X1886" s="148"/>
      <c r="Y1886" s="148"/>
      <c r="Z1886" s="148"/>
      <c r="AA1886" s="148"/>
      <c r="AB1886" s="148"/>
      <c r="AC1886" s="148"/>
    </row>
    <row r="1887" spans="1:29" hidden="1">
      <c r="A1887" s="146"/>
      <c r="B1887" s="147"/>
      <c r="C1887" s="147"/>
      <c r="D1887" s="147"/>
      <c r="E1887" s="147"/>
      <c r="F1887" s="147"/>
      <c r="G1887" s="147"/>
      <c r="H1887" s="147"/>
      <c r="I1887" s="147"/>
      <c r="J1887" s="147"/>
      <c r="K1887" s="147"/>
      <c r="L1887" s="147"/>
      <c r="M1887" s="147"/>
      <c r="N1887" s="147"/>
      <c r="O1887" s="147"/>
      <c r="P1887" s="147"/>
      <c r="Q1887" s="147"/>
      <c r="R1887" s="148"/>
      <c r="S1887" s="148"/>
      <c r="T1887" s="148"/>
      <c r="U1887" s="148"/>
      <c r="V1887" s="148"/>
      <c r="W1887" s="148"/>
      <c r="X1887" s="148"/>
      <c r="Y1887" s="148"/>
      <c r="Z1887" s="148"/>
      <c r="AA1887" s="148"/>
      <c r="AB1887" s="148"/>
      <c r="AC1887" s="148"/>
    </row>
    <row r="1888" spans="1:29" hidden="1">
      <c r="A1888" s="146"/>
      <c r="B1888" s="147"/>
      <c r="C1888" s="147"/>
      <c r="D1888" s="147"/>
      <c r="E1888" s="147"/>
      <c r="F1888" s="147"/>
      <c r="G1888" s="147"/>
      <c r="H1888" s="147"/>
      <c r="I1888" s="147"/>
      <c r="J1888" s="147"/>
      <c r="K1888" s="147"/>
      <c r="L1888" s="147"/>
      <c r="M1888" s="147"/>
      <c r="N1888" s="147"/>
      <c r="O1888" s="147"/>
      <c r="P1888" s="147"/>
      <c r="Q1888" s="147"/>
      <c r="R1888" s="148"/>
      <c r="S1888" s="148"/>
      <c r="T1888" s="148"/>
      <c r="U1888" s="148"/>
      <c r="V1888" s="148"/>
      <c r="W1888" s="148"/>
      <c r="X1888" s="148"/>
      <c r="Y1888" s="148"/>
      <c r="Z1888" s="148"/>
      <c r="AA1888" s="148"/>
      <c r="AB1888" s="148"/>
      <c r="AC1888" s="148"/>
    </row>
    <row r="1889" spans="1:29" hidden="1">
      <c r="A1889" s="146"/>
      <c r="B1889" s="147"/>
      <c r="C1889" s="147"/>
      <c r="D1889" s="147"/>
      <c r="E1889" s="147"/>
      <c r="F1889" s="147"/>
      <c r="G1889" s="147"/>
      <c r="H1889" s="147"/>
      <c r="I1889" s="147"/>
      <c r="J1889" s="147"/>
      <c r="K1889" s="147"/>
      <c r="L1889" s="147"/>
      <c r="M1889" s="147"/>
      <c r="N1889" s="147"/>
      <c r="O1889" s="147"/>
      <c r="P1889" s="147"/>
      <c r="Q1889" s="147"/>
      <c r="R1889" s="148"/>
      <c r="S1889" s="148"/>
      <c r="T1889" s="148"/>
      <c r="U1889" s="148"/>
      <c r="V1889" s="148"/>
      <c r="W1889" s="148"/>
      <c r="X1889" s="148"/>
      <c r="Y1889" s="148"/>
      <c r="Z1889" s="148"/>
      <c r="AA1889" s="148"/>
      <c r="AB1889" s="148"/>
      <c r="AC1889" s="148"/>
    </row>
    <row r="1890" spans="1:29" hidden="1">
      <c r="A1890" s="146"/>
      <c r="B1890" s="147"/>
      <c r="C1890" s="147"/>
      <c r="D1890" s="147"/>
      <c r="E1890" s="147"/>
      <c r="F1890" s="147"/>
      <c r="G1890" s="147"/>
      <c r="H1890" s="147"/>
      <c r="I1890" s="147"/>
      <c r="J1890" s="147"/>
      <c r="K1890" s="147"/>
      <c r="L1890" s="147"/>
      <c r="M1890" s="147"/>
      <c r="N1890" s="147"/>
      <c r="O1890" s="147"/>
      <c r="P1890" s="147"/>
      <c r="Q1890" s="147"/>
      <c r="R1890" s="148"/>
      <c r="S1890" s="148"/>
      <c r="T1890" s="148"/>
      <c r="U1890" s="148"/>
      <c r="V1890" s="148"/>
      <c r="W1890" s="148"/>
      <c r="X1890" s="148"/>
      <c r="Y1890" s="148"/>
      <c r="Z1890" s="148"/>
      <c r="AA1890" s="148"/>
      <c r="AB1890" s="148"/>
      <c r="AC1890" s="148"/>
    </row>
    <row r="1891" spans="1:29" hidden="1">
      <c r="A1891" s="146"/>
      <c r="B1891" s="147"/>
      <c r="C1891" s="147"/>
      <c r="D1891" s="147"/>
      <c r="E1891" s="147"/>
      <c r="F1891" s="147"/>
      <c r="G1891" s="147"/>
      <c r="H1891" s="147"/>
      <c r="I1891" s="147"/>
      <c r="J1891" s="147"/>
      <c r="K1891" s="147"/>
      <c r="L1891" s="147"/>
      <c r="M1891" s="147"/>
      <c r="N1891" s="147"/>
      <c r="O1891" s="147"/>
      <c r="P1891" s="147"/>
      <c r="Q1891" s="147"/>
      <c r="R1891" s="148"/>
      <c r="S1891" s="148"/>
      <c r="T1891" s="148"/>
      <c r="U1891" s="148"/>
      <c r="V1891" s="148"/>
      <c r="W1891" s="148"/>
      <c r="X1891" s="148"/>
      <c r="Y1891" s="148"/>
      <c r="Z1891" s="148"/>
      <c r="AA1891" s="148"/>
      <c r="AB1891" s="148"/>
      <c r="AC1891" s="148"/>
    </row>
    <row r="1892" spans="1:29" hidden="1">
      <c r="A1892" s="146"/>
      <c r="B1892" s="147"/>
      <c r="C1892" s="147"/>
      <c r="D1892" s="147"/>
      <c r="E1892" s="147"/>
      <c r="F1892" s="147"/>
      <c r="G1892" s="147"/>
      <c r="H1892" s="147"/>
      <c r="I1892" s="147"/>
      <c r="J1892" s="147"/>
      <c r="K1892" s="147"/>
      <c r="L1892" s="147"/>
      <c r="M1892" s="147"/>
      <c r="N1892" s="147"/>
      <c r="O1892" s="147"/>
      <c r="P1892" s="147"/>
      <c r="Q1892" s="147"/>
      <c r="R1892" s="148"/>
      <c r="S1892" s="148"/>
      <c r="T1892" s="148"/>
      <c r="U1892" s="148"/>
      <c r="V1892" s="148"/>
      <c r="W1892" s="148"/>
      <c r="X1892" s="148"/>
      <c r="Y1892" s="148"/>
      <c r="Z1892" s="148"/>
      <c r="AA1892" s="148"/>
      <c r="AB1892" s="148"/>
      <c r="AC1892" s="148"/>
    </row>
    <row r="1893" spans="1:29" hidden="1">
      <c r="A1893" s="146"/>
      <c r="B1893" s="147"/>
      <c r="C1893" s="147"/>
      <c r="D1893" s="147"/>
      <c r="E1893" s="147"/>
      <c r="F1893" s="147"/>
      <c r="G1893" s="147"/>
      <c r="H1893" s="147"/>
      <c r="I1893" s="147"/>
      <c r="J1893" s="147"/>
      <c r="K1893" s="147"/>
      <c r="L1893" s="147"/>
      <c r="M1893" s="147"/>
      <c r="N1893" s="147"/>
      <c r="O1893" s="147"/>
      <c r="P1893" s="147"/>
      <c r="Q1893" s="147"/>
      <c r="R1893" s="148"/>
      <c r="S1893" s="148"/>
      <c r="T1893" s="148"/>
      <c r="U1893" s="148"/>
      <c r="V1893" s="148"/>
      <c r="W1893" s="148"/>
      <c r="X1893" s="148"/>
      <c r="Y1893" s="148"/>
      <c r="Z1893" s="148"/>
      <c r="AA1893" s="148"/>
      <c r="AB1893" s="148"/>
      <c r="AC1893" s="148"/>
    </row>
    <row r="1894" spans="1:29" hidden="1">
      <c r="A1894" s="146"/>
      <c r="B1894" s="147"/>
      <c r="C1894" s="147"/>
      <c r="D1894" s="147"/>
      <c r="E1894" s="147"/>
      <c r="F1894" s="147"/>
      <c r="G1894" s="147"/>
      <c r="H1894" s="147"/>
      <c r="I1894" s="147"/>
      <c r="J1894" s="147"/>
      <c r="K1894" s="147"/>
      <c r="L1894" s="147"/>
      <c r="M1894" s="147"/>
      <c r="N1894" s="147"/>
      <c r="O1894" s="147"/>
      <c r="P1894" s="147"/>
      <c r="Q1894" s="147"/>
      <c r="R1894" s="148"/>
      <c r="S1894" s="148"/>
      <c r="T1894" s="148"/>
      <c r="U1894" s="148"/>
      <c r="V1894" s="148"/>
      <c r="W1894" s="148"/>
      <c r="X1894" s="148"/>
      <c r="Y1894" s="148"/>
      <c r="Z1894" s="148"/>
      <c r="AA1894" s="148"/>
      <c r="AB1894" s="148"/>
      <c r="AC1894" s="148"/>
    </row>
    <row r="1895" spans="1:29" hidden="1">
      <c r="A1895" s="146"/>
      <c r="B1895" s="147"/>
      <c r="C1895" s="147"/>
      <c r="D1895" s="147"/>
      <c r="E1895" s="147"/>
      <c r="F1895" s="147"/>
      <c r="G1895" s="147"/>
      <c r="H1895" s="147"/>
      <c r="I1895" s="147"/>
      <c r="J1895" s="147"/>
      <c r="K1895" s="147"/>
      <c r="L1895" s="147"/>
      <c r="M1895" s="147"/>
      <c r="N1895" s="147"/>
      <c r="O1895" s="147"/>
      <c r="P1895" s="147"/>
      <c r="Q1895" s="147"/>
      <c r="R1895" s="148"/>
      <c r="S1895" s="148"/>
      <c r="T1895" s="148"/>
      <c r="U1895" s="148"/>
      <c r="V1895" s="148"/>
      <c r="W1895" s="148"/>
      <c r="X1895" s="148"/>
      <c r="Y1895" s="148"/>
      <c r="Z1895" s="148"/>
      <c r="AA1895" s="148"/>
      <c r="AB1895" s="148"/>
      <c r="AC1895" s="148"/>
    </row>
    <row r="1896" spans="1:29" hidden="1">
      <c r="A1896" s="146"/>
      <c r="B1896" s="147"/>
      <c r="C1896" s="147"/>
      <c r="D1896" s="147"/>
      <c r="E1896" s="147"/>
      <c r="F1896" s="147"/>
      <c r="G1896" s="147"/>
      <c r="H1896" s="147"/>
      <c r="I1896" s="147"/>
      <c r="J1896" s="147"/>
      <c r="K1896" s="147"/>
      <c r="L1896" s="147"/>
      <c r="M1896" s="147"/>
      <c r="N1896" s="147"/>
      <c r="O1896" s="147"/>
      <c r="P1896" s="147"/>
      <c r="Q1896" s="147"/>
      <c r="R1896" s="148"/>
      <c r="S1896" s="148"/>
      <c r="T1896" s="148"/>
      <c r="U1896" s="148"/>
      <c r="V1896" s="148"/>
      <c r="W1896" s="148"/>
      <c r="X1896" s="148"/>
      <c r="Y1896" s="148"/>
      <c r="Z1896" s="148"/>
      <c r="AA1896" s="148"/>
      <c r="AB1896" s="148"/>
      <c r="AC1896" s="148"/>
    </row>
    <row r="1897" spans="1:29" hidden="1">
      <c r="A1897" s="146"/>
      <c r="B1897" s="147"/>
      <c r="C1897" s="147"/>
      <c r="D1897" s="147"/>
      <c r="E1897" s="147"/>
      <c r="F1897" s="147"/>
      <c r="G1897" s="147"/>
      <c r="H1897" s="147"/>
      <c r="I1897" s="147"/>
      <c r="J1897" s="147"/>
      <c r="K1897" s="147"/>
      <c r="L1897" s="147"/>
      <c r="M1897" s="147"/>
      <c r="N1897" s="147"/>
      <c r="O1897" s="147"/>
      <c r="P1897" s="147"/>
      <c r="Q1897" s="147"/>
      <c r="R1897" s="148"/>
      <c r="S1897" s="148"/>
      <c r="T1897" s="148"/>
      <c r="U1897" s="148"/>
      <c r="V1897" s="148"/>
      <c r="W1897" s="148"/>
      <c r="X1897" s="148"/>
      <c r="Y1897" s="148"/>
      <c r="Z1897" s="148"/>
      <c r="AA1897" s="148"/>
      <c r="AB1897" s="148"/>
      <c r="AC1897" s="148"/>
    </row>
    <row r="1898" spans="1:29" hidden="1">
      <c r="A1898" s="146"/>
      <c r="B1898" s="147"/>
      <c r="C1898" s="147"/>
      <c r="D1898" s="147"/>
      <c r="E1898" s="147"/>
      <c r="F1898" s="147"/>
      <c r="G1898" s="147"/>
      <c r="H1898" s="147"/>
      <c r="I1898" s="147"/>
      <c r="J1898" s="147"/>
      <c r="K1898" s="147"/>
      <c r="L1898" s="147"/>
      <c r="M1898" s="147"/>
      <c r="N1898" s="147"/>
      <c r="O1898" s="147"/>
      <c r="P1898" s="147"/>
      <c r="Q1898" s="147"/>
      <c r="R1898" s="148"/>
      <c r="S1898" s="148"/>
      <c r="T1898" s="148"/>
      <c r="U1898" s="148"/>
      <c r="V1898" s="148"/>
      <c r="W1898" s="148"/>
      <c r="X1898" s="148"/>
      <c r="Y1898" s="148"/>
      <c r="Z1898" s="148"/>
      <c r="AA1898" s="148"/>
      <c r="AB1898" s="148"/>
      <c r="AC1898" s="148"/>
    </row>
    <row r="1899" spans="1:29" hidden="1">
      <c r="A1899" s="146"/>
      <c r="B1899" s="147"/>
      <c r="C1899" s="147"/>
      <c r="D1899" s="147"/>
      <c r="E1899" s="147"/>
      <c r="F1899" s="147"/>
      <c r="G1899" s="147"/>
      <c r="H1899" s="147"/>
      <c r="I1899" s="147"/>
      <c r="J1899" s="147"/>
      <c r="K1899" s="147"/>
      <c r="L1899" s="147"/>
      <c r="M1899" s="147"/>
      <c r="N1899" s="147"/>
      <c r="O1899" s="147"/>
      <c r="P1899" s="147"/>
      <c r="Q1899" s="147"/>
      <c r="R1899" s="148"/>
      <c r="S1899" s="148"/>
      <c r="T1899" s="148"/>
      <c r="U1899" s="148"/>
      <c r="V1899" s="148"/>
      <c r="W1899" s="148"/>
      <c r="X1899" s="148"/>
      <c r="Y1899" s="148"/>
      <c r="Z1899" s="148"/>
      <c r="AA1899" s="148"/>
      <c r="AB1899" s="148"/>
      <c r="AC1899" s="148"/>
    </row>
    <row r="1900" spans="1:29" hidden="1">
      <c r="A1900" s="146"/>
      <c r="B1900" s="147"/>
      <c r="C1900" s="147"/>
      <c r="D1900" s="147"/>
      <c r="E1900" s="147"/>
      <c r="F1900" s="147"/>
      <c r="G1900" s="147"/>
      <c r="H1900" s="147"/>
      <c r="I1900" s="147"/>
      <c r="J1900" s="147"/>
      <c r="K1900" s="147"/>
      <c r="L1900" s="147"/>
      <c r="M1900" s="147"/>
      <c r="N1900" s="147"/>
      <c r="O1900" s="147"/>
      <c r="P1900" s="147"/>
      <c r="Q1900" s="147"/>
      <c r="R1900" s="148"/>
      <c r="S1900" s="148"/>
      <c r="T1900" s="148"/>
      <c r="U1900" s="148"/>
      <c r="V1900" s="148"/>
      <c r="W1900" s="148"/>
      <c r="X1900" s="148"/>
      <c r="Y1900" s="148"/>
      <c r="Z1900" s="148"/>
      <c r="AA1900" s="148"/>
      <c r="AB1900" s="148"/>
      <c r="AC1900" s="148"/>
    </row>
    <row r="1901" spans="1:29" hidden="1">
      <c r="A1901" s="146"/>
      <c r="B1901" s="147"/>
      <c r="C1901" s="147"/>
      <c r="D1901" s="147"/>
      <c r="E1901" s="147"/>
      <c r="F1901" s="147"/>
      <c r="G1901" s="147"/>
      <c r="H1901" s="147"/>
      <c r="I1901" s="147"/>
      <c r="J1901" s="147"/>
      <c r="K1901" s="147"/>
      <c r="L1901" s="147"/>
      <c r="M1901" s="147"/>
      <c r="N1901" s="147"/>
      <c r="O1901" s="147"/>
      <c r="P1901" s="147"/>
      <c r="Q1901" s="147"/>
      <c r="R1901" s="148"/>
      <c r="S1901" s="148"/>
      <c r="T1901" s="148"/>
      <c r="U1901" s="148"/>
      <c r="V1901" s="148"/>
      <c r="W1901" s="148"/>
      <c r="X1901" s="148"/>
      <c r="Y1901" s="148"/>
      <c r="Z1901" s="148"/>
      <c r="AA1901" s="148"/>
      <c r="AB1901" s="148"/>
      <c r="AC1901" s="148"/>
    </row>
    <row r="1902" spans="1:29" hidden="1">
      <c r="A1902" s="146"/>
      <c r="B1902" s="147"/>
      <c r="C1902" s="147"/>
      <c r="D1902" s="147"/>
      <c r="E1902" s="147"/>
      <c r="F1902" s="147"/>
      <c r="G1902" s="147"/>
      <c r="H1902" s="147"/>
      <c r="I1902" s="147"/>
      <c r="J1902" s="147"/>
      <c r="K1902" s="147"/>
      <c r="L1902" s="147"/>
      <c r="M1902" s="147"/>
      <c r="N1902" s="147"/>
      <c r="O1902" s="147"/>
      <c r="P1902" s="147"/>
      <c r="Q1902" s="147"/>
      <c r="R1902" s="148"/>
      <c r="S1902" s="148"/>
      <c r="T1902" s="148"/>
      <c r="U1902" s="148"/>
      <c r="V1902" s="148"/>
      <c r="W1902" s="148"/>
      <c r="X1902" s="148"/>
      <c r="Y1902" s="148"/>
      <c r="Z1902" s="148"/>
      <c r="AA1902" s="148"/>
      <c r="AB1902" s="148"/>
      <c r="AC1902" s="148"/>
    </row>
    <row r="1903" spans="1:29" hidden="1">
      <c r="A1903" s="146"/>
      <c r="B1903" s="147"/>
      <c r="C1903" s="147"/>
      <c r="D1903" s="147"/>
      <c r="E1903" s="147"/>
      <c r="F1903" s="147"/>
      <c r="G1903" s="147"/>
      <c r="H1903" s="147"/>
      <c r="I1903" s="147"/>
      <c r="J1903" s="147"/>
      <c r="K1903" s="147"/>
      <c r="L1903" s="147"/>
      <c r="M1903" s="147"/>
      <c r="N1903" s="147"/>
      <c r="O1903" s="147"/>
      <c r="P1903" s="147"/>
      <c r="Q1903" s="147"/>
      <c r="R1903" s="148"/>
      <c r="S1903" s="148"/>
      <c r="T1903" s="148"/>
      <c r="U1903" s="148"/>
      <c r="V1903" s="148"/>
      <c r="W1903" s="148"/>
      <c r="X1903" s="148"/>
      <c r="Y1903" s="148"/>
      <c r="Z1903" s="148"/>
      <c r="AA1903" s="148"/>
      <c r="AB1903" s="148"/>
      <c r="AC1903" s="148"/>
    </row>
    <row r="1904" spans="1:29" hidden="1">
      <c r="A1904" s="146"/>
      <c r="B1904" s="147"/>
      <c r="C1904" s="147"/>
      <c r="D1904" s="147"/>
      <c r="E1904" s="147"/>
      <c r="F1904" s="147"/>
      <c r="G1904" s="147"/>
      <c r="H1904" s="147"/>
      <c r="I1904" s="147"/>
      <c r="J1904" s="147"/>
      <c r="K1904" s="147"/>
      <c r="L1904" s="147"/>
      <c r="M1904" s="147"/>
      <c r="N1904" s="147"/>
      <c r="O1904" s="147"/>
      <c r="P1904" s="147"/>
      <c r="Q1904" s="147"/>
      <c r="R1904" s="148"/>
      <c r="S1904" s="148"/>
      <c r="T1904" s="148"/>
      <c r="U1904" s="148"/>
      <c r="V1904" s="148"/>
      <c r="W1904" s="148"/>
      <c r="X1904" s="148"/>
      <c r="Y1904" s="148"/>
      <c r="Z1904" s="148"/>
      <c r="AA1904" s="148"/>
      <c r="AB1904" s="148"/>
      <c r="AC1904" s="148"/>
    </row>
    <row r="1905" spans="1:29" hidden="1">
      <c r="A1905" s="146"/>
      <c r="B1905" s="147"/>
      <c r="C1905" s="147"/>
      <c r="D1905" s="147"/>
      <c r="E1905" s="147"/>
      <c r="F1905" s="147"/>
      <c r="G1905" s="147"/>
      <c r="H1905" s="147"/>
      <c r="I1905" s="147"/>
      <c r="J1905" s="147"/>
      <c r="K1905" s="147"/>
      <c r="L1905" s="147"/>
      <c r="M1905" s="147"/>
      <c r="N1905" s="147"/>
      <c r="O1905" s="147"/>
      <c r="P1905" s="147"/>
      <c r="Q1905" s="147"/>
      <c r="R1905" s="148"/>
      <c r="S1905" s="148"/>
      <c r="T1905" s="148"/>
      <c r="U1905" s="148"/>
      <c r="V1905" s="148"/>
      <c r="W1905" s="148"/>
      <c r="X1905" s="148"/>
      <c r="Y1905" s="148"/>
      <c r="Z1905" s="148"/>
      <c r="AA1905" s="148"/>
      <c r="AB1905" s="148"/>
      <c r="AC1905" s="148"/>
    </row>
    <row r="1906" spans="1:29" hidden="1">
      <c r="A1906" s="146"/>
      <c r="B1906" s="147"/>
      <c r="C1906" s="147"/>
      <c r="D1906" s="147"/>
      <c r="E1906" s="147"/>
      <c r="F1906" s="147"/>
      <c r="G1906" s="147"/>
      <c r="H1906" s="147"/>
      <c r="I1906" s="147"/>
      <c r="J1906" s="147"/>
      <c r="K1906" s="147"/>
      <c r="L1906" s="147"/>
      <c r="M1906" s="147"/>
      <c r="N1906" s="147"/>
      <c r="O1906" s="147"/>
      <c r="P1906" s="147"/>
      <c r="Q1906" s="147"/>
      <c r="R1906" s="148"/>
      <c r="S1906" s="148"/>
      <c r="T1906" s="148"/>
      <c r="U1906" s="148"/>
      <c r="V1906" s="148"/>
      <c r="W1906" s="148"/>
      <c r="X1906" s="148"/>
      <c r="Y1906" s="148"/>
      <c r="Z1906" s="148"/>
      <c r="AA1906" s="148"/>
      <c r="AB1906" s="148"/>
      <c r="AC1906" s="148"/>
    </row>
    <row r="1907" spans="1:29" hidden="1">
      <c r="A1907" s="146"/>
      <c r="B1907" s="147"/>
      <c r="C1907" s="147"/>
      <c r="D1907" s="147"/>
      <c r="E1907" s="147"/>
      <c r="F1907" s="147"/>
      <c r="G1907" s="147"/>
      <c r="H1907" s="147"/>
      <c r="I1907" s="147"/>
      <c r="J1907" s="147"/>
      <c r="K1907" s="147"/>
      <c r="L1907" s="147"/>
      <c r="M1907" s="147"/>
      <c r="N1907" s="147"/>
      <c r="O1907" s="147"/>
      <c r="P1907" s="147"/>
      <c r="Q1907" s="147"/>
      <c r="R1907" s="148"/>
      <c r="S1907" s="148"/>
      <c r="T1907" s="148"/>
      <c r="U1907" s="148"/>
      <c r="V1907" s="148"/>
      <c r="W1907" s="148"/>
      <c r="X1907" s="148"/>
      <c r="Y1907" s="148"/>
      <c r="Z1907" s="148"/>
      <c r="AA1907" s="148"/>
      <c r="AB1907" s="148"/>
      <c r="AC1907" s="148"/>
    </row>
    <row r="1908" spans="1:29" hidden="1">
      <c r="A1908" s="146"/>
      <c r="B1908" s="147"/>
      <c r="C1908" s="147"/>
      <c r="D1908" s="147"/>
      <c r="E1908" s="147"/>
      <c r="F1908" s="147"/>
      <c r="G1908" s="147"/>
      <c r="H1908" s="147"/>
      <c r="I1908" s="147"/>
      <c r="J1908" s="147"/>
      <c r="K1908" s="147"/>
      <c r="L1908" s="147"/>
      <c r="M1908" s="147"/>
      <c r="N1908" s="147"/>
      <c r="O1908" s="147"/>
      <c r="P1908" s="147"/>
      <c r="Q1908" s="147"/>
      <c r="R1908" s="148"/>
      <c r="S1908" s="148"/>
      <c r="T1908" s="148"/>
      <c r="U1908" s="148"/>
      <c r="V1908" s="148"/>
      <c r="W1908" s="148"/>
      <c r="X1908" s="148"/>
      <c r="Y1908" s="148"/>
      <c r="Z1908" s="148"/>
      <c r="AA1908" s="148"/>
      <c r="AB1908" s="148"/>
      <c r="AC1908" s="148"/>
    </row>
    <row r="1909" spans="1:29" hidden="1">
      <c r="A1909" s="146"/>
      <c r="B1909" s="147"/>
      <c r="C1909" s="147"/>
      <c r="D1909" s="147"/>
      <c r="E1909" s="147"/>
      <c r="F1909" s="147"/>
      <c r="G1909" s="147"/>
      <c r="H1909" s="147"/>
      <c r="I1909" s="147"/>
      <c r="J1909" s="147"/>
      <c r="K1909" s="147"/>
      <c r="L1909" s="147"/>
      <c r="M1909" s="147"/>
      <c r="N1909" s="147"/>
      <c r="O1909" s="147"/>
      <c r="P1909" s="147"/>
      <c r="Q1909" s="147"/>
      <c r="R1909" s="148"/>
      <c r="S1909" s="148"/>
      <c r="T1909" s="148"/>
      <c r="U1909" s="148"/>
      <c r="V1909" s="148"/>
      <c r="W1909" s="148"/>
      <c r="X1909" s="148"/>
      <c r="Y1909" s="148"/>
      <c r="Z1909" s="148"/>
      <c r="AA1909" s="148"/>
      <c r="AB1909" s="148"/>
      <c r="AC1909" s="148"/>
    </row>
    <row r="1910" spans="1:29" hidden="1">
      <c r="A1910" s="146"/>
      <c r="B1910" s="147"/>
      <c r="C1910" s="147"/>
      <c r="D1910" s="147"/>
      <c r="E1910" s="147"/>
      <c r="F1910" s="147"/>
      <c r="G1910" s="147"/>
      <c r="H1910" s="147"/>
      <c r="I1910" s="147"/>
      <c r="J1910" s="147"/>
      <c r="K1910" s="147"/>
      <c r="L1910" s="147"/>
      <c r="M1910" s="147"/>
      <c r="N1910" s="147"/>
      <c r="O1910" s="147"/>
      <c r="P1910" s="147"/>
      <c r="Q1910" s="147"/>
      <c r="R1910" s="148"/>
      <c r="S1910" s="148"/>
      <c r="T1910" s="148"/>
      <c r="U1910" s="148"/>
      <c r="V1910" s="148"/>
      <c r="W1910" s="148"/>
      <c r="X1910" s="148"/>
      <c r="Y1910" s="148"/>
      <c r="Z1910" s="148"/>
      <c r="AA1910" s="148"/>
      <c r="AB1910" s="148"/>
      <c r="AC1910" s="148"/>
    </row>
    <row r="1911" spans="1:29" hidden="1">
      <c r="A1911" s="146"/>
      <c r="B1911" s="147"/>
      <c r="C1911" s="147"/>
      <c r="D1911" s="147"/>
      <c r="E1911" s="147"/>
      <c r="F1911" s="147"/>
      <c r="G1911" s="147"/>
      <c r="H1911" s="147"/>
      <c r="I1911" s="147"/>
      <c r="J1911" s="147"/>
      <c r="K1911" s="147"/>
      <c r="L1911" s="147"/>
      <c r="M1911" s="147"/>
      <c r="N1911" s="147"/>
      <c r="O1911" s="147"/>
      <c r="P1911" s="147"/>
      <c r="Q1911" s="147"/>
      <c r="R1911" s="148"/>
      <c r="S1911" s="148"/>
      <c r="T1911" s="148"/>
      <c r="U1911" s="148"/>
      <c r="V1911" s="148"/>
      <c r="W1911" s="148"/>
      <c r="X1911" s="148"/>
      <c r="Y1911" s="148"/>
      <c r="Z1911" s="148"/>
      <c r="AA1911" s="148"/>
      <c r="AB1911" s="148"/>
      <c r="AC1911" s="148"/>
    </row>
    <row r="1912" spans="1:29" hidden="1">
      <c r="A1912" s="146"/>
      <c r="B1912" s="147"/>
      <c r="C1912" s="147"/>
      <c r="D1912" s="147"/>
      <c r="E1912" s="147"/>
      <c r="F1912" s="147"/>
      <c r="G1912" s="147"/>
      <c r="H1912" s="147"/>
      <c r="I1912" s="147"/>
      <c r="J1912" s="147"/>
      <c r="K1912" s="147"/>
      <c r="L1912" s="147"/>
      <c r="M1912" s="147"/>
      <c r="N1912" s="147"/>
      <c r="O1912" s="147"/>
      <c r="P1912" s="147"/>
      <c r="Q1912" s="147"/>
      <c r="R1912" s="148"/>
      <c r="S1912" s="148"/>
      <c r="T1912" s="148"/>
      <c r="U1912" s="148"/>
      <c r="V1912" s="148"/>
      <c r="W1912" s="148"/>
      <c r="X1912" s="148"/>
      <c r="Y1912" s="148"/>
      <c r="Z1912" s="148"/>
      <c r="AA1912" s="148"/>
      <c r="AB1912" s="148"/>
      <c r="AC1912" s="148"/>
    </row>
    <row r="1913" spans="1:29" hidden="1">
      <c r="A1913" s="146"/>
      <c r="B1913" s="147"/>
      <c r="C1913" s="147"/>
      <c r="D1913" s="147"/>
      <c r="E1913" s="147"/>
      <c r="F1913" s="147"/>
      <c r="G1913" s="147"/>
      <c r="H1913" s="147"/>
      <c r="I1913" s="147"/>
      <c r="J1913" s="147"/>
      <c r="K1913" s="147"/>
      <c r="L1913" s="147"/>
      <c r="M1913" s="147"/>
      <c r="N1913" s="147"/>
      <c r="O1913" s="147"/>
      <c r="P1913" s="147"/>
      <c r="Q1913" s="147"/>
      <c r="R1913" s="148"/>
      <c r="S1913" s="148"/>
      <c r="T1913" s="148"/>
      <c r="U1913" s="148"/>
      <c r="V1913" s="148"/>
      <c r="W1913" s="148"/>
      <c r="X1913" s="148"/>
      <c r="Y1913" s="148"/>
      <c r="Z1913" s="148"/>
      <c r="AA1913" s="148"/>
      <c r="AB1913" s="148"/>
      <c r="AC1913" s="148"/>
    </row>
    <row r="1914" spans="1:29" hidden="1">
      <c r="A1914" s="146"/>
      <c r="B1914" s="147"/>
      <c r="C1914" s="147"/>
      <c r="D1914" s="147"/>
      <c r="E1914" s="147"/>
      <c r="F1914" s="147"/>
      <c r="G1914" s="147"/>
      <c r="H1914" s="147"/>
      <c r="I1914" s="147"/>
      <c r="J1914" s="147"/>
      <c r="K1914" s="147"/>
      <c r="L1914" s="147"/>
      <c r="M1914" s="147"/>
      <c r="N1914" s="147"/>
      <c r="O1914" s="147"/>
      <c r="P1914" s="147"/>
      <c r="Q1914" s="147"/>
      <c r="R1914" s="148"/>
      <c r="S1914" s="148"/>
      <c r="T1914" s="148"/>
      <c r="U1914" s="148"/>
      <c r="V1914" s="148"/>
      <c r="W1914" s="148"/>
      <c r="X1914" s="148"/>
      <c r="Y1914" s="148"/>
      <c r="Z1914" s="148"/>
      <c r="AA1914" s="148"/>
      <c r="AB1914" s="148"/>
      <c r="AC1914" s="148"/>
    </row>
    <row r="1915" spans="1:29" hidden="1">
      <c r="A1915" s="146"/>
      <c r="B1915" s="147"/>
      <c r="C1915" s="147"/>
      <c r="D1915" s="147"/>
      <c r="E1915" s="147"/>
      <c r="F1915" s="147"/>
      <c r="G1915" s="147"/>
      <c r="H1915" s="147"/>
      <c r="I1915" s="147"/>
      <c r="J1915" s="147"/>
      <c r="K1915" s="147"/>
      <c r="L1915" s="147"/>
      <c r="M1915" s="147"/>
      <c r="N1915" s="147"/>
      <c r="O1915" s="147"/>
      <c r="P1915" s="147"/>
      <c r="Q1915" s="147"/>
      <c r="R1915" s="148"/>
      <c r="S1915" s="148"/>
      <c r="T1915" s="148"/>
      <c r="U1915" s="148"/>
      <c r="V1915" s="148"/>
      <c r="W1915" s="148"/>
      <c r="X1915" s="148"/>
      <c r="Y1915" s="148"/>
      <c r="Z1915" s="148"/>
      <c r="AA1915" s="148"/>
      <c r="AB1915" s="148"/>
      <c r="AC1915" s="148"/>
    </row>
    <row r="1916" spans="1:29" hidden="1">
      <c r="A1916" s="146"/>
      <c r="B1916" s="147"/>
      <c r="C1916" s="147"/>
      <c r="D1916" s="147"/>
      <c r="E1916" s="147"/>
      <c r="F1916" s="147"/>
      <c r="G1916" s="147"/>
      <c r="H1916" s="147"/>
      <c r="I1916" s="147"/>
      <c r="J1916" s="147"/>
      <c r="K1916" s="147"/>
      <c r="L1916" s="147"/>
      <c r="M1916" s="147"/>
      <c r="N1916" s="147"/>
      <c r="O1916" s="147"/>
      <c r="P1916" s="147"/>
      <c r="Q1916" s="147"/>
      <c r="R1916" s="148"/>
      <c r="S1916" s="148"/>
      <c r="T1916" s="148"/>
      <c r="U1916" s="148"/>
      <c r="V1916" s="148"/>
      <c r="W1916" s="148"/>
      <c r="X1916" s="148"/>
      <c r="Y1916" s="148"/>
      <c r="Z1916" s="148"/>
      <c r="AA1916" s="148"/>
      <c r="AB1916" s="148"/>
      <c r="AC1916" s="148"/>
    </row>
    <row r="1917" spans="1:29" hidden="1">
      <c r="A1917" s="146"/>
      <c r="B1917" s="147"/>
      <c r="C1917" s="147"/>
      <c r="D1917" s="147"/>
      <c r="E1917" s="147"/>
      <c r="F1917" s="147"/>
      <c r="G1917" s="147"/>
      <c r="H1917" s="147"/>
      <c r="I1917" s="147"/>
      <c r="J1917" s="147"/>
      <c r="K1917" s="147"/>
      <c r="L1917" s="147"/>
      <c r="M1917" s="147"/>
      <c r="N1917" s="147"/>
      <c r="O1917" s="147"/>
      <c r="P1917" s="147"/>
      <c r="Q1917" s="147"/>
      <c r="R1917" s="148"/>
      <c r="S1917" s="148"/>
      <c r="T1917" s="148"/>
      <c r="U1917" s="148"/>
      <c r="V1917" s="148"/>
      <c r="W1917" s="148"/>
      <c r="X1917" s="148"/>
      <c r="Y1917" s="148"/>
      <c r="Z1917" s="148"/>
      <c r="AA1917" s="148"/>
      <c r="AB1917" s="148"/>
      <c r="AC1917" s="148"/>
    </row>
    <row r="1918" spans="1:29" hidden="1">
      <c r="A1918" s="146"/>
      <c r="B1918" s="147"/>
      <c r="C1918" s="147"/>
      <c r="D1918" s="147"/>
      <c r="E1918" s="147"/>
      <c r="F1918" s="147"/>
      <c r="G1918" s="147"/>
      <c r="H1918" s="147"/>
      <c r="I1918" s="147"/>
      <c r="J1918" s="147"/>
      <c r="K1918" s="147"/>
      <c r="L1918" s="147"/>
      <c r="M1918" s="147"/>
      <c r="N1918" s="147"/>
      <c r="O1918" s="147"/>
      <c r="P1918" s="147"/>
      <c r="Q1918" s="147"/>
      <c r="R1918" s="148"/>
      <c r="S1918" s="148"/>
      <c r="T1918" s="148"/>
      <c r="U1918" s="148"/>
      <c r="V1918" s="148"/>
      <c r="W1918" s="148"/>
      <c r="X1918" s="148"/>
      <c r="Y1918" s="148"/>
      <c r="Z1918" s="148"/>
      <c r="AA1918" s="148"/>
      <c r="AB1918" s="148"/>
      <c r="AC1918" s="148"/>
    </row>
    <row r="1919" spans="1:29" hidden="1">
      <c r="A1919" s="146"/>
      <c r="B1919" s="147"/>
      <c r="C1919" s="147"/>
      <c r="D1919" s="147"/>
      <c r="E1919" s="147"/>
      <c r="F1919" s="147"/>
      <c r="G1919" s="147"/>
      <c r="H1919" s="147"/>
      <c r="I1919" s="147"/>
      <c r="J1919" s="147"/>
      <c r="K1919" s="147"/>
      <c r="L1919" s="147"/>
      <c r="M1919" s="147"/>
      <c r="N1919" s="147"/>
      <c r="O1919" s="147"/>
      <c r="P1919" s="147"/>
      <c r="Q1919" s="147"/>
      <c r="R1919" s="148"/>
      <c r="S1919" s="148"/>
      <c r="T1919" s="148"/>
      <c r="U1919" s="148"/>
      <c r="V1919" s="148"/>
      <c r="W1919" s="148"/>
      <c r="X1919" s="148"/>
      <c r="Y1919" s="148"/>
      <c r="Z1919" s="148"/>
      <c r="AA1919" s="148"/>
      <c r="AB1919" s="148"/>
      <c r="AC1919" s="148"/>
    </row>
    <row r="1920" spans="1:29" hidden="1">
      <c r="A1920" s="146"/>
      <c r="B1920" s="147"/>
      <c r="C1920" s="147"/>
      <c r="D1920" s="147"/>
      <c r="E1920" s="147"/>
      <c r="F1920" s="147"/>
      <c r="G1920" s="147"/>
      <c r="H1920" s="147"/>
      <c r="I1920" s="147"/>
      <c r="J1920" s="147"/>
      <c r="K1920" s="147"/>
      <c r="L1920" s="147"/>
      <c r="M1920" s="147"/>
      <c r="N1920" s="147"/>
      <c r="O1920" s="147"/>
      <c r="P1920" s="147"/>
      <c r="Q1920" s="147"/>
      <c r="R1920" s="148"/>
      <c r="S1920" s="148"/>
      <c r="T1920" s="148"/>
      <c r="U1920" s="148"/>
      <c r="V1920" s="148"/>
      <c r="W1920" s="148"/>
      <c r="X1920" s="148"/>
      <c r="Y1920" s="148"/>
      <c r="Z1920" s="148"/>
      <c r="AA1920" s="148"/>
      <c r="AB1920" s="148"/>
      <c r="AC1920" s="148"/>
    </row>
    <row r="1921" spans="1:29" hidden="1">
      <c r="A1921" s="146"/>
      <c r="B1921" s="147"/>
      <c r="C1921" s="147"/>
      <c r="D1921" s="147"/>
      <c r="E1921" s="147"/>
      <c r="F1921" s="147"/>
      <c r="G1921" s="147"/>
      <c r="H1921" s="147"/>
      <c r="I1921" s="147"/>
      <c r="J1921" s="147"/>
      <c r="K1921" s="147"/>
      <c r="L1921" s="147"/>
      <c r="M1921" s="147"/>
      <c r="N1921" s="147"/>
      <c r="O1921" s="147"/>
      <c r="P1921" s="147"/>
      <c r="Q1921" s="147"/>
      <c r="R1921" s="148"/>
      <c r="S1921" s="148"/>
      <c r="T1921" s="148"/>
      <c r="U1921" s="148"/>
      <c r="V1921" s="148"/>
      <c r="W1921" s="148"/>
      <c r="X1921" s="148"/>
      <c r="Y1921" s="148"/>
      <c r="Z1921" s="148"/>
      <c r="AA1921" s="148"/>
      <c r="AB1921" s="148"/>
      <c r="AC1921" s="148"/>
    </row>
    <row r="1922" spans="1:29" hidden="1">
      <c r="A1922" s="146"/>
      <c r="B1922" s="147"/>
      <c r="C1922" s="147"/>
      <c r="D1922" s="147"/>
      <c r="E1922" s="147"/>
      <c r="F1922" s="147"/>
      <c r="G1922" s="147"/>
      <c r="H1922" s="147"/>
      <c r="I1922" s="147"/>
      <c r="J1922" s="147"/>
      <c r="K1922" s="147"/>
      <c r="L1922" s="147"/>
      <c r="M1922" s="147"/>
      <c r="N1922" s="147"/>
      <c r="O1922" s="147"/>
      <c r="P1922" s="147"/>
      <c r="Q1922" s="147"/>
      <c r="R1922" s="148"/>
      <c r="S1922" s="148"/>
      <c r="T1922" s="148"/>
      <c r="U1922" s="148"/>
      <c r="V1922" s="148"/>
      <c r="W1922" s="148"/>
      <c r="X1922" s="148"/>
      <c r="Y1922" s="148"/>
      <c r="Z1922" s="148"/>
      <c r="AA1922" s="148"/>
      <c r="AB1922" s="148"/>
      <c r="AC1922" s="148"/>
    </row>
    <row r="1923" spans="1:29" hidden="1">
      <c r="A1923" s="146"/>
      <c r="B1923" s="147"/>
      <c r="C1923" s="147"/>
      <c r="D1923" s="147"/>
      <c r="E1923" s="147"/>
      <c r="F1923" s="147"/>
      <c r="G1923" s="147"/>
      <c r="H1923" s="147"/>
      <c r="I1923" s="147"/>
      <c r="J1923" s="147"/>
      <c r="K1923" s="147"/>
      <c r="L1923" s="147"/>
      <c r="M1923" s="147"/>
      <c r="N1923" s="147"/>
      <c r="O1923" s="147"/>
      <c r="P1923" s="147"/>
      <c r="Q1923" s="147"/>
      <c r="R1923" s="148"/>
      <c r="S1923" s="148"/>
      <c r="T1923" s="148"/>
      <c r="U1923" s="148"/>
      <c r="V1923" s="148"/>
      <c r="W1923" s="148"/>
      <c r="X1923" s="148"/>
      <c r="Y1923" s="148"/>
      <c r="Z1923" s="148"/>
      <c r="AA1923" s="148"/>
      <c r="AB1923" s="148"/>
      <c r="AC1923" s="148"/>
    </row>
    <row r="1924" spans="1:29" hidden="1">
      <c r="A1924" s="146"/>
      <c r="B1924" s="147"/>
      <c r="C1924" s="147"/>
      <c r="D1924" s="147"/>
      <c r="E1924" s="147"/>
      <c r="F1924" s="147"/>
      <c r="G1924" s="147"/>
      <c r="H1924" s="147"/>
      <c r="I1924" s="147"/>
      <c r="J1924" s="147"/>
      <c r="K1924" s="147"/>
      <c r="L1924" s="147"/>
      <c r="M1924" s="147"/>
      <c r="N1924" s="147"/>
      <c r="O1924" s="147"/>
      <c r="P1924" s="147"/>
      <c r="Q1924" s="147"/>
      <c r="R1924" s="148"/>
      <c r="S1924" s="148"/>
      <c r="T1924" s="148"/>
      <c r="U1924" s="148"/>
      <c r="V1924" s="148"/>
      <c r="W1924" s="148"/>
      <c r="X1924" s="148"/>
      <c r="Y1924" s="148"/>
      <c r="Z1924" s="148"/>
      <c r="AA1924" s="148"/>
      <c r="AB1924" s="148"/>
      <c r="AC1924" s="148"/>
    </row>
    <row r="1925" spans="1:29" hidden="1">
      <c r="A1925" s="146"/>
      <c r="B1925" s="147"/>
      <c r="C1925" s="147"/>
      <c r="D1925" s="147"/>
      <c r="E1925" s="147"/>
      <c r="F1925" s="147"/>
      <c r="G1925" s="147"/>
      <c r="H1925" s="147"/>
      <c r="I1925" s="147"/>
      <c r="J1925" s="147"/>
      <c r="K1925" s="147"/>
      <c r="L1925" s="147"/>
      <c r="M1925" s="147"/>
      <c r="N1925" s="147"/>
      <c r="O1925" s="147"/>
      <c r="P1925" s="147"/>
      <c r="Q1925" s="147"/>
      <c r="R1925" s="148"/>
      <c r="S1925" s="148"/>
      <c r="T1925" s="148"/>
      <c r="U1925" s="148"/>
      <c r="V1925" s="148"/>
      <c r="W1925" s="148"/>
      <c r="X1925" s="148"/>
      <c r="Y1925" s="148"/>
      <c r="Z1925" s="148"/>
      <c r="AA1925" s="148"/>
      <c r="AB1925" s="148"/>
      <c r="AC1925" s="148"/>
    </row>
    <row r="1926" spans="1:29" hidden="1">
      <c r="A1926" s="146"/>
      <c r="B1926" s="147"/>
      <c r="C1926" s="147"/>
      <c r="D1926" s="147"/>
      <c r="E1926" s="147"/>
      <c r="F1926" s="147"/>
      <c r="G1926" s="147"/>
      <c r="H1926" s="147"/>
      <c r="I1926" s="147"/>
      <c r="J1926" s="147"/>
      <c r="K1926" s="147"/>
      <c r="L1926" s="147"/>
      <c r="M1926" s="147"/>
      <c r="N1926" s="147"/>
      <c r="O1926" s="147"/>
      <c r="P1926" s="147"/>
      <c r="Q1926" s="147"/>
      <c r="R1926" s="148"/>
      <c r="S1926" s="148"/>
      <c r="T1926" s="148"/>
      <c r="U1926" s="148"/>
      <c r="V1926" s="148"/>
      <c r="W1926" s="148"/>
      <c r="X1926" s="148"/>
      <c r="Y1926" s="148"/>
      <c r="Z1926" s="148"/>
      <c r="AA1926" s="148"/>
      <c r="AB1926" s="148"/>
      <c r="AC1926" s="148"/>
    </row>
    <row r="1927" spans="1:29" hidden="1">
      <c r="A1927" s="146"/>
      <c r="B1927" s="147"/>
      <c r="C1927" s="147"/>
      <c r="D1927" s="147"/>
      <c r="E1927" s="147"/>
      <c r="F1927" s="147"/>
      <c r="G1927" s="147"/>
      <c r="H1927" s="147"/>
      <c r="I1927" s="147"/>
      <c r="J1927" s="147"/>
      <c r="K1927" s="147"/>
      <c r="L1927" s="147"/>
      <c r="M1927" s="147"/>
      <c r="N1927" s="147"/>
      <c r="O1927" s="147"/>
      <c r="P1927" s="147"/>
      <c r="Q1927" s="147"/>
      <c r="R1927" s="148"/>
      <c r="S1927" s="148"/>
      <c r="T1927" s="148"/>
      <c r="U1927" s="148"/>
      <c r="V1927" s="148"/>
      <c r="W1927" s="148"/>
      <c r="X1927" s="148"/>
      <c r="Y1927" s="148"/>
      <c r="Z1927" s="148"/>
      <c r="AA1927" s="148"/>
      <c r="AB1927" s="148"/>
      <c r="AC1927" s="148"/>
    </row>
    <row r="1928" spans="1:29" hidden="1">
      <c r="A1928" s="146"/>
      <c r="B1928" s="147"/>
      <c r="C1928" s="147"/>
      <c r="D1928" s="147"/>
      <c r="E1928" s="147"/>
      <c r="F1928" s="147"/>
      <c r="G1928" s="147"/>
      <c r="H1928" s="147"/>
      <c r="I1928" s="147"/>
      <c r="J1928" s="147"/>
      <c r="K1928" s="147"/>
      <c r="L1928" s="147"/>
      <c r="M1928" s="147"/>
      <c r="N1928" s="147"/>
      <c r="O1928" s="147"/>
      <c r="P1928" s="147"/>
      <c r="Q1928" s="147"/>
      <c r="R1928" s="148"/>
      <c r="S1928" s="148"/>
      <c r="T1928" s="148"/>
      <c r="U1928" s="148"/>
      <c r="V1928" s="148"/>
      <c r="W1928" s="148"/>
      <c r="X1928" s="148"/>
      <c r="Y1928" s="148"/>
      <c r="Z1928" s="148"/>
      <c r="AA1928" s="148"/>
      <c r="AB1928" s="148"/>
      <c r="AC1928" s="148"/>
    </row>
    <row r="1929" spans="1:29" hidden="1">
      <c r="A1929" s="146"/>
      <c r="B1929" s="147"/>
      <c r="C1929" s="147"/>
      <c r="D1929" s="147"/>
      <c r="E1929" s="147"/>
      <c r="F1929" s="147"/>
      <c r="G1929" s="147"/>
      <c r="H1929" s="147"/>
      <c r="I1929" s="147"/>
      <c r="J1929" s="147"/>
      <c r="K1929" s="147"/>
      <c r="L1929" s="147"/>
      <c r="M1929" s="147"/>
      <c r="N1929" s="147"/>
      <c r="O1929" s="147"/>
      <c r="P1929" s="147"/>
      <c r="Q1929" s="147"/>
      <c r="R1929" s="148"/>
      <c r="S1929" s="148"/>
      <c r="T1929" s="148"/>
      <c r="U1929" s="148"/>
      <c r="V1929" s="148"/>
      <c r="W1929" s="148"/>
      <c r="X1929" s="148"/>
      <c r="Y1929" s="148"/>
      <c r="Z1929" s="148"/>
      <c r="AA1929" s="148"/>
      <c r="AB1929" s="148"/>
      <c r="AC1929" s="148"/>
    </row>
    <row r="1930" spans="1:29" hidden="1">
      <c r="A1930" s="146"/>
      <c r="B1930" s="147"/>
      <c r="C1930" s="147"/>
      <c r="D1930" s="147"/>
      <c r="E1930" s="147"/>
      <c r="F1930" s="147"/>
      <c r="G1930" s="147"/>
      <c r="H1930" s="147"/>
      <c r="I1930" s="147"/>
      <c r="J1930" s="147"/>
      <c r="K1930" s="147"/>
      <c r="L1930" s="147"/>
      <c r="M1930" s="147"/>
      <c r="N1930" s="147"/>
      <c r="O1930" s="147"/>
      <c r="P1930" s="147"/>
      <c r="Q1930" s="147"/>
      <c r="R1930" s="148"/>
      <c r="S1930" s="148"/>
      <c r="T1930" s="148"/>
      <c r="U1930" s="148"/>
      <c r="V1930" s="148"/>
      <c r="W1930" s="148"/>
      <c r="X1930" s="148"/>
      <c r="Y1930" s="148"/>
      <c r="Z1930" s="148"/>
      <c r="AA1930" s="148"/>
      <c r="AB1930" s="148"/>
      <c r="AC1930" s="148"/>
    </row>
    <row r="1931" spans="1:29" hidden="1">
      <c r="A1931" s="146"/>
      <c r="B1931" s="147"/>
      <c r="C1931" s="147"/>
      <c r="D1931" s="147"/>
      <c r="E1931" s="147"/>
      <c r="F1931" s="147"/>
      <c r="G1931" s="147"/>
      <c r="H1931" s="147"/>
      <c r="I1931" s="147"/>
      <c r="J1931" s="147"/>
      <c r="K1931" s="147"/>
      <c r="L1931" s="147"/>
      <c r="M1931" s="147"/>
      <c r="N1931" s="147"/>
      <c r="O1931" s="147"/>
      <c r="P1931" s="147"/>
      <c r="Q1931" s="147"/>
      <c r="R1931" s="148"/>
      <c r="S1931" s="148"/>
      <c r="T1931" s="148"/>
      <c r="U1931" s="148"/>
      <c r="V1931" s="148"/>
      <c r="W1931" s="148"/>
      <c r="X1931" s="148"/>
      <c r="Y1931" s="148"/>
      <c r="Z1931" s="148"/>
      <c r="AA1931" s="148"/>
      <c r="AB1931" s="148"/>
      <c r="AC1931" s="148"/>
    </row>
    <row r="1932" spans="1:29" hidden="1">
      <c r="A1932" s="146"/>
      <c r="B1932" s="147"/>
      <c r="C1932" s="147"/>
      <c r="D1932" s="147"/>
      <c r="E1932" s="147"/>
      <c r="F1932" s="147"/>
      <c r="G1932" s="147"/>
      <c r="H1932" s="147"/>
      <c r="I1932" s="147"/>
      <c r="J1932" s="147"/>
      <c r="K1932" s="147"/>
      <c r="L1932" s="147"/>
      <c r="M1932" s="147"/>
      <c r="N1932" s="147"/>
      <c r="O1932" s="147"/>
      <c r="P1932" s="147"/>
      <c r="Q1932" s="147"/>
      <c r="R1932" s="148"/>
      <c r="S1932" s="148"/>
      <c r="T1932" s="148"/>
      <c r="U1932" s="148"/>
      <c r="V1932" s="148"/>
      <c r="W1932" s="148"/>
      <c r="X1932" s="148"/>
      <c r="Y1932" s="148"/>
      <c r="Z1932" s="148"/>
      <c r="AA1932" s="148"/>
      <c r="AB1932" s="148"/>
      <c r="AC1932" s="148"/>
    </row>
    <row r="1933" spans="1:29" hidden="1">
      <c r="A1933" s="146"/>
      <c r="B1933" s="147"/>
      <c r="C1933" s="147"/>
      <c r="D1933" s="147"/>
      <c r="E1933" s="147"/>
      <c r="F1933" s="147"/>
      <c r="G1933" s="147"/>
      <c r="H1933" s="147"/>
      <c r="I1933" s="147"/>
      <c r="J1933" s="147"/>
      <c r="K1933" s="147"/>
      <c r="L1933" s="147"/>
      <c r="M1933" s="147"/>
      <c r="N1933" s="147"/>
      <c r="O1933" s="147"/>
      <c r="P1933" s="147"/>
      <c r="Q1933" s="147"/>
      <c r="R1933" s="148"/>
      <c r="S1933" s="148"/>
      <c r="T1933" s="148"/>
      <c r="U1933" s="148"/>
      <c r="V1933" s="148"/>
      <c r="W1933" s="148"/>
      <c r="X1933" s="148"/>
      <c r="Y1933" s="148"/>
      <c r="Z1933" s="148"/>
      <c r="AA1933" s="148"/>
      <c r="AB1933" s="148"/>
      <c r="AC1933" s="148"/>
    </row>
    <row r="1934" spans="1:29" hidden="1">
      <c r="A1934" s="146"/>
      <c r="B1934" s="147"/>
      <c r="C1934" s="147"/>
      <c r="D1934" s="147"/>
      <c r="E1934" s="147"/>
      <c r="F1934" s="147"/>
      <c r="G1934" s="147"/>
      <c r="H1934" s="147"/>
      <c r="I1934" s="147"/>
      <c r="J1934" s="147"/>
      <c r="K1934" s="147"/>
      <c r="L1934" s="147"/>
      <c r="M1934" s="147"/>
      <c r="N1934" s="147"/>
      <c r="O1934" s="147"/>
      <c r="P1934" s="147"/>
      <c r="Q1934" s="147"/>
      <c r="R1934" s="148"/>
      <c r="S1934" s="148"/>
      <c r="T1934" s="148"/>
      <c r="U1934" s="148"/>
      <c r="V1934" s="148"/>
      <c r="W1934" s="148"/>
      <c r="X1934" s="148"/>
      <c r="Y1934" s="148"/>
      <c r="Z1934" s="148"/>
      <c r="AA1934" s="148"/>
      <c r="AB1934" s="148"/>
      <c r="AC1934" s="148"/>
    </row>
    <row r="1935" spans="1:29" hidden="1">
      <c r="A1935" s="146"/>
      <c r="B1935" s="147"/>
      <c r="C1935" s="147"/>
      <c r="D1935" s="147"/>
      <c r="E1935" s="147"/>
      <c r="F1935" s="147"/>
      <c r="G1935" s="147"/>
      <c r="H1935" s="147"/>
      <c r="I1935" s="147"/>
      <c r="J1935" s="147"/>
      <c r="K1935" s="147"/>
      <c r="L1935" s="147"/>
      <c r="M1935" s="147"/>
      <c r="N1935" s="147"/>
      <c r="O1935" s="147"/>
      <c r="P1935" s="147"/>
      <c r="Q1935" s="147"/>
      <c r="R1935" s="148"/>
      <c r="S1935" s="148"/>
      <c r="T1935" s="148"/>
      <c r="U1935" s="148"/>
      <c r="V1935" s="148"/>
      <c r="W1935" s="148"/>
      <c r="X1935" s="148"/>
      <c r="Y1935" s="148"/>
      <c r="Z1935" s="148"/>
      <c r="AA1935" s="148"/>
      <c r="AB1935" s="148"/>
      <c r="AC1935" s="148"/>
    </row>
    <row r="1936" spans="1:29" hidden="1">
      <c r="A1936" s="146"/>
      <c r="B1936" s="147"/>
      <c r="C1936" s="147"/>
      <c r="D1936" s="147"/>
      <c r="E1936" s="147"/>
      <c r="F1936" s="147"/>
      <c r="G1936" s="147"/>
      <c r="H1936" s="147"/>
      <c r="I1936" s="147"/>
      <c r="J1936" s="147"/>
      <c r="K1936" s="147"/>
      <c r="L1936" s="147"/>
      <c r="M1936" s="147"/>
      <c r="N1936" s="147"/>
      <c r="O1936" s="147"/>
      <c r="P1936" s="147"/>
      <c r="Q1936" s="147"/>
      <c r="R1936" s="148"/>
      <c r="S1936" s="148"/>
      <c r="T1936" s="148"/>
      <c r="U1936" s="148"/>
      <c r="V1936" s="148"/>
      <c r="W1936" s="148"/>
      <c r="X1936" s="148"/>
      <c r="Y1936" s="148"/>
      <c r="Z1936" s="148"/>
      <c r="AA1936" s="148"/>
      <c r="AB1936" s="148"/>
      <c r="AC1936" s="148"/>
    </row>
    <row r="1937" spans="1:29" hidden="1">
      <c r="A1937" s="146"/>
      <c r="B1937" s="147"/>
      <c r="C1937" s="147"/>
      <c r="D1937" s="147"/>
      <c r="E1937" s="147"/>
      <c r="F1937" s="147"/>
      <c r="G1937" s="147"/>
      <c r="H1937" s="147"/>
      <c r="I1937" s="147"/>
      <c r="J1937" s="147"/>
      <c r="K1937" s="147"/>
      <c r="L1937" s="147"/>
      <c r="M1937" s="147"/>
      <c r="N1937" s="147"/>
      <c r="O1937" s="147"/>
      <c r="P1937" s="147"/>
      <c r="Q1937" s="147"/>
      <c r="R1937" s="148"/>
      <c r="S1937" s="148"/>
      <c r="T1937" s="148"/>
      <c r="U1937" s="148"/>
      <c r="V1937" s="148"/>
      <c r="W1937" s="148"/>
      <c r="X1937" s="148"/>
      <c r="Y1937" s="148"/>
      <c r="Z1937" s="148"/>
      <c r="AA1937" s="148"/>
      <c r="AB1937" s="148"/>
      <c r="AC1937" s="148"/>
    </row>
    <row r="1938" spans="1:29" hidden="1">
      <c r="A1938" s="146"/>
      <c r="B1938" s="147"/>
      <c r="C1938" s="147"/>
      <c r="D1938" s="147"/>
      <c r="E1938" s="147"/>
      <c r="F1938" s="147"/>
      <c r="G1938" s="147"/>
      <c r="H1938" s="147"/>
      <c r="I1938" s="147"/>
      <c r="J1938" s="147"/>
      <c r="K1938" s="147"/>
      <c r="L1938" s="147"/>
      <c r="M1938" s="147"/>
      <c r="N1938" s="147"/>
      <c r="O1938" s="147"/>
      <c r="P1938" s="147"/>
      <c r="Q1938" s="147"/>
      <c r="R1938" s="148"/>
      <c r="S1938" s="148"/>
      <c r="T1938" s="148"/>
      <c r="U1938" s="148"/>
      <c r="V1938" s="148"/>
      <c r="W1938" s="148"/>
      <c r="X1938" s="148"/>
      <c r="Y1938" s="148"/>
      <c r="Z1938" s="148"/>
      <c r="AA1938" s="148"/>
      <c r="AB1938" s="148"/>
      <c r="AC1938" s="148"/>
    </row>
    <row r="1939" spans="1:29" hidden="1">
      <c r="A1939" s="146"/>
      <c r="B1939" s="147"/>
      <c r="C1939" s="147"/>
      <c r="D1939" s="147"/>
      <c r="E1939" s="147"/>
      <c r="F1939" s="147"/>
      <c r="G1939" s="147"/>
      <c r="H1939" s="147"/>
      <c r="I1939" s="147"/>
      <c r="J1939" s="147"/>
      <c r="K1939" s="147"/>
      <c r="L1939" s="147"/>
      <c r="M1939" s="147"/>
      <c r="N1939" s="147"/>
      <c r="O1939" s="147"/>
      <c r="P1939" s="147"/>
      <c r="Q1939" s="147"/>
      <c r="R1939" s="148"/>
      <c r="S1939" s="148"/>
      <c r="T1939" s="148"/>
      <c r="U1939" s="148"/>
      <c r="V1939" s="148"/>
      <c r="W1939" s="148"/>
      <c r="X1939" s="148"/>
      <c r="Y1939" s="148"/>
      <c r="Z1939" s="148"/>
      <c r="AA1939" s="148"/>
      <c r="AB1939" s="148"/>
      <c r="AC1939" s="148"/>
    </row>
    <row r="1940" spans="1:29" hidden="1">
      <c r="A1940" s="146"/>
      <c r="B1940" s="147"/>
      <c r="C1940" s="147"/>
      <c r="D1940" s="147"/>
      <c r="E1940" s="147"/>
      <c r="F1940" s="147"/>
      <c r="G1940" s="147"/>
      <c r="H1940" s="147"/>
      <c r="I1940" s="147"/>
      <c r="J1940" s="147"/>
      <c r="K1940" s="147"/>
      <c r="L1940" s="147"/>
      <c r="M1940" s="147"/>
      <c r="N1940" s="147"/>
      <c r="O1940" s="147"/>
      <c r="P1940" s="147"/>
      <c r="Q1940" s="147"/>
      <c r="R1940" s="148"/>
      <c r="S1940" s="148"/>
      <c r="T1940" s="148"/>
      <c r="U1940" s="148"/>
      <c r="V1940" s="148"/>
      <c r="W1940" s="148"/>
      <c r="X1940" s="148"/>
      <c r="Y1940" s="148"/>
      <c r="Z1940" s="148"/>
      <c r="AA1940" s="148"/>
      <c r="AB1940" s="148"/>
      <c r="AC1940" s="148"/>
    </row>
    <row r="1941" spans="1:29" hidden="1">
      <c r="A1941" s="146"/>
      <c r="B1941" s="147"/>
      <c r="C1941" s="147"/>
      <c r="D1941" s="147"/>
      <c r="E1941" s="147"/>
      <c r="F1941" s="147"/>
      <c r="G1941" s="147"/>
      <c r="H1941" s="147"/>
      <c r="I1941" s="147"/>
      <c r="J1941" s="147"/>
      <c r="K1941" s="147"/>
      <c r="L1941" s="147"/>
      <c r="M1941" s="147"/>
      <c r="N1941" s="147"/>
      <c r="O1941" s="147"/>
      <c r="P1941" s="147"/>
      <c r="Q1941" s="147"/>
      <c r="R1941" s="148"/>
      <c r="S1941" s="148"/>
      <c r="T1941" s="148"/>
      <c r="U1941" s="148"/>
      <c r="V1941" s="148"/>
      <c r="W1941" s="148"/>
      <c r="X1941" s="148"/>
      <c r="Y1941" s="148"/>
      <c r="Z1941" s="148"/>
      <c r="AA1941" s="148"/>
      <c r="AB1941" s="148"/>
      <c r="AC1941" s="148"/>
    </row>
    <row r="1942" spans="1:29" hidden="1">
      <c r="A1942" s="146"/>
      <c r="B1942" s="147"/>
      <c r="C1942" s="147"/>
      <c r="D1942" s="147"/>
      <c r="E1942" s="147"/>
      <c r="F1942" s="147"/>
      <c r="G1942" s="147"/>
      <c r="H1942" s="147"/>
      <c r="I1942" s="147"/>
      <c r="J1942" s="147"/>
      <c r="K1942" s="147"/>
      <c r="L1942" s="147"/>
      <c r="M1942" s="147"/>
      <c r="N1942" s="147"/>
      <c r="O1942" s="147"/>
      <c r="P1942" s="147"/>
      <c r="Q1942" s="147"/>
      <c r="R1942" s="148"/>
      <c r="S1942" s="148"/>
      <c r="T1942" s="148"/>
      <c r="U1942" s="148"/>
      <c r="V1942" s="148"/>
      <c r="W1942" s="148"/>
      <c r="X1942" s="148"/>
      <c r="Y1942" s="148"/>
      <c r="Z1942" s="148"/>
      <c r="AA1942" s="148"/>
      <c r="AB1942" s="148"/>
      <c r="AC1942" s="148"/>
    </row>
    <row r="1943" spans="1:29" hidden="1">
      <c r="A1943" s="146"/>
      <c r="B1943" s="147"/>
      <c r="C1943" s="147"/>
      <c r="D1943" s="147"/>
      <c r="E1943" s="147"/>
      <c r="F1943" s="147"/>
      <c r="G1943" s="147"/>
      <c r="H1943" s="147"/>
      <c r="I1943" s="147"/>
      <c r="J1943" s="147"/>
      <c r="K1943" s="147"/>
      <c r="L1943" s="147"/>
      <c r="M1943" s="147"/>
      <c r="N1943" s="147"/>
      <c r="O1943" s="147"/>
      <c r="P1943" s="147"/>
      <c r="Q1943" s="147"/>
      <c r="R1943" s="148"/>
      <c r="S1943" s="148"/>
      <c r="T1943" s="148"/>
      <c r="U1943" s="148"/>
      <c r="V1943" s="148"/>
      <c r="W1943" s="148"/>
      <c r="X1943" s="148"/>
      <c r="Y1943" s="148"/>
      <c r="Z1943" s="148"/>
      <c r="AA1943" s="148"/>
      <c r="AB1943" s="148"/>
      <c r="AC1943" s="148"/>
    </row>
    <row r="1944" spans="1:29" hidden="1">
      <c r="A1944" s="146"/>
      <c r="B1944" s="147"/>
      <c r="C1944" s="147"/>
      <c r="D1944" s="147"/>
      <c r="E1944" s="147"/>
      <c r="F1944" s="147"/>
      <c r="G1944" s="147"/>
      <c r="H1944" s="147"/>
      <c r="I1944" s="147"/>
      <c r="J1944" s="147"/>
      <c r="K1944" s="147"/>
      <c r="L1944" s="147"/>
      <c r="M1944" s="147"/>
      <c r="N1944" s="147"/>
      <c r="O1944" s="147"/>
      <c r="P1944" s="147"/>
      <c r="Q1944" s="147"/>
      <c r="R1944" s="148"/>
      <c r="S1944" s="148"/>
      <c r="T1944" s="148"/>
      <c r="U1944" s="148"/>
      <c r="V1944" s="148"/>
      <c r="W1944" s="148"/>
      <c r="X1944" s="148"/>
      <c r="Y1944" s="148"/>
      <c r="Z1944" s="148"/>
      <c r="AA1944" s="148"/>
      <c r="AB1944" s="148"/>
      <c r="AC1944" s="148"/>
    </row>
    <row r="1945" spans="1:29" hidden="1">
      <c r="A1945" s="146"/>
      <c r="B1945" s="147"/>
      <c r="C1945" s="147"/>
      <c r="D1945" s="147"/>
      <c r="E1945" s="147"/>
      <c r="F1945" s="147"/>
      <c r="G1945" s="147"/>
      <c r="H1945" s="147"/>
      <c r="I1945" s="147"/>
      <c r="J1945" s="147"/>
      <c r="K1945" s="147"/>
      <c r="L1945" s="147"/>
      <c r="M1945" s="147"/>
      <c r="N1945" s="147"/>
      <c r="O1945" s="147"/>
      <c r="P1945" s="147"/>
      <c r="Q1945" s="147"/>
      <c r="R1945" s="148"/>
      <c r="S1945" s="148"/>
      <c r="T1945" s="148"/>
      <c r="U1945" s="148"/>
      <c r="V1945" s="148"/>
      <c r="W1945" s="148"/>
      <c r="X1945" s="148"/>
      <c r="Y1945" s="148"/>
      <c r="Z1945" s="148"/>
      <c r="AA1945" s="148"/>
      <c r="AB1945" s="148"/>
      <c r="AC1945" s="148"/>
    </row>
    <row r="1946" spans="1:29" hidden="1">
      <c r="A1946" s="146"/>
      <c r="B1946" s="147"/>
      <c r="C1946" s="147"/>
      <c r="D1946" s="147"/>
      <c r="E1946" s="147"/>
      <c r="F1946" s="147"/>
      <c r="G1946" s="147"/>
      <c r="H1946" s="147"/>
      <c r="I1946" s="147"/>
      <c r="J1946" s="147"/>
      <c r="K1946" s="147"/>
      <c r="L1946" s="147"/>
      <c r="M1946" s="147"/>
      <c r="N1946" s="147"/>
      <c r="O1946" s="147"/>
      <c r="P1946" s="147"/>
      <c r="Q1946" s="147"/>
      <c r="R1946" s="148"/>
      <c r="S1946" s="148"/>
      <c r="T1946" s="148"/>
      <c r="U1946" s="148"/>
      <c r="V1946" s="148"/>
      <c r="W1946" s="148"/>
      <c r="X1946" s="148"/>
      <c r="Y1946" s="148"/>
      <c r="Z1946" s="148"/>
      <c r="AA1946" s="148"/>
      <c r="AB1946" s="148"/>
      <c r="AC1946" s="148"/>
    </row>
    <row r="1947" spans="1:29" hidden="1">
      <c r="A1947" s="146"/>
      <c r="B1947" s="147"/>
      <c r="C1947" s="147"/>
      <c r="D1947" s="147"/>
      <c r="E1947" s="147"/>
      <c r="F1947" s="147"/>
      <c r="G1947" s="147"/>
      <c r="H1947" s="147"/>
      <c r="I1947" s="147"/>
      <c r="J1947" s="147"/>
      <c r="K1947" s="147"/>
      <c r="L1947" s="147"/>
      <c r="M1947" s="147"/>
      <c r="N1947" s="147"/>
      <c r="O1947" s="147"/>
      <c r="P1947" s="147"/>
      <c r="Q1947" s="147"/>
      <c r="R1947" s="148"/>
      <c r="S1947" s="148"/>
      <c r="T1947" s="148"/>
      <c r="U1947" s="148"/>
      <c r="V1947" s="148"/>
      <c r="W1947" s="148"/>
      <c r="X1947" s="148"/>
      <c r="Y1947" s="148"/>
      <c r="Z1947" s="148"/>
      <c r="AA1947" s="148"/>
      <c r="AB1947" s="148"/>
      <c r="AC1947" s="148"/>
    </row>
    <row r="1948" spans="1:29" hidden="1">
      <c r="A1948" s="146"/>
      <c r="B1948" s="147"/>
      <c r="C1948" s="147"/>
      <c r="D1948" s="147"/>
      <c r="E1948" s="147"/>
      <c r="F1948" s="147"/>
      <c r="G1948" s="147"/>
      <c r="H1948" s="147"/>
      <c r="I1948" s="147"/>
      <c r="J1948" s="147"/>
      <c r="K1948" s="147"/>
      <c r="L1948" s="147"/>
      <c r="M1948" s="147"/>
      <c r="N1948" s="147"/>
      <c r="O1948" s="147"/>
      <c r="P1948" s="147"/>
      <c r="Q1948" s="147"/>
      <c r="R1948" s="148"/>
      <c r="S1948" s="148"/>
      <c r="T1948" s="148"/>
      <c r="U1948" s="148"/>
      <c r="V1948" s="148"/>
      <c r="W1948" s="148"/>
      <c r="X1948" s="148"/>
      <c r="Y1948" s="148"/>
      <c r="Z1948" s="148"/>
      <c r="AA1948" s="148"/>
      <c r="AB1948" s="148"/>
      <c r="AC1948" s="148"/>
    </row>
    <row r="1949" spans="1:29" hidden="1">
      <c r="A1949" s="146"/>
      <c r="B1949" s="147"/>
      <c r="C1949" s="147"/>
      <c r="D1949" s="147"/>
      <c r="E1949" s="147"/>
      <c r="F1949" s="147"/>
      <c r="G1949" s="147"/>
      <c r="H1949" s="147"/>
      <c r="I1949" s="147"/>
      <c r="J1949" s="147"/>
      <c r="K1949" s="147"/>
      <c r="L1949" s="147"/>
      <c r="M1949" s="147"/>
      <c r="N1949" s="147"/>
      <c r="O1949" s="147"/>
      <c r="P1949" s="147"/>
      <c r="Q1949" s="147"/>
      <c r="R1949" s="148"/>
      <c r="S1949" s="148"/>
      <c r="T1949" s="148"/>
      <c r="U1949" s="148"/>
      <c r="V1949" s="148"/>
      <c r="W1949" s="148"/>
      <c r="X1949" s="148"/>
      <c r="Y1949" s="148"/>
      <c r="Z1949" s="148"/>
      <c r="AA1949" s="148"/>
      <c r="AB1949" s="148"/>
      <c r="AC1949" s="148"/>
    </row>
    <row r="1950" spans="1:29" hidden="1">
      <c r="A1950" s="146"/>
      <c r="B1950" s="147"/>
      <c r="C1950" s="147"/>
      <c r="D1950" s="147"/>
      <c r="E1950" s="147"/>
      <c r="F1950" s="147"/>
      <c r="G1950" s="147"/>
      <c r="H1950" s="147"/>
      <c r="I1950" s="147"/>
      <c r="J1950" s="147"/>
      <c r="K1950" s="147"/>
      <c r="L1950" s="147"/>
      <c r="M1950" s="147"/>
      <c r="N1950" s="147"/>
      <c r="O1950" s="147"/>
      <c r="P1950" s="147"/>
      <c r="Q1950" s="147"/>
      <c r="R1950" s="148"/>
      <c r="S1950" s="148"/>
      <c r="T1950" s="148"/>
      <c r="U1950" s="148"/>
      <c r="V1950" s="148"/>
      <c r="W1950" s="148"/>
      <c r="X1950" s="148"/>
      <c r="Y1950" s="148"/>
      <c r="Z1950" s="148"/>
      <c r="AA1950" s="148"/>
      <c r="AB1950" s="148"/>
      <c r="AC1950" s="148"/>
    </row>
    <row r="1951" spans="1:29" hidden="1">
      <c r="A1951" s="146"/>
      <c r="B1951" s="147"/>
      <c r="C1951" s="147"/>
      <c r="D1951" s="147"/>
      <c r="E1951" s="147"/>
      <c r="F1951" s="147"/>
      <c r="G1951" s="147"/>
      <c r="H1951" s="147"/>
      <c r="I1951" s="147"/>
      <c r="J1951" s="147"/>
      <c r="K1951" s="147"/>
      <c r="L1951" s="147"/>
      <c r="M1951" s="147"/>
      <c r="N1951" s="147"/>
      <c r="O1951" s="147"/>
      <c r="P1951" s="147"/>
      <c r="Q1951" s="147"/>
      <c r="R1951" s="148"/>
      <c r="S1951" s="148"/>
      <c r="T1951" s="148"/>
      <c r="U1951" s="148"/>
      <c r="V1951" s="148"/>
      <c r="W1951" s="148"/>
      <c r="X1951" s="148"/>
      <c r="Y1951" s="148"/>
      <c r="Z1951" s="148"/>
      <c r="AA1951" s="148"/>
      <c r="AB1951" s="148"/>
      <c r="AC1951" s="148"/>
    </row>
    <row r="1952" spans="1:29" hidden="1">
      <c r="A1952" s="146"/>
      <c r="B1952" s="147"/>
      <c r="C1952" s="147"/>
      <c r="D1952" s="147"/>
      <c r="E1952" s="147"/>
      <c r="F1952" s="147"/>
      <c r="G1952" s="147"/>
      <c r="H1952" s="147"/>
      <c r="I1952" s="147"/>
      <c r="J1952" s="147"/>
      <c r="K1952" s="147"/>
      <c r="L1952" s="147"/>
      <c r="M1952" s="147"/>
      <c r="N1952" s="147"/>
      <c r="O1952" s="147"/>
      <c r="P1952" s="147"/>
      <c r="Q1952" s="147"/>
      <c r="R1952" s="148"/>
      <c r="S1952" s="148"/>
      <c r="T1952" s="148"/>
      <c r="U1952" s="148"/>
      <c r="V1952" s="148"/>
      <c r="W1952" s="148"/>
      <c r="X1952" s="148"/>
      <c r="Y1952" s="148"/>
      <c r="Z1952" s="148"/>
      <c r="AA1952" s="148"/>
      <c r="AB1952" s="148"/>
      <c r="AC1952" s="148"/>
    </row>
    <row r="1953" spans="1:29" hidden="1">
      <c r="A1953" s="146"/>
      <c r="B1953" s="147"/>
      <c r="C1953" s="147"/>
      <c r="D1953" s="147"/>
      <c r="E1953" s="147"/>
      <c r="F1953" s="147"/>
      <c r="G1953" s="147"/>
      <c r="H1953" s="147"/>
      <c r="I1953" s="147"/>
      <c r="J1953" s="147"/>
      <c r="K1953" s="147"/>
      <c r="L1953" s="147"/>
      <c r="M1953" s="147"/>
      <c r="N1953" s="147"/>
      <c r="O1953" s="147"/>
      <c r="P1953" s="147"/>
      <c r="Q1953" s="147"/>
      <c r="R1953" s="148"/>
      <c r="S1953" s="148"/>
      <c r="T1953" s="148"/>
      <c r="U1953" s="148"/>
      <c r="V1953" s="148"/>
      <c r="W1953" s="148"/>
      <c r="X1953" s="148"/>
      <c r="Y1953" s="148"/>
      <c r="Z1953" s="148"/>
      <c r="AA1953" s="148"/>
      <c r="AB1953" s="148"/>
      <c r="AC1953" s="148"/>
    </row>
    <row r="1954" spans="1:29" hidden="1">
      <c r="A1954" s="146"/>
      <c r="B1954" s="147"/>
      <c r="C1954" s="147"/>
      <c r="D1954" s="147"/>
      <c r="E1954" s="147"/>
      <c r="F1954" s="147"/>
      <c r="G1954" s="147"/>
      <c r="H1954" s="147"/>
      <c r="I1954" s="147"/>
      <c r="J1954" s="147"/>
      <c r="K1954" s="147"/>
      <c r="L1954" s="147"/>
      <c r="M1954" s="147"/>
      <c r="N1954" s="147"/>
      <c r="O1954" s="147"/>
      <c r="P1954" s="147"/>
      <c r="Q1954" s="147"/>
      <c r="R1954" s="148"/>
      <c r="S1954" s="148"/>
      <c r="T1954" s="148"/>
      <c r="U1954" s="148"/>
      <c r="V1954" s="148"/>
      <c r="W1954" s="148"/>
      <c r="X1954" s="148"/>
      <c r="Y1954" s="148"/>
      <c r="Z1954" s="148"/>
      <c r="AA1954" s="148"/>
      <c r="AB1954" s="148"/>
      <c r="AC1954" s="148"/>
    </row>
    <row r="1955" spans="1:29" hidden="1">
      <c r="A1955" s="146"/>
      <c r="B1955" s="147"/>
      <c r="C1955" s="147"/>
      <c r="D1955" s="147"/>
      <c r="E1955" s="147"/>
      <c r="F1955" s="147"/>
      <c r="G1955" s="147"/>
      <c r="H1955" s="147"/>
      <c r="I1955" s="147"/>
      <c r="J1955" s="147"/>
      <c r="K1955" s="147"/>
      <c r="L1955" s="147"/>
      <c r="M1955" s="147"/>
      <c r="N1955" s="147"/>
      <c r="O1955" s="147"/>
      <c r="P1955" s="147"/>
      <c r="Q1955" s="147"/>
      <c r="R1955" s="148"/>
      <c r="S1955" s="148"/>
      <c r="T1955" s="148"/>
      <c r="U1955" s="148"/>
      <c r="V1955" s="148"/>
      <c r="W1955" s="148"/>
      <c r="X1955" s="148"/>
      <c r="Y1955" s="148"/>
      <c r="Z1955" s="148"/>
      <c r="AA1955" s="148"/>
      <c r="AB1955" s="148"/>
      <c r="AC1955" s="148"/>
    </row>
    <row r="1956" spans="1:29" hidden="1">
      <c r="A1956" s="146"/>
      <c r="B1956" s="147"/>
      <c r="C1956" s="147"/>
      <c r="D1956" s="147"/>
      <c r="E1956" s="147"/>
      <c r="F1956" s="147"/>
      <c r="G1956" s="147"/>
      <c r="H1956" s="147"/>
      <c r="I1956" s="147"/>
      <c r="J1956" s="147"/>
      <c r="K1956" s="147"/>
      <c r="L1956" s="147"/>
      <c r="M1956" s="147"/>
      <c r="N1956" s="147"/>
      <c r="O1956" s="147"/>
      <c r="P1956" s="147"/>
      <c r="Q1956" s="147"/>
      <c r="R1956" s="148"/>
      <c r="S1956" s="148"/>
      <c r="T1956" s="148"/>
      <c r="U1956" s="148"/>
      <c r="V1956" s="148"/>
      <c r="W1956" s="148"/>
      <c r="X1956" s="148"/>
      <c r="Y1956" s="148"/>
      <c r="Z1956" s="148"/>
      <c r="AA1956" s="148"/>
      <c r="AB1956" s="148"/>
      <c r="AC1956" s="148"/>
    </row>
    <row r="1957" spans="1:29" hidden="1">
      <c r="A1957" s="146"/>
      <c r="B1957" s="147"/>
      <c r="C1957" s="147"/>
      <c r="D1957" s="147"/>
      <c r="E1957" s="147"/>
      <c r="F1957" s="147"/>
      <c r="G1957" s="147"/>
      <c r="H1957" s="147"/>
      <c r="I1957" s="147"/>
      <c r="J1957" s="147"/>
      <c r="K1957" s="147"/>
      <c r="L1957" s="147"/>
      <c r="M1957" s="147"/>
      <c r="N1957" s="147"/>
      <c r="O1957" s="147"/>
      <c r="P1957" s="147"/>
      <c r="Q1957" s="147"/>
      <c r="R1957" s="148"/>
      <c r="S1957" s="148"/>
      <c r="T1957" s="148"/>
      <c r="U1957" s="148"/>
      <c r="V1957" s="148"/>
      <c r="W1957" s="148"/>
      <c r="X1957" s="148"/>
      <c r="Y1957" s="148"/>
      <c r="Z1957" s="148"/>
      <c r="AA1957" s="148"/>
      <c r="AB1957" s="148"/>
      <c r="AC1957" s="148"/>
    </row>
    <row r="1958" spans="1:29" hidden="1">
      <c r="A1958" s="146"/>
      <c r="B1958" s="147"/>
      <c r="C1958" s="147"/>
      <c r="D1958" s="147"/>
      <c r="E1958" s="147"/>
      <c r="F1958" s="147"/>
      <c r="G1958" s="147"/>
      <c r="H1958" s="147"/>
      <c r="I1958" s="147"/>
      <c r="J1958" s="147"/>
      <c r="K1958" s="147"/>
      <c r="L1958" s="147"/>
      <c r="M1958" s="147"/>
      <c r="N1958" s="147"/>
      <c r="O1958" s="147"/>
      <c r="P1958" s="147"/>
      <c r="Q1958" s="147"/>
      <c r="R1958" s="148"/>
      <c r="S1958" s="148"/>
      <c r="T1958" s="148"/>
      <c r="U1958" s="148"/>
      <c r="V1958" s="148"/>
      <c r="W1958" s="148"/>
      <c r="X1958" s="148"/>
      <c r="Y1958" s="148"/>
      <c r="Z1958" s="148"/>
      <c r="AA1958" s="148"/>
      <c r="AB1958" s="148"/>
      <c r="AC1958" s="148"/>
    </row>
    <row r="1959" spans="1:29" hidden="1">
      <c r="A1959" s="146"/>
      <c r="B1959" s="147"/>
      <c r="C1959" s="147"/>
      <c r="D1959" s="147"/>
      <c r="E1959" s="147"/>
      <c r="F1959" s="147"/>
      <c r="G1959" s="147"/>
      <c r="H1959" s="147"/>
      <c r="I1959" s="147"/>
      <c r="J1959" s="147"/>
      <c r="K1959" s="147"/>
      <c r="L1959" s="147"/>
      <c r="M1959" s="147"/>
      <c r="N1959" s="147"/>
      <c r="O1959" s="147"/>
      <c r="P1959" s="147"/>
      <c r="Q1959" s="147"/>
      <c r="R1959" s="148"/>
      <c r="S1959" s="148"/>
      <c r="T1959" s="148"/>
      <c r="U1959" s="148"/>
      <c r="V1959" s="148"/>
      <c r="W1959" s="148"/>
      <c r="X1959" s="148"/>
      <c r="Y1959" s="148"/>
      <c r="Z1959" s="148"/>
      <c r="AA1959" s="148"/>
      <c r="AB1959" s="148"/>
      <c r="AC1959" s="148"/>
    </row>
    <row r="1960" spans="1:29" hidden="1">
      <c r="A1960" s="146"/>
      <c r="B1960" s="147"/>
      <c r="C1960" s="147"/>
      <c r="D1960" s="147"/>
      <c r="E1960" s="147"/>
      <c r="F1960" s="147"/>
      <c r="G1960" s="147"/>
      <c r="H1960" s="147"/>
      <c r="I1960" s="147"/>
      <c r="J1960" s="147"/>
      <c r="K1960" s="147"/>
      <c r="L1960" s="147"/>
      <c r="M1960" s="147"/>
      <c r="N1960" s="147"/>
      <c r="O1960" s="147"/>
      <c r="P1960" s="147"/>
      <c r="Q1960" s="147"/>
      <c r="R1960" s="148"/>
      <c r="S1960" s="148"/>
      <c r="T1960" s="148"/>
      <c r="U1960" s="148"/>
      <c r="V1960" s="148"/>
      <c r="W1960" s="148"/>
      <c r="X1960" s="148"/>
      <c r="Y1960" s="148"/>
      <c r="Z1960" s="148"/>
      <c r="AA1960" s="148"/>
      <c r="AB1960" s="148"/>
      <c r="AC1960" s="148"/>
    </row>
    <row r="1961" spans="1:29" hidden="1">
      <c r="A1961" s="146"/>
      <c r="B1961" s="147"/>
      <c r="C1961" s="147"/>
      <c r="D1961" s="147"/>
      <c r="E1961" s="147"/>
      <c r="F1961" s="147"/>
      <c r="G1961" s="147"/>
      <c r="H1961" s="147"/>
      <c r="I1961" s="147"/>
      <c r="J1961" s="147"/>
      <c r="K1961" s="147"/>
      <c r="L1961" s="147"/>
      <c r="M1961" s="147"/>
      <c r="N1961" s="147"/>
      <c r="O1961" s="147"/>
      <c r="P1961" s="147"/>
      <c r="Q1961" s="147"/>
      <c r="R1961" s="148"/>
      <c r="S1961" s="148"/>
      <c r="T1961" s="148"/>
      <c r="U1961" s="148"/>
      <c r="V1961" s="148"/>
      <c r="W1961" s="148"/>
      <c r="X1961" s="148"/>
      <c r="Y1961" s="148"/>
      <c r="Z1961" s="148"/>
      <c r="AA1961" s="148"/>
      <c r="AB1961" s="148"/>
      <c r="AC1961" s="148"/>
    </row>
    <row r="1962" spans="1:29" hidden="1">
      <c r="A1962" s="146"/>
      <c r="B1962" s="147"/>
      <c r="C1962" s="147"/>
      <c r="D1962" s="147"/>
      <c r="E1962" s="147"/>
      <c r="F1962" s="147"/>
      <c r="G1962" s="147"/>
      <c r="H1962" s="147"/>
      <c r="I1962" s="147"/>
      <c r="J1962" s="147"/>
      <c r="K1962" s="147"/>
      <c r="L1962" s="147"/>
      <c r="M1962" s="147"/>
      <c r="N1962" s="147"/>
      <c r="O1962" s="147"/>
      <c r="P1962" s="147"/>
      <c r="Q1962" s="147"/>
      <c r="R1962" s="148"/>
      <c r="S1962" s="148"/>
      <c r="T1962" s="148"/>
      <c r="U1962" s="148"/>
      <c r="V1962" s="148"/>
      <c r="W1962" s="148"/>
      <c r="X1962" s="148"/>
      <c r="Y1962" s="148"/>
      <c r="Z1962" s="148"/>
      <c r="AA1962" s="148"/>
      <c r="AB1962" s="148"/>
      <c r="AC1962" s="148"/>
    </row>
    <row r="1963" spans="1:29" hidden="1">
      <c r="A1963" s="146"/>
      <c r="B1963" s="147"/>
      <c r="C1963" s="147"/>
      <c r="D1963" s="147"/>
      <c r="E1963" s="147"/>
      <c r="F1963" s="147"/>
      <c r="G1963" s="147"/>
      <c r="H1963" s="147"/>
      <c r="I1963" s="147"/>
      <c r="J1963" s="147"/>
      <c r="K1963" s="147"/>
      <c r="L1963" s="147"/>
      <c r="M1963" s="147"/>
      <c r="N1963" s="147"/>
      <c r="O1963" s="147"/>
      <c r="P1963" s="147"/>
      <c r="Q1963" s="147"/>
      <c r="R1963" s="148"/>
      <c r="S1963" s="148"/>
      <c r="T1963" s="148"/>
      <c r="U1963" s="148"/>
      <c r="V1963" s="148"/>
      <c r="W1963" s="148"/>
      <c r="X1963" s="148"/>
      <c r="Y1963" s="148"/>
      <c r="Z1963" s="148"/>
      <c r="AA1963" s="148"/>
      <c r="AB1963" s="148"/>
      <c r="AC1963" s="148"/>
    </row>
    <row r="1964" spans="1:29" hidden="1">
      <c r="A1964" s="146"/>
      <c r="B1964" s="147"/>
      <c r="C1964" s="147"/>
      <c r="D1964" s="147"/>
      <c r="E1964" s="147"/>
      <c r="F1964" s="147"/>
      <c r="G1964" s="147"/>
      <c r="H1964" s="147"/>
      <c r="I1964" s="147"/>
      <c r="J1964" s="147"/>
      <c r="K1964" s="147"/>
      <c r="L1964" s="147"/>
      <c r="M1964" s="147"/>
      <c r="N1964" s="147"/>
      <c r="O1964" s="147"/>
      <c r="P1964" s="147"/>
      <c r="Q1964" s="147"/>
      <c r="R1964" s="148"/>
      <c r="S1964" s="148"/>
      <c r="T1964" s="148"/>
      <c r="U1964" s="148"/>
      <c r="V1964" s="148"/>
      <c r="W1964" s="148"/>
      <c r="X1964" s="148"/>
      <c r="Y1964" s="148"/>
      <c r="Z1964" s="148"/>
      <c r="AA1964" s="148"/>
      <c r="AB1964" s="148"/>
      <c r="AC1964" s="148"/>
    </row>
    <row r="1965" spans="1:29" hidden="1">
      <c r="A1965" s="146"/>
      <c r="B1965" s="147"/>
      <c r="C1965" s="147"/>
      <c r="D1965" s="147"/>
      <c r="E1965" s="147"/>
      <c r="F1965" s="147"/>
      <c r="G1965" s="147"/>
      <c r="H1965" s="147"/>
      <c r="I1965" s="147"/>
      <c r="J1965" s="147"/>
      <c r="K1965" s="147"/>
      <c r="L1965" s="147"/>
      <c r="M1965" s="147"/>
      <c r="N1965" s="147"/>
      <c r="O1965" s="147"/>
      <c r="P1965" s="147"/>
      <c r="Q1965" s="147"/>
      <c r="R1965" s="148"/>
      <c r="S1965" s="148"/>
      <c r="T1965" s="148"/>
      <c r="U1965" s="148"/>
      <c r="V1965" s="148"/>
      <c r="W1965" s="148"/>
      <c r="X1965" s="148"/>
      <c r="Y1965" s="148"/>
      <c r="Z1965" s="148"/>
      <c r="AA1965" s="148"/>
      <c r="AB1965" s="148"/>
      <c r="AC1965" s="148"/>
    </row>
    <row r="1966" spans="1:29" hidden="1">
      <c r="A1966" s="146"/>
      <c r="B1966" s="147"/>
      <c r="C1966" s="147"/>
      <c r="D1966" s="147"/>
      <c r="E1966" s="147"/>
      <c r="F1966" s="147"/>
      <c r="G1966" s="147"/>
      <c r="H1966" s="147"/>
      <c r="I1966" s="147"/>
      <c r="J1966" s="147"/>
      <c r="K1966" s="147"/>
      <c r="L1966" s="147"/>
      <c r="M1966" s="147"/>
      <c r="N1966" s="147"/>
      <c r="O1966" s="147"/>
      <c r="P1966" s="147"/>
      <c r="Q1966" s="147"/>
      <c r="R1966" s="148"/>
      <c r="S1966" s="148"/>
      <c r="T1966" s="148"/>
      <c r="U1966" s="148"/>
      <c r="V1966" s="148"/>
      <c r="W1966" s="148"/>
      <c r="X1966" s="148"/>
      <c r="Y1966" s="148"/>
      <c r="Z1966" s="148"/>
      <c r="AA1966" s="148"/>
      <c r="AB1966" s="148"/>
      <c r="AC1966" s="148"/>
    </row>
    <row r="1967" spans="1:29" hidden="1">
      <c r="A1967" s="146"/>
      <c r="B1967" s="147"/>
      <c r="C1967" s="147"/>
      <c r="D1967" s="147"/>
      <c r="E1967" s="147"/>
      <c r="F1967" s="147"/>
      <c r="G1967" s="147"/>
      <c r="H1967" s="147"/>
      <c r="I1967" s="147"/>
      <c r="J1967" s="147"/>
      <c r="K1967" s="147"/>
      <c r="L1967" s="147"/>
      <c r="M1967" s="147"/>
      <c r="N1967" s="147"/>
      <c r="O1967" s="147"/>
      <c r="P1967" s="147"/>
      <c r="Q1967" s="147"/>
      <c r="R1967" s="148"/>
      <c r="S1967" s="148"/>
      <c r="T1967" s="148"/>
      <c r="U1967" s="148"/>
      <c r="V1967" s="148"/>
      <c r="W1967" s="148"/>
      <c r="X1967" s="148"/>
      <c r="Y1967" s="148"/>
      <c r="Z1967" s="148"/>
      <c r="AA1967" s="148"/>
      <c r="AB1967" s="148"/>
      <c r="AC1967" s="148"/>
    </row>
    <row r="1968" spans="1:29" hidden="1">
      <c r="A1968" s="146"/>
      <c r="B1968" s="147"/>
      <c r="C1968" s="147"/>
      <c r="D1968" s="147"/>
      <c r="E1968" s="147"/>
      <c r="F1968" s="147"/>
      <c r="G1968" s="147"/>
      <c r="H1968" s="147"/>
      <c r="I1968" s="147"/>
      <c r="J1968" s="147"/>
      <c r="K1968" s="147"/>
      <c r="L1968" s="147"/>
      <c r="M1968" s="147"/>
      <c r="N1968" s="147"/>
      <c r="O1968" s="147"/>
      <c r="P1968" s="147"/>
      <c r="Q1968" s="147"/>
      <c r="R1968" s="148"/>
      <c r="S1968" s="148"/>
      <c r="T1968" s="148"/>
      <c r="U1968" s="148"/>
      <c r="V1968" s="148"/>
      <c r="W1968" s="148"/>
      <c r="X1968" s="148"/>
      <c r="Y1968" s="148"/>
      <c r="Z1968" s="148"/>
      <c r="AA1968" s="148"/>
      <c r="AB1968" s="148"/>
      <c r="AC1968" s="148"/>
    </row>
    <row r="1969" spans="1:29" hidden="1">
      <c r="A1969" s="146"/>
      <c r="B1969" s="147"/>
      <c r="C1969" s="147"/>
      <c r="D1969" s="147"/>
      <c r="E1969" s="147"/>
      <c r="F1969" s="147"/>
      <c r="G1969" s="147"/>
      <c r="H1969" s="147"/>
      <c r="I1969" s="147"/>
      <c r="J1969" s="147"/>
      <c r="K1969" s="147"/>
      <c r="L1969" s="147"/>
      <c r="M1969" s="147"/>
      <c r="N1969" s="147"/>
      <c r="O1969" s="147"/>
      <c r="P1969" s="147"/>
      <c r="Q1969" s="147"/>
      <c r="R1969" s="148"/>
      <c r="S1969" s="148"/>
      <c r="T1969" s="148"/>
      <c r="U1969" s="148"/>
      <c r="V1969" s="148"/>
      <c r="W1969" s="148"/>
      <c r="X1969" s="148"/>
      <c r="Y1969" s="148"/>
      <c r="Z1969" s="148"/>
      <c r="AA1969" s="148"/>
      <c r="AB1969" s="148"/>
      <c r="AC1969" s="148"/>
    </row>
    <row r="1970" spans="1:29" hidden="1">
      <c r="A1970" s="146"/>
      <c r="B1970" s="147"/>
      <c r="C1970" s="147"/>
      <c r="D1970" s="147"/>
      <c r="E1970" s="147"/>
      <c r="F1970" s="147"/>
      <c r="G1970" s="147"/>
      <c r="H1970" s="147"/>
      <c r="I1970" s="147"/>
      <c r="J1970" s="147"/>
      <c r="K1970" s="147"/>
      <c r="L1970" s="147"/>
      <c r="M1970" s="147"/>
      <c r="N1970" s="147"/>
      <c r="O1970" s="147"/>
      <c r="P1970" s="147"/>
      <c r="Q1970" s="147"/>
      <c r="R1970" s="148"/>
      <c r="S1970" s="148"/>
      <c r="T1970" s="148"/>
      <c r="U1970" s="148"/>
      <c r="V1970" s="148"/>
      <c r="W1970" s="148"/>
      <c r="X1970" s="148"/>
      <c r="Y1970" s="148"/>
      <c r="Z1970" s="148"/>
      <c r="AA1970" s="148"/>
      <c r="AB1970" s="148"/>
      <c r="AC1970" s="148"/>
    </row>
    <row r="1971" spans="1:29" hidden="1">
      <c r="A1971" s="146"/>
      <c r="B1971" s="147"/>
      <c r="C1971" s="147"/>
      <c r="D1971" s="147"/>
      <c r="E1971" s="147"/>
      <c r="F1971" s="147"/>
      <c r="G1971" s="147"/>
      <c r="H1971" s="147"/>
      <c r="I1971" s="147"/>
      <c r="J1971" s="147"/>
      <c r="K1971" s="147"/>
      <c r="L1971" s="147"/>
      <c r="M1971" s="147"/>
      <c r="N1971" s="147"/>
      <c r="O1971" s="147"/>
      <c r="P1971" s="147"/>
      <c r="Q1971" s="147"/>
      <c r="R1971" s="148"/>
      <c r="S1971" s="148"/>
      <c r="T1971" s="148"/>
      <c r="U1971" s="148"/>
      <c r="V1971" s="148"/>
      <c r="W1971" s="148"/>
      <c r="X1971" s="148"/>
      <c r="Y1971" s="148"/>
      <c r="Z1971" s="148"/>
      <c r="AA1971" s="148"/>
      <c r="AB1971" s="148"/>
      <c r="AC1971" s="148"/>
    </row>
    <row r="1972" spans="1:29" hidden="1">
      <c r="A1972" s="146"/>
      <c r="B1972" s="147"/>
      <c r="C1972" s="147"/>
      <c r="D1972" s="147"/>
      <c r="E1972" s="147"/>
      <c r="F1972" s="147"/>
      <c r="G1972" s="147"/>
      <c r="H1972" s="147"/>
      <c r="I1972" s="147"/>
      <c r="J1972" s="147"/>
      <c r="K1972" s="147"/>
      <c r="L1972" s="147"/>
      <c r="M1972" s="147"/>
      <c r="N1972" s="147"/>
      <c r="O1972" s="147"/>
      <c r="P1972" s="147"/>
      <c r="Q1972" s="147"/>
      <c r="R1972" s="148"/>
      <c r="S1972" s="148"/>
      <c r="T1972" s="148"/>
      <c r="U1972" s="148"/>
      <c r="V1972" s="148"/>
      <c r="W1972" s="148"/>
      <c r="X1972" s="148"/>
      <c r="Y1972" s="148"/>
      <c r="Z1972" s="148"/>
      <c r="AA1972" s="148"/>
      <c r="AB1972" s="148"/>
      <c r="AC1972" s="148"/>
    </row>
    <row r="1973" spans="1:29" hidden="1">
      <c r="A1973" s="146"/>
      <c r="B1973" s="147"/>
      <c r="C1973" s="147"/>
      <c r="D1973" s="147"/>
      <c r="E1973" s="147"/>
      <c r="F1973" s="147"/>
      <c r="G1973" s="147"/>
      <c r="H1973" s="147"/>
      <c r="I1973" s="147"/>
      <c r="J1973" s="147"/>
      <c r="K1973" s="147"/>
      <c r="L1973" s="147"/>
      <c r="M1973" s="147"/>
      <c r="N1973" s="147"/>
      <c r="O1973" s="147"/>
      <c r="P1973" s="147"/>
      <c r="Q1973" s="147"/>
      <c r="R1973" s="148"/>
      <c r="S1973" s="148"/>
      <c r="T1973" s="148"/>
      <c r="U1973" s="148"/>
      <c r="V1973" s="148"/>
      <c r="W1973" s="148"/>
      <c r="X1973" s="148"/>
      <c r="Y1973" s="148"/>
      <c r="Z1973" s="148"/>
      <c r="AA1973" s="148"/>
      <c r="AB1973" s="148"/>
      <c r="AC1973" s="148"/>
    </row>
    <row r="1974" spans="1:29" hidden="1">
      <c r="A1974" s="146"/>
      <c r="B1974" s="147"/>
      <c r="C1974" s="147"/>
      <c r="D1974" s="147"/>
      <c r="E1974" s="147"/>
      <c r="F1974" s="147"/>
      <c r="G1974" s="147"/>
      <c r="H1974" s="147"/>
      <c r="I1974" s="147"/>
      <c r="J1974" s="147"/>
      <c r="K1974" s="147"/>
      <c r="L1974" s="147"/>
      <c r="M1974" s="147"/>
      <c r="N1974" s="147"/>
      <c r="O1974" s="147"/>
      <c r="P1974" s="147"/>
      <c r="Q1974" s="147"/>
      <c r="R1974" s="148"/>
      <c r="S1974" s="148"/>
      <c r="T1974" s="148"/>
      <c r="U1974" s="148"/>
      <c r="V1974" s="148"/>
      <c r="W1974" s="148"/>
      <c r="X1974" s="148"/>
      <c r="Y1974" s="148"/>
      <c r="Z1974" s="148"/>
      <c r="AA1974" s="148"/>
      <c r="AB1974" s="148"/>
      <c r="AC1974" s="148"/>
    </row>
    <row r="1975" spans="1:29" hidden="1">
      <c r="A1975" s="146"/>
      <c r="B1975" s="147"/>
      <c r="C1975" s="147"/>
      <c r="D1975" s="147"/>
      <c r="E1975" s="147"/>
      <c r="F1975" s="147"/>
      <c r="G1975" s="147"/>
      <c r="H1975" s="147"/>
      <c r="I1975" s="147"/>
      <c r="J1975" s="147"/>
      <c r="K1975" s="147"/>
      <c r="L1975" s="147"/>
      <c r="M1975" s="147"/>
      <c r="N1975" s="147"/>
      <c r="O1975" s="147"/>
      <c r="P1975" s="147"/>
      <c r="Q1975" s="147"/>
      <c r="R1975" s="148"/>
      <c r="S1975" s="148"/>
      <c r="T1975" s="148"/>
      <c r="U1975" s="148"/>
      <c r="V1975" s="148"/>
      <c r="W1975" s="148"/>
      <c r="X1975" s="148"/>
      <c r="Y1975" s="148"/>
      <c r="Z1975" s="148"/>
      <c r="AA1975" s="148"/>
      <c r="AB1975" s="148"/>
      <c r="AC1975" s="148"/>
    </row>
    <row r="1976" spans="1:29" hidden="1">
      <c r="A1976" s="146"/>
      <c r="B1976" s="147"/>
      <c r="C1976" s="147"/>
      <c r="D1976" s="147"/>
      <c r="E1976" s="147"/>
      <c r="F1976" s="147"/>
      <c r="G1976" s="147"/>
      <c r="H1976" s="147"/>
      <c r="I1976" s="147"/>
      <c r="J1976" s="147"/>
      <c r="K1976" s="147"/>
      <c r="L1976" s="147"/>
      <c r="M1976" s="147"/>
      <c r="N1976" s="147"/>
      <c r="O1976" s="147"/>
      <c r="P1976" s="147"/>
      <c r="Q1976" s="147"/>
      <c r="R1976" s="148"/>
      <c r="S1976" s="148"/>
      <c r="T1976" s="148"/>
      <c r="U1976" s="148"/>
      <c r="V1976" s="148"/>
      <c r="W1976" s="148"/>
      <c r="X1976" s="148"/>
      <c r="Y1976" s="148"/>
      <c r="Z1976" s="148"/>
      <c r="AA1976" s="148"/>
      <c r="AB1976" s="148"/>
      <c r="AC1976" s="148"/>
    </row>
    <row r="1977" spans="1:29" hidden="1">
      <c r="A1977" s="146"/>
      <c r="B1977" s="147"/>
      <c r="C1977" s="147"/>
      <c r="D1977" s="147"/>
      <c r="E1977" s="147"/>
      <c r="F1977" s="147"/>
      <c r="G1977" s="147"/>
      <c r="H1977" s="147"/>
      <c r="I1977" s="147"/>
      <c r="J1977" s="147"/>
      <c r="K1977" s="147"/>
      <c r="L1977" s="147"/>
      <c r="M1977" s="147"/>
      <c r="N1977" s="147"/>
      <c r="O1977" s="147"/>
      <c r="P1977" s="147"/>
      <c r="Q1977" s="147"/>
      <c r="R1977" s="148"/>
      <c r="S1977" s="148"/>
      <c r="T1977" s="148"/>
      <c r="U1977" s="148"/>
      <c r="V1977" s="148"/>
      <c r="W1977" s="148"/>
      <c r="X1977" s="148"/>
      <c r="Y1977" s="148"/>
      <c r="Z1977" s="148"/>
      <c r="AA1977" s="148"/>
      <c r="AB1977" s="148"/>
      <c r="AC1977" s="148"/>
    </row>
    <row r="1978" spans="1:29" hidden="1">
      <c r="A1978" s="146"/>
      <c r="B1978" s="147"/>
      <c r="C1978" s="147"/>
      <c r="D1978" s="147"/>
      <c r="E1978" s="147"/>
      <c r="F1978" s="147"/>
      <c r="G1978" s="147"/>
      <c r="H1978" s="147"/>
      <c r="I1978" s="147"/>
      <c r="J1978" s="147"/>
      <c r="K1978" s="147"/>
      <c r="L1978" s="147"/>
      <c r="M1978" s="147"/>
      <c r="N1978" s="147"/>
      <c r="O1978" s="147"/>
      <c r="P1978" s="147"/>
      <c r="Q1978" s="147"/>
      <c r="R1978" s="148"/>
      <c r="S1978" s="148"/>
      <c r="T1978" s="148"/>
      <c r="U1978" s="148"/>
      <c r="V1978" s="148"/>
      <c r="W1978" s="148"/>
      <c r="X1978" s="148"/>
      <c r="Y1978" s="148"/>
      <c r="Z1978" s="148"/>
      <c r="AA1978" s="148"/>
      <c r="AB1978" s="148"/>
      <c r="AC1978" s="148"/>
    </row>
    <row r="1979" spans="1:29" hidden="1">
      <c r="A1979" s="146"/>
      <c r="B1979" s="147"/>
      <c r="C1979" s="147"/>
      <c r="D1979" s="147"/>
      <c r="E1979" s="147"/>
      <c r="F1979" s="147"/>
      <c r="G1979" s="147"/>
      <c r="H1979" s="147"/>
      <c r="I1979" s="147"/>
      <c r="J1979" s="147"/>
      <c r="K1979" s="147"/>
      <c r="L1979" s="147"/>
      <c r="M1979" s="147"/>
      <c r="N1979" s="147"/>
      <c r="O1979" s="147"/>
      <c r="P1979" s="147"/>
      <c r="Q1979" s="147"/>
      <c r="R1979" s="148"/>
      <c r="S1979" s="148"/>
      <c r="T1979" s="148"/>
      <c r="U1979" s="148"/>
      <c r="V1979" s="148"/>
      <c r="W1979" s="148"/>
      <c r="X1979" s="148"/>
      <c r="Y1979" s="148"/>
      <c r="Z1979" s="148"/>
      <c r="AA1979" s="148"/>
      <c r="AB1979" s="148"/>
      <c r="AC1979" s="148"/>
    </row>
    <row r="1980" spans="1:29" hidden="1">
      <c r="A1980" s="146"/>
      <c r="B1980" s="147"/>
      <c r="C1980" s="147"/>
      <c r="D1980" s="147"/>
      <c r="E1980" s="147"/>
      <c r="F1980" s="147"/>
      <c r="G1980" s="147"/>
      <c r="H1980" s="147"/>
      <c r="I1980" s="147"/>
      <c r="J1980" s="147"/>
      <c r="K1980" s="147"/>
      <c r="L1980" s="147"/>
      <c r="M1980" s="147"/>
      <c r="N1980" s="147"/>
      <c r="O1980" s="147"/>
      <c r="P1980" s="147"/>
      <c r="Q1980" s="147"/>
      <c r="R1980" s="148"/>
      <c r="S1980" s="148"/>
      <c r="T1980" s="148"/>
      <c r="U1980" s="148"/>
      <c r="V1980" s="148"/>
      <c r="W1980" s="148"/>
      <c r="X1980" s="148"/>
      <c r="Y1980" s="148"/>
      <c r="Z1980" s="148"/>
      <c r="AA1980" s="148"/>
      <c r="AB1980" s="148"/>
      <c r="AC1980" s="148"/>
    </row>
    <row r="1981" spans="1:29" hidden="1">
      <c r="A1981" s="146"/>
      <c r="B1981" s="147"/>
      <c r="C1981" s="147"/>
      <c r="D1981" s="147"/>
      <c r="E1981" s="147"/>
      <c r="F1981" s="147"/>
      <c r="G1981" s="147"/>
      <c r="H1981" s="147"/>
      <c r="I1981" s="147"/>
      <c r="J1981" s="147"/>
      <c r="K1981" s="147"/>
      <c r="L1981" s="147"/>
      <c r="M1981" s="147"/>
      <c r="N1981" s="147"/>
      <c r="O1981" s="147"/>
      <c r="P1981" s="147"/>
      <c r="Q1981" s="147"/>
      <c r="R1981" s="148"/>
      <c r="S1981" s="148"/>
      <c r="T1981" s="148"/>
      <c r="U1981" s="148"/>
      <c r="V1981" s="148"/>
      <c r="W1981" s="148"/>
      <c r="X1981" s="148"/>
      <c r="Y1981" s="148"/>
      <c r="Z1981" s="148"/>
      <c r="AA1981" s="148"/>
      <c r="AB1981" s="148"/>
      <c r="AC1981" s="148"/>
    </row>
    <row r="1982" spans="1:29" hidden="1">
      <c r="A1982" s="146"/>
      <c r="B1982" s="147"/>
      <c r="C1982" s="147"/>
      <c r="D1982" s="147"/>
      <c r="E1982" s="147"/>
      <c r="F1982" s="147"/>
      <c r="G1982" s="147"/>
      <c r="H1982" s="147"/>
      <c r="I1982" s="147"/>
      <c r="J1982" s="147"/>
      <c r="K1982" s="147"/>
      <c r="L1982" s="147"/>
      <c r="M1982" s="147"/>
      <c r="N1982" s="147"/>
      <c r="O1982" s="147"/>
      <c r="P1982" s="147"/>
      <c r="Q1982" s="147"/>
      <c r="R1982" s="148"/>
      <c r="S1982" s="148"/>
      <c r="T1982" s="148"/>
      <c r="U1982" s="148"/>
      <c r="V1982" s="148"/>
      <c r="W1982" s="148"/>
      <c r="X1982" s="148"/>
      <c r="Y1982" s="148"/>
      <c r="Z1982" s="148"/>
      <c r="AA1982" s="148"/>
      <c r="AB1982" s="148"/>
      <c r="AC1982" s="148"/>
    </row>
    <row r="1983" spans="1:29" hidden="1">
      <c r="A1983" s="146"/>
      <c r="B1983" s="147"/>
      <c r="C1983" s="147"/>
      <c r="D1983" s="147"/>
      <c r="E1983" s="147"/>
      <c r="F1983" s="147"/>
      <c r="G1983" s="147"/>
      <c r="H1983" s="147"/>
      <c r="I1983" s="147"/>
      <c r="J1983" s="147"/>
      <c r="K1983" s="147"/>
      <c r="L1983" s="147"/>
      <c r="M1983" s="147"/>
      <c r="N1983" s="147"/>
      <c r="O1983" s="147"/>
      <c r="P1983" s="147"/>
      <c r="Q1983" s="147"/>
      <c r="R1983" s="148"/>
      <c r="S1983" s="148"/>
      <c r="T1983" s="148"/>
      <c r="U1983" s="148"/>
      <c r="V1983" s="148"/>
      <c r="W1983" s="148"/>
      <c r="X1983" s="148"/>
      <c r="Y1983" s="148"/>
      <c r="Z1983" s="148"/>
      <c r="AA1983" s="148"/>
      <c r="AB1983" s="148"/>
      <c r="AC1983" s="148"/>
    </row>
    <row r="1984" spans="1:29" hidden="1">
      <c r="A1984" s="146"/>
      <c r="B1984" s="147"/>
      <c r="C1984" s="147"/>
      <c r="D1984" s="147"/>
      <c r="E1984" s="147"/>
      <c r="F1984" s="147"/>
      <c r="G1984" s="147"/>
      <c r="H1984" s="147"/>
      <c r="I1984" s="147"/>
      <c r="J1984" s="147"/>
      <c r="K1984" s="147"/>
      <c r="L1984" s="147"/>
      <c r="M1984" s="147"/>
      <c r="N1984" s="147"/>
      <c r="O1984" s="147"/>
      <c r="P1984" s="147"/>
      <c r="Q1984" s="147"/>
      <c r="R1984" s="148"/>
      <c r="S1984" s="148"/>
      <c r="T1984" s="148"/>
      <c r="U1984" s="148"/>
      <c r="V1984" s="148"/>
      <c r="W1984" s="148"/>
      <c r="X1984" s="148"/>
      <c r="Y1984" s="148"/>
      <c r="Z1984" s="148"/>
      <c r="AA1984" s="148"/>
      <c r="AB1984" s="148"/>
      <c r="AC1984" s="148"/>
    </row>
    <row r="1985" spans="1:29" hidden="1">
      <c r="A1985" s="146"/>
      <c r="B1985" s="147"/>
      <c r="C1985" s="147"/>
      <c r="D1985" s="147"/>
      <c r="E1985" s="147"/>
      <c r="F1985" s="147"/>
      <c r="G1985" s="147"/>
      <c r="H1985" s="147"/>
      <c r="I1985" s="147"/>
      <c r="J1985" s="147"/>
      <c r="K1985" s="147"/>
      <c r="L1985" s="147"/>
      <c r="M1985" s="147"/>
      <c r="N1985" s="147"/>
      <c r="O1985" s="147"/>
      <c r="P1985" s="147"/>
      <c r="Q1985" s="147"/>
      <c r="R1985" s="148"/>
      <c r="S1985" s="148"/>
      <c r="T1985" s="148"/>
      <c r="U1985" s="148"/>
      <c r="V1985" s="148"/>
      <c r="W1985" s="148"/>
      <c r="X1985" s="148"/>
      <c r="Y1985" s="148"/>
      <c r="Z1985" s="148"/>
      <c r="AA1985" s="148"/>
      <c r="AB1985" s="148"/>
      <c r="AC1985" s="148"/>
    </row>
    <row r="1986" spans="1:29" hidden="1">
      <c r="A1986" s="146"/>
      <c r="B1986" s="147"/>
      <c r="C1986" s="147"/>
      <c r="D1986" s="147"/>
      <c r="E1986" s="147"/>
      <c r="F1986" s="147"/>
      <c r="G1986" s="147"/>
      <c r="H1986" s="147"/>
      <c r="I1986" s="147"/>
      <c r="J1986" s="147"/>
      <c r="K1986" s="147"/>
      <c r="L1986" s="147"/>
      <c r="M1986" s="147"/>
      <c r="N1986" s="147"/>
      <c r="O1986" s="147"/>
      <c r="P1986" s="147"/>
      <c r="Q1986" s="147"/>
      <c r="R1986" s="148"/>
      <c r="S1986" s="148"/>
      <c r="T1986" s="148"/>
      <c r="U1986" s="148"/>
      <c r="V1986" s="148"/>
      <c r="W1986" s="148"/>
      <c r="X1986" s="148"/>
      <c r="Y1986" s="148"/>
      <c r="Z1986" s="148"/>
      <c r="AA1986" s="148"/>
      <c r="AB1986" s="148"/>
      <c r="AC1986" s="148"/>
    </row>
    <row r="1987" spans="1:29" hidden="1">
      <c r="A1987" s="146"/>
      <c r="B1987" s="147"/>
      <c r="C1987" s="147"/>
      <c r="D1987" s="147"/>
      <c r="E1987" s="147"/>
      <c r="F1987" s="147"/>
      <c r="G1987" s="147"/>
      <c r="H1987" s="147"/>
      <c r="I1987" s="147"/>
      <c r="J1987" s="147"/>
      <c r="K1987" s="147"/>
      <c r="L1987" s="147"/>
      <c r="M1987" s="147"/>
      <c r="N1987" s="147"/>
      <c r="O1987" s="147"/>
      <c r="P1987" s="147"/>
      <c r="Q1987" s="147"/>
      <c r="R1987" s="148"/>
      <c r="S1987" s="148"/>
      <c r="T1987" s="148"/>
      <c r="U1987" s="148"/>
      <c r="V1987" s="148"/>
      <c r="W1987" s="148"/>
      <c r="X1987" s="148"/>
      <c r="Y1987" s="148"/>
      <c r="Z1987" s="148"/>
      <c r="AA1987" s="148"/>
      <c r="AB1987" s="148"/>
      <c r="AC1987" s="148"/>
    </row>
    <row r="1988" spans="1:29" hidden="1">
      <c r="A1988" s="146"/>
      <c r="B1988" s="147"/>
      <c r="C1988" s="147"/>
      <c r="D1988" s="147"/>
      <c r="E1988" s="147"/>
      <c r="F1988" s="147"/>
      <c r="G1988" s="147"/>
      <c r="H1988" s="147"/>
      <c r="I1988" s="147"/>
      <c r="J1988" s="147"/>
      <c r="K1988" s="147"/>
      <c r="L1988" s="147"/>
      <c r="M1988" s="147"/>
      <c r="N1988" s="147"/>
      <c r="O1988" s="147"/>
      <c r="P1988" s="147"/>
      <c r="Q1988" s="147"/>
      <c r="R1988" s="148"/>
      <c r="S1988" s="148"/>
      <c r="T1988" s="148"/>
      <c r="U1988" s="148"/>
      <c r="V1988" s="148"/>
      <c r="W1988" s="148"/>
      <c r="X1988" s="148"/>
      <c r="Y1988" s="148"/>
      <c r="Z1988" s="148"/>
      <c r="AA1988" s="148"/>
      <c r="AB1988" s="148"/>
      <c r="AC1988" s="148"/>
    </row>
    <row r="1989" spans="1:29" hidden="1">
      <c r="A1989" s="146"/>
      <c r="B1989" s="147"/>
      <c r="C1989" s="147"/>
      <c r="D1989" s="147"/>
      <c r="E1989" s="147"/>
      <c r="F1989" s="147"/>
      <c r="G1989" s="147"/>
      <c r="H1989" s="147"/>
      <c r="I1989" s="147"/>
      <c r="J1989" s="147"/>
      <c r="K1989" s="147"/>
      <c r="L1989" s="147"/>
      <c r="M1989" s="147"/>
      <c r="N1989" s="147"/>
      <c r="O1989" s="147"/>
      <c r="P1989" s="147"/>
      <c r="Q1989" s="147"/>
      <c r="R1989" s="148"/>
      <c r="S1989" s="148"/>
      <c r="T1989" s="148"/>
      <c r="U1989" s="148"/>
      <c r="V1989" s="148"/>
      <c r="W1989" s="148"/>
      <c r="X1989" s="148"/>
      <c r="Y1989" s="148"/>
      <c r="Z1989" s="148"/>
      <c r="AA1989" s="148"/>
      <c r="AB1989" s="148"/>
      <c r="AC1989" s="148"/>
    </row>
    <row r="1990" spans="1:29" hidden="1">
      <c r="A1990" s="146"/>
      <c r="B1990" s="147"/>
      <c r="C1990" s="147"/>
      <c r="D1990" s="147"/>
      <c r="E1990" s="147"/>
      <c r="F1990" s="147"/>
      <c r="G1990" s="147"/>
      <c r="H1990" s="147"/>
      <c r="I1990" s="147"/>
      <c r="J1990" s="147"/>
      <c r="K1990" s="147"/>
      <c r="L1990" s="147"/>
      <c r="M1990" s="147"/>
      <c r="N1990" s="147"/>
      <c r="O1990" s="147"/>
      <c r="P1990" s="147"/>
      <c r="Q1990" s="147"/>
      <c r="R1990" s="148"/>
      <c r="S1990" s="148"/>
      <c r="T1990" s="148"/>
      <c r="U1990" s="148"/>
      <c r="V1990" s="148"/>
      <c r="W1990" s="148"/>
      <c r="X1990" s="148"/>
      <c r="Y1990" s="148"/>
      <c r="Z1990" s="148"/>
      <c r="AA1990" s="148"/>
      <c r="AB1990" s="148"/>
      <c r="AC1990" s="148"/>
    </row>
    <row r="1991" spans="1:29" hidden="1">
      <c r="A1991" s="146"/>
      <c r="B1991" s="147"/>
      <c r="C1991" s="147"/>
      <c r="D1991" s="147"/>
      <c r="E1991" s="147"/>
      <c r="F1991" s="147"/>
      <c r="G1991" s="147"/>
      <c r="H1991" s="147"/>
      <c r="I1991" s="147"/>
      <c r="J1991" s="147"/>
      <c r="K1991" s="147"/>
      <c r="L1991" s="147"/>
      <c r="M1991" s="147"/>
      <c r="N1991" s="147"/>
      <c r="O1991" s="147"/>
      <c r="P1991" s="147"/>
      <c r="Q1991" s="147"/>
      <c r="R1991" s="148"/>
      <c r="S1991" s="148"/>
      <c r="T1991" s="148"/>
      <c r="U1991" s="148"/>
      <c r="V1991" s="148"/>
      <c r="W1991" s="148"/>
      <c r="X1991" s="148"/>
      <c r="Y1991" s="148"/>
      <c r="Z1991" s="148"/>
      <c r="AA1991" s="148"/>
      <c r="AB1991" s="148"/>
      <c r="AC1991" s="148"/>
    </row>
    <row r="1992" spans="1:29" hidden="1">
      <c r="A1992" s="146"/>
      <c r="B1992" s="147"/>
      <c r="C1992" s="147"/>
      <c r="D1992" s="147"/>
      <c r="E1992" s="147"/>
      <c r="F1992" s="147"/>
      <c r="G1992" s="147"/>
      <c r="H1992" s="147"/>
      <c r="I1992" s="147"/>
      <c r="J1992" s="147"/>
      <c r="K1992" s="147"/>
      <c r="L1992" s="147"/>
      <c r="M1992" s="147"/>
      <c r="N1992" s="147"/>
      <c r="O1992" s="147"/>
      <c r="P1992" s="147"/>
      <c r="Q1992" s="147"/>
      <c r="R1992" s="148"/>
      <c r="S1992" s="148"/>
      <c r="T1992" s="148"/>
      <c r="U1992" s="148"/>
      <c r="V1992" s="148"/>
      <c r="W1992" s="148"/>
      <c r="X1992" s="148"/>
      <c r="Y1992" s="148"/>
      <c r="Z1992" s="148"/>
      <c r="AA1992" s="148"/>
      <c r="AB1992" s="148"/>
      <c r="AC1992" s="148"/>
    </row>
    <row r="1993" spans="1:29" hidden="1">
      <c r="A1993" s="146"/>
      <c r="B1993" s="147"/>
      <c r="C1993" s="147"/>
      <c r="D1993" s="147"/>
      <c r="E1993" s="147"/>
      <c r="F1993" s="147"/>
      <c r="G1993" s="147"/>
      <c r="H1993" s="147"/>
      <c r="I1993" s="147"/>
      <c r="J1993" s="147"/>
      <c r="K1993" s="147"/>
      <c r="L1993" s="147"/>
      <c r="M1993" s="147"/>
      <c r="N1993" s="147"/>
      <c r="O1993" s="147"/>
      <c r="P1993" s="147"/>
      <c r="Q1993" s="147"/>
      <c r="R1993" s="148"/>
      <c r="S1993" s="148"/>
      <c r="T1993" s="148"/>
      <c r="U1993" s="148"/>
      <c r="V1993" s="148"/>
      <c r="W1993" s="148"/>
      <c r="X1993" s="148"/>
      <c r="Y1993" s="148"/>
      <c r="Z1993" s="148"/>
      <c r="AA1993" s="148"/>
      <c r="AB1993" s="148"/>
      <c r="AC1993" s="148"/>
    </row>
    <row r="1994" spans="1:29" hidden="1">
      <c r="A1994" s="146"/>
      <c r="B1994" s="147"/>
      <c r="C1994" s="147"/>
      <c r="D1994" s="147"/>
      <c r="E1994" s="147"/>
      <c r="F1994" s="147"/>
      <c r="G1994" s="147"/>
      <c r="H1994" s="147"/>
      <c r="I1994" s="147"/>
      <c r="J1994" s="147"/>
      <c r="K1994" s="147"/>
      <c r="L1994" s="147"/>
      <c r="M1994" s="147"/>
      <c r="N1994" s="147"/>
      <c r="O1994" s="147"/>
      <c r="P1994" s="147"/>
      <c r="Q1994" s="147"/>
      <c r="R1994" s="148"/>
      <c r="S1994" s="148"/>
      <c r="T1994" s="148"/>
      <c r="U1994" s="148"/>
      <c r="V1994" s="148"/>
      <c r="W1994" s="148"/>
      <c r="X1994" s="148"/>
      <c r="Y1994" s="148"/>
      <c r="Z1994" s="148"/>
      <c r="AA1994" s="148"/>
      <c r="AB1994" s="148"/>
      <c r="AC1994" s="148"/>
    </row>
    <row r="1995" spans="1:29" hidden="1">
      <c r="A1995" s="146"/>
      <c r="B1995" s="147"/>
      <c r="C1995" s="147"/>
      <c r="D1995" s="147"/>
      <c r="E1995" s="147"/>
      <c r="F1995" s="147"/>
      <c r="G1995" s="147"/>
      <c r="H1995" s="147"/>
      <c r="I1995" s="147"/>
      <c r="J1995" s="147"/>
      <c r="K1995" s="147"/>
      <c r="L1995" s="147"/>
      <c r="M1995" s="147"/>
      <c r="N1995" s="147"/>
      <c r="O1995" s="147"/>
      <c r="P1995" s="147"/>
      <c r="Q1995" s="147"/>
      <c r="R1995" s="148"/>
      <c r="S1995" s="148"/>
      <c r="T1995" s="148"/>
      <c r="U1995" s="148"/>
      <c r="V1995" s="148"/>
      <c r="W1995" s="148"/>
      <c r="X1995" s="148"/>
      <c r="Y1995" s="148"/>
      <c r="Z1995" s="148"/>
      <c r="AA1995" s="148"/>
      <c r="AB1995" s="148"/>
      <c r="AC1995" s="148"/>
    </row>
    <row r="1996" spans="1:29" hidden="1">
      <c r="A1996" s="146"/>
      <c r="B1996" s="147"/>
      <c r="C1996" s="147"/>
      <c r="D1996" s="147"/>
      <c r="E1996" s="147"/>
      <c r="F1996" s="147"/>
      <c r="G1996" s="147"/>
      <c r="H1996" s="147"/>
      <c r="I1996" s="147"/>
      <c r="J1996" s="147"/>
      <c r="K1996" s="147"/>
      <c r="L1996" s="147"/>
      <c r="M1996" s="147"/>
      <c r="N1996" s="147"/>
      <c r="O1996" s="147"/>
      <c r="P1996" s="147"/>
      <c r="Q1996" s="147"/>
      <c r="R1996" s="148"/>
      <c r="S1996" s="148"/>
      <c r="T1996" s="148"/>
      <c r="U1996" s="148"/>
      <c r="V1996" s="148"/>
      <c r="W1996" s="148"/>
      <c r="X1996" s="148"/>
      <c r="Y1996" s="148"/>
      <c r="Z1996" s="148"/>
      <c r="AA1996" s="148"/>
      <c r="AB1996" s="148"/>
      <c r="AC1996" s="148"/>
    </row>
    <row r="1997" spans="1:29" hidden="1">
      <c r="A1997" s="146"/>
      <c r="B1997" s="147"/>
      <c r="C1997" s="147"/>
      <c r="D1997" s="147"/>
      <c r="E1997" s="147"/>
      <c r="F1997" s="147"/>
      <c r="G1997" s="147"/>
      <c r="H1997" s="147"/>
      <c r="I1997" s="147"/>
      <c r="J1997" s="147"/>
      <c r="K1997" s="147"/>
      <c r="L1997" s="147"/>
      <c r="M1997" s="147"/>
      <c r="N1997" s="147"/>
      <c r="O1997" s="147"/>
      <c r="P1997" s="147"/>
      <c r="Q1997" s="147"/>
      <c r="R1997" s="148"/>
      <c r="S1997" s="148"/>
      <c r="T1997" s="148"/>
      <c r="U1997" s="148"/>
      <c r="V1997" s="148"/>
      <c r="W1997" s="148"/>
      <c r="X1997" s="148"/>
      <c r="Y1997" s="148"/>
      <c r="Z1997" s="148"/>
      <c r="AA1997" s="148"/>
      <c r="AB1997" s="148"/>
      <c r="AC1997" s="148"/>
    </row>
    <row r="1998" spans="1:29" hidden="1">
      <c r="A1998" s="146"/>
      <c r="B1998" s="147"/>
      <c r="C1998" s="147"/>
      <c r="D1998" s="147"/>
      <c r="E1998" s="147"/>
      <c r="F1998" s="147"/>
      <c r="G1998" s="147"/>
      <c r="H1998" s="147"/>
      <c r="I1998" s="147"/>
      <c r="J1998" s="147"/>
      <c r="K1998" s="147"/>
      <c r="L1998" s="147"/>
      <c r="M1998" s="147"/>
      <c r="N1998" s="147"/>
      <c r="O1998" s="147"/>
      <c r="P1998" s="147"/>
      <c r="Q1998" s="147"/>
      <c r="R1998" s="148"/>
      <c r="S1998" s="148"/>
      <c r="T1998" s="148"/>
      <c r="U1998" s="148"/>
      <c r="V1998" s="148"/>
      <c r="W1998" s="148"/>
      <c r="X1998" s="148"/>
      <c r="Y1998" s="148"/>
      <c r="Z1998" s="148"/>
      <c r="AA1998" s="148"/>
      <c r="AB1998" s="148"/>
      <c r="AC1998" s="148"/>
    </row>
    <row r="1999" spans="1:29" hidden="1">
      <c r="A1999" s="146"/>
      <c r="B1999" s="147"/>
      <c r="C1999" s="147"/>
      <c r="D1999" s="147"/>
      <c r="E1999" s="147"/>
      <c r="F1999" s="147"/>
      <c r="G1999" s="147"/>
      <c r="H1999" s="147"/>
      <c r="I1999" s="147"/>
      <c r="J1999" s="147"/>
      <c r="K1999" s="147"/>
      <c r="L1999" s="147"/>
      <c r="M1999" s="147"/>
      <c r="N1999" s="147"/>
      <c r="O1999" s="147"/>
      <c r="P1999" s="147"/>
      <c r="Q1999" s="147"/>
      <c r="R1999" s="148"/>
      <c r="S1999" s="148"/>
      <c r="T1999" s="148"/>
      <c r="U1999" s="148"/>
      <c r="V1999" s="148"/>
      <c r="W1999" s="148"/>
      <c r="X1999" s="148"/>
      <c r="Y1999" s="148"/>
      <c r="Z1999" s="148"/>
      <c r="AA1999" s="148"/>
      <c r="AB1999" s="148"/>
      <c r="AC1999" s="148"/>
    </row>
    <row r="2000" spans="1:29" hidden="1">
      <c r="A2000" s="146"/>
      <c r="B2000" s="147"/>
      <c r="C2000" s="147"/>
      <c r="D2000" s="147"/>
      <c r="E2000" s="147"/>
      <c r="F2000" s="147"/>
      <c r="G2000" s="147"/>
      <c r="H2000" s="147"/>
      <c r="I2000" s="147"/>
      <c r="J2000" s="147"/>
      <c r="K2000" s="147"/>
      <c r="L2000" s="147"/>
      <c r="M2000" s="147"/>
      <c r="N2000" s="147"/>
      <c r="O2000" s="147"/>
      <c r="P2000" s="147"/>
      <c r="Q2000" s="147"/>
      <c r="R2000" s="148"/>
      <c r="S2000" s="148"/>
      <c r="T2000" s="148"/>
      <c r="U2000" s="148"/>
      <c r="V2000" s="148"/>
      <c r="W2000" s="148"/>
      <c r="X2000" s="148"/>
      <c r="Y2000" s="148"/>
      <c r="Z2000" s="148"/>
      <c r="AA2000" s="148"/>
      <c r="AB2000" s="148"/>
      <c r="AC2000" s="148"/>
    </row>
    <row r="2001" spans="1:29" hidden="1">
      <c r="A2001" s="146"/>
      <c r="B2001" s="147"/>
      <c r="C2001" s="147"/>
      <c r="D2001" s="147"/>
      <c r="E2001" s="147"/>
      <c r="F2001" s="147"/>
      <c r="G2001" s="147"/>
      <c r="H2001" s="147"/>
      <c r="I2001" s="147"/>
      <c r="J2001" s="147"/>
      <c r="K2001" s="147"/>
      <c r="L2001" s="147"/>
      <c r="M2001" s="147"/>
      <c r="N2001" s="147"/>
      <c r="O2001" s="147"/>
      <c r="P2001" s="147"/>
      <c r="Q2001" s="147"/>
      <c r="R2001" s="148"/>
      <c r="S2001" s="148"/>
      <c r="T2001" s="148"/>
      <c r="U2001" s="148"/>
      <c r="V2001" s="148"/>
      <c r="W2001" s="148"/>
      <c r="X2001" s="148"/>
      <c r="Y2001" s="148"/>
      <c r="Z2001" s="148"/>
      <c r="AA2001" s="148"/>
      <c r="AB2001" s="148"/>
      <c r="AC2001" s="148"/>
    </row>
    <row r="2002" spans="1:29" hidden="1">
      <c r="A2002" s="146"/>
      <c r="B2002" s="147"/>
      <c r="C2002" s="147"/>
      <c r="D2002" s="147"/>
      <c r="E2002" s="147"/>
      <c r="F2002" s="147"/>
      <c r="G2002" s="147"/>
      <c r="H2002" s="147"/>
      <c r="I2002" s="147"/>
      <c r="J2002" s="147"/>
      <c r="K2002" s="147"/>
      <c r="L2002" s="147"/>
      <c r="M2002" s="147"/>
      <c r="N2002" s="147"/>
      <c r="O2002" s="147"/>
      <c r="P2002" s="147"/>
      <c r="Q2002" s="147"/>
      <c r="R2002" s="148"/>
      <c r="S2002" s="148"/>
      <c r="T2002" s="148"/>
      <c r="U2002" s="148"/>
      <c r="V2002" s="148"/>
      <c r="W2002" s="148"/>
      <c r="X2002" s="148"/>
      <c r="Y2002" s="148"/>
      <c r="Z2002" s="148"/>
      <c r="AA2002" s="148"/>
      <c r="AB2002" s="148"/>
      <c r="AC2002" s="148"/>
    </row>
    <row r="2003" spans="1:29" hidden="1">
      <c r="A2003" s="146"/>
      <c r="B2003" s="147"/>
      <c r="C2003" s="147"/>
      <c r="D2003" s="147"/>
      <c r="E2003" s="147"/>
      <c r="F2003" s="147"/>
      <c r="G2003" s="147"/>
      <c r="H2003" s="147"/>
      <c r="I2003" s="147"/>
      <c r="J2003" s="147"/>
      <c r="K2003" s="147"/>
      <c r="L2003" s="147"/>
      <c r="M2003" s="147"/>
      <c r="N2003" s="147"/>
      <c r="O2003" s="147"/>
      <c r="P2003" s="147"/>
      <c r="Q2003" s="147"/>
      <c r="R2003" s="148"/>
      <c r="S2003" s="148"/>
      <c r="T2003" s="148"/>
      <c r="U2003" s="148"/>
      <c r="V2003" s="148"/>
      <c r="W2003" s="148"/>
      <c r="X2003" s="148"/>
      <c r="Y2003" s="148"/>
      <c r="Z2003" s="148"/>
      <c r="AA2003" s="148"/>
      <c r="AB2003" s="148"/>
      <c r="AC2003" s="148"/>
    </row>
    <row r="2004" spans="1:29" hidden="1">
      <c r="A2004" s="146"/>
      <c r="B2004" s="147"/>
      <c r="C2004" s="147"/>
      <c r="D2004" s="147"/>
      <c r="E2004" s="147"/>
      <c r="F2004" s="147"/>
      <c r="G2004" s="147"/>
      <c r="H2004" s="147"/>
      <c r="I2004" s="147"/>
      <c r="J2004" s="147"/>
      <c r="K2004" s="147"/>
      <c r="L2004" s="147"/>
      <c r="M2004" s="147"/>
      <c r="N2004" s="147"/>
      <c r="O2004" s="147"/>
      <c r="P2004" s="147"/>
      <c r="Q2004" s="147"/>
      <c r="R2004" s="148"/>
      <c r="S2004" s="148"/>
      <c r="T2004" s="148"/>
      <c r="U2004" s="148"/>
      <c r="V2004" s="148"/>
      <c r="W2004" s="148"/>
      <c r="X2004" s="148"/>
      <c r="Y2004" s="148"/>
      <c r="Z2004" s="148"/>
      <c r="AA2004" s="148"/>
      <c r="AB2004" s="148"/>
      <c r="AC2004" s="148"/>
    </row>
    <row r="2005" spans="1:29" hidden="1">
      <c r="A2005" s="146"/>
      <c r="B2005" s="147"/>
      <c r="C2005" s="147"/>
      <c r="D2005" s="147"/>
      <c r="E2005" s="147"/>
      <c r="F2005" s="147"/>
      <c r="G2005" s="147"/>
      <c r="H2005" s="147"/>
      <c r="I2005" s="147"/>
      <c r="J2005" s="147"/>
      <c r="K2005" s="147"/>
      <c r="L2005" s="147"/>
      <c r="M2005" s="147"/>
      <c r="N2005" s="147"/>
      <c r="O2005" s="147"/>
      <c r="P2005" s="147"/>
      <c r="Q2005" s="147"/>
      <c r="R2005" s="148"/>
      <c r="S2005" s="148"/>
      <c r="T2005" s="148"/>
      <c r="U2005" s="148"/>
      <c r="V2005" s="148"/>
      <c r="W2005" s="148"/>
      <c r="X2005" s="148"/>
      <c r="Y2005" s="148"/>
      <c r="Z2005" s="148"/>
      <c r="AA2005" s="148"/>
      <c r="AB2005" s="148"/>
      <c r="AC2005" s="148"/>
    </row>
    <row r="2006" spans="1:29" hidden="1">
      <c r="A2006" s="146"/>
      <c r="B2006" s="147"/>
      <c r="C2006" s="147"/>
      <c r="D2006" s="147"/>
      <c r="E2006" s="147"/>
      <c r="F2006" s="147"/>
      <c r="G2006" s="147"/>
      <c r="H2006" s="147"/>
      <c r="I2006" s="147"/>
      <c r="J2006" s="147"/>
      <c r="K2006" s="147"/>
      <c r="L2006" s="147"/>
      <c r="M2006" s="147"/>
      <c r="N2006" s="147"/>
      <c r="O2006" s="147"/>
      <c r="P2006" s="147"/>
      <c r="Q2006" s="147"/>
      <c r="R2006" s="148"/>
      <c r="S2006" s="148"/>
      <c r="T2006" s="148"/>
      <c r="U2006" s="148"/>
      <c r="V2006" s="148"/>
      <c r="W2006" s="148"/>
      <c r="X2006" s="148"/>
      <c r="Y2006" s="148"/>
      <c r="Z2006" s="148"/>
      <c r="AA2006" s="148"/>
      <c r="AB2006" s="148"/>
      <c r="AC2006" s="148"/>
    </row>
    <row r="2007" spans="1:29" hidden="1">
      <c r="A2007" s="146"/>
      <c r="B2007" s="147"/>
      <c r="C2007" s="147"/>
      <c r="D2007" s="147"/>
      <c r="E2007" s="147"/>
      <c r="F2007" s="147"/>
      <c r="G2007" s="147"/>
      <c r="H2007" s="147"/>
      <c r="I2007" s="147"/>
      <c r="J2007" s="147"/>
      <c r="K2007" s="147"/>
      <c r="L2007" s="147"/>
      <c r="M2007" s="147"/>
      <c r="N2007" s="147"/>
      <c r="O2007" s="147"/>
      <c r="P2007" s="147"/>
      <c r="Q2007" s="147"/>
      <c r="R2007" s="148"/>
      <c r="S2007" s="148"/>
      <c r="T2007" s="148"/>
      <c r="U2007" s="148"/>
      <c r="V2007" s="148"/>
      <c r="W2007" s="148"/>
      <c r="X2007" s="148"/>
      <c r="Y2007" s="148"/>
      <c r="Z2007" s="148"/>
      <c r="AA2007" s="148"/>
      <c r="AB2007" s="148"/>
      <c r="AC2007" s="148"/>
    </row>
    <row r="2008" spans="1:29" hidden="1">
      <c r="A2008" s="146"/>
      <c r="B2008" s="147"/>
      <c r="C2008" s="147"/>
      <c r="D2008" s="147"/>
      <c r="E2008" s="147"/>
      <c r="F2008" s="147"/>
      <c r="G2008" s="147"/>
      <c r="H2008" s="147"/>
      <c r="I2008" s="147"/>
      <c r="J2008" s="147"/>
      <c r="K2008" s="147"/>
      <c r="L2008" s="147"/>
      <c r="M2008" s="147"/>
      <c r="N2008" s="147"/>
      <c r="O2008" s="147"/>
      <c r="P2008" s="147"/>
      <c r="Q2008" s="147"/>
      <c r="R2008" s="148"/>
      <c r="S2008" s="148"/>
      <c r="T2008" s="148"/>
      <c r="U2008" s="148"/>
      <c r="V2008" s="148"/>
      <c r="W2008" s="148"/>
      <c r="X2008" s="148"/>
      <c r="Y2008" s="148"/>
      <c r="Z2008" s="148"/>
      <c r="AA2008" s="148"/>
      <c r="AB2008" s="148"/>
      <c r="AC2008" s="148"/>
    </row>
    <row r="2009" spans="1:29" hidden="1">
      <c r="A2009" s="146"/>
      <c r="B2009" s="147"/>
      <c r="C2009" s="147"/>
      <c r="D2009" s="147"/>
      <c r="E2009" s="147"/>
      <c r="F2009" s="147"/>
      <c r="G2009" s="147"/>
      <c r="H2009" s="147"/>
      <c r="I2009" s="147"/>
      <c r="J2009" s="147"/>
      <c r="K2009" s="147"/>
      <c r="L2009" s="147"/>
      <c r="M2009" s="147"/>
      <c r="N2009" s="147"/>
      <c r="O2009" s="147"/>
      <c r="P2009" s="147"/>
      <c r="Q2009" s="147"/>
      <c r="R2009" s="148"/>
      <c r="S2009" s="148"/>
      <c r="T2009" s="148"/>
      <c r="U2009" s="148"/>
      <c r="V2009" s="148"/>
      <c r="W2009" s="148"/>
      <c r="X2009" s="148"/>
      <c r="Y2009" s="148"/>
      <c r="Z2009" s="148"/>
      <c r="AA2009" s="148"/>
      <c r="AB2009" s="148"/>
      <c r="AC2009" s="148"/>
    </row>
    <row r="2010" spans="1:29" hidden="1">
      <c r="A2010" s="146"/>
      <c r="B2010" s="147"/>
      <c r="C2010" s="147"/>
      <c r="D2010" s="147"/>
      <c r="E2010" s="147"/>
      <c r="F2010" s="147"/>
      <c r="G2010" s="147"/>
      <c r="H2010" s="147"/>
      <c r="I2010" s="147"/>
      <c r="J2010" s="147"/>
      <c r="K2010" s="147"/>
      <c r="L2010" s="147"/>
      <c r="M2010" s="147"/>
      <c r="N2010" s="147"/>
      <c r="O2010" s="147"/>
      <c r="P2010" s="147"/>
      <c r="Q2010" s="147"/>
      <c r="R2010" s="148"/>
      <c r="S2010" s="148"/>
      <c r="T2010" s="148"/>
      <c r="U2010" s="148"/>
      <c r="V2010" s="148"/>
      <c r="W2010" s="148"/>
      <c r="X2010" s="148"/>
      <c r="Y2010" s="148"/>
      <c r="Z2010" s="148"/>
      <c r="AA2010" s="148"/>
      <c r="AB2010" s="148"/>
      <c r="AC2010" s="148"/>
    </row>
    <row r="2011" spans="1:29" hidden="1">
      <c r="A2011" s="146"/>
      <c r="B2011" s="147"/>
      <c r="C2011" s="147"/>
      <c r="D2011" s="147"/>
      <c r="E2011" s="147"/>
      <c r="F2011" s="147"/>
      <c r="G2011" s="147"/>
      <c r="H2011" s="147"/>
      <c r="I2011" s="147"/>
      <c r="J2011" s="147"/>
      <c r="K2011" s="147"/>
      <c r="L2011" s="147"/>
      <c r="M2011" s="147"/>
      <c r="N2011" s="147"/>
      <c r="O2011" s="147"/>
      <c r="P2011" s="147"/>
      <c r="Q2011" s="147"/>
      <c r="R2011" s="148"/>
      <c r="S2011" s="148"/>
      <c r="T2011" s="148"/>
      <c r="U2011" s="148"/>
      <c r="V2011" s="148"/>
      <c r="W2011" s="148"/>
      <c r="X2011" s="148"/>
      <c r="Y2011" s="148"/>
      <c r="Z2011" s="148"/>
      <c r="AA2011" s="148"/>
      <c r="AB2011" s="148"/>
      <c r="AC2011" s="148"/>
    </row>
    <row r="2012" spans="1:29" hidden="1">
      <c r="A2012" s="146"/>
      <c r="B2012" s="147"/>
      <c r="C2012" s="147"/>
      <c r="D2012" s="147"/>
      <c r="E2012" s="147"/>
      <c r="F2012" s="147"/>
      <c r="G2012" s="147"/>
      <c r="H2012" s="147"/>
      <c r="I2012" s="147"/>
      <c r="J2012" s="147"/>
      <c r="K2012" s="147"/>
      <c r="L2012" s="147"/>
      <c r="M2012" s="147"/>
      <c r="N2012" s="147"/>
      <c r="O2012" s="147"/>
      <c r="P2012" s="147"/>
      <c r="Q2012" s="147"/>
      <c r="R2012" s="148"/>
      <c r="S2012" s="148"/>
      <c r="T2012" s="148"/>
      <c r="U2012" s="148"/>
      <c r="V2012" s="148"/>
      <c r="W2012" s="148"/>
      <c r="X2012" s="148"/>
      <c r="Y2012" s="148"/>
      <c r="Z2012" s="148"/>
      <c r="AA2012" s="148"/>
      <c r="AB2012" s="148"/>
      <c r="AC2012" s="148"/>
    </row>
    <row r="2013" spans="1:29" hidden="1">
      <c r="A2013" s="146"/>
      <c r="B2013" s="147"/>
      <c r="C2013" s="147"/>
      <c r="D2013" s="147"/>
      <c r="E2013" s="147"/>
      <c r="F2013" s="147"/>
      <c r="G2013" s="147"/>
      <c r="H2013" s="147"/>
      <c r="I2013" s="147"/>
      <c r="J2013" s="147"/>
      <c r="K2013" s="147"/>
      <c r="L2013" s="147"/>
      <c r="M2013" s="147"/>
      <c r="N2013" s="147"/>
      <c r="O2013" s="147"/>
      <c r="P2013" s="147"/>
      <c r="Q2013" s="147"/>
      <c r="R2013" s="148"/>
      <c r="S2013" s="148"/>
      <c r="T2013" s="148"/>
      <c r="U2013" s="148"/>
      <c r="V2013" s="148"/>
      <c r="W2013" s="148"/>
      <c r="X2013" s="148"/>
      <c r="Y2013" s="148"/>
      <c r="Z2013" s="148"/>
      <c r="AA2013" s="148"/>
      <c r="AB2013" s="148"/>
      <c r="AC2013" s="148"/>
    </row>
    <row r="2014" spans="1:29" hidden="1">
      <c r="A2014" s="146"/>
      <c r="B2014" s="147"/>
      <c r="C2014" s="147"/>
      <c r="D2014" s="147"/>
      <c r="E2014" s="147"/>
      <c r="F2014" s="147"/>
      <c r="G2014" s="147"/>
      <c r="H2014" s="147"/>
      <c r="I2014" s="147"/>
      <c r="J2014" s="147"/>
      <c r="K2014" s="147"/>
      <c r="L2014" s="147"/>
      <c r="M2014" s="147"/>
      <c r="N2014" s="147"/>
      <c r="O2014" s="147"/>
      <c r="P2014" s="147"/>
      <c r="Q2014" s="147"/>
      <c r="R2014" s="148"/>
      <c r="S2014" s="148"/>
      <c r="T2014" s="148"/>
      <c r="U2014" s="148"/>
      <c r="V2014" s="148"/>
      <c r="W2014" s="148"/>
      <c r="X2014" s="148"/>
      <c r="Y2014" s="148"/>
      <c r="Z2014" s="148"/>
      <c r="AA2014" s="148"/>
      <c r="AB2014" s="148"/>
      <c r="AC2014" s="148"/>
    </row>
    <row r="2015" spans="1:29" hidden="1">
      <c r="A2015" s="146"/>
      <c r="B2015" s="147"/>
      <c r="C2015" s="147"/>
      <c r="D2015" s="147"/>
      <c r="E2015" s="147"/>
      <c r="F2015" s="147"/>
      <c r="G2015" s="147"/>
      <c r="H2015" s="147"/>
      <c r="I2015" s="147"/>
      <c r="J2015" s="147"/>
      <c r="K2015" s="147"/>
      <c r="L2015" s="147"/>
      <c r="M2015" s="147"/>
      <c r="N2015" s="147"/>
      <c r="O2015" s="147"/>
      <c r="P2015" s="147"/>
      <c r="Q2015" s="147"/>
      <c r="R2015" s="148"/>
      <c r="S2015" s="148"/>
      <c r="T2015" s="148"/>
      <c r="U2015" s="148"/>
      <c r="V2015" s="148"/>
      <c r="W2015" s="148"/>
      <c r="X2015" s="148"/>
      <c r="Y2015" s="148"/>
      <c r="Z2015" s="148"/>
      <c r="AA2015" s="148"/>
      <c r="AB2015" s="148"/>
      <c r="AC2015" s="148"/>
    </row>
    <row r="2016" spans="1:29" hidden="1">
      <c r="A2016" s="146"/>
      <c r="B2016" s="147"/>
      <c r="C2016" s="147"/>
      <c r="D2016" s="147"/>
      <c r="E2016" s="147"/>
      <c r="F2016" s="147"/>
      <c r="G2016" s="147"/>
      <c r="H2016" s="147"/>
      <c r="I2016" s="147"/>
      <c r="J2016" s="147"/>
      <c r="K2016" s="147"/>
      <c r="L2016" s="147"/>
      <c r="M2016" s="147"/>
      <c r="N2016" s="147"/>
      <c r="O2016" s="147"/>
      <c r="P2016" s="147"/>
      <c r="Q2016" s="147"/>
      <c r="R2016" s="148"/>
      <c r="S2016" s="148"/>
      <c r="T2016" s="148"/>
      <c r="U2016" s="148"/>
      <c r="V2016" s="148"/>
      <c r="W2016" s="148"/>
      <c r="X2016" s="148"/>
      <c r="Y2016" s="148"/>
      <c r="Z2016" s="148"/>
      <c r="AA2016" s="148"/>
      <c r="AB2016" s="148"/>
      <c r="AC2016" s="148"/>
    </row>
    <row r="2017" spans="1:29" hidden="1">
      <c r="A2017" s="146"/>
      <c r="B2017" s="147"/>
      <c r="C2017" s="147"/>
      <c r="D2017" s="147"/>
      <c r="E2017" s="147"/>
      <c r="F2017" s="147"/>
      <c r="G2017" s="147"/>
      <c r="H2017" s="147"/>
      <c r="I2017" s="147"/>
      <c r="J2017" s="147"/>
      <c r="K2017" s="147"/>
      <c r="L2017" s="147"/>
      <c r="M2017" s="147"/>
      <c r="N2017" s="147"/>
      <c r="O2017" s="147"/>
      <c r="P2017" s="147"/>
      <c r="Q2017" s="147"/>
      <c r="R2017" s="148"/>
      <c r="S2017" s="148"/>
      <c r="T2017" s="148"/>
      <c r="U2017" s="148"/>
      <c r="V2017" s="148"/>
      <c r="W2017" s="148"/>
      <c r="X2017" s="148"/>
      <c r="Y2017" s="148"/>
      <c r="Z2017" s="148"/>
      <c r="AA2017" s="148"/>
      <c r="AB2017" s="148"/>
      <c r="AC2017" s="148"/>
    </row>
    <row r="2018" spans="1:29" hidden="1">
      <c r="A2018" s="146"/>
      <c r="B2018" s="147"/>
      <c r="C2018" s="147"/>
      <c r="D2018" s="147"/>
      <c r="E2018" s="147"/>
      <c r="F2018" s="147"/>
      <c r="G2018" s="147"/>
      <c r="H2018" s="147"/>
      <c r="I2018" s="147"/>
      <c r="J2018" s="147"/>
      <c r="K2018" s="147"/>
      <c r="L2018" s="147"/>
      <c r="M2018" s="147"/>
      <c r="N2018" s="147"/>
      <c r="O2018" s="147"/>
      <c r="P2018" s="147"/>
      <c r="Q2018" s="147"/>
      <c r="R2018" s="148"/>
      <c r="S2018" s="148"/>
      <c r="T2018" s="148"/>
      <c r="U2018" s="148"/>
      <c r="V2018" s="148"/>
      <c r="W2018" s="148"/>
      <c r="X2018" s="148"/>
      <c r="Y2018" s="148"/>
      <c r="Z2018" s="148"/>
      <c r="AA2018" s="148"/>
      <c r="AB2018" s="148"/>
      <c r="AC2018" s="148"/>
    </row>
    <row r="2019" spans="1:29" hidden="1">
      <c r="A2019" s="146"/>
      <c r="B2019" s="147"/>
      <c r="C2019" s="147"/>
      <c r="D2019" s="147"/>
      <c r="E2019" s="147"/>
      <c r="F2019" s="147"/>
      <c r="G2019" s="147"/>
      <c r="H2019" s="147"/>
      <c r="I2019" s="147"/>
      <c r="J2019" s="147"/>
      <c r="K2019" s="147"/>
      <c r="L2019" s="147"/>
      <c r="M2019" s="147"/>
      <c r="N2019" s="147"/>
      <c r="O2019" s="147"/>
      <c r="P2019" s="147"/>
      <c r="Q2019" s="147"/>
      <c r="R2019" s="148"/>
      <c r="S2019" s="148"/>
      <c r="T2019" s="148"/>
      <c r="U2019" s="148"/>
      <c r="V2019" s="148"/>
      <c r="W2019" s="148"/>
      <c r="X2019" s="148"/>
      <c r="Y2019" s="148"/>
      <c r="Z2019" s="148"/>
      <c r="AA2019" s="148"/>
      <c r="AB2019" s="148"/>
      <c r="AC2019" s="148"/>
    </row>
    <row r="2020" spans="1:29" hidden="1">
      <c r="A2020" s="146"/>
      <c r="B2020" s="147"/>
      <c r="C2020" s="147"/>
      <c r="D2020" s="147"/>
      <c r="E2020" s="147"/>
      <c r="F2020" s="147"/>
      <c r="G2020" s="147"/>
      <c r="H2020" s="147"/>
      <c r="I2020" s="147"/>
      <c r="J2020" s="147"/>
      <c r="K2020" s="147"/>
      <c r="L2020" s="147"/>
      <c r="M2020" s="147"/>
      <c r="N2020" s="147"/>
      <c r="O2020" s="147"/>
      <c r="P2020" s="147"/>
      <c r="Q2020" s="147"/>
      <c r="R2020" s="148"/>
      <c r="S2020" s="148"/>
      <c r="T2020" s="148"/>
      <c r="U2020" s="148"/>
      <c r="V2020" s="148"/>
      <c r="W2020" s="148"/>
      <c r="X2020" s="148"/>
      <c r="Y2020" s="148"/>
      <c r="Z2020" s="148"/>
      <c r="AA2020" s="148"/>
      <c r="AB2020" s="148"/>
      <c r="AC2020" s="148"/>
    </row>
    <row r="2021" spans="1:29" hidden="1">
      <c r="A2021" s="146"/>
      <c r="B2021" s="147"/>
      <c r="C2021" s="147"/>
      <c r="D2021" s="147"/>
      <c r="E2021" s="147"/>
      <c r="F2021" s="147"/>
      <c r="G2021" s="147"/>
      <c r="H2021" s="147"/>
      <c r="I2021" s="147"/>
      <c r="J2021" s="147"/>
      <c r="K2021" s="147"/>
      <c r="L2021" s="147"/>
      <c r="M2021" s="147"/>
      <c r="N2021" s="147"/>
      <c r="O2021" s="147"/>
      <c r="P2021" s="147"/>
      <c r="Q2021" s="147"/>
      <c r="R2021" s="148"/>
      <c r="S2021" s="148"/>
      <c r="T2021" s="148"/>
      <c r="U2021" s="148"/>
      <c r="V2021" s="148"/>
      <c r="W2021" s="148"/>
      <c r="X2021" s="148"/>
      <c r="Y2021" s="148"/>
      <c r="Z2021" s="148"/>
      <c r="AA2021" s="148"/>
      <c r="AB2021" s="148"/>
      <c r="AC2021" s="148"/>
    </row>
    <row r="2022" spans="1:29" hidden="1">
      <c r="A2022" s="146"/>
      <c r="B2022" s="147"/>
      <c r="C2022" s="147"/>
      <c r="D2022" s="147"/>
      <c r="E2022" s="147"/>
      <c r="F2022" s="147"/>
      <c r="G2022" s="147"/>
      <c r="H2022" s="147"/>
      <c r="I2022" s="147"/>
      <c r="J2022" s="147"/>
      <c r="K2022" s="147"/>
      <c r="L2022" s="147"/>
      <c r="M2022" s="147"/>
      <c r="N2022" s="147"/>
      <c r="O2022" s="147"/>
      <c r="P2022" s="147"/>
      <c r="Q2022" s="147"/>
      <c r="R2022" s="148"/>
      <c r="S2022" s="148"/>
      <c r="T2022" s="148"/>
      <c r="U2022" s="148"/>
      <c r="V2022" s="148"/>
      <c r="W2022" s="148"/>
      <c r="X2022" s="148"/>
      <c r="Y2022" s="148"/>
      <c r="Z2022" s="148"/>
      <c r="AA2022" s="148"/>
      <c r="AB2022" s="148"/>
      <c r="AC2022" s="148"/>
    </row>
    <row r="2023" spans="1:29" hidden="1">
      <c r="A2023" s="146"/>
      <c r="B2023" s="147"/>
      <c r="C2023" s="147"/>
      <c r="D2023" s="147"/>
      <c r="E2023" s="147"/>
      <c r="F2023" s="147"/>
      <c r="G2023" s="147"/>
      <c r="H2023" s="147"/>
      <c r="I2023" s="147"/>
      <c r="J2023" s="147"/>
      <c r="K2023" s="147"/>
      <c r="L2023" s="147"/>
      <c r="M2023" s="147"/>
      <c r="N2023" s="147"/>
      <c r="O2023" s="147"/>
      <c r="P2023" s="147"/>
      <c r="Q2023" s="147"/>
      <c r="R2023" s="148"/>
      <c r="S2023" s="148"/>
      <c r="T2023" s="148"/>
      <c r="U2023" s="148"/>
      <c r="V2023" s="148"/>
      <c r="W2023" s="148"/>
      <c r="X2023" s="148"/>
      <c r="Y2023" s="148"/>
      <c r="Z2023" s="148"/>
      <c r="AA2023" s="148"/>
      <c r="AB2023" s="148"/>
      <c r="AC2023" s="148"/>
    </row>
    <row r="2024" spans="1:29" hidden="1">
      <c r="A2024" s="146"/>
      <c r="B2024" s="147"/>
      <c r="C2024" s="147"/>
      <c r="D2024" s="147"/>
      <c r="E2024" s="147"/>
      <c r="F2024" s="147"/>
      <c r="G2024" s="147"/>
      <c r="H2024" s="147"/>
      <c r="I2024" s="147"/>
      <c r="J2024" s="147"/>
      <c r="K2024" s="147"/>
      <c r="L2024" s="147"/>
      <c r="M2024" s="147"/>
      <c r="N2024" s="147"/>
      <c r="O2024" s="147"/>
      <c r="P2024" s="147"/>
      <c r="Q2024" s="147"/>
      <c r="R2024" s="148"/>
      <c r="S2024" s="148"/>
      <c r="T2024" s="148"/>
      <c r="U2024" s="148"/>
      <c r="V2024" s="148"/>
      <c r="W2024" s="148"/>
      <c r="X2024" s="148"/>
      <c r="Y2024" s="148"/>
      <c r="Z2024" s="148"/>
      <c r="AA2024" s="148"/>
      <c r="AB2024" s="148"/>
      <c r="AC2024" s="148"/>
    </row>
    <row r="2025" spans="1:29" hidden="1">
      <c r="A2025" s="146"/>
      <c r="B2025" s="147"/>
      <c r="C2025" s="147"/>
      <c r="D2025" s="147"/>
      <c r="E2025" s="147"/>
      <c r="F2025" s="147"/>
      <c r="G2025" s="147"/>
      <c r="H2025" s="147"/>
      <c r="I2025" s="147"/>
      <c r="J2025" s="147"/>
      <c r="K2025" s="147"/>
      <c r="L2025" s="147"/>
      <c r="M2025" s="147"/>
      <c r="N2025" s="147"/>
      <c r="O2025" s="147"/>
      <c r="P2025" s="147"/>
      <c r="Q2025" s="147"/>
      <c r="R2025" s="148"/>
      <c r="S2025" s="148"/>
      <c r="T2025" s="148"/>
      <c r="U2025" s="148"/>
      <c r="V2025" s="148"/>
      <c r="W2025" s="148"/>
      <c r="X2025" s="148"/>
      <c r="Y2025" s="148"/>
      <c r="Z2025" s="148"/>
      <c r="AA2025" s="148"/>
      <c r="AB2025" s="148"/>
      <c r="AC2025" s="148"/>
    </row>
    <row r="2026" spans="1:29" hidden="1">
      <c r="A2026" s="146"/>
      <c r="B2026" s="147"/>
      <c r="C2026" s="147"/>
      <c r="D2026" s="147"/>
      <c r="E2026" s="147"/>
      <c r="F2026" s="147"/>
      <c r="G2026" s="147"/>
      <c r="H2026" s="147"/>
      <c r="I2026" s="147"/>
      <c r="J2026" s="147"/>
      <c r="K2026" s="147"/>
      <c r="L2026" s="147"/>
      <c r="M2026" s="147"/>
      <c r="N2026" s="147"/>
      <c r="O2026" s="147"/>
      <c r="P2026" s="147"/>
      <c r="Q2026" s="147"/>
      <c r="R2026" s="148"/>
      <c r="S2026" s="148"/>
      <c r="T2026" s="148"/>
      <c r="U2026" s="148"/>
      <c r="V2026" s="148"/>
      <c r="W2026" s="148"/>
      <c r="X2026" s="148"/>
      <c r="Y2026" s="148"/>
      <c r="Z2026" s="148"/>
      <c r="AA2026" s="148"/>
      <c r="AB2026" s="148"/>
      <c r="AC2026" s="148"/>
    </row>
    <row r="2027" spans="1:29" hidden="1">
      <c r="A2027" s="146"/>
      <c r="B2027" s="147"/>
      <c r="C2027" s="147"/>
      <c r="D2027" s="147"/>
      <c r="E2027" s="147"/>
      <c r="F2027" s="147"/>
      <c r="G2027" s="147"/>
      <c r="H2027" s="147"/>
      <c r="I2027" s="147"/>
      <c r="J2027" s="147"/>
      <c r="K2027" s="147"/>
      <c r="L2027" s="147"/>
      <c r="M2027" s="147"/>
      <c r="N2027" s="147"/>
      <c r="O2027" s="147"/>
      <c r="P2027" s="147"/>
      <c r="Q2027" s="147"/>
      <c r="R2027" s="148"/>
      <c r="S2027" s="148"/>
      <c r="T2027" s="148"/>
      <c r="U2027" s="148"/>
      <c r="V2027" s="148"/>
      <c r="W2027" s="148"/>
      <c r="X2027" s="148"/>
      <c r="Y2027" s="148"/>
      <c r="Z2027" s="148"/>
      <c r="AA2027" s="148"/>
      <c r="AB2027" s="148"/>
      <c r="AC2027" s="148"/>
    </row>
    <row r="2028" spans="1:29" hidden="1">
      <c r="A2028" s="146"/>
      <c r="B2028" s="147"/>
      <c r="C2028" s="147"/>
      <c r="D2028" s="147"/>
      <c r="E2028" s="147"/>
      <c r="F2028" s="147"/>
      <c r="G2028" s="147"/>
      <c r="H2028" s="147"/>
      <c r="I2028" s="147"/>
      <c r="J2028" s="147"/>
      <c r="K2028" s="147"/>
      <c r="L2028" s="147"/>
      <c r="M2028" s="147"/>
      <c r="N2028" s="147"/>
      <c r="O2028" s="147"/>
      <c r="P2028" s="147"/>
      <c r="Q2028" s="147"/>
      <c r="R2028" s="148"/>
      <c r="S2028" s="148"/>
      <c r="T2028" s="148"/>
      <c r="U2028" s="148"/>
      <c r="V2028" s="148"/>
      <c r="W2028" s="148"/>
      <c r="X2028" s="148"/>
      <c r="Y2028" s="148"/>
      <c r="Z2028" s="148"/>
      <c r="AA2028" s="148"/>
      <c r="AB2028" s="148"/>
      <c r="AC2028" s="148"/>
    </row>
    <row r="2029" spans="1:29" hidden="1">
      <c r="A2029" s="146"/>
      <c r="B2029" s="147"/>
      <c r="C2029" s="147"/>
      <c r="D2029" s="147"/>
      <c r="E2029" s="147"/>
      <c r="F2029" s="147"/>
      <c r="G2029" s="147"/>
      <c r="H2029" s="147"/>
      <c r="I2029" s="147"/>
      <c r="J2029" s="147"/>
      <c r="K2029" s="147"/>
      <c r="L2029" s="147"/>
      <c r="M2029" s="147"/>
      <c r="N2029" s="147"/>
      <c r="O2029" s="147"/>
      <c r="P2029" s="147"/>
      <c r="Q2029" s="147"/>
      <c r="R2029" s="148"/>
      <c r="S2029" s="148"/>
      <c r="T2029" s="148"/>
      <c r="U2029" s="148"/>
      <c r="V2029" s="148"/>
      <c r="W2029" s="148"/>
      <c r="X2029" s="148"/>
      <c r="Y2029" s="148"/>
      <c r="Z2029" s="148"/>
      <c r="AA2029" s="148"/>
      <c r="AB2029" s="148"/>
      <c r="AC2029" s="148"/>
    </row>
    <row r="2030" spans="1:29" hidden="1">
      <c r="A2030" s="146"/>
      <c r="B2030" s="147"/>
      <c r="C2030" s="147"/>
      <c r="D2030" s="147"/>
      <c r="E2030" s="147"/>
      <c r="F2030" s="147"/>
      <c r="G2030" s="147"/>
      <c r="H2030" s="147"/>
      <c r="I2030" s="147"/>
      <c r="J2030" s="147"/>
      <c r="K2030" s="147"/>
      <c r="L2030" s="147"/>
      <c r="M2030" s="147"/>
      <c r="N2030" s="147"/>
      <c r="O2030" s="147"/>
      <c r="P2030" s="147"/>
      <c r="Q2030" s="147"/>
      <c r="R2030" s="148"/>
      <c r="S2030" s="148"/>
      <c r="T2030" s="148"/>
      <c r="U2030" s="148"/>
      <c r="V2030" s="148"/>
      <c r="W2030" s="148"/>
      <c r="X2030" s="148"/>
      <c r="Y2030" s="148"/>
      <c r="Z2030" s="148"/>
      <c r="AA2030" s="148"/>
      <c r="AB2030" s="148"/>
      <c r="AC2030" s="148"/>
    </row>
    <row r="2031" spans="1:29" hidden="1">
      <c r="A2031" s="146"/>
      <c r="B2031" s="147"/>
      <c r="C2031" s="147"/>
      <c r="D2031" s="147"/>
      <c r="E2031" s="147"/>
      <c r="F2031" s="147"/>
      <c r="G2031" s="147"/>
      <c r="H2031" s="147"/>
      <c r="I2031" s="147"/>
      <c r="J2031" s="147"/>
      <c r="K2031" s="147"/>
      <c r="L2031" s="147"/>
      <c r="M2031" s="147"/>
      <c r="N2031" s="147"/>
      <c r="O2031" s="147"/>
      <c r="P2031" s="147"/>
      <c r="Q2031" s="147"/>
      <c r="R2031" s="148"/>
      <c r="S2031" s="148"/>
      <c r="T2031" s="148"/>
      <c r="U2031" s="148"/>
      <c r="V2031" s="148"/>
      <c r="W2031" s="148"/>
      <c r="X2031" s="148"/>
      <c r="Y2031" s="148"/>
      <c r="Z2031" s="148"/>
      <c r="AA2031" s="148"/>
      <c r="AB2031" s="148"/>
      <c r="AC2031" s="148"/>
    </row>
    <row r="2032" spans="1:29" hidden="1">
      <c r="A2032" s="146"/>
      <c r="B2032" s="147"/>
      <c r="C2032" s="147"/>
      <c r="D2032" s="147"/>
      <c r="E2032" s="147"/>
      <c r="F2032" s="147"/>
      <c r="G2032" s="147"/>
      <c r="H2032" s="147"/>
      <c r="I2032" s="147"/>
      <c r="J2032" s="147"/>
      <c r="K2032" s="147"/>
      <c r="L2032" s="147"/>
      <c r="M2032" s="147"/>
      <c r="N2032" s="147"/>
      <c r="O2032" s="147"/>
      <c r="P2032" s="147"/>
      <c r="Q2032" s="147"/>
      <c r="R2032" s="148"/>
      <c r="S2032" s="148"/>
      <c r="T2032" s="148"/>
      <c r="U2032" s="148"/>
      <c r="V2032" s="148"/>
      <c r="W2032" s="148"/>
      <c r="X2032" s="148"/>
      <c r="Y2032" s="148"/>
      <c r="Z2032" s="148"/>
      <c r="AA2032" s="148"/>
      <c r="AB2032" s="148"/>
      <c r="AC2032" s="148"/>
    </row>
    <row r="2033" spans="1:29" hidden="1">
      <c r="A2033" s="146"/>
      <c r="B2033" s="147"/>
      <c r="C2033" s="147"/>
      <c r="D2033" s="147"/>
      <c r="E2033" s="147"/>
      <c r="F2033" s="147"/>
      <c r="G2033" s="147"/>
      <c r="H2033" s="147"/>
      <c r="I2033" s="147"/>
      <c r="J2033" s="147"/>
      <c r="K2033" s="147"/>
      <c r="L2033" s="147"/>
      <c r="M2033" s="147"/>
      <c r="N2033" s="147"/>
      <c r="O2033" s="147"/>
      <c r="P2033" s="147"/>
      <c r="Q2033" s="147"/>
      <c r="R2033" s="148"/>
      <c r="S2033" s="148"/>
      <c r="T2033" s="148"/>
      <c r="U2033" s="148"/>
      <c r="V2033" s="148"/>
      <c r="W2033" s="148"/>
      <c r="X2033" s="148"/>
      <c r="Y2033" s="148"/>
      <c r="Z2033" s="148"/>
      <c r="AA2033" s="148"/>
      <c r="AB2033" s="148"/>
      <c r="AC2033" s="148"/>
    </row>
    <row r="2034" spans="1:29" hidden="1">
      <c r="A2034" s="146"/>
      <c r="B2034" s="147"/>
      <c r="C2034" s="147"/>
      <c r="D2034" s="147"/>
      <c r="E2034" s="147"/>
      <c r="F2034" s="147"/>
      <c r="G2034" s="147"/>
      <c r="H2034" s="147"/>
      <c r="I2034" s="147"/>
      <c r="J2034" s="147"/>
      <c r="K2034" s="147"/>
      <c r="L2034" s="147"/>
      <c r="M2034" s="147"/>
      <c r="N2034" s="147"/>
      <c r="O2034" s="147"/>
      <c r="P2034" s="147"/>
      <c r="Q2034" s="147"/>
      <c r="R2034" s="148"/>
      <c r="S2034" s="148"/>
      <c r="T2034" s="148"/>
      <c r="U2034" s="148"/>
      <c r="V2034" s="148"/>
      <c r="W2034" s="148"/>
      <c r="X2034" s="148"/>
      <c r="Y2034" s="148"/>
      <c r="Z2034" s="148"/>
      <c r="AA2034" s="148"/>
      <c r="AB2034" s="148"/>
      <c r="AC2034" s="148"/>
    </row>
    <row r="2035" spans="1:29" hidden="1">
      <c r="A2035" s="146"/>
      <c r="B2035" s="147"/>
      <c r="C2035" s="147"/>
      <c r="D2035" s="147"/>
      <c r="E2035" s="147"/>
      <c r="F2035" s="147"/>
      <c r="G2035" s="147"/>
      <c r="H2035" s="147"/>
      <c r="I2035" s="147"/>
      <c r="J2035" s="147"/>
      <c r="K2035" s="147"/>
      <c r="L2035" s="147"/>
      <c r="M2035" s="147"/>
      <c r="N2035" s="147"/>
      <c r="O2035" s="147"/>
      <c r="P2035" s="147"/>
      <c r="Q2035" s="147"/>
      <c r="R2035" s="148"/>
      <c r="S2035" s="148"/>
      <c r="T2035" s="148"/>
      <c r="U2035" s="148"/>
      <c r="V2035" s="148"/>
      <c r="W2035" s="148"/>
      <c r="X2035" s="148"/>
      <c r="Y2035" s="148"/>
      <c r="Z2035" s="148"/>
      <c r="AA2035" s="148"/>
      <c r="AB2035" s="148"/>
      <c r="AC2035" s="148"/>
    </row>
    <row r="2036" spans="1:29" hidden="1">
      <c r="A2036" s="146"/>
      <c r="B2036" s="147"/>
      <c r="C2036" s="147"/>
      <c r="D2036" s="147"/>
      <c r="E2036" s="147"/>
      <c r="F2036" s="147"/>
      <c r="G2036" s="147"/>
      <c r="H2036" s="147"/>
      <c r="I2036" s="147"/>
      <c r="J2036" s="147"/>
      <c r="K2036" s="147"/>
      <c r="L2036" s="147"/>
      <c r="M2036" s="147"/>
      <c r="N2036" s="147"/>
      <c r="O2036" s="147"/>
      <c r="P2036" s="147"/>
      <c r="Q2036" s="147"/>
      <c r="R2036" s="148"/>
      <c r="S2036" s="148"/>
      <c r="T2036" s="148"/>
      <c r="U2036" s="148"/>
      <c r="V2036" s="148"/>
      <c r="W2036" s="148"/>
      <c r="X2036" s="148"/>
      <c r="Y2036" s="148"/>
      <c r="Z2036" s="148"/>
      <c r="AA2036" s="148"/>
      <c r="AB2036" s="148"/>
      <c r="AC2036" s="148"/>
    </row>
    <row r="2037" spans="1:29" hidden="1">
      <c r="A2037" s="146"/>
      <c r="B2037" s="147"/>
      <c r="C2037" s="147"/>
      <c r="D2037" s="147"/>
      <c r="E2037" s="147"/>
      <c r="F2037" s="147"/>
      <c r="G2037" s="147"/>
      <c r="H2037" s="147"/>
      <c r="I2037" s="147"/>
      <c r="J2037" s="147"/>
      <c r="K2037" s="147"/>
      <c r="L2037" s="147"/>
      <c r="M2037" s="147"/>
      <c r="N2037" s="147"/>
      <c r="O2037" s="147"/>
      <c r="P2037" s="147"/>
      <c r="Q2037" s="147"/>
      <c r="R2037" s="148"/>
      <c r="S2037" s="148"/>
      <c r="T2037" s="148"/>
      <c r="U2037" s="148"/>
      <c r="V2037" s="148"/>
      <c r="W2037" s="148"/>
      <c r="X2037" s="148"/>
      <c r="Y2037" s="148"/>
      <c r="Z2037" s="148"/>
      <c r="AA2037" s="148"/>
      <c r="AB2037" s="148"/>
      <c r="AC2037" s="148"/>
    </row>
    <row r="2038" spans="1:29" hidden="1">
      <c r="A2038" s="146"/>
      <c r="B2038" s="147"/>
      <c r="C2038" s="147"/>
      <c r="D2038" s="147"/>
      <c r="E2038" s="147"/>
      <c r="F2038" s="147"/>
      <c r="G2038" s="147"/>
      <c r="H2038" s="147"/>
      <c r="I2038" s="147"/>
      <c r="J2038" s="147"/>
      <c r="K2038" s="147"/>
      <c r="L2038" s="147"/>
      <c r="M2038" s="147"/>
      <c r="N2038" s="147"/>
      <c r="O2038" s="147"/>
      <c r="P2038" s="147"/>
      <c r="Q2038" s="147"/>
      <c r="R2038" s="148"/>
      <c r="S2038" s="148"/>
      <c r="T2038" s="148"/>
      <c r="U2038" s="148"/>
      <c r="V2038" s="148"/>
      <c r="W2038" s="148"/>
      <c r="X2038" s="148"/>
      <c r="Y2038" s="148"/>
      <c r="Z2038" s="148"/>
      <c r="AA2038" s="148"/>
      <c r="AB2038" s="148"/>
      <c r="AC2038" s="148"/>
    </row>
    <row r="2039" spans="1:29" hidden="1">
      <c r="A2039" s="146"/>
      <c r="B2039" s="147"/>
      <c r="C2039" s="147"/>
      <c r="D2039" s="147"/>
      <c r="E2039" s="147"/>
      <c r="F2039" s="147"/>
      <c r="G2039" s="147"/>
      <c r="H2039" s="147"/>
      <c r="I2039" s="147"/>
      <c r="J2039" s="147"/>
      <c r="K2039" s="147"/>
      <c r="L2039" s="147"/>
      <c r="M2039" s="147"/>
      <c r="N2039" s="147"/>
      <c r="O2039" s="147"/>
      <c r="P2039" s="147"/>
      <c r="Q2039" s="147"/>
      <c r="R2039" s="148"/>
      <c r="S2039" s="148"/>
      <c r="T2039" s="148"/>
      <c r="U2039" s="148"/>
      <c r="V2039" s="148"/>
      <c r="W2039" s="148"/>
      <c r="X2039" s="148"/>
      <c r="Y2039" s="148"/>
      <c r="Z2039" s="148"/>
      <c r="AA2039" s="148"/>
      <c r="AB2039" s="148"/>
      <c r="AC2039" s="148"/>
    </row>
    <row r="2040" spans="1:29" hidden="1">
      <c r="A2040" s="146"/>
      <c r="B2040" s="147"/>
      <c r="C2040" s="147"/>
      <c r="D2040" s="147"/>
      <c r="E2040" s="147"/>
      <c r="F2040" s="147"/>
      <c r="G2040" s="147"/>
      <c r="H2040" s="147"/>
      <c r="I2040" s="147"/>
      <c r="J2040" s="147"/>
      <c r="K2040" s="147"/>
      <c r="L2040" s="147"/>
      <c r="M2040" s="147"/>
      <c r="N2040" s="147"/>
      <c r="O2040" s="147"/>
      <c r="P2040" s="147"/>
      <c r="Q2040" s="147"/>
      <c r="R2040" s="148"/>
      <c r="S2040" s="148"/>
      <c r="T2040" s="148"/>
      <c r="U2040" s="148"/>
      <c r="V2040" s="148"/>
      <c r="W2040" s="148"/>
      <c r="X2040" s="148"/>
      <c r="Y2040" s="148"/>
      <c r="Z2040" s="148"/>
      <c r="AA2040" s="148"/>
      <c r="AB2040" s="148"/>
      <c r="AC2040" s="148"/>
    </row>
    <row r="2041" spans="1:29" hidden="1">
      <c r="A2041" s="146"/>
      <c r="B2041" s="147"/>
      <c r="C2041" s="147"/>
      <c r="D2041" s="147"/>
      <c r="E2041" s="147"/>
      <c r="F2041" s="147"/>
      <c r="G2041" s="147"/>
      <c r="H2041" s="147"/>
      <c r="I2041" s="147"/>
      <c r="J2041" s="147"/>
      <c r="K2041" s="147"/>
      <c r="L2041" s="147"/>
      <c r="M2041" s="147"/>
      <c r="N2041" s="147"/>
      <c r="O2041" s="147"/>
      <c r="P2041" s="147"/>
      <c r="Q2041" s="147"/>
      <c r="R2041" s="148"/>
      <c r="S2041" s="148"/>
      <c r="T2041" s="148"/>
      <c r="U2041" s="148"/>
      <c r="V2041" s="148"/>
      <c r="W2041" s="148"/>
      <c r="X2041" s="148"/>
      <c r="Y2041" s="148"/>
      <c r="Z2041" s="148"/>
      <c r="AA2041" s="148"/>
      <c r="AB2041" s="148"/>
      <c r="AC2041" s="148"/>
    </row>
    <row r="2042" spans="1:29" hidden="1">
      <c r="A2042" s="146"/>
      <c r="B2042" s="147"/>
      <c r="C2042" s="147"/>
      <c r="D2042" s="147"/>
      <c r="E2042" s="147"/>
      <c r="F2042" s="147"/>
      <c r="G2042" s="147"/>
      <c r="H2042" s="147"/>
      <c r="I2042" s="147"/>
      <c r="J2042" s="147"/>
      <c r="K2042" s="147"/>
      <c r="L2042" s="147"/>
      <c r="M2042" s="147"/>
      <c r="N2042" s="147"/>
      <c r="O2042" s="147"/>
      <c r="P2042" s="147"/>
      <c r="Q2042" s="147"/>
      <c r="R2042" s="148"/>
      <c r="S2042" s="148"/>
      <c r="T2042" s="148"/>
      <c r="U2042" s="148"/>
      <c r="V2042" s="148"/>
      <c r="W2042" s="148"/>
      <c r="X2042" s="148"/>
      <c r="Y2042" s="148"/>
      <c r="Z2042" s="148"/>
      <c r="AA2042" s="148"/>
      <c r="AB2042" s="148"/>
      <c r="AC2042" s="148"/>
    </row>
    <row r="2043" spans="1:29" hidden="1">
      <c r="A2043" s="146"/>
      <c r="B2043" s="147"/>
      <c r="C2043" s="147"/>
      <c r="D2043" s="147"/>
      <c r="E2043" s="147"/>
      <c r="F2043" s="147"/>
      <c r="G2043" s="147"/>
      <c r="H2043" s="147"/>
      <c r="I2043" s="147"/>
      <c r="J2043" s="147"/>
      <c r="K2043" s="147"/>
      <c r="L2043" s="147"/>
      <c r="M2043" s="147"/>
      <c r="N2043" s="147"/>
      <c r="O2043" s="147"/>
      <c r="P2043" s="147"/>
      <c r="Q2043" s="147"/>
      <c r="R2043" s="148"/>
      <c r="S2043" s="148"/>
      <c r="T2043" s="148"/>
      <c r="U2043" s="148"/>
      <c r="V2043" s="148"/>
      <c r="W2043" s="148"/>
      <c r="X2043" s="148"/>
      <c r="Y2043" s="148"/>
      <c r="Z2043" s="148"/>
      <c r="AA2043" s="148"/>
      <c r="AB2043" s="148"/>
      <c r="AC2043" s="148"/>
    </row>
    <row r="2044" spans="1:29" hidden="1">
      <c r="A2044" s="146"/>
      <c r="B2044" s="147"/>
      <c r="C2044" s="147"/>
      <c r="D2044" s="147"/>
      <c r="E2044" s="147"/>
      <c r="F2044" s="147"/>
      <c r="G2044" s="147"/>
      <c r="H2044" s="147"/>
      <c r="I2044" s="147"/>
      <c r="J2044" s="147"/>
      <c r="K2044" s="147"/>
      <c r="L2044" s="147"/>
      <c r="M2044" s="147"/>
      <c r="N2044" s="147"/>
      <c r="O2044" s="147"/>
      <c r="P2044" s="147"/>
      <c r="Q2044" s="147"/>
      <c r="R2044" s="148"/>
      <c r="S2044" s="148"/>
      <c r="T2044" s="148"/>
      <c r="U2044" s="148"/>
      <c r="V2044" s="148"/>
      <c r="W2044" s="148"/>
      <c r="X2044" s="148"/>
      <c r="Y2044" s="148"/>
      <c r="Z2044" s="148"/>
      <c r="AA2044" s="148"/>
      <c r="AB2044" s="148"/>
      <c r="AC2044" s="148"/>
    </row>
    <row r="2045" spans="1:29" hidden="1">
      <c r="A2045" s="146"/>
      <c r="B2045" s="147"/>
      <c r="C2045" s="147"/>
      <c r="D2045" s="147"/>
      <c r="E2045" s="147"/>
      <c r="F2045" s="147"/>
      <c r="G2045" s="147"/>
      <c r="H2045" s="147"/>
      <c r="I2045" s="147"/>
      <c r="J2045" s="147"/>
      <c r="K2045" s="147"/>
      <c r="L2045" s="147"/>
      <c r="M2045" s="147"/>
      <c r="N2045" s="147"/>
      <c r="O2045" s="147"/>
      <c r="P2045" s="147"/>
      <c r="Q2045" s="147"/>
      <c r="R2045" s="148"/>
      <c r="S2045" s="148"/>
      <c r="T2045" s="148"/>
      <c r="U2045" s="148"/>
      <c r="V2045" s="148"/>
      <c r="W2045" s="148"/>
      <c r="X2045" s="148"/>
      <c r="Y2045" s="148"/>
      <c r="Z2045" s="148"/>
      <c r="AA2045" s="148"/>
      <c r="AB2045" s="148"/>
      <c r="AC2045" s="148"/>
    </row>
    <row r="2046" spans="1:29" hidden="1">
      <c r="A2046" s="146"/>
      <c r="B2046" s="147"/>
      <c r="C2046" s="147"/>
      <c r="D2046" s="147"/>
      <c r="E2046" s="147"/>
      <c r="F2046" s="147"/>
      <c r="G2046" s="147"/>
      <c r="H2046" s="147"/>
      <c r="I2046" s="147"/>
      <c r="J2046" s="147"/>
      <c r="K2046" s="147"/>
      <c r="L2046" s="147"/>
      <c r="M2046" s="147"/>
      <c r="N2046" s="147"/>
      <c r="O2046" s="147"/>
      <c r="P2046" s="147"/>
      <c r="Q2046" s="147"/>
      <c r="R2046" s="148"/>
      <c r="S2046" s="148"/>
      <c r="T2046" s="148"/>
      <c r="U2046" s="148"/>
      <c r="V2046" s="148"/>
      <c r="W2046" s="148"/>
      <c r="X2046" s="148"/>
      <c r="Y2046" s="148"/>
      <c r="Z2046" s="148"/>
      <c r="AA2046" s="148"/>
      <c r="AB2046" s="148"/>
      <c r="AC2046" s="148"/>
    </row>
    <row r="2047" spans="1:29" hidden="1">
      <c r="A2047" s="146"/>
      <c r="B2047" s="147"/>
      <c r="C2047" s="147"/>
      <c r="D2047" s="147"/>
      <c r="E2047" s="147"/>
      <c r="F2047" s="147"/>
      <c r="G2047" s="147"/>
      <c r="H2047" s="147"/>
      <c r="I2047" s="147"/>
      <c r="J2047" s="147"/>
      <c r="K2047" s="147"/>
      <c r="L2047" s="147"/>
      <c r="M2047" s="147"/>
      <c r="N2047" s="147"/>
      <c r="O2047" s="147"/>
      <c r="P2047" s="147"/>
      <c r="Q2047" s="147"/>
      <c r="R2047" s="148"/>
      <c r="S2047" s="148"/>
      <c r="T2047" s="148"/>
      <c r="U2047" s="148"/>
      <c r="V2047" s="148"/>
      <c r="W2047" s="148"/>
      <c r="X2047" s="148"/>
      <c r="Y2047" s="148"/>
      <c r="Z2047" s="148"/>
      <c r="AA2047" s="148"/>
      <c r="AB2047" s="148"/>
      <c r="AC2047" s="148"/>
    </row>
    <row r="2048" spans="1:29" hidden="1">
      <c r="A2048" s="146"/>
      <c r="B2048" s="147"/>
      <c r="C2048" s="147"/>
      <c r="D2048" s="147"/>
      <c r="E2048" s="147"/>
      <c r="F2048" s="147"/>
      <c r="G2048" s="147"/>
      <c r="H2048" s="147"/>
      <c r="I2048" s="147"/>
      <c r="J2048" s="147"/>
      <c r="K2048" s="147"/>
      <c r="L2048" s="147"/>
      <c r="M2048" s="147"/>
      <c r="N2048" s="147"/>
      <c r="O2048" s="147"/>
      <c r="P2048" s="147"/>
      <c r="Q2048" s="147"/>
      <c r="R2048" s="148"/>
      <c r="S2048" s="148"/>
      <c r="T2048" s="148"/>
      <c r="U2048" s="148"/>
      <c r="V2048" s="148"/>
      <c r="W2048" s="148"/>
      <c r="X2048" s="148"/>
      <c r="Y2048" s="148"/>
      <c r="Z2048" s="148"/>
      <c r="AA2048" s="148"/>
      <c r="AB2048" s="148"/>
      <c r="AC2048" s="148"/>
    </row>
    <row r="2049" spans="1:29" hidden="1">
      <c r="A2049" s="146"/>
      <c r="B2049" s="147"/>
      <c r="C2049" s="147"/>
      <c r="D2049" s="147"/>
      <c r="E2049" s="147"/>
      <c r="F2049" s="147"/>
      <c r="G2049" s="147"/>
      <c r="H2049" s="147"/>
      <c r="I2049" s="147"/>
      <c r="J2049" s="147"/>
      <c r="K2049" s="147"/>
      <c r="L2049" s="147"/>
      <c r="M2049" s="147"/>
      <c r="N2049" s="147"/>
      <c r="O2049" s="147"/>
      <c r="P2049" s="147"/>
      <c r="Q2049" s="147"/>
      <c r="R2049" s="148"/>
      <c r="S2049" s="148"/>
      <c r="T2049" s="148"/>
      <c r="U2049" s="148"/>
      <c r="V2049" s="148"/>
      <c r="W2049" s="148"/>
      <c r="X2049" s="148"/>
      <c r="Y2049" s="148"/>
      <c r="Z2049" s="148"/>
      <c r="AA2049" s="148"/>
      <c r="AB2049" s="148"/>
      <c r="AC2049" s="148"/>
    </row>
    <row r="2050" spans="1:29" hidden="1">
      <c r="A2050" s="146"/>
      <c r="B2050" s="147"/>
      <c r="C2050" s="147"/>
      <c r="D2050" s="147"/>
      <c r="E2050" s="147"/>
      <c r="F2050" s="147"/>
      <c r="G2050" s="147"/>
      <c r="H2050" s="147"/>
      <c r="I2050" s="147"/>
      <c r="J2050" s="147"/>
      <c r="K2050" s="147"/>
      <c r="L2050" s="147"/>
      <c r="M2050" s="147"/>
      <c r="N2050" s="147"/>
      <c r="O2050" s="147"/>
      <c r="P2050" s="147"/>
      <c r="Q2050" s="147"/>
      <c r="R2050" s="148"/>
      <c r="S2050" s="148"/>
      <c r="T2050" s="148"/>
      <c r="U2050" s="148"/>
      <c r="V2050" s="148"/>
      <c r="W2050" s="148"/>
      <c r="X2050" s="148"/>
      <c r="Y2050" s="148"/>
      <c r="Z2050" s="148"/>
      <c r="AA2050" s="148"/>
      <c r="AB2050" s="148"/>
      <c r="AC2050" s="148"/>
    </row>
    <row r="2051" spans="1:29" hidden="1">
      <c r="A2051" s="146"/>
      <c r="B2051" s="147"/>
      <c r="C2051" s="147"/>
      <c r="D2051" s="147"/>
      <c r="E2051" s="147"/>
      <c r="F2051" s="147"/>
      <c r="G2051" s="147"/>
      <c r="H2051" s="147"/>
      <c r="I2051" s="147"/>
      <c r="J2051" s="147"/>
      <c r="K2051" s="147"/>
      <c r="L2051" s="147"/>
      <c r="M2051" s="147"/>
      <c r="N2051" s="147"/>
      <c r="O2051" s="147"/>
      <c r="P2051" s="147"/>
      <c r="Q2051" s="147"/>
      <c r="R2051" s="148"/>
      <c r="S2051" s="148"/>
      <c r="T2051" s="148"/>
      <c r="U2051" s="148"/>
      <c r="V2051" s="148"/>
      <c r="W2051" s="148"/>
      <c r="X2051" s="148"/>
      <c r="Y2051" s="148"/>
      <c r="Z2051" s="148"/>
      <c r="AA2051" s="148"/>
      <c r="AB2051" s="148"/>
      <c r="AC2051" s="148"/>
    </row>
    <row r="2052" spans="1:29" hidden="1">
      <c r="A2052" s="146"/>
      <c r="B2052" s="147"/>
      <c r="C2052" s="147"/>
      <c r="D2052" s="147"/>
      <c r="E2052" s="147"/>
      <c r="F2052" s="147"/>
      <c r="G2052" s="147"/>
      <c r="H2052" s="147"/>
      <c r="I2052" s="147"/>
      <c r="J2052" s="147"/>
      <c r="K2052" s="147"/>
      <c r="L2052" s="147"/>
      <c r="M2052" s="147"/>
      <c r="N2052" s="147"/>
      <c r="O2052" s="147"/>
      <c r="P2052" s="147"/>
      <c r="Q2052" s="147"/>
      <c r="R2052" s="148"/>
      <c r="S2052" s="148"/>
      <c r="T2052" s="148"/>
      <c r="U2052" s="148"/>
      <c r="V2052" s="148"/>
      <c r="W2052" s="148"/>
      <c r="X2052" s="148"/>
      <c r="Y2052" s="148"/>
      <c r="Z2052" s="148"/>
      <c r="AA2052" s="148"/>
      <c r="AB2052" s="148"/>
      <c r="AC2052" s="148"/>
    </row>
    <row r="2053" spans="1:29" hidden="1">
      <c r="A2053" s="146"/>
      <c r="B2053" s="147"/>
      <c r="C2053" s="147"/>
      <c r="D2053" s="147"/>
      <c r="E2053" s="147"/>
      <c r="F2053" s="147"/>
      <c r="G2053" s="147"/>
      <c r="H2053" s="147"/>
      <c r="I2053" s="147"/>
      <c r="J2053" s="147"/>
      <c r="K2053" s="147"/>
      <c r="L2053" s="147"/>
      <c r="M2053" s="147"/>
      <c r="N2053" s="147"/>
      <c r="O2053" s="147"/>
      <c r="P2053" s="147"/>
      <c r="Q2053" s="147"/>
      <c r="R2053" s="148"/>
      <c r="S2053" s="148"/>
      <c r="T2053" s="148"/>
      <c r="U2053" s="148"/>
      <c r="V2053" s="148"/>
      <c r="W2053" s="148"/>
      <c r="X2053" s="148"/>
      <c r="Y2053" s="148"/>
      <c r="Z2053" s="148"/>
      <c r="AA2053" s="148"/>
      <c r="AB2053" s="148"/>
      <c r="AC2053" s="148"/>
    </row>
    <row r="2054" spans="1:29" hidden="1">
      <c r="A2054" s="146"/>
      <c r="B2054" s="147"/>
      <c r="C2054" s="147"/>
      <c r="D2054" s="147"/>
      <c r="E2054" s="147"/>
      <c r="F2054" s="147"/>
      <c r="G2054" s="147"/>
      <c r="H2054" s="147"/>
      <c r="I2054" s="147"/>
      <c r="J2054" s="147"/>
      <c r="K2054" s="147"/>
      <c r="L2054" s="147"/>
      <c r="M2054" s="147"/>
      <c r="N2054" s="147"/>
      <c r="O2054" s="147"/>
      <c r="P2054" s="147"/>
      <c r="Q2054" s="147"/>
      <c r="R2054" s="148"/>
      <c r="S2054" s="148"/>
      <c r="T2054" s="148"/>
      <c r="U2054" s="148"/>
      <c r="V2054" s="148"/>
      <c r="W2054" s="148"/>
      <c r="X2054" s="148"/>
      <c r="Y2054" s="148"/>
      <c r="Z2054" s="148"/>
      <c r="AA2054" s="148"/>
      <c r="AB2054" s="148"/>
      <c r="AC2054" s="148"/>
    </row>
    <row r="2055" spans="1:29" hidden="1">
      <c r="A2055" s="146"/>
      <c r="B2055" s="147"/>
      <c r="C2055" s="147"/>
      <c r="D2055" s="147"/>
      <c r="E2055" s="147"/>
      <c r="F2055" s="147"/>
      <c r="G2055" s="147"/>
      <c r="H2055" s="147"/>
      <c r="I2055" s="147"/>
      <c r="J2055" s="147"/>
      <c r="K2055" s="147"/>
      <c r="L2055" s="147"/>
      <c r="M2055" s="147"/>
      <c r="N2055" s="147"/>
      <c r="O2055" s="147"/>
      <c r="P2055" s="147"/>
      <c r="Q2055" s="147"/>
      <c r="R2055" s="148"/>
      <c r="S2055" s="148"/>
      <c r="T2055" s="148"/>
      <c r="U2055" s="148"/>
      <c r="V2055" s="148"/>
      <c r="W2055" s="148"/>
      <c r="X2055" s="148"/>
      <c r="Y2055" s="148"/>
      <c r="Z2055" s="148"/>
      <c r="AA2055" s="148"/>
      <c r="AB2055" s="148"/>
      <c r="AC2055" s="148"/>
    </row>
    <row r="2056" spans="1:29" hidden="1">
      <c r="A2056" s="146"/>
      <c r="B2056" s="147"/>
      <c r="C2056" s="147"/>
      <c r="D2056" s="147"/>
      <c r="E2056" s="147"/>
      <c r="F2056" s="147"/>
      <c r="G2056" s="147"/>
      <c r="H2056" s="147"/>
      <c r="I2056" s="147"/>
      <c r="J2056" s="147"/>
      <c r="K2056" s="147"/>
      <c r="L2056" s="147"/>
      <c r="M2056" s="147"/>
      <c r="N2056" s="147"/>
      <c r="O2056" s="147"/>
      <c r="P2056" s="147"/>
      <c r="Q2056" s="147"/>
      <c r="R2056" s="148"/>
      <c r="S2056" s="148"/>
      <c r="T2056" s="148"/>
      <c r="U2056" s="148"/>
      <c r="V2056" s="148"/>
      <c r="W2056" s="148"/>
      <c r="X2056" s="148"/>
      <c r="Y2056" s="148"/>
      <c r="Z2056" s="148"/>
      <c r="AA2056" s="148"/>
      <c r="AB2056" s="148"/>
      <c r="AC2056" s="148"/>
    </row>
    <row r="2057" spans="1:29" hidden="1">
      <c r="A2057" s="146"/>
      <c r="B2057" s="147"/>
      <c r="C2057" s="147"/>
      <c r="D2057" s="147"/>
      <c r="E2057" s="147"/>
      <c r="F2057" s="147"/>
      <c r="G2057" s="147"/>
      <c r="H2057" s="147"/>
      <c r="I2057" s="147"/>
      <c r="J2057" s="147"/>
      <c r="K2057" s="147"/>
      <c r="L2057" s="147"/>
      <c r="M2057" s="147"/>
      <c r="N2057" s="147"/>
      <c r="O2057" s="147"/>
      <c r="P2057" s="147"/>
      <c r="Q2057" s="147"/>
      <c r="R2057" s="148"/>
      <c r="S2057" s="148"/>
      <c r="T2057" s="148"/>
      <c r="U2057" s="148"/>
      <c r="V2057" s="148"/>
      <c r="W2057" s="148"/>
      <c r="X2057" s="148"/>
      <c r="Y2057" s="148"/>
      <c r="Z2057" s="148"/>
      <c r="AA2057" s="148"/>
      <c r="AB2057" s="148"/>
      <c r="AC2057" s="148"/>
    </row>
    <row r="2058" spans="1:29" hidden="1">
      <c r="A2058" s="146"/>
      <c r="B2058" s="147"/>
      <c r="C2058" s="147"/>
      <c r="D2058" s="147"/>
      <c r="E2058" s="147"/>
      <c r="F2058" s="147"/>
      <c r="G2058" s="147"/>
      <c r="H2058" s="147"/>
      <c r="I2058" s="147"/>
      <c r="J2058" s="147"/>
      <c r="K2058" s="147"/>
      <c r="L2058" s="147"/>
      <c r="M2058" s="147"/>
      <c r="N2058" s="147"/>
      <c r="O2058" s="147"/>
      <c r="P2058" s="147"/>
      <c r="Q2058" s="147"/>
      <c r="R2058" s="148"/>
      <c r="S2058" s="148"/>
      <c r="T2058" s="148"/>
      <c r="U2058" s="148"/>
      <c r="V2058" s="148"/>
      <c r="W2058" s="148"/>
      <c r="X2058" s="148"/>
      <c r="Y2058" s="148"/>
      <c r="Z2058" s="148"/>
      <c r="AA2058" s="148"/>
      <c r="AB2058" s="148"/>
      <c r="AC2058" s="148"/>
    </row>
    <row r="2059" spans="1:29" hidden="1">
      <c r="A2059" s="146"/>
      <c r="B2059" s="147"/>
      <c r="C2059" s="147"/>
      <c r="D2059" s="147"/>
      <c r="E2059" s="147"/>
      <c r="F2059" s="147"/>
      <c r="G2059" s="147"/>
      <c r="H2059" s="147"/>
      <c r="I2059" s="147"/>
      <c r="J2059" s="147"/>
      <c r="K2059" s="147"/>
      <c r="L2059" s="147"/>
      <c r="M2059" s="147"/>
      <c r="N2059" s="147"/>
      <c r="O2059" s="147"/>
      <c r="P2059" s="147"/>
      <c r="Q2059" s="147"/>
      <c r="R2059" s="148"/>
      <c r="S2059" s="148"/>
      <c r="T2059" s="148"/>
      <c r="U2059" s="148"/>
      <c r="V2059" s="148"/>
      <c r="W2059" s="148"/>
      <c r="X2059" s="148"/>
      <c r="Y2059" s="148"/>
      <c r="Z2059" s="148"/>
      <c r="AA2059" s="148"/>
      <c r="AB2059" s="148"/>
      <c r="AC2059" s="148"/>
    </row>
    <row r="2060" spans="1:29" hidden="1">
      <c r="A2060" s="146"/>
      <c r="B2060" s="147"/>
      <c r="C2060" s="147"/>
      <c r="D2060" s="147"/>
      <c r="E2060" s="147"/>
      <c r="F2060" s="147"/>
      <c r="G2060" s="147"/>
      <c r="H2060" s="147"/>
      <c r="I2060" s="147"/>
      <c r="J2060" s="147"/>
      <c r="K2060" s="147"/>
      <c r="L2060" s="147"/>
      <c r="M2060" s="147"/>
      <c r="N2060" s="147"/>
      <c r="O2060" s="147"/>
      <c r="P2060" s="147"/>
      <c r="Q2060" s="147"/>
      <c r="R2060" s="148"/>
      <c r="S2060" s="148"/>
      <c r="T2060" s="148"/>
      <c r="U2060" s="148"/>
      <c r="V2060" s="148"/>
      <c r="W2060" s="148"/>
      <c r="X2060" s="148"/>
      <c r="Y2060" s="148"/>
      <c r="Z2060" s="148"/>
      <c r="AA2060" s="148"/>
      <c r="AB2060" s="148"/>
      <c r="AC2060" s="148"/>
    </row>
    <row r="2061" spans="1:29" hidden="1">
      <c r="A2061" s="146"/>
      <c r="B2061" s="147"/>
      <c r="C2061" s="147"/>
      <c r="D2061" s="147"/>
      <c r="E2061" s="147"/>
      <c r="F2061" s="147"/>
      <c r="G2061" s="147"/>
      <c r="H2061" s="147"/>
      <c r="I2061" s="147"/>
      <c r="J2061" s="147"/>
      <c r="K2061" s="147"/>
      <c r="L2061" s="147"/>
      <c r="M2061" s="147"/>
      <c r="N2061" s="147"/>
      <c r="O2061" s="147"/>
      <c r="P2061" s="147"/>
      <c r="Q2061" s="147"/>
      <c r="R2061" s="148"/>
      <c r="S2061" s="148"/>
      <c r="T2061" s="148"/>
      <c r="U2061" s="148"/>
      <c r="V2061" s="148"/>
      <c r="W2061" s="148"/>
      <c r="X2061" s="148"/>
      <c r="Y2061" s="148"/>
      <c r="Z2061" s="148"/>
      <c r="AA2061" s="148"/>
      <c r="AB2061" s="148"/>
      <c r="AC2061" s="148"/>
    </row>
    <row r="2062" spans="1:29" hidden="1">
      <c r="A2062" s="146"/>
      <c r="B2062" s="147"/>
      <c r="C2062" s="147"/>
      <c r="D2062" s="147"/>
      <c r="E2062" s="147"/>
      <c r="F2062" s="147"/>
      <c r="G2062" s="147"/>
      <c r="H2062" s="147"/>
      <c r="I2062" s="147"/>
      <c r="J2062" s="147"/>
      <c r="K2062" s="147"/>
      <c r="L2062" s="147"/>
      <c r="M2062" s="147"/>
      <c r="N2062" s="147"/>
      <c r="O2062" s="147"/>
      <c r="P2062" s="147"/>
      <c r="Q2062" s="147"/>
      <c r="R2062" s="148"/>
      <c r="S2062" s="148"/>
      <c r="T2062" s="148"/>
      <c r="U2062" s="148"/>
      <c r="V2062" s="148"/>
      <c r="W2062" s="148"/>
      <c r="X2062" s="148"/>
      <c r="Y2062" s="148"/>
      <c r="Z2062" s="148"/>
      <c r="AA2062" s="148"/>
      <c r="AB2062" s="148"/>
      <c r="AC2062" s="148"/>
    </row>
    <row r="2063" spans="1:29" hidden="1">
      <c r="A2063" s="146"/>
      <c r="B2063" s="147"/>
      <c r="C2063" s="147"/>
      <c r="D2063" s="147"/>
      <c r="E2063" s="147"/>
      <c r="F2063" s="147"/>
      <c r="G2063" s="147"/>
      <c r="H2063" s="147"/>
      <c r="I2063" s="147"/>
      <c r="J2063" s="147"/>
      <c r="K2063" s="147"/>
      <c r="L2063" s="147"/>
      <c r="M2063" s="147"/>
      <c r="N2063" s="147"/>
      <c r="O2063" s="147"/>
      <c r="P2063" s="147"/>
      <c r="Q2063" s="147"/>
      <c r="R2063" s="148"/>
      <c r="S2063" s="148"/>
      <c r="T2063" s="148"/>
      <c r="U2063" s="148"/>
      <c r="V2063" s="148"/>
      <c r="W2063" s="148"/>
      <c r="X2063" s="148"/>
      <c r="Y2063" s="148"/>
      <c r="Z2063" s="148"/>
      <c r="AA2063" s="148"/>
      <c r="AB2063" s="148"/>
      <c r="AC2063" s="148"/>
    </row>
    <row r="2064" spans="1:29" hidden="1">
      <c r="A2064" s="146"/>
      <c r="B2064" s="147"/>
      <c r="C2064" s="147"/>
      <c r="D2064" s="147"/>
      <c r="E2064" s="147"/>
      <c r="F2064" s="147"/>
      <c r="G2064" s="147"/>
      <c r="H2064" s="147"/>
      <c r="I2064" s="147"/>
      <c r="J2064" s="147"/>
      <c r="K2064" s="147"/>
      <c r="L2064" s="147"/>
      <c r="M2064" s="147"/>
      <c r="N2064" s="147"/>
      <c r="O2064" s="147"/>
      <c r="P2064" s="147"/>
      <c r="Q2064" s="147"/>
      <c r="R2064" s="148"/>
      <c r="S2064" s="148"/>
      <c r="T2064" s="148"/>
      <c r="U2064" s="148"/>
      <c r="V2064" s="148"/>
      <c r="W2064" s="148"/>
      <c r="X2064" s="148"/>
      <c r="Y2064" s="148"/>
      <c r="Z2064" s="148"/>
      <c r="AA2064" s="148"/>
      <c r="AB2064" s="148"/>
      <c r="AC2064" s="148"/>
    </row>
    <row r="2065" spans="1:29" hidden="1">
      <c r="A2065" s="146"/>
      <c r="B2065" s="147"/>
      <c r="C2065" s="147"/>
      <c r="D2065" s="147"/>
      <c r="E2065" s="147"/>
      <c r="F2065" s="147"/>
      <c r="G2065" s="147"/>
      <c r="H2065" s="147"/>
      <c r="I2065" s="147"/>
      <c r="J2065" s="147"/>
      <c r="K2065" s="147"/>
      <c r="L2065" s="147"/>
      <c r="M2065" s="147"/>
      <c r="N2065" s="147"/>
      <c r="O2065" s="147"/>
      <c r="P2065" s="147"/>
      <c r="Q2065" s="147"/>
      <c r="R2065" s="148"/>
      <c r="S2065" s="148"/>
      <c r="T2065" s="148"/>
      <c r="U2065" s="148"/>
      <c r="V2065" s="148"/>
      <c r="W2065" s="148"/>
      <c r="X2065" s="148"/>
      <c r="Y2065" s="148"/>
      <c r="Z2065" s="148"/>
      <c r="AA2065" s="148"/>
      <c r="AB2065" s="148"/>
      <c r="AC2065" s="148"/>
    </row>
    <row r="2066" spans="1:29" hidden="1">
      <c r="A2066" s="146"/>
      <c r="B2066" s="147"/>
      <c r="C2066" s="147"/>
      <c r="D2066" s="147"/>
      <c r="E2066" s="147"/>
      <c r="F2066" s="147"/>
      <c r="G2066" s="147"/>
      <c r="H2066" s="147"/>
      <c r="I2066" s="147"/>
      <c r="J2066" s="147"/>
      <c r="K2066" s="147"/>
      <c r="L2066" s="147"/>
      <c r="M2066" s="147"/>
      <c r="N2066" s="147"/>
      <c r="O2066" s="147"/>
      <c r="P2066" s="147"/>
      <c r="Q2066" s="147"/>
      <c r="R2066" s="148"/>
      <c r="S2066" s="148"/>
      <c r="T2066" s="148"/>
      <c r="U2066" s="148"/>
      <c r="V2066" s="148"/>
      <c r="W2066" s="148"/>
      <c r="X2066" s="148"/>
      <c r="Y2066" s="148"/>
      <c r="Z2066" s="148"/>
      <c r="AA2066" s="148"/>
      <c r="AB2066" s="148"/>
      <c r="AC2066" s="148"/>
    </row>
    <row r="2067" spans="1:29" hidden="1">
      <c r="A2067" s="146"/>
      <c r="B2067" s="147"/>
      <c r="C2067" s="147"/>
      <c r="D2067" s="147"/>
      <c r="E2067" s="147"/>
      <c r="F2067" s="147"/>
      <c r="G2067" s="147"/>
      <c r="H2067" s="147"/>
      <c r="I2067" s="147"/>
      <c r="J2067" s="147"/>
      <c r="K2067" s="147"/>
      <c r="L2067" s="147"/>
      <c r="M2067" s="147"/>
      <c r="N2067" s="147"/>
      <c r="O2067" s="147"/>
      <c r="P2067" s="147"/>
      <c r="Q2067" s="147"/>
      <c r="R2067" s="148"/>
      <c r="S2067" s="148"/>
      <c r="T2067" s="148"/>
      <c r="U2067" s="148"/>
      <c r="V2067" s="148"/>
      <c r="W2067" s="148"/>
      <c r="X2067" s="148"/>
      <c r="Y2067" s="148"/>
      <c r="Z2067" s="148"/>
      <c r="AA2067" s="148"/>
      <c r="AB2067" s="148"/>
      <c r="AC2067" s="148"/>
    </row>
    <row r="2068" spans="1:29" hidden="1">
      <c r="A2068" s="146"/>
      <c r="B2068" s="147"/>
      <c r="C2068" s="147"/>
      <c r="D2068" s="147"/>
      <c r="E2068" s="147"/>
      <c r="F2068" s="147"/>
      <c r="G2068" s="147"/>
      <c r="H2068" s="147"/>
      <c r="I2068" s="147"/>
      <c r="J2068" s="147"/>
      <c r="K2068" s="147"/>
      <c r="L2068" s="147"/>
      <c r="M2068" s="147"/>
      <c r="N2068" s="147"/>
      <c r="O2068" s="147"/>
      <c r="P2068" s="147"/>
      <c r="Q2068" s="147"/>
      <c r="R2068" s="148"/>
      <c r="S2068" s="148"/>
      <c r="T2068" s="148"/>
      <c r="U2068" s="148"/>
      <c r="V2068" s="148"/>
      <c r="W2068" s="148"/>
      <c r="X2068" s="148"/>
      <c r="Y2068" s="148"/>
      <c r="Z2068" s="148"/>
      <c r="AA2068" s="148"/>
      <c r="AB2068" s="148"/>
      <c r="AC2068" s="148"/>
    </row>
    <row r="2069" spans="1:29" hidden="1">
      <c r="A2069" s="146"/>
      <c r="B2069" s="147"/>
      <c r="C2069" s="147"/>
      <c r="D2069" s="147"/>
      <c r="E2069" s="147"/>
      <c r="F2069" s="147"/>
      <c r="G2069" s="147"/>
      <c r="H2069" s="147"/>
      <c r="I2069" s="147"/>
      <c r="J2069" s="147"/>
      <c r="K2069" s="147"/>
      <c r="L2069" s="147"/>
      <c r="M2069" s="147"/>
      <c r="N2069" s="147"/>
      <c r="O2069" s="147"/>
      <c r="P2069" s="147"/>
      <c r="Q2069" s="147"/>
      <c r="R2069" s="148"/>
      <c r="S2069" s="148"/>
      <c r="T2069" s="148"/>
      <c r="U2069" s="148"/>
      <c r="V2069" s="148"/>
      <c r="W2069" s="148"/>
      <c r="X2069" s="148"/>
      <c r="Y2069" s="148"/>
      <c r="Z2069" s="148"/>
      <c r="AA2069" s="148"/>
      <c r="AB2069" s="148"/>
      <c r="AC2069" s="148"/>
    </row>
    <row r="2070" spans="1:29" hidden="1">
      <c r="A2070" s="146"/>
      <c r="B2070" s="147"/>
      <c r="C2070" s="147"/>
      <c r="D2070" s="147"/>
      <c r="E2070" s="147"/>
      <c r="F2070" s="147"/>
      <c r="G2070" s="147"/>
      <c r="H2070" s="147"/>
      <c r="I2070" s="147"/>
      <c r="J2070" s="147"/>
      <c r="K2070" s="147"/>
      <c r="L2070" s="147"/>
      <c r="M2070" s="147"/>
      <c r="N2070" s="147"/>
      <c r="O2070" s="147"/>
      <c r="P2070" s="147"/>
      <c r="Q2070" s="147"/>
      <c r="R2070" s="148"/>
      <c r="S2070" s="148"/>
      <c r="T2070" s="148"/>
      <c r="U2070" s="148"/>
      <c r="V2070" s="148"/>
      <c r="W2070" s="148"/>
      <c r="X2070" s="148"/>
      <c r="Y2070" s="148"/>
      <c r="Z2070" s="148"/>
      <c r="AA2070" s="148"/>
      <c r="AB2070" s="148"/>
      <c r="AC2070" s="148"/>
    </row>
    <row r="2071" spans="1:29" hidden="1">
      <c r="A2071" s="146"/>
      <c r="B2071" s="147"/>
      <c r="C2071" s="147"/>
      <c r="D2071" s="147"/>
      <c r="E2071" s="147"/>
      <c r="F2071" s="147"/>
      <c r="G2071" s="147"/>
      <c r="H2071" s="147"/>
      <c r="I2071" s="147"/>
      <c r="J2071" s="147"/>
      <c r="K2071" s="147"/>
      <c r="L2071" s="147"/>
      <c r="M2071" s="147"/>
      <c r="N2071" s="147"/>
      <c r="O2071" s="147"/>
      <c r="P2071" s="147"/>
      <c r="Q2071" s="147"/>
      <c r="R2071" s="148"/>
      <c r="S2071" s="148"/>
      <c r="T2071" s="148"/>
      <c r="U2071" s="148"/>
      <c r="V2071" s="148"/>
      <c r="W2071" s="148"/>
      <c r="X2071" s="148"/>
      <c r="Y2071" s="148"/>
      <c r="Z2071" s="148"/>
      <c r="AA2071" s="148"/>
      <c r="AB2071" s="148"/>
      <c r="AC2071" s="148"/>
    </row>
    <row r="2072" spans="1:29" hidden="1">
      <c r="A2072" s="146"/>
      <c r="B2072" s="147"/>
      <c r="C2072" s="147"/>
      <c r="D2072" s="147"/>
      <c r="E2072" s="147"/>
      <c r="F2072" s="147"/>
      <c r="G2072" s="147"/>
      <c r="H2072" s="147"/>
      <c r="I2072" s="147"/>
      <c r="J2072" s="147"/>
      <c r="K2072" s="147"/>
      <c r="L2072" s="147"/>
      <c r="M2072" s="147"/>
      <c r="N2072" s="147"/>
      <c r="O2072" s="147"/>
      <c r="P2072" s="147"/>
      <c r="Q2072" s="147"/>
      <c r="R2072" s="148"/>
      <c r="S2072" s="148"/>
      <c r="T2072" s="148"/>
      <c r="U2072" s="148"/>
      <c r="V2072" s="148"/>
      <c r="W2072" s="148"/>
      <c r="X2072" s="148"/>
      <c r="Y2072" s="148"/>
      <c r="Z2072" s="148"/>
      <c r="AA2072" s="148"/>
      <c r="AB2072" s="148"/>
      <c r="AC2072" s="148"/>
    </row>
    <row r="2073" spans="1:29" hidden="1">
      <c r="A2073" s="146"/>
      <c r="B2073" s="147"/>
      <c r="C2073" s="147"/>
      <c r="D2073" s="147"/>
      <c r="E2073" s="147"/>
      <c r="F2073" s="147"/>
      <c r="G2073" s="147"/>
      <c r="H2073" s="147"/>
      <c r="I2073" s="147"/>
      <c r="J2073" s="147"/>
      <c r="K2073" s="147"/>
      <c r="L2073" s="147"/>
      <c r="M2073" s="147"/>
      <c r="N2073" s="147"/>
      <c r="O2073" s="147"/>
      <c r="P2073" s="147"/>
      <c r="Q2073" s="147"/>
      <c r="R2073" s="148"/>
      <c r="S2073" s="148"/>
      <c r="T2073" s="148"/>
      <c r="U2073" s="148"/>
      <c r="V2073" s="148"/>
      <c r="W2073" s="148"/>
      <c r="X2073" s="148"/>
      <c r="Y2073" s="148"/>
      <c r="Z2073" s="148"/>
      <c r="AA2073" s="148"/>
      <c r="AB2073" s="148"/>
      <c r="AC2073" s="148"/>
    </row>
    <row r="2074" spans="1:29" hidden="1">
      <c r="A2074" s="146"/>
      <c r="B2074" s="147"/>
      <c r="C2074" s="147"/>
      <c r="D2074" s="147"/>
      <c r="E2074" s="147"/>
      <c r="F2074" s="147"/>
      <c r="G2074" s="147"/>
      <c r="H2074" s="147"/>
      <c r="I2074" s="147"/>
      <c r="J2074" s="147"/>
      <c r="K2074" s="147"/>
      <c r="L2074" s="147"/>
      <c r="M2074" s="147"/>
      <c r="N2074" s="147"/>
      <c r="O2074" s="147"/>
      <c r="P2074" s="147"/>
      <c r="Q2074" s="147"/>
      <c r="R2074" s="148"/>
      <c r="S2074" s="148"/>
      <c r="T2074" s="148"/>
      <c r="U2074" s="148"/>
      <c r="V2074" s="148"/>
      <c r="W2074" s="148"/>
      <c r="X2074" s="148"/>
      <c r="Y2074" s="148"/>
      <c r="Z2074" s="148"/>
      <c r="AA2074" s="148"/>
      <c r="AB2074" s="148"/>
      <c r="AC2074" s="148"/>
    </row>
    <row r="2075" spans="1:29" hidden="1">
      <c r="A2075" s="146"/>
      <c r="B2075" s="147"/>
      <c r="C2075" s="147"/>
      <c r="D2075" s="147"/>
      <c r="E2075" s="147"/>
      <c r="F2075" s="147"/>
      <c r="G2075" s="147"/>
      <c r="H2075" s="147"/>
      <c r="I2075" s="147"/>
      <c r="J2075" s="147"/>
      <c r="K2075" s="147"/>
      <c r="L2075" s="147"/>
      <c r="M2075" s="147"/>
      <c r="N2075" s="147"/>
      <c r="O2075" s="147"/>
      <c r="P2075" s="147"/>
      <c r="Q2075" s="147"/>
      <c r="R2075" s="148"/>
      <c r="S2075" s="148"/>
      <c r="T2075" s="148"/>
      <c r="U2075" s="148"/>
      <c r="V2075" s="148"/>
      <c r="W2075" s="148"/>
      <c r="X2075" s="148"/>
      <c r="Y2075" s="148"/>
      <c r="Z2075" s="148"/>
      <c r="AA2075" s="148"/>
      <c r="AB2075" s="148"/>
      <c r="AC2075" s="148"/>
    </row>
    <row r="2076" spans="1:29" hidden="1">
      <c r="A2076" s="146"/>
      <c r="B2076" s="147"/>
      <c r="C2076" s="147"/>
      <c r="D2076" s="147"/>
      <c r="E2076" s="147"/>
      <c r="F2076" s="147"/>
      <c r="G2076" s="147"/>
      <c r="H2076" s="147"/>
      <c r="I2076" s="147"/>
      <c r="J2076" s="147"/>
      <c r="K2076" s="147"/>
      <c r="L2076" s="147"/>
      <c r="M2076" s="147"/>
      <c r="N2076" s="147"/>
      <c r="O2076" s="147"/>
      <c r="P2076" s="147"/>
      <c r="Q2076" s="147"/>
      <c r="R2076" s="148"/>
      <c r="S2076" s="148"/>
      <c r="T2076" s="148"/>
      <c r="U2076" s="148"/>
      <c r="V2076" s="148"/>
      <c r="W2076" s="148"/>
      <c r="X2076" s="148"/>
      <c r="Y2076" s="148"/>
      <c r="Z2076" s="148"/>
      <c r="AA2076" s="148"/>
      <c r="AB2076" s="148"/>
      <c r="AC2076" s="148"/>
    </row>
    <row r="2077" spans="1:29" hidden="1">
      <c r="A2077" s="146"/>
      <c r="B2077" s="147"/>
      <c r="C2077" s="147"/>
      <c r="D2077" s="147"/>
      <c r="E2077" s="147"/>
      <c r="F2077" s="147"/>
      <c r="G2077" s="147"/>
      <c r="H2077" s="147"/>
      <c r="I2077" s="147"/>
      <c r="J2077" s="147"/>
      <c r="K2077" s="147"/>
      <c r="L2077" s="147"/>
      <c r="M2077" s="147"/>
      <c r="N2077" s="147"/>
      <c r="O2077" s="147"/>
      <c r="P2077" s="147"/>
      <c r="Q2077" s="147"/>
      <c r="R2077" s="148"/>
      <c r="S2077" s="148"/>
      <c r="T2077" s="148"/>
      <c r="U2077" s="148"/>
      <c r="V2077" s="148"/>
      <c r="W2077" s="148"/>
      <c r="X2077" s="148"/>
      <c r="Y2077" s="148"/>
      <c r="Z2077" s="148"/>
      <c r="AA2077" s="148"/>
      <c r="AB2077" s="148"/>
      <c r="AC2077" s="148"/>
    </row>
    <row r="2078" spans="1:29" hidden="1">
      <c r="A2078" s="146"/>
      <c r="B2078" s="147"/>
      <c r="C2078" s="147"/>
      <c r="D2078" s="147"/>
      <c r="E2078" s="147"/>
      <c r="F2078" s="147"/>
      <c r="G2078" s="147"/>
      <c r="H2078" s="147"/>
      <c r="I2078" s="147"/>
      <c r="J2078" s="147"/>
      <c r="K2078" s="147"/>
      <c r="L2078" s="147"/>
      <c r="M2078" s="147"/>
      <c r="N2078" s="147"/>
      <c r="O2078" s="147"/>
      <c r="P2078" s="147"/>
      <c r="Q2078" s="147"/>
      <c r="R2078" s="148"/>
      <c r="S2078" s="148"/>
      <c r="T2078" s="148"/>
      <c r="U2078" s="148"/>
      <c r="V2078" s="148"/>
      <c r="W2078" s="148"/>
      <c r="X2078" s="148"/>
      <c r="Y2078" s="148"/>
      <c r="Z2078" s="148"/>
      <c r="AA2078" s="148"/>
      <c r="AB2078" s="148"/>
      <c r="AC2078" s="148"/>
    </row>
    <row r="2079" spans="1:29" hidden="1">
      <c r="A2079" s="146"/>
      <c r="B2079" s="147"/>
      <c r="C2079" s="147"/>
      <c r="D2079" s="147"/>
      <c r="E2079" s="147"/>
      <c r="F2079" s="147"/>
      <c r="G2079" s="147"/>
      <c r="H2079" s="147"/>
      <c r="I2079" s="147"/>
      <c r="J2079" s="147"/>
      <c r="K2079" s="147"/>
      <c r="L2079" s="147"/>
      <c r="M2079" s="147"/>
      <c r="N2079" s="147"/>
      <c r="O2079" s="147"/>
      <c r="P2079" s="147"/>
      <c r="Q2079" s="147"/>
      <c r="R2079" s="148"/>
      <c r="S2079" s="148"/>
      <c r="T2079" s="148"/>
      <c r="U2079" s="148"/>
      <c r="V2079" s="148"/>
      <c r="W2079" s="148"/>
      <c r="X2079" s="148"/>
      <c r="Y2079" s="148"/>
      <c r="Z2079" s="148"/>
      <c r="AA2079" s="148"/>
      <c r="AB2079" s="148"/>
      <c r="AC2079" s="148"/>
    </row>
    <row r="2080" spans="1:29" hidden="1">
      <c r="A2080" s="146"/>
      <c r="B2080" s="147"/>
      <c r="C2080" s="147"/>
      <c r="D2080" s="147"/>
      <c r="E2080" s="147"/>
      <c r="F2080" s="147"/>
      <c r="G2080" s="147"/>
      <c r="H2080" s="147"/>
      <c r="I2080" s="147"/>
      <c r="J2080" s="147"/>
      <c r="K2080" s="147"/>
      <c r="L2080" s="147"/>
      <c r="M2080" s="147"/>
      <c r="N2080" s="147"/>
      <c r="O2080" s="147"/>
      <c r="P2080" s="147"/>
      <c r="Q2080" s="147"/>
      <c r="R2080" s="148"/>
      <c r="S2080" s="148"/>
      <c r="T2080" s="148"/>
      <c r="U2080" s="148"/>
      <c r="V2080" s="148"/>
      <c r="W2080" s="148"/>
      <c r="X2080" s="148"/>
      <c r="Y2080" s="148"/>
      <c r="Z2080" s="148"/>
      <c r="AA2080" s="148"/>
      <c r="AB2080" s="148"/>
      <c r="AC2080" s="148"/>
    </row>
    <row r="2081" spans="1:29" hidden="1">
      <c r="A2081" s="146"/>
      <c r="B2081" s="147"/>
      <c r="C2081" s="147"/>
      <c r="D2081" s="147"/>
      <c r="E2081" s="147"/>
      <c r="F2081" s="147"/>
      <c r="G2081" s="147"/>
      <c r="H2081" s="147"/>
      <c r="I2081" s="147"/>
      <c r="J2081" s="147"/>
      <c r="K2081" s="147"/>
      <c r="L2081" s="147"/>
      <c r="M2081" s="147"/>
      <c r="N2081" s="147"/>
      <c r="O2081" s="147"/>
      <c r="P2081" s="147"/>
      <c r="Q2081" s="147"/>
      <c r="R2081" s="148"/>
      <c r="S2081" s="148"/>
      <c r="T2081" s="148"/>
      <c r="U2081" s="148"/>
      <c r="V2081" s="148"/>
      <c r="W2081" s="148"/>
      <c r="X2081" s="148"/>
      <c r="Y2081" s="148"/>
      <c r="Z2081" s="148"/>
      <c r="AA2081" s="148"/>
      <c r="AB2081" s="148"/>
      <c r="AC2081" s="148"/>
    </row>
    <row r="2082" spans="1:29" hidden="1">
      <c r="A2082" s="146"/>
      <c r="B2082" s="147"/>
      <c r="C2082" s="147"/>
      <c r="D2082" s="147"/>
      <c r="E2082" s="147"/>
      <c r="F2082" s="147"/>
      <c r="G2082" s="147"/>
      <c r="H2082" s="147"/>
      <c r="I2082" s="147"/>
      <c r="J2082" s="147"/>
      <c r="K2082" s="147"/>
      <c r="L2082" s="147"/>
      <c r="M2082" s="147"/>
      <c r="N2082" s="147"/>
      <c r="O2082" s="147"/>
      <c r="P2082" s="147"/>
      <c r="Q2082" s="147"/>
      <c r="R2082" s="148"/>
      <c r="S2082" s="148"/>
      <c r="T2082" s="148"/>
      <c r="U2082" s="148"/>
      <c r="V2082" s="148"/>
      <c r="W2082" s="148"/>
      <c r="X2082" s="148"/>
      <c r="Y2082" s="148"/>
      <c r="Z2082" s="148"/>
      <c r="AA2082" s="148"/>
      <c r="AB2082" s="148"/>
      <c r="AC2082" s="148"/>
    </row>
    <row r="2083" spans="1:29" hidden="1">
      <c r="A2083" s="146"/>
      <c r="B2083" s="147"/>
      <c r="C2083" s="147"/>
      <c r="D2083" s="147"/>
      <c r="E2083" s="147"/>
      <c r="F2083" s="147"/>
      <c r="G2083" s="147"/>
      <c r="H2083" s="147"/>
      <c r="I2083" s="147"/>
      <c r="J2083" s="147"/>
      <c r="K2083" s="147"/>
      <c r="L2083" s="147"/>
      <c r="M2083" s="147"/>
      <c r="N2083" s="147"/>
      <c r="O2083" s="147"/>
      <c r="P2083" s="147"/>
      <c r="Q2083" s="147"/>
      <c r="R2083" s="148"/>
      <c r="S2083" s="148"/>
      <c r="T2083" s="148"/>
      <c r="U2083" s="148"/>
      <c r="V2083" s="148"/>
      <c r="W2083" s="148"/>
      <c r="X2083" s="148"/>
      <c r="Y2083" s="148"/>
      <c r="Z2083" s="148"/>
      <c r="AA2083" s="148"/>
      <c r="AB2083" s="148"/>
      <c r="AC2083" s="148"/>
    </row>
    <row r="2084" spans="1:29" hidden="1">
      <c r="A2084" s="146"/>
      <c r="B2084" s="147"/>
      <c r="C2084" s="147"/>
      <c r="D2084" s="147"/>
      <c r="E2084" s="147"/>
      <c r="F2084" s="147"/>
      <c r="G2084" s="147"/>
      <c r="H2084" s="147"/>
      <c r="I2084" s="147"/>
      <c r="J2084" s="147"/>
      <c r="K2084" s="147"/>
      <c r="L2084" s="147"/>
      <c r="M2084" s="147"/>
      <c r="N2084" s="147"/>
      <c r="O2084" s="147"/>
      <c r="P2084" s="147"/>
      <c r="Q2084" s="147"/>
      <c r="R2084" s="148"/>
      <c r="S2084" s="148"/>
      <c r="T2084" s="148"/>
      <c r="U2084" s="148"/>
      <c r="V2084" s="148"/>
      <c r="W2084" s="148"/>
      <c r="X2084" s="148"/>
      <c r="Y2084" s="148"/>
      <c r="Z2084" s="148"/>
      <c r="AA2084" s="148"/>
      <c r="AB2084" s="148"/>
      <c r="AC2084" s="148"/>
    </row>
    <row r="2085" spans="1:29" hidden="1">
      <c r="A2085" s="146"/>
      <c r="B2085" s="147"/>
      <c r="C2085" s="147"/>
      <c r="D2085" s="147"/>
      <c r="E2085" s="147"/>
      <c r="F2085" s="147"/>
      <c r="G2085" s="147"/>
      <c r="H2085" s="147"/>
      <c r="I2085" s="147"/>
      <c r="J2085" s="147"/>
      <c r="K2085" s="147"/>
      <c r="L2085" s="147"/>
      <c r="M2085" s="147"/>
      <c r="N2085" s="147"/>
      <c r="O2085" s="147"/>
      <c r="P2085" s="147"/>
      <c r="Q2085" s="147"/>
      <c r="R2085" s="148"/>
      <c r="S2085" s="148"/>
      <c r="T2085" s="148"/>
      <c r="U2085" s="148"/>
      <c r="V2085" s="148"/>
      <c r="W2085" s="148"/>
      <c r="X2085" s="148"/>
      <c r="Y2085" s="148"/>
      <c r="Z2085" s="148"/>
      <c r="AA2085" s="148"/>
      <c r="AB2085" s="148"/>
      <c r="AC2085" s="148"/>
    </row>
    <row r="2086" spans="1:29" hidden="1">
      <c r="A2086" s="146"/>
      <c r="B2086" s="147"/>
      <c r="C2086" s="147"/>
      <c r="D2086" s="147"/>
      <c r="E2086" s="147"/>
      <c r="F2086" s="147"/>
      <c r="G2086" s="147"/>
      <c r="H2086" s="147"/>
      <c r="I2086" s="147"/>
      <c r="J2086" s="147"/>
      <c r="K2086" s="147"/>
      <c r="L2086" s="147"/>
      <c r="M2086" s="147"/>
      <c r="N2086" s="147"/>
      <c r="O2086" s="147"/>
      <c r="P2086" s="147"/>
      <c r="Q2086" s="147"/>
      <c r="R2086" s="148"/>
      <c r="S2086" s="148"/>
      <c r="T2086" s="148"/>
      <c r="U2086" s="148"/>
      <c r="V2086" s="148"/>
      <c r="W2086" s="148"/>
      <c r="X2086" s="148"/>
      <c r="Y2086" s="148"/>
      <c r="Z2086" s="148"/>
      <c r="AA2086" s="148"/>
      <c r="AB2086" s="148"/>
      <c r="AC2086" s="148"/>
    </row>
    <row r="2087" spans="1:29" hidden="1">
      <c r="A2087" s="146"/>
      <c r="B2087" s="147"/>
      <c r="C2087" s="147"/>
      <c r="D2087" s="147"/>
      <c r="E2087" s="147"/>
      <c r="F2087" s="147"/>
      <c r="G2087" s="147"/>
      <c r="H2087" s="147"/>
      <c r="I2087" s="147"/>
      <c r="J2087" s="147"/>
      <c r="K2087" s="147"/>
      <c r="L2087" s="147"/>
      <c r="M2087" s="147"/>
      <c r="N2087" s="147"/>
      <c r="O2087" s="147"/>
      <c r="P2087" s="147"/>
      <c r="Q2087" s="147"/>
      <c r="R2087" s="148"/>
      <c r="S2087" s="148"/>
      <c r="T2087" s="148"/>
      <c r="U2087" s="148"/>
      <c r="V2087" s="148"/>
      <c r="W2087" s="148"/>
      <c r="X2087" s="148"/>
      <c r="Y2087" s="148"/>
      <c r="Z2087" s="148"/>
      <c r="AA2087" s="148"/>
      <c r="AB2087" s="148"/>
      <c r="AC2087" s="148"/>
    </row>
    <row r="2088" spans="1:29" hidden="1">
      <c r="A2088" s="146"/>
      <c r="B2088" s="147"/>
      <c r="C2088" s="147"/>
      <c r="D2088" s="147"/>
      <c r="E2088" s="147"/>
      <c r="F2088" s="147"/>
      <c r="G2088" s="147"/>
      <c r="H2088" s="147"/>
      <c r="I2088" s="147"/>
      <c r="J2088" s="147"/>
      <c r="K2088" s="147"/>
      <c r="L2088" s="147"/>
      <c r="M2088" s="147"/>
      <c r="N2088" s="147"/>
      <c r="O2088" s="147"/>
      <c r="P2088" s="147"/>
      <c r="Q2088" s="147"/>
      <c r="R2088" s="148"/>
      <c r="S2088" s="148"/>
      <c r="T2088" s="148"/>
      <c r="U2088" s="148"/>
      <c r="V2088" s="148"/>
      <c r="W2088" s="148"/>
      <c r="X2088" s="148"/>
      <c r="Y2088" s="148"/>
      <c r="Z2088" s="148"/>
      <c r="AA2088" s="148"/>
      <c r="AB2088" s="148"/>
      <c r="AC2088" s="148"/>
    </row>
    <row r="2089" spans="1:29" hidden="1">
      <c r="A2089" s="146"/>
      <c r="B2089" s="147"/>
      <c r="C2089" s="147"/>
      <c r="D2089" s="147"/>
      <c r="E2089" s="147"/>
      <c r="F2089" s="147"/>
      <c r="G2089" s="147"/>
      <c r="H2089" s="147"/>
      <c r="I2089" s="147"/>
      <c r="J2089" s="147"/>
      <c r="K2089" s="147"/>
      <c r="L2089" s="147"/>
      <c r="M2089" s="147"/>
      <c r="N2089" s="147"/>
      <c r="O2089" s="147"/>
      <c r="P2089" s="147"/>
      <c r="Q2089" s="147"/>
      <c r="R2089" s="148"/>
      <c r="S2089" s="148"/>
      <c r="T2089" s="148"/>
      <c r="U2089" s="148"/>
      <c r="V2089" s="148"/>
      <c r="W2089" s="148"/>
      <c r="X2089" s="148"/>
      <c r="Y2089" s="148"/>
      <c r="Z2089" s="148"/>
      <c r="AA2089" s="148"/>
      <c r="AB2089" s="148"/>
      <c r="AC2089" s="148"/>
    </row>
    <row r="2090" spans="1:29" hidden="1">
      <c r="A2090" s="146"/>
      <c r="B2090" s="147"/>
      <c r="C2090" s="147"/>
      <c r="D2090" s="147"/>
      <c r="E2090" s="147"/>
      <c r="F2090" s="147"/>
      <c r="G2090" s="147"/>
      <c r="H2090" s="147"/>
      <c r="I2090" s="147"/>
      <c r="J2090" s="147"/>
      <c r="K2090" s="147"/>
      <c r="L2090" s="147"/>
      <c r="M2090" s="147"/>
      <c r="N2090" s="147"/>
      <c r="O2090" s="147"/>
      <c r="P2090" s="147"/>
      <c r="Q2090" s="147"/>
      <c r="R2090" s="148"/>
      <c r="S2090" s="148"/>
      <c r="T2090" s="148"/>
      <c r="U2090" s="148"/>
      <c r="V2090" s="148"/>
      <c r="W2090" s="148"/>
      <c r="X2090" s="148"/>
      <c r="Y2090" s="148"/>
      <c r="Z2090" s="148"/>
      <c r="AA2090" s="148"/>
      <c r="AB2090" s="148"/>
      <c r="AC2090" s="148"/>
    </row>
    <row r="2091" spans="1:29" hidden="1">
      <c r="A2091" s="146"/>
      <c r="B2091" s="147"/>
      <c r="C2091" s="147"/>
      <c r="D2091" s="147"/>
      <c r="E2091" s="147"/>
      <c r="F2091" s="147"/>
      <c r="G2091" s="147"/>
      <c r="H2091" s="147"/>
      <c r="I2091" s="147"/>
      <c r="J2091" s="147"/>
      <c r="K2091" s="147"/>
      <c r="L2091" s="147"/>
      <c r="M2091" s="147"/>
      <c r="N2091" s="147"/>
      <c r="O2091" s="147"/>
      <c r="P2091" s="147"/>
      <c r="Q2091" s="147"/>
      <c r="R2091" s="148"/>
      <c r="S2091" s="148"/>
      <c r="T2091" s="148"/>
      <c r="U2091" s="148"/>
      <c r="V2091" s="148"/>
      <c r="W2091" s="148"/>
      <c r="X2091" s="148"/>
      <c r="Y2091" s="148"/>
      <c r="Z2091" s="148"/>
      <c r="AA2091" s="148"/>
      <c r="AB2091" s="148"/>
      <c r="AC2091" s="148"/>
    </row>
    <row r="2092" spans="1:29" hidden="1">
      <c r="A2092" s="146"/>
      <c r="B2092" s="147"/>
      <c r="C2092" s="147"/>
      <c r="D2092" s="147"/>
      <c r="E2092" s="147"/>
      <c r="F2092" s="147"/>
      <c r="G2092" s="147"/>
      <c r="H2092" s="147"/>
      <c r="I2092" s="147"/>
      <c r="J2092" s="147"/>
      <c r="K2092" s="147"/>
      <c r="L2092" s="147"/>
      <c r="M2092" s="147"/>
      <c r="N2092" s="147"/>
      <c r="O2092" s="147"/>
      <c r="P2092" s="147"/>
      <c r="Q2092" s="147"/>
      <c r="R2092" s="148"/>
      <c r="S2092" s="148"/>
      <c r="T2092" s="148"/>
      <c r="U2092" s="148"/>
      <c r="V2092" s="148"/>
      <c r="W2092" s="148"/>
      <c r="X2092" s="148"/>
      <c r="Y2092" s="148"/>
      <c r="Z2092" s="148"/>
      <c r="AA2092" s="148"/>
      <c r="AB2092" s="148"/>
      <c r="AC2092" s="148"/>
    </row>
    <row r="2093" spans="1:29" hidden="1">
      <c r="A2093" s="146"/>
      <c r="B2093" s="147"/>
      <c r="C2093" s="147"/>
      <c r="D2093" s="147"/>
      <c r="E2093" s="147"/>
      <c r="F2093" s="147"/>
      <c r="G2093" s="147"/>
      <c r="H2093" s="147"/>
      <c r="I2093" s="147"/>
      <c r="J2093" s="147"/>
      <c r="K2093" s="147"/>
      <c r="L2093" s="147"/>
      <c r="M2093" s="147"/>
      <c r="N2093" s="147"/>
      <c r="O2093" s="147"/>
      <c r="P2093" s="147"/>
      <c r="Q2093" s="147"/>
      <c r="R2093" s="148"/>
      <c r="S2093" s="148"/>
      <c r="T2093" s="148"/>
      <c r="U2093" s="148"/>
      <c r="V2093" s="148"/>
      <c r="W2093" s="148"/>
      <c r="X2093" s="148"/>
      <c r="Y2093" s="148"/>
      <c r="Z2093" s="148"/>
      <c r="AA2093" s="148"/>
      <c r="AB2093" s="148"/>
      <c r="AC2093" s="148"/>
    </row>
    <row r="2094" spans="1:29" hidden="1">
      <c r="A2094" s="146"/>
      <c r="B2094" s="147"/>
      <c r="C2094" s="147"/>
      <c r="D2094" s="147"/>
      <c r="E2094" s="147"/>
      <c r="F2094" s="147"/>
      <c r="G2094" s="147"/>
      <c r="H2094" s="147"/>
      <c r="I2094" s="147"/>
      <c r="J2094" s="147"/>
      <c r="K2094" s="147"/>
      <c r="L2094" s="147"/>
      <c r="M2094" s="147"/>
      <c r="N2094" s="147"/>
      <c r="O2094" s="147"/>
      <c r="P2094" s="147"/>
      <c r="Q2094" s="147"/>
      <c r="R2094" s="148"/>
      <c r="S2094" s="148"/>
      <c r="T2094" s="148"/>
      <c r="U2094" s="148"/>
      <c r="V2094" s="148"/>
      <c r="W2094" s="148"/>
      <c r="X2094" s="148"/>
      <c r="Y2094" s="148"/>
      <c r="Z2094" s="148"/>
      <c r="AA2094" s="148"/>
      <c r="AB2094" s="148"/>
      <c r="AC2094" s="148"/>
    </row>
    <row r="2095" spans="1:29" hidden="1">
      <c r="A2095" s="146"/>
      <c r="B2095" s="147"/>
      <c r="C2095" s="147"/>
      <c r="D2095" s="147"/>
      <c r="E2095" s="147"/>
      <c r="F2095" s="147"/>
      <c r="G2095" s="147"/>
      <c r="H2095" s="147"/>
      <c r="I2095" s="147"/>
      <c r="J2095" s="147"/>
      <c r="K2095" s="147"/>
      <c r="L2095" s="147"/>
      <c r="M2095" s="147"/>
      <c r="N2095" s="147"/>
      <c r="O2095" s="147"/>
      <c r="P2095" s="147"/>
      <c r="Q2095" s="147"/>
      <c r="R2095" s="148"/>
      <c r="S2095" s="148"/>
      <c r="T2095" s="148"/>
      <c r="U2095" s="148"/>
      <c r="V2095" s="148"/>
      <c r="W2095" s="148"/>
      <c r="X2095" s="148"/>
      <c r="Y2095" s="148"/>
      <c r="Z2095" s="148"/>
      <c r="AA2095" s="148"/>
      <c r="AB2095" s="148"/>
      <c r="AC2095" s="148"/>
    </row>
    <row r="2096" spans="1:29" hidden="1">
      <c r="A2096" s="146"/>
      <c r="B2096" s="147"/>
      <c r="C2096" s="147"/>
      <c r="D2096" s="147"/>
      <c r="E2096" s="147"/>
      <c r="F2096" s="147"/>
      <c r="G2096" s="147"/>
      <c r="H2096" s="147"/>
      <c r="I2096" s="147"/>
      <c r="J2096" s="147"/>
      <c r="K2096" s="147"/>
      <c r="L2096" s="147"/>
      <c r="M2096" s="147"/>
      <c r="N2096" s="147"/>
      <c r="O2096" s="147"/>
      <c r="P2096" s="147"/>
      <c r="Q2096" s="147"/>
      <c r="R2096" s="148"/>
      <c r="S2096" s="148"/>
      <c r="T2096" s="148"/>
      <c r="U2096" s="148"/>
      <c r="V2096" s="148"/>
      <c r="W2096" s="148"/>
      <c r="X2096" s="148"/>
      <c r="Y2096" s="148"/>
      <c r="Z2096" s="148"/>
      <c r="AA2096" s="148"/>
      <c r="AB2096" s="148"/>
      <c r="AC2096" s="148"/>
    </row>
    <row r="2097" spans="1:29" hidden="1">
      <c r="A2097" s="146"/>
      <c r="B2097" s="147"/>
      <c r="C2097" s="147"/>
      <c r="D2097" s="147"/>
      <c r="E2097" s="147"/>
      <c r="F2097" s="147"/>
      <c r="G2097" s="147"/>
      <c r="H2097" s="147"/>
      <c r="I2097" s="147"/>
      <c r="J2097" s="147"/>
      <c r="K2097" s="147"/>
      <c r="L2097" s="147"/>
      <c r="M2097" s="147"/>
      <c r="N2097" s="147"/>
      <c r="O2097" s="147"/>
      <c r="P2097" s="147"/>
      <c r="Q2097" s="147"/>
      <c r="R2097" s="148"/>
      <c r="S2097" s="148"/>
      <c r="T2097" s="148"/>
      <c r="U2097" s="148"/>
      <c r="V2097" s="148"/>
      <c r="W2097" s="148"/>
      <c r="X2097" s="148"/>
      <c r="Y2097" s="148"/>
      <c r="Z2097" s="148"/>
      <c r="AA2097" s="148"/>
      <c r="AB2097" s="148"/>
      <c r="AC2097" s="148"/>
    </row>
    <row r="2098" spans="1:29" hidden="1">
      <c r="A2098" s="146"/>
      <c r="B2098" s="147"/>
      <c r="C2098" s="147"/>
      <c r="D2098" s="147"/>
      <c r="E2098" s="147"/>
      <c r="F2098" s="147"/>
      <c r="G2098" s="147"/>
      <c r="H2098" s="147"/>
      <c r="I2098" s="147"/>
      <c r="J2098" s="147"/>
      <c r="K2098" s="147"/>
      <c r="L2098" s="147"/>
      <c r="M2098" s="147"/>
      <c r="N2098" s="147"/>
      <c r="O2098" s="147"/>
      <c r="P2098" s="147"/>
      <c r="Q2098" s="147"/>
      <c r="R2098" s="148"/>
      <c r="S2098" s="148"/>
      <c r="T2098" s="148"/>
      <c r="U2098" s="148"/>
      <c r="V2098" s="148"/>
      <c r="W2098" s="148"/>
      <c r="X2098" s="148"/>
      <c r="Y2098" s="148"/>
      <c r="Z2098" s="148"/>
      <c r="AA2098" s="148"/>
      <c r="AB2098" s="148"/>
      <c r="AC2098" s="148"/>
    </row>
    <row r="2099" spans="1:29" hidden="1">
      <c r="A2099" s="146"/>
      <c r="B2099" s="147"/>
      <c r="C2099" s="147"/>
      <c r="D2099" s="147"/>
      <c r="E2099" s="147"/>
      <c r="F2099" s="147"/>
      <c r="G2099" s="147"/>
      <c r="H2099" s="147"/>
      <c r="I2099" s="147"/>
      <c r="J2099" s="147"/>
      <c r="K2099" s="147"/>
      <c r="L2099" s="147"/>
      <c r="M2099" s="147"/>
      <c r="N2099" s="147"/>
      <c r="O2099" s="147"/>
      <c r="P2099" s="147"/>
      <c r="Q2099" s="147"/>
      <c r="R2099" s="148"/>
      <c r="S2099" s="148"/>
      <c r="T2099" s="148"/>
      <c r="U2099" s="148"/>
      <c r="V2099" s="148"/>
      <c r="W2099" s="148"/>
      <c r="X2099" s="148"/>
      <c r="Y2099" s="148"/>
      <c r="Z2099" s="148"/>
      <c r="AA2099" s="148"/>
      <c r="AB2099" s="148"/>
      <c r="AC2099" s="148"/>
    </row>
    <row r="2100" spans="1:29" hidden="1">
      <c r="A2100" s="146"/>
      <c r="B2100" s="147"/>
      <c r="C2100" s="147"/>
      <c r="D2100" s="147"/>
      <c r="E2100" s="147"/>
      <c r="F2100" s="147"/>
      <c r="G2100" s="147"/>
      <c r="H2100" s="147"/>
      <c r="I2100" s="147"/>
      <c r="J2100" s="147"/>
      <c r="K2100" s="147"/>
      <c r="L2100" s="147"/>
      <c r="M2100" s="147"/>
      <c r="N2100" s="147"/>
      <c r="O2100" s="147"/>
      <c r="P2100" s="147"/>
      <c r="Q2100" s="147"/>
      <c r="R2100" s="148"/>
      <c r="S2100" s="148"/>
      <c r="T2100" s="148"/>
      <c r="U2100" s="148"/>
      <c r="V2100" s="148"/>
      <c r="W2100" s="148"/>
      <c r="X2100" s="148"/>
      <c r="Y2100" s="148"/>
      <c r="Z2100" s="148"/>
      <c r="AA2100" s="148"/>
      <c r="AB2100" s="148"/>
      <c r="AC2100" s="148"/>
    </row>
    <row r="2101" spans="1:29" hidden="1">
      <c r="A2101" s="146"/>
      <c r="B2101" s="147"/>
      <c r="C2101" s="147"/>
      <c r="D2101" s="147"/>
      <c r="E2101" s="147"/>
      <c r="F2101" s="147"/>
      <c r="G2101" s="147"/>
      <c r="H2101" s="147"/>
      <c r="I2101" s="147"/>
      <c r="J2101" s="147"/>
      <c r="K2101" s="147"/>
      <c r="L2101" s="147"/>
      <c r="M2101" s="147"/>
      <c r="N2101" s="147"/>
      <c r="O2101" s="147"/>
      <c r="P2101" s="147"/>
      <c r="Q2101" s="147"/>
      <c r="R2101" s="148"/>
      <c r="S2101" s="148"/>
      <c r="T2101" s="148"/>
      <c r="U2101" s="148"/>
      <c r="V2101" s="148"/>
      <c r="W2101" s="148"/>
      <c r="X2101" s="148"/>
      <c r="Y2101" s="148"/>
      <c r="Z2101" s="148"/>
      <c r="AA2101" s="148"/>
      <c r="AB2101" s="148"/>
      <c r="AC2101" s="148"/>
    </row>
    <row r="2102" spans="1:29" hidden="1">
      <c r="A2102" s="146"/>
      <c r="B2102" s="147"/>
      <c r="C2102" s="147"/>
      <c r="D2102" s="147"/>
      <c r="E2102" s="147"/>
      <c r="F2102" s="147"/>
      <c r="G2102" s="147"/>
      <c r="H2102" s="147"/>
      <c r="I2102" s="147"/>
      <c r="J2102" s="147"/>
      <c r="K2102" s="147"/>
      <c r="L2102" s="147"/>
      <c r="M2102" s="147"/>
      <c r="N2102" s="147"/>
      <c r="O2102" s="147"/>
      <c r="P2102" s="147"/>
      <c r="Q2102" s="147"/>
      <c r="R2102" s="148"/>
      <c r="S2102" s="148"/>
      <c r="T2102" s="148"/>
      <c r="U2102" s="148"/>
      <c r="V2102" s="148"/>
      <c r="W2102" s="148"/>
      <c r="X2102" s="148"/>
      <c r="Y2102" s="148"/>
      <c r="Z2102" s="148"/>
      <c r="AA2102" s="148"/>
      <c r="AB2102" s="148"/>
      <c r="AC2102" s="148"/>
    </row>
    <row r="2103" spans="1:29" hidden="1">
      <c r="A2103" s="146"/>
      <c r="B2103" s="147"/>
      <c r="C2103" s="147"/>
      <c r="D2103" s="147"/>
      <c r="E2103" s="147"/>
      <c r="F2103" s="147"/>
      <c r="G2103" s="147"/>
      <c r="H2103" s="147"/>
      <c r="I2103" s="147"/>
      <c r="J2103" s="147"/>
      <c r="K2103" s="147"/>
      <c r="L2103" s="147"/>
      <c r="M2103" s="147"/>
      <c r="N2103" s="147"/>
      <c r="O2103" s="147"/>
      <c r="P2103" s="147"/>
      <c r="Q2103" s="147"/>
      <c r="R2103" s="148"/>
      <c r="S2103" s="148"/>
      <c r="T2103" s="148"/>
      <c r="U2103" s="148"/>
      <c r="V2103" s="148"/>
      <c r="W2103" s="148"/>
      <c r="X2103" s="148"/>
      <c r="Y2103" s="148"/>
      <c r="Z2103" s="148"/>
      <c r="AA2103" s="148"/>
      <c r="AB2103" s="148"/>
      <c r="AC2103" s="148"/>
    </row>
    <row r="2104" spans="1:29" hidden="1">
      <c r="A2104" s="146"/>
      <c r="B2104" s="147"/>
      <c r="C2104" s="147"/>
      <c r="D2104" s="147"/>
      <c r="E2104" s="147"/>
      <c r="F2104" s="147"/>
      <c r="G2104" s="147"/>
      <c r="H2104" s="147"/>
      <c r="I2104" s="147"/>
      <c r="J2104" s="147"/>
      <c r="K2104" s="147"/>
      <c r="L2104" s="147"/>
      <c r="M2104" s="147"/>
      <c r="N2104" s="147"/>
      <c r="O2104" s="147"/>
      <c r="P2104" s="147"/>
      <c r="Q2104" s="147"/>
      <c r="R2104" s="148"/>
      <c r="S2104" s="148"/>
      <c r="T2104" s="148"/>
      <c r="U2104" s="148"/>
      <c r="V2104" s="148"/>
      <c r="W2104" s="148"/>
      <c r="X2104" s="148"/>
      <c r="Y2104" s="148"/>
      <c r="Z2104" s="148"/>
      <c r="AA2104" s="148"/>
      <c r="AB2104" s="148"/>
      <c r="AC2104" s="148"/>
    </row>
    <row r="2105" spans="1:29" hidden="1">
      <c r="A2105" s="146"/>
      <c r="B2105" s="147"/>
      <c r="C2105" s="147"/>
      <c r="D2105" s="147"/>
      <c r="E2105" s="147"/>
      <c r="F2105" s="147"/>
      <c r="G2105" s="147"/>
      <c r="H2105" s="147"/>
      <c r="I2105" s="147"/>
      <c r="J2105" s="147"/>
      <c r="K2105" s="147"/>
      <c r="L2105" s="147"/>
      <c r="M2105" s="147"/>
      <c r="N2105" s="147"/>
      <c r="O2105" s="147"/>
      <c r="P2105" s="147"/>
      <c r="Q2105" s="147"/>
      <c r="R2105" s="148"/>
      <c r="S2105" s="148"/>
      <c r="T2105" s="148"/>
      <c r="U2105" s="148"/>
      <c r="V2105" s="148"/>
      <c r="W2105" s="148"/>
      <c r="X2105" s="148"/>
      <c r="Y2105" s="148"/>
      <c r="Z2105" s="148"/>
      <c r="AA2105" s="148"/>
      <c r="AB2105" s="148"/>
      <c r="AC2105" s="148"/>
    </row>
    <row r="2106" spans="1:29" hidden="1">
      <c r="A2106" s="146"/>
      <c r="B2106" s="147"/>
      <c r="C2106" s="147"/>
      <c r="D2106" s="147"/>
      <c r="E2106" s="147"/>
      <c r="F2106" s="147"/>
      <c r="G2106" s="147"/>
      <c r="H2106" s="147"/>
      <c r="I2106" s="147"/>
      <c r="J2106" s="147"/>
      <c r="K2106" s="147"/>
      <c r="L2106" s="147"/>
      <c r="M2106" s="147"/>
      <c r="N2106" s="147"/>
      <c r="O2106" s="147"/>
      <c r="P2106" s="147"/>
      <c r="Q2106" s="147"/>
      <c r="R2106" s="148"/>
      <c r="S2106" s="148"/>
      <c r="T2106" s="148"/>
      <c r="U2106" s="148"/>
      <c r="V2106" s="148"/>
      <c r="W2106" s="148"/>
      <c r="X2106" s="148"/>
      <c r="Y2106" s="148"/>
      <c r="Z2106" s="148"/>
      <c r="AA2106" s="148"/>
      <c r="AB2106" s="148"/>
      <c r="AC2106" s="148"/>
    </row>
    <row r="2107" spans="1:29" hidden="1">
      <c r="A2107" s="146"/>
      <c r="B2107" s="147"/>
      <c r="C2107" s="147"/>
      <c r="D2107" s="147"/>
      <c r="E2107" s="147"/>
      <c r="F2107" s="147"/>
      <c r="G2107" s="147"/>
      <c r="H2107" s="147"/>
      <c r="I2107" s="147"/>
      <c r="J2107" s="147"/>
      <c r="K2107" s="147"/>
      <c r="L2107" s="147"/>
      <c r="M2107" s="147"/>
      <c r="N2107" s="147"/>
      <c r="O2107" s="147"/>
      <c r="P2107" s="147"/>
      <c r="Q2107" s="147"/>
      <c r="R2107" s="148"/>
      <c r="S2107" s="148"/>
      <c r="T2107" s="148"/>
      <c r="U2107" s="148"/>
      <c r="V2107" s="148"/>
      <c r="W2107" s="148"/>
      <c r="X2107" s="148"/>
      <c r="Y2107" s="148"/>
      <c r="Z2107" s="148"/>
      <c r="AA2107" s="148"/>
      <c r="AB2107" s="148"/>
      <c r="AC2107" s="148"/>
    </row>
    <row r="2108" spans="1:29" hidden="1">
      <c r="A2108" s="146"/>
      <c r="B2108" s="147"/>
      <c r="C2108" s="147"/>
      <c r="D2108" s="147"/>
      <c r="E2108" s="147"/>
      <c r="F2108" s="147"/>
      <c r="G2108" s="147"/>
      <c r="H2108" s="147"/>
      <c r="I2108" s="147"/>
      <c r="J2108" s="147"/>
      <c r="K2108" s="147"/>
      <c r="L2108" s="147"/>
      <c r="M2108" s="147"/>
      <c r="N2108" s="147"/>
      <c r="O2108" s="147"/>
      <c r="P2108" s="147"/>
      <c r="Q2108" s="147"/>
      <c r="R2108" s="148"/>
      <c r="S2108" s="148"/>
      <c r="T2108" s="148"/>
      <c r="U2108" s="148"/>
      <c r="V2108" s="148"/>
      <c r="W2108" s="148"/>
      <c r="X2108" s="148"/>
      <c r="Y2108" s="148"/>
      <c r="Z2108" s="148"/>
      <c r="AA2108" s="148"/>
      <c r="AB2108" s="148"/>
      <c r="AC2108" s="148"/>
    </row>
    <row r="2109" spans="1:29" hidden="1">
      <c r="A2109" s="146"/>
      <c r="B2109" s="147"/>
      <c r="C2109" s="147"/>
      <c r="D2109" s="147"/>
      <c r="E2109" s="147"/>
      <c r="F2109" s="147"/>
      <c r="G2109" s="147"/>
      <c r="H2109" s="147"/>
      <c r="I2109" s="147"/>
      <c r="J2109" s="147"/>
      <c r="K2109" s="147"/>
      <c r="L2109" s="147"/>
      <c r="M2109" s="147"/>
      <c r="N2109" s="147"/>
      <c r="O2109" s="147"/>
      <c r="P2109" s="147"/>
      <c r="Q2109" s="147"/>
      <c r="R2109" s="148"/>
      <c r="S2109" s="148"/>
      <c r="T2109" s="148"/>
      <c r="U2109" s="148"/>
      <c r="V2109" s="148"/>
      <c r="W2109" s="148"/>
      <c r="X2109" s="148"/>
      <c r="Y2109" s="148"/>
      <c r="Z2109" s="148"/>
      <c r="AA2109" s="148"/>
      <c r="AB2109" s="148"/>
      <c r="AC2109" s="148"/>
    </row>
    <row r="2110" spans="1:29" hidden="1">
      <c r="A2110" s="146"/>
      <c r="B2110" s="147"/>
      <c r="C2110" s="147"/>
      <c r="D2110" s="147"/>
      <c r="E2110" s="147"/>
      <c r="F2110" s="147"/>
      <c r="G2110" s="147"/>
      <c r="H2110" s="147"/>
      <c r="I2110" s="147"/>
      <c r="J2110" s="147"/>
      <c r="K2110" s="147"/>
      <c r="L2110" s="147"/>
      <c r="M2110" s="147"/>
      <c r="N2110" s="147"/>
      <c r="O2110" s="147"/>
      <c r="P2110" s="147"/>
      <c r="Q2110" s="147"/>
      <c r="R2110" s="148"/>
      <c r="S2110" s="148"/>
      <c r="T2110" s="148"/>
      <c r="U2110" s="148"/>
      <c r="V2110" s="148"/>
      <c r="W2110" s="148"/>
      <c r="X2110" s="148"/>
      <c r="Y2110" s="148"/>
      <c r="Z2110" s="148"/>
      <c r="AA2110" s="148"/>
      <c r="AB2110" s="148"/>
      <c r="AC2110" s="148"/>
    </row>
    <row r="2111" spans="1:29" hidden="1">
      <c r="A2111" s="146"/>
      <c r="B2111" s="147"/>
      <c r="C2111" s="147"/>
      <c r="D2111" s="147"/>
      <c r="E2111" s="147"/>
      <c r="F2111" s="147"/>
      <c r="G2111" s="147"/>
      <c r="H2111" s="147"/>
      <c r="I2111" s="147"/>
      <c r="J2111" s="147"/>
      <c r="K2111" s="147"/>
      <c r="L2111" s="147"/>
      <c r="M2111" s="147"/>
      <c r="N2111" s="147"/>
      <c r="O2111" s="147"/>
      <c r="P2111" s="147"/>
      <c r="Q2111" s="147"/>
      <c r="R2111" s="148"/>
      <c r="S2111" s="148"/>
      <c r="T2111" s="148"/>
      <c r="U2111" s="148"/>
      <c r="V2111" s="148"/>
      <c r="W2111" s="148"/>
      <c r="X2111" s="148"/>
      <c r="Y2111" s="148"/>
      <c r="Z2111" s="148"/>
      <c r="AA2111" s="148"/>
      <c r="AB2111" s="148"/>
      <c r="AC2111" s="148"/>
    </row>
    <row r="2112" spans="1:29" hidden="1">
      <c r="A2112" s="146"/>
      <c r="B2112" s="147"/>
      <c r="C2112" s="147"/>
      <c r="D2112" s="147"/>
      <c r="E2112" s="147"/>
      <c r="F2112" s="147"/>
      <c r="G2112" s="147"/>
      <c r="H2112" s="147"/>
      <c r="I2112" s="147"/>
      <c r="J2112" s="147"/>
      <c r="K2112" s="147"/>
      <c r="L2112" s="147"/>
      <c r="M2112" s="147"/>
      <c r="N2112" s="147"/>
      <c r="O2112" s="147"/>
      <c r="P2112" s="147"/>
      <c r="Q2112" s="147"/>
      <c r="R2112" s="148"/>
      <c r="S2112" s="148"/>
      <c r="T2112" s="148"/>
      <c r="U2112" s="148"/>
      <c r="V2112" s="148"/>
      <c r="W2112" s="148"/>
      <c r="X2112" s="148"/>
      <c r="Y2112" s="148"/>
      <c r="Z2112" s="148"/>
      <c r="AA2112" s="148"/>
      <c r="AB2112" s="148"/>
      <c r="AC2112" s="148"/>
    </row>
    <row r="2113" spans="1:29" hidden="1">
      <c r="A2113" s="146"/>
      <c r="B2113" s="147"/>
      <c r="C2113" s="147"/>
      <c r="D2113" s="147"/>
      <c r="E2113" s="147"/>
      <c r="F2113" s="147"/>
      <c r="G2113" s="147"/>
      <c r="H2113" s="147"/>
      <c r="I2113" s="147"/>
      <c r="J2113" s="147"/>
      <c r="K2113" s="147"/>
      <c r="L2113" s="147"/>
      <c r="M2113" s="147"/>
      <c r="N2113" s="147"/>
      <c r="O2113" s="147"/>
      <c r="P2113" s="147"/>
      <c r="Q2113" s="147"/>
      <c r="R2113" s="148"/>
      <c r="S2113" s="148"/>
      <c r="T2113" s="148"/>
      <c r="U2113" s="148"/>
      <c r="V2113" s="148"/>
      <c r="W2113" s="148"/>
      <c r="X2113" s="148"/>
      <c r="Y2113" s="148"/>
      <c r="Z2113" s="148"/>
      <c r="AA2113" s="148"/>
      <c r="AB2113" s="148"/>
      <c r="AC2113" s="148"/>
    </row>
    <row r="2114" spans="1:29" hidden="1">
      <c r="A2114" s="146"/>
      <c r="B2114" s="147"/>
      <c r="C2114" s="147"/>
      <c r="D2114" s="147"/>
      <c r="E2114" s="147"/>
      <c r="F2114" s="147"/>
      <c r="G2114" s="147"/>
      <c r="H2114" s="147"/>
      <c r="I2114" s="147"/>
      <c r="J2114" s="147"/>
      <c r="K2114" s="147"/>
      <c r="L2114" s="147"/>
      <c r="M2114" s="147"/>
      <c r="N2114" s="147"/>
      <c r="O2114" s="147"/>
      <c r="P2114" s="147"/>
      <c r="Q2114" s="147"/>
      <c r="R2114" s="148"/>
      <c r="S2114" s="148"/>
      <c r="T2114" s="148"/>
      <c r="U2114" s="148"/>
      <c r="V2114" s="148"/>
      <c r="W2114" s="148"/>
      <c r="X2114" s="148"/>
      <c r="Y2114" s="148"/>
      <c r="Z2114" s="148"/>
      <c r="AA2114" s="148"/>
      <c r="AB2114" s="148"/>
      <c r="AC2114" s="148"/>
    </row>
    <row r="2115" spans="1:29" hidden="1">
      <c r="A2115" s="146"/>
      <c r="B2115" s="147"/>
      <c r="C2115" s="147"/>
      <c r="D2115" s="147"/>
      <c r="E2115" s="147"/>
      <c r="F2115" s="147"/>
      <c r="G2115" s="147"/>
      <c r="H2115" s="147"/>
      <c r="I2115" s="147"/>
      <c r="J2115" s="147"/>
      <c r="K2115" s="147"/>
      <c r="L2115" s="147"/>
      <c r="M2115" s="147"/>
      <c r="N2115" s="147"/>
      <c r="O2115" s="147"/>
      <c r="P2115" s="147"/>
      <c r="Q2115" s="147"/>
      <c r="R2115" s="148"/>
      <c r="S2115" s="148"/>
      <c r="T2115" s="148"/>
      <c r="U2115" s="148"/>
      <c r="V2115" s="148"/>
      <c r="W2115" s="148"/>
      <c r="X2115" s="148"/>
      <c r="Y2115" s="148"/>
      <c r="Z2115" s="148"/>
      <c r="AA2115" s="148"/>
      <c r="AB2115" s="148"/>
      <c r="AC2115" s="148"/>
    </row>
    <row r="2116" spans="1:29" hidden="1">
      <c r="A2116" s="146"/>
      <c r="B2116" s="147"/>
      <c r="C2116" s="147"/>
      <c r="D2116" s="147"/>
      <c r="E2116" s="147"/>
      <c r="F2116" s="147"/>
      <c r="G2116" s="147"/>
      <c r="H2116" s="147"/>
      <c r="I2116" s="147"/>
      <c r="J2116" s="147"/>
      <c r="K2116" s="147"/>
      <c r="L2116" s="147"/>
      <c r="M2116" s="147"/>
      <c r="N2116" s="147"/>
      <c r="O2116" s="147"/>
      <c r="P2116" s="147"/>
      <c r="Q2116" s="147"/>
      <c r="R2116" s="148"/>
      <c r="S2116" s="148"/>
      <c r="T2116" s="148"/>
      <c r="U2116" s="148"/>
      <c r="V2116" s="148"/>
      <c r="W2116" s="148"/>
      <c r="X2116" s="148"/>
      <c r="Y2116" s="148"/>
      <c r="Z2116" s="148"/>
      <c r="AA2116" s="148"/>
      <c r="AB2116" s="148"/>
      <c r="AC2116" s="148"/>
    </row>
    <row r="2117" spans="1:29" hidden="1">
      <c r="A2117" s="146"/>
      <c r="B2117" s="147"/>
      <c r="C2117" s="147"/>
      <c r="D2117" s="147"/>
      <c r="E2117" s="147"/>
      <c r="F2117" s="147"/>
      <c r="G2117" s="147"/>
      <c r="H2117" s="147"/>
      <c r="I2117" s="147"/>
      <c r="J2117" s="147"/>
      <c r="K2117" s="147"/>
      <c r="L2117" s="147"/>
      <c r="M2117" s="147"/>
      <c r="N2117" s="147"/>
      <c r="O2117" s="147"/>
      <c r="P2117" s="147"/>
      <c r="Q2117" s="147"/>
      <c r="R2117" s="148"/>
      <c r="S2117" s="148"/>
      <c r="T2117" s="148"/>
      <c r="U2117" s="148"/>
      <c r="V2117" s="148"/>
      <c r="W2117" s="148"/>
      <c r="X2117" s="148"/>
      <c r="Y2117" s="148"/>
      <c r="Z2117" s="148"/>
      <c r="AA2117" s="148"/>
      <c r="AB2117" s="148"/>
      <c r="AC2117" s="148"/>
    </row>
    <row r="2118" spans="1:29" hidden="1">
      <c r="A2118" s="146"/>
      <c r="B2118" s="147"/>
      <c r="C2118" s="147"/>
      <c r="D2118" s="147"/>
      <c r="E2118" s="147"/>
      <c r="F2118" s="147"/>
      <c r="G2118" s="147"/>
      <c r="H2118" s="147"/>
      <c r="I2118" s="147"/>
      <c r="J2118" s="147"/>
      <c r="K2118" s="147"/>
      <c r="L2118" s="147"/>
      <c r="M2118" s="147"/>
      <c r="N2118" s="147"/>
      <c r="O2118" s="147"/>
      <c r="P2118" s="147"/>
      <c r="Q2118" s="147"/>
      <c r="R2118" s="148"/>
      <c r="S2118" s="148"/>
      <c r="T2118" s="148"/>
      <c r="U2118" s="148"/>
      <c r="V2118" s="148"/>
      <c r="W2118" s="148"/>
      <c r="X2118" s="148"/>
      <c r="Y2118" s="148"/>
      <c r="Z2118" s="148"/>
      <c r="AA2118" s="148"/>
      <c r="AB2118" s="148"/>
      <c r="AC2118" s="148"/>
    </row>
    <row r="2119" spans="1:29" hidden="1">
      <c r="A2119" s="146"/>
      <c r="B2119" s="147"/>
      <c r="C2119" s="147"/>
      <c r="D2119" s="147"/>
      <c r="E2119" s="147"/>
      <c r="F2119" s="147"/>
      <c r="G2119" s="147"/>
      <c r="H2119" s="147"/>
      <c r="I2119" s="147"/>
      <c r="J2119" s="147"/>
      <c r="K2119" s="147"/>
      <c r="L2119" s="147"/>
      <c r="M2119" s="147"/>
      <c r="N2119" s="147"/>
      <c r="O2119" s="147"/>
      <c r="P2119" s="147"/>
      <c r="Q2119" s="147"/>
      <c r="R2119" s="148"/>
      <c r="S2119" s="148"/>
      <c r="T2119" s="148"/>
      <c r="U2119" s="148"/>
      <c r="V2119" s="148"/>
      <c r="W2119" s="148"/>
      <c r="X2119" s="148"/>
      <c r="Y2119" s="148"/>
      <c r="Z2119" s="148"/>
      <c r="AA2119" s="148"/>
      <c r="AB2119" s="148"/>
      <c r="AC2119" s="148"/>
    </row>
    <row r="2120" spans="1:29" hidden="1">
      <c r="A2120" s="146"/>
      <c r="B2120" s="147"/>
      <c r="C2120" s="147"/>
      <c r="D2120" s="147"/>
      <c r="E2120" s="147"/>
      <c r="F2120" s="147"/>
      <c r="G2120" s="147"/>
      <c r="H2120" s="147"/>
      <c r="I2120" s="147"/>
      <c r="J2120" s="147"/>
      <c r="K2120" s="147"/>
      <c r="L2120" s="147"/>
      <c r="M2120" s="147"/>
      <c r="N2120" s="147"/>
      <c r="O2120" s="147"/>
      <c r="P2120" s="147"/>
      <c r="Q2120" s="147"/>
      <c r="R2120" s="148"/>
      <c r="S2120" s="148"/>
      <c r="T2120" s="148"/>
      <c r="U2120" s="148"/>
      <c r="V2120" s="148"/>
      <c r="W2120" s="148"/>
      <c r="X2120" s="148"/>
      <c r="Y2120" s="148"/>
      <c r="Z2120" s="148"/>
      <c r="AA2120" s="148"/>
      <c r="AB2120" s="148"/>
      <c r="AC2120" s="148"/>
    </row>
    <row r="2121" spans="1:29" hidden="1">
      <c r="A2121" s="146"/>
      <c r="B2121" s="147"/>
      <c r="C2121" s="147"/>
      <c r="D2121" s="147"/>
      <c r="E2121" s="147"/>
      <c r="F2121" s="147"/>
      <c r="G2121" s="147"/>
      <c r="H2121" s="147"/>
      <c r="I2121" s="147"/>
      <c r="J2121" s="147"/>
      <c r="K2121" s="147"/>
      <c r="L2121" s="147"/>
      <c r="M2121" s="147"/>
      <c r="N2121" s="147"/>
      <c r="O2121" s="147"/>
      <c r="P2121" s="147"/>
      <c r="Q2121" s="147"/>
      <c r="R2121" s="148"/>
      <c r="S2121" s="148"/>
      <c r="T2121" s="148"/>
      <c r="U2121" s="148"/>
      <c r="V2121" s="148"/>
      <c r="W2121" s="148"/>
      <c r="X2121" s="148"/>
      <c r="Y2121" s="148"/>
      <c r="Z2121" s="148"/>
      <c r="AA2121" s="148"/>
      <c r="AB2121" s="148"/>
      <c r="AC2121" s="148"/>
    </row>
    <row r="2122" spans="1:29" hidden="1">
      <c r="A2122" s="146"/>
      <c r="B2122" s="147"/>
      <c r="C2122" s="147"/>
      <c r="D2122" s="147"/>
      <c r="E2122" s="147"/>
      <c r="F2122" s="147"/>
      <c r="G2122" s="147"/>
      <c r="H2122" s="147"/>
      <c r="I2122" s="147"/>
      <c r="J2122" s="147"/>
      <c r="K2122" s="147"/>
      <c r="L2122" s="147"/>
      <c r="M2122" s="147"/>
      <c r="N2122" s="147"/>
      <c r="O2122" s="147"/>
      <c r="P2122" s="147"/>
      <c r="Q2122" s="147"/>
      <c r="R2122" s="148"/>
      <c r="S2122" s="148"/>
      <c r="T2122" s="148"/>
      <c r="U2122" s="148"/>
      <c r="V2122" s="148"/>
      <c r="W2122" s="148"/>
      <c r="X2122" s="148"/>
      <c r="Y2122" s="148"/>
      <c r="Z2122" s="148"/>
      <c r="AA2122" s="148"/>
      <c r="AB2122" s="148"/>
      <c r="AC2122" s="148"/>
    </row>
    <row r="2123" spans="1:29" hidden="1">
      <c r="A2123" s="146"/>
      <c r="B2123" s="147"/>
      <c r="C2123" s="147"/>
      <c r="D2123" s="147"/>
      <c r="E2123" s="147"/>
      <c r="F2123" s="147"/>
      <c r="G2123" s="147"/>
      <c r="H2123" s="147"/>
      <c r="I2123" s="147"/>
      <c r="J2123" s="147"/>
      <c r="K2123" s="147"/>
      <c r="L2123" s="147"/>
      <c r="M2123" s="147"/>
      <c r="N2123" s="147"/>
      <c r="O2123" s="147"/>
      <c r="P2123" s="147"/>
      <c r="Q2123" s="147"/>
      <c r="R2123" s="148"/>
      <c r="S2123" s="148"/>
      <c r="T2123" s="148"/>
      <c r="U2123" s="148"/>
      <c r="V2123" s="148"/>
      <c r="W2123" s="148"/>
      <c r="X2123" s="148"/>
      <c r="Y2123" s="148"/>
      <c r="Z2123" s="148"/>
      <c r="AA2123" s="148"/>
      <c r="AB2123" s="148"/>
      <c r="AC2123" s="148"/>
    </row>
    <row r="2124" spans="1:29" hidden="1">
      <c r="A2124" s="146"/>
      <c r="B2124" s="147"/>
      <c r="C2124" s="147"/>
      <c r="D2124" s="147"/>
      <c r="E2124" s="147"/>
      <c r="F2124" s="147"/>
      <c r="G2124" s="147"/>
      <c r="H2124" s="147"/>
      <c r="I2124" s="147"/>
      <c r="J2124" s="147"/>
      <c r="K2124" s="147"/>
      <c r="L2124" s="147"/>
      <c r="M2124" s="147"/>
      <c r="N2124" s="147"/>
      <c r="O2124" s="147"/>
      <c r="P2124" s="147"/>
      <c r="Q2124" s="147"/>
      <c r="R2124" s="148"/>
      <c r="S2124" s="148"/>
      <c r="T2124" s="148"/>
      <c r="U2124" s="148"/>
      <c r="V2124" s="148"/>
      <c r="W2124" s="148"/>
      <c r="X2124" s="148"/>
      <c r="Y2124" s="148"/>
      <c r="Z2124" s="148"/>
      <c r="AA2124" s="148"/>
      <c r="AB2124" s="148"/>
      <c r="AC2124" s="148"/>
    </row>
    <row r="2125" spans="1:29" hidden="1">
      <c r="A2125" s="146"/>
      <c r="B2125" s="147"/>
      <c r="C2125" s="147"/>
      <c r="D2125" s="147"/>
      <c r="E2125" s="147"/>
      <c r="F2125" s="147"/>
      <c r="G2125" s="147"/>
      <c r="H2125" s="147"/>
      <c r="I2125" s="147"/>
      <c r="J2125" s="147"/>
      <c r="K2125" s="147"/>
      <c r="L2125" s="147"/>
      <c r="M2125" s="147"/>
      <c r="N2125" s="147"/>
      <c r="O2125" s="147"/>
      <c r="P2125" s="147"/>
      <c r="Q2125" s="147"/>
      <c r="R2125" s="148"/>
      <c r="S2125" s="148"/>
      <c r="T2125" s="148"/>
      <c r="U2125" s="148"/>
      <c r="V2125" s="148"/>
      <c r="W2125" s="148"/>
      <c r="X2125" s="148"/>
      <c r="Y2125" s="148"/>
      <c r="Z2125" s="148"/>
      <c r="AA2125" s="148"/>
      <c r="AB2125" s="148"/>
      <c r="AC2125" s="148"/>
    </row>
    <row r="2126" spans="1:29" hidden="1">
      <c r="A2126" s="146"/>
      <c r="B2126" s="147"/>
      <c r="C2126" s="147"/>
      <c r="D2126" s="147"/>
      <c r="E2126" s="147"/>
      <c r="F2126" s="147"/>
      <c r="G2126" s="147"/>
      <c r="H2126" s="147"/>
      <c r="I2126" s="147"/>
      <c r="J2126" s="147"/>
      <c r="K2126" s="147"/>
      <c r="L2126" s="147"/>
      <c r="M2126" s="147"/>
      <c r="N2126" s="147"/>
      <c r="O2126" s="147"/>
      <c r="P2126" s="147"/>
      <c r="Q2126" s="147"/>
      <c r="R2126" s="148"/>
      <c r="S2126" s="148"/>
      <c r="T2126" s="148"/>
      <c r="U2126" s="148"/>
      <c r="V2126" s="148"/>
      <c r="W2126" s="148"/>
      <c r="X2126" s="148"/>
      <c r="Y2126" s="148"/>
      <c r="Z2126" s="148"/>
      <c r="AA2126" s="148"/>
      <c r="AB2126" s="148"/>
      <c r="AC2126" s="148"/>
    </row>
    <row r="2127" spans="1:29" hidden="1">
      <c r="A2127" s="146"/>
      <c r="B2127" s="147"/>
      <c r="C2127" s="147"/>
      <c r="D2127" s="147"/>
      <c r="E2127" s="147"/>
      <c r="F2127" s="147"/>
      <c r="G2127" s="147"/>
      <c r="H2127" s="147"/>
      <c r="I2127" s="147"/>
      <c r="J2127" s="147"/>
      <c r="K2127" s="147"/>
      <c r="L2127" s="147"/>
      <c r="M2127" s="147"/>
      <c r="N2127" s="147"/>
      <c r="O2127" s="147"/>
      <c r="P2127" s="147"/>
      <c r="Q2127" s="147"/>
      <c r="R2127" s="148"/>
      <c r="S2127" s="148"/>
      <c r="T2127" s="148"/>
      <c r="U2127" s="148"/>
      <c r="V2127" s="148"/>
      <c r="W2127" s="148"/>
      <c r="X2127" s="148"/>
      <c r="Y2127" s="148"/>
      <c r="Z2127" s="148"/>
      <c r="AA2127" s="148"/>
      <c r="AB2127" s="148"/>
      <c r="AC2127" s="148"/>
    </row>
    <row r="2128" spans="1:29" hidden="1">
      <c r="A2128" s="146"/>
      <c r="B2128" s="147"/>
      <c r="C2128" s="147"/>
      <c r="D2128" s="147"/>
      <c r="E2128" s="147"/>
      <c r="F2128" s="147"/>
      <c r="G2128" s="147"/>
      <c r="H2128" s="147"/>
      <c r="I2128" s="147"/>
      <c r="J2128" s="147"/>
      <c r="K2128" s="147"/>
      <c r="L2128" s="147"/>
      <c r="M2128" s="147"/>
      <c r="N2128" s="147"/>
      <c r="O2128" s="147"/>
      <c r="P2128" s="147"/>
      <c r="Q2128" s="147"/>
      <c r="R2128" s="148"/>
      <c r="S2128" s="148"/>
      <c r="T2128" s="148"/>
      <c r="U2128" s="148"/>
      <c r="V2128" s="148"/>
      <c r="W2128" s="148"/>
      <c r="X2128" s="148"/>
      <c r="Y2128" s="148"/>
      <c r="Z2128" s="148"/>
      <c r="AA2128" s="148"/>
      <c r="AB2128" s="148"/>
      <c r="AC2128" s="148"/>
    </row>
    <row r="2129" spans="1:29" hidden="1">
      <c r="A2129" s="146"/>
      <c r="B2129" s="147"/>
      <c r="C2129" s="147"/>
      <c r="D2129" s="147"/>
      <c r="E2129" s="147"/>
      <c r="F2129" s="147"/>
      <c r="G2129" s="147"/>
      <c r="H2129" s="147"/>
      <c r="I2129" s="147"/>
      <c r="J2129" s="147"/>
      <c r="K2129" s="147"/>
      <c r="L2129" s="147"/>
      <c r="M2129" s="147"/>
      <c r="N2129" s="147"/>
      <c r="O2129" s="147"/>
      <c r="P2129" s="147"/>
      <c r="Q2129" s="147"/>
      <c r="R2129" s="148"/>
      <c r="S2129" s="148"/>
      <c r="T2129" s="148"/>
      <c r="U2129" s="148"/>
      <c r="V2129" s="148"/>
      <c r="W2129" s="148"/>
      <c r="X2129" s="148"/>
      <c r="Y2129" s="148"/>
      <c r="Z2129" s="148"/>
      <c r="AA2129" s="148"/>
      <c r="AB2129" s="148"/>
      <c r="AC2129" s="148"/>
    </row>
    <row r="2130" spans="1:29" hidden="1">
      <c r="A2130" s="146"/>
      <c r="B2130" s="147"/>
      <c r="C2130" s="147"/>
      <c r="D2130" s="147"/>
      <c r="E2130" s="147"/>
      <c r="F2130" s="147"/>
      <c r="G2130" s="147"/>
      <c r="H2130" s="147"/>
      <c r="I2130" s="147"/>
      <c r="J2130" s="147"/>
      <c r="K2130" s="147"/>
      <c r="L2130" s="147"/>
      <c r="M2130" s="147"/>
      <c r="N2130" s="147"/>
      <c r="O2130" s="147"/>
      <c r="P2130" s="147"/>
      <c r="Q2130" s="147"/>
      <c r="R2130" s="148"/>
      <c r="S2130" s="148"/>
      <c r="T2130" s="148"/>
      <c r="U2130" s="148"/>
      <c r="V2130" s="148"/>
      <c r="W2130" s="148"/>
      <c r="X2130" s="148"/>
      <c r="Y2130" s="148"/>
      <c r="Z2130" s="148"/>
      <c r="AA2130" s="148"/>
      <c r="AB2130" s="148"/>
      <c r="AC2130" s="148"/>
    </row>
    <row r="2131" spans="1:29" hidden="1">
      <c r="A2131" s="146"/>
      <c r="B2131" s="147"/>
      <c r="C2131" s="147"/>
      <c r="D2131" s="147"/>
      <c r="E2131" s="147"/>
      <c r="F2131" s="147"/>
      <c r="G2131" s="147"/>
      <c r="H2131" s="147"/>
      <c r="I2131" s="147"/>
      <c r="J2131" s="147"/>
      <c r="K2131" s="147"/>
      <c r="L2131" s="147"/>
      <c r="M2131" s="147"/>
      <c r="N2131" s="147"/>
      <c r="O2131" s="147"/>
      <c r="P2131" s="147"/>
      <c r="Q2131" s="147"/>
      <c r="R2131" s="148"/>
      <c r="S2131" s="148"/>
      <c r="T2131" s="148"/>
      <c r="U2131" s="148"/>
      <c r="V2131" s="148"/>
      <c r="W2131" s="148"/>
      <c r="X2131" s="148"/>
      <c r="Y2131" s="148"/>
      <c r="Z2131" s="148"/>
      <c r="AA2131" s="148"/>
      <c r="AB2131" s="148"/>
      <c r="AC2131" s="148"/>
    </row>
    <row r="2132" spans="1:29" hidden="1">
      <c r="A2132" s="146"/>
      <c r="B2132" s="147"/>
      <c r="C2132" s="147"/>
      <c r="D2132" s="147"/>
      <c r="E2132" s="147"/>
      <c r="F2132" s="147"/>
      <c r="G2132" s="147"/>
      <c r="H2132" s="147"/>
      <c r="I2132" s="147"/>
      <c r="J2132" s="147"/>
      <c r="K2132" s="147"/>
      <c r="L2132" s="147"/>
      <c r="M2132" s="147"/>
      <c r="N2132" s="147"/>
      <c r="O2132" s="147"/>
      <c r="P2132" s="147"/>
      <c r="Q2132" s="147"/>
      <c r="R2132" s="148"/>
      <c r="S2132" s="148"/>
      <c r="T2132" s="148"/>
      <c r="U2132" s="148"/>
      <c r="V2132" s="148"/>
      <c r="W2132" s="148"/>
      <c r="X2132" s="148"/>
      <c r="Y2132" s="148"/>
      <c r="Z2132" s="148"/>
      <c r="AA2132" s="148"/>
      <c r="AB2132" s="148"/>
      <c r="AC2132" s="148"/>
    </row>
    <row r="2133" spans="1:29" hidden="1">
      <c r="A2133" s="146"/>
      <c r="B2133" s="147"/>
      <c r="C2133" s="147"/>
      <c r="D2133" s="147"/>
      <c r="E2133" s="147"/>
      <c r="F2133" s="147"/>
      <c r="G2133" s="147"/>
      <c r="H2133" s="147"/>
      <c r="I2133" s="147"/>
      <c r="J2133" s="147"/>
      <c r="K2133" s="147"/>
      <c r="L2133" s="147"/>
      <c r="M2133" s="147"/>
      <c r="N2133" s="147"/>
      <c r="O2133" s="147"/>
      <c r="P2133" s="147"/>
      <c r="Q2133" s="147"/>
      <c r="R2133" s="148"/>
      <c r="S2133" s="148"/>
      <c r="T2133" s="148"/>
      <c r="U2133" s="148"/>
      <c r="V2133" s="148"/>
      <c r="W2133" s="148"/>
      <c r="X2133" s="148"/>
      <c r="Y2133" s="148"/>
      <c r="Z2133" s="148"/>
      <c r="AA2133" s="148"/>
      <c r="AB2133" s="148"/>
      <c r="AC2133" s="148"/>
    </row>
    <row r="2134" spans="1:29" hidden="1">
      <c r="A2134" s="146"/>
      <c r="B2134" s="147"/>
      <c r="C2134" s="147"/>
      <c r="D2134" s="147"/>
      <c r="E2134" s="147"/>
      <c r="F2134" s="147"/>
      <c r="G2134" s="147"/>
      <c r="H2134" s="147"/>
      <c r="I2134" s="147"/>
      <c r="J2134" s="147"/>
      <c r="K2134" s="147"/>
      <c r="L2134" s="147"/>
      <c r="M2134" s="147"/>
      <c r="N2134" s="147"/>
      <c r="O2134" s="147"/>
      <c r="P2134" s="147"/>
      <c r="Q2134" s="147"/>
      <c r="R2134" s="148"/>
      <c r="S2134" s="148"/>
      <c r="T2134" s="148"/>
      <c r="U2134" s="148"/>
      <c r="V2134" s="148"/>
      <c r="W2134" s="148"/>
      <c r="X2134" s="148"/>
      <c r="Y2134" s="148"/>
      <c r="Z2134" s="148"/>
      <c r="AA2134" s="148"/>
      <c r="AB2134" s="148"/>
      <c r="AC2134" s="148"/>
    </row>
    <row r="2135" spans="1:29" hidden="1">
      <c r="A2135" s="146"/>
      <c r="B2135" s="147"/>
      <c r="C2135" s="147"/>
      <c r="D2135" s="147"/>
      <c r="E2135" s="147"/>
      <c r="F2135" s="147"/>
      <c r="G2135" s="147"/>
      <c r="H2135" s="147"/>
      <c r="I2135" s="147"/>
      <c r="J2135" s="147"/>
      <c r="K2135" s="147"/>
      <c r="L2135" s="147"/>
      <c r="M2135" s="147"/>
      <c r="N2135" s="147"/>
      <c r="O2135" s="147"/>
      <c r="P2135" s="147"/>
      <c r="Q2135" s="147"/>
      <c r="R2135" s="148"/>
      <c r="S2135" s="148"/>
      <c r="T2135" s="148"/>
      <c r="U2135" s="148"/>
      <c r="V2135" s="148"/>
      <c r="W2135" s="148"/>
      <c r="X2135" s="148"/>
      <c r="Y2135" s="148"/>
      <c r="Z2135" s="148"/>
      <c r="AA2135" s="148"/>
      <c r="AB2135" s="148"/>
      <c r="AC2135" s="148"/>
    </row>
    <row r="2136" spans="1:29" hidden="1">
      <c r="A2136" s="146"/>
      <c r="B2136" s="147"/>
      <c r="C2136" s="147"/>
      <c r="D2136" s="147"/>
      <c r="E2136" s="147"/>
      <c r="F2136" s="147"/>
      <c r="G2136" s="147"/>
      <c r="H2136" s="147"/>
      <c r="I2136" s="147"/>
      <c r="J2136" s="147"/>
      <c r="K2136" s="147"/>
      <c r="L2136" s="147"/>
      <c r="M2136" s="147"/>
      <c r="N2136" s="147"/>
      <c r="O2136" s="147"/>
      <c r="P2136" s="147"/>
      <c r="Q2136" s="147"/>
      <c r="R2136" s="148"/>
      <c r="S2136" s="148"/>
      <c r="T2136" s="148"/>
      <c r="U2136" s="148"/>
      <c r="V2136" s="148"/>
      <c r="W2136" s="148"/>
      <c r="X2136" s="148"/>
      <c r="Y2136" s="148"/>
      <c r="Z2136" s="148"/>
      <c r="AA2136" s="148"/>
      <c r="AB2136" s="148"/>
      <c r="AC2136" s="148"/>
    </row>
    <row r="2137" spans="1:29" hidden="1">
      <c r="A2137" s="146"/>
      <c r="B2137" s="147"/>
      <c r="C2137" s="147"/>
      <c r="D2137" s="147"/>
      <c r="E2137" s="147"/>
      <c r="F2137" s="147"/>
      <c r="G2137" s="147"/>
      <c r="H2137" s="147"/>
      <c r="I2137" s="147"/>
      <c r="J2137" s="147"/>
      <c r="K2137" s="147"/>
      <c r="L2137" s="147"/>
      <c r="M2137" s="147"/>
      <c r="N2137" s="147"/>
      <c r="O2137" s="147"/>
      <c r="P2137" s="147"/>
      <c r="Q2137" s="147"/>
      <c r="R2137" s="148"/>
      <c r="S2137" s="148"/>
      <c r="T2137" s="148"/>
      <c r="U2137" s="148"/>
      <c r="V2137" s="148"/>
      <c r="W2137" s="148"/>
      <c r="X2137" s="148"/>
      <c r="Y2137" s="148"/>
      <c r="Z2137" s="148"/>
      <c r="AA2137" s="148"/>
      <c r="AB2137" s="148"/>
      <c r="AC2137" s="148"/>
    </row>
    <row r="2138" spans="1:29" hidden="1">
      <c r="A2138" s="146"/>
      <c r="B2138" s="147"/>
      <c r="C2138" s="147"/>
      <c r="D2138" s="147"/>
      <c r="E2138" s="147"/>
      <c r="F2138" s="147"/>
      <c r="G2138" s="147"/>
      <c r="H2138" s="147"/>
      <c r="I2138" s="147"/>
      <c r="J2138" s="147"/>
      <c r="K2138" s="147"/>
      <c r="L2138" s="147"/>
      <c r="M2138" s="147"/>
      <c r="N2138" s="147"/>
      <c r="O2138" s="147"/>
      <c r="P2138" s="147"/>
      <c r="Q2138" s="147"/>
      <c r="R2138" s="148"/>
      <c r="S2138" s="148"/>
      <c r="T2138" s="148"/>
      <c r="U2138" s="148"/>
      <c r="V2138" s="148"/>
      <c r="W2138" s="148"/>
      <c r="X2138" s="148"/>
      <c r="Y2138" s="148"/>
      <c r="Z2138" s="148"/>
      <c r="AA2138" s="148"/>
      <c r="AB2138" s="148"/>
      <c r="AC2138" s="148"/>
    </row>
    <row r="2139" spans="1:29" hidden="1">
      <c r="A2139" s="146"/>
      <c r="B2139" s="147"/>
      <c r="C2139" s="147"/>
      <c r="D2139" s="147"/>
      <c r="E2139" s="147"/>
      <c r="F2139" s="147"/>
      <c r="G2139" s="147"/>
      <c r="H2139" s="147"/>
      <c r="I2139" s="147"/>
      <c r="J2139" s="147"/>
      <c r="K2139" s="147"/>
      <c r="L2139" s="147"/>
      <c r="M2139" s="147"/>
      <c r="N2139" s="147"/>
      <c r="O2139" s="147"/>
      <c r="P2139" s="147"/>
      <c r="Q2139" s="147"/>
      <c r="R2139" s="148"/>
      <c r="S2139" s="148"/>
      <c r="T2139" s="148"/>
      <c r="U2139" s="148"/>
      <c r="V2139" s="148"/>
      <c r="W2139" s="148"/>
      <c r="X2139" s="148"/>
      <c r="Y2139" s="148"/>
      <c r="Z2139" s="148"/>
      <c r="AA2139" s="148"/>
      <c r="AB2139" s="148"/>
      <c r="AC2139" s="148"/>
    </row>
    <row r="2140" spans="1:29" hidden="1">
      <c r="A2140" s="146"/>
      <c r="B2140" s="147"/>
      <c r="C2140" s="147"/>
      <c r="D2140" s="147"/>
      <c r="E2140" s="147"/>
      <c r="F2140" s="147"/>
      <c r="G2140" s="147"/>
      <c r="H2140" s="147"/>
      <c r="I2140" s="147"/>
      <c r="J2140" s="147"/>
      <c r="K2140" s="147"/>
      <c r="L2140" s="147"/>
      <c r="M2140" s="147"/>
      <c r="N2140" s="147"/>
      <c r="O2140" s="147"/>
      <c r="P2140" s="147"/>
      <c r="Q2140" s="147"/>
      <c r="R2140" s="148"/>
      <c r="S2140" s="148"/>
      <c r="T2140" s="148"/>
      <c r="U2140" s="148"/>
      <c r="V2140" s="148"/>
      <c r="W2140" s="148"/>
      <c r="X2140" s="148"/>
      <c r="Y2140" s="148"/>
      <c r="Z2140" s="148"/>
      <c r="AA2140" s="148"/>
      <c r="AB2140" s="148"/>
      <c r="AC2140" s="148"/>
    </row>
    <row r="2141" spans="1:29" hidden="1">
      <c r="A2141" s="146"/>
      <c r="B2141" s="147"/>
      <c r="C2141" s="147"/>
      <c r="D2141" s="147"/>
      <c r="E2141" s="147"/>
      <c r="F2141" s="147"/>
      <c r="G2141" s="147"/>
      <c r="H2141" s="147"/>
      <c r="I2141" s="147"/>
      <c r="J2141" s="147"/>
      <c r="K2141" s="147"/>
      <c r="L2141" s="147"/>
      <c r="M2141" s="147"/>
      <c r="N2141" s="147"/>
      <c r="O2141" s="147"/>
      <c r="P2141" s="147"/>
      <c r="Q2141" s="147"/>
      <c r="R2141" s="148"/>
      <c r="S2141" s="148"/>
      <c r="T2141" s="148"/>
      <c r="U2141" s="148"/>
      <c r="V2141" s="148"/>
      <c r="W2141" s="148"/>
      <c r="X2141" s="148"/>
      <c r="Y2141" s="148"/>
      <c r="Z2141" s="148"/>
      <c r="AA2141" s="148"/>
      <c r="AB2141" s="148"/>
      <c r="AC2141" s="148"/>
    </row>
    <row r="2142" spans="1:29" hidden="1">
      <c r="A2142" s="146"/>
      <c r="B2142" s="147"/>
      <c r="C2142" s="147"/>
      <c r="D2142" s="147"/>
      <c r="E2142" s="147"/>
      <c r="F2142" s="147"/>
      <c r="G2142" s="147"/>
      <c r="H2142" s="147"/>
      <c r="I2142" s="147"/>
      <c r="J2142" s="147"/>
      <c r="K2142" s="147"/>
      <c r="L2142" s="147"/>
      <c r="M2142" s="147"/>
      <c r="N2142" s="147"/>
      <c r="O2142" s="147"/>
      <c r="P2142" s="147"/>
      <c r="Q2142" s="147"/>
      <c r="R2142" s="148"/>
      <c r="S2142" s="148"/>
      <c r="T2142" s="148"/>
      <c r="U2142" s="148"/>
      <c r="V2142" s="148"/>
      <c r="W2142" s="148"/>
      <c r="X2142" s="148"/>
      <c r="Y2142" s="148"/>
      <c r="Z2142" s="148"/>
      <c r="AA2142" s="148"/>
      <c r="AB2142" s="148"/>
      <c r="AC2142" s="148"/>
    </row>
    <row r="2143" spans="1:29" hidden="1">
      <c r="A2143" s="146"/>
      <c r="B2143" s="147"/>
      <c r="C2143" s="147"/>
      <c r="D2143" s="147"/>
      <c r="E2143" s="147"/>
      <c r="F2143" s="147"/>
      <c r="G2143" s="147"/>
      <c r="H2143" s="147"/>
      <c r="I2143" s="147"/>
      <c r="J2143" s="147"/>
      <c r="K2143" s="147"/>
      <c r="L2143" s="147"/>
      <c r="M2143" s="147"/>
      <c r="N2143" s="147"/>
      <c r="O2143" s="147"/>
      <c r="P2143" s="147"/>
      <c r="Q2143" s="147"/>
      <c r="R2143" s="148"/>
      <c r="S2143" s="148"/>
      <c r="T2143" s="148"/>
      <c r="U2143" s="148"/>
      <c r="V2143" s="148"/>
      <c r="W2143" s="148"/>
      <c r="X2143" s="148"/>
      <c r="Y2143" s="148"/>
      <c r="Z2143" s="148"/>
      <c r="AA2143" s="148"/>
      <c r="AB2143" s="148"/>
      <c r="AC2143" s="148"/>
    </row>
    <row r="2144" spans="1:29" hidden="1">
      <c r="A2144" s="146"/>
      <c r="B2144" s="147"/>
      <c r="C2144" s="147"/>
      <c r="D2144" s="147"/>
      <c r="E2144" s="147"/>
      <c r="F2144" s="147"/>
      <c r="G2144" s="147"/>
      <c r="H2144" s="147"/>
      <c r="I2144" s="147"/>
      <c r="J2144" s="147"/>
      <c r="K2144" s="147"/>
      <c r="L2144" s="147"/>
      <c r="M2144" s="147"/>
      <c r="N2144" s="147"/>
      <c r="O2144" s="147"/>
      <c r="P2144" s="147"/>
      <c r="Q2144" s="147"/>
      <c r="R2144" s="148"/>
      <c r="S2144" s="148"/>
      <c r="T2144" s="148"/>
      <c r="U2144" s="148"/>
      <c r="V2144" s="148"/>
      <c r="W2144" s="148"/>
      <c r="X2144" s="148"/>
      <c r="Y2144" s="148"/>
      <c r="Z2144" s="148"/>
      <c r="AA2144" s="148"/>
      <c r="AB2144" s="148"/>
      <c r="AC2144" s="148"/>
    </row>
    <row r="2145" spans="1:29" hidden="1">
      <c r="A2145" s="146"/>
      <c r="B2145" s="147"/>
      <c r="C2145" s="147"/>
      <c r="D2145" s="147"/>
      <c r="E2145" s="147"/>
      <c r="F2145" s="147"/>
      <c r="G2145" s="147"/>
      <c r="H2145" s="147"/>
      <c r="I2145" s="147"/>
      <c r="J2145" s="147"/>
      <c r="K2145" s="147"/>
      <c r="L2145" s="147"/>
      <c r="M2145" s="147"/>
      <c r="N2145" s="147"/>
      <c r="O2145" s="147"/>
      <c r="P2145" s="147"/>
      <c r="Q2145" s="147"/>
      <c r="R2145" s="148"/>
      <c r="S2145" s="148"/>
      <c r="T2145" s="148"/>
      <c r="U2145" s="148"/>
      <c r="V2145" s="148"/>
      <c r="W2145" s="148"/>
      <c r="X2145" s="148"/>
      <c r="Y2145" s="148"/>
      <c r="Z2145" s="148"/>
      <c r="AA2145" s="148"/>
      <c r="AB2145" s="148"/>
      <c r="AC2145" s="148"/>
    </row>
    <row r="2146" spans="1:29" hidden="1">
      <c r="A2146" s="146"/>
      <c r="B2146" s="147"/>
      <c r="C2146" s="147"/>
      <c r="D2146" s="147"/>
      <c r="E2146" s="147"/>
      <c r="F2146" s="147"/>
      <c r="G2146" s="147"/>
      <c r="H2146" s="147"/>
      <c r="I2146" s="147"/>
      <c r="J2146" s="147"/>
      <c r="K2146" s="147"/>
      <c r="L2146" s="147"/>
      <c r="M2146" s="147"/>
      <c r="N2146" s="147"/>
      <c r="O2146" s="147"/>
      <c r="P2146" s="147"/>
      <c r="Q2146" s="147"/>
      <c r="R2146" s="148"/>
      <c r="S2146" s="148"/>
      <c r="T2146" s="148"/>
      <c r="U2146" s="148"/>
      <c r="V2146" s="148"/>
      <c r="W2146" s="148"/>
      <c r="X2146" s="148"/>
      <c r="Y2146" s="148"/>
      <c r="Z2146" s="148"/>
      <c r="AA2146" s="148"/>
      <c r="AB2146" s="148"/>
      <c r="AC2146" s="148"/>
    </row>
    <row r="2147" spans="1:29" hidden="1">
      <c r="A2147" s="146"/>
      <c r="B2147" s="147"/>
      <c r="C2147" s="147"/>
      <c r="D2147" s="147"/>
      <c r="E2147" s="147"/>
      <c r="F2147" s="147"/>
      <c r="G2147" s="147"/>
      <c r="H2147" s="147"/>
      <c r="I2147" s="147"/>
      <c r="J2147" s="147"/>
      <c r="K2147" s="147"/>
      <c r="L2147" s="147"/>
      <c r="M2147" s="147"/>
      <c r="N2147" s="147"/>
      <c r="O2147" s="147"/>
      <c r="P2147" s="147"/>
      <c r="Q2147" s="147"/>
      <c r="R2147" s="148"/>
      <c r="S2147" s="148"/>
      <c r="T2147" s="148"/>
      <c r="U2147" s="148"/>
      <c r="V2147" s="148"/>
      <c r="W2147" s="148"/>
      <c r="X2147" s="148"/>
      <c r="Y2147" s="148"/>
      <c r="Z2147" s="148"/>
      <c r="AA2147" s="148"/>
      <c r="AB2147" s="148"/>
      <c r="AC2147" s="148"/>
    </row>
    <row r="2148" spans="1:29" hidden="1">
      <c r="A2148" s="146"/>
      <c r="B2148" s="147"/>
      <c r="C2148" s="147"/>
      <c r="D2148" s="147"/>
      <c r="E2148" s="147"/>
      <c r="F2148" s="147"/>
      <c r="G2148" s="147"/>
      <c r="H2148" s="147"/>
      <c r="I2148" s="147"/>
      <c r="J2148" s="147"/>
      <c r="K2148" s="147"/>
      <c r="L2148" s="147"/>
      <c r="M2148" s="147"/>
      <c r="N2148" s="147"/>
      <c r="O2148" s="147"/>
      <c r="P2148" s="147"/>
      <c r="Q2148" s="147"/>
      <c r="R2148" s="148"/>
      <c r="S2148" s="148"/>
      <c r="T2148" s="148"/>
      <c r="U2148" s="148"/>
      <c r="V2148" s="148"/>
      <c r="W2148" s="148"/>
      <c r="X2148" s="148"/>
      <c r="Y2148" s="148"/>
      <c r="Z2148" s="148"/>
      <c r="AA2148" s="148"/>
      <c r="AB2148" s="148"/>
      <c r="AC2148" s="148"/>
    </row>
    <row r="2149" spans="1:29" hidden="1">
      <c r="A2149" s="146"/>
      <c r="B2149" s="147"/>
      <c r="C2149" s="147"/>
      <c r="D2149" s="147"/>
      <c r="E2149" s="147"/>
      <c r="F2149" s="147"/>
      <c r="G2149" s="147"/>
      <c r="H2149" s="147"/>
      <c r="I2149" s="147"/>
      <c r="J2149" s="147"/>
      <c r="K2149" s="147"/>
      <c r="L2149" s="147"/>
      <c r="M2149" s="147"/>
      <c r="N2149" s="147"/>
      <c r="O2149" s="147"/>
      <c r="P2149" s="147"/>
      <c r="Q2149" s="147"/>
      <c r="R2149" s="148"/>
      <c r="S2149" s="148"/>
      <c r="T2149" s="148"/>
      <c r="U2149" s="148"/>
      <c r="V2149" s="148"/>
      <c r="W2149" s="148"/>
      <c r="X2149" s="148"/>
      <c r="Y2149" s="148"/>
      <c r="Z2149" s="148"/>
      <c r="AA2149" s="148"/>
      <c r="AB2149" s="148"/>
      <c r="AC2149" s="148"/>
    </row>
    <row r="2150" spans="1:29" hidden="1">
      <c r="A2150" s="146"/>
      <c r="B2150" s="147"/>
      <c r="C2150" s="147"/>
      <c r="D2150" s="147"/>
      <c r="E2150" s="147"/>
      <c r="F2150" s="147"/>
      <c r="G2150" s="147"/>
      <c r="H2150" s="147"/>
      <c r="I2150" s="147"/>
      <c r="J2150" s="147"/>
      <c r="K2150" s="147"/>
      <c r="L2150" s="147"/>
      <c r="M2150" s="147"/>
      <c r="N2150" s="147"/>
      <c r="O2150" s="147"/>
      <c r="P2150" s="147"/>
      <c r="Q2150" s="147"/>
      <c r="R2150" s="148"/>
      <c r="S2150" s="148"/>
      <c r="T2150" s="148"/>
      <c r="U2150" s="148"/>
      <c r="V2150" s="148"/>
      <c r="W2150" s="148"/>
      <c r="X2150" s="148"/>
      <c r="Y2150" s="148"/>
      <c r="Z2150" s="148"/>
      <c r="AA2150" s="148"/>
      <c r="AB2150" s="148"/>
      <c r="AC2150" s="148"/>
    </row>
    <row r="2151" spans="1:29" hidden="1">
      <c r="A2151" s="146"/>
      <c r="B2151" s="147"/>
      <c r="C2151" s="147"/>
      <c r="D2151" s="147"/>
      <c r="E2151" s="147"/>
      <c r="F2151" s="147"/>
      <c r="G2151" s="147"/>
      <c r="H2151" s="147"/>
      <c r="I2151" s="147"/>
      <c r="J2151" s="147"/>
      <c r="K2151" s="147"/>
      <c r="L2151" s="147"/>
      <c r="M2151" s="147"/>
      <c r="N2151" s="147"/>
      <c r="O2151" s="147"/>
      <c r="P2151" s="147"/>
      <c r="Q2151" s="147"/>
      <c r="R2151" s="148"/>
      <c r="S2151" s="148"/>
      <c r="T2151" s="148"/>
      <c r="U2151" s="148"/>
      <c r="V2151" s="148"/>
      <c r="W2151" s="148"/>
      <c r="X2151" s="148"/>
      <c r="Y2151" s="148"/>
      <c r="Z2151" s="148"/>
      <c r="AA2151" s="148"/>
      <c r="AB2151" s="148"/>
      <c r="AC2151" s="148"/>
    </row>
    <row r="2152" spans="1:29" hidden="1">
      <c r="A2152" s="146"/>
      <c r="B2152" s="147"/>
      <c r="C2152" s="147"/>
      <c r="D2152" s="147"/>
      <c r="E2152" s="147"/>
      <c r="F2152" s="147"/>
      <c r="G2152" s="147"/>
      <c r="H2152" s="147"/>
      <c r="I2152" s="147"/>
      <c r="J2152" s="147"/>
      <c r="K2152" s="147"/>
      <c r="L2152" s="147"/>
      <c r="M2152" s="147"/>
      <c r="N2152" s="147"/>
      <c r="O2152" s="147"/>
      <c r="P2152" s="147"/>
      <c r="Q2152" s="147"/>
      <c r="R2152" s="148"/>
      <c r="S2152" s="148"/>
      <c r="T2152" s="148"/>
      <c r="U2152" s="148"/>
      <c r="V2152" s="148"/>
      <c r="W2152" s="148"/>
      <c r="X2152" s="148"/>
      <c r="Y2152" s="148"/>
      <c r="Z2152" s="148"/>
      <c r="AA2152" s="148"/>
      <c r="AB2152" s="148"/>
      <c r="AC2152" s="148"/>
    </row>
    <row r="2153" spans="1:29" hidden="1">
      <c r="A2153" s="146"/>
      <c r="B2153" s="147"/>
      <c r="C2153" s="147"/>
      <c r="D2153" s="147"/>
      <c r="E2153" s="147"/>
      <c r="F2153" s="147"/>
      <c r="G2153" s="147"/>
      <c r="H2153" s="147"/>
      <c r="I2153" s="147"/>
      <c r="J2153" s="147"/>
      <c r="K2153" s="147"/>
      <c r="L2153" s="147"/>
      <c r="M2153" s="147"/>
      <c r="N2153" s="147"/>
      <c r="O2153" s="147"/>
      <c r="P2153" s="147"/>
      <c r="Q2153" s="147"/>
      <c r="R2153" s="148"/>
      <c r="S2153" s="148"/>
      <c r="T2153" s="148"/>
      <c r="U2153" s="148"/>
      <c r="V2153" s="148"/>
      <c r="W2153" s="148"/>
      <c r="X2153" s="148"/>
      <c r="Y2153" s="148"/>
      <c r="Z2153" s="148"/>
      <c r="AA2153" s="148"/>
      <c r="AB2153" s="148"/>
      <c r="AC2153" s="148"/>
    </row>
    <row r="2154" spans="1:29" hidden="1">
      <c r="A2154" s="146"/>
      <c r="B2154" s="147"/>
      <c r="C2154" s="147"/>
      <c r="D2154" s="147"/>
      <c r="E2154" s="147"/>
      <c r="F2154" s="147"/>
      <c r="G2154" s="147"/>
      <c r="H2154" s="147"/>
      <c r="I2154" s="147"/>
      <c r="J2154" s="147"/>
      <c r="K2154" s="147"/>
      <c r="L2154" s="147"/>
      <c r="M2154" s="147"/>
      <c r="N2154" s="147"/>
      <c r="O2154" s="147"/>
      <c r="P2154" s="147"/>
      <c r="Q2154" s="147"/>
      <c r="R2154" s="148"/>
      <c r="S2154" s="148"/>
      <c r="T2154" s="148"/>
      <c r="U2154" s="148"/>
      <c r="V2154" s="148"/>
      <c r="W2154" s="148"/>
      <c r="X2154" s="148"/>
      <c r="Y2154" s="148"/>
      <c r="Z2154" s="148"/>
      <c r="AA2154" s="148"/>
      <c r="AB2154" s="148"/>
      <c r="AC2154" s="148"/>
    </row>
    <row r="2155" spans="1:29" hidden="1">
      <c r="A2155" s="146"/>
      <c r="B2155" s="147"/>
      <c r="C2155" s="147"/>
      <c r="D2155" s="147"/>
      <c r="E2155" s="147"/>
      <c r="F2155" s="147"/>
      <c r="G2155" s="147"/>
      <c r="H2155" s="147"/>
      <c r="I2155" s="147"/>
      <c r="J2155" s="147"/>
      <c r="K2155" s="147"/>
      <c r="L2155" s="147"/>
      <c r="M2155" s="147"/>
      <c r="N2155" s="147"/>
      <c r="O2155" s="147"/>
      <c r="P2155" s="147"/>
      <c r="Q2155" s="147"/>
      <c r="R2155" s="148"/>
      <c r="S2155" s="148"/>
      <c r="T2155" s="148"/>
      <c r="U2155" s="148"/>
      <c r="V2155" s="148"/>
      <c r="W2155" s="148"/>
      <c r="X2155" s="148"/>
      <c r="Y2155" s="148"/>
      <c r="Z2155" s="148"/>
      <c r="AA2155" s="148"/>
      <c r="AB2155" s="148"/>
      <c r="AC2155" s="148"/>
    </row>
    <row r="2156" spans="1:29" hidden="1">
      <c r="A2156" s="146"/>
      <c r="B2156" s="147"/>
      <c r="C2156" s="147"/>
      <c r="D2156" s="147"/>
      <c r="E2156" s="147"/>
      <c r="F2156" s="147"/>
      <c r="G2156" s="147"/>
      <c r="H2156" s="147"/>
      <c r="I2156" s="147"/>
      <c r="J2156" s="147"/>
      <c r="K2156" s="147"/>
      <c r="L2156" s="147"/>
      <c r="M2156" s="147"/>
      <c r="N2156" s="147"/>
      <c r="O2156" s="147"/>
      <c r="P2156" s="147"/>
      <c r="Q2156" s="147"/>
      <c r="R2156" s="148"/>
      <c r="S2156" s="148"/>
      <c r="T2156" s="148"/>
      <c r="U2156" s="148"/>
      <c r="V2156" s="148"/>
      <c r="W2156" s="148"/>
      <c r="X2156" s="148"/>
      <c r="Y2156" s="148"/>
      <c r="Z2156" s="148"/>
      <c r="AA2156" s="148"/>
      <c r="AB2156" s="148"/>
      <c r="AC2156" s="148"/>
    </row>
    <row r="2157" spans="1:29" hidden="1">
      <c r="A2157" s="146"/>
      <c r="B2157" s="147"/>
      <c r="C2157" s="147"/>
      <c r="D2157" s="147"/>
      <c r="E2157" s="147"/>
      <c r="F2157" s="147"/>
      <c r="G2157" s="147"/>
      <c r="H2157" s="147"/>
      <c r="I2157" s="147"/>
      <c r="J2157" s="147"/>
      <c r="K2157" s="147"/>
      <c r="L2157" s="147"/>
      <c r="M2157" s="147"/>
      <c r="N2157" s="147"/>
      <c r="O2157" s="147"/>
      <c r="P2157" s="147"/>
      <c r="Q2157" s="147"/>
      <c r="R2157" s="148"/>
      <c r="S2157" s="148"/>
      <c r="T2157" s="148"/>
      <c r="U2157" s="148"/>
      <c r="V2157" s="148"/>
      <c r="W2157" s="148"/>
      <c r="X2157" s="148"/>
      <c r="Y2157" s="148"/>
      <c r="Z2157" s="148"/>
      <c r="AA2157" s="148"/>
      <c r="AB2157" s="148"/>
      <c r="AC2157" s="148"/>
    </row>
    <row r="2158" spans="1:29" hidden="1">
      <c r="A2158" s="146"/>
      <c r="B2158" s="147"/>
      <c r="C2158" s="147"/>
      <c r="D2158" s="147"/>
      <c r="E2158" s="147"/>
      <c r="F2158" s="147"/>
      <c r="G2158" s="147"/>
      <c r="H2158" s="147"/>
      <c r="I2158" s="147"/>
      <c r="J2158" s="147"/>
      <c r="K2158" s="147"/>
      <c r="L2158" s="147"/>
      <c r="M2158" s="147"/>
      <c r="N2158" s="147"/>
      <c r="O2158" s="147"/>
      <c r="P2158" s="147"/>
      <c r="Q2158" s="147"/>
      <c r="R2158" s="148"/>
      <c r="S2158" s="148"/>
      <c r="T2158" s="148"/>
      <c r="U2158" s="148"/>
      <c r="V2158" s="148"/>
      <c r="W2158" s="148"/>
      <c r="X2158" s="148"/>
      <c r="Y2158" s="148"/>
      <c r="Z2158" s="148"/>
      <c r="AA2158" s="148"/>
      <c r="AB2158" s="148"/>
      <c r="AC2158" s="148"/>
    </row>
    <row r="2159" spans="1:29" hidden="1">
      <c r="A2159" s="146"/>
      <c r="B2159" s="147"/>
      <c r="C2159" s="147"/>
      <c r="D2159" s="147"/>
      <c r="E2159" s="147"/>
      <c r="F2159" s="147"/>
      <c r="G2159" s="147"/>
      <c r="H2159" s="147"/>
      <c r="I2159" s="147"/>
      <c r="J2159" s="147"/>
      <c r="K2159" s="147"/>
      <c r="L2159" s="147"/>
      <c r="M2159" s="147"/>
      <c r="N2159" s="147"/>
      <c r="O2159" s="147"/>
      <c r="P2159" s="147"/>
      <c r="Q2159" s="147"/>
      <c r="R2159" s="148"/>
      <c r="S2159" s="148"/>
      <c r="T2159" s="148"/>
      <c r="U2159" s="148"/>
      <c r="V2159" s="148"/>
      <c r="W2159" s="148"/>
      <c r="X2159" s="148"/>
      <c r="Y2159" s="148"/>
      <c r="Z2159" s="148"/>
      <c r="AA2159" s="148"/>
      <c r="AB2159" s="148"/>
      <c r="AC2159" s="148"/>
    </row>
    <row r="2160" spans="1:29" hidden="1">
      <c r="A2160" s="146"/>
      <c r="B2160" s="147"/>
      <c r="C2160" s="147"/>
      <c r="D2160" s="147"/>
      <c r="E2160" s="147"/>
      <c r="F2160" s="147"/>
      <c r="G2160" s="147"/>
      <c r="H2160" s="147"/>
      <c r="I2160" s="147"/>
      <c r="J2160" s="147"/>
      <c r="K2160" s="147"/>
      <c r="L2160" s="147"/>
      <c r="M2160" s="147"/>
      <c r="N2160" s="147"/>
      <c r="O2160" s="147"/>
      <c r="P2160" s="147"/>
      <c r="Q2160" s="147"/>
      <c r="R2160" s="148"/>
      <c r="S2160" s="148"/>
      <c r="T2160" s="148"/>
      <c r="U2160" s="148"/>
      <c r="V2160" s="148"/>
      <c r="W2160" s="148"/>
      <c r="X2160" s="148"/>
      <c r="Y2160" s="148"/>
      <c r="Z2160" s="148"/>
      <c r="AA2160" s="148"/>
      <c r="AB2160" s="148"/>
      <c r="AC2160" s="148"/>
    </row>
    <row r="2161" spans="1:29" hidden="1">
      <c r="A2161" s="146"/>
      <c r="B2161" s="147"/>
      <c r="C2161" s="147"/>
      <c r="D2161" s="147"/>
      <c r="E2161" s="147"/>
      <c r="F2161" s="147"/>
      <c r="G2161" s="147"/>
      <c r="H2161" s="147"/>
      <c r="I2161" s="147"/>
      <c r="J2161" s="147"/>
      <c r="K2161" s="147"/>
      <c r="L2161" s="147"/>
      <c r="M2161" s="147"/>
      <c r="N2161" s="147"/>
      <c r="O2161" s="147"/>
      <c r="P2161" s="147"/>
      <c r="Q2161" s="147"/>
      <c r="R2161" s="148"/>
      <c r="S2161" s="148"/>
      <c r="T2161" s="148"/>
      <c r="U2161" s="148"/>
      <c r="V2161" s="148"/>
      <c r="W2161" s="148"/>
      <c r="X2161" s="148"/>
      <c r="Y2161" s="148"/>
      <c r="Z2161" s="148"/>
      <c r="AA2161" s="148"/>
      <c r="AB2161" s="148"/>
      <c r="AC2161" s="148"/>
    </row>
    <row r="2162" spans="1:29" hidden="1">
      <c r="A2162" s="146"/>
      <c r="B2162" s="147"/>
      <c r="C2162" s="147"/>
      <c r="D2162" s="147"/>
      <c r="E2162" s="147"/>
      <c r="F2162" s="147"/>
      <c r="G2162" s="147"/>
      <c r="H2162" s="147"/>
      <c r="I2162" s="147"/>
      <c r="J2162" s="147"/>
      <c r="K2162" s="147"/>
      <c r="L2162" s="147"/>
      <c r="M2162" s="147"/>
      <c r="N2162" s="147"/>
      <c r="O2162" s="147"/>
      <c r="P2162" s="147"/>
      <c r="Q2162" s="147"/>
      <c r="R2162" s="148"/>
      <c r="S2162" s="148"/>
      <c r="T2162" s="148"/>
      <c r="U2162" s="148"/>
      <c r="V2162" s="148"/>
      <c r="W2162" s="148"/>
      <c r="X2162" s="148"/>
      <c r="Y2162" s="148"/>
      <c r="Z2162" s="148"/>
      <c r="AA2162" s="148"/>
      <c r="AB2162" s="148"/>
      <c r="AC2162" s="148"/>
    </row>
    <row r="2163" spans="1:29" hidden="1">
      <c r="A2163" s="146"/>
      <c r="B2163" s="147"/>
      <c r="C2163" s="147"/>
      <c r="D2163" s="147"/>
      <c r="E2163" s="147"/>
      <c r="F2163" s="147"/>
      <c r="G2163" s="147"/>
      <c r="H2163" s="147"/>
      <c r="I2163" s="147"/>
      <c r="J2163" s="147"/>
      <c r="K2163" s="147"/>
      <c r="L2163" s="147"/>
      <c r="M2163" s="147"/>
      <c r="N2163" s="147"/>
      <c r="O2163" s="147"/>
      <c r="P2163" s="147"/>
      <c r="Q2163" s="147"/>
      <c r="R2163" s="148"/>
      <c r="S2163" s="148"/>
      <c r="T2163" s="148"/>
      <c r="U2163" s="148"/>
      <c r="V2163" s="148"/>
      <c r="W2163" s="148"/>
      <c r="X2163" s="148"/>
      <c r="Y2163" s="148"/>
      <c r="Z2163" s="148"/>
      <c r="AA2163" s="148"/>
      <c r="AB2163" s="148"/>
      <c r="AC2163" s="148"/>
    </row>
    <row r="2164" spans="1:29" hidden="1">
      <c r="A2164" s="146"/>
      <c r="B2164" s="147"/>
      <c r="C2164" s="147"/>
      <c r="D2164" s="147"/>
      <c r="E2164" s="147"/>
      <c r="F2164" s="147"/>
      <c r="G2164" s="147"/>
      <c r="H2164" s="147"/>
      <c r="I2164" s="147"/>
      <c r="J2164" s="147"/>
      <c r="K2164" s="147"/>
      <c r="L2164" s="147"/>
      <c r="M2164" s="147"/>
      <c r="N2164" s="147"/>
      <c r="O2164" s="147"/>
      <c r="P2164" s="147"/>
      <c r="Q2164" s="147"/>
      <c r="R2164" s="148"/>
      <c r="S2164" s="148"/>
      <c r="T2164" s="148"/>
      <c r="U2164" s="148"/>
      <c r="V2164" s="148"/>
      <c r="W2164" s="148"/>
      <c r="X2164" s="148"/>
      <c r="Y2164" s="148"/>
      <c r="Z2164" s="148"/>
      <c r="AA2164" s="148"/>
      <c r="AB2164" s="148"/>
      <c r="AC2164" s="148"/>
    </row>
    <row r="2165" spans="1:29" hidden="1">
      <c r="A2165" s="146"/>
      <c r="B2165" s="147"/>
      <c r="C2165" s="147"/>
      <c r="D2165" s="147"/>
      <c r="E2165" s="147"/>
      <c r="F2165" s="147"/>
      <c r="G2165" s="147"/>
      <c r="H2165" s="147"/>
      <c r="I2165" s="147"/>
      <c r="J2165" s="147"/>
      <c r="K2165" s="147"/>
      <c r="L2165" s="147"/>
      <c r="M2165" s="147"/>
      <c r="N2165" s="147"/>
      <c r="O2165" s="147"/>
      <c r="P2165" s="147"/>
      <c r="Q2165" s="147"/>
      <c r="R2165" s="148"/>
      <c r="S2165" s="148"/>
      <c r="T2165" s="148"/>
      <c r="U2165" s="148"/>
      <c r="V2165" s="148"/>
      <c r="W2165" s="148"/>
      <c r="X2165" s="148"/>
      <c r="Y2165" s="148"/>
      <c r="Z2165" s="148"/>
      <c r="AA2165" s="148"/>
      <c r="AB2165" s="148"/>
      <c r="AC2165" s="148"/>
    </row>
    <row r="2166" spans="1:29" hidden="1">
      <c r="A2166" s="146"/>
      <c r="B2166" s="147"/>
      <c r="C2166" s="147"/>
      <c r="D2166" s="147"/>
      <c r="E2166" s="147"/>
      <c r="F2166" s="147"/>
      <c r="G2166" s="147"/>
      <c r="H2166" s="147"/>
      <c r="I2166" s="147"/>
      <c r="J2166" s="147"/>
      <c r="K2166" s="147"/>
      <c r="L2166" s="147"/>
      <c r="M2166" s="147"/>
      <c r="N2166" s="147"/>
      <c r="O2166" s="147"/>
      <c r="P2166" s="147"/>
      <c r="Q2166" s="147"/>
      <c r="R2166" s="148"/>
      <c r="S2166" s="148"/>
      <c r="T2166" s="148"/>
      <c r="U2166" s="148"/>
      <c r="V2166" s="148"/>
      <c r="W2166" s="148"/>
      <c r="X2166" s="148"/>
      <c r="Y2166" s="148"/>
      <c r="Z2166" s="148"/>
      <c r="AA2166" s="148"/>
      <c r="AB2166" s="148"/>
      <c r="AC2166" s="148"/>
    </row>
    <row r="2167" spans="1:29" hidden="1">
      <c r="A2167" s="146"/>
      <c r="B2167" s="147"/>
      <c r="C2167" s="147"/>
      <c r="D2167" s="147"/>
      <c r="E2167" s="147"/>
      <c r="F2167" s="147"/>
      <c r="G2167" s="147"/>
      <c r="H2167" s="147"/>
      <c r="I2167" s="147"/>
      <c r="J2167" s="147"/>
      <c r="K2167" s="147"/>
      <c r="L2167" s="147"/>
      <c r="M2167" s="147"/>
      <c r="N2167" s="147"/>
      <c r="O2167" s="147"/>
      <c r="P2167" s="147"/>
      <c r="Q2167" s="147"/>
      <c r="R2167" s="148"/>
      <c r="S2167" s="148"/>
      <c r="T2167" s="148"/>
      <c r="U2167" s="148"/>
      <c r="V2167" s="148"/>
      <c r="W2167" s="148"/>
      <c r="X2167" s="148"/>
      <c r="Y2167" s="148"/>
      <c r="Z2167" s="148"/>
      <c r="AA2167" s="148"/>
      <c r="AB2167" s="148"/>
      <c r="AC2167" s="148"/>
    </row>
    <row r="2168" spans="1:29" hidden="1">
      <c r="A2168" s="146"/>
      <c r="B2168" s="147"/>
      <c r="C2168" s="147"/>
      <c r="D2168" s="147"/>
      <c r="E2168" s="147"/>
      <c r="F2168" s="147"/>
      <c r="G2168" s="147"/>
      <c r="H2168" s="147"/>
      <c r="I2168" s="147"/>
      <c r="J2168" s="147"/>
      <c r="K2168" s="147"/>
      <c r="L2168" s="147"/>
      <c r="M2168" s="147"/>
      <c r="N2168" s="147"/>
      <c r="O2168" s="147"/>
      <c r="P2168" s="147"/>
      <c r="Q2168" s="147"/>
      <c r="R2168" s="148"/>
      <c r="S2168" s="148"/>
      <c r="T2168" s="148"/>
      <c r="U2168" s="148"/>
      <c r="V2168" s="148"/>
      <c r="W2168" s="148"/>
      <c r="X2168" s="148"/>
      <c r="Y2168" s="148"/>
      <c r="Z2168" s="148"/>
      <c r="AA2168" s="148"/>
      <c r="AB2168" s="148"/>
      <c r="AC2168" s="148"/>
    </row>
    <row r="2169" spans="1:29" hidden="1">
      <c r="A2169" s="146"/>
      <c r="B2169" s="147"/>
      <c r="C2169" s="147"/>
      <c r="D2169" s="147"/>
      <c r="E2169" s="147"/>
      <c r="F2169" s="147"/>
      <c r="G2169" s="147"/>
      <c r="H2169" s="147"/>
      <c r="I2169" s="147"/>
      <c r="J2169" s="147"/>
      <c r="K2169" s="147"/>
      <c r="L2169" s="147"/>
      <c r="M2169" s="147"/>
      <c r="N2169" s="147"/>
      <c r="O2169" s="147"/>
      <c r="P2169" s="147"/>
      <c r="Q2169" s="147"/>
      <c r="R2169" s="148"/>
      <c r="S2169" s="148"/>
      <c r="T2169" s="148"/>
      <c r="U2169" s="148"/>
      <c r="V2169" s="148"/>
      <c r="W2169" s="148"/>
      <c r="X2169" s="148"/>
      <c r="Y2169" s="148"/>
      <c r="Z2169" s="148"/>
      <c r="AA2169" s="148"/>
      <c r="AB2169" s="148"/>
      <c r="AC2169" s="148"/>
    </row>
    <row r="2170" spans="1:29" hidden="1">
      <c r="A2170" s="146"/>
      <c r="B2170" s="147"/>
      <c r="C2170" s="147"/>
      <c r="D2170" s="147"/>
      <c r="E2170" s="147"/>
      <c r="F2170" s="147"/>
      <c r="G2170" s="147"/>
      <c r="H2170" s="147"/>
      <c r="I2170" s="147"/>
      <c r="J2170" s="147"/>
      <c r="K2170" s="147"/>
      <c r="L2170" s="147"/>
      <c r="M2170" s="147"/>
      <c r="N2170" s="147"/>
      <c r="O2170" s="147"/>
      <c r="P2170" s="147"/>
      <c r="Q2170" s="147"/>
      <c r="R2170" s="148"/>
      <c r="S2170" s="148"/>
      <c r="T2170" s="148"/>
      <c r="U2170" s="148"/>
      <c r="V2170" s="148"/>
      <c r="W2170" s="148"/>
      <c r="X2170" s="148"/>
      <c r="Y2170" s="148"/>
      <c r="Z2170" s="148"/>
      <c r="AA2170" s="148"/>
      <c r="AB2170" s="148"/>
      <c r="AC2170" s="148"/>
    </row>
    <row r="2171" spans="1:29" hidden="1">
      <c r="A2171" s="146"/>
      <c r="B2171" s="147"/>
      <c r="C2171" s="147"/>
      <c r="D2171" s="147"/>
      <c r="E2171" s="147"/>
      <c r="F2171" s="147"/>
      <c r="G2171" s="147"/>
      <c r="H2171" s="147"/>
      <c r="I2171" s="147"/>
      <c r="J2171" s="147"/>
      <c r="K2171" s="147"/>
      <c r="L2171" s="147"/>
      <c r="M2171" s="147"/>
      <c r="N2171" s="147"/>
      <c r="O2171" s="147"/>
      <c r="P2171" s="147"/>
      <c r="Q2171" s="147"/>
      <c r="R2171" s="148"/>
      <c r="S2171" s="148"/>
      <c r="T2171" s="148"/>
      <c r="U2171" s="148"/>
      <c r="V2171" s="148"/>
      <c r="W2171" s="148"/>
      <c r="X2171" s="148"/>
      <c r="Y2171" s="148"/>
      <c r="Z2171" s="148"/>
      <c r="AA2171" s="148"/>
      <c r="AB2171" s="148"/>
      <c r="AC2171" s="148"/>
    </row>
    <row r="2172" spans="1:29" hidden="1">
      <c r="A2172" s="146"/>
      <c r="B2172" s="147"/>
      <c r="C2172" s="147"/>
      <c r="D2172" s="147"/>
      <c r="E2172" s="147"/>
      <c r="F2172" s="147"/>
      <c r="G2172" s="147"/>
      <c r="H2172" s="147"/>
      <c r="I2172" s="147"/>
      <c r="J2172" s="147"/>
      <c r="K2172" s="147"/>
      <c r="L2172" s="147"/>
      <c r="M2172" s="147"/>
      <c r="N2172" s="147"/>
      <c r="O2172" s="147"/>
      <c r="P2172" s="147"/>
      <c r="Q2172" s="147"/>
      <c r="R2172" s="148"/>
      <c r="S2172" s="148"/>
      <c r="T2172" s="148"/>
      <c r="U2172" s="148"/>
      <c r="V2172" s="148"/>
      <c r="W2172" s="148"/>
      <c r="X2172" s="148"/>
      <c r="Y2172" s="148"/>
      <c r="Z2172" s="148"/>
      <c r="AA2172" s="148"/>
      <c r="AB2172" s="148"/>
      <c r="AC2172" s="148"/>
    </row>
    <row r="2173" spans="1:29" hidden="1">
      <c r="A2173" s="146"/>
      <c r="B2173" s="147"/>
      <c r="C2173" s="147"/>
      <c r="D2173" s="147"/>
      <c r="E2173" s="147"/>
      <c r="F2173" s="147"/>
      <c r="G2173" s="147"/>
      <c r="H2173" s="147"/>
      <c r="I2173" s="147"/>
      <c r="J2173" s="147"/>
      <c r="K2173" s="147"/>
      <c r="L2173" s="147"/>
      <c r="M2173" s="147"/>
      <c r="N2173" s="147"/>
      <c r="O2173" s="147"/>
      <c r="P2173" s="147"/>
      <c r="Q2173" s="147"/>
      <c r="R2173" s="148"/>
      <c r="S2173" s="148"/>
      <c r="T2173" s="148"/>
      <c r="U2173" s="148"/>
      <c r="V2173" s="148"/>
      <c r="W2173" s="148"/>
      <c r="X2173" s="148"/>
      <c r="Y2173" s="148"/>
      <c r="Z2173" s="148"/>
      <c r="AA2173" s="148"/>
      <c r="AB2173" s="148"/>
      <c r="AC2173" s="148"/>
    </row>
    <row r="2174" spans="1:29" hidden="1">
      <c r="A2174" s="146"/>
      <c r="B2174" s="147"/>
      <c r="C2174" s="147"/>
      <c r="D2174" s="147"/>
      <c r="E2174" s="147"/>
      <c r="F2174" s="147"/>
      <c r="G2174" s="147"/>
      <c r="H2174" s="147"/>
      <c r="I2174" s="147"/>
      <c r="J2174" s="147"/>
      <c r="K2174" s="147"/>
      <c r="L2174" s="147"/>
      <c r="M2174" s="147"/>
      <c r="N2174" s="147"/>
      <c r="O2174" s="147"/>
      <c r="P2174" s="147"/>
      <c r="Q2174" s="147"/>
      <c r="R2174" s="148"/>
      <c r="S2174" s="148"/>
      <c r="T2174" s="148"/>
      <c r="U2174" s="148"/>
      <c r="V2174" s="148"/>
      <c r="W2174" s="148"/>
      <c r="X2174" s="148"/>
      <c r="Y2174" s="148"/>
      <c r="Z2174" s="148"/>
      <c r="AA2174" s="148"/>
      <c r="AB2174" s="148"/>
      <c r="AC2174" s="148"/>
    </row>
    <row r="2175" spans="1:29" hidden="1">
      <c r="A2175" s="146"/>
      <c r="B2175" s="147"/>
      <c r="C2175" s="147"/>
      <c r="D2175" s="147"/>
      <c r="E2175" s="147"/>
      <c r="F2175" s="147"/>
      <c r="G2175" s="147"/>
      <c r="H2175" s="147"/>
      <c r="I2175" s="147"/>
      <c r="J2175" s="147"/>
      <c r="K2175" s="147"/>
      <c r="L2175" s="147"/>
      <c r="M2175" s="147"/>
      <c r="N2175" s="147"/>
      <c r="O2175" s="147"/>
      <c r="P2175" s="147"/>
      <c r="Q2175" s="147"/>
      <c r="R2175" s="148"/>
      <c r="S2175" s="148"/>
      <c r="T2175" s="148"/>
      <c r="U2175" s="148"/>
      <c r="V2175" s="148"/>
      <c r="W2175" s="148"/>
      <c r="X2175" s="148"/>
      <c r="Y2175" s="148"/>
      <c r="Z2175" s="148"/>
      <c r="AA2175" s="148"/>
      <c r="AB2175" s="148"/>
      <c r="AC2175" s="148"/>
    </row>
    <row r="2176" spans="1:29" hidden="1">
      <c r="A2176" s="146"/>
      <c r="B2176" s="147"/>
      <c r="C2176" s="147"/>
      <c r="D2176" s="147"/>
      <c r="E2176" s="147"/>
      <c r="F2176" s="147"/>
      <c r="G2176" s="147"/>
      <c r="H2176" s="147"/>
      <c r="I2176" s="147"/>
      <c r="J2176" s="147"/>
      <c r="K2176" s="147"/>
      <c r="L2176" s="147"/>
      <c r="M2176" s="147"/>
      <c r="N2176" s="147"/>
      <c r="O2176" s="147"/>
      <c r="P2176" s="147"/>
      <c r="Q2176" s="147"/>
      <c r="R2176" s="148"/>
      <c r="S2176" s="148"/>
      <c r="T2176" s="148"/>
      <c r="U2176" s="148"/>
      <c r="V2176" s="148"/>
      <c r="W2176" s="148"/>
      <c r="X2176" s="148"/>
      <c r="Y2176" s="148"/>
      <c r="Z2176" s="148"/>
      <c r="AA2176" s="148"/>
      <c r="AB2176" s="148"/>
      <c r="AC2176" s="148"/>
    </row>
    <row r="2177" spans="1:29" hidden="1">
      <c r="A2177" s="146"/>
      <c r="B2177" s="147"/>
      <c r="C2177" s="147"/>
      <c r="D2177" s="147"/>
      <c r="E2177" s="147"/>
      <c r="F2177" s="147"/>
      <c r="G2177" s="147"/>
      <c r="H2177" s="147"/>
      <c r="I2177" s="147"/>
      <c r="J2177" s="147"/>
      <c r="K2177" s="147"/>
      <c r="L2177" s="147"/>
      <c r="M2177" s="147"/>
      <c r="N2177" s="147"/>
      <c r="O2177" s="147"/>
      <c r="P2177" s="147"/>
      <c r="Q2177" s="147"/>
      <c r="R2177" s="148"/>
      <c r="S2177" s="148"/>
      <c r="T2177" s="148"/>
      <c r="U2177" s="148"/>
      <c r="V2177" s="148"/>
      <c r="W2177" s="148"/>
      <c r="X2177" s="148"/>
      <c r="Y2177" s="148"/>
      <c r="Z2177" s="148"/>
      <c r="AA2177" s="148"/>
      <c r="AB2177" s="148"/>
      <c r="AC2177" s="148"/>
    </row>
    <row r="2178" spans="1:29" hidden="1">
      <c r="A2178" s="146"/>
      <c r="B2178" s="147"/>
      <c r="C2178" s="147"/>
      <c r="D2178" s="147"/>
      <c r="E2178" s="147"/>
      <c r="F2178" s="147"/>
      <c r="G2178" s="147"/>
      <c r="H2178" s="147"/>
      <c r="I2178" s="147"/>
      <c r="J2178" s="147"/>
      <c r="K2178" s="147"/>
      <c r="L2178" s="147"/>
      <c r="M2178" s="147"/>
      <c r="N2178" s="147"/>
      <c r="O2178" s="147"/>
      <c r="P2178" s="147"/>
      <c r="Q2178" s="147"/>
      <c r="R2178" s="148"/>
      <c r="S2178" s="148"/>
      <c r="T2178" s="148"/>
      <c r="U2178" s="148"/>
      <c r="V2178" s="148"/>
      <c r="W2178" s="148"/>
      <c r="X2178" s="148"/>
      <c r="Y2178" s="148"/>
      <c r="Z2178" s="148"/>
      <c r="AA2178" s="148"/>
      <c r="AB2178" s="148"/>
      <c r="AC2178" s="148"/>
    </row>
    <row r="2179" spans="1:29" hidden="1">
      <c r="A2179" s="146"/>
      <c r="B2179" s="147"/>
      <c r="C2179" s="147"/>
      <c r="D2179" s="147"/>
      <c r="E2179" s="147"/>
      <c r="F2179" s="147"/>
      <c r="G2179" s="147"/>
      <c r="H2179" s="147"/>
      <c r="I2179" s="147"/>
      <c r="J2179" s="147"/>
      <c r="K2179" s="147"/>
      <c r="L2179" s="147"/>
      <c r="M2179" s="147"/>
      <c r="N2179" s="147"/>
      <c r="O2179" s="147"/>
      <c r="P2179" s="147"/>
      <c r="Q2179" s="147"/>
      <c r="R2179" s="148"/>
      <c r="S2179" s="148"/>
      <c r="T2179" s="148"/>
      <c r="U2179" s="148"/>
      <c r="V2179" s="148"/>
      <c r="W2179" s="148"/>
      <c r="X2179" s="148"/>
      <c r="Y2179" s="148"/>
      <c r="Z2179" s="148"/>
      <c r="AA2179" s="148"/>
      <c r="AB2179" s="148"/>
      <c r="AC2179" s="148"/>
    </row>
    <row r="2180" spans="1:29" hidden="1">
      <c r="A2180" s="146"/>
      <c r="B2180" s="147"/>
      <c r="C2180" s="147"/>
      <c r="D2180" s="147"/>
      <c r="E2180" s="147"/>
      <c r="F2180" s="147"/>
      <c r="G2180" s="147"/>
      <c r="H2180" s="147"/>
      <c r="I2180" s="147"/>
      <c r="J2180" s="147"/>
      <c r="K2180" s="147"/>
      <c r="L2180" s="147"/>
      <c r="M2180" s="147"/>
      <c r="N2180" s="147"/>
      <c r="O2180" s="147"/>
      <c r="P2180" s="147"/>
      <c r="Q2180" s="147"/>
      <c r="R2180" s="148"/>
      <c r="S2180" s="148"/>
      <c r="T2180" s="148"/>
      <c r="U2180" s="148"/>
      <c r="V2180" s="148"/>
      <c r="W2180" s="148"/>
      <c r="X2180" s="148"/>
      <c r="Y2180" s="148"/>
      <c r="Z2180" s="148"/>
      <c r="AA2180" s="148"/>
      <c r="AB2180" s="148"/>
      <c r="AC2180" s="148"/>
    </row>
    <row r="2181" spans="1:29" hidden="1">
      <c r="A2181" s="146"/>
      <c r="B2181" s="147"/>
      <c r="C2181" s="147"/>
      <c r="D2181" s="147"/>
      <c r="E2181" s="147"/>
      <c r="F2181" s="147"/>
      <c r="G2181" s="147"/>
      <c r="H2181" s="147"/>
      <c r="I2181" s="147"/>
      <c r="J2181" s="147"/>
      <c r="K2181" s="147"/>
      <c r="L2181" s="147"/>
      <c r="M2181" s="147"/>
      <c r="N2181" s="147"/>
      <c r="O2181" s="147"/>
      <c r="P2181" s="147"/>
      <c r="Q2181" s="147"/>
      <c r="R2181" s="148"/>
      <c r="S2181" s="148"/>
      <c r="T2181" s="148"/>
      <c r="U2181" s="148"/>
      <c r="V2181" s="148"/>
      <c r="W2181" s="148"/>
      <c r="X2181" s="148"/>
      <c r="Y2181" s="148"/>
      <c r="Z2181" s="148"/>
      <c r="AA2181" s="148"/>
      <c r="AB2181" s="148"/>
      <c r="AC2181" s="148"/>
    </row>
    <row r="2182" spans="1:29" hidden="1">
      <c r="A2182" s="146"/>
      <c r="B2182" s="147"/>
      <c r="C2182" s="147"/>
      <c r="D2182" s="147"/>
      <c r="E2182" s="147"/>
      <c r="F2182" s="147"/>
      <c r="G2182" s="147"/>
      <c r="H2182" s="147"/>
      <c r="I2182" s="147"/>
      <c r="J2182" s="147"/>
      <c r="K2182" s="147"/>
      <c r="L2182" s="147"/>
      <c r="M2182" s="147"/>
      <c r="N2182" s="147"/>
      <c r="O2182" s="147"/>
      <c r="P2182" s="147"/>
      <c r="Q2182" s="147"/>
      <c r="R2182" s="148"/>
      <c r="S2182" s="148"/>
      <c r="T2182" s="148"/>
      <c r="U2182" s="148"/>
      <c r="V2182" s="148"/>
      <c r="W2182" s="148"/>
      <c r="X2182" s="148"/>
      <c r="Y2182" s="148"/>
      <c r="Z2182" s="148"/>
      <c r="AA2182" s="148"/>
      <c r="AB2182" s="148"/>
      <c r="AC2182" s="148"/>
    </row>
    <row r="2183" spans="1:29" hidden="1">
      <c r="A2183" s="146"/>
      <c r="B2183" s="147"/>
      <c r="C2183" s="147"/>
      <c r="D2183" s="147"/>
      <c r="E2183" s="147"/>
      <c r="F2183" s="147"/>
      <c r="G2183" s="147"/>
      <c r="H2183" s="147"/>
      <c r="I2183" s="147"/>
      <c r="J2183" s="147"/>
      <c r="K2183" s="147"/>
      <c r="L2183" s="147"/>
      <c r="M2183" s="147"/>
      <c r="N2183" s="147"/>
      <c r="O2183" s="147"/>
      <c r="P2183" s="147"/>
      <c r="Q2183" s="147"/>
      <c r="R2183" s="148"/>
      <c r="S2183" s="148"/>
      <c r="T2183" s="148"/>
      <c r="U2183" s="148"/>
      <c r="V2183" s="148"/>
      <c r="W2183" s="148"/>
      <c r="X2183" s="148"/>
      <c r="Y2183" s="148"/>
      <c r="Z2183" s="148"/>
      <c r="AA2183" s="148"/>
      <c r="AB2183" s="148"/>
      <c r="AC2183" s="148"/>
    </row>
    <row r="2184" spans="1:29" hidden="1">
      <c r="A2184" s="146"/>
      <c r="B2184" s="147"/>
      <c r="C2184" s="147"/>
      <c r="D2184" s="147"/>
      <c r="E2184" s="147"/>
      <c r="F2184" s="147"/>
      <c r="G2184" s="147"/>
      <c r="H2184" s="147"/>
      <c r="I2184" s="147"/>
      <c r="J2184" s="147"/>
      <c r="K2184" s="147"/>
      <c r="L2184" s="147"/>
      <c r="M2184" s="147"/>
      <c r="N2184" s="147"/>
      <c r="O2184" s="147"/>
      <c r="P2184" s="147"/>
      <c r="Q2184" s="147"/>
      <c r="R2184" s="148"/>
      <c r="S2184" s="148"/>
      <c r="T2184" s="148"/>
      <c r="U2184" s="148"/>
      <c r="V2184" s="148"/>
      <c r="W2184" s="148"/>
      <c r="X2184" s="148"/>
      <c r="Y2184" s="148"/>
      <c r="Z2184" s="148"/>
      <c r="AA2184" s="148"/>
      <c r="AB2184" s="148"/>
      <c r="AC2184" s="148"/>
    </row>
    <row r="2185" spans="1:29" hidden="1">
      <c r="A2185" s="146"/>
      <c r="B2185" s="147"/>
      <c r="C2185" s="147"/>
      <c r="D2185" s="147"/>
      <c r="E2185" s="147"/>
      <c r="F2185" s="147"/>
      <c r="G2185" s="147"/>
      <c r="H2185" s="147"/>
      <c r="I2185" s="147"/>
      <c r="J2185" s="147"/>
      <c r="K2185" s="147"/>
      <c r="L2185" s="147"/>
      <c r="M2185" s="147"/>
      <c r="N2185" s="147"/>
      <c r="O2185" s="147"/>
      <c r="P2185" s="147"/>
      <c r="Q2185" s="147"/>
      <c r="R2185" s="148"/>
      <c r="S2185" s="148"/>
      <c r="T2185" s="148"/>
      <c r="U2185" s="148"/>
      <c r="V2185" s="148"/>
      <c r="W2185" s="148"/>
      <c r="X2185" s="148"/>
      <c r="Y2185" s="148"/>
      <c r="Z2185" s="148"/>
      <c r="AA2185" s="148"/>
      <c r="AB2185" s="148"/>
      <c r="AC2185" s="148"/>
    </row>
    <row r="2186" spans="1:29" hidden="1">
      <c r="A2186" s="146"/>
      <c r="B2186" s="147"/>
      <c r="C2186" s="147"/>
      <c r="D2186" s="147"/>
      <c r="E2186" s="147"/>
      <c r="F2186" s="147"/>
      <c r="G2186" s="147"/>
      <c r="H2186" s="147"/>
      <c r="I2186" s="147"/>
      <c r="J2186" s="147"/>
      <c r="K2186" s="147"/>
      <c r="L2186" s="147"/>
      <c r="M2186" s="147"/>
      <c r="N2186" s="147"/>
      <c r="O2186" s="147"/>
      <c r="P2186" s="147"/>
      <c r="Q2186" s="147"/>
      <c r="R2186" s="148"/>
      <c r="S2186" s="148"/>
      <c r="T2186" s="148"/>
      <c r="U2186" s="148"/>
      <c r="V2186" s="148"/>
      <c r="W2186" s="148"/>
      <c r="X2186" s="148"/>
      <c r="Y2186" s="148"/>
      <c r="Z2186" s="148"/>
      <c r="AA2186" s="148"/>
      <c r="AB2186" s="148"/>
      <c r="AC2186" s="148"/>
    </row>
    <row r="2187" spans="1:29" hidden="1">
      <c r="A2187" s="146"/>
      <c r="B2187" s="147"/>
      <c r="C2187" s="147"/>
      <c r="D2187" s="147"/>
      <c r="E2187" s="147"/>
      <c r="F2187" s="147"/>
      <c r="G2187" s="147"/>
      <c r="H2187" s="147"/>
      <c r="I2187" s="147"/>
      <c r="J2187" s="147"/>
      <c r="K2187" s="147"/>
      <c r="L2187" s="147"/>
      <c r="M2187" s="147"/>
      <c r="N2187" s="147"/>
      <c r="O2187" s="147"/>
      <c r="P2187" s="147"/>
      <c r="Q2187" s="147"/>
      <c r="R2187" s="148"/>
      <c r="S2187" s="148"/>
      <c r="T2187" s="148"/>
      <c r="U2187" s="148"/>
      <c r="V2187" s="148"/>
      <c r="W2187" s="148"/>
      <c r="X2187" s="148"/>
      <c r="Y2187" s="148"/>
      <c r="Z2187" s="148"/>
      <c r="AA2187" s="148"/>
      <c r="AB2187" s="148"/>
      <c r="AC2187" s="148"/>
    </row>
    <row r="2188" spans="1:29" hidden="1">
      <c r="A2188" s="146"/>
      <c r="B2188" s="147"/>
      <c r="C2188" s="147"/>
      <c r="D2188" s="147"/>
      <c r="E2188" s="147"/>
      <c r="F2188" s="147"/>
      <c r="G2188" s="147"/>
      <c r="H2188" s="147"/>
      <c r="I2188" s="147"/>
      <c r="J2188" s="147"/>
      <c r="K2188" s="147"/>
      <c r="L2188" s="147"/>
      <c r="M2188" s="147"/>
      <c r="N2188" s="147"/>
      <c r="O2188" s="147"/>
      <c r="P2188" s="147"/>
      <c r="Q2188" s="147"/>
      <c r="R2188" s="148"/>
      <c r="S2188" s="148"/>
      <c r="T2188" s="148"/>
      <c r="U2188" s="148"/>
      <c r="V2188" s="148"/>
      <c r="W2188" s="148"/>
      <c r="X2188" s="148"/>
      <c r="Y2188" s="148"/>
      <c r="Z2188" s="148"/>
      <c r="AA2188" s="148"/>
      <c r="AB2188" s="148"/>
      <c r="AC2188" s="148"/>
    </row>
    <row r="2189" spans="1:29" hidden="1">
      <c r="A2189" s="146"/>
      <c r="B2189" s="147"/>
      <c r="C2189" s="147"/>
      <c r="D2189" s="147"/>
      <c r="E2189" s="147"/>
      <c r="F2189" s="147"/>
      <c r="G2189" s="147"/>
      <c r="H2189" s="147"/>
      <c r="I2189" s="147"/>
      <c r="J2189" s="147"/>
      <c r="K2189" s="147"/>
      <c r="L2189" s="147"/>
      <c r="M2189" s="147"/>
      <c r="N2189" s="147"/>
      <c r="O2189" s="147"/>
      <c r="P2189" s="147"/>
      <c r="Q2189" s="147"/>
      <c r="R2189" s="148"/>
      <c r="S2189" s="148"/>
      <c r="T2189" s="148"/>
      <c r="U2189" s="148"/>
      <c r="V2189" s="148"/>
      <c r="W2189" s="148"/>
      <c r="X2189" s="148"/>
      <c r="Y2189" s="148"/>
      <c r="Z2189" s="148"/>
      <c r="AA2189" s="148"/>
      <c r="AB2189" s="148"/>
      <c r="AC2189" s="148"/>
    </row>
    <row r="2190" spans="1:29" hidden="1">
      <c r="A2190" s="146"/>
      <c r="B2190" s="147"/>
      <c r="C2190" s="147"/>
      <c r="D2190" s="147"/>
      <c r="E2190" s="147"/>
      <c r="F2190" s="147"/>
      <c r="G2190" s="147"/>
      <c r="H2190" s="147"/>
      <c r="I2190" s="147"/>
      <c r="J2190" s="147"/>
      <c r="K2190" s="147"/>
      <c r="L2190" s="147"/>
      <c r="M2190" s="147"/>
      <c r="N2190" s="147"/>
      <c r="O2190" s="147"/>
      <c r="P2190" s="147"/>
      <c r="Q2190" s="147"/>
      <c r="R2190" s="148"/>
      <c r="S2190" s="148"/>
      <c r="T2190" s="148"/>
      <c r="U2190" s="148"/>
      <c r="V2190" s="148"/>
      <c r="W2190" s="148"/>
      <c r="X2190" s="148"/>
      <c r="Y2190" s="148"/>
      <c r="Z2190" s="148"/>
      <c r="AA2190" s="148"/>
      <c r="AB2190" s="148"/>
      <c r="AC2190" s="148"/>
    </row>
    <row r="2191" spans="1:29" hidden="1">
      <c r="A2191" s="146"/>
      <c r="B2191" s="147"/>
      <c r="C2191" s="147"/>
      <c r="D2191" s="147"/>
      <c r="E2191" s="147"/>
      <c r="F2191" s="147"/>
      <c r="G2191" s="147"/>
      <c r="H2191" s="147"/>
      <c r="I2191" s="147"/>
      <c r="J2191" s="147"/>
      <c r="K2191" s="147"/>
      <c r="L2191" s="147"/>
      <c r="M2191" s="147"/>
      <c r="N2191" s="147"/>
      <c r="O2191" s="147"/>
      <c r="P2191" s="147"/>
      <c r="Q2191" s="147"/>
      <c r="R2191" s="148"/>
      <c r="S2191" s="148"/>
      <c r="T2191" s="148"/>
      <c r="U2191" s="148"/>
      <c r="V2191" s="148"/>
      <c r="W2191" s="148"/>
      <c r="X2191" s="148"/>
      <c r="Y2191" s="148"/>
      <c r="Z2191" s="148"/>
      <c r="AA2191" s="148"/>
      <c r="AB2191" s="148"/>
      <c r="AC2191" s="148"/>
    </row>
    <row r="2192" spans="1:29" hidden="1">
      <c r="A2192" s="146"/>
      <c r="B2192" s="147"/>
      <c r="C2192" s="147"/>
      <c r="D2192" s="147"/>
      <c r="E2192" s="147"/>
      <c r="F2192" s="147"/>
      <c r="G2192" s="147"/>
      <c r="H2192" s="147"/>
      <c r="I2192" s="147"/>
      <c r="J2192" s="147"/>
      <c r="K2192" s="147"/>
      <c r="L2192" s="147"/>
      <c r="M2192" s="147"/>
      <c r="N2192" s="147"/>
      <c r="O2192" s="147"/>
      <c r="P2192" s="147"/>
      <c r="Q2192" s="147"/>
      <c r="R2192" s="148"/>
      <c r="S2192" s="148"/>
      <c r="T2192" s="148"/>
      <c r="U2192" s="148"/>
      <c r="V2192" s="148"/>
      <c r="W2192" s="148"/>
      <c r="X2192" s="148"/>
      <c r="Y2192" s="148"/>
      <c r="Z2192" s="148"/>
      <c r="AA2192" s="148"/>
      <c r="AB2192" s="148"/>
      <c r="AC2192" s="148"/>
    </row>
    <row r="2193" spans="1:29" hidden="1">
      <c r="A2193" s="146"/>
      <c r="B2193" s="147"/>
      <c r="C2193" s="147"/>
      <c r="D2193" s="147"/>
      <c r="E2193" s="147"/>
      <c r="F2193" s="147"/>
      <c r="G2193" s="147"/>
      <c r="H2193" s="147"/>
      <c r="I2193" s="147"/>
      <c r="J2193" s="147"/>
      <c r="K2193" s="147"/>
      <c r="L2193" s="147"/>
      <c r="M2193" s="147"/>
      <c r="N2193" s="147"/>
      <c r="O2193" s="147"/>
      <c r="P2193" s="147"/>
      <c r="Q2193" s="147"/>
      <c r="R2193" s="148"/>
      <c r="S2193" s="148"/>
      <c r="T2193" s="148"/>
      <c r="U2193" s="148"/>
      <c r="V2193" s="148"/>
      <c r="W2193" s="148"/>
      <c r="X2193" s="148"/>
      <c r="Y2193" s="148"/>
      <c r="Z2193" s="148"/>
      <c r="AA2193" s="148"/>
      <c r="AB2193" s="148"/>
      <c r="AC2193" s="148"/>
    </row>
    <row r="2194" spans="1:29" hidden="1">
      <c r="A2194" s="146"/>
      <c r="B2194" s="147"/>
      <c r="C2194" s="147"/>
      <c r="D2194" s="147"/>
      <c r="E2194" s="147"/>
      <c r="F2194" s="147"/>
      <c r="G2194" s="147"/>
      <c r="H2194" s="147"/>
      <c r="I2194" s="147"/>
      <c r="J2194" s="147"/>
      <c r="K2194" s="147"/>
      <c r="L2194" s="147"/>
      <c r="M2194" s="147"/>
      <c r="N2194" s="147"/>
      <c r="O2194" s="147"/>
      <c r="P2194" s="147"/>
      <c r="Q2194" s="147"/>
      <c r="R2194" s="148"/>
      <c r="S2194" s="148"/>
      <c r="T2194" s="148"/>
      <c r="U2194" s="148"/>
      <c r="V2194" s="148"/>
      <c r="W2194" s="148"/>
      <c r="X2194" s="148"/>
      <c r="Y2194" s="148"/>
      <c r="Z2194" s="148"/>
      <c r="AA2194" s="148"/>
      <c r="AB2194" s="148"/>
      <c r="AC2194" s="148"/>
    </row>
    <row r="2195" spans="1:29" hidden="1">
      <c r="A2195" s="146"/>
      <c r="B2195" s="147"/>
      <c r="C2195" s="147"/>
      <c r="D2195" s="147"/>
      <c r="E2195" s="147"/>
      <c r="F2195" s="147"/>
      <c r="G2195" s="147"/>
      <c r="H2195" s="147"/>
      <c r="I2195" s="147"/>
      <c r="J2195" s="147"/>
      <c r="K2195" s="147"/>
      <c r="L2195" s="147"/>
      <c r="M2195" s="147"/>
      <c r="N2195" s="147"/>
      <c r="O2195" s="147"/>
      <c r="P2195" s="147"/>
      <c r="Q2195" s="147"/>
      <c r="R2195" s="148"/>
      <c r="S2195" s="148"/>
      <c r="T2195" s="148"/>
      <c r="U2195" s="148"/>
      <c r="V2195" s="148"/>
      <c r="W2195" s="148"/>
      <c r="X2195" s="148"/>
      <c r="Y2195" s="148"/>
      <c r="Z2195" s="148"/>
      <c r="AA2195" s="148"/>
      <c r="AB2195" s="148"/>
      <c r="AC2195" s="148"/>
    </row>
    <row r="2196" spans="1:29" hidden="1">
      <c r="A2196" s="146"/>
      <c r="B2196" s="147"/>
      <c r="C2196" s="147"/>
      <c r="D2196" s="147"/>
      <c r="E2196" s="147"/>
      <c r="F2196" s="147"/>
      <c r="G2196" s="147"/>
      <c r="H2196" s="147"/>
      <c r="I2196" s="147"/>
      <c r="J2196" s="147"/>
      <c r="K2196" s="147"/>
      <c r="L2196" s="147"/>
      <c r="M2196" s="147"/>
      <c r="N2196" s="147"/>
      <c r="O2196" s="147"/>
      <c r="P2196" s="147"/>
      <c r="Q2196" s="147"/>
      <c r="R2196" s="148"/>
      <c r="S2196" s="148"/>
      <c r="T2196" s="148"/>
      <c r="U2196" s="148"/>
      <c r="V2196" s="148"/>
      <c r="W2196" s="148"/>
      <c r="X2196" s="148"/>
      <c r="Y2196" s="148"/>
      <c r="Z2196" s="148"/>
      <c r="AA2196" s="148"/>
      <c r="AB2196" s="148"/>
      <c r="AC2196" s="148"/>
    </row>
    <row r="2197" spans="1:29" hidden="1">
      <c r="A2197" s="146"/>
      <c r="B2197" s="147"/>
      <c r="C2197" s="147"/>
      <c r="D2197" s="147"/>
      <c r="E2197" s="147"/>
      <c r="F2197" s="147"/>
      <c r="G2197" s="147"/>
      <c r="H2197" s="147"/>
      <c r="I2197" s="147"/>
      <c r="J2197" s="147"/>
      <c r="K2197" s="147"/>
      <c r="L2197" s="147"/>
      <c r="M2197" s="147"/>
      <c r="N2197" s="147"/>
      <c r="O2197" s="147"/>
      <c r="P2197" s="147"/>
      <c r="Q2197" s="147"/>
      <c r="R2197" s="148"/>
      <c r="S2197" s="148"/>
      <c r="T2197" s="148"/>
      <c r="U2197" s="148"/>
      <c r="V2197" s="148"/>
      <c r="W2197" s="148"/>
      <c r="X2197" s="148"/>
      <c r="Y2197" s="148"/>
      <c r="Z2197" s="148"/>
      <c r="AA2197" s="148"/>
      <c r="AB2197" s="148"/>
      <c r="AC2197" s="148"/>
    </row>
    <row r="2198" spans="1:29" hidden="1">
      <c r="A2198" s="146"/>
      <c r="B2198" s="147"/>
      <c r="C2198" s="147"/>
      <c r="D2198" s="147"/>
      <c r="E2198" s="147"/>
      <c r="F2198" s="147"/>
      <c r="G2198" s="147"/>
      <c r="H2198" s="147"/>
      <c r="I2198" s="147"/>
      <c r="J2198" s="147"/>
      <c r="K2198" s="147"/>
      <c r="L2198" s="147"/>
      <c r="M2198" s="147"/>
      <c r="N2198" s="147"/>
      <c r="O2198" s="147"/>
      <c r="P2198" s="147"/>
      <c r="Q2198" s="147"/>
      <c r="R2198" s="148"/>
      <c r="S2198" s="148"/>
      <c r="T2198" s="148"/>
      <c r="U2198" s="148"/>
      <c r="V2198" s="148"/>
      <c r="W2198" s="148"/>
      <c r="X2198" s="148"/>
      <c r="Y2198" s="148"/>
      <c r="Z2198" s="148"/>
      <c r="AA2198" s="148"/>
      <c r="AB2198" s="148"/>
      <c r="AC2198" s="148"/>
    </row>
    <row r="2199" spans="1:29" hidden="1">
      <c r="A2199" s="146"/>
      <c r="B2199" s="147"/>
      <c r="C2199" s="147"/>
      <c r="D2199" s="147"/>
      <c r="E2199" s="147"/>
      <c r="F2199" s="147"/>
      <c r="G2199" s="147"/>
      <c r="H2199" s="147"/>
      <c r="I2199" s="147"/>
      <c r="J2199" s="147"/>
      <c r="K2199" s="147"/>
      <c r="L2199" s="147"/>
      <c r="M2199" s="147"/>
      <c r="N2199" s="147"/>
      <c r="O2199" s="147"/>
      <c r="P2199" s="147"/>
      <c r="Q2199" s="147"/>
      <c r="R2199" s="148"/>
      <c r="S2199" s="148"/>
      <c r="T2199" s="148"/>
      <c r="U2199" s="148"/>
      <c r="V2199" s="148"/>
      <c r="W2199" s="148"/>
      <c r="X2199" s="148"/>
      <c r="Y2199" s="148"/>
      <c r="Z2199" s="148"/>
      <c r="AA2199" s="148"/>
      <c r="AB2199" s="148"/>
      <c r="AC2199" s="148"/>
    </row>
    <row r="2200" spans="1:29" hidden="1">
      <c r="A2200" s="146"/>
      <c r="B2200" s="147"/>
      <c r="C2200" s="147"/>
      <c r="D2200" s="147"/>
      <c r="E2200" s="147"/>
      <c r="F2200" s="147"/>
      <c r="G2200" s="147"/>
      <c r="H2200" s="147"/>
      <c r="I2200" s="147"/>
      <c r="J2200" s="147"/>
      <c r="K2200" s="147"/>
      <c r="L2200" s="147"/>
      <c r="M2200" s="147"/>
      <c r="N2200" s="147"/>
      <c r="O2200" s="147"/>
      <c r="P2200" s="147"/>
      <c r="Q2200" s="147"/>
      <c r="R2200" s="148"/>
      <c r="S2200" s="148"/>
      <c r="T2200" s="148"/>
      <c r="U2200" s="148"/>
      <c r="V2200" s="148"/>
      <c r="W2200" s="148"/>
      <c r="X2200" s="148"/>
      <c r="Y2200" s="148"/>
      <c r="Z2200" s="148"/>
      <c r="AA2200" s="148"/>
      <c r="AB2200" s="148"/>
      <c r="AC2200" s="148"/>
    </row>
    <row r="2201" spans="1:29" hidden="1">
      <c r="A2201" s="146"/>
      <c r="B2201" s="147"/>
      <c r="C2201" s="147"/>
      <c r="D2201" s="147"/>
      <c r="E2201" s="147"/>
      <c r="F2201" s="147"/>
      <c r="G2201" s="147"/>
      <c r="H2201" s="147"/>
      <c r="I2201" s="147"/>
      <c r="J2201" s="147"/>
      <c r="K2201" s="147"/>
      <c r="L2201" s="147"/>
      <c r="M2201" s="147"/>
      <c r="N2201" s="147"/>
      <c r="O2201" s="147"/>
      <c r="P2201" s="147"/>
      <c r="Q2201" s="147"/>
      <c r="R2201" s="148"/>
      <c r="S2201" s="148"/>
      <c r="T2201" s="148"/>
      <c r="U2201" s="148"/>
      <c r="V2201" s="148"/>
      <c r="W2201" s="148"/>
      <c r="X2201" s="148"/>
      <c r="Y2201" s="148"/>
      <c r="Z2201" s="148"/>
      <c r="AA2201" s="148"/>
      <c r="AB2201" s="148"/>
      <c r="AC2201" s="148"/>
    </row>
    <row r="2202" spans="1:29" hidden="1">
      <c r="A2202" s="146"/>
      <c r="B2202" s="147"/>
      <c r="C2202" s="147"/>
      <c r="D2202" s="147"/>
      <c r="E2202" s="147"/>
      <c r="F2202" s="147"/>
      <c r="G2202" s="147"/>
      <c r="H2202" s="147"/>
      <c r="I2202" s="147"/>
      <c r="J2202" s="147"/>
      <c r="K2202" s="147"/>
      <c r="L2202" s="147"/>
      <c r="M2202" s="147"/>
      <c r="N2202" s="147"/>
      <c r="O2202" s="147"/>
      <c r="P2202" s="147"/>
      <c r="Q2202" s="147"/>
      <c r="R2202" s="148"/>
      <c r="S2202" s="148"/>
      <c r="T2202" s="148"/>
      <c r="U2202" s="148"/>
      <c r="V2202" s="148"/>
      <c r="W2202" s="148"/>
      <c r="X2202" s="148"/>
      <c r="Y2202" s="148"/>
      <c r="Z2202" s="148"/>
      <c r="AA2202" s="148"/>
      <c r="AB2202" s="148"/>
      <c r="AC2202" s="148"/>
    </row>
    <row r="2203" spans="1:29" hidden="1">
      <c r="A2203" s="146"/>
      <c r="B2203" s="147"/>
      <c r="C2203" s="147"/>
      <c r="D2203" s="147"/>
      <c r="E2203" s="147"/>
      <c r="F2203" s="147"/>
      <c r="G2203" s="147"/>
      <c r="H2203" s="147"/>
      <c r="I2203" s="147"/>
      <c r="J2203" s="147"/>
      <c r="K2203" s="147"/>
      <c r="L2203" s="147"/>
      <c r="M2203" s="147"/>
      <c r="N2203" s="147"/>
      <c r="O2203" s="147"/>
      <c r="P2203" s="147"/>
      <c r="Q2203" s="147"/>
      <c r="R2203" s="148"/>
      <c r="S2203" s="148"/>
      <c r="T2203" s="148"/>
      <c r="U2203" s="148"/>
      <c r="V2203" s="148"/>
      <c r="W2203" s="148"/>
      <c r="X2203" s="148"/>
      <c r="Y2203" s="148"/>
      <c r="Z2203" s="148"/>
      <c r="AA2203" s="148"/>
      <c r="AB2203" s="148"/>
      <c r="AC2203" s="148"/>
    </row>
    <row r="2204" spans="1:29" hidden="1">
      <c r="A2204" s="146"/>
      <c r="B2204" s="147"/>
      <c r="C2204" s="147"/>
      <c r="D2204" s="147"/>
      <c r="E2204" s="147"/>
      <c r="F2204" s="147"/>
      <c r="G2204" s="147"/>
      <c r="H2204" s="147"/>
      <c r="I2204" s="147"/>
      <c r="J2204" s="147"/>
      <c r="K2204" s="147"/>
      <c r="L2204" s="147"/>
      <c r="M2204" s="147"/>
      <c r="N2204" s="147"/>
      <c r="O2204" s="147"/>
      <c r="P2204" s="147"/>
      <c r="Q2204" s="147"/>
      <c r="R2204" s="148"/>
      <c r="S2204" s="148"/>
      <c r="T2204" s="148"/>
      <c r="U2204" s="148"/>
      <c r="V2204" s="148"/>
      <c r="W2204" s="148"/>
      <c r="X2204" s="148"/>
      <c r="Y2204" s="148"/>
      <c r="Z2204" s="148"/>
      <c r="AA2204" s="148"/>
      <c r="AB2204" s="148"/>
      <c r="AC2204" s="148"/>
    </row>
    <row r="2205" spans="1:29" hidden="1">
      <c r="A2205" s="146"/>
      <c r="B2205" s="147"/>
      <c r="C2205" s="147"/>
      <c r="D2205" s="147"/>
      <c r="E2205" s="147"/>
      <c r="F2205" s="147"/>
      <c r="G2205" s="147"/>
      <c r="H2205" s="147"/>
      <c r="I2205" s="147"/>
      <c r="J2205" s="147"/>
      <c r="K2205" s="147"/>
      <c r="L2205" s="147"/>
      <c r="M2205" s="147"/>
      <c r="N2205" s="147"/>
      <c r="O2205" s="147"/>
      <c r="P2205" s="147"/>
      <c r="Q2205" s="147"/>
      <c r="R2205" s="148"/>
      <c r="S2205" s="148"/>
      <c r="T2205" s="148"/>
      <c r="U2205" s="148"/>
      <c r="V2205" s="148"/>
      <c r="W2205" s="148"/>
      <c r="X2205" s="148"/>
      <c r="Y2205" s="148"/>
      <c r="Z2205" s="148"/>
      <c r="AA2205" s="148"/>
      <c r="AB2205" s="148"/>
      <c r="AC2205" s="148"/>
    </row>
    <row r="2206" spans="1:29" hidden="1">
      <c r="A2206" s="146"/>
      <c r="B2206" s="147"/>
      <c r="C2206" s="147"/>
      <c r="D2206" s="147"/>
      <c r="E2206" s="147"/>
      <c r="F2206" s="147"/>
      <c r="G2206" s="147"/>
      <c r="H2206" s="147"/>
      <c r="I2206" s="147"/>
      <c r="J2206" s="147"/>
      <c r="K2206" s="147"/>
      <c r="L2206" s="147"/>
      <c r="M2206" s="147"/>
      <c r="N2206" s="147"/>
      <c r="O2206" s="147"/>
      <c r="P2206" s="147"/>
      <c r="Q2206" s="147"/>
      <c r="R2206" s="148"/>
      <c r="S2206" s="148"/>
      <c r="T2206" s="148"/>
      <c r="U2206" s="148"/>
      <c r="V2206" s="148"/>
      <c r="W2206" s="148"/>
      <c r="X2206" s="148"/>
      <c r="Y2206" s="148"/>
      <c r="Z2206" s="148"/>
      <c r="AA2206" s="148"/>
      <c r="AB2206" s="148"/>
      <c r="AC2206" s="148"/>
    </row>
    <row r="2207" spans="1:29" hidden="1">
      <c r="A2207" s="146"/>
      <c r="B2207" s="147"/>
      <c r="C2207" s="147"/>
      <c r="D2207" s="147"/>
      <c r="E2207" s="147"/>
      <c r="F2207" s="147"/>
      <c r="G2207" s="147"/>
      <c r="H2207" s="147"/>
      <c r="I2207" s="147"/>
      <c r="J2207" s="147"/>
      <c r="K2207" s="147"/>
      <c r="L2207" s="147"/>
      <c r="M2207" s="147"/>
      <c r="N2207" s="147"/>
      <c r="O2207" s="147"/>
      <c r="P2207" s="147"/>
      <c r="Q2207" s="147"/>
      <c r="R2207" s="148"/>
      <c r="S2207" s="148"/>
      <c r="T2207" s="148"/>
      <c r="U2207" s="148"/>
      <c r="V2207" s="148"/>
      <c r="W2207" s="148"/>
      <c r="X2207" s="148"/>
      <c r="Y2207" s="148"/>
      <c r="Z2207" s="148"/>
      <c r="AA2207" s="148"/>
      <c r="AB2207" s="148"/>
      <c r="AC2207" s="148"/>
    </row>
    <row r="2208" spans="1:29" hidden="1">
      <c r="A2208" s="146"/>
      <c r="B2208" s="147"/>
      <c r="C2208" s="147"/>
      <c r="D2208" s="147"/>
      <c r="E2208" s="147"/>
      <c r="F2208" s="147"/>
      <c r="G2208" s="147"/>
      <c r="H2208" s="147"/>
      <c r="I2208" s="147"/>
      <c r="J2208" s="147"/>
      <c r="K2208" s="147"/>
      <c r="L2208" s="147"/>
      <c r="M2208" s="147"/>
      <c r="N2208" s="147"/>
      <c r="O2208" s="147"/>
      <c r="P2208" s="147"/>
      <c r="Q2208" s="147"/>
      <c r="R2208" s="148"/>
      <c r="S2208" s="148"/>
      <c r="T2208" s="148"/>
      <c r="U2208" s="148"/>
      <c r="V2208" s="148"/>
      <c r="W2208" s="148"/>
      <c r="X2208" s="148"/>
      <c r="Y2208" s="148"/>
      <c r="Z2208" s="148"/>
      <c r="AA2208" s="148"/>
      <c r="AB2208" s="148"/>
      <c r="AC2208" s="148"/>
    </row>
    <row r="2209" spans="1:29" hidden="1">
      <c r="A2209" s="146"/>
      <c r="B2209" s="147"/>
      <c r="C2209" s="147"/>
      <c r="D2209" s="147"/>
      <c r="E2209" s="147"/>
      <c r="F2209" s="147"/>
      <c r="G2209" s="147"/>
      <c r="H2209" s="147"/>
      <c r="I2209" s="147"/>
      <c r="J2209" s="147"/>
      <c r="K2209" s="147"/>
      <c r="L2209" s="147"/>
      <c r="M2209" s="147"/>
      <c r="N2209" s="147"/>
      <c r="O2209" s="147"/>
      <c r="P2209" s="147"/>
      <c r="Q2209" s="147"/>
      <c r="R2209" s="148"/>
      <c r="S2209" s="148"/>
      <c r="T2209" s="148"/>
      <c r="U2209" s="148"/>
      <c r="V2209" s="148"/>
      <c r="W2209" s="148"/>
      <c r="X2209" s="148"/>
      <c r="Y2209" s="148"/>
      <c r="Z2209" s="148"/>
      <c r="AA2209" s="148"/>
      <c r="AB2209" s="148"/>
      <c r="AC2209" s="148"/>
    </row>
    <row r="2210" spans="1:29" hidden="1">
      <c r="A2210" s="146"/>
      <c r="B2210" s="147"/>
      <c r="C2210" s="147"/>
      <c r="D2210" s="147"/>
      <c r="E2210" s="147"/>
      <c r="F2210" s="147"/>
      <c r="G2210" s="147"/>
      <c r="H2210" s="147"/>
      <c r="I2210" s="147"/>
      <c r="J2210" s="147"/>
      <c r="K2210" s="147"/>
      <c r="L2210" s="147"/>
      <c r="M2210" s="147"/>
      <c r="N2210" s="147"/>
      <c r="O2210" s="147"/>
      <c r="P2210" s="147"/>
      <c r="Q2210" s="147"/>
      <c r="R2210" s="148"/>
      <c r="S2210" s="148"/>
      <c r="T2210" s="148"/>
      <c r="U2210" s="148"/>
      <c r="V2210" s="148"/>
      <c r="W2210" s="148"/>
      <c r="X2210" s="148"/>
      <c r="Y2210" s="148"/>
      <c r="Z2210" s="148"/>
      <c r="AA2210" s="148"/>
      <c r="AB2210" s="148"/>
      <c r="AC2210" s="148"/>
    </row>
    <row r="2211" spans="1:29" hidden="1">
      <c r="A2211" s="146"/>
      <c r="B2211" s="147"/>
      <c r="C2211" s="147"/>
      <c r="D2211" s="147"/>
      <c r="E2211" s="147"/>
      <c r="F2211" s="147"/>
      <c r="G2211" s="147"/>
      <c r="H2211" s="147"/>
      <c r="I2211" s="147"/>
      <c r="J2211" s="147"/>
      <c r="K2211" s="147"/>
      <c r="L2211" s="147"/>
      <c r="M2211" s="147"/>
      <c r="N2211" s="147"/>
      <c r="O2211" s="147"/>
      <c r="P2211" s="147"/>
      <c r="Q2211" s="147"/>
      <c r="R2211" s="148"/>
      <c r="S2211" s="148"/>
      <c r="T2211" s="148"/>
      <c r="U2211" s="148"/>
      <c r="V2211" s="148"/>
      <c r="W2211" s="148"/>
      <c r="X2211" s="148"/>
      <c r="Y2211" s="148"/>
      <c r="Z2211" s="148"/>
      <c r="AA2211" s="148"/>
      <c r="AB2211" s="148"/>
      <c r="AC2211" s="148"/>
    </row>
    <row r="2212" spans="1:29" hidden="1">
      <c r="A2212" s="146"/>
      <c r="B2212" s="147"/>
      <c r="C2212" s="147"/>
      <c r="D2212" s="147"/>
      <c r="E2212" s="147"/>
      <c r="F2212" s="147"/>
      <c r="G2212" s="147"/>
      <c r="H2212" s="147"/>
      <c r="I2212" s="147"/>
      <c r="J2212" s="147"/>
      <c r="K2212" s="147"/>
      <c r="L2212" s="147"/>
      <c r="M2212" s="147"/>
      <c r="N2212" s="147"/>
      <c r="O2212" s="147"/>
      <c r="P2212" s="147"/>
      <c r="Q2212" s="147"/>
      <c r="R2212" s="148"/>
      <c r="S2212" s="148"/>
      <c r="T2212" s="148"/>
      <c r="U2212" s="148"/>
      <c r="V2212" s="148"/>
      <c r="W2212" s="148"/>
      <c r="X2212" s="148"/>
      <c r="Y2212" s="148"/>
      <c r="Z2212" s="148"/>
      <c r="AA2212" s="148"/>
      <c r="AB2212" s="148"/>
      <c r="AC2212" s="148"/>
    </row>
    <row r="2213" spans="1:29" hidden="1">
      <c r="A2213" s="146"/>
      <c r="B2213" s="147"/>
      <c r="C2213" s="147"/>
      <c r="D2213" s="147"/>
      <c r="E2213" s="147"/>
      <c r="F2213" s="147"/>
      <c r="G2213" s="147"/>
      <c r="H2213" s="147"/>
      <c r="I2213" s="147"/>
      <c r="J2213" s="147"/>
      <c r="K2213" s="147"/>
      <c r="L2213" s="147"/>
      <c r="M2213" s="147"/>
      <c r="N2213" s="147"/>
      <c r="O2213" s="147"/>
      <c r="P2213" s="147"/>
      <c r="Q2213" s="147"/>
      <c r="R2213" s="148"/>
      <c r="S2213" s="148"/>
      <c r="T2213" s="148"/>
      <c r="U2213" s="148"/>
      <c r="V2213" s="148"/>
      <c r="W2213" s="148"/>
      <c r="X2213" s="148"/>
      <c r="Y2213" s="148"/>
      <c r="Z2213" s="148"/>
      <c r="AA2213" s="148"/>
      <c r="AB2213" s="148"/>
      <c r="AC2213" s="148"/>
    </row>
    <row r="2214" spans="1:29" hidden="1">
      <c r="A2214" s="146"/>
      <c r="B2214" s="147"/>
      <c r="C2214" s="147"/>
      <c r="D2214" s="147"/>
      <c r="E2214" s="147"/>
      <c r="F2214" s="147"/>
      <c r="G2214" s="147"/>
      <c r="H2214" s="147"/>
      <c r="I2214" s="147"/>
      <c r="J2214" s="147"/>
      <c r="K2214" s="147"/>
      <c r="L2214" s="147"/>
      <c r="M2214" s="147"/>
      <c r="N2214" s="147"/>
      <c r="O2214" s="147"/>
      <c r="P2214" s="147"/>
      <c r="Q2214" s="147"/>
      <c r="R2214" s="148"/>
      <c r="S2214" s="148"/>
      <c r="T2214" s="148"/>
      <c r="U2214" s="148"/>
      <c r="V2214" s="148"/>
      <c r="W2214" s="148"/>
      <c r="X2214" s="148"/>
      <c r="Y2214" s="148"/>
      <c r="Z2214" s="148"/>
      <c r="AA2214" s="148"/>
      <c r="AB2214" s="148"/>
      <c r="AC2214" s="148"/>
    </row>
    <row r="2215" spans="1:29" hidden="1">
      <c r="A2215" s="146"/>
      <c r="B2215" s="147"/>
      <c r="C2215" s="147"/>
      <c r="D2215" s="147"/>
      <c r="E2215" s="147"/>
      <c r="F2215" s="147"/>
      <c r="G2215" s="147"/>
      <c r="H2215" s="147"/>
      <c r="I2215" s="147"/>
      <c r="J2215" s="147"/>
      <c r="K2215" s="147"/>
      <c r="L2215" s="147"/>
      <c r="M2215" s="147"/>
      <c r="N2215" s="147"/>
      <c r="O2215" s="147"/>
      <c r="P2215" s="147"/>
      <c r="Q2215" s="147"/>
      <c r="R2215" s="148"/>
      <c r="S2215" s="148"/>
      <c r="T2215" s="148"/>
      <c r="U2215" s="148"/>
      <c r="V2215" s="148"/>
      <c r="W2215" s="148"/>
      <c r="X2215" s="148"/>
      <c r="Y2215" s="148"/>
      <c r="Z2215" s="148"/>
      <c r="AA2215" s="148"/>
      <c r="AB2215" s="148"/>
      <c r="AC2215" s="148"/>
    </row>
    <row r="2216" spans="1:29" hidden="1">
      <c r="A2216" s="146"/>
      <c r="B2216" s="147"/>
      <c r="C2216" s="147"/>
      <c r="D2216" s="147"/>
      <c r="E2216" s="147"/>
      <c r="F2216" s="147"/>
      <c r="G2216" s="147"/>
      <c r="H2216" s="147"/>
      <c r="I2216" s="147"/>
      <c r="J2216" s="147"/>
      <c r="K2216" s="147"/>
      <c r="L2216" s="147"/>
      <c r="M2216" s="147"/>
      <c r="N2216" s="147"/>
      <c r="O2216" s="147"/>
      <c r="P2216" s="147"/>
      <c r="Q2216" s="147"/>
      <c r="R2216" s="148"/>
      <c r="S2216" s="148"/>
      <c r="T2216" s="148"/>
      <c r="U2216" s="148"/>
      <c r="V2216" s="148"/>
      <c r="W2216" s="148"/>
      <c r="X2216" s="148"/>
      <c r="Y2216" s="148"/>
      <c r="Z2216" s="148"/>
      <c r="AA2216" s="148"/>
      <c r="AB2216" s="148"/>
      <c r="AC2216" s="148"/>
    </row>
    <row r="2217" spans="1:29" hidden="1">
      <c r="A2217" s="146"/>
      <c r="B2217" s="147"/>
      <c r="C2217" s="147"/>
      <c r="D2217" s="147"/>
      <c r="E2217" s="147"/>
      <c r="F2217" s="147"/>
      <c r="G2217" s="147"/>
      <c r="H2217" s="147"/>
      <c r="I2217" s="147"/>
      <c r="J2217" s="147"/>
      <c r="K2217" s="147"/>
      <c r="L2217" s="147"/>
      <c r="M2217" s="147"/>
      <c r="N2217" s="147"/>
      <c r="O2217" s="147"/>
      <c r="P2217" s="147"/>
      <c r="Q2217" s="147"/>
      <c r="R2217" s="148"/>
      <c r="S2217" s="148"/>
      <c r="T2217" s="148"/>
      <c r="U2217" s="148"/>
      <c r="V2217" s="148"/>
      <c r="W2217" s="148"/>
      <c r="X2217" s="148"/>
      <c r="Y2217" s="148"/>
      <c r="Z2217" s="148"/>
      <c r="AA2217" s="148"/>
      <c r="AB2217" s="148"/>
      <c r="AC2217" s="148"/>
    </row>
    <row r="2218" spans="1:29" hidden="1">
      <c r="A2218" s="146"/>
      <c r="B2218" s="147"/>
      <c r="C2218" s="147"/>
      <c r="D2218" s="147"/>
      <c r="E2218" s="147"/>
      <c r="F2218" s="147"/>
      <c r="G2218" s="147"/>
      <c r="H2218" s="147"/>
      <c r="I2218" s="147"/>
      <c r="J2218" s="147"/>
      <c r="K2218" s="147"/>
      <c r="L2218" s="147"/>
      <c r="M2218" s="147"/>
      <c r="N2218" s="147"/>
      <c r="O2218" s="147"/>
      <c r="P2218" s="147"/>
      <c r="Q2218" s="147"/>
      <c r="R2218" s="148"/>
      <c r="S2218" s="148"/>
      <c r="T2218" s="148"/>
      <c r="U2218" s="148"/>
      <c r="V2218" s="148"/>
      <c r="W2218" s="148"/>
      <c r="X2218" s="148"/>
      <c r="Y2218" s="148"/>
      <c r="Z2218" s="148"/>
      <c r="AA2218" s="148"/>
      <c r="AB2218" s="148"/>
      <c r="AC2218" s="148"/>
    </row>
    <row r="2219" spans="1:29" hidden="1">
      <c r="A2219" s="146"/>
      <c r="B2219" s="147"/>
      <c r="C2219" s="147"/>
      <c r="D2219" s="147"/>
      <c r="E2219" s="147"/>
      <c r="F2219" s="147"/>
      <c r="G2219" s="147"/>
      <c r="H2219" s="147"/>
      <c r="I2219" s="147"/>
      <c r="J2219" s="147"/>
      <c r="K2219" s="147"/>
      <c r="L2219" s="147"/>
      <c r="M2219" s="147"/>
      <c r="N2219" s="147"/>
      <c r="O2219" s="147"/>
      <c r="P2219" s="147"/>
      <c r="Q2219" s="147"/>
      <c r="R2219" s="148"/>
      <c r="S2219" s="148"/>
      <c r="T2219" s="148"/>
      <c r="U2219" s="148"/>
      <c r="V2219" s="148"/>
      <c r="W2219" s="148"/>
      <c r="X2219" s="148"/>
      <c r="Y2219" s="148"/>
      <c r="Z2219" s="148"/>
      <c r="AA2219" s="148"/>
      <c r="AB2219" s="148"/>
      <c r="AC2219" s="148"/>
    </row>
    <row r="2220" spans="1:29" hidden="1">
      <c r="A2220" s="146"/>
      <c r="B2220" s="147"/>
      <c r="C2220" s="147"/>
      <c r="D2220" s="147"/>
      <c r="E2220" s="147"/>
      <c r="F2220" s="147"/>
      <c r="G2220" s="147"/>
      <c r="H2220" s="147"/>
      <c r="I2220" s="147"/>
      <c r="J2220" s="147"/>
      <c r="K2220" s="147"/>
      <c r="L2220" s="147"/>
      <c r="M2220" s="147"/>
      <c r="N2220" s="147"/>
      <c r="O2220" s="147"/>
      <c r="P2220" s="147"/>
      <c r="Q2220" s="147"/>
      <c r="R2220" s="148"/>
      <c r="S2220" s="148"/>
      <c r="T2220" s="148"/>
      <c r="U2220" s="148"/>
      <c r="V2220" s="148"/>
      <c r="W2220" s="148"/>
      <c r="X2220" s="148"/>
      <c r="Y2220" s="148"/>
      <c r="Z2220" s="148"/>
      <c r="AA2220" s="148"/>
      <c r="AB2220" s="148"/>
      <c r="AC2220" s="148"/>
    </row>
    <row r="2221" spans="1:29" hidden="1">
      <c r="A2221" s="146"/>
      <c r="B2221" s="147"/>
      <c r="C2221" s="147"/>
      <c r="D2221" s="147"/>
      <c r="E2221" s="147"/>
      <c r="F2221" s="147"/>
      <c r="G2221" s="147"/>
      <c r="H2221" s="147"/>
      <c r="I2221" s="147"/>
      <c r="J2221" s="147"/>
      <c r="K2221" s="147"/>
      <c r="L2221" s="147"/>
      <c r="M2221" s="147"/>
      <c r="N2221" s="147"/>
      <c r="O2221" s="147"/>
      <c r="P2221" s="147"/>
      <c r="Q2221" s="147"/>
      <c r="R2221" s="148"/>
      <c r="S2221" s="148"/>
      <c r="T2221" s="148"/>
      <c r="U2221" s="148"/>
      <c r="V2221" s="148"/>
      <c r="W2221" s="148"/>
      <c r="X2221" s="148"/>
      <c r="Y2221" s="148"/>
      <c r="Z2221" s="148"/>
      <c r="AA2221" s="148"/>
      <c r="AB2221" s="148"/>
      <c r="AC2221" s="148"/>
    </row>
    <row r="2222" spans="1:29" hidden="1">
      <c r="A2222" s="146"/>
      <c r="B2222" s="147"/>
      <c r="C2222" s="147"/>
      <c r="D2222" s="147"/>
      <c r="E2222" s="147"/>
      <c r="F2222" s="147"/>
      <c r="G2222" s="147"/>
      <c r="H2222" s="147"/>
      <c r="I2222" s="147"/>
      <c r="J2222" s="147"/>
      <c r="K2222" s="147"/>
      <c r="L2222" s="147"/>
      <c r="M2222" s="147"/>
      <c r="N2222" s="147"/>
      <c r="O2222" s="147"/>
      <c r="P2222" s="147"/>
      <c r="Q2222" s="147"/>
      <c r="R2222" s="148"/>
      <c r="S2222" s="148"/>
      <c r="T2222" s="148"/>
      <c r="U2222" s="148"/>
      <c r="V2222" s="148"/>
      <c r="W2222" s="148"/>
      <c r="X2222" s="148"/>
      <c r="Y2222" s="148"/>
      <c r="Z2222" s="148"/>
      <c r="AA2222" s="148"/>
      <c r="AB2222" s="148"/>
      <c r="AC2222" s="148"/>
    </row>
    <row r="2223" spans="1:29" hidden="1">
      <c r="A2223" s="146"/>
      <c r="B2223" s="147"/>
      <c r="C2223" s="147"/>
      <c r="D2223" s="147"/>
      <c r="E2223" s="147"/>
      <c r="F2223" s="147"/>
      <c r="G2223" s="147"/>
      <c r="H2223" s="147"/>
      <c r="I2223" s="147"/>
      <c r="J2223" s="147"/>
      <c r="K2223" s="147"/>
      <c r="L2223" s="147"/>
      <c r="M2223" s="147"/>
      <c r="N2223" s="147"/>
      <c r="O2223" s="147"/>
      <c r="P2223" s="147"/>
      <c r="Q2223" s="147"/>
      <c r="R2223" s="148"/>
      <c r="S2223" s="148"/>
      <c r="T2223" s="148"/>
      <c r="U2223" s="148"/>
      <c r="V2223" s="148"/>
      <c r="W2223" s="148"/>
      <c r="X2223" s="148"/>
      <c r="Y2223" s="148"/>
      <c r="Z2223" s="148"/>
      <c r="AA2223" s="148"/>
      <c r="AB2223" s="148"/>
      <c r="AC2223" s="148"/>
    </row>
    <row r="2224" spans="1:29" hidden="1">
      <c r="A2224" s="146"/>
      <c r="B2224" s="147"/>
      <c r="C2224" s="147"/>
      <c r="D2224" s="147"/>
      <c r="E2224" s="147"/>
      <c r="F2224" s="147"/>
      <c r="G2224" s="147"/>
      <c r="H2224" s="147"/>
      <c r="I2224" s="147"/>
      <c r="J2224" s="147"/>
      <c r="K2224" s="147"/>
      <c r="L2224" s="147"/>
      <c r="M2224" s="147"/>
      <c r="N2224" s="147"/>
      <c r="O2224" s="147"/>
      <c r="P2224" s="147"/>
      <c r="Q2224" s="147"/>
      <c r="R2224" s="148"/>
      <c r="S2224" s="148"/>
      <c r="T2224" s="148"/>
      <c r="U2224" s="148"/>
      <c r="V2224" s="148"/>
      <c r="W2224" s="148"/>
      <c r="X2224" s="148"/>
      <c r="Y2224" s="148"/>
      <c r="Z2224" s="148"/>
      <c r="AA2224" s="148"/>
      <c r="AB2224" s="148"/>
      <c r="AC2224" s="148"/>
    </row>
    <row r="2225" spans="1:29" hidden="1">
      <c r="A2225" s="146"/>
      <c r="B2225" s="147"/>
      <c r="C2225" s="147"/>
      <c r="D2225" s="147"/>
      <c r="E2225" s="147"/>
      <c r="F2225" s="147"/>
      <c r="G2225" s="147"/>
      <c r="H2225" s="147"/>
      <c r="I2225" s="147"/>
      <c r="J2225" s="147"/>
      <c r="K2225" s="147"/>
      <c r="L2225" s="147"/>
      <c r="M2225" s="147"/>
      <c r="N2225" s="147"/>
      <c r="O2225" s="147"/>
      <c r="P2225" s="147"/>
      <c r="Q2225" s="147"/>
      <c r="R2225" s="148"/>
      <c r="S2225" s="148"/>
      <c r="T2225" s="148"/>
      <c r="U2225" s="148"/>
      <c r="V2225" s="148"/>
      <c r="W2225" s="148"/>
      <c r="X2225" s="148"/>
      <c r="Y2225" s="148"/>
      <c r="Z2225" s="148"/>
      <c r="AA2225" s="148"/>
      <c r="AB2225" s="148"/>
      <c r="AC2225" s="148"/>
    </row>
    <row r="2226" spans="1:29" hidden="1">
      <c r="A2226" s="146"/>
      <c r="B2226" s="147"/>
      <c r="C2226" s="147"/>
      <c r="D2226" s="147"/>
      <c r="E2226" s="147"/>
      <c r="F2226" s="147"/>
      <c r="G2226" s="147"/>
      <c r="H2226" s="147"/>
      <c r="I2226" s="147"/>
      <c r="J2226" s="147"/>
      <c r="K2226" s="147"/>
      <c r="L2226" s="147"/>
      <c r="M2226" s="147"/>
      <c r="N2226" s="147"/>
      <c r="O2226" s="147"/>
      <c r="P2226" s="147"/>
      <c r="Q2226" s="147"/>
      <c r="R2226" s="148"/>
      <c r="S2226" s="148"/>
      <c r="T2226" s="148"/>
      <c r="U2226" s="148"/>
      <c r="V2226" s="148"/>
      <c r="W2226" s="148"/>
      <c r="X2226" s="148"/>
      <c r="Y2226" s="148"/>
      <c r="Z2226" s="148"/>
      <c r="AA2226" s="148"/>
      <c r="AB2226" s="148"/>
      <c r="AC2226" s="148"/>
    </row>
    <row r="2227" spans="1:29" hidden="1">
      <c r="A2227" s="146"/>
      <c r="B2227" s="147"/>
      <c r="C2227" s="147"/>
      <c r="D2227" s="147"/>
      <c r="E2227" s="147"/>
      <c r="F2227" s="147"/>
      <c r="G2227" s="147"/>
      <c r="H2227" s="147"/>
      <c r="I2227" s="147"/>
      <c r="J2227" s="147"/>
      <c r="K2227" s="147"/>
      <c r="L2227" s="147"/>
      <c r="M2227" s="147"/>
      <c r="N2227" s="147"/>
      <c r="O2227" s="147"/>
      <c r="P2227" s="147"/>
      <c r="Q2227" s="147"/>
      <c r="R2227" s="148"/>
      <c r="S2227" s="148"/>
      <c r="T2227" s="148"/>
      <c r="U2227" s="148"/>
      <c r="V2227" s="148"/>
      <c r="W2227" s="148"/>
      <c r="X2227" s="148"/>
      <c r="Y2227" s="148"/>
      <c r="Z2227" s="148"/>
      <c r="AA2227" s="148"/>
      <c r="AB2227" s="148"/>
      <c r="AC2227" s="148"/>
    </row>
    <row r="2228" spans="1:29" hidden="1">
      <c r="A2228" s="146"/>
      <c r="B2228" s="147"/>
      <c r="C2228" s="147"/>
      <c r="D2228" s="147"/>
      <c r="E2228" s="147"/>
      <c r="F2228" s="147"/>
      <c r="G2228" s="147"/>
      <c r="H2228" s="147"/>
      <c r="I2228" s="147"/>
      <c r="J2228" s="147"/>
      <c r="K2228" s="147"/>
      <c r="L2228" s="147"/>
      <c r="M2228" s="147"/>
      <c r="N2228" s="147"/>
      <c r="O2228" s="147"/>
      <c r="P2228" s="147"/>
      <c r="Q2228" s="147"/>
      <c r="R2228" s="148"/>
      <c r="S2228" s="148"/>
      <c r="T2228" s="148"/>
      <c r="U2228" s="148"/>
      <c r="V2228" s="148"/>
      <c r="W2228" s="148"/>
      <c r="X2228" s="148"/>
      <c r="Y2228" s="148"/>
      <c r="Z2228" s="148"/>
      <c r="AA2228" s="148"/>
      <c r="AB2228" s="148"/>
      <c r="AC2228" s="148"/>
    </row>
    <row r="2229" spans="1:29" hidden="1">
      <c r="A2229" s="146"/>
      <c r="B2229" s="147"/>
      <c r="C2229" s="147"/>
      <c r="D2229" s="147"/>
      <c r="E2229" s="147"/>
      <c r="F2229" s="147"/>
      <c r="G2229" s="147"/>
      <c r="H2229" s="147"/>
      <c r="I2229" s="147"/>
      <c r="J2229" s="147"/>
      <c r="K2229" s="147"/>
      <c r="L2229" s="147"/>
      <c r="M2229" s="147"/>
      <c r="N2229" s="147"/>
      <c r="O2229" s="147"/>
      <c r="P2229" s="147"/>
      <c r="Q2229" s="147"/>
      <c r="R2229" s="148"/>
      <c r="S2229" s="148"/>
      <c r="T2229" s="148"/>
      <c r="U2229" s="148"/>
      <c r="V2229" s="148"/>
      <c r="W2229" s="148"/>
      <c r="X2229" s="148"/>
      <c r="Y2229" s="148"/>
      <c r="Z2229" s="148"/>
      <c r="AA2229" s="148"/>
      <c r="AB2229" s="148"/>
      <c r="AC2229" s="148"/>
    </row>
    <row r="2230" spans="1:29" hidden="1">
      <c r="A2230" s="146"/>
      <c r="B2230" s="147"/>
      <c r="C2230" s="147"/>
      <c r="D2230" s="147"/>
      <c r="E2230" s="147"/>
      <c r="F2230" s="147"/>
      <c r="G2230" s="147"/>
      <c r="H2230" s="147"/>
      <c r="I2230" s="147"/>
      <c r="J2230" s="147"/>
      <c r="K2230" s="147"/>
      <c r="L2230" s="147"/>
      <c r="M2230" s="147"/>
      <c r="N2230" s="147"/>
      <c r="O2230" s="147"/>
      <c r="P2230" s="147"/>
      <c r="Q2230" s="147"/>
      <c r="R2230" s="148"/>
      <c r="S2230" s="148"/>
      <c r="T2230" s="148"/>
      <c r="U2230" s="148"/>
      <c r="V2230" s="148"/>
      <c r="W2230" s="148"/>
      <c r="X2230" s="148"/>
      <c r="Y2230" s="148"/>
      <c r="Z2230" s="148"/>
      <c r="AA2230" s="148"/>
      <c r="AB2230" s="148"/>
      <c r="AC2230" s="148"/>
    </row>
    <row r="2231" spans="1:29" hidden="1">
      <c r="A2231" s="146"/>
      <c r="B2231" s="147"/>
      <c r="C2231" s="147"/>
      <c r="D2231" s="147"/>
      <c r="E2231" s="147"/>
      <c r="F2231" s="147"/>
      <c r="G2231" s="147"/>
      <c r="H2231" s="147"/>
      <c r="I2231" s="147"/>
      <c r="J2231" s="147"/>
      <c r="K2231" s="147"/>
      <c r="L2231" s="147"/>
      <c r="M2231" s="147"/>
      <c r="N2231" s="147"/>
      <c r="O2231" s="147"/>
      <c r="P2231" s="147"/>
      <c r="Q2231" s="147"/>
      <c r="R2231" s="148"/>
      <c r="S2231" s="148"/>
      <c r="T2231" s="148"/>
      <c r="U2231" s="148"/>
      <c r="V2231" s="148"/>
      <c r="W2231" s="148"/>
      <c r="X2231" s="148"/>
      <c r="Y2231" s="148"/>
      <c r="Z2231" s="148"/>
      <c r="AA2231" s="148"/>
      <c r="AB2231" s="148"/>
      <c r="AC2231" s="148"/>
    </row>
    <row r="2232" spans="1:29" hidden="1">
      <c r="A2232" s="146"/>
      <c r="B2232" s="147"/>
      <c r="C2232" s="147"/>
      <c r="D2232" s="147"/>
      <c r="E2232" s="147"/>
      <c r="F2232" s="147"/>
      <c r="G2232" s="147"/>
      <c r="H2232" s="147"/>
      <c r="I2232" s="147"/>
      <c r="J2232" s="147"/>
      <c r="K2232" s="147"/>
      <c r="L2232" s="147"/>
      <c r="M2232" s="147"/>
      <c r="N2232" s="147"/>
      <c r="O2232" s="147"/>
      <c r="P2232" s="147"/>
      <c r="Q2232" s="147"/>
      <c r="R2232" s="148"/>
      <c r="S2232" s="148"/>
      <c r="T2232" s="148"/>
      <c r="U2232" s="148"/>
      <c r="V2232" s="148"/>
      <c r="W2232" s="148"/>
      <c r="X2232" s="148"/>
      <c r="Y2232" s="148"/>
      <c r="Z2232" s="148"/>
      <c r="AA2232" s="148"/>
      <c r="AB2232" s="148"/>
      <c r="AC2232" s="148"/>
    </row>
    <row r="2233" spans="1:29" hidden="1">
      <c r="A2233" s="146"/>
      <c r="B2233" s="147"/>
      <c r="C2233" s="147"/>
      <c r="D2233" s="147"/>
      <c r="E2233" s="147"/>
      <c r="F2233" s="147"/>
      <c r="G2233" s="147"/>
      <c r="H2233" s="147"/>
      <c r="I2233" s="147"/>
      <c r="J2233" s="147"/>
      <c r="K2233" s="147"/>
      <c r="L2233" s="147"/>
      <c r="M2233" s="147"/>
      <c r="N2233" s="147"/>
      <c r="O2233" s="147"/>
      <c r="P2233" s="147"/>
      <c r="Q2233" s="147"/>
      <c r="R2233" s="148"/>
      <c r="S2233" s="148"/>
      <c r="T2233" s="148"/>
      <c r="U2233" s="148"/>
      <c r="V2233" s="148"/>
      <c r="W2233" s="148"/>
      <c r="X2233" s="148"/>
      <c r="Y2233" s="148"/>
      <c r="Z2233" s="148"/>
      <c r="AA2233" s="148"/>
      <c r="AB2233" s="148"/>
      <c r="AC2233" s="148"/>
    </row>
    <row r="2234" spans="1:29" hidden="1">
      <c r="A2234" s="146"/>
      <c r="B2234" s="147"/>
      <c r="C2234" s="147"/>
      <c r="D2234" s="147"/>
      <c r="E2234" s="147"/>
      <c r="F2234" s="147"/>
      <c r="G2234" s="147"/>
      <c r="H2234" s="147"/>
      <c r="I2234" s="147"/>
      <c r="J2234" s="147"/>
      <c r="K2234" s="147"/>
      <c r="L2234" s="147"/>
      <c r="M2234" s="147"/>
      <c r="N2234" s="147"/>
      <c r="O2234" s="147"/>
      <c r="P2234" s="147"/>
      <c r="Q2234" s="147"/>
      <c r="R2234" s="148"/>
      <c r="S2234" s="148"/>
      <c r="T2234" s="148"/>
      <c r="U2234" s="148"/>
      <c r="V2234" s="148"/>
      <c r="W2234" s="148"/>
      <c r="X2234" s="148"/>
      <c r="Y2234" s="148"/>
      <c r="Z2234" s="148"/>
      <c r="AA2234" s="148"/>
      <c r="AB2234" s="148"/>
      <c r="AC2234" s="148"/>
    </row>
    <row r="2235" spans="1:29" hidden="1">
      <c r="A2235" s="146"/>
      <c r="B2235" s="147"/>
      <c r="C2235" s="147"/>
      <c r="D2235" s="147"/>
      <c r="E2235" s="147"/>
      <c r="F2235" s="147"/>
      <c r="G2235" s="147"/>
      <c r="H2235" s="147"/>
      <c r="I2235" s="147"/>
      <c r="J2235" s="147"/>
      <c r="K2235" s="147"/>
      <c r="L2235" s="147"/>
      <c r="M2235" s="147"/>
      <c r="N2235" s="147"/>
      <c r="O2235" s="147"/>
      <c r="P2235" s="147"/>
      <c r="Q2235" s="147"/>
      <c r="R2235" s="148"/>
      <c r="S2235" s="148"/>
      <c r="T2235" s="148"/>
      <c r="U2235" s="148"/>
      <c r="V2235" s="148"/>
      <c r="W2235" s="148"/>
      <c r="X2235" s="148"/>
      <c r="Y2235" s="148"/>
      <c r="Z2235" s="148"/>
      <c r="AA2235" s="148"/>
      <c r="AB2235" s="148"/>
      <c r="AC2235" s="148"/>
    </row>
    <row r="2236" spans="1:29" hidden="1">
      <c r="A2236" s="146"/>
      <c r="B2236" s="147"/>
      <c r="C2236" s="147"/>
      <c r="D2236" s="147"/>
      <c r="E2236" s="147"/>
      <c r="F2236" s="147"/>
      <c r="G2236" s="147"/>
      <c r="H2236" s="147"/>
      <c r="I2236" s="147"/>
      <c r="J2236" s="147"/>
      <c r="K2236" s="147"/>
      <c r="L2236" s="147"/>
      <c r="M2236" s="147"/>
      <c r="N2236" s="147"/>
      <c r="O2236" s="147"/>
      <c r="P2236" s="147"/>
      <c r="Q2236" s="147"/>
      <c r="R2236" s="148"/>
      <c r="S2236" s="148"/>
      <c r="T2236" s="148"/>
      <c r="U2236" s="148"/>
      <c r="V2236" s="148"/>
      <c r="W2236" s="148"/>
      <c r="X2236" s="148"/>
      <c r="Y2236" s="148"/>
      <c r="Z2236" s="148"/>
      <c r="AA2236" s="148"/>
      <c r="AB2236" s="148"/>
      <c r="AC2236" s="148"/>
    </row>
    <row r="2237" spans="1:29" hidden="1">
      <c r="A2237" s="146"/>
      <c r="B2237" s="147"/>
      <c r="C2237" s="147"/>
      <c r="D2237" s="147"/>
      <c r="E2237" s="147"/>
      <c r="F2237" s="147"/>
      <c r="G2237" s="147"/>
      <c r="H2237" s="147"/>
      <c r="I2237" s="147"/>
      <c r="J2237" s="147"/>
      <c r="K2237" s="147"/>
      <c r="L2237" s="147"/>
      <c r="M2237" s="147"/>
      <c r="N2237" s="147"/>
      <c r="O2237" s="147"/>
      <c r="P2237" s="147"/>
      <c r="Q2237" s="147"/>
      <c r="R2237" s="148"/>
      <c r="S2237" s="148"/>
      <c r="T2237" s="148"/>
      <c r="U2237" s="148"/>
      <c r="V2237" s="148"/>
      <c r="W2237" s="148"/>
      <c r="X2237" s="148"/>
      <c r="Y2237" s="148"/>
      <c r="Z2237" s="148"/>
      <c r="AA2237" s="148"/>
      <c r="AB2237" s="148"/>
      <c r="AC2237" s="148"/>
    </row>
    <row r="2238" spans="1:29" hidden="1">
      <c r="A2238" s="146"/>
      <c r="B2238" s="147"/>
      <c r="C2238" s="147"/>
      <c r="D2238" s="147"/>
      <c r="E2238" s="147"/>
      <c r="F2238" s="147"/>
      <c r="G2238" s="147"/>
      <c r="H2238" s="147"/>
      <c r="I2238" s="147"/>
      <c r="J2238" s="147"/>
      <c r="K2238" s="147"/>
      <c r="L2238" s="147"/>
      <c r="M2238" s="147"/>
      <c r="N2238" s="147"/>
      <c r="O2238" s="147"/>
      <c r="P2238" s="147"/>
      <c r="Q2238" s="147"/>
      <c r="R2238" s="148"/>
      <c r="S2238" s="148"/>
      <c r="T2238" s="148"/>
      <c r="U2238" s="148"/>
      <c r="V2238" s="148"/>
      <c r="W2238" s="148"/>
      <c r="X2238" s="148"/>
      <c r="Y2238" s="148"/>
      <c r="Z2238" s="148"/>
      <c r="AA2238" s="148"/>
      <c r="AB2238" s="148"/>
      <c r="AC2238" s="148"/>
    </row>
    <row r="2239" spans="1:29" hidden="1">
      <c r="A2239" s="146"/>
      <c r="B2239" s="147"/>
      <c r="C2239" s="147"/>
      <c r="D2239" s="147"/>
      <c r="E2239" s="147"/>
      <c r="F2239" s="147"/>
      <c r="G2239" s="147"/>
      <c r="H2239" s="147"/>
      <c r="I2239" s="147"/>
      <c r="J2239" s="147"/>
      <c r="K2239" s="147"/>
      <c r="L2239" s="147"/>
      <c r="M2239" s="147"/>
      <c r="N2239" s="147"/>
      <c r="O2239" s="147"/>
      <c r="P2239" s="147"/>
      <c r="Q2239" s="147"/>
      <c r="R2239" s="148"/>
      <c r="S2239" s="148"/>
      <c r="T2239" s="148"/>
      <c r="U2239" s="148"/>
      <c r="V2239" s="148"/>
      <c r="W2239" s="148"/>
      <c r="X2239" s="148"/>
      <c r="Y2239" s="148"/>
      <c r="Z2239" s="148"/>
      <c r="AA2239" s="148"/>
      <c r="AB2239" s="148"/>
      <c r="AC2239" s="148"/>
    </row>
    <row r="2240" spans="1:29" hidden="1">
      <c r="A2240" s="146"/>
      <c r="B2240" s="147"/>
      <c r="C2240" s="147"/>
      <c r="D2240" s="147"/>
      <c r="E2240" s="147"/>
      <c r="F2240" s="147"/>
      <c r="G2240" s="147"/>
      <c r="H2240" s="147"/>
      <c r="I2240" s="147"/>
      <c r="J2240" s="147"/>
      <c r="K2240" s="147"/>
      <c r="L2240" s="147"/>
      <c r="M2240" s="147"/>
      <c r="N2240" s="147"/>
      <c r="O2240" s="147"/>
      <c r="P2240" s="147"/>
      <c r="Q2240" s="147"/>
      <c r="R2240" s="148"/>
      <c r="S2240" s="148"/>
      <c r="T2240" s="148"/>
      <c r="U2240" s="148"/>
      <c r="V2240" s="148"/>
      <c r="W2240" s="148"/>
      <c r="X2240" s="148"/>
      <c r="Y2240" s="148"/>
      <c r="Z2240" s="148"/>
      <c r="AA2240" s="148"/>
      <c r="AB2240" s="148"/>
      <c r="AC2240" s="148"/>
    </row>
    <row r="2241" spans="1:29" hidden="1">
      <c r="A2241" s="146"/>
      <c r="B2241" s="147"/>
      <c r="C2241" s="147"/>
      <c r="D2241" s="147"/>
      <c r="E2241" s="147"/>
      <c r="F2241" s="147"/>
      <c r="G2241" s="147"/>
      <c r="H2241" s="147"/>
      <c r="I2241" s="147"/>
      <c r="J2241" s="147"/>
      <c r="K2241" s="147"/>
      <c r="L2241" s="147"/>
      <c r="M2241" s="147"/>
      <c r="N2241" s="147"/>
      <c r="O2241" s="147"/>
      <c r="P2241" s="147"/>
      <c r="Q2241" s="147"/>
      <c r="R2241" s="148"/>
      <c r="S2241" s="148"/>
      <c r="T2241" s="148"/>
      <c r="U2241" s="148"/>
      <c r="V2241" s="148"/>
      <c r="W2241" s="148"/>
      <c r="X2241" s="148"/>
      <c r="Y2241" s="148"/>
      <c r="Z2241" s="148"/>
      <c r="AA2241" s="148"/>
      <c r="AB2241" s="148"/>
      <c r="AC2241" s="148"/>
    </row>
    <row r="2242" spans="1:29" hidden="1">
      <c r="A2242" s="146"/>
      <c r="B2242" s="147"/>
      <c r="C2242" s="147"/>
      <c r="D2242" s="147"/>
      <c r="E2242" s="147"/>
      <c r="F2242" s="147"/>
      <c r="G2242" s="147"/>
      <c r="H2242" s="147"/>
      <c r="I2242" s="147"/>
      <c r="J2242" s="147"/>
      <c r="K2242" s="147"/>
      <c r="L2242" s="147"/>
      <c r="M2242" s="147"/>
      <c r="N2242" s="147"/>
      <c r="O2242" s="147"/>
      <c r="P2242" s="147"/>
      <c r="Q2242" s="147"/>
      <c r="R2242" s="148"/>
      <c r="S2242" s="148"/>
      <c r="T2242" s="148"/>
      <c r="U2242" s="148"/>
      <c r="V2242" s="148"/>
      <c r="W2242" s="148"/>
      <c r="X2242" s="148"/>
      <c r="Y2242" s="148"/>
      <c r="Z2242" s="148"/>
      <c r="AA2242" s="148"/>
      <c r="AB2242" s="148"/>
      <c r="AC2242" s="148"/>
    </row>
    <row r="2243" spans="1:29" hidden="1">
      <c r="A2243" s="146"/>
      <c r="B2243" s="147"/>
      <c r="C2243" s="147"/>
      <c r="D2243" s="147"/>
      <c r="E2243" s="147"/>
      <c r="F2243" s="147"/>
      <c r="G2243" s="147"/>
      <c r="H2243" s="147"/>
      <c r="I2243" s="147"/>
      <c r="J2243" s="147"/>
      <c r="K2243" s="147"/>
      <c r="L2243" s="147"/>
      <c r="M2243" s="147"/>
      <c r="N2243" s="147"/>
      <c r="O2243" s="147"/>
      <c r="P2243" s="147"/>
      <c r="Q2243" s="147"/>
      <c r="R2243" s="148"/>
      <c r="S2243" s="148"/>
      <c r="T2243" s="148"/>
      <c r="U2243" s="148"/>
      <c r="V2243" s="148"/>
      <c r="W2243" s="148"/>
      <c r="X2243" s="148"/>
      <c r="Y2243" s="148"/>
      <c r="Z2243" s="148"/>
      <c r="AA2243" s="148"/>
      <c r="AB2243" s="148"/>
      <c r="AC2243" s="148"/>
    </row>
    <row r="2244" spans="1:29" hidden="1">
      <c r="A2244" s="146"/>
      <c r="B2244" s="147"/>
      <c r="C2244" s="147"/>
      <c r="D2244" s="147"/>
      <c r="E2244" s="147"/>
      <c r="F2244" s="147"/>
      <c r="G2244" s="147"/>
      <c r="H2244" s="147"/>
      <c r="I2244" s="147"/>
      <c r="J2244" s="147"/>
      <c r="K2244" s="147"/>
      <c r="L2244" s="147"/>
      <c r="M2244" s="147"/>
      <c r="N2244" s="147"/>
      <c r="O2244" s="147"/>
      <c r="P2244" s="147"/>
      <c r="Q2244" s="147"/>
      <c r="R2244" s="148"/>
      <c r="S2244" s="148"/>
      <c r="T2244" s="148"/>
      <c r="U2244" s="148"/>
      <c r="V2244" s="148"/>
      <c r="W2244" s="148"/>
      <c r="X2244" s="148"/>
      <c r="Y2244" s="148"/>
      <c r="Z2244" s="148"/>
      <c r="AA2244" s="148"/>
      <c r="AB2244" s="148"/>
      <c r="AC2244" s="148"/>
    </row>
    <row r="2245" spans="1:29" hidden="1">
      <c r="A2245" s="146"/>
      <c r="B2245" s="147"/>
      <c r="C2245" s="147"/>
      <c r="D2245" s="147"/>
      <c r="E2245" s="147"/>
      <c r="F2245" s="147"/>
      <c r="G2245" s="147"/>
      <c r="H2245" s="147"/>
      <c r="I2245" s="147"/>
      <c r="J2245" s="147"/>
      <c r="K2245" s="147"/>
      <c r="L2245" s="147"/>
      <c r="M2245" s="147"/>
      <c r="N2245" s="147"/>
      <c r="O2245" s="147"/>
      <c r="P2245" s="147"/>
      <c r="Q2245" s="147"/>
      <c r="R2245" s="148"/>
      <c r="S2245" s="148"/>
      <c r="T2245" s="148"/>
      <c r="U2245" s="148"/>
      <c r="V2245" s="148"/>
      <c r="W2245" s="148"/>
      <c r="X2245" s="148"/>
      <c r="Y2245" s="148"/>
      <c r="Z2245" s="148"/>
      <c r="AA2245" s="148"/>
      <c r="AB2245" s="148"/>
      <c r="AC2245" s="148"/>
    </row>
    <row r="2246" spans="1:29" hidden="1">
      <c r="A2246" s="146"/>
      <c r="B2246" s="147"/>
      <c r="C2246" s="147"/>
      <c r="D2246" s="147"/>
      <c r="E2246" s="147"/>
      <c r="F2246" s="147"/>
      <c r="G2246" s="147"/>
      <c r="H2246" s="147"/>
      <c r="I2246" s="147"/>
      <c r="J2246" s="147"/>
      <c r="K2246" s="147"/>
      <c r="L2246" s="147"/>
      <c r="M2246" s="147"/>
      <c r="N2246" s="147"/>
      <c r="O2246" s="147"/>
      <c r="P2246" s="147"/>
      <c r="Q2246" s="147"/>
      <c r="R2246" s="148"/>
      <c r="S2246" s="148"/>
      <c r="T2246" s="148"/>
      <c r="U2246" s="148"/>
      <c r="V2246" s="148"/>
      <c r="W2246" s="148"/>
      <c r="X2246" s="148"/>
      <c r="Y2246" s="148"/>
      <c r="Z2246" s="148"/>
      <c r="AA2246" s="148"/>
      <c r="AB2246" s="148"/>
      <c r="AC2246" s="148"/>
    </row>
    <row r="2247" spans="1:29" hidden="1">
      <c r="A2247" s="146"/>
      <c r="B2247" s="147"/>
      <c r="C2247" s="147"/>
      <c r="D2247" s="147"/>
      <c r="E2247" s="147"/>
      <c r="F2247" s="147"/>
      <c r="G2247" s="147"/>
      <c r="H2247" s="147"/>
      <c r="I2247" s="147"/>
      <c r="J2247" s="147"/>
      <c r="K2247" s="147"/>
      <c r="L2247" s="147"/>
      <c r="M2247" s="147"/>
      <c r="N2247" s="147"/>
      <c r="O2247" s="147"/>
      <c r="P2247" s="147"/>
      <c r="Q2247" s="147"/>
      <c r="R2247" s="148"/>
      <c r="S2247" s="148"/>
      <c r="T2247" s="148"/>
      <c r="U2247" s="148"/>
      <c r="V2247" s="148"/>
      <c r="W2247" s="148"/>
      <c r="X2247" s="148"/>
      <c r="Y2247" s="148"/>
      <c r="Z2247" s="148"/>
      <c r="AA2247" s="148"/>
      <c r="AB2247" s="148"/>
      <c r="AC2247" s="148"/>
    </row>
    <row r="2248" spans="1:29" hidden="1">
      <c r="A2248" s="146"/>
      <c r="B2248" s="147"/>
      <c r="C2248" s="147"/>
      <c r="D2248" s="147"/>
      <c r="E2248" s="147"/>
      <c r="F2248" s="147"/>
      <c r="G2248" s="147"/>
      <c r="H2248" s="147"/>
      <c r="I2248" s="147"/>
      <c r="J2248" s="147"/>
      <c r="K2248" s="147"/>
      <c r="L2248" s="147"/>
      <c r="M2248" s="147"/>
      <c r="N2248" s="147"/>
      <c r="O2248" s="147"/>
      <c r="P2248" s="147"/>
      <c r="Q2248" s="147"/>
      <c r="R2248" s="148"/>
      <c r="S2248" s="148"/>
      <c r="T2248" s="148"/>
      <c r="U2248" s="148"/>
      <c r="V2248" s="148"/>
      <c r="W2248" s="148"/>
      <c r="X2248" s="148"/>
      <c r="Y2248" s="148"/>
      <c r="Z2248" s="148"/>
      <c r="AA2248" s="148"/>
      <c r="AB2248" s="148"/>
      <c r="AC2248" s="148"/>
    </row>
    <row r="2249" spans="1:29" hidden="1">
      <c r="A2249" s="146"/>
      <c r="B2249" s="147"/>
      <c r="C2249" s="147"/>
      <c r="D2249" s="147"/>
      <c r="E2249" s="147"/>
      <c r="F2249" s="147"/>
      <c r="G2249" s="147"/>
      <c r="H2249" s="147"/>
      <c r="I2249" s="147"/>
      <c r="J2249" s="147"/>
      <c r="K2249" s="147"/>
      <c r="L2249" s="147"/>
      <c r="M2249" s="147"/>
      <c r="N2249" s="147"/>
      <c r="O2249" s="147"/>
      <c r="P2249" s="147"/>
      <c r="Q2249" s="147"/>
      <c r="R2249" s="148"/>
      <c r="S2249" s="148"/>
      <c r="T2249" s="148"/>
      <c r="U2249" s="148"/>
      <c r="V2249" s="148"/>
      <c r="W2249" s="148"/>
      <c r="X2249" s="148"/>
      <c r="Y2249" s="148"/>
      <c r="Z2249" s="148"/>
      <c r="AA2249" s="148"/>
      <c r="AB2249" s="148"/>
      <c r="AC2249" s="148"/>
    </row>
    <row r="2250" spans="1:29" hidden="1">
      <c r="A2250" s="146"/>
      <c r="B2250" s="147"/>
      <c r="C2250" s="147"/>
      <c r="D2250" s="147"/>
      <c r="E2250" s="147"/>
      <c r="F2250" s="147"/>
      <c r="G2250" s="147"/>
      <c r="H2250" s="147"/>
      <c r="I2250" s="147"/>
      <c r="J2250" s="147"/>
      <c r="K2250" s="147"/>
      <c r="L2250" s="147"/>
      <c r="M2250" s="147"/>
      <c r="N2250" s="147"/>
      <c r="O2250" s="147"/>
      <c r="P2250" s="147"/>
      <c r="Q2250" s="147"/>
      <c r="R2250" s="148"/>
      <c r="S2250" s="148"/>
      <c r="T2250" s="148"/>
      <c r="U2250" s="148"/>
      <c r="V2250" s="148"/>
      <c r="W2250" s="148"/>
      <c r="X2250" s="148"/>
      <c r="Y2250" s="148"/>
      <c r="Z2250" s="148"/>
      <c r="AA2250" s="148"/>
      <c r="AB2250" s="148"/>
      <c r="AC2250" s="148"/>
    </row>
    <row r="2251" spans="1:29" hidden="1">
      <c r="A2251" s="146"/>
      <c r="B2251" s="147"/>
      <c r="C2251" s="147"/>
      <c r="D2251" s="147"/>
      <c r="E2251" s="147"/>
      <c r="F2251" s="147"/>
      <c r="G2251" s="147"/>
      <c r="H2251" s="147"/>
      <c r="I2251" s="147"/>
      <c r="J2251" s="147"/>
      <c r="K2251" s="147"/>
      <c r="L2251" s="147"/>
      <c r="M2251" s="147"/>
      <c r="N2251" s="147"/>
      <c r="O2251" s="147"/>
      <c r="P2251" s="147"/>
      <c r="Q2251" s="147"/>
      <c r="R2251" s="148"/>
      <c r="S2251" s="148"/>
      <c r="T2251" s="148"/>
      <c r="U2251" s="148"/>
      <c r="V2251" s="148"/>
      <c r="W2251" s="148"/>
      <c r="X2251" s="148"/>
      <c r="Y2251" s="148"/>
      <c r="Z2251" s="148"/>
      <c r="AA2251" s="148"/>
      <c r="AB2251" s="148"/>
      <c r="AC2251" s="148"/>
    </row>
    <row r="2252" spans="1:29" hidden="1">
      <c r="A2252" s="146"/>
      <c r="B2252" s="147"/>
      <c r="C2252" s="147"/>
      <c r="D2252" s="147"/>
      <c r="E2252" s="147"/>
      <c r="F2252" s="147"/>
      <c r="G2252" s="147"/>
      <c r="H2252" s="147"/>
      <c r="I2252" s="147"/>
      <c r="J2252" s="147"/>
      <c r="K2252" s="147"/>
      <c r="L2252" s="147"/>
      <c r="M2252" s="147"/>
      <c r="N2252" s="147"/>
      <c r="O2252" s="147"/>
      <c r="P2252" s="147"/>
      <c r="Q2252" s="147"/>
      <c r="R2252" s="148"/>
      <c r="S2252" s="148"/>
      <c r="T2252" s="148"/>
      <c r="U2252" s="148"/>
      <c r="V2252" s="148"/>
      <c r="W2252" s="148"/>
      <c r="X2252" s="148"/>
      <c r="Y2252" s="148"/>
      <c r="Z2252" s="148"/>
      <c r="AA2252" s="148"/>
      <c r="AB2252" s="148"/>
      <c r="AC2252" s="148"/>
    </row>
    <row r="2253" spans="1:29" hidden="1">
      <c r="A2253" s="146"/>
      <c r="B2253" s="147"/>
      <c r="C2253" s="147"/>
      <c r="D2253" s="147"/>
      <c r="E2253" s="147"/>
      <c r="F2253" s="147"/>
      <c r="G2253" s="147"/>
      <c r="H2253" s="147"/>
      <c r="I2253" s="147"/>
      <c r="J2253" s="147"/>
      <c r="K2253" s="147"/>
      <c r="L2253" s="147"/>
      <c r="M2253" s="147"/>
      <c r="N2253" s="147"/>
      <c r="O2253" s="147"/>
      <c r="P2253" s="147"/>
      <c r="Q2253" s="147"/>
      <c r="R2253" s="148"/>
      <c r="S2253" s="148"/>
      <c r="T2253" s="148"/>
      <c r="U2253" s="148"/>
      <c r="V2253" s="148"/>
      <c r="W2253" s="148"/>
      <c r="X2253" s="148"/>
      <c r="Y2253" s="148"/>
      <c r="Z2253" s="148"/>
      <c r="AA2253" s="148"/>
      <c r="AB2253" s="148"/>
      <c r="AC2253" s="148"/>
    </row>
    <row r="2254" spans="1:29" hidden="1">
      <c r="A2254" s="146"/>
      <c r="B2254" s="147"/>
      <c r="C2254" s="147"/>
      <c r="D2254" s="147"/>
      <c r="E2254" s="147"/>
      <c r="F2254" s="147"/>
      <c r="G2254" s="147"/>
      <c r="H2254" s="147"/>
      <c r="I2254" s="147"/>
      <c r="J2254" s="147"/>
      <c r="K2254" s="147"/>
      <c r="L2254" s="147"/>
      <c r="M2254" s="147"/>
      <c r="N2254" s="147"/>
      <c r="O2254" s="147"/>
      <c r="P2254" s="147"/>
      <c r="Q2254" s="147"/>
      <c r="R2254" s="148"/>
      <c r="S2254" s="148"/>
      <c r="T2254" s="148"/>
      <c r="U2254" s="148"/>
      <c r="V2254" s="148"/>
      <c r="W2254" s="148"/>
      <c r="X2254" s="148"/>
      <c r="Y2254" s="148"/>
      <c r="Z2254" s="148"/>
      <c r="AA2254" s="148"/>
      <c r="AB2254" s="148"/>
      <c r="AC2254" s="148"/>
    </row>
    <row r="2255" spans="1:29" hidden="1">
      <c r="A2255" s="146"/>
      <c r="B2255" s="147"/>
      <c r="C2255" s="147"/>
      <c r="D2255" s="147"/>
      <c r="E2255" s="147"/>
      <c r="F2255" s="147"/>
      <c r="G2255" s="147"/>
      <c r="H2255" s="147"/>
      <c r="I2255" s="147"/>
      <c r="J2255" s="147"/>
      <c r="K2255" s="147"/>
      <c r="L2255" s="147"/>
      <c r="M2255" s="147"/>
      <c r="N2255" s="147"/>
      <c r="O2255" s="147"/>
      <c r="P2255" s="147"/>
      <c r="Q2255" s="147"/>
      <c r="R2255" s="148"/>
      <c r="S2255" s="148"/>
      <c r="T2255" s="148"/>
      <c r="U2255" s="148"/>
      <c r="V2255" s="148"/>
      <c r="W2255" s="148"/>
      <c r="X2255" s="148"/>
      <c r="Y2255" s="148"/>
      <c r="Z2255" s="148"/>
      <c r="AA2255" s="148"/>
      <c r="AB2255" s="148"/>
      <c r="AC2255" s="148"/>
    </row>
    <row r="2256" spans="1:29" hidden="1">
      <c r="A2256" s="146"/>
      <c r="B2256" s="147"/>
      <c r="C2256" s="147"/>
      <c r="D2256" s="147"/>
      <c r="E2256" s="147"/>
      <c r="F2256" s="147"/>
      <c r="G2256" s="147"/>
      <c r="H2256" s="147"/>
      <c r="I2256" s="147"/>
      <c r="J2256" s="147"/>
      <c r="K2256" s="147"/>
      <c r="L2256" s="147"/>
      <c r="M2256" s="147"/>
      <c r="N2256" s="147"/>
      <c r="O2256" s="147"/>
      <c r="P2256" s="147"/>
      <c r="Q2256" s="147"/>
      <c r="R2256" s="148"/>
      <c r="S2256" s="148"/>
      <c r="T2256" s="148"/>
      <c r="U2256" s="148"/>
      <c r="V2256" s="148"/>
      <c r="W2256" s="148"/>
      <c r="X2256" s="148"/>
      <c r="Y2256" s="148"/>
      <c r="Z2256" s="148"/>
      <c r="AA2256" s="148"/>
      <c r="AB2256" s="148"/>
      <c r="AC2256" s="148"/>
    </row>
    <row r="2257" spans="1:29" hidden="1">
      <c r="A2257" s="146"/>
      <c r="B2257" s="147"/>
      <c r="C2257" s="147"/>
      <c r="D2257" s="147"/>
      <c r="E2257" s="147"/>
      <c r="F2257" s="147"/>
      <c r="G2257" s="147"/>
      <c r="H2257" s="147"/>
      <c r="I2257" s="147"/>
      <c r="J2257" s="147"/>
      <c r="K2257" s="147"/>
      <c r="L2257" s="147"/>
      <c r="M2257" s="147"/>
      <c r="N2257" s="147"/>
      <c r="O2257" s="147"/>
      <c r="P2257" s="147"/>
      <c r="Q2257" s="147"/>
      <c r="R2257" s="148"/>
      <c r="S2257" s="148"/>
      <c r="T2257" s="148"/>
      <c r="U2257" s="148"/>
      <c r="V2257" s="148"/>
      <c r="W2257" s="148"/>
      <c r="X2257" s="148"/>
      <c r="Y2257" s="148"/>
      <c r="Z2257" s="148"/>
      <c r="AA2257" s="148"/>
      <c r="AB2257" s="148"/>
      <c r="AC2257" s="148"/>
    </row>
    <row r="2258" spans="1:29" hidden="1">
      <c r="A2258" s="146"/>
      <c r="B2258" s="147"/>
      <c r="C2258" s="147"/>
      <c r="D2258" s="147"/>
      <c r="E2258" s="147"/>
      <c r="F2258" s="147"/>
      <c r="G2258" s="147"/>
      <c r="H2258" s="147"/>
      <c r="I2258" s="147"/>
      <c r="J2258" s="147"/>
      <c r="K2258" s="147"/>
      <c r="L2258" s="147"/>
      <c r="M2258" s="147"/>
      <c r="N2258" s="147"/>
      <c r="O2258" s="147"/>
      <c r="P2258" s="147"/>
      <c r="Q2258" s="147"/>
      <c r="R2258" s="148"/>
      <c r="S2258" s="148"/>
      <c r="T2258" s="148"/>
      <c r="U2258" s="148"/>
      <c r="V2258" s="148"/>
      <c r="W2258" s="148"/>
      <c r="X2258" s="148"/>
      <c r="Y2258" s="148"/>
      <c r="Z2258" s="148"/>
      <c r="AA2258" s="148"/>
      <c r="AB2258" s="148"/>
      <c r="AC2258" s="148"/>
    </row>
    <row r="2259" spans="1:29" hidden="1">
      <c r="A2259" s="146"/>
      <c r="B2259" s="147"/>
      <c r="C2259" s="147"/>
      <c r="D2259" s="147"/>
      <c r="E2259" s="147"/>
      <c r="F2259" s="147"/>
      <c r="G2259" s="147"/>
      <c r="H2259" s="147"/>
      <c r="I2259" s="147"/>
      <c r="J2259" s="147"/>
      <c r="K2259" s="147"/>
      <c r="L2259" s="147"/>
      <c r="M2259" s="147"/>
      <c r="N2259" s="147"/>
      <c r="O2259" s="147"/>
      <c r="P2259" s="147"/>
      <c r="Q2259" s="147"/>
      <c r="R2259" s="148"/>
      <c r="S2259" s="148"/>
      <c r="T2259" s="148"/>
      <c r="U2259" s="148"/>
      <c r="V2259" s="148"/>
      <c r="W2259" s="148"/>
      <c r="X2259" s="148"/>
      <c r="Y2259" s="148"/>
      <c r="Z2259" s="148"/>
      <c r="AA2259" s="148"/>
      <c r="AB2259" s="148"/>
      <c r="AC2259" s="148"/>
    </row>
    <row r="2260" spans="1:29" hidden="1">
      <c r="A2260" s="146"/>
      <c r="B2260" s="147"/>
      <c r="C2260" s="147"/>
      <c r="D2260" s="147"/>
      <c r="E2260" s="147"/>
      <c r="F2260" s="147"/>
      <c r="G2260" s="147"/>
      <c r="H2260" s="147"/>
      <c r="I2260" s="147"/>
      <c r="J2260" s="147"/>
      <c r="K2260" s="147"/>
      <c r="L2260" s="147"/>
      <c r="M2260" s="147"/>
      <c r="N2260" s="147"/>
      <c r="O2260" s="147"/>
      <c r="P2260" s="147"/>
      <c r="Q2260" s="147"/>
      <c r="R2260" s="148"/>
      <c r="S2260" s="148"/>
      <c r="T2260" s="148"/>
      <c r="U2260" s="148"/>
      <c r="V2260" s="148"/>
      <c r="W2260" s="148"/>
      <c r="X2260" s="148"/>
      <c r="Y2260" s="148"/>
      <c r="Z2260" s="148"/>
      <c r="AA2260" s="148"/>
      <c r="AB2260" s="148"/>
      <c r="AC2260" s="148"/>
    </row>
    <row r="2261" spans="1:29" hidden="1">
      <c r="A2261" s="146"/>
      <c r="B2261" s="147"/>
      <c r="C2261" s="147"/>
      <c r="D2261" s="147"/>
      <c r="E2261" s="147"/>
      <c r="F2261" s="147"/>
      <c r="G2261" s="147"/>
      <c r="H2261" s="147"/>
      <c r="I2261" s="147"/>
      <c r="J2261" s="147"/>
      <c r="K2261" s="147"/>
      <c r="L2261" s="147"/>
      <c r="M2261" s="147"/>
      <c r="N2261" s="147"/>
      <c r="O2261" s="147"/>
      <c r="P2261" s="147"/>
      <c r="Q2261" s="147"/>
      <c r="R2261" s="148"/>
      <c r="S2261" s="148"/>
      <c r="T2261" s="148"/>
      <c r="U2261" s="148"/>
      <c r="V2261" s="148"/>
      <c r="W2261" s="148"/>
      <c r="X2261" s="148"/>
      <c r="Y2261" s="148"/>
      <c r="Z2261" s="148"/>
      <c r="AA2261" s="148"/>
      <c r="AB2261" s="148"/>
      <c r="AC2261" s="148"/>
    </row>
    <row r="2262" spans="1:29" hidden="1">
      <c r="A2262" s="146"/>
      <c r="B2262" s="147"/>
      <c r="C2262" s="147"/>
      <c r="D2262" s="147"/>
      <c r="E2262" s="147"/>
      <c r="F2262" s="147"/>
      <c r="G2262" s="147"/>
      <c r="H2262" s="147"/>
      <c r="I2262" s="147"/>
      <c r="J2262" s="147"/>
      <c r="K2262" s="147"/>
      <c r="L2262" s="147"/>
      <c r="M2262" s="147"/>
      <c r="N2262" s="147"/>
      <c r="O2262" s="147"/>
      <c r="P2262" s="147"/>
      <c r="Q2262" s="147"/>
      <c r="R2262" s="148"/>
      <c r="S2262" s="148"/>
      <c r="T2262" s="148"/>
      <c r="U2262" s="148"/>
      <c r="V2262" s="148"/>
      <c r="W2262" s="148"/>
      <c r="X2262" s="148"/>
      <c r="Y2262" s="148"/>
      <c r="Z2262" s="148"/>
      <c r="AA2262" s="148"/>
      <c r="AB2262" s="148"/>
      <c r="AC2262" s="148"/>
    </row>
    <row r="2263" spans="1:29" hidden="1">
      <c r="A2263" s="146"/>
      <c r="B2263" s="147"/>
      <c r="C2263" s="147"/>
      <c r="D2263" s="147"/>
      <c r="E2263" s="147"/>
      <c r="F2263" s="147"/>
      <c r="G2263" s="147"/>
      <c r="H2263" s="147"/>
      <c r="I2263" s="147"/>
      <c r="J2263" s="147"/>
      <c r="K2263" s="147"/>
      <c r="L2263" s="147"/>
      <c r="M2263" s="147"/>
      <c r="N2263" s="147"/>
      <c r="O2263" s="147"/>
      <c r="P2263" s="147"/>
      <c r="Q2263" s="147"/>
      <c r="R2263" s="148"/>
      <c r="S2263" s="148"/>
      <c r="T2263" s="148"/>
      <c r="U2263" s="148"/>
      <c r="V2263" s="148"/>
      <c r="W2263" s="148"/>
      <c r="X2263" s="148"/>
      <c r="Y2263" s="148"/>
      <c r="Z2263" s="148"/>
      <c r="AA2263" s="148"/>
      <c r="AB2263" s="148"/>
      <c r="AC2263" s="148"/>
    </row>
    <row r="2264" spans="1:29" hidden="1">
      <c r="A2264" s="146"/>
      <c r="B2264" s="147"/>
      <c r="C2264" s="147"/>
      <c r="D2264" s="147"/>
      <c r="E2264" s="147"/>
      <c r="F2264" s="147"/>
      <c r="G2264" s="147"/>
      <c r="H2264" s="147"/>
      <c r="I2264" s="147"/>
      <c r="J2264" s="147"/>
      <c r="K2264" s="147"/>
      <c r="L2264" s="147"/>
      <c r="M2264" s="147"/>
      <c r="N2264" s="147"/>
      <c r="O2264" s="147"/>
      <c r="P2264" s="147"/>
      <c r="Q2264" s="147"/>
      <c r="R2264" s="148"/>
      <c r="S2264" s="148"/>
      <c r="T2264" s="148"/>
      <c r="U2264" s="148"/>
      <c r="V2264" s="148"/>
      <c r="W2264" s="148"/>
      <c r="X2264" s="148"/>
      <c r="Y2264" s="148"/>
      <c r="Z2264" s="148"/>
      <c r="AA2264" s="148"/>
      <c r="AB2264" s="148"/>
      <c r="AC2264" s="148"/>
    </row>
    <row r="2265" spans="1:29" hidden="1">
      <c r="A2265" s="146"/>
      <c r="B2265" s="147"/>
      <c r="C2265" s="147"/>
      <c r="D2265" s="147"/>
      <c r="E2265" s="147"/>
      <c r="F2265" s="147"/>
      <c r="G2265" s="147"/>
      <c r="H2265" s="147"/>
      <c r="I2265" s="147"/>
      <c r="J2265" s="147"/>
      <c r="K2265" s="147"/>
      <c r="L2265" s="147"/>
      <c r="M2265" s="147"/>
      <c r="N2265" s="147"/>
      <c r="O2265" s="147"/>
      <c r="P2265" s="147"/>
      <c r="Q2265" s="147"/>
      <c r="R2265" s="148"/>
      <c r="S2265" s="148"/>
      <c r="T2265" s="148"/>
      <c r="U2265" s="148"/>
      <c r="V2265" s="148"/>
      <c r="W2265" s="148"/>
      <c r="X2265" s="148"/>
      <c r="Y2265" s="148"/>
      <c r="Z2265" s="148"/>
      <c r="AA2265" s="148"/>
      <c r="AB2265" s="148"/>
      <c r="AC2265" s="148"/>
    </row>
    <row r="2266" spans="1:29" hidden="1">
      <c r="A2266" s="146"/>
      <c r="B2266" s="147"/>
      <c r="C2266" s="147"/>
      <c r="D2266" s="147"/>
      <c r="E2266" s="147"/>
      <c r="F2266" s="147"/>
      <c r="G2266" s="147"/>
      <c r="H2266" s="147"/>
      <c r="I2266" s="147"/>
      <c r="J2266" s="147"/>
      <c r="K2266" s="147"/>
      <c r="L2266" s="147"/>
      <c r="M2266" s="147"/>
      <c r="N2266" s="147"/>
      <c r="O2266" s="147"/>
      <c r="P2266" s="147"/>
      <c r="Q2266" s="147"/>
      <c r="R2266" s="148"/>
      <c r="S2266" s="148"/>
      <c r="T2266" s="148"/>
      <c r="U2266" s="148"/>
      <c r="V2266" s="148"/>
      <c r="W2266" s="148"/>
      <c r="X2266" s="148"/>
      <c r="Y2266" s="148"/>
      <c r="Z2266" s="148"/>
      <c r="AA2266" s="148"/>
      <c r="AB2266" s="148"/>
      <c r="AC2266" s="148"/>
    </row>
    <row r="2267" spans="1:29" hidden="1">
      <c r="A2267" s="146"/>
      <c r="B2267" s="147"/>
      <c r="C2267" s="147"/>
      <c r="D2267" s="147"/>
      <c r="E2267" s="147"/>
      <c r="F2267" s="147"/>
      <c r="G2267" s="147"/>
      <c r="H2267" s="147"/>
      <c r="I2267" s="147"/>
      <c r="J2267" s="147"/>
      <c r="K2267" s="147"/>
      <c r="L2267" s="147"/>
      <c r="M2267" s="147"/>
      <c r="N2267" s="147"/>
      <c r="O2267" s="147"/>
      <c r="P2267" s="147"/>
      <c r="Q2267" s="147"/>
      <c r="R2267" s="148"/>
      <c r="S2267" s="148"/>
      <c r="T2267" s="148"/>
      <c r="U2267" s="148"/>
      <c r="V2267" s="148"/>
      <c r="W2267" s="148"/>
      <c r="X2267" s="148"/>
      <c r="Y2267" s="148"/>
      <c r="Z2267" s="148"/>
      <c r="AA2267" s="148"/>
      <c r="AB2267" s="148"/>
      <c r="AC2267" s="148"/>
    </row>
    <row r="2268" spans="1:29" hidden="1">
      <c r="A2268" s="146"/>
      <c r="B2268" s="147"/>
      <c r="C2268" s="147"/>
      <c r="D2268" s="147"/>
      <c r="E2268" s="147"/>
      <c r="F2268" s="147"/>
      <c r="G2268" s="147"/>
      <c r="H2268" s="147"/>
      <c r="I2268" s="147"/>
      <c r="J2268" s="147"/>
      <c r="K2268" s="147"/>
      <c r="L2268" s="147"/>
      <c r="M2268" s="147"/>
      <c r="N2268" s="147"/>
      <c r="O2268" s="147"/>
      <c r="P2268" s="147"/>
      <c r="Q2268" s="147"/>
      <c r="R2268" s="148"/>
      <c r="S2268" s="148"/>
      <c r="T2268" s="148"/>
      <c r="U2268" s="148"/>
      <c r="V2268" s="148"/>
      <c r="W2268" s="148"/>
      <c r="X2268" s="148"/>
      <c r="Y2268" s="148"/>
      <c r="Z2268" s="148"/>
      <c r="AA2268" s="148"/>
      <c r="AB2268" s="148"/>
      <c r="AC2268" s="148"/>
    </row>
    <row r="2269" spans="1:29" hidden="1">
      <c r="A2269" s="146"/>
      <c r="B2269" s="147"/>
      <c r="C2269" s="147"/>
      <c r="D2269" s="147"/>
      <c r="E2269" s="147"/>
      <c r="F2269" s="147"/>
      <c r="G2269" s="147"/>
      <c r="H2269" s="147"/>
      <c r="I2269" s="147"/>
      <c r="J2269" s="147"/>
      <c r="K2269" s="147"/>
      <c r="L2269" s="147"/>
      <c r="M2269" s="147"/>
      <c r="N2269" s="147"/>
      <c r="O2269" s="147"/>
      <c r="P2269" s="147"/>
      <c r="Q2269" s="147"/>
      <c r="R2269" s="148"/>
      <c r="S2269" s="148"/>
      <c r="T2269" s="148"/>
      <c r="U2269" s="148"/>
      <c r="V2269" s="148"/>
      <c r="W2269" s="148"/>
      <c r="X2269" s="148"/>
      <c r="Y2269" s="148"/>
      <c r="Z2269" s="148"/>
      <c r="AA2269" s="148"/>
      <c r="AB2269" s="148"/>
      <c r="AC2269" s="148"/>
    </row>
    <row r="2270" spans="1:29" hidden="1">
      <c r="A2270" s="146"/>
      <c r="B2270" s="147"/>
      <c r="C2270" s="147"/>
      <c r="D2270" s="147"/>
      <c r="E2270" s="147"/>
      <c r="F2270" s="147"/>
      <c r="G2270" s="147"/>
      <c r="H2270" s="147"/>
      <c r="I2270" s="147"/>
      <c r="J2270" s="147"/>
      <c r="K2270" s="147"/>
      <c r="L2270" s="147"/>
      <c r="M2270" s="147"/>
      <c r="N2270" s="147"/>
      <c r="O2270" s="147"/>
      <c r="P2270" s="147"/>
      <c r="Q2270" s="147"/>
      <c r="R2270" s="148"/>
      <c r="S2270" s="148"/>
      <c r="T2270" s="148"/>
      <c r="U2270" s="148"/>
      <c r="V2270" s="148"/>
      <c r="W2270" s="148"/>
      <c r="X2270" s="148"/>
      <c r="Y2270" s="148"/>
      <c r="Z2270" s="148"/>
      <c r="AA2270" s="148"/>
      <c r="AB2270" s="148"/>
      <c r="AC2270" s="148"/>
    </row>
    <row r="2271" spans="1:29" hidden="1">
      <c r="A2271" s="146"/>
      <c r="B2271" s="147"/>
      <c r="C2271" s="147"/>
      <c r="D2271" s="147"/>
      <c r="E2271" s="147"/>
      <c r="F2271" s="147"/>
      <c r="G2271" s="147"/>
      <c r="H2271" s="147"/>
      <c r="I2271" s="147"/>
      <c r="J2271" s="147"/>
      <c r="K2271" s="147"/>
      <c r="L2271" s="147"/>
      <c r="M2271" s="147"/>
      <c r="N2271" s="147"/>
      <c r="O2271" s="147"/>
      <c r="P2271" s="147"/>
      <c r="Q2271" s="147"/>
      <c r="R2271" s="148"/>
      <c r="S2271" s="148"/>
      <c r="T2271" s="148"/>
      <c r="U2271" s="148"/>
      <c r="V2271" s="148"/>
      <c r="W2271" s="148"/>
      <c r="X2271" s="148"/>
      <c r="Y2271" s="148"/>
      <c r="Z2271" s="148"/>
      <c r="AA2271" s="148"/>
      <c r="AB2271" s="148"/>
      <c r="AC2271" s="148"/>
    </row>
    <row r="2272" spans="1:29" hidden="1">
      <c r="A2272" s="146"/>
      <c r="B2272" s="147"/>
      <c r="C2272" s="147"/>
      <c r="D2272" s="147"/>
      <c r="E2272" s="147"/>
      <c r="F2272" s="147"/>
      <c r="G2272" s="147"/>
      <c r="H2272" s="147"/>
      <c r="I2272" s="147"/>
      <c r="J2272" s="147"/>
      <c r="K2272" s="147"/>
      <c r="L2272" s="147"/>
      <c r="M2272" s="147"/>
      <c r="N2272" s="147"/>
      <c r="O2272" s="147"/>
      <c r="P2272" s="147"/>
      <c r="Q2272" s="147"/>
      <c r="R2272" s="148"/>
      <c r="S2272" s="148"/>
      <c r="T2272" s="148"/>
      <c r="U2272" s="148"/>
      <c r="V2272" s="148"/>
      <c r="W2272" s="148"/>
      <c r="X2272" s="148"/>
      <c r="Y2272" s="148"/>
      <c r="Z2272" s="148"/>
      <c r="AA2272" s="148"/>
      <c r="AB2272" s="148"/>
      <c r="AC2272" s="148"/>
    </row>
    <row r="2273" spans="1:29" hidden="1">
      <c r="A2273" s="146"/>
      <c r="B2273" s="147"/>
      <c r="C2273" s="147"/>
      <c r="D2273" s="147"/>
      <c r="E2273" s="147"/>
      <c r="F2273" s="147"/>
      <c r="G2273" s="147"/>
      <c r="H2273" s="147"/>
      <c r="I2273" s="147"/>
      <c r="J2273" s="147"/>
      <c r="K2273" s="147"/>
      <c r="L2273" s="147"/>
      <c r="M2273" s="147"/>
      <c r="N2273" s="147"/>
      <c r="O2273" s="147"/>
      <c r="P2273" s="147"/>
      <c r="Q2273" s="147"/>
      <c r="R2273" s="148"/>
      <c r="S2273" s="148"/>
      <c r="T2273" s="148"/>
      <c r="U2273" s="148"/>
      <c r="V2273" s="148"/>
      <c r="W2273" s="148"/>
      <c r="X2273" s="148"/>
      <c r="Y2273" s="148"/>
      <c r="Z2273" s="148"/>
      <c r="AA2273" s="148"/>
      <c r="AB2273" s="148"/>
      <c r="AC2273" s="148"/>
    </row>
    <row r="2274" spans="1:29" hidden="1">
      <c r="A2274" s="146"/>
      <c r="B2274" s="147"/>
      <c r="C2274" s="147"/>
      <c r="D2274" s="147"/>
      <c r="E2274" s="147"/>
      <c r="F2274" s="147"/>
      <c r="G2274" s="147"/>
      <c r="H2274" s="147"/>
      <c r="I2274" s="147"/>
      <c r="J2274" s="147"/>
      <c r="K2274" s="147"/>
      <c r="L2274" s="147"/>
      <c r="M2274" s="147"/>
      <c r="N2274" s="147"/>
      <c r="O2274" s="147"/>
      <c r="P2274" s="147"/>
      <c r="Q2274" s="147"/>
      <c r="R2274" s="148"/>
      <c r="S2274" s="148"/>
      <c r="T2274" s="148"/>
      <c r="U2274" s="148"/>
      <c r="V2274" s="148"/>
      <c r="W2274" s="148"/>
      <c r="X2274" s="148"/>
      <c r="Y2274" s="148"/>
      <c r="Z2274" s="148"/>
      <c r="AA2274" s="148"/>
      <c r="AB2274" s="148"/>
      <c r="AC2274" s="148"/>
    </row>
    <row r="2275" spans="1:29" hidden="1">
      <c r="A2275" s="146"/>
      <c r="B2275" s="147"/>
      <c r="C2275" s="147"/>
      <c r="D2275" s="147"/>
      <c r="E2275" s="147"/>
      <c r="F2275" s="147"/>
      <c r="G2275" s="147"/>
      <c r="H2275" s="147"/>
      <c r="I2275" s="147"/>
      <c r="J2275" s="147"/>
      <c r="K2275" s="147"/>
      <c r="L2275" s="147"/>
      <c r="M2275" s="147"/>
      <c r="N2275" s="147"/>
      <c r="O2275" s="147"/>
      <c r="P2275" s="147"/>
      <c r="Q2275" s="147"/>
      <c r="R2275" s="148"/>
      <c r="S2275" s="148"/>
      <c r="T2275" s="148"/>
      <c r="U2275" s="148"/>
      <c r="V2275" s="148"/>
      <c r="W2275" s="148"/>
      <c r="X2275" s="148"/>
      <c r="Y2275" s="148"/>
      <c r="Z2275" s="148"/>
      <c r="AA2275" s="148"/>
      <c r="AB2275" s="148"/>
      <c r="AC2275" s="148"/>
    </row>
    <row r="2276" spans="1:29" hidden="1">
      <c r="A2276" s="146"/>
      <c r="B2276" s="147"/>
      <c r="C2276" s="147"/>
      <c r="D2276" s="147"/>
      <c r="E2276" s="147"/>
      <c r="F2276" s="147"/>
      <c r="G2276" s="147"/>
      <c r="H2276" s="147"/>
      <c r="I2276" s="147"/>
      <c r="J2276" s="147"/>
      <c r="K2276" s="147"/>
      <c r="L2276" s="147"/>
      <c r="M2276" s="147"/>
      <c r="N2276" s="147"/>
      <c r="O2276" s="147"/>
      <c r="P2276" s="147"/>
      <c r="Q2276" s="147"/>
      <c r="R2276" s="148"/>
      <c r="S2276" s="148"/>
      <c r="T2276" s="148"/>
      <c r="U2276" s="148"/>
      <c r="V2276" s="148"/>
      <c r="W2276" s="148"/>
      <c r="X2276" s="148"/>
      <c r="Y2276" s="148"/>
      <c r="Z2276" s="148"/>
      <c r="AA2276" s="148"/>
      <c r="AB2276" s="148"/>
      <c r="AC2276" s="148"/>
    </row>
    <row r="2277" spans="1:29" hidden="1">
      <c r="A2277" s="146"/>
      <c r="B2277" s="147"/>
      <c r="C2277" s="147"/>
      <c r="D2277" s="147"/>
      <c r="E2277" s="147"/>
      <c r="F2277" s="147"/>
      <c r="G2277" s="147"/>
      <c r="H2277" s="147"/>
      <c r="I2277" s="147"/>
      <c r="J2277" s="147"/>
      <c r="K2277" s="147"/>
      <c r="L2277" s="147"/>
      <c r="M2277" s="147"/>
      <c r="N2277" s="147"/>
      <c r="O2277" s="147"/>
      <c r="P2277" s="147"/>
      <c r="Q2277" s="147"/>
      <c r="R2277" s="148"/>
      <c r="S2277" s="148"/>
      <c r="T2277" s="148"/>
      <c r="U2277" s="148"/>
      <c r="V2277" s="148"/>
      <c r="W2277" s="148"/>
      <c r="X2277" s="148"/>
      <c r="Y2277" s="148"/>
      <c r="Z2277" s="148"/>
      <c r="AA2277" s="148"/>
      <c r="AB2277" s="148"/>
      <c r="AC2277" s="148"/>
    </row>
    <row r="2278" spans="1:29" hidden="1">
      <c r="A2278" s="146"/>
      <c r="B2278" s="147"/>
      <c r="C2278" s="147"/>
      <c r="D2278" s="147"/>
      <c r="E2278" s="147"/>
      <c r="F2278" s="147"/>
      <c r="G2278" s="147"/>
      <c r="H2278" s="147"/>
      <c r="I2278" s="147"/>
      <c r="J2278" s="147"/>
      <c r="K2278" s="147"/>
      <c r="L2278" s="147"/>
      <c r="M2278" s="147"/>
      <c r="N2278" s="147"/>
      <c r="O2278" s="147"/>
      <c r="P2278" s="147"/>
      <c r="Q2278" s="147"/>
      <c r="R2278" s="148"/>
      <c r="S2278" s="148"/>
      <c r="T2278" s="148"/>
      <c r="U2278" s="148"/>
      <c r="V2278" s="148"/>
      <c r="W2278" s="148"/>
      <c r="X2278" s="148"/>
      <c r="Y2278" s="148"/>
      <c r="Z2278" s="148"/>
      <c r="AA2278" s="148"/>
      <c r="AB2278" s="148"/>
      <c r="AC2278" s="148"/>
    </row>
    <row r="2279" spans="1:29" hidden="1">
      <c r="A2279" s="146"/>
      <c r="B2279" s="147"/>
      <c r="C2279" s="147"/>
      <c r="D2279" s="147"/>
      <c r="E2279" s="147"/>
      <c r="F2279" s="147"/>
      <c r="G2279" s="147"/>
      <c r="H2279" s="147"/>
      <c r="I2279" s="147"/>
      <c r="J2279" s="147"/>
      <c r="K2279" s="147"/>
      <c r="L2279" s="147"/>
      <c r="M2279" s="147"/>
      <c r="N2279" s="147"/>
      <c r="O2279" s="147"/>
      <c r="P2279" s="147"/>
      <c r="Q2279" s="147"/>
      <c r="R2279" s="148"/>
      <c r="S2279" s="148"/>
      <c r="T2279" s="148"/>
      <c r="U2279" s="148"/>
      <c r="V2279" s="148"/>
      <c r="W2279" s="148"/>
      <c r="X2279" s="148"/>
      <c r="Y2279" s="148"/>
      <c r="Z2279" s="148"/>
      <c r="AA2279" s="148"/>
      <c r="AB2279" s="148"/>
      <c r="AC2279" s="148"/>
    </row>
    <row r="2280" spans="1:29" hidden="1">
      <c r="A2280" s="146"/>
      <c r="B2280" s="147"/>
      <c r="C2280" s="147"/>
      <c r="D2280" s="147"/>
      <c r="E2280" s="147"/>
      <c r="F2280" s="147"/>
      <c r="G2280" s="147"/>
      <c r="H2280" s="147"/>
      <c r="I2280" s="147"/>
      <c r="J2280" s="147"/>
      <c r="K2280" s="147"/>
      <c r="L2280" s="147"/>
      <c r="M2280" s="147"/>
      <c r="N2280" s="147"/>
      <c r="O2280" s="147"/>
      <c r="P2280" s="147"/>
      <c r="Q2280" s="147"/>
      <c r="R2280" s="148"/>
      <c r="S2280" s="148"/>
      <c r="T2280" s="148"/>
      <c r="U2280" s="148"/>
      <c r="V2280" s="148"/>
      <c r="W2280" s="148"/>
      <c r="X2280" s="148"/>
      <c r="Y2280" s="148"/>
      <c r="Z2280" s="148"/>
      <c r="AA2280" s="148"/>
      <c r="AB2280" s="148"/>
      <c r="AC2280" s="148"/>
    </row>
    <row r="2281" spans="1:29" hidden="1">
      <c r="A2281" s="146"/>
      <c r="B2281" s="147"/>
      <c r="C2281" s="147"/>
      <c r="D2281" s="147"/>
      <c r="E2281" s="147"/>
      <c r="F2281" s="147"/>
      <c r="G2281" s="147"/>
      <c r="H2281" s="147"/>
      <c r="I2281" s="147"/>
      <c r="J2281" s="147"/>
      <c r="K2281" s="147"/>
      <c r="L2281" s="147"/>
      <c r="M2281" s="147"/>
      <c r="N2281" s="147"/>
      <c r="O2281" s="147"/>
      <c r="P2281" s="147"/>
      <c r="Q2281" s="147"/>
      <c r="R2281" s="148"/>
      <c r="S2281" s="148"/>
      <c r="T2281" s="148"/>
      <c r="U2281" s="148"/>
      <c r="V2281" s="148"/>
      <c r="W2281" s="148"/>
      <c r="X2281" s="148"/>
      <c r="Y2281" s="148"/>
      <c r="Z2281" s="148"/>
      <c r="AA2281" s="148"/>
      <c r="AB2281" s="148"/>
      <c r="AC2281" s="148"/>
    </row>
    <row r="2282" spans="1:29" hidden="1">
      <c r="A2282" s="146"/>
      <c r="B2282" s="147"/>
      <c r="C2282" s="147"/>
      <c r="D2282" s="147"/>
      <c r="E2282" s="147"/>
      <c r="F2282" s="147"/>
      <c r="G2282" s="147"/>
      <c r="H2282" s="147"/>
      <c r="I2282" s="147"/>
      <c r="J2282" s="147"/>
      <c r="K2282" s="147"/>
      <c r="L2282" s="147"/>
      <c r="M2282" s="147"/>
      <c r="N2282" s="147"/>
      <c r="O2282" s="147"/>
      <c r="P2282" s="147"/>
      <c r="Q2282" s="147"/>
      <c r="R2282" s="148"/>
      <c r="S2282" s="148"/>
      <c r="T2282" s="148"/>
      <c r="U2282" s="148"/>
      <c r="V2282" s="148"/>
      <c r="W2282" s="148"/>
      <c r="X2282" s="148"/>
      <c r="Y2282" s="148"/>
      <c r="Z2282" s="148"/>
      <c r="AA2282" s="148"/>
      <c r="AB2282" s="148"/>
      <c r="AC2282" s="148"/>
    </row>
    <row r="2283" spans="1:29" hidden="1">
      <c r="A2283" s="146"/>
      <c r="B2283" s="147"/>
      <c r="C2283" s="147"/>
      <c r="D2283" s="147"/>
      <c r="E2283" s="147"/>
      <c r="F2283" s="147"/>
      <c r="G2283" s="147"/>
      <c r="H2283" s="147"/>
      <c r="I2283" s="147"/>
      <c r="J2283" s="147"/>
      <c r="K2283" s="147"/>
      <c r="L2283" s="147"/>
      <c r="M2283" s="147"/>
      <c r="N2283" s="147"/>
      <c r="O2283" s="147"/>
      <c r="P2283" s="147"/>
      <c r="Q2283" s="147"/>
      <c r="R2283" s="148"/>
      <c r="S2283" s="148"/>
      <c r="T2283" s="148"/>
      <c r="U2283" s="148"/>
      <c r="V2283" s="148"/>
      <c r="W2283" s="148"/>
      <c r="X2283" s="148"/>
      <c r="Y2283" s="148"/>
      <c r="Z2283" s="148"/>
      <c r="AA2283" s="148"/>
      <c r="AB2283" s="148"/>
      <c r="AC2283" s="148"/>
    </row>
    <row r="2284" spans="1:29" hidden="1">
      <c r="A2284" s="146"/>
      <c r="B2284" s="147"/>
      <c r="C2284" s="147"/>
      <c r="D2284" s="147"/>
      <c r="E2284" s="147"/>
      <c r="F2284" s="147"/>
      <c r="G2284" s="147"/>
      <c r="H2284" s="147"/>
      <c r="I2284" s="147"/>
      <c r="J2284" s="147"/>
      <c r="K2284" s="147"/>
      <c r="L2284" s="147"/>
      <c r="M2284" s="147"/>
      <c r="N2284" s="147"/>
      <c r="O2284" s="147"/>
      <c r="P2284" s="147"/>
      <c r="Q2284" s="147"/>
      <c r="R2284" s="148"/>
      <c r="S2284" s="148"/>
      <c r="T2284" s="148"/>
      <c r="U2284" s="148"/>
      <c r="V2284" s="148"/>
      <c r="W2284" s="148"/>
      <c r="X2284" s="148"/>
      <c r="Y2284" s="148"/>
      <c r="Z2284" s="148"/>
      <c r="AA2284" s="148"/>
      <c r="AB2284" s="148"/>
      <c r="AC2284" s="148"/>
    </row>
    <row r="2285" spans="1:29" hidden="1">
      <c r="A2285" s="146"/>
      <c r="B2285" s="147"/>
      <c r="C2285" s="147"/>
      <c r="D2285" s="147"/>
      <c r="E2285" s="147"/>
      <c r="F2285" s="147"/>
      <c r="G2285" s="147"/>
      <c r="H2285" s="147"/>
      <c r="I2285" s="147"/>
      <c r="J2285" s="147"/>
      <c r="K2285" s="147"/>
      <c r="L2285" s="147"/>
      <c r="M2285" s="147"/>
      <c r="N2285" s="147"/>
      <c r="O2285" s="147"/>
      <c r="P2285" s="147"/>
      <c r="Q2285" s="147"/>
      <c r="R2285" s="148"/>
      <c r="S2285" s="148"/>
      <c r="T2285" s="148"/>
      <c r="U2285" s="148"/>
      <c r="V2285" s="148"/>
      <c r="W2285" s="148"/>
      <c r="X2285" s="148"/>
      <c r="Y2285" s="148"/>
      <c r="Z2285" s="148"/>
      <c r="AA2285" s="148"/>
      <c r="AB2285" s="148"/>
      <c r="AC2285" s="148"/>
    </row>
    <row r="2286" spans="1:29" hidden="1">
      <c r="A2286" s="146"/>
      <c r="B2286" s="147"/>
      <c r="C2286" s="147"/>
      <c r="D2286" s="147"/>
      <c r="E2286" s="147"/>
      <c r="F2286" s="147"/>
      <c r="G2286" s="147"/>
      <c r="H2286" s="147"/>
      <c r="I2286" s="147"/>
      <c r="J2286" s="147"/>
      <c r="K2286" s="147"/>
      <c r="L2286" s="147"/>
      <c r="M2286" s="147"/>
      <c r="N2286" s="147"/>
      <c r="O2286" s="147"/>
      <c r="P2286" s="147"/>
      <c r="Q2286" s="147"/>
      <c r="R2286" s="148"/>
      <c r="S2286" s="148"/>
      <c r="T2286" s="148"/>
      <c r="U2286" s="148"/>
      <c r="V2286" s="148"/>
      <c r="W2286" s="148"/>
      <c r="X2286" s="148"/>
      <c r="Y2286" s="148"/>
      <c r="Z2286" s="148"/>
      <c r="AA2286" s="148"/>
      <c r="AB2286" s="148"/>
      <c r="AC2286" s="148"/>
    </row>
    <row r="2287" spans="1:29" hidden="1">
      <c r="A2287" s="146"/>
      <c r="B2287" s="147"/>
      <c r="C2287" s="147"/>
      <c r="D2287" s="147"/>
      <c r="E2287" s="147"/>
      <c r="F2287" s="147"/>
      <c r="G2287" s="147"/>
      <c r="H2287" s="147"/>
      <c r="I2287" s="147"/>
      <c r="J2287" s="147"/>
      <c r="K2287" s="147"/>
      <c r="L2287" s="147"/>
      <c r="M2287" s="147"/>
      <c r="N2287" s="147"/>
      <c r="O2287" s="147"/>
      <c r="P2287" s="147"/>
      <c r="Q2287" s="147"/>
      <c r="R2287" s="148"/>
      <c r="S2287" s="148"/>
      <c r="T2287" s="148"/>
      <c r="U2287" s="148"/>
      <c r="V2287" s="148"/>
      <c r="W2287" s="148"/>
      <c r="X2287" s="148"/>
      <c r="Y2287" s="148"/>
      <c r="Z2287" s="148"/>
      <c r="AA2287" s="148"/>
      <c r="AB2287" s="148"/>
      <c r="AC2287" s="148"/>
    </row>
    <row r="2288" spans="1:29" hidden="1">
      <c r="A2288" s="146"/>
      <c r="B2288" s="147"/>
      <c r="C2288" s="147"/>
      <c r="D2288" s="147"/>
      <c r="E2288" s="147"/>
      <c r="F2288" s="147"/>
      <c r="G2288" s="147"/>
      <c r="H2288" s="147"/>
      <c r="I2288" s="147"/>
      <c r="J2288" s="147"/>
      <c r="K2288" s="147"/>
      <c r="L2288" s="147"/>
      <c r="M2288" s="147"/>
      <c r="N2288" s="147"/>
      <c r="O2288" s="147"/>
      <c r="P2288" s="147"/>
      <c r="Q2288" s="147"/>
      <c r="R2288" s="148"/>
      <c r="S2288" s="148"/>
      <c r="T2288" s="148"/>
      <c r="U2288" s="148"/>
      <c r="V2288" s="148"/>
      <c r="W2288" s="148"/>
      <c r="X2288" s="148"/>
      <c r="Y2288" s="148"/>
      <c r="Z2288" s="148"/>
      <c r="AA2288" s="148"/>
      <c r="AB2288" s="148"/>
      <c r="AC2288" s="148"/>
    </row>
    <row r="2289" spans="1:29" hidden="1">
      <c r="A2289" s="146"/>
      <c r="B2289" s="147"/>
      <c r="C2289" s="147"/>
      <c r="D2289" s="147"/>
      <c r="E2289" s="147"/>
      <c r="F2289" s="147"/>
      <c r="G2289" s="147"/>
      <c r="H2289" s="147"/>
      <c r="I2289" s="147"/>
      <c r="J2289" s="147"/>
      <c r="K2289" s="147"/>
      <c r="L2289" s="147"/>
      <c r="M2289" s="147"/>
      <c r="N2289" s="147"/>
      <c r="O2289" s="147"/>
      <c r="P2289" s="147"/>
      <c r="Q2289" s="147"/>
      <c r="R2289" s="148"/>
      <c r="S2289" s="148"/>
      <c r="T2289" s="148"/>
      <c r="U2289" s="148"/>
      <c r="V2289" s="148"/>
      <c r="W2289" s="148"/>
      <c r="X2289" s="148"/>
      <c r="Y2289" s="148"/>
      <c r="Z2289" s="148"/>
      <c r="AA2289" s="148"/>
      <c r="AB2289" s="148"/>
      <c r="AC2289" s="148"/>
    </row>
    <row r="2290" spans="1:29" hidden="1">
      <c r="A2290" s="146"/>
      <c r="B2290" s="147"/>
      <c r="C2290" s="147"/>
      <c r="D2290" s="147"/>
      <c r="E2290" s="147"/>
      <c r="F2290" s="147"/>
      <c r="G2290" s="147"/>
      <c r="H2290" s="147"/>
      <c r="I2290" s="147"/>
      <c r="J2290" s="147"/>
      <c r="K2290" s="147"/>
      <c r="L2290" s="147"/>
      <c r="M2290" s="147"/>
      <c r="N2290" s="147"/>
      <c r="O2290" s="147"/>
      <c r="P2290" s="147"/>
      <c r="Q2290" s="147"/>
      <c r="R2290" s="148"/>
      <c r="S2290" s="148"/>
      <c r="T2290" s="148"/>
      <c r="U2290" s="148"/>
      <c r="V2290" s="148"/>
      <c r="W2290" s="148"/>
      <c r="X2290" s="148"/>
      <c r="Y2290" s="148"/>
      <c r="Z2290" s="148"/>
      <c r="AA2290" s="148"/>
      <c r="AB2290" s="148"/>
      <c r="AC2290" s="148"/>
    </row>
    <row r="2291" spans="1:29" hidden="1">
      <c r="A2291" s="146"/>
      <c r="B2291" s="147"/>
      <c r="C2291" s="147"/>
      <c r="D2291" s="147"/>
      <c r="E2291" s="147"/>
      <c r="F2291" s="147"/>
      <c r="G2291" s="147"/>
      <c r="H2291" s="147"/>
      <c r="I2291" s="147"/>
      <c r="J2291" s="147"/>
      <c r="K2291" s="147"/>
      <c r="L2291" s="147"/>
      <c r="M2291" s="147"/>
      <c r="N2291" s="147"/>
      <c r="O2291" s="147"/>
      <c r="P2291" s="147"/>
      <c r="Q2291" s="147"/>
      <c r="R2291" s="148"/>
      <c r="S2291" s="148"/>
      <c r="T2291" s="148"/>
      <c r="U2291" s="148"/>
      <c r="V2291" s="148"/>
      <c r="W2291" s="148"/>
      <c r="X2291" s="148"/>
      <c r="Y2291" s="148"/>
      <c r="Z2291" s="148"/>
      <c r="AA2291" s="148"/>
      <c r="AB2291" s="148"/>
      <c r="AC2291" s="148"/>
    </row>
    <row r="2292" spans="1:29" hidden="1">
      <c r="A2292" s="146"/>
      <c r="B2292" s="147"/>
      <c r="C2292" s="147"/>
      <c r="D2292" s="147"/>
      <c r="E2292" s="147"/>
      <c r="F2292" s="147"/>
      <c r="G2292" s="147"/>
      <c r="H2292" s="147"/>
      <c r="I2292" s="147"/>
      <c r="J2292" s="147"/>
      <c r="K2292" s="147"/>
      <c r="L2292" s="147"/>
      <c r="M2292" s="147"/>
      <c r="N2292" s="147"/>
      <c r="O2292" s="147"/>
      <c r="P2292" s="147"/>
      <c r="Q2292" s="147"/>
      <c r="R2292" s="148"/>
      <c r="S2292" s="148"/>
      <c r="T2292" s="148"/>
      <c r="U2292" s="148"/>
      <c r="V2292" s="148"/>
      <c r="W2292" s="148"/>
      <c r="X2292" s="148"/>
      <c r="Y2292" s="148"/>
      <c r="Z2292" s="148"/>
      <c r="AA2292" s="148"/>
      <c r="AB2292" s="148"/>
      <c r="AC2292" s="148"/>
    </row>
    <row r="2293" spans="1:29" hidden="1">
      <c r="A2293" s="146"/>
      <c r="B2293" s="147"/>
      <c r="C2293" s="147"/>
      <c r="D2293" s="147"/>
      <c r="E2293" s="147"/>
      <c r="F2293" s="147"/>
      <c r="G2293" s="147"/>
      <c r="H2293" s="147"/>
      <c r="I2293" s="147"/>
      <c r="J2293" s="147"/>
      <c r="K2293" s="147"/>
      <c r="L2293" s="147"/>
      <c r="M2293" s="147"/>
      <c r="N2293" s="147"/>
      <c r="O2293" s="147"/>
      <c r="P2293" s="147"/>
      <c r="Q2293" s="147"/>
      <c r="R2293" s="148"/>
      <c r="S2293" s="148"/>
      <c r="T2293" s="148"/>
      <c r="U2293" s="148"/>
      <c r="V2293" s="148"/>
      <c r="W2293" s="148"/>
      <c r="X2293" s="148"/>
      <c r="Y2293" s="148"/>
      <c r="Z2293" s="148"/>
      <c r="AA2293" s="148"/>
      <c r="AB2293" s="148"/>
      <c r="AC2293" s="148"/>
    </row>
    <row r="2294" spans="1:29" hidden="1">
      <c r="A2294" s="146"/>
      <c r="B2294" s="147"/>
      <c r="C2294" s="147"/>
      <c r="D2294" s="147"/>
      <c r="E2294" s="147"/>
      <c r="F2294" s="147"/>
      <c r="G2294" s="147"/>
      <c r="H2294" s="147"/>
      <c r="I2294" s="147"/>
      <c r="J2294" s="147"/>
      <c r="K2294" s="147"/>
      <c r="L2294" s="147"/>
      <c r="M2294" s="147"/>
      <c r="N2294" s="147"/>
      <c r="O2294" s="147"/>
      <c r="P2294" s="147"/>
      <c r="Q2294" s="147"/>
      <c r="R2294" s="148"/>
      <c r="S2294" s="148"/>
      <c r="T2294" s="148"/>
      <c r="U2294" s="148"/>
      <c r="V2294" s="148"/>
      <c r="W2294" s="148"/>
      <c r="X2294" s="148"/>
      <c r="Y2294" s="148"/>
      <c r="Z2294" s="148"/>
      <c r="AA2294" s="148"/>
      <c r="AB2294" s="148"/>
      <c r="AC2294" s="148"/>
    </row>
    <row r="2295" spans="1:29" hidden="1">
      <c r="A2295" s="146"/>
      <c r="B2295" s="147"/>
      <c r="C2295" s="147"/>
      <c r="D2295" s="147"/>
      <c r="E2295" s="147"/>
      <c r="F2295" s="147"/>
      <c r="G2295" s="147"/>
      <c r="H2295" s="147"/>
      <c r="I2295" s="147"/>
      <c r="J2295" s="147"/>
      <c r="K2295" s="147"/>
      <c r="L2295" s="147"/>
      <c r="M2295" s="147"/>
      <c r="N2295" s="147"/>
      <c r="O2295" s="147"/>
      <c r="P2295" s="147"/>
      <c r="Q2295" s="147"/>
      <c r="R2295" s="148"/>
      <c r="S2295" s="148"/>
      <c r="T2295" s="148"/>
      <c r="U2295" s="148"/>
      <c r="V2295" s="148"/>
      <c r="W2295" s="148"/>
      <c r="X2295" s="148"/>
      <c r="Y2295" s="148"/>
      <c r="Z2295" s="148"/>
      <c r="AA2295" s="148"/>
      <c r="AB2295" s="148"/>
      <c r="AC2295" s="148"/>
    </row>
    <row r="2296" spans="1:29" hidden="1">
      <c r="A2296" s="146"/>
      <c r="B2296" s="147"/>
      <c r="C2296" s="147"/>
      <c r="D2296" s="147"/>
      <c r="E2296" s="147"/>
      <c r="F2296" s="147"/>
      <c r="G2296" s="147"/>
      <c r="H2296" s="147"/>
      <c r="I2296" s="147"/>
      <c r="J2296" s="147"/>
      <c r="K2296" s="147"/>
      <c r="L2296" s="147"/>
      <c r="M2296" s="147"/>
      <c r="N2296" s="147"/>
      <c r="O2296" s="147"/>
      <c r="P2296" s="147"/>
      <c r="Q2296" s="147"/>
      <c r="R2296" s="148"/>
      <c r="S2296" s="148"/>
      <c r="T2296" s="148"/>
      <c r="U2296" s="148"/>
      <c r="V2296" s="148"/>
      <c r="W2296" s="148"/>
      <c r="X2296" s="148"/>
      <c r="Y2296" s="148"/>
      <c r="Z2296" s="148"/>
      <c r="AA2296" s="148"/>
      <c r="AB2296" s="148"/>
      <c r="AC2296" s="148"/>
    </row>
    <row r="2297" spans="1:29" hidden="1">
      <c r="A2297" s="146"/>
      <c r="B2297" s="147"/>
      <c r="C2297" s="147"/>
      <c r="D2297" s="147"/>
      <c r="E2297" s="147"/>
      <c r="F2297" s="147"/>
      <c r="G2297" s="147"/>
      <c r="H2297" s="147"/>
      <c r="I2297" s="147"/>
      <c r="J2297" s="147"/>
      <c r="K2297" s="147"/>
      <c r="L2297" s="147"/>
      <c r="M2297" s="147"/>
      <c r="N2297" s="147"/>
      <c r="O2297" s="147"/>
      <c r="P2297" s="147"/>
      <c r="Q2297" s="147"/>
      <c r="R2297" s="148"/>
      <c r="S2297" s="148"/>
      <c r="T2297" s="148"/>
      <c r="U2297" s="148"/>
      <c r="V2297" s="148"/>
      <c r="W2297" s="148"/>
      <c r="X2297" s="148"/>
      <c r="Y2297" s="148"/>
      <c r="Z2297" s="148"/>
      <c r="AA2297" s="148"/>
      <c r="AB2297" s="148"/>
      <c r="AC2297" s="148"/>
    </row>
    <row r="2298" spans="1:29" hidden="1">
      <c r="A2298" s="146"/>
      <c r="B2298" s="147"/>
      <c r="C2298" s="147"/>
      <c r="D2298" s="147"/>
      <c r="E2298" s="147"/>
      <c r="F2298" s="147"/>
      <c r="G2298" s="147"/>
      <c r="H2298" s="147"/>
      <c r="I2298" s="147"/>
      <c r="J2298" s="147"/>
      <c r="K2298" s="147"/>
      <c r="L2298" s="147"/>
      <c r="M2298" s="147"/>
      <c r="N2298" s="147"/>
      <c r="O2298" s="147"/>
      <c r="P2298" s="147"/>
      <c r="Q2298" s="147"/>
      <c r="R2298" s="148"/>
      <c r="S2298" s="148"/>
      <c r="T2298" s="148"/>
      <c r="U2298" s="148"/>
      <c r="V2298" s="148"/>
      <c r="W2298" s="148"/>
      <c r="X2298" s="148"/>
      <c r="Y2298" s="148"/>
      <c r="Z2298" s="148"/>
      <c r="AA2298" s="148"/>
      <c r="AB2298" s="148"/>
      <c r="AC2298" s="148"/>
    </row>
    <row r="2299" spans="1:29" hidden="1">
      <c r="A2299" s="146"/>
      <c r="B2299" s="147"/>
      <c r="C2299" s="147"/>
      <c r="D2299" s="147"/>
      <c r="E2299" s="147"/>
      <c r="F2299" s="147"/>
      <c r="G2299" s="147"/>
      <c r="H2299" s="147"/>
      <c r="I2299" s="147"/>
      <c r="J2299" s="147"/>
      <c r="K2299" s="147"/>
      <c r="L2299" s="147"/>
      <c r="M2299" s="147"/>
      <c r="N2299" s="147"/>
      <c r="O2299" s="147"/>
      <c r="P2299" s="147"/>
      <c r="Q2299" s="147"/>
      <c r="R2299" s="148"/>
      <c r="S2299" s="148"/>
      <c r="T2299" s="148"/>
      <c r="U2299" s="148"/>
      <c r="V2299" s="148"/>
      <c r="W2299" s="148"/>
      <c r="X2299" s="148"/>
      <c r="Y2299" s="148"/>
      <c r="Z2299" s="148"/>
      <c r="AA2299" s="148"/>
      <c r="AB2299" s="148"/>
      <c r="AC2299" s="148"/>
    </row>
    <row r="2300" spans="1:29" hidden="1">
      <c r="A2300" s="146"/>
      <c r="B2300" s="147"/>
      <c r="C2300" s="147"/>
      <c r="D2300" s="147"/>
      <c r="E2300" s="147"/>
      <c r="F2300" s="147"/>
      <c r="G2300" s="147"/>
      <c r="H2300" s="147"/>
      <c r="I2300" s="147"/>
      <c r="J2300" s="147"/>
      <c r="K2300" s="147"/>
      <c r="L2300" s="147"/>
      <c r="M2300" s="147"/>
      <c r="N2300" s="147"/>
      <c r="O2300" s="147"/>
      <c r="P2300" s="147"/>
      <c r="Q2300" s="147"/>
      <c r="R2300" s="148"/>
      <c r="S2300" s="148"/>
      <c r="T2300" s="148"/>
      <c r="U2300" s="148"/>
      <c r="V2300" s="148"/>
      <c r="W2300" s="148"/>
      <c r="X2300" s="148"/>
      <c r="Y2300" s="148"/>
      <c r="Z2300" s="148"/>
      <c r="AA2300" s="148"/>
      <c r="AB2300" s="148"/>
      <c r="AC2300" s="148"/>
    </row>
    <row r="2301" spans="1:29" hidden="1">
      <c r="A2301" s="146"/>
      <c r="B2301" s="147"/>
      <c r="C2301" s="147"/>
      <c r="D2301" s="147"/>
      <c r="E2301" s="147"/>
      <c r="F2301" s="147"/>
      <c r="G2301" s="147"/>
      <c r="H2301" s="147"/>
      <c r="I2301" s="147"/>
      <c r="J2301" s="147"/>
      <c r="K2301" s="147"/>
      <c r="L2301" s="147"/>
      <c r="M2301" s="147"/>
      <c r="N2301" s="147"/>
      <c r="O2301" s="147"/>
      <c r="P2301" s="147"/>
      <c r="Q2301" s="147"/>
      <c r="R2301" s="148"/>
      <c r="S2301" s="148"/>
      <c r="T2301" s="148"/>
      <c r="U2301" s="148"/>
      <c r="V2301" s="148"/>
      <c r="W2301" s="148"/>
      <c r="X2301" s="148"/>
      <c r="Y2301" s="148"/>
      <c r="Z2301" s="148"/>
      <c r="AA2301" s="148"/>
      <c r="AB2301" s="148"/>
      <c r="AC2301" s="148"/>
    </row>
    <row r="2302" spans="1:29" hidden="1">
      <c r="A2302" s="146"/>
      <c r="B2302" s="147"/>
      <c r="C2302" s="147"/>
      <c r="D2302" s="147"/>
      <c r="E2302" s="147"/>
      <c r="F2302" s="147"/>
      <c r="G2302" s="147"/>
      <c r="H2302" s="147"/>
      <c r="I2302" s="147"/>
      <c r="J2302" s="147"/>
      <c r="K2302" s="147"/>
      <c r="L2302" s="147"/>
      <c r="M2302" s="147"/>
      <c r="N2302" s="147"/>
      <c r="O2302" s="147"/>
      <c r="P2302" s="147"/>
      <c r="Q2302" s="147"/>
      <c r="R2302" s="148"/>
      <c r="S2302" s="148"/>
      <c r="T2302" s="148"/>
      <c r="U2302" s="148"/>
      <c r="V2302" s="148"/>
      <c r="W2302" s="148"/>
      <c r="X2302" s="148"/>
      <c r="Y2302" s="148"/>
      <c r="Z2302" s="148"/>
      <c r="AA2302" s="148"/>
      <c r="AB2302" s="148"/>
      <c r="AC2302" s="148"/>
    </row>
    <row r="2303" spans="1:29" hidden="1">
      <c r="A2303" s="146"/>
      <c r="B2303" s="147"/>
      <c r="C2303" s="147"/>
      <c r="D2303" s="147"/>
      <c r="E2303" s="147"/>
      <c r="F2303" s="147"/>
      <c r="G2303" s="147"/>
      <c r="H2303" s="147"/>
      <c r="I2303" s="147"/>
      <c r="J2303" s="147"/>
      <c r="K2303" s="147"/>
      <c r="L2303" s="147"/>
      <c r="M2303" s="147"/>
      <c r="N2303" s="147"/>
      <c r="O2303" s="147"/>
      <c r="P2303" s="147"/>
      <c r="Q2303" s="147"/>
      <c r="R2303" s="148"/>
      <c r="S2303" s="148"/>
      <c r="T2303" s="148"/>
      <c r="U2303" s="148"/>
      <c r="V2303" s="148"/>
      <c r="W2303" s="148"/>
      <c r="X2303" s="148"/>
      <c r="Y2303" s="148"/>
      <c r="Z2303" s="148"/>
      <c r="AA2303" s="148"/>
      <c r="AB2303" s="148"/>
      <c r="AC2303" s="148"/>
    </row>
    <row r="2304" spans="1:29" hidden="1">
      <c r="A2304" s="146"/>
      <c r="B2304" s="147"/>
      <c r="C2304" s="147"/>
      <c r="D2304" s="147"/>
      <c r="E2304" s="147"/>
      <c r="F2304" s="147"/>
      <c r="G2304" s="147"/>
      <c r="H2304" s="147"/>
      <c r="I2304" s="147"/>
      <c r="J2304" s="147"/>
      <c r="K2304" s="147"/>
      <c r="L2304" s="147"/>
      <c r="M2304" s="147"/>
      <c r="N2304" s="147"/>
      <c r="O2304" s="147"/>
      <c r="P2304" s="147"/>
      <c r="Q2304" s="147"/>
      <c r="R2304" s="148"/>
      <c r="S2304" s="148"/>
      <c r="T2304" s="148"/>
      <c r="U2304" s="148"/>
      <c r="V2304" s="148"/>
      <c r="W2304" s="148"/>
      <c r="X2304" s="148"/>
      <c r="Y2304" s="148"/>
      <c r="Z2304" s="148"/>
      <c r="AA2304" s="148"/>
      <c r="AB2304" s="148"/>
      <c r="AC2304" s="148"/>
    </row>
    <row r="2305" spans="1:29" hidden="1">
      <c r="A2305" s="146"/>
      <c r="B2305" s="147"/>
      <c r="C2305" s="147"/>
      <c r="D2305" s="147"/>
      <c r="E2305" s="147"/>
      <c r="F2305" s="147"/>
      <c r="G2305" s="147"/>
      <c r="H2305" s="147"/>
      <c r="I2305" s="147"/>
      <c r="J2305" s="147"/>
      <c r="K2305" s="147"/>
      <c r="L2305" s="147"/>
      <c r="M2305" s="147"/>
      <c r="N2305" s="147"/>
      <c r="O2305" s="147"/>
      <c r="P2305" s="147"/>
      <c r="Q2305" s="147"/>
      <c r="R2305" s="148"/>
      <c r="S2305" s="148"/>
      <c r="T2305" s="148"/>
      <c r="U2305" s="148"/>
      <c r="V2305" s="148"/>
      <c r="W2305" s="148"/>
      <c r="X2305" s="148"/>
      <c r="Y2305" s="148"/>
      <c r="Z2305" s="148"/>
      <c r="AA2305" s="148"/>
      <c r="AB2305" s="148"/>
      <c r="AC2305" s="148"/>
    </row>
    <row r="2306" spans="1:29" hidden="1">
      <c r="A2306" s="146"/>
      <c r="B2306" s="147"/>
      <c r="C2306" s="147"/>
      <c r="D2306" s="147"/>
      <c r="E2306" s="147"/>
      <c r="F2306" s="147"/>
      <c r="G2306" s="147"/>
      <c r="H2306" s="147"/>
      <c r="I2306" s="147"/>
      <c r="J2306" s="147"/>
      <c r="K2306" s="147"/>
      <c r="L2306" s="147"/>
      <c r="M2306" s="147"/>
      <c r="N2306" s="147"/>
      <c r="O2306" s="147"/>
      <c r="P2306" s="147"/>
      <c r="Q2306" s="147"/>
      <c r="R2306" s="148"/>
      <c r="S2306" s="148"/>
      <c r="T2306" s="148"/>
      <c r="U2306" s="148"/>
      <c r="V2306" s="148"/>
      <c r="W2306" s="148"/>
      <c r="X2306" s="148"/>
      <c r="Y2306" s="148"/>
      <c r="Z2306" s="148"/>
      <c r="AA2306" s="148"/>
      <c r="AB2306" s="148"/>
      <c r="AC2306" s="148"/>
    </row>
    <row r="2307" spans="1:29" hidden="1">
      <c r="A2307" s="146"/>
      <c r="B2307" s="147"/>
      <c r="C2307" s="147"/>
      <c r="D2307" s="147"/>
      <c r="E2307" s="147"/>
      <c r="F2307" s="147"/>
      <c r="G2307" s="147"/>
      <c r="H2307" s="147"/>
      <c r="I2307" s="147"/>
      <c r="J2307" s="147"/>
      <c r="K2307" s="147"/>
      <c r="L2307" s="147"/>
      <c r="M2307" s="147"/>
      <c r="N2307" s="147"/>
      <c r="O2307" s="147"/>
      <c r="P2307" s="147"/>
      <c r="Q2307" s="147"/>
      <c r="R2307" s="148"/>
      <c r="S2307" s="148"/>
      <c r="T2307" s="148"/>
      <c r="U2307" s="148"/>
      <c r="V2307" s="148"/>
      <c r="W2307" s="148"/>
      <c r="X2307" s="148"/>
      <c r="Y2307" s="148"/>
      <c r="Z2307" s="148"/>
      <c r="AA2307" s="148"/>
      <c r="AB2307" s="148"/>
      <c r="AC2307" s="148"/>
    </row>
    <row r="2308" spans="1:29" hidden="1">
      <c r="A2308" s="146"/>
      <c r="B2308" s="147"/>
      <c r="C2308" s="147"/>
      <c r="D2308" s="147"/>
      <c r="E2308" s="147"/>
      <c r="F2308" s="147"/>
      <c r="G2308" s="147"/>
      <c r="H2308" s="147"/>
      <c r="I2308" s="147"/>
      <c r="J2308" s="147"/>
      <c r="K2308" s="147"/>
      <c r="L2308" s="147"/>
      <c r="M2308" s="147"/>
      <c r="N2308" s="147"/>
      <c r="O2308" s="147"/>
      <c r="P2308" s="147"/>
      <c r="Q2308" s="147"/>
      <c r="R2308" s="148"/>
      <c r="S2308" s="148"/>
      <c r="T2308" s="148"/>
      <c r="U2308" s="148"/>
      <c r="V2308" s="148"/>
      <c r="W2308" s="148"/>
      <c r="X2308" s="148"/>
      <c r="Y2308" s="148"/>
      <c r="Z2308" s="148"/>
      <c r="AA2308" s="148"/>
      <c r="AB2308" s="148"/>
      <c r="AC2308" s="148"/>
    </row>
    <row r="2309" spans="1:29" hidden="1">
      <c r="A2309" s="146"/>
      <c r="B2309" s="147"/>
      <c r="C2309" s="147"/>
      <c r="D2309" s="147"/>
      <c r="E2309" s="147"/>
      <c r="F2309" s="147"/>
      <c r="G2309" s="147"/>
      <c r="H2309" s="147"/>
      <c r="I2309" s="147"/>
      <c r="J2309" s="147"/>
      <c r="K2309" s="147"/>
      <c r="L2309" s="147"/>
      <c r="M2309" s="147"/>
      <c r="N2309" s="147"/>
      <c r="O2309" s="147"/>
      <c r="P2309" s="147"/>
      <c r="Q2309" s="147"/>
      <c r="R2309" s="148"/>
      <c r="S2309" s="148"/>
      <c r="T2309" s="148"/>
      <c r="U2309" s="148"/>
      <c r="V2309" s="148"/>
      <c r="W2309" s="148"/>
      <c r="X2309" s="148"/>
      <c r="Y2309" s="148"/>
      <c r="Z2309" s="148"/>
      <c r="AA2309" s="148"/>
      <c r="AB2309" s="148"/>
      <c r="AC2309" s="148"/>
    </row>
    <row r="2310" spans="1:29" hidden="1">
      <c r="A2310" s="146"/>
      <c r="B2310" s="147"/>
      <c r="C2310" s="147"/>
      <c r="D2310" s="147"/>
      <c r="E2310" s="147"/>
      <c r="F2310" s="147"/>
      <c r="G2310" s="147"/>
      <c r="H2310" s="147"/>
      <c r="I2310" s="147"/>
      <c r="J2310" s="147"/>
      <c r="K2310" s="147"/>
      <c r="L2310" s="147"/>
      <c r="M2310" s="147"/>
      <c r="N2310" s="147"/>
      <c r="O2310" s="147"/>
      <c r="P2310" s="147"/>
      <c r="Q2310" s="147"/>
      <c r="R2310" s="148"/>
      <c r="S2310" s="148"/>
      <c r="T2310" s="148"/>
      <c r="U2310" s="148"/>
      <c r="V2310" s="148"/>
      <c r="W2310" s="148"/>
      <c r="X2310" s="148"/>
      <c r="Y2310" s="148"/>
      <c r="Z2310" s="148"/>
      <c r="AA2310" s="148"/>
      <c r="AB2310" s="148"/>
      <c r="AC2310" s="148"/>
    </row>
    <row r="2311" spans="1:29" hidden="1">
      <c r="A2311" s="146"/>
      <c r="B2311" s="147"/>
      <c r="C2311" s="147"/>
      <c r="D2311" s="147"/>
      <c r="E2311" s="147"/>
      <c r="F2311" s="147"/>
      <c r="G2311" s="147"/>
      <c r="H2311" s="147"/>
      <c r="I2311" s="147"/>
      <c r="J2311" s="147"/>
      <c r="K2311" s="147"/>
      <c r="L2311" s="147"/>
      <c r="M2311" s="147"/>
      <c r="N2311" s="147"/>
      <c r="O2311" s="147"/>
      <c r="P2311" s="147"/>
      <c r="Q2311" s="147"/>
      <c r="R2311" s="148"/>
      <c r="S2311" s="148"/>
      <c r="T2311" s="148"/>
      <c r="U2311" s="148"/>
      <c r="V2311" s="148"/>
      <c r="W2311" s="148"/>
      <c r="X2311" s="148"/>
      <c r="Y2311" s="148"/>
      <c r="Z2311" s="148"/>
      <c r="AA2311" s="148"/>
      <c r="AB2311" s="148"/>
      <c r="AC2311" s="148"/>
    </row>
    <row r="2312" spans="1:29" hidden="1">
      <c r="A2312" s="146"/>
      <c r="B2312" s="147"/>
      <c r="C2312" s="147"/>
      <c r="D2312" s="147"/>
      <c r="E2312" s="147"/>
      <c r="F2312" s="147"/>
      <c r="G2312" s="147"/>
      <c r="H2312" s="147"/>
      <c r="I2312" s="147"/>
      <c r="J2312" s="147"/>
      <c r="K2312" s="147"/>
      <c r="L2312" s="147"/>
      <c r="M2312" s="147"/>
      <c r="N2312" s="147"/>
      <c r="O2312" s="147"/>
      <c r="P2312" s="147"/>
      <c r="Q2312" s="147"/>
      <c r="R2312" s="148"/>
      <c r="S2312" s="148"/>
      <c r="T2312" s="148"/>
      <c r="U2312" s="148"/>
      <c r="V2312" s="148"/>
      <c r="W2312" s="148"/>
      <c r="X2312" s="148"/>
      <c r="Y2312" s="148"/>
      <c r="Z2312" s="148"/>
      <c r="AA2312" s="148"/>
      <c r="AB2312" s="148"/>
      <c r="AC2312" s="148"/>
    </row>
    <row r="2313" spans="1:29" hidden="1">
      <c r="A2313" s="146"/>
      <c r="B2313" s="147"/>
      <c r="C2313" s="147"/>
      <c r="D2313" s="147"/>
      <c r="E2313" s="147"/>
      <c r="F2313" s="147"/>
      <c r="G2313" s="147"/>
      <c r="H2313" s="147"/>
      <c r="I2313" s="147"/>
      <c r="J2313" s="147"/>
      <c r="K2313" s="147"/>
      <c r="L2313" s="147"/>
      <c r="M2313" s="147"/>
      <c r="N2313" s="147"/>
      <c r="O2313" s="147"/>
      <c r="P2313" s="147"/>
      <c r="Q2313" s="147"/>
      <c r="R2313" s="148"/>
      <c r="S2313" s="148"/>
      <c r="T2313" s="148"/>
      <c r="U2313" s="148"/>
      <c r="V2313" s="148"/>
      <c r="W2313" s="148"/>
      <c r="X2313" s="148"/>
      <c r="Y2313" s="148"/>
      <c r="Z2313" s="148"/>
      <c r="AA2313" s="148"/>
      <c r="AB2313" s="148"/>
      <c r="AC2313" s="148"/>
    </row>
    <row r="2314" spans="1:29" hidden="1">
      <c r="A2314" s="146"/>
      <c r="B2314" s="147"/>
      <c r="C2314" s="147"/>
      <c r="D2314" s="147"/>
      <c r="E2314" s="147"/>
      <c r="F2314" s="147"/>
      <c r="G2314" s="147"/>
      <c r="H2314" s="147"/>
      <c r="I2314" s="147"/>
      <c r="J2314" s="147"/>
      <c r="K2314" s="147"/>
      <c r="L2314" s="147"/>
      <c r="M2314" s="147"/>
      <c r="N2314" s="147"/>
      <c r="O2314" s="147"/>
      <c r="P2314" s="147"/>
      <c r="Q2314" s="147"/>
      <c r="R2314" s="148"/>
      <c r="S2314" s="148"/>
      <c r="T2314" s="148"/>
      <c r="U2314" s="148"/>
      <c r="V2314" s="148"/>
      <c r="W2314" s="148"/>
      <c r="X2314" s="148"/>
      <c r="Y2314" s="148"/>
      <c r="Z2314" s="148"/>
      <c r="AA2314" s="148"/>
      <c r="AB2314" s="148"/>
      <c r="AC2314" s="148"/>
    </row>
    <row r="2315" spans="1:29" hidden="1">
      <c r="A2315" s="146"/>
      <c r="B2315" s="147"/>
      <c r="C2315" s="147"/>
      <c r="D2315" s="147"/>
      <c r="E2315" s="147"/>
      <c r="F2315" s="147"/>
      <c r="G2315" s="147"/>
      <c r="H2315" s="147"/>
      <c r="I2315" s="147"/>
      <c r="J2315" s="147"/>
      <c r="K2315" s="147"/>
      <c r="L2315" s="147"/>
      <c r="M2315" s="147"/>
      <c r="N2315" s="147"/>
      <c r="O2315" s="147"/>
      <c r="P2315" s="147"/>
      <c r="Q2315" s="147"/>
      <c r="R2315" s="148"/>
      <c r="S2315" s="148"/>
      <c r="T2315" s="148"/>
      <c r="U2315" s="148"/>
      <c r="V2315" s="148"/>
      <c r="W2315" s="148"/>
      <c r="X2315" s="148"/>
      <c r="Y2315" s="148"/>
      <c r="Z2315" s="148"/>
      <c r="AA2315" s="148"/>
      <c r="AB2315" s="148"/>
      <c r="AC2315" s="148"/>
    </row>
    <row r="2316" spans="1:29" hidden="1">
      <c r="A2316" s="146"/>
      <c r="B2316" s="147"/>
      <c r="C2316" s="147"/>
      <c r="D2316" s="147"/>
      <c r="E2316" s="147"/>
      <c r="F2316" s="147"/>
      <c r="G2316" s="147"/>
      <c r="H2316" s="147"/>
      <c r="I2316" s="147"/>
      <c r="J2316" s="147"/>
      <c r="K2316" s="147"/>
      <c r="L2316" s="147"/>
      <c r="M2316" s="147"/>
      <c r="N2316" s="147"/>
      <c r="O2316" s="147"/>
      <c r="P2316" s="147"/>
      <c r="Q2316" s="147"/>
      <c r="R2316" s="148"/>
      <c r="S2316" s="148"/>
      <c r="T2316" s="148"/>
      <c r="U2316" s="148"/>
      <c r="V2316" s="148"/>
      <c r="W2316" s="148"/>
      <c r="X2316" s="148"/>
      <c r="Y2316" s="148"/>
      <c r="Z2316" s="148"/>
      <c r="AA2316" s="148"/>
      <c r="AB2316" s="148"/>
      <c r="AC2316" s="148"/>
    </row>
    <row r="2317" spans="1:29" hidden="1">
      <c r="A2317" s="146"/>
      <c r="B2317" s="147"/>
      <c r="C2317" s="147"/>
      <c r="D2317" s="147"/>
      <c r="E2317" s="147"/>
      <c r="F2317" s="147"/>
      <c r="G2317" s="147"/>
      <c r="H2317" s="147"/>
      <c r="I2317" s="147"/>
      <c r="J2317" s="147"/>
      <c r="K2317" s="147"/>
      <c r="L2317" s="147"/>
      <c r="M2317" s="147"/>
      <c r="N2317" s="147"/>
      <c r="O2317" s="147"/>
      <c r="P2317" s="147"/>
      <c r="Q2317" s="147"/>
      <c r="R2317" s="148"/>
      <c r="S2317" s="148"/>
      <c r="T2317" s="148"/>
      <c r="U2317" s="148"/>
      <c r="V2317" s="148"/>
      <c r="W2317" s="148"/>
      <c r="X2317" s="148"/>
      <c r="Y2317" s="148"/>
      <c r="Z2317" s="148"/>
      <c r="AA2317" s="148"/>
      <c r="AB2317" s="148"/>
      <c r="AC2317" s="148"/>
    </row>
    <row r="2318" spans="1:29" hidden="1">
      <c r="A2318" s="146"/>
      <c r="B2318" s="147"/>
      <c r="C2318" s="147"/>
      <c r="D2318" s="147"/>
      <c r="E2318" s="147"/>
      <c r="F2318" s="147"/>
      <c r="G2318" s="147"/>
      <c r="H2318" s="147"/>
      <c r="I2318" s="147"/>
      <c r="J2318" s="147"/>
      <c r="K2318" s="147"/>
      <c r="L2318" s="147"/>
      <c r="M2318" s="147"/>
      <c r="N2318" s="147"/>
      <c r="O2318" s="147"/>
      <c r="P2318" s="147"/>
      <c r="Q2318" s="147"/>
      <c r="R2318" s="148"/>
      <c r="S2318" s="148"/>
      <c r="T2318" s="148"/>
      <c r="U2318" s="148"/>
      <c r="V2318" s="148"/>
      <c r="W2318" s="148"/>
      <c r="X2318" s="148"/>
      <c r="Y2318" s="148"/>
      <c r="Z2318" s="148"/>
      <c r="AA2318" s="148"/>
      <c r="AB2318" s="148"/>
      <c r="AC2318" s="148"/>
    </row>
    <row r="2319" spans="1:29" hidden="1">
      <c r="A2319" s="146"/>
      <c r="B2319" s="147"/>
      <c r="C2319" s="147"/>
      <c r="D2319" s="147"/>
      <c r="E2319" s="147"/>
      <c r="F2319" s="147"/>
      <c r="G2319" s="147"/>
      <c r="H2319" s="147"/>
      <c r="I2319" s="147"/>
      <c r="J2319" s="147"/>
      <c r="K2319" s="147"/>
      <c r="L2319" s="147"/>
      <c r="M2319" s="147"/>
      <c r="N2319" s="147"/>
      <c r="O2319" s="147"/>
      <c r="P2319" s="147"/>
      <c r="Q2319" s="147"/>
      <c r="R2319" s="148"/>
      <c r="S2319" s="148"/>
      <c r="T2319" s="148"/>
      <c r="U2319" s="148"/>
      <c r="V2319" s="148"/>
      <c r="W2319" s="148"/>
      <c r="X2319" s="148"/>
      <c r="Y2319" s="148"/>
      <c r="Z2319" s="148"/>
      <c r="AA2319" s="148"/>
      <c r="AB2319" s="148"/>
      <c r="AC2319" s="148"/>
    </row>
    <row r="2320" spans="1:29" hidden="1">
      <c r="A2320" s="146"/>
      <c r="B2320" s="147"/>
      <c r="C2320" s="147"/>
      <c r="D2320" s="147"/>
      <c r="E2320" s="147"/>
      <c r="F2320" s="147"/>
      <c r="G2320" s="147"/>
      <c r="H2320" s="147"/>
      <c r="I2320" s="147"/>
      <c r="J2320" s="147"/>
      <c r="K2320" s="147"/>
      <c r="L2320" s="147"/>
      <c r="M2320" s="147"/>
      <c r="N2320" s="147"/>
      <c r="O2320" s="147"/>
      <c r="P2320" s="147"/>
      <c r="Q2320" s="147"/>
      <c r="R2320" s="148"/>
      <c r="S2320" s="148"/>
      <c r="T2320" s="148"/>
      <c r="U2320" s="148"/>
      <c r="V2320" s="148"/>
      <c r="W2320" s="148"/>
      <c r="X2320" s="148"/>
      <c r="Y2320" s="148"/>
      <c r="Z2320" s="148"/>
      <c r="AA2320" s="148"/>
      <c r="AB2320" s="148"/>
      <c r="AC2320" s="148"/>
    </row>
    <row r="2321" spans="1:29" hidden="1">
      <c r="A2321" s="146"/>
      <c r="B2321" s="147"/>
      <c r="C2321" s="147"/>
      <c r="D2321" s="147"/>
      <c r="E2321" s="147"/>
      <c r="F2321" s="147"/>
      <c r="G2321" s="147"/>
      <c r="H2321" s="147"/>
      <c r="I2321" s="147"/>
      <c r="J2321" s="147"/>
      <c r="K2321" s="147"/>
      <c r="L2321" s="147"/>
      <c r="M2321" s="147"/>
      <c r="N2321" s="147"/>
      <c r="O2321" s="147"/>
      <c r="P2321" s="147"/>
      <c r="Q2321" s="147"/>
      <c r="R2321" s="148"/>
      <c r="S2321" s="148"/>
      <c r="T2321" s="148"/>
      <c r="U2321" s="148"/>
      <c r="V2321" s="148"/>
      <c r="W2321" s="148"/>
      <c r="X2321" s="148"/>
      <c r="Y2321" s="148"/>
      <c r="Z2321" s="148"/>
      <c r="AA2321" s="148"/>
      <c r="AB2321" s="148"/>
      <c r="AC2321" s="148"/>
    </row>
    <row r="2322" spans="1:29" hidden="1">
      <c r="A2322" s="146"/>
      <c r="B2322" s="147"/>
      <c r="C2322" s="147"/>
      <c r="D2322" s="147"/>
      <c r="E2322" s="147"/>
      <c r="F2322" s="147"/>
      <c r="G2322" s="147"/>
      <c r="H2322" s="147"/>
      <c r="I2322" s="147"/>
      <c r="J2322" s="147"/>
      <c r="K2322" s="147"/>
      <c r="L2322" s="147"/>
      <c r="M2322" s="147"/>
      <c r="N2322" s="147"/>
      <c r="O2322" s="147"/>
      <c r="P2322" s="147"/>
      <c r="Q2322" s="147"/>
      <c r="R2322" s="148"/>
      <c r="S2322" s="148"/>
      <c r="T2322" s="148"/>
      <c r="U2322" s="148"/>
      <c r="V2322" s="148"/>
      <c r="W2322" s="148"/>
      <c r="X2322" s="148"/>
      <c r="Y2322" s="148"/>
      <c r="Z2322" s="148"/>
      <c r="AA2322" s="148"/>
      <c r="AB2322" s="148"/>
      <c r="AC2322" s="148"/>
    </row>
    <row r="2323" spans="1:29" hidden="1">
      <c r="A2323" s="146"/>
      <c r="B2323" s="147"/>
      <c r="C2323" s="147"/>
      <c r="D2323" s="147"/>
      <c r="E2323" s="147"/>
      <c r="F2323" s="147"/>
      <c r="G2323" s="147"/>
      <c r="H2323" s="147"/>
      <c r="I2323" s="147"/>
      <c r="J2323" s="147"/>
      <c r="K2323" s="147"/>
      <c r="L2323" s="147"/>
      <c r="M2323" s="147"/>
      <c r="N2323" s="147"/>
      <c r="O2323" s="147"/>
      <c r="P2323" s="147"/>
      <c r="Q2323" s="147"/>
      <c r="R2323" s="148"/>
      <c r="S2323" s="148"/>
      <c r="T2323" s="148"/>
      <c r="U2323" s="148"/>
      <c r="V2323" s="148"/>
      <c r="W2323" s="148"/>
      <c r="X2323" s="148"/>
      <c r="Y2323" s="148"/>
      <c r="Z2323" s="148"/>
      <c r="AA2323" s="148"/>
      <c r="AB2323" s="148"/>
      <c r="AC2323" s="148"/>
    </row>
    <row r="2324" spans="1:29" hidden="1">
      <c r="A2324" s="146"/>
      <c r="B2324" s="147"/>
      <c r="C2324" s="147"/>
      <c r="D2324" s="147"/>
      <c r="E2324" s="147"/>
      <c r="F2324" s="147"/>
      <c r="G2324" s="147"/>
      <c r="H2324" s="147"/>
      <c r="I2324" s="147"/>
      <c r="J2324" s="147"/>
      <c r="K2324" s="147"/>
      <c r="L2324" s="147"/>
      <c r="M2324" s="147"/>
      <c r="N2324" s="147"/>
      <c r="O2324" s="147"/>
      <c r="P2324" s="147"/>
      <c r="Q2324" s="147"/>
      <c r="R2324" s="148"/>
      <c r="S2324" s="148"/>
      <c r="T2324" s="148"/>
      <c r="U2324" s="148"/>
      <c r="V2324" s="148"/>
      <c r="W2324" s="148"/>
      <c r="X2324" s="148"/>
      <c r="Y2324" s="148"/>
      <c r="Z2324" s="148"/>
      <c r="AA2324" s="148"/>
      <c r="AB2324" s="148"/>
      <c r="AC2324" s="148"/>
    </row>
    <row r="2325" spans="1:29" hidden="1">
      <c r="A2325" s="146"/>
      <c r="B2325" s="147"/>
      <c r="C2325" s="147"/>
      <c r="D2325" s="147"/>
      <c r="E2325" s="147"/>
      <c r="F2325" s="147"/>
      <c r="G2325" s="147"/>
      <c r="H2325" s="147"/>
      <c r="I2325" s="147"/>
      <c r="J2325" s="147"/>
      <c r="K2325" s="147"/>
      <c r="L2325" s="147"/>
      <c r="M2325" s="147"/>
      <c r="N2325" s="147"/>
      <c r="O2325" s="147"/>
      <c r="P2325" s="147"/>
      <c r="Q2325" s="147"/>
      <c r="R2325" s="148"/>
      <c r="S2325" s="148"/>
      <c r="T2325" s="148"/>
      <c r="U2325" s="148"/>
      <c r="V2325" s="148"/>
      <c r="W2325" s="148"/>
      <c r="X2325" s="148"/>
      <c r="Y2325" s="148"/>
      <c r="Z2325" s="148"/>
      <c r="AA2325" s="148"/>
      <c r="AB2325" s="148"/>
      <c r="AC2325" s="148"/>
    </row>
    <row r="2326" spans="1:29" hidden="1">
      <c r="A2326" s="146"/>
      <c r="B2326" s="147"/>
      <c r="C2326" s="147"/>
      <c r="D2326" s="147"/>
      <c r="E2326" s="147"/>
      <c r="F2326" s="147"/>
      <c r="G2326" s="147"/>
      <c r="H2326" s="147"/>
      <c r="I2326" s="147"/>
      <c r="J2326" s="147"/>
      <c r="K2326" s="147"/>
      <c r="L2326" s="147"/>
      <c r="M2326" s="147"/>
      <c r="N2326" s="147"/>
      <c r="O2326" s="147"/>
      <c r="P2326" s="147"/>
      <c r="Q2326" s="147"/>
      <c r="R2326" s="148"/>
      <c r="S2326" s="148"/>
      <c r="T2326" s="148"/>
      <c r="U2326" s="148"/>
      <c r="V2326" s="148"/>
      <c r="W2326" s="148"/>
      <c r="X2326" s="148"/>
      <c r="Y2326" s="148"/>
      <c r="Z2326" s="148"/>
      <c r="AA2326" s="148"/>
      <c r="AB2326" s="148"/>
      <c r="AC2326" s="148"/>
    </row>
    <row r="2327" spans="1:29" hidden="1">
      <c r="A2327" s="146"/>
      <c r="B2327" s="147"/>
      <c r="C2327" s="147"/>
      <c r="D2327" s="147"/>
      <c r="E2327" s="147"/>
      <c r="F2327" s="147"/>
      <c r="G2327" s="147"/>
      <c r="H2327" s="147"/>
      <c r="I2327" s="147"/>
      <c r="J2327" s="147"/>
      <c r="K2327" s="147"/>
      <c r="L2327" s="147"/>
      <c r="M2327" s="147"/>
      <c r="N2327" s="147"/>
      <c r="O2327" s="147"/>
      <c r="P2327" s="147"/>
      <c r="Q2327" s="147"/>
      <c r="R2327" s="148"/>
      <c r="S2327" s="148"/>
      <c r="T2327" s="148"/>
      <c r="U2327" s="148"/>
      <c r="V2327" s="148"/>
      <c r="W2327" s="148"/>
      <c r="X2327" s="148"/>
      <c r="Y2327" s="148"/>
      <c r="Z2327" s="148"/>
      <c r="AA2327" s="148"/>
      <c r="AB2327" s="148"/>
      <c r="AC2327" s="148"/>
    </row>
    <row r="2328" spans="1:29" hidden="1">
      <c r="A2328" s="146"/>
      <c r="B2328" s="147"/>
      <c r="C2328" s="147"/>
      <c r="D2328" s="147"/>
      <c r="E2328" s="147"/>
      <c r="F2328" s="147"/>
      <c r="G2328" s="147"/>
      <c r="H2328" s="147"/>
      <c r="I2328" s="147"/>
      <c r="J2328" s="147"/>
      <c r="K2328" s="147"/>
      <c r="L2328" s="147"/>
      <c r="M2328" s="147"/>
      <c r="N2328" s="147"/>
      <c r="O2328" s="147"/>
      <c r="P2328" s="147"/>
      <c r="Q2328" s="147"/>
      <c r="R2328" s="148"/>
      <c r="S2328" s="148"/>
      <c r="T2328" s="148"/>
      <c r="U2328" s="148"/>
      <c r="V2328" s="148"/>
      <c r="W2328" s="148"/>
      <c r="X2328" s="148"/>
      <c r="Y2328" s="148"/>
      <c r="Z2328" s="148"/>
      <c r="AA2328" s="148"/>
      <c r="AB2328" s="148"/>
      <c r="AC2328" s="148"/>
    </row>
    <row r="2329" spans="1:29" hidden="1">
      <c r="A2329" s="146"/>
      <c r="B2329" s="147"/>
      <c r="C2329" s="147"/>
      <c r="D2329" s="147"/>
      <c r="E2329" s="147"/>
      <c r="F2329" s="147"/>
      <c r="G2329" s="147"/>
      <c r="H2329" s="147"/>
      <c r="I2329" s="147"/>
      <c r="J2329" s="147"/>
      <c r="K2329" s="147"/>
      <c r="L2329" s="147"/>
      <c r="M2329" s="147"/>
      <c r="N2329" s="147"/>
      <c r="O2329" s="147"/>
      <c r="P2329" s="147"/>
      <c r="Q2329" s="147"/>
      <c r="R2329" s="148"/>
      <c r="S2329" s="148"/>
      <c r="T2329" s="148"/>
      <c r="U2329" s="148"/>
      <c r="V2329" s="148"/>
      <c r="W2329" s="148"/>
      <c r="X2329" s="148"/>
      <c r="Y2329" s="148"/>
      <c r="Z2329" s="148"/>
      <c r="AA2329" s="148"/>
      <c r="AB2329" s="148"/>
      <c r="AC2329" s="148"/>
    </row>
    <row r="2330" spans="1:29" hidden="1">
      <c r="A2330" s="146"/>
      <c r="B2330" s="147"/>
      <c r="C2330" s="147"/>
      <c r="D2330" s="147"/>
      <c r="E2330" s="147"/>
      <c r="F2330" s="147"/>
      <c r="G2330" s="147"/>
      <c r="H2330" s="147"/>
      <c r="I2330" s="147"/>
      <c r="J2330" s="147"/>
      <c r="K2330" s="147"/>
      <c r="L2330" s="147"/>
      <c r="M2330" s="147"/>
      <c r="N2330" s="147"/>
      <c r="O2330" s="147"/>
      <c r="P2330" s="147"/>
      <c r="Q2330" s="147"/>
      <c r="R2330" s="148"/>
      <c r="S2330" s="148"/>
      <c r="T2330" s="148"/>
      <c r="U2330" s="148"/>
      <c r="V2330" s="148"/>
      <c r="W2330" s="148"/>
      <c r="X2330" s="148"/>
      <c r="Y2330" s="148"/>
      <c r="Z2330" s="148"/>
      <c r="AA2330" s="148"/>
      <c r="AB2330" s="148"/>
      <c r="AC2330" s="148"/>
    </row>
    <row r="2331" spans="1:29" hidden="1">
      <c r="A2331" s="146"/>
      <c r="B2331" s="147"/>
      <c r="C2331" s="147"/>
      <c r="D2331" s="147"/>
      <c r="E2331" s="147"/>
      <c r="F2331" s="147"/>
      <c r="G2331" s="147"/>
      <c r="H2331" s="147"/>
      <c r="I2331" s="147"/>
      <c r="J2331" s="147"/>
      <c r="K2331" s="147"/>
      <c r="L2331" s="147"/>
      <c r="M2331" s="147"/>
      <c r="N2331" s="147"/>
      <c r="O2331" s="147"/>
      <c r="P2331" s="147"/>
      <c r="Q2331" s="147"/>
      <c r="R2331" s="148"/>
      <c r="S2331" s="148"/>
      <c r="T2331" s="148"/>
      <c r="U2331" s="148"/>
      <c r="V2331" s="148"/>
      <c r="W2331" s="148"/>
      <c r="X2331" s="148"/>
      <c r="Y2331" s="148"/>
      <c r="Z2331" s="148"/>
      <c r="AA2331" s="148"/>
      <c r="AB2331" s="148"/>
      <c r="AC2331" s="148"/>
    </row>
    <row r="2332" spans="1:29" hidden="1">
      <c r="A2332" s="146"/>
      <c r="B2332" s="147"/>
      <c r="C2332" s="147"/>
      <c r="D2332" s="147"/>
      <c r="E2332" s="147"/>
      <c r="F2332" s="147"/>
      <c r="G2332" s="147"/>
      <c r="H2332" s="147"/>
      <c r="I2332" s="147"/>
      <c r="J2332" s="147"/>
      <c r="K2332" s="147"/>
      <c r="L2332" s="147"/>
      <c r="M2332" s="147"/>
      <c r="N2332" s="147"/>
      <c r="O2332" s="147"/>
      <c r="P2332" s="147"/>
      <c r="Q2332" s="147"/>
      <c r="R2332" s="148"/>
      <c r="S2332" s="148"/>
      <c r="T2332" s="148"/>
      <c r="U2332" s="148"/>
      <c r="V2332" s="148"/>
      <c r="W2332" s="148"/>
      <c r="X2332" s="148"/>
      <c r="Y2332" s="148"/>
      <c r="Z2332" s="148"/>
      <c r="AA2332" s="148"/>
      <c r="AB2332" s="148"/>
      <c r="AC2332" s="148"/>
    </row>
    <row r="2333" spans="1:29" hidden="1">
      <c r="A2333" s="146"/>
      <c r="B2333" s="147"/>
      <c r="C2333" s="147"/>
      <c r="D2333" s="147"/>
      <c r="E2333" s="147"/>
      <c r="F2333" s="147"/>
      <c r="G2333" s="147"/>
      <c r="H2333" s="147"/>
      <c r="I2333" s="147"/>
      <c r="J2333" s="147"/>
      <c r="K2333" s="147"/>
      <c r="L2333" s="147"/>
      <c r="M2333" s="147"/>
      <c r="N2333" s="147"/>
      <c r="O2333" s="147"/>
      <c r="P2333" s="147"/>
      <c r="Q2333" s="147"/>
      <c r="R2333" s="148"/>
      <c r="S2333" s="148"/>
      <c r="T2333" s="148"/>
      <c r="U2333" s="148"/>
      <c r="V2333" s="148"/>
      <c r="W2333" s="148"/>
      <c r="X2333" s="148"/>
      <c r="Y2333" s="148"/>
      <c r="Z2333" s="148"/>
      <c r="AA2333" s="148"/>
      <c r="AB2333" s="148"/>
      <c r="AC2333" s="148"/>
    </row>
    <row r="2334" spans="1:29" hidden="1">
      <c r="A2334" s="146"/>
      <c r="B2334" s="147"/>
      <c r="C2334" s="147"/>
      <c r="D2334" s="147"/>
      <c r="E2334" s="147"/>
      <c r="F2334" s="147"/>
      <c r="G2334" s="147"/>
      <c r="H2334" s="147"/>
      <c r="I2334" s="147"/>
      <c r="J2334" s="147"/>
      <c r="K2334" s="147"/>
      <c r="L2334" s="147"/>
      <c r="M2334" s="147"/>
      <c r="N2334" s="147"/>
      <c r="O2334" s="147"/>
      <c r="P2334" s="147"/>
      <c r="Q2334" s="147"/>
      <c r="R2334" s="148"/>
      <c r="S2334" s="148"/>
      <c r="T2334" s="148"/>
      <c r="U2334" s="148"/>
      <c r="V2334" s="148"/>
      <c r="W2334" s="148"/>
      <c r="X2334" s="148"/>
      <c r="Y2334" s="148"/>
      <c r="Z2334" s="148"/>
      <c r="AA2334" s="148"/>
      <c r="AB2334" s="148"/>
      <c r="AC2334" s="148"/>
    </row>
    <row r="2335" spans="1:29" hidden="1">
      <c r="A2335" s="146"/>
      <c r="B2335" s="147"/>
      <c r="C2335" s="147"/>
      <c r="D2335" s="147"/>
      <c r="E2335" s="147"/>
      <c r="F2335" s="147"/>
      <c r="G2335" s="147"/>
      <c r="H2335" s="147"/>
      <c r="I2335" s="147"/>
      <c r="J2335" s="147"/>
      <c r="K2335" s="147"/>
      <c r="L2335" s="147"/>
      <c r="M2335" s="147"/>
      <c r="N2335" s="147"/>
      <c r="O2335" s="147"/>
      <c r="P2335" s="147"/>
      <c r="Q2335" s="147"/>
      <c r="R2335" s="148"/>
      <c r="S2335" s="148"/>
      <c r="T2335" s="148"/>
      <c r="U2335" s="148"/>
      <c r="V2335" s="148"/>
      <c r="W2335" s="148"/>
      <c r="X2335" s="148"/>
      <c r="Y2335" s="148"/>
      <c r="Z2335" s="148"/>
      <c r="AA2335" s="148"/>
      <c r="AB2335" s="148"/>
      <c r="AC2335" s="148"/>
    </row>
    <row r="2336" spans="1:29" hidden="1">
      <c r="A2336" s="146"/>
      <c r="B2336" s="147"/>
      <c r="C2336" s="147"/>
      <c r="D2336" s="147"/>
      <c r="E2336" s="147"/>
      <c r="F2336" s="147"/>
      <c r="G2336" s="147"/>
      <c r="H2336" s="147"/>
      <c r="I2336" s="147"/>
      <c r="J2336" s="147"/>
      <c r="K2336" s="147"/>
      <c r="L2336" s="147"/>
      <c r="M2336" s="147"/>
      <c r="N2336" s="147"/>
      <c r="O2336" s="147"/>
      <c r="P2336" s="147"/>
      <c r="Q2336" s="147"/>
      <c r="R2336" s="148"/>
      <c r="S2336" s="148"/>
      <c r="T2336" s="148"/>
      <c r="U2336" s="148"/>
      <c r="V2336" s="148"/>
      <c r="W2336" s="148"/>
      <c r="X2336" s="148"/>
      <c r="Y2336" s="148"/>
      <c r="Z2336" s="148"/>
      <c r="AA2336" s="148"/>
      <c r="AB2336" s="148"/>
      <c r="AC2336" s="148"/>
    </row>
    <row r="2337" spans="1:29" hidden="1">
      <c r="A2337" s="146"/>
      <c r="B2337" s="147"/>
      <c r="C2337" s="147"/>
      <c r="D2337" s="147"/>
      <c r="E2337" s="147"/>
      <c r="F2337" s="147"/>
      <c r="G2337" s="147"/>
      <c r="H2337" s="147"/>
      <c r="I2337" s="147"/>
      <c r="J2337" s="147"/>
      <c r="K2337" s="147"/>
      <c r="L2337" s="147"/>
      <c r="M2337" s="147"/>
      <c r="N2337" s="147"/>
      <c r="O2337" s="147"/>
      <c r="P2337" s="147"/>
      <c r="Q2337" s="147"/>
      <c r="R2337" s="148"/>
      <c r="S2337" s="148"/>
      <c r="T2337" s="148"/>
      <c r="U2337" s="148"/>
      <c r="V2337" s="148"/>
      <c r="W2337" s="148"/>
      <c r="X2337" s="148"/>
      <c r="Y2337" s="148"/>
      <c r="Z2337" s="148"/>
      <c r="AA2337" s="148"/>
      <c r="AB2337" s="148"/>
      <c r="AC2337" s="148"/>
    </row>
    <row r="2338" spans="1:29" hidden="1">
      <c r="A2338" s="146"/>
      <c r="B2338" s="147"/>
      <c r="C2338" s="147"/>
      <c r="D2338" s="147"/>
      <c r="E2338" s="147"/>
      <c r="F2338" s="147"/>
      <c r="G2338" s="147"/>
      <c r="H2338" s="147"/>
      <c r="I2338" s="147"/>
      <c r="J2338" s="147"/>
      <c r="K2338" s="147"/>
      <c r="L2338" s="147"/>
      <c r="M2338" s="147"/>
      <c r="N2338" s="147"/>
      <c r="O2338" s="147"/>
      <c r="P2338" s="147"/>
      <c r="Q2338" s="147"/>
      <c r="R2338" s="148"/>
      <c r="S2338" s="148"/>
      <c r="T2338" s="148"/>
      <c r="U2338" s="148"/>
      <c r="V2338" s="148"/>
      <c r="W2338" s="148"/>
      <c r="X2338" s="148"/>
      <c r="Y2338" s="148"/>
      <c r="Z2338" s="148"/>
      <c r="AA2338" s="148"/>
      <c r="AB2338" s="148"/>
      <c r="AC2338" s="148"/>
    </row>
    <row r="2339" spans="1:29" hidden="1">
      <c r="A2339" s="146"/>
      <c r="B2339" s="147"/>
      <c r="C2339" s="147"/>
      <c r="D2339" s="147"/>
      <c r="E2339" s="147"/>
      <c r="F2339" s="147"/>
      <c r="G2339" s="147"/>
      <c r="H2339" s="147"/>
      <c r="I2339" s="147"/>
      <c r="J2339" s="147"/>
      <c r="K2339" s="147"/>
      <c r="L2339" s="147"/>
      <c r="M2339" s="147"/>
      <c r="N2339" s="147"/>
      <c r="O2339" s="147"/>
      <c r="P2339" s="147"/>
      <c r="Q2339" s="147"/>
      <c r="R2339" s="148"/>
      <c r="S2339" s="148"/>
      <c r="T2339" s="148"/>
      <c r="U2339" s="148"/>
      <c r="V2339" s="148"/>
      <c r="W2339" s="148"/>
      <c r="X2339" s="148"/>
      <c r="Y2339" s="148"/>
      <c r="Z2339" s="148"/>
      <c r="AA2339" s="148"/>
      <c r="AB2339" s="148"/>
      <c r="AC2339" s="148"/>
    </row>
    <row r="2340" spans="1:29" hidden="1">
      <c r="A2340" s="146"/>
      <c r="B2340" s="147"/>
      <c r="C2340" s="147"/>
      <c r="D2340" s="147"/>
      <c r="E2340" s="147"/>
      <c r="F2340" s="147"/>
      <c r="G2340" s="147"/>
      <c r="H2340" s="147"/>
      <c r="I2340" s="147"/>
      <c r="J2340" s="147"/>
      <c r="K2340" s="147"/>
      <c r="L2340" s="147"/>
      <c r="M2340" s="147"/>
      <c r="N2340" s="147"/>
      <c r="O2340" s="147"/>
      <c r="P2340" s="147"/>
      <c r="Q2340" s="147"/>
      <c r="R2340" s="148"/>
      <c r="S2340" s="148"/>
      <c r="T2340" s="148"/>
      <c r="U2340" s="148"/>
      <c r="V2340" s="148"/>
      <c r="W2340" s="148"/>
      <c r="X2340" s="148"/>
      <c r="Y2340" s="148"/>
      <c r="Z2340" s="148"/>
      <c r="AA2340" s="148"/>
      <c r="AB2340" s="148"/>
      <c r="AC2340" s="148"/>
    </row>
    <row r="2341" spans="1:29" hidden="1">
      <c r="A2341" s="146"/>
      <c r="B2341" s="147"/>
      <c r="C2341" s="147"/>
      <c r="D2341" s="147"/>
      <c r="E2341" s="147"/>
      <c r="F2341" s="147"/>
      <c r="G2341" s="147"/>
      <c r="H2341" s="147"/>
      <c r="I2341" s="147"/>
      <c r="J2341" s="147"/>
      <c r="K2341" s="147"/>
      <c r="L2341" s="147"/>
      <c r="M2341" s="147"/>
      <c r="N2341" s="147"/>
      <c r="O2341" s="147"/>
      <c r="P2341" s="147"/>
      <c r="Q2341" s="147"/>
      <c r="R2341" s="148"/>
      <c r="S2341" s="148"/>
      <c r="T2341" s="148"/>
      <c r="U2341" s="148"/>
      <c r="V2341" s="148"/>
      <c r="W2341" s="148"/>
      <c r="X2341" s="148"/>
      <c r="Y2341" s="148"/>
      <c r="Z2341" s="148"/>
      <c r="AA2341" s="148"/>
      <c r="AB2341" s="148"/>
      <c r="AC2341" s="148"/>
    </row>
    <row r="2342" spans="1:29" hidden="1">
      <c r="A2342" s="146"/>
      <c r="B2342" s="147"/>
      <c r="C2342" s="147"/>
      <c r="D2342" s="147"/>
      <c r="E2342" s="147"/>
      <c r="F2342" s="147"/>
      <c r="G2342" s="147"/>
      <c r="H2342" s="147"/>
      <c r="I2342" s="147"/>
      <c r="J2342" s="147"/>
      <c r="K2342" s="147"/>
      <c r="L2342" s="147"/>
      <c r="M2342" s="147"/>
      <c r="N2342" s="147"/>
      <c r="O2342" s="147"/>
      <c r="P2342" s="147"/>
      <c r="Q2342" s="147"/>
      <c r="R2342" s="148"/>
      <c r="S2342" s="148"/>
      <c r="T2342" s="148"/>
      <c r="U2342" s="148"/>
      <c r="V2342" s="148"/>
      <c r="W2342" s="148"/>
      <c r="X2342" s="148"/>
      <c r="Y2342" s="148"/>
      <c r="Z2342" s="148"/>
      <c r="AA2342" s="148"/>
      <c r="AB2342" s="148"/>
      <c r="AC2342" s="148"/>
    </row>
    <row r="2343" spans="1:29" hidden="1">
      <c r="A2343" s="146"/>
      <c r="B2343" s="147"/>
      <c r="C2343" s="147"/>
      <c r="D2343" s="147"/>
      <c r="E2343" s="147"/>
      <c r="F2343" s="147"/>
      <c r="G2343" s="147"/>
      <c r="H2343" s="147"/>
      <c r="I2343" s="147"/>
      <c r="J2343" s="147"/>
      <c r="K2343" s="147"/>
      <c r="L2343" s="147"/>
      <c r="M2343" s="147"/>
      <c r="N2343" s="147"/>
      <c r="O2343" s="147"/>
      <c r="P2343" s="147"/>
      <c r="Q2343" s="147"/>
      <c r="R2343" s="148"/>
      <c r="S2343" s="148"/>
      <c r="T2343" s="148"/>
      <c r="U2343" s="148"/>
      <c r="V2343" s="148"/>
      <c r="W2343" s="148"/>
      <c r="X2343" s="148"/>
      <c r="Y2343" s="148"/>
      <c r="Z2343" s="148"/>
      <c r="AA2343" s="148"/>
      <c r="AB2343" s="148"/>
      <c r="AC2343" s="148"/>
    </row>
    <row r="2344" spans="1:29" hidden="1">
      <c r="A2344" s="146"/>
      <c r="B2344" s="147"/>
      <c r="C2344" s="147"/>
      <c r="D2344" s="147"/>
      <c r="E2344" s="147"/>
      <c r="F2344" s="147"/>
      <c r="G2344" s="147"/>
      <c r="H2344" s="147"/>
      <c r="I2344" s="147"/>
      <c r="J2344" s="147"/>
      <c r="K2344" s="147"/>
      <c r="L2344" s="147"/>
      <c r="M2344" s="147"/>
      <c r="N2344" s="147"/>
      <c r="O2344" s="147"/>
      <c r="P2344" s="147"/>
      <c r="Q2344" s="147"/>
      <c r="R2344" s="148"/>
      <c r="S2344" s="148"/>
      <c r="T2344" s="148"/>
      <c r="U2344" s="148"/>
      <c r="V2344" s="148"/>
      <c r="W2344" s="148"/>
      <c r="X2344" s="148"/>
      <c r="Y2344" s="148"/>
      <c r="Z2344" s="148"/>
      <c r="AA2344" s="148"/>
      <c r="AB2344" s="148"/>
      <c r="AC2344" s="148"/>
    </row>
    <row r="2345" spans="1:29" hidden="1">
      <c r="A2345" s="146"/>
      <c r="B2345" s="147"/>
      <c r="C2345" s="147"/>
      <c r="D2345" s="147"/>
      <c r="E2345" s="147"/>
      <c r="F2345" s="147"/>
      <c r="G2345" s="147"/>
      <c r="H2345" s="147"/>
      <c r="I2345" s="147"/>
      <c r="J2345" s="147"/>
      <c r="K2345" s="147"/>
      <c r="L2345" s="147"/>
      <c r="M2345" s="147"/>
      <c r="N2345" s="147"/>
      <c r="O2345" s="147"/>
      <c r="P2345" s="147"/>
      <c r="Q2345" s="147"/>
      <c r="R2345" s="148"/>
      <c r="S2345" s="148"/>
      <c r="T2345" s="148"/>
      <c r="U2345" s="148"/>
      <c r="V2345" s="148"/>
      <c r="W2345" s="148"/>
      <c r="X2345" s="148"/>
      <c r="Y2345" s="148"/>
      <c r="Z2345" s="148"/>
      <c r="AA2345" s="148"/>
      <c r="AB2345" s="148"/>
      <c r="AC2345" s="148"/>
    </row>
    <row r="2346" spans="1:29" hidden="1">
      <c r="A2346" s="146"/>
      <c r="B2346" s="147"/>
      <c r="C2346" s="147"/>
      <c r="D2346" s="147"/>
      <c r="E2346" s="147"/>
      <c r="F2346" s="147"/>
      <c r="G2346" s="147"/>
      <c r="H2346" s="147"/>
      <c r="I2346" s="147"/>
      <c r="J2346" s="147"/>
      <c r="K2346" s="147"/>
      <c r="L2346" s="147"/>
      <c r="M2346" s="147"/>
      <c r="N2346" s="147"/>
      <c r="O2346" s="147"/>
      <c r="P2346" s="147"/>
      <c r="Q2346" s="147"/>
      <c r="R2346" s="148"/>
      <c r="S2346" s="148"/>
      <c r="T2346" s="148"/>
      <c r="U2346" s="148"/>
      <c r="V2346" s="148"/>
      <c r="W2346" s="148"/>
      <c r="X2346" s="148"/>
      <c r="Y2346" s="148"/>
      <c r="Z2346" s="148"/>
      <c r="AA2346" s="148"/>
      <c r="AB2346" s="148"/>
      <c r="AC2346" s="148"/>
    </row>
    <row r="2347" spans="1:29" hidden="1">
      <c r="A2347" s="146"/>
      <c r="B2347" s="147"/>
      <c r="C2347" s="147"/>
      <c r="D2347" s="147"/>
      <c r="E2347" s="147"/>
      <c r="F2347" s="147"/>
      <c r="G2347" s="147"/>
      <c r="H2347" s="147"/>
      <c r="I2347" s="147"/>
      <c r="J2347" s="147"/>
      <c r="K2347" s="147"/>
      <c r="L2347" s="147"/>
      <c r="M2347" s="147"/>
      <c r="N2347" s="147"/>
      <c r="O2347" s="147"/>
      <c r="P2347" s="147"/>
      <c r="Q2347" s="147"/>
      <c r="R2347" s="148"/>
      <c r="S2347" s="148"/>
      <c r="T2347" s="148"/>
      <c r="U2347" s="148"/>
      <c r="V2347" s="148"/>
      <c r="W2347" s="148"/>
      <c r="X2347" s="148"/>
      <c r="Y2347" s="148"/>
      <c r="Z2347" s="148"/>
      <c r="AA2347" s="148"/>
      <c r="AB2347" s="148"/>
      <c r="AC2347" s="148"/>
    </row>
    <row r="2348" spans="1:29" hidden="1">
      <c r="A2348" s="146"/>
      <c r="B2348" s="147"/>
      <c r="C2348" s="147"/>
      <c r="D2348" s="147"/>
      <c r="E2348" s="147"/>
      <c r="F2348" s="147"/>
      <c r="G2348" s="147"/>
      <c r="H2348" s="147"/>
      <c r="I2348" s="147"/>
      <c r="J2348" s="147"/>
      <c r="K2348" s="147"/>
      <c r="L2348" s="147"/>
      <c r="M2348" s="147"/>
      <c r="N2348" s="147"/>
      <c r="O2348" s="147"/>
      <c r="P2348" s="147"/>
      <c r="Q2348" s="147"/>
      <c r="R2348" s="148"/>
      <c r="S2348" s="148"/>
      <c r="T2348" s="148"/>
      <c r="U2348" s="148"/>
      <c r="V2348" s="148"/>
      <c r="W2348" s="148"/>
      <c r="X2348" s="148"/>
      <c r="Y2348" s="148"/>
      <c r="Z2348" s="148"/>
      <c r="AA2348" s="148"/>
      <c r="AB2348" s="148"/>
      <c r="AC2348" s="148"/>
    </row>
    <row r="2349" spans="1:29" hidden="1">
      <c r="A2349" s="146"/>
      <c r="B2349" s="147"/>
      <c r="C2349" s="147"/>
      <c r="D2349" s="147"/>
      <c r="E2349" s="147"/>
      <c r="F2349" s="147"/>
      <c r="G2349" s="147"/>
      <c r="H2349" s="147"/>
      <c r="I2349" s="147"/>
      <c r="J2349" s="147"/>
      <c r="K2349" s="147"/>
      <c r="L2349" s="147"/>
      <c r="M2349" s="147"/>
      <c r="N2349" s="147"/>
      <c r="O2349" s="147"/>
      <c r="P2349" s="147"/>
      <c r="Q2349" s="147"/>
      <c r="R2349" s="148"/>
      <c r="S2349" s="148"/>
      <c r="T2349" s="148"/>
      <c r="U2349" s="148"/>
      <c r="V2349" s="148"/>
      <c r="W2349" s="148"/>
      <c r="X2349" s="148"/>
      <c r="Y2349" s="148"/>
      <c r="Z2349" s="148"/>
      <c r="AA2349" s="148"/>
      <c r="AB2349" s="148"/>
      <c r="AC2349" s="148"/>
    </row>
    <row r="2350" spans="1:29" hidden="1">
      <c r="A2350" s="146"/>
      <c r="B2350" s="147"/>
      <c r="C2350" s="147"/>
      <c r="D2350" s="147"/>
      <c r="E2350" s="147"/>
      <c r="F2350" s="147"/>
      <c r="G2350" s="147"/>
      <c r="H2350" s="147"/>
      <c r="I2350" s="147"/>
      <c r="J2350" s="147"/>
      <c r="K2350" s="147"/>
      <c r="L2350" s="147"/>
      <c r="M2350" s="147"/>
      <c r="N2350" s="147"/>
      <c r="O2350" s="147"/>
      <c r="P2350" s="147"/>
      <c r="Q2350" s="147"/>
      <c r="R2350" s="148"/>
      <c r="S2350" s="148"/>
      <c r="T2350" s="148"/>
      <c r="U2350" s="148"/>
      <c r="V2350" s="148"/>
      <c r="W2350" s="148"/>
      <c r="X2350" s="148"/>
      <c r="Y2350" s="148"/>
      <c r="Z2350" s="148"/>
      <c r="AA2350" s="148"/>
      <c r="AB2350" s="148"/>
      <c r="AC2350" s="148"/>
    </row>
    <row r="2351" spans="1:29" hidden="1">
      <c r="A2351" s="146"/>
      <c r="B2351" s="147"/>
      <c r="C2351" s="147"/>
      <c r="D2351" s="147"/>
      <c r="E2351" s="147"/>
      <c r="F2351" s="147"/>
      <c r="G2351" s="147"/>
      <c r="H2351" s="147"/>
      <c r="I2351" s="147"/>
      <c r="J2351" s="147"/>
      <c r="K2351" s="147"/>
      <c r="L2351" s="147"/>
      <c r="M2351" s="147"/>
      <c r="N2351" s="147"/>
      <c r="O2351" s="147"/>
      <c r="P2351" s="147"/>
      <c r="Q2351" s="147"/>
      <c r="R2351" s="148"/>
      <c r="S2351" s="148"/>
      <c r="T2351" s="148"/>
      <c r="U2351" s="148"/>
      <c r="V2351" s="148"/>
      <c r="W2351" s="148"/>
      <c r="X2351" s="148"/>
      <c r="Y2351" s="148"/>
      <c r="Z2351" s="148"/>
      <c r="AA2351" s="148"/>
      <c r="AB2351" s="148"/>
      <c r="AC2351" s="148"/>
    </row>
    <row r="2352" spans="1:29" hidden="1">
      <c r="A2352" s="146"/>
      <c r="B2352" s="147"/>
      <c r="C2352" s="147"/>
      <c r="D2352" s="147"/>
      <c r="E2352" s="147"/>
      <c r="F2352" s="147"/>
      <c r="G2352" s="147"/>
      <c r="H2352" s="147"/>
      <c r="I2352" s="147"/>
      <c r="J2352" s="147"/>
      <c r="K2352" s="147"/>
      <c r="L2352" s="147"/>
      <c r="M2352" s="147"/>
      <c r="N2352" s="147"/>
      <c r="O2352" s="147"/>
      <c r="P2352" s="147"/>
      <c r="Q2352" s="147"/>
      <c r="R2352" s="148"/>
      <c r="S2352" s="148"/>
      <c r="T2352" s="148"/>
      <c r="U2352" s="148"/>
      <c r="V2352" s="148"/>
      <c r="W2352" s="148"/>
      <c r="X2352" s="148"/>
      <c r="Y2352" s="148"/>
      <c r="Z2352" s="148"/>
      <c r="AA2352" s="148"/>
      <c r="AB2352" s="148"/>
      <c r="AC2352" s="148"/>
    </row>
    <row r="2353" spans="1:29" hidden="1">
      <c r="A2353" s="146"/>
      <c r="B2353" s="147"/>
      <c r="C2353" s="147"/>
      <c r="D2353" s="147"/>
      <c r="E2353" s="147"/>
      <c r="F2353" s="147"/>
      <c r="G2353" s="147"/>
      <c r="H2353" s="147"/>
      <c r="I2353" s="147"/>
      <c r="J2353" s="147"/>
      <c r="K2353" s="147"/>
      <c r="L2353" s="147"/>
      <c r="M2353" s="147"/>
      <c r="N2353" s="147"/>
      <c r="O2353" s="147"/>
      <c r="P2353" s="147"/>
      <c r="Q2353" s="147"/>
      <c r="R2353" s="148"/>
      <c r="S2353" s="148"/>
      <c r="T2353" s="148"/>
      <c r="U2353" s="148"/>
      <c r="V2353" s="148"/>
      <c r="W2353" s="148"/>
      <c r="X2353" s="148"/>
      <c r="Y2353" s="148"/>
      <c r="Z2353" s="148"/>
      <c r="AA2353" s="148"/>
      <c r="AB2353" s="148"/>
      <c r="AC2353" s="148"/>
    </row>
    <row r="2354" spans="1:29" hidden="1">
      <c r="A2354" s="146"/>
      <c r="B2354" s="147"/>
      <c r="C2354" s="147"/>
      <c r="D2354" s="147"/>
      <c r="E2354" s="147"/>
      <c r="F2354" s="147"/>
      <c r="G2354" s="147"/>
      <c r="H2354" s="147"/>
      <c r="I2354" s="147"/>
      <c r="J2354" s="147"/>
      <c r="K2354" s="147"/>
      <c r="L2354" s="147"/>
      <c r="M2354" s="147"/>
      <c r="N2354" s="147"/>
      <c r="O2354" s="147"/>
      <c r="P2354" s="147"/>
      <c r="Q2354" s="147"/>
      <c r="R2354" s="148"/>
      <c r="S2354" s="148"/>
      <c r="T2354" s="148"/>
      <c r="U2354" s="148"/>
      <c r="V2354" s="148"/>
      <c r="W2354" s="148"/>
      <c r="X2354" s="148"/>
      <c r="Y2354" s="148"/>
      <c r="Z2354" s="148"/>
      <c r="AA2354" s="148"/>
      <c r="AB2354" s="148"/>
      <c r="AC2354" s="148"/>
    </row>
    <row r="2355" spans="1:29" hidden="1">
      <c r="A2355" s="146"/>
      <c r="B2355" s="147"/>
      <c r="C2355" s="147"/>
      <c r="D2355" s="147"/>
      <c r="E2355" s="147"/>
      <c r="F2355" s="147"/>
      <c r="G2355" s="147"/>
      <c r="H2355" s="147"/>
      <c r="I2355" s="147"/>
      <c r="J2355" s="147"/>
      <c r="K2355" s="147"/>
      <c r="L2355" s="147"/>
      <c r="M2355" s="147"/>
      <c r="N2355" s="147"/>
      <c r="O2355" s="147"/>
      <c r="P2355" s="147"/>
      <c r="Q2355" s="147"/>
      <c r="R2355" s="148"/>
      <c r="S2355" s="148"/>
      <c r="T2355" s="148"/>
      <c r="U2355" s="148"/>
      <c r="V2355" s="148"/>
      <c r="W2355" s="148"/>
      <c r="X2355" s="148"/>
      <c r="Y2355" s="148"/>
      <c r="Z2355" s="148"/>
      <c r="AA2355" s="148"/>
      <c r="AB2355" s="148"/>
      <c r="AC2355" s="148"/>
    </row>
    <row r="2356" spans="1:29" hidden="1">
      <c r="A2356" s="146"/>
      <c r="B2356" s="147"/>
      <c r="C2356" s="147"/>
      <c r="D2356" s="147"/>
      <c r="E2356" s="147"/>
      <c r="F2356" s="147"/>
      <c r="G2356" s="147"/>
      <c r="H2356" s="147"/>
      <c r="I2356" s="147"/>
      <c r="J2356" s="147"/>
      <c r="K2356" s="147"/>
      <c r="L2356" s="147"/>
      <c r="M2356" s="147"/>
      <c r="N2356" s="147"/>
      <c r="O2356" s="147"/>
      <c r="P2356" s="147"/>
      <c r="Q2356" s="147"/>
      <c r="R2356" s="148"/>
      <c r="S2356" s="148"/>
      <c r="T2356" s="148"/>
      <c r="U2356" s="148"/>
      <c r="V2356" s="148"/>
      <c r="W2356" s="148"/>
      <c r="X2356" s="148"/>
      <c r="Y2356" s="148"/>
      <c r="Z2356" s="148"/>
      <c r="AA2356" s="148"/>
      <c r="AB2356" s="148"/>
      <c r="AC2356" s="148"/>
    </row>
    <row r="2357" spans="1:29" hidden="1">
      <c r="A2357" s="146"/>
      <c r="B2357" s="147"/>
      <c r="C2357" s="147"/>
      <c r="D2357" s="147"/>
      <c r="E2357" s="147"/>
      <c r="F2357" s="147"/>
      <c r="G2357" s="147"/>
      <c r="H2357" s="147"/>
      <c r="I2357" s="147"/>
      <c r="J2357" s="147"/>
      <c r="K2357" s="147"/>
      <c r="L2357" s="147"/>
      <c r="M2357" s="147"/>
      <c r="N2357" s="147"/>
      <c r="O2357" s="147"/>
      <c r="P2357" s="147"/>
      <c r="Q2357" s="147"/>
      <c r="R2357" s="148"/>
      <c r="S2357" s="148"/>
      <c r="T2357" s="148"/>
      <c r="U2357" s="148"/>
      <c r="V2357" s="148"/>
      <c r="W2357" s="148"/>
      <c r="X2357" s="148"/>
      <c r="Y2357" s="148"/>
      <c r="Z2357" s="148"/>
      <c r="AA2357" s="148"/>
      <c r="AB2357" s="148"/>
      <c r="AC2357" s="148"/>
    </row>
    <row r="2358" spans="1:29" hidden="1">
      <c r="A2358" s="146"/>
      <c r="B2358" s="147"/>
      <c r="C2358" s="147"/>
      <c r="D2358" s="147"/>
      <c r="E2358" s="147"/>
      <c r="F2358" s="147"/>
      <c r="G2358" s="147"/>
      <c r="H2358" s="147"/>
      <c r="I2358" s="147"/>
      <c r="J2358" s="147"/>
      <c r="K2358" s="147"/>
      <c r="L2358" s="147"/>
      <c r="M2358" s="147"/>
      <c r="N2358" s="147"/>
      <c r="O2358" s="147"/>
      <c r="P2358" s="147"/>
      <c r="Q2358" s="147"/>
      <c r="R2358" s="148"/>
      <c r="S2358" s="148"/>
      <c r="T2358" s="148"/>
      <c r="U2358" s="148"/>
      <c r="V2358" s="148"/>
      <c r="W2358" s="148"/>
      <c r="X2358" s="148"/>
      <c r="Y2358" s="148"/>
      <c r="Z2358" s="148"/>
      <c r="AA2358" s="148"/>
      <c r="AB2358" s="148"/>
      <c r="AC2358" s="148"/>
    </row>
    <row r="2359" spans="1:29" hidden="1">
      <c r="A2359" s="146"/>
      <c r="B2359" s="147"/>
      <c r="C2359" s="147"/>
      <c r="D2359" s="147"/>
      <c r="E2359" s="147"/>
      <c r="F2359" s="147"/>
      <c r="G2359" s="147"/>
      <c r="H2359" s="147"/>
      <c r="I2359" s="147"/>
      <c r="J2359" s="147"/>
      <c r="K2359" s="147"/>
      <c r="L2359" s="147"/>
      <c r="M2359" s="147"/>
      <c r="N2359" s="147"/>
      <c r="O2359" s="147"/>
      <c r="P2359" s="147"/>
      <c r="Q2359" s="147"/>
      <c r="R2359" s="148"/>
      <c r="S2359" s="148"/>
      <c r="T2359" s="148"/>
      <c r="U2359" s="148"/>
      <c r="V2359" s="148"/>
      <c r="W2359" s="148"/>
      <c r="X2359" s="148"/>
      <c r="Y2359" s="148"/>
      <c r="Z2359" s="148"/>
      <c r="AA2359" s="148"/>
      <c r="AB2359" s="148"/>
      <c r="AC2359" s="148"/>
    </row>
    <row r="2360" spans="1:29" hidden="1">
      <c r="A2360" s="146"/>
      <c r="B2360" s="147"/>
      <c r="C2360" s="147"/>
      <c r="D2360" s="147"/>
      <c r="E2360" s="147"/>
      <c r="F2360" s="147"/>
      <c r="G2360" s="147"/>
      <c r="H2360" s="147"/>
      <c r="I2360" s="147"/>
      <c r="J2360" s="147"/>
      <c r="K2360" s="147"/>
      <c r="L2360" s="147"/>
      <c r="M2360" s="147"/>
      <c r="N2360" s="147"/>
      <c r="O2360" s="147"/>
      <c r="P2360" s="147"/>
      <c r="Q2360" s="147"/>
      <c r="R2360" s="148"/>
      <c r="S2360" s="148"/>
      <c r="T2360" s="148"/>
      <c r="U2360" s="148"/>
      <c r="V2360" s="148"/>
      <c r="W2360" s="148"/>
      <c r="X2360" s="148"/>
      <c r="Y2360" s="148"/>
      <c r="Z2360" s="148"/>
      <c r="AA2360" s="148"/>
      <c r="AB2360" s="148"/>
      <c r="AC2360" s="148"/>
    </row>
    <row r="2361" spans="1:29" hidden="1">
      <c r="A2361" s="146"/>
      <c r="B2361" s="147"/>
      <c r="C2361" s="147"/>
      <c r="D2361" s="147"/>
      <c r="E2361" s="147"/>
      <c r="F2361" s="147"/>
      <c r="G2361" s="147"/>
      <c r="H2361" s="147"/>
      <c r="I2361" s="147"/>
      <c r="J2361" s="147"/>
      <c r="K2361" s="147"/>
      <c r="L2361" s="147"/>
      <c r="M2361" s="147"/>
      <c r="N2361" s="147"/>
      <c r="O2361" s="147"/>
      <c r="P2361" s="147"/>
      <c r="Q2361" s="147"/>
      <c r="R2361" s="148"/>
      <c r="S2361" s="148"/>
      <c r="T2361" s="148"/>
      <c r="U2361" s="148"/>
      <c r="V2361" s="148"/>
      <c r="W2361" s="148"/>
      <c r="X2361" s="148"/>
      <c r="Y2361" s="148"/>
      <c r="Z2361" s="148"/>
      <c r="AA2361" s="148"/>
      <c r="AB2361" s="148"/>
      <c r="AC2361" s="148"/>
    </row>
    <row r="2362" spans="1:29" hidden="1">
      <c r="A2362" s="146"/>
      <c r="B2362" s="147"/>
      <c r="C2362" s="147"/>
      <c r="D2362" s="147"/>
      <c r="E2362" s="147"/>
      <c r="F2362" s="147"/>
      <c r="G2362" s="147"/>
      <c r="H2362" s="147"/>
      <c r="I2362" s="147"/>
      <c r="J2362" s="147"/>
      <c r="K2362" s="147"/>
      <c r="L2362" s="147"/>
      <c r="M2362" s="147"/>
      <c r="N2362" s="147"/>
      <c r="O2362" s="147"/>
      <c r="P2362" s="147"/>
      <c r="Q2362" s="147"/>
      <c r="R2362" s="148"/>
      <c r="S2362" s="148"/>
      <c r="T2362" s="148"/>
      <c r="U2362" s="148"/>
      <c r="V2362" s="148"/>
      <c r="W2362" s="148"/>
      <c r="X2362" s="148"/>
      <c r="Y2362" s="148"/>
      <c r="Z2362" s="148"/>
      <c r="AA2362" s="148"/>
      <c r="AB2362" s="148"/>
      <c r="AC2362" s="148"/>
    </row>
    <row r="2363" spans="1:29" hidden="1">
      <c r="A2363" s="146"/>
      <c r="B2363" s="147"/>
      <c r="C2363" s="147"/>
      <c r="D2363" s="147"/>
      <c r="E2363" s="147"/>
      <c r="F2363" s="147"/>
      <c r="G2363" s="147"/>
      <c r="H2363" s="147"/>
      <c r="I2363" s="147"/>
      <c r="J2363" s="147"/>
      <c r="K2363" s="147"/>
      <c r="L2363" s="147"/>
      <c r="M2363" s="147"/>
      <c r="N2363" s="147"/>
      <c r="O2363" s="147"/>
      <c r="P2363" s="147"/>
      <c r="Q2363" s="147"/>
      <c r="R2363" s="148"/>
      <c r="S2363" s="148"/>
      <c r="T2363" s="148"/>
      <c r="U2363" s="148"/>
      <c r="V2363" s="148"/>
      <c r="W2363" s="148"/>
      <c r="X2363" s="148"/>
      <c r="Y2363" s="148"/>
      <c r="Z2363" s="148"/>
      <c r="AA2363" s="148"/>
      <c r="AB2363" s="148"/>
      <c r="AC2363" s="148"/>
    </row>
    <row r="2364" spans="1:29" hidden="1">
      <c r="A2364" s="146"/>
      <c r="B2364" s="147"/>
      <c r="C2364" s="147"/>
      <c r="D2364" s="147"/>
      <c r="E2364" s="147"/>
      <c r="F2364" s="147"/>
      <c r="G2364" s="147"/>
      <c r="H2364" s="147"/>
      <c r="I2364" s="147"/>
      <c r="J2364" s="147"/>
      <c r="K2364" s="147"/>
      <c r="L2364" s="147"/>
      <c r="M2364" s="147"/>
      <c r="N2364" s="147"/>
      <c r="O2364" s="147"/>
      <c r="P2364" s="147"/>
      <c r="Q2364" s="147"/>
      <c r="R2364" s="148"/>
      <c r="S2364" s="148"/>
      <c r="T2364" s="148"/>
      <c r="U2364" s="148"/>
      <c r="V2364" s="148"/>
      <c r="W2364" s="148"/>
      <c r="X2364" s="148"/>
      <c r="Y2364" s="148"/>
      <c r="Z2364" s="148"/>
      <c r="AA2364" s="148"/>
      <c r="AB2364" s="148"/>
      <c r="AC2364" s="148"/>
    </row>
    <row r="2365" spans="1:29" hidden="1">
      <c r="A2365" s="146"/>
      <c r="B2365" s="147"/>
      <c r="C2365" s="147"/>
      <c r="D2365" s="147"/>
      <c r="E2365" s="147"/>
      <c r="F2365" s="147"/>
      <c r="G2365" s="147"/>
      <c r="H2365" s="147"/>
      <c r="I2365" s="147"/>
      <c r="J2365" s="147"/>
      <c r="K2365" s="147"/>
      <c r="L2365" s="147"/>
      <c r="M2365" s="147"/>
      <c r="N2365" s="147"/>
      <c r="O2365" s="147"/>
      <c r="P2365" s="147"/>
      <c r="Q2365" s="147"/>
      <c r="R2365" s="148"/>
      <c r="S2365" s="148"/>
      <c r="T2365" s="148"/>
      <c r="U2365" s="148"/>
      <c r="V2365" s="148"/>
      <c r="W2365" s="148"/>
      <c r="X2365" s="148"/>
      <c r="Y2365" s="148"/>
      <c r="Z2365" s="148"/>
      <c r="AA2365" s="148"/>
      <c r="AB2365" s="148"/>
      <c r="AC2365" s="148"/>
    </row>
    <row r="2366" spans="1:29" hidden="1">
      <c r="A2366" s="146"/>
      <c r="B2366" s="147"/>
      <c r="C2366" s="147"/>
      <c r="D2366" s="147"/>
      <c r="E2366" s="147"/>
      <c r="F2366" s="147"/>
      <c r="G2366" s="147"/>
      <c r="H2366" s="147"/>
      <c r="I2366" s="147"/>
      <c r="J2366" s="147"/>
      <c r="K2366" s="147"/>
      <c r="L2366" s="147"/>
      <c r="M2366" s="147"/>
      <c r="N2366" s="147"/>
      <c r="O2366" s="147"/>
      <c r="P2366" s="147"/>
      <c r="Q2366" s="147"/>
      <c r="R2366" s="148"/>
      <c r="S2366" s="148"/>
      <c r="T2366" s="148"/>
      <c r="U2366" s="148"/>
      <c r="V2366" s="148"/>
      <c r="W2366" s="148"/>
      <c r="X2366" s="148"/>
      <c r="Y2366" s="148"/>
      <c r="Z2366" s="148"/>
      <c r="AA2366" s="148"/>
      <c r="AB2366" s="148"/>
      <c r="AC2366" s="148"/>
    </row>
    <row r="2367" spans="1:29" hidden="1">
      <c r="A2367" s="146"/>
      <c r="B2367" s="147"/>
      <c r="C2367" s="147"/>
      <c r="D2367" s="147"/>
      <c r="E2367" s="147"/>
      <c r="F2367" s="147"/>
      <c r="G2367" s="147"/>
      <c r="H2367" s="147"/>
      <c r="I2367" s="147"/>
      <c r="J2367" s="147"/>
      <c r="K2367" s="147"/>
      <c r="L2367" s="147"/>
      <c r="M2367" s="147"/>
      <c r="N2367" s="147"/>
      <c r="O2367" s="147"/>
      <c r="P2367" s="147"/>
      <c r="Q2367" s="147"/>
      <c r="R2367" s="148"/>
      <c r="S2367" s="148"/>
      <c r="T2367" s="148"/>
      <c r="U2367" s="148"/>
      <c r="V2367" s="148"/>
      <c r="W2367" s="148"/>
      <c r="X2367" s="148"/>
      <c r="Y2367" s="148"/>
      <c r="Z2367" s="148"/>
      <c r="AA2367" s="148"/>
      <c r="AB2367" s="148"/>
      <c r="AC2367" s="148"/>
    </row>
    <row r="2368" spans="1:29" hidden="1">
      <c r="A2368" s="146"/>
      <c r="B2368" s="147"/>
      <c r="C2368" s="147"/>
      <c r="D2368" s="147"/>
      <c r="E2368" s="147"/>
      <c r="F2368" s="147"/>
      <c r="G2368" s="147"/>
      <c r="H2368" s="147"/>
      <c r="I2368" s="147"/>
      <c r="J2368" s="147"/>
      <c r="K2368" s="147"/>
      <c r="L2368" s="147"/>
      <c r="M2368" s="147"/>
      <c r="N2368" s="147"/>
      <c r="O2368" s="147"/>
      <c r="P2368" s="147"/>
      <c r="Q2368" s="147"/>
      <c r="R2368" s="148"/>
      <c r="S2368" s="148"/>
      <c r="T2368" s="148"/>
      <c r="U2368" s="148"/>
      <c r="V2368" s="148"/>
      <c r="W2368" s="148"/>
      <c r="X2368" s="148"/>
      <c r="Y2368" s="148"/>
      <c r="Z2368" s="148"/>
      <c r="AA2368" s="148"/>
      <c r="AB2368" s="148"/>
      <c r="AC2368" s="148"/>
    </row>
    <row r="2369" spans="1:29" hidden="1">
      <c r="A2369" s="146"/>
      <c r="B2369" s="147"/>
      <c r="C2369" s="147"/>
      <c r="D2369" s="147"/>
      <c r="E2369" s="147"/>
      <c r="F2369" s="147"/>
      <c r="G2369" s="147"/>
      <c r="H2369" s="147"/>
      <c r="I2369" s="147"/>
      <c r="J2369" s="147"/>
      <c r="K2369" s="147"/>
      <c r="L2369" s="147"/>
      <c r="M2369" s="147"/>
      <c r="N2369" s="147"/>
      <c r="O2369" s="147"/>
      <c r="P2369" s="147"/>
      <c r="Q2369" s="147"/>
      <c r="R2369" s="148"/>
      <c r="S2369" s="148"/>
      <c r="T2369" s="148"/>
      <c r="U2369" s="148"/>
      <c r="V2369" s="148"/>
      <c r="W2369" s="148"/>
      <c r="X2369" s="148"/>
      <c r="Y2369" s="148"/>
      <c r="Z2369" s="148"/>
      <c r="AA2369" s="148"/>
      <c r="AB2369" s="148"/>
      <c r="AC2369" s="148"/>
    </row>
    <row r="2370" spans="1:29" hidden="1">
      <c r="A2370" s="146"/>
      <c r="B2370" s="147"/>
      <c r="C2370" s="147"/>
      <c r="D2370" s="147"/>
      <c r="E2370" s="147"/>
      <c r="F2370" s="147"/>
      <c r="G2370" s="147"/>
      <c r="H2370" s="147"/>
      <c r="I2370" s="147"/>
      <c r="J2370" s="147"/>
      <c r="K2370" s="147"/>
      <c r="L2370" s="147"/>
      <c r="M2370" s="147"/>
      <c r="N2370" s="147"/>
      <c r="O2370" s="147"/>
      <c r="P2370" s="147"/>
      <c r="Q2370" s="147"/>
      <c r="R2370" s="148"/>
      <c r="S2370" s="148"/>
      <c r="T2370" s="148"/>
      <c r="U2370" s="148"/>
      <c r="V2370" s="148"/>
      <c r="W2370" s="148"/>
      <c r="X2370" s="148"/>
      <c r="Y2370" s="148"/>
      <c r="Z2370" s="148"/>
      <c r="AA2370" s="148"/>
      <c r="AB2370" s="148"/>
      <c r="AC2370" s="148"/>
    </row>
    <row r="2371" spans="1:29" hidden="1">
      <c r="A2371" s="146"/>
      <c r="B2371" s="147"/>
      <c r="C2371" s="147"/>
      <c r="D2371" s="147"/>
      <c r="E2371" s="147"/>
      <c r="F2371" s="147"/>
      <c r="G2371" s="147"/>
      <c r="H2371" s="147"/>
      <c r="I2371" s="147"/>
      <c r="J2371" s="147"/>
      <c r="K2371" s="147"/>
      <c r="L2371" s="147"/>
      <c r="M2371" s="147"/>
      <c r="N2371" s="147"/>
      <c r="O2371" s="147"/>
      <c r="P2371" s="147"/>
      <c r="Q2371" s="147"/>
      <c r="R2371" s="148"/>
      <c r="S2371" s="148"/>
      <c r="T2371" s="148"/>
      <c r="U2371" s="148"/>
      <c r="V2371" s="148"/>
      <c r="W2371" s="148"/>
      <c r="X2371" s="148"/>
      <c r="Y2371" s="148"/>
      <c r="Z2371" s="148"/>
      <c r="AA2371" s="148"/>
      <c r="AB2371" s="148"/>
      <c r="AC2371" s="148"/>
    </row>
    <row r="2372" spans="1:29" hidden="1">
      <c r="A2372" s="146"/>
      <c r="B2372" s="147"/>
      <c r="C2372" s="147"/>
      <c r="D2372" s="147"/>
      <c r="E2372" s="147"/>
      <c r="F2372" s="147"/>
      <c r="G2372" s="147"/>
      <c r="H2372" s="147"/>
      <c r="I2372" s="147"/>
      <c r="J2372" s="147"/>
      <c r="K2372" s="147"/>
      <c r="L2372" s="147"/>
      <c r="M2372" s="147"/>
      <c r="N2372" s="147"/>
      <c r="O2372" s="147"/>
      <c r="P2372" s="147"/>
      <c r="Q2372" s="147"/>
      <c r="R2372" s="148"/>
      <c r="S2372" s="148"/>
      <c r="T2372" s="148"/>
      <c r="U2372" s="148"/>
      <c r="V2372" s="148"/>
      <c r="W2372" s="148"/>
      <c r="X2372" s="148"/>
      <c r="Y2372" s="148"/>
      <c r="Z2372" s="148"/>
      <c r="AA2372" s="148"/>
      <c r="AB2372" s="148"/>
      <c r="AC2372" s="148"/>
    </row>
    <row r="2373" spans="1:29" hidden="1">
      <c r="A2373" s="146"/>
      <c r="B2373" s="147"/>
      <c r="C2373" s="147"/>
      <c r="D2373" s="147"/>
      <c r="E2373" s="147"/>
      <c r="F2373" s="147"/>
      <c r="G2373" s="147"/>
      <c r="H2373" s="147"/>
      <c r="I2373" s="147"/>
      <c r="J2373" s="147"/>
      <c r="K2373" s="147"/>
      <c r="L2373" s="147"/>
      <c r="M2373" s="147"/>
      <c r="N2373" s="147"/>
      <c r="O2373" s="147"/>
      <c r="P2373" s="147"/>
      <c r="Q2373" s="147"/>
      <c r="R2373" s="148"/>
      <c r="S2373" s="148"/>
      <c r="T2373" s="148"/>
      <c r="U2373" s="148"/>
      <c r="V2373" s="148"/>
      <c r="W2373" s="148"/>
      <c r="X2373" s="148"/>
      <c r="Y2373" s="148"/>
      <c r="Z2373" s="148"/>
      <c r="AA2373" s="148"/>
      <c r="AB2373" s="148"/>
      <c r="AC2373" s="148"/>
    </row>
    <row r="2374" spans="1:29" hidden="1">
      <c r="A2374" s="146"/>
      <c r="B2374" s="147"/>
      <c r="C2374" s="147"/>
      <c r="D2374" s="147"/>
      <c r="E2374" s="147"/>
      <c r="F2374" s="147"/>
      <c r="G2374" s="147"/>
      <c r="H2374" s="147"/>
      <c r="I2374" s="147"/>
      <c r="J2374" s="147"/>
      <c r="K2374" s="147"/>
      <c r="L2374" s="147"/>
      <c r="M2374" s="147"/>
      <c r="N2374" s="147"/>
      <c r="O2374" s="147"/>
      <c r="P2374" s="147"/>
      <c r="Q2374" s="147"/>
      <c r="R2374" s="148"/>
      <c r="S2374" s="148"/>
      <c r="T2374" s="148"/>
      <c r="U2374" s="148"/>
      <c r="V2374" s="148"/>
      <c r="W2374" s="148"/>
      <c r="X2374" s="148"/>
      <c r="Y2374" s="148"/>
      <c r="Z2374" s="148"/>
      <c r="AA2374" s="148"/>
      <c r="AB2374" s="148"/>
      <c r="AC2374" s="148"/>
    </row>
    <row r="2375" spans="1:29" hidden="1">
      <c r="A2375" s="146"/>
      <c r="B2375" s="147"/>
      <c r="C2375" s="147"/>
      <c r="D2375" s="147"/>
      <c r="E2375" s="147"/>
      <c r="F2375" s="147"/>
      <c r="G2375" s="147"/>
      <c r="H2375" s="147"/>
      <c r="I2375" s="147"/>
      <c r="J2375" s="147"/>
      <c r="K2375" s="147"/>
      <c r="L2375" s="147"/>
      <c r="M2375" s="147"/>
      <c r="N2375" s="147"/>
      <c r="O2375" s="147"/>
      <c r="P2375" s="147"/>
      <c r="Q2375" s="147"/>
      <c r="R2375" s="148"/>
      <c r="S2375" s="148"/>
      <c r="T2375" s="148"/>
      <c r="U2375" s="148"/>
      <c r="V2375" s="148"/>
      <c r="W2375" s="148"/>
      <c r="X2375" s="148"/>
      <c r="Y2375" s="148"/>
      <c r="Z2375" s="148"/>
      <c r="AA2375" s="148"/>
      <c r="AB2375" s="148"/>
      <c r="AC2375" s="148"/>
    </row>
    <row r="2376" spans="1:29" hidden="1">
      <c r="A2376" s="146"/>
      <c r="B2376" s="147"/>
      <c r="C2376" s="147"/>
      <c r="D2376" s="147"/>
      <c r="E2376" s="147"/>
      <c r="F2376" s="147"/>
      <c r="G2376" s="147"/>
      <c r="H2376" s="147"/>
      <c r="I2376" s="147"/>
      <c r="J2376" s="147"/>
      <c r="K2376" s="147"/>
      <c r="L2376" s="147"/>
      <c r="M2376" s="147"/>
      <c r="N2376" s="147"/>
      <c r="O2376" s="147"/>
      <c r="P2376" s="147"/>
      <c r="Q2376" s="147"/>
      <c r="R2376" s="148"/>
      <c r="S2376" s="148"/>
      <c r="T2376" s="148"/>
      <c r="U2376" s="148"/>
      <c r="V2376" s="148"/>
      <c r="W2376" s="148"/>
      <c r="X2376" s="148"/>
      <c r="Y2376" s="148"/>
      <c r="Z2376" s="148"/>
      <c r="AA2376" s="148"/>
      <c r="AB2376" s="148"/>
      <c r="AC2376" s="148"/>
    </row>
    <row r="2377" spans="1:29" hidden="1">
      <c r="A2377" s="146"/>
      <c r="B2377" s="147"/>
      <c r="C2377" s="147"/>
      <c r="D2377" s="147"/>
      <c r="E2377" s="147"/>
      <c r="F2377" s="147"/>
      <c r="G2377" s="147"/>
      <c r="H2377" s="147"/>
      <c r="I2377" s="147"/>
      <c r="J2377" s="147"/>
      <c r="K2377" s="147"/>
      <c r="L2377" s="147"/>
      <c r="M2377" s="147"/>
      <c r="N2377" s="147"/>
      <c r="O2377" s="147"/>
      <c r="P2377" s="147"/>
      <c r="Q2377" s="147"/>
      <c r="R2377" s="148"/>
      <c r="S2377" s="148"/>
      <c r="T2377" s="148"/>
      <c r="U2377" s="148"/>
      <c r="V2377" s="148"/>
      <c r="W2377" s="148"/>
      <c r="X2377" s="148"/>
      <c r="Y2377" s="148"/>
      <c r="Z2377" s="148"/>
      <c r="AA2377" s="148"/>
      <c r="AB2377" s="148"/>
      <c r="AC2377" s="148"/>
    </row>
    <row r="2378" spans="1:29" hidden="1">
      <c r="A2378" s="146"/>
      <c r="B2378" s="147"/>
      <c r="C2378" s="147"/>
      <c r="D2378" s="147"/>
      <c r="E2378" s="147"/>
      <c r="F2378" s="147"/>
      <c r="G2378" s="147"/>
      <c r="H2378" s="147"/>
      <c r="I2378" s="147"/>
      <c r="J2378" s="147"/>
      <c r="K2378" s="147"/>
      <c r="L2378" s="147"/>
      <c r="M2378" s="147"/>
      <c r="N2378" s="147"/>
      <c r="O2378" s="147"/>
      <c r="P2378" s="147"/>
      <c r="Q2378" s="147"/>
      <c r="R2378" s="148"/>
      <c r="S2378" s="148"/>
      <c r="T2378" s="148"/>
      <c r="U2378" s="148"/>
      <c r="V2378" s="148"/>
      <c r="W2378" s="148"/>
      <c r="X2378" s="148"/>
      <c r="Y2378" s="148"/>
      <c r="Z2378" s="148"/>
      <c r="AA2378" s="148"/>
      <c r="AB2378" s="148"/>
      <c r="AC2378" s="148"/>
    </row>
    <row r="2379" spans="1:29" hidden="1">
      <c r="A2379" s="146"/>
      <c r="B2379" s="147"/>
      <c r="C2379" s="147"/>
      <c r="D2379" s="147"/>
      <c r="E2379" s="147"/>
      <c r="F2379" s="147"/>
      <c r="G2379" s="147"/>
      <c r="H2379" s="147"/>
      <c r="I2379" s="147"/>
      <c r="J2379" s="147"/>
      <c r="K2379" s="147"/>
      <c r="L2379" s="147"/>
      <c r="M2379" s="147"/>
      <c r="N2379" s="147"/>
      <c r="O2379" s="147"/>
      <c r="P2379" s="147"/>
      <c r="Q2379" s="147"/>
      <c r="R2379" s="148"/>
      <c r="S2379" s="148"/>
      <c r="T2379" s="148"/>
      <c r="U2379" s="148"/>
      <c r="V2379" s="148"/>
      <c r="W2379" s="148"/>
      <c r="X2379" s="148"/>
      <c r="Y2379" s="148"/>
      <c r="Z2379" s="148"/>
      <c r="AA2379" s="148"/>
      <c r="AB2379" s="148"/>
      <c r="AC2379" s="148"/>
    </row>
    <row r="2380" spans="1:29" hidden="1">
      <c r="A2380" s="146"/>
      <c r="B2380" s="147"/>
      <c r="C2380" s="147"/>
      <c r="D2380" s="147"/>
      <c r="E2380" s="147"/>
      <c r="F2380" s="147"/>
      <c r="G2380" s="147"/>
      <c r="H2380" s="147"/>
      <c r="I2380" s="147"/>
      <c r="J2380" s="147"/>
      <c r="K2380" s="147"/>
      <c r="L2380" s="147"/>
      <c r="M2380" s="147"/>
      <c r="N2380" s="147"/>
      <c r="O2380" s="147"/>
      <c r="P2380" s="147"/>
      <c r="Q2380" s="147"/>
      <c r="R2380" s="148"/>
      <c r="S2380" s="148"/>
      <c r="T2380" s="148"/>
      <c r="U2380" s="148"/>
      <c r="V2380" s="148"/>
      <c r="W2380" s="148"/>
      <c r="X2380" s="148"/>
      <c r="Y2380" s="148"/>
      <c r="Z2380" s="148"/>
      <c r="AA2380" s="148"/>
      <c r="AB2380" s="148"/>
      <c r="AC2380" s="148"/>
    </row>
    <row r="2381" spans="1:29" hidden="1">
      <c r="A2381" s="146"/>
      <c r="B2381" s="147"/>
      <c r="C2381" s="147"/>
      <c r="D2381" s="147"/>
      <c r="E2381" s="147"/>
      <c r="F2381" s="147"/>
      <c r="G2381" s="147"/>
      <c r="H2381" s="147"/>
      <c r="I2381" s="147"/>
      <c r="J2381" s="147"/>
      <c r="K2381" s="147"/>
      <c r="L2381" s="147"/>
      <c r="M2381" s="147"/>
      <c r="N2381" s="147"/>
      <c r="O2381" s="147"/>
      <c r="P2381" s="147"/>
      <c r="Q2381" s="147"/>
      <c r="R2381" s="148"/>
      <c r="S2381" s="148"/>
      <c r="T2381" s="148"/>
      <c r="U2381" s="148"/>
      <c r="V2381" s="148"/>
      <c r="W2381" s="148"/>
      <c r="X2381" s="148"/>
      <c r="Y2381" s="148"/>
      <c r="Z2381" s="148"/>
      <c r="AA2381" s="148"/>
      <c r="AB2381" s="148"/>
      <c r="AC2381" s="148"/>
    </row>
    <row r="2382" spans="1:29" hidden="1">
      <c r="A2382" s="146"/>
      <c r="B2382" s="147"/>
      <c r="C2382" s="147"/>
      <c r="D2382" s="147"/>
      <c r="E2382" s="147"/>
      <c r="F2382" s="147"/>
      <c r="G2382" s="147"/>
      <c r="H2382" s="147"/>
      <c r="I2382" s="147"/>
      <c r="J2382" s="147"/>
      <c r="K2382" s="147"/>
      <c r="L2382" s="147"/>
      <c r="M2382" s="147"/>
      <c r="N2382" s="147"/>
      <c r="O2382" s="147"/>
      <c r="P2382" s="147"/>
      <c r="Q2382" s="147"/>
      <c r="R2382" s="148"/>
      <c r="S2382" s="148"/>
      <c r="T2382" s="148"/>
      <c r="U2382" s="148"/>
      <c r="V2382" s="148"/>
      <c r="W2382" s="148"/>
      <c r="X2382" s="148"/>
      <c r="Y2382" s="148"/>
      <c r="Z2382" s="148"/>
      <c r="AA2382" s="148"/>
      <c r="AB2382" s="148"/>
      <c r="AC2382" s="148"/>
    </row>
    <row r="2383" spans="1:29" hidden="1">
      <c r="A2383" s="146"/>
      <c r="B2383" s="147"/>
      <c r="C2383" s="147"/>
      <c r="D2383" s="147"/>
      <c r="E2383" s="147"/>
      <c r="F2383" s="147"/>
      <c r="G2383" s="147"/>
      <c r="H2383" s="147"/>
      <c r="I2383" s="147"/>
      <c r="J2383" s="147"/>
      <c r="K2383" s="147"/>
      <c r="L2383" s="147"/>
      <c r="M2383" s="147"/>
      <c r="N2383" s="147"/>
      <c r="O2383" s="147"/>
      <c r="P2383" s="147"/>
      <c r="Q2383" s="147"/>
      <c r="R2383" s="148"/>
      <c r="S2383" s="148"/>
      <c r="T2383" s="148"/>
      <c r="U2383" s="148"/>
      <c r="V2383" s="148"/>
      <c r="W2383" s="148"/>
      <c r="X2383" s="148"/>
      <c r="Y2383" s="148"/>
      <c r="Z2383" s="148"/>
      <c r="AA2383" s="148"/>
      <c r="AB2383" s="148"/>
      <c r="AC2383" s="148"/>
    </row>
    <row r="2384" spans="1:29" hidden="1">
      <c r="A2384" s="146"/>
      <c r="B2384" s="147"/>
      <c r="C2384" s="147"/>
      <c r="D2384" s="147"/>
      <c r="E2384" s="147"/>
      <c r="F2384" s="147"/>
      <c r="G2384" s="147"/>
      <c r="H2384" s="147"/>
      <c r="I2384" s="147"/>
      <c r="J2384" s="147"/>
      <c r="K2384" s="147"/>
      <c r="L2384" s="147"/>
      <c r="M2384" s="147"/>
      <c r="N2384" s="147"/>
      <c r="O2384" s="147"/>
      <c r="P2384" s="147"/>
      <c r="Q2384" s="147"/>
      <c r="R2384" s="148"/>
      <c r="S2384" s="148"/>
      <c r="T2384" s="148"/>
      <c r="U2384" s="148"/>
      <c r="V2384" s="148"/>
      <c r="W2384" s="148"/>
      <c r="X2384" s="148"/>
      <c r="Y2384" s="148"/>
      <c r="Z2384" s="148"/>
      <c r="AA2384" s="148"/>
      <c r="AB2384" s="148"/>
      <c r="AC2384" s="148"/>
    </row>
    <row r="2385" spans="1:29" hidden="1">
      <c r="A2385" s="146"/>
      <c r="B2385" s="147"/>
      <c r="C2385" s="147"/>
      <c r="D2385" s="147"/>
      <c r="E2385" s="147"/>
      <c r="F2385" s="147"/>
      <c r="G2385" s="147"/>
      <c r="H2385" s="147"/>
      <c r="I2385" s="147"/>
      <c r="J2385" s="147"/>
      <c r="K2385" s="147"/>
      <c r="L2385" s="147"/>
      <c r="M2385" s="147"/>
      <c r="N2385" s="147"/>
      <c r="O2385" s="147"/>
      <c r="P2385" s="147"/>
      <c r="Q2385" s="147"/>
      <c r="R2385" s="148"/>
      <c r="S2385" s="148"/>
      <c r="T2385" s="148"/>
      <c r="U2385" s="148"/>
      <c r="V2385" s="148"/>
      <c r="W2385" s="148"/>
      <c r="X2385" s="148"/>
      <c r="Y2385" s="148"/>
      <c r="Z2385" s="148"/>
      <c r="AA2385" s="148"/>
      <c r="AB2385" s="148"/>
      <c r="AC2385" s="148"/>
    </row>
    <row r="2386" spans="1:29" hidden="1">
      <c r="A2386" s="146"/>
      <c r="B2386" s="147"/>
      <c r="C2386" s="147"/>
      <c r="D2386" s="147"/>
      <c r="E2386" s="147"/>
      <c r="F2386" s="147"/>
      <c r="G2386" s="147"/>
      <c r="H2386" s="147"/>
      <c r="I2386" s="147"/>
      <c r="J2386" s="147"/>
      <c r="K2386" s="147"/>
      <c r="L2386" s="147"/>
      <c r="M2386" s="147"/>
      <c r="N2386" s="147"/>
      <c r="O2386" s="147"/>
      <c r="P2386" s="147"/>
      <c r="Q2386" s="147"/>
      <c r="R2386" s="148"/>
      <c r="S2386" s="148"/>
      <c r="T2386" s="148"/>
      <c r="U2386" s="148"/>
      <c r="V2386" s="148"/>
      <c r="W2386" s="148"/>
      <c r="X2386" s="148"/>
      <c r="Y2386" s="148"/>
      <c r="Z2386" s="148"/>
      <c r="AA2386" s="148"/>
      <c r="AB2386" s="148"/>
      <c r="AC2386" s="148"/>
    </row>
    <row r="2387" spans="1:29" hidden="1">
      <c r="A2387" s="146"/>
      <c r="B2387" s="147"/>
      <c r="C2387" s="147"/>
      <c r="D2387" s="147"/>
      <c r="E2387" s="147"/>
      <c r="F2387" s="147"/>
      <c r="G2387" s="147"/>
      <c r="H2387" s="147"/>
      <c r="I2387" s="147"/>
      <c r="J2387" s="147"/>
      <c r="K2387" s="147"/>
      <c r="L2387" s="147"/>
      <c r="M2387" s="147"/>
      <c r="N2387" s="147"/>
      <c r="O2387" s="147"/>
      <c r="P2387" s="147"/>
      <c r="Q2387" s="147"/>
      <c r="R2387" s="148"/>
      <c r="S2387" s="148"/>
      <c r="T2387" s="148"/>
      <c r="U2387" s="148"/>
      <c r="V2387" s="148"/>
      <c r="W2387" s="148"/>
      <c r="X2387" s="148"/>
      <c r="Y2387" s="148"/>
      <c r="Z2387" s="148"/>
      <c r="AA2387" s="148"/>
      <c r="AB2387" s="148"/>
      <c r="AC2387" s="148"/>
    </row>
    <row r="2388" spans="1:29" hidden="1">
      <c r="A2388" s="146"/>
      <c r="B2388" s="147"/>
      <c r="C2388" s="147"/>
      <c r="D2388" s="147"/>
      <c r="E2388" s="147"/>
      <c r="F2388" s="147"/>
      <c r="G2388" s="147"/>
      <c r="H2388" s="147"/>
      <c r="I2388" s="147"/>
      <c r="J2388" s="147"/>
      <c r="K2388" s="147"/>
      <c r="L2388" s="147"/>
      <c r="M2388" s="147"/>
      <c r="N2388" s="147"/>
      <c r="O2388" s="147"/>
      <c r="P2388" s="147"/>
      <c r="Q2388" s="147"/>
      <c r="R2388" s="148"/>
      <c r="S2388" s="148"/>
      <c r="T2388" s="148"/>
      <c r="U2388" s="148"/>
      <c r="V2388" s="148"/>
      <c r="W2388" s="148"/>
      <c r="X2388" s="148"/>
      <c r="Y2388" s="148"/>
      <c r="Z2388" s="148"/>
      <c r="AA2388" s="148"/>
      <c r="AB2388" s="148"/>
      <c r="AC2388" s="148"/>
    </row>
    <row r="2389" spans="1:29" hidden="1">
      <c r="A2389" s="146"/>
      <c r="B2389" s="147"/>
      <c r="C2389" s="147"/>
      <c r="D2389" s="147"/>
      <c r="E2389" s="147"/>
      <c r="F2389" s="147"/>
      <c r="G2389" s="147"/>
      <c r="H2389" s="147"/>
      <c r="I2389" s="147"/>
      <c r="J2389" s="147"/>
      <c r="K2389" s="147"/>
      <c r="L2389" s="147"/>
      <c r="M2389" s="147"/>
      <c r="N2389" s="147"/>
      <c r="O2389" s="147"/>
      <c r="P2389" s="147"/>
      <c r="Q2389" s="147"/>
      <c r="R2389" s="148"/>
      <c r="S2389" s="148"/>
      <c r="T2389" s="148"/>
      <c r="U2389" s="148"/>
      <c r="V2389" s="148"/>
      <c r="W2389" s="148"/>
      <c r="X2389" s="148"/>
      <c r="Y2389" s="148"/>
      <c r="Z2389" s="148"/>
      <c r="AA2389" s="148"/>
      <c r="AB2389" s="148"/>
      <c r="AC2389" s="148"/>
    </row>
    <row r="2390" spans="1:29" hidden="1">
      <c r="A2390" s="146"/>
      <c r="B2390" s="147"/>
      <c r="C2390" s="147"/>
      <c r="D2390" s="147"/>
      <c r="E2390" s="147"/>
      <c r="F2390" s="147"/>
      <c r="G2390" s="147"/>
      <c r="H2390" s="147"/>
      <c r="I2390" s="147"/>
      <c r="J2390" s="147"/>
      <c r="K2390" s="147"/>
      <c r="L2390" s="147"/>
      <c r="M2390" s="147"/>
      <c r="N2390" s="147"/>
      <c r="O2390" s="147"/>
      <c r="P2390" s="147"/>
      <c r="Q2390" s="147"/>
      <c r="R2390" s="148"/>
      <c r="S2390" s="148"/>
      <c r="T2390" s="148"/>
      <c r="U2390" s="148"/>
      <c r="V2390" s="148"/>
      <c r="W2390" s="148"/>
      <c r="X2390" s="148"/>
      <c r="Y2390" s="148"/>
      <c r="Z2390" s="148"/>
      <c r="AA2390" s="148"/>
      <c r="AB2390" s="148"/>
      <c r="AC2390" s="148"/>
    </row>
    <row r="2391" spans="1:29" hidden="1">
      <c r="A2391" s="146"/>
      <c r="B2391" s="147"/>
      <c r="C2391" s="147"/>
      <c r="D2391" s="147"/>
      <c r="E2391" s="147"/>
      <c r="F2391" s="147"/>
      <c r="G2391" s="147"/>
      <c r="H2391" s="147"/>
      <c r="I2391" s="147"/>
      <c r="J2391" s="147"/>
      <c r="K2391" s="147"/>
      <c r="L2391" s="147"/>
      <c r="M2391" s="147"/>
      <c r="N2391" s="147"/>
      <c r="O2391" s="147"/>
      <c r="P2391" s="147"/>
      <c r="Q2391" s="147"/>
      <c r="R2391" s="148"/>
      <c r="S2391" s="148"/>
      <c r="T2391" s="148"/>
      <c r="U2391" s="148"/>
      <c r="V2391" s="148"/>
      <c r="W2391" s="148"/>
      <c r="X2391" s="148"/>
      <c r="Y2391" s="148"/>
      <c r="Z2391" s="148"/>
      <c r="AA2391" s="148"/>
      <c r="AB2391" s="148"/>
      <c r="AC2391" s="148"/>
    </row>
    <row r="2392" spans="1:29" hidden="1">
      <c r="A2392" s="146"/>
      <c r="B2392" s="147"/>
      <c r="C2392" s="147"/>
      <c r="D2392" s="147"/>
      <c r="E2392" s="147"/>
      <c r="F2392" s="147"/>
      <c r="G2392" s="147"/>
      <c r="H2392" s="147"/>
      <c r="I2392" s="147"/>
      <c r="J2392" s="147"/>
      <c r="K2392" s="147"/>
      <c r="L2392" s="147"/>
      <c r="M2392" s="147"/>
      <c r="N2392" s="147"/>
      <c r="O2392" s="147"/>
      <c r="P2392" s="147"/>
      <c r="Q2392" s="147"/>
      <c r="R2392" s="148"/>
      <c r="S2392" s="148"/>
      <c r="T2392" s="148"/>
      <c r="U2392" s="148"/>
      <c r="V2392" s="148"/>
      <c r="W2392" s="148"/>
      <c r="X2392" s="148"/>
      <c r="Y2392" s="148"/>
      <c r="Z2392" s="148"/>
      <c r="AA2392" s="148"/>
      <c r="AB2392" s="148"/>
      <c r="AC2392" s="148"/>
    </row>
    <row r="2393" spans="1:29" hidden="1">
      <c r="A2393" s="146"/>
      <c r="B2393" s="147"/>
      <c r="C2393" s="147"/>
      <c r="D2393" s="147"/>
      <c r="E2393" s="147"/>
      <c r="F2393" s="147"/>
      <c r="G2393" s="147"/>
      <c r="H2393" s="147"/>
      <c r="I2393" s="147"/>
      <c r="J2393" s="147"/>
      <c r="K2393" s="147"/>
      <c r="L2393" s="147"/>
      <c r="M2393" s="147"/>
      <c r="N2393" s="147"/>
      <c r="O2393" s="147"/>
      <c r="P2393" s="147"/>
      <c r="Q2393" s="147"/>
      <c r="R2393" s="148"/>
      <c r="S2393" s="148"/>
      <c r="T2393" s="148"/>
      <c r="U2393" s="148"/>
      <c r="V2393" s="148"/>
      <c r="W2393" s="148"/>
      <c r="X2393" s="148"/>
      <c r="Y2393" s="148"/>
      <c r="Z2393" s="148"/>
      <c r="AA2393" s="148"/>
      <c r="AB2393" s="148"/>
      <c r="AC2393" s="148"/>
    </row>
    <row r="2394" spans="1:29" hidden="1">
      <c r="A2394" s="146"/>
      <c r="B2394" s="147"/>
      <c r="C2394" s="147"/>
      <c r="D2394" s="147"/>
      <c r="E2394" s="147"/>
      <c r="F2394" s="147"/>
      <c r="G2394" s="147"/>
      <c r="H2394" s="147"/>
      <c r="I2394" s="147"/>
      <c r="J2394" s="147"/>
      <c r="K2394" s="147"/>
      <c r="L2394" s="147"/>
      <c r="M2394" s="147"/>
      <c r="N2394" s="147"/>
      <c r="O2394" s="147"/>
      <c r="P2394" s="147"/>
      <c r="Q2394" s="147"/>
      <c r="R2394" s="148"/>
      <c r="S2394" s="148"/>
      <c r="T2394" s="148"/>
      <c r="U2394" s="148"/>
      <c r="V2394" s="148"/>
      <c r="W2394" s="148"/>
      <c r="X2394" s="148"/>
      <c r="Y2394" s="148"/>
      <c r="Z2394" s="148"/>
      <c r="AA2394" s="148"/>
      <c r="AB2394" s="148"/>
      <c r="AC2394" s="148"/>
    </row>
    <row r="2395" spans="1:29" hidden="1">
      <c r="A2395" s="146"/>
      <c r="B2395" s="147"/>
      <c r="C2395" s="147"/>
      <c r="D2395" s="147"/>
      <c r="E2395" s="147"/>
      <c r="F2395" s="147"/>
      <c r="G2395" s="147"/>
      <c r="H2395" s="147"/>
      <c r="I2395" s="147"/>
      <c r="J2395" s="147"/>
      <c r="K2395" s="147"/>
      <c r="L2395" s="147"/>
      <c r="M2395" s="147"/>
      <c r="N2395" s="147"/>
      <c r="O2395" s="147"/>
      <c r="P2395" s="147"/>
      <c r="Q2395" s="147"/>
      <c r="R2395" s="148"/>
      <c r="S2395" s="148"/>
      <c r="T2395" s="148"/>
      <c r="U2395" s="148"/>
      <c r="V2395" s="148"/>
      <c r="W2395" s="148"/>
      <c r="X2395" s="148"/>
      <c r="Y2395" s="148"/>
      <c r="Z2395" s="148"/>
      <c r="AA2395" s="148"/>
      <c r="AB2395" s="148"/>
      <c r="AC2395" s="148"/>
    </row>
    <row r="2396" spans="1:29" hidden="1">
      <c r="A2396" s="146"/>
      <c r="B2396" s="147"/>
      <c r="C2396" s="147"/>
      <c r="D2396" s="147"/>
      <c r="E2396" s="147"/>
      <c r="F2396" s="147"/>
      <c r="G2396" s="147"/>
      <c r="H2396" s="147"/>
      <c r="I2396" s="147"/>
      <c r="J2396" s="147"/>
      <c r="K2396" s="147"/>
      <c r="L2396" s="147"/>
      <c r="M2396" s="147"/>
      <c r="N2396" s="147"/>
      <c r="O2396" s="147"/>
      <c r="P2396" s="147"/>
      <c r="Q2396" s="147"/>
      <c r="R2396" s="148"/>
      <c r="S2396" s="148"/>
      <c r="T2396" s="148"/>
      <c r="U2396" s="148"/>
      <c r="V2396" s="148"/>
      <c r="W2396" s="148"/>
      <c r="X2396" s="148"/>
      <c r="Y2396" s="148"/>
      <c r="Z2396" s="148"/>
      <c r="AA2396" s="148"/>
      <c r="AB2396" s="148"/>
      <c r="AC2396" s="148"/>
    </row>
    <row r="2397" spans="1:29" hidden="1">
      <c r="A2397" s="146"/>
      <c r="B2397" s="147"/>
      <c r="C2397" s="147"/>
      <c r="D2397" s="147"/>
      <c r="E2397" s="147"/>
      <c r="F2397" s="147"/>
      <c r="G2397" s="147"/>
      <c r="H2397" s="147"/>
      <c r="I2397" s="147"/>
      <c r="J2397" s="147"/>
      <c r="K2397" s="147"/>
      <c r="L2397" s="147"/>
      <c r="M2397" s="147"/>
      <c r="N2397" s="147"/>
      <c r="O2397" s="147"/>
      <c r="P2397" s="147"/>
      <c r="Q2397" s="147"/>
      <c r="R2397" s="148"/>
      <c r="S2397" s="148"/>
      <c r="T2397" s="148"/>
      <c r="U2397" s="148"/>
      <c r="V2397" s="148"/>
      <c r="W2397" s="148"/>
      <c r="X2397" s="148"/>
      <c r="Y2397" s="148"/>
      <c r="Z2397" s="148"/>
      <c r="AA2397" s="148"/>
      <c r="AB2397" s="148"/>
      <c r="AC2397" s="148"/>
    </row>
    <row r="2398" spans="1:29" hidden="1">
      <c r="A2398" s="146"/>
      <c r="B2398" s="147"/>
      <c r="C2398" s="147"/>
      <c r="D2398" s="147"/>
      <c r="E2398" s="147"/>
      <c r="F2398" s="147"/>
      <c r="G2398" s="147"/>
      <c r="H2398" s="147"/>
      <c r="I2398" s="147"/>
      <c r="J2398" s="147"/>
      <c r="K2398" s="147"/>
      <c r="L2398" s="147"/>
      <c r="M2398" s="147"/>
      <c r="N2398" s="147"/>
      <c r="O2398" s="147"/>
      <c r="P2398" s="147"/>
      <c r="Q2398" s="147"/>
      <c r="R2398" s="148"/>
      <c r="S2398" s="148"/>
      <c r="T2398" s="148"/>
      <c r="U2398" s="148"/>
      <c r="V2398" s="148"/>
      <c r="W2398" s="148"/>
      <c r="X2398" s="148"/>
      <c r="Y2398" s="148"/>
      <c r="Z2398" s="148"/>
      <c r="AA2398" s="148"/>
      <c r="AB2398" s="148"/>
      <c r="AC2398" s="148"/>
    </row>
    <row r="2399" spans="1:29" hidden="1">
      <c r="A2399" s="146"/>
      <c r="B2399" s="147"/>
      <c r="C2399" s="147"/>
      <c r="D2399" s="147"/>
      <c r="E2399" s="147"/>
      <c r="F2399" s="147"/>
      <c r="G2399" s="147"/>
      <c r="H2399" s="147"/>
      <c r="I2399" s="147"/>
      <c r="J2399" s="147"/>
      <c r="K2399" s="147"/>
      <c r="L2399" s="147"/>
      <c r="M2399" s="147"/>
      <c r="N2399" s="147"/>
      <c r="O2399" s="147"/>
      <c r="P2399" s="147"/>
      <c r="Q2399" s="147"/>
      <c r="R2399" s="148"/>
      <c r="S2399" s="148"/>
      <c r="T2399" s="148"/>
      <c r="U2399" s="148"/>
      <c r="V2399" s="148"/>
      <c r="W2399" s="148"/>
      <c r="X2399" s="148"/>
      <c r="Y2399" s="148"/>
      <c r="Z2399" s="148"/>
      <c r="AA2399" s="148"/>
      <c r="AB2399" s="148"/>
      <c r="AC2399" s="148"/>
    </row>
    <row r="2400" spans="1:29" hidden="1">
      <c r="A2400" s="146"/>
      <c r="B2400" s="147"/>
      <c r="C2400" s="147"/>
      <c r="D2400" s="147"/>
      <c r="E2400" s="147"/>
      <c r="F2400" s="147"/>
      <c r="G2400" s="147"/>
      <c r="H2400" s="147"/>
      <c r="I2400" s="147"/>
      <c r="J2400" s="147"/>
      <c r="K2400" s="147"/>
      <c r="L2400" s="147"/>
      <c r="M2400" s="147"/>
      <c r="N2400" s="147"/>
      <c r="O2400" s="147"/>
      <c r="P2400" s="147"/>
      <c r="Q2400" s="147"/>
      <c r="R2400" s="148"/>
      <c r="S2400" s="148"/>
      <c r="T2400" s="148"/>
      <c r="U2400" s="148"/>
      <c r="V2400" s="148"/>
      <c r="W2400" s="148"/>
      <c r="X2400" s="148"/>
      <c r="Y2400" s="148"/>
      <c r="Z2400" s="148"/>
      <c r="AA2400" s="148"/>
      <c r="AB2400" s="148"/>
      <c r="AC2400" s="148"/>
    </row>
    <row r="2401" spans="1:29" hidden="1">
      <c r="A2401" s="146"/>
      <c r="B2401" s="147"/>
      <c r="C2401" s="147"/>
      <c r="D2401" s="147"/>
      <c r="E2401" s="147"/>
      <c r="F2401" s="147"/>
      <c r="G2401" s="147"/>
      <c r="H2401" s="147"/>
      <c r="I2401" s="147"/>
      <c r="J2401" s="147"/>
      <c r="K2401" s="147"/>
      <c r="L2401" s="147"/>
      <c r="M2401" s="147"/>
      <c r="N2401" s="147"/>
      <c r="O2401" s="147"/>
      <c r="P2401" s="147"/>
      <c r="Q2401" s="147"/>
      <c r="R2401" s="148"/>
      <c r="S2401" s="148"/>
      <c r="T2401" s="148"/>
      <c r="U2401" s="148"/>
      <c r="V2401" s="148"/>
      <c r="W2401" s="148"/>
      <c r="X2401" s="148"/>
      <c r="Y2401" s="148"/>
      <c r="Z2401" s="148"/>
      <c r="AA2401" s="148"/>
      <c r="AB2401" s="148"/>
      <c r="AC2401" s="148"/>
    </row>
    <row r="2402" spans="1:29" hidden="1">
      <c r="A2402" s="146"/>
      <c r="B2402" s="147"/>
      <c r="C2402" s="147"/>
      <c r="D2402" s="147"/>
      <c r="E2402" s="147"/>
      <c r="F2402" s="147"/>
      <c r="G2402" s="147"/>
      <c r="H2402" s="147"/>
      <c r="I2402" s="147"/>
      <c r="J2402" s="147"/>
      <c r="K2402" s="147"/>
      <c r="L2402" s="147"/>
      <c r="M2402" s="147"/>
      <c r="N2402" s="147"/>
      <c r="O2402" s="147"/>
      <c r="P2402" s="147"/>
      <c r="Q2402" s="147"/>
      <c r="R2402" s="148"/>
      <c r="S2402" s="148"/>
      <c r="T2402" s="148"/>
      <c r="U2402" s="148"/>
      <c r="V2402" s="148"/>
      <c r="W2402" s="148"/>
      <c r="X2402" s="148"/>
      <c r="Y2402" s="148"/>
      <c r="Z2402" s="148"/>
      <c r="AA2402" s="148"/>
      <c r="AB2402" s="148"/>
      <c r="AC2402" s="148"/>
    </row>
    <row r="2403" spans="1:29" hidden="1">
      <c r="A2403" s="146"/>
      <c r="B2403" s="147"/>
      <c r="C2403" s="147"/>
      <c r="D2403" s="147"/>
      <c r="E2403" s="147"/>
      <c r="F2403" s="147"/>
      <c r="G2403" s="147"/>
      <c r="H2403" s="147"/>
      <c r="I2403" s="147"/>
      <c r="J2403" s="147"/>
      <c r="K2403" s="147"/>
      <c r="L2403" s="147"/>
      <c r="M2403" s="147"/>
      <c r="N2403" s="147"/>
      <c r="O2403" s="147"/>
      <c r="P2403" s="147"/>
      <c r="Q2403" s="147"/>
      <c r="R2403" s="148"/>
      <c r="S2403" s="148"/>
      <c r="T2403" s="148"/>
      <c r="U2403" s="148"/>
      <c r="V2403" s="148"/>
      <c r="W2403" s="148"/>
      <c r="X2403" s="148"/>
      <c r="Y2403" s="148"/>
      <c r="Z2403" s="148"/>
      <c r="AA2403" s="148"/>
      <c r="AB2403" s="148"/>
      <c r="AC2403" s="148"/>
    </row>
    <row r="2404" spans="1:29" hidden="1">
      <c r="A2404" s="146"/>
      <c r="B2404" s="147"/>
      <c r="C2404" s="147"/>
      <c r="D2404" s="147"/>
      <c r="E2404" s="147"/>
      <c r="F2404" s="147"/>
      <c r="G2404" s="147"/>
      <c r="H2404" s="147"/>
      <c r="I2404" s="147"/>
      <c r="J2404" s="147"/>
      <c r="K2404" s="147"/>
      <c r="L2404" s="147"/>
      <c r="M2404" s="147"/>
      <c r="N2404" s="147"/>
      <c r="O2404" s="147"/>
      <c r="P2404" s="147"/>
      <c r="Q2404" s="147"/>
      <c r="R2404" s="148"/>
      <c r="S2404" s="148"/>
      <c r="T2404" s="148"/>
      <c r="U2404" s="148"/>
      <c r="V2404" s="148"/>
      <c r="W2404" s="148"/>
      <c r="X2404" s="148"/>
      <c r="Y2404" s="148"/>
      <c r="Z2404" s="148"/>
      <c r="AA2404" s="148"/>
      <c r="AB2404" s="148"/>
      <c r="AC2404" s="148"/>
    </row>
    <row r="2405" spans="1:29" hidden="1">
      <c r="A2405" s="146"/>
      <c r="B2405" s="147"/>
      <c r="C2405" s="147"/>
      <c r="D2405" s="147"/>
      <c r="E2405" s="147"/>
      <c r="F2405" s="147"/>
      <c r="G2405" s="147"/>
      <c r="H2405" s="147"/>
      <c r="I2405" s="147"/>
      <c r="J2405" s="147"/>
      <c r="K2405" s="147"/>
      <c r="L2405" s="147"/>
      <c r="M2405" s="147"/>
      <c r="N2405" s="147"/>
      <c r="O2405" s="147"/>
      <c r="P2405" s="147"/>
      <c r="Q2405" s="147"/>
      <c r="R2405" s="148"/>
      <c r="S2405" s="148"/>
      <c r="T2405" s="148"/>
      <c r="U2405" s="148"/>
      <c r="V2405" s="148"/>
      <c r="W2405" s="148"/>
      <c r="X2405" s="148"/>
      <c r="Y2405" s="148"/>
      <c r="Z2405" s="148"/>
      <c r="AA2405" s="148"/>
      <c r="AB2405" s="148"/>
      <c r="AC2405" s="148"/>
    </row>
    <row r="2406" spans="1:29" hidden="1">
      <c r="A2406" s="146"/>
      <c r="B2406" s="147"/>
      <c r="C2406" s="147"/>
      <c r="D2406" s="147"/>
      <c r="E2406" s="147"/>
      <c r="F2406" s="147"/>
      <c r="G2406" s="147"/>
      <c r="H2406" s="147"/>
      <c r="I2406" s="147"/>
      <c r="J2406" s="147"/>
      <c r="K2406" s="147"/>
      <c r="L2406" s="147"/>
      <c r="M2406" s="147"/>
      <c r="N2406" s="147"/>
      <c r="O2406" s="147"/>
      <c r="P2406" s="147"/>
      <c r="Q2406" s="147"/>
      <c r="R2406" s="148"/>
      <c r="S2406" s="148"/>
      <c r="T2406" s="148"/>
      <c r="U2406" s="148"/>
      <c r="V2406" s="148"/>
      <c r="W2406" s="148"/>
      <c r="X2406" s="148"/>
      <c r="Y2406" s="148"/>
      <c r="Z2406" s="148"/>
      <c r="AA2406" s="148"/>
      <c r="AB2406" s="148"/>
      <c r="AC2406" s="148"/>
    </row>
    <row r="2407" spans="1:29" hidden="1">
      <c r="A2407" s="146"/>
      <c r="B2407" s="147"/>
      <c r="C2407" s="147"/>
      <c r="D2407" s="147"/>
      <c r="E2407" s="147"/>
      <c r="F2407" s="147"/>
      <c r="G2407" s="147"/>
      <c r="H2407" s="147"/>
      <c r="I2407" s="147"/>
      <c r="J2407" s="147"/>
      <c r="K2407" s="147"/>
      <c r="L2407" s="147"/>
      <c r="M2407" s="147"/>
      <c r="N2407" s="147"/>
      <c r="O2407" s="147"/>
      <c r="P2407" s="147"/>
      <c r="Q2407" s="147"/>
      <c r="R2407" s="148"/>
      <c r="S2407" s="148"/>
      <c r="T2407" s="148"/>
      <c r="U2407" s="148"/>
      <c r="V2407" s="148"/>
      <c r="W2407" s="148"/>
      <c r="X2407" s="148"/>
      <c r="Y2407" s="148"/>
      <c r="Z2407" s="148"/>
      <c r="AA2407" s="148"/>
      <c r="AB2407" s="148"/>
      <c r="AC2407" s="148"/>
    </row>
    <row r="2408" spans="1:29" hidden="1">
      <c r="A2408" s="146"/>
      <c r="B2408" s="147"/>
      <c r="C2408" s="147"/>
      <c r="D2408" s="147"/>
      <c r="E2408" s="147"/>
      <c r="F2408" s="147"/>
      <c r="G2408" s="147"/>
      <c r="H2408" s="147"/>
      <c r="I2408" s="147"/>
      <c r="J2408" s="147"/>
      <c r="K2408" s="147"/>
      <c r="L2408" s="147"/>
      <c r="M2408" s="147"/>
      <c r="N2408" s="147"/>
      <c r="O2408" s="147"/>
      <c r="P2408" s="147"/>
      <c r="Q2408" s="147"/>
      <c r="R2408" s="148"/>
      <c r="S2408" s="148"/>
      <c r="T2408" s="148"/>
      <c r="U2408" s="148"/>
      <c r="V2408" s="148"/>
      <c r="W2408" s="148"/>
      <c r="X2408" s="148"/>
      <c r="Y2408" s="148"/>
      <c r="Z2408" s="148"/>
      <c r="AA2408" s="148"/>
      <c r="AB2408" s="148"/>
      <c r="AC2408" s="148"/>
    </row>
    <row r="2409" spans="1:29" hidden="1">
      <c r="A2409" s="146"/>
      <c r="B2409" s="147"/>
      <c r="C2409" s="147"/>
      <c r="D2409" s="147"/>
      <c r="E2409" s="147"/>
      <c r="F2409" s="147"/>
      <c r="G2409" s="147"/>
      <c r="H2409" s="147"/>
      <c r="I2409" s="147"/>
      <c r="J2409" s="147"/>
      <c r="K2409" s="147"/>
      <c r="L2409" s="147"/>
      <c r="M2409" s="147"/>
      <c r="N2409" s="147"/>
      <c r="O2409" s="147"/>
      <c r="P2409" s="147"/>
      <c r="Q2409" s="147"/>
      <c r="R2409" s="148"/>
      <c r="S2409" s="148"/>
      <c r="T2409" s="148"/>
      <c r="U2409" s="148"/>
      <c r="V2409" s="148"/>
      <c r="W2409" s="148"/>
      <c r="X2409" s="148"/>
      <c r="Y2409" s="148"/>
      <c r="Z2409" s="148"/>
      <c r="AA2409" s="148"/>
      <c r="AB2409" s="148"/>
      <c r="AC2409" s="148"/>
    </row>
    <row r="2410" spans="1:29" hidden="1">
      <c r="A2410" s="146"/>
      <c r="B2410" s="147"/>
      <c r="C2410" s="147"/>
      <c r="D2410" s="147"/>
      <c r="E2410" s="147"/>
      <c r="F2410" s="147"/>
      <c r="G2410" s="147"/>
      <c r="H2410" s="147"/>
      <c r="I2410" s="147"/>
      <c r="J2410" s="147"/>
      <c r="K2410" s="147"/>
      <c r="L2410" s="147"/>
      <c r="M2410" s="147"/>
      <c r="N2410" s="147"/>
      <c r="O2410" s="147"/>
      <c r="P2410" s="147"/>
      <c r="Q2410" s="147"/>
      <c r="R2410" s="148"/>
      <c r="S2410" s="148"/>
      <c r="T2410" s="148"/>
      <c r="U2410" s="148"/>
      <c r="V2410" s="148"/>
      <c r="W2410" s="148"/>
      <c r="X2410" s="148"/>
      <c r="Y2410" s="148"/>
      <c r="Z2410" s="148"/>
      <c r="AA2410" s="148"/>
      <c r="AB2410" s="148"/>
      <c r="AC2410" s="148"/>
    </row>
    <row r="2411" spans="1:29" hidden="1">
      <c r="A2411" s="146"/>
      <c r="B2411" s="147"/>
      <c r="C2411" s="147"/>
      <c r="D2411" s="147"/>
      <c r="E2411" s="147"/>
      <c r="F2411" s="147"/>
      <c r="G2411" s="147"/>
      <c r="H2411" s="147"/>
      <c r="I2411" s="147"/>
      <c r="J2411" s="147"/>
      <c r="K2411" s="147"/>
      <c r="L2411" s="147"/>
      <c r="M2411" s="147"/>
      <c r="N2411" s="147"/>
      <c r="O2411" s="147"/>
      <c r="P2411" s="147"/>
      <c r="Q2411" s="147"/>
      <c r="R2411" s="148"/>
      <c r="S2411" s="148"/>
      <c r="T2411" s="148"/>
      <c r="U2411" s="148"/>
      <c r="V2411" s="148"/>
      <c r="W2411" s="148"/>
      <c r="X2411" s="148"/>
      <c r="Y2411" s="148"/>
      <c r="Z2411" s="148"/>
      <c r="AA2411" s="148"/>
      <c r="AB2411" s="148"/>
      <c r="AC2411" s="148"/>
    </row>
    <row r="2412" spans="1:29" hidden="1">
      <c r="A2412" s="146"/>
      <c r="B2412" s="147"/>
      <c r="C2412" s="147"/>
      <c r="D2412" s="147"/>
      <c r="E2412" s="147"/>
      <c r="F2412" s="147"/>
      <c r="G2412" s="147"/>
      <c r="H2412" s="147"/>
      <c r="I2412" s="147"/>
      <c r="J2412" s="147"/>
      <c r="K2412" s="147"/>
      <c r="L2412" s="147"/>
      <c r="M2412" s="147"/>
      <c r="N2412" s="147"/>
      <c r="O2412" s="147"/>
      <c r="P2412" s="147"/>
      <c r="Q2412" s="147"/>
      <c r="R2412" s="148"/>
      <c r="S2412" s="148"/>
      <c r="T2412" s="148"/>
      <c r="U2412" s="148"/>
      <c r="V2412" s="148"/>
      <c r="W2412" s="148"/>
      <c r="X2412" s="148"/>
      <c r="Y2412" s="148"/>
      <c r="Z2412" s="148"/>
      <c r="AA2412" s="148"/>
      <c r="AB2412" s="148"/>
      <c r="AC2412" s="148"/>
    </row>
    <row r="2413" spans="1:29" hidden="1">
      <c r="A2413" s="146"/>
      <c r="B2413" s="147"/>
      <c r="C2413" s="147"/>
      <c r="D2413" s="147"/>
      <c r="E2413" s="147"/>
      <c r="F2413" s="147"/>
      <c r="G2413" s="147"/>
      <c r="H2413" s="147"/>
      <c r="I2413" s="147"/>
      <c r="J2413" s="147"/>
      <c r="K2413" s="147"/>
      <c r="L2413" s="147"/>
      <c r="M2413" s="147"/>
      <c r="N2413" s="147"/>
      <c r="O2413" s="147"/>
      <c r="P2413" s="147"/>
      <c r="Q2413" s="147"/>
      <c r="R2413" s="148"/>
      <c r="S2413" s="148"/>
      <c r="T2413" s="148"/>
      <c r="U2413" s="148"/>
      <c r="V2413" s="148"/>
      <c r="W2413" s="148"/>
      <c r="X2413" s="148"/>
      <c r="Y2413" s="148"/>
      <c r="Z2413" s="148"/>
      <c r="AA2413" s="148"/>
      <c r="AB2413" s="148"/>
      <c r="AC2413" s="148"/>
    </row>
    <row r="2414" spans="1:29" hidden="1">
      <c r="A2414" s="146"/>
      <c r="B2414" s="147"/>
      <c r="C2414" s="147"/>
      <c r="D2414" s="147"/>
      <c r="E2414" s="147"/>
      <c r="F2414" s="147"/>
      <c r="G2414" s="147"/>
      <c r="H2414" s="147"/>
      <c r="I2414" s="147"/>
      <c r="J2414" s="147"/>
      <c r="K2414" s="147"/>
      <c r="L2414" s="147"/>
      <c r="M2414" s="147"/>
      <c r="N2414" s="147"/>
      <c r="O2414" s="147"/>
      <c r="P2414" s="147"/>
      <c r="Q2414" s="147"/>
      <c r="R2414" s="148"/>
      <c r="S2414" s="148"/>
      <c r="T2414" s="148"/>
      <c r="U2414" s="148"/>
      <c r="V2414" s="148"/>
      <c r="W2414" s="148"/>
      <c r="X2414" s="148"/>
      <c r="Y2414" s="148"/>
      <c r="Z2414" s="148"/>
      <c r="AA2414" s="148"/>
      <c r="AB2414" s="148"/>
      <c r="AC2414" s="148"/>
    </row>
    <row r="2415" spans="1:29" hidden="1">
      <c r="A2415" s="146"/>
      <c r="B2415" s="147"/>
      <c r="C2415" s="147"/>
      <c r="D2415" s="147"/>
      <c r="E2415" s="147"/>
      <c r="F2415" s="147"/>
      <c r="G2415" s="147"/>
      <c r="H2415" s="147"/>
      <c r="I2415" s="147"/>
      <c r="J2415" s="147"/>
      <c r="K2415" s="147"/>
      <c r="L2415" s="147"/>
      <c r="M2415" s="147"/>
      <c r="N2415" s="147"/>
      <c r="O2415" s="147"/>
      <c r="P2415" s="147"/>
      <c r="Q2415" s="147"/>
      <c r="R2415" s="148"/>
      <c r="S2415" s="148"/>
      <c r="T2415" s="148"/>
      <c r="U2415" s="148"/>
      <c r="V2415" s="148"/>
      <c r="W2415" s="148"/>
      <c r="X2415" s="148"/>
      <c r="Y2415" s="148"/>
      <c r="Z2415" s="148"/>
      <c r="AA2415" s="148"/>
      <c r="AB2415" s="148"/>
      <c r="AC2415" s="148"/>
    </row>
    <row r="2416" spans="1:29" hidden="1">
      <c r="A2416" s="146"/>
      <c r="B2416" s="147"/>
      <c r="C2416" s="147"/>
      <c r="D2416" s="147"/>
      <c r="E2416" s="147"/>
      <c r="F2416" s="147"/>
      <c r="G2416" s="147"/>
      <c r="H2416" s="147"/>
      <c r="I2416" s="147"/>
      <c r="J2416" s="147"/>
      <c r="K2416" s="147"/>
      <c r="L2416" s="147"/>
      <c r="M2416" s="147"/>
      <c r="N2416" s="147"/>
      <c r="O2416" s="147"/>
      <c r="P2416" s="147"/>
      <c r="Q2416" s="147"/>
      <c r="R2416" s="148"/>
      <c r="S2416" s="148"/>
      <c r="T2416" s="148"/>
      <c r="U2416" s="148"/>
      <c r="V2416" s="148"/>
      <c r="W2416" s="148"/>
      <c r="X2416" s="148"/>
      <c r="Y2416" s="148"/>
      <c r="Z2416" s="148"/>
      <c r="AA2416" s="148"/>
      <c r="AB2416" s="148"/>
      <c r="AC2416" s="148"/>
    </row>
    <row r="2417" spans="1:29" hidden="1">
      <c r="A2417" s="146"/>
      <c r="B2417" s="147"/>
      <c r="C2417" s="147"/>
      <c r="D2417" s="147"/>
      <c r="E2417" s="147"/>
      <c r="F2417" s="147"/>
      <c r="G2417" s="147"/>
      <c r="H2417" s="147"/>
      <c r="I2417" s="147"/>
      <c r="J2417" s="147"/>
      <c r="K2417" s="147"/>
      <c r="L2417" s="147"/>
      <c r="M2417" s="147"/>
      <c r="N2417" s="147"/>
      <c r="O2417" s="147"/>
      <c r="P2417" s="147"/>
      <c r="Q2417" s="147"/>
      <c r="R2417" s="148"/>
      <c r="S2417" s="148"/>
      <c r="T2417" s="148"/>
      <c r="U2417" s="148"/>
      <c r="V2417" s="148"/>
      <c r="W2417" s="148"/>
      <c r="X2417" s="148"/>
      <c r="Y2417" s="148"/>
      <c r="Z2417" s="148"/>
      <c r="AA2417" s="148"/>
      <c r="AB2417" s="148"/>
      <c r="AC2417" s="148"/>
    </row>
    <row r="2418" spans="1:29" hidden="1">
      <c r="A2418" s="146"/>
      <c r="B2418" s="147"/>
      <c r="C2418" s="147"/>
      <c r="D2418" s="147"/>
      <c r="E2418" s="147"/>
      <c r="F2418" s="147"/>
      <c r="G2418" s="147"/>
      <c r="H2418" s="147"/>
      <c r="I2418" s="147"/>
      <c r="J2418" s="147"/>
      <c r="K2418" s="147"/>
      <c r="L2418" s="147"/>
      <c r="M2418" s="147"/>
      <c r="N2418" s="147"/>
      <c r="O2418" s="147"/>
      <c r="P2418" s="147"/>
      <c r="Q2418" s="147"/>
      <c r="R2418" s="148"/>
      <c r="S2418" s="148"/>
      <c r="T2418" s="148"/>
      <c r="U2418" s="148"/>
      <c r="V2418" s="148"/>
      <c r="W2418" s="148"/>
      <c r="X2418" s="148"/>
      <c r="Y2418" s="148"/>
      <c r="Z2418" s="148"/>
      <c r="AA2418" s="148"/>
      <c r="AB2418" s="148"/>
      <c r="AC2418" s="148"/>
    </row>
    <row r="2419" spans="1:29" hidden="1">
      <c r="A2419" s="146"/>
      <c r="B2419" s="147"/>
      <c r="C2419" s="147"/>
      <c r="D2419" s="147"/>
      <c r="E2419" s="147"/>
      <c r="F2419" s="147"/>
      <c r="G2419" s="147"/>
      <c r="H2419" s="147"/>
      <c r="I2419" s="147"/>
      <c r="J2419" s="147"/>
      <c r="K2419" s="147"/>
      <c r="L2419" s="147"/>
      <c r="M2419" s="147"/>
      <c r="N2419" s="147"/>
      <c r="O2419" s="147"/>
      <c r="P2419" s="147"/>
      <c r="Q2419" s="147"/>
      <c r="R2419" s="148"/>
      <c r="S2419" s="148"/>
      <c r="T2419" s="148"/>
      <c r="U2419" s="148"/>
      <c r="V2419" s="148"/>
      <c r="W2419" s="148"/>
      <c r="X2419" s="148"/>
      <c r="Y2419" s="148"/>
      <c r="Z2419" s="148"/>
      <c r="AA2419" s="148"/>
      <c r="AB2419" s="148"/>
      <c r="AC2419" s="148"/>
    </row>
    <row r="2420" spans="1:29" hidden="1">
      <c r="A2420" s="146"/>
      <c r="B2420" s="147"/>
      <c r="C2420" s="147"/>
      <c r="D2420" s="147"/>
      <c r="E2420" s="147"/>
      <c r="F2420" s="147"/>
      <c r="G2420" s="147"/>
      <c r="H2420" s="147"/>
      <c r="I2420" s="147"/>
      <c r="J2420" s="147"/>
      <c r="K2420" s="147"/>
      <c r="L2420" s="147"/>
      <c r="M2420" s="147"/>
      <c r="N2420" s="147"/>
      <c r="O2420" s="147"/>
      <c r="P2420" s="147"/>
      <c r="Q2420" s="147"/>
      <c r="R2420" s="148"/>
      <c r="S2420" s="148"/>
      <c r="T2420" s="148"/>
      <c r="U2420" s="148"/>
      <c r="V2420" s="148"/>
      <c r="W2420" s="148"/>
      <c r="X2420" s="148"/>
      <c r="Y2420" s="148"/>
      <c r="Z2420" s="148"/>
      <c r="AA2420" s="148"/>
      <c r="AB2420" s="148"/>
      <c r="AC2420" s="148"/>
    </row>
    <row r="2421" spans="1:29" hidden="1">
      <c r="A2421" s="146"/>
      <c r="B2421" s="147"/>
      <c r="C2421" s="147"/>
      <c r="D2421" s="147"/>
      <c r="E2421" s="147"/>
      <c r="F2421" s="147"/>
      <c r="G2421" s="147"/>
      <c r="H2421" s="147"/>
      <c r="I2421" s="147"/>
      <c r="J2421" s="147"/>
      <c r="K2421" s="147"/>
      <c r="L2421" s="147"/>
      <c r="M2421" s="147"/>
      <c r="N2421" s="147"/>
      <c r="O2421" s="147"/>
      <c r="P2421" s="147"/>
      <c r="Q2421" s="147"/>
      <c r="R2421" s="148"/>
      <c r="S2421" s="148"/>
      <c r="T2421" s="148"/>
      <c r="U2421" s="148"/>
      <c r="V2421" s="148"/>
      <c r="W2421" s="148"/>
      <c r="X2421" s="148"/>
      <c r="Y2421" s="148"/>
      <c r="Z2421" s="148"/>
      <c r="AA2421" s="148"/>
      <c r="AB2421" s="148"/>
      <c r="AC2421" s="148"/>
    </row>
    <row r="2422" spans="1:29" hidden="1">
      <c r="A2422" s="146"/>
      <c r="B2422" s="147"/>
      <c r="C2422" s="147"/>
      <c r="D2422" s="147"/>
      <c r="E2422" s="147"/>
      <c r="F2422" s="147"/>
      <c r="G2422" s="147"/>
      <c r="H2422" s="147"/>
      <c r="I2422" s="147"/>
      <c r="J2422" s="147"/>
      <c r="K2422" s="147"/>
      <c r="L2422" s="147"/>
      <c r="M2422" s="147"/>
      <c r="N2422" s="147"/>
      <c r="O2422" s="147"/>
      <c r="P2422" s="147"/>
      <c r="Q2422" s="147"/>
      <c r="R2422" s="148"/>
      <c r="S2422" s="148"/>
      <c r="T2422" s="148"/>
      <c r="U2422" s="148"/>
      <c r="V2422" s="148"/>
      <c r="W2422" s="148"/>
      <c r="X2422" s="148"/>
      <c r="Y2422" s="148"/>
      <c r="Z2422" s="148"/>
      <c r="AA2422" s="148"/>
      <c r="AB2422" s="148"/>
      <c r="AC2422" s="148"/>
    </row>
    <row r="2423" spans="1:29" hidden="1">
      <c r="A2423" s="146"/>
      <c r="B2423" s="147"/>
      <c r="C2423" s="147"/>
      <c r="D2423" s="147"/>
      <c r="E2423" s="147"/>
      <c r="F2423" s="147"/>
      <c r="G2423" s="147"/>
      <c r="H2423" s="147"/>
      <c r="I2423" s="147"/>
      <c r="J2423" s="147"/>
      <c r="K2423" s="147"/>
      <c r="L2423" s="147"/>
      <c r="M2423" s="147"/>
      <c r="N2423" s="147"/>
      <c r="O2423" s="147"/>
      <c r="P2423" s="147"/>
      <c r="Q2423" s="147"/>
      <c r="R2423" s="148"/>
      <c r="S2423" s="148"/>
      <c r="T2423" s="148"/>
      <c r="U2423" s="148"/>
      <c r="V2423" s="148"/>
      <c r="W2423" s="148"/>
      <c r="X2423" s="148"/>
      <c r="Y2423" s="148"/>
      <c r="Z2423" s="148"/>
      <c r="AA2423" s="148"/>
      <c r="AB2423" s="148"/>
      <c r="AC2423" s="148"/>
    </row>
    <row r="2424" spans="1:29" hidden="1">
      <c r="A2424" s="146"/>
      <c r="B2424" s="147"/>
      <c r="C2424" s="147"/>
      <c r="D2424" s="147"/>
      <c r="E2424" s="147"/>
      <c r="F2424" s="147"/>
      <c r="G2424" s="147"/>
      <c r="H2424" s="147"/>
      <c r="I2424" s="147"/>
      <c r="J2424" s="147"/>
      <c r="K2424" s="147"/>
      <c r="L2424" s="147"/>
      <c r="M2424" s="147"/>
      <c r="N2424" s="147"/>
      <c r="O2424" s="147"/>
      <c r="P2424" s="147"/>
      <c r="Q2424" s="147"/>
      <c r="R2424" s="148"/>
      <c r="S2424" s="148"/>
      <c r="T2424" s="148"/>
      <c r="U2424" s="148"/>
      <c r="V2424" s="148"/>
      <c r="W2424" s="148"/>
      <c r="X2424" s="148"/>
      <c r="Y2424" s="148"/>
      <c r="Z2424" s="148"/>
      <c r="AA2424" s="148"/>
      <c r="AB2424" s="148"/>
      <c r="AC2424" s="148"/>
    </row>
    <row r="2425" spans="1:29" hidden="1">
      <c r="A2425" s="146"/>
      <c r="B2425" s="147"/>
      <c r="C2425" s="147"/>
      <c r="D2425" s="147"/>
      <c r="E2425" s="147"/>
      <c r="F2425" s="147"/>
      <c r="G2425" s="147"/>
      <c r="H2425" s="147"/>
      <c r="I2425" s="147"/>
      <c r="J2425" s="147"/>
      <c r="K2425" s="147"/>
      <c r="L2425" s="147"/>
      <c r="M2425" s="147"/>
      <c r="N2425" s="147"/>
      <c r="O2425" s="147"/>
      <c r="P2425" s="147"/>
      <c r="Q2425" s="147"/>
      <c r="R2425" s="148"/>
      <c r="S2425" s="148"/>
      <c r="T2425" s="148"/>
      <c r="U2425" s="148"/>
      <c r="V2425" s="148"/>
      <c r="W2425" s="148"/>
      <c r="X2425" s="148"/>
      <c r="Y2425" s="148"/>
      <c r="Z2425" s="148"/>
      <c r="AA2425" s="148"/>
      <c r="AB2425" s="148"/>
      <c r="AC2425" s="148"/>
    </row>
    <row r="2426" spans="1:29" hidden="1">
      <c r="A2426" s="146"/>
      <c r="B2426" s="147"/>
      <c r="C2426" s="147"/>
      <c r="D2426" s="147"/>
      <c r="E2426" s="147"/>
      <c r="F2426" s="147"/>
      <c r="G2426" s="147"/>
      <c r="H2426" s="147"/>
      <c r="I2426" s="147"/>
      <c r="J2426" s="147"/>
      <c r="K2426" s="147"/>
      <c r="L2426" s="147"/>
      <c r="M2426" s="147"/>
      <c r="N2426" s="147"/>
      <c r="O2426" s="147"/>
      <c r="P2426" s="147"/>
      <c r="Q2426" s="147"/>
      <c r="R2426" s="148"/>
      <c r="S2426" s="148"/>
      <c r="T2426" s="148"/>
      <c r="U2426" s="148"/>
      <c r="V2426" s="148"/>
      <c r="W2426" s="148"/>
      <c r="X2426" s="148"/>
      <c r="Y2426" s="148"/>
      <c r="Z2426" s="148"/>
      <c r="AA2426" s="148"/>
      <c r="AB2426" s="148"/>
      <c r="AC2426" s="148"/>
    </row>
    <row r="2427" spans="1:29" hidden="1">
      <c r="A2427" s="146"/>
      <c r="B2427" s="147"/>
      <c r="C2427" s="147"/>
      <c r="D2427" s="147"/>
      <c r="E2427" s="147"/>
      <c r="F2427" s="147"/>
      <c r="G2427" s="147"/>
      <c r="H2427" s="147"/>
      <c r="I2427" s="147"/>
      <c r="J2427" s="147"/>
      <c r="K2427" s="147"/>
      <c r="L2427" s="147"/>
      <c r="M2427" s="147"/>
      <c r="N2427" s="147"/>
      <c r="O2427" s="147"/>
      <c r="P2427" s="147"/>
      <c r="Q2427" s="147"/>
      <c r="R2427" s="148"/>
      <c r="S2427" s="148"/>
      <c r="T2427" s="148"/>
      <c r="U2427" s="148"/>
      <c r="V2427" s="148"/>
      <c r="W2427" s="148"/>
      <c r="X2427" s="148"/>
      <c r="Y2427" s="148"/>
      <c r="Z2427" s="148"/>
      <c r="AA2427" s="148"/>
      <c r="AB2427" s="148"/>
      <c r="AC2427" s="148"/>
    </row>
    <row r="2428" spans="1:29" hidden="1">
      <c r="A2428" s="146"/>
      <c r="B2428" s="147"/>
      <c r="C2428" s="147"/>
      <c r="D2428" s="147"/>
      <c r="E2428" s="147"/>
      <c r="F2428" s="147"/>
      <c r="G2428" s="147"/>
      <c r="H2428" s="147"/>
      <c r="I2428" s="147"/>
      <c r="J2428" s="147"/>
      <c r="K2428" s="147"/>
      <c r="L2428" s="147"/>
      <c r="M2428" s="147"/>
      <c r="N2428" s="147"/>
      <c r="O2428" s="147"/>
      <c r="P2428" s="147"/>
      <c r="Q2428" s="147"/>
      <c r="R2428" s="148"/>
      <c r="S2428" s="148"/>
      <c r="T2428" s="148"/>
      <c r="U2428" s="148"/>
      <c r="V2428" s="148"/>
      <c r="W2428" s="148"/>
      <c r="X2428" s="148"/>
      <c r="Y2428" s="148"/>
      <c r="Z2428" s="148"/>
      <c r="AA2428" s="148"/>
      <c r="AB2428" s="148"/>
      <c r="AC2428" s="148"/>
    </row>
    <row r="2429" spans="1:29" hidden="1">
      <c r="A2429" s="146"/>
      <c r="B2429" s="147"/>
      <c r="C2429" s="147"/>
      <c r="D2429" s="147"/>
      <c r="E2429" s="147"/>
      <c r="F2429" s="147"/>
      <c r="G2429" s="147"/>
      <c r="H2429" s="147"/>
      <c r="I2429" s="147"/>
      <c r="J2429" s="147"/>
      <c r="K2429" s="147"/>
      <c r="L2429" s="147"/>
      <c r="M2429" s="147"/>
      <c r="N2429" s="147"/>
      <c r="O2429" s="147"/>
      <c r="P2429" s="147"/>
      <c r="Q2429" s="147"/>
      <c r="R2429" s="148"/>
      <c r="S2429" s="148"/>
      <c r="T2429" s="148"/>
      <c r="U2429" s="148"/>
      <c r="V2429" s="148"/>
      <c r="W2429" s="148"/>
      <c r="X2429" s="148"/>
      <c r="Y2429" s="148"/>
      <c r="Z2429" s="148"/>
      <c r="AA2429" s="148"/>
      <c r="AB2429" s="148"/>
      <c r="AC2429" s="148"/>
    </row>
    <row r="2430" spans="1:29" hidden="1">
      <c r="A2430" s="146"/>
      <c r="B2430" s="147"/>
      <c r="C2430" s="147"/>
      <c r="D2430" s="147"/>
      <c r="E2430" s="147"/>
      <c r="F2430" s="147"/>
      <c r="G2430" s="147"/>
      <c r="H2430" s="147"/>
      <c r="I2430" s="147"/>
      <c r="J2430" s="147"/>
      <c r="K2430" s="147"/>
      <c r="L2430" s="147"/>
      <c r="M2430" s="147"/>
      <c r="N2430" s="147"/>
      <c r="O2430" s="147"/>
      <c r="P2430" s="147"/>
      <c r="Q2430" s="147"/>
      <c r="R2430" s="148"/>
      <c r="S2430" s="148"/>
      <c r="T2430" s="148"/>
      <c r="U2430" s="148"/>
      <c r="V2430" s="148"/>
      <c r="W2430" s="148"/>
      <c r="X2430" s="148"/>
      <c r="Y2430" s="148"/>
      <c r="Z2430" s="148"/>
      <c r="AA2430" s="148"/>
      <c r="AB2430" s="148"/>
      <c r="AC2430" s="148"/>
    </row>
    <row r="2431" spans="1:29" hidden="1">
      <c r="A2431" s="146"/>
      <c r="B2431" s="147"/>
      <c r="C2431" s="147"/>
      <c r="D2431" s="147"/>
      <c r="E2431" s="147"/>
      <c r="F2431" s="147"/>
      <c r="G2431" s="147"/>
      <c r="H2431" s="147"/>
      <c r="I2431" s="147"/>
      <c r="J2431" s="147"/>
      <c r="K2431" s="147"/>
      <c r="L2431" s="147"/>
      <c r="M2431" s="147"/>
      <c r="N2431" s="147"/>
      <c r="O2431" s="147"/>
      <c r="P2431" s="147"/>
      <c r="Q2431" s="147"/>
      <c r="R2431" s="148"/>
      <c r="S2431" s="148"/>
      <c r="T2431" s="148"/>
      <c r="U2431" s="148"/>
      <c r="V2431" s="148"/>
      <c r="W2431" s="148"/>
      <c r="X2431" s="148"/>
      <c r="Y2431" s="148"/>
      <c r="Z2431" s="148"/>
      <c r="AA2431" s="148"/>
      <c r="AB2431" s="148"/>
      <c r="AC2431" s="148"/>
    </row>
    <row r="2432" spans="1:29" hidden="1">
      <c r="A2432" s="146"/>
      <c r="B2432" s="147"/>
      <c r="C2432" s="147"/>
      <c r="D2432" s="147"/>
      <c r="E2432" s="147"/>
      <c r="F2432" s="147"/>
      <c r="G2432" s="147"/>
      <c r="H2432" s="147"/>
      <c r="I2432" s="147"/>
      <c r="J2432" s="147"/>
      <c r="K2432" s="147"/>
      <c r="L2432" s="147"/>
      <c r="M2432" s="147"/>
      <c r="N2432" s="147"/>
      <c r="O2432" s="147"/>
      <c r="P2432" s="147"/>
      <c r="Q2432" s="147"/>
      <c r="R2432" s="148"/>
      <c r="S2432" s="148"/>
      <c r="T2432" s="148"/>
      <c r="U2432" s="148"/>
      <c r="V2432" s="148"/>
      <c r="W2432" s="148"/>
      <c r="X2432" s="148"/>
      <c r="Y2432" s="148"/>
      <c r="Z2432" s="148"/>
      <c r="AA2432" s="148"/>
      <c r="AB2432" s="148"/>
      <c r="AC2432" s="148"/>
    </row>
    <row r="2433" spans="1:29" hidden="1">
      <c r="A2433" s="146"/>
      <c r="B2433" s="147"/>
      <c r="C2433" s="147"/>
      <c r="D2433" s="147"/>
      <c r="E2433" s="147"/>
      <c r="F2433" s="147"/>
      <c r="G2433" s="147"/>
      <c r="H2433" s="147"/>
      <c r="I2433" s="147"/>
      <c r="J2433" s="147"/>
      <c r="K2433" s="147"/>
      <c r="L2433" s="147"/>
      <c r="M2433" s="147"/>
      <c r="N2433" s="147"/>
      <c r="O2433" s="147"/>
      <c r="P2433" s="147"/>
      <c r="Q2433" s="147"/>
      <c r="R2433" s="148"/>
      <c r="S2433" s="148"/>
      <c r="T2433" s="148"/>
      <c r="U2433" s="148"/>
      <c r="V2433" s="148"/>
      <c r="W2433" s="148"/>
      <c r="X2433" s="148"/>
      <c r="Y2433" s="148"/>
      <c r="Z2433" s="148"/>
      <c r="AA2433" s="148"/>
      <c r="AB2433" s="148"/>
      <c r="AC2433" s="148"/>
    </row>
    <row r="2434" spans="1:29" hidden="1">
      <c r="A2434" s="146"/>
      <c r="B2434" s="147"/>
      <c r="C2434" s="147"/>
      <c r="D2434" s="147"/>
      <c r="E2434" s="147"/>
      <c r="F2434" s="147"/>
      <c r="G2434" s="147"/>
      <c r="H2434" s="147"/>
      <c r="I2434" s="147"/>
      <c r="J2434" s="147"/>
      <c r="K2434" s="147"/>
      <c r="L2434" s="147"/>
      <c r="M2434" s="147"/>
      <c r="N2434" s="147"/>
      <c r="O2434" s="147"/>
      <c r="P2434" s="147"/>
      <c r="Q2434" s="147"/>
      <c r="R2434" s="148"/>
      <c r="S2434" s="148"/>
      <c r="T2434" s="148"/>
      <c r="U2434" s="148"/>
      <c r="V2434" s="148"/>
      <c r="W2434" s="148"/>
      <c r="X2434" s="148"/>
      <c r="Y2434" s="148"/>
      <c r="Z2434" s="148"/>
      <c r="AA2434" s="148"/>
      <c r="AB2434" s="148"/>
      <c r="AC2434" s="148"/>
    </row>
    <row r="2435" spans="1:29" hidden="1">
      <c r="A2435" s="146"/>
      <c r="B2435" s="147"/>
      <c r="C2435" s="147"/>
      <c r="D2435" s="147"/>
      <c r="E2435" s="147"/>
      <c r="F2435" s="147"/>
      <c r="G2435" s="147"/>
      <c r="H2435" s="147"/>
      <c r="I2435" s="147"/>
      <c r="J2435" s="147"/>
      <c r="K2435" s="147"/>
      <c r="L2435" s="147"/>
      <c r="M2435" s="147"/>
      <c r="N2435" s="147"/>
      <c r="O2435" s="147"/>
      <c r="P2435" s="147"/>
      <c r="Q2435" s="147"/>
      <c r="R2435" s="148"/>
      <c r="S2435" s="148"/>
      <c r="T2435" s="148"/>
      <c r="U2435" s="148"/>
      <c r="V2435" s="148"/>
      <c r="W2435" s="148"/>
      <c r="X2435" s="148"/>
      <c r="Y2435" s="148"/>
      <c r="Z2435" s="148"/>
      <c r="AA2435" s="148"/>
      <c r="AB2435" s="148"/>
      <c r="AC2435" s="148"/>
    </row>
    <row r="2436" spans="1:29" hidden="1">
      <c r="A2436" s="146"/>
      <c r="B2436" s="147"/>
      <c r="C2436" s="147"/>
      <c r="D2436" s="147"/>
      <c r="E2436" s="147"/>
      <c r="F2436" s="147"/>
      <c r="G2436" s="147"/>
      <c r="H2436" s="147"/>
      <c r="I2436" s="147"/>
      <c r="J2436" s="147"/>
      <c r="K2436" s="147"/>
      <c r="L2436" s="147"/>
      <c r="M2436" s="147"/>
      <c r="N2436" s="147"/>
      <c r="O2436" s="147"/>
      <c r="P2436" s="147"/>
      <c r="Q2436" s="147"/>
      <c r="R2436" s="148"/>
      <c r="S2436" s="148"/>
      <c r="T2436" s="148"/>
      <c r="U2436" s="148"/>
      <c r="V2436" s="148"/>
      <c r="W2436" s="148"/>
      <c r="X2436" s="148"/>
      <c r="Y2436" s="148"/>
      <c r="Z2436" s="148"/>
      <c r="AA2436" s="148"/>
      <c r="AB2436" s="148"/>
      <c r="AC2436" s="148"/>
    </row>
    <row r="2437" spans="1:29" hidden="1">
      <c r="A2437" s="146"/>
      <c r="B2437" s="147"/>
      <c r="C2437" s="147"/>
      <c r="D2437" s="147"/>
      <c r="E2437" s="147"/>
      <c r="F2437" s="147"/>
      <c r="G2437" s="147"/>
      <c r="H2437" s="147"/>
      <c r="I2437" s="147"/>
      <c r="J2437" s="147"/>
      <c r="K2437" s="147"/>
      <c r="L2437" s="147"/>
      <c r="M2437" s="147"/>
      <c r="N2437" s="147"/>
      <c r="O2437" s="147"/>
      <c r="P2437" s="147"/>
      <c r="Q2437" s="147"/>
      <c r="R2437" s="148"/>
      <c r="S2437" s="148"/>
      <c r="T2437" s="148"/>
      <c r="U2437" s="148"/>
      <c r="V2437" s="148"/>
      <c r="W2437" s="148"/>
      <c r="X2437" s="148"/>
      <c r="Y2437" s="148"/>
      <c r="Z2437" s="148"/>
      <c r="AA2437" s="148"/>
      <c r="AB2437" s="148"/>
      <c r="AC2437" s="148"/>
    </row>
    <row r="2438" spans="1:29" hidden="1">
      <c r="A2438" s="146"/>
      <c r="B2438" s="147"/>
      <c r="C2438" s="147"/>
      <c r="D2438" s="147"/>
      <c r="E2438" s="147"/>
      <c r="F2438" s="147"/>
      <c r="G2438" s="147"/>
      <c r="H2438" s="147"/>
      <c r="I2438" s="147"/>
      <c r="J2438" s="147"/>
      <c r="K2438" s="147"/>
      <c r="L2438" s="147"/>
      <c r="M2438" s="147"/>
      <c r="N2438" s="147"/>
      <c r="O2438" s="147"/>
      <c r="P2438" s="147"/>
      <c r="Q2438" s="147"/>
      <c r="R2438" s="148"/>
      <c r="S2438" s="148"/>
      <c r="T2438" s="148"/>
      <c r="U2438" s="148"/>
      <c r="V2438" s="148"/>
      <c r="W2438" s="148"/>
      <c r="X2438" s="148"/>
      <c r="Y2438" s="148"/>
      <c r="Z2438" s="148"/>
      <c r="AA2438" s="148"/>
      <c r="AB2438" s="148"/>
      <c r="AC2438" s="148"/>
    </row>
    <row r="2439" spans="1:29" hidden="1">
      <c r="A2439" s="146"/>
      <c r="B2439" s="147"/>
      <c r="C2439" s="147"/>
      <c r="D2439" s="147"/>
      <c r="E2439" s="147"/>
      <c r="F2439" s="147"/>
      <c r="G2439" s="147"/>
      <c r="H2439" s="147"/>
      <c r="I2439" s="147"/>
      <c r="J2439" s="147"/>
      <c r="K2439" s="147"/>
      <c r="L2439" s="147"/>
      <c r="M2439" s="147"/>
      <c r="N2439" s="147"/>
      <c r="O2439" s="147"/>
      <c r="P2439" s="147"/>
      <c r="Q2439" s="147"/>
      <c r="R2439" s="148"/>
      <c r="S2439" s="148"/>
      <c r="T2439" s="148"/>
      <c r="U2439" s="148"/>
      <c r="V2439" s="148"/>
      <c r="W2439" s="148"/>
      <c r="X2439" s="148"/>
      <c r="Y2439" s="148"/>
      <c r="Z2439" s="148"/>
      <c r="AA2439" s="148"/>
      <c r="AB2439" s="148"/>
      <c r="AC2439" s="148"/>
    </row>
    <row r="2440" spans="1:29" hidden="1">
      <c r="A2440" s="146"/>
      <c r="B2440" s="147"/>
      <c r="C2440" s="147"/>
      <c r="D2440" s="147"/>
      <c r="E2440" s="147"/>
      <c r="F2440" s="147"/>
      <c r="G2440" s="147"/>
      <c r="H2440" s="147"/>
      <c r="I2440" s="147"/>
      <c r="J2440" s="147"/>
      <c r="K2440" s="147"/>
      <c r="L2440" s="147"/>
      <c r="M2440" s="147"/>
      <c r="N2440" s="147"/>
      <c r="O2440" s="147"/>
      <c r="P2440" s="147"/>
      <c r="Q2440" s="147"/>
      <c r="R2440" s="148"/>
      <c r="S2440" s="148"/>
      <c r="T2440" s="148"/>
      <c r="U2440" s="148"/>
      <c r="V2440" s="148"/>
      <c r="W2440" s="148"/>
      <c r="X2440" s="148"/>
      <c r="Y2440" s="148"/>
      <c r="Z2440" s="148"/>
      <c r="AA2440" s="148"/>
      <c r="AB2440" s="148"/>
      <c r="AC2440" s="148"/>
    </row>
    <row r="2441" spans="1:29" hidden="1">
      <c r="A2441" s="146"/>
      <c r="B2441" s="147"/>
      <c r="C2441" s="147"/>
      <c r="D2441" s="147"/>
      <c r="E2441" s="147"/>
      <c r="F2441" s="147"/>
      <c r="G2441" s="147"/>
      <c r="H2441" s="147"/>
      <c r="I2441" s="147"/>
      <c r="J2441" s="147"/>
      <c r="K2441" s="147"/>
      <c r="L2441" s="147"/>
      <c r="M2441" s="147"/>
      <c r="N2441" s="147"/>
      <c r="O2441" s="147"/>
      <c r="P2441" s="147"/>
      <c r="Q2441" s="147"/>
      <c r="R2441" s="148"/>
      <c r="S2441" s="148"/>
      <c r="T2441" s="148"/>
      <c r="U2441" s="148"/>
      <c r="V2441" s="148"/>
      <c r="W2441" s="148"/>
      <c r="X2441" s="148"/>
      <c r="Y2441" s="148"/>
      <c r="Z2441" s="148"/>
      <c r="AA2441" s="148"/>
      <c r="AB2441" s="148"/>
      <c r="AC2441" s="148"/>
    </row>
    <row r="2442" spans="1:29" hidden="1">
      <c r="A2442" s="146"/>
      <c r="B2442" s="147"/>
      <c r="C2442" s="147"/>
      <c r="D2442" s="147"/>
      <c r="E2442" s="147"/>
      <c r="F2442" s="147"/>
      <c r="G2442" s="147"/>
      <c r="H2442" s="147"/>
      <c r="I2442" s="147"/>
      <c r="J2442" s="147"/>
      <c r="K2442" s="147"/>
      <c r="L2442" s="147"/>
      <c r="M2442" s="147"/>
      <c r="N2442" s="147"/>
      <c r="O2442" s="147"/>
      <c r="P2442" s="147"/>
      <c r="Q2442" s="147"/>
      <c r="R2442" s="148"/>
      <c r="S2442" s="148"/>
      <c r="T2442" s="148"/>
      <c r="U2442" s="148"/>
      <c r="V2442" s="148"/>
      <c r="W2442" s="148"/>
      <c r="X2442" s="148"/>
      <c r="Y2442" s="148"/>
      <c r="Z2442" s="148"/>
      <c r="AA2442" s="148"/>
      <c r="AB2442" s="148"/>
      <c r="AC2442" s="148"/>
    </row>
    <row r="2443" spans="1:29" hidden="1">
      <c r="A2443" s="146"/>
      <c r="B2443" s="147"/>
      <c r="C2443" s="147"/>
      <c r="D2443" s="147"/>
      <c r="E2443" s="147"/>
      <c r="F2443" s="147"/>
      <c r="G2443" s="147"/>
      <c r="H2443" s="147"/>
      <c r="I2443" s="147"/>
      <c r="J2443" s="147"/>
      <c r="K2443" s="147"/>
      <c r="L2443" s="147"/>
      <c r="M2443" s="147"/>
      <c r="N2443" s="147"/>
      <c r="O2443" s="147"/>
      <c r="P2443" s="147"/>
      <c r="Q2443" s="147"/>
      <c r="R2443" s="148"/>
      <c r="S2443" s="148"/>
      <c r="T2443" s="148"/>
      <c r="U2443" s="148"/>
      <c r="V2443" s="148"/>
      <c r="W2443" s="148"/>
      <c r="X2443" s="148"/>
      <c r="Y2443" s="148"/>
      <c r="Z2443" s="148"/>
      <c r="AA2443" s="148"/>
      <c r="AB2443" s="148"/>
      <c r="AC2443" s="148"/>
    </row>
    <row r="2444" spans="1:29" hidden="1">
      <c r="A2444" s="146"/>
      <c r="B2444" s="147"/>
      <c r="C2444" s="147"/>
      <c r="D2444" s="147"/>
      <c r="E2444" s="147"/>
      <c r="F2444" s="147"/>
      <c r="G2444" s="147"/>
      <c r="H2444" s="147"/>
      <c r="I2444" s="147"/>
      <c r="J2444" s="147"/>
      <c r="K2444" s="147"/>
      <c r="L2444" s="147"/>
      <c r="M2444" s="147"/>
      <c r="N2444" s="147"/>
      <c r="O2444" s="147"/>
      <c r="P2444" s="147"/>
      <c r="Q2444" s="147"/>
      <c r="R2444" s="148"/>
      <c r="S2444" s="148"/>
      <c r="T2444" s="148"/>
      <c r="U2444" s="148"/>
      <c r="V2444" s="148"/>
      <c r="W2444" s="148"/>
      <c r="X2444" s="148"/>
      <c r="Y2444" s="148"/>
      <c r="Z2444" s="148"/>
      <c r="AA2444" s="148"/>
      <c r="AB2444" s="148"/>
      <c r="AC2444" s="148"/>
    </row>
    <row r="2445" spans="1:29" hidden="1">
      <c r="A2445" s="146"/>
      <c r="B2445" s="147"/>
      <c r="C2445" s="147"/>
      <c r="D2445" s="147"/>
      <c r="E2445" s="147"/>
      <c r="F2445" s="147"/>
      <c r="G2445" s="147"/>
      <c r="H2445" s="147"/>
      <c r="I2445" s="147"/>
      <c r="J2445" s="147"/>
      <c r="K2445" s="147"/>
      <c r="L2445" s="147"/>
      <c r="M2445" s="147"/>
      <c r="N2445" s="147"/>
      <c r="O2445" s="147"/>
      <c r="P2445" s="147"/>
      <c r="Q2445" s="147"/>
      <c r="R2445" s="148"/>
      <c r="S2445" s="148"/>
      <c r="T2445" s="148"/>
      <c r="U2445" s="148"/>
      <c r="V2445" s="148"/>
      <c r="W2445" s="148"/>
      <c r="X2445" s="148"/>
      <c r="Y2445" s="148"/>
      <c r="Z2445" s="148"/>
      <c r="AA2445" s="148"/>
      <c r="AB2445" s="148"/>
      <c r="AC2445" s="148"/>
    </row>
    <row r="2446" spans="1:29" hidden="1">
      <c r="A2446" s="146"/>
      <c r="B2446" s="147"/>
      <c r="C2446" s="147"/>
      <c r="D2446" s="147"/>
      <c r="E2446" s="147"/>
      <c r="F2446" s="147"/>
      <c r="G2446" s="147"/>
      <c r="H2446" s="147"/>
      <c r="I2446" s="147"/>
      <c r="J2446" s="147"/>
      <c r="K2446" s="147"/>
      <c r="L2446" s="147"/>
      <c r="M2446" s="147"/>
      <c r="N2446" s="147"/>
      <c r="O2446" s="147"/>
      <c r="P2446" s="147"/>
      <c r="Q2446" s="147"/>
      <c r="R2446" s="148"/>
      <c r="S2446" s="148"/>
      <c r="T2446" s="148"/>
      <c r="U2446" s="148"/>
      <c r="V2446" s="148"/>
      <c r="W2446" s="148"/>
      <c r="X2446" s="148"/>
      <c r="Y2446" s="148"/>
      <c r="Z2446" s="148"/>
      <c r="AA2446" s="148"/>
      <c r="AB2446" s="148"/>
      <c r="AC2446" s="148"/>
    </row>
    <row r="2447" spans="1:29" hidden="1">
      <c r="A2447" s="146"/>
      <c r="B2447" s="147"/>
      <c r="C2447" s="147"/>
      <c r="D2447" s="147"/>
      <c r="E2447" s="147"/>
      <c r="F2447" s="147"/>
      <c r="G2447" s="147"/>
      <c r="H2447" s="147"/>
      <c r="I2447" s="147"/>
      <c r="J2447" s="147"/>
      <c r="K2447" s="147"/>
      <c r="L2447" s="147"/>
      <c r="M2447" s="147"/>
      <c r="N2447" s="147"/>
      <c r="O2447" s="147"/>
      <c r="P2447" s="147"/>
      <c r="Q2447" s="147"/>
      <c r="R2447" s="148"/>
      <c r="S2447" s="148"/>
      <c r="T2447" s="148"/>
      <c r="U2447" s="148"/>
      <c r="V2447" s="148"/>
      <c r="W2447" s="148"/>
      <c r="X2447" s="148"/>
      <c r="Y2447" s="148"/>
      <c r="Z2447" s="148"/>
      <c r="AA2447" s="148"/>
      <c r="AB2447" s="148"/>
      <c r="AC2447" s="148"/>
    </row>
    <row r="2448" spans="1:29" hidden="1">
      <c r="A2448" s="146"/>
      <c r="B2448" s="147"/>
      <c r="C2448" s="147"/>
      <c r="D2448" s="147"/>
      <c r="E2448" s="147"/>
      <c r="F2448" s="147"/>
      <c r="G2448" s="147"/>
      <c r="H2448" s="147"/>
      <c r="I2448" s="147"/>
      <c r="J2448" s="147"/>
      <c r="K2448" s="147"/>
      <c r="L2448" s="147"/>
      <c r="M2448" s="147"/>
      <c r="N2448" s="147"/>
      <c r="O2448" s="147"/>
      <c r="P2448" s="147"/>
      <c r="Q2448" s="147"/>
      <c r="R2448" s="148"/>
      <c r="S2448" s="148"/>
      <c r="T2448" s="148"/>
      <c r="U2448" s="148"/>
      <c r="V2448" s="148"/>
      <c r="W2448" s="148"/>
      <c r="X2448" s="148"/>
      <c r="Y2448" s="148"/>
      <c r="Z2448" s="148"/>
      <c r="AA2448" s="148"/>
      <c r="AB2448" s="148"/>
      <c r="AC2448" s="148"/>
    </row>
    <row r="2449" spans="1:29" hidden="1">
      <c r="A2449" s="146"/>
      <c r="B2449" s="147"/>
      <c r="C2449" s="147"/>
      <c r="D2449" s="147"/>
      <c r="E2449" s="147"/>
      <c r="F2449" s="147"/>
      <c r="G2449" s="147"/>
      <c r="H2449" s="147"/>
      <c r="I2449" s="147"/>
      <c r="J2449" s="147"/>
      <c r="K2449" s="147"/>
      <c r="L2449" s="147"/>
      <c r="M2449" s="147"/>
      <c r="N2449" s="147"/>
      <c r="O2449" s="147"/>
      <c r="P2449" s="147"/>
      <c r="Q2449" s="147"/>
      <c r="R2449" s="148"/>
      <c r="S2449" s="148"/>
      <c r="T2449" s="148"/>
      <c r="U2449" s="148"/>
      <c r="V2449" s="148"/>
      <c r="W2449" s="148"/>
      <c r="X2449" s="148"/>
      <c r="Y2449" s="148"/>
      <c r="Z2449" s="148"/>
      <c r="AA2449" s="148"/>
      <c r="AB2449" s="148"/>
      <c r="AC2449" s="148"/>
    </row>
    <row r="2450" spans="1:29" hidden="1">
      <c r="A2450" s="146"/>
      <c r="B2450" s="147"/>
      <c r="C2450" s="147"/>
      <c r="D2450" s="147"/>
      <c r="E2450" s="147"/>
      <c r="F2450" s="147"/>
      <c r="G2450" s="147"/>
      <c r="H2450" s="147"/>
      <c r="I2450" s="147"/>
      <c r="J2450" s="147"/>
      <c r="K2450" s="147"/>
      <c r="L2450" s="147"/>
      <c r="M2450" s="147"/>
      <c r="N2450" s="147"/>
      <c r="O2450" s="147"/>
      <c r="P2450" s="147"/>
      <c r="Q2450" s="147"/>
      <c r="R2450" s="148"/>
      <c r="S2450" s="148"/>
      <c r="T2450" s="148"/>
      <c r="U2450" s="148"/>
      <c r="V2450" s="148"/>
      <c r="W2450" s="148"/>
      <c r="X2450" s="148"/>
      <c r="Y2450" s="148"/>
      <c r="Z2450" s="148"/>
      <c r="AA2450" s="148"/>
      <c r="AB2450" s="148"/>
      <c r="AC2450" s="148"/>
    </row>
    <row r="2451" spans="1:29" hidden="1">
      <c r="A2451" s="146"/>
      <c r="B2451" s="147"/>
      <c r="C2451" s="147"/>
      <c r="D2451" s="147"/>
      <c r="E2451" s="147"/>
      <c r="F2451" s="147"/>
      <c r="G2451" s="147"/>
      <c r="H2451" s="147"/>
      <c r="I2451" s="147"/>
      <c r="J2451" s="147"/>
      <c r="K2451" s="147"/>
      <c r="L2451" s="147"/>
      <c r="M2451" s="147"/>
      <c r="N2451" s="147"/>
      <c r="O2451" s="147"/>
      <c r="P2451" s="147"/>
      <c r="Q2451" s="147"/>
      <c r="R2451" s="148"/>
      <c r="S2451" s="148"/>
      <c r="T2451" s="148"/>
      <c r="U2451" s="148"/>
      <c r="V2451" s="148"/>
      <c r="W2451" s="148"/>
      <c r="X2451" s="148"/>
      <c r="Y2451" s="148"/>
      <c r="Z2451" s="148"/>
      <c r="AA2451" s="148"/>
      <c r="AB2451" s="148"/>
      <c r="AC2451" s="148"/>
    </row>
    <row r="2452" spans="1:29" hidden="1">
      <c r="A2452" s="146"/>
      <c r="B2452" s="147"/>
      <c r="C2452" s="147"/>
      <c r="D2452" s="147"/>
      <c r="E2452" s="147"/>
      <c r="F2452" s="147"/>
      <c r="G2452" s="147"/>
      <c r="H2452" s="147"/>
      <c r="I2452" s="147"/>
      <c r="J2452" s="147"/>
      <c r="K2452" s="147"/>
      <c r="L2452" s="147"/>
      <c r="M2452" s="147"/>
      <c r="N2452" s="147"/>
      <c r="O2452" s="147"/>
      <c r="P2452" s="147"/>
      <c r="Q2452" s="147"/>
      <c r="R2452" s="148"/>
      <c r="S2452" s="148"/>
      <c r="T2452" s="148"/>
      <c r="U2452" s="148"/>
      <c r="V2452" s="148"/>
      <c r="W2452" s="148"/>
      <c r="X2452" s="148"/>
      <c r="Y2452" s="148"/>
      <c r="Z2452" s="148"/>
      <c r="AA2452" s="148"/>
      <c r="AB2452" s="148"/>
      <c r="AC2452" s="148"/>
    </row>
    <row r="2453" spans="1:29" hidden="1">
      <c r="A2453" s="146"/>
      <c r="B2453" s="147"/>
      <c r="C2453" s="147"/>
      <c r="D2453" s="147"/>
      <c r="E2453" s="147"/>
      <c r="F2453" s="147"/>
      <c r="G2453" s="147"/>
      <c r="H2453" s="147"/>
      <c r="I2453" s="147"/>
      <c r="J2453" s="147"/>
      <c r="K2453" s="147"/>
      <c r="L2453" s="147"/>
      <c r="M2453" s="147"/>
      <c r="N2453" s="147"/>
      <c r="O2453" s="147"/>
      <c r="P2453" s="147"/>
      <c r="Q2453" s="147"/>
      <c r="R2453" s="148"/>
      <c r="S2453" s="148"/>
      <c r="T2453" s="148"/>
      <c r="U2453" s="148"/>
      <c r="V2453" s="148"/>
      <c r="W2453" s="148"/>
      <c r="X2453" s="148"/>
      <c r="Y2453" s="148"/>
      <c r="Z2453" s="148"/>
      <c r="AA2453" s="148"/>
      <c r="AB2453" s="148"/>
      <c r="AC2453" s="148"/>
    </row>
    <row r="2454" spans="1:29" hidden="1">
      <c r="A2454" s="146"/>
      <c r="B2454" s="147"/>
      <c r="C2454" s="147"/>
      <c r="D2454" s="147"/>
      <c r="E2454" s="147"/>
      <c r="F2454" s="147"/>
      <c r="G2454" s="147"/>
      <c r="H2454" s="147"/>
      <c r="I2454" s="147"/>
      <c r="J2454" s="147"/>
      <c r="K2454" s="147"/>
      <c r="L2454" s="147"/>
      <c r="M2454" s="147"/>
      <c r="N2454" s="147"/>
      <c r="O2454" s="147"/>
      <c r="P2454" s="147"/>
      <c r="Q2454" s="147"/>
      <c r="R2454" s="148"/>
      <c r="S2454" s="148"/>
      <c r="T2454" s="148"/>
      <c r="U2454" s="148"/>
      <c r="V2454" s="148"/>
      <c r="W2454" s="148"/>
      <c r="X2454" s="148"/>
      <c r="Y2454" s="148"/>
      <c r="Z2454" s="148"/>
      <c r="AA2454" s="148"/>
      <c r="AB2454" s="148"/>
      <c r="AC2454" s="148"/>
    </row>
    <row r="2455" spans="1:29" hidden="1">
      <c r="A2455" s="146"/>
      <c r="B2455" s="147"/>
      <c r="C2455" s="147"/>
      <c r="D2455" s="147"/>
      <c r="E2455" s="147"/>
      <c r="F2455" s="147"/>
      <c r="G2455" s="147"/>
      <c r="H2455" s="147"/>
      <c r="I2455" s="147"/>
      <c r="J2455" s="147"/>
      <c r="K2455" s="147"/>
      <c r="L2455" s="147"/>
      <c r="M2455" s="147"/>
      <c r="N2455" s="147"/>
      <c r="O2455" s="147"/>
      <c r="P2455" s="147"/>
      <c r="Q2455" s="147"/>
      <c r="R2455" s="148"/>
      <c r="S2455" s="148"/>
      <c r="T2455" s="148"/>
      <c r="U2455" s="148"/>
      <c r="V2455" s="148"/>
      <c r="W2455" s="148"/>
      <c r="X2455" s="148"/>
      <c r="Y2455" s="148"/>
      <c r="Z2455" s="148"/>
      <c r="AA2455" s="148"/>
      <c r="AB2455" s="148"/>
      <c r="AC2455" s="148"/>
    </row>
    <row r="2456" spans="1:29" hidden="1">
      <c r="A2456" s="146"/>
      <c r="B2456" s="147"/>
      <c r="C2456" s="147"/>
      <c r="D2456" s="147"/>
      <c r="E2456" s="147"/>
      <c r="F2456" s="147"/>
      <c r="G2456" s="147"/>
      <c r="H2456" s="147"/>
      <c r="I2456" s="147"/>
      <c r="J2456" s="147"/>
      <c r="K2456" s="147"/>
      <c r="L2456" s="147"/>
      <c r="M2456" s="147"/>
      <c r="N2456" s="147"/>
      <c r="O2456" s="147"/>
      <c r="P2456" s="147"/>
      <c r="Q2456" s="147"/>
      <c r="R2456" s="148"/>
      <c r="S2456" s="148"/>
      <c r="T2456" s="148"/>
      <c r="U2456" s="148"/>
      <c r="V2456" s="148"/>
      <c r="W2456" s="148"/>
      <c r="X2456" s="148"/>
      <c r="Y2456" s="148"/>
      <c r="Z2456" s="148"/>
      <c r="AA2456" s="148"/>
      <c r="AB2456" s="148"/>
      <c r="AC2456" s="148"/>
    </row>
    <row r="2457" spans="1:29" hidden="1">
      <c r="A2457" s="146"/>
      <c r="B2457" s="147"/>
      <c r="C2457" s="147"/>
      <c r="D2457" s="147"/>
      <c r="E2457" s="147"/>
      <c r="F2457" s="147"/>
      <c r="G2457" s="147"/>
      <c r="H2457" s="147"/>
      <c r="I2457" s="147"/>
      <c r="J2457" s="147"/>
      <c r="K2457" s="147"/>
      <c r="L2457" s="147"/>
      <c r="M2457" s="147"/>
      <c r="N2457" s="147"/>
      <c r="O2457" s="147"/>
      <c r="P2457" s="147"/>
      <c r="Q2457" s="147"/>
      <c r="R2457" s="148"/>
      <c r="S2457" s="148"/>
      <c r="T2457" s="148"/>
      <c r="U2457" s="148"/>
      <c r="V2457" s="148"/>
      <c r="W2457" s="148"/>
      <c r="X2457" s="148"/>
      <c r="Y2457" s="148"/>
      <c r="Z2457" s="148"/>
      <c r="AA2457" s="148"/>
      <c r="AB2457" s="148"/>
      <c r="AC2457" s="148"/>
    </row>
    <row r="2458" spans="1:29" hidden="1">
      <c r="A2458" s="146"/>
      <c r="B2458" s="147"/>
      <c r="C2458" s="147"/>
      <c r="D2458" s="147"/>
      <c r="E2458" s="147"/>
      <c r="F2458" s="147"/>
      <c r="G2458" s="147"/>
      <c r="H2458" s="147"/>
      <c r="I2458" s="147"/>
      <c r="J2458" s="147"/>
      <c r="K2458" s="147"/>
      <c r="L2458" s="147"/>
      <c r="M2458" s="147"/>
      <c r="N2458" s="147"/>
      <c r="O2458" s="147"/>
      <c r="P2458" s="147"/>
      <c r="Q2458" s="147"/>
      <c r="R2458" s="148"/>
      <c r="S2458" s="148"/>
      <c r="T2458" s="148"/>
      <c r="U2458" s="148"/>
      <c r="V2458" s="148"/>
      <c r="W2458" s="148"/>
      <c r="X2458" s="148"/>
      <c r="Y2458" s="148"/>
      <c r="Z2458" s="148"/>
      <c r="AA2458" s="148"/>
      <c r="AB2458" s="148"/>
      <c r="AC2458" s="148"/>
    </row>
    <row r="2459" spans="1:29" hidden="1">
      <c r="A2459" s="146"/>
      <c r="B2459" s="147"/>
      <c r="C2459" s="147"/>
      <c r="D2459" s="147"/>
      <c r="E2459" s="147"/>
      <c r="F2459" s="147"/>
      <c r="G2459" s="147"/>
      <c r="H2459" s="147"/>
      <c r="I2459" s="147"/>
      <c r="J2459" s="147"/>
      <c r="K2459" s="147"/>
      <c r="L2459" s="147"/>
      <c r="M2459" s="147"/>
      <c r="N2459" s="147"/>
      <c r="O2459" s="147"/>
      <c r="P2459" s="147"/>
      <c r="Q2459" s="147"/>
      <c r="R2459" s="148"/>
      <c r="S2459" s="148"/>
      <c r="T2459" s="148"/>
      <c r="U2459" s="148"/>
      <c r="V2459" s="148"/>
      <c r="W2459" s="148"/>
      <c r="X2459" s="148"/>
      <c r="Y2459" s="148"/>
      <c r="Z2459" s="148"/>
      <c r="AA2459" s="148"/>
      <c r="AB2459" s="148"/>
      <c r="AC2459" s="148"/>
    </row>
    <row r="2460" spans="1:29" hidden="1">
      <c r="A2460" s="146"/>
      <c r="B2460" s="147"/>
      <c r="C2460" s="147"/>
      <c r="D2460" s="147"/>
      <c r="E2460" s="147"/>
      <c r="F2460" s="147"/>
      <c r="G2460" s="147"/>
      <c r="H2460" s="147"/>
      <c r="I2460" s="147"/>
      <c r="J2460" s="147"/>
      <c r="K2460" s="147"/>
      <c r="L2460" s="147"/>
      <c r="M2460" s="147"/>
      <c r="N2460" s="147"/>
      <c r="O2460" s="147"/>
      <c r="P2460" s="147"/>
      <c r="Q2460" s="147"/>
      <c r="R2460" s="148"/>
      <c r="S2460" s="148"/>
      <c r="T2460" s="148"/>
      <c r="U2460" s="148"/>
      <c r="V2460" s="148"/>
      <c r="W2460" s="148"/>
      <c r="X2460" s="148"/>
      <c r="Y2460" s="148"/>
      <c r="Z2460" s="148"/>
      <c r="AA2460" s="148"/>
      <c r="AB2460" s="148"/>
      <c r="AC2460" s="148"/>
    </row>
    <row r="2461" spans="1:29" hidden="1">
      <c r="A2461" s="146"/>
      <c r="B2461" s="147"/>
      <c r="C2461" s="147"/>
      <c r="D2461" s="147"/>
      <c r="E2461" s="147"/>
      <c r="F2461" s="147"/>
      <c r="G2461" s="147"/>
      <c r="H2461" s="147"/>
      <c r="I2461" s="147"/>
      <c r="J2461" s="147"/>
      <c r="K2461" s="147"/>
      <c r="L2461" s="147"/>
      <c r="M2461" s="147"/>
      <c r="N2461" s="147"/>
      <c r="O2461" s="147"/>
      <c r="P2461" s="147"/>
      <c r="Q2461" s="147"/>
      <c r="R2461" s="148"/>
      <c r="S2461" s="148"/>
      <c r="T2461" s="148"/>
      <c r="U2461" s="148"/>
      <c r="V2461" s="148"/>
      <c r="W2461" s="148"/>
      <c r="X2461" s="148"/>
      <c r="Y2461" s="148"/>
      <c r="Z2461" s="148"/>
      <c r="AA2461" s="148"/>
      <c r="AB2461" s="148"/>
      <c r="AC2461" s="148"/>
    </row>
    <row r="2462" spans="1:29" hidden="1">
      <c r="A2462" s="146"/>
      <c r="B2462" s="147"/>
      <c r="C2462" s="147"/>
      <c r="D2462" s="147"/>
      <c r="E2462" s="147"/>
      <c r="F2462" s="147"/>
      <c r="G2462" s="147"/>
      <c r="H2462" s="147"/>
      <c r="I2462" s="147"/>
      <c r="J2462" s="147"/>
      <c r="K2462" s="147"/>
      <c r="L2462" s="147"/>
      <c r="M2462" s="147"/>
      <c r="N2462" s="147"/>
      <c r="O2462" s="147"/>
      <c r="P2462" s="147"/>
      <c r="Q2462" s="147"/>
      <c r="R2462" s="148"/>
      <c r="S2462" s="148"/>
      <c r="T2462" s="148"/>
      <c r="U2462" s="148"/>
      <c r="V2462" s="148"/>
      <c r="W2462" s="148"/>
      <c r="X2462" s="148"/>
      <c r="Y2462" s="148"/>
      <c r="Z2462" s="148"/>
      <c r="AA2462" s="148"/>
      <c r="AB2462" s="148"/>
      <c r="AC2462" s="148"/>
    </row>
    <row r="2463" spans="1:29" hidden="1">
      <c r="A2463" s="146"/>
      <c r="B2463" s="147"/>
      <c r="C2463" s="147"/>
      <c r="D2463" s="147"/>
      <c r="E2463" s="147"/>
      <c r="F2463" s="147"/>
      <c r="G2463" s="147"/>
      <c r="H2463" s="147"/>
      <c r="I2463" s="147"/>
      <c r="J2463" s="147"/>
      <c r="K2463" s="147"/>
      <c r="L2463" s="147"/>
      <c r="M2463" s="147"/>
      <c r="N2463" s="147"/>
      <c r="O2463" s="147"/>
      <c r="P2463" s="147"/>
      <c r="Q2463" s="147"/>
      <c r="R2463" s="148"/>
      <c r="S2463" s="148"/>
      <c r="T2463" s="148"/>
      <c r="U2463" s="148"/>
      <c r="V2463" s="148"/>
      <c r="W2463" s="148"/>
      <c r="X2463" s="148"/>
      <c r="Y2463" s="148"/>
      <c r="Z2463" s="148"/>
      <c r="AA2463" s="148"/>
      <c r="AB2463" s="148"/>
      <c r="AC2463" s="148"/>
    </row>
    <row r="2464" spans="1:29" hidden="1">
      <c r="A2464" s="146"/>
      <c r="B2464" s="147"/>
      <c r="C2464" s="147"/>
      <c r="D2464" s="147"/>
      <c r="E2464" s="147"/>
      <c r="F2464" s="147"/>
      <c r="G2464" s="147"/>
      <c r="H2464" s="147"/>
      <c r="I2464" s="147"/>
      <c r="J2464" s="147"/>
      <c r="K2464" s="147"/>
      <c r="L2464" s="147"/>
      <c r="M2464" s="147"/>
      <c r="N2464" s="147"/>
      <c r="O2464" s="147"/>
      <c r="P2464" s="147"/>
      <c r="Q2464" s="147"/>
      <c r="R2464" s="148"/>
      <c r="S2464" s="148"/>
      <c r="T2464" s="148"/>
      <c r="U2464" s="148"/>
      <c r="V2464" s="148"/>
      <c r="W2464" s="148"/>
      <c r="X2464" s="148"/>
      <c r="Y2464" s="148"/>
      <c r="Z2464" s="148"/>
      <c r="AA2464" s="148"/>
      <c r="AB2464" s="148"/>
      <c r="AC2464" s="148"/>
    </row>
    <row r="2465" spans="1:29" hidden="1">
      <c r="A2465" s="146"/>
      <c r="B2465" s="147"/>
      <c r="C2465" s="147"/>
      <c r="D2465" s="147"/>
      <c r="E2465" s="147"/>
      <c r="F2465" s="147"/>
      <c r="G2465" s="147"/>
      <c r="H2465" s="147"/>
      <c r="I2465" s="147"/>
      <c r="J2465" s="147"/>
      <c r="K2465" s="147"/>
      <c r="L2465" s="147"/>
      <c r="M2465" s="147"/>
      <c r="N2465" s="147"/>
      <c r="O2465" s="147"/>
      <c r="P2465" s="147"/>
      <c r="Q2465" s="147"/>
      <c r="R2465" s="148"/>
      <c r="S2465" s="148"/>
      <c r="T2465" s="148"/>
      <c r="U2465" s="148"/>
      <c r="V2465" s="148"/>
      <c r="W2465" s="148"/>
      <c r="X2465" s="148"/>
      <c r="Y2465" s="148"/>
      <c r="Z2465" s="148"/>
      <c r="AA2465" s="148"/>
      <c r="AB2465" s="148"/>
      <c r="AC2465" s="148"/>
    </row>
    <row r="2466" spans="1:29" hidden="1">
      <c r="A2466" s="146"/>
      <c r="B2466" s="147"/>
      <c r="C2466" s="147"/>
      <c r="D2466" s="147"/>
      <c r="E2466" s="147"/>
      <c r="F2466" s="147"/>
      <c r="G2466" s="147"/>
      <c r="H2466" s="147"/>
      <c r="I2466" s="147"/>
      <c r="J2466" s="147"/>
      <c r="K2466" s="147"/>
      <c r="L2466" s="147"/>
      <c r="M2466" s="147"/>
      <c r="N2466" s="147"/>
      <c r="O2466" s="147"/>
      <c r="P2466" s="147"/>
      <c r="Q2466" s="147"/>
      <c r="R2466" s="148"/>
      <c r="S2466" s="148"/>
      <c r="T2466" s="148"/>
      <c r="U2466" s="148"/>
      <c r="V2466" s="148"/>
      <c r="W2466" s="148"/>
      <c r="X2466" s="148"/>
      <c r="Y2466" s="148"/>
      <c r="Z2466" s="148"/>
      <c r="AA2466" s="148"/>
      <c r="AB2466" s="148"/>
      <c r="AC2466" s="148"/>
    </row>
    <row r="2467" spans="1:29" hidden="1">
      <c r="A2467" s="146"/>
      <c r="B2467" s="147"/>
      <c r="C2467" s="147"/>
      <c r="D2467" s="147"/>
      <c r="E2467" s="147"/>
      <c r="F2467" s="147"/>
      <c r="G2467" s="147"/>
      <c r="H2467" s="147"/>
      <c r="I2467" s="147"/>
      <c r="J2467" s="147"/>
      <c r="K2467" s="147"/>
      <c r="L2467" s="147"/>
      <c r="M2467" s="147"/>
      <c r="N2467" s="147"/>
      <c r="O2467" s="147"/>
      <c r="P2467" s="147"/>
      <c r="Q2467" s="147"/>
      <c r="R2467" s="148"/>
      <c r="S2467" s="148"/>
      <c r="T2467" s="148"/>
      <c r="U2467" s="148"/>
      <c r="V2467" s="148"/>
      <c r="W2467" s="148"/>
      <c r="X2467" s="148"/>
      <c r="Y2467" s="148"/>
      <c r="Z2467" s="148"/>
      <c r="AA2467" s="148"/>
      <c r="AB2467" s="148"/>
      <c r="AC2467" s="148"/>
    </row>
    <row r="2468" spans="1:29" hidden="1">
      <c r="A2468" s="146"/>
      <c r="B2468" s="147"/>
      <c r="C2468" s="147"/>
      <c r="D2468" s="147"/>
      <c r="E2468" s="147"/>
      <c r="F2468" s="147"/>
      <c r="G2468" s="147"/>
      <c r="H2468" s="147"/>
      <c r="I2468" s="147"/>
      <c r="J2468" s="147"/>
      <c r="K2468" s="147"/>
      <c r="L2468" s="147"/>
      <c r="M2468" s="147"/>
      <c r="N2468" s="147"/>
      <c r="O2468" s="147"/>
      <c r="P2468" s="147"/>
      <c r="Q2468" s="147"/>
      <c r="R2468" s="148"/>
      <c r="S2468" s="148"/>
      <c r="T2468" s="148"/>
      <c r="U2468" s="148"/>
      <c r="V2468" s="148"/>
      <c r="W2468" s="148"/>
      <c r="X2468" s="148"/>
      <c r="Y2468" s="148"/>
      <c r="Z2468" s="148"/>
      <c r="AA2468" s="148"/>
      <c r="AB2468" s="148"/>
      <c r="AC2468" s="148"/>
    </row>
    <row r="2469" spans="1:29" hidden="1">
      <c r="A2469" s="146"/>
      <c r="B2469" s="147"/>
      <c r="C2469" s="147"/>
      <c r="D2469" s="147"/>
      <c r="E2469" s="147"/>
      <c r="F2469" s="147"/>
      <c r="G2469" s="147"/>
      <c r="H2469" s="147"/>
      <c r="I2469" s="147"/>
      <c r="J2469" s="147"/>
      <c r="K2469" s="147"/>
      <c r="L2469" s="147"/>
      <c r="M2469" s="147"/>
      <c r="N2469" s="147"/>
      <c r="O2469" s="147"/>
      <c r="P2469" s="147"/>
      <c r="Q2469" s="147"/>
      <c r="R2469" s="148"/>
      <c r="S2469" s="148"/>
      <c r="T2469" s="148"/>
      <c r="U2469" s="148"/>
      <c r="V2469" s="148"/>
      <c r="W2469" s="148"/>
      <c r="X2469" s="148"/>
      <c r="Y2469" s="148"/>
      <c r="Z2469" s="148"/>
      <c r="AA2469" s="148"/>
      <c r="AB2469" s="148"/>
      <c r="AC2469" s="148"/>
    </row>
    <row r="2470" spans="1:29" hidden="1">
      <c r="A2470" s="146"/>
      <c r="B2470" s="147"/>
      <c r="C2470" s="147"/>
      <c r="D2470" s="147"/>
      <c r="E2470" s="147"/>
      <c r="F2470" s="147"/>
      <c r="G2470" s="147"/>
      <c r="H2470" s="147"/>
      <c r="I2470" s="147"/>
      <c r="J2470" s="147"/>
      <c r="K2470" s="147"/>
      <c r="L2470" s="147"/>
      <c r="M2470" s="147"/>
      <c r="N2470" s="147"/>
      <c r="O2470" s="147"/>
      <c r="P2470" s="147"/>
      <c r="Q2470" s="147"/>
      <c r="R2470" s="148"/>
      <c r="S2470" s="148"/>
      <c r="T2470" s="148"/>
      <c r="U2470" s="148"/>
      <c r="V2470" s="148"/>
      <c r="W2470" s="148"/>
      <c r="X2470" s="148"/>
      <c r="Y2470" s="148"/>
      <c r="Z2470" s="148"/>
      <c r="AA2470" s="148"/>
      <c r="AB2470" s="148"/>
      <c r="AC2470" s="148"/>
    </row>
    <row r="2471" spans="1:29" hidden="1">
      <c r="A2471" s="146"/>
      <c r="B2471" s="147"/>
      <c r="C2471" s="147"/>
      <c r="D2471" s="147"/>
      <c r="E2471" s="147"/>
      <c r="F2471" s="147"/>
      <c r="G2471" s="147"/>
      <c r="H2471" s="147"/>
      <c r="I2471" s="147"/>
      <c r="J2471" s="147"/>
      <c r="K2471" s="147"/>
      <c r="L2471" s="147"/>
      <c r="M2471" s="147"/>
      <c r="N2471" s="147"/>
      <c r="O2471" s="147"/>
      <c r="P2471" s="147"/>
      <c r="Q2471" s="147"/>
      <c r="R2471" s="148"/>
      <c r="S2471" s="148"/>
      <c r="T2471" s="148"/>
      <c r="U2471" s="148"/>
      <c r="V2471" s="148"/>
      <c r="W2471" s="148"/>
      <c r="X2471" s="148"/>
      <c r="Y2471" s="148"/>
      <c r="Z2471" s="148"/>
      <c r="AA2471" s="148"/>
      <c r="AB2471" s="148"/>
      <c r="AC2471" s="148"/>
    </row>
    <row r="2472" spans="1:29" hidden="1">
      <c r="A2472" s="146"/>
      <c r="B2472" s="147"/>
      <c r="C2472" s="147"/>
      <c r="D2472" s="147"/>
      <c r="E2472" s="147"/>
      <c r="F2472" s="147"/>
      <c r="G2472" s="147"/>
      <c r="H2472" s="147"/>
      <c r="I2472" s="147"/>
      <c r="J2472" s="147"/>
      <c r="K2472" s="147"/>
      <c r="L2472" s="147"/>
      <c r="M2472" s="147"/>
      <c r="N2472" s="147"/>
      <c r="O2472" s="147"/>
      <c r="P2472" s="147"/>
      <c r="Q2472" s="147"/>
      <c r="R2472" s="148"/>
      <c r="S2472" s="148"/>
      <c r="T2472" s="148"/>
      <c r="U2472" s="148"/>
      <c r="V2472" s="148"/>
      <c r="W2472" s="148"/>
      <c r="X2472" s="148"/>
      <c r="Y2472" s="148"/>
      <c r="Z2472" s="148"/>
      <c r="AA2472" s="148"/>
      <c r="AB2472" s="148"/>
      <c r="AC2472" s="148"/>
    </row>
    <row r="2473" spans="1:29" hidden="1">
      <c r="A2473" s="146"/>
      <c r="B2473" s="147"/>
      <c r="C2473" s="147"/>
      <c r="D2473" s="147"/>
      <c r="E2473" s="147"/>
      <c r="F2473" s="147"/>
      <c r="G2473" s="147"/>
      <c r="H2473" s="147"/>
      <c r="I2473" s="147"/>
      <c r="J2473" s="147"/>
      <c r="K2473" s="147"/>
      <c r="L2473" s="147"/>
      <c r="M2473" s="147"/>
      <c r="N2473" s="147"/>
      <c r="O2473" s="147"/>
      <c r="P2473" s="147"/>
      <c r="Q2473" s="147"/>
      <c r="R2473" s="148"/>
      <c r="S2473" s="148"/>
      <c r="T2473" s="148"/>
      <c r="U2473" s="148"/>
      <c r="V2473" s="148"/>
      <c r="W2473" s="148"/>
      <c r="X2473" s="148"/>
      <c r="Y2473" s="148"/>
      <c r="Z2473" s="148"/>
      <c r="AA2473" s="148"/>
      <c r="AB2473" s="148"/>
      <c r="AC2473" s="148"/>
    </row>
    <row r="2474" spans="1:29" hidden="1">
      <c r="A2474" s="146"/>
      <c r="B2474" s="147"/>
      <c r="C2474" s="147"/>
      <c r="D2474" s="147"/>
      <c r="E2474" s="147"/>
      <c r="F2474" s="147"/>
      <c r="G2474" s="147"/>
      <c r="H2474" s="147"/>
      <c r="I2474" s="147"/>
      <c r="J2474" s="147"/>
      <c r="K2474" s="147"/>
      <c r="L2474" s="147"/>
      <c r="M2474" s="147"/>
      <c r="N2474" s="147"/>
      <c r="O2474" s="147"/>
      <c r="P2474" s="147"/>
      <c r="Q2474" s="147"/>
      <c r="R2474" s="148"/>
      <c r="S2474" s="148"/>
      <c r="T2474" s="148"/>
      <c r="U2474" s="148"/>
      <c r="V2474" s="148"/>
      <c r="W2474" s="148"/>
      <c r="X2474" s="148"/>
      <c r="Y2474" s="148"/>
      <c r="Z2474" s="148"/>
      <c r="AA2474" s="148"/>
      <c r="AB2474" s="148"/>
      <c r="AC2474" s="148"/>
    </row>
    <row r="2475" spans="1:29" hidden="1">
      <c r="A2475" s="146"/>
      <c r="B2475" s="147"/>
      <c r="C2475" s="147"/>
      <c r="D2475" s="147"/>
      <c r="E2475" s="147"/>
      <c r="F2475" s="147"/>
      <c r="G2475" s="147"/>
      <c r="H2475" s="147"/>
      <c r="I2475" s="147"/>
      <c r="J2475" s="147"/>
      <c r="K2475" s="147"/>
      <c r="L2475" s="147"/>
      <c r="M2475" s="147"/>
      <c r="N2475" s="147"/>
      <c r="O2475" s="147"/>
      <c r="P2475" s="147"/>
      <c r="Q2475" s="147"/>
      <c r="R2475" s="148"/>
      <c r="S2475" s="148"/>
      <c r="T2475" s="148"/>
      <c r="U2475" s="148"/>
      <c r="V2475" s="148"/>
      <c r="W2475" s="148"/>
      <c r="X2475" s="148"/>
      <c r="Y2475" s="148"/>
      <c r="Z2475" s="148"/>
      <c r="AA2475" s="148"/>
      <c r="AB2475" s="148"/>
      <c r="AC2475" s="148"/>
    </row>
    <row r="2476" spans="1:29" hidden="1">
      <c r="A2476" s="146"/>
      <c r="B2476" s="147"/>
      <c r="C2476" s="147"/>
      <c r="D2476" s="147"/>
      <c r="E2476" s="147"/>
      <c r="F2476" s="147"/>
      <c r="G2476" s="147"/>
      <c r="H2476" s="147"/>
      <c r="I2476" s="147"/>
      <c r="J2476" s="147"/>
      <c r="K2476" s="147"/>
      <c r="L2476" s="147"/>
      <c r="M2476" s="147"/>
      <c r="N2476" s="147"/>
      <c r="O2476" s="147"/>
      <c r="P2476" s="147"/>
      <c r="Q2476" s="147"/>
      <c r="R2476" s="148"/>
      <c r="S2476" s="148"/>
      <c r="T2476" s="148"/>
      <c r="U2476" s="148"/>
      <c r="V2476" s="148"/>
      <c r="W2476" s="148"/>
      <c r="X2476" s="148"/>
      <c r="Y2476" s="148"/>
      <c r="Z2476" s="148"/>
      <c r="AA2476" s="148"/>
      <c r="AB2476" s="148"/>
      <c r="AC2476" s="148"/>
    </row>
    <row r="2477" spans="1:29" hidden="1">
      <c r="A2477" s="146"/>
      <c r="B2477" s="147"/>
      <c r="C2477" s="147"/>
      <c r="D2477" s="147"/>
      <c r="E2477" s="147"/>
      <c r="F2477" s="147"/>
      <c r="G2477" s="147"/>
      <c r="H2477" s="147"/>
      <c r="I2477" s="147"/>
      <c r="J2477" s="147"/>
      <c r="K2477" s="147"/>
      <c r="L2477" s="147"/>
      <c r="M2477" s="147"/>
      <c r="N2477" s="147"/>
      <c r="O2477" s="147"/>
      <c r="P2477" s="147"/>
      <c r="Q2477" s="147"/>
      <c r="R2477" s="148"/>
      <c r="S2477" s="148"/>
      <c r="T2477" s="148"/>
      <c r="U2477" s="148"/>
      <c r="V2477" s="148"/>
      <c r="W2477" s="148"/>
      <c r="X2477" s="148"/>
      <c r="Y2477" s="148"/>
      <c r="Z2477" s="148"/>
      <c r="AA2477" s="148"/>
      <c r="AB2477" s="148"/>
      <c r="AC2477" s="148"/>
    </row>
    <row r="2478" spans="1:29" hidden="1">
      <c r="A2478" s="146"/>
      <c r="B2478" s="147"/>
      <c r="C2478" s="147"/>
      <c r="D2478" s="147"/>
      <c r="E2478" s="147"/>
      <c r="F2478" s="147"/>
      <c r="G2478" s="147"/>
      <c r="H2478" s="147"/>
      <c r="I2478" s="147"/>
      <c r="J2478" s="147"/>
      <c r="K2478" s="147"/>
      <c r="L2478" s="147"/>
      <c r="M2478" s="147"/>
      <c r="N2478" s="147"/>
      <c r="O2478" s="147"/>
      <c r="P2478" s="147"/>
      <c r="Q2478" s="147"/>
      <c r="R2478" s="148"/>
      <c r="S2478" s="148"/>
      <c r="T2478" s="148"/>
      <c r="U2478" s="148"/>
      <c r="V2478" s="148"/>
      <c r="W2478" s="148"/>
      <c r="X2478" s="148"/>
      <c r="Y2478" s="148"/>
      <c r="Z2478" s="148"/>
      <c r="AA2478" s="148"/>
      <c r="AB2478" s="148"/>
      <c r="AC2478" s="148"/>
    </row>
    <row r="2479" spans="1:29" hidden="1">
      <c r="A2479" s="146"/>
      <c r="B2479" s="147"/>
      <c r="C2479" s="147"/>
      <c r="D2479" s="147"/>
      <c r="E2479" s="147"/>
      <c r="F2479" s="147"/>
      <c r="G2479" s="147"/>
      <c r="H2479" s="147"/>
      <c r="I2479" s="147"/>
      <c r="J2479" s="147"/>
      <c r="K2479" s="147"/>
      <c r="L2479" s="147"/>
      <c r="M2479" s="147"/>
      <c r="N2479" s="147"/>
      <c r="O2479" s="147"/>
      <c r="P2479" s="147"/>
      <c r="Q2479" s="147"/>
      <c r="R2479" s="148"/>
      <c r="S2479" s="148"/>
      <c r="T2479" s="148"/>
      <c r="U2479" s="148"/>
      <c r="V2479" s="148"/>
      <c r="W2479" s="148"/>
      <c r="X2479" s="148"/>
      <c r="Y2479" s="148"/>
      <c r="Z2479" s="148"/>
      <c r="AA2479" s="148"/>
      <c r="AB2479" s="148"/>
      <c r="AC2479" s="148"/>
    </row>
    <row r="2480" spans="1:29" hidden="1">
      <c r="A2480" s="146"/>
      <c r="B2480" s="147"/>
      <c r="C2480" s="147"/>
      <c r="D2480" s="147"/>
      <c r="E2480" s="147"/>
      <c r="F2480" s="147"/>
      <c r="G2480" s="147"/>
      <c r="H2480" s="147"/>
      <c r="I2480" s="147"/>
      <c r="J2480" s="147"/>
      <c r="K2480" s="147"/>
      <c r="L2480" s="147"/>
      <c r="M2480" s="147"/>
      <c r="N2480" s="147"/>
      <c r="O2480" s="147"/>
      <c r="P2480" s="147"/>
      <c r="Q2480" s="147"/>
      <c r="R2480" s="148"/>
      <c r="S2480" s="148"/>
      <c r="T2480" s="148"/>
      <c r="U2480" s="148"/>
      <c r="V2480" s="148"/>
      <c r="W2480" s="148"/>
      <c r="X2480" s="148"/>
      <c r="Y2480" s="148"/>
      <c r="Z2480" s="148"/>
      <c r="AA2480" s="148"/>
      <c r="AB2480" s="148"/>
      <c r="AC2480" s="148"/>
    </row>
    <row r="2481" spans="1:29" hidden="1">
      <c r="A2481" s="146"/>
      <c r="B2481" s="147"/>
      <c r="C2481" s="147"/>
      <c r="D2481" s="147"/>
      <c r="E2481" s="147"/>
      <c r="F2481" s="147"/>
      <c r="G2481" s="147"/>
      <c r="H2481" s="147"/>
      <c r="I2481" s="147"/>
      <c r="J2481" s="147"/>
      <c r="K2481" s="147"/>
      <c r="L2481" s="147"/>
      <c r="M2481" s="147"/>
      <c r="N2481" s="147"/>
      <c r="O2481" s="147"/>
      <c r="P2481" s="147"/>
      <c r="Q2481" s="147"/>
      <c r="R2481" s="148"/>
      <c r="S2481" s="148"/>
      <c r="T2481" s="148"/>
      <c r="U2481" s="148"/>
      <c r="V2481" s="148"/>
      <c r="W2481" s="148"/>
      <c r="X2481" s="148"/>
      <c r="Y2481" s="148"/>
      <c r="Z2481" s="148"/>
      <c r="AA2481" s="148"/>
      <c r="AB2481" s="148"/>
      <c r="AC2481" s="148"/>
    </row>
    <row r="2482" spans="1:29" hidden="1">
      <c r="A2482" s="146"/>
      <c r="B2482" s="147"/>
      <c r="C2482" s="147"/>
      <c r="D2482" s="147"/>
      <c r="E2482" s="147"/>
      <c r="F2482" s="147"/>
      <c r="G2482" s="147"/>
      <c r="H2482" s="147"/>
      <c r="I2482" s="147"/>
      <c r="J2482" s="147"/>
      <c r="K2482" s="147"/>
      <c r="L2482" s="147"/>
      <c r="M2482" s="147"/>
      <c r="N2482" s="147"/>
      <c r="O2482" s="147"/>
      <c r="P2482" s="147"/>
      <c r="Q2482" s="147"/>
      <c r="R2482" s="148"/>
      <c r="S2482" s="148"/>
      <c r="T2482" s="148"/>
      <c r="U2482" s="148"/>
      <c r="V2482" s="148"/>
      <c r="W2482" s="148"/>
      <c r="X2482" s="148"/>
      <c r="Y2482" s="148"/>
      <c r="Z2482" s="148"/>
      <c r="AA2482" s="148"/>
      <c r="AB2482" s="148"/>
      <c r="AC2482" s="148"/>
    </row>
    <row r="2483" spans="1:29" hidden="1">
      <c r="A2483" s="146"/>
      <c r="B2483" s="147"/>
      <c r="C2483" s="147"/>
      <c r="D2483" s="147"/>
      <c r="E2483" s="147"/>
      <c r="F2483" s="147"/>
      <c r="G2483" s="147"/>
      <c r="H2483" s="147"/>
      <c r="I2483" s="147"/>
      <c r="J2483" s="147"/>
      <c r="K2483" s="147"/>
      <c r="L2483" s="147"/>
      <c r="M2483" s="147"/>
      <c r="N2483" s="147"/>
      <c r="O2483" s="147"/>
      <c r="P2483" s="147"/>
      <c r="Q2483" s="147"/>
      <c r="R2483" s="148"/>
      <c r="S2483" s="148"/>
      <c r="T2483" s="148"/>
      <c r="U2483" s="148"/>
      <c r="V2483" s="148"/>
      <c r="W2483" s="148"/>
      <c r="X2483" s="148"/>
      <c r="Y2483" s="148"/>
      <c r="Z2483" s="148"/>
      <c r="AA2483" s="148"/>
      <c r="AB2483" s="148"/>
      <c r="AC2483" s="148"/>
    </row>
    <row r="2484" spans="1:29" hidden="1">
      <c r="A2484" s="146"/>
      <c r="B2484" s="147"/>
      <c r="C2484" s="147"/>
      <c r="D2484" s="147"/>
      <c r="E2484" s="147"/>
      <c r="F2484" s="147"/>
      <c r="G2484" s="147"/>
      <c r="H2484" s="147"/>
      <c r="I2484" s="147"/>
      <c r="J2484" s="147"/>
      <c r="K2484" s="147"/>
      <c r="L2484" s="147"/>
      <c r="M2484" s="147"/>
      <c r="N2484" s="147"/>
      <c r="O2484" s="147"/>
      <c r="P2484" s="147"/>
      <c r="Q2484" s="147"/>
      <c r="R2484" s="148"/>
      <c r="S2484" s="148"/>
      <c r="T2484" s="148"/>
      <c r="U2484" s="148"/>
      <c r="V2484" s="148"/>
      <c r="W2484" s="148"/>
      <c r="X2484" s="148"/>
      <c r="Y2484" s="148"/>
      <c r="Z2484" s="148"/>
      <c r="AA2484" s="148"/>
      <c r="AB2484" s="148"/>
      <c r="AC2484" s="148"/>
    </row>
    <row r="2485" spans="1:29" hidden="1">
      <c r="A2485" s="146"/>
      <c r="B2485" s="147"/>
      <c r="C2485" s="147"/>
      <c r="D2485" s="147"/>
      <c r="E2485" s="147"/>
      <c r="F2485" s="147"/>
      <c r="G2485" s="147"/>
      <c r="H2485" s="147"/>
      <c r="I2485" s="147"/>
      <c r="J2485" s="147"/>
      <c r="K2485" s="147"/>
      <c r="L2485" s="147"/>
      <c r="M2485" s="147"/>
      <c r="N2485" s="147"/>
      <c r="O2485" s="147"/>
      <c r="P2485" s="147"/>
      <c r="Q2485" s="147"/>
      <c r="R2485" s="148"/>
      <c r="S2485" s="148"/>
      <c r="T2485" s="148"/>
      <c r="U2485" s="148"/>
      <c r="V2485" s="148"/>
      <c r="W2485" s="148"/>
      <c r="X2485" s="148"/>
      <c r="Y2485" s="148"/>
      <c r="Z2485" s="148"/>
      <c r="AA2485" s="148"/>
      <c r="AB2485" s="148"/>
      <c r="AC2485" s="148"/>
    </row>
    <row r="2486" spans="1:29" hidden="1">
      <c r="A2486" s="146"/>
      <c r="B2486" s="147"/>
      <c r="C2486" s="147"/>
      <c r="D2486" s="147"/>
      <c r="E2486" s="147"/>
      <c r="F2486" s="147"/>
      <c r="G2486" s="147"/>
      <c r="H2486" s="147"/>
      <c r="I2486" s="147"/>
      <c r="J2486" s="147"/>
      <c r="K2486" s="147"/>
      <c r="L2486" s="147"/>
      <c r="M2486" s="147"/>
      <c r="N2486" s="147"/>
      <c r="O2486" s="147"/>
      <c r="P2486" s="147"/>
      <c r="Q2486" s="147"/>
      <c r="R2486" s="148"/>
      <c r="S2486" s="148"/>
      <c r="T2486" s="148"/>
      <c r="U2486" s="148"/>
      <c r="V2486" s="148"/>
      <c r="W2486" s="148"/>
      <c r="X2486" s="148"/>
      <c r="Y2486" s="148"/>
      <c r="Z2486" s="148"/>
      <c r="AA2486" s="148"/>
      <c r="AB2486" s="148"/>
      <c r="AC2486" s="148"/>
    </row>
    <row r="2487" spans="1:29" hidden="1">
      <c r="A2487" s="146"/>
      <c r="B2487" s="147"/>
      <c r="C2487" s="147"/>
      <c r="D2487" s="147"/>
      <c r="E2487" s="147"/>
      <c r="F2487" s="147"/>
      <c r="G2487" s="147"/>
      <c r="H2487" s="147"/>
      <c r="I2487" s="147"/>
      <c r="J2487" s="147"/>
      <c r="K2487" s="147"/>
      <c r="L2487" s="147"/>
      <c r="M2487" s="147"/>
      <c r="N2487" s="147"/>
      <c r="O2487" s="147"/>
      <c r="P2487" s="147"/>
      <c r="Q2487" s="147"/>
      <c r="R2487" s="148"/>
      <c r="S2487" s="148"/>
      <c r="T2487" s="148"/>
      <c r="U2487" s="148"/>
      <c r="V2487" s="148"/>
      <c r="W2487" s="148"/>
      <c r="X2487" s="148"/>
      <c r="Y2487" s="148"/>
      <c r="Z2487" s="148"/>
      <c r="AA2487" s="148"/>
      <c r="AB2487" s="148"/>
      <c r="AC2487" s="148"/>
    </row>
    <row r="2488" spans="1:29" hidden="1">
      <c r="A2488" s="146"/>
      <c r="B2488" s="147"/>
      <c r="C2488" s="147"/>
      <c r="D2488" s="147"/>
      <c r="E2488" s="147"/>
      <c r="F2488" s="147"/>
      <c r="G2488" s="147"/>
      <c r="H2488" s="147"/>
      <c r="I2488" s="147"/>
      <c r="J2488" s="147"/>
      <c r="K2488" s="147"/>
      <c r="L2488" s="147"/>
      <c r="M2488" s="147"/>
      <c r="N2488" s="147"/>
      <c r="O2488" s="147"/>
      <c r="P2488" s="147"/>
      <c r="Q2488" s="147"/>
      <c r="R2488" s="148"/>
      <c r="S2488" s="148"/>
      <c r="T2488" s="148"/>
      <c r="U2488" s="148"/>
      <c r="V2488" s="148"/>
      <c r="W2488" s="148"/>
      <c r="X2488" s="148"/>
      <c r="Y2488" s="148"/>
      <c r="Z2488" s="148"/>
      <c r="AA2488" s="148"/>
      <c r="AB2488" s="148"/>
      <c r="AC2488" s="148"/>
    </row>
    <row r="2489" spans="1:29" hidden="1">
      <c r="A2489" s="146"/>
      <c r="B2489" s="147"/>
      <c r="C2489" s="147"/>
      <c r="D2489" s="147"/>
      <c r="E2489" s="147"/>
      <c r="F2489" s="147"/>
      <c r="G2489" s="147"/>
      <c r="H2489" s="147"/>
      <c r="I2489" s="147"/>
      <c r="J2489" s="147"/>
      <c r="K2489" s="147"/>
      <c r="L2489" s="147"/>
      <c r="M2489" s="147"/>
      <c r="N2489" s="147"/>
      <c r="O2489" s="147"/>
      <c r="P2489" s="147"/>
      <c r="Q2489" s="147"/>
      <c r="R2489" s="148"/>
      <c r="S2489" s="148"/>
      <c r="T2489" s="148"/>
      <c r="U2489" s="148"/>
      <c r="V2489" s="148"/>
      <c r="W2489" s="148"/>
      <c r="X2489" s="148"/>
      <c r="Y2489" s="148"/>
      <c r="Z2489" s="148"/>
      <c r="AA2489" s="148"/>
      <c r="AB2489" s="148"/>
      <c r="AC2489" s="148"/>
    </row>
    <row r="2490" spans="1:29" hidden="1">
      <c r="A2490" s="146"/>
      <c r="B2490" s="147"/>
      <c r="C2490" s="147"/>
      <c r="D2490" s="147"/>
      <c r="E2490" s="147"/>
      <c r="F2490" s="147"/>
      <c r="G2490" s="147"/>
      <c r="H2490" s="147"/>
      <c r="I2490" s="147"/>
      <c r="J2490" s="147"/>
      <c r="K2490" s="147"/>
      <c r="L2490" s="147"/>
      <c r="M2490" s="147"/>
      <c r="N2490" s="147"/>
      <c r="O2490" s="147"/>
      <c r="P2490" s="147"/>
      <c r="Q2490" s="147"/>
      <c r="R2490" s="148"/>
      <c r="S2490" s="148"/>
      <c r="T2490" s="148"/>
      <c r="U2490" s="148"/>
      <c r="V2490" s="148"/>
      <c r="W2490" s="148"/>
      <c r="X2490" s="148"/>
      <c r="Y2490" s="148"/>
      <c r="Z2490" s="148"/>
      <c r="AA2490" s="148"/>
      <c r="AB2490" s="148"/>
      <c r="AC2490" s="148"/>
    </row>
    <row r="2491" spans="1:29" hidden="1">
      <c r="A2491" s="146"/>
      <c r="B2491" s="147"/>
      <c r="C2491" s="147"/>
      <c r="D2491" s="147"/>
      <c r="E2491" s="147"/>
      <c r="F2491" s="147"/>
      <c r="G2491" s="147"/>
      <c r="H2491" s="147"/>
      <c r="I2491" s="147"/>
      <c r="J2491" s="147"/>
      <c r="K2491" s="147"/>
      <c r="L2491" s="147"/>
      <c r="M2491" s="147"/>
      <c r="N2491" s="147"/>
      <c r="O2491" s="147"/>
      <c r="P2491" s="147"/>
      <c r="Q2491" s="147"/>
      <c r="R2491" s="148"/>
      <c r="S2491" s="148"/>
      <c r="T2491" s="148"/>
      <c r="U2491" s="148"/>
      <c r="V2491" s="148"/>
      <c r="W2491" s="148"/>
      <c r="X2491" s="148"/>
      <c r="Y2491" s="148"/>
      <c r="Z2491" s="148"/>
      <c r="AA2491" s="148"/>
      <c r="AB2491" s="148"/>
      <c r="AC2491" s="148"/>
    </row>
    <row r="2492" spans="1:29" hidden="1">
      <c r="A2492" s="146"/>
      <c r="B2492" s="147"/>
      <c r="C2492" s="147"/>
      <c r="D2492" s="147"/>
      <c r="E2492" s="147"/>
      <c r="F2492" s="147"/>
      <c r="G2492" s="147"/>
      <c r="H2492" s="147"/>
      <c r="I2492" s="147"/>
      <c r="J2492" s="147"/>
      <c r="K2492" s="147"/>
      <c r="L2492" s="147"/>
      <c r="M2492" s="147"/>
      <c r="N2492" s="147"/>
      <c r="O2492" s="147"/>
      <c r="P2492" s="147"/>
      <c r="Q2492" s="147"/>
      <c r="R2492" s="148"/>
      <c r="S2492" s="148"/>
      <c r="T2492" s="148"/>
      <c r="U2492" s="148"/>
      <c r="V2492" s="148"/>
      <c r="W2492" s="148"/>
      <c r="X2492" s="148"/>
      <c r="Y2492" s="148"/>
      <c r="Z2492" s="148"/>
      <c r="AA2492" s="148"/>
      <c r="AB2492" s="148"/>
      <c r="AC2492" s="148"/>
    </row>
    <row r="2493" spans="1:29" hidden="1">
      <c r="A2493" s="146"/>
      <c r="B2493" s="147"/>
      <c r="C2493" s="147"/>
      <c r="D2493" s="147"/>
      <c r="E2493" s="147"/>
      <c r="F2493" s="147"/>
      <c r="G2493" s="147"/>
      <c r="H2493" s="147"/>
      <c r="I2493" s="147"/>
      <c r="J2493" s="147"/>
      <c r="K2493" s="147"/>
      <c r="L2493" s="147"/>
      <c r="M2493" s="147"/>
      <c r="N2493" s="147"/>
      <c r="O2493" s="147"/>
      <c r="P2493" s="147"/>
      <c r="Q2493" s="147"/>
      <c r="R2493" s="148"/>
      <c r="S2493" s="148"/>
      <c r="T2493" s="148"/>
      <c r="U2493" s="148"/>
      <c r="V2493" s="148"/>
      <c r="W2493" s="148"/>
      <c r="X2493" s="148"/>
      <c r="Y2493" s="148"/>
      <c r="Z2493" s="148"/>
      <c r="AA2493" s="148"/>
      <c r="AB2493" s="148"/>
      <c r="AC2493" s="148"/>
    </row>
    <row r="2494" spans="1:29" hidden="1">
      <c r="A2494" s="146"/>
      <c r="B2494" s="147"/>
      <c r="C2494" s="147"/>
      <c r="D2494" s="147"/>
      <c r="E2494" s="147"/>
      <c r="F2494" s="147"/>
      <c r="G2494" s="147"/>
      <c r="H2494" s="147"/>
      <c r="I2494" s="147"/>
      <c r="J2494" s="147"/>
      <c r="K2494" s="147"/>
      <c r="L2494" s="147"/>
      <c r="M2494" s="147"/>
      <c r="N2494" s="147"/>
      <c r="O2494" s="147"/>
      <c r="P2494" s="147"/>
      <c r="Q2494" s="147"/>
      <c r="R2494" s="148"/>
      <c r="S2494" s="148"/>
      <c r="T2494" s="148"/>
      <c r="U2494" s="148"/>
      <c r="V2494" s="148"/>
      <c r="W2494" s="148"/>
      <c r="X2494" s="148"/>
      <c r="Y2494" s="148"/>
      <c r="Z2494" s="148"/>
      <c r="AA2494" s="148"/>
      <c r="AB2494" s="148"/>
      <c r="AC2494" s="148"/>
    </row>
    <row r="2495" spans="1:29" hidden="1">
      <c r="A2495" s="146"/>
      <c r="B2495" s="147"/>
      <c r="C2495" s="147"/>
      <c r="D2495" s="147"/>
      <c r="E2495" s="147"/>
      <c r="F2495" s="147"/>
      <c r="G2495" s="147"/>
      <c r="H2495" s="147"/>
      <c r="I2495" s="147"/>
      <c r="J2495" s="147"/>
      <c r="K2495" s="147"/>
      <c r="L2495" s="147"/>
      <c r="M2495" s="147"/>
      <c r="N2495" s="147"/>
      <c r="O2495" s="147"/>
      <c r="P2495" s="147"/>
      <c r="Q2495" s="147"/>
      <c r="R2495" s="148"/>
      <c r="S2495" s="148"/>
      <c r="T2495" s="148"/>
      <c r="U2495" s="148"/>
      <c r="V2495" s="148"/>
      <c r="W2495" s="148"/>
      <c r="X2495" s="148"/>
      <c r="Y2495" s="148"/>
      <c r="Z2495" s="148"/>
      <c r="AA2495" s="148"/>
      <c r="AB2495" s="148"/>
      <c r="AC2495" s="148"/>
    </row>
    <row r="2496" spans="1:29" hidden="1">
      <c r="A2496" s="146"/>
      <c r="B2496" s="147"/>
      <c r="C2496" s="147"/>
      <c r="D2496" s="147"/>
      <c r="E2496" s="147"/>
      <c r="F2496" s="147"/>
      <c r="G2496" s="147"/>
      <c r="H2496" s="147"/>
      <c r="I2496" s="147"/>
      <c r="J2496" s="147"/>
      <c r="K2496" s="147"/>
      <c r="L2496" s="147"/>
      <c r="M2496" s="147"/>
      <c r="N2496" s="147"/>
      <c r="O2496" s="147"/>
      <c r="P2496" s="147"/>
      <c r="Q2496" s="147"/>
      <c r="R2496" s="148"/>
      <c r="S2496" s="148"/>
      <c r="T2496" s="148"/>
      <c r="U2496" s="148"/>
      <c r="V2496" s="148"/>
      <c r="W2496" s="148"/>
      <c r="X2496" s="148"/>
      <c r="Y2496" s="148"/>
      <c r="Z2496" s="148"/>
      <c r="AA2496" s="148"/>
      <c r="AB2496" s="148"/>
      <c r="AC2496" s="148"/>
    </row>
    <row r="2497" spans="1:29" hidden="1">
      <c r="A2497" s="146"/>
      <c r="B2497" s="147"/>
      <c r="C2497" s="147"/>
      <c r="D2497" s="147"/>
      <c r="E2497" s="147"/>
      <c r="F2497" s="147"/>
      <c r="G2497" s="147"/>
      <c r="H2497" s="147"/>
      <c r="I2497" s="147"/>
      <c r="J2497" s="147"/>
      <c r="K2497" s="147"/>
      <c r="L2497" s="147"/>
      <c r="M2497" s="147"/>
      <c r="N2497" s="147"/>
      <c r="O2497" s="147"/>
      <c r="P2497" s="147"/>
      <c r="Q2497" s="147"/>
      <c r="R2497" s="148"/>
      <c r="S2497" s="148"/>
      <c r="T2497" s="148"/>
      <c r="U2497" s="148"/>
      <c r="V2497" s="148"/>
      <c r="W2497" s="148"/>
      <c r="X2497" s="148"/>
      <c r="Y2497" s="148"/>
      <c r="Z2497" s="148"/>
      <c r="AA2497" s="148"/>
      <c r="AB2497" s="148"/>
      <c r="AC2497" s="148"/>
    </row>
    <row r="2498" spans="1:29" hidden="1">
      <c r="A2498" s="146"/>
      <c r="B2498" s="147"/>
      <c r="C2498" s="147"/>
      <c r="D2498" s="147"/>
      <c r="E2498" s="147"/>
      <c r="F2498" s="147"/>
      <c r="G2498" s="147"/>
      <c r="H2498" s="147"/>
      <c r="I2498" s="147"/>
      <c r="J2498" s="147"/>
      <c r="K2498" s="147"/>
      <c r="L2498" s="147"/>
      <c r="M2498" s="147"/>
      <c r="N2498" s="147"/>
      <c r="O2498" s="147"/>
      <c r="P2498" s="147"/>
      <c r="Q2498" s="147"/>
      <c r="R2498" s="148"/>
      <c r="S2498" s="148"/>
      <c r="T2498" s="148"/>
      <c r="U2498" s="148"/>
      <c r="V2498" s="148"/>
      <c r="W2498" s="148"/>
      <c r="X2498" s="148"/>
      <c r="Y2498" s="148"/>
      <c r="Z2498" s="148"/>
      <c r="AA2498" s="148"/>
      <c r="AB2498" s="148"/>
      <c r="AC2498" s="148"/>
    </row>
    <row r="2499" spans="1:29" hidden="1">
      <c r="A2499" s="146"/>
      <c r="B2499" s="147"/>
      <c r="C2499" s="147"/>
      <c r="D2499" s="147"/>
      <c r="E2499" s="147"/>
      <c r="F2499" s="147"/>
      <c r="G2499" s="147"/>
      <c r="H2499" s="147"/>
      <c r="I2499" s="147"/>
      <c r="J2499" s="147"/>
      <c r="K2499" s="147"/>
      <c r="L2499" s="147"/>
      <c r="M2499" s="147"/>
      <c r="N2499" s="147"/>
      <c r="O2499" s="147"/>
      <c r="P2499" s="147"/>
      <c r="Q2499" s="147"/>
      <c r="R2499" s="148"/>
      <c r="S2499" s="148"/>
      <c r="T2499" s="148"/>
      <c r="U2499" s="148"/>
      <c r="V2499" s="148"/>
      <c r="W2499" s="148"/>
      <c r="X2499" s="148"/>
      <c r="Y2499" s="148"/>
      <c r="Z2499" s="148"/>
      <c r="AA2499" s="148"/>
      <c r="AB2499" s="148"/>
      <c r="AC2499" s="148"/>
    </row>
    <row r="2500" spans="1:29" hidden="1">
      <c r="A2500" s="146"/>
      <c r="B2500" s="147"/>
      <c r="C2500" s="147"/>
      <c r="D2500" s="147"/>
      <c r="E2500" s="147"/>
      <c r="F2500" s="147"/>
      <c r="G2500" s="147"/>
      <c r="H2500" s="147"/>
      <c r="I2500" s="147"/>
      <c r="J2500" s="147"/>
      <c r="K2500" s="147"/>
      <c r="L2500" s="147"/>
      <c r="M2500" s="147"/>
      <c r="N2500" s="147"/>
      <c r="O2500" s="147"/>
      <c r="P2500" s="147"/>
      <c r="Q2500" s="147"/>
      <c r="R2500" s="148"/>
      <c r="S2500" s="148"/>
      <c r="T2500" s="148"/>
      <c r="U2500" s="148"/>
      <c r="V2500" s="148"/>
      <c r="W2500" s="148"/>
      <c r="X2500" s="148"/>
      <c r="Y2500" s="148"/>
      <c r="Z2500" s="148"/>
      <c r="AA2500" s="148"/>
      <c r="AB2500" s="148"/>
      <c r="AC2500" s="148"/>
    </row>
    <row r="2501" spans="1:29" hidden="1">
      <c r="A2501" s="146"/>
      <c r="B2501" s="147"/>
      <c r="C2501" s="147"/>
      <c r="D2501" s="147"/>
      <c r="E2501" s="147"/>
      <c r="F2501" s="147"/>
      <c r="G2501" s="147"/>
      <c r="H2501" s="147"/>
      <c r="I2501" s="147"/>
      <c r="J2501" s="147"/>
      <c r="K2501" s="147"/>
      <c r="L2501" s="147"/>
      <c r="M2501" s="147"/>
      <c r="N2501" s="147"/>
      <c r="O2501" s="147"/>
      <c r="P2501" s="147"/>
      <c r="Q2501" s="147"/>
      <c r="R2501" s="148"/>
      <c r="S2501" s="148"/>
      <c r="T2501" s="148"/>
      <c r="U2501" s="148"/>
      <c r="V2501" s="148"/>
      <c r="W2501" s="148"/>
      <c r="X2501" s="148"/>
      <c r="Y2501" s="148"/>
      <c r="Z2501" s="148"/>
      <c r="AA2501" s="148"/>
      <c r="AB2501" s="148"/>
      <c r="AC2501" s="148"/>
    </row>
    <row r="2502" spans="1:29" hidden="1">
      <c r="A2502" s="146"/>
      <c r="B2502" s="147"/>
      <c r="C2502" s="147"/>
      <c r="D2502" s="147"/>
      <c r="E2502" s="147"/>
      <c r="F2502" s="147"/>
      <c r="G2502" s="147"/>
      <c r="H2502" s="147"/>
      <c r="I2502" s="147"/>
      <c r="J2502" s="147"/>
      <c r="K2502" s="147"/>
      <c r="L2502" s="147"/>
      <c r="M2502" s="147"/>
      <c r="N2502" s="147"/>
      <c r="O2502" s="147"/>
      <c r="P2502" s="147"/>
      <c r="Q2502" s="147"/>
      <c r="R2502" s="148"/>
      <c r="S2502" s="148"/>
      <c r="T2502" s="148"/>
      <c r="U2502" s="148"/>
      <c r="V2502" s="148"/>
      <c r="W2502" s="148"/>
      <c r="X2502" s="148"/>
      <c r="Y2502" s="148"/>
      <c r="Z2502" s="148"/>
      <c r="AA2502" s="148"/>
      <c r="AB2502" s="148"/>
      <c r="AC2502" s="148"/>
    </row>
    <row r="2503" spans="1:29" hidden="1">
      <c r="A2503" s="146"/>
      <c r="B2503" s="147"/>
      <c r="C2503" s="147"/>
      <c r="D2503" s="147"/>
      <c r="E2503" s="147"/>
      <c r="F2503" s="147"/>
      <c r="G2503" s="147"/>
      <c r="H2503" s="147"/>
      <c r="I2503" s="147"/>
      <c r="J2503" s="147"/>
      <c r="K2503" s="147"/>
      <c r="L2503" s="147"/>
      <c r="M2503" s="147"/>
      <c r="N2503" s="147"/>
      <c r="O2503" s="147"/>
      <c r="P2503" s="147"/>
      <c r="Q2503" s="147"/>
      <c r="R2503" s="148"/>
      <c r="S2503" s="148"/>
      <c r="T2503" s="148"/>
      <c r="U2503" s="148"/>
      <c r="V2503" s="148"/>
      <c r="W2503" s="148"/>
      <c r="X2503" s="148"/>
      <c r="Y2503" s="148"/>
      <c r="Z2503" s="148"/>
      <c r="AA2503" s="148"/>
      <c r="AB2503" s="148"/>
      <c r="AC2503" s="148"/>
    </row>
    <row r="2504" spans="1:29" hidden="1">
      <c r="A2504" s="146"/>
      <c r="B2504" s="147"/>
      <c r="C2504" s="147"/>
      <c r="D2504" s="147"/>
      <c r="E2504" s="147"/>
      <c r="F2504" s="147"/>
      <c r="G2504" s="147"/>
      <c r="H2504" s="147"/>
      <c r="I2504" s="147"/>
      <c r="J2504" s="147"/>
      <c r="K2504" s="147"/>
      <c r="L2504" s="147"/>
      <c r="M2504" s="147"/>
      <c r="N2504" s="147"/>
      <c r="O2504" s="147"/>
      <c r="P2504" s="147"/>
      <c r="Q2504" s="147"/>
      <c r="R2504" s="148"/>
      <c r="S2504" s="148"/>
      <c r="T2504" s="148"/>
      <c r="U2504" s="148"/>
      <c r="V2504" s="148"/>
      <c r="W2504" s="148"/>
      <c r="X2504" s="148"/>
      <c r="Y2504" s="148"/>
      <c r="Z2504" s="148"/>
      <c r="AA2504" s="148"/>
      <c r="AB2504" s="148"/>
      <c r="AC2504" s="148"/>
    </row>
    <row r="2505" spans="1:29" hidden="1">
      <c r="A2505" s="146"/>
      <c r="B2505" s="147"/>
      <c r="C2505" s="147"/>
      <c r="D2505" s="147"/>
      <c r="E2505" s="147"/>
      <c r="F2505" s="147"/>
      <c r="G2505" s="147"/>
      <c r="H2505" s="147"/>
      <c r="I2505" s="147"/>
      <c r="J2505" s="147"/>
      <c r="K2505" s="147"/>
      <c r="L2505" s="147"/>
      <c r="M2505" s="147"/>
      <c r="N2505" s="147"/>
      <c r="O2505" s="147"/>
      <c r="P2505" s="147"/>
      <c r="Q2505" s="147"/>
      <c r="R2505" s="148"/>
      <c r="S2505" s="148"/>
      <c r="T2505" s="148"/>
      <c r="U2505" s="148"/>
      <c r="V2505" s="148"/>
      <c r="W2505" s="148"/>
      <c r="X2505" s="148"/>
      <c r="Y2505" s="148"/>
      <c r="Z2505" s="148"/>
      <c r="AA2505" s="148"/>
      <c r="AB2505" s="148"/>
      <c r="AC2505" s="148"/>
    </row>
    <row r="2506" spans="1:29" hidden="1">
      <c r="A2506" s="146"/>
      <c r="B2506" s="147"/>
      <c r="C2506" s="147"/>
      <c r="D2506" s="147"/>
      <c r="E2506" s="147"/>
      <c r="F2506" s="147"/>
      <c r="G2506" s="147"/>
      <c r="H2506" s="147"/>
      <c r="I2506" s="147"/>
      <c r="J2506" s="147"/>
      <c r="K2506" s="147"/>
      <c r="L2506" s="147"/>
      <c r="M2506" s="147"/>
      <c r="N2506" s="147"/>
      <c r="O2506" s="147"/>
      <c r="P2506" s="147"/>
      <c r="Q2506" s="147"/>
      <c r="R2506" s="148"/>
      <c r="S2506" s="148"/>
      <c r="T2506" s="148"/>
      <c r="U2506" s="148"/>
      <c r="V2506" s="148"/>
      <c r="W2506" s="148"/>
      <c r="X2506" s="148"/>
      <c r="Y2506" s="148"/>
      <c r="Z2506" s="148"/>
      <c r="AA2506" s="148"/>
      <c r="AB2506" s="148"/>
      <c r="AC2506" s="148"/>
    </row>
    <row r="2507" spans="1:29" hidden="1">
      <c r="A2507" s="146"/>
      <c r="B2507" s="147"/>
      <c r="C2507" s="147"/>
      <c r="D2507" s="147"/>
      <c r="E2507" s="147"/>
      <c r="F2507" s="147"/>
      <c r="G2507" s="147"/>
      <c r="H2507" s="147"/>
      <c r="I2507" s="147"/>
      <c r="J2507" s="147"/>
      <c r="K2507" s="147"/>
      <c r="L2507" s="147"/>
      <c r="M2507" s="147"/>
      <c r="N2507" s="147"/>
      <c r="O2507" s="147"/>
      <c r="P2507" s="147"/>
      <c r="Q2507" s="147"/>
      <c r="R2507" s="148"/>
      <c r="S2507" s="148"/>
      <c r="T2507" s="148"/>
      <c r="U2507" s="148"/>
      <c r="V2507" s="148"/>
      <c r="W2507" s="148"/>
      <c r="X2507" s="148"/>
      <c r="Y2507" s="148"/>
      <c r="Z2507" s="148"/>
      <c r="AA2507" s="148"/>
      <c r="AB2507" s="148"/>
      <c r="AC2507" s="148"/>
    </row>
    <row r="2508" spans="1:29" hidden="1">
      <c r="A2508" s="146"/>
      <c r="B2508" s="147"/>
      <c r="C2508" s="147"/>
      <c r="D2508" s="147"/>
      <c r="E2508" s="147"/>
      <c r="F2508" s="147"/>
      <c r="G2508" s="147"/>
      <c r="H2508" s="147"/>
      <c r="I2508" s="147"/>
      <c r="J2508" s="147"/>
      <c r="K2508" s="147"/>
      <c r="L2508" s="147"/>
      <c r="M2508" s="147"/>
      <c r="N2508" s="147"/>
      <c r="O2508" s="147"/>
      <c r="P2508" s="147"/>
      <c r="Q2508" s="147"/>
      <c r="R2508" s="148"/>
      <c r="S2508" s="148"/>
      <c r="T2508" s="148"/>
      <c r="U2508" s="148"/>
      <c r="V2508" s="148"/>
      <c r="W2508" s="148"/>
      <c r="X2508" s="148"/>
      <c r="Y2508" s="148"/>
      <c r="Z2508" s="148"/>
      <c r="AA2508" s="148"/>
      <c r="AB2508" s="148"/>
      <c r="AC2508" s="148"/>
    </row>
    <row r="2509" spans="1:29" hidden="1">
      <c r="A2509" s="146"/>
      <c r="B2509" s="147"/>
      <c r="C2509" s="147"/>
      <c r="D2509" s="147"/>
      <c r="E2509" s="147"/>
      <c r="F2509" s="147"/>
      <c r="G2509" s="147"/>
      <c r="H2509" s="147"/>
      <c r="I2509" s="147"/>
      <c r="J2509" s="147"/>
      <c r="K2509" s="147"/>
      <c r="L2509" s="147"/>
      <c r="M2509" s="147"/>
      <c r="N2509" s="147"/>
      <c r="O2509" s="147"/>
      <c r="P2509" s="147"/>
      <c r="Q2509" s="147"/>
      <c r="R2509" s="148"/>
      <c r="S2509" s="148"/>
      <c r="T2509" s="148"/>
      <c r="U2509" s="148"/>
      <c r="V2509" s="148"/>
      <c r="W2509" s="148"/>
      <c r="X2509" s="148"/>
      <c r="Y2509" s="148"/>
      <c r="Z2509" s="148"/>
      <c r="AA2509" s="148"/>
      <c r="AB2509" s="148"/>
      <c r="AC2509" s="148"/>
    </row>
    <row r="2510" spans="1:29" hidden="1">
      <c r="A2510" s="146"/>
      <c r="B2510" s="147"/>
      <c r="C2510" s="147"/>
      <c r="D2510" s="147"/>
      <c r="E2510" s="147"/>
      <c r="F2510" s="147"/>
      <c r="G2510" s="147"/>
      <c r="H2510" s="147"/>
      <c r="I2510" s="147"/>
      <c r="J2510" s="147"/>
      <c r="K2510" s="147"/>
      <c r="L2510" s="147"/>
      <c r="M2510" s="147"/>
      <c r="N2510" s="147"/>
      <c r="O2510" s="147"/>
      <c r="P2510" s="147"/>
      <c r="Q2510" s="147"/>
      <c r="R2510" s="148"/>
      <c r="S2510" s="148"/>
      <c r="T2510" s="148"/>
      <c r="U2510" s="148"/>
      <c r="V2510" s="148"/>
      <c r="W2510" s="148"/>
      <c r="X2510" s="148"/>
      <c r="Y2510" s="148"/>
      <c r="Z2510" s="148"/>
      <c r="AA2510" s="148"/>
      <c r="AB2510" s="148"/>
      <c r="AC2510" s="148"/>
    </row>
    <row r="2511" spans="1:29" hidden="1">
      <c r="A2511" s="146"/>
      <c r="B2511" s="147"/>
      <c r="C2511" s="147"/>
      <c r="D2511" s="147"/>
      <c r="E2511" s="147"/>
      <c r="F2511" s="147"/>
      <c r="G2511" s="147"/>
      <c r="H2511" s="147"/>
      <c r="I2511" s="147"/>
      <c r="J2511" s="147"/>
      <c r="K2511" s="147"/>
      <c r="L2511" s="147"/>
      <c r="M2511" s="147"/>
      <c r="N2511" s="147"/>
      <c r="O2511" s="147"/>
      <c r="P2511" s="147"/>
      <c r="Q2511" s="147"/>
      <c r="R2511" s="148"/>
      <c r="S2511" s="148"/>
      <c r="T2511" s="148"/>
      <c r="U2511" s="148"/>
      <c r="V2511" s="148"/>
      <c r="W2511" s="148"/>
      <c r="X2511" s="148"/>
      <c r="Y2511" s="148"/>
      <c r="Z2511" s="148"/>
      <c r="AA2511" s="148"/>
      <c r="AB2511" s="148"/>
      <c r="AC2511" s="148"/>
    </row>
    <row r="2512" spans="1:29" hidden="1">
      <c r="A2512" s="146"/>
      <c r="B2512" s="147"/>
      <c r="C2512" s="147"/>
      <c r="D2512" s="147"/>
      <c r="E2512" s="147"/>
      <c r="F2512" s="147"/>
      <c r="G2512" s="147"/>
      <c r="H2512" s="147"/>
      <c r="I2512" s="147"/>
      <c r="J2512" s="147"/>
      <c r="K2512" s="147"/>
      <c r="L2512" s="147"/>
      <c r="M2512" s="147"/>
      <c r="N2512" s="147"/>
      <c r="O2512" s="147"/>
      <c r="P2512" s="147"/>
      <c r="Q2512" s="147"/>
      <c r="R2512" s="148"/>
      <c r="S2512" s="148"/>
      <c r="T2512" s="148"/>
      <c r="U2512" s="148"/>
      <c r="V2512" s="148"/>
      <c r="W2512" s="148"/>
      <c r="X2512" s="148"/>
      <c r="Y2512" s="148"/>
      <c r="Z2512" s="148"/>
      <c r="AA2512" s="148"/>
      <c r="AB2512" s="148"/>
      <c r="AC2512" s="148"/>
    </row>
    <row r="2513" spans="1:29" hidden="1">
      <c r="A2513" s="146"/>
      <c r="B2513" s="147"/>
      <c r="C2513" s="147"/>
      <c r="D2513" s="147"/>
      <c r="E2513" s="147"/>
      <c r="F2513" s="147"/>
      <c r="G2513" s="147"/>
      <c r="H2513" s="147"/>
      <c r="I2513" s="147"/>
      <c r="J2513" s="147"/>
      <c r="K2513" s="147"/>
      <c r="L2513" s="147"/>
      <c r="M2513" s="147"/>
      <c r="N2513" s="147"/>
      <c r="O2513" s="147"/>
      <c r="P2513" s="147"/>
      <c r="Q2513" s="147"/>
      <c r="R2513" s="148"/>
      <c r="S2513" s="148"/>
      <c r="T2513" s="148"/>
      <c r="U2513" s="148"/>
      <c r="V2513" s="148"/>
      <c r="W2513" s="148"/>
      <c r="X2513" s="148"/>
      <c r="Y2513" s="148"/>
      <c r="Z2513" s="148"/>
      <c r="AA2513" s="148"/>
      <c r="AB2513" s="148"/>
      <c r="AC2513" s="148"/>
    </row>
    <row r="2514" spans="1:29" hidden="1">
      <c r="A2514" s="146"/>
      <c r="B2514" s="147"/>
      <c r="C2514" s="147"/>
      <c r="D2514" s="147"/>
      <c r="E2514" s="147"/>
      <c r="F2514" s="147"/>
      <c r="G2514" s="147"/>
      <c r="H2514" s="147"/>
      <c r="I2514" s="147"/>
      <c r="J2514" s="147"/>
      <c r="K2514" s="147"/>
      <c r="L2514" s="147"/>
      <c r="M2514" s="147"/>
      <c r="N2514" s="147"/>
      <c r="O2514" s="147"/>
      <c r="P2514" s="147"/>
      <c r="Q2514" s="147"/>
      <c r="R2514" s="148"/>
      <c r="S2514" s="148"/>
      <c r="T2514" s="148"/>
      <c r="U2514" s="148"/>
      <c r="V2514" s="148"/>
      <c r="W2514" s="148"/>
      <c r="X2514" s="148"/>
      <c r="Y2514" s="148"/>
      <c r="Z2514" s="148"/>
      <c r="AA2514" s="148"/>
      <c r="AB2514" s="148"/>
      <c r="AC2514" s="148"/>
    </row>
    <row r="2515" spans="1:29" hidden="1">
      <c r="A2515" s="146"/>
      <c r="B2515" s="147"/>
      <c r="C2515" s="147"/>
      <c r="D2515" s="147"/>
      <c r="E2515" s="147"/>
      <c r="F2515" s="147"/>
      <c r="G2515" s="147"/>
      <c r="H2515" s="147"/>
      <c r="I2515" s="147"/>
      <c r="J2515" s="147"/>
      <c r="K2515" s="147"/>
      <c r="L2515" s="147"/>
      <c r="M2515" s="147"/>
      <c r="N2515" s="147"/>
      <c r="O2515" s="147"/>
      <c r="P2515" s="147"/>
      <c r="Q2515" s="147"/>
      <c r="R2515" s="148"/>
      <c r="S2515" s="148"/>
      <c r="T2515" s="148"/>
      <c r="U2515" s="148"/>
      <c r="V2515" s="148"/>
      <c r="W2515" s="148"/>
      <c r="X2515" s="148"/>
      <c r="Y2515" s="148"/>
      <c r="Z2515" s="148"/>
      <c r="AA2515" s="148"/>
      <c r="AB2515" s="148"/>
      <c r="AC2515" s="148"/>
    </row>
    <row r="2516" spans="1:29" hidden="1">
      <c r="A2516" s="146"/>
      <c r="B2516" s="147"/>
      <c r="C2516" s="147"/>
      <c r="D2516" s="147"/>
      <c r="E2516" s="147"/>
      <c r="F2516" s="147"/>
      <c r="G2516" s="147"/>
      <c r="H2516" s="147"/>
      <c r="I2516" s="147"/>
      <c r="J2516" s="147"/>
      <c r="K2516" s="147"/>
      <c r="L2516" s="147"/>
      <c r="M2516" s="147"/>
      <c r="N2516" s="147"/>
      <c r="O2516" s="147"/>
      <c r="P2516" s="147"/>
      <c r="Q2516" s="147"/>
      <c r="R2516" s="148"/>
      <c r="S2516" s="148"/>
      <c r="T2516" s="148"/>
      <c r="U2516" s="148"/>
      <c r="V2516" s="148"/>
      <c r="W2516" s="148"/>
      <c r="X2516" s="148"/>
      <c r="Y2516" s="148"/>
      <c r="Z2516" s="148"/>
      <c r="AA2516" s="148"/>
      <c r="AB2516" s="148"/>
      <c r="AC2516" s="148"/>
    </row>
    <row r="2517" spans="1:29" hidden="1">
      <c r="A2517" s="146"/>
      <c r="B2517" s="147"/>
      <c r="C2517" s="147"/>
      <c r="D2517" s="147"/>
      <c r="E2517" s="147"/>
      <c r="F2517" s="147"/>
      <c r="G2517" s="147"/>
      <c r="H2517" s="147"/>
      <c r="I2517" s="147"/>
      <c r="J2517" s="147"/>
      <c r="K2517" s="147"/>
      <c r="L2517" s="147"/>
      <c r="M2517" s="147"/>
      <c r="N2517" s="147"/>
      <c r="O2517" s="147"/>
      <c r="P2517" s="147"/>
      <c r="Q2517" s="147"/>
      <c r="R2517" s="148"/>
      <c r="S2517" s="148"/>
      <c r="T2517" s="148"/>
      <c r="U2517" s="148"/>
      <c r="V2517" s="148"/>
      <c r="W2517" s="148"/>
      <c r="X2517" s="148"/>
      <c r="Y2517" s="148"/>
      <c r="Z2517" s="148"/>
      <c r="AA2517" s="148"/>
      <c r="AB2517" s="148"/>
      <c r="AC2517" s="148"/>
    </row>
    <row r="2518" spans="1:29" hidden="1">
      <c r="A2518" s="146"/>
      <c r="B2518" s="147"/>
      <c r="C2518" s="147"/>
      <c r="D2518" s="147"/>
      <c r="E2518" s="147"/>
      <c r="F2518" s="147"/>
      <c r="G2518" s="147"/>
      <c r="H2518" s="147"/>
      <c r="I2518" s="147"/>
      <c r="J2518" s="147"/>
      <c r="K2518" s="147"/>
      <c r="L2518" s="147"/>
      <c r="M2518" s="147"/>
      <c r="N2518" s="147"/>
      <c r="O2518" s="147"/>
      <c r="P2518" s="147"/>
      <c r="Q2518" s="147"/>
      <c r="R2518" s="148"/>
      <c r="S2518" s="148"/>
      <c r="T2518" s="148"/>
      <c r="U2518" s="148"/>
      <c r="V2518" s="148"/>
      <c r="W2518" s="148"/>
      <c r="X2518" s="148"/>
      <c r="Y2518" s="148"/>
      <c r="Z2518" s="148"/>
      <c r="AA2518" s="148"/>
      <c r="AB2518" s="148"/>
      <c r="AC2518" s="148"/>
    </row>
    <row r="2519" spans="1:29" hidden="1">
      <c r="A2519" s="146"/>
      <c r="B2519" s="147"/>
      <c r="C2519" s="147"/>
      <c r="D2519" s="147"/>
      <c r="E2519" s="147"/>
      <c r="F2519" s="147"/>
      <c r="G2519" s="147"/>
      <c r="H2519" s="147"/>
      <c r="I2519" s="147"/>
      <c r="J2519" s="147"/>
      <c r="K2519" s="147"/>
      <c r="L2519" s="147"/>
      <c r="M2519" s="147"/>
      <c r="N2519" s="147"/>
      <c r="O2519" s="147"/>
      <c r="P2519" s="147"/>
      <c r="Q2519" s="147"/>
      <c r="R2519" s="148"/>
      <c r="S2519" s="148"/>
      <c r="T2519" s="148"/>
      <c r="U2519" s="148"/>
      <c r="V2519" s="148"/>
      <c r="W2519" s="148"/>
      <c r="X2519" s="148"/>
      <c r="Y2519" s="148"/>
      <c r="Z2519" s="148"/>
      <c r="AA2519" s="148"/>
      <c r="AB2519" s="148"/>
      <c r="AC2519" s="148"/>
    </row>
    <row r="2520" spans="1:29" hidden="1">
      <c r="A2520" s="146"/>
      <c r="B2520" s="147"/>
      <c r="C2520" s="147"/>
      <c r="D2520" s="147"/>
      <c r="E2520" s="147"/>
      <c r="F2520" s="147"/>
      <c r="G2520" s="147"/>
      <c r="H2520" s="147"/>
      <c r="I2520" s="147"/>
      <c r="J2520" s="147"/>
      <c r="K2520" s="147"/>
      <c r="L2520" s="147"/>
      <c r="M2520" s="147"/>
      <c r="N2520" s="147"/>
      <c r="O2520" s="147"/>
      <c r="P2520" s="147"/>
      <c r="Q2520" s="147"/>
      <c r="R2520" s="148"/>
      <c r="S2520" s="148"/>
      <c r="T2520" s="148"/>
      <c r="U2520" s="148"/>
      <c r="V2520" s="148"/>
      <c r="W2520" s="148"/>
      <c r="X2520" s="148"/>
      <c r="Y2520" s="148"/>
      <c r="Z2520" s="148"/>
      <c r="AA2520" s="148"/>
      <c r="AB2520" s="148"/>
      <c r="AC2520" s="148"/>
    </row>
    <row r="2521" spans="1:29" hidden="1">
      <c r="A2521" s="146"/>
      <c r="B2521" s="147"/>
      <c r="C2521" s="147"/>
      <c r="D2521" s="147"/>
      <c r="E2521" s="147"/>
      <c r="F2521" s="147"/>
      <c r="G2521" s="147"/>
      <c r="H2521" s="147"/>
      <c r="I2521" s="147"/>
      <c r="J2521" s="147"/>
      <c r="K2521" s="147"/>
      <c r="L2521" s="147"/>
      <c r="M2521" s="147"/>
      <c r="N2521" s="147"/>
      <c r="O2521" s="147"/>
      <c r="P2521" s="147"/>
      <c r="Q2521" s="147"/>
      <c r="R2521" s="148"/>
      <c r="S2521" s="148"/>
      <c r="T2521" s="148"/>
      <c r="U2521" s="148"/>
      <c r="V2521" s="148"/>
      <c r="W2521" s="148"/>
      <c r="X2521" s="148"/>
      <c r="Y2521" s="148"/>
      <c r="Z2521" s="148"/>
      <c r="AA2521" s="148"/>
      <c r="AB2521" s="148"/>
      <c r="AC2521" s="148"/>
    </row>
    <row r="2522" spans="1:29" hidden="1">
      <c r="A2522" s="146"/>
      <c r="B2522" s="147"/>
      <c r="C2522" s="147"/>
      <c r="D2522" s="147"/>
      <c r="E2522" s="147"/>
      <c r="F2522" s="147"/>
      <c r="G2522" s="147"/>
      <c r="H2522" s="147"/>
      <c r="I2522" s="147"/>
      <c r="J2522" s="147"/>
      <c r="K2522" s="147"/>
      <c r="L2522" s="147"/>
      <c r="M2522" s="147"/>
      <c r="N2522" s="147"/>
      <c r="O2522" s="147"/>
      <c r="P2522" s="147"/>
      <c r="Q2522" s="147"/>
      <c r="R2522" s="148"/>
      <c r="S2522" s="148"/>
      <c r="T2522" s="148"/>
      <c r="U2522" s="148"/>
      <c r="V2522" s="148"/>
      <c r="W2522" s="148"/>
      <c r="X2522" s="148"/>
      <c r="Y2522" s="148"/>
      <c r="Z2522" s="148"/>
      <c r="AA2522" s="148"/>
      <c r="AB2522" s="148"/>
      <c r="AC2522" s="148"/>
    </row>
    <row r="2523" spans="1:29" hidden="1">
      <c r="A2523" s="146"/>
      <c r="B2523" s="147"/>
      <c r="C2523" s="147"/>
      <c r="D2523" s="147"/>
      <c r="E2523" s="147"/>
      <c r="F2523" s="147"/>
      <c r="G2523" s="147"/>
      <c r="H2523" s="147"/>
      <c r="I2523" s="147"/>
      <c r="J2523" s="147"/>
      <c r="K2523" s="147"/>
      <c r="L2523" s="147"/>
      <c r="M2523" s="147"/>
      <c r="N2523" s="147"/>
      <c r="O2523" s="147"/>
      <c r="P2523" s="147"/>
      <c r="Q2523" s="147"/>
      <c r="R2523" s="148"/>
      <c r="S2523" s="148"/>
      <c r="T2523" s="148"/>
      <c r="U2523" s="148"/>
      <c r="V2523" s="148"/>
      <c r="W2523" s="148"/>
      <c r="X2523" s="148"/>
      <c r="Y2523" s="148"/>
      <c r="Z2523" s="148"/>
      <c r="AA2523" s="148"/>
      <c r="AB2523" s="148"/>
      <c r="AC2523" s="148"/>
    </row>
    <row r="2524" spans="1:29" hidden="1">
      <c r="A2524" s="146"/>
      <c r="B2524" s="147"/>
      <c r="C2524" s="147"/>
      <c r="D2524" s="147"/>
      <c r="E2524" s="147"/>
      <c r="F2524" s="147"/>
      <c r="G2524" s="147"/>
      <c r="H2524" s="147"/>
      <c r="I2524" s="147"/>
      <c r="J2524" s="147"/>
      <c r="K2524" s="147"/>
      <c r="L2524" s="147"/>
      <c r="M2524" s="147"/>
      <c r="N2524" s="147"/>
      <c r="O2524" s="147"/>
      <c r="P2524" s="147"/>
      <c r="Q2524" s="147"/>
      <c r="R2524" s="148"/>
      <c r="S2524" s="148"/>
      <c r="T2524" s="148"/>
      <c r="U2524" s="148"/>
      <c r="V2524" s="148"/>
      <c r="W2524" s="148"/>
      <c r="X2524" s="148"/>
      <c r="Y2524" s="148"/>
      <c r="Z2524" s="148"/>
      <c r="AA2524" s="148"/>
      <c r="AB2524" s="148"/>
      <c r="AC2524" s="148"/>
    </row>
    <row r="2525" spans="1:29" hidden="1">
      <c r="A2525" s="146"/>
      <c r="B2525" s="147"/>
      <c r="C2525" s="147"/>
      <c r="D2525" s="147"/>
      <c r="E2525" s="147"/>
      <c r="F2525" s="147"/>
      <c r="G2525" s="147"/>
      <c r="H2525" s="147"/>
      <c r="I2525" s="147"/>
      <c r="J2525" s="147"/>
      <c r="K2525" s="147"/>
      <c r="L2525" s="147"/>
      <c r="M2525" s="147"/>
      <c r="N2525" s="147"/>
      <c r="O2525" s="147"/>
      <c r="P2525" s="147"/>
      <c r="Q2525" s="147"/>
      <c r="R2525" s="148"/>
      <c r="S2525" s="148"/>
      <c r="T2525" s="148"/>
      <c r="U2525" s="148"/>
      <c r="V2525" s="148"/>
      <c r="W2525" s="148"/>
      <c r="X2525" s="148"/>
      <c r="Y2525" s="148"/>
      <c r="Z2525" s="148"/>
      <c r="AA2525" s="148"/>
      <c r="AB2525" s="148"/>
      <c r="AC2525" s="148"/>
    </row>
    <row r="2526" spans="1:29" hidden="1">
      <c r="A2526" s="146"/>
      <c r="B2526" s="147"/>
      <c r="C2526" s="147"/>
      <c r="D2526" s="147"/>
      <c r="E2526" s="147"/>
      <c r="F2526" s="147"/>
      <c r="G2526" s="147"/>
      <c r="H2526" s="147"/>
      <c r="I2526" s="147"/>
      <c r="J2526" s="147"/>
      <c r="K2526" s="147"/>
      <c r="L2526" s="147"/>
      <c r="M2526" s="147"/>
      <c r="N2526" s="147"/>
      <c r="O2526" s="147"/>
      <c r="P2526" s="147"/>
      <c r="Q2526" s="147"/>
      <c r="R2526" s="148"/>
      <c r="S2526" s="148"/>
      <c r="T2526" s="148"/>
      <c r="U2526" s="148"/>
      <c r="V2526" s="148"/>
      <c r="W2526" s="148"/>
      <c r="X2526" s="148"/>
      <c r="Y2526" s="148"/>
      <c r="Z2526" s="148"/>
      <c r="AA2526" s="148"/>
      <c r="AB2526" s="148"/>
      <c r="AC2526" s="148"/>
    </row>
    <row r="2527" spans="1:29" hidden="1">
      <c r="A2527" s="146"/>
      <c r="B2527" s="147"/>
      <c r="C2527" s="147"/>
      <c r="D2527" s="147"/>
      <c r="E2527" s="147"/>
      <c r="F2527" s="147"/>
      <c r="G2527" s="147"/>
      <c r="H2527" s="147"/>
      <c r="I2527" s="147"/>
      <c r="J2527" s="147"/>
      <c r="K2527" s="147"/>
      <c r="L2527" s="147"/>
      <c r="M2527" s="147"/>
      <c r="N2527" s="147"/>
      <c r="O2527" s="147"/>
      <c r="P2527" s="147"/>
      <c r="Q2527" s="147"/>
      <c r="R2527" s="148"/>
      <c r="S2527" s="148"/>
      <c r="T2527" s="148"/>
      <c r="U2527" s="148"/>
      <c r="V2527" s="148"/>
      <c r="W2527" s="148"/>
      <c r="X2527" s="148"/>
      <c r="Y2527" s="148"/>
      <c r="Z2527" s="148"/>
      <c r="AA2527" s="148"/>
      <c r="AB2527" s="148"/>
      <c r="AC2527" s="148"/>
    </row>
    <row r="2528" spans="1:29" hidden="1">
      <c r="A2528" s="146"/>
      <c r="B2528" s="147"/>
      <c r="C2528" s="147"/>
      <c r="D2528" s="147"/>
      <c r="E2528" s="147"/>
      <c r="F2528" s="147"/>
      <c r="G2528" s="147"/>
      <c r="H2528" s="147"/>
      <c r="I2528" s="147"/>
      <c r="J2528" s="147"/>
      <c r="K2528" s="147"/>
      <c r="L2528" s="147"/>
      <c r="M2528" s="147"/>
      <c r="N2528" s="147"/>
      <c r="O2528" s="147"/>
      <c r="P2528" s="147"/>
      <c r="Q2528" s="147"/>
      <c r="R2528" s="148"/>
      <c r="S2528" s="148"/>
      <c r="T2528" s="148"/>
      <c r="U2528" s="148"/>
      <c r="V2528" s="148"/>
      <c r="W2528" s="148"/>
      <c r="X2528" s="148"/>
      <c r="Y2528" s="148"/>
      <c r="Z2528" s="148"/>
      <c r="AA2528" s="148"/>
      <c r="AB2528" s="148"/>
      <c r="AC2528" s="148"/>
    </row>
    <row r="2529" spans="1:29" hidden="1">
      <c r="A2529" s="146"/>
      <c r="B2529" s="147"/>
      <c r="C2529" s="147"/>
      <c r="D2529" s="147"/>
      <c r="E2529" s="147"/>
      <c r="F2529" s="147"/>
      <c r="G2529" s="147"/>
      <c r="H2529" s="147"/>
      <c r="I2529" s="147"/>
      <c r="J2529" s="147"/>
      <c r="K2529" s="147"/>
      <c r="L2529" s="147"/>
      <c r="M2529" s="147"/>
      <c r="N2529" s="147"/>
      <c r="O2529" s="147"/>
      <c r="P2529" s="147"/>
      <c r="Q2529" s="147"/>
      <c r="R2529" s="148"/>
      <c r="S2529" s="148"/>
      <c r="T2529" s="148"/>
      <c r="U2529" s="148"/>
      <c r="V2529" s="148"/>
      <c r="W2529" s="148"/>
      <c r="X2529" s="148"/>
      <c r="Y2529" s="148"/>
      <c r="Z2529" s="148"/>
      <c r="AA2529" s="148"/>
      <c r="AB2529" s="148"/>
      <c r="AC2529" s="148"/>
    </row>
    <row r="2530" spans="1:29" hidden="1">
      <c r="A2530" s="146"/>
      <c r="B2530" s="147"/>
      <c r="C2530" s="147"/>
      <c r="D2530" s="147"/>
      <c r="E2530" s="147"/>
      <c r="F2530" s="147"/>
      <c r="G2530" s="147"/>
      <c r="H2530" s="147"/>
      <c r="I2530" s="147"/>
      <c r="J2530" s="147"/>
      <c r="K2530" s="147"/>
      <c r="L2530" s="147"/>
      <c r="M2530" s="147"/>
      <c r="N2530" s="147"/>
      <c r="O2530" s="147"/>
      <c r="P2530" s="147"/>
      <c r="Q2530" s="147"/>
      <c r="R2530" s="148"/>
      <c r="S2530" s="148"/>
      <c r="T2530" s="148"/>
      <c r="U2530" s="148"/>
      <c r="V2530" s="148"/>
      <c r="W2530" s="148"/>
      <c r="X2530" s="148"/>
      <c r="Y2530" s="148"/>
      <c r="Z2530" s="148"/>
      <c r="AA2530" s="148"/>
      <c r="AB2530" s="148"/>
      <c r="AC2530" s="148"/>
    </row>
    <row r="2531" spans="1:29" hidden="1">
      <c r="A2531" s="146"/>
      <c r="B2531" s="147"/>
      <c r="C2531" s="147"/>
      <c r="D2531" s="147"/>
      <c r="E2531" s="147"/>
      <c r="F2531" s="147"/>
      <c r="G2531" s="147"/>
      <c r="H2531" s="147"/>
      <c r="I2531" s="147"/>
      <c r="J2531" s="147"/>
      <c r="K2531" s="147"/>
      <c r="L2531" s="147"/>
      <c r="M2531" s="147"/>
      <c r="N2531" s="147"/>
      <c r="O2531" s="147"/>
      <c r="P2531" s="147"/>
      <c r="Q2531" s="147"/>
      <c r="R2531" s="148"/>
      <c r="S2531" s="148"/>
      <c r="T2531" s="148"/>
      <c r="U2531" s="148"/>
      <c r="V2531" s="148"/>
      <c r="W2531" s="148"/>
      <c r="X2531" s="148"/>
      <c r="Y2531" s="148"/>
      <c r="Z2531" s="148"/>
      <c r="AA2531" s="148"/>
      <c r="AB2531" s="148"/>
      <c r="AC2531" s="148"/>
    </row>
    <row r="2532" spans="1:29" hidden="1">
      <c r="A2532" s="146"/>
      <c r="B2532" s="147"/>
      <c r="C2532" s="147"/>
      <c r="D2532" s="147"/>
      <c r="E2532" s="147"/>
      <c r="F2532" s="147"/>
      <c r="G2532" s="147"/>
      <c r="H2532" s="147"/>
      <c r="I2532" s="147"/>
      <c r="J2532" s="147"/>
      <c r="K2532" s="147"/>
      <c r="L2532" s="147"/>
      <c r="M2532" s="147"/>
      <c r="N2532" s="147"/>
      <c r="O2532" s="147"/>
      <c r="P2532" s="147"/>
      <c r="Q2532" s="147"/>
      <c r="R2532" s="148"/>
      <c r="S2532" s="148"/>
      <c r="T2532" s="148"/>
      <c r="U2532" s="148"/>
      <c r="V2532" s="148"/>
      <c r="W2532" s="148"/>
      <c r="X2532" s="148"/>
      <c r="Y2532" s="148"/>
      <c r="Z2532" s="148"/>
      <c r="AA2532" s="148"/>
      <c r="AB2532" s="148"/>
      <c r="AC2532" s="148"/>
    </row>
    <row r="2533" spans="1:29" hidden="1">
      <c r="A2533" s="146"/>
      <c r="B2533" s="147"/>
      <c r="C2533" s="147"/>
      <c r="D2533" s="147"/>
      <c r="E2533" s="147"/>
      <c r="F2533" s="147"/>
      <c r="G2533" s="147"/>
      <c r="H2533" s="147"/>
      <c r="I2533" s="147"/>
      <c r="J2533" s="147"/>
      <c r="K2533" s="147"/>
      <c r="L2533" s="147"/>
      <c r="M2533" s="147"/>
      <c r="N2533" s="147"/>
      <c r="O2533" s="147"/>
      <c r="P2533" s="147"/>
      <c r="Q2533" s="147"/>
      <c r="R2533" s="148"/>
      <c r="S2533" s="148"/>
      <c r="T2533" s="148"/>
      <c r="U2533" s="148"/>
      <c r="V2533" s="148"/>
      <c r="W2533" s="148"/>
      <c r="X2533" s="148"/>
      <c r="Y2533" s="148"/>
      <c r="Z2533" s="148"/>
      <c r="AA2533" s="148"/>
      <c r="AB2533" s="148"/>
      <c r="AC2533" s="148"/>
    </row>
    <row r="2534" spans="1:29" hidden="1">
      <c r="A2534" s="146"/>
      <c r="B2534" s="147"/>
      <c r="C2534" s="147"/>
      <c r="D2534" s="147"/>
      <c r="E2534" s="147"/>
      <c r="F2534" s="147"/>
      <c r="G2534" s="147"/>
      <c r="H2534" s="147"/>
      <c r="I2534" s="147"/>
      <c r="J2534" s="147"/>
      <c r="K2534" s="147"/>
      <c r="L2534" s="147"/>
      <c r="M2534" s="147"/>
      <c r="N2534" s="147"/>
      <c r="O2534" s="147"/>
      <c r="P2534" s="147"/>
      <c r="Q2534" s="147"/>
      <c r="R2534" s="148"/>
      <c r="S2534" s="148"/>
      <c r="T2534" s="148"/>
      <c r="U2534" s="148"/>
      <c r="V2534" s="148"/>
      <c r="W2534" s="148"/>
      <c r="X2534" s="148"/>
      <c r="Y2534" s="148"/>
      <c r="Z2534" s="148"/>
      <c r="AA2534" s="148"/>
      <c r="AB2534" s="148"/>
      <c r="AC2534" s="148"/>
    </row>
    <row r="2535" spans="1:29" hidden="1">
      <c r="A2535" s="146"/>
      <c r="B2535" s="147"/>
      <c r="C2535" s="147"/>
      <c r="D2535" s="147"/>
      <c r="E2535" s="147"/>
      <c r="F2535" s="147"/>
      <c r="G2535" s="147"/>
      <c r="H2535" s="147"/>
      <c r="I2535" s="147"/>
      <c r="J2535" s="147"/>
      <c r="K2535" s="147"/>
      <c r="L2535" s="147"/>
      <c r="M2535" s="147"/>
      <c r="N2535" s="147"/>
      <c r="O2535" s="147"/>
      <c r="P2535" s="147"/>
      <c r="Q2535" s="147"/>
      <c r="R2535" s="148"/>
      <c r="S2535" s="148"/>
      <c r="T2535" s="148"/>
      <c r="U2535" s="148"/>
      <c r="V2535" s="148"/>
      <c r="W2535" s="148"/>
      <c r="X2535" s="148"/>
      <c r="Y2535" s="148"/>
      <c r="Z2535" s="148"/>
      <c r="AA2535" s="148"/>
      <c r="AB2535" s="148"/>
      <c r="AC2535" s="148"/>
    </row>
    <row r="2536" spans="1:29" hidden="1">
      <c r="A2536" s="146"/>
      <c r="B2536" s="147"/>
      <c r="C2536" s="147"/>
      <c r="D2536" s="147"/>
      <c r="E2536" s="147"/>
      <c r="F2536" s="147"/>
      <c r="G2536" s="147"/>
      <c r="H2536" s="147"/>
      <c r="I2536" s="147"/>
      <c r="J2536" s="147"/>
      <c r="K2536" s="147"/>
      <c r="L2536" s="147"/>
      <c r="M2536" s="147"/>
      <c r="N2536" s="147"/>
      <c r="O2536" s="147"/>
      <c r="P2536" s="147"/>
      <c r="Q2536" s="147"/>
      <c r="R2536" s="148"/>
      <c r="S2536" s="148"/>
      <c r="T2536" s="148"/>
      <c r="U2536" s="148"/>
      <c r="V2536" s="148"/>
      <c r="W2536" s="148"/>
      <c r="X2536" s="148"/>
      <c r="Y2536" s="148"/>
      <c r="Z2536" s="148"/>
      <c r="AA2536" s="148"/>
      <c r="AB2536" s="148"/>
      <c r="AC2536" s="148"/>
    </row>
    <row r="2537" spans="1:29" hidden="1">
      <c r="A2537" s="146"/>
      <c r="B2537" s="147"/>
      <c r="C2537" s="147"/>
      <c r="D2537" s="147"/>
      <c r="E2537" s="147"/>
      <c r="F2537" s="147"/>
      <c r="G2537" s="147"/>
      <c r="H2537" s="147"/>
      <c r="I2537" s="147"/>
      <c r="J2537" s="147"/>
      <c r="K2537" s="147"/>
      <c r="L2537" s="147"/>
      <c r="M2537" s="147"/>
      <c r="N2537" s="147"/>
      <c r="O2537" s="147"/>
      <c r="P2537" s="147"/>
      <c r="Q2537" s="147"/>
      <c r="R2537" s="148"/>
      <c r="S2537" s="148"/>
      <c r="T2537" s="148"/>
      <c r="U2537" s="148"/>
      <c r="V2537" s="148"/>
      <c r="W2537" s="148"/>
      <c r="X2537" s="148"/>
      <c r="Y2537" s="148"/>
      <c r="Z2537" s="148"/>
      <c r="AA2537" s="148"/>
      <c r="AB2537" s="148"/>
      <c r="AC2537" s="148"/>
    </row>
    <row r="2538" spans="1:29" hidden="1">
      <c r="A2538" s="146"/>
      <c r="B2538" s="147"/>
      <c r="C2538" s="147"/>
      <c r="D2538" s="147"/>
      <c r="E2538" s="147"/>
      <c r="F2538" s="147"/>
      <c r="G2538" s="147"/>
      <c r="H2538" s="147"/>
      <c r="I2538" s="147"/>
      <c r="J2538" s="147"/>
      <c r="K2538" s="147"/>
      <c r="L2538" s="147"/>
      <c r="M2538" s="147"/>
      <c r="N2538" s="147"/>
      <c r="O2538" s="147"/>
      <c r="P2538" s="147"/>
      <c r="Q2538" s="147"/>
      <c r="R2538" s="148"/>
      <c r="S2538" s="148"/>
      <c r="T2538" s="148"/>
      <c r="U2538" s="148"/>
      <c r="V2538" s="148"/>
      <c r="W2538" s="148"/>
      <c r="X2538" s="148"/>
      <c r="Y2538" s="148"/>
      <c r="Z2538" s="148"/>
      <c r="AA2538" s="148"/>
      <c r="AB2538" s="148"/>
      <c r="AC2538" s="148"/>
    </row>
    <row r="2539" spans="1:29" hidden="1">
      <c r="A2539" s="146"/>
      <c r="B2539" s="147"/>
      <c r="C2539" s="147"/>
      <c r="D2539" s="147"/>
      <c r="E2539" s="147"/>
      <c r="F2539" s="147"/>
      <c r="G2539" s="147"/>
      <c r="H2539" s="147"/>
      <c r="I2539" s="147"/>
      <c r="J2539" s="147"/>
      <c r="K2539" s="147"/>
      <c r="L2539" s="147"/>
      <c r="M2539" s="147"/>
      <c r="N2539" s="147"/>
      <c r="O2539" s="147"/>
      <c r="P2539" s="147"/>
      <c r="Q2539" s="147"/>
      <c r="R2539" s="148"/>
      <c r="S2539" s="148"/>
      <c r="T2539" s="148"/>
      <c r="U2539" s="148"/>
      <c r="V2539" s="148"/>
      <c r="W2539" s="148"/>
      <c r="X2539" s="148"/>
      <c r="Y2539" s="148"/>
      <c r="Z2539" s="148"/>
      <c r="AA2539" s="148"/>
      <c r="AB2539" s="148"/>
      <c r="AC2539" s="148"/>
    </row>
    <row r="2540" spans="1:29" hidden="1">
      <c r="A2540" s="146"/>
      <c r="B2540" s="147"/>
      <c r="C2540" s="147"/>
      <c r="D2540" s="147"/>
      <c r="E2540" s="147"/>
      <c r="F2540" s="147"/>
      <c r="G2540" s="147"/>
      <c r="H2540" s="147"/>
      <c r="I2540" s="147"/>
      <c r="J2540" s="147"/>
      <c r="K2540" s="147"/>
      <c r="L2540" s="147"/>
      <c r="M2540" s="147"/>
      <c r="N2540" s="147"/>
      <c r="O2540" s="147"/>
      <c r="P2540" s="147"/>
      <c r="Q2540" s="147"/>
      <c r="R2540" s="148"/>
      <c r="S2540" s="148"/>
      <c r="T2540" s="148"/>
      <c r="U2540" s="148"/>
      <c r="V2540" s="148"/>
      <c r="W2540" s="148"/>
      <c r="X2540" s="148"/>
      <c r="Y2540" s="148"/>
      <c r="Z2540" s="148"/>
      <c r="AA2540" s="148"/>
      <c r="AB2540" s="148"/>
      <c r="AC2540" s="148"/>
    </row>
    <row r="2541" spans="1:29" hidden="1">
      <c r="A2541" s="146"/>
      <c r="B2541" s="147"/>
      <c r="C2541" s="147"/>
      <c r="D2541" s="147"/>
      <c r="E2541" s="147"/>
      <c r="F2541" s="147"/>
      <c r="G2541" s="147"/>
      <c r="H2541" s="147"/>
      <c r="I2541" s="147"/>
      <c r="J2541" s="147"/>
      <c r="K2541" s="147"/>
      <c r="L2541" s="147"/>
      <c r="M2541" s="147"/>
      <c r="N2541" s="147"/>
      <c r="O2541" s="147"/>
      <c r="P2541" s="147"/>
      <c r="Q2541" s="147"/>
      <c r="R2541" s="148"/>
      <c r="S2541" s="148"/>
      <c r="T2541" s="148"/>
      <c r="U2541" s="148"/>
      <c r="V2541" s="148"/>
      <c r="W2541" s="148"/>
      <c r="X2541" s="148"/>
      <c r="Y2541" s="148"/>
      <c r="Z2541" s="148"/>
      <c r="AA2541" s="148"/>
      <c r="AB2541" s="148"/>
      <c r="AC2541" s="148"/>
    </row>
    <row r="2542" spans="1:29" hidden="1">
      <c r="A2542" s="146"/>
      <c r="B2542" s="147"/>
      <c r="C2542" s="147"/>
      <c r="D2542" s="147"/>
      <c r="E2542" s="147"/>
      <c r="F2542" s="147"/>
      <c r="G2542" s="147"/>
      <c r="H2542" s="147"/>
      <c r="I2542" s="147"/>
      <c r="J2542" s="147"/>
      <c r="K2542" s="147"/>
      <c r="L2542" s="147"/>
      <c r="M2542" s="147"/>
      <c r="N2542" s="147"/>
      <c r="O2542" s="147"/>
      <c r="P2542" s="147"/>
      <c r="Q2542" s="147"/>
      <c r="R2542" s="148"/>
      <c r="S2542" s="148"/>
      <c r="T2542" s="148"/>
      <c r="U2542" s="148"/>
      <c r="V2542" s="148"/>
      <c r="W2542" s="148"/>
      <c r="X2542" s="148"/>
      <c r="Y2542" s="148"/>
      <c r="Z2542" s="148"/>
      <c r="AA2542" s="148"/>
      <c r="AB2542" s="148"/>
      <c r="AC2542" s="148"/>
    </row>
    <row r="2543" spans="1:29" hidden="1">
      <c r="A2543" s="146"/>
      <c r="B2543" s="147"/>
      <c r="C2543" s="147"/>
      <c r="D2543" s="147"/>
      <c r="E2543" s="147"/>
      <c r="F2543" s="147"/>
      <c r="G2543" s="147"/>
      <c r="H2543" s="147"/>
      <c r="I2543" s="147"/>
      <c r="J2543" s="147"/>
      <c r="K2543" s="147"/>
      <c r="L2543" s="147"/>
      <c r="M2543" s="147"/>
      <c r="N2543" s="147"/>
      <c r="O2543" s="147"/>
      <c r="P2543" s="147"/>
      <c r="Q2543" s="147"/>
      <c r="R2543" s="148"/>
      <c r="S2543" s="148"/>
      <c r="T2543" s="148"/>
      <c r="U2543" s="148"/>
      <c r="V2543" s="148"/>
      <c r="W2543" s="148"/>
      <c r="X2543" s="148"/>
      <c r="Y2543" s="148"/>
      <c r="Z2543" s="148"/>
      <c r="AA2543" s="148"/>
      <c r="AB2543" s="148"/>
      <c r="AC2543" s="148"/>
    </row>
    <row r="2544" spans="1:29" hidden="1">
      <c r="A2544" s="146"/>
      <c r="B2544" s="147"/>
      <c r="C2544" s="147"/>
      <c r="D2544" s="147"/>
      <c r="E2544" s="147"/>
      <c r="F2544" s="147"/>
      <c r="G2544" s="147"/>
      <c r="H2544" s="147"/>
      <c r="I2544" s="147"/>
      <c r="J2544" s="147"/>
      <c r="K2544" s="147"/>
      <c r="L2544" s="147"/>
      <c r="M2544" s="147"/>
      <c r="N2544" s="147"/>
      <c r="O2544" s="147"/>
      <c r="P2544" s="147"/>
      <c r="Q2544" s="147"/>
      <c r="R2544" s="148"/>
      <c r="S2544" s="148"/>
      <c r="T2544" s="148"/>
      <c r="U2544" s="148"/>
      <c r="V2544" s="148"/>
      <c r="W2544" s="148"/>
      <c r="X2544" s="148"/>
      <c r="Y2544" s="148"/>
      <c r="Z2544" s="148"/>
      <c r="AA2544" s="148"/>
      <c r="AB2544" s="148"/>
      <c r="AC2544" s="148"/>
    </row>
    <row r="2545" spans="1:29" hidden="1">
      <c r="A2545" s="146"/>
      <c r="B2545" s="147"/>
      <c r="C2545" s="147"/>
      <c r="D2545" s="147"/>
      <c r="E2545" s="147"/>
      <c r="F2545" s="147"/>
      <c r="G2545" s="147"/>
      <c r="H2545" s="147"/>
      <c r="I2545" s="147"/>
      <c r="J2545" s="147"/>
      <c r="K2545" s="147"/>
      <c r="L2545" s="147"/>
      <c r="M2545" s="147"/>
      <c r="N2545" s="147"/>
      <c r="O2545" s="147"/>
      <c r="P2545" s="147"/>
      <c r="Q2545" s="147"/>
      <c r="R2545" s="148"/>
      <c r="S2545" s="148"/>
      <c r="T2545" s="148"/>
      <c r="U2545" s="148"/>
      <c r="V2545" s="148"/>
      <c r="W2545" s="148"/>
      <c r="X2545" s="148"/>
      <c r="Y2545" s="148"/>
      <c r="Z2545" s="148"/>
      <c r="AA2545" s="148"/>
      <c r="AB2545" s="148"/>
      <c r="AC2545" s="148"/>
    </row>
    <row r="2546" spans="1:29" hidden="1">
      <c r="A2546" s="146"/>
      <c r="B2546" s="147"/>
      <c r="C2546" s="147"/>
      <c r="D2546" s="147"/>
      <c r="E2546" s="147"/>
      <c r="F2546" s="147"/>
      <c r="G2546" s="147"/>
      <c r="H2546" s="147"/>
      <c r="I2546" s="147"/>
      <c r="J2546" s="147"/>
      <c r="K2546" s="147"/>
      <c r="L2546" s="147"/>
      <c r="M2546" s="147"/>
      <c r="N2546" s="147"/>
      <c r="O2546" s="147"/>
      <c r="P2546" s="147"/>
      <c r="Q2546" s="147"/>
      <c r="R2546" s="148"/>
      <c r="S2546" s="148"/>
      <c r="T2546" s="148"/>
      <c r="U2546" s="148"/>
      <c r="V2546" s="148"/>
      <c r="W2546" s="148"/>
      <c r="X2546" s="148"/>
      <c r="Y2546" s="148"/>
      <c r="Z2546" s="148"/>
      <c r="AA2546" s="148"/>
      <c r="AB2546" s="148"/>
      <c r="AC2546" s="148"/>
    </row>
    <row r="2547" spans="1:29" hidden="1">
      <c r="A2547" s="146"/>
      <c r="B2547" s="147"/>
      <c r="C2547" s="147"/>
      <c r="D2547" s="147"/>
      <c r="E2547" s="147"/>
      <c r="F2547" s="147"/>
      <c r="G2547" s="147"/>
      <c r="H2547" s="147"/>
      <c r="I2547" s="147"/>
      <c r="J2547" s="147"/>
      <c r="K2547" s="147"/>
      <c r="L2547" s="147"/>
      <c r="M2547" s="147"/>
      <c r="N2547" s="147"/>
      <c r="O2547" s="147"/>
      <c r="P2547" s="147"/>
      <c r="Q2547" s="147"/>
      <c r="R2547" s="148"/>
      <c r="S2547" s="148"/>
      <c r="T2547" s="148"/>
      <c r="U2547" s="148"/>
      <c r="V2547" s="148"/>
      <c r="W2547" s="148"/>
      <c r="X2547" s="148"/>
      <c r="Y2547" s="148"/>
      <c r="Z2547" s="148"/>
      <c r="AA2547" s="148"/>
      <c r="AB2547" s="148"/>
      <c r="AC2547" s="148"/>
    </row>
    <row r="2548" spans="1:29" hidden="1">
      <c r="A2548" s="146"/>
      <c r="B2548" s="147"/>
      <c r="C2548" s="147"/>
      <c r="D2548" s="147"/>
      <c r="E2548" s="147"/>
      <c r="F2548" s="147"/>
      <c r="G2548" s="147"/>
      <c r="H2548" s="147"/>
      <c r="I2548" s="147"/>
      <c r="J2548" s="147"/>
      <c r="K2548" s="147"/>
      <c r="L2548" s="147"/>
      <c r="M2548" s="147"/>
      <c r="N2548" s="147"/>
      <c r="O2548" s="147"/>
      <c r="P2548" s="147"/>
      <c r="Q2548" s="147"/>
      <c r="R2548" s="148"/>
      <c r="S2548" s="148"/>
      <c r="T2548" s="148"/>
      <c r="U2548" s="148"/>
      <c r="V2548" s="148"/>
      <c r="W2548" s="148"/>
      <c r="X2548" s="148"/>
      <c r="Y2548" s="148"/>
      <c r="Z2548" s="148"/>
      <c r="AA2548" s="148"/>
      <c r="AB2548" s="148"/>
      <c r="AC2548" s="148"/>
    </row>
    <row r="2549" spans="1:29" hidden="1">
      <c r="A2549" s="146"/>
      <c r="B2549" s="147"/>
      <c r="C2549" s="147"/>
      <c r="D2549" s="147"/>
      <c r="E2549" s="147"/>
      <c r="F2549" s="147"/>
      <c r="G2549" s="147"/>
      <c r="H2549" s="147"/>
      <c r="I2549" s="147"/>
      <c r="J2549" s="147"/>
      <c r="K2549" s="147"/>
      <c r="L2549" s="147"/>
      <c r="M2549" s="147"/>
      <c r="N2549" s="147"/>
      <c r="O2549" s="147"/>
      <c r="P2549" s="147"/>
      <c r="Q2549" s="147"/>
      <c r="R2549" s="148"/>
      <c r="S2549" s="148"/>
      <c r="T2549" s="148"/>
      <c r="U2549" s="148"/>
      <c r="V2549" s="148"/>
      <c r="W2549" s="148"/>
      <c r="X2549" s="148"/>
      <c r="Y2549" s="148"/>
      <c r="Z2549" s="148"/>
      <c r="AA2549" s="148"/>
      <c r="AB2549" s="148"/>
      <c r="AC2549" s="148"/>
    </row>
    <row r="2550" spans="1:29" hidden="1">
      <c r="A2550" s="146"/>
      <c r="B2550" s="147"/>
      <c r="C2550" s="147"/>
      <c r="D2550" s="147"/>
      <c r="E2550" s="147"/>
      <c r="F2550" s="147"/>
      <c r="G2550" s="147"/>
      <c r="H2550" s="147"/>
      <c r="I2550" s="147"/>
      <c r="J2550" s="147"/>
      <c r="K2550" s="147"/>
      <c r="L2550" s="147"/>
      <c r="M2550" s="147"/>
      <c r="N2550" s="147"/>
      <c r="O2550" s="147"/>
      <c r="P2550" s="147"/>
      <c r="Q2550" s="147"/>
      <c r="R2550" s="148"/>
      <c r="S2550" s="148"/>
      <c r="T2550" s="148"/>
      <c r="U2550" s="148"/>
      <c r="V2550" s="148"/>
      <c r="W2550" s="148"/>
      <c r="X2550" s="148"/>
      <c r="Y2550" s="148"/>
      <c r="Z2550" s="148"/>
      <c r="AA2550" s="148"/>
      <c r="AB2550" s="148"/>
      <c r="AC2550" s="148"/>
    </row>
    <row r="2551" spans="1:29" hidden="1">
      <c r="A2551" s="146"/>
      <c r="B2551" s="147"/>
      <c r="C2551" s="147"/>
      <c r="D2551" s="147"/>
      <c r="E2551" s="147"/>
      <c r="F2551" s="147"/>
      <c r="G2551" s="147"/>
      <c r="H2551" s="147"/>
      <c r="I2551" s="147"/>
      <c r="J2551" s="147"/>
      <c r="K2551" s="147"/>
      <c r="L2551" s="147"/>
      <c r="M2551" s="147"/>
      <c r="N2551" s="147"/>
      <c r="O2551" s="147"/>
      <c r="P2551" s="147"/>
      <c r="Q2551" s="147"/>
      <c r="R2551" s="148"/>
      <c r="S2551" s="148"/>
      <c r="T2551" s="148"/>
      <c r="U2551" s="148"/>
      <c r="V2551" s="148"/>
      <c r="W2551" s="148"/>
      <c r="X2551" s="148"/>
      <c r="Y2551" s="148"/>
      <c r="Z2551" s="148"/>
      <c r="AA2551" s="148"/>
      <c r="AB2551" s="148"/>
      <c r="AC2551" s="148"/>
    </row>
    <row r="2552" spans="1:29" hidden="1">
      <c r="A2552" s="146"/>
      <c r="B2552" s="147"/>
      <c r="C2552" s="147"/>
      <c r="D2552" s="147"/>
      <c r="E2552" s="147"/>
      <c r="F2552" s="147"/>
      <c r="G2552" s="147"/>
      <c r="H2552" s="147"/>
      <c r="I2552" s="147"/>
      <c r="J2552" s="147"/>
      <c r="K2552" s="147"/>
      <c r="L2552" s="147"/>
      <c r="M2552" s="147"/>
      <c r="N2552" s="147"/>
      <c r="O2552" s="147"/>
      <c r="P2552" s="147"/>
      <c r="Q2552" s="147"/>
      <c r="R2552" s="148"/>
      <c r="S2552" s="148"/>
      <c r="T2552" s="148"/>
      <c r="U2552" s="148"/>
      <c r="V2552" s="148"/>
      <c r="W2552" s="148"/>
      <c r="X2552" s="148"/>
      <c r="Y2552" s="148"/>
      <c r="Z2552" s="148"/>
      <c r="AA2552" s="148"/>
      <c r="AB2552" s="148"/>
      <c r="AC2552" s="148"/>
    </row>
    <row r="2553" spans="1:29" hidden="1">
      <c r="A2553" s="146"/>
      <c r="B2553" s="147"/>
      <c r="C2553" s="147"/>
      <c r="D2553" s="147"/>
      <c r="E2553" s="147"/>
      <c r="F2553" s="147"/>
      <c r="G2553" s="147"/>
      <c r="H2553" s="147"/>
      <c r="I2553" s="147"/>
      <c r="J2553" s="147"/>
      <c r="K2553" s="147"/>
      <c r="L2553" s="147"/>
      <c r="M2553" s="147"/>
      <c r="N2553" s="147"/>
      <c r="O2553" s="147"/>
      <c r="P2553" s="147"/>
      <c r="Q2553" s="147"/>
      <c r="R2553" s="148"/>
      <c r="S2553" s="148"/>
      <c r="T2553" s="148"/>
      <c r="U2553" s="148"/>
      <c r="V2553" s="148"/>
      <c r="W2553" s="148"/>
      <c r="X2553" s="148"/>
      <c r="Y2553" s="148"/>
      <c r="Z2553" s="148"/>
      <c r="AA2553" s="148"/>
      <c r="AB2553" s="148"/>
      <c r="AC2553" s="148"/>
    </row>
    <row r="2554" spans="1:29" hidden="1">
      <c r="A2554" s="146"/>
      <c r="B2554" s="147"/>
      <c r="C2554" s="147"/>
      <c r="D2554" s="147"/>
      <c r="E2554" s="147"/>
      <c r="F2554" s="147"/>
      <c r="G2554" s="147"/>
      <c r="H2554" s="147"/>
      <c r="I2554" s="147"/>
      <c r="J2554" s="147"/>
      <c r="K2554" s="147"/>
      <c r="L2554" s="147"/>
      <c r="M2554" s="147"/>
      <c r="N2554" s="147"/>
      <c r="O2554" s="147"/>
      <c r="P2554" s="147"/>
      <c r="Q2554" s="147"/>
      <c r="R2554" s="148"/>
      <c r="S2554" s="148"/>
      <c r="T2554" s="148"/>
      <c r="U2554" s="148"/>
      <c r="V2554" s="148"/>
      <c r="W2554" s="148"/>
      <c r="X2554" s="148"/>
      <c r="Y2554" s="148"/>
      <c r="Z2554" s="148"/>
      <c r="AA2554" s="148"/>
      <c r="AB2554" s="148"/>
      <c r="AC2554" s="148"/>
    </row>
    <row r="2555" spans="1:29" hidden="1">
      <c r="A2555" s="146"/>
      <c r="B2555" s="147"/>
      <c r="C2555" s="147"/>
      <c r="D2555" s="147"/>
      <c r="E2555" s="147"/>
      <c r="F2555" s="147"/>
      <c r="G2555" s="147"/>
      <c r="H2555" s="147"/>
      <c r="I2555" s="147"/>
      <c r="J2555" s="147"/>
      <c r="K2555" s="147"/>
      <c r="L2555" s="147"/>
      <c r="M2555" s="147"/>
      <c r="N2555" s="147"/>
      <c r="O2555" s="147"/>
      <c r="P2555" s="147"/>
      <c r="Q2555" s="147"/>
      <c r="R2555" s="148"/>
      <c r="S2555" s="148"/>
      <c r="T2555" s="148"/>
      <c r="U2555" s="148"/>
      <c r="V2555" s="148"/>
      <c r="W2555" s="148"/>
      <c r="X2555" s="148"/>
      <c r="Y2555" s="148"/>
      <c r="Z2555" s="148"/>
      <c r="AA2555" s="148"/>
      <c r="AB2555" s="148"/>
      <c r="AC2555" s="148"/>
    </row>
    <row r="2556" spans="1:29" hidden="1">
      <c r="A2556" s="146"/>
      <c r="B2556" s="147"/>
      <c r="C2556" s="147"/>
      <c r="D2556" s="147"/>
      <c r="E2556" s="147"/>
      <c r="F2556" s="147"/>
      <c r="G2556" s="147"/>
      <c r="H2556" s="147"/>
      <c r="I2556" s="147"/>
      <c r="J2556" s="147"/>
      <c r="K2556" s="147"/>
      <c r="L2556" s="147"/>
      <c r="M2556" s="147"/>
      <c r="N2556" s="147"/>
      <c r="O2556" s="147"/>
      <c r="P2556" s="147"/>
      <c r="Q2556" s="147"/>
      <c r="R2556" s="148"/>
      <c r="S2556" s="148"/>
      <c r="T2556" s="148"/>
      <c r="U2556" s="148"/>
      <c r="V2556" s="148"/>
      <c r="W2556" s="148"/>
      <c r="X2556" s="148"/>
      <c r="Y2556" s="148"/>
      <c r="Z2556" s="148"/>
      <c r="AA2556" s="148"/>
      <c r="AB2556" s="148"/>
      <c r="AC2556" s="148"/>
    </row>
    <row r="2557" spans="1:29" hidden="1">
      <c r="A2557" s="146"/>
      <c r="B2557" s="147"/>
      <c r="C2557" s="147"/>
      <c r="D2557" s="147"/>
      <c r="E2557" s="147"/>
      <c r="F2557" s="147"/>
      <c r="G2557" s="147"/>
      <c r="H2557" s="147"/>
      <c r="I2557" s="147"/>
      <c r="J2557" s="147"/>
      <c r="K2557" s="147"/>
      <c r="L2557" s="147"/>
      <c r="M2557" s="147"/>
      <c r="N2557" s="147"/>
      <c r="O2557" s="147"/>
      <c r="P2557" s="147"/>
      <c r="Q2557" s="147"/>
      <c r="R2557" s="148"/>
      <c r="S2557" s="148"/>
      <c r="T2557" s="148"/>
      <c r="U2557" s="148"/>
      <c r="V2557" s="148"/>
      <c r="W2557" s="148"/>
      <c r="X2557" s="148"/>
      <c r="Y2557" s="148"/>
      <c r="Z2557" s="148"/>
      <c r="AA2557" s="148"/>
      <c r="AB2557" s="148"/>
      <c r="AC2557" s="148"/>
    </row>
    <row r="2558" spans="1:29" hidden="1">
      <c r="A2558" s="146"/>
      <c r="B2558" s="147"/>
      <c r="C2558" s="147"/>
      <c r="D2558" s="147"/>
      <c r="E2558" s="147"/>
      <c r="F2558" s="147"/>
      <c r="G2558" s="147"/>
      <c r="H2558" s="147"/>
      <c r="I2558" s="147"/>
      <c r="J2558" s="147"/>
      <c r="K2558" s="147"/>
      <c r="L2558" s="147"/>
      <c r="M2558" s="147"/>
      <c r="N2558" s="147"/>
      <c r="O2558" s="147"/>
      <c r="P2558" s="147"/>
      <c r="Q2558" s="147"/>
      <c r="R2558" s="148"/>
      <c r="S2558" s="148"/>
      <c r="T2558" s="148"/>
      <c r="U2558" s="148"/>
      <c r="V2558" s="148"/>
      <c r="W2558" s="148"/>
      <c r="X2558" s="148"/>
      <c r="Y2558" s="148"/>
      <c r="Z2558" s="148"/>
      <c r="AA2558" s="148"/>
      <c r="AB2558" s="148"/>
      <c r="AC2558" s="148"/>
    </row>
    <row r="2559" spans="1:29" hidden="1">
      <c r="A2559" s="146"/>
      <c r="B2559" s="147"/>
      <c r="C2559" s="147"/>
      <c r="D2559" s="147"/>
      <c r="E2559" s="147"/>
      <c r="F2559" s="147"/>
      <c r="G2559" s="147"/>
      <c r="H2559" s="147"/>
      <c r="I2559" s="147"/>
      <c r="J2559" s="147"/>
      <c r="K2559" s="147"/>
      <c r="L2559" s="147"/>
      <c r="M2559" s="147"/>
      <c r="N2559" s="147"/>
      <c r="O2559" s="147"/>
      <c r="P2559" s="147"/>
      <c r="Q2559" s="147"/>
      <c r="R2559" s="148"/>
      <c r="S2559" s="148"/>
      <c r="T2559" s="148"/>
      <c r="U2559" s="148"/>
      <c r="V2559" s="148"/>
      <c r="W2559" s="148"/>
      <c r="X2559" s="148"/>
      <c r="Y2559" s="148"/>
      <c r="Z2559" s="148"/>
      <c r="AA2559" s="148"/>
      <c r="AB2559" s="148"/>
      <c r="AC2559" s="148"/>
    </row>
    <row r="2560" spans="1:29" hidden="1">
      <c r="A2560" s="146"/>
      <c r="B2560" s="147"/>
      <c r="C2560" s="147"/>
      <c r="D2560" s="147"/>
      <c r="E2560" s="147"/>
      <c r="F2560" s="147"/>
      <c r="G2560" s="147"/>
      <c r="H2560" s="147"/>
      <c r="I2560" s="147"/>
      <c r="J2560" s="147"/>
      <c r="K2560" s="147"/>
      <c r="L2560" s="147"/>
      <c r="M2560" s="147"/>
      <c r="N2560" s="147"/>
      <c r="O2560" s="147"/>
      <c r="P2560" s="147"/>
      <c r="Q2560" s="147"/>
      <c r="R2560" s="148"/>
      <c r="S2560" s="148"/>
      <c r="T2560" s="148"/>
      <c r="U2560" s="148"/>
      <c r="V2560" s="148"/>
      <c r="W2560" s="148"/>
      <c r="X2560" s="148"/>
      <c r="Y2560" s="148"/>
      <c r="Z2560" s="148"/>
      <c r="AA2560" s="148"/>
      <c r="AB2560" s="148"/>
      <c r="AC2560" s="148"/>
    </row>
    <row r="2561" spans="1:29" hidden="1">
      <c r="A2561" s="146"/>
      <c r="B2561" s="147"/>
      <c r="C2561" s="147"/>
      <c r="D2561" s="147"/>
      <c r="E2561" s="147"/>
      <c r="F2561" s="147"/>
      <c r="G2561" s="147"/>
      <c r="H2561" s="147"/>
      <c r="I2561" s="147"/>
      <c r="J2561" s="147"/>
      <c r="K2561" s="147"/>
      <c r="L2561" s="147"/>
      <c r="M2561" s="147"/>
      <c r="N2561" s="147"/>
      <c r="O2561" s="147"/>
      <c r="P2561" s="147"/>
      <c r="Q2561" s="147"/>
      <c r="R2561" s="148"/>
      <c r="S2561" s="148"/>
      <c r="T2561" s="148"/>
      <c r="U2561" s="148"/>
      <c r="V2561" s="148"/>
      <c r="W2561" s="148"/>
      <c r="X2561" s="148"/>
      <c r="Y2561" s="148"/>
      <c r="Z2561" s="148"/>
      <c r="AA2561" s="148"/>
      <c r="AB2561" s="148"/>
      <c r="AC2561" s="148"/>
    </row>
    <row r="2562" spans="1:29" hidden="1">
      <c r="A2562" s="146"/>
      <c r="B2562" s="147"/>
      <c r="C2562" s="147"/>
      <c r="D2562" s="147"/>
      <c r="E2562" s="147"/>
      <c r="F2562" s="147"/>
      <c r="G2562" s="147"/>
      <c r="H2562" s="147"/>
      <c r="I2562" s="147"/>
      <c r="J2562" s="147"/>
      <c r="K2562" s="147"/>
      <c r="L2562" s="147"/>
      <c r="M2562" s="147"/>
      <c r="N2562" s="147"/>
      <c r="O2562" s="147"/>
      <c r="P2562" s="147"/>
      <c r="Q2562" s="147"/>
      <c r="R2562" s="148"/>
      <c r="S2562" s="148"/>
      <c r="T2562" s="148"/>
      <c r="U2562" s="148"/>
      <c r="V2562" s="148"/>
      <c r="W2562" s="148"/>
      <c r="X2562" s="148"/>
      <c r="Y2562" s="148"/>
      <c r="Z2562" s="148"/>
      <c r="AA2562" s="148"/>
      <c r="AB2562" s="148"/>
      <c r="AC2562" s="148"/>
    </row>
    <row r="2563" spans="1:29" hidden="1">
      <c r="A2563" s="146"/>
      <c r="B2563" s="147"/>
      <c r="C2563" s="147"/>
      <c r="D2563" s="147"/>
      <c r="E2563" s="147"/>
      <c r="F2563" s="147"/>
      <c r="G2563" s="147"/>
      <c r="H2563" s="147"/>
      <c r="I2563" s="147"/>
      <c r="J2563" s="147"/>
      <c r="K2563" s="147"/>
      <c r="L2563" s="147"/>
      <c r="M2563" s="147"/>
      <c r="N2563" s="147"/>
      <c r="O2563" s="147"/>
      <c r="P2563" s="147"/>
      <c r="Q2563" s="147"/>
      <c r="R2563" s="148"/>
      <c r="S2563" s="148"/>
      <c r="T2563" s="148"/>
      <c r="U2563" s="148"/>
      <c r="V2563" s="148"/>
      <c r="W2563" s="148"/>
      <c r="X2563" s="148"/>
      <c r="Y2563" s="148"/>
      <c r="Z2563" s="148"/>
      <c r="AA2563" s="148"/>
      <c r="AB2563" s="148"/>
      <c r="AC2563" s="148"/>
    </row>
    <row r="2564" spans="1:29" hidden="1">
      <c r="A2564" s="146"/>
      <c r="B2564" s="147"/>
      <c r="C2564" s="147"/>
      <c r="D2564" s="147"/>
      <c r="E2564" s="147"/>
      <c r="F2564" s="147"/>
      <c r="G2564" s="147"/>
      <c r="H2564" s="147"/>
      <c r="I2564" s="147"/>
      <c r="J2564" s="147"/>
      <c r="K2564" s="147"/>
      <c r="L2564" s="147"/>
      <c r="M2564" s="147"/>
      <c r="N2564" s="147"/>
      <c r="O2564" s="147"/>
      <c r="P2564" s="147"/>
      <c r="Q2564" s="147"/>
      <c r="R2564" s="148"/>
      <c r="S2564" s="148"/>
      <c r="T2564" s="148"/>
      <c r="U2564" s="148"/>
      <c r="V2564" s="148"/>
      <c r="W2564" s="148"/>
      <c r="X2564" s="148"/>
      <c r="Y2564" s="148"/>
      <c r="Z2564" s="148"/>
      <c r="AA2564" s="148"/>
      <c r="AB2564" s="148"/>
      <c r="AC2564" s="148"/>
    </row>
    <row r="2565" spans="1:29" hidden="1">
      <c r="A2565" s="146"/>
      <c r="B2565" s="147"/>
      <c r="C2565" s="147"/>
      <c r="D2565" s="147"/>
      <c r="E2565" s="147"/>
      <c r="F2565" s="147"/>
      <c r="G2565" s="147"/>
      <c r="H2565" s="147"/>
      <c r="I2565" s="147"/>
      <c r="J2565" s="147"/>
      <c r="K2565" s="147"/>
      <c r="L2565" s="147"/>
      <c r="M2565" s="147"/>
      <c r="N2565" s="147"/>
      <c r="O2565" s="147"/>
      <c r="P2565" s="147"/>
      <c r="Q2565" s="147"/>
      <c r="R2565" s="148"/>
      <c r="S2565" s="148"/>
      <c r="T2565" s="148"/>
      <c r="U2565" s="148"/>
      <c r="V2565" s="148"/>
      <c r="W2565" s="148"/>
      <c r="X2565" s="148"/>
      <c r="Y2565" s="148"/>
      <c r="Z2565" s="148"/>
      <c r="AA2565" s="148"/>
      <c r="AB2565" s="148"/>
      <c r="AC2565" s="148"/>
    </row>
    <row r="2566" spans="1:29" hidden="1">
      <c r="A2566" s="146"/>
      <c r="B2566" s="147"/>
      <c r="C2566" s="147"/>
      <c r="D2566" s="147"/>
      <c r="E2566" s="147"/>
      <c r="F2566" s="147"/>
      <c r="G2566" s="147"/>
      <c r="H2566" s="147"/>
      <c r="I2566" s="147"/>
      <c r="J2566" s="147"/>
      <c r="K2566" s="147"/>
      <c r="L2566" s="147"/>
      <c r="M2566" s="147"/>
      <c r="N2566" s="147"/>
      <c r="O2566" s="147"/>
      <c r="P2566" s="147"/>
      <c r="Q2566" s="147"/>
      <c r="R2566" s="148"/>
      <c r="S2566" s="148"/>
      <c r="T2566" s="148"/>
      <c r="U2566" s="148"/>
      <c r="V2566" s="148"/>
      <c r="W2566" s="148"/>
      <c r="X2566" s="148"/>
      <c r="Y2566" s="148"/>
      <c r="Z2566" s="148"/>
      <c r="AA2566" s="148"/>
      <c r="AB2566" s="148"/>
      <c r="AC2566" s="148"/>
    </row>
    <row r="2567" spans="1:29" hidden="1">
      <c r="A2567" s="146"/>
      <c r="B2567" s="147"/>
      <c r="C2567" s="147"/>
      <c r="D2567" s="147"/>
      <c r="E2567" s="147"/>
      <c r="F2567" s="147"/>
      <c r="G2567" s="147"/>
      <c r="H2567" s="147"/>
      <c r="I2567" s="147"/>
      <c r="J2567" s="147"/>
      <c r="K2567" s="147"/>
      <c r="L2567" s="147"/>
      <c r="M2567" s="147"/>
      <c r="N2567" s="147"/>
      <c r="O2567" s="147"/>
      <c r="P2567" s="147"/>
      <c r="Q2567" s="147"/>
      <c r="R2567" s="148"/>
      <c r="S2567" s="148"/>
      <c r="T2567" s="148"/>
      <c r="U2567" s="148"/>
      <c r="V2567" s="148"/>
      <c r="W2567" s="148"/>
      <c r="X2567" s="148"/>
      <c r="Y2567" s="148"/>
      <c r="Z2567" s="148"/>
      <c r="AA2567" s="148"/>
      <c r="AB2567" s="148"/>
      <c r="AC2567" s="148"/>
    </row>
    <row r="2568" spans="1:29" hidden="1">
      <c r="A2568" s="146"/>
      <c r="B2568" s="147"/>
      <c r="C2568" s="147"/>
      <c r="D2568" s="147"/>
      <c r="E2568" s="147"/>
      <c r="F2568" s="147"/>
      <c r="G2568" s="147"/>
      <c r="H2568" s="147"/>
      <c r="I2568" s="147"/>
      <c r="J2568" s="147"/>
      <c r="K2568" s="147"/>
      <c r="L2568" s="147"/>
      <c r="M2568" s="147"/>
      <c r="N2568" s="147"/>
      <c r="O2568" s="147"/>
      <c r="P2568" s="147"/>
      <c r="Q2568" s="147"/>
      <c r="R2568" s="148"/>
      <c r="S2568" s="148"/>
      <c r="T2568" s="148"/>
      <c r="U2568" s="148"/>
      <c r="V2568" s="148"/>
      <c r="W2568" s="148"/>
      <c r="X2568" s="148"/>
      <c r="Y2568" s="148"/>
      <c r="Z2568" s="148"/>
      <c r="AA2568" s="148"/>
      <c r="AB2568" s="148"/>
      <c r="AC2568" s="148"/>
    </row>
    <row r="2569" spans="1:29" hidden="1">
      <c r="A2569" s="146"/>
      <c r="B2569" s="147"/>
      <c r="C2569" s="147"/>
      <c r="D2569" s="147"/>
      <c r="E2569" s="147"/>
      <c r="F2569" s="147"/>
      <c r="G2569" s="147"/>
      <c r="H2569" s="147"/>
      <c r="I2569" s="147"/>
      <c r="J2569" s="147"/>
      <c r="K2569" s="147"/>
      <c r="L2569" s="147"/>
      <c r="M2569" s="147"/>
      <c r="N2569" s="147"/>
      <c r="O2569" s="147"/>
      <c r="P2569" s="147"/>
      <c r="Q2569" s="147"/>
      <c r="R2569" s="148"/>
      <c r="S2569" s="148"/>
      <c r="T2569" s="148"/>
      <c r="U2569" s="148"/>
      <c r="V2569" s="148"/>
      <c r="W2569" s="148"/>
      <c r="X2569" s="148"/>
      <c r="Y2569" s="148"/>
      <c r="Z2569" s="148"/>
      <c r="AA2569" s="148"/>
      <c r="AB2569" s="148"/>
      <c r="AC2569" s="148"/>
    </row>
    <row r="2570" spans="1:29" hidden="1">
      <c r="A2570" s="146"/>
      <c r="B2570" s="147"/>
      <c r="C2570" s="147"/>
      <c r="D2570" s="147"/>
      <c r="E2570" s="147"/>
      <c r="F2570" s="147"/>
      <c r="G2570" s="147"/>
      <c r="H2570" s="147"/>
      <c r="I2570" s="147"/>
      <c r="J2570" s="147"/>
      <c r="K2570" s="147"/>
      <c r="L2570" s="147"/>
      <c r="M2570" s="147"/>
      <c r="N2570" s="147"/>
      <c r="O2570" s="147"/>
      <c r="P2570" s="147"/>
      <c r="Q2570" s="147"/>
      <c r="R2570" s="148"/>
      <c r="S2570" s="148"/>
      <c r="T2570" s="148"/>
      <c r="U2570" s="148"/>
      <c r="V2570" s="148"/>
      <c r="W2570" s="148"/>
      <c r="X2570" s="148"/>
      <c r="Y2570" s="148"/>
      <c r="Z2570" s="148"/>
      <c r="AA2570" s="148"/>
      <c r="AB2570" s="148"/>
      <c r="AC2570" s="148"/>
    </row>
    <row r="2571" spans="1:29" hidden="1">
      <c r="A2571" s="146"/>
      <c r="B2571" s="147"/>
      <c r="C2571" s="147"/>
      <c r="D2571" s="147"/>
      <c r="E2571" s="147"/>
      <c r="F2571" s="147"/>
      <c r="G2571" s="147"/>
      <c r="H2571" s="147"/>
      <c r="I2571" s="147"/>
      <c r="J2571" s="147"/>
      <c r="K2571" s="147"/>
      <c r="L2571" s="147"/>
      <c r="M2571" s="147"/>
      <c r="N2571" s="147"/>
      <c r="O2571" s="147"/>
      <c r="P2571" s="147"/>
      <c r="Q2571" s="147"/>
      <c r="R2571" s="148"/>
      <c r="S2571" s="148"/>
      <c r="T2571" s="148"/>
      <c r="U2571" s="148"/>
      <c r="V2571" s="148"/>
      <c r="W2571" s="148"/>
      <c r="X2571" s="148"/>
      <c r="Y2571" s="148"/>
      <c r="Z2571" s="148"/>
      <c r="AA2571" s="148"/>
      <c r="AB2571" s="148"/>
      <c r="AC2571" s="148"/>
    </row>
    <row r="2572" spans="1:29" hidden="1">
      <c r="A2572" s="146"/>
      <c r="B2572" s="147"/>
      <c r="C2572" s="147"/>
      <c r="D2572" s="147"/>
      <c r="E2572" s="147"/>
      <c r="F2572" s="147"/>
      <c r="G2572" s="147"/>
      <c r="H2572" s="147"/>
      <c r="I2572" s="147"/>
      <c r="J2572" s="147"/>
      <c r="K2572" s="147"/>
      <c r="L2572" s="147"/>
      <c r="M2572" s="147"/>
      <c r="N2572" s="147"/>
      <c r="O2572" s="147"/>
      <c r="P2572" s="147"/>
      <c r="Q2572" s="147"/>
      <c r="R2572" s="148"/>
      <c r="S2572" s="148"/>
      <c r="T2572" s="148"/>
      <c r="U2572" s="148"/>
      <c r="V2572" s="148"/>
      <c r="W2572" s="148"/>
      <c r="X2572" s="148"/>
      <c r="Y2572" s="148"/>
      <c r="Z2572" s="148"/>
      <c r="AA2572" s="148"/>
      <c r="AB2572" s="148"/>
      <c r="AC2572" s="148"/>
    </row>
    <row r="2573" spans="1:29" hidden="1">
      <c r="A2573" s="146"/>
      <c r="B2573" s="147"/>
      <c r="C2573" s="147"/>
      <c r="D2573" s="147"/>
      <c r="E2573" s="147"/>
      <c r="F2573" s="147"/>
      <c r="G2573" s="147"/>
      <c r="H2573" s="147"/>
      <c r="I2573" s="147"/>
      <c r="J2573" s="147"/>
      <c r="K2573" s="147"/>
      <c r="L2573" s="147"/>
      <c r="M2573" s="147"/>
      <c r="N2573" s="147"/>
      <c r="O2573" s="147"/>
      <c r="P2573" s="147"/>
      <c r="Q2573" s="147"/>
      <c r="R2573" s="148"/>
      <c r="S2573" s="148"/>
      <c r="T2573" s="148"/>
      <c r="U2573" s="148"/>
      <c r="V2573" s="148"/>
      <c r="W2573" s="148"/>
      <c r="X2573" s="148"/>
      <c r="Y2573" s="148"/>
      <c r="Z2573" s="148"/>
      <c r="AA2573" s="148"/>
      <c r="AB2573" s="148"/>
      <c r="AC2573" s="148"/>
    </row>
    <row r="2574" spans="1:29" hidden="1">
      <c r="A2574" s="146"/>
      <c r="B2574" s="147"/>
      <c r="C2574" s="147"/>
      <c r="D2574" s="147"/>
      <c r="E2574" s="147"/>
      <c r="F2574" s="147"/>
      <c r="G2574" s="147"/>
      <c r="H2574" s="147"/>
      <c r="I2574" s="147"/>
      <c r="J2574" s="147"/>
      <c r="K2574" s="147"/>
      <c r="L2574" s="147"/>
      <c r="M2574" s="147"/>
      <c r="N2574" s="147"/>
      <c r="O2574" s="147"/>
      <c r="P2574" s="147"/>
      <c r="Q2574" s="147"/>
      <c r="R2574" s="148"/>
      <c r="S2574" s="148"/>
      <c r="T2574" s="148"/>
      <c r="U2574" s="148"/>
      <c r="V2574" s="148"/>
      <c r="W2574" s="148"/>
      <c r="X2574" s="148"/>
      <c r="Y2574" s="148"/>
      <c r="Z2574" s="148"/>
      <c r="AA2574" s="148"/>
      <c r="AB2574" s="148"/>
      <c r="AC2574" s="148"/>
    </row>
    <row r="2575" spans="1:29" hidden="1">
      <c r="A2575" s="146"/>
      <c r="B2575" s="147"/>
      <c r="C2575" s="147"/>
      <c r="D2575" s="147"/>
      <c r="E2575" s="147"/>
      <c r="F2575" s="147"/>
      <c r="G2575" s="147"/>
      <c r="H2575" s="147"/>
      <c r="I2575" s="147"/>
      <c r="J2575" s="147"/>
      <c r="K2575" s="147"/>
      <c r="L2575" s="147"/>
      <c r="M2575" s="147"/>
      <c r="N2575" s="147"/>
      <c r="O2575" s="147"/>
      <c r="P2575" s="147"/>
      <c r="Q2575" s="147"/>
      <c r="R2575" s="148"/>
      <c r="S2575" s="148"/>
      <c r="T2575" s="148"/>
      <c r="U2575" s="148"/>
      <c r="V2575" s="148"/>
      <c r="W2575" s="148"/>
      <c r="X2575" s="148"/>
      <c r="Y2575" s="148"/>
      <c r="Z2575" s="148"/>
      <c r="AA2575" s="148"/>
      <c r="AB2575" s="148"/>
      <c r="AC2575" s="148"/>
    </row>
    <row r="2576" spans="1:29" hidden="1">
      <c r="A2576" s="146"/>
      <c r="B2576" s="147"/>
      <c r="C2576" s="147"/>
      <c r="D2576" s="147"/>
      <c r="E2576" s="147"/>
      <c r="F2576" s="147"/>
      <c r="G2576" s="147"/>
      <c r="H2576" s="147"/>
      <c r="I2576" s="147"/>
      <c r="J2576" s="147"/>
      <c r="K2576" s="147"/>
      <c r="L2576" s="147"/>
      <c r="M2576" s="147"/>
      <c r="N2576" s="147"/>
      <c r="O2576" s="147"/>
      <c r="P2576" s="147"/>
      <c r="Q2576" s="147"/>
      <c r="R2576" s="148"/>
      <c r="S2576" s="148"/>
      <c r="T2576" s="148"/>
      <c r="U2576" s="148"/>
      <c r="V2576" s="148"/>
      <c r="W2576" s="148"/>
      <c r="X2576" s="148"/>
      <c r="Y2576" s="148"/>
      <c r="Z2576" s="148"/>
      <c r="AA2576" s="148"/>
      <c r="AB2576" s="148"/>
      <c r="AC2576" s="148"/>
    </row>
    <row r="2577" spans="1:29" hidden="1">
      <c r="A2577" s="146"/>
      <c r="B2577" s="147"/>
      <c r="C2577" s="147"/>
      <c r="D2577" s="147"/>
      <c r="E2577" s="147"/>
      <c r="F2577" s="147"/>
      <c r="G2577" s="147"/>
      <c r="H2577" s="147"/>
      <c r="I2577" s="147"/>
      <c r="J2577" s="147"/>
      <c r="K2577" s="147"/>
      <c r="L2577" s="147"/>
      <c r="M2577" s="147"/>
      <c r="N2577" s="147"/>
      <c r="O2577" s="147"/>
      <c r="P2577" s="147"/>
      <c r="Q2577" s="147"/>
      <c r="R2577" s="148"/>
      <c r="S2577" s="148"/>
      <c r="T2577" s="148"/>
      <c r="U2577" s="148"/>
      <c r="V2577" s="148"/>
      <c r="W2577" s="148"/>
      <c r="X2577" s="148"/>
      <c r="Y2577" s="148"/>
      <c r="Z2577" s="148"/>
      <c r="AA2577" s="148"/>
      <c r="AB2577" s="148"/>
      <c r="AC2577" s="148"/>
    </row>
    <row r="2578" spans="1:29" hidden="1">
      <c r="A2578" s="146"/>
      <c r="B2578" s="147"/>
      <c r="C2578" s="147"/>
      <c r="D2578" s="147"/>
      <c r="E2578" s="147"/>
      <c r="F2578" s="147"/>
      <c r="G2578" s="147"/>
      <c r="H2578" s="147"/>
      <c r="I2578" s="147"/>
      <c r="J2578" s="147"/>
      <c r="K2578" s="147"/>
      <c r="L2578" s="147"/>
      <c r="M2578" s="147"/>
      <c r="N2578" s="147"/>
      <c r="O2578" s="147"/>
      <c r="P2578" s="147"/>
      <c r="Q2578" s="147"/>
      <c r="R2578" s="148"/>
      <c r="S2578" s="148"/>
      <c r="T2578" s="148"/>
      <c r="U2578" s="148"/>
      <c r="V2578" s="148"/>
      <c r="W2578" s="148"/>
      <c r="X2578" s="148"/>
      <c r="Y2578" s="148"/>
      <c r="Z2578" s="148"/>
      <c r="AA2578" s="148"/>
      <c r="AB2578" s="148"/>
      <c r="AC2578" s="148"/>
    </row>
    <row r="2579" spans="1:29" hidden="1">
      <c r="A2579" s="146"/>
      <c r="B2579" s="147"/>
      <c r="C2579" s="147"/>
      <c r="D2579" s="147"/>
      <c r="E2579" s="147"/>
      <c r="F2579" s="147"/>
      <c r="G2579" s="147"/>
      <c r="H2579" s="147"/>
      <c r="I2579" s="147"/>
      <c r="J2579" s="147"/>
      <c r="K2579" s="147"/>
      <c r="L2579" s="147"/>
      <c r="M2579" s="147"/>
      <c r="N2579" s="147"/>
      <c r="O2579" s="147"/>
      <c r="P2579" s="147"/>
      <c r="Q2579" s="147"/>
      <c r="R2579" s="148"/>
      <c r="S2579" s="148"/>
      <c r="T2579" s="148"/>
      <c r="U2579" s="148"/>
      <c r="V2579" s="148"/>
      <c r="W2579" s="148"/>
      <c r="X2579" s="148"/>
      <c r="Y2579" s="148"/>
      <c r="Z2579" s="148"/>
      <c r="AA2579" s="148"/>
      <c r="AB2579" s="148"/>
      <c r="AC2579" s="148"/>
    </row>
    <row r="2580" spans="1:29" hidden="1">
      <c r="A2580" s="146"/>
      <c r="B2580" s="147"/>
      <c r="C2580" s="147"/>
      <c r="D2580" s="147"/>
      <c r="E2580" s="147"/>
      <c r="F2580" s="147"/>
      <c r="G2580" s="147"/>
      <c r="H2580" s="147"/>
      <c r="I2580" s="147"/>
      <c r="J2580" s="147"/>
      <c r="K2580" s="147"/>
      <c r="L2580" s="147"/>
      <c r="M2580" s="147"/>
      <c r="N2580" s="147"/>
      <c r="O2580" s="147"/>
      <c r="P2580" s="147"/>
      <c r="Q2580" s="147"/>
      <c r="R2580" s="148"/>
      <c r="S2580" s="148"/>
      <c r="T2580" s="148"/>
      <c r="U2580" s="148"/>
      <c r="V2580" s="148"/>
      <c r="W2580" s="148"/>
      <c r="X2580" s="148"/>
      <c r="Y2580" s="148"/>
      <c r="Z2580" s="148"/>
      <c r="AA2580" s="148"/>
      <c r="AB2580" s="148"/>
      <c r="AC2580" s="148"/>
    </row>
    <row r="2581" spans="1:29" hidden="1">
      <c r="A2581" s="146"/>
      <c r="B2581" s="147"/>
      <c r="C2581" s="147"/>
      <c r="D2581" s="147"/>
      <c r="E2581" s="147"/>
      <c r="F2581" s="147"/>
      <c r="G2581" s="147"/>
      <c r="H2581" s="147"/>
      <c r="I2581" s="147"/>
      <c r="J2581" s="147"/>
      <c r="K2581" s="147"/>
      <c r="L2581" s="147"/>
      <c r="M2581" s="147"/>
      <c r="N2581" s="147"/>
      <c r="O2581" s="147"/>
      <c r="P2581" s="147"/>
      <c r="Q2581" s="147"/>
      <c r="R2581" s="148"/>
      <c r="S2581" s="148"/>
      <c r="T2581" s="148"/>
      <c r="U2581" s="148"/>
      <c r="V2581" s="148"/>
      <c r="W2581" s="148"/>
      <c r="X2581" s="148"/>
      <c r="Y2581" s="148"/>
      <c r="Z2581" s="148"/>
      <c r="AA2581" s="148"/>
      <c r="AB2581" s="148"/>
      <c r="AC2581" s="148"/>
    </row>
    <row r="2582" spans="1:29" hidden="1">
      <c r="A2582" s="146"/>
      <c r="B2582" s="147"/>
      <c r="C2582" s="147"/>
      <c r="D2582" s="147"/>
      <c r="E2582" s="147"/>
      <c r="F2582" s="147"/>
      <c r="G2582" s="147"/>
      <c r="H2582" s="147"/>
      <c r="I2582" s="147"/>
      <c r="J2582" s="147"/>
      <c r="K2582" s="147"/>
      <c r="L2582" s="147"/>
      <c r="M2582" s="147"/>
      <c r="N2582" s="147"/>
      <c r="O2582" s="147"/>
      <c r="P2582" s="147"/>
      <c r="Q2582" s="147"/>
      <c r="R2582" s="148"/>
      <c r="S2582" s="148"/>
      <c r="T2582" s="148"/>
      <c r="U2582" s="148"/>
      <c r="V2582" s="148"/>
      <c r="W2582" s="148"/>
      <c r="X2582" s="148"/>
      <c r="Y2582" s="148"/>
      <c r="Z2582" s="148"/>
      <c r="AA2582" s="148"/>
      <c r="AB2582" s="148"/>
      <c r="AC2582" s="148"/>
    </row>
    <row r="2583" spans="1:29" hidden="1">
      <c r="A2583" s="146"/>
      <c r="B2583" s="147"/>
      <c r="C2583" s="147"/>
      <c r="D2583" s="147"/>
      <c r="E2583" s="147"/>
      <c r="F2583" s="147"/>
      <c r="G2583" s="147"/>
      <c r="H2583" s="147"/>
      <c r="I2583" s="147"/>
      <c r="J2583" s="147"/>
      <c r="K2583" s="147"/>
      <c r="L2583" s="147"/>
      <c r="M2583" s="147"/>
      <c r="N2583" s="147"/>
      <c r="O2583" s="147"/>
      <c r="P2583" s="147"/>
      <c r="Q2583" s="147"/>
      <c r="R2583" s="148"/>
      <c r="S2583" s="148"/>
      <c r="T2583" s="148"/>
      <c r="U2583" s="148"/>
      <c r="V2583" s="148"/>
      <c r="W2583" s="148"/>
      <c r="X2583" s="148"/>
      <c r="Y2583" s="148"/>
      <c r="Z2583" s="148"/>
      <c r="AA2583" s="148"/>
      <c r="AB2583" s="148"/>
      <c r="AC2583" s="148"/>
    </row>
    <row r="2584" spans="1:29" hidden="1">
      <c r="A2584" s="146"/>
      <c r="B2584" s="147"/>
      <c r="C2584" s="147"/>
      <c r="D2584" s="147"/>
      <c r="E2584" s="147"/>
      <c r="F2584" s="147"/>
      <c r="G2584" s="147"/>
      <c r="H2584" s="147"/>
      <c r="I2584" s="147"/>
      <c r="J2584" s="147"/>
      <c r="K2584" s="147"/>
      <c r="L2584" s="147"/>
      <c r="M2584" s="147"/>
      <c r="N2584" s="147"/>
      <c r="O2584" s="147"/>
      <c r="P2584" s="147"/>
      <c r="Q2584" s="147"/>
      <c r="R2584" s="148"/>
      <c r="S2584" s="148"/>
      <c r="T2584" s="148"/>
      <c r="U2584" s="148"/>
      <c r="V2584" s="148"/>
      <c r="W2584" s="148"/>
      <c r="X2584" s="148"/>
      <c r="Y2584" s="148"/>
      <c r="Z2584" s="148"/>
      <c r="AA2584" s="148"/>
      <c r="AB2584" s="148"/>
      <c r="AC2584" s="148"/>
    </row>
    <row r="2585" spans="1:29" hidden="1">
      <c r="A2585" s="146"/>
      <c r="B2585" s="147"/>
      <c r="C2585" s="147"/>
      <c r="D2585" s="147"/>
      <c r="E2585" s="147"/>
      <c r="F2585" s="147"/>
      <c r="G2585" s="147"/>
      <c r="H2585" s="147"/>
      <c r="I2585" s="147"/>
      <c r="J2585" s="147"/>
      <c r="K2585" s="147"/>
      <c r="L2585" s="147"/>
      <c r="M2585" s="147"/>
      <c r="N2585" s="147"/>
      <c r="O2585" s="147"/>
      <c r="P2585" s="147"/>
      <c r="Q2585" s="147"/>
      <c r="R2585" s="148"/>
      <c r="S2585" s="148"/>
      <c r="T2585" s="148"/>
      <c r="U2585" s="148"/>
      <c r="V2585" s="148"/>
      <c r="W2585" s="148"/>
      <c r="X2585" s="148"/>
      <c r="Y2585" s="148"/>
      <c r="Z2585" s="148"/>
      <c r="AA2585" s="148"/>
      <c r="AB2585" s="148"/>
      <c r="AC2585" s="148"/>
    </row>
    <row r="2586" spans="1:29" hidden="1">
      <c r="A2586" s="146"/>
      <c r="B2586" s="147"/>
      <c r="C2586" s="147"/>
      <c r="D2586" s="147"/>
      <c r="E2586" s="147"/>
      <c r="F2586" s="147"/>
      <c r="G2586" s="147"/>
      <c r="H2586" s="147"/>
      <c r="I2586" s="147"/>
      <c r="J2586" s="147"/>
      <c r="K2586" s="147"/>
      <c r="L2586" s="147"/>
      <c r="M2586" s="147"/>
      <c r="N2586" s="147"/>
      <c r="O2586" s="147"/>
      <c r="P2586" s="147"/>
      <c r="Q2586" s="147"/>
      <c r="R2586" s="148"/>
      <c r="S2586" s="148"/>
      <c r="T2586" s="148"/>
      <c r="U2586" s="148"/>
      <c r="V2586" s="148"/>
      <c r="W2586" s="148"/>
      <c r="X2586" s="148"/>
      <c r="Y2586" s="148"/>
      <c r="Z2586" s="148"/>
      <c r="AA2586" s="148"/>
      <c r="AB2586" s="148"/>
      <c r="AC2586" s="148"/>
    </row>
    <row r="2587" spans="1:29" hidden="1">
      <c r="A2587" s="146"/>
      <c r="B2587" s="147"/>
      <c r="C2587" s="147"/>
      <c r="D2587" s="147"/>
      <c r="E2587" s="147"/>
      <c r="F2587" s="147"/>
      <c r="G2587" s="147"/>
      <c r="H2587" s="147"/>
      <c r="I2587" s="147"/>
      <c r="J2587" s="147"/>
      <c r="K2587" s="147"/>
      <c r="L2587" s="147"/>
      <c r="M2587" s="147"/>
      <c r="N2587" s="147"/>
      <c r="O2587" s="147"/>
      <c r="P2587" s="147"/>
      <c r="Q2587" s="147"/>
      <c r="R2587" s="148"/>
      <c r="S2587" s="148"/>
      <c r="T2587" s="148"/>
      <c r="U2587" s="148"/>
      <c r="V2587" s="148"/>
      <c r="W2587" s="148"/>
      <c r="X2587" s="148"/>
      <c r="Y2587" s="148"/>
      <c r="Z2587" s="148"/>
      <c r="AA2587" s="148"/>
      <c r="AB2587" s="148"/>
      <c r="AC2587" s="148"/>
    </row>
    <row r="2588" spans="1:29" hidden="1">
      <c r="A2588" s="146"/>
      <c r="B2588" s="147"/>
      <c r="C2588" s="147"/>
      <c r="D2588" s="147"/>
      <c r="E2588" s="147"/>
      <c r="F2588" s="147"/>
      <c r="G2588" s="147"/>
      <c r="H2588" s="147"/>
      <c r="I2588" s="147"/>
      <c r="J2588" s="147"/>
      <c r="K2588" s="147"/>
      <c r="L2588" s="147"/>
      <c r="M2588" s="147"/>
      <c r="N2588" s="147"/>
      <c r="O2588" s="147"/>
      <c r="P2588" s="147"/>
      <c r="Q2588" s="147"/>
      <c r="R2588" s="148"/>
      <c r="S2588" s="148"/>
      <c r="T2588" s="148"/>
      <c r="U2588" s="148"/>
      <c r="V2588" s="148"/>
      <c r="W2588" s="148"/>
      <c r="X2588" s="148"/>
      <c r="Y2588" s="148"/>
      <c r="Z2588" s="148"/>
      <c r="AA2588" s="148"/>
      <c r="AB2588" s="148"/>
      <c r="AC2588" s="148"/>
    </row>
    <row r="2589" spans="1:29" hidden="1">
      <c r="A2589" s="146"/>
      <c r="B2589" s="147"/>
      <c r="C2589" s="147"/>
      <c r="D2589" s="147"/>
      <c r="E2589" s="147"/>
      <c r="F2589" s="147"/>
      <c r="G2589" s="147"/>
      <c r="H2589" s="147"/>
      <c r="I2589" s="147"/>
      <c r="J2589" s="147"/>
      <c r="K2589" s="147"/>
      <c r="L2589" s="147"/>
      <c r="M2589" s="147"/>
      <c r="N2589" s="147"/>
      <c r="O2589" s="147"/>
      <c r="P2589" s="147"/>
      <c r="Q2589" s="147"/>
      <c r="R2589" s="148"/>
      <c r="S2589" s="148"/>
      <c r="T2589" s="148"/>
      <c r="U2589" s="148"/>
      <c r="V2589" s="148"/>
      <c r="W2589" s="148"/>
      <c r="X2589" s="148"/>
      <c r="Y2589" s="148"/>
      <c r="Z2589" s="148"/>
      <c r="AA2589" s="148"/>
      <c r="AB2589" s="148"/>
      <c r="AC2589" s="148"/>
    </row>
    <row r="2590" spans="1:29" hidden="1">
      <c r="A2590" s="146"/>
      <c r="B2590" s="147"/>
      <c r="C2590" s="147"/>
      <c r="D2590" s="147"/>
      <c r="E2590" s="147"/>
      <c r="F2590" s="147"/>
      <c r="G2590" s="147"/>
      <c r="H2590" s="147"/>
      <c r="I2590" s="147"/>
      <c r="J2590" s="147"/>
      <c r="K2590" s="147"/>
      <c r="L2590" s="147"/>
      <c r="M2590" s="147"/>
      <c r="N2590" s="147"/>
      <c r="O2590" s="147"/>
      <c r="P2590" s="147"/>
      <c r="Q2590" s="147"/>
      <c r="R2590" s="148"/>
      <c r="S2590" s="148"/>
      <c r="T2590" s="148"/>
      <c r="U2590" s="148"/>
      <c r="V2590" s="148"/>
      <c r="W2590" s="148"/>
      <c r="X2590" s="148"/>
      <c r="Y2590" s="148"/>
      <c r="Z2590" s="148"/>
      <c r="AA2590" s="148"/>
      <c r="AB2590" s="148"/>
      <c r="AC2590" s="148"/>
    </row>
    <row r="2591" spans="1:29" hidden="1">
      <c r="A2591" s="146"/>
      <c r="B2591" s="147"/>
      <c r="C2591" s="147"/>
      <c r="D2591" s="147"/>
      <c r="E2591" s="147"/>
      <c r="F2591" s="147"/>
      <c r="G2591" s="147"/>
      <c r="H2591" s="147"/>
      <c r="I2591" s="147"/>
      <c r="J2591" s="147"/>
      <c r="K2591" s="147"/>
      <c r="L2591" s="147"/>
      <c r="M2591" s="147"/>
      <c r="N2591" s="147"/>
      <c r="O2591" s="147"/>
      <c r="P2591" s="147"/>
      <c r="Q2591" s="147"/>
      <c r="R2591" s="148"/>
      <c r="S2591" s="148"/>
      <c r="T2591" s="148"/>
      <c r="U2591" s="148"/>
      <c r="V2591" s="148"/>
      <c r="W2591" s="148"/>
      <c r="X2591" s="148"/>
      <c r="Y2591" s="148"/>
      <c r="Z2591" s="148"/>
      <c r="AA2591" s="148"/>
      <c r="AB2591" s="148"/>
      <c r="AC2591" s="148"/>
    </row>
    <row r="2592" spans="1:29" hidden="1">
      <c r="A2592" s="146"/>
      <c r="B2592" s="147"/>
      <c r="C2592" s="147"/>
      <c r="D2592" s="147"/>
      <c r="E2592" s="147"/>
      <c r="F2592" s="147"/>
      <c r="G2592" s="147"/>
      <c r="H2592" s="147"/>
      <c r="I2592" s="147"/>
      <c r="J2592" s="147"/>
      <c r="K2592" s="147"/>
      <c r="L2592" s="147"/>
      <c r="M2592" s="147"/>
      <c r="N2592" s="147"/>
      <c r="O2592" s="147"/>
      <c r="P2592" s="147"/>
      <c r="Q2592" s="147"/>
      <c r="R2592" s="148"/>
      <c r="S2592" s="148"/>
      <c r="T2592" s="148"/>
      <c r="U2592" s="148"/>
      <c r="V2592" s="148"/>
      <c r="W2592" s="148"/>
      <c r="X2592" s="148"/>
      <c r="Y2592" s="148"/>
      <c r="Z2592" s="148"/>
      <c r="AA2592" s="148"/>
      <c r="AB2592" s="148"/>
      <c r="AC2592" s="148"/>
    </row>
    <row r="2593" spans="1:29" hidden="1">
      <c r="A2593" s="146"/>
      <c r="B2593" s="147"/>
      <c r="C2593" s="147"/>
      <c r="D2593" s="147"/>
      <c r="E2593" s="147"/>
      <c r="F2593" s="147"/>
      <c r="G2593" s="147"/>
      <c r="H2593" s="147"/>
      <c r="I2593" s="147"/>
      <c r="J2593" s="147"/>
      <c r="K2593" s="147"/>
      <c r="L2593" s="147"/>
      <c r="M2593" s="147"/>
      <c r="N2593" s="147"/>
      <c r="O2593" s="147"/>
      <c r="P2593" s="147"/>
      <c r="Q2593" s="147"/>
      <c r="R2593" s="148"/>
      <c r="S2593" s="148"/>
      <c r="T2593" s="148"/>
      <c r="U2593" s="148"/>
      <c r="V2593" s="148"/>
      <c r="W2593" s="148"/>
      <c r="X2593" s="148"/>
      <c r="Y2593" s="148"/>
      <c r="Z2593" s="148"/>
      <c r="AA2593" s="148"/>
      <c r="AB2593" s="148"/>
      <c r="AC2593" s="148"/>
    </row>
    <row r="2594" spans="1:29" hidden="1">
      <c r="A2594" s="146"/>
      <c r="B2594" s="147"/>
      <c r="C2594" s="147"/>
      <c r="D2594" s="147"/>
      <c r="E2594" s="147"/>
      <c r="F2594" s="147"/>
      <c r="G2594" s="147"/>
      <c r="H2594" s="147"/>
      <c r="I2594" s="147"/>
      <c r="J2594" s="147"/>
      <c r="K2594" s="147"/>
      <c r="L2594" s="147"/>
      <c r="M2594" s="147"/>
      <c r="N2594" s="147"/>
      <c r="O2594" s="147"/>
      <c r="P2594" s="147"/>
      <c r="Q2594" s="147"/>
      <c r="R2594" s="148"/>
      <c r="S2594" s="148"/>
      <c r="T2594" s="148"/>
      <c r="U2594" s="148"/>
      <c r="V2594" s="148"/>
      <c r="W2594" s="148"/>
      <c r="X2594" s="148"/>
      <c r="Y2594" s="148"/>
      <c r="Z2594" s="148"/>
      <c r="AA2594" s="148"/>
      <c r="AB2594" s="148"/>
      <c r="AC2594" s="148"/>
    </row>
    <row r="2595" spans="1:29" hidden="1">
      <c r="A2595" s="146"/>
      <c r="B2595" s="147"/>
      <c r="C2595" s="147"/>
      <c r="D2595" s="147"/>
      <c r="E2595" s="147"/>
      <c r="F2595" s="147"/>
      <c r="G2595" s="147"/>
      <c r="H2595" s="147"/>
      <c r="I2595" s="147"/>
      <c r="J2595" s="147"/>
      <c r="K2595" s="147"/>
      <c r="L2595" s="147"/>
      <c r="M2595" s="147"/>
      <c r="N2595" s="147"/>
      <c r="O2595" s="147"/>
      <c r="P2595" s="147"/>
      <c r="Q2595" s="147"/>
      <c r="R2595" s="148"/>
      <c r="S2595" s="148"/>
      <c r="T2595" s="148"/>
      <c r="U2595" s="148"/>
      <c r="V2595" s="148"/>
      <c r="W2595" s="148"/>
      <c r="X2595" s="148"/>
      <c r="Y2595" s="148"/>
      <c r="Z2595" s="148"/>
      <c r="AA2595" s="148"/>
      <c r="AB2595" s="148"/>
      <c r="AC2595" s="148"/>
    </row>
    <row r="2596" spans="1:29" hidden="1">
      <c r="A2596" s="146"/>
      <c r="B2596" s="147"/>
      <c r="C2596" s="147"/>
      <c r="D2596" s="147"/>
      <c r="E2596" s="147"/>
      <c r="F2596" s="147"/>
      <c r="G2596" s="147"/>
      <c r="H2596" s="147"/>
      <c r="I2596" s="147"/>
      <c r="J2596" s="147"/>
      <c r="K2596" s="147"/>
      <c r="L2596" s="147"/>
      <c r="M2596" s="147"/>
      <c r="N2596" s="147"/>
      <c r="O2596" s="147"/>
      <c r="P2596" s="147"/>
      <c r="Q2596" s="147"/>
      <c r="R2596" s="148"/>
      <c r="S2596" s="148"/>
      <c r="T2596" s="148"/>
      <c r="U2596" s="148"/>
      <c r="V2596" s="148"/>
      <c r="W2596" s="148"/>
      <c r="X2596" s="148"/>
      <c r="Y2596" s="148"/>
      <c r="Z2596" s="148"/>
      <c r="AA2596" s="148"/>
      <c r="AB2596" s="148"/>
      <c r="AC2596" s="148"/>
    </row>
    <row r="2597" spans="1:29" hidden="1">
      <c r="A2597" s="146"/>
      <c r="B2597" s="147"/>
      <c r="C2597" s="147"/>
      <c r="D2597" s="147"/>
      <c r="E2597" s="147"/>
      <c r="F2597" s="147"/>
      <c r="G2597" s="147"/>
      <c r="H2597" s="147"/>
      <c r="I2597" s="147"/>
      <c r="J2597" s="147"/>
      <c r="K2597" s="147"/>
      <c r="L2597" s="147"/>
      <c r="M2597" s="147"/>
      <c r="N2597" s="147"/>
      <c r="O2597" s="147"/>
      <c r="P2597" s="147"/>
      <c r="Q2597" s="147"/>
      <c r="R2597" s="148"/>
      <c r="S2597" s="148"/>
      <c r="T2597" s="148"/>
      <c r="U2597" s="148"/>
      <c r="V2597" s="148"/>
      <c r="W2597" s="148"/>
      <c r="X2597" s="148"/>
      <c r="Y2597" s="148"/>
      <c r="Z2597" s="148"/>
      <c r="AA2597" s="148"/>
      <c r="AB2597" s="148"/>
      <c r="AC2597" s="148"/>
    </row>
    <row r="2598" spans="1:29" hidden="1">
      <c r="A2598" s="146"/>
      <c r="B2598" s="147"/>
      <c r="C2598" s="147"/>
      <c r="D2598" s="147"/>
      <c r="E2598" s="147"/>
      <c r="F2598" s="147"/>
      <c r="G2598" s="147"/>
      <c r="H2598" s="147"/>
      <c r="I2598" s="147"/>
      <c r="J2598" s="147"/>
      <c r="K2598" s="147"/>
      <c r="L2598" s="147"/>
      <c r="M2598" s="147"/>
      <c r="N2598" s="147"/>
      <c r="O2598" s="147"/>
      <c r="P2598" s="147"/>
      <c r="Q2598" s="147"/>
      <c r="R2598" s="148"/>
      <c r="S2598" s="148"/>
      <c r="T2598" s="148"/>
      <c r="U2598" s="148"/>
      <c r="V2598" s="148"/>
      <c r="W2598" s="148"/>
      <c r="X2598" s="148"/>
      <c r="Y2598" s="148"/>
      <c r="Z2598" s="148"/>
      <c r="AA2598" s="148"/>
      <c r="AB2598" s="148"/>
      <c r="AC2598" s="148"/>
    </row>
    <row r="2599" spans="1:29" hidden="1">
      <c r="A2599" s="146"/>
      <c r="B2599" s="147"/>
      <c r="C2599" s="147"/>
      <c r="D2599" s="147"/>
      <c r="E2599" s="147"/>
      <c r="F2599" s="147"/>
      <c r="G2599" s="147"/>
      <c r="H2599" s="147"/>
      <c r="I2599" s="147"/>
      <c r="J2599" s="147"/>
      <c r="K2599" s="147"/>
      <c r="L2599" s="147"/>
      <c r="M2599" s="147"/>
      <c r="N2599" s="147"/>
      <c r="O2599" s="147"/>
      <c r="P2599" s="147"/>
      <c r="Q2599" s="147"/>
      <c r="R2599" s="148"/>
      <c r="S2599" s="148"/>
      <c r="T2599" s="148"/>
      <c r="U2599" s="148"/>
      <c r="V2599" s="148"/>
      <c r="W2599" s="148"/>
      <c r="X2599" s="148"/>
      <c r="Y2599" s="148"/>
      <c r="Z2599" s="148"/>
      <c r="AA2599" s="148"/>
      <c r="AB2599" s="148"/>
      <c r="AC2599" s="148"/>
    </row>
    <row r="2600" spans="1:29" hidden="1">
      <c r="A2600" s="146"/>
      <c r="B2600" s="147"/>
      <c r="C2600" s="147"/>
      <c r="D2600" s="147"/>
      <c r="E2600" s="147"/>
      <c r="F2600" s="147"/>
      <c r="G2600" s="147"/>
      <c r="H2600" s="147"/>
      <c r="I2600" s="147"/>
      <c r="J2600" s="147"/>
      <c r="K2600" s="147"/>
      <c r="L2600" s="147"/>
      <c r="M2600" s="147"/>
      <c r="N2600" s="147"/>
      <c r="O2600" s="147"/>
      <c r="P2600" s="147"/>
      <c r="Q2600" s="147"/>
      <c r="R2600" s="148"/>
      <c r="S2600" s="148"/>
      <c r="T2600" s="148"/>
      <c r="U2600" s="148"/>
      <c r="V2600" s="148"/>
      <c r="W2600" s="148"/>
      <c r="X2600" s="148"/>
      <c r="Y2600" s="148"/>
      <c r="Z2600" s="148"/>
      <c r="AA2600" s="148"/>
      <c r="AB2600" s="148"/>
      <c r="AC2600" s="148"/>
    </row>
    <row r="2601" spans="1:29" hidden="1">
      <c r="A2601" s="146"/>
      <c r="B2601" s="147"/>
      <c r="C2601" s="147"/>
      <c r="D2601" s="147"/>
      <c r="E2601" s="147"/>
      <c r="F2601" s="147"/>
      <c r="G2601" s="147"/>
      <c r="H2601" s="147"/>
      <c r="I2601" s="147"/>
      <c r="J2601" s="147"/>
      <c r="K2601" s="147"/>
      <c r="L2601" s="147"/>
      <c r="M2601" s="147"/>
      <c r="N2601" s="147"/>
      <c r="O2601" s="147"/>
      <c r="P2601" s="147"/>
      <c r="Q2601" s="147"/>
      <c r="R2601" s="148"/>
      <c r="S2601" s="148"/>
      <c r="T2601" s="148"/>
      <c r="U2601" s="148"/>
      <c r="V2601" s="148"/>
      <c r="W2601" s="148"/>
      <c r="X2601" s="148"/>
      <c r="Y2601" s="148"/>
      <c r="Z2601" s="148"/>
      <c r="AA2601" s="148"/>
      <c r="AB2601" s="148"/>
      <c r="AC2601" s="148"/>
    </row>
    <row r="2602" spans="1:29" hidden="1">
      <c r="A2602" s="146"/>
      <c r="B2602" s="147"/>
      <c r="C2602" s="147"/>
      <c r="D2602" s="147"/>
      <c r="E2602" s="147"/>
      <c r="F2602" s="147"/>
      <c r="G2602" s="147"/>
      <c r="H2602" s="147"/>
      <c r="I2602" s="147"/>
      <c r="J2602" s="147"/>
      <c r="K2602" s="147"/>
      <c r="L2602" s="147"/>
      <c r="M2602" s="147"/>
      <c r="N2602" s="147"/>
      <c r="O2602" s="147"/>
      <c r="P2602" s="147"/>
      <c r="Q2602" s="147"/>
      <c r="R2602" s="148"/>
      <c r="S2602" s="148"/>
      <c r="T2602" s="148"/>
      <c r="U2602" s="148"/>
      <c r="V2602" s="148"/>
      <c r="W2602" s="148"/>
      <c r="X2602" s="148"/>
      <c r="Y2602" s="148"/>
      <c r="Z2602" s="148"/>
      <c r="AA2602" s="148"/>
      <c r="AB2602" s="148"/>
      <c r="AC2602" s="148"/>
    </row>
    <row r="2603" spans="1:29" hidden="1">
      <c r="A2603" s="146"/>
      <c r="B2603" s="147"/>
      <c r="C2603" s="147"/>
      <c r="D2603" s="147"/>
      <c r="E2603" s="147"/>
      <c r="F2603" s="147"/>
      <c r="G2603" s="147"/>
      <c r="H2603" s="147"/>
      <c r="I2603" s="147"/>
      <c r="J2603" s="147"/>
      <c r="K2603" s="147"/>
      <c r="L2603" s="147"/>
      <c r="M2603" s="147"/>
      <c r="N2603" s="147"/>
      <c r="O2603" s="147"/>
      <c r="P2603" s="147"/>
      <c r="Q2603" s="147"/>
      <c r="R2603" s="148"/>
      <c r="S2603" s="148"/>
      <c r="T2603" s="148"/>
      <c r="U2603" s="148"/>
      <c r="V2603" s="148"/>
      <c r="W2603" s="148"/>
      <c r="X2603" s="148"/>
      <c r="Y2603" s="148"/>
      <c r="Z2603" s="148"/>
      <c r="AA2603" s="148"/>
      <c r="AB2603" s="148"/>
      <c r="AC2603" s="148"/>
    </row>
    <row r="2604" spans="1:29" hidden="1">
      <c r="A2604" s="146"/>
      <c r="B2604" s="147"/>
      <c r="C2604" s="147"/>
      <c r="D2604" s="147"/>
      <c r="E2604" s="147"/>
      <c r="F2604" s="147"/>
      <c r="G2604" s="147"/>
      <c r="H2604" s="147"/>
      <c r="I2604" s="147"/>
      <c r="J2604" s="147"/>
      <c r="K2604" s="147"/>
      <c r="L2604" s="147"/>
      <c r="M2604" s="147"/>
      <c r="N2604" s="147"/>
      <c r="O2604" s="147"/>
      <c r="P2604" s="147"/>
      <c r="Q2604" s="147"/>
      <c r="R2604" s="148"/>
      <c r="S2604" s="148"/>
      <c r="T2604" s="148"/>
      <c r="U2604" s="148"/>
      <c r="V2604" s="148"/>
      <c r="W2604" s="148"/>
      <c r="X2604" s="148"/>
      <c r="Y2604" s="148"/>
      <c r="Z2604" s="148"/>
      <c r="AA2604" s="148"/>
      <c r="AB2604" s="148"/>
      <c r="AC2604" s="148"/>
    </row>
    <row r="2605" spans="1:29" hidden="1">
      <c r="A2605" s="146"/>
      <c r="B2605" s="147"/>
      <c r="C2605" s="147"/>
      <c r="D2605" s="147"/>
      <c r="E2605" s="147"/>
      <c r="F2605" s="147"/>
      <c r="G2605" s="147"/>
      <c r="H2605" s="147"/>
      <c r="I2605" s="147"/>
      <c r="J2605" s="147"/>
      <c r="K2605" s="147"/>
      <c r="L2605" s="147"/>
      <c r="M2605" s="147"/>
      <c r="N2605" s="147"/>
      <c r="O2605" s="147"/>
      <c r="P2605" s="147"/>
      <c r="Q2605" s="147"/>
      <c r="R2605" s="148"/>
      <c r="S2605" s="148"/>
      <c r="T2605" s="148"/>
      <c r="U2605" s="148"/>
      <c r="V2605" s="148"/>
      <c r="W2605" s="148"/>
      <c r="X2605" s="148"/>
      <c r="Y2605" s="148"/>
      <c r="Z2605" s="148"/>
      <c r="AA2605" s="148"/>
      <c r="AB2605" s="148"/>
      <c r="AC2605" s="148"/>
    </row>
    <row r="2606" spans="1:29" hidden="1">
      <c r="A2606" s="146"/>
      <c r="B2606" s="147"/>
      <c r="C2606" s="147"/>
      <c r="D2606" s="147"/>
      <c r="E2606" s="147"/>
      <c r="F2606" s="147"/>
      <c r="G2606" s="147"/>
      <c r="H2606" s="147"/>
      <c r="I2606" s="147"/>
      <c r="J2606" s="147"/>
      <c r="K2606" s="147"/>
      <c r="L2606" s="147"/>
      <c r="M2606" s="147"/>
      <c r="N2606" s="147"/>
      <c r="O2606" s="147"/>
      <c r="P2606" s="147"/>
      <c r="Q2606" s="147"/>
      <c r="R2606" s="148"/>
      <c r="S2606" s="148"/>
      <c r="T2606" s="148"/>
      <c r="U2606" s="148"/>
      <c r="V2606" s="148"/>
      <c r="W2606" s="148"/>
      <c r="X2606" s="148"/>
      <c r="Y2606" s="148"/>
      <c r="Z2606" s="148"/>
      <c r="AA2606" s="148"/>
      <c r="AB2606" s="148"/>
      <c r="AC2606" s="148"/>
    </row>
    <row r="2607" spans="1:29" hidden="1">
      <c r="A2607" s="146"/>
      <c r="B2607" s="147"/>
      <c r="C2607" s="147"/>
      <c r="D2607" s="147"/>
      <c r="E2607" s="147"/>
      <c r="F2607" s="147"/>
      <c r="G2607" s="147"/>
      <c r="H2607" s="147"/>
      <c r="I2607" s="147"/>
      <c r="J2607" s="147"/>
      <c r="K2607" s="147"/>
      <c r="L2607" s="147"/>
      <c r="M2607" s="147"/>
      <c r="N2607" s="147"/>
      <c r="O2607" s="147"/>
      <c r="P2607" s="147"/>
      <c r="Q2607" s="147"/>
      <c r="R2607" s="148"/>
      <c r="S2607" s="148"/>
      <c r="T2607" s="148"/>
      <c r="U2607" s="148"/>
      <c r="V2607" s="148"/>
      <c r="W2607" s="148"/>
      <c r="X2607" s="148"/>
      <c r="Y2607" s="148"/>
      <c r="Z2607" s="148"/>
      <c r="AA2607" s="148"/>
      <c r="AB2607" s="148"/>
      <c r="AC2607" s="148"/>
    </row>
    <row r="2608" spans="1:29" hidden="1">
      <c r="A2608" s="146"/>
      <c r="B2608" s="147"/>
      <c r="C2608" s="147"/>
      <c r="D2608" s="147"/>
      <c r="E2608" s="147"/>
      <c r="F2608" s="147"/>
      <c r="G2608" s="147"/>
      <c r="H2608" s="147"/>
      <c r="I2608" s="147"/>
      <c r="J2608" s="147"/>
      <c r="K2608" s="147"/>
      <c r="L2608" s="147"/>
      <c r="M2608" s="147"/>
      <c r="N2608" s="147"/>
      <c r="O2608" s="147"/>
      <c r="P2608" s="147"/>
      <c r="Q2608" s="147"/>
      <c r="R2608" s="148"/>
      <c r="S2608" s="148"/>
      <c r="T2608" s="148"/>
      <c r="U2608" s="148"/>
      <c r="V2608" s="148"/>
      <c r="W2608" s="148"/>
      <c r="X2608" s="148"/>
      <c r="Y2608" s="148"/>
      <c r="Z2608" s="148"/>
      <c r="AA2608" s="148"/>
      <c r="AB2608" s="148"/>
      <c r="AC2608" s="148"/>
    </row>
    <row r="2609" spans="1:29" hidden="1">
      <c r="A2609" s="146"/>
      <c r="B2609" s="147"/>
      <c r="C2609" s="147"/>
      <c r="D2609" s="147"/>
      <c r="E2609" s="147"/>
      <c r="F2609" s="147"/>
      <c r="G2609" s="147"/>
      <c r="H2609" s="147"/>
      <c r="I2609" s="147"/>
      <c r="J2609" s="147"/>
      <c r="K2609" s="147"/>
      <c r="L2609" s="147"/>
      <c r="M2609" s="147"/>
      <c r="N2609" s="147"/>
      <c r="O2609" s="147"/>
      <c r="P2609" s="147"/>
      <c r="Q2609" s="147"/>
      <c r="R2609" s="148"/>
      <c r="S2609" s="148"/>
      <c r="T2609" s="148"/>
      <c r="U2609" s="148"/>
      <c r="V2609" s="148"/>
      <c r="W2609" s="148"/>
      <c r="X2609" s="148"/>
      <c r="Y2609" s="148"/>
      <c r="Z2609" s="148"/>
      <c r="AA2609" s="148"/>
      <c r="AB2609" s="148"/>
      <c r="AC2609" s="148"/>
    </row>
    <row r="2610" spans="1:29" hidden="1">
      <c r="A2610" s="146"/>
      <c r="B2610" s="147"/>
      <c r="C2610" s="147"/>
      <c r="D2610" s="147"/>
      <c r="E2610" s="147"/>
      <c r="F2610" s="147"/>
      <c r="G2610" s="147"/>
      <c r="H2610" s="147"/>
      <c r="I2610" s="147"/>
      <c r="J2610" s="147"/>
      <c r="K2610" s="147"/>
      <c r="L2610" s="147"/>
      <c r="M2610" s="147"/>
      <c r="N2610" s="147"/>
      <c r="O2610" s="147"/>
      <c r="P2610" s="147"/>
      <c r="Q2610" s="147"/>
      <c r="R2610" s="148"/>
      <c r="S2610" s="148"/>
      <c r="T2610" s="148"/>
      <c r="U2610" s="148"/>
      <c r="V2610" s="148"/>
      <c r="W2610" s="148"/>
      <c r="X2610" s="148"/>
      <c r="Y2610" s="148"/>
      <c r="Z2610" s="148"/>
      <c r="AA2610" s="148"/>
      <c r="AB2610" s="148"/>
      <c r="AC2610" s="148"/>
    </row>
    <row r="2611" spans="1:29" hidden="1">
      <c r="A2611" s="146"/>
      <c r="B2611" s="147"/>
      <c r="C2611" s="147"/>
      <c r="D2611" s="147"/>
      <c r="E2611" s="147"/>
      <c r="F2611" s="147"/>
      <c r="G2611" s="147"/>
      <c r="H2611" s="147"/>
      <c r="I2611" s="147"/>
      <c r="J2611" s="147"/>
      <c r="K2611" s="147"/>
      <c r="L2611" s="147"/>
      <c r="M2611" s="147"/>
      <c r="N2611" s="147"/>
      <c r="O2611" s="147"/>
      <c r="P2611" s="147"/>
      <c r="Q2611" s="147"/>
      <c r="R2611" s="148"/>
      <c r="S2611" s="148"/>
      <c r="T2611" s="148"/>
      <c r="U2611" s="148"/>
      <c r="V2611" s="148"/>
      <c r="W2611" s="148"/>
      <c r="X2611" s="148"/>
      <c r="Y2611" s="148"/>
      <c r="Z2611" s="148"/>
      <c r="AA2611" s="148"/>
      <c r="AB2611" s="148"/>
      <c r="AC2611" s="148"/>
    </row>
    <row r="2612" spans="1:29" hidden="1">
      <c r="A2612" s="146"/>
      <c r="B2612" s="147"/>
      <c r="C2612" s="147"/>
      <c r="D2612" s="147"/>
      <c r="E2612" s="147"/>
      <c r="F2612" s="147"/>
      <c r="G2612" s="147"/>
      <c r="H2612" s="147"/>
      <c r="I2612" s="147"/>
      <c r="J2612" s="147"/>
      <c r="K2612" s="147"/>
      <c r="L2612" s="147"/>
      <c r="M2612" s="147"/>
      <c r="N2612" s="147"/>
      <c r="O2612" s="147"/>
      <c r="P2612" s="147"/>
      <c r="Q2612" s="147"/>
      <c r="R2612" s="148"/>
      <c r="S2612" s="148"/>
      <c r="T2612" s="148"/>
      <c r="U2612" s="148"/>
      <c r="V2612" s="148"/>
      <c r="W2612" s="148"/>
      <c r="X2612" s="148"/>
      <c r="Y2612" s="148"/>
      <c r="Z2612" s="148"/>
      <c r="AA2612" s="148"/>
      <c r="AB2612" s="148"/>
      <c r="AC2612" s="148"/>
    </row>
    <row r="2613" spans="1:29" hidden="1">
      <c r="A2613" s="146"/>
      <c r="B2613" s="147"/>
      <c r="C2613" s="147"/>
      <c r="D2613" s="147"/>
      <c r="E2613" s="147"/>
      <c r="F2613" s="147"/>
      <c r="G2613" s="147"/>
      <c r="H2613" s="147"/>
      <c r="I2613" s="147"/>
      <c r="J2613" s="147"/>
      <c r="K2613" s="147"/>
      <c r="L2613" s="147"/>
      <c r="M2613" s="147"/>
      <c r="N2613" s="147"/>
      <c r="O2613" s="147"/>
      <c r="P2613" s="147"/>
      <c r="Q2613" s="147"/>
      <c r="R2613" s="148"/>
      <c r="S2613" s="148"/>
      <c r="T2613" s="148"/>
      <c r="U2613" s="148"/>
      <c r="V2613" s="148"/>
      <c r="W2613" s="148"/>
      <c r="X2613" s="148"/>
      <c r="Y2613" s="148"/>
      <c r="Z2613" s="148"/>
      <c r="AA2613" s="148"/>
      <c r="AB2613" s="148"/>
      <c r="AC2613" s="148"/>
    </row>
    <row r="2614" spans="1:29" hidden="1">
      <c r="A2614" s="146"/>
      <c r="B2614" s="147"/>
      <c r="C2614" s="147"/>
      <c r="D2614" s="147"/>
      <c r="E2614" s="147"/>
      <c r="F2614" s="147"/>
      <c r="G2614" s="147"/>
      <c r="H2614" s="147"/>
      <c r="I2614" s="147"/>
      <c r="J2614" s="147"/>
      <c r="K2614" s="147"/>
      <c r="L2614" s="147"/>
      <c r="M2614" s="147"/>
      <c r="N2614" s="147"/>
      <c r="O2614" s="147"/>
      <c r="P2614" s="147"/>
      <c r="Q2614" s="147"/>
      <c r="R2614" s="148"/>
      <c r="S2614" s="148"/>
      <c r="T2614" s="148"/>
      <c r="U2614" s="148"/>
      <c r="V2614" s="148"/>
      <c r="W2614" s="148"/>
      <c r="X2614" s="148"/>
      <c r="Y2614" s="148"/>
      <c r="Z2614" s="148"/>
      <c r="AA2614" s="148"/>
      <c r="AB2614" s="148"/>
      <c r="AC2614" s="148"/>
    </row>
    <row r="2615" spans="1:29" hidden="1">
      <c r="A2615" s="146"/>
      <c r="B2615" s="147"/>
      <c r="C2615" s="147"/>
      <c r="D2615" s="147"/>
      <c r="E2615" s="147"/>
      <c r="F2615" s="147"/>
      <c r="G2615" s="147"/>
      <c r="H2615" s="147"/>
      <c r="I2615" s="147"/>
      <c r="J2615" s="147"/>
      <c r="K2615" s="147"/>
      <c r="L2615" s="147"/>
      <c r="M2615" s="147"/>
      <c r="N2615" s="147"/>
      <c r="O2615" s="147"/>
      <c r="P2615" s="147"/>
      <c r="Q2615" s="147"/>
      <c r="R2615" s="148"/>
      <c r="S2615" s="148"/>
      <c r="T2615" s="148"/>
      <c r="U2615" s="148"/>
      <c r="V2615" s="148"/>
      <c r="W2615" s="148"/>
      <c r="X2615" s="148"/>
      <c r="Y2615" s="148"/>
      <c r="Z2615" s="148"/>
      <c r="AA2615" s="148"/>
      <c r="AB2615" s="148"/>
      <c r="AC2615" s="148"/>
    </row>
    <row r="2616" spans="1:29" hidden="1">
      <c r="A2616" s="146"/>
      <c r="B2616" s="147"/>
      <c r="C2616" s="147"/>
      <c r="D2616" s="147"/>
      <c r="E2616" s="147"/>
      <c r="F2616" s="147"/>
      <c r="G2616" s="147"/>
      <c r="H2616" s="147"/>
      <c r="I2616" s="147"/>
      <c r="J2616" s="147"/>
      <c r="K2616" s="147"/>
      <c r="L2616" s="147"/>
      <c r="M2616" s="147"/>
      <c r="N2616" s="147"/>
      <c r="O2616" s="147"/>
      <c r="P2616" s="147"/>
      <c r="Q2616" s="147"/>
      <c r="R2616" s="148"/>
      <c r="S2616" s="148"/>
      <c r="T2616" s="148"/>
      <c r="U2616" s="148"/>
      <c r="V2616" s="148"/>
      <c r="W2616" s="148"/>
      <c r="X2616" s="148"/>
      <c r="Y2616" s="148"/>
      <c r="Z2616" s="148"/>
      <c r="AA2616" s="148"/>
      <c r="AB2616" s="148"/>
      <c r="AC2616" s="148"/>
    </row>
    <row r="2617" spans="1:29" hidden="1">
      <c r="A2617" s="146"/>
      <c r="B2617" s="147"/>
      <c r="C2617" s="147"/>
      <c r="D2617" s="147"/>
      <c r="E2617" s="147"/>
      <c r="F2617" s="147"/>
      <c r="G2617" s="147"/>
      <c r="H2617" s="147"/>
      <c r="I2617" s="147"/>
      <c r="J2617" s="147"/>
      <c r="K2617" s="147"/>
      <c r="L2617" s="147"/>
      <c r="M2617" s="147"/>
      <c r="N2617" s="147"/>
      <c r="O2617" s="147"/>
      <c r="P2617" s="147"/>
      <c r="Q2617" s="147"/>
      <c r="R2617" s="148"/>
      <c r="S2617" s="148"/>
      <c r="T2617" s="148"/>
      <c r="U2617" s="148"/>
      <c r="V2617" s="148"/>
      <c r="W2617" s="148"/>
      <c r="X2617" s="148"/>
      <c r="Y2617" s="148"/>
      <c r="Z2617" s="148"/>
      <c r="AA2617" s="148"/>
      <c r="AB2617" s="148"/>
      <c r="AC2617" s="148"/>
    </row>
    <row r="2618" spans="1:29" hidden="1">
      <c r="A2618" s="146"/>
      <c r="B2618" s="147"/>
      <c r="C2618" s="147"/>
      <c r="D2618" s="147"/>
      <c r="E2618" s="147"/>
      <c r="F2618" s="147"/>
      <c r="G2618" s="147"/>
      <c r="H2618" s="147"/>
      <c r="I2618" s="147"/>
      <c r="J2618" s="147"/>
      <c r="K2618" s="147"/>
      <c r="L2618" s="147"/>
      <c r="M2618" s="147"/>
      <c r="N2618" s="147"/>
      <c r="O2618" s="147"/>
      <c r="P2618" s="147"/>
      <c r="Q2618" s="147"/>
      <c r="R2618" s="148"/>
      <c r="S2618" s="148"/>
      <c r="T2618" s="148"/>
      <c r="U2618" s="148"/>
      <c r="V2618" s="148"/>
      <c r="W2618" s="148"/>
      <c r="X2618" s="148"/>
      <c r="Y2618" s="148"/>
      <c r="Z2618" s="148"/>
      <c r="AA2618" s="148"/>
      <c r="AB2618" s="148"/>
      <c r="AC2618" s="148"/>
    </row>
    <row r="2619" spans="1:29" hidden="1">
      <c r="A2619" s="146"/>
      <c r="B2619" s="147"/>
      <c r="C2619" s="147"/>
      <c r="D2619" s="147"/>
      <c r="E2619" s="147"/>
      <c r="F2619" s="147"/>
      <c r="G2619" s="147"/>
      <c r="H2619" s="147"/>
      <c r="I2619" s="147"/>
      <c r="J2619" s="147"/>
      <c r="K2619" s="147"/>
      <c r="L2619" s="147"/>
      <c r="M2619" s="147"/>
      <c r="N2619" s="147"/>
      <c r="O2619" s="147"/>
      <c r="P2619" s="147"/>
      <c r="Q2619" s="147"/>
      <c r="R2619" s="148"/>
      <c r="S2619" s="148"/>
      <c r="T2619" s="148"/>
      <c r="U2619" s="148"/>
      <c r="V2619" s="148"/>
      <c r="W2619" s="148"/>
      <c r="X2619" s="148"/>
      <c r="Y2619" s="148"/>
      <c r="Z2619" s="148"/>
      <c r="AA2619" s="148"/>
      <c r="AB2619" s="148"/>
      <c r="AC2619" s="148"/>
    </row>
    <row r="2620" spans="1:29" hidden="1">
      <c r="A2620" s="146"/>
      <c r="B2620" s="147"/>
      <c r="C2620" s="147"/>
      <c r="D2620" s="147"/>
      <c r="E2620" s="147"/>
      <c r="F2620" s="147"/>
      <c r="G2620" s="147"/>
      <c r="H2620" s="147"/>
      <c r="I2620" s="147"/>
      <c r="J2620" s="147"/>
      <c r="K2620" s="147"/>
      <c r="L2620" s="147"/>
      <c r="M2620" s="147"/>
      <c r="N2620" s="147"/>
      <c r="O2620" s="147"/>
      <c r="P2620" s="147"/>
      <c r="Q2620" s="147"/>
      <c r="R2620" s="148"/>
      <c r="S2620" s="148"/>
      <c r="T2620" s="148"/>
      <c r="U2620" s="148"/>
      <c r="V2620" s="148"/>
      <c r="W2620" s="148"/>
      <c r="X2620" s="148"/>
      <c r="Y2620" s="148"/>
      <c r="Z2620" s="148"/>
      <c r="AA2620" s="148"/>
      <c r="AB2620" s="148"/>
      <c r="AC2620" s="148"/>
    </row>
    <row r="2621" spans="1:29" hidden="1">
      <c r="A2621" s="146"/>
      <c r="B2621" s="147"/>
      <c r="C2621" s="147"/>
      <c r="D2621" s="147"/>
      <c r="E2621" s="147"/>
      <c r="F2621" s="147"/>
      <c r="G2621" s="147"/>
      <c r="H2621" s="147"/>
      <c r="I2621" s="147"/>
      <c r="J2621" s="147"/>
      <c r="K2621" s="147"/>
      <c r="L2621" s="147"/>
      <c r="M2621" s="147"/>
      <c r="N2621" s="147"/>
      <c r="O2621" s="147"/>
      <c r="P2621" s="147"/>
      <c r="Q2621" s="147"/>
      <c r="R2621" s="148"/>
      <c r="S2621" s="148"/>
      <c r="T2621" s="148"/>
      <c r="U2621" s="148"/>
      <c r="V2621" s="148"/>
      <c r="W2621" s="148"/>
      <c r="X2621" s="148"/>
      <c r="Y2621" s="148"/>
      <c r="Z2621" s="148"/>
      <c r="AA2621" s="148"/>
      <c r="AB2621" s="148"/>
      <c r="AC2621" s="148"/>
    </row>
    <row r="2622" spans="1:29" hidden="1">
      <c r="A2622" s="146"/>
      <c r="B2622" s="147"/>
      <c r="C2622" s="147"/>
      <c r="D2622" s="147"/>
      <c r="E2622" s="147"/>
      <c r="F2622" s="147"/>
      <c r="G2622" s="147"/>
      <c r="H2622" s="147"/>
      <c r="I2622" s="147"/>
      <c r="J2622" s="147"/>
      <c r="K2622" s="147"/>
      <c r="L2622" s="147"/>
      <c r="M2622" s="147"/>
      <c r="N2622" s="147"/>
      <c r="O2622" s="147"/>
      <c r="P2622" s="147"/>
      <c r="Q2622" s="147"/>
      <c r="R2622" s="148"/>
      <c r="S2622" s="148"/>
      <c r="T2622" s="148"/>
      <c r="U2622" s="148"/>
      <c r="V2622" s="148"/>
      <c r="W2622" s="148"/>
      <c r="X2622" s="148"/>
      <c r="Y2622" s="148"/>
      <c r="Z2622" s="148"/>
      <c r="AA2622" s="148"/>
      <c r="AB2622" s="148"/>
      <c r="AC2622" s="148"/>
    </row>
    <row r="2623" spans="1:29" hidden="1">
      <c r="A2623" s="146"/>
      <c r="B2623" s="147"/>
      <c r="C2623" s="147"/>
      <c r="D2623" s="147"/>
      <c r="E2623" s="147"/>
      <c r="F2623" s="147"/>
      <c r="G2623" s="147"/>
      <c r="H2623" s="147"/>
      <c r="I2623" s="147"/>
      <c r="J2623" s="147"/>
      <c r="K2623" s="147"/>
      <c r="L2623" s="147"/>
      <c r="M2623" s="147"/>
      <c r="N2623" s="147"/>
      <c r="O2623" s="147"/>
      <c r="P2623" s="147"/>
      <c r="Q2623" s="147"/>
      <c r="R2623" s="148"/>
      <c r="S2623" s="148"/>
      <c r="T2623" s="148"/>
      <c r="U2623" s="148"/>
      <c r="V2623" s="148"/>
      <c r="W2623" s="148"/>
      <c r="X2623" s="148"/>
      <c r="Y2623" s="148"/>
      <c r="Z2623" s="148"/>
      <c r="AA2623" s="148"/>
      <c r="AB2623" s="148"/>
      <c r="AC2623" s="148"/>
    </row>
    <row r="2624" spans="1:29" hidden="1">
      <c r="A2624" s="146"/>
      <c r="B2624" s="147"/>
      <c r="C2624" s="147"/>
      <c r="D2624" s="147"/>
      <c r="E2624" s="147"/>
      <c r="F2624" s="147"/>
      <c r="G2624" s="147"/>
      <c r="H2624" s="147"/>
      <c r="I2624" s="147"/>
      <c r="J2624" s="147"/>
      <c r="K2624" s="147"/>
      <c r="L2624" s="147"/>
      <c r="M2624" s="147"/>
      <c r="N2624" s="147"/>
      <c r="O2624" s="147"/>
      <c r="P2624" s="147"/>
      <c r="Q2624" s="147"/>
      <c r="R2624" s="148"/>
      <c r="S2624" s="148"/>
      <c r="T2624" s="148"/>
      <c r="U2624" s="148"/>
      <c r="V2624" s="148"/>
      <c r="W2624" s="148"/>
      <c r="X2624" s="148"/>
      <c r="Y2624" s="148"/>
      <c r="Z2624" s="148"/>
      <c r="AA2624" s="148"/>
      <c r="AB2624" s="148"/>
      <c r="AC2624" s="148"/>
    </row>
    <row r="2625" spans="1:29" hidden="1">
      <c r="A2625" s="146"/>
      <c r="B2625" s="147"/>
      <c r="C2625" s="147"/>
      <c r="D2625" s="147"/>
      <c r="E2625" s="147"/>
      <c r="F2625" s="147"/>
      <c r="G2625" s="147"/>
      <c r="H2625" s="147"/>
      <c r="I2625" s="147"/>
      <c r="J2625" s="147"/>
      <c r="K2625" s="147"/>
      <c r="L2625" s="147"/>
      <c r="M2625" s="147"/>
      <c r="N2625" s="147"/>
      <c r="O2625" s="147"/>
      <c r="P2625" s="147"/>
      <c r="Q2625" s="147"/>
      <c r="R2625" s="148"/>
      <c r="S2625" s="148"/>
      <c r="T2625" s="148"/>
      <c r="U2625" s="148"/>
      <c r="V2625" s="148"/>
      <c r="W2625" s="148"/>
      <c r="X2625" s="148"/>
      <c r="Y2625" s="148"/>
      <c r="Z2625" s="148"/>
      <c r="AA2625" s="148"/>
      <c r="AB2625" s="148"/>
      <c r="AC2625" s="148"/>
    </row>
    <row r="2626" spans="1:29" hidden="1">
      <c r="A2626" s="146"/>
      <c r="B2626" s="147"/>
      <c r="C2626" s="147"/>
      <c r="D2626" s="147"/>
      <c r="E2626" s="147"/>
      <c r="F2626" s="147"/>
      <c r="G2626" s="147"/>
      <c r="H2626" s="147"/>
      <c r="I2626" s="147"/>
      <c r="J2626" s="147"/>
      <c r="K2626" s="147"/>
      <c r="L2626" s="147"/>
      <c r="M2626" s="147"/>
      <c r="N2626" s="147"/>
      <c r="O2626" s="147"/>
      <c r="P2626" s="147"/>
      <c r="Q2626" s="147"/>
      <c r="R2626" s="148"/>
      <c r="S2626" s="148"/>
      <c r="T2626" s="148"/>
      <c r="U2626" s="148"/>
      <c r="V2626" s="148"/>
      <c r="W2626" s="148"/>
      <c r="X2626" s="148"/>
      <c r="Y2626" s="148"/>
      <c r="Z2626" s="148"/>
      <c r="AA2626" s="148"/>
      <c r="AB2626" s="148"/>
      <c r="AC2626" s="148"/>
    </row>
    <row r="2627" spans="1:29" hidden="1">
      <c r="A2627" s="146"/>
      <c r="B2627" s="147"/>
      <c r="C2627" s="147"/>
      <c r="D2627" s="147"/>
      <c r="E2627" s="147"/>
      <c r="F2627" s="147"/>
      <c r="G2627" s="147"/>
      <c r="H2627" s="147"/>
      <c r="I2627" s="147"/>
      <c r="J2627" s="147"/>
      <c r="K2627" s="147"/>
      <c r="L2627" s="147"/>
      <c r="M2627" s="147"/>
      <c r="N2627" s="147"/>
      <c r="O2627" s="147"/>
      <c r="P2627" s="147"/>
      <c r="Q2627" s="147"/>
      <c r="R2627" s="148"/>
      <c r="S2627" s="148"/>
      <c r="T2627" s="148"/>
      <c r="U2627" s="148"/>
      <c r="V2627" s="148"/>
      <c r="W2627" s="148"/>
      <c r="X2627" s="148"/>
      <c r="Y2627" s="148"/>
      <c r="Z2627" s="148"/>
      <c r="AA2627" s="148"/>
      <c r="AB2627" s="148"/>
      <c r="AC2627" s="148"/>
    </row>
    <row r="2628" spans="1:29" hidden="1">
      <c r="A2628" s="146"/>
      <c r="B2628" s="147"/>
      <c r="C2628" s="147"/>
      <c r="D2628" s="147"/>
      <c r="E2628" s="147"/>
      <c r="F2628" s="147"/>
      <c r="G2628" s="147"/>
      <c r="H2628" s="147"/>
      <c r="I2628" s="147"/>
      <c r="J2628" s="147"/>
      <c r="K2628" s="147"/>
      <c r="L2628" s="147"/>
      <c r="M2628" s="147"/>
      <c r="N2628" s="147"/>
      <c r="O2628" s="147"/>
      <c r="P2628" s="147"/>
      <c r="Q2628" s="147"/>
      <c r="R2628" s="148"/>
      <c r="S2628" s="148"/>
      <c r="T2628" s="148"/>
      <c r="U2628" s="148"/>
      <c r="V2628" s="148"/>
      <c r="W2628" s="148"/>
      <c r="X2628" s="148"/>
      <c r="Y2628" s="148"/>
      <c r="Z2628" s="148"/>
      <c r="AA2628" s="148"/>
      <c r="AB2628" s="148"/>
      <c r="AC2628" s="148"/>
    </row>
    <row r="2629" spans="1:29" hidden="1">
      <c r="A2629" s="146"/>
      <c r="B2629" s="147"/>
      <c r="C2629" s="147"/>
      <c r="D2629" s="147"/>
      <c r="E2629" s="147"/>
      <c r="F2629" s="147"/>
      <c r="G2629" s="147"/>
      <c r="H2629" s="147"/>
      <c r="I2629" s="147"/>
      <c r="J2629" s="147"/>
      <c r="K2629" s="147"/>
      <c r="L2629" s="147"/>
      <c r="M2629" s="147"/>
      <c r="N2629" s="147"/>
      <c r="O2629" s="147"/>
      <c r="P2629" s="147"/>
      <c r="Q2629" s="147"/>
      <c r="R2629" s="148"/>
      <c r="S2629" s="148"/>
      <c r="T2629" s="148"/>
      <c r="U2629" s="148"/>
      <c r="V2629" s="148"/>
      <c r="W2629" s="148"/>
      <c r="X2629" s="148"/>
      <c r="Y2629" s="148"/>
      <c r="Z2629" s="148"/>
      <c r="AA2629" s="148"/>
      <c r="AB2629" s="148"/>
      <c r="AC2629" s="148"/>
    </row>
    <row r="2630" spans="1:29" hidden="1">
      <c r="A2630" s="146"/>
      <c r="B2630" s="147"/>
      <c r="C2630" s="147"/>
      <c r="D2630" s="147"/>
      <c r="E2630" s="147"/>
      <c r="F2630" s="147"/>
      <c r="G2630" s="147"/>
      <c r="H2630" s="147"/>
      <c r="I2630" s="147"/>
      <c r="J2630" s="147"/>
      <c r="K2630" s="147"/>
      <c r="L2630" s="147"/>
      <c r="M2630" s="147"/>
      <c r="N2630" s="147"/>
      <c r="O2630" s="147"/>
      <c r="P2630" s="147"/>
      <c r="Q2630" s="147"/>
      <c r="R2630" s="148"/>
      <c r="S2630" s="148"/>
      <c r="T2630" s="148"/>
      <c r="U2630" s="148"/>
      <c r="V2630" s="148"/>
      <c r="W2630" s="148"/>
      <c r="X2630" s="148"/>
      <c r="Y2630" s="148"/>
      <c r="Z2630" s="148"/>
      <c r="AA2630" s="148"/>
      <c r="AB2630" s="148"/>
      <c r="AC2630" s="148"/>
    </row>
    <row r="2631" spans="1:29" hidden="1">
      <c r="A2631" s="146"/>
      <c r="B2631" s="147"/>
      <c r="C2631" s="147"/>
      <c r="D2631" s="147"/>
      <c r="E2631" s="147"/>
      <c r="F2631" s="147"/>
      <c r="G2631" s="147"/>
      <c r="H2631" s="147"/>
      <c r="I2631" s="147"/>
      <c r="J2631" s="147"/>
      <c r="K2631" s="147"/>
      <c r="L2631" s="147"/>
      <c r="M2631" s="147"/>
      <c r="N2631" s="147"/>
      <c r="O2631" s="147"/>
      <c r="P2631" s="147"/>
      <c r="Q2631" s="147"/>
      <c r="R2631" s="148"/>
      <c r="S2631" s="148"/>
      <c r="T2631" s="148"/>
      <c r="U2631" s="148"/>
      <c r="V2631" s="148"/>
      <c r="W2631" s="148"/>
      <c r="X2631" s="148"/>
      <c r="Y2631" s="148"/>
      <c r="Z2631" s="148"/>
      <c r="AA2631" s="148"/>
      <c r="AB2631" s="148"/>
      <c r="AC2631" s="148"/>
    </row>
    <row r="2632" spans="1:29" hidden="1">
      <c r="A2632" s="146"/>
      <c r="B2632" s="147"/>
      <c r="C2632" s="147"/>
      <c r="D2632" s="147"/>
      <c r="E2632" s="147"/>
      <c r="F2632" s="147"/>
      <c r="G2632" s="147"/>
      <c r="H2632" s="147"/>
      <c r="I2632" s="147"/>
      <c r="J2632" s="147"/>
      <c r="K2632" s="147"/>
      <c r="L2632" s="147"/>
      <c r="M2632" s="147"/>
      <c r="N2632" s="147"/>
      <c r="O2632" s="147"/>
      <c r="P2632" s="147"/>
      <c r="Q2632" s="147"/>
      <c r="R2632" s="148"/>
      <c r="S2632" s="148"/>
      <c r="T2632" s="148"/>
      <c r="U2632" s="148"/>
      <c r="V2632" s="148"/>
      <c r="W2632" s="148"/>
      <c r="X2632" s="148"/>
      <c r="Y2632" s="148"/>
      <c r="Z2632" s="148"/>
      <c r="AA2632" s="148"/>
      <c r="AB2632" s="148"/>
      <c r="AC2632" s="148"/>
    </row>
    <row r="2633" spans="1:29" hidden="1">
      <c r="A2633" s="146"/>
      <c r="B2633" s="147"/>
      <c r="C2633" s="147"/>
      <c r="D2633" s="147"/>
      <c r="E2633" s="147"/>
      <c r="F2633" s="147"/>
      <c r="G2633" s="147"/>
      <c r="H2633" s="147"/>
      <c r="I2633" s="147"/>
      <c r="J2633" s="147"/>
      <c r="K2633" s="147"/>
      <c r="L2633" s="147"/>
      <c r="M2633" s="147"/>
      <c r="N2633" s="147"/>
      <c r="O2633" s="147"/>
      <c r="P2633" s="147"/>
      <c r="Q2633" s="147"/>
      <c r="R2633" s="148"/>
      <c r="S2633" s="148"/>
      <c r="T2633" s="148"/>
      <c r="U2633" s="148"/>
      <c r="V2633" s="148"/>
      <c r="W2633" s="148"/>
      <c r="X2633" s="148"/>
      <c r="Y2633" s="148"/>
      <c r="Z2633" s="148"/>
      <c r="AA2633" s="148"/>
      <c r="AB2633" s="148"/>
      <c r="AC2633" s="148"/>
    </row>
    <row r="2634" spans="1:29" hidden="1">
      <c r="A2634" s="146"/>
      <c r="B2634" s="147"/>
      <c r="C2634" s="147"/>
      <c r="D2634" s="147"/>
      <c r="E2634" s="147"/>
      <c r="F2634" s="147"/>
      <c r="G2634" s="147"/>
      <c r="H2634" s="147"/>
      <c r="I2634" s="147"/>
      <c r="J2634" s="147"/>
      <c r="K2634" s="147"/>
      <c r="L2634" s="147"/>
      <c r="M2634" s="147"/>
      <c r="N2634" s="147"/>
      <c r="O2634" s="147"/>
      <c r="P2634" s="147"/>
      <c r="Q2634" s="147"/>
      <c r="R2634" s="148"/>
      <c r="S2634" s="148"/>
      <c r="T2634" s="148"/>
      <c r="U2634" s="148"/>
      <c r="V2634" s="148"/>
      <c r="W2634" s="148"/>
      <c r="X2634" s="148"/>
      <c r="Y2634" s="148"/>
      <c r="Z2634" s="148"/>
      <c r="AA2634" s="148"/>
      <c r="AB2634" s="148"/>
      <c r="AC2634" s="148"/>
    </row>
    <row r="2635" spans="1:29" hidden="1">
      <c r="A2635" s="146"/>
      <c r="B2635" s="147"/>
      <c r="C2635" s="147"/>
      <c r="D2635" s="147"/>
      <c r="E2635" s="147"/>
      <c r="F2635" s="147"/>
      <c r="G2635" s="147"/>
      <c r="H2635" s="147"/>
      <c r="I2635" s="147"/>
      <c r="J2635" s="147"/>
      <c r="K2635" s="147"/>
      <c r="L2635" s="147"/>
      <c r="M2635" s="147"/>
      <c r="N2635" s="147"/>
      <c r="O2635" s="147"/>
      <c r="P2635" s="147"/>
      <c r="Q2635" s="147"/>
      <c r="R2635" s="148"/>
      <c r="S2635" s="148"/>
      <c r="T2635" s="148"/>
      <c r="U2635" s="148"/>
      <c r="V2635" s="148"/>
      <c r="W2635" s="148"/>
      <c r="X2635" s="148"/>
      <c r="Y2635" s="148"/>
      <c r="Z2635" s="148"/>
      <c r="AA2635" s="148"/>
      <c r="AB2635" s="148"/>
      <c r="AC2635" s="148"/>
    </row>
    <row r="2636" spans="1:29" hidden="1">
      <c r="A2636" s="146"/>
      <c r="B2636" s="147"/>
      <c r="C2636" s="147"/>
      <c r="D2636" s="147"/>
      <c r="E2636" s="147"/>
      <c r="F2636" s="147"/>
      <c r="G2636" s="147"/>
      <c r="H2636" s="147"/>
      <c r="I2636" s="147"/>
      <c r="J2636" s="147"/>
      <c r="K2636" s="147"/>
      <c r="L2636" s="147"/>
      <c r="M2636" s="147"/>
      <c r="N2636" s="147"/>
      <c r="O2636" s="147"/>
      <c r="P2636" s="147"/>
      <c r="Q2636" s="147"/>
      <c r="R2636" s="148"/>
      <c r="S2636" s="148"/>
      <c r="T2636" s="148"/>
      <c r="U2636" s="148"/>
      <c r="V2636" s="148"/>
      <c r="W2636" s="148"/>
      <c r="X2636" s="148"/>
      <c r="Y2636" s="148"/>
      <c r="Z2636" s="148"/>
      <c r="AA2636" s="148"/>
      <c r="AB2636" s="148"/>
      <c r="AC2636" s="148"/>
    </row>
    <row r="2637" spans="1:29" hidden="1">
      <c r="A2637" s="146"/>
      <c r="B2637" s="147"/>
      <c r="C2637" s="147"/>
      <c r="D2637" s="147"/>
      <c r="E2637" s="147"/>
      <c r="F2637" s="147"/>
      <c r="G2637" s="147"/>
      <c r="H2637" s="147"/>
      <c r="I2637" s="147"/>
      <c r="J2637" s="147"/>
      <c r="K2637" s="147"/>
      <c r="L2637" s="147"/>
      <c r="M2637" s="147"/>
      <c r="N2637" s="147"/>
      <c r="O2637" s="147"/>
      <c r="P2637" s="147"/>
      <c r="Q2637" s="147"/>
      <c r="R2637" s="148"/>
      <c r="S2637" s="148"/>
      <c r="T2637" s="148"/>
      <c r="U2637" s="148"/>
      <c r="V2637" s="148"/>
      <c r="W2637" s="148"/>
      <c r="X2637" s="148"/>
      <c r="Y2637" s="148"/>
      <c r="Z2637" s="148"/>
      <c r="AA2637" s="148"/>
      <c r="AB2637" s="148"/>
      <c r="AC2637" s="148"/>
    </row>
    <row r="2638" spans="1:29" hidden="1">
      <c r="A2638" s="146"/>
      <c r="B2638" s="147"/>
      <c r="C2638" s="147"/>
      <c r="D2638" s="147"/>
      <c r="E2638" s="147"/>
      <c r="F2638" s="147"/>
      <c r="G2638" s="147"/>
      <c r="H2638" s="147"/>
      <c r="I2638" s="147"/>
      <c r="J2638" s="147"/>
      <c r="K2638" s="147"/>
      <c r="L2638" s="147"/>
      <c r="M2638" s="147"/>
      <c r="N2638" s="147"/>
      <c r="O2638" s="147"/>
      <c r="P2638" s="147"/>
      <c r="Q2638" s="147"/>
      <c r="R2638" s="148"/>
      <c r="S2638" s="148"/>
      <c r="T2638" s="148"/>
      <c r="U2638" s="148"/>
      <c r="V2638" s="148"/>
      <c r="W2638" s="148"/>
      <c r="X2638" s="148"/>
      <c r="Y2638" s="148"/>
      <c r="Z2638" s="148"/>
      <c r="AA2638" s="148"/>
      <c r="AB2638" s="148"/>
      <c r="AC2638" s="148"/>
    </row>
    <row r="2639" spans="1:29" hidden="1">
      <c r="A2639" s="146"/>
      <c r="B2639" s="147"/>
      <c r="C2639" s="147"/>
      <c r="D2639" s="147"/>
      <c r="E2639" s="147"/>
      <c r="F2639" s="147"/>
      <c r="G2639" s="147"/>
      <c r="H2639" s="147"/>
      <c r="I2639" s="147"/>
      <c r="J2639" s="147"/>
      <c r="K2639" s="147"/>
      <c r="L2639" s="147"/>
      <c r="M2639" s="147"/>
      <c r="N2639" s="147"/>
      <c r="O2639" s="147"/>
      <c r="P2639" s="147"/>
      <c r="Q2639" s="147"/>
      <c r="R2639" s="148"/>
      <c r="S2639" s="148"/>
      <c r="T2639" s="148"/>
      <c r="U2639" s="148"/>
      <c r="V2639" s="148"/>
      <c r="W2639" s="148"/>
      <c r="X2639" s="148"/>
      <c r="Y2639" s="148"/>
      <c r="Z2639" s="148"/>
      <c r="AA2639" s="148"/>
      <c r="AB2639" s="148"/>
      <c r="AC2639" s="148"/>
    </row>
    <row r="2640" spans="1:29" hidden="1">
      <c r="A2640" s="146"/>
      <c r="B2640" s="147"/>
      <c r="C2640" s="147"/>
      <c r="D2640" s="147"/>
      <c r="E2640" s="147"/>
      <c r="F2640" s="147"/>
      <c r="G2640" s="147"/>
      <c r="H2640" s="147"/>
      <c r="I2640" s="147"/>
      <c r="J2640" s="147"/>
      <c r="K2640" s="147"/>
      <c r="L2640" s="147"/>
      <c r="M2640" s="147"/>
      <c r="N2640" s="147"/>
      <c r="O2640" s="147"/>
      <c r="P2640" s="147"/>
      <c r="Q2640" s="147"/>
      <c r="R2640" s="148"/>
      <c r="S2640" s="148"/>
      <c r="T2640" s="148"/>
      <c r="U2640" s="148"/>
      <c r="V2640" s="148"/>
      <c r="W2640" s="148"/>
      <c r="X2640" s="148"/>
      <c r="Y2640" s="148"/>
      <c r="Z2640" s="148"/>
      <c r="AA2640" s="148"/>
      <c r="AB2640" s="148"/>
      <c r="AC2640" s="148"/>
    </row>
    <row r="2641" spans="1:29" hidden="1">
      <c r="A2641" s="146"/>
      <c r="B2641" s="147"/>
      <c r="C2641" s="147"/>
      <c r="D2641" s="147"/>
      <c r="E2641" s="147"/>
      <c r="F2641" s="147"/>
      <c r="G2641" s="147"/>
      <c r="H2641" s="147"/>
      <c r="I2641" s="147"/>
      <c r="J2641" s="147"/>
      <c r="K2641" s="147"/>
      <c r="L2641" s="147"/>
      <c r="M2641" s="147"/>
      <c r="N2641" s="147"/>
      <c r="O2641" s="147"/>
      <c r="P2641" s="147"/>
      <c r="Q2641" s="147"/>
      <c r="R2641" s="148"/>
      <c r="S2641" s="148"/>
      <c r="T2641" s="148"/>
      <c r="U2641" s="148"/>
      <c r="V2641" s="148"/>
      <c r="W2641" s="148"/>
      <c r="X2641" s="148"/>
      <c r="Y2641" s="148"/>
      <c r="Z2641" s="148"/>
      <c r="AA2641" s="148"/>
      <c r="AB2641" s="148"/>
      <c r="AC2641" s="148"/>
    </row>
    <row r="2642" spans="1:29" hidden="1">
      <c r="A2642" s="146"/>
      <c r="B2642" s="147"/>
      <c r="C2642" s="147"/>
      <c r="D2642" s="147"/>
      <c r="E2642" s="147"/>
      <c r="F2642" s="147"/>
      <c r="G2642" s="147"/>
      <c r="H2642" s="147"/>
      <c r="I2642" s="147"/>
      <c r="J2642" s="147"/>
      <c r="K2642" s="147"/>
      <c r="L2642" s="147"/>
      <c r="M2642" s="147"/>
      <c r="N2642" s="147"/>
      <c r="O2642" s="147"/>
      <c r="P2642" s="147"/>
      <c r="Q2642" s="147"/>
      <c r="R2642" s="148"/>
      <c r="S2642" s="148"/>
      <c r="T2642" s="148"/>
      <c r="U2642" s="148"/>
      <c r="V2642" s="148"/>
      <c r="W2642" s="148"/>
      <c r="X2642" s="148"/>
      <c r="Y2642" s="148"/>
      <c r="Z2642" s="148"/>
      <c r="AA2642" s="148"/>
      <c r="AB2642" s="148"/>
      <c r="AC2642" s="148"/>
    </row>
    <row r="2643" spans="1:29" hidden="1">
      <c r="A2643" s="146"/>
      <c r="B2643" s="147"/>
      <c r="C2643" s="147"/>
      <c r="D2643" s="147"/>
      <c r="E2643" s="147"/>
      <c r="F2643" s="147"/>
      <c r="G2643" s="147"/>
      <c r="H2643" s="147"/>
      <c r="I2643" s="147"/>
      <c r="J2643" s="147"/>
      <c r="K2643" s="147"/>
      <c r="L2643" s="147"/>
      <c r="M2643" s="147"/>
      <c r="N2643" s="147"/>
      <c r="O2643" s="147"/>
      <c r="P2643" s="147"/>
      <c r="Q2643" s="147"/>
      <c r="R2643" s="148"/>
      <c r="S2643" s="148"/>
      <c r="T2643" s="148"/>
      <c r="U2643" s="148"/>
      <c r="V2643" s="148"/>
      <c r="W2643" s="148"/>
      <c r="X2643" s="148"/>
      <c r="Y2643" s="148"/>
      <c r="Z2643" s="148"/>
      <c r="AA2643" s="148"/>
      <c r="AB2643" s="148"/>
      <c r="AC2643" s="148"/>
    </row>
    <row r="2644" spans="1:29" hidden="1">
      <c r="A2644" s="146"/>
      <c r="B2644" s="147"/>
      <c r="C2644" s="147"/>
      <c r="D2644" s="147"/>
      <c r="E2644" s="147"/>
      <c r="F2644" s="147"/>
      <c r="G2644" s="147"/>
      <c r="H2644" s="147"/>
      <c r="I2644" s="147"/>
      <c r="J2644" s="147"/>
      <c r="K2644" s="147"/>
      <c r="L2644" s="147"/>
      <c r="M2644" s="147"/>
      <c r="N2644" s="147"/>
      <c r="O2644" s="147"/>
      <c r="P2644" s="147"/>
      <c r="Q2644" s="147"/>
      <c r="R2644" s="148"/>
      <c r="S2644" s="148"/>
      <c r="T2644" s="148"/>
      <c r="U2644" s="148"/>
      <c r="V2644" s="148"/>
      <c r="W2644" s="148"/>
      <c r="X2644" s="148"/>
      <c r="Y2644" s="148"/>
      <c r="Z2644" s="148"/>
      <c r="AA2644" s="148"/>
      <c r="AB2644" s="148"/>
      <c r="AC2644" s="148"/>
    </row>
    <row r="2645" spans="1:29" hidden="1">
      <c r="A2645" s="146"/>
      <c r="B2645" s="147"/>
      <c r="C2645" s="147"/>
      <c r="D2645" s="147"/>
      <c r="E2645" s="147"/>
      <c r="F2645" s="147"/>
      <c r="G2645" s="147"/>
      <c r="H2645" s="147"/>
      <c r="I2645" s="147"/>
      <c r="J2645" s="147"/>
      <c r="K2645" s="147"/>
      <c r="L2645" s="147"/>
      <c r="M2645" s="147"/>
      <c r="N2645" s="147"/>
      <c r="O2645" s="147"/>
      <c r="P2645" s="147"/>
      <c r="Q2645" s="147"/>
      <c r="R2645" s="148"/>
      <c r="S2645" s="148"/>
      <c r="T2645" s="148"/>
      <c r="U2645" s="148"/>
      <c r="V2645" s="148"/>
      <c r="W2645" s="148"/>
      <c r="X2645" s="148"/>
      <c r="Y2645" s="148"/>
      <c r="Z2645" s="148"/>
      <c r="AA2645" s="148"/>
      <c r="AB2645" s="148"/>
      <c r="AC2645" s="148"/>
    </row>
    <row r="2646" spans="1:29" hidden="1">
      <c r="A2646" s="146"/>
      <c r="B2646" s="147"/>
      <c r="C2646" s="147"/>
      <c r="D2646" s="147"/>
      <c r="E2646" s="147"/>
      <c r="F2646" s="147"/>
      <c r="G2646" s="147"/>
      <c r="H2646" s="147"/>
      <c r="I2646" s="147"/>
      <c r="J2646" s="147"/>
      <c r="K2646" s="147"/>
      <c r="L2646" s="147"/>
      <c r="M2646" s="147"/>
      <c r="N2646" s="147"/>
      <c r="O2646" s="147"/>
      <c r="P2646" s="147"/>
      <c r="Q2646" s="147"/>
      <c r="R2646" s="148"/>
      <c r="S2646" s="148"/>
      <c r="T2646" s="148"/>
      <c r="U2646" s="148"/>
      <c r="V2646" s="148"/>
      <c r="W2646" s="148"/>
      <c r="X2646" s="148"/>
      <c r="Y2646" s="148"/>
      <c r="Z2646" s="148"/>
      <c r="AA2646" s="148"/>
      <c r="AB2646" s="148"/>
      <c r="AC2646" s="148"/>
    </row>
    <row r="2647" spans="1:29" hidden="1">
      <c r="A2647" s="146"/>
      <c r="B2647" s="147"/>
      <c r="C2647" s="147"/>
      <c r="D2647" s="147"/>
      <c r="E2647" s="147"/>
      <c r="F2647" s="147"/>
      <c r="G2647" s="147"/>
      <c r="H2647" s="147"/>
      <c r="I2647" s="147"/>
      <c r="J2647" s="147"/>
      <c r="K2647" s="147"/>
      <c r="L2647" s="147"/>
      <c r="M2647" s="147"/>
      <c r="N2647" s="147"/>
      <c r="O2647" s="147"/>
      <c r="P2647" s="147"/>
      <c r="Q2647" s="147"/>
      <c r="R2647" s="148"/>
      <c r="S2647" s="148"/>
      <c r="T2647" s="148"/>
      <c r="U2647" s="148"/>
      <c r="V2647" s="148"/>
      <c r="W2647" s="148"/>
      <c r="X2647" s="148"/>
      <c r="Y2647" s="148"/>
      <c r="Z2647" s="148"/>
      <c r="AA2647" s="148"/>
      <c r="AB2647" s="148"/>
      <c r="AC2647" s="148"/>
    </row>
    <row r="2648" spans="1:29" hidden="1">
      <c r="A2648" s="146"/>
      <c r="B2648" s="147"/>
      <c r="C2648" s="147"/>
      <c r="D2648" s="147"/>
      <c r="E2648" s="147"/>
      <c r="F2648" s="147"/>
      <c r="G2648" s="147"/>
      <c r="H2648" s="147"/>
      <c r="I2648" s="147"/>
      <c r="J2648" s="147"/>
      <c r="K2648" s="147"/>
      <c r="L2648" s="147"/>
      <c r="M2648" s="147"/>
      <c r="N2648" s="147"/>
      <c r="O2648" s="147"/>
      <c r="P2648" s="147"/>
      <c r="Q2648" s="147"/>
      <c r="R2648" s="148"/>
      <c r="S2648" s="148"/>
      <c r="T2648" s="148"/>
      <c r="U2648" s="148"/>
      <c r="V2648" s="148"/>
      <c r="W2648" s="148"/>
      <c r="X2648" s="148"/>
      <c r="Y2648" s="148"/>
      <c r="Z2648" s="148"/>
      <c r="AA2648" s="148"/>
      <c r="AB2648" s="148"/>
      <c r="AC2648" s="148"/>
    </row>
    <row r="2649" spans="1:29" hidden="1">
      <c r="A2649" s="146"/>
      <c r="B2649" s="147"/>
      <c r="C2649" s="147"/>
      <c r="D2649" s="147"/>
      <c r="E2649" s="147"/>
      <c r="F2649" s="147"/>
      <c r="G2649" s="147"/>
      <c r="H2649" s="147"/>
      <c r="I2649" s="147"/>
      <c r="J2649" s="147"/>
      <c r="K2649" s="147"/>
      <c r="L2649" s="147"/>
      <c r="M2649" s="147"/>
      <c r="N2649" s="147"/>
      <c r="O2649" s="147"/>
      <c r="P2649" s="147"/>
      <c r="Q2649" s="147"/>
      <c r="R2649" s="148"/>
      <c r="S2649" s="148"/>
      <c r="T2649" s="148"/>
      <c r="U2649" s="148"/>
      <c r="V2649" s="148"/>
      <c r="W2649" s="148"/>
      <c r="X2649" s="148"/>
      <c r="Y2649" s="148"/>
      <c r="Z2649" s="148"/>
      <c r="AA2649" s="148"/>
      <c r="AB2649" s="148"/>
      <c r="AC2649" s="148"/>
    </row>
    <row r="2650" spans="1:29" hidden="1">
      <c r="A2650" s="146"/>
      <c r="B2650" s="147"/>
      <c r="C2650" s="147"/>
      <c r="D2650" s="147"/>
      <c r="E2650" s="147"/>
      <c r="F2650" s="147"/>
      <c r="G2650" s="147"/>
      <c r="H2650" s="147"/>
      <c r="I2650" s="147"/>
      <c r="J2650" s="147"/>
      <c r="K2650" s="147"/>
      <c r="L2650" s="147"/>
      <c r="M2650" s="147"/>
      <c r="N2650" s="147"/>
      <c r="O2650" s="147"/>
      <c r="P2650" s="147"/>
      <c r="Q2650" s="147"/>
      <c r="R2650" s="148"/>
      <c r="S2650" s="148"/>
      <c r="T2650" s="148"/>
      <c r="U2650" s="148"/>
      <c r="V2650" s="148"/>
      <c r="W2650" s="148"/>
      <c r="X2650" s="148"/>
      <c r="Y2650" s="148"/>
      <c r="Z2650" s="148"/>
      <c r="AA2650" s="148"/>
      <c r="AB2650" s="148"/>
      <c r="AC2650" s="148"/>
    </row>
    <row r="2651" spans="1:29" hidden="1">
      <c r="A2651" s="146"/>
      <c r="B2651" s="147"/>
      <c r="C2651" s="147"/>
      <c r="D2651" s="147"/>
      <c r="E2651" s="147"/>
      <c r="F2651" s="147"/>
      <c r="G2651" s="147"/>
      <c r="H2651" s="147"/>
      <c r="I2651" s="147"/>
      <c r="J2651" s="147"/>
      <c r="K2651" s="147"/>
      <c r="L2651" s="147"/>
      <c r="M2651" s="147"/>
      <c r="N2651" s="147"/>
      <c r="O2651" s="147"/>
      <c r="P2651" s="147"/>
      <c r="Q2651" s="147"/>
      <c r="R2651" s="148"/>
      <c r="S2651" s="148"/>
      <c r="T2651" s="148"/>
      <c r="U2651" s="148"/>
      <c r="V2651" s="148"/>
      <c r="W2651" s="148"/>
      <c r="X2651" s="148"/>
      <c r="Y2651" s="148"/>
      <c r="Z2651" s="148"/>
      <c r="AA2651" s="148"/>
      <c r="AB2651" s="148"/>
      <c r="AC2651" s="148"/>
    </row>
    <row r="2652" spans="1:29" hidden="1">
      <c r="A2652" s="146"/>
      <c r="B2652" s="147"/>
      <c r="C2652" s="147"/>
      <c r="D2652" s="147"/>
      <c r="E2652" s="147"/>
      <c r="F2652" s="147"/>
      <c r="G2652" s="147"/>
      <c r="H2652" s="147"/>
      <c r="I2652" s="147"/>
      <c r="J2652" s="147"/>
      <c r="K2652" s="147"/>
      <c r="L2652" s="147"/>
      <c r="M2652" s="147"/>
      <c r="N2652" s="147"/>
      <c r="O2652" s="147"/>
      <c r="P2652" s="147"/>
      <c r="Q2652" s="147"/>
      <c r="R2652" s="148"/>
      <c r="S2652" s="148"/>
      <c r="T2652" s="148"/>
      <c r="U2652" s="148"/>
      <c r="V2652" s="148"/>
      <c r="W2652" s="148"/>
      <c r="X2652" s="148"/>
      <c r="Y2652" s="148"/>
      <c r="Z2652" s="148"/>
      <c r="AA2652" s="148"/>
      <c r="AB2652" s="148"/>
      <c r="AC2652" s="148"/>
    </row>
    <row r="2653" spans="1:29" hidden="1">
      <c r="A2653" s="146"/>
      <c r="B2653" s="147"/>
      <c r="C2653" s="147"/>
      <c r="D2653" s="147"/>
      <c r="E2653" s="147"/>
      <c r="F2653" s="147"/>
      <c r="G2653" s="147"/>
      <c r="H2653" s="147"/>
      <c r="I2653" s="147"/>
      <c r="J2653" s="147"/>
      <c r="K2653" s="147"/>
      <c r="L2653" s="147"/>
      <c r="M2653" s="147"/>
      <c r="N2653" s="147"/>
      <c r="O2653" s="147"/>
      <c r="P2653" s="147"/>
      <c r="Q2653" s="147"/>
      <c r="R2653" s="148"/>
      <c r="S2653" s="148"/>
      <c r="T2653" s="148"/>
      <c r="U2653" s="148"/>
      <c r="V2653" s="148"/>
      <c r="W2653" s="148"/>
      <c r="X2653" s="148"/>
      <c r="Y2653" s="148"/>
      <c r="Z2653" s="148"/>
      <c r="AA2653" s="148"/>
      <c r="AB2653" s="148"/>
      <c r="AC2653" s="148"/>
    </row>
    <row r="2654" spans="1:29" hidden="1">
      <c r="A2654" s="146"/>
      <c r="B2654" s="147"/>
      <c r="C2654" s="147"/>
      <c r="D2654" s="147"/>
      <c r="E2654" s="147"/>
      <c r="F2654" s="147"/>
      <c r="G2654" s="147"/>
      <c r="H2654" s="147"/>
      <c r="I2654" s="147"/>
      <c r="J2654" s="147"/>
      <c r="K2654" s="147"/>
      <c r="L2654" s="147"/>
      <c r="M2654" s="147"/>
      <c r="N2654" s="147"/>
      <c r="O2654" s="147"/>
      <c r="P2654" s="147"/>
      <c r="Q2654" s="147"/>
      <c r="R2654" s="148"/>
      <c r="S2654" s="148"/>
      <c r="T2654" s="148"/>
      <c r="U2654" s="148"/>
      <c r="V2654" s="148"/>
      <c r="W2654" s="148"/>
      <c r="X2654" s="148"/>
      <c r="Y2654" s="148"/>
      <c r="Z2654" s="148"/>
      <c r="AA2654" s="148"/>
      <c r="AB2654" s="148"/>
      <c r="AC2654" s="148"/>
    </row>
    <row r="2655" spans="1:29" hidden="1">
      <c r="A2655" s="146"/>
      <c r="B2655" s="147"/>
      <c r="C2655" s="147"/>
      <c r="D2655" s="147"/>
      <c r="E2655" s="147"/>
      <c r="F2655" s="147"/>
      <c r="G2655" s="147"/>
      <c r="H2655" s="147"/>
      <c r="I2655" s="147"/>
      <c r="J2655" s="147"/>
      <c r="K2655" s="147"/>
      <c r="L2655" s="147"/>
      <c r="M2655" s="147"/>
      <c r="N2655" s="147"/>
      <c r="O2655" s="147"/>
      <c r="P2655" s="147"/>
      <c r="Q2655" s="147"/>
      <c r="R2655" s="148"/>
      <c r="S2655" s="148"/>
      <c r="T2655" s="148"/>
      <c r="U2655" s="148"/>
      <c r="V2655" s="148"/>
      <c r="W2655" s="148"/>
      <c r="X2655" s="148"/>
      <c r="Y2655" s="148"/>
      <c r="Z2655" s="148"/>
      <c r="AA2655" s="148"/>
      <c r="AB2655" s="148"/>
      <c r="AC2655" s="148"/>
    </row>
    <row r="2656" spans="1:29" hidden="1">
      <c r="A2656" s="146"/>
      <c r="B2656" s="147"/>
      <c r="C2656" s="147"/>
      <c r="D2656" s="147"/>
      <c r="E2656" s="147"/>
      <c r="F2656" s="147"/>
      <c r="G2656" s="147"/>
      <c r="H2656" s="147"/>
      <c r="I2656" s="147"/>
      <c r="J2656" s="147"/>
      <c r="K2656" s="147"/>
      <c r="L2656" s="147"/>
      <c r="M2656" s="147"/>
      <c r="N2656" s="147"/>
      <c r="O2656" s="147"/>
      <c r="P2656" s="147"/>
      <c r="Q2656" s="147"/>
      <c r="R2656" s="148"/>
      <c r="S2656" s="148"/>
      <c r="T2656" s="148"/>
      <c r="U2656" s="148"/>
      <c r="V2656" s="148"/>
      <c r="W2656" s="148"/>
      <c r="X2656" s="148"/>
      <c r="Y2656" s="148"/>
      <c r="Z2656" s="148"/>
      <c r="AA2656" s="148"/>
      <c r="AB2656" s="148"/>
      <c r="AC2656" s="148"/>
    </row>
    <row r="2657" spans="1:29" hidden="1">
      <c r="A2657" s="146"/>
      <c r="B2657" s="147"/>
      <c r="C2657" s="147"/>
      <c r="D2657" s="147"/>
      <c r="E2657" s="147"/>
      <c r="F2657" s="147"/>
      <c r="G2657" s="147"/>
      <c r="H2657" s="147"/>
      <c r="I2657" s="147"/>
      <c r="J2657" s="147"/>
      <c r="K2657" s="147"/>
      <c r="L2657" s="147"/>
      <c r="M2657" s="147"/>
      <c r="N2657" s="147"/>
      <c r="O2657" s="147"/>
      <c r="P2657" s="147"/>
      <c r="Q2657" s="147"/>
      <c r="R2657" s="148"/>
      <c r="S2657" s="148"/>
      <c r="T2657" s="148"/>
      <c r="U2657" s="148"/>
      <c r="V2657" s="148"/>
      <c r="W2657" s="148"/>
      <c r="X2657" s="148"/>
      <c r="Y2657" s="148"/>
      <c r="Z2657" s="148"/>
      <c r="AA2657" s="148"/>
      <c r="AB2657" s="148"/>
      <c r="AC2657" s="148"/>
    </row>
    <row r="2658" spans="1:29" hidden="1">
      <c r="A2658" s="146"/>
      <c r="B2658" s="147"/>
      <c r="C2658" s="147"/>
      <c r="D2658" s="147"/>
      <c r="E2658" s="147"/>
      <c r="F2658" s="147"/>
      <c r="G2658" s="147"/>
      <c r="H2658" s="147"/>
      <c r="I2658" s="147"/>
      <c r="J2658" s="147"/>
      <c r="K2658" s="147"/>
      <c r="L2658" s="147"/>
      <c r="M2658" s="147"/>
      <c r="N2658" s="147"/>
      <c r="O2658" s="147"/>
      <c r="P2658" s="147"/>
      <c r="Q2658" s="147"/>
      <c r="R2658" s="148"/>
      <c r="S2658" s="148"/>
      <c r="T2658" s="148"/>
      <c r="U2658" s="148"/>
      <c r="V2658" s="148"/>
      <c r="W2658" s="148"/>
      <c r="X2658" s="148"/>
      <c r="Y2658" s="148"/>
      <c r="Z2658" s="148"/>
      <c r="AA2658" s="148"/>
      <c r="AB2658" s="148"/>
      <c r="AC2658" s="148"/>
    </row>
    <row r="2659" spans="1:29" hidden="1">
      <c r="A2659" s="146"/>
      <c r="B2659" s="147"/>
      <c r="C2659" s="147"/>
      <c r="D2659" s="147"/>
      <c r="E2659" s="147"/>
      <c r="F2659" s="147"/>
      <c r="G2659" s="147"/>
      <c r="H2659" s="147"/>
      <c r="I2659" s="147"/>
      <c r="J2659" s="147"/>
      <c r="K2659" s="147"/>
      <c r="L2659" s="147"/>
      <c r="M2659" s="147"/>
      <c r="N2659" s="147"/>
      <c r="O2659" s="147"/>
      <c r="P2659" s="147"/>
      <c r="Q2659" s="147"/>
      <c r="R2659" s="148"/>
      <c r="S2659" s="148"/>
      <c r="T2659" s="148"/>
      <c r="U2659" s="148"/>
      <c r="V2659" s="148"/>
      <c r="W2659" s="148"/>
      <c r="X2659" s="148"/>
      <c r="Y2659" s="148"/>
      <c r="Z2659" s="148"/>
      <c r="AA2659" s="148"/>
      <c r="AB2659" s="148"/>
      <c r="AC2659" s="148"/>
    </row>
    <row r="2660" spans="1:29" hidden="1">
      <c r="A2660" s="146"/>
      <c r="B2660" s="147"/>
      <c r="C2660" s="147"/>
      <c r="D2660" s="147"/>
      <c r="E2660" s="147"/>
      <c r="F2660" s="147"/>
      <c r="G2660" s="147"/>
      <c r="H2660" s="147"/>
      <c r="I2660" s="147"/>
      <c r="J2660" s="147"/>
      <c r="K2660" s="147"/>
      <c r="L2660" s="147"/>
      <c r="M2660" s="147"/>
      <c r="N2660" s="147"/>
      <c r="O2660" s="147"/>
      <c r="P2660" s="147"/>
      <c r="Q2660" s="147"/>
      <c r="R2660" s="148"/>
      <c r="S2660" s="148"/>
      <c r="T2660" s="148"/>
      <c r="U2660" s="148"/>
      <c r="V2660" s="148"/>
      <c r="W2660" s="148"/>
      <c r="X2660" s="148"/>
      <c r="Y2660" s="148"/>
      <c r="Z2660" s="148"/>
      <c r="AA2660" s="148"/>
      <c r="AB2660" s="148"/>
      <c r="AC2660" s="148"/>
    </row>
    <row r="2661" spans="1:29" hidden="1">
      <c r="A2661" s="146"/>
      <c r="B2661" s="147"/>
      <c r="C2661" s="147"/>
      <c r="D2661" s="147"/>
      <c r="E2661" s="147"/>
      <c r="F2661" s="147"/>
      <c r="G2661" s="147"/>
      <c r="H2661" s="147"/>
      <c r="I2661" s="147"/>
      <c r="J2661" s="147"/>
      <c r="K2661" s="147"/>
      <c r="L2661" s="147"/>
      <c r="M2661" s="147"/>
      <c r="N2661" s="147"/>
      <c r="O2661" s="147"/>
      <c r="P2661" s="147"/>
      <c r="Q2661" s="147"/>
      <c r="R2661" s="148"/>
      <c r="S2661" s="148"/>
      <c r="T2661" s="148"/>
      <c r="U2661" s="148"/>
      <c r="V2661" s="148"/>
      <c r="W2661" s="148"/>
      <c r="X2661" s="148"/>
      <c r="Y2661" s="148"/>
      <c r="Z2661" s="148"/>
      <c r="AA2661" s="148"/>
      <c r="AB2661" s="148"/>
      <c r="AC2661" s="148"/>
    </row>
    <row r="2662" spans="1:29" hidden="1">
      <c r="A2662" s="146"/>
      <c r="B2662" s="147"/>
      <c r="C2662" s="147"/>
      <c r="D2662" s="147"/>
      <c r="E2662" s="147"/>
      <c r="F2662" s="147"/>
      <c r="G2662" s="147"/>
      <c r="H2662" s="147"/>
      <c r="I2662" s="147"/>
      <c r="J2662" s="147"/>
      <c r="K2662" s="147"/>
      <c r="L2662" s="147"/>
      <c r="M2662" s="147"/>
      <c r="N2662" s="147"/>
      <c r="O2662" s="147"/>
      <c r="P2662" s="147"/>
      <c r="Q2662" s="147"/>
      <c r="R2662" s="148"/>
      <c r="S2662" s="148"/>
      <c r="T2662" s="148"/>
      <c r="U2662" s="148"/>
      <c r="V2662" s="148"/>
      <c r="W2662" s="148"/>
      <c r="X2662" s="148"/>
      <c r="Y2662" s="148"/>
      <c r="Z2662" s="148"/>
      <c r="AA2662" s="148"/>
      <c r="AB2662" s="148"/>
      <c r="AC2662" s="148"/>
    </row>
    <row r="2663" spans="1:29" hidden="1">
      <c r="A2663" s="146"/>
      <c r="B2663" s="147"/>
      <c r="C2663" s="147"/>
      <c r="D2663" s="147"/>
      <c r="E2663" s="147"/>
      <c r="F2663" s="147"/>
      <c r="G2663" s="147"/>
      <c r="H2663" s="147"/>
      <c r="I2663" s="147"/>
      <c r="J2663" s="147"/>
      <c r="K2663" s="147"/>
      <c r="L2663" s="147"/>
      <c r="M2663" s="147"/>
      <c r="N2663" s="147"/>
      <c r="O2663" s="147"/>
      <c r="P2663" s="147"/>
      <c r="Q2663" s="147"/>
      <c r="R2663" s="148"/>
      <c r="S2663" s="148"/>
      <c r="T2663" s="148"/>
      <c r="U2663" s="148"/>
      <c r="V2663" s="148"/>
      <c r="W2663" s="148"/>
      <c r="X2663" s="148"/>
      <c r="Y2663" s="148"/>
      <c r="Z2663" s="148"/>
      <c r="AA2663" s="148"/>
      <c r="AB2663" s="148"/>
      <c r="AC2663" s="148"/>
    </row>
    <row r="2664" spans="1:29" hidden="1">
      <c r="A2664" s="146"/>
      <c r="B2664" s="147"/>
      <c r="C2664" s="147"/>
      <c r="D2664" s="147"/>
      <c r="E2664" s="147"/>
      <c r="F2664" s="147"/>
      <c r="G2664" s="147"/>
      <c r="H2664" s="147"/>
      <c r="I2664" s="147"/>
      <c r="J2664" s="147"/>
      <c r="K2664" s="147"/>
      <c r="L2664" s="147"/>
      <c r="M2664" s="147"/>
      <c r="N2664" s="147"/>
      <c r="O2664" s="147"/>
      <c r="P2664" s="147"/>
      <c r="Q2664" s="147"/>
      <c r="R2664" s="148"/>
      <c r="S2664" s="148"/>
      <c r="T2664" s="148"/>
      <c r="U2664" s="148"/>
      <c r="V2664" s="148"/>
      <c r="W2664" s="148"/>
      <c r="X2664" s="148"/>
      <c r="Y2664" s="148"/>
      <c r="Z2664" s="148"/>
      <c r="AA2664" s="148"/>
      <c r="AB2664" s="148"/>
      <c r="AC2664" s="148"/>
    </row>
    <row r="2665" spans="1:29" hidden="1">
      <c r="A2665" s="146"/>
      <c r="B2665" s="147"/>
      <c r="C2665" s="147"/>
      <c r="D2665" s="147"/>
      <c r="E2665" s="147"/>
      <c r="F2665" s="147"/>
      <c r="G2665" s="147"/>
      <c r="H2665" s="147"/>
      <c r="I2665" s="147"/>
      <c r="J2665" s="147"/>
      <c r="K2665" s="147"/>
      <c r="L2665" s="147"/>
      <c r="M2665" s="147"/>
      <c r="N2665" s="147"/>
      <c r="O2665" s="147"/>
      <c r="P2665" s="147"/>
      <c r="Q2665" s="147"/>
      <c r="R2665" s="148"/>
      <c r="S2665" s="148"/>
      <c r="T2665" s="148"/>
      <c r="U2665" s="148"/>
      <c r="V2665" s="148"/>
      <c r="W2665" s="148"/>
      <c r="X2665" s="148"/>
      <c r="Y2665" s="148"/>
      <c r="Z2665" s="148"/>
      <c r="AA2665" s="148"/>
      <c r="AB2665" s="148"/>
      <c r="AC2665" s="148"/>
    </row>
    <row r="2666" spans="1:29" hidden="1">
      <c r="A2666" s="146"/>
      <c r="B2666" s="147"/>
      <c r="C2666" s="147"/>
      <c r="D2666" s="147"/>
      <c r="E2666" s="147"/>
      <c r="F2666" s="147"/>
      <c r="G2666" s="147"/>
      <c r="H2666" s="147"/>
      <c r="I2666" s="147"/>
      <c r="J2666" s="147"/>
      <c r="K2666" s="147"/>
      <c r="L2666" s="147"/>
      <c r="M2666" s="147"/>
      <c r="N2666" s="147"/>
      <c r="O2666" s="147"/>
      <c r="P2666" s="147"/>
      <c r="Q2666" s="147"/>
      <c r="R2666" s="148"/>
      <c r="S2666" s="148"/>
      <c r="T2666" s="148"/>
      <c r="U2666" s="148"/>
      <c r="V2666" s="148"/>
      <c r="W2666" s="148"/>
      <c r="X2666" s="148"/>
      <c r="Y2666" s="148"/>
      <c r="Z2666" s="148"/>
      <c r="AA2666" s="148"/>
      <c r="AB2666" s="148"/>
      <c r="AC2666" s="148"/>
    </row>
    <row r="2667" spans="1:29" hidden="1">
      <c r="A2667" s="146"/>
      <c r="B2667" s="147"/>
      <c r="C2667" s="147"/>
      <c r="D2667" s="147"/>
      <c r="E2667" s="147"/>
      <c r="F2667" s="147"/>
      <c r="G2667" s="147"/>
      <c r="H2667" s="147"/>
      <c r="I2667" s="147"/>
      <c r="J2667" s="147"/>
      <c r="K2667" s="147"/>
      <c r="L2667" s="147"/>
      <c r="M2667" s="147"/>
      <c r="N2667" s="147"/>
      <c r="O2667" s="147"/>
      <c r="P2667" s="147"/>
      <c r="Q2667" s="147"/>
      <c r="R2667" s="148"/>
      <c r="S2667" s="148"/>
      <c r="T2667" s="148"/>
      <c r="U2667" s="148"/>
      <c r="V2667" s="148"/>
      <c r="W2667" s="148"/>
      <c r="X2667" s="148"/>
      <c r="Y2667" s="148"/>
      <c r="Z2667" s="148"/>
      <c r="AA2667" s="148"/>
      <c r="AB2667" s="148"/>
      <c r="AC2667" s="148"/>
    </row>
    <row r="2668" spans="1:29" hidden="1">
      <c r="A2668" s="146"/>
      <c r="B2668" s="147"/>
      <c r="C2668" s="147"/>
      <c r="D2668" s="147"/>
      <c r="E2668" s="147"/>
      <c r="F2668" s="147"/>
      <c r="G2668" s="147"/>
      <c r="H2668" s="147"/>
      <c r="I2668" s="147"/>
      <c r="J2668" s="147"/>
      <c r="K2668" s="147"/>
      <c r="L2668" s="147"/>
      <c r="M2668" s="147"/>
      <c r="N2668" s="147"/>
      <c r="O2668" s="147"/>
      <c r="P2668" s="147"/>
      <c r="Q2668" s="147"/>
      <c r="R2668" s="148"/>
      <c r="S2668" s="148"/>
      <c r="T2668" s="148"/>
      <c r="U2668" s="148"/>
      <c r="V2668" s="148"/>
      <c r="W2668" s="148"/>
      <c r="X2668" s="148"/>
      <c r="Y2668" s="148"/>
      <c r="Z2668" s="148"/>
      <c r="AA2668" s="148"/>
      <c r="AB2668" s="148"/>
      <c r="AC2668" s="148"/>
    </row>
    <row r="2669" spans="1:29" hidden="1">
      <c r="A2669" s="146"/>
      <c r="B2669" s="147"/>
      <c r="C2669" s="147"/>
      <c r="D2669" s="147"/>
      <c r="E2669" s="147"/>
      <c r="F2669" s="147"/>
      <c r="G2669" s="147"/>
      <c r="H2669" s="147"/>
      <c r="I2669" s="147"/>
      <c r="J2669" s="147"/>
      <c r="K2669" s="147"/>
      <c r="L2669" s="147"/>
      <c r="M2669" s="147"/>
      <c r="N2669" s="147"/>
      <c r="O2669" s="147"/>
      <c r="P2669" s="147"/>
      <c r="Q2669" s="147"/>
      <c r="R2669" s="148"/>
      <c r="S2669" s="148"/>
      <c r="T2669" s="148"/>
      <c r="U2669" s="148"/>
      <c r="V2669" s="148"/>
      <c r="W2669" s="148"/>
      <c r="X2669" s="148"/>
      <c r="Y2669" s="148"/>
      <c r="Z2669" s="148"/>
      <c r="AA2669" s="148"/>
      <c r="AB2669" s="148"/>
      <c r="AC2669" s="148"/>
    </row>
    <row r="2670" spans="1:29" hidden="1">
      <c r="A2670" s="146"/>
      <c r="B2670" s="147"/>
      <c r="C2670" s="147"/>
      <c r="D2670" s="147"/>
      <c r="E2670" s="147"/>
      <c r="F2670" s="147"/>
      <c r="G2670" s="147"/>
      <c r="H2670" s="147"/>
      <c r="I2670" s="147"/>
      <c r="J2670" s="147"/>
      <c r="K2670" s="147"/>
      <c r="L2670" s="147"/>
      <c r="M2670" s="147"/>
      <c r="N2670" s="147"/>
      <c r="O2670" s="147"/>
      <c r="P2670" s="147"/>
      <c r="Q2670" s="147"/>
      <c r="R2670" s="148"/>
      <c r="S2670" s="148"/>
      <c r="T2670" s="148"/>
      <c r="U2670" s="148"/>
      <c r="V2670" s="148"/>
      <c r="W2670" s="148"/>
      <c r="X2670" s="148"/>
      <c r="Y2670" s="148"/>
      <c r="Z2670" s="148"/>
      <c r="AA2670" s="148"/>
      <c r="AB2670" s="148"/>
      <c r="AC2670" s="148"/>
    </row>
    <row r="2671" spans="1:29" hidden="1">
      <c r="A2671" s="146"/>
      <c r="B2671" s="147"/>
      <c r="C2671" s="147"/>
      <c r="D2671" s="147"/>
      <c r="E2671" s="147"/>
      <c r="F2671" s="147"/>
      <c r="G2671" s="147"/>
      <c r="H2671" s="147"/>
      <c r="I2671" s="147"/>
      <c r="J2671" s="147"/>
      <c r="K2671" s="147"/>
      <c r="L2671" s="147"/>
      <c r="M2671" s="147"/>
      <c r="N2671" s="147"/>
      <c r="O2671" s="147"/>
      <c r="P2671" s="147"/>
      <c r="Q2671" s="147"/>
      <c r="R2671" s="148"/>
      <c r="S2671" s="148"/>
      <c r="T2671" s="148"/>
      <c r="U2671" s="148"/>
      <c r="V2671" s="148"/>
      <c r="W2671" s="148"/>
      <c r="X2671" s="148"/>
      <c r="Y2671" s="148"/>
      <c r="Z2671" s="148"/>
      <c r="AA2671" s="148"/>
      <c r="AB2671" s="148"/>
      <c r="AC2671" s="148"/>
    </row>
    <row r="2672" spans="1:29" hidden="1">
      <c r="A2672" s="146"/>
      <c r="B2672" s="147"/>
      <c r="C2672" s="147"/>
      <c r="D2672" s="147"/>
      <c r="E2672" s="147"/>
      <c r="F2672" s="147"/>
      <c r="G2672" s="147"/>
      <c r="H2672" s="147"/>
      <c r="I2672" s="147"/>
      <c r="J2672" s="147"/>
      <c r="K2672" s="147"/>
      <c r="L2672" s="147"/>
      <c r="M2672" s="147"/>
      <c r="N2672" s="147"/>
      <c r="O2672" s="147"/>
      <c r="P2672" s="147"/>
      <c r="Q2672" s="147"/>
      <c r="R2672" s="148"/>
      <c r="S2672" s="148"/>
      <c r="T2672" s="148"/>
      <c r="U2672" s="148"/>
      <c r="V2672" s="148"/>
      <c r="W2672" s="148"/>
      <c r="X2672" s="148"/>
      <c r="Y2672" s="148"/>
      <c r="Z2672" s="148"/>
      <c r="AA2672" s="148"/>
      <c r="AB2672" s="148"/>
      <c r="AC2672" s="148"/>
    </row>
    <row r="2673" spans="1:29" hidden="1">
      <c r="A2673" s="146"/>
      <c r="B2673" s="147"/>
      <c r="C2673" s="147"/>
      <c r="D2673" s="147"/>
      <c r="E2673" s="147"/>
      <c r="F2673" s="147"/>
      <c r="G2673" s="147"/>
      <c r="H2673" s="147"/>
      <c r="I2673" s="147"/>
      <c r="J2673" s="147"/>
      <c r="K2673" s="147"/>
      <c r="L2673" s="147"/>
      <c r="M2673" s="147"/>
      <c r="N2673" s="147"/>
      <c r="O2673" s="147"/>
      <c r="P2673" s="147"/>
      <c r="Q2673" s="147"/>
      <c r="R2673" s="148"/>
      <c r="S2673" s="148"/>
      <c r="T2673" s="148"/>
      <c r="U2673" s="148"/>
      <c r="V2673" s="148"/>
      <c r="W2673" s="148"/>
      <c r="X2673" s="148"/>
      <c r="Y2673" s="148"/>
      <c r="Z2673" s="148"/>
      <c r="AA2673" s="148"/>
      <c r="AB2673" s="148"/>
      <c r="AC2673" s="148"/>
    </row>
    <row r="2674" spans="1:29" hidden="1">
      <c r="A2674" s="146"/>
      <c r="B2674" s="147"/>
      <c r="C2674" s="147"/>
      <c r="D2674" s="147"/>
      <c r="E2674" s="147"/>
      <c r="F2674" s="147"/>
      <c r="G2674" s="147"/>
      <c r="H2674" s="147"/>
      <c r="I2674" s="147"/>
      <c r="J2674" s="147"/>
      <c r="K2674" s="147"/>
      <c r="L2674" s="147"/>
      <c r="M2674" s="147"/>
      <c r="N2674" s="147"/>
      <c r="O2674" s="147"/>
      <c r="P2674" s="147"/>
      <c r="Q2674" s="147"/>
      <c r="R2674" s="148"/>
      <c r="S2674" s="148"/>
      <c r="T2674" s="148"/>
      <c r="U2674" s="148"/>
      <c r="V2674" s="148"/>
      <c r="W2674" s="148"/>
      <c r="X2674" s="148"/>
      <c r="Y2674" s="148"/>
      <c r="Z2674" s="148"/>
      <c r="AA2674" s="148"/>
      <c r="AB2674" s="148"/>
      <c r="AC2674" s="148"/>
    </row>
    <row r="2675" spans="1:29" hidden="1">
      <c r="A2675" s="146"/>
      <c r="B2675" s="147"/>
      <c r="C2675" s="147"/>
      <c r="D2675" s="147"/>
      <c r="E2675" s="147"/>
      <c r="F2675" s="147"/>
      <c r="G2675" s="147"/>
      <c r="H2675" s="147"/>
      <c r="I2675" s="147"/>
      <c r="J2675" s="147"/>
      <c r="K2675" s="147"/>
      <c r="L2675" s="147"/>
      <c r="M2675" s="147"/>
      <c r="N2675" s="147"/>
      <c r="O2675" s="147"/>
      <c r="P2675" s="147"/>
      <c r="Q2675" s="147"/>
      <c r="R2675" s="148"/>
      <c r="S2675" s="148"/>
      <c r="T2675" s="148"/>
      <c r="U2675" s="148"/>
      <c r="V2675" s="148"/>
      <c r="W2675" s="148"/>
      <c r="X2675" s="148"/>
      <c r="Y2675" s="148"/>
      <c r="Z2675" s="148"/>
      <c r="AA2675" s="148"/>
      <c r="AB2675" s="148"/>
      <c r="AC2675" s="148"/>
    </row>
    <row r="2676" spans="1:29" hidden="1">
      <c r="A2676" s="146"/>
      <c r="B2676" s="147"/>
      <c r="C2676" s="147"/>
      <c r="D2676" s="147"/>
      <c r="E2676" s="147"/>
      <c r="F2676" s="147"/>
      <c r="G2676" s="147"/>
      <c r="H2676" s="147"/>
      <c r="I2676" s="147"/>
      <c r="J2676" s="147"/>
      <c r="K2676" s="147"/>
      <c r="L2676" s="147"/>
      <c r="M2676" s="147"/>
      <c r="N2676" s="147"/>
      <c r="O2676" s="147"/>
      <c r="P2676" s="147"/>
      <c r="Q2676" s="147"/>
      <c r="R2676" s="148"/>
      <c r="S2676" s="148"/>
      <c r="T2676" s="148"/>
      <c r="U2676" s="148"/>
      <c r="V2676" s="148"/>
      <c r="W2676" s="148"/>
      <c r="X2676" s="148"/>
      <c r="Y2676" s="148"/>
      <c r="Z2676" s="148"/>
      <c r="AA2676" s="148"/>
      <c r="AB2676" s="148"/>
      <c r="AC2676" s="148"/>
    </row>
    <row r="2677" spans="1:29" hidden="1">
      <c r="A2677" s="146"/>
      <c r="B2677" s="147"/>
      <c r="C2677" s="147"/>
      <c r="D2677" s="147"/>
      <c r="E2677" s="147"/>
      <c r="F2677" s="147"/>
      <c r="G2677" s="147"/>
      <c r="H2677" s="147"/>
      <c r="I2677" s="147"/>
      <c r="J2677" s="147"/>
      <c r="K2677" s="147"/>
      <c r="L2677" s="147"/>
      <c r="M2677" s="147"/>
      <c r="N2677" s="147"/>
      <c r="O2677" s="147"/>
      <c r="P2677" s="147"/>
      <c r="Q2677" s="147"/>
      <c r="R2677" s="148"/>
      <c r="S2677" s="148"/>
      <c r="T2677" s="148"/>
      <c r="U2677" s="148"/>
      <c r="V2677" s="148"/>
      <c r="W2677" s="148"/>
      <c r="X2677" s="148"/>
      <c r="Y2677" s="148"/>
      <c r="Z2677" s="148"/>
      <c r="AA2677" s="148"/>
      <c r="AB2677" s="148"/>
      <c r="AC2677" s="148"/>
    </row>
    <row r="2678" spans="1:29" hidden="1">
      <c r="A2678" s="146"/>
      <c r="B2678" s="147"/>
      <c r="C2678" s="147"/>
      <c r="D2678" s="147"/>
      <c r="E2678" s="147"/>
      <c r="F2678" s="147"/>
      <c r="G2678" s="147"/>
      <c r="H2678" s="147"/>
      <c r="I2678" s="147"/>
      <c r="J2678" s="147"/>
      <c r="K2678" s="147"/>
      <c r="L2678" s="147"/>
      <c r="M2678" s="147"/>
      <c r="N2678" s="147"/>
      <c r="O2678" s="147"/>
      <c r="P2678" s="147"/>
      <c r="Q2678" s="147"/>
      <c r="R2678" s="148"/>
      <c r="S2678" s="148"/>
      <c r="T2678" s="148"/>
      <c r="U2678" s="148"/>
      <c r="V2678" s="148"/>
      <c r="W2678" s="148"/>
      <c r="X2678" s="148"/>
      <c r="Y2678" s="148"/>
      <c r="Z2678" s="148"/>
      <c r="AA2678" s="148"/>
      <c r="AB2678" s="148"/>
      <c r="AC2678" s="148"/>
    </row>
    <row r="2679" spans="1:29" hidden="1">
      <c r="A2679" s="146"/>
      <c r="B2679" s="147"/>
      <c r="C2679" s="147"/>
      <c r="D2679" s="147"/>
      <c r="E2679" s="147"/>
      <c r="F2679" s="147"/>
      <c r="G2679" s="147"/>
      <c r="H2679" s="147"/>
      <c r="I2679" s="147"/>
      <c r="J2679" s="147"/>
      <c r="K2679" s="147"/>
      <c r="L2679" s="147"/>
      <c r="M2679" s="147"/>
      <c r="N2679" s="147"/>
      <c r="O2679" s="147"/>
      <c r="P2679" s="147"/>
      <c r="Q2679" s="147"/>
      <c r="R2679" s="148"/>
      <c r="S2679" s="148"/>
      <c r="T2679" s="148"/>
      <c r="U2679" s="148"/>
      <c r="V2679" s="148"/>
      <c r="W2679" s="148"/>
      <c r="X2679" s="148"/>
      <c r="Y2679" s="148"/>
      <c r="Z2679" s="148"/>
      <c r="AA2679" s="148"/>
      <c r="AB2679" s="148"/>
      <c r="AC2679" s="148"/>
    </row>
    <row r="2680" spans="1:29" hidden="1">
      <c r="A2680" s="146"/>
      <c r="B2680" s="147"/>
      <c r="C2680" s="147"/>
      <c r="D2680" s="147"/>
      <c r="E2680" s="147"/>
      <c r="F2680" s="147"/>
      <c r="G2680" s="147"/>
      <c r="H2680" s="147"/>
      <c r="I2680" s="147"/>
      <c r="J2680" s="147"/>
      <c r="K2680" s="147"/>
      <c r="L2680" s="147"/>
      <c r="M2680" s="147"/>
      <c r="N2680" s="147"/>
      <c r="O2680" s="147"/>
      <c r="P2680" s="147"/>
      <c r="Q2680" s="147"/>
      <c r="R2680" s="148"/>
      <c r="S2680" s="148"/>
      <c r="T2680" s="148"/>
      <c r="U2680" s="148"/>
      <c r="V2680" s="148"/>
      <c r="W2680" s="148"/>
      <c r="X2680" s="148"/>
      <c r="Y2680" s="148"/>
      <c r="Z2680" s="148"/>
      <c r="AA2680" s="148"/>
      <c r="AB2680" s="148"/>
      <c r="AC2680" s="148"/>
    </row>
    <row r="2681" spans="1:29" hidden="1">
      <c r="A2681" s="146"/>
      <c r="B2681" s="147"/>
      <c r="C2681" s="147"/>
      <c r="D2681" s="147"/>
      <c r="E2681" s="147"/>
      <c r="F2681" s="147"/>
      <c r="G2681" s="147"/>
      <c r="H2681" s="147"/>
      <c r="I2681" s="147"/>
      <c r="J2681" s="147"/>
      <c r="K2681" s="147"/>
      <c r="L2681" s="147"/>
      <c r="M2681" s="147"/>
      <c r="N2681" s="147"/>
      <c r="O2681" s="147"/>
      <c r="P2681" s="147"/>
      <c r="Q2681" s="147"/>
      <c r="R2681" s="148"/>
      <c r="S2681" s="148"/>
      <c r="T2681" s="148"/>
      <c r="U2681" s="148"/>
      <c r="V2681" s="148"/>
      <c r="W2681" s="148"/>
      <c r="X2681" s="148"/>
      <c r="Y2681" s="148"/>
      <c r="Z2681" s="148"/>
      <c r="AA2681" s="148"/>
      <c r="AB2681" s="148"/>
      <c r="AC2681" s="148"/>
    </row>
    <row r="2682" spans="1:29" hidden="1">
      <c r="A2682" s="146"/>
      <c r="B2682" s="147"/>
      <c r="C2682" s="147"/>
      <c r="D2682" s="147"/>
      <c r="E2682" s="147"/>
      <c r="F2682" s="147"/>
      <c r="G2682" s="147"/>
      <c r="H2682" s="147"/>
      <c r="I2682" s="147"/>
      <c r="J2682" s="147"/>
      <c r="K2682" s="147"/>
      <c r="L2682" s="147"/>
      <c r="M2682" s="147"/>
      <c r="N2682" s="147"/>
      <c r="O2682" s="147"/>
      <c r="P2682" s="147"/>
      <c r="Q2682" s="147"/>
      <c r="R2682" s="148"/>
      <c r="S2682" s="148"/>
      <c r="T2682" s="148"/>
      <c r="U2682" s="148"/>
      <c r="V2682" s="148"/>
      <c r="W2682" s="148"/>
      <c r="X2682" s="148"/>
      <c r="Y2682" s="148"/>
      <c r="Z2682" s="148"/>
      <c r="AA2682" s="148"/>
      <c r="AB2682" s="148"/>
      <c r="AC2682" s="148"/>
    </row>
    <row r="2683" spans="1:29" hidden="1">
      <c r="A2683" s="146"/>
      <c r="B2683" s="147"/>
      <c r="C2683" s="147"/>
      <c r="D2683" s="147"/>
      <c r="E2683" s="147"/>
      <c r="F2683" s="147"/>
      <c r="G2683" s="147"/>
      <c r="H2683" s="147"/>
      <c r="I2683" s="147"/>
      <c r="J2683" s="147"/>
      <c r="K2683" s="147"/>
      <c r="L2683" s="147"/>
      <c r="M2683" s="147"/>
      <c r="N2683" s="147"/>
      <c r="O2683" s="147"/>
      <c r="P2683" s="147"/>
      <c r="Q2683" s="147"/>
      <c r="R2683" s="148"/>
      <c r="S2683" s="148"/>
      <c r="T2683" s="148"/>
      <c r="U2683" s="148"/>
      <c r="V2683" s="148"/>
      <c r="W2683" s="148"/>
      <c r="X2683" s="148"/>
      <c r="Y2683" s="148"/>
      <c r="Z2683" s="148"/>
      <c r="AA2683" s="148"/>
      <c r="AB2683" s="148"/>
      <c r="AC2683" s="148"/>
    </row>
    <row r="2684" spans="1:29" hidden="1">
      <c r="A2684" s="146"/>
      <c r="B2684" s="147"/>
      <c r="C2684" s="147"/>
      <c r="D2684" s="147"/>
      <c r="E2684" s="147"/>
      <c r="F2684" s="147"/>
      <c r="G2684" s="147"/>
      <c r="H2684" s="147"/>
      <c r="I2684" s="147"/>
      <c r="J2684" s="147"/>
      <c r="K2684" s="147"/>
      <c r="L2684" s="147"/>
      <c r="M2684" s="147"/>
      <c r="N2684" s="147"/>
      <c r="O2684" s="147"/>
      <c r="P2684" s="147"/>
      <c r="Q2684" s="147"/>
      <c r="R2684" s="148"/>
      <c r="S2684" s="148"/>
      <c r="T2684" s="148"/>
      <c r="U2684" s="148"/>
      <c r="V2684" s="148"/>
      <c r="W2684" s="148"/>
      <c r="X2684" s="148"/>
      <c r="Y2684" s="148"/>
      <c r="Z2684" s="148"/>
      <c r="AA2684" s="148"/>
      <c r="AB2684" s="148"/>
      <c r="AC2684" s="148"/>
    </row>
    <row r="2685" spans="1:29" hidden="1">
      <c r="A2685" s="146"/>
      <c r="B2685" s="147"/>
      <c r="C2685" s="147"/>
      <c r="D2685" s="147"/>
      <c r="E2685" s="147"/>
      <c r="F2685" s="147"/>
      <c r="G2685" s="147"/>
      <c r="H2685" s="147"/>
      <c r="I2685" s="147"/>
      <c r="J2685" s="147"/>
      <c r="K2685" s="147"/>
      <c r="L2685" s="147"/>
      <c r="M2685" s="147"/>
      <c r="N2685" s="147"/>
      <c r="O2685" s="147"/>
      <c r="P2685" s="147"/>
      <c r="Q2685" s="147"/>
      <c r="R2685" s="148"/>
      <c r="S2685" s="148"/>
      <c r="T2685" s="148"/>
      <c r="U2685" s="148"/>
      <c r="V2685" s="148"/>
      <c r="W2685" s="148"/>
      <c r="X2685" s="148"/>
      <c r="Y2685" s="148"/>
      <c r="Z2685" s="148"/>
      <c r="AA2685" s="148"/>
      <c r="AB2685" s="148"/>
      <c r="AC2685" s="148"/>
    </row>
    <row r="2686" spans="1:29" hidden="1">
      <c r="A2686" s="146"/>
      <c r="B2686" s="147"/>
      <c r="C2686" s="147"/>
      <c r="D2686" s="147"/>
      <c r="E2686" s="147"/>
      <c r="F2686" s="147"/>
      <c r="G2686" s="147"/>
      <c r="H2686" s="147"/>
      <c r="I2686" s="147"/>
      <c r="J2686" s="147"/>
      <c r="K2686" s="147"/>
      <c r="L2686" s="147"/>
      <c r="M2686" s="147"/>
      <c r="N2686" s="147"/>
      <c r="O2686" s="147"/>
      <c r="P2686" s="147"/>
      <c r="Q2686" s="147"/>
      <c r="R2686" s="148"/>
      <c r="S2686" s="148"/>
      <c r="T2686" s="148"/>
      <c r="U2686" s="148"/>
      <c r="V2686" s="148"/>
      <c r="W2686" s="148"/>
      <c r="X2686" s="148"/>
      <c r="Y2686" s="148"/>
      <c r="Z2686" s="148"/>
      <c r="AA2686" s="148"/>
      <c r="AB2686" s="148"/>
      <c r="AC2686" s="148"/>
    </row>
    <row r="2687" spans="1:29" hidden="1">
      <c r="A2687" s="146"/>
      <c r="B2687" s="147"/>
      <c r="C2687" s="147"/>
      <c r="D2687" s="147"/>
      <c r="E2687" s="147"/>
      <c r="F2687" s="147"/>
      <c r="G2687" s="147"/>
      <c r="H2687" s="147"/>
      <c r="I2687" s="147"/>
      <c r="J2687" s="147"/>
      <c r="K2687" s="147"/>
      <c r="L2687" s="147"/>
      <c r="M2687" s="147"/>
      <c r="N2687" s="147"/>
      <c r="O2687" s="147"/>
      <c r="P2687" s="147"/>
      <c r="Q2687" s="147"/>
      <c r="R2687" s="148"/>
      <c r="S2687" s="148"/>
      <c r="T2687" s="148"/>
      <c r="U2687" s="148"/>
      <c r="V2687" s="148"/>
      <c r="W2687" s="148"/>
      <c r="X2687" s="148"/>
      <c r="Y2687" s="148"/>
      <c r="Z2687" s="148"/>
      <c r="AA2687" s="148"/>
      <c r="AB2687" s="148"/>
      <c r="AC2687" s="148"/>
    </row>
    <row r="2688" spans="1:29" hidden="1">
      <c r="A2688" s="146"/>
      <c r="B2688" s="147"/>
      <c r="C2688" s="147"/>
      <c r="D2688" s="147"/>
      <c r="E2688" s="147"/>
      <c r="F2688" s="147"/>
      <c r="G2688" s="147"/>
      <c r="H2688" s="147"/>
      <c r="I2688" s="147"/>
      <c r="J2688" s="147"/>
      <c r="K2688" s="147"/>
      <c r="L2688" s="147"/>
      <c r="M2688" s="147"/>
      <c r="N2688" s="147"/>
      <c r="O2688" s="147"/>
      <c r="P2688" s="147"/>
      <c r="Q2688" s="147"/>
      <c r="R2688" s="148"/>
      <c r="S2688" s="148"/>
      <c r="T2688" s="148"/>
      <c r="U2688" s="148"/>
      <c r="V2688" s="148"/>
      <c r="W2688" s="148"/>
      <c r="X2688" s="148"/>
      <c r="Y2688" s="148"/>
      <c r="Z2688" s="148"/>
      <c r="AA2688" s="148"/>
      <c r="AB2688" s="148"/>
      <c r="AC2688" s="148"/>
    </row>
    <row r="2689" spans="1:29" hidden="1">
      <c r="A2689" s="146"/>
      <c r="B2689" s="147"/>
      <c r="C2689" s="147"/>
      <c r="D2689" s="147"/>
      <c r="E2689" s="147"/>
      <c r="F2689" s="147"/>
      <c r="G2689" s="147"/>
      <c r="H2689" s="147"/>
      <c r="I2689" s="147"/>
      <c r="J2689" s="147"/>
      <c r="K2689" s="147"/>
      <c r="L2689" s="147"/>
      <c r="M2689" s="147"/>
      <c r="N2689" s="147"/>
      <c r="O2689" s="147"/>
      <c r="P2689" s="147"/>
      <c r="Q2689" s="147"/>
      <c r="R2689" s="148"/>
      <c r="S2689" s="148"/>
      <c r="T2689" s="148"/>
      <c r="U2689" s="148"/>
      <c r="V2689" s="148"/>
      <c r="W2689" s="148"/>
      <c r="X2689" s="148"/>
      <c r="Y2689" s="148"/>
      <c r="Z2689" s="148"/>
      <c r="AA2689" s="148"/>
      <c r="AB2689" s="148"/>
      <c r="AC2689" s="148"/>
    </row>
    <row r="2690" spans="1:29" hidden="1">
      <c r="A2690" s="146"/>
      <c r="B2690" s="147"/>
      <c r="C2690" s="147"/>
      <c r="D2690" s="147"/>
      <c r="E2690" s="147"/>
      <c r="F2690" s="147"/>
      <c r="G2690" s="147"/>
      <c r="H2690" s="147"/>
      <c r="I2690" s="147"/>
      <c r="J2690" s="147"/>
      <c r="K2690" s="147"/>
      <c r="L2690" s="147"/>
      <c r="M2690" s="147"/>
      <c r="N2690" s="147"/>
      <c r="O2690" s="147"/>
      <c r="P2690" s="147"/>
      <c r="Q2690" s="147"/>
      <c r="R2690" s="148"/>
      <c r="S2690" s="148"/>
      <c r="T2690" s="148"/>
      <c r="U2690" s="148"/>
      <c r="V2690" s="148"/>
      <c r="W2690" s="148"/>
      <c r="X2690" s="148"/>
      <c r="Y2690" s="148"/>
      <c r="Z2690" s="148"/>
      <c r="AA2690" s="148"/>
      <c r="AB2690" s="148"/>
      <c r="AC2690" s="148"/>
    </row>
    <row r="2691" spans="1:29" hidden="1">
      <c r="A2691" s="146"/>
      <c r="B2691" s="147"/>
      <c r="C2691" s="147"/>
      <c r="D2691" s="147"/>
      <c r="E2691" s="147"/>
      <c r="F2691" s="147"/>
      <c r="G2691" s="147"/>
      <c r="H2691" s="147"/>
      <c r="I2691" s="147"/>
      <c r="J2691" s="147"/>
      <c r="K2691" s="147"/>
      <c r="L2691" s="147"/>
      <c r="M2691" s="147"/>
      <c r="N2691" s="147"/>
      <c r="O2691" s="147"/>
      <c r="P2691" s="147"/>
      <c r="Q2691" s="147"/>
      <c r="R2691" s="148"/>
      <c r="S2691" s="148"/>
      <c r="T2691" s="148"/>
      <c r="U2691" s="148"/>
      <c r="V2691" s="148"/>
      <c r="W2691" s="148"/>
      <c r="X2691" s="148"/>
      <c r="Y2691" s="148"/>
      <c r="Z2691" s="148"/>
      <c r="AA2691" s="148"/>
      <c r="AB2691" s="148"/>
      <c r="AC2691" s="148"/>
    </row>
    <row r="2692" spans="1:29" hidden="1">
      <c r="A2692" s="146"/>
      <c r="B2692" s="147"/>
      <c r="C2692" s="147"/>
      <c r="D2692" s="147"/>
      <c r="E2692" s="147"/>
      <c r="F2692" s="147"/>
      <c r="G2692" s="147"/>
      <c r="H2692" s="147"/>
      <c r="I2692" s="147"/>
      <c r="J2692" s="147"/>
      <c r="K2692" s="147"/>
      <c r="L2692" s="147"/>
      <c r="M2692" s="147"/>
      <c r="N2692" s="147"/>
      <c r="O2692" s="147"/>
      <c r="P2692" s="147"/>
      <c r="Q2692" s="147"/>
      <c r="R2692" s="148"/>
      <c r="S2692" s="148"/>
      <c r="T2692" s="148"/>
      <c r="U2692" s="148"/>
      <c r="V2692" s="148"/>
      <c r="W2692" s="148"/>
      <c r="X2692" s="148"/>
      <c r="Y2692" s="148"/>
      <c r="Z2692" s="148"/>
      <c r="AA2692" s="148"/>
      <c r="AB2692" s="148"/>
      <c r="AC2692" s="148"/>
    </row>
    <row r="2693" spans="1:29" hidden="1">
      <c r="A2693" s="146"/>
      <c r="B2693" s="147"/>
      <c r="C2693" s="147"/>
      <c r="D2693" s="147"/>
      <c r="E2693" s="147"/>
      <c r="F2693" s="147"/>
      <c r="G2693" s="147"/>
      <c r="H2693" s="147"/>
      <c r="I2693" s="147"/>
      <c r="J2693" s="147"/>
      <c r="K2693" s="147"/>
      <c r="L2693" s="147"/>
      <c r="M2693" s="147"/>
      <c r="N2693" s="147"/>
      <c r="O2693" s="147"/>
      <c r="P2693" s="147"/>
      <c r="Q2693" s="147"/>
      <c r="R2693" s="148"/>
      <c r="S2693" s="148"/>
      <c r="T2693" s="148"/>
      <c r="U2693" s="148"/>
      <c r="V2693" s="148"/>
      <c r="W2693" s="148"/>
      <c r="X2693" s="148"/>
      <c r="Y2693" s="148"/>
      <c r="Z2693" s="148"/>
      <c r="AA2693" s="148"/>
      <c r="AB2693" s="148"/>
      <c r="AC2693" s="148"/>
    </row>
    <row r="2694" spans="1:29" hidden="1">
      <c r="A2694" s="146"/>
      <c r="B2694" s="147"/>
      <c r="C2694" s="147"/>
      <c r="D2694" s="147"/>
      <c r="E2694" s="147"/>
      <c r="F2694" s="147"/>
      <c r="G2694" s="147"/>
      <c r="H2694" s="147"/>
      <c r="I2694" s="147"/>
      <c r="J2694" s="147"/>
      <c r="K2694" s="147"/>
      <c r="L2694" s="147"/>
      <c r="M2694" s="147"/>
      <c r="N2694" s="147"/>
      <c r="O2694" s="147"/>
      <c r="P2694" s="147"/>
      <c r="Q2694" s="147"/>
      <c r="R2694" s="148"/>
      <c r="S2694" s="148"/>
      <c r="T2694" s="148"/>
      <c r="U2694" s="148"/>
      <c r="V2694" s="148"/>
      <c r="W2694" s="148"/>
      <c r="X2694" s="148"/>
      <c r="Y2694" s="148"/>
      <c r="Z2694" s="148"/>
      <c r="AA2694" s="148"/>
      <c r="AB2694" s="148"/>
      <c r="AC2694" s="148"/>
    </row>
    <row r="2695" spans="1:29" hidden="1">
      <c r="A2695" s="146"/>
      <c r="B2695" s="147"/>
      <c r="C2695" s="147"/>
      <c r="D2695" s="147"/>
      <c r="E2695" s="147"/>
      <c r="F2695" s="147"/>
      <c r="G2695" s="147"/>
      <c r="H2695" s="147"/>
      <c r="I2695" s="147"/>
      <c r="J2695" s="147"/>
      <c r="K2695" s="147"/>
      <c r="L2695" s="147"/>
      <c r="M2695" s="147"/>
      <c r="N2695" s="147"/>
      <c r="O2695" s="147"/>
      <c r="P2695" s="147"/>
      <c r="Q2695" s="147"/>
      <c r="R2695" s="148"/>
      <c r="S2695" s="148"/>
      <c r="T2695" s="148"/>
      <c r="U2695" s="148"/>
      <c r="V2695" s="148"/>
      <c r="W2695" s="148"/>
      <c r="X2695" s="148"/>
      <c r="Y2695" s="148"/>
      <c r="Z2695" s="148"/>
      <c r="AA2695" s="148"/>
      <c r="AB2695" s="148"/>
      <c r="AC2695" s="148"/>
    </row>
    <row r="2696" spans="1:29" hidden="1">
      <c r="A2696" s="146"/>
      <c r="B2696" s="147"/>
      <c r="C2696" s="147"/>
      <c r="D2696" s="147"/>
      <c r="E2696" s="147"/>
      <c r="F2696" s="147"/>
      <c r="G2696" s="147"/>
      <c r="H2696" s="147"/>
      <c r="I2696" s="147"/>
      <c r="J2696" s="147"/>
      <c r="K2696" s="147"/>
      <c r="L2696" s="147"/>
      <c r="M2696" s="147"/>
      <c r="N2696" s="147"/>
      <c r="O2696" s="147"/>
      <c r="P2696" s="147"/>
      <c r="Q2696" s="147"/>
      <c r="R2696" s="148"/>
      <c r="S2696" s="148"/>
      <c r="T2696" s="148"/>
      <c r="U2696" s="148"/>
      <c r="V2696" s="148"/>
      <c r="W2696" s="148"/>
      <c r="X2696" s="148"/>
      <c r="Y2696" s="148"/>
      <c r="Z2696" s="148"/>
      <c r="AA2696" s="148"/>
      <c r="AB2696" s="148"/>
      <c r="AC2696" s="148"/>
    </row>
    <row r="2697" spans="1:29" hidden="1">
      <c r="A2697" s="146"/>
      <c r="B2697" s="147"/>
      <c r="C2697" s="147"/>
      <c r="D2697" s="147"/>
      <c r="E2697" s="147"/>
      <c r="F2697" s="147"/>
      <c r="G2697" s="147"/>
      <c r="H2697" s="147"/>
      <c r="I2697" s="147"/>
      <c r="J2697" s="147"/>
      <c r="K2697" s="147"/>
      <c r="L2697" s="147"/>
      <c r="M2697" s="147"/>
      <c r="N2697" s="147"/>
      <c r="O2697" s="147"/>
      <c r="P2697" s="147"/>
      <c r="Q2697" s="147"/>
      <c r="R2697" s="148"/>
      <c r="S2697" s="148"/>
      <c r="T2697" s="148"/>
      <c r="U2697" s="148"/>
      <c r="V2697" s="148"/>
      <c r="W2697" s="148"/>
      <c r="X2697" s="148"/>
      <c r="Y2697" s="148"/>
      <c r="Z2697" s="148"/>
      <c r="AA2697" s="148"/>
      <c r="AB2697" s="148"/>
      <c r="AC2697" s="148"/>
    </row>
    <row r="2698" spans="1:29" hidden="1">
      <c r="A2698" s="146"/>
      <c r="B2698" s="147"/>
      <c r="C2698" s="147"/>
      <c r="D2698" s="147"/>
      <c r="E2698" s="147"/>
      <c r="F2698" s="147"/>
      <c r="G2698" s="147"/>
      <c r="H2698" s="147"/>
      <c r="I2698" s="147"/>
      <c r="J2698" s="147"/>
      <c r="K2698" s="147"/>
      <c r="L2698" s="147"/>
      <c r="M2698" s="147"/>
      <c r="N2698" s="147"/>
      <c r="O2698" s="147"/>
      <c r="P2698" s="147"/>
      <c r="Q2698" s="147"/>
      <c r="R2698" s="148"/>
      <c r="S2698" s="148"/>
      <c r="T2698" s="148"/>
      <c r="U2698" s="148"/>
      <c r="V2698" s="148"/>
      <c r="W2698" s="148"/>
      <c r="X2698" s="148"/>
      <c r="Y2698" s="148"/>
      <c r="Z2698" s="148"/>
      <c r="AA2698" s="148"/>
      <c r="AB2698" s="148"/>
      <c r="AC2698" s="148"/>
    </row>
    <row r="2699" spans="1:29" hidden="1">
      <c r="A2699" s="146"/>
      <c r="B2699" s="147"/>
      <c r="C2699" s="147"/>
      <c r="D2699" s="147"/>
      <c r="E2699" s="147"/>
      <c r="F2699" s="147"/>
      <c r="G2699" s="147"/>
      <c r="H2699" s="147"/>
      <c r="I2699" s="147"/>
      <c r="J2699" s="147"/>
      <c r="K2699" s="147"/>
      <c r="L2699" s="147"/>
      <c r="M2699" s="147"/>
      <c r="N2699" s="147"/>
      <c r="O2699" s="147"/>
      <c r="P2699" s="147"/>
      <c r="Q2699" s="147"/>
      <c r="R2699" s="148"/>
      <c r="S2699" s="148"/>
      <c r="T2699" s="148"/>
      <c r="U2699" s="148"/>
      <c r="V2699" s="148"/>
      <c r="W2699" s="148"/>
      <c r="X2699" s="148"/>
      <c r="Y2699" s="148"/>
      <c r="Z2699" s="148"/>
      <c r="AA2699" s="148"/>
      <c r="AB2699" s="148"/>
      <c r="AC2699" s="148"/>
    </row>
    <row r="2700" spans="1:29" hidden="1">
      <c r="A2700" s="146"/>
      <c r="B2700" s="147"/>
      <c r="C2700" s="147"/>
      <c r="D2700" s="147"/>
      <c r="E2700" s="147"/>
      <c r="F2700" s="147"/>
      <c r="G2700" s="147"/>
      <c r="H2700" s="147"/>
      <c r="I2700" s="147"/>
      <c r="J2700" s="147"/>
      <c r="K2700" s="147"/>
      <c r="L2700" s="147"/>
      <c r="M2700" s="147"/>
      <c r="N2700" s="147"/>
      <c r="O2700" s="147"/>
      <c r="P2700" s="147"/>
      <c r="Q2700" s="147"/>
      <c r="R2700" s="148"/>
      <c r="S2700" s="148"/>
      <c r="T2700" s="148"/>
      <c r="U2700" s="148"/>
      <c r="V2700" s="148"/>
      <c r="W2700" s="148"/>
      <c r="X2700" s="148"/>
      <c r="Y2700" s="148"/>
      <c r="Z2700" s="148"/>
      <c r="AA2700" s="148"/>
      <c r="AB2700" s="148"/>
      <c r="AC2700" s="148"/>
    </row>
    <row r="2701" spans="1:29" hidden="1">
      <c r="A2701" s="146"/>
      <c r="B2701" s="147"/>
      <c r="C2701" s="147"/>
      <c r="D2701" s="147"/>
      <c r="E2701" s="147"/>
      <c r="F2701" s="147"/>
      <c r="G2701" s="147"/>
      <c r="H2701" s="147"/>
      <c r="I2701" s="147"/>
      <c r="J2701" s="147"/>
      <c r="K2701" s="147"/>
      <c r="L2701" s="147"/>
      <c r="M2701" s="147"/>
      <c r="N2701" s="147"/>
      <c r="O2701" s="147"/>
      <c r="P2701" s="147"/>
      <c r="Q2701" s="147"/>
      <c r="R2701" s="148"/>
      <c r="S2701" s="148"/>
      <c r="T2701" s="148"/>
      <c r="U2701" s="148"/>
      <c r="V2701" s="148"/>
      <c r="W2701" s="148"/>
      <c r="X2701" s="148"/>
      <c r="Y2701" s="148"/>
      <c r="Z2701" s="148"/>
      <c r="AA2701" s="148"/>
      <c r="AB2701" s="148"/>
      <c r="AC2701" s="148"/>
    </row>
    <row r="2702" spans="1:29" hidden="1">
      <c r="A2702" s="146"/>
      <c r="B2702" s="147"/>
      <c r="C2702" s="147"/>
      <c r="D2702" s="147"/>
      <c r="E2702" s="147"/>
      <c r="F2702" s="147"/>
      <c r="G2702" s="147"/>
      <c r="H2702" s="147"/>
      <c r="I2702" s="147"/>
      <c r="J2702" s="147"/>
      <c r="K2702" s="147"/>
      <c r="L2702" s="147"/>
      <c r="M2702" s="147"/>
      <c r="N2702" s="147"/>
      <c r="O2702" s="147"/>
      <c r="P2702" s="147"/>
      <c r="Q2702" s="147"/>
      <c r="R2702" s="148"/>
      <c r="S2702" s="148"/>
      <c r="T2702" s="148"/>
      <c r="U2702" s="148"/>
      <c r="V2702" s="148"/>
      <c r="W2702" s="148"/>
      <c r="X2702" s="148"/>
      <c r="Y2702" s="148"/>
      <c r="Z2702" s="148"/>
      <c r="AA2702" s="148"/>
      <c r="AB2702" s="148"/>
      <c r="AC2702" s="148"/>
    </row>
    <row r="2703" spans="1:29" hidden="1">
      <c r="A2703" s="146"/>
      <c r="B2703" s="147"/>
      <c r="C2703" s="147"/>
      <c r="D2703" s="147"/>
      <c r="E2703" s="147"/>
      <c r="F2703" s="147"/>
      <c r="G2703" s="147"/>
      <c r="H2703" s="147"/>
      <c r="I2703" s="147"/>
      <c r="J2703" s="147"/>
      <c r="K2703" s="147"/>
      <c r="L2703" s="147"/>
      <c r="M2703" s="147"/>
      <c r="N2703" s="147"/>
      <c r="O2703" s="147"/>
      <c r="P2703" s="147"/>
      <c r="Q2703" s="147"/>
      <c r="R2703" s="148"/>
      <c r="S2703" s="148"/>
      <c r="T2703" s="148"/>
      <c r="U2703" s="148"/>
      <c r="V2703" s="148"/>
      <c r="W2703" s="148"/>
      <c r="X2703" s="148"/>
      <c r="Y2703" s="148"/>
      <c r="Z2703" s="148"/>
      <c r="AA2703" s="148"/>
      <c r="AB2703" s="148"/>
      <c r="AC2703" s="148"/>
    </row>
    <row r="2704" spans="1:29" hidden="1">
      <c r="A2704" s="146"/>
      <c r="B2704" s="147"/>
      <c r="C2704" s="147"/>
      <c r="D2704" s="147"/>
      <c r="E2704" s="147"/>
      <c r="F2704" s="147"/>
      <c r="G2704" s="147"/>
      <c r="H2704" s="147"/>
      <c r="I2704" s="147"/>
      <c r="J2704" s="147"/>
      <c r="K2704" s="147"/>
      <c r="L2704" s="147"/>
      <c r="M2704" s="147"/>
      <c r="N2704" s="147"/>
      <c r="O2704" s="147"/>
      <c r="P2704" s="147"/>
      <c r="Q2704" s="147"/>
      <c r="R2704" s="148"/>
      <c r="S2704" s="148"/>
      <c r="T2704" s="148"/>
      <c r="U2704" s="148"/>
      <c r="V2704" s="148"/>
      <c r="W2704" s="148"/>
      <c r="X2704" s="148"/>
      <c r="Y2704" s="148"/>
      <c r="Z2704" s="148"/>
      <c r="AA2704" s="148"/>
      <c r="AB2704" s="148"/>
      <c r="AC2704" s="148"/>
    </row>
    <row r="2705" spans="1:29" hidden="1">
      <c r="A2705" s="146"/>
      <c r="B2705" s="147"/>
      <c r="C2705" s="147"/>
      <c r="D2705" s="147"/>
      <c r="E2705" s="147"/>
      <c r="F2705" s="147"/>
      <c r="G2705" s="147"/>
      <c r="H2705" s="147"/>
      <c r="I2705" s="147"/>
      <c r="J2705" s="147"/>
      <c r="K2705" s="147"/>
      <c r="L2705" s="147"/>
      <c r="M2705" s="147"/>
      <c r="N2705" s="147"/>
      <c r="O2705" s="147"/>
      <c r="P2705" s="147"/>
      <c r="Q2705" s="147"/>
      <c r="R2705" s="148"/>
      <c r="S2705" s="148"/>
      <c r="T2705" s="148"/>
      <c r="U2705" s="148"/>
      <c r="V2705" s="148"/>
      <c r="W2705" s="148"/>
      <c r="X2705" s="148"/>
      <c r="Y2705" s="148"/>
      <c r="Z2705" s="148"/>
      <c r="AA2705" s="148"/>
      <c r="AB2705" s="148"/>
      <c r="AC2705" s="148"/>
    </row>
    <row r="2706" spans="1:29" hidden="1">
      <c r="A2706" s="146"/>
      <c r="B2706" s="147"/>
      <c r="C2706" s="147"/>
      <c r="D2706" s="147"/>
      <c r="E2706" s="147"/>
      <c r="F2706" s="147"/>
      <c r="G2706" s="147"/>
      <c r="H2706" s="147"/>
      <c r="I2706" s="147"/>
      <c r="J2706" s="147"/>
      <c r="K2706" s="147"/>
      <c r="L2706" s="147"/>
      <c r="M2706" s="147"/>
      <c r="N2706" s="147"/>
      <c r="O2706" s="147"/>
      <c r="P2706" s="147"/>
      <c r="Q2706" s="147"/>
      <c r="R2706" s="148"/>
      <c r="S2706" s="148"/>
      <c r="T2706" s="148"/>
      <c r="U2706" s="148"/>
      <c r="V2706" s="148"/>
      <c r="W2706" s="148"/>
      <c r="X2706" s="148"/>
      <c r="Y2706" s="148"/>
      <c r="Z2706" s="148"/>
      <c r="AA2706" s="148"/>
      <c r="AB2706" s="148"/>
      <c r="AC2706" s="148"/>
    </row>
    <row r="2707" spans="1:29" hidden="1">
      <c r="A2707" s="146"/>
      <c r="B2707" s="147"/>
      <c r="C2707" s="147"/>
      <c r="D2707" s="147"/>
      <c r="E2707" s="147"/>
      <c r="F2707" s="147"/>
      <c r="G2707" s="147"/>
      <c r="H2707" s="147"/>
      <c r="I2707" s="147"/>
      <c r="J2707" s="147"/>
      <c r="K2707" s="147"/>
      <c r="L2707" s="147"/>
      <c r="M2707" s="147"/>
      <c r="N2707" s="147"/>
      <c r="O2707" s="147"/>
      <c r="P2707" s="147"/>
      <c r="Q2707" s="147"/>
      <c r="R2707" s="148"/>
      <c r="S2707" s="148"/>
      <c r="T2707" s="148"/>
      <c r="U2707" s="148"/>
      <c r="V2707" s="148"/>
      <c r="W2707" s="148"/>
      <c r="X2707" s="148"/>
      <c r="Y2707" s="148"/>
      <c r="Z2707" s="148"/>
      <c r="AA2707" s="148"/>
      <c r="AB2707" s="148"/>
      <c r="AC2707" s="148"/>
    </row>
    <row r="2708" spans="1:29" hidden="1">
      <c r="A2708" s="146"/>
      <c r="B2708" s="147"/>
      <c r="C2708" s="147"/>
      <c r="D2708" s="147"/>
      <c r="E2708" s="147"/>
      <c r="F2708" s="147"/>
      <c r="G2708" s="147"/>
      <c r="H2708" s="147"/>
      <c r="I2708" s="147"/>
      <c r="J2708" s="147"/>
      <c r="K2708" s="147"/>
      <c r="L2708" s="147"/>
      <c r="M2708" s="147"/>
      <c r="N2708" s="147"/>
      <c r="O2708" s="147"/>
      <c r="P2708" s="147"/>
      <c r="Q2708" s="147"/>
      <c r="R2708" s="148"/>
      <c r="S2708" s="148"/>
      <c r="T2708" s="148"/>
      <c r="U2708" s="148"/>
      <c r="V2708" s="148"/>
      <c r="W2708" s="148"/>
      <c r="X2708" s="148"/>
      <c r="Y2708" s="148"/>
      <c r="Z2708" s="148"/>
      <c r="AA2708" s="148"/>
      <c r="AB2708" s="148"/>
      <c r="AC2708" s="148"/>
    </row>
    <row r="2709" spans="1:29" hidden="1">
      <c r="A2709" s="146"/>
      <c r="B2709" s="147"/>
      <c r="C2709" s="147"/>
      <c r="D2709" s="147"/>
      <c r="E2709" s="147"/>
      <c r="F2709" s="147"/>
      <c r="G2709" s="147"/>
      <c r="H2709" s="147"/>
      <c r="I2709" s="147"/>
      <c r="J2709" s="147"/>
      <c r="K2709" s="147"/>
      <c r="L2709" s="147"/>
      <c r="M2709" s="147"/>
      <c r="N2709" s="147"/>
      <c r="O2709" s="147"/>
      <c r="P2709" s="147"/>
      <c r="Q2709" s="147"/>
      <c r="R2709" s="148"/>
      <c r="S2709" s="148"/>
      <c r="T2709" s="148"/>
      <c r="U2709" s="148"/>
      <c r="V2709" s="148"/>
      <c r="W2709" s="148"/>
      <c r="X2709" s="148"/>
      <c r="Y2709" s="148"/>
      <c r="Z2709" s="148"/>
      <c r="AA2709" s="148"/>
      <c r="AB2709" s="148"/>
      <c r="AC2709" s="148"/>
    </row>
    <row r="2710" spans="1:29" hidden="1">
      <c r="A2710" s="146"/>
      <c r="B2710" s="147"/>
      <c r="C2710" s="147"/>
      <c r="D2710" s="147"/>
      <c r="E2710" s="147"/>
      <c r="F2710" s="147"/>
      <c r="G2710" s="147"/>
      <c r="H2710" s="147"/>
      <c r="I2710" s="147"/>
      <c r="J2710" s="147"/>
      <c r="K2710" s="147"/>
      <c r="L2710" s="147"/>
      <c r="M2710" s="147"/>
      <c r="N2710" s="147"/>
      <c r="O2710" s="147"/>
      <c r="P2710" s="147"/>
      <c r="Q2710" s="147"/>
      <c r="R2710" s="148"/>
      <c r="S2710" s="148"/>
      <c r="T2710" s="148"/>
      <c r="U2710" s="148"/>
      <c r="V2710" s="148"/>
      <c r="W2710" s="148"/>
      <c r="X2710" s="148"/>
      <c r="Y2710" s="148"/>
      <c r="Z2710" s="148"/>
      <c r="AA2710" s="148"/>
      <c r="AB2710" s="148"/>
      <c r="AC2710" s="148"/>
    </row>
    <row r="2711" spans="1:29" hidden="1">
      <c r="A2711" s="146"/>
      <c r="B2711" s="147"/>
      <c r="C2711" s="147"/>
      <c r="D2711" s="147"/>
      <c r="E2711" s="147"/>
      <c r="F2711" s="147"/>
      <c r="G2711" s="147"/>
      <c r="H2711" s="147"/>
      <c r="I2711" s="147"/>
      <c r="J2711" s="147"/>
      <c r="K2711" s="147"/>
      <c r="L2711" s="147"/>
      <c r="M2711" s="147"/>
      <c r="N2711" s="147"/>
      <c r="O2711" s="147"/>
      <c r="P2711" s="147"/>
      <c r="Q2711" s="147"/>
      <c r="R2711" s="148"/>
      <c r="S2711" s="148"/>
      <c r="T2711" s="148"/>
      <c r="U2711" s="148"/>
      <c r="V2711" s="148"/>
      <c r="W2711" s="148"/>
      <c r="X2711" s="148"/>
      <c r="Y2711" s="148"/>
      <c r="Z2711" s="148"/>
      <c r="AA2711" s="148"/>
      <c r="AB2711" s="148"/>
      <c r="AC2711" s="148"/>
    </row>
    <row r="2712" spans="1:29" hidden="1">
      <c r="A2712" s="146"/>
      <c r="B2712" s="147"/>
      <c r="C2712" s="147"/>
      <c r="D2712" s="147"/>
      <c r="E2712" s="147"/>
      <c r="F2712" s="147"/>
      <c r="G2712" s="147"/>
      <c r="H2712" s="147"/>
      <c r="I2712" s="147"/>
      <c r="J2712" s="147"/>
      <c r="K2712" s="147"/>
      <c r="L2712" s="147"/>
      <c r="M2712" s="147"/>
      <c r="N2712" s="147"/>
      <c r="O2712" s="147"/>
      <c r="P2712" s="147"/>
      <c r="Q2712" s="147"/>
      <c r="R2712" s="148"/>
      <c r="S2712" s="148"/>
      <c r="T2712" s="148"/>
      <c r="U2712" s="148"/>
      <c r="V2712" s="148"/>
      <c r="W2712" s="148"/>
      <c r="X2712" s="148"/>
      <c r="Y2712" s="148"/>
      <c r="Z2712" s="148"/>
      <c r="AA2712" s="148"/>
      <c r="AB2712" s="148"/>
      <c r="AC2712" s="148"/>
    </row>
    <row r="2713" spans="1:29" hidden="1">
      <c r="A2713" s="146"/>
      <c r="B2713" s="147"/>
      <c r="C2713" s="147"/>
      <c r="D2713" s="147"/>
      <c r="E2713" s="147"/>
      <c r="F2713" s="147"/>
      <c r="G2713" s="147"/>
      <c r="H2713" s="147"/>
      <c r="I2713" s="147"/>
      <c r="J2713" s="147"/>
      <c r="K2713" s="147"/>
      <c r="L2713" s="147"/>
      <c r="M2713" s="147"/>
      <c r="N2713" s="147"/>
      <c r="O2713" s="147"/>
      <c r="P2713" s="147"/>
      <c r="Q2713" s="147"/>
      <c r="R2713" s="148"/>
      <c r="S2713" s="148"/>
      <c r="T2713" s="148"/>
      <c r="U2713" s="148"/>
      <c r="V2713" s="148"/>
      <c r="W2713" s="148"/>
      <c r="X2713" s="148"/>
      <c r="Y2713" s="148"/>
      <c r="Z2713" s="148"/>
      <c r="AA2713" s="148"/>
      <c r="AB2713" s="148"/>
      <c r="AC2713" s="148"/>
    </row>
    <row r="2714" spans="1:29" hidden="1">
      <c r="A2714" s="146"/>
      <c r="B2714" s="147"/>
      <c r="C2714" s="147"/>
      <c r="D2714" s="147"/>
      <c r="E2714" s="147"/>
      <c r="F2714" s="147"/>
      <c r="G2714" s="147"/>
      <c r="H2714" s="147"/>
      <c r="I2714" s="147"/>
      <c r="J2714" s="147"/>
      <c r="K2714" s="147"/>
      <c r="L2714" s="147"/>
      <c r="M2714" s="147"/>
      <c r="N2714" s="147"/>
      <c r="O2714" s="147"/>
      <c r="P2714" s="147"/>
      <c r="Q2714" s="147"/>
      <c r="R2714" s="148"/>
      <c r="S2714" s="148"/>
      <c r="T2714" s="148"/>
      <c r="U2714" s="148"/>
      <c r="V2714" s="148"/>
      <c r="W2714" s="148"/>
      <c r="X2714" s="148"/>
      <c r="Y2714" s="148"/>
      <c r="Z2714" s="148"/>
      <c r="AA2714" s="148"/>
      <c r="AB2714" s="148"/>
      <c r="AC2714" s="148"/>
    </row>
    <row r="2715" spans="1:29" hidden="1">
      <c r="A2715" s="146"/>
      <c r="B2715" s="147"/>
      <c r="C2715" s="147"/>
      <c r="D2715" s="147"/>
      <c r="E2715" s="147"/>
      <c r="F2715" s="147"/>
      <c r="G2715" s="147"/>
      <c r="H2715" s="147"/>
      <c r="I2715" s="147"/>
      <c r="J2715" s="147"/>
      <c r="K2715" s="147"/>
      <c r="L2715" s="147"/>
      <c r="M2715" s="147"/>
      <c r="N2715" s="147"/>
      <c r="O2715" s="147"/>
      <c r="P2715" s="147"/>
      <c r="Q2715" s="147"/>
      <c r="R2715" s="148"/>
      <c r="S2715" s="148"/>
      <c r="T2715" s="148"/>
      <c r="U2715" s="148"/>
      <c r="V2715" s="148"/>
      <c r="W2715" s="148"/>
      <c r="X2715" s="148"/>
      <c r="Y2715" s="148"/>
      <c r="Z2715" s="148"/>
      <c r="AA2715" s="148"/>
      <c r="AB2715" s="148"/>
      <c r="AC2715" s="148"/>
    </row>
    <row r="2716" spans="1:29" hidden="1">
      <c r="A2716" s="146"/>
      <c r="B2716" s="147"/>
      <c r="C2716" s="147"/>
      <c r="D2716" s="147"/>
      <c r="E2716" s="147"/>
      <c r="F2716" s="147"/>
      <c r="G2716" s="147"/>
      <c r="H2716" s="147"/>
      <c r="I2716" s="147"/>
      <c r="J2716" s="147"/>
      <c r="K2716" s="147"/>
      <c r="L2716" s="147"/>
      <c r="M2716" s="147"/>
      <c r="N2716" s="147"/>
      <c r="O2716" s="147"/>
      <c r="P2716" s="147"/>
      <c r="Q2716" s="147"/>
      <c r="R2716" s="148"/>
      <c r="S2716" s="148"/>
      <c r="T2716" s="148"/>
      <c r="U2716" s="148"/>
      <c r="V2716" s="148"/>
      <c r="W2716" s="148"/>
      <c r="X2716" s="148"/>
      <c r="Y2716" s="148"/>
      <c r="Z2716" s="148"/>
      <c r="AA2716" s="148"/>
      <c r="AB2716" s="148"/>
      <c r="AC2716" s="148"/>
    </row>
    <row r="2717" spans="1:29" hidden="1">
      <c r="A2717" s="146"/>
      <c r="B2717" s="147"/>
      <c r="C2717" s="147"/>
      <c r="D2717" s="147"/>
      <c r="E2717" s="147"/>
      <c r="F2717" s="147"/>
      <c r="G2717" s="147"/>
      <c r="H2717" s="147"/>
      <c r="I2717" s="147"/>
      <c r="J2717" s="147"/>
      <c r="K2717" s="147"/>
      <c r="L2717" s="147"/>
      <c r="M2717" s="147"/>
      <c r="N2717" s="147"/>
      <c r="O2717" s="147"/>
      <c r="P2717" s="147"/>
      <c r="Q2717" s="147"/>
      <c r="R2717" s="148"/>
      <c r="S2717" s="148"/>
      <c r="T2717" s="148"/>
      <c r="U2717" s="148"/>
      <c r="V2717" s="148"/>
      <c r="W2717" s="148"/>
      <c r="X2717" s="148"/>
      <c r="Y2717" s="148"/>
      <c r="Z2717" s="148"/>
      <c r="AA2717" s="148"/>
      <c r="AB2717" s="148"/>
      <c r="AC2717" s="148"/>
    </row>
    <row r="2718" spans="1:29" hidden="1">
      <c r="A2718" s="146"/>
      <c r="B2718" s="147"/>
      <c r="C2718" s="147"/>
      <c r="D2718" s="147"/>
      <c r="E2718" s="147"/>
      <c r="F2718" s="147"/>
      <c r="G2718" s="147"/>
      <c r="H2718" s="147"/>
      <c r="I2718" s="147"/>
      <c r="J2718" s="147"/>
      <c r="K2718" s="147"/>
      <c r="L2718" s="147"/>
      <c r="M2718" s="147"/>
      <c r="N2718" s="147"/>
      <c r="O2718" s="147"/>
      <c r="P2718" s="147"/>
      <c r="Q2718" s="147"/>
      <c r="R2718" s="148"/>
      <c r="S2718" s="148"/>
      <c r="T2718" s="148"/>
      <c r="U2718" s="148"/>
      <c r="V2718" s="148"/>
      <c r="W2718" s="148"/>
      <c r="X2718" s="148"/>
      <c r="Y2718" s="148"/>
      <c r="Z2718" s="148"/>
      <c r="AA2718" s="148"/>
      <c r="AB2718" s="148"/>
      <c r="AC2718" s="148"/>
    </row>
    <row r="2719" spans="1:29" hidden="1">
      <c r="A2719" s="146"/>
      <c r="B2719" s="147"/>
      <c r="C2719" s="147"/>
      <c r="D2719" s="147"/>
      <c r="E2719" s="147"/>
      <c r="F2719" s="147"/>
      <c r="G2719" s="147"/>
      <c r="H2719" s="147"/>
      <c r="I2719" s="147"/>
      <c r="J2719" s="147"/>
      <c r="K2719" s="147"/>
      <c r="L2719" s="147"/>
      <c r="M2719" s="147"/>
      <c r="N2719" s="147"/>
      <c r="O2719" s="147"/>
      <c r="P2719" s="147"/>
      <c r="Q2719" s="147"/>
      <c r="R2719" s="148"/>
      <c r="S2719" s="148"/>
      <c r="T2719" s="148"/>
      <c r="U2719" s="148"/>
      <c r="V2719" s="148"/>
      <c r="W2719" s="148"/>
      <c r="X2719" s="148"/>
      <c r="Y2719" s="148"/>
      <c r="Z2719" s="148"/>
      <c r="AA2719" s="148"/>
      <c r="AB2719" s="148"/>
      <c r="AC2719" s="148"/>
    </row>
    <row r="2720" spans="1:29" hidden="1">
      <c r="A2720" s="146"/>
      <c r="B2720" s="147"/>
      <c r="C2720" s="147"/>
      <c r="D2720" s="147"/>
      <c r="E2720" s="147"/>
      <c r="F2720" s="147"/>
      <c r="G2720" s="147"/>
      <c r="H2720" s="147"/>
      <c r="I2720" s="147"/>
      <c r="J2720" s="147"/>
      <c r="K2720" s="147"/>
      <c r="L2720" s="147"/>
      <c r="M2720" s="147"/>
      <c r="N2720" s="147"/>
      <c r="O2720" s="147"/>
      <c r="P2720" s="147"/>
      <c r="Q2720" s="147"/>
      <c r="R2720" s="148"/>
      <c r="S2720" s="148"/>
      <c r="T2720" s="148"/>
      <c r="U2720" s="148"/>
      <c r="V2720" s="148"/>
      <c r="W2720" s="148"/>
      <c r="X2720" s="148"/>
      <c r="Y2720" s="148"/>
      <c r="Z2720" s="148"/>
      <c r="AA2720" s="148"/>
      <c r="AB2720" s="148"/>
      <c r="AC2720" s="148"/>
    </row>
    <row r="2721" spans="1:29" hidden="1">
      <c r="A2721" s="146"/>
      <c r="B2721" s="147"/>
      <c r="C2721" s="147"/>
      <c r="D2721" s="147"/>
      <c r="E2721" s="147"/>
      <c r="F2721" s="147"/>
      <c r="G2721" s="147"/>
      <c r="H2721" s="147"/>
      <c r="I2721" s="147"/>
      <c r="J2721" s="147"/>
      <c r="K2721" s="147"/>
      <c r="L2721" s="147"/>
      <c r="M2721" s="147"/>
      <c r="N2721" s="147"/>
      <c r="O2721" s="147"/>
      <c r="P2721" s="147"/>
      <c r="Q2721" s="147"/>
      <c r="R2721" s="148"/>
      <c r="S2721" s="148"/>
      <c r="T2721" s="148"/>
      <c r="U2721" s="148"/>
      <c r="V2721" s="148"/>
      <c r="W2721" s="148"/>
      <c r="X2721" s="148"/>
      <c r="Y2721" s="148"/>
      <c r="Z2721" s="148"/>
      <c r="AA2721" s="148"/>
      <c r="AB2721" s="148"/>
      <c r="AC2721" s="148"/>
    </row>
    <row r="2722" spans="1:29" hidden="1">
      <c r="A2722" s="146"/>
      <c r="B2722" s="147"/>
      <c r="C2722" s="147"/>
      <c r="D2722" s="147"/>
      <c r="E2722" s="147"/>
      <c r="F2722" s="147"/>
      <c r="G2722" s="147"/>
      <c r="H2722" s="147"/>
      <c r="I2722" s="147"/>
      <c r="J2722" s="147"/>
      <c r="K2722" s="147"/>
      <c r="L2722" s="147"/>
      <c r="M2722" s="147"/>
      <c r="N2722" s="147"/>
      <c r="O2722" s="147"/>
      <c r="P2722" s="147"/>
      <c r="Q2722" s="147"/>
      <c r="R2722" s="148"/>
      <c r="S2722" s="148"/>
      <c r="T2722" s="148"/>
      <c r="U2722" s="148"/>
      <c r="V2722" s="148"/>
      <c r="W2722" s="148"/>
      <c r="X2722" s="148"/>
      <c r="Y2722" s="148"/>
      <c r="Z2722" s="148"/>
      <c r="AA2722" s="148"/>
      <c r="AB2722" s="148"/>
      <c r="AC2722" s="148"/>
    </row>
    <row r="2723" spans="1:29" hidden="1">
      <c r="A2723" s="146"/>
      <c r="B2723" s="147"/>
      <c r="C2723" s="147"/>
      <c r="D2723" s="147"/>
      <c r="E2723" s="147"/>
      <c r="F2723" s="147"/>
      <c r="G2723" s="147"/>
      <c r="H2723" s="147"/>
      <c r="I2723" s="147"/>
      <c r="J2723" s="147"/>
      <c r="K2723" s="147"/>
      <c r="L2723" s="147"/>
      <c r="M2723" s="147"/>
      <c r="N2723" s="147"/>
      <c r="O2723" s="147"/>
      <c r="P2723" s="147"/>
      <c r="Q2723" s="147"/>
      <c r="R2723" s="148"/>
      <c r="S2723" s="148"/>
      <c r="T2723" s="148"/>
      <c r="U2723" s="148"/>
      <c r="V2723" s="148"/>
      <c r="W2723" s="148"/>
      <c r="X2723" s="148"/>
      <c r="Y2723" s="148"/>
      <c r="Z2723" s="148"/>
      <c r="AA2723" s="148"/>
      <c r="AB2723" s="148"/>
      <c r="AC2723" s="148"/>
    </row>
    <row r="2724" spans="1:29" hidden="1">
      <c r="A2724" s="146"/>
      <c r="B2724" s="147"/>
      <c r="C2724" s="147"/>
      <c r="D2724" s="147"/>
      <c r="E2724" s="147"/>
      <c r="F2724" s="147"/>
      <c r="G2724" s="147"/>
      <c r="H2724" s="147"/>
      <c r="I2724" s="147"/>
      <c r="J2724" s="147"/>
      <c r="K2724" s="147"/>
      <c r="L2724" s="147"/>
      <c r="M2724" s="147"/>
      <c r="N2724" s="147"/>
      <c r="O2724" s="147"/>
      <c r="P2724" s="147"/>
      <c r="Q2724" s="147"/>
      <c r="R2724" s="148"/>
      <c r="S2724" s="148"/>
      <c r="T2724" s="148"/>
      <c r="U2724" s="148"/>
      <c r="V2724" s="148"/>
      <c r="W2724" s="148"/>
      <c r="X2724" s="148"/>
      <c r="Y2724" s="148"/>
      <c r="Z2724" s="148"/>
      <c r="AA2724" s="148"/>
      <c r="AB2724" s="148"/>
      <c r="AC2724" s="148"/>
    </row>
    <row r="2725" spans="1:29" hidden="1">
      <c r="A2725" s="146"/>
      <c r="B2725" s="147"/>
      <c r="C2725" s="147"/>
      <c r="D2725" s="147"/>
      <c r="E2725" s="147"/>
      <c r="F2725" s="147"/>
      <c r="G2725" s="147"/>
      <c r="H2725" s="147"/>
      <c r="I2725" s="147"/>
      <c r="J2725" s="147"/>
      <c r="K2725" s="147"/>
      <c r="L2725" s="147"/>
      <c r="M2725" s="147"/>
      <c r="N2725" s="147"/>
      <c r="O2725" s="147"/>
      <c r="P2725" s="147"/>
      <c r="Q2725" s="147"/>
      <c r="R2725" s="148"/>
      <c r="S2725" s="148"/>
      <c r="T2725" s="148"/>
      <c r="U2725" s="148"/>
      <c r="V2725" s="148"/>
      <c r="W2725" s="148"/>
      <c r="X2725" s="148"/>
      <c r="Y2725" s="148"/>
      <c r="Z2725" s="148"/>
      <c r="AA2725" s="148"/>
      <c r="AB2725" s="148"/>
      <c r="AC2725" s="148"/>
    </row>
    <row r="2726" spans="1:29" hidden="1">
      <c r="A2726" s="146"/>
      <c r="B2726" s="147"/>
      <c r="C2726" s="147"/>
      <c r="D2726" s="147"/>
      <c r="E2726" s="147"/>
      <c r="F2726" s="147"/>
      <c r="G2726" s="147"/>
      <c r="H2726" s="147"/>
      <c r="I2726" s="147"/>
      <c r="J2726" s="147"/>
      <c r="K2726" s="147"/>
      <c r="L2726" s="147"/>
      <c r="M2726" s="147"/>
      <c r="N2726" s="147"/>
      <c r="O2726" s="147"/>
      <c r="P2726" s="147"/>
      <c r="Q2726" s="147"/>
      <c r="R2726" s="148"/>
      <c r="S2726" s="148"/>
      <c r="T2726" s="148"/>
      <c r="U2726" s="148"/>
      <c r="V2726" s="148"/>
      <c r="W2726" s="148"/>
      <c r="X2726" s="148"/>
      <c r="Y2726" s="148"/>
      <c r="Z2726" s="148"/>
      <c r="AA2726" s="148"/>
      <c r="AB2726" s="148"/>
      <c r="AC2726" s="148"/>
    </row>
    <row r="2727" spans="1:29" hidden="1">
      <c r="A2727" s="146"/>
      <c r="B2727" s="147"/>
      <c r="C2727" s="147"/>
      <c r="D2727" s="147"/>
      <c r="E2727" s="147"/>
      <c r="F2727" s="147"/>
      <c r="G2727" s="147"/>
      <c r="H2727" s="147"/>
      <c r="I2727" s="147"/>
      <c r="J2727" s="147"/>
      <c r="K2727" s="147"/>
      <c r="L2727" s="147"/>
      <c r="M2727" s="147"/>
      <c r="N2727" s="147"/>
      <c r="O2727" s="147"/>
      <c r="P2727" s="147"/>
      <c r="Q2727" s="147"/>
      <c r="R2727" s="148"/>
      <c r="S2727" s="148"/>
      <c r="T2727" s="148"/>
      <c r="U2727" s="148"/>
      <c r="V2727" s="148"/>
      <c r="W2727" s="148"/>
      <c r="X2727" s="148"/>
      <c r="Y2727" s="148"/>
      <c r="Z2727" s="148"/>
      <c r="AA2727" s="148"/>
      <c r="AB2727" s="148"/>
      <c r="AC2727" s="148"/>
    </row>
    <row r="2728" spans="1:29" hidden="1">
      <c r="A2728" s="146"/>
      <c r="B2728" s="147"/>
      <c r="C2728" s="147"/>
      <c r="D2728" s="147"/>
      <c r="E2728" s="147"/>
      <c r="F2728" s="147"/>
      <c r="G2728" s="147"/>
      <c r="H2728" s="147"/>
      <c r="I2728" s="147"/>
      <c r="J2728" s="147"/>
      <c r="K2728" s="147"/>
      <c r="L2728" s="147"/>
      <c r="M2728" s="147"/>
      <c r="N2728" s="147"/>
      <c r="O2728" s="147"/>
      <c r="P2728" s="147"/>
      <c r="Q2728" s="147"/>
      <c r="R2728" s="148"/>
      <c r="S2728" s="148"/>
      <c r="T2728" s="148"/>
      <c r="U2728" s="148"/>
      <c r="V2728" s="148"/>
      <c r="W2728" s="148"/>
      <c r="X2728" s="148"/>
      <c r="Y2728" s="148"/>
      <c r="Z2728" s="148"/>
      <c r="AA2728" s="148"/>
      <c r="AB2728" s="148"/>
      <c r="AC2728" s="148"/>
    </row>
    <row r="2729" spans="1:29" hidden="1">
      <c r="A2729" s="146"/>
      <c r="B2729" s="147"/>
      <c r="C2729" s="147"/>
      <c r="D2729" s="147"/>
      <c r="E2729" s="147"/>
      <c r="F2729" s="147"/>
      <c r="G2729" s="147"/>
      <c r="H2729" s="147"/>
      <c r="I2729" s="147"/>
      <c r="J2729" s="147"/>
      <c r="K2729" s="147"/>
      <c r="L2729" s="147"/>
      <c r="M2729" s="147"/>
      <c r="N2729" s="147"/>
      <c r="O2729" s="147"/>
      <c r="P2729" s="147"/>
      <c r="Q2729" s="147"/>
      <c r="R2729" s="148"/>
      <c r="S2729" s="148"/>
      <c r="T2729" s="148"/>
      <c r="U2729" s="148"/>
      <c r="V2729" s="148"/>
      <c r="W2729" s="148"/>
      <c r="X2729" s="148"/>
      <c r="Y2729" s="148"/>
      <c r="Z2729" s="148"/>
      <c r="AA2729" s="148"/>
      <c r="AB2729" s="148"/>
      <c r="AC2729" s="148"/>
    </row>
    <row r="2730" spans="1:29" hidden="1">
      <c r="A2730" s="146"/>
      <c r="B2730" s="147"/>
      <c r="C2730" s="147"/>
      <c r="D2730" s="147"/>
      <c r="E2730" s="147"/>
      <c r="F2730" s="147"/>
      <c r="G2730" s="147"/>
      <c r="H2730" s="147"/>
      <c r="I2730" s="147"/>
      <c r="J2730" s="147"/>
      <c r="K2730" s="147"/>
      <c r="L2730" s="147"/>
      <c r="M2730" s="147"/>
      <c r="N2730" s="147"/>
      <c r="O2730" s="147"/>
      <c r="P2730" s="147"/>
      <c r="Q2730" s="147"/>
      <c r="R2730" s="148"/>
      <c r="S2730" s="148"/>
      <c r="T2730" s="148"/>
      <c r="U2730" s="148"/>
      <c r="V2730" s="148"/>
      <c r="W2730" s="148"/>
      <c r="X2730" s="148"/>
      <c r="Y2730" s="148"/>
      <c r="Z2730" s="148"/>
      <c r="AA2730" s="148"/>
      <c r="AB2730" s="148"/>
      <c r="AC2730" s="148"/>
    </row>
    <row r="2731" spans="1:29" hidden="1">
      <c r="A2731" s="146"/>
      <c r="B2731" s="147"/>
      <c r="C2731" s="147"/>
      <c r="D2731" s="147"/>
      <c r="E2731" s="147"/>
      <c r="F2731" s="147"/>
      <c r="G2731" s="147"/>
      <c r="H2731" s="147"/>
      <c r="I2731" s="147"/>
      <c r="J2731" s="147"/>
      <c r="K2731" s="147"/>
      <c r="L2731" s="147"/>
      <c r="M2731" s="147"/>
      <c r="N2731" s="147"/>
      <c r="O2731" s="147"/>
      <c r="P2731" s="147"/>
      <c r="Q2731" s="147"/>
      <c r="R2731" s="148"/>
      <c r="S2731" s="148"/>
      <c r="T2731" s="148"/>
      <c r="U2731" s="148"/>
      <c r="V2731" s="148"/>
      <c r="W2731" s="148"/>
      <c r="X2731" s="148"/>
      <c r="Y2731" s="148"/>
      <c r="Z2731" s="148"/>
      <c r="AA2731" s="148"/>
      <c r="AB2731" s="148"/>
      <c r="AC2731" s="148"/>
    </row>
    <row r="2732" spans="1:29" hidden="1">
      <c r="A2732" s="146"/>
      <c r="B2732" s="147"/>
      <c r="C2732" s="147"/>
      <c r="D2732" s="147"/>
      <c r="E2732" s="147"/>
      <c r="F2732" s="147"/>
      <c r="G2732" s="147"/>
      <c r="H2732" s="147"/>
      <c r="I2732" s="147"/>
      <c r="J2732" s="147"/>
      <c r="K2732" s="147"/>
      <c r="L2732" s="147"/>
      <c r="M2732" s="147"/>
      <c r="N2732" s="147"/>
      <c r="O2732" s="147"/>
      <c r="P2732" s="147"/>
      <c r="Q2732" s="147"/>
      <c r="R2732" s="148"/>
      <c r="S2732" s="148"/>
      <c r="T2732" s="148"/>
      <c r="U2732" s="148"/>
      <c r="V2732" s="148"/>
      <c r="W2732" s="148"/>
      <c r="X2732" s="148"/>
      <c r="Y2732" s="148"/>
      <c r="Z2732" s="148"/>
      <c r="AA2732" s="148"/>
      <c r="AB2732" s="148"/>
      <c r="AC2732" s="148"/>
    </row>
    <row r="2733" spans="1:29" hidden="1">
      <c r="A2733" s="146"/>
      <c r="B2733" s="147"/>
      <c r="C2733" s="147"/>
      <c r="D2733" s="147"/>
      <c r="E2733" s="147"/>
      <c r="F2733" s="147"/>
      <c r="G2733" s="147"/>
      <c r="H2733" s="147"/>
      <c r="I2733" s="147"/>
      <c r="J2733" s="147"/>
      <c r="K2733" s="147"/>
      <c r="L2733" s="147"/>
      <c r="M2733" s="147"/>
      <c r="N2733" s="147"/>
      <c r="O2733" s="147"/>
      <c r="P2733" s="147"/>
      <c r="Q2733" s="147"/>
      <c r="R2733" s="148"/>
      <c r="S2733" s="148"/>
      <c r="T2733" s="148"/>
      <c r="U2733" s="148"/>
      <c r="V2733" s="148"/>
      <c r="W2733" s="148"/>
      <c r="X2733" s="148"/>
      <c r="Y2733" s="148"/>
      <c r="Z2733" s="148"/>
      <c r="AA2733" s="148"/>
      <c r="AB2733" s="148"/>
      <c r="AC2733" s="148"/>
    </row>
    <row r="2734" spans="1:29" hidden="1">
      <c r="A2734" s="146"/>
      <c r="B2734" s="147"/>
      <c r="C2734" s="147"/>
      <c r="D2734" s="147"/>
      <c r="E2734" s="147"/>
      <c r="F2734" s="147"/>
      <c r="G2734" s="147"/>
      <c r="H2734" s="147"/>
      <c r="I2734" s="147"/>
      <c r="J2734" s="147"/>
      <c r="K2734" s="147"/>
      <c r="L2734" s="147"/>
      <c r="M2734" s="147"/>
      <c r="N2734" s="147"/>
      <c r="O2734" s="147"/>
      <c r="P2734" s="147"/>
      <c r="Q2734" s="147"/>
      <c r="R2734" s="148"/>
      <c r="S2734" s="148"/>
      <c r="T2734" s="148"/>
      <c r="U2734" s="148"/>
      <c r="V2734" s="148"/>
      <c r="W2734" s="148"/>
      <c r="X2734" s="148"/>
      <c r="Y2734" s="148"/>
      <c r="Z2734" s="148"/>
      <c r="AA2734" s="148"/>
      <c r="AB2734" s="148"/>
      <c r="AC2734" s="148"/>
    </row>
    <row r="2735" spans="1:29" hidden="1">
      <c r="A2735" s="146"/>
      <c r="B2735" s="147"/>
      <c r="C2735" s="147"/>
      <c r="D2735" s="147"/>
      <c r="E2735" s="147"/>
      <c r="F2735" s="147"/>
      <c r="G2735" s="147"/>
      <c r="H2735" s="147"/>
      <c r="I2735" s="147"/>
      <c r="J2735" s="147"/>
      <c r="K2735" s="147"/>
      <c r="L2735" s="147"/>
      <c r="M2735" s="147"/>
      <c r="N2735" s="147"/>
      <c r="O2735" s="147"/>
      <c r="P2735" s="147"/>
      <c r="Q2735" s="147"/>
      <c r="R2735" s="148"/>
      <c r="S2735" s="148"/>
      <c r="T2735" s="148"/>
      <c r="U2735" s="148"/>
      <c r="V2735" s="148"/>
      <c r="W2735" s="148"/>
      <c r="X2735" s="148"/>
      <c r="Y2735" s="148"/>
      <c r="Z2735" s="148"/>
      <c r="AA2735" s="148"/>
      <c r="AB2735" s="148"/>
      <c r="AC2735" s="148"/>
    </row>
    <row r="2736" spans="1:29" hidden="1">
      <c r="A2736" s="146"/>
      <c r="B2736" s="147"/>
      <c r="C2736" s="147"/>
      <c r="D2736" s="147"/>
      <c r="E2736" s="147"/>
      <c r="F2736" s="147"/>
      <c r="G2736" s="147"/>
      <c r="H2736" s="147"/>
      <c r="I2736" s="147"/>
      <c r="J2736" s="147"/>
      <c r="K2736" s="147"/>
      <c r="L2736" s="147"/>
      <c r="M2736" s="147"/>
      <c r="N2736" s="147"/>
      <c r="O2736" s="147"/>
      <c r="P2736" s="147"/>
      <c r="Q2736" s="147"/>
      <c r="R2736" s="148"/>
      <c r="S2736" s="148"/>
      <c r="T2736" s="148"/>
      <c r="U2736" s="148"/>
      <c r="V2736" s="148"/>
      <c r="W2736" s="148"/>
      <c r="X2736" s="148"/>
      <c r="Y2736" s="148"/>
      <c r="Z2736" s="148"/>
      <c r="AA2736" s="148"/>
      <c r="AB2736" s="148"/>
      <c r="AC2736" s="148"/>
    </row>
    <row r="2737" spans="1:29" hidden="1">
      <c r="A2737" s="146"/>
      <c r="B2737" s="147"/>
      <c r="C2737" s="147"/>
      <c r="D2737" s="147"/>
      <c r="E2737" s="147"/>
      <c r="F2737" s="147"/>
      <c r="G2737" s="147"/>
      <c r="H2737" s="147"/>
      <c r="I2737" s="147"/>
      <c r="J2737" s="147"/>
      <c r="K2737" s="147"/>
      <c r="L2737" s="147"/>
      <c r="M2737" s="147"/>
      <c r="N2737" s="147"/>
      <c r="O2737" s="147"/>
      <c r="P2737" s="147"/>
      <c r="Q2737" s="147"/>
      <c r="R2737" s="148"/>
      <c r="S2737" s="148"/>
      <c r="T2737" s="148"/>
      <c r="U2737" s="148"/>
      <c r="V2737" s="148"/>
      <c r="W2737" s="148"/>
      <c r="X2737" s="148"/>
      <c r="Y2737" s="148"/>
      <c r="Z2737" s="148"/>
      <c r="AA2737" s="148"/>
      <c r="AB2737" s="148"/>
      <c r="AC2737" s="148"/>
    </row>
    <row r="2738" spans="1:29" hidden="1">
      <c r="A2738" s="146"/>
      <c r="B2738" s="147"/>
      <c r="C2738" s="147"/>
      <c r="D2738" s="147"/>
      <c r="E2738" s="147"/>
      <c r="F2738" s="147"/>
      <c r="G2738" s="147"/>
      <c r="H2738" s="147"/>
      <c r="I2738" s="147"/>
      <c r="J2738" s="147"/>
      <c r="K2738" s="147"/>
      <c r="L2738" s="147"/>
      <c r="M2738" s="147"/>
      <c r="N2738" s="147"/>
      <c r="O2738" s="147"/>
      <c r="P2738" s="147"/>
      <c r="Q2738" s="147"/>
      <c r="R2738" s="148"/>
      <c r="S2738" s="148"/>
      <c r="T2738" s="148"/>
      <c r="U2738" s="148"/>
      <c r="V2738" s="148"/>
      <c r="W2738" s="148"/>
      <c r="X2738" s="148"/>
      <c r="Y2738" s="148"/>
      <c r="Z2738" s="148"/>
      <c r="AA2738" s="148"/>
      <c r="AB2738" s="148"/>
      <c r="AC2738" s="148"/>
    </row>
    <row r="2739" spans="1:29" hidden="1">
      <c r="A2739" s="146"/>
      <c r="B2739" s="147"/>
      <c r="C2739" s="147"/>
      <c r="D2739" s="147"/>
      <c r="E2739" s="147"/>
      <c r="F2739" s="147"/>
      <c r="G2739" s="147"/>
      <c r="H2739" s="147"/>
      <c r="I2739" s="147"/>
      <c r="J2739" s="147"/>
      <c r="K2739" s="147"/>
      <c r="L2739" s="147"/>
      <c r="M2739" s="147"/>
      <c r="N2739" s="147"/>
      <c r="O2739" s="147"/>
      <c r="P2739" s="147"/>
      <c r="Q2739" s="147"/>
      <c r="R2739" s="148"/>
      <c r="S2739" s="148"/>
      <c r="T2739" s="148"/>
      <c r="U2739" s="148"/>
      <c r="V2739" s="148"/>
      <c r="W2739" s="148"/>
      <c r="X2739" s="148"/>
      <c r="Y2739" s="148"/>
      <c r="Z2739" s="148"/>
      <c r="AA2739" s="148"/>
      <c r="AB2739" s="148"/>
      <c r="AC2739" s="148"/>
    </row>
    <row r="2740" spans="1:29" hidden="1">
      <c r="A2740" s="146"/>
      <c r="B2740" s="147"/>
      <c r="C2740" s="147"/>
      <c r="D2740" s="147"/>
      <c r="E2740" s="147"/>
      <c r="F2740" s="147"/>
      <c r="G2740" s="147"/>
      <c r="H2740" s="147"/>
      <c r="I2740" s="147"/>
      <c r="J2740" s="147"/>
      <c r="K2740" s="147"/>
      <c r="L2740" s="147"/>
      <c r="M2740" s="147"/>
      <c r="N2740" s="147"/>
      <c r="O2740" s="147"/>
      <c r="P2740" s="147"/>
      <c r="Q2740" s="147"/>
      <c r="R2740" s="148"/>
      <c r="S2740" s="148"/>
      <c r="T2740" s="148"/>
      <c r="U2740" s="148"/>
      <c r="V2740" s="148"/>
      <c r="W2740" s="148"/>
      <c r="X2740" s="148"/>
      <c r="Y2740" s="148"/>
      <c r="Z2740" s="148"/>
      <c r="AA2740" s="148"/>
      <c r="AB2740" s="148"/>
      <c r="AC2740" s="148"/>
    </row>
    <row r="2741" spans="1:29" hidden="1">
      <c r="A2741" s="146"/>
      <c r="B2741" s="147"/>
      <c r="C2741" s="147"/>
      <c r="D2741" s="147"/>
      <c r="E2741" s="147"/>
      <c r="F2741" s="147"/>
      <c r="G2741" s="147"/>
      <c r="H2741" s="147"/>
      <c r="I2741" s="147"/>
      <c r="J2741" s="147"/>
      <c r="K2741" s="147"/>
      <c r="L2741" s="147"/>
      <c r="M2741" s="147"/>
      <c r="N2741" s="147"/>
      <c r="O2741" s="147"/>
      <c r="P2741" s="147"/>
      <c r="Q2741" s="147"/>
      <c r="R2741" s="148"/>
      <c r="S2741" s="148"/>
      <c r="T2741" s="148"/>
      <c r="U2741" s="148"/>
      <c r="V2741" s="148"/>
      <c r="W2741" s="148"/>
      <c r="X2741" s="148"/>
      <c r="Y2741" s="148"/>
      <c r="Z2741" s="148"/>
      <c r="AA2741" s="148"/>
      <c r="AB2741" s="148"/>
      <c r="AC2741" s="148"/>
    </row>
    <row r="2742" spans="1:29" hidden="1">
      <c r="A2742" s="146"/>
      <c r="B2742" s="147"/>
      <c r="C2742" s="147"/>
      <c r="D2742" s="147"/>
      <c r="E2742" s="147"/>
      <c r="F2742" s="147"/>
      <c r="G2742" s="147"/>
      <c r="H2742" s="147"/>
      <c r="I2742" s="147"/>
      <c r="J2742" s="147"/>
      <c r="K2742" s="147"/>
      <c r="L2742" s="147"/>
      <c r="M2742" s="147"/>
      <c r="N2742" s="147"/>
      <c r="O2742" s="147"/>
      <c r="P2742" s="147"/>
      <c r="Q2742" s="147"/>
      <c r="R2742" s="148"/>
      <c r="S2742" s="148"/>
      <c r="T2742" s="148"/>
      <c r="U2742" s="148"/>
      <c r="V2742" s="148"/>
      <c r="W2742" s="148"/>
      <c r="X2742" s="148"/>
      <c r="Y2742" s="148"/>
      <c r="Z2742" s="148"/>
      <c r="AA2742" s="148"/>
      <c r="AB2742" s="148"/>
      <c r="AC2742" s="148"/>
    </row>
    <row r="2743" spans="1:29" hidden="1">
      <c r="A2743" s="146"/>
      <c r="B2743" s="147"/>
      <c r="C2743" s="147"/>
      <c r="D2743" s="147"/>
      <c r="E2743" s="147"/>
      <c r="F2743" s="147"/>
      <c r="G2743" s="147"/>
      <c r="H2743" s="147"/>
      <c r="I2743" s="147"/>
      <c r="J2743" s="147"/>
      <c r="K2743" s="147"/>
      <c r="L2743" s="147"/>
      <c r="M2743" s="147"/>
      <c r="N2743" s="147"/>
      <c r="O2743" s="147"/>
      <c r="P2743" s="147"/>
      <c r="Q2743" s="147"/>
      <c r="R2743" s="148"/>
      <c r="S2743" s="148"/>
      <c r="T2743" s="148"/>
      <c r="U2743" s="148"/>
      <c r="V2743" s="148"/>
      <c r="W2743" s="148"/>
      <c r="X2743" s="148"/>
      <c r="Y2743" s="148"/>
      <c r="Z2743" s="148"/>
      <c r="AA2743" s="148"/>
      <c r="AB2743" s="148"/>
      <c r="AC2743" s="148"/>
    </row>
    <row r="2744" spans="1:29" hidden="1">
      <c r="A2744" s="146"/>
      <c r="B2744" s="147"/>
      <c r="C2744" s="147"/>
      <c r="D2744" s="147"/>
      <c r="E2744" s="147"/>
      <c r="F2744" s="147"/>
      <c r="G2744" s="147"/>
      <c r="H2744" s="147"/>
      <c r="I2744" s="147"/>
      <c r="J2744" s="147"/>
      <c r="K2744" s="147"/>
      <c r="L2744" s="147"/>
      <c r="M2744" s="147"/>
      <c r="N2744" s="147"/>
      <c r="O2744" s="147"/>
      <c r="P2744" s="147"/>
      <c r="Q2744" s="147"/>
      <c r="R2744" s="148"/>
      <c r="S2744" s="148"/>
      <c r="T2744" s="148"/>
      <c r="U2744" s="148"/>
      <c r="V2744" s="148"/>
      <c r="W2744" s="148"/>
      <c r="X2744" s="148"/>
      <c r="Y2744" s="148"/>
      <c r="Z2744" s="148"/>
      <c r="AA2744" s="148"/>
      <c r="AB2744" s="148"/>
      <c r="AC2744" s="148"/>
    </row>
    <row r="2745" spans="1:29" hidden="1">
      <c r="A2745" s="146"/>
      <c r="B2745" s="147"/>
      <c r="C2745" s="147"/>
      <c r="D2745" s="147"/>
      <c r="E2745" s="147"/>
      <c r="F2745" s="147"/>
      <c r="G2745" s="147"/>
      <c r="H2745" s="147"/>
      <c r="I2745" s="147"/>
      <c r="J2745" s="147"/>
      <c r="K2745" s="147"/>
      <c r="L2745" s="147"/>
      <c r="M2745" s="147"/>
      <c r="N2745" s="147"/>
      <c r="O2745" s="147"/>
      <c r="P2745" s="147"/>
      <c r="Q2745" s="147"/>
      <c r="R2745" s="148"/>
      <c r="S2745" s="148"/>
      <c r="T2745" s="148"/>
      <c r="U2745" s="148"/>
      <c r="V2745" s="148"/>
      <c r="W2745" s="148"/>
      <c r="X2745" s="148"/>
      <c r="Y2745" s="148"/>
      <c r="Z2745" s="148"/>
      <c r="AA2745" s="148"/>
      <c r="AB2745" s="148"/>
      <c r="AC2745" s="148"/>
    </row>
    <row r="2746" spans="1:29" hidden="1">
      <c r="A2746" s="146"/>
      <c r="B2746" s="147"/>
      <c r="C2746" s="147"/>
      <c r="D2746" s="147"/>
      <c r="E2746" s="147"/>
      <c r="F2746" s="147"/>
      <c r="G2746" s="147"/>
      <c r="H2746" s="147"/>
      <c r="I2746" s="147"/>
      <c r="J2746" s="147"/>
      <c r="K2746" s="147"/>
      <c r="L2746" s="147"/>
      <c r="M2746" s="147"/>
      <c r="N2746" s="147"/>
      <c r="O2746" s="147"/>
      <c r="P2746" s="147"/>
      <c r="Q2746" s="147"/>
      <c r="R2746" s="148"/>
      <c r="S2746" s="148"/>
      <c r="T2746" s="148"/>
      <c r="U2746" s="148"/>
      <c r="V2746" s="148"/>
      <c r="W2746" s="148"/>
      <c r="X2746" s="148"/>
      <c r="Y2746" s="148"/>
      <c r="Z2746" s="148"/>
      <c r="AA2746" s="148"/>
      <c r="AB2746" s="148"/>
      <c r="AC2746" s="148"/>
    </row>
    <row r="2747" spans="1:29" hidden="1">
      <c r="A2747" s="146"/>
      <c r="B2747" s="147"/>
      <c r="C2747" s="147"/>
      <c r="D2747" s="147"/>
      <c r="E2747" s="147"/>
      <c r="F2747" s="147"/>
      <c r="G2747" s="147"/>
      <c r="H2747" s="147"/>
      <c r="I2747" s="147"/>
      <c r="J2747" s="147"/>
      <c r="K2747" s="147"/>
      <c r="L2747" s="147"/>
      <c r="M2747" s="147"/>
      <c r="N2747" s="147"/>
      <c r="O2747" s="147"/>
      <c r="P2747" s="147"/>
      <c r="Q2747" s="147"/>
      <c r="R2747" s="148"/>
      <c r="S2747" s="148"/>
      <c r="T2747" s="148"/>
      <c r="U2747" s="148"/>
      <c r="V2747" s="148"/>
      <c r="W2747" s="148"/>
      <c r="X2747" s="148"/>
      <c r="Y2747" s="148"/>
      <c r="Z2747" s="148"/>
      <c r="AA2747" s="148"/>
      <c r="AB2747" s="148"/>
      <c r="AC2747" s="148"/>
    </row>
    <row r="2748" spans="1:29" hidden="1">
      <c r="A2748" s="146"/>
      <c r="B2748" s="147"/>
      <c r="C2748" s="147"/>
      <c r="D2748" s="147"/>
      <c r="E2748" s="147"/>
      <c r="F2748" s="147"/>
      <c r="G2748" s="147"/>
      <c r="H2748" s="147"/>
      <c r="I2748" s="147"/>
      <c r="J2748" s="147"/>
      <c r="K2748" s="147"/>
      <c r="L2748" s="147"/>
      <c r="M2748" s="147"/>
      <c r="N2748" s="147"/>
      <c r="O2748" s="147"/>
      <c r="P2748" s="147"/>
      <c r="Q2748" s="147"/>
      <c r="R2748" s="148"/>
      <c r="S2748" s="148"/>
      <c r="T2748" s="148"/>
      <c r="U2748" s="148"/>
      <c r="V2748" s="148"/>
      <c r="W2748" s="148"/>
      <c r="X2748" s="148"/>
      <c r="Y2748" s="148"/>
      <c r="Z2748" s="148"/>
      <c r="AA2748" s="148"/>
      <c r="AB2748" s="148"/>
      <c r="AC2748" s="148"/>
    </row>
    <row r="2749" spans="1:29" hidden="1">
      <c r="A2749" s="146"/>
      <c r="B2749" s="147"/>
      <c r="C2749" s="147"/>
      <c r="D2749" s="147"/>
      <c r="E2749" s="147"/>
      <c r="F2749" s="147"/>
      <c r="G2749" s="147"/>
      <c r="H2749" s="147"/>
      <c r="I2749" s="147"/>
      <c r="J2749" s="147"/>
      <c r="K2749" s="147"/>
      <c r="L2749" s="147"/>
      <c r="M2749" s="147"/>
      <c r="N2749" s="147"/>
      <c r="O2749" s="147"/>
      <c r="P2749" s="147"/>
      <c r="Q2749" s="147"/>
      <c r="R2749" s="148"/>
      <c r="S2749" s="148"/>
      <c r="T2749" s="148"/>
      <c r="U2749" s="148"/>
      <c r="V2749" s="148"/>
      <c r="W2749" s="148"/>
      <c r="X2749" s="148"/>
      <c r="Y2749" s="148"/>
      <c r="Z2749" s="148"/>
      <c r="AA2749" s="148"/>
      <c r="AB2749" s="148"/>
      <c r="AC2749" s="148"/>
    </row>
    <row r="2750" spans="1:29" hidden="1">
      <c r="A2750" s="146"/>
      <c r="B2750" s="147"/>
      <c r="C2750" s="147"/>
      <c r="D2750" s="147"/>
      <c r="E2750" s="147"/>
      <c r="F2750" s="147"/>
      <c r="G2750" s="147"/>
      <c r="H2750" s="147"/>
      <c r="I2750" s="147"/>
      <c r="J2750" s="147"/>
      <c r="K2750" s="147"/>
      <c r="L2750" s="147"/>
      <c r="M2750" s="147"/>
      <c r="N2750" s="147"/>
      <c r="O2750" s="147"/>
      <c r="P2750" s="147"/>
      <c r="Q2750" s="147"/>
      <c r="R2750" s="148"/>
      <c r="S2750" s="148"/>
      <c r="T2750" s="148"/>
      <c r="U2750" s="148"/>
      <c r="V2750" s="148"/>
      <c r="W2750" s="148"/>
      <c r="X2750" s="148"/>
      <c r="Y2750" s="148"/>
      <c r="Z2750" s="148"/>
      <c r="AA2750" s="148"/>
      <c r="AB2750" s="148"/>
      <c r="AC2750" s="148"/>
    </row>
    <row r="2751" spans="1:29" hidden="1">
      <c r="A2751" s="146"/>
      <c r="B2751" s="147"/>
      <c r="C2751" s="147"/>
      <c r="D2751" s="147"/>
      <c r="E2751" s="147"/>
      <c r="F2751" s="147"/>
      <c r="G2751" s="147"/>
      <c r="H2751" s="147"/>
      <c r="I2751" s="147"/>
      <c r="J2751" s="147"/>
      <c r="K2751" s="147"/>
      <c r="L2751" s="147"/>
      <c r="M2751" s="147"/>
      <c r="N2751" s="147"/>
      <c r="O2751" s="147"/>
      <c r="P2751" s="147"/>
      <c r="Q2751" s="147"/>
      <c r="R2751" s="148"/>
      <c r="S2751" s="148"/>
      <c r="T2751" s="148"/>
      <c r="U2751" s="148"/>
      <c r="V2751" s="148"/>
      <c r="W2751" s="148"/>
      <c r="X2751" s="148"/>
      <c r="Y2751" s="148"/>
      <c r="Z2751" s="148"/>
      <c r="AA2751" s="148"/>
      <c r="AB2751" s="148"/>
      <c r="AC2751" s="148"/>
    </row>
    <row r="2752" spans="1:29" hidden="1">
      <c r="A2752" s="146"/>
      <c r="B2752" s="147"/>
      <c r="C2752" s="147"/>
      <c r="D2752" s="147"/>
      <c r="E2752" s="147"/>
      <c r="F2752" s="147"/>
      <c r="G2752" s="147"/>
      <c r="H2752" s="147"/>
      <c r="I2752" s="147"/>
      <c r="J2752" s="147"/>
      <c r="K2752" s="147"/>
      <c r="L2752" s="147"/>
      <c r="M2752" s="147"/>
      <c r="N2752" s="147"/>
      <c r="O2752" s="147"/>
      <c r="P2752" s="147"/>
      <c r="Q2752" s="147"/>
      <c r="R2752" s="148"/>
      <c r="S2752" s="148"/>
      <c r="T2752" s="148"/>
      <c r="U2752" s="148"/>
      <c r="V2752" s="148"/>
      <c r="W2752" s="148"/>
      <c r="X2752" s="148"/>
      <c r="Y2752" s="148"/>
      <c r="Z2752" s="148"/>
      <c r="AA2752" s="148"/>
      <c r="AB2752" s="148"/>
      <c r="AC2752" s="148"/>
    </row>
    <row r="2753" spans="1:29" hidden="1">
      <c r="A2753" s="146"/>
      <c r="B2753" s="147"/>
      <c r="C2753" s="147"/>
      <c r="D2753" s="147"/>
      <c r="E2753" s="147"/>
      <c r="F2753" s="147"/>
      <c r="G2753" s="147"/>
      <c r="H2753" s="147"/>
      <c r="I2753" s="147"/>
      <c r="J2753" s="147"/>
      <c r="K2753" s="147"/>
      <c r="L2753" s="147"/>
      <c r="M2753" s="147"/>
      <c r="N2753" s="147"/>
      <c r="O2753" s="147"/>
      <c r="P2753" s="147"/>
      <c r="Q2753" s="147"/>
      <c r="R2753" s="148"/>
      <c r="S2753" s="148"/>
      <c r="T2753" s="148"/>
      <c r="U2753" s="148"/>
      <c r="V2753" s="148"/>
      <c r="W2753" s="148"/>
      <c r="X2753" s="148"/>
      <c r="Y2753" s="148"/>
      <c r="Z2753" s="148"/>
      <c r="AA2753" s="148"/>
      <c r="AB2753" s="148"/>
      <c r="AC2753" s="148"/>
    </row>
    <row r="2754" spans="1:29" hidden="1">
      <c r="A2754" s="146"/>
      <c r="B2754" s="147"/>
      <c r="C2754" s="147"/>
      <c r="D2754" s="147"/>
      <c r="E2754" s="147"/>
      <c r="F2754" s="147"/>
      <c r="G2754" s="147"/>
      <c r="H2754" s="147"/>
      <c r="I2754" s="147"/>
      <c r="J2754" s="147"/>
      <c r="K2754" s="147"/>
      <c r="L2754" s="147"/>
      <c r="M2754" s="147"/>
      <c r="N2754" s="147"/>
      <c r="O2754" s="147"/>
      <c r="P2754" s="147"/>
      <c r="Q2754" s="147"/>
      <c r="R2754" s="148"/>
      <c r="S2754" s="148"/>
      <c r="T2754" s="148"/>
      <c r="U2754" s="148"/>
      <c r="V2754" s="148"/>
      <c r="W2754" s="148"/>
      <c r="X2754" s="148"/>
      <c r="Y2754" s="148"/>
      <c r="Z2754" s="148"/>
      <c r="AA2754" s="148"/>
      <c r="AB2754" s="148"/>
      <c r="AC2754" s="148"/>
    </row>
    <row r="2755" spans="1:29" hidden="1">
      <c r="A2755" s="146"/>
      <c r="B2755" s="147"/>
      <c r="C2755" s="147"/>
      <c r="D2755" s="147"/>
      <c r="E2755" s="147"/>
      <c r="F2755" s="147"/>
      <c r="G2755" s="147"/>
      <c r="H2755" s="147"/>
      <c r="I2755" s="147"/>
      <c r="J2755" s="147"/>
      <c r="K2755" s="147"/>
      <c r="L2755" s="147"/>
      <c r="M2755" s="147"/>
      <c r="N2755" s="147"/>
      <c r="O2755" s="147"/>
      <c r="P2755" s="147"/>
      <c r="Q2755" s="147"/>
      <c r="R2755" s="148"/>
      <c r="S2755" s="148"/>
      <c r="T2755" s="148"/>
      <c r="U2755" s="148"/>
      <c r="V2755" s="148"/>
      <c r="W2755" s="148"/>
      <c r="X2755" s="148"/>
      <c r="Y2755" s="148"/>
      <c r="Z2755" s="148"/>
      <c r="AA2755" s="148"/>
      <c r="AB2755" s="148"/>
      <c r="AC2755" s="148"/>
    </row>
    <row r="2756" spans="1:29" hidden="1">
      <c r="A2756" s="146"/>
      <c r="B2756" s="147"/>
      <c r="C2756" s="147"/>
      <c r="D2756" s="147"/>
      <c r="E2756" s="147"/>
      <c r="F2756" s="147"/>
      <c r="G2756" s="147"/>
      <c r="H2756" s="147"/>
      <c r="I2756" s="147"/>
      <c r="J2756" s="147"/>
      <c r="K2756" s="147"/>
      <c r="L2756" s="147"/>
      <c r="M2756" s="147"/>
      <c r="N2756" s="147"/>
      <c r="O2756" s="147"/>
      <c r="P2756" s="147"/>
      <c r="Q2756" s="147"/>
      <c r="R2756" s="148"/>
      <c r="S2756" s="148"/>
      <c r="T2756" s="148"/>
      <c r="U2756" s="148"/>
      <c r="V2756" s="148"/>
      <c r="W2756" s="148"/>
      <c r="X2756" s="148"/>
      <c r="Y2756" s="148"/>
      <c r="Z2756" s="148"/>
      <c r="AA2756" s="148"/>
      <c r="AB2756" s="148"/>
      <c r="AC2756" s="148"/>
    </row>
    <row r="2757" spans="1:29" hidden="1">
      <c r="A2757" s="146"/>
      <c r="B2757" s="147"/>
      <c r="C2757" s="147"/>
      <c r="D2757" s="147"/>
      <c r="E2757" s="147"/>
      <c r="F2757" s="147"/>
      <c r="G2757" s="147"/>
      <c r="H2757" s="147"/>
      <c r="I2757" s="147"/>
      <c r="J2757" s="147"/>
      <c r="K2757" s="147"/>
      <c r="L2757" s="147"/>
      <c r="M2757" s="147"/>
      <c r="N2757" s="147"/>
      <c r="O2757" s="147"/>
      <c r="P2757" s="147"/>
      <c r="Q2757" s="147"/>
      <c r="R2757" s="148"/>
      <c r="S2757" s="148"/>
      <c r="T2757" s="148"/>
      <c r="U2757" s="148"/>
      <c r="V2757" s="148"/>
      <c r="W2757" s="148"/>
      <c r="X2757" s="148"/>
      <c r="Y2757" s="148"/>
      <c r="Z2757" s="148"/>
      <c r="AA2757" s="148"/>
      <c r="AB2757" s="148"/>
      <c r="AC2757" s="148"/>
    </row>
    <row r="2758" spans="1:29" hidden="1">
      <c r="A2758" s="146"/>
      <c r="B2758" s="147"/>
      <c r="C2758" s="147"/>
      <c r="D2758" s="147"/>
      <c r="E2758" s="147"/>
      <c r="F2758" s="147"/>
      <c r="G2758" s="147"/>
      <c r="H2758" s="147"/>
      <c r="I2758" s="147"/>
      <c r="J2758" s="147"/>
      <c r="K2758" s="147"/>
      <c r="L2758" s="147"/>
      <c r="M2758" s="147"/>
      <c r="N2758" s="147"/>
      <c r="O2758" s="147"/>
      <c r="P2758" s="147"/>
      <c r="Q2758" s="147"/>
      <c r="R2758" s="148"/>
      <c r="S2758" s="148"/>
      <c r="T2758" s="148"/>
      <c r="U2758" s="148"/>
      <c r="V2758" s="148"/>
      <c r="W2758" s="148"/>
      <c r="X2758" s="148"/>
      <c r="Y2758" s="148"/>
      <c r="Z2758" s="148"/>
      <c r="AA2758" s="148"/>
      <c r="AB2758" s="148"/>
      <c r="AC2758" s="148"/>
    </row>
    <row r="2759" spans="1:29" hidden="1">
      <c r="A2759" s="146"/>
      <c r="B2759" s="147"/>
      <c r="C2759" s="147"/>
      <c r="D2759" s="147"/>
      <c r="E2759" s="147"/>
      <c r="F2759" s="147"/>
      <c r="G2759" s="147"/>
      <c r="H2759" s="147"/>
      <c r="I2759" s="147"/>
      <c r="J2759" s="147"/>
      <c r="K2759" s="147"/>
      <c r="L2759" s="147"/>
      <c r="M2759" s="147"/>
      <c r="N2759" s="147"/>
      <c r="O2759" s="147"/>
      <c r="P2759" s="147"/>
      <c r="Q2759" s="147"/>
      <c r="R2759" s="148"/>
      <c r="S2759" s="148"/>
      <c r="T2759" s="148"/>
      <c r="U2759" s="148"/>
      <c r="V2759" s="148"/>
      <c r="W2759" s="148"/>
      <c r="X2759" s="148"/>
      <c r="Y2759" s="148"/>
      <c r="Z2759" s="148"/>
      <c r="AA2759" s="148"/>
      <c r="AB2759" s="148"/>
      <c r="AC2759" s="148"/>
    </row>
    <row r="2760" spans="1:29" hidden="1">
      <c r="A2760" s="146"/>
      <c r="B2760" s="147"/>
      <c r="C2760" s="147"/>
      <c r="D2760" s="147"/>
      <c r="E2760" s="147"/>
      <c r="F2760" s="147"/>
      <c r="G2760" s="147"/>
      <c r="H2760" s="147"/>
      <c r="I2760" s="147"/>
      <c r="J2760" s="147"/>
      <c r="K2760" s="147"/>
      <c r="L2760" s="147"/>
      <c r="M2760" s="147"/>
      <c r="N2760" s="147"/>
      <c r="O2760" s="147"/>
      <c r="P2760" s="147"/>
      <c r="Q2760" s="147"/>
      <c r="R2760" s="148"/>
      <c r="S2760" s="148"/>
      <c r="T2760" s="148"/>
      <c r="U2760" s="148"/>
      <c r="V2760" s="148"/>
      <c r="W2760" s="148"/>
      <c r="X2760" s="148"/>
      <c r="Y2760" s="148"/>
      <c r="Z2760" s="148"/>
      <c r="AA2760" s="148"/>
      <c r="AB2760" s="148"/>
      <c r="AC2760" s="148"/>
    </row>
    <row r="2761" spans="1:29" hidden="1">
      <c r="A2761" s="146"/>
      <c r="B2761" s="147"/>
      <c r="C2761" s="147"/>
      <c r="D2761" s="147"/>
      <c r="E2761" s="147"/>
      <c r="F2761" s="147"/>
      <c r="G2761" s="147"/>
      <c r="H2761" s="147"/>
      <c r="I2761" s="147"/>
      <c r="J2761" s="147"/>
      <c r="K2761" s="147"/>
      <c r="L2761" s="147"/>
      <c r="M2761" s="147"/>
      <c r="N2761" s="147"/>
      <c r="O2761" s="147"/>
      <c r="P2761" s="147"/>
      <c r="Q2761" s="147"/>
      <c r="R2761" s="148"/>
      <c r="S2761" s="148"/>
      <c r="T2761" s="148"/>
      <c r="U2761" s="148"/>
      <c r="V2761" s="148"/>
      <c r="W2761" s="148"/>
      <c r="X2761" s="148"/>
      <c r="Y2761" s="148"/>
      <c r="Z2761" s="148"/>
      <c r="AA2761" s="148"/>
      <c r="AB2761" s="148"/>
      <c r="AC2761" s="148"/>
    </row>
    <row r="2762" spans="1:29" hidden="1">
      <c r="A2762" s="146"/>
      <c r="B2762" s="147"/>
      <c r="C2762" s="147"/>
      <c r="D2762" s="147"/>
      <c r="E2762" s="147"/>
      <c r="F2762" s="147"/>
      <c r="G2762" s="147"/>
      <c r="H2762" s="147"/>
      <c r="I2762" s="147"/>
      <c r="J2762" s="147"/>
      <c r="K2762" s="147"/>
      <c r="L2762" s="147"/>
      <c r="M2762" s="147"/>
      <c r="N2762" s="147"/>
      <c r="O2762" s="147"/>
      <c r="P2762" s="147"/>
      <c r="Q2762" s="147"/>
      <c r="R2762" s="148"/>
      <c r="S2762" s="148"/>
      <c r="T2762" s="148"/>
      <c r="U2762" s="148"/>
      <c r="V2762" s="148"/>
      <c r="W2762" s="148"/>
      <c r="X2762" s="148"/>
      <c r="Y2762" s="148"/>
      <c r="Z2762" s="148"/>
      <c r="AA2762" s="148"/>
      <c r="AB2762" s="148"/>
      <c r="AC2762" s="148"/>
    </row>
    <row r="2763" spans="1:29" hidden="1">
      <c r="A2763" s="146"/>
      <c r="B2763" s="147"/>
      <c r="C2763" s="147"/>
      <c r="D2763" s="147"/>
      <c r="E2763" s="147"/>
      <c r="F2763" s="147"/>
      <c r="G2763" s="147"/>
      <c r="H2763" s="147"/>
      <c r="I2763" s="147"/>
      <c r="J2763" s="147"/>
      <c r="K2763" s="147"/>
      <c r="L2763" s="147"/>
      <c r="M2763" s="147"/>
      <c r="N2763" s="147"/>
      <c r="O2763" s="147"/>
      <c r="P2763" s="147"/>
      <c r="Q2763" s="147"/>
      <c r="R2763" s="148"/>
      <c r="S2763" s="148"/>
      <c r="T2763" s="148"/>
      <c r="U2763" s="148"/>
      <c r="V2763" s="148"/>
      <c r="W2763" s="148"/>
      <c r="X2763" s="148"/>
      <c r="Y2763" s="148"/>
      <c r="Z2763" s="148"/>
      <c r="AA2763" s="148"/>
      <c r="AB2763" s="148"/>
      <c r="AC2763" s="148"/>
    </row>
    <row r="2764" spans="1:29" hidden="1">
      <c r="A2764" s="146"/>
      <c r="B2764" s="147"/>
      <c r="C2764" s="147"/>
      <c r="D2764" s="147"/>
      <c r="E2764" s="147"/>
      <c r="F2764" s="147"/>
      <c r="G2764" s="147"/>
      <c r="H2764" s="147"/>
      <c r="I2764" s="147"/>
      <c r="J2764" s="147"/>
      <c r="K2764" s="147"/>
      <c r="L2764" s="147"/>
      <c r="M2764" s="147"/>
      <c r="N2764" s="147"/>
      <c r="O2764" s="147"/>
      <c r="P2764" s="147"/>
      <c r="Q2764" s="147"/>
      <c r="R2764" s="148"/>
      <c r="S2764" s="148"/>
      <c r="T2764" s="148"/>
      <c r="U2764" s="148"/>
      <c r="V2764" s="148"/>
      <c r="W2764" s="148"/>
      <c r="X2764" s="148"/>
      <c r="Y2764" s="148"/>
      <c r="Z2764" s="148"/>
      <c r="AA2764" s="148"/>
      <c r="AB2764" s="148"/>
      <c r="AC2764" s="148"/>
    </row>
    <row r="2765" spans="1:29" hidden="1">
      <c r="A2765" s="146"/>
      <c r="B2765" s="147"/>
      <c r="C2765" s="147"/>
      <c r="D2765" s="147"/>
      <c r="E2765" s="147"/>
      <c r="F2765" s="147"/>
      <c r="G2765" s="147"/>
      <c r="H2765" s="147"/>
      <c r="I2765" s="147"/>
      <c r="J2765" s="147"/>
      <c r="K2765" s="147"/>
      <c r="L2765" s="147"/>
      <c r="M2765" s="147"/>
      <c r="N2765" s="147"/>
      <c r="O2765" s="147"/>
      <c r="P2765" s="147"/>
      <c r="Q2765" s="147"/>
      <c r="R2765" s="148"/>
      <c r="S2765" s="148"/>
      <c r="T2765" s="148"/>
      <c r="U2765" s="148"/>
      <c r="V2765" s="148"/>
      <c r="W2765" s="148"/>
      <c r="X2765" s="148"/>
      <c r="Y2765" s="148"/>
      <c r="Z2765" s="148"/>
      <c r="AA2765" s="148"/>
      <c r="AB2765" s="148"/>
      <c r="AC2765" s="148"/>
    </row>
    <row r="2766" spans="1:29" hidden="1">
      <c r="A2766" s="146"/>
      <c r="B2766" s="147"/>
      <c r="C2766" s="147"/>
      <c r="D2766" s="147"/>
      <c r="E2766" s="147"/>
      <c r="F2766" s="147"/>
      <c r="G2766" s="147"/>
      <c r="H2766" s="147"/>
      <c r="I2766" s="147"/>
      <c r="J2766" s="147"/>
      <c r="K2766" s="147"/>
      <c r="L2766" s="147"/>
      <c r="M2766" s="147"/>
      <c r="N2766" s="147"/>
      <c r="O2766" s="147"/>
      <c r="P2766" s="147"/>
      <c r="Q2766" s="147"/>
      <c r="R2766" s="148"/>
      <c r="S2766" s="148"/>
      <c r="T2766" s="148"/>
      <c r="U2766" s="148"/>
      <c r="V2766" s="148"/>
      <c r="W2766" s="148"/>
      <c r="X2766" s="148"/>
      <c r="Y2766" s="148"/>
      <c r="Z2766" s="148"/>
      <c r="AA2766" s="148"/>
      <c r="AB2766" s="148"/>
      <c r="AC2766" s="148"/>
    </row>
    <row r="2767" spans="1:29" hidden="1">
      <c r="A2767" s="146"/>
      <c r="B2767" s="147"/>
      <c r="C2767" s="147"/>
      <c r="D2767" s="147"/>
      <c r="E2767" s="147"/>
      <c r="F2767" s="147"/>
      <c r="G2767" s="147"/>
      <c r="H2767" s="147"/>
      <c r="I2767" s="147"/>
      <c r="J2767" s="147"/>
      <c r="K2767" s="147"/>
      <c r="L2767" s="147"/>
      <c r="M2767" s="147"/>
      <c r="N2767" s="147"/>
      <c r="O2767" s="147"/>
      <c r="P2767" s="147"/>
      <c r="Q2767" s="147"/>
      <c r="R2767" s="148"/>
      <c r="S2767" s="148"/>
      <c r="T2767" s="148"/>
      <c r="U2767" s="148"/>
      <c r="V2767" s="148"/>
      <c r="W2767" s="148"/>
      <c r="X2767" s="148"/>
      <c r="Y2767" s="148"/>
      <c r="Z2767" s="148"/>
      <c r="AA2767" s="148"/>
      <c r="AB2767" s="148"/>
      <c r="AC2767" s="148"/>
    </row>
    <row r="2768" spans="1:29" hidden="1">
      <c r="A2768" s="146"/>
      <c r="B2768" s="147"/>
      <c r="C2768" s="147"/>
      <c r="D2768" s="147"/>
      <c r="E2768" s="147"/>
      <c r="F2768" s="147"/>
      <c r="G2768" s="147"/>
      <c r="H2768" s="147"/>
      <c r="I2768" s="147"/>
      <c r="J2768" s="147"/>
      <c r="K2768" s="147"/>
      <c r="L2768" s="147"/>
      <c r="M2768" s="147"/>
      <c r="N2768" s="147"/>
      <c r="O2768" s="147"/>
      <c r="P2768" s="147"/>
      <c r="Q2768" s="147"/>
      <c r="R2768" s="148"/>
      <c r="S2768" s="148"/>
      <c r="T2768" s="148"/>
      <c r="U2768" s="148"/>
      <c r="V2768" s="148"/>
      <c r="W2768" s="148"/>
      <c r="X2768" s="148"/>
      <c r="Y2768" s="148"/>
      <c r="Z2768" s="148"/>
      <c r="AA2768" s="148"/>
      <c r="AB2768" s="148"/>
      <c r="AC2768" s="148"/>
    </row>
    <row r="2769" spans="1:29" hidden="1">
      <c r="A2769" s="146"/>
      <c r="B2769" s="147"/>
      <c r="C2769" s="147"/>
      <c r="D2769" s="147"/>
      <c r="E2769" s="147"/>
      <c r="F2769" s="147"/>
      <c r="G2769" s="147"/>
      <c r="H2769" s="147"/>
      <c r="I2769" s="147"/>
      <c r="J2769" s="147"/>
      <c r="K2769" s="147"/>
      <c r="L2769" s="147"/>
      <c r="M2769" s="147"/>
      <c r="N2769" s="147"/>
      <c r="O2769" s="147"/>
      <c r="P2769" s="147"/>
      <c r="Q2769" s="147"/>
      <c r="R2769" s="148"/>
      <c r="S2769" s="148"/>
      <c r="T2769" s="148"/>
      <c r="U2769" s="148"/>
      <c r="V2769" s="148"/>
      <c r="W2769" s="148"/>
      <c r="X2769" s="148"/>
      <c r="Y2769" s="148"/>
      <c r="Z2769" s="148"/>
      <c r="AA2769" s="148"/>
      <c r="AB2769" s="148"/>
      <c r="AC2769" s="148"/>
    </row>
    <row r="2770" spans="1:29" hidden="1">
      <c r="A2770" s="146"/>
      <c r="B2770" s="147"/>
      <c r="C2770" s="147"/>
      <c r="D2770" s="147"/>
      <c r="E2770" s="147"/>
      <c r="F2770" s="147"/>
      <c r="G2770" s="147"/>
      <c r="H2770" s="147"/>
      <c r="I2770" s="147"/>
      <c r="J2770" s="147"/>
      <c r="K2770" s="147"/>
      <c r="L2770" s="147"/>
      <c r="M2770" s="147"/>
      <c r="N2770" s="147"/>
      <c r="O2770" s="147"/>
      <c r="P2770" s="147"/>
      <c r="Q2770" s="147"/>
      <c r="R2770" s="148"/>
      <c r="S2770" s="148"/>
      <c r="T2770" s="148"/>
      <c r="U2770" s="148"/>
      <c r="V2770" s="148"/>
      <c r="W2770" s="148"/>
      <c r="X2770" s="148"/>
      <c r="Y2770" s="148"/>
      <c r="Z2770" s="148"/>
      <c r="AA2770" s="148"/>
      <c r="AB2770" s="148"/>
      <c r="AC2770" s="148"/>
    </row>
    <row r="2771" spans="1:29" hidden="1">
      <c r="A2771" s="146"/>
      <c r="B2771" s="147"/>
      <c r="C2771" s="147"/>
      <c r="D2771" s="147"/>
      <c r="E2771" s="147"/>
      <c r="F2771" s="147"/>
      <c r="G2771" s="147"/>
      <c r="H2771" s="147"/>
      <c r="I2771" s="147"/>
      <c r="J2771" s="147"/>
      <c r="K2771" s="147"/>
      <c r="L2771" s="147"/>
      <c r="M2771" s="147"/>
      <c r="N2771" s="147"/>
      <c r="O2771" s="147"/>
      <c r="P2771" s="147"/>
      <c r="Q2771" s="147"/>
      <c r="R2771" s="148"/>
      <c r="S2771" s="148"/>
      <c r="T2771" s="148"/>
      <c r="U2771" s="148"/>
      <c r="V2771" s="148"/>
      <c r="W2771" s="148"/>
      <c r="X2771" s="148"/>
      <c r="Y2771" s="148"/>
      <c r="Z2771" s="148"/>
      <c r="AA2771" s="148"/>
      <c r="AB2771" s="148"/>
      <c r="AC2771" s="148"/>
    </row>
    <row r="2772" spans="1:29" hidden="1">
      <c r="A2772" s="146"/>
      <c r="B2772" s="147"/>
      <c r="C2772" s="147"/>
      <c r="D2772" s="147"/>
      <c r="E2772" s="147"/>
      <c r="F2772" s="147"/>
      <c r="G2772" s="147"/>
      <c r="H2772" s="147"/>
      <c r="I2772" s="147"/>
      <c r="J2772" s="147"/>
      <c r="K2772" s="147"/>
      <c r="L2772" s="147"/>
      <c r="M2772" s="147"/>
      <c r="N2772" s="147"/>
      <c r="O2772" s="147"/>
      <c r="P2772" s="147"/>
      <c r="Q2772" s="147"/>
      <c r="R2772" s="148"/>
      <c r="S2772" s="148"/>
      <c r="T2772" s="148"/>
      <c r="U2772" s="148"/>
      <c r="V2772" s="148"/>
      <c r="W2772" s="148"/>
      <c r="X2772" s="148"/>
      <c r="Y2772" s="148"/>
      <c r="Z2772" s="148"/>
      <c r="AA2772" s="148"/>
      <c r="AB2772" s="148"/>
      <c r="AC2772" s="148"/>
    </row>
    <row r="2773" spans="1:29" hidden="1">
      <c r="A2773" s="146"/>
      <c r="B2773" s="147"/>
      <c r="C2773" s="147"/>
      <c r="D2773" s="147"/>
      <c r="E2773" s="147"/>
      <c r="F2773" s="147"/>
      <c r="G2773" s="147"/>
      <c r="H2773" s="147"/>
      <c r="I2773" s="147"/>
      <c r="J2773" s="147"/>
      <c r="K2773" s="147"/>
      <c r="L2773" s="147"/>
      <c r="M2773" s="147"/>
      <c r="N2773" s="147"/>
      <c r="O2773" s="147"/>
      <c r="P2773" s="147"/>
      <c r="Q2773" s="147"/>
      <c r="R2773" s="148"/>
      <c r="S2773" s="148"/>
      <c r="T2773" s="148"/>
      <c r="U2773" s="148"/>
      <c r="V2773" s="148"/>
      <c r="W2773" s="148"/>
      <c r="X2773" s="148"/>
      <c r="Y2773" s="148"/>
      <c r="Z2773" s="148"/>
      <c r="AA2773" s="148"/>
      <c r="AB2773" s="148"/>
      <c r="AC2773" s="148"/>
    </row>
    <row r="2774" spans="1:29" hidden="1">
      <c r="A2774" s="146"/>
      <c r="B2774" s="147"/>
      <c r="C2774" s="147"/>
      <c r="D2774" s="147"/>
      <c r="E2774" s="147"/>
      <c r="F2774" s="147"/>
      <c r="G2774" s="147"/>
      <c r="H2774" s="147"/>
      <c r="I2774" s="147"/>
      <c r="J2774" s="147"/>
      <c r="K2774" s="147"/>
      <c r="L2774" s="147"/>
      <c r="M2774" s="147"/>
      <c r="N2774" s="147"/>
      <c r="O2774" s="147"/>
      <c r="P2774" s="147"/>
      <c r="Q2774" s="147"/>
      <c r="R2774" s="148"/>
      <c r="S2774" s="148"/>
      <c r="T2774" s="148"/>
      <c r="U2774" s="148"/>
      <c r="V2774" s="148"/>
      <c r="W2774" s="148"/>
      <c r="X2774" s="148"/>
      <c r="Y2774" s="148"/>
      <c r="Z2774" s="148"/>
      <c r="AA2774" s="148"/>
      <c r="AB2774" s="148"/>
      <c r="AC2774" s="148"/>
    </row>
    <row r="2775" spans="1:29" hidden="1">
      <c r="A2775" s="146"/>
      <c r="B2775" s="147"/>
      <c r="C2775" s="147"/>
      <c r="D2775" s="147"/>
      <c r="E2775" s="147"/>
      <c r="F2775" s="147"/>
      <c r="G2775" s="147"/>
      <c r="H2775" s="147"/>
      <c r="I2775" s="147"/>
      <c r="J2775" s="147"/>
      <c r="K2775" s="147"/>
      <c r="L2775" s="147"/>
      <c r="M2775" s="147"/>
      <c r="N2775" s="147"/>
      <c r="O2775" s="147"/>
      <c r="P2775" s="147"/>
      <c r="Q2775" s="147"/>
      <c r="R2775" s="148"/>
      <c r="S2775" s="148"/>
      <c r="T2775" s="148"/>
      <c r="U2775" s="148"/>
      <c r="V2775" s="148"/>
      <c r="W2775" s="148"/>
      <c r="X2775" s="148"/>
      <c r="Y2775" s="148"/>
      <c r="Z2775" s="148"/>
      <c r="AA2775" s="148"/>
      <c r="AB2775" s="148"/>
      <c r="AC2775" s="148"/>
    </row>
    <row r="2776" spans="1:29" hidden="1">
      <c r="A2776" s="146"/>
      <c r="B2776" s="147"/>
      <c r="C2776" s="147"/>
      <c r="D2776" s="147"/>
      <c r="E2776" s="147"/>
      <c r="F2776" s="147"/>
      <c r="G2776" s="147"/>
      <c r="H2776" s="147"/>
      <c r="I2776" s="147"/>
      <c r="J2776" s="147"/>
      <c r="K2776" s="147"/>
      <c r="L2776" s="147"/>
      <c r="M2776" s="147"/>
      <c r="N2776" s="147"/>
      <c r="O2776" s="147"/>
      <c r="P2776" s="147"/>
      <c r="Q2776" s="147"/>
      <c r="R2776" s="148"/>
      <c r="S2776" s="148"/>
      <c r="T2776" s="148"/>
      <c r="U2776" s="148"/>
      <c r="V2776" s="148"/>
      <c r="W2776" s="148"/>
      <c r="X2776" s="148"/>
      <c r="Y2776" s="148"/>
      <c r="Z2776" s="148"/>
      <c r="AA2776" s="148"/>
      <c r="AB2776" s="148"/>
      <c r="AC2776" s="148"/>
    </row>
    <row r="2777" spans="1:29" hidden="1">
      <c r="A2777" s="146"/>
      <c r="B2777" s="147"/>
      <c r="C2777" s="147"/>
      <c r="D2777" s="147"/>
      <c r="E2777" s="147"/>
      <c r="F2777" s="147"/>
      <c r="G2777" s="147"/>
      <c r="H2777" s="147"/>
      <c r="I2777" s="147"/>
      <c r="J2777" s="147"/>
      <c r="K2777" s="147"/>
      <c r="L2777" s="147"/>
      <c r="M2777" s="147"/>
      <c r="N2777" s="147"/>
      <c r="O2777" s="147"/>
      <c r="P2777" s="147"/>
      <c r="Q2777" s="147"/>
      <c r="R2777" s="148"/>
      <c r="S2777" s="148"/>
      <c r="T2777" s="148"/>
      <c r="U2777" s="148"/>
      <c r="V2777" s="148"/>
      <c r="W2777" s="148"/>
      <c r="X2777" s="148"/>
      <c r="Y2777" s="148"/>
      <c r="Z2777" s="148"/>
      <c r="AA2777" s="148"/>
      <c r="AB2777" s="148"/>
      <c r="AC2777" s="148"/>
    </row>
    <row r="2778" spans="1:29" hidden="1">
      <c r="A2778" s="146"/>
      <c r="B2778" s="147"/>
      <c r="C2778" s="147"/>
      <c r="D2778" s="147"/>
      <c r="E2778" s="147"/>
      <c r="F2778" s="147"/>
      <c r="G2778" s="147"/>
      <c r="H2778" s="147"/>
      <c r="I2778" s="147"/>
      <c r="J2778" s="147"/>
      <c r="K2778" s="147"/>
      <c r="L2778" s="147"/>
      <c r="M2778" s="147"/>
      <c r="N2778" s="147"/>
      <c r="O2778" s="147"/>
      <c r="P2778" s="147"/>
      <c r="Q2778" s="147"/>
      <c r="R2778" s="148"/>
      <c r="S2778" s="148"/>
      <c r="T2778" s="148"/>
      <c r="U2778" s="148"/>
      <c r="V2778" s="148"/>
      <c r="W2778" s="148"/>
      <c r="X2778" s="148"/>
      <c r="Y2778" s="148"/>
      <c r="Z2778" s="148"/>
      <c r="AA2778" s="148"/>
      <c r="AB2778" s="148"/>
      <c r="AC2778" s="148"/>
    </row>
    <row r="2779" spans="1:29" hidden="1">
      <c r="A2779" s="146"/>
      <c r="B2779" s="147"/>
      <c r="C2779" s="147"/>
      <c r="D2779" s="147"/>
      <c r="E2779" s="147"/>
      <c r="F2779" s="147"/>
      <c r="G2779" s="147"/>
      <c r="H2779" s="147"/>
      <c r="I2779" s="147"/>
      <c r="J2779" s="147"/>
      <c r="K2779" s="147"/>
      <c r="L2779" s="147"/>
      <c r="M2779" s="147"/>
      <c r="N2779" s="147"/>
      <c r="O2779" s="147"/>
      <c r="P2779" s="147"/>
      <c r="Q2779" s="147"/>
      <c r="R2779" s="148"/>
      <c r="S2779" s="148"/>
      <c r="T2779" s="148"/>
      <c r="U2779" s="148"/>
      <c r="V2779" s="148"/>
      <c r="W2779" s="148"/>
      <c r="X2779" s="148"/>
      <c r="Y2779" s="148"/>
      <c r="Z2779" s="148"/>
      <c r="AA2779" s="148"/>
      <c r="AB2779" s="148"/>
      <c r="AC2779" s="148"/>
    </row>
    <row r="2780" spans="1:29" hidden="1">
      <c r="A2780" s="146"/>
      <c r="B2780" s="147"/>
      <c r="C2780" s="147"/>
      <c r="D2780" s="147"/>
      <c r="E2780" s="147"/>
      <c r="F2780" s="147"/>
      <c r="G2780" s="147"/>
      <c r="H2780" s="147"/>
      <c r="I2780" s="147"/>
      <c r="J2780" s="147"/>
      <c r="K2780" s="147"/>
      <c r="L2780" s="147"/>
      <c r="M2780" s="147"/>
      <c r="N2780" s="147"/>
      <c r="O2780" s="147"/>
      <c r="P2780" s="147"/>
      <c r="Q2780" s="147"/>
      <c r="R2780" s="148"/>
      <c r="S2780" s="148"/>
      <c r="T2780" s="148"/>
      <c r="U2780" s="148"/>
      <c r="V2780" s="148"/>
      <c r="W2780" s="148"/>
      <c r="X2780" s="148"/>
      <c r="Y2780" s="148"/>
      <c r="Z2780" s="148"/>
      <c r="AA2780" s="148"/>
      <c r="AB2780" s="148"/>
      <c r="AC2780" s="148"/>
    </row>
    <row r="2781" spans="1:29" hidden="1">
      <c r="A2781" s="146"/>
      <c r="B2781" s="147"/>
      <c r="C2781" s="147"/>
      <c r="D2781" s="147"/>
      <c r="E2781" s="147"/>
      <c r="F2781" s="147"/>
      <c r="G2781" s="147"/>
      <c r="H2781" s="147"/>
      <c r="I2781" s="147"/>
      <c r="J2781" s="147"/>
      <c r="K2781" s="147"/>
      <c r="L2781" s="147"/>
      <c r="M2781" s="147"/>
      <c r="N2781" s="147"/>
      <c r="O2781" s="147"/>
      <c r="P2781" s="147"/>
      <c r="Q2781" s="147"/>
      <c r="R2781" s="148"/>
      <c r="S2781" s="148"/>
      <c r="T2781" s="148"/>
      <c r="U2781" s="148"/>
      <c r="V2781" s="148"/>
      <c r="W2781" s="148"/>
      <c r="X2781" s="148"/>
      <c r="Y2781" s="148"/>
      <c r="Z2781" s="148"/>
      <c r="AA2781" s="148"/>
      <c r="AB2781" s="148"/>
      <c r="AC2781" s="148"/>
    </row>
    <row r="2782" spans="1:29" hidden="1">
      <c r="A2782" s="146"/>
      <c r="B2782" s="147"/>
      <c r="C2782" s="147"/>
      <c r="D2782" s="147"/>
      <c r="E2782" s="147"/>
      <c r="F2782" s="147"/>
      <c r="G2782" s="147"/>
      <c r="H2782" s="147"/>
      <c r="I2782" s="147"/>
      <c r="J2782" s="147"/>
      <c r="K2782" s="147"/>
      <c r="L2782" s="147"/>
      <c r="M2782" s="147"/>
      <c r="N2782" s="147"/>
      <c r="O2782" s="147"/>
      <c r="P2782" s="147"/>
      <c r="Q2782" s="147"/>
      <c r="R2782" s="148"/>
      <c r="S2782" s="148"/>
      <c r="T2782" s="148"/>
      <c r="U2782" s="148"/>
      <c r="V2782" s="148"/>
      <c r="W2782" s="148"/>
      <c r="X2782" s="148"/>
      <c r="Y2782" s="148"/>
      <c r="Z2782" s="148"/>
      <c r="AA2782" s="148"/>
      <c r="AB2782" s="148"/>
      <c r="AC2782" s="148"/>
    </row>
    <row r="2783" spans="1:29" hidden="1">
      <c r="A2783" s="146"/>
      <c r="B2783" s="147"/>
      <c r="C2783" s="147"/>
      <c r="D2783" s="147"/>
      <c r="E2783" s="147"/>
      <c r="F2783" s="147"/>
      <c r="G2783" s="147"/>
      <c r="H2783" s="147"/>
      <c r="I2783" s="147"/>
      <c r="J2783" s="147"/>
      <c r="K2783" s="147"/>
      <c r="L2783" s="147"/>
      <c r="M2783" s="147"/>
      <c r="N2783" s="147"/>
      <c r="O2783" s="147"/>
      <c r="P2783" s="147"/>
      <c r="Q2783" s="147"/>
      <c r="R2783" s="148"/>
      <c r="S2783" s="148"/>
      <c r="T2783" s="148"/>
      <c r="U2783" s="148"/>
      <c r="V2783" s="148"/>
      <c r="W2783" s="148"/>
      <c r="X2783" s="148"/>
      <c r="Y2783" s="148"/>
      <c r="Z2783" s="148"/>
      <c r="AA2783" s="148"/>
      <c r="AB2783" s="148"/>
      <c r="AC2783" s="148"/>
    </row>
    <row r="2784" spans="1:29" hidden="1">
      <c r="A2784" s="146"/>
      <c r="B2784" s="147"/>
      <c r="C2784" s="147"/>
      <c r="D2784" s="147"/>
      <c r="E2784" s="147"/>
      <c r="F2784" s="147"/>
      <c r="G2784" s="147"/>
      <c r="H2784" s="147"/>
      <c r="I2784" s="147"/>
      <c r="J2784" s="147"/>
      <c r="K2784" s="147"/>
      <c r="L2784" s="147"/>
      <c r="M2784" s="147"/>
      <c r="N2784" s="147"/>
      <c r="O2784" s="147"/>
      <c r="P2784" s="147"/>
      <c r="Q2784" s="147"/>
      <c r="R2784" s="148"/>
      <c r="S2784" s="148"/>
      <c r="T2784" s="148"/>
      <c r="U2784" s="148"/>
      <c r="V2784" s="148"/>
      <c r="W2784" s="148"/>
      <c r="X2784" s="148"/>
      <c r="Y2784" s="148"/>
      <c r="Z2784" s="148"/>
      <c r="AA2784" s="148"/>
      <c r="AB2784" s="148"/>
      <c r="AC2784" s="148"/>
    </row>
    <row r="2785" spans="1:29" hidden="1">
      <c r="A2785" s="146"/>
      <c r="B2785" s="147"/>
      <c r="C2785" s="147"/>
      <c r="D2785" s="147"/>
      <c r="E2785" s="147"/>
      <c r="F2785" s="147"/>
      <c r="G2785" s="147"/>
      <c r="H2785" s="147"/>
      <c r="I2785" s="147"/>
      <c r="J2785" s="147"/>
      <c r="K2785" s="147"/>
      <c r="L2785" s="147"/>
      <c r="M2785" s="147"/>
      <c r="N2785" s="147"/>
      <c r="O2785" s="147"/>
      <c r="P2785" s="147"/>
      <c r="Q2785" s="147"/>
      <c r="R2785" s="148"/>
      <c r="S2785" s="148"/>
      <c r="T2785" s="148"/>
      <c r="U2785" s="148"/>
      <c r="V2785" s="148"/>
      <c r="W2785" s="148"/>
      <c r="X2785" s="148"/>
      <c r="Y2785" s="148"/>
      <c r="Z2785" s="148"/>
      <c r="AA2785" s="148"/>
      <c r="AB2785" s="148"/>
      <c r="AC2785" s="148"/>
    </row>
    <row r="2786" spans="1:29" hidden="1">
      <c r="A2786" s="146"/>
      <c r="B2786" s="147"/>
      <c r="C2786" s="147"/>
      <c r="D2786" s="147"/>
      <c r="E2786" s="147"/>
      <c r="F2786" s="147"/>
      <c r="G2786" s="147"/>
      <c r="H2786" s="147"/>
      <c r="I2786" s="147"/>
      <c r="J2786" s="147"/>
      <c r="K2786" s="147"/>
      <c r="L2786" s="147"/>
      <c r="M2786" s="147"/>
      <c r="N2786" s="147"/>
      <c r="O2786" s="147"/>
      <c r="P2786" s="147"/>
      <c r="Q2786" s="147"/>
      <c r="R2786" s="148"/>
      <c r="S2786" s="148"/>
      <c r="T2786" s="148"/>
      <c r="U2786" s="148"/>
      <c r="V2786" s="148"/>
      <c r="W2786" s="148"/>
      <c r="X2786" s="148"/>
      <c r="Y2786" s="148"/>
      <c r="Z2786" s="148"/>
      <c r="AA2786" s="148"/>
      <c r="AB2786" s="148"/>
      <c r="AC2786" s="148"/>
    </row>
    <row r="2787" spans="1:29" hidden="1">
      <c r="A2787" s="146"/>
      <c r="B2787" s="147"/>
      <c r="C2787" s="147"/>
      <c r="D2787" s="147"/>
      <c r="E2787" s="147"/>
      <c r="F2787" s="147"/>
      <c r="G2787" s="147"/>
      <c r="H2787" s="147"/>
      <c r="I2787" s="147"/>
      <c r="J2787" s="147"/>
      <c r="K2787" s="147"/>
      <c r="L2787" s="147"/>
      <c r="M2787" s="147"/>
      <c r="N2787" s="147"/>
      <c r="O2787" s="147"/>
      <c r="P2787" s="147"/>
      <c r="Q2787" s="147"/>
      <c r="R2787" s="148"/>
      <c r="S2787" s="148"/>
      <c r="T2787" s="148"/>
      <c r="U2787" s="148"/>
      <c r="V2787" s="148"/>
      <c r="W2787" s="148"/>
      <c r="X2787" s="148"/>
      <c r="Y2787" s="148"/>
      <c r="Z2787" s="148"/>
      <c r="AA2787" s="148"/>
      <c r="AB2787" s="148"/>
      <c r="AC2787" s="148"/>
    </row>
    <row r="2788" spans="1:29" hidden="1">
      <c r="A2788" s="146"/>
      <c r="B2788" s="147"/>
      <c r="C2788" s="147"/>
      <c r="D2788" s="147"/>
      <c r="E2788" s="147"/>
      <c r="F2788" s="147"/>
      <c r="G2788" s="147"/>
      <c r="H2788" s="147"/>
      <c r="I2788" s="147"/>
      <c r="J2788" s="147"/>
      <c r="K2788" s="147"/>
      <c r="L2788" s="147"/>
      <c r="M2788" s="147"/>
      <c r="N2788" s="147"/>
      <c r="O2788" s="147"/>
      <c r="P2788" s="147"/>
      <c r="Q2788" s="147"/>
      <c r="R2788" s="148"/>
      <c r="S2788" s="148"/>
      <c r="T2788" s="148"/>
      <c r="U2788" s="148"/>
      <c r="V2788" s="148"/>
      <c r="W2788" s="148"/>
      <c r="X2788" s="148"/>
      <c r="Y2788" s="148"/>
      <c r="Z2788" s="148"/>
      <c r="AA2788" s="148"/>
      <c r="AB2788" s="148"/>
      <c r="AC2788" s="148"/>
    </row>
    <row r="2789" spans="1:29" hidden="1">
      <c r="A2789" s="146"/>
      <c r="B2789" s="147"/>
      <c r="C2789" s="147"/>
      <c r="D2789" s="147"/>
      <c r="E2789" s="147"/>
      <c r="F2789" s="147"/>
      <c r="G2789" s="147"/>
      <c r="H2789" s="147"/>
      <c r="I2789" s="147"/>
      <c r="J2789" s="147"/>
      <c r="K2789" s="147"/>
      <c r="L2789" s="147"/>
      <c r="M2789" s="147"/>
      <c r="N2789" s="147"/>
      <c r="O2789" s="147"/>
      <c r="P2789" s="147"/>
      <c r="Q2789" s="147"/>
      <c r="R2789" s="148"/>
      <c r="S2789" s="148"/>
      <c r="T2789" s="148"/>
      <c r="U2789" s="148"/>
      <c r="V2789" s="148"/>
      <c r="W2789" s="148"/>
      <c r="X2789" s="148"/>
      <c r="Y2789" s="148"/>
      <c r="Z2789" s="148"/>
      <c r="AA2789" s="148"/>
      <c r="AB2789" s="148"/>
      <c r="AC2789" s="148"/>
    </row>
    <row r="2790" spans="1:29" hidden="1">
      <c r="A2790" s="146"/>
      <c r="B2790" s="147"/>
      <c r="C2790" s="147"/>
      <c r="D2790" s="147"/>
      <c r="E2790" s="147"/>
      <c r="F2790" s="147"/>
      <c r="G2790" s="147"/>
      <c r="H2790" s="147"/>
      <c r="I2790" s="147"/>
      <c r="J2790" s="147"/>
      <c r="K2790" s="147"/>
      <c r="L2790" s="147"/>
      <c r="M2790" s="147"/>
      <c r="N2790" s="147"/>
      <c r="O2790" s="147"/>
      <c r="P2790" s="147"/>
      <c r="Q2790" s="147"/>
      <c r="R2790" s="148"/>
      <c r="S2790" s="148"/>
      <c r="T2790" s="148"/>
      <c r="U2790" s="148"/>
      <c r="V2790" s="148"/>
      <c r="W2790" s="148"/>
      <c r="X2790" s="148"/>
      <c r="Y2790" s="148"/>
      <c r="Z2790" s="148"/>
      <c r="AA2790" s="148"/>
      <c r="AB2790" s="148"/>
      <c r="AC2790" s="148"/>
    </row>
    <row r="2791" spans="1:29" hidden="1">
      <c r="A2791" s="146"/>
      <c r="B2791" s="147"/>
      <c r="C2791" s="147"/>
      <c r="D2791" s="147"/>
      <c r="E2791" s="147"/>
      <c r="F2791" s="147"/>
      <c r="G2791" s="147"/>
      <c r="H2791" s="147"/>
      <c r="I2791" s="147"/>
      <c r="J2791" s="147"/>
      <c r="K2791" s="147"/>
      <c r="L2791" s="147"/>
      <c r="M2791" s="147"/>
      <c r="N2791" s="147"/>
      <c r="O2791" s="147"/>
      <c r="P2791" s="147"/>
      <c r="Q2791" s="147"/>
      <c r="R2791" s="148"/>
      <c r="S2791" s="148"/>
      <c r="T2791" s="148"/>
      <c r="U2791" s="148"/>
      <c r="V2791" s="148"/>
      <c r="W2791" s="148"/>
      <c r="X2791" s="148"/>
      <c r="Y2791" s="148"/>
      <c r="Z2791" s="148"/>
      <c r="AA2791" s="148"/>
      <c r="AB2791" s="148"/>
      <c r="AC2791" s="148"/>
    </row>
    <row r="2792" spans="1:29" hidden="1">
      <c r="A2792" s="146"/>
      <c r="B2792" s="147"/>
      <c r="C2792" s="147"/>
      <c r="D2792" s="147"/>
      <c r="E2792" s="147"/>
      <c r="F2792" s="147"/>
      <c r="G2792" s="147"/>
      <c r="H2792" s="147"/>
      <c r="I2792" s="147"/>
      <c r="J2792" s="147"/>
      <c r="K2792" s="147"/>
      <c r="L2792" s="147"/>
      <c r="M2792" s="147"/>
      <c r="N2792" s="147"/>
      <c r="O2792" s="147"/>
      <c r="P2792" s="147"/>
      <c r="Q2792" s="147"/>
      <c r="R2792" s="148"/>
      <c r="S2792" s="148"/>
      <c r="T2792" s="148"/>
      <c r="U2792" s="148"/>
      <c r="V2792" s="148"/>
      <c r="W2792" s="148"/>
      <c r="X2792" s="148"/>
      <c r="Y2792" s="148"/>
      <c r="Z2792" s="148"/>
      <c r="AA2792" s="148"/>
      <c r="AB2792" s="148"/>
      <c r="AC2792" s="148"/>
    </row>
    <row r="2793" spans="1:29" hidden="1">
      <c r="A2793" s="146"/>
      <c r="B2793" s="147"/>
      <c r="C2793" s="147"/>
      <c r="D2793" s="147"/>
      <c r="E2793" s="147"/>
      <c r="F2793" s="147"/>
      <c r="G2793" s="147"/>
      <c r="H2793" s="147"/>
      <c r="I2793" s="147"/>
      <c r="J2793" s="147"/>
      <c r="K2793" s="147"/>
      <c r="L2793" s="147"/>
      <c r="M2793" s="147"/>
      <c r="N2793" s="147"/>
      <c r="O2793" s="147"/>
      <c r="P2793" s="147"/>
      <c r="Q2793" s="147"/>
      <c r="R2793" s="148"/>
      <c r="S2793" s="148"/>
      <c r="T2793" s="148"/>
      <c r="U2793" s="148"/>
      <c r="V2793" s="148"/>
      <c r="W2793" s="148"/>
      <c r="X2793" s="148"/>
      <c r="Y2793" s="148"/>
      <c r="Z2793" s="148"/>
      <c r="AA2793" s="148"/>
      <c r="AB2793" s="148"/>
      <c r="AC2793" s="148"/>
    </row>
    <row r="2794" spans="1:29" hidden="1">
      <c r="A2794" s="146"/>
      <c r="B2794" s="147"/>
      <c r="C2794" s="147"/>
      <c r="D2794" s="147"/>
      <c r="E2794" s="147"/>
      <c r="F2794" s="147"/>
      <c r="G2794" s="147"/>
      <c r="H2794" s="147"/>
      <c r="I2794" s="147"/>
      <c r="J2794" s="147"/>
      <c r="K2794" s="147"/>
      <c r="L2794" s="147"/>
      <c r="M2794" s="147"/>
      <c r="N2794" s="147"/>
      <c r="O2794" s="147"/>
      <c r="P2794" s="147"/>
      <c r="Q2794" s="147"/>
      <c r="R2794" s="148"/>
      <c r="S2794" s="148"/>
      <c r="T2794" s="148"/>
      <c r="U2794" s="148"/>
      <c r="V2794" s="148"/>
      <c r="W2794" s="148"/>
      <c r="X2794" s="148"/>
      <c r="Y2794" s="148"/>
      <c r="Z2794" s="148"/>
      <c r="AA2794" s="148"/>
      <c r="AB2794" s="148"/>
      <c r="AC2794" s="148"/>
    </row>
  </sheetData>
  <autoFilter ref="B1:B2794" xr:uid="{00000000-0009-0000-0000-00000B000000}">
    <filterColumn colId="0">
      <filters>
        <filter val="Rina"/>
        <filter val="Yuni"/>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01"/>
  <sheetViews>
    <sheetView workbookViewId="0"/>
  </sheetViews>
  <sheetFormatPr defaultColWidth="12.5703125" defaultRowHeight="15.75" customHeight="1"/>
  <cols>
    <col min="1" max="1" width="10.28515625" customWidth="1"/>
    <col min="2" max="2" width="19.28515625" customWidth="1"/>
    <col min="4" max="4" width="13.5703125" customWidth="1"/>
    <col min="6" max="6" width="18.140625" customWidth="1"/>
    <col min="7" max="7" width="13.5703125" customWidth="1"/>
    <col min="8" max="8" width="15" customWidth="1"/>
    <col min="9" max="9" width="17.140625" customWidth="1"/>
  </cols>
  <sheetData>
    <row r="1" spans="1:27" ht="20.25" customHeight="1">
      <c r="A1" s="151" t="s">
        <v>12847</v>
      </c>
      <c r="B1" s="152" t="s">
        <v>12848</v>
      </c>
      <c r="C1" s="145" t="s">
        <v>12849</v>
      </c>
      <c r="D1" s="153">
        <f ca="1">SUM(B4:B1001)</f>
        <v>-15212422</v>
      </c>
      <c r="E1" s="152"/>
      <c r="F1" s="145" t="s">
        <v>12850</v>
      </c>
      <c r="G1" s="151">
        <f>SUM('Laporan CS'!AE2:AE1001)</f>
        <v>0</v>
      </c>
      <c r="H1" s="145"/>
      <c r="I1" s="145"/>
      <c r="J1" s="154"/>
      <c r="K1" s="154"/>
      <c r="L1" s="154"/>
      <c r="M1" s="154"/>
      <c r="N1" s="154"/>
      <c r="O1" s="154"/>
      <c r="P1" s="154"/>
      <c r="Q1" s="154"/>
      <c r="R1" s="154"/>
      <c r="S1" s="154"/>
      <c r="T1" s="154"/>
      <c r="U1" s="154"/>
      <c r="V1" s="154"/>
      <c r="W1" s="154"/>
      <c r="X1" s="154"/>
      <c r="Y1" s="154"/>
      <c r="Z1" s="154"/>
      <c r="AA1" s="154"/>
    </row>
    <row r="2" spans="1:27" ht="20.25" customHeight="1">
      <c r="A2" s="147" t="s">
        <v>12851</v>
      </c>
      <c r="B2" s="147">
        <v>2025</v>
      </c>
      <c r="C2" s="151"/>
      <c r="F2" s="145" t="s">
        <v>12852</v>
      </c>
      <c r="G2" s="151">
        <f>SUM('Laporan CS'!AF2:AF1001)</f>
        <v>0</v>
      </c>
      <c r="H2" s="145"/>
      <c r="I2" s="145"/>
      <c r="J2" s="154"/>
      <c r="K2" s="154"/>
      <c r="L2" s="154"/>
      <c r="M2" s="154"/>
      <c r="N2" s="154"/>
      <c r="O2" s="154"/>
      <c r="P2" s="154"/>
      <c r="Q2" s="154"/>
      <c r="R2" s="154"/>
      <c r="S2" s="154"/>
      <c r="T2" s="154"/>
      <c r="U2" s="154"/>
      <c r="V2" s="154"/>
      <c r="W2" s="154"/>
      <c r="X2" s="154"/>
      <c r="Y2" s="154"/>
      <c r="Z2" s="154"/>
      <c r="AA2" s="154"/>
    </row>
    <row r="3" spans="1:27">
      <c r="A3" s="148" t="str">
        <f ca="1">IFERROR(__xludf.DUMMYFUNCTION("QUERY(
  'Laporan CS'!A:AD,
  ""SELECT B, SUM(AA) 
   WHERE B IS NOT NULL 
     AND B &lt;&gt; 'Dummy' 
     AND AD = '"" &amp; TEXT(DATEVALUE(B2 &amp; ""-"" &amp; B1), ""yyyy-MM"") &amp; ""'
   GROUP BY B 
   LABEL SUM(AA) 'Total Profit'"",
  1
)
"),"CS")</f>
        <v>CS</v>
      </c>
      <c r="B3" s="155" t="str">
        <f ca="1">IFERROR(__xludf.DUMMYFUNCTION("""COMPUTED_VALUE"""),"Total Profit")</f>
        <v>Total Profit</v>
      </c>
      <c r="C3" s="154"/>
      <c r="D3" s="145"/>
      <c r="E3" s="154"/>
      <c r="F3" s="145" t="s">
        <v>12853</v>
      </c>
      <c r="G3" s="156" t="e">
        <f>G2/G1</f>
        <v>#DIV/0!</v>
      </c>
      <c r="H3" s="157"/>
      <c r="I3" s="157"/>
      <c r="J3" s="154"/>
      <c r="K3" s="154"/>
      <c r="L3" s="154"/>
      <c r="M3" s="154"/>
      <c r="N3" s="154"/>
      <c r="O3" s="154"/>
      <c r="P3" s="154"/>
      <c r="Q3" s="154"/>
      <c r="R3" s="154"/>
      <c r="S3" s="154"/>
      <c r="T3" s="154"/>
      <c r="U3" s="154"/>
      <c r="V3" s="154"/>
      <c r="W3" s="154"/>
      <c r="X3" s="154"/>
      <c r="Y3" s="154"/>
      <c r="Z3" s="154"/>
      <c r="AA3" s="154"/>
    </row>
    <row r="4" spans="1:27" ht="15">
      <c r="A4" s="154" t="str">
        <f ca="1">IFERROR(__xludf.DUMMYFUNCTION("""COMPUTED_VALUE"""),"Devi")</f>
        <v>Devi</v>
      </c>
      <c r="B4" s="158">
        <f ca="1">IFERROR(__xludf.DUMMYFUNCTION("""COMPUTED_VALUE"""),-3145008)</f>
        <v>-3145008</v>
      </c>
      <c r="C4" s="154"/>
      <c r="D4" s="154"/>
      <c r="E4" s="154"/>
      <c r="F4" s="145"/>
      <c r="G4" s="159"/>
      <c r="H4" s="157"/>
      <c r="I4" s="157"/>
      <c r="J4" s="154"/>
      <c r="K4" s="154"/>
      <c r="L4" s="154"/>
      <c r="M4" s="154"/>
      <c r="N4" s="154"/>
      <c r="O4" s="154"/>
      <c r="P4" s="154"/>
      <c r="Q4" s="154"/>
      <c r="R4" s="154"/>
      <c r="S4" s="154"/>
      <c r="T4" s="154"/>
      <c r="U4" s="154"/>
      <c r="V4" s="154"/>
      <c r="W4" s="154"/>
      <c r="X4" s="154"/>
      <c r="Y4" s="154"/>
      <c r="Z4" s="154"/>
      <c r="AA4" s="154"/>
    </row>
    <row r="5" spans="1:27" ht="15">
      <c r="A5" s="154" t="str">
        <f ca="1">IFERROR(__xludf.DUMMYFUNCTION("""COMPUTED_VALUE"""),"Isna")</f>
        <v>Isna</v>
      </c>
      <c r="B5" s="158">
        <f ca="1">IFERROR(__xludf.DUMMYFUNCTION("""COMPUTED_VALUE"""),-4871449)</f>
        <v>-4871449</v>
      </c>
      <c r="C5" s="154"/>
      <c r="D5" s="154"/>
      <c r="E5" s="154"/>
      <c r="F5" s="145"/>
      <c r="G5" s="159"/>
      <c r="H5" s="157"/>
      <c r="I5" s="157"/>
      <c r="J5" s="154"/>
      <c r="K5" s="154"/>
      <c r="L5" s="154"/>
      <c r="M5" s="154"/>
      <c r="N5" s="154"/>
      <c r="O5" s="154"/>
      <c r="P5" s="154"/>
      <c r="Q5" s="154"/>
      <c r="R5" s="154"/>
      <c r="S5" s="154"/>
      <c r="T5" s="154"/>
      <c r="U5" s="154"/>
      <c r="V5" s="154"/>
      <c r="W5" s="154"/>
      <c r="X5" s="154"/>
      <c r="Y5" s="154"/>
      <c r="Z5" s="154"/>
      <c r="AA5" s="154"/>
    </row>
    <row r="6" spans="1:27" ht="15">
      <c r="A6" s="154" t="str">
        <f ca="1">IFERROR(__xludf.DUMMYFUNCTION("""COMPUTED_VALUE"""),"Maya")</f>
        <v>Maya</v>
      </c>
      <c r="B6" s="158">
        <f ca="1">IFERROR(__xludf.DUMMYFUNCTION("""COMPUTED_VALUE"""),-578300)</f>
        <v>-578300</v>
      </c>
      <c r="C6" s="154"/>
      <c r="D6" s="154"/>
      <c r="E6" s="154"/>
      <c r="F6" s="145"/>
      <c r="G6" s="159"/>
      <c r="H6" s="157"/>
      <c r="I6" s="157"/>
      <c r="J6" s="154"/>
      <c r="K6" s="154"/>
      <c r="L6" s="154"/>
      <c r="M6" s="154"/>
      <c r="N6" s="154"/>
      <c r="O6" s="154"/>
      <c r="P6" s="154"/>
      <c r="Q6" s="154"/>
      <c r="R6" s="154"/>
      <c r="S6" s="154"/>
      <c r="T6" s="154"/>
      <c r="U6" s="154"/>
      <c r="V6" s="154"/>
      <c r="W6" s="154"/>
      <c r="X6" s="154"/>
      <c r="Y6" s="154"/>
      <c r="Z6" s="154"/>
      <c r="AA6" s="154"/>
    </row>
    <row r="7" spans="1:27" ht="15">
      <c r="A7" s="154" t="str">
        <f ca="1">IFERROR(__xludf.DUMMYFUNCTION("""COMPUTED_VALUE"""),"Puji")</f>
        <v>Puji</v>
      </c>
      <c r="B7" s="158">
        <f ca="1">IFERROR(__xludf.DUMMYFUNCTION("""COMPUTED_VALUE"""),-159068)</f>
        <v>-159068</v>
      </c>
      <c r="C7" s="154"/>
      <c r="D7" s="154"/>
      <c r="E7" s="154"/>
      <c r="F7" s="145"/>
      <c r="G7" s="160"/>
      <c r="H7" s="157"/>
      <c r="I7" s="157"/>
      <c r="J7" s="154"/>
      <c r="K7" s="154"/>
      <c r="L7" s="154"/>
      <c r="M7" s="154"/>
      <c r="N7" s="154"/>
      <c r="O7" s="154"/>
      <c r="P7" s="154"/>
      <c r="Q7" s="154"/>
      <c r="R7" s="154"/>
      <c r="S7" s="154"/>
      <c r="T7" s="154"/>
      <c r="U7" s="154"/>
      <c r="V7" s="154"/>
      <c r="W7" s="154"/>
      <c r="X7" s="154"/>
      <c r="Y7" s="154"/>
      <c r="Z7" s="154"/>
      <c r="AA7" s="154"/>
    </row>
    <row r="8" spans="1:27" ht="15">
      <c r="A8" s="154" t="str">
        <f ca="1">IFERROR(__xludf.DUMMYFUNCTION("""COMPUTED_VALUE"""),"Rokhma")</f>
        <v>Rokhma</v>
      </c>
      <c r="B8" s="158">
        <f ca="1">IFERROR(__xludf.DUMMYFUNCTION("""COMPUTED_VALUE"""),-905679)</f>
        <v>-905679</v>
      </c>
      <c r="C8" s="154"/>
      <c r="D8" s="154"/>
      <c r="E8" s="154"/>
      <c r="F8" s="145"/>
      <c r="G8" s="160"/>
      <c r="H8" s="157"/>
      <c r="I8" s="157"/>
      <c r="J8" s="154"/>
      <c r="K8" s="154"/>
      <c r="L8" s="154"/>
      <c r="M8" s="154"/>
      <c r="N8" s="154"/>
      <c r="O8" s="154"/>
      <c r="P8" s="154"/>
      <c r="Q8" s="154"/>
      <c r="R8" s="154"/>
      <c r="S8" s="154"/>
      <c r="T8" s="154"/>
      <c r="U8" s="154"/>
      <c r="V8" s="154"/>
      <c r="W8" s="154"/>
      <c r="X8" s="154"/>
      <c r="Y8" s="154"/>
      <c r="Z8" s="154"/>
      <c r="AA8" s="154"/>
    </row>
    <row r="9" spans="1:27" ht="15">
      <c r="A9" s="154" t="str">
        <f ca="1">IFERROR(__xludf.DUMMYFUNCTION("""COMPUTED_VALUE"""),"Yuni")</f>
        <v>Yuni</v>
      </c>
      <c r="B9" s="158">
        <f ca="1">IFERROR(__xludf.DUMMYFUNCTION("""COMPUTED_VALUE"""),-5552918)</f>
        <v>-5552918</v>
      </c>
      <c r="C9" s="154"/>
      <c r="D9" s="154"/>
      <c r="E9" s="154"/>
      <c r="F9" s="145"/>
      <c r="G9" s="160"/>
      <c r="H9" s="157"/>
      <c r="I9" s="157"/>
      <c r="J9" s="154"/>
      <c r="K9" s="154"/>
      <c r="L9" s="154"/>
      <c r="M9" s="154"/>
      <c r="N9" s="154"/>
      <c r="O9" s="154"/>
      <c r="P9" s="154"/>
      <c r="Q9" s="154"/>
      <c r="R9" s="154"/>
      <c r="S9" s="154"/>
      <c r="T9" s="154"/>
      <c r="U9" s="154"/>
      <c r="V9" s="154"/>
      <c r="W9" s="154"/>
      <c r="X9" s="154"/>
      <c r="Y9" s="154"/>
      <c r="Z9" s="154"/>
      <c r="AA9" s="154"/>
    </row>
    <row r="10" spans="1:27" ht="15">
      <c r="A10" s="154"/>
      <c r="B10" s="158"/>
      <c r="C10" s="154"/>
      <c r="D10" s="154"/>
      <c r="E10" s="154"/>
      <c r="F10" s="145"/>
      <c r="G10" s="160"/>
      <c r="H10" s="157"/>
      <c r="I10" s="157"/>
      <c r="J10" s="154"/>
      <c r="K10" s="154"/>
      <c r="L10" s="154"/>
      <c r="M10" s="154"/>
      <c r="N10" s="154"/>
      <c r="O10" s="154"/>
      <c r="P10" s="154"/>
      <c r="Q10" s="154"/>
      <c r="R10" s="154"/>
      <c r="S10" s="154"/>
      <c r="T10" s="154"/>
      <c r="U10" s="154"/>
      <c r="V10" s="154"/>
      <c r="W10" s="154"/>
      <c r="X10" s="154"/>
      <c r="Y10" s="154"/>
      <c r="Z10" s="154"/>
      <c r="AA10" s="154"/>
    </row>
    <row r="11" spans="1:27" ht="15">
      <c r="A11" s="154"/>
      <c r="B11" s="158"/>
      <c r="C11" s="154"/>
      <c r="D11" s="154"/>
      <c r="E11" s="154"/>
      <c r="F11" s="145"/>
      <c r="G11" s="160"/>
      <c r="H11" s="157"/>
      <c r="I11" s="157"/>
      <c r="J11" s="154"/>
      <c r="K11" s="154"/>
      <c r="L11" s="154"/>
      <c r="M11" s="154"/>
      <c r="N11" s="154"/>
      <c r="O11" s="154"/>
      <c r="P11" s="154"/>
      <c r="Q11" s="154"/>
      <c r="R11" s="154"/>
      <c r="S11" s="154"/>
      <c r="T11" s="154"/>
      <c r="U11" s="154"/>
      <c r="V11" s="154"/>
      <c r="W11" s="154"/>
      <c r="X11" s="154"/>
      <c r="Y11" s="154"/>
      <c r="Z11" s="154"/>
      <c r="AA11" s="154"/>
    </row>
    <row r="12" spans="1:27" ht="15">
      <c r="A12" s="154"/>
      <c r="B12" s="158"/>
      <c r="C12" s="154"/>
      <c r="D12" s="154"/>
      <c r="E12" s="154"/>
      <c r="F12" s="145"/>
      <c r="G12" s="160"/>
      <c r="H12" s="157"/>
      <c r="I12" s="157"/>
      <c r="J12" s="154"/>
      <c r="K12" s="154"/>
      <c r="L12" s="154"/>
      <c r="M12" s="154"/>
      <c r="N12" s="154"/>
      <c r="O12" s="154"/>
      <c r="P12" s="154"/>
      <c r="Q12" s="154"/>
      <c r="R12" s="154"/>
      <c r="S12" s="154"/>
      <c r="T12" s="154"/>
      <c r="U12" s="154"/>
      <c r="V12" s="154"/>
      <c r="W12" s="154"/>
      <c r="X12" s="154"/>
      <c r="Y12" s="154"/>
      <c r="Z12" s="154"/>
      <c r="AA12" s="154"/>
    </row>
    <row r="13" spans="1:27" ht="15">
      <c r="A13" s="154"/>
      <c r="B13" s="158"/>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row>
    <row r="14" spans="1:27" ht="15">
      <c r="A14" s="154"/>
      <c r="B14" s="158"/>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c r="AA14" s="154"/>
    </row>
    <row r="15" spans="1:27" ht="15">
      <c r="A15" s="154"/>
      <c r="B15" s="158"/>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row>
    <row r="16" spans="1:27" ht="15">
      <c r="A16" s="154"/>
      <c r="B16" s="158"/>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154"/>
    </row>
    <row r="17" spans="1:27" ht="15">
      <c r="A17" s="154"/>
      <c r="B17" s="158"/>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154"/>
    </row>
    <row r="18" spans="1:27" ht="15">
      <c r="A18" s="154"/>
      <c r="B18" s="158"/>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row>
    <row r="19" spans="1:27" ht="15">
      <c r="A19" s="154"/>
      <c r="B19" s="158"/>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row>
    <row r="20" spans="1:27" ht="15">
      <c r="A20" s="154"/>
      <c r="B20" s="158"/>
      <c r="C20" s="154"/>
      <c r="D20" s="154"/>
      <c r="E20" s="154"/>
      <c r="F20" s="154"/>
      <c r="G20" s="154"/>
      <c r="H20" s="154"/>
      <c r="I20" s="154"/>
      <c r="J20" s="154"/>
      <c r="K20" s="154"/>
      <c r="L20" s="154"/>
      <c r="M20" s="154"/>
      <c r="N20" s="154"/>
      <c r="O20" s="154"/>
      <c r="P20" s="154"/>
      <c r="Q20" s="154"/>
      <c r="R20" s="154"/>
      <c r="S20" s="154"/>
      <c r="T20" s="154"/>
      <c r="U20" s="154"/>
      <c r="V20" s="154"/>
      <c r="W20" s="154"/>
      <c r="X20" s="154"/>
      <c r="Y20" s="154"/>
      <c r="Z20" s="154"/>
      <c r="AA20" s="154"/>
    </row>
    <row r="21" spans="1:27" ht="15">
      <c r="A21" s="154"/>
      <c r="B21" s="158"/>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row>
    <row r="22" spans="1:27" ht="15">
      <c r="A22" s="154"/>
      <c r="B22" s="158"/>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c r="AA22" s="154"/>
    </row>
    <row r="23" spans="1:27" ht="15">
      <c r="A23" s="154"/>
      <c r="B23" s="158"/>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row>
    <row r="24" spans="1:27" ht="15">
      <c r="A24" s="154"/>
      <c r="B24" s="158"/>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row>
    <row r="25" spans="1:27" ht="15">
      <c r="A25" s="154"/>
      <c r="B25" s="158"/>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154"/>
    </row>
    <row r="26" spans="1:27" ht="15">
      <c r="A26" s="154"/>
      <c r="B26" s="158"/>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row>
    <row r="27" spans="1:27" ht="15">
      <c r="A27" s="154"/>
      <c r="B27" s="158"/>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row>
    <row r="28" spans="1:27" ht="15">
      <c r="A28" s="154"/>
      <c r="B28" s="158"/>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row>
    <row r="29" spans="1:27" ht="15">
      <c r="A29" s="154"/>
      <c r="B29" s="158"/>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row>
    <row r="30" spans="1:27" ht="15">
      <c r="A30" s="154"/>
      <c r="B30" s="158"/>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row>
    <row r="31" spans="1:27" ht="15">
      <c r="A31" s="154"/>
      <c r="B31" s="158"/>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row>
    <row r="32" spans="1:27" ht="15">
      <c r="A32" s="154"/>
      <c r="B32" s="158"/>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row>
    <row r="33" spans="1:27" ht="15">
      <c r="A33" s="154"/>
      <c r="B33" s="158"/>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row>
    <row r="34" spans="1:27" ht="15">
      <c r="A34" s="154"/>
      <c r="B34" s="158"/>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row>
    <row r="35" spans="1:27" ht="15">
      <c r="A35" s="154"/>
      <c r="B35" s="158"/>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row>
    <row r="36" spans="1:27" ht="15">
      <c r="A36" s="154"/>
      <c r="B36" s="158"/>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row>
    <row r="37" spans="1:27" ht="15">
      <c r="A37" s="154"/>
      <c r="B37" s="158"/>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row>
    <row r="38" spans="1:27" ht="15">
      <c r="A38" s="154"/>
      <c r="B38" s="158"/>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row>
    <row r="39" spans="1:27" ht="15">
      <c r="A39" s="154"/>
      <c r="B39" s="158"/>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row>
    <row r="40" spans="1:27" ht="15">
      <c r="A40" s="154"/>
      <c r="B40" s="158"/>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row>
    <row r="41" spans="1:27" ht="15">
      <c r="A41" s="154"/>
      <c r="B41" s="158"/>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row>
    <row r="42" spans="1:27" ht="15">
      <c r="A42" s="154"/>
      <c r="B42" s="158"/>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row>
    <row r="43" spans="1:27" ht="15">
      <c r="A43" s="154"/>
      <c r="B43" s="158"/>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row>
    <row r="44" spans="1:27" ht="15">
      <c r="A44" s="154"/>
      <c r="B44" s="158"/>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row>
    <row r="45" spans="1:27" ht="15">
      <c r="A45" s="154"/>
      <c r="B45" s="158"/>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row>
    <row r="46" spans="1:27" ht="15">
      <c r="A46" s="154"/>
      <c r="B46" s="158"/>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row>
    <row r="47" spans="1:27" ht="15">
      <c r="A47" s="154"/>
      <c r="B47" s="158"/>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row>
    <row r="48" spans="1:27" ht="15">
      <c r="A48" s="154"/>
      <c r="B48" s="158"/>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row>
    <row r="49" spans="1:27" ht="15">
      <c r="A49" s="154"/>
      <c r="B49" s="158"/>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row>
    <row r="50" spans="1:27" ht="15">
      <c r="A50" s="154"/>
      <c r="B50" s="158"/>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row>
    <row r="51" spans="1:27" ht="15">
      <c r="A51" s="154"/>
      <c r="B51" s="158"/>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154"/>
    </row>
    <row r="52" spans="1:27" ht="15">
      <c r="A52" s="154"/>
      <c r="B52" s="158"/>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row>
    <row r="53" spans="1:27" ht="15">
      <c r="A53" s="154"/>
      <c r="B53" s="158"/>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row>
    <row r="54" spans="1:27" ht="15">
      <c r="A54" s="154"/>
      <c r="B54" s="158"/>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row>
    <row r="55" spans="1:27" ht="15">
      <c r="A55" s="154"/>
      <c r="B55" s="158"/>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row>
    <row r="56" spans="1:27" ht="15">
      <c r="A56" s="154"/>
      <c r="B56" s="158"/>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row>
    <row r="57" spans="1:27" ht="15">
      <c r="A57" s="154"/>
      <c r="B57" s="158"/>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row>
    <row r="58" spans="1:27" ht="15">
      <c r="A58" s="154"/>
      <c r="B58" s="158"/>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row>
    <row r="59" spans="1:27" ht="15">
      <c r="A59" s="154"/>
      <c r="B59" s="158"/>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row>
    <row r="60" spans="1:27" ht="15">
      <c r="A60" s="154"/>
      <c r="B60" s="158"/>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row>
    <row r="61" spans="1:27" ht="15">
      <c r="A61" s="154"/>
      <c r="B61" s="158"/>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row>
    <row r="62" spans="1:27" ht="15">
      <c r="A62" s="154"/>
      <c r="B62" s="158"/>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row>
    <row r="63" spans="1:27" ht="15">
      <c r="A63" s="154"/>
      <c r="B63" s="158"/>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row>
    <row r="64" spans="1:27" ht="15">
      <c r="A64" s="154"/>
      <c r="B64" s="158"/>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row>
    <row r="65" spans="1:27" ht="15">
      <c r="A65" s="154"/>
      <c r="B65" s="158"/>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row>
    <row r="66" spans="1:27" ht="15">
      <c r="A66" s="154"/>
      <c r="B66" s="158"/>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row>
    <row r="67" spans="1:27" ht="15">
      <c r="A67" s="154"/>
      <c r="B67" s="158"/>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row>
    <row r="68" spans="1:27" ht="15">
      <c r="A68" s="154"/>
      <c r="B68" s="158"/>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row>
    <row r="69" spans="1:27" ht="15">
      <c r="A69" s="154"/>
      <c r="B69" s="158"/>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row>
    <row r="70" spans="1:27" ht="15">
      <c r="A70" s="154"/>
      <c r="B70" s="158"/>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row>
    <row r="71" spans="1:27" ht="15">
      <c r="A71" s="154"/>
      <c r="B71" s="158"/>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row>
    <row r="72" spans="1:27" ht="15">
      <c r="A72" s="154"/>
      <c r="B72" s="158"/>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row>
    <row r="73" spans="1:27" ht="15">
      <c r="A73" s="154"/>
      <c r="B73" s="158"/>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row>
    <row r="74" spans="1:27" ht="15">
      <c r="A74" s="154"/>
      <c r="B74" s="158"/>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row>
    <row r="75" spans="1:27" ht="15">
      <c r="A75" s="154"/>
      <c r="B75" s="158"/>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row>
    <row r="76" spans="1:27" ht="15">
      <c r="A76" s="154"/>
      <c r="B76" s="158"/>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row>
    <row r="77" spans="1:27" ht="15">
      <c r="A77" s="154"/>
      <c r="B77" s="158"/>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row>
    <row r="78" spans="1:27" ht="15">
      <c r="A78" s="154"/>
      <c r="B78" s="158"/>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row>
    <row r="79" spans="1:27" ht="15">
      <c r="A79" s="154"/>
      <c r="B79" s="158"/>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row>
    <row r="80" spans="1:27" ht="15">
      <c r="A80" s="154"/>
      <c r="B80" s="158"/>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row>
    <row r="81" spans="1:27" ht="15">
      <c r="A81" s="154"/>
      <c r="B81" s="158"/>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row>
    <row r="82" spans="1:27" ht="15">
      <c r="A82" s="154"/>
      <c r="B82" s="158"/>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row>
    <row r="83" spans="1:27" ht="15">
      <c r="A83" s="154"/>
      <c r="B83" s="158"/>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row>
    <row r="84" spans="1:27" ht="15">
      <c r="A84" s="154"/>
      <c r="B84" s="158"/>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row>
    <row r="85" spans="1:27" ht="15">
      <c r="A85" s="154"/>
      <c r="B85" s="158"/>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row>
    <row r="86" spans="1:27" ht="15">
      <c r="A86" s="154"/>
      <c r="B86" s="158"/>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row>
    <row r="87" spans="1:27" ht="15">
      <c r="A87" s="154"/>
      <c r="B87" s="158"/>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row>
    <row r="88" spans="1:27" ht="15">
      <c r="A88" s="154"/>
      <c r="B88" s="158"/>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row>
    <row r="89" spans="1:27" ht="15">
      <c r="A89" s="154"/>
      <c r="B89" s="158"/>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row>
    <row r="90" spans="1:27" ht="15">
      <c r="A90" s="154"/>
      <c r="B90" s="158"/>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row>
    <row r="91" spans="1:27" ht="15">
      <c r="A91" s="154"/>
      <c r="B91" s="158"/>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row>
    <row r="92" spans="1:27" ht="15">
      <c r="A92" s="154"/>
      <c r="B92" s="158"/>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row>
    <row r="93" spans="1:27" ht="15">
      <c r="A93" s="154"/>
      <c r="B93" s="158"/>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row>
    <row r="94" spans="1:27" ht="15">
      <c r="A94" s="154"/>
      <c r="B94" s="158"/>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row>
    <row r="95" spans="1:27" ht="15">
      <c r="A95" s="154"/>
      <c r="B95" s="158"/>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row>
    <row r="96" spans="1:27" ht="15">
      <c r="A96" s="154"/>
      <c r="B96" s="158"/>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spans="1:27" ht="15">
      <c r="A97" s="154"/>
      <c r="B97" s="158"/>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spans="1:27" ht="15">
      <c r="A98" s="154"/>
      <c r="B98" s="158"/>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spans="1:27" ht="15">
      <c r="A99" s="154"/>
      <c r="B99" s="158"/>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spans="1:27" ht="15">
      <c r="A100" s="154"/>
      <c r="B100" s="158"/>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spans="1:27" ht="15">
      <c r="A101" s="154"/>
      <c r="B101" s="158"/>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spans="1:27" ht="15">
      <c r="A102" s="154"/>
      <c r="B102" s="158"/>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spans="1:27" ht="15">
      <c r="A103" s="154"/>
      <c r="B103" s="158"/>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spans="1:27" ht="15">
      <c r="A104" s="154"/>
      <c r="B104" s="158"/>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spans="1:27" ht="15">
      <c r="A105" s="154"/>
      <c r="B105" s="158"/>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spans="1:27" ht="15">
      <c r="A106" s="154"/>
      <c r="B106" s="158"/>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spans="1:27" ht="15">
      <c r="A107" s="154"/>
      <c r="B107" s="158"/>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spans="1:27" ht="15">
      <c r="A108" s="154"/>
      <c r="B108" s="158"/>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spans="1:27" ht="15">
      <c r="A109" s="154"/>
      <c r="B109" s="158"/>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row>
    <row r="110" spans="1:27" ht="15">
      <c r="A110" s="154"/>
      <c r="B110" s="158"/>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row>
    <row r="111" spans="1:27" ht="15">
      <c r="A111" s="154"/>
      <c r="B111" s="158"/>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row>
    <row r="112" spans="1:27" ht="15">
      <c r="A112" s="154"/>
      <c r="B112" s="158"/>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row>
    <row r="113" spans="1:27" ht="15">
      <c r="A113" s="154"/>
      <c r="B113" s="158"/>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row>
    <row r="114" spans="1:27" ht="15">
      <c r="A114" s="154"/>
      <c r="B114" s="158"/>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row>
    <row r="115" spans="1:27" ht="15">
      <c r="A115" s="154"/>
      <c r="B115" s="158"/>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row>
    <row r="116" spans="1:27" ht="15">
      <c r="A116" s="154"/>
      <c r="B116" s="158"/>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row>
    <row r="117" spans="1:27" ht="15">
      <c r="A117" s="154"/>
      <c r="B117" s="158"/>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row>
    <row r="118" spans="1:27" ht="15">
      <c r="A118" s="154"/>
      <c r="B118" s="158"/>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row>
    <row r="119" spans="1:27" ht="15">
      <c r="A119" s="154"/>
      <c r="B119" s="158"/>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row>
    <row r="120" spans="1:27" ht="15">
      <c r="A120" s="154"/>
      <c r="B120" s="158"/>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row>
    <row r="121" spans="1:27" ht="15">
      <c r="A121" s="154"/>
      <c r="B121" s="158"/>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row>
    <row r="122" spans="1:27" ht="15">
      <c r="A122" s="154"/>
      <c r="B122" s="158"/>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row>
    <row r="123" spans="1:27" ht="15">
      <c r="A123" s="154"/>
      <c r="B123" s="158"/>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row>
    <row r="124" spans="1:27" ht="15">
      <c r="A124" s="154"/>
      <c r="B124" s="158"/>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row>
    <row r="125" spans="1:27" ht="15">
      <c r="A125" s="154"/>
      <c r="B125" s="158"/>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row>
    <row r="126" spans="1:27" ht="15">
      <c r="A126" s="154"/>
      <c r="B126" s="158"/>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row>
    <row r="127" spans="1:27" ht="15">
      <c r="A127" s="154"/>
      <c r="B127" s="158"/>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row>
    <row r="128" spans="1:27" ht="15">
      <c r="A128" s="154"/>
      <c r="B128" s="158"/>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row>
    <row r="129" spans="1:27" ht="15">
      <c r="A129" s="154"/>
      <c r="B129" s="158"/>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row>
    <row r="130" spans="1:27" ht="15">
      <c r="A130" s="154"/>
      <c r="B130" s="158"/>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row>
    <row r="131" spans="1:27" ht="15">
      <c r="A131" s="154"/>
      <c r="B131" s="158"/>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row>
    <row r="132" spans="1:27" ht="15">
      <c r="A132" s="154"/>
      <c r="B132" s="158"/>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row>
    <row r="133" spans="1:27" ht="15">
      <c r="A133" s="154"/>
      <c r="B133" s="158"/>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row>
    <row r="134" spans="1:27" ht="15">
      <c r="A134" s="154"/>
      <c r="B134" s="158"/>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row>
    <row r="135" spans="1:27" ht="15">
      <c r="A135" s="154"/>
      <c r="B135" s="158"/>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row>
    <row r="136" spans="1:27" ht="15">
      <c r="A136" s="154"/>
      <c r="B136" s="158"/>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row>
    <row r="137" spans="1:27" ht="15">
      <c r="A137" s="154"/>
      <c r="B137" s="158"/>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row>
    <row r="138" spans="1:27" ht="15">
      <c r="A138" s="154"/>
      <c r="B138" s="158"/>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row>
    <row r="139" spans="1:27" ht="15">
      <c r="A139" s="154"/>
      <c r="B139" s="158"/>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row>
    <row r="140" spans="1:27" ht="15">
      <c r="A140" s="154"/>
      <c r="B140" s="158"/>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row>
    <row r="141" spans="1:27" ht="15">
      <c r="A141" s="154"/>
      <c r="B141" s="158"/>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row>
    <row r="142" spans="1:27" ht="15">
      <c r="A142" s="154"/>
      <c r="B142" s="158"/>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row>
    <row r="143" spans="1:27" ht="15">
      <c r="A143" s="154"/>
      <c r="B143" s="158"/>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row>
    <row r="144" spans="1:27" ht="15">
      <c r="A144" s="154"/>
      <c r="B144" s="158"/>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row>
    <row r="145" spans="1:27" ht="15">
      <c r="A145" s="154"/>
      <c r="B145" s="158"/>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row>
    <row r="146" spans="1:27" ht="15">
      <c r="A146" s="154"/>
      <c r="B146" s="158"/>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row>
    <row r="147" spans="1:27" ht="15">
      <c r="A147" s="154"/>
      <c r="B147" s="158"/>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row>
    <row r="148" spans="1:27" ht="15">
      <c r="A148" s="154"/>
      <c r="B148" s="158"/>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row>
    <row r="149" spans="1:27" ht="15">
      <c r="A149" s="154"/>
      <c r="B149" s="158"/>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row>
    <row r="150" spans="1:27" ht="15">
      <c r="A150" s="154"/>
      <c r="B150" s="158"/>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row>
    <row r="151" spans="1:27" ht="15">
      <c r="A151" s="154"/>
      <c r="B151" s="158"/>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row>
    <row r="152" spans="1:27" ht="15">
      <c r="A152" s="154"/>
      <c r="B152" s="158"/>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row>
    <row r="153" spans="1:27" ht="15">
      <c r="A153" s="154"/>
      <c r="B153" s="158"/>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row>
    <row r="154" spans="1:27" ht="15">
      <c r="A154" s="154"/>
      <c r="B154" s="158"/>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row>
    <row r="155" spans="1:27" ht="15">
      <c r="A155" s="154"/>
      <c r="B155" s="158"/>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row>
    <row r="156" spans="1:27" ht="15">
      <c r="A156" s="154"/>
      <c r="B156" s="158"/>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row>
    <row r="157" spans="1:27" ht="15">
      <c r="A157" s="154"/>
      <c r="B157" s="158"/>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row>
    <row r="158" spans="1:27" ht="15">
      <c r="A158" s="154"/>
      <c r="B158" s="158"/>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row>
    <row r="159" spans="1:27" ht="15">
      <c r="A159" s="154"/>
      <c r="B159" s="158"/>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row>
    <row r="160" spans="1:27" ht="15">
      <c r="A160" s="154"/>
      <c r="B160" s="158"/>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row>
    <row r="161" spans="1:27" ht="15">
      <c r="A161" s="154"/>
      <c r="B161" s="158"/>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row>
    <row r="162" spans="1:27" ht="15">
      <c r="A162" s="154"/>
      <c r="B162" s="158"/>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row>
    <row r="163" spans="1:27" ht="15">
      <c r="A163" s="154"/>
      <c r="B163" s="158"/>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row>
    <row r="164" spans="1:27" ht="15">
      <c r="A164" s="154"/>
      <c r="B164" s="158"/>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row>
    <row r="165" spans="1:27" ht="15">
      <c r="A165" s="154"/>
      <c r="B165" s="158"/>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row>
    <row r="166" spans="1:27" ht="15">
      <c r="A166" s="154"/>
      <c r="B166" s="158"/>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row>
    <row r="167" spans="1:27" ht="15">
      <c r="A167" s="154"/>
      <c r="B167" s="158"/>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row>
    <row r="168" spans="1:27" ht="15">
      <c r="A168" s="154"/>
      <c r="B168" s="158"/>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row>
    <row r="169" spans="1:27" ht="15">
      <c r="A169" s="154"/>
      <c r="B169" s="158"/>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row>
    <row r="170" spans="1:27" ht="15">
      <c r="A170" s="154"/>
      <c r="B170" s="158"/>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row>
    <row r="171" spans="1:27" ht="15">
      <c r="A171" s="154"/>
      <c r="B171" s="158"/>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row>
    <row r="172" spans="1:27" ht="15">
      <c r="A172" s="154"/>
      <c r="B172" s="158"/>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row>
    <row r="173" spans="1:27" ht="15">
      <c r="A173" s="154"/>
      <c r="B173" s="158"/>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row>
    <row r="174" spans="1:27" ht="15">
      <c r="A174" s="154"/>
      <c r="B174" s="158"/>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row>
    <row r="175" spans="1:27" ht="15">
      <c r="A175" s="154"/>
      <c r="B175" s="158"/>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row>
    <row r="176" spans="1:27" ht="15">
      <c r="A176" s="154"/>
      <c r="B176" s="158"/>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row>
    <row r="177" spans="1:27" ht="15">
      <c r="A177" s="154"/>
      <c r="B177" s="158"/>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row>
    <row r="178" spans="1:27" ht="15">
      <c r="A178" s="154"/>
      <c r="B178" s="158"/>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row>
    <row r="179" spans="1:27" ht="15">
      <c r="A179" s="154"/>
      <c r="B179" s="158"/>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row>
    <row r="180" spans="1:27" ht="15">
      <c r="A180" s="154"/>
      <c r="B180" s="158"/>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row>
    <row r="181" spans="1:27" ht="15">
      <c r="A181" s="154"/>
      <c r="B181" s="158"/>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row>
    <row r="182" spans="1:27" ht="15">
      <c r="A182" s="154"/>
      <c r="B182" s="158"/>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row>
    <row r="183" spans="1:27" ht="15">
      <c r="A183" s="154"/>
      <c r="B183" s="158"/>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row>
    <row r="184" spans="1:27" ht="15">
      <c r="A184" s="154"/>
      <c r="B184" s="158"/>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row>
    <row r="185" spans="1:27" ht="15">
      <c r="A185" s="154"/>
      <c r="B185" s="158"/>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row>
    <row r="186" spans="1:27" ht="15">
      <c r="A186" s="154"/>
      <c r="B186" s="158"/>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row>
    <row r="187" spans="1:27" ht="15">
      <c r="A187" s="154"/>
      <c r="B187" s="158"/>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row>
    <row r="188" spans="1:27" ht="15">
      <c r="A188" s="154"/>
      <c r="B188" s="158"/>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row>
    <row r="189" spans="1:27" ht="15">
      <c r="A189" s="154"/>
      <c r="B189" s="158"/>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row>
    <row r="190" spans="1:27" ht="15">
      <c r="A190" s="154"/>
      <c r="B190" s="158"/>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row>
    <row r="191" spans="1:27" ht="15">
      <c r="A191" s="154"/>
      <c r="B191" s="158"/>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row>
    <row r="192" spans="1:27" ht="15">
      <c r="A192" s="154"/>
      <c r="B192" s="158"/>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row>
    <row r="193" spans="1:27" ht="15">
      <c r="A193" s="154"/>
      <c r="B193" s="158"/>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row>
    <row r="194" spans="1:27" ht="15">
      <c r="A194" s="154"/>
      <c r="B194" s="158"/>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row>
    <row r="195" spans="1:27" ht="15">
      <c r="A195" s="154"/>
      <c r="B195" s="158"/>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row>
    <row r="196" spans="1:27" ht="15">
      <c r="A196" s="154"/>
      <c r="B196" s="158"/>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row>
    <row r="197" spans="1:27" ht="15">
      <c r="A197" s="154"/>
      <c r="B197" s="158"/>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row>
    <row r="198" spans="1:27" ht="15">
      <c r="A198" s="154"/>
      <c r="B198" s="158"/>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row>
    <row r="199" spans="1:27" ht="15">
      <c r="A199" s="154"/>
      <c r="B199" s="158"/>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row>
    <row r="200" spans="1:27" ht="15">
      <c r="A200" s="154"/>
      <c r="B200" s="158"/>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row>
    <row r="201" spans="1:27" ht="15">
      <c r="A201" s="154"/>
      <c r="B201" s="158"/>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row>
    <row r="202" spans="1:27" ht="15">
      <c r="A202" s="154"/>
      <c r="B202" s="158"/>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row>
    <row r="203" spans="1:27" ht="15">
      <c r="A203" s="154"/>
      <c r="B203" s="158"/>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row>
    <row r="204" spans="1:27" ht="15">
      <c r="A204" s="154"/>
      <c r="B204" s="158"/>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row>
    <row r="205" spans="1:27" ht="15">
      <c r="A205" s="154"/>
      <c r="B205" s="158"/>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row>
    <row r="206" spans="1:27" ht="15">
      <c r="A206" s="154"/>
      <c r="B206" s="158"/>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row>
    <row r="207" spans="1:27" ht="15">
      <c r="A207" s="154"/>
      <c r="B207" s="158"/>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row>
    <row r="208" spans="1:27" ht="15">
      <c r="A208" s="154"/>
      <c r="B208" s="158"/>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row>
    <row r="209" spans="1:27" ht="15">
      <c r="A209" s="154"/>
      <c r="B209" s="158"/>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row>
    <row r="210" spans="1:27" ht="15">
      <c r="A210" s="154"/>
      <c r="B210" s="158"/>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row>
    <row r="211" spans="1:27" ht="15">
      <c r="A211" s="154"/>
      <c r="B211" s="158"/>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row>
    <row r="212" spans="1:27" ht="15">
      <c r="A212" s="154"/>
      <c r="B212" s="158"/>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row>
    <row r="213" spans="1:27" ht="15">
      <c r="A213" s="154"/>
      <c r="B213" s="158"/>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row>
    <row r="214" spans="1:27" ht="15">
      <c r="A214" s="154"/>
      <c r="B214" s="158"/>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row>
    <row r="215" spans="1:27" ht="15">
      <c r="A215" s="154"/>
      <c r="B215" s="158"/>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row>
    <row r="216" spans="1:27" ht="15">
      <c r="A216" s="154"/>
      <c r="B216" s="158"/>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row>
    <row r="217" spans="1:27" ht="15">
      <c r="A217" s="154"/>
      <c r="B217" s="158"/>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row>
    <row r="218" spans="1:27" ht="15">
      <c r="A218" s="154"/>
      <c r="B218" s="158"/>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row>
    <row r="219" spans="1:27" ht="15">
      <c r="A219" s="154"/>
      <c r="B219" s="158"/>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row>
    <row r="220" spans="1:27" ht="15">
      <c r="A220" s="154"/>
      <c r="B220" s="158"/>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row>
    <row r="221" spans="1:27" ht="15">
      <c r="A221" s="154"/>
      <c r="B221" s="158"/>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row>
    <row r="222" spans="1:27" ht="15">
      <c r="A222" s="154"/>
      <c r="B222" s="158"/>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row>
    <row r="223" spans="1:27" ht="15">
      <c r="A223" s="154"/>
      <c r="B223" s="158"/>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row>
    <row r="224" spans="1:27" ht="15">
      <c r="A224" s="154"/>
      <c r="B224" s="158"/>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row>
    <row r="225" spans="1:27" ht="15">
      <c r="A225" s="154"/>
      <c r="B225" s="158"/>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row>
    <row r="226" spans="1:27" ht="15">
      <c r="A226" s="154"/>
      <c r="B226" s="158"/>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row>
    <row r="227" spans="1:27" ht="15">
      <c r="A227" s="154"/>
      <c r="B227" s="158"/>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row>
    <row r="228" spans="1:27" ht="15">
      <c r="A228" s="154"/>
      <c r="B228" s="158"/>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row>
    <row r="229" spans="1:27" ht="15">
      <c r="A229" s="154"/>
      <c r="B229" s="158"/>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row>
    <row r="230" spans="1:27" ht="15">
      <c r="A230" s="154"/>
      <c r="B230" s="158"/>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row>
    <row r="231" spans="1:27" ht="15">
      <c r="A231" s="154"/>
      <c r="B231" s="158"/>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row>
    <row r="232" spans="1:27" ht="15">
      <c r="A232" s="154"/>
      <c r="B232" s="158"/>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row>
    <row r="233" spans="1:27" ht="15">
      <c r="A233" s="154"/>
      <c r="B233" s="158"/>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row>
    <row r="234" spans="1:27" ht="15">
      <c r="A234" s="154"/>
      <c r="B234" s="158"/>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row>
    <row r="235" spans="1:27" ht="15">
      <c r="A235" s="154"/>
      <c r="B235" s="158"/>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row>
    <row r="236" spans="1:27" ht="15">
      <c r="A236" s="154"/>
      <c r="B236" s="158"/>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row>
    <row r="237" spans="1:27" ht="15">
      <c r="A237" s="154"/>
      <c r="B237" s="158"/>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row>
    <row r="238" spans="1:27" ht="15">
      <c r="A238" s="154"/>
      <c r="B238" s="158"/>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row>
    <row r="239" spans="1:27" ht="15">
      <c r="A239" s="154"/>
      <c r="B239" s="158"/>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row>
    <row r="240" spans="1:27" ht="15">
      <c r="A240" s="154"/>
      <c r="B240" s="158"/>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row>
    <row r="241" spans="1:27" ht="15">
      <c r="A241" s="154"/>
      <c r="B241" s="158"/>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row>
    <row r="242" spans="1:27" ht="15">
      <c r="A242" s="154"/>
      <c r="B242" s="158"/>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row>
    <row r="243" spans="1:27" ht="15">
      <c r="A243" s="154"/>
      <c r="B243" s="158"/>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row>
    <row r="244" spans="1:27" ht="15">
      <c r="A244" s="154"/>
      <c r="B244" s="158"/>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row>
    <row r="245" spans="1:27" ht="15">
      <c r="A245" s="154"/>
      <c r="B245" s="158"/>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row>
    <row r="246" spans="1:27" ht="15">
      <c r="A246" s="154"/>
      <c r="B246" s="158"/>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row>
    <row r="247" spans="1:27" ht="15">
      <c r="A247" s="154"/>
      <c r="B247" s="158"/>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row>
    <row r="248" spans="1:27" ht="15">
      <c r="A248" s="154"/>
      <c r="B248" s="158"/>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row>
    <row r="249" spans="1:27" ht="15">
      <c r="A249" s="154"/>
      <c r="B249" s="158"/>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row>
    <row r="250" spans="1:27" ht="15">
      <c r="A250" s="154"/>
      <c r="B250" s="158"/>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row>
    <row r="251" spans="1:27" ht="15">
      <c r="A251" s="154"/>
      <c r="B251" s="158"/>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row>
    <row r="252" spans="1:27" ht="15">
      <c r="A252" s="154"/>
      <c r="B252" s="158"/>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row>
    <row r="253" spans="1:27" ht="15">
      <c r="A253" s="154"/>
      <c r="B253" s="158"/>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row>
    <row r="254" spans="1:27" ht="15">
      <c r="A254" s="154"/>
      <c r="B254" s="158"/>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row>
    <row r="255" spans="1:27" ht="15">
      <c r="A255" s="154"/>
      <c r="B255" s="158"/>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row>
    <row r="256" spans="1:27" ht="15">
      <c r="A256" s="154"/>
      <c r="B256" s="158"/>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row>
    <row r="257" spans="1:27" ht="15">
      <c r="A257" s="154"/>
      <c r="B257" s="158"/>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row>
    <row r="258" spans="1:27" ht="15">
      <c r="A258" s="154"/>
      <c r="B258" s="158"/>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row>
    <row r="259" spans="1:27" ht="15">
      <c r="A259" s="154"/>
      <c r="B259" s="158"/>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row>
    <row r="260" spans="1:27" ht="15">
      <c r="A260" s="154"/>
      <c r="B260" s="158"/>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row>
    <row r="261" spans="1:27" ht="15">
      <c r="A261" s="154"/>
      <c r="B261" s="158"/>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row>
    <row r="262" spans="1:27" ht="15">
      <c r="A262" s="154"/>
      <c r="B262" s="158"/>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row>
    <row r="263" spans="1:27" ht="15">
      <c r="A263" s="154"/>
      <c r="B263" s="158"/>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row>
    <row r="264" spans="1:27" ht="15">
      <c r="A264" s="154"/>
      <c r="B264" s="158"/>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row>
    <row r="265" spans="1:27" ht="15">
      <c r="A265" s="154"/>
      <c r="B265" s="158"/>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row>
    <row r="266" spans="1:27" ht="15">
      <c r="A266" s="154"/>
      <c r="B266" s="158"/>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row>
    <row r="267" spans="1:27" ht="15">
      <c r="A267" s="154"/>
      <c r="B267" s="158"/>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row>
    <row r="268" spans="1:27" ht="15">
      <c r="A268" s="154"/>
      <c r="B268" s="158"/>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row>
    <row r="269" spans="1:27" ht="15">
      <c r="A269" s="154"/>
      <c r="B269" s="158"/>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row>
    <row r="270" spans="1:27" ht="15">
      <c r="A270" s="154"/>
      <c r="B270" s="158"/>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row>
    <row r="271" spans="1:27" ht="15">
      <c r="A271" s="154"/>
      <c r="B271" s="158"/>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row>
    <row r="272" spans="1:27" ht="15">
      <c r="A272" s="154"/>
      <c r="B272" s="158"/>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row>
    <row r="273" spans="1:27" ht="15">
      <c r="A273" s="154"/>
      <c r="B273" s="158"/>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row>
    <row r="274" spans="1:27" ht="15">
      <c r="A274" s="154"/>
      <c r="B274" s="158"/>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row>
    <row r="275" spans="1:27" ht="15">
      <c r="A275" s="154"/>
      <c r="B275" s="158"/>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row>
    <row r="276" spans="1:27" ht="15">
      <c r="A276" s="154"/>
      <c r="B276" s="158"/>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row>
    <row r="277" spans="1:27" ht="15">
      <c r="A277" s="154"/>
      <c r="B277" s="158"/>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row>
    <row r="278" spans="1:27" ht="15">
      <c r="A278" s="154"/>
      <c r="B278" s="158"/>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row>
    <row r="279" spans="1:27" ht="15">
      <c r="A279" s="154"/>
      <c r="B279" s="158"/>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row>
    <row r="280" spans="1:27" ht="15">
      <c r="A280" s="154"/>
      <c r="B280" s="158"/>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row>
    <row r="281" spans="1:27" ht="15">
      <c r="A281" s="154"/>
      <c r="B281" s="158"/>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row>
    <row r="282" spans="1:27" ht="15">
      <c r="A282" s="154"/>
      <c r="B282" s="158"/>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row>
    <row r="283" spans="1:27" ht="15">
      <c r="A283" s="154"/>
      <c r="B283" s="158"/>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row>
    <row r="284" spans="1:27" ht="15">
      <c r="A284" s="154"/>
      <c r="B284" s="158"/>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row>
    <row r="285" spans="1:27" ht="15">
      <c r="A285" s="154"/>
      <c r="B285" s="158"/>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row>
    <row r="286" spans="1:27" ht="15">
      <c r="A286" s="154"/>
      <c r="B286" s="158"/>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row>
    <row r="287" spans="1:27" ht="15">
      <c r="A287" s="154"/>
      <c r="B287" s="158"/>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row>
    <row r="288" spans="1:27" ht="15">
      <c r="A288" s="154"/>
      <c r="B288" s="158"/>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row>
    <row r="289" spans="1:27" ht="15">
      <c r="A289" s="154"/>
      <c r="B289" s="158"/>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row>
    <row r="290" spans="1:27" ht="15">
      <c r="A290" s="154"/>
      <c r="B290" s="158"/>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row>
    <row r="291" spans="1:27" ht="15">
      <c r="A291" s="154"/>
      <c r="B291" s="158"/>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row>
    <row r="292" spans="1:27" ht="15">
      <c r="A292" s="154"/>
      <c r="B292" s="158"/>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row>
    <row r="293" spans="1:27" ht="15">
      <c r="A293" s="154"/>
      <c r="B293" s="158"/>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row>
    <row r="294" spans="1:27" ht="15">
      <c r="A294" s="154"/>
      <c r="B294" s="158"/>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row>
    <row r="295" spans="1:27" ht="15">
      <c r="A295" s="154"/>
      <c r="B295" s="158"/>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row>
    <row r="296" spans="1:27" ht="15">
      <c r="A296" s="154"/>
      <c r="B296" s="158"/>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row>
    <row r="297" spans="1:27" ht="15">
      <c r="A297" s="154"/>
      <c r="B297" s="158"/>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row>
    <row r="298" spans="1:27" ht="15">
      <c r="A298" s="154"/>
      <c r="B298" s="158"/>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row>
    <row r="299" spans="1:27" ht="15">
      <c r="A299" s="154"/>
      <c r="B299" s="158"/>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row>
    <row r="300" spans="1:27" ht="15">
      <c r="A300" s="154"/>
      <c r="B300" s="158"/>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row>
    <row r="301" spans="1:27" ht="15">
      <c r="A301" s="154"/>
      <c r="B301" s="158"/>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row>
    <row r="302" spans="1:27" ht="15">
      <c r="A302" s="154"/>
      <c r="B302" s="158"/>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row>
    <row r="303" spans="1:27" ht="15">
      <c r="A303" s="154"/>
      <c r="B303" s="158"/>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row>
    <row r="304" spans="1:27" ht="15">
      <c r="A304" s="154"/>
      <c r="B304" s="158"/>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row>
    <row r="305" spans="1:27" ht="15">
      <c r="A305" s="154"/>
      <c r="B305" s="158"/>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row>
    <row r="306" spans="1:27" ht="15">
      <c r="A306" s="154"/>
      <c r="B306" s="158"/>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row>
    <row r="307" spans="1:27" ht="15">
      <c r="A307" s="154"/>
      <c r="B307" s="158"/>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row>
    <row r="308" spans="1:27" ht="15">
      <c r="A308" s="154"/>
      <c r="B308" s="158"/>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row>
    <row r="309" spans="1:27" ht="15">
      <c r="A309" s="154"/>
      <c r="B309" s="158"/>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row>
    <row r="310" spans="1:27" ht="15">
      <c r="A310" s="154"/>
      <c r="B310" s="158"/>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row>
    <row r="311" spans="1:27" ht="15">
      <c r="A311" s="154"/>
      <c r="B311" s="158"/>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row>
    <row r="312" spans="1:27" ht="15">
      <c r="A312" s="154"/>
      <c r="B312" s="158"/>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row>
    <row r="313" spans="1:27" ht="15">
      <c r="A313" s="154"/>
      <c r="B313" s="158"/>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row>
    <row r="314" spans="1:27" ht="15">
      <c r="A314" s="154"/>
      <c r="B314" s="158"/>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row>
    <row r="315" spans="1:27" ht="15">
      <c r="A315" s="154"/>
      <c r="B315" s="158"/>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row>
    <row r="316" spans="1:27" ht="15">
      <c r="A316" s="154"/>
      <c r="B316" s="158"/>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row>
    <row r="317" spans="1:27" ht="15">
      <c r="A317" s="154"/>
      <c r="B317" s="158"/>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row>
    <row r="318" spans="1:27" ht="15">
      <c r="A318" s="154"/>
      <c r="B318" s="158"/>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row>
    <row r="319" spans="1:27" ht="15">
      <c r="A319" s="154"/>
      <c r="B319" s="158"/>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row>
    <row r="320" spans="1:27" ht="15">
      <c r="A320" s="154"/>
      <c r="B320" s="158"/>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row>
    <row r="321" spans="1:27" ht="15">
      <c r="A321" s="154"/>
      <c r="B321" s="158"/>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row>
    <row r="322" spans="1:27" ht="15">
      <c r="A322" s="154"/>
      <c r="B322" s="158"/>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row>
    <row r="323" spans="1:27" ht="15">
      <c r="A323" s="154"/>
      <c r="B323" s="158"/>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row>
    <row r="324" spans="1:27" ht="15">
      <c r="A324" s="154"/>
      <c r="B324" s="158"/>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row>
    <row r="325" spans="1:27" ht="15">
      <c r="A325" s="154"/>
      <c r="B325" s="158"/>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row>
    <row r="326" spans="1:27" ht="15">
      <c r="A326" s="154"/>
      <c r="B326" s="158"/>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row>
    <row r="327" spans="1:27" ht="15">
      <c r="A327" s="154"/>
      <c r="B327" s="158"/>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row>
    <row r="328" spans="1:27" ht="15">
      <c r="A328" s="154"/>
      <c r="B328" s="158"/>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row>
    <row r="329" spans="1:27" ht="15">
      <c r="A329" s="154"/>
      <c r="B329" s="158"/>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row>
    <row r="330" spans="1:27" ht="15">
      <c r="A330" s="154"/>
      <c r="B330" s="158"/>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row>
    <row r="331" spans="1:27" ht="15">
      <c r="A331" s="154"/>
      <c r="B331" s="158"/>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row>
    <row r="332" spans="1:27" ht="15">
      <c r="A332" s="154"/>
      <c r="B332" s="158"/>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row>
    <row r="333" spans="1:27" ht="15">
      <c r="A333" s="154"/>
      <c r="B333" s="158"/>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row>
    <row r="334" spans="1:27" ht="15">
      <c r="A334" s="154"/>
      <c r="B334" s="158"/>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row>
    <row r="335" spans="1:27" ht="15">
      <c r="A335" s="154"/>
      <c r="B335" s="158"/>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row>
    <row r="336" spans="1:27" ht="15">
      <c r="A336" s="154"/>
      <c r="B336" s="158"/>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row>
    <row r="337" spans="1:27" ht="15">
      <c r="A337" s="154"/>
      <c r="B337" s="158"/>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row>
    <row r="338" spans="1:27" ht="15">
      <c r="A338" s="154"/>
      <c r="B338" s="158"/>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row>
    <row r="339" spans="1:27" ht="15">
      <c r="A339" s="154"/>
      <c r="B339" s="158"/>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row>
    <row r="340" spans="1:27" ht="15">
      <c r="A340" s="154"/>
      <c r="B340" s="158"/>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row>
    <row r="341" spans="1:27" ht="15">
      <c r="A341" s="154"/>
      <c r="B341" s="158"/>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row>
    <row r="342" spans="1:27" ht="15">
      <c r="A342" s="154"/>
      <c r="B342" s="158"/>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row>
    <row r="343" spans="1:27" ht="15">
      <c r="A343" s="154"/>
      <c r="B343" s="158"/>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row>
    <row r="344" spans="1:27" ht="15">
      <c r="A344" s="154"/>
      <c r="B344" s="158"/>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row>
    <row r="345" spans="1:27" ht="15">
      <c r="A345" s="154"/>
      <c r="B345" s="158"/>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row>
    <row r="346" spans="1:27" ht="15">
      <c r="A346" s="154"/>
      <c r="B346" s="158"/>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row>
    <row r="347" spans="1:27" ht="15">
      <c r="A347" s="154"/>
      <c r="B347" s="158"/>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row>
    <row r="348" spans="1:27" ht="15">
      <c r="A348" s="154"/>
      <c r="B348" s="158"/>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row>
    <row r="349" spans="1:27" ht="15">
      <c r="A349" s="154"/>
      <c r="B349" s="158"/>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row>
    <row r="350" spans="1:27" ht="15">
      <c r="A350" s="154"/>
      <c r="B350" s="158"/>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row>
    <row r="351" spans="1:27" ht="15">
      <c r="A351" s="154"/>
      <c r="B351" s="158"/>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row>
    <row r="352" spans="1:27" ht="15">
      <c r="A352" s="154"/>
      <c r="B352" s="158"/>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row>
    <row r="353" spans="1:27" ht="15">
      <c r="A353" s="154"/>
      <c r="B353" s="158"/>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row>
    <row r="354" spans="1:27" ht="15">
      <c r="A354" s="154"/>
      <c r="B354" s="158"/>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row>
    <row r="355" spans="1:27" ht="15">
      <c r="A355" s="154"/>
      <c r="B355" s="158"/>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row>
    <row r="356" spans="1:27" ht="15">
      <c r="A356" s="154"/>
      <c r="B356" s="158"/>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row>
    <row r="357" spans="1:27" ht="15">
      <c r="A357" s="154"/>
      <c r="B357" s="158"/>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row>
    <row r="358" spans="1:27" ht="15">
      <c r="A358" s="154"/>
      <c r="B358" s="158"/>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row>
    <row r="359" spans="1:27" ht="15">
      <c r="A359" s="154"/>
      <c r="B359" s="158"/>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row>
    <row r="360" spans="1:27" ht="15">
      <c r="A360" s="154"/>
      <c r="B360" s="158"/>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row>
    <row r="361" spans="1:27" ht="15">
      <c r="A361" s="154"/>
      <c r="B361" s="158"/>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row>
    <row r="362" spans="1:27" ht="15">
      <c r="A362" s="154"/>
      <c r="B362" s="158"/>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row>
    <row r="363" spans="1:27" ht="15">
      <c r="A363" s="154"/>
      <c r="B363" s="158"/>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row>
    <row r="364" spans="1:27" ht="15">
      <c r="A364" s="154"/>
      <c r="B364" s="158"/>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row>
    <row r="365" spans="1:27" ht="15">
      <c r="A365" s="154"/>
      <c r="B365" s="158"/>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row>
    <row r="366" spans="1:27" ht="15">
      <c r="A366" s="154"/>
      <c r="B366" s="158"/>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row>
    <row r="367" spans="1:27" ht="15">
      <c r="A367" s="154"/>
      <c r="B367" s="158"/>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row>
    <row r="368" spans="1:27" ht="15">
      <c r="A368" s="154"/>
      <c r="B368" s="158"/>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row>
    <row r="369" spans="1:27" ht="15">
      <c r="A369" s="154"/>
      <c r="B369" s="158"/>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row>
    <row r="370" spans="1:27" ht="15">
      <c r="A370" s="154"/>
      <c r="B370" s="158"/>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row>
    <row r="371" spans="1:27" ht="15">
      <c r="A371" s="154"/>
      <c r="B371" s="158"/>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row>
    <row r="372" spans="1:27" ht="15">
      <c r="A372" s="154"/>
      <c r="B372" s="158"/>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row>
    <row r="373" spans="1:27" ht="15">
      <c r="A373" s="154"/>
      <c r="B373" s="158"/>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row>
    <row r="374" spans="1:27" ht="15">
      <c r="A374" s="154"/>
      <c r="B374" s="158"/>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row>
    <row r="375" spans="1:27" ht="15">
      <c r="A375" s="154"/>
      <c r="B375" s="158"/>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row>
    <row r="376" spans="1:27" ht="15">
      <c r="A376" s="154"/>
      <c r="B376" s="158"/>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row>
    <row r="377" spans="1:27" ht="15">
      <c r="A377" s="154"/>
      <c r="B377" s="158"/>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row>
    <row r="378" spans="1:27" ht="15">
      <c r="A378" s="154"/>
      <c r="B378" s="158"/>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row>
    <row r="379" spans="1:27" ht="15">
      <c r="A379" s="154"/>
      <c r="B379" s="158"/>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row>
    <row r="380" spans="1:27" ht="15">
      <c r="A380" s="154"/>
      <c r="B380" s="158"/>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row>
    <row r="381" spans="1:27" ht="15">
      <c r="A381" s="154"/>
      <c r="B381" s="158"/>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row>
    <row r="382" spans="1:27" ht="15">
      <c r="A382" s="154"/>
      <c r="B382" s="158"/>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row>
    <row r="383" spans="1:27" ht="15">
      <c r="A383" s="154"/>
      <c r="B383" s="158"/>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row>
    <row r="384" spans="1:27" ht="15">
      <c r="A384" s="154"/>
      <c r="B384" s="158"/>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row>
    <row r="385" spans="1:27" ht="15">
      <c r="A385" s="154"/>
      <c r="B385" s="158"/>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row>
    <row r="386" spans="1:27" ht="15">
      <c r="A386" s="154"/>
      <c r="B386" s="158"/>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row>
    <row r="387" spans="1:27" ht="15">
      <c r="A387" s="154"/>
      <c r="B387" s="158"/>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row>
    <row r="388" spans="1:27" ht="15">
      <c r="A388" s="154"/>
      <c r="B388" s="158"/>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row>
    <row r="389" spans="1:27" ht="15">
      <c r="A389" s="154"/>
      <c r="B389" s="158"/>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row>
    <row r="390" spans="1:27" ht="15">
      <c r="A390" s="154"/>
      <c r="B390" s="158"/>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row>
    <row r="391" spans="1:27" ht="15">
      <c r="A391" s="154"/>
      <c r="B391" s="158"/>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row>
    <row r="392" spans="1:27" ht="15">
      <c r="A392" s="154"/>
      <c r="B392" s="158"/>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row>
    <row r="393" spans="1:27" ht="15">
      <c r="A393" s="154"/>
      <c r="B393" s="158"/>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row>
    <row r="394" spans="1:27" ht="15">
      <c r="A394" s="154"/>
      <c r="B394" s="158"/>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row>
    <row r="395" spans="1:27" ht="15">
      <c r="A395" s="154"/>
      <c r="B395" s="158"/>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row>
    <row r="396" spans="1:27" ht="15">
      <c r="A396" s="154"/>
      <c r="B396" s="158"/>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row>
    <row r="397" spans="1:27" ht="15">
      <c r="A397" s="154"/>
      <c r="B397" s="158"/>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row>
    <row r="398" spans="1:27" ht="15">
      <c r="A398" s="154"/>
      <c r="B398" s="158"/>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row>
    <row r="399" spans="1:27" ht="15">
      <c r="A399" s="154"/>
      <c r="B399" s="158"/>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row>
    <row r="400" spans="1:27" ht="15">
      <c r="A400" s="154"/>
      <c r="B400" s="158"/>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row>
    <row r="401" spans="1:27" ht="15">
      <c r="A401" s="154"/>
      <c r="B401" s="158"/>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row>
    <row r="402" spans="1:27" ht="15">
      <c r="A402" s="154"/>
      <c r="B402" s="158"/>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row>
    <row r="403" spans="1:27" ht="15">
      <c r="A403" s="154"/>
      <c r="B403" s="158"/>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row>
    <row r="404" spans="1:27" ht="15">
      <c r="A404" s="154"/>
      <c r="B404" s="158"/>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row>
    <row r="405" spans="1:27" ht="15">
      <c r="A405" s="154"/>
      <c r="B405" s="158"/>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row>
    <row r="406" spans="1:27" ht="15">
      <c r="A406" s="154"/>
      <c r="B406" s="158"/>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row>
    <row r="407" spans="1:27" ht="15">
      <c r="A407" s="154"/>
      <c r="B407" s="158"/>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row>
    <row r="408" spans="1:27" ht="15">
      <c r="A408" s="154"/>
      <c r="B408" s="158"/>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row>
    <row r="409" spans="1:27" ht="15">
      <c r="A409" s="154"/>
      <c r="B409" s="158"/>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row>
    <row r="410" spans="1:27" ht="15">
      <c r="A410" s="154"/>
      <c r="B410" s="158"/>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row>
    <row r="411" spans="1:27" ht="15">
      <c r="A411" s="154"/>
      <c r="B411" s="158"/>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row>
    <row r="412" spans="1:27" ht="15">
      <c r="A412" s="154"/>
      <c r="B412" s="158"/>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row>
    <row r="413" spans="1:27" ht="15">
      <c r="A413" s="154"/>
      <c r="B413" s="158"/>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row>
    <row r="414" spans="1:27" ht="15">
      <c r="A414" s="154"/>
      <c r="B414" s="158"/>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row>
    <row r="415" spans="1:27" ht="15">
      <c r="A415" s="154"/>
      <c r="B415" s="158"/>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row>
    <row r="416" spans="1:27" ht="15">
      <c r="A416" s="154"/>
      <c r="B416" s="158"/>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row>
    <row r="417" spans="1:27" ht="15">
      <c r="A417" s="154"/>
      <c r="B417" s="158"/>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row>
    <row r="418" spans="1:27" ht="15">
      <c r="A418" s="154"/>
      <c r="B418" s="158"/>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row>
    <row r="419" spans="1:27" ht="15">
      <c r="A419" s="154"/>
      <c r="B419" s="158"/>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row>
    <row r="420" spans="1:27" ht="15">
      <c r="A420" s="154"/>
      <c r="B420" s="158"/>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row>
    <row r="421" spans="1:27" ht="15">
      <c r="A421" s="154"/>
      <c r="B421" s="158"/>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row>
    <row r="422" spans="1:27" ht="15">
      <c r="A422" s="154"/>
      <c r="B422" s="158"/>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row>
    <row r="423" spans="1:27" ht="15">
      <c r="A423" s="154"/>
      <c r="B423" s="158"/>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row>
    <row r="424" spans="1:27" ht="15">
      <c r="A424" s="154"/>
      <c r="B424" s="158"/>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row>
    <row r="425" spans="1:27" ht="15">
      <c r="A425" s="154"/>
      <c r="B425" s="158"/>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row>
    <row r="426" spans="1:27" ht="15">
      <c r="A426" s="154"/>
      <c r="B426" s="158"/>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row>
    <row r="427" spans="1:27" ht="15">
      <c r="A427" s="154"/>
      <c r="B427" s="158"/>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row>
    <row r="428" spans="1:27" ht="15">
      <c r="A428" s="154"/>
      <c r="B428" s="158"/>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row>
    <row r="429" spans="1:27" ht="15">
      <c r="A429" s="154"/>
      <c r="B429" s="158"/>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row>
    <row r="430" spans="1:27" ht="15">
      <c r="A430" s="154"/>
      <c r="B430" s="158"/>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row>
    <row r="431" spans="1:27" ht="15">
      <c r="A431" s="154"/>
      <c r="B431" s="158"/>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row>
    <row r="432" spans="1:27" ht="15">
      <c r="A432" s="154"/>
      <c r="B432" s="158"/>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row>
    <row r="433" spans="1:27" ht="15">
      <c r="A433" s="154"/>
      <c r="B433" s="158"/>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row>
    <row r="434" spans="1:27" ht="15">
      <c r="A434" s="154"/>
      <c r="B434" s="158"/>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row>
    <row r="435" spans="1:27" ht="15">
      <c r="A435" s="154"/>
      <c r="B435" s="158"/>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row>
    <row r="436" spans="1:27" ht="15">
      <c r="A436" s="154"/>
      <c r="B436" s="158"/>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row>
    <row r="437" spans="1:27" ht="15">
      <c r="A437" s="154"/>
      <c r="B437" s="158"/>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row>
    <row r="438" spans="1:27" ht="15">
      <c r="A438" s="154"/>
      <c r="B438" s="158"/>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row>
    <row r="439" spans="1:27" ht="15">
      <c r="A439" s="154"/>
      <c r="B439" s="158"/>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row>
    <row r="440" spans="1:27" ht="15">
      <c r="A440" s="154"/>
      <c r="B440" s="158"/>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row>
    <row r="441" spans="1:27" ht="15">
      <c r="A441" s="154"/>
      <c r="B441" s="158"/>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row>
    <row r="442" spans="1:27" ht="15">
      <c r="A442" s="154"/>
      <c r="B442" s="158"/>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row>
    <row r="443" spans="1:27" ht="15">
      <c r="A443" s="154"/>
      <c r="B443" s="158"/>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row>
    <row r="444" spans="1:27" ht="15">
      <c r="A444" s="154"/>
      <c r="B444" s="158"/>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row>
    <row r="445" spans="1:27" ht="15">
      <c r="A445" s="154"/>
      <c r="B445" s="158"/>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row>
    <row r="446" spans="1:27" ht="15">
      <c r="A446" s="154"/>
      <c r="B446" s="158"/>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row>
    <row r="447" spans="1:27" ht="15">
      <c r="A447" s="154"/>
      <c r="B447" s="158"/>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row>
    <row r="448" spans="1:27" ht="15">
      <c r="A448" s="154"/>
      <c r="B448" s="158"/>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row>
    <row r="449" spans="1:27" ht="15">
      <c r="A449" s="154"/>
      <c r="B449" s="158"/>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row>
    <row r="450" spans="1:27" ht="15">
      <c r="A450" s="154"/>
      <c r="B450" s="158"/>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row>
    <row r="451" spans="1:27" ht="15">
      <c r="A451" s="154"/>
      <c r="B451" s="158"/>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row>
    <row r="452" spans="1:27" ht="15">
      <c r="A452" s="154"/>
      <c r="B452" s="158"/>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row>
    <row r="453" spans="1:27" ht="15">
      <c r="A453" s="154"/>
      <c r="B453" s="158"/>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row>
    <row r="454" spans="1:27" ht="15">
      <c r="A454" s="154"/>
      <c r="B454" s="158"/>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row>
    <row r="455" spans="1:27" ht="15">
      <c r="A455" s="154"/>
      <c r="B455" s="158"/>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row>
    <row r="456" spans="1:27" ht="15">
      <c r="A456" s="154"/>
      <c r="B456" s="158"/>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row>
    <row r="457" spans="1:27" ht="15">
      <c r="A457" s="154"/>
      <c r="B457" s="158"/>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row>
    <row r="458" spans="1:27" ht="15">
      <c r="A458" s="154"/>
      <c r="B458" s="158"/>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row>
    <row r="459" spans="1:27" ht="15">
      <c r="A459" s="154"/>
      <c r="B459" s="158"/>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row>
    <row r="460" spans="1:27" ht="15">
      <c r="A460" s="154"/>
      <c r="B460" s="158"/>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row>
    <row r="461" spans="1:27" ht="15">
      <c r="A461" s="154"/>
      <c r="B461" s="158"/>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row>
    <row r="462" spans="1:27" ht="15">
      <c r="A462" s="154"/>
      <c r="B462" s="158"/>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row>
    <row r="463" spans="1:27" ht="15">
      <c r="A463" s="154"/>
      <c r="B463" s="158"/>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row>
    <row r="464" spans="1:27" ht="15">
      <c r="A464" s="154"/>
      <c r="B464" s="158"/>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row>
    <row r="465" spans="1:27" ht="15">
      <c r="A465" s="154"/>
      <c r="B465" s="158"/>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row>
    <row r="466" spans="1:27" ht="15">
      <c r="A466" s="154"/>
      <c r="B466" s="158"/>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row>
    <row r="467" spans="1:27" ht="15">
      <c r="A467" s="154"/>
      <c r="B467" s="158"/>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row>
    <row r="468" spans="1:27" ht="15">
      <c r="A468" s="154"/>
      <c r="B468" s="158"/>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row>
    <row r="469" spans="1:27" ht="15">
      <c r="A469" s="154"/>
      <c r="B469" s="158"/>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row>
    <row r="470" spans="1:27" ht="15">
      <c r="A470" s="154"/>
      <c r="B470" s="158"/>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row>
    <row r="471" spans="1:27" ht="15">
      <c r="A471" s="154"/>
      <c r="B471" s="158"/>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row>
    <row r="472" spans="1:27" ht="15">
      <c r="A472" s="154"/>
      <c r="B472" s="158"/>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row>
    <row r="473" spans="1:27" ht="15">
      <c r="A473" s="154"/>
      <c r="B473" s="158"/>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row>
    <row r="474" spans="1:27" ht="15">
      <c r="A474" s="154"/>
      <c r="B474" s="158"/>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row>
    <row r="475" spans="1:27" ht="15">
      <c r="A475" s="154"/>
      <c r="B475" s="158"/>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row>
    <row r="476" spans="1:27" ht="15">
      <c r="A476" s="154"/>
      <c r="B476" s="158"/>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row>
    <row r="477" spans="1:27" ht="15">
      <c r="A477" s="154"/>
      <c r="B477" s="158"/>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row>
    <row r="478" spans="1:27" ht="15">
      <c r="A478" s="154"/>
      <c r="B478" s="158"/>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row>
    <row r="479" spans="1:27" ht="15">
      <c r="A479" s="154"/>
      <c r="B479" s="158"/>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row>
    <row r="480" spans="1:27" ht="15">
      <c r="A480" s="154"/>
      <c r="B480" s="158"/>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row>
    <row r="481" spans="1:27" ht="15">
      <c r="A481" s="154"/>
      <c r="B481" s="158"/>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row>
    <row r="482" spans="1:27" ht="15">
      <c r="A482" s="154"/>
      <c r="B482" s="158"/>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row>
    <row r="483" spans="1:27" ht="15">
      <c r="A483" s="154"/>
      <c r="B483" s="158"/>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row>
    <row r="484" spans="1:27" ht="15">
      <c r="A484" s="154"/>
      <c r="B484" s="158"/>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row>
    <row r="485" spans="1:27" ht="15">
      <c r="A485" s="154"/>
      <c r="B485" s="158"/>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row>
    <row r="486" spans="1:27" ht="15">
      <c r="A486" s="154"/>
      <c r="B486" s="158"/>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row>
    <row r="487" spans="1:27" ht="15">
      <c r="A487" s="154"/>
      <c r="B487" s="158"/>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row>
    <row r="488" spans="1:27" ht="15">
      <c r="A488" s="154"/>
      <c r="B488" s="158"/>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row>
    <row r="489" spans="1:27" ht="15">
      <c r="A489" s="154"/>
      <c r="B489" s="158"/>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row>
    <row r="490" spans="1:27" ht="15">
      <c r="A490" s="154"/>
      <c r="B490" s="158"/>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row>
    <row r="491" spans="1:27" ht="15">
      <c r="A491" s="154"/>
      <c r="B491" s="158"/>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row>
    <row r="492" spans="1:27" ht="15">
      <c r="A492" s="154"/>
      <c r="B492" s="158"/>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row>
    <row r="493" spans="1:27" ht="15">
      <c r="A493" s="154"/>
      <c r="B493" s="158"/>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row>
    <row r="494" spans="1:27" ht="15">
      <c r="A494" s="154"/>
      <c r="B494" s="158"/>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row>
    <row r="495" spans="1:27" ht="15">
      <c r="A495" s="154"/>
      <c r="B495" s="158"/>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row>
    <row r="496" spans="1:27" ht="15">
      <c r="A496" s="154"/>
      <c r="B496" s="158"/>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row>
    <row r="497" spans="1:27" ht="15">
      <c r="A497" s="154"/>
      <c r="B497" s="158"/>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row>
    <row r="498" spans="1:27" ht="15">
      <c r="A498" s="154"/>
      <c r="B498" s="158"/>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row>
    <row r="499" spans="1:27" ht="15">
      <c r="A499" s="154"/>
      <c r="B499" s="158"/>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row>
    <row r="500" spans="1:27" ht="15">
      <c r="A500" s="154"/>
      <c r="B500" s="158"/>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row>
    <row r="501" spans="1:27" ht="15">
      <c r="A501" s="154"/>
      <c r="B501" s="158"/>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row>
    <row r="502" spans="1:27" ht="15">
      <c r="A502" s="154"/>
      <c r="B502" s="158"/>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row>
    <row r="503" spans="1:27" ht="15">
      <c r="A503" s="154"/>
      <c r="B503" s="158"/>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row>
    <row r="504" spans="1:27" ht="15">
      <c r="A504" s="154"/>
      <c r="B504" s="158"/>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row>
    <row r="505" spans="1:27" ht="15">
      <c r="A505" s="154"/>
      <c r="B505" s="158"/>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row>
    <row r="506" spans="1:27" ht="15">
      <c r="A506" s="154"/>
      <c r="B506" s="158"/>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row>
    <row r="507" spans="1:27" ht="15">
      <c r="A507" s="154"/>
      <c r="B507" s="158"/>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row>
    <row r="508" spans="1:27" ht="15">
      <c r="A508" s="154"/>
      <c r="B508" s="158"/>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row>
    <row r="509" spans="1:27" ht="15">
      <c r="A509" s="154"/>
      <c r="B509" s="158"/>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row>
    <row r="510" spans="1:27" ht="15">
      <c r="A510" s="154"/>
      <c r="B510" s="158"/>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row>
    <row r="511" spans="1:27" ht="15">
      <c r="A511" s="154"/>
      <c r="B511" s="158"/>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row>
    <row r="512" spans="1:27" ht="15">
      <c r="A512" s="154"/>
      <c r="B512" s="158"/>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row>
    <row r="513" spans="1:27" ht="15">
      <c r="A513" s="154"/>
      <c r="B513" s="158"/>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row>
    <row r="514" spans="1:27" ht="15">
      <c r="A514" s="154"/>
      <c r="B514" s="158"/>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row>
    <row r="515" spans="1:27" ht="15">
      <c r="A515" s="154"/>
      <c r="B515" s="158"/>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row>
    <row r="516" spans="1:27" ht="15">
      <c r="A516" s="154"/>
      <c r="B516" s="158"/>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row>
    <row r="517" spans="1:27" ht="15">
      <c r="A517" s="154"/>
      <c r="B517" s="158"/>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row>
    <row r="518" spans="1:27" ht="15">
      <c r="A518" s="154"/>
      <c r="B518" s="158"/>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row>
    <row r="519" spans="1:27" ht="15">
      <c r="A519" s="154"/>
      <c r="B519" s="158"/>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row>
    <row r="520" spans="1:27" ht="15">
      <c r="A520" s="154"/>
      <c r="B520" s="158"/>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row>
    <row r="521" spans="1:27" ht="15">
      <c r="A521" s="154"/>
      <c r="B521" s="158"/>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row>
    <row r="522" spans="1:27" ht="15">
      <c r="A522" s="154"/>
      <c r="B522" s="158"/>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row>
    <row r="523" spans="1:27" ht="15">
      <c r="A523" s="154"/>
      <c r="B523" s="158"/>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row>
    <row r="524" spans="1:27" ht="15">
      <c r="A524" s="154"/>
      <c r="B524" s="158"/>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row>
    <row r="525" spans="1:27" ht="15">
      <c r="A525" s="154"/>
      <c r="B525" s="158"/>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row>
    <row r="526" spans="1:27" ht="15">
      <c r="A526" s="154"/>
      <c r="B526" s="158"/>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row>
    <row r="527" spans="1:27" ht="15">
      <c r="A527" s="154"/>
      <c r="B527" s="158"/>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row>
    <row r="528" spans="1:27" ht="15">
      <c r="A528" s="154"/>
      <c r="B528" s="158"/>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row>
    <row r="529" spans="1:27" ht="15">
      <c r="A529" s="154"/>
      <c r="B529" s="158"/>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row>
    <row r="530" spans="1:27" ht="15">
      <c r="A530" s="154"/>
      <c r="B530" s="158"/>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row>
    <row r="531" spans="1:27" ht="15">
      <c r="A531" s="154"/>
      <c r="B531" s="158"/>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row>
    <row r="532" spans="1:27" ht="15">
      <c r="A532" s="154"/>
      <c r="B532" s="158"/>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row>
    <row r="533" spans="1:27" ht="15">
      <c r="A533" s="154"/>
      <c r="B533" s="158"/>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row>
    <row r="534" spans="1:27" ht="15">
      <c r="A534" s="154"/>
      <c r="B534" s="158"/>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row>
    <row r="535" spans="1:27" ht="15">
      <c r="A535" s="154"/>
      <c r="B535" s="158"/>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row>
    <row r="536" spans="1:27" ht="15">
      <c r="A536" s="154"/>
      <c r="B536" s="158"/>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row>
    <row r="537" spans="1:27" ht="15">
      <c r="A537" s="154"/>
      <c r="B537" s="158"/>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row>
    <row r="538" spans="1:27" ht="15">
      <c r="A538" s="154"/>
      <c r="B538" s="158"/>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row>
    <row r="539" spans="1:27" ht="15">
      <c r="A539" s="154"/>
      <c r="B539" s="158"/>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row>
    <row r="540" spans="1:27" ht="15">
      <c r="A540" s="154"/>
      <c r="B540" s="158"/>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row>
    <row r="541" spans="1:27" ht="15">
      <c r="A541" s="154"/>
      <c r="B541" s="158"/>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row>
    <row r="542" spans="1:27" ht="15">
      <c r="A542" s="154"/>
      <c r="B542" s="158"/>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row>
    <row r="543" spans="1:27" ht="15">
      <c r="A543" s="154"/>
      <c r="B543" s="158"/>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row>
    <row r="544" spans="1:27" ht="15">
      <c r="A544" s="154"/>
      <c r="B544" s="158"/>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row>
    <row r="545" spans="1:27" ht="15">
      <c r="A545" s="154"/>
      <c r="B545" s="158"/>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row>
    <row r="546" spans="1:27" ht="15">
      <c r="A546" s="154"/>
      <c r="B546" s="158"/>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row>
    <row r="547" spans="1:27" ht="15">
      <c r="A547" s="154"/>
      <c r="B547" s="158"/>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row>
    <row r="548" spans="1:27" ht="15">
      <c r="A548" s="154"/>
      <c r="B548" s="158"/>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row>
    <row r="549" spans="1:27" ht="15">
      <c r="A549" s="154"/>
      <c r="B549" s="158"/>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row>
    <row r="550" spans="1:27" ht="15">
      <c r="A550" s="154"/>
      <c r="B550" s="158"/>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row>
    <row r="551" spans="1:27" ht="15">
      <c r="A551" s="154"/>
      <c r="B551" s="158"/>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row>
    <row r="552" spans="1:27" ht="15">
      <c r="A552" s="154"/>
      <c r="B552" s="158"/>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row>
    <row r="553" spans="1:27" ht="15">
      <c r="A553" s="154"/>
      <c r="B553" s="158"/>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row>
    <row r="554" spans="1:27" ht="15">
      <c r="A554" s="154"/>
      <c r="B554" s="158"/>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row>
    <row r="555" spans="1:27" ht="15">
      <c r="A555" s="154"/>
      <c r="B555" s="158"/>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row>
    <row r="556" spans="1:27" ht="15">
      <c r="A556" s="154"/>
      <c r="B556" s="158"/>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row>
    <row r="557" spans="1:27" ht="15">
      <c r="A557" s="154"/>
      <c r="B557" s="158"/>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row>
    <row r="558" spans="1:27" ht="15">
      <c r="A558" s="154"/>
      <c r="B558" s="158"/>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row>
    <row r="559" spans="1:27" ht="15">
      <c r="A559" s="154"/>
      <c r="B559" s="158"/>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row>
    <row r="560" spans="1:27" ht="15">
      <c r="A560" s="154"/>
      <c r="B560" s="158"/>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row>
    <row r="561" spans="1:27" ht="15">
      <c r="A561" s="154"/>
      <c r="B561" s="158"/>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row>
    <row r="562" spans="1:27" ht="15">
      <c r="A562" s="154"/>
      <c r="B562" s="158"/>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row>
    <row r="563" spans="1:27" ht="15">
      <c r="A563" s="154"/>
      <c r="B563" s="158"/>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row>
    <row r="564" spans="1:27" ht="15">
      <c r="A564" s="154"/>
      <c r="B564" s="158"/>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row>
    <row r="565" spans="1:27" ht="15">
      <c r="A565" s="154"/>
      <c r="B565" s="158"/>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row>
    <row r="566" spans="1:27" ht="15">
      <c r="A566" s="154"/>
      <c r="B566" s="158"/>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row>
    <row r="567" spans="1:27" ht="15">
      <c r="A567" s="154"/>
      <c r="B567" s="158"/>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row>
    <row r="568" spans="1:27" ht="15">
      <c r="A568" s="154"/>
      <c r="B568" s="158"/>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row>
    <row r="569" spans="1:27" ht="15">
      <c r="A569" s="154"/>
      <c r="B569" s="158"/>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row>
    <row r="570" spans="1:27" ht="15">
      <c r="A570" s="154"/>
      <c r="B570" s="158"/>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row>
    <row r="571" spans="1:27" ht="15">
      <c r="A571" s="154"/>
      <c r="B571" s="158"/>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row>
    <row r="572" spans="1:27" ht="15">
      <c r="A572" s="154"/>
      <c r="B572" s="158"/>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row>
    <row r="573" spans="1:27" ht="15">
      <c r="A573" s="154"/>
      <c r="B573" s="158"/>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row>
    <row r="574" spans="1:27" ht="15">
      <c r="A574" s="154"/>
      <c r="B574" s="158"/>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row>
    <row r="575" spans="1:27" ht="15">
      <c r="A575" s="154"/>
      <c r="B575" s="158"/>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row>
    <row r="576" spans="1:27" ht="15">
      <c r="A576" s="154"/>
      <c r="B576" s="158"/>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row>
    <row r="577" spans="1:27" ht="15">
      <c r="A577" s="154"/>
      <c r="B577" s="158"/>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row>
    <row r="578" spans="1:27" ht="15">
      <c r="A578" s="154"/>
      <c r="B578" s="158"/>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row>
    <row r="579" spans="1:27" ht="15">
      <c r="A579" s="154"/>
      <c r="B579" s="158"/>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row>
    <row r="580" spans="1:27" ht="15">
      <c r="A580" s="154"/>
      <c r="B580" s="158"/>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row>
    <row r="581" spans="1:27" ht="15">
      <c r="A581" s="154"/>
      <c r="B581" s="158"/>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row>
    <row r="582" spans="1:27" ht="15">
      <c r="A582" s="154"/>
      <c r="B582" s="158"/>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row>
    <row r="583" spans="1:27" ht="15">
      <c r="A583" s="154"/>
      <c r="B583" s="158"/>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row>
    <row r="584" spans="1:27" ht="15">
      <c r="A584" s="154"/>
      <c r="B584" s="158"/>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row>
    <row r="585" spans="1:27" ht="15">
      <c r="A585" s="154"/>
      <c r="B585" s="158"/>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row>
    <row r="586" spans="1:27" ht="15">
      <c r="A586" s="154"/>
      <c r="B586" s="158"/>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row>
    <row r="587" spans="1:27" ht="15">
      <c r="A587" s="154"/>
      <c r="B587" s="158"/>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row>
    <row r="588" spans="1:27" ht="15">
      <c r="A588" s="154"/>
      <c r="B588" s="158"/>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row>
    <row r="589" spans="1:27" ht="15">
      <c r="A589" s="154"/>
      <c r="B589" s="158"/>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row>
    <row r="590" spans="1:27" ht="15">
      <c r="A590" s="154"/>
      <c r="B590" s="158"/>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row>
    <row r="591" spans="1:27" ht="15">
      <c r="A591" s="154"/>
      <c r="B591" s="158"/>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row>
    <row r="592" spans="1:27" ht="15">
      <c r="A592" s="154"/>
      <c r="B592" s="158"/>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row>
    <row r="593" spans="1:27" ht="15">
      <c r="A593" s="154"/>
      <c r="B593" s="158"/>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row>
    <row r="594" spans="1:27" ht="15">
      <c r="A594" s="154"/>
      <c r="B594" s="158"/>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row>
    <row r="595" spans="1:27" ht="15">
      <c r="A595" s="154"/>
      <c r="B595" s="158"/>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row>
    <row r="596" spans="1:27" ht="15">
      <c r="A596" s="154"/>
      <c r="B596" s="158"/>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row>
    <row r="597" spans="1:27" ht="15">
      <c r="A597" s="154"/>
      <c r="B597" s="158"/>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row>
    <row r="598" spans="1:27" ht="15">
      <c r="A598" s="154"/>
      <c r="B598" s="158"/>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row>
    <row r="599" spans="1:27" ht="15">
      <c r="A599" s="154"/>
      <c r="B599" s="158"/>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row>
    <row r="600" spans="1:27" ht="15">
      <c r="A600" s="154"/>
      <c r="B600" s="158"/>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row>
    <row r="601" spans="1:27" ht="15">
      <c r="A601" s="154"/>
      <c r="B601" s="158"/>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row>
    <row r="602" spans="1:27" ht="15">
      <c r="A602" s="154"/>
      <c r="B602" s="158"/>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row>
    <row r="603" spans="1:27" ht="15">
      <c r="A603" s="154"/>
      <c r="B603" s="158"/>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row>
    <row r="604" spans="1:27" ht="15">
      <c r="A604" s="154"/>
      <c r="B604" s="158"/>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row>
    <row r="605" spans="1:27" ht="15">
      <c r="A605" s="154"/>
      <c r="B605" s="158"/>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row>
    <row r="606" spans="1:27" ht="15">
      <c r="A606" s="154"/>
      <c r="B606" s="158"/>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row>
    <row r="607" spans="1:27" ht="15">
      <c r="A607" s="154"/>
      <c r="B607" s="158"/>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row>
    <row r="608" spans="1:27" ht="15">
      <c r="A608" s="154"/>
      <c r="B608" s="158"/>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row>
    <row r="609" spans="1:27" ht="15">
      <c r="A609" s="154"/>
      <c r="B609" s="158"/>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row>
    <row r="610" spans="1:27" ht="15">
      <c r="A610" s="154"/>
      <c r="B610" s="158"/>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row>
    <row r="611" spans="1:27" ht="15">
      <c r="A611" s="154"/>
      <c r="B611" s="158"/>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row>
    <row r="612" spans="1:27" ht="15">
      <c r="A612" s="154"/>
      <c r="B612" s="158"/>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row>
    <row r="613" spans="1:27" ht="15">
      <c r="A613" s="154"/>
      <c r="B613" s="158"/>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row>
    <row r="614" spans="1:27" ht="15">
      <c r="A614" s="154"/>
      <c r="B614" s="158"/>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row>
    <row r="615" spans="1:27" ht="15">
      <c r="A615" s="154"/>
      <c r="B615" s="158"/>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row>
    <row r="616" spans="1:27" ht="15">
      <c r="A616" s="154"/>
      <c r="B616" s="158"/>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row>
    <row r="617" spans="1:27" ht="15">
      <c r="A617" s="154"/>
      <c r="B617" s="158"/>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row>
    <row r="618" spans="1:27" ht="15">
      <c r="A618" s="154"/>
      <c r="B618" s="158"/>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row>
    <row r="619" spans="1:27" ht="15">
      <c r="A619" s="154"/>
      <c r="B619" s="158"/>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row>
    <row r="620" spans="1:27" ht="15">
      <c r="A620" s="154"/>
      <c r="B620" s="158"/>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row>
    <row r="621" spans="1:27" ht="15">
      <c r="A621" s="154"/>
      <c r="B621" s="158"/>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row>
    <row r="622" spans="1:27" ht="15">
      <c r="A622" s="154"/>
      <c r="B622" s="158"/>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row>
    <row r="623" spans="1:27" ht="15">
      <c r="A623" s="154"/>
      <c r="B623" s="158"/>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row>
    <row r="624" spans="1:27" ht="15">
      <c r="A624" s="154"/>
      <c r="B624" s="158"/>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row>
    <row r="625" spans="1:27" ht="15">
      <c r="A625" s="154"/>
      <c r="B625" s="158"/>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row>
    <row r="626" spans="1:27" ht="15">
      <c r="A626" s="154"/>
      <c r="B626" s="158"/>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row>
    <row r="627" spans="1:27" ht="15">
      <c r="A627" s="154"/>
      <c r="B627" s="158"/>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row>
    <row r="628" spans="1:27" ht="15">
      <c r="A628" s="154"/>
      <c r="B628" s="158"/>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row>
    <row r="629" spans="1:27" ht="15">
      <c r="A629" s="154"/>
      <c r="B629" s="158"/>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row>
    <row r="630" spans="1:27" ht="15">
      <c r="A630" s="154"/>
      <c r="B630" s="158"/>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row>
    <row r="631" spans="1:27" ht="15">
      <c r="A631" s="154"/>
      <c r="B631" s="158"/>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row>
    <row r="632" spans="1:27" ht="15">
      <c r="A632" s="154"/>
      <c r="B632" s="158"/>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row>
    <row r="633" spans="1:27" ht="15">
      <c r="A633" s="154"/>
      <c r="B633" s="158"/>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row>
    <row r="634" spans="1:27" ht="15">
      <c r="A634" s="154"/>
      <c r="B634" s="158"/>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row>
    <row r="635" spans="1:27" ht="15">
      <c r="A635" s="154"/>
      <c r="B635" s="158"/>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row>
    <row r="636" spans="1:27" ht="15">
      <c r="A636" s="154"/>
      <c r="B636" s="158"/>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row>
    <row r="637" spans="1:27" ht="15">
      <c r="A637" s="154"/>
      <c r="B637" s="158"/>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row>
    <row r="638" spans="1:27" ht="15">
      <c r="A638" s="154"/>
      <c r="B638" s="158"/>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row>
    <row r="639" spans="1:27" ht="15">
      <c r="A639" s="154"/>
      <c r="B639" s="158"/>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row>
    <row r="640" spans="1:27" ht="15">
      <c r="A640" s="154"/>
      <c r="B640" s="158"/>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row>
    <row r="641" spans="1:27" ht="15">
      <c r="A641" s="154"/>
      <c r="B641" s="158"/>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row>
    <row r="642" spans="1:27" ht="15">
      <c r="A642" s="154"/>
      <c r="B642" s="158"/>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row>
    <row r="643" spans="1:27" ht="15">
      <c r="A643" s="154"/>
      <c r="B643" s="158"/>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row>
    <row r="644" spans="1:27" ht="15">
      <c r="A644" s="154"/>
      <c r="B644" s="158"/>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row>
    <row r="645" spans="1:27" ht="15">
      <c r="A645" s="154"/>
      <c r="B645" s="158"/>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row>
    <row r="646" spans="1:27" ht="15">
      <c r="A646" s="154"/>
      <c r="B646" s="158"/>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row>
    <row r="647" spans="1:27" ht="15">
      <c r="A647" s="154"/>
      <c r="B647" s="158"/>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row>
    <row r="648" spans="1:27" ht="15">
      <c r="A648" s="154"/>
      <c r="B648" s="158"/>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row>
    <row r="649" spans="1:27" ht="15">
      <c r="A649" s="154"/>
      <c r="B649" s="158"/>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row>
    <row r="650" spans="1:27" ht="15">
      <c r="A650" s="154"/>
      <c r="B650" s="158"/>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row>
    <row r="651" spans="1:27" ht="15">
      <c r="A651" s="154"/>
      <c r="B651" s="158"/>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row>
    <row r="652" spans="1:27" ht="15">
      <c r="A652" s="154"/>
      <c r="B652" s="158"/>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row>
    <row r="653" spans="1:27" ht="15">
      <c r="A653" s="154"/>
      <c r="B653" s="158"/>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row>
    <row r="654" spans="1:27" ht="15">
      <c r="A654" s="154"/>
      <c r="B654" s="158"/>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row>
    <row r="655" spans="1:27" ht="15">
      <c r="A655" s="154"/>
      <c r="B655" s="158"/>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row>
    <row r="656" spans="1:27" ht="15">
      <c r="A656" s="154"/>
      <c r="B656" s="158"/>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row>
    <row r="657" spans="1:27" ht="15">
      <c r="A657" s="154"/>
      <c r="B657" s="158"/>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row>
    <row r="658" spans="1:27" ht="15">
      <c r="A658" s="154"/>
      <c r="B658" s="158"/>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row>
    <row r="659" spans="1:27" ht="15">
      <c r="A659" s="154"/>
      <c r="B659" s="158"/>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row>
    <row r="660" spans="1:27" ht="15">
      <c r="A660" s="154"/>
      <c r="B660" s="158"/>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row>
    <row r="661" spans="1:27" ht="15">
      <c r="A661" s="154"/>
      <c r="B661" s="158"/>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row>
    <row r="662" spans="1:27" ht="15">
      <c r="A662" s="154"/>
      <c r="B662" s="158"/>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row>
    <row r="663" spans="1:27" ht="15">
      <c r="A663" s="154"/>
      <c r="B663" s="158"/>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row>
    <row r="664" spans="1:27" ht="15">
      <c r="A664" s="154"/>
      <c r="B664" s="158"/>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row>
    <row r="665" spans="1:27" ht="15">
      <c r="A665" s="154"/>
      <c r="B665" s="158"/>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row>
    <row r="666" spans="1:27" ht="15">
      <c r="A666" s="154"/>
      <c r="B666" s="158"/>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row>
    <row r="667" spans="1:27" ht="15">
      <c r="A667" s="154"/>
      <c r="B667" s="158"/>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row>
    <row r="668" spans="1:27" ht="15">
      <c r="A668" s="154"/>
      <c r="B668" s="158"/>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row>
    <row r="669" spans="1:27" ht="15">
      <c r="A669" s="154"/>
      <c r="B669" s="158"/>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row>
    <row r="670" spans="1:27" ht="15">
      <c r="A670" s="154"/>
      <c r="B670" s="158"/>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row>
    <row r="671" spans="1:27" ht="15">
      <c r="A671" s="154"/>
      <c r="B671" s="158"/>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row>
    <row r="672" spans="1:27" ht="15">
      <c r="A672" s="154"/>
      <c r="B672" s="158"/>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row>
    <row r="673" spans="1:27" ht="15">
      <c r="A673" s="154"/>
      <c r="B673" s="158"/>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row>
    <row r="674" spans="1:27" ht="15">
      <c r="A674" s="154"/>
      <c r="B674" s="158"/>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row>
    <row r="675" spans="1:27" ht="15">
      <c r="A675" s="154"/>
      <c r="B675" s="158"/>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row>
    <row r="676" spans="1:27" ht="15">
      <c r="A676" s="154"/>
      <c r="B676" s="158"/>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row>
    <row r="677" spans="1:27" ht="15">
      <c r="A677" s="154"/>
      <c r="B677" s="158"/>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row>
    <row r="678" spans="1:27" ht="15">
      <c r="A678" s="154"/>
      <c r="B678" s="158"/>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row>
    <row r="679" spans="1:27" ht="15">
      <c r="A679" s="154"/>
      <c r="B679" s="158"/>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row>
    <row r="680" spans="1:27" ht="15">
      <c r="A680" s="154"/>
      <c r="B680" s="158"/>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row>
    <row r="681" spans="1:27" ht="15">
      <c r="A681" s="154"/>
      <c r="B681" s="158"/>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row>
    <row r="682" spans="1:27" ht="15">
      <c r="A682" s="154"/>
      <c r="B682" s="158"/>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row>
    <row r="683" spans="1:27" ht="15">
      <c r="A683" s="154"/>
      <c r="B683" s="158"/>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row>
    <row r="684" spans="1:27" ht="15">
      <c r="A684" s="154"/>
      <c r="B684" s="158"/>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row>
    <row r="685" spans="1:27" ht="15">
      <c r="A685" s="154"/>
      <c r="B685" s="158"/>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row>
    <row r="686" spans="1:27" ht="15">
      <c r="A686" s="154"/>
      <c r="B686" s="158"/>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row>
    <row r="687" spans="1:27" ht="15">
      <c r="A687" s="154"/>
      <c r="B687" s="158"/>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row>
    <row r="688" spans="1:27" ht="15">
      <c r="A688" s="154"/>
      <c r="B688" s="158"/>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row>
    <row r="689" spans="1:27" ht="15">
      <c r="A689" s="154"/>
      <c r="B689" s="158"/>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row>
    <row r="690" spans="1:27" ht="15">
      <c r="A690" s="154"/>
      <c r="B690" s="158"/>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row>
    <row r="691" spans="1:27" ht="15">
      <c r="A691" s="154"/>
      <c r="B691" s="158"/>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row>
    <row r="692" spans="1:27" ht="15">
      <c r="A692" s="154"/>
      <c r="B692" s="158"/>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row>
    <row r="693" spans="1:27" ht="15">
      <c r="A693" s="154"/>
      <c r="B693" s="158"/>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row>
    <row r="694" spans="1:27" ht="15">
      <c r="A694" s="154"/>
      <c r="B694" s="158"/>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row>
    <row r="695" spans="1:27" ht="15">
      <c r="A695" s="154"/>
      <c r="B695" s="158"/>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row>
    <row r="696" spans="1:27" ht="15">
      <c r="A696" s="154"/>
      <c r="B696" s="158"/>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row>
    <row r="697" spans="1:27" ht="15">
      <c r="A697" s="154"/>
      <c r="B697" s="158"/>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row>
    <row r="698" spans="1:27" ht="15">
      <c r="A698" s="154"/>
      <c r="B698" s="158"/>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row>
    <row r="699" spans="1:27" ht="15">
      <c r="A699" s="154"/>
      <c r="B699" s="158"/>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row>
    <row r="700" spans="1:27" ht="15">
      <c r="A700" s="154"/>
      <c r="B700" s="158"/>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row>
    <row r="701" spans="1:27" ht="15">
      <c r="A701" s="154"/>
      <c r="B701" s="158"/>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row>
    <row r="702" spans="1:27" ht="15">
      <c r="A702" s="154"/>
      <c r="B702" s="158"/>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row>
    <row r="703" spans="1:27" ht="15">
      <c r="A703" s="154"/>
      <c r="B703" s="158"/>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row>
    <row r="704" spans="1:27" ht="15">
      <c r="A704" s="154"/>
      <c r="B704" s="158"/>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row>
    <row r="705" spans="1:27" ht="15">
      <c r="A705" s="154"/>
      <c r="B705" s="158"/>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row>
    <row r="706" spans="1:27" ht="15">
      <c r="A706" s="154"/>
      <c r="B706" s="158"/>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row>
    <row r="707" spans="1:27" ht="15">
      <c r="A707" s="154"/>
      <c r="B707" s="158"/>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row>
    <row r="708" spans="1:27" ht="15">
      <c r="A708" s="154"/>
      <c r="B708" s="158"/>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row>
    <row r="709" spans="1:27" ht="15">
      <c r="A709" s="154"/>
      <c r="B709" s="158"/>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row>
    <row r="710" spans="1:27" ht="15">
      <c r="A710" s="154"/>
      <c r="B710" s="158"/>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row>
    <row r="711" spans="1:27" ht="15">
      <c r="A711" s="154"/>
      <c r="B711" s="158"/>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row>
    <row r="712" spans="1:27" ht="15">
      <c r="A712" s="154"/>
      <c r="B712" s="158"/>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row>
    <row r="713" spans="1:27" ht="15">
      <c r="A713" s="154"/>
      <c r="B713" s="158"/>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row>
    <row r="714" spans="1:27" ht="15">
      <c r="A714" s="154"/>
      <c r="B714" s="158"/>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row>
    <row r="715" spans="1:27" ht="15">
      <c r="A715" s="154"/>
      <c r="B715" s="158"/>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row>
    <row r="716" spans="1:27" ht="15">
      <c r="A716" s="154"/>
      <c r="B716" s="158"/>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row>
    <row r="717" spans="1:27" ht="15">
      <c r="A717" s="154"/>
      <c r="B717" s="158"/>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row>
    <row r="718" spans="1:27" ht="15">
      <c r="A718" s="154"/>
      <c r="B718" s="158"/>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row>
    <row r="719" spans="1:27" ht="15">
      <c r="A719" s="154"/>
      <c r="B719" s="158"/>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row>
    <row r="720" spans="1:27" ht="15">
      <c r="A720" s="154"/>
      <c r="B720" s="158"/>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row>
    <row r="721" spans="1:27" ht="15">
      <c r="A721" s="154"/>
      <c r="B721" s="158"/>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row>
    <row r="722" spans="1:27" ht="15">
      <c r="A722" s="154"/>
      <c r="B722" s="158"/>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row>
    <row r="723" spans="1:27" ht="15">
      <c r="A723" s="154"/>
      <c r="B723" s="158"/>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row>
    <row r="724" spans="1:27" ht="15">
      <c r="A724" s="154"/>
      <c r="B724" s="158"/>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row>
    <row r="725" spans="1:27" ht="15">
      <c r="A725" s="154"/>
      <c r="B725" s="158"/>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row>
    <row r="726" spans="1:27" ht="15">
      <c r="A726" s="154"/>
      <c r="B726" s="158"/>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row>
    <row r="727" spans="1:27" ht="15">
      <c r="A727" s="154"/>
      <c r="B727" s="158"/>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row>
    <row r="728" spans="1:27" ht="15">
      <c r="A728" s="154"/>
      <c r="B728" s="158"/>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row>
    <row r="729" spans="1:27" ht="15">
      <c r="A729" s="154"/>
      <c r="B729" s="158"/>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row>
    <row r="730" spans="1:27" ht="15">
      <c r="A730" s="154"/>
      <c r="B730" s="158"/>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row>
    <row r="731" spans="1:27" ht="15">
      <c r="A731" s="154"/>
      <c r="B731" s="158"/>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row>
    <row r="732" spans="1:27" ht="15">
      <c r="A732" s="154"/>
      <c r="B732" s="158"/>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row>
    <row r="733" spans="1:27" ht="15">
      <c r="A733" s="154"/>
      <c r="B733" s="158"/>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row>
    <row r="734" spans="1:27" ht="15">
      <c r="A734" s="154"/>
      <c r="B734" s="158"/>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row>
    <row r="735" spans="1:27" ht="15">
      <c r="A735" s="154"/>
      <c r="B735" s="158"/>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row>
    <row r="736" spans="1:27" ht="15">
      <c r="A736" s="154"/>
      <c r="B736" s="158"/>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row>
    <row r="737" spans="1:27" ht="15">
      <c r="A737" s="154"/>
      <c r="B737" s="158"/>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row>
    <row r="738" spans="1:27" ht="15">
      <c r="A738" s="154"/>
      <c r="B738" s="158"/>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row>
    <row r="739" spans="1:27" ht="15">
      <c r="A739" s="154"/>
      <c r="B739" s="158"/>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row>
    <row r="740" spans="1:27" ht="15">
      <c r="A740" s="154"/>
      <c r="B740" s="158"/>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row>
    <row r="741" spans="1:27" ht="15">
      <c r="A741" s="154"/>
      <c r="B741" s="158"/>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row>
    <row r="742" spans="1:27" ht="15">
      <c r="A742" s="154"/>
      <c r="B742" s="158"/>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row>
    <row r="743" spans="1:27" ht="15">
      <c r="A743" s="154"/>
      <c r="B743" s="158"/>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row>
    <row r="744" spans="1:27" ht="15">
      <c r="A744" s="154"/>
      <c r="B744" s="158"/>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row>
    <row r="745" spans="1:27" ht="15">
      <c r="A745" s="154"/>
      <c r="B745" s="158"/>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row>
    <row r="746" spans="1:27" ht="15">
      <c r="A746" s="154"/>
      <c r="B746" s="158"/>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row>
    <row r="747" spans="1:27" ht="15">
      <c r="A747" s="154"/>
      <c r="B747" s="158"/>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row>
    <row r="748" spans="1:27" ht="15">
      <c r="A748" s="154"/>
      <c r="B748" s="158"/>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row>
    <row r="749" spans="1:27" ht="15">
      <c r="A749" s="154"/>
      <c r="B749" s="158"/>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row>
    <row r="750" spans="1:27" ht="15">
      <c r="A750" s="154"/>
      <c r="B750" s="158"/>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row>
    <row r="751" spans="1:27" ht="15">
      <c r="A751" s="154"/>
      <c r="B751" s="158"/>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row>
    <row r="752" spans="1:27" ht="15">
      <c r="A752" s="154"/>
      <c r="B752" s="158"/>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row>
    <row r="753" spans="1:27" ht="15">
      <c r="A753" s="154"/>
      <c r="B753" s="158"/>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row>
    <row r="754" spans="1:27" ht="15">
      <c r="A754" s="154"/>
      <c r="B754" s="158"/>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row>
    <row r="755" spans="1:27" ht="15">
      <c r="A755" s="154"/>
      <c r="B755" s="158"/>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row>
    <row r="756" spans="1:27" ht="15">
      <c r="A756" s="154"/>
      <c r="B756" s="158"/>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row>
    <row r="757" spans="1:27" ht="15">
      <c r="A757" s="154"/>
      <c r="B757" s="158"/>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row>
    <row r="758" spans="1:27" ht="15">
      <c r="A758" s="154"/>
      <c r="B758" s="158"/>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row>
    <row r="759" spans="1:27" ht="15">
      <c r="A759" s="154"/>
      <c r="B759" s="158"/>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row>
    <row r="760" spans="1:27" ht="15">
      <c r="A760" s="154"/>
      <c r="B760" s="158"/>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row>
    <row r="761" spans="1:27" ht="15">
      <c r="A761" s="154"/>
      <c r="B761" s="158"/>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row>
    <row r="762" spans="1:27" ht="15">
      <c r="A762" s="154"/>
      <c r="B762" s="158"/>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row>
    <row r="763" spans="1:27" ht="15">
      <c r="A763" s="154"/>
      <c r="B763" s="158"/>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row>
    <row r="764" spans="1:27" ht="15">
      <c r="A764" s="154"/>
      <c r="B764" s="158"/>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row>
    <row r="765" spans="1:27" ht="15">
      <c r="A765" s="154"/>
      <c r="B765" s="158"/>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row>
    <row r="766" spans="1:27" ht="15">
      <c r="A766" s="154"/>
      <c r="B766" s="158"/>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row>
    <row r="767" spans="1:27" ht="15">
      <c r="A767" s="154"/>
      <c r="B767" s="158"/>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row>
    <row r="768" spans="1:27" ht="15">
      <c r="A768" s="154"/>
      <c r="B768" s="158"/>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row>
    <row r="769" spans="1:27" ht="15">
      <c r="A769" s="154"/>
      <c r="B769" s="158"/>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row>
    <row r="770" spans="1:27" ht="15">
      <c r="A770" s="154"/>
      <c r="B770" s="158"/>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row>
    <row r="771" spans="1:27" ht="15">
      <c r="A771" s="154"/>
      <c r="B771" s="158"/>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row>
    <row r="772" spans="1:27" ht="15">
      <c r="A772" s="154"/>
      <c r="B772" s="158"/>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row>
    <row r="773" spans="1:27" ht="15">
      <c r="A773" s="154"/>
      <c r="B773" s="158"/>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row>
    <row r="774" spans="1:27" ht="15">
      <c r="A774" s="154"/>
      <c r="B774" s="158"/>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row>
    <row r="775" spans="1:27" ht="15">
      <c r="A775" s="154"/>
      <c r="B775" s="158"/>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row>
    <row r="776" spans="1:27" ht="15">
      <c r="A776" s="154"/>
      <c r="B776" s="158"/>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row>
    <row r="777" spans="1:27" ht="15">
      <c r="A777" s="154"/>
      <c r="B777" s="158"/>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row>
    <row r="778" spans="1:27" ht="15">
      <c r="A778" s="154"/>
      <c r="B778" s="158"/>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row>
    <row r="779" spans="1:27" ht="15">
      <c r="A779" s="154"/>
      <c r="B779" s="158"/>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row>
    <row r="780" spans="1:27" ht="15">
      <c r="A780" s="154"/>
      <c r="B780" s="158"/>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row>
    <row r="781" spans="1:27" ht="15">
      <c r="A781" s="154"/>
      <c r="B781" s="158"/>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row>
    <row r="782" spans="1:27" ht="15">
      <c r="A782" s="154"/>
      <c r="B782" s="158"/>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row>
    <row r="783" spans="1:27" ht="15">
      <c r="A783" s="154"/>
      <c r="B783" s="158"/>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row>
    <row r="784" spans="1:27" ht="15">
      <c r="A784" s="154"/>
      <c r="B784" s="158"/>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row>
    <row r="785" spans="1:27" ht="15">
      <c r="A785" s="154"/>
      <c r="B785" s="158"/>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row>
    <row r="786" spans="1:27" ht="15">
      <c r="A786" s="154"/>
      <c r="B786" s="158"/>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row>
    <row r="787" spans="1:27" ht="15">
      <c r="A787" s="154"/>
      <c r="B787" s="158"/>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row>
    <row r="788" spans="1:27" ht="15">
      <c r="A788" s="154"/>
      <c r="B788" s="158"/>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row>
    <row r="789" spans="1:27" ht="15">
      <c r="A789" s="154"/>
      <c r="B789" s="158"/>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row>
    <row r="790" spans="1:27" ht="15">
      <c r="A790" s="154"/>
      <c r="B790" s="158"/>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row>
    <row r="791" spans="1:27" ht="15">
      <c r="A791" s="154"/>
      <c r="B791" s="158"/>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row>
    <row r="792" spans="1:27" ht="15">
      <c r="A792" s="154"/>
      <c r="B792" s="158"/>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row>
    <row r="793" spans="1:27" ht="15">
      <c r="A793" s="154"/>
      <c r="B793" s="158"/>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row>
    <row r="794" spans="1:27" ht="15">
      <c r="A794" s="154"/>
      <c r="B794" s="158"/>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row>
    <row r="795" spans="1:27" ht="15">
      <c r="A795" s="154"/>
      <c r="B795" s="158"/>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row>
    <row r="796" spans="1:27" ht="15">
      <c r="A796" s="154"/>
      <c r="B796" s="158"/>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row>
    <row r="797" spans="1:27" ht="15">
      <c r="A797" s="154"/>
      <c r="B797" s="158"/>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row>
    <row r="798" spans="1:27" ht="15">
      <c r="A798" s="154"/>
      <c r="B798" s="158"/>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row>
    <row r="799" spans="1:27" ht="15">
      <c r="A799" s="154"/>
      <c r="B799" s="158"/>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row>
    <row r="800" spans="1:27" ht="15">
      <c r="A800" s="154"/>
      <c r="B800" s="158"/>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row>
    <row r="801" spans="1:27" ht="15">
      <c r="A801" s="154"/>
      <c r="B801" s="158"/>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row>
    <row r="802" spans="1:27" ht="15">
      <c r="A802" s="154"/>
      <c r="B802" s="158"/>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row>
    <row r="803" spans="1:27" ht="15">
      <c r="A803" s="154"/>
      <c r="B803" s="158"/>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row>
    <row r="804" spans="1:27" ht="15">
      <c r="A804" s="154"/>
      <c r="B804" s="158"/>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row>
    <row r="805" spans="1:27" ht="15">
      <c r="A805" s="154"/>
      <c r="B805" s="158"/>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row>
    <row r="806" spans="1:27" ht="15">
      <c r="A806" s="154"/>
      <c r="B806" s="158"/>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row>
    <row r="807" spans="1:27" ht="15">
      <c r="A807" s="154"/>
      <c r="B807" s="158"/>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row>
    <row r="808" spans="1:27" ht="15">
      <c r="A808" s="154"/>
      <c r="B808" s="158"/>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row>
    <row r="809" spans="1:27" ht="15">
      <c r="A809" s="154"/>
      <c r="B809" s="158"/>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row>
    <row r="810" spans="1:27" ht="15">
      <c r="A810" s="154"/>
      <c r="B810" s="158"/>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row>
    <row r="811" spans="1:27" ht="15">
      <c r="A811" s="154"/>
      <c r="B811" s="158"/>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row>
    <row r="812" spans="1:27" ht="15">
      <c r="A812" s="154"/>
      <c r="B812" s="158"/>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row>
    <row r="813" spans="1:27" ht="15">
      <c r="A813" s="154"/>
      <c r="B813" s="158"/>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row>
    <row r="814" spans="1:27" ht="15">
      <c r="A814" s="154"/>
      <c r="B814" s="158"/>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row>
    <row r="815" spans="1:27" ht="15">
      <c r="A815" s="154"/>
      <c r="B815" s="158"/>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row>
    <row r="816" spans="1:27" ht="15">
      <c r="A816" s="154"/>
      <c r="B816" s="158"/>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row>
    <row r="817" spans="1:27" ht="15">
      <c r="A817" s="154"/>
      <c r="B817" s="158"/>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row>
    <row r="818" spans="1:27" ht="15">
      <c r="A818" s="154"/>
      <c r="B818" s="158"/>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row>
    <row r="819" spans="1:27" ht="15">
      <c r="A819" s="154"/>
      <c r="B819" s="158"/>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row>
    <row r="820" spans="1:27" ht="15">
      <c r="A820" s="154"/>
      <c r="B820" s="158"/>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row>
    <row r="821" spans="1:27" ht="15">
      <c r="A821" s="154"/>
      <c r="B821" s="158"/>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row>
    <row r="822" spans="1:27" ht="15">
      <c r="A822" s="154"/>
      <c r="B822" s="158"/>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row>
    <row r="823" spans="1:27" ht="15">
      <c r="A823" s="154"/>
      <c r="B823" s="158"/>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row>
    <row r="824" spans="1:27" ht="15">
      <c r="A824" s="154"/>
      <c r="B824" s="158"/>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row>
    <row r="825" spans="1:27" ht="15">
      <c r="A825" s="154"/>
      <c r="B825" s="158"/>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row>
    <row r="826" spans="1:27" ht="15">
      <c r="A826" s="154"/>
      <c r="B826" s="158"/>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row>
    <row r="827" spans="1:27" ht="15">
      <c r="A827" s="154"/>
      <c r="B827" s="158"/>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row>
    <row r="828" spans="1:27" ht="15">
      <c r="A828" s="154"/>
      <c r="B828" s="158"/>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row>
    <row r="829" spans="1:27" ht="15">
      <c r="A829" s="154"/>
      <c r="B829" s="158"/>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row>
    <row r="830" spans="1:27" ht="15">
      <c r="A830" s="154"/>
      <c r="B830" s="158"/>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row>
    <row r="831" spans="1:27" ht="15">
      <c r="A831" s="154"/>
      <c r="B831" s="158"/>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row>
    <row r="832" spans="1:27" ht="15">
      <c r="A832" s="154"/>
      <c r="B832" s="158"/>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row>
    <row r="833" spans="1:27" ht="15">
      <c r="A833" s="154"/>
      <c r="B833" s="158"/>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row>
    <row r="834" spans="1:27" ht="15">
      <c r="A834" s="154"/>
      <c r="B834" s="158"/>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row>
    <row r="835" spans="1:27" ht="15">
      <c r="A835" s="154"/>
      <c r="B835" s="158"/>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row>
    <row r="836" spans="1:27" ht="15">
      <c r="A836" s="154"/>
      <c r="B836" s="158"/>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row>
    <row r="837" spans="1:27" ht="15">
      <c r="A837" s="154"/>
      <c r="B837" s="158"/>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row>
    <row r="838" spans="1:27" ht="15">
      <c r="A838" s="154"/>
      <c r="B838" s="158"/>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row>
    <row r="839" spans="1:27" ht="15">
      <c r="A839" s="154"/>
      <c r="B839" s="158"/>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row>
    <row r="840" spans="1:27" ht="15">
      <c r="A840" s="154"/>
      <c r="B840" s="158"/>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row>
    <row r="841" spans="1:27" ht="15">
      <c r="A841" s="154"/>
      <c r="B841" s="158"/>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row>
    <row r="842" spans="1:27" ht="15">
      <c r="A842" s="154"/>
      <c r="B842" s="158"/>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row>
    <row r="843" spans="1:27" ht="15">
      <c r="A843" s="154"/>
      <c r="B843" s="158"/>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row>
    <row r="844" spans="1:27" ht="15">
      <c r="A844" s="154"/>
      <c r="B844" s="158"/>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row>
    <row r="845" spans="1:27" ht="15">
      <c r="A845" s="154"/>
      <c r="B845" s="158"/>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row>
    <row r="846" spans="1:27" ht="15">
      <c r="A846" s="154"/>
      <c r="B846" s="158"/>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row>
    <row r="847" spans="1:27" ht="15">
      <c r="A847" s="154"/>
      <c r="B847" s="158"/>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row>
    <row r="848" spans="1:27" ht="15">
      <c r="A848" s="154"/>
      <c r="B848" s="158"/>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row>
    <row r="849" spans="1:27" ht="15">
      <c r="A849" s="154"/>
      <c r="B849" s="158"/>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row>
    <row r="850" spans="1:27" ht="15">
      <c r="A850" s="154"/>
      <c r="B850" s="158"/>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row>
    <row r="851" spans="1:27" ht="15">
      <c r="A851" s="154"/>
      <c r="B851" s="158"/>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row>
    <row r="852" spans="1:27" ht="15">
      <c r="A852" s="154"/>
      <c r="B852" s="158"/>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row>
    <row r="853" spans="1:27" ht="15">
      <c r="A853" s="154"/>
      <c r="B853" s="158"/>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row>
    <row r="854" spans="1:27" ht="15">
      <c r="A854" s="154"/>
      <c r="B854" s="158"/>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row>
    <row r="855" spans="1:27" ht="15">
      <c r="A855" s="154"/>
      <c r="B855" s="158"/>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row>
    <row r="856" spans="1:27" ht="15">
      <c r="A856" s="154"/>
      <c r="B856" s="158"/>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row>
    <row r="857" spans="1:27" ht="15">
      <c r="A857" s="154"/>
      <c r="B857" s="158"/>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row>
    <row r="858" spans="1:27" ht="15">
      <c r="A858" s="154"/>
      <c r="B858" s="158"/>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row>
    <row r="859" spans="1:27" ht="15">
      <c r="A859" s="154"/>
      <c r="B859" s="158"/>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row>
    <row r="860" spans="1:27" ht="15">
      <c r="A860" s="154"/>
      <c r="B860" s="158"/>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row>
    <row r="861" spans="1:27" ht="15">
      <c r="A861" s="154"/>
      <c r="B861" s="158"/>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row>
    <row r="862" spans="1:27" ht="15">
      <c r="A862" s="154"/>
      <c r="B862" s="158"/>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row>
    <row r="863" spans="1:27" ht="15">
      <c r="A863" s="154"/>
      <c r="B863" s="158"/>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row>
    <row r="864" spans="1:27" ht="15">
      <c r="A864" s="154"/>
      <c r="B864" s="158"/>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row>
    <row r="865" spans="1:27" ht="15">
      <c r="A865" s="154"/>
      <c r="B865" s="158"/>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row>
    <row r="866" spans="1:27" ht="15">
      <c r="A866" s="154"/>
      <c r="B866" s="158"/>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row>
    <row r="867" spans="1:27" ht="15">
      <c r="A867" s="154"/>
      <c r="B867" s="158"/>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row>
    <row r="868" spans="1:27" ht="15">
      <c r="A868" s="154"/>
      <c r="B868" s="158"/>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row>
    <row r="869" spans="1:27" ht="15">
      <c r="A869" s="154"/>
      <c r="B869" s="158"/>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row>
    <row r="870" spans="1:27" ht="15">
      <c r="A870" s="154"/>
      <c r="B870" s="158"/>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row>
    <row r="871" spans="1:27" ht="15">
      <c r="A871" s="154"/>
      <c r="B871" s="158"/>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row>
    <row r="872" spans="1:27" ht="15">
      <c r="A872" s="154"/>
      <c r="B872" s="158"/>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row>
    <row r="873" spans="1:27" ht="15">
      <c r="A873" s="154"/>
      <c r="B873" s="158"/>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row>
    <row r="874" spans="1:27" ht="15">
      <c r="A874" s="154"/>
      <c r="B874" s="158"/>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row>
    <row r="875" spans="1:27" ht="15">
      <c r="A875" s="154"/>
      <c r="B875" s="158"/>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row>
    <row r="876" spans="1:27" ht="15">
      <c r="A876" s="154"/>
      <c r="B876" s="158"/>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row>
    <row r="877" spans="1:27" ht="15">
      <c r="A877" s="154"/>
      <c r="B877" s="158"/>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row>
    <row r="878" spans="1:27" ht="15">
      <c r="A878" s="154"/>
      <c r="B878" s="158"/>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row>
    <row r="879" spans="1:27" ht="15">
      <c r="A879" s="154"/>
      <c r="B879" s="158"/>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row>
    <row r="880" spans="1:27" ht="15">
      <c r="A880" s="154"/>
      <c r="B880" s="158"/>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row>
    <row r="881" spans="1:27" ht="15">
      <c r="A881" s="154"/>
      <c r="B881" s="158"/>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row>
    <row r="882" spans="1:27" ht="15">
      <c r="A882" s="154"/>
      <c r="B882" s="158"/>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row>
    <row r="883" spans="1:27" ht="15">
      <c r="A883" s="154"/>
      <c r="B883" s="158"/>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row>
    <row r="884" spans="1:27" ht="15">
      <c r="A884" s="154"/>
      <c r="B884" s="158"/>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row>
    <row r="885" spans="1:27" ht="15">
      <c r="A885" s="154"/>
      <c r="B885" s="158"/>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row>
    <row r="886" spans="1:27" ht="15">
      <c r="A886" s="154"/>
      <c r="B886" s="158"/>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row>
    <row r="887" spans="1:27" ht="15">
      <c r="A887" s="154"/>
      <c r="B887" s="158"/>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row>
    <row r="888" spans="1:27" ht="15">
      <c r="A888" s="154"/>
      <c r="B888" s="158"/>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row>
    <row r="889" spans="1:27" ht="15">
      <c r="A889" s="154"/>
      <c r="B889" s="158"/>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row>
    <row r="890" spans="1:27" ht="15">
      <c r="A890" s="154"/>
      <c r="B890" s="158"/>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row>
    <row r="891" spans="1:27" ht="15">
      <c r="A891" s="154"/>
      <c r="B891" s="158"/>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row>
    <row r="892" spans="1:27" ht="15">
      <c r="A892" s="154"/>
      <c r="B892" s="158"/>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row>
    <row r="893" spans="1:27" ht="15">
      <c r="A893" s="154"/>
      <c r="B893" s="158"/>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row>
    <row r="894" spans="1:27" ht="15">
      <c r="A894" s="154"/>
      <c r="B894" s="158"/>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row>
    <row r="895" spans="1:27" ht="15">
      <c r="A895" s="154"/>
      <c r="B895" s="158"/>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row>
    <row r="896" spans="1:27" ht="15">
      <c r="A896" s="154"/>
      <c r="B896" s="158"/>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row>
    <row r="897" spans="1:27" ht="15">
      <c r="A897" s="154"/>
      <c r="B897" s="158"/>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row>
    <row r="898" spans="1:27" ht="15">
      <c r="A898" s="154"/>
      <c r="B898" s="158"/>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row>
    <row r="899" spans="1:27" ht="15">
      <c r="A899" s="154"/>
      <c r="B899" s="158"/>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row>
    <row r="900" spans="1:27" ht="15">
      <c r="A900" s="154"/>
      <c r="B900" s="158"/>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row>
    <row r="901" spans="1:27" ht="15">
      <c r="A901" s="154"/>
      <c r="B901" s="158"/>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row>
    <row r="902" spans="1:27" ht="15">
      <c r="A902" s="154"/>
      <c r="B902" s="158"/>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row>
    <row r="903" spans="1:27" ht="15">
      <c r="A903" s="154"/>
      <c r="B903" s="158"/>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row>
    <row r="904" spans="1:27" ht="15">
      <c r="A904" s="154"/>
      <c r="B904" s="158"/>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row>
    <row r="905" spans="1:27" ht="15">
      <c r="A905" s="154"/>
      <c r="B905" s="158"/>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row>
    <row r="906" spans="1:27" ht="15">
      <c r="A906" s="154"/>
      <c r="B906" s="158"/>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row>
    <row r="907" spans="1:27" ht="15">
      <c r="A907" s="154"/>
      <c r="B907" s="158"/>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row>
    <row r="908" spans="1:27" ht="15">
      <c r="A908" s="154"/>
      <c r="B908" s="158"/>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row>
    <row r="909" spans="1:27" ht="15">
      <c r="A909" s="154"/>
      <c r="B909" s="158"/>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row>
    <row r="910" spans="1:27" ht="15">
      <c r="A910" s="154"/>
      <c r="B910" s="158"/>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row>
    <row r="911" spans="1:27" ht="15">
      <c r="A911" s="154"/>
      <c r="B911" s="158"/>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row>
    <row r="912" spans="1:27" ht="15">
      <c r="A912" s="154"/>
      <c r="B912" s="158"/>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row>
    <row r="913" spans="1:27" ht="15">
      <c r="A913" s="154"/>
      <c r="B913" s="158"/>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row>
    <row r="914" spans="1:27" ht="15">
      <c r="A914" s="154"/>
      <c r="B914" s="158"/>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row>
    <row r="915" spans="1:27" ht="15">
      <c r="A915" s="154"/>
      <c r="B915" s="158"/>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row>
    <row r="916" spans="1:27" ht="15">
      <c r="A916" s="154"/>
      <c r="B916" s="158"/>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row>
    <row r="917" spans="1:27" ht="15">
      <c r="A917" s="154"/>
      <c r="B917" s="158"/>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row>
    <row r="918" spans="1:27" ht="15">
      <c r="A918" s="154"/>
      <c r="B918" s="158"/>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row>
    <row r="919" spans="1:27" ht="15">
      <c r="A919" s="154"/>
      <c r="B919" s="158"/>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row>
    <row r="920" spans="1:27" ht="15">
      <c r="A920" s="154"/>
      <c r="B920" s="158"/>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row>
    <row r="921" spans="1:27" ht="15">
      <c r="A921" s="154"/>
      <c r="B921" s="158"/>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row>
    <row r="922" spans="1:27" ht="15">
      <c r="A922" s="154"/>
      <c r="B922" s="158"/>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row>
    <row r="923" spans="1:27" ht="15">
      <c r="A923" s="154"/>
      <c r="B923" s="158"/>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row>
    <row r="924" spans="1:27" ht="15">
      <c r="A924" s="154"/>
      <c r="B924" s="158"/>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row>
    <row r="925" spans="1:27" ht="15">
      <c r="A925" s="154"/>
      <c r="B925" s="158"/>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row>
    <row r="926" spans="1:27" ht="15">
      <c r="A926" s="154"/>
      <c r="B926" s="158"/>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row>
    <row r="927" spans="1:27" ht="15">
      <c r="A927" s="154"/>
      <c r="B927" s="158"/>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row>
    <row r="928" spans="1:27" ht="15">
      <c r="A928" s="154"/>
      <c r="B928" s="158"/>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row>
    <row r="929" spans="1:27" ht="15">
      <c r="A929" s="154"/>
      <c r="B929" s="158"/>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row>
    <row r="930" spans="1:27" ht="15">
      <c r="A930" s="154"/>
      <c r="B930" s="158"/>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row>
    <row r="931" spans="1:27" ht="15">
      <c r="A931" s="154"/>
      <c r="B931" s="158"/>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row>
    <row r="932" spans="1:27" ht="15">
      <c r="A932" s="154"/>
      <c r="B932" s="158"/>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row>
    <row r="933" spans="1:27" ht="15">
      <c r="A933" s="154"/>
      <c r="B933" s="158"/>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row>
    <row r="934" spans="1:27" ht="15">
      <c r="A934" s="154"/>
      <c r="B934" s="158"/>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row>
    <row r="935" spans="1:27" ht="15">
      <c r="A935" s="154"/>
      <c r="B935" s="158"/>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row>
    <row r="936" spans="1:27" ht="15">
      <c r="A936" s="154"/>
      <c r="B936" s="158"/>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row>
    <row r="937" spans="1:27" ht="15">
      <c r="A937" s="154"/>
      <c r="B937" s="158"/>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row>
    <row r="938" spans="1:27" ht="15">
      <c r="A938" s="154"/>
      <c r="B938" s="158"/>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row>
    <row r="939" spans="1:27" ht="15">
      <c r="A939" s="154"/>
      <c r="B939" s="158"/>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row>
    <row r="940" spans="1:27" ht="15">
      <c r="A940" s="154"/>
      <c r="B940" s="158"/>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row>
    <row r="941" spans="1:27" ht="15">
      <c r="A941" s="154"/>
      <c r="B941" s="158"/>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row>
    <row r="942" spans="1:27" ht="15">
      <c r="A942" s="154"/>
      <c r="B942" s="158"/>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row>
    <row r="943" spans="1:27" ht="15">
      <c r="A943" s="154"/>
      <c r="B943" s="158"/>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row>
    <row r="944" spans="1:27" ht="15">
      <c r="A944" s="154"/>
      <c r="B944" s="158"/>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row>
    <row r="945" spans="1:27" ht="15">
      <c r="A945" s="154"/>
      <c r="B945" s="158"/>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row>
    <row r="946" spans="1:27" ht="15">
      <c r="A946" s="154"/>
      <c r="B946" s="158"/>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row>
    <row r="947" spans="1:27" ht="15">
      <c r="A947" s="154"/>
      <c r="B947" s="158"/>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row>
    <row r="948" spans="1:27" ht="15">
      <c r="A948" s="154"/>
      <c r="B948" s="158"/>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row>
    <row r="949" spans="1:27" ht="15">
      <c r="A949" s="154"/>
      <c r="B949" s="158"/>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row>
    <row r="950" spans="1:27" ht="15">
      <c r="A950" s="154"/>
      <c r="B950" s="158"/>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row>
    <row r="951" spans="1:27" ht="15">
      <c r="A951" s="154"/>
      <c r="B951" s="158"/>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row>
    <row r="952" spans="1:27" ht="15">
      <c r="A952" s="154"/>
      <c r="B952" s="158"/>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row>
    <row r="953" spans="1:27" ht="15">
      <c r="A953" s="154"/>
      <c r="B953" s="158"/>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row>
    <row r="954" spans="1:27" ht="15">
      <c r="A954" s="154"/>
      <c r="B954" s="158"/>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row>
    <row r="955" spans="1:27" ht="15">
      <c r="A955" s="154"/>
      <c r="B955" s="158"/>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row>
    <row r="956" spans="1:27" ht="15">
      <c r="A956" s="154"/>
      <c r="B956" s="158"/>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row>
    <row r="957" spans="1:27" ht="15">
      <c r="A957" s="154"/>
      <c r="B957" s="158"/>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row>
    <row r="958" spans="1:27" ht="15">
      <c r="A958" s="154"/>
      <c r="B958" s="158"/>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row>
    <row r="959" spans="1:27" ht="15">
      <c r="A959" s="154"/>
      <c r="B959" s="158"/>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row>
    <row r="960" spans="1:27" ht="15">
      <c r="A960" s="154"/>
      <c r="B960" s="158"/>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row>
    <row r="961" spans="1:27" ht="15">
      <c r="A961" s="154"/>
      <c r="B961" s="158"/>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row>
    <row r="962" spans="1:27" ht="15">
      <c r="A962" s="154"/>
      <c r="B962" s="158"/>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row>
    <row r="963" spans="1:27" ht="15">
      <c r="A963" s="154"/>
      <c r="B963" s="158"/>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row>
    <row r="964" spans="1:27" ht="15">
      <c r="A964" s="154"/>
      <c r="B964" s="158"/>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row>
    <row r="965" spans="1:27" ht="15">
      <c r="A965" s="154"/>
      <c r="B965" s="158"/>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row>
    <row r="966" spans="1:27" ht="15">
      <c r="A966" s="154"/>
      <c r="B966" s="158"/>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row>
    <row r="967" spans="1:27" ht="15">
      <c r="A967" s="154"/>
      <c r="B967" s="158"/>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row>
    <row r="968" spans="1:27" ht="15">
      <c r="A968" s="154"/>
      <c r="B968" s="158"/>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row>
    <row r="969" spans="1:27" ht="15">
      <c r="A969" s="154"/>
      <c r="B969" s="158"/>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row>
    <row r="970" spans="1:27" ht="15">
      <c r="A970" s="154"/>
      <c r="B970" s="158"/>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row>
    <row r="971" spans="1:27" ht="15">
      <c r="A971" s="154"/>
      <c r="B971" s="158"/>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row>
    <row r="972" spans="1:27" ht="15">
      <c r="A972" s="154"/>
      <c r="B972" s="158"/>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row>
    <row r="973" spans="1:27" ht="15">
      <c r="A973" s="154"/>
      <c r="B973" s="158"/>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row>
    <row r="974" spans="1:27" ht="15">
      <c r="A974" s="154"/>
      <c r="B974" s="158"/>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row>
    <row r="975" spans="1:27" ht="15">
      <c r="A975" s="154"/>
      <c r="B975" s="158"/>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row>
    <row r="976" spans="1:27" ht="15">
      <c r="A976" s="154"/>
      <c r="B976" s="158"/>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row>
    <row r="977" spans="1:27" ht="15">
      <c r="A977" s="154"/>
      <c r="B977" s="158"/>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row>
    <row r="978" spans="1:27" ht="15">
      <c r="A978" s="154"/>
      <c r="B978" s="158"/>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row>
    <row r="979" spans="1:27" ht="15">
      <c r="A979" s="154"/>
      <c r="B979" s="158"/>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row>
    <row r="980" spans="1:27" ht="15">
      <c r="A980" s="154"/>
      <c r="B980" s="158"/>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row>
    <row r="981" spans="1:27" ht="15">
      <c r="A981" s="154"/>
      <c r="B981" s="158"/>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row>
    <row r="982" spans="1:27" ht="15">
      <c r="A982" s="154"/>
      <c r="B982" s="158"/>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row>
    <row r="983" spans="1:27" ht="15">
      <c r="A983" s="154"/>
      <c r="B983" s="158"/>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row>
    <row r="984" spans="1:27" ht="15">
      <c r="A984" s="154"/>
      <c r="B984" s="158"/>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row>
    <row r="985" spans="1:27" ht="15">
      <c r="A985" s="154"/>
      <c r="B985" s="158"/>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row>
    <row r="986" spans="1:27" ht="15">
      <c r="A986" s="154"/>
      <c r="B986" s="158"/>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row>
    <row r="987" spans="1:27" ht="15">
      <c r="A987" s="154"/>
      <c r="B987" s="158"/>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row>
    <row r="988" spans="1:27" ht="15">
      <c r="A988" s="154"/>
      <c r="B988" s="158"/>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row>
    <row r="989" spans="1:27" ht="15">
      <c r="A989" s="154"/>
      <c r="B989" s="158"/>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row>
    <row r="990" spans="1:27" ht="15">
      <c r="A990" s="154"/>
      <c r="B990" s="158"/>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row>
    <row r="991" spans="1:27" ht="15">
      <c r="A991" s="154"/>
      <c r="B991" s="158"/>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row>
    <row r="992" spans="1:27" ht="15">
      <c r="A992" s="154"/>
      <c r="B992" s="158"/>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row>
    <row r="993" spans="1:27" ht="15">
      <c r="A993" s="154"/>
      <c r="B993" s="158"/>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row>
    <row r="994" spans="1:27" ht="15">
      <c r="A994" s="154"/>
      <c r="B994" s="158"/>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row>
    <row r="995" spans="1:27" ht="15">
      <c r="A995" s="154"/>
      <c r="B995" s="158"/>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row>
    <row r="996" spans="1:27" ht="15">
      <c r="A996" s="154"/>
      <c r="B996" s="158"/>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row>
    <row r="997" spans="1:27" ht="15">
      <c r="A997" s="154"/>
      <c r="B997" s="158"/>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row>
    <row r="998" spans="1:27" ht="15">
      <c r="A998" s="154"/>
      <c r="B998" s="158"/>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row>
    <row r="999" spans="1:27" ht="15">
      <c r="A999" s="154"/>
      <c r="B999" s="158"/>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row>
    <row r="1000" spans="1:27" ht="15">
      <c r="A1000" s="154"/>
      <c r="B1000" s="158"/>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row>
    <row r="1001" spans="1:27" ht="15">
      <c r="A1001" s="154"/>
      <c r="B1001" s="158"/>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row>
  </sheetData>
  <dataValidations count="2">
    <dataValidation type="list" allowBlank="1" showErrorMessage="1" sqref="B2" xr:uid="{00000000-0002-0000-0C00-000000000000}">
      <formula1>"2025,2026,2027,2028,2029,2030"</formula1>
    </dataValidation>
    <dataValidation type="list" allowBlank="1" showErrorMessage="1" sqref="B1" xr:uid="{00000000-0002-0000-0C00-000001000000}">
      <formula1>"01,02,03,04,05,06,07,08,09,10,11,12"</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999"/>
  <sheetViews>
    <sheetView workbookViewId="0"/>
  </sheetViews>
  <sheetFormatPr defaultColWidth="12.5703125" defaultRowHeight="15.75" customHeight="1"/>
  <cols>
    <col min="4" max="4" width="32.42578125" customWidth="1"/>
  </cols>
  <sheetData>
    <row r="1" spans="1:5">
      <c r="A1" s="49" t="s">
        <v>5</v>
      </c>
      <c r="B1" s="100" t="s">
        <v>12854</v>
      </c>
      <c r="C1" s="49" t="s">
        <v>12775</v>
      </c>
      <c r="D1" s="49" t="s">
        <v>12855</v>
      </c>
      <c r="E1" s="49" t="s">
        <v>12856</v>
      </c>
    </row>
    <row r="2" spans="1:5">
      <c r="A2" s="49" t="s">
        <v>61</v>
      </c>
      <c r="B2" s="100">
        <v>6282265094684</v>
      </c>
      <c r="C2" s="49" t="s">
        <v>12857</v>
      </c>
      <c r="D2" s="49" t="s">
        <v>12858</v>
      </c>
      <c r="E2" s="49" t="s">
        <v>12859</v>
      </c>
    </row>
    <row r="3" spans="1:5">
      <c r="A3" s="49" t="s">
        <v>49</v>
      </c>
      <c r="B3" s="100">
        <v>6281214408985</v>
      </c>
      <c r="C3" s="49" t="s">
        <v>12857</v>
      </c>
      <c r="D3" s="49" t="s">
        <v>12860</v>
      </c>
      <c r="E3" s="49" t="s">
        <v>12859</v>
      </c>
    </row>
    <row r="4" spans="1:5">
      <c r="A4" s="49" t="s">
        <v>115</v>
      </c>
      <c r="B4" s="100">
        <v>6285194215210</v>
      </c>
      <c r="C4" s="49" t="s">
        <v>12857</v>
      </c>
      <c r="D4" s="49" t="s">
        <v>12861</v>
      </c>
      <c r="E4" s="49" t="s">
        <v>12859</v>
      </c>
    </row>
    <row r="5" spans="1:5">
      <c r="A5" s="49" t="s">
        <v>331</v>
      </c>
      <c r="B5" s="100">
        <v>6281908924400</v>
      </c>
      <c r="C5" s="49" t="s">
        <v>12857</v>
      </c>
      <c r="D5" s="49" t="s">
        <v>12785</v>
      </c>
      <c r="E5" s="49" t="s">
        <v>29</v>
      </c>
    </row>
    <row r="6" spans="1:5">
      <c r="A6" s="49" t="s">
        <v>1229</v>
      </c>
      <c r="B6" s="100">
        <v>6282325532521</v>
      </c>
      <c r="C6" s="49" t="s">
        <v>12857</v>
      </c>
      <c r="E6" s="49" t="s">
        <v>12859</v>
      </c>
    </row>
    <row r="7" spans="1:5">
      <c r="A7" s="49" t="s">
        <v>1774</v>
      </c>
      <c r="B7" s="100">
        <v>6281330344035</v>
      </c>
      <c r="C7" s="49" t="s">
        <v>12857</v>
      </c>
      <c r="D7" s="49" t="s">
        <v>12862</v>
      </c>
      <c r="E7" s="49" t="s">
        <v>12859</v>
      </c>
    </row>
    <row r="8" spans="1:5">
      <c r="A8" s="49" t="s">
        <v>12863</v>
      </c>
      <c r="B8" s="100">
        <v>6285726819157</v>
      </c>
      <c r="C8" s="49" t="s">
        <v>12857</v>
      </c>
    </row>
    <row r="9" spans="1:5">
      <c r="B9" s="161"/>
    </row>
    <row r="10" spans="1:5">
      <c r="B10" s="161"/>
    </row>
    <row r="11" spans="1:5">
      <c r="B11" s="161"/>
    </row>
    <row r="12" spans="1:5">
      <c r="B12" s="161"/>
    </row>
    <row r="13" spans="1:5">
      <c r="B13" s="161"/>
    </row>
    <row r="14" spans="1:5">
      <c r="B14" s="161"/>
    </row>
    <row r="15" spans="1:5">
      <c r="B15" s="161"/>
    </row>
    <row r="16" spans="1:5">
      <c r="B16" s="161"/>
    </row>
    <row r="17" spans="2:2">
      <c r="B17" s="161"/>
    </row>
    <row r="18" spans="2:2">
      <c r="B18" s="161"/>
    </row>
    <row r="19" spans="2:2">
      <c r="B19" s="161"/>
    </row>
    <row r="20" spans="2:2">
      <c r="B20" s="161"/>
    </row>
    <row r="21" spans="2:2">
      <c r="B21" s="161"/>
    </row>
    <row r="22" spans="2:2">
      <c r="B22" s="161"/>
    </row>
    <row r="23" spans="2:2">
      <c r="B23" s="161"/>
    </row>
    <row r="24" spans="2:2">
      <c r="B24" s="161"/>
    </row>
    <row r="25" spans="2:2">
      <c r="B25" s="161"/>
    </row>
    <row r="26" spans="2:2">
      <c r="B26" s="161"/>
    </row>
    <row r="27" spans="2:2">
      <c r="B27" s="161"/>
    </row>
    <row r="28" spans="2:2">
      <c r="B28" s="161"/>
    </row>
    <row r="29" spans="2:2">
      <c r="B29" s="161"/>
    </row>
    <row r="30" spans="2:2">
      <c r="B30" s="161"/>
    </row>
    <row r="31" spans="2:2">
      <c r="B31" s="161"/>
    </row>
    <row r="32" spans="2:2">
      <c r="B32" s="161"/>
    </row>
    <row r="33" spans="2:2">
      <c r="B33" s="161"/>
    </row>
    <row r="34" spans="2:2">
      <c r="B34" s="161"/>
    </row>
    <row r="35" spans="2:2">
      <c r="B35" s="161"/>
    </row>
    <row r="36" spans="2:2">
      <c r="B36" s="161"/>
    </row>
    <row r="37" spans="2:2">
      <c r="B37" s="161"/>
    </row>
    <row r="38" spans="2:2">
      <c r="B38" s="161"/>
    </row>
    <row r="39" spans="2:2">
      <c r="B39" s="161"/>
    </row>
    <row r="40" spans="2:2">
      <c r="B40" s="161"/>
    </row>
    <row r="41" spans="2:2">
      <c r="B41" s="161"/>
    </row>
    <row r="42" spans="2:2">
      <c r="B42" s="161"/>
    </row>
    <row r="43" spans="2:2">
      <c r="B43" s="161"/>
    </row>
    <row r="44" spans="2:2">
      <c r="B44" s="161"/>
    </row>
    <row r="45" spans="2:2">
      <c r="B45" s="161"/>
    </row>
    <row r="46" spans="2:2">
      <c r="B46" s="161"/>
    </row>
    <row r="47" spans="2:2">
      <c r="B47" s="161"/>
    </row>
    <row r="48" spans="2:2">
      <c r="B48" s="161"/>
    </row>
    <row r="49" spans="2:2">
      <c r="B49" s="161"/>
    </row>
    <row r="50" spans="2:2">
      <c r="B50" s="161"/>
    </row>
    <row r="51" spans="2:2">
      <c r="B51" s="161"/>
    </row>
    <row r="52" spans="2:2">
      <c r="B52" s="161"/>
    </row>
    <row r="53" spans="2:2">
      <c r="B53" s="161"/>
    </row>
    <row r="54" spans="2:2">
      <c r="B54" s="161"/>
    </row>
    <row r="55" spans="2:2">
      <c r="B55" s="161"/>
    </row>
    <row r="56" spans="2:2">
      <c r="B56" s="161"/>
    </row>
    <row r="57" spans="2:2">
      <c r="B57" s="161"/>
    </row>
    <row r="58" spans="2:2">
      <c r="B58" s="161"/>
    </row>
    <row r="59" spans="2:2">
      <c r="B59" s="161"/>
    </row>
    <row r="60" spans="2:2">
      <c r="B60" s="161"/>
    </row>
    <row r="61" spans="2:2">
      <c r="B61" s="161"/>
    </row>
    <row r="62" spans="2:2">
      <c r="B62" s="161"/>
    </row>
    <row r="63" spans="2:2">
      <c r="B63" s="161"/>
    </row>
    <row r="64" spans="2:2">
      <c r="B64" s="161"/>
    </row>
    <row r="65" spans="2:2">
      <c r="B65" s="161"/>
    </row>
    <row r="66" spans="2:2">
      <c r="B66" s="161"/>
    </row>
    <row r="67" spans="2:2">
      <c r="B67" s="161"/>
    </row>
    <row r="68" spans="2:2">
      <c r="B68" s="161"/>
    </row>
    <row r="69" spans="2:2">
      <c r="B69" s="161"/>
    </row>
    <row r="70" spans="2:2">
      <c r="B70" s="161"/>
    </row>
    <row r="71" spans="2:2">
      <c r="B71" s="161"/>
    </row>
    <row r="72" spans="2:2">
      <c r="B72" s="161"/>
    </row>
    <row r="73" spans="2:2">
      <c r="B73" s="161"/>
    </row>
    <row r="74" spans="2:2">
      <c r="B74" s="161"/>
    </row>
    <row r="75" spans="2:2">
      <c r="B75" s="161"/>
    </row>
    <row r="76" spans="2:2">
      <c r="B76" s="161"/>
    </row>
    <row r="77" spans="2:2">
      <c r="B77" s="161"/>
    </row>
    <row r="78" spans="2:2">
      <c r="B78" s="161"/>
    </row>
    <row r="79" spans="2:2">
      <c r="B79" s="161"/>
    </row>
    <row r="80" spans="2:2">
      <c r="B80" s="161"/>
    </row>
    <row r="81" spans="2:2">
      <c r="B81" s="161"/>
    </row>
    <row r="82" spans="2:2">
      <c r="B82" s="161"/>
    </row>
    <row r="83" spans="2:2">
      <c r="B83" s="161"/>
    </row>
    <row r="84" spans="2:2">
      <c r="B84" s="161"/>
    </row>
    <row r="85" spans="2:2">
      <c r="B85" s="161"/>
    </row>
    <row r="86" spans="2:2">
      <c r="B86" s="161"/>
    </row>
    <row r="87" spans="2:2">
      <c r="B87" s="161"/>
    </row>
    <row r="88" spans="2:2">
      <c r="B88" s="161"/>
    </row>
    <row r="89" spans="2:2">
      <c r="B89" s="161"/>
    </row>
    <row r="90" spans="2:2">
      <c r="B90" s="161"/>
    </row>
    <row r="91" spans="2:2">
      <c r="B91" s="161"/>
    </row>
    <row r="92" spans="2:2">
      <c r="B92" s="161"/>
    </row>
    <row r="93" spans="2:2">
      <c r="B93" s="161"/>
    </row>
    <row r="94" spans="2:2">
      <c r="B94" s="161"/>
    </row>
    <row r="95" spans="2:2">
      <c r="B95" s="161"/>
    </row>
    <row r="96" spans="2:2">
      <c r="B96" s="161"/>
    </row>
    <row r="97" spans="2:2">
      <c r="B97" s="161"/>
    </row>
    <row r="98" spans="2:2">
      <c r="B98" s="161"/>
    </row>
    <row r="99" spans="2:2">
      <c r="B99" s="161"/>
    </row>
    <row r="100" spans="2:2">
      <c r="B100" s="161"/>
    </row>
    <row r="101" spans="2:2">
      <c r="B101" s="161"/>
    </row>
    <row r="102" spans="2:2">
      <c r="B102" s="161"/>
    </row>
    <row r="103" spans="2:2">
      <c r="B103" s="161"/>
    </row>
    <row r="104" spans="2:2">
      <c r="B104" s="161"/>
    </row>
    <row r="105" spans="2:2">
      <c r="B105" s="161"/>
    </row>
    <row r="106" spans="2:2">
      <c r="B106" s="161"/>
    </row>
    <row r="107" spans="2:2">
      <c r="B107" s="161"/>
    </row>
    <row r="108" spans="2:2">
      <c r="B108" s="161"/>
    </row>
    <row r="109" spans="2:2">
      <c r="B109" s="161"/>
    </row>
    <row r="110" spans="2:2">
      <c r="B110" s="161"/>
    </row>
    <row r="111" spans="2:2">
      <c r="B111" s="161"/>
    </row>
    <row r="112" spans="2:2">
      <c r="B112" s="161"/>
    </row>
    <row r="113" spans="2:2">
      <c r="B113" s="161"/>
    </row>
    <row r="114" spans="2:2">
      <c r="B114" s="161"/>
    </row>
    <row r="115" spans="2:2">
      <c r="B115" s="161"/>
    </row>
    <row r="116" spans="2:2">
      <c r="B116" s="161"/>
    </row>
    <row r="117" spans="2:2">
      <c r="B117" s="161"/>
    </row>
    <row r="118" spans="2:2">
      <c r="B118" s="161"/>
    </row>
    <row r="119" spans="2:2">
      <c r="B119" s="161"/>
    </row>
    <row r="120" spans="2:2">
      <c r="B120" s="161"/>
    </row>
    <row r="121" spans="2:2">
      <c r="B121" s="161"/>
    </row>
    <row r="122" spans="2:2">
      <c r="B122" s="161"/>
    </row>
    <row r="123" spans="2:2">
      <c r="B123" s="161"/>
    </row>
    <row r="124" spans="2:2">
      <c r="B124" s="161"/>
    </row>
    <row r="125" spans="2:2">
      <c r="B125" s="161"/>
    </row>
    <row r="126" spans="2:2">
      <c r="B126" s="161"/>
    </row>
    <row r="127" spans="2:2">
      <c r="B127" s="161"/>
    </row>
    <row r="128" spans="2:2">
      <c r="B128" s="161"/>
    </row>
    <row r="129" spans="2:2">
      <c r="B129" s="161"/>
    </row>
    <row r="130" spans="2:2">
      <c r="B130" s="161"/>
    </row>
    <row r="131" spans="2:2">
      <c r="B131" s="161"/>
    </row>
    <row r="132" spans="2:2">
      <c r="B132" s="161"/>
    </row>
    <row r="133" spans="2:2">
      <c r="B133" s="161"/>
    </row>
    <row r="134" spans="2:2">
      <c r="B134" s="161"/>
    </row>
    <row r="135" spans="2:2">
      <c r="B135" s="161"/>
    </row>
    <row r="136" spans="2:2">
      <c r="B136" s="161"/>
    </row>
    <row r="137" spans="2:2">
      <c r="B137" s="161"/>
    </row>
    <row r="138" spans="2:2">
      <c r="B138" s="161"/>
    </row>
    <row r="139" spans="2:2">
      <c r="B139" s="161"/>
    </row>
    <row r="140" spans="2:2">
      <c r="B140" s="161"/>
    </row>
    <row r="141" spans="2:2">
      <c r="B141" s="161"/>
    </row>
    <row r="142" spans="2:2">
      <c r="B142" s="161"/>
    </row>
    <row r="143" spans="2:2">
      <c r="B143" s="161"/>
    </row>
    <row r="144" spans="2:2">
      <c r="B144" s="161"/>
    </row>
    <row r="145" spans="2:2">
      <c r="B145" s="161"/>
    </row>
    <row r="146" spans="2:2">
      <c r="B146" s="161"/>
    </row>
    <row r="147" spans="2:2">
      <c r="B147" s="161"/>
    </row>
    <row r="148" spans="2:2">
      <c r="B148" s="161"/>
    </row>
    <row r="149" spans="2:2">
      <c r="B149" s="161"/>
    </row>
    <row r="150" spans="2:2">
      <c r="B150" s="161"/>
    </row>
    <row r="151" spans="2:2">
      <c r="B151" s="161"/>
    </row>
    <row r="152" spans="2:2">
      <c r="B152" s="161"/>
    </row>
    <row r="153" spans="2:2">
      <c r="B153" s="161"/>
    </row>
    <row r="154" spans="2:2">
      <c r="B154" s="161"/>
    </row>
    <row r="155" spans="2:2">
      <c r="B155" s="161"/>
    </row>
    <row r="156" spans="2:2">
      <c r="B156" s="161"/>
    </row>
    <row r="157" spans="2:2">
      <c r="B157" s="161"/>
    </row>
    <row r="158" spans="2:2">
      <c r="B158" s="161"/>
    </row>
    <row r="159" spans="2:2">
      <c r="B159" s="161"/>
    </row>
    <row r="160" spans="2:2">
      <c r="B160" s="161"/>
    </row>
    <row r="161" spans="2:2">
      <c r="B161" s="161"/>
    </row>
    <row r="162" spans="2:2">
      <c r="B162" s="161"/>
    </row>
    <row r="163" spans="2:2">
      <c r="B163" s="161"/>
    </row>
    <row r="164" spans="2:2">
      <c r="B164" s="161"/>
    </row>
    <row r="165" spans="2:2">
      <c r="B165" s="161"/>
    </row>
    <row r="166" spans="2:2">
      <c r="B166" s="161"/>
    </row>
    <row r="167" spans="2:2">
      <c r="B167" s="161"/>
    </row>
    <row r="168" spans="2:2">
      <c r="B168" s="161"/>
    </row>
    <row r="169" spans="2:2">
      <c r="B169" s="161"/>
    </row>
    <row r="170" spans="2:2">
      <c r="B170" s="161"/>
    </row>
    <row r="171" spans="2:2">
      <c r="B171" s="161"/>
    </row>
    <row r="172" spans="2:2">
      <c r="B172" s="161"/>
    </row>
    <row r="173" spans="2:2">
      <c r="B173" s="161"/>
    </row>
    <row r="174" spans="2:2">
      <c r="B174" s="161"/>
    </row>
    <row r="175" spans="2:2">
      <c r="B175" s="161"/>
    </row>
    <row r="176" spans="2:2">
      <c r="B176" s="161"/>
    </row>
    <row r="177" spans="2:2">
      <c r="B177" s="161"/>
    </row>
    <row r="178" spans="2:2">
      <c r="B178" s="161"/>
    </row>
    <row r="179" spans="2:2">
      <c r="B179" s="161"/>
    </row>
    <row r="180" spans="2:2">
      <c r="B180" s="161"/>
    </row>
    <row r="181" spans="2:2">
      <c r="B181" s="161"/>
    </row>
    <row r="182" spans="2:2">
      <c r="B182" s="161"/>
    </row>
    <row r="183" spans="2:2">
      <c r="B183" s="161"/>
    </row>
    <row r="184" spans="2:2">
      <c r="B184" s="161"/>
    </row>
    <row r="185" spans="2:2">
      <c r="B185" s="161"/>
    </row>
    <row r="186" spans="2:2">
      <c r="B186" s="161"/>
    </row>
    <row r="187" spans="2:2">
      <c r="B187" s="161"/>
    </row>
    <row r="188" spans="2:2">
      <c r="B188" s="161"/>
    </row>
    <row r="189" spans="2:2">
      <c r="B189" s="161"/>
    </row>
    <row r="190" spans="2:2">
      <c r="B190" s="161"/>
    </row>
    <row r="191" spans="2:2">
      <c r="B191" s="161"/>
    </row>
    <row r="192" spans="2:2">
      <c r="B192" s="161"/>
    </row>
    <row r="193" spans="2:2">
      <c r="B193" s="161"/>
    </row>
    <row r="194" spans="2:2">
      <c r="B194" s="161"/>
    </row>
    <row r="195" spans="2:2">
      <c r="B195" s="161"/>
    </row>
    <row r="196" spans="2:2">
      <c r="B196" s="161"/>
    </row>
    <row r="197" spans="2:2">
      <c r="B197" s="161"/>
    </row>
    <row r="198" spans="2:2">
      <c r="B198" s="161"/>
    </row>
    <row r="199" spans="2:2">
      <c r="B199" s="161"/>
    </row>
    <row r="200" spans="2:2">
      <c r="B200" s="161"/>
    </row>
    <row r="201" spans="2:2">
      <c r="B201" s="161"/>
    </row>
    <row r="202" spans="2:2">
      <c r="B202" s="161"/>
    </row>
    <row r="203" spans="2:2">
      <c r="B203" s="161"/>
    </row>
    <row r="204" spans="2:2">
      <c r="B204" s="161"/>
    </row>
    <row r="205" spans="2:2">
      <c r="B205" s="161"/>
    </row>
    <row r="206" spans="2:2">
      <c r="B206" s="161"/>
    </row>
    <row r="207" spans="2:2">
      <c r="B207" s="161"/>
    </row>
    <row r="208" spans="2:2">
      <c r="B208" s="161"/>
    </row>
    <row r="209" spans="2:2">
      <c r="B209" s="161"/>
    </row>
    <row r="210" spans="2:2">
      <c r="B210" s="161"/>
    </row>
    <row r="211" spans="2:2">
      <c r="B211" s="161"/>
    </row>
    <row r="212" spans="2:2">
      <c r="B212" s="161"/>
    </row>
    <row r="213" spans="2:2">
      <c r="B213" s="161"/>
    </row>
    <row r="214" spans="2:2">
      <c r="B214" s="161"/>
    </row>
    <row r="215" spans="2:2">
      <c r="B215" s="161"/>
    </row>
    <row r="216" spans="2:2">
      <c r="B216" s="161"/>
    </row>
    <row r="217" spans="2:2">
      <c r="B217" s="161"/>
    </row>
    <row r="218" spans="2:2">
      <c r="B218" s="161"/>
    </row>
    <row r="219" spans="2:2">
      <c r="B219" s="161"/>
    </row>
    <row r="220" spans="2:2">
      <c r="B220" s="161"/>
    </row>
    <row r="221" spans="2:2">
      <c r="B221" s="161"/>
    </row>
    <row r="222" spans="2:2">
      <c r="B222" s="161"/>
    </row>
    <row r="223" spans="2:2">
      <c r="B223" s="161"/>
    </row>
    <row r="224" spans="2:2">
      <c r="B224" s="161"/>
    </row>
    <row r="225" spans="2:2">
      <c r="B225" s="161"/>
    </row>
    <row r="226" spans="2:2">
      <c r="B226" s="161"/>
    </row>
    <row r="227" spans="2:2">
      <c r="B227" s="161"/>
    </row>
    <row r="228" spans="2:2">
      <c r="B228" s="161"/>
    </row>
    <row r="229" spans="2:2">
      <c r="B229" s="161"/>
    </row>
    <row r="230" spans="2:2">
      <c r="B230" s="161"/>
    </row>
    <row r="231" spans="2:2">
      <c r="B231" s="161"/>
    </row>
    <row r="232" spans="2:2">
      <c r="B232" s="161"/>
    </row>
    <row r="233" spans="2:2">
      <c r="B233" s="161"/>
    </row>
    <row r="234" spans="2:2">
      <c r="B234" s="161"/>
    </row>
    <row r="235" spans="2:2">
      <c r="B235" s="161"/>
    </row>
    <row r="236" spans="2:2">
      <c r="B236" s="161"/>
    </row>
    <row r="237" spans="2:2">
      <c r="B237" s="161"/>
    </row>
    <row r="238" spans="2:2">
      <c r="B238" s="161"/>
    </row>
    <row r="239" spans="2:2">
      <c r="B239" s="161"/>
    </row>
    <row r="240" spans="2:2">
      <c r="B240" s="161"/>
    </row>
    <row r="241" spans="2:2">
      <c r="B241" s="161"/>
    </row>
    <row r="242" spans="2:2">
      <c r="B242" s="161"/>
    </row>
    <row r="243" spans="2:2">
      <c r="B243" s="161"/>
    </row>
    <row r="244" spans="2:2">
      <c r="B244" s="161"/>
    </row>
    <row r="245" spans="2:2">
      <c r="B245" s="161"/>
    </row>
    <row r="246" spans="2:2">
      <c r="B246" s="161"/>
    </row>
    <row r="247" spans="2:2">
      <c r="B247" s="161"/>
    </row>
    <row r="248" spans="2:2">
      <c r="B248" s="161"/>
    </row>
    <row r="249" spans="2:2">
      <c r="B249" s="161"/>
    </row>
    <row r="250" spans="2:2">
      <c r="B250" s="161"/>
    </row>
    <row r="251" spans="2:2">
      <c r="B251" s="161"/>
    </row>
    <row r="252" spans="2:2">
      <c r="B252" s="161"/>
    </row>
    <row r="253" spans="2:2">
      <c r="B253" s="161"/>
    </row>
    <row r="254" spans="2:2">
      <c r="B254" s="161"/>
    </row>
    <row r="255" spans="2:2">
      <c r="B255" s="161"/>
    </row>
    <row r="256" spans="2:2">
      <c r="B256" s="161"/>
    </row>
    <row r="257" spans="2:2">
      <c r="B257" s="161"/>
    </row>
    <row r="258" spans="2:2">
      <c r="B258" s="161"/>
    </row>
    <row r="259" spans="2:2">
      <c r="B259" s="161"/>
    </row>
    <row r="260" spans="2:2">
      <c r="B260" s="161"/>
    </row>
    <row r="261" spans="2:2">
      <c r="B261" s="161"/>
    </row>
    <row r="262" spans="2:2">
      <c r="B262" s="161"/>
    </row>
    <row r="263" spans="2:2">
      <c r="B263" s="161"/>
    </row>
    <row r="264" spans="2:2">
      <c r="B264" s="161"/>
    </row>
    <row r="265" spans="2:2">
      <c r="B265" s="161"/>
    </row>
    <row r="266" spans="2:2">
      <c r="B266" s="161"/>
    </row>
    <row r="267" spans="2:2">
      <c r="B267" s="161"/>
    </row>
    <row r="268" spans="2:2">
      <c r="B268" s="161"/>
    </row>
    <row r="269" spans="2:2">
      <c r="B269" s="161"/>
    </row>
    <row r="270" spans="2:2">
      <c r="B270" s="161"/>
    </row>
    <row r="271" spans="2:2">
      <c r="B271" s="161"/>
    </row>
    <row r="272" spans="2:2">
      <c r="B272" s="161"/>
    </row>
    <row r="273" spans="2:2">
      <c r="B273" s="161"/>
    </row>
    <row r="274" spans="2:2">
      <c r="B274" s="161"/>
    </row>
    <row r="275" spans="2:2">
      <c r="B275" s="161"/>
    </row>
    <row r="276" spans="2:2">
      <c r="B276" s="161"/>
    </row>
    <row r="277" spans="2:2">
      <c r="B277" s="161"/>
    </row>
    <row r="278" spans="2:2">
      <c r="B278" s="161"/>
    </row>
    <row r="279" spans="2:2">
      <c r="B279" s="161"/>
    </row>
    <row r="280" spans="2:2">
      <c r="B280" s="161"/>
    </row>
    <row r="281" spans="2:2">
      <c r="B281" s="161"/>
    </row>
    <row r="282" spans="2:2">
      <c r="B282" s="161"/>
    </row>
    <row r="283" spans="2:2">
      <c r="B283" s="161"/>
    </row>
    <row r="284" spans="2:2">
      <c r="B284" s="161"/>
    </row>
    <row r="285" spans="2:2">
      <c r="B285" s="161"/>
    </row>
    <row r="286" spans="2:2">
      <c r="B286" s="161"/>
    </row>
    <row r="287" spans="2:2">
      <c r="B287" s="161"/>
    </row>
    <row r="288" spans="2:2">
      <c r="B288" s="161"/>
    </row>
    <row r="289" spans="2:2">
      <c r="B289" s="161"/>
    </row>
    <row r="290" spans="2:2">
      <c r="B290" s="161"/>
    </row>
    <row r="291" spans="2:2">
      <c r="B291" s="161"/>
    </row>
    <row r="292" spans="2:2">
      <c r="B292" s="161"/>
    </row>
    <row r="293" spans="2:2">
      <c r="B293" s="161"/>
    </row>
    <row r="294" spans="2:2">
      <c r="B294" s="161"/>
    </row>
    <row r="295" spans="2:2">
      <c r="B295" s="161"/>
    </row>
    <row r="296" spans="2:2">
      <c r="B296" s="161"/>
    </row>
    <row r="297" spans="2:2">
      <c r="B297" s="161"/>
    </row>
    <row r="298" spans="2:2">
      <c r="B298" s="161"/>
    </row>
    <row r="299" spans="2:2">
      <c r="B299" s="161"/>
    </row>
    <row r="300" spans="2:2">
      <c r="B300" s="161"/>
    </row>
    <row r="301" spans="2:2">
      <c r="B301" s="161"/>
    </row>
    <row r="302" spans="2:2">
      <c r="B302" s="161"/>
    </row>
    <row r="303" spans="2:2">
      <c r="B303" s="161"/>
    </row>
    <row r="304" spans="2:2">
      <c r="B304" s="161"/>
    </row>
    <row r="305" spans="2:2">
      <c r="B305" s="161"/>
    </row>
    <row r="306" spans="2:2">
      <c r="B306" s="161"/>
    </row>
    <row r="307" spans="2:2">
      <c r="B307" s="161"/>
    </row>
    <row r="308" spans="2:2">
      <c r="B308" s="161"/>
    </row>
    <row r="309" spans="2:2">
      <c r="B309" s="161"/>
    </row>
    <row r="310" spans="2:2">
      <c r="B310" s="161"/>
    </row>
    <row r="311" spans="2:2">
      <c r="B311" s="161"/>
    </row>
    <row r="312" spans="2:2">
      <c r="B312" s="161"/>
    </row>
    <row r="313" spans="2:2">
      <c r="B313" s="161"/>
    </row>
    <row r="314" spans="2:2">
      <c r="B314" s="161"/>
    </row>
    <row r="315" spans="2:2">
      <c r="B315" s="161"/>
    </row>
    <row r="316" spans="2:2">
      <c r="B316" s="161"/>
    </row>
    <row r="317" spans="2:2">
      <c r="B317" s="161"/>
    </row>
    <row r="318" spans="2:2">
      <c r="B318" s="161"/>
    </row>
    <row r="319" spans="2:2">
      <c r="B319" s="161"/>
    </row>
    <row r="320" spans="2:2">
      <c r="B320" s="161"/>
    </row>
    <row r="321" spans="2:2">
      <c r="B321" s="161"/>
    </row>
    <row r="322" spans="2:2">
      <c r="B322" s="161"/>
    </row>
    <row r="323" spans="2:2">
      <c r="B323" s="161"/>
    </row>
    <row r="324" spans="2:2">
      <c r="B324" s="161"/>
    </row>
    <row r="325" spans="2:2">
      <c r="B325" s="161"/>
    </row>
    <row r="326" spans="2:2">
      <c r="B326" s="161"/>
    </row>
    <row r="327" spans="2:2">
      <c r="B327" s="161"/>
    </row>
    <row r="328" spans="2:2">
      <c r="B328" s="161"/>
    </row>
    <row r="329" spans="2:2">
      <c r="B329" s="161"/>
    </row>
    <row r="330" spans="2:2">
      <c r="B330" s="161"/>
    </row>
    <row r="331" spans="2:2">
      <c r="B331" s="161"/>
    </row>
    <row r="332" spans="2:2">
      <c r="B332" s="161"/>
    </row>
    <row r="333" spans="2:2">
      <c r="B333" s="161"/>
    </row>
    <row r="334" spans="2:2">
      <c r="B334" s="161"/>
    </row>
    <row r="335" spans="2:2">
      <c r="B335" s="161"/>
    </row>
    <row r="336" spans="2:2">
      <c r="B336" s="161"/>
    </row>
    <row r="337" spans="2:2">
      <c r="B337" s="161"/>
    </row>
    <row r="338" spans="2:2">
      <c r="B338" s="161"/>
    </row>
    <row r="339" spans="2:2">
      <c r="B339" s="161"/>
    </row>
    <row r="340" spans="2:2">
      <c r="B340" s="161"/>
    </row>
    <row r="341" spans="2:2">
      <c r="B341" s="161"/>
    </row>
    <row r="342" spans="2:2">
      <c r="B342" s="161"/>
    </row>
    <row r="343" spans="2:2">
      <c r="B343" s="161"/>
    </row>
    <row r="344" spans="2:2">
      <c r="B344" s="161"/>
    </row>
    <row r="345" spans="2:2">
      <c r="B345" s="161"/>
    </row>
    <row r="346" spans="2:2">
      <c r="B346" s="161"/>
    </row>
    <row r="347" spans="2:2">
      <c r="B347" s="161"/>
    </row>
    <row r="348" spans="2:2">
      <c r="B348" s="161"/>
    </row>
    <row r="349" spans="2:2">
      <c r="B349" s="161"/>
    </row>
    <row r="350" spans="2:2">
      <c r="B350" s="161"/>
    </row>
    <row r="351" spans="2:2">
      <c r="B351" s="161"/>
    </row>
    <row r="352" spans="2:2">
      <c r="B352" s="161"/>
    </row>
    <row r="353" spans="2:2">
      <c r="B353" s="161"/>
    </row>
    <row r="354" spans="2:2">
      <c r="B354" s="161"/>
    </row>
    <row r="355" spans="2:2">
      <c r="B355" s="161"/>
    </row>
    <row r="356" spans="2:2">
      <c r="B356" s="161"/>
    </row>
    <row r="357" spans="2:2">
      <c r="B357" s="161"/>
    </row>
    <row r="358" spans="2:2">
      <c r="B358" s="161"/>
    </row>
    <row r="359" spans="2:2">
      <c r="B359" s="161"/>
    </row>
    <row r="360" spans="2:2">
      <c r="B360" s="161"/>
    </row>
    <row r="361" spans="2:2">
      <c r="B361" s="161"/>
    </row>
    <row r="362" spans="2:2">
      <c r="B362" s="161"/>
    </row>
    <row r="363" spans="2:2">
      <c r="B363" s="161"/>
    </row>
    <row r="364" spans="2:2">
      <c r="B364" s="161"/>
    </row>
    <row r="365" spans="2:2">
      <c r="B365" s="161"/>
    </row>
    <row r="366" spans="2:2">
      <c r="B366" s="161"/>
    </row>
    <row r="367" spans="2:2">
      <c r="B367" s="161"/>
    </row>
    <row r="368" spans="2:2">
      <c r="B368" s="161"/>
    </row>
    <row r="369" spans="2:2">
      <c r="B369" s="161"/>
    </row>
    <row r="370" spans="2:2">
      <c r="B370" s="161"/>
    </row>
    <row r="371" spans="2:2">
      <c r="B371" s="161"/>
    </row>
    <row r="372" spans="2:2">
      <c r="B372" s="161"/>
    </row>
    <row r="373" spans="2:2">
      <c r="B373" s="161"/>
    </row>
    <row r="374" spans="2:2">
      <c r="B374" s="161"/>
    </row>
    <row r="375" spans="2:2">
      <c r="B375" s="161"/>
    </row>
    <row r="376" spans="2:2">
      <c r="B376" s="161"/>
    </row>
    <row r="377" spans="2:2">
      <c r="B377" s="161"/>
    </row>
    <row r="378" spans="2:2">
      <c r="B378" s="161"/>
    </row>
    <row r="379" spans="2:2">
      <c r="B379" s="161"/>
    </row>
    <row r="380" spans="2:2">
      <c r="B380" s="161"/>
    </row>
    <row r="381" spans="2:2">
      <c r="B381" s="161"/>
    </row>
    <row r="382" spans="2:2">
      <c r="B382" s="161"/>
    </row>
    <row r="383" spans="2:2">
      <c r="B383" s="161"/>
    </row>
    <row r="384" spans="2:2">
      <c r="B384" s="161"/>
    </row>
    <row r="385" spans="2:2">
      <c r="B385" s="161"/>
    </row>
    <row r="386" spans="2:2">
      <c r="B386" s="161"/>
    </row>
    <row r="387" spans="2:2">
      <c r="B387" s="161"/>
    </row>
    <row r="388" spans="2:2">
      <c r="B388" s="161"/>
    </row>
    <row r="389" spans="2:2">
      <c r="B389" s="161"/>
    </row>
    <row r="390" spans="2:2">
      <c r="B390" s="161"/>
    </row>
    <row r="391" spans="2:2">
      <c r="B391" s="161"/>
    </row>
    <row r="392" spans="2:2">
      <c r="B392" s="161"/>
    </row>
    <row r="393" spans="2:2">
      <c r="B393" s="161"/>
    </row>
    <row r="394" spans="2:2">
      <c r="B394" s="161"/>
    </row>
    <row r="395" spans="2:2">
      <c r="B395" s="161"/>
    </row>
    <row r="396" spans="2:2">
      <c r="B396" s="161"/>
    </row>
    <row r="397" spans="2:2">
      <c r="B397" s="161"/>
    </row>
    <row r="398" spans="2:2">
      <c r="B398" s="161"/>
    </row>
    <row r="399" spans="2:2">
      <c r="B399" s="161"/>
    </row>
    <row r="400" spans="2:2">
      <c r="B400" s="161"/>
    </row>
    <row r="401" spans="2:2">
      <c r="B401" s="161"/>
    </row>
    <row r="402" spans="2:2">
      <c r="B402" s="161"/>
    </row>
    <row r="403" spans="2:2">
      <c r="B403" s="161"/>
    </row>
    <row r="404" spans="2:2">
      <c r="B404" s="161"/>
    </row>
    <row r="405" spans="2:2">
      <c r="B405" s="161"/>
    </row>
    <row r="406" spans="2:2">
      <c r="B406" s="161"/>
    </row>
    <row r="407" spans="2:2">
      <c r="B407" s="161"/>
    </row>
    <row r="408" spans="2:2">
      <c r="B408" s="161"/>
    </row>
    <row r="409" spans="2:2">
      <c r="B409" s="161"/>
    </row>
    <row r="410" spans="2:2">
      <c r="B410" s="161"/>
    </row>
    <row r="411" spans="2:2">
      <c r="B411" s="161"/>
    </row>
    <row r="412" spans="2:2">
      <c r="B412" s="161"/>
    </row>
    <row r="413" spans="2:2">
      <c r="B413" s="161"/>
    </row>
    <row r="414" spans="2:2">
      <c r="B414" s="161"/>
    </row>
    <row r="415" spans="2:2">
      <c r="B415" s="161"/>
    </row>
    <row r="416" spans="2:2">
      <c r="B416" s="161"/>
    </row>
    <row r="417" spans="2:2">
      <c r="B417" s="161"/>
    </row>
    <row r="418" spans="2:2">
      <c r="B418" s="161"/>
    </row>
    <row r="419" spans="2:2">
      <c r="B419" s="161"/>
    </row>
    <row r="420" spans="2:2">
      <c r="B420" s="161"/>
    </row>
    <row r="421" spans="2:2">
      <c r="B421" s="161"/>
    </row>
    <row r="422" spans="2:2">
      <c r="B422" s="161"/>
    </row>
    <row r="423" spans="2:2">
      <c r="B423" s="161"/>
    </row>
    <row r="424" spans="2:2">
      <c r="B424" s="161"/>
    </row>
    <row r="425" spans="2:2">
      <c r="B425" s="161"/>
    </row>
    <row r="426" spans="2:2">
      <c r="B426" s="161"/>
    </row>
    <row r="427" spans="2:2">
      <c r="B427" s="161"/>
    </row>
    <row r="428" spans="2:2">
      <c r="B428" s="161"/>
    </row>
    <row r="429" spans="2:2">
      <c r="B429" s="161"/>
    </row>
    <row r="430" spans="2:2">
      <c r="B430" s="161"/>
    </row>
    <row r="431" spans="2:2">
      <c r="B431" s="161"/>
    </row>
    <row r="432" spans="2:2">
      <c r="B432" s="161"/>
    </row>
    <row r="433" spans="2:2">
      <c r="B433" s="161"/>
    </row>
    <row r="434" spans="2:2">
      <c r="B434" s="161"/>
    </row>
    <row r="435" spans="2:2">
      <c r="B435" s="161"/>
    </row>
    <row r="436" spans="2:2">
      <c r="B436" s="161"/>
    </row>
    <row r="437" spans="2:2">
      <c r="B437" s="161"/>
    </row>
    <row r="438" spans="2:2">
      <c r="B438" s="161"/>
    </row>
    <row r="439" spans="2:2">
      <c r="B439" s="161"/>
    </row>
    <row r="440" spans="2:2">
      <c r="B440" s="161"/>
    </row>
    <row r="441" spans="2:2">
      <c r="B441" s="161"/>
    </row>
    <row r="442" spans="2:2">
      <c r="B442" s="161"/>
    </row>
    <row r="443" spans="2:2">
      <c r="B443" s="161"/>
    </row>
    <row r="444" spans="2:2">
      <c r="B444" s="161"/>
    </row>
    <row r="445" spans="2:2">
      <c r="B445" s="161"/>
    </row>
    <row r="446" spans="2:2">
      <c r="B446" s="161"/>
    </row>
    <row r="447" spans="2:2">
      <c r="B447" s="161"/>
    </row>
    <row r="448" spans="2:2">
      <c r="B448" s="161"/>
    </row>
    <row r="449" spans="2:2">
      <c r="B449" s="161"/>
    </row>
    <row r="450" spans="2:2">
      <c r="B450" s="161"/>
    </row>
    <row r="451" spans="2:2">
      <c r="B451" s="161"/>
    </row>
    <row r="452" spans="2:2">
      <c r="B452" s="161"/>
    </row>
    <row r="453" spans="2:2">
      <c r="B453" s="161"/>
    </row>
    <row r="454" spans="2:2">
      <c r="B454" s="161"/>
    </row>
    <row r="455" spans="2:2">
      <c r="B455" s="161"/>
    </row>
    <row r="456" spans="2:2">
      <c r="B456" s="161"/>
    </row>
    <row r="457" spans="2:2">
      <c r="B457" s="161"/>
    </row>
    <row r="458" spans="2:2">
      <c r="B458" s="161"/>
    </row>
    <row r="459" spans="2:2">
      <c r="B459" s="161"/>
    </row>
    <row r="460" spans="2:2">
      <c r="B460" s="161"/>
    </row>
    <row r="461" spans="2:2">
      <c r="B461" s="161"/>
    </row>
    <row r="462" spans="2:2">
      <c r="B462" s="161"/>
    </row>
    <row r="463" spans="2:2">
      <c r="B463" s="161"/>
    </row>
    <row r="464" spans="2:2">
      <c r="B464" s="161"/>
    </row>
    <row r="465" spans="2:2">
      <c r="B465" s="161"/>
    </row>
    <row r="466" spans="2:2">
      <c r="B466" s="161"/>
    </row>
    <row r="467" spans="2:2">
      <c r="B467" s="161"/>
    </row>
    <row r="468" spans="2:2">
      <c r="B468" s="161"/>
    </row>
    <row r="469" spans="2:2">
      <c r="B469" s="161"/>
    </row>
    <row r="470" spans="2:2">
      <c r="B470" s="161"/>
    </row>
    <row r="471" spans="2:2">
      <c r="B471" s="161"/>
    </row>
    <row r="472" spans="2:2">
      <c r="B472" s="161"/>
    </row>
    <row r="473" spans="2:2">
      <c r="B473" s="161"/>
    </row>
    <row r="474" spans="2:2">
      <c r="B474" s="161"/>
    </row>
    <row r="475" spans="2:2">
      <c r="B475" s="161"/>
    </row>
    <row r="476" spans="2:2">
      <c r="B476" s="161"/>
    </row>
    <row r="477" spans="2:2">
      <c r="B477" s="161"/>
    </row>
    <row r="478" spans="2:2">
      <c r="B478" s="161"/>
    </row>
    <row r="479" spans="2:2">
      <c r="B479" s="161"/>
    </row>
    <row r="480" spans="2:2">
      <c r="B480" s="161"/>
    </row>
    <row r="481" spans="2:2">
      <c r="B481" s="161"/>
    </row>
    <row r="482" spans="2:2">
      <c r="B482" s="161"/>
    </row>
    <row r="483" spans="2:2">
      <c r="B483" s="161"/>
    </row>
    <row r="484" spans="2:2">
      <c r="B484" s="161"/>
    </row>
    <row r="485" spans="2:2">
      <c r="B485" s="161"/>
    </row>
    <row r="486" spans="2:2">
      <c r="B486" s="161"/>
    </row>
    <row r="487" spans="2:2">
      <c r="B487" s="161"/>
    </row>
    <row r="488" spans="2:2">
      <c r="B488" s="161"/>
    </row>
    <row r="489" spans="2:2">
      <c r="B489" s="161"/>
    </row>
    <row r="490" spans="2:2">
      <c r="B490" s="161"/>
    </row>
    <row r="491" spans="2:2">
      <c r="B491" s="161"/>
    </row>
    <row r="492" spans="2:2">
      <c r="B492" s="161"/>
    </row>
    <row r="493" spans="2:2">
      <c r="B493" s="161"/>
    </row>
    <row r="494" spans="2:2">
      <c r="B494" s="161"/>
    </row>
    <row r="495" spans="2:2">
      <c r="B495" s="161"/>
    </row>
    <row r="496" spans="2:2">
      <c r="B496" s="161"/>
    </row>
    <row r="497" spans="2:2">
      <c r="B497" s="161"/>
    </row>
    <row r="498" spans="2:2">
      <c r="B498" s="161"/>
    </row>
    <row r="499" spans="2:2">
      <c r="B499" s="161"/>
    </row>
    <row r="500" spans="2:2">
      <c r="B500" s="161"/>
    </row>
    <row r="501" spans="2:2">
      <c r="B501" s="161"/>
    </row>
    <row r="502" spans="2:2">
      <c r="B502" s="161"/>
    </row>
    <row r="503" spans="2:2">
      <c r="B503" s="161"/>
    </row>
    <row r="504" spans="2:2">
      <c r="B504" s="161"/>
    </row>
    <row r="505" spans="2:2">
      <c r="B505" s="161"/>
    </row>
    <row r="506" spans="2:2">
      <c r="B506" s="161"/>
    </row>
    <row r="507" spans="2:2">
      <c r="B507" s="161"/>
    </row>
    <row r="508" spans="2:2">
      <c r="B508" s="161"/>
    </row>
    <row r="509" spans="2:2">
      <c r="B509" s="161"/>
    </row>
    <row r="510" spans="2:2">
      <c r="B510" s="161"/>
    </row>
    <row r="511" spans="2:2">
      <c r="B511" s="161"/>
    </row>
    <row r="512" spans="2:2">
      <c r="B512" s="161"/>
    </row>
    <row r="513" spans="2:2">
      <c r="B513" s="161"/>
    </row>
    <row r="514" spans="2:2">
      <c r="B514" s="161"/>
    </row>
    <row r="515" spans="2:2">
      <c r="B515" s="161"/>
    </row>
    <row r="516" spans="2:2">
      <c r="B516" s="161"/>
    </row>
    <row r="517" spans="2:2">
      <c r="B517" s="161"/>
    </row>
    <row r="518" spans="2:2">
      <c r="B518" s="161"/>
    </row>
    <row r="519" spans="2:2">
      <c r="B519" s="161"/>
    </row>
    <row r="520" spans="2:2">
      <c r="B520" s="161"/>
    </row>
    <row r="521" spans="2:2">
      <c r="B521" s="161"/>
    </row>
    <row r="522" spans="2:2">
      <c r="B522" s="161"/>
    </row>
    <row r="523" spans="2:2">
      <c r="B523" s="161"/>
    </row>
    <row r="524" spans="2:2">
      <c r="B524" s="161"/>
    </row>
    <row r="525" spans="2:2">
      <c r="B525" s="161"/>
    </row>
    <row r="526" spans="2:2">
      <c r="B526" s="161"/>
    </row>
    <row r="527" spans="2:2">
      <c r="B527" s="161"/>
    </row>
    <row r="528" spans="2:2">
      <c r="B528" s="161"/>
    </row>
    <row r="529" spans="2:2">
      <c r="B529" s="161"/>
    </row>
    <row r="530" spans="2:2">
      <c r="B530" s="161"/>
    </row>
    <row r="531" spans="2:2">
      <c r="B531" s="161"/>
    </row>
    <row r="532" spans="2:2">
      <c r="B532" s="161"/>
    </row>
    <row r="533" spans="2:2">
      <c r="B533" s="161"/>
    </row>
    <row r="534" spans="2:2">
      <c r="B534" s="161"/>
    </row>
    <row r="535" spans="2:2">
      <c r="B535" s="161"/>
    </row>
    <row r="536" spans="2:2">
      <c r="B536" s="161"/>
    </row>
    <row r="537" spans="2:2">
      <c r="B537" s="161"/>
    </row>
    <row r="538" spans="2:2">
      <c r="B538" s="161"/>
    </row>
    <row r="539" spans="2:2">
      <c r="B539" s="161"/>
    </row>
    <row r="540" spans="2:2">
      <c r="B540" s="161"/>
    </row>
    <row r="541" spans="2:2">
      <c r="B541" s="161"/>
    </row>
    <row r="542" spans="2:2">
      <c r="B542" s="161"/>
    </row>
    <row r="543" spans="2:2">
      <c r="B543" s="161"/>
    </row>
    <row r="544" spans="2:2">
      <c r="B544" s="161"/>
    </row>
    <row r="545" spans="2:2">
      <c r="B545" s="161"/>
    </row>
    <row r="546" spans="2:2">
      <c r="B546" s="161"/>
    </row>
    <row r="547" spans="2:2">
      <c r="B547" s="161"/>
    </row>
    <row r="548" spans="2:2">
      <c r="B548" s="161"/>
    </row>
    <row r="549" spans="2:2">
      <c r="B549" s="161"/>
    </row>
    <row r="550" spans="2:2">
      <c r="B550" s="161"/>
    </row>
    <row r="551" spans="2:2">
      <c r="B551" s="161"/>
    </row>
    <row r="552" spans="2:2">
      <c r="B552" s="161"/>
    </row>
    <row r="553" spans="2:2">
      <c r="B553" s="161"/>
    </row>
    <row r="554" spans="2:2">
      <c r="B554" s="161"/>
    </row>
    <row r="555" spans="2:2">
      <c r="B555" s="161"/>
    </row>
    <row r="556" spans="2:2">
      <c r="B556" s="161"/>
    </row>
    <row r="557" spans="2:2">
      <c r="B557" s="161"/>
    </row>
    <row r="558" spans="2:2">
      <c r="B558" s="161"/>
    </row>
    <row r="559" spans="2:2">
      <c r="B559" s="161"/>
    </row>
    <row r="560" spans="2:2">
      <c r="B560" s="161"/>
    </row>
    <row r="561" spans="2:2">
      <c r="B561" s="161"/>
    </row>
    <row r="562" spans="2:2">
      <c r="B562" s="161"/>
    </row>
    <row r="563" spans="2:2">
      <c r="B563" s="161"/>
    </row>
    <row r="564" spans="2:2">
      <c r="B564" s="161"/>
    </row>
    <row r="565" spans="2:2">
      <c r="B565" s="161"/>
    </row>
    <row r="566" spans="2:2">
      <c r="B566" s="161"/>
    </row>
    <row r="567" spans="2:2">
      <c r="B567" s="161"/>
    </row>
    <row r="568" spans="2:2">
      <c r="B568" s="161"/>
    </row>
    <row r="569" spans="2:2">
      <c r="B569" s="161"/>
    </row>
    <row r="570" spans="2:2">
      <c r="B570" s="161"/>
    </row>
    <row r="571" spans="2:2">
      <c r="B571" s="161"/>
    </row>
    <row r="572" spans="2:2">
      <c r="B572" s="161"/>
    </row>
    <row r="573" spans="2:2">
      <c r="B573" s="161"/>
    </row>
    <row r="574" spans="2:2">
      <c r="B574" s="161"/>
    </row>
    <row r="575" spans="2:2">
      <c r="B575" s="161"/>
    </row>
    <row r="576" spans="2:2">
      <c r="B576" s="161"/>
    </row>
    <row r="577" spans="2:2">
      <c r="B577" s="161"/>
    </row>
    <row r="578" spans="2:2">
      <c r="B578" s="161"/>
    </row>
    <row r="579" spans="2:2">
      <c r="B579" s="161"/>
    </row>
    <row r="580" spans="2:2">
      <c r="B580" s="161"/>
    </row>
    <row r="581" spans="2:2">
      <c r="B581" s="161"/>
    </row>
    <row r="582" spans="2:2">
      <c r="B582" s="161"/>
    </row>
    <row r="583" spans="2:2">
      <c r="B583" s="161"/>
    </row>
    <row r="584" spans="2:2">
      <c r="B584" s="161"/>
    </row>
    <row r="585" spans="2:2">
      <c r="B585" s="161"/>
    </row>
    <row r="586" spans="2:2">
      <c r="B586" s="161"/>
    </row>
    <row r="587" spans="2:2">
      <c r="B587" s="161"/>
    </row>
    <row r="588" spans="2:2">
      <c r="B588" s="161"/>
    </row>
    <row r="589" spans="2:2">
      <c r="B589" s="161"/>
    </row>
    <row r="590" spans="2:2">
      <c r="B590" s="161"/>
    </row>
    <row r="591" spans="2:2">
      <c r="B591" s="161"/>
    </row>
    <row r="592" spans="2:2">
      <c r="B592" s="161"/>
    </row>
    <row r="593" spans="2:2">
      <c r="B593" s="161"/>
    </row>
    <row r="594" spans="2:2">
      <c r="B594" s="161"/>
    </row>
    <row r="595" spans="2:2">
      <c r="B595" s="161"/>
    </row>
    <row r="596" spans="2:2">
      <c r="B596" s="161"/>
    </row>
    <row r="597" spans="2:2">
      <c r="B597" s="161"/>
    </row>
    <row r="598" spans="2:2">
      <c r="B598" s="161"/>
    </row>
    <row r="599" spans="2:2">
      <c r="B599" s="161"/>
    </row>
    <row r="600" spans="2:2">
      <c r="B600" s="161"/>
    </row>
    <row r="601" spans="2:2">
      <c r="B601" s="161"/>
    </row>
    <row r="602" spans="2:2">
      <c r="B602" s="161"/>
    </row>
    <row r="603" spans="2:2">
      <c r="B603" s="161"/>
    </row>
    <row r="604" spans="2:2">
      <c r="B604" s="161"/>
    </row>
    <row r="605" spans="2:2">
      <c r="B605" s="161"/>
    </row>
    <row r="606" spans="2:2">
      <c r="B606" s="161"/>
    </row>
    <row r="607" spans="2:2">
      <c r="B607" s="161"/>
    </row>
    <row r="608" spans="2:2">
      <c r="B608" s="161"/>
    </row>
    <row r="609" spans="2:2">
      <c r="B609" s="161"/>
    </row>
    <row r="610" spans="2:2">
      <c r="B610" s="161"/>
    </row>
    <row r="611" spans="2:2">
      <c r="B611" s="161"/>
    </row>
    <row r="612" spans="2:2">
      <c r="B612" s="161"/>
    </row>
    <row r="613" spans="2:2">
      <c r="B613" s="161"/>
    </row>
    <row r="614" spans="2:2">
      <c r="B614" s="161"/>
    </row>
    <row r="615" spans="2:2">
      <c r="B615" s="161"/>
    </row>
    <row r="616" spans="2:2">
      <c r="B616" s="161"/>
    </row>
    <row r="617" spans="2:2">
      <c r="B617" s="161"/>
    </row>
    <row r="618" spans="2:2">
      <c r="B618" s="161"/>
    </row>
    <row r="619" spans="2:2">
      <c r="B619" s="161"/>
    </row>
    <row r="620" spans="2:2">
      <c r="B620" s="161"/>
    </row>
    <row r="621" spans="2:2">
      <c r="B621" s="161"/>
    </row>
    <row r="622" spans="2:2">
      <c r="B622" s="161"/>
    </row>
    <row r="623" spans="2:2">
      <c r="B623" s="161"/>
    </row>
    <row r="624" spans="2:2">
      <c r="B624" s="161"/>
    </row>
    <row r="625" spans="2:2">
      <c r="B625" s="161"/>
    </row>
    <row r="626" spans="2:2">
      <c r="B626" s="161"/>
    </row>
    <row r="627" spans="2:2">
      <c r="B627" s="161"/>
    </row>
    <row r="628" spans="2:2">
      <c r="B628" s="161"/>
    </row>
    <row r="629" spans="2:2">
      <c r="B629" s="161"/>
    </row>
    <row r="630" spans="2:2">
      <c r="B630" s="161"/>
    </row>
    <row r="631" spans="2:2">
      <c r="B631" s="161"/>
    </row>
    <row r="632" spans="2:2">
      <c r="B632" s="161"/>
    </row>
    <row r="633" spans="2:2">
      <c r="B633" s="161"/>
    </row>
    <row r="634" spans="2:2">
      <c r="B634" s="161"/>
    </row>
    <row r="635" spans="2:2">
      <c r="B635" s="161"/>
    </row>
    <row r="636" spans="2:2">
      <c r="B636" s="161"/>
    </row>
    <row r="637" spans="2:2">
      <c r="B637" s="161"/>
    </row>
    <row r="638" spans="2:2">
      <c r="B638" s="161"/>
    </row>
    <row r="639" spans="2:2">
      <c r="B639" s="161"/>
    </row>
    <row r="640" spans="2:2">
      <c r="B640" s="161"/>
    </row>
    <row r="641" spans="2:2">
      <c r="B641" s="161"/>
    </row>
    <row r="642" spans="2:2">
      <c r="B642" s="161"/>
    </row>
    <row r="643" spans="2:2">
      <c r="B643" s="161"/>
    </row>
    <row r="644" spans="2:2">
      <c r="B644" s="161"/>
    </row>
    <row r="645" spans="2:2">
      <c r="B645" s="161"/>
    </row>
    <row r="646" spans="2:2">
      <c r="B646" s="161"/>
    </row>
    <row r="647" spans="2:2">
      <c r="B647" s="161"/>
    </row>
    <row r="648" spans="2:2">
      <c r="B648" s="161"/>
    </row>
    <row r="649" spans="2:2">
      <c r="B649" s="161"/>
    </row>
    <row r="650" spans="2:2">
      <c r="B650" s="161"/>
    </row>
    <row r="651" spans="2:2">
      <c r="B651" s="161"/>
    </row>
    <row r="652" spans="2:2">
      <c r="B652" s="161"/>
    </row>
    <row r="653" spans="2:2">
      <c r="B653" s="161"/>
    </row>
    <row r="654" spans="2:2">
      <c r="B654" s="161"/>
    </row>
    <row r="655" spans="2:2">
      <c r="B655" s="161"/>
    </row>
    <row r="656" spans="2:2">
      <c r="B656" s="161"/>
    </row>
    <row r="657" spans="2:2">
      <c r="B657" s="161"/>
    </row>
    <row r="658" spans="2:2">
      <c r="B658" s="161"/>
    </row>
    <row r="659" spans="2:2">
      <c r="B659" s="161"/>
    </row>
    <row r="660" spans="2:2">
      <c r="B660" s="161"/>
    </row>
    <row r="661" spans="2:2">
      <c r="B661" s="161"/>
    </row>
    <row r="662" spans="2:2">
      <c r="B662" s="161"/>
    </row>
    <row r="663" spans="2:2">
      <c r="B663" s="161"/>
    </row>
    <row r="664" spans="2:2">
      <c r="B664" s="161"/>
    </row>
    <row r="665" spans="2:2">
      <c r="B665" s="161"/>
    </row>
    <row r="666" spans="2:2">
      <c r="B666" s="161"/>
    </row>
    <row r="667" spans="2:2">
      <c r="B667" s="161"/>
    </row>
    <row r="668" spans="2:2">
      <c r="B668" s="161"/>
    </row>
    <row r="669" spans="2:2">
      <c r="B669" s="161"/>
    </row>
    <row r="670" spans="2:2">
      <c r="B670" s="161"/>
    </row>
    <row r="671" spans="2:2">
      <c r="B671" s="161"/>
    </row>
    <row r="672" spans="2:2">
      <c r="B672" s="161"/>
    </row>
    <row r="673" spans="2:2">
      <c r="B673" s="161"/>
    </row>
    <row r="674" spans="2:2">
      <c r="B674" s="161"/>
    </row>
    <row r="675" spans="2:2">
      <c r="B675" s="161"/>
    </row>
    <row r="676" spans="2:2">
      <c r="B676" s="161"/>
    </row>
    <row r="677" spans="2:2">
      <c r="B677" s="161"/>
    </row>
    <row r="678" spans="2:2">
      <c r="B678" s="161"/>
    </row>
    <row r="679" spans="2:2">
      <c r="B679" s="161"/>
    </row>
    <row r="680" spans="2:2">
      <c r="B680" s="161"/>
    </row>
    <row r="681" spans="2:2">
      <c r="B681" s="161"/>
    </row>
    <row r="682" spans="2:2">
      <c r="B682" s="161"/>
    </row>
    <row r="683" spans="2:2">
      <c r="B683" s="161"/>
    </row>
    <row r="684" spans="2:2">
      <c r="B684" s="161"/>
    </row>
    <row r="685" spans="2:2">
      <c r="B685" s="161"/>
    </row>
    <row r="686" spans="2:2">
      <c r="B686" s="161"/>
    </row>
    <row r="687" spans="2:2">
      <c r="B687" s="161"/>
    </row>
    <row r="688" spans="2:2">
      <c r="B688" s="161"/>
    </row>
    <row r="689" spans="2:2">
      <c r="B689" s="161"/>
    </row>
    <row r="690" spans="2:2">
      <c r="B690" s="161"/>
    </row>
    <row r="691" spans="2:2">
      <c r="B691" s="161"/>
    </row>
    <row r="692" spans="2:2">
      <c r="B692" s="161"/>
    </row>
    <row r="693" spans="2:2">
      <c r="B693" s="161"/>
    </row>
    <row r="694" spans="2:2">
      <c r="B694" s="161"/>
    </row>
    <row r="695" spans="2:2">
      <c r="B695" s="161"/>
    </row>
    <row r="696" spans="2:2">
      <c r="B696" s="161"/>
    </row>
    <row r="697" spans="2:2">
      <c r="B697" s="161"/>
    </row>
    <row r="698" spans="2:2">
      <c r="B698" s="161"/>
    </row>
    <row r="699" spans="2:2">
      <c r="B699" s="161"/>
    </row>
    <row r="700" spans="2:2">
      <c r="B700" s="161"/>
    </row>
    <row r="701" spans="2:2">
      <c r="B701" s="161"/>
    </row>
    <row r="702" spans="2:2">
      <c r="B702" s="161"/>
    </row>
    <row r="703" spans="2:2">
      <c r="B703" s="161"/>
    </row>
    <row r="704" spans="2:2">
      <c r="B704" s="161"/>
    </row>
    <row r="705" spans="2:2">
      <c r="B705" s="161"/>
    </row>
    <row r="706" spans="2:2">
      <c r="B706" s="161"/>
    </row>
    <row r="707" spans="2:2">
      <c r="B707" s="161"/>
    </row>
    <row r="708" spans="2:2">
      <c r="B708" s="161"/>
    </row>
    <row r="709" spans="2:2">
      <c r="B709" s="161"/>
    </row>
    <row r="710" spans="2:2">
      <c r="B710" s="161"/>
    </row>
    <row r="711" spans="2:2">
      <c r="B711" s="161"/>
    </row>
    <row r="712" spans="2:2">
      <c r="B712" s="161"/>
    </row>
    <row r="713" spans="2:2">
      <c r="B713" s="161"/>
    </row>
    <row r="714" spans="2:2">
      <c r="B714" s="161"/>
    </row>
    <row r="715" spans="2:2">
      <c r="B715" s="161"/>
    </row>
    <row r="716" spans="2:2">
      <c r="B716" s="161"/>
    </row>
    <row r="717" spans="2:2">
      <c r="B717" s="161"/>
    </row>
    <row r="718" spans="2:2">
      <c r="B718" s="161"/>
    </row>
    <row r="719" spans="2:2">
      <c r="B719" s="161"/>
    </row>
    <row r="720" spans="2:2">
      <c r="B720" s="161"/>
    </row>
    <row r="721" spans="2:2">
      <c r="B721" s="161"/>
    </row>
    <row r="722" spans="2:2">
      <c r="B722" s="161"/>
    </row>
    <row r="723" spans="2:2">
      <c r="B723" s="161"/>
    </row>
    <row r="724" spans="2:2">
      <c r="B724" s="161"/>
    </row>
    <row r="725" spans="2:2">
      <c r="B725" s="161"/>
    </row>
    <row r="726" spans="2:2">
      <c r="B726" s="161"/>
    </row>
    <row r="727" spans="2:2">
      <c r="B727" s="161"/>
    </row>
    <row r="728" spans="2:2">
      <c r="B728" s="161"/>
    </row>
    <row r="729" spans="2:2">
      <c r="B729" s="161"/>
    </row>
    <row r="730" spans="2:2">
      <c r="B730" s="161"/>
    </row>
    <row r="731" spans="2:2">
      <c r="B731" s="161"/>
    </row>
    <row r="732" spans="2:2">
      <c r="B732" s="161"/>
    </row>
    <row r="733" spans="2:2">
      <c r="B733" s="161"/>
    </row>
    <row r="734" spans="2:2">
      <c r="B734" s="161"/>
    </row>
    <row r="735" spans="2:2">
      <c r="B735" s="161"/>
    </row>
    <row r="736" spans="2:2">
      <c r="B736" s="161"/>
    </row>
    <row r="737" spans="2:2">
      <c r="B737" s="161"/>
    </row>
    <row r="738" spans="2:2">
      <c r="B738" s="161"/>
    </row>
    <row r="739" spans="2:2">
      <c r="B739" s="161"/>
    </row>
    <row r="740" spans="2:2">
      <c r="B740" s="161"/>
    </row>
    <row r="741" spans="2:2">
      <c r="B741" s="161"/>
    </row>
    <row r="742" spans="2:2">
      <c r="B742" s="161"/>
    </row>
    <row r="743" spans="2:2">
      <c r="B743" s="161"/>
    </row>
    <row r="744" spans="2:2">
      <c r="B744" s="161"/>
    </row>
    <row r="745" spans="2:2">
      <c r="B745" s="161"/>
    </row>
    <row r="746" spans="2:2">
      <c r="B746" s="161"/>
    </row>
    <row r="747" spans="2:2">
      <c r="B747" s="161"/>
    </row>
    <row r="748" spans="2:2">
      <c r="B748" s="161"/>
    </row>
    <row r="749" spans="2:2">
      <c r="B749" s="161"/>
    </row>
    <row r="750" spans="2:2">
      <c r="B750" s="161"/>
    </row>
    <row r="751" spans="2:2">
      <c r="B751" s="161"/>
    </row>
    <row r="752" spans="2:2">
      <c r="B752" s="161"/>
    </row>
    <row r="753" spans="2:2">
      <c r="B753" s="161"/>
    </row>
    <row r="754" spans="2:2">
      <c r="B754" s="161"/>
    </row>
    <row r="755" spans="2:2">
      <c r="B755" s="161"/>
    </row>
    <row r="756" spans="2:2">
      <c r="B756" s="161"/>
    </row>
    <row r="757" spans="2:2">
      <c r="B757" s="161"/>
    </row>
    <row r="758" spans="2:2">
      <c r="B758" s="161"/>
    </row>
    <row r="759" spans="2:2">
      <c r="B759" s="161"/>
    </row>
    <row r="760" spans="2:2">
      <c r="B760" s="161"/>
    </row>
    <row r="761" spans="2:2">
      <c r="B761" s="161"/>
    </row>
    <row r="762" spans="2:2">
      <c r="B762" s="161"/>
    </row>
    <row r="763" spans="2:2">
      <c r="B763" s="161"/>
    </row>
    <row r="764" spans="2:2">
      <c r="B764" s="161"/>
    </row>
    <row r="765" spans="2:2">
      <c r="B765" s="161"/>
    </row>
    <row r="766" spans="2:2">
      <c r="B766" s="161"/>
    </row>
    <row r="767" spans="2:2">
      <c r="B767" s="161"/>
    </row>
    <row r="768" spans="2:2">
      <c r="B768" s="161"/>
    </row>
    <row r="769" spans="2:2">
      <c r="B769" s="161"/>
    </row>
    <row r="770" spans="2:2">
      <c r="B770" s="161"/>
    </row>
    <row r="771" spans="2:2">
      <c r="B771" s="161"/>
    </row>
    <row r="772" spans="2:2">
      <c r="B772" s="161"/>
    </row>
    <row r="773" spans="2:2">
      <c r="B773" s="161"/>
    </row>
    <row r="774" spans="2:2">
      <c r="B774" s="161"/>
    </row>
    <row r="775" spans="2:2">
      <c r="B775" s="161"/>
    </row>
    <row r="776" spans="2:2">
      <c r="B776" s="161"/>
    </row>
    <row r="777" spans="2:2">
      <c r="B777" s="161"/>
    </row>
    <row r="778" spans="2:2">
      <c r="B778" s="161"/>
    </row>
    <row r="779" spans="2:2">
      <c r="B779" s="161"/>
    </row>
    <row r="780" spans="2:2">
      <c r="B780" s="161"/>
    </row>
    <row r="781" spans="2:2">
      <c r="B781" s="161"/>
    </row>
    <row r="782" spans="2:2">
      <c r="B782" s="161"/>
    </row>
    <row r="783" spans="2:2">
      <c r="B783" s="161"/>
    </row>
    <row r="784" spans="2:2">
      <c r="B784" s="161"/>
    </row>
    <row r="785" spans="2:2">
      <c r="B785" s="161"/>
    </row>
    <row r="786" spans="2:2">
      <c r="B786" s="161"/>
    </row>
    <row r="787" spans="2:2">
      <c r="B787" s="161"/>
    </row>
    <row r="788" spans="2:2">
      <c r="B788" s="161"/>
    </row>
    <row r="789" spans="2:2">
      <c r="B789" s="161"/>
    </row>
    <row r="790" spans="2:2">
      <c r="B790" s="161"/>
    </row>
    <row r="791" spans="2:2">
      <c r="B791" s="161"/>
    </row>
    <row r="792" spans="2:2">
      <c r="B792" s="161"/>
    </row>
    <row r="793" spans="2:2">
      <c r="B793" s="161"/>
    </row>
    <row r="794" spans="2:2">
      <c r="B794" s="161"/>
    </row>
    <row r="795" spans="2:2">
      <c r="B795" s="161"/>
    </row>
    <row r="796" spans="2:2">
      <c r="B796" s="161"/>
    </row>
    <row r="797" spans="2:2">
      <c r="B797" s="161"/>
    </row>
    <row r="798" spans="2:2">
      <c r="B798" s="161"/>
    </row>
    <row r="799" spans="2:2">
      <c r="B799" s="161"/>
    </row>
    <row r="800" spans="2:2">
      <c r="B800" s="161"/>
    </row>
    <row r="801" spans="2:2">
      <c r="B801" s="161"/>
    </row>
    <row r="802" spans="2:2">
      <c r="B802" s="161"/>
    </row>
    <row r="803" spans="2:2">
      <c r="B803" s="161"/>
    </row>
    <row r="804" spans="2:2">
      <c r="B804" s="161"/>
    </row>
    <row r="805" spans="2:2">
      <c r="B805" s="161"/>
    </row>
    <row r="806" spans="2:2">
      <c r="B806" s="161"/>
    </row>
    <row r="807" spans="2:2">
      <c r="B807" s="161"/>
    </row>
    <row r="808" spans="2:2">
      <c r="B808" s="161"/>
    </row>
    <row r="809" spans="2:2">
      <c r="B809" s="161"/>
    </row>
    <row r="810" spans="2:2">
      <c r="B810" s="161"/>
    </row>
    <row r="811" spans="2:2">
      <c r="B811" s="161"/>
    </row>
    <row r="812" spans="2:2">
      <c r="B812" s="161"/>
    </row>
    <row r="813" spans="2:2">
      <c r="B813" s="161"/>
    </row>
    <row r="814" spans="2:2">
      <c r="B814" s="161"/>
    </row>
    <row r="815" spans="2:2">
      <c r="B815" s="161"/>
    </row>
    <row r="816" spans="2:2">
      <c r="B816" s="161"/>
    </row>
    <row r="817" spans="2:2">
      <c r="B817" s="161"/>
    </row>
    <row r="818" spans="2:2">
      <c r="B818" s="161"/>
    </row>
    <row r="819" spans="2:2">
      <c r="B819" s="161"/>
    </row>
    <row r="820" spans="2:2">
      <c r="B820" s="161"/>
    </row>
    <row r="821" spans="2:2">
      <c r="B821" s="161"/>
    </row>
    <row r="822" spans="2:2">
      <c r="B822" s="161"/>
    </row>
    <row r="823" spans="2:2">
      <c r="B823" s="161"/>
    </row>
    <row r="824" spans="2:2">
      <c r="B824" s="161"/>
    </row>
    <row r="825" spans="2:2">
      <c r="B825" s="161"/>
    </row>
    <row r="826" spans="2:2">
      <c r="B826" s="161"/>
    </row>
    <row r="827" spans="2:2">
      <c r="B827" s="161"/>
    </row>
    <row r="828" spans="2:2">
      <c r="B828" s="161"/>
    </row>
    <row r="829" spans="2:2">
      <c r="B829" s="161"/>
    </row>
    <row r="830" spans="2:2">
      <c r="B830" s="161"/>
    </row>
    <row r="831" spans="2:2">
      <c r="B831" s="161"/>
    </row>
    <row r="832" spans="2:2">
      <c r="B832" s="161"/>
    </row>
    <row r="833" spans="2:2">
      <c r="B833" s="161"/>
    </row>
    <row r="834" spans="2:2">
      <c r="B834" s="161"/>
    </row>
    <row r="835" spans="2:2">
      <c r="B835" s="161"/>
    </row>
    <row r="836" spans="2:2">
      <c r="B836" s="161"/>
    </row>
    <row r="837" spans="2:2">
      <c r="B837" s="161"/>
    </row>
    <row r="838" spans="2:2">
      <c r="B838" s="161"/>
    </row>
    <row r="839" spans="2:2">
      <c r="B839" s="161"/>
    </row>
    <row r="840" spans="2:2">
      <c r="B840" s="161"/>
    </row>
    <row r="841" spans="2:2">
      <c r="B841" s="161"/>
    </row>
    <row r="842" spans="2:2">
      <c r="B842" s="161"/>
    </row>
    <row r="843" spans="2:2">
      <c r="B843" s="161"/>
    </row>
    <row r="844" spans="2:2">
      <c r="B844" s="161"/>
    </row>
    <row r="845" spans="2:2">
      <c r="B845" s="161"/>
    </row>
    <row r="846" spans="2:2">
      <c r="B846" s="161"/>
    </row>
    <row r="847" spans="2:2">
      <c r="B847" s="161"/>
    </row>
    <row r="848" spans="2:2">
      <c r="B848" s="161"/>
    </row>
    <row r="849" spans="2:2">
      <c r="B849" s="161"/>
    </row>
    <row r="850" spans="2:2">
      <c r="B850" s="161"/>
    </row>
    <row r="851" spans="2:2">
      <c r="B851" s="161"/>
    </row>
    <row r="852" spans="2:2">
      <c r="B852" s="161"/>
    </row>
    <row r="853" spans="2:2">
      <c r="B853" s="161"/>
    </row>
    <row r="854" spans="2:2">
      <c r="B854" s="161"/>
    </row>
    <row r="855" spans="2:2">
      <c r="B855" s="161"/>
    </row>
    <row r="856" spans="2:2">
      <c r="B856" s="161"/>
    </row>
    <row r="857" spans="2:2">
      <c r="B857" s="161"/>
    </row>
    <row r="858" spans="2:2">
      <c r="B858" s="161"/>
    </row>
    <row r="859" spans="2:2">
      <c r="B859" s="161"/>
    </row>
    <row r="860" spans="2:2">
      <c r="B860" s="161"/>
    </row>
    <row r="861" spans="2:2">
      <c r="B861" s="161"/>
    </row>
    <row r="862" spans="2:2">
      <c r="B862" s="161"/>
    </row>
    <row r="863" spans="2:2">
      <c r="B863" s="161"/>
    </row>
    <row r="864" spans="2:2">
      <c r="B864" s="161"/>
    </row>
    <row r="865" spans="2:2">
      <c r="B865" s="161"/>
    </row>
    <row r="866" spans="2:2">
      <c r="B866" s="161"/>
    </row>
    <row r="867" spans="2:2">
      <c r="B867" s="161"/>
    </row>
    <row r="868" spans="2:2">
      <c r="B868" s="161"/>
    </row>
    <row r="869" spans="2:2">
      <c r="B869" s="161"/>
    </row>
    <row r="870" spans="2:2">
      <c r="B870" s="161"/>
    </row>
    <row r="871" spans="2:2">
      <c r="B871" s="161"/>
    </row>
    <row r="872" spans="2:2">
      <c r="B872" s="161"/>
    </row>
    <row r="873" spans="2:2">
      <c r="B873" s="161"/>
    </row>
    <row r="874" spans="2:2">
      <c r="B874" s="161"/>
    </row>
    <row r="875" spans="2:2">
      <c r="B875" s="161"/>
    </row>
    <row r="876" spans="2:2">
      <c r="B876" s="161"/>
    </row>
    <row r="877" spans="2:2">
      <c r="B877" s="161"/>
    </row>
    <row r="878" spans="2:2">
      <c r="B878" s="161"/>
    </row>
    <row r="879" spans="2:2">
      <c r="B879" s="161"/>
    </row>
    <row r="880" spans="2:2">
      <c r="B880" s="161"/>
    </row>
    <row r="881" spans="2:2">
      <c r="B881" s="161"/>
    </row>
    <row r="882" spans="2:2">
      <c r="B882" s="161"/>
    </row>
    <row r="883" spans="2:2">
      <c r="B883" s="161"/>
    </row>
    <row r="884" spans="2:2">
      <c r="B884" s="161"/>
    </row>
    <row r="885" spans="2:2">
      <c r="B885" s="161"/>
    </row>
    <row r="886" spans="2:2">
      <c r="B886" s="161"/>
    </row>
    <row r="887" spans="2:2">
      <c r="B887" s="161"/>
    </row>
    <row r="888" spans="2:2">
      <c r="B888" s="161"/>
    </row>
    <row r="889" spans="2:2">
      <c r="B889" s="161"/>
    </row>
    <row r="890" spans="2:2">
      <c r="B890" s="161"/>
    </row>
    <row r="891" spans="2:2">
      <c r="B891" s="161"/>
    </row>
    <row r="892" spans="2:2">
      <c r="B892" s="161"/>
    </row>
    <row r="893" spans="2:2">
      <c r="B893" s="161"/>
    </row>
    <row r="894" spans="2:2">
      <c r="B894" s="161"/>
    </row>
    <row r="895" spans="2:2">
      <c r="B895" s="161"/>
    </row>
    <row r="896" spans="2:2">
      <c r="B896" s="161"/>
    </row>
    <row r="897" spans="2:2">
      <c r="B897" s="161"/>
    </row>
    <row r="898" spans="2:2">
      <c r="B898" s="161"/>
    </row>
    <row r="899" spans="2:2">
      <c r="B899" s="161"/>
    </row>
    <row r="900" spans="2:2">
      <c r="B900" s="161"/>
    </row>
    <row r="901" spans="2:2">
      <c r="B901" s="161"/>
    </row>
    <row r="902" spans="2:2">
      <c r="B902" s="161"/>
    </row>
    <row r="903" spans="2:2">
      <c r="B903" s="161"/>
    </row>
    <row r="904" spans="2:2">
      <c r="B904" s="161"/>
    </row>
    <row r="905" spans="2:2">
      <c r="B905" s="161"/>
    </row>
    <row r="906" spans="2:2">
      <c r="B906" s="161"/>
    </row>
    <row r="907" spans="2:2">
      <c r="B907" s="161"/>
    </row>
    <row r="908" spans="2:2">
      <c r="B908" s="161"/>
    </row>
    <row r="909" spans="2:2">
      <c r="B909" s="161"/>
    </row>
    <row r="910" spans="2:2">
      <c r="B910" s="161"/>
    </row>
    <row r="911" spans="2:2">
      <c r="B911" s="161"/>
    </row>
    <row r="912" spans="2:2">
      <c r="B912" s="161"/>
    </row>
    <row r="913" spans="2:2">
      <c r="B913" s="161"/>
    </row>
    <row r="914" spans="2:2">
      <c r="B914" s="161"/>
    </row>
    <row r="915" spans="2:2">
      <c r="B915" s="161"/>
    </row>
    <row r="916" spans="2:2">
      <c r="B916" s="161"/>
    </row>
    <row r="917" spans="2:2">
      <c r="B917" s="161"/>
    </row>
    <row r="918" spans="2:2">
      <c r="B918" s="161"/>
    </row>
    <row r="919" spans="2:2">
      <c r="B919" s="161"/>
    </row>
    <row r="920" spans="2:2">
      <c r="B920" s="161"/>
    </row>
    <row r="921" spans="2:2">
      <c r="B921" s="161"/>
    </row>
    <row r="922" spans="2:2">
      <c r="B922" s="161"/>
    </row>
    <row r="923" spans="2:2">
      <c r="B923" s="161"/>
    </row>
    <row r="924" spans="2:2">
      <c r="B924" s="161"/>
    </row>
    <row r="925" spans="2:2">
      <c r="B925" s="161"/>
    </row>
    <row r="926" spans="2:2">
      <c r="B926" s="161"/>
    </row>
    <row r="927" spans="2:2">
      <c r="B927" s="161"/>
    </row>
    <row r="928" spans="2:2">
      <c r="B928" s="161"/>
    </row>
    <row r="929" spans="2:2">
      <c r="B929" s="161"/>
    </row>
    <row r="930" spans="2:2">
      <c r="B930" s="161"/>
    </row>
    <row r="931" spans="2:2">
      <c r="B931" s="161"/>
    </row>
    <row r="932" spans="2:2">
      <c r="B932" s="161"/>
    </row>
    <row r="933" spans="2:2">
      <c r="B933" s="161"/>
    </row>
    <row r="934" spans="2:2">
      <c r="B934" s="161"/>
    </row>
    <row r="935" spans="2:2">
      <c r="B935" s="161"/>
    </row>
    <row r="936" spans="2:2">
      <c r="B936" s="161"/>
    </row>
    <row r="937" spans="2:2">
      <c r="B937" s="161"/>
    </row>
    <row r="938" spans="2:2">
      <c r="B938" s="161"/>
    </row>
    <row r="939" spans="2:2">
      <c r="B939" s="161"/>
    </row>
    <row r="940" spans="2:2">
      <c r="B940" s="161"/>
    </row>
    <row r="941" spans="2:2">
      <c r="B941" s="161"/>
    </row>
    <row r="942" spans="2:2">
      <c r="B942" s="161"/>
    </row>
    <row r="943" spans="2:2">
      <c r="B943" s="161"/>
    </row>
    <row r="944" spans="2:2">
      <c r="B944" s="161"/>
    </row>
    <row r="945" spans="2:2">
      <c r="B945" s="161"/>
    </row>
    <row r="946" spans="2:2">
      <c r="B946" s="161"/>
    </row>
    <row r="947" spans="2:2">
      <c r="B947" s="161"/>
    </row>
    <row r="948" spans="2:2">
      <c r="B948" s="161"/>
    </row>
    <row r="949" spans="2:2">
      <c r="B949" s="161"/>
    </row>
    <row r="950" spans="2:2">
      <c r="B950" s="161"/>
    </row>
    <row r="951" spans="2:2">
      <c r="B951" s="161"/>
    </row>
    <row r="952" spans="2:2">
      <c r="B952" s="161"/>
    </row>
    <row r="953" spans="2:2">
      <c r="B953" s="161"/>
    </row>
    <row r="954" spans="2:2">
      <c r="B954" s="161"/>
    </row>
    <row r="955" spans="2:2">
      <c r="B955" s="161"/>
    </row>
    <row r="956" spans="2:2">
      <c r="B956" s="161"/>
    </row>
    <row r="957" spans="2:2">
      <c r="B957" s="161"/>
    </row>
    <row r="958" spans="2:2">
      <c r="B958" s="161"/>
    </row>
    <row r="959" spans="2:2">
      <c r="B959" s="161"/>
    </row>
    <row r="960" spans="2:2">
      <c r="B960" s="161"/>
    </row>
    <row r="961" spans="2:2">
      <c r="B961" s="161"/>
    </row>
    <row r="962" spans="2:2">
      <c r="B962" s="161"/>
    </row>
    <row r="963" spans="2:2">
      <c r="B963" s="161"/>
    </row>
    <row r="964" spans="2:2">
      <c r="B964" s="161"/>
    </row>
    <row r="965" spans="2:2">
      <c r="B965" s="161"/>
    </row>
    <row r="966" spans="2:2">
      <c r="B966" s="161"/>
    </row>
    <row r="967" spans="2:2">
      <c r="B967" s="161"/>
    </row>
    <row r="968" spans="2:2">
      <c r="B968" s="161"/>
    </row>
    <row r="969" spans="2:2">
      <c r="B969" s="161"/>
    </row>
    <row r="970" spans="2:2">
      <c r="B970" s="161"/>
    </row>
    <row r="971" spans="2:2">
      <c r="B971" s="161"/>
    </row>
    <row r="972" spans="2:2">
      <c r="B972" s="161"/>
    </row>
    <row r="973" spans="2:2">
      <c r="B973" s="161"/>
    </row>
    <row r="974" spans="2:2">
      <c r="B974" s="161"/>
    </row>
    <row r="975" spans="2:2">
      <c r="B975" s="161"/>
    </row>
    <row r="976" spans="2:2">
      <c r="B976" s="161"/>
    </row>
    <row r="977" spans="2:2">
      <c r="B977" s="161"/>
    </row>
    <row r="978" spans="2:2">
      <c r="B978" s="161"/>
    </row>
    <row r="979" spans="2:2">
      <c r="B979" s="161"/>
    </row>
    <row r="980" spans="2:2">
      <c r="B980" s="161"/>
    </row>
    <row r="981" spans="2:2">
      <c r="B981" s="161"/>
    </row>
    <row r="982" spans="2:2">
      <c r="B982" s="161"/>
    </row>
    <row r="983" spans="2:2">
      <c r="B983" s="161"/>
    </row>
    <row r="984" spans="2:2">
      <c r="B984" s="161"/>
    </row>
    <row r="985" spans="2:2">
      <c r="B985" s="161"/>
    </row>
    <row r="986" spans="2:2">
      <c r="B986" s="161"/>
    </row>
    <row r="987" spans="2:2">
      <c r="B987" s="161"/>
    </row>
    <row r="988" spans="2:2">
      <c r="B988" s="161"/>
    </row>
    <row r="989" spans="2:2">
      <c r="B989" s="161"/>
    </row>
    <row r="990" spans="2:2">
      <c r="B990" s="161"/>
    </row>
    <row r="991" spans="2:2">
      <c r="B991" s="161"/>
    </row>
    <row r="992" spans="2:2">
      <c r="B992" s="161"/>
    </row>
    <row r="993" spans="2:2">
      <c r="B993" s="161"/>
    </row>
    <row r="994" spans="2:2">
      <c r="B994" s="161"/>
    </row>
    <row r="995" spans="2:2">
      <c r="B995" s="161"/>
    </row>
    <row r="996" spans="2:2">
      <c r="B996" s="161"/>
    </row>
    <row r="997" spans="2:2">
      <c r="B997" s="161"/>
    </row>
    <row r="998" spans="2:2">
      <c r="B998" s="161"/>
    </row>
    <row r="999" spans="2:2">
      <c r="B999" s="16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994"/>
  <sheetViews>
    <sheetView workbookViewId="0"/>
  </sheetViews>
  <sheetFormatPr defaultColWidth="12.5703125" defaultRowHeight="15.75" customHeight="1"/>
  <cols>
    <col min="1" max="1" width="14.85546875" customWidth="1"/>
    <col min="3" max="3" width="23.42578125" customWidth="1"/>
  </cols>
  <sheetData>
    <row r="1" spans="1:3">
      <c r="A1" s="49" t="s">
        <v>24</v>
      </c>
      <c r="B1" s="49" t="s">
        <v>12864</v>
      </c>
      <c r="C1" s="49" t="s">
        <v>12865</v>
      </c>
    </row>
    <row r="2" spans="1:3">
      <c r="A2" s="49">
        <v>759724529202804</v>
      </c>
      <c r="B2" s="49" t="s">
        <v>10621</v>
      </c>
      <c r="C2" s="162" t="str">
        <f t="shared" ref="C2:C5" si="0">CONCATENATE(B2, "-", A2)</f>
        <v>R11-759724529202804</v>
      </c>
    </row>
    <row r="3" spans="1:3">
      <c r="A3" s="49">
        <v>174904221976312</v>
      </c>
      <c r="B3" s="49" t="s">
        <v>10651</v>
      </c>
      <c r="C3" s="162" t="str">
        <f t="shared" si="0"/>
        <v>R10-174904221976312</v>
      </c>
    </row>
    <row r="4" spans="1:3">
      <c r="A4" s="49">
        <v>766589657993298</v>
      </c>
      <c r="B4" s="49" t="s">
        <v>10688</v>
      </c>
      <c r="C4" s="162" t="str">
        <f t="shared" si="0"/>
        <v>R06-766589657993298</v>
      </c>
    </row>
    <row r="5" spans="1:3">
      <c r="A5" s="49">
        <v>206726568613432</v>
      </c>
      <c r="B5" s="49" t="s">
        <v>10900</v>
      </c>
      <c r="C5" s="162" t="str">
        <f t="shared" si="0"/>
        <v>R04-206726568613432</v>
      </c>
    </row>
    <row r="6" spans="1:3">
      <c r="C6" s="162"/>
    </row>
    <row r="7" spans="1:3">
      <c r="C7" s="162"/>
    </row>
    <row r="8" spans="1:3">
      <c r="C8" s="162"/>
    </row>
    <row r="9" spans="1:3">
      <c r="C9" s="162"/>
    </row>
    <row r="10" spans="1:3">
      <c r="C10" s="162"/>
    </row>
    <row r="11" spans="1:3">
      <c r="C11" s="162"/>
    </row>
    <row r="12" spans="1:3">
      <c r="C12" s="162"/>
    </row>
    <row r="13" spans="1:3">
      <c r="C13" s="162"/>
    </row>
    <row r="14" spans="1:3">
      <c r="C14" s="162"/>
    </row>
    <row r="15" spans="1:3">
      <c r="C15" s="162"/>
    </row>
    <row r="16" spans="1:3">
      <c r="C16" s="162"/>
    </row>
    <row r="17" spans="3:3">
      <c r="C17" s="162"/>
    </row>
    <row r="18" spans="3:3">
      <c r="C18" s="162"/>
    </row>
    <row r="19" spans="3:3">
      <c r="C19" s="162"/>
    </row>
    <row r="20" spans="3:3">
      <c r="C20" s="162"/>
    </row>
    <row r="21" spans="3:3">
      <c r="C21" s="162"/>
    </row>
    <row r="22" spans="3:3">
      <c r="C22" s="162"/>
    </row>
    <row r="23" spans="3:3">
      <c r="C23" s="162"/>
    </row>
    <row r="24" spans="3:3">
      <c r="C24" s="162"/>
    </row>
    <row r="25" spans="3:3">
      <c r="C25" s="162"/>
    </row>
    <row r="26" spans="3:3">
      <c r="C26" s="162"/>
    </row>
    <row r="27" spans="3:3">
      <c r="C27" s="162"/>
    </row>
    <row r="28" spans="3:3">
      <c r="C28" s="162"/>
    </row>
    <row r="29" spans="3:3">
      <c r="C29" s="162"/>
    </row>
    <row r="30" spans="3:3">
      <c r="C30" s="162"/>
    </row>
    <row r="31" spans="3:3">
      <c r="C31" s="162"/>
    </row>
    <row r="32" spans="3:3">
      <c r="C32" s="162"/>
    </row>
    <row r="33" spans="3:3">
      <c r="C33" s="162"/>
    </row>
    <row r="34" spans="3:3">
      <c r="C34" s="162"/>
    </row>
    <row r="35" spans="3:3">
      <c r="C35" s="162"/>
    </row>
    <row r="36" spans="3:3">
      <c r="C36" s="162"/>
    </row>
    <row r="37" spans="3:3">
      <c r="C37" s="162"/>
    </row>
    <row r="38" spans="3:3">
      <c r="C38" s="162"/>
    </row>
    <row r="39" spans="3:3">
      <c r="C39" s="162"/>
    </row>
    <row r="40" spans="3:3">
      <c r="C40" s="162"/>
    </row>
    <row r="41" spans="3:3">
      <c r="C41" s="162"/>
    </row>
    <row r="42" spans="3:3">
      <c r="C42" s="162"/>
    </row>
    <row r="43" spans="3:3">
      <c r="C43" s="162"/>
    </row>
    <row r="44" spans="3:3">
      <c r="C44" s="162"/>
    </row>
    <row r="45" spans="3:3">
      <c r="C45" s="162"/>
    </row>
    <row r="46" spans="3:3">
      <c r="C46" s="162"/>
    </row>
    <row r="47" spans="3:3">
      <c r="C47" s="162"/>
    </row>
    <row r="48" spans="3:3">
      <c r="C48" s="162"/>
    </row>
    <row r="49" spans="3:3">
      <c r="C49" s="162"/>
    </row>
    <row r="50" spans="3:3">
      <c r="C50" s="162"/>
    </row>
    <row r="51" spans="3:3">
      <c r="C51" s="162"/>
    </row>
    <row r="52" spans="3:3">
      <c r="C52" s="162"/>
    </row>
    <row r="53" spans="3:3">
      <c r="C53" s="162"/>
    </row>
    <row r="54" spans="3:3">
      <c r="C54" s="162"/>
    </row>
    <row r="55" spans="3:3">
      <c r="C55" s="162"/>
    </row>
    <row r="56" spans="3:3">
      <c r="C56" s="162"/>
    </row>
    <row r="57" spans="3:3">
      <c r="C57" s="162"/>
    </row>
    <row r="58" spans="3:3">
      <c r="C58" s="162"/>
    </row>
    <row r="59" spans="3:3">
      <c r="C59" s="162"/>
    </row>
    <row r="60" spans="3:3">
      <c r="C60" s="162"/>
    </row>
    <row r="61" spans="3:3">
      <c r="C61" s="162"/>
    </row>
    <row r="62" spans="3:3">
      <c r="C62" s="162"/>
    </row>
    <row r="63" spans="3:3">
      <c r="C63" s="162"/>
    </row>
    <row r="64" spans="3:3">
      <c r="C64" s="162"/>
    </row>
    <row r="65" spans="3:3">
      <c r="C65" s="162"/>
    </row>
    <row r="66" spans="3:3">
      <c r="C66" s="162"/>
    </row>
    <row r="67" spans="3:3">
      <c r="C67" s="162"/>
    </row>
    <row r="68" spans="3:3">
      <c r="C68" s="162"/>
    </row>
    <row r="69" spans="3:3">
      <c r="C69" s="162"/>
    </row>
    <row r="70" spans="3:3">
      <c r="C70" s="162"/>
    </row>
    <row r="71" spans="3:3">
      <c r="C71" s="162"/>
    </row>
    <row r="72" spans="3:3">
      <c r="C72" s="162"/>
    </row>
    <row r="73" spans="3:3">
      <c r="C73" s="162"/>
    </row>
    <row r="74" spans="3:3">
      <c r="C74" s="162"/>
    </row>
    <row r="75" spans="3:3">
      <c r="C75" s="162"/>
    </row>
    <row r="76" spans="3:3">
      <c r="C76" s="162"/>
    </row>
    <row r="77" spans="3:3">
      <c r="C77" s="162"/>
    </row>
    <row r="78" spans="3:3">
      <c r="C78" s="162"/>
    </row>
    <row r="79" spans="3:3">
      <c r="C79" s="162"/>
    </row>
    <row r="80" spans="3:3">
      <c r="C80" s="162"/>
    </row>
    <row r="81" spans="3:3">
      <c r="C81" s="162"/>
    </row>
    <row r="82" spans="3:3">
      <c r="C82" s="162"/>
    </row>
    <row r="83" spans="3:3">
      <c r="C83" s="162"/>
    </row>
    <row r="84" spans="3:3">
      <c r="C84" s="162"/>
    </row>
    <row r="85" spans="3:3">
      <c r="C85" s="162"/>
    </row>
    <row r="86" spans="3:3">
      <c r="C86" s="162"/>
    </row>
    <row r="87" spans="3:3">
      <c r="C87" s="162"/>
    </row>
    <row r="88" spans="3:3">
      <c r="C88" s="162"/>
    </row>
    <row r="89" spans="3:3">
      <c r="C89" s="162"/>
    </row>
    <row r="90" spans="3:3">
      <c r="C90" s="162"/>
    </row>
    <row r="91" spans="3:3">
      <c r="C91" s="162"/>
    </row>
    <row r="92" spans="3:3">
      <c r="C92" s="162"/>
    </row>
    <row r="93" spans="3:3">
      <c r="C93" s="162"/>
    </row>
    <row r="94" spans="3:3">
      <c r="C94" s="162"/>
    </row>
    <row r="95" spans="3:3">
      <c r="C95" s="162"/>
    </row>
    <row r="96" spans="3:3">
      <c r="C96" s="162"/>
    </row>
    <row r="97" spans="3:3">
      <c r="C97" s="162"/>
    </row>
    <row r="98" spans="3:3">
      <c r="C98" s="162"/>
    </row>
    <row r="99" spans="3:3">
      <c r="C99" s="162"/>
    </row>
    <row r="100" spans="3:3">
      <c r="C100" s="162"/>
    </row>
    <row r="101" spans="3:3">
      <c r="C101" s="162"/>
    </row>
    <row r="102" spans="3:3">
      <c r="C102" s="162"/>
    </row>
    <row r="103" spans="3:3">
      <c r="C103" s="162"/>
    </row>
    <row r="104" spans="3:3">
      <c r="C104" s="162"/>
    </row>
    <row r="105" spans="3:3">
      <c r="C105" s="162"/>
    </row>
    <row r="106" spans="3:3">
      <c r="C106" s="162"/>
    </row>
    <row r="107" spans="3:3">
      <c r="C107" s="162"/>
    </row>
    <row r="108" spans="3:3">
      <c r="C108" s="162"/>
    </row>
    <row r="109" spans="3:3">
      <c r="C109" s="162"/>
    </row>
    <row r="110" spans="3:3">
      <c r="C110" s="162"/>
    </row>
    <row r="111" spans="3:3">
      <c r="C111" s="162"/>
    </row>
    <row r="112" spans="3:3">
      <c r="C112" s="162"/>
    </row>
    <row r="113" spans="3:3">
      <c r="C113" s="162"/>
    </row>
    <row r="114" spans="3:3">
      <c r="C114" s="162"/>
    </row>
    <row r="115" spans="3:3">
      <c r="C115" s="162"/>
    </row>
    <row r="116" spans="3:3">
      <c r="C116" s="162"/>
    </row>
    <row r="117" spans="3:3">
      <c r="C117" s="162"/>
    </row>
    <row r="118" spans="3:3">
      <c r="C118" s="162"/>
    </row>
    <row r="119" spans="3:3">
      <c r="C119" s="162"/>
    </row>
    <row r="120" spans="3:3">
      <c r="C120" s="162"/>
    </row>
    <row r="121" spans="3:3">
      <c r="C121" s="162"/>
    </row>
    <row r="122" spans="3:3">
      <c r="C122" s="162"/>
    </row>
    <row r="123" spans="3:3">
      <c r="C123" s="162"/>
    </row>
    <row r="124" spans="3:3">
      <c r="C124" s="162"/>
    </row>
    <row r="125" spans="3:3">
      <c r="C125" s="162"/>
    </row>
    <row r="126" spans="3:3">
      <c r="C126" s="162"/>
    </row>
    <row r="127" spans="3:3">
      <c r="C127" s="162"/>
    </row>
    <row r="128" spans="3:3">
      <c r="C128" s="162"/>
    </row>
    <row r="129" spans="3:3">
      <c r="C129" s="162"/>
    </row>
    <row r="130" spans="3:3">
      <c r="C130" s="162"/>
    </row>
    <row r="131" spans="3:3">
      <c r="C131" s="162"/>
    </row>
    <row r="132" spans="3:3">
      <c r="C132" s="162"/>
    </row>
    <row r="133" spans="3:3">
      <c r="C133" s="162"/>
    </row>
    <row r="134" spans="3:3">
      <c r="C134" s="162"/>
    </row>
    <row r="135" spans="3:3">
      <c r="C135" s="162"/>
    </row>
    <row r="136" spans="3:3">
      <c r="C136" s="162"/>
    </row>
    <row r="137" spans="3:3">
      <c r="C137" s="162"/>
    </row>
    <row r="138" spans="3:3">
      <c r="C138" s="162"/>
    </row>
    <row r="139" spans="3:3">
      <c r="C139" s="162"/>
    </row>
    <row r="140" spans="3:3">
      <c r="C140" s="162"/>
    </row>
    <row r="141" spans="3:3">
      <c r="C141" s="162"/>
    </row>
    <row r="142" spans="3:3">
      <c r="C142" s="162"/>
    </row>
    <row r="143" spans="3:3">
      <c r="C143" s="162"/>
    </row>
    <row r="144" spans="3:3">
      <c r="C144" s="162"/>
    </row>
    <row r="145" spans="3:3">
      <c r="C145" s="162"/>
    </row>
    <row r="146" spans="3:3">
      <c r="C146" s="162"/>
    </row>
    <row r="147" spans="3:3">
      <c r="C147" s="162"/>
    </row>
    <row r="148" spans="3:3">
      <c r="C148" s="162"/>
    </row>
    <row r="149" spans="3:3">
      <c r="C149" s="162"/>
    </row>
    <row r="150" spans="3:3">
      <c r="C150" s="162"/>
    </row>
    <row r="151" spans="3:3">
      <c r="C151" s="162"/>
    </row>
    <row r="152" spans="3:3">
      <c r="C152" s="162"/>
    </row>
    <row r="153" spans="3:3">
      <c r="C153" s="162"/>
    </row>
    <row r="154" spans="3:3">
      <c r="C154" s="162"/>
    </row>
    <row r="155" spans="3:3">
      <c r="C155" s="162"/>
    </row>
    <row r="156" spans="3:3">
      <c r="C156" s="162"/>
    </row>
    <row r="157" spans="3:3">
      <c r="C157" s="162"/>
    </row>
    <row r="158" spans="3:3">
      <c r="C158" s="162"/>
    </row>
    <row r="159" spans="3:3">
      <c r="C159" s="162"/>
    </row>
    <row r="160" spans="3:3">
      <c r="C160" s="162"/>
    </row>
    <row r="161" spans="3:3">
      <c r="C161" s="162"/>
    </row>
    <row r="162" spans="3:3">
      <c r="C162" s="162"/>
    </row>
    <row r="163" spans="3:3">
      <c r="C163" s="162"/>
    </row>
    <row r="164" spans="3:3">
      <c r="C164" s="162"/>
    </row>
    <row r="165" spans="3:3">
      <c r="C165" s="162"/>
    </row>
    <row r="166" spans="3:3">
      <c r="C166" s="162"/>
    </row>
    <row r="167" spans="3:3">
      <c r="C167" s="162"/>
    </row>
    <row r="168" spans="3:3">
      <c r="C168" s="162"/>
    </row>
    <row r="169" spans="3:3">
      <c r="C169" s="162"/>
    </row>
    <row r="170" spans="3:3">
      <c r="C170" s="162"/>
    </row>
    <row r="171" spans="3:3">
      <c r="C171" s="162"/>
    </row>
    <row r="172" spans="3:3">
      <c r="C172" s="162"/>
    </row>
    <row r="173" spans="3:3">
      <c r="C173" s="162"/>
    </row>
    <row r="174" spans="3:3">
      <c r="C174" s="162"/>
    </row>
    <row r="175" spans="3:3">
      <c r="C175" s="162"/>
    </row>
    <row r="176" spans="3:3">
      <c r="C176" s="162"/>
    </row>
    <row r="177" spans="3:3">
      <c r="C177" s="162"/>
    </row>
    <row r="178" spans="3:3">
      <c r="C178" s="162"/>
    </row>
    <row r="179" spans="3:3">
      <c r="C179" s="162"/>
    </row>
    <row r="180" spans="3:3">
      <c r="C180" s="162"/>
    </row>
    <row r="181" spans="3:3">
      <c r="C181" s="162"/>
    </row>
    <row r="182" spans="3:3">
      <c r="C182" s="162"/>
    </row>
    <row r="183" spans="3:3">
      <c r="C183" s="162"/>
    </row>
    <row r="184" spans="3:3">
      <c r="C184" s="162"/>
    </row>
    <row r="185" spans="3:3">
      <c r="C185" s="162"/>
    </row>
    <row r="186" spans="3:3">
      <c r="C186" s="162"/>
    </row>
    <row r="187" spans="3:3">
      <c r="C187" s="162"/>
    </row>
    <row r="188" spans="3:3">
      <c r="C188" s="162"/>
    </row>
    <row r="189" spans="3:3">
      <c r="C189" s="162"/>
    </row>
    <row r="190" spans="3:3">
      <c r="C190" s="162"/>
    </row>
    <row r="191" spans="3:3">
      <c r="C191" s="162"/>
    </row>
    <row r="192" spans="3:3">
      <c r="C192" s="162"/>
    </row>
    <row r="193" spans="3:3">
      <c r="C193" s="162"/>
    </row>
    <row r="194" spans="3:3">
      <c r="C194" s="162"/>
    </row>
    <row r="195" spans="3:3">
      <c r="C195" s="162"/>
    </row>
    <row r="196" spans="3:3">
      <c r="C196" s="162"/>
    </row>
    <row r="197" spans="3:3">
      <c r="C197" s="162"/>
    </row>
    <row r="198" spans="3:3">
      <c r="C198" s="162"/>
    </row>
    <row r="199" spans="3:3">
      <c r="C199" s="162"/>
    </row>
    <row r="200" spans="3:3">
      <c r="C200" s="162"/>
    </row>
    <row r="201" spans="3:3">
      <c r="C201" s="162"/>
    </row>
    <row r="202" spans="3:3">
      <c r="C202" s="162"/>
    </row>
    <row r="203" spans="3:3">
      <c r="C203" s="162"/>
    </row>
    <row r="204" spans="3:3">
      <c r="C204" s="162"/>
    </row>
    <row r="205" spans="3:3">
      <c r="C205" s="162"/>
    </row>
    <row r="206" spans="3:3">
      <c r="C206" s="162"/>
    </row>
    <row r="207" spans="3:3">
      <c r="C207" s="162"/>
    </row>
    <row r="208" spans="3:3">
      <c r="C208" s="162"/>
    </row>
    <row r="209" spans="3:3">
      <c r="C209" s="162"/>
    </row>
    <row r="210" spans="3:3">
      <c r="C210" s="162"/>
    </row>
    <row r="211" spans="3:3">
      <c r="C211" s="162"/>
    </row>
    <row r="212" spans="3:3">
      <c r="C212" s="162"/>
    </row>
    <row r="213" spans="3:3">
      <c r="C213" s="162"/>
    </row>
    <row r="214" spans="3:3">
      <c r="C214" s="162"/>
    </row>
    <row r="215" spans="3:3">
      <c r="C215" s="162"/>
    </row>
    <row r="216" spans="3:3">
      <c r="C216" s="162"/>
    </row>
    <row r="217" spans="3:3">
      <c r="C217" s="162"/>
    </row>
    <row r="218" spans="3:3">
      <c r="C218" s="162"/>
    </row>
    <row r="219" spans="3:3">
      <c r="C219" s="162"/>
    </row>
    <row r="220" spans="3:3">
      <c r="C220" s="162"/>
    </row>
    <row r="221" spans="3:3">
      <c r="C221" s="162"/>
    </row>
    <row r="222" spans="3:3">
      <c r="C222" s="162"/>
    </row>
    <row r="223" spans="3:3">
      <c r="C223" s="162"/>
    </row>
    <row r="224" spans="3:3">
      <c r="C224" s="162"/>
    </row>
    <row r="225" spans="3:3">
      <c r="C225" s="162"/>
    </row>
    <row r="226" spans="3:3">
      <c r="C226" s="162"/>
    </row>
    <row r="227" spans="3:3">
      <c r="C227" s="162"/>
    </row>
    <row r="228" spans="3:3">
      <c r="C228" s="162"/>
    </row>
    <row r="229" spans="3:3">
      <c r="C229" s="162"/>
    </row>
    <row r="230" spans="3:3">
      <c r="C230" s="162"/>
    </row>
    <row r="231" spans="3:3">
      <c r="C231" s="162"/>
    </row>
    <row r="232" spans="3:3">
      <c r="C232" s="162"/>
    </row>
    <row r="233" spans="3:3">
      <c r="C233" s="162"/>
    </row>
    <row r="234" spans="3:3">
      <c r="C234" s="162"/>
    </row>
    <row r="235" spans="3:3">
      <c r="C235" s="162"/>
    </row>
    <row r="236" spans="3:3">
      <c r="C236" s="162"/>
    </row>
    <row r="237" spans="3:3">
      <c r="C237" s="162"/>
    </row>
    <row r="238" spans="3:3">
      <c r="C238" s="162"/>
    </row>
    <row r="239" spans="3:3">
      <c r="C239" s="162"/>
    </row>
    <row r="240" spans="3:3">
      <c r="C240" s="162"/>
    </row>
    <row r="241" spans="3:3">
      <c r="C241" s="162"/>
    </row>
    <row r="242" spans="3:3">
      <c r="C242" s="162"/>
    </row>
    <row r="243" spans="3:3">
      <c r="C243" s="162"/>
    </row>
    <row r="244" spans="3:3">
      <c r="C244" s="162"/>
    </row>
    <row r="245" spans="3:3">
      <c r="C245" s="162"/>
    </row>
    <row r="246" spans="3:3">
      <c r="C246" s="162"/>
    </row>
    <row r="247" spans="3:3">
      <c r="C247" s="162"/>
    </row>
    <row r="248" spans="3:3">
      <c r="C248" s="162"/>
    </row>
    <row r="249" spans="3:3">
      <c r="C249" s="162"/>
    </row>
    <row r="250" spans="3:3">
      <c r="C250" s="162"/>
    </row>
    <row r="251" spans="3:3">
      <c r="C251" s="162"/>
    </row>
    <row r="252" spans="3:3">
      <c r="C252" s="162"/>
    </row>
    <row r="253" spans="3:3">
      <c r="C253" s="162"/>
    </row>
    <row r="254" spans="3:3">
      <c r="C254" s="162"/>
    </row>
    <row r="255" spans="3:3">
      <c r="C255" s="162"/>
    </row>
    <row r="256" spans="3:3">
      <c r="C256" s="162"/>
    </row>
    <row r="257" spans="3:3">
      <c r="C257" s="162"/>
    </row>
    <row r="258" spans="3:3">
      <c r="C258" s="162"/>
    </row>
    <row r="259" spans="3:3">
      <c r="C259" s="162"/>
    </row>
    <row r="260" spans="3:3">
      <c r="C260" s="162"/>
    </row>
    <row r="261" spans="3:3">
      <c r="C261" s="162"/>
    </row>
    <row r="262" spans="3:3">
      <c r="C262" s="162"/>
    </row>
    <row r="263" spans="3:3">
      <c r="C263" s="162"/>
    </row>
    <row r="264" spans="3:3">
      <c r="C264" s="162"/>
    </row>
    <row r="265" spans="3:3">
      <c r="C265" s="162"/>
    </row>
    <row r="266" spans="3:3">
      <c r="C266" s="162"/>
    </row>
    <row r="267" spans="3:3">
      <c r="C267" s="162"/>
    </row>
    <row r="268" spans="3:3">
      <c r="C268" s="162"/>
    </row>
    <row r="269" spans="3:3">
      <c r="C269" s="162"/>
    </row>
    <row r="270" spans="3:3">
      <c r="C270" s="162"/>
    </row>
    <row r="271" spans="3:3">
      <c r="C271" s="162"/>
    </row>
    <row r="272" spans="3:3">
      <c r="C272" s="162"/>
    </row>
    <row r="273" spans="3:3">
      <c r="C273" s="162"/>
    </row>
    <row r="274" spans="3:3">
      <c r="C274" s="162"/>
    </row>
    <row r="275" spans="3:3">
      <c r="C275" s="162"/>
    </row>
    <row r="276" spans="3:3">
      <c r="C276" s="162"/>
    </row>
    <row r="277" spans="3:3">
      <c r="C277" s="162"/>
    </row>
    <row r="278" spans="3:3">
      <c r="C278" s="162"/>
    </row>
    <row r="279" spans="3:3">
      <c r="C279" s="162"/>
    </row>
    <row r="280" spans="3:3">
      <c r="C280" s="162"/>
    </row>
    <row r="281" spans="3:3">
      <c r="C281" s="162"/>
    </row>
    <row r="282" spans="3:3">
      <c r="C282" s="162"/>
    </row>
    <row r="283" spans="3:3">
      <c r="C283" s="162"/>
    </row>
    <row r="284" spans="3:3">
      <c r="C284" s="162"/>
    </row>
    <row r="285" spans="3:3">
      <c r="C285" s="162"/>
    </row>
    <row r="286" spans="3:3">
      <c r="C286" s="162"/>
    </row>
    <row r="287" spans="3:3">
      <c r="C287" s="162"/>
    </row>
    <row r="288" spans="3:3">
      <c r="C288" s="162"/>
    </row>
    <row r="289" spans="3:3">
      <c r="C289" s="162"/>
    </row>
    <row r="290" spans="3:3">
      <c r="C290" s="162"/>
    </row>
    <row r="291" spans="3:3">
      <c r="C291" s="162"/>
    </row>
    <row r="292" spans="3:3">
      <c r="C292" s="162"/>
    </row>
    <row r="293" spans="3:3">
      <c r="C293" s="162"/>
    </row>
    <row r="294" spans="3:3">
      <c r="C294" s="162"/>
    </row>
    <row r="295" spans="3:3">
      <c r="C295" s="162"/>
    </row>
    <row r="296" spans="3:3">
      <c r="C296" s="162"/>
    </row>
    <row r="297" spans="3:3">
      <c r="C297" s="162"/>
    </row>
    <row r="298" spans="3:3">
      <c r="C298" s="162"/>
    </row>
    <row r="299" spans="3:3">
      <c r="C299" s="162"/>
    </row>
    <row r="300" spans="3:3">
      <c r="C300" s="162"/>
    </row>
    <row r="301" spans="3:3">
      <c r="C301" s="162"/>
    </row>
    <row r="302" spans="3:3">
      <c r="C302" s="162"/>
    </row>
    <row r="303" spans="3:3">
      <c r="C303" s="162"/>
    </row>
    <row r="304" spans="3:3">
      <c r="C304" s="162"/>
    </row>
    <row r="305" spans="3:3">
      <c r="C305" s="162"/>
    </row>
    <row r="306" spans="3:3">
      <c r="C306" s="162"/>
    </row>
    <row r="307" spans="3:3">
      <c r="C307" s="162"/>
    </row>
    <row r="308" spans="3:3">
      <c r="C308" s="162"/>
    </row>
    <row r="309" spans="3:3">
      <c r="C309" s="162"/>
    </row>
    <row r="310" spans="3:3">
      <c r="C310" s="162"/>
    </row>
    <row r="311" spans="3:3">
      <c r="C311" s="162"/>
    </row>
    <row r="312" spans="3:3">
      <c r="C312" s="162"/>
    </row>
    <row r="313" spans="3:3">
      <c r="C313" s="162"/>
    </row>
    <row r="314" spans="3:3">
      <c r="C314" s="162"/>
    </row>
    <row r="315" spans="3:3">
      <c r="C315" s="162"/>
    </row>
    <row r="316" spans="3:3">
      <c r="C316" s="162"/>
    </row>
    <row r="317" spans="3:3">
      <c r="C317" s="162"/>
    </row>
    <row r="318" spans="3:3">
      <c r="C318" s="162"/>
    </row>
    <row r="319" spans="3:3">
      <c r="C319" s="162"/>
    </row>
    <row r="320" spans="3:3">
      <c r="C320" s="162"/>
    </row>
    <row r="321" spans="3:3">
      <c r="C321" s="162"/>
    </row>
    <row r="322" spans="3:3">
      <c r="C322" s="162"/>
    </row>
    <row r="323" spans="3:3">
      <c r="C323" s="162"/>
    </row>
    <row r="324" spans="3:3">
      <c r="C324" s="162"/>
    </row>
    <row r="325" spans="3:3">
      <c r="C325" s="162"/>
    </row>
    <row r="326" spans="3:3">
      <c r="C326" s="162"/>
    </row>
    <row r="327" spans="3:3">
      <c r="C327" s="162"/>
    </row>
    <row r="328" spans="3:3">
      <c r="C328" s="162"/>
    </row>
    <row r="329" spans="3:3">
      <c r="C329" s="162"/>
    </row>
    <row r="330" spans="3:3">
      <c r="C330" s="162"/>
    </row>
    <row r="331" spans="3:3">
      <c r="C331" s="162"/>
    </row>
    <row r="332" spans="3:3">
      <c r="C332" s="162"/>
    </row>
    <row r="333" spans="3:3">
      <c r="C333" s="162"/>
    </row>
    <row r="334" spans="3:3">
      <c r="C334" s="162"/>
    </row>
    <row r="335" spans="3:3">
      <c r="C335" s="162"/>
    </row>
    <row r="336" spans="3:3">
      <c r="C336" s="162"/>
    </row>
    <row r="337" spans="3:3">
      <c r="C337" s="162"/>
    </row>
    <row r="338" spans="3:3">
      <c r="C338" s="162"/>
    </row>
    <row r="339" spans="3:3">
      <c r="C339" s="162"/>
    </row>
    <row r="340" spans="3:3">
      <c r="C340" s="162"/>
    </row>
    <row r="341" spans="3:3">
      <c r="C341" s="162"/>
    </row>
    <row r="342" spans="3:3">
      <c r="C342" s="162"/>
    </row>
    <row r="343" spans="3:3">
      <c r="C343" s="162"/>
    </row>
    <row r="344" spans="3:3">
      <c r="C344" s="162"/>
    </row>
    <row r="345" spans="3:3">
      <c r="C345" s="162"/>
    </row>
    <row r="346" spans="3:3">
      <c r="C346" s="162"/>
    </row>
    <row r="347" spans="3:3">
      <c r="C347" s="162"/>
    </row>
    <row r="348" spans="3:3">
      <c r="C348" s="162"/>
    </row>
    <row r="349" spans="3:3">
      <c r="C349" s="162"/>
    </row>
    <row r="350" spans="3:3">
      <c r="C350" s="162"/>
    </row>
    <row r="351" spans="3:3">
      <c r="C351" s="162"/>
    </row>
    <row r="352" spans="3:3">
      <c r="C352" s="162"/>
    </row>
    <row r="353" spans="3:3">
      <c r="C353" s="162"/>
    </row>
    <row r="354" spans="3:3">
      <c r="C354" s="162"/>
    </row>
    <row r="355" spans="3:3">
      <c r="C355" s="162"/>
    </row>
    <row r="356" spans="3:3">
      <c r="C356" s="162"/>
    </row>
    <row r="357" spans="3:3">
      <c r="C357" s="162"/>
    </row>
    <row r="358" spans="3:3">
      <c r="C358" s="162"/>
    </row>
    <row r="359" spans="3:3">
      <c r="C359" s="162"/>
    </row>
    <row r="360" spans="3:3">
      <c r="C360" s="162"/>
    </row>
    <row r="361" spans="3:3">
      <c r="C361" s="162"/>
    </row>
    <row r="362" spans="3:3">
      <c r="C362" s="162"/>
    </row>
    <row r="363" spans="3:3">
      <c r="C363" s="162"/>
    </row>
    <row r="364" spans="3:3">
      <c r="C364" s="162"/>
    </row>
    <row r="365" spans="3:3">
      <c r="C365" s="162"/>
    </row>
    <row r="366" spans="3:3">
      <c r="C366" s="162"/>
    </row>
    <row r="367" spans="3:3">
      <c r="C367" s="162"/>
    </row>
    <row r="368" spans="3:3">
      <c r="C368" s="162"/>
    </row>
    <row r="369" spans="3:3">
      <c r="C369" s="162"/>
    </row>
    <row r="370" spans="3:3">
      <c r="C370" s="162"/>
    </row>
    <row r="371" spans="3:3">
      <c r="C371" s="162"/>
    </row>
    <row r="372" spans="3:3">
      <c r="C372" s="162"/>
    </row>
    <row r="373" spans="3:3">
      <c r="C373" s="162"/>
    </row>
    <row r="374" spans="3:3">
      <c r="C374" s="162"/>
    </row>
    <row r="375" spans="3:3">
      <c r="C375" s="162"/>
    </row>
    <row r="376" spans="3:3">
      <c r="C376" s="162"/>
    </row>
    <row r="377" spans="3:3">
      <c r="C377" s="162"/>
    </row>
    <row r="378" spans="3:3">
      <c r="C378" s="162"/>
    </row>
    <row r="379" spans="3:3">
      <c r="C379" s="162"/>
    </row>
    <row r="380" spans="3:3">
      <c r="C380" s="162"/>
    </row>
    <row r="381" spans="3:3">
      <c r="C381" s="162"/>
    </row>
    <row r="382" spans="3:3">
      <c r="C382" s="162"/>
    </row>
    <row r="383" spans="3:3">
      <c r="C383" s="162"/>
    </row>
    <row r="384" spans="3:3">
      <c r="C384" s="162"/>
    </row>
    <row r="385" spans="3:3">
      <c r="C385" s="162"/>
    </row>
    <row r="386" spans="3:3">
      <c r="C386" s="162"/>
    </row>
    <row r="387" spans="3:3">
      <c r="C387" s="162"/>
    </row>
    <row r="388" spans="3:3">
      <c r="C388" s="162"/>
    </row>
    <row r="389" spans="3:3">
      <c r="C389" s="162"/>
    </row>
    <row r="390" spans="3:3">
      <c r="C390" s="162"/>
    </row>
    <row r="391" spans="3:3">
      <c r="C391" s="162"/>
    </row>
    <row r="392" spans="3:3">
      <c r="C392" s="162"/>
    </row>
    <row r="393" spans="3:3">
      <c r="C393" s="162"/>
    </row>
    <row r="394" spans="3:3">
      <c r="C394" s="162"/>
    </row>
    <row r="395" spans="3:3">
      <c r="C395" s="162"/>
    </row>
    <row r="396" spans="3:3">
      <c r="C396" s="162"/>
    </row>
    <row r="397" spans="3:3">
      <c r="C397" s="162"/>
    </row>
    <row r="398" spans="3:3">
      <c r="C398" s="162"/>
    </row>
    <row r="399" spans="3:3">
      <c r="C399" s="162"/>
    </row>
    <row r="400" spans="3:3">
      <c r="C400" s="162"/>
    </row>
    <row r="401" spans="3:3">
      <c r="C401" s="162"/>
    </row>
    <row r="402" spans="3:3">
      <c r="C402" s="162"/>
    </row>
    <row r="403" spans="3:3">
      <c r="C403" s="162"/>
    </row>
    <row r="404" spans="3:3">
      <c r="C404" s="162"/>
    </row>
    <row r="405" spans="3:3">
      <c r="C405" s="162"/>
    </row>
    <row r="406" spans="3:3">
      <c r="C406" s="162"/>
    </row>
    <row r="407" spans="3:3">
      <c r="C407" s="162"/>
    </row>
    <row r="408" spans="3:3">
      <c r="C408" s="162"/>
    </row>
    <row r="409" spans="3:3">
      <c r="C409" s="162"/>
    </row>
    <row r="410" spans="3:3">
      <c r="C410" s="162"/>
    </row>
    <row r="411" spans="3:3">
      <c r="C411" s="162"/>
    </row>
    <row r="412" spans="3:3">
      <c r="C412" s="162"/>
    </row>
    <row r="413" spans="3:3">
      <c r="C413" s="162"/>
    </row>
    <row r="414" spans="3:3">
      <c r="C414" s="162"/>
    </row>
    <row r="415" spans="3:3">
      <c r="C415" s="162"/>
    </row>
    <row r="416" spans="3:3">
      <c r="C416" s="162"/>
    </row>
    <row r="417" spans="3:3">
      <c r="C417" s="162"/>
    </row>
    <row r="418" spans="3:3">
      <c r="C418" s="162"/>
    </row>
    <row r="419" spans="3:3">
      <c r="C419" s="162"/>
    </row>
    <row r="420" spans="3:3">
      <c r="C420" s="162"/>
    </row>
    <row r="421" spans="3:3">
      <c r="C421" s="162"/>
    </row>
    <row r="422" spans="3:3">
      <c r="C422" s="162"/>
    </row>
    <row r="423" spans="3:3">
      <c r="C423" s="162"/>
    </row>
    <row r="424" spans="3:3">
      <c r="C424" s="162"/>
    </row>
    <row r="425" spans="3:3">
      <c r="C425" s="162"/>
    </row>
    <row r="426" spans="3:3">
      <c r="C426" s="162"/>
    </row>
    <row r="427" spans="3:3">
      <c r="C427" s="162"/>
    </row>
    <row r="428" spans="3:3">
      <c r="C428" s="162"/>
    </row>
    <row r="429" spans="3:3">
      <c r="C429" s="162"/>
    </row>
    <row r="430" spans="3:3">
      <c r="C430" s="162"/>
    </row>
    <row r="431" spans="3:3">
      <c r="C431" s="162"/>
    </row>
    <row r="432" spans="3:3">
      <c r="C432" s="162"/>
    </row>
    <row r="433" spans="3:3">
      <c r="C433" s="162"/>
    </row>
    <row r="434" spans="3:3">
      <c r="C434" s="162"/>
    </row>
    <row r="435" spans="3:3">
      <c r="C435" s="162"/>
    </row>
    <row r="436" spans="3:3">
      <c r="C436" s="162"/>
    </row>
    <row r="437" spans="3:3">
      <c r="C437" s="162"/>
    </row>
    <row r="438" spans="3:3">
      <c r="C438" s="162"/>
    </row>
    <row r="439" spans="3:3">
      <c r="C439" s="162"/>
    </row>
    <row r="440" spans="3:3">
      <c r="C440" s="162"/>
    </row>
    <row r="441" spans="3:3">
      <c r="C441" s="162"/>
    </row>
    <row r="442" spans="3:3">
      <c r="C442" s="162"/>
    </row>
    <row r="443" spans="3:3">
      <c r="C443" s="162"/>
    </row>
    <row r="444" spans="3:3">
      <c r="C444" s="162"/>
    </row>
    <row r="445" spans="3:3">
      <c r="C445" s="162"/>
    </row>
    <row r="446" spans="3:3">
      <c r="C446" s="162"/>
    </row>
    <row r="447" spans="3:3">
      <c r="C447" s="162"/>
    </row>
    <row r="448" spans="3:3">
      <c r="C448" s="162"/>
    </row>
    <row r="449" spans="3:3">
      <c r="C449" s="162"/>
    </row>
    <row r="450" spans="3:3">
      <c r="C450" s="162"/>
    </row>
    <row r="451" spans="3:3">
      <c r="C451" s="162"/>
    </row>
    <row r="452" spans="3:3">
      <c r="C452" s="162"/>
    </row>
    <row r="453" spans="3:3">
      <c r="C453" s="162"/>
    </row>
    <row r="454" spans="3:3">
      <c r="C454" s="162"/>
    </row>
    <row r="455" spans="3:3">
      <c r="C455" s="162"/>
    </row>
    <row r="456" spans="3:3">
      <c r="C456" s="162"/>
    </row>
    <row r="457" spans="3:3">
      <c r="C457" s="162"/>
    </row>
    <row r="458" spans="3:3">
      <c r="C458" s="162"/>
    </row>
    <row r="459" spans="3:3">
      <c r="C459" s="162"/>
    </row>
    <row r="460" spans="3:3">
      <c r="C460" s="162"/>
    </row>
    <row r="461" spans="3:3">
      <c r="C461" s="162"/>
    </row>
    <row r="462" spans="3:3">
      <c r="C462" s="162"/>
    </row>
    <row r="463" spans="3:3">
      <c r="C463" s="162"/>
    </row>
    <row r="464" spans="3:3">
      <c r="C464" s="162"/>
    </row>
    <row r="465" spans="3:3">
      <c r="C465" s="162"/>
    </row>
    <row r="466" spans="3:3">
      <c r="C466" s="162"/>
    </row>
    <row r="467" spans="3:3">
      <c r="C467" s="162"/>
    </row>
    <row r="468" spans="3:3">
      <c r="C468" s="162"/>
    </row>
    <row r="469" spans="3:3">
      <c r="C469" s="162"/>
    </row>
    <row r="470" spans="3:3">
      <c r="C470" s="162"/>
    </row>
    <row r="471" spans="3:3">
      <c r="C471" s="162"/>
    </row>
    <row r="472" spans="3:3">
      <c r="C472" s="162"/>
    </row>
    <row r="473" spans="3:3">
      <c r="C473" s="162"/>
    </row>
    <row r="474" spans="3:3">
      <c r="C474" s="162"/>
    </row>
    <row r="475" spans="3:3">
      <c r="C475" s="162"/>
    </row>
    <row r="476" spans="3:3">
      <c r="C476" s="162"/>
    </row>
    <row r="477" spans="3:3">
      <c r="C477" s="162"/>
    </row>
    <row r="478" spans="3:3">
      <c r="C478" s="162"/>
    </row>
    <row r="479" spans="3:3">
      <c r="C479" s="162"/>
    </row>
    <row r="480" spans="3:3">
      <c r="C480" s="162"/>
    </row>
    <row r="481" spans="3:3">
      <c r="C481" s="162"/>
    </row>
    <row r="482" spans="3:3">
      <c r="C482" s="162"/>
    </row>
    <row r="483" spans="3:3">
      <c r="C483" s="162"/>
    </row>
    <row r="484" spans="3:3">
      <c r="C484" s="162"/>
    </row>
    <row r="485" spans="3:3">
      <c r="C485" s="162"/>
    </row>
    <row r="486" spans="3:3">
      <c r="C486" s="162"/>
    </row>
    <row r="487" spans="3:3">
      <c r="C487" s="162"/>
    </row>
    <row r="488" spans="3:3">
      <c r="C488" s="162"/>
    </row>
    <row r="489" spans="3:3">
      <c r="C489" s="162"/>
    </row>
    <row r="490" spans="3:3">
      <c r="C490" s="162"/>
    </row>
    <row r="491" spans="3:3">
      <c r="C491" s="162"/>
    </row>
    <row r="492" spans="3:3">
      <c r="C492" s="162"/>
    </row>
    <row r="493" spans="3:3">
      <c r="C493" s="162"/>
    </row>
    <row r="494" spans="3:3">
      <c r="C494" s="162"/>
    </row>
    <row r="495" spans="3:3">
      <c r="C495" s="162"/>
    </row>
    <row r="496" spans="3:3">
      <c r="C496" s="162"/>
    </row>
    <row r="497" spans="3:3">
      <c r="C497" s="162"/>
    </row>
    <row r="498" spans="3:3">
      <c r="C498" s="162"/>
    </row>
    <row r="499" spans="3:3">
      <c r="C499" s="162"/>
    </row>
    <row r="500" spans="3:3">
      <c r="C500" s="162"/>
    </row>
    <row r="501" spans="3:3">
      <c r="C501" s="162"/>
    </row>
    <row r="502" spans="3:3">
      <c r="C502" s="162"/>
    </row>
    <row r="503" spans="3:3">
      <c r="C503" s="162"/>
    </row>
    <row r="504" spans="3:3">
      <c r="C504" s="162"/>
    </row>
    <row r="505" spans="3:3">
      <c r="C505" s="162"/>
    </row>
    <row r="506" spans="3:3">
      <c r="C506" s="162"/>
    </row>
    <row r="507" spans="3:3">
      <c r="C507" s="162"/>
    </row>
    <row r="508" spans="3:3">
      <c r="C508" s="162"/>
    </row>
    <row r="509" spans="3:3">
      <c r="C509" s="162"/>
    </row>
    <row r="510" spans="3:3">
      <c r="C510" s="162"/>
    </row>
    <row r="511" spans="3:3">
      <c r="C511" s="162"/>
    </row>
    <row r="512" spans="3:3">
      <c r="C512" s="162"/>
    </row>
    <row r="513" spans="3:3">
      <c r="C513" s="162"/>
    </row>
    <row r="514" spans="3:3">
      <c r="C514" s="162"/>
    </row>
    <row r="515" spans="3:3">
      <c r="C515" s="162"/>
    </row>
    <row r="516" spans="3:3">
      <c r="C516" s="162"/>
    </row>
    <row r="517" spans="3:3">
      <c r="C517" s="162"/>
    </row>
    <row r="518" spans="3:3">
      <c r="C518" s="162"/>
    </row>
    <row r="519" spans="3:3">
      <c r="C519" s="162"/>
    </row>
    <row r="520" spans="3:3">
      <c r="C520" s="162"/>
    </row>
    <row r="521" spans="3:3">
      <c r="C521" s="162"/>
    </row>
    <row r="522" spans="3:3">
      <c r="C522" s="162"/>
    </row>
    <row r="523" spans="3:3">
      <c r="C523" s="162"/>
    </row>
    <row r="524" spans="3:3">
      <c r="C524" s="162"/>
    </row>
    <row r="525" spans="3:3">
      <c r="C525" s="162"/>
    </row>
    <row r="526" spans="3:3">
      <c r="C526" s="162"/>
    </row>
    <row r="527" spans="3:3">
      <c r="C527" s="162"/>
    </row>
    <row r="528" spans="3:3">
      <c r="C528" s="162"/>
    </row>
    <row r="529" spans="3:3">
      <c r="C529" s="162"/>
    </row>
    <row r="530" spans="3:3">
      <c r="C530" s="162"/>
    </row>
    <row r="531" spans="3:3">
      <c r="C531" s="162"/>
    </row>
    <row r="532" spans="3:3">
      <c r="C532" s="162"/>
    </row>
    <row r="533" spans="3:3">
      <c r="C533" s="162"/>
    </row>
    <row r="534" spans="3:3">
      <c r="C534" s="162"/>
    </row>
    <row r="535" spans="3:3">
      <c r="C535" s="162"/>
    </row>
    <row r="536" spans="3:3">
      <c r="C536" s="162"/>
    </row>
    <row r="537" spans="3:3">
      <c r="C537" s="162"/>
    </row>
    <row r="538" spans="3:3">
      <c r="C538" s="162"/>
    </row>
    <row r="539" spans="3:3">
      <c r="C539" s="162"/>
    </row>
    <row r="540" spans="3:3">
      <c r="C540" s="162"/>
    </row>
    <row r="541" spans="3:3">
      <c r="C541" s="162"/>
    </row>
    <row r="542" spans="3:3">
      <c r="C542" s="162"/>
    </row>
    <row r="543" spans="3:3">
      <c r="C543" s="162"/>
    </row>
    <row r="544" spans="3:3">
      <c r="C544" s="162"/>
    </row>
    <row r="545" spans="3:3">
      <c r="C545" s="162"/>
    </row>
    <row r="546" spans="3:3">
      <c r="C546" s="162"/>
    </row>
    <row r="547" spans="3:3">
      <c r="C547" s="162"/>
    </row>
    <row r="548" spans="3:3">
      <c r="C548" s="162"/>
    </row>
    <row r="549" spans="3:3">
      <c r="C549" s="162"/>
    </row>
    <row r="550" spans="3:3">
      <c r="C550" s="162"/>
    </row>
    <row r="551" spans="3:3">
      <c r="C551" s="162"/>
    </row>
    <row r="552" spans="3:3">
      <c r="C552" s="162"/>
    </row>
    <row r="553" spans="3:3">
      <c r="C553" s="162"/>
    </row>
    <row r="554" spans="3:3">
      <c r="C554" s="162"/>
    </row>
    <row r="555" spans="3:3">
      <c r="C555" s="162"/>
    </row>
    <row r="556" spans="3:3">
      <c r="C556" s="162"/>
    </row>
    <row r="557" spans="3:3">
      <c r="C557" s="162"/>
    </row>
    <row r="558" spans="3:3">
      <c r="C558" s="162"/>
    </row>
    <row r="559" spans="3:3">
      <c r="C559" s="162"/>
    </row>
    <row r="560" spans="3:3">
      <c r="C560" s="162"/>
    </row>
    <row r="561" spans="3:3">
      <c r="C561" s="162"/>
    </row>
    <row r="562" spans="3:3">
      <c r="C562" s="162"/>
    </row>
    <row r="563" spans="3:3">
      <c r="C563" s="162"/>
    </row>
    <row r="564" spans="3:3">
      <c r="C564" s="162"/>
    </row>
    <row r="565" spans="3:3">
      <c r="C565" s="162"/>
    </row>
    <row r="566" spans="3:3">
      <c r="C566" s="162"/>
    </row>
    <row r="567" spans="3:3">
      <c r="C567" s="162"/>
    </row>
    <row r="568" spans="3:3">
      <c r="C568" s="162"/>
    </row>
    <row r="569" spans="3:3">
      <c r="C569" s="162"/>
    </row>
    <row r="570" spans="3:3">
      <c r="C570" s="162"/>
    </row>
    <row r="571" spans="3:3">
      <c r="C571" s="162"/>
    </row>
    <row r="572" spans="3:3">
      <c r="C572" s="162"/>
    </row>
    <row r="573" spans="3:3">
      <c r="C573" s="162"/>
    </row>
    <row r="574" spans="3:3">
      <c r="C574" s="162"/>
    </row>
    <row r="575" spans="3:3">
      <c r="C575" s="162"/>
    </row>
    <row r="576" spans="3:3">
      <c r="C576" s="162"/>
    </row>
    <row r="577" spans="3:3">
      <c r="C577" s="162"/>
    </row>
    <row r="578" spans="3:3">
      <c r="C578" s="162"/>
    </row>
    <row r="579" spans="3:3">
      <c r="C579" s="162"/>
    </row>
    <row r="580" spans="3:3">
      <c r="C580" s="162"/>
    </row>
    <row r="581" spans="3:3">
      <c r="C581" s="162"/>
    </row>
    <row r="582" spans="3:3">
      <c r="C582" s="162"/>
    </row>
    <row r="583" spans="3:3">
      <c r="C583" s="162"/>
    </row>
    <row r="584" spans="3:3">
      <c r="C584" s="162"/>
    </row>
    <row r="585" spans="3:3">
      <c r="C585" s="162"/>
    </row>
    <row r="586" spans="3:3">
      <c r="C586" s="162"/>
    </row>
    <row r="587" spans="3:3">
      <c r="C587" s="162"/>
    </row>
    <row r="588" spans="3:3">
      <c r="C588" s="162"/>
    </row>
    <row r="589" spans="3:3">
      <c r="C589" s="162"/>
    </row>
    <row r="590" spans="3:3">
      <c r="C590" s="162"/>
    </row>
    <row r="591" spans="3:3">
      <c r="C591" s="162"/>
    </row>
    <row r="592" spans="3:3">
      <c r="C592" s="162"/>
    </row>
    <row r="593" spans="3:3">
      <c r="C593" s="162"/>
    </row>
    <row r="594" spans="3:3">
      <c r="C594" s="162"/>
    </row>
    <row r="595" spans="3:3">
      <c r="C595" s="162"/>
    </row>
    <row r="596" spans="3:3">
      <c r="C596" s="162"/>
    </row>
    <row r="597" spans="3:3">
      <c r="C597" s="162"/>
    </row>
    <row r="598" spans="3:3">
      <c r="C598" s="162"/>
    </row>
    <row r="599" spans="3:3">
      <c r="C599" s="162"/>
    </row>
    <row r="600" spans="3:3">
      <c r="C600" s="162"/>
    </row>
    <row r="601" spans="3:3">
      <c r="C601" s="162"/>
    </row>
    <row r="602" spans="3:3">
      <c r="C602" s="162"/>
    </row>
    <row r="603" spans="3:3">
      <c r="C603" s="162"/>
    </row>
    <row r="604" spans="3:3">
      <c r="C604" s="162"/>
    </row>
    <row r="605" spans="3:3">
      <c r="C605" s="162"/>
    </row>
    <row r="606" spans="3:3">
      <c r="C606" s="162"/>
    </row>
    <row r="607" spans="3:3">
      <c r="C607" s="162"/>
    </row>
    <row r="608" spans="3:3">
      <c r="C608" s="162"/>
    </row>
    <row r="609" spans="3:3">
      <c r="C609" s="162"/>
    </row>
    <row r="610" spans="3:3">
      <c r="C610" s="162"/>
    </row>
    <row r="611" spans="3:3">
      <c r="C611" s="162"/>
    </row>
    <row r="612" spans="3:3">
      <c r="C612" s="162"/>
    </row>
    <row r="613" spans="3:3">
      <c r="C613" s="162"/>
    </row>
    <row r="614" spans="3:3">
      <c r="C614" s="162"/>
    </row>
    <row r="615" spans="3:3">
      <c r="C615" s="162"/>
    </row>
    <row r="616" spans="3:3">
      <c r="C616" s="162"/>
    </row>
    <row r="617" spans="3:3">
      <c r="C617" s="162"/>
    </row>
    <row r="618" spans="3:3">
      <c r="C618" s="162"/>
    </row>
    <row r="619" spans="3:3">
      <c r="C619" s="162"/>
    </row>
    <row r="620" spans="3:3">
      <c r="C620" s="162"/>
    </row>
    <row r="621" spans="3:3">
      <c r="C621" s="162"/>
    </row>
    <row r="622" spans="3:3">
      <c r="C622" s="162"/>
    </row>
    <row r="623" spans="3:3">
      <c r="C623" s="162"/>
    </row>
    <row r="624" spans="3:3">
      <c r="C624" s="162"/>
    </row>
    <row r="625" spans="3:3">
      <c r="C625" s="162"/>
    </row>
    <row r="626" spans="3:3">
      <c r="C626" s="162"/>
    </row>
    <row r="627" spans="3:3">
      <c r="C627" s="162"/>
    </row>
    <row r="628" spans="3:3">
      <c r="C628" s="162"/>
    </row>
    <row r="629" spans="3:3">
      <c r="C629" s="162"/>
    </row>
    <row r="630" spans="3:3">
      <c r="C630" s="162"/>
    </row>
    <row r="631" spans="3:3">
      <c r="C631" s="162"/>
    </row>
    <row r="632" spans="3:3">
      <c r="C632" s="162"/>
    </row>
    <row r="633" spans="3:3">
      <c r="C633" s="162"/>
    </row>
    <row r="634" spans="3:3">
      <c r="C634" s="162"/>
    </row>
    <row r="635" spans="3:3">
      <c r="C635" s="162"/>
    </row>
    <row r="636" spans="3:3">
      <c r="C636" s="162"/>
    </row>
    <row r="637" spans="3:3">
      <c r="C637" s="162"/>
    </row>
    <row r="638" spans="3:3">
      <c r="C638" s="162"/>
    </row>
    <row r="639" spans="3:3">
      <c r="C639" s="162"/>
    </row>
    <row r="640" spans="3:3">
      <c r="C640" s="162"/>
    </row>
    <row r="641" spans="3:3">
      <c r="C641" s="162"/>
    </row>
    <row r="642" spans="3:3">
      <c r="C642" s="162"/>
    </row>
    <row r="643" spans="3:3">
      <c r="C643" s="162"/>
    </row>
    <row r="644" spans="3:3">
      <c r="C644" s="162"/>
    </row>
    <row r="645" spans="3:3">
      <c r="C645" s="162"/>
    </row>
    <row r="646" spans="3:3">
      <c r="C646" s="162"/>
    </row>
    <row r="647" spans="3:3">
      <c r="C647" s="162"/>
    </row>
    <row r="648" spans="3:3">
      <c r="C648" s="162"/>
    </row>
    <row r="649" spans="3:3">
      <c r="C649" s="162"/>
    </row>
    <row r="650" spans="3:3">
      <c r="C650" s="162"/>
    </row>
    <row r="651" spans="3:3">
      <c r="C651" s="162"/>
    </row>
    <row r="652" spans="3:3">
      <c r="C652" s="162"/>
    </row>
    <row r="653" spans="3:3">
      <c r="C653" s="162"/>
    </row>
    <row r="654" spans="3:3">
      <c r="C654" s="162"/>
    </row>
    <row r="655" spans="3:3">
      <c r="C655" s="162"/>
    </row>
    <row r="656" spans="3:3">
      <c r="C656" s="162"/>
    </row>
    <row r="657" spans="3:3">
      <c r="C657" s="162"/>
    </row>
    <row r="658" spans="3:3">
      <c r="C658" s="162"/>
    </row>
    <row r="659" spans="3:3">
      <c r="C659" s="162"/>
    </row>
    <row r="660" spans="3:3">
      <c r="C660" s="162"/>
    </row>
    <row r="661" spans="3:3">
      <c r="C661" s="162"/>
    </row>
    <row r="662" spans="3:3">
      <c r="C662" s="162"/>
    </row>
    <row r="663" spans="3:3">
      <c r="C663" s="162"/>
    </row>
    <row r="664" spans="3:3">
      <c r="C664" s="162"/>
    </row>
    <row r="665" spans="3:3">
      <c r="C665" s="162"/>
    </row>
    <row r="666" spans="3:3">
      <c r="C666" s="162"/>
    </row>
    <row r="667" spans="3:3">
      <c r="C667" s="162"/>
    </row>
    <row r="668" spans="3:3">
      <c r="C668" s="162"/>
    </row>
    <row r="669" spans="3:3">
      <c r="C669" s="162"/>
    </row>
    <row r="670" spans="3:3">
      <c r="C670" s="162"/>
    </row>
    <row r="671" spans="3:3">
      <c r="C671" s="162"/>
    </row>
    <row r="672" spans="3:3">
      <c r="C672" s="162"/>
    </row>
    <row r="673" spans="3:3">
      <c r="C673" s="162"/>
    </row>
    <row r="674" spans="3:3">
      <c r="C674" s="162"/>
    </row>
    <row r="675" spans="3:3">
      <c r="C675" s="162"/>
    </row>
    <row r="676" spans="3:3">
      <c r="C676" s="162"/>
    </row>
    <row r="677" spans="3:3">
      <c r="C677" s="162"/>
    </row>
    <row r="678" spans="3:3">
      <c r="C678" s="162"/>
    </row>
    <row r="679" spans="3:3">
      <c r="C679" s="162"/>
    </row>
    <row r="680" spans="3:3">
      <c r="C680" s="162"/>
    </row>
    <row r="681" spans="3:3">
      <c r="C681" s="162"/>
    </row>
    <row r="682" spans="3:3">
      <c r="C682" s="162"/>
    </row>
    <row r="683" spans="3:3">
      <c r="C683" s="162"/>
    </row>
    <row r="684" spans="3:3">
      <c r="C684" s="162"/>
    </row>
    <row r="685" spans="3:3">
      <c r="C685" s="162"/>
    </row>
    <row r="686" spans="3:3">
      <c r="C686" s="162"/>
    </row>
    <row r="687" spans="3:3">
      <c r="C687" s="162"/>
    </row>
    <row r="688" spans="3:3">
      <c r="C688" s="162"/>
    </row>
    <row r="689" spans="3:3">
      <c r="C689" s="162"/>
    </row>
    <row r="690" spans="3:3">
      <c r="C690" s="162"/>
    </row>
    <row r="691" spans="3:3">
      <c r="C691" s="162"/>
    </row>
    <row r="692" spans="3:3">
      <c r="C692" s="162"/>
    </row>
    <row r="693" spans="3:3">
      <c r="C693" s="162"/>
    </row>
    <row r="694" spans="3:3">
      <c r="C694" s="162"/>
    </row>
    <row r="695" spans="3:3">
      <c r="C695" s="162"/>
    </row>
    <row r="696" spans="3:3">
      <c r="C696" s="162"/>
    </row>
    <row r="697" spans="3:3">
      <c r="C697" s="162"/>
    </row>
    <row r="698" spans="3:3">
      <c r="C698" s="162"/>
    </row>
    <row r="699" spans="3:3">
      <c r="C699" s="162"/>
    </row>
    <row r="700" spans="3:3">
      <c r="C700" s="162"/>
    </row>
    <row r="701" spans="3:3">
      <c r="C701" s="162"/>
    </row>
    <row r="702" spans="3:3">
      <c r="C702" s="162"/>
    </row>
    <row r="703" spans="3:3">
      <c r="C703" s="162"/>
    </row>
    <row r="704" spans="3:3">
      <c r="C704" s="162"/>
    </row>
    <row r="705" spans="3:3">
      <c r="C705" s="162"/>
    </row>
    <row r="706" spans="3:3">
      <c r="C706" s="162"/>
    </row>
    <row r="707" spans="3:3">
      <c r="C707" s="162"/>
    </row>
    <row r="708" spans="3:3">
      <c r="C708" s="162"/>
    </row>
    <row r="709" spans="3:3">
      <c r="C709" s="162"/>
    </row>
    <row r="710" spans="3:3">
      <c r="C710" s="162"/>
    </row>
    <row r="711" spans="3:3">
      <c r="C711" s="162"/>
    </row>
    <row r="712" spans="3:3">
      <c r="C712" s="162"/>
    </row>
    <row r="713" spans="3:3">
      <c r="C713" s="162"/>
    </row>
    <row r="714" spans="3:3">
      <c r="C714" s="162"/>
    </row>
    <row r="715" spans="3:3">
      <c r="C715" s="162"/>
    </row>
    <row r="716" spans="3:3">
      <c r="C716" s="162"/>
    </row>
    <row r="717" spans="3:3">
      <c r="C717" s="162"/>
    </row>
    <row r="718" spans="3:3">
      <c r="C718" s="162"/>
    </row>
    <row r="719" spans="3:3">
      <c r="C719" s="162"/>
    </row>
    <row r="720" spans="3:3">
      <c r="C720" s="162"/>
    </row>
    <row r="721" spans="3:3">
      <c r="C721" s="162"/>
    </row>
    <row r="722" spans="3:3">
      <c r="C722" s="162"/>
    </row>
    <row r="723" spans="3:3">
      <c r="C723" s="162"/>
    </row>
    <row r="724" spans="3:3">
      <c r="C724" s="162"/>
    </row>
    <row r="725" spans="3:3">
      <c r="C725" s="162"/>
    </row>
    <row r="726" spans="3:3">
      <c r="C726" s="162"/>
    </row>
    <row r="727" spans="3:3">
      <c r="C727" s="162"/>
    </row>
    <row r="728" spans="3:3">
      <c r="C728" s="162"/>
    </row>
    <row r="729" spans="3:3">
      <c r="C729" s="162"/>
    </row>
    <row r="730" spans="3:3">
      <c r="C730" s="162"/>
    </row>
    <row r="731" spans="3:3">
      <c r="C731" s="162"/>
    </row>
    <row r="732" spans="3:3">
      <c r="C732" s="162"/>
    </row>
    <row r="733" spans="3:3">
      <c r="C733" s="162"/>
    </row>
    <row r="734" spans="3:3">
      <c r="C734" s="162"/>
    </row>
    <row r="735" spans="3:3">
      <c r="C735" s="162"/>
    </row>
    <row r="736" spans="3:3">
      <c r="C736" s="162"/>
    </row>
    <row r="737" spans="3:3">
      <c r="C737" s="162"/>
    </row>
    <row r="738" spans="3:3">
      <c r="C738" s="162"/>
    </row>
    <row r="739" spans="3:3">
      <c r="C739" s="162"/>
    </row>
    <row r="740" spans="3:3">
      <c r="C740" s="162"/>
    </row>
    <row r="741" spans="3:3">
      <c r="C741" s="162"/>
    </row>
    <row r="742" spans="3:3">
      <c r="C742" s="162"/>
    </row>
    <row r="743" spans="3:3">
      <c r="C743" s="162"/>
    </row>
    <row r="744" spans="3:3">
      <c r="C744" s="162"/>
    </row>
    <row r="745" spans="3:3">
      <c r="C745" s="162"/>
    </row>
    <row r="746" spans="3:3">
      <c r="C746" s="162"/>
    </row>
    <row r="747" spans="3:3">
      <c r="C747" s="162"/>
    </row>
    <row r="748" spans="3:3">
      <c r="C748" s="162"/>
    </row>
    <row r="749" spans="3:3">
      <c r="C749" s="162"/>
    </row>
    <row r="750" spans="3:3">
      <c r="C750" s="162"/>
    </row>
    <row r="751" spans="3:3">
      <c r="C751" s="162"/>
    </row>
    <row r="752" spans="3:3">
      <c r="C752" s="162"/>
    </row>
    <row r="753" spans="3:3">
      <c r="C753" s="162"/>
    </row>
    <row r="754" spans="3:3">
      <c r="C754" s="162"/>
    </row>
    <row r="755" spans="3:3">
      <c r="C755" s="162"/>
    </row>
    <row r="756" spans="3:3">
      <c r="C756" s="162"/>
    </row>
    <row r="757" spans="3:3">
      <c r="C757" s="162"/>
    </row>
    <row r="758" spans="3:3">
      <c r="C758" s="162"/>
    </row>
    <row r="759" spans="3:3">
      <c r="C759" s="162"/>
    </row>
    <row r="760" spans="3:3">
      <c r="C760" s="162"/>
    </row>
    <row r="761" spans="3:3">
      <c r="C761" s="162"/>
    </row>
    <row r="762" spans="3:3">
      <c r="C762" s="162"/>
    </row>
    <row r="763" spans="3:3">
      <c r="C763" s="162"/>
    </row>
    <row r="764" spans="3:3">
      <c r="C764" s="162"/>
    </row>
    <row r="765" spans="3:3">
      <c r="C765" s="162"/>
    </row>
    <row r="766" spans="3:3">
      <c r="C766" s="162"/>
    </row>
    <row r="767" spans="3:3">
      <c r="C767" s="162"/>
    </row>
    <row r="768" spans="3:3">
      <c r="C768" s="162"/>
    </row>
    <row r="769" spans="3:3">
      <c r="C769" s="162"/>
    </row>
    <row r="770" spans="3:3">
      <c r="C770" s="162"/>
    </row>
    <row r="771" spans="3:3">
      <c r="C771" s="162"/>
    </row>
    <row r="772" spans="3:3">
      <c r="C772" s="162"/>
    </row>
    <row r="773" spans="3:3">
      <c r="C773" s="162"/>
    </row>
    <row r="774" spans="3:3">
      <c r="C774" s="162"/>
    </row>
    <row r="775" spans="3:3">
      <c r="C775" s="162"/>
    </row>
    <row r="776" spans="3:3">
      <c r="C776" s="162"/>
    </row>
    <row r="777" spans="3:3">
      <c r="C777" s="162"/>
    </row>
    <row r="778" spans="3:3">
      <c r="C778" s="162"/>
    </row>
    <row r="779" spans="3:3">
      <c r="C779" s="162"/>
    </row>
    <row r="780" spans="3:3">
      <c r="C780" s="162"/>
    </row>
    <row r="781" spans="3:3">
      <c r="C781" s="162"/>
    </row>
    <row r="782" spans="3:3">
      <c r="C782" s="162"/>
    </row>
    <row r="783" spans="3:3">
      <c r="C783" s="162"/>
    </row>
    <row r="784" spans="3:3">
      <c r="C784" s="162"/>
    </row>
    <row r="785" spans="3:3">
      <c r="C785" s="162"/>
    </row>
    <row r="786" spans="3:3">
      <c r="C786" s="162"/>
    </row>
    <row r="787" spans="3:3">
      <c r="C787" s="162"/>
    </row>
    <row r="788" spans="3:3">
      <c r="C788" s="162"/>
    </row>
    <row r="789" spans="3:3">
      <c r="C789" s="162"/>
    </row>
    <row r="790" spans="3:3">
      <c r="C790" s="162"/>
    </row>
    <row r="791" spans="3:3">
      <c r="C791" s="162"/>
    </row>
    <row r="792" spans="3:3">
      <c r="C792" s="162"/>
    </row>
    <row r="793" spans="3:3">
      <c r="C793" s="162"/>
    </row>
    <row r="794" spans="3:3">
      <c r="C794" s="162"/>
    </row>
    <row r="795" spans="3:3">
      <c r="C795" s="162"/>
    </row>
    <row r="796" spans="3:3">
      <c r="C796" s="162"/>
    </row>
    <row r="797" spans="3:3">
      <c r="C797" s="162"/>
    </row>
    <row r="798" spans="3:3">
      <c r="C798" s="162"/>
    </row>
    <row r="799" spans="3:3">
      <c r="C799" s="162"/>
    </row>
    <row r="800" spans="3:3">
      <c r="C800" s="162"/>
    </row>
    <row r="801" spans="3:3">
      <c r="C801" s="162"/>
    </row>
    <row r="802" spans="3:3">
      <c r="C802" s="162"/>
    </row>
    <row r="803" spans="3:3">
      <c r="C803" s="162"/>
    </row>
    <row r="804" spans="3:3">
      <c r="C804" s="162"/>
    </row>
    <row r="805" spans="3:3">
      <c r="C805" s="162"/>
    </row>
    <row r="806" spans="3:3">
      <c r="C806" s="162"/>
    </row>
    <row r="807" spans="3:3">
      <c r="C807" s="162"/>
    </row>
    <row r="808" spans="3:3">
      <c r="C808" s="162"/>
    </row>
    <row r="809" spans="3:3">
      <c r="C809" s="162"/>
    </row>
    <row r="810" spans="3:3">
      <c r="C810" s="162"/>
    </row>
    <row r="811" spans="3:3">
      <c r="C811" s="162"/>
    </row>
    <row r="812" spans="3:3">
      <c r="C812" s="162"/>
    </row>
    <row r="813" spans="3:3">
      <c r="C813" s="162"/>
    </row>
    <row r="814" spans="3:3">
      <c r="C814" s="162"/>
    </row>
    <row r="815" spans="3:3">
      <c r="C815" s="162"/>
    </row>
    <row r="816" spans="3:3">
      <c r="C816" s="162"/>
    </row>
    <row r="817" spans="3:3">
      <c r="C817" s="162"/>
    </row>
    <row r="818" spans="3:3">
      <c r="C818" s="162"/>
    </row>
    <row r="819" spans="3:3">
      <c r="C819" s="162"/>
    </row>
    <row r="820" spans="3:3">
      <c r="C820" s="162"/>
    </row>
    <row r="821" spans="3:3">
      <c r="C821" s="162"/>
    </row>
    <row r="822" spans="3:3">
      <c r="C822" s="162"/>
    </row>
    <row r="823" spans="3:3">
      <c r="C823" s="162"/>
    </row>
    <row r="824" spans="3:3">
      <c r="C824" s="162"/>
    </row>
    <row r="825" spans="3:3">
      <c r="C825" s="162"/>
    </row>
    <row r="826" spans="3:3">
      <c r="C826" s="162"/>
    </row>
    <row r="827" spans="3:3">
      <c r="C827" s="162"/>
    </row>
    <row r="828" spans="3:3">
      <c r="C828" s="162"/>
    </row>
    <row r="829" spans="3:3">
      <c r="C829" s="162"/>
    </row>
    <row r="830" spans="3:3">
      <c r="C830" s="162"/>
    </row>
    <row r="831" spans="3:3">
      <c r="C831" s="162"/>
    </row>
    <row r="832" spans="3:3">
      <c r="C832" s="162"/>
    </row>
    <row r="833" spans="3:3">
      <c r="C833" s="162"/>
    </row>
    <row r="834" spans="3:3">
      <c r="C834" s="162"/>
    </row>
    <row r="835" spans="3:3">
      <c r="C835" s="162"/>
    </row>
    <row r="836" spans="3:3">
      <c r="C836" s="162"/>
    </row>
    <row r="837" spans="3:3">
      <c r="C837" s="162"/>
    </row>
    <row r="838" spans="3:3">
      <c r="C838" s="162"/>
    </row>
    <row r="839" spans="3:3">
      <c r="C839" s="162"/>
    </row>
    <row r="840" spans="3:3">
      <c r="C840" s="162"/>
    </row>
    <row r="841" spans="3:3">
      <c r="C841" s="162"/>
    </row>
    <row r="842" spans="3:3">
      <c r="C842" s="162"/>
    </row>
    <row r="843" spans="3:3">
      <c r="C843" s="162"/>
    </row>
    <row r="844" spans="3:3">
      <c r="C844" s="162"/>
    </row>
    <row r="845" spans="3:3">
      <c r="C845" s="162"/>
    </row>
    <row r="846" spans="3:3">
      <c r="C846" s="162"/>
    </row>
    <row r="847" spans="3:3">
      <c r="C847" s="162"/>
    </row>
    <row r="848" spans="3:3">
      <c r="C848" s="162"/>
    </row>
    <row r="849" spans="3:3">
      <c r="C849" s="162"/>
    </row>
    <row r="850" spans="3:3">
      <c r="C850" s="162"/>
    </row>
    <row r="851" spans="3:3">
      <c r="C851" s="162"/>
    </row>
    <row r="852" spans="3:3">
      <c r="C852" s="162"/>
    </row>
    <row r="853" spans="3:3">
      <c r="C853" s="162"/>
    </row>
    <row r="854" spans="3:3">
      <c r="C854" s="162"/>
    </row>
    <row r="855" spans="3:3">
      <c r="C855" s="162"/>
    </row>
    <row r="856" spans="3:3">
      <c r="C856" s="162"/>
    </row>
    <row r="857" spans="3:3">
      <c r="C857" s="162"/>
    </row>
    <row r="858" spans="3:3">
      <c r="C858" s="162"/>
    </row>
    <row r="859" spans="3:3">
      <c r="C859" s="162"/>
    </row>
    <row r="860" spans="3:3">
      <c r="C860" s="162"/>
    </row>
    <row r="861" spans="3:3">
      <c r="C861" s="162"/>
    </row>
    <row r="862" spans="3:3">
      <c r="C862" s="162"/>
    </row>
    <row r="863" spans="3:3">
      <c r="C863" s="162"/>
    </row>
    <row r="864" spans="3:3">
      <c r="C864" s="162"/>
    </row>
    <row r="865" spans="3:3">
      <c r="C865" s="162"/>
    </row>
    <row r="866" spans="3:3">
      <c r="C866" s="162"/>
    </row>
    <row r="867" spans="3:3">
      <c r="C867" s="162"/>
    </row>
    <row r="868" spans="3:3">
      <c r="C868" s="162"/>
    </row>
    <row r="869" spans="3:3">
      <c r="C869" s="162"/>
    </row>
    <row r="870" spans="3:3">
      <c r="C870" s="162"/>
    </row>
    <row r="871" spans="3:3">
      <c r="C871" s="162"/>
    </row>
    <row r="872" spans="3:3">
      <c r="C872" s="162"/>
    </row>
    <row r="873" spans="3:3">
      <c r="C873" s="162"/>
    </row>
    <row r="874" spans="3:3">
      <c r="C874" s="162"/>
    </row>
    <row r="875" spans="3:3">
      <c r="C875" s="162"/>
    </row>
    <row r="876" spans="3:3">
      <c r="C876" s="162"/>
    </row>
    <row r="877" spans="3:3">
      <c r="C877" s="162"/>
    </row>
    <row r="878" spans="3:3">
      <c r="C878" s="162"/>
    </row>
    <row r="879" spans="3:3">
      <c r="C879" s="162"/>
    </row>
    <row r="880" spans="3:3">
      <c r="C880" s="162"/>
    </row>
    <row r="881" spans="3:3">
      <c r="C881" s="162"/>
    </row>
    <row r="882" spans="3:3">
      <c r="C882" s="162"/>
    </row>
    <row r="883" spans="3:3">
      <c r="C883" s="162"/>
    </row>
    <row r="884" spans="3:3">
      <c r="C884" s="162"/>
    </row>
    <row r="885" spans="3:3">
      <c r="C885" s="162"/>
    </row>
    <row r="886" spans="3:3">
      <c r="C886" s="162"/>
    </row>
    <row r="887" spans="3:3">
      <c r="C887" s="162"/>
    </row>
    <row r="888" spans="3:3">
      <c r="C888" s="162"/>
    </row>
    <row r="889" spans="3:3">
      <c r="C889" s="162"/>
    </row>
    <row r="890" spans="3:3">
      <c r="C890" s="162"/>
    </row>
    <row r="891" spans="3:3">
      <c r="C891" s="162"/>
    </row>
    <row r="892" spans="3:3">
      <c r="C892" s="162"/>
    </row>
    <row r="893" spans="3:3">
      <c r="C893" s="162"/>
    </row>
    <row r="894" spans="3:3">
      <c r="C894" s="162"/>
    </row>
    <row r="895" spans="3:3">
      <c r="C895" s="162"/>
    </row>
    <row r="896" spans="3:3">
      <c r="C896" s="162"/>
    </row>
    <row r="897" spans="3:3">
      <c r="C897" s="162"/>
    </row>
    <row r="898" spans="3:3">
      <c r="C898" s="162"/>
    </row>
    <row r="899" spans="3:3">
      <c r="C899" s="162"/>
    </row>
    <row r="900" spans="3:3">
      <c r="C900" s="162"/>
    </row>
    <row r="901" spans="3:3">
      <c r="C901" s="162"/>
    </row>
    <row r="902" spans="3:3">
      <c r="C902" s="162"/>
    </row>
    <row r="903" spans="3:3">
      <c r="C903" s="162"/>
    </row>
    <row r="904" spans="3:3">
      <c r="C904" s="162"/>
    </row>
    <row r="905" spans="3:3">
      <c r="C905" s="162"/>
    </row>
    <row r="906" spans="3:3">
      <c r="C906" s="162"/>
    </row>
    <row r="907" spans="3:3">
      <c r="C907" s="162"/>
    </row>
    <row r="908" spans="3:3">
      <c r="C908" s="162"/>
    </row>
    <row r="909" spans="3:3">
      <c r="C909" s="162"/>
    </row>
    <row r="910" spans="3:3">
      <c r="C910" s="162"/>
    </row>
    <row r="911" spans="3:3">
      <c r="C911" s="162"/>
    </row>
    <row r="912" spans="3:3">
      <c r="C912" s="162"/>
    </row>
    <row r="913" spans="3:3">
      <c r="C913" s="162"/>
    </row>
    <row r="914" spans="3:3">
      <c r="C914" s="162"/>
    </row>
    <row r="915" spans="3:3">
      <c r="C915" s="162"/>
    </row>
    <row r="916" spans="3:3">
      <c r="C916" s="162"/>
    </row>
    <row r="917" spans="3:3">
      <c r="C917" s="162"/>
    </row>
    <row r="918" spans="3:3">
      <c r="C918" s="162"/>
    </row>
    <row r="919" spans="3:3">
      <c r="C919" s="162"/>
    </row>
    <row r="920" spans="3:3">
      <c r="C920" s="162"/>
    </row>
    <row r="921" spans="3:3">
      <c r="C921" s="162"/>
    </row>
    <row r="922" spans="3:3">
      <c r="C922" s="162"/>
    </row>
    <row r="923" spans="3:3">
      <c r="C923" s="162"/>
    </row>
    <row r="924" spans="3:3">
      <c r="C924" s="162"/>
    </row>
    <row r="925" spans="3:3">
      <c r="C925" s="162"/>
    </row>
    <row r="926" spans="3:3">
      <c r="C926" s="162"/>
    </row>
    <row r="927" spans="3:3">
      <c r="C927" s="162"/>
    </row>
    <row r="928" spans="3:3">
      <c r="C928" s="162"/>
    </row>
    <row r="929" spans="3:3">
      <c r="C929" s="162"/>
    </row>
    <row r="930" spans="3:3">
      <c r="C930" s="162"/>
    </row>
    <row r="931" spans="3:3">
      <c r="C931" s="162"/>
    </row>
    <row r="932" spans="3:3">
      <c r="C932" s="162"/>
    </row>
    <row r="933" spans="3:3">
      <c r="C933" s="162"/>
    </row>
    <row r="934" spans="3:3">
      <c r="C934" s="162"/>
    </row>
    <row r="935" spans="3:3">
      <c r="C935" s="162"/>
    </row>
    <row r="936" spans="3:3">
      <c r="C936" s="162"/>
    </row>
    <row r="937" spans="3:3">
      <c r="C937" s="162"/>
    </row>
    <row r="938" spans="3:3">
      <c r="C938" s="162"/>
    </row>
    <row r="939" spans="3:3">
      <c r="C939" s="162"/>
    </row>
    <row r="940" spans="3:3">
      <c r="C940" s="162"/>
    </row>
    <row r="941" spans="3:3">
      <c r="C941" s="162"/>
    </row>
    <row r="942" spans="3:3">
      <c r="C942" s="162"/>
    </row>
    <row r="943" spans="3:3">
      <c r="C943" s="162"/>
    </row>
    <row r="944" spans="3:3">
      <c r="C944" s="162"/>
    </row>
    <row r="945" spans="3:3">
      <c r="C945" s="162"/>
    </row>
    <row r="946" spans="3:3">
      <c r="C946" s="162"/>
    </row>
    <row r="947" spans="3:3">
      <c r="C947" s="162"/>
    </row>
    <row r="948" spans="3:3">
      <c r="C948" s="162"/>
    </row>
    <row r="949" spans="3:3">
      <c r="C949" s="162"/>
    </row>
    <row r="950" spans="3:3">
      <c r="C950" s="162"/>
    </row>
    <row r="951" spans="3:3">
      <c r="C951" s="162"/>
    </row>
    <row r="952" spans="3:3">
      <c r="C952" s="162"/>
    </row>
    <row r="953" spans="3:3">
      <c r="C953" s="162"/>
    </row>
    <row r="954" spans="3:3">
      <c r="C954" s="162"/>
    </row>
    <row r="955" spans="3:3">
      <c r="C955" s="162"/>
    </row>
    <row r="956" spans="3:3">
      <c r="C956" s="162"/>
    </row>
    <row r="957" spans="3:3">
      <c r="C957" s="162"/>
    </row>
    <row r="958" spans="3:3">
      <c r="C958" s="162"/>
    </row>
    <row r="959" spans="3:3">
      <c r="C959" s="162"/>
    </row>
    <row r="960" spans="3:3">
      <c r="C960" s="162"/>
    </row>
    <row r="961" spans="3:3">
      <c r="C961" s="162"/>
    </row>
    <row r="962" spans="3:3">
      <c r="C962" s="162"/>
    </row>
    <row r="963" spans="3:3">
      <c r="C963" s="162"/>
    </row>
    <row r="964" spans="3:3">
      <c r="C964" s="162"/>
    </row>
    <row r="965" spans="3:3">
      <c r="C965" s="162"/>
    </row>
    <row r="966" spans="3:3">
      <c r="C966" s="162"/>
    </row>
    <row r="967" spans="3:3">
      <c r="C967" s="162"/>
    </row>
    <row r="968" spans="3:3">
      <c r="C968" s="162"/>
    </row>
    <row r="969" spans="3:3">
      <c r="C969" s="162"/>
    </row>
    <row r="970" spans="3:3">
      <c r="C970" s="162"/>
    </row>
    <row r="971" spans="3:3">
      <c r="C971" s="162"/>
    </row>
    <row r="972" spans="3:3">
      <c r="C972" s="162"/>
    </row>
    <row r="973" spans="3:3">
      <c r="C973" s="162"/>
    </row>
    <row r="974" spans="3:3">
      <c r="C974" s="162"/>
    </row>
    <row r="975" spans="3:3">
      <c r="C975" s="162"/>
    </row>
    <row r="976" spans="3:3">
      <c r="C976" s="162"/>
    </row>
    <row r="977" spans="3:3">
      <c r="C977" s="162"/>
    </row>
    <row r="978" spans="3:3">
      <c r="C978" s="162"/>
    </row>
    <row r="979" spans="3:3">
      <c r="C979" s="162"/>
    </row>
    <row r="980" spans="3:3">
      <c r="C980" s="162"/>
    </row>
    <row r="981" spans="3:3">
      <c r="C981" s="162"/>
    </row>
    <row r="982" spans="3:3">
      <c r="C982" s="162"/>
    </row>
    <row r="983" spans="3:3">
      <c r="C983" s="162"/>
    </row>
    <row r="984" spans="3:3">
      <c r="C984" s="162"/>
    </row>
    <row r="985" spans="3:3">
      <c r="C985" s="162"/>
    </row>
    <row r="986" spans="3:3">
      <c r="C986" s="162"/>
    </row>
    <row r="987" spans="3:3">
      <c r="C987" s="162"/>
    </row>
    <row r="988" spans="3:3">
      <c r="C988" s="162"/>
    </row>
    <row r="989" spans="3:3">
      <c r="C989" s="162"/>
    </row>
    <row r="990" spans="3:3">
      <c r="C990" s="162"/>
    </row>
    <row r="991" spans="3:3">
      <c r="C991" s="162"/>
    </row>
    <row r="992" spans="3:3">
      <c r="C992" s="162"/>
    </row>
    <row r="993" spans="3:3">
      <c r="C993" s="162"/>
    </row>
    <row r="994" spans="3:3">
      <c r="C994" s="162"/>
    </row>
  </sheetData>
  <dataValidations count="1">
    <dataValidation type="list" allowBlank="1" showErrorMessage="1" sqref="C2:C994" xr:uid="{00000000-0002-0000-0E00-000000000000}">
      <formula1>"Option 1,Option 2"</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H1535"/>
  <sheetViews>
    <sheetView workbookViewId="0">
      <pane ySplit="1" topLeftCell="A2" activePane="bottomLeft" state="frozen"/>
      <selection pane="bottomLeft" activeCell="B3" sqref="B3"/>
    </sheetView>
  </sheetViews>
  <sheetFormatPr defaultColWidth="12.5703125" defaultRowHeight="15.75" customHeight="1"/>
  <cols>
    <col min="1" max="1" width="12.7109375" customWidth="1"/>
    <col min="2" max="2" width="8.42578125" customWidth="1"/>
    <col min="3" max="3" width="10.7109375" customWidth="1"/>
    <col min="4" max="4" width="5.5703125" customWidth="1"/>
    <col min="5" max="5" width="8.42578125" customWidth="1"/>
    <col min="6" max="6" width="12.42578125" customWidth="1"/>
    <col min="7" max="11" width="3.42578125" customWidth="1"/>
    <col min="12" max="16" width="4.85546875" customWidth="1"/>
    <col min="17" max="20" width="10.7109375" customWidth="1"/>
    <col min="21" max="21" width="5" customWidth="1"/>
    <col min="22" max="24" width="10.7109375" customWidth="1"/>
    <col min="25" max="25" width="6.42578125" customWidth="1"/>
    <col min="26" max="27" width="12.42578125" customWidth="1"/>
    <col min="28" max="28" width="13.28515625" customWidth="1"/>
    <col min="29" max="29" width="9.5703125" customWidth="1"/>
    <col min="30" max="30" width="8.42578125" customWidth="1"/>
  </cols>
  <sheetData>
    <row r="1" spans="1:34" ht="15.75" customHeight="1">
      <c r="A1" s="163" t="s">
        <v>3</v>
      </c>
      <c r="B1" s="147" t="s">
        <v>20</v>
      </c>
      <c r="C1" s="164" t="s">
        <v>12866</v>
      </c>
      <c r="D1" s="147" t="s">
        <v>12867</v>
      </c>
      <c r="E1" s="147" t="s">
        <v>4</v>
      </c>
      <c r="F1" s="164" t="s">
        <v>12868</v>
      </c>
      <c r="G1" s="147" t="s">
        <v>12869</v>
      </c>
      <c r="H1" s="147" t="s">
        <v>12870</v>
      </c>
      <c r="I1" s="147" t="s">
        <v>12871</v>
      </c>
      <c r="J1" s="147" t="s">
        <v>12872</v>
      </c>
      <c r="K1" s="147" t="s">
        <v>12873</v>
      </c>
      <c r="L1" s="147" t="s">
        <v>12874</v>
      </c>
      <c r="M1" s="147" t="s">
        <v>12875</v>
      </c>
      <c r="N1" s="147" t="s">
        <v>12876</v>
      </c>
      <c r="O1" s="165" t="s">
        <v>12877</v>
      </c>
      <c r="P1" s="165" t="s">
        <v>12878</v>
      </c>
      <c r="Q1" s="164" t="s">
        <v>12879</v>
      </c>
      <c r="R1" s="164" t="s">
        <v>12880</v>
      </c>
      <c r="S1" s="164" t="s">
        <v>12881</v>
      </c>
      <c r="T1" s="164" t="s">
        <v>12882</v>
      </c>
      <c r="U1" s="164" t="s">
        <v>12883</v>
      </c>
      <c r="V1" s="164" t="s">
        <v>12884</v>
      </c>
      <c r="W1" s="164" t="s">
        <v>12885</v>
      </c>
      <c r="X1" s="164" t="s">
        <v>12886</v>
      </c>
      <c r="Y1" s="164" t="s">
        <v>12887</v>
      </c>
      <c r="Z1" s="164" t="s">
        <v>12888</v>
      </c>
      <c r="AA1" s="164" t="s">
        <v>12889</v>
      </c>
      <c r="AB1" s="166" t="s">
        <v>12890</v>
      </c>
      <c r="AC1" s="164" t="s">
        <v>12891</v>
      </c>
      <c r="AD1" s="167" t="s">
        <v>12892</v>
      </c>
      <c r="AE1" s="147" t="s">
        <v>12893</v>
      </c>
      <c r="AF1" s="147" t="s">
        <v>12894</v>
      </c>
      <c r="AG1" s="148"/>
      <c r="AH1" s="148"/>
    </row>
    <row r="2" spans="1:34">
      <c r="A2" s="168">
        <v>45799</v>
      </c>
      <c r="B2" s="145" t="s">
        <v>35</v>
      </c>
      <c r="C2" s="169">
        <v>0</v>
      </c>
      <c r="D2" s="145">
        <v>0</v>
      </c>
      <c r="E2" s="145">
        <v>0</v>
      </c>
      <c r="F2" s="158" t="e">
        <f t="array" ref="F2:F1518">IF((Q2:Q1535 + R2:R1535 + S2:S1535 + T2:T1535 + U2:U1535 + V2:V1535 + W2:W1535 + X2:X1535 + Y2:Y1535 + Z2:Z1535) = 0, "", Q2:Q1535 + R2:R1535 + S2:S1535 + T2:T1535 + U2:U1535 + V2:V1535 + W2:W1535 + X2:X1535 + Y2:Y1535 + Z2:Z1535)</f>
        <v>#VALUE!</v>
      </c>
      <c r="G2" s="145">
        <v>0</v>
      </c>
      <c r="H2" s="145"/>
      <c r="I2" s="145"/>
      <c r="J2" s="145"/>
      <c r="K2" s="145"/>
      <c r="L2" s="145"/>
      <c r="M2" s="145"/>
      <c r="N2" s="145"/>
      <c r="O2" s="170"/>
      <c r="P2" s="170"/>
      <c r="Q2" s="158" t="str">
        <f t="array" ref="Q2:Q1517">IF('Master Harga'!$B$2*G2:G1535=0,"",'Master Harga'!$B$2*G2:G1535)</f>
        <v/>
      </c>
      <c r="R2" s="158" t="str">
        <f t="array" ref="R2:R1535">IF('Master Harga'!$B$3*H2:H1535=0,"",'Master Harga'!$B$3*H2:H1535)</f>
        <v/>
      </c>
      <c r="S2" s="158" t="str">
        <f t="array" ref="S2:S1535">IF('Master Harga'!$B$4*I2:I1535=0,"",'Master Harga'!$B$4*I2:I1535)</f>
        <v/>
      </c>
      <c r="T2" s="158" t="str">
        <f t="array" ref="T2:T1535">IF('Master Harga'!$B$5*J2:J1535=0,"",'Master Harga'!$B$5*J2:J1535)</f>
        <v/>
      </c>
      <c r="U2" s="158" t="str">
        <f t="array" ref="U2:U1535">IF('Master Harga'!$B$6*K2:K1535=0,"",'Master Harga'!$B$6*K2:K1535)</f>
        <v/>
      </c>
      <c r="V2" s="158" t="str">
        <f t="array" ref="V2:V1535">IF('Master Harga'!$B$7*L2:L1535=0,"",'Master Harga'!$B$7*L2:L1535)</f>
        <v/>
      </c>
      <c r="W2" s="158" t="str">
        <f t="array" ref="W2:W1535">IF('Master Harga'!$B$8*M2:M1535=0,"",'Master Harga'!$B$8*M2:M1535)</f>
        <v/>
      </c>
      <c r="X2" s="158" t="str">
        <f t="array" ref="X2:X1535">IF('Master Harga'!$B$9*N2:N1535=0,"",'Master Harga'!$B$9*N2:N1535)</f>
        <v/>
      </c>
      <c r="Y2" s="158" t="str">
        <f t="array" ref="Y2:Y1535">IF('Master Harga'!$B$10*O2:O1535=0,"",'Master Harga'!$B$10*O2:O1535)</f>
        <v/>
      </c>
      <c r="Z2" s="158" t="str">
        <f t="array" ref="Z2:Z1535">IF('Master Harga'!$B$11*P2:P1535=0,"",'Master Harga'!$B$11*P2:P1535)</f>
        <v/>
      </c>
      <c r="AA2" s="158" t="e">
        <f t="array" ref="AA2:AA1535">IF((F2:F1535-C2:C1535)=0,"",F2:F1535-C2:C1535)</f>
        <v>#VALUE!</v>
      </c>
      <c r="AB2" s="171" t="str">
        <f t="array" ref="AB2:AB1535">IF((E2:E1535 * 0.01)=0,"",E2:E1535*0.01)</f>
        <v/>
      </c>
      <c r="AC2" s="158">
        <f t="array" ref="AC2:AC1535">IF(
    (C2:C1535=0) * (D2:D1535=0),
    0,
    IF(
      D2:D1535=0,
      "",
      IF(
        C2:C1535 / D2:D1535 = 0,
        "",
        C2:C1535 / D2:D1535
      )
    )
  )</f>
        <v>0</v>
      </c>
      <c r="AD2" s="172" t="str">
        <f ca="1">IFERROR(__xludf.DUMMYFUNCTION("ARRAYFORMULA(IF(A2:A1535 = """", """", TO_TEXT(TEXT(A2:A1535, ""yyyy-MM""))))
"),"2025-05")</f>
        <v>2025-05</v>
      </c>
      <c r="AE2" s="154">
        <f t="array" ref="AE2:AE1535">IF(E2:E1535="", "", N(G2:G1535)+N(H2:H1535)+N(I2:I1535)+N(J2:J1535)+N(K2:K1535))</f>
        <v>0</v>
      </c>
      <c r="AF2" s="154">
        <f t="array" ref="AF2:AF1535">IF(E2:E1535="", "", N(L2:L1535)+N(M2:M1535)+N(N2:N1535)+N(O2:O1535)+N(P2:P1535))</f>
        <v>0</v>
      </c>
    </row>
    <row r="3" spans="1:34">
      <c r="A3" s="168">
        <v>45801</v>
      </c>
      <c r="B3" s="145" t="s">
        <v>115</v>
      </c>
      <c r="C3" s="169">
        <v>75179</v>
      </c>
      <c r="D3" s="145">
        <v>5</v>
      </c>
      <c r="E3" s="145">
        <v>0</v>
      </c>
      <c r="F3" s="158" t="e">
        <v>#VALUE!</v>
      </c>
      <c r="G3" s="145"/>
      <c r="H3" s="145"/>
      <c r="I3" s="145"/>
      <c r="J3" s="145"/>
      <c r="K3" s="145"/>
      <c r="L3" s="145"/>
      <c r="M3" s="145"/>
      <c r="N3" s="145"/>
      <c r="O3" s="170"/>
      <c r="P3" s="170"/>
      <c r="Q3" s="158" t="str">
        <v/>
      </c>
      <c r="R3" s="158" t="str">
        <v/>
      </c>
      <c r="S3" s="158" t="str">
        <v/>
      </c>
      <c r="T3" s="158" t="str">
        <v/>
      </c>
      <c r="U3" s="158" t="str">
        <v/>
      </c>
      <c r="V3" s="158" t="str">
        <v/>
      </c>
      <c r="W3" s="158" t="str">
        <v/>
      </c>
      <c r="X3" s="158" t="str">
        <v/>
      </c>
      <c r="Y3" s="158" t="str">
        <v/>
      </c>
      <c r="Z3" s="158" t="str">
        <v/>
      </c>
      <c r="AA3" s="158" t="e">
        <v>#VALUE!</v>
      </c>
      <c r="AB3" s="171" t="str">
        <v/>
      </c>
      <c r="AC3" s="158">
        <v>15035.8</v>
      </c>
      <c r="AD3" s="173" t="str">
        <f ca="1">IFERROR(__xludf.DUMMYFUNCTION("""COMPUTED_VALUE"""),"2025-05")</f>
        <v>2025-05</v>
      </c>
      <c r="AE3" s="154">
        <v>0</v>
      </c>
      <c r="AF3" s="154">
        <v>0</v>
      </c>
    </row>
    <row r="4" spans="1:34">
      <c r="A4" s="168">
        <v>45801</v>
      </c>
      <c r="B4" s="145" t="s">
        <v>61</v>
      </c>
      <c r="C4" s="169">
        <v>39284</v>
      </c>
      <c r="D4" s="145">
        <v>9</v>
      </c>
      <c r="E4" s="145">
        <v>3</v>
      </c>
      <c r="F4" s="158" t="e">
        <v>#VALUE!</v>
      </c>
      <c r="G4" s="145">
        <v>1</v>
      </c>
      <c r="H4" s="145"/>
      <c r="I4" s="145"/>
      <c r="J4" s="145"/>
      <c r="K4" s="145"/>
      <c r="L4" s="145">
        <v>2</v>
      </c>
      <c r="M4" s="145"/>
      <c r="N4" s="145"/>
      <c r="O4" s="174"/>
      <c r="P4" s="174"/>
      <c r="Q4" s="158">
        <v>197000</v>
      </c>
      <c r="R4" s="158" t="str">
        <v/>
      </c>
      <c r="S4" s="158" t="str">
        <v/>
      </c>
      <c r="T4" s="158" t="str">
        <v/>
      </c>
      <c r="U4" s="158" t="str">
        <v/>
      </c>
      <c r="V4" s="158">
        <v>394000</v>
      </c>
      <c r="W4" s="158" t="str">
        <v/>
      </c>
      <c r="X4" s="158" t="str">
        <v/>
      </c>
      <c r="Y4" s="158" t="str">
        <v/>
      </c>
      <c r="Z4" s="158" t="str">
        <v/>
      </c>
      <c r="AA4" s="158" t="e">
        <v>#VALUE!</v>
      </c>
      <c r="AB4" s="171">
        <v>0.03</v>
      </c>
      <c r="AC4" s="158">
        <v>4364.8888888888887</v>
      </c>
      <c r="AD4" s="173" t="str">
        <f ca="1">IFERROR(__xludf.DUMMYFUNCTION("""COMPUTED_VALUE"""),"2025-05")</f>
        <v>2025-05</v>
      </c>
      <c r="AE4" s="154">
        <v>0</v>
      </c>
      <c r="AF4" s="154">
        <v>0</v>
      </c>
    </row>
    <row r="5" spans="1:34">
      <c r="A5" s="168">
        <v>45801</v>
      </c>
      <c r="B5" s="145" t="s">
        <v>49</v>
      </c>
      <c r="C5" s="169">
        <v>0</v>
      </c>
      <c r="D5" s="145">
        <v>0</v>
      </c>
      <c r="E5" s="145">
        <v>1</v>
      </c>
      <c r="F5" s="169" t="e">
        <v>#VALUE!</v>
      </c>
      <c r="G5" s="145">
        <v>1</v>
      </c>
      <c r="H5" s="145"/>
      <c r="I5" s="145"/>
      <c r="J5" s="145"/>
      <c r="K5" s="145"/>
      <c r="L5" s="145"/>
      <c r="M5" s="145"/>
      <c r="N5" s="145"/>
      <c r="O5" s="174"/>
      <c r="P5" s="174"/>
      <c r="Q5" s="158">
        <v>197000</v>
      </c>
      <c r="R5" s="158" t="str">
        <v/>
      </c>
      <c r="S5" s="158" t="str">
        <v/>
      </c>
      <c r="T5" s="158" t="str">
        <v/>
      </c>
      <c r="U5" s="158" t="str">
        <v/>
      </c>
      <c r="V5" s="158" t="str">
        <v/>
      </c>
      <c r="W5" s="158" t="str">
        <v/>
      </c>
      <c r="X5" s="158" t="str">
        <v/>
      </c>
      <c r="Y5" s="158" t="str">
        <v/>
      </c>
      <c r="Z5" s="158" t="str">
        <v/>
      </c>
      <c r="AA5" s="158" t="e">
        <v>#VALUE!</v>
      </c>
      <c r="AB5" s="171">
        <v>0.01</v>
      </c>
      <c r="AC5" s="158">
        <v>0</v>
      </c>
      <c r="AD5" s="173" t="str">
        <f ca="1">IFERROR(__xludf.DUMMYFUNCTION("""COMPUTED_VALUE"""),"2025-05")</f>
        <v>2025-05</v>
      </c>
      <c r="AE5" s="154">
        <v>0</v>
      </c>
      <c r="AF5" s="154">
        <v>0</v>
      </c>
    </row>
    <row r="6" spans="1:34">
      <c r="A6" s="168">
        <v>45802</v>
      </c>
      <c r="B6" s="145" t="s">
        <v>115</v>
      </c>
      <c r="C6" s="169">
        <v>65360</v>
      </c>
      <c r="D6" s="145">
        <v>19</v>
      </c>
      <c r="E6" s="145">
        <v>1</v>
      </c>
      <c r="F6" s="169" t="e">
        <v>#VALUE!</v>
      </c>
      <c r="G6" s="145">
        <v>1</v>
      </c>
      <c r="H6" s="145"/>
      <c r="I6" s="145"/>
      <c r="J6" s="145"/>
      <c r="K6" s="145"/>
      <c r="L6" s="145"/>
      <c r="M6" s="145"/>
      <c r="N6" s="145"/>
      <c r="O6" s="174"/>
      <c r="P6" s="174"/>
      <c r="Q6" s="158">
        <v>197000</v>
      </c>
      <c r="R6" s="158" t="str">
        <v/>
      </c>
      <c r="S6" s="158" t="str">
        <v/>
      </c>
      <c r="T6" s="158" t="str">
        <v/>
      </c>
      <c r="U6" s="158" t="str">
        <v/>
      </c>
      <c r="V6" s="158" t="str">
        <v/>
      </c>
      <c r="W6" s="158" t="str">
        <v/>
      </c>
      <c r="X6" s="158" t="str">
        <v/>
      </c>
      <c r="Y6" s="158" t="str">
        <v/>
      </c>
      <c r="Z6" s="158" t="str">
        <v/>
      </c>
      <c r="AA6" s="158" t="e">
        <v>#VALUE!</v>
      </c>
      <c r="AB6" s="171">
        <v>0.01</v>
      </c>
      <c r="AC6" s="158">
        <v>3440</v>
      </c>
      <c r="AD6" s="173" t="str">
        <f ca="1">IFERROR(__xludf.DUMMYFUNCTION("""COMPUTED_VALUE"""),"2025-05")</f>
        <v>2025-05</v>
      </c>
      <c r="AE6" s="154">
        <v>0</v>
      </c>
      <c r="AF6" s="154">
        <v>0</v>
      </c>
    </row>
    <row r="7" spans="1:34">
      <c r="A7" s="168">
        <v>45802</v>
      </c>
      <c r="B7" s="145" t="s">
        <v>61</v>
      </c>
      <c r="C7" s="169">
        <v>125656</v>
      </c>
      <c r="D7" s="145">
        <v>38</v>
      </c>
      <c r="E7" s="145">
        <v>1</v>
      </c>
      <c r="F7" s="169" t="e">
        <v>#VALUE!</v>
      </c>
      <c r="G7" s="145"/>
      <c r="H7" s="145"/>
      <c r="I7" s="145"/>
      <c r="J7" s="145"/>
      <c r="K7" s="145"/>
      <c r="L7" s="145"/>
      <c r="M7" s="145"/>
      <c r="N7" s="145"/>
      <c r="O7" s="174"/>
      <c r="P7" s="174"/>
      <c r="Q7" s="158" t="str">
        <v/>
      </c>
      <c r="R7" s="158" t="str">
        <v/>
      </c>
      <c r="S7" s="158" t="str">
        <v/>
      </c>
      <c r="T7" s="158" t="str">
        <v/>
      </c>
      <c r="U7" s="158" t="str">
        <v/>
      </c>
      <c r="V7" s="158" t="str">
        <v/>
      </c>
      <c r="W7" s="158" t="str">
        <v/>
      </c>
      <c r="X7" s="158" t="str">
        <v/>
      </c>
      <c r="Y7" s="158" t="str">
        <v/>
      </c>
      <c r="Z7" s="158" t="str">
        <v/>
      </c>
      <c r="AA7" s="158" t="e">
        <v>#VALUE!</v>
      </c>
      <c r="AB7" s="171">
        <v>0.01</v>
      </c>
      <c r="AC7" s="158">
        <v>3306.7368421052633</v>
      </c>
      <c r="AD7" s="173" t="str">
        <f ca="1">IFERROR(__xludf.DUMMYFUNCTION("""COMPUTED_VALUE"""),"2025-05")</f>
        <v>2025-05</v>
      </c>
      <c r="AE7" s="154">
        <v>0</v>
      </c>
      <c r="AF7" s="154">
        <v>0</v>
      </c>
    </row>
    <row r="8" spans="1:34">
      <c r="A8" s="168">
        <v>45802</v>
      </c>
      <c r="B8" s="145" t="s">
        <v>49</v>
      </c>
      <c r="C8" s="169">
        <v>47149</v>
      </c>
      <c r="D8" s="145">
        <v>17</v>
      </c>
      <c r="E8" s="145"/>
      <c r="F8" s="169" t="e">
        <v>#VALUE!</v>
      </c>
      <c r="G8" s="145"/>
      <c r="H8" s="145"/>
      <c r="I8" s="145"/>
      <c r="J8" s="145"/>
      <c r="K8" s="145"/>
      <c r="L8" s="145"/>
      <c r="M8" s="145"/>
      <c r="N8" s="145"/>
      <c r="O8" s="174"/>
      <c r="P8" s="174"/>
      <c r="Q8" s="158" t="str">
        <v/>
      </c>
      <c r="R8" s="158" t="str">
        <v/>
      </c>
      <c r="S8" s="158" t="str">
        <v/>
      </c>
      <c r="T8" s="158" t="str">
        <v/>
      </c>
      <c r="U8" s="158" t="str">
        <v/>
      </c>
      <c r="V8" s="158" t="str">
        <v/>
      </c>
      <c r="W8" s="158" t="str">
        <v/>
      </c>
      <c r="X8" s="158" t="str">
        <v/>
      </c>
      <c r="Y8" s="158" t="str">
        <v/>
      </c>
      <c r="Z8" s="158" t="str">
        <v/>
      </c>
      <c r="AA8" s="158" t="e">
        <v>#VALUE!</v>
      </c>
      <c r="AB8" s="171" t="str">
        <v/>
      </c>
      <c r="AC8" s="158">
        <v>2773.4705882352941</v>
      </c>
      <c r="AD8" s="173" t="str">
        <f ca="1">IFERROR(__xludf.DUMMYFUNCTION("""COMPUTED_VALUE"""),"2025-05")</f>
        <v>2025-05</v>
      </c>
      <c r="AE8" s="154" t="str">
        <v/>
      </c>
      <c r="AF8" s="154" t="str">
        <v/>
      </c>
    </row>
    <row r="9" spans="1:34">
      <c r="A9" s="168">
        <v>45803</v>
      </c>
      <c r="B9" s="145" t="s">
        <v>115</v>
      </c>
      <c r="C9" s="169">
        <v>26251</v>
      </c>
      <c r="D9" s="145">
        <v>2</v>
      </c>
      <c r="E9" s="145">
        <v>1</v>
      </c>
      <c r="F9" s="169" t="e">
        <v>#VALUE!</v>
      </c>
      <c r="G9" s="145">
        <v>1</v>
      </c>
      <c r="H9" s="145"/>
      <c r="I9" s="145"/>
      <c r="J9" s="145"/>
      <c r="K9" s="145"/>
      <c r="L9" s="145"/>
      <c r="M9" s="145"/>
      <c r="N9" s="145"/>
      <c r="O9" s="174"/>
      <c r="P9" s="174"/>
      <c r="Q9" s="158">
        <v>197000</v>
      </c>
      <c r="R9" s="158" t="str">
        <v/>
      </c>
      <c r="S9" s="158" t="str">
        <v/>
      </c>
      <c r="T9" s="158" t="str">
        <v/>
      </c>
      <c r="U9" s="158" t="str">
        <v/>
      </c>
      <c r="V9" s="158" t="str">
        <v/>
      </c>
      <c r="W9" s="158" t="str">
        <v/>
      </c>
      <c r="X9" s="158" t="str">
        <v/>
      </c>
      <c r="Y9" s="158" t="str">
        <v/>
      </c>
      <c r="Z9" s="158" t="str">
        <v/>
      </c>
      <c r="AA9" s="158" t="e">
        <v>#VALUE!</v>
      </c>
      <c r="AB9" s="171">
        <v>0.01</v>
      </c>
      <c r="AC9" s="158">
        <v>13125.5</v>
      </c>
      <c r="AD9" s="173" t="str">
        <f ca="1">IFERROR(__xludf.DUMMYFUNCTION("""COMPUTED_VALUE"""),"2025-05")</f>
        <v>2025-05</v>
      </c>
      <c r="AE9" s="154">
        <v>0</v>
      </c>
      <c r="AF9" s="154">
        <v>0</v>
      </c>
    </row>
    <row r="10" spans="1:34">
      <c r="A10" s="168">
        <v>45803</v>
      </c>
      <c r="B10" s="145" t="s">
        <v>49</v>
      </c>
      <c r="C10" s="169">
        <v>7626</v>
      </c>
      <c r="D10" s="145">
        <v>2</v>
      </c>
      <c r="E10" s="145"/>
      <c r="F10" s="169" t="e">
        <v>#VALUE!</v>
      </c>
      <c r="G10" s="145"/>
      <c r="H10" s="145"/>
      <c r="I10" s="145"/>
      <c r="J10" s="145"/>
      <c r="K10" s="145"/>
      <c r="L10" s="145"/>
      <c r="M10" s="145"/>
      <c r="N10" s="145"/>
      <c r="O10" s="174"/>
      <c r="P10" s="174"/>
      <c r="Q10" s="158" t="str">
        <v/>
      </c>
      <c r="R10" s="158" t="str">
        <v/>
      </c>
      <c r="S10" s="158" t="str">
        <v/>
      </c>
      <c r="T10" s="158" t="str">
        <v/>
      </c>
      <c r="U10" s="158" t="str">
        <v/>
      </c>
      <c r="V10" s="158" t="str">
        <v/>
      </c>
      <c r="W10" s="158" t="str">
        <v/>
      </c>
      <c r="X10" s="158" t="str">
        <v/>
      </c>
      <c r="Y10" s="158" t="str">
        <v/>
      </c>
      <c r="Z10" s="158" t="str">
        <v/>
      </c>
      <c r="AA10" s="158" t="e">
        <v>#VALUE!</v>
      </c>
      <c r="AB10" s="171" t="str">
        <v/>
      </c>
      <c r="AC10" s="158">
        <v>3813</v>
      </c>
      <c r="AD10" s="173" t="str">
        <f ca="1">IFERROR(__xludf.DUMMYFUNCTION("""COMPUTED_VALUE"""),"2025-05")</f>
        <v>2025-05</v>
      </c>
      <c r="AE10" s="154" t="str">
        <v/>
      </c>
      <c r="AF10" s="154" t="str">
        <v/>
      </c>
    </row>
    <row r="11" spans="1:34">
      <c r="A11" s="168">
        <v>45803</v>
      </c>
      <c r="B11" s="145" t="s">
        <v>61</v>
      </c>
      <c r="C11" s="169">
        <v>0</v>
      </c>
      <c r="D11" s="145"/>
      <c r="E11" s="145">
        <v>1</v>
      </c>
      <c r="F11" s="169" t="e">
        <v>#VALUE!</v>
      </c>
      <c r="G11" s="145">
        <v>1</v>
      </c>
      <c r="H11" s="145"/>
      <c r="I11" s="145"/>
      <c r="J11" s="145"/>
      <c r="K11" s="145"/>
      <c r="L11" s="145"/>
      <c r="M11" s="145"/>
      <c r="N11" s="145"/>
      <c r="O11" s="174"/>
      <c r="P11" s="174"/>
      <c r="Q11" s="158">
        <v>197000</v>
      </c>
      <c r="R11" s="158" t="str">
        <v/>
      </c>
      <c r="S11" s="158" t="str">
        <v/>
      </c>
      <c r="T11" s="158" t="str">
        <v/>
      </c>
      <c r="U11" s="158" t="str">
        <v/>
      </c>
      <c r="V11" s="158" t="str">
        <v/>
      </c>
      <c r="W11" s="158" t="str">
        <v/>
      </c>
      <c r="X11" s="158" t="str">
        <v/>
      </c>
      <c r="Y11" s="158" t="str">
        <v/>
      </c>
      <c r="Z11" s="158" t="str">
        <v/>
      </c>
      <c r="AA11" s="158" t="e">
        <v>#VALUE!</v>
      </c>
      <c r="AB11" s="171">
        <v>0.01</v>
      </c>
      <c r="AC11" s="158">
        <v>0</v>
      </c>
      <c r="AD11" s="173" t="str">
        <f ca="1">IFERROR(__xludf.DUMMYFUNCTION("""COMPUTED_VALUE"""),"2025-05")</f>
        <v>2025-05</v>
      </c>
      <c r="AE11" s="154">
        <v>0</v>
      </c>
      <c r="AF11" s="154">
        <v>0</v>
      </c>
    </row>
    <row r="12" spans="1:34">
      <c r="A12" s="168">
        <v>45804</v>
      </c>
      <c r="B12" s="145" t="s">
        <v>115</v>
      </c>
      <c r="C12" s="169">
        <v>78209</v>
      </c>
      <c r="D12" s="145">
        <v>9</v>
      </c>
      <c r="E12" s="145">
        <v>0</v>
      </c>
      <c r="F12" s="169" t="e">
        <v>#VALUE!</v>
      </c>
      <c r="G12" s="145"/>
      <c r="H12" s="145"/>
      <c r="I12" s="145"/>
      <c r="J12" s="145"/>
      <c r="K12" s="145"/>
      <c r="L12" s="145"/>
      <c r="M12" s="145"/>
      <c r="N12" s="145"/>
      <c r="O12" s="174"/>
      <c r="P12" s="174"/>
      <c r="Q12" s="158" t="str">
        <v/>
      </c>
      <c r="R12" s="158" t="str">
        <v/>
      </c>
      <c r="S12" s="158" t="str">
        <v/>
      </c>
      <c r="T12" s="158" t="str">
        <v/>
      </c>
      <c r="U12" s="158" t="str">
        <v/>
      </c>
      <c r="V12" s="158" t="str">
        <v/>
      </c>
      <c r="W12" s="158" t="str">
        <v/>
      </c>
      <c r="X12" s="158" t="str">
        <v/>
      </c>
      <c r="Y12" s="158" t="str">
        <v/>
      </c>
      <c r="Z12" s="158" t="str">
        <v/>
      </c>
      <c r="AA12" s="158" t="e">
        <v>#VALUE!</v>
      </c>
      <c r="AB12" s="171" t="str">
        <v/>
      </c>
      <c r="AC12" s="158">
        <v>8689.8888888888887</v>
      </c>
      <c r="AD12" s="173" t="str">
        <f ca="1">IFERROR(__xludf.DUMMYFUNCTION("""COMPUTED_VALUE"""),"2025-05")</f>
        <v>2025-05</v>
      </c>
      <c r="AE12" s="154">
        <v>0</v>
      </c>
      <c r="AF12" s="154">
        <v>0</v>
      </c>
    </row>
    <row r="13" spans="1:34">
      <c r="A13" s="168">
        <v>45804</v>
      </c>
      <c r="B13" s="145" t="s">
        <v>49</v>
      </c>
      <c r="C13" s="169">
        <v>129180</v>
      </c>
      <c r="D13" s="145">
        <v>62</v>
      </c>
      <c r="E13" s="145">
        <v>1</v>
      </c>
      <c r="F13" s="169" t="e">
        <v>#VALUE!</v>
      </c>
      <c r="G13" s="145">
        <v>1</v>
      </c>
      <c r="H13" s="145"/>
      <c r="I13" s="145"/>
      <c r="J13" s="145"/>
      <c r="K13" s="145"/>
      <c r="L13" s="145"/>
      <c r="M13" s="145"/>
      <c r="N13" s="145"/>
      <c r="O13" s="174"/>
      <c r="P13" s="174"/>
      <c r="Q13" s="158">
        <v>197000</v>
      </c>
      <c r="R13" s="158" t="str">
        <v/>
      </c>
      <c r="S13" s="158" t="str">
        <v/>
      </c>
      <c r="T13" s="158" t="str">
        <v/>
      </c>
      <c r="U13" s="158" t="str">
        <v/>
      </c>
      <c r="V13" s="158" t="str">
        <v/>
      </c>
      <c r="W13" s="158" t="str">
        <v/>
      </c>
      <c r="X13" s="158" t="str">
        <v/>
      </c>
      <c r="Y13" s="158" t="str">
        <v/>
      </c>
      <c r="Z13" s="158" t="str">
        <v/>
      </c>
      <c r="AA13" s="158" t="e">
        <v>#VALUE!</v>
      </c>
      <c r="AB13" s="171">
        <v>0.01</v>
      </c>
      <c r="AC13" s="158">
        <v>2083.5483870967741</v>
      </c>
      <c r="AD13" s="173" t="str">
        <f ca="1">IFERROR(__xludf.DUMMYFUNCTION("""COMPUTED_VALUE"""),"2025-05")</f>
        <v>2025-05</v>
      </c>
      <c r="AE13" s="154">
        <v>0</v>
      </c>
      <c r="AF13" s="154">
        <v>0</v>
      </c>
    </row>
    <row r="14" spans="1:34">
      <c r="A14" s="168">
        <v>45804</v>
      </c>
      <c r="B14" s="145" t="s">
        <v>61</v>
      </c>
      <c r="C14" s="169">
        <v>0</v>
      </c>
      <c r="D14" s="145"/>
      <c r="E14" s="145">
        <v>1</v>
      </c>
      <c r="F14" s="169" t="e">
        <v>#VALUE!</v>
      </c>
      <c r="G14" s="145">
        <v>1</v>
      </c>
      <c r="H14" s="145"/>
      <c r="I14" s="145"/>
      <c r="J14" s="145"/>
      <c r="K14" s="145"/>
      <c r="L14" s="145"/>
      <c r="M14" s="145"/>
      <c r="N14" s="145"/>
      <c r="O14" s="174"/>
      <c r="P14" s="174"/>
      <c r="Q14" s="158">
        <v>197000</v>
      </c>
      <c r="R14" s="158" t="str">
        <v/>
      </c>
      <c r="S14" s="158" t="str">
        <v/>
      </c>
      <c r="T14" s="158" t="str">
        <v/>
      </c>
      <c r="U14" s="158" t="str">
        <v/>
      </c>
      <c r="V14" s="158" t="str">
        <v/>
      </c>
      <c r="W14" s="158" t="str">
        <v/>
      </c>
      <c r="X14" s="158" t="str">
        <v/>
      </c>
      <c r="Y14" s="158" t="str">
        <v/>
      </c>
      <c r="Z14" s="158" t="str">
        <v/>
      </c>
      <c r="AA14" s="158" t="e">
        <v>#VALUE!</v>
      </c>
      <c r="AB14" s="171">
        <v>0.01</v>
      </c>
      <c r="AC14" s="158">
        <v>0</v>
      </c>
      <c r="AD14" s="173" t="str">
        <f ca="1">IFERROR(__xludf.DUMMYFUNCTION("""COMPUTED_VALUE"""),"2025-05")</f>
        <v>2025-05</v>
      </c>
      <c r="AE14" s="154">
        <v>0</v>
      </c>
      <c r="AF14" s="154">
        <v>0</v>
      </c>
    </row>
    <row r="15" spans="1:34">
      <c r="A15" s="168">
        <v>45805</v>
      </c>
      <c r="B15" s="145" t="s">
        <v>115</v>
      </c>
      <c r="C15" s="169">
        <v>8224</v>
      </c>
      <c r="D15" s="145">
        <v>1</v>
      </c>
      <c r="E15" s="145"/>
      <c r="F15" s="169" t="e">
        <v>#VALUE!</v>
      </c>
      <c r="G15" s="145"/>
      <c r="H15" s="145"/>
      <c r="I15" s="145"/>
      <c r="J15" s="145"/>
      <c r="K15" s="145"/>
      <c r="L15" s="145"/>
      <c r="M15" s="145"/>
      <c r="N15" s="145"/>
      <c r="O15" s="174"/>
      <c r="P15" s="174"/>
      <c r="Q15" s="158" t="str">
        <v/>
      </c>
      <c r="R15" s="158" t="str">
        <v/>
      </c>
      <c r="S15" s="158" t="str">
        <v/>
      </c>
      <c r="T15" s="158" t="str">
        <v/>
      </c>
      <c r="U15" s="158" t="str">
        <v/>
      </c>
      <c r="V15" s="158" t="str">
        <v/>
      </c>
      <c r="W15" s="158" t="str">
        <v/>
      </c>
      <c r="X15" s="158" t="str">
        <v/>
      </c>
      <c r="Y15" s="158" t="str">
        <v/>
      </c>
      <c r="Z15" s="158" t="str">
        <v/>
      </c>
      <c r="AA15" s="158" t="e">
        <v>#VALUE!</v>
      </c>
      <c r="AB15" s="171" t="str">
        <v/>
      </c>
      <c r="AC15" s="158">
        <v>8224</v>
      </c>
      <c r="AD15" s="173" t="str">
        <f ca="1">IFERROR(__xludf.DUMMYFUNCTION("""COMPUTED_VALUE"""),"2025-05")</f>
        <v>2025-05</v>
      </c>
      <c r="AE15" s="154" t="str">
        <v/>
      </c>
      <c r="AF15" s="154" t="str">
        <v/>
      </c>
    </row>
    <row r="16" spans="1:34">
      <c r="A16" s="168">
        <v>45805</v>
      </c>
      <c r="B16" s="145" t="s">
        <v>115</v>
      </c>
      <c r="C16" s="169">
        <v>23646</v>
      </c>
      <c r="D16" s="145">
        <v>4</v>
      </c>
      <c r="E16" s="145"/>
      <c r="F16" s="169" t="e">
        <v>#VALUE!</v>
      </c>
      <c r="G16" s="145"/>
      <c r="H16" s="145"/>
      <c r="I16" s="145"/>
      <c r="J16" s="145"/>
      <c r="K16" s="145"/>
      <c r="L16" s="145"/>
      <c r="M16" s="145"/>
      <c r="N16" s="145"/>
      <c r="O16" s="174"/>
      <c r="P16" s="174"/>
      <c r="Q16" s="158" t="str">
        <v/>
      </c>
      <c r="R16" s="158" t="str">
        <v/>
      </c>
      <c r="S16" s="158" t="str">
        <v/>
      </c>
      <c r="T16" s="158" t="str">
        <v/>
      </c>
      <c r="U16" s="158" t="str">
        <v/>
      </c>
      <c r="V16" s="158" t="str">
        <v/>
      </c>
      <c r="W16" s="158" t="str">
        <v/>
      </c>
      <c r="X16" s="158" t="str">
        <v/>
      </c>
      <c r="Y16" s="158" t="str">
        <v/>
      </c>
      <c r="Z16" s="158" t="str">
        <v/>
      </c>
      <c r="AA16" s="158" t="e">
        <v>#VALUE!</v>
      </c>
      <c r="AB16" s="171" t="str">
        <v/>
      </c>
      <c r="AC16" s="158">
        <v>5911.5</v>
      </c>
      <c r="AD16" s="173" t="str">
        <f ca="1">IFERROR(__xludf.DUMMYFUNCTION("""COMPUTED_VALUE"""),"2025-05")</f>
        <v>2025-05</v>
      </c>
      <c r="AE16" s="154" t="str">
        <v/>
      </c>
      <c r="AF16" s="154" t="str">
        <v/>
      </c>
    </row>
    <row r="17" spans="1:32">
      <c r="A17" s="168">
        <v>45805</v>
      </c>
      <c r="B17" s="145" t="s">
        <v>49</v>
      </c>
      <c r="C17" s="169">
        <v>7869</v>
      </c>
      <c r="D17" s="145">
        <v>4</v>
      </c>
      <c r="E17" s="145">
        <v>4</v>
      </c>
      <c r="F17" s="169" t="e">
        <v>#VALUE!</v>
      </c>
      <c r="G17" s="145">
        <v>2</v>
      </c>
      <c r="H17" s="145"/>
      <c r="I17" s="145">
        <v>1</v>
      </c>
      <c r="J17" s="145"/>
      <c r="K17" s="145"/>
      <c r="L17" s="145">
        <v>1</v>
      </c>
      <c r="M17" s="145"/>
      <c r="N17" s="145"/>
      <c r="O17" s="174"/>
      <c r="P17" s="174"/>
      <c r="Q17" s="158">
        <v>394000</v>
      </c>
      <c r="R17" s="158" t="str">
        <v/>
      </c>
      <c r="S17" s="158">
        <v>375000</v>
      </c>
      <c r="T17" s="158" t="str">
        <v/>
      </c>
      <c r="U17" s="158" t="str">
        <v/>
      </c>
      <c r="V17" s="158">
        <v>197000</v>
      </c>
      <c r="W17" s="158" t="str">
        <v/>
      </c>
      <c r="X17" s="158" t="str">
        <v/>
      </c>
      <c r="Y17" s="158" t="str">
        <v/>
      </c>
      <c r="Z17" s="158" t="str">
        <v/>
      </c>
      <c r="AA17" s="158" t="e">
        <v>#VALUE!</v>
      </c>
      <c r="AB17" s="171">
        <v>0.04</v>
      </c>
      <c r="AC17" s="158">
        <v>1967.25</v>
      </c>
      <c r="AD17" s="173" t="str">
        <f ca="1">IFERROR(__xludf.DUMMYFUNCTION("""COMPUTED_VALUE"""),"2025-05")</f>
        <v>2025-05</v>
      </c>
      <c r="AE17" s="154">
        <v>0</v>
      </c>
      <c r="AF17" s="154">
        <v>0</v>
      </c>
    </row>
    <row r="18" spans="1:32">
      <c r="A18" s="168">
        <v>45805</v>
      </c>
      <c r="B18" s="145" t="s">
        <v>61</v>
      </c>
      <c r="C18" s="169">
        <v>0</v>
      </c>
      <c r="D18" s="145"/>
      <c r="E18" s="145">
        <v>4</v>
      </c>
      <c r="F18" s="169" t="e">
        <v>#VALUE!</v>
      </c>
      <c r="G18" s="145">
        <v>2</v>
      </c>
      <c r="H18" s="145"/>
      <c r="I18" s="145"/>
      <c r="J18" s="145"/>
      <c r="K18" s="145"/>
      <c r="L18" s="145"/>
      <c r="M18" s="145">
        <v>1</v>
      </c>
      <c r="N18" s="145"/>
      <c r="O18" s="174"/>
      <c r="P18" s="174">
        <v>1</v>
      </c>
      <c r="Q18" s="158">
        <v>394000</v>
      </c>
      <c r="R18" s="158" t="str">
        <v/>
      </c>
      <c r="S18" s="158" t="str">
        <v/>
      </c>
      <c r="T18" s="158" t="str">
        <v/>
      </c>
      <c r="U18" s="158" t="str">
        <v/>
      </c>
      <c r="V18" s="158" t="str">
        <v/>
      </c>
      <c r="W18" s="158">
        <v>297000</v>
      </c>
      <c r="X18" s="158" t="str">
        <v/>
      </c>
      <c r="Y18" s="158" t="str">
        <v/>
      </c>
      <c r="Z18" s="158">
        <v>1000000</v>
      </c>
      <c r="AA18" s="158" t="e">
        <v>#VALUE!</v>
      </c>
      <c r="AB18" s="171">
        <v>0.04</v>
      </c>
      <c r="AC18" s="158">
        <v>0</v>
      </c>
      <c r="AD18" s="173" t="str">
        <f ca="1">IFERROR(__xludf.DUMMYFUNCTION("""COMPUTED_VALUE"""),"2025-05")</f>
        <v>2025-05</v>
      </c>
      <c r="AE18" s="154">
        <v>0</v>
      </c>
      <c r="AF18" s="154">
        <v>0</v>
      </c>
    </row>
    <row r="19" spans="1:32">
      <c r="A19" s="168">
        <v>45806</v>
      </c>
      <c r="B19" s="145" t="s">
        <v>61</v>
      </c>
      <c r="C19" s="169">
        <v>43644</v>
      </c>
      <c r="D19" s="145">
        <v>6</v>
      </c>
      <c r="E19" s="145">
        <v>0</v>
      </c>
      <c r="F19" s="169" t="e">
        <v>#VALUE!</v>
      </c>
      <c r="G19" s="145"/>
      <c r="H19" s="145"/>
      <c r="I19" s="145"/>
      <c r="J19" s="145"/>
      <c r="K19" s="145"/>
      <c r="L19" s="145"/>
      <c r="M19" s="145"/>
      <c r="N19" s="145"/>
      <c r="O19" s="174"/>
      <c r="P19" s="174"/>
      <c r="Q19" s="158" t="str">
        <v/>
      </c>
      <c r="R19" s="158" t="str">
        <v/>
      </c>
      <c r="S19" s="158" t="str">
        <v/>
      </c>
      <c r="T19" s="158" t="str">
        <v/>
      </c>
      <c r="U19" s="158" t="str">
        <v/>
      </c>
      <c r="V19" s="158" t="str">
        <v/>
      </c>
      <c r="W19" s="158" t="str">
        <v/>
      </c>
      <c r="X19" s="158" t="str">
        <v/>
      </c>
      <c r="Y19" s="158" t="str">
        <v/>
      </c>
      <c r="Z19" s="158" t="str">
        <v/>
      </c>
      <c r="AA19" s="158" t="e">
        <v>#VALUE!</v>
      </c>
      <c r="AB19" s="171" t="str">
        <v/>
      </c>
      <c r="AC19" s="158">
        <v>7274</v>
      </c>
      <c r="AD19" s="173" t="str">
        <f ca="1">IFERROR(__xludf.DUMMYFUNCTION("""COMPUTED_VALUE"""),"2025-05")</f>
        <v>2025-05</v>
      </c>
      <c r="AE19" s="154">
        <v>0</v>
      </c>
      <c r="AF19" s="154">
        <v>0</v>
      </c>
    </row>
    <row r="20" spans="1:32">
      <c r="A20" s="168">
        <v>45806</v>
      </c>
      <c r="B20" s="145" t="s">
        <v>49</v>
      </c>
      <c r="C20" s="169">
        <v>22453</v>
      </c>
      <c r="D20" s="145">
        <v>5</v>
      </c>
      <c r="E20" s="145">
        <v>0</v>
      </c>
      <c r="F20" s="169" t="e">
        <v>#VALUE!</v>
      </c>
      <c r="G20" s="145"/>
      <c r="H20" s="145"/>
      <c r="I20" s="145"/>
      <c r="J20" s="145"/>
      <c r="K20" s="145"/>
      <c r="L20" s="145"/>
      <c r="M20" s="145"/>
      <c r="N20" s="145"/>
      <c r="O20" s="174"/>
      <c r="P20" s="174"/>
      <c r="Q20" s="158" t="str">
        <v/>
      </c>
      <c r="R20" s="158" t="str">
        <v/>
      </c>
      <c r="S20" s="158" t="str">
        <v/>
      </c>
      <c r="T20" s="158" t="str">
        <v/>
      </c>
      <c r="U20" s="158" t="str">
        <v/>
      </c>
      <c r="V20" s="158" t="str">
        <v/>
      </c>
      <c r="W20" s="158" t="str">
        <v/>
      </c>
      <c r="X20" s="158" t="str">
        <v/>
      </c>
      <c r="Y20" s="158" t="str">
        <v/>
      </c>
      <c r="Z20" s="158" t="str">
        <v/>
      </c>
      <c r="AA20" s="158" t="e">
        <v>#VALUE!</v>
      </c>
      <c r="AB20" s="171" t="str">
        <v/>
      </c>
      <c r="AC20" s="158">
        <v>4490.6000000000004</v>
      </c>
      <c r="AD20" s="173" t="str">
        <f ca="1">IFERROR(__xludf.DUMMYFUNCTION("""COMPUTED_VALUE"""),"2025-05")</f>
        <v>2025-05</v>
      </c>
      <c r="AE20" s="154">
        <v>0</v>
      </c>
      <c r="AF20" s="154">
        <v>0</v>
      </c>
    </row>
    <row r="21" spans="1:32">
      <c r="A21" s="168">
        <v>45806</v>
      </c>
      <c r="B21" s="145" t="s">
        <v>115</v>
      </c>
      <c r="C21" s="169">
        <v>60975</v>
      </c>
      <c r="D21" s="145">
        <v>7</v>
      </c>
      <c r="E21" s="145"/>
      <c r="F21" s="169" t="e">
        <v>#VALUE!</v>
      </c>
      <c r="G21" s="145"/>
      <c r="H21" s="145"/>
      <c r="I21" s="145"/>
      <c r="J21" s="145"/>
      <c r="K21" s="145"/>
      <c r="L21" s="145"/>
      <c r="M21" s="145"/>
      <c r="N21" s="145"/>
      <c r="O21" s="174"/>
      <c r="P21" s="174"/>
      <c r="Q21" s="158" t="str">
        <v/>
      </c>
      <c r="R21" s="158" t="str">
        <v/>
      </c>
      <c r="S21" s="158" t="str">
        <v/>
      </c>
      <c r="T21" s="158" t="str">
        <v/>
      </c>
      <c r="U21" s="158" t="str">
        <v/>
      </c>
      <c r="V21" s="158" t="str">
        <v/>
      </c>
      <c r="W21" s="158" t="str">
        <v/>
      </c>
      <c r="X21" s="158" t="str">
        <v/>
      </c>
      <c r="Y21" s="158" t="str">
        <v/>
      </c>
      <c r="Z21" s="158" t="str">
        <v/>
      </c>
      <c r="AA21" s="158" t="e">
        <v>#VALUE!</v>
      </c>
      <c r="AB21" s="171" t="str">
        <v/>
      </c>
      <c r="AC21" s="158">
        <v>8710.7142857142862</v>
      </c>
      <c r="AD21" s="173" t="str">
        <f ca="1">IFERROR(__xludf.DUMMYFUNCTION("""COMPUTED_VALUE"""),"2025-05")</f>
        <v>2025-05</v>
      </c>
      <c r="AE21" s="154" t="str">
        <v/>
      </c>
      <c r="AF21" s="154" t="str">
        <v/>
      </c>
    </row>
    <row r="22" spans="1:32">
      <c r="A22" s="168">
        <v>45807</v>
      </c>
      <c r="B22" s="145" t="s">
        <v>61</v>
      </c>
      <c r="C22" s="169">
        <v>115770</v>
      </c>
      <c r="D22" s="145">
        <v>41</v>
      </c>
      <c r="E22" s="145">
        <v>3</v>
      </c>
      <c r="F22" s="169" t="e">
        <v>#VALUE!</v>
      </c>
      <c r="G22" s="145">
        <v>2</v>
      </c>
      <c r="H22" s="145">
        <v>1</v>
      </c>
      <c r="I22" s="145"/>
      <c r="J22" s="145"/>
      <c r="K22" s="145"/>
      <c r="L22" s="145"/>
      <c r="M22" s="145"/>
      <c r="N22" s="145"/>
      <c r="O22" s="174"/>
      <c r="P22" s="174"/>
      <c r="Q22" s="158">
        <v>394000</v>
      </c>
      <c r="R22" s="158">
        <v>297000</v>
      </c>
      <c r="S22" s="158" t="str">
        <v/>
      </c>
      <c r="T22" s="158" t="str">
        <v/>
      </c>
      <c r="U22" s="158" t="str">
        <v/>
      </c>
      <c r="V22" s="158" t="str">
        <v/>
      </c>
      <c r="W22" s="158" t="str">
        <v/>
      </c>
      <c r="X22" s="158" t="str">
        <v/>
      </c>
      <c r="Y22" s="158" t="str">
        <v/>
      </c>
      <c r="Z22" s="158" t="str">
        <v/>
      </c>
      <c r="AA22" s="158" t="e">
        <v>#VALUE!</v>
      </c>
      <c r="AB22" s="171">
        <v>0.03</v>
      </c>
      <c r="AC22" s="158">
        <v>2823.6585365853657</v>
      </c>
      <c r="AD22" s="173" t="str">
        <f ca="1">IFERROR(__xludf.DUMMYFUNCTION("""COMPUTED_VALUE"""),"2025-05")</f>
        <v>2025-05</v>
      </c>
      <c r="AE22" s="154">
        <v>0</v>
      </c>
      <c r="AF22" s="154">
        <v>0</v>
      </c>
    </row>
    <row r="23" spans="1:32">
      <c r="A23" s="168">
        <v>45807</v>
      </c>
      <c r="B23" s="145" t="s">
        <v>49</v>
      </c>
      <c r="C23" s="169">
        <v>113383</v>
      </c>
      <c r="D23" s="145">
        <v>43</v>
      </c>
      <c r="E23" s="145"/>
      <c r="F23" s="169" t="e">
        <v>#VALUE!</v>
      </c>
      <c r="G23" s="145"/>
      <c r="H23" s="145"/>
      <c r="I23" s="145"/>
      <c r="J23" s="145"/>
      <c r="K23" s="145"/>
      <c r="L23" s="145"/>
      <c r="M23" s="145"/>
      <c r="N23" s="145"/>
      <c r="O23" s="174"/>
      <c r="P23" s="174"/>
      <c r="Q23" s="158" t="str">
        <v/>
      </c>
      <c r="R23" s="158" t="str">
        <v/>
      </c>
      <c r="S23" s="158" t="str">
        <v/>
      </c>
      <c r="T23" s="158" t="str">
        <v/>
      </c>
      <c r="U23" s="158" t="str">
        <v/>
      </c>
      <c r="V23" s="158" t="str">
        <v/>
      </c>
      <c r="W23" s="158" t="str">
        <v/>
      </c>
      <c r="X23" s="158" t="str">
        <v/>
      </c>
      <c r="Y23" s="158" t="str">
        <v/>
      </c>
      <c r="Z23" s="158" t="str">
        <v/>
      </c>
      <c r="AA23" s="158" t="e">
        <v>#VALUE!</v>
      </c>
      <c r="AB23" s="171" t="str">
        <v/>
      </c>
      <c r="AC23" s="158">
        <v>2636.8139534883721</v>
      </c>
      <c r="AD23" s="173" t="str">
        <f ca="1">IFERROR(__xludf.DUMMYFUNCTION("""COMPUTED_VALUE"""),"2025-05")</f>
        <v>2025-05</v>
      </c>
      <c r="AE23" s="154" t="str">
        <v/>
      </c>
      <c r="AF23" s="154" t="str">
        <v/>
      </c>
    </row>
    <row r="24" spans="1:32">
      <c r="A24" s="168">
        <v>45807</v>
      </c>
      <c r="B24" s="145" t="s">
        <v>115</v>
      </c>
      <c r="C24" s="169">
        <v>0</v>
      </c>
      <c r="D24" s="145"/>
      <c r="E24" s="145">
        <v>1</v>
      </c>
      <c r="F24" s="169" t="e">
        <v>#VALUE!</v>
      </c>
      <c r="G24" s="145">
        <v>1</v>
      </c>
      <c r="H24" s="145"/>
      <c r="I24" s="145"/>
      <c r="J24" s="145"/>
      <c r="K24" s="145"/>
      <c r="L24" s="145"/>
      <c r="M24" s="145"/>
      <c r="N24" s="145"/>
      <c r="O24" s="174"/>
      <c r="P24" s="174"/>
      <c r="Q24" s="158">
        <v>197000</v>
      </c>
      <c r="R24" s="158" t="str">
        <v/>
      </c>
      <c r="S24" s="158" t="str">
        <v/>
      </c>
      <c r="T24" s="158" t="str">
        <v/>
      </c>
      <c r="U24" s="158" t="str">
        <v/>
      </c>
      <c r="V24" s="158" t="str">
        <v/>
      </c>
      <c r="W24" s="158" t="str">
        <v/>
      </c>
      <c r="X24" s="158" t="str">
        <v/>
      </c>
      <c r="Y24" s="158" t="str">
        <v/>
      </c>
      <c r="Z24" s="158" t="str">
        <v/>
      </c>
      <c r="AA24" s="158" t="e">
        <v>#VALUE!</v>
      </c>
      <c r="AB24" s="171">
        <v>0.01</v>
      </c>
      <c r="AC24" s="158">
        <v>0</v>
      </c>
      <c r="AD24" s="173" t="str">
        <f ca="1">IFERROR(__xludf.DUMMYFUNCTION("""COMPUTED_VALUE"""),"2025-05")</f>
        <v>2025-05</v>
      </c>
      <c r="AE24" s="154">
        <v>0</v>
      </c>
      <c r="AF24" s="154">
        <v>0</v>
      </c>
    </row>
    <row r="25" spans="1:32" ht="15">
      <c r="A25" s="168">
        <v>45808</v>
      </c>
      <c r="B25" s="145" t="s">
        <v>115</v>
      </c>
      <c r="C25" s="169">
        <v>94978</v>
      </c>
      <c r="D25" s="145">
        <v>1</v>
      </c>
      <c r="E25" s="145"/>
      <c r="F25" s="169" t="e">
        <v>#VALUE!</v>
      </c>
      <c r="G25" s="145"/>
      <c r="H25" s="145"/>
      <c r="I25" s="145"/>
      <c r="J25" s="145"/>
      <c r="K25" s="145"/>
      <c r="L25" s="145"/>
      <c r="M25" s="145"/>
      <c r="N25" s="145"/>
      <c r="O25" s="174"/>
      <c r="P25" s="174"/>
      <c r="Q25" s="158" t="str">
        <v/>
      </c>
      <c r="R25" s="158" t="str">
        <v/>
      </c>
      <c r="S25" s="158" t="str">
        <v/>
      </c>
      <c r="T25" s="158" t="str">
        <v/>
      </c>
      <c r="U25" s="158" t="str">
        <v/>
      </c>
      <c r="V25" s="158" t="str">
        <v/>
      </c>
      <c r="W25" s="158" t="str">
        <v/>
      </c>
      <c r="X25" s="158" t="str">
        <v/>
      </c>
      <c r="Y25" s="158" t="str">
        <v/>
      </c>
      <c r="Z25" s="158" t="str">
        <v/>
      </c>
      <c r="AA25" s="158" t="e">
        <v>#VALUE!</v>
      </c>
      <c r="AB25" s="171" t="str">
        <v/>
      </c>
      <c r="AC25" s="158">
        <v>94978</v>
      </c>
      <c r="AD25" s="173" t="str">
        <f ca="1">IFERROR(__xludf.DUMMYFUNCTION("""COMPUTED_VALUE"""),"2025-05")</f>
        <v>2025-05</v>
      </c>
      <c r="AE25" s="154" t="str">
        <v/>
      </c>
      <c r="AF25" s="154" t="str">
        <v/>
      </c>
    </row>
    <row r="26" spans="1:32" ht="15">
      <c r="A26" s="168">
        <v>45808</v>
      </c>
      <c r="B26" s="145" t="s">
        <v>49</v>
      </c>
      <c r="C26" s="169">
        <v>84361</v>
      </c>
      <c r="D26" s="145">
        <v>41</v>
      </c>
      <c r="E26" s="145"/>
      <c r="F26" s="169" t="e">
        <v>#VALUE!</v>
      </c>
      <c r="G26" s="145"/>
      <c r="H26" s="145"/>
      <c r="I26" s="145"/>
      <c r="J26" s="145"/>
      <c r="K26" s="145"/>
      <c r="L26" s="145"/>
      <c r="M26" s="145"/>
      <c r="N26" s="145"/>
      <c r="O26" s="174"/>
      <c r="P26" s="174"/>
      <c r="Q26" s="158" t="str">
        <v/>
      </c>
      <c r="R26" s="158" t="str">
        <v/>
      </c>
      <c r="S26" s="158" t="str">
        <v/>
      </c>
      <c r="T26" s="158" t="str">
        <v/>
      </c>
      <c r="U26" s="158" t="str">
        <v/>
      </c>
      <c r="V26" s="158" t="str">
        <v/>
      </c>
      <c r="W26" s="158" t="str">
        <v/>
      </c>
      <c r="X26" s="158" t="str">
        <v/>
      </c>
      <c r="Y26" s="158" t="str">
        <v/>
      </c>
      <c r="Z26" s="158" t="str">
        <v/>
      </c>
      <c r="AA26" s="158" t="e">
        <v>#VALUE!</v>
      </c>
      <c r="AB26" s="171" t="str">
        <v/>
      </c>
      <c r="AC26" s="158">
        <v>2057.5853658536585</v>
      </c>
      <c r="AD26" s="173" t="str">
        <f ca="1">IFERROR(__xludf.DUMMYFUNCTION("""COMPUTED_VALUE"""),"2025-05")</f>
        <v>2025-05</v>
      </c>
      <c r="AE26" s="154" t="str">
        <v/>
      </c>
      <c r="AF26" s="154" t="str">
        <v/>
      </c>
    </row>
    <row r="27" spans="1:32" ht="15">
      <c r="A27" s="168">
        <v>45808</v>
      </c>
      <c r="B27" s="145" t="s">
        <v>61</v>
      </c>
      <c r="C27" s="169">
        <v>0</v>
      </c>
      <c r="D27" s="145"/>
      <c r="E27" s="145">
        <v>2</v>
      </c>
      <c r="F27" s="169" t="e">
        <v>#VALUE!</v>
      </c>
      <c r="G27" s="145"/>
      <c r="H27" s="145">
        <v>1</v>
      </c>
      <c r="I27" s="145"/>
      <c r="J27" s="145">
        <v>1</v>
      </c>
      <c r="K27" s="145"/>
      <c r="L27" s="145">
        <v>1</v>
      </c>
      <c r="M27" s="145"/>
      <c r="N27" s="145"/>
      <c r="O27" s="174"/>
      <c r="P27" s="174"/>
      <c r="Q27" s="158" t="str">
        <v/>
      </c>
      <c r="R27" s="158">
        <v>297000</v>
      </c>
      <c r="S27" s="158" t="str">
        <v/>
      </c>
      <c r="T27" s="158">
        <v>550000</v>
      </c>
      <c r="U27" s="158" t="str">
        <v/>
      </c>
      <c r="V27" s="158">
        <v>197000</v>
      </c>
      <c r="W27" s="158" t="str">
        <v/>
      </c>
      <c r="X27" s="158" t="str">
        <v/>
      </c>
      <c r="Y27" s="158" t="str">
        <v/>
      </c>
      <c r="Z27" s="158" t="str">
        <v/>
      </c>
      <c r="AA27" s="158" t="e">
        <v>#VALUE!</v>
      </c>
      <c r="AB27" s="171">
        <v>0.02</v>
      </c>
      <c r="AC27" s="158">
        <v>0</v>
      </c>
      <c r="AD27" s="173" t="str">
        <f ca="1">IFERROR(__xludf.DUMMYFUNCTION("""COMPUTED_VALUE"""),"2025-05")</f>
        <v>2025-05</v>
      </c>
      <c r="AE27" s="154">
        <v>0</v>
      </c>
      <c r="AF27" s="154">
        <v>0</v>
      </c>
    </row>
    <row r="28" spans="1:32" ht="15">
      <c r="A28" s="175">
        <v>45809</v>
      </c>
      <c r="B28" s="145" t="s">
        <v>115</v>
      </c>
      <c r="C28" s="169">
        <v>338841</v>
      </c>
      <c r="D28" s="145">
        <v>78</v>
      </c>
      <c r="E28" s="145">
        <v>5</v>
      </c>
      <c r="F28" s="169" t="e">
        <v>#VALUE!</v>
      </c>
      <c r="G28" s="145">
        <v>4</v>
      </c>
      <c r="H28" s="145">
        <v>1</v>
      </c>
      <c r="I28" s="145"/>
      <c r="J28" s="145"/>
      <c r="K28" s="145"/>
      <c r="L28" s="145"/>
      <c r="M28" s="145"/>
      <c r="N28" s="145"/>
      <c r="O28" s="174"/>
      <c r="P28" s="174"/>
      <c r="Q28" s="158">
        <v>788000</v>
      </c>
      <c r="R28" s="158">
        <v>297000</v>
      </c>
      <c r="S28" s="158" t="str">
        <v/>
      </c>
      <c r="T28" s="158" t="str">
        <v/>
      </c>
      <c r="U28" s="158" t="str">
        <v/>
      </c>
      <c r="V28" s="158" t="str">
        <v/>
      </c>
      <c r="W28" s="158" t="str">
        <v/>
      </c>
      <c r="X28" s="158" t="str">
        <v/>
      </c>
      <c r="Y28" s="158" t="str">
        <v/>
      </c>
      <c r="Z28" s="158" t="str">
        <v/>
      </c>
      <c r="AA28" s="158" t="e">
        <v>#VALUE!</v>
      </c>
      <c r="AB28" s="171">
        <v>0.05</v>
      </c>
      <c r="AC28" s="158">
        <v>4344.1153846153848</v>
      </c>
      <c r="AD28" s="173" t="str">
        <f ca="1">IFERROR(__xludf.DUMMYFUNCTION("""COMPUTED_VALUE"""),"2025-06")</f>
        <v>2025-06</v>
      </c>
      <c r="AE28" s="154">
        <v>0</v>
      </c>
      <c r="AF28" s="154">
        <v>0</v>
      </c>
    </row>
    <row r="29" spans="1:32" ht="15">
      <c r="A29" s="175">
        <v>45809</v>
      </c>
      <c r="B29" s="145" t="s">
        <v>61</v>
      </c>
      <c r="C29" s="169">
        <v>175602</v>
      </c>
      <c r="D29" s="145">
        <v>53</v>
      </c>
      <c r="E29" s="145">
        <v>2</v>
      </c>
      <c r="F29" s="169" t="e">
        <v>#VALUE!</v>
      </c>
      <c r="G29" s="145">
        <v>1</v>
      </c>
      <c r="H29" s="145"/>
      <c r="I29" s="145"/>
      <c r="J29" s="145"/>
      <c r="K29" s="145"/>
      <c r="L29" s="145">
        <v>1</v>
      </c>
      <c r="M29" s="145"/>
      <c r="N29" s="145"/>
      <c r="O29" s="174"/>
      <c r="P29" s="174"/>
      <c r="Q29" s="158">
        <v>197000</v>
      </c>
      <c r="R29" s="158" t="str">
        <v/>
      </c>
      <c r="S29" s="158" t="str">
        <v/>
      </c>
      <c r="T29" s="158" t="str">
        <v/>
      </c>
      <c r="U29" s="158" t="str">
        <v/>
      </c>
      <c r="V29" s="158">
        <v>197000</v>
      </c>
      <c r="W29" s="158" t="str">
        <v/>
      </c>
      <c r="X29" s="158" t="str">
        <v/>
      </c>
      <c r="Y29" s="158" t="str">
        <v/>
      </c>
      <c r="Z29" s="158" t="str">
        <v/>
      </c>
      <c r="AA29" s="158" t="e">
        <v>#VALUE!</v>
      </c>
      <c r="AB29" s="171">
        <v>0.02</v>
      </c>
      <c r="AC29" s="158">
        <v>3313.2452830188681</v>
      </c>
      <c r="AD29" s="173" t="str">
        <f ca="1">IFERROR(__xludf.DUMMYFUNCTION("""COMPUTED_VALUE"""),"2025-06")</f>
        <v>2025-06</v>
      </c>
      <c r="AE29" s="154">
        <v>0</v>
      </c>
      <c r="AF29" s="154">
        <v>0</v>
      </c>
    </row>
    <row r="30" spans="1:32" ht="15">
      <c r="A30" s="175">
        <v>45809</v>
      </c>
      <c r="B30" s="145" t="s">
        <v>49</v>
      </c>
      <c r="C30" s="169">
        <v>124430</v>
      </c>
      <c r="D30" s="145">
        <v>37</v>
      </c>
      <c r="E30" s="145">
        <v>3</v>
      </c>
      <c r="F30" s="169" t="e">
        <v>#VALUE!</v>
      </c>
      <c r="G30" s="145">
        <v>3</v>
      </c>
      <c r="H30" s="145"/>
      <c r="I30" s="145"/>
      <c r="J30" s="145"/>
      <c r="K30" s="145"/>
      <c r="L30" s="145"/>
      <c r="M30" s="145"/>
      <c r="N30" s="145"/>
      <c r="O30" s="174"/>
      <c r="P30" s="174"/>
      <c r="Q30" s="158">
        <v>591000</v>
      </c>
      <c r="R30" s="158" t="str">
        <v/>
      </c>
      <c r="S30" s="158" t="str">
        <v/>
      </c>
      <c r="T30" s="158" t="str">
        <v/>
      </c>
      <c r="U30" s="158" t="str">
        <v/>
      </c>
      <c r="V30" s="158" t="str">
        <v/>
      </c>
      <c r="W30" s="158" t="str">
        <v/>
      </c>
      <c r="X30" s="158" t="str">
        <v/>
      </c>
      <c r="Y30" s="158" t="str">
        <v/>
      </c>
      <c r="Z30" s="158" t="str">
        <v/>
      </c>
      <c r="AA30" s="158" t="e">
        <v>#VALUE!</v>
      </c>
      <c r="AB30" s="171">
        <v>0.03</v>
      </c>
      <c r="AC30" s="158">
        <v>3362.9729729729729</v>
      </c>
      <c r="AD30" s="173" t="str">
        <f ca="1">IFERROR(__xludf.DUMMYFUNCTION("""COMPUTED_VALUE"""),"2025-06")</f>
        <v>2025-06</v>
      </c>
      <c r="AE30" s="154">
        <v>0</v>
      </c>
      <c r="AF30" s="154">
        <v>0</v>
      </c>
    </row>
    <row r="31" spans="1:32" ht="15">
      <c r="A31" s="175">
        <v>45810</v>
      </c>
      <c r="B31" s="145" t="s">
        <v>115</v>
      </c>
      <c r="C31" s="169">
        <v>221545</v>
      </c>
      <c r="D31" s="145">
        <v>72</v>
      </c>
      <c r="E31" s="145">
        <v>4</v>
      </c>
      <c r="F31" s="169" t="e">
        <v>#VALUE!</v>
      </c>
      <c r="G31" s="145">
        <v>4</v>
      </c>
      <c r="H31" s="145"/>
      <c r="I31" s="145"/>
      <c r="J31" s="145"/>
      <c r="K31" s="145"/>
      <c r="L31" s="145"/>
      <c r="M31" s="145"/>
      <c r="N31" s="145"/>
      <c r="O31" s="174"/>
      <c r="P31" s="174"/>
      <c r="Q31" s="158">
        <v>788000</v>
      </c>
      <c r="R31" s="158" t="str">
        <v/>
      </c>
      <c r="S31" s="158" t="str">
        <v/>
      </c>
      <c r="T31" s="158" t="str">
        <v/>
      </c>
      <c r="U31" s="158" t="str">
        <v/>
      </c>
      <c r="V31" s="158" t="str">
        <v/>
      </c>
      <c r="W31" s="158" t="str">
        <v/>
      </c>
      <c r="X31" s="158" t="str">
        <v/>
      </c>
      <c r="Y31" s="158" t="str">
        <v/>
      </c>
      <c r="Z31" s="158" t="str">
        <v/>
      </c>
      <c r="AA31" s="158" t="e">
        <v>#VALUE!</v>
      </c>
      <c r="AB31" s="171">
        <v>0.04</v>
      </c>
      <c r="AC31" s="158">
        <v>3077.0138888888887</v>
      </c>
      <c r="AD31" s="173" t="str">
        <f ca="1">IFERROR(__xludf.DUMMYFUNCTION("""COMPUTED_VALUE"""),"2025-06")</f>
        <v>2025-06</v>
      </c>
      <c r="AE31" s="154">
        <v>0</v>
      </c>
      <c r="AF31" s="154">
        <v>0</v>
      </c>
    </row>
    <row r="32" spans="1:32" ht="15">
      <c r="A32" s="175">
        <v>45810</v>
      </c>
      <c r="B32" s="145" t="s">
        <v>61</v>
      </c>
      <c r="C32" s="169">
        <v>129673</v>
      </c>
      <c r="D32" s="145">
        <v>31</v>
      </c>
      <c r="E32" s="145">
        <v>1</v>
      </c>
      <c r="F32" s="169" t="e">
        <v>#VALUE!</v>
      </c>
      <c r="G32" s="145">
        <v>1</v>
      </c>
      <c r="H32" s="145"/>
      <c r="I32" s="145"/>
      <c r="J32" s="145"/>
      <c r="K32" s="145"/>
      <c r="L32" s="145"/>
      <c r="M32" s="145"/>
      <c r="N32" s="145"/>
      <c r="O32" s="174"/>
      <c r="P32" s="174"/>
      <c r="Q32" s="158">
        <v>197000</v>
      </c>
      <c r="R32" s="158" t="str">
        <v/>
      </c>
      <c r="S32" s="158" t="str">
        <v/>
      </c>
      <c r="T32" s="158" t="str">
        <v/>
      </c>
      <c r="U32" s="158" t="str">
        <v/>
      </c>
      <c r="V32" s="158" t="str">
        <v/>
      </c>
      <c r="W32" s="158" t="str">
        <v/>
      </c>
      <c r="X32" s="158" t="str">
        <v/>
      </c>
      <c r="Y32" s="158" t="str">
        <v/>
      </c>
      <c r="Z32" s="158" t="str">
        <v/>
      </c>
      <c r="AA32" s="158" t="e">
        <v>#VALUE!</v>
      </c>
      <c r="AB32" s="171">
        <v>0.01</v>
      </c>
      <c r="AC32" s="158">
        <v>4183</v>
      </c>
      <c r="AD32" s="173" t="str">
        <f ca="1">IFERROR(__xludf.DUMMYFUNCTION("""COMPUTED_VALUE"""),"2025-06")</f>
        <v>2025-06</v>
      </c>
      <c r="AE32" s="154">
        <v>0</v>
      </c>
      <c r="AF32" s="154">
        <v>0</v>
      </c>
    </row>
    <row r="33" spans="1:32" ht="15">
      <c r="A33" s="175">
        <v>45810</v>
      </c>
      <c r="B33" s="145" t="s">
        <v>49</v>
      </c>
      <c r="C33" s="169">
        <v>213058</v>
      </c>
      <c r="D33" s="145">
        <v>102</v>
      </c>
      <c r="E33" s="145">
        <v>3</v>
      </c>
      <c r="F33" s="169" t="e">
        <v>#VALUE!</v>
      </c>
      <c r="G33" s="145">
        <v>3</v>
      </c>
      <c r="H33" s="145"/>
      <c r="I33" s="145"/>
      <c r="J33" s="145"/>
      <c r="K33" s="145"/>
      <c r="L33" s="145"/>
      <c r="M33" s="145"/>
      <c r="N33" s="145"/>
      <c r="O33" s="174"/>
      <c r="P33" s="174"/>
      <c r="Q33" s="158">
        <v>591000</v>
      </c>
      <c r="R33" s="158" t="str">
        <v/>
      </c>
      <c r="S33" s="158" t="str">
        <v/>
      </c>
      <c r="T33" s="158" t="str">
        <v/>
      </c>
      <c r="U33" s="158" t="str">
        <v/>
      </c>
      <c r="V33" s="158" t="str">
        <v/>
      </c>
      <c r="W33" s="158" t="str">
        <v/>
      </c>
      <c r="X33" s="158" t="str">
        <v/>
      </c>
      <c r="Y33" s="158" t="str">
        <v/>
      </c>
      <c r="Z33" s="158" t="str">
        <v/>
      </c>
      <c r="AA33" s="158" t="e">
        <v>#VALUE!</v>
      </c>
      <c r="AB33" s="171">
        <v>0.03</v>
      </c>
      <c r="AC33" s="158">
        <v>2088.8039215686276</v>
      </c>
      <c r="AD33" s="173" t="str">
        <f ca="1">IFERROR(__xludf.DUMMYFUNCTION("""COMPUTED_VALUE"""),"2025-06")</f>
        <v>2025-06</v>
      </c>
      <c r="AE33" s="154">
        <v>0</v>
      </c>
      <c r="AF33" s="154">
        <v>0</v>
      </c>
    </row>
    <row r="34" spans="1:32" ht="15">
      <c r="A34" s="175">
        <v>45811</v>
      </c>
      <c r="B34" s="145" t="s">
        <v>115</v>
      </c>
      <c r="C34" s="169">
        <v>165858</v>
      </c>
      <c r="D34" s="145">
        <v>49</v>
      </c>
      <c r="E34" s="145">
        <v>1</v>
      </c>
      <c r="F34" s="169" t="e">
        <v>#VALUE!</v>
      </c>
      <c r="G34" s="145">
        <v>1</v>
      </c>
      <c r="H34" s="145"/>
      <c r="I34" s="145"/>
      <c r="J34" s="145"/>
      <c r="K34" s="145"/>
      <c r="L34" s="145"/>
      <c r="M34" s="145"/>
      <c r="N34" s="145"/>
      <c r="O34" s="174"/>
      <c r="P34" s="174"/>
      <c r="Q34" s="158">
        <v>197000</v>
      </c>
      <c r="R34" s="158" t="str">
        <v/>
      </c>
      <c r="S34" s="158" t="str">
        <v/>
      </c>
      <c r="T34" s="158" t="str">
        <v/>
      </c>
      <c r="U34" s="158" t="str">
        <v/>
      </c>
      <c r="V34" s="158" t="str">
        <v/>
      </c>
      <c r="W34" s="158" t="str">
        <v/>
      </c>
      <c r="X34" s="158" t="str">
        <v/>
      </c>
      <c r="Y34" s="158" t="str">
        <v/>
      </c>
      <c r="Z34" s="158" t="str">
        <v/>
      </c>
      <c r="AA34" s="158" t="e">
        <v>#VALUE!</v>
      </c>
      <c r="AB34" s="171">
        <v>0.01</v>
      </c>
      <c r="AC34" s="158">
        <v>3384.8571428571427</v>
      </c>
      <c r="AD34" s="173" t="str">
        <f ca="1">IFERROR(__xludf.DUMMYFUNCTION("""COMPUTED_VALUE"""),"2025-06")</f>
        <v>2025-06</v>
      </c>
      <c r="AE34" s="154">
        <v>0</v>
      </c>
      <c r="AF34" s="154">
        <v>0</v>
      </c>
    </row>
    <row r="35" spans="1:32" ht="15">
      <c r="A35" s="175">
        <v>45811</v>
      </c>
      <c r="B35" s="145" t="s">
        <v>61</v>
      </c>
      <c r="C35" s="169">
        <v>137484</v>
      </c>
      <c r="D35" s="145">
        <v>40</v>
      </c>
      <c r="E35" s="145">
        <v>2</v>
      </c>
      <c r="F35" s="169" t="e">
        <v>#VALUE!</v>
      </c>
      <c r="G35" s="145"/>
      <c r="H35" s="145"/>
      <c r="I35" s="145"/>
      <c r="J35" s="145"/>
      <c r="K35" s="145"/>
      <c r="L35" s="145">
        <v>1</v>
      </c>
      <c r="M35" s="145">
        <v>1</v>
      </c>
      <c r="N35" s="145"/>
      <c r="O35" s="174"/>
      <c r="P35" s="174"/>
      <c r="Q35" s="158" t="str">
        <v/>
      </c>
      <c r="R35" s="158" t="str">
        <v/>
      </c>
      <c r="S35" s="158" t="str">
        <v/>
      </c>
      <c r="T35" s="158" t="str">
        <v/>
      </c>
      <c r="U35" s="158" t="str">
        <v/>
      </c>
      <c r="V35" s="158">
        <v>197000</v>
      </c>
      <c r="W35" s="158">
        <v>297000</v>
      </c>
      <c r="X35" s="158" t="str">
        <v/>
      </c>
      <c r="Y35" s="158" t="str">
        <v/>
      </c>
      <c r="Z35" s="158" t="str">
        <v/>
      </c>
      <c r="AA35" s="158" t="e">
        <v>#VALUE!</v>
      </c>
      <c r="AB35" s="171">
        <v>0.02</v>
      </c>
      <c r="AC35" s="158">
        <v>3437.1</v>
      </c>
      <c r="AD35" s="173" t="str">
        <f ca="1">IFERROR(__xludf.DUMMYFUNCTION("""COMPUTED_VALUE"""),"2025-06")</f>
        <v>2025-06</v>
      </c>
      <c r="AE35" s="154">
        <v>0</v>
      </c>
      <c r="AF35" s="154">
        <v>0</v>
      </c>
    </row>
    <row r="36" spans="1:32" ht="15">
      <c r="A36" s="175">
        <v>45811</v>
      </c>
      <c r="B36" s="145" t="s">
        <v>49</v>
      </c>
      <c r="C36" s="169">
        <v>40471</v>
      </c>
      <c r="D36" s="145">
        <v>23</v>
      </c>
      <c r="E36" s="145">
        <v>0</v>
      </c>
      <c r="F36" s="169" t="e">
        <v>#VALUE!</v>
      </c>
      <c r="G36" s="145"/>
      <c r="H36" s="145"/>
      <c r="I36" s="145"/>
      <c r="J36" s="145"/>
      <c r="K36" s="145"/>
      <c r="L36" s="145"/>
      <c r="M36" s="145"/>
      <c r="N36" s="145"/>
      <c r="O36" s="174"/>
      <c r="P36" s="174"/>
      <c r="Q36" s="158" t="str">
        <v/>
      </c>
      <c r="R36" s="158" t="str">
        <v/>
      </c>
      <c r="S36" s="158" t="str">
        <v/>
      </c>
      <c r="T36" s="158" t="str">
        <v/>
      </c>
      <c r="U36" s="158" t="str">
        <v/>
      </c>
      <c r="V36" s="158" t="str">
        <v/>
      </c>
      <c r="W36" s="158" t="str">
        <v/>
      </c>
      <c r="X36" s="158" t="str">
        <v/>
      </c>
      <c r="Y36" s="158" t="str">
        <v/>
      </c>
      <c r="Z36" s="158" t="str">
        <v/>
      </c>
      <c r="AA36" s="158" t="e">
        <v>#VALUE!</v>
      </c>
      <c r="AB36" s="171" t="str">
        <v/>
      </c>
      <c r="AC36" s="158">
        <v>1759.608695652174</v>
      </c>
      <c r="AD36" s="173" t="str">
        <f ca="1">IFERROR(__xludf.DUMMYFUNCTION("""COMPUTED_VALUE"""),"2025-06")</f>
        <v>2025-06</v>
      </c>
      <c r="AE36" s="154">
        <v>0</v>
      </c>
      <c r="AF36" s="154">
        <v>0</v>
      </c>
    </row>
    <row r="37" spans="1:32" ht="15">
      <c r="A37" s="175">
        <v>45812</v>
      </c>
      <c r="B37" s="145" t="s">
        <v>12895</v>
      </c>
      <c r="C37" s="169">
        <v>49846</v>
      </c>
      <c r="D37" s="145">
        <v>10</v>
      </c>
      <c r="E37" s="145"/>
      <c r="F37" s="169" t="e">
        <v>#VALUE!</v>
      </c>
      <c r="G37" s="145"/>
      <c r="H37" s="145"/>
      <c r="I37" s="145"/>
      <c r="J37" s="145"/>
      <c r="K37" s="145"/>
      <c r="L37" s="145"/>
      <c r="M37" s="145"/>
      <c r="N37" s="145"/>
      <c r="O37" s="174"/>
      <c r="P37" s="174"/>
      <c r="Q37" s="158" t="str">
        <v/>
      </c>
      <c r="R37" s="158" t="str">
        <v/>
      </c>
      <c r="S37" s="158" t="str">
        <v/>
      </c>
      <c r="T37" s="158" t="str">
        <v/>
      </c>
      <c r="U37" s="158" t="str">
        <v/>
      </c>
      <c r="V37" s="158" t="str">
        <v/>
      </c>
      <c r="W37" s="158" t="str">
        <v/>
      </c>
      <c r="X37" s="158" t="str">
        <v/>
      </c>
      <c r="Y37" s="158" t="str">
        <v/>
      </c>
      <c r="Z37" s="158" t="str">
        <v/>
      </c>
      <c r="AA37" s="158" t="e">
        <v>#VALUE!</v>
      </c>
      <c r="AB37" s="171" t="str">
        <v/>
      </c>
      <c r="AC37" s="158">
        <v>4984.6000000000004</v>
      </c>
      <c r="AD37" s="173" t="str">
        <f ca="1">IFERROR(__xludf.DUMMYFUNCTION("""COMPUTED_VALUE"""),"2025-06")</f>
        <v>2025-06</v>
      </c>
      <c r="AE37" s="154" t="str">
        <v/>
      </c>
      <c r="AF37" s="154" t="str">
        <v/>
      </c>
    </row>
    <row r="38" spans="1:32" ht="15">
      <c r="A38" s="175">
        <v>45812</v>
      </c>
      <c r="B38" s="145" t="s">
        <v>115</v>
      </c>
      <c r="C38" s="169">
        <v>0</v>
      </c>
      <c r="D38" s="145"/>
      <c r="E38" s="145">
        <v>1</v>
      </c>
      <c r="F38" s="169" t="e">
        <v>#VALUE!</v>
      </c>
      <c r="G38" s="145">
        <v>1</v>
      </c>
      <c r="H38" s="145"/>
      <c r="I38" s="145"/>
      <c r="J38" s="145"/>
      <c r="K38" s="145"/>
      <c r="L38" s="145"/>
      <c r="M38" s="145"/>
      <c r="N38" s="145"/>
      <c r="O38" s="174"/>
      <c r="P38" s="174"/>
      <c r="Q38" s="158">
        <v>197000</v>
      </c>
      <c r="R38" s="158" t="str">
        <v/>
      </c>
      <c r="S38" s="158" t="str">
        <v/>
      </c>
      <c r="T38" s="158" t="str">
        <v/>
      </c>
      <c r="U38" s="158" t="str">
        <v/>
      </c>
      <c r="V38" s="158" t="str">
        <v/>
      </c>
      <c r="W38" s="158" t="str">
        <v/>
      </c>
      <c r="X38" s="158" t="str">
        <v/>
      </c>
      <c r="Y38" s="158" t="str">
        <v/>
      </c>
      <c r="Z38" s="158" t="str">
        <v/>
      </c>
      <c r="AA38" s="158" t="e">
        <v>#VALUE!</v>
      </c>
      <c r="AB38" s="171">
        <v>0.01</v>
      </c>
      <c r="AC38" s="158">
        <v>0</v>
      </c>
      <c r="AD38" s="173" t="str">
        <f ca="1">IFERROR(__xludf.DUMMYFUNCTION("""COMPUTED_VALUE"""),"2025-06")</f>
        <v>2025-06</v>
      </c>
      <c r="AE38" s="154">
        <v>0</v>
      </c>
      <c r="AF38" s="154">
        <v>0</v>
      </c>
    </row>
    <row r="39" spans="1:32" ht="15">
      <c r="A39" s="175">
        <v>45812</v>
      </c>
      <c r="B39" s="145" t="s">
        <v>49</v>
      </c>
      <c r="C39" s="169">
        <v>0</v>
      </c>
      <c r="D39" s="145"/>
      <c r="E39" s="145"/>
      <c r="F39" s="169" t="e">
        <v>#VALUE!</v>
      </c>
      <c r="G39" s="145"/>
      <c r="H39" s="145"/>
      <c r="I39" s="145"/>
      <c r="J39" s="145"/>
      <c r="K39" s="145"/>
      <c r="L39" s="145"/>
      <c r="M39" s="145"/>
      <c r="N39" s="145"/>
      <c r="O39" s="174"/>
      <c r="P39" s="174"/>
      <c r="Q39" s="158" t="str">
        <v/>
      </c>
      <c r="R39" s="158" t="str">
        <v/>
      </c>
      <c r="S39" s="158" t="str">
        <v/>
      </c>
      <c r="T39" s="158" t="str">
        <v/>
      </c>
      <c r="U39" s="158" t="str">
        <v/>
      </c>
      <c r="V39" s="158" t="str">
        <v/>
      </c>
      <c r="W39" s="158" t="str">
        <v/>
      </c>
      <c r="X39" s="158" t="str">
        <v/>
      </c>
      <c r="Y39" s="158" t="str">
        <v/>
      </c>
      <c r="Z39" s="158" t="str">
        <v/>
      </c>
      <c r="AA39" s="158" t="e">
        <v>#VALUE!</v>
      </c>
      <c r="AB39" s="171" t="str">
        <v/>
      </c>
      <c r="AC39" s="158">
        <v>0</v>
      </c>
      <c r="AD39" s="173" t="str">
        <f ca="1">IFERROR(__xludf.DUMMYFUNCTION("""COMPUTED_VALUE"""),"2025-06")</f>
        <v>2025-06</v>
      </c>
      <c r="AE39" s="154" t="str">
        <v/>
      </c>
      <c r="AF39" s="154" t="str">
        <v/>
      </c>
    </row>
    <row r="40" spans="1:32" ht="15">
      <c r="A40" s="175">
        <v>45812</v>
      </c>
      <c r="B40" s="145" t="s">
        <v>61</v>
      </c>
      <c r="C40" s="169">
        <v>0</v>
      </c>
      <c r="D40" s="145"/>
      <c r="E40" s="145">
        <v>1</v>
      </c>
      <c r="F40" s="169" t="e">
        <v>#VALUE!</v>
      </c>
      <c r="G40" s="145"/>
      <c r="H40" s="145"/>
      <c r="I40" s="145"/>
      <c r="J40" s="145"/>
      <c r="K40" s="145"/>
      <c r="L40" s="145">
        <v>1</v>
      </c>
      <c r="M40" s="145"/>
      <c r="N40" s="145"/>
      <c r="O40" s="174"/>
      <c r="P40" s="174"/>
      <c r="Q40" s="158" t="str">
        <v/>
      </c>
      <c r="R40" s="158" t="str">
        <v/>
      </c>
      <c r="S40" s="158" t="str">
        <v/>
      </c>
      <c r="T40" s="158" t="str">
        <v/>
      </c>
      <c r="U40" s="158" t="str">
        <v/>
      </c>
      <c r="V40" s="158">
        <v>197000</v>
      </c>
      <c r="W40" s="158" t="str">
        <v/>
      </c>
      <c r="X40" s="158" t="str">
        <v/>
      </c>
      <c r="Y40" s="158" t="str">
        <v/>
      </c>
      <c r="Z40" s="158" t="str">
        <v/>
      </c>
      <c r="AA40" s="158" t="e">
        <v>#VALUE!</v>
      </c>
      <c r="AB40" s="171">
        <v>0.01</v>
      </c>
      <c r="AC40" s="158">
        <v>0</v>
      </c>
      <c r="AD40" s="173" t="str">
        <f ca="1">IFERROR(__xludf.DUMMYFUNCTION("""COMPUTED_VALUE"""),"2025-06")</f>
        <v>2025-06</v>
      </c>
      <c r="AE40" s="154">
        <v>0</v>
      </c>
      <c r="AF40" s="154">
        <v>0</v>
      </c>
    </row>
    <row r="41" spans="1:32" ht="15">
      <c r="A41" s="175">
        <v>45813</v>
      </c>
      <c r="B41" s="145" t="s">
        <v>12895</v>
      </c>
      <c r="C41" s="169">
        <v>36055</v>
      </c>
      <c r="D41" s="145">
        <v>16</v>
      </c>
      <c r="E41" s="145"/>
      <c r="F41" s="169" t="e">
        <v>#VALUE!</v>
      </c>
      <c r="G41" s="145"/>
      <c r="H41" s="145"/>
      <c r="I41" s="145"/>
      <c r="J41" s="145"/>
      <c r="K41" s="145"/>
      <c r="L41" s="145"/>
      <c r="M41" s="145"/>
      <c r="N41" s="145"/>
      <c r="O41" s="174"/>
      <c r="P41" s="174"/>
      <c r="Q41" s="158" t="str">
        <v/>
      </c>
      <c r="R41" s="158" t="str">
        <v/>
      </c>
      <c r="S41" s="158" t="str">
        <v/>
      </c>
      <c r="T41" s="158" t="str">
        <v/>
      </c>
      <c r="U41" s="158" t="str">
        <v/>
      </c>
      <c r="V41" s="158" t="str">
        <v/>
      </c>
      <c r="W41" s="158" t="str">
        <v/>
      </c>
      <c r="X41" s="158" t="str">
        <v/>
      </c>
      <c r="Y41" s="158" t="str">
        <v/>
      </c>
      <c r="Z41" s="158" t="str">
        <v/>
      </c>
      <c r="AA41" s="158" t="e">
        <v>#VALUE!</v>
      </c>
      <c r="AB41" s="171" t="str">
        <v/>
      </c>
      <c r="AC41" s="158">
        <v>2253.4375</v>
      </c>
      <c r="AD41" s="173" t="str">
        <f ca="1">IFERROR(__xludf.DUMMYFUNCTION("""COMPUTED_VALUE"""),"2025-06")</f>
        <v>2025-06</v>
      </c>
      <c r="AE41" s="154" t="str">
        <v/>
      </c>
      <c r="AF41" s="154" t="str">
        <v/>
      </c>
    </row>
    <row r="42" spans="1:32" ht="15">
      <c r="A42" s="175">
        <v>45813</v>
      </c>
      <c r="B42" s="145" t="s">
        <v>115</v>
      </c>
      <c r="C42" s="169">
        <v>125350</v>
      </c>
      <c r="D42" s="145">
        <v>50</v>
      </c>
      <c r="E42" s="145">
        <v>2</v>
      </c>
      <c r="F42" s="169" t="e">
        <v>#VALUE!</v>
      </c>
      <c r="G42" s="145">
        <v>1</v>
      </c>
      <c r="H42" s="145">
        <v>1</v>
      </c>
      <c r="I42" s="145"/>
      <c r="J42" s="145"/>
      <c r="K42" s="145"/>
      <c r="L42" s="145"/>
      <c r="M42" s="145"/>
      <c r="N42" s="145"/>
      <c r="O42" s="174"/>
      <c r="P42" s="174"/>
      <c r="Q42" s="158">
        <v>197000</v>
      </c>
      <c r="R42" s="158">
        <v>297000</v>
      </c>
      <c r="S42" s="158" t="str">
        <v/>
      </c>
      <c r="T42" s="158" t="str">
        <v/>
      </c>
      <c r="U42" s="158" t="str">
        <v/>
      </c>
      <c r="V42" s="158" t="str">
        <v/>
      </c>
      <c r="W42" s="158" t="str">
        <v/>
      </c>
      <c r="X42" s="158" t="str">
        <v/>
      </c>
      <c r="Y42" s="158" t="str">
        <v/>
      </c>
      <c r="Z42" s="158" t="str">
        <v/>
      </c>
      <c r="AA42" s="158" t="e">
        <v>#VALUE!</v>
      </c>
      <c r="AB42" s="171">
        <v>0.02</v>
      </c>
      <c r="AC42" s="158">
        <v>2507</v>
      </c>
      <c r="AD42" s="173" t="str">
        <f ca="1">IFERROR(__xludf.DUMMYFUNCTION("""COMPUTED_VALUE"""),"2025-06")</f>
        <v>2025-06</v>
      </c>
      <c r="AE42" s="154">
        <v>0</v>
      </c>
      <c r="AF42" s="154">
        <v>0</v>
      </c>
    </row>
    <row r="43" spans="1:32" ht="15">
      <c r="A43" s="175">
        <v>45813</v>
      </c>
      <c r="B43" s="145" t="s">
        <v>61</v>
      </c>
      <c r="C43" s="169">
        <v>59725</v>
      </c>
      <c r="D43" s="145">
        <v>25</v>
      </c>
      <c r="E43" s="145">
        <v>1</v>
      </c>
      <c r="F43" s="169" t="e">
        <v>#VALUE!</v>
      </c>
      <c r="G43" s="145">
        <v>1</v>
      </c>
      <c r="H43" s="145"/>
      <c r="I43" s="145"/>
      <c r="J43" s="145"/>
      <c r="K43" s="145"/>
      <c r="L43" s="145"/>
      <c r="M43" s="145"/>
      <c r="N43" s="145"/>
      <c r="O43" s="174"/>
      <c r="P43" s="174"/>
      <c r="Q43" s="158">
        <v>197000</v>
      </c>
      <c r="R43" s="158" t="str">
        <v/>
      </c>
      <c r="S43" s="158" t="str">
        <v/>
      </c>
      <c r="T43" s="158" t="str">
        <v/>
      </c>
      <c r="U43" s="158" t="str">
        <v/>
      </c>
      <c r="V43" s="158" t="str">
        <v/>
      </c>
      <c r="W43" s="158" t="str">
        <v/>
      </c>
      <c r="X43" s="158" t="str">
        <v/>
      </c>
      <c r="Y43" s="158" t="str">
        <v/>
      </c>
      <c r="Z43" s="158" t="str">
        <v/>
      </c>
      <c r="AA43" s="158" t="e">
        <v>#VALUE!</v>
      </c>
      <c r="AB43" s="171">
        <v>0.01</v>
      </c>
      <c r="AC43" s="158">
        <v>2389</v>
      </c>
      <c r="AD43" s="173" t="str">
        <f ca="1">IFERROR(__xludf.DUMMYFUNCTION("""COMPUTED_VALUE"""),"2025-06")</f>
        <v>2025-06</v>
      </c>
      <c r="AE43" s="154">
        <v>0</v>
      </c>
      <c r="AF43" s="154">
        <v>0</v>
      </c>
    </row>
    <row r="44" spans="1:32" ht="15">
      <c r="A44" s="175">
        <v>45813</v>
      </c>
      <c r="B44" s="145" t="s">
        <v>49</v>
      </c>
      <c r="C44" s="169">
        <v>0</v>
      </c>
      <c r="D44" s="145"/>
      <c r="E44" s="145">
        <v>1</v>
      </c>
      <c r="F44" s="169" t="e">
        <v>#VALUE!</v>
      </c>
      <c r="G44" s="145">
        <v>1</v>
      </c>
      <c r="H44" s="145"/>
      <c r="I44" s="145"/>
      <c r="J44" s="145"/>
      <c r="K44" s="145"/>
      <c r="L44" s="145"/>
      <c r="M44" s="145"/>
      <c r="N44" s="145"/>
      <c r="O44" s="174"/>
      <c r="P44" s="174"/>
      <c r="Q44" s="158">
        <v>197000</v>
      </c>
      <c r="R44" s="158" t="str">
        <v/>
      </c>
      <c r="S44" s="158" t="str">
        <v/>
      </c>
      <c r="T44" s="158" t="str">
        <v/>
      </c>
      <c r="U44" s="158" t="str">
        <v/>
      </c>
      <c r="V44" s="158" t="str">
        <v/>
      </c>
      <c r="W44" s="158" t="str">
        <v/>
      </c>
      <c r="X44" s="158" t="str">
        <v/>
      </c>
      <c r="Y44" s="158" t="str">
        <v/>
      </c>
      <c r="Z44" s="158" t="str">
        <v/>
      </c>
      <c r="AA44" s="158" t="e">
        <v>#VALUE!</v>
      </c>
      <c r="AB44" s="171">
        <v>0.01</v>
      </c>
      <c r="AC44" s="158">
        <v>0</v>
      </c>
      <c r="AD44" s="173" t="str">
        <f ca="1">IFERROR(__xludf.DUMMYFUNCTION("""COMPUTED_VALUE"""),"2025-06")</f>
        <v>2025-06</v>
      </c>
      <c r="AE44" s="154">
        <v>0</v>
      </c>
      <c r="AF44" s="154">
        <v>0</v>
      </c>
    </row>
    <row r="45" spans="1:32" ht="15">
      <c r="A45" s="175">
        <v>45815</v>
      </c>
      <c r="B45" s="145" t="s">
        <v>12895</v>
      </c>
      <c r="C45" s="169">
        <v>17020</v>
      </c>
      <c r="D45" s="145">
        <v>3</v>
      </c>
      <c r="E45" s="145"/>
      <c r="F45" s="169" t="e">
        <v>#VALUE!</v>
      </c>
      <c r="G45" s="145"/>
      <c r="H45" s="145"/>
      <c r="I45" s="145"/>
      <c r="J45" s="145"/>
      <c r="K45" s="145"/>
      <c r="L45" s="145"/>
      <c r="M45" s="145"/>
      <c r="N45" s="145"/>
      <c r="O45" s="174"/>
      <c r="P45" s="174"/>
      <c r="Q45" s="158" t="str">
        <v/>
      </c>
      <c r="R45" s="158" t="str">
        <v/>
      </c>
      <c r="S45" s="158" t="str">
        <v/>
      </c>
      <c r="T45" s="158" t="str">
        <v/>
      </c>
      <c r="U45" s="158" t="str">
        <v/>
      </c>
      <c r="V45" s="158" t="str">
        <v/>
      </c>
      <c r="W45" s="158" t="str">
        <v/>
      </c>
      <c r="X45" s="158" t="str">
        <v/>
      </c>
      <c r="Y45" s="158" t="str">
        <v/>
      </c>
      <c r="Z45" s="158" t="str">
        <v/>
      </c>
      <c r="AA45" s="158" t="e">
        <v>#VALUE!</v>
      </c>
      <c r="AB45" s="171" t="str">
        <v/>
      </c>
      <c r="AC45" s="158">
        <v>5673.333333333333</v>
      </c>
      <c r="AD45" s="173" t="str">
        <f ca="1">IFERROR(__xludf.DUMMYFUNCTION("""COMPUTED_VALUE"""),"2025-06")</f>
        <v>2025-06</v>
      </c>
      <c r="AE45" s="154" t="str">
        <v/>
      </c>
      <c r="AF45" s="154" t="str">
        <v/>
      </c>
    </row>
    <row r="46" spans="1:32" ht="15">
      <c r="A46" s="175">
        <v>45815</v>
      </c>
      <c r="B46" s="145" t="s">
        <v>115</v>
      </c>
      <c r="C46" s="169">
        <v>92220</v>
      </c>
      <c r="D46" s="145">
        <v>20</v>
      </c>
      <c r="E46" s="145"/>
      <c r="F46" s="169" t="e">
        <v>#VALUE!</v>
      </c>
      <c r="G46" s="145"/>
      <c r="H46" s="145"/>
      <c r="I46" s="145"/>
      <c r="J46" s="145"/>
      <c r="K46" s="145"/>
      <c r="L46" s="145"/>
      <c r="M46" s="145"/>
      <c r="N46" s="145"/>
      <c r="O46" s="174"/>
      <c r="P46" s="174"/>
      <c r="Q46" s="158" t="str">
        <v/>
      </c>
      <c r="R46" s="158" t="str">
        <v/>
      </c>
      <c r="S46" s="158" t="str">
        <v/>
      </c>
      <c r="T46" s="158" t="str">
        <v/>
      </c>
      <c r="U46" s="158" t="str">
        <v/>
      </c>
      <c r="V46" s="158" t="str">
        <v/>
      </c>
      <c r="W46" s="158" t="str">
        <v/>
      </c>
      <c r="X46" s="158" t="str">
        <v/>
      </c>
      <c r="Y46" s="158" t="str">
        <v/>
      </c>
      <c r="Z46" s="158" t="str">
        <v/>
      </c>
      <c r="AA46" s="158" t="e">
        <v>#VALUE!</v>
      </c>
      <c r="AB46" s="171" t="str">
        <v/>
      </c>
      <c r="AC46" s="158">
        <v>4611</v>
      </c>
      <c r="AD46" s="173" t="str">
        <f ca="1">IFERROR(__xludf.DUMMYFUNCTION("""COMPUTED_VALUE"""),"2025-06")</f>
        <v>2025-06</v>
      </c>
      <c r="AE46" s="154" t="str">
        <v/>
      </c>
      <c r="AF46" s="154" t="str">
        <v/>
      </c>
    </row>
    <row r="47" spans="1:32" ht="15">
      <c r="A47" s="175">
        <v>45815</v>
      </c>
      <c r="B47" s="145" t="s">
        <v>61</v>
      </c>
      <c r="C47" s="169">
        <v>55997</v>
      </c>
      <c r="D47" s="145">
        <v>21</v>
      </c>
      <c r="E47" s="145">
        <v>3</v>
      </c>
      <c r="F47" s="169" t="e">
        <v>#VALUE!</v>
      </c>
      <c r="G47" s="145">
        <v>1</v>
      </c>
      <c r="H47" s="145">
        <v>1</v>
      </c>
      <c r="I47" s="145"/>
      <c r="J47" s="145"/>
      <c r="K47" s="145"/>
      <c r="L47" s="145"/>
      <c r="M47" s="145">
        <v>2</v>
      </c>
      <c r="N47" s="145"/>
      <c r="O47" s="174"/>
      <c r="P47" s="174"/>
      <c r="Q47" s="158">
        <v>197000</v>
      </c>
      <c r="R47" s="158">
        <v>297000</v>
      </c>
      <c r="S47" s="158" t="str">
        <v/>
      </c>
      <c r="T47" s="158" t="str">
        <v/>
      </c>
      <c r="U47" s="158" t="str">
        <v/>
      </c>
      <c r="V47" s="158" t="str">
        <v/>
      </c>
      <c r="W47" s="158">
        <v>594000</v>
      </c>
      <c r="X47" s="158" t="str">
        <v/>
      </c>
      <c r="Y47" s="158" t="str">
        <v/>
      </c>
      <c r="Z47" s="158" t="str">
        <v/>
      </c>
      <c r="AA47" s="158" t="e">
        <v>#VALUE!</v>
      </c>
      <c r="AB47" s="171">
        <v>0.03</v>
      </c>
      <c r="AC47" s="158">
        <v>2666.5238095238096</v>
      </c>
      <c r="AD47" s="173" t="str">
        <f ca="1">IFERROR(__xludf.DUMMYFUNCTION("""COMPUTED_VALUE"""),"2025-06")</f>
        <v>2025-06</v>
      </c>
      <c r="AE47" s="154">
        <v>0</v>
      </c>
      <c r="AF47" s="154">
        <v>0</v>
      </c>
    </row>
    <row r="48" spans="1:32" ht="15">
      <c r="A48" s="175">
        <v>45815</v>
      </c>
      <c r="B48" s="145" t="s">
        <v>49</v>
      </c>
      <c r="C48" s="169">
        <v>0</v>
      </c>
      <c r="D48" s="145"/>
      <c r="E48" s="145">
        <v>2</v>
      </c>
      <c r="F48" s="169" t="e">
        <v>#VALUE!</v>
      </c>
      <c r="G48" s="145"/>
      <c r="H48" s="145">
        <v>1</v>
      </c>
      <c r="I48" s="145"/>
      <c r="J48" s="145">
        <v>1</v>
      </c>
      <c r="K48" s="145"/>
      <c r="L48" s="145"/>
      <c r="M48" s="145"/>
      <c r="N48" s="145"/>
      <c r="O48" s="174"/>
      <c r="P48" s="174"/>
      <c r="Q48" s="158" t="str">
        <v/>
      </c>
      <c r="R48" s="158">
        <v>297000</v>
      </c>
      <c r="S48" s="158" t="str">
        <v/>
      </c>
      <c r="T48" s="158">
        <v>550000</v>
      </c>
      <c r="U48" s="158" t="str">
        <v/>
      </c>
      <c r="V48" s="158" t="str">
        <v/>
      </c>
      <c r="W48" s="158" t="str">
        <v/>
      </c>
      <c r="X48" s="158" t="str">
        <v/>
      </c>
      <c r="Y48" s="158" t="str">
        <v/>
      </c>
      <c r="Z48" s="158" t="str">
        <v/>
      </c>
      <c r="AA48" s="158" t="e">
        <v>#VALUE!</v>
      </c>
      <c r="AB48" s="171">
        <v>0.02</v>
      </c>
      <c r="AC48" s="158">
        <v>0</v>
      </c>
      <c r="AD48" s="173" t="str">
        <f ca="1">IFERROR(__xludf.DUMMYFUNCTION("""COMPUTED_VALUE"""),"2025-06")</f>
        <v>2025-06</v>
      </c>
      <c r="AE48" s="154">
        <v>0</v>
      </c>
      <c r="AF48" s="154">
        <v>0</v>
      </c>
    </row>
    <row r="49" spans="1:32" ht="15">
      <c r="A49" s="175">
        <v>45816</v>
      </c>
      <c r="B49" s="145" t="s">
        <v>12895</v>
      </c>
      <c r="C49" s="169">
        <v>51350</v>
      </c>
      <c r="D49" s="145">
        <v>13</v>
      </c>
      <c r="E49" s="145"/>
      <c r="F49" s="169" t="e">
        <v>#VALUE!</v>
      </c>
      <c r="G49" s="145"/>
      <c r="H49" s="145"/>
      <c r="I49" s="145"/>
      <c r="J49" s="145"/>
      <c r="K49" s="145"/>
      <c r="L49" s="145"/>
      <c r="M49" s="145"/>
      <c r="N49" s="145"/>
      <c r="O49" s="174"/>
      <c r="P49" s="174"/>
      <c r="Q49" s="158" t="str">
        <v/>
      </c>
      <c r="R49" s="158" t="str">
        <v/>
      </c>
      <c r="S49" s="158" t="str">
        <v/>
      </c>
      <c r="T49" s="158" t="str">
        <v/>
      </c>
      <c r="U49" s="158" t="str">
        <v/>
      </c>
      <c r="V49" s="158" t="str">
        <v/>
      </c>
      <c r="W49" s="158" t="str">
        <v/>
      </c>
      <c r="X49" s="158" t="str">
        <v/>
      </c>
      <c r="Y49" s="158" t="str">
        <v/>
      </c>
      <c r="Z49" s="158" t="str">
        <v/>
      </c>
      <c r="AA49" s="158" t="e">
        <v>#VALUE!</v>
      </c>
      <c r="AB49" s="171" t="str">
        <v/>
      </c>
      <c r="AC49" s="158">
        <v>3950</v>
      </c>
      <c r="AD49" s="173" t="str">
        <f ca="1">IFERROR(__xludf.DUMMYFUNCTION("""COMPUTED_VALUE"""),"2025-06")</f>
        <v>2025-06</v>
      </c>
      <c r="AE49" s="154" t="str">
        <v/>
      </c>
      <c r="AF49" s="154" t="str">
        <v/>
      </c>
    </row>
    <row r="50" spans="1:32" ht="15">
      <c r="A50" s="175">
        <v>45816</v>
      </c>
      <c r="B50" s="145" t="s">
        <v>115</v>
      </c>
      <c r="C50" s="169">
        <v>80366</v>
      </c>
      <c r="D50" s="145">
        <v>17</v>
      </c>
      <c r="E50" s="145">
        <v>1</v>
      </c>
      <c r="F50" s="169" t="e">
        <v>#VALUE!</v>
      </c>
      <c r="G50" s="145">
        <v>1</v>
      </c>
      <c r="H50" s="145"/>
      <c r="I50" s="145"/>
      <c r="J50" s="145"/>
      <c r="K50" s="145"/>
      <c r="L50" s="145"/>
      <c r="M50" s="145"/>
      <c r="N50" s="145"/>
      <c r="O50" s="174"/>
      <c r="P50" s="174"/>
      <c r="Q50" s="158">
        <v>197000</v>
      </c>
      <c r="R50" s="158" t="str">
        <v/>
      </c>
      <c r="S50" s="158" t="str">
        <v/>
      </c>
      <c r="T50" s="158" t="str">
        <v/>
      </c>
      <c r="U50" s="158" t="str">
        <v/>
      </c>
      <c r="V50" s="158" t="str">
        <v/>
      </c>
      <c r="W50" s="158" t="str">
        <v/>
      </c>
      <c r="X50" s="158" t="str">
        <v/>
      </c>
      <c r="Y50" s="158" t="str">
        <v/>
      </c>
      <c r="Z50" s="158" t="str">
        <v/>
      </c>
      <c r="AA50" s="158" t="e">
        <v>#VALUE!</v>
      </c>
      <c r="AB50" s="171">
        <v>0.01</v>
      </c>
      <c r="AC50" s="158">
        <v>4727.411764705882</v>
      </c>
      <c r="AD50" s="173" t="str">
        <f ca="1">IFERROR(__xludf.DUMMYFUNCTION("""COMPUTED_VALUE"""),"2025-06")</f>
        <v>2025-06</v>
      </c>
      <c r="AE50" s="154">
        <v>0</v>
      </c>
      <c r="AF50" s="154">
        <v>0</v>
      </c>
    </row>
    <row r="51" spans="1:32" ht="15">
      <c r="A51" s="175">
        <v>45816</v>
      </c>
      <c r="B51" s="145" t="s">
        <v>49</v>
      </c>
      <c r="C51" s="169">
        <v>241134</v>
      </c>
      <c r="D51" s="145">
        <v>66</v>
      </c>
      <c r="E51" s="145"/>
      <c r="F51" s="169" t="e">
        <v>#VALUE!</v>
      </c>
      <c r="G51" s="145"/>
      <c r="H51" s="145"/>
      <c r="I51" s="145"/>
      <c r="J51" s="145"/>
      <c r="K51" s="145"/>
      <c r="L51" s="145"/>
      <c r="M51" s="145"/>
      <c r="N51" s="145"/>
      <c r="O51" s="174"/>
      <c r="P51" s="174"/>
      <c r="Q51" s="158" t="str">
        <v/>
      </c>
      <c r="R51" s="158" t="str">
        <v/>
      </c>
      <c r="S51" s="158" t="str">
        <v/>
      </c>
      <c r="T51" s="158" t="str">
        <v/>
      </c>
      <c r="U51" s="158" t="str">
        <v/>
      </c>
      <c r="V51" s="158" t="str">
        <v/>
      </c>
      <c r="W51" s="158" t="str">
        <v/>
      </c>
      <c r="X51" s="158" t="str">
        <v/>
      </c>
      <c r="Y51" s="158" t="str">
        <v/>
      </c>
      <c r="Z51" s="158" t="str">
        <v/>
      </c>
      <c r="AA51" s="158" t="e">
        <v>#VALUE!</v>
      </c>
      <c r="AB51" s="171" t="str">
        <v/>
      </c>
      <c r="AC51" s="158">
        <v>3653.5454545454545</v>
      </c>
      <c r="AD51" s="173" t="str">
        <f ca="1">IFERROR(__xludf.DUMMYFUNCTION("""COMPUTED_VALUE"""),"2025-06")</f>
        <v>2025-06</v>
      </c>
      <c r="AE51" s="154" t="str">
        <v/>
      </c>
      <c r="AF51" s="154" t="str">
        <v/>
      </c>
    </row>
    <row r="52" spans="1:32" ht="15">
      <c r="A52" s="175">
        <v>45817</v>
      </c>
      <c r="B52" s="145" t="s">
        <v>12895</v>
      </c>
      <c r="C52" s="169">
        <v>4797</v>
      </c>
      <c r="D52" s="145">
        <v>0</v>
      </c>
      <c r="E52" s="145"/>
      <c r="F52" s="169" t="e">
        <v>#VALUE!</v>
      </c>
      <c r="G52" s="145"/>
      <c r="H52" s="145"/>
      <c r="I52" s="145"/>
      <c r="J52" s="145"/>
      <c r="K52" s="145"/>
      <c r="L52" s="145"/>
      <c r="M52" s="145"/>
      <c r="N52" s="145"/>
      <c r="O52" s="174"/>
      <c r="P52" s="174"/>
      <c r="Q52" s="158" t="str">
        <v/>
      </c>
      <c r="R52" s="158" t="str">
        <v/>
      </c>
      <c r="S52" s="158" t="str">
        <v/>
      </c>
      <c r="T52" s="158" t="str">
        <v/>
      </c>
      <c r="U52" s="158" t="str">
        <v/>
      </c>
      <c r="V52" s="158" t="str">
        <v/>
      </c>
      <c r="W52" s="158" t="str">
        <v/>
      </c>
      <c r="X52" s="158" t="str">
        <v/>
      </c>
      <c r="Y52" s="158" t="str">
        <v/>
      </c>
      <c r="Z52" s="158" t="str">
        <v/>
      </c>
      <c r="AA52" s="158" t="e">
        <v>#VALUE!</v>
      </c>
      <c r="AB52" s="171" t="str">
        <v/>
      </c>
      <c r="AC52" s="158" t="str">
        <v/>
      </c>
      <c r="AD52" s="173" t="str">
        <f ca="1">IFERROR(__xludf.DUMMYFUNCTION("""COMPUTED_VALUE"""),"2025-06")</f>
        <v>2025-06</v>
      </c>
      <c r="AE52" s="154" t="str">
        <v/>
      </c>
      <c r="AF52" s="154" t="str">
        <v/>
      </c>
    </row>
    <row r="53" spans="1:32" ht="15">
      <c r="A53" s="175">
        <v>45817</v>
      </c>
      <c r="B53" s="145" t="s">
        <v>115</v>
      </c>
      <c r="C53" s="169">
        <v>167141</v>
      </c>
      <c r="D53" s="145">
        <v>62</v>
      </c>
      <c r="E53" s="145">
        <v>1</v>
      </c>
      <c r="F53" s="169" t="e">
        <v>#VALUE!</v>
      </c>
      <c r="G53" s="145">
        <v>1</v>
      </c>
      <c r="H53" s="145"/>
      <c r="I53" s="145"/>
      <c r="J53" s="145"/>
      <c r="K53" s="145"/>
      <c r="L53" s="145"/>
      <c r="M53" s="145"/>
      <c r="N53" s="145"/>
      <c r="O53" s="174"/>
      <c r="P53" s="174"/>
      <c r="Q53" s="158">
        <v>197000</v>
      </c>
      <c r="R53" s="158" t="str">
        <v/>
      </c>
      <c r="S53" s="158" t="str">
        <v/>
      </c>
      <c r="T53" s="158" t="str">
        <v/>
      </c>
      <c r="U53" s="158" t="str">
        <v/>
      </c>
      <c r="V53" s="158" t="str">
        <v/>
      </c>
      <c r="W53" s="158" t="str">
        <v/>
      </c>
      <c r="X53" s="158" t="str">
        <v/>
      </c>
      <c r="Y53" s="158" t="str">
        <v/>
      </c>
      <c r="Z53" s="158" t="str">
        <v/>
      </c>
      <c r="AA53" s="158" t="e">
        <v>#VALUE!</v>
      </c>
      <c r="AB53" s="171">
        <v>0.01</v>
      </c>
      <c r="AC53" s="158">
        <v>2695.8225806451615</v>
      </c>
      <c r="AD53" s="173" t="str">
        <f ca="1">IFERROR(__xludf.DUMMYFUNCTION("""COMPUTED_VALUE"""),"2025-06")</f>
        <v>2025-06</v>
      </c>
      <c r="AE53" s="154">
        <v>0</v>
      </c>
      <c r="AF53" s="154">
        <v>0</v>
      </c>
    </row>
    <row r="54" spans="1:32" ht="15">
      <c r="A54" s="175">
        <v>45817</v>
      </c>
      <c r="B54" s="145" t="s">
        <v>61</v>
      </c>
      <c r="C54" s="169">
        <v>155669</v>
      </c>
      <c r="D54" s="145">
        <v>39</v>
      </c>
      <c r="E54" s="145">
        <v>3</v>
      </c>
      <c r="F54" s="169" t="e">
        <v>#VALUE!</v>
      </c>
      <c r="G54" s="145">
        <v>2</v>
      </c>
      <c r="H54" s="145">
        <v>1</v>
      </c>
      <c r="I54" s="145"/>
      <c r="J54" s="145"/>
      <c r="K54" s="145"/>
      <c r="L54" s="145"/>
      <c r="M54" s="145"/>
      <c r="N54" s="145"/>
      <c r="O54" s="174"/>
      <c r="P54" s="174"/>
      <c r="Q54" s="158">
        <v>394000</v>
      </c>
      <c r="R54" s="158">
        <v>297000</v>
      </c>
      <c r="S54" s="158" t="str">
        <v/>
      </c>
      <c r="T54" s="158" t="str">
        <v/>
      </c>
      <c r="U54" s="158" t="str">
        <v/>
      </c>
      <c r="V54" s="158" t="str">
        <v/>
      </c>
      <c r="W54" s="158" t="str">
        <v/>
      </c>
      <c r="X54" s="158" t="str">
        <v/>
      </c>
      <c r="Y54" s="158" t="str">
        <v/>
      </c>
      <c r="Z54" s="158" t="str">
        <v/>
      </c>
      <c r="AA54" s="158" t="e">
        <v>#VALUE!</v>
      </c>
      <c r="AB54" s="171">
        <v>0.03</v>
      </c>
      <c r="AC54" s="158">
        <v>3991.5128205128203</v>
      </c>
      <c r="AD54" s="173" t="str">
        <f ca="1">IFERROR(__xludf.DUMMYFUNCTION("""COMPUTED_VALUE"""),"2025-06")</f>
        <v>2025-06</v>
      </c>
      <c r="AE54" s="154">
        <v>0</v>
      </c>
      <c r="AF54" s="154">
        <v>0</v>
      </c>
    </row>
    <row r="55" spans="1:32" ht="15">
      <c r="A55" s="175">
        <v>45817</v>
      </c>
      <c r="B55" s="145" t="s">
        <v>49</v>
      </c>
      <c r="C55" s="169">
        <v>253621</v>
      </c>
      <c r="D55" s="145">
        <v>74</v>
      </c>
      <c r="E55" s="145"/>
      <c r="F55" s="169" t="e">
        <v>#VALUE!</v>
      </c>
      <c r="G55" s="145"/>
      <c r="H55" s="145"/>
      <c r="I55" s="145"/>
      <c r="J55" s="145"/>
      <c r="K55" s="145"/>
      <c r="L55" s="145"/>
      <c r="M55" s="145"/>
      <c r="N55" s="145"/>
      <c r="O55" s="174"/>
      <c r="P55" s="174"/>
      <c r="Q55" s="158" t="str">
        <v/>
      </c>
      <c r="R55" s="158" t="str">
        <v/>
      </c>
      <c r="S55" s="158" t="str">
        <v/>
      </c>
      <c r="T55" s="158" t="str">
        <v/>
      </c>
      <c r="U55" s="158" t="str">
        <v/>
      </c>
      <c r="V55" s="158" t="str">
        <v/>
      </c>
      <c r="W55" s="158" t="str">
        <v/>
      </c>
      <c r="X55" s="158" t="str">
        <v/>
      </c>
      <c r="Y55" s="158" t="str">
        <v/>
      </c>
      <c r="Z55" s="158" t="str">
        <v/>
      </c>
      <c r="AA55" s="158" t="e">
        <v>#VALUE!</v>
      </c>
      <c r="AB55" s="171" t="str">
        <v/>
      </c>
      <c r="AC55" s="158">
        <v>3427.3108108108108</v>
      </c>
      <c r="AD55" s="173" t="str">
        <f ca="1">IFERROR(__xludf.DUMMYFUNCTION("""COMPUTED_VALUE"""),"2025-06")</f>
        <v>2025-06</v>
      </c>
      <c r="AE55" s="154" t="str">
        <v/>
      </c>
      <c r="AF55" s="154" t="str">
        <v/>
      </c>
    </row>
    <row r="56" spans="1:32" ht="15">
      <c r="A56" s="176">
        <v>45818</v>
      </c>
      <c r="B56" s="145" t="s">
        <v>115</v>
      </c>
      <c r="C56" s="169">
        <v>172480</v>
      </c>
      <c r="D56" s="145">
        <v>55</v>
      </c>
      <c r="E56" s="145">
        <v>1</v>
      </c>
      <c r="F56" s="169" t="e">
        <v>#VALUE!</v>
      </c>
      <c r="G56" s="145"/>
      <c r="H56" s="145">
        <v>1</v>
      </c>
      <c r="I56" s="145"/>
      <c r="J56" s="145"/>
      <c r="K56" s="145"/>
      <c r="L56" s="145"/>
      <c r="M56" s="145"/>
      <c r="N56" s="145"/>
      <c r="O56" s="174"/>
      <c r="P56" s="174"/>
      <c r="Q56" s="158" t="str">
        <v/>
      </c>
      <c r="R56" s="158">
        <v>297000</v>
      </c>
      <c r="S56" s="158" t="str">
        <v/>
      </c>
      <c r="T56" s="158" t="str">
        <v/>
      </c>
      <c r="U56" s="158" t="str">
        <v/>
      </c>
      <c r="V56" s="158" t="str">
        <v/>
      </c>
      <c r="W56" s="158" t="str">
        <v/>
      </c>
      <c r="X56" s="158" t="str">
        <v/>
      </c>
      <c r="Y56" s="158" t="str">
        <v/>
      </c>
      <c r="Z56" s="158" t="str">
        <v/>
      </c>
      <c r="AA56" s="158" t="e">
        <v>#VALUE!</v>
      </c>
      <c r="AB56" s="171">
        <v>0.01</v>
      </c>
      <c r="AC56" s="158">
        <v>3136</v>
      </c>
      <c r="AD56" s="173" t="str">
        <f ca="1">IFERROR(__xludf.DUMMYFUNCTION("""COMPUTED_VALUE"""),"2025-06")</f>
        <v>2025-06</v>
      </c>
      <c r="AE56" s="154">
        <v>0</v>
      </c>
      <c r="AF56" s="154">
        <v>0</v>
      </c>
    </row>
    <row r="57" spans="1:32" ht="15">
      <c r="A57" s="176">
        <v>45818</v>
      </c>
      <c r="B57" s="145" t="s">
        <v>61</v>
      </c>
      <c r="C57" s="169">
        <v>237369</v>
      </c>
      <c r="D57" s="145">
        <v>60</v>
      </c>
      <c r="E57" s="145">
        <v>2</v>
      </c>
      <c r="F57" s="169" t="e">
        <v>#VALUE!</v>
      </c>
      <c r="G57" s="145"/>
      <c r="H57" s="145">
        <v>2</v>
      </c>
      <c r="I57" s="145"/>
      <c r="J57" s="145"/>
      <c r="K57" s="145"/>
      <c r="L57" s="145"/>
      <c r="M57" s="145"/>
      <c r="N57" s="145"/>
      <c r="O57" s="174"/>
      <c r="P57" s="174"/>
      <c r="Q57" s="158" t="str">
        <v/>
      </c>
      <c r="R57" s="158">
        <v>594000</v>
      </c>
      <c r="S57" s="158" t="str">
        <v/>
      </c>
      <c r="T57" s="158" t="str">
        <v/>
      </c>
      <c r="U57" s="158" t="str">
        <v/>
      </c>
      <c r="V57" s="158" t="str">
        <v/>
      </c>
      <c r="W57" s="158" t="str">
        <v/>
      </c>
      <c r="X57" s="158" t="str">
        <v/>
      </c>
      <c r="Y57" s="158" t="str">
        <v/>
      </c>
      <c r="Z57" s="158" t="str">
        <v/>
      </c>
      <c r="AA57" s="158" t="e">
        <v>#VALUE!</v>
      </c>
      <c r="AB57" s="171">
        <v>0.02</v>
      </c>
      <c r="AC57" s="158">
        <v>3956.15</v>
      </c>
      <c r="AD57" s="173" t="str">
        <f ca="1">IFERROR(__xludf.DUMMYFUNCTION("""COMPUTED_VALUE"""),"2025-06")</f>
        <v>2025-06</v>
      </c>
      <c r="AE57" s="154">
        <v>0</v>
      </c>
      <c r="AF57" s="154">
        <v>0</v>
      </c>
    </row>
    <row r="58" spans="1:32" ht="15">
      <c r="A58" s="176">
        <v>45818</v>
      </c>
      <c r="B58" s="145" t="s">
        <v>49</v>
      </c>
      <c r="C58" s="169">
        <v>105890</v>
      </c>
      <c r="D58" s="145">
        <v>16</v>
      </c>
      <c r="E58" s="145"/>
      <c r="F58" s="169" t="e">
        <v>#VALUE!</v>
      </c>
      <c r="G58" s="145"/>
      <c r="H58" s="145"/>
      <c r="I58" s="145"/>
      <c r="J58" s="145"/>
      <c r="K58" s="145"/>
      <c r="L58" s="145"/>
      <c r="M58" s="145"/>
      <c r="N58" s="145"/>
      <c r="O58" s="174"/>
      <c r="P58" s="174"/>
      <c r="Q58" s="158" t="str">
        <v/>
      </c>
      <c r="R58" s="158" t="str">
        <v/>
      </c>
      <c r="S58" s="158" t="str">
        <v/>
      </c>
      <c r="T58" s="158" t="str">
        <v/>
      </c>
      <c r="U58" s="158" t="str">
        <v/>
      </c>
      <c r="V58" s="158" t="str">
        <v/>
      </c>
      <c r="W58" s="158" t="str">
        <v/>
      </c>
      <c r="X58" s="158" t="str">
        <v/>
      </c>
      <c r="Y58" s="158" t="str">
        <v/>
      </c>
      <c r="Z58" s="158" t="str">
        <v/>
      </c>
      <c r="AA58" s="158" t="e">
        <v>#VALUE!</v>
      </c>
      <c r="AB58" s="171" t="str">
        <v/>
      </c>
      <c r="AC58" s="158">
        <v>6618.125</v>
      </c>
      <c r="AD58" s="173" t="str">
        <f ca="1">IFERROR(__xludf.DUMMYFUNCTION("""COMPUTED_VALUE"""),"2025-06")</f>
        <v>2025-06</v>
      </c>
      <c r="AE58" s="154" t="str">
        <v/>
      </c>
      <c r="AF58" s="154" t="str">
        <v/>
      </c>
    </row>
    <row r="59" spans="1:32" ht="15">
      <c r="A59" s="176">
        <v>45819</v>
      </c>
      <c r="B59" s="145" t="s">
        <v>752</v>
      </c>
      <c r="C59" s="169">
        <v>12411</v>
      </c>
      <c r="D59" s="145">
        <v>4</v>
      </c>
      <c r="E59" s="145"/>
      <c r="F59" s="169" t="e">
        <v>#VALUE!</v>
      </c>
      <c r="G59" s="145"/>
      <c r="H59" s="145"/>
      <c r="I59" s="145"/>
      <c r="J59" s="145"/>
      <c r="K59" s="145"/>
      <c r="L59" s="145"/>
      <c r="M59" s="145"/>
      <c r="N59" s="145"/>
      <c r="O59" s="174"/>
      <c r="P59" s="174"/>
      <c r="Q59" s="158" t="str">
        <v/>
      </c>
      <c r="R59" s="158" t="str">
        <v/>
      </c>
      <c r="S59" s="158" t="str">
        <v/>
      </c>
      <c r="T59" s="158" t="str">
        <v/>
      </c>
      <c r="U59" s="158" t="str">
        <v/>
      </c>
      <c r="V59" s="158" t="str">
        <v/>
      </c>
      <c r="W59" s="158" t="str">
        <v/>
      </c>
      <c r="X59" s="158" t="str">
        <v/>
      </c>
      <c r="Y59" s="158" t="str">
        <v/>
      </c>
      <c r="Z59" s="158" t="str">
        <v/>
      </c>
      <c r="AA59" s="158" t="e">
        <v>#VALUE!</v>
      </c>
      <c r="AB59" s="171" t="str">
        <v/>
      </c>
      <c r="AC59" s="158">
        <v>3102.75</v>
      </c>
      <c r="AD59" s="173" t="str">
        <f ca="1">IFERROR(__xludf.DUMMYFUNCTION("""COMPUTED_VALUE"""),"2025-06")</f>
        <v>2025-06</v>
      </c>
      <c r="AE59" s="154" t="str">
        <v/>
      </c>
      <c r="AF59" s="154" t="str">
        <v/>
      </c>
    </row>
    <row r="60" spans="1:32" ht="15">
      <c r="A60" s="176">
        <v>45819</v>
      </c>
      <c r="B60" s="145" t="s">
        <v>115</v>
      </c>
      <c r="C60" s="169">
        <v>115562</v>
      </c>
      <c r="D60" s="145">
        <v>42</v>
      </c>
      <c r="E60" s="145">
        <v>3</v>
      </c>
      <c r="F60" s="169" t="e">
        <v>#VALUE!</v>
      </c>
      <c r="G60" s="145">
        <v>3</v>
      </c>
      <c r="H60" s="145"/>
      <c r="I60" s="145"/>
      <c r="J60" s="145"/>
      <c r="K60" s="145"/>
      <c r="L60" s="145"/>
      <c r="M60" s="145"/>
      <c r="N60" s="145"/>
      <c r="O60" s="174"/>
      <c r="P60" s="174"/>
      <c r="Q60" s="158">
        <v>591000</v>
      </c>
      <c r="R60" s="158" t="str">
        <v/>
      </c>
      <c r="S60" s="158" t="str">
        <v/>
      </c>
      <c r="T60" s="158" t="str">
        <v/>
      </c>
      <c r="U60" s="158" t="str">
        <v/>
      </c>
      <c r="V60" s="158" t="str">
        <v/>
      </c>
      <c r="W60" s="158" t="str">
        <v/>
      </c>
      <c r="X60" s="158" t="str">
        <v/>
      </c>
      <c r="Y60" s="158" t="str">
        <v/>
      </c>
      <c r="Z60" s="158" t="str">
        <v/>
      </c>
      <c r="AA60" s="158" t="e">
        <v>#VALUE!</v>
      </c>
      <c r="AB60" s="171">
        <v>0.03</v>
      </c>
      <c r="AC60" s="158">
        <v>2751.4761904761904</v>
      </c>
      <c r="AD60" s="173" t="str">
        <f ca="1">IFERROR(__xludf.DUMMYFUNCTION("""COMPUTED_VALUE"""),"2025-06")</f>
        <v>2025-06</v>
      </c>
      <c r="AE60" s="154">
        <v>0</v>
      </c>
      <c r="AF60" s="154">
        <v>0</v>
      </c>
    </row>
    <row r="61" spans="1:32" ht="15">
      <c r="A61" s="176">
        <v>45819</v>
      </c>
      <c r="B61" s="145" t="s">
        <v>61</v>
      </c>
      <c r="C61" s="169">
        <v>178531</v>
      </c>
      <c r="D61" s="145">
        <v>59</v>
      </c>
      <c r="E61" s="145">
        <v>7</v>
      </c>
      <c r="F61" s="169" t="e">
        <v>#VALUE!</v>
      </c>
      <c r="G61" s="145">
        <v>6</v>
      </c>
      <c r="H61" s="145"/>
      <c r="I61" s="145"/>
      <c r="J61" s="145"/>
      <c r="K61" s="145"/>
      <c r="L61" s="145">
        <v>1</v>
      </c>
      <c r="M61" s="145"/>
      <c r="N61" s="145"/>
      <c r="O61" s="174"/>
      <c r="P61" s="174"/>
      <c r="Q61" s="158">
        <v>1182000</v>
      </c>
      <c r="R61" s="158" t="str">
        <v/>
      </c>
      <c r="S61" s="158" t="str">
        <v/>
      </c>
      <c r="T61" s="158" t="str">
        <v/>
      </c>
      <c r="U61" s="158" t="str">
        <v/>
      </c>
      <c r="V61" s="158">
        <v>197000</v>
      </c>
      <c r="W61" s="158" t="str">
        <v/>
      </c>
      <c r="X61" s="158" t="str">
        <v/>
      </c>
      <c r="Y61" s="158" t="str">
        <v/>
      </c>
      <c r="Z61" s="158" t="str">
        <v/>
      </c>
      <c r="AA61" s="158" t="e">
        <v>#VALUE!</v>
      </c>
      <c r="AB61" s="171">
        <v>7.0000000000000007E-2</v>
      </c>
      <c r="AC61" s="158">
        <v>3025.9491525423728</v>
      </c>
      <c r="AD61" s="173" t="str">
        <f ca="1">IFERROR(__xludf.DUMMYFUNCTION("""COMPUTED_VALUE"""),"2025-06")</f>
        <v>2025-06</v>
      </c>
      <c r="AE61" s="154">
        <v>0</v>
      </c>
      <c r="AF61" s="154">
        <v>0</v>
      </c>
    </row>
    <row r="62" spans="1:32" ht="15">
      <c r="A62" s="176">
        <v>45819</v>
      </c>
      <c r="B62" s="145" t="s">
        <v>49</v>
      </c>
      <c r="C62" s="169">
        <v>56805</v>
      </c>
      <c r="D62" s="145">
        <v>17</v>
      </c>
      <c r="E62" s="145">
        <v>1</v>
      </c>
      <c r="F62" s="169" t="e">
        <v>#VALUE!</v>
      </c>
      <c r="G62" s="145">
        <v>1</v>
      </c>
      <c r="H62" s="145"/>
      <c r="I62" s="145"/>
      <c r="J62" s="145"/>
      <c r="K62" s="145"/>
      <c r="L62" s="145"/>
      <c r="M62" s="145"/>
      <c r="N62" s="145"/>
      <c r="O62" s="174"/>
      <c r="P62" s="174"/>
      <c r="Q62" s="158">
        <v>197000</v>
      </c>
      <c r="R62" s="158" t="str">
        <v/>
      </c>
      <c r="S62" s="158" t="str">
        <v/>
      </c>
      <c r="T62" s="158" t="str">
        <v/>
      </c>
      <c r="U62" s="158" t="str">
        <v/>
      </c>
      <c r="V62" s="158" t="str">
        <v/>
      </c>
      <c r="W62" s="158" t="str">
        <v/>
      </c>
      <c r="X62" s="158" t="str">
        <v/>
      </c>
      <c r="Y62" s="158" t="str">
        <v/>
      </c>
      <c r="Z62" s="158" t="str">
        <v/>
      </c>
      <c r="AA62" s="158" t="e">
        <v>#VALUE!</v>
      </c>
      <c r="AB62" s="171">
        <v>0.01</v>
      </c>
      <c r="AC62" s="158">
        <v>3341.4705882352941</v>
      </c>
      <c r="AD62" s="173" t="str">
        <f ca="1">IFERROR(__xludf.DUMMYFUNCTION("""COMPUTED_VALUE"""),"2025-06")</f>
        <v>2025-06</v>
      </c>
      <c r="AE62" s="154">
        <v>0</v>
      </c>
      <c r="AF62" s="154">
        <v>0</v>
      </c>
    </row>
    <row r="63" spans="1:32" ht="15">
      <c r="A63" s="176">
        <v>45820</v>
      </c>
      <c r="B63" s="145" t="s">
        <v>752</v>
      </c>
      <c r="C63" s="169">
        <v>53607</v>
      </c>
      <c r="D63" s="145">
        <v>27</v>
      </c>
      <c r="E63" s="145">
        <v>1</v>
      </c>
      <c r="F63" s="169" t="e">
        <v>#VALUE!</v>
      </c>
      <c r="G63" s="145">
        <v>1</v>
      </c>
      <c r="H63" s="145"/>
      <c r="I63" s="145"/>
      <c r="J63" s="145"/>
      <c r="K63" s="145"/>
      <c r="L63" s="145"/>
      <c r="M63" s="145"/>
      <c r="N63" s="145"/>
      <c r="O63" s="174"/>
      <c r="P63" s="174"/>
      <c r="Q63" s="158">
        <v>197000</v>
      </c>
      <c r="R63" s="158" t="str">
        <v/>
      </c>
      <c r="S63" s="158" t="str">
        <v/>
      </c>
      <c r="T63" s="158" t="str">
        <v/>
      </c>
      <c r="U63" s="158" t="str">
        <v/>
      </c>
      <c r="V63" s="158" t="str">
        <v/>
      </c>
      <c r="W63" s="158" t="str">
        <v/>
      </c>
      <c r="X63" s="158" t="str">
        <v/>
      </c>
      <c r="Y63" s="158" t="str">
        <v/>
      </c>
      <c r="Z63" s="158" t="str">
        <v/>
      </c>
      <c r="AA63" s="158" t="e">
        <v>#VALUE!</v>
      </c>
      <c r="AB63" s="171">
        <v>0.01</v>
      </c>
      <c r="AC63" s="158">
        <v>1985.4444444444443</v>
      </c>
      <c r="AD63" s="173" t="str">
        <f ca="1">IFERROR(__xludf.DUMMYFUNCTION("""COMPUTED_VALUE"""),"2025-06")</f>
        <v>2025-06</v>
      </c>
      <c r="AE63" s="154">
        <v>0</v>
      </c>
      <c r="AF63" s="154">
        <v>0</v>
      </c>
    </row>
    <row r="64" spans="1:32" ht="15">
      <c r="A64" s="176">
        <v>45820</v>
      </c>
      <c r="B64" s="145" t="s">
        <v>115</v>
      </c>
      <c r="C64" s="169">
        <v>178393</v>
      </c>
      <c r="D64" s="145">
        <v>37</v>
      </c>
      <c r="E64" s="145">
        <v>2</v>
      </c>
      <c r="F64" s="169" t="e">
        <v>#VALUE!</v>
      </c>
      <c r="G64" s="145">
        <v>1</v>
      </c>
      <c r="H64" s="145"/>
      <c r="I64" s="145">
        <v>1</v>
      </c>
      <c r="J64" s="145"/>
      <c r="K64" s="145"/>
      <c r="L64" s="145"/>
      <c r="M64" s="145"/>
      <c r="N64" s="145"/>
      <c r="O64" s="174"/>
      <c r="P64" s="174"/>
      <c r="Q64" s="158">
        <v>197000</v>
      </c>
      <c r="R64" s="158" t="str">
        <v/>
      </c>
      <c r="S64" s="158">
        <v>375000</v>
      </c>
      <c r="T64" s="158" t="str">
        <v/>
      </c>
      <c r="U64" s="158" t="str">
        <v/>
      </c>
      <c r="V64" s="158" t="str">
        <v/>
      </c>
      <c r="W64" s="158" t="str">
        <v/>
      </c>
      <c r="X64" s="158" t="str">
        <v/>
      </c>
      <c r="Y64" s="158" t="str">
        <v/>
      </c>
      <c r="Z64" s="158" t="str">
        <v/>
      </c>
      <c r="AA64" s="158" t="e">
        <v>#VALUE!</v>
      </c>
      <c r="AB64" s="171">
        <v>0.02</v>
      </c>
      <c r="AC64" s="158">
        <v>4821.4324324324325</v>
      </c>
      <c r="AD64" s="173" t="str">
        <f ca="1">IFERROR(__xludf.DUMMYFUNCTION("""COMPUTED_VALUE"""),"2025-06")</f>
        <v>2025-06</v>
      </c>
      <c r="AE64" s="154">
        <v>0</v>
      </c>
      <c r="AF64" s="154">
        <v>0</v>
      </c>
    </row>
    <row r="65" spans="1:32" ht="15">
      <c r="A65" s="176">
        <v>45820</v>
      </c>
      <c r="B65" s="145" t="s">
        <v>61</v>
      </c>
      <c r="C65" s="169">
        <v>260992</v>
      </c>
      <c r="D65" s="145">
        <v>73</v>
      </c>
      <c r="E65" s="145">
        <v>3</v>
      </c>
      <c r="F65" s="169" t="e">
        <v>#VALUE!</v>
      </c>
      <c r="G65" s="145">
        <v>2</v>
      </c>
      <c r="H65" s="145"/>
      <c r="I65" s="145"/>
      <c r="J65" s="145"/>
      <c r="K65" s="145"/>
      <c r="L65" s="145">
        <v>1</v>
      </c>
      <c r="M65" s="145"/>
      <c r="N65" s="145"/>
      <c r="O65" s="174"/>
      <c r="P65" s="174"/>
      <c r="Q65" s="158">
        <v>394000</v>
      </c>
      <c r="R65" s="158" t="str">
        <v/>
      </c>
      <c r="S65" s="158" t="str">
        <v/>
      </c>
      <c r="T65" s="158" t="str">
        <v/>
      </c>
      <c r="U65" s="158" t="str">
        <v/>
      </c>
      <c r="V65" s="158">
        <v>197000</v>
      </c>
      <c r="W65" s="158" t="str">
        <v/>
      </c>
      <c r="X65" s="158" t="str">
        <v/>
      </c>
      <c r="Y65" s="158" t="str">
        <v/>
      </c>
      <c r="Z65" s="158" t="str">
        <v/>
      </c>
      <c r="AA65" s="158" t="e">
        <v>#VALUE!</v>
      </c>
      <c r="AB65" s="171">
        <v>0.03</v>
      </c>
      <c r="AC65" s="158">
        <v>3575.2328767123286</v>
      </c>
      <c r="AD65" s="173" t="str">
        <f ca="1">IFERROR(__xludf.DUMMYFUNCTION("""COMPUTED_VALUE"""),"2025-06")</f>
        <v>2025-06</v>
      </c>
      <c r="AE65" s="154">
        <v>0</v>
      </c>
      <c r="AF65" s="154">
        <v>0</v>
      </c>
    </row>
    <row r="66" spans="1:32" ht="15">
      <c r="A66" s="176">
        <v>45820</v>
      </c>
      <c r="B66" s="145" t="s">
        <v>49</v>
      </c>
      <c r="C66" s="169">
        <v>8067</v>
      </c>
      <c r="D66" s="145">
        <v>0</v>
      </c>
      <c r="E66" s="145"/>
      <c r="F66" s="169" t="e">
        <v>#VALUE!</v>
      </c>
      <c r="G66" s="145"/>
      <c r="H66" s="145"/>
      <c r="I66" s="145"/>
      <c r="J66" s="145"/>
      <c r="K66" s="145"/>
      <c r="L66" s="145"/>
      <c r="M66" s="145"/>
      <c r="N66" s="145"/>
      <c r="O66" s="174"/>
      <c r="P66" s="174"/>
      <c r="Q66" s="158" t="str">
        <v/>
      </c>
      <c r="R66" s="158" t="str">
        <v/>
      </c>
      <c r="S66" s="158" t="str">
        <v/>
      </c>
      <c r="T66" s="158" t="str">
        <v/>
      </c>
      <c r="U66" s="158" t="str">
        <v/>
      </c>
      <c r="V66" s="158" t="str">
        <v/>
      </c>
      <c r="W66" s="158" t="str">
        <v/>
      </c>
      <c r="X66" s="158" t="str">
        <v/>
      </c>
      <c r="Y66" s="158" t="str">
        <v/>
      </c>
      <c r="Z66" s="158" t="str">
        <v/>
      </c>
      <c r="AA66" s="158" t="e">
        <v>#VALUE!</v>
      </c>
      <c r="AB66" s="171" t="str">
        <v/>
      </c>
      <c r="AC66" s="158" t="str">
        <v/>
      </c>
      <c r="AD66" s="173" t="str">
        <f ca="1">IFERROR(__xludf.DUMMYFUNCTION("""COMPUTED_VALUE"""),"2025-06")</f>
        <v>2025-06</v>
      </c>
      <c r="AE66" s="154" t="str">
        <v/>
      </c>
      <c r="AF66" s="154" t="str">
        <v/>
      </c>
    </row>
    <row r="67" spans="1:32" ht="15">
      <c r="A67" s="176">
        <v>45821</v>
      </c>
      <c r="B67" s="145" t="s">
        <v>752</v>
      </c>
      <c r="C67" s="169">
        <v>76082</v>
      </c>
      <c r="D67" s="145">
        <v>16</v>
      </c>
      <c r="E67" s="145"/>
      <c r="F67" s="169" t="e">
        <v>#VALUE!</v>
      </c>
      <c r="G67" s="145"/>
      <c r="H67" s="145"/>
      <c r="I67" s="145"/>
      <c r="J67" s="145"/>
      <c r="K67" s="145"/>
      <c r="L67" s="145"/>
      <c r="M67" s="145"/>
      <c r="N67" s="145"/>
      <c r="O67" s="174"/>
      <c r="P67" s="174"/>
      <c r="Q67" s="158" t="str">
        <v/>
      </c>
      <c r="R67" s="158" t="str">
        <v/>
      </c>
      <c r="S67" s="158" t="str">
        <v/>
      </c>
      <c r="T67" s="158" t="str">
        <v/>
      </c>
      <c r="U67" s="158" t="str">
        <v/>
      </c>
      <c r="V67" s="158" t="str">
        <v/>
      </c>
      <c r="W67" s="158" t="str">
        <v/>
      </c>
      <c r="X67" s="158" t="str">
        <v/>
      </c>
      <c r="Y67" s="158" t="str">
        <v/>
      </c>
      <c r="Z67" s="158" t="str">
        <v/>
      </c>
      <c r="AA67" s="158" t="e">
        <v>#VALUE!</v>
      </c>
      <c r="AB67" s="171" t="str">
        <v/>
      </c>
      <c r="AC67" s="158">
        <v>4755.125</v>
      </c>
      <c r="AD67" s="173" t="str">
        <f ca="1">IFERROR(__xludf.DUMMYFUNCTION("""COMPUTED_VALUE"""),"2025-06")</f>
        <v>2025-06</v>
      </c>
      <c r="AE67" s="154" t="str">
        <v/>
      </c>
      <c r="AF67" s="154" t="str">
        <v/>
      </c>
    </row>
    <row r="68" spans="1:32" ht="15">
      <c r="A68" s="176">
        <v>45821</v>
      </c>
      <c r="B68" s="145" t="s">
        <v>115</v>
      </c>
      <c r="C68" s="169">
        <v>197961</v>
      </c>
      <c r="D68" s="145">
        <v>51</v>
      </c>
      <c r="E68" s="145">
        <v>1</v>
      </c>
      <c r="F68" s="169" t="e">
        <v>#VALUE!</v>
      </c>
      <c r="G68" s="145">
        <v>1</v>
      </c>
      <c r="H68" s="145"/>
      <c r="I68" s="145"/>
      <c r="J68" s="145"/>
      <c r="K68" s="145"/>
      <c r="L68" s="145"/>
      <c r="M68" s="145"/>
      <c r="N68" s="145"/>
      <c r="O68" s="174"/>
      <c r="P68" s="174"/>
      <c r="Q68" s="158">
        <v>197000</v>
      </c>
      <c r="R68" s="158" t="str">
        <v/>
      </c>
      <c r="S68" s="158" t="str">
        <v/>
      </c>
      <c r="T68" s="158" t="str">
        <v/>
      </c>
      <c r="U68" s="158" t="str">
        <v/>
      </c>
      <c r="V68" s="158" t="str">
        <v/>
      </c>
      <c r="W68" s="158" t="str">
        <v/>
      </c>
      <c r="X68" s="158" t="str">
        <v/>
      </c>
      <c r="Y68" s="158" t="str">
        <v/>
      </c>
      <c r="Z68" s="158" t="str">
        <v/>
      </c>
      <c r="AA68" s="158" t="e">
        <v>#VALUE!</v>
      </c>
      <c r="AB68" s="171">
        <v>0.01</v>
      </c>
      <c r="AC68" s="158">
        <v>3881.5882352941176</v>
      </c>
      <c r="AD68" s="173" t="str">
        <f ca="1">IFERROR(__xludf.DUMMYFUNCTION("""COMPUTED_VALUE"""),"2025-06")</f>
        <v>2025-06</v>
      </c>
      <c r="AE68" s="154">
        <v>0</v>
      </c>
      <c r="AF68" s="154">
        <v>0</v>
      </c>
    </row>
    <row r="69" spans="1:32" ht="15">
      <c r="A69" s="176">
        <v>45821</v>
      </c>
      <c r="B69" s="145" t="s">
        <v>61</v>
      </c>
      <c r="C69" s="169">
        <v>224161</v>
      </c>
      <c r="D69" s="145">
        <v>63</v>
      </c>
      <c r="E69" s="145">
        <v>3</v>
      </c>
      <c r="F69" s="169" t="e">
        <v>#VALUE!</v>
      </c>
      <c r="G69" s="145">
        <v>3</v>
      </c>
      <c r="H69" s="145"/>
      <c r="I69" s="145"/>
      <c r="J69" s="145"/>
      <c r="K69" s="145"/>
      <c r="L69" s="145"/>
      <c r="M69" s="145"/>
      <c r="N69" s="145"/>
      <c r="O69" s="174"/>
      <c r="P69" s="174"/>
      <c r="Q69" s="158">
        <v>591000</v>
      </c>
      <c r="R69" s="158" t="str">
        <v/>
      </c>
      <c r="S69" s="158" t="str">
        <v/>
      </c>
      <c r="T69" s="158" t="str">
        <v/>
      </c>
      <c r="U69" s="158" t="str">
        <v/>
      </c>
      <c r="V69" s="158" t="str">
        <v/>
      </c>
      <c r="W69" s="158" t="str">
        <v/>
      </c>
      <c r="X69" s="158" t="str">
        <v/>
      </c>
      <c r="Y69" s="158" t="str">
        <v/>
      </c>
      <c r="Z69" s="158" t="str">
        <v/>
      </c>
      <c r="AA69" s="158" t="e">
        <v>#VALUE!</v>
      </c>
      <c r="AB69" s="171">
        <v>0.03</v>
      </c>
      <c r="AC69" s="158">
        <v>3558.1111111111113</v>
      </c>
      <c r="AD69" s="173" t="str">
        <f ca="1">IFERROR(__xludf.DUMMYFUNCTION("""COMPUTED_VALUE"""),"2025-06")</f>
        <v>2025-06</v>
      </c>
      <c r="AE69" s="154">
        <v>0</v>
      </c>
      <c r="AF69" s="154">
        <v>0</v>
      </c>
    </row>
    <row r="70" spans="1:32" ht="15">
      <c r="A70" s="176">
        <v>45822</v>
      </c>
      <c r="B70" s="145" t="s">
        <v>752</v>
      </c>
      <c r="C70" s="169">
        <v>138794</v>
      </c>
      <c r="D70" s="145">
        <v>53</v>
      </c>
      <c r="E70" s="145"/>
      <c r="F70" s="169" t="e">
        <v>#VALUE!</v>
      </c>
      <c r="G70" s="145"/>
      <c r="H70" s="145"/>
      <c r="I70" s="145"/>
      <c r="J70" s="145"/>
      <c r="K70" s="145"/>
      <c r="L70" s="145"/>
      <c r="M70" s="145"/>
      <c r="N70" s="145"/>
      <c r="O70" s="174"/>
      <c r="P70" s="174"/>
      <c r="Q70" s="158" t="str">
        <v/>
      </c>
      <c r="R70" s="158" t="str">
        <v/>
      </c>
      <c r="S70" s="158" t="str">
        <v/>
      </c>
      <c r="T70" s="158" t="str">
        <v/>
      </c>
      <c r="U70" s="158" t="str">
        <v/>
      </c>
      <c r="V70" s="158" t="str">
        <v/>
      </c>
      <c r="W70" s="158" t="str">
        <v/>
      </c>
      <c r="X70" s="158" t="str">
        <v/>
      </c>
      <c r="Y70" s="158" t="str">
        <v/>
      </c>
      <c r="Z70" s="158" t="str">
        <v/>
      </c>
      <c r="AA70" s="158" t="e">
        <v>#VALUE!</v>
      </c>
      <c r="AB70" s="171" t="str">
        <v/>
      </c>
      <c r="AC70" s="158">
        <v>2618.7547169811319</v>
      </c>
      <c r="AD70" s="173" t="str">
        <f ca="1">IFERROR(__xludf.DUMMYFUNCTION("""COMPUTED_VALUE"""),"2025-06")</f>
        <v>2025-06</v>
      </c>
      <c r="AE70" s="154" t="str">
        <v/>
      </c>
      <c r="AF70" s="154" t="str">
        <v/>
      </c>
    </row>
    <row r="71" spans="1:32" ht="15">
      <c r="A71" s="176">
        <v>45822</v>
      </c>
      <c r="B71" s="145" t="s">
        <v>115</v>
      </c>
      <c r="C71" s="169">
        <v>180615</v>
      </c>
      <c r="D71" s="145">
        <v>62</v>
      </c>
      <c r="E71" s="145">
        <v>2</v>
      </c>
      <c r="F71" s="169" t="e">
        <v>#VALUE!</v>
      </c>
      <c r="G71" s="145">
        <v>1</v>
      </c>
      <c r="H71" s="145"/>
      <c r="I71" s="145">
        <v>1</v>
      </c>
      <c r="J71" s="145"/>
      <c r="K71" s="145"/>
      <c r="L71" s="145"/>
      <c r="M71" s="145"/>
      <c r="N71" s="145"/>
      <c r="O71" s="174"/>
      <c r="P71" s="174"/>
      <c r="Q71" s="158">
        <v>197000</v>
      </c>
      <c r="R71" s="158" t="str">
        <v/>
      </c>
      <c r="S71" s="158">
        <v>375000</v>
      </c>
      <c r="T71" s="158" t="str">
        <v/>
      </c>
      <c r="U71" s="158" t="str">
        <v/>
      </c>
      <c r="V71" s="158" t="str">
        <v/>
      </c>
      <c r="W71" s="158" t="str">
        <v/>
      </c>
      <c r="X71" s="158" t="str">
        <v/>
      </c>
      <c r="Y71" s="158" t="str">
        <v/>
      </c>
      <c r="Z71" s="158" t="str">
        <v/>
      </c>
      <c r="AA71" s="158" t="e">
        <v>#VALUE!</v>
      </c>
      <c r="AB71" s="171">
        <v>0.02</v>
      </c>
      <c r="AC71" s="158">
        <v>2913.1451612903224</v>
      </c>
      <c r="AD71" s="173" t="str">
        <f ca="1">IFERROR(__xludf.DUMMYFUNCTION("""COMPUTED_VALUE"""),"2025-06")</f>
        <v>2025-06</v>
      </c>
      <c r="AE71" s="154">
        <v>0</v>
      </c>
      <c r="AF71" s="154">
        <v>0</v>
      </c>
    </row>
    <row r="72" spans="1:32" ht="15">
      <c r="A72" s="176">
        <v>45822</v>
      </c>
      <c r="B72" s="145" t="s">
        <v>61</v>
      </c>
      <c r="C72" s="169">
        <v>66006</v>
      </c>
      <c r="D72" s="145">
        <v>7</v>
      </c>
      <c r="E72" s="145">
        <v>1</v>
      </c>
      <c r="F72" s="169" t="e">
        <v>#VALUE!</v>
      </c>
      <c r="G72" s="145"/>
      <c r="H72" s="145"/>
      <c r="I72" s="145"/>
      <c r="J72" s="145"/>
      <c r="K72" s="145"/>
      <c r="L72" s="145"/>
      <c r="M72" s="145"/>
      <c r="N72" s="145"/>
      <c r="O72" s="174"/>
      <c r="P72" s="174">
        <v>1</v>
      </c>
      <c r="Q72" s="158" t="str">
        <v/>
      </c>
      <c r="R72" s="158" t="str">
        <v/>
      </c>
      <c r="S72" s="158" t="str">
        <v/>
      </c>
      <c r="T72" s="158" t="str">
        <v/>
      </c>
      <c r="U72" s="158" t="str">
        <v/>
      </c>
      <c r="V72" s="158" t="str">
        <v/>
      </c>
      <c r="W72" s="158" t="str">
        <v/>
      </c>
      <c r="X72" s="158" t="str">
        <v/>
      </c>
      <c r="Y72" s="158" t="str">
        <v/>
      </c>
      <c r="Z72" s="158">
        <v>1000000</v>
      </c>
      <c r="AA72" s="158" t="e">
        <v>#VALUE!</v>
      </c>
      <c r="AB72" s="171">
        <v>0.01</v>
      </c>
      <c r="AC72" s="158">
        <v>9429.4285714285706</v>
      </c>
      <c r="AD72" s="173" t="str">
        <f ca="1">IFERROR(__xludf.DUMMYFUNCTION("""COMPUTED_VALUE"""),"2025-06")</f>
        <v>2025-06</v>
      </c>
      <c r="AE72" s="154">
        <v>0</v>
      </c>
      <c r="AF72" s="154">
        <v>0</v>
      </c>
    </row>
    <row r="73" spans="1:32" ht="15">
      <c r="A73" s="176">
        <v>45822</v>
      </c>
      <c r="B73" s="145" t="s">
        <v>49</v>
      </c>
      <c r="C73" s="169">
        <v>0</v>
      </c>
      <c r="D73" s="145"/>
      <c r="E73" s="145">
        <v>2</v>
      </c>
      <c r="F73" s="169" t="e">
        <v>#VALUE!</v>
      </c>
      <c r="G73" s="145">
        <v>1</v>
      </c>
      <c r="H73" s="145">
        <v>1</v>
      </c>
      <c r="I73" s="145"/>
      <c r="J73" s="145">
        <v>1</v>
      </c>
      <c r="K73" s="145"/>
      <c r="L73" s="145"/>
      <c r="M73" s="145"/>
      <c r="N73" s="145"/>
      <c r="O73" s="174"/>
      <c r="P73" s="174"/>
      <c r="Q73" s="158">
        <v>197000</v>
      </c>
      <c r="R73" s="158">
        <v>297000</v>
      </c>
      <c r="S73" s="158" t="str">
        <v/>
      </c>
      <c r="T73" s="158">
        <v>550000</v>
      </c>
      <c r="U73" s="158" t="str">
        <v/>
      </c>
      <c r="V73" s="158" t="str">
        <v/>
      </c>
      <c r="W73" s="158" t="str">
        <v/>
      </c>
      <c r="X73" s="158" t="str">
        <v/>
      </c>
      <c r="Y73" s="158" t="str">
        <v/>
      </c>
      <c r="Z73" s="158" t="str">
        <v/>
      </c>
      <c r="AA73" s="158" t="e">
        <v>#VALUE!</v>
      </c>
      <c r="AB73" s="171">
        <v>0.02</v>
      </c>
      <c r="AC73" s="158">
        <v>0</v>
      </c>
      <c r="AD73" s="173" t="str">
        <f ca="1">IFERROR(__xludf.DUMMYFUNCTION("""COMPUTED_VALUE"""),"2025-06")</f>
        <v>2025-06</v>
      </c>
      <c r="AE73" s="154">
        <v>0</v>
      </c>
      <c r="AF73" s="154">
        <v>0</v>
      </c>
    </row>
    <row r="74" spans="1:32" ht="15">
      <c r="A74" s="176">
        <v>45823</v>
      </c>
      <c r="B74" s="145" t="s">
        <v>752</v>
      </c>
      <c r="C74" s="169">
        <v>222990</v>
      </c>
      <c r="D74" s="145">
        <v>75</v>
      </c>
      <c r="E74" s="145">
        <v>1</v>
      </c>
      <c r="F74" s="169" t="e">
        <v>#VALUE!</v>
      </c>
      <c r="G74" s="145"/>
      <c r="H74" s="145"/>
      <c r="I74" s="145"/>
      <c r="J74" s="145"/>
      <c r="K74" s="145">
        <v>1</v>
      </c>
      <c r="L74" s="145"/>
      <c r="M74" s="145"/>
      <c r="N74" s="145"/>
      <c r="O74" s="174"/>
      <c r="P74" s="174"/>
      <c r="Q74" s="158" t="str">
        <v/>
      </c>
      <c r="R74" s="158" t="str">
        <v/>
      </c>
      <c r="S74" s="158" t="str">
        <v/>
      </c>
      <c r="T74" s="158" t="str">
        <v/>
      </c>
      <c r="U74" s="158">
        <v>1000000</v>
      </c>
      <c r="V74" s="158" t="str">
        <v/>
      </c>
      <c r="W74" s="158" t="str">
        <v/>
      </c>
      <c r="X74" s="158" t="str">
        <v/>
      </c>
      <c r="Y74" s="158" t="str">
        <v/>
      </c>
      <c r="Z74" s="158" t="str">
        <v/>
      </c>
      <c r="AA74" s="158" t="e">
        <v>#VALUE!</v>
      </c>
      <c r="AB74" s="171">
        <v>0.01</v>
      </c>
      <c r="AC74" s="158">
        <v>2973.2</v>
      </c>
      <c r="AD74" s="173" t="str">
        <f ca="1">IFERROR(__xludf.DUMMYFUNCTION("""COMPUTED_VALUE"""),"2025-06")</f>
        <v>2025-06</v>
      </c>
      <c r="AE74" s="154">
        <v>0</v>
      </c>
      <c r="AF74" s="154">
        <v>0</v>
      </c>
    </row>
    <row r="75" spans="1:32" ht="15">
      <c r="A75" s="176">
        <v>45823</v>
      </c>
      <c r="B75" s="145" t="s">
        <v>115</v>
      </c>
      <c r="C75" s="169">
        <v>336725</v>
      </c>
      <c r="D75" s="145">
        <v>72</v>
      </c>
      <c r="E75" s="145">
        <v>4</v>
      </c>
      <c r="F75" s="169" t="e">
        <v>#VALUE!</v>
      </c>
      <c r="G75" s="145">
        <v>3</v>
      </c>
      <c r="H75" s="145">
        <v>1</v>
      </c>
      <c r="I75" s="145"/>
      <c r="J75" s="145"/>
      <c r="K75" s="145"/>
      <c r="L75" s="145"/>
      <c r="M75" s="145"/>
      <c r="N75" s="145"/>
      <c r="O75" s="174"/>
      <c r="P75" s="174"/>
      <c r="Q75" s="158">
        <v>591000</v>
      </c>
      <c r="R75" s="158">
        <v>297000</v>
      </c>
      <c r="S75" s="158" t="str">
        <v/>
      </c>
      <c r="T75" s="158" t="str">
        <v/>
      </c>
      <c r="U75" s="158" t="str">
        <v/>
      </c>
      <c r="V75" s="158" t="str">
        <v/>
      </c>
      <c r="W75" s="158" t="str">
        <v/>
      </c>
      <c r="X75" s="158" t="str">
        <v/>
      </c>
      <c r="Y75" s="158" t="str">
        <v/>
      </c>
      <c r="Z75" s="158" t="str">
        <v/>
      </c>
      <c r="AA75" s="158" t="e">
        <v>#VALUE!</v>
      </c>
      <c r="AB75" s="171">
        <v>0.04</v>
      </c>
      <c r="AC75" s="158">
        <v>4676.7361111111113</v>
      </c>
      <c r="AD75" s="173" t="str">
        <f ca="1">IFERROR(__xludf.DUMMYFUNCTION("""COMPUTED_VALUE"""),"2025-06")</f>
        <v>2025-06</v>
      </c>
      <c r="AE75" s="154">
        <v>0</v>
      </c>
      <c r="AF75" s="154">
        <v>0</v>
      </c>
    </row>
    <row r="76" spans="1:32" ht="15">
      <c r="A76" s="176">
        <v>45823</v>
      </c>
      <c r="B76" s="145" t="s">
        <v>61</v>
      </c>
      <c r="C76" s="169">
        <v>262326</v>
      </c>
      <c r="D76" s="145">
        <v>78</v>
      </c>
      <c r="E76" s="145">
        <v>2</v>
      </c>
      <c r="F76" s="169" t="e">
        <v>#VALUE!</v>
      </c>
      <c r="G76" s="145">
        <v>1</v>
      </c>
      <c r="H76" s="145">
        <v>1</v>
      </c>
      <c r="I76" s="145"/>
      <c r="J76" s="145"/>
      <c r="K76" s="145"/>
      <c r="L76" s="145"/>
      <c r="M76" s="145"/>
      <c r="N76" s="145"/>
      <c r="O76" s="174"/>
      <c r="P76" s="174"/>
      <c r="Q76" s="158">
        <v>197000</v>
      </c>
      <c r="R76" s="158">
        <v>297000</v>
      </c>
      <c r="S76" s="158" t="str">
        <v/>
      </c>
      <c r="T76" s="158" t="str">
        <v/>
      </c>
      <c r="U76" s="158" t="str">
        <v/>
      </c>
      <c r="V76" s="158" t="str">
        <v/>
      </c>
      <c r="W76" s="158" t="str">
        <v/>
      </c>
      <c r="X76" s="158" t="str">
        <v/>
      </c>
      <c r="Y76" s="158" t="str">
        <v/>
      </c>
      <c r="Z76" s="158" t="str">
        <v/>
      </c>
      <c r="AA76" s="158" t="e">
        <v>#VALUE!</v>
      </c>
      <c r="AB76" s="171">
        <v>0.02</v>
      </c>
      <c r="AC76" s="158">
        <v>3363.1538461538462</v>
      </c>
      <c r="AD76" s="173" t="str">
        <f ca="1">IFERROR(__xludf.DUMMYFUNCTION("""COMPUTED_VALUE"""),"2025-06")</f>
        <v>2025-06</v>
      </c>
      <c r="AE76" s="154">
        <v>0</v>
      </c>
      <c r="AF76" s="154">
        <v>0</v>
      </c>
    </row>
    <row r="77" spans="1:32" ht="15">
      <c r="A77" s="176">
        <v>45823</v>
      </c>
      <c r="B77" s="145" t="s">
        <v>49</v>
      </c>
      <c r="C77" s="169">
        <v>47701</v>
      </c>
      <c r="D77" s="145">
        <v>3</v>
      </c>
      <c r="E77" s="145">
        <v>1</v>
      </c>
      <c r="F77" s="169" t="e">
        <v>#VALUE!</v>
      </c>
      <c r="G77" s="145">
        <v>1</v>
      </c>
      <c r="H77" s="145"/>
      <c r="I77" s="145"/>
      <c r="J77" s="145"/>
      <c r="K77" s="145"/>
      <c r="L77" s="145"/>
      <c r="M77" s="145"/>
      <c r="N77" s="145"/>
      <c r="O77" s="174"/>
      <c r="P77" s="174"/>
      <c r="Q77" s="158">
        <v>197000</v>
      </c>
      <c r="R77" s="158" t="str">
        <v/>
      </c>
      <c r="S77" s="158" t="str">
        <v/>
      </c>
      <c r="T77" s="158" t="str">
        <v/>
      </c>
      <c r="U77" s="158" t="str">
        <v/>
      </c>
      <c r="V77" s="158" t="str">
        <v/>
      </c>
      <c r="W77" s="158" t="str">
        <v/>
      </c>
      <c r="X77" s="158" t="str">
        <v/>
      </c>
      <c r="Y77" s="158" t="str">
        <v/>
      </c>
      <c r="Z77" s="158" t="str">
        <v/>
      </c>
      <c r="AA77" s="158" t="e">
        <v>#VALUE!</v>
      </c>
      <c r="AB77" s="171">
        <v>0.01</v>
      </c>
      <c r="AC77" s="158">
        <v>15900.333333333334</v>
      </c>
      <c r="AD77" s="173" t="str">
        <f ca="1">IFERROR(__xludf.DUMMYFUNCTION("""COMPUTED_VALUE"""),"2025-06")</f>
        <v>2025-06</v>
      </c>
      <c r="AE77" s="154">
        <v>0</v>
      </c>
      <c r="AF77" s="154">
        <v>0</v>
      </c>
    </row>
    <row r="78" spans="1:32" ht="15">
      <c r="A78" s="176">
        <v>45824</v>
      </c>
      <c r="B78" s="145" t="s">
        <v>752</v>
      </c>
      <c r="C78" s="169">
        <v>26924</v>
      </c>
      <c r="D78" s="145">
        <v>8</v>
      </c>
      <c r="E78" s="145"/>
      <c r="F78" s="169" t="e">
        <v>#VALUE!</v>
      </c>
      <c r="G78" s="145"/>
      <c r="H78" s="145"/>
      <c r="I78" s="145"/>
      <c r="J78" s="145"/>
      <c r="K78" s="145"/>
      <c r="L78" s="145"/>
      <c r="M78" s="145"/>
      <c r="N78" s="145"/>
      <c r="O78" s="174"/>
      <c r="P78" s="174"/>
      <c r="Q78" s="158" t="str">
        <v/>
      </c>
      <c r="R78" s="158" t="str">
        <v/>
      </c>
      <c r="S78" s="158" t="str">
        <v/>
      </c>
      <c r="T78" s="158" t="str">
        <v/>
      </c>
      <c r="U78" s="158" t="str">
        <v/>
      </c>
      <c r="V78" s="158" t="str">
        <v/>
      </c>
      <c r="W78" s="158" t="str">
        <v/>
      </c>
      <c r="X78" s="158" t="str">
        <v/>
      </c>
      <c r="Y78" s="158" t="str">
        <v/>
      </c>
      <c r="Z78" s="158" t="str">
        <v/>
      </c>
      <c r="AA78" s="158" t="e">
        <v>#VALUE!</v>
      </c>
      <c r="AB78" s="171" t="str">
        <v/>
      </c>
      <c r="AC78" s="158">
        <v>3365.5</v>
      </c>
      <c r="AD78" s="173" t="str">
        <f ca="1">IFERROR(__xludf.DUMMYFUNCTION("""COMPUTED_VALUE"""),"2025-06")</f>
        <v>2025-06</v>
      </c>
      <c r="AE78" s="154" t="str">
        <v/>
      </c>
      <c r="AF78" s="154" t="str">
        <v/>
      </c>
    </row>
    <row r="79" spans="1:32" ht="15">
      <c r="A79" s="176">
        <v>45824</v>
      </c>
      <c r="B79" s="145" t="s">
        <v>115</v>
      </c>
      <c r="C79" s="169">
        <v>289923</v>
      </c>
      <c r="D79" s="145">
        <v>79</v>
      </c>
      <c r="E79" s="145">
        <v>5</v>
      </c>
      <c r="F79" s="169" t="e">
        <v>#VALUE!</v>
      </c>
      <c r="G79" s="145">
        <v>5</v>
      </c>
      <c r="H79" s="145"/>
      <c r="I79" s="145"/>
      <c r="J79" s="145"/>
      <c r="K79" s="145"/>
      <c r="L79" s="145"/>
      <c r="M79" s="145"/>
      <c r="N79" s="145"/>
      <c r="O79" s="174"/>
      <c r="P79" s="174"/>
      <c r="Q79" s="158">
        <v>985000</v>
      </c>
      <c r="R79" s="158" t="str">
        <v/>
      </c>
      <c r="S79" s="158" t="str">
        <v/>
      </c>
      <c r="T79" s="158" t="str">
        <v/>
      </c>
      <c r="U79" s="158" t="str">
        <v/>
      </c>
      <c r="V79" s="158" t="str">
        <v/>
      </c>
      <c r="W79" s="158" t="str">
        <v/>
      </c>
      <c r="X79" s="158" t="str">
        <v/>
      </c>
      <c r="Y79" s="158" t="str">
        <v/>
      </c>
      <c r="Z79" s="158" t="str">
        <v/>
      </c>
      <c r="AA79" s="158" t="e">
        <v>#VALUE!</v>
      </c>
      <c r="AB79" s="171">
        <v>0.05</v>
      </c>
      <c r="AC79" s="158">
        <v>3669.9113924050635</v>
      </c>
      <c r="AD79" s="173" t="str">
        <f ca="1">IFERROR(__xludf.DUMMYFUNCTION("""COMPUTED_VALUE"""),"2025-06")</f>
        <v>2025-06</v>
      </c>
      <c r="AE79" s="154">
        <v>0</v>
      </c>
      <c r="AF79" s="154">
        <v>0</v>
      </c>
    </row>
    <row r="80" spans="1:32" ht="15">
      <c r="A80" s="176">
        <v>45824</v>
      </c>
      <c r="B80" s="145" t="s">
        <v>61</v>
      </c>
      <c r="C80" s="169">
        <v>116546</v>
      </c>
      <c r="D80" s="145">
        <v>24</v>
      </c>
      <c r="E80" s="145">
        <v>2</v>
      </c>
      <c r="F80" s="169" t="e">
        <v>#VALUE!</v>
      </c>
      <c r="G80" s="145">
        <v>1</v>
      </c>
      <c r="H80" s="145">
        <v>1</v>
      </c>
      <c r="I80" s="145"/>
      <c r="J80" s="145"/>
      <c r="K80" s="145"/>
      <c r="L80" s="145"/>
      <c r="M80" s="145"/>
      <c r="N80" s="145"/>
      <c r="O80" s="174"/>
      <c r="P80" s="174"/>
      <c r="Q80" s="158">
        <v>197000</v>
      </c>
      <c r="R80" s="158">
        <v>297000</v>
      </c>
      <c r="S80" s="158" t="str">
        <v/>
      </c>
      <c r="T80" s="158" t="str">
        <v/>
      </c>
      <c r="U80" s="158" t="str">
        <v/>
      </c>
      <c r="V80" s="158" t="str">
        <v/>
      </c>
      <c r="W80" s="158" t="str">
        <v/>
      </c>
      <c r="X80" s="158" t="str">
        <v/>
      </c>
      <c r="Y80" s="158" t="str">
        <v/>
      </c>
      <c r="Z80" s="158" t="str">
        <v/>
      </c>
      <c r="AA80" s="158" t="e">
        <v>#VALUE!</v>
      </c>
      <c r="AB80" s="171">
        <v>0.02</v>
      </c>
      <c r="AC80" s="158">
        <v>4856.083333333333</v>
      </c>
      <c r="AD80" s="173" t="str">
        <f ca="1">IFERROR(__xludf.DUMMYFUNCTION("""COMPUTED_VALUE"""),"2025-06")</f>
        <v>2025-06</v>
      </c>
      <c r="AE80" s="154">
        <v>0</v>
      </c>
      <c r="AF80" s="154">
        <v>0</v>
      </c>
    </row>
    <row r="81" spans="1:32" ht="15">
      <c r="A81" s="176">
        <v>45824</v>
      </c>
      <c r="B81" s="145" t="s">
        <v>49</v>
      </c>
      <c r="C81" s="169">
        <v>167456</v>
      </c>
      <c r="D81" s="145">
        <v>25</v>
      </c>
      <c r="E81" s="145"/>
      <c r="F81" s="169" t="e">
        <v>#VALUE!</v>
      </c>
      <c r="G81" s="145"/>
      <c r="H81" s="145"/>
      <c r="I81" s="145"/>
      <c r="J81" s="145"/>
      <c r="K81" s="145"/>
      <c r="L81" s="145"/>
      <c r="M81" s="145"/>
      <c r="N81" s="145"/>
      <c r="O81" s="174"/>
      <c r="P81" s="174"/>
      <c r="Q81" s="158" t="str">
        <v/>
      </c>
      <c r="R81" s="158" t="str">
        <v/>
      </c>
      <c r="S81" s="158" t="str">
        <v/>
      </c>
      <c r="T81" s="158" t="str">
        <v/>
      </c>
      <c r="U81" s="158" t="str">
        <v/>
      </c>
      <c r="V81" s="158" t="str">
        <v/>
      </c>
      <c r="W81" s="158" t="str">
        <v/>
      </c>
      <c r="X81" s="158" t="str">
        <v/>
      </c>
      <c r="Y81" s="158" t="str">
        <v/>
      </c>
      <c r="Z81" s="158" t="str">
        <v/>
      </c>
      <c r="AA81" s="158" t="e">
        <v>#VALUE!</v>
      </c>
      <c r="AB81" s="171" t="str">
        <v/>
      </c>
      <c r="AC81" s="158">
        <v>6698.24</v>
      </c>
      <c r="AD81" s="173" t="str">
        <f ca="1">IFERROR(__xludf.DUMMYFUNCTION("""COMPUTED_VALUE"""),"2025-06")</f>
        <v>2025-06</v>
      </c>
      <c r="AE81" s="154" t="str">
        <v/>
      </c>
      <c r="AF81" s="154" t="str">
        <v/>
      </c>
    </row>
    <row r="82" spans="1:32" ht="15">
      <c r="A82" s="176">
        <v>45825</v>
      </c>
      <c r="B82" s="145" t="s">
        <v>752</v>
      </c>
      <c r="C82" s="169">
        <v>121095</v>
      </c>
      <c r="D82" s="145">
        <v>28</v>
      </c>
      <c r="E82" s="145"/>
      <c r="F82" s="169" t="e">
        <v>#VALUE!</v>
      </c>
      <c r="G82" s="145"/>
      <c r="H82" s="145"/>
      <c r="I82" s="145"/>
      <c r="J82" s="145"/>
      <c r="K82" s="145"/>
      <c r="L82" s="145"/>
      <c r="M82" s="145"/>
      <c r="N82" s="145"/>
      <c r="O82" s="174"/>
      <c r="P82" s="174"/>
      <c r="Q82" s="158" t="str">
        <v/>
      </c>
      <c r="R82" s="158" t="str">
        <v/>
      </c>
      <c r="S82" s="158" t="str">
        <v/>
      </c>
      <c r="T82" s="158" t="str">
        <v/>
      </c>
      <c r="U82" s="158" t="str">
        <v/>
      </c>
      <c r="V82" s="158" t="str">
        <v/>
      </c>
      <c r="W82" s="158" t="str">
        <v/>
      </c>
      <c r="X82" s="158" t="str">
        <v/>
      </c>
      <c r="Y82" s="158" t="str">
        <v/>
      </c>
      <c r="Z82" s="158" t="str">
        <v/>
      </c>
      <c r="AA82" s="158" t="e">
        <v>#VALUE!</v>
      </c>
      <c r="AB82" s="171" t="str">
        <v/>
      </c>
      <c r="AC82" s="158">
        <v>4324.8214285714284</v>
      </c>
      <c r="AD82" s="173" t="str">
        <f ca="1">IFERROR(__xludf.DUMMYFUNCTION("""COMPUTED_VALUE"""),"2025-06")</f>
        <v>2025-06</v>
      </c>
      <c r="AE82" s="154" t="str">
        <v/>
      </c>
      <c r="AF82" s="154" t="str">
        <v/>
      </c>
    </row>
    <row r="83" spans="1:32" ht="15">
      <c r="A83" s="176">
        <v>45825</v>
      </c>
      <c r="B83" s="145" t="s">
        <v>115</v>
      </c>
      <c r="C83" s="169">
        <v>214042</v>
      </c>
      <c r="D83" s="145">
        <v>47</v>
      </c>
      <c r="E83" s="145">
        <v>4</v>
      </c>
      <c r="F83" s="169" t="e">
        <v>#VALUE!</v>
      </c>
      <c r="G83" s="145">
        <v>4</v>
      </c>
      <c r="H83" s="145"/>
      <c r="I83" s="145"/>
      <c r="J83" s="145"/>
      <c r="K83" s="145"/>
      <c r="L83" s="145"/>
      <c r="M83" s="145"/>
      <c r="N83" s="145"/>
      <c r="O83" s="174"/>
      <c r="P83" s="174"/>
      <c r="Q83" s="158">
        <v>788000</v>
      </c>
      <c r="R83" s="158" t="str">
        <v/>
      </c>
      <c r="S83" s="158" t="str">
        <v/>
      </c>
      <c r="T83" s="158" t="str">
        <v/>
      </c>
      <c r="U83" s="158" t="str">
        <v/>
      </c>
      <c r="V83" s="158" t="str">
        <v/>
      </c>
      <c r="W83" s="158" t="str">
        <v/>
      </c>
      <c r="X83" s="158" t="str">
        <v/>
      </c>
      <c r="Y83" s="158" t="str">
        <v/>
      </c>
      <c r="Z83" s="158" t="str">
        <v/>
      </c>
      <c r="AA83" s="158" t="e">
        <v>#VALUE!</v>
      </c>
      <c r="AB83" s="171">
        <v>0.04</v>
      </c>
      <c r="AC83" s="158">
        <v>4554.0851063829787</v>
      </c>
      <c r="AD83" s="173" t="str">
        <f ca="1">IFERROR(__xludf.DUMMYFUNCTION("""COMPUTED_VALUE"""),"2025-06")</f>
        <v>2025-06</v>
      </c>
      <c r="AE83" s="154">
        <v>0</v>
      </c>
      <c r="AF83" s="154">
        <v>0</v>
      </c>
    </row>
    <row r="84" spans="1:32" ht="15">
      <c r="A84" s="176">
        <v>45825</v>
      </c>
      <c r="B84" s="145" t="s">
        <v>61</v>
      </c>
      <c r="C84" s="169">
        <v>228400</v>
      </c>
      <c r="D84" s="145">
        <v>65</v>
      </c>
      <c r="E84" s="145">
        <v>1</v>
      </c>
      <c r="F84" s="169" t="e">
        <v>#VALUE!</v>
      </c>
      <c r="G84" s="145">
        <v>1</v>
      </c>
      <c r="H84" s="145"/>
      <c r="I84" s="145"/>
      <c r="J84" s="145"/>
      <c r="K84" s="145"/>
      <c r="L84" s="145"/>
      <c r="M84" s="145"/>
      <c r="N84" s="145"/>
      <c r="O84" s="174"/>
      <c r="P84" s="174"/>
      <c r="Q84" s="158">
        <v>197000</v>
      </c>
      <c r="R84" s="158" t="str">
        <v/>
      </c>
      <c r="S84" s="158" t="str">
        <v/>
      </c>
      <c r="T84" s="158" t="str">
        <v/>
      </c>
      <c r="U84" s="158" t="str">
        <v/>
      </c>
      <c r="V84" s="158" t="str">
        <v/>
      </c>
      <c r="W84" s="158" t="str">
        <v/>
      </c>
      <c r="X84" s="158" t="str">
        <v/>
      </c>
      <c r="Y84" s="158" t="str">
        <v/>
      </c>
      <c r="Z84" s="158" t="str">
        <v/>
      </c>
      <c r="AA84" s="158" t="e">
        <v>#VALUE!</v>
      </c>
      <c r="AB84" s="171">
        <v>0.01</v>
      </c>
      <c r="AC84" s="158">
        <v>3513.8461538461538</v>
      </c>
      <c r="AD84" s="173" t="str">
        <f ca="1">IFERROR(__xludf.DUMMYFUNCTION("""COMPUTED_VALUE"""),"2025-06")</f>
        <v>2025-06</v>
      </c>
      <c r="AE84" s="154">
        <v>0</v>
      </c>
      <c r="AF84" s="154">
        <v>0</v>
      </c>
    </row>
    <row r="85" spans="1:32" ht="15">
      <c r="A85" s="176">
        <v>45825</v>
      </c>
      <c r="B85" s="145" t="s">
        <v>49</v>
      </c>
      <c r="C85" s="169">
        <v>254098</v>
      </c>
      <c r="D85" s="145">
        <v>57</v>
      </c>
      <c r="E85" s="145">
        <v>1</v>
      </c>
      <c r="F85" s="169" t="e">
        <v>#VALUE!</v>
      </c>
      <c r="G85" s="145">
        <v>1</v>
      </c>
      <c r="H85" s="145"/>
      <c r="I85" s="145"/>
      <c r="J85" s="145"/>
      <c r="K85" s="145"/>
      <c r="L85" s="145"/>
      <c r="M85" s="145"/>
      <c r="N85" s="145"/>
      <c r="O85" s="174"/>
      <c r="P85" s="174"/>
      <c r="Q85" s="158">
        <v>197000</v>
      </c>
      <c r="R85" s="158" t="str">
        <v/>
      </c>
      <c r="S85" s="158" t="str">
        <v/>
      </c>
      <c r="T85" s="158" t="str">
        <v/>
      </c>
      <c r="U85" s="158" t="str">
        <v/>
      </c>
      <c r="V85" s="158" t="str">
        <v/>
      </c>
      <c r="W85" s="158" t="str">
        <v/>
      </c>
      <c r="X85" s="158" t="str">
        <v/>
      </c>
      <c r="Y85" s="158" t="str">
        <v/>
      </c>
      <c r="Z85" s="158" t="str">
        <v/>
      </c>
      <c r="AA85" s="158" t="e">
        <v>#VALUE!</v>
      </c>
      <c r="AB85" s="171">
        <v>0.01</v>
      </c>
      <c r="AC85" s="158">
        <v>4457.8596491228072</v>
      </c>
      <c r="AD85" s="173" t="str">
        <f ca="1">IFERROR(__xludf.DUMMYFUNCTION("""COMPUTED_VALUE"""),"2025-06")</f>
        <v>2025-06</v>
      </c>
      <c r="AE85" s="154">
        <v>0</v>
      </c>
      <c r="AF85" s="154">
        <v>0</v>
      </c>
    </row>
    <row r="86" spans="1:32" ht="15">
      <c r="A86" s="176">
        <v>45826</v>
      </c>
      <c r="B86" s="145" t="s">
        <v>115</v>
      </c>
      <c r="C86" s="169">
        <v>255047</v>
      </c>
      <c r="D86" s="145">
        <v>64</v>
      </c>
      <c r="E86" s="145">
        <v>3</v>
      </c>
      <c r="F86" s="169" t="e">
        <v>#VALUE!</v>
      </c>
      <c r="G86" s="145">
        <v>2</v>
      </c>
      <c r="H86" s="145">
        <v>1</v>
      </c>
      <c r="I86" s="145"/>
      <c r="J86" s="145"/>
      <c r="K86" s="145"/>
      <c r="L86" s="145"/>
      <c r="M86" s="145"/>
      <c r="N86" s="145"/>
      <c r="O86" s="174"/>
      <c r="P86" s="174"/>
      <c r="Q86" s="158">
        <v>394000</v>
      </c>
      <c r="R86" s="158">
        <v>297000</v>
      </c>
      <c r="S86" s="158" t="str">
        <v/>
      </c>
      <c r="T86" s="158" t="str">
        <v/>
      </c>
      <c r="U86" s="158" t="str">
        <v/>
      </c>
      <c r="V86" s="158" t="str">
        <v/>
      </c>
      <c r="W86" s="158" t="str">
        <v/>
      </c>
      <c r="X86" s="158" t="str">
        <v/>
      </c>
      <c r="Y86" s="158" t="str">
        <v/>
      </c>
      <c r="Z86" s="158" t="str">
        <v/>
      </c>
      <c r="AA86" s="158" t="e">
        <v>#VALUE!</v>
      </c>
      <c r="AB86" s="171">
        <v>0.03</v>
      </c>
      <c r="AC86" s="158">
        <v>3985.109375</v>
      </c>
      <c r="AD86" s="173" t="str">
        <f ca="1">IFERROR(__xludf.DUMMYFUNCTION("""COMPUTED_VALUE"""),"2025-06")</f>
        <v>2025-06</v>
      </c>
      <c r="AE86" s="154">
        <v>0</v>
      </c>
      <c r="AF86" s="154">
        <v>0</v>
      </c>
    </row>
    <row r="87" spans="1:32" ht="15">
      <c r="A87" s="176">
        <v>45826</v>
      </c>
      <c r="B87" s="145" t="s">
        <v>61</v>
      </c>
      <c r="C87" s="169">
        <v>199438</v>
      </c>
      <c r="D87" s="145">
        <v>54</v>
      </c>
      <c r="E87" s="145">
        <v>3</v>
      </c>
      <c r="F87" s="169" t="e">
        <v>#VALUE!</v>
      </c>
      <c r="G87" s="145"/>
      <c r="H87" s="145">
        <v>1</v>
      </c>
      <c r="I87" s="145"/>
      <c r="J87" s="145"/>
      <c r="K87" s="145">
        <v>1</v>
      </c>
      <c r="L87" s="145"/>
      <c r="M87" s="145">
        <v>1</v>
      </c>
      <c r="N87" s="145"/>
      <c r="O87" s="174"/>
      <c r="P87" s="174"/>
      <c r="Q87" s="158" t="str">
        <v/>
      </c>
      <c r="R87" s="158">
        <v>297000</v>
      </c>
      <c r="S87" s="158" t="str">
        <v/>
      </c>
      <c r="T87" s="158" t="str">
        <v/>
      </c>
      <c r="U87" s="158">
        <v>1000000</v>
      </c>
      <c r="V87" s="158" t="str">
        <v/>
      </c>
      <c r="W87" s="158">
        <v>297000</v>
      </c>
      <c r="X87" s="158" t="str">
        <v/>
      </c>
      <c r="Y87" s="158" t="str">
        <v/>
      </c>
      <c r="Z87" s="158" t="str">
        <v/>
      </c>
      <c r="AA87" s="158" t="e">
        <v>#VALUE!</v>
      </c>
      <c r="AB87" s="171">
        <v>0.03</v>
      </c>
      <c r="AC87" s="158">
        <v>3693.2962962962961</v>
      </c>
      <c r="AD87" s="173" t="str">
        <f ca="1">IFERROR(__xludf.DUMMYFUNCTION("""COMPUTED_VALUE"""),"2025-06")</f>
        <v>2025-06</v>
      </c>
      <c r="AE87" s="154">
        <v>0</v>
      </c>
      <c r="AF87" s="154">
        <v>0</v>
      </c>
    </row>
    <row r="88" spans="1:32" ht="15">
      <c r="A88" s="176">
        <v>45826</v>
      </c>
      <c r="B88" s="145" t="s">
        <v>49</v>
      </c>
      <c r="C88" s="169">
        <v>246397</v>
      </c>
      <c r="D88" s="145">
        <v>46</v>
      </c>
      <c r="E88" s="145">
        <v>1</v>
      </c>
      <c r="F88" s="169" t="e">
        <v>#VALUE!</v>
      </c>
      <c r="G88" s="145">
        <v>1</v>
      </c>
      <c r="H88" s="145"/>
      <c r="I88" s="145"/>
      <c r="J88" s="145"/>
      <c r="K88" s="145"/>
      <c r="L88" s="145"/>
      <c r="M88" s="145"/>
      <c r="N88" s="145"/>
      <c r="O88" s="174"/>
      <c r="P88" s="174"/>
      <c r="Q88" s="158">
        <v>197000</v>
      </c>
      <c r="R88" s="158" t="str">
        <v/>
      </c>
      <c r="S88" s="158" t="str">
        <v/>
      </c>
      <c r="T88" s="158" t="str">
        <v/>
      </c>
      <c r="U88" s="158" t="str">
        <v/>
      </c>
      <c r="V88" s="158" t="str">
        <v/>
      </c>
      <c r="W88" s="158" t="str">
        <v/>
      </c>
      <c r="X88" s="158" t="str">
        <v/>
      </c>
      <c r="Y88" s="158" t="str">
        <v/>
      </c>
      <c r="Z88" s="158" t="str">
        <v/>
      </c>
      <c r="AA88" s="158" t="e">
        <v>#VALUE!</v>
      </c>
      <c r="AB88" s="171">
        <v>0.01</v>
      </c>
      <c r="AC88" s="158">
        <v>5356.45652173913</v>
      </c>
      <c r="AD88" s="173" t="str">
        <f ca="1">IFERROR(__xludf.DUMMYFUNCTION("""COMPUTED_VALUE"""),"2025-06")</f>
        <v>2025-06</v>
      </c>
      <c r="AE88" s="154">
        <v>0</v>
      </c>
      <c r="AF88" s="154">
        <v>0</v>
      </c>
    </row>
    <row r="89" spans="1:32" ht="15">
      <c r="A89" s="176">
        <v>45827</v>
      </c>
      <c r="B89" s="145" t="s">
        <v>49</v>
      </c>
      <c r="C89" s="169">
        <v>95961</v>
      </c>
      <c r="D89" s="145">
        <v>16</v>
      </c>
      <c r="E89" s="145">
        <v>1</v>
      </c>
      <c r="F89" s="169" t="e">
        <v>#VALUE!</v>
      </c>
      <c r="G89" s="145">
        <v>1</v>
      </c>
      <c r="H89" s="145"/>
      <c r="I89" s="145"/>
      <c r="J89" s="145"/>
      <c r="K89" s="145"/>
      <c r="L89" s="145"/>
      <c r="M89" s="145"/>
      <c r="N89" s="145"/>
      <c r="O89" s="174"/>
      <c r="P89" s="174"/>
      <c r="Q89" s="158">
        <v>197000</v>
      </c>
      <c r="R89" s="158" t="str">
        <v/>
      </c>
      <c r="S89" s="158" t="str">
        <v/>
      </c>
      <c r="T89" s="158" t="str">
        <v/>
      </c>
      <c r="U89" s="158" t="str">
        <v/>
      </c>
      <c r="V89" s="158" t="str">
        <v/>
      </c>
      <c r="W89" s="158" t="str">
        <v/>
      </c>
      <c r="X89" s="158" t="str">
        <v/>
      </c>
      <c r="Y89" s="158" t="str">
        <v/>
      </c>
      <c r="Z89" s="158" t="str">
        <v/>
      </c>
      <c r="AA89" s="158" t="e">
        <v>#VALUE!</v>
      </c>
      <c r="AB89" s="171">
        <v>0.01</v>
      </c>
      <c r="AC89" s="158">
        <v>5997.5625</v>
      </c>
      <c r="AD89" s="173" t="str">
        <f ca="1">IFERROR(__xludf.DUMMYFUNCTION("""COMPUTED_VALUE"""),"2025-06")</f>
        <v>2025-06</v>
      </c>
      <c r="AE89" s="154">
        <v>0</v>
      </c>
      <c r="AF89" s="154">
        <v>0</v>
      </c>
    </row>
    <row r="90" spans="1:32" ht="15">
      <c r="A90" s="176">
        <v>45827</v>
      </c>
      <c r="B90" s="145" t="s">
        <v>115</v>
      </c>
      <c r="C90" s="169">
        <v>262297</v>
      </c>
      <c r="D90" s="145">
        <v>49</v>
      </c>
      <c r="E90" s="145">
        <v>2</v>
      </c>
      <c r="F90" s="169" t="e">
        <v>#VALUE!</v>
      </c>
      <c r="G90" s="145">
        <v>2</v>
      </c>
      <c r="H90" s="145"/>
      <c r="I90" s="145"/>
      <c r="J90" s="145"/>
      <c r="K90" s="145"/>
      <c r="L90" s="145"/>
      <c r="M90" s="145"/>
      <c r="N90" s="145"/>
      <c r="O90" s="174"/>
      <c r="P90" s="174"/>
      <c r="Q90" s="158">
        <v>394000</v>
      </c>
      <c r="R90" s="158" t="str">
        <v/>
      </c>
      <c r="S90" s="158" t="str">
        <v/>
      </c>
      <c r="T90" s="158" t="str">
        <v/>
      </c>
      <c r="U90" s="158" t="str">
        <v/>
      </c>
      <c r="V90" s="158" t="str">
        <v/>
      </c>
      <c r="W90" s="158" t="str">
        <v/>
      </c>
      <c r="X90" s="158" t="str">
        <v/>
      </c>
      <c r="Y90" s="158" t="str">
        <v/>
      </c>
      <c r="Z90" s="158" t="str">
        <v/>
      </c>
      <c r="AA90" s="158" t="e">
        <v>#VALUE!</v>
      </c>
      <c r="AB90" s="171">
        <v>0.02</v>
      </c>
      <c r="AC90" s="158">
        <v>5353</v>
      </c>
      <c r="AD90" s="173" t="str">
        <f ca="1">IFERROR(__xludf.DUMMYFUNCTION("""COMPUTED_VALUE"""),"2025-06")</f>
        <v>2025-06</v>
      </c>
      <c r="AE90" s="154">
        <v>0</v>
      </c>
      <c r="AF90" s="154">
        <v>0</v>
      </c>
    </row>
    <row r="91" spans="1:32" ht="15">
      <c r="A91" s="176">
        <v>45827</v>
      </c>
      <c r="B91" s="145" t="s">
        <v>61</v>
      </c>
      <c r="C91" s="169">
        <v>13514</v>
      </c>
      <c r="D91" s="145">
        <v>1</v>
      </c>
      <c r="E91" s="145">
        <v>4</v>
      </c>
      <c r="F91" s="169" t="e">
        <v>#VALUE!</v>
      </c>
      <c r="G91" s="145"/>
      <c r="H91" s="145"/>
      <c r="I91" s="145"/>
      <c r="J91" s="145"/>
      <c r="K91" s="145"/>
      <c r="L91" s="145">
        <v>2</v>
      </c>
      <c r="M91" s="145">
        <v>2</v>
      </c>
      <c r="N91" s="145"/>
      <c r="O91" s="174"/>
      <c r="P91" s="174"/>
      <c r="Q91" s="158" t="str">
        <v/>
      </c>
      <c r="R91" s="158" t="str">
        <v/>
      </c>
      <c r="S91" s="158" t="str">
        <v/>
      </c>
      <c r="T91" s="158" t="str">
        <v/>
      </c>
      <c r="U91" s="158" t="str">
        <v/>
      </c>
      <c r="V91" s="158">
        <v>394000</v>
      </c>
      <c r="W91" s="158">
        <v>594000</v>
      </c>
      <c r="X91" s="158" t="str">
        <v/>
      </c>
      <c r="Y91" s="158" t="str">
        <v/>
      </c>
      <c r="Z91" s="158" t="str">
        <v/>
      </c>
      <c r="AA91" s="158" t="e">
        <v>#VALUE!</v>
      </c>
      <c r="AB91" s="171">
        <v>0.04</v>
      </c>
      <c r="AC91" s="158">
        <v>13514</v>
      </c>
      <c r="AD91" s="173" t="str">
        <f ca="1">IFERROR(__xludf.DUMMYFUNCTION("""COMPUTED_VALUE"""),"2025-06")</f>
        <v>2025-06</v>
      </c>
      <c r="AE91" s="154">
        <v>0</v>
      </c>
      <c r="AF91" s="154">
        <v>0</v>
      </c>
    </row>
    <row r="92" spans="1:32" ht="15">
      <c r="A92" s="176">
        <v>45828</v>
      </c>
      <c r="B92" s="145" t="s">
        <v>49</v>
      </c>
      <c r="C92" s="169">
        <v>74296</v>
      </c>
      <c r="D92" s="145">
        <v>11</v>
      </c>
      <c r="E92" s="145">
        <v>1</v>
      </c>
      <c r="F92" s="169" t="e">
        <v>#VALUE!</v>
      </c>
      <c r="G92" s="145"/>
      <c r="H92" s="145">
        <v>1</v>
      </c>
      <c r="I92" s="145"/>
      <c r="J92" s="145"/>
      <c r="K92" s="145"/>
      <c r="L92" s="145"/>
      <c r="M92" s="145"/>
      <c r="N92" s="145"/>
      <c r="O92" s="174"/>
      <c r="P92" s="174"/>
      <c r="Q92" s="158" t="str">
        <v/>
      </c>
      <c r="R92" s="158">
        <v>297000</v>
      </c>
      <c r="S92" s="158" t="str">
        <v/>
      </c>
      <c r="T92" s="158" t="str">
        <v/>
      </c>
      <c r="U92" s="158" t="str">
        <v/>
      </c>
      <c r="V92" s="158" t="str">
        <v/>
      </c>
      <c r="W92" s="158" t="str">
        <v/>
      </c>
      <c r="X92" s="158" t="str">
        <v/>
      </c>
      <c r="Y92" s="158" t="str">
        <v/>
      </c>
      <c r="Z92" s="158" t="str">
        <v/>
      </c>
      <c r="AA92" s="158" t="e">
        <v>#VALUE!</v>
      </c>
      <c r="AB92" s="171">
        <v>0.01</v>
      </c>
      <c r="AC92" s="158">
        <v>6754.181818181818</v>
      </c>
      <c r="AD92" s="173" t="str">
        <f ca="1">IFERROR(__xludf.DUMMYFUNCTION("""COMPUTED_VALUE"""),"2025-06")</f>
        <v>2025-06</v>
      </c>
      <c r="AE92" s="154">
        <v>0</v>
      </c>
      <c r="AF92" s="154">
        <v>0</v>
      </c>
    </row>
    <row r="93" spans="1:32" ht="15">
      <c r="A93" s="176">
        <v>45828</v>
      </c>
      <c r="B93" s="145" t="s">
        <v>115</v>
      </c>
      <c r="C93" s="169">
        <v>278708</v>
      </c>
      <c r="D93" s="145">
        <v>67</v>
      </c>
      <c r="E93" s="145">
        <v>3</v>
      </c>
      <c r="F93" s="169" t="e">
        <v>#VALUE!</v>
      </c>
      <c r="G93" s="145">
        <v>1</v>
      </c>
      <c r="H93" s="145">
        <v>1</v>
      </c>
      <c r="I93" s="145"/>
      <c r="J93" s="145"/>
      <c r="K93" s="145"/>
      <c r="L93" s="145"/>
      <c r="M93" s="145">
        <v>1</v>
      </c>
      <c r="N93" s="145"/>
      <c r="O93" s="174"/>
      <c r="P93" s="174"/>
      <c r="Q93" s="158">
        <v>197000</v>
      </c>
      <c r="R93" s="158">
        <v>297000</v>
      </c>
      <c r="S93" s="158" t="str">
        <v/>
      </c>
      <c r="T93" s="158" t="str">
        <v/>
      </c>
      <c r="U93" s="158" t="str">
        <v/>
      </c>
      <c r="V93" s="158" t="str">
        <v/>
      </c>
      <c r="W93" s="158">
        <v>297000</v>
      </c>
      <c r="X93" s="158" t="str">
        <v/>
      </c>
      <c r="Y93" s="158" t="str">
        <v/>
      </c>
      <c r="Z93" s="158" t="str">
        <v/>
      </c>
      <c r="AA93" s="158" t="e">
        <v>#VALUE!</v>
      </c>
      <c r="AB93" s="171">
        <v>0.03</v>
      </c>
      <c r="AC93" s="158">
        <v>4159.8208955223881</v>
      </c>
      <c r="AD93" s="173" t="str">
        <f ca="1">IFERROR(__xludf.DUMMYFUNCTION("""COMPUTED_VALUE"""),"2025-06")</f>
        <v>2025-06</v>
      </c>
      <c r="AE93" s="154">
        <v>0</v>
      </c>
      <c r="AF93" s="154">
        <v>0</v>
      </c>
    </row>
    <row r="94" spans="1:32" ht="15">
      <c r="A94" s="176">
        <v>45828</v>
      </c>
      <c r="B94" s="145" t="s">
        <v>61</v>
      </c>
      <c r="C94" s="169">
        <v>146025</v>
      </c>
      <c r="D94" s="145">
        <v>21</v>
      </c>
      <c r="E94" s="145">
        <v>2</v>
      </c>
      <c r="F94" s="169" t="e">
        <v>#VALUE!</v>
      </c>
      <c r="G94" s="145"/>
      <c r="H94" s="145"/>
      <c r="I94" s="145"/>
      <c r="J94" s="145"/>
      <c r="K94" s="145"/>
      <c r="L94" s="145">
        <v>2</v>
      </c>
      <c r="M94" s="145"/>
      <c r="N94" s="145"/>
      <c r="O94" s="174"/>
      <c r="P94" s="174"/>
      <c r="Q94" s="158" t="str">
        <v/>
      </c>
      <c r="R94" s="158" t="str">
        <v/>
      </c>
      <c r="S94" s="158" t="str">
        <v/>
      </c>
      <c r="T94" s="158" t="str">
        <v/>
      </c>
      <c r="U94" s="158" t="str">
        <v/>
      </c>
      <c r="V94" s="158">
        <v>394000</v>
      </c>
      <c r="W94" s="158" t="str">
        <v/>
      </c>
      <c r="X94" s="158" t="str">
        <v/>
      </c>
      <c r="Y94" s="158" t="str">
        <v/>
      </c>
      <c r="Z94" s="158" t="str">
        <v/>
      </c>
      <c r="AA94" s="158" t="e">
        <v>#VALUE!</v>
      </c>
      <c r="AB94" s="171">
        <v>0.02</v>
      </c>
      <c r="AC94" s="158">
        <v>6953.5714285714284</v>
      </c>
      <c r="AD94" s="173" t="str">
        <f ca="1">IFERROR(__xludf.DUMMYFUNCTION("""COMPUTED_VALUE"""),"2025-06")</f>
        <v>2025-06</v>
      </c>
      <c r="AE94" s="154">
        <v>0</v>
      </c>
      <c r="AF94" s="154">
        <v>0</v>
      </c>
    </row>
    <row r="95" spans="1:32" ht="15">
      <c r="A95" s="176">
        <v>45828</v>
      </c>
      <c r="B95" s="145" t="s">
        <v>752</v>
      </c>
      <c r="C95" s="169">
        <v>81674</v>
      </c>
      <c r="D95" s="145">
        <v>11</v>
      </c>
      <c r="E95" s="145"/>
      <c r="F95" s="169" t="e">
        <v>#VALUE!</v>
      </c>
      <c r="G95" s="145"/>
      <c r="H95" s="145"/>
      <c r="I95" s="145"/>
      <c r="J95" s="145"/>
      <c r="K95" s="145"/>
      <c r="L95" s="145"/>
      <c r="M95" s="145"/>
      <c r="N95" s="145"/>
      <c r="O95" s="174"/>
      <c r="P95" s="174"/>
      <c r="Q95" s="158" t="str">
        <v/>
      </c>
      <c r="R95" s="158" t="str">
        <v/>
      </c>
      <c r="S95" s="158" t="str">
        <v/>
      </c>
      <c r="T95" s="158" t="str">
        <v/>
      </c>
      <c r="U95" s="158" t="str">
        <v/>
      </c>
      <c r="V95" s="158" t="str">
        <v/>
      </c>
      <c r="W95" s="158" t="str">
        <v/>
      </c>
      <c r="X95" s="158" t="str">
        <v/>
      </c>
      <c r="Y95" s="158" t="str">
        <v/>
      </c>
      <c r="Z95" s="158" t="str">
        <v/>
      </c>
      <c r="AA95" s="158" t="e">
        <v>#VALUE!</v>
      </c>
      <c r="AB95" s="171" t="str">
        <v/>
      </c>
      <c r="AC95" s="158">
        <v>7424.909090909091</v>
      </c>
      <c r="AD95" s="173" t="str">
        <f ca="1">IFERROR(__xludf.DUMMYFUNCTION("""COMPUTED_VALUE"""),"2025-06")</f>
        <v>2025-06</v>
      </c>
      <c r="AE95" s="154" t="str">
        <v/>
      </c>
      <c r="AF95" s="154" t="str">
        <v/>
      </c>
    </row>
    <row r="96" spans="1:32" ht="15">
      <c r="A96" s="176">
        <v>45828</v>
      </c>
      <c r="B96" s="145" t="s">
        <v>1229</v>
      </c>
      <c r="C96" s="169">
        <v>0</v>
      </c>
      <c r="D96" s="145"/>
      <c r="E96" s="145"/>
      <c r="F96" s="169" t="e">
        <v>#VALUE!</v>
      </c>
      <c r="G96" s="145"/>
      <c r="H96" s="145"/>
      <c r="I96" s="145"/>
      <c r="J96" s="145"/>
      <c r="K96" s="145"/>
      <c r="L96" s="145"/>
      <c r="M96" s="145"/>
      <c r="N96" s="145"/>
      <c r="O96" s="174"/>
      <c r="P96" s="174"/>
      <c r="Q96" s="158" t="str">
        <v/>
      </c>
      <c r="R96" s="158" t="str">
        <v/>
      </c>
      <c r="S96" s="158" t="str">
        <v/>
      </c>
      <c r="T96" s="158" t="str">
        <v/>
      </c>
      <c r="U96" s="158" t="str">
        <v/>
      </c>
      <c r="V96" s="158" t="str">
        <v/>
      </c>
      <c r="W96" s="158" t="str">
        <v/>
      </c>
      <c r="X96" s="158" t="str">
        <v/>
      </c>
      <c r="Y96" s="158" t="str">
        <v/>
      </c>
      <c r="Z96" s="158" t="str">
        <v/>
      </c>
      <c r="AA96" s="158" t="e">
        <v>#VALUE!</v>
      </c>
      <c r="AB96" s="171" t="str">
        <v/>
      </c>
      <c r="AC96" s="158">
        <v>0</v>
      </c>
      <c r="AD96" s="173" t="str">
        <f ca="1">IFERROR(__xludf.DUMMYFUNCTION("""COMPUTED_VALUE"""),"2025-06")</f>
        <v>2025-06</v>
      </c>
      <c r="AE96" s="154" t="str">
        <v/>
      </c>
      <c r="AF96" s="154" t="str">
        <v/>
      </c>
    </row>
    <row r="97" spans="1:32" ht="15">
      <c r="A97" s="176">
        <v>45829</v>
      </c>
      <c r="B97" s="145" t="s">
        <v>752</v>
      </c>
      <c r="C97" s="169">
        <v>21439</v>
      </c>
      <c r="D97" s="145">
        <v>2</v>
      </c>
      <c r="E97" s="145"/>
      <c r="F97" s="169" t="e">
        <v>#VALUE!</v>
      </c>
      <c r="G97" s="145"/>
      <c r="H97" s="145"/>
      <c r="I97" s="145"/>
      <c r="J97" s="145"/>
      <c r="K97" s="145"/>
      <c r="L97" s="145"/>
      <c r="M97" s="145"/>
      <c r="N97" s="145"/>
      <c r="O97" s="174"/>
      <c r="P97" s="174"/>
      <c r="Q97" s="158" t="str">
        <v/>
      </c>
      <c r="R97" s="158" t="str">
        <v/>
      </c>
      <c r="S97" s="158" t="str">
        <v/>
      </c>
      <c r="T97" s="158" t="str">
        <v/>
      </c>
      <c r="U97" s="158" t="str">
        <v/>
      </c>
      <c r="V97" s="158" t="str">
        <v/>
      </c>
      <c r="W97" s="158" t="str">
        <v/>
      </c>
      <c r="X97" s="158" t="str">
        <v/>
      </c>
      <c r="Y97" s="158" t="str">
        <v/>
      </c>
      <c r="Z97" s="158" t="str">
        <v/>
      </c>
      <c r="AA97" s="158" t="e">
        <v>#VALUE!</v>
      </c>
      <c r="AB97" s="171" t="str">
        <v/>
      </c>
      <c r="AC97" s="158">
        <v>10719.5</v>
      </c>
      <c r="AD97" s="173" t="str">
        <f ca="1">IFERROR(__xludf.DUMMYFUNCTION("""COMPUTED_VALUE"""),"2025-06")</f>
        <v>2025-06</v>
      </c>
      <c r="AE97" s="154" t="str">
        <v/>
      </c>
      <c r="AF97" s="154" t="str">
        <v/>
      </c>
    </row>
    <row r="98" spans="1:32" ht="15">
      <c r="A98" s="176">
        <v>45829</v>
      </c>
      <c r="B98" s="145" t="s">
        <v>115</v>
      </c>
      <c r="C98" s="169">
        <v>204097</v>
      </c>
      <c r="D98" s="145">
        <v>33</v>
      </c>
      <c r="E98" s="145">
        <v>1</v>
      </c>
      <c r="F98" s="169" t="e">
        <v>#VALUE!</v>
      </c>
      <c r="G98" s="145">
        <v>1</v>
      </c>
      <c r="H98" s="145"/>
      <c r="I98" s="145"/>
      <c r="J98" s="145"/>
      <c r="K98" s="145"/>
      <c r="L98" s="145"/>
      <c r="M98" s="145"/>
      <c r="N98" s="145"/>
      <c r="O98" s="174"/>
      <c r="P98" s="174"/>
      <c r="Q98" s="158">
        <v>197000</v>
      </c>
      <c r="R98" s="158" t="str">
        <v/>
      </c>
      <c r="S98" s="158" t="str">
        <v/>
      </c>
      <c r="T98" s="158" t="str">
        <v/>
      </c>
      <c r="U98" s="158" t="str">
        <v/>
      </c>
      <c r="V98" s="158" t="str">
        <v/>
      </c>
      <c r="W98" s="158" t="str">
        <v/>
      </c>
      <c r="X98" s="158" t="str">
        <v/>
      </c>
      <c r="Y98" s="158" t="str">
        <v/>
      </c>
      <c r="Z98" s="158" t="str">
        <v/>
      </c>
      <c r="AA98" s="158" t="e">
        <v>#VALUE!</v>
      </c>
      <c r="AB98" s="171">
        <v>0.01</v>
      </c>
      <c r="AC98" s="158">
        <v>6184.757575757576</v>
      </c>
      <c r="AD98" s="173" t="str">
        <f ca="1">IFERROR(__xludf.DUMMYFUNCTION("""COMPUTED_VALUE"""),"2025-06")</f>
        <v>2025-06</v>
      </c>
      <c r="AE98" s="154">
        <v>0</v>
      </c>
      <c r="AF98" s="154">
        <v>0</v>
      </c>
    </row>
    <row r="99" spans="1:32" ht="15">
      <c r="A99" s="176">
        <v>45829</v>
      </c>
      <c r="B99" s="145" t="s">
        <v>49</v>
      </c>
      <c r="C99" s="169">
        <v>163257</v>
      </c>
      <c r="D99" s="145">
        <v>33</v>
      </c>
      <c r="E99" s="145">
        <v>2</v>
      </c>
      <c r="F99" s="169" t="e">
        <v>#VALUE!</v>
      </c>
      <c r="G99" s="145">
        <v>1</v>
      </c>
      <c r="H99" s="145"/>
      <c r="I99" s="145"/>
      <c r="J99" s="145"/>
      <c r="K99" s="145"/>
      <c r="L99" s="145"/>
      <c r="M99" s="145"/>
      <c r="N99" s="145"/>
      <c r="O99" s="174">
        <v>1</v>
      </c>
      <c r="P99" s="174"/>
      <c r="Q99" s="158">
        <v>197000</v>
      </c>
      <c r="R99" s="158" t="str">
        <v/>
      </c>
      <c r="S99" s="158" t="str">
        <v/>
      </c>
      <c r="T99" s="158" t="str">
        <v/>
      </c>
      <c r="U99" s="158" t="str">
        <v/>
      </c>
      <c r="V99" s="158" t="str">
        <v/>
      </c>
      <c r="W99" s="158" t="str">
        <v/>
      </c>
      <c r="X99" s="158" t="str">
        <v/>
      </c>
      <c r="Y99" s="158">
        <v>550000</v>
      </c>
      <c r="Z99" s="158" t="str">
        <v/>
      </c>
      <c r="AA99" s="158" t="e">
        <v>#VALUE!</v>
      </c>
      <c r="AB99" s="171">
        <v>0.02</v>
      </c>
      <c r="AC99" s="158">
        <v>4947.181818181818</v>
      </c>
      <c r="AD99" s="173" t="str">
        <f ca="1">IFERROR(__xludf.DUMMYFUNCTION("""COMPUTED_VALUE"""),"2025-06")</f>
        <v>2025-06</v>
      </c>
      <c r="AE99" s="154">
        <v>0</v>
      </c>
      <c r="AF99" s="154">
        <v>0</v>
      </c>
    </row>
    <row r="100" spans="1:32" ht="15">
      <c r="A100" s="176">
        <v>45829</v>
      </c>
      <c r="B100" s="145" t="s">
        <v>61</v>
      </c>
      <c r="C100" s="169">
        <v>150962</v>
      </c>
      <c r="D100" s="145">
        <v>9</v>
      </c>
      <c r="E100" s="145">
        <v>3</v>
      </c>
      <c r="F100" s="169" t="e">
        <v>#VALUE!</v>
      </c>
      <c r="G100" s="145">
        <v>1</v>
      </c>
      <c r="H100" s="145"/>
      <c r="I100" s="145"/>
      <c r="J100" s="145"/>
      <c r="K100" s="145"/>
      <c r="L100" s="145">
        <v>1</v>
      </c>
      <c r="M100" s="145"/>
      <c r="N100" s="145"/>
      <c r="O100" s="174">
        <v>1</v>
      </c>
      <c r="P100" s="174"/>
      <c r="Q100" s="158">
        <v>197000</v>
      </c>
      <c r="R100" s="158" t="str">
        <v/>
      </c>
      <c r="S100" s="158" t="str">
        <v/>
      </c>
      <c r="T100" s="158" t="str">
        <v/>
      </c>
      <c r="U100" s="158" t="str">
        <v/>
      </c>
      <c r="V100" s="158">
        <v>197000</v>
      </c>
      <c r="W100" s="158" t="str">
        <v/>
      </c>
      <c r="X100" s="158" t="str">
        <v/>
      </c>
      <c r="Y100" s="158">
        <v>550000</v>
      </c>
      <c r="Z100" s="158" t="str">
        <v/>
      </c>
      <c r="AA100" s="158" t="e">
        <v>#VALUE!</v>
      </c>
      <c r="AB100" s="171">
        <v>0.03</v>
      </c>
      <c r="AC100" s="158">
        <v>16773.555555555555</v>
      </c>
      <c r="AD100" s="173" t="str">
        <f ca="1">IFERROR(__xludf.DUMMYFUNCTION("""COMPUTED_VALUE"""),"2025-06")</f>
        <v>2025-06</v>
      </c>
      <c r="AE100" s="154">
        <v>0</v>
      </c>
      <c r="AF100" s="154">
        <v>0</v>
      </c>
    </row>
    <row r="101" spans="1:32" ht="15">
      <c r="A101" s="176">
        <v>45829</v>
      </c>
      <c r="B101" s="145" t="s">
        <v>1229</v>
      </c>
      <c r="C101" s="169">
        <v>47422</v>
      </c>
      <c r="D101" s="145">
        <v>4</v>
      </c>
      <c r="E101" s="145"/>
      <c r="F101" s="169" t="e">
        <v>#VALUE!</v>
      </c>
      <c r="G101" s="145"/>
      <c r="H101" s="145"/>
      <c r="I101" s="145"/>
      <c r="J101" s="145"/>
      <c r="K101" s="145"/>
      <c r="L101" s="145"/>
      <c r="M101" s="145"/>
      <c r="N101" s="145"/>
      <c r="O101" s="174"/>
      <c r="P101" s="174"/>
      <c r="Q101" s="158" t="str">
        <v/>
      </c>
      <c r="R101" s="158" t="str">
        <v/>
      </c>
      <c r="S101" s="158" t="str">
        <v/>
      </c>
      <c r="T101" s="158" t="str">
        <v/>
      </c>
      <c r="U101" s="158" t="str">
        <v/>
      </c>
      <c r="V101" s="158" t="str">
        <v/>
      </c>
      <c r="W101" s="158" t="str">
        <v/>
      </c>
      <c r="X101" s="158" t="str">
        <v/>
      </c>
      <c r="Y101" s="158" t="str">
        <v/>
      </c>
      <c r="Z101" s="158" t="str">
        <v/>
      </c>
      <c r="AA101" s="158" t="e">
        <v>#VALUE!</v>
      </c>
      <c r="AB101" s="171" t="str">
        <v/>
      </c>
      <c r="AC101" s="158">
        <v>11855.5</v>
      </c>
      <c r="AD101" s="173" t="str">
        <f ca="1">IFERROR(__xludf.DUMMYFUNCTION("""COMPUTED_VALUE"""),"2025-06")</f>
        <v>2025-06</v>
      </c>
      <c r="AE101" s="154" t="str">
        <v/>
      </c>
      <c r="AF101" s="154" t="str">
        <v/>
      </c>
    </row>
    <row r="102" spans="1:32" ht="15">
      <c r="A102" s="176">
        <v>45830</v>
      </c>
      <c r="B102" s="145" t="s">
        <v>752</v>
      </c>
      <c r="C102" s="169">
        <v>66554</v>
      </c>
      <c r="D102" s="145">
        <v>8</v>
      </c>
      <c r="E102" s="145"/>
      <c r="F102" s="169" t="e">
        <v>#VALUE!</v>
      </c>
      <c r="G102" s="145"/>
      <c r="H102" s="145"/>
      <c r="I102" s="145"/>
      <c r="J102" s="145"/>
      <c r="K102" s="145"/>
      <c r="L102" s="145"/>
      <c r="M102" s="145"/>
      <c r="N102" s="145"/>
      <c r="O102" s="174"/>
      <c r="P102" s="174"/>
      <c r="Q102" s="158" t="str">
        <v/>
      </c>
      <c r="R102" s="158" t="str">
        <v/>
      </c>
      <c r="S102" s="158" t="str">
        <v/>
      </c>
      <c r="T102" s="158" t="str">
        <v/>
      </c>
      <c r="U102" s="158" t="str">
        <v/>
      </c>
      <c r="V102" s="158" t="str">
        <v/>
      </c>
      <c r="W102" s="158" t="str">
        <v/>
      </c>
      <c r="X102" s="158" t="str">
        <v/>
      </c>
      <c r="Y102" s="158" t="str">
        <v/>
      </c>
      <c r="Z102" s="158" t="str">
        <v/>
      </c>
      <c r="AA102" s="158" t="e">
        <v>#VALUE!</v>
      </c>
      <c r="AB102" s="171" t="str">
        <v/>
      </c>
      <c r="AC102" s="158">
        <v>8319.25</v>
      </c>
      <c r="AD102" s="173" t="str">
        <f ca="1">IFERROR(__xludf.DUMMYFUNCTION("""COMPUTED_VALUE"""),"2025-06")</f>
        <v>2025-06</v>
      </c>
      <c r="AE102" s="154" t="str">
        <v/>
      </c>
      <c r="AF102" s="154" t="str">
        <v/>
      </c>
    </row>
    <row r="103" spans="1:32" ht="15">
      <c r="A103" s="176">
        <v>45830</v>
      </c>
      <c r="B103" s="145" t="s">
        <v>115</v>
      </c>
      <c r="C103" s="169">
        <v>361782</v>
      </c>
      <c r="D103" s="145">
        <v>93</v>
      </c>
      <c r="E103" s="145">
        <v>3</v>
      </c>
      <c r="F103" s="169" t="e">
        <v>#VALUE!</v>
      </c>
      <c r="G103" s="145">
        <v>3</v>
      </c>
      <c r="H103" s="145"/>
      <c r="I103" s="145"/>
      <c r="J103" s="145"/>
      <c r="K103" s="145"/>
      <c r="L103" s="145"/>
      <c r="M103" s="145"/>
      <c r="N103" s="145"/>
      <c r="O103" s="174"/>
      <c r="P103" s="174"/>
      <c r="Q103" s="158">
        <v>591000</v>
      </c>
      <c r="R103" s="158" t="str">
        <v/>
      </c>
      <c r="S103" s="158" t="str">
        <v/>
      </c>
      <c r="T103" s="158" t="str">
        <v/>
      </c>
      <c r="U103" s="158" t="str">
        <v/>
      </c>
      <c r="V103" s="158" t="str">
        <v/>
      </c>
      <c r="W103" s="158" t="str">
        <v/>
      </c>
      <c r="X103" s="158" t="str">
        <v/>
      </c>
      <c r="Y103" s="158" t="str">
        <v/>
      </c>
      <c r="Z103" s="158" t="str">
        <v/>
      </c>
      <c r="AA103" s="158" t="e">
        <v>#VALUE!</v>
      </c>
      <c r="AB103" s="171">
        <v>0.03</v>
      </c>
      <c r="AC103" s="158">
        <v>3890.1290322580644</v>
      </c>
      <c r="AD103" s="173" t="str">
        <f ca="1">IFERROR(__xludf.DUMMYFUNCTION("""COMPUTED_VALUE"""),"2025-06")</f>
        <v>2025-06</v>
      </c>
      <c r="AE103" s="154">
        <v>0</v>
      </c>
      <c r="AF103" s="154">
        <v>0</v>
      </c>
    </row>
    <row r="104" spans="1:32" ht="15">
      <c r="A104" s="176">
        <v>45830</v>
      </c>
      <c r="B104" s="145" t="s">
        <v>49</v>
      </c>
      <c r="C104" s="169">
        <v>175080</v>
      </c>
      <c r="D104" s="145">
        <v>41</v>
      </c>
      <c r="E104" s="145"/>
      <c r="F104" s="169" t="e">
        <v>#VALUE!</v>
      </c>
      <c r="G104" s="145"/>
      <c r="H104" s="145"/>
      <c r="I104" s="145"/>
      <c r="J104" s="145"/>
      <c r="K104" s="145"/>
      <c r="L104" s="145"/>
      <c r="M104" s="145"/>
      <c r="N104" s="145"/>
      <c r="O104" s="174"/>
      <c r="P104" s="174"/>
      <c r="Q104" s="158" t="str">
        <v/>
      </c>
      <c r="R104" s="158" t="str">
        <v/>
      </c>
      <c r="S104" s="158" t="str">
        <v/>
      </c>
      <c r="T104" s="158" t="str">
        <v/>
      </c>
      <c r="U104" s="158" t="str">
        <v/>
      </c>
      <c r="V104" s="158" t="str">
        <v/>
      </c>
      <c r="W104" s="158" t="str">
        <v/>
      </c>
      <c r="X104" s="158" t="str">
        <v/>
      </c>
      <c r="Y104" s="158" t="str">
        <v/>
      </c>
      <c r="Z104" s="158" t="str">
        <v/>
      </c>
      <c r="AA104" s="158" t="e">
        <v>#VALUE!</v>
      </c>
      <c r="AB104" s="171" t="str">
        <v/>
      </c>
      <c r="AC104" s="158">
        <v>4270.2439024390242</v>
      </c>
      <c r="AD104" s="173" t="str">
        <f ca="1">IFERROR(__xludf.DUMMYFUNCTION("""COMPUTED_VALUE"""),"2025-06")</f>
        <v>2025-06</v>
      </c>
      <c r="AE104" s="154" t="str">
        <v/>
      </c>
      <c r="AF104" s="154" t="str">
        <v/>
      </c>
    </row>
    <row r="105" spans="1:32" ht="15">
      <c r="A105" s="176">
        <v>45830</v>
      </c>
      <c r="B105" s="145" t="s">
        <v>61</v>
      </c>
      <c r="C105" s="169">
        <v>289633</v>
      </c>
      <c r="D105" s="145">
        <v>56</v>
      </c>
      <c r="E105" s="145">
        <v>2</v>
      </c>
      <c r="F105" s="169" t="e">
        <v>#VALUE!</v>
      </c>
      <c r="G105" s="145"/>
      <c r="H105" s="145"/>
      <c r="I105" s="145"/>
      <c r="J105" s="145"/>
      <c r="K105" s="145"/>
      <c r="L105" s="145"/>
      <c r="M105" s="145">
        <v>1</v>
      </c>
      <c r="N105" s="145"/>
      <c r="O105" s="174"/>
      <c r="P105" s="174">
        <v>1</v>
      </c>
      <c r="Q105" s="158" t="str">
        <v/>
      </c>
      <c r="R105" s="158" t="str">
        <v/>
      </c>
      <c r="S105" s="158" t="str">
        <v/>
      </c>
      <c r="T105" s="158" t="str">
        <v/>
      </c>
      <c r="U105" s="158" t="str">
        <v/>
      </c>
      <c r="V105" s="158" t="str">
        <v/>
      </c>
      <c r="W105" s="158">
        <v>297000</v>
      </c>
      <c r="X105" s="158" t="str">
        <v/>
      </c>
      <c r="Y105" s="158" t="str">
        <v/>
      </c>
      <c r="Z105" s="158">
        <v>1000000</v>
      </c>
      <c r="AA105" s="158" t="e">
        <v>#VALUE!</v>
      </c>
      <c r="AB105" s="171">
        <v>0.02</v>
      </c>
      <c r="AC105" s="158">
        <v>5172.0178571428569</v>
      </c>
      <c r="AD105" s="173" t="str">
        <f ca="1">IFERROR(__xludf.DUMMYFUNCTION("""COMPUTED_VALUE"""),"2025-06")</f>
        <v>2025-06</v>
      </c>
      <c r="AE105" s="154">
        <v>0</v>
      </c>
      <c r="AF105" s="154">
        <v>0</v>
      </c>
    </row>
    <row r="106" spans="1:32" ht="15">
      <c r="A106" s="176">
        <v>45830</v>
      </c>
      <c r="B106" s="145" t="s">
        <v>1229</v>
      </c>
      <c r="C106" s="169">
        <v>68817</v>
      </c>
      <c r="D106" s="145">
        <v>16</v>
      </c>
      <c r="E106" s="145">
        <v>1</v>
      </c>
      <c r="F106" s="169" t="e">
        <v>#VALUE!</v>
      </c>
      <c r="G106" s="145">
        <v>1</v>
      </c>
      <c r="H106" s="145"/>
      <c r="I106" s="145"/>
      <c r="J106" s="145"/>
      <c r="K106" s="145"/>
      <c r="L106" s="145"/>
      <c r="M106" s="145"/>
      <c r="N106" s="145"/>
      <c r="O106" s="174"/>
      <c r="P106" s="174"/>
      <c r="Q106" s="158">
        <v>197000</v>
      </c>
      <c r="R106" s="158" t="str">
        <v/>
      </c>
      <c r="S106" s="158" t="str">
        <v/>
      </c>
      <c r="T106" s="158" t="str">
        <v/>
      </c>
      <c r="U106" s="158" t="str">
        <v/>
      </c>
      <c r="V106" s="158" t="str">
        <v/>
      </c>
      <c r="W106" s="158" t="str">
        <v/>
      </c>
      <c r="X106" s="158" t="str">
        <v/>
      </c>
      <c r="Y106" s="158" t="str">
        <v/>
      </c>
      <c r="Z106" s="158" t="str">
        <v/>
      </c>
      <c r="AA106" s="158" t="e">
        <v>#VALUE!</v>
      </c>
      <c r="AB106" s="171">
        <v>0.01</v>
      </c>
      <c r="AC106" s="158">
        <v>4301.0625</v>
      </c>
      <c r="AD106" s="173" t="str">
        <f ca="1">IFERROR(__xludf.DUMMYFUNCTION("""COMPUTED_VALUE"""),"2025-06")</f>
        <v>2025-06</v>
      </c>
      <c r="AE106" s="154">
        <v>0</v>
      </c>
      <c r="AF106" s="154">
        <v>0</v>
      </c>
    </row>
    <row r="107" spans="1:32" ht="15">
      <c r="A107" s="176">
        <v>45831</v>
      </c>
      <c r="B107" s="145" t="s">
        <v>752</v>
      </c>
      <c r="C107" s="169">
        <v>162</v>
      </c>
      <c r="D107" s="145">
        <v>0</v>
      </c>
      <c r="E107" s="145"/>
      <c r="F107" s="169" t="e">
        <v>#VALUE!</v>
      </c>
      <c r="G107" s="145"/>
      <c r="H107" s="145"/>
      <c r="I107" s="145"/>
      <c r="J107" s="145"/>
      <c r="K107" s="145"/>
      <c r="L107" s="145"/>
      <c r="M107" s="145"/>
      <c r="N107" s="145"/>
      <c r="O107" s="174"/>
      <c r="P107" s="174"/>
      <c r="Q107" s="158" t="str">
        <v/>
      </c>
      <c r="R107" s="158" t="str">
        <v/>
      </c>
      <c r="S107" s="158" t="str">
        <v/>
      </c>
      <c r="T107" s="158" t="str">
        <v/>
      </c>
      <c r="U107" s="158" t="str">
        <v/>
      </c>
      <c r="V107" s="158" t="str">
        <v/>
      </c>
      <c r="W107" s="158" t="str">
        <v/>
      </c>
      <c r="X107" s="158" t="str">
        <v/>
      </c>
      <c r="Y107" s="158" t="str">
        <v/>
      </c>
      <c r="Z107" s="158" t="str">
        <v/>
      </c>
      <c r="AA107" s="158" t="e">
        <v>#VALUE!</v>
      </c>
      <c r="AB107" s="171" t="str">
        <v/>
      </c>
      <c r="AC107" s="158" t="str">
        <v/>
      </c>
      <c r="AD107" s="173" t="str">
        <f ca="1">IFERROR(__xludf.DUMMYFUNCTION("""COMPUTED_VALUE"""),"2025-06")</f>
        <v>2025-06</v>
      </c>
      <c r="AE107" s="154" t="str">
        <v/>
      </c>
      <c r="AF107" s="154" t="str">
        <v/>
      </c>
    </row>
    <row r="108" spans="1:32" ht="15">
      <c r="A108" s="176">
        <v>45831</v>
      </c>
      <c r="B108" s="145" t="s">
        <v>115</v>
      </c>
      <c r="C108" s="169">
        <v>297973</v>
      </c>
      <c r="D108" s="145">
        <v>58</v>
      </c>
      <c r="E108" s="145">
        <v>2</v>
      </c>
      <c r="F108" s="169" t="e">
        <v>#VALUE!</v>
      </c>
      <c r="G108" s="145">
        <v>1</v>
      </c>
      <c r="H108" s="145"/>
      <c r="I108" s="145"/>
      <c r="J108" s="145"/>
      <c r="K108" s="145"/>
      <c r="L108" s="145">
        <v>1</v>
      </c>
      <c r="M108" s="145"/>
      <c r="N108" s="145"/>
      <c r="O108" s="174"/>
      <c r="P108" s="174"/>
      <c r="Q108" s="158">
        <v>197000</v>
      </c>
      <c r="R108" s="158" t="str">
        <v/>
      </c>
      <c r="S108" s="158" t="str">
        <v/>
      </c>
      <c r="T108" s="158" t="str">
        <v/>
      </c>
      <c r="U108" s="158" t="str">
        <v/>
      </c>
      <c r="V108" s="158">
        <v>197000</v>
      </c>
      <c r="W108" s="158" t="str">
        <v/>
      </c>
      <c r="X108" s="158" t="str">
        <v/>
      </c>
      <c r="Y108" s="158" t="str">
        <v/>
      </c>
      <c r="Z108" s="158" t="str">
        <v/>
      </c>
      <c r="AA108" s="158" t="e">
        <v>#VALUE!</v>
      </c>
      <c r="AB108" s="171">
        <v>0.02</v>
      </c>
      <c r="AC108" s="158">
        <v>5137.4655172413795</v>
      </c>
      <c r="AD108" s="173" t="str">
        <f ca="1">IFERROR(__xludf.DUMMYFUNCTION("""COMPUTED_VALUE"""),"2025-06")</f>
        <v>2025-06</v>
      </c>
      <c r="AE108" s="154">
        <v>0</v>
      </c>
      <c r="AF108" s="154">
        <v>0</v>
      </c>
    </row>
    <row r="109" spans="1:32" ht="15">
      <c r="A109" s="176">
        <v>45831</v>
      </c>
      <c r="B109" s="145" t="s">
        <v>49</v>
      </c>
      <c r="C109" s="169">
        <v>131542</v>
      </c>
      <c r="D109" s="145">
        <v>13</v>
      </c>
      <c r="E109" s="145">
        <v>4</v>
      </c>
      <c r="F109" s="169" t="e">
        <v>#VALUE!</v>
      </c>
      <c r="G109" s="145">
        <v>3</v>
      </c>
      <c r="H109" s="145"/>
      <c r="I109" s="145"/>
      <c r="J109" s="145"/>
      <c r="K109" s="145">
        <v>1</v>
      </c>
      <c r="L109" s="145"/>
      <c r="M109" s="145"/>
      <c r="N109" s="145"/>
      <c r="O109" s="174"/>
      <c r="P109" s="174"/>
      <c r="Q109" s="158">
        <v>591000</v>
      </c>
      <c r="R109" s="158" t="str">
        <v/>
      </c>
      <c r="S109" s="158" t="str">
        <v/>
      </c>
      <c r="T109" s="158" t="str">
        <v/>
      </c>
      <c r="U109" s="158">
        <v>1000000</v>
      </c>
      <c r="V109" s="158" t="str">
        <v/>
      </c>
      <c r="W109" s="158" t="str">
        <v/>
      </c>
      <c r="X109" s="158" t="str">
        <v/>
      </c>
      <c r="Y109" s="158" t="str">
        <v/>
      </c>
      <c r="Z109" s="158" t="str">
        <v/>
      </c>
      <c r="AA109" s="158" t="e">
        <v>#VALUE!</v>
      </c>
      <c r="AB109" s="171">
        <v>0.04</v>
      </c>
      <c r="AC109" s="158">
        <v>10118.615384615385</v>
      </c>
      <c r="AD109" s="173" t="str">
        <f ca="1">IFERROR(__xludf.DUMMYFUNCTION("""COMPUTED_VALUE"""),"2025-06")</f>
        <v>2025-06</v>
      </c>
      <c r="AE109" s="154">
        <v>0</v>
      </c>
      <c r="AF109" s="154">
        <v>0</v>
      </c>
    </row>
    <row r="110" spans="1:32" ht="15">
      <c r="A110" s="176">
        <v>45831</v>
      </c>
      <c r="B110" s="145" t="s">
        <v>61</v>
      </c>
      <c r="C110" s="169">
        <v>333952</v>
      </c>
      <c r="D110" s="145">
        <v>61</v>
      </c>
      <c r="E110" s="145">
        <v>8</v>
      </c>
      <c r="F110" s="169" t="e">
        <v>#VALUE!</v>
      </c>
      <c r="G110" s="145">
        <v>6</v>
      </c>
      <c r="H110" s="145">
        <v>1</v>
      </c>
      <c r="I110" s="145"/>
      <c r="J110" s="145"/>
      <c r="K110" s="145"/>
      <c r="L110" s="145">
        <v>1</v>
      </c>
      <c r="M110" s="145"/>
      <c r="N110" s="145"/>
      <c r="O110" s="174"/>
      <c r="P110" s="174"/>
      <c r="Q110" s="158">
        <v>1182000</v>
      </c>
      <c r="R110" s="158">
        <v>297000</v>
      </c>
      <c r="S110" s="158" t="str">
        <v/>
      </c>
      <c r="T110" s="158" t="str">
        <v/>
      </c>
      <c r="U110" s="158" t="str">
        <v/>
      </c>
      <c r="V110" s="158">
        <v>197000</v>
      </c>
      <c r="W110" s="158" t="str">
        <v/>
      </c>
      <c r="X110" s="158" t="str">
        <v/>
      </c>
      <c r="Y110" s="158" t="str">
        <v/>
      </c>
      <c r="Z110" s="158" t="str">
        <v/>
      </c>
      <c r="AA110" s="158" t="e">
        <v>#VALUE!</v>
      </c>
      <c r="AB110" s="171">
        <v>0.08</v>
      </c>
      <c r="AC110" s="158">
        <v>5474.622950819672</v>
      </c>
      <c r="AD110" s="173" t="str">
        <f ca="1">IFERROR(__xludf.DUMMYFUNCTION("""COMPUTED_VALUE"""),"2025-06")</f>
        <v>2025-06</v>
      </c>
      <c r="AE110" s="154">
        <v>0</v>
      </c>
      <c r="AF110" s="154">
        <v>0</v>
      </c>
    </row>
    <row r="111" spans="1:32" ht="15">
      <c r="A111" s="176">
        <v>45831</v>
      </c>
      <c r="B111" s="145" t="s">
        <v>1229</v>
      </c>
      <c r="C111" s="169">
        <v>90951</v>
      </c>
      <c r="D111" s="145">
        <v>33</v>
      </c>
      <c r="E111" s="145"/>
      <c r="F111" s="169" t="e">
        <v>#VALUE!</v>
      </c>
      <c r="G111" s="145"/>
      <c r="H111" s="145"/>
      <c r="I111" s="145"/>
      <c r="J111" s="145"/>
      <c r="K111" s="145"/>
      <c r="L111" s="145"/>
      <c r="M111" s="145"/>
      <c r="N111" s="145"/>
      <c r="O111" s="174"/>
      <c r="P111" s="174"/>
      <c r="Q111" s="158" t="str">
        <v/>
      </c>
      <c r="R111" s="158" t="str">
        <v/>
      </c>
      <c r="S111" s="158" t="str">
        <v/>
      </c>
      <c r="T111" s="158" t="str">
        <v/>
      </c>
      <c r="U111" s="158" t="str">
        <v/>
      </c>
      <c r="V111" s="158" t="str">
        <v/>
      </c>
      <c r="W111" s="158" t="str">
        <v/>
      </c>
      <c r="X111" s="158" t="str">
        <v/>
      </c>
      <c r="Y111" s="158" t="str">
        <v/>
      </c>
      <c r="Z111" s="158" t="str">
        <v/>
      </c>
      <c r="AA111" s="158" t="e">
        <v>#VALUE!</v>
      </c>
      <c r="AB111" s="171" t="str">
        <v/>
      </c>
      <c r="AC111" s="158">
        <v>2756.090909090909</v>
      </c>
      <c r="AD111" s="173" t="str">
        <f ca="1">IFERROR(__xludf.DUMMYFUNCTION("""COMPUTED_VALUE"""),"2025-06")</f>
        <v>2025-06</v>
      </c>
      <c r="AE111" s="154" t="str">
        <v/>
      </c>
      <c r="AF111" s="154" t="str">
        <v/>
      </c>
    </row>
    <row r="112" spans="1:32" ht="15">
      <c r="A112" s="176">
        <v>45832</v>
      </c>
      <c r="B112" s="145" t="s">
        <v>115</v>
      </c>
      <c r="C112" s="169">
        <v>237819</v>
      </c>
      <c r="D112" s="145">
        <v>48</v>
      </c>
      <c r="E112" s="145">
        <v>6</v>
      </c>
      <c r="F112" s="169" t="e">
        <v>#VALUE!</v>
      </c>
      <c r="G112" s="145">
        <v>6</v>
      </c>
      <c r="H112" s="145"/>
      <c r="I112" s="145"/>
      <c r="J112" s="145"/>
      <c r="K112" s="145"/>
      <c r="L112" s="145"/>
      <c r="M112" s="145"/>
      <c r="N112" s="145"/>
      <c r="O112" s="174"/>
      <c r="P112" s="174"/>
      <c r="Q112" s="158">
        <v>1182000</v>
      </c>
      <c r="R112" s="158" t="str">
        <v/>
      </c>
      <c r="S112" s="158" t="str">
        <v/>
      </c>
      <c r="T112" s="158" t="str">
        <v/>
      </c>
      <c r="U112" s="158" t="str">
        <v/>
      </c>
      <c r="V112" s="158" t="str">
        <v/>
      </c>
      <c r="W112" s="158" t="str">
        <v/>
      </c>
      <c r="X112" s="158" t="str">
        <v/>
      </c>
      <c r="Y112" s="158" t="str">
        <v/>
      </c>
      <c r="Z112" s="158" t="str">
        <v/>
      </c>
      <c r="AA112" s="158" t="e">
        <v>#VALUE!</v>
      </c>
      <c r="AB112" s="171">
        <v>0.06</v>
      </c>
      <c r="AC112" s="158">
        <v>4954.5625</v>
      </c>
      <c r="AD112" s="173" t="str">
        <f ca="1">IFERROR(__xludf.DUMMYFUNCTION("""COMPUTED_VALUE"""),"2025-06")</f>
        <v>2025-06</v>
      </c>
      <c r="AE112" s="154">
        <v>0</v>
      </c>
      <c r="AF112" s="154">
        <v>0</v>
      </c>
    </row>
    <row r="113" spans="1:32" ht="15">
      <c r="A113" s="176">
        <v>45832</v>
      </c>
      <c r="B113" s="145" t="s">
        <v>49</v>
      </c>
      <c r="C113" s="169">
        <v>121496</v>
      </c>
      <c r="D113" s="145">
        <v>27</v>
      </c>
      <c r="E113" s="145"/>
      <c r="F113" s="169" t="e">
        <v>#VALUE!</v>
      </c>
      <c r="G113" s="145"/>
      <c r="H113" s="145"/>
      <c r="I113" s="145"/>
      <c r="J113" s="145"/>
      <c r="K113" s="145"/>
      <c r="L113" s="145"/>
      <c r="M113" s="145"/>
      <c r="N113" s="145"/>
      <c r="O113" s="174"/>
      <c r="P113" s="174"/>
      <c r="Q113" s="158" t="str">
        <v/>
      </c>
      <c r="R113" s="158" t="str">
        <v/>
      </c>
      <c r="S113" s="158" t="str">
        <v/>
      </c>
      <c r="T113" s="158" t="str">
        <v/>
      </c>
      <c r="U113" s="158" t="str">
        <v/>
      </c>
      <c r="V113" s="158" t="str">
        <v/>
      </c>
      <c r="W113" s="158" t="str">
        <v/>
      </c>
      <c r="X113" s="158" t="str">
        <v/>
      </c>
      <c r="Y113" s="158" t="str">
        <v/>
      </c>
      <c r="Z113" s="158" t="str">
        <v/>
      </c>
      <c r="AA113" s="158" t="e">
        <v>#VALUE!</v>
      </c>
      <c r="AB113" s="171" t="str">
        <v/>
      </c>
      <c r="AC113" s="158">
        <v>4499.8518518518522</v>
      </c>
      <c r="AD113" s="173" t="str">
        <f ca="1">IFERROR(__xludf.DUMMYFUNCTION("""COMPUTED_VALUE"""),"2025-06")</f>
        <v>2025-06</v>
      </c>
      <c r="AE113" s="154" t="str">
        <v/>
      </c>
      <c r="AF113" s="154" t="str">
        <v/>
      </c>
    </row>
    <row r="114" spans="1:32" ht="15">
      <c r="A114" s="176">
        <v>45832</v>
      </c>
      <c r="B114" s="145" t="s">
        <v>61</v>
      </c>
      <c r="C114" s="169">
        <v>405244</v>
      </c>
      <c r="D114" s="145">
        <v>80</v>
      </c>
      <c r="E114" s="145">
        <v>2</v>
      </c>
      <c r="F114" s="169" t="e">
        <v>#VALUE!</v>
      </c>
      <c r="G114" s="145">
        <v>1</v>
      </c>
      <c r="H114" s="145"/>
      <c r="I114" s="145"/>
      <c r="J114" s="145"/>
      <c r="K114" s="145"/>
      <c r="L114" s="145"/>
      <c r="M114" s="145">
        <v>1</v>
      </c>
      <c r="N114" s="145"/>
      <c r="O114" s="174"/>
      <c r="P114" s="174"/>
      <c r="Q114" s="158">
        <v>197000</v>
      </c>
      <c r="R114" s="158" t="str">
        <v/>
      </c>
      <c r="S114" s="158" t="str">
        <v/>
      </c>
      <c r="T114" s="158" t="str">
        <v/>
      </c>
      <c r="U114" s="158" t="str">
        <v/>
      </c>
      <c r="V114" s="158" t="str">
        <v/>
      </c>
      <c r="W114" s="158">
        <v>297000</v>
      </c>
      <c r="X114" s="158" t="str">
        <v/>
      </c>
      <c r="Y114" s="158" t="str">
        <v/>
      </c>
      <c r="Z114" s="158" t="str">
        <v/>
      </c>
      <c r="AA114" s="158" t="e">
        <v>#VALUE!</v>
      </c>
      <c r="AB114" s="171">
        <v>0.02</v>
      </c>
      <c r="AC114" s="158">
        <v>5065.55</v>
      </c>
      <c r="AD114" s="173" t="str">
        <f ca="1">IFERROR(__xludf.DUMMYFUNCTION("""COMPUTED_VALUE"""),"2025-06")</f>
        <v>2025-06</v>
      </c>
      <c r="AE114" s="154">
        <v>0</v>
      </c>
      <c r="AF114" s="154">
        <v>0</v>
      </c>
    </row>
    <row r="115" spans="1:32" ht="15">
      <c r="A115" s="176">
        <v>45832</v>
      </c>
      <c r="B115" s="145" t="s">
        <v>1229</v>
      </c>
      <c r="C115" s="169">
        <v>19465</v>
      </c>
      <c r="D115" s="145">
        <v>1</v>
      </c>
      <c r="E115" s="145"/>
      <c r="F115" s="169" t="e">
        <v>#VALUE!</v>
      </c>
      <c r="G115" s="145"/>
      <c r="H115" s="145"/>
      <c r="I115" s="145"/>
      <c r="J115" s="145"/>
      <c r="K115" s="145"/>
      <c r="L115" s="145"/>
      <c r="M115" s="145"/>
      <c r="N115" s="145"/>
      <c r="O115" s="174"/>
      <c r="P115" s="174"/>
      <c r="Q115" s="158" t="str">
        <v/>
      </c>
      <c r="R115" s="158" t="str">
        <v/>
      </c>
      <c r="S115" s="158" t="str">
        <v/>
      </c>
      <c r="T115" s="158" t="str">
        <v/>
      </c>
      <c r="U115" s="158" t="str">
        <v/>
      </c>
      <c r="V115" s="158" t="str">
        <v/>
      </c>
      <c r="W115" s="158" t="str">
        <v/>
      </c>
      <c r="X115" s="158" t="str">
        <v/>
      </c>
      <c r="Y115" s="158" t="str">
        <v/>
      </c>
      <c r="Z115" s="158" t="str">
        <v/>
      </c>
      <c r="AA115" s="158" t="e">
        <v>#VALUE!</v>
      </c>
      <c r="AB115" s="171" t="str">
        <v/>
      </c>
      <c r="AC115" s="158">
        <v>19465</v>
      </c>
      <c r="AD115" s="173" t="str">
        <f ca="1">IFERROR(__xludf.DUMMYFUNCTION("""COMPUTED_VALUE"""),"2025-06")</f>
        <v>2025-06</v>
      </c>
      <c r="AE115" s="154" t="str">
        <v/>
      </c>
      <c r="AF115" s="154" t="str">
        <v/>
      </c>
    </row>
    <row r="116" spans="1:32" ht="15">
      <c r="A116" s="176">
        <v>45833</v>
      </c>
      <c r="B116" s="145" t="s">
        <v>752</v>
      </c>
      <c r="C116" s="169">
        <v>59654</v>
      </c>
      <c r="D116" s="145">
        <v>8</v>
      </c>
      <c r="E116" s="145"/>
      <c r="F116" s="169" t="e">
        <v>#VALUE!</v>
      </c>
      <c r="G116" s="145"/>
      <c r="H116" s="145"/>
      <c r="I116" s="145"/>
      <c r="J116" s="145"/>
      <c r="K116" s="145"/>
      <c r="L116" s="145"/>
      <c r="M116" s="145"/>
      <c r="N116" s="145"/>
      <c r="O116" s="174"/>
      <c r="P116" s="174"/>
      <c r="Q116" s="158" t="str">
        <v/>
      </c>
      <c r="R116" s="158" t="str">
        <v/>
      </c>
      <c r="S116" s="158" t="str">
        <v/>
      </c>
      <c r="T116" s="158" t="str">
        <v/>
      </c>
      <c r="U116" s="158" t="str">
        <v/>
      </c>
      <c r="V116" s="158" t="str">
        <v/>
      </c>
      <c r="W116" s="158" t="str">
        <v/>
      </c>
      <c r="X116" s="158" t="str">
        <v/>
      </c>
      <c r="Y116" s="158" t="str">
        <v/>
      </c>
      <c r="Z116" s="158" t="str">
        <v/>
      </c>
      <c r="AA116" s="158" t="e">
        <v>#VALUE!</v>
      </c>
      <c r="AB116" s="171" t="str">
        <v/>
      </c>
      <c r="AC116" s="158">
        <v>7456.75</v>
      </c>
      <c r="AD116" s="173" t="str">
        <f ca="1">IFERROR(__xludf.DUMMYFUNCTION("""COMPUTED_VALUE"""),"2025-06")</f>
        <v>2025-06</v>
      </c>
      <c r="AE116" s="154" t="str">
        <v/>
      </c>
      <c r="AF116" s="154" t="str">
        <v/>
      </c>
    </row>
    <row r="117" spans="1:32" ht="15">
      <c r="A117" s="176">
        <v>45833</v>
      </c>
      <c r="B117" s="145" t="s">
        <v>115</v>
      </c>
      <c r="C117" s="169">
        <v>169222</v>
      </c>
      <c r="D117" s="145">
        <v>28</v>
      </c>
      <c r="E117" s="145">
        <v>1</v>
      </c>
      <c r="F117" s="169" t="e">
        <v>#VALUE!</v>
      </c>
      <c r="G117" s="145">
        <v>1</v>
      </c>
      <c r="H117" s="145"/>
      <c r="I117" s="145"/>
      <c r="J117" s="145"/>
      <c r="K117" s="145"/>
      <c r="L117" s="145"/>
      <c r="M117" s="145"/>
      <c r="N117" s="145"/>
      <c r="O117" s="174"/>
      <c r="P117" s="174"/>
      <c r="Q117" s="158">
        <v>197000</v>
      </c>
      <c r="R117" s="158" t="str">
        <v/>
      </c>
      <c r="S117" s="158" t="str">
        <v/>
      </c>
      <c r="T117" s="158" t="str">
        <v/>
      </c>
      <c r="U117" s="158" t="str">
        <v/>
      </c>
      <c r="V117" s="158" t="str">
        <v/>
      </c>
      <c r="W117" s="158" t="str">
        <v/>
      </c>
      <c r="X117" s="158" t="str">
        <v/>
      </c>
      <c r="Y117" s="158" t="str">
        <v/>
      </c>
      <c r="Z117" s="158" t="str">
        <v/>
      </c>
      <c r="AA117" s="158" t="e">
        <v>#VALUE!</v>
      </c>
      <c r="AB117" s="171">
        <v>0.01</v>
      </c>
      <c r="AC117" s="158">
        <v>6043.6428571428569</v>
      </c>
      <c r="AD117" s="173" t="str">
        <f ca="1">IFERROR(__xludf.DUMMYFUNCTION("""COMPUTED_VALUE"""),"2025-06")</f>
        <v>2025-06</v>
      </c>
      <c r="AE117" s="154">
        <v>0</v>
      </c>
      <c r="AF117" s="154">
        <v>0</v>
      </c>
    </row>
    <row r="118" spans="1:32" ht="15">
      <c r="A118" s="176">
        <v>45833</v>
      </c>
      <c r="B118" s="145" t="s">
        <v>49</v>
      </c>
      <c r="C118" s="169">
        <v>58964</v>
      </c>
      <c r="D118" s="145">
        <v>8</v>
      </c>
      <c r="E118" s="145">
        <v>4</v>
      </c>
      <c r="F118" s="169" t="e">
        <v>#VALUE!</v>
      </c>
      <c r="G118" s="145">
        <v>2</v>
      </c>
      <c r="H118" s="145">
        <v>1</v>
      </c>
      <c r="I118" s="145"/>
      <c r="J118" s="145"/>
      <c r="K118" s="145"/>
      <c r="L118" s="145">
        <v>1</v>
      </c>
      <c r="M118" s="145"/>
      <c r="N118" s="145"/>
      <c r="O118" s="174"/>
      <c r="P118" s="174"/>
      <c r="Q118" s="158">
        <v>394000</v>
      </c>
      <c r="R118" s="158">
        <v>297000</v>
      </c>
      <c r="S118" s="158" t="str">
        <v/>
      </c>
      <c r="T118" s="158" t="str">
        <v/>
      </c>
      <c r="U118" s="158" t="str">
        <v/>
      </c>
      <c r="V118" s="158">
        <v>197000</v>
      </c>
      <c r="W118" s="158" t="str">
        <v/>
      </c>
      <c r="X118" s="158" t="str">
        <v/>
      </c>
      <c r="Y118" s="158" t="str">
        <v/>
      </c>
      <c r="Z118" s="158" t="str">
        <v/>
      </c>
      <c r="AA118" s="158" t="e">
        <v>#VALUE!</v>
      </c>
      <c r="AB118" s="171">
        <v>0.04</v>
      </c>
      <c r="AC118" s="158">
        <v>7370.5</v>
      </c>
      <c r="AD118" s="173" t="str">
        <f ca="1">IFERROR(__xludf.DUMMYFUNCTION("""COMPUTED_VALUE"""),"2025-06")</f>
        <v>2025-06</v>
      </c>
      <c r="AE118" s="154">
        <v>0</v>
      </c>
      <c r="AF118" s="154">
        <v>0</v>
      </c>
    </row>
    <row r="119" spans="1:32" ht="15">
      <c r="A119" s="176">
        <v>45833</v>
      </c>
      <c r="B119" s="145" t="s">
        <v>61</v>
      </c>
      <c r="C119" s="169">
        <v>152589</v>
      </c>
      <c r="D119" s="145">
        <v>15</v>
      </c>
      <c r="E119" s="145">
        <v>1</v>
      </c>
      <c r="F119" s="169" t="e">
        <v>#VALUE!</v>
      </c>
      <c r="G119" s="145"/>
      <c r="H119" s="145"/>
      <c r="I119" s="145"/>
      <c r="J119" s="145"/>
      <c r="K119" s="145"/>
      <c r="L119" s="145">
        <v>1</v>
      </c>
      <c r="M119" s="145"/>
      <c r="N119" s="145"/>
      <c r="O119" s="174"/>
      <c r="P119" s="174"/>
      <c r="Q119" s="158" t="str">
        <v/>
      </c>
      <c r="R119" s="158" t="str">
        <v/>
      </c>
      <c r="S119" s="158" t="str">
        <v/>
      </c>
      <c r="T119" s="158" t="str">
        <v/>
      </c>
      <c r="U119" s="158" t="str">
        <v/>
      </c>
      <c r="V119" s="158">
        <v>197000</v>
      </c>
      <c r="W119" s="158" t="str">
        <v/>
      </c>
      <c r="X119" s="158" t="str">
        <v/>
      </c>
      <c r="Y119" s="158" t="str">
        <v/>
      </c>
      <c r="Z119" s="158" t="str">
        <v/>
      </c>
      <c r="AA119" s="158" t="e">
        <v>#VALUE!</v>
      </c>
      <c r="AB119" s="171">
        <v>0.01</v>
      </c>
      <c r="AC119" s="158">
        <v>10172.6</v>
      </c>
      <c r="AD119" s="173" t="str">
        <f ca="1">IFERROR(__xludf.DUMMYFUNCTION("""COMPUTED_VALUE"""),"2025-06")</f>
        <v>2025-06</v>
      </c>
      <c r="AE119" s="154">
        <v>0</v>
      </c>
      <c r="AF119" s="154">
        <v>0</v>
      </c>
    </row>
    <row r="120" spans="1:32" ht="15">
      <c r="A120" s="176">
        <v>45833</v>
      </c>
      <c r="B120" s="145" t="s">
        <v>1229</v>
      </c>
      <c r="C120" s="169">
        <v>71738</v>
      </c>
      <c r="D120" s="145">
        <v>19</v>
      </c>
      <c r="E120" s="145">
        <v>1</v>
      </c>
      <c r="F120" s="169" t="e">
        <v>#VALUE!</v>
      </c>
      <c r="G120" s="145">
        <v>1</v>
      </c>
      <c r="H120" s="145"/>
      <c r="I120" s="145"/>
      <c r="J120" s="145"/>
      <c r="K120" s="145"/>
      <c r="L120" s="145"/>
      <c r="M120" s="145"/>
      <c r="N120" s="145"/>
      <c r="O120" s="174"/>
      <c r="P120" s="174"/>
      <c r="Q120" s="158">
        <v>197000</v>
      </c>
      <c r="R120" s="158" t="str">
        <v/>
      </c>
      <c r="S120" s="158" t="str">
        <v/>
      </c>
      <c r="T120" s="158" t="str">
        <v/>
      </c>
      <c r="U120" s="158" t="str">
        <v/>
      </c>
      <c r="V120" s="158" t="str">
        <v/>
      </c>
      <c r="W120" s="158" t="str">
        <v/>
      </c>
      <c r="X120" s="158" t="str">
        <v/>
      </c>
      <c r="Y120" s="158" t="str">
        <v/>
      </c>
      <c r="Z120" s="158" t="str">
        <v/>
      </c>
      <c r="AA120" s="158" t="e">
        <v>#VALUE!</v>
      </c>
      <c r="AB120" s="171">
        <v>0.01</v>
      </c>
      <c r="AC120" s="158">
        <v>3775.6842105263158</v>
      </c>
      <c r="AD120" s="173" t="str">
        <f ca="1">IFERROR(__xludf.DUMMYFUNCTION("""COMPUTED_VALUE"""),"2025-06")</f>
        <v>2025-06</v>
      </c>
      <c r="AE120" s="154">
        <v>0</v>
      </c>
      <c r="AF120" s="154">
        <v>0</v>
      </c>
    </row>
    <row r="121" spans="1:32" ht="15">
      <c r="A121" s="176">
        <v>45834</v>
      </c>
      <c r="B121" s="145" t="s">
        <v>49</v>
      </c>
      <c r="C121" s="169">
        <v>112900</v>
      </c>
      <c r="D121" s="145">
        <v>14</v>
      </c>
      <c r="E121" s="145">
        <v>1</v>
      </c>
      <c r="F121" s="169" t="e">
        <v>#VALUE!</v>
      </c>
      <c r="G121" s="145">
        <v>1</v>
      </c>
      <c r="H121" s="145"/>
      <c r="I121" s="145"/>
      <c r="J121" s="145"/>
      <c r="K121" s="145"/>
      <c r="L121" s="145"/>
      <c r="M121" s="145"/>
      <c r="N121" s="145"/>
      <c r="O121" s="174"/>
      <c r="P121" s="174"/>
      <c r="Q121" s="158">
        <v>197000</v>
      </c>
      <c r="R121" s="158" t="str">
        <v/>
      </c>
      <c r="S121" s="158" t="str">
        <v/>
      </c>
      <c r="T121" s="158" t="str">
        <v/>
      </c>
      <c r="U121" s="158" t="str">
        <v/>
      </c>
      <c r="V121" s="158" t="str">
        <v/>
      </c>
      <c r="W121" s="158" t="str">
        <v/>
      </c>
      <c r="X121" s="158" t="str">
        <v/>
      </c>
      <c r="Y121" s="158" t="str">
        <v/>
      </c>
      <c r="Z121" s="158" t="str">
        <v/>
      </c>
      <c r="AA121" s="158" t="e">
        <v>#VALUE!</v>
      </c>
      <c r="AB121" s="171">
        <v>0.01</v>
      </c>
      <c r="AC121" s="158">
        <v>8064.2857142857147</v>
      </c>
      <c r="AD121" s="173" t="str">
        <f ca="1">IFERROR(__xludf.DUMMYFUNCTION("""COMPUTED_VALUE"""),"2025-06")</f>
        <v>2025-06</v>
      </c>
      <c r="AE121" s="154">
        <v>0</v>
      </c>
      <c r="AF121" s="154">
        <v>0</v>
      </c>
    </row>
    <row r="122" spans="1:32" ht="15">
      <c r="A122" s="176">
        <v>45834</v>
      </c>
      <c r="B122" s="145" t="s">
        <v>1229</v>
      </c>
      <c r="C122" s="169">
        <v>204604</v>
      </c>
      <c r="D122" s="145">
        <v>105</v>
      </c>
      <c r="E122" s="145">
        <v>2</v>
      </c>
      <c r="F122" s="169" t="e">
        <v>#VALUE!</v>
      </c>
      <c r="G122" s="145">
        <v>2</v>
      </c>
      <c r="H122" s="145"/>
      <c r="I122" s="145"/>
      <c r="J122" s="145"/>
      <c r="K122" s="145"/>
      <c r="L122" s="145"/>
      <c r="M122" s="145"/>
      <c r="N122" s="145"/>
      <c r="O122" s="174"/>
      <c r="P122" s="174"/>
      <c r="Q122" s="158">
        <v>394000</v>
      </c>
      <c r="R122" s="158" t="str">
        <v/>
      </c>
      <c r="S122" s="158" t="str">
        <v/>
      </c>
      <c r="T122" s="158" t="str">
        <v/>
      </c>
      <c r="U122" s="158" t="str">
        <v/>
      </c>
      <c r="V122" s="158" t="str">
        <v/>
      </c>
      <c r="W122" s="158" t="str">
        <v/>
      </c>
      <c r="X122" s="158" t="str">
        <v/>
      </c>
      <c r="Y122" s="158" t="str">
        <v/>
      </c>
      <c r="Z122" s="158" t="str">
        <v/>
      </c>
      <c r="AA122" s="158" t="e">
        <v>#VALUE!</v>
      </c>
      <c r="AB122" s="171">
        <v>0.02</v>
      </c>
      <c r="AC122" s="158">
        <v>1948.6095238095238</v>
      </c>
      <c r="AD122" s="173" t="str">
        <f ca="1">IFERROR(__xludf.DUMMYFUNCTION("""COMPUTED_VALUE"""),"2025-06")</f>
        <v>2025-06</v>
      </c>
      <c r="AE122" s="154">
        <v>0</v>
      </c>
      <c r="AF122" s="154">
        <v>0</v>
      </c>
    </row>
    <row r="123" spans="1:32" ht="15">
      <c r="A123" s="176">
        <v>45834</v>
      </c>
      <c r="B123" s="145" t="s">
        <v>752</v>
      </c>
      <c r="C123" s="169">
        <v>34</v>
      </c>
      <c r="D123" s="145">
        <v>0</v>
      </c>
      <c r="E123" s="145"/>
      <c r="F123" s="169" t="e">
        <v>#VALUE!</v>
      </c>
      <c r="G123" s="145"/>
      <c r="H123" s="145"/>
      <c r="I123" s="145"/>
      <c r="J123" s="145"/>
      <c r="K123" s="145"/>
      <c r="L123" s="145"/>
      <c r="M123" s="145"/>
      <c r="N123" s="145"/>
      <c r="O123" s="174"/>
      <c r="P123" s="174"/>
      <c r="Q123" s="158" t="str">
        <v/>
      </c>
      <c r="R123" s="158" t="str">
        <v/>
      </c>
      <c r="S123" s="158" t="str">
        <v/>
      </c>
      <c r="T123" s="158" t="str">
        <v/>
      </c>
      <c r="U123" s="158" t="str">
        <v/>
      </c>
      <c r="V123" s="158" t="str">
        <v/>
      </c>
      <c r="W123" s="158" t="str">
        <v/>
      </c>
      <c r="X123" s="158" t="str">
        <v/>
      </c>
      <c r="Y123" s="158" t="str">
        <v/>
      </c>
      <c r="Z123" s="158" t="str">
        <v/>
      </c>
      <c r="AA123" s="158" t="e">
        <v>#VALUE!</v>
      </c>
      <c r="AB123" s="171" t="str">
        <v/>
      </c>
      <c r="AC123" s="158" t="str">
        <v/>
      </c>
      <c r="AD123" s="173" t="str">
        <f ca="1">IFERROR(__xludf.DUMMYFUNCTION("""COMPUTED_VALUE"""),"2025-06")</f>
        <v>2025-06</v>
      </c>
      <c r="AE123" s="154" t="str">
        <v/>
      </c>
      <c r="AF123" s="154" t="str">
        <v/>
      </c>
    </row>
    <row r="124" spans="1:32" ht="15">
      <c r="A124" s="176">
        <v>45834</v>
      </c>
      <c r="B124" s="145" t="s">
        <v>115</v>
      </c>
      <c r="C124" s="169">
        <v>105337</v>
      </c>
      <c r="D124" s="145">
        <v>13</v>
      </c>
      <c r="E124" s="145">
        <v>3</v>
      </c>
      <c r="F124" s="169" t="e">
        <v>#VALUE!</v>
      </c>
      <c r="G124" s="145">
        <v>2</v>
      </c>
      <c r="H124" s="145"/>
      <c r="I124" s="145">
        <v>1</v>
      </c>
      <c r="J124" s="145"/>
      <c r="K124" s="145"/>
      <c r="L124" s="145"/>
      <c r="M124" s="145"/>
      <c r="N124" s="145"/>
      <c r="O124" s="174"/>
      <c r="P124" s="174"/>
      <c r="Q124" s="158">
        <v>394000</v>
      </c>
      <c r="R124" s="158" t="str">
        <v/>
      </c>
      <c r="S124" s="158">
        <v>375000</v>
      </c>
      <c r="T124" s="158" t="str">
        <v/>
      </c>
      <c r="U124" s="158" t="str">
        <v/>
      </c>
      <c r="V124" s="158" t="str">
        <v/>
      </c>
      <c r="W124" s="158" t="str">
        <v/>
      </c>
      <c r="X124" s="158" t="str">
        <v/>
      </c>
      <c r="Y124" s="158" t="str">
        <v/>
      </c>
      <c r="Z124" s="158" t="str">
        <v/>
      </c>
      <c r="AA124" s="158" t="e">
        <v>#VALUE!</v>
      </c>
      <c r="AB124" s="171">
        <v>0.03</v>
      </c>
      <c r="AC124" s="158">
        <v>8102.8461538461543</v>
      </c>
      <c r="AD124" s="173" t="str">
        <f ca="1">IFERROR(__xludf.DUMMYFUNCTION("""COMPUTED_VALUE"""),"2025-06")</f>
        <v>2025-06</v>
      </c>
      <c r="AE124" s="154">
        <v>0</v>
      </c>
      <c r="AF124" s="154">
        <v>0</v>
      </c>
    </row>
    <row r="125" spans="1:32" ht="15">
      <c r="A125" s="176">
        <v>45834</v>
      </c>
      <c r="B125" s="145" t="s">
        <v>61</v>
      </c>
      <c r="C125" s="169">
        <v>236261</v>
      </c>
      <c r="D125" s="145">
        <v>37</v>
      </c>
      <c r="E125" s="145"/>
      <c r="F125" s="169" t="e">
        <v>#VALUE!</v>
      </c>
      <c r="G125" s="145"/>
      <c r="H125" s="145"/>
      <c r="I125" s="145"/>
      <c r="J125" s="145"/>
      <c r="K125" s="145"/>
      <c r="L125" s="145"/>
      <c r="M125" s="145"/>
      <c r="N125" s="145"/>
      <c r="O125" s="174"/>
      <c r="P125" s="174"/>
      <c r="Q125" s="158" t="str">
        <v/>
      </c>
      <c r="R125" s="158" t="str">
        <v/>
      </c>
      <c r="S125" s="158" t="str">
        <v/>
      </c>
      <c r="T125" s="158" t="str">
        <v/>
      </c>
      <c r="U125" s="158" t="str">
        <v/>
      </c>
      <c r="V125" s="158" t="str">
        <v/>
      </c>
      <c r="W125" s="158" t="str">
        <v/>
      </c>
      <c r="X125" s="158" t="str">
        <v/>
      </c>
      <c r="Y125" s="158" t="str">
        <v/>
      </c>
      <c r="Z125" s="158" t="str">
        <v/>
      </c>
      <c r="AA125" s="158" t="e">
        <v>#VALUE!</v>
      </c>
      <c r="AB125" s="171" t="str">
        <v/>
      </c>
      <c r="AC125" s="158">
        <v>6385.4324324324325</v>
      </c>
      <c r="AD125" s="173" t="str">
        <f ca="1">IFERROR(__xludf.DUMMYFUNCTION("""COMPUTED_VALUE"""),"2025-06")</f>
        <v>2025-06</v>
      </c>
      <c r="AE125" s="154" t="str">
        <v/>
      </c>
      <c r="AF125" s="154" t="str">
        <v/>
      </c>
    </row>
    <row r="126" spans="1:32" ht="15">
      <c r="A126" s="176">
        <v>45835</v>
      </c>
      <c r="B126" s="145" t="s">
        <v>49</v>
      </c>
      <c r="C126" s="169">
        <v>106798</v>
      </c>
      <c r="D126" s="145">
        <v>14</v>
      </c>
      <c r="E126" s="145">
        <v>2</v>
      </c>
      <c r="F126" s="169" t="e">
        <v>#VALUE!</v>
      </c>
      <c r="G126" s="145">
        <v>1</v>
      </c>
      <c r="H126" s="145"/>
      <c r="I126" s="145"/>
      <c r="J126" s="145"/>
      <c r="K126" s="145">
        <v>1</v>
      </c>
      <c r="L126" s="145"/>
      <c r="M126" s="145"/>
      <c r="N126" s="145"/>
      <c r="O126" s="174"/>
      <c r="P126" s="174"/>
      <c r="Q126" s="158">
        <v>197000</v>
      </c>
      <c r="R126" s="158" t="str">
        <v/>
      </c>
      <c r="S126" s="158" t="str">
        <v/>
      </c>
      <c r="T126" s="158" t="str">
        <v/>
      </c>
      <c r="U126" s="158">
        <v>1000000</v>
      </c>
      <c r="V126" s="158" t="str">
        <v/>
      </c>
      <c r="W126" s="158" t="str">
        <v/>
      </c>
      <c r="X126" s="158" t="str">
        <v/>
      </c>
      <c r="Y126" s="158" t="str">
        <v/>
      </c>
      <c r="Z126" s="158" t="str">
        <v/>
      </c>
      <c r="AA126" s="158" t="e">
        <v>#VALUE!</v>
      </c>
      <c r="AB126" s="171">
        <v>0.02</v>
      </c>
      <c r="AC126" s="158">
        <v>7628.4285714285716</v>
      </c>
      <c r="AD126" s="173" t="str">
        <f ca="1">IFERROR(__xludf.DUMMYFUNCTION("""COMPUTED_VALUE"""),"2025-06")</f>
        <v>2025-06</v>
      </c>
      <c r="AE126" s="154">
        <v>0</v>
      </c>
      <c r="AF126" s="154">
        <v>0</v>
      </c>
    </row>
    <row r="127" spans="1:32" ht="15">
      <c r="A127" s="176">
        <v>45835</v>
      </c>
      <c r="B127" s="145" t="s">
        <v>1229</v>
      </c>
      <c r="C127" s="169">
        <v>6130</v>
      </c>
      <c r="D127" s="145">
        <v>2</v>
      </c>
      <c r="E127" s="145">
        <v>3</v>
      </c>
      <c r="F127" s="169" t="e">
        <v>#VALUE!</v>
      </c>
      <c r="G127" s="145">
        <v>1</v>
      </c>
      <c r="H127" s="145">
        <v>1</v>
      </c>
      <c r="I127" s="145"/>
      <c r="J127" s="145"/>
      <c r="K127" s="145"/>
      <c r="L127" s="145"/>
      <c r="M127" s="145">
        <v>1</v>
      </c>
      <c r="N127" s="145"/>
      <c r="O127" s="174"/>
      <c r="P127" s="174"/>
      <c r="Q127" s="158">
        <v>197000</v>
      </c>
      <c r="R127" s="158">
        <v>297000</v>
      </c>
      <c r="S127" s="158" t="str">
        <v/>
      </c>
      <c r="T127" s="158" t="str">
        <v/>
      </c>
      <c r="U127" s="158" t="str">
        <v/>
      </c>
      <c r="V127" s="158" t="str">
        <v/>
      </c>
      <c r="W127" s="158">
        <v>297000</v>
      </c>
      <c r="X127" s="158" t="str">
        <v/>
      </c>
      <c r="Y127" s="158" t="str">
        <v/>
      </c>
      <c r="Z127" s="158" t="str">
        <v/>
      </c>
      <c r="AA127" s="158" t="e">
        <v>#VALUE!</v>
      </c>
      <c r="AB127" s="171">
        <v>0.03</v>
      </c>
      <c r="AC127" s="158">
        <v>3065</v>
      </c>
      <c r="AD127" s="173" t="str">
        <f ca="1">IFERROR(__xludf.DUMMYFUNCTION("""COMPUTED_VALUE"""),"2025-06")</f>
        <v>2025-06</v>
      </c>
      <c r="AE127" s="154">
        <v>0</v>
      </c>
      <c r="AF127" s="154">
        <v>0</v>
      </c>
    </row>
    <row r="128" spans="1:32" ht="15">
      <c r="A128" s="176">
        <v>45835</v>
      </c>
      <c r="B128" s="145" t="s">
        <v>115</v>
      </c>
      <c r="C128" s="169">
        <v>215737</v>
      </c>
      <c r="D128" s="145">
        <v>41</v>
      </c>
      <c r="E128" s="145">
        <v>4</v>
      </c>
      <c r="F128" s="169" t="e">
        <v>#VALUE!</v>
      </c>
      <c r="G128" s="145">
        <v>2</v>
      </c>
      <c r="H128" s="145"/>
      <c r="I128" s="145"/>
      <c r="J128" s="145"/>
      <c r="K128" s="145"/>
      <c r="L128" s="145"/>
      <c r="M128" s="145"/>
      <c r="N128" s="145"/>
      <c r="O128" s="174"/>
      <c r="P128" s="174">
        <v>2</v>
      </c>
      <c r="Q128" s="158">
        <v>394000</v>
      </c>
      <c r="R128" s="158" t="str">
        <v/>
      </c>
      <c r="S128" s="158" t="str">
        <v/>
      </c>
      <c r="T128" s="158" t="str">
        <v/>
      </c>
      <c r="U128" s="158" t="str">
        <v/>
      </c>
      <c r="V128" s="158" t="str">
        <v/>
      </c>
      <c r="W128" s="158" t="str">
        <v/>
      </c>
      <c r="X128" s="158" t="str">
        <v/>
      </c>
      <c r="Y128" s="158" t="str">
        <v/>
      </c>
      <c r="Z128" s="158">
        <v>2000000</v>
      </c>
      <c r="AA128" s="158" t="e">
        <v>#VALUE!</v>
      </c>
      <c r="AB128" s="171">
        <v>0.04</v>
      </c>
      <c r="AC128" s="158">
        <v>5261.8780487804879</v>
      </c>
      <c r="AD128" s="173" t="str">
        <f ca="1">IFERROR(__xludf.DUMMYFUNCTION("""COMPUTED_VALUE"""),"2025-06")</f>
        <v>2025-06</v>
      </c>
      <c r="AE128" s="154">
        <v>0</v>
      </c>
      <c r="AF128" s="154">
        <v>0</v>
      </c>
    </row>
    <row r="129" spans="1:32" ht="15">
      <c r="A129" s="176">
        <v>45835</v>
      </c>
      <c r="B129" s="145" t="s">
        <v>61</v>
      </c>
      <c r="C129" s="169">
        <v>336243</v>
      </c>
      <c r="D129" s="145">
        <v>66</v>
      </c>
      <c r="E129" s="145">
        <v>6</v>
      </c>
      <c r="F129" s="169" t="e">
        <v>#VALUE!</v>
      </c>
      <c r="G129" s="145">
        <v>2</v>
      </c>
      <c r="H129" s="145">
        <v>1</v>
      </c>
      <c r="I129" s="145">
        <v>2</v>
      </c>
      <c r="J129" s="145"/>
      <c r="K129" s="145"/>
      <c r="L129" s="145">
        <v>1</v>
      </c>
      <c r="M129" s="145"/>
      <c r="N129" s="145"/>
      <c r="O129" s="174"/>
      <c r="P129" s="174">
        <v>1</v>
      </c>
      <c r="Q129" s="158">
        <v>394000</v>
      </c>
      <c r="R129" s="158">
        <v>297000</v>
      </c>
      <c r="S129" s="158">
        <v>750000</v>
      </c>
      <c r="T129" s="158" t="str">
        <v/>
      </c>
      <c r="U129" s="158" t="str">
        <v/>
      </c>
      <c r="V129" s="158">
        <v>197000</v>
      </c>
      <c r="W129" s="158" t="str">
        <v/>
      </c>
      <c r="X129" s="158" t="str">
        <v/>
      </c>
      <c r="Y129" s="158" t="str">
        <v/>
      </c>
      <c r="Z129" s="158">
        <v>1000000</v>
      </c>
      <c r="AA129" s="158" t="e">
        <v>#VALUE!</v>
      </c>
      <c r="AB129" s="171">
        <v>0.06</v>
      </c>
      <c r="AC129" s="158">
        <v>5094.590909090909</v>
      </c>
      <c r="AD129" s="173" t="str">
        <f ca="1">IFERROR(__xludf.DUMMYFUNCTION("""COMPUTED_VALUE"""),"2025-06")</f>
        <v>2025-06</v>
      </c>
      <c r="AE129" s="154">
        <v>0</v>
      </c>
      <c r="AF129" s="154">
        <v>0</v>
      </c>
    </row>
    <row r="130" spans="1:32" ht="15">
      <c r="A130" s="176">
        <v>45836</v>
      </c>
      <c r="B130" s="145" t="s">
        <v>49</v>
      </c>
      <c r="C130" s="169">
        <v>271353</v>
      </c>
      <c r="D130" s="145">
        <v>60</v>
      </c>
      <c r="E130" s="145"/>
      <c r="F130" s="169" t="e">
        <v>#VALUE!</v>
      </c>
      <c r="G130" s="145"/>
      <c r="H130" s="145"/>
      <c r="I130" s="145"/>
      <c r="J130" s="145"/>
      <c r="K130" s="145"/>
      <c r="L130" s="145"/>
      <c r="M130" s="145"/>
      <c r="N130" s="145"/>
      <c r="O130" s="174"/>
      <c r="P130" s="174"/>
      <c r="Q130" s="158" t="str">
        <v/>
      </c>
      <c r="R130" s="158" t="str">
        <v/>
      </c>
      <c r="S130" s="158" t="str">
        <v/>
      </c>
      <c r="T130" s="158" t="str">
        <v/>
      </c>
      <c r="U130" s="158" t="str">
        <v/>
      </c>
      <c r="V130" s="158" t="str">
        <v/>
      </c>
      <c r="W130" s="158" t="str">
        <v/>
      </c>
      <c r="X130" s="158" t="str">
        <v/>
      </c>
      <c r="Y130" s="158" t="str">
        <v/>
      </c>
      <c r="Z130" s="158" t="str">
        <v/>
      </c>
      <c r="AA130" s="158" t="e">
        <v>#VALUE!</v>
      </c>
      <c r="AB130" s="171" t="str">
        <v/>
      </c>
      <c r="AC130" s="158">
        <v>4522.55</v>
      </c>
      <c r="AD130" s="173" t="str">
        <f ca="1">IFERROR(__xludf.DUMMYFUNCTION("""COMPUTED_VALUE"""),"2025-06")</f>
        <v>2025-06</v>
      </c>
      <c r="AE130" s="154" t="str">
        <v/>
      </c>
      <c r="AF130" s="154" t="str">
        <v/>
      </c>
    </row>
    <row r="131" spans="1:32" ht="15">
      <c r="A131" s="176">
        <v>45836</v>
      </c>
      <c r="B131" s="145" t="s">
        <v>1229</v>
      </c>
      <c r="C131" s="169">
        <v>69173</v>
      </c>
      <c r="D131" s="145">
        <v>4</v>
      </c>
      <c r="E131" s="145"/>
      <c r="F131" s="169" t="e">
        <v>#VALUE!</v>
      </c>
      <c r="G131" s="145"/>
      <c r="H131" s="145"/>
      <c r="I131" s="145"/>
      <c r="J131" s="145"/>
      <c r="K131" s="145"/>
      <c r="L131" s="145"/>
      <c r="M131" s="145"/>
      <c r="N131" s="145"/>
      <c r="O131" s="174"/>
      <c r="P131" s="174"/>
      <c r="Q131" s="158" t="str">
        <v/>
      </c>
      <c r="R131" s="158" t="str">
        <v/>
      </c>
      <c r="S131" s="158" t="str">
        <v/>
      </c>
      <c r="T131" s="158" t="str">
        <v/>
      </c>
      <c r="U131" s="158" t="str">
        <v/>
      </c>
      <c r="V131" s="158" t="str">
        <v/>
      </c>
      <c r="W131" s="158" t="str">
        <v/>
      </c>
      <c r="X131" s="158" t="str">
        <v/>
      </c>
      <c r="Y131" s="158" t="str">
        <v/>
      </c>
      <c r="Z131" s="158" t="str">
        <v/>
      </c>
      <c r="AA131" s="158" t="e">
        <v>#VALUE!</v>
      </c>
      <c r="AB131" s="171" t="str">
        <v/>
      </c>
      <c r="AC131" s="158">
        <v>17293.25</v>
      </c>
      <c r="AD131" s="173" t="str">
        <f ca="1">IFERROR(__xludf.DUMMYFUNCTION("""COMPUTED_VALUE"""),"2025-06")</f>
        <v>2025-06</v>
      </c>
      <c r="AE131" s="154" t="str">
        <v/>
      </c>
      <c r="AF131" s="154" t="str">
        <v/>
      </c>
    </row>
    <row r="132" spans="1:32" ht="15">
      <c r="A132" s="176">
        <v>45836</v>
      </c>
      <c r="B132" s="145" t="s">
        <v>752</v>
      </c>
      <c r="C132" s="169">
        <v>24259</v>
      </c>
      <c r="D132" s="145">
        <v>2</v>
      </c>
      <c r="E132" s="145"/>
      <c r="F132" s="169" t="e">
        <v>#VALUE!</v>
      </c>
      <c r="G132" s="145"/>
      <c r="H132" s="145"/>
      <c r="I132" s="145"/>
      <c r="J132" s="145"/>
      <c r="K132" s="145"/>
      <c r="L132" s="145"/>
      <c r="M132" s="145"/>
      <c r="N132" s="145"/>
      <c r="O132" s="174"/>
      <c r="P132" s="174"/>
      <c r="Q132" s="158" t="str">
        <v/>
      </c>
      <c r="R132" s="158" t="str">
        <v/>
      </c>
      <c r="S132" s="158" t="str">
        <v/>
      </c>
      <c r="T132" s="158" t="str">
        <v/>
      </c>
      <c r="U132" s="158" t="str">
        <v/>
      </c>
      <c r="V132" s="158" t="str">
        <v/>
      </c>
      <c r="W132" s="158" t="str">
        <v/>
      </c>
      <c r="X132" s="158" t="str">
        <v/>
      </c>
      <c r="Y132" s="158" t="str">
        <v/>
      </c>
      <c r="Z132" s="158" t="str">
        <v/>
      </c>
      <c r="AA132" s="158" t="e">
        <v>#VALUE!</v>
      </c>
      <c r="AB132" s="171" t="str">
        <v/>
      </c>
      <c r="AC132" s="158">
        <v>12129.5</v>
      </c>
      <c r="AD132" s="173" t="str">
        <f ca="1">IFERROR(__xludf.DUMMYFUNCTION("""COMPUTED_VALUE"""),"2025-06")</f>
        <v>2025-06</v>
      </c>
      <c r="AE132" s="154" t="str">
        <v/>
      </c>
      <c r="AF132" s="154" t="str">
        <v/>
      </c>
    </row>
    <row r="133" spans="1:32" ht="15">
      <c r="A133" s="176">
        <v>45836</v>
      </c>
      <c r="B133" s="145" t="s">
        <v>115</v>
      </c>
      <c r="C133" s="169">
        <v>183167</v>
      </c>
      <c r="D133" s="145">
        <v>20</v>
      </c>
      <c r="E133" s="145">
        <v>2</v>
      </c>
      <c r="F133" s="169" t="e">
        <v>#VALUE!</v>
      </c>
      <c r="G133" s="145">
        <v>2</v>
      </c>
      <c r="H133" s="145"/>
      <c r="I133" s="145"/>
      <c r="J133" s="145"/>
      <c r="K133" s="145"/>
      <c r="L133" s="145"/>
      <c r="M133" s="145"/>
      <c r="N133" s="145"/>
      <c r="O133" s="174"/>
      <c r="P133" s="174"/>
      <c r="Q133" s="158">
        <v>394000</v>
      </c>
      <c r="R133" s="158" t="str">
        <v/>
      </c>
      <c r="S133" s="158" t="str">
        <v/>
      </c>
      <c r="T133" s="158" t="str">
        <v/>
      </c>
      <c r="U133" s="158" t="str">
        <v/>
      </c>
      <c r="V133" s="158" t="str">
        <v/>
      </c>
      <c r="W133" s="158" t="str">
        <v/>
      </c>
      <c r="X133" s="158" t="str">
        <v/>
      </c>
      <c r="Y133" s="158" t="str">
        <v/>
      </c>
      <c r="Z133" s="158" t="str">
        <v/>
      </c>
      <c r="AA133" s="158" t="e">
        <v>#VALUE!</v>
      </c>
      <c r="AB133" s="171">
        <v>0.02</v>
      </c>
      <c r="AC133" s="158">
        <v>9158.35</v>
      </c>
      <c r="AD133" s="173" t="str">
        <f ca="1">IFERROR(__xludf.DUMMYFUNCTION("""COMPUTED_VALUE"""),"2025-06")</f>
        <v>2025-06</v>
      </c>
      <c r="AE133" s="154">
        <v>0</v>
      </c>
      <c r="AF133" s="154">
        <v>0</v>
      </c>
    </row>
    <row r="134" spans="1:32" ht="15">
      <c r="A134" s="176">
        <v>45836</v>
      </c>
      <c r="B134" s="145" t="s">
        <v>61</v>
      </c>
      <c r="C134" s="169">
        <v>177999</v>
      </c>
      <c r="D134" s="145">
        <v>14</v>
      </c>
      <c r="E134" s="145">
        <v>8</v>
      </c>
      <c r="F134" s="169" t="e">
        <v>#VALUE!</v>
      </c>
      <c r="G134" s="145">
        <v>4</v>
      </c>
      <c r="H134" s="145"/>
      <c r="I134" s="145"/>
      <c r="J134" s="145"/>
      <c r="K134" s="145">
        <v>1</v>
      </c>
      <c r="L134" s="145">
        <v>1</v>
      </c>
      <c r="M134" s="145">
        <v>1</v>
      </c>
      <c r="N134" s="145"/>
      <c r="O134" s="174"/>
      <c r="P134" s="174">
        <v>1</v>
      </c>
      <c r="Q134" s="158">
        <v>788000</v>
      </c>
      <c r="R134" s="158" t="str">
        <v/>
      </c>
      <c r="S134" s="158" t="str">
        <v/>
      </c>
      <c r="T134" s="158" t="str">
        <v/>
      </c>
      <c r="U134" s="158">
        <v>1000000</v>
      </c>
      <c r="V134" s="158">
        <v>197000</v>
      </c>
      <c r="W134" s="158">
        <v>297000</v>
      </c>
      <c r="X134" s="158" t="str">
        <v/>
      </c>
      <c r="Y134" s="158" t="str">
        <v/>
      </c>
      <c r="Z134" s="158">
        <v>1000000</v>
      </c>
      <c r="AA134" s="158" t="e">
        <v>#VALUE!</v>
      </c>
      <c r="AB134" s="171">
        <v>0.08</v>
      </c>
      <c r="AC134" s="158">
        <v>12714.214285714286</v>
      </c>
      <c r="AD134" s="173" t="str">
        <f ca="1">IFERROR(__xludf.DUMMYFUNCTION("""COMPUTED_VALUE"""),"2025-06")</f>
        <v>2025-06</v>
      </c>
      <c r="AE134" s="154">
        <v>0</v>
      </c>
      <c r="AF134" s="154">
        <v>0</v>
      </c>
    </row>
    <row r="135" spans="1:32" ht="15">
      <c r="A135" s="176">
        <v>45837</v>
      </c>
      <c r="B135" s="145" t="s">
        <v>49</v>
      </c>
      <c r="C135" s="169">
        <v>3561</v>
      </c>
      <c r="D135" s="145">
        <v>1</v>
      </c>
      <c r="E135" s="145"/>
      <c r="F135" s="169" t="e">
        <v>#VALUE!</v>
      </c>
      <c r="G135" s="145"/>
      <c r="H135" s="145"/>
      <c r="I135" s="145"/>
      <c r="J135" s="145"/>
      <c r="K135" s="145"/>
      <c r="L135" s="145"/>
      <c r="M135" s="145"/>
      <c r="N135" s="145"/>
      <c r="O135" s="174"/>
      <c r="P135" s="174"/>
      <c r="Q135" s="158" t="str">
        <v/>
      </c>
      <c r="R135" s="158" t="str">
        <v/>
      </c>
      <c r="S135" s="158" t="str">
        <v/>
      </c>
      <c r="T135" s="158" t="str">
        <v/>
      </c>
      <c r="U135" s="158" t="str">
        <v/>
      </c>
      <c r="V135" s="158" t="str">
        <v/>
      </c>
      <c r="W135" s="158" t="str">
        <v/>
      </c>
      <c r="X135" s="158" t="str">
        <v/>
      </c>
      <c r="Y135" s="158" t="str">
        <v/>
      </c>
      <c r="Z135" s="158" t="str">
        <v/>
      </c>
      <c r="AA135" s="158" t="e">
        <v>#VALUE!</v>
      </c>
      <c r="AB135" s="171" t="str">
        <v/>
      </c>
      <c r="AC135" s="158">
        <v>3561</v>
      </c>
      <c r="AD135" s="173" t="str">
        <f ca="1">IFERROR(__xludf.DUMMYFUNCTION("""COMPUTED_VALUE"""),"2025-06")</f>
        <v>2025-06</v>
      </c>
      <c r="AE135" s="154" t="str">
        <v/>
      </c>
      <c r="AF135" s="154" t="str">
        <v/>
      </c>
    </row>
    <row r="136" spans="1:32" ht="15">
      <c r="A136" s="176">
        <v>45837</v>
      </c>
      <c r="B136" s="145" t="s">
        <v>115</v>
      </c>
      <c r="C136" s="169">
        <v>2044</v>
      </c>
      <c r="D136" s="145">
        <v>0</v>
      </c>
      <c r="E136" s="145"/>
      <c r="F136" s="169" t="e">
        <v>#VALUE!</v>
      </c>
      <c r="G136" s="145"/>
      <c r="H136" s="145"/>
      <c r="I136" s="145"/>
      <c r="J136" s="145"/>
      <c r="K136" s="145"/>
      <c r="L136" s="145"/>
      <c r="M136" s="145"/>
      <c r="N136" s="145"/>
      <c r="O136" s="174"/>
      <c r="P136" s="174"/>
      <c r="Q136" s="158" t="str">
        <v/>
      </c>
      <c r="R136" s="158" t="str">
        <v/>
      </c>
      <c r="S136" s="158" t="str">
        <v/>
      </c>
      <c r="T136" s="158" t="str">
        <v/>
      </c>
      <c r="U136" s="158" t="str">
        <v/>
      </c>
      <c r="V136" s="158" t="str">
        <v/>
      </c>
      <c r="W136" s="158" t="str">
        <v/>
      </c>
      <c r="X136" s="158" t="str">
        <v/>
      </c>
      <c r="Y136" s="158" t="str">
        <v/>
      </c>
      <c r="Z136" s="158" t="str">
        <v/>
      </c>
      <c r="AA136" s="158" t="e">
        <v>#VALUE!</v>
      </c>
      <c r="AB136" s="171" t="str">
        <v/>
      </c>
      <c r="AC136" s="158" t="str">
        <v/>
      </c>
      <c r="AD136" s="173" t="str">
        <f ca="1">IFERROR(__xludf.DUMMYFUNCTION("""COMPUTED_VALUE"""),"2025-06")</f>
        <v>2025-06</v>
      </c>
      <c r="AE136" s="154" t="str">
        <v/>
      </c>
      <c r="AF136" s="154" t="str">
        <v/>
      </c>
    </row>
    <row r="137" spans="1:32" ht="15">
      <c r="A137" s="176">
        <v>45837</v>
      </c>
      <c r="B137" s="145" t="s">
        <v>61</v>
      </c>
      <c r="C137" s="169">
        <v>508</v>
      </c>
      <c r="D137" s="145">
        <v>3</v>
      </c>
      <c r="E137" s="145"/>
      <c r="F137" s="169" t="e">
        <v>#VALUE!</v>
      </c>
      <c r="G137" s="145"/>
      <c r="H137" s="145"/>
      <c r="I137" s="145"/>
      <c r="J137" s="145"/>
      <c r="K137" s="145"/>
      <c r="L137" s="145"/>
      <c r="M137" s="145"/>
      <c r="N137" s="145"/>
      <c r="O137" s="174"/>
      <c r="P137" s="174"/>
      <c r="Q137" s="158" t="str">
        <v/>
      </c>
      <c r="R137" s="158" t="str">
        <v/>
      </c>
      <c r="S137" s="158" t="str">
        <v/>
      </c>
      <c r="T137" s="158" t="str">
        <v/>
      </c>
      <c r="U137" s="158" t="str">
        <v/>
      </c>
      <c r="V137" s="158" t="str">
        <v/>
      </c>
      <c r="W137" s="158" t="str">
        <v/>
      </c>
      <c r="X137" s="158" t="str">
        <v/>
      </c>
      <c r="Y137" s="158" t="str">
        <v/>
      </c>
      <c r="Z137" s="158" t="str">
        <v/>
      </c>
      <c r="AA137" s="158" t="e">
        <v>#VALUE!</v>
      </c>
      <c r="AB137" s="171" t="str">
        <v/>
      </c>
      <c r="AC137" s="158">
        <v>169.33333333333334</v>
      </c>
      <c r="AD137" s="173" t="str">
        <f ca="1">IFERROR(__xludf.DUMMYFUNCTION("""COMPUTED_VALUE"""),"2025-06")</f>
        <v>2025-06</v>
      </c>
      <c r="AE137" s="154" t="str">
        <v/>
      </c>
      <c r="AF137" s="154" t="str">
        <v/>
      </c>
    </row>
    <row r="138" spans="1:32" ht="15">
      <c r="A138" s="176">
        <v>45838</v>
      </c>
      <c r="B138" s="145" t="s">
        <v>115</v>
      </c>
      <c r="C138" s="169">
        <v>102666</v>
      </c>
      <c r="D138" s="145">
        <v>22</v>
      </c>
      <c r="E138" s="145">
        <v>3</v>
      </c>
      <c r="F138" s="169" t="e">
        <v>#VALUE!</v>
      </c>
      <c r="G138" s="145">
        <v>3</v>
      </c>
      <c r="H138" s="145"/>
      <c r="I138" s="145"/>
      <c r="J138" s="145"/>
      <c r="K138" s="145"/>
      <c r="L138" s="145"/>
      <c r="M138" s="145"/>
      <c r="N138" s="145"/>
      <c r="O138" s="174"/>
      <c r="P138" s="174"/>
      <c r="Q138" s="158">
        <v>591000</v>
      </c>
      <c r="R138" s="158" t="str">
        <v/>
      </c>
      <c r="S138" s="158" t="str">
        <v/>
      </c>
      <c r="T138" s="158" t="str">
        <v/>
      </c>
      <c r="U138" s="158" t="str">
        <v/>
      </c>
      <c r="V138" s="158" t="str">
        <v/>
      </c>
      <c r="W138" s="158" t="str">
        <v/>
      </c>
      <c r="X138" s="158" t="str">
        <v/>
      </c>
      <c r="Y138" s="158" t="str">
        <v/>
      </c>
      <c r="Z138" s="158" t="str">
        <v/>
      </c>
      <c r="AA138" s="158" t="e">
        <v>#VALUE!</v>
      </c>
      <c r="AB138" s="171">
        <v>0.03</v>
      </c>
      <c r="AC138" s="158">
        <v>4666.636363636364</v>
      </c>
      <c r="AD138" s="173" t="str">
        <f ca="1">IFERROR(__xludf.DUMMYFUNCTION("""COMPUTED_VALUE"""),"2025-06")</f>
        <v>2025-06</v>
      </c>
      <c r="AE138" s="154">
        <v>0</v>
      </c>
      <c r="AF138" s="154">
        <v>0</v>
      </c>
    </row>
    <row r="139" spans="1:32" ht="15">
      <c r="A139" s="176">
        <v>45838</v>
      </c>
      <c r="B139" s="145" t="s">
        <v>49</v>
      </c>
      <c r="C139" s="169">
        <v>70672</v>
      </c>
      <c r="D139" s="145">
        <v>9</v>
      </c>
      <c r="E139" s="145">
        <v>1</v>
      </c>
      <c r="F139" s="169" t="e">
        <v>#VALUE!</v>
      </c>
      <c r="G139" s="145"/>
      <c r="H139" s="145"/>
      <c r="I139" s="145"/>
      <c r="J139" s="145"/>
      <c r="K139" s="145"/>
      <c r="L139" s="145"/>
      <c r="M139" s="145">
        <v>1</v>
      </c>
      <c r="N139" s="145"/>
      <c r="O139" s="174"/>
      <c r="P139" s="174"/>
      <c r="Q139" s="158" t="str">
        <v/>
      </c>
      <c r="R139" s="158" t="str">
        <v/>
      </c>
      <c r="S139" s="158" t="str">
        <v/>
      </c>
      <c r="T139" s="158" t="str">
        <v/>
      </c>
      <c r="U139" s="158" t="str">
        <v/>
      </c>
      <c r="V139" s="158" t="str">
        <v/>
      </c>
      <c r="W139" s="158">
        <v>297000</v>
      </c>
      <c r="X139" s="158" t="str">
        <v/>
      </c>
      <c r="Y139" s="158" t="str">
        <v/>
      </c>
      <c r="Z139" s="158" t="str">
        <v/>
      </c>
      <c r="AA139" s="158" t="e">
        <v>#VALUE!</v>
      </c>
      <c r="AB139" s="171">
        <v>0.01</v>
      </c>
      <c r="AC139" s="158">
        <v>7852.4444444444443</v>
      </c>
      <c r="AD139" s="173" t="str">
        <f ca="1">IFERROR(__xludf.DUMMYFUNCTION("""COMPUTED_VALUE"""),"2025-06")</f>
        <v>2025-06</v>
      </c>
      <c r="AE139" s="154">
        <v>0</v>
      </c>
      <c r="AF139" s="154">
        <v>0</v>
      </c>
    </row>
    <row r="140" spans="1:32" ht="15">
      <c r="A140" s="176">
        <v>45838</v>
      </c>
      <c r="B140" s="145" t="s">
        <v>61</v>
      </c>
      <c r="C140" s="169">
        <v>140600</v>
      </c>
      <c r="D140" s="145">
        <v>33</v>
      </c>
      <c r="E140" s="145">
        <v>4</v>
      </c>
      <c r="F140" s="169" t="e">
        <v>#VALUE!</v>
      </c>
      <c r="G140" s="145">
        <v>3</v>
      </c>
      <c r="H140" s="145">
        <v>1</v>
      </c>
      <c r="I140" s="145"/>
      <c r="J140" s="145"/>
      <c r="K140" s="145"/>
      <c r="L140" s="145"/>
      <c r="M140" s="145"/>
      <c r="N140" s="145"/>
      <c r="O140" s="174"/>
      <c r="P140" s="174"/>
      <c r="Q140" s="158">
        <v>591000</v>
      </c>
      <c r="R140" s="158">
        <v>297000</v>
      </c>
      <c r="S140" s="158" t="str">
        <v/>
      </c>
      <c r="T140" s="158" t="str">
        <v/>
      </c>
      <c r="U140" s="158" t="str">
        <v/>
      </c>
      <c r="V140" s="158" t="str">
        <v/>
      </c>
      <c r="W140" s="158" t="str">
        <v/>
      </c>
      <c r="X140" s="158" t="str">
        <v/>
      </c>
      <c r="Y140" s="158" t="str">
        <v/>
      </c>
      <c r="Z140" s="158" t="str">
        <v/>
      </c>
      <c r="AA140" s="158" t="e">
        <v>#VALUE!</v>
      </c>
      <c r="AB140" s="171">
        <v>0.04</v>
      </c>
      <c r="AC140" s="158">
        <v>4260.606060606061</v>
      </c>
      <c r="AD140" s="173" t="str">
        <f ca="1">IFERROR(__xludf.DUMMYFUNCTION("""COMPUTED_VALUE"""),"2025-06")</f>
        <v>2025-06</v>
      </c>
      <c r="AE140" s="154">
        <v>0</v>
      </c>
      <c r="AF140" s="154">
        <v>0</v>
      </c>
    </row>
    <row r="141" spans="1:32" ht="15">
      <c r="A141" s="175">
        <v>45839</v>
      </c>
      <c r="B141" s="145" t="s">
        <v>49</v>
      </c>
      <c r="C141" s="169">
        <v>27234</v>
      </c>
      <c r="D141" s="145">
        <v>5</v>
      </c>
      <c r="E141" s="145"/>
      <c r="F141" s="169" t="e">
        <v>#VALUE!</v>
      </c>
      <c r="G141" s="145"/>
      <c r="H141" s="145"/>
      <c r="I141" s="145"/>
      <c r="J141" s="145"/>
      <c r="K141" s="145"/>
      <c r="L141" s="145"/>
      <c r="M141" s="145"/>
      <c r="N141" s="145"/>
      <c r="O141" s="174"/>
      <c r="P141" s="174"/>
      <c r="Q141" s="158" t="str">
        <v/>
      </c>
      <c r="R141" s="158" t="str">
        <v/>
      </c>
      <c r="S141" s="158" t="str">
        <v/>
      </c>
      <c r="T141" s="158" t="str">
        <v/>
      </c>
      <c r="U141" s="158" t="str">
        <v/>
      </c>
      <c r="V141" s="158" t="str">
        <v/>
      </c>
      <c r="W141" s="158" t="str">
        <v/>
      </c>
      <c r="X141" s="158" t="str">
        <v/>
      </c>
      <c r="Y141" s="158" t="str">
        <v/>
      </c>
      <c r="Z141" s="158" t="str">
        <v/>
      </c>
      <c r="AA141" s="158" t="e">
        <v>#VALUE!</v>
      </c>
      <c r="AB141" s="171" t="str">
        <v/>
      </c>
      <c r="AC141" s="158">
        <v>5446.8</v>
      </c>
      <c r="AD141" s="173" t="str">
        <f ca="1">IFERROR(__xludf.DUMMYFUNCTION("""COMPUTED_VALUE"""),"2025-07")</f>
        <v>2025-07</v>
      </c>
      <c r="AE141" s="154" t="str">
        <v/>
      </c>
      <c r="AF141" s="154" t="str">
        <v/>
      </c>
    </row>
    <row r="142" spans="1:32" ht="15">
      <c r="A142" s="175">
        <v>45839</v>
      </c>
      <c r="B142" s="145" t="s">
        <v>1229</v>
      </c>
      <c r="C142" s="169">
        <v>26852</v>
      </c>
      <c r="D142" s="145">
        <v>4</v>
      </c>
      <c r="E142" s="145"/>
      <c r="F142" s="169" t="e">
        <v>#VALUE!</v>
      </c>
      <c r="G142" s="145"/>
      <c r="H142" s="145"/>
      <c r="I142" s="145"/>
      <c r="J142" s="145"/>
      <c r="K142" s="145"/>
      <c r="L142" s="145"/>
      <c r="M142" s="145"/>
      <c r="N142" s="145"/>
      <c r="O142" s="174"/>
      <c r="P142" s="174"/>
      <c r="Q142" s="158" t="str">
        <v/>
      </c>
      <c r="R142" s="158" t="str">
        <v/>
      </c>
      <c r="S142" s="158" t="str">
        <v/>
      </c>
      <c r="T142" s="158" t="str">
        <v/>
      </c>
      <c r="U142" s="158" t="str">
        <v/>
      </c>
      <c r="V142" s="158" t="str">
        <v/>
      </c>
      <c r="W142" s="158" t="str">
        <v/>
      </c>
      <c r="X142" s="158" t="str">
        <v/>
      </c>
      <c r="Y142" s="158" t="str">
        <v/>
      </c>
      <c r="Z142" s="158" t="str">
        <v/>
      </c>
      <c r="AA142" s="158" t="e">
        <v>#VALUE!</v>
      </c>
      <c r="AB142" s="171" t="str">
        <v/>
      </c>
      <c r="AC142" s="158">
        <v>6713</v>
      </c>
      <c r="AD142" s="173" t="str">
        <f ca="1">IFERROR(__xludf.DUMMYFUNCTION("""COMPUTED_VALUE"""),"2025-07")</f>
        <v>2025-07</v>
      </c>
      <c r="AE142" s="154" t="str">
        <v/>
      </c>
      <c r="AF142" s="154" t="str">
        <v/>
      </c>
    </row>
    <row r="143" spans="1:32" ht="15">
      <c r="A143" s="175">
        <v>45839</v>
      </c>
      <c r="B143" s="145" t="s">
        <v>752</v>
      </c>
      <c r="C143" s="169">
        <v>9532</v>
      </c>
      <c r="D143" s="145">
        <v>1</v>
      </c>
      <c r="E143" s="145"/>
      <c r="F143" s="169" t="e">
        <v>#VALUE!</v>
      </c>
      <c r="G143" s="145"/>
      <c r="H143" s="145"/>
      <c r="I143" s="145"/>
      <c r="J143" s="145"/>
      <c r="K143" s="145"/>
      <c r="L143" s="145"/>
      <c r="M143" s="145"/>
      <c r="N143" s="145"/>
      <c r="O143" s="174"/>
      <c r="P143" s="174"/>
      <c r="Q143" s="158" t="str">
        <v/>
      </c>
      <c r="R143" s="158" t="str">
        <v/>
      </c>
      <c r="S143" s="158" t="str">
        <v/>
      </c>
      <c r="T143" s="158" t="str">
        <v/>
      </c>
      <c r="U143" s="158" t="str">
        <v/>
      </c>
      <c r="V143" s="158" t="str">
        <v/>
      </c>
      <c r="W143" s="158" t="str">
        <v/>
      </c>
      <c r="X143" s="158" t="str">
        <v/>
      </c>
      <c r="Y143" s="158" t="str">
        <v/>
      </c>
      <c r="Z143" s="158" t="str">
        <v/>
      </c>
      <c r="AA143" s="158" t="e">
        <v>#VALUE!</v>
      </c>
      <c r="AB143" s="171" t="str">
        <v/>
      </c>
      <c r="AC143" s="158">
        <v>9532</v>
      </c>
      <c r="AD143" s="173" t="str">
        <f ca="1">IFERROR(__xludf.DUMMYFUNCTION("""COMPUTED_VALUE"""),"2025-07")</f>
        <v>2025-07</v>
      </c>
      <c r="AE143" s="154" t="str">
        <v/>
      </c>
      <c r="AF143" s="154" t="str">
        <v/>
      </c>
    </row>
    <row r="144" spans="1:32" ht="15">
      <c r="A144" s="175">
        <v>45839</v>
      </c>
      <c r="B144" s="145" t="s">
        <v>115</v>
      </c>
      <c r="C144" s="169">
        <v>26464</v>
      </c>
      <c r="D144" s="145">
        <v>4</v>
      </c>
      <c r="E144" s="145">
        <v>5</v>
      </c>
      <c r="F144" s="169" t="e">
        <v>#VALUE!</v>
      </c>
      <c r="G144" s="145">
        <v>3</v>
      </c>
      <c r="H144" s="145">
        <v>1</v>
      </c>
      <c r="I144" s="145"/>
      <c r="J144" s="145"/>
      <c r="K144" s="145"/>
      <c r="L144" s="145"/>
      <c r="M144" s="145">
        <v>1</v>
      </c>
      <c r="N144" s="145"/>
      <c r="O144" s="174"/>
      <c r="P144" s="174"/>
      <c r="Q144" s="158">
        <v>591000</v>
      </c>
      <c r="R144" s="158">
        <v>297000</v>
      </c>
      <c r="S144" s="158" t="str">
        <v/>
      </c>
      <c r="T144" s="158" t="str">
        <v/>
      </c>
      <c r="U144" s="158" t="str">
        <v/>
      </c>
      <c r="V144" s="158" t="str">
        <v/>
      </c>
      <c r="W144" s="158">
        <v>297000</v>
      </c>
      <c r="X144" s="158" t="str">
        <v/>
      </c>
      <c r="Y144" s="158" t="str">
        <v/>
      </c>
      <c r="Z144" s="158" t="str">
        <v/>
      </c>
      <c r="AA144" s="158" t="e">
        <v>#VALUE!</v>
      </c>
      <c r="AB144" s="171">
        <v>0.05</v>
      </c>
      <c r="AC144" s="158">
        <v>6616</v>
      </c>
      <c r="AD144" s="173" t="str">
        <f ca="1">IFERROR(__xludf.DUMMYFUNCTION("""COMPUTED_VALUE"""),"2025-07")</f>
        <v>2025-07</v>
      </c>
      <c r="AE144" s="154">
        <v>0</v>
      </c>
      <c r="AF144" s="154">
        <v>0</v>
      </c>
    </row>
    <row r="145" spans="1:32" ht="15">
      <c r="A145" s="175">
        <v>45839</v>
      </c>
      <c r="B145" s="145" t="s">
        <v>61</v>
      </c>
      <c r="C145" s="169">
        <v>227997</v>
      </c>
      <c r="D145" s="145">
        <v>63</v>
      </c>
      <c r="E145" s="145"/>
      <c r="F145" s="169" t="e">
        <v>#VALUE!</v>
      </c>
      <c r="G145" s="145"/>
      <c r="H145" s="145"/>
      <c r="I145" s="145"/>
      <c r="J145" s="145"/>
      <c r="K145" s="145"/>
      <c r="L145" s="145"/>
      <c r="M145" s="145"/>
      <c r="N145" s="145"/>
      <c r="O145" s="174"/>
      <c r="P145" s="174"/>
      <c r="Q145" s="158" t="str">
        <v/>
      </c>
      <c r="R145" s="158" t="str">
        <v/>
      </c>
      <c r="S145" s="158" t="str">
        <v/>
      </c>
      <c r="T145" s="158" t="str">
        <v/>
      </c>
      <c r="U145" s="158" t="str">
        <v/>
      </c>
      <c r="V145" s="158" t="str">
        <v/>
      </c>
      <c r="W145" s="158" t="str">
        <v/>
      </c>
      <c r="X145" s="158" t="str">
        <v/>
      </c>
      <c r="Y145" s="158" t="str">
        <v/>
      </c>
      <c r="Z145" s="158" t="str">
        <v/>
      </c>
      <c r="AA145" s="158" t="e">
        <v>#VALUE!</v>
      </c>
      <c r="AB145" s="171" t="str">
        <v/>
      </c>
      <c r="AC145" s="158">
        <v>3619</v>
      </c>
      <c r="AD145" s="173" t="str">
        <f ca="1">IFERROR(__xludf.DUMMYFUNCTION("""COMPUTED_VALUE"""),"2025-07")</f>
        <v>2025-07</v>
      </c>
      <c r="AE145" s="154" t="str">
        <v/>
      </c>
      <c r="AF145" s="154" t="str">
        <v/>
      </c>
    </row>
    <row r="146" spans="1:32" ht="15">
      <c r="A146" s="175">
        <v>45839</v>
      </c>
      <c r="B146" s="145" t="s">
        <v>49</v>
      </c>
      <c r="C146" s="169">
        <v>0</v>
      </c>
      <c r="D146" s="145"/>
      <c r="E146" s="145">
        <v>1</v>
      </c>
      <c r="F146" s="169" t="e">
        <v>#VALUE!</v>
      </c>
      <c r="G146" s="145">
        <v>1</v>
      </c>
      <c r="H146" s="145"/>
      <c r="I146" s="145"/>
      <c r="J146" s="145"/>
      <c r="K146" s="145"/>
      <c r="L146" s="145"/>
      <c r="M146" s="145"/>
      <c r="N146" s="145"/>
      <c r="O146" s="174"/>
      <c r="P146" s="174"/>
      <c r="Q146" s="158">
        <v>197000</v>
      </c>
      <c r="R146" s="158" t="str">
        <v/>
      </c>
      <c r="S146" s="158" t="str">
        <v/>
      </c>
      <c r="T146" s="158" t="str">
        <v/>
      </c>
      <c r="U146" s="158" t="str">
        <v/>
      </c>
      <c r="V146" s="158" t="str">
        <v/>
      </c>
      <c r="W146" s="158" t="str">
        <v/>
      </c>
      <c r="X146" s="158" t="str">
        <v/>
      </c>
      <c r="Y146" s="158" t="str">
        <v/>
      </c>
      <c r="Z146" s="158" t="str">
        <v/>
      </c>
      <c r="AA146" s="158" t="e">
        <v>#VALUE!</v>
      </c>
      <c r="AB146" s="171">
        <v>0.01</v>
      </c>
      <c r="AC146" s="158">
        <v>0</v>
      </c>
      <c r="AD146" s="173" t="str">
        <f ca="1">IFERROR(__xludf.DUMMYFUNCTION("""COMPUTED_VALUE"""),"2025-07")</f>
        <v>2025-07</v>
      </c>
      <c r="AE146" s="154">
        <v>0</v>
      </c>
      <c r="AF146" s="154">
        <v>0</v>
      </c>
    </row>
    <row r="147" spans="1:32" ht="15">
      <c r="A147" s="175">
        <v>45840</v>
      </c>
      <c r="B147" s="145" t="s">
        <v>49</v>
      </c>
      <c r="C147" s="169">
        <v>6969</v>
      </c>
      <c r="D147" s="145">
        <v>1</v>
      </c>
      <c r="E147" s="145">
        <v>1</v>
      </c>
      <c r="F147" s="169" t="e">
        <v>#VALUE!</v>
      </c>
      <c r="G147" s="145">
        <v>1</v>
      </c>
      <c r="H147" s="145"/>
      <c r="I147" s="145"/>
      <c r="J147" s="145"/>
      <c r="K147" s="145"/>
      <c r="L147" s="145"/>
      <c r="M147" s="145"/>
      <c r="N147" s="145"/>
      <c r="O147" s="174"/>
      <c r="P147" s="174"/>
      <c r="Q147" s="158">
        <v>197000</v>
      </c>
      <c r="R147" s="158" t="str">
        <v/>
      </c>
      <c r="S147" s="158" t="str">
        <v/>
      </c>
      <c r="T147" s="158" t="str">
        <v/>
      </c>
      <c r="U147" s="158" t="str">
        <v/>
      </c>
      <c r="V147" s="158" t="str">
        <v/>
      </c>
      <c r="W147" s="158" t="str">
        <v/>
      </c>
      <c r="X147" s="158" t="str">
        <v/>
      </c>
      <c r="Y147" s="158" t="str">
        <v/>
      </c>
      <c r="Z147" s="158" t="str">
        <v/>
      </c>
      <c r="AA147" s="158" t="e">
        <v>#VALUE!</v>
      </c>
      <c r="AB147" s="171">
        <v>0.01</v>
      </c>
      <c r="AC147" s="158">
        <v>6969</v>
      </c>
      <c r="AD147" s="173" t="str">
        <f ca="1">IFERROR(__xludf.DUMMYFUNCTION("""COMPUTED_VALUE"""),"2025-07")</f>
        <v>2025-07</v>
      </c>
      <c r="AE147" s="154">
        <v>0</v>
      </c>
      <c r="AF147" s="154">
        <v>0</v>
      </c>
    </row>
    <row r="148" spans="1:32" ht="15">
      <c r="A148" s="175">
        <v>45840</v>
      </c>
      <c r="B148" s="145" t="s">
        <v>1229</v>
      </c>
      <c r="C148" s="169">
        <v>10857</v>
      </c>
      <c r="D148" s="145">
        <v>3</v>
      </c>
      <c r="E148" s="145"/>
      <c r="F148" s="169" t="e">
        <v>#VALUE!</v>
      </c>
      <c r="G148" s="145"/>
      <c r="H148" s="145"/>
      <c r="I148" s="145"/>
      <c r="J148" s="145"/>
      <c r="K148" s="145"/>
      <c r="L148" s="145"/>
      <c r="M148" s="145"/>
      <c r="N148" s="145"/>
      <c r="O148" s="174"/>
      <c r="P148" s="174"/>
      <c r="Q148" s="158" t="str">
        <v/>
      </c>
      <c r="R148" s="158" t="str">
        <v/>
      </c>
      <c r="S148" s="158" t="str">
        <v/>
      </c>
      <c r="T148" s="158" t="str">
        <v/>
      </c>
      <c r="U148" s="158" t="str">
        <v/>
      </c>
      <c r="V148" s="158" t="str">
        <v/>
      </c>
      <c r="W148" s="158" t="str">
        <v/>
      </c>
      <c r="X148" s="158" t="str">
        <v/>
      </c>
      <c r="Y148" s="158" t="str">
        <v/>
      </c>
      <c r="Z148" s="158" t="str">
        <v/>
      </c>
      <c r="AA148" s="158" t="e">
        <v>#VALUE!</v>
      </c>
      <c r="AB148" s="171" t="str">
        <v/>
      </c>
      <c r="AC148" s="158">
        <v>3619</v>
      </c>
      <c r="AD148" s="173" t="str">
        <f ca="1">IFERROR(__xludf.DUMMYFUNCTION("""COMPUTED_VALUE"""),"2025-07")</f>
        <v>2025-07</v>
      </c>
      <c r="AE148" s="154" t="str">
        <v/>
      </c>
      <c r="AF148" s="154" t="str">
        <v/>
      </c>
    </row>
    <row r="149" spans="1:32" ht="15">
      <c r="A149" s="175">
        <v>45840</v>
      </c>
      <c r="B149" s="145" t="s">
        <v>752</v>
      </c>
      <c r="C149" s="169">
        <v>4493</v>
      </c>
      <c r="D149" s="145">
        <v>2</v>
      </c>
      <c r="E149" s="145"/>
      <c r="F149" s="169" t="e">
        <v>#VALUE!</v>
      </c>
      <c r="G149" s="145"/>
      <c r="H149" s="145"/>
      <c r="I149" s="145"/>
      <c r="J149" s="145"/>
      <c r="K149" s="145"/>
      <c r="L149" s="145"/>
      <c r="M149" s="145"/>
      <c r="N149" s="145"/>
      <c r="O149" s="174"/>
      <c r="P149" s="174"/>
      <c r="Q149" s="158" t="str">
        <v/>
      </c>
      <c r="R149" s="158" t="str">
        <v/>
      </c>
      <c r="S149" s="158" t="str">
        <v/>
      </c>
      <c r="T149" s="158" t="str">
        <v/>
      </c>
      <c r="U149" s="158" t="str">
        <v/>
      </c>
      <c r="V149" s="158" t="str">
        <v/>
      </c>
      <c r="W149" s="158" t="str">
        <v/>
      </c>
      <c r="X149" s="158" t="str">
        <v/>
      </c>
      <c r="Y149" s="158" t="str">
        <v/>
      </c>
      <c r="Z149" s="158" t="str">
        <v/>
      </c>
      <c r="AA149" s="158" t="e">
        <v>#VALUE!</v>
      </c>
      <c r="AB149" s="171" t="str">
        <v/>
      </c>
      <c r="AC149" s="158">
        <v>2246.5</v>
      </c>
      <c r="AD149" s="173" t="str">
        <f ca="1">IFERROR(__xludf.DUMMYFUNCTION("""COMPUTED_VALUE"""),"2025-07")</f>
        <v>2025-07</v>
      </c>
      <c r="AE149" s="154" t="str">
        <v/>
      </c>
      <c r="AF149" s="154" t="str">
        <v/>
      </c>
    </row>
    <row r="150" spans="1:32" ht="15">
      <c r="A150" s="175">
        <v>45840</v>
      </c>
      <c r="B150" s="145" t="s">
        <v>115</v>
      </c>
      <c r="C150" s="169">
        <v>151947</v>
      </c>
      <c r="D150" s="145">
        <v>36</v>
      </c>
      <c r="E150" s="145"/>
      <c r="F150" s="169" t="e">
        <v>#VALUE!</v>
      </c>
      <c r="G150" s="145"/>
      <c r="H150" s="145"/>
      <c r="I150" s="145"/>
      <c r="J150" s="145"/>
      <c r="K150" s="145"/>
      <c r="L150" s="145"/>
      <c r="M150" s="145"/>
      <c r="N150" s="145"/>
      <c r="O150" s="174"/>
      <c r="P150" s="174"/>
      <c r="Q150" s="158" t="str">
        <v/>
      </c>
      <c r="R150" s="158" t="str">
        <v/>
      </c>
      <c r="S150" s="158" t="str">
        <v/>
      </c>
      <c r="T150" s="158" t="str">
        <v/>
      </c>
      <c r="U150" s="158" t="str">
        <v/>
      </c>
      <c r="V150" s="158" t="str">
        <v/>
      </c>
      <c r="W150" s="158" t="str">
        <v/>
      </c>
      <c r="X150" s="158" t="str">
        <v/>
      </c>
      <c r="Y150" s="158" t="str">
        <v/>
      </c>
      <c r="Z150" s="158" t="str">
        <v/>
      </c>
      <c r="AA150" s="158" t="e">
        <v>#VALUE!</v>
      </c>
      <c r="AB150" s="171" t="str">
        <v/>
      </c>
      <c r="AC150" s="158">
        <v>4220.75</v>
      </c>
      <c r="AD150" s="173" t="str">
        <f ca="1">IFERROR(__xludf.DUMMYFUNCTION("""COMPUTED_VALUE"""),"2025-07")</f>
        <v>2025-07</v>
      </c>
      <c r="AE150" s="154" t="str">
        <v/>
      </c>
      <c r="AF150" s="154" t="str">
        <v/>
      </c>
    </row>
    <row r="151" spans="1:32" ht="15">
      <c r="A151" s="175">
        <v>45840</v>
      </c>
      <c r="B151" s="145" t="s">
        <v>61</v>
      </c>
      <c r="C151" s="169">
        <v>242601</v>
      </c>
      <c r="D151" s="145">
        <v>52</v>
      </c>
      <c r="E151" s="145">
        <v>4</v>
      </c>
      <c r="F151" s="169" t="e">
        <v>#VALUE!</v>
      </c>
      <c r="G151" s="145">
        <v>3</v>
      </c>
      <c r="H151" s="145"/>
      <c r="I151" s="145"/>
      <c r="J151" s="145"/>
      <c r="K151" s="145">
        <v>1</v>
      </c>
      <c r="L151" s="145"/>
      <c r="M151" s="145"/>
      <c r="N151" s="145"/>
      <c r="O151" s="174"/>
      <c r="P151" s="174"/>
      <c r="Q151" s="158">
        <v>591000</v>
      </c>
      <c r="R151" s="158" t="str">
        <v/>
      </c>
      <c r="S151" s="158" t="str">
        <v/>
      </c>
      <c r="T151" s="158" t="str">
        <v/>
      </c>
      <c r="U151" s="158">
        <v>1000000</v>
      </c>
      <c r="V151" s="158" t="str">
        <v/>
      </c>
      <c r="W151" s="158" t="str">
        <v/>
      </c>
      <c r="X151" s="158" t="str">
        <v/>
      </c>
      <c r="Y151" s="158" t="str">
        <v/>
      </c>
      <c r="Z151" s="158" t="str">
        <v/>
      </c>
      <c r="AA151" s="158" t="e">
        <v>#VALUE!</v>
      </c>
      <c r="AB151" s="171">
        <v>0.04</v>
      </c>
      <c r="AC151" s="158">
        <v>4665.4038461538457</v>
      </c>
      <c r="AD151" s="173" t="str">
        <f ca="1">IFERROR(__xludf.DUMMYFUNCTION("""COMPUTED_VALUE"""),"2025-07")</f>
        <v>2025-07</v>
      </c>
      <c r="AE151" s="154">
        <v>0</v>
      </c>
      <c r="AF151" s="154">
        <v>0</v>
      </c>
    </row>
    <row r="152" spans="1:32" ht="15">
      <c r="A152" s="175">
        <v>45841</v>
      </c>
      <c r="B152" s="145" t="s">
        <v>1229</v>
      </c>
      <c r="C152" s="169">
        <v>80</v>
      </c>
      <c r="D152" s="145">
        <v>0</v>
      </c>
      <c r="E152" s="145"/>
      <c r="F152" s="169" t="e">
        <v>#VALUE!</v>
      </c>
      <c r="G152" s="145"/>
      <c r="H152" s="145"/>
      <c r="I152" s="145"/>
      <c r="J152" s="145"/>
      <c r="K152" s="145"/>
      <c r="L152" s="145"/>
      <c r="M152" s="145"/>
      <c r="N152" s="145"/>
      <c r="O152" s="174"/>
      <c r="P152" s="174"/>
      <c r="Q152" s="158" t="str">
        <v/>
      </c>
      <c r="R152" s="158" t="str">
        <v/>
      </c>
      <c r="S152" s="158" t="str">
        <v/>
      </c>
      <c r="T152" s="158" t="str">
        <v/>
      </c>
      <c r="U152" s="158" t="str">
        <v/>
      </c>
      <c r="V152" s="158" t="str">
        <v/>
      </c>
      <c r="W152" s="158" t="str">
        <v/>
      </c>
      <c r="X152" s="158" t="str">
        <v/>
      </c>
      <c r="Y152" s="158" t="str">
        <v/>
      </c>
      <c r="Z152" s="158" t="str">
        <v/>
      </c>
      <c r="AA152" s="158" t="e">
        <v>#VALUE!</v>
      </c>
      <c r="AB152" s="171" t="str">
        <v/>
      </c>
      <c r="AC152" s="158" t="str">
        <v/>
      </c>
      <c r="AD152" s="173" t="str">
        <f ca="1">IFERROR(__xludf.DUMMYFUNCTION("""COMPUTED_VALUE"""),"2025-07")</f>
        <v>2025-07</v>
      </c>
      <c r="AE152" s="154" t="str">
        <v/>
      </c>
      <c r="AF152" s="154" t="str">
        <v/>
      </c>
    </row>
    <row r="153" spans="1:32" ht="15">
      <c r="A153" s="175">
        <v>45841</v>
      </c>
      <c r="B153" s="145" t="s">
        <v>752</v>
      </c>
      <c r="C153" s="169">
        <v>9</v>
      </c>
      <c r="D153" s="145">
        <v>0</v>
      </c>
      <c r="E153" s="145"/>
      <c r="F153" s="169" t="e">
        <v>#VALUE!</v>
      </c>
      <c r="G153" s="145"/>
      <c r="H153" s="145"/>
      <c r="I153" s="145"/>
      <c r="J153" s="145"/>
      <c r="K153" s="145"/>
      <c r="L153" s="145"/>
      <c r="M153" s="145"/>
      <c r="N153" s="145"/>
      <c r="O153" s="174"/>
      <c r="P153" s="174"/>
      <c r="Q153" s="158" t="str">
        <v/>
      </c>
      <c r="R153" s="158" t="str">
        <v/>
      </c>
      <c r="S153" s="158" t="str">
        <v/>
      </c>
      <c r="T153" s="158" t="str">
        <v/>
      </c>
      <c r="U153" s="158" t="str">
        <v/>
      </c>
      <c r="V153" s="158" t="str">
        <v/>
      </c>
      <c r="W153" s="158" t="str">
        <v/>
      </c>
      <c r="X153" s="158" t="str">
        <v/>
      </c>
      <c r="Y153" s="158" t="str">
        <v/>
      </c>
      <c r="Z153" s="158" t="str">
        <v/>
      </c>
      <c r="AA153" s="158" t="e">
        <v>#VALUE!</v>
      </c>
      <c r="AB153" s="171" t="str">
        <v/>
      </c>
      <c r="AC153" s="158" t="str">
        <v/>
      </c>
      <c r="AD153" s="173" t="str">
        <f ca="1">IFERROR(__xludf.DUMMYFUNCTION("""COMPUTED_VALUE"""),"2025-07")</f>
        <v>2025-07</v>
      </c>
      <c r="AE153" s="154" t="str">
        <v/>
      </c>
      <c r="AF153" s="154" t="str">
        <v/>
      </c>
    </row>
    <row r="154" spans="1:32" ht="15">
      <c r="A154" s="175">
        <v>45841</v>
      </c>
      <c r="B154" s="145" t="s">
        <v>115</v>
      </c>
      <c r="C154" s="169">
        <v>149408</v>
      </c>
      <c r="D154" s="145">
        <v>32</v>
      </c>
      <c r="E154" s="145">
        <v>5</v>
      </c>
      <c r="F154" s="169" t="e">
        <v>#VALUE!</v>
      </c>
      <c r="G154" s="145">
        <v>4</v>
      </c>
      <c r="H154" s="145"/>
      <c r="I154" s="145"/>
      <c r="J154" s="145"/>
      <c r="K154" s="145"/>
      <c r="L154" s="145"/>
      <c r="M154" s="145"/>
      <c r="N154" s="145">
        <v>1</v>
      </c>
      <c r="O154" s="174"/>
      <c r="P154" s="174"/>
      <c r="Q154" s="158">
        <v>788000</v>
      </c>
      <c r="R154" s="158" t="str">
        <v/>
      </c>
      <c r="S154" s="158" t="str">
        <v/>
      </c>
      <c r="T154" s="158" t="str">
        <v/>
      </c>
      <c r="U154" s="158" t="str">
        <v/>
      </c>
      <c r="V154" s="158" t="str">
        <v/>
      </c>
      <c r="W154" s="158" t="str">
        <v/>
      </c>
      <c r="X154" s="158">
        <v>375000</v>
      </c>
      <c r="Y154" s="158" t="str">
        <v/>
      </c>
      <c r="Z154" s="158" t="str">
        <v/>
      </c>
      <c r="AA154" s="158" t="e">
        <v>#VALUE!</v>
      </c>
      <c r="AB154" s="171">
        <v>0.05</v>
      </c>
      <c r="AC154" s="158">
        <v>4669</v>
      </c>
      <c r="AD154" s="173" t="str">
        <f ca="1">IFERROR(__xludf.DUMMYFUNCTION("""COMPUTED_VALUE"""),"2025-07")</f>
        <v>2025-07</v>
      </c>
      <c r="AE154" s="154">
        <v>0</v>
      </c>
      <c r="AF154" s="154">
        <v>0</v>
      </c>
    </row>
    <row r="155" spans="1:32" ht="15">
      <c r="A155" s="175">
        <v>45841</v>
      </c>
      <c r="B155" s="145" t="s">
        <v>49</v>
      </c>
      <c r="C155" s="169">
        <v>9</v>
      </c>
      <c r="D155" s="145">
        <v>0</v>
      </c>
      <c r="E155" s="145">
        <v>1</v>
      </c>
      <c r="F155" s="169" t="e">
        <v>#VALUE!</v>
      </c>
      <c r="G155" s="145"/>
      <c r="H155" s="145"/>
      <c r="I155" s="145"/>
      <c r="J155" s="145"/>
      <c r="K155" s="145"/>
      <c r="L155" s="145">
        <v>1</v>
      </c>
      <c r="M155" s="145"/>
      <c r="N155" s="145"/>
      <c r="O155" s="174"/>
      <c r="P155" s="174"/>
      <c r="Q155" s="158" t="str">
        <v/>
      </c>
      <c r="R155" s="158" t="str">
        <v/>
      </c>
      <c r="S155" s="158" t="str">
        <v/>
      </c>
      <c r="T155" s="158" t="str">
        <v/>
      </c>
      <c r="U155" s="158" t="str">
        <v/>
      </c>
      <c r="V155" s="158">
        <v>197000</v>
      </c>
      <c r="W155" s="158" t="str">
        <v/>
      </c>
      <c r="X155" s="158" t="str">
        <v/>
      </c>
      <c r="Y155" s="158" t="str">
        <v/>
      </c>
      <c r="Z155" s="158" t="str">
        <v/>
      </c>
      <c r="AA155" s="158" t="e">
        <v>#VALUE!</v>
      </c>
      <c r="AB155" s="171">
        <v>0.01</v>
      </c>
      <c r="AC155" s="158" t="str">
        <v/>
      </c>
      <c r="AD155" s="173" t="str">
        <f ca="1">IFERROR(__xludf.DUMMYFUNCTION("""COMPUTED_VALUE"""),"2025-07")</f>
        <v>2025-07</v>
      </c>
      <c r="AE155" s="154">
        <v>0</v>
      </c>
      <c r="AF155" s="154">
        <v>0</v>
      </c>
    </row>
    <row r="156" spans="1:32" ht="15">
      <c r="A156" s="175">
        <v>45841</v>
      </c>
      <c r="B156" s="145" t="s">
        <v>61</v>
      </c>
      <c r="C156" s="169">
        <v>14359</v>
      </c>
      <c r="D156" s="145">
        <v>2</v>
      </c>
      <c r="E156" s="145">
        <v>6</v>
      </c>
      <c r="F156" s="169" t="e">
        <v>#VALUE!</v>
      </c>
      <c r="G156" s="145">
        <v>3</v>
      </c>
      <c r="H156" s="145"/>
      <c r="I156" s="145"/>
      <c r="J156" s="145"/>
      <c r="K156" s="145"/>
      <c r="L156" s="145">
        <v>1</v>
      </c>
      <c r="M156" s="145">
        <v>2</v>
      </c>
      <c r="N156" s="145"/>
      <c r="O156" s="174"/>
      <c r="P156" s="174"/>
      <c r="Q156" s="158">
        <v>591000</v>
      </c>
      <c r="R156" s="158" t="str">
        <v/>
      </c>
      <c r="S156" s="158" t="str">
        <v/>
      </c>
      <c r="T156" s="158" t="str">
        <v/>
      </c>
      <c r="U156" s="158" t="str">
        <v/>
      </c>
      <c r="V156" s="158">
        <v>197000</v>
      </c>
      <c r="W156" s="158">
        <v>594000</v>
      </c>
      <c r="X156" s="158" t="str">
        <v/>
      </c>
      <c r="Y156" s="158" t="str">
        <v/>
      </c>
      <c r="Z156" s="158" t="str">
        <v/>
      </c>
      <c r="AA156" s="158" t="e">
        <v>#VALUE!</v>
      </c>
      <c r="AB156" s="171">
        <v>0.06</v>
      </c>
      <c r="AC156" s="158">
        <v>7179.5</v>
      </c>
      <c r="AD156" s="173" t="str">
        <f ca="1">IFERROR(__xludf.DUMMYFUNCTION("""COMPUTED_VALUE"""),"2025-07")</f>
        <v>2025-07</v>
      </c>
      <c r="AE156" s="154">
        <v>0</v>
      </c>
      <c r="AF156" s="154">
        <v>0</v>
      </c>
    </row>
    <row r="157" spans="1:32" ht="15">
      <c r="A157" s="175">
        <v>45842</v>
      </c>
      <c r="B157" s="145" t="s">
        <v>115</v>
      </c>
      <c r="C157" s="169">
        <v>101007</v>
      </c>
      <c r="D157" s="145">
        <v>26</v>
      </c>
      <c r="E157" s="145"/>
      <c r="F157" s="169" t="e">
        <v>#VALUE!</v>
      </c>
      <c r="G157" s="145"/>
      <c r="H157" s="145"/>
      <c r="I157" s="145"/>
      <c r="J157" s="145"/>
      <c r="K157" s="145"/>
      <c r="L157" s="145"/>
      <c r="M157" s="145"/>
      <c r="N157" s="145"/>
      <c r="O157" s="174"/>
      <c r="P157" s="174"/>
      <c r="Q157" s="158" t="str">
        <v/>
      </c>
      <c r="R157" s="158" t="str">
        <v/>
      </c>
      <c r="S157" s="158" t="str">
        <v/>
      </c>
      <c r="T157" s="158" t="str">
        <v/>
      </c>
      <c r="U157" s="158" t="str">
        <v/>
      </c>
      <c r="V157" s="158" t="str">
        <v/>
      </c>
      <c r="W157" s="158" t="str">
        <v/>
      </c>
      <c r="X157" s="158" t="str">
        <v/>
      </c>
      <c r="Y157" s="158" t="str">
        <v/>
      </c>
      <c r="Z157" s="158" t="str">
        <v/>
      </c>
      <c r="AA157" s="158" t="e">
        <v>#VALUE!</v>
      </c>
      <c r="AB157" s="171" t="str">
        <v/>
      </c>
      <c r="AC157" s="158">
        <v>3884.8846153846152</v>
      </c>
      <c r="AD157" s="173" t="str">
        <f ca="1">IFERROR(__xludf.DUMMYFUNCTION("""COMPUTED_VALUE"""),"2025-07")</f>
        <v>2025-07</v>
      </c>
      <c r="AE157" s="154" t="str">
        <v/>
      </c>
      <c r="AF157" s="154" t="str">
        <v/>
      </c>
    </row>
    <row r="158" spans="1:32" ht="15">
      <c r="A158" s="175">
        <v>45842</v>
      </c>
      <c r="B158" s="145" t="s">
        <v>61</v>
      </c>
      <c r="C158" s="169">
        <v>199885</v>
      </c>
      <c r="D158" s="145">
        <v>46</v>
      </c>
      <c r="E158" s="145">
        <v>9</v>
      </c>
      <c r="F158" s="169" t="e">
        <v>#VALUE!</v>
      </c>
      <c r="G158" s="145"/>
      <c r="H158" s="145"/>
      <c r="I158" s="145"/>
      <c r="J158" s="145"/>
      <c r="K158" s="145"/>
      <c r="L158" s="145"/>
      <c r="M158" s="145"/>
      <c r="N158" s="145"/>
      <c r="O158" s="174"/>
      <c r="P158" s="174"/>
      <c r="Q158" s="158" t="str">
        <v/>
      </c>
      <c r="R158" s="158" t="str">
        <v/>
      </c>
      <c r="S158" s="158" t="str">
        <v/>
      </c>
      <c r="T158" s="158" t="str">
        <v/>
      </c>
      <c r="U158" s="158" t="str">
        <v/>
      </c>
      <c r="V158" s="158" t="str">
        <v/>
      </c>
      <c r="W158" s="158" t="str">
        <v/>
      </c>
      <c r="X158" s="158" t="str">
        <v/>
      </c>
      <c r="Y158" s="158" t="str">
        <v/>
      </c>
      <c r="Z158" s="158" t="str">
        <v/>
      </c>
      <c r="AA158" s="158" t="e">
        <v>#VALUE!</v>
      </c>
      <c r="AB158" s="171">
        <v>0.09</v>
      </c>
      <c r="AC158" s="158">
        <v>4345.326086956522</v>
      </c>
      <c r="AD158" s="173" t="str">
        <f ca="1">IFERROR(__xludf.DUMMYFUNCTION("""COMPUTED_VALUE"""),"2025-07")</f>
        <v>2025-07</v>
      </c>
      <c r="AE158" s="154">
        <v>0</v>
      </c>
      <c r="AF158" s="154">
        <v>0</v>
      </c>
    </row>
    <row r="159" spans="1:32" ht="15">
      <c r="A159" s="175">
        <v>45842</v>
      </c>
      <c r="B159" s="145" t="s">
        <v>1774</v>
      </c>
      <c r="C159" s="169">
        <v>0</v>
      </c>
      <c r="D159" s="145"/>
      <c r="E159" s="145">
        <v>2</v>
      </c>
      <c r="F159" s="169" t="e">
        <v>#VALUE!</v>
      </c>
      <c r="G159" s="145">
        <v>2</v>
      </c>
      <c r="H159" s="145"/>
      <c r="I159" s="145"/>
      <c r="J159" s="145"/>
      <c r="K159" s="145"/>
      <c r="L159" s="145"/>
      <c r="M159" s="145"/>
      <c r="N159" s="145"/>
      <c r="O159" s="174"/>
      <c r="P159" s="174"/>
      <c r="Q159" s="158">
        <v>394000</v>
      </c>
      <c r="R159" s="158" t="str">
        <v/>
      </c>
      <c r="S159" s="158" t="str">
        <v/>
      </c>
      <c r="T159" s="158" t="str">
        <v/>
      </c>
      <c r="U159" s="158" t="str">
        <v/>
      </c>
      <c r="V159" s="158" t="str">
        <v/>
      </c>
      <c r="W159" s="158" t="str">
        <v/>
      </c>
      <c r="X159" s="158" t="str">
        <v/>
      </c>
      <c r="Y159" s="158" t="str">
        <v/>
      </c>
      <c r="Z159" s="158" t="str">
        <v/>
      </c>
      <c r="AA159" s="158" t="e">
        <v>#VALUE!</v>
      </c>
      <c r="AB159" s="171">
        <v>0.02</v>
      </c>
      <c r="AC159" s="158">
        <v>0</v>
      </c>
      <c r="AD159" s="173" t="str">
        <f ca="1">IFERROR(__xludf.DUMMYFUNCTION("""COMPUTED_VALUE"""),"2025-07")</f>
        <v>2025-07</v>
      </c>
      <c r="AE159" s="154">
        <v>0</v>
      </c>
      <c r="AF159" s="154">
        <v>0</v>
      </c>
    </row>
    <row r="160" spans="1:32" ht="15">
      <c r="A160" s="175">
        <v>45842</v>
      </c>
      <c r="B160" s="145" t="s">
        <v>1229</v>
      </c>
      <c r="C160" s="169">
        <v>0</v>
      </c>
      <c r="D160" s="145"/>
      <c r="E160" s="145">
        <v>2</v>
      </c>
      <c r="F160" s="169" t="e">
        <v>#VALUE!</v>
      </c>
      <c r="G160" s="145">
        <v>1</v>
      </c>
      <c r="H160" s="145"/>
      <c r="I160" s="145"/>
      <c r="J160" s="145"/>
      <c r="K160" s="145"/>
      <c r="L160" s="145">
        <v>1</v>
      </c>
      <c r="M160" s="145"/>
      <c r="N160" s="145"/>
      <c r="O160" s="174"/>
      <c r="P160" s="174"/>
      <c r="Q160" s="158">
        <v>197000</v>
      </c>
      <c r="R160" s="158" t="str">
        <v/>
      </c>
      <c r="S160" s="158" t="str">
        <v/>
      </c>
      <c r="T160" s="158" t="str">
        <v/>
      </c>
      <c r="U160" s="158" t="str">
        <v/>
      </c>
      <c r="V160" s="158">
        <v>197000</v>
      </c>
      <c r="W160" s="158" t="str">
        <v/>
      </c>
      <c r="X160" s="158" t="str">
        <v/>
      </c>
      <c r="Y160" s="158" t="str">
        <v/>
      </c>
      <c r="Z160" s="158" t="str">
        <v/>
      </c>
      <c r="AA160" s="158" t="e">
        <v>#VALUE!</v>
      </c>
      <c r="AB160" s="171">
        <v>0.02</v>
      </c>
      <c r="AC160" s="158">
        <v>0</v>
      </c>
      <c r="AD160" s="173" t="str">
        <f ca="1">IFERROR(__xludf.DUMMYFUNCTION("""COMPUTED_VALUE"""),"2025-07")</f>
        <v>2025-07</v>
      </c>
      <c r="AE160" s="154">
        <v>0</v>
      </c>
      <c r="AF160" s="154">
        <v>0</v>
      </c>
    </row>
    <row r="161" spans="1:32" ht="15">
      <c r="A161" s="175">
        <v>45843</v>
      </c>
      <c r="B161" s="145" t="s">
        <v>1229</v>
      </c>
      <c r="C161" s="169">
        <v>40563</v>
      </c>
      <c r="D161" s="145">
        <v>5</v>
      </c>
      <c r="E161" s="145">
        <v>3</v>
      </c>
      <c r="F161" s="169" t="e">
        <v>#VALUE!</v>
      </c>
      <c r="G161" s="145">
        <v>2</v>
      </c>
      <c r="H161" s="145"/>
      <c r="I161" s="145"/>
      <c r="J161" s="145"/>
      <c r="K161" s="145"/>
      <c r="L161" s="145">
        <v>1</v>
      </c>
      <c r="M161" s="145"/>
      <c r="N161" s="145"/>
      <c r="O161" s="174"/>
      <c r="P161" s="174"/>
      <c r="Q161" s="158">
        <v>394000</v>
      </c>
      <c r="R161" s="158" t="str">
        <v/>
      </c>
      <c r="S161" s="158" t="str">
        <v/>
      </c>
      <c r="T161" s="158" t="str">
        <v/>
      </c>
      <c r="U161" s="158" t="str">
        <v/>
      </c>
      <c r="V161" s="158">
        <v>197000</v>
      </c>
      <c r="W161" s="158" t="str">
        <v/>
      </c>
      <c r="X161" s="158" t="str">
        <v/>
      </c>
      <c r="Y161" s="158" t="str">
        <v/>
      </c>
      <c r="Z161" s="158" t="str">
        <v/>
      </c>
      <c r="AA161" s="158" t="e">
        <v>#VALUE!</v>
      </c>
      <c r="AB161" s="171">
        <v>0.03</v>
      </c>
      <c r="AC161" s="158">
        <v>8112.6</v>
      </c>
      <c r="AD161" s="173" t="str">
        <f ca="1">IFERROR(__xludf.DUMMYFUNCTION("""COMPUTED_VALUE"""),"2025-07")</f>
        <v>2025-07</v>
      </c>
      <c r="AE161" s="154">
        <v>0</v>
      </c>
      <c r="AF161" s="154">
        <v>0</v>
      </c>
    </row>
    <row r="162" spans="1:32" ht="15">
      <c r="A162" s="175">
        <v>45843</v>
      </c>
      <c r="B162" s="145" t="s">
        <v>752</v>
      </c>
      <c r="C162" s="169">
        <v>8303</v>
      </c>
      <c r="D162" s="145">
        <v>0</v>
      </c>
      <c r="E162" s="145"/>
      <c r="F162" s="169" t="e">
        <v>#VALUE!</v>
      </c>
      <c r="G162" s="145"/>
      <c r="H162" s="145"/>
      <c r="I162" s="145"/>
      <c r="J162" s="145"/>
      <c r="K162" s="145"/>
      <c r="L162" s="145"/>
      <c r="M162" s="145"/>
      <c r="N162" s="145"/>
      <c r="O162" s="174"/>
      <c r="P162" s="174"/>
      <c r="Q162" s="158" t="str">
        <v/>
      </c>
      <c r="R162" s="158" t="str">
        <v/>
      </c>
      <c r="S162" s="158" t="str">
        <v/>
      </c>
      <c r="T162" s="158" t="str">
        <v/>
      </c>
      <c r="U162" s="158" t="str">
        <v/>
      </c>
      <c r="V162" s="158" t="str">
        <v/>
      </c>
      <c r="W162" s="158" t="str">
        <v/>
      </c>
      <c r="X162" s="158" t="str">
        <v/>
      </c>
      <c r="Y162" s="158" t="str">
        <v/>
      </c>
      <c r="Z162" s="158" t="str">
        <v/>
      </c>
      <c r="AA162" s="158" t="e">
        <v>#VALUE!</v>
      </c>
      <c r="AB162" s="171" t="str">
        <v/>
      </c>
      <c r="AC162" s="158" t="str">
        <v/>
      </c>
      <c r="AD162" s="173" t="str">
        <f ca="1">IFERROR(__xludf.DUMMYFUNCTION("""COMPUTED_VALUE"""),"2025-07")</f>
        <v>2025-07</v>
      </c>
      <c r="AE162" s="154" t="str">
        <v/>
      </c>
      <c r="AF162" s="154" t="str">
        <v/>
      </c>
    </row>
    <row r="163" spans="1:32" ht="15">
      <c r="A163" s="175">
        <v>45843</v>
      </c>
      <c r="B163" s="145" t="s">
        <v>115</v>
      </c>
      <c r="C163" s="169">
        <v>32191</v>
      </c>
      <c r="D163" s="145">
        <v>1</v>
      </c>
      <c r="E163" s="145">
        <v>5</v>
      </c>
      <c r="F163" s="169" t="e">
        <v>#VALUE!</v>
      </c>
      <c r="G163" s="145">
        <v>2</v>
      </c>
      <c r="H163" s="145">
        <v>2</v>
      </c>
      <c r="I163" s="145">
        <v>1</v>
      </c>
      <c r="J163" s="145"/>
      <c r="K163" s="145"/>
      <c r="L163" s="145"/>
      <c r="M163" s="145"/>
      <c r="N163" s="145"/>
      <c r="O163" s="174"/>
      <c r="P163" s="174"/>
      <c r="Q163" s="158">
        <v>394000</v>
      </c>
      <c r="R163" s="158">
        <v>594000</v>
      </c>
      <c r="S163" s="158">
        <v>375000</v>
      </c>
      <c r="T163" s="158" t="str">
        <v/>
      </c>
      <c r="U163" s="158" t="str">
        <v/>
      </c>
      <c r="V163" s="158" t="str">
        <v/>
      </c>
      <c r="W163" s="158" t="str">
        <v/>
      </c>
      <c r="X163" s="158" t="str">
        <v/>
      </c>
      <c r="Y163" s="158" t="str">
        <v/>
      </c>
      <c r="Z163" s="158" t="str">
        <v/>
      </c>
      <c r="AA163" s="158" t="e">
        <v>#VALUE!</v>
      </c>
      <c r="AB163" s="171">
        <v>0.05</v>
      </c>
      <c r="AC163" s="158">
        <v>32191</v>
      </c>
      <c r="AD163" s="173" t="str">
        <f ca="1">IFERROR(__xludf.DUMMYFUNCTION("""COMPUTED_VALUE"""),"2025-07")</f>
        <v>2025-07</v>
      </c>
      <c r="AE163" s="154">
        <v>0</v>
      </c>
      <c r="AF163" s="154">
        <v>0</v>
      </c>
    </row>
    <row r="164" spans="1:32" ht="15">
      <c r="A164" s="175">
        <v>45843</v>
      </c>
      <c r="B164" s="145" t="s">
        <v>61</v>
      </c>
      <c r="C164" s="169">
        <v>224926</v>
      </c>
      <c r="D164" s="145">
        <v>52</v>
      </c>
      <c r="E164" s="145"/>
      <c r="F164" s="169" t="e">
        <v>#VALUE!</v>
      </c>
      <c r="G164" s="145"/>
      <c r="H164" s="145"/>
      <c r="I164" s="145"/>
      <c r="J164" s="145"/>
      <c r="K164" s="145"/>
      <c r="L164" s="145"/>
      <c r="M164" s="145"/>
      <c r="N164" s="145"/>
      <c r="O164" s="174"/>
      <c r="P164" s="174"/>
      <c r="Q164" s="158" t="str">
        <v/>
      </c>
      <c r="R164" s="158" t="str">
        <v/>
      </c>
      <c r="S164" s="158" t="str">
        <v/>
      </c>
      <c r="T164" s="158" t="str">
        <v/>
      </c>
      <c r="U164" s="158" t="str">
        <v/>
      </c>
      <c r="V164" s="158" t="str">
        <v/>
      </c>
      <c r="W164" s="158" t="str">
        <v/>
      </c>
      <c r="X164" s="158" t="str">
        <v/>
      </c>
      <c r="Y164" s="158" t="str">
        <v/>
      </c>
      <c r="Z164" s="158" t="str">
        <v/>
      </c>
      <c r="AA164" s="158" t="e">
        <v>#VALUE!</v>
      </c>
      <c r="AB164" s="171" t="str">
        <v/>
      </c>
      <c r="AC164" s="158">
        <v>4325.5</v>
      </c>
      <c r="AD164" s="173" t="str">
        <f ca="1">IFERROR(__xludf.DUMMYFUNCTION("""COMPUTED_VALUE"""),"2025-07")</f>
        <v>2025-07</v>
      </c>
      <c r="AE164" s="154" t="str">
        <v/>
      </c>
      <c r="AF164" s="154" t="str">
        <v/>
      </c>
    </row>
    <row r="165" spans="1:32" ht="15">
      <c r="A165" s="175">
        <v>45844</v>
      </c>
      <c r="B165" s="145" t="s">
        <v>49</v>
      </c>
      <c r="C165" s="169">
        <v>5817</v>
      </c>
      <c r="D165" s="145">
        <v>0</v>
      </c>
      <c r="E165" s="145"/>
      <c r="F165" s="169" t="e">
        <v>#VALUE!</v>
      </c>
      <c r="G165" s="145"/>
      <c r="H165" s="145"/>
      <c r="I165" s="145"/>
      <c r="J165" s="145"/>
      <c r="K165" s="145"/>
      <c r="L165" s="145"/>
      <c r="M165" s="145"/>
      <c r="N165" s="145"/>
      <c r="O165" s="174"/>
      <c r="P165" s="174"/>
      <c r="Q165" s="158" t="str">
        <v/>
      </c>
      <c r="R165" s="158" t="str">
        <v/>
      </c>
      <c r="S165" s="158" t="str">
        <v/>
      </c>
      <c r="T165" s="158" t="str">
        <v/>
      </c>
      <c r="U165" s="158" t="str">
        <v/>
      </c>
      <c r="V165" s="158" t="str">
        <v/>
      </c>
      <c r="W165" s="158" t="str">
        <v/>
      </c>
      <c r="X165" s="158" t="str">
        <v/>
      </c>
      <c r="Y165" s="158" t="str">
        <v/>
      </c>
      <c r="Z165" s="158" t="str">
        <v/>
      </c>
      <c r="AA165" s="158" t="e">
        <v>#VALUE!</v>
      </c>
      <c r="AB165" s="171" t="str">
        <v/>
      </c>
      <c r="AC165" s="158" t="str">
        <v/>
      </c>
      <c r="AD165" s="173" t="str">
        <f ca="1">IFERROR(__xludf.DUMMYFUNCTION("""COMPUTED_VALUE"""),"2025-07")</f>
        <v>2025-07</v>
      </c>
      <c r="AE165" s="154" t="str">
        <v/>
      </c>
      <c r="AF165" s="154" t="str">
        <v/>
      </c>
    </row>
    <row r="166" spans="1:32" ht="15">
      <c r="A166" s="175">
        <v>45844</v>
      </c>
      <c r="B166" s="145" t="s">
        <v>1229</v>
      </c>
      <c r="C166" s="169">
        <v>6501</v>
      </c>
      <c r="D166" s="145">
        <v>2</v>
      </c>
      <c r="E166" s="145"/>
      <c r="F166" s="169" t="e">
        <v>#VALUE!</v>
      </c>
      <c r="G166" s="145"/>
      <c r="H166" s="145"/>
      <c r="I166" s="145"/>
      <c r="J166" s="145"/>
      <c r="K166" s="145"/>
      <c r="L166" s="145"/>
      <c r="M166" s="145"/>
      <c r="N166" s="145"/>
      <c r="O166" s="174"/>
      <c r="P166" s="174"/>
      <c r="Q166" s="158" t="str">
        <v/>
      </c>
      <c r="R166" s="158" t="str">
        <v/>
      </c>
      <c r="S166" s="158" t="str">
        <v/>
      </c>
      <c r="T166" s="158" t="str">
        <v/>
      </c>
      <c r="U166" s="158" t="str">
        <v/>
      </c>
      <c r="V166" s="158" t="str">
        <v/>
      </c>
      <c r="W166" s="158" t="str">
        <v/>
      </c>
      <c r="X166" s="158" t="str">
        <v/>
      </c>
      <c r="Y166" s="158" t="str">
        <v/>
      </c>
      <c r="Z166" s="158" t="str">
        <v/>
      </c>
      <c r="AA166" s="158" t="e">
        <v>#VALUE!</v>
      </c>
      <c r="AB166" s="171" t="str">
        <v/>
      </c>
      <c r="AC166" s="158">
        <v>3250.5</v>
      </c>
      <c r="AD166" s="173" t="str">
        <f ca="1">IFERROR(__xludf.DUMMYFUNCTION("""COMPUTED_VALUE"""),"2025-07")</f>
        <v>2025-07</v>
      </c>
      <c r="AE166" s="154" t="str">
        <v/>
      </c>
      <c r="AF166" s="154" t="str">
        <v/>
      </c>
    </row>
    <row r="167" spans="1:32" ht="15">
      <c r="A167" s="175">
        <v>45844</v>
      </c>
      <c r="B167" s="145" t="s">
        <v>752</v>
      </c>
      <c r="C167" s="169">
        <v>421</v>
      </c>
      <c r="D167" s="145">
        <v>0</v>
      </c>
      <c r="E167" s="145"/>
      <c r="F167" s="169" t="e">
        <v>#VALUE!</v>
      </c>
      <c r="G167" s="145"/>
      <c r="H167" s="145"/>
      <c r="I167" s="145"/>
      <c r="J167" s="145"/>
      <c r="K167" s="145"/>
      <c r="L167" s="145"/>
      <c r="M167" s="145"/>
      <c r="N167" s="145"/>
      <c r="O167" s="174"/>
      <c r="P167" s="174"/>
      <c r="Q167" s="158" t="str">
        <v/>
      </c>
      <c r="R167" s="158" t="str">
        <v/>
      </c>
      <c r="S167" s="158" t="str">
        <v/>
      </c>
      <c r="T167" s="158" t="str">
        <v/>
      </c>
      <c r="U167" s="158" t="str">
        <v/>
      </c>
      <c r="V167" s="158" t="str">
        <v/>
      </c>
      <c r="W167" s="158" t="str">
        <v/>
      </c>
      <c r="X167" s="158" t="str">
        <v/>
      </c>
      <c r="Y167" s="158" t="str">
        <v/>
      </c>
      <c r="Z167" s="158" t="str">
        <v/>
      </c>
      <c r="AA167" s="158" t="e">
        <v>#VALUE!</v>
      </c>
      <c r="AB167" s="171" t="str">
        <v/>
      </c>
      <c r="AC167" s="158" t="str">
        <v/>
      </c>
      <c r="AD167" s="173" t="str">
        <f ca="1">IFERROR(__xludf.DUMMYFUNCTION("""COMPUTED_VALUE"""),"2025-07")</f>
        <v>2025-07</v>
      </c>
      <c r="AE167" s="154" t="str">
        <v/>
      </c>
      <c r="AF167" s="154" t="str">
        <v/>
      </c>
    </row>
    <row r="168" spans="1:32" ht="15">
      <c r="A168" s="175">
        <v>45844</v>
      </c>
      <c r="B168" s="145" t="s">
        <v>115</v>
      </c>
      <c r="C168" s="169">
        <v>1435</v>
      </c>
      <c r="D168" s="145">
        <v>0</v>
      </c>
      <c r="E168" s="145"/>
      <c r="F168" s="169" t="e">
        <v>#VALUE!</v>
      </c>
      <c r="G168" s="145"/>
      <c r="H168" s="145"/>
      <c r="I168" s="145"/>
      <c r="J168" s="145"/>
      <c r="K168" s="145"/>
      <c r="L168" s="145"/>
      <c r="M168" s="145"/>
      <c r="N168" s="145"/>
      <c r="O168" s="174"/>
      <c r="P168" s="174"/>
      <c r="Q168" s="158" t="str">
        <v/>
      </c>
      <c r="R168" s="158" t="str">
        <v/>
      </c>
      <c r="S168" s="158" t="str">
        <v/>
      </c>
      <c r="T168" s="158" t="str">
        <v/>
      </c>
      <c r="U168" s="158" t="str">
        <v/>
      </c>
      <c r="V168" s="158" t="str">
        <v/>
      </c>
      <c r="W168" s="158" t="str">
        <v/>
      </c>
      <c r="X168" s="158" t="str">
        <v/>
      </c>
      <c r="Y168" s="158" t="str">
        <v/>
      </c>
      <c r="Z168" s="158" t="str">
        <v/>
      </c>
      <c r="AA168" s="158" t="e">
        <v>#VALUE!</v>
      </c>
      <c r="AB168" s="171" t="str">
        <v/>
      </c>
      <c r="AC168" s="158" t="str">
        <v/>
      </c>
      <c r="AD168" s="173" t="str">
        <f ca="1">IFERROR(__xludf.DUMMYFUNCTION("""COMPUTED_VALUE"""),"2025-07")</f>
        <v>2025-07</v>
      </c>
      <c r="AE168" s="154" t="str">
        <v/>
      </c>
      <c r="AF168" s="154" t="str">
        <v/>
      </c>
    </row>
    <row r="169" spans="1:32" ht="15">
      <c r="A169" s="175">
        <v>45844</v>
      </c>
      <c r="B169" s="145" t="s">
        <v>61</v>
      </c>
      <c r="C169" s="169">
        <v>4407</v>
      </c>
      <c r="D169" s="145">
        <v>1</v>
      </c>
      <c r="E169" s="145"/>
      <c r="F169" s="169" t="e">
        <v>#VALUE!</v>
      </c>
      <c r="G169" s="145"/>
      <c r="H169" s="145"/>
      <c r="I169" s="145"/>
      <c r="J169" s="145"/>
      <c r="K169" s="145"/>
      <c r="L169" s="145"/>
      <c r="M169" s="145"/>
      <c r="N169" s="145"/>
      <c r="O169" s="174"/>
      <c r="P169" s="174"/>
      <c r="Q169" s="158" t="str">
        <v/>
      </c>
      <c r="R169" s="158" t="str">
        <v/>
      </c>
      <c r="S169" s="158" t="str">
        <v/>
      </c>
      <c r="T169" s="158" t="str">
        <v/>
      </c>
      <c r="U169" s="158" t="str">
        <v/>
      </c>
      <c r="V169" s="158" t="str">
        <v/>
      </c>
      <c r="W169" s="158" t="str">
        <v/>
      </c>
      <c r="X169" s="158" t="str">
        <v/>
      </c>
      <c r="Y169" s="158" t="str">
        <v/>
      </c>
      <c r="Z169" s="158" t="str">
        <v/>
      </c>
      <c r="AA169" s="158" t="e">
        <v>#VALUE!</v>
      </c>
      <c r="AB169" s="171" t="str">
        <v/>
      </c>
      <c r="AC169" s="158">
        <v>4407</v>
      </c>
      <c r="AD169" s="173" t="str">
        <f ca="1">IFERROR(__xludf.DUMMYFUNCTION("""COMPUTED_VALUE"""),"2025-07")</f>
        <v>2025-07</v>
      </c>
      <c r="AE169" s="154" t="str">
        <v/>
      </c>
      <c r="AF169" s="154" t="str">
        <v/>
      </c>
    </row>
    <row r="170" spans="1:32" ht="15">
      <c r="A170" s="175">
        <v>45845</v>
      </c>
      <c r="B170" s="145" t="s">
        <v>1229</v>
      </c>
      <c r="C170" s="169">
        <v>54200</v>
      </c>
      <c r="D170" s="145">
        <v>1</v>
      </c>
      <c r="E170" s="145"/>
      <c r="F170" s="169" t="e">
        <v>#VALUE!</v>
      </c>
      <c r="G170" s="145"/>
      <c r="H170" s="145"/>
      <c r="I170" s="145"/>
      <c r="J170" s="145"/>
      <c r="K170" s="145"/>
      <c r="L170" s="145"/>
      <c r="M170" s="145"/>
      <c r="N170" s="145"/>
      <c r="O170" s="174"/>
      <c r="P170" s="174"/>
      <c r="Q170" s="158" t="str">
        <v/>
      </c>
      <c r="R170" s="158" t="str">
        <v/>
      </c>
      <c r="S170" s="158" t="str">
        <v/>
      </c>
      <c r="T170" s="158" t="str">
        <v/>
      </c>
      <c r="U170" s="158" t="str">
        <v/>
      </c>
      <c r="V170" s="158" t="str">
        <v/>
      </c>
      <c r="W170" s="158" t="str">
        <v/>
      </c>
      <c r="X170" s="158" t="str">
        <v/>
      </c>
      <c r="Y170" s="158" t="str">
        <v/>
      </c>
      <c r="Z170" s="158" t="str">
        <v/>
      </c>
      <c r="AA170" s="158" t="e">
        <v>#VALUE!</v>
      </c>
      <c r="AB170" s="171" t="str">
        <v/>
      </c>
      <c r="AC170" s="158">
        <v>54200</v>
      </c>
      <c r="AD170" s="173" t="str">
        <f ca="1">IFERROR(__xludf.DUMMYFUNCTION("""COMPUTED_VALUE"""),"2025-07")</f>
        <v>2025-07</v>
      </c>
      <c r="AE170" s="154" t="str">
        <v/>
      </c>
      <c r="AF170" s="154" t="str">
        <v/>
      </c>
    </row>
    <row r="171" spans="1:32" ht="15">
      <c r="A171" s="175">
        <v>45845</v>
      </c>
      <c r="B171" s="145" t="s">
        <v>752</v>
      </c>
      <c r="C171" s="169">
        <v>48676</v>
      </c>
      <c r="D171" s="145">
        <v>10</v>
      </c>
      <c r="E171" s="145"/>
      <c r="F171" s="169" t="e">
        <v>#VALUE!</v>
      </c>
      <c r="G171" s="145"/>
      <c r="H171" s="145"/>
      <c r="I171" s="145"/>
      <c r="J171" s="145"/>
      <c r="K171" s="145"/>
      <c r="L171" s="145"/>
      <c r="M171" s="145"/>
      <c r="N171" s="145"/>
      <c r="O171" s="174"/>
      <c r="P171" s="174"/>
      <c r="Q171" s="158" t="str">
        <v/>
      </c>
      <c r="R171" s="158" t="str">
        <v/>
      </c>
      <c r="S171" s="158" t="str">
        <v/>
      </c>
      <c r="T171" s="158" t="str">
        <v/>
      </c>
      <c r="U171" s="158" t="str">
        <v/>
      </c>
      <c r="V171" s="158" t="str">
        <v/>
      </c>
      <c r="W171" s="158" t="str">
        <v/>
      </c>
      <c r="X171" s="158" t="str">
        <v/>
      </c>
      <c r="Y171" s="158" t="str">
        <v/>
      </c>
      <c r="Z171" s="158" t="str">
        <v/>
      </c>
      <c r="AA171" s="158" t="e">
        <v>#VALUE!</v>
      </c>
      <c r="AB171" s="171" t="str">
        <v/>
      </c>
      <c r="AC171" s="158">
        <v>4867.6000000000004</v>
      </c>
      <c r="AD171" s="173" t="str">
        <f ca="1">IFERROR(__xludf.DUMMYFUNCTION("""COMPUTED_VALUE"""),"2025-07")</f>
        <v>2025-07</v>
      </c>
      <c r="AE171" s="154" t="str">
        <v/>
      </c>
      <c r="AF171" s="154" t="str">
        <v/>
      </c>
    </row>
    <row r="172" spans="1:32" ht="15">
      <c r="A172" s="175">
        <v>45845</v>
      </c>
      <c r="B172" s="145" t="s">
        <v>61</v>
      </c>
      <c r="C172" s="169">
        <v>103736</v>
      </c>
      <c r="D172" s="145">
        <v>15</v>
      </c>
      <c r="E172" s="145"/>
      <c r="F172" s="169" t="e">
        <v>#VALUE!</v>
      </c>
      <c r="G172" s="145"/>
      <c r="H172" s="145"/>
      <c r="I172" s="145"/>
      <c r="J172" s="145"/>
      <c r="K172" s="145"/>
      <c r="L172" s="145"/>
      <c r="M172" s="145"/>
      <c r="N172" s="145"/>
      <c r="O172" s="174"/>
      <c r="P172" s="174"/>
      <c r="Q172" s="158" t="str">
        <v/>
      </c>
      <c r="R172" s="158" t="str">
        <v/>
      </c>
      <c r="S172" s="158" t="str">
        <v/>
      </c>
      <c r="T172" s="158" t="str">
        <v/>
      </c>
      <c r="U172" s="158" t="str">
        <v/>
      </c>
      <c r="V172" s="158" t="str">
        <v/>
      </c>
      <c r="W172" s="158" t="str">
        <v/>
      </c>
      <c r="X172" s="158" t="str">
        <v/>
      </c>
      <c r="Y172" s="158" t="str">
        <v/>
      </c>
      <c r="Z172" s="158" t="str">
        <v/>
      </c>
      <c r="AA172" s="158" t="e">
        <v>#VALUE!</v>
      </c>
      <c r="AB172" s="171" t="str">
        <v/>
      </c>
      <c r="AC172" s="158">
        <v>6915.7333333333336</v>
      </c>
      <c r="AD172" s="173" t="str">
        <f ca="1">IFERROR(__xludf.DUMMYFUNCTION("""COMPUTED_VALUE"""),"2025-07")</f>
        <v>2025-07</v>
      </c>
      <c r="AE172" s="154" t="str">
        <v/>
      </c>
      <c r="AF172" s="154" t="str">
        <v/>
      </c>
    </row>
    <row r="173" spans="1:32" ht="15">
      <c r="A173" s="175">
        <v>45815</v>
      </c>
      <c r="B173" s="145" t="s">
        <v>1229</v>
      </c>
      <c r="C173" s="169">
        <v>0</v>
      </c>
      <c r="D173" s="145"/>
      <c r="E173" s="145"/>
      <c r="F173" s="169" t="e">
        <v>#VALUE!</v>
      </c>
      <c r="G173" s="145"/>
      <c r="H173" s="145"/>
      <c r="I173" s="145"/>
      <c r="J173" s="145"/>
      <c r="K173" s="145"/>
      <c r="L173" s="145"/>
      <c r="M173" s="145"/>
      <c r="N173" s="145"/>
      <c r="O173" s="174"/>
      <c r="P173" s="174"/>
      <c r="Q173" s="158" t="str">
        <v/>
      </c>
      <c r="R173" s="158" t="str">
        <v/>
      </c>
      <c r="S173" s="158" t="str">
        <v/>
      </c>
      <c r="T173" s="158" t="str">
        <v/>
      </c>
      <c r="U173" s="158" t="str">
        <v/>
      </c>
      <c r="V173" s="158" t="str">
        <v/>
      </c>
      <c r="W173" s="158" t="str">
        <v/>
      </c>
      <c r="X173" s="158" t="str">
        <v/>
      </c>
      <c r="Y173" s="158" t="str">
        <v/>
      </c>
      <c r="Z173" s="158" t="str">
        <v/>
      </c>
      <c r="AA173" s="158" t="e">
        <v>#VALUE!</v>
      </c>
      <c r="AB173" s="171" t="str">
        <v/>
      </c>
      <c r="AC173" s="158">
        <v>0</v>
      </c>
      <c r="AD173" s="173" t="str">
        <f ca="1">IFERROR(__xludf.DUMMYFUNCTION("""COMPUTED_VALUE"""),"2025-06")</f>
        <v>2025-06</v>
      </c>
      <c r="AE173" s="154" t="str">
        <v/>
      </c>
      <c r="AF173" s="154" t="str">
        <v/>
      </c>
    </row>
    <row r="174" spans="1:32" ht="15">
      <c r="A174" s="175">
        <v>45846</v>
      </c>
      <c r="B174" s="145" t="s">
        <v>49</v>
      </c>
      <c r="C174" s="169">
        <v>5623</v>
      </c>
      <c r="D174" s="145">
        <v>3</v>
      </c>
      <c r="E174" s="145"/>
      <c r="F174" s="169" t="e">
        <v>#VALUE!</v>
      </c>
      <c r="G174" s="145"/>
      <c r="H174" s="145"/>
      <c r="I174" s="145"/>
      <c r="J174" s="145"/>
      <c r="K174" s="145"/>
      <c r="L174" s="145"/>
      <c r="M174" s="145"/>
      <c r="N174" s="145"/>
      <c r="O174" s="174"/>
      <c r="P174" s="174"/>
      <c r="Q174" s="158" t="str">
        <v/>
      </c>
      <c r="R174" s="158" t="str">
        <v/>
      </c>
      <c r="S174" s="158" t="str">
        <v/>
      </c>
      <c r="T174" s="158" t="str">
        <v/>
      </c>
      <c r="U174" s="158" t="str">
        <v/>
      </c>
      <c r="V174" s="158" t="str">
        <v/>
      </c>
      <c r="W174" s="158" t="str">
        <v/>
      </c>
      <c r="X174" s="158" t="str">
        <v/>
      </c>
      <c r="Y174" s="158" t="str">
        <v/>
      </c>
      <c r="Z174" s="158" t="str">
        <v/>
      </c>
      <c r="AA174" s="158" t="e">
        <v>#VALUE!</v>
      </c>
      <c r="AB174" s="171" t="str">
        <v/>
      </c>
      <c r="AC174" s="158">
        <v>1874.3333333333333</v>
      </c>
      <c r="AD174" s="173" t="str">
        <f ca="1">IFERROR(__xludf.DUMMYFUNCTION("""COMPUTED_VALUE"""),"2025-07")</f>
        <v>2025-07</v>
      </c>
      <c r="AE174" s="154" t="str">
        <v/>
      </c>
      <c r="AF174" s="154" t="str">
        <v/>
      </c>
    </row>
    <row r="175" spans="1:32" ht="15">
      <c r="A175" s="175">
        <v>45846</v>
      </c>
      <c r="B175" s="145" t="s">
        <v>1229</v>
      </c>
      <c r="C175" s="169">
        <v>17924</v>
      </c>
      <c r="D175" s="145">
        <v>2</v>
      </c>
      <c r="E175" s="145"/>
      <c r="F175" s="169" t="e">
        <v>#VALUE!</v>
      </c>
      <c r="G175" s="145"/>
      <c r="H175" s="145"/>
      <c r="I175" s="145"/>
      <c r="J175" s="145"/>
      <c r="K175" s="145"/>
      <c r="L175" s="145"/>
      <c r="M175" s="145"/>
      <c r="N175" s="145"/>
      <c r="O175" s="174"/>
      <c r="P175" s="174"/>
      <c r="Q175" s="158" t="str">
        <v/>
      </c>
      <c r="R175" s="158" t="str">
        <v/>
      </c>
      <c r="S175" s="158" t="str">
        <v/>
      </c>
      <c r="T175" s="158" t="str">
        <v/>
      </c>
      <c r="U175" s="158" t="str">
        <v/>
      </c>
      <c r="V175" s="158" t="str">
        <v/>
      </c>
      <c r="W175" s="158" t="str">
        <v/>
      </c>
      <c r="X175" s="158" t="str">
        <v/>
      </c>
      <c r="Y175" s="158" t="str">
        <v/>
      </c>
      <c r="Z175" s="158" t="str">
        <v/>
      </c>
      <c r="AA175" s="158" t="e">
        <v>#VALUE!</v>
      </c>
      <c r="AB175" s="171" t="str">
        <v/>
      </c>
      <c r="AC175" s="158">
        <v>8962</v>
      </c>
      <c r="AD175" s="173" t="str">
        <f ca="1">IFERROR(__xludf.DUMMYFUNCTION("""COMPUTED_VALUE"""),"2025-07")</f>
        <v>2025-07</v>
      </c>
      <c r="AE175" s="154" t="str">
        <v/>
      </c>
      <c r="AF175" s="154" t="str">
        <v/>
      </c>
    </row>
    <row r="176" spans="1:32" ht="15">
      <c r="A176" s="175">
        <v>45846</v>
      </c>
      <c r="B176" s="145" t="s">
        <v>752</v>
      </c>
      <c r="C176" s="169">
        <v>23944</v>
      </c>
      <c r="D176" s="145">
        <v>1</v>
      </c>
      <c r="E176" s="145"/>
      <c r="F176" s="169" t="e">
        <v>#VALUE!</v>
      </c>
      <c r="G176" s="145"/>
      <c r="H176" s="145"/>
      <c r="I176" s="145"/>
      <c r="J176" s="145"/>
      <c r="K176" s="145"/>
      <c r="L176" s="145"/>
      <c r="M176" s="145"/>
      <c r="N176" s="145"/>
      <c r="O176" s="174"/>
      <c r="P176" s="174"/>
      <c r="Q176" s="158" t="str">
        <v/>
      </c>
      <c r="R176" s="158" t="str">
        <v/>
      </c>
      <c r="S176" s="158" t="str">
        <v/>
      </c>
      <c r="T176" s="158" t="str">
        <v/>
      </c>
      <c r="U176" s="158" t="str">
        <v/>
      </c>
      <c r="V176" s="158" t="str">
        <v/>
      </c>
      <c r="W176" s="158" t="str">
        <v/>
      </c>
      <c r="X176" s="158" t="str">
        <v/>
      </c>
      <c r="Y176" s="158" t="str">
        <v/>
      </c>
      <c r="Z176" s="158" t="str">
        <v/>
      </c>
      <c r="AA176" s="158" t="e">
        <v>#VALUE!</v>
      </c>
      <c r="AB176" s="171" t="str">
        <v/>
      </c>
      <c r="AC176" s="158">
        <v>23944</v>
      </c>
      <c r="AD176" s="173" t="str">
        <f ca="1">IFERROR(__xludf.DUMMYFUNCTION("""COMPUTED_VALUE"""),"2025-07")</f>
        <v>2025-07</v>
      </c>
      <c r="AE176" s="154" t="str">
        <v/>
      </c>
      <c r="AF176" s="154" t="str">
        <v/>
      </c>
    </row>
    <row r="177" spans="1:32" ht="15">
      <c r="A177" s="175">
        <v>45846</v>
      </c>
      <c r="B177" s="145" t="s">
        <v>115</v>
      </c>
      <c r="C177" s="169">
        <v>2811</v>
      </c>
      <c r="D177" s="145">
        <v>0</v>
      </c>
      <c r="E177" s="145"/>
      <c r="F177" s="169" t="e">
        <v>#VALUE!</v>
      </c>
      <c r="G177" s="145"/>
      <c r="H177" s="145"/>
      <c r="I177" s="145"/>
      <c r="J177" s="145"/>
      <c r="K177" s="145"/>
      <c r="L177" s="145"/>
      <c r="M177" s="145"/>
      <c r="N177" s="145"/>
      <c r="O177" s="174"/>
      <c r="P177" s="174"/>
      <c r="Q177" s="158" t="str">
        <v/>
      </c>
      <c r="R177" s="158" t="str">
        <v/>
      </c>
      <c r="S177" s="158" t="str">
        <v/>
      </c>
      <c r="T177" s="158" t="str">
        <v/>
      </c>
      <c r="U177" s="158" t="str">
        <v/>
      </c>
      <c r="V177" s="158" t="str">
        <v/>
      </c>
      <c r="W177" s="158" t="str">
        <v/>
      </c>
      <c r="X177" s="158" t="str">
        <v/>
      </c>
      <c r="Y177" s="158" t="str">
        <v/>
      </c>
      <c r="Z177" s="158" t="str">
        <v/>
      </c>
      <c r="AA177" s="158" t="e">
        <v>#VALUE!</v>
      </c>
      <c r="AB177" s="171" t="str">
        <v/>
      </c>
      <c r="AC177" s="158" t="str">
        <v/>
      </c>
      <c r="AD177" s="173" t="str">
        <f ca="1">IFERROR(__xludf.DUMMYFUNCTION("""COMPUTED_VALUE"""),"2025-07")</f>
        <v>2025-07</v>
      </c>
      <c r="AE177" s="154" t="str">
        <v/>
      </c>
      <c r="AF177" s="154" t="str">
        <v/>
      </c>
    </row>
    <row r="178" spans="1:32" ht="15">
      <c r="A178" s="175">
        <v>45846</v>
      </c>
      <c r="B178" s="145" t="s">
        <v>61</v>
      </c>
      <c r="C178" s="169">
        <v>166104</v>
      </c>
      <c r="D178" s="145">
        <v>68</v>
      </c>
      <c r="E178" s="145"/>
      <c r="F178" s="169" t="e">
        <v>#VALUE!</v>
      </c>
      <c r="G178" s="145"/>
      <c r="H178" s="145"/>
      <c r="I178" s="145"/>
      <c r="J178" s="145"/>
      <c r="K178" s="145"/>
      <c r="L178" s="145"/>
      <c r="M178" s="145"/>
      <c r="N178" s="145"/>
      <c r="O178" s="174"/>
      <c r="P178" s="174"/>
      <c r="Q178" s="158" t="str">
        <v/>
      </c>
      <c r="R178" s="158" t="str">
        <v/>
      </c>
      <c r="S178" s="158" t="str">
        <v/>
      </c>
      <c r="T178" s="158" t="str">
        <v/>
      </c>
      <c r="U178" s="158" t="str">
        <v/>
      </c>
      <c r="V178" s="158" t="str">
        <v/>
      </c>
      <c r="W178" s="158" t="str">
        <v/>
      </c>
      <c r="X178" s="158" t="str">
        <v/>
      </c>
      <c r="Y178" s="158" t="str">
        <v/>
      </c>
      <c r="Z178" s="158" t="str">
        <v/>
      </c>
      <c r="AA178" s="158" t="e">
        <v>#VALUE!</v>
      </c>
      <c r="AB178" s="171" t="str">
        <v/>
      </c>
      <c r="AC178" s="158">
        <v>2442.705882352941</v>
      </c>
      <c r="AD178" s="173" t="str">
        <f ca="1">IFERROR(__xludf.DUMMYFUNCTION("""COMPUTED_VALUE"""),"2025-07")</f>
        <v>2025-07</v>
      </c>
      <c r="AE178" s="154" t="str">
        <v/>
      </c>
      <c r="AF178" s="154" t="str">
        <v/>
      </c>
    </row>
    <row r="179" spans="1:32" ht="15">
      <c r="A179" s="175">
        <v>45847</v>
      </c>
      <c r="B179" s="145" t="s">
        <v>1229</v>
      </c>
      <c r="C179" s="169">
        <v>239</v>
      </c>
      <c r="D179" s="145">
        <v>0</v>
      </c>
      <c r="E179" s="145"/>
      <c r="F179" s="169" t="e">
        <v>#VALUE!</v>
      </c>
      <c r="G179" s="145"/>
      <c r="H179" s="145"/>
      <c r="I179" s="145"/>
      <c r="J179" s="145"/>
      <c r="K179" s="145"/>
      <c r="L179" s="145"/>
      <c r="M179" s="145"/>
      <c r="N179" s="145"/>
      <c r="O179" s="174"/>
      <c r="P179" s="174"/>
      <c r="Q179" s="158" t="str">
        <v/>
      </c>
      <c r="R179" s="158" t="str">
        <v/>
      </c>
      <c r="S179" s="158" t="str">
        <v/>
      </c>
      <c r="T179" s="158" t="str">
        <v/>
      </c>
      <c r="U179" s="158" t="str">
        <v/>
      </c>
      <c r="V179" s="158" t="str">
        <v/>
      </c>
      <c r="W179" s="158" t="str">
        <v/>
      </c>
      <c r="X179" s="158" t="str">
        <v/>
      </c>
      <c r="Y179" s="158" t="str">
        <v/>
      </c>
      <c r="Z179" s="158" t="str">
        <v/>
      </c>
      <c r="AA179" s="158" t="e">
        <v>#VALUE!</v>
      </c>
      <c r="AB179" s="171" t="str">
        <v/>
      </c>
      <c r="AC179" s="158" t="str">
        <v/>
      </c>
      <c r="AD179" s="173" t="str">
        <f ca="1">IFERROR(__xludf.DUMMYFUNCTION("""COMPUTED_VALUE"""),"2025-07")</f>
        <v>2025-07</v>
      </c>
      <c r="AE179" s="154" t="str">
        <v/>
      </c>
      <c r="AF179" s="154" t="str">
        <v/>
      </c>
    </row>
    <row r="180" spans="1:32" ht="15">
      <c r="A180" s="175">
        <v>45847</v>
      </c>
      <c r="B180" s="145" t="s">
        <v>752</v>
      </c>
      <c r="C180" s="169">
        <v>49400</v>
      </c>
      <c r="D180" s="145">
        <v>11</v>
      </c>
      <c r="E180" s="145"/>
      <c r="F180" s="169" t="e">
        <v>#VALUE!</v>
      </c>
      <c r="G180" s="145"/>
      <c r="H180" s="145"/>
      <c r="I180" s="145"/>
      <c r="J180" s="145"/>
      <c r="K180" s="145"/>
      <c r="L180" s="145"/>
      <c r="M180" s="145"/>
      <c r="N180" s="145"/>
      <c r="O180" s="174"/>
      <c r="P180" s="174"/>
      <c r="Q180" s="158" t="str">
        <v/>
      </c>
      <c r="R180" s="158" t="str">
        <v/>
      </c>
      <c r="S180" s="158" t="str">
        <v/>
      </c>
      <c r="T180" s="158" t="str">
        <v/>
      </c>
      <c r="U180" s="158" t="str">
        <v/>
      </c>
      <c r="V180" s="158" t="str">
        <v/>
      </c>
      <c r="W180" s="158" t="str">
        <v/>
      </c>
      <c r="X180" s="158" t="str">
        <v/>
      </c>
      <c r="Y180" s="158" t="str">
        <v/>
      </c>
      <c r="Z180" s="158" t="str">
        <v/>
      </c>
      <c r="AA180" s="158" t="e">
        <v>#VALUE!</v>
      </c>
      <c r="AB180" s="171" t="str">
        <v/>
      </c>
      <c r="AC180" s="158">
        <v>4490.909090909091</v>
      </c>
      <c r="AD180" s="173" t="str">
        <f ca="1">IFERROR(__xludf.DUMMYFUNCTION("""COMPUTED_VALUE"""),"2025-07")</f>
        <v>2025-07</v>
      </c>
      <c r="AE180" s="154" t="str">
        <v/>
      </c>
      <c r="AF180" s="154" t="str">
        <v/>
      </c>
    </row>
    <row r="181" spans="1:32" ht="15">
      <c r="A181" s="175">
        <v>45847</v>
      </c>
      <c r="B181" s="145" t="s">
        <v>61</v>
      </c>
      <c r="C181" s="169">
        <v>184765</v>
      </c>
      <c r="D181" s="145">
        <v>43</v>
      </c>
      <c r="E181" s="145"/>
      <c r="F181" s="169" t="e">
        <v>#VALUE!</v>
      </c>
      <c r="G181" s="145"/>
      <c r="H181" s="145"/>
      <c r="I181" s="145"/>
      <c r="J181" s="145"/>
      <c r="K181" s="145"/>
      <c r="L181" s="145"/>
      <c r="M181" s="145"/>
      <c r="N181" s="145"/>
      <c r="O181" s="174"/>
      <c r="P181" s="174"/>
      <c r="Q181" s="158" t="str">
        <v/>
      </c>
      <c r="R181" s="158" t="str">
        <v/>
      </c>
      <c r="S181" s="158" t="str">
        <v/>
      </c>
      <c r="T181" s="158" t="str">
        <v/>
      </c>
      <c r="U181" s="158" t="str">
        <v/>
      </c>
      <c r="V181" s="158" t="str">
        <v/>
      </c>
      <c r="W181" s="158" t="str">
        <v/>
      </c>
      <c r="X181" s="158" t="str">
        <v/>
      </c>
      <c r="Y181" s="158" t="str">
        <v/>
      </c>
      <c r="Z181" s="158" t="str">
        <v/>
      </c>
      <c r="AA181" s="158" t="e">
        <v>#VALUE!</v>
      </c>
      <c r="AB181" s="171" t="str">
        <v/>
      </c>
      <c r="AC181" s="158">
        <v>4296.8604651162786</v>
      </c>
      <c r="AD181" s="173" t="str">
        <f ca="1">IFERROR(__xludf.DUMMYFUNCTION("""COMPUTED_VALUE"""),"2025-07")</f>
        <v>2025-07</v>
      </c>
      <c r="AE181" s="154" t="str">
        <v/>
      </c>
      <c r="AF181" s="154" t="str">
        <v/>
      </c>
    </row>
    <row r="182" spans="1:32" ht="15">
      <c r="A182" s="176">
        <v>45848</v>
      </c>
      <c r="B182" s="145" t="s">
        <v>752</v>
      </c>
      <c r="C182" s="169">
        <v>47</v>
      </c>
      <c r="D182" s="145">
        <v>0</v>
      </c>
      <c r="E182" s="145"/>
      <c r="F182" s="169" t="e">
        <v>#VALUE!</v>
      </c>
      <c r="G182" s="145"/>
      <c r="H182" s="145"/>
      <c r="I182" s="145"/>
      <c r="J182" s="145"/>
      <c r="K182" s="145"/>
      <c r="L182" s="145"/>
      <c r="M182" s="145"/>
      <c r="N182" s="145"/>
      <c r="O182" s="174"/>
      <c r="P182" s="174"/>
      <c r="Q182" s="158" t="str">
        <v/>
      </c>
      <c r="R182" s="158" t="str">
        <v/>
      </c>
      <c r="S182" s="158" t="str">
        <v/>
      </c>
      <c r="T182" s="158" t="str">
        <v/>
      </c>
      <c r="U182" s="158" t="str">
        <v/>
      </c>
      <c r="V182" s="158" t="str">
        <v/>
      </c>
      <c r="W182" s="158" t="str">
        <v/>
      </c>
      <c r="X182" s="158" t="str">
        <v/>
      </c>
      <c r="Y182" s="158" t="str">
        <v/>
      </c>
      <c r="Z182" s="158" t="str">
        <v/>
      </c>
      <c r="AA182" s="158" t="e">
        <v>#VALUE!</v>
      </c>
      <c r="AB182" s="171" t="str">
        <v/>
      </c>
      <c r="AC182" s="158" t="str">
        <v/>
      </c>
      <c r="AD182" s="173" t="str">
        <f ca="1">IFERROR(__xludf.DUMMYFUNCTION("""COMPUTED_VALUE"""),"2025-07")</f>
        <v>2025-07</v>
      </c>
      <c r="AE182" s="154" t="str">
        <v/>
      </c>
      <c r="AF182" s="154" t="str">
        <v/>
      </c>
    </row>
    <row r="183" spans="1:32" ht="15">
      <c r="A183" s="176">
        <v>45848</v>
      </c>
      <c r="B183" s="145" t="s">
        <v>115</v>
      </c>
      <c r="C183" s="169">
        <v>146052</v>
      </c>
      <c r="D183" s="145">
        <v>29</v>
      </c>
      <c r="E183" s="145"/>
      <c r="F183" s="169" t="e">
        <v>#VALUE!</v>
      </c>
      <c r="G183" s="145"/>
      <c r="H183" s="145"/>
      <c r="I183" s="145"/>
      <c r="J183" s="145"/>
      <c r="K183" s="145"/>
      <c r="L183" s="145"/>
      <c r="M183" s="145"/>
      <c r="N183" s="145"/>
      <c r="O183" s="174"/>
      <c r="P183" s="174"/>
      <c r="Q183" s="158" t="str">
        <v/>
      </c>
      <c r="R183" s="158" t="str">
        <v/>
      </c>
      <c r="S183" s="158" t="str">
        <v/>
      </c>
      <c r="T183" s="158" t="str">
        <v/>
      </c>
      <c r="U183" s="158" t="str">
        <v/>
      </c>
      <c r="V183" s="158" t="str">
        <v/>
      </c>
      <c r="W183" s="158" t="str">
        <v/>
      </c>
      <c r="X183" s="158" t="str">
        <v/>
      </c>
      <c r="Y183" s="158" t="str">
        <v/>
      </c>
      <c r="Z183" s="158" t="str">
        <v/>
      </c>
      <c r="AA183" s="158" t="e">
        <v>#VALUE!</v>
      </c>
      <c r="AB183" s="171" t="str">
        <v/>
      </c>
      <c r="AC183" s="158">
        <v>5036.2758620689656</v>
      </c>
      <c r="AD183" s="173" t="str">
        <f ca="1">IFERROR(__xludf.DUMMYFUNCTION("""COMPUTED_VALUE"""),"2025-07")</f>
        <v>2025-07</v>
      </c>
      <c r="AE183" s="154" t="str">
        <v/>
      </c>
      <c r="AF183" s="154" t="str">
        <v/>
      </c>
    </row>
    <row r="184" spans="1:32" ht="15">
      <c r="A184" s="176">
        <v>45848</v>
      </c>
      <c r="B184" s="145" t="s">
        <v>61</v>
      </c>
      <c r="C184" s="169">
        <v>214051</v>
      </c>
      <c r="D184" s="145">
        <v>55</v>
      </c>
      <c r="E184" s="145"/>
      <c r="F184" s="169" t="e">
        <v>#VALUE!</v>
      </c>
      <c r="G184" s="145"/>
      <c r="H184" s="145"/>
      <c r="I184" s="145"/>
      <c r="J184" s="145"/>
      <c r="K184" s="145"/>
      <c r="L184" s="145"/>
      <c r="M184" s="145"/>
      <c r="N184" s="145"/>
      <c r="O184" s="174"/>
      <c r="P184" s="174"/>
      <c r="Q184" s="158" t="str">
        <v/>
      </c>
      <c r="R184" s="158" t="str">
        <v/>
      </c>
      <c r="S184" s="158" t="str">
        <v/>
      </c>
      <c r="T184" s="158" t="str">
        <v/>
      </c>
      <c r="U184" s="158" t="str">
        <v/>
      </c>
      <c r="V184" s="158" t="str">
        <v/>
      </c>
      <c r="W184" s="158" t="str">
        <v/>
      </c>
      <c r="X184" s="158" t="str">
        <v/>
      </c>
      <c r="Y184" s="158" t="str">
        <v/>
      </c>
      <c r="Z184" s="158" t="str">
        <v/>
      </c>
      <c r="AA184" s="158" t="e">
        <v>#VALUE!</v>
      </c>
      <c r="AB184" s="171" t="str">
        <v/>
      </c>
      <c r="AC184" s="158">
        <v>3891.8363636363638</v>
      </c>
      <c r="AD184" s="173" t="str">
        <f ca="1">IFERROR(__xludf.DUMMYFUNCTION("""COMPUTED_VALUE"""),"2025-07")</f>
        <v>2025-07</v>
      </c>
      <c r="AE184" s="154" t="str">
        <v/>
      </c>
      <c r="AF184" s="154" t="str">
        <v/>
      </c>
    </row>
    <row r="185" spans="1:32" ht="15">
      <c r="A185" s="176">
        <v>45848</v>
      </c>
      <c r="B185" s="145" t="s">
        <v>1774</v>
      </c>
      <c r="C185" s="169">
        <v>0</v>
      </c>
      <c r="D185" s="145"/>
      <c r="E185" s="145">
        <v>1</v>
      </c>
      <c r="F185" s="169" t="e">
        <v>#VALUE!</v>
      </c>
      <c r="G185" s="145">
        <v>1</v>
      </c>
      <c r="H185" s="145"/>
      <c r="I185" s="145"/>
      <c r="J185" s="145"/>
      <c r="K185" s="145"/>
      <c r="L185" s="145"/>
      <c r="M185" s="145"/>
      <c r="N185" s="145"/>
      <c r="O185" s="174"/>
      <c r="P185" s="174"/>
      <c r="Q185" s="158">
        <v>197000</v>
      </c>
      <c r="R185" s="158" t="str">
        <v/>
      </c>
      <c r="S185" s="158" t="str">
        <v/>
      </c>
      <c r="T185" s="158" t="str">
        <v/>
      </c>
      <c r="U185" s="158" t="str">
        <v/>
      </c>
      <c r="V185" s="158" t="str">
        <v/>
      </c>
      <c r="W185" s="158" t="str">
        <v/>
      </c>
      <c r="X185" s="158" t="str">
        <v/>
      </c>
      <c r="Y185" s="158" t="str">
        <v/>
      </c>
      <c r="Z185" s="158" t="str">
        <v/>
      </c>
      <c r="AA185" s="158" t="e">
        <v>#VALUE!</v>
      </c>
      <c r="AB185" s="171">
        <v>0.01</v>
      </c>
      <c r="AC185" s="158">
        <v>0</v>
      </c>
      <c r="AD185" s="173" t="str">
        <f ca="1">IFERROR(__xludf.DUMMYFUNCTION("""COMPUTED_VALUE"""),"2025-07")</f>
        <v>2025-07</v>
      </c>
      <c r="AE185" s="154">
        <v>0</v>
      </c>
      <c r="AF185" s="154">
        <v>0</v>
      </c>
    </row>
    <row r="186" spans="1:32" ht="15">
      <c r="A186" s="176">
        <v>45849</v>
      </c>
      <c r="B186" s="145" t="s">
        <v>49</v>
      </c>
      <c r="C186" s="169">
        <v>11706</v>
      </c>
      <c r="D186" s="145">
        <v>2</v>
      </c>
      <c r="E186" s="145"/>
      <c r="F186" s="169" t="e">
        <v>#VALUE!</v>
      </c>
      <c r="G186" s="145"/>
      <c r="H186" s="145"/>
      <c r="I186" s="145"/>
      <c r="J186" s="145"/>
      <c r="K186" s="145"/>
      <c r="L186" s="145"/>
      <c r="M186" s="145"/>
      <c r="N186" s="145"/>
      <c r="O186" s="174"/>
      <c r="P186" s="174"/>
      <c r="Q186" s="158" t="str">
        <v/>
      </c>
      <c r="R186" s="158" t="str">
        <v/>
      </c>
      <c r="S186" s="158" t="str">
        <v/>
      </c>
      <c r="T186" s="158" t="str">
        <v/>
      </c>
      <c r="U186" s="158" t="str">
        <v/>
      </c>
      <c r="V186" s="158" t="str">
        <v/>
      </c>
      <c r="W186" s="158" t="str">
        <v/>
      </c>
      <c r="X186" s="158" t="str">
        <v/>
      </c>
      <c r="Y186" s="158" t="str">
        <v/>
      </c>
      <c r="Z186" s="158" t="str">
        <v/>
      </c>
      <c r="AA186" s="158" t="e">
        <v>#VALUE!</v>
      </c>
      <c r="AB186" s="171" t="str">
        <v/>
      </c>
      <c r="AC186" s="158">
        <v>5853</v>
      </c>
      <c r="AD186" s="173" t="str">
        <f ca="1">IFERROR(__xludf.DUMMYFUNCTION("""COMPUTED_VALUE"""),"2025-07")</f>
        <v>2025-07</v>
      </c>
      <c r="AE186" s="154" t="str">
        <v/>
      </c>
      <c r="AF186" s="154" t="str">
        <v/>
      </c>
    </row>
    <row r="187" spans="1:32" ht="15">
      <c r="A187" s="176">
        <v>45849</v>
      </c>
      <c r="B187" s="145" t="s">
        <v>1229</v>
      </c>
      <c r="C187" s="169">
        <v>19159</v>
      </c>
      <c r="D187" s="145">
        <v>6</v>
      </c>
      <c r="E187" s="145"/>
      <c r="F187" s="169" t="e">
        <v>#VALUE!</v>
      </c>
      <c r="G187" s="145"/>
      <c r="H187" s="145"/>
      <c r="I187" s="145"/>
      <c r="J187" s="145"/>
      <c r="K187" s="145"/>
      <c r="L187" s="145"/>
      <c r="M187" s="145"/>
      <c r="N187" s="145"/>
      <c r="O187" s="174"/>
      <c r="P187" s="174"/>
      <c r="Q187" s="158" t="str">
        <v/>
      </c>
      <c r="R187" s="158" t="str">
        <v/>
      </c>
      <c r="S187" s="158" t="str">
        <v/>
      </c>
      <c r="T187" s="158" t="str">
        <v/>
      </c>
      <c r="U187" s="158" t="str">
        <v/>
      </c>
      <c r="V187" s="158" t="str">
        <v/>
      </c>
      <c r="W187" s="158" t="str">
        <v/>
      </c>
      <c r="X187" s="158" t="str">
        <v/>
      </c>
      <c r="Y187" s="158" t="str">
        <v/>
      </c>
      <c r="Z187" s="158" t="str">
        <v/>
      </c>
      <c r="AA187" s="158" t="e">
        <v>#VALUE!</v>
      </c>
      <c r="AB187" s="171" t="str">
        <v/>
      </c>
      <c r="AC187" s="158">
        <v>3193.1666666666665</v>
      </c>
      <c r="AD187" s="173" t="str">
        <f ca="1">IFERROR(__xludf.DUMMYFUNCTION("""COMPUTED_VALUE"""),"2025-07")</f>
        <v>2025-07</v>
      </c>
      <c r="AE187" s="154" t="str">
        <v/>
      </c>
      <c r="AF187" s="154" t="str">
        <v/>
      </c>
    </row>
    <row r="188" spans="1:32" ht="15">
      <c r="A188" s="176">
        <v>45849</v>
      </c>
      <c r="B188" s="145" t="s">
        <v>752</v>
      </c>
      <c r="C188" s="169">
        <v>4819</v>
      </c>
      <c r="D188" s="145">
        <v>1</v>
      </c>
      <c r="E188" s="145"/>
      <c r="F188" s="169" t="e">
        <v>#VALUE!</v>
      </c>
      <c r="G188" s="145"/>
      <c r="H188" s="145"/>
      <c r="I188" s="145"/>
      <c r="J188" s="145"/>
      <c r="K188" s="145"/>
      <c r="L188" s="145"/>
      <c r="M188" s="145"/>
      <c r="N188" s="145"/>
      <c r="O188" s="174"/>
      <c r="P188" s="174"/>
      <c r="Q188" s="158" t="str">
        <v/>
      </c>
      <c r="R188" s="158" t="str">
        <v/>
      </c>
      <c r="S188" s="158" t="str">
        <v/>
      </c>
      <c r="T188" s="158" t="str">
        <v/>
      </c>
      <c r="U188" s="158" t="str">
        <v/>
      </c>
      <c r="V188" s="158" t="str">
        <v/>
      </c>
      <c r="W188" s="158" t="str">
        <v/>
      </c>
      <c r="X188" s="158" t="str">
        <v/>
      </c>
      <c r="Y188" s="158" t="str">
        <v/>
      </c>
      <c r="Z188" s="158" t="str">
        <v/>
      </c>
      <c r="AA188" s="158" t="e">
        <v>#VALUE!</v>
      </c>
      <c r="AB188" s="171" t="str">
        <v/>
      </c>
      <c r="AC188" s="158">
        <v>4819</v>
      </c>
      <c r="AD188" s="173" t="str">
        <f ca="1">IFERROR(__xludf.DUMMYFUNCTION("""COMPUTED_VALUE"""),"2025-07")</f>
        <v>2025-07</v>
      </c>
      <c r="AE188" s="154" t="str">
        <v/>
      </c>
      <c r="AF188" s="154" t="str">
        <v/>
      </c>
    </row>
    <row r="189" spans="1:32" ht="15">
      <c r="A189" s="176">
        <v>45849</v>
      </c>
      <c r="B189" s="145" t="s">
        <v>115</v>
      </c>
      <c r="C189" s="169">
        <v>304937</v>
      </c>
      <c r="D189" s="145">
        <v>77</v>
      </c>
      <c r="E189" s="145"/>
      <c r="F189" s="169" t="e">
        <v>#VALUE!</v>
      </c>
      <c r="G189" s="145"/>
      <c r="H189" s="145"/>
      <c r="I189" s="145"/>
      <c r="J189" s="145"/>
      <c r="K189" s="145"/>
      <c r="L189" s="145"/>
      <c r="M189" s="145"/>
      <c r="N189" s="145"/>
      <c r="O189" s="174"/>
      <c r="P189" s="174"/>
      <c r="Q189" s="158" t="str">
        <v/>
      </c>
      <c r="R189" s="158" t="str">
        <v/>
      </c>
      <c r="S189" s="158" t="str">
        <v/>
      </c>
      <c r="T189" s="158" t="str">
        <v/>
      </c>
      <c r="U189" s="158" t="str">
        <v/>
      </c>
      <c r="V189" s="158" t="str">
        <v/>
      </c>
      <c r="W189" s="158" t="str">
        <v/>
      </c>
      <c r="X189" s="158" t="str">
        <v/>
      </c>
      <c r="Y189" s="158" t="str">
        <v/>
      </c>
      <c r="Z189" s="158" t="str">
        <v/>
      </c>
      <c r="AA189" s="158" t="e">
        <v>#VALUE!</v>
      </c>
      <c r="AB189" s="171" t="str">
        <v/>
      </c>
      <c r="AC189" s="158">
        <v>3960.2207792207791</v>
      </c>
      <c r="AD189" s="173" t="str">
        <f ca="1">IFERROR(__xludf.DUMMYFUNCTION("""COMPUTED_VALUE"""),"2025-07")</f>
        <v>2025-07</v>
      </c>
      <c r="AE189" s="154" t="str">
        <v/>
      </c>
      <c r="AF189" s="154" t="str">
        <v/>
      </c>
    </row>
    <row r="190" spans="1:32" ht="15">
      <c r="A190" s="176">
        <v>45849</v>
      </c>
      <c r="B190" s="145" t="s">
        <v>61</v>
      </c>
      <c r="C190" s="169">
        <v>189931</v>
      </c>
      <c r="D190" s="145">
        <v>34</v>
      </c>
      <c r="E190" s="145"/>
      <c r="F190" s="169" t="e">
        <v>#VALUE!</v>
      </c>
      <c r="G190" s="145"/>
      <c r="H190" s="145"/>
      <c r="I190" s="145"/>
      <c r="J190" s="145"/>
      <c r="K190" s="145"/>
      <c r="L190" s="145"/>
      <c r="M190" s="145"/>
      <c r="N190" s="145"/>
      <c r="O190" s="174"/>
      <c r="P190" s="174"/>
      <c r="Q190" s="158" t="str">
        <v/>
      </c>
      <c r="R190" s="158" t="str">
        <v/>
      </c>
      <c r="S190" s="158" t="str">
        <v/>
      </c>
      <c r="T190" s="158" t="str">
        <v/>
      </c>
      <c r="U190" s="158" t="str">
        <v/>
      </c>
      <c r="V190" s="158" t="str">
        <v/>
      </c>
      <c r="W190" s="158" t="str">
        <v/>
      </c>
      <c r="X190" s="158" t="str">
        <v/>
      </c>
      <c r="Y190" s="158" t="str">
        <v/>
      </c>
      <c r="Z190" s="158" t="str">
        <v/>
      </c>
      <c r="AA190" s="158" t="e">
        <v>#VALUE!</v>
      </c>
      <c r="AB190" s="171" t="str">
        <v/>
      </c>
      <c r="AC190" s="158">
        <v>5586.2058823529414</v>
      </c>
      <c r="AD190" s="173" t="str">
        <f ca="1">IFERROR(__xludf.DUMMYFUNCTION("""COMPUTED_VALUE"""),"2025-07")</f>
        <v>2025-07</v>
      </c>
      <c r="AE190" s="154" t="str">
        <v/>
      </c>
      <c r="AF190" s="154" t="str">
        <v/>
      </c>
    </row>
    <row r="191" spans="1:32" ht="15">
      <c r="A191" s="176">
        <v>45850</v>
      </c>
      <c r="B191" s="145" t="s">
        <v>49</v>
      </c>
      <c r="C191" s="169">
        <v>7577</v>
      </c>
      <c r="D191" s="145">
        <v>2</v>
      </c>
      <c r="E191" s="145"/>
      <c r="F191" s="169" t="e">
        <v>#VALUE!</v>
      </c>
      <c r="G191" s="145"/>
      <c r="H191" s="145"/>
      <c r="I191" s="145"/>
      <c r="J191" s="145"/>
      <c r="K191" s="145"/>
      <c r="L191" s="145"/>
      <c r="M191" s="145"/>
      <c r="N191" s="145"/>
      <c r="O191" s="174"/>
      <c r="P191" s="174"/>
      <c r="Q191" s="158" t="str">
        <v/>
      </c>
      <c r="R191" s="158" t="str">
        <v/>
      </c>
      <c r="S191" s="158" t="str">
        <v/>
      </c>
      <c r="T191" s="158" t="str">
        <v/>
      </c>
      <c r="U191" s="158" t="str">
        <v/>
      </c>
      <c r="V191" s="158" t="str">
        <v/>
      </c>
      <c r="W191" s="158" t="str">
        <v/>
      </c>
      <c r="X191" s="158" t="str">
        <v/>
      </c>
      <c r="Y191" s="158" t="str">
        <v/>
      </c>
      <c r="Z191" s="158" t="str">
        <v/>
      </c>
      <c r="AA191" s="158" t="e">
        <v>#VALUE!</v>
      </c>
      <c r="AB191" s="171" t="str">
        <v/>
      </c>
      <c r="AC191" s="158">
        <v>3788.5</v>
      </c>
      <c r="AD191" s="173" t="str">
        <f ca="1">IFERROR(__xludf.DUMMYFUNCTION("""COMPUTED_VALUE"""),"2025-07")</f>
        <v>2025-07</v>
      </c>
      <c r="AE191" s="154" t="str">
        <v/>
      </c>
      <c r="AF191" s="154" t="str">
        <v/>
      </c>
    </row>
    <row r="192" spans="1:32" ht="15">
      <c r="A192" s="176">
        <v>45850</v>
      </c>
      <c r="B192" s="145" t="s">
        <v>1229</v>
      </c>
      <c r="C192" s="169">
        <v>3979</v>
      </c>
      <c r="D192" s="145">
        <v>1</v>
      </c>
      <c r="E192" s="145"/>
      <c r="F192" s="169" t="e">
        <v>#VALUE!</v>
      </c>
      <c r="G192" s="145"/>
      <c r="H192" s="145"/>
      <c r="I192" s="145"/>
      <c r="J192" s="145"/>
      <c r="K192" s="145"/>
      <c r="L192" s="145"/>
      <c r="M192" s="145"/>
      <c r="N192" s="145"/>
      <c r="O192" s="174"/>
      <c r="P192" s="174"/>
      <c r="Q192" s="158" t="str">
        <v/>
      </c>
      <c r="R192" s="158" t="str">
        <v/>
      </c>
      <c r="S192" s="158" t="str">
        <v/>
      </c>
      <c r="T192" s="158" t="str">
        <v/>
      </c>
      <c r="U192" s="158" t="str">
        <v/>
      </c>
      <c r="V192" s="158" t="str">
        <v/>
      </c>
      <c r="W192" s="158" t="str">
        <v/>
      </c>
      <c r="X192" s="158" t="str">
        <v/>
      </c>
      <c r="Y192" s="158" t="str">
        <v/>
      </c>
      <c r="Z192" s="158" t="str">
        <v/>
      </c>
      <c r="AA192" s="158" t="e">
        <v>#VALUE!</v>
      </c>
      <c r="AB192" s="171" t="str">
        <v/>
      </c>
      <c r="AC192" s="158">
        <v>3979</v>
      </c>
      <c r="AD192" s="173" t="str">
        <f ca="1">IFERROR(__xludf.DUMMYFUNCTION("""COMPUTED_VALUE"""),"2025-07")</f>
        <v>2025-07</v>
      </c>
      <c r="AE192" s="154" t="str">
        <v/>
      </c>
      <c r="AF192" s="154" t="str">
        <v/>
      </c>
    </row>
    <row r="193" spans="1:32" ht="15">
      <c r="A193" s="176">
        <v>45850</v>
      </c>
      <c r="B193" s="145" t="s">
        <v>752</v>
      </c>
      <c r="C193" s="169">
        <v>3426</v>
      </c>
      <c r="D193" s="145">
        <v>0</v>
      </c>
      <c r="E193" s="145"/>
      <c r="F193" s="169" t="e">
        <v>#VALUE!</v>
      </c>
      <c r="G193" s="145"/>
      <c r="H193" s="145"/>
      <c r="I193" s="145"/>
      <c r="J193" s="145"/>
      <c r="K193" s="145"/>
      <c r="L193" s="145"/>
      <c r="M193" s="145"/>
      <c r="N193" s="145"/>
      <c r="O193" s="174"/>
      <c r="P193" s="174"/>
      <c r="Q193" s="158" t="str">
        <v/>
      </c>
      <c r="R193" s="158" t="str">
        <v/>
      </c>
      <c r="S193" s="158" t="str">
        <v/>
      </c>
      <c r="T193" s="158" t="str">
        <v/>
      </c>
      <c r="U193" s="158" t="str">
        <v/>
      </c>
      <c r="V193" s="158" t="str">
        <v/>
      </c>
      <c r="W193" s="158" t="str">
        <v/>
      </c>
      <c r="X193" s="158" t="str">
        <v/>
      </c>
      <c r="Y193" s="158" t="str">
        <v/>
      </c>
      <c r="Z193" s="158" t="str">
        <v/>
      </c>
      <c r="AA193" s="158" t="e">
        <v>#VALUE!</v>
      </c>
      <c r="AB193" s="171" t="str">
        <v/>
      </c>
      <c r="AC193" s="158" t="str">
        <v/>
      </c>
      <c r="AD193" s="173" t="str">
        <f ca="1">IFERROR(__xludf.DUMMYFUNCTION("""COMPUTED_VALUE"""),"2025-07")</f>
        <v>2025-07</v>
      </c>
      <c r="AE193" s="154" t="str">
        <v/>
      </c>
      <c r="AF193" s="154" t="str">
        <v/>
      </c>
    </row>
    <row r="194" spans="1:32" ht="15">
      <c r="A194" s="176">
        <v>45850</v>
      </c>
      <c r="B194" s="145" t="s">
        <v>115</v>
      </c>
      <c r="C194" s="169">
        <v>123079</v>
      </c>
      <c r="D194" s="145">
        <v>31</v>
      </c>
      <c r="E194" s="145"/>
      <c r="F194" s="169" t="e">
        <v>#VALUE!</v>
      </c>
      <c r="G194" s="145"/>
      <c r="H194" s="145"/>
      <c r="I194" s="145"/>
      <c r="J194" s="145"/>
      <c r="K194" s="145"/>
      <c r="L194" s="145"/>
      <c r="M194" s="145"/>
      <c r="N194" s="145"/>
      <c r="O194" s="174"/>
      <c r="P194" s="174"/>
      <c r="Q194" s="158" t="str">
        <v/>
      </c>
      <c r="R194" s="158" t="str">
        <v/>
      </c>
      <c r="S194" s="158" t="str">
        <v/>
      </c>
      <c r="T194" s="158" t="str">
        <v/>
      </c>
      <c r="U194" s="158" t="str">
        <v/>
      </c>
      <c r="V194" s="158" t="str">
        <v/>
      </c>
      <c r="W194" s="158" t="str">
        <v/>
      </c>
      <c r="X194" s="158" t="str">
        <v/>
      </c>
      <c r="Y194" s="158" t="str">
        <v/>
      </c>
      <c r="Z194" s="158" t="str">
        <v/>
      </c>
      <c r="AA194" s="158" t="e">
        <v>#VALUE!</v>
      </c>
      <c r="AB194" s="171" t="str">
        <v/>
      </c>
      <c r="AC194" s="158">
        <v>3970.2903225806454</v>
      </c>
      <c r="AD194" s="173" t="str">
        <f ca="1">IFERROR(__xludf.DUMMYFUNCTION("""COMPUTED_VALUE"""),"2025-07")</f>
        <v>2025-07</v>
      </c>
      <c r="AE194" s="154" t="str">
        <v/>
      </c>
      <c r="AF194" s="154" t="str">
        <v/>
      </c>
    </row>
    <row r="195" spans="1:32" ht="15">
      <c r="A195" s="176">
        <v>45850</v>
      </c>
      <c r="B195" s="145" t="s">
        <v>61</v>
      </c>
      <c r="C195" s="169">
        <v>62059</v>
      </c>
      <c r="D195" s="145">
        <v>8</v>
      </c>
      <c r="E195" s="145"/>
      <c r="F195" s="169" t="e">
        <v>#VALUE!</v>
      </c>
      <c r="G195" s="145"/>
      <c r="H195" s="145"/>
      <c r="I195" s="145"/>
      <c r="J195" s="145"/>
      <c r="K195" s="145"/>
      <c r="L195" s="145"/>
      <c r="M195" s="145"/>
      <c r="N195" s="145"/>
      <c r="O195" s="174"/>
      <c r="P195" s="174"/>
      <c r="Q195" s="158" t="str">
        <v/>
      </c>
      <c r="R195" s="158" t="str">
        <v/>
      </c>
      <c r="S195" s="158" t="str">
        <v/>
      </c>
      <c r="T195" s="158" t="str">
        <v/>
      </c>
      <c r="U195" s="158" t="str">
        <v/>
      </c>
      <c r="V195" s="158" t="str">
        <v/>
      </c>
      <c r="W195" s="158" t="str">
        <v/>
      </c>
      <c r="X195" s="158" t="str">
        <v/>
      </c>
      <c r="Y195" s="158" t="str">
        <v/>
      </c>
      <c r="Z195" s="158" t="str">
        <v/>
      </c>
      <c r="AA195" s="158" t="e">
        <v>#VALUE!</v>
      </c>
      <c r="AB195" s="171" t="str">
        <v/>
      </c>
      <c r="AC195" s="158">
        <v>7757.375</v>
      </c>
      <c r="AD195" s="173" t="str">
        <f ca="1">IFERROR(__xludf.DUMMYFUNCTION("""COMPUTED_VALUE"""),"2025-07")</f>
        <v>2025-07</v>
      </c>
      <c r="AE195" s="154" t="str">
        <v/>
      </c>
      <c r="AF195" s="154" t="str">
        <v/>
      </c>
    </row>
    <row r="196" spans="1:32" ht="15">
      <c r="A196" s="176">
        <v>45853</v>
      </c>
      <c r="B196" s="145" t="s">
        <v>1774</v>
      </c>
      <c r="C196" s="169">
        <v>20036</v>
      </c>
      <c r="D196" s="145">
        <v>1</v>
      </c>
      <c r="E196" s="145"/>
      <c r="F196" s="169" t="e">
        <v>#VALUE!</v>
      </c>
      <c r="G196" s="145"/>
      <c r="H196" s="145"/>
      <c r="I196" s="145"/>
      <c r="J196" s="145"/>
      <c r="K196" s="145"/>
      <c r="L196" s="145"/>
      <c r="M196" s="145"/>
      <c r="N196" s="145"/>
      <c r="O196" s="174"/>
      <c r="P196" s="174"/>
      <c r="Q196" s="158" t="str">
        <v/>
      </c>
      <c r="R196" s="158" t="str">
        <v/>
      </c>
      <c r="S196" s="158" t="str">
        <v/>
      </c>
      <c r="T196" s="158" t="str">
        <v/>
      </c>
      <c r="U196" s="158" t="str">
        <v/>
      </c>
      <c r="V196" s="158" t="str">
        <v/>
      </c>
      <c r="W196" s="158" t="str">
        <v/>
      </c>
      <c r="X196" s="158" t="str">
        <v/>
      </c>
      <c r="Y196" s="158" t="str">
        <v/>
      </c>
      <c r="Z196" s="158" t="str">
        <v/>
      </c>
      <c r="AA196" s="158" t="e">
        <v>#VALUE!</v>
      </c>
      <c r="AB196" s="171" t="str">
        <v/>
      </c>
      <c r="AC196" s="158">
        <v>20036</v>
      </c>
      <c r="AD196" s="173" t="str">
        <f ca="1">IFERROR(__xludf.DUMMYFUNCTION("""COMPUTED_VALUE"""),"2025-07")</f>
        <v>2025-07</v>
      </c>
      <c r="AE196" s="154" t="str">
        <v/>
      </c>
      <c r="AF196" s="154" t="str">
        <v/>
      </c>
    </row>
    <row r="197" spans="1:32" ht="15">
      <c r="A197" s="176">
        <v>45853</v>
      </c>
      <c r="B197" s="145" t="s">
        <v>61</v>
      </c>
      <c r="C197" s="169">
        <v>103349</v>
      </c>
      <c r="D197" s="145">
        <v>13</v>
      </c>
      <c r="E197" s="145"/>
      <c r="F197" s="169" t="e">
        <v>#VALUE!</v>
      </c>
      <c r="G197" s="145"/>
      <c r="H197" s="145"/>
      <c r="I197" s="145"/>
      <c r="J197" s="145"/>
      <c r="K197" s="145"/>
      <c r="L197" s="145"/>
      <c r="M197" s="145"/>
      <c r="N197" s="145"/>
      <c r="O197" s="174"/>
      <c r="P197" s="174"/>
      <c r="Q197" s="158" t="str">
        <v/>
      </c>
      <c r="R197" s="158" t="str">
        <v/>
      </c>
      <c r="S197" s="158" t="str">
        <v/>
      </c>
      <c r="T197" s="158" t="str">
        <v/>
      </c>
      <c r="U197" s="158" t="str">
        <v/>
      </c>
      <c r="V197" s="158" t="str">
        <v/>
      </c>
      <c r="W197" s="158" t="str">
        <v/>
      </c>
      <c r="X197" s="158" t="str">
        <v/>
      </c>
      <c r="Y197" s="158" t="str">
        <v/>
      </c>
      <c r="Z197" s="158" t="str">
        <v/>
      </c>
      <c r="AA197" s="158" t="e">
        <v>#VALUE!</v>
      </c>
      <c r="AB197" s="171" t="str">
        <v/>
      </c>
      <c r="AC197" s="158">
        <v>7949.9230769230771</v>
      </c>
      <c r="AD197" s="173" t="str">
        <f ca="1">IFERROR(__xludf.DUMMYFUNCTION("""COMPUTED_VALUE"""),"2025-07")</f>
        <v>2025-07</v>
      </c>
      <c r="AE197" s="154" t="str">
        <v/>
      </c>
      <c r="AF197" s="154" t="str">
        <v/>
      </c>
    </row>
    <row r="198" spans="1:32" ht="15">
      <c r="A198" s="176">
        <v>45854</v>
      </c>
      <c r="B198" s="145" t="s">
        <v>1229</v>
      </c>
      <c r="C198" s="169">
        <v>129181</v>
      </c>
      <c r="D198" s="145">
        <v>22</v>
      </c>
      <c r="E198" s="145"/>
      <c r="F198" s="169" t="e">
        <v>#VALUE!</v>
      </c>
      <c r="G198" s="145"/>
      <c r="H198" s="145"/>
      <c r="I198" s="145"/>
      <c r="J198" s="145"/>
      <c r="K198" s="145"/>
      <c r="L198" s="145"/>
      <c r="M198" s="145"/>
      <c r="N198" s="145"/>
      <c r="O198" s="174"/>
      <c r="P198" s="174"/>
      <c r="Q198" s="158" t="str">
        <v/>
      </c>
      <c r="R198" s="158" t="str">
        <v/>
      </c>
      <c r="S198" s="158" t="str">
        <v/>
      </c>
      <c r="T198" s="158" t="str">
        <v/>
      </c>
      <c r="U198" s="158" t="str">
        <v/>
      </c>
      <c r="V198" s="158" t="str">
        <v/>
      </c>
      <c r="W198" s="158" t="str">
        <v/>
      </c>
      <c r="X198" s="158" t="str">
        <v/>
      </c>
      <c r="Y198" s="158" t="str">
        <v/>
      </c>
      <c r="Z198" s="158" t="str">
        <v/>
      </c>
      <c r="AA198" s="158" t="e">
        <v>#VALUE!</v>
      </c>
      <c r="AB198" s="171" t="str">
        <v/>
      </c>
      <c r="AC198" s="158">
        <v>5871.863636363636</v>
      </c>
      <c r="AD198" s="173" t="str">
        <f ca="1">IFERROR(__xludf.DUMMYFUNCTION("""COMPUTED_VALUE"""),"2025-07")</f>
        <v>2025-07</v>
      </c>
      <c r="AE198" s="154" t="str">
        <v/>
      </c>
      <c r="AF198" s="154" t="str">
        <v/>
      </c>
    </row>
    <row r="199" spans="1:32" ht="15">
      <c r="A199" s="176">
        <v>45854</v>
      </c>
      <c r="B199" s="145" t="s">
        <v>49</v>
      </c>
      <c r="C199" s="169">
        <v>151318</v>
      </c>
      <c r="D199" s="145">
        <v>32</v>
      </c>
      <c r="E199" s="145"/>
      <c r="F199" s="169" t="e">
        <v>#VALUE!</v>
      </c>
      <c r="G199" s="145"/>
      <c r="H199" s="145"/>
      <c r="I199" s="145"/>
      <c r="J199" s="145"/>
      <c r="K199" s="145"/>
      <c r="L199" s="145"/>
      <c r="M199" s="145"/>
      <c r="N199" s="145"/>
      <c r="O199" s="174"/>
      <c r="P199" s="174"/>
      <c r="Q199" s="158" t="str">
        <v/>
      </c>
      <c r="R199" s="158" t="str">
        <v/>
      </c>
      <c r="S199" s="158" t="str">
        <v/>
      </c>
      <c r="T199" s="158" t="str">
        <v/>
      </c>
      <c r="U199" s="158" t="str">
        <v/>
      </c>
      <c r="V199" s="158" t="str">
        <v/>
      </c>
      <c r="W199" s="158" t="str">
        <v/>
      </c>
      <c r="X199" s="158" t="str">
        <v/>
      </c>
      <c r="Y199" s="158" t="str">
        <v/>
      </c>
      <c r="Z199" s="158" t="str">
        <v/>
      </c>
      <c r="AA199" s="158" t="e">
        <v>#VALUE!</v>
      </c>
      <c r="AB199" s="171" t="str">
        <v/>
      </c>
      <c r="AC199" s="158">
        <v>4728.6875</v>
      </c>
      <c r="AD199" s="173" t="str">
        <f ca="1">IFERROR(__xludf.DUMMYFUNCTION("""COMPUTED_VALUE"""),"2025-07")</f>
        <v>2025-07</v>
      </c>
      <c r="AE199" s="154" t="str">
        <v/>
      </c>
      <c r="AF199" s="154" t="str">
        <v/>
      </c>
    </row>
    <row r="200" spans="1:32" ht="15">
      <c r="A200" s="176">
        <v>45854</v>
      </c>
      <c r="B200" s="145" t="s">
        <v>61</v>
      </c>
      <c r="C200" s="169">
        <v>208541</v>
      </c>
      <c r="D200" s="145">
        <v>36</v>
      </c>
      <c r="E200" s="145"/>
      <c r="F200" s="169" t="e">
        <v>#VALUE!</v>
      </c>
      <c r="G200" s="145"/>
      <c r="H200" s="145"/>
      <c r="I200" s="145"/>
      <c r="J200" s="145"/>
      <c r="K200" s="145"/>
      <c r="L200" s="145"/>
      <c r="M200" s="145"/>
      <c r="N200" s="145"/>
      <c r="O200" s="174"/>
      <c r="P200" s="174"/>
      <c r="Q200" s="158" t="str">
        <v/>
      </c>
      <c r="R200" s="158" t="str">
        <v/>
      </c>
      <c r="S200" s="158" t="str">
        <v/>
      </c>
      <c r="T200" s="158" t="str">
        <v/>
      </c>
      <c r="U200" s="158" t="str">
        <v/>
      </c>
      <c r="V200" s="158" t="str">
        <v/>
      </c>
      <c r="W200" s="158" t="str">
        <v/>
      </c>
      <c r="X200" s="158" t="str">
        <v/>
      </c>
      <c r="Y200" s="158" t="str">
        <v/>
      </c>
      <c r="Z200" s="158" t="str">
        <v/>
      </c>
      <c r="AA200" s="158" t="e">
        <v>#VALUE!</v>
      </c>
      <c r="AB200" s="171" t="str">
        <v/>
      </c>
      <c r="AC200" s="158">
        <v>5792.8055555555557</v>
      </c>
      <c r="AD200" s="173" t="str">
        <f ca="1">IFERROR(__xludf.DUMMYFUNCTION("""COMPUTED_VALUE"""),"2025-07")</f>
        <v>2025-07</v>
      </c>
      <c r="AE200" s="154" t="str">
        <v/>
      </c>
      <c r="AF200" s="154" t="str">
        <v/>
      </c>
    </row>
    <row r="201" spans="1:32" ht="15">
      <c r="A201" s="176">
        <v>45855</v>
      </c>
      <c r="B201" s="145" t="s">
        <v>1229</v>
      </c>
      <c r="C201" s="169">
        <v>62776</v>
      </c>
      <c r="D201" s="145">
        <v>19</v>
      </c>
      <c r="E201" s="145"/>
      <c r="F201" s="169" t="e">
        <v>#VALUE!</v>
      </c>
      <c r="G201" s="145"/>
      <c r="H201" s="145"/>
      <c r="I201" s="145"/>
      <c r="J201" s="145"/>
      <c r="K201" s="145"/>
      <c r="L201" s="145"/>
      <c r="M201" s="145"/>
      <c r="N201" s="145"/>
      <c r="O201" s="174"/>
      <c r="P201" s="174"/>
      <c r="Q201" s="158" t="str">
        <v/>
      </c>
      <c r="R201" s="158" t="str">
        <v/>
      </c>
      <c r="S201" s="158" t="str">
        <v/>
      </c>
      <c r="T201" s="158" t="str">
        <v/>
      </c>
      <c r="U201" s="158" t="str">
        <v/>
      </c>
      <c r="V201" s="158" t="str">
        <v/>
      </c>
      <c r="W201" s="158" t="str">
        <v/>
      </c>
      <c r="X201" s="158" t="str">
        <v/>
      </c>
      <c r="Y201" s="158" t="str">
        <v/>
      </c>
      <c r="Z201" s="158" t="str">
        <v/>
      </c>
      <c r="AA201" s="158" t="e">
        <v>#VALUE!</v>
      </c>
      <c r="AB201" s="171" t="str">
        <v/>
      </c>
      <c r="AC201" s="158">
        <v>3304</v>
      </c>
      <c r="AD201" s="173" t="str">
        <f ca="1">IFERROR(__xludf.DUMMYFUNCTION("""COMPUTED_VALUE"""),"2025-07")</f>
        <v>2025-07</v>
      </c>
      <c r="AE201" s="154" t="str">
        <v/>
      </c>
      <c r="AF201" s="154" t="str">
        <v/>
      </c>
    </row>
    <row r="202" spans="1:32" ht="15">
      <c r="A202" s="176">
        <v>45855</v>
      </c>
      <c r="B202" s="145" t="s">
        <v>49</v>
      </c>
      <c r="C202" s="169">
        <v>144840</v>
      </c>
      <c r="D202" s="145">
        <v>34</v>
      </c>
      <c r="E202" s="145"/>
      <c r="F202" s="169" t="e">
        <v>#VALUE!</v>
      </c>
      <c r="G202" s="145"/>
      <c r="H202" s="145"/>
      <c r="I202" s="145"/>
      <c r="J202" s="145"/>
      <c r="K202" s="145"/>
      <c r="L202" s="145"/>
      <c r="M202" s="145"/>
      <c r="N202" s="145"/>
      <c r="O202" s="174"/>
      <c r="P202" s="174"/>
      <c r="Q202" s="158" t="str">
        <v/>
      </c>
      <c r="R202" s="158" t="str">
        <v/>
      </c>
      <c r="S202" s="158" t="str">
        <v/>
      </c>
      <c r="T202" s="158" t="str">
        <v/>
      </c>
      <c r="U202" s="158" t="str">
        <v/>
      </c>
      <c r="V202" s="158" t="str">
        <v/>
      </c>
      <c r="W202" s="158" t="str">
        <v/>
      </c>
      <c r="X202" s="158" t="str">
        <v/>
      </c>
      <c r="Y202" s="158" t="str">
        <v/>
      </c>
      <c r="Z202" s="158" t="str">
        <v/>
      </c>
      <c r="AA202" s="158" t="e">
        <v>#VALUE!</v>
      </c>
      <c r="AB202" s="171" t="str">
        <v/>
      </c>
      <c r="AC202" s="158">
        <v>4260</v>
      </c>
      <c r="AD202" s="173" t="str">
        <f ca="1">IFERROR(__xludf.DUMMYFUNCTION("""COMPUTED_VALUE"""),"2025-07")</f>
        <v>2025-07</v>
      </c>
      <c r="AE202" s="154" t="str">
        <v/>
      </c>
      <c r="AF202" s="154" t="str">
        <v/>
      </c>
    </row>
    <row r="203" spans="1:32" ht="15">
      <c r="A203" s="176">
        <v>45855</v>
      </c>
      <c r="B203" s="145" t="s">
        <v>61</v>
      </c>
      <c r="C203" s="169">
        <v>39520</v>
      </c>
      <c r="D203" s="145">
        <v>10</v>
      </c>
      <c r="E203" s="145"/>
      <c r="F203" s="169" t="e">
        <v>#VALUE!</v>
      </c>
      <c r="G203" s="145"/>
      <c r="H203" s="145"/>
      <c r="I203" s="145"/>
      <c r="J203" s="145"/>
      <c r="K203" s="145"/>
      <c r="L203" s="145"/>
      <c r="M203" s="145"/>
      <c r="N203" s="145"/>
      <c r="O203" s="174"/>
      <c r="P203" s="174"/>
      <c r="Q203" s="158" t="str">
        <v/>
      </c>
      <c r="R203" s="158" t="str">
        <v/>
      </c>
      <c r="S203" s="158" t="str">
        <v/>
      </c>
      <c r="T203" s="158" t="str">
        <v/>
      </c>
      <c r="U203" s="158" t="str">
        <v/>
      </c>
      <c r="V203" s="158" t="str">
        <v/>
      </c>
      <c r="W203" s="158" t="str">
        <v/>
      </c>
      <c r="X203" s="158" t="str">
        <v/>
      </c>
      <c r="Y203" s="158" t="str">
        <v/>
      </c>
      <c r="Z203" s="158" t="str">
        <v/>
      </c>
      <c r="AA203" s="158" t="e">
        <v>#VALUE!</v>
      </c>
      <c r="AB203" s="171" t="str">
        <v/>
      </c>
      <c r="AC203" s="158">
        <v>3952</v>
      </c>
      <c r="AD203" s="173" t="str">
        <f ca="1">IFERROR(__xludf.DUMMYFUNCTION("""COMPUTED_VALUE"""),"2025-07")</f>
        <v>2025-07</v>
      </c>
      <c r="AE203" s="154" t="str">
        <v/>
      </c>
      <c r="AF203" s="154" t="str">
        <v/>
      </c>
    </row>
    <row r="204" spans="1:32" ht="15">
      <c r="A204" s="176">
        <v>45856</v>
      </c>
      <c r="B204" s="145" t="s">
        <v>1229</v>
      </c>
      <c r="C204" s="169">
        <v>100977</v>
      </c>
      <c r="D204" s="145">
        <v>21</v>
      </c>
      <c r="E204" s="145"/>
      <c r="F204" s="169" t="e">
        <v>#VALUE!</v>
      </c>
      <c r="G204" s="145"/>
      <c r="H204" s="145"/>
      <c r="I204" s="145"/>
      <c r="J204" s="145"/>
      <c r="K204" s="145"/>
      <c r="L204" s="145"/>
      <c r="M204" s="145"/>
      <c r="N204" s="145"/>
      <c r="O204" s="174"/>
      <c r="P204" s="174"/>
      <c r="Q204" s="158" t="str">
        <v/>
      </c>
      <c r="R204" s="158" t="str">
        <v/>
      </c>
      <c r="S204" s="158" t="str">
        <v/>
      </c>
      <c r="T204" s="158" t="str">
        <v/>
      </c>
      <c r="U204" s="158" t="str">
        <v/>
      </c>
      <c r="V204" s="158" t="str">
        <v/>
      </c>
      <c r="W204" s="158" t="str">
        <v/>
      </c>
      <c r="X204" s="158" t="str">
        <v/>
      </c>
      <c r="Y204" s="158" t="str">
        <v/>
      </c>
      <c r="Z204" s="158" t="str">
        <v/>
      </c>
      <c r="AA204" s="158" t="e">
        <v>#VALUE!</v>
      </c>
      <c r="AB204" s="171" t="str">
        <v/>
      </c>
      <c r="AC204" s="158">
        <v>4808.4285714285716</v>
      </c>
      <c r="AD204" s="173" t="str">
        <f ca="1">IFERROR(__xludf.DUMMYFUNCTION("""COMPUTED_VALUE"""),"2025-07")</f>
        <v>2025-07</v>
      </c>
      <c r="AE204" s="154" t="str">
        <v/>
      </c>
      <c r="AF204" s="154" t="str">
        <v/>
      </c>
    </row>
    <row r="205" spans="1:32" ht="15">
      <c r="A205" s="176">
        <v>45856</v>
      </c>
      <c r="B205" s="145" t="s">
        <v>49</v>
      </c>
      <c r="C205" s="169">
        <v>141812</v>
      </c>
      <c r="D205" s="145">
        <v>30</v>
      </c>
      <c r="E205" s="145"/>
      <c r="F205" s="169" t="e">
        <v>#VALUE!</v>
      </c>
      <c r="G205" s="145"/>
      <c r="H205" s="145"/>
      <c r="I205" s="145"/>
      <c r="J205" s="145"/>
      <c r="K205" s="145"/>
      <c r="L205" s="145"/>
      <c r="M205" s="145"/>
      <c r="N205" s="145"/>
      <c r="O205" s="174"/>
      <c r="P205" s="174"/>
      <c r="Q205" s="158" t="str">
        <v/>
      </c>
      <c r="R205" s="158" t="str">
        <v/>
      </c>
      <c r="S205" s="158" t="str">
        <v/>
      </c>
      <c r="T205" s="158" t="str">
        <v/>
      </c>
      <c r="U205" s="158" t="str">
        <v/>
      </c>
      <c r="V205" s="158" t="str">
        <v/>
      </c>
      <c r="W205" s="158" t="str">
        <v/>
      </c>
      <c r="X205" s="158" t="str">
        <v/>
      </c>
      <c r="Y205" s="158" t="str">
        <v/>
      </c>
      <c r="Z205" s="158" t="str">
        <v/>
      </c>
      <c r="AA205" s="158" t="e">
        <v>#VALUE!</v>
      </c>
      <c r="AB205" s="171" t="str">
        <v/>
      </c>
      <c r="AC205" s="158">
        <v>4727.0666666666666</v>
      </c>
      <c r="AD205" s="173" t="str">
        <f ca="1">IFERROR(__xludf.DUMMYFUNCTION("""COMPUTED_VALUE"""),"2025-07")</f>
        <v>2025-07</v>
      </c>
      <c r="AE205" s="154" t="str">
        <v/>
      </c>
      <c r="AF205" s="154" t="str">
        <v/>
      </c>
    </row>
    <row r="206" spans="1:32" ht="15">
      <c r="A206" s="176">
        <v>45856</v>
      </c>
      <c r="B206" s="145" t="s">
        <v>61</v>
      </c>
      <c r="C206" s="169">
        <v>13937</v>
      </c>
      <c r="D206" s="145">
        <v>2</v>
      </c>
      <c r="E206" s="145"/>
      <c r="F206" s="169" t="e">
        <v>#VALUE!</v>
      </c>
      <c r="G206" s="145"/>
      <c r="H206" s="145"/>
      <c r="I206" s="145"/>
      <c r="J206" s="145"/>
      <c r="K206" s="145"/>
      <c r="L206" s="145"/>
      <c r="M206" s="145"/>
      <c r="N206" s="145"/>
      <c r="O206" s="174"/>
      <c r="P206" s="174"/>
      <c r="Q206" s="158" t="str">
        <v/>
      </c>
      <c r="R206" s="158" t="str">
        <v/>
      </c>
      <c r="S206" s="158" t="str">
        <v/>
      </c>
      <c r="T206" s="158" t="str">
        <v/>
      </c>
      <c r="U206" s="158" t="str">
        <v/>
      </c>
      <c r="V206" s="158" t="str">
        <v/>
      </c>
      <c r="W206" s="158" t="str">
        <v/>
      </c>
      <c r="X206" s="158" t="str">
        <v/>
      </c>
      <c r="Y206" s="158" t="str">
        <v/>
      </c>
      <c r="Z206" s="158" t="str">
        <v/>
      </c>
      <c r="AA206" s="158" t="e">
        <v>#VALUE!</v>
      </c>
      <c r="AB206" s="171" t="str">
        <v/>
      </c>
      <c r="AC206" s="158">
        <v>6968.5</v>
      </c>
      <c r="AD206" s="173" t="str">
        <f ca="1">IFERROR(__xludf.DUMMYFUNCTION("""COMPUTED_VALUE"""),"2025-07")</f>
        <v>2025-07</v>
      </c>
      <c r="AE206" s="154" t="str">
        <v/>
      </c>
      <c r="AF206" s="154" t="str">
        <v/>
      </c>
    </row>
    <row r="207" spans="1:32" ht="15">
      <c r="A207" s="176">
        <v>45857</v>
      </c>
      <c r="B207" s="145" t="s">
        <v>1229</v>
      </c>
      <c r="C207" s="169">
        <v>6787</v>
      </c>
      <c r="D207" s="145">
        <v>1</v>
      </c>
      <c r="E207" s="145"/>
      <c r="F207" s="169" t="e">
        <v>#VALUE!</v>
      </c>
      <c r="G207" s="145"/>
      <c r="H207" s="145"/>
      <c r="I207" s="145"/>
      <c r="J207" s="145"/>
      <c r="K207" s="145"/>
      <c r="L207" s="145"/>
      <c r="M207" s="145"/>
      <c r="N207" s="145"/>
      <c r="O207" s="174"/>
      <c r="P207" s="174"/>
      <c r="Q207" s="158" t="str">
        <v/>
      </c>
      <c r="R207" s="158" t="str">
        <v/>
      </c>
      <c r="S207" s="158" t="str">
        <v/>
      </c>
      <c r="T207" s="158" t="str">
        <v/>
      </c>
      <c r="U207" s="158" t="str">
        <v/>
      </c>
      <c r="V207" s="158" t="str">
        <v/>
      </c>
      <c r="W207" s="158" t="str">
        <v/>
      </c>
      <c r="X207" s="158" t="str">
        <v/>
      </c>
      <c r="Y207" s="158" t="str">
        <v/>
      </c>
      <c r="Z207" s="158" t="str">
        <v/>
      </c>
      <c r="AA207" s="158" t="e">
        <v>#VALUE!</v>
      </c>
      <c r="AB207" s="171" t="str">
        <v/>
      </c>
      <c r="AC207" s="158">
        <v>6787</v>
      </c>
      <c r="AD207" s="173" t="str">
        <f ca="1">IFERROR(__xludf.DUMMYFUNCTION("""COMPUTED_VALUE"""),"2025-07")</f>
        <v>2025-07</v>
      </c>
      <c r="AE207" s="154" t="str">
        <v/>
      </c>
      <c r="AF207" s="154" t="str">
        <v/>
      </c>
    </row>
    <row r="208" spans="1:32" ht="15">
      <c r="A208" s="176">
        <v>45857</v>
      </c>
      <c r="B208" s="145" t="s">
        <v>49</v>
      </c>
      <c r="C208" s="169">
        <v>242931</v>
      </c>
      <c r="D208" s="145">
        <v>62</v>
      </c>
      <c r="E208" s="145"/>
      <c r="F208" s="169" t="e">
        <v>#VALUE!</v>
      </c>
      <c r="G208" s="145"/>
      <c r="H208" s="145"/>
      <c r="I208" s="145"/>
      <c r="J208" s="145"/>
      <c r="K208" s="145"/>
      <c r="L208" s="145"/>
      <c r="M208" s="145"/>
      <c r="N208" s="145"/>
      <c r="O208" s="174"/>
      <c r="P208" s="174"/>
      <c r="Q208" s="158" t="str">
        <v/>
      </c>
      <c r="R208" s="158" t="str">
        <v/>
      </c>
      <c r="S208" s="158" t="str">
        <v/>
      </c>
      <c r="T208" s="158" t="str">
        <v/>
      </c>
      <c r="U208" s="158" t="str">
        <v/>
      </c>
      <c r="V208" s="158" t="str">
        <v/>
      </c>
      <c r="W208" s="158" t="str">
        <v/>
      </c>
      <c r="X208" s="158" t="str">
        <v/>
      </c>
      <c r="Y208" s="158" t="str">
        <v/>
      </c>
      <c r="Z208" s="158" t="str">
        <v/>
      </c>
      <c r="AA208" s="158" t="e">
        <v>#VALUE!</v>
      </c>
      <c r="AB208" s="171" t="str">
        <v/>
      </c>
      <c r="AC208" s="158">
        <v>3918.2419354838707</v>
      </c>
      <c r="AD208" s="173" t="str">
        <f ca="1">IFERROR(__xludf.DUMMYFUNCTION("""COMPUTED_VALUE"""),"2025-07")</f>
        <v>2025-07</v>
      </c>
      <c r="AE208" s="154" t="str">
        <v/>
      </c>
      <c r="AF208" s="154" t="str">
        <v/>
      </c>
    </row>
    <row r="209" spans="1:32" ht="15">
      <c r="A209" s="176">
        <v>45857</v>
      </c>
      <c r="B209" s="145" t="s">
        <v>61</v>
      </c>
      <c r="C209" s="169">
        <v>42302</v>
      </c>
      <c r="D209" s="145">
        <v>15</v>
      </c>
      <c r="E209" s="145"/>
      <c r="F209" s="169" t="e">
        <v>#VALUE!</v>
      </c>
      <c r="G209" s="145"/>
      <c r="H209" s="145"/>
      <c r="I209" s="145"/>
      <c r="J209" s="145"/>
      <c r="K209" s="145"/>
      <c r="L209" s="145"/>
      <c r="M209" s="145"/>
      <c r="N209" s="145"/>
      <c r="O209" s="174"/>
      <c r="P209" s="174"/>
      <c r="Q209" s="158" t="str">
        <v/>
      </c>
      <c r="R209" s="158" t="str">
        <v/>
      </c>
      <c r="S209" s="158" t="str">
        <v/>
      </c>
      <c r="T209" s="158" t="str">
        <v/>
      </c>
      <c r="U209" s="158" t="str">
        <v/>
      </c>
      <c r="V209" s="158" t="str">
        <v/>
      </c>
      <c r="W209" s="158" t="str">
        <v/>
      </c>
      <c r="X209" s="158" t="str">
        <v/>
      </c>
      <c r="Y209" s="158" t="str">
        <v/>
      </c>
      <c r="Z209" s="158" t="str">
        <v/>
      </c>
      <c r="AA209" s="158" t="e">
        <v>#VALUE!</v>
      </c>
      <c r="AB209" s="171" t="str">
        <v/>
      </c>
      <c r="AC209" s="158">
        <v>2820.1333333333332</v>
      </c>
      <c r="AD209" s="173" t="str">
        <f ca="1">IFERROR(__xludf.DUMMYFUNCTION("""COMPUTED_VALUE"""),"2025-07")</f>
        <v>2025-07</v>
      </c>
      <c r="AE209" s="154" t="str">
        <v/>
      </c>
      <c r="AF209" s="154" t="str">
        <v/>
      </c>
    </row>
    <row r="210" spans="1:32" ht="15">
      <c r="A210" s="176">
        <v>45858</v>
      </c>
      <c r="B210" s="145" t="s">
        <v>1229</v>
      </c>
      <c r="C210" s="169">
        <v>1669</v>
      </c>
      <c r="D210" s="145">
        <v>0</v>
      </c>
      <c r="E210" s="145"/>
      <c r="F210" s="169" t="e">
        <v>#VALUE!</v>
      </c>
      <c r="G210" s="145"/>
      <c r="H210" s="145"/>
      <c r="I210" s="145"/>
      <c r="J210" s="145"/>
      <c r="K210" s="145"/>
      <c r="L210" s="145"/>
      <c r="M210" s="145"/>
      <c r="N210" s="145"/>
      <c r="O210" s="174"/>
      <c r="P210" s="174"/>
      <c r="Q210" s="158" t="str">
        <v/>
      </c>
      <c r="R210" s="158" t="str">
        <v/>
      </c>
      <c r="S210" s="158" t="str">
        <v/>
      </c>
      <c r="T210" s="158" t="str">
        <v/>
      </c>
      <c r="U210" s="158" t="str">
        <v/>
      </c>
      <c r="V210" s="158" t="str">
        <v/>
      </c>
      <c r="W210" s="158" t="str">
        <v/>
      </c>
      <c r="X210" s="158" t="str">
        <v/>
      </c>
      <c r="Y210" s="158" t="str">
        <v/>
      </c>
      <c r="Z210" s="158" t="str">
        <v/>
      </c>
      <c r="AA210" s="158" t="e">
        <v>#VALUE!</v>
      </c>
      <c r="AB210" s="171" t="str">
        <v/>
      </c>
      <c r="AC210" s="158" t="str">
        <v/>
      </c>
      <c r="AD210" s="173" t="str">
        <f ca="1">IFERROR(__xludf.DUMMYFUNCTION("""COMPUTED_VALUE"""),"2025-07")</f>
        <v>2025-07</v>
      </c>
      <c r="AE210" s="154" t="str">
        <v/>
      </c>
      <c r="AF210" s="154" t="str">
        <v/>
      </c>
    </row>
    <row r="211" spans="1:32" ht="15">
      <c r="A211" s="176">
        <v>45858</v>
      </c>
      <c r="B211" s="145" t="s">
        <v>115</v>
      </c>
      <c r="C211" s="169">
        <v>883</v>
      </c>
      <c r="D211" s="145">
        <v>0</v>
      </c>
      <c r="E211" s="145"/>
      <c r="F211" s="169" t="e">
        <v>#VALUE!</v>
      </c>
      <c r="G211" s="145"/>
      <c r="H211" s="145"/>
      <c r="I211" s="145"/>
      <c r="J211" s="145"/>
      <c r="K211" s="145"/>
      <c r="L211" s="145"/>
      <c r="M211" s="145"/>
      <c r="N211" s="145"/>
      <c r="O211" s="174"/>
      <c r="P211" s="174"/>
      <c r="Q211" s="158" t="str">
        <v/>
      </c>
      <c r="R211" s="158" t="str">
        <v/>
      </c>
      <c r="S211" s="158" t="str">
        <v/>
      </c>
      <c r="T211" s="158" t="str">
        <v/>
      </c>
      <c r="U211" s="158" t="str">
        <v/>
      </c>
      <c r="V211" s="158" t="str">
        <v/>
      </c>
      <c r="W211" s="158" t="str">
        <v/>
      </c>
      <c r="X211" s="158" t="str">
        <v/>
      </c>
      <c r="Y211" s="158" t="str">
        <v/>
      </c>
      <c r="Z211" s="158" t="str">
        <v/>
      </c>
      <c r="AA211" s="158" t="e">
        <v>#VALUE!</v>
      </c>
      <c r="AB211" s="171" t="str">
        <v/>
      </c>
      <c r="AC211" s="158" t="str">
        <v/>
      </c>
      <c r="AD211" s="173" t="str">
        <f ca="1">IFERROR(__xludf.DUMMYFUNCTION("""COMPUTED_VALUE"""),"2025-07")</f>
        <v>2025-07</v>
      </c>
      <c r="AE211" s="154" t="str">
        <v/>
      </c>
      <c r="AF211" s="154" t="str">
        <v/>
      </c>
    </row>
    <row r="212" spans="1:32" ht="15">
      <c r="A212" s="176">
        <v>45858</v>
      </c>
      <c r="B212" s="145" t="s">
        <v>61</v>
      </c>
      <c r="C212" s="169">
        <v>1290</v>
      </c>
      <c r="D212" s="145">
        <v>0</v>
      </c>
      <c r="E212" s="145"/>
      <c r="F212" s="169" t="e">
        <v>#VALUE!</v>
      </c>
      <c r="G212" s="145"/>
      <c r="H212" s="145"/>
      <c r="I212" s="145"/>
      <c r="J212" s="145"/>
      <c r="K212" s="145"/>
      <c r="L212" s="145"/>
      <c r="M212" s="145"/>
      <c r="N212" s="145"/>
      <c r="O212" s="174"/>
      <c r="P212" s="174"/>
      <c r="Q212" s="158" t="str">
        <v/>
      </c>
      <c r="R212" s="158" t="str">
        <v/>
      </c>
      <c r="S212" s="158" t="str">
        <v/>
      </c>
      <c r="T212" s="158" t="str">
        <v/>
      </c>
      <c r="U212" s="158" t="str">
        <v/>
      </c>
      <c r="V212" s="158" t="str">
        <v/>
      </c>
      <c r="W212" s="158" t="str">
        <v/>
      </c>
      <c r="X212" s="158" t="str">
        <v/>
      </c>
      <c r="Y212" s="158" t="str">
        <v/>
      </c>
      <c r="Z212" s="158" t="str">
        <v/>
      </c>
      <c r="AA212" s="158" t="e">
        <v>#VALUE!</v>
      </c>
      <c r="AB212" s="171" t="str">
        <v/>
      </c>
      <c r="AC212" s="158" t="str">
        <v/>
      </c>
      <c r="AD212" s="173" t="str">
        <f ca="1">IFERROR(__xludf.DUMMYFUNCTION("""COMPUTED_VALUE"""),"2025-07")</f>
        <v>2025-07</v>
      </c>
      <c r="AE212" s="154" t="str">
        <v/>
      </c>
      <c r="AF212" s="154" t="str">
        <v/>
      </c>
    </row>
    <row r="213" spans="1:32" ht="15">
      <c r="A213" s="176">
        <v>45859</v>
      </c>
      <c r="B213" s="145" t="s">
        <v>1229</v>
      </c>
      <c r="C213" s="169">
        <v>64652</v>
      </c>
      <c r="D213" s="145">
        <v>6</v>
      </c>
      <c r="E213" s="145"/>
      <c r="F213" s="169" t="e">
        <v>#VALUE!</v>
      </c>
      <c r="G213" s="145"/>
      <c r="H213" s="145"/>
      <c r="I213" s="145"/>
      <c r="J213" s="145"/>
      <c r="K213" s="145"/>
      <c r="L213" s="145"/>
      <c r="M213" s="145"/>
      <c r="N213" s="145"/>
      <c r="O213" s="174"/>
      <c r="P213" s="174"/>
      <c r="Q213" s="158" t="str">
        <v/>
      </c>
      <c r="R213" s="158" t="str">
        <v/>
      </c>
      <c r="S213" s="158" t="str">
        <v/>
      </c>
      <c r="T213" s="158" t="str">
        <v/>
      </c>
      <c r="U213" s="158" t="str">
        <v/>
      </c>
      <c r="V213" s="158" t="str">
        <v/>
      </c>
      <c r="W213" s="158" t="str">
        <v/>
      </c>
      <c r="X213" s="158" t="str">
        <v/>
      </c>
      <c r="Y213" s="158" t="str">
        <v/>
      </c>
      <c r="Z213" s="158" t="str">
        <v/>
      </c>
      <c r="AA213" s="158" t="e">
        <v>#VALUE!</v>
      </c>
      <c r="AB213" s="171" t="str">
        <v/>
      </c>
      <c r="AC213" s="158">
        <v>10775.333333333334</v>
      </c>
      <c r="AD213" s="173" t="str">
        <f ca="1">IFERROR(__xludf.DUMMYFUNCTION("""COMPUTED_VALUE"""),"2025-07")</f>
        <v>2025-07</v>
      </c>
      <c r="AE213" s="154" t="str">
        <v/>
      </c>
      <c r="AF213" s="154" t="str">
        <v/>
      </c>
    </row>
    <row r="214" spans="1:32" ht="15">
      <c r="A214" s="176">
        <v>45859</v>
      </c>
      <c r="B214" s="145" t="s">
        <v>115</v>
      </c>
      <c r="C214" s="169">
        <v>98984</v>
      </c>
      <c r="D214" s="145">
        <v>17</v>
      </c>
      <c r="E214" s="145"/>
      <c r="F214" s="169" t="e">
        <v>#VALUE!</v>
      </c>
      <c r="G214" s="145"/>
      <c r="H214" s="145"/>
      <c r="I214" s="145"/>
      <c r="J214" s="145"/>
      <c r="K214" s="145"/>
      <c r="L214" s="145"/>
      <c r="M214" s="145"/>
      <c r="N214" s="145"/>
      <c r="O214" s="174"/>
      <c r="P214" s="174"/>
      <c r="Q214" s="158" t="str">
        <v/>
      </c>
      <c r="R214" s="158" t="str">
        <v/>
      </c>
      <c r="S214" s="158" t="str">
        <v/>
      </c>
      <c r="T214" s="158" t="str">
        <v/>
      </c>
      <c r="U214" s="158" t="str">
        <v/>
      </c>
      <c r="V214" s="158" t="str">
        <v/>
      </c>
      <c r="W214" s="158" t="str">
        <v/>
      </c>
      <c r="X214" s="158" t="str">
        <v/>
      </c>
      <c r="Y214" s="158" t="str">
        <v/>
      </c>
      <c r="Z214" s="158" t="str">
        <v/>
      </c>
      <c r="AA214" s="158" t="e">
        <v>#VALUE!</v>
      </c>
      <c r="AB214" s="171" t="str">
        <v/>
      </c>
      <c r="AC214" s="158">
        <v>5822.588235294118</v>
      </c>
      <c r="AD214" s="173" t="str">
        <f ca="1">IFERROR(__xludf.DUMMYFUNCTION("""COMPUTED_VALUE"""),"2025-07")</f>
        <v>2025-07</v>
      </c>
      <c r="AE214" s="154" t="str">
        <v/>
      </c>
      <c r="AF214" s="154" t="str">
        <v/>
      </c>
    </row>
    <row r="215" spans="1:32" ht="15">
      <c r="A215" s="176">
        <v>45859</v>
      </c>
      <c r="B215" s="145" t="s">
        <v>61</v>
      </c>
      <c r="C215" s="169">
        <v>288162</v>
      </c>
      <c r="D215" s="145">
        <v>71</v>
      </c>
      <c r="E215" s="145"/>
      <c r="F215" s="169" t="e">
        <v>#VALUE!</v>
      </c>
      <c r="G215" s="145"/>
      <c r="H215" s="145"/>
      <c r="I215" s="145"/>
      <c r="J215" s="145"/>
      <c r="K215" s="145"/>
      <c r="L215" s="145"/>
      <c r="M215" s="145"/>
      <c r="N215" s="145"/>
      <c r="O215" s="174"/>
      <c r="P215" s="174"/>
      <c r="Q215" s="158" t="str">
        <v/>
      </c>
      <c r="R215" s="158" t="str">
        <v/>
      </c>
      <c r="S215" s="158" t="str">
        <v/>
      </c>
      <c r="T215" s="158" t="str">
        <v/>
      </c>
      <c r="U215" s="158" t="str">
        <v/>
      </c>
      <c r="V215" s="158" t="str">
        <v/>
      </c>
      <c r="W215" s="158" t="str">
        <v/>
      </c>
      <c r="X215" s="158" t="str">
        <v/>
      </c>
      <c r="Y215" s="158" t="str">
        <v/>
      </c>
      <c r="Z215" s="158" t="str">
        <v/>
      </c>
      <c r="AA215" s="158" t="e">
        <v>#VALUE!</v>
      </c>
      <c r="AB215" s="171" t="str">
        <v/>
      </c>
      <c r="AC215" s="158">
        <v>4058.6197183098593</v>
      </c>
      <c r="AD215" s="173" t="str">
        <f ca="1">IFERROR(__xludf.DUMMYFUNCTION("""COMPUTED_VALUE"""),"2025-07")</f>
        <v>2025-07</v>
      </c>
      <c r="AE215" s="154" t="str">
        <v/>
      </c>
      <c r="AF215" s="154" t="str">
        <v/>
      </c>
    </row>
    <row r="216" spans="1:32" ht="15">
      <c r="A216" s="176">
        <v>45860</v>
      </c>
      <c r="B216" s="145" t="s">
        <v>1229</v>
      </c>
      <c r="C216" s="169">
        <v>118595</v>
      </c>
      <c r="D216" s="145">
        <v>21</v>
      </c>
      <c r="E216" s="145"/>
      <c r="F216" s="169" t="e">
        <v>#VALUE!</v>
      </c>
      <c r="G216" s="145"/>
      <c r="H216" s="145"/>
      <c r="I216" s="145"/>
      <c r="J216" s="145"/>
      <c r="K216" s="145"/>
      <c r="L216" s="145"/>
      <c r="M216" s="145"/>
      <c r="N216" s="145"/>
      <c r="O216" s="174"/>
      <c r="P216" s="174"/>
      <c r="Q216" s="158" t="str">
        <v/>
      </c>
      <c r="R216" s="158" t="str">
        <v/>
      </c>
      <c r="S216" s="158" t="str">
        <v/>
      </c>
      <c r="T216" s="158" t="str">
        <v/>
      </c>
      <c r="U216" s="158" t="str">
        <v/>
      </c>
      <c r="V216" s="158" t="str">
        <v/>
      </c>
      <c r="W216" s="158" t="str">
        <v/>
      </c>
      <c r="X216" s="158" t="str">
        <v/>
      </c>
      <c r="Y216" s="158" t="str">
        <v/>
      </c>
      <c r="Z216" s="158" t="str">
        <v/>
      </c>
      <c r="AA216" s="158" t="e">
        <v>#VALUE!</v>
      </c>
      <c r="AB216" s="171" t="str">
        <v/>
      </c>
      <c r="AC216" s="158">
        <v>5647.3809523809523</v>
      </c>
      <c r="AD216" s="173" t="str">
        <f ca="1">IFERROR(__xludf.DUMMYFUNCTION("""COMPUTED_VALUE"""),"2025-07")</f>
        <v>2025-07</v>
      </c>
      <c r="AE216" s="154" t="str">
        <v/>
      </c>
      <c r="AF216" s="154" t="str">
        <v/>
      </c>
    </row>
    <row r="217" spans="1:32" ht="15">
      <c r="A217" s="176">
        <v>45860</v>
      </c>
      <c r="B217" s="145" t="s">
        <v>115</v>
      </c>
      <c r="C217" s="169">
        <v>192668</v>
      </c>
      <c r="D217" s="145">
        <v>31</v>
      </c>
      <c r="E217" s="145"/>
      <c r="F217" s="169" t="e">
        <v>#VALUE!</v>
      </c>
      <c r="G217" s="145"/>
      <c r="H217" s="145"/>
      <c r="I217" s="145"/>
      <c r="J217" s="145"/>
      <c r="K217" s="145"/>
      <c r="L217" s="145"/>
      <c r="M217" s="145"/>
      <c r="N217" s="145"/>
      <c r="O217" s="174"/>
      <c r="P217" s="174"/>
      <c r="Q217" s="158" t="str">
        <v/>
      </c>
      <c r="R217" s="158" t="str">
        <v/>
      </c>
      <c r="S217" s="158" t="str">
        <v/>
      </c>
      <c r="T217" s="158" t="str">
        <v/>
      </c>
      <c r="U217" s="158" t="str">
        <v/>
      </c>
      <c r="V217" s="158" t="str">
        <v/>
      </c>
      <c r="W217" s="158" t="str">
        <v/>
      </c>
      <c r="X217" s="158" t="str">
        <v/>
      </c>
      <c r="Y217" s="158" t="str">
        <v/>
      </c>
      <c r="Z217" s="158" t="str">
        <v/>
      </c>
      <c r="AA217" s="158" t="e">
        <v>#VALUE!</v>
      </c>
      <c r="AB217" s="171" t="str">
        <v/>
      </c>
      <c r="AC217" s="158">
        <v>6215.0967741935483</v>
      </c>
      <c r="AD217" s="173" t="str">
        <f ca="1">IFERROR(__xludf.DUMMYFUNCTION("""COMPUTED_VALUE"""),"2025-07")</f>
        <v>2025-07</v>
      </c>
      <c r="AE217" s="154" t="str">
        <v/>
      </c>
      <c r="AF217" s="154" t="str">
        <v/>
      </c>
    </row>
    <row r="218" spans="1:32" ht="15">
      <c r="A218" s="176">
        <v>45860</v>
      </c>
      <c r="B218" s="145" t="s">
        <v>61</v>
      </c>
      <c r="C218" s="169">
        <v>97446</v>
      </c>
      <c r="D218" s="145">
        <v>15</v>
      </c>
      <c r="E218" s="145"/>
      <c r="F218" s="169" t="e">
        <v>#VALUE!</v>
      </c>
      <c r="G218" s="145"/>
      <c r="H218" s="145"/>
      <c r="I218" s="145"/>
      <c r="J218" s="145"/>
      <c r="K218" s="145"/>
      <c r="L218" s="145"/>
      <c r="M218" s="145"/>
      <c r="N218" s="145"/>
      <c r="O218" s="174"/>
      <c r="P218" s="174"/>
      <c r="Q218" s="158" t="str">
        <v/>
      </c>
      <c r="R218" s="158" t="str">
        <v/>
      </c>
      <c r="S218" s="158" t="str">
        <v/>
      </c>
      <c r="T218" s="158" t="str">
        <v/>
      </c>
      <c r="U218" s="158" t="str">
        <v/>
      </c>
      <c r="V218" s="158" t="str">
        <v/>
      </c>
      <c r="W218" s="158" t="str">
        <v/>
      </c>
      <c r="X218" s="158" t="str">
        <v/>
      </c>
      <c r="Y218" s="158" t="str">
        <v/>
      </c>
      <c r="Z218" s="158" t="str">
        <v/>
      </c>
      <c r="AA218" s="158" t="e">
        <v>#VALUE!</v>
      </c>
      <c r="AB218" s="171" t="str">
        <v/>
      </c>
      <c r="AC218" s="158">
        <v>6496.4</v>
      </c>
      <c r="AD218" s="173" t="str">
        <f ca="1">IFERROR(__xludf.DUMMYFUNCTION("""COMPUTED_VALUE"""),"2025-07")</f>
        <v>2025-07</v>
      </c>
      <c r="AE218" s="154" t="str">
        <v/>
      </c>
      <c r="AF218" s="154" t="str">
        <v/>
      </c>
    </row>
    <row r="219" spans="1:32" ht="15">
      <c r="A219" s="176">
        <v>45861</v>
      </c>
      <c r="B219" s="145" t="s">
        <v>1229</v>
      </c>
      <c r="C219" s="169">
        <v>166611</v>
      </c>
      <c r="D219" s="145">
        <v>52</v>
      </c>
      <c r="E219" s="145"/>
      <c r="F219" s="169" t="e">
        <v>#VALUE!</v>
      </c>
      <c r="G219" s="145"/>
      <c r="H219" s="145"/>
      <c r="I219" s="145"/>
      <c r="J219" s="145"/>
      <c r="K219" s="145"/>
      <c r="L219" s="145"/>
      <c r="M219" s="145"/>
      <c r="N219" s="145"/>
      <c r="O219" s="174"/>
      <c r="P219" s="174"/>
      <c r="Q219" s="158" t="str">
        <v/>
      </c>
      <c r="R219" s="158" t="str">
        <v/>
      </c>
      <c r="S219" s="158" t="str">
        <v/>
      </c>
      <c r="T219" s="158" t="str">
        <v/>
      </c>
      <c r="U219" s="158" t="str">
        <v/>
      </c>
      <c r="V219" s="158" t="str">
        <v/>
      </c>
      <c r="W219" s="158" t="str">
        <v/>
      </c>
      <c r="X219" s="158" t="str">
        <v/>
      </c>
      <c r="Y219" s="158" t="str">
        <v/>
      </c>
      <c r="Z219" s="158" t="str">
        <v/>
      </c>
      <c r="AA219" s="158" t="e">
        <v>#VALUE!</v>
      </c>
      <c r="AB219" s="171" t="str">
        <v/>
      </c>
      <c r="AC219" s="158">
        <v>3204.0576923076924</v>
      </c>
      <c r="AD219" s="173" t="str">
        <f ca="1">IFERROR(__xludf.DUMMYFUNCTION("""COMPUTED_VALUE"""),"2025-07")</f>
        <v>2025-07</v>
      </c>
      <c r="AE219" s="154" t="str">
        <v/>
      </c>
      <c r="AF219" s="154" t="str">
        <v/>
      </c>
    </row>
    <row r="220" spans="1:32" ht="15">
      <c r="A220" s="176">
        <v>45861</v>
      </c>
      <c r="B220" s="145" t="s">
        <v>115</v>
      </c>
      <c r="C220" s="169">
        <v>164875</v>
      </c>
      <c r="D220" s="145">
        <v>16</v>
      </c>
      <c r="E220" s="145"/>
      <c r="F220" s="169" t="e">
        <v>#VALUE!</v>
      </c>
      <c r="G220" s="145"/>
      <c r="H220" s="145"/>
      <c r="I220" s="145"/>
      <c r="J220" s="145"/>
      <c r="K220" s="145"/>
      <c r="L220" s="145"/>
      <c r="M220" s="145"/>
      <c r="N220" s="145"/>
      <c r="O220" s="174"/>
      <c r="P220" s="174"/>
      <c r="Q220" s="158" t="str">
        <v/>
      </c>
      <c r="R220" s="158" t="str">
        <v/>
      </c>
      <c r="S220" s="158" t="str">
        <v/>
      </c>
      <c r="T220" s="158" t="str">
        <v/>
      </c>
      <c r="U220" s="158" t="str">
        <v/>
      </c>
      <c r="V220" s="158" t="str">
        <v/>
      </c>
      <c r="W220" s="158" t="str">
        <v/>
      </c>
      <c r="X220" s="158" t="str">
        <v/>
      </c>
      <c r="Y220" s="158" t="str">
        <v/>
      </c>
      <c r="Z220" s="158" t="str">
        <v/>
      </c>
      <c r="AA220" s="158" t="e">
        <v>#VALUE!</v>
      </c>
      <c r="AB220" s="171" t="str">
        <v/>
      </c>
      <c r="AC220" s="158">
        <v>10304.6875</v>
      </c>
      <c r="AD220" s="173" t="str">
        <f ca="1">IFERROR(__xludf.DUMMYFUNCTION("""COMPUTED_VALUE"""),"2025-07")</f>
        <v>2025-07</v>
      </c>
      <c r="AE220" s="154" t="str">
        <v/>
      </c>
      <c r="AF220" s="154" t="str">
        <v/>
      </c>
    </row>
    <row r="221" spans="1:32" ht="15">
      <c r="A221" s="176">
        <v>45861</v>
      </c>
      <c r="B221" s="145" t="s">
        <v>61</v>
      </c>
      <c r="C221" s="169">
        <v>62164</v>
      </c>
      <c r="D221" s="145">
        <v>7</v>
      </c>
      <c r="E221" s="145"/>
      <c r="F221" s="169" t="e">
        <v>#VALUE!</v>
      </c>
      <c r="G221" s="145"/>
      <c r="H221" s="145"/>
      <c r="I221" s="145"/>
      <c r="J221" s="145"/>
      <c r="K221" s="145"/>
      <c r="L221" s="145"/>
      <c r="M221" s="145"/>
      <c r="N221" s="145"/>
      <c r="O221" s="174"/>
      <c r="P221" s="174"/>
      <c r="Q221" s="158" t="str">
        <v/>
      </c>
      <c r="R221" s="158" t="str">
        <v/>
      </c>
      <c r="S221" s="158" t="str">
        <v/>
      </c>
      <c r="T221" s="158" t="str">
        <v/>
      </c>
      <c r="U221" s="158" t="str">
        <v/>
      </c>
      <c r="V221" s="158" t="str">
        <v/>
      </c>
      <c r="W221" s="158" t="str">
        <v/>
      </c>
      <c r="X221" s="158" t="str">
        <v/>
      </c>
      <c r="Y221" s="158" t="str">
        <v/>
      </c>
      <c r="Z221" s="158" t="str">
        <v/>
      </c>
      <c r="AA221" s="158" t="e">
        <v>#VALUE!</v>
      </c>
      <c r="AB221" s="171" t="str">
        <v/>
      </c>
      <c r="AC221" s="158">
        <v>8880.5714285714294</v>
      </c>
      <c r="AD221" s="173" t="str">
        <f ca="1">IFERROR(__xludf.DUMMYFUNCTION("""COMPUTED_VALUE"""),"2025-07")</f>
        <v>2025-07</v>
      </c>
      <c r="AE221" s="154" t="str">
        <v/>
      </c>
      <c r="AF221" s="154" t="str">
        <v/>
      </c>
    </row>
    <row r="222" spans="1:32" ht="15">
      <c r="A222" s="176">
        <v>45862</v>
      </c>
      <c r="B222" s="145" t="s">
        <v>1229</v>
      </c>
      <c r="C222" s="169">
        <v>2419</v>
      </c>
      <c r="D222" s="145">
        <v>0</v>
      </c>
      <c r="E222" s="145"/>
      <c r="F222" s="169" t="e">
        <v>#VALUE!</v>
      </c>
      <c r="G222" s="145"/>
      <c r="H222" s="145"/>
      <c r="I222" s="145"/>
      <c r="J222" s="145"/>
      <c r="K222" s="145"/>
      <c r="L222" s="145"/>
      <c r="M222" s="145"/>
      <c r="N222" s="145"/>
      <c r="O222" s="174"/>
      <c r="P222" s="174"/>
      <c r="Q222" s="158" t="str">
        <v/>
      </c>
      <c r="R222" s="158" t="str">
        <v/>
      </c>
      <c r="S222" s="158" t="str">
        <v/>
      </c>
      <c r="T222" s="158" t="str">
        <v/>
      </c>
      <c r="U222" s="158" t="str">
        <v/>
      </c>
      <c r="V222" s="158" t="str">
        <v/>
      </c>
      <c r="W222" s="158" t="str">
        <v/>
      </c>
      <c r="X222" s="158" t="str">
        <v/>
      </c>
      <c r="Y222" s="158" t="str">
        <v/>
      </c>
      <c r="Z222" s="158" t="str">
        <v/>
      </c>
      <c r="AA222" s="158" t="e">
        <v>#VALUE!</v>
      </c>
      <c r="AB222" s="171" t="str">
        <v/>
      </c>
      <c r="AC222" s="158" t="str">
        <v/>
      </c>
      <c r="AD222" s="173" t="str">
        <f ca="1">IFERROR(__xludf.DUMMYFUNCTION("""COMPUTED_VALUE"""),"2025-07")</f>
        <v>2025-07</v>
      </c>
      <c r="AE222" s="154" t="str">
        <v/>
      </c>
      <c r="AF222" s="154" t="str">
        <v/>
      </c>
    </row>
    <row r="223" spans="1:32" ht="15">
      <c r="A223" s="176">
        <v>45862</v>
      </c>
      <c r="B223" s="145" t="s">
        <v>115</v>
      </c>
      <c r="C223" s="169">
        <v>145017</v>
      </c>
      <c r="D223" s="145">
        <v>29</v>
      </c>
      <c r="E223" s="145"/>
      <c r="F223" s="169" t="e">
        <v>#VALUE!</v>
      </c>
      <c r="G223" s="145"/>
      <c r="H223" s="145"/>
      <c r="I223" s="145"/>
      <c r="J223" s="145"/>
      <c r="K223" s="145"/>
      <c r="L223" s="145"/>
      <c r="M223" s="145"/>
      <c r="N223" s="145"/>
      <c r="O223" s="174"/>
      <c r="P223" s="174"/>
      <c r="Q223" s="158" t="str">
        <v/>
      </c>
      <c r="R223" s="158" t="str">
        <v/>
      </c>
      <c r="S223" s="158" t="str">
        <v/>
      </c>
      <c r="T223" s="158" t="str">
        <v/>
      </c>
      <c r="U223" s="158" t="str">
        <v/>
      </c>
      <c r="V223" s="158" t="str">
        <v/>
      </c>
      <c r="W223" s="158" t="str">
        <v/>
      </c>
      <c r="X223" s="158" t="str">
        <v/>
      </c>
      <c r="Y223" s="158" t="str">
        <v/>
      </c>
      <c r="Z223" s="158" t="str">
        <v/>
      </c>
      <c r="AA223" s="158" t="e">
        <v>#VALUE!</v>
      </c>
      <c r="AB223" s="171" t="str">
        <v/>
      </c>
      <c r="AC223" s="158">
        <v>5000.5862068965516</v>
      </c>
      <c r="AD223" s="173" t="str">
        <f ca="1">IFERROR(__xludf.DUMMYFUNCTION("""COMPUTED_VALUE"""),"2025-07")</f>
        <v>2025-07</v>
      </c>
      <c r="AE223" s="154" t="str">
        <v/>
      </c>
      <c r="AF223" s="154" t="str">
        <v/>
      </c>
    </row>
    <row r="224" spans="1:32" ht="15">
      <c r="A224" s="176">
        <v>45862</v>
      </c>
      <c r="B224" s="145" t="s">
        <v>61</v>
      </c>
      <c r="C224" s="169">
        <v>107083</v>
      </c>
      <c r="D224" s="145">
        <v>24</v>
      </c>
      <c r="E224" s="145"/>
      <c r="F224" s="169" t="e">
        <v>#VALUE!</v>
      </c>
      <c r="G224" s="145"/>
      <c r="H224" s="145"/>
      <c r="I224" s="145"/>
      <c r="J224" s="145"/>
      <c r="K224" s="145"/>
      <c r="L224" s="145"/>
      <c r="M224" s="145"/>
      <c r="N224" s="145"/>
      <c r="O224" s="174"/>
      <c r="P224" s="174"/>
      <c r="Q224" s="158" t="str">
        <v/>
      </c>
      <c r="R224" s="158" t="str">
        <v/>
      </c>
      <c r="S224" s="158" t="str">
        <v/>
      </c>
      <c r="T224" s="158" t="str">
        <v/>
      </c>
      <c r="U224" s="158" t="str">
        <v/>
      </c>
      <c r="V224" s="158" t="str">
        <v/>
      </c>
      <c r="W224" s="158" t="str">
        <v/>
      </c>
      <c r="X224" s="158" t="str">
        <v/>
      </c>
      <c r="Y224" s="158" t="str">
        <v/>
      </c>
      <c r="Z224" s="158" t="str">
        <v/>
      </c>
      <c r="AA224" s="158" t="e">
        <v>#VALUE!</v>
      </c>
      <c r="AB224" s="171" t="str">
        <v/>
      </c>
      <c r="AC224" s="158">
        <v>4461.791666666667</v>
      </c>
      <c r="AD224" s="173" t="str">
        <f ca="1">IFERROR(__xludf.DUMMYFUNCTION("""COMPUTED_VALUE"""),"2025-07")</f>
        <v>2025-07</v>
      </c>
      <c r="AE224" s="154" t="str">
        <v/>
      </c>
      <c r="AF224" s="154" t="str">
        <v/>
      </c>
    </row>
    <row r="225" spans="1:32" ht="15">
      <c r="A225" s="176">
        <v>45863</v>
      </c>
      <c r="B225" s="145" t="s">
        <v>115</v>
      </c>
      <c r="C225" s="169">
        <v>193924</v>
      </c>
      <c r="D225" s="145">
        <v>27</v>
      </c>
      <c r="E225" s="145"/>
      <c r="F225" s="169" t="e">
        <v>#VALUE!</v>
      </c>
      <c r="G225" s="145"/>
      <c r="H225" s="145"/>
      <c r="I225" s="145"/>
      <c r="J225" s="145"/>
      <c r="K225" s="145"/>
      <c r="L225" s="145"/>
      <c r="M225" s="145"/>
      <c r="N225" s="145"/>
      <c r="O225" s="174"/>
      <c r="P225" s="174"/>
      <c r="Q225" s="158" t="str">
        <v/>
      </c>
      <c r="R225" s="158" t="str">
        <v/>
      </c>
      <c r="S225" s="158" t="str">
        <v/>
      </c>
      <c r="T225" s="158" t="str">
        <v/>
      </c>
      <c r="U225" s="158" t="str">
        <v/>
      </c>
      <c r="V225" s="158" t="str">
        <v/>
      </c>
      <c r="W225" s="158" t="str">
        <v/>
      </c>
      <c r="X225" s="158" t="str">
        <v/>
      </c>
      <c r="Y225" s="158" t="str">
        <v/>
      </c>
      <c r="Z225" s="158" t="str">
        <v/>
      </c>
      <c r="AA225" s="158" t="e">
        <v>#VALUE!</v>
      </c>
      <c r="AB225" s="171" t="str">
        <v/>
      </c>
      <c r="AC225" s="158">
        <v>7182.3703703703704</v>
      </c>
      <c r="AD225" s="173" t="str">
        <f ca="1">IFERROR(__xludf.DUMMYFUNCTION("""COMPUTED_VALUE"""),"2025-07")</f>
        <v>2025-07</v>
      </c>
      <c r="AE225" s="154" t="str">
        <v/>
      </c>
      <c r="AF225" s="154" t="str">
        <v/>
      </c>
    </row>
    <row r="226" spans="1:32" ht="15">
      <c r="A226" s="176">
        <v>45863</v>
      </c>
      <c r="B226" s="145" t="s">
        <v>61</v>
      </c>
      <c r="C226" s="169">
        <v>53515</v>
      </c>
      <c r="D226" s="145">
        <v>4</v>
      </c>
      <c r="E226" s="145"/>
      <c r="F226" s="169" t="e">
        <v>#VALUE!</v>
      </c>
      <c r="G226" s="145"/>
      <c r="H226" s="145"/>
      <c r="I226" s="145"/>
      <c r="J226" s="145"/>
      <c r="K226" s="145"/>
      <c r="L226" s="145"/>
      <c r="M226" s="145"/>
      <c r="N226" s="145"/>
      <c r="O226" s="174"/>
      <c r="P226" s="174"/>
      <c r="Q226" s="158" t="str">
        <v/>
      </c>
      <c r="R226" s="158" t="str">
        <v/>
      </c>
      <c r="S226" s="158" t="str">
        <v/>
      </c>
      <c r="T226" s="158" t="str">
        <v/>
      </c>
      <c r="U226" s="158" t="str">
        <v/>
      </c>
      <c r="V226" s="158" t="str">
        <v/>
      </c>
      <c r="W226" s="158" t="str">
        <v/>
      </c>
      <c r="X226" s="158" t="str">
        <v/>
      </c>
      <c r="Y226" s="158" t="str">
        <v/>
      </c>
      <c r="Z226" s="158" t="str">
        <v/>
      </c>
      <c r="AA226" s="158" t="e">
        <v>#VALUE!</v>
      </c>
      <c r="AB226" s="171" t="str">
        <v/>
      </c>
      <c r="AC226" s="158">
        <v>13378.75</v>
      </c>
      <c r="AD226" s="173" t="str">
        <f ca="1">IFERROR(__xludf.DUMMYFUNCTION("""COMPUTED_VALUE"""),"2025-07")</f>
        <v>2025-07</v>
      </c>
      <c r="AE226" s="154" t="str">
        <v/>
      </c>
      <c r="AF226" s="154" t="str">
        <v/>
      </c>
    </row>
    <row r="227" spans="1:32" ht="15">
      <c r="A227" s="176">
        <v>45864</v>
      </c>
      <c r="B227" s="145" t="s">
        <v>115</v>
      </c>
      <c r="C227" s="169">
        <v>112248</v>
      </c>
      <c r="D227" s="145">
        <v>5</v>
      </c>
      <c r="E227" s="145"/>
      <c r="F227" s="169" t="e">
        <v>#VALUE!</v>
      </c>
      <c r="G227" s="145"/>
      <c r="H227" s="145"/>
      <c r="I227" s="145"/>
      <c r="J227" s="145"/>
      <c r="K227" s="145"/>
      <c r="L227" s="145"/>
      <c r="M227" s="145"/>
      <c r="N227" s="145"/>
      <c r="O227" s="174"/>
      <c r="P227" s="174"/>
      <c r="Q227" s="158" t="str">
        <v/>
      </c>
      <c r="R227" s="158" t="str">
        <v/>
      </c>
      <c r="S227" s="158" t="str">
        <v/>
      </c>
      <c r="T227" s="158" t="str">
        <v/>
      </c>
      <c r="U227" s="158" t="str">
        <v/>
      </c>
      <c r="V227" s="158" t="str">
        <v/>
      </c>
      <c r="W227" s="158" t="str">
        <v/>
      </c>
      <c r="X227" s="158" t="str">
        <v/>
      </c>
      <c r="Y227" s="158" t="str">
        <v/>
      </c>
      <c r="Z227" s="158" t="str">
        <v/>
      </c>
      <c r="AA227" s="158" t="e">
        <v>#VALUE!</v>
      </c>
      <c r="AB227" s="171" t="str">
        <v/>
      </c>
      <c r="AC227" s="158">
        <v>22449.599999999999</v>
      </c>
      <c r="AD227" s="173" t="str">
        <f ca="1">IFERROR(__xludf.DUMMYFUNCTION("""COMPUTED_VALUE"""),"2025-07")</f>
        <v>2025-07</v>
      </c>
      <c r="AE227" s="154" t="str">
        <v/>
      </c>
      <c r="AF227" s="154" t="str">
        <v/>
      </c>
    </row>
    <row r="228" spans="1:32" ht="15">
      <c r="A228" s="176">
        <v>45864</v>
      </c>
      <c r="B228" s="145" t="s">
        <v>61</v>
      </c>
      <c r="C228" s="169">
        <v>72358</v>
      </c>
      <c r="D228" s="145">
        <v>6</v>
      </c>
      <c r="E228" s="145"/>
      <c r="F228" s="169" t="e">
        <v>#VALUE!</v>
      </c>
      <c r="G228" s="145"/>
      <c r="H228" s="145"/>
      <c r="I228" s="145"/>
      <c r="J228" s="145"/>
      <c r="K228" s="145"/>
      <c r="L228" s="145"/>
      <c r="M228" s="145"/>
      <c r="N228" s="145"/>
      <c r="O228" s="174"/>
      <c r="P228" s="174"/>
      <c r="Q228" s="158" t="str">
        <v/>
      </c>
      <c r="R228" s="158" t="str">
        <v/>
      </c>
      <c r="S228" s="158" t="str">
        <v/>
      </c>
      <c r="T228" s="158" t="str">
        <v/>
      </c>
      <c r="U228" s="158" t="str">
        <v/>
      </c>
      <c r="V228" s="158" t="str">
        <v/>
      </c>
      <c r="W228" s="158" t="str">
        <v/>
      </c>
      <c r="X228" s="158" t="str">
        <v/>
      </c>
      <c r="Y228" s="158" t="str">
        <v/>
      </c>
      <c r="Z228" s="158" t="str">
        <v/>
      </c>
      <c r="AA228" s="158" t="e">
        <v>#VALUE!</v>
      </c>
      <c r="AB228" s="171" t="str">
        <v/>
      </c>
      <c r="AC228" s="158">
        <v>12059.666666666666</v>
      </c>
      <c r="AD228" s="173" t="str">
        <f ca="1">IFERROR(__xludf.DUMMYFUNCTION("""COMPUTED_VALUE"""),"2025-07")</f>
        <v>2025-07</v>
      </c>
      <c r="AE228" s="154" t="str">
        <v/>
      </c>
      <c r="AF228" s="154" t="str">
        <v/>
      </c>
    </row>
    <row r="229" spans="1:32" ht="15">
      <c r="A229" s="176">
        <v>45866</v>
      </c>
      <c r="B229" s="145" t="s">
        <v>115</v>
      </c>
      <c r="C229" s="169">
        <v>147075</v>
      </c>
      <c r="D229" s="145">
        <v>26</v>
      </c>
      <c r="E229" s="145"/>
      <c r="F229" s="169" t="e">
        <v>#VALUE!</v>
      </c>
      <c r="G229" s="145"/>
      <c r="H229" s="145"/>
      <c r="I229" s="145"/>
      <c r="J229" s="145"/>
      <c r="K229" s="145"/>
      <c r="L229" s="145"/>
      <c r="M229" s="145"/>
      <c r="N229" s="145"/>
      <c r="O229" s="174"/>
      <c r="P229" s="174"/>
      <c r="Q229" s="158" t="str">
        <v/>
      </c>
      <c r="R229" s="158" t="str">
        <v/>
      </c>
      <c r="S229" s="158" t="str">
        <v/>
      </c>
      <c r="T229" s="158" t="str">
        <v/>
      </c>
      <c r="U229" s="158" t="str">
        <v/>
      </c>
      <c r="V229" s="158" t="str">
        <v/>
      </c>
      <c r="W229" s="158" t="str">
        <v/>
      </c>
      <c r="X229" s="158" t="str">
        <v/>
      </c>
      <c r="Y229" s="158" t="str">
        <v/>
      </c>
      <c r="Z229" s="158" t="str">
        <v/>
      </c>
      <c r="AA229" s="158" t="e">
        <v>#VALUE!</v>
      </c>
      <c r="AB229" s="171" t="str">
        <v/>
      </c>
      <c r="AC229" s="158">
        <v>5656.7307692307695</v>
      </c>
      <c r="AD229" s="173" t="str">
        <f ca="1">IFERROR(__xludf.DUMMYFUNCTION("""COMPUTED_VALUE"""),"2025-07")</f>
        <v>2025-07</v>
      </c>
      <c r="AE229" s="154" t="str">
        <v/>
      </c>
      <c r="AF229" s="154" t="str">
        <v/>
      </c>
    </row>
    <row r="230" spans="1:32" ht="15">
      <c r="A230" s="176">
        <v>45866</v>
      </c>
      <c r="B230" s="145" t="s">
        <v>61</v>
      </c>
      <c r="C230" s="169">
        <v>57032</v>
      </c>
      <c r="D230" s="145">
        <v>1</v>
      </c>
      <c r="E230" s="145"/>
      <c r="F230" s="169" t="e">
        <v>#VALUE!</v>
      </c>
      <c r="G230" s="145"/>
      <c r="H230" s="145"/>
      <c r="I230" s="145"/>
      <c r="J230" s="145"/>
      <c r="K230" s="145"/>
      <c r="L230" s="145"/>
      <c r="M230" s="145"/>
      <c r="N230" s="145"/>
      <c r="O230" s="174"/>
      <c r="P230" s="174"/>
      <c r="Q230" s="158" t="str">
        <v/>
      </c>
      <c r="R230" s="158" t="str">
        <v/>
      </c>
      <c r="S230" s="158" t="str">
        <v/>
      </c>
      <c r="T230" s="158" t="str">
        <v/>
      </c>
      <c r="U230" s="158" t="str">
        <v/>
      </c>
      <c r="V230" s="158" t="str">
        <v/>
      </c>
      <c r="W230" s="158" t="str">
        <v/>
      </c>
      <c r="X230" s="158" t="str">
        <v/>
      </c>
      <c r="Y230" s="158" t="str">
        <v/>
      </c>
      <c r="Z230" s="158" t="str">
        <v/>
      </c>
      <c r="AA230" s="158" t="e">
        <v>#VALUE!</v>
      </c>
      <c r="AB230" s="171" t="str">
        <v/>
      </c>
      <c r="AC230" s="158">
        <v>57032</v>
      </c>
      <c r="AD230" s="173" t="str">
        <f ca="1">IFERROR(__xludf.DUMMYFUNCTION("""COMPUTED_VALUE"""),"2025-07")</f>
        <v>2025-07</v>
      </c>
      <c r="AE230" s="154" t="str">
        <v/>
      </c>
      <c r="AF230" s="154" t="str">
        <v/>
      </c>
    </row>
    <row r="231" spans="1:32" ht="15">
      <c r="A231" s="176">
        <v>45867</v>
      </c>
      <c r="B231" s="145" t="s">
        <v>1774</v>
      </c>
      <c r="C231" s="169">
        <v>21787</v>
      </c>
      <c r="D231" s="145">
        <v>2</v>
      </c>
      <c r="E231" s="145"/>
      <c r="F231" s="169" t="e">
        <v>#VALUE!</v>
      </c>
      <c r="G231" s="145"/>
      <c r="H231" s="145"/>
      <c r="I231" s="145"/>
      <c r="J231" s="145"/>
      <c r="K231" s="145"/>
      <c r="L231" s="145"/>
      <c r="M231" s="145"/>
      <c r="N231" s="145"/>
      <c r="O231" s="174"/>
      <c r="P231" s="174"/>
      <c r="Q231" s="158" t="str">
        <v/>
      </c>
      <c r="R231" s="158" t="str">
        <v/>
      </c>
      <c r="S231" s="158" t="str">
        <v/>
      </c>
      <c r="T231" s="158" t="str">
        <v/>
      </c>
      <c r="U231" s="158" t="str">
        <v/>
      </c>
      <c r="V231" s="158" t="str">
        <v/>
      </c>
      <c r="W231" s="158" t="str">
        <v/>
      </c>
      <c r="X231" s="158" t="str">
        <v/>
      </c>
      <c r="Y231" s="158" t="str">
        <v/>
      </c>
      <c r="Z231" s="158" t="str">
        <v/>
      </c>
      <c r="AA231" s="158" t="e">
        <v>#VALUE!</v>
      </c>
      <c r="AB231" s="171" t="str">
        <v/>
      </c>
      <c r="AC231" s="158">
        <v>10893.5</v>
      </c>
      <c r="AD231" s="173" t="str">
        <f ca="1">IFERROR(__xludf.DUMMYFUNCTION("""COMPUTED_VALUE"""),"2025-07")</f>
        <v>2025-07</v>
      </c>
      <c r="AE231" s="154" t="str">
        <v/>
      </c>
      <c r="AF231" s="154" t="str">
        <v/>
      </c>
    </row>
    <row r="232" spans="1:32" ht="15">
      <c r="A232" s="176">
        <v>45867</v>
      </c>
      <c r="B232" s="145" t="s">
        <v>1229</v>
      </c>
      <c r="C232" s="169">
        <v>42164</v>
      </c>
      <c r="D232" s="145">
        <v>2</v>
      </c>
      <c r="E232" s="145"/>
      <c r="F232" s="169" t="e">
        <v>#VALUE!</v>
      </c>
      <c r="G232" s="145"/>
      <c r="H232" s="145"/>
      <c r="I232" s="145"/>
      <c r="J232" s="145"/>
      <c r="K232" s="145"/>
      <c r="L232" s="145"/>
      <c r="M232" s="145"/>
      <c r="N232" s="145"/>
      <c r="O232" s="174"/>
      <c r="P232" s="174"/>
      <c r="Q232" s="158" t="str">
        <v/>
      </c>
      <c r="R232" s="158" t="str">
        <v/>
      </c>
      <c r="S232" s="158" t="str">
        <v/>
      </c>
      <c r="T232" s="158" t="str">
        <v/>
      </c>
      <c r="U232" s="158" t="str">
        <v/>
      </c>
      <c r="V232" s="158" t="str">
        <v/>
      </c>
      <c r="W232" s="158" t="str">
        <v/>
      </c>
      <c r="X232" s="158" t="str">
        <v/>
      </c>
      <c r="Y232" s="158" t="str">
        <v/>
      </c>
      <c r="Z232" s="158" t="str">
        <v/>
      </c>
      <c r="AA232" s="158" t="e">
        <v>#VALUE!</v>
      </c>
      <c r="AB232" s="171" t="str">
        <v/>
      </c>
      <c r="AC232" s="158">
        <v>21082</v>
      </c>
      <c r="AD232" s="173" t="str">
        <f ca="1">IFERROR(__xludf.DUMMYFUNCTION("""COMPUTED_VALUE"""),"2025-07")</f>
        <v>2025-07</v>
      </c>
      <c r="AE232" s="154" t="str">
        <v/>
      </c>
      <c r="AF232" s="154" t="str">
        <v/>
      </c>
    </row>
    <row r="233" spans="1:32" ht="15">
      <c r="A233" s="176">
        <v>45867</v>
      </c>
      <c r="B233" s="145" t="s">
        <v>115</v>
      </c>
      <c r="C233" s="169">
        <v>151549</v>
      </c>
      <c r="D233" s="145">
        <v>20</v>
      </c>
      <c r="E233" s="145"/>
      <c r="F233" s="169" t="e">
        <v>#VALUE!</v>
      </c>
      <c r="G233" s="145"/>
      <c r="H233" s="145"/>
      <c r="I233" s="145"/>
      <c r="J233" s="145"/>
      <c r="K233" s="145"/>
      <c r="L233" s="145"/>
      <c r="M233" s="145"/>
      <c r="N233" s="145"/>
      <c r="O233" s="174"/>
      <c r="P233" s="174"/>
      <c r="Q233" s="158" t="str">
        <v/>
      </c>
      <c r="R233" s="158" t="str">
        <v/>
      </c>
      <c r="S233" s="158" t="str">
        <v/>
      </c>
      <c r="T233" s="158" t="str">
        <v/>
      </c>
      <c r="U233" s="158" t="str">
        <v/>
      </c>
      <c r="V233" s="158" t="str">
        <v/>
      </c>
      <c r="W233" s="158" t="str">
        <v/>
      </c>
      <c r="X233" s="158" t="str">
        <v/>
      </c>
      <c r="Y233" s="158" t="str">
        <v/>
      </c>
      <c r="Z233" s="158" t="str">
        <v/>
      </c>
      <c r="AA233" s="158" t="e">
        <v>#VALUE!</v>
      </c>
      <c r="AB233" s="171" t="str">
        <v/>
      </c>
      <c r="AC233" s="158">
        <v>7577.45</v>
      </c>
      <c r="AD233" s="173" t="str">
        <f ca="1">IFERROR(__xludf.DUMMYFUNCTION("""COMPUTED_VALUE"""),"2025-07")</f>
        <v>2025-07</v>
      </c>
      <c r="AE233" s="154" t="str">
        <v/>
      </c>
      <c r="AF233" s="154" t="str">
        <v/>
      </c>
    </row>
    <row r="234" spans="1:32" ht="15">
      <c r="A234" s="176">
        <v>45867</v>
      </c>
      <c r="B234" s="145" t="s">
        <v>61</v>
      </c>
      <c r="C234" s="169">
        <v>78871</v>
      </c>
      <c r="D234" s="145">
        <v>15</v>
      </c>
      <c r="E234" s="145"/>
      <c r="F234" s="169" t="e">
        <v>#VALUE!</v>
      </c>
      <c r="G234" s="145"/>
      <c r="H234" s="145"/>
      <c r="I234" s="145"/>
      <c r="J234" s="145"/>
      <c r="K234" s="145"/>
      <c r="L234" s="145"/>
      <c r="M234" s="145"/>
      <c r="N234" s="145"/>
      <c r="O234" s="174"/>
      <c r="P234" s="174"/>
      <c r="Q234" s="158" t="str">
        <v/>
      </c>
      <c r="R234" s="158" t="str">
        <v/>
      </c>
      <c r="S234" s="158" t="str">
        <v/>
      </c>
      <c r="T234" s="158" t="str">
        <v/>
      </c>
      <c r="U234" s="158" t="str">
        <v/>
      </c>
      <c r="V234" s="158" t="str">
        <v/>
      </c>
      <c r="W234" s="158" t="str">
        <v/>
      </c>
      <c r="X234" s="158" t="str">
        <v/>
      </c>
      <c r="Y234" s="158" t="str">
        <v/>
      </c>
      <c r="Z234" s="158" t="str">
        <v/>
      </c>
      <c r="AA234" s="158" t="e">
        <v>#VALUE!</v>
      </c>
      <c r="AB234" s="171" t="str">
        <v/>
      </c>
      <c r="AC234" s="158">
        <v>5258.0666666666666</v>
      </c>
      <c r="AD234" s="173" t="str">
        <f ca="1">IFERROR(__xludf.DUMMYFUNCTION("""COMPUTED_VALUE"""),"2025-07")</f>
        <v>2025-07</v>
      </c>
      <c r="AE234" s="154" t="str">
        <v/>
      </c>
      <c r="AF234" s="154" t="str">
        <v/>
      </c>
    </row>
    <row r="235" spans="1:32" ht="15">
      <c r="A235" s="176">
        <v>45868</v>
      </c>
      <c r="B235" s="145" t="s">
        <v>1774</v>
      </c>
      <c r="C235" s="169">
        <v>5342</v>
      </c>
      <c r="D235" s="145">
        <v>0</v>
      </c>
      <c r="E235" s="145"/>
      <c r="F235" s="169" t="e">
        <v>#VALUE!</v>
      </c>
      <c r="G235" s="145"/>
      <c r="H235" s="145"/>
      <c r="I235" s="145"/>
      <c r="J235" s="145"/>
      <c r="K235" s="145"/>
      <c r="L235" s="145"/>
      <c r="M235" s="145"/>
      <c r="N235" s="145"/>
      <c r="O235" s="174"/>
      <c r="P235" s="174"/>
      <c r="Q235" s="158" t="str">
        <v/>
      </c>
      <c r="R235" s="158" t="str">
        <v/>
      </c>
      <c r="S235" s="158" t="str">
        <v/>
      </c>
      <c r="T235" s="158" t="str">
        <v/>
      </c>
      <c r="U235" s="158" t="str">
        <v/>
      </c>
      <c r="V235" s="158" t="str">
        <v/>
      </c>
      <c r="W235" s="158" t="str">
        <v/>
      </c>
      <c r="X235" s="158" t="str">
        <v/>
      </c>
      <c r="Y235" s="158" t="str">
        <v/>
      </c>
      <c r="Z235" s="158" t="str">
        <v/>
      </c>
      <c r="AA235" s="158" t="e">
        <v>#VALUE!</v>
      </c>
      <c r="AB235" s="171" t="str">
        <v/>
      </c>
      <c r="AC235" s="158" t="str">
        <v/>
      </c>
      <c r="AD235" s="173" t="str">
        <f ca="1">IFERROR(__xludf.DUMMYFUNCTION("""COMPUTED_VALUE"""),"2025-07")</f>
        <v>2025-07</v>
      </c>
      <c r="AE235" s="154" t="str">
        <v/>
      </c>
      <c r="AF235" s="154" t="str">
        <v/>
      </c>
    </row>
    <row r="236" spans="1:32" ht="15">
      <c r="A236" s="176">
        <v>45868</v>
      </c>
      <c r="B236" s="145" t="s">
        <v>1229</v>
      </c>
      <c r="C236" s="169">
        <v>91517</v>
      </c>
      <c r="D236" s="145">
        <v>13</v>
      </c>
      <c r="E236" s="145"/>
      <c r="F236" s="169" t="e">
        <v>#VALUE!</v>
      </c>
      <c r="G236" s="145"/>
      <c r="H236" s="145"/>
      <c r="I236" s="145"/>
      <c r="J236" s="145"/>
      <c r="K236" s="145"/>
      <c r="L236" s="145"/>
      <c r="M236" s="145"/>
      <c r="N236" s="145"/>
      <c r="O236" s="174"/>
      <c r="P236" s="174"/>
      <c r="Q236" s="158" t="str">
        <v/>
      </c>
      <c r="R236" s="158" t="str">
        <v/>
      </c>
      <c r="S236" s="158" t="str">
        <v/>
      </c>
      <c r="T236" s="158" t="str">
        <v/>
      </c>
      <c r="U236" s="158" t="str">
        <v/>
      </c>
      <c r="V236" s="158" t="str">
        <v/>
      </c>
      <c r="W236" s="158" t="str">
        <v/>
      </c>
      <c r="X236" s="158" t="str">
        <v/>
      </c>
      <c r="Y236" s="158" t="str">
        <v/>
      </c>
      <c r="Z236" s="158" t="str">
        <v/>
      </c>
      <c r="AA236" s="158" t="e">
        <v>#VALUE!</v>
      </c>
      <c r="AB236" s="171" t="str">
        <v/>
      </c>
      <c r="AC236" s="158">
        <v>7039.7692307692305</v>
      </c>
      <c r="AD236" s="173" t="str">
        <f ca="1">IFERROR(__xludf.DUMMYFUNCTION("""COMPUTED_VALUE"""),"2025-07")</f>
        <v>2025-07</v>
      </c>
      <c r="AE236" s="154" t="str">
        <v/>
      </c>
      <c r="AF236" s="154" t="str">
        <v/>
      </c>
    </row>
    <row r="237" spans="1:32" ht="15">
      <c r="A237" s="176">
        <v>45868</v>
      </c>
      <c r="B237" s="145" t="s">
        <v>115</v>
      </c>
      <c r="C237" s="169">
        <v>140714</v>
      </c>
      <c r="D237" s="145">
        <v>27</v>
      </c>
      <c r="E237" s="145"/>
      <c r="F237" s="169" t="e">
        <v>#VALUE!</v>
      </c>
      <c r="G237" s="145"/>
      <c r="H237" s="145"/>
      <c r="I237" s="145"/>
      <c r="J237" s="145"/>
      <c r="K237" s="145"/>
      <c r="L237" s="145"/>
      <c r="M237" s="145"/>
      <c r="N237" s="145"/>
      <c r="O237" s="174"/>
      <c r="P237" s="174"/>
      <c r="Q237" s="158" t="str">
        <v/>
      </c>
      <c r="R237" s="158" t="str">
        <v/>
      </c>
      <c r="S237" s="158" t="str">
        <v/>
      </c>
      <c r="T237" s="158" t="str">
        <v/>
      </c>
      <c r="U237" s="158" t="str">
        <v/>
      </c>
      <c r="V237" s="158" t="str">
        <v/>
      </c>
      <c r="W237" s="158" t="str">
        <v/>
      </c>
      <c r="X237" s="158" t="str">
        <v/>
      </c>
      <c r="Y237" s="158" t="str">
        <v/>
      </c>
      <c r="Z237" s="158" t="str">
        <v/>
      </c>
      <c r="AA237" s="158" t="e">
        <v>#VALUE!</v>
      </c>
      <c r="AB237" s="171" t="str">
        <v/>
      </c>
      <c r="AC237" s="158">
        <v>5211.6296296296296</v>
      </c>
      <c r="AD237" s="173" t="str">
        <f ca="1">IFERROR(__xludf.DUMMYFUNCTION("""COMPUTED_VALUE"""),"2025-07")</f>
        <v>2025-07</v>
      </c>
      <c r="AE237" s="154" t="str">
        <v/>
      </c>
      <c r="AF237" s="154" t="str">
        <v/>
      </c>
    </row>
    <row r="238" spans="1:32" ht="15">
      <c r="A238" s="176">
        <v>45868</v>
      </c>
      <c r="B238" s="145" t="s">
        <v>61</v>
      </c>
      <c r="C238" s="169">
        <v>121174</v>
      </c>
      <c r="D238" s="145">
        <v>27</v>
      </c>
      <c r="E238" s="145"/>
      <c r="F238" s="169" t="e">
        <v>#VALUE!</v>
      </c>
      <c r="G238" s="145"/>
      <c r="H238" s="145"/>
      <c r="I238" s="145"/>
      <c r="J238" s="145"/>
      <c r="K238" s="145"/>
      <c r="L238" s="145"/>
      <c r="M238" s="145"/>
      <c r="N238" s="145"/>
      <c r="O238" s="174"/>
      <c r="P238" s="174"/>
      <c r="Q238" s="158" t="str">
        <v/>
      </c>
      <c r="R238" s="158" t="str">
        <v/>
      </c>
      <c r="S238" s="158" t="str">
        <v/>
      </c>
      <c r="T238" s="158" t="str">
        <v/>
      </c>
      <c r="U238" s="158" t="str">
        <v/>
      </c>
      <c r="V238" s="158" t="str">
        <v/>
      </c>
      <c r="W238" s="158" t="str">
        <v/>
      </c>
      <c r="X238" s="158" t="str">
        <v/>
      </c>
      <c r="Y238" s="158" t="str">
        <v/>
      </c>
      <c r="Z238" s="158" t="str">
        <v/>
      </c>
      <c r="AA238" s="158" t="e">
        <v>#VALUE!</v>
      </c>
      <c r="AB238" s="171" t="str">
        <v/>
      </c>
      <c r="AC238" s="158">
        <v>4487.9259259259261</v>
      </c>
      <c r="AD238" s="173" t="str">
        <f ca="1">IFERROR(__xludf.DUMMYFUNCTION("""COMPUTED_VALUE"""),"2025-07")</f>
        <v>2025-07</v>
      </c>
      <c r="AE238" s="154" t="str">
        <v/>
      </c>
      <c r="AF238" s="154" t="str">
        <v/>
      </c>
    </row>
    <row r="239" spans="1:32" ht="15">
      <c r="A239" s="176">
        <v>45869</v>
      </c>
      <c r="B239" s="145" t="s">
        <v>1774</v>
      </c>
      <c r="C239" s="169">
        <v>8565</v>
      </c>
      <c r="D239" s="145">
        <v>1</v>
      </c>
      <c r="E239" s="145"/>
      <c r="F239" s="169" t="e">
        <v>#VALUE!</v>
      </c>
      <c r="G239" s="145"/>
      <c r="H239" s="145"/>
      <c r="I239" s="145"/>
      <c r="J239" s="145"/>
      <c r="K239" s="145"/>
      <c r="L239" s="145"/>
      <c r="M239" s="145"/>
      <c r="N239" s="145"/>
      <c r="O239" s="174"/>
      <c r="P239" s="174"/>
      <c r="Q239" s="158" t="str">
        <v/>
      </c>
      <c r="R239" s="158" t="str">
        <v/>
      </c>
      <c r="S239" s="158" t="str">
        <v/>
      </c>
      <c r="T239" s="158" t="str">
        <v/>
      </c>
      <c r="U239" s="158" t="str">
        <v/>
      </c>
      <c r="V239" s="158" t="str">
        <v/>
      </c>
      <c r="W239" s="158" t="str">
        <v/>
      </c>
      <c r="X239" s="158" t="str">
        <v/>
      </c>
      <c r="Y239" s="158" t="str">
        <v/>
      </c>
      <c r="Z239" s="158" t="str">
        <v/>
      </c>
      <c r="AA239" s="158" t="e">
        <v>#VALUE!</v>
      </c>
      <c r="AB239" s="171" t="str">
        <v/>
      </c>
      <c r="AC239" s="158">
        <v>8565</v>
      </c>
      <c r="AD239" s="173" t="str">
        <f ca="1">IFERROR(__xludf.DUMMYFUNCTION("""COMPUTED_VALUE"""),"2025-07")</f>
        <v>2025-07</v>
      </c>
      <c r="AE239" s="154" t="str">
        <v/>
      </c>
      <c r="AF239" s="154" t="str">
        <v/>
      </c>
    </row>
    <row r="240" spans="1:32" ht="15">
      <c r="A240" s="176">
        <v>45869</v>
      </c>
      <c r="B240" s="145" t="s">
        <v>1229</v>
      </c>
      <c r="C240" s="169">
        <v>70886</v>
      </c>
      <c r="D240" s="145">
        <v>4</v>
      </c>
      <c r="E240" s="145"/>
      <c r="F240" s="169" t="e">
        <v>#VALUE!</v>
      </c>
      <c r="G240" s="145"/>
      <c r="H240" s="145"/>
      <c r="I240" s="145"/>
      <c r="J240" s="145"/>
      <c r="K240" s="145"/>
      <c r="L240" s="145"/>
      <c r="M240" s="145"/>
      <c r="N240" s="145"/>
      <c r="O240" s="174"/>
      <c r="P240" s="174"/>
      <c r="Q240" s="158" t="str">
        <v/>
      </c>
      <c r="R240" s="158" t="str">
        <v/>
      </c>
      <c r="S240" s="158" t="str">
        <v/>
      </c>
      <c r="T240" s="158" t="str">
        <v/>
      </c>
      <c r="U240" s="158" t="str">
        <v/>
      </c>
      <c r="V240" s="158" t="str">
        <v/>
      </c>
      <c r="W240" s="158" t="str">
        <v/>
      </c>
      <c r="X240" s="158" t="str">
        <v/>
      </c>
      <c r="Y240" s="158" t="str">
        <v/>
      </c>
      <c r="Z240" s="158" t="str">
        <v/>
      </c>
      <c r="AA240" s="158" t="e">
        <v>#VALUE!</v>
      </c>
      <c r="AB240" s="171" t="str">
        <v/>
      </c>
      <c r="AC240" s="158">
        <v>17721.5</v>
      </c>
      <c r="AD240" s="173" t="str">
        <f ca="1">IFERROR(__xludf.DUMMYFUNCTION("""COMPUTED_VALUE"""),"2025-07")</f>
        <v>2025-07</v>
      </c>
      <c r="AE240" s="154" t="str">
        <v/>
      </c>
      <c r="AF240" s="154" t="str">
        <v/>
      </c>
    </row>
    <row r="241" spans="1:32" ht="15">
      <c r="A241" s="176">
        <v>45869</v>
      </c>
      <c r="B241" s="145" t="s">
        <v>115</v>
      </c>
      <c r="C241" s="169">
        <v>174645</v>
      </c>
      <c r="D241" s="145">
        <v>37</v>
      </c>
      <c r="E241" s="145"/>
      <c r="F241" s="169" t="e">
        <v>#VALUE!</v>
      </c>
      <c r="G241" s="145"/>
      <c r="H241" s="145"/>
      <c r="I241" s="145"/>
      <c r="J241" s="145"/>
      <c r="K241" s="145"/>
      <c r="L241" s="145"/>
      <c r="M241" s="145"/>
      <c r="N241" s="145"/>
      <c r="O241" s="174"/>
      <c r="P241" s="174"/>
      <c r="Q241" s="158" t="str">
        <v/>
      </c>
      <c r="R241" s="158" t="str">
        <v/>
      </c>
      <c r="S241" s="158" t="str">
        <v/>
      </c>
      <c r="T241" s="158" t="str">
        <v/>
      </c>
      <c r="U241" s="158" t="str">
        <v/>
      </c>
      <c r="V241" s="158" t="str">
        <v/>
      </c>
      <c r="W241" s="158" t="str">
        <v/>
      </c>
      <c r="X241" s="158" t="str">
        <v/>
      </c>
      <c r="Y241" s="158" t="str">
        <v/>
      </c>
      <c r="Z241" s="158" t="str">
        <v/>
      </c>
      <c r="AA241" s="158" t="e">
        <v>#VALUE!</v>
      </c>
      <c r="AB241" s="171" t="str">
        <v/>
      </c>
      <c r="AC241" s="158">
        <v>4720.135135135135</v>
      </c>
      <c r="AD241" s="173" t="str">
        <f ca="1">IFERROR(__xludf.DUMMYFUNCTION("""COMPUTED_VALUE"""),"2025-07")</f>
        <v>2025-07</v>
      </c>
      <c r="AE241" s="154" t="str">
        <v/>
      </c>
      <c r="AF241" s="154" t="str">
        <v/>
      </c>
    </row>
    <row r="242" spans="1:32" ht="15">
      <c r="A242" s="176">
        <v>45869</v>
      </c>
      <c r="B242" s="145" t="s">
        <v>61</v>
      </c>
      <c r="C242" s="169">
        <v>160601</v>
      </c>
      <c r="D242" s="145">
        <v>40</v>
      </c>
      <c r="E242" s="145"/>
      <c r="F242" s="169" t="e">
        <v>#VALUE!</v>
      </c>
      <c r="G242" s="145"/>
      <c r="H242" s="145"/>
      <c r="I242" s="145"/>
      <c r="J242" s="145"/>
      <c r="K242" s="145"/>
      <c r="L242" s="145"/>
      <c r="M242" s="145"/>
      <c r="N242" s="145"/>
      <c r="O242" s="174"/>
      <c r="P242" s="174"/>
      <c r="Q242" s="158" t="str">
        <v/>
      </c>
      <c r="R242" s="158" t="str">
        <v/>
      </c>
      <c r="S242" s="158" t="str">
        <v/>
      </c>
      <c r="T242" s="158" t="str">
        <v/>
      </c>
      <c r="U242" s="158" t="str">
        <v/>
      </c>
      <c r="V242" s="158" t="str">
        <v/>
      </c>
      <c r="W242" s="158" t="str">
        <v/>
      </c>
      <c r="X242" s="158" t="str">
        <v/>
      </c>
      <c r="Y242" s="158" t="str">
        <v/>
      </c>
      <c r="Z242" s="158" t="str">
        <v/>
      </c>
      <c r="AA242" s="158" t="e">
        <v>#VALUE!</v>
      </c>
      <c r="AB242" s="171" t="str">
        <v/>
      </c>
      <c r="AC242" s="158">
        <v>4015.0250000000001</v>
      </c>
      <c r="AD242" s="173" t="str">
        <f ca="1">IFERROR(__xludf.DUMMYFUNCTION("""COMPUTED_VALUE"""),"2025-07")</f>
        <v>2025-07</v>
      </c>
      <c r="AE242" s="154" t="str">
        <v/>
      </c>
      <c r="AF242" s="154" t="str">
        <v/>
      </c>
    </row>
    <row r="243" spans="1:32" ht="15">
      <c r="A243" s="175">
        <v>45870</v>
      </c>
      <c r="B243" s="145" t="s">
        <v>1774</v>
      </c>
      <c r="C243" s="169">
        <v>13380</v>
      </c>
      <c r="D243" s="145">
        <v>0</v>
      </c>
      <c r="E243" s="145"/>
      <c r="F243" s="169" t="e">
        <v>#VALUE!</v>
      </c>
      <c r="G243" s="145"/>
      <c r="H243" s="145"/>
      <c r="I243" s="145"/>
      <c r="J243" s="145"/>
      <c r="K243" s="145"/>
      <c r="L243" s="145"/>
      <c r="M243" s="145"/>
      <c r="N243" s="145"/>
      <c r="O243" s="174"/>
      <c r="P243" s="174"/>
      <c r="Q243" s="158" t="str">
        <v/>
      </c>
      <c r="R243" s="158" t="str">
        <v/>
      </c>
      <c r="S243" s="158" t="str">
        <v/>
      </c>
      <c r="T243" s="158" t="str">
        <v/>
      </c>
      <c r="U243" s="158" t="str">
        <v/>
      </c>
      <c r="V243" s="158" t="str">
        <v/>
      </c>
      <c r="W243" s="158" t="str">
        <v/>
      </c>
      <c r="X243" s="158" t="str">
        <v/>
      </c>
      <c r="Y243" s="158" t="str">
        <v/>
      </c>
      <c r="Z243" s="158" t="str">
        <v/>
      </c>
      <c r="AA243" s="158" t="e">
        <v>#VALUE!</v>
      </c>
      <c r="AB243" s="171" t="str">
        <v/>
      </c>
      <c r="AC243" s="158" t="str">
        <v/>
      </c>
      <c r="AD243" s="173" t="str">
        <f ca="1">IFERROR(__xludf.DUMMYFUNCTION("""COMPUTED_VALUE"""),"2025-08")</f>
        <v>2025-08</v>
      </c>
      <c r="AE243" s="154" t="str">
        <v/>
      </c>
      <c r="AF243" s="154" t="str">
        <v/>
      </c>
    </row>
    <row r="244" spans="1:32" ht="15">
      <c r="A244" s="175">
        <v>45870</v>
      </c>
      <c r="B244" s="145" t="s">
        <v>1229</v>
      </c>
      <c r="C244" s="169">
        <v>110971</v>
      </c>
      <c r="D244" s="145">
        <v>23</v>
      </c>
      <c r="E244" s="145"/>
      <c r="F244" s="169" t="e">
        <v>#VALUE!</v>
      </c>
      <c r="G244" s="145"/>
      <c r="H244" s="145"/>
      <c r="I244" s="145"/>
      <c r="J244" s="145"/>
      <c r="K244" s="145"/>
      <c r="L244" s="145"/>
      <c r="M244" s="145"/>
      <c r="N244" s="145"/>
      <c r="O244" s="174"/>
      <c r="P244" s="174"/>
      <c r="Q244" s="158" t="str">
        <v/>
      </c>
      <c r="R244" s="158" t="str">
        <v/>
      </c>
      <c r="S244" s="158" t="str">
        <v/>
      </c>
      <c r="T244" s="158" t="str">
        <v/>
      </c>
      <c r="U244" s="158" t="str">
        <v/>
      </c>
      <c r="V244" s="158" t="str">
        <v/>
      </c>
      <c r="W244" s="158" t="str">
        <v/>
      </c>
      <c r="X244" s="158" t="str">
        <v/>
      </c>
      <c r="Y244" s="158" t="str">
        <v/>
      </c>
      <c r="Z244" s="158" t="str">
        <v/>
      </c>
      <c r="AA244" s="158" t="e">
        <v>#VALUE!</v>
      </c>
      <c r="AB244" s="171" t="str">
        <v/>
      </c>
      <c r="AC244" s="158">
        <v>4824.826086956522</v>
      </c>
      <c r="AD244" s="173" t="str">
        <f ca="1">IFERROR(__xludf.DUMMYFUNCTION("""COMPUTED_VALUE"""),"2025-08")</f>
        <v>2025-08</v>
      </c>
      <c r="AE244" s="154" t="str">
        <v/>
      </c>
      <c r="AF244" s="154" t="str">
        <v/>
      </c>
    </row>
    <row r="245" spans="1:32" ht="15">
      <c r="A245" s="175">
        <v>45870</v>
      </c>
      <c r="B245" s="145" t="s">
        <v>115</v>
      </c>
      <c r="C245" s="169">
        <v>161520</v>
      </c>
      <c r="D245" s="145">
        <v>26</v>
      </c>
      <c r="E245" s="145"/>
      <c r="F245" s="169" t="e">
        <v>#VALUE!</v>
      </c>
      <c r="G245" s="145"/>
      <c r="H245" s="145"/>
      <c r="I245" s="145"/>
      <c r="J245" s="145"/>
      <c r="K245" s="145"/>
      <c r="L245" s="145"/>
      <c r="M245" s="145"/>
      <c r="N245" s="145"/>
      <c r="O245" s="174"/>
      <c r="P245" s="174"/>
      <c r="Q245" s="158" t="str">
        <v/>
      </c>
      <c r="R245" s="158" t="str">
        <v/>
      </c>
      <c r="S245" s="158" t="str">
        <v/>
      </c>
      <c r="T245" s="158" t="str">
        <v/>
      </c>
      <c r="U245" s="158" t="str">
        <v/>
      </c>
      <c r="V245" s="158" t="str">
        <v/>
      </c>
      <c r="W245" s="158" t="str">
        <v/>
      </c>
      <c r="X245" s="158" t="str">
        <v/>
      </c>
      <c r="Y245" s="158" t="str">
        <v/>
      </c>
      <c r="Z245" s="158" t="str">
        <v/>
      </c>
      <c r="AA245" s="158" t="e">
        <v>#VALUE!</v>
      </c>
      <c r="AB245" s="171" t="str">
        <v/>
      </c>
      <c r="AC245" s="158">
        <v>6212.3076923076924</v>
      </c>
      <c r="AD245" s="173" t="str">
        <f ca="1">IFERROR(__xludf.DUMMYFUNCTION("""COMPUTED_VALUE"""),"2025-08")</f>
        <v>2025-08</v>
      </c>
      <c r="AE245" s="154" t="str">
        <v/>
      </c>
      <c r="AF245" s="154" t="str">
        <v/>
      </c>
    </row>
    <row r="246" spans="1:32" ht="15">
      <c r="A246" s="175">
        <v>45870</v>
      </c>
      <c r="B246" s="145" t="s">
        <v>61</v>
      </c>
      <c r="C246" s="169">
        <v>87140</v>
      </c>
      <c r="D246" s="145">
        <v>13</v>
      </c>
      <c r="E246" s="145"/>
      <c r="F246" s="169" t="e">
        <v>#VALUE!</v>
      </c>
      <c r="G246" s="145"/>
      <c r="H246" s="145"/>
      <c r="I246" s="145"/>
      <c r="J246" s="145"/>
      <c r="K246" s="145"/>
      <c r="L246" s="145"/>
      <c r="M246" s="145"/>
      <c r="N246" s="145"/>
      <c r="O246" s="174"/>
      <c r="P246" s="174"/>
      <c r="Q246" s="158" t="str">
        <v/>
      </c>
      <c r="R246" s="158" t="str">
        <v/>
      </c>
      <c r="S246" s="158" t="str">
        <v/>
      </c>
      <c r="T246" s="158" t="str">
        <v/>
      </c>
      <c r="U246" s="158" t="str">
        <v/>
      </c>
      <c r="V246" s="158" t="str">
        <v/>
      </c>
      <c r="W246" s="158" t="str">
        <v/>
      </c>
      <c r="X246" s="158" t="str">
        <v/>
      </c>
      <c r="Y246" s="158" t="str">
        <v/>
      </c>
      <c r="Z246" s="158" t="str">
        <v/>
      </c>
      <c r="AA246" s="158" t="e">
        <v>#VALUE!</v>
      </c>
      <c r="AB246" s="171" t="str">
        <v/>
      </c>
      <c r="AC246" s="158">
        <v>6703.0769230769229</v>
      </c>
      <c r="AD246" s="173" t="str">
        <f ca="1">IFERROR(__xludf.DUMMYFUNCTION("""COMPUTED_VALUE"""),"2025-08")</f>
        <v>2025-08</v>
      </c>
      <c r="AE246" s="154" t="str">
        <v/>
      </c>
      <c r="AF246" s="154" t="str">
        <v/>
      </c>
    </row>
    <row r="247" spans="1:32" ht="15">
      <c r="A247" s="175">
        <v>45871</v>
      </c>
      <c r="B247" s="145" t="s">
        <v>1229</v>
      </c>
      <c r="C247" s="169">
        <v>43176</v>
      </c>
      <c r="D247" s="145">
        <v>11</v>
      </c>
      <c r="E247" s="145"/>
      <c r="F247" s="169" t="e">
        <v>#VALUE!</v>
      </c>
      <c r="G247" s="145"/>
      <c r="H247" s="145"/>
      <c r="I247" s="145"/>
      <c r="J247" s="145"/>
      <c r="K247" s="145"/>
      <c r="L247" s="145"/>
      <c r="M247" s="145"/>
      <c r="N247" s="145"/>
      <c r="O247" s="174"/>
      <c r="P247" s="174"/>
      <c r="Q247" s="158" t="str">
        <v/>
      </c>
      <c r="R247" s="158" t="str">
        <v/>
      </c>
      <c r="S247" s="158" t="str">
        <v/>
      </c>
      <c r="T247" s="158" t="str">
        <v/>
      </c>
      <c r="U247" s="158" t="str">
        <v/>
      </c>
      <c r="V247" s="158" t="str">
        <v/>
      </c>
      <c r="W247" s="158" t="str">
        <v/>
      </c>
      <c r="X247" s="158" t="str">
        <v/>
      </c>
      <c r="Y247" s="158" t="str">
        <v/>
      </c>
      <c r="Z247" s="158" t="str">
        <v/>
      </c>
      <c r="AA247" s="158" t="e">
        <v>#VALUE!</v>
      </c>
      <c r="AB247" s="171" t="str">
        <v/>
      </c>
      <c r="AC247" s="158">
        <v>3925.090909090909</v>
      </c>
      <c r="AD247" s="173" t="str">
        <f ca="1">IFERROR(__xludf.DUMMYFUNCTION("""COMPUTED_VALUE"""),"2025-08")</f>
        <v>2025-08</v>
      </c>
      <c r="AE247" s="154" t="str">
        <v/>
      </c>
      <c r="AF247" s="154" t="str">
        <v/>
      </c>
    </row>
    <row r="248" spans="1:32" ht="15">
      <c r="A248" s="175">
        <v>45871</v>
      </c>
      <c r="B248" s="145" t="s">
        <v>115</v>
      </c>
      <c r="C248" s="169">
        <v>24432</v>
      </c>
      <c r="D248" s="145">
        <v>1</v>
      </c>
      <c r="E248" s="145"/>
      <c r="F248" s="169" t="e">
        <v>#VALUE!</v>
      </c>
      <c r="G248" s="145"/>
      <c r="H248" s="145"/>
      <c r="I248" s="145"/>
      <c r="J248" s="145"/>
      <c r="K248" s="145"/>
      <c r="L248" s="145"/>
      <c r="M248" s="145"/>
      <c r="N248" s="145"/>
      <c r="O248" s="174"/>
      <c r="P248" s="174"/>
      <c r="Q248" s="158" t="str">
        <v/>
      </c>
      <c r="R248" s="158" t="str">
        <v/>
      </c>
      <c r="S248" s="158" t="str">
        <v/>
      </c>
      <c r="T248" s="158" t="str">
        <v/>
      </c>
      <c r="U248" s="158" t="str">
        <v/>
      </c>
      <c r="V248" s="158" t="str">
        <v/>
      </c>
      <c r="W248" s="158" t="str">
        <v/>
      </c>
      <c r="X248" s="158" t="str">
        <v/>
      </c>
      <c r="Y248" s="158" t="str">
        <v/>
      </c>
      <c r="Z248" s="158" t="str">
        <v/>
      </c>
      <c r="AA248" s="158" t="e">
        <v>#VALUE!</v>
      </c>
      <c r="AB248" s="171" t="str">
        <v/>
      </c>
      <c r="AC248" s="158">
        <v>24432</v>
      </c>
      <c r="AD248" s="173" t="str">
        <f ca="1">IFERROR(__xludf.DUMMYFUNCTION("""COMPUTED_VALUE"""),"2025-08")</f>
        <v>2025-08</v>
      </c>
      <c r="AE248" s="154" t="str">
        <v/>
      </c>
      <c r="AF248" s="154" t="str">
        <v/>
      </c>
    </row>
    <row r="249" spans="1:32" ht="15">
      <c r="A249" s="175">
        <v>45871</v>
      </c>
      <c r="B249" s="145" t="s">
        <v>61</v>
      </c>
      <c r="C249" s="169">
        <v>110937</v>
      </c>
      <c r="D249" s="145">
        <v>4</v>
      </c>
      <c r="E249" s="145"/>
      <c r="F249" s="169" t="e">
        <v>#VALUE!</v>
      </c>
      <c r="G249" s="145"/>
      <c r="H249" s="145"/>
      <c r="I249" s="145"/>
      <c r="J249" s="145"/>
      <c r="K249" s="145"/>
      <c r="L249" s="145"/>
      <c r="M249" s="145"/>
      <c r="N249" s="145"/>
      <c r="O249" s="174"/>
      <c r="P249" s="174"/>
      <c r="Q249" s="158" t="str">
        <v/>
      </c>
      <c r="R249" s="158" t="str">
        <v/>
      </c>
      <c r="S249" s="158" t="str">
        <v/>
      </c>
      <c r="T249" s="158" t="str">
        <v/>
      </c>
      <c r="U249" s="158" t="str">
        <v/>
      </c>
      <c r="V249" s="158" t="str">
        <v/>
      </c>
      <c r="W249" s="158" t="str">
        <v/>
      </c>
      <c r="X249" s="158" t="str">
        <v/>
      </c>
      <c r="Y249" s="158" t="str">
        <v/>
      </c>
      <c r="Z249" s="158" t="str">
        <v/>
      </c>
      <c r="AA249" s="158" t="e">
        <v>#VALUE!</v>
      </c>
      <c r="AB249" s="171" t="str">
        <v/>
      </c>
      <c r="AC249" s="158">
        <v>27734.25</v>
      </c>
      <c r="AD249" s="173" t="str">
        <f ca="1">IFERROR(__xludf.DUMMYFUNCTION("""COMPUTED_VALUE"""),"2025-08")</f>
        <v>2025-08</v>
      </c>
      <c r="AE249" s="154" t="str">
        <v/>
      </c>
      <c r="AF249" s="154" t="str">
        <v/>
      </c>
    </row>
    <row r="250" spans="1:32" ht="15">
      <c r="A250" s="175">
        <v>45873</v>
      </c>
      <c r="B250" s="145" t="s">
        <v>1229</v>
      </c>
      <c r="C250" s="169">
        <v>45745</v>
      </c>
      <c r="D250" s="145">
        <v>2</v>
      </c>
      <c r="E250" s="145"/>
      <c r="F250" s="169" t="e">
        <v>#VALUE!</v>
      </c>
      <c r="G250" s="145"/>
      <c r="H250" s="145"/>
      <c r="I250" s="145"/>
      <c r="J250" s="145"/>
      <c r="K250" s="145"/>
      <c r="L250" s="145"/>
      <c r="M250" s="145"/>
      <c r="N250" s="145"/>
      <c r="O250" s="174"/>
      <c r="P250" s="174"/>
      <c r="Q250" s="158" t="str">
        <v/>
      </c>
      <c r="R250" s="158" t="str">
        <v/>
      </c>
      <c r="S250" s="158" t="str">
        <v/>
      </c>
      <c r="T250" s="158" t="str">
        <v/>
      </c>
      <c r="U250" s="158" t="str">
        <v/>
      </c>
      <c r="V250" s="158" t="str">
        <v/>
      </c>
      <c r="W250" s="158" t="str">
        <v/>
      </c>
      <c r="X250" s="158" t="str">
        <v/>
      </c>
      <c r="Y250" s="158" t="str">
        <v/>
      </c>
      <c r="Z250" s="158" t="str">
        <v/>
      </c>
      <c r="AA250" s="158" t="e">
        <v>#VALUE!</v>
      </c>
      <c r="AB250" s="171" t="str">
        <v/>
      </c>
      <c r="AC250" s="158">
        <v>22872.5</v>
      </c>
      <c r="AD250" s="173" t="str">
        <f ca="1">IFERROR(__xludf.DUMMYFUNCTION("""COMPUTED_VALUE"""),"2025-08")</f>
        <v>2025-08</v>
      </c>
      <c r="AE250" s="154" t="str">
        <v/>
      </c>
      <c r="AF250" s="154" t="str">
        <v/>
      </c>
    </row>
    <row r="251" spans="1:32" ht="15">
      <c r="A251" s="175">
        <v>45873</v>
      </c>
      <c r="B251" s="145" t="s">
        <v>115</v>
      </c>
      <c r="C251" s="169">
        <v>57659</v>
      </c>
      <c r="D251" s="145">
        <v>11</v>
      </c>
      <c r="E251" s="145"/>
      <c r="F251" s="169" t="e">
        <v>#VALUE!</v>
      </c>
      <c r="G251" s="145"/>
      <c r="H251" s="145"/>
      <c r="I251" s="145"/>
      <c r="J251" s="145"/>
      <c r="K251" s="145"/>
      <c r="L251" s="145"/>
      <c r="M251" s="145"/>
      <c r="N251" s="145"/>
      <c r="O251" s="174"/>
      <c r="P251" s="174"/>
      <c r="Q251" s="158" t="str">
        <v/>
      </c>
      <c r="R251" s="158" t="str">
        <v/>
      </c>
      <c r="S251" s="158" t="str">
        <v/>
      </c>
      <c r="T251" s="158" t="str">
        <v/>
      </c>
      <c r="U251" s="158" t="str">
        <v/>
      </c>
      <c r="V251" s="158" t="str">
        <v/>
      </c>
      <c r="W251" s="158" t="str">
        <v/>
      </c>
      <c r="X251" s="158" t="str">
        <v/>
      </c>
      <c r="Y251" s="158" t="str">
        <v/>
      </c>
      <c r="Z251" s="158" t="str">
        <v/>
      </c>
      <c r="AA251" s="158" t="e">
        <v>#VALUE!</v>
      </c>
      <c r="AB251" s="171" t="str">
        <v/>
      </c>
      <c r="AC251" s="158">
        <v>5241.727272727273</v>
      </c>
      <c r="AD251" s="173" t="str">
        <f ca="1">IFERROR(__xludf.DUMMYFUNCTION("""COMPUTED_VALUE"""),"2025-08")</f>
        <v>2025-08</v>
      </c>
      <c r="AE251" s="154" t="str">
        <v/>
      </c>
      <c r="AF251" s="154" t="str">
        <v/>
      </c>
    </row>
    <row r="252" spans="1:32" ht="15">
      <c r="A252" s="175">
        <v>45873</v>
      </c>
      <c r="B252" s="145" t="s">
        <v>61</v>
      </c>
      <c r="C252" s="169">
        <v>56069</v>
      </c>
      <c r="D252" s="145">
        <v>4</v>
      </c>
      <c r="E252" s="145"/>
      <c r="F252" s="169" t="e">
        <v>#VALUE!</v>
      </c>
      <c r="G252" s="145"/>
      <c r="H252" s="145"/>
      <c r="I252" s="145"/>
      <c r="J252" s="145"/>
      <c r="K252" s="145"/>
      <c r="L252" s="145"/>
      <c r="M252" s="145"/>
      <c r="N252" s="145"/>
      <c r="O252" s="174"/>
      <c r="P252" s="174"/>
      <c r="Q252" s="158" t="str">
        <v/>
      </c>
      <c r="R252" s="158" t="str">
        <v/>
      </c>
      <c r="S252" s="158" t="str">
        <v/>
      </c>
      <c r="T252" s="158" t="str">
        <v/>
      </c>
      <c r="U252" s="158" t="str">
        <v/>
      </c>
      <c r="V252" s="158" t="str">
        <v/>
      </c>
      <c r="W252" s="158" t="str">
        <v/>
      </c>
      <c r="X252" s="158" t="str">
        <v/>
      </c>
      <c r="Y252" s="158" t="str">
        <v/>
      </c>
      <c r="Z252" s="158" t="str">
        <v/>
      </c>
      <c r="AA252" s="158" t="e">
        <v>#VALUE!</v>
      </c>
      <c r="AB252" s="171" t="str">
        <v/>
      </c>
      <c r="AC252" s="158">
        <v>14017.25</v>
      </c>
      <c r="AD252" s="173" t="str">
        <f ca="1">IFERROR(__xludf.DUMMYFUNCTION("""COMPUTED_VALUE"""),"2025-08")</f>
        <v>2025-08</v>
      </c>
      <c r="AE252" s="154" t="str">
        <v/>
      </c>
      <c r="AF252" s="154" t="str">
        <v/>
      </c>
    </row>
    <row r="253" spans="1:32" ht="15">
      <c r="A253" s="175">
        <v>45874</v>
      </c>
      <c r="B253" s="145" t="s">
        <v>1774</v>
      </c>
      <c r="C253" s="169">
        <v>2483</v>
      </c>
      <c r="D253" s="145">
        <v>0</v>
      </c>
      <c r="E253" s="145"/>
      <c r="F253" s="169" t="e">
        <v>#VALUE!</v>
      </c>
      <c r="G253" s="145"/>
      <c r="H253" s="145"/>
      <c r="I253" s="145"/>
      <c r="J253" s="145"/>
      <c r="K253" s="145"/>
      <c r="L253" s="145"/>
      <c r="M253" s="145"/>
      <c r="N253" s="145"/>
      <c r="O253" s="174"/>
      <c r="P253" s="174"/>
      <c r="Q253" s="158" t="str">
        <v/>
      </c>
      <c r="R253" s="158" t="str">
        <v/>
      </c>
      <c r="S253" s="158" t="str">
        <v/>
      </c>
      <c r="T253" s="158" t="str">
        <v/>
      </c>
      <c r="U253" s="158" t="str">
        <v/>
      </c>
      <c r="V253" s="158" t="str">
        <v/>
      </c>
      <c r="W253" s="158" t="str">
        <v/>
      </c>
      <c r="X253" s="158" t="str">
        <v/>
      </c>
      <c r="Y253" s="158" t="str">
        <v/>
      </c>
      <c r="Z253" s="158" t="str">
        <v/>
      </c>
      <c r="AA253" s="158" t="e">
        <v>#VALUE!</v>
      </c>
      <c r="AB253" s="171" t="str">
        <v/>
      </c>
      <c r="AC253" s="158" t="str">
        <v/>
      </c>
      <c r="AD253" s="173" t="str">
        <f ca="1">IFERROR(__xludf.DUMMYFUNCTION("""COMPUTED_VALUE"""),"2025-08")</f>
        <v>2025-08</v>
      </c>
      <c r="AE253" s="154" t="str">
        <v/>
      </c>
      <c r="AF253" s="154" t="str">
        <v/>
      </c>
    </row>
    <row r="254" spans="1:32" ht="15">
      <c r="A254" s="175">
        <v>45874</v>
      </c>
      <c r="B254" s="145" t="s">
        <v>1229</v>
      </c>
      <c r="C254" s="169">
        <v>38449</v>
      </c>
      <c r="D254" s="145">
        <v>2</v>
      </c>
      <c r="E254" s="145"/>
      <c r="F254" s="169" t="e">
        <v>#VALUE!</v>
      </c>
      <c r="G254" s="145"/>
      <c r="H254" s="145"/>
      <c r="I254" s="145"/>
      <c r="J254" s="145"/>
      <c r="K254" s="145"/>
      <c r="L254" s="145"/>
      <c r="M254" s="145"/>
      <c r="N254" s="145"/>
      <c r="O254" s="174"/>
      <c r="P254" s="174"/>
      <c r="Q254" s="158" t="str">
        <v/>
      </c>
      <c r="R254" s="158" t="str">
        <v/>
      </c>
      <c r="S254" s="158" t="str">
        <v/>
      </c>
      <c r="T254" s="158" t="str">
        <v/>
      </c>
      <c r="U254" s="158" t="str">
        <v/>
      </c>
      <c r="V254" s="158" t="str">
        <v/>
      </c>
      <c r="W254" s="158" t="str">
        <v/>
      </c>
      <c r="X254" s="158" t="str">
        <v/>
      </c>
      <c r="Y254" s="158" t="str">
        <v/>
      </c>
      <c r="Z254" s="158" t="str">
        <v/>
      </c>
      <c r="AA254" s="158" t="e">
        <v>#VALUE!</v>
      </c>
      <c r="AB254" s="171" t="str">
        <v/>
      </c>
      <c r="AC254" s="158">
        <v>19224.5</v>
      </c>
      <c r="AD254" s="173" t="str">
        <f ca="1">IFERROR(__xludf.DUMMYFUNCTION("""COMPUTED_VALUE"""),"2025-08")</f>
        <v>2025-08</v>
      </c>
      <c r="AE254" s="154" t="str">
        <v/>
      </c>
      <c r="AF254" s="154" t="str">
        <v/>
      </c>
    </row>
    <row r="255" spans="1:32" ht="15">
      <c r="A255" s="175">
        <v>45874</v>
      </c>
      <c r="B255" s="145" t="s">
        <v>115</v>
      </c>
      <c r="C255" s="169">
        <v>71220</v>
      </c>
      <c r="D255" s="145">
        <v>5</v>
      </c>
      <c r="E255" s="145"/>
      <c r="F255" s="169" t="e">
        <v>#VALUE!</v>
      </c>
      <c r="G255" s="145"/>
      <c r="H255" s="145"/>
      <c r="I255" s="145"/>
      <c r="J255" s="145"/>
      <c r="K255" s="145"/>
      <c r="L255" s="145"/>
      <c r="M255" s="145"/>
      <c r="N255" s="145"/>
      <c r="O255" s="174"/>
      <c r="P255" s="174"/>
      <c r="Q255" s="158" t="str">
        <v/>
      </c>
      <c r="R255" s="158" t="str">
        <v/>
      </c>
      <c r="S255" s="158" t="str">
        <v/>
      </c>
      <c r="T255" s="158" t="str">
        <v/>
      </c>
      <c r="U255" s="158" t="str">
        <v/>
      </c>
      <c r="V255" s="158" t="str">
        <v/>
      </c>
      <c r="W255" s="158" t="str">
        <v/>
      </c>
      <c r="X255" s="158" t="str">
        <v/>
      </c>
      <c r="Y255" s="158" t="str">
        <v/>
      </c>
      <c r="Z255" s="158" t="str">
        <v/>
      </c>
      <c r="AA255" s="158" t="e">
        <v>#VALUE!</v>
      </c>
      <c r="AB255" s="171" t="str">
        <v/>
      </c>
      <c r="AC255" s="158">
        <v>14244</v>
      </c>
      <c r="AD255" s="173" t="str">
        <f ca="1">IFERROR(__xludf.DUMMYFUNCTION("""COMPUTED_VALUE"""),"2025-08")</f>
        <v>2025-08</v>
      </c>
      <c r="AE255" s="154" t="str">
        <v/>
      </c>
      <c r="AF255" s="154" t="str">
        <v/>
      </c>
    </row>
    <row r="256" spans="1:32" ht="15">
      <c r="A256" s="175">
        <v>45874</v>
      </c>
      <c r="B256" s="145" t="s">
        <v>61</v>
      </c>
      <c r="C256" s="169">
        <v>238226</v>
      </c>
      <c r="D256" s="145">
        <v>39</v>
      </c>
      <c r="E256" s="145"/>
      <c r="F256" s="169" t="e">
        <v>#VALUE!</v>
      </c>
      <c r="G256" s="145"/>
      <c r="H256" s="145"/>
      <c r="I256" s="145"/>
      <c r="J256" s="145"/>
      <c r="K256" s="145"/>
      <c r="L256" s="145"/>
      <c r="M256" s="145"/>
      <c r="N256" s="145"/>
      <c r="O256" s="174"/>
      <c r="P256" s="174"/>
      <c r="Q256" s="158" t="str">
        <v/>
      </c>
      <c r="R256" s="158" t="str">
        <v/>
      </c>
      <c r="S256" s="158" t="str">
        <v/>
      </c>
      <c r="T256" s="158" t="str">
        <v/>
      </c>
      <c r="U256" s="158" t="str">
        <v/>
      </c>
      <c r="V256" s="158" t="str">
        <v/>
      </c>
      <c r="W256" s="158" t="str">
        <v/>
      </c>
      <c r="X256" s="158" t="str">
        <v/>
      </c>
      <c r="Y256" s="158" t="str">
        <v/>
      </c>
      <c r="Z256" s="158" t="str">
        <v/>
      </c>
      <c r="AA256" s="158" t="e">
        <v>#VALUE!</v>
      </c>
      <c r="AB256" s="171" t="str">
        <v/>
      </c>
      <c r="AC256" s="158">
        <v>6108.3589743589746</v>
      </c>
      <c r="AD256" s="173" t="str">
        <f ca="1">IFERROR(__xludf.DUMMYFUNCTION("""COMPUTED_VALUE"""),"2025-08")</f>
        <v>2025-08</v>
      </c>
      <c r="AE256" s="154" t="str">
        <v/>
      </c>
      <c r="AF256" s="154" t="str">
        <v/>
      </c>
    </row>
    <row r="257" spans="1:32" ht="15">
      <c r="A257" s="175">
        <v>45875</v>
      </c>
      <c r="B257" s="145" t="s">
        <v>1774</v>
      </c>
      <c r="C257" s="169">
        <v>821</v>
      </c>
      <c r="D257" s="145">
        <v>0</v>
      </c>
      <c r="E257" s="145"/>
      <c r="F257" s="169" t="e">
        <v>#VALUE!</v>
      </c>
      <c r="G257" s="145"/>
      <c r="H257" s="145"/>
      <c r="I257" s="145"/>
      <c r="J257" s="145"/>
      <c r="K257" s="145"/>
      <c r="L257" s="145"/>
      <c r="M257" s="145"/>
      <c r="N257" s="145"/>
      <c r="O257" s="174"/>
      <c r="P257" s="174"/>
      <c r="Q257" s="158" t="str">
        <v/>
      </c>
      <c r="R257" s="158" t="str">
        <v/>
      </c>
      <c r="S257" s="158" t="str">
        <v/>
      </c>
      <c r="T257" s="158" t="str">
        <v/>
      </c>
      <c r="U257" s="158" t="str">
        <v/>
      </c>
      <c r="V257" s="158" t="str">
        <v/>
      </c>
      <c r="W257" s="158" t="str">
        <v/>
      </c>
      <c r="X257" s="158" t="str">
        <v/>
      </c>
      <c r="Y257" s="158" t="str">
        <v/>
      </c>
      <c r="Z257" s="158" t="str">
        <v/>
      </c>
      <c r="AA257" s="158" t="e">
        <v>#VALUE!</v>
      </c>
      <c r="AB257" s="171" t="str">
        <v/>
      </c>
      <c r="AC257" s="158" t="str">
        <v/>
      </c>
      <c r="AD257" s="173" t="str">
        <f ca="1">IFERROR(__xludf.DUMMYFUNCTION("""COMPUTED_VALUE"""),"2025-08")</f>
        <v>2025-08</v>
      </c>
      <c r="AE257" s="154" t="str">
        <v/>
      </c>
      <c r="AF257" s="154" t="str">
        <v/>
      </c>
    </row>
    <row r="258" spans="1:32" ht="15">
      <c r="A258" s="175">
        <v>45875</v>
      </c>
      <c r="B258" s="145" t="s">
        <v>1229</v>
      </c>
      <c r="C258" s="169">
        <v>204294</v>
      </c>
      <c r="D258" s="145">
        <v>45</v>
      </c>
      <c r="E258" s="145"/>
      <c r="F258" s="169" t="e">
        <v>#VALUE!</v>
      </c>
      <c r="G258" s="145"/>
      <c r="H258" s="145"/>
      <c r="I258" s="145"/>
      <c r="J258" s="145"/>
      <c r="K258" s="145"/>
      <c r="L258" s="145"/>
      <c r="M258" s="145"/>
      <c r="N258" s="145"/>
      <c r="O258" s="174"/>
      <c r="P258" s="174"/>
      <c r="Q258" s="158" t="str">
        <v/>
      </c>
      <c r="R258" s="158" t="str">
        <v/>
      </c>
      <c r="S258" s="158" t="str">
        <v/>
      </c>
      <c r="T258" s="158" t="str">
        <v/>
      </c>
      <c r="U258" s="158" t="str">
        <v/>
      </c>
      <c r="V258" s="158" t="str">
        <v/>
      </c>
      <c r="W258" s="158" t="str">
        <v/>
      </c>
      <c r="X258" s="158" t="str">
        <v/>
      </c>
      <c r="Y258" s="158" t="str">
        <v/>
      </c>
      <c r="Z258" s="158" t="str">
        <v/>
      </c>
      <c r="AA258" s="158" t="e">
        <v>#VALUE!</v>
      </c>
      <c r="AB258" s="171" t="str">
        <v/>
      </c>
      <c r="AC258" s="158">
        <v>4539.8666666666668</v>
      </c>
      <c r="AD258" s="173" t="str">
        <f ca="1">IFERROR(__xludf.DUMMYFUNCTION("""COMPUTED_VALUE"""),"2025-08")</f>
        <v>2025-08</v>
      </c>
      <c r="AE258" s="154" t="str">
        <v/>
      </c>
      <c r="AF258" s="154" t="str">
        <v/>
      </c>
    </row>
    <row r="259" spans="1:32" ht="15">
      <c r="A259" s="175">
        <v>45875</v>
      </c>
      <c r="B259" s="145" t="s">
        <v>61</v>
      </c>
      <c r="C259" s="169">
        <v>104578</v>
      </c>
      <c r="D259" s="145">
        <v>15</v>
      </c>
      <c r="E259" s="145"/>
      <c r="F259" s="169" t="e">
        <v>#VALUE!</v>
      </c>
      <c r="G259" s="145"/>
      <c r="H259" s="145"/>
      <c r="I259" s="145"/>
      <c r="J259" s="145"/>
      <c r="K259" s="145"/>
      <c r="L259" s="145"/>
      <c r="M259" s="145"/>
      <c r="N259" s="145"/>
      <c r="O259" s="174"/>
      <c r="P259" s="174"/>
      <c r="Q259" s="158" t="str">
        <v/>
      </c>
      <c r="R259" s="158" t="str">
        <v/>
      </c>
      <c r="S259" s="158" t="str">
        <v/>
      </c>
      <c r="T259" s="158" t="str">
        <v/>
      </c>
      <c r="U259" s="158" t="str">
        <v/>
      </c>
      <c r="V259" s="158" t="str">
        <v/>
      </c>
      <c r="W259" s="158" t="str">
        <v/>
      </c>
      <c r="X259" s="158" t="str">
        <v/>
      </c>
      <c r="Y259" s="158" t="str">
        <v/>
      </c>
      <c r="Z259" s="158" t="str">
        <v/>
      </c>
      <c r="AA259" s="158" t="e">
        <v>#VALUE!</v>
      </c>
      <c r="AB259" s="171" t="str">
        <v/>
      </c>
      <c r="AC259" s="158">
        <v>6971.8666666666668</v>
      </c>
      <c r="AD259" s="173" t="str">
        <f ca="1">IFERROR(__xludf.DUMMYFUNCTION("""COMPUTED_VALUE"""),"2025-08")</f>
        <v>2025-08</v>
      </c>
      <c r="AE259" s="154" t="str">
        <v/>
      </c>
      <c r="AF259" s="154" t="str">
        <v/>
      </c>
    </row>
    <row r="260" spans="1:32" ht="15">
      <c r="A260" s="175">
        <v>45876</v>
      </c>
      <c r="B260" s="145" t="s">
        <v>1229</v>
      </c>
      <c r="C260" s="169">
        <v>64625</v>
      </c>
      <c r="D260" s="145">
        <v>6</v>
      </c>
      <c r="E260" s="145"/>
      <c r="F260" s="169" t="e">
        <v>#VALUE!</v>
      </c>
      <c r="G260" s="145"/>
      <c r="H260" s="145"/>
      <c r="I260" s="145"/>
      <c r="J260" s="145"/>
      <c r="K260" s="145"/>
      <c r="L260" s="145"/>
      <c r="M260" s="145"/>
      <c r="N260" s="145"/>
      <c r="O260" s="174"/>
      <c r="P260" s="174"/>
      <c r="Q260" s="158" t="str">
        <v/>
      </c>
      <c r="R260" s="158" t="str">
        <v/>
      </c>
      <c r="S260" s="158" t="str">
        <v/>
      </c>
      <c r="T260" s="158" t="str">
        <v/>
      </c>
      <c r="U260" s="158" t="str">
        <v/>
      </c>
      <c r="V260" s="158" t="str">
        <v/>
      </c>
      <c r="W260" s="158" t="str">
        <v/>
      </c>
      <c r="X260" s="158" t="str">
        <v/>
      </c>
      <c r="Y260" s="158" t="str">
        <v/>
      </c>
      <c r="Z260" s="158" t="str">
        <v/>
      </c>
      <c r="AA260" s="158" t="e">
        <v>#VALUE!</v>
      </c>
      <c r="AB260" s="171" t="str">
        <v/>
      </c>
      <c r="AC260" s="158">
        <v>10770.833333333334</v>
      </c>
      <c r="AD260" s="173" t="str">
        <f ca="1">IFERROR(__xludf.DUMMYFUNCTION("""COMPUTED_VALUE"""),"2025-08")</f>
        <v>2025-08</v>
      </c>
      <c r="AE260" s="154" t="str">
        <v/>
      </c>
      <c r="AF260" s="154" t="str">
        <v/>
      </c>
    </row>
    <row r="261" spans="1:32" ht="15">
      <c r="A261" s="175">
        <v>45876</v>
      </c>
      <c r="B261" s="145" t="s">
        <v>61</v>
      </c>
      <c r="C261" s="169">
        <v>112145</v>
      </c>
      <c r="D261" s="145">
        <v>22</v>
      </c>
      <c r="E261" s="145"/>
      <c r="F261" s="169" t="e">
        <v>#VALUE!</v>
      </c>
      <c r="G261" s="145"/>
      <c r="H261" s="145"/>
      <c r="I261" s="145"/>
      <c r="J261" s="145"/>
      <c r="K261" s="145"/>
      <c r="L261" s="145"/>
      <c r="M261" s="145"/>
      <c r="N261" s="145"/>
      <c r="O261" s="174"/>
      <c r="P261" s="174"/>
      <c r="Q261" s="158" t="str">
        <v/>
      </c>
      <c r="R261" s="158" t="str">
        <v/>
      </c>
      <c r="S261" s="158" t="str">
        <v/>
      </c>
      <c r="T261" s="158" t="str">
        <v/>
      </c>
      <c r="U261" s="158" t="str">
        <v/>
      </c>
      <c r="V261" s="158" t="str">
        <v/>
      </c>
      <c r="W261" s="158" t="str">
        <v/>
      </c>
      <c r="X261" s="158" t="str">
        <v/>
      </c>
      <c r="Y261" s="158" t="str">
        <v/>
      </c>
      <c r="Z261" s="158" t="str">
        <v/>
      </c>
      <c r="AA261" s="158" t="e">
        <v>#VALUE!</v>
      </c>
      <c r="AB261" s="171" t="str">
        <v/>
      </c>
      <c r="AC261" s="158">
        <v>5097.5</v>
      </c>
      <c r="AD261" s="173" t="str">
        <f ca="1">IFERROR(__xludf.DUMMYFUNCTION("""COMPUTED_VALUE"""),"2025-08")</f>
        <v>2025-08</v>
      </c>
      <c r="AE261" s="154" t="str">
        <v/>
      </c>
      <c r="AF261" s="154" t="str">
        <v/>
      </c>
    </row>
    <row r="262" spans="1:32" ht="15">
      <c r="A262" s="175">
        <v>45877</v>
      </c>
      <c r="B262" s="145" t="s">
        <v>115</v>
      </c>
      <c r="C262" s="169">
        <v>74362</v>
      </c>
      <c r="D262" s="145">
        <v>16</v>
      </c>
      <c r="E262" s="145"/>
      <c r="F262" s="169" t="e">
        <v>#VALUE!</v>
      </c>
      <c r="G262" s="145"/>
      <c r="H262" s="145"/>
      <c r="I262" s="145"/>
      <c r="J262" s="145"/>
      <c r="K262" s="145"/>
      <c r="L262" s="145"/>
      <c r="M262" s="145"/>
      <c r="N262" s="145"/>
      <c r="O262" s="174"/>
      <c r="P262" s="174"/>
      <c r="Q262" s="158" t="str">
        <v/>
      </c>
      <c r="R262" s="158" t="str">
        <v/>
      </c>
      <c r="S262" s="158" t="str">
        <v/>
      </c>
      <c r="T262" s="158" t="str">
        <v/>
      </c>
      <c r="U262" s="158" t="str">
        <v/>
      </c>
      <c r="V262" s="158" t="str">
        <v/>
      </c>
      <c r="W262" s="158" t="str">
        <v/>
      </c>
      <c r="X262" s="158" t="str">
        <v/>
      </c>
      <c r="Y262" s="158" t="str">
        <v/>
      </c>
      <c r="Z262" s="158" t="str">
        <v/>
      </c>
      <c r="AA262" s="158" t="e">
        <v>#VALUE!</v>
      </c>
      <c r="AB262" s="171" t="str">
        <v/>
      </c>
      <c r="AC262" s="158">
        <v>4647.625</v>
      </c>
      <c r="AD262" s="173" t="str">
        <f ca="1">IFERROR(__xludf.DUMMYFUNCTION("""COMPUTED_VALUE"""),"2025-08")</f>
        <v>2025-08</v>
      </c>
      <c r="AE262" s="154" t="str">
        <v/>
      </c>
      <c r="AF262" s="154" t="str">
        <v/>
      </c>
    </row>
    <row r="263" spans="1:32" ht="15">
      <c r="A263" s="175">
        <v>45877</v>
      </c>
      <c r="B263" s="145" t="s">
        <v>61</v>
      </c>
      <c r="C263" s="169">
        <v>125962</v>
      </c>
      <c r="D263" s="145">
        <v>19</v>
      </c>
      <c r="E263" s="145"/>
      <c r="F263" s="169" t="e">
        <v>#VALUE!</v>
      </c>
      <c r="G263" s="145"/>
      <c r="H263" s="145"/>
      <c r="I263" s="145"/>
      <c r="J263" s="145"/>
      <c r="K263" s="145"/>
      <c r="L263" s="145"/>
      <c r="M263" s="145"/>
      <c r="N263" s="145"/>
      <c r="O263" s="174"/>
      <c r="P263" s="174"/>
      <c r="Q263" s="158" t="str">
        <v/>
      </c>
      <c r="R263" s="158" t="str">
        <v/>
      </c>
      <c r="S263" s="158" t="str">
        <v/>
      </c>
      <c r="T263" s="158" t="str">
        <v/>
      </c>
      <c r="U263" s="158" t="str">
        <v/>
      </c>
      <c r="V263" s="158" t="str">
        <v/>
      </c>
      <c r="W263" s="158" t="str">
        <v/>
      </c>
      <c r="X263" s="158" t="str">
        <v/>
      </c>
      <c r="Y263" s="158" t="str">
        <v/>
      </c>
      <c r="Z263" s="158" t="str">
        <v/>
      </c>
      <c r="AA263" s="158" t="e">
        <v>#VALUE!</v>
      </c>
      <c r="AB263" s="171" t="str">
        <v/>
      </c>
      <c r="AC263" s="158">
        <v>6629.5789473684208</v>
      </c>
      <c r="AD263" s="173" t="str">
        <f ca="1">IFERROR(__xludf.DUMMYFUNCTION("""COMPUTED_VALUE"""),"2025-08")</f>
        <v>2025-08</v>
      </c>
      <c r="AE263" s="154" t="str">
        <v/>
      </c>
      <c r="AF263" s="154" t="str">
        <v/>
      </c>
    </row>
    <row r="264" spans="1:32" ht="15">
      <c r="A264" s="175">
        <v>45877</v>
      </c>
      <c r="B264" s="145" t="s">
        <v>1229</v>
      </c>
      <c r="C264" s="169">
        <v>31758</v>
      </c>
      <c r="D264" s="145">
        <v>0</v>
      </c>
      <c r="E264" s="145"/>
      <c r="F264" s="169" t="e">
        <v>#VALUE!</v>
      </c>
      <c r="G264" s="145"/>
      <c r="H264" s="145"/>
      <c r="I264" s="145"/>
      <c r="J264" s="145"/>
      <c r="K264" s="145"/>
      <c r="L264" s="145"/>
      <c r="M264" s="145"/>
      <c r="N264" s="145"/>
      <c r="O264" s="174"/>
      <c r="P264" s="174"/>
      <c r="Q264" s="158" t="str">
        <v/>
      </c>
      <c r="R264" s="158" t="str">
        <v/>
      </c>
      <c r="S264" s="158" t="str">
        <v/>
      </c>
      <c r="T264" s="158" t="str">
        <v/>
      </c>
      <c r="U264" s="158" t="str">
        <v/>
      </c>
      <c r="V264" s="158" t="str">
        <v/>
      </c>
      <c r="W264" s="158" t="str">
        <v/>
      </c>
      <c r="X264" s="158" t="str">
        <v/>
      </c>
      <c r="Y264" s="158" t="str">
        <v/>
      </c>
      <c r="Z264" s="158" t="str">
        <v/>
      </c>
      <c r="AA264" s="158" t="e">
        <v>#VALUE!</v>
      </c>
      <c r="AB264" s="171" t="str">
        <v/>
      </c>
      <c r="AC264" s="158" t="str">
        <v/>
      </c>
      <c r="AD264" s="173" t="str">
        <f ca="1">IFERROR(__xludf.DUMMYFUNCTION("""COMPUTED_VALUE"""),"2025-08")</f>
        <v>2025-08</v>
      </c>
      <c r="AE264" s="154" t="str">
        <v/>
      </c>
      <c r="AF264" s="154" t="str">
        <v/>
      </c>
    </row>
    <row r="265" spans="1:32" ht="15">
      <c r="A265" s="175">
        <v>45878</v>
      </c>
      <c r="B265" s="145" t="s">
        <v>1229</v>
      </c>
      <c r="C265" s="169">
        <v>199156</v>
      </c>
      <c r="D265" s="145">
        <v>25</v>
      </c>
      <c r="E265" s="145"/>
      <c r="F265" s="169" t="e">
        <v>#VALUE!</v>
      </c>
      <c r="G265" s="145"/>
      <c r="H265" s="145"/>
      <c r="I265" s="145"/>
      <c r="J265" s="145"/>
      <c r="K265" s="145"/>
      <c r="L265" s="145"/>
      <c r="M265" s="145"/>
      <c r="N265" s="145"/>
      <c r="O265" s="174"/>
      <c r="P265" s="174"/>
      <c r="Q265" s="158" t="str">
        <v/>
      </c>
      <c r="R265" s="158" t="str">
        <v/>
      </c>
      <c r="S265" s="158" t="str">
        <v/>
      </c>
      <c r="T265" s="158" t="str">
        <v/>
      </c>
      <c r="U265" s="158" t="str">
        <v/>
      </c>
      <c r="V265" s="158" t="str">
        <v/>
      </c>
      <c r="W265" s="158" t="str">
        <v/>
      </c>
      <c r="X265" s="158" t="str">
        <v/>
      </c>
      <c r="Y265" s="158" t="str">
        <v/>
      </c>
      <c r="Z265" s="158" t="str">
        <v/>
      </c>
      <c r="AA265" s="158" t="e">
        <v>#VALUE!</v>
      </c>
      <c r="AB265" s="171" t="str">
        <v/>
      </c>
      <c r="AC265" s="158">
        <v>7966.24</v>
      </c>
      <c r="AD265" s="173" t="str">
        <f ca="1">IFERROR(__xludf.DUMMYFUNCTION("""COMPUTED_VALUE"""),"2025-08")</f>
        <v>2025-08</v>
      </c>
      <c r="AE265" s="154" t="str">
        <v/>
      </c>
      <c r="AF265" s="154" t="str">
        <v/>
      </c>
    </row>
    <row r="266" spans="1:32" ht="15">
      <c r="A266" s="175">
        <v>45878</v>
      </c>
      <c r="B266" s="145" t="s">
        <v>1774</v>
      </c>
      <c r="C266" s="169">
        <v>177709</v>
      </c>
      <c r="D266" s="145">
        <v>19</v>
      </c>
      <c r="E266" s="145"/>
      <c r="F266" s="169" t="e">
        <v>#VALUE!</v>
      </c>
      <c r="G266" s="145"/>
      <c r="H266" s="145"/>
      <c r="I266" s="145"/>
      <c r="J266" s="145"/>
      <c r="K266" s="145"/>
      <c r="L266" s="145"/>
      <c r="M266" s="145"/>
      <c r="N266" s="145"/>
      <c r="O266" s="174"/>
      <c r="P266" s="174"/>
      <c r="Q266" s="158" t="str">
        <v/>
      </c>
      <c r="R266" s="158" t="str">
        <v/>
      </c>
      <c r="S266" s="158" t="str">
        <v/>
      </c>
      <c r="T266" s="158" t="str">
        <v/>
      </c>
      <c r="U266" s="158" t="str">
        <v/>
      </c>
      <c r="V266" s="158" t="str">
        <v/>
      </c>
      <c r="W266" s="158" t="str">
        <v/>
      </c>
      <c r="X266" s="158" t="str">
        <v/>
      </c>
      <c r="Y266" s="158" t="str">
        <v/>
      </c>
      <c r="Z266" s="158" t="str">
        <v/>
      </c>
      <c r="AA266" s="158" t="e">
        <v>#VALUE!</v>
      </c>
      <c r="AB266" s="171" t="str">
        <v/>
      </c>
      <c r="AC266" s="158">
        <v>9353.105263157895</v>
      </c>
      <c r="AD266" s="173" t="str">
        <f ca="1">IFERROR(__xludf.DUMMYFUNCTION("""COMPUTED_VALUE"""),"2025-08")</f>
        <v>2025-08</v>
      </c>
      <c r="AE266" s="154" t="str">
        <v/>
      </c>
      <c r="AF266" s="154" t="str">
        <v/>
      </c>
    </row>
    <row r="267" spans="1:32" ht="15">
      <c r="A267" s="175">
        <v>45878</v>
      </c>
      <c r="B267" s="145" t="s">
        <v>115</v>
      </c>
      <c r="C267" s="169">
        <v>169431</v>
      </c>
      <c r="D267" s="145">
        <v>17</v>
      </c>
      <c r="E267" s="145"/>
      <c r="F267" s="169" t="e">
        <v>#VALUE!</v>
      </c>
      <c r="G267" s="145"/>
      <c r="H267" s="145"/>
      <c r="I267" s="145"/>
      <c r="J267" s="145"/>
      <c r="K267" s="145"/>
      <c r="L267" s="145"/>
      <c r="M267" s="145"/>
      <c r="N267" s="145"/>
      <c r="O267" s="174"/>
      <c r="P267" s="174"/>
      <c r="Q267" s="158" t="str">
        <v/>
      </c>
      <c r="R267" s="158" t="str">
        <v/>
      </c>
      <c r="S267" s="158" t="str">
        <v/>
      </c>
      <c r="T267" s="158" t="str">
        <v/>
      </c>
      <c r="U267" s="158" t="str">
        <v/>
      </c>
      <c r="V267" s="158" t="str">
        <v/>
      </c>
      <c r="W267" s="158" t="str">
        <v/>
      </c>
      <c r="X267" s="158" t="str">
        <v/>
      </c>
      <c r="Y267" s="158" t="str">
        <v/>
      </c>
      <c r="Z267" s="158" t="str">
        <v/>
      </c>
      <c r="AA267" s="158" t="e">
        <v>#VALUE!</v>
      </c>
      <c r="AB267" s="171" t="str">
        <v/>
      </c>
      <c r="AC267" s="158">
        <v>9966.5294117647063</v>
      </c>
      <c r="AD267" s="173" t="str">
        <f ca="1">IFERROR(__xludf.DUMMYFUNCTION("""COMPUTED_VALUE"""),"2025-08")</f>
        <v>2025-08</v>
      </c>
      <c r="AE267" s="154" t="str">
        <v/>
      </c>
      <c r="AF267" s="154" t="str">
        <v/>
      </c>
    </row>
    <row r="268" spans="1:32" ht="15">
      <c r="A268" s="175">
        <v>45878</v>
      </c>
      <c r="B268" s="145" t="s">
        <v>61</v>
      </c>
      <c r="C268" s="169">
        <v>84660</v>
      </c>
      <c r="D268" s="145">
        <v>8</v>
      </c>
      <c r="E268" s="145"/>
      <c r="F268" s="169" t="e">
        <v>#VALUE!</v>
      </c>
      <c r="G268" s="145"/>
      <c r="H268" s="145"/>
      <c r="I268" s="145"/>
      <c r="J268" s="145"/>
      <c r="K268" s="145"/>
      <c r="L268" s="145"/>
      <c r="M268" s="145"/>
      <c r="N268" s="145"/>
      <c r="O268" s="174"/>
      <c r="P268" s="174"/>
      <c r="Q268" s="158" t="str">
        <v/>
      </c>
      <c r="R268" s="158" t="str">
        <v/>
      </c>
      <c r="S268" s="158" t="str">
        <v/>
      </c>
      <c r="T268" s="158" t="str">
        <v/>
      </c>
      <c r="U268" s="158" t="str">
        <v/>
      </c>
      <c r="V268" s="158" t="str">
        <v/>
      </c>
      <c r="W268" s="158" t="str">
        <v/>
      </c>
      <c r="X268" s="158" t="str">
        <v/>
      </c>
      <c r="Y268" s="158" t="str">
        <v/>
      </c>
      <c r="Z268" s="158" t="str">
        <v/>
      </c>
      <c r="AA268" s="158" t="e">
        <v>#VALUE!</v>
      </c>
      <c r="AB268" s="171" t="str">
        <v/>
      </c>
      <c r="AC268" s="158">
        <v>10582.5</v>
      </c>
      <c r="AD268" s="173" t="str">
        <f ca="1">IFERROR(__xludf.DUMMYFUNCTION("""COMPUTED_VALUE"""),"2025-08")</f>
        <v>2025-08</v>
      </c>
      <c r="AE268" s="154" t="str">
        <v/>
      </c>
      <c r="AF268" s="154" t="str">
        <v/>
      </c>
    </row>
    <row r="269" spans="1:32" ht="15">
      <c r="A269" s="176">
        <v>45880</v>
      </c>
      <c r="B269" s="145" t="s">
        <v>1229</v>
      </c>
      <c r="C269" s="169">
        <v>178288</v>
      </c>
      <c r="D269" s="145">
        <v>24</v>
      </c>
      <c r="E269" s="145"/>
      <c r="F269" s="169" t="e">
        <v>#VALUE!</v>
      </c>
      <c r="G269" s="145"/>
      <c r="H269" s="145"/>
      <c r="I269" s="145"/>
      <c r="J269" s="145"/>
      <c r="K269" s="145"/>
      <c r="L269" s="145"/>
      <c r="M269" s="145"/>
      <c r="N269" s="145"/>
      <c r="O269" s="174"/>
      <c r="P269" s="174"/>
      <c r="Q269" s="158" t="str">
        <v/>
      </c>
      <c r="R269" s="158" t="str">
        <v/>
      </c>
      <c r="S269" s="158" t="str">
        <v/>
      </c>
      <c r="T269" s="158" t="str">
        <v/>
      </c>
      <c r="U269" s="158" t="str">
        <v/>
      </c>
      <c r="V269" s="158" t="str">
        <v/>
      </c>
      <c r="W269" s="158" t="str">
        <v/>
      </c>
      <c r="X269" s="158" t="str">
        <v/>
      </c>
      <c r="Y269" s="158" t="str">
        <v/>
      </c>
      <c r="Z269" s="158" t="str">
        <v/>
      </c>
      <c r="AA269" s="158" t="e">
        <v>#VALUE!</v>
      </c>
      <c r="AB269" s="171" t="str">
        <v/>
      </c>
      <c r="AC269" s="158">
        <v>7428.666666666667</v>
      </c>
      <c r="AD269" s="173" t="str">
        <f ca="1">IFERROR(__xludf.DUMMYFUNCTION("""COMPUTED_VALUE"""),"2025-08")</f>
        <v>2025-08</v>
      </c>
      <c r="AE269" s="154" t="str">
        <v/>
      </c>
      <c r="AF269" s="154" t="str">
        <v/>
      </c>
    </row>
    <row r="270" spans="1:32" ht="15">
      <c r="A270" s="176">
        <v>45880</v>
      </c>
      <c r="B270" s="145" t="s">
        <v>1774</v>
      </c>
      <c r="C270" s="169">
        <v>133511</v>
      </c>
      <c r="D270" s="145">
        <v>20</v>
      </c>
      <c r="E270" s="145"/>
      <c r="F270" s="169" t="e">
        <v>#VALUE!</v>
      </c>
      <c r="G270" s="145"/>
      <c r="H270" s="145"/>
      <c r="I270" s="145"/>
      <c r="J270" s="145"/>
      <c r="K270" s="145"/>
      <c r="L270" s="145"/>
      <c r="M270" s="145"/>
      <c r="N270" s="145"/>
      <c r="O270" s="174"/>
      <c r="P270" s="174"/>
      <c r="Q270" s="158" t="str">
        <v/>
      </c>
      <c r="R270" s="158" t="str">
        <v/>
      </c>
      <c r="S270" s="158" t="str">
        <v/>
      </c>
      <c r="T270" s="158" t="str">
        <v/>
      </c>
      <c r="U270" s="158" t="str">
        <v/>
      </c>
      <c r="V270" s="158" t="str">
        <v/>
      </c>
      <c r="W270" s="158" t="str">
        <v/>
      </c>
      <c r="X270" s="158" t="str">
        <v/>
      </c>
      <c r="Y270" s="158" t="str">
        <v/>
      </c>
      <c r="Z270" s="158" t="str">
        <v/>
      </c>
      <c r="AA270" s="158" t="e">
        <v>#VALUE!</v>
      </c>
      <c r="AB270" s="171" t="str">
        <v/>
      </c>
      <c r="AC270" s="158">
        <v>6675.55</v>
      </c>
      <c r="AD270" s="173" t="str">
        <f ca="1">IFERROR(__xludf.DUMMYFUNCTION("""COMPUTED_VALUE"""),"2025-08")</f>
        <v>2025-08</v>
      </c>
      <c r="AE270" s="154" t="str">
        <v/>
      </c>
      <c r="AF270" s="154" t="str">
        <v/>
      </c>
    </row>
    <row r="271" spans="1:32" ht="15">
      <c r="A271" s="176">
        <v>45880</v>
      </c>
      <c r="B271" s="145" t="s">
        <v>115</v>
      </c>
      <c r="C271" s="169">
        <v>110940</v>
      </c>
      <c r="D271" s="145">
        <v>13</v>
      </c>
      <c r="E271" s="145"/>
      <c r="F271" s="169" t="e">
        <v>#VALUE!</v>
      </c>
      <c r="G271" s="145"/>
      <c r="H271" s="145"/>
      <c r="I271" s="145"/>
      <c r="J271" s="145"/>
      <c r="K271" s="145"/>
      <c r="L271" s="145"/>
      <c r="M271" s="145"/>
      <c r="N271" s="145"/>
      <c r="O271" s="174"/>
      <c r="P271" s="174"/>
      <c r="Q271" s="158" t="str">
        <v/>
      </c>
      <c r="R271" s="158" t="str">
        <v/>
      </c>
      <c r="S271" s="158" t="str">
        <v/>
      </c>
      <c r="T271" s="158" t="str">
        <v/>
      </c>
      <c r="U271" s="158" t="str">
        <v/>
      </c>
      <c r="V271" s="158" t="str">
        <v/>
      </c>
      <c r="W271" s="158" t="str">
        <v/>
      </c>
      <c r="X271" s="158" t="str">
        <v/>
      </c>
      <c r="Y271" s="158" t="str">
        <v/>
      </c>
      <c r="Z271" s="158" t="str">
        <v/>
      </c>
      <c r="AA271" s="158" t="e">
        <v>#VALUE!</v>
      </c>
      <c r="AB271" s="171" t="str">
        <v/>
      </c>
      <c r="AC271" s="158">
        <v>8533.8461538461543</v>
      </c>
      <c r="AD271" s="173" t="str">
        <f ca="1">IFERROR(__xludf.DUMMYFUNCTION("""COMPUTED_VALUE"""),"2025-08")</f>
        <v>2025-08</v>
      </c>
      <c r="AE271" s="154" t="str">
        <v/>
      </c>
      <c r="AF271" s="154" t="str">
        <v/>
      </c>
    </row>
    <row r="272" spans="1:32" ht="15">
      <c r="A272" s="176">
        <v>45880</v>
      </c>
      <c r="B272" s="145" t="s">
        <v>61</v>
      </c>
      <c r="C272" s="169">
        <v>30281</v>
      </c>
      <c r="D272" s="145">
        <v>1</v>
      </c>
      <c r="E272" s="145"/>
      <c r="F272" s="169" t="e">
        <v>#VALUE!</v>
      </c>
      <c r="G272" s="145"/>
      <c r="H272" s="145"/>
      <c r="I272" s="145"/>
      <c r="J272" s="145"/>
      <c r="K272" s="145"/>
      <c r="L272" s="145"/>
      <c r="M272" s="145"/>
      <c r="N272" s="145"/>
      <c r="O272" s="174"/>
      <c r="P272" s="174"/>
      <c r="Q272" s="158" t="str">
        <v/>
      </c>
      <c r="R272" s="158" t="str">
        <v/>
      </c>
      <c r="S272" s="158" t="str">
        <v/>
      </c>
      <c r="T272" s="158" t="str">
        <v/>
      </c>
      <c r="U272" s="158" t="str">
        <v/>
      </c>
      <c r="V272" s="158" t="str">
        <v/>
      </c>
      <c r="W272" s="158" t="str">
        <v/>
      </c>
      <c r="X272" s="158" t="str">
        <v/>
      </c>
      <c r="Y272" s="158" t="str">
        <v/>
      </c>
      <c r="Z272" s="158" t="str">
        <v/>
      </c>
      <c r="AA272" s="158" t="e">
        <v>#VALUE!</v>
      </c>
      <c r="AB272" s="171" t="str">
        <v/>
      </c>
      <c r="AC272" s="158">
        <v>30281</v>
      </c>
      <c r="AD272" s="173" t="str">
        <f ca="1">IFERROR(__xludf.DUMMYFUNCTION("""COMPUTED_VALUE"""),"2025-08")</f>
        <v>2025-08</v>
      </c>
      <c r="AE272" s="154" t="str">
        <v/>
      </c>
      <c r="AF272" s="154" t="str">
        <v/>
      </c>
    </row>
    <row r="273" spans="1:32" ht="15">
      <c r="A273" s="176">
        <v>45881</v>
      </c>
      <c r="B273" s="145" t="s">
        <v>1229</v>
      </c>
      <c r="C273" s="169">
        <v>292446</v>
      </c>
      <c r="D273" s="145">
        <v>40</v>
      </c>
      <c r="E273" s="145"/>
      <c r="F273" s="169" t="e">
        <v>#VALUE!</v>
      </c>
      <c r="G273" s="145"/>
      <c r="H273" s="145"/>
      <c r="I273" s="145"/>
      <c r="J273" s="145"/>
      <c r="K273" s="145"/>
      <c r="L273" s="145"/>
      <c r="M273" s="145"/>
      <c r="N273" s="145"/>
      <c r="O273" s="174"/>
      <c r="P273" s="174"/>
      <c r="Q273" s="158" t="str">
        <v/>
      </c>
      <c r="R273" s="158" t="str">
        <v/>
      </c>
      <c r="S273" s="158" t="str">
        <v/>
      </c>
      <c r="T273" s="158" t="str">
        <v/>
      </c>
      <c r="U273" s="158" t="str">
        <v/>
      </c>
      <c r="V273" s="158" t="str">
        <v/>
      </c>
      <c r="W273" s="158" t="str">
        <v/>
      </c>
      <c r="X273" s="158" t="str">
        <v/>
      </c>
      <c r="Y273" s="158" t="str">
        <v/>
      </c>
      <c r="Z273" s="158" t="str">
        <v/>
      </c>
      <c r="AA273" s="158" t="e">
        <v>#VALUE!</v>
      </c>
      <c r="AB273" s="171" t="str">
        <v/>
      </c>
      <c r="AC273" s="158">
        <v>7311.15</v>
      </c>
      <c r="AD273" s="173" t="str">
        <f ca="1">IFERROR(__xludf.DUMMYFUNCTION("""COMPUTED_VALUE"""),"2025-08")</f>
        <v>2025-08</v>
      </c>
      <c r="AE273" s="154" t="str">
        <v/>
      </c>
      <c r="AF273" s="154" t="str">
        <v/>
      </c>
    </row>
    <row r="274" spans="1:32" ht="15">
      <c r="A274" s="176">
        <v>45881</v>
      </c>
      <c r="B274" s="145" t="s">
        <v>1774</v>
      </c>
      <c r="C274" s="169">
        <v>385569</v>
      </c>
      <c r="D274" s="145">
        <v>57</v>
      </c>
      <c r="E274" s="145"/>
      <c r="F274" s="169" t="e">
        <v>#VALUE!</v>
      </c>
      <c r="G274" s="145"/>
      <c r="H274" s="145"/>
      <c r="I274" s="145"/>
      <c r="J274" s="145"/>
      <c r="K274" s="145"/>
      <c r="L274" s="145"/>
      <c r="M274" s="145"/>
      <c r="N274" s="145"/>
      <c r="O274" s="174"/>
      <c r="P274" s="174"/>
      <c r="Q274" s="158" t="str">
        <v/>
      </c>
      <c r="R274" s="158" t="str">
        <v/>
      </c>
      <c r="S274" s="158" t="str">
        <v/>
      </c>
      <c r="T274" s="158" t="str">
        <v/>
      </c>
      <c r="U274" s="158" t="str">
        <v/>
      </c>
      <c r="V274" s="158" t="str">
        <v/>
      </c>
      <c r="W274" s="158" t="str">
        <v/>
      </c>
      <c r="X274" s="158" t="str">
        <v/>
      </c>
      <c r="Y274" s="158" t="str">
        <v/>
      </c>
      <c r="Z274" s="158" t="str">
        <v/>
      </c>
      <c r="AA274" s="158" t="e">
        <v>#VALUE!</v>
      </c>
      <c r="AB274" s="171" t="str">
        <v/>
      </c>
      <c r="AC274" s="158">
        <v>6764.3684210526317</v>
      </c>
      <c r="AD274" s="173" t="str">
        <f ca="1">IFERROR(__xludf.DUMMYFUNCTION("""COMPUTED_VALUE"""),"2025-08")</f>
        <v>2025-08</v>
      </c>
      <c r="AE274" s="154" t="str">
        <v/>
      </c>
      <c r="AF274" s="154" t="str">
        <v/>
      </c>
    </row>
    <row r="275" spans="1:32" ht="15">
      <c r="A275" s="176">
        <v>45881</v>
      </c>
      <c r="B275" s="145" t="s">
        <v>115</v>
      </c>
      <c r="C275" s="169">
        <v>104176</v>
      </c>
      <c r="D275" s="145">
        <v>7</v>
      </c>
      <c r="E275" s="145"/>
      <c r="F275" s="169" t="e">
        <v>#VALUE!</v>
      </c>
      <c r="G275" s="145"/>
      <c r="H275" s="145"/>
      <c r="I275" s="145"/>
      <c r="J275" s="145"/>
      <c r="K275" s="145"/>
      <c r="L275" s="145"/>
      <c r="M275" s="145"/>
      <c r="N275" s="145"/>
      <c r="O275" s="174"/>
      <c r="P275" s="174"/>
      <c r="Q275" s="158" t="str">
        <v/>
      </c>
      <c r="R275" s="158" t="str">
        <v/>
      </c>
      <c r="S275" s="158" t="str">
        <v/>
      </c>
      <c r="T275" s="158" t="str">
        <v/>
      </c>
      <c r="U275" s="158" t="str">
        <v/>
      </c>
      <c r="V275" s="158" t="str">
        <v/>
      </c>
      <c r="W275" s="158" t="str">
        <v/>
      </c>
      <c r="X275" s="158" t="str">
        <v/>
      </c>
      <c r="Y275" s="158" t="str">
        <v/>
      </c>
      <c r="Z275" s="158" t="str">
        <v/>
      </c>
      <c r="AA275" s="158" t="e">
        <v>#VALUE!</v>
      </c>
      <c r="AB275" s="171" t="str">
        <v/>
      </c>
      <c r="AC275" s="158">
        <v>14882.285714285714</v>
      </c>
      <c r="AD275" s="173" t="str">
        <f ca="1">IFERROR(__xludf.DUMMYFUNCTION("""COMPUTED_VALUE"""),"2025-08")</f>
        <v>2025-08</v>
      </c>
      <c r="AE275" s="154" t="str">
        <v/>
      </c>
      <c r="AF275" s="154" t="str">
        <v/>
      </c>
    </row>
    <row r="276" spans="1:32" ht="15">
      <c r="A276" s="176">
        <v>45881</v>
      </c>
      <c r="B276" s="145" t="s">
        <v>61</v>
      </c>
      <c r="C276" s="169">
        <v>84004</v>
      </c>
      <c r="D276" s="145">
        <v>6</v>
      </c>
      <c r="E276" s="145"/>
      <c r="F276" s="169" t="e">
        <v>#VALUE!</v>
      </c>
      <c r="G276" s="145"/>
      <c r="H276" s="145"/>
      <c r="I276" s="145"/>
      <c r="J276" s="145"/>
      <c r="K276" s="145"/>
      <c r="L276" s="145"/>
      <c r="M276" s="145"/>
      <c r="N276" s="145"/>
      <c r="O276" s="174"/>
      <c r="P276" s="174"/>
      <c r="Q276" s="158" t="str">
        <v/>
      </c>
      <c r="R276" s="158" t="str">
        <v/>
      </c>
      <c r="S276" s="158" t="str">
        <v/>
      </c>
      <c r="T276" s="158" t="str">
        <v/>
      </c>
      <c r="U276" s="158" t="str">
        <v/>
      </c>
      <c r="V276" s="158" t="str">
        <v/>
      </c>
      <c r="W276" s="158" t="str">
        <v/>
      </c>
      <c r="X276" s="158" t="str">
        <v/>
      </c>
      <c r="Y276" s="158" t="str">
        <v/>
      </c>
      <c r="Z276" s="158" t="str">
        <v/>
      </c>
      <c r="AA276" s="158" t="e">
        <v>#VALUE!</v>
      </c>
      <c r="AB276" s="171" t="str">
        <v/>
      </c>
      <c r="AC276" s="158">
        <v>14000.666666666666</v>
      </c>
      <c r="AD276" s="173" t="str">
        <f ca="1">IFERROR(__xludf.DUMMYFUNCTION("""COMPUTED_VALUE"""),"2025-08")</f>
        <v>2025-08</v>
      </c>
      <c r="AE276" s="154" t="str">
        <v/>
      </c>
      <c r="AF276" s="154" t="str">
        <v/>
      </c>
    </row>
    <row r="277" spans="1:32" ht="15">
      <c r="A277" s="176">
        <v>45882</v>
      </c>
      <c r="B277" s="145" t="s">
        <v>61</v>
      </c>
      <c r="C277" s="169">
        <v>47778</v>
      </c>
      <c r="D277" s="145">
        <v>5</v>
      </c>
      <c r="E277" s="145"/>
      <c r="F277" s="169" t="e">
        <v>#VALUE!</v>
      </c>
      <c r="G277" s="145"/>
      <c r="H277" s="145"/>
      <c r="I277" s="145"/>
      <c r="J277" s="145"/>
      <c r="K277" s="145"/>
      <c r="L277" s="145"/>
      <c r="M277" s="145"/>
      <c r="N277" s="145"/>
      <c r="O277" s="174"/>
      <c r="P277" s="174"/>
      <c r="Q277" s="158" t="str">
        <v/>
      </c>
      <c r="R277" s="158" t="str">
        <v/>
      </c>
      <c r="S277" s="158" t="str">
        <v/>
      </c>
      <c r="T277" s="158" t="str">
        <v/>
      </c>
      <c r="U277" s="158" t="str">
        <v/>
      </c>
      <c r="V277" s="158" t="str">
        <v/>
      </c>
      <c r="W277" s="158" t="str">
        <v/>
      </c>
      <c r="X277" s="158" t="str">
        <v/>
      </c>
      <c r="Y277" s="158" t="str">
        <v/>
      </c>
      <c r="Z277" s="158" t="str">
        <v/>
      </c>
      <c r="AA277" s="158" t="e">
        <v>#VALUE!</v>
      </c>
      <c r="AB277" s="171" t="str">
        <v/>
      </c>
      <c r="AC277" s="158">
        <v>9555.6</v>
      </c>
      <c r="AD277" s="173" t="str">
        <f ca="1">IFERROR(__xludf.DUMMYFUNCTION("""COMPUTED_VALUE"""),"2025-08")</f>
        <v>2025-08</v>
      </c>
      <c r="AE277" s="154" t="str">
        <v/>
      </c>
      <c r="AF277" s="154" t="str">
        <v/>
      </c>
    </row>
    <row r="278" spans="1:32" ht="15">
      <c r="A278" s="176">
        <v>45882</v>
      </c>
      <c r="B278" s="145" t="s">
        <v>1229</v>
      </c>
      <c r="C278" s="169">
        <v>111728</v>
      </c>
      <c r="D278" s="145">
        <v>16</v>
      </c>
      <c r="E278" s="145"/>
      <c r="F278" s="169" t="e">
        <v>#VALUE!</v>
      </c>
      <c r="G278" s="145"/>
      <c r="H278" s="145"/>
      <c r="I278" s="145"/>
      <c r="J278" s="145"/>
      <c r="K278" s="145"/>
      <c r="L278" s="145"/>
      <c r="M278" s="145"/>
      <c r="N278" s="145"/>
      <c r="O278" s="174"/>
      <c r="P278" s="174"/>
      <c r="Q278" s="158" t="str">
        <v/>
      </c>
      <c r="R278" s="158" t="str">
        <v/>
      </c>
      <c r="S278" s="158" t="str">
        <v/>
      </c>
      <c r="T278" s="158" t="str">
        <v/>
      </c>
      <c r="U278" s="158" t="str">
        <v/>
      </c>
      <c r="V278" s="158" t="str">
        <v/>
      </c>
      <c r="W278" s="158" t="str">
        <v/>
      </c>
      <c r="X278" s="158" t="str">
        <v/>
      </c>
      <c r="Y278" s="158" t="str">
        <v/>
      </c>
      <c r="Z278" s="158" t="str">
        <v/>
      </c>
      <c r="AA278" s="158" t="e">
        <v>#VALUE!</v>
      </c>
      <c r="AB278" s="171" t="str">
        <v/>
      </c>
      <c r="AC278" s="158">
        <v>6983</v>
      </c>
      <c r="AD278" s="173" t="str">
        <f ca="1">IFERROR(__xludf.DUMMYFUNCTION("""COMPUTED_VALUE"""),"2025-08")</f>
        <v>2025-08</v>
      </c>
      <c r="AE278" s="154" t="str">
        <v/>
      </c>
      <c r="AF278" s="154" t="str">
        <v/>
      </c>
    </row>
    <row r="279" spans="1:32" ht="15">
      <c r="A279" s="176">
        <v>45882</v>
      </c>
      <c r="B279" s="145" t="s">
        <v>1774</v>
      </c>
      <c r="C279" s="169">
        <v>74825</v>
      </c>
      <c r="D279" s="145">
        <v>16</v>
      </c>
      <c r="E279" s="145"/>
      <c r="F279" s="169" t="e">
        <v>#VALUE!</v>
      </c>
      <c r="G279" s="145"/>
      <c r="H279" s="145"/>
      <c r="I279" s="145"/>
      <c r="J279" s="145"/>
      <c r="K279" s="145"/>
      <c r="L279" s="145"/>
      <c r="M279" s="145"/>
      <c r="N279" s="145"/>
      <c r="O279" s="174"/>
      <c r="P279" s="174"/>
      <c r="Q279" s="158" t="str">
        <v/>
      </c>
      <c r="R279" s="158" t="str">
        <v/>
      </c>
      <c r="S279" s="158" t="str">
        <v/>
      </c>
      <c r="T279" s="158" t="str">
        <v/>
      </c>
      <c r="U279" s="158" t="str">
        <v/>
      </c>
      <c r="V279" s="158" t="str">
        <v/>
      </c>
      <c r="W279" s="158" t="str">
        <v/>
      </c>
      <c r="X279" s="158" t="str">
        <v/>
      </c>
      <c r="Y279" s="158" t="str">
        <v/>
      </c>
      <c r="Z279" s="158" t="str">
        <v/>
      </c>
      <c r="AA279" s="158" t="e">
        <v>#VALUE!</v>
      </c>
      <c r="AB279" s="171" t="str">
        <v/>
      </c>
      <c r="AC279" s="158">
        <v>4676.5625</v>
      </c>
      <c r="AD279" s="173" t="str">
        <f ca="1">IFERROR(__xludf.DUMMYFUNCTION("""COMPUTED_VALUE"""),"2025-08")</f>
        <v>2025-08</v>
      </c>
      <c r="AE279" s="154" t="str">
        <v/>
      </c>
      <c r="AF279" s="154" t="str">
        <v/>
      </c>
    </row>
    <row r="280" spans="1:32" ht="15">
      <c r="A280" s="176">
        <v>45882</v>
      </c>
      <c r="B280" s="145" t="s">
        <v>115</v>
      </c>
      <c r="C280" s="169">
        <v>81986</v>
      </c>
      <c r="D280" s="145">
        <v>12</v>
      </c>
      <c r="E280" s="145"/>
      <c r="F280" s="169" t="e">
        <v>#VALUE!</v>
      </c>
      <c r="G280" s="145"/>
      <c r="H280" s="145"/>
      <c r="I280" s="145"/>
      <c r="J280" s="145"/>
      <c r="K280" s="145"/>
      <c r="L280" s="145"/>
      <c r="M280" s="145"/>
      <c r="N280" s="145"/>
      <c r="O280" s="174"/>
      <c r="P280" s="174"/>
      <c r="Q280" s="158" t="str">
        <v/>
      </c>
      <c r="R280" s="158" t="str">
        <v/>
      </c>
      <c r="S280" s="158" t="str">
        <v/>
      </c>
      <c r="T280" s="158" t="str">
        <v/>
      </c>
      <c r="U280" s="158" t="str">
        <v/>
      </c>
      <c r="V280" s="158" t="str">
        <v/>
      </c>
      <c r="W280" s="158" t="str">
        <v/>
      </c>
      <c r="X280" s="158" t="str">
        <v/>
      </c>
      <c r="Y280" s="158" t="str">
        <v/>
      </c>
      <c r="Z280" s="158" t="str">
        <v/>
      </c>
      <c r="AA280" s="158" t="e">
        <v>#VALUE!</v>
      </c>
      <c r="AB280" s="171" t="str">
        <v/>
      </c>
      <c r="AC280" s="158">
        <v>6832.166666666667</v>
      </c>
      <c r="AD280" s="173" t="str">
        <f ca="1">IFERROR(__xludf.DUMMYFUNCTION("""COMPUTED_VALUE"""),"2025-08")</f>
        <v>2025-08</v>
      </c>
      <c r="AE280" s="154" t="str">
        <v/>
      </c>
      <c r="AF280" s="154" t="str">
        <v/>
      </c>
    </row>
    <row r="281" spans="1:32" ht="15">
      <c r="A281" s="176">
        <v>45883</v>
      </c>
      <c r="B281" s="145" t="s">
        <v>1229</v>
      </c>
      <c r="C281" s="169">
        <v>213386</v>
      </c>
      <c r="D281" s="145">
        <v>32</v>
      </c>
      <c r="E281" s="145"/>
      <c r="F281" s="169" t="e">
        <v>#VALUE!</v>
      </c>
      <c r="G281" s="145"/>
      <c r="H281" s="145"/>
      <c r="I281" s="145"/>
      <c r="J281" s="145"/>
      <c r="K281" s="145"/>
      <c r="L281" s="145"/>
      <c r="M281" s="145"/>
      <c r="N281" s="145"/>
      <c r="O281" s="174"/>
      <c r="P281" s="174"/>
      <c r="Q281" s="158" t="str">
        <v/>
      </c>
      <c r="R281" s="158" t="str">
        <v/>
      </c>
      <c r="S281" s="158" t="str">
        <v/>
      </c>
      <c r="T281" s="158" t="str">
        <v/>
      </c>
      <c r="U281" s="158" t="str">
        <v/>
      </c>
      <c r="V281" s="158" t="str">
        <v/>
      </c>
      <c r="W281" s="158" t="str">
        <v/>
      </c>
      <c r="X281" s="158" t="str">
        <v/>
      </c>
      <c r="Y281" s="158" t="str">
        <v/>
      </c>
      <c r="Z281" s="158" t="str">
        <v/>
      </c>
      <c r="AA281" s="158" t="e">
        <v>#VALUE!</v>
      </c>
      <c r="AB281" s="171" t="str">
        <v/>
      </c>
      <c r="AC281" s="158">
        <v>6668.3125</v>
      </c>
      <c r="AD281" s="173" t="str">
        <f ca="1">IFERROR(__xludf.DUMMYFUNCTION("""COMPUTED_VALUE"""),"2025-08")</f>
        <v>2025-08</v>
      </c>
      <c r="AE281" s="154" t="str">
        <v/>
      </c>
      <c r="AF281" s="154" t="str">
        <v/>
      </c>
    </row>
    <row r="282" spans="1:32" ht="15">
      <c r="A282" s="176">
        <v>45883</v>
      </c>
      <c r="B282" s="145" t="s">
        <v>1774</v>
      </c>
      <c r="C282" s="169">
        <v>55261</v>
      </c>
      <c r="D282" s="145">
        <v>3</v>
      </c>
      <c r="E282" s="145">
        <v>2</v>
      </c>
      <c r="F282" s="169" t="e">
        <v>#VALUE!</v>
      </c>
      <c r="G282" s="145"/>
      <c r="H282" s="145"/>
      <c r="I282" s="145"/>
      <c r="J282" s="145">
        <v>1</v>
      </c>
      <c r="K282" s="145"/>
      <c r="L282" s="145"/>
      <c r="M282" s="145">
        <v>1</v>
      </c>
      <c r="N282" s="145"/>
      <c r="O282" s="174"/>
      <c r="P282" s="174"/>
      <c r="Q282" s="158" t="str">
        <v/>
      </c>
      <c r="R282" s="158" t="str">
        <v/>
      </c>
      <c r="S282" s="158" t="str">
        <v/>
      </c>
      <c r="T282" s="158">
        <v>550000</v>
      </c>
      <c r="U282" s="158" t="str">
        <v/>
      </c>
      <c r="V282" s="158" t="str">
        <v/>
      </c>
      <c r="W282" s="158">
        <v>297000</v>
      </c>
      <c r="X282" s="158" t="str">
        <v/>
      </c>
      <c r="Y282" s="158" t="str">
        <v/>
      </c>
      <c r="Z282" s="158" t="str">
        <v/>
      </c>
      <c r="AA282" s="158" t="e">
        <v>#VALUE!</v>
      </c>
      <c r="AB282" s="171">
        <v>0.02</v>
      </c>
      <c r="AC282" s="158">
        <v>18420.333333333332</v>
      </c>
      <c r="AD282" s="173" t="str">
        <f ca="1">IFERROR(__xludf.DUMMYFUNCTION("""COMPUTED_VALUE"""),"2025-08")</f>
        <v>2025-08</v>
      </c>
      <c r="AE282" s="154">
        <v>0</v>
      </c>
      <c r="AF282" s="154">
        <v>0</v>
      </c>
    </row>
    <row r="283" spans="1:32" ht="15">
      <c r="A283" s="176">
        <v>45883</v>
      </c>
      <c r="B283" s="145" t="s">
        <v>115</v>
      </c>
      <c r="C283" s="169">
        <v>62808</v>
      </c>
      <c r="D283" s="145">
        <v>6</v>
      </c>
      <c r="E283" s="145"/>
      <c r="F283" s="169" t="e">
        <v>#VALUE!</v>
      </c>
      <c r="G283" s="145"/>
      <c r="H283" s="145"/>
      <c r="I283" s="145"/>
      <c r="J283" s="145"/>
      <c r="K283" s="145"/>
      <c r="L283" s="145"/>
      <c r="M283" s="145"/>
      <c r="N283" s="145"/>
      <c r="O283" s="174"/>
      <c r="P283" s="174"/>
      <c r="Q283" s="158" t="str">
        <v/>
      </c>
      <c r="R283" s="158" t="str">
        <v/>
      </c>
      <c r="S283" s="158" t="str">
        <v/>
      </c>
      <c r="T283" s="158" t="str">
        <v/>
      </c>
      <c r="U283" s="158" t="str">
        <v/>
      </c>
      <c r="V283" s="158" t="str">
        <v/>
      </c>
      <c r="W283" s="158" t="str">
        <v/>
      </c>
      <c r="X283" s="158" t="str">
        <v/>
      </c>
      <c r="Y283" s="158" t="str">
        <v/>
      </c>
      <c r="Z283" s="158" t="str">
        <v/>
      </c>
      <c r="AA283" s="158" t="e">
        <v>#VALUE!</v>
      </c>
      <c r="AB283" s="171" t="str">
        <v/>
      </c>
      <c r="AC283" s="158">
        <v>10468</v>
      </c>
      <c r="AD283" s="173" t="str">
        <f ca="1">IFERROR(__xludf.DUMMYFUNCTION("""COMPUTED_VALUE"""),"2025-08")</f>
        <v>2025-08</v>
      </c>
      <c r="AE283" s="154" t="str">
        <v/>
      </c>
      <c r="AF283" s="154" t="str">
        <v/>
      </c>
    </row>
    <row r="284" spans="1:32" ht="15">
      <c r="A284" s="176">
        <v>45883</v>
      </c>
      <c r="B284" s="145" t="s">
        <v>61</v>
      </c>
      <c r="C284" s="169">
        <v>31459</v>
      </c>
      <c r="D284" s="145">
        <v>0</v>
      </c>
      <c r="E284" s="145">
        <v>1</v>
      </c>
      <c r="F284" s="169" t="e">
        <v>#VALUE!</v>
      </c>
      <c r="G284" s="145">
        <v>1</v>
      </c>
      <c r="H284" s="145"/>
      <c r="I284" s="145"/>
      <c r="J284" s="145"/>
      <c r="K284" s="145"/>
      <c r="L284" s="145"/>
      <c r="M284" s="145"/>
      <c r="N284" s="145"/>
      <c r="O284" s="174"/>
      <c r="P284" s="174"/>
      <c r="Q284" s="158">
        <v>197000</v>
      </c>
      <c r="R284" s="158" t="str">
        <v/>
      </c>
      <c r="S284" s="158" t="str">
        <v/>
      </c>
      <c r="T284" s="158" t="str">
        <v/>
      </c>
      <c r="U284" s="158" t="str">
        <v/>
      </c>
      <c r="V284" s="158" t="str">
        <v/>
      </c>
      <c r="W284" s="158" t="str">
        <v/>
      </c>
      <c r="X284" s="158" t="str">
        <v/>
      </c>
      <c r="Y284" s="158" t="str">
        <v/>
      </c>
      <c r="Z284" s="158" t="str">
        <v/>
      </c>
      <c r="AA284" s="158" t="e">
        <v>#VALUE!</v>
      </c>
      <c r="AB284" s="171">
        <v>0.01</v>
      </c>
      <c r="AC284" s="158" t="str">
        <v/>
      </c>
      <c r="AD284" s="173" t="str">
        <f ca="1">IFERROR(__xludf.DUMMYFUNCTION("""COMPUTED_VALUE"""),"2025-08")</f>
        <v>2025-08</v>
      </c>
      <c r="AE284" s="154">
        <v>0</v>
      </c>
      <c r="AF284" s="154">
        <v>0</v>
      </c>
    </row>
    <row r="285" spans="1:32" ht="15">
      <c r="A285" s="176">
        <v>45884</v>
      </c>
      <c r="B285" s="145" t="s">
        <v>1229</v>
      </c>
      <c r="C285" s="169">
        <v>188611</v>
      </c>
      <c r="D285" s="145">
        <v>33</v>
      </c>
      <c r="E285" s="145">
        <v>1</v>
      </c>
      <c r="F285" s="169" t="e">
        <v>#VALUE!</v>
      </c>
      <c r="G285" s="145">
        <v>1</v>
      </c>
      <c r="H285" s="145"/>
      <c r="I285" s="145"/>
      <c r="J285" s="145"/>
      <c r="K285" s="145"/>
      <c r="L285" s="145"/>
      <c r="M285" s="145"/>
      <c r="N285" s="145"/>
      <c r="O285" s="174"/>
      <c r="P285" s="174"/>
      <c r="Q285" s="158">
        <v>197000</v>
      </c>
      <c r="R285" s="158" t="str">
        <v/>
      </c>
      <c r="S285" s="158" t="str">
        <v/>
      </c>
      <c r="T285" s="158" t="str">
        <v/>
      </c>
      <c r="U285" s="158" t="str">
        <v/>
      </c>
      <c r="V285" s="158" t="str">
        <v/>
      </c>
      <c r="W285" s="158" t="str">
        <v/>
      </c>
      <c r="X285" s="158" t="str">
        <v/>
      </c>
      <c r="Y285" s="158" t="str">
        <v/>
      </c>
      <c r="Z285" s="158" t="str">
        <v/>
      </c>
      <c r="AA285" s="158" t="e">
        <v>#VALUE!</v>
      </c>
      <c r="AB285" s="171">
        <v>0.01</v>
      </c>
      <c r="AC285" s="158">
        <v>5715.484848484848</v>
      </c>
      <c r="AD285" s="173" t="str">
        <f ca="1">IFERROR(__xludf.DUMMYFUNCTION("""COMPUTED_VALUE"""),"2025-08")</f>
        <v>2025-08</v>
      </c>
      <c r="AE285" s="154">
        <v>0</v>
      </c>
      <c r="AF285" s="154">
        <v>0</v>
      </c>
    </row>
    <row r="286" spans="1:32" ht="15">
      <c r="A286" s="176">
        <v>45884</v>
      </c>
      <c r="B286" s="145" t="s">
        <v>1774</v>
      </c>
      <c r="C286" s="169">
        <v>1271</v>
      </c>
      <c r="D286" s="145">
        <v>1</v>
      </c>
      <c r="E286" s="145">
        <v>1</v>
      </c>
      <c r="F286" s="169" t="e">
        <v>#VALUE!</v>
      </c>
      <c r="G286" s="145">
        <v>1</v>
      </c>
      <c r="H286" s="145"/>
      <c r="I286" s="145"/>
      <c r="J286" s="145"/>
      <c r="K286" s="145"/>
      <c r="L286" s="145"/>
      <c r="M286" s="145"/>
      <c r="N286" s="145"/>
      <c r="O286" s="174"/>
      <c r="P286" s="174"/>
      <c r="Q286" s="158">
        <v>197000</v>
      </c>
      <c r="R286" s="158" t="str">
        <v/>
      </c>
      <c r="S286" s="158" t="str">
        <v/>
      </c>
      <c r="T286" s="158" t="str">
        <v/>
      </c>
      <c r="U286" s="158" t="str">
        <v/>
      </c>
      <c r="V286" s="158" t="str">
        <v/>
      </c>
      <c r="W286" s="158" t="str">
        <v/>
      </c>
      <c r="X286" s="158" t="str">
        <v/>
      </c>
      <c r="Y286" s="158" t="str">
        <v/>
      </c>
      <c r="Z286" s="158" t="str">
        <v/>
      </c>
      <c r="AA286" s="158" t="e">
        <v>#VALUE!</v>
      </c>
      <c r="AB286" s="171">
        <v>0.01</v>
      </c>
      <c r="AC286" s="158">
        <v>1271</v>
      </c>
      <c r="AD286" s="173" t="str">
        <f ca="1">IFERROR(__xludf.DUMMYFUNCTION("""COMPUTED_VALUE"""),"2025-08")</f>
        <v>2025-08</v>
      </c>
      <c r="AE286" s="154">
        <v>0</v>
      </c>
      <c r="AF286" s="154">
        <v>0</v>
      </c>
    </row>
    <row r="287" spans="1:32" ht="15">
      <c r="A287" s="176">
        <v>45884</v>
      </c>
      <c r="B287" s="145" t="s">
        <v>115</v>
      </c>
      <c r="C287" s="169">
        <v>21705</v>
      </c>
      <c r="D287" s="145">
        <v>3</v>
      </c>
      <c r="E287" s="145">
        <v>3</v>
      </c>
      <c r="F287" s="169" t="e">
        <v>#VALUE!</v>
      </c>
      <c r="G287" s="145">
        <v>3</v>
      </c>
      <c r="H287" s="145"/>
      <c r="I287" s="145"/>
      <c r="J287" s="145"/>
      <c r="K287" s="145"/>
      <c r="L287" s="145"/>
      <c r="M287" s="145"/>
      <c r="N287" s="145"/>
      <c r="O287" s="174"/>
      <c r="P287" s="174"/>
      <c r="Q287" s="158">
        <v>591000</v>
      </c>
      <c r="R287" s="158" t="str">
        <v/>
      </c>
      <c r="S287" s="158" t="str">
        <v/>
      </c>
      <c r="T287" s="158" t="str">
        <v/>
      </c>
      <c r="U287" s="158" t="str">
        <v/>
      </c>
      <c r="V287" s="158" t="str">
        <v/>
      </c>
      <c r="W287" s="158" t="str">
        <v/>
      </c>
      <c r="X287" s="158" t="str">
        <v/>
      </c>
      <c r="Y287" s="158" t="str">
        <v/>
      </c>
      <c r="Z287" s="158" t="str">
        <v/>
      </c>
      <c r="AA287" s="158" t="e">
        <v>#VALUE!</v>
      </c>
      <c r="AB287" s="171">
        <v>0.03</v>
      </c>
      <c r="AC287" s="158">
        <v>7235</v>
      </c>
      <c r="AD287" s="173" t="str">
        <f ca="1">IFERROR(__xludf.DUMMYFUNCTION("""COMPUTED_VALUE"""),"2025-08")</f>
        <v>2025-08</v>
      </c>
      <c r="AE287" s="154">
        <v>0</v>
      </c>
      <c r="AF287" s="154">
        <v>0</v>
      </c>
    </row>
    <row r="288" spans="1:32" ht="15">
      <c r="A288" s="176">
        <v>45884</v>
      </c>
      <c r="B288" s="145" t="s">
        <v>61</v>
      </c>
      <c r="C288" s="169">
        <v>71</v>
      </c>
      <c r="D288" s="145">
        <v>1</v>
      </c>
      <c r="E288" s="145">
        <v>5</v>
      </c>
      <c r="F288" s="169" t="e">
        <v>#VALUE!</v>
      </c>
      <c r="G288" s="145">
        <v>2</v>
      </c>
      <c r="H288" s="145"/>
      <c r="I288" s="145"/>
      <c r="J288" s="145"/>
      <c r="K288" s="145"/>
      <c r="L288" s="145">
        <v>1</v>
      </c>
      <c r="M288" s="145">
        <v>2</v>
      </c>
      <c r="N288" s="145"/>
      <c r="O288" s="174"/>
      <c r="P288" s="174"/>
      <c r="Q288" s="158">
        <v>394000</v>
      </c>
      <c r="R288" s="158" t="str">
        <v/>
      </c>
      <c r="S288" s="158" t="str">
        <v/>
      </c>
      <c r="T288" s="158" t="str">
        <v/>
      </c>
      <c r="U288" s="158" t="str">
        <v/>
      </c>
      <c r="V288" s="158">
        <v>197000</v>
      </c>
      <c r="W288" s="158">
        <v>594000</v>
      </c>
      <c r="X288" s="158" t="str">
        <v/>
      </c>
      <c r="Y288" s="158" t="str">
        <v/>
      </c>
      <c r="Z288" s="158" t="str">
        <v/>
      </c>
      <c r="AA288" s="158" t="e">
        <v>#VALUE!</v>
      </c>
      <c r="AB288" s="171">
        <v>0.05</v>
      </c>
      <c r="AC288" s="158">
        <v>71</v>
      </c>
      <c r="AD288" s="173" t="str">
        <f ca="1">IFERROR(__xludf.DUMMYFUNCTION("""COMPUTED_VALUE"""),"2025-08")</f>
        <v>2025-08</v>
      </c>
      <c r="AE288" s="154">
        <v>0</v>
      </c>
      <c r="AF288" s="154">
        <v>0</v>
      </c>
    </row>
    <row r="289" spans="1:32" ht="15">
      <c r="A289" s="176">
        <v>45885</v>
      </c>
      <c r="B289" s="145" t="s">
        <v>1229</v>
      </c>
      <c r="C289" s="169">
        <v>51057</v>
      </c>
      <c r="D289" s="145">
        <v>1</v>
      </c>
      <c r="E289" s="145">
        <v>2</v>
      </c>
      <c r="F289" s="169" t="e">
        <v>#VALUE!</v>
      </c>
      <c r="G289" s="145">
        <v>2</v>
      </c>
      <c r="H289" s="145"/>
      <c r="I289" s="145"/>
      <c r="J289" s="145"/>
      <c r="K289" s="145"/>
      <c r="L289" s="145"/>
      <c r="M289" s="145"/>
      <c r="N289" s="145"/>
      <c r="O289" s="174"/>
      <c r="P289" s="174"/>
      <c r="Q289" s="158">
        <v>394000</v>
      </c>
      <c r="R289" s="158" t="str">
        <v/>
      </c>
      <c r="S289" s="158" t="str">
        <v/>
      </c>
      <c r="T289" s="158" t="str">
        <v/>
      </c>
      <c r="U289" s="158" t="str">
        <v/>
      </c>
      <c r="V289" s="158" t="str">
        <v/>
      </c>
      <c r="W289" s="158" t="str">
        <v/>
      </c>
      <c r="X289" s="158" t="str">
        <v/>
      </c>
      <c r="Y289" s="158" t="str">
        <v/>
      </c>
      <c r="Z289" s="158" t="str">
        <v/>
      </c>
      <c r="AA289" s="158" t="e">
        <v>#VALUE!</v>
      </c>
      <c r="AB289" s="171">
        <v>0.02</v>
      </c>
      <c r="AC289" s="158">
        <v>51057</v>
      </c>
      <c r="AD289" s="173" t="str">
        <f ca="1">IFERROR(__xludf.DUMMYFUNCTION("""COMPUTED_VALUE"""),"2025-08")</f>
        <v>2025-08</v>
      </c>
      <c r="AE289" s="154">
        <v>0</v>
      </c>
      <c r="AF289" s="154">
        <v>0</v>
      </c>
    </row>
    <row r="290" spans="1:32" ht="15">
      <c r="A290" s="176">
        <v>45885</v>
      </c>
      <c r="B290" s="145" t="s">
        <v>1774</v>
      </c>
      <c r="C290" s="169">
        <v>21504</v>
      </c>
      <c r="D290" s="145">
        <v>0</v>
      </c>
      <c r="E290" s="145"/>
      <c r="F290" s="169" t="e">
        <v>#VALUE!</v>
      </c>
      <c r="G290" s="145"/>
      <c r="H290" s="145"/>
      <c r="I290" s="145"/>
      <c r="J290" s="145"/>
      <c r="K290" s="145"/>
      <c r="L290" s="145"/>
      <c r="M290" s="145"/>
      <c r="N290" s="145"/>
      <c r="O290" s="174"/>
      <c r="P290" s="174"/>
      <c r="Q290" s="158" t="str">
        <v/>
      </c>
      <c r="R290" s="158" t="str">
        <v/>
      </c>
      <c r="S290" s="158" t="str">
        <v/>
      </c>
      <c r="T290" s="158" t="str">
        <v/>
      </c>
      <c r="U290" s="158" t="str">
        <v/>
      </c>
      <c r="V290" s="158" t="str">
        <v/>
      </c>
      <c r="W290" s="158" t="str">
        <v/>
      </c>
      <c r="X290" s="158" t="str">
        <v/>
      </c>
      <c r="Y290" s="158" t="str">
        <v/>
      </c>
      <c r="Z290" s="158" t="str">
        <v/>
      </c>
      <c r="AA290" s="158" t="e">
        <v>#VALUE!</v>
      </c>
      <c r="AB290" s="171" t="str">
        <v/>
      </c>
      <c r="AC290" s="158" t="str">
        <v/>
      </c>
      <c r="AD290" s="173" t="str">
        <f ca="1">IFERROR(__xludf.DUMMYFUNCTION("""COMPUTED_VALUE"""),"2025-08")</f>
        <v>2025-08</v>
      </c>
      <c r="AE290" s="154" t="str">
        <v/>
      </c>
      <c r="AF290" s="154" t="str">
        <v/>
      </c>
    </row>
    <row r="291" spans="1:32" ht="15">
      <c r="A291" s="176">
        <v>45885</v>
      </c>
      <c r="B291" s="145" t="s">
        <v>115</v>
      </c>
      <c r="C291" s="169">
        <v>18856</v>
      </c>
      <c r="D291" s="145">
        <v>1</v>
      </c>
      <c r="E291" s="145">
        <v>3</v>
      </c>
      <c r="F291" s="169" t="e">
        <v>#VALUE!</v>
      </c>
      <c r="G291" s="145">
        <v>3</v>
      </c>
      <c r="H291" s="145"/>
      <c r="I291" s="145"/>
      <c r="J291" s="145"/>
      <c r="K291" s="145"/>
      <c r="L291" s="145"/>
      <c r="M291" s="145"/>
      <c r="N291" s="145"/>
      <c r="O291" s="174"/>
      <c r="P291" s="174"/>
      <c r="Q291" s="158">
        <v>591000</v>
      </c>
      <c r="R291" s="158" t="str">
        <v/>
      </c>
      <c r="S291" s="158" t="str">
        <v/>
      </c>
      <c r="T291" s="158" t="str">
        <v/>
      </c>
      <c r="U291" s="158" t="str">
        <v/>
      </c>
      <c r="V291" s="158" t="str">
        <v/>
      </c>
      <c r="W291" s="158" t="str">
        <v/>
      </c>
      <c r="X291" s="158" t="str">
        <v/>
      </c>
      <c r="Y291" s="158" t="str">
        <v/>
      </c>
      <c r="Z291" s="158" t="str">
        <v/>
      </c>
      <c r="AA291" s="158" t="e">
        <v>#VALUE!</v>
      </c>
      <c r="AB291" s="171">
        <v>0.03</v>
      </c>
      <c r="AC291" s="158">
        <v>18856</v>
      </c>
      <c r="AD291" s="173" t="str">
        <f ca="1">IFERROR(__xludf.DUMMYFUNCTION("""COMPUTED_VALUE"""),"2025-08")</f>
        <v>2025-08</v>
      </c>
      <c r="AE291" s="154">
        <v>0</v>
      </c>
      <c r="AF291" s="154">
        <v>0</v>
      </c>
    </row>
    <row r="292" spans="1:32" ht="15">
      <c r="A292" s="176">
        <v>45885</v>
      </c>
      <c r="B292" s="145" t="s">
        <v>61</v>
      </c>
      <c r="C292" s="169">
        <v>22252</v>
      </c>
      <c r="D292" s="145">
        <v>1</v>
      </c>
      <c r="E292" s="145">
        <v>5</v>
      </c>
      <c r="F292" s="169" t="e">
        <v>#VALUE!</v>
      </c>
      <c r="G292" s="145">
        <v>2</v>
      </c>
      <c r="H292" s="145">
        <v>1</v>
      </c>
      <c r="I292" s="145"/>
      <c r="J292" s="145"/>
      <c r="K292" s="145">
        <v>1</v>
      </c>
      <c r="L292" s="145">
        <v>1</v>
      </c>
      <c r="M292" s="145"/>
      <c r="N292" s="145"/>
      <c r="O292" s="174"/>
      <c r="P292" s="174"/>
      <c r="Q292" s="158">
        <v>394000</v>
      </c>
      <c r="R292" s="158">
        <v>297000</v>
      </c>
      <c r="S292" s="158" t="str">
        <v/>
      </c>
      <c r="T292" s="158" t="str">
        <v/>
      </c>
      <c r="U292" s="158">
        <v>1000000</v>
      </c>
      <c r="V292" s="158">
        <v>197000</v>
      </c>
      <c r="W292" s="158" t="str">
        <v/>
      </c>
      <c r="X292" s="158" t="str">
        <v/>
      </c>
      <c r="Y292" s="158" t="str">
        <v/>
      </c>
      <c r="Z292" s="158" t="str">
        <v/>
      </c>
      <c r="AA292" s="158" t="e">
        <v>#VALUE!</v>
      </c>
      <c r="AB292" s="171">
        <v>0.05</v>
      </c>
      <c r="AC292" s="158">
        <v>22252</v>
      </c>
      <c r="AD292" s="173" t="str">
        <f ca="1">IFERROR(__xludf.DUMMYFUNCTION("""COMPUTED_VALUE"""),"2025-08")</f>
        <v>2025-08</v>
      </c>
      <c r="AE292" s="154">
        <v>0</v>
      </c>
      <c r="AF292" s="154">
        <v>0</v>
      </c>
    </row>
    <row r="293" spans="1:32" ht="15">
      <c r="A293" s="176">
        <v>45886</v>
      </c>
      <c r="B293" s="145" t="s">
        <v>115</v>
      </c>
      <c r="C293" s="169">
        <v>0</v>
      </c>
      <c r="D293" s="145"/>
      <c r="E293" s="145">
        <v>2</v>
      </c>
      <c r="F293" s="169" t="e">
        <v>#VALUE!</v>
      </c>
      <c r="G293" s="145">
        <v>2</v>
      </c>
      <c r="H293" s="145"/>
      <c r="I293" s="145"/>
      <c r="J293" s="145"/>
      <c r="K293" s="145"/>
      <c r="L293" s="145"/>
      <c r="M293" s="145"/>
      <c r="N293" s="145"/>
      <c r="O293" s="174"/>
      <c r="P293" s="174"/>
      <c r="Q293" s="158">
        <v>394000</v>
      </c>
      <c r="R293" s="158" t="str">
        <v/>
      </c>
      <c r="S293" s="158" t="str">
        <v/>
      </c>
      <c r="T293" s="158" t="str">
        <v/>
      </c>
      <c r="U293" s="158" t="str">
        <v/>
      </c>
      <c r="V293" s="158" t="str">
        <v/>
      </c>
      <c r="W293" s="158" t="str">
        <v/>
      </c>
      <c r="X293" s="158" t="str">
        <v/>
      </c>
      <c r="Y293" s="158" t="str">
        <v/>
      </c>
      <c r="Z293" s="158" t="str">
        <v/>
      </c>
      <c r="AA293" s="158" t="e">
        <v>#VALUE!</v>
      </c>
      <c r="AB293" s="171">
        <v>0.02</v>
      </c>
      <c r="AC293" s="158">
        <v>0</v>
      </c>
      <c r="AD293" s="173" t="str">
        <f ca="1">IFERROR(__xludf.DUMMYFUNCTION("""COMPUTED_VALUE"""),"2025-08")</f>
        <v>2025-08</v>
      </c>
      <c r="AE293" s="154">
        <v>0</v>
      </c>
      <c r="AF293" s="154">
        <v>0</v>
      </c>
    </row>
    <row r="294" spans="1:32" ht="15">
      <c r="A294" s="176">
        <v>45886</v>
      </c>
      <c r="B294" s="145" t="s">
        <v>61</v>
      </c>
      <c r="C294" s="169">
        <v>0</v>
      </c>
      <c r="D294" s="145"/>
      <c r="E294" s="145">
        <v>1</v>
      </c>
      <c r="F294" s="169" t="e">
        <v>#VALUE!</v>
      </c>
      <c r="G294" s="145">
        <v>1</v>
      </c>
      <c r="H294" s="145"/>
      <c r="I294" s="145"/>
      <c r="J294" s="145"/>
      <c r="K294" s="145"/>
      <c r="L294" s="145"/>
      <c r="M294" s="145"/>
      <c r="N294" s="145"/>
      <c r="O294" s="174"/>
      <c r="P294" s="174"/>
      <c r="Q294" s="158">
        <v>197000</v>
      </c>
      <c r="R294" s="158" t="str">
        <v/>
      </c>
      <c r="S294" s="158" t="str">
        <v/>
      </c>
      <c r="T294" s="158" t="str">
        <v/>
      </c>
      <c r="U294" s="158" t="str">
        <v/>
      </c>
      <c r="V294" s="158" t="str">
        <v/>
      </c>
      <c r="W294" s="158" t="str">
        <v/>
      </c>
      <c r="X294" s="158" t="str">
        <v/>
      </c>
      <c r="Y294" s="158" t="str">
        <v/>
      </c>
      <c r="Z294" s="158" t="str">
        <v/>
      </c>
      <c r="AA294" s="158" t="e">
        <v>#VALUE!</v>
      </c>
      <c r="AB294" s="171">
        <v>0.01</v>
      </c>
      <c r="AC294" s="158">
        <v>0</v>
      </c>
      <c r="AD294" s="173" t="str">
        <f ca="1">IFERROR(__xludf.DUMMYFUNCTION("""COMPUTED_VALUE"""),"2025-08")</f>
        <v>2025-08</v>
      </c>
      <c r="AE294" s="154">
        <v>0</v>
      </c>
      <c r="AF294" s="154">
        <v>0</v>
      </c>
    </row>
    <row r="295" spans="1:32" ht="15">
      <c r="A295" s="176">
        <v>45887</v>
      </c>
      <c r="B295" s="145" t="s">
        <v>12896</v>
      </c>
      <c r="C295" s="169">
        <v>18134</v>
      </c>
      <c r="D295" s="145">
        <v>2</v>
      </c>
      <c r="E295" s="145"/>
      <c r="F295" s="169" t="e">
        <v>#VALUE!</v>
      </c>
      <c r="G295" s="145"/>
      <c r="H295" s="145"/>
      <c r="I295" s="145"/>
      <c r="J295" s="145"/>
      <c r="K295" s="145"/>
      <c r="L295" s="145"/>
      <c r="M295" s="145"/>
      <c r="N295" s="145"/>
      <c r="O295" s="174"/>
      <c r="P295" s="174"/>
      <c r="Q295" s="158" t="str">
        <v/>
      </c>
      <c r="R295" s="158" t="str">
        <v/>
      </c>
      <c r="S295" s="158" t="str">
        <v/>
      </c>
      <c r="T295" s="158" t="str">
        <v/>
      </c>
      <c r="U295" s="158" t="str">
        <v/>
      </c>
      <c r="V295" s="158" t="str">
        <v/>
      </c>
      <c r="W295" s="158" t="str">
        <v/>
      </c>
      <c r="X295" s="158" t="str">
        <v/>
      </c>
      <c r="Y295" s="158" t="str">
        <v/>
      </c>
      <c r="Z295" s="158" t="str">
        <v/>
      </c>
      <c r="AA295" s="158" t="e">
        <v>#VALUE!</v>
      </c>
      <c r="AB295" s="171" t="str">
        <v/>
      </c>
      <c r="AC295" s="158">
        <v>9067</v>
      </c>
      <c r="AD295" s="173" t="str">
        <f ca="1">IFERROR(__xludf.DUMMYFUNCTION("""COMPUTED_VALUE"""),"2025-08")</f>
        <v>2025-08</v>
      </c>
      <c r="AE295" s="154" t="str">
        <v/>
      </c>
      <c r="AF295" s="154" t="str">
        <v/>
      </c>
    </row>
    <row r="296" spans="1:32" ht="15">
      <c r="A296" s="176">
        <v>45887</v>
      </c>
      <c r="B296" s="145" t="s">
        <v>1229</v>
      </c>
      <c r="C296" s="169">
        <v>77058</v>
      </c>
      <c r="D296" s="145">
        <v>7</v>
      </c>
      <c r="E296" s="145">
        <v>3</v>
      </c>
      <c r="F296" s="169" t="e">
        <v>#VALUE!</v>
      </c>
      <c r="G296" s="145">
        <v>1</v>
      </c>
      <c r="H296" s="145">
        <v>1</v>
      </c>
      <c r="I296" s="145"/>
      <c r="J296" s="145"/>
      <c r="K296" s="145"/>
      <c r="L296" s="145">
        <v>1</v>
      </c>
      <c r="M296" s="145"/>
      <c r="N296" s="145"/>
      <c r="O296" s="174"/>
      <c r="P296" s="174"/>
      <c r="Q296" s="158">
        <v>197000</v>
      </c>
      <c r="R296" s="158">
        <v>297000</v>
      </c>
      <c r="S296" s="158" t="str">
        <v/>
      </c>
      <c r="T296" s="158" t="str">
        <v/>
      </c>
      <c r="U296" s="158" t="str">
        <v/>
      </c>
      <c r="V296" s="158">
        <v>197000</v>
      </c>
      <c r="W296" s="158" t="str">
        <v/>
      </c>
      <c r="X296" s="158" t="str">
        <v/>
      </c>
      <c r="Y296" s="158" t="str">
        <v/>
      </c>
      <c r="Z296" s="158" t="str">
        <v/>
      </c>
      <c r="AA296" s="158" t="e">
        <v>#VALUE!</v>
      </c>
      <c r="AB296" s="171">
        <v>0.03</v>
      </c>
      <c r="AC296" s="158">
        <v>11008.285714285714</v>
      </c>
      <c r="AD296" s="173" t="str">
        <f ca="1">IFERROR(__xludf.DUMMYFUNCTION("""COMPUTED_VALUE"""),"2025-08")</f>
        <v>2025-08</v>
      </c>
      <c r="AE296" s="154">
        <v>0</v>
      </c>
      <c r="AF296" s="154">
        <v>0</v>
      </c>
    </row>
    <row r="297" spans="1:32" ht="15">
      <c r="A297" s="176">
        <v>45887</v>
      </c>
      <c r="B297" s="145" t="s">
        <v>115</v>
      </c>
      <c r="C297" s="169">
        <v>317</v>
      </c>
      <c r="D297" s="145">
        <v>0</v>
      </c>
      <c r="E297" s="145">
        <v>2</v>
      </c>
      <c r="F297" s="169" t="e">
        <v>#VALUE!</v>
      </c>
      <c r="G297" s="145">
        <v>2</v>
      </c>
      <c r="H297" s="145"/>
      <c r="I297" s="145"/>
      <c r="J297" s="145"/>
      <c r="K297" s="145"/>
      <c r="L297" s="145"/>
      <c r="M297" s="145"/>
      <c r="N297" s="145"/>
      <c r="O297" s="174"/>
      <c r="P297" s="174"/>
      <c r="Q297" s="158">
        <v>394000</v>
      </c>
      <c r="R297" s="158" t="str">
        <v/>
      </c>
      <c r="S297" s="158" t="str">
        <v/>
      </c>
      <c r="T297" s="158" t="str">
        <v/>
      </c>
      <c r="U297" s="158" t="str">
        <v/>
      </c>
      <c r="V297" s="158" t="str">
        <v/>
      </c>
      <c r="W297" s="158" t="str">
        <v/>
      </c>
      <c r="X297" s="158" t="str">
        <v/>
      </c>
      <c r="Y297" s="158" t="str">
        <v/>
      </c>
      <c r="Z297" s="158" t="str">
        <v/>
      </c>
      <c r="AA297" s="158" t="e">
        <v>#VALUE!</v>
      </c>
      <c r="AB297" s="171">
        <v>0.02</v>
      </c>
      <c r="AC297" s="158" t="str">
        <v/>
      </c>
      <c r="AD297" s="173" t="str">
        <f ca="1">IFERROR(__xludf.DUMMYFUNCTION("""COMPUTED_VALUE"""),"2025-08")</f>
        <v>2025-08</v>
      </c>
      <c r="AE297" s="154">
        <v>0</v>
      </c>
      <c r="AF297" s="154">
        <v>0</v>
      </c>
    </row>
    <row r="298" spans="1:32" ht="15">
      <c r="A298" s="176">
        <v>45887</v>
      </c>
      <c r="B298" s="145" t="s">
        <v>61</v>
      </c>
      <c r="C298" s="169">
        <v>4534</v>
      </c>
      <c r="D298" s="145">
        <v>0</v>
      </c>
      <c r="E298" s="145">
        <v>7</v>
      </c>
      <c r="F298" s="169" t="e">
        <v>#VALUE!</v>
      </c>
      <c r="G298" s="145">
        <v>3</v>
      </c>
      <c r="H298" s="145">
        <v>1</v>
      </c>
      <c r="I298" s="145">
        <v>1</v>
      </c>
      <c r="J298" s="145"/>
      <c r="K298" s="145"/>
      <c r="L298" s="145">
        <v>2</v>
      </c>
      <c r="M298" s="145"/>
      <c r="N298" s="145"/>
      <c r="O298" s="174"/>
      <c r="P298" s="174"/>
      <c r="Q298" s="158">
        <v>591000</v>
      </c>
      <c r="R298" s="158">
        <v>297000</v>
      </c>
      <c r="S298" s="158">
        <v>375000</v>
      </c>
      <c r="T298" s="158" t="str">
        <v/>
      </c>
      <c r="U298" s="158" t="str">
        <v/>
      </c>
      <c r="V298" s="158">
        <v>394000</v>
      </c>
      <c r="W298" s="158" t="str">
        <v/>
      </c>
      <c r="X298" s="158" t="str">
        <v/>
      </c>
      <c r="Y298" s="158" t="str">
        <v/>
      </c>
      <c r="Z298" s="158" t="str">
        <v/>
      </c>
      <c r="AA298" s="158" t="e">
        <v>#VALUE!</v>
      </c>
      <c r="AB298" s="171">
        <v>7.0000000000000007E-2</v>
      </c>
      <c r="AC298" s="158" t="str">
        <v/>
      </c>
      <c r="AD298" s="173" t="str">
        <f ca="1">IFERROR(__xludf.DUMMYFUNCTION("""COMPUTED_VALUE"""),"2025-08")</f>
        <v>2025-08</v>
      </c>
      <c r="AE298" s="154">
        <v>0</v>
      </c>
      <c r="AF298" s="154">
        <v>0</v>
      </c>
    </row>
    <row r="299" spans="1:32" ht="15">
      <c r="A299" s="176">
        <v>45887</v>
      </c>
      <c r="B299" s="145" t="s">
        <v>1774</v>
      </c>
      <c r="C299" s="169">
        <v>594</v>
      </c>
      <c r="D299" s="145">
        <v>1</v>
      </c>
      <c r="E299" s="145">
        <v>1</v>
      </c>
      <c r="F299" s="169" t="e">
        <v>#VALUE!</v>
      </c>
      <c r="G299" s="145"/>
      <c r="H299" s="145"/>
      <c r="I299" s="145">
        <v>1</v>
      </c>
      <c r="J299" s="145"/>
      <c r="K299" s="145"/>
      <c r="L299" s="145"/>
      <c r="M299" s="145"/>
      <c r="N299" s="145"/>
      <c r="O299" s="174"/>
      <c r="P299" s="174"/>
      <c r="Q299" s="158" t="str">
        <v/>
      </c>
      <c r="R299" s="158" t="str">
        <v/>
      </c>
      <c r="S299" s="158">
        <v>375000</v>
      </c>
      <c r="T299" s="158" t="str">
        <v/>
      </c>
      <c r="U299" s="158" t="str">
        <v/>
      </c>
      <c r="V299" s="158" t="str">
        <v/>
      </c>
      <c r="W299" s="158" t="str">
        <v/>
      </c>
      <c r="X299" s="158" t="str">
        <v/>
      </c>
      <c r="Y299" s="158" t="str">
        <v/>
      </c>
      <c r="Z299" s="158" t="str">
        <v/>
      </c>
      <c r="AA299" s="158" t="e">
        <v>#VALUE!</v>
      </c>
      <c r="AB299" s="171">
        <v>0.01</v>
      </c>
      <c r="AC299" s="158">
        <v>594</v>
      </c>
      <c r="AD299" s="173" t="str">
        <f ca="1">IFERROR(__xludf.DUMMYFUNCTION("""COMPUTED_VALUE"""),"2025-08")</f>
        <v>2025-08</v>
      </c>
      <c r="AE299" s="154">
        <v>0</v>
      </c>
      <c r="AF299" s="154">
        <v>0</v>
      </c>
    </row>
    <row r="300" spans="1:32" ht="15">
      <c r="A300" s="176">
        <v>45888</v>
      </c>
      <c r="B300" s="145" t="s">
        <v>12896</v>
      </c>
      <c r="C300" s="169">
        <v>60890</v>
      </c>
      <c r="D300" s="145">
        <v>5</v>
      </c>
      <c r="E300" s="145"/>
      <c r="F300" s="169" t="e">
        <v>#VALUE!</v>
      </c>
      <c r="G300" s="145"/>
      <c r="H300" s="145"/>
      <c r="I300" s="145"/>
      <c r="J300" s="145"/>
      <c r="K300" s="145"/>
      <c r="L300" s="145"/>
      <c r="M300" s="145"/>
      <c r="N300" s="145"/>
      <c r="O300" s="174"/>
      <c r="P300" s="174"/>
      <c r="Q300" s="158" t="str">
        <v/>
      </c>
      <c r="R300" s="158" t="str">
        <v/>
      </c>
      <c r="S300" s="158" t="str">
        <v/>
      </c>
      <c r="T300" s="158" t="str">
        <v/>
      </c>
      <c r="U300" s="158" t="str">
        <v/>
      </c>
      <c r="V300" s="158" t="str">
        <v/>
      </c>
      <c r="W300" s="158" t="str">
        <v/>
      </c>
      <c r="X300" s="158" t="str">
        <v/>
      </c>
      <c r="Y300" s="158" t="str">
        <v/>
      </c>
      <c r="Z300" s="158" t="str">
        <v/>
      </c>
      <c r="AA300" s="158" t="e">
        <v>#VALUE!</v>
      </c>
      <c r="AB300" s="171" t="str">
        <v/>
      </c>
      <c r="AC300" s="158">
        <v>12178</v>
      </c>
      <c r="AD300" s="173" t="str">
        <f ca="1">IFERROR(__xludf.DUMMYFUNCTION("""COMPUTED_VALUE"""),"2025-08")</f>
        <v>2025-08</v>
      </c>
      <c r="AE300" s="154" t="str">
        <v/>
      </c>
      <c r="AF300" s="154" t="str">
        <v/>
      </c>
    </row>
    <row r="301" spans="1:32" ht="15">
      <c r="A301" s="176">
        <v>45888</v>
      </c>
      <c r="B301" s="145" t="s">
        <v>1229</v>
      </c>
      <c r="C301" s="169">
        <v>86814</v>
      </c>
      <c r="D301" s="145">
        <v>10</v>
      </c>
      <c r="E301" s="145">
        <v>1</v>
      </c>
      <c r="F301" s="169" t="e">
        <v>#VALUE!</v>
      </c>
      <c r="G301" s="145">
        <v>1</v>
      </c>
      <c r="H301" s="145"/>
      <c r="I301" s="145"/>
      <c r="J301" s="145"/>
      <c r="K301" s="145"/>
      <c r="L301" s="145"/>
      <c r="M301" s="145"/>
      <c r="N301" s="145"/>
      <c r="O301" s="174"/>
      <c r="P301" s="174"/>
      <c r="Q301" s="158">
        <v>197000</v>
      </c>
      <c r="R301" s="158" t="str">
        <v/>
      </c>
      <c r="S301" s="158" t="str">
        <v/>
      </c>
      <c r="T301" s="158" t="str">
        <v/>
      </c>
      <c r="U301" s="158" t="str">
        <v/>
      </c>
      <c r="V301" s="158" t="str">
        <v/>
      </c>
      <c r="W301" s="158" t="str">
        <v/>
      </c>
      <c r="X301" s="158" t="str">
        <v/>
      </c>
      <c r="Y301" s="158" t="str">
        <v/>
      </c>
      <c r="Z301" s="158" t="str">
        <v/>
      </c>
      <c r="AA301" s="158" t="e">
        <v>#VALUE!</v>
      </c>
      <c r="AB301" s="171">
        <v>0.01</v>
      </c>
      <c r="AC301" s="158">
        <v>8681.4</v>
      </c>
      <c r="AD301" s="173" t="str">
        <f ca="1">IFERROR(__xludf.DUMMYFUNCTION("""COMPUTED_VALUE"""),"2025-08")</f>
        <v>2025-08</v>
      </c>
      <c r="AE301" s="154">
        <v>0</v>
      </c>
      <c r="AF301" s="154">
        <v>0</v>
      </c>
    </row>
    <row r="302" spans="1:32" ht="15">
      <c r="A302" s="176">
        <v>45888</v>
      </c>
      <c r="B302" s="145" t="s">
        <v>61</v>
      </c>
      <c r="C302" s="169">
        <v>2362</v>
      </c>
      <c r="D302" s="145">
        <v>0</v>
      </c>
      <c r="E302" s="145">
        <v>8</v>
      </c>
      <c r="F302" s="169" t="e">
        <v>#VALUE!</v>
      </c>
      <c r="G302" s="145">
        <v>4</v>
      </c>
      <c r="H302" s="145">
        <v>1</v>
      </c>
      <c r="I302" s="145">
        <v>1</v>
      </c>
      <c r="J302" s="145"/>
      <c r="K302" s="145">
        <v>1</v>
      </c>
      <c r="L302" s="145">
        <v>1</v>
      </c>
      <c r="M302" s="145"/>
      <c r="N302" s="145"/>
      <c r="O302" s="174"/>
      <c r="P302" s="174"/>
      <c r="Q302" s="158">
        <v>788000</v>
      </c>
      <c r="R302" s="158">
        <v>297000</v>
      </c>
      <c r="S302" s="158">
        <v>375000</v>
      </c>
      <c r="T302" s="158" t="str">
        <v/>
      </c>
      <c r="U302" s="158">
        <v>1000000</v>
      </c>
      <c r="V302" s="158">
        <v>197000</v>
      </c>
      <c r="W302" s="158" t="str">
        <v/>
      </c>
      <c r="X302" s="158" t="str">
        <v/>
      </c>
      <c r="Y302" s="158" t="str">
        <v/>
      </c>
      <c r="Z302" s="158" t="str">
        <v/>
      </c>
      <c r="AA302" s="158" t="e">
        <v>#VALUE!</v>
      </c>
      <c r="AB302" s="171">
        <v>0.08</v>
      </c>
      <c r="AC302" s="158" t="str">
        <v/>
      </c>
      <c r="AD302" s="173" t="str">
        <f ca="1">IFERROR(__xludf.DUMMYFUNCTION("""COMPUTED_VALUE"""),"2025-08")</f>
        <v>2025-08</v>
      </c>
      <c r="AE302" s="154">
        <v>0</v>
      </c>
      <c r="AF302" s="154">
        <v>0</v>
      </c>
    </row>
    <row r="303" spans="1:32" ht="15">
      <c r="A303" s="176">
        <v>45888</v>
      </c>
      <c r="B303" s="145" t="s">
        <v>1774</v>
      </c>
      <c r="C303" s="169">
        <v>0</v>
      </c>
      <c r="D303" s="145"/>
      <c r="E303" s="145">
        <v>2</v>
      </c>
      <c r="F303" s="169" t="e">
        <v>#VALUE!</v>
      </c>
      <c r="G303" s="145">
        <v>1</v>
      </c>
      <c r="H303" s="145"/>
      <c r="I303" s="145"/>
      <c r="J303" s="145"/>
      <c r="K303" s="145"/>
      <c r="L303" s="145">
        <v>1</v>
      </c>
      <c r="M303" s="145"/>
      <c r="N303" s="145"/>
      <c r="O303" s="174"/>
      <c r="P303" s="174"/>
      <c r="Q303" s="158">
        <v>197000</v>
      </c>
      <c r="R303" s="158" t="str">
        <v/>
      </c>
      <c r="S303" s="158" t="str">
        <v/>
      </c>
      <c r="T303" s="158" t="str">
        <v/>
      </c>
      <c r="U303" s="158" t="str">
        <v/>
      </c>
      <c r="V303" s="158">
        <v>197000</v>
      </c>
      <c r="W303" s="158" t="str">
        <v/>
      </c>
      <c r="X303" s="158" t="str">
        <v/>
      </c>
      <c r="Y303" s="158" t="str">
        <v/>
      </c>
      <c r="Z303" s="158" t="str">
        <v/>
      </c>
      <c r="AA303" s="158" t="e">
        <v>#VALUE!</v>
      </c>
      <c r="AB303" s="171">
        <v>0.02</v>
      </c>
      <c r="AC303" s="158">
        <v>0</v>
      </c>
      <c r="AD303" s="173" t="str">
        <f ca="1">IFERROR(__xludf.DUMMYFUNCTION("""COMPUTED_VALUE"""),"2025-08")</f>
        <v>2025-08</v>
      </c>
      <c r="AE303" s="154">
        <v>0</v>
      </c>
      <c r="AF303" s="154">
        <v>0</v>
      </c>
    </row>
    <row r="304" spans="1:32" ht="15">
      <c r="A304" s="176">
        <v>45888</v>
      </c>
      <c r="B304" s="145" t="s">
        <v>115</v>
      </c>
      <c r="C304" s="169">
        <v>0</v>
      </c>
      <c r="D304" s="145"/>
      <c r="E304" s="145">
        <v>2</v>
      </c>
      <c r="F304" s="169" t="e">
        <v>#VALUE!</v>
      </c>
      <c r="G304" s="145"/>
      <c r="H304" s="145"/>
      <c r="I304" s="145"/>
      <c r="J304" s="145"/>
      <c r="K304" s="145"/>
      <c r="L304" s="145"/>
      <c r="M304" s="145">
        <v>2</v>
      </c>
      <c r="N304" s="145"/>
      <c r="O304" s="174"/>
      <c r="P304" s="174"/>
      <c r="Q304" s="158" t="str">
        <v/>
      </c>
      <c r="R304" s="158" t="str">
        <v/>
      </c>
      <c r="S304" s="158" t="str">
        <v/>
      </c>
      <c r="T304" s="158" t="str">
        <v/>
      </c>
      <c r="U304" s="158" t="str">
        <v/>
      </c>
      <c r="V304" s="158" t="str">
        <v/>
      </c>
      <c r="W304" s="158">
        <v>594000</v>
      </c>
      <c r="X304" s="158" t="str">
        <v/>
      </c>
      <c r="Y304" s="158" t="str">
        <v/>
      </c>
      <c r="Z304" s="158" t="str">
        <v/>
      </c>
      <c r="AA304" s="158" t="e">
        <v>#VALUE!</v>
      </c>
      <c r="AB304" s="171">
        <v>0.02</v>
      </c>
      <c r="AC304" s="158">
        <v>0</v>
      </c>
      <c r="AD304" s="173" t="str">
        <f ca="1">IFERROR(__xludf.DUMMYFUNCTION("""COMPUTED_VALUE"""),"2025-08")</f>
        <v>2025-08</v>
      </c>
      <c r="AE304" s="154">
        <v>0</v>
      </c>
      <c r="AF304" s="154">
        <v>0</v>
      </c>
    </row>
    <row r="305" spans="1:32" ht="15">
      <c r="A305" s="176">
        <v>45889</v>
      </c>
      <c r="B305" s="145" t="s">
        <v>12896</v>
      </c>
      <c r="C305" s="169">
        <v>52870</v>
      </c>
      <c r="D305" s="145">
        <v>6</v>
      </c>
      <c r="E305" s="145"/>
      <c r="F305" s="169" t="e">
        <v>#VALUE!</v>
      </c>
      <c r="G305" s="145"/>
      <c r="H305" s="145"/>
      <c r="I305" s="145"/>
      <c r="J305" s="145"/>
      <c r="K305" s="145"/>
      <c r="L305" s="145"/>
      <c r="M305" s="145"/>
      <c r="N305" s="145"/>
      <c r="O305" s="174"/>
      <c r="P305" s="174"/>
      <c r="Q305" s="158" t="str">
        <v/>
      </c>
      <c r="R305" s="158" t="str">
        <v/>
      </c>
      <c r="S305" s="158" t="str">
        <v/>
      </c>
      <c r="T305" s="158" t="str">
        <v/>
      </c>
      <c r="U305" s="158" t="str">
        <v/>
      </c>
      <c r="V305" s="158" t="str">
        <v/>
      </c>
      <c r="W305" s="158" t="str">
        <v/>
      </c>
      <c r="X305" s="158" t="str">
        <v/>
      </c>
      <c r="Y305" s="158" t="str">
        <v/>
      </c>
      <c r="Z305" s="158" t="str">
        <v/>
      </c>
      <c r="AA305" s="158" t="e">
        <v>#VALUE!</v>
      </c>
      <c r="AB305" s="171" t="str">
        <v/>
      </c>
      <c r="AC305" s="158">
        <v>8811.6666666666661</v>
      </c>
      <c r="AD305" s="173" t="str">
        <f ca="1">IFERROR(__xludf.DUMMYFUNCTION("""COMPUTED_VALUE"""),"2025-08")</f>
        <v>2025-08</v>
      </c>
      <c r="AE305" s="154" t="str">
        <v/>
      </c>
      <c r="AF305" s="154" t="str">
        <v/>
      </c>
    </row>
    <row r="306" spans="1:32" ht="15">
      <c r="A306" s="176">
        <v>45889</v>
      </c>
      <c r="B306" s="145" t="s">
        <v>115</v>
      </c>
      <c r="C306" s="169">
        <v>0</v>
      </c>
      <c r="D306" s="145"/>
      <c r="E306" s="145">
        <v>1</v>
      </c>
      <c r="F306" s="169" t="e">
        <v>#VALUE!</v>
      </c>
      <c r="G306" s="145"/>
      <c r="H306" s="145"/>
      <c r="I306" s="145"/>
      <c r="J306" s="145"/>
      <c r="K306" s="145"/>
      <c r="L306" s="145"/>
      <c r="M306" s="145">
        <v>1</v>
      </c>
      <c r="N306" s="145"/>
      <c r="O306" s="174"/>
      <c r="P306" s="174"/>
      <c r="Q306" s="158" t="str">
        <v/>
      </c>
      <c r="R306" s="158" t="str">
        <v/>
      </c>
      <c r="S306" s="158" t="str">
        <v/>
      </c>
      <c r="T306" s="158" t="str">
        <v/>
      </c>
      <c r="U306" s="158" t="str">
        <v/>
      </c>
      <c r="V306" s="158" t="str">
        <v/>
      </c>
      <c r="W306" s="158">
        <v>297000</v>
      </c>
      <c r="X306" s="158" t="str">
        <v/>
      </c>
      <c r="Y306" s="158" t="str">
        <v/>
      </c>
      <c r="Z306" s="158" t="str">
        <v/>
      </c>
      <c r="AA306" s="158" t="e">
        <v>#VALUE!</v>
      </c>
      <c r="AB306" s="171">
        <v>0.01</v>
      </c>
      <c r="AC306" s="158">
        <v>0</v>
      </c>
      <c r="AD306" s="173" t="str">
        <f ca="1">IFERROR(__xludf.DUMMYFUNCTION("""COMPUTED_VALUE"""),"2025-08")</f>
        <v>2025-08</v>
      </c>
      <c r="AE306" s="154">
        <v>0</v>
      </c>
      <c r="AF306" s="154">
        <v>0</v>
      </c>
    </row>
    <row r="307" spans="1:32" ht="15">
      <c r="A307" s="176">
        <v>45889</v>
      </c>
      <c r="B307" s="145" t="s">
        <v>1229</v>
      </c>
      <c r="C307" s="169">
        <v>0</v>
      </c>
      <c r="D307" s="145"/>
      <c r="E307" s="145">
        <v>2</v>
      </c>
      <c r="F307" s="169" t="e">
        <v>#VALUE!</v>
      </c>
      <c r="G307" s="145">
        <v>1</v>
      </c>
      <c r="H307" s="145"/>
      <c r="I307" s="145">
        <v>1</v>
      </c>
      <c r="J307" s="145"/>
      <c r="K307" s="145">
        <v>1</v>
      </c>
      <c r="L307" s="145"/>
      <c r="M307" s="145"/>
      <c r="N307" s="145"/>
      <c r="O307" s="174"/>
      <c r="P307" s="174"/>
      <c r="Q307" s="158">
        <v>197000</v>
      </c>
      <c r="R307" s="158" t="str">
        <v/>
      </c>
      <c r="S307" s="158">
        <v>375000</v>
      </c>
      <c r="T307" s="158" t="str">
        <v/>
      </c>
      <c r="U307" s="158">
        <v>1000000</v>
      </c>
      <c r="V307" s="158" t="str">
        <v/>
      </c>
      <c r="W307" s="158" t="str">
        <v/>
      </c>
      <c r="X307" s="158" t="str">
        <v/>
      </c>
      <c r="Y307" s="158" t="str">
        <v/>
      </c>
      <c r="Z307" s="158" t="str">
        <v/>
      </c>
      <c r="AA307" s="158" t="e">
        <v>#VALUE!</v>
      </c>
      <c r="AB307" s="171">
        <v>0.02</v>
      </c>
      <c r="AC307" s="158">
        <v>0</v>
      </c>
      <c r="AD307" s="173" t="str">
        <f ca="1">IFERROR(__xludf.DUMMYFUNCTION("""COMPUTED_VALUE"""),"2025-08")</f>
        <v>2025-08</v>
      </c>
      <c r="AE307" s="154">
        <v>0</v>
      </c>
      <c r="AF307" s="154">
        <v>0</v>
      </c>
    </row>
    <row r="308" spans="1:32" ht="15">
      <c r="A308" s="176">
        <v>45889</v>
      </c>
      <c r="B308" s="145" t="s">
        <v>61</v>
      </c>
      <c r="C308" s="169">
        <v>0</v>
      </c>
      <c r="D308" s="145"/>
      <c r="E308" s="145">
        <v>4</v>
      </c>
      <c r="F308" s="169" t="e">
        <v>#VALUE!</v>
      </c>
      <c r="G308" s="145">
        <v>3</v>
      </c>
      <c r="H308" s="145"/>
      <c r="I308" s="145"/>
      <c r="J308" s="145"/>
      <c r="K308" s="145"/>
      <c r="L308" s="145"/>
      <c r="M308" s="145">
        <v>1</v>
      </c>
      <c r="N308" s="145"/>
      <c r="O308" s="174"/>
      <c r="P308" s="174"/>
      <c r="Q308" s="158">
        <v>591000</v>
      </c>
      <c r="R308" s="158" t="str">
        <v/>
      </c>
      <c r="S308" s="158" t="str">
        <v/>
      </c>
      <c r="T308" s="158" t="str">
        <v/>
      </c>
      <c r="U308" s="158" t="str">
        <v/>
      </c>
      <c r="V308" s="158" t="str">
        <v/>
      </c>
      <c r="W308" s="158">
        <v>297000</v>
      </c>
      <c r="X308" s="158" t="str">
        <v/>
      </c>
      <c r="Y308" s="158" t="str">
        <v/>
      </c>
      <c r="Z308" s="158" t="str">
        <v/>
      </c>
      <c r="AA308" s="158" t="e">
        <v>#VALUE!</v>
      </c>
      <c r="AB308" s="171">
        <v>0.04</v>
      </c>
      <c r="AC308" s="158">
        <v>0</v>
      </c>
      <c r="AD308" s="173" t="str">
        <f ca="1">IFERROR(__xludf.DUMMYFUNCTION("""COMPUTED_VALUE"""),"2025-08")</f>
        <v>2025-08</v>
      </c>
      <c r="AE308" s="154">
        <v>0</v>
      </c>
      <c r="AF308" s="154">
        <v>0</v>
      </c>
    </row>
    <row r="309" spans="1:32" ht="15">
      <c r="A309" s="176">
        <v>45890</v>
      </c>
      <c r="B309" s="145" t="s">
        <v>12896</v>
      </c>
      <c r="C309" s="169">
        <v>68629</v>
      </c>
      <c r="D309" s="145">
        <v>2</v>
      </c>
      <c r="E309" s="145"/>
      <c r="F309" s="169" t="e">
        <v>#VALUE!</v>
      </c>
      <c r="G309" s="145"/>
      <c r="H309" s="145"/>
      <c r="I309" s="145"/>
      <c r="J309" s="145"/>
      <c r="K309" s="145"/>
      <c r="L309" s="145"/>
      <c r="M309" s="145"/>
      <c r="N309" s="145"/>
      <c r="O309" s="174"/>
      <c r="P309" s="174"/>
      <c r="Q309" s="158" t="str">
        <v/>
      </c>
      <c r="R309" s="158" t="str">
        <v/>
      </c>
      <c r="S309" s="158" t="str">
        <v/>
      </c>
      <c r="T309" s="158" t="str">
        <v/>
      </c>
      <c r="U309" s="158" t="str">
        <v/>
      </c>
      <c r="V309" s="158" t="str">
        <v/>
      </c>
      <c r="W309" s="158" t="str">
        <v/>
      </c>
      <c r="X309" s="158" t="str">
        <v/>
      </c>
      <c r="Y309" s="158" t="str">
        <v/>
      </c>
      <c r="Z309" s="158" t="str">
        <v/>
      </c>
      <c r="AA309" s="158" t="e">
        <v>#VALUE!</v>
      </c>
      <c r="AB309" s="171" t="str">
        <v/>
      </c>
      <c r="AC309" s="158">
        <v>34314.5</v>
      </c>
      <c r="AD309" s="173" t="str">
        <f ca="1">IFERROR(__xludf.DUMMYFUNCTION("""COMPUTED_VALUE"""),"2025-08")</f>
        <v>2025-08</v>
      </c>
      <c r="AE309" s="154" t="str">
        <v/>
      </c>
      <c r="AF309" s="154" t="str">
        <v/>
      </c>
    </row>
    <row r="310" spans="1:32" ht="15">
      <c r="A310" s="176">
        <v>45890</v>
      </c>
      <c r="B310" s="145" t="s">
        <v>1229</v>
      </c>
      <c r="C310" s="169">
        <v>0</v>
      </c>
      <c r="D310" s="145"/>
      <c r="E310" s="145"/>
      <c r="F310" s="169" t="e">
        <v>#VALUE!</v>
      </c>
      <c r="G310" s="145"/>
      <c r="H310" s="145"/>
      <c r="I310" s="145"/>
      <c r="J310" s="145"/>
      <c r="K310" s="145"/>
      <c r="L310" s="145"/>
      <c r="M310" s="145"/>
      <c r="N310" s="145"/>
      <c r="O310" s="174"/>
      <c r="P310" s="174"/>
      <c r="Q310" s="158" t="str">
        <v/>
      </c>
      <c r="R310" s="158" t="str">
        <v/>
      </c>
      <c r="S310" s="158" t="str">
        <v/>
      </c>
      <c r="T310" s="158" t="str">
        <v/>
      </c>
      <c r="U310" s="158" t="str">
        <v/>
      </c>
      <c r="V310" s="158" t="str">
        <v/>
      </c>
      <c r="W310" s="158" t="str">
        <v/>
      </c>
      <c r="X310" s="158" t="str">
        <v/>
      </c>
      <c r="Y310" s="158" t="str">
        <v/>
      </c>
      <c r="Z310" s="158" t="str">
        <v/>
      </c>
      <c r="AA310" s="158" t="e">
        <v>#VALUE!</v>
      </c>
      <c r="AB310" s="171" t="str">
        <v/>
      </c>
      <c r="AC310" s="158">
        <v>0</v>
      </c>
      <c r="AD310" s="173" t="str">
        <f ca="1">IFERROR(__xludf.DUMMYFUNCTION("""COMPUTED_VALUE"""),"2025-08")</f>
        <v>2025-08</v>
      </c>
      <c r="AE310" s="154" t="str">
        <v/>
      </c>
      <c r="AF310" s="154" t="str">
        <v/>
      </c>
    </row>
    <row r="311" spans="1:32" ht="15">
      <c r="A311" s="176">
        <v>45890</v>
      </c>
      <c r="B311" s="145" t="s">
        <v>1774</v>
      </c>
      <c r="C311" s="169">
        <v>0</v>
      </c>
      <c r="D311" s="145"/>
      <c r="E311" s="145">
        <v>1</v>
      </c>
      <c r="F311" s="169" t="e">
        <v>#VALUE!</v>
      </c>
      <c r="G311" s="145"/>
      <c r="H311" s="145">
        <v>1</v>
      </c>
      <c r="I311" s="145"/>
      <c r="J311" s="145">
        <v>1</v>
      </c>
      <c r="K311" s="145"/>
      <c r="L311" s="145"/>
      <c r="M311" s="145"/>
      <c r="N311" s="145"/>
      <c r="O311" s="174"/>
      <c r="P311" s="174"/>
      <c r="Q311" s="158" t="str">
        <v/>
      </c>
      <c r="R311" s="158">
        <v>297000</v>
      </c>
      <c r="S311" s="158" t="str">
        <v/>
      </c>
      <c r="T311" s="158">
        <v>550000</v>
      </c>
      <c r="U311" s="158" t="str">
        <v/>
      </c>
      <c r="V311" s="158" t="str">
        <v/>
      </c>
      <c r="W311" s="158" t="str">
        <v/>
      </c>
      <c r="X311" s="158" t="str">
        <v/>
      </c>
      <c r="Y311" s="158" t="str">
        <v/>
      </c>
      <c r="Z311" s="158" t="str">
        <v/>
      </c>
      <c r="AA311" s="158" t="e">
        <v>#VALUE!</v>
      </c>
      <c r="AB311" s="171">
        <v>0.01</v>
      </c>
      <c r="AC311" s="158">
        <v>0</v>
      </c>
      <c r="AD311" s="173" t="str">
        <f ca="1">IFERROR(__xludf.DUMMYFUNCTION("""COMPUTED_VALUE"""),"2025-08")</f>
        <v>2025-08</v>
      </c>
      <c r="AE311" s="154">
        <v>0</v>
      </c>
      <c r="AF311" s="154">
        <v>0</v>
      </c>
    </row>
    <row r="312" spans="1:32" ht="15">
      <c r="A312" s="176">
        <v>45890</v>
      </c>
      <c r="B312" s="145" t="s">
        <v>61</v>
      </c>
      <c r="C312" s="169">
        <v>0</v>
      </c>
      <c r="D312" s="145"/>
      <c r="E312" s="145">
        <v>7</v>
      </c>
      <c r="F312" s="169" t="e">
        <v>#VALUE!</v>
      </c>
      <c r="G312" s="145">
        <v>3</v>
      </c>
      <c r="H312" s="145">
        <v>1</v>
      </c>
      <c r="I312" s="145"/>
      <c r="J312" s="145">
        <v>1</v>
      </c>
      <c r="K312" s="145"/>
      <c r="L312" s="145">
        <v>2</v>
      </c>
      <c r="M312" s="145">
        <v>1</v>
      </c>
      <c r="N312" s="145"/>
      <c r="O312" s="174"/>
      <c r="P312" s="174"/>
      <c r="Q312" s="158">
        <v>591000</v>
      </c>
      <c r="R312" s="158">
        <v>297000</v>
      </c>
      <c r="S312" s="158" t="str">
        <v/>
      </c>
      <c r="T312" s="158">
        <v>550000</v>
      </c>
      <c r="U312" s="158" t="str">
        <v/>
      </c>
      <c r="V312" s="158">
        <v>394000</v>
      </c>
      <c r="W312" s="158">
        <v>297000</v>
      </c>
      <c r="X312" s="158" t="str">
        <v/>
      </c>
      <c r="Y312" s="158" t="str">
        <v/>
      </c>
      <c r="Z312" s="158" t="str">
        <v/>
      </c>
      <c r="AA312" s="158" t="e">
        <v>#VALUE!</v>
      </c>
      <c r="AB312" s="171">
        <v>7.0000000000000007E-2</v>
      </c>
      <c r="AC312" s="158">
        <v>0</v>
      </c>
      <c r="AD312" s="173" t="str">
        <f ca="1">IFERROR(__xludf.DUMMYFUNCTION("""COMPUTED_VALUE"""),"2025-08")</f>
        <v>2025-08</v>
      </c>
      <c r="AE312" s="154">
        <v>0</v>
      </c>
      <c r="AF312" s="154">
        <v>0</v>
      </c>
    </row>
    <row r="313" spans="1:32" ht="15">
      <c r="A313" s="176">
        <v>45890</v>
      </c>
      <c r="B313" s="145" t="s">
        <v>115</v>
      </c>
      <c r="C313" s="169">
        <v>0</v>
      </c>
      <c r="D313" s="145"/>
      <c r="E313" s="145"/>
      <c r="F313" s="169" t="e">
        <v>#VALUE!</v>
      </c>
      <c r="G313" s="145"/>
      <c r="H313" s="145"/>
      <c r="I313" s="145"/>
      <c r="J313" s="145"/>
      <c r="K313" s="145"/>
      <c r="L313" s="145"/>
      <c r="M313" s="145"/>
      <c r="N313" s="145"/>
      <c r="O313" s="174"/>
      <c r="P313" s="174"/>
      <c r="Q313" s="158" t="str">
        <v/>
      </c>
      <c r="R313" s="158" t="str">
        <v/>
      </c>
      <c r="S313" s="158" t="str">
        <v/>
      </c>
      <c r="T313" s="158" t="str">
        <v/>
      </c>
      <c r="U313" s="158" t="str">
        <v/>
      </c>
      <c r="V313" s="158" t="str">
        <v/>
      </c>
      <c r="W313" s="158" t="str">
        <v/>
      </c>
      <c r="X313" s="158" t="str">
        <v/>
      </c>
      <c r="Y313" s="158" t="str">
        <v/>
      </c>
      <c r="Z313" s="158" t="str">
        <v/>
      </c>
      <c r="AA313" s="158" t="e">
        <v>#VALUE!</v>
      </c>
      <c r="AB313" s="171" t="str">
        <v/>
      </c>
      <c r="AC313" s="158">
        <v>0</v>
      </c>
      <c r="AD313" s="173" t="str">
        <f ca="1">IFERROR(__xludf.DUMMYFUNCTION("""COMPUTED_VALUE"""),"2025-08")</f>
        <v>2025-08</v>
      </c>
      <c r="AE313" s="154" t="str">
        <v/>
      </c>
      <c r="AF313" s="154" t="str">
        <v/>
      </c>
    </row>
    <row r="314" spans="1:32" ht="15">
      <c r="A314" s="176">
        <v>45891</v>
      </c>
      <c r="B314" s="145" t="s">
        <v>12896</v>
      </c>
      <c r="C314" s="169">
        <v>131970</v>
      </c>
      <c r="D314" s="145">
        <v>16</v>
      </c>
      <c r="E314" s="145"/>
      <c r="F314" s="169" t="e">
        <v>#VALUE!</v>
      </c>
      <c r="G314" s="145"/>
      <c r="H314" s="145"/>
      <c r="I314" s="145"/>
      <c r="J314" s="145"/>
      <c r="K314" s="145"/>
      <c r="L314" s="145"/>
      <c r="M314" s="145"/>
      <c r="N314" s="145"/>
      <c r="O314" s="174"/>
      <c r="P314" s="174"/>
      <c r="Q314" s="158" t="str">
        <v/>
      </c>
      <c r="R314" s="158" t="str">
        <v/>
      </c>
      <c r="S314" s="158" t="str">
        <v/>
      </c>
      <c r="T314" s="158" t="str">
        <v/>
      </c>
      <c r="U314" s="158" t="str">
        <v/>
      </c>
      <c r="V314" s="158" t="str">
        <v/>
      </c>
      <c r="W314" s="158" t="str">
        <v/>
      </c>
      <c r="X314" s="158" t="str">
        <v/>
      </c>
      <c r="Y314" s="158" t="str">
        <v/>
      </c>
      <c r="Z314" s="158" t="str">
        <v/>
      </c>
      <c r="AA314" s="158" t="e">
        <v>#VALUE!</v>
      </c>
      <c r="AB314" s="171" t="str">
        <v/>
      </c>
      <c r="AC314" s="158">
        <v>8248.125</v>
      </c>
      <c r="AD314" s="173" t="str">
        <f ca="1">IFERROR(__xludf.DUMMYFUNCTION("""COMPUTED_VALUE"""),"2025-08")</f>
        <v>2025-08</v>
      </c>
      <c r="AE314" s="154" t="str">
        <v/>
      </c>
      <c r="AF314" s="154" t="str">
        <v/>
      </c>
    </row>
    <row r="315" spans="1:32" ht="15">
      <c r="A315" s="176">
        <v>45891</v>
      </c>
      <c r="B315" s="145" t="s">
        <v>1229</v>
      </c>
      <c r="C315" s="169">
        <v>0</v>
      </c>
      <c r="D315" s="145"/>
      <c r="E315" s="145">
        <v>3</v>
      </c>
      <c r="F315" s="169" t="e">
        <v>#VALUE!</v>
      </c>
      <c r="G315" s="145"/>
      <c r="H315" s="145"/>
      <c r="I315" s="145"/>
      <c r="J315" s="145"/>
      <c r="K315" s="145"/>
      <c r="L315" s="145">
        <v>2</v>
      </c>
      <c r="M315" s="145"/>
      <c r="N315" s="145"/>
      <c r="O315" s="174">
        <v>1</v>
      </c>
      <c r="P315" s="174"/>
      <c r="Q315" s="158" t="str">
        <v/>
      </c>
      <c r="R315" s="158" t="str">
        <v/>
      </c>
      <c r="S315" s="158" t="str">
        <v/>
      </c>
      <c r="T315" s="158" t="str">
        <v/>
      </c>
      <c r="U315" s="158" t="str">
        <v/>
      </c>
      <c r="V315" s="158">
        <v>394000</v>
      </c>
      <c r="W315" s="158" t="str">
        <v/>
      </c>
      <c r="X315" s="158" t="str">
        <v/>
      </c>
      <c r="Y315" s="158">
        <v>550000</v>
      </c>
      <c r="Z315" s="158" t="str">
        <v/>
      </c>
      <c r="AA315" s="158" t="e">
        <v>#VALUE!</v>
      </c>
      <c r="AB315" s="171">
        <v>0.03</v>
      </c>
      <c r="AC315" s="158">
        <v>0</v>
      </c>
      <c r="AD315" s="173" t="str">
        <f ca="1">IFERROR(__xludf.DUMMYFUNCTION("""COMPUTED_VALUE"""),"2025-08")</f>
        <v>2025-08</v>
      </c>
      <c r="AE315" s="154">
        <v>0</v>
      </c>
      <c r="AF315" s="154">
        <v>0</v>
      </c>
    </row>
    <row r="316" spans="1:32" ht="15">
      <c r="A316" s="176">
        <v>45891</v>
      </c>
      <c r="B316" s="145" t="s">
        <v>1774</v>
      </c>
      <c r="C316" s="169">
        <v>0</v>
      </c>
      <c r="D316" s="145"/>
      <c r="E316" s="145"/>
      <c r="F316" s="169" t="e">
        <v>#VALUE!</v>
      </c>
      <c r="G316" s="145"/>
      <c r="H316" s="145"/>
      <c r="I316" s="145"/>
      <c r="J316" s="145"/>
      <c r="K316" s="145"/>
      <c r="L316" s="145"/>
      <c r="M316" s="145"/>
      <c r="N316" s="145"/>
      <c r="O316" s="174"/>
      <c r="P316" s="174"/>
      <c r="Q316" s="158" t="str">
        <v/>
      </c>
      <c r="R316" s="158" t="str">
        <v/>
      </c>
      <c r="S316" s="158" t="str">
        <v/>
      </c>
      <c r="T316" s="158" t="str">
        <v/>
      </c>
      <c r="U316" s="158" t="str">
        <v/>
      </c>
      <c r="V316" s="158" t="str">
        <v/>
      </c>
      <c r="W316" s="158" t="str">
        <v/>
      </c>
      <c r="X316" s="158" t="str">
        <v/>
      </c>
      <c r="Y316" s="158" t="str">
        <v/>
      </c>
      <c r="Z316" s="158" t="str">
        <v/>
      </c>
      <c r="AA316" s="158" t="e">
        <v>#VALUE!</v>
      </c>
      <c r="AB316" s="171" t="str">
        <v/>
      </c>
      <c r="AC316" s="158">
        <v>0</v>
      </c>
      <c r="AD316" s="173" t="str">
        <f ca="1">IFERROR(__xludf.DUMMYFUNCTION("""COMPUTED_VALUE"""),"2025-08")</f>
        <v>2025-08</v>
      </c>
      <c r="AE316" s="154" t="str">
        <v/>
      </c>
      <c r="AF316" s="154" t="str">
        <v/>
      </c>
    </row>
    <row r="317" spans="1:32" ht="15">
      <c r="A317" s="176">
        <v>45891</v>
      </c>
      <c r="B317" s="145" t="s">
        <v>115</v>
      </c>
      <c r="C317" s="169">
        <v>0</v>
      </c>
      <c r="D317" s="145"/>
      <c r="E317" s="145"/>
      <c r="F317" s="169" t="e">
        <v>#VALUE!</v>
      </c>
      <c r="G317" s="145"/>
      <c r="H317" s="145"/>
      <c r="I317" s="145"/>
      <c r="J317" s="145"/>
      <c r="K317" s="145"/>
      <c r="L317" s="145"/>
      <c r="M317" s="145"/>
      <c r="N317" s="145"/>
      <c r="O317" s="174"/>
      <c r="P317" s="174"/>
      <c r="Q317" s="158" t="str">
        <v/>
      </c>
      <c r="R317" s="158" t="str">
        <v/>
      </c>
      <c r="S317" s="158" t="str">
        <v/>
      </c>
      <c r="T317" s="158" t="str">
        <v/>
      </c>
      <c r="U317" s="158" t="str">
        <v/>
      </c>
      <c r="V317" s="158" t="str">
        <v/>
      </c>
      <c r="W317" s="158" t="str">
        <v/>
      </c>
      <c r="X317" s="158" t="str">
        <v/>
      </c>
      <c r="Y317" s="158" t="str">
        <v/>
      </c>
      <c r="Z317" s="158" t="str">
        <v/>
      </c>
      <c r="AA317" s="158" t="e">
        <v>#VALUE!</v>
      </c>
      <c r="AB317" s="171" t="str">
        <v/>
      </c>
      <c r="AC317" s="158">
        <v>0</v>
      </c>
      <c r="AD317" s="173" t="str">
        <f ca="1">IFERROR(__xludf.DUMMYFUNCTION("""COMPUTED_VALUE"""),"2025-08")</f>
        <v>2025-08</v>
      </c>
      <c r="AE317" s="154" t="str">
        <v/>
      </c>
      <c r="AF317" s="154" t="str">
        <v/>
      </c>
    </row>
    <row r="318" spans="1:32" ht="15">
      <c r="A318" s="176">
        <v>45892</v>
      </c>
      <c r="B318" s="145" t="s">
        <v>12897</v>
      </c>
      <c r="C318" s="169">
        <v>23795</v>
      </c>
      <c r="D318" s="145">
        <v>3</v>
      </c>
      <c r="E318" s="145"/>
      <c r="F318" s="169" t="e">
        <v>#VALUE!</v>
      </c>
      <c r="G318" s="145"/>
      <c r="H318" s="145"/>
      <c r="I318" s="145"/>
      <c r="J318" s="145"/>
      <c r="K318" s="145"/>
      <c r="L318" s="145"/>
      <c r="M318" s="145"/>
      <c r="N318" s="145"/>
      <c r="O318" s="174"/>
      <c r="P318" s="174"/>
      <c r="Q318" s="158" t="str">
        <v/>
      </c>
      <c r="R318" s="158" t="str">
        <v/>
      </c>
      <c r="S318" s="158" t="str">
        <v/>
      </c>
      <c r="T318" s="158" t="str">
        <v/>
      </c>
      <c r="U318" s="158" t="str">
        <v/>
      </c>
      <c r="V318" s="158" t="str">
        <v/>
      </c>
      <c r="W318" s="158" t="str">
        <v/>
      </c>
      <c r="X318" s="158" t="str">
        <v/>
      </c>
      <c r="Y318" s="158" t="str">
        <v/>
      </c>
      <c r="Z318" s="158" t="str">
        <v/>
      </c>
      <c r="AA318" s="158" t="e">
        <v>#VALUE!</v>
      </c>
      <c r="AB318" s="171" t="str">
        <v/>
      </c>
      <c r="AC318" s="158">
        <v>7931.666666666667</v>
      </c>
      <c r="AD318" s="173" t="str">
        <f ca="1">IFERROR(__xludf.DUMMYFUNCTION("""COMPUTED_VALUE"""),"2025-08")</f>
        <v>2025-08</v>
      </c>
      <c r="AE318" s="154" t="str">
        <v/>
      </c>
      <c r="AF318" s="154" t="str">
        <v/>
      </c>
    </row>
    <row r="319" spans="1:32" ht="15">
      <c r="A319" s="176">
        <v>45892</v>
      </c>
      <c r="B319" s="145" t="s">
        <v>12896</v>
      </c>
      <c r="C319" s="169">
        <v>165215</v>
      </c>
      <c r="D319" s="145">
        <v>18</v>
      </c>
      <c r="E319" s="145"/>
      <c r="F319" s="169" t="e">
        <v>#VALUE!</v>
      </c>
      <c r="G319" s="145"/>
      <c r="H319" s="145"/>
      <c r="I319" s="145"/>
      <c r="J319" s="145"/>
      <c r="K319" s="145"/>
      <c r="L319" s="145"/>
      <c r="M319" s="145"/>
      <c r="N319" s="145"/>
      <c r="O319" s="174"/>
      <c r="P319" s="174"/>
      <c r="Q319" s="158" t="str">
        <v/>
      </c>
      <c r="R319" s="158" t="str">
        <v/>
      </c>
      <c r="S319" s="158" t="str">
        <v/>
      </c>
      <c r="T319" s="158" t="str">
        <v/>
      </c>
      <c r="U319" s="158" t="str">
        <v/>
      </c>
      <c r="V319" s="158" t="str">
        <v/>
      </c>
      <c r="W319" s="158" t="str">
        <v/>
      </c>
      <c r="X319" s="158" t="str">
        <v/>
      </c>
      <c r="Y319" s="158" t="str">
        <v/>
      </c>
      <c r="Z319" s="158" t="str">
        <v/>
      </c>
      <c r="AA319" s="158" t="e">
        <v>#VALUE!</v>
      </c>
      <c r="AB319" s="171" t="str">
        <v/>
      </c>
      <c r="AC319" s="158">
        <v>9178.6111111111113</v>
      </c>
      <c r="AD319" s="173" t="str">
        <f ca="1">IFERROR(__xludf.DUMMYFUNCTION("""COMPUTED_VALUE"""),"2025-08")</f>
        <v>2025-08</v>
      </c>
      <c r="AE319" s="154" t="str">
        <v/>
      </c>
      <c r="AF319" s="154" t="str">
        <v/>
      </c>
    </row>
    <row r="320" spans="1:32" ht="15">
      <c r="A320" s="176">
        <v>45891</v>
      </c>
      <c r="B320" s="145" t="s">
        <v>61</v>
      </c>
      <c r="C320" s="169">
        <v>0</v>
      </c>
      <c r="D320" s="145"/>
      <c r="E320" s="145">
        <v>6</v>
      </c>
      <c r="F320" s="169" t="e">
        <v>#VALUE!</v>
      </c>
      <c r="G320" s="145">
        <v>3</v>
      </c>
      <c r="H320" s="145"/>
      <c r="I320" s="145"/>
      <c r="J320" s="145"/>
      <c r="K320" s="145"/>
      <c r="L320" s="145"/>
      <c r="M320" s="145">
        <v>1</v>
      </c>
      <c r="N320" s="145"/>
      <c r="O320" s="174"/>
      <c r="P320" s="174"/>
      <c r="Q320" s="158">
        <v>591000</v>
      </c>
      <c r="R320" s="158" t="str">
        <v/>
      </c>
      <c r="S320" s="158" t="str">
        <v/>
      </c>
      <c r="T320" s="158" t="str">
        <v/>
      </c>
      <c r="U320" s="158" t="str">
        <v/>
      </c>
      <c r="V320" s="158" t="str">
        <v/>
      </c>
      <c r="W320" s="158">
        <v>297000</v>
      </c>
      <c r="X320" s="158" t="str">
        <v/>
      </c>
      <c r="Y320" s="158" t="str">
        <v/>
      </c>
      <c r="Z320" s="158" t="str">
        <v/>
      </c>
      <c r="AA320" s="158" t="e">
        <v>#VALUE!</v>
      </c>
      <c r="AB320" s="171">
        <v>0.06</v>
      </c>
      <c r="AC320" s="158">
        <v>0</v>
      </c>
      <c r="AD320" s="173" t="str">
        <f ca="1">IFERROR(__xludf.DUMMYFUNCTION("""COMPUTED_VALUE"""),"2025-08")</f>
        <v>2025-08</v>
      </c>
      <c r="AE320" s="154">
        <v>0</v>
      </c>
      <c r="AF320" s="154">
        <v>0</v>
      </c>
    </row>
    <row r="321" spans="1:32" ht="15">
      <c r="A321" s="176">
        <v>45892</v>
      </c>
      <c r="B321" s="145" t="s">
        <v>61</v>
      </c>
      <c r="C321" s="169">
        <v>0</v>
      </c>
      <c r="D321" s="145"/>
      <c r="E321" s="145">
        <v>5</v>
      </c>
      <c r="F321" s="169" t="e">
        <v>#VALUE!</v>
      </c>
      <c r="G321" s="145">
        <v>2</v>
      </c>
      <c r="H321" s="145">
        <v>1</v>
      </c>
      <c r="I321" s="145"/>
      <c r="J321" s="145">
        <v>1</v>
      </c>
      <c r="K321" s="145"/>
      <c r="L321" s="145"/>
      <c r="M321" s="145">
        <v>1</v>
      </c>
      <c r="N321" s="145"/>
      <c r="O321" s="174"/>
      <c r="P321" s="174"/>
      <c r="Q321" s="158">
        <v>394000</v>
      </c>
      <c r="R321" s="158">
        <v>297000</v>
      </c>
      <c r="S321" s="158" t="str">
        <v/>
      </c>
      <c r="T321" s="158">
        <v>550000</v>
      </c>
      <c r="U321" s="158" t="str">
        <v/>
      </c>
      <c r="V321" s="158" t="str">
        <v/>
      </c>
      <c r="W321" s="158">
        <v>297000</v>
      </c>
      <c r="X321" s="158" t="str">
        <v/>
      </c>
      <c r="Y321" s="158" t="str">
        <v/>
      </c>
      <c r="Z321" s="158" t="str">
        <v/>
      </c>
      <c r="AA321" s="158" t="e">
        <v>#VALUE!</v>
      </c>
      <c r="AB321" s="171">
        <v>0.05</v>
      </c>
      <c r="AC321" s="158">
        <v>0</v>
      </c>
      <c r="AD321" s="173" t="str">
        <f ca="1">IFERROR(__xludf.DUMMYFUNCTION("""COMPUTED_VALUE"""),"2025-08")</f>
        <v>2025-08</v>
      </c>
      <c r="AE321" s="154">
        <v>0</v>
      </c>
      <c r="AF321" s="154">
        <v>0</v>
      </c>
    </row>
    <row r="322" spans="1:32" ht="15">
      <c r="A322" s="176">
        <v>45892</v>
      </c>
      <c r="B322" s="145" t="s">
        <v>1774</v>
      </c>
      <c r="C322" s="169">
        <v>0</v>
      </c>
      <c r="D322" s="145"/>
      <c r="E322" s="145">
        <v>2</v>
      </c>
      <c r="F322" s="169" t="e">
        <v>#VALUE!</v>
      </c>
      <c r="G322" s="145"/>
      <c r="H322" s="145"/>
      <c r="I322" s="145">
        <v>1</v>
      </c>
      <c r="J322" s="145"/>
      <c r="K322" s="145">
        <v>1</v>
      </c>
      <c r="L322" s="145"/>
      <c r="M322" s="145">
        <v>1</v>
      </c>
      <c r="N322" s="145"/>
      <c r="O322" s="174"/>
      <c r="P322" s="174"/>
      <c r="Q322" s="158" t="str">
        <v/>
      </c>
      <c r="R322" s="158" t="str">
        <v/>
      </c>
      <c r="S322" s="158">
        <v>375000</v>
      </c>
      <c r="T322" s="158" t="str">
        <v/>
      </c>
      <c r="U322" s="158">
        <v>1000000</v>
      </c>
      <c r="V322" s="158" t="str">
        <v/>
      </c>
      <c r="W322" s="158">
        <v>297000</v>
      </c>
      <c r="X322" s="158" t="str">
        <v/>
      </c>
      <c r="Y322" s="158" t="str">
        <v/>
      </c>
      <c r="Z322" s="158" t="str">
        <v/>
      </c>
      <c r="AA322" s="158" t="e">
        <v>#VALUE!</v>
      </c>
      <c r="AB322" s="171">
        <v>0.02</v>
      </c>
      <c r="AC322" s="158">
        <v>0</v>
      </c>
      <c r="AD322" s="173" t="str">
        <f ca="1">IFERROR(__xludf.DUMMYFUNCTION("""COMPUTED_VALUE"""),"2025-08")</f>
        <v>2025-08</v>
      </c>
      <c r="AE322" s="154">
        <v>0</v>
      </c>
      <c r="AF322" s="154">
        <v>0</v>
      </c>
    </row>
    <row r="323" spans="1:32" ht="15">
      <c r="A323" s="176">
        <v>45892</v>
      </c>
      <c r="B323" s="145" t="s">
        <v>115</v>
      </c>
      <c r="C323" s="169">
        <v>0</v>
      </c>
      <c r="D323" s="145"/>
      <c r="E323" s="145">
        <v>2</v>
      </c>
      <c r="F323" s="169" t="e">
        <v>#VALUE!</v>
      </c>
      <c r="G323" s="145"/>
      <c r="H323" s="145"/>
      <c r="I323" s="145"/>
      <c r="J323" s="145"/>
      <c r="K323" s="145"/>
      <c r="L323" s="145"/>
      <c r="M323" s="145"/>
      <c r="N323" s="145">
        <v>1</v>
      </c>
      <c r="O323" s="174"/>
      <c r="P323" s="174">
        <v>1</v>
      </c>
      <c r="Q323" s="158" t="str">
        <v/>
      </c>
      <c r="R323" s="158" t="str">
        <v/>
      </c>
      <c r="S323" s="158" t="str">
        <v/>
      </c>
      <c r="T323" s="158" t="str">
        <v/>
      </c>
      <c r="U323" s="158" t="str">
        <v/>
      </c>
      <c r="V323" s="158" t="str">
        <v/>
      </c>
      <c r="W323" s="158" t="str">
        <v/>
      </c>
      <c r="X323" s="158">
        <v>375000</v>
      </c>
      <c r="Y323" s="158" t="str">
        <v/>
      </c>
      <c r="Z323" s="158">
        <v>1000000</v>
      </c>
      <c r="AA323" s="158" t="e">
        <v>#VALUE!</v>
      </c>
      <c r="AB323" s="171">
        <v>0.02</v>
      </c>
      <c r="AC323" s="158">
        <v>0</v>
      </c>
      <c r="AD323" s="173" t="str">
        <f ca="1">IFERROR(__xludf.DUMMYFUNCTION("""COMPUTED_VALUE"""),"2025-08")</f>
        <v>2025-08</v>
      </c>
      <c r="AE323" s="154">
        <v>0</v>
      </c>
      <c r="AF323" s="154">
        <v>0</v>
      </c>
    </row>
    <row r="324" spans="1:32" ht="15">
      <c r="A324" s="176">
        <v>45893</v>
      </c>
      <c r="B324" s="145" t="s">
        <v>61</v>
      </c>
      <c r="C324" s="169">
        <v>0</v>
      </c>
      <c r="D324" s="145"/>
      <c r="E324" s="145">
        <v>2</v>
      </c>
      <c r="F324" s="169" t="e">
        <v>#VALUE!</v>
      </c>
      <c r="G324" s="145"/>
      <c r="H324" s="145"/>
      <c r="I324" s="145"/>
      <c r="J324" s="145"/>
      <c r="K324" s="145"/>
      <c r="L324" s="145">
        <v>2</v>
      </c>
      <c r="M324" s="145"/>
      <c r="N324" s="145"/>
      <c r="O324" s="174"/>
      <c r="P324" s="174"/>
      <c r="Q324" s="158" t="str">
        <v/>
      </c>
      <c r="R324" s="158" t="str">
        <v/>
      </c>
      <c r="S324" s="158" t="str">
        <v/>
      </c>
      <c r="T324" s="158" t="str">
        <v/>
      </c>
      <c r="U324" s="158" t="str">
        <v/>
      </c>
      <c r="V324" s="158">
        <v>394000</v>
      </c>
      <c r="W324" s="158" t="str">
        <v/>
      </c>
      <c r="X324" s="158" t="str">
        <v/>
      </c>
      <c r="Y324" s="158" t="str">
        <v/>
      </c>
      <c r="Z324" s="158" t="str">
        <v/>
      </c>
      <c r="AA324" s="158" t="e">
        <v>#VALUE!</v>
      </c>
      <c r="AB324" s="171">
        <v>0.02</v>
      </c>
      <c r="AC324" s="158">
        <v>0</v>
      </c>
      <c r="AD324" s="173" t="str">
        <f ca="1">IFERROR(__xludf.DUMMYFUNCTION("""COMPUTED_VALUE"""),"2025-08")</f>
        <v>2025-08</v>
      </c>
      <c r="AE324" s="154">
        <v>0</v>
      </c>
      <c r="AF324" s="154">
        <v>0</v>
      </c>
    </row>
    <row r="325" spans="1:32" ht="15">
      <c r="A325" s="176">
        <v>45893</v>
      </c>
      <c r="B325" s="145" t="s">
        <v>115</v>
      </c>
      <c r="C325" s="169">
        <v>0</v>
      </c>
      <c r="D325" s="145"/>
      <c r="E325" s="145"/>
      <c r="F325" s="169" t="e">
        <v>#VALUE!</v>
      </c>
      <c r="G325" s="145"/>
      <c r="H325" s="145"/>
      <c r="I325" s="145"/>
      <c r="J325" s="145"/>
      <c r="K325" s="145"/>
      <c r="L325" s="145"/>
      <c r="M325" s="145"/>
      <c r="N325" s="145"/>
      <c r="O325" s="174"/>
      <c r="P325" s="174"/>
      <c r="Q325" s="158" t="str">
        <v/>
      </c>
      <c r="R325" s="158" t="str">
        <v/>
      </c>
      <c r="S325" s="158" t="str">
        <v/>
      </c>
      <c r="T325" s="158" t="str">
        <v/>
      </c>
      <c r="U325" s="158" t="str">
        <v/>
      </c>
      <c r="V325" s="158" t="str">
        <v/>
      </c>
      <c r="W325" s="158" t="str">
        <v/>
      </c>
      <c r="X325" s="158" t="str">
        <v/>
      </c>
      <c r="Y325" s="158" t="str">
        <v/>
      </c>
      <c r="Z325" s="158" t="str">
        <v/>
      </c>
      <c r="AA325" s="158" t="e">
        <v>#VALUE!</v>
      </c>
      <c r="AB325" s="171" t="str">
        <v/>
      </c>
      <c r="AC325" s="158">
        <v>0</v>
      </c>
      <c r="AD325" s="173" t="str">
        <f ca="1">IFERROR(__xludf.DUMMYFUNCTION("""COMPUTED_VALUE"""),"2025-08")</f>
        <v>2025-08</v>
      </c>
      <c r="AE325" s="154" t="str">
        <v/>
      </c>
      <c r="AF325" s="154" t="str">
        <v/>
      </c>
    </row>
    <row r="326" spans="1:32" ht="15">
      <c r="A326" s="176">
        <v>45892</v>
      </c>
      <c r="B326" s="145" t="s">
        <v>1229</v>
      </c>
      <c r="C326" s="169">
        <v>0</v>
      </c>
      <c r="D326" s="145"/>
      <c r="E326" s="145">
        <v>5</v>
      </c>
      <c r="F326" s="169" t="e">
        <v>#VALUE!</v>
      </c>
      <c r="G326" s="145">
        <v>2</v>
      </c>
      <c r="H326" s="145"/>
      <c r="I326" s="145">
        <v>3</v>
      </c>
      <c r="J326" s="145"/>
      <c r="K326" s="145">
        <v>3</v>
      </c>
      <c r="L326" s="145"/>
      <c r="M326" s="145"/>
      <c r="N326" s="145"/>
      <c r="O326" s="174"/>
      <c r="P326" s="174"/>
      <c r="Q326" s="158">
        <v>394000</v>
      </c>
      <c r="R326" s="158" t="str">
        <v/>
      </c>
      <c r="S326" s="158">
        <v>1125000</v>
      </c>
      <c r="T326" s="158" t="str">
        <v/>
      </c>
      <c r="U326" s="158">
        <v>3000000</v>
      </c>
      <c r="V326" s="158" t="str">
        <v/>
      </c>
      <c r="W326" s="158" t="str">
        <v/>
      </c>
      <c r="X326" s="158" t="str">
        <v/>
      </c>
      <c r="Y326" s="158" t="str">
        <v/>
      </c>
      <c r="Z326" s="158" t="str">
        <v/>
      </c>
      <c r="AA326" s="158" t="e">
        <v>#VALUE!</v>
      </c>
      <c r="AB326" s="171">
        <v>0.05</v>
      </c>
      <c r="AC326" s="158">
        <v>0</v>
      </c>
      <c r="AD326" s="173" t="str">
        <f ca="1">IFERROR(__xludf.DUMMYFUNCTION("""COMPUTED_VALUE"""),"2025-08")</f>
        <v>2025-08</v>
      </c>
      <c r="AE326" s="154">
        <v>0</v>
      </c>
      <c r="AF326" s="154">
        <v>0</v>
      </c>
    </row>
    <row r="327" spans="1:32" ht="15">
      <c r="A327" s="176">
        <v>45893</v>
      </c>
      <c r="B327" s="145" t="s">
        <v>1229</v>
      </c>
      <c r="C327" s="169">
        <v>0</v>
      </c>
      <c r="D327" s="145"/>
      <c r="E327" s="145">
        <v>4</v>
      </c>
      <c r="F327" s="169" t="e">
        <v>#VALUE!</v>
      </c>
      <c r="G327" s="145">
        <v>3</v>
      </c>
      <c r="H327" s="145">
        <v>1</v>
      </c>
      <c r="I327" s="145"/>
      <c r="J327" s="145">
        <v>1</v>
      </c>
      <c r="K327" s="145"/>
      <c r="L327" s="145"/>
      <c r="M327" s="145"/>
      <c r="N327" s="145"/>
      <c r="O327" s="174"/>
      <c r="P327" s="174"/>
      <c r="Q327" s="158">
        <v>591000</v>
      </c>
      <c r="R327" s="158">
        <v>297000</v>
      </c>
      <c r="S327" s="158" t="str">
        <v/>
      </c>
      <c r="T327" s="158">
        <v>550000</v>
      </c>
      <c r="U327" s="158" t="str">
        <v/>
      </c>
      <c r="V327" s="158" t="str">
        <v/>
      </c>
      <c r="W327" s="158" t="str">
        <v/>
      </c>
      <c r="X327" s="158" t="str">
        <v/>
      </c>
      <c r="Y327" s="158" t="str">
        <v/>
      </c>
      <c r="Z327" s="158" t="str">
        <v/>
      </c>
      <c r="AA327" s="158" t="e">
        <v>#VALUE!</v>
      </c>
      <c r="AB327" s="171">
        <v>0.04</v>
      </c>
      <c r="AC327" s="158">
        <v>0</v>
      </c>
      <c r="AD327" s="173" t="str">
        <f ca="1">IFERROR(__xludf.DUMMYFUNCTION("""COMPUTED_VALUE"""),"2025-08")</f>
        <v>2025-08</v>
      </c>
      <c r="AE327" s="154">
        <v>0</v>
      </c>
      <c r="AF327" s="154">
        <v>0</v>
      </c>
    </row>
    <row r="328" spans="1:32" ht="15">
      <c r="A328" s="176">
        <v>45894</v>
      </c>
      <c r="B328" s="145" t="s">
        <v>12897</v>
      </c>
      <c r="C328" s="169">
        <v>434758</v>
      </c>
      <c r="D328" s="145">
        <v>87</v>
      </c>
      <c r="E328" s="145"/>
      <c r="F328" s="169" t="e">
        <v>#VALUE!</v>
      </c>
      <c r="G328" s="145"/>
      <c r="H328" s="145"/>
      <c r="I328" s="145"/>
      <c r="J328" s="145"/>
      <c r="K328" s="145"/>
      <c r="L328" s="145"/>
      <c r="M328" s="145"/>
      <c r="N328" s="145"/>
      <c r="O328" s="174"/>
      <c r="P328" s="174"/>
      <c r="Q328" s="158" t="str">
        <v/>
      </c>
      <c r="R328" s="158" t="str">
        <v/>
      </c>
      <c r="S328" s="158" t="str">
        <v/>
      </c>
      <c r="T328" s="158" t="str">
        <v/>
      </c>
      <c r="U328" s="158" t="str">
        <v/>
      </c>
      <c r="V328" s="158" t="str">
        <v/>
      </c>
      <c r="W328" s="158" t="str">
        <v/>
      </c>
      <c r="X328" s="158" t="str">
        <v/>
      </c>
      <c r="Y328" s="158" t="str">
        <v/>
      </c>
      <c r="Z328" s="158" t="str">
        <v/>
      </c>
      <c r="AA328" s="158" t="e">
        <v>#VALUE!</v>
      </c>
      <c r="AB328" s="171" t="str">
        <v/>
      </c>
      <c r="AC328" s="158">
        <v>4997.2183908045981</v>
      </c>
      <c r="AD328" s="173" t="str">
        <f ca="1">IFERROR(__xludf.DUMMYFUNCTION("""COMPUTED_VALUE"""),"2025-08")</f>
        <v>2025-08</v>
      </c>
      <c r="AE328" s="154" t="str">
        <v/>
      </c>
      <c r="AF328" s="154" t="str">
        <v/>
      </c>
    </row>
    <row r="329" spans="1:32" ht="15">
      <c r="A329" s="176">
        <v>45894</v>
      </c>
      <c r="B329" s="145" t="s">
        <v>12896</v>
      </c>
      <c r="C329" s="169">
        <v>54532</v>
      </c>
      <c r="D329" s="145">
        <v>5</v>
      </c>
      <c r="E329" s="145"/>
      <c r="F329" s="169" t="e">
        <v>#VALUE!</v>
      </c>
      <c r="G329" s="145"/>
      <c r="H329" s="145"/>
      <c r="I329" s="145"/>
      <c r="J329" s="145"/>
      <c r="K329" s="145"/>
      <c r="L329" s="145"/>
      <c r="M329" s="145"/>
      <c r="N329" s="145"/>
      <c r="O329" s="174"/>
      <c r="P329" s="174"/>
      <c r="Q329" s="158" t="str">
        <v/>
      </c>
      <c r="R329" s="158" t="str">
        <v/>
      </c>
      <c r="S329" s="158" t="str">
        <v/>
      </c>
      <c r="T329" s="158" t="str">
        <v/>
      </c>
      <c r="U329" s="158" t="str">
        <v/>
      </c>
      <c r="V329" s="158" t="str">
        <v/>
      </c>
      <c r="W329" s="158" t="str">
        <v/>
      </c>
      <c r="X329" s="158" t="str">
        <v/>
      </c>
      <c r="Y329" s="158" t="str">
        <v/>
      </c>
      <c r="Z329" s="158" t="str">
        <v/>
      </c>
      <c r="AA329" s="158" t="e">
        <v>#VALUE!</v>
      </c>
      <c r="AB329" s="171" t="str">
        <v/>
      </c>
      <c r="AC329" s="158">
        <v>10906.4</v>
      </c>
      <c r="AD329" s="173" t="str">
        <f ca="1">IFERROR(__xludf.DUMMYFUNCTION("""COMPUTED_VALUE"""),"2025-08")</f>
        <v>2025-08</v>
      </c>
      <c r="AE329" s="154" t="str">
        <v/>
      </c>
      <c r="AF329" s="154" t="str">
        <v/>
      </c>
    </row>
    <row r="330" spans="1:32" ht="15">
      <c r="A330" s="176">
        <v>45894</v>
      </c>
      <c r="B330" s="145" t="s">
        <v>115</v>
      </c>
      <c r="C330" s="169">
        <v>0</v>
      </c>
      <c r="D330" s="145"/>
      <c r="E330" s="145">
        <v>3</v>
      </c>
      <c r="F330" s="169" t="e">
        <v>#VALUE!</v>
      </c>
      <c r="G330" s="145">
        <v>1</v>
      </c>
      <c r="H330" s="145"/>
      <c r="I330" s="145"/>
      <c r="J330" s="145"/>
      <c r="K330" s="145"/>
      <c r="L330" s="145"/>
      <c r="M330" s="145">
        <v>1</v>
      </c>
      <c r="N330" s="145">
        <v>1</v>
      </c>
      <c r="O330" s="174"/>
      <c r="P330" s="174"/>
      <c r="Q330" s="158">
        <v>197000</v>
      </c>
      <c r="R330" s="158" t="str">
        <v/>
      </c>
      <c r="S330" s="158" t="str">
        <v/>
      </c>
      <c r="T330" s="158" t="str">
        <v/>
      </c>
      <c r="U330" s="158" t="str">
        <v/>
      </c>
      <c r="V330" s="158" t="str">
        <v/>
      </c>
      <c r="W330" s="158">
        <v>297000</v>
      </c>
      <c r="X330" s="158">
        <v>375000</v>
      </c>
      <c r="Y330" s="158" t="str">
        <v/>
      </c>
      <c r="Z330" s="158" t="str">
        <v/>
      </c>
      <c r="AA330" s="158" t="e">
        <v>#VALUE!</v>
      </c>
      <c r="AB330" s="171">
        <v>0.03</v>
      </c>
      <c r="AC330" s="158">
        <v>0</v>
      </c>
      <c r="AD330" s="173" t="str">
        <f ca="1">IFERROR(__xludf.DUMMYFUNCTION("""COMPUTED_VALUE"""),"2025-08")</f>
        <v>2025-08</v>
      </c>
      <c r="AE330" s="154">
        <v>0</v>
      </c>
      <c r="AF330" s="154">
        <v>0</v>
      </c>
    </row>
    <row r="331" spans="1:32" ht="15">
      <c r="A331" s="176">
        <v>45894</v>
      </c>
      <c r="B331" s="145" t="s">
        <v>1229</v>
      </c>
      <c r="C331" s="169">
        <v>0</v>
      </c>
      <c r="D331" s="145"/>
      <c r="E331" s="145">
        <v>4</v>
      </c>
      <c r="F331" s="169" t="e">
        <v>#VALUE!</v>
      </c>
      <c r="G331" s="145">
        <v>2</v>
      </c>
      <c r="H331" s="145">
        <v>1</v>
      </c>
      <c r="I331" s="145"/>
      <c r="J331" s="145">
        <v>1</v>
      </c>
      <c r="K331" s="145"/>
      <c r="L331" s="145"/>
      <c r="M331" s="145"/>
      <c r="N331" s="145">
        <v>1</v>
      </c>
      <c r="O331" s="174"/>
      <c r="P331" s="174"/>
      <c r="Q331" s="158">
        <v>394000</v>
      </c>
      <c r="R331" s="158">
        <v>297000</v>
      </c>
      <c r="S331" s="158" t="str">
        <v/>
      </c>
      <c r="T331" s="158">
        <v>550000</v>
      </c>
      <c r="U331" s="158" t="str">
        <v/>
      </c>
      <c r="V331" s="158" t="str">
        <v/>
      </c>
      <c r="W331" s="158" t="str">
        <v/>
      </c>
      <c r="X331" s="158">
        <v>375000</v>
      </c>
      <c r="Y331" s="158" t="str">
        <v/>
      </c>
      <c r="Z331" s="158" t="str">
        <v/>
      </c>
      <c r="AA331" s="158" t="e">
        <v>#VALUE!</v>
      </c>
      <c r="AB331" s="171">
        <v>0.04</v>
      </c>
      <c r="AC331" s="158">
        <v>0</v>
      </c>
      <c r="AD331" s="173" t="str">
        <f ca="1">IFERROR(__xludf.DUMMYFUNCTION("""COMPUTED_VALUE"""),"2025-08")</f>
        <v>2025-08</v>
      </c>
      <c r="AE331" s="154">
        <v>0</v>
      </c>
      <c r="AF331" s="154">
        <v>0</v>
      </c>
    </row>
    <row r="332" spans="1:32" ht="15">
      <c r="A332" s="176">
        <v>45894</v>
      </c>
      <c r="B332" s="145" t="s">
        <v>61</v>
      </c>
      <c r="C332" s="169">
        <v>0</v>
      </c>
      <c r="D332" s="145"/>
      <c r="E332" s="145">
        <v>1</v>
      </c>
      <c r="F332" s="169" t="e">
        <v>#VALUE!</v>
      </c>
      <c r="G332" s="145">
        <v>1</v>
      </c>
      <c r="H332" s="145"/>
      <c r="I332" s="145"/>
      <c r="J332" s="145"/>
      <c r="K332" s="145"/>
      <c r="L332" s="145"/>
      <c r="M332" s="145"/>
      <c r="N332" s="145"/>
      <c r="O332" s="174"/>
      <c r="P332" s="174"/>
      <c r="Q332" s="158">
        <v>197000</v>
      </c>
      <c r="R332" s="158" t="str">
        <v/>
      </c>
      <c r="S332" s="158" t="str">
        <v/>
      </c>
      <c r="T332" s="158" t="str">
        <v/>
      </c>
      <c r="U332" s="158" t="str">
        <v/>
      </c>
      <c r="V332" s="158" t="str">
        <v/>
      </c>
      <c r="W332" s="158" t="str">
        <v/>
      </c>
      <c r="X332" s="158" t="str">
        <v/>
      </c>
      <c r="Y332" s="158" t="str">
        <v/>
      </c>
      <c r="Z332" s="158" t="str">
        <v/>
      </c>
      <c r="AA332" s="158" t="e">
        <v>#VALUE!</v>
      </c>
      <c r="AB332" s="171">
        <v>0.01</v>
      </c>
      <c r="AC332" s="158">
        <v>0</v>
      </c>
      <c r="AD332" s="173" t="str">
        <f ca="1">IFERROR(__xludf.DUMMYFUNCTION("""COMPUTED_VALUE"""),"2025-08")</f>
        <v>2025-08</v>
      </c>
      <c r="AE332" s="154">
        <v>0</v>
      </c>
      <c r="AF332" s="154">
        <v>0</v>
      </c>
    </row>
    <row r="333" spans="1:32" ht="15">
      <c r="A333" s="176">
        <v>45895</v>
      </c>
      <c r="B333" s="145" t="s">
        <v>12897</v>
      </c>
      <c r="C333" s="169">
        <v>346929</v>
      </c>
      <c r="D333" s="145">
        <v>69</v>
      </c>
      <c r="E333" s="145"/>
      <c r="F333" s="169" t="e">
        <v>#VALUE!</v>
      </c>
      <c r="G333" s="145"/>
      <c r="H333" s="145"/>
      <c r="I333" s="145"/>
      <c r="J333" s="145"/>
      <c r="K333" s="145"/>
      <c r="L333" s="145"/>
      <c r="M333" s="145"/>
      <c r="N333" s="145"/>
      <c r="O333" s="174"/>
      <c r="P333" s="174"/>
      <c r="Q333" s="158" t="str">
        <v/>
      </c>
      <c r="R333" s="158" t="str">
        <v/>
      </c>
      <c r="S333" s="158" t="str">
        <v/>
      </c>
      <c r="T333" s="158" t="str">
        <v/>
      </c>
      <c r="U333" s="158" t="str">
        <v/>
      </c>
      <c r="V333" s="158" t="str">
        <v/>
      </c>
      <c r="W333" s="158" t="str">
        <v/>
      </c>
      <c r="X333" s="158" t="str">
        <v/>
      </c>
      <c r="Y333" s="158" t="str">
        <v/>
      </c>
      <c r="Z333" s="158" t="str">
        <v/>
      </c>
      <c r="AA333" s="158" t="e">
        <v>#VALUE!</v>
      </c>
      <c r="AB333" s="171" t="str">
        <v/>
      </c>
      <c r="AC333" s="158">
        <v>5027.95652173913</v>
      </c>
      <c r="AD333" s="173" t="str">
        <f ca="1">IFERROR(__xludf.DUMMYFUNCTION("""COMPUTED_VALUE"""),"2025-08")</f>
        <v>2025-08</v>
      </c>
      <c r="AE333" s="154" t="str">
        <v/>
      </c>
      <c r="AF333" s="154" t="str">
        <v/>
      </c>
    </row>
    <row r="334" spans="1:32" ht="15">
      <c r="A334" s="176">
        <v>45895</v>
      </c>
      <c r="B334" s="145" t="s">
        <v>12896</v>
      </c>
      <c r="C334" s="169">
        <v>72508</v>
      </c>
      <c r="D334" s="145">
        <v>2</v>
      </c>
      <c r="E334" s="145"/>
      <c r="F334" s="169" t="e">
        <v>#VALUE!</v>
      </c>
      <c r="G334" s="145"/>
      <c r="H334" s="145"/>
      <c r="I334" s="145"/>
      <c r="J334" s="145"/>
      <c r="K334" s="145"/>
      <c r="L334" s="145"/>
      <c r="M334" s="145"/>
      <c r="N334" s="145"/>
      <c r="O334" s="174"/>
      <c r="P334" s="174"/>
      <c r="Q334" s="158" t="str">
        <v/>
      </c>
      <c r="R334" s="158" t="str">
        <v/>
      </c>
      <c r="S334" s="158" t="str">
        <v/>
      </c>
      <c r="T334" s="158" t="str">
        <v/>
      </c>
      <c r="U334" s="158" t="str">
        <v/>
      </c>
      <c r="V334" s="158" t="str">
        <v/>
      </c>
      <c r="W334" s="158" t="str">
        <v/>
      </c>
      <c r="X334" s="158" t="str">
        <v/>
      </c>
      <c r="Y334" s="158" t="str">
        <v/>
      </c>
      <c r="Z334" s="158" t="str">
        <v/>
      </c>
      <c r="AA334" s="158" t="e">
        <v>#VALUE!</v>
      </c>
      <c r="AB334" s="171" t="str">
        <v/>
      </c>
      <c r="AC334" s="158">
        <v>36254</v>
      </c>
      <c r="AD334" s="173" t="str">
        <f ca="1">IFERROR(__xludf.DUMMYFUNCTION("""COMPUTED_VALUE"""),"2025-08")</f>
        <v>2025-08</v>
      </c>
      <c r="AE334" s="154" t="str">
        <v/>
      </c>
      <c r="AF334" s="154" t="str">
        <v/>
      </c>
    </row>
    <row r="335" spans="1:32" ht="15">
      <c r="A335" s="176">
        <v>45895</v>
      </c>
      <c r="B335" s="145" t="s">
        <v>1229</v>
      </c>
      <c r="C335" s="169">
        <v>54609</v>
      </c>
      <c r="D335" s="145">
        <v>5</v>
      </c>
      <c r="E335" s="145">
        <v>3</v>
      </c>
      <c r="F335" s="169" t="e">
        <v>#VALUE!</v>
      </c>
      <c r="G335" s="145">
        <v>3</v>
      </c>
      <c r="H335" s="145"/>
      <c r="I335" s="145"/>
      <c r="J335" s="145"/>
      <c r="K335" s="145"/>
      <c r="L335" s="145"/>
      <c r="M335" s="145"/>
      <c r="N335" s="145"/>
      <c r="O335" s="174"/>
      <c r="P335" s="174"/>
      <c r="Q335" s="158">
        <v>591000</v>
      </c>
      <c r="R335" s="158" t="str">
        <v/>
      </c>
      <c r="S335" s="158" t="str">
        <v/>
      </c>
      <c r="T335" s="158" t="str">
        <v/>
      </c>
      <c r="U335" s="158" t="str">
        <v/>
      </c>
      <c r="V335" s="158" t="str">
        <v/>
      </c>
      <c r="W335" s="158" t="str">
        <v/>
      </c>
      <c r="X335" s="158" t="str">
        <v/>
      </c>
      <c r="Y335" s="158" t="str">
        <v/>
      </c>
      <c r="Z335" s="158" t="str">
        <v/>
      </c>
      <c r="AA335" s="158" t="e">
        <v>#VALUE!</v>
      </c>
      <c r="AB335" s="171">
        <v>0.03</v>
      </c>
      <c r="AC335" s="158">
        <v>10921.8</v>
      </c>
      <c r="AD335" s="173" t="str">
        <f ca="1">IFERROR(__xludf.DUMMYFUNCTION("""COMPUTED_VALUE"""),"2025-08")</f>
        <v>2025-08</v>
      </c>
      <c r="AE335" s="154">
        <v>0</v>
      </c>
      <c r="AF335" s="154">
        <v>0</v>
      </c>
    </row>
    <row r="336" spans="1:32" ht="15">
      <c r="A336" s="176">
        <v>45895</v>
      </c>
      <c r="B336" s="145" t="s">
        <v>61</v>
      </c>
      <c r="C336" s="169">
        <v>12995</v>
      </c>
      <c r="D336" s="145">
        <v>2</v>
      </c>
      <c r="E336" s="145">
        <v>2</v>
      </c>
      <c r="F336" s="169" t="e">
        <v>#VALUE!</v>
      </c>
      <c r="G336" s="145">
        <v>1</v>
      </c>
      <c r="H336" s="145"/>
      <c r="I336" s="145"/>
      <c r="J336" s="145"/>
      <c r="K336" s="145"/>
      <c r="L336" s="145"/>
      <c r="M336" s="145"/>
      <c r="N336" s="145"/>
      <c r="O336" s="174"/>
      <c r="P336" s="174">
        <v>1</v>
      </c>
      <c r="Q336" s="158">
        <v>197000</v>
      </c>
      <c r="R336" s="158" t="str">
        <v/>
      </c>
      <c r="S336" s="158" t="str">
        <v/>
      </c>
      <c r="T336" s="158" t="str">
        <v/>
      </c>
      <c r="U336" s="158" t="str">
        <v/>
      </c>
      <c r="V336" s="158" t="str">
        <v/>
      </c>
      <c r="W336" s="158" t="str">
        <v/>
      </c>
      <c r="X336" s="158" t="str">
        <v/>
      </c>
      <c r="Y336" s="158" t="str">
        <v/>
      </c>
      <c r="Z336" s="158">
        <v>1000000</v>
      </c>
      <c r="AA336" s="158" t="e">
        <v>#VALUE!</v>
      </c>
      <c r="AB336" s="171">
        <v>0.02</v>
      </c>
      <c r="AC336" s="158">
        <v>6497.5</v>
      </c>
      <c r="AD336" s="173" t="str">
        <f ca="1">IFERROR(__xludf.DUMMYFUNCTION("""COMPUTED_VALUE"""),"2025-08")</f>
        <v>2025-08</v>
      </c>
      <c r="AE336" s="154">
        <v>0</v>
      </c>
      <c r="AF336" s="154">
        <v>0</v>
      </c>
    </row>
    <row r="337" spans="1:32" ht="15">
      <c r="A337" s="176">
        <v>45895</v>
      </c>
      <c r="B337" s="145" t="s">
        <v>115</v>
      </c>
      <c r="C337" s="169">
        <v>0</v>
      </c>
      <c r="D337" s="145"/>
      <c r="E337" s="145">
        <v>4</v>
      </c>
      <c r="F337" s="169" t="e">
        <v>#VALUE!</v>
      </c>
      <c r="G337" s="145">
        <v>1</v>
      </c>
      <c r="H337" s="145">
        <v>1</v>
      </c>
      <c r="I337" s="145"/>
      <c r="J337" s="145">
        <v>1</v>
      </c>
      <c r="K337" s="145"/>
      <c r="L337" s="145">
        <v>1</v>
      </c>
      <c r="M337" s="145"/>
      <c r="N337" s="145"/>
      <c r="O337" s="174"/>
      <c r="P337" s="174">
        <v>1</v>
      </c>
      <c r="Q337" s="158">
        <v>197000</v>
      </c>
      <c r="R337" s="158">
        <v>297000</v>
      </c>
      <c r="S337" s="158" t="str">
        <v/>
      </c>
      <c r="T337" s="158">
        <v>550000</v>
      </c>
      <c r="U337" s="158" t="str">
        <v/>
      </c>
      <c r="V337" s="158">
        <v>197000</v>
      </c>
      <c r="W337" s="158" t="str">
        <v/>
      </c>
      <c r="X337" s="158" t="str">
        <v/>
      </c>
      <c r="Y337" s="158" t="str">
        <v/>
      </c>
      <c r="Z337" s="158">
        <v>1000000</v>
      </c>
      <c r="AA337" s="158" t="e">
        <v>#VALUE!</v>
      </c>
      <c r="AB337" s="171">
        <v>0.04</v>
      </c>
      <c r="AC337" s="158">
        <v>0</v>
      </c>
      <c r="AD337" s="173" t="str">
        <f ca="1">IFERROR(__xludf.DUMMYFUNCTION("""COMPUTED_VALUE"""),"2025-08")</f>
        <v>2025-08</v>
      </c>
      <c r="AE337" s="154">
        <v>0</v>
      </c>
      <c r="AF337" s="154">
        <v>0</v>
      </c>
    </row>
    <row r="338" spans="1:32" ht="15">
      <c r="A338" s="176">
        <v>45895</v>
      </c>
      <c r="B338" s="145" t="s">
        <v>1774</v>
      </c>
      <c r="C338" s="169">
        <v>0</v>
      </c>
      <c r="D338" s="145"/>
      <c r="E338" s="145">
        <v>2</v>
      </c>
      <c r="F338" s="169" t="e">
        <v>#VALUE!</v>
      </c>
      <c r="G338" s="145">
        <v>1</v>
      </c>
      <c r="H338" s="145"/>
      <c r="I338" s="145"/>
      <c r="J338" s="145"/>
      <c r="K338" s="145"/>
      <c r="L338" s="145">
        <v>1</v>
      </c>
      <c r="M338" s="145"/>
      <c r="N338" s="145"/>
      <c r="O338" s="174"/>
      <c r="P338" s="174"/>
      <c r="Q338" s="158">
        <v>197000</v>
      </c>
      <c r="R338" s="158" t="str">
        <v/>
      </c>
      <c r="S338" s="158" t="str">
        <v/>
      </c>
      <c r="T338" s="158" t="str">
        <v/>
      </c>
      <c r="U338" s="158" t="str">
        <v/>
      </c>
      <c r="V338" s="158">
        <v>197000</v>
      </c>
      <c r="W338" s="158" t="str">
        <v/>
      </c>
      <c r="X338" s="158" t="str">
        <v/>
      </c>
      <c r="Y338" s="158" t="str">
        <v/>
      </c>
      <c r="Z338" s="158" t="str">
        <v/>
      </c>
      <c r="AA338" s="158" t="e">
        <v>#VALUE!</v>
      </c>
      <c r="AB338" s="171">
        <v>0.02</v>
      </c>
      <c r="AC338" s="158">
        <v>0</v>
      </c>
      <c r="AD338" s="173" t="str">
        <f ca="1">IFERROR(__xludf.DUMMYFUNCTION("""COMPUTED_VALUE"""),"2025-08")</f>
        <v>2025-08</v>
      </c>
      <c r="AE338" s="154">
        <v>0</v>
      </c>
      <c r="AF338" s="154">
        <v>0</v>
      </c>
    </row>
    <row r="339" spans="1:32" ht="15">
      <c r="A339" s="176">
        <v>45896</v>
      </c>
      <c r="B339" s="145" t="s">
        <v>1774</v>
      </c>
      <c r="C339" s="169">
        <v>88301</v>
      </c>
      <c r="D339" s="145">
        <v>16</v>
      </c>
      <c r="E339" s="145">
        <v>1</v>
      </c>
      <c r="F339" s="169" t="e">
        <v>#VALUE!</v>
      </c>
      <c r="G339" s="145">
        <v>1</v>
      </c>
      <c r="H339" s="145"/>
      <c r="I339" s="145"/>
      <c r="J339" s="145"/>
      <c r="K339" s="145"/>
      <c r="L339" s="145"/>
      <c r="M339" s="145"/>
      <c r="N339" s="145"/>
      <c r="O339" s="174"/>
      <c r="P339" s="174"/>
      <c r="Q339" s="158">
        <v>197000</v>
      </c>
      <c r="R339" s="158" t="str">
        <v/>
      </c>
      <c r="S339" s="158" t="str">
        <v/>
      </c>
      <c r="T339" s="158" t="str">
        <v/>
      </c>
      <c r="U339" s="158" t="str">
        <v/>
      </c>
      <c r="V339" s="158" t="str">
        <v/>
      </c>
      <c r="W339" s="158" t="str">
        <v/>
      </c>
      <c r="X339" s="158" t="str">
        <v/>
      </c>
      <c r="Y339" s="158" t="str">
        <v/>
      </c>
      <c r="Z339" s="158" t="str">
        <v/>
      </c>
      <c r="AA339" s="158" t="e">
        <v>#VALUE!</v>
      </c>
      <c r="AB339" s="171">
        <v>0.01</v>
      </c>
      <c r="AC339" s="158">
        <v>5518.8125</v>
      </c>
      <c r="AD339" s="173" t="str">
        <f ca="1">IFERROR(__xludf.DUMMYFUNCTION("""COMPUTED_VALUE"""),"2025-08")</f>
        <v>2025-08</v>
      </c>
      <c r="AE339" s="154">
        <v>0</v>
      </c>
      <c r="AF339" s="154">
        <v>0</v>
      </c>
    </row>
    <row r="340" spans="1:32" ht="15">
      <c r="A340" s="176">
        <v>45896</v>
      </c>
      <c r="B340" s="145" t="s">
        <v>12896</v>
      </c>
      <c r="C340" s="169">
        <v>91566</v>
      </c>
      <c r="D340" s="145">
        <v>9</v>
      </c>
      <c r="E340" s="145"/>
      <c r="F340" s="169" t="e">
        <v>#VALUE!</v>
      </c>
      <c r="G340" s="145"/>
      <c r="H340" s="145"/>
      <c r="I340" s="145"/>
      <c r="J340" s="145"/>
      <c r="K340" s="145"/>
      <c r="L340" s="145"/>
      <c r="M340" s="145"/>
      <c r="N340" s="145"/>
      <c r="O340" s="174"/>
      <c r="P340" s="174"/>
      <c r="Q340" s="158" t="str">
        <v/>
      </c>
      <c r="R340" s="158" t="str">
        <v/>
      </c>
      <c r="S340" s="158" t="str">
        <v/>
      </c>
      <c r="T340" s="158" t="str">
        <v/>
      </c>
      <c r="U340" s="158" t="str">
        <v/>
      </c>
      <c r="V340" s="158" t="str">
        <v/>
      </c>
      <c r="W340" s="158" t="str">
        <v/>
      </c>
      <c r="X340" s="158" t="str">
        <v/>
      </c>
      <c r="Y340" s="158" t="str">
        <v/>
      </c>
      <c r="Z340" s="158" t="str">
        <v/>
      </c>
      <c r="AA340" s="158" t="e">
        <v>#VALUE!</v>
      </c>
      <c r="AB340" s="171" t="str">
        <v/>
      </c>
      <c r="AC340" s="158">
        <v>10174</v>
      </c>
      <c r="AD340" s="173" t="str">
        <f ca="1">IFERROR(__xludf.DUMMYFUNCTION("""COMPUTED_VALUE"""),"2025-08")</f>
        <v>2025-08</v>
      </c>
      <c r="AE340" s="154" t="str">
        <v/>
      </c>
      <c r="AF340" s="154" t="str">
        <v/>
      </c>
    </row>
    <row r="341" spans="1:32" ht="15">
      <c r="A341" s="176">
        <v>45896</v>
      </c>
      <c r="B341" s="145" t="s">
        <v>1229</v>
      </c>
      <c r="C341" s="169">
        <v>104387</v>
      </c>
      <c r="D341" s="145">
        <v>12</v>
      </c>
      <c r="E341" s="145"/>
      <c r="F341" s="169" t="e">
        <v>#VALUE!</v>
      </c>
      <c r="G341" s="145"/>
      <c r="H341" s="145"/>
      <c r="I341" s="145"/>
      <c r="J341" s="145"/>
      <c r="K341" s="145"/>
      <c r="L341" s="145"/>
      <c r="M341" s="145"/>
      <c r="N341" s="145"/>
      <c r="O341" s="174"/>
      <c r="P341" s="174"/>
      <c r="Q341" s="158" t="str">
        <v/>
      </c>
      <c r="R341" s="158" t="str">
        <v/>
      </c>
      <c r="S341" s="158" t="str">
        <v/>
      </c>
      <c r="T341" s="158" t="str">
        <v/>
      </c>
      <c r="U341" s="158" t="str">
        <v/>
      </c>
      <c r="V341" s="158" t="str">
        <v/>
      </c>
      <c r="W341" s="158" t="str">
        <v/>
      </c>
      <c r="X341" s="158" t="str">
        <v/>
      </c>
      <c r="Y341" s="158" t="str">
        <v/>
      </c>
      <c r="Z341" s="158" t="str">
        <v/>
      </c>
      <c r="AA341" s="158" t="e">
        <v>#VALUE!</v>
      </c>
      <c r="AB341" s="171" t="str">
        <v/>
      </c>
      <c r="AC341" s="158">
        <v>8698.9166666666661</v>
      </c>
      <c r="AD341" s="173" t="str">
        <f ca="1">IFERROR(__xludf.DUMMYFUNCTION("""COMPUTED_VALUE"""),"2025-08")</f>
        <v>2025-08</v>
      </c>
      <c r="AE341" s="154" t="str">
        <v/>
      </c>
      <c r="AF341" s="154" t="str">
        <v/>
      </c>
    </row>
    <row r="342" spans="1:32" ht="15">
      <c r="A342" s="176">
        <v>45896</v>
      </c>
      <c r="B342" s="145" t="s">
        <v>115</v>
      </c>
      <c r="C342" s="169">
        <v>0</v>
      </c>
      <c r="D342" s="145"/>
      <c r="E342" s="145">
        <v>1</v>
      </c>
      <c r="F342" s="169" t="e">
        <v>#VALUE!</v>
      </c>
      <c r="G342" s="145">
        <v>1</v>
      </c>
      <c r="H342" s="145"/>
      <c r="I342" s="145"/>
      <c r="J342" s="145"/>
      <c r="K342" s="145"/>
      <c r="L342" s="145"/>
      <c r="M342" s="145"/>
      <c r="N342" s="145"/>
      <c r="O342" s="174"/>
      <c r="P342" s="174"/>
      <c r="Q342" s="158">
        <v>197000</v>
      </c>
      <c r="R342" s="158" t="str">
        <v/>
      </c>
      <c r="S342" s="158" t="str">
        <v/>
      </c>
      <c r="T342" s="158" t="str">
        <v/>
      </c>
      <c r="U342" s="158" t="str">
        <v/>
      </c>
      <c r="V342" s="158" t="str">
        <v/>
      </c>
      <c r="W342" s="158" t="str">
        <v/>
      </c>
      <c r="X342" s="158" t="str">
        <v/>
      </c>
      <c r="Y342" s="158" t="str">
        <v/>
      </c>
      <c r="Z342" s="158" t="str">
        <v/>
      </c>
      <c r="AA342" s="158" t="e">
        <v>#VALUE!</v>
      </c>
      <c r="AB342" s="171">
        <v>0.01</v>
      </c>
      <c r="AC342" s="158">
        <v>0</v>
      </c>
      <c r="AD342" s="173" t="str">
        <f ca="1">IFERROR(__xludf.DUMMYFUNCTION("""COMPUTED_VALUE"""),"2025-08")</f>
        <v>2025-08</v>
      </c>
      <c r="AE342" s="154">
        <v>0</v>
      </c>
      <c r="AF342" s="154">
        <v>0</v>
      </c>
    </row>
    <row r="343" spans="1:32" ht="15">
      <c r="A343" s="176">
        <v>45896</v>
      </c>
      <c r="B343" s="145" t="s">
        <v>61</v>
      </c>
      <c r="C343" s="169">
        <v>0</v>
      </c>
      <c r="D343" s="145"/>
      <c r="E343" s="145">
        <v>6</v>
      </c>
      <c r="F343" s="169" t="e">
        <v>#VALUE!</v>
      </c>
      <c r="G343" s="145">
        <v>4</v>
      </c>
      <c r="H343" s="145"/>
      <c r="I343" s="145">
        <v>1</v>
      </c>
      <c r="J343" s="145"/>
      <c r="K343" s="145">
        <v>1</v>
      </c>
      <c r="L343" s="145">
        <v>1</v>
      </c>
      <c r="M343" s="145"/>
      <c r="N343" s="145"/>
      <c r="O343" s="174"/>
      <c r="P343" s="174"/>
      <c r="Q343" s="158">
        <v>788000</v>
      </c>
      <c r="R343" s="158" t="str">
        <v/>
      </c>
      <c r="S343" s="158">
        <v>375000</v>
      </c>
      <c r="T343" s="158" t="str">
        <v/>
      </c>
      <c r="U343" s="158">
        <v>1000000</v>
      </c>
      <c r="V343" s="158">
        <v>197000</v>
      </c>
      <c r="W343" s="158" t="str">
        <v/>
      </c>
      <c r="X343" s="158" t="str">
        <v/>
      </c>
      <c r="Y343" s="158" t="str">
        <v/>
      </c>
      <c r="Z343" s="158" t="str">
        <v/>
      </c>
      <c r="AA343" s="158" t="e">
        <v>#VALUE!</v>
      </c>
      <c r="AB343" s="171">
        <v>0.06</v>
      </c>
      <c r="AC343" s="158">
        <v>0</v>
      </c>
      <c r="AD343" s="173" t="str">
        <f ca="1">IFERROR(__xludf.DUMMYFUNCTION("""COMPUTED_VALUE"""),"2025-08")</f>
        <v>2025-08</v>
      </c>
      <c r="AE343" s="154">
        <v>0</v>
      </c>
      <c r="AF343" s="154">
        <v>0</v>
      </c>
    </row>
    <row r="344" spans="1:32" ht="15">
      <c r="A344" s="176">
        <v>45897</v>
      </c>
      <c r="B344" s="145" t="s">
        <v>1774</v>
      </c>
      <c r="C344" s="169">
        <v>220450</v>
      </c>
      <c r="D344" s="145">
        <v>25</v>
      </c>
      <c r="E344" s="145">
        <v>1</v>
      </c>
      <c r="F344" s="169" t="e">
        <v>#VALUE!</v>
      </c>
      <c r="G344" s="145">
        <v>1</v>
      </c>
      <c r="H344" s="145"/>
      <c r="I344" s="145"/>
      <c r="J344" s="145"/>
      <c r="K344" s="145"/>
      <c r="L344" s="145"/>
      <c r="M344" s="145"/>
      <c r="N344" s="145"/>
      <c r="O344" s="174"/>
      <c r="P344" s="174"/>
      <c r="Q344" s="158">
        <v>197000</v>
      </c>
      <c r="R344" s="158" t="str">
        <v/>
      </c>
      <c r="S344" s="158" t="str">
        <v/>
      </c>
      <c r="T344" s="158" t="str">
        <v/>
      </c>
      <c r="U344" s="158" t="str">
        <v/>
      </c>
      <c r="V344" s="158" t="str">
        <v/>
      </c>
      <c r="W344" s="158" t="str">
        <v/>
      </c>
      <c r="X344" s="158" t="str">
        <v/>
      </c>
      <c r="Y344" s="158" t="str">
        <v/>
      </c>
      <c r="Z344" s="158" t="str">
        <v/>
      </c>
      <c r="AA344" s="158" t="e">
        <v>#VALUE!</v>
      </c>
      <c r="AB344" s="171">
        <v>0.01</v>
      </c>
      <c r="AC344" s="158">
        <v>8818</v>
      </c>
      <c r="AD344" s="173" t="str">
        <f ca="1">IFERROR(__xludf.DUMMYFUNCTION("""COMPUTED_VALUE"""),"2025-08")</f>
        <v>2025-08</v>
      </c>
      <c r="AE344" s="154">
        <v>0</v>
      </c>
      <c r="AF344" s="154">
        <v>0</v>
      </c>
    </row>
    <row r="345" spans="1:32" ht="15">
      <c r="A345" s="176">
        <v>45897</v>
      </c>
      <c r="B345" s="145" t="s">
        <v>12897</v>
      </c>
      <c r="C345" s="169">
        <v>24099</v>
      </c>
      <c r="D345" s="145">
        <v>5</v>
      </c>
      <c r="E345" s="145"/>
      <c r="F345" s="169" t="e">
        <v>#VALUE!</v>
      </c>
      <c r="G345" s="145"/>
      <c r="H345" s="145"/>
      <c r="I345" s="145"/>
      <c r="J345" s="145"/>
      <c r="K345" s="145"/>
      <c r="L345" s="145"/>
      <c r="M345" s="145"/>
      <c r="N345" s="145"/>
      <c r="O345" s="174"/>
      <c r="P345" s="174"/>
      <c r="Q345" s="158" t="str">
        <v/>
      </c>
      <c r="R345" s="158" t="str">
        <v/>
      </c>
      <c r="S345" s="158" t="str">
        <v/>
      </c>
      <c r="T345" s="158" t="str">
        <v/>
      </c>
      <c r="U345" s="158" t="str">
        <v/>
      </c>
      <c r="V345" s="158" t="str">
        <v/>
      </c>
      <c r="W345" s="158" t="str">
        <v/>
      </c>
      <c r="X345" s="158" t="str">
        <v/>
      </c>
      <c r="Y345" s="158" t="str">
        <v/>
      </c>
      <c r="Z345" s="158" t="str">
        <v/>
      </c>
      <c r="AA345" s="158" t="e">
        <v>#VALUE!</v>
      </c>
      <c r="AB345" s="171" t="str">
        <v/>
      </c>
      <c r="AC345" s="158">
        <v>4819.8</v>
      </c>
      <c r="AD345" s="173" t="str">
        <f ca="1">IFERROR(__xludf.DUMMYFUNCTION("""COMPUTED_VALUE"""),"2025-08")</f>
        <v>2025-08</v>
      </c>
      <c r="AE345" s="154" t="str">
        <v/>
      </c>
      <c r="AF345" s="154" t="str">
        <v/>
      </c>
    </row>
    <row r="346" spans="1:32" ht="15">
      <c r="A346" s="176">
        <v>45897</v>
      </c>
      <c r="B346" s="145" t="s">
        <v>12896</v>
      </c>
      <c r="C346" s="169">
        <v>162486</v>
      </c>
      <c r="D346" s="145">
        <v>22</v>
      </c>
      <c r="E346" s="145"/>
      <c r="F346" s="169" t="e">
        <v>#VALUE!</v>
      </c>
      <c r="G346" s="145"/>
      <c r="H346" s="145"/>
      <c r="I346" s="145"/>
      <c r="J346" s="145"/>
      <c r="K346" s="145"/>
      <c r="L346" s="145"/>
      <c r="M346" s="145"/>
      <c r="N346" s="145"/>
      <c r="O346" s="174"/>
      <c r="P346" s="174"/>
      <c r="Q346" s="158" t="str">
        <v/>
      </c>
      <c r="R346" s="158" t="str">
        <v/>
      </c>
      <c r="S346" s="158" t="str">
        <v/>
      </c>
      <c r="T346" s="158" t="str">
        <v/>
      </c>
      <c r="U346" s="158" t="str">
        <v/>
      </c>
      <c r="V346" s="158" t="str">
        <v/>
      </c>
      <c r="W346" s="158" t="str">
        <v/>
      </c>
      <c r="X346" s="158" t="str">
        <v/>
      </c>
      <c r="Y346" s="158" t="str">
        <v/>
      </c>
      <c r="Z346" s="158" t="str">
        <v/>
      </c>
      <c r="AA346" s="158" t="e">
        <v>#VALUE!</v>
      </c>
      <c r="AB346" s="171" t="str">
        <v/>
      </c>
      <c r="AC346" s="158">
        <v>7385.727272727273</v>
      </c>
      <c r="AD346" s="173" t="str">
        <f ca="1">IFERROR(__xludf.DUMMYFUNCTION("""COMPUTED_VALUE"""),"2025-08")</f>
        <v>2025-08</v>
      </c>
      <c r="AE346" s="154" t="str">
        <v/>
      </c>
      <c r="AF346" s="154" t="str">
        <v/>
      </c>
    </row>
    <row r="347" spans="1:32" ht="15">
      <c r="A347" s="176">
        <v>45897</v>
      </c>
      <c r="B347" s="145" t="s">
        <v>1229</v>
      </c>
      <c r="C347" s="169">
        <v>118349</v>
      </c>
      <c r="D347" s="145">
        <v>7</v>
      </c>
      <c r="E347" s="145">
        <v>6</v>
      </c>
      <c r="F347" s="169" t="e">
        <v>#VALUE!</v>
      </c>
      <c r="G347" s="145">
        <v>1</v>
      </c>
      <c r="H347" s="145">
        <v>1</v>
      </c>
      <c r="I347" s="145"/>
      <c r="J347" s="145"/>
      <c r="K347" s="145"/>
      <c r="L347" s="145"/>
      <c r="M347" s="145">
        <v>3</v>
      </c>
      <c r="N347" s="145"/>
      <c r="O347" s="174">
        <v>1</v>
      </c>
      <c r="P347" s="174"/>
      <c r="Q347" s="158">
        <v>197000</v>
      </c>
      <c r="R347" s="158">
        <v>297000</v>
      </c>
      <c r="S347" s="158" t="str">
        <v/>
      </c>
      <c r="T347" s="158" t="str">
        <v/>
      </c>
      <c r="U347" s="158" t="str">
        <v/>
      </c>
      <c r="V347" s="158" t="str">
        <v/>
      </c>
      <c r="W347" s="158">
        <v>891000</v>
      </c>
      <c r="X347" s="158" t="str">
        <v/>
      </c>
      <c r="Y347" s="158">
        <v>550000</v>
      </c>
      <c r="Z347" s="158" t="str">
        <v/>
      </c>
      <c r="AA347" s="158" t="e">
        <v>#VALUE!</v>
      </c>
      <c r="AB347" s="171">
        <v>0.06</v>
      </c>
      <c r="AC347" s="158">
        <v>16907</v>
      </c>
      <c r="AD347" s="173" t="str">
        <f ca="1">IFERROR(__xludf.DUMMYFUNCTION("""COMPUTED_VALUE"""),"2025-08")</f>
        <v>2025-08</v>
      </c>
      <c r="AE347" s="154">
        <v>0</v>
      </c>
      <c r="AF347" s="154">
        <v>0</v>
      </c>
    </row>
    <row r="348" spans="1:32" ht="15">
      <c r="A348" s="176">
        <v>45897</v>
      </c>
      <c r="B348" s="145" t="s">
        <v>115</v>
      </c>
      <c r="C348" s="169">
        <v>0</v>
      </c>
      <c r="D348" s="145"/>
      <c r="E348" s="145">
        <v>2</v>
      </c>
      <c r="F348" s="169" t="e">
        <v>#VALUE!</v>
      </c>
      <c r="G348" s="145"/>
      <c r="H348" s="145"/>
      <c r="I348" s="145">
        <v>1</v>
      </c>
      <c r="J348" s="145"/>
      <c r="K348" s="145">
        <v>1</v>
      </c>
      <c r="L348" s="145"/>
      <c r="M348" s="145"/>
      <c r="N348" s="145">
        <v>1</v>
      </c>
      <c r="O348" s="174"/>
      <c r="P348" s="174"/>
      <c r="Q348" s="158" t="str">
        <v/>
      </c>
      <c r="R348" s="158" t="str">
        <v/>
      </c>
      <c r="S348" s="158">
        <v>375000</v>
      </c>
      <c r="T348" s="158" t="str">
        <v/>
      </c>
      <c r="U348" s="158">
        <v>1000000</v>
      </c>
      <c r="V348" s="158" t="str">
        <v/>
      </c>
      <c r="W348" s="158" t="str">
        <v/>
      </c>
      <c r="X348" s="158">
        <v>375000</v>
      </c>
      <c r="Y348" s="158" t="str">
        <v/>
      </c>
      <c r="Z348" s="158" t="str">
        <v/>
      </c>
      <c r="AA348" s="158" t="e">
        <v>#VALUE!</v>
      </c>
      <c r="AB348" s="171">
        <v>0.02</v>
      </c>
      <c r="AC348" s="158">
        <v>0</v>
      </c>
      <c r="AD348" s="173" t="str">
        <f ca="1">IFERROR(__xludf.DUMMYFUNCTION("""COMPUTED_VALUE"""),"2025-08")</f>
        <v>2025-08</v>
      </c>
      <c r="AE348" s="154">
        <v>0</v>
      </c>
      <c r="AF348" s="154">
        <v>0</v>
      </c>
    </row>
    <row r="349" spans="1:32" ht="15">
      <c r="A349" s="176">
        <v>45897</v>
      </c>
      <c r="B349" s="145" t="s">
        <v>61</v>
      </c>
      <c r="C349" s="169">
        <v>0</v>
      </c>
      <c r="D349" s="145"/>
      <c r="E349" s="145">
        <v>7</v>
      </c>
      <c r="F349" s="169" t="e">
        <v>#VALUE!</v>
      </c>
      <c r="G349" s="145">
        <v>4</v>
      </c>
      <c r="H349" s="145"/>
      <c r="I349" s="145"/>
      <c r="J349" s="145"/>
      <c r="K349" s="145"/>
      <c r="L349" s="145"/>
      <c r="M349" s="145">
        <v>1</v>
      </c>
      <c r="N349" s="145"/>
      <c r="O349" s="174"/>
      <c r="P349" s="174"/>
      <c r="Q349" s="158">
        <v>788000</v>
      </c>
      <c r="R349" s="158" t="str">
        <v/>
      </c>
      <c r="S349" s="158" t="str">
        <v/>
      </c>
      <c r="T349" s="158" t="str">
        <v/>
      </c>
      <c r="U349" s="158" t="str">
        <v/>
      </c>
      <c r="V349" s="158" t="str">
        <v/>
      </c>
      <c r="W349" s="158">
        <v>297000</v>
      </c>
      <c r="X349" s="158" t="str">
        <v/>
      </c>
      <c r="Y349" s="158" t="str">
        <v/>
      </c>
      <c r="Z349" s="158" t="str">
        <v/>
      </c>
      <c r="AA349" s="158" t="e">
        <v>#VALUE!</v>
      </c>
      <c r="AB349" s="171">
        <v>7.0000000000000007E-2</v>
      </c>
      <c r="AC349" s="158">
        <v>0</v>
      </c>
      <c r="AD349" s="173" t="str">
        <f ca="1">IFERROR(__xludf.DUMMYFUNCTION("""COMPUTED_VALUE"""),"2025-08")</f>
        <v>2025-08</v>
      </c>
      <c r="AE349" s="154">
        <v>0</v>
      </c>
      <c r="AF349" s="154">
        <v>0</v>
      </c>
    </row>
    <row r="350" spans="1:32" ht="15">
      <c r="A350" s="176">
        <v>45898</v>
      </c>
      <c r="B350" s="145" t="s">
        <v>1774</v>
      </c>
      <c r="C350" s="169">
        <v>58673</v>
      </c>
      <c r="D350" s="145">
        <v>4</v>
      </c>
      <c r="E350" s="145">
        <v>2</v>
      </c>
      <c r="F350" s="169" t="e">
        <v>#VALUE!</v>
      </c>
      <c r="G350" s="145"/>
      <c r="H350" s="145">
        <v>1</v>
      </c>
      <c r="I350" s="145"/>
      <c r="J350" s="145"/>
      <c r="K350" s="145"/>
      <c r="L350" s="145"/>
      <c r="M350" s="145">
        <v>1</v>
      </c>
      <c r="N350" s="145"/>
      <c r="O350" s="174"/>
      <c r="P350" s="174"/>
      <c r="Q350" s="158" t="str">
        <v/>
      </c>
      <c r="R350" s="158">
        <v>297000</v>
      </c>
      <c r="S350" s="158" t="str">
        <v/>
      </c>
      <c r="T350" s="158" t="str">
        <v/>
      </c>
      <c r="U350" s="158" t="str">
        <v/>
      </c>
      <c r="V350" s="158" t="str">
        <v/>
      </c>
      <c r="W350" s="158">
        <v>297000</v>
      </c>
      <c r="X350" s="158" t="str">
        <v/>
      </c>
      <c r="Y350" s="158" t="str">
        <v/>
      </c>
      <c r="Z350" s="158" t="str">
        <v/>
      </c>
      <c r="AA350" s="158" t="e">
        <v>#VALUE!</v>
      </c>
      <c r="AB350" s="171">
        <v>0.02</v>
      </c>
      <c r="AC350" s="158">
        <v>14668.25</v>
      </c>
      <c r="AD350" s="173" t="str">
        <f ca="1">IFERROR(__xludf.DUMMYFUNCTION("""COMPUTED_VALUE"""),"2025-08")</f>
        <v>2025-08</v>
      </c>
      <c r="AE350" s="154">
        <v>0</v>
      </c>
      <c r="AF350" s="154">
        <v>0</v>
      </c>
    </row>
    <row r="351" spans="1:32" ht="15">
      <c r="A351" s="176">
        <v>45898</v>
      </c>
      <c r="B351" s="145" t="s">
        <v>12897</v>
      </c>
      <c r="C351" s="169">
        <v>239156</v>
      </c>
      <c r="D351" s="145">
        <v>18</v>
      </c>
      <c r="E351" s="145"/>
      <c r="F351" s="169" t="e">
        <v>#VALUE!</v>
      </c>
      <c r="G351" s="145"/>
      <c r="H351" s="145"/>
      <c r="I351" s="145"/>
      <c r="J351" s="145"/>
      <c r="K351" s="145"/>
      <c r="L351" s="145"/>
      <c r="M351" s="145"/>
      <c r="N351" s="145"/>
      <c r="O351" s="174"/>
      <c r="P351" s="174"/>
      <c r="Q351" s="158" t="str">
        <v/>
      </c>
      <c r="R351" s="158" t="str">
        <v/>
      </c>
      <c r="S351" s="158" t="str">
        <v/>
      </c>
      <c r="T351" s="158" t="str">
        <v/>
      </c>
      <c r="U351" s="158" t="str">
        <v/>
      </c>
      <c r="V351" s="158" t="str">
        <v/>
      </c>
      <c r="W351" s="158" t="str">
        <v/>
      </c>
      <c r="X351" s="158" t="str">
        <v/>
      </c>
      <c r="Y351" s="158" t="str">
        <v/>
      </c>
      <c r="Z351" s="158" t="str">
        <v/>
      </c>
      <c r="AA351" s="158" t="e">
        <v>#VALUE!</v>
      </c>
      <c r="AB351" s="171" t="str">
        <v/>
      </c>
      <c r="AC351" s="158">
        <v>13286.444444444445</v>
      </c>
      <c r="AD351" s="173" t="str">
        <f ca="1">IFERROR(__xludf.DUMMYFUNCTION("""COMPUTED_VALUE"""),"2025-08")</f>
        <v>2025-08</v>
      </c>
      <c r="AE351" s="154" t="str">
        <v/>
      </c>
      <c r="AF351" s="154" t="str">
        <v/>
      </c>
    </row>
    <row r="352" spans="1:32" ht="15">
      <c r="A352" s="176">
        <v>45898</v>
      </c>
      <c r="B352" s="145" t="s">
        <v>12896</v>
      </c>
      <c r="C352" s="169">
        <v>31624</v>
      </c>
      <c r="D352" s="145">
        <v>1</v>
      </c>
      <c r="E352" s="145"/>
      <c r="F352" s="169" t="e">
        <v>#VALUE!</v>
      </c>
      <c r="G352" s="145"/>
      <c r="H352" s="145"/>
      <c r="I352" s="145"/>
      <c r="J352" s="145"/>
      <c r="K352" s="145"/>
      <c r="L352" s="145"/>
      <c r="M352" s="145"/>
      <c r="N352" s="145"/>
      <c r="O352" s="174"/>
      <c r="P352" s="174"/>
      <c r="Q352" s="158" t="str">
        <v/>
      </c>
      <c r="R352" s="158" t="str">
        <v/>
      </c>
      <c r="S352" s="158" t="str">
        <v/>
      </c>
      <c r="T352" s="158" t="str">
        <v/>
      </c>
      <c r="U352" s="158" t="str">
        <v/>
      </c>
      <c r="V352" s="158" t="str">
        <v/>
      </c>
      <c r="W352" s="158" t="str">
        <v/>
      </c>
      <c r="X352" s="158" t="str">
        <v/>
      </c>
      <c r="Y352" s="158" t="str">
        <v/>
      </c>
      <c r="Z352" s="158" t="str">
        <v/>
      </c>
      <c r="AA352" s="158" t="e">
        <v>#VALUE!</v>
      </c>
      <c r="AB352" s="171" t="str">
        <v/>
      </c>
      <c r="AC352" s="158">
        <v>31624</v>
      </c>
      <c r="AD352" s="173" t="str">
        <f ca="1">IFERROR(__xludf.DUMMYFUNCTION("""COMPUTED_VALUE"""),"2025-08")</f>
        <v>2025-08</v>
      </c>
      <c r="AE352" s="154" t="str">
        <v/>
      </c>
      <c r="AF352" s="154" t="str">
        <v/>
      </c>
    </row>
    <row r="353" spans="1:32" ht="15">
      <c r="A353" s="176">
        <v>45898</v>
      </c>
      <c r="B353" s="145" t="s">
        <v>1229</v>
      </c>
      <c r="C353" s="169">
        <v>203067</v>
      </c>
      <c r="D353" s="145">
        <v>33</v>
      </c>
      <c r="E353" s="145">
        <v>2</v>
      </c>
      <c r="F353" s="169" t="e">
        <v>#VALUE!</v>
      </c>
      <c r="G353" s="145">
        <v>1</v>
      </c>
      <c r="H353" s="145"/>
      <c r="I353" s="145">
        <v>1</v>
      </c>
      <c r="J353" s="145"/>
      <c r="K353" s="145"/>
      <c r="L353" s="145"/>
      <c r="M353" s="145"/>
      <c r="N353" s="145"/>
      <c r="O353" s="174"/>
      <c r="P353" s="174"/>
      <c r="Q353" s="158">
        <v>197000</v>
      </c>
      <c r="R353" s="158" t="str">
        <v/>
      </c>
      <c r="S353" s="158">
        <v>375000</v>
      </c>
      <c r="T353" s="158" t="str">
        <v/>
      </c>
      <c r="U353" s="158" t="str">
        <v/>
      </c>
      <c r="V353" s="158" t="str">
        <v/>
      </c>
      <c r="W353" s="158" t="str">
        <v/>
      </c>
      <c r="X353" s="158" t="str">
        <v/>
      </c>
      <c r="Y353" s="158" t="str">
        <v/>
      </c>
      <c r="Z353" s="158" t="str">
        <v/>
      </c>
      <c r="AA353" s="158" t="e">
        <v>#VALUE!</v>
      </c>
      <c r="AB353" s="171">
        <v>0.02</v>
      </c>
      <c r="AC353" s="158">
        <v>6153.545454545455</v>
      </c>
      <c r="AD353" s="173" t="str">
        <f ca="1">IFERROR(__xludf.DUMMYFUNCTION("""COMPUTED_VALUE"""),"2025-08")</f>
        <v>2025-08</v>
      </c>
      <c r="AE353" s="154">
        <v>0</v>
      </c>
      <c r="AF353" s="154">
        <v>0</v>
      </c>
    </row>
    <row r="354" spans="1:32" ht="15">
      <c r="A354" s="176">
        <v>45898</v>
      </c>
      <c r="B354" s="145" t="s">
        <v>115</v>
      </c>
      <c r="C354" s="169">
        <v>0</v>
      </c>
      <c r="D354" s="145"/>
      <c r="E354" s="145">
        <v>1</v>
      </c>
      <c r="F354" s="169" t="e">
        <v>#VALUE!</v>
      </c>
      <c r="G354" s="145"/>
      <c r="H354" s="145">
        <v>1</v>
      </c>
      <c r="I354" s="145"/>
      <c r="J354" s="145">
        <v>1</v>
      </c>
      <c r="K354" s="145"/>
      <c r="L354" s="145"/>
      <c r="M354" s="145"/>
      <c r="N354" s="145"/>
      <c r="O354" s="174"/>
      <c r="P354" s="174"/>
      <c r="Q354" s="158" t="str">
        <v/>
      </c>
      <c r="R354" s="158">
        <v>297000</v>
      </c>
      <c r="S354" s="158" t="str">
        <v/>
      </c>
      <c r="T354" s="158">
        <v>550000</v>
      </c>
      <c r="U354" s="158" t="str">
        <v/>
      </c>
      <c r="V354" s="158" t="str">
        <v/>
      </c>
      <c r="W354" s="158" t="str">
        <v/>
      </c>
      <c r="X354" s="158" t="str">
        <v/>
      </c>
      <c r="Y354" s="158" t="str">
        <v/>
      </c>
      <c r="Z354" s="158" t="str">
        <v/>
      </c>
      <c r="AA354" s="158" t="e">
        <v>#VALUE!</v>
      </c>
      <c r="AB354" s="171">
        <v>0.01</v>
      </c>
      <c r="AC354" s="158">
        <v>0</v>
      </c>
      <c r="AD354" s="173" t="str">
        <f ca="1">IFERROR(__xludf.DUMMYFUNCTION("""COMPUTED_VALUE"""),"2025-08")</f>
        <v>2025-08</v>
      </c>
      <c r="AE354" s="154">
        <v>0</v>
      </c>
      <c r="AF354" s="154">
        <v>0</v>
      </c>
    </row>
    <row r="355" spans="1:32" ht="15">
      <c r="A355" s="176">
        <v>45898</v>
      </c>
      <c r="B355" s="145" t="s">
        <v>61</v>
      </c>
      <c r="C355" s="169">
        <v>0</v>
      </c>
      <c r="D355" s="145"/>
      <c r="E355" s="145">
        <v>4</v>
      </c>
      <c r="F355" s="169" t="e">
        <v>#VALUE!</v>
      </c>
      <c r="G355" s="145">
        <v>2</v>
      </c>
      <c r="H355" s="145">
        <v>1</v>
      </c>
      <c r="I355" s="145"/>
      <c r="J355" s="145">
        <v>1</v>
      </c>
      <c r="K355" s="145"/>
      <c r="L355" s="145"/>
      <c r="M355" s="145"/>
      <c r="N355" s="145"/>
      <c r="O355" s="174"/>
      <c r="P355" s="174">
        <v>1</v>
      </c>
      <c r="Q355" s="158">
        <v>394000</v>
      </c>
      <c r="R355" s="158">
        <v>297000</v>
      </c>
      <c r="S355" s="158" t="str">
        <v/>
      </c>
      <c r="T355" s="158">
        <v>550000</v>
      </c>
      <c r="U355" s="158" t="str">
        <v/>
      </c>
      <c r="V355" s="158" t="str">
        <v/>
      </c>
      <c r="W355" s="158" t="str">
        <v/>
      </c>
      <c r="X355" s="158" t="str">
        <v/>
      </c>
      <c r="Y355" s="158" t="str">
        <v/>
      </c>
      <c r="Z355" s="158">
        <v>1000000</v>
      </c>
      <c r="AA355" s="158" t="e">
        <v>#VALUE!</v>
      </c>
      <c r="AB355" s="171">
        <v>0.04</v>
      </c>
      <c r="AC355" s="158">
        <v>0</v>
      </c>
      <c r="AD355" s="173" t="str">
        <f ca="1">IFERROR(__xludf.DUMMYFUNCTION("""COMPUTED_VALUE"""),"2025-08")</f>
        <v>2025-08</v>
      </c>
      <c r="AE355" s="154">
        <v>0</v>
      </c>
      <c r="AF355" s="154">
        <v>0</v>
      </c>
    </row>
    <row r="356" spans="1:32" ht="15">
      <c r="A356" s="176">
        <v>45899</v>
      </c>
      <c r="B356" s="145" t="s">
        <v>1774</v>
      </c>
      <c r="C356" s="169">
        <v>60115</v>
      </c>
      <c r="D356" s="145">
        <v>4</v>
      </c>
      <c r="E356" s="145">
        <v>1</v>
      </c>
      <c r="F356" s="169" t="e">
        <v>#VALUE!</v>
      </c>
      <c r="G356" s="145"/>
      <c r="H356" s="145"/>
      <c r="I356" s="145"/>
      <c r="J356" s="145"/>
      <c r="K356" s="145"/>
      <c r="L356" s="145"/>
      <c r="M356" s="145">
        <v>1</v>
      </c>
      <c r="N356" s="145"/>
      <c r="O356" s="174"/>
      <c r="P356" s="174"/>
      <c r="Q356" s="158" t="str">
        <v/>
      </c>
      <c r="R356" s="158" t="str">
        <v/>
      </c>
      <c r="S356" s="158" t="str">
        <v/>
      </c>
      <c r="T356" s="158" t="str">
        <v/>
      </c>
      <c r="U356" s="158" t="str">
        <v/>
      </c>
      <c r="V356" s="158" t="str">
        <v/>
      </c>
      <c r="W356" s="158">
        <v>297000</v>
      </c>
      <c r="X356" s="158" t="str">
        <v/>
      </c>
      <c r="Y356" s="158" t="str">
        <v/>
      </c>
      <c r="Z356" s="158" t="str">
        <v/>
      </c>
      <c r="AA356" s="158" t="e">
        <v>#VALUE!</v>
      </c>
      <c r="AB356" s="171">
        <v>0.01</v>
      </c>
      <c r="AC356" s="158">
        <v>15028.75</v>
      </c>
      <c r="AD356" s="173" t="str">
        <f ca="1">IFERROR(__xludf.DUMMYFUNCTION("""COMPUTED_VALUE"""),"2025-08")</f>
        <v>2025-08</v>
      </c>
      <c r="AE356" s="154">
        <v>0</v>
      </c>
      <c r="AF356" s="154">
        <v>0</v>
      </c>
    </row>
    <row r="357" spans="1:32" ht="15">
      <c r="A357" s="176">
        <v>45899</v>
      </c>
      <c r="B357" s="145" t="s">
        <v>12897</v>
      </c>
      <c r="C357" s="169">
        <v>10021</v>
      </c>
      <c r="D357" s="145">
        <v>0</v>
      </c>
      <c r="E357" s="145"/>
      <c r="F357" s="169" t="e">
        <v>#VALUE!</v>
      </c>
      <c r="G357" s="145"/>
      <c r="H357" s="145"/>
      <c r="I357" s="145"/>
      <c r="J357" s="145"/>
      <c r="K357" s="145"/>
      <c r="L357" s="145"/>
      <c r="M357" s="145"/>
      <c r="N357" s="145"/>
      <c r="O357" s="174"/>
      <c r="P357" s="174"/>
      <c r="Q357" s="158" t="str">
        <v/>
      </c>
      <c r="R357" s="158" t="str">
        <v/>
      </c>
      <c r="S357" s="158" t="str">
        <v/>
      </c>
      <c r="T357" s="158" t="str">
        <v/>
      </c>
      <c r="U357" s="158" t="str">
        <v/>
      </c>
      <c r="V357" s="158" t="str">
        <v/>
      </c>
      <c r="W357" s="158" t="str">
        <v/>
      </c>
      <c r="X357" s="158" t="str">
        <v/>
      </c>
      <c r="Y357" s="158" t="str">
        <v/>
      </c>
      <c r="Z357" s="158" t="str">
        <v/>
      </c>
      <c r="AA357" s="158" t="e">
        <v>#VALUE!</v>
      </c>
      <c r="AB357" s="171" t="str">
        <v/>
      </c>
      <c r="AC357" s="158" t="str">
        <v/>
      </c>
      <c r="AD357" s="173" t="str">
        <f ca="1">IFERROR(__xludf.DUMMYFUNCTION("""COMPUTED_VALUE"""),"2025-08")</f>
        <v>2025-08</v>
      </c>
      <c r="AE357" s="154" t="str">
        <v/>
      </c>
      <c r="AF357" s="154" t="str">
        <v/>
      </c>
    </row>
    <row r="358" spans="1:32" ht="15">
      <c r="A358" s="176">
        <v>45899</v>
      </c>
      <c r="B358" s="145" t="s">
        <v>12896</v>
      </c>
      <c r="C358" s="169">
        <v>11904</v>
      </c>
      <c r="D358" s="145">
        <v>0</v>
      </c>
      <c r="E358" s="145"/>
      <c r="F358" s="169" t="e">
        <v>#VALUE!</v>
      </c>
      <c r="G358" s="145"/>
      <c r="H358" s="145"/>
      <c r="I358" s="145"/>
      <c r="J358" s="145"/>
      <c r="K358" s="145"/>
      <c r="L358" s="145"/>
      <c r="M358" s="145"/>
      <c r="N358" s="145"/>
      <c r="O358" s="174"/>
      <c r="P358" s="174"/>
      <c r="Q358" s="158" t="str">
        <v/>
      </c>
      <c r="R358" s="158" t="str">
        <v/>
      </c>
      <c r="S358" s="158" t="str">
        <v/>
      </c>
      <c r="T358" s="158" t="str">
        <v/>
      </c>
      <c r="U358" s="158" t="str">
        <v/>
      </c>
      <c r="V358" s="158" t="str">
        <v/>
      </c>
      <c r="W358" s="158" t="str">
        <v/>
      </c>
      <c r="X358" s="158" t="str">
        <v/>
      </c>
      <c r="Y358" s="158" t="str">
        <v/>
      </c>
      <c r="Z358" s="158" t="str">
        <v/>
      </c>
      <c r="AA358" s="158" t="e">
        <v>#VALUE!</v>
      </c>
      <c r="AB358" s="171" t="str">
        <v/>
      </c>
      <c r="AC358" s="158" t="str">
        <v/>
      </c>
      <c r="AD358" s="173" t="str">
        <f ca="1">IFERROR(__xludf.DUMMYFUNCTION("""COMPUTED_VALUE"""),"2025-08")</f>
        <v>2025-08</v>
      </c>
      <c r="AE358" s="154" t="str">
        <v/>
      </c>
      <c r="AF358" s="154" t="str">
        <v/>
      </c>
    </row>
    <row r="359" spans="1:32" ht="15">
      <c r="A359" s="176">
        <v>45899</v>
      </c>
      <c r="B359" s="145" t="s">
        <v>1229</v>
      </c>
      <c r="C359" s="169">
        <v>38094</v>
      </c>
      <c r="D359" s="145">
        <v>2</v>
      </c>
      <c r="E359" s="145">
        <v>1</v>
      </c>
      <c r="F359" s="169" t="e">
        <v>#VALUE!</v>
      </c>
      <c r="G359" s="145">
        <v>1</v>
      </c>
      <c r="H359" s="145"/>
      <c r="I359" s="145"/>
      <c r="J359" s="145"/>
      <c r="K359" s="145"/>
      <c r="L359" s="145"/>
      <c r="M359" s="145"/>
      <c r="N359" s="145"/>
      <c r="O359" s="174"/>
      <c r="P359" s="174"/>
      <c r="Q359" s="158">
        <v>197000</v>
      </c>
      <c r="R359" s="158" t="str">
        <v/>
      </c>
      <c r="S359" s="158" t="str">
        <v/>
      </c>
      <c r="T359" s="158" t="str">
        <v/>
      </c>
      <c r="U359" s="158" t="str">
        <v/>
      </c>
      <c r="V359" s="158" t="str">
        <v/>
      </c>
      <c r="W359" s="158" t="str">
        <v/>
      </c>
      <c r="X359" s="158" t="str">
        <v/>
      </c>
      <c r="Y359" s="158" t="str">
        <v/>
      </c>
      <c r="Z359" s="158" t="str">
        <v/>
      </c>
      <c r="AA359" s="158" t="e">
        <v>#VALUE!</v>
      </c>
      <c r="AB359" s="171">
        <v>0.01</v>
      </c>
      <c r="AC359" s="158">
        <v>19047</v>
      </c>
      <c r="AD359" s="173" t="str">
        <f ca="1">IFERROR(__xludf.DUMMYFUNCTION("""COMPUTED_VALUE"""),"2025-08")</f>
        <v>2025-08</v>
      </c>
      <c r="AE359" s="154">
        <v>0</v>
      </c>
      <c r="AF359" s="154">
        <v>0</v>
      </c>
    </row>
    <row r="360" spans="1:32" ht="15">
      <c r="A360" s="176">
        <v>45899</v>
      </c>
      <c r="B360" s="145" t="s">
        <v>115</v>
      </c>
      <c r="C360" s="169">
        <v>0</v>
      </c>
      <c r="D360" s="145"/>
      <c r="E360" s="145">
        <v>2</v>
      </c>
      <c r="F360" s="169" t="e">
        <v>#VALUE!</v>
      </c>
      <c r="G360" s="145"/>
      <c r="H360" s="145"/>
      <c r="I360" s="145"/>
      <c r="J360" s="145"/>
      <c r="K360" s="145"/>
      <c r="L360" s="145"/>
      <c r="M360" s="145">
        <v>2</v>
      </c>
      <c r="N360" s="145"/>
      <c r="O360" s="174"/>
      <c r="P360" s="174"/>
      <c r="Q360" s="158" t="str">
        <v/>
      </c>
      <c r="R360" s="158" t="str">
        <v/>
      </c>
      <c r="S360" s="158" t="str">
        <v/>
      </c>
      <c r="T360" s="158" t="str">
        <v/>
      </c>
      <c r="U360" s="158" t="str">
        <v/>
      </c>
      <c r="V360" s="158" t="str">
        <v/>
      </c>
      <c r="W360" s="158">
        <v>594000</v>
      </c>
      <c r="X360" s="158" t="str">
        <v/>
      </c>
      <c r="Y360" s="158" t="str">
        <v/>
      </c>
      <c r="Z360" s="158" t="str">
        <v/>
      </c>
      <c r="AA360" s="158" t="e">
        <v>#VALUE!</v>
      </c>
      <c r="AB360" s="171">
        <v>0.02</v>
      </c>
      <c r="AC360" s="158">
        <v>0</v>
      </c>
      <c r="AD360" s="173" t="str">
        <f ca="1">IFERROR(__xludf.DUMMYFUNCTION("""COMPUTED_VALUE"""),"2025-08")</f>
        <v>2025-08</v>
      </c>
      <c r="AE360" s="154">
        <v>0</v>
      </c>
      <c r="AF360" s="154">
        <v>0</v>
      </c>
    </row>
    <row r="361" spans="1:32" ht="15">
      <c r="A361" s="176">
        <v>45899</v>
      </c>
      <c r="B361" s="145" t="s">
        <v>61</v>
      </c>
      <c r="C361" s="169">
        <v>0</v>
      </c>
      <c r="D361" s="145"/>
      <c r="E361" s="145">
        <v>4</v>
      </c>
      <c r="F361" s="169" t="e">
        <v>#VALUE!</v>
      </c>
      <c r="G361" s="145">
        <v>2</v>
      </c>
      <c r="H361" s="145"/>
      <c r="I361" s="145"/>
      <c r="J361" s="145"/>
      <c r="K361" s="145"/>
      <c r="L361" s="145"/>
      <c r="M361" s="145">
        <v>2</v>
      </c>
      <c r="N361" s="145"/>
      <c r="O361" s="174"/>
      <c r="P361" s="174"/>
      <c r="Q361" s="158">
        <v>394000</v>
      </c>
      <c r="R361" s="158" t="str">
        <v/>
      </c>
      <c r="S361" s="158" t="str">
        <v/>
      </c>
      <c r="T361" s="158" t="str">
        <v/>
      </c>
      <c r="U361" s="158" t="str">
        <v/>
      </c>
      <c r="V361" s="158" t="str">
        <v/>
      </c>
      <c r="W361" s="158">
        <v>594000</v>
      </c>
      <c r="X361" s="158" t="str">
        <v/>
      </c>
      <c r="Y361" s="158" t="str">
        <v/>
      </c>
      <c r="Z361" s="158" t="str">
        <v/>
      </c>
      <c r="AA361" s="158" t="e">
        <v>#VALUE!</v>
      </c>
      <c r="AB361" s="171">
        <v>0.04</v>
      </c>
      <c r="AC361" s="158">
        <v>0</v>
      </c>
      <c r="AD361" s="173" t="str">
        <f ca="1">IFERROR(__xludf.DUMMYFUNCTION("""COMPUTED_VALUE"""),"2025-08")</f>
        <v>2025-08</v>
      </c>
      <c r="AE361" s="154">
        <v>0</v>
      </c>
      <c r="AF361" s="154">
        <v>0</v>
      </c>
    </row>
    <row r="362" spans="1:32" ht="15">
      <c r="A362" s="176">
        <v>45900</v>
      </c>
      <c r="B362" s="145" t="s">
        <v>61</v>
      </c>
      <c r="C362" s="169">
        <v>0</v>
      </c>
      <c r="D362" s="145"/>
      <c r="E362" s="145">
        <v>3</v>
      </c>
      <c r="F362" s="169" t="e">
        <v>#VALUE!</v>
      </c>
      <c r="G362" s="145">
        <v>1</v>
      </c>
      <c r="H362" s="145"/>
      <c r="I362" s="145"/>
      <c r="J362" s="145"/>
      <c r="K362" s="145"/>
      <c r="L362" s="145"/>
      <c r="M362" s="145">
        <v>1</v>
      </c>
      <c r="N362" s="145"/>
      <c r="O362" s="174"/>
      <c r="P362" s="174"/>
      <c r="Q362" s="158">
        <v>197000</v>
      </c>
      <c r="R362" s="158" t="str">
        <v/>
      </c>
      <c r="S362" s="158" t="str">
        <v/>
      </c>
      <c r="T362" s="158" t="str">
        <v/>
      </c>
      <c r="U362" s="158" t="str">
        <v/>
      </c>
      <c r="V362" s="158" t="str">
        <v/>
      </c>
      <c r="W362" s="158">
        <v>297000</v>
      </c>
      <c r="X362" s="158" t="str">
        <v/>
      </c>
      <c r="Y362" s="158" t="str">
        <v/>
      </c>
      <c r="Z362" s="158" t="str">
        <v/>
      </c>
      <c r="AA362" s="158" t="e">
        <v>#VALUE!</v>
      </c>
      <c r="AB362" s="171">
        <v>0.03</v>
      </c>
      <c r="AC362" s="158">
        <v>0</v>
      </c>
      <c r="AD362" s="173" t="str">
        <f ca="1">IFERROR(__xludf.DUMMYFUNCTION("""COMPUTED_VALUE"""),"2025-08")</f>
        <v>2025-08</v>
      </c>
      <c r="AE362" s="154">
        <v>0</v>
      </c>
      <c r="AF362" s="154">
        <v>0</v>
      </c>
    </row>
    <row r="363" spans="1:32" ht="15">
      <c r="A363" s="176">
        <v>45900</v>
      </c>
      <c r="B363" s="145" t="s">
        <v>115</v>
      </c>
      <c r="C363" s="169">
        <v>0</v>
      </c>
      <c r="D363" s="145"/>
      <c r="E363" s="145">
        <v>1</v>
      </c>
      <c r="F363" s="169" t="e">
        <v>#VALUE!</v>
      </c>
      <c r="G363" s="145"/>
      <c r="H363" s="145">
        <v>1</v>
      </c>
      <c r="I363" s="145"/>
      <c r="J363" s="145"/>
      <c r="K363" s="145"/>
      <c r="L363" s="145"/>
      <c r="M363" s="145"/>
      <c r="N363" s="145"/>
      <c r="O363" s="174"/>
      <c r="P363" s="174"/>
      <c r="Q363" s="158" t="str">
        <v/>
      </c>
      <c r="R363" s="158">
        <v>297000</v>
      </c>
      <c r="S363" s="158" t="str">
        <v/>
      </c>
      <c r="T363" s="158" t="str">
        <v/>
      </c>
      <c r="U363" s="158" t="str">
        <v/>
      </c>
      <c r="V363" s="158" t="str">
        <v/>
      </c>
      <c r="W363" s="158" t="str">
        <v/>
      </c>
      <c r="X363" s="158" t="str">
        <v/>
      </c>
      <c r="Y363" s="158" t="str">
        <v/>
      </c>
      <c r="Z363" s="158" t="str">
        <v/>
      </c>
      <c r="AA363" s="158" t="e">
        <v>#VALUE!</v>
      </c>
      <c r="AB363" s="171">
        <v>0.01</v>
      </c>
      <c r="AC363" s="158">
        <v>0</v>
      </c>
      <c r="AD363" s="173" t="str">
        <f ca="1">IFERROR(__xludf.DUMMYFUNCTION("""COMPUTED_VALUE"""),"2025-08")</f>
        <v>2025-08</v>
      </c>
      <c r="AE363" s="154">
        <v>0</v>
      </c>
      <c r="AF363" s="154">
        <v>0</v>
      </c>
    </row>
    <row r="364" spans="1:32" ht="15">
      <c r="A364" s="176">
        <v>45900</v>
      </c>
      <c r="B364" s="145" t="s">
        <v>1774</v>
      </c>
      <c r="C364" s="169">
        <v>0</v>
      </c>
      <c r="D364" s="145"/>
      <c r="E364" s="145">
        <v>1</v>
      </c>
      <c r="F364" s="169" t="e">
        <v>#VALUE!</v>
      </c>
      <c r="G364" s="145">
        <v>1</v>
      </c>
      <c r="H364" s="145"/>
      <c r="I364" s="145"/>
      <c r="J364" s="145"/>
      <c r="K364" s="145"/>
      <c r="L364" s="145"/>
      <c r="M364" s="145"/>
      <c r="N364" s="145"/>
      <c r="O364" s="174"/>
      <c r="P364" s="174"/>
      <c r="Q364" s="158">
        <v>197000</v>
      </c>
      <c r="R364" s="158" t="str">
        <v/>
      </c>
      <c r="S364" s="158" t="str">
        <v/>
      </c>
      <c r="T364" s="158" t="str">
        <v/>
      </c>
      <c r="U364" s="158" t="str">
        <v/>
      </c>
      <c r="V364" s="158" t="str">
        <v/>
      </c>
      <c r="W364" s="158" t="str">
        <v/>
      </c>
      <c r="X364" s="158" t="str">
        <v/>
      </c>
      <c r="Y364" s="158" t="str">
        <v/>
      </c>
      <c r="Z364" s="158" t="str">
        <v/>
      </c>
      <c r="AA364" s="158" t="e">
        <v>#VALUE!</v>
      </c>
      <c r="AB364" s="171">
        <v>0.01</v>
      </c>
      <c r="AC364" s="158">
        <v>0</v>
      </c>
      <c r="AD364" s="173" t="str">
        <f ca="1">IFERROR(__xludf.DUMMYFUNCTION("""COMPUTED_VALUE"""),"2025-08")</f>
        <v>2025-08</v>
      </c>
      <c r="AE364" s="154">
        <v>0</v>
      </c>
      <c r="AF364" s="154">
        <v>0</v>
      </c>
    </row>
    <row r="365" spans="1:32" ht="15">
      <c r="A365" s="176">
        <v>45900</v>
      </c>
      <c r="B365" s="145" t="s">
        <v>1229</v>
      </c>
      <c r="C365" s="169">
        <v>0</v>
      </c>
      <c r="D365" s="145"/>
      <c r="E365" s="145"/>
      <c r="F365" s="169" t="e">
        <v>#VALUE!</v>
      </c>
      <c r="G365" s="145">
        <v>1</v>
      </c>
      <c r="H365" s="145"/>
      <c r="I365" s="145"/>
      <c r="J365" s="145"/>
      <c r="K365" s="145"/>
      <c r="L365" s="145"/>
      <c r="M365" s="145"/>
      <c r="N365" s="145"/>
      <c r="O365" s="174"/>
      <c r="P365" s="174"/>
      <c r="Q365" s="158">
        <v>197000</v>
      </c>
      <c r="R365" s="158" t="str">
        <v/>
      </c>
      <c r="S365" s="158" t="str">
        <v/>
      </c>
      <c r="T365" s="158" t="str">
        <v/>
      </c>
      <c r="U365" s="158" t="str">
        <v/>
      </c>
      <c r="V365" s="158" t="str">
        <v/>
      </c>
      <c r="W365" s="158" t="str">
        <v/>
      </c>
      <c r="X365" s="158" t="str">
        <v/>
      </c>
      <c r="Y365" s="158" t="str">
        <v/>
      </c>
      <c r="Z365" s="158" t="str">
        <v/>
      </c>
      <c r="AA365" s="158" t="e">
        <v>#VALUE!</v>
      </c>
      <c r="AB365" s="171" t="str">
        <v/>
      </c>
      <c r="AC365" s="158">
        <v>0</v>
      </c>
      <c r="AD365" s="173" t="str">
        <f ca="1">IFERROR(__xludf.DUMMYFUNCTION("""COMPUTED_VALUE"""),"2025-08")</f>
        <v>2025-08</v>
      </c>
      <c r="AE365" s="154" t="str">
        <v/>
      </c>
      <c r="AF365" s="154" t="str">
        <v/>
      </c>
    </row>
    <row r="366" spans="1:32" ht="15">
      <c r="A366" s="175">
        <v>45901</v>
      </c>
      <c r="B366" s="145" t="s">
        <v>12898</v>
      </c>
      <c r="C366" s="169">
        <v>327499</v>
      </c>
      <c r="D366" s="145">
        <v>65</v>
      </c>
      <c r="E366" s="145"/>
      <c r="F366" s="169" t="e">
        <v>#VALUE!</v>
      </c>
      <c r="G366" s="145"/>
      <c r="H366" s="145"/>
      <c r="I366" s="145"/>
      <c r="J366" s="145"/>
      <c r="K366" s="145"/>
      <c r="L366" s="145"/>
      <c r="M366" s="145"/>
      <c r="N366" s="145"/>
      <c r="O366" s="174"/>
      <c r="P366" s="174"/>
      <c r="Q366" s="158" t="str">
        <v/>
      </c>
      <c r="R366" s="158" t="str">
        <v/>
      </c>
      <c r="S366" s="158" t="str">
        <v/>
      </c>
      <c r="T366" s="158" t="str">
        <v/>
      </c>
      <c r="U366" s="158" t="str">
        <v/>
      </c>
      <c r="V366" s="158" t="str">
        <v/>
      </c>
      <c r="W366" s="158" t="str">
        <v/>
      </c>
      <c r="X366" s="158" t="str">
        <v/>
      </c>
      <c r="Y366" s="158" t="str">
        <v/>
      </c>
      <c r="Z366" s="158" t="str">
        <v/>
      </c>
      <c r="AA366" s="158" t="e">
        <v>#VALUE!</v>
      </c>
      <c r="AB366" s="171" t="str">
        <v/>
      </c>
      <c r="AC366" s="158">
        <v>5038.4461538461537</v>
      </c>
      <c r="AD366" s="173" t="str">
        <f ca="1">IFERROR(__xludf.DUMMYFUNCTION("""COMPUTED_VALUE"""),"2025-09")</f>
        <v>2025-09</v>
      </c>
      <c r="AE366" s="154" t="str">
        <v/>
      </c>
      <c r="AF366" s="154" t="str">
        <v/>
      </c>
    </row>
    <row r="367" spans="1:32" ht="15">
      <c r="A367" s="175">
        <v>45901</v>
      </c>
      <c r="B367" s="145" t="s">
        <v>1774</v>
      </c>
      <c r="C367" s="169">
        <v>13622</v>
      </c>
      <c r="D367" s="145">
        <v>0</v>
      </c>
      <c r="E367" s="145">
        <v>3</v>
      </c>
      <c r="F367" s="169" t="e">
        <v>#VALUE!</v>
      </c>
      <c r="G367" s="145">
        <v>3</v>
      </c>
      <c r="H367" s="145"/>
      <c r="I367" s="145"/>
      <c r="J367" s="145"/>
      <c r="K367" s="145"/>
      <c r="L367" s="145"/>
      <c r="M367" s="145"/>
      <c r="N367" s="145"/>
      <c r="O367" s="174"/>
      <c r="P367" s="174"/>
      <c r="Q367" s="158">
        <v>591000</v>
      </c>
      <c r="R367" s="158" t="str">
        <v/>
      </c>
      <c r="S367" s="158" t="str">
        <v/>
      </c>
      <c r="T367" s="158" t="str">
        <v/>
      </c>
      <c r="U367" s="158" t="str">
        <v/>
      </c>
      <c r="V367" s="158" t="str">
        <v/>
      </c>
      <c r="W367" s="158" t="str">
        <v/>
      </c>
      <c r="X367" s="158" t="str">
        <v/>
      </c>
      <c r="Y367" s="158" t="str">
        <v/>
      </c>
      <c r="Z367" s="158" t="str">
        <v/>
      </c>
      <c r="AA367" s="158" t="e">
        <v>#VALUE!</v>
      </c>
      <c r="AB367" s="171">
        <v>0.03</v>
      </c>
      <c r="AC367" s="158" t="str">
        <v/>
      </c>
      <c r="AD367" s="173" t="str">
        <f ca="1">IFERROR(__xludf.DUMMYFUNCTION("""COMPUTED_VALUE"""),"2025-09")</f>
        <v>2025-09</v>
      </c>
      <c r="AE367" s="154">
        <v>0</v>
      </c>
      <c r="AF367" s="154">
        <v>0</v>
      </c>
    </row>
    <row r="368" spans="1:32" ht="15">
      <c r="A368" s="175">
        <v>45901</v>
      </c>
      <c r="B368" s="145" t="s">
        <v>12897</v>
      </c>
      <c r="C368" s="169">
        <v>272679</v>
      </c>
      <c r="D368" s="145">
        <v>47</v>
      </c>
      <c r="E368" s="145"/>
      <c r="F368" s="169" t="e">
        <v>#VALUE!</v>
      </c>
      <c r="G368" s="145"/>
      <c r="H368" s="145"/>
      <c r="I368" s="145"/>
      <c r="J368" s="145"/>
      <c r="K368" s="145"/>
      <c r="L368" s="145"/>
      <c r="M368" s="145"/>
      <c r="N368" s="145"/>
      <c r="O368" s="174"/>
      <c r="P368" s="174"/>
      <c r="Q368" s="158" t="str">
        <v/>
      </c>
      <c r="R368" s="158" t="str">
        <v/>
      </c>
      <c r="S368" s="158" t="str">
        <v/>
      </c>
      <c r="T368" s="158" t="str">
        <v/>
      </c>
      <c r="U368" s="158" t="str">
        <v/>
      </c>
      <c r="V368" s="158" t="str">
        <v/>
      </c>
      <c r="W368" s="158" t="str">
        <v/>
      </c>
      <c r="X368" s="158" t="str">
        <v/>
      </c>
      <c r="Y368" s="158" t="str">
        <v/>
      </c>
      <c r="Z368" s="158" t="str">
        <v/>
      </c>
      <c r="AA368" s="158" t="e">
        <v>#VALUE!</v>
      </c>
      <c r="AB368" s="171" t="str">
        <v/>
      </c>
      <c r="AC368" s="158">
        <v>5801.6808510638302</v>
      </c>
      <c r="AD368" s="173" t="str">
        <f ca="1">IFERROR(__xludf.DUMMYFUNCTION("""COMPUTED_VALUE"""),"2025-09")</f>
        <v>2025-09</v>
      </c>
      <c r="AE368" s="154" t="str">
        <v/>
      </c>
      <c r="AF368" s="154" t="str">
        <v/>
      </c>
    </row>
    <row r="369" spans="1:32" ht="15">
      <c r="A369" s="175">
        <v>45901</v>
      </c>
      <c r="B369" s="145" t="s">
        <v>12896</v>
      </c>
      <c r="C369" s="169">
        <v>698</v>
      </c>
      <c r="D369" s="145">
        <v>0</v>
      </c>
      <c r="E369" s="145"/>
      <c r="F369" s="169" t="e">
        <v>#VALUE!</v>
      </c>
      <c r="G369" s="145"/>
      <c r="H369" s="145"/>
      <c r="I369" s="145"/>
      <c r="J369" s="145"/>
      <c r="K369" s="145"/>
      <c r="L369" s="145"/>
      <c r="M369" s="145"/>
      <c r="N369" s="145"/>
      <c r="O369" s="174"/>
      <c r="P369" s="174"/>
      <c r="Q369" s="158" t="str">
        <v/>
      </c>
      <c r="R369" s="158" t="str">
        <v/>
      </c>
      <c r="S369" s="158" t="str">
        <v/>
      </c>
      <c r="T369" s="158" t="str">
        <v/>
      </c>
      <c r="U369" s="158" t="str">
        <v/>
      </c>
      <c r="V369" s="158" t="str">
        <v/>
      </c>
      <c r="W369" s="158" t="str">
        <v/>
      </c>
      <c r="X369" s="158" t="str">
        <v/>
      </c>
      <c r="Y369" s="158" t="str">
        <v/>
      </c>
      <c r="Z369" s="158" t="str">
        <v/>
      </c>
      <c r="AA369" s="158" t="e">
        <v>#VALUE!</v>
      </c>
      <c r="AB369" s="171" t="str">
        <v/>
      </c>
      <c r="AC369" s="158" t="str">
        <v/>
      </c>
      <c r="AD369" s="173" t="str">
        <f ca="1">IFERROR(__xludf.DUMMYFUNCTION("""COMPUTED_VALUE"""),"2025-09")</f>
        <v>2025-09</v>
      </c>
      <c r="AE369" s="154" t="str">
        <v/>
      </c>
      <c r="AF369" s="154" t="str">
        <v/>
      </c>
    </row>
    <row r="370" spans="1:32" ht="15">
      <c r="A370" s="175">
        <v>45901</v>
      </c>
      <c r="B370" s="145" t="s">
        <v>1229</v>
      </c>
      <c r="C370" s="169">
        <v>23885</v>
      </c>
      <c r="D370" s="145">
        <v>5</v>
      </c>
      <c r="E370" s="145"/>
      <c r="F370" s="169" t="e">
        <v>#VALUE!</v>
      </c>
      <c r="G370" s="145"/>
      <c r="H370" s="145"/>
      <c r="I370" s="145"/>
      <c r="J370" s="145"/>
      <c r="K370" s="145"/>
      <c r="L370" s="145"/>
      <c r="M370" s="145"/>
      <c r="N370" s="145"/>
      <c r="O370" s="174"/>
      <c r="P370" s="174"/>
      <c r="Q370" s="158" t="str">
        <v/>
      </c>
      <c r="R370" s="158" t="str">
        <v/>
      </c>
      <c r="S370" s="158" t="str">
        <v/>
      </c>
      <c r="T370" s="158" t="str">
        <v/>
      </c>
      <c r="U370" s="158" t="str">
        <v/>
      </c>
      <c r="V370" s="158" t="str">
        <v/>
      </c>
      <c r="W370" s="158" t="str">
        <v/>
      </c>
      <c r="X370" s="158" t="str">
        <v/>
      </c>
      <c r="Y370" s="158" t="str">
        <v/>
      </c>
      <c r="Z370" s="158" t="str">
        <v/>
      </c>
      <c r="AA370" s="158" t="e">
        <v>#VALUE!</v>
      </c>
      <c r="AB370" s="171" t="str">
        <v/>
      </c>
      <c r="AC370" s="158">
        <v>4777</v>
      </c>
      <c r="AD370" s="173" t="str">
        <f ca="1">IFERROR(__xludf.DUMMYFUNCTION("""COMPUTED_VALUE"""),"2025-09")</f>
        <v>2025-09</v>
      </c>
      <c r="AE370" s="154" t="str">
        <v/>
      </c>
      <c r="AF370" s="154" t="str">
        <v/>
      </c>
    </row>
    <row r="371" spans="1:32" ht="15">
      <c r="A371" s="175">
        <v>45901</v>
      </c>
      <c r="B371" s="145" t="s">
        <v>115</v>
      </c>
      <c r="C371" s="169">
        <v>0</v>
      </c>
      <c r="D371" s="145"/>
      <c r="E371" s="145">
        <v>3</v>
      </c>
      <c r="F371" s="169" t="e">
        <v>#VALUE!</v>
      </c>
      <c r="G371" s="145">
        <v>1</v>
      </c>
      <c r="H371" s="145"/>
      <c r="I371" s="145"/>
      <c r="J371" s="145"/>
      <c r="K371" s="145"/>
      <c r="L371" s="145">
        <v>1</v>
      </c>
      <c r="M371" s="145">
        <v>1</v>
      </c>
      <c r="N371" s="145"/>
      <c r="O371" s="174"/>
      <c r="P371" s="174"/>
      <c r="Q371" s="158">
        <v>197000</v>
      </c>
      <c r="R371" s="158" t="str">
        <v/>
      </c>
      <c r="S371" s="158" t="str">
        <v/>
      </c>
      <c r="T371" s="158" t="str">
        <v/>
      </c>
      <c r="U371" s="158" t="str">
        <v/>
      </c>
      <c r="V371" s="158">
        <v>197000</v>
      </c>
      <c r="W371" s="158">
        <v>297000</v>
      </c>
      <c r="X371" s="158" t="str">
        <v/>
      </c>
      <c r="Y371" s="158" t="str">
        <v/>
      </c>
      <c r="Z371" s="158" t="str">
        <v/>
      </c>
      <c r="AA371" s="158" t="e">
        <v>#VALUE!</v>
      </c>
      <c r="AB371" s="171">
        <v>0.03</v>
      </c>
      <c r="AC371" s="158">
        <v>0</v>
      </c>
      <c r="AD371" s="173" t="str">
        <f ca="1">IFERROR(__xludf.DUMMYFUNCTION("""COMPUTED_VALUE"""),"2025-09")</f>
        <v>2025-09</v>
      </c>
      <c r="AE371" s="154">
        <v>0</v>
      </c>
      <c r="AF371" s="154">
        <v>0</v>
      </c>
    </row>
    <row r="372" spans="1:32" ht="15">
      <c r="A372" s="175">
        <v>45901</v>
      </c>
      <c r="B372" s="145" t="s">
        <v>61</v>
      </c>
      <c r="C372" s="169">
        <v>0</v>
      </c>
      <c r="D372" s="145"/>
      <c r="E372" s="145">
        <v>6</v>
      </c>
      <c r="F372" s="169" t="e">
        <v>#VALUE!</v>
      </c>
      <c r="G372" s="145">
        <v>1</v>
      </c>
      <c r="H372" s="145"/>
      <c r="I372" s="145"/>
      <c r="J372" s="145"/>
      <c r="K372" s="145"/>
      <c r="L372" s="145">
        <v>1</v>
      </c>
      <c r="M372" s="145">
        <v>1</v>
      </c>
      <c r="N372" s="145"/>
      <c r="O372" s="174"/>
      <c r="P372" s="174">
        <v>2</v>
      </c>
      <c r="Q372" s="158">
        <v>197000</v>
      </c>
      <c r="R372" s="158" t="str">
        <v/>
      </c>
      <c r="S372" s="158" t="str">
        <v/>
      </c>
      <c r="T372" s="158" t="str">
        <v/>
      </c>
      <c r="U372" s="158" t="str">
        <v/>
      </c>
      <c r="V372" s="158">
        <v>197000</v>
      </c>
      <c r="W372" s="158">
        <v>297000</v>
      </c>
      <c r="X372" s="158" t="str">
        <v/>
      </c>
      <c r="Y372" s="158" t="str">
        <v/>
      </c>
      <c r="Z372" s="158">
        <v>2000000</v>
      </c>
      <c r="AA372" s="158" t="e">
        <v>#VALUE!</v>
      </c>
      <c r="AB372" s="171">
        <v>0.06</v>
      </c>
      <c r="AC372" s="158">
        <v>0</v>
      </c>
      <c r="AD372" s="173" t="str">
        <f ca="1">IFERROR(__xludf.DUMMYFUNCTION("""COMPUTED_VALUE"""),"2025-09")</f>
        <v>2025-09</v>
      </c>
      <c r="AE372" s="154">
        <v>0</v>
      </c>
      <c r="AF372" s="154">
        <v>0</v>
      </c>
    </row>
    <row r="373" spans="1:32" ht="15">
      <c r="A373" s="175">
        <v>45901</v>
      </c>
      <c r="B373" s="145" t="s">
        <v>1229</v>
      </c>
      <c r="C373" s="169">
        <v>0</v>
      </c>
      <c r="D373" s="145"/>
      <c r="E373" s="145">
        <v>2</v>
      </c>
      <c r="F373" s="169" t="e">
        <v>#VALUE!</v>
      </c>
      <c r="G373" s="145"/>
      <c r="H373" s="145"/>
      <c r="I373" s="145"/>
      <c r="J373" s="145"/>
      <c r="K373" s="145"/>
      <c r="L373" s="145"/>
      <c r="M373" s="145">
        <v>2</v>
      </c>
      <c r="N373" s="145"/>
      <c r="O373" s="174"/>
      <c r="P373" s="174"/>
      <c r="Q373" s="158" t="str">
        <v/>
      </c>
      <c r="R373" s="158" t="str">
        <v/>
      </c>
      <c r="S373" s="158" t="str">
        <v/>
      </c>
      <c r="T373" s="158" t="str">
        <v/>
      </c>
      <c r="U373" s="158" t="str">
        <v/>
      </c>
      <c r="V373" s="158" t="str">
        <v/>
      </c>
      <c r="W373" s="158">
        <v>594000</v>
      </c>
      <c r="X373" s="158" t="str">
        <v/>
      </c>
      <c r="Y373" s="158" t="str">
        <v/>
      </c>
      <c r="Z373" s="158" t="str">
        <v/>
      </c>
      <c r="AA373" s="158" t="e">
        <v>#VALUE!</v>
      </c>
      <c r="AB373" s="171">
        <v>0.02</v>
      </c>
      <c r="AC373" s="158">
        <v>0</v>
      </c>
      <c r="AD373" s="173" t="str">
        <f ca="1">IFERROR(__xludf.DUMMYFUNCTION("""COMPUTED_VALUE"""),"2025-09")</f>
        <v>2025-09</v>
      </c>
      <c r="AE373" s="154">
        <v>0</v>
      </c>
      <c r="AF373" s="154">
        <v>0</v>
      </c>
    </row>
    <row r="374" spans="1:32" ht="15">
      <c r="A374" s="175">
        <v>45901</v>
      </c>
      <c r="B374" s="145" t="s">
        <v>1229</v>
      </c>
      <c r="C374" s="169">
        <v>0</v>
      </c>
      <c r="D374" s="145"/>
      <c r="E374" s="145">
        <v>2</v>
      </c>
      <c r="F374" s="169" t="e">
        <v>#VALUE!</v>
      </c>
      <c r="G374" s="145"/>
      <c r="H374" s="145"/>
      <c r="I374" s="145"/>
      <c r="J374" s="145"/>
      <c r="K374" s="145"/>
      <c r="L374" s="145">
        <v>2</v>
      </c>
      <c r="M374" s="145"/>
      <c r="N374" s="145"/>
      <c r="O374" s="174"/>
      <c r="P374" s="174"/>
      <c r="Q374" s="158" t="str">
        <v/>
      </c>
      <c r="R374" s="158" t="str">
        <v/>
      </c>
      <c r="S374" s="158" t="str">
        <v/>
      </c>
      <c r="T374" s="158" t="str">
        <v/>
      </c>
      <c r="U374" s="158" t="str">
        <v/>
      </c>
      <c r="V374" s="158">
        <v>394000</v>
      </c>
      <c r="W374" s="158" t="str">
        <v/>
      </c>
      <c r="X374" s="158" t="str">
        <v/>
      </c>
      <c r="Y374" s="158" t="str">
        <v/>
      </c>
      <c r="Z374" s="158" t="str">
        <v/>
      </c>
      <c r="AA374" s="158" t="e">
        <v>#VALUE!</v>
      </c>
      <c r="AB374" s="171">
        <v>0.02</v>
      </c>
      <c r="AC374" s="158">
        <v>0</v>
      </c>
      <c r="AD374" s="173" t="str">
        <f ca="1">IFERROR(__xludf.DUMMYFUNCTION("""COMPUTED_VALUE"""),"2025-09")</f>
        <v>2025-09</v>
      </c>
      <c r="AE374" s="154">
        <v>0</v>
      </c>
      <c r="AF374" s="154">
        <v>0</v>
      </c>
    </row>
    <row r="375" spans="1:32" ht="15">
      <c r="A375" s="175">
        <v>45902</v>
      </c>
      <c r="B375" s="145" t="s">
        <v>12899</v>
      </c>
      <c r="C375" s="169">
        <v>40554</v>
      </c>
      <c r="D375" s="145">
        <v>2</v>
      </c>
      <c r="E375" s="145"/>
      <c r="F375" s="169" t="e">
        <v>#VALUE!</v>
      </c>
      <c r="G375" s="145"/>
      <c r="H375" s="145"/>
      <c r="I375" s="145"/>
      <c r="J375" s="145"/>
      <c r="K375" s="145"/>
      <c r="L375" s="145"/>
      <c r="M375" s="145"/>
      <c r="N375" s="145"/>
      <c r="O375" s="174"/>
      <c r="P375" s="174"/>
      <c r="Q375" s="158" t="str">
        <v/>
      </c>
      <c r="R375" s="158" t="str">
        <v/>
      </c>
      <c r="S375" s="158" t="str">
        <v/>
      </c>
      <c r="T375" s="158" t="str">
        <v/>
      </c>
      <c r="U375" s="158" t="str">
        <v/>
      </c>
      <c r="V375" s="158" t="str">
        <v/>
      </c>
      <c r="W375" s="158" t="str">
        <v/>
      </c>
      <c r="X375" s="158" t="str">
        <v/>
      </c>
      <c r="Y375" s="158" t="str">
        <v/>
      </c>
      <c r="Z375" s="158" t="str">
        <v/>
      </c>
      <c r="AA375" s="158" t="e">
        <v>#VALUE!</v>
      </c>
      <c r="AB375" s="171" t="str">
        <v/>
      </c>
      <c r="AC375" s="158">
        <v>20277</v>
      </c>
      <c r="AD375" s="173" t="str">
        <f ca="1">IFERROR(__xludf.DUMMYFUNCTION("""COMPUTED_VALUE"""),"2025-09")</f>
        <v>2025-09</v>
      </c>
      <c r="AE375" s="154" t="str">
        <v/>
      </c>
      <c r="AF375" s="154" t="str">
        <v/>
      </c>
    </row>
    <row r="376" spans="1:32" ht="15">
      <c r="A376" s="175">
        <v>45902</v>
      </c>
      <c r="B376" s="145" t="s">
        <v>12898</v>
      </c>
      <c r="C376" s="169">
        <v>247117</v>
      </c>
      <c r="D376" s="145">
        <v>61</v>
      </c>
      <c r="E376" s="145"/>
      <c r="F376" s="169" t="e">
        <v>#VALUE!</v>
      </c>
      <c r="G376" s="145"/>
      <c r="H376" s="145"/>
      <c r="I376" s="145"/>
      <c r="J376" s="145"/>
      <c r="K376" s="145"/>
      <c r="L376" s="145"/>
      <c r="M376" s="145"/>
      <c r="N376" s="145"/>
      <c r="O376" s="174"/>
      <c r="P376" s="174"/>
      <c r="Q376" s="158" t="str">
        <v/>
      </c>
      <c r="R376" s="158" t="str">
        <v/>
      </c>
      <c r="S376" s="158" t="str">
        <v/>
      </c>
      <c r="T376" s="158" t="str">
        <v/>
      </c>
      <c r="U376" s="158" t="str">
        <v/>
      </c>
      <c r="V376" s="158" t="str">
        <v/>
      </c>
      <c r="W376" s="158" t="str">
        <v/>
      </c>
      <c r="X376" s="158" t="str">
        <v/>
      </c>
      <c r="Y376" s="158" t="str">
        <v/>
      </c>
      <c r="Z376" s="158" t="str">
        <v/>
      </c>
      <c r="AA376" s="158" t="e">
        <v>#VALUE!</v>
      </c>
      <c r="AB376" s="171" t="str">
        <v/>
      </c>
      <c r="AC376" s="158">
        <v>4051.0983606557379</v>
      </c>
      <c r="AD376" s="173" t="str">
        <f ca="1">IFERROR(__xludf.DUMMYFUNCTION("""COMPUTED_VALUE"""),"2025-09")</f>
        <v>2025-09</v>
      </c>
      <c r="AE376" s="154" t="str">
        <v/>
      </c>
      <c r="AF376" s="154" t="str">
        <v/>
      </c>
    </row>
    <row r="377" spans="1:32" ht="15">
      <c r="A377" s="175">
        <v>45902</v>
      </c>
      <c r="B377" s="145" t="s">
        <v>1774</v>
      </c>
      <c r="C377" s="169">
        <v>32430</v>
      </c>
      <c r="D377" s="145">
        <v>3</v>
      </c>
      <c r="E377" s="145">
        <v>1</v>
      </c>
      <c r="F377" s="169" t="e">
        <v>#VALUE!</v>
      </c>
      <c r="G377" s="145"/>
      <c r="H377" s="145"/>
      <c r="I377" s="145">
        <v>1</v>
      </c>
      <c r="J377" s="145"/>
      <c r="K377" s="145"/>
      <c r="L377" s="145"/>
      <c r="M377" s="145"/>
      <c r="N377" s="145"/>
      <c r="O377" s="174"/>
      <c r="P377" s="174"/>
      <c r="Q377" s="158" t="str">
        <v/>
      </c>
      <c r="R377" s="158" t="str">
        <v/>
      </c>
      <c r="S377" s="158">
        <v>375000</v>
      </c>
      <c r="T377" s="158" t="str">
        <v/>
      </c>
      <c r="U377" s="158" t="str">
        <v/>
      </c>
      <c r="V377" s="158" t="str">
        <v/>
      </c>
      <c r="W377" s="158" t="str">
        <v/>
      </c>
      <c r="X377" s="158" t="str">
        <v/>
      </c>
      <c r="Y377" s="158" t="str">
        <v/>
      </c>
      <c r="Z377" s="158" t="str">
        <v/>
      </c>
      <c r="AA377" s="158" t="e">
        <v>#VALUE!</v>
      </c>
      <c r="AB377" s="171">
        <v>0.01</v>
      </c>
      <c r="AC377" s="158">
        <v>10810</v>
      </c>
      <c r="AD377" s="173" t="str">
        <f ca="1">IFERROR(__xludf.DUMMYFUNCTION("""COMPUTED_VALUE"""),"2025-09")</f>
        <v>2025-09</v>
      </c>
      <c r="AE377" s="154">
        <v>0</v>
      </c>
      <c r="AF377" s="154">
        <v>0</v>
      </c>
    </row>
    <row r="378" spans="1:32" ht="15">
      <c r="A378" s="175">
        <v>45902</v>
      </c>
      <c r="B378" s="145" t="s">
        <v>12897</v>
      </c>
      <c r="C378" s="169">
        <v>47416</v>
      </c>
      <c r="D378" s="145">
        <v>4</v>
      </c>
      <c r="E378" s="145"/>
      <c r="F378" s="169" t="e">
        <v>#VALUE!</v>
      </c>
      <c r="G378" s="145"/>
      <c r="H378" s="145"/>
      <c r="I378" s="145"/>
      <c r="J378" s="145"/>
      <c r="K378" s="145"/>
      <c r="L378" s="145"/>
      <c r="M378" s="145"/>
      <c r="N378" s="145"/>
      <c r="O378" s="174"/>
      <c r="P378" s="174"/>
      <c r="Q378" s="158" t="str">
        <v/>
      </c>
      <c r="R378" s="158" t="str">
        <v/>
      </c>
      <c r="S378" s="158" t="str">
        <v/>
      </c>
      <c r="T378" s="158" t="str">
        <v/>
      </c>
      <c r="U378" s="158" t="str">
        <v/>
      </c>
      <c r="V378" s="158" t="str">
        <v/>
      </c>
      <c r="W378" s="158" t="str">
        <v/>
      </c>
      <c r="X378" s="158" t="str">
        <v/>
      </c>
      <c r="Y378" s="158" t="str">
        <v/>
      </c>
      <c r="Z378" s="158" t="str">
        <v/>
      </c>
      <c r="AA378" s="158" t="e">
        <v>#VALUE!</v>
      </c>
      <c r="AB378" s="171" t="str">
        <v/>
      </c>
      <c r="AC378" s="158">
        <v>11854</v>
      </c>
      <c r="AD378" s="173" t="str">
        <f ca="1">IFERROR(__xludf.DUMMYFUNCTION("""COMPUTED_VALUE"""),"2025-09")</f>
        <v>2025-09</v>
      </c>
      <c r="AE378" s="154" t="str">
        <v/>
      </c>
      <c r="AF378" s="154" t="str">
        <v/>
      </c>
    </row>
    <row r="379" spans="1:32" ht="15">
      <c r="A379" s="175">
        <v>45902</v>
      </c>
      <c r="B379" s="145" t="s">
        <v>12896</v>
      </c>
      <c r="C379" s="169">
        <v>73066</v>
      </c>
      <c r="D379" s="145">
        <v>9</v>
      </c>
      <c r="E379" s="145"/>
      <c r="F379" s="169" t="e">
        <v>#VALUE!</v>
      </c>
      <c r="G379" s="145"/>
      <c r="H379" s="145"/>
      <c r="I379" s="145"/>
      <c r="J379" s="145"/>
      <c r="K379" s="145"/>
      <c r="L379" s="145"/>
      <c r="M379" s="145"/>
      <c r="N379" s="145"/>
      <c r="O379" s="174"/>
      <c r="P379" s="174"/>
      <c r="Q379" s="158" t="str">
        <v/>
      </c>
      <c r="R379" s="158" t="str">
        <v/>
      </c>
      <c r="S379" s="158" t="str">
        <v/>
      </c>
      <c r="T379" s="158" t="str">
        <v/>
      </c>
      <c r="U379" s="158" t="str">
        <v/>
      </c>
      <c r="V379" s="158" t="str">
        <v/>
      </c>
      <c r="W379" s="158" t="str">
        <v/>
      </c>
      <c r="X379" s="158" t="str">
        <v/>
      </c>
      <c r="Y379" s="158" t="str">
        <v/>
      </c>
      <c r="Z379" s="158" t="str">
        <v/>
      </c>
      <c r="AA379" s="158" t="e">
        <v>#VALUE!</v>
      </c>
      <c r="AB379" s="171" t="str">
        <v/>
      </c>
      <c r="AC379" s="158">
        <v>8118.4444444444443</v>
      </c>
      <c r="AD379" s="173" t="str">
        <f ca="1">IFERROR(__xludf.DUMMYFUNCTION("""COMPUTED_VALUE"""),"2025-09")</f>
        <v>2025-09</v>
      </c>
      <c r="AE379" s="154" t="str">
        <v/>
      </c>
      <c r="AF379" s="154" t="str">
        <v/>
      </c>
    </row>
    <row r="380" spans="1:32" ht="15">
      <c r="A380" s="175">
        <v>45902</v>
      </c>
      <c r="B380" s="145" t="s">
        <v>1229</v>
      </c>
      <c r="C380" s="169">
        <v>41449</v>
      </c>
      <c r="D380" s="145">
        <v>4</v>
      </c>
      <c r="E380" s="145"/>
      <c r="F380" s="169" t="e">
        <v>#VALUE!</v>
      </c>
      <c r="G380" s="145"/>
      <c r="H380" s="145"/>
      <c r="I380" s="145"/>
      <c r="J380" s="145"/>
      <c r="K380" s="145"/>
      <c r="L380" s="145"/>
      <c r="M380" s="145"/>
      <c r="N380" s="145"/>
      <c r="O380" s="174"/>
      <c r="P380" s="174"/>
      <c r="Q380" s="158" t="str">
        <v/>
      </c>
      <c r="R380" s="158" t="str">
        <v/>
      </c>
      <c r="S380" s="158" t="str">
        <v/>
      </c>
      <c r="T380" s="158" t="str">
        <v/>
      </c>
      <c r="U380" s="158" t="str">
        <v/>
      </c>
      <c r="V380" s="158" t="str">
        <v/>
      </c>
      <c r="W380" s="158" t="str">
        <v/>
      </c>
      <c r="X380" s="158" t="str">
        <v/>
      </c>
      <c r="Y380" s="158" t="str">
        <v/>
      </c>
      <c r="Z380" s="158" t="str">
        <v/>
      </c>
      <c r="AA380" s="158" t="e">
        <v>#VALUE!</v>
      </c>
      <c r="AB380" s="171" t="str">
        <v/>
      </c>
      <c r="AC380" s="158">
        <v>10362.25</v>
      </c>
      <c r="AD380" s="173" t="str">
        <f ca="1">IFERROR(__xludf.DUMMYFUNCTION("""COMPUTED_VALUE"""),"2025-09")</f>
        <v>2025-09</v>
      </c>
      <c r="AE380" s="154" t="str">
        <v/>
      </c>
      <c r="AF380" s="154" t="str">
        <v/>
      </c>
    </row>
    <row r="381" spans="1:32" ht="15">
      <c r="A381" s="175">
        <v>45902</v>
      </c>
      <c r="B381" s="145" t="s">
        <v>1229</v>
      </c>
      <c r="C381" s="169">
        <v>0</v>
      </c>
      <c r="D381" s="145"/>
      <c r="E381" s="145">
        <v>9</v>
      </c>
      <c r="F381" s="169" t="e">
        <v>#VALUE!</v>
      </c>
      <c r="G381" s="145">
        <v>7</v>
      </c>
      <c r="H381" s="145">
        <v>1</v>
      </c>
      <c r="I381" s="145"/>
      <c r="J381" s="145">
        <v>1</v>
      </c>
      <c r="K381" s="145"/>
      <c r="L381" s="145">
        <v>1</v>
      </c>
      <c r="M381" s="145"/>
      <c r="N381" s="145"/>
      <c r="O381" s="174"/>
      <c r="P381" s="174"/>
      <c r="Q381" s="158">
        <v>1379000</v>
      </c>
      <c r="R381" s="158">
        <v>297000</v>
      </c>
      <c r="S381" s="158" t="str">
        <v/>
      </c>
      <c r="T381" s="158">
        <v>550000</v>
      </c>
      <c r="U381" s="158" t="str">
        <v/>
      </c>
      <c r="V381" s="158">
        <v>197000</v>
      </c>
      <c r="W381" s="158" t="str">
        <v/>
      </c>
      <c r="X381" s="158" t="str">
        <v/>
      </c>
      <c r="Y381" s="158" t="str">
        <v/>
      </c>
      <c r="Z381" s="158" t="str">
        <v/>
      </c>
      <c r="AA381" s="158" t="e">
        <v>#VALUE!</v>
      </c>
      <c r="AB381" s="171">
        <v>0.09</v>
      </c>
      <c r="AC381" s="158">
        <v>0</v>
      </c>
      <c r="AD381" s="173" t="str">
        <f ca="1">IFERROR(__xludf.DUMMYFUNCTION("""COMPUTED_VALUE"""),"2025-09")</f>
        <v>2025-09</v>
      </c>
      <c r="AE381" s="154">
        <v>0</v>
      </c>
      <c r="AF381" s="154">
        <v>0</v>
      </c>
    </row>
    <row r="382" spans="1:32" ht="15">
      <c r="A382" s="175">
        <v>45902</v>
      </c>
      <c r="B382" s="145" t="s">
        <v>115</v>
      </c>
      <c r="C382" s="169">
        <v>0</v>
      </c>
      <c r="D382" s="145"/>
      <c r="E382" s="145"/>
      <c r="F382" s="169" t="e">
        <v>#VALUE!</v>
      </c>
      <c r="G382" s="145"/>
      <c r="H382" s="145"/>
      <c r="I382" s="145"/>
      <c r="J382" s="145"/>
      <c r="K382" s="145"/>
      <c r="L382" s="145"/>
      <c r="M382" s="145"/>
      <c r="N382" s="145"/>
      <c r="O382" s="174"/>
      <c r="P382" s="174"/>
      <c r="Q382" s="158" t="str">
        <v/>
      </c>
      <c r="R382" s="158" t="str">
        <v/>
      </c>
      <c r="S382" s="158" t="str">
        <v/>
      </c>
      <c r="T382" s="158" t="str">
        <v/>
      </c>
      <c r="U382" s="158" t="str">
        <v/>
      </c>
      <c r="V382" s="158" t="str">
        <v/>
      </c>
      <c r="W382" s="158" t="str">
        <v/>
      </c>
      <c r="X382" s="158" t="str">
        <v/>
      </c>
      <c r="Y382" s="158" t="str">
        <v/>
      </c>
      <c r="Z382" s="158" t="str">
        <v/>
      </c>
      <c r="AA382" s="158" t="e">
        <v>#VALUE!</v>
      </c>
      <c r="AB382" s="171" t="str">
        <v/>
      </c>
      <c r="AC382" s="158">
        <v>0</v>
      </c>
      <c r="AD382" s="173" t="str">
        <f ca="1">IFERROR(__xludf.DUMMYFUNCTION("""COMPUTED_VALUE"""),"2025-09")</f>
        <v>2025-09</v>
      </c>
      <c r="AE382" s="154" t="str">
        <v/>
      </c>
      <c r="AF382" s="154" t="str">
        <v/>
      </c>
    </row>
    <row r="383" spans="1:32" ht="15">
      <c r="A383" s="175">
        <v>45902</v>
      </c>
      <c r="B383" s="145" t="s">
        <v>61</v>
      </c>
      <c r="C383" s="169">
        <v>0</v>
      </c>
      <c r="D383" s="145"/>
      <c r="E383" s="145">
        <v>8</v>
      </c>
      <c r="F383" s="169" t="e">
        <v>#VALUE!</v>
      </c>
      <c r="G383" s="145">
        <v>5</v>
      </c>
      <c r="H383" s="145"/>
      <c r="I383" s="145"/>
      <c r="J383" s="145"/>
      <c r="K383" s="145"/>
      <c r="L383" s="145">
        <v>2</v>
      </c>
      <c r="M383" s="145">
        <v>1</v>
      </c>
      <c r="N383" s="145"/>
      <c r="O383" s="174"/>
      <c r="P383" s="174"/>
      <c r="Q383" s="158">
        <v>985000</v>
      </c>
      <c r="R383" s="158" t="str">
        <v/>
      </c>
      <c r="S383" s="158" t="str">
        <v/>
      </c>
      <c r="T383" s="158" t="str">
        <v/>
      </c>
      <c r="U383" s="158" t="str">
        <v/>
      </c>
      <c r="V383" s="158">
        <v>394000</v>
      </c>
      <c r="W383" s="158">
        <v>297000</v>
      </c>
      <c r="X383" s="158" t="str">
        <v/>
      </c>
      <c r="Y383" s="158" t="str">
        <v/>
      </c>
      <c r="Z383" s="158" t="str">
        <v/>
      </c>
      <c r="AA383" s="158" t="e">
        <v>#VALUE!</v>
      </c>
      <c r="AB383" s="171">
        <v>0.08</v>
      </c>
      <c r="AC383" s="158">
        <v>0</v>
      </c>
      <c r="AD383" s="173" t="str">
        <f ca="1">IFERROR(__xludf.DUMMYFUNCTION("""COMPUTED_VALUE"""),"2025-09")</f>
        <v>2025-09</v>
      </c>
      <c r="AE383" s="154">
        <v>0</v>
      </c>
      <c r="AF383" s="154">
        <v>0</v>
      </c>
    </row>
    <row r="384" spans="1:32" ht="15">
      <c r="A384" s="175">
        <v>45903</v>
      </c>
      <c r="B384" s="145" t="s">
        <v>12899</v>
      </c>
      <c r="C384" s="169">
        <v>102967</v>
      </c>
      <c r="D384" s="145">
        <v>16</v>
      </c>
      <c r="E384" s="145"/>
      <c r="F384" s="169" t="e">
        <v>#VALUE!</v>
      </c>
      <c r="G384" s="145"/>
      <c r="H384" s="145"/>
      <c r="I384" s="145"/>
      <c r="J384" s="145"/>
      <c r="K384" s="145"/>
      <c r="L384" s="145"/>
      <c r="M384" s="145"/>
      <c r="N384" s="145"/>
      <c r="O384" s="174"/>
      <c r="P384" s="174"/>
      <c r="Q384" s="158" t="str">
        <v/>
      </c>
      <c r="R384" s="158" t="str">
        <v/>
      </c>
      <c r="S384" s="158" t="str">
        <v/>
      </c>
      <c r="T384" s="158" t="str">
        <v/>
      </c>
      <c r="U384" s="158" t="str">
        <v/>
      </c>
      <c r="V384" s="158" t="str">
        <v/>
      </c>
      <c r="W384" s="158" t="str">
        <v/>
      </c>
      <c r="X384" s="158" t="str">
        <v/>
      </c>
      <c r="Y384" s="158" t="str">
        <v/>
      </c>
      <c r="Z384" s="158" t="str">
        <v/>
      </c>
      <c r="AA384" s="158" t="e">
        <v>#VALUE!</v>
      </c>
      <c r="AB384" s="171" t="str">
        <v/>
      </c>
      <c r="AC384" s="158">
        <v>6435.4375</v>
      </c>
      <c r="AD384" s="173" t="str">
        <f ca="1">IFERROR(__xludf.DUMMYFUNCTION("""COMPUTED_VALUE"""),"2025-09")</f>
        <v>2025-09</v>
      </c>
      <c r="AE384" s="154" t="str">
        <v/>
      </c>
      <c r="AF384" s="154" t="str">
        <v/>
      </c>
    </row>
    <row r="385" spans="1:32" ht="15">
      <c r="A385" s="175">
        <v>45903</v>
      </c>
      <c r="B385" s="145" t="s">
        <v>12898</v>
      </c>
      <c r="C385" s="169">
        <v>229442</v>
      </c>
      <c r="D385" s="145">
        <v>39</v>
      </c>
      <c r="E385" s="145"/>
      <c r="F385" s="169" t="e">
        <v>#VALUE!</v>
      </c>
      <c r="G385" s="145"/>
      <c r="H385" s="145"/>
      <c r="I385" s="145"/>
      <c r="J385" s="145"/>
      <c r="K385" s="145"/>
      <c r="L385" s="145"/>
      <c r="M385" s="145"/>
      <c r="N385" s="145"/>
      <c r="O385" s="174"/>
      <c r="P385" s="174"/>
      <c r="Q385" s="158" t="str">
        <v/>
      </c>
      <c r="R385" s="158" t="str">
        <v/>
      </c>
      <c r="S385" s="158" t="str">
        <v/>
      </c>
      <c r="T385" s="158" t="str">
        <v/>
      </c>
      <c r="U385" s="158" t="str">
        <v/>
      </c>
      <c r="V385" s="158" t="str">
        <v/>
      </c>
      <c r="W385" s="158" t="str">
        <v/>
      </c>
      <c r="X385" s="158" t="str">
        <v/>
      </c>
      <c r="Y385" s="158" t="str">
        <v/>
      </c>
      <c r="Z385" s="158" t="str">
        <v/>
      </c>
      <c r="AA385" s="158" t="e">
        <v>#VALUE!</v>
      </c>
      <c r="AB385" s="171" t="str">
        <v/>
      </c>
      <c r="AC385" s="158">
        <v>5883.1282051282051</v>
      </c>
      <c r="AD385" s="173" t="str">
        <f ca="1">IFERROR(__xludf.DUMMYFUNCTION("""COMPUTED_VALUE"""),"2025-09")</f>
        <v>2025-09</v>
      </c>
      <c r="AE385" s="154" t="str">
        <v/>
      </c>
      <c r="AF385" s="154" t="str">
        <v/>
      </c>
    </row>
    <row r="386" spans="1:32" ht="15">
      <c r="A386" s="175">
        <v>45903</v>
      </c>
      <c r="B386" s="145" t="s">
        <v>1774</v>
      </c>
      <c r="C386" s="169">
        <v>11480</v>
      </c>
      <c r="D386" s="145">
        <v>0</v>
      </c>
      <c r="E386" s="145">
        <v>1</v>
      </c>
      <c r="F386" s="169" t="e">
        <v>#VALUE!</v>
      </c>
      <c r="G386" s="145">
        <v>1</v>
      </c>
      <c r="H386" s="145"/>
      <c r="I386" s="145"/>
      <c r="J386" s="145"/>
      <c r="K386" s="145"/>
      <c r="L386" s="145"/>
      <c r="M386" s="145"/>
      <c r="N386" s="145"/>
      <c r="O386" s="174"/>
      <c r="P386" s="174"/>
      <c r="Q386" s="158">
        <v>197000</v>
      </c>
      <c r="R386" s="158" t="str">
        <v/>
      </c>
      <c r="S386" s="158" t="str">
        <v/>
      </c>
      <c r="T386" s="158" t="str">
        <v/>
      </c>
      <c r="U386" s="158" t="str">
        <v/>
      </c>
      <c r="V386" s="158" t="str">
        <v/>
      </c>
      <c r="W386" s="158" t="str">
        <v/>
      </c>
      <c r="X386" s="158" t="str">
        <v/>
      </c>
      <c r="Y386" s="158" t="str">
        <v/>
      </c>
      <c r="Z386" s="158" t="str">
        <v/>
      </c>
      <c r="AA386" s="158" t="e">
        <v>#VALUE!</v>
      </c>
      <c r="AB386" s="171">
        <v>0.01</v>
      </c>
      <c r="AC386" s="158" t="str">
        <v/>
      </c>
      <c r="AD386" s="173" t="str">
        <f ca="1">IFERROR(__xludf.DUMMYFUNCTION("""COMPUTED_VALUE"""),"2025-09")</f>
        <v>2025-09</v>
      </c>
      <c r="AE386" s="154">
        <v>0</v>
      </c>
      <c r="AF386" s="154">
        <v>0</v>
      </c>
    </row>
    <row r="387" spans="1:32" ht="15">
      <c r="A387" s="175">
        <v>45903</v>
      </c>
      <c r="B387" s="145" t="s">
        <v>12897</v>
      </c>
      <c r="C387" s="169">
        <v>98208</v>
      </c>
      <c r="D387" s="145">
        <v>13</v>
      </c>
      <c r="E387" s="145"/>
      <c r="F387" s="169" t="e">
        <v>#VALUE!</v>
      </c>
      <c r="G387" s="145"/>
      <c r="H387" s="145"/>
      <c r="I387" s="145"/>
      <c r="J387" s="145"/>
      <c r="K387" s="145"/>
      <c r="L387" s="145"/>
      <c r="M387" s="145"/>
      <c r="N387" s="145"/>
      <c r="O387" s="174"/>
      <c r="P387" s="174"/>
      <c r="Q387" s="158" t="str">
        <v/>
      </c>
      <c r="R387" s="158" t="str">
        <v/>
      </c>
      <c r="S387" s="158" t="str">
        <v/>
      </c>
      <c r="T387" s="158" t="str">
        <v/>
      </c>
      <c r="U387" s="158" t="str">
        <v/>
      </c>
      <c r="V387" s="158" t="str">
        <v/>
      </c>
      <c r="W387" s="158" t="str">
        <v/>
      </c>
      <c r="X387" s="158" t="str">
        <v/>
      </c>
      <c r="Y387" s="158" t="str">
        <v/>
      </c>
      <c r="Z387" s="158" t="str">
        <v/>
      </c>
      <c r="AA387" s="158" t="e">
        <v>#VALUE!</v>
      </c>
      <c r="AB387" s="171" t="str">
        <v/>
      </c>
      <c r="AC387" s="158">
        <v>7554.4615384615381</v>
      </c>
      <c r="AD387" s="173" t="str">
        <f ca="1">IFERROR(__xludf.DUMMYFUNCTION("""COMPUTED_VALUE"""),"2025-09")</f>
        <v>2025-09</v>
      </c>
      <c r="AE387" s="154" t="str">
        <v/>
      </c>
      <c r="AF387" s="154" t="str">
        <v/>
      </c>
    </row>
    <row r="388" spans="1:32" ht="15">
      <c r="A388" s="175">
        <v>45903</v>
      </c>
      <c r="B388" s="145" t="s">
        <v>12896</v>
      </c>
      <c r="C388" s="169">
        <v>778</v>
      </c>
      <c r="D388" s="145">
        <v>0</v>
      </c>
      <c r="E388" s="145"/>
      <c r="F388" s="169" t="e">
        <v>#VALUE!</v>
      </c>
      <c r="G388" s="145"/>
      <c r="H388" s="145"/>
      <c r="I388" s="145"/>
      <c r="J388" s="145"/>
      <c r="K388" s="145"/>
      <c r="L388" s="145"/>
      <c r="M388" s="145"/>
      <c r="N388" s="145"/>
      <c r="O388" s="174"/>
      <c r="P388" s="174"/>
      <c r="Q388" s="158" t="str">
        <v/>
      </c>
      <c r="R388" s="158" t="str">
        <v/>
      </c>
      <c r="S388" s="158" t="str">
        <v/>
      </c>
      <c r="T388" s="158" t="str">
        <v/>
      </c>
      <c r="U388" s="158" t="str">
        <v/>
      </c>
      <c r="V388" s="158" t="str">
        <v/>
      </c>
      <c r="W388" s="158" t="str">
        <v/>
      </c>
      <c r="X388" s="158" t="str">
        <v/>
      </c>
      <c r="Y388" s="158" t="str">
        <v/>
      </c>
      <c r="Z388" s="158" t="str">
        <v/>
      </c>
      <c r="AA388" s="158" t="e">
        <v>#VALUE!</v>
      </c>
      <c r="AB388" s="171" t="str">
        <v/>
      </c>
      <c r="AC388" s="158" t="str">
        <v/>
      </c>
      <c r="AD388" s="173" t="str">
        <f ca="1">IFERROR(__xludf.DUMMYFUNCTION("""COMPUTED_VALUE"""),"2025-09")</f>
        <v>2025-09</v>
      </c>
      <c r="AE388" s="154" t="str">
        <v/>
      </c>
      <c r="AF388" s="154" t="str">
        <v/>
      </c>
    </row>
    <row r="389" spans="1:32" ht="15">
      <c r="A389" s="175">
        <v>45903</v>
      </c>
      <c r="B389" s="145" t="s">
        <v>1229</v>
      </c>
      <c r="C389" s="169">
        <v>9855</v>
      </c>
      <c r="D389" s="145">
        <v>1</v>
      </c>
      <c r="E389" s="145"/>
      <c r="F389" s="169" t="e">
        <v>#VALUE!</v>
      </c>
      <c r="G389" s="145"/>
      <c r="H389" s="145"/>
      <c r="I389" s="145"/>
      <c r="J389" s="145"/>
      <c r="K389" s="145"/>
      <c r="L389" s="145"/>
      <c r="M389" s="145"/>
      <c r="N389" s="145"/>
      <c r="O389" s="174"/>
      <c r="P389" s="174"/>
      <c r="Q389" s="158" t="str">
        <v/>
      </c>
      <c r="R389" s="158" t="str">
        <v/>
      </c>
      <c r="S389" s="158" t="str">
        <v/>
      </c>
      <c r="T389" s="158" t="str">
        <v/>
      </c>
      <c r="U389" s="158" t="str">
        <v/>
      </c>
      <c r="V389" s="158" t="str">
        <v/>
      </c>
      <c r="W389" s="158" t="str">
        <v/>
      </c>
      <c r="X389" s="158" t="str">
        <v/>
      </c>
      <c r="Y389" s="158" t="str">
        <v/>
      </c>
      <c r="Z389" s="158" t="str">
        <v/>
      </c>
      <c r="AA389" s="158" t="e">
        <v>#VALUE!</v>
      </c>
      <c r="AB389" s="171" t="str">
        <v/>
      </c>
      <c r="AC389" s="158">
        <v>9855</v>
      </c>
      <c r="AD389" s="173" t="str">
        <f ca="1">IFERROR(__xludf.DUMMYFUNCTION("""COMPUTED_VALUE"""),"2025-09")</f>
        <v>2025-09</v>
      </c>
      <c r="AE389" s="154" t="str">
        <v/>
      </c>
      <c r="AF389" s="154" t="str">
        <v/>
      </c>
    </row>
    <row r="390" spans="1:32" ht="15">
      <c r="A390" s="175">
        <v>45903</v>
      </c>
      <c r="B390" s="145" t="s">
        <v>115</v>
      </c>
      <c r="C390" s="169">
        <v>0</v>
      </c>
      <c r="D390" s="145"/>
      <c r="E390" s="145" t="s">
        <v>12842</v>
      </c>
      <c r="F390" s="169" t="e">
        <v>#VALUE!</v>
      </c>
      <c r="G390" s="145"/>
      <c r="H390" s="145"/>
      <c r="I390" s="145"/>
      <c r="J390" s="145"/>
      <c r="K390" s="145"/>
      <c r="L390" s="145"/>
      <c r="M390" s="145"/>
      <c r="N390" s="145"/>
      <c r="O390" s="174"/>
      <c r="P390" s="174"/>
      <c r="Q390" s="158" t="str">
        <v/>
      </c>
      <c r="R390" s="158" t="str">
        <v/>
      </c>
      <c r="S390" s="158" t="str">
        <v/>
      </c>
      <c r="T390" s="158" t="str">
        <v/>
      </c>
      <c r="U390" s="158" t="str">
        <v/>
      </c>
      <c r="V390" s="158" t="str">
        <v/>
      </c>
      <c r="W390" s="158" t="str">
        <v/>
      </c>
      <c r="X390" s="158" t="str">
        <v/>
      </c>
      <c r="Y390" s="158" t="str">
        <v/>
      </c>
      <c r="Z390" s="158" t="str">
        <v/>
      </c>
      <c r="AA390" s="158" t="e">
        <v>#VALUE!</v>
      </c>
      <c r="AB390" s="171" t="e">
        <v>#VALUE!</v>
      </c>
      <c r="AC390" s="158">
        <v>0</v>
      </c>
      <c r="AD390" s="173" t="str">
        <f ca="1">IFERROR(__xludf.DUMMYFUNCTION("""COMPUTED_VALUE"""),"2025-09")</f>
        <v>2025-09</v>
      </c>
      <c r="AE390" s="154">
        <v>0</v>
      </c>
      <c r="AF390" s="154">
        <v>0</v>
      </c>
    </row>
    <row r="391" spans="1:32" ht="15">
      <c r="A391" s="175">
        <v>45903</v>
      </c>
      <c r="B391" s="145" t="s">
        <v>61</v>
      </c>
      <c r="C391" s="169">
        <v>0</v>
      </c>
      <c r="D391" s="145"/>
      <c r="E391" s="145">
        <v>7</v>
      </c>
      <c r="F391" s="169" t="e">
        <v>#VALUE!</v>
      </c>
      <c r="G391" s="145">
        <v>2</v>
      </c>
      <c r="H391" s="145"/>
      <c r="I391" s="145">
        <v>1</v>
      </c>
      <c r="J391" s="145"/>
      <c r="K391" s="145">
        <v>1</v>
      </c>
      <c r="L391" s="145">
        <v>1</v>
      </c>
      <c r="M391" s="145">
        <v>1</v>
      </c>
      <c r="N391" s="145"/>
      <c r="O391" s="174"/>
      <c r="P391" s="174"/>
      <c r="Q391" s="158">
        <v>394000</v>
      </c>
      <c r="R391" s="158" t="str">
        <v/>
      </c>
      <c r="S391" s="158">
        <v>375000</v>
      </c>
      <c r="T391" s="158" t="str">
        <v/>
      </c>
      <c r="U391" s="158">
        <v>1000000</v>
      </c>
      <c r="V391" s="158">
        <v>197000</v>
      </c>
      <c r="W391" s="158">
        <v>297000</v>
      </c>
      <c r="X391" s="158" t="str">
        <v/>
      </c>
      <c r="Y391" s="158" t="str">
        <v/>
      </c>
      <c r="Z391" s="158" t="str">
        <v/>
      </c>
      <c r="AA391" s="158" t="e">
        <v>#VALUE!</v>
      </c>
      <c r="AB391" s="171">
        <v>7.0000000000000007E-2</v>
      </c>
      <c r="AC391" s="158">
        <v>0</v>
      </c>
      <c r="AD391" s="173" t="str">
        <f ca="1">IFERROR(__xludf.DUMMYFUNCTION("""COMPUTED_VALUE"""),"2025-09")</f>
        <v>2025-09</v>
      </c>
      <c r="AE391" s="154">
        <v>0</v>
      </c>
      <c r="AF391" s="154">
        <v>0</v>
      </c>
    </row>
    <row r="392" spans="1:32" ht="15">
      <c r="A392" s="175">
        <v>45903</v>
      </c>
      <c r="B392" s="145" t="s">
        <v>1229</v>
      </c>
      <c r="C392" s="169">
        <v>0</v>
      </c>
      <c r="D392" s="145"/>
      <c r="E392" s="145">
        <v>5</v>
      </c>
      <c r="F392" s="169" t="e">
        <v>#VALUE!</v>
      </c>
      <c r="G392" s="145">
        <v>3</v>
      </c>
      <c r="H392" s="145"/>
      <c r="I392" s="145">
        <v>1</v>
      </c>
      <c r="J392" s="145"/>
      <c r="K392" s="145">
        <v>1</v>
      </c>
      <c r="L392" s="145"/>
      <c r="M392" s="145"/>
      <c r="N392" s="145">
        <v>1</v>
      </c>
      <c r="O392" s="174"/>
      <c r="P392" s="174"/>
      <c r="Q392" s="158">
        <v>591000</v>
      </c>
      <c r="R392" s="158" t="str">
        <v/>
      </c>
      <c r="S392" s="158">
        <v>375000</v>
      </c>
      <c r="T392" s="158" t="str">
        <v/>
      </c>
      <c r="U392" s="158">
        <v>1000000</v>
      </c>
      <c r="V392" s="158" t="str">
        <v/>
      </c>
      <c r="W392" s="158" t="str">
        <v/>
      </c>
      <c r="X392" s="158">
        <v>375000</v>
      </c>
      <c r="Y392" s="158" t="str">
        <v/>
      </c>
      <c r="Z392" s="158" t="str">
        <v/>
      </c>
      <c r="AA392" s="158" t="e">
        <v>#VALUE!</v>
      </c>
      <c r="AB392" s="171">
        <v>0.05</v>
      </c>
      <c r="AC392" s="158">
        <v>0</v>
      </c>
      <c r="AD392" s="173" t="str">
        <f ca="1">IFERROR(__xludf.DUMMYFUNCTION("""COMPUTED_VALUE"""),"2025-09")</f>
        <v>2025-09</v>
      </c>
      <c r="AE392" s="154">
        <v>0</v>
      </c>
      <c r="AF392" s="154">
        <v>0</v>
      </c>
    </row>
    <row r="393" spans="1:32" ht="15">
      <c r="A393" s="175">
        <v>45904</v>
      </c>
      <c r="B393" s="145" t="s">
        <v>12899</v>
      </c>
      <c r="C393" s="169">
        <v>30130</v>
      </c>
      <c r="D393" s="145">
        <v>3</v>
      </c>
      <c r="E393" s="145"/>
      <c r="F393" s="169" t="e">
        <v>#VALUE!</v>
      </c>
      <c r="G393" s="145"/>
      <c r="H393" s="145"/>
      <c r="I393" s="145"/>
      <c r="J393" s="145"/>
      <c r="K393" s="145"/>
      <c r="L393" s="145"/>
      <c r="M393" s="145"/>
      <c r="N393" s="145"/>
      <c r="O393" s="174"/>
      <c r="P393" s="174"/>
      <c r="Q393" s="158" t="str">
        <v/>
      </c>
      <c r="R393" s="158" t="str">
        <v/>
      </c>
      <c r="S393" s="158" t="str">
        <v/>
      </c>
      <c r="T393" s="158" t="str">
        <v/>
      </c>
      <c r="U393" s="158" t="str">
        <v/>
      </c>
      <c r="V393" s="158" t="str">
        <v/>
      </c>
      <c r="W393" s="158" t="str">
        <v/>
      </c>
      <c r="X393" s="158" t="str">
        <v/>
      </c>
      <c r="Y393" s="158" t="str">
        <v/>
      </c>
      <c r="Z393" s="158" t="str">
        <v/>
      </c>
      <c r="AA393" s="158" t="e">
        <v>#VALUE!</v>
      </c>
      <c r="AB393" s="171" t="str">
        <v/>
      </c>
      <c r="AC393" s="158">
        <v>10043.333333333334</v>
      </c>
      <c r="AD393" s="173" t="str">
        <f ca="1">IFERROR(__xludf.DUMMYFUNCTION("""COMPUTED_VALUE"""),"2025-09")</f>
        <v>2025-09</v>
      </c>
      <c r="AE393" s="154" t="str">
        <v/>
      </c>
      <c r="AF393" s="154" t="str">
        <v/>
      </c>
    </row>
    <row r="394" spans="1:32" ht="15">
      <c r="A394" s="175">
        <v>45904</v>
      </c>
      <c r="B394" s="145" t="s">
        <v>12898</v>
      </c>
      <c r="C394" s="169">
        <v>6426</v>
      </c>
      <c r="D394" s="145">
        <v>1</v>
      </c>
      <c r="E394" s="145"/>
      <c r="F394" s="169" t="e">
        <v>#VALUE!</v>
      </c>
      <c r="G394" s="145"/>
      <c r="H394" s="145"/>
      <c r="I394" s="145"/>
      <c r="J394" s="145"/>
      <c r="K394" s="145"/>
      <c r="L394" s="145"/>
      <c r="M394" s="145"/>
      <c r="N394" s="145"/>
      <c r="O394" s="174"/>
      <c r="P394" s="174"/>
      <c r="Q394" s="158" t="str">
        <v/>
      </c>
      <c r="R394" s="158" t="str">
        <v/>
      </c>
      <c r="S394" s="158" t="str">
        <v/>
      </c>
      <c r="T394" s="158" t="str">
        <v/>
      </c>
      <c r="U394" s="158" t="str">
        <v/>
      </c>
      <c r="V394" s="158" t="str">
        <v/>
      </c>
      <c r="W394" s="158" t="str">
        <v/>
      </c>
      <c r="X394" s="158" t="str">
        <v/>
      </c>
      <c r="Y394" s="158" t="str">
        <v/>
      </c>
      <c r="Z394" s="158" t="str">
        <v/>
      </c>
      <c r="AA394" s="158" t="e">
        <v>#VALUE!</v>
      </c>
      <c r="AB394" s="171" t="str">
        <v/>
      </c>
      <c r="AC394" s="158">
        <v>6426</v>
      </c>
      <c r="AD394" s="173" t="str">
        <f ca="1">IFERROR(__xludf.DUMMYFUNCTION("""COMPUTED_VALUE"""),"2025-09")</f>
        <v>2025-09</v>
      </c>
      <c r="AE394" s="154" t="str">
        <v/>
      </c>
      <c r="AF394" s="154" t="str">
        <v/>
      </c>
    </row>
    <row r="395" spans="1:32" ht="15">
      <c r="A395" s="175">
        <v>45904</v>
      </c>
      <c r="B395" s="145" t="s">
        <v>1774</v>
      </c>
      <c r="C395" s="169">
        <v>8382</v>
      </c>
      <c r="D395" s="145">
        <v>1</v>
      </c>
      <c r="E395" s="145">
        <v>1</v>
      </c>
      <c r="F395" s="169" t="e">
        <v>#VALUE!</v>
      </c>
      <c r="G395" s="145">
        <v>1</v>
      </c>
      <c r="H395" s="145"/>
      <c r="I395" s="145"/>
      <c r="J395" s="145"/>
      <c r="K395" s="145"/>
      <c r="L395" s="145"/>
      <c r="M395" s="145"/>
      <c r="N395" s="145"/>
      <c r="O395" s="174"/>
      <c r="P395" s="174"/>
      <c r="Q395" s="158">
        <v>197000</v>
      </c>
      <c r="R395" s="158" t="str">
        <v/>
      </c>
      <c r="S395" s="158" t="str">
        <v/>
      </c>
      <c r="T395" s="158" t="str">
        <v/>
      </c>
      <c r="U395" s="158" t="str">
        <v/>
      </c>
      <c r="V395" s="158" t="str">
        <v/>
      </c>
      <c r="W395" s="158" t="str">
        <v/>
      </c>
      <c r="X395" s="158" t="str">
        <v/>
      </c>
      <c r="Y395" s="158" t="str">
        <v/>
      </c>
      <c r="Z395" s="158" t="str">
        <v/>
      </c>
      <c r="AA395" s="158" t="e">
        <v>#VALUE!</v>
      </c>
      <c r="AB395" s="171">
        <v>0.01</v>
      </c>
      <c r="AC395" s="158">
        <v>8382</v>
      </c>
      <c r="AD395" s="173" t="str">
        <f ca="1">IFERROR(__xludf.DUMMYFUNCTION("""COMPUTED_VALUE"""),"2025-09")</f>
        <v>2025-09</v>
      </c>
      <c r="AE395" s="154">
        <v>0</v>
      </c>
      <c r="AF395" s="154">
        <v>0</v>
      </c>
    </row>
    <row r="396" spans="1:32" ht="15">
      <c r="A396" s="175">
        <v>45904</v>
      </c>
      <c r="B396" s="145" t="s">
        <v>12897</v>
      </c>
      <c r="C396" s="169">
        <v>87386</v>
      </c>
      <c r="D396" s="145">
        <v>9</v>
      </c>
      <c r="E396" s="145"/>
      <c r="F396" s="169" t="e">
        <v>#VALUE!</v>
      </c>
      <c r="G396" s="145"/>
      <c r="H396" s="145"/>
      <c r="I396" s="145"/>
      <c r="J396" s="145"/>
      <c r="K396" s="145"/>
      <c r="L396" s="145"/>
      <c r="M396" s="145"/>
      <c r="N396" s="145"/>
      <c r="O396" s="174"/>
      <c r="P396" s="174"/>
      <c r="Q396" s="158" t="str">
        <v/>
      </c>
      <c r="R396" s="158" t="str">
        <v/>
      </c>
      <c r="S396" s="158" t="str">
        <v/>
      </c>
      <c r="T396" s="158" t="str">
        <v/>
      </c>
      <c r="U396" s="158" t="str">
        <v/>
      </c>
      <c r="V396" s="158" t="str">
        <v/>
      </c>
      <c r="W396" s="158" t="str">
        <v/>
      </c>
      <c r="X396" s="158" t="str">
        <v/>
      </c>
      <c r="Y396" s="158" t="str">
        <v/>
      </c>
      <c r="Z396" s="158" t="str">
        <v/>
      </c>
      <c r="AA396" s="158" t="e">
        <v>#VALUE!</v>
      </c>
      <c r="AB396" s="171" t="str">
        <v/>
      </c>
      <c r="AC396" s="158">
        <v>9709.5555555555547</v>
      </c>
      <c r="AD396" s="173" t="str">
        <f ca="1">IFERROR(__xludf.DUMMYFUNCTION("""COMPUTED_VALUE"""),"2025-09")</f>
        <v>2025-09</v>
      </c>
      <c r="AE396" s="154" t="str">
        <v/>
      </c>
      <c r="AF396" s="154" t="str">
        <v/>
      </c>
    </row>
    <row r="397" spans="1:32" ht="15">
      <c r="A397" s="175">
        <v>45904</v>
      </c>
      <c r="B397" s="145" t="s">
        <v>12896</v>
      </c>
      <c r="C397" s="169">
        <v>56694</v>
      </c>
      <c r="D397" s="145">
        <v>2</v>
      </c>
      <c r="E397" s="145"/>
      <c r="F397" s="169" t="e">
        <v>#VALUE!</v>
      </c>
      <c r="G397" s="145"/>
      <c r="H397" s="145"/>
      <c r="I397" s="145"/>
      <c r="J397" s="145"/>
      <c r="K397" s="145"/>
      <c r="L397" s="145"/>
      <c r="M397" s="145"/>
      <c r="N397" s="145"/>
      <c r="O397" s="174"/>
      <c r="P397" s="174"/>
      <c r="Q397" s="158" t="str">
        <v/>
      </c>
      <c r="R397" s="158" t="str">
        <v/>
      </c>
      <c r="S397" s="158" t="str">
        <v/>
      </c>
      <c r="T397" s="158" t="str">
        <v/>
      </c>
      <c r="U397" s="158" t="str">
        <v/>
      </c>
      <c r="V397" s="158" t="str">
        <v/>
      </c>
      <c r="W397" s="158" t="str">
        <v/>
      </c>
      <c r="X397" s="158" t="str">
        <v/>
      </c>
      <c r="Y397" s="158" t="str">
        <v/>
      </c>
      <c r="Z397" s="158" t="str">
        <v/>
      </c>
      <c r="AA397" s="158" t="e">
        <v>#VALUE!</v>
      </c>
      <c r="AB397" s="171" t="str">
        <v/>
      </c>
      <c r="AC397" s="158">
        <v>28347</v>
      </c>
      <c r="AD397" s="173" t="str">
        <f ca="1">IFERROR(__xludf.DUMMYFUNCTION("""COMPUTED_VALUE"""),"2025-09")</f>
        <v>2025-09</v>
      </c>
      <c r="AE397" s="154" t="str">
        <v/>
      </c>
      <c r="AF397" s="154" t="str">
        <v/>
      </c>
    </row>
    <row r="398" spans="1:32" ht="15">
      <c r="A398" s="175">
        <v>45904</v>
      </c>
      <c r="B398" s="145" t="s">
        <v>1229</v>
      </c>
      <c r="C398" s="169">
        <v>94464</v>
      </c>
      <c r="D398" s="145">
        <v>15</v>
      </c>
      <c r="E398" s="145"/>
      <c r="F398" s="169" t="e">
        <v>#VALUE!</v>
      </c>
      <c r="G398" s="145"/>
      <c r="H398" s="145"/>
      <c r="I398" s="145"/>
      <c r="J398" s="145"/>
      <c r="K398" s="145"/>
      <c r="L398" s="145"/>
      <c r="M398" s="145"/>
      <c r="N398" s="145"/>
      <c r="O398" s="174"/>
      <c r="P398" s="174"/>
      <c r="Q398" s="158" t="str">
        <v/>
      </c>
      <c r="R398" s="158" t="str">
        <v/>
      </c>
      <c r="S398" s="158" t="str">
        <v/>
      </c>
      <c r="T398" s="158" t="str">
        <v/>
      </c>
      <c r="U398" s="158" t="str">
        <v/>
      </c>
      <c r="V398" s="158" t="str">
        <v/>
      </c>
      <c r="W398" s="158" t="str">
        <v/>
      </c>
      <c r="X398" s="158" t="str">
        <v/>
      </c>
      <c r="Y398" s="158" t="str">
        <v/>
      </c>
      <c r="Z398" s="158" t="str">
        <v/>
      </c>
      <c r="AA398" s="158" t="e">
        <v>#VALUE!</v>
      </c>
      <c r="AB398" s="171" t="str">
        <v/>
      </c>
      <c r="AC398" s="158">
        <v>6297.6</v>
      </c>
      <c r="AD398" s="173" t="str">
        <f ca="1">IFERROR(__xludf.DUMMYFUNCTION("""COMPUTED_VALUE"""),"2025-09")</f>
        <v>2025-09</v>
      </c>
      <c r="AE398" s="154" t="str">
        <v/>
      </c>
      <c r="AF398" s="154" t="str">
        <v/>
      </c>
    </row>
    <row r="399" spans="1:32" ht="15">
      <c r="A399" s="175">
        <v>45904</v>
      </c>
      <c r="B399" s="145" t="s">
        <v>61</v>
      </c>
      <c r="C399" s="169">
        <v>0</v>
      </c>
      <c r="D399" s="145"/>
      <c r="E399" s="145">
        <v>4</v>
      </c>
      <c r="F399" s="169" t="e">
        <v>#VALUE!</v>
      </c>
      <c r="G399" s="145">
        <v>4</v>
      </c>
      <c r="H399" s="145"/>
      <c r="I399" s="145"/>
      <c r="J399" s="145"/>
      <c r="K399" s="145"/>
      <c r="L399" s="145"/>
      <c r="M399" s="145"/>
      <c r="N399" s="145"/>
      <c r="O399" s="174"/>
      <c r="P399" s="174"/>
      <c r="Q399" s="158">
        <v>788000</v>
      </c>
      <c r="R399" s="158" t="str">
        <v/>
      </c>
      <c r="S399" s="158" t="str">
        <v/>
      </c>
      <c r="T399" s="158" t="str">
        <v/>
      </c>
      <c r="U399" s="158" t="str">
        <v/>
      </c>
      <c r="V399" s="158" t="str">
        <v/>
      </c>
      <c r="W399" s="158" t="str">
        <v/>
      </c>
      <c r="X399" s="158" t="str">
        <v/>
      </c>
      <c r="Y399" s="158" t="str">
        <v/>
      </c>
      <c r="Z399" s="158" t="str">
        <v/>
      </c>
      <c r="AA399" s="158" t="e">
        <v>#VALUE!</v>
      </c>
      <c r="AB399" s="171">
        <v>0.04</v>
      </c>
      <c r="AC399" s="158">
        <v>0</v>
      </c>
      <c r="AD399" s="173" t="str">
        <f ca="1">IFERROR(__xludf.DUMMYFUNCTION("""COMPUTED_VALUE"""),"2025-09")</f>
        <v>2025-09</v>
      </c>
      <c r="AE399" s="154">
        <v>0</v>
      </c>
      <c r="AF399" s="154">
        <v>0</v>
      </c>
    </row>
    <row r="400" spans="1:32" ht="15">
      <c r="A400" s="175">
        <v>45904</v>
      </c>
      <c r="B400" s="145" t="s">
        <v>115</v>
      </c>
      <c r="C400" s="169">
        <v>0</v>
      </c>
      <c r="D400" s="145"/>
      <c r="E400" s="145">
        <v>2</v>
      </c>
      <c r="F400" s="169" t="e">
        <v>#VALUE!</v>
      </c>
      <c r="G400" s="145">
        <v>1</v>
      </c>
      <c r="H400" s="145">
        <v>1</v>
      </c>
      <c r="I400" s="145"/>
      <c r="J400" s="145">
        <v>1</v>
      </c>
      <c r="K400" s="145"/>
      <c r="L400" s="145"/>
      <c r="M400" s="145"/>
      <c r="N400" s="145"/>
      <c r="O400" s="174"/>
      <c r="P400" s="174"/>
      <c r="Q400" s="158">
        <v>197000</v>
      </c>
      <c r="R400" s="158">
        <v>297000</v>
      </c>
      <c r="S400" s="158" t="str">
        <v/>
      </c>
      <c r="T400" s="158">
        <v>550000</v>
      </c>
      <c r="U400" s="158" t="str">
        <v/>
      </c>
      <c r="V400" s="158" t="str">
        <v/>
      </c>
      <c r="W400" s="158" t="str">
        <v/>
      </c>
      <c r="X400" s="158" t="str">
        <v/>
      </c>
      <c r="Y400" s="158" t="str">
        <v/>
      </c>
      <c r="Z400" s="158" t="str">
        <v/>
      </c>
      <c r="AA400" s="158" t="e">
        <v>#VALUE!</v>
      </c>
      <c r="AB400" s="171">
        <v>0.02</v>
      </c>
      <c r="AC400" s="158">
        <v>0</v>
      </c>
      <c r="AD400" s="173" t="str">
        <f ca="1">IFERROR(__xludf.DUMMYFUNCTION("""COMPUTED_VALUE"""),"2025-09")</f>
        <v>2025-09</v>
      </c>
      <c r="AE400" s="154">
        <v>0</v>
      </c>
      <c r="AF400" s="154">
        <v>0</v>
      </c>
    </row>
    <row r="401" spans="1:32" ht="15">
      <c r="A401" s="175">
        <v>45904</v>
      </c>
      <c r="B401" s="145" t="s">
        <v>1229</v>
      </c>
      <c r="C401" s="169">
        <v>0</v>
      </c>
      <c r="D401" s="145"/>
      <c r="E401" s="145">
        <v>4</v>
      </c>
      <c r="F401" s="169" t="e">
        <v>#VALUE!</v>
      </c>
      <c r="G401" s="145">
        <v>2</v>
      </c>
      <c r="H401" s="145">
        <v>1</v>
      </c>
      <c r="I401" s="145">
        <v>1</v>
      </c>
      <c r="J401" s="145">
        <v>1</v>
      </c>
      <c r="K401" s="145">
        <v>1</v>
      </c>
      <c r="L401" s="145"/>
      <c r="M401" s="145"/>
      <c r="N401" s="145"/>
      <c r="O401" s="174"/>
      <c r="P401" s="174"/>
      <c r="Q401" s="158">
        <v>394000</v>
      </c>
      <c r="R401" s="158">
        <v>297000</v>
      </c>
      <c r="S401" s="158">
        <v>375000</v>
      </c>
      <c r="T401" s="158">
        <v>550000</v>
      </c>
      <c r="U401" s="158">
        <v>1000000</v>
      </c>
      <c r="V401" s="158" t="str">
        <v/>
      </c>
      <c r="W401" s="158" t="str">
        <v/>
      </c>
      <c r="X401" s="158" t="str">
        <v/>
      </c>
      <c r="Y401" s="158" t="str">
        <v/>
      </c>
      <c r="Z401" s="158" t="str">
        <v/>
      </c>
      <c r="AA401" s="158" t="e">
        <v>#VALUE!</v>
      </c>
      <c r="AB401" s="171">
        <v>0.04</v>
      </c>
      <c r="AC401" s="158">
        <v>0</v>
      </c>
      <c r="AD401" s="173" t="str">
        <f ca="1">IFERROR(__xludf.DUMMYFUNCTION("""COMPUTED_VALUE"""),"2025-09")</f>
        <v>2025-09</v>
      </c>
      <c r="AE401" s="154">
        <v>0</v>
      </c>
      <c r="AF401" s="154">
        <v>0</v>
      </c>
    </row>
    <row r="402" spans="1:32" ht="15">
      <c r="A402" s="175">
        <v>45905</v>
      </c>
      <c r="B402" s="145" t="s">
        <v>12899</v>
      </c>
      <c r="C402" s="169">
        <v>122097</v>
      </c>
      <c r="D402" s="145">
        <v>25</v>
      </c>
      <c r="E402" s="145"/>
      <c r="F402" s="169" t="e">
        <v>#VALUE!</v>
      </c>
      <c r="G402" s="145"/>
      <c r="H402" s="145"/>
      <c r="I402" s="145"/>
      <c r="J402" s="145"/>
      <c r="K402" s="145"/>
      <c r="L402" s="145"/>
      <c r="M402" s="145"/>
      <c r="N402" s="145"/>
      <c r="O402" s="174"/>
      <c r="P402" s="174"/>
      <c r="Q402" s="158" t="str">
        <v/>
      </c>
      <c r="R402" s="158" t="str">
        <v/>
      </c>
      <c r="S402" s="158" t="str">
        <v/>
      </c>
      <c r="T402" s="158" t="str">
        <v/>
      </c>
      <c r="U402" s="158" t="str">
        <v/>
      </c>
      <c r="V402" s="158" t="str">
        <v/>
      </c>
      <c r="W402" s="158" t="str">
        <v/>
      </c>
      <c r="X402" s="158" t="str">
        <v/>
      </c>
      <c r="Y402" s="158" t="str">
        <v/>
      </c>
      <c r="Z402" s="158" t="str">
        <v/>
      </c>
      <c r="AA402" s="158" t="e">
        <v>#VALUE!</v>
      </c>
      <c r="AB402" s="171" t="str">
        <v/>
      </c>
      <c r="AC402" s="158">
        <v>4883.88</v>
      </c>
      <c r="AD402" s="173" t="str">
        <f ca="1">IFERROR(__xludf.DUMMYFUNCTION("""COMPUTED_VALUE"""),"2025-09")</f>
        <v>2025-09</v>
      </c>
      <c r="AE402" s="154" t="str">
        <v/>
      </c>
      <c r="AF402" s="154" t="str">
        <v/>
      </c>
    </row>
    <row r="403" spans="1:32" ht="15">
      <c r="A403" s="175">
        <v>45905</v>
      </c>
      <c r="B403" s="145" t="s">
        <v>12898</v>
      </c>
      <c r="C403" s="169">
        <v>5</v>
      </c>
      <c r="D403" s="145">
        <v>0</v>
      </c>
      <c r="E403" s="145"/>
      <c r="F403" s="169" t="e">
        <v>#VALUE!</v>
      </c>
      <c r="G403" s="145"/>
      <c r="H403" s="145"/>
      <c r="I403" s="145"/>
      <c r="J403" s="145"/>
      <c r="K403" s="145"/>
      <c r="L403" s="145"/>
      <c r="M403" s="145"/>
      <c r="N403" s="145"/>
      <c r="O403" s="174"/>
      <c r="P403" s="174"/>
      <c r="Q403" s="158" t="str">
        <v/>
      </c>
      <c r="R403" s="158" t="str">
        <v/>
      </c>
      <c r="S403" s="158" t="str">
        <v/>
      </c>
      <c r="T403" s="158" t="str">
        <v/>
      </c>
      <c r="U403" s="158" t="str">
        <v/>
      </c>
      <c r="V403" s="158" t="str">
        <v/>
      </c>
      <c r="W403" s="158" t="str">
        <v/>
      </c>
      <c r="X403" s="158" t="str">
        <v/>
      </c>
      <c r="Y403" s="158" t="str">
        <v/>
      </c>
      <c r="Z403" s="158" t="str">
        <v/>
      </c>
      <c r="AA403" s="158" t="e">
        <v>#VALUE!</v>
      </c>
      <c r="AB403" s="171" t="str">
        <v/>
      </c>
      <c r="AC403" s="158" t="str">
        <v/>
      </c>
      <c r="AD403" s="173" t="str">
        <f ca="1">IFERROR(__xludf.DUMMYFUNCTION("""COMPUTED_VALUE"""),"2025-09")</f>
        <v>2025-09</v>
      </c>
      <c r="AE403" s="154" t="str">
        <v/>
      </c>
      <c r="AF403" s="154" t="str">
        <v/>
      </c>
    </row>
    <row r="404" spans="1:32" ht="15">
      <c r="A404" s="175">
        <v>45905</v>
      </c>
      <c r="B404" s="145" t="s">
        <v>1774</v>
      </c>
      <c r="C404" s="169">
        <v>10</v>
      </c>
      <c r="D404" s="145">
        <v>0</v>
      </c>
      <c r="E404" s="145"/>
      <c r="F404" s="169" t="e">
        <v>#VALUE!</v>
      </c>
      <c r="G404" s="145"/>
      <c r="H404" s="145"/>
      <c r="I404" s="145"/>
      <c r="J404" s="145"/>
      <c r="K404" s="145"/>
      <c r="L404" s="145"/>
      <c r="M404" s="145"/>
      <c r="N404" s="145"/>
      <c r="O404" s="174"/>
      <c r="P404" s="174"/>
      <c r="Q404" s="158" t="str">
        <v/>
      </c>
      <c r="R404" s="158" t="str">
        <v/>
      </c>
      <c r="S404" s="158" t="str">
        <v/>
      </c>
      <c r="T404" s="158" t="str">
        <v/>
      </c>
      <c r="U404" s="158" t="str">
        <v/>
      </c>
      <c r="V404" s="158" t="str">
        <v/>
      </c>
      <c r="W404" s="158" t="str">
        <v/>
      </c>
      <c r="X404" s="158" t="str">
        <v/>
      </c>
      <c r="Y404" s="158" t="str">
        <v/>
      </c>
      <c r="Z404" s="158" t="str">
        <v/>
      </c>
      <c r="AA404" s="158" t="e">
        <v>#VALUE!</v>
      </c>
      <c r="AB404" s="171" t="str">
        <v/>
      </c>
      <c r="AC404" s="158" t="str">
        <v/>
      </c>
      <c r="AD404" s="173" t="str">
        <f ca="1">IFERROR(__xludf.DUMMYFUNCTION("""COMPUTED_VALUE"""),"2025-09")</f>
        <v>2025-09</v>
      </c>
      <c r="AE404" s="154" t="str">
        <v/>
      </c>
      <c r="AF404" s="154" t="str">
        <v/>
      </c>
    </row>
    <row r="405" spans="1:32" ht="15">
      <c r="A405" s="175">
        <v>45905</v>
      </c>
      <c r="B405" s="145" t="s">
        <v>12897</v>
      </c>
      <c r="C405" s="169">
        <v>149774</v>
      </c>
      <c r="D405" s="145">
        <v>18</v>
      </c>
      <c r="E405" s="145"/>
      <c r="F405" s="169" t="e">
        <v>#VALUE!</v>
      </c>
      <c r="G405" s="145"/>
      <c r="H405" s="145"/>
      <c r="I405" s="145"/>
      <c r="J405" s="145"/>
      <c r="K405" s="145"/>
      <c r="L405" s="145"/>
      <c r="M405" s="145"/>
      <c r="N405" s="145"/>
      <c r="O405" s="174"/>
      <c r="P405" s="174"/>
      <c r="Q405" s="158" t="str">
        <v/>
      </c>
      <c r="R405" s="158" t="str">
        <v/>
      </c>
      <c r="S405" s="158" t="str">
        <v/>
      </c>
      <c r="T405" s="158" t="str">
        <v/>
      </c>
      <c r="U405" s="158" t="str">
        <v/>
      </c>
      <c r="V405" s="158" t="str">
        <v/>
      </c>
      <c r="W405" s="158" t="str">
        <v/>
      </c>
      <c r="X405" s="158" t="str">
        <v/>
      </c>
      <c r="Y405" s="158" t="str">
        <v/>
      </c>
      <c r="Z405" s="158" t="str">
        <v/>
      </c>
      <c r="AA405" s="158" t="e">
        <v>#VALUE!</v>
      </c>
      <c r="AB405" s="171" t="str">
        <v/>
      </c>
      <c r="AC405" s="158">
        <v>8320.7777777777774</v>
      </c>
      <c r="AD405" s="173" t="str">
        <f ca="1">IFERROR(__xludf.DUMMYFUNCTION("""COMPUTED_VALUE"""),"2025-09")</f>
        <v>2025-09</v>
      </c>
      <c r="AE405" s="154" t="str">
        <v/>
      </c>
      <c r="AF405" s="154" t="str">
        <v/>
      </c>
    </row>
    <row r="406" spans="1:32" ht="15">
      <c r="A406" s="175">
        <v>45905</v>
      </c>
      <c r="B406" s="145" t="s">
        <v>12896</v>
      </c>
      <c r="C406" s="169">
        <v>1235</v>
      </c>
      <c r="D406" s="145">
        <v>0</v>
      </c>
      <c r="E406" s="145"/>
      <c r="F406" s="169" t="e">
        <v>#VALUE!</v>
      </c>
      <c r="G406" s="145"/>
      <c r="H406" s="145"/>
      <c r="I406" s="145"/>
      <c r="J406" s="145"/>
      <c r="K406" s="145"/>
      <c r="L406" s="145"/>
      <c r="M406" s="145"/>
      <c r="N406" s="145"/>
      <c r="O406" s="174"/>
      <c r="P406" s="174"/>
      <c r="Q406" s="158" t="str">
        <v/>
      </c>
      <c r="R406" s="158" t="str">
        <v/>
      </c>
      <c r="S406" s="158" t="str">
        <v/>
      </c>
      <c r="T406" s="158" t="str">
        <v/>
      </c>
      <c r="U406" s="158" t="str">
        <v/>
      </c>
      <c r="V406" s="158" t="str">
        <v/>
      </c>
      <c r="W406" s="158" t="str">
        <v/>
      </c>
      <c r="X406" s="158" t="str">
        <v/>
      </c>
      <c r="Y406" s="158" t="str">
        <v/>
      </c>
      <c r="Z406" s="158" t="str">
        <v/>
      </c>
      <c r="AA406" s="158" t="e">
        <v>#VALUE!</v>
      </c>
      <c r="AB406" s="171" t="str">
        <v/>
      </c>
      <c r="AC406" s="158" t="str">
        <v/>
      </c>
      <c r="AD406" s="173" t="str">
        <f ca="1">IFERROR(__xludf.DUMMYFUNCTION("""COMPUTED_VALUE"""),"2025-09")</f>
        <v>2025-09</v>
      </c>
      <c r="AE406" s="154" t="str">
        <v/>
      </c>
      <c r="AF406" s="154" t="str">
        <v/>
      </c>
    </row>
    <row r="407" spans="1:32" ht="15">
      <c r="A407" s="175">
        <v>45905</v>
      </c>
      <c r="B407" s="145" t="s">
        <v>1229</v>
      </c>
      <c r="C407" s="169">
        <v>18796</v>
      </c>
      <c r="D407" s="145">
        <v>0</v>
      </c>
      <c r="E407" s="145"/>
      <c r="F407" s="169" t="e">
        <v>#VALUE!</v>
      </c>
      <c r="G407" s="145"/>
      <c r="H407" s="145"/>
      <c r="I407" s="145"/>
      <c r="J407" s="145"/>
      <c r="K407" s="145"/>
      <c r="L407" s="145"/>
      <c r="M407" s="145"/>
      <c r="N407" s="145"/>
      <c r="O407" s="174"/>
      <c r="P407" s="174"/>
      <c r="Q407" s="158" t="str">
        <v/>
      </c>
      <c r="R407" s="158" t="str">
        <v/>
      </c>
      <c r="S407" s="158" t="str">
        <v/>
      </c>
      <c r="T407" s="158" t="str">
        <v/>
      </c>
      <c r="U407" s="158" t="str">
        <v/>
      </c>
      <c r="V407" s="158" t="str">
        <v/>
      </c>
      <c r="W407" s="158" t="str">
        <v/>
      </c>
      <c r="X407" s="158" t="str">
        <v/>
      </c>
      <c r="Y407" s="158" t="str">
        <v/>
      </c>
      <c r="Z407" s="158" t="str">
        <v/>
      </c>
      <c r="AA407" s="158" t="e">
        <v>#VALUE!</v>
      </c>
      <c r="AB407" s="171" t="str">
        <v/>
      </c>
      <c r="AC407" s="158" t="str">
        <v/>
      </c>
      <c r="AD407" s="173" t="str">
        <f ca="1">IFERROR(__xludf.DUMMYFUNCTION("""COMPUTED_VALUE"""),"2025-09")</f>
        <v>2025-09</v>
      </c>
      <c r="AE407" s="154" t="str">
        <v/>
      </c>
      <c r="AF407" s="154" t="str">
        <v/>
      </c>
    </row>
    <row r="408" spans="1:32" ht="15">
      <c r="A408" s="175">
        <v>45905</v>
      </c>
      <c r="B408" s="145" t="s">
        <v>115</v>
      </c>
      <c r="C408" s="169">
        <v>0</v>
      </c>
      <c r="D408" s="145"/>
      <c r="E408" s="145">
        <v>1</v>
      </c>
      <c r="F408" s="169" t="e">
        <v>#VALUE!</v>
      </c>
      <c r="G408" s="145">
        <v>1</v>
      </c>
      <c r="H408" s="145"/>
      <c r="I408" s="145"/>
      <c r="J408" s="145"/>
      <c r="K408" s="145"/>
      <c r="L408" s="145"/>
      <c r="M408" s="145"/>
      <c r="N408" s="145"/>
      <c r="O408" s="174"/>
      <c r="P408" s="174"/>
      <c r="Q408" s="158">
        <v>197000</v>
      </c>
      <c r="R408" s="158" t="str">
        <v/>
      </c>
      <c r="S408" s="158" t="str">
        <v/>
      </c>
      <c r="T408" s="158" t="str">
        <v/>
      </c>
      <c r="U408" s="158" t="str">
        <v/>
      </c>
      <c r="V408" s="158" t="str">
        <v/>
      </c>
      <c r="W408" s="158" t="str">
        <v/>
      </c>
      <c r="X408" s="158" t="str">
        <v/>
      </c>
      <c r="Y408" s="158" t="str">
        <v/>
      </c>
      <c r="Z408" s="158" t="str">
        <v/>
      </c>
      <c r="AA408" s="158" t="e">
        <v>#VALUE!</v>
      </c>
      <c r="AB408" s="171">
        <v>0.01</v>
      </c>
      <c r="AC408" s="158">
        <v>0</v>
      </c>
      <c r="AD408" s="173" t="str">
        <f ca="1">IFERROR(__xludf.DUMMYFUNCTION("""COMPUTED_VALUE"""),"2025-09")</f>
        <v>2025-09</v>
      </c>
      <c r="AE408" s="154">
        <v>0</v>
      </c>
      <c r="AF408" s="154">
        <v>0</v>
      </c>
    </row>
    <row r="409" spans="1:32" ht="15">
      <c r="A409" s="175"/>
      <c r="B409" s="145"/>
      <c r="C409" s="169"/>
      <c r="D409" s="145"/>
      <c r="E409" s="145"/>
      <c r="F409" s="169" t="e">
        <v>#VALUE!</v>
      </c>
      <c r="G409" s="145"/>
      <c r="H409" s="145"/>
      <c r="I409" s="145"/>
      <c r="J409" s="145"/>
      <c r="K409" s="145"/>
      <c r="L409" s="145"/>
      <c r="M409" s="145"/>
      <c r="N409" s="145"/>
      <c r="O409" s="174"/>
      <c r="P409" s="174"/>
      <c r="Q409" s="158" t="str">
        <v/>
      </c>
      <c r="R409" s="158" t="str">
        <v/>
      </c>
      <c r="S409" s="158" t="str">
        <v/>
      </c>
      <c r="T409" s="158" t="str">
        <v/>
      </c>
      <c r="U409" s="158" t="str">
        <v/>
      </c>
      <c r="V409" s="158" t="str">
        <v/>
      </c>
      <c r="W409" s="158" t="str">
        <v/>
      </c>
      <c r="X409" s="158" t="str">
        <v/>
      </c>
      <c r="Y409" s="158" t="str">
        <v/>
      </c>
      <c r="Z409" s="158" t="str">
        <v/>
      </c>
      <c r="AA409" s="158" t="e">
        <v>#VALUE!</v>
      </c>
      <c r="AB409" s="171" t="str">
        <v/>
      </c>
      <c r="AC409" s="158">
        <v>0</v>
      </c>
      <c r="AD409" s="173" t="str">
        <f ca="1">IFERROR(__xludf.DUMMYFUNCTION("""COMPUTED_VALUE"""),"")</f>
        <v/>
      </c>
      <c r="AE409" s="154" t="str">
        <v/>
      </c>
      <c r="AF409" s="154" t="str">
        <v/>
      </c>
    </row>
    <row r="410" spans="1:32" ht="15">
      <c r="A410" s="175">
        <v>45906</v>
      </c>
      <c r="B410" s="145" t="s">
        <v>12900</v>
      </c>
      <c r="C410" s="169">
        <v>46145</v>
      </c>
      <c r="D410" s="145">
        <v>3</v>
      </c>
      <c r="E410" s="145"/>
      <c r="F410" s="169" t="e">
        <v>#VALUE!</v>
      </c>
      <c r="G410" s="145"/>
      <c r="H410" s="145"/>
      <c r="I410" s="145"/>
      <c r="J410" s="145"/>
      <c r="K410" s="145"/>
      <c r="L410" s="145"/>
      <c r="M410" s="145"/>
      <c r="N410" s="145"/>
      <c r="O410" s="174"/>
      <c r="P410" s="174"/>
      <c r="Q410" s="158" t="str">
        <v/>
      </c>
      <c r="R410" s="158" t="str">
        <v/>
      </c>
      <c r="S410" s="158" t="str">
        <v/>
      </c>
      <c r="T410" s="158" t="str">
        <v/>
      </c>
      <c r="U410" s="158" t="str">
        <v/>
      </c>
      <c r="V410" s="158" t="str">
        <v/>
      </c>
      <c r="W410" s="158" t="str">
        <v/>
      </c>
      <c r="X410" s="158" t="str">
        <v/>
      </c>
      <c r="Y410" s="158" t="str">
        <v/>
      </c>
      <c r="Z410" s="158" t="str">
        <v/>
      </c>
      <c r="AA410" s="158" t="e">
        <v>#VALUE!</v>
      </c>
      <c r="AB410" s="171" t="str">
        <v/>
      </c>
      <c r="AC410" s="158">
        <v>15381.666666666666</v>
      </c>
      <c r="AD410" s="173" t="str">
        <f ca="1">IFERROR(__xludf.DUMMYFUNCTION("""COMPUTED_VALUE"""),"2025-09")</f>
        <v>2025-09</v>
      </c>
      <c r="AE410" s="154" t="str">
        <v/>
      </c>
      <c r="AF410" s="154" t="str">
        <v/>
      </c>
    </row>
    <row r="411" spans="1:32" ht="15">
      <c r="A411" s="175">
        <v>45906</v>
      </c>
      <c r="B411" s="145" t="s">
        <v>12899</v>
      </c>
      <c r="C411" s="169">
        <v>17944</v>
      </c>
      <c r="D411" s="145">
        <v>0</v>
      </c>
      <c r="E411" s="145"/>
      <c r="F411" s="169" t="e">
        <v>#VALUE!</v>
      </c>
      <c r="G411" s="145"/>
      <c r="H411" s="145"/>
      <c r="I411" s="145"/>
      <c r="J411" s="145"/>
      <c r="K411" s="145"/>
      <c r="L411" s="145"/>
      <c r="M411" s="145"/>
      <c r="N411" s="145"/>
      <c r="O411" s="174"/>
      <c r="P411" s="174"/>
      <c r="Q411" s="158" t="str">
        <v/>
      </c>
      <c r="R411" s="158" t="str">
        <v/>
      </c>
      <c r="S411" s="158" t="str">
        <v/>
      </c>
      <c r="T411" s="158" t="str">
        <v/>
      </c>
      <c r="U411" s="158" t="str">
        <v/>
      </c>
      <c r="V411" s="158" t="str">
        <v/>
      </c>
      <c r="W411" s="158" t="str">
        <v/>
      </c>
      <c r="X411" s="158" t="str">
        <v/>
      </c>
      <c r="Y411" s="158" t="str">
        <v/>
      </c>
      <c r="Z411" s="158" t="str">
        <v/>
      </c>
      <c r="AA411" s="158" t="e">
        <v>#VALUE!</v>
      </c>
      <c r="AB411" s="171" t="str">
        <v/>
      </c>
      <c r="AC411" s="158" t="str">
        <v/>
      </c>
      <c r="AD411" s="173" t="str">
        <f ca="1">IFERROR(__xludf.DUMMYFUNCTION("""COMPUTED_VALUE"""),"2025-09")</f>
        <v>2025-09</v>
      </c>
      <c r="AE411" s="154" t="str">
        <v/>
      </c>
      <c r="AF411" s="154" t="str">
        <v/>
      </c>
    </row>
    <row r="412" spans="1:32" ht="15">
      <c r="A412" s="175">
        <v>45906</v>
      </c>
      <c r="B412" s="145" t="s">
        <v>12898</v>
      </c>
      <c r="C412" s="169">
        <v>0</v>
      </c>
      <c r="D412" s="145">
        <v>0</v>
      </c>
      <c r="E412" s="145"/>
      <c r="F412" s="169" t="e">
        <v>#VALUE!</v>
      </c>
      <c r="G412" s="145"/>
      <c r="H412" s="145"/>
      <c r="I412" s="145"/>
      <c r="J412" s="145"/>
      <c r="K412" s="145"/>
      <c r="L412" s="145"/>
      <c r="M412" s="145"/>
      <c r="N412" s="145"/>
      <c r="O412" s="174"/>
      <c r="P412" s="174"/>
      <c r="Q412" s="158" t="str">
        <v/>
      </c>
      <c r="R412" s="158" t="str">
        <v/>
      </c>
      <c r="S412" s="158" t="str">
        <v/>
      </c>
      <c r="T412" s="158" t="str">
        <v/>
      </c>
      <c r="U412" s="158" t="str">
        <v/>
      </c>
      <c r="V412" s="158" t="str">
        <v/>
      </c>
      <c r="W412" s="158" t="str">
        <v/>
      </c>
      <c r="X412" s="158" t="str">
        <v/>
      </c>
      <c r="Y412" s="158" t="str">
        <v/>
      </c>
      <c r="Z412" s="158" t="str">
        <v/>
      </c>
      <c r="AA412" s="158" t="e">
        <v>#VALUE!</v>
      </c>
      <c r="AB412" s="171" t="str">
        <v/>
      </c>
      <c r="AC412" s="158">
        <v>0</v>
      </c>
      <c r="AD412" s="173" t="str">
        <f ca="1">IFERROR(__xludf.DUMMYFUNCTION("""COMPUTED_VALUE"""),"2025-09")</f>
        <v>2025-09</v>
      </c>
      <c r="AE412" s="154" t="str">
        <v/>
      </c>
      <c r="AF412" s="154" t="str">
        <v/>
      </c>
    </row>
    <row r="413" spans="1:32" ht="15">
      <c r="A413" s="175">
        <v>45906</v>
      </c>
      <c r="B413" s="145" t="s">
        <v>12897</v>
      </c>
      <c r="C413" s="169">
        <v>27888</v>
      </c>
      <c r="D413" s="145">
        <v>3</v>
      </c>
      <c r="E413" s="145"/>
      <c r="F413" s="169" t="e">
        <v>#VALUE!</v>
      </c>
      <c r="G413" s="145"/>
      <c r="H413" s="145"/>
      <c r="I413" s="145"/>
      <c r="J413" s="145"/>
      <c r="K413" s="145"/>
      <c r="L413" s="145"/>
      <c r="M413" s="145"/>
      <c r="N413" s="145"/>
      <c r="O413" s="174"/>
      <c r="P413" s="174"/>
      <c r="Q413" s="158" t="str">
        <v/>
      </c>
      <c r="R413" s="158" t="str">
        <v/>
      </c>
      <c r="S413" s="158" t="str">
        <v/>
      </c>
      <c r="T413" s="158" t="str">
        <v/>
      </c>
      <c r="U413" s="158" t="str">
        <v/>
      </c>
      <c r="V413" s="158" t="str">
        <v/>
      </c>
      <c r="W413" s="158" t="str">
        <v/>
      </c>
      <c r="X413" s="158" t="str">
        <v/>
      </c>
      <c r="Y413" s="158" t="str">
        <v/>
      </c>
      <c r="Z413" s="158" t="str">
        <v/>
      </c>
      <c r="AA413" s="158" t="e">
        <v>#VALUE!</v>
      </c>
      <c r="AB413" s="171" t="str">
        <v/>
      </c>
      <c r="AC413" s="158">
        <v>9296</v>
      </c>
      <c r="AD413" s="173" t="str">
        <f ca="1">IFERROR(__xludf.DUMMYFUNCTION("""COMPUTED_VALUE"""),"2025-09")</f>
        <v>2025-09</v>
      </c>
      <c r="AE413" s="154" t="str">
        <v/>
      </c>
      <c r="AF413" s="154" t="str">
        <v/>
      </c>
    </row>
    <row r="414" spans="1:32" ht="15">
      <c r="A414" s="175">
        <v>45906</v>
      </c>
      <c r="B414" s="145" t="s">
        <v>12896</v>
      </c>
      <c r="C414" s="169">
        <v>30</v>
      </c>
      <c r="D414" s="145">
        <v>0</v>
      </c>
      <c r="E414" s="145"/>
      <c r="F414" s="169" t="e">
        <v>#VALUE!</v>
      </c>
      <c r="G414" s="145"/>
      <c r="H414" s="145"/>
      <c r="I414" s="145"/>
      <c r="J414" s="145"/>
      <c r="K414" s="145"/>
      <c r="L414" s="145"/>
      <c r="M414" s="145"/>
      <c r="N414" s="145"/>
      <c r="O414" s="174"/>
      <c r="P414" s="174"/>
      <c r="Q414" s="158" t="str">
        <v/>
      </c>
      <c r="R414" s="158" t="str">
        <v/>
      </c>
      <c r="S414" s="158" t="str">
        <v/>
      </c>
      <c r="T414" s="158" t="str">
        <v/>
      </c>
      <c r="U414" s="158" t="str">
        <v/>
      </c>
      <c r="V414" s="158" t="str">
        <v/>
      </c>
      <c r="W414" s="158" t="str">
        <v/>
      </c>
      <c r="X414" s="158" t="str">
        <v/>
      </c>
      <c r="Y414" s="158" t="str">
        <v/>
      </c>
      <c r="Z414" s="158" t="str">
        <v/>
      </c>
      <c r="AA414" s="158" t="e">
        <v>#VALUE!</v>
      </c>
      <c r="AB414" s="171" t="str">
        <v/>
      </c>
      <c r="AC414" s="158" t="str">
        <v/>
      </c>
      <c r="AD414" s="173" t="str">
        <f ca="1">IFERROR(__xludf.DUMMYFUNCTION("""COMPUTED_VALUE"""),"2025-09")</f>
        <v>2025-09</v>
      </c>
      <c r="AE414" s="154" t="str">
        <v/>
      </c>
      <c r="AF414" s="154" t="str">
        <v/>
      </c>
    </row>
    <row r="415" spans="1:32" ht="15">
      <c r="A415" s="175">
        <v>45906</v>
      </c>
      <c r="B415" s="145" t="s">
        <v>1229</v>
      </c>
      <c r="C415" s="169">
        <v>35396</v>
      </c>
      <c r="D415" s="145">
        <v>3</v>
      </c>
      <c r="E415" s="145"/>
      <c r="F415" s="169" t="e">
        <v>#VALUE!</v>
      </c>
      <c r="G415" s="145"/>
      <c r="H415" s="145"/>
      <c r="I415" s="145"/>
      <c r="J415" s="145"/>
      <c r="K415" s="145"/>
      <c r="L415" s="145"/>
      <c r="M415" s="145"/>
      <c r="N415" s="145"/>
      <c r="O415" s="174"/>
      <c r="P415" s="174"/>
      <c r="Q415" s="158" t="str">
        <v/>
      </c>
      <c r="R415" s="158" t="str">
        <v/>
      </c>
      <c r="S415" s="158" t="str">
        <v/>
      </c>
      <c r="T415" s="158" t="str">
        <v/>
      </c>
      <c r="U415" s="158" t="str">
        <v/>
      </c>
      <c r="V415" s="158" t="str">
        <v/>
      </c>
      <c r="W415" s="158" t="str">
        <v/>
      </c>
      <c r="X415" s="158" t="str">
        <v/>
      </c>
      <c r="Y415" s="158" t="str">
        <v/>
      </c>
      <c r="Z415" s="158" t="str">
        <v/>
      </c>
      <c r="AA415" s="158" t="e">
        <v>#VALUE!</v>
      </c>
      <c r="AB415" s="171" t="str">
        <v/>
      </c>
      <c r="AC415" s="158">
        <v>11798.666666666666</v>
      </c>
      <c r="AD415" s="173" t="str">
        <f ca="1">IFERROR(__xludf.DUMMYFUNCTION("""COMPUTED_VALUE"""),"2025-09")</f>
        <v>2025-09</v>
      </c>
      <c r="AE415" s="154" t="str">
        <v/>
      </c>
      <c r="AF415" s="154" t="str">
        <v/>
      </c>
    </row>
    <row r="416" spans="1:32" ht="15">
      <c r="A416" s="175">
        <v>45908</v>
      </c>
      <c r="B416" s="145" t="s">
        <v>12900</v>
      </c>
      <c r="C416" s="169">
        <v>251698</v>
      </c>
      <c r="D416" s="145">
        <v>46</v>
      </c>
      <c r="E416" s="145"/>
      <c r="F416" s="169" t="e">
        <v>#VALUE!</v>
      </c>
      <c r="G416" s="145"/>
      <c r="H416" s="145"/>
      <c r="I416" s="145"/>
      <c r="J416" s="145"/>
      <c r="K416" s="145"/>
      <c r="L416" s="145"/>
      <c r="M416" s="145"/>
      <c r="N416" s="145"/>
      <c r="O416" s="174"/>
      <c r="P416" s="174"/>
      <c r="Q416" s="158" t="str">
        <v/>
      </c>
      <c r="R416" s="158" t="str">
        <v/>
      </c>
      <c r="S416" s="158" t="str">
        <v/>
      </c>
      <c r="T416" s="158" t="str">
        <v/>
      </c>
      <c r="U416" s="158" t="str">
        <v/>
      </c>
      <c r="V416" s="158" t="str">
        <v/>
      </c>
      <c r="W416" s="158" t="str">
        <v/>
      </c>
      <c r="X416" s="158" t="str">
        <v/>
      </c>
      <c r="Y416" s="158" t="str">
        <v/>
      </c>
      <c r="Z416" s="158" t="str">
        <v/>
      </c>
      <c r="AA416" s="158" t="e">
        <v>#VALUE!</v>
      </c>
      <c r="AB416" s="171" t="str">
        <v/>
      </c>
      <c r="AC416" s="158">
        <v>5471.695652173913</v>
      </c>
      <c r="AD416" s="173" t="str">
        <f ca="1">IFERROR(__xludf.DUMMYFUNCTION("""COMPUTED_VALUE"""),"2025-09")</f>
        <v>2025-09</v>
      </c>
      <c r="AE416" s="154" t="str">
        <v/>
      </c>
      <c r="AF416" s="154" t="str">
        <v/>
      </c>
    </row>
    <row r="417" spans="1:32" ht="15">
      <c r="A417" s="175">
        <v>45908</v>
      </c>
      <c r="B417" s="145" t="s">
        <v>12899</v>
      </c>
      <c r="C417" s="169">
        <v>57555</v>
      </c>
      <c r="D417" s="145">
        <v>6</v>
      </c>
      <c r="E417" s="145"/>
      <c r="F417" s="169" t="e">
        <v>#VALUE!</v>
      </c>
      <c r="G417" s="145"/>
      <c r="H417" s="145"/>
      <c r="I417" s="145"/>
      <c r="J417" s="145"/>
      <c r="K417" s="145"/>
      <c r="L417" s="145"/>
      <c r="M417" s="145"/>
      <c r="N417" s="145"/>
      <c r="O417" s="174"/>
      <c r="P417" s="174"/>
      <c r="Q417" s="158" t="str">
        <v/>
      </c>
      <c r="R417" s="158" t="str">
        <v/>
      </c>
      <c r="S417" s="158" t="str">
        <v/>
      </c>
      <c r="T417" s="158" t="str">
        <v/>
      </c>
      <c r="U417" s="158" t="str">
        <v/>
      </c>
      <c r="V417" s="158" t="str">
        <v/>
      </c>
      <c r="W417" s="158" t="str">
        <v/>
      </c>
      <c r="X417" s="158" t="str">
        <v/>
      </c>
      <c r="Y417" s="158" t="str">
        <v/>
      </c>
      <c r="Z417" s="158" t="str">
        <v/>
      </c>
      <c r="AA417" s="158" t="e">
        <v>#VALUE!</v>
      </c>
      <c r="AB417" s="171" t="str">
        <v/>
      </c>
      <c r="AC417" s="158">
        <v>9592.5</v>
      </c>
      <c r="AD417" s="173" t="str">
        <f ca="1">IFERROR(__xludf.DUMMYFUNCTION("""COMPUTED_VALUE"""),"2025-09")</f>
        <v>2025-09</v>
      </c>
      <c r="AE417" s="154" t="str">
        <v/>
      </c>
      <c r="AF417" s="154" t="str">
        <v/>
      </c>
    </row>
    <row r="418" spans="1:32" ht="15">
      <c r="A418" s="175">
        <v>45908</v>
      </c>
      <c r="B418" s="145" t="s">
        <v>12898</v>
      </c>
      <c r="C418" s="169">
        <v>3214</v>
      </c>
      <c r="D418" s="145">
        <v>0</v>
      </c>
      <c r="E418" s="145"/>
      <c r="F418" s="169" t="e">
        <v>#VALUE!</v>
      </c>
      <c r="G418" s="145"/>
      <c r="H418" s="145"/>
      <c r="I418" s="145"/>
      <c r="J418" s="145"/>
      <c r="K418" s="145"/>
      <c r="L418" s="145"/>
      <c r="M418" s="145"/>
      <c r="N418" s="145"/>
      <c r="O418" s="174"/>
      <c r="P418" s="174"/>
      <c r="Q418" s="158" t="str">
        <v/>
      </c>
      <c r="R418" s="158" t="str">
        <v/>
      </c>
      <c r="S418" s="158" t="str">
        <v/>
      </c>
      <c r="T418" s="158" t="str">
        <v/>
      </c>
      <c r="U418" s="158" t="str">
        <v/>
      </c>
      <c r="V418" s="158" t="str">
        <v/>
      </c>
      <c r="W418" s="158" t="str">
        <v/>
      </c>
      <c r="X418" s="158" t="str">
        <v/>
      </c>
      <c r="Y418" s="158" t="str">
        <v/>
      </c>
      <c r="Z418" s="158" t="str">
        <v/>
      </c>
      <c r="AA418" s="158" t="e">
        <v>#VALUE!</v>
      </c>
      <c r="AB418" s="171" t="str">
        <v/>
      </c>
      <c r="AC418" s="158" t="str">
        <v/>
      </c>
      <c r="AD418" s="173" t="str">
        <f ca="1">IFERROR(__xludf.DUMMYFUNCTION("""COMPUTED_VALUE"""),"2025-09")</f>
        <v>2025-09</v>
      </c>
      <c r="AE418" s="154" t="str">
        <v/>
      </c>
      <c r="AF418" s="154" t="str">
        <v/>
      </c>
    </row>
    <row r="419" spans="1:32" ht="15">
      <c r="A419" s="175">
        <v>45908</v>
      </c>
      <c r="B419" s="145" t="s">
        <v>1774</v>
      </c>
      <c r="C419" s="169">
        <v>2634</v>
      </c>
      <c r="D419" s="145">
        <v>0</v>
      </c>
      <c r="E419" s="145"/>
      <c r="F419" s="169" t="e">
        <v>#VALUE!</v>
      </c>
      <c r="G419" s="145"/>
      <c r="H419" s="145"/>
      <c r="I419" s="145"/>
      <c r="J419" s="145"/>
      <c r="K419" s="145"/>
      <c r="L419" s="145"/>
      <c r="M419" s="145"/>
      <c r="N419" s="145"/>
      <c r="O419" s="174"/>
      <c r="P419" s="174"/>
      <c r="Q419" s="158" t="str">
        <v/>
      </c>
      <c r="R419" s="158" t="str">
        <v/>
      </c>
      <c r="S419" s="158" t="str">
        <v/>
      </c>
      <c r="T419" s="158" t="str">
        <v/>
      </c>
      <c r="U419" s="158" t="str">
        <v/>
      </c>
      <c r="V419" s="158" t="str">
        <v/>
      </c>
      <c r="W419" s="158" t="str">
        <v/>
      </c>
      <c r="X419" s="158" t="str">
        <v/>
      </c>
      <c r="Y419" s="158" t="str">
        <v/>
      </c>
      <c r="Z419" s="158" t="str">
        <v/>
      </c>
      <c r="AA419" s="158" t="e">
        <v>#VALUE!</v>
      </c>
      <c r="AB419" s="171" t="str">
        <v/>
      </c>
      <c r="AC419" s="158" t="str">
        <v/>
      </c>
      <c r="AD419" s="173" t="str">
        <f ca="1">IFERROR(__xludf.DUMMYFUNCTION("""COMPUTED_VALUE"""),"2025-09")</f>
        <v>2025-09</v>
      </c>
      <c r="AE419" s="154" t="str">
        <v/>
      </c>
      <c r="AF419" s="154" t="str">
        <v/>
      </c>
    </row>
    <row r="420" spans="1:32" ht="15">
      <c r="A420" s="175">
        <v>45908</v>
      </c>
      <c r="B420" s="145" t="s">
        <v>12897</v>
      </c>
      <c r="C420" s="169">
        <v>25769</v>
      </c>
      <c r="D420" s="145">
        <v>2</v>
      </c>
      <c r="E420" s="145"/>
      <c r="F420" s="169" t="e">
        <v>#VALUE!</v>
      </c>
      <c r="G420" s="145"/>
      <c r="H420" s="145"/>
      <c r="I420" s="145"/>
      <c r="J420" s="145"/>
      <c r="K420" s="145"/>
      <c r="L420" s="145"/>
      <c r="M420" s="145"/>
      <c r="N420" s="145"/>
      <c r="O420" s="174"/>
      <c r="P420" s="174"/>
      <c r="Q420" s="158" t="str">
        <v/>
      </c>
      <c r="R420" s="158" t="str">
        <v/>
      </c>
      <c r="S420" s="158" t="str">
        <v/>
      </c>
      <c r="T420" s="158" t="str">
        <v/>
      </c>
      <c r="U420" s="158" t="str">
        <v/>
      </c>
      <c r="V420" s="158" t="str">
        <v/>
      </c>
      <c r="W420" s="158" t="str">
        <v/>
      </c>
      <c r="X420" s="158" t="str">
        <v/>
      </c>
      <c r="Y420" s="158" t="str">
        <v/>
      </c>
      <c r="Z420" s="158" t="str">
        <v/>
      </c>
      <c r="AA420" s="158" t="e">
        <v>#VALUE!</v>
      </c>
      <c r="AB420" s="171" t="str">
        <v/>
      </c>
      <c r="AC420" s="158">
        <v>12884.5</v>
      </c>
      <c r="AD420" s="173" t="str">
        <f ca="1">IFERROR(__xludf.DUMMYFUNCTION("""COMPUTED_VALUE"""),"2025-09")</f>
        <v>2025-09</v>
      </c>
      <c r="AE420" s="154" t="str">
        <v/>
      </c>
      <c r="AF420" s="154" t="str">
        <v/>
      </c>
    </row>
    <row r="421" spans="1:32" ht="15">
      <c r="A421" s="175">
        <v>45908</v>
      </c>
      <c r="B421" s="145" t="s">
        <v>12896</v>
      </c>
      <c r="C421" s="169">
        <v>16121</v>
      </c>
      <c r="D421" s="145">
        <v>1</v>
      </c>
      <c r="E421" s="145"/>
      <c r="F421" s="169" t="e">
        <v>#VALUE!</v>
      </c>
      <c r="G421" s="145"/>
      <c r="H421" s="145"/>
      <c r="I421" s="145"/>
      <c r="J421" s="145"/>
      <c r="K421" s="145"/>
      <c r="L421" s="145"/>
      <c r="M421" s="145"/>
      <c r="N421" s="145"/>
      <c r="O421" s="174"/>
      <c r="P421" s="174"/>
      <c r="Q421" s="158" t="str">
        <v/>
      </c>
      <c r="R421" s="158" t="str">
        <v/>
      </c>
      <c r="S421" s="158" t="str">
        <v/>
      </c>
      <c r="T421" s="158" t="str">
        <v/>
      </c>
      <c r="U421" s="158" t="str">
        <v/>
      </c>
      <c r="V421" s="158" t="str">
        <v/>
      </c>
      <c r="W421" s="158" t="str">
        <v/>
      </c>
      <c r="X421" s="158" t="str">
        <v/>
      </c>
      <c r="Y421" s="158" t="str">
        <v/>
      </c>
      <c r="Z421" s="158" t="str">
        <v/>
      </c>
      <c r="AA421" s="158" t="e">
        <v>#VALUE!</v>
      </c>
      <c r="AB421" s="171" t="str">
        <v/>
      </c>
      <c r="AC421" s="158">
        <v>16121</v>
      </c>
      <c r="AD421" s="173" t="str">
        <f ca="1">IFERROR(__xludf.DUMMYFUNCTION("""COMPUTED_VALUE"""),"2025-09")</f>
        <v>2025-09</v>
      </c>
      <c r="AE421" s="154" t="str">
        <v/>
      </c>
      <c r="AF421" s="154" t="str">
        <v/>
      </c>
    </row>
    <row r="422" spans="1:32" ht="15">
      <c r="A422" s="175">
        <v>45908</v>
      </c>
      <c r="B422" s="145" t="s">
        <v>1229</v>
      </c>
      <c r="C422" s="169">
        <v>24606</v>
      </c>
      <c r="D422" s="145">
        <v>0</v>
      </c>
      <c r="E422" s="145"/>
      <c r="F422" s="169" t="e">
        <v>#VALUE!</v>
      </c>
      <c r="G422" s="145"/>
      <c r="H422" s="145"/>
      <c r="I422" s="145"/>
      <c r="J422" s="145"/>
      <c r="K422" s="145"/>
      <c r="L422" s="145"/>
      <c r="M422" s="145"/>
      <c r="N422" s="145"/>
      <c r="O422" s="174"/>
      <c r="P422" s="174"/>
      <c r="Q422" s="158" t="str">
        <v/>
      </c>
      <c r="R422" s="158" t="str">
        <v/>
      </c>
      <c r="S422" s="158" t="str">
        <v/>
      </c>
      <c r="T422" s="158" t="str">
        <v/>
      </c>
      <c r="U422" s="158" t="str">
        <v/>
      </c>
      <c r="V422" s="158" t="str">
        <v/>
      </c>
      <c r="W422" s="158" t="str">
        <v/>
      </c>
      <c r="X422" s="158" t="str">
        <v/>
      </c>
      <c r="Y422" s="158" t="str">
        <v/>
      </c>
      <c r="Z422" s="158" t="str">
        <v/>
      </c>
      <c r="AA422" s="158" t="e">
        <v>#VALUE!</v>
      </c>
      <c r="AB422" s="171" t="str">
        <v/>
      </c>
      <c r="AC422" s="158" t="str">
        <v/>
      </c>
      <c r="AD422" s="173" t="str">
        <f ca="1">IFERROR(__xludf.DUMMYFUNCTION("""COMPUTED_VALUE"""),"2025-09")</f>
        <v>2025-09</v>
      </c>
      <c r="AE422" s="154" t="str">
        <v/>
      </c>
      <c r="AF422" s="154" t="str">
        <v/>
      </c>
    </row>
    <row r="423" spans="1:32" ht="15">
      <c r="A423" s="175">
        <v>45909</v>
      </c>
      <c r="B423" s="145" t="s">
        <v>12900</v>
      </c>
      <c r="C423" s="169">
        <v>107832</v>
      </c>
      <c r="D423" s="145">
        <v>19</v>
      </c>
      <c r="E423" s="145"/>
      <c r="F423" s="169" t="e">
        <v>#VALUE!</v>
      </c>
      <c r="G423" s="145"/>
      <c r="H423" s="145"/>
      <c r="I423" s="145"/>
      <c r="J423" s="145"/>
      <c r="K423" s="145"/>
      <c r="L423" s="145"/>
      <c r="M423" s="145"/>
      <c r="N423" s="145"/>
      <c r="O423" s="174"/>
      <c r="P423" s="174"/>
      <c r="Q423" s="158" t="str">
        <v/>
      </c>
      <c r="R423" s="158" t="str">
        <v/>
      </c>
      <c r="S423" s="158" t="str">
        <v/>
      </c>
      <c r="T423" s="158" t="str">
        <v/>
      </c>
      <c r="U423" s="158" t="str">
        <v/>
      </c>
      <c r="V423" s="158" t="str">
        <v/>
      </c>
      <c r="W423" s="158" t="str">
        <v/>
      </c>
      <c r="X423" s="158" t="str">
        <v/>
      </c>
      <c r="Y423" s="158" t="str">
        <v/>
      </c>
      <c r="Z423" s="158" t="str">
        <v/>
      </c>
      <c r="AA423" s="158" t="e">
        <v>#VALUE!</v>
      </c>
      <c r="AB423" s="171" t="str">
        <v/>
      </c>
      <c r="AC423" s="158">
        <v>5675.3684210526317</v>
      </c>
      <c r="AD423" s="173" t="str">
        <f ca="1">IFERROR(__xludf.DUMMYFUNCTION("""COMPUTED_VALUE"""),"2025-09")</f>
        <v>2025-09</v>
      </c>
      <c r="AE423" s="154" t="str">
        <v/>
      </c>
      <c r="AF423" s="154" t="str">
        <v/>
      </c>
    </row>
    <row r="424" spans="1:32" ht="15">
      <c r="A424" s="175">
        <v>45909</v>
      </c>
      <c r="B424" s="145" t="s">
        <v>12899</v>
      </c>
      <c r="C424" s="169">
        <v>41529</v>
      </c>
      <c r="D424" s="145">
        <v>2</v>
      </c>
      <c r="E424" s="145"/>
      <c r="F424" s="169" t="e">
        <v>#VALUE!</v>
      </c>
      <c r="G424" s="145"/>
      <c r="H424" s="145"/>
      <c r="I424" s="145"/>
      <c r="J424" s="145"/>
      <c r="K424" s="145"/>
      <c r="L424" s="145"/>
      <c r="M424" s="145"/>
      <c r="N424" s="145"/>
      <c r="O424" s="174"/>
      <c r="P424" s="174"/>
      <c r="Q424" s="158" t="str">
        <v/>
      </c>
      <c r="R424" s="158" t="str">
        <v/>
      </c>
      <c r="S424" s="158" t="str">
        <v/>
      </c>
      <c r="T424" s="158" t="str">
        <v/>
      </c>
      <c r="U424" s="158" t="str">
        <v/>
      </c>
      <c r="V424" s="158" t="str">
        <v/>
      </c>
      <c r="W424" s="158" t="str">
        <v/>
      </c>
      <c r="X424" s="158" t="str">
        <v/>
      </c>
      <c r="Y424" s="158" t="str">
        <v/>
      </c>
      <c r="Z424" s="158" t="str">
        <v/>
      </c>
      <c r="AA424" s="158" t="e">
        <v>#VALUE!</v>
      </c>
      <c r="AB424" s="171" t="str">
        <v/>
      </c>
      <c r="AC424" s="158">
        <v>20764.5</v>
      </c>
      <c r="AD424" s="173" t="str">
        <f ca="1">IFERROR(__xludf.DUMMYFUNCTION("""COMPUTED_VALUE"""),"2025-09")</f>
        <v>2025-09</v>
      </c>
      <c r="AE424" s="154" t="str">
        <v/>
      </c>
      <c r="AF424" s="154" t="str">
        <v/>
      </c>
    </row>
    <row r="425" spans="1:32" ht="15">
      <c r="A425" s="175">
        <v>45909</v>
      </c>
      <c r="B425" s="145" t="s">
        <v>1774</v>
      </c>
      <c r="C425" s="169">
        <v>49</v>
      </c>
      <c r="D425" s="145">
        <v>0</v>
      </c>
      <c r="E425" s="145"/>
      <c r="F425" s="169" t="e">
        <v>#VALUE!</v>
      </c>
      <c r="G425" s="145"/>
      <c r="H425" s="145"/>
      <c r="I425" s="145"/>
      <c r="J425" s="145"/>
      <c r="K425" s="145"/>
      <c r="L425" s="145"/>
      <c r="M425" s="145"/>
      <c r="N425" s="145"/>
      <c r="O425" s="174"/>
      <c r="P425" s="174"/>
      <c r="Q425" s="158" t="str">
        <v/>
      </c>
      <c r="R425" s="158" t="str">
        <v/>
      </c>
      <c r="S425" s="158" t="str">
        <v/>
      </c>
      <c r="T425" s="158" t="str">
        <v/>
      </c>
      <c r="U425" s="158" t="str">
        <v/>
      </c>
      <c r="V425" s="158" t="str">
        <v/>
      </c>
      <c r="W425" s="158" t="str">
        <v/>
      </c>
      <c r="X425" s="158" t="str">
        <v/>
      </c>
      <c r="Y425" s="158" t="str">
        <v/>
      </c>
      <c r="Z425" s="158" t="str">
        <v/>
      </c>
      <c r="AA425" s="158" t="e">
        <v>#VALUE!</v>
      </c>
      <c r="AB425" s="171" t="str">
        <v/>
      </c>
      <c r="AC425" s="158" t="str">
        <v/>
      </c>
      <c r="AD425" s="173" t="str">
        <f ca="1">IFERROR(__xludf.DUMMYFUNCTION("""COMPUTED_VALUE"""),"2025-09")</f>
        <v>2025-09</v>
      </c>
      <c r="AE425" s="154" t="str">
        <v/>
      </c>
      <c r="AF425" s="154" t="str">
        <v/>
      </c>
    </row>
    <row r="426" spans="1:32" ht="15">
      <c r="A426" s="175">
        <v>45909</v>
      </c>
      <c r="B426" s="145" t="s">
        <v>12897</v>
      </c>
      <c r="C426" s="169">
        <v>37623</v>
      </c>
      <c r="D426" s="145">
        <v>3</v>
      </c>
      <c r="E426" s="145"/>
      <c r="F426" s="169" t="e">
        <v>#VALUE!</v>
      </c>
      <c r="G426" s="145"/>
      <c r="H426" s="145"/>
      <c r="I426" s="145"/>
      <c r="J426" s="145"/>
      <c r="K426" s="145"/>
      <c r="L426" s="145"/>
      <c r="M426" s="145"/>
      <c r="N426" s="145"/>
      <c r="O426" s="174"/>
      <c r="P426" s="174"/>
      <c r="Q426" s="158" t="str">
        <v/>
      </c>
      <c r="R426" s="158" t="str">
        <v/>
      </c>
      <c r="S426" s="158" t="str">
        <v/>
      </c>
      <c r="T426" s="158" t="str">
        <v/>
      </c>
      <c r="U426" s="158" t="str">
        <v/>
      </c>
      <c r="V426" s="158" t="str">
        <v/>
      </c>
      <c r="W426" s="158" t="str">
        <v/>
      </c>
      <c r="X426" s="158" t="str">
        <v/>
      </c>
      <c r="Y426" s="158" t="str">
        <v/>
      </c>
      <c r="Z426" s="158" t="str">
        <v/>
      </c>
      <c r="AA426" s="158" t="e">
        <v>#VALUE!</v>
      </c>
      <c r="AB426" s="171" t="str">
        <v/>
      </c>
      <c r="AC426" s="158">
        <v>12541</v>
      </c>
      <c r="AD426" s="173" t="str">
        <f ca="1">IFERROR(__xludf.DUMMYFUNCTION("""COMPUTED_VALUE"""),"2025-09")</f>
        <v>2025-09</v>
      </c>
      <c r="AE426" s="154" t="str">
        <v/>
      </c>
      <c r="AF426" s="154" t="str">
        <v/>
      </c>
    </row>
    <row r="427" spans="1:32" ht="15">
      <c r="A427" s="175">
        <v>45909</v>
      </c>
      <c r="B427" s="145" t="s">
        <v>12896</v>
      </c>
      <c r="C427" s="169">
        <v>16335</v>
      </c>
      <c r="D427" s="145">
        <v>0</v>
      </c>
      <c r="E427" s="145"/>
      <c r="F427" s="169" t="e">
        <v>#VALUE!</v>
      </c>
      <c r="G427" s="145"/>
      <c r="H427" s="145"/>
      <c r="I427" s="145"/>
      <c r="J427" s="145"/>
      <c r="K427" s="145"/>
      <c r="L427" s="145"/>
      <c r="M427" s="145"/>
      <c r="N427" s="145"/>
      <c r="O427" s="174"/>
      <c r="P427" s="174"/>
      <c r="Q427" s="158" t="str">
        <v/>
      </c>
      <c r="R427" s="158" t="str">
        <v/>
      </c>
      <c r="S427" s="158" t="str">
        <v/>
      </c>
      <c r="T427" s="158" t="str">
        <v/>
      </c>
      <c r="U427" s="158" t="str">
        <v/>
      </c>
      <c r="V427" s="158" t="str">
        <v/>
      </c>
      <c r="W427" s="158" t="str">
        <v/>
      </c>
      <c r="X427" s="158" t="str">
        <v/>
      </c>
      <c r="Y427" s="158" t="str">
        <v/>
      </c>
      <c r="Z427" s="158" t="str">
        <v/>
      </c>
      <c r="AA427" s="158" t="e">
        <v>#VALUE!</v>
      </c>
      <c r="AB427" s="171" t="str">
        <v/>
      </c>
      <c r="AC427" s="158" t="str">
        <v/>
      </c>
      <c r="AD427" s="173" t="str">
        <f ca="1">IFERROR(__xludf.DUMMYFUNCTION("""COMPUTED_VALUE"""),"2025-09")</f>
        <v>2025-09</v>
      </c>
      <c r="AE427" s="154" t="str">
        <v/>
      </c>
      <c r="AF427" s="154" t="str">
        <v/>
      </c>
    </row>
    <row r="428" spans="1:32" ht="15">
      <c r="A428" s="175">
        <v>45909</v>
      </c>
      <c r="B428" s="145" t="s">
        <v>1229</v>
      </c>
      <c r="C428" s="169">
        <v>21729</v>
      </c>
      <c r="D428" s="145">
        <v>2</v>
      </c>
      <c r="E428" s="145"/>
      <c r="F428" s="169" t="e">
        <v>#VALUE!</v>
      </c>
      <c r="G428" s="145"/>
      <c r="H428" s="145"/>
      <c r="I428" s="145"/>
      <c r="J428" s="145"/>
      <c r="K428" s="145"/>
      <c r="L428" s="145"/>
      <c r="M428" s="145"/>
      <c r="N428" s="145"/>
      <c r="O428" s="174"/>
      <c r="P428" s="174"/>
      <c r="Q428" s="158" t="str">
        <v/>
      </c>
      <c r="R428" s="158" t="str">
        <v/>
      </c>
      <c r="S428" s="158" t="str">
        <v/>
      </c>
      <c r="T428" s="158" t="str">
        <v/>
      </c>
      <c r="U428" s="158" t="str">
        <v/>
      </c>
      <c r="V428" s="158" t="str">
        <v/>
      </c>
      <c r="W428" s="158" t="str">
        <v/>
      </c>
      <c r="X428" s="158" t="str">
        <v/>
      </c>
      <c r="Y428" s="158" t="str">
        <v/>
      </c>
      <c r="Z428" s="158" t="str">
        <v/>
      </c>
      <c r="AA428" s="158" t="e">
        <v>#VALUE!</v>
      </c>
      <c r="AB428" s="171" t="str">
        <v/>
      </c>
      <c r="AC428" s="158">
        <v>10864.5</v>
      </c>
      <c r="AD428" s="173" t="str">
        <f ca="1">IFERROR(__xludf.DUMMYFUNCTION("""COMPUTED_VALUE"""),"2025-09")</f>
        <v>2025-09</v>
      </c>
      <c r="AE428" s="154" t="str">
        <v/>
      </c>
      <c r="AF428" s="154" t="str">
        <v/>
      </c>
    </row>
    <row r="429" spans="1:32" ht="15">
      <c r="A429" s="176">
        <v>45911</v>
      </c>
      <c r="B429" s="145" t="s">
        <v>12900</v>
      </c>
      <c r="C429" s="169">
        <v>559</v>
      </c>
      <c r="D429" s="145">
        <v>0</v>
      </c>
      <c r="E429" s="145"/>
      <c r="F429" s="169" t="e">
        <v>#VALUE!</v>
      </c>
      <c r="G429" s="145"/>
      <c r="H429" s="145"/>
      <c r="I429" s="145"/>
      <c r="J429" s="145"/>
      <c r="K429" s="145"/>
      <c r="L429" s="145"/>
      <c r="M429" s="145"/>
      <c r="N429" s="145"/>
      <c r="O429" s="174"/>
      <c r="P429" s="174"/>
      <c r="Q429" s="158" t="str">
        <v/>
      </c>
      <c r="R429" s="158" t="str">
        <v/>
      </c>
      <c r="S429" s="158" t="str">
        <v/>
      </c>
      <c r="T429" s="158" t="str">
        <v/>
      </c>
      <c r="U429" s="158" t="str">
        <v/>
      </c>
      <c r="V429" s="158" t="str">
        <v/>
      </c>
      <c r="W429" s="158" t="str">
        <v/>
      </c>
      <c r="X429" s="158" t="str">
        <v/>
      </c>
      <c r="Y429" s="158" t="str">
        <v/>
      </c>
      <c r="Z429" s="158" t="str">
        <v/>
      </c>
      <c r="AA429" s="158" t="e">
        <v>#VALUE!</v>
      </c>
      <c r="AB429" s="171" t="str">
        <v/>
      </c>
      <c r="AC429" s="158" t="str">
        <v/>
      </c>
      <c r="AD429" s="173" t="str">
        <f ca="1">IFERROR(__xludf.DUMMYFUNCTION("""COMPUTED_VALUE"""),"2025-09")</f>
        <v>2025-09</v>
      </c>
      <c r="AE429" s="154" t="str">
        <v/>
      </c>
      <c r="AF429" s="154" t="str">
        <v/>
      </c>
    </row>
    <row r="430" spans="1:32" ht="15">
      <c r="A430" s="176">
        <v>45911</v>
      </c>
      <c r="B430" s="145" t="s">
        <v>12899</v>
      </c>
      <c r="C430" s="169">
        <v>25393</v>
      </c>
      <c r="D430" s="145">
        <v>2</v>
      </c>
      <c r="E430" s="145"/>
      <c r="F430" s="169" t="e">
        <v>#VALUE!</v>
      </c>
      <c r="G430" s="145"/>
      <c r="H430" s="145"/>
      <c r="I430" s="145"/>
      <c r="J430" s="145"/>
      <c r="K430" s="145"/>
      <c r="L430" s="145"/>
      <c r="M430" s="145"/>
      <c r="N430" s="145"/>
      <c r="O430" s="174"/>
      <c r="P430" s="174"/>
      <c r="Q430" s="158" t="str">
        <v/>
      </c>
      <c r="R430" s="158" t="str">
        <v/>
      </c>
      <c r="S430" s="158" t="str">
        <v/>
      </c>
      <c r="T430" s="158" t="str">
        <v/>
      </c>
      <c r="U430" s="158" t="str">
        <v/>
      </c>
      <c r="V430" s="158" t="str">
        <v/>
      </c>
      <c r="W430" s="158" t="str">
        <v/>
      </c>
      <c r="X430" s="158" t="str">
        <v/>
      </c>
      <c r="Y430" s="158" t="str">
        <v/>
      </c>
      <c r="Z430" s="158" t="str">
        <v/>
      </c>
      <c r="AA430" s="158" t="e">
        <v>#VALUE!</v>
      </c>
      <c r="AB430" s="171" t="str">
        <v/>
      </c>
      <c r="AC430" s="158">
        <v>12696.5</v>
      </c>
      <c r="AD430" s="173" t="str">
        <f ca="1">IFERROR(__xludf.DUMMYFUNCTION("""COMPUTED_VALUE"""),"2025-09")</f>
        <v>2025-09</v>
      </c>
      <c r="AE430" s="154" t="str">
        <v/>
      </c>
      <c r="AF430" s="154" t="str">
        <v/>
      </c>
    </row>
    <row r="431" spans="1:32" ht="15">
      <c r="A431" s="176">
        <v>45911</v>
      </c>
      <c r="B431" s="145" t="s">
        <v>12898</v>
      </c>
      <c r="C431" s="169">
        <v>174622</v>
      </c>
      <c r="D431" s="145">
        <v>34</v>
      </c>
      <c r="E431" s="145"/>
      <c r="F431" s="169" t="e">
        <v>#VALUE!</v>
      </c>
      <c r="G431" s="145"/>
      <c r="H431" s="145"/>
      <c r="I431" s="145"/>
      <c r="J431" s="145"/>
      <c r="K431" s="145"/>
      <c r="L431" s="145"/>
      <c r="M431" s="145"/>
      <c r="N431" s="145"/>
      <c r="O431" s="174"/>
      <c r="P431" s="174"/>
      <c r="Q431" s="158" t="str">
        <v/>
      </c>
      <c r="R431" s="158" t="str">
        <v/>
      </c>
      <c r="S431" s="158" t="str">
        <v/>
      </c>
      <c r="T431" s="158" t="str">
        <v/>
      </c>
      <c r="U431" s="158" t="str">
        <v/>
      </c>
      <c r="V431" s="158" t="str">
        <v/>
      </c>
      <c r="W431" s="158" t="str">
        <v/>
      </c>
      <c r="X431" s="158" t="str">
        <v/>
      </c>
      <c r="Y431" s="158" t="str">
        <v/>
      </c>
      <c r="Z431" s="158" t="str">
        <v/>
      </c>
      <c r="AA431" s="158" t="e">
        <v>#VALUE!</v>
      </c>
      <c r="AB431" s="171" t="str">
        <v/>
      </c>
      <c r="AC431" s="158">
        <v>5135.9411764705883</v>
      </c>
      <c r="AD431" s="173" t="str">
        <f ca="1">IFERROR(__xludf.DUMMYFUNCTION("""COMPUTED_VALUE"""),"2025-09")</f>
        <v>2025-09</v>
      </c>
      <c r="AE431" s="154" t="str">
        <v/>
      </c>
      <c r="AF431" s="154" t="str">
        <v/>
      </c>
    </row>
    <row r="432" spans="1:32" ht="15">
      <c r="A432" s="176">
        <v>45911</v>
      </c>
      <c r="B432" s="145" t="s">
        <v>12897</v>
      </c>
      <c r="C432" s="169">
        <v>50967</v>
      </c>
      <c r="D432" s="145">
        <v>3</v>
      </c>
      <c r="E432" s="145"/>
      <c r="F432" s="169" t="e">
        <v>#VALUE!</v>
      </c>
      <c r="G432" s="145"/>
      <c r="H432" s="145"/>
      <c r="I432" s="145"/>
      <c r="J432" s="145"/>
      <c r="K432" s="145"/>
      <c r="L432" s="145"/>
      <c r="M432" s="145"/>
      <c r="N432" s="145"/>
      <c r="O432" s="174"/>
      <c r="P432" s="174"/>
      <c r="Q432" s="158" t="str">
        <v/>
      </c>
      <c r="R432" s="158" t="str">
        <v/>
      </c>
      <c r="S432" s="158" t="str">
        <v/>
      </c>
      <c r="T432" s="158" t="str">
        <v/>
      </c>
      <c r="U432" s="158" t="str">
        <v/>
      </c>
      <c r="V432" s="158" t="str">
        <v/>
      </c>
      <c r="W432" s="158" t="str">
        <v/>
      </c>
      <c r="X432" s="158" t="str">
        <v/>
      </c>
      <c r="Y432" s="158" t="str">
        <v/>
      </c>
      <c r="Z432" s="158" t="str">
        <v/>
      </c>
      <c r="AA432" s="158" t="e">
        <v>#VALUE!</v>
      </c>
      <c r="AB432" s="171" t="str">
        <v/>
      </c>
      <c r="AC432" s="158">
        <v>16989</v>
      </c>
      <c r="AD432" s="173" t="str">
        <f ca="1">IFERROR(__xludf.DUMMYFUNCTION("""COMPUTED_VALUE"""),"2025-09")</f>
        <v>2025-09</v>
      </c>
      <c r="AE432" s="154" t="str">
        <v/>
      </c>
      <c r="AF432" s="154" t="str">
        <v/>
      </c>
    </row>
    <row r="433" spans="1:32" ht="15">
      <c r="A433" s="176">
        <v>45911</v>
      </c>
      <c r="B433" s="145" t="s">
        <v>1229</v>
      </c>
      <c r="C433" s="169">
        <v>253</v>
      </c>
      <c r="D433" s="145">
        <v>0</v>
      </c>
      <c r="E433" s="145"/>
      <c r="F433" s="169" t="e">
        <v>#VALUE!</v>
      </c>
      <c r="G433" s="145"/>
      <c r="H433" s="145"/>
      <c r="I433" s="145"/>
      <c r="J433" s="145"/>
      <c r="K433" s="145"/>
      <c r="L433" s="145"/>
      <c r="M433" s="145"/>
      <c r="N433" s="145"/>
      <c r="O433" s="174"/>
      <c r="P433" s="174"/>
      <c r="Q433" s="158" t="str">
        <v/>
      </c>
      <c r="R433" s="158" t="str">
        <v/>
      </c>
      <c r="S433" s="158" t="str">
        <v/>
      </c>
      <c r="T433" s="158" t="str">
        <v/>
      </c>
      <c r="U433" s="158" t="str">
        <v/>
      </c>
      <c r="V433" s="158" t="str">
        <v/>
      </c>
      <c r="W433" s="158" t="str">
        <v/>
      </c>
      <c r="X433" s="158" t="str">
        <v/>
      </c>
      <c r="Y433" s="158" t="str">
        <v/>
      </c>
      <c r="Z433" s="158" t="str">
        <v/>
      </c>
      <c r="AA433" s="158" t="e">
        <v>#VALUE!</v>
      </c>
      <c r="AB433" s="171" t="str">
        <v/>
      </c>
      <c r="AC433" s="158" t="str">
        <v/>
      </c>
      <c r="AD433" s="173" t="str">
        <f ca="1">IFERROR(__xludf.DUMMYFUNCTION("""COMPUTED_VALUE"""),"2025-09")</f>
        <v>2025-09</v>
      </c>
      <c r="AE433" s="154" t="str">
        <v/>
      </c>
      <c r="AF433" s="154" t="str">
        <v/>
      </c>
    </row>
    <row r="434" spans="1:32" ht="15">
      <c r="A434" s="176">
        <v>45912</v>
      </c>
      <c r="B434" s="145" t="s">
        <v>12900</v>
      </c>
      <c r="C434" s="169">
        <v>26697</v>
      </c>
      <c r="D434" s="145">
        <v>2</v>
      </c>
      <c r="E434" s="145"/>
      <c r="F434" s="169" t="e">
        <v>#VALUE!</v>
      </c>
      <c r="G434" s="145"/>
      <c r="H434" s="145"/>
      <c r="I434" s="145"/>
      <c r="J434" s="145"/>
      <c r="K434" s="145"/>
      <c r="L434" s="145"/>
      <c r="M434" s="145"/>
      <c r="N434" s="145"/>
      <c r="O434" s="174"/>
      <c r="P434" s="174"/>
      <c r="Q434" s="158" t="str">
        <v/>
      </c>
      <c r="R434" s="158" t="str">
        <v/>
      </c>
      <c r="S434" s="158" t="str">
        <v/>
      </c>
      <c r="T434" s="158" t="str">
        <v/>
      </c>
      <c r="U434" s="158" t="str">
        <v/>
      </c>
      <c r="V434" s="158" t="str">
        <v/>
      </c>
      <c r="W434" s="158" t="str">
        <v/>
      </c>
      <c r="X434" s="158" t="str">
        <v/>
      </c>
      <c r="Y434" s="158" t="str">
        <v/>
      </c>
      <c r="Z434" s="158" t="str">
        <v/>
      </c>
      <c r="AA434" s="158" t="e">
        <v>#VALUE!</v>
      </c>
      <c r="AB434" s="171" t="str">
        <v/>
      </c>
      <c r="AC434" s="158">
        <v>13348.5</v>
      </c>
      <c r="AD434" s="173" t="str">
        <f ca="1">IFERROR(__xludf.DUMMYFUNCTION("""COMPUTED_VALUE"""),"2025-09")</f>
        <v>2025-09</v>
      </c>
      <c r="AE434" s="154" t="str">
        <v/>
      </c>
      <c r="AF434" s="154" t="str">
        <v/>
      </c>
    </row>
    <row r="435" spans="1:32" ht="15">
      <c r="A435" s="176">
        <v>45912</v>
      </c>
      <c r="B435" s="145" t="s">
        <v>12899</v>
      </c>
      <c r="C435" s="169">
        <v>126742</v>
      </c>
      <c r="D435" s="145">
        <v>19</v>
      </c>
      <c r="E435" s="145"/>
      <c r="F435" s="169" t="e">
        <v>#VALUE!</v>
      </c>
      <c r="G435" s="145"/>
      <c r="H435" s="145"/>
      <c r="I435" s="145"/>
      <c r="J435" s="145"/>
      <c r="K435" s="145"/>
      <c r="L435" s="145"/>
      <c r="M435" s="145"/>
      <c r="N435" s="145"/>
      <c r="O435" s="174"/>
      <c r="P435" s="174"/>
      <c r="Q435" s="158" t="str">
        <v/>
      </c>
      <c r="R435" s="158" t="str">
        <v/>
      </c>
      <c r="S435" s="158" t="str">
        <v/>
      </c>
      <c r="T435" s="158" t="str">
        <v/>
      </c>
      <c r="U435" s="158" t="str">
        <v/>
      </c>
      <c r="V435" s="158" t="str">
        <v/>
      </c>
      <c r="W435" s="158" t="str">
        <v/>
      </c>
      <c r="X435" s="158" t="str">
        <v/>
      </c>
      <c r="Y435" s="158" t="str">
        <v/>
      </c>
      <c r="Z435" s="158" t="str">
        <v/>
      </c>
      <c r="AA435" s="158" t="e">
        <v>#VALUE!</v>
      </c>
      <c r="AB435" s="171" t="str">
        <v/>
      </c>
      <c r="AC435" s="158">
        <v>6670.6315789473683</v>
      </c>
      <c r="AD435" s="173" t="str">
        <f ca="1">IFERROR(__xludf.DUMMYFUNCTION("""COMPUTED_VALUE"""),"2025-09")</f>
        <v>2025-09</v>
      </c>
      <c r="AE435" s="154" t="str">
        <v/>
      </c>
      <c r="AF435" s="154" t="str">
        <v/>
      </c>
    </row>
    <row r="436" spans="1:32" ht="15">
      <c r="A436" s="176">
        <v>45912</v>
      </c>
      <c r="B436" s="145" t="s">
        <v>12898</v>
      </c>
      <c r="C436" s="169">
        <v>29207</v>
      </c>
      <c r="D436" s="145">
        <v>3</v>
      </c>
      <c r="E436" s="145"/>
      <c r="F436" s="169" t="e">
        <v>#VALUE!</v>
      </c>
      <c r="G436" s="145"/>
      <c r="H436" s="145"/>
      <c r="I436" s="145"/>
      <c r="J436" s="145"/>
      <c r="K436" s="145"/>
      <c r="L436" s="145"/>
      <c r="M436" s="145"/>
      <c r="N436" s="145"/>
      <c r="O436" s="174"/>
      <c r="P436" s="174"/>
      <c r="Q436" s="158" t="str">
        <v/>
      </c>
      <c r="R436" s="158" t="str">
        <v/>
      </c>
      <c r="S436" s="158" t="str">
        <v/>
      </c>
      <c r="T436" s="158" t="str">
        <v/>
      </c>
      <c r="U436" s="158" t="str">
        <v/>
      </c>
      <c r="V436" s="158" t="str">
        <v/>
      </c>
      <c r="W436" s="158" t="str">
        <v/>
      </c>
      <c r="X436" s="158" t="str">
        <v/>
      </c>
      <c r="Y436" s="158" t="str">
        <v/>
      </c>
      <c r="Z436" s="158" t="str">
        <v/>
      </c>
      <c r="AA436" s="158" t="e">
        <v>#VALUE!</v>
      </c>
      <c r="AB436" s="171" t="str">
        <v/>
      </c>
      <c r="AC436" s="158">
        <v>9735.6666666666661</v>
      </c>
      <c r="AD436" s="173" t="str">
        <f ca="1">IFERROR(__xludf.DUMMYFUNCTION("""COMPUTED_VALUE"""),"2025-09")</f>
        <v>2025-09</v>
      </c>
      <c r="AE436" s="154" t="str">
        <v/>
      </c>
      <c r="AF436" s="154" t="str">
        <v/>
      </c>
    </row>
    <row r="437" spans="1:32" ht="15">
      <c r="A437" s="176">
        <v>45912</v>
      </c>
      <c r="B437" s="145" t="s">
        <v>1774</v>
      </c>
      <c r="C437" s="169">
        <v>3380</v>
      </c>
      <c r="D437" s="145">
        <v>0</v>
      </c>
      <c r="E437" s="145"/>
      <c r="F437" s="169" t="e">
        <v>#VALUE!</v>
      </c>
      <c r="G437" s="145"/>
      <c r="H437" s="145"/>
      <c r="I437" s="145"/>
      <c r="J437" s="145"/>
      <c r="K437" s="145"/>
      <c r="L437" s="145"/>
      <c r="M437" s="145"/>
      <c r="N437" s="145"/>
      <c r="O437" s="174"/>
      <c r="P437" s="174"/>
      <c r="Q437" s="158" t="str">
        <v/>
      </c>
      <c r="R437" s="158" t="str">
        <v/>
      </c>
      <c r="S437" s="158" t="str">
        <v/>
      </c>
      <c r="T437" s="158" t="str">
        <v/>
      </c>
      <c r="U437" s="158" t="str">
        <v/>
      </c>
      <c r="V437" s="158" t="str">
        <v/>
      </c>
      <c r="W437" s="158" t="str">
        <v/>
      </c>
      <c r="X437" s="158" t="str">
        <v/>
      </c>
      <c r="Y437" s="158" t="str">
        <v/>
      </c>
      <c r="Z437" s="158" t="str">
        <v/>
      </c>
      <c r="AA437" s="158" t="e">
        <v>#VALUE!</v>
      </c>
      <c r="AB437" s="171" t="str">
        <v/>
      </c>
      <c r="AC437" s="158" t="str">
        <v/>
      </c>
      <c r="AD437" s="173" t="str">
        <f ca="1">IFERROR(__xludf.DUMMYFUNCTION("""COMPUTED_VALUE"""),"2025-09")</f>
        <v>2025-09</v>
      </c>
      <c r="AE437" s="154" t="str">
        <v/>
      </c>
      <c r="AF437" s="154" t="str">
        <v/>
      </c>
    </row>
    <row r="438" spans="1:32" ht="15">
      <c r="A438" s="176">
        <v>45912</v>
      </c>
      <c r="B438" s="145" t="s">
        <v>12897</v>
      </c>
      <c r="C438" s="169">
        <v>51176</v>
      </c>
      <c r="D438" s="145">
        <v>6</v>
      </c>
      <c r="E438" s="145"/>
      <c r="F438" s="169" t="e">
        <v>#VALUE!</v>
      </c>
      <c r="G438" s="145"/>
      <c r="H438" s="145"/>
      <c r="I438" s="145"/>
      <c r="J438" s="145"/>
      <c r="K438" s="145"/>
      <c r="L438" s="145"/>
      <c r="M438" s="145"/>
      <c r="N438" s="145"/>
      <c r="O438" s="174"/>
      <c r="P438" s="174"/>
      <c r="Q438" s="158" t="str">
        <v/>
      </c>
      <c r="R438" s="158" t="str">
        <v/>
      </c>
      <c r="S438" s="158" t="str">
        <v/>
      </c>
      <c r="T438" s="158" t="str">
        <v/>
      </c>
      <c r="U438" s="158" t="str">
        <v/>
      </c>
      <c r="V438" s="158" t="str">
        <v/>
      </c>
      <c r="W438" s="158" t="str">
        <v/>
      </c>
      <c r="X438" s="158" t="str">
        <v/>
      </c>
      <c r="Y438" s="158" t="str">
        <v/>
      </c>
      <c r="Z438" s="158" t="str">
        <v/>
      </c>
      <c r="AA438" s="158" t="e">
        <v>#VALUE!</v>
      </c>
      <c r="AB438" s="171" t="str">
        <v/>
      </c>
      <c r="AC438" s="158">
        <v>8529.3333333333339</v>
      </c>
      <c r="AD438" s="173" t="str">
        <f ca="1">IFERROR(__xludf.DUMMYFUNCTION("""COMPUTED_VALUE"""),"2025-09")</f>
        <v>2025-09</v>
      </c>
      <c r="AE438" s="154" t="str">
        <v/>
      </c>
      <c r="AF438" s="154" t="str">
        <v/>
      </c>
    </row>
    <row r="439" spans="1:32" ht="15">
      <c r="A439" s="176">
        <v>45912</v>
      </c>
      <c r="B439" s="145" t="s">
        <v>12896</v>
      </c>
      <c r="C439" s="169">
        <v>10163</v>
      </c>
      <c r="D439" s="145">
        <v>0</v>
      </c>
      <c r="E439" s="145"/>
      <c r="F439" s="169" t="e">
        <v>#VALUE!</v>
      </c>
      <c r="G439" s="145"/>
      <c r="H439" s="145"/>
      <c r="I439" s="145"/>
      <c r="J439" s="145"/>
      <c r="K439" s="145"/>
      <c r="L439" s="145"/>
      <c r="M439" s="145"/>
      <c r="N439" s="145"/>
      <c r="O439" s="174"/>
      <c r="P439" s="174"/>
      <c r="Q439" s="158" t="str">
        <v/>
      </c>
      <c r="R439" s="158" t="str">
        <v/>
      </c>
      <c r="S439" s="158" t="str">
        <v/>
      </c>
      <c r="T439" s="158" t="str">
        <v/>
      </c>
      <c r="U439" s="158" t="str">
        <v/>
      </c>
      <c r="V439" s="158" t="str">
        <v/>
      </c>
      <c r="W439" s="158" t="str">
        <v/>
      </c>
      <c r="X439" s="158" t="str">
        <v/>
      </c>
      <c r="Y439" s="158" t="str">
        <v/>
      </c>
      <c r="Z439" s="158" t="str">
        <v/>
      </c>
      <c r="AA439" s="158" t="e">
        <v>#VALUE!</v>
      </c>
      <c r="AB439" s="171" t="str">
        <v/>
      </c>
      <c r="AC439" s="158" t="str">
        <v/>
      </c>
      <c r="AD439" s="173" t="str">
        <f ca="1">IFERROR(__xludf.DUMMYFUNCTION("""COMPUTED_VALUE"""),"2025-09")</f>
        <v>2025-09</v>
      </c>
      <c r="AE439" s="154" t="str">
        <v/>
      </c>
      <c r="AF439" s="154" t="str">
        <v/>
      </c>
    </row>
    <row r="440" spans="1:32" ht="15">
      <c r="A440" s="176">
        <v>45912</v>
      </c>
      <c r="B440" s="145" t="s">
        <v>1229</v>
      </c>
      <c r="C440" s="169">
        <v>29398</v>
      </c>
      <c r="D440" s="145">
        <v>5</v>
      </c>
      <c r="E440" s="145"/>
      <c r="F440" s="169" t="e">
        <v>#VALUE!</v>
      </c>
      <c r="G440" s="145"/>
      <c r="H440" s="145"/>
      <c r="I440" s="145"/>
      <c r="J440" s="145"/>
      <c r="K440" s="145"/>
      <c r="L440" s="145"/>
      <c r="M440" s="145"/>
      <c r="N440" s="145"/>
      <c r="O440" s="174"/>
      <c r="P440" s="174"/>
      <c r="Q440" s="158" t="str">
        <v/>
      </c>
      <c r="R440" s="158" t="str">
        <v/>
      </c>
      <c r="S440" s="158" t="str">
        <v/>
      </c>
      <c r="T440" s="158" t="str">
        <v/>
      </c>
      <c r="U440" s="158" t="str">
        <v/>
      </c>
      <c r="V440" s="158" t="str">
        <v/>
      </c>
      <c r="W440" s="158" t="str">
        <v/>
      </c>
      <c r="X440" s="158" t="str">
        <v/>
      </c>
      <c r="Y440" s="158" t="str">
        <v/>
      </c>
      <c r="Z440" s="158" t="str">
        <v/>
      </c>
      <c r="AA440" s="158" t="e">
        <v>#VALUE!</v>
      </c>
      <c r="AB440" s="171" t="str">
        <v/>
      </c>
      <c r="AC440" s="158">
        <v>5879.6</v>
      </c>
      <c r="AD440" s="173" t="str">
        <f ca="1">IFERROR(__xludf.DUMMYFUNCTION("""COMPUTED_VALUE"""),"2025-09")</f>
        <v>2025-09</v>
      </c>
      <c r="AE440" s="154" t="str">
        <v/>
      </c>
      <c r="AF440" s="154" t="str">
        <v/>
      </c>
    </row>
    <row r="441" spans="1:32" ht="15">
      <c r="A441" s="176">
        <v>45913</v>
      </c>
      <c r="B441" s="145" t="s">
        <v>12900</v>
      </c>
      <c r="C441" s="169">
        <v>389</v>
      </c>
      <c r="D441" s="145">
        <v>0</v>
      </c>
      <c r="E441" s="145"/>
      <c r="F441" s="169" t="e">
        <v>#VALUE!</v>
      </c>
      <c r="G441" s="145"/>
      <c r="H441" s="145"/>
      <c r="I441" s="145"/>
      <c r="J441" s="145"/>
      <c r="K441" s="145"/>
      <c r="L441" s="145"/>
      <c r="M441" s="145"/>
      <c r="N441" s="145"/>
      <c r="O441" s="174"/>
      <c r="P441" s="174"/>
      <c r="Q441" s="158" t="str">
        <v/>
      </c>
      <c r="R441" s="158" t="str">
        <v/>
      </c>
      <c r="S441" s="158" t="str">
        <v/>
      </c>
      <c r="T441" s="158" t="str">
        <v/>
      </c>
      <c r="U441" s="158" t="str">
        <v/>
      </c>
      <c r="V441" s="158" t="str">
        <v/>
      </c>
      <c r="W441" s="158" t="str">
        <v/>
      </c>
      <c r="X441" s="158" t="str">
        <v/>
      </c>
      <c r="Y441" s="158" t="str">
        <v/>
      </c>
      <c r="Z441" s="158" t="str">
        <v/>
      </c>
      <c r="AA441" s="158" t="e">
        <v>#VALUE!</v>
      </c>
      <c r="AB441" s="171" t="str">
        <v/>
      </c>
      <c r="AC441" s="158" t="str">
        <v/>
      </c>
      <c r="AD441" s="173" t="str">
        <f ca="1">IFERROR(__xludf.DUMMYFUNCTION("""COMPUTED_VALUE"""),"2025-09")</f>
        <v>2025-09</v>
      </c>
      <c r="AE441" s="154" t="str">
        <v/>
      </c>
      <c r="AF441" s="154" t="str">
        <v/>
      </c>
    </row>
    <row r="442" spans="1:32" ht="15">
      <c r="A442" s="176">
        <v>45913</v>
      </c>
      <c r="B442" s="145" t="s">
        <v>12899</v>
      </c>
      <c r="C442" s="169">
        <v>2622</v>
      </c>
      <c r="D442" s="145">
        <v>0</v>
      </c>
      <c r="E442" s="145"/>
      <c r="F442" s="169" t="e">
        <v>#VALUE!</v>
      </c>
      <c r="G442" s="145"/>
      <c r="H442" s="145"/>
      <c r="I442" s="145"/>
      <c r="J442" s="145"/>
      <c r="K442" s="145"/>
      <c r="L442" s="145"/>
      <c r="M442" s="145"/>
      <c r="N442" s="145"/>
      <c r="O442" s="174"/>
      <c r="P442" s="174"/>
      <c r="Q442" s="158" t="str">
        <v/>
      </c>
      <c r="R442" s="158" t="str">
        <v/>
      </c>
      <c r="S442" s="158" t="str">
        <v/>
      </c>
      <c r="T442" s="158" t="str">
        <v/>
      </c>
      <c r="U442" s="158" t="str">
        <v/>
      </c>
      <c r="V442" s="158" t="str">
        <v/>
      </c>
      <c r="W442" s="158" t="str">
        <v/>
      </c>
      <c r="X442" s="158" t="str">
        <v/>
      </c>
      <c r="Y442" s="158" t="str">
        <v/>
      </c>
      <c r="Z442" s="158" t="str">
        <v/>
      </c>
      <c r="AA442" s="158" t="e">
        <v>#VALUE!</v>
      </c>
      <c r="AB442" s="171" t="str">
        <v/>
      </c>
      <c r="AC442" s="158" t="str">
        <v/>
      </c>
      <c r="AD442" s="173" t="str">
        <f ca="1">IFERROR(__xludf.DUMMYFUNCTION("""COMPUTED_VALUE"""),"2025-09")</f>
        <v>2025-09</v>
      </c>
      <c r="AE442" s="154" t="str">
        <v/>
      </c>
      <c r="AF442" s="154" t="str">
        <v/>
      </c>
    </row>
    <row r="443" spans="1:32" ht="15">
      <c r="A443" s="176">
        <v>45913</v>
      </c>
      <c r="B443" s="145" t="s">
        <v>12898</v>
      </c>
      <c r="C443" s="169">
        <v>704</v>
      </c>
      <c r="D443" s="145">
        <v>0</v>
      </c>
      <c r="E443" s="145"/>
      <c r="F443" s="169" t="e">
        <v>#VALUE!</v>
      </c>
      <c r="G443" s="145"/>
      <c r="H443" s="145"/>
      <c r="I443" s="145"/>
      <c r="J443" s="145"/>
      <c r="K443" s="145"/>
      <c r="L443" s="145"/>
      <c r="M443" s="145"/>
      <c r="N443" s="145"/>
      <c r="O443" s="174"/>
      <c r="P443" s="174"/>
      <c r="Q443" s="158" t="str">
        <v/>
      </c>
      <c r="R443" s="158" t="str">
        <v/>
      </c>
      <c r="S443" s="158" t="str">
        <v/>
      </c>
      <c r="T443" s="158" t="str">
        <v/>
      </c>
      <c r="U443" s="158" t="str">
        <v/>
      </c>
      <c r="V443" s="158" t="str">
        <v/>
      </c>
      <c r="W443" s="158" t="str">
        <v/>
      </c>
      <c r="X443" s="158" t="str">
        <v/>
      </c>
      <c r="Y443" s="158" t="str">
        <v/>
      </c>
      <c r="Z443" s="158" t="str">
        <v/>
      </c>
      <c r="AA443" s="158" t="e">
        <v>#VALUE!</v>
      </c>
      <c r="AB443" s="171" t="str">
        <v/>
      </c>
      <c r="AC443" s="158" t="str">
        <v/>
      </c>
      <c r="AD443" s="173" t="str">
        <f ca="1">IFERROR(__xludf.DUMMYFUNCTION("""COMPUTED_VALUE"""),"2025-09")</f>
        <v>2025-09</v>
      </c>
      <c r="AE443" s="154" t="str">
        <v/>
      </c>
      <c r="AF443" s="154" t="str">
        <v/>
      </c>
    </row>
    <row r="444" spans="1:32" ht="15">
      <c r="A444" s="176">
        <v>45913</v>
      </c>
      <c r="B444" s="145" t="s">
        <v>1774</v>
      </c>
      <c r="C444" s="169">
        <v>163</v>
      </c>
      <c r="D444" s="145">
        <v>0</v>
      </c>
      <c r="E444" s="145"/>
      <c r="F444" s="169" t="e">
        <v>#VALUE!</v>
      </c>
      <c r="G444" s="145"/>
      <c r="H444" s="145"/>
      <c r="I444" s="145"/>
      <c r="J444" s="145"/>
      <c r="K444" s="145"/>
      <c r="L444" s="145"/>
      <c r="M444" s="145"/>
      <c r="N444" s="145"/>
      <c r="O444" s="174"/>
      <c r="P444" s="174"/>
      <c r="Q444" s="158" t="str">
        <v/>
      </c>
      <c r="R444" s="158" t="str">
        <v/>
      </c>
      <c r="S444" s="158" t="str">
        <v/>
      </c>
      <c r="T444" s="158" t="str">
        <v/>
      </c>
      <c r="U444" s="158" t="str">
        <v/>
      </c>
      <c r="V444" s="158" t="str">
        <v/>
      </c>
      <c r="W444" s="158" t="str">
        <v/>
      </c>
      <c r="X444" s="158" t="str">
        <v/>
      </c>
      <c r="Y444" s="158" t="str">
        <v/>
      </c>
      <c r="Z444" s="158" t="str">
        <v/>
      </c>
      <c r="AA444" s="158" t="e">
        <v>#VALUE!</v>
      </c>
      <c r="AB444" s="171" t="str">
        <v/>
      </c>
      <c r="AC444" s="158" t="str">
        <v/>
      </c>
      <c r="AD444" s="173" t="str">
        <f ca="1">IFERROR(__xludf.DUMMYFUNCTION("""COMPUTED_VALUE"""),"2025-09")</f>
        <v>2025-09</v>
      </c>
      <c r="AE444" s="154" t="str">
        <v/>
      </c>
      <c r="AF444" s="154" t="str">
        <v/>
      </c>
    </row>
    <row r="445" spans="1:32" ht="15">
      <c r="A445" s="176">
        <v>45913</v>
      </c>
      <c r="B445" s="145" t="s">
        <v>12897</v>
      </c>
      <c r="C445" s="169">
        <v>19332</v>
      </c>
      <c r="D445" s="145">
        <v>4</v>
      </c>
      <c r="E445" s="145"/>
      <c r="F445" s="169" t="e">
        <v>#VALUE!</v>
      </c>
      <c r="G445" s="145"/>
      <c r="H445" s="145"/>
      <c r="I445" s="145"/>
      <c r="J445" s="145"/>
      <c r="K445" s="145"/>
      <c r="L445" s="145"/>
      <c r="M445" s="145"/>
      <c r="N445" s="145"/>
      <c r="O445" s="174"/>
      <c r="P445" s="174"/>
      <c r="Q445" s="158" t="str">
        <v/>
      </c>
      <c r="R445" s="158" t="str">
        <v/>
      </c>
      <c r="S445" s="158" t="str">
        <v/>
      </c>
      <c r="T445" s="158" t="str">
        <v/>
      </c>
      <c r="U445" s="158" t="str">
        <v/>
      </c>
      <c r="V445" s="158" t="str">
        <v/>
      </c>
      <c r="W445" s="158" t="str">
        <v/>
      </c>
      <c r="X445" s="158" t="str">
        <v/>
      </c>
      <c r="Y445" s="158" t="str">
        <v/>
      </c>
      <c r="Z445" s="158" t="str">
        <v/>
      </c>
      <c r="AA445" s="158" t="e">
        <v>#VALUE!</v>
      </c>
      <c r="AB445" s="171" t="str">
        <v/>
      </c>
      <c r="AC445" s="158">
        <v>4833</v>
      </c>
      <c r="AD445" s="173" t="str">
        <f ca="1">IFERROR(__xludf.DUMMYFUNCTION("""COMPUTED_VALUE"""),"2025-09")</f>
        <v>2025-09</v>
      </c>
      <c r="AE445" s="154" t="str">
        <v/>
      </c>
      <c r="AF445" s="154" t="str">
        <v/>
      </c>
    </row>
    <row r="446" spans="1:32" ht="15">
      <c r="A446" s="176">
        <v>45913</v>
      </c>
      <c r="B446" s="145" t="s">
        <v>12896</v>
      </c>
      <c r="C446" s="169">
        <v>73</v>
      </c>
      <c r="D446" s="145">
        <v>0</v>
      </c>
      <c r="E446" s="145"/>
      <c r="F446" s="169" t="e">
        <v>#VALUE!</v>
      </c>
      <c r="G446" s="145"/>
      <c r="H446" s="145"/>
      <c r="I446" s="145"/>
      <c r="J446" s="145"/>
      <c r="K446" s="145"/>
      <c r="L446" s="145"/>
      <c r="M446" s="145"/>
      <c r="N446" s="145"/>
      <c r="O446" s="174"/>
      <c r="P446" s="174"/>
      <c r="Q446" s="158" t="str">
        <v/>
      </c>
      <c r="R446" s="158" t="str">
        <v/>
      </c>
      <c r="S446" s="158" t="str">
        <v/>
      </c>
      <c r="T446" s="158" t="str">
        <v/>
      </c>
      <c r="U446" s="158" t="str">
        <v/>
      </c>
      <c r="V446" s="158" t="str">
        <v/>
      </c>
      <c r="W446" s="158" t="str">
        <v/>
      </c>
      <c r="X446" s="158" t="str">
        <v/>
      </c>
      <c r="Y446" s="158" t="str">
        <v/>
      </c>
      <c r="Z446" s="158" t="str">
        <v/>
      </c>
      <c r="AA446" s="158" t="e">
        <v>#VALUE!</v>
      </c>
      <c r="AB446" s="171" t="str">
        <v/>
      </c>
      <c r="AC446" s="158" t="str">
        <v/>
      </c>
      <c r="AD446" s="173" t="str">
        <f ca="1">IFERROR(__xludf.DUMMYFUNCTION("""COMPUTED_VALUE"""),"2025-09")</f>
        <v>2025-09</v>
      </c>
      <c r="AE446" s="154" t="str">
        <v/>
      </c>
      <c r="AF446" s="154" t="str">
        <v/>
      </c>
    </row>
    <row r="447" spans="1:32" ht="15">
      <c r="A447" s="176">
        <v>45913</v>
      </c>
      <c r="B447" s="145" t="s">
        <v>1229</v>
      </c>
      <c r="C447" s="169">
        <v>70</v>
      </c>
      <c r="D447" s="145">
        <v>0</v>
      </c>
      <c r="E447" s="145"/>
      <c r="F447" s="169" t="e">
        <v>#VALUE!</v>
      </c>
      <c r="G447" s="145"/>
      <c r="H447" s="145"/>
      <c r="I447" s="145"/>
      <c r="J447" s="145"/>
      <c r="K447" s="145"/>
      <c r="L447" s="145"/>
      <c r="M447" s="145"/>
      <c r="N447" s="145"/>
      <c r="O447" s="174"/>
      <c r="P447" s="174"/>
      <c r="Q447" s="158" t="str">
        <v/>
      </c>
      <c r="R447" s="158" t="str">
        <v/>
      </c>
      <c r="S447" s="158" t="str">
        <v/>
      </c>
      <c r="T447" s="158" t="str">
        <v/>
      </c>
      <c r="U447" s="158" t="str">
        <v/>
      </c>
      <c r="V447" s="158" t="str">
        <v/>
      </c>
      <c r="W447" s="158" t="str">
        <v/>
      </c>
      <c r="X447" s="158" t="str">
        <v/>
      </c>
      <c r="Y447" s="158" t="str">
        <v/>
      </c>
      <c r="Z447" s="158" t="str">
        <v/>
      </c>
      <c r="AA447" s="158" t="e">
        <v>#VALUE!</v>
      </c>
      <c r="AB447" s="171" t="str">
        <v/>
      </c>
      <c r="AC447" s="158" t="str">
        <v/>
      </c>
      <c r="AD447" s="173" t="str">
        <f ca="1">IFERROR(__xludf.DUMMYFUNCTION("""COMPUTED_VALUE"""),"2025-09")</f>
        <v>2025-09</v>
      </c>
      <c r="AE447" s="154" t="str">
        <v/>
      </c>
      <c r="AF447" s="154" t="str">
        <v/>
      </c>
    </row>
    <row r="448" spans="1:32" ht="15">
      <c r="A448" s="176">
        <v>45914</v>
      </c>
      <c r="B448" s="145" t="s">
        <v>12901</v>
      </c>
      <c r="C448" s="169">
        <v>24042</v>
      </c>
      <c r="D448" s="145">
        <v>0</v>
      </c>
      <c r="E448" s="145"/>
      <c r="F448" s="169" t="e">
        <v>#VALUE!</v>
      </c>
      <c r="G448" s="145"/>
      <c r="H448" s="145"/>
      <c r="I448" s="145"/>
      <c r="J448" s="145"/>
      <c r="K448" s="145"/>
      <c r="L448" s="145"/>
      <c r="M448" s="145"/>
      <c r="N448" s="145"/>
      <c r="O448" s="174"/>
      <c r="P448" s="174"/>
      <c r="Q448" s="158" t="str">
        <v/>
      </c>
      <c r="R448" s="158" t="str">
        <v/>
      </c>
      <c r="S448" s="158" t="str">
        <v/>
      </c>
      <c r="T448" s="158" t="str">
        <v/>
      </c>
      <c r="U448" s="158" t="str">
        <v/>
      </c>
      <c r="V448" s="158" t="str">
        <v/>
      </c>
      <c r="W448" s="158" t="str">
        <v/>
      </c>
      <c r="X448" s="158" t="str">
        <v/>
      </c>
      <c r="Y448" s="158" t="str">
        <v/>
      </c>
      <c r="Z448" s="158" t="str">
        <v/>
      </c>
      <c r="AA448" s="158" t="e">
        <v>#VALUE!</v>
      </c>
      <c r="AB448" s="171" t="str">
        <v/>
      </c>
      <c r="AC448" s="158" t="str">
        <v/>
      </c>
      <c r="AD448" s="173" t="str">
        <f ca="1">IFERROR(__xludf.DUMMYFUNCTION("""COMPUTED_VALUE"""),"2025-09")</f>
        <v>2025-09</v>
      </c>
      <c r="AE448" s="154" t="str">
        <v/>
      </c>
      <c r="AF448" s="154" t="str">
        <v/>
      </c>
    </row>
    <row r="449" spans="1:32" ht="15">
      <c r="A449" s="176">
        <v>45914</v>
      </c>
      <c r="B449" s="145" t="s">
        <v>12900</v>
      </c>
      <c r="C449" s="169">
        <v>11510</v>
      </c>
      <c r="D449" s="145">
        <v>1</v>
      </c>
      <c r="E449" s="145"/>
      <c r="F449" s="169" t="e">
        <v>#VALUE!</v>
      </c>
      <c r="G449" s="145"/>
      <c r="H449" s="145"/>
      <c r="I449" s="145"/>
      <c r="J449" s="145"/>
      <c r="K449" s="145"/>
      <c r="L449" s="145"/>
      <c r="M449" s="145"/>
      <c r="N449" s="145"/>
      <c r="O449" s="174"/>
      <c r="P449" s="174"/>
      <c r="Q449" s="158" t="str">
        <v/>
      </c>
      <c r="R449" s="158" t="str">
        <v/>
      </c>
      <c r="S449" s="158" t="str">
        <v/>
      </c>
      <c r="T449" s="158" t="str">
        <v/>
      </c>
      <c r="U449" s="158" t="str">
        <v/>
      </c>
      <c r="V449" s="158" t="str">
        <v/>
      </c>
      <c r="W449" s="158" t="str">
        <v/>
      </c>
      <c r="X449" s="158" t="str">
        <v/>
      </c>
      <c r="Y449" s="158" t="str">
        <v/>
      </c>
      <c r="Z449" s="158" t="str">
        <v/>
      </c>
      <c r="AA449" s="158" t="e">
        <v>#VALUE!</v>
      </c>
      <c r="AB449" s="171" t="str">
        <v/>
      </c>
      <c r="AC449" s="158">
        <v>11510</v>
      </c>
      <c r="AD449" s="173" t="str">
        <f ca="1">IFERROR(__xludf.DUMMYFUNCTION("""COMPUTED_VALUE"""),"2025-09")</f>
        <v>2025-09</v>
      </c>
      <c r="AE449" s="154" t="str">
        <v/>
      </c>
      <c r="AF449" s="154" t="str">
        <v/>
      </c>
    </row>
    <row r="450" spans="1:32" ht="15">
      <c r="A450" s="176">
        <v>45914</v>
      </c>
      <c r="B450" s="145" t="s">
        <v>12898</v>
      </c>
      <c r="C450" s="169">
        <v>50497</v>
      </c>
      <c r="D450" s="145">
        <v>8</v>
      </c>
      <c r="E450" s="145"/>
      <c r="F450" s="169" t="e">
        <v>#VALUE!</v>
      </c>
      <c r="G450" s="145"/>
      <c r="H450" s="145"/>
      <c r="I450" s="145"/>
      <c r="J450" s="145"/>
      <c r="K450" s="145"/>
      <c r="L450" s="145"/>
      <c r="M450" s="145"/>
      <c r="N450" s="145"/>
      <c r="O450" s="174"/>
      <c r="P450" s="174"/>
      <c r="Q450" s="158" t="str">
        <v/>
      </c>
      <c r="R450" s="158" t="str">
        <v/>
      </c>
      <c r="S450" s="158" t="str">
        <v/>
      </c>
      <c r="T450" s="158" t="str">
        <v/>
      </c>
      <c r="U450" s="158" t="str">
        <v/>
      </c>
      <c r="V450" s="158" t="str">
        <v/>
      </c>
      <c r="W450" s="158" t="str">
        <v/>
      </c>
      <c r="X450" s="158" t="str">
        <v/>
      </c>
      <c r="Y450" s="158" t="str">
        <v/>
      </c>
      <c r="Z450" s="158" t="str">
        <v/>
      </c>
      <c r="AA450" s="158" t="e">
        <v>#VALUE!</v>
      </c>
      <c r="AB450" s="171" t="str">
        <v/>
      </c>
      <c r="AC450" s="158">
        <v>6312.125</v>
      </c>
      <c r="AD450" s="173" t="str">
        <f ca="1">IFERROR(__xludf.DUMMYFUNCTION("""COMPUTED_VALUE"""),"2025-09")</f>
        <v>2025-09</v>
      </c>
      <c r="AE450" s="154" t="str">
        <v/>
      </c>
      <c r="AF450" s="154" t="str">
        <v/>
      </c>
    </row>
    <row r="451" spans="1:32" ht="15">
      <c r="A451" s="176">
        <v>45915</v>
      </c>
      <c r="B451" s="145" t="s">
        <v>12901</v>
      </c>
      <c r="C451" s="169">
        <v>134518</v>
      </c>
      <c r="D451" s="145">
        <v>17</v>
      </c>
      <c r="E451" s="145"/>
      <c r="F451" s="169" t="e">
        <v>#VALUE!</v>
      </c>
      <c r="G451" s="145"/>
      <c r="H451" s="145"/>
      <c r="I451" s="145"/>
      <c r="J451" s="145"/>
      <c r="K451" s="145"/>
      <c r="L451" s="145"/>
      <c r="M451" s="145"/>
      <c r="N451" s="145"/>
      <c r="O451" s="174"/>
      <c r="P451" s="174"/>
      <c r="Q451" s="158" t="str">
        <v/>
      </c>
      <c r="R451" s="158" t="str">
        <v/>
      </c>
      <c r="S451" s="158" t="str">
        <v/>
      </c>
      <c r="T451" s="158" t="str">
        <v/>
      </c>
      <c r="U451" s="158" t="str">
        <v/>
      </c>
      <c r="V451" s="158" t="str">
        <v/>
      </c>
      <c r="W451" s="158" t="str">
        <v/>
      </c>
      <c r="X451" s="158" t="str">
        <v/>
      </c>
      <c r="Y451" s="158" t="str">
        <v/>
      </c>
      <c r="Z451" s="158" t="str">
        <v/>
      </c>
      <c r="AA451" s="158" t="e">
        <v>#VALUE!</v>
      </c>
      <c r="AB451" s="171" t="str">
        <v/>
      </c>
      <c r="AC451" s="158">
        <v>7912.8235294117649</v>
      </c>
      <c r="AD451" s="173" t="str">
        <f ca="1">IFERROR(__xludf.DUMMYFUNCTION("""COMPUTED_VALUE"""),"2025-09")</f>
        <v>2025-09</v>
      </c>
      <c r="AE451" s="154" t="str">
        <v/>
      </c>
      <c r="AF451" s="154" t="str">
        <v/>
      </c>
    </row>
    <row r="452" spans="1:32" ht="15">
      <c r="A452" s="176">
        <v>45915</v>
      </c>
      <c r="B452" s="145" t="s">
        <v>12900</v>
      </c>
      <c r="C452" s="169">
        <v>767</v>
      </c>
      <c r="D452" s="145">
        <v>0</v>
      </c>
      <c r="E452" s="145"/>
      <c r="F452" s="169" t="e">
        <v>#VALUE!</v>
      </c>
      <c r="G452" s="145"/>
      <c r="H452" s="145"/>
      <c r="I452" s="145"/>
      <c r="J452" s="145"/>
      <c r="K452" s="145"/>
      <c r="L452" s="145"/>
      <c r="M452" s="145"/>
      <c r="N452" s="145"/>
      <c r="O452" s="174"/>
      <c r="P452" s="174"/>
      <c r="Q452" s="158" t="str">
        <v/>
      </c>
      <c r="R452" s="158" t="str">
        <v/>
      </c>
      <c r="S452" s="158" t="str">
        <v/>
      </c>
      <c r="T452" s="158" t="str">
        <v/>
      </c>
      <c r="U452" s="158" t="str">
        <v/>
      </c>
      <c r="V452" s="158" t="str">
        <v/>
      </c>
      <c r="W452" s="158" t="str">
        <v/>
      </c>
      <c r="X452" s="158" t="str">
        <v/>
      </c>
      <c r="Y452" s="158" t="str">
        <v/>
      </c>
      <c r="Z452" s="158" t="str">
        <v/>
      </c>
      <c r="AA452" s="158" t="e">
        <v>#VALUE!</v>
      </c>
      <c r="AB452" s="171" t="str">
        <v/>
      </c>
      <c r="AC452" s="158" t="str">
        <v/>
      </c>
      <c r="AD452" s="173" t="str">
        <f ca="1">IFERROR(__xludf.DUMMYFUNCTION("""COMPUTED_VALUE"""),"2025-09")</f>
        <v>2025-09</v>
      </c>
      <c r="AE452" s="154" t="str">
        <v/>
      </c>
      <c r="AF452" s="154" t="str">
        <v/>
      </c>
    </row>
    <row r="453" spans="1:32" ht="15">
      <c r="A453" s="176">
        <v>45915</v>
      </c>
      <c r="B453" s="145" t="s">
        <v>12899</v>
      </c>
      <c r="C453" s="169">
        <v>8515</v>
      </c>
      <c r="D453" s="145">
        <v>1</v>
      </c>
      <c r="E453" s="145"/>
      <c r="F453" s="169" t="e">
        <v>#VALUE!</v>
      </c>
      <c r="G453" s="145"/>
      <c r="H453" s="145"/>
      <c r="I453" s="145"/>
      <c r="J453" s="145"/>
      <c r="K453" s="145"/>
      <c r="L453" s="145"/>
      <c r="M453" s="145"/>
      <c r="N453" s="145"/>
      <c r="O453" s="174"/>
      <c r="P453" s="174"/>
      <c r="Q453" s="158" t="str">
        <v/>
      </c>
      <c r="R453" s="158" t="str">
        <v/>
      </c>
      <c r="S453" s="158" t="str">
        <v/>
      </c>
      <c r="T453" s="158" t="str">
        <v/>
      </c>
      <c r="U453" s="158" t="str">
        <v/>
      </c>
      <c r="V453" s="158" t="str">
        <v/>
      </c>
      <c r="W453" s="158" t="str">
        <v/>
      </c>
      <c r="X453" s="158" t="str">
        <v/>
      </c>
      <c r="Y453" s="158" t="str">
        <v/>
      </c>
      <c r="Z453" s="158" t="str">
        <v/>
      </c>
      <c r="AA453" s="158" t="e">
        <v>#VALUE!</v>
      </c>
      <c r="AB453" s="171" t="str">
        <v/>
      </c>
      <c r="AC453" s="158">
        <v>8515</v>
      </c>
      <c r="AD453" s="173" t="str">
        <f ca="1">IFERROR(__xludf.DUMMYFUNCTION("""COMPUTED_VALUE"""),"2025-09")</f>
        <v>2025-09</v>
      </c>
      <c r="AE453" s="154" t="str">
        <v/>
      </c>
      <c r="AF453" s="154" t="str">
        <v/>
      </c>
    </row>
    <row r="454" spans="1:32" ht="15">
      <c r="A454" s="176">
        <v>45915</v>
      </c>
      <c r="B454" s="145" t="s">
        <v>12898</v>
      </c>
      <c r="C454" s="169">
        <v>8040</v>
      </c>
      <c r="D454" s="145">
        <v>0</v>
      </c>
      <c r="E454" s="145"/>
      <c r="F454" s="169" t="e">
        <v>#VALUE!</v>
      </c>
      <c r="G454" s="145"/>
      <c r="H454" s="145"/>
      <c r="I454" s="145"/>
      <c r="J454" s="145"/>
      <c r="K454" s="145"/>
      <c r="L454" s="145"/>
      <c r="M454" s="145"/>
      <c r="N454" s="145"/>
      <c r="O454" s="174"/>
      <c r="P454" s="174"/>
      <c r="Q454" s="158" t="str">
        <v/>
      </c>
      <c r="R454" s="158" t="str">
        <v/>
      </c>
      <c r="S454" s="158" t="str">
        <v/>
      </c>
      <c r="T454" s="158" t="str">
        <v/>
      </c>
      <c r="U454" s="158" t="str">
        <v/>
      </c>
      <c r="V454" s="158" t="str">
        <v/>
      </c>
      <c r="W454" s="158" t="str">
        <v/>
      </c>
      <c r="X454" s="158" t="str">
        <v/>
      </c>
      <c r="Y454" s="158" t="str">
        <v/>
      </c>
      <c r="Z454" s="158" t="str">
        <v/>
      </c>
      <c r="AA454" s="158" t="e">
        <v>#VALUE!</v>
      </c>
      <c r="AB454" s="171" t="str">
        <v/>
      </c>
      <c r="AC454" s="158" t="str">
        <v/>
      </c>
      <c r="AD454" s="173" t="str">
        <f ca="1">IFERROR(__xludf.DUMMYFUNCTION("""COMPUTED_VALUE"""),"2025-09")</f>
        <v>2025-09</v>
      </c>
      <c r="AE454" s="154" t="str">
        <v/>
      </c>
      <c r="AF454" s="154" t="str">
        <v/>
      </c>
    </row>
    <row r="455" spans="1:32" ht="15">
      <c r="A455" s="176">
        <v>45915</v>
      </c>
      <c r="B455" s="145" t="s">
        <v>1774</v>
      </c>
      <c r="C455" s="169">
        <v>3</v>
      </c>
      <c r="D455" s="145">
        <v>0</v>
      </c>
      <c r="E455" s="145"/>
      <c r="F455" s="169" t="e">
        <v>#VALUE!</v>
      </c>
      <c r="G455" s="145"/>
      <c r="H455" s="145"/>
      <c r="I455" s="145"/>
      <c r="J455" s="145"/>
      <c r="K455" s="145"/>
      <c r="L455" s="145"/>
      <c r="M455" s="145"/>
      <c r="N455" s="145"/>
      <c r="O455" s="174"/>
      <c r="P455" s="174"/>
      <c r="Q455" s="158" t="str">
        <v/>
      </c>
      <c r="R455" s="158" t="str">
        <v/>
      </c>
      <c r="S455" s="158" t="str">
        <v/>
      </c>
      <c r="T455" s="158" t="str">
        <v/>
      </c>
      <c r="U455" s="158" t="str">
        <v/>
      </c>
      <c r="V455" s="158" t="str">
        <v/>
      </c>
      <c r="W455" s="158" t="str">
        <v/>
      </c>
      <c r="X455" s="158" t="str">
        <v/>
      </c>
      <c r="Y455" s="158" t="str">
        <v/>
      </c>
      <c r="Z455" s="158" t="str">
        <v/>
      </c>
      <c r="AA455" s="158" t="e">
        <v>#VALUE!</v>
      </c>
      <c r="AB455" s="171" t="str">
        <v/>
      </c>
      <c r="AC455" s="158" t="str">
        <v/>
      </c>
      <c r="AD455" s="173" t="str">
        <f ca="1">IFERROR(__xludf.DUMMYFUNCTION("""COMPUTED_VALUE"""),"2025-09")</f>
        <v>2025-09</v>
      </c>
      <c r="AE455" s="154" t="str">
        <v/>
      </c>
      <c r="AF455" s="154" t="str">
        <v/>
      </c>
    </row>
    <row r="456" spans="1:32" ht="15">
      <c r="A456" s="176">
        <v>45915</v>
      </c>
      <c r="B456" s="145" t="s">
        <v>12897</v>
      </c>
      <c r="C456" s="169">
        <v>191</v>
      </c>
      <c r="D456" s="145">
        <v>0</v>
      </c>
      <c r="E456" s="145"/>
      <c r="F456" s="169" t="e">
        <v>#VALUE!</v>
      </c>
      <c r="G456" s="145"/>
      <c r="H456" s="145"/>
      <c r="I456" s="145"/>
      <c r="J456" s="145"/>
      <c r="K456" s="145"/>
      <c r="L456" s="145"/>
      <c r="M456" s="145"/>
      <c r="N456" s="145"/>
      <c r="O456" s="174"/>
      <c r="P456" s="174"/>
      <c r="Q456" s="158" t="str">
        <v/>
      </c>
      <c r="R456" s="158" t="str">
        <v/>
      </c>
      <c r="S456" s="158" t="str">
        <v/>
      </c>
      <c r="T456" s="158" t="str">
        <v/>
      </c>
      <c r="U456" s="158" t="str">
        <v/>
      </c>
      <c r="V456" s="158" t="str">
        <v/>
      </c>
      <c r="W456" s="158" t="str">
        <v/>
      </c>
      <c r="X456" s="158" t="str">
        <v/>
      </c>
      <c r="Y456" s="158" t="str">
        <v/>
      </c>
      <c r="Z456" s="158" t="str">
        <v/>
      </c>
      <c r="AA456" s="158" t="e">
        <v>#VALUE!</v>
      </c>
      <c r="AB456" s="171" t="str">
        <v/>
      </c>
      <c r="AC456" s="158" t="str">
        <v/>
      </c>
      <c r="AD456" s="173" t="str">
        <f ca="1">IFERROR(__xludf.DUMMYFUNCTION("""COMPUTED_VALUE"""),"2025-09")</f>
        <v>2025-09</v>
      </c>
      <c r="AE456" s="154" t="str">
        <v/>
      </c>
      <c r="AF456" s="154" t="str">
        <v/>
      </c>
    </row>
    <row r="457" spans="1:32" ht="15">
      <c r="A457" s="176">
        <v>45915</v>
      </c>
      <c r="B457" s="145" t="s">
        <v>1229</v>
      </c>
      <c r="C457" s="169">
        <v>128</v>
      </c>
      <c r="D457" s="145">
        <v>0</v>
      </c>
      <c r="E457" s="145"/>
      <c r="F457" s="169" t="e">
        <v>#VALUE!</v>
      </c>
      <c r="G457" s="145"/>
      <c r="H457" s="145"/>
      <c r="I457" s="145"/>
      <c r="J457" s="145"/>
      <c r="K457" s="145"/>
      <c r="L457" s="145"/>
      <c r="M457" s="145"/>
      <c r="N457" s="145"/>
      <c r="O457" s="174"/>
      <c r="P457" s="174"/>
      <c r="Q457" s="158" t="str">
        <v/>
      </c>
      <c r="R457" s="158" t="str">
        <v/>
      </c>
      <c r="S457" s="158" t="str">
        <v/>
      </c>
      <c r="T457" s="158" t="str">
        <v/>
      </c>
      <c r="U457" s="158" t="str">
        <v/>
      </c>
      <c r="V457" s="158" t="str">
        <v/>
      </c>
      <c r="W457" s="158" t="str">
        <v/>
      </c>
      <c r="X457" s="158" t="str">
        <v/>
      </c>
      <c r="Y457" s="158" t="str">
        <v/>
      </c>
      <c r="Z457" s="158" t="str">
        <v/>
      </c>
      <c r="AA457" s="158" t="e">
        <v>#VALUE!</v>
      </c>
      <c r="AB457" s="171" t="str">
        <v/>
      </c>
      <c r="AC457" s="158" t="str">
        <v/>
      </c>
      <c r="AD457" s="173" t="str">
        <f ca="1">IFERROR(__xludf.DUMMYFUNCTION("""COMPUTED_VALUE"""),"2025-09")</f>
        <v>2025-09</v>
      </c>
      <c r="AE457" s="154" t="str">
        <v/>
      </c>
      <c r="AF457" s="154" t="str">
        <v/>
      </c>
    </row>
    <row r="458" spans="1:32" ht="15">
      <c r="A458" s="176">
        <v>45916</v>
      </c>
      <c r="B458" s="145" t="s">
        <v>12901</v>
      </c>
      <c r="C458" s="169">
        <v>82653</v>
      </c>
      <c r="D458" s="145">
        <v>12</v>
      </c>
      <c r="E458" s="145"/>
      <c r="F458" s="169" t="e">
        <v>#VALUE!</v>
      </c>
      <c r="G458" s="145"/>
      <c r="H458" s="145"/>
      <c r="I458" s="145"/>
      <c r="J458" s="145"/>
      <c r="K458" s="145"/>
      <c r="L458" s="145"/>
      <c r="M458" s="145"/>
      <c r="N458" s="145"/>
      <c r="O458" s="174"/>
      <c r="P458" s="174"/>
      <c r="Q458" s="158" t="str">
        <v/>
      </c>
      <c r="R458" s="158" t="str">
        <v/>
      </c>
      <c r="S458" s="158" t="str">
        <v/>
      </c>
      <c r="T458" s="158" t="str">
        <v/>
      </c>
      <c r="U458" s="158" t="str">
        <v/>
      </c>
      <c r="V458" s="158" t="str">
        <v/>
      </c>
      <c r="W458" s="158" t="str">
        <v/>
      </c>
      <c r="X458" s="158" t="str">
        <v/>
      </c>
      <c r="Y458" s="158" t="str">
        <v/>
      </c>
      <c r="Z458" s="158" t="str">
        <v/>
      </c>
      <c r="AA458" s="158" t="e">
        <v>#VALUE!</v>
      </c>
      <c r="AB458" s="171" t="str">
        <v/>
      </c>
      <c r="AC458" s="158">
        <v>6887.75</v>
      </c>
      <c r="AD458" s="173" t="str">
        <f ca="1">IFERROR(__xludf.DUMMYFUNCTION("""COMPUTED_VALUE"""),"2025-09")</f>
        <v>2025-09</v>
      </c>
      <c r="AE458" s="154" t="str">
        <v/>
      </c>
      <c r="AF458" s="154" t="str">
        <v/>
      </c>
    </row>
    <row r="459" spans="1:32" ht="15">
      <c r="A459" s="176">
        <v>45916</v>
      </c>
      <c r="B459" s="145" t="s">
        <v>12900</v>
      </c>
      <c r="C459" s="169">
        <v>913</v>
      </c>
      <c r="D459" s="145">
        <v>0</v>
      </c>
      <c r="E459" s="145"/>
      <c r="F459" s="169" t="e">
        <v>#VALUE!</v>
      </c>
      <c r="G459" s="145"/>
      <c r="H459" s="145"/>
      <c r="I459" s="145"/>
      <c r="J459" s="145"/>
      <c r="K459" s="145"/>
      <c r="L459" s="145"/>
      <c r="M459" s="145"/>
      <c r="N459" s="145"/>
      <c r="O459" s="174"/>
      <c r="P459" s="174"/>
      <c r="Q459" s="158" t="str">
        <v/>
      </c>
      <c r="R459" s="158" t="str">
        <v/>
      </c>
      <c r="S459" s="158" t="str">
        <v/>
      </c>
      <c r="T459" s="158" t="str">
        <v/>
      </c>
      <c r="U459" s="158" t="str">
        <v/>
      </c>
      <c r="V459" s="158" t="str">
        <v/>
      </c>
      <c r="W459" s="158" t="str">
        <v/>
      </c>
      <c r="X459" s="158" t="str">
        <v/>
      </c>
      <c r="Y459" s="158" t="str">
        <v/>
      </c>
      <c r="Z459" s="158" t="str">
        <v/>
      </c>
      <c r="AA459" s="158" t="e">
        <v>#VALUE!</v>
      </c>
      <c r="AB459" s="171" t="str">
        <v/>
      </c>
      <c r="AC459" s="158" t="str">
        <v/>
      </c>
      <c r="AD459" s="173" t="str">
        <f ca="1">IFERROR(__xludf.DUMMYFUNCTION("""COMPUTED_VALUE"""),"2025-09")</f>
        <v>2025-09</v>
      </c>
      <c r="AE459" s="154" t="str">
        <v/>
      </c>
      <c r="AF459" s="154" t="str">
        <v/>
      </c>
    </row>
    <row r="460" spans="1:32" ht="15">
      <c r="A460" s="176">
        <v>45916</v>
      </c>
      <c r="B460" s="145" t="s">
        <v>12899</v>
      </c>
      <c r="C460" s="169">
        <v>19661</v>
      </c>
      <c r="D460" s="145">
        <v>2</v>
      </c>
      <c r="E460" s="145"/>
      <c r="F460" s="169" t="e">
        <v>#VALUE!</v>
      </c>
      <c r="G460" s="145"/>
      <c r="H460" s="145"/>
      <c r="I460" s="145"/>
      <c r="J460" s="145"/>
      <c r="K460" s="145"/>
      <c r="L460" s="145"/>
      <c r="M460" s="145"/>
      <c r="N460" s="145"/>
      <c r="O460" s="174"/>
      <c r="P460" s="174"/>
      <c r="Q460" s="158" t="str">
        <v/>
      </c>
      <c r="R460" s="158" t="str">
        <v/>
      </c>
      <c r="S460" s="158" t="str">
        <v/>
      </c>
      <c r="T460" s="158" t="str">
        <v/>
      </c>
      <c r="U460" s="158" t="str">
        <v/>
      </c>
      <c r="V460" s="158" t="str">
        <v/>
      </c>
      <c r="W460" s="158" t="str">
        <v/>
      </c>
      <c r="X460" s="158" t="str">
        <v/>
      </c>
      <c r="Y460" s="158" t="str">
        <v/>
      </c>
      <c r="Z460" s="158" t="str">
        <v/>
      </c>
      <c r="AA460" s="158" t="e">
        <v>#VALUE!</v>
      </c>
      <c r="AB460" s="171" t="str">
        <v/>
      </c>
      <c r="AC460" s="158">
        <v>9830.5</v>
      </c>
      <c r="AD460" s="173" t="str">
        <f ca="1">IFERROR(__xludf.DUMMYFUNCTION("""COMPUTED_VALUE"""),"2025-09")</f>
        <v>2025-09</v>
      </c>
      <c r="AE460" s="154" t="str">
        <v/>
      </c>
      <c r="AF460" s="154" t="str">
        <v/>
      </c>
    </row>
    <row r="461" spans="1:32" ht="15">
      <c r="A461" s="176">
        <v>45916</v>
      </c>
      <c r="B461" s="145" t="s">
        <v>12898</v>
      </c>
      <c r="C461" s="169">
        <v>94677</v>
      </c>
      <c r="D461" s="145">
        <v>19</v>
      </c>
      <c r="E461" s="145"/>
      <c r="F461" s="169" t="e">
        <v>#VALUE!</v>
      </c>
      <c r="G461" s="145"/>
      <c r="H461" s="145"/>
      <c r="I461" s="145"/>
      <c r="J461" s="145"/>
      <c r="K461" s="145"/>
      <c r="L461" s="145"/>
      <c r="M461" s="145"/>
      <c r="N461" s="145"/>
      <c r="O461" s="174"/>
      <c r="P461" s="174"/>
      <c r="Q461" s="158" t="str">
        <v/>
      </c>
      <c r="R461" s="158" t="str">
        <v/>
      </c>
      <c r="S461" s="158" t="str">
        <v/>
      </c>
      <c r="T461" s="158" t="str">
        <v/>
      </c>
      <c r="U461" s="158" t="str">
        <v/>
      </c>
      <c r="V461" s="158" t="str">
        <v/>
      </c>
      <c r="W461" s="158" t="str">
        <v/>
      </c>
      <c r="X461" s="158" t="str">
        <v/>
      </c>
      <c r="Y461" s="158" t="str">
        <v/>
      </c>
      <c r="Z461" s="158" t="str">
        <v/>
      </c>
      <c r="AA461" s="158" t="e">
        <v>#VALUE!</v>
      </c>
      <c r="AB461" s="171" t="str">
        <v/>
      </c>
      <c r="AC461" s="158">
        <v>4983</v>
      </c>
      <c r="AD461" s="173" t="str">
        <f ca="1">IFERROR(__xludf.DUMMYFUNCTION("""COMPUTED_VALUE"""),"2025-09")</f>
        <v>2025-09</v>
      </c>
      <c r="AE461" s="154" t="str">
        <v/>
      </c>
      <c r="AF461" s="154" t="str">
        <v/>
      </c>
    </row>
    <row r="462" spans="1:32" ht="15">
      <c r="A462" s="176">
        <v>45916</v>
      </c>
      <c r="B462" s="145" t="s">
        <v>1774</v>
      </c>
      <c r="C462" s="169">
        <v>24</v>
      </c>
      <c r="D462" s="145">
        <v>0</v>
      </c>
      <c r="E462" s="145"/>
      <c r="F462" s="169" t="e">
        <v>#VALUE!</v>
      </c>
      <c r="G462" s="145"/>
      <c r="H462" s="145"/>
      <c r="I462" s="145"/>
      <c r="J462" s="145"/>
      <c r="K462" s="145"/>
      <c r="L462" s="145"/>
      <c r="M462" s="145"/>
      <c r="N462" s="145"/>
      <c r="O462" s="174"/>
      <c r="P462" s="174"/>
      <c r="Q462" s="158" t="str">
        <v/>
      </c>
      <c r="R462" s="158" t="str">
        <v/>
      </c>
      <c r="S462" s="158" t="str">
        <v/>
      </c>
      <c r="T462" s="158" t="str">
        <v/>
      </c>
      <c r="U462" s="158" t="str">
        <v/>
      </c>
      <c r="V462" s="158" t="str">
        <v/>
      </c>
      <c r="W462" s="158" t="str">
        <v/>
      </c>
      <c r="X462" s="158" t="str">
        <v/>
      </c>
      <c r="Y462" s="158" t="str">
        <v/>
      </c>
      <c r="Z462" s="158" t="str">
        <v/>
      </c>
      <c r="AA462" s="158" t="e">
        <v>#VALUE!</v>
      </c>
      <c r="AB462" s="171" t="str">
        <v/>
      </c>
      <c r="AC462" s="158" t="str">
        <v/>
      </c>
      <c r="AD462" s="173" t="str">
        <f ca="1">IFERROR(__xludf.DUMMYFUNCTION("""COMPUTED_VALUE"""),"2025-09")</f>
        <v>2025-09</v>
      </c>
      <c r="AE462" s="154" t="str">
        <v/>
      </c>
      <c r="AF462" s="154" t="str">
        <v/>
      </c>
    </row>
    <row r="463" spans="1:32" ht="15">
      <c r="A463" s="176">
        <v>45916</v>
      </c>
      <c r="B463" s="145" t="s">
        <v>12897</v>
      </c>
      <c r="C463" s="169">
        <v>2</v>
      </c>
      <c r="D463" s="145">
        <v>0</v>
      </c>
      <c r="E463" s="145"/>
      <c r="F463" s="169" t="e">
        <v>#VALUE!</v>
      </c>
      <c r="G463" s="145"/>
      <c r="H463" s="145"/>
      <c r="I463" s="145"/>
      <c r="J463" s="145"/>
      <c r="K463" s="145"/>
      <c r="L463" s="145"/>
      <c r="M463" s="145"/>
      <c r="N463" s="145"/>
      <c r="O463" s="174"/>
      <c r="P463" s="174"/>
      <c r="Q463" s="158" t="str">
        <v/>
      </c>
      <c r="R463" s="158" t="str">
        <v/>
      </c>
      <c r="S463" s="158" t="str">
        <v/>
      </c>
      <c r="T463" s="158" t="str">
        <v/>
      </c>
      <c r="U463" s="158" t="str">
        <v/>
      </c>
      <c r="V463" s="158" t="str">
        <v/>
      </c>
      <c r="W463" s="158" t="str">
        <v/>
      </c>
      <c r="X463" s="158" t="str">
        <v/>
      </c>
      <c r="Y463" s="158" t="str">
        <v/>
      </c>
      <c r="Z463" s="158" t="str">
        <v/>
      </c>
      <c r="AA463" s="158" t="e">
        <v>#VALUE!</v>
      </c>
      <c r="AB463" s="171" t="str">
        <v/>
      </c>
      <c r="AC463" s="158" t="str">
        <v/>
      </c>
      <c r="AD463" s="173" t="str">
        <f ca="1">IFERROR(__xludf.DUMMYFUNCTION("""COMPUTED_VALUE"""),"2025-09")</f>
        <v>2025-09</v>
      </c>
      <c r="AE463" s="154" t="str">
        <v/>
      </c>
      <c r="AF463" s="154" t="str">
        <v/>
      </c>
    </row>
    <row r="464" spans="1:32" ht="15">
      <c r="A464" s="176">
        <v>45916</v>
      </c>
      <c r="B464" s="145" t="s">
        <v>12896</v>
      </c>
      <c r="C464" s="169">
        <v>5</v>
      </c>
      <c r="D464" s="145">
        <v>0</v>
      </c>
      <c r="E464" s="145"/>
      <c r="F464" s="169" t="e">
        <v>#VALUE!</v>
      </c>
      <c r="G464" s="145"/>
      <c r="H464" s="145"/>
      <c r="I464" s="145"/>
      <c r="J464" s="145"/>
      <c r="K464" s="145"/>
      <c r="L464" s="145"/>
      <c r="M464" s="145"/>
      <c r="N464" s="145"/>
      <c r="O464" s="174"/>
      <c r="P464" s="174"/>
      <c r="Q464" s="158" t="str">
        <v/>
      </c>
      <c r="R464" s="158" t="str">
        <v/>
      </c>
      <c r="S464" s="158" t="str">
        <v/>
      </c>
      <c r="T464" s="158" t="str">
        <v/>
      </c>
      <c r="U464" s="158" t="str">
        <v/>
      </c>
      <c r="V464" s="158" t="str">
        <v/>
      </c>
      <c r="W464" s="158" t="str">
        <v/>
      </c>
      <c r="X464" s="158" t="str">
        <v/>
      </c>
      <c r="Y464" s="158" t="str">
        <v/>
      </c>
      <c r="Z464" s="158" t="str">
        <v/>
      </c>
      <c r="AA464" s="158" t="e">
        <v>#VALUE!</v>
      </c>
      <c r="AB464" s="171" t="str">
        <v/>
      </c>
      <c r="AC464" s="158" t="str">
        <v/>
      </c>
      <c r="AD464" s="173" t="str">
        <f ca="1">IFERROR(__xludf.DUMMYFUNCTION("""COMPUTED_VALUE"""),"2025-09")</f>
        <v>2025-09</v>
      </c>
      <c r="AE464" s="154" t="str">
        <v/>
      </c>
      <c r="AF464" s="154" t="str">
        <v/>
      </c>
    </row>
    <row r="465" spans="1:32" ht="15">
      <c r="A465" s="176">
        <v>45916</v>
      </c>
      <c r="B465" s="145" t="s">
        <v>1229</v>
      </c>
      <c r="C465" s="169">
        <v>386</v>
      </c>
      <c r="D465" s="145">
        <v>0</v>
      </c>
      <c r="E465" s="145"/>
      <c r="F465" s="169" t="e">
        <v>#VALUE!</v>
      </c>
      <c r="G465" s="145"/>
      <c r="H465" s="145"/>
      <c r="I465" s="145"/>
      <c r="J465" s="145"/>
      <c r="K465" s="145"/>
      <c r="L465" s="145"/>
      <c r="M465" s="145"/>
      <c r="N465" s="145"/>
      <c r="O465" s="174"/>
      <c r="P465" s="174"/>
      <c r="Q465" s="158" t="str">
        <v/>
      </c>
      <c r="R465" s="158" t="str">
        <v/>
      </c>
      <c r="S465" s="158" t="str">
        <v/>
      </c>
      <c r="T465" s="158" t="str">
        <v/>
      </c>
      <c r="U465" s="158" t="str">
        <v/>
      </c>
      <c r="V465" s="158" t="str">
        <v/>
      </c>
      <c r="W465" s="158" t="str">
        <v/>
      </c>
      <c r="X465" s="158" t="str">
        <v/>
      </c>
      <c r="Y465" s="158" t="str">
        <v/>
      </c>
      <c r="Z465" s="158" t="str">
        <v/>
      </c>
      <c r="AA465" s="158" t="e">
        <v>#VALUE!</v>
      </c>
      <c r="AB465" s="171" t="str">
        <v/>
      </c>
      <c r="AC465" s="158" t="str">
        <v/>
      </c>
      <c r="AD465" s="173" t="str">
        <f ca="1">IFERROR(__xludf.DUMMYFUNCTION("""COMPUTED_VALUE"""),"2025-09")</f>
        <v>2025-09</v>
      </c>
      <c r="AE465" s="154" t="str">
        <v/>
      </c>
      <c r="AF465" s="154" t="str">
        <v/>
      </c>
    </row>
    <row r="466" spans="1:32" ht="15">
      <c r="A466" s="176">
        <v>45917</v>
      </c>
      <c r="B466" s="145" t="s">
        <v>12902</v>
      </c>
      <c r="C466" s="169">
        <v>47722</v>
      </c>
      <c r="D466" s="145">
        <v>2</v>
      </c>
      <c r="E466" s="145"/>
      <c r="F466" s="169" t="e">
        <v>#VALUE!</v>
      </c>
      <c r="G466" s="145"/>
      <c r="H466" s="145"/>
      <c r="I466" s="145"/>
      <c r="J466" s="145"/>
      <c r="K466" s="145"/>
      <c r="L466" s="145"/>
      <c r="M466" s="145"/>
      <c r="N466" s="145"/>
      <c r="O466" s="174"/>
      <c r="P466" s="174"/>
      <c r="Q466" s="158" t="str">
        <v/>
      </c>
      <c r="R466" s="158" t="str">
        <v/>
      </c>
      <c r="S466" s="158" t="str">
        <v/>
      </c>
      <c r="T466" s="158" t="str">
        <v/>
      </c>
      <c r="U466" s="158" t="str">
        <v/>
      </c>
      <c r="V466" s="158" t="str">
        <v/>
      </c>
      <c r="W466" s="158" t="str">
        <v/>
      </c>
      <c r="X466" s="158" t="str">
        <v/>
      </c>
      <c r="Y466" s="158" t="str">
        <v/>
      </c>
      <c r="Z466" s="158" t="str">
        <v/>
      </c>
      <c r="AA466" s="158" t="e">
        <v>#VALUE!</v>
      </c>
      <c r="AB466" s="171" t="str">
        <v/>
      </c>
      <c r="AC466" s="158">
        <v>23861</v>
      </c>
      <c r="AD466" s="173" t="str">
        <f ca="1">IFERROR(__xludf.DUMMYFUNCTION("""COMPUTED_VALUE"""),"2025-09")</f>
        <v>2025-09</v>
      </c>
      <c r="AE466" s="154" t="str">
        <v/>
      </c>
      <c r="AF466" s="154" t="str">
        <v/>
      </c>
    </row>
    <row r="467" spans="1:32" ht="15">
      <c r="A467" s="176">
        <v>45917</v>
      </c>
      <c r="B467" s="145" t="s">
        <v>12903</v>
      </c>
      <c r="C467" s="169">
        <v>17273</v>
      </c>
      <c r="D467" s="145">
        <v>2</v>
      </c>
      <c r="E467" s="145"/>
      <c r="F467" s="169" t="e">
        <v>#VALUE!</v>
      </c>
      <c r="G467" s="145"/>
      <c r="H467" s="145"/>
      <c r="I467" s="145"/>
      <c r="J467" s="145"/>
      <c r="K467" s="145"/>
      <c r="L467" s="145"/>
      <c r="M467" s="145"/>
      <c r="N467" s="145"/>
      <c r="O467" s="174"/>
      <c r="P467" s="174"/>
      <c r="Q467" s="158" t="str">
        <v/>
      </c>
      <c r="R467" s="158" t="str">
        <v/>
      </c>
      <c r="S467" s="158" t="str">
        <v/>
      </c>
      <c r="T467" s="158" t="str">
        <v/>
      </c>
      <c r="U467" s="158" t="str">
        <v/>
      </c>
      <c r="V467" s="158" t="str">
        <v/>
      </c>
      <c r="W467" s="158" t="str">
        <v/>
      </c>
      <c r="X467" s="158" t="str">
        <v/>
      </c>
      <c r="Y467" s="158" t="str">
        <v/>
      </c>
      <c r="Z467" s="158" t="str">
        <v/>
      </c>
      <c r="AA467" s="158" t="e">
        <v>#VALUE!</v>
      </c>
      <c r="AB467" s="171" t="str">
        <v/>
      </c>
      <c r="AC467" s="158">
        <v>8636.5</v>
      </c>
      <c r="AD467" s="173" t="str">
        <f ca="1">IFERROR(__xludf.DUMMYFUNCTION("""COMPUTED_VALUE"""),"2025-09")</f>
        <v>2025-09</v>
      </c>
      <c r="AE467" s="154" t="str">
        <v/>
      </c>
      <c r="AF467" s="154" t="str">
        <v/>
      </c>
    </row>
    <row r="468" spans="1:32" ht="15">
      <c r="A468" s="176">
        <v>45917</v>
      </c>
      <c r="B468" s="145" t="s">
        <v>12900</v>
      </c>
      <c r="C468" s="169">
        <v>146506</v>
      </c>
      <c r="D468" s="145">
        <v>34</v>
      </c>
      <c r="E468" s="145"/>
      <c r="F468" s="169" t="e">
        <v>#VALUE!</v>
      </c>
      <c r="G468" s="145"/>
      <c r="H468" s="145"/>
      <c r="I468" s="145"/>
      <c r="J468" s="145"/>
      <c r="K468" s="145"/>
      <c r="L468" s="145"/>
      <c r="M468" s="145"/>
      <c r="N468" s="145"/>
      <c r="O468" s="174"/>
      <c r="P468" s="174"/>
      <c r="Q468" s="158" t="str">
        <v/>
      </c>
      <c r="R468" s="158" t="str">
        <v/>
      </c>
      <c r="S468" s="158" t="str">
        <v/>
      </c>
      <c r="T468" s="158" t="str">
        <v/>
      </c>
      <c r="U468" s="158" t="str">
        <v/>
      </c>
      <c r="V468" s="158" t="str">
        <v/>
      </c>
      <c r="W468" s="158" t="str">
        <v/>
      </c>
      <c r="X468" s="158" t="str">
        <v/>
      </c>
      <c r="Y468" s="158" t="str">
        <v/>
      </c>
      <c r="Z468" s="158" t="str">
        <v/>
      </c>
      <c r="AA468" s="158" t="e">
        <v>#VALUE!</v>
      </c>
      <c r="AB468" s="171" t="str">
        <v/>
      </c>
      <c r="AC468" s="158">
        <v>4309</v>
      </c>
      <c r="AD468" s="173" t="str">
        <f ca="1">IFERROR(__xludf.DUMMYFUNCTION("""COMPUTED_VALUE"""),"2025-09")</f>
        <v>2025-09</v>
      </c>
      <c r="AE468" s="154" t="str">
        <v/>
      </c>
      <c r="AF468" s="154" t="str">
        <v/>
      </c>
    </row>
    <row r="469" spans="1:32" ht="15">
      <c r="A469" s="176">
        <v>45917</v>
      </c>
      <c r="B469" s="145" t="s">
        <v>12898</v>
      </c>
      <c r="C469" s="169">
        <v>20099</v>
      </c>
      <c r="D469" s="145">
        <v>6</v>
      </c>
      <c r="E469" s="145"/>
      <c r="F469" s="169" t="e">
        <v>#VALUE!</v>
      </c>
      <c r="G469" s="145"/>
      <c r="H469" s="145"/>
      <c r="I469" s="145"/>
      <c r="J469" s="145"/>
      <c r="K469" s="145"/>
      <c r="L469" s="145"/>
      <c r="M469" s="145"/>
      <c r="N469" s="145"/>
      <c r="O469" s="174"/>
      <c r="P469" s="174"/>
      <c r="Q469" s="158" t="str">
        <v/>
      </c>
      <c r="R469" s="158" t="str">
        <v/>
      </c>
      <c r="S469" s="158" t="str">
        <v/>
      </c>
      <c r="T469" s="158" t="str">
        <v/>
      </c>
      <c r="U469" s="158" t="str">
        <v/>
      </c>
      <c r="V469" s="158" t="str">
        <v/>
      </c>
      <c r="W469" s="158" t="str">
        <v/>
      </c>
      <c r="X469" s="158" t="str">
        <v/>
      </c>
      <c r="Y469" s="158" t="str">
        <v/>
      </c>
      <c r="Z469" s="158" t="str">
        <v/>
      </c>
      <c r="AA469" s="158" t="e">
        <v>#VALUE!</v>
      </c>
      <c r="AB469" s="171" t="str">
        <v/>
      </c>
      <c r="AC469" s="158">
        <v>3349.8333333333335</v>
      </c>
      <c r="AD469" s="173" t="str">
        <f ca="1">IFERROR(__xludf.DUMMYFUNCTION("""COMPUTED_VALUE"""),"2025-09")</f>
        <v>2025-09</v>
      </c>
      <c r="AE469" s="154" t="str">
        <v/>
      </c>
      <c r="AF469" s="154" t="str">
        <v/>
      </c>
    </row>
    <row r="470" spans="1:32" ht="15">
      <c r="A470" s="176">
        <v>45918</v>
      </c>
      <c r="B470" s="145" t="s">
        <v>12902</v>
      </c>
      <c r="C470" s="169">
        <v>66259</v>
      </c>
      <c r="D470" s="145">
        <v>1</v>
      </c>
      <c r="E470" s="145"/>
      <c r="F470" s="169" t="e">
        <v>#VALUE!</v>
      </c>
      <c r="G470" s="145"/>
      <c r="H470" s="145"/>
      <c r="I470" s="145"/>
      <c r="J470" s="145"/>
      <c r="K470" s="145"/>
      <c r="L470" s="145"/>
      <c r="M470" s="145"/>
      <c r="N470" s="145"/>
      <c r="O470" s="174"/>
      <c r="P470" s="174"/>
      <c r="Q470" s="158" t="str">
        <v/>
      </c>
      <c r="R470" s="158" t="str">
        <v/>
      </c>
      <c r="S470" s="158" t="str">
        <v/>
      </c>
      <c r="T470" s="158" t="str">
        <v/>
      </c>
      <c r="U470" s="158" t="str">
        <v/>
      </c>
      <c r="V470" s="158" t="str">
        <v/>
      </c>
      <c r="W470" s="158" t="str">
        <v/>
      </c>
      <c r="X470" s="158" t="str">
        <v/>
      </c>
      <c r="Y470" s="158" t="str">
        <v/>
      </c>
      <c r="Z470" s="158" t="str">
        <v/>
      </c>
      <c r="AA470" s="158" t="e">
        <v>#VALUE!</v>
      </c>
      <c r="AB470" s="171" t="str">
        <v/>
      </c>
      <c r="AC470" s="158">
        <v>66259</v>
      </c>
      <c r="AD470" s="173" t="str">
        <f ca="1">IFERROR(__xludf.DUMMYFUNCTION("""COMPUTED_VALUE"""),"2025-09")</f>
        <v>2025-09</v>
      </c>
      <c r="AE470" s="154" t="str">
        <v/>
      </c>
      <c r="AF470" s="154" t="str">
        <v/>
      </c>
    </row>
    <row r="471" spans="1:32" ht="15">
      <c r="A471" s="176">
        <v>45918</v>
      </c>
      <c r="B471" s="145" t="s">
        <v>12903</v>
      </c>
      <c r="C471" s="169">
        <v>39714</v>
      </c>
      <c r="D471" s="145">
        <v>3</v>
      </c>
      <c r="E471" s="145"/>
      <c r="F471" s="169" t="e">
        <v>#VALUE!</v>
      </c>
      <c r="G471" s="145"/>
      <c r="H471" s="145"/>
      <c r="I471" s="145"/>
      <c r="J471" s="145"/>
      <c r="K471" s="145"/>
      <c r="L471" s="145"/>
      <c r="M471" s="145"/>
      <c r="N471" s="145"/>
      <c r="O471" s="174"/>
      <c r="P471" s="174"/>
      <c r="Q471" s="158" t="str">
        <v/>
      </c>
      <c r="R471" s="158" t="str">
        <v/>
      </c>
      <c r="S471" s="158" t="str">
        <v/>
      </c>
      <c r="T471" s="158" t="str">
        <v/>
      </c>
      <c r="U471" s="158" t="str">
        <v/>
      </c>
      <c r="V471" s="158" t="str">
        <v/>
      </c>
      <c r="W471" s="158" t="str">
        <v/>
      </c>
      <c r="X471" s="158" t="str">
        <v/>
      </c>
      <c r="Y471" s="158" t="str">
        <v/>
      </c>
      <c r="Z471" s="158" t="str">
        <v/>
      </c>
      <c r="AA471" s="158" t="e">
        <v>#VALUE!</v>
      </c>
      <c r="AB471" s="171" t="str">
        <v/>
      </c>
      <c r="AC471" s="158">
        <v>13238</v>
      </c>
      <c r="AD471" s="173" t="str">
        <f ca="1">IFERROR(__xludf.DUMMYFUNCTION("""COMPUTED_VALUE"""),"2025-09")</f>
        <v>2025-09</v>
      </c>
      <c r="AE471" s="154" t="str">
        <v/>
      </c>
      <c r="AF471" s="154" t="str">
        <v/>
      </c>
    </row>
    <row r="472" spans="1:32" ht="15">
      <c r="A472" s="176">
        <v>45918</v>
      </c>
      <c r="B472" s="145" t="s">
        <v>12901</v>
      </c>
      <c r="C472" s="169">
        <v>50297</v>
      </c>
      <c r="D472" s="145">
        <v>0</v>
      </c>
      <c r="E472" s="145"/>
      <c r="F472" s="169" t="e">
        <v>#VALUE!</v>
      </c>
      <c r="G472" s="145"/>
      <c r="H472" s="145"/>
      <c r="I472" s="145"/>
      <c r="J472" s="145"/>
      <c r="K472" s="145"/>
      <c r="L472" s="145"/>
      <c r="M472" s="145"/>
      <c r="N472" s="145"/>
      <c r="O472" s="174"/>
      <c r="P472" s="174"/>
      <c r="Q472" s="158" t="str">
        <v/>
      </c>
      <c r="R472" s="158" t="str">
        <v/>
      </c>
      <c r="S472" s="158" t="str">
        <v/>
      </c>
      <c r="T472" s="158" t="str">
        <v/>
      </c>
      <c r="U472" s="158" t="str">
        <v/>
      </c>
      <c r="V472" s="158" t="str">
        <v/>
      </c>
      <c r="W472" s="158" t="str">
        <v/>
      </c>
      <c r="X472" s="158" t="str">
        <v/>
      </c>
      <c r="Y472" s="158" t="str">
        <v/>
      </c>
      <c r="Z472" s="158" t="str">
        <v/>
      </c>
      <c r="AA472" s="158" t="e">
        <v>#VALUE!</v>
      </c>
      <c r="AB472" s="171" t="str">
        <v/>
      </c>
      <c r="AC472" s="158" t="str">
        <v/>
      </c>
      <c r="AD472" s="173" t="str">
        <f ca="1">IFERROR(__xludf.DUMMYFUNCTION("""COMPUTED_VALUE"""),"2025-09")</f>
        <v>2025-09</v>
      </c>
      <c r="AE472" s="154" t="str">
        <v/>
      </c>
      <c r="AF472" s="154" t="str">
        <v/>
      </c>
    </row>
    <row r="473" spans="1:32" ht="15">
      <c r="A473" s="176">
        <v>45918</v>
      </c>
      <c r="B473" s="145" t="s">
        <v>12900</v>
      </c>
      <c r="C473" s="169">
        <v>24625</v>
      </c>
      <c r="D473" s="145">
        <v>0</v>
      </c>
      <c r="E473" s="145"/>
      <c r="F473" s="169" t="e">
        <v>#VALUE!</v>
      </c>
      <c r="G473" s="145"/>
      <c r="H473" s="145"/>
      <c r="I473" s="145"/>
      <c r="J473" s="145"/>
      <c r="K473" s="145"/>
      <c r="L473" s="145"/>
      <c r="M473" s="145"/>
      <c r="N473" s="145"/>
      <c r="O473" s="174"/>
      <c r="P473" s="174"/>
      <c r="Q473" s="158" t="str">
        <v/>
      </c>
      <c r="R473" s="158" t="str">
        <v/>
      </c>
      <c r="S473" s="158" t="str">
        <v/>
      </c>
      <c r="T473" s="158" t="str">
        <v/>
      </c>
      <c r="U473" s="158" t="str">
        <v/>
      </c>
      <c r="V473" s="158" t="str">
        <v/>
      </c>
      <c r="W473" s="158" t="str">
        <v/>
      </c>
      <c r="X473" s="158" t="str">
        <v/>
      </c>
      <c r="Y473" s="158" t="str">
        <v/>
      </c>
      <c r="Z473" s="158" t="str">
        <v/>
      </c>
      <c r="AA473" s="158" t="e">
        <v>#VALUE!</v>
      </c>
      <c r="AB473" s="171" t="str">
        <v/>
      </c>
      <c r="AC473" s="158" t="str">
        <v/>
      </c>
      <c r="AD473" s="173" t="str">
        <f ca="1">IFERROR(__xludf.DUMMYFUNCTION("""COMPUTED_VALUE"""),"2025-09")</f>
        <v>2025-09</v>
      </c>
      <c r="AE473" s="154" t="str">
        <v/>
      </c>
      <c r="AF473" s="154" t="str">
        <v/>
      </c>
    </row>
    <row r="474" spans="1:32" ht="15">
      <c r="A474" s="176">
        <v>45918</v>
      </c>
      <c r="B474" s="145" t="s">
        <v>12899</v>
      </c>
      <c r="C474" s="169">
        <v>89370</v>
      </c>
      <c r="D474" s="145">
        <v>1</v>
      </c>
      <c r="E474" s="145"/>
      <c r="F474" s="169" t="e">
        <v>#VALUE!</v>
      </c>
      <c r="G474" s="145"/>
      <c r="H474" s="145"/>
      <c r="I474" s="145"/>
      <c r="J474" s="145"/>
      <c r="K474" s="145"/>
      <c r="L474" s="145"/>
      <c r="M474" s="145"/>
      <c r="N474" s="145"/>
      <c r="O474" s="174"/>
      <c r="P474" s="174"/>
      <c r="Q474" s="158" t="str">
        <v/>
      </c>
      <c r="R474" s="158" t="str">
        <v/>
      </c>
      <c r="S474" s="158" t="str">
        <v/>
      </c>
      <c r="T474" s="158" t="str">
        <v/>
      </c>
      <c r="U474" s="158" t="str">
        <v/>
      </c>
      <c r="V474" s="158" t="str">
        <v/>
      </c>
      <c r="W474" s="158" t="str">
        <v/>
      </c>
      <c r="X474" s="158" t="str">
        <v/>
      </c>
      <c r="Y474" s="158" t="str">
        <v/>
      </c>
      <c r="Z474" s="158" t="str">
        <v/>
      </c>
      <c r="AA474" s="158" t="e">
        <v>#VALUE!</v>
      </c>
      <c r="AB474" s="171" t="str">
        <v/>
      </c>
      <c r="AC474" s="158">
        <v>89370</v>
      </c>
      <c r="AD474" s="173" t="str">
        <f ca="1">IFERROR(__xludf.DUMMYFUNCTION("""COMPUTED_VALUE"""),"2025-09")</f>
        <v>2025-09</v>
      </c>
      <c r="AE474" s="154" t="str">
        <v/>
      </c>
      <c r="AF474" s="154" t="str">
        <v/>
      </c>
    </row>
    <row r="475" spans="1:32" ht="15">
      <c r="A475" s="176">
        <v>45918</v>
      </c>
      <c r="B475" s="145" t="s">
        <v>12898</v>
      </c>
      <c r="C475" s="169">
        <v>23041</v>
      </c>
      <c r="D475" s="145">
        <v>0</v>
      </c>
      <c r="E475" s="145"/>
      <c r="F475" s="169" t="e">
        <v>#VALUE!</v>
      </c>
      <c r="G475" s="145"/>
      <c r="H475" s="145"/>
      <c r="I475" s="145"/>
      <c r="J475" s="145"/>
      <c r="K475" s="145"/>
      <c r="L475" s="145"/>
      <c r="M475" s="145"/>
      <c r="N475" s="145"/>
      <c r="O475" s="174"/>
      <c r="P475" s="174"/>
      <c r="Q475" s="158" t="str">
        <v/>
      </c>
      <c r="R475" s="158" t="str">
        <v/>
      </c>
      <c r="S475" s="158" t="str">
        <v/>
      </c>
      <c r="T475" s="158" t="str">
        <v/>
      </c>
      <c r="U475" s="158" t="str">
        <v/>
      </c>
      <c r="V475" s="158" t="str">
        <v/>
      </c>
      <c r="W475" s="158" t="str">
        <v/>
      </c>
      <c r="X475" s="158" t="str">
        <v/>
      </c>
      <c r="Y475" s="158" t="str">
        <v/>
      </c>
      <c r="Z475" s="158" t="str">
        <v/>
      </c>
      <c r="AA475" s="158" t="e">
        <v>#VALUE!</v>
      </c>
      <c r="AB475" s="171" t="str">
        <v/>
      </c>
      <c r="AC475" s="158" t="str">
        <v/>
      </c>
      <c r="AD475" s="173" t="str">
        <f ca="1">IFERROR(__xludf.DUMMYFUNCTION("""COMPUTED_VALUE"""),"2025-09")</f>
        <v>2025-09</v>
      </c>
      <c r="AE475" s="154" t="str">
        <v/>
      </c>
      <c r="AF475" s="154" t="str">
        <v/>
      </c>
    </row>
    <row r="476" spans="1:32" ht="15">
      <c r="A476" s="176">
        <v>45922</v>
      </c>
      <c r="B476" s="145" t="s">
        <v>12898</v>
      </c>
      <c r="C476" s="169">
        <v>24550</v>
      </c>
      <c r="D476" s="145">
        <v>4</v>
      </c>
      <c r="E476" s="145"/>
      <c r="F476" s="169" t="e">
        <v>#VALUE!</v>
      </c>
      <c r="G476" s="145"/>
      <c r="H476" s="145"/>
      <c r="I476" s="145"/>
      <c r="J476" s="145"/>
      <c r="K476" s="145"/>
      <c r="L476" s="145"/>
      <c r="M476" s="145"/>
      <c r="N476" s="145"/>
      <c r="O476" s="174"/>
      <c r="P476" s="174"/>
      <c r="Q476" s="158" t="str">
        <v/>
      </c>
      <c r="R476" s="158" t="str">
        <v/>
      </c>
      <c r="S476" s="158" t="str">
        <v/>
      </c>
      <c r="T476" s="158" t="str">
        <v/>
      </c>
      <c r="U476" s="158" t="str">
        <v/>
      </c>
      <c r="V476" s="158" t="str">
        <v/>
      </c>
      <c r="W476" s="158" t="str">
        <v/>
      </c>
      <c r="X476" s="158" t="str">
        <v/>
      </c>
      <c r="Y476" s="158" t="str">
        <v/>
      </c>
      <c r="Z476" s="158" t="str">
        <v/>
      </c>
      <c r="AA476" s="158" t="e">
        <v>#VALUE!</v>
      </c>
      <c r="AB476" s="171" t="str">
        <v/>
      </c>
      <c r="AC476" s="158">
        <v>6137.5</v>
      </c>
      <c r="AD476" s="173" t="str">
        <f ca="1">IFERROR(__xludf.DUMMYFUNCTION("""COMPUTED_VALUE"""),"2025-09")</f>
        <v>2025-09</v>
      </c>
      <c r="AE476" s="154" t="str">
        <v/>
      </c>
      <c r="AF476" s="154" t="str">
        <v/>
      </c>
    </row>
    <row r="477" spans="1:32" ht="15">
      <c r="A477" s="176">
        <v>45923</v>
      </c>
      <c r="B477" s="145" t="s">
        <v>12900</v>
      </c>
      <c r="C477" s="169">
        <v>21572</v>
      </c>
      <c r="D477" s="145">
        <v>2</v>
      </c>
      <c r="E477" s="145"/>
      <c r="F477" s="169" t="e">
        <v>#VALUE!</v>
      </c>
      <c r="G477" s="145"/>
      <c r="H477" s="145"/>
      <c r="I477" s="145"/>
      <c r="J477" s="145"/>
      <c r="K477" s="145"/>
      <c r="L477" s="145"/>
      <c r="M477" s="145"/>
      <c r="N477" s="145"/>
      <c r="O477" s="174"/>
      <c r="P477" s="174"/>
      <c r="Q477" s="158" t="str">
        <v/>
      </c>
      <c r="R477" s="158" t="str">
        <v/>
      </c>
      <c r="S477" s="158" t="str">
        <v/>
      </c>
      <c r="T477" s="158" t="str">
        <v/>
      </c>
      <c r="U477" s="158" t="str">
        <v/>
      </c>
      <c r="V477" s="158" t="str">
        <v/>
      </c>
      <c r="W477" s="158" t="str">
        <v/>
      </c>
      <c r="X477" s="158" t="str">
        <v/>
      </c>
      <c r="Y477" s="158" t="str">
        <v/>
      </c>
      <c r="Z477" s="158" t="str">
        <v/>
      </c>
      <c r="AA477" s="158" t="e">
        <v>#VALUE!</v>
      </c>
      <c r="AB477" s="171" t="str">
        <v/>
      </c>
      <c r="AC477" s="158">
        <v>10786</v>
      </c>
      <c r="AD477" s="173" t="str">
        <f ca="1">IFERROR(__xludf.DUMMYFUNCTION("""COMPUTED_VALUE"""),"2025-09")</f>
        <v>2025-09</v>
      </c>
      <c r="AE477" s="154" t="str">
        <v/>
      </c>
      <c r="AF477" s="154" t="str">
        <v/>
      </c>
    </row>
    <row r="478" spans="1:32" ht="15">
      <c r="A478" s="176">
        <v>45923</v>
      </c>
      <c r="B478" s="145" t="s">
        <v>12898</v>
      </c>
      <c r="C478" s="169">
        <v>23916</v>
      </c>
      <c r="D478" s="145">
        <v>2</v>
      </c>
      <c r="E478" s="145"/>
      <c r="F478" s="169" t="e">
        <v>#VALUE!</v>
      </c>
      <c r="G478" s="145"/>
      <c r="H478" s="145"/>
      <c r="I478" s="145"/>
      <c r="J478" s="145"/>
      <c r="K478" s="145"/>
      <c r="L478" s="145"/>
      <c r="M478" s="145"/>
      <c r="N478" s="145"/>
      <c r="O478" s="174"/>
      <c r="P478" s="174"/>
      <c r="Q478" s="158" t="str">
        <v/>
      </c>
      <c r="R478" s="158" t="str">
        <v/>
      </c>
      <c r="S478" s="158" t="str">
        <v/>
      </c>
      <c r="T478" s="158" t="str">
        <v/>
      </c>
      <c r="U478" s="158" t="str">
        <v/>
      </c>
      <c r="V478" s="158" t="str">
        <v/>
      </c>
      <c r="W478" s="158" t="str">
        <v/>
      </c>
      <c r="X478" s="158" t="str">
        <v/>
      </c>
      <c r="Y478" s="158" t="str">
        <v/>
      </c>
      <c r="Z478" s="158" t="str">
        <v/>
      </c>
      <c r="AA478" s="158" t="e">
        <v>#VALUE!</v>
      </c>
      <c r="AB478" s="171" t="str">
        <v/>
      </c>
      <c r="AC478" s="158">
        <v>11958</v>
      </c>
      <c r="AD478" s="173" t="str">
        <f ca="1">IFERROR(__xludf.DUMMYFUNCTION("""COMPUTED_VALUE"""),"2025-09")</f>
        <v>2025-09</v>
      </c>
      <c r="AE478" s="154" t="str">
        <v/>
      </c>
      <c r="AF478" s="154" t="str">
        <v/>
      </c>
    </row>
    <row r="479" spans="1:32" ht="15">
      <c r="A479" s="176">
        <v>45924</v>
      </c>
      <c r="B479" s="145" t="s">
        <v>12900</v>
      </c>
      <c r="C479" s="169">
        <v>44329</v>
      </c>
      <c r="D479" s="145">
        <v>6</v>
      </c>
      <c r="E479" s="145"/>
      <c r="F479" s="169" t="e">
        <v>#VALUE!</v>
      </c>
      <c r="G479" s="145"/>
      <c r="H479" s="145"/>
      <c r="I479" s="145"/>
      <c r="J479" s="145"/>
      <c r="K479" s="145"/>
      <c r="L479" s="145"/>
      <c r="M479" s="145"/>
      <c r="N479" s="145"/>
      <c r="O479" s="174"/>
      <c r="P479" s="174"/>
      <c r="Q479" s="158" t="str">
        <v/>
      </c>
      <c r="R479" s="158" t="str">
        <v/>
      </c>
      <c r="S479" s="158" t="str">
        <v/>
      </c>
      <c r="T479" s="158" t="str">
        <v/>
      </c>
      <c r="U479" s="158" t="str">
        <v/>
      </c>
      <c r="V479" s="158" t="str">
        <v/>
      </c>
      <c r="W479" s="158" t="str">
        <v/>
      </c>
      <c r="X479" s="158" t="str">
        <v/>
      </c>
      <c r="Y479" s="158" t="str">
        <v/>
      </c>
      <c r="Z479" s="158" t="str">
        <v/>
      </c>
      <c r="AA479" s="158" t="e">
        <v>#VALUE!</v>
      </c>
      <c r="AB479" s="171" t="str">
        <v/>
      </c>
      <c r="AC479" s="158">
        <v>7388.166666666667</v>
      </c>
      <c r="AD479" s="173" t="str">
        <f ca="1">IFERROR(__xludf.DUMMYFUNCTION("""COMPUTED_VALUE"""),"2025-09")</f>
        <v>2025-09</v>
      </c>
      <c r="AE479" s="154" t="str">
        <v/>
      </c>
      <c r="AF479" s="154" t="str">
        <v/>
      </c>
    </row>
    <row r="480" spans="1:32" ht="15">
      <c r="A480" s="176">
        <v>45925</v>
      </c>
      <c r="B480" s="145" t="s">
        <v>12898</v>
      </c>
      <c r="C480" s="169">
        <v>24873</v>
      </c>
      <c r="D480" s="145">
        <v>2</v>
      </c>
      <c r="E480" s="145"/>
      <c r="F480" s="169" t="e">
        <v>#VALUE!</v>
      </c>
      <c r="G480" s="145"/>
      <c r="H480" s="145"/>
      <c r="I480" s="145"/>
      <c r="J480" s="145"/>
      <c r="K480" s="145"/>
      <c r="L480" s="145"/>
      <c r="M480" s="145"/>
      <c r="N480" s="145"/>
      <c r="O480" s="174"/>
      <c r="P480" s="174"/>
      <c r="Q480" s="158" t="str">
        <v/>
      </c>
      <c r="R480" s="158" t="str">
        <v/>
      </c>
      <c r="S480" s="158" t="str">
        <v/>
      </c>
      <c r="T480" s="158" t="str">
        <v/>
      </c>
      <c r="U480" s="158" t="str">
        <v/>
      </c>
      <c r="V480" s="158" t="str">
        <v/>
      </c>
      <c r="W480" s="158" t="str">
        <v/>
      </c>
      <c r="X480" s="158" t="str">
        <v/>
      </c>
      <c r="Y480" s="158" t="str">
        <v/>
      </c>
      <c r="Z480" s="158" t="str">
        <v/>
      </c>
      <c r="AA480" s="158" t="e">
        <v>#VALUE!</v>
      </c>
      <c r="AB480" s="171" t="str">
        <v/>
      </c>
      <c r="AC480" s="158">
        <v>12436.5</v>
      </c>
      <c r="AD480" s="173" t="str">
        <f ca="1">IFERROR(__xludf.DUMMYFUNCTION("""COMPUTED_VALUE"""),"2025-09")</f>
        <v>2025-09</v>
      </c>
      <c r="AE480" s="154" t="str">
        <v/>
      </c>
      <c r="AF480" s="154" t="str">
        <v/>
      </c>
    </row>
    <row r="481" spans="1:32" ht="15">
      <c r="A481" s="175">
        <v>45931</v>
      </c>
      <c r="B481" s="145" t="s">
        <v>12904</v>
      </c>
      <c r="C481" s="169">
        <v>53143</v>
      </c>
      <c r="D481" s="145">
        <v>7</v>
      </c>
      <c r="E481" s="145"/>
      <c r="F481" s="169" t="e">
        <v>#VALUE!</v>
      </c>
      <c r="G481" s="145"/>
      <c r="H481" s="145"/>
      <c r="I481" s="145"/>
      <c r="J481" s="145"/>
      <c r="K481" s="145"/>
      <c r="L481" s="145"/>
      <c r="M481" s="145"/>
      <c r="N481" s="145"/>
      <c r="O481" s="174"/>
      <c r="P481" s="174"/>
      <c r="Q481" s="158" t="str">
        <v/>
      </c>
      <c r="R481" s="158" t="str">
        <v/>
      </c>
      <c r="S481" s="158" t="str">
        <v/>
      </c>
      <c r="T481" s="158" t="str">
        <v/>
      </c>
      <c r="U481" s="158" t="str">
        <v/>
      </c>
      <c r="V481" s="158" t="str">
        <v/>
      </c>
      <c r="W481" s="158" t="str">
        <v/>
      </c>
      <c r="X481" s="158" t="str">
        <v/>
      </c>
      <c r="Y481" s="158" t="str">
        <v/>
      </c>
      <c r="Z481" s="158" t="str">
        <v/>
      </c>
      <c r="AA481" s="158" t="e">
        <v>#VALUE!</v>
      </c>
      <c r="AB481" s="171" t="str">
        <v/>
      </c>
      <c r="AC481" s="158">
        <v>7591.8571428571431</v>
      </c>
      <c r="AD481" s="173" t="str">
        <f ca="1">IFERROR(__xludf.DUMMYFUNCTION("""COMPUTED_VALUE"""),"2025-10")</f>
        <v>2025-10</v>
      </c>
      <c r="AE481" s="154" t="str">
        <v/>
      </c>
      <c r="AF481" s="154" t="str">
        <v/>
      </c>
    </row>
    <row r="482" spans="1:32" ht="15">
      <c r="A482" s="175">
        <v>45938</v>
      </c>
      <c r="B482" s="145" t="s">
        <v>12905</v>
      </c>
      <c r="C482" s="169">
        <v>13693</v>
      </c>
      <c r="D482" s="145">
        <v>1</v>
      </c>
      <c r="E482" s="145"/>
      <c r="F482" s="169" t="e">
        <v>#VALUE!</v>
      </c>
      <c r="G482" s="145"/>
      <c r="H482" s="145"/>
      <c r="I482" s="145"/>
      <c r="J482" s="145"/>
      <c r="K482" s="145"/>
      <c r="L482" s="145"/>
      <c r="M482" s="145"/>
      <c r="N482" s="145"/>
      <c r="O482" s="174"/>
      <c r="P482" s="174"/>
      <c r="Q482" s="158" t="str">
        <v/>
      </c>
      <c r="R482" s="158" t="str">
        <v/>
      </c>
      <c r="S482" s="158" t="str">
        <v/>
      </c>
      <c r="T482" s="158" t="str">
        <v/>
      </c>
      <c r="U482" s="158" t="str">
        <v/>
      </c>
      <c r="V482" s="158" t="str">
        <v/>
      </c>
      <c r="W482" s="158" t="str">
        <v/>
      </c>
      <c r="X482" s="158" t="str">
        <v/>
      </c>
      <c r="Y482" s="158" t="str">
        <v/>
      </c>
      <c r="Z482" s="158" t="str">
        <v/>
      </c>
      <c r="AA482" s="158" t="e">
        <v>#VALUE!</v>
      </c>
      <c r="AB482" s="171" t="str">
        <v/>
      </c>
      <c r="AC482" s="158">
        <v>13693</v>
      </c>
      <c r="AD482" s="173" t="str">
        <f ca="1">IFERROR(__xludf.DUMMYFUNCTION("""COMPUTED_VALUE"""),"2025-10")</f>
        <v>2025-10</v>
      </c>
      <c r="AE482" s="154" t="str">
        <v/>
      </c>
      <c r="AF482" s="154" t="str">
        <v/>
      </c>
    </row>
    <row r="483" spans="1:32" ht="15">
      <c r="A483" s="175">
        <v>45939</v>
      </c>
      <c r="B483" s="145" t="s">
        <v>12905</v>
      </c>
      <c r="C483" s="169">
        <v>46825</v>
      </c>
      <c r="D483" s="145">
        <v>17</v>
      </c>
      <c r="E483" s="145"/>
      <c r="F483" s="169" t="e">
        <v>#VALUE!</v>
      </c>
      <c r="G483" s="145"/>
      <c r="H483" s="145"/>
      <c r="I483" s="145"/>
      <c r="J483" s="145"/>
      <c r="K483" s="145"/>
      <c r="L483" s="145"/>
      <c r="M483" s="145"/>
      <c r="N483" s="145"/>
      <c r="O483" s="174"/>
      <c r="P483" s="174"/>
      <c r="Q483" s="158" t="str">
        <v/>
      </c>
      <c r="R483" s="158" t="str">
        <v/>
      </c>
      <c r="S483" s="158" t="str">
        <v/>
      </c>
      <c r="T483" s="158" t="str">
        <v/>
      </c>
      <c r="U483" s="158" t="str">
        <v/>
      </c>
      <c r="V483" s="158" t="str">
        <v/>
      </c>
      <c r="W483" s="158" t="str">
        <v/>
      </c>
      <c r="X483" s="158" t="str">
        <v/>
      </c>
      <c r="Y483" s="158" t="str">
        <v/>
      </c>
      <c r="Z483" s="158" t="str">
        <v/>
      </c>
      <c r="AA483" s="158" t="e">
        <v>#VALUE!</v>
      </c>
      <c r="AB483" s="171" t="str">
        <v/>
      </c>
      <c r="AC483" s="158">
        <v>2754.4117647058824</v>
      </c>
      <c r="AD483" s="173" t="str">
        <f ca="1">IFERROR(__xludf.DUMMYFUNCTION("""COMPUTED_VALUE"""),"2025-10")</f>
        <v>2025-10</v>
      </c>
      <c r="AE483" s="154" t="str">
        <v/>
      </c>
      <c r="AF483" s="154" t="str">
        <v/>
      </c>
    </row>
    <row r="484" spans="1:32" ht="15">
      <c r="A484" s="176">
        <v>45940</v>
      </c>
      <c r="B484" s="145" t="s">
        <v>12905</v>
      </c>
      <c r="C484" s="169">
        <v>16839</v>
      </c>
      <c r="D484" s="145">
        <v>2</v>
      </c>
      <c r="E484" s="145"/>
      <c r="F484" s="169" t="e">
        <v>#VALUE!</v>
      </c>
      <c r="G484" s="145"/>
      <c r="H484" s="145"/>
      <c r="I484" s="145"/>
      <c r="J484" s="145"/>
      <c r="K484" s="145"/>
      <c r="L484" s="145"/>
      <c r="M484" s="145"/>
      <c r="N484" s="145"/>
      <c r="O484" s="174"/>
      <c r="P484" s="174"/>
      <c r="Q484" s="158" t="str">
        <v/>
      </c>
      <c r="R484" s="158" t="str">
        <v/>
      </c>
      <c r="S484" s="158" t="str">
        <v/>
      </c>
      <c r="T484" s="158" t="str">
        <v/>
      </c>
      <c r="U484" s="158" t="str">
        <v/>
      </c>
      <c r="V484" s="158" t="str">
        <v/>
      </c>
      <c r="W484" s="158" t="str">
        <v/>
      </c>
      <c r="X484" s="158" t="str">
        <v/>
      </c>
      <c r="Y484" s="158" t="str">
        <v/>
      </c>
      <c r="Z484" s="158" t="str">
        <v/>
      </c>
      <c r="AA484" s="158" t="e">
        <v>#VALUE!</v>
      </c>
      <c r="AB484" s="171" t="str">
        <v/>
      </c>
      <c r="AC484" s="158">
        <v>8419.5</v>
      </c>
      <c r="AD484" s="173" t="str">
        <f ca="1">IFERROR(__xludf.DUMMYFUNCTION("""COMPUTED_VALUE"""),"2025-10")</f>
        <v>2025-10</v>
      </c>
      <c r="AE484" s="154" t="str">
        <v/>
      </c>
      <c r="AF484" s="154" t="str">
        <v/>
      </c>
    </row>
    <row r="485" spans="1:32" ht="15">
      <c r="A485" s="176">
        <v>45941</v>
      </c>
      <c r="B485" s="145" t="s">
        <v>12905</v>
      </c>
      <c r="C485" s="169">
        <v>168510</v>
      </c>
      <c r="D485" s="145">
        <v>35</v>
      </c>
      <c r="E485" s="145"/>
      <c r="F485" s="169" t="e">
        <v>#VALUE!</v>
      </c>
      <c r="G485" s="145"/>
      <c r="H485" s="145"/>
      <c r="I485" s="145"/>
      <c r="J485" s="145"/>
      <c r="K485" s="145"/>
      <c r="L485" s="145"/>
      <c r="M485" s="145"/>
      <c r="N485" s="145"/>
      <c r="O485" s="174"/>
      <c r="P485" s="174"/>
      <c r="Q485" s="158" t="str">
        <v/>
      </c>
      <c r="R485" s="158" t="str">
        <v/>
      </c>
      <c r="S485" s="158" t="str">
        <v/>
      </c>
      <c r="T485" s="158" t="str">
        <v/>
      </c>
      <c r="U485" s="158" t="str">
        <v/>
      </c>
      <c r="V485" s="158" t="str">
        <v/>
      </c>
      <c r="W485" s="158" t="str">
        <v/>
      </c>
      <c r="X485" s="158" t="str">
        <v/>
      </c>
      <c r="Y485" s="158" t="str">
        <v/>
      </c>
      <c r="Z485" s="158" t="str">
        <v/>
      </c>
      <c r="AA485" s="158" t="e">
        <v>#VALUE!</v>
      </c>
      <c r="AB485" s="171" t="str">
        <v/>
      </c>
      <c r="AC485" s="158">
        <v>4814.5714285714284</v>
      </c>
      <c r="AD485" s="173" t="str">
        <f ca="1">IFERROR(__xludf.DUMMYFUNCTION("""COMPUTED_VALUE"""),"2025-10")</f>
        <v>2025-10</v>
      </c>
      <c r="AE485" s="154" t="str">
        <v/>
      </c>
      <c r="AF485" s="154" t="str">
        <v/>
      </c>
    </row>
    <row r="486" spans="1:32" ht="15">
      <c r="A486" s="176">
        <v>45944</v>
      </c>
      <c r="B486" s="145" t="s">
        <v>12905</v>
      </c>
      <c r="C486" s="169">
        <v>107409</v>
      </c>
      <c r="D486" s="145">
        <v>22</v>
      </c>
      <c r="E486" s="145"/>
      <c r="F486" s="169" t="e">
        <v>#VALUE!</v>
      </c>
      <c r="G486" s="145"/>
      <c r="H486" s="145"/>
      <c r="I486" s="145"/>
      <c r="J486" s="145"/>
      <c r="K486" s="145"/>
      <c r="L486" s="145"/>
      <c r="M486" s="145"/>
      <c r="N486" s="145"/>
      <c r="O486" s="174"/>
      <c r="P486" s="174"/>
      <c r="Q486" s="158" t="str">
        <v/>
      </c>
      <c r="R486" s="158" t="str">
        <v/>
      </c>
      <c r="S486" s="158" t="str">
        <v/>
      </c>
      <c r="T486" s="158" t="str">
        <v/>
      </c>
      <c r="U486" s="158" t="str">
        <v/>
      </c>
      <c r="V486" s="158" t="str">
        <v/>
      </c>
      <c r="W486" s="158" t="str">
        <v/>
      </c>
      <c r="X486" s="158" t="str">
        <v/>
      </c>
      <c r="Y486" s="158" t="str">
        <v/>
      </c>
      <c r="Z486" s="158" t="str">
        <v/>
      </c>
      <c r="AA486" s="158" t="e">
        <v>#VALUE!</v>
      </c>
      <c r="AB486" s="171" t="str">
        <v/>
      </c>
      <c r="AC486" s="158">
        <v>4882.227272727273</v>
      </c>
      <c r="AD486" s="173" t="str">
        <f ca="1">IFERROR(__xludf.DUMMYFUNCTION("""COMPUTED_VALUE"""),"2025-10")</f>
        <v>2025-10</v>
      </c>
      <c r="AE486" s="154" t="str">
        <v/>
      </c>
      <c r="AF486" s="154" t="str">
        <v/>
      </c>
    </row>
    <row r="487" spans="1:32" ht="15">
      <c r="A487" s="176">
        <v>45945</v>
      </c>
      <c r="B487" s="145" t="s">
        <v>12905</v>
      </c>
      <c r="C487" s="169">
        <v>57903</v>
      </c>
      <c r="D487" s="145">
        <v>8</v>
      </c>
      <c r="E487" s="145"/>
      <c r="F487" s="169" t="e">
        <v>#VALUE!</v>
      </c>
      <c r="G487" s="145"/>
      <c r="H487" s="145"/>
      <c r="I487" s="145"/>
      <c r="J487" s="145"/>
      <c r="K487" s="145"/>
      <c r="L487" s="145"/>
      <c r="M487" s="145"/>
      <c r="N487" s="145"/>
      <c r="O487" s="174"/>
      <c r="P487" s="174"/>
      <c r="Q487" s="158" t="str">
        <v/>
      </c>
      <c r="R487" s="158" t="str">
        <v/>
      </c>
      <c r="S487" s="158" t="str">
        <v/>
      </c>
      <c r="T487" s="158" t="str">
        <v/>
      </c>
      <c r="U487" s="158" t="str">
        <v/>
      </c>
      <c r="V487" s="158" t="str">
        <v/>
      </c>
      <c r="W487" s="158" t="str">
        <v/>
      </c>
      <c r="X487" s="158" t="str">
        <v/>
      </c>
      <c r="Y487" s="158" t="str">
        <v/>
      </c>
      <c r="Z487" s="158" t="str">
        <v/>
      </c>
      <c r="AA487" s="158" t="e">
        <v>#VALUE!</v>
      </c>
      <c r="AB487" s="171" t="str">
        <v/>
      </c>
      <c r="AC487" s="158">
        <v>7237.875</v>
      </c>
      <c r="AD487" s="173" t="str">
        <f ca="1">IFERROR(__xludf.DUMMYFUNCTION("""COMPUTED_VALUE"""),"2025-10")</f>
        <v>2025-10</v>
      </c>
      <c r="AE487" s="154" t="str">
        <v/>
      </c>
      <c r="AF487" s="154" t="str">
        <v/>
      </c>
    </row>
    <row r="488" spans="1:32" ht="15">
      <c r="A488" s="176">
        <v>45946</v>
      </c>
      <c r="B488" s="145" t="s">
        <v>12905</v>
      </c>
      <c r="C488" s="169">
        <v>345099</v>
      </c>
      <c r="D488" s="145">
        <v>111</v>
      </c>
      <c r="E488" s="145"/>
      <c r="F488" s="169" t="e">
        <v>#VALUE!</v>
      </c>
      <c r="G488" s="145"/>
      <c r="H488" s="145"/>
      <c r="I488" s="145"/>
      <c r="J488" s="145"/>
      <c r="K488" s="145"/>
      <c r="L488" s="145"/>
      <c r="M488" s="145"/>
      <c r="N488" s="145"/>
      <c r="O488" s="174"/>
      <c r="P488" s="174"/>
      <c r="Q488" s="158" t="str">
        <v/>
      </c>
      <c r="R488" s="158" t="str">
        <v/>
      </c>
      <c r="S488" s="158" t="str">
        <v/>
      </c>
      <c r="T488" s="158" t="str">
        <v/>
      </c>
      <c r="U488" s="158" t="str">
        <v/>
      </c>
      <c r="V488" s="158" t="str">
        <v/>
      </c>
      <c r="W488" s="158" t="str">
        <v/>
      </c>
      <c r="X488" s="158" t="str">
        <v/>
      </c>
      <c r="Y488" s="158" t="str">
        <v/>
      </c>
      <c r="Z488" s="158" t="str">
        <v/>
      </c>
      <c r="AA488" s="158" t="e">
        <v>#VALUE!</v>
      </c>
      <c r="AB488" s="171" t="str">
        <v/>
      </c>
      <c r="AC488" s="158">
        <v>3109</v>
      </c>
      <c r="AD488" s="173" t="str">
        <f ca="1">IFERROR(__xludf.DUMMYFUNCTION("""COMPUTED_VALUE"""),"2025-10")</f>
        <v>2025-10</v>
      </c>
      <c r="AE488" s="154" t="str">
        <v/>
      </c>
      <c r="AF488" s="154" t="str">
        <v/>
      </c>
    </row>
    <row r="489" spans="1:32" ht="15">
      <c r="A489" s="176">
        <v>45947</v>
      </c>
      <c r="B489" s="145" t="s">
        <v>12905</v>
      </c>
      <c r="C489" s="169">
        <v>160419</v>
      </c>
      <c r="D489" s="145">
        <v>65</v>
      </c>
      <c r="E489" s="145"/>
      <c r="F489" s="169" t="e">
        <v>#VALUE!</v>
      </c>
      <c r="G489" s="145"/>
      <c r="H489" s="145"/>
      <c r="I489" s="145"/>
      <c r="J489" s="145"/>
      <c r="K489" s="145"/>
      <c r="L489" s="145"/>
      <c r="M489" s="145"/>
      <c r="N489" s="145"/>
      <c r="O489" s="174"/>
      <c r="P489" s="174"/>
      <c r="Q489" s="158" t="str">
        <v/>
      </c>
      <c r="R489" s="158" t="str">
        <v/>
      </c>
      <c r="S489" s="158" t="str">
        <v/>
      </c>
      <c r="T489" s="158" t="str">
        <v/>
      </c>
      <c r="U489" s="158" t="str">
        <v/>
      </c>
      <c r="V489" s="158" t="str">
        <v/>
      </c>
      <c r="W489" s="158" t="str">
        <v/>
      </c>
      <c r="X489" s="158" t="str">
        <v/>
      </c>
      <c r="Y489" s="158" t="str">
        <v/>
      </c>
      <c r="Z489" s="158" t="str">
        <v/>
      </c>
      <c r="AA489" s="158" t="e">
        <v>#VALUE!</v>
      </c>
      <c r="AB489" s="171" t="str">
        <v/>
      </c>
      <c r="AC489" s="158">
        <v>2467.9846153846156</v>
      </c>
      <c r="AD489" s="173" t="str">
        <f ca="1">IFERROR(__xludf.DUMMYFUNCTION("""COMPUTED_VALUE"""),"2025-10")</f>
        <v>2025-10</v>
      </c>
      <c r="AE489" s="154" t="str">
        <v/>
      </c>
      <c r="AF489" s="154" t="str">
        <v/>
      </c>
    </row>
    <row r="490" spans="1:32" ht="15">
      <c r="A490" s="176">
        <v>45948</v>
      </c>
      <c r="B490" s="145" t="s">
        <v>12905</v>
      </c>
      <c r="C490" s="169">
        <v>224772</v>
      </c>
      <c r="D490" s="145">
        <v>65</v>
      </c>
      <c r="E490" s="145"/>
      <c r="F490" s="169" t="e">
        <v>#VALUE!</v>
      </c>
      <c r="G490" s="145"/>
      <c r="H490" s="145"/>
      <c r="I490" s="145"/>
      <c r="J490" s="145"/>
      <c r="K490" s="145"/>
      <c r="L490" s="145"/>
      <c r="M490" s="145"/>
      <c r="N490" s="145"/>
      <c r="O490" s="174"/>
      <c r="P490" s="174"/>
      <c r="Q490" s="158" t="str">
        <v/>
      </c>
      <c r="R490" s="158" t="str">
        <v/>
      </c>
      <c r="S490" s="158" t="str">
        <v/>
      </c>
      <c r="T490" s="158" t="str">
        <v/>
      </c>
      <c r="U490" s="158" t="str">
        <v/>
      </c>
      <c r="V490" s="158" t="str">
        <v/>
      </c>
      <c r="W490" s="158" t="str">
        <v/>
      </c>
      <c r="X490" s="158" t="str">
        <v/>
      </c>
      <c r="Y490" s="158" t="str">
        <v/>
      </c>
      <c r="Z490" s="158" t="str">
        <v/>
      </c>
      <c r="AA490" s="158" t="e">
        <v>#VALUE!</v>
      </c>
      <c r="AB490" s="171" t="str">
        <v/>
      </c>
      <c r="AC490" s="158">
        <v>3458.0307692307692</v>
      </c>
      <c r="AD490" s="173" t="str">
        <f ca="1">IFERROR(__xludf.DUMMYFUNCTION("""COMPUTED_VALUE"""),"2025-10")</f>
        <v>2025-10</v>
      </c>
      <c r="AE490" s="154" t="str">
        <v/>
      </c>
      <c r="AF490" s="154" t="str">
        <v/>
      </c>
    </row>
    <row r="491" spans="1:32" ht="15">
      <c r="A491" s="176">
        <v>45950</v>
      </c>
      <c r="B491" s="145" t="s">
        <v>12905</v>
      </c>
      <c r="C491" s="169">
        <v>51586</v>
      </c>
      <c r="D491" s="145">
        <v>12</v>
      </c>
      <c r="E491" s="145"/>
      <c r="F491" s="169" t="e">
        <v>#VALUE!</v>
      </c>
      <c r="G491" s="145"/>
      <c r="H491" s="145"/>
      <c r="I491" s="145"/>
      <c r="J491" s="145"/>
      <c r="K491" s="145"/>
      <c r="L491" s="145"/>
      <c r="M491" s="145"/>
      <c r="N491" s="145"/>
      <c r="O491" s="174"/>
      <c r="P491" s="174"/>
      <c r="Q491" s="158" t="str">
        <v/>
      </c>
      <c r="R491" s="158" t="str">
        <v/>
      </c>
      <c r="S491" s="158" t="str">
        <v/>
      </c>
      <c r="T491" s="158" t="str">
        <v/>
      </c>
      <c r="U491" s="158" t="str">
        <v/>
      </c>
      <c r="V491" s="158" t="str">
        <v/>
      </c>
      <c r="W491" s="158" t="str">
        <v/>
      </c>
      <c r="X491" s="158" t="str">
        <v/>
      </c>
      <c r="Y491" s="158" t="str">
        <v/>
      </c>
      <c r="Z491" s="158" t="str">
        <v/>
      </c>
      <c r="AA491" s="158" t="e">
        <v>#VALUE!</v>
      </c>
      <c r="AB491" s="171" t="str">
        <v/>
      </c>
      <c r="AC491" s="158">
        <v>4298.833333333333</v>
      </c>
      <c r="AD491" s="173" t="str">
        <f ca="1">IFERROR(__xludf.DUMMYFUNCTION("""COMPUTED_VALUE"""),"2025-10")</f>
        <v>2025-10</v>
      </c>
      <c r="AE491" s="154" t="str">
        <v/>
      </c>
      <c r="AF491" s="154" t="str">
        <v/>
      </c>
    </row>
    <row r="492" spans="1:32" ht="15">
      <c r="A492" s="176">
        <v>45951</v>
      </c>
      <c r="B492" s="145" t="s">
        <v>12905</v>
      </c>
      <c r="C492" s="169">
        <v>61899</v>
      </c>
      <c r="D492" s="145">
        <v>20</v>
      </c>
      <c r="E492" s="145"/>
      <c r="F492" s="169" t="e">
        <v>#VALUE!</v>
      </c>
      <c r="G492" s="145"/>
      <c r="H492" s="145"/>
      <c r="I492" s="145"/>
      <c r="J492" s="145"/>
      <c r="K492" s="145"/>
      <c r="L492" s="145"/>
      <c r="M492" s="145"/>
      <c r="N492" s="145"/>
      <c r="O492" s="174"/>
      <c r="P492" s="174"/>
      <c r="Q492" s="158" t="str">
        <v/>
      </c>
      <c r="R492" s="158" t="str">
        <v/>
      </c>
      <c r="S492" s="158" t="str">
        <v/>
      </c>
      <c r="T492" s="158" t="str">
        <v/>
      </c>
      <c r="U492" s="158" t="str">
        <v/>
      </c>
      <c r="V492" s="158" t="str">
        <v/>
      </c>
      <c r="W492" s="158" t="str">
        <v/>
      </c>
      <c r="X492" s="158" t="str">
        <v/>
      </c>
      <c r="Y492" s="158" t="str">
        <v/>
      </c>
      <c r="Z492" s="158" t="str">
        <v/>
      </c>
      <c r="AA492" s="158" t="e">
        <v>#VALUE!</v>
      </c>
      <c r="AB492" s="171" t="str">
        <v/>
      </c>
      <c r="AC492" s="158">
        <v>3094.95</v>
      </c>
      <c r="AD492" s="173" t="str">
        <f ca="1">IFERROR(__xludf.DUMMYFUNCTION("""COMPUTED_VALUE"""),"2025-10")</f>
        <v>2025-10</v>
      </c>
      <c r="AE492" s="154" t="str">
        <v/>
      </c>
      <c r="AF492" s="154" t="str">
        <v/>
      </c>
    </row>
    <row r="493" spans="1:32" ht="15">
      <c r="A493" s="176">
        <v>45952</v>
      </c>
      <c r="B493" s="145" t="s">
        <v>12905</v>
      </c>
      <c r="C493" s="169">
        <v>48461</v>
      </c>
      <c r="D493" s="145">
        <v>5</v>
      </c>
      <c r="E493" s="145"/>
      <c r="F493" s="169" t="e">
        <v>#VALUE!</v>
      </c>
      <c r="G493" s="145"/>
      <c r="H493" s="145"/>
      <c r="I493" s="145"/>
      <c r="J493" s="145"/>
      <c r="K493" s="145"/>
      <c r="L493" s="145"/>
      <c r="M493" s="145"/>
      <c r="N493" s="145"/>
      <c r="O493" s="174"/>
      <c r="P493" s="174"/>
      <c r="Q493" s="158" t="str">
        <v/>
      </c>
      <c r="R493" s="158" t="str">
        <v/>
      </c>
      <c r="S493" s="158" t="str">
        <v/>
      </c>
      <c r="T493" s="158" t="str">
        <v/>
      </c>
      <c r="U493" s="158" t="str">
        <v/>
      </c>
      <c r="V493" s="158" t="str">
        <v/>
      </c>
      <c r="W493" s="158" t="str">
        <v/>
      </c>
      <c r="X493" s="158" t="str">
        <v/>
      </c>
      <c r="Y493" s="158" t="str">
        <v/>
      </c>
      <c r="Z493" s="158" t="str">
        <v/>
      </c>
      <c r="AA493" s="158" t="e">
        <v>#VALUE!</v>
      </c>
      <c r="AB493" s="171" t="str">
        <v/>
      </c>
      <c r="AC493" s="158">
        <v>9692.2000000000007</v>
      </c>
      <c r="AD493" s="173" t="str">
        <f ca="1">IFERROR(__xludf.DUMMYFUNCTION("""COMPUTED_VALUE"""),"2025-10")</f>
        <v>2025-10</v>
      </c>
      <c r="AE493" s="154" t="str">
        <v/>
      </c>
      <c r="AF493" s="154" t="str">
        <v/>
      </c>
    </row>
    <row r="494" spans="1:32" ht="15">
      <c r="A494" s="176">
        <v>45953</v>
      </c>
      <c r="B494" s="145" t="s">
        <v>12905</v>
      </c>
      <c r="C494" s="169">
        <v>51726</v>
      </c>
      <c r="D494" s="145">
        <v>8</v>
      </c>
      <c r="E494" s="145"/>
      <c r="F494" s="169" t="e">
        <v>#VALUE!</v>
      </c>
      <c r="G494" s="145"/>
      <c r="H494" s="145"/>
      <c r="I494" s="145"/>
      <c r="J494" s="145"/>
      <c r="K494" s="145"/>
      <c r="L494" s="145"/>
      <c r="M494" s="145"/>
      <c r="N494" s="145"/>
      <c r="O494" s="174"/>
      <c r="P494" s="174"/>
      <c r="Q494" s="158" t="str">
        <v/>
      </c>
      <c r="R494" s="158" t="str">
        <v/>
      </c>
      <c r="S494" s="158" t="str">
        <v/>
      </c>
      <c r="T494" s="158" t="str">
        <v/>
      </c>
      <c r="U494" s="158" t="str">
        <v/>
      </c>
      <c r="V494" s="158" t="str">
        <v/>
      </c>
      <c r="W494" s="158" t="str">
        <v/>
      </c>
      <c r="X494" s="158" t="str">
        <v/>
      </c>
      <c r="Y494" s="158" t="str">
        <v/>
      </c>
      <c r="Z494" s="158" t="str">
        <v/>
      </c>
      <c r="AA494" s="158" t="e">
        <v>#VALUE!</v>
      </c>
      <c r="AB494" s="171" t="str">
        <v/>
      </c>
      <c r="AC494" s="158">
        <v>6465.75</v>
      </c>
      <c r="AD494" s="173" t="str">
        <f ca="1">IFERROR(__xludf.DUMMYFUNCTION("""COMPUTED_VALUE"""),"2025-10")</f>
        <v>2025-10</v>
      </c>
      <c r="AE494" s="154" t="str">
        <v/>
      </c>
      <c r="AF494" s="154" t="str">
        <v/>
      </c>
    </row>
    <row r="495" spans="1:32" ht="15">
      <c r="A495" s="176">
        <v>45954</v>
      </c>
      <c r="B495" s="145" t="s">
        <v>12905</v>
      </c>
      <c r="C495" s="169">
        <v>104741</v>
      </c>
      <c r="D495" s="145">
        <v>10</v>
      </c>
      <c r="E495" s="145"/>
      <c r="F495" s="169" t="e">
        <v>#VALUE!</v>
      </c>
      <c r="G495" s="145"/>
      <c r="H495" s="145"/>
      <c r="I495" s="145"/>
      <c r="J495" s="145"/>
      <c r="K495" s="145"/>
      <c r="L495" s="145"/>
      <c r="M495" s="145"/>
      <c r="N495" s="145"/>
      <c r="O495" s="174"/>
      <c r="P495" s="174"/>
      <c r="Q495" s="158" t="str">
        <v/>
      </c>
      <c r="R495" s="158" t="str">
        <v/>
      </c>
      <c r="S495" s="158" t="str">
        <v/>
      </c>
      <c r="T495" s="158" t="str">
        <v/>
      </c>
      <c r="U495" s="158" t="str">
        <v/>
      </c>
      <c r="V495" s="158" t="str">
        <v/>
      </c>
      <c r="W495" s="158" t="str">
        <v/>
      </c>
      <c r="X495" s="158" t="str">
        <v/>
      </c>
      <c r="Y495" s="158" t="str">
        <v/>
      </c>
      <c r="Z495" s="158" t="str">
        <v/>
      </c>
      <c r="AA495" s="158" t="e">
        <v>#VALUE!</v>
      </c>
      <c r="AB495" s="171" t="str">
        <v/>
      </c>
      <c r="AC495" s="158">
        <v>10474.1</v>
      </c>
      <c r="AD495" s="173" t="str">
        <f ca="1">IFERROR(__xludf.DUMMYFUNCTION("""COMPUTED_VALUE"""),"2025-10")</f>
        <v>2025-10</v>
      </c>
      <c r="AE495" s="154" t="str">
        <v/>
      </c>
      <c r="AF495" s="154" t="str">
        <v/>
      </c>
    </row>
    <row r="496" spans="1:32" ht="15">
      <c r="A496" s="176">
        <v>45955</v>
      </c>
      <c r="B496" s="145" t="s">
        <v>12905</v>
      </c>
      <c r="C496" s="169">
        <v>160079</v>
      </c>
      <c r="D496" s="145">
        <v>19</v>
      </c>
      <c r="E496" s="145"/>
      <c r="F496" s="169" t="e">
        <v>#VALUE!</v>
      </c>
      <c r="G496" s="145"/>
      <c r="H496" s="145"/>
      <c r="I496" s="145"/>
      <c r="J496" s="145"/>
      <c r="K496" s="145"/>
      <c r="L496" s="145"/>
      <c r="M496" s="145"/>
      <c r="N496" s="145"/>
      <c r="O496" s="174"/>
      <c r="P496" s="174"/>
      <c r="Q496" s="158" t="str">
        <v/>
      </c>
      <c r="R496" s="158" t="str">
        <v/>
      </c>
      <c r="S496" s="158" t="str">
        <v/>
      </c>
      <c r="T496" s="158" t="str">
        <v/>
      </c>
      <c r="U496" s="158" t="str">
        <v/>
      </c>
      <c r="V496" s="158" t="str">
        <v/>
      </c>
      <c r="W496" s="158" t="str">
        <v/>
      </c>
      <c r="X496" s="158" t="str">
        <v/>
      </c>
      <c r="Y496" s="158" t="str">
        <v/>
      </c>
      <c r="Z496" s="158" t="str">
        <v/>
      </c>
      <c r="AA496" s="158" t="e">
        <v>#VALUE!</v>
      </c>
      <c r="AB496" s="171" t="str">
        <v/>
      </c>
      <c r="AC496" s="158">
        <v>8425.21052631579</v>
      </c>
      <c r="AD496" s="173" t="str">
        <f ca="1">IFERROR(__xludf.DUMMYFUNCTION("""COMPUTED_VALUE"""),"2025-10")</f>
        <v>2025-10</v>
      </c>
      <c r="AE496" s="154" t="str">
        <v/>
      </c>
      <c r="AF496" s="154" t="str">
        <v/>
      </c>
    </row>
    <row r="497" spans="1:32" ht="15">
      <c r="A497" s="176">
        <v>45956</v>
      </c>
      <c r="B497" s="145" t="s">
        <v>12905</v>
      </c>
      <c r="C497" s="169">
        <v>28314</v>
      </c>
      <c r="D497" s="145">
        <v>2</v>
      </c>
      <c r="E497" s="145"/>
      <c r="F497" s="169" t="e">
        <v>#VALUE!</v>
      </c>
      <c r="G497" s="145"/>
      <c r="H497" s="145"/>
      <c r="I497" s="145"/>
      <c r="J497" s="145"/>
      <c r="K497" s="145"/>
      <c r="L497" s="145"/>
      <c r="M497" s="145"/>
      <c r="N497" s="145"/>
      <c r="O497" s="174"/>
      <c r="P497" s="174"/>
      <c r="Q497" s="158" t="str">
        <v/>
      </c>
      <c r="R497" s="158" t="str">
        <v/>
      </c>
      <c r="S497" s="158" t="str">
        <v/>
      </c>
      <c r="T497" s="158" t="str">
        <v/>
      </c>
      <c r="U497" s="158" t="str">
        <v/>
      </c>
      <c r="V497" s="158" t="str">
        <v/>
      </c>
      <c r="W497" s="158" t="str">
        <v/>
      </c>
      <c r="X497" s="158" t="str">
        <v/>
      </c>
      <c r="Y497" s="158" t="str">
        <v/>
      </c>
      <c r="Z497" s="158" t="str">
        <v/>
      </c>
      <c r="AA497" s="158" t="e">
        <v>#VALUE!</v>
      </c>
      <c r="AB497" s="171" t="str">
        <v/>
      </c>
      <c r="AC497" s="158">
        <v>14157</v>
      </c>
      <c r="AD497" s="173" t="str">
        <f ca="1">IFERROR(__xludf.DUMMYFUNCTION("""COMPUTED_VALUE"""),"2025-10")</f>
        <v>2025-10</v>
      </c>
      <c r="AE497" s="154" t="str">
        <v/>
      </c>
      <c r="AF497" s="154" t="str">
        <v/>
      </c>
    </row>
    <row r="498" spans="1:32" ht="15">
      <c r="A498" s="176">
        <v>45957</v>
      </c>
      <c r="B498" s="145" t="s">
        <v>12905</v>
      </c>
      <c r="C498" s="169">
        <v>144559</v>
      </c>
      <c r="D498" s="145">
        <v>6</v>
      </c>
      <c r="E498" s="145"/>
      <c r="F498" s="169" t="e">
        <v>#VALUE!</v>
      </c>
      <c r="G498" s="145"/>
      <c r="H498" s="145"/>
      <c r="I498" s="145"/>
      <c r="J498" s="145"/>
      <c r="K498" s="145"/>
      <c r="L498" s="145"/>
      <c r="M498" s="145"/>
      <c r="N498" s="145"/>
      <c r="O498" s="174"/>
      <c r="P498" s="174"/>
      <c r="Q498" s="158" t="str">
        <v/>
      </c>
      <c r="R498" s="158" t="str">
        <v/>
      </c>
      <c r="S498" s="158" t="str">
        <v/>
      </c>
      <c r="T498" s="158" t="str">
        <v/>
      </c>
      <c r="U498" s="158" t="str">
        <v/>
      </c>
      <c r="V498" s="158" t="str">
        <v/>
      </c>
      <c r="W498" s="158" t="str">
        <v/>
      </c>
      <c r="X498" s="158" t="str">
        <v/>
      </c>
      <c r="Y498" s="158" t="str">
        <v/>
      </c>
      <c r="Z498" s="158" t="str">
        <v/>
      </c>
      <c r="AA498" s="158" t="e">
        <v>#VALUE!</v>
      </c>
      <c r="AB498" s="171" t="str">
        <v/>
      </c>
      <c r="AC498" s="158">
        <v>24093.166666666668</v>
      </c>
      <c r="AD498" s="173" t="str">
        <f ca="1">IFERROR(__xludf.DUMMYFUNCTION("""COMPUTED_VALUE"""),"2025-10")</f>
        <v>2025-10</v>
      </c>
      <c r="AE498" s="154" t="str">
        <v/>
      </c>
      <c r="AF498" s="154" t="str">
        <v/>
      </c>
    </row>
    <row r="499" spans="1:32" ht="15">
      <c r="A499" s="176">
        <v>45958</v>
      </c>
      <c r="B499" s="145" t="s">
        <v>12905</v>
      </c>
      <c r="C499" s="169">
        <v>402848</v>
      </c>
      <c r="D499" s="145">
        <v>66</v>
      </c>
      <c r="E499" s="145"/>
      <c r="F499" s="169" t="e">
        <v>#VALUE!</v>
      </c>
      <c r="G499" s="145"/>
      <c r="H499" s="145"/>
      <c r="I499" s="145"/>
      <c r="J499" s="145"/>
      <c r="K499" s="145"/>
      <c r="L499" s="145"/>
      <c r="M499" s="145"/>
      <c r="N499" s="145"/>
      <c r="O499" s="174"/>
      <c r="P499" s="174"/>
      <c r="Q499" s="158" t="str">
        <v/>
      </c>
      <c r="R499" s="158" t="str">
        <v/>
      </c>
      <c r="S499" s="158" t="str">
        <v/>
      </c>
      <c r="T499" s="158" t="str">
        <v/>
      </c>
      <c r="U499" s="158" t="str">
        <v/>
      </c>
      <c r="V499" s="158" t="str">
        <v/>
      </c>
      <c r="W499" s="158" t="str">
        <v/>
      </c>
      <c r="X499" s="158" t="str">
        <v/>
      </c>
      <c r="Y499" s="158" t="str">
        <v/>
      </c>
      <c r="Z499" s="158" t="str">
        <v/>
      </c>
      <c r="AA499" s="158" t="e">
        <v>#VALUE!</v>
      </c>
      <c r="AB499" s="171" t="str">
        <v/>
      </c>
      <c r="AC499" s="158">
        <v>6103.757575757576</v>
      </c>
      <c r="AD499" s="173" t="str">
        <f ca="1">IFERROR(__xludf.DUMMYFUNCTION("""COMPUTED_VALUE"""),"2025-10")</f>
        <v>2025-10</v>
      </c>
      <c r="AE499" s="154" t="str">
        <v/>
      </c>
      <c r="AF499" s="154" t="str">
        <v/>
      </c>
    </row>
    <row r="500" spans="1:32" ht="15">
      <c r="A500" s="176">
        <v>45959</v>
      </c>
      <c r="B500" s="145" t="s">
        <v>12905</v>
      </c>
      <c r="C500" s="169">
        <v>133922</v>
      </c>
      <c r="D500" s="145">
        <v>5</v>
      </c>
      <c r="E500" s="145"/>
      <c r="F500" s="169" t="e">
        <v>#VALUE!</v>
      </c>
      <c r="G500" s="145"/>
      <c r="H500" s="145"/>
      <c r="I500" s="145"/>
      <c r="J500" s="145"/>
      <c r="K500" s="145"/>
      <c r="L500" s="145"/>
      <c r="M500" s="145"/>
      <c r="N500" s="145"/>
      <c r="O500" s="174"/>
      <c r="P500" s="174"/>
      <c r="Q500" s="158" t="str">
        <v/>
      </c>
      <c r="R500" s="158" t="str">
        <v/>
      </c>
      <c r="S500" s="158" t="str">
        <v/>
      </c>
      <c r="T500" s="158" t="str">
        <v/>
      </c>
      <c r="U500" s="158" t="str">
        <v/>
      </c>
      <c r="V500" s="158" t="str">
        <v/>
      </c>
      <c r="W500" s="158" t="str">
        <v/>
      </c>
      <c r="X500" s="158" t="str">
        <v/>
      </c>
      <c r="Y500" s="158" t="str">
        <v/>
      </c>
      <c r="Z500" s="158" t="str">
        <v/>
      </c>
      <c r="AA500" s="158" t="e">
        <v>#VALUE!</v>
      </c>
      <c r="AB500" s="171" t="str">
        <v/>
      </c>
      <c r="AC500" s="158">
        <v>26784.400000000001</v>
      </c>
      <c r="AD500" s="173" t="str">
        <f ca="1">IFERROR(__xludf.DUMMYFUNCTION("""COMPUTED_VALUE"""),"2025-10")</f>
        <v>2025-10</v>
      </c>
      <c r="AE500" s="154" t="str">
        <v/>
      </c>
      <c r="AF500" s="154" t="str">
        <v/>
      </c>
    </row>
    <row r="501" spans="1:32" ht="15">
      <c r="A501" s="176">
        <v>45960</v>
      </c>
      <c r="B501" s="145" t="s">
        <v>12905</v>
      </c>
      <c r="C501" s="169">
        <v>1142</v>
      </c>
      <c r="D501" s="145">
        <v>0</v>
      </c>
      <c r="E501" s="145"/>
      <c r="F501" s="169" t="e">
        <v>#VALUE!</v>
      </c>
      <c r="G501" s="145"/>
      <c r="H501" s="145"/>
      <c r="I501" s="145"/>
      <c r="J501" s="145"/>
      <c r="K501" s="145"/>
      <c r="L501" s="145"/>
      <c r="M501" s="145"/>
      <c r="N501" s="145"/>
      <c r="O501" s="174"/>
      <c r="P501" s="174"/>
      <c r="Q501" s="158" t="str">
        <v/>
      </c>
      <c r="R501" s="158" t="str">
        <v/>
      </c>
      <c r="S501" s="158" t="str">
        <v/>
      </c>
      <c r="T501" s="158" t="str">
        <v/>
      </c>
      <c r="U501" s="158" t="str">
        <v/>
      </c>
      <c r="V501" s="158" t="str">
        <v/>
      </c>
      <c r="W501" s="158" t="str">
        <v/>
      </c>
      <c r="X501" s="158" t="str">
        <v/>
      </c>
      <c r="Y501" s="158" t="str">
        <v/>
      </c>
      <c r="Z501" s="158" t="str">
        <v/>
      </c>
      <c r="AA501" s="158" t="e">
        <v>#VALUE!</v>
      </c>
      <c r="AB501" s="171" t="str">
        <v/>
      </c>
      <c r="AC501" s="158" t="str">
        <v/>
      </c>
      <c r="AD501" s="173" t="str">
        <f ca="1">IFERROR(__xludf.DUMMYFUNCTION("""COMPUTED_VALUE"""),"2025-10")</f>
        <v>2025-10</v>
      </c>
      <c r="AE501" s="154" t="str">
        <v/>
      </c>
      <c r="AF501" s="154" t="str">
        <v/>
      </c>
    </row>
    <row r="502" spans="1:32" ht="15">
      <c r="A502" s="175">
        <v>45962</v>
      </c>
      <c r="B502" s="145" t="s">
        <v>12906</v>
      </c>
      <c r="C502" s="169">
        <v>16497</v>
      </c>
      <c r="D502" s="145">
        <v>4</v>
      </c>
      <c r="E502" s="145"/>
      <c r="F502" s="169" t="e">
        <v>#VALUE!</v>
      </c>
      <c r="G502" s="145"/>
      <c r="H502" s="145"/>
      <c r="I502" s="145"/>
      <c r="J502" s="145"/>
      <c r="K502" s="145"/>
      <c r="L502" s="145"/>
      <c r="M502" s="145"/>
      <c r="N502" s="145"/>
      <c r="O502" s="174"/>
      <c r="P502" s="174"/>
      <c r="Q502" s="158" t="str">
        <v/>
      </c>
      <c r="R502" s="158" t="str">
        <v/>
      </c>
      <c r="S502" s="158" t="str">
        <v/>
      </c>
      <c r="T502" s="158" t="str">
        <v/>
      </c>
      <c r="U502" s="158" t="str">
        <v/>
      </c>
      <c r="V502" s="158" t="str">
        <v/>
      </c>
      <c r="W502" s="158" t="str">
        <v/>
      </c>
      <c r="X502" s="158" t="str">
        <v/>
      </c>
      <c r="Y502" s="158" t="str">
        <v/>
      </c>
      <c r="Z502" s="158" t="str">
        <v/>
      </c>
      <c r="AA502" s="158" t="e">
        <v>#VALUE!</v>
      </c>
      <c r="AB502" s="171" t="str">
        <v/>
      </c>
      <c r="AC502" s="158">
        <v>4124.25</v>
      </c>
      <c r="AD502" s="173" t="str">
        <f ca="1">IFERROR(__xludf.DUMMYFUNCTION("""COMPUTED_VALUE"""),"2025-11")</f>
        <v>2025-11</v>
      </c>
      <c r="AE502" s="154" t="str">
        <v/>
      </c>
      <c r="AF502" s="154" t="str">
        <v/>
      </c>
    </row>
    <row r="503" spans="1:32" ht="15">
      <c r="A503" s="175">
        <v>45962</v>
      </c>
      <c r="B503" s="145" t="s">
        <v>12907</v>
      </c>
      <c r="C503" s="169">
        <v>20774</v>
      </c>
      <c r="D503" s="145">
        <v>2</v>
      </c>
      <c r="E503" s="145"/>
      <c r="F503" s="169" t="e">
        <v>#VALUE!</v>
      </c>
      <c r="G503" s="145"/>
      <c r="H503" s="145"/>
      <c r="I503" s="145"/>
      <c r="J503" s="145"/>
      <c r="K503" s="145"/>
      <c r="L503" s="145"/>
      <c r="M503" s="145"/>
      <c r="N503" s="145"/>
      <c r="O503" s="174"/>
      <c r="P503" s="174"/>
      <c r="Q503" s="158" t="str">
        <v/>
      </c>
      <c r="R503" s="158" t="str">
        <v/>
      </c>
      <c r="S503" s="158" t="str">
        <v/>
      </c>
      <c r="T503" s="158" t="str">
        <v/>
      </c>
      <c r="U503" s="158" t="str">
        <v/>
      </c>
      <c r="V503" s="158" t="str">
        <v/>
      </c>
      <c r="W503" s="158" t="str">
        <v/>
      </c>
      <c r="X503" s="158" t="str">
        <v/>
      </c>
      <c r="Y503" s="158" t="str">
        <v/>
      </c>
      <c r="Z503" s="158" t="str">
        <v/>
      </c>
      <c r="AA503" s="158" t="e">
        <v>#VALUE!</v>
      </c>
      <c r="AB503" s="171" t="str">
        <v/>
      </c>
      <c r="AC503" s="158">
        <v>10387</v>
      </c>
      <c r="AD503" s="173" t="str">
        <f ca="1">IFERROR(__xludf.DUMMYFUNCTION("""COMPUTED_VALUE"""),"2025-11")</f>
        <v>2025-11</v>
      </c>
      <c r="AE503" s="154" t="str">
        <v/>
      </c>
      <c r="AF503" s="154" t="str">
        <v/>
      </c>
    </row>
    <row r="504" spans="1:32" ht="15">
      <c r="A504" s="175">
        <v>45966</v>
      </c>
      <c r="B504" s="145" t="s">
        <v>12908</v>
      </c>
      <c r="C504" s="169">
        <v>45399</v>
      </c>
      <c r="D504" s="145">
        <v>1</v>
      </c>
      <c r="E504" s="145"/>
      <c r="F504" s="169" t="e">
        <v>#VALUE!</v>
      </c>
      <c r="G504" s="145"/>
      <c r="H504" s="145"/>
      <c r="I504" s="145"/>
      <c r="J504" s="145"/>
      <c r="K504" s="145"/>
      <c r="L504" s="145"/>
      <c r="M504" s="145"/>
      <c r="N504" s="145"/>
      <c r="O504" s="174"/>
      <c r="P504" s="174"/>
      <c r="Q504" s="158" t="str">
        <v/>
      </c>
      <c r="R504" s="158" t="str">
        <v/>
      </c>
      <c r="S504" s="158" t="str">
        <v/>
      </c>
      <c r="T504" s="158" t="str">
        <v/>
      </c>
      <c r="U504" s="158" t="str">
        <v/>
      </c>
      <c r="V504" s="158" t="str">
        <v/>
      </c>
      <c r="W504" s="158" t="str">
        <v/>
      </c>
      <c r="X504" s="158" t="str">
        <v/>
      </c>
      <c r="Y504" s="158" t="str">
        <v/>
      </c>
      <c r="Z504" s="158" t="str">
        <v/>
      </c>
      <c r="AA504" s="158" t="e">
        <v>#VALUE!</v>
      </c>
      <c r="AB504" s="171" t="str">
        <v/>
      </c>
      <c r="AC504" s="158">
        <v>45399</v>
      </c>
      <c r="AD504" s="173" t="str">
        <f ca="1">IFERROR(__xludf.DUMMYFUNCTION("""COMPUTED_VALUE"""),"2025-11")</f>
        <v>2025-11</v>
      </c>
      <c r="AE504" s="154" t="str">
        <v/>
      </c>
      <c r="AF504" s="154" t="str">
        <v/>
      </c>
    </row>
    <row r="505" spans="1:32" ht="15">
      <c r="A505" s="175">
        <v>45967</v>
      </c>
      <c r="B505" s="145" t="s">
        <v>12908</v>
      </c>
      <c r="C505" s="169">
        <v>49184</v>
      </c>
      <c r="D505" s="145">
        <v>1</v>
      </c>
      <c r="E505" s="145"/>
      <c r="F505" s="169" t="e">
        <v>#VALUE!</v>
      </c>
      <c r="G505" s="145"/>
      <c r="H505" s="145"/>
      <c r="I505" s="145"/>
      <c r="J505" s="145"/>
      <c r="K505" s="145"/>
      <c r="L505" s="145"/>
      <c r="M505" s="145"/>
      <c r="N505" s="145"/>
      <c r="O505" s="174"/>
      <c r="P505" s="174"/>
      <c r="Q505" s="158" t="str">
        <v/>
      </c>
      <c r="R505" s="158" t="str">
        <v/>
      </c>
      <c r="S505" s="158" t="str">
        <v/>
      </c>
      <c r="T505" s="158" t="str">
        <v/>
      </c>
      <c r="U505" s="158" t="str">
        <v/>
      </c>
      <c r="V505" s="158" t="str">
        <v/>
      </c>
      <c r="W505" s="158" t="str">
        <v/>
      </c>
      <c r="X505" s="158" t="str">
        <v/>
      </c>
      <c r="Y505" s="158" t="str">
        <v/>
      </c>
      <c r="Z505" s="158" t="str">
        <v/>
      </c>
      <c r="AA505" s="158" t="e">
        <v>#VALUE!</v>
      </c>
      <c r="AB505" s="171" t="str">
        <v/>
      </c>
      <c r="AC505" s="158">
        <v>49184</v>
      </c>
      <c r="AD505" s="173" t="str">
        <f ca="1">IFERROR(__xludf.DUMMYFUNCTION("""COMPUTED_VALUE"""),"2025-11")</f>
        <v>2025-11</v>
      </c>
      <c r="AE505" s="154" t="str">
        <v/>
      </c>
      <c r="AF505" s="154" t="str">
        <v/>
      </c>
    </row>
    <row r="506" spans="1:32" ht="15">
      <c r="A506" s="175">
        <v>45969</v>
      </c>
      <c r="B506" s="145" t="s">
        <v>12905</v>
      </c>
      <c r="C506" s="169">
        <v>267033</v>
      </c>
      <c r="D506" s="145">
        <v>40</v>
      </c>
      <c r="E506" s="145"/>
      <c r="F506" s="169" t="e">
        <v>#VALUE!</v>
      </c>
      <c r="G506" s="145"/>
      <c r="H506" s="145"/>
      <c r="I506" s="145"/>
      <c r="J506" s="145"/>
      <c r="K506" s="145"/>
      <c r="L506" s="145"/>
      <c r="M506" s="145"/>
      <c r="N506" s="145"/>
      <c r="O506" s="174"/>
      <c r="P506" s="174"/>
      <c r="Q506" s="158" t="str">
        <v/>
      </c>
      <c r="R506" s="158" t="str">
        <v/>
      </c>
      <c r="S506" s="158" t="str">
        <v/>
      </c>
      <c r="T506" s="158" t="str">
        <v/>
      </c>
      <c r="U506" s="158" t="str">
        <v/>
      </c>
      <c r="V506" s="158" t="str">
        <v/>
      </c>
      <c r="W506" s="158" t="str">
        <v/>
      </c>
      <c r="X506" s="158" t="str">
        <v/>
      </c>
      <c r="Y506" s="158" t="str">
        <v/>
      </c>
      <c r="Z506" s="158" t="str">
        <v/>
      </c>
      <c r="AA506" s="158" t="e">
        <v>#VALUE!</v>
      </c>
      <c r="AB506" s="171" t="str">
        <v/>
      </c>
      <c r="AC506" s="158">
        <v>6675.8249999999998</v>
      </c>
      <c r="AD506" s="173" t="str">
        <f ca="1">IFERROR(__xludf.DUMMYFUNCTION("""COMPUTED_VALUE"""),"2025-11")</f>
        <v>2025-11</v>
      </c>
      <c r="AE506" s="154" t="str">
        <v/>
      </c>
      <c r="AF506" s="154" t="str">
        <v/>
      </c>
    </row>
    <row r="507" spans="1:32" ht="15">
      <c r="A507" s="176">
        <v>45972</v>
      </c>
      <c r="B507" s="145" t="s">
        <v>12908</v>
      </c>
      <c r="C507" s="169">
        <v>140</v>
      </c>
      <c r="D507" s="145">
        <v>0</v>
      </c>
      <c r="E507" s="145"/>
      <c r="F507" s="169" t="e">
        <v>#VALUE!</v>
      </c>
      <c r="G507" s="145"/>
      <c r="H507" s="145"/>
      <c r="I507" s="145"/>
      <c r="J507" s="145"/>
      <c r="K507" s="145"/>
      <c r="L507" s="145"/>
      <c r="M507" s="145"/>
      <c r="N507" s="145"/>
      <c r="O507" s="174"/>
      <c r="P507" s="174"/>
      <c r="Q507" s="158" t="str">
        <v/>
      </c>
      <c r="R507" s="158" t="str">
        <v/>
      </c>
      <c r="S507" s="158" t="str">
        <v/>
      </c>
      <c r="T507" s="158" t="str">
        <v/>
      </c>
      <c r="U507" s="158" t="str">
        <v/>
      </c>
      <c r="V507" s="158" t="str">
        <v/>
      </c>
      <c r="W507" s="158" t="str">
        <v/>
      </c>
      <c r="X507" s="158" t="str">
        <v/>
      </c>
      <c r="Y507" s="158" t="str">
        <v/>
      </c>
      <c r="Z507" s="158" t="str">
        <v/>
      </c>
      <c r="AA507" s="158" t="e">
        <v>#VALUE!</v>
      </c>
      <c r="AB507" s="171" t="str">
        <v/>
      </c>
      <c r="AC507" s="158" t="str">
        <v/>
      </c>
      <c r="AD507" s="173" t="str">
        <f ca="1">IFERROR(__xludf.DUMMYFUNCTION("""COMPUTED_VALUE"""),"2025-11")</f>
        <v>2025-11</v>
      </c>
      <c r="AE507" s="154" t="str">
        <v/>
      </c>
      <c r="AF507" s="154" t="str">
        <v/>
      </c>
    </row>
    <row r="508" spans="1:32" ht="15">
      <c r="A508" s="176">
        <v>45972</v>
      </c>
      <c r="B508" s="145" t="s">
        <v>12905</v>
      </c>
      <c r="C508" s="169">
        <v>15745</v>
      </c>
      <c r="D508" s="145">
        <v>2</v>
      </c>
      <c r="E508" s="145"/>
      <c r="F508" s="169" t="e">
        <v>#VALUE!</v>
      </c>
      <c r="G508" s="145"/>
      <c r="H508" s="145"/>
      <c r="I508" s="145"/>
      <c r="J508" s="145"/>
      <c r="K508" s="145"/>
      <c r="L508" s="145"/>
      <c r="M508" s="145"/>
      <c r="N508" s="145"/>
      <c r="O508" s="174"/>
      <c r="P508" s="174"/>
      <c r="Q508" s="158" t="str">
        <v/>
      </c>
      <c r="R508" s="158" t="str">
        <v/>
      </c>
      <c r="S508" s="158" t="str">
        <v/>
      </c>
      <c r="T508" s="158" t="str">
        <v/>
      </c>
      <c r="U508" s="158" t="str">
        <v/>
      </c>
      <c r="V508" s="158" t="str">
        <v/>
      </c>
      <c r="W508" s="158" t="str">
        <v/>
      </c>
      <c r="X508" s="158" t="str">
        <v/>
      </c>
      <c r="Y508" s="158" t="str">
        <v/>
      </c>
      <c r="Z508" s="158" t="str">
        <v/>
      </c>
      <c r="AA508" s="158" t="e">
        <v>#VALUE!</v>
      </c>
      <c r="AB508" s="171" t="str">
        <v/>
      </c>
      <c r="AC508" s="158">
        <v>7872.5</v>
      </c>
      <c r="AD508" s="173" t="str">
        <f ca="1">IFERROR(__xludf.DUMMYFUNCTION("""COMPUTED_VALUE"""),"2025-11")</f>
        <v>2025-11</v>
      </c>
      <c r="AE508" s="154" t="str">
        <v/>
      </c>
      <c r="AF508" s="154" t="str">
        <v/>
      </c>
    </row>
    <row r="509" spans="1:32" ht="15">
      <c r="A509" s="176">
        <v>45974</v>
      </c>
      <c r="B509" s="145" t="s">
        <v>12905</v>
      </c>
      <c r="C509" s="169">
        <v>23357</v>
      </c>
      <c r="D509" s="145">
        <v>1</v>
      </c>
      <c r="E509" s="145"/>
      <c r="F509" s="169" t="e">
        <v>#VALUE!</v>
      </c>
      <c r="G509" s="145"/>
      <c r="H509" s="145"/>
      <c r="I509" s="145"/>
      <c r="J509" s="145"/>
      <c r="K509" s="145"/>
      <c r="L509" s="145"/>
      <c r="M509" s="145"/>
      <c r="N509" s="145"/>
      <c r="O509" s="174"/>
      <c r="P509" s="174"/>
      <c r="Q509" s="158" t="str">
        <v/>
      </c>
      <c r="R509" s="158" t="str">
        <v/>
      </c>
      <c r="S509" s="158" t="str">
        <v/>
      </c>
      <c r="T509" s="158" t="str">
        <v/>
      </c>
      <c r="U509" s="158" t="str">
        <v/>
      </c>
      <c r="V509" s="158" t="str">
        <v/>
      </c>
      <c r="W509" s="158" t="str">
        <v/>
      </c>
      <c r="X509" s="158" t="str">
        <v/>
      </c>
      <c r="Y509" s="158" t="str">
        <v/>
      </c>
      <c r="Z509" s="158" t="str">
        <v/>
      </c>
      <c r="AA509" s="158" t="e">
        <v>#VALUE!</v>
      </c>
      <c r="AB509" s="171" t="str">
        <v/>
      </c>
      <c r="AC509" s="158">
        <v>23357</v>
      </c>
      <c r="AD509" s="173" t="str">
        <f ca="1">IFERROR(__xludf.DUMMYFUNCTION("""COMPUTED_VALUE"""),"2025-11")</f>
        <v>2025-11</v>
      </c>
      <c r="AE509" s="154" t="str">
        <v/>
      </c>
      <c r="AF509" s="154" t="str">
        <v/>
      </c>
    </row>
    <row r="510" spans="1:32" ht="15">
      <c r="A510" s="176"/>
      <c r="B510" s="145"/>
      <c r="C510" s="169"/>
      <c r="D510" s="145"/>
      <c r="E510" s="145"/>
      <c r="F510" s="169" t="e">
        <v>#VALUE!</v>
      </c>
      <c r="G510" s="145"/>
      <c r="H510" s="145"/>
      <c r="I510" s="145"/>
      <c r="J510" s="145"/>
      <c r="K510" s="145"/>
      <c r="L510" s="145"/>
      <c r="M510" s="145"/>
      <c r="N510" s="145"/>
      <c r="O510" s="174"/>
      <c r="P510" s="174"/>
      <c r="Q510" s="158" t="str">
        <v/>
      </c>
      <c r="R510" s="158" t="str">
        <v/>
      </c>
      <c r="S510" s="158" t="str">
        <v/>
      </c>
      <c r="T510" s="158" t="str">
        <v/>
      </c>
      <c r="U510" s="158" t="str">
        <v/>
      </c>
      <c r="V510" s="158" t="str">
        <v/>
      </c>
      <c r="W510" s="158" t="str">
        <v/>
      </c>
      <c r="X510" s="158" t="str">
        <v/>
      </c>
      <c r="Y510" s="158" t="str">
        <v/>
      </c>
      <c r="Z510" s="158" t="str">
        <v/>
      </c>
      <c r="AA510" s="158" t="e">
        <v>#VALUE!</v>
      </c>
      <c r="AB510" s="171" t="str">
        <v/>
      </c>
      <c r="AC510" s="158">
        <v>0</v>
      </c>
      <c r="AD510" s="173" t="str">
        <f ca="1">IFERROR(__xludf.DUMMYFUNCTION("""COMPUTED_VALUE"""),"")</f>
        <v/>
      </c>
      <c r="AE510" s="154" t="str">
        <v/>
      </c>
      <c r="AF510" s="154" t="str">
        <v/>
      </c>
    </row>
    <row r="511" spans="1:32" ht="15">
      <c r="A511" s="176"/>
      <c r="B511" s="145"/>
      <c r="C511" s="169"/>
      <c r="D511" s="145"/>
      <c r="E511" s="145"/>
      <c r="F511" s="169" t="e">
        <v>#VALUE!</v>
      </c>
      <c r="G511" s="145"/>
      <c r="H511" s="145"/>
      <c r="I511" s="145"/>
      <c r="J511" s="145"/>
      <c r="K511" s="145"/>
      <c r="L511" s="145"/>
      <c r="M511" s="145"/>
      <c r="N511" s="145"/>
      <c r="O511" s="174"/>
      <c r="P511" s="174"/>
      <c r="Q511" s="158" t="str">
        <v/>
      </c>
      <c r="R511" s="158" t="str">
        <v/>
      </c>
      <c r="S511" s="158" t="str">
        <v/>
      </c>
      <c r="T511" s="158" t="str">
        <v/>
      </c>
      <c r="U511" s="158" t="str">
        <v/>
      </c>
      <c r="V511" s="158" t="str">
        <v/>
      </c>
      <c r="W511" s="158" t="str">
        <v/>
      </c>
      <c r="X511" s="158" t="str">
        <v/>
      </c>
      <c r="Y511" s="158" t="str">
        <v/>
      </c>
      <c r="Z511" s="158" t="str">
        <v/>
      </c>
      <c r="AA511" s="158" t="e">
        <v>#VALUE!</v>
      </c>
      <c r="AB511" s="171" t="str">
        <v/>
      </c>
      <c r="AC511" s="158">
        <v>0</v>
      </c>
      <c r="AD511" s="173" t="str">
        <f ca="1">IFERROR(__xludf.DUMMYFUNCTION("""COMPUTED_VALUE"""),"")</f>
        <v/>
      </c>
      <c r="AE511" s="154" t="str">
        <v/>
      </c>
      <c r="AF511" s="154" t="str">
        <v/>
      </c>
    </row>
    <row r="512" spans="1:32" ht="15">
      <c r="A512" s="176"/>
      <c r="B512" s="145"/>
      <c r="C512" s="169"/>
      <c r="D512" s="145"/>
      <c r="E512" s="145"/>
      <c r="F512" s="169" t="e">
        <v>#VALUE!</v>
      </c>
      <c r="G512" s="145"/>
      <c r="H512" s="145"/>
      <c r="I512" s="145"/>
      <c r="J512" s="145"/>
      <c r="K512" s="145"/>
      <c r="L512" s="145"/>
      <c r="M512" s="145"/>
      <c r="N512" s="145"/>
      <c r="O512" s="174"/>
      <c r="P512" s="174"/>
      <c r="Q512" s="158" t="str">
        <v/>
      </c>
      <c r="R512" s="158" t="str">
        <v/>
      </c>
      <c r="S512" s="158" t="str">
        <v/>
      </c>
      <c r="T512" s="158" t="str">
        <v/>
      </c>
      <c r="U512" s="158" t="str">
        <v/>
      </c>
      <c r="V512" s="158" t="str">
        <v/>
      </c>
      <c r="W512" s="158" t="str">
        <v/>
      </c>
      <c r="X512" s="158" t="str">
        <v/>
      </c>
      <c r="Y512" s="158" t="str">
        <v/>
      </c>
      <c r="Z512" s="158" t="str">
        <v/>
      </c>
      <c r="AA512" s="158" t="e">
        <v>#VALUE!</v>
      </c>
      <c r="AB512" s="171" t="str">
        <v/>
      </c>
      <c r="AC512" s="158">
        <v>0</v>
      </c>
      <c r="AD512" s="173" t="str">
        <f ca="1">IFERROR(__xludf.DUMMYFUNCTION("""COMPUTED_VALUE"""),"")</f>
        <v/>
      </c>
      <c r="AE512" s="154" t="str">
        <v/>
      </c>
      <c r="AF512" s="154" t="str">
        <v/>
      </c>
    </row>
    <row r="513" spans="1:32" ht="15">
      <c r="A513" s="176"/>
      <c r="B513" s="145"/>
      <c r="C513" s="169"/>
      <c r="D513" s="145"/>
      <c r="E513" s="145"/>
      <c r="F513" s="169" t="e">
        <v>#VALUE!</v>
      </c>
      <c r="G513" s="145"/>
      <c r="H513" s="145"/>
      <c r="I513" s="145"/>
      <c r="J513" s="145"/>
      <c r="K513" s="145"/>
      <c r="L513" s="145"/>
      <c r="M513" s="145"/>
      <c r="N513" s="145"/>
      <c r="O513" s="174"/>
      <c r="P513" s="174"/>
      <c r="Q513" s="158" t="str">
        <v/>
      </c>
      <c r="R513" s="158" t="str">
        <v/>
      </c>
      <c r="S513" s="158" t="str">
        <v/>
      </c>
      <c r="T513" s="158" t="str">
        <v/>
      </c>
      <c r="U513" s="158" t="str">
        <v/>
      </c>
      <c r="V513" s="158" t="str">
        <v/>
      </c>
      <c r="W513" s="158" t="str">
        <v/>
      </c>
      <c r="X513" s="158" t="str">
        <v/>
      </c>
      <c r="Y513" s="158" t="str">
        <v/>
      </c>
      <c r="Z513" s="158" t="str">
        <v/>
      </c>
      <c r="AA513" s="158" t="e">
        <v>#VALUE!</v>
      </c>
      <c r="AB513" s="171" t="str">
        <v/>
      </c>
      <c r="AC513" s="158">
        <v>0</v>
      </c>
      <c r="AD513" s="173" t="str">
        <f ca="1">IFERROR(__xludf.DUMMYFUNCTION("""COMPUTED_VALUE"""),"")</f>
        <v/>
      </c>
      <c r="AE513" s="154" t="str">
        <v/>
      </c>
      <c r="AF513" s="154" t="str">
        <v/>
      </c>
    </row>
    <row r="514" spans="1:32" ht="15">
      <c r="A514" s="176"/>
      <c r="B514" s="145"/>
      <c r="C514" s="169"/>
      <c r="D514" s="145"/>
      <c r="E514" s="145"/>
      <c r="F514" s="169" t="e">
        <v>#VALUE!</v>
      </c>
      <c r="G514" s="145"/>
      <c r="H514" s="145"/>
      <c r="I514" s="145"/>
      <c r="J514" s="145"/>
      <c r="K514" s="145"/>
      <c r="L514" s="145"/>
      <c r="M514" s="145"/>
      <c r="N514" s="145"/>
      <c r="O514" s="174"/>
      <c r="P514" s="174"/>
      <c r="Q514" s="158" t="str">
        <v/>
      </c>
      <c r="R514" s="158" t="str">
        <v/>
      </c>
      <c r="S514" s="158" t="str">
        <v/>
      </c>
      <c r="T514" s="158" t="str">
        <v/>
      </c>
      <c r="U514" s="158" t="str">
        <v/>
      </c>
      <c r="V514" s="158" t="str">
        <v/>
      </c>
      <c r="W514" s="158" t="str">
        <v/>
      </c>
      <c r="X514" s="158" t="str">
        <v/>
      </c>
      <c r="Y514" s="158" t="str">
        <v/>
      </c>
      <c r="Z514" s="158" t="str">
        <v/>
      </c>
      <c r="AA514" s="158" t="e">
        <v>#VALUE!</v>
      </c>
      <c r="AB514" s="171" t="str">
        <v/>
      </c>
      <c r="AC514" s="158">
        <v>0</v>
      </c>
      <c r="AD514" s="173" t="str">
        <f ca="1">IFERROR(__xludf.DUMMYFUNCTION("""COMPUTED_VALUE"""),"")</f>
        <v/>
      </c>
      <c r="AE514" s="154" t="str">
        <v/>
      </c>
      <c r="AF514" s="154" t="str">
        <v/>
      </c>
    </row>
    <row r="515" spans="1:32" ht="15">
      <c r="A515" s="176"/>
      <c r="B515" s="145"/>
      <c r="C515" s="169"/>
      <c r="D515" s="145"/>
      <c r="E515" s="145"/>
      <c r="F515" s="169" t="e">
        <v>#VALUE!</v>
      </c>
      <c r="G515" s="145"/>
      <c r="H515" s="145"/>
      <c r="I515" s="145"/>
      <c r="J515" s="145"/>
      <c r="K515" s="145"/>
      <c r="L515" s="145"/>
      <c r="M515" s="145"/>
      <c r="N515" s="145"/>
      <c r="O515" s="174"/>
      <c r="P515" s="174"/>
      <c r="Q515" s="158" t="str">
        <v/>
      </c>
      <c r="R515" s="158" t="str">
        <v/>
      </c>
      <c r="S515" s="158" t="str">
        <v/>
      </c>
      <c r="T515" s="158" t="str">
        <v/>
      </c>
      <c r="U515" s="158" t="str">
        <v/>
      </c>
      <c r="V515" s="158" t="str">
        <v/>
      </c>
      <c r="W515" s="158" t="str">
        <v/>
      </c>
      <c r="X515" s="158" t="str">
        <v/>
      </c>
      <c r="Y515" s="158" t="str">
        <v/>
      </c>
      <c r="Z515" s="158" t="str">
        <v/>
      </c>
      <c r="AA515" s="158" t="e">
        <v>#VALUE!</v>
      </c>
      <c r="AB515" s="171" t="str">
        <v/>
      </c>
      <c r="AC515" s="158">
        <v>0</v>
      </c>
      <c r="AD515" s="173" t="str">
        <f ca="1">IFERROR(__xludf.DUMMYFUNCTION("""COMPUTED_VALUE"""),"")</f>
        <v/>
      </c>
      <c r="AE515" s="154" t="str">
        <v/>
      </c>
      <c r="AF515" s="154" t="str">
        <v/>
      </c>
    </row>
    <row r="516" spans="1:32" ht="15">
      <c r="A516" s="176"/>
      <c r="B516" s="145"/>
      <c r="C516" s="169"/>
      <c r="D516" s="145"/>
      <c r="E516" s="145"/>
      <c r="F516" s="169" t="e">
        <v>#VALUE!</v>
      </c>
      <c r="G516" s="145"/>
      <c r="H516" s="145"/>
      <c r="I516" s="145"/>
      <c r="J516" s="145"/>
      <c r="K516" s="145"/>
      <c r="L516" s="145"/>
      <c r="M516" s="145"/>
      <c r="N516" s="145"/>
      <c r="O516" s="174"/>
      <c r="P516" s="174"/>
      <c r="Q516" s="158" t="str">
        <v/>
      </c>
      <c r="R516" s="158" t="str">
        <v/>
      </c>
      <c r="S516" s="158" t="str">
        <v/>
      </c>
      <c r="T516" s="158" t="str">
        <v/>
      </c>
      <c r="U516" s="158" t="str">
        <v/>
      </c>
      <c r="V516" s="158" t="str">
        <v/>
      </c>
      <c r="W516" s="158" t="str">
        <v/>
      </c>
      <c r="X516" s="158" t="str">
        <v/>
      </c>
      <c r="Y516" s="158" t="str">
        <v/>
      </c>
      <c r="Z516" s="158" t="str">
        <v/>
      </c>
      <c r="AA516" s="158" t="e">
        <v>#VALUE!</v>
      </c>
      <c r="AB516" s="171" t="str">
        <v/>
      </c>
      <c r="AC516" s="158">
        <v>0</v>
      </c>
      <c r="AD516" s="173" t="str">
        <f ca="1">IFERROR(__xludf.DUMMYFUNCTION("""COMPUTED_VALUE"""),"")</f>
        <v/>
      </c>
      <c r="AE516" s="154" t="str">
        <v/>
      </c>
      <c r="AF516" s="154" t="str">
        <v/>
      </c>
    </row>
    <row r="517" spans="1:32" ht="15">
      <c r="A517" s="176"/>
      <c r="B517" s="145"/>
      <c r="C517" s="169"/>
      <c r="D517" s="145"/>
      <c r="E517" s="145"/>
      <c r="F517" s="169" t="e">
        <v>#VALUE!</v>
      </c>
      <c r="G517" s="145"/>
      <c r="H517" s="145"/>
      <c r="I517" s="145"/>
      <c r="J517" s="145"/>
      <c r="K517" s="145"/>
      <c r="L517" s="145"/>
      <c r="M517" s="145"/>
      <c r="N517" s="145"/>
      <c r="O517" s="174"/>
      <c r="P517" s="174"/>
      <c r="Q517" s="158" t="str">
        <v/>
      </c>
      <c r="R517" s="158" t="str">
        <v/>
      </c>
      <c r="S517" s="158" t="str">
        <v/>
      </c>
      <c r="T517" s="158" t="str">
        <v/>
      </c>
      <c r="U517" s="158" t="str">
        <v/>
      </c>
      <c r="V517" s="158" t="str">
        <v/>
      </c>
      <c r="W517" s="158" t="str">
        <v/>
      </c>
      <c r="X517" s="158" t="str">
        <v/>
      </c>
      <c r="Y517" s="158" t="str">
        <v/>
      </c>
      <c r="Z517" s="158" t="str">
        <v/>
      </c>
      <c r="AA517" s="158" t="e">
        <v>#VALUE!</v>
      </c>
      <c r="AB517" s="171" t="str">
        <v/>
      </c>
      <c r="AC517" s="158">
        <v>0</v>
      </c>
      <c r="AD517" s="173" t="str">
        <f ca="1">IFERROR(__xludf.DUMMYFUNCTION("""COMPUTED_VALUE"""),"")</f>
        <v/>
      </c>
      <c r="AE517" s="154" t="str">
        <v/>
      </c>
      <c r="AF517" s="154" t="str">
        <v/>
      </c>
    </row>
    <row r="518" spans="1:32" ht="15">
      <c r="A518" s="176"/>
      <c r="B518" s="145"/>
      <c r="C518" s="169"/>
      <c r="D518" s="145"/>
      <c r="E518" s="145"/>
      <c r="F518" s="169" t="e">
        <v>#VALUE!</v>
      </c>
      <c r="G518" s="145"/>
      <c r="H518" s="145"/>
      <c r="I518" s="145"/>
      <c r="J518" s="145"/>
      <c r="K518" s="145"/>
      <c r="L518" s="145"/>
      <c r="M518" s="145"/>
      <c r="N518" s="145"/>
      <c r="O518" s="174"/>
      <c r="P518" s="174"/>
      <c r="Q518" s="158" t="str">
        <v/>
      </c>
      <c r="R518" s="158" t="str">
        <v/>
      </c>
      <c r="S518" s="158" t="str">
        <v/>
      </c>
      <c r="T518" s="158" t="str">
        <v/>
      </c>
      <c r="U518" s="158" t="str">
        <v/>
      </c>
      <c r="V518" s="158" t="str">
        <v/>
      </c>
      <c r="W518" s="158" t="str">
        <v/>
      </c>
      <c r="X518" s="158" t="str">
        <v/>
      </c>
      <c r="Y518" s="158" t="str">
        <v/>
      </c>
      <c r="Z518" s="158" t="str">
        <v/>
      </c>
      <c r="AA518" s="158" t="e">
        <v>#VALUE!</v>
      </c>
      <c r="AB518" s="171" t="str">
        <v/>
      </c>
      <c r="AC518" s="158">
        <v>0</v>
      </c>
      <c r="AD518" s="173" t="str">
        <f ca="1">IFERROR(__xludf.DUMMYFUNCTION("""COMPUTED_VALUE"""),"")</f>
        <v/>
      </c>
      <c r="AE518" s="154" t="str">
        <v/>
      </c>
      <c r="AF518" s="154" t="str">
        <v/>
      </c>
    </row>
    <row r="519" spans="1:32" ht="15">
      <c r="A519" s="176"/>
      <c r="B519" s="145"/>
      <c r="C519" s="169"/>
      <c r="D519" s="145"/>
      <c r="E519" s="145"/>
      <c r="F519" s="169" t="e">
        <v>#VALUE!</v>
      </c>
      <c r="G519" s="145"/>
      <c r="H519" s="145"/>
      <c r="I519" s="145"/>
      <c r="J519" s="145"/>
      <c r="K519" s="145"/>
      <c r="L519" s="145"/>
      <c r="M519" s="145"/>
      <c r="N519" s="145"/>
      <c r="O519" s="174"/>
      <c r="P519" s="174"/>
      <c r="Q519" s="158" t="str">
        <v/>
      </c>
      <c r="R519" s="158" t="str">
        <v/>
      </c>
      <c r="S519" s="158" t="str">
        <v/>
      </c>
      <c r="T519" s="158" t="str">
        <v/>
      </c>
      <c r="U519" s="158" t="str">
        <v/>
      </c>
      <c r="V519" s="158" t="str">
        <v/>
      </c>
      <c r="W519" s="158" t="str">
        <v/>
      </c>
      <c r="X519" s="158" t="str">
        <v/>
      </c>
      <c r="Y519" s="158" t="str">
        <v/>
      </c>
      <c r="Z519" s="158" t="str">
        <v/>
      </c>
      <c r="AA519" s="158" t="e">
        <v>#VALUE!</v>
      </c>
      <c r="AB519" s="171" t="str">
        <v/>
      </c>
      <c r="AC519" s="158">
        <v>0</v>
      </c>
      <c r="AD519" s="173" t="str">
        <f ca="1">IFERROR(__xludf.DUMMYFUNCTION("""COMPUTED_VALUE"""),"")</f>
        <v/>
      </c>
      <c r="AE519" s="154" t="str">
        <v/>
      </c>
      <c r="AF519" s="154" t="str">
        <v/>
      </c>
    </row>
    <row r="520" spans="1:32" ht="15">
      <c r="A520" s="176"/>
      <c r="B520" s="145"/>
      <c r="C520" s="169"/>
      <c r="D520" s="145"/>
      <c r="E520" s="145"/>
      <c r="F520" s="169" t="e">
        <v>#VALUE!</v>
      </c>
      <c r="G520" s="145"/>
      <c r="H520" s="145"/>
      <c r="I520" s="145"/>
      <c r="J520" s="145"/>
      <c r="K520" s="145"/>
      <c r="L520" s="145"/>
      <c r="M520" s="145"/>
      <c r="N520" s="145"/>
      <c r="O520" s="174"/>
      <c r="P520" s="174"/>
      <c r="Q520" s="158" t="str">
        <v/>
      </c>
      <c r="R520" s="158" t="str">
        <v/>
      </c>
      <c r="S520" s="158" t="str">
        <v/>
      </c>
      <c r="T520" s="158" t="str">
        <v/>
      </c>
      <c r="U520" s="158" t="str">
        <v/>
      </c>
      <c r="V520" s="158" t="str">
        <v/>
      </c>
      <c r="W520" s="158" t="str">
        <v/>
      </c>
      <c r="X520" s="158" t="str">
        <v/>
      </c>
      <c r="Y520" s="158" t="str">
        <v/>
      </c>
      <c r="Z520" s="158" t="str">
        <v/>
      </c>
      <c r="AA520" s="158" t="e">
        <v>#VALUE!</v>
      </c>
      <c r="AB520" s="171" t="str">
        <v/>
      </c>
      <c r="AC520" s="158">
        <v>0</v>
      </c>
      <c r="AD520" s="173" t="str">
        <f ca="1">IFERROR(__xludf.DUMMYFUNCTION("""COMPUTED_VALUE"""),"")</f>
        <v/>
      </c>
      <c r="AE520" s="154" t="str">
        <v/>
      </c>
      <c r="AF520" s="154" t="str">
        <v/>
      </c>
    </row>
    <row r="521" spans="1:32" ht="15">
      <c r="A521" s="176"/>
      <c r="B521" s="145"/>
      <c r="C521" s="169"/>
      <c r="D521" s="145"/>
      <c r="E521" s="145"/>
      <c r="F521" s="169" t="e">
        <v>#VALUE!</v>
      </c>
      <c r="G521" s="145"/>
      <c r="H521" s="145"/>
      <c r="I521" s="145"/>
      <c r="J521" s="145"/>
      <c r="K521" s="145"/>
      <c r="L521" s="145"/>
      <c r="M521" s="145"/>
      <c r="N521" s="145"/>
      <c r="O521" s="174"/>
      <c r="P521" s="174"/>
      <c r="Q521" s="158" t="str">
        <v/>
      </c>
      <c r="R521" s="158" t="str">
        <v/>
      </c>
      <c r="S521" s="158" t="str">
        <v/>
      </c>
      <c r="T521" s="158" t="str">
        <v/>
      </c>
      <c r="U521" s="158" t="str">
        <v/>
      </c>
      <c r="V521" s="158" t="str">
        <v/>
      </c>
      <c r="W521" s="158" t="str">
        <v/>
      </c>
      <c r="X521" s="158" t="str">
        <v/>
      </c>
      <c r="Y521" s="158" t="str">
        <v/>
      </c>
      <c r="Z521" s="158" t="str">
        <v/>
      </c>
      <c r="AA521" s="158" t="e">
        <v>#VALUE!</v>
      </c>
      <c r="AB521" s="171" t="str">
        <v/>
      </c>
      <c r="AC521" s="158">
        <v>0</v>
      </c>
      <c r="AD521" s="173" t="str">
        <f ca="1">IFERROR(__xludf.DUMMYFUNCTION("""COMPUTED_VALUE"""),"")</f>
        <v/>
      </c>
      <c r="AE521" s="154" t="str">
        <v/>
      </c>
      <c r="AF521" s="154" t="str">
        <v/>
      </c>
    </row>
    <row r="522" spans="1:32" ht="15">
      <c r="A522" s="176"/>
      <c r="B522" s="145"/>
      <c r="C522" s="169"/>
      <c r="D522" s="145"/>
      <c r="E522" s="145"/>
      <c r="F522" s="169" t="e">
        <v>#VALUE!</v>
      </c>
      <c r="G522" s="145"/>
      <c r="H522" s="145"/>
      <c r="I522" s="145"/>
      <c r="J522" s="145"/>
      <c r="K522" s="145"/>
      <c r="L522" s="145"/>
      <c r="M522" s="145"/>
      <c r="N522" s="145"/>
      <c r="O522" s="174"/>
      <c r="P522" s="174"/>
      <c r="Q522" s="158" t="str">
        <v/>
      </c>
      <c r="R522" s="158" t="str">
        <v/>
      </c>
      <c r="S522" s="158" t="str">
        <v/>
      </c>
      <c r="T522" s="158" t="str">
        <v/>
      </c>
      <c r="U522" s="158" t="str">
        <v/>
      </c>
      <c r="V522" s="158" t="str">
        <v/>
      </c>
      <c r="W522" s="158" t="str">
        <v/>
      </c>
      <c r="X522" s="158" t="str">
        <v/>
      </c>
      <c r="Y522" s="158" t="str">
        <v/>
      </c>
      <c r="Z522" s="158" t="str">
        <v/>
      </c>
      <c r="AA522" s="158" t="e">
        <v>#VALUE!</v>
      </c>
      <c r="AB522" s="171" t="str">
        <v/>
      </c>
      <c r="AC522" s="158">
        <v>0</v>
      </c>
      <c r="AD522" s="173" t="str">
        <f ca="1">IFERROR(__xludf.DUMMYFUNCTION("""COMPUTED_VALUE"""),"")</f>
        <v/>
      </c>
      <c r="AE522" s="154" t="str">
        <v/>
      </c>
      <c r="AF522" s="154" t="str">
        <v/>
      </c>
    </row>
    <row r="523" spans="1:32" ht="15">
      <c r="A523" s="176"/>
      <c r="B523" s="145"/>
      <c r="C523" s="169"/>
      <c r="D523" s="145"/>
      <c r="E523" s="145"/>
      <c r="F523" s="169" t="e">
        <v>#VALUE!</v>
      </c>
      <c r="G523" s="145"/>
      <c r="H523" s="145"/>
      <c r="I523" s="145"/>
      <c r="J523" s="145"/>
      <c r="K523" s="145"/>
      <c r="L523" s="145"/>
      <c r="M523" s="145"/>
      <c r="N523" s="145"/>
      <c r="O523" s="174"/>
      <c r="P523" s="174"/>
      <c r="Q523" s="158" t="str">
        <v/>
      </c>
      <c r="R523" s="158" t="str">
        <v/>
      </c>
      <c r="S523" s="158" t="str">
        <v/>
      </c>
      <c r="T523" s="158" t="str">
        <v/>
      </c>
      <c r="U523" s="158" t="str">
        <v/>
      </c>
      <c r="V523" s="158" t="str">
        <v/>
      </c>
      <c r="W523" s="158" t="str">
        <v/>
      </c>
      <c r="X523" s="158" t="str">
        <v/>
      </c>
      <c r="Y523" s="158" t="str">
        <v/>
      </c>
      <c r="Z523" s="158" t="str">
        <v/>
      </c>
      <c r="AA523" s="158" t="e">
        <v>#VALUE!</v>
      </c>
      <c r="AB523" s="171" t="str">
        <v/>
      </c>
      <c r="AC523" s="158">
        <v>0</v>
      </c>
      <c r="AD523" s="173" t="str">
        <f ca="1">IFERROR(__xludf.DUMMYFUNCTION("""COMPUTED_VALUE"""),"")</f>
        <v/>
      </c>
      <c r="AE523" s="154" t="str">
        <v/>
      </c>
      <c r="AF523" s="154" t="str">
        <v/>
      </c>
    </row>
    <row r="524" spans="1:32" ht="15">
      <c r="A524" s="176"/>
      <c r="B524" s="145"/>
      <c r="C524" s="169"/>
      <c r="D524" s="145"/>
      <c r="E524" s="145"/>
      <c r="F524" s="169" t="e">
        <v>#VALUE!</v>
      </c>
      <c r="G524" s="145"/>
      <c r="H524" s="145"/>
      <c r="I524" s="145"/>
      <c r="J524" s="145"/>
      <c r="K524" s="145"/>
      <c r="L524" s="145"/>
      <c r="M524" s="145"/>
      <c r="N524" s="145"/>
      <c r="O524" s="174"/>
      <c r="P524" s="174"/>
      <c r="Q524" s="158" t="str">
        <v/>
      </c>
      <c r="R524" s="158" t="str">
        <v/>
      </c>
      <c r="S524" s="158" t="str">
        <v/>
      </c>
      <c r="T524" s="158" t="str">
        <v/>
      </c>
      <c r="U524" s="158" t="str">
        <v/>
      </c>
      <c r="V524" s="158" t="str">
        <v/>
      </c>
      <c r="W524" s="158" t="str">
        <v/>
      </c>
      <c r="X524" s="158" t="str">
        <v/>
      </c>
      <c r="Y524" s="158" t="str">
        <v/>
      </c>
      <c r="Z524" s="158" t="str">
        <v/>
      </c>
      <c r="AA524" s="158" t="e">
        <v>#VALUE!</v>
      </c>
      <c r="AB524" s="171" t="str">
        <v/>
      </c>
      <c r="AC524" s="158">
        <v>0</v>
      </c>
      <c r="AD524" s="173" t="str">
        <f ca="1">IFERROR(__xludf.DUMMYFUNCTION("""COMPUTED_VALUE"""),"")</f>
        <v/>
      </c>
      <c r="AE524" s="154" t="str">
        <v/>
      </c>
      <c r="AF524" s="154" t="str">
        <v/>
      </c>
    </row>
    <row r="525" spans="1:32" ht="15">
      <c r="A525" s="176"/>
      <c r="B525" s="145"/>
      <c r="C525" s="169"/>
      <c r="D525" s="145"/>
      <c r="E525" s="145"/>
      <c r="F525" s="169" t="e">
        <v>#VALUE!</v>
      </c>
      <c r="G525" s="145"/>
      <c r="H525" s="145"/>
      <c r="I525" s="145"/>
      <c r="J525" s="145"/>
      <c r="K525" s="145"/>
      <c r="L525" s="145"/>
      <c r="M525" s="145"/>
      <c r="N525" s="145"/>
      <c r="O525" s="174"/>
      <c r="P525" s="174"/>
      <c r="Q525" s="158" t="str">
        <v/>
      </c>
      <c r="R525" s="158" t="str">
        <v/>
      </c>
      <c r="S525" s="158" t="str">
        <v/>
      </c>
      <c r="T525" s="158" t="str">
        <v/>
      </c>
      <c r="U525" s="158" t="str">
        <v/>
      </c>
      <c r="V525" s="158" t="str">
        <v/>
      </c>
      <c r="W525" s="158" t="str">
        <v/>
      </c>
      <c r="X525" s="158" t="str">
        <v/>
      </c>
      <c r="Y525" s="158" t="str">
        <v/>
      </c>
      <c r="Z525" s="158" t="str">
        <v/>
      </c>
      <c r="AA525" s="158" t="e">
        <v>#VALUE!</v>
      </c>
      <c r="AB525" s="171" t="str">
        <v/>
      </c>
      <c r="AC525" s="158">
        <v>0</v>
      </c>
      <c r="AD525" s="173" t="str">
        <f ca="1">IFERROR(__xludf.DUMMYFUNCTION("""COMPUTED_VALUE"""),"")</f>
        <v/>
      </c>
      <c r="AE525" s="154" t="str">
        <v/>
      </c>
      <c r="AF525" s="154" t="str">
        <v/>
      </c>
    </row>
    <row r="526" spans="1:32" ht="15">
      <c r="A526" s="176"/>
      <c r="B526" s="145"/>
      <c r="C526" s="169"/>
      <c r="D526" s="145"/>
      <c r="E526" s="145"/>
      <c r="F526" s="169" t="e">
        <v>#VALUE!</v>
      </c>
      <c r="G526" s="145"/>
      <c r="H526" s="145"/>
      <c r="I526" s="145"/>
      <c r="J526" s="145"/>
      <c r="K526" s="145"/>
      <c r="L526" s="145"/>
      <c r="M526" s="145"/>
      <c r="N526" s="145"/>
      <c r="O526" s="174"/>
      <c r="P526" s="174"/>
      <c r="Q526" s="158" t="str">
        <v/>
      </c>
      <c r="R526" s="158" t="str">
        <v/>
      </c>
      <c r="S526" s="158" t="str">
        <v/>
      </c>
      <c r="T526" s="158" t="str">
        <v/>
      </c>
      <c r="U526" s="158" t="str">
        <v/>
      </c>
      <c r="V526" s="158" t="str">
        <v/>
      </c>
      <c r="W526" s="158" t="str">
        <v/>
      </c>
      <c r="X526" s="158" t="str">
        <v/>
      </c>
      <c r="Y526" s="158" t="str">
        <v/>
      </c>
      <c r="Z526" s="158" t="str">
        <v/>
      </c>
      <c r="AA526" s="158" t="e">
        <v>#VALUE!</v>
      </c>
      <c r="AB526" s="171" t="str">
        <v/>
      </c>
      <c r="AC526" s="158">
        <v>0</v>
      </c>
      <c r="AD526" s="173" t="str">
        <f ca="1">IFERROR(__xludf.DUMMYFUNCTION("""COMPUTED_VALUE"""),"")</f>
        <v/>
      </c>
      <c r="AE526" s="154" t="str">
        <v/>
      </c>
      <c r="AF526" s="154" t="str">
        <v/>
      </c>
    </row>
    <row r="527" spans="1:32" ht="15">
      <c r="A527" s="176"/>
      <c r="B527" s="145"/>
      <c r="C527" s="169"/>
      <c r="D527" s="145"/>
      <c r="E527" s="145"/>
      <c r="F527" s="169" t="e">
        <v>#VALUE!</v>
      </c>
      <c r="G527" s="145"/>
      <c r="H527" s="145"/>
      <c r="I527" s="145"/>
      <c r="J527" s="145"/>
      <c r="K527" s="145"/>
      <c r="L527" s="145"/>
      <c r="M527" s="145"/>
      <c r="N527" s="145"/>
      <c r="O527" s="174"/>
      <c r="P527" s="174"/>
      <c r="Q527" s="158" t="str">
        <v/>
      </c>
      <c r="R527" s="158" t="str">
        <v/>
      </c>
      <c r="S527" s="158" t="str">
        <v/>
      </c>
      <c r="T527" s="158" t="str">
        <v/>
      </c>
      <c r="U527" s="158" t="str">
        <v/>
      </c>
      <c r="V527" s="158" t="str">
        <v/>
      </c>
      <c r="W527" s="158" t="str">
        <v/>
      </c>
      <c r="X527" s="158" t="str">
        <v/>
      </c>
      <c r="Y527" s="158" t="str">
        <v/>
      </c>
      <c r="Z527" s="158" t="str">
        <v/>
      </c>
      <c r="AA527" s="158" t="e">
        <v>#VALUE!</v>
      </c>
      <c r="AB527" s="171" t="str">
        <v/>
      </c>
      <c r="AC527" s="158">
        <v>0</v>
      </c>
      <c r="AD527" s="173" t="str">
        <f ca="1">IFERROR(__xludf.DUMMYFUNCTION("""COMPUTED_VALUE"""),"")</f>
        <v/>
      </c>
      <c r="AE527" s="154" t="str">
        <v/>
      </c>
      <c r="AF527" s="154" t="str">
        <v/>
      </c>
    </row>
    <row r="528" spans="1:32" ht="15">
      <c r="A528" s="176"/>
      <c r="B528" s="145"/>
      <c r="C528" s="169"/>
      <c r="D528" s="145"/>
      <c r="E528" s="145"/>
      <c r="F528" s="169" t="e">
        <v>#VALUE!</v>
      </c>
      <c r="G528" s="145"/>
      <c r="H528" s="145"/>
      <c r="I528" s="145"/>
      <c r="J528" s="145"/>
      <c r="K528" s="145"/>
      <c r="L528" s="145"/>
      <c r="M528" s="145"/>
      <c r="N528" s="145"/>
      <c r="O528" s="174"/>
      <c r="P528" s="174"/>
      <c r="Q528" s="158" t="str">
        <v/>
      </c>
      <c r="R528" s="158" t="str">
        <v/>
      </c>
      <c r="S528" s="158" t="str">
        <v/>
      </c>
      <c r="T528" s="158" t="str">
        <v/>
      </c>
      <c r="U528" s="158" t="str">
        <v/>
      </c>
      <c r="V528" s="158" t="str">
        <v/>
      </c>
      <c r="W528" s="158" t="str">
        <v/>
      </c>
      <c r="X528" s="158" t="str">
        <v/>
      </c>
      <c r="Y528" s="158" t="str">
        <v/>
      </c>
      <c r="Z528" s="158" t="str">
        <v/>
      </c>
      <c r="AA528" s="158" t="e">
        <v>#VALUE!</v>
      </c>
      <c r="AB528" s="171" t="str">
        <v/>
      </c>
      <c r="AC528" s="158">
        <v>0</v>
      </c>
      <c r="AD528" s="173" t="str">
        <f ca="1">IFERROR(__xludf.DUMMYFUNCTION("""COMPUTED_VALUE"""),"")</f>
        <v/>
      </c>
      <c r="AE528" s="154" t="str">
        <v/>
      </c>
      <c r="AF528" s="154" t="str">
        <v/>
      </c>
    </row>
    <row r="529" spans="1:32" ht="15">
      <c r="A529" s="176"/>
      <c r="B529" s="145"/>
      <c r="C529" s="169"/>
      <c r="D529" s="145"/>
      <c r="E529" s="145"/>
      <c r="F529" s="169" t="e">
        <v>#VALUE!</v>
      </c>
      <c r="G529" s="145"/>
      <c r="H529" s="145"/>
      <c r="I529" s="145"/>
      <c r="J529" s="145"/>
      <c r="K529" s="145"/>
      <c r="L529" s="145"/>
      <c r="M529" s="145"/>
      <c r="N529" s="145"/>
      <c r="O529" s="174"/>
      <c r="P529" s="174"/>
      <c r="Q529" s="158" t="str">
        <v/>
      </c>
      <c r="R529" s="158" t="str">
        <v/>
      </c>
      <c r="S529" s="158" t="str">
        <v/>
      </c>
      <c r="T529" s="158" t="str">
        <v/>
      </c>
      <c r="U529" s="158" t="str">
        <v/>
      </c>
      <c r="V529" s="158" t="str">
        <v/>
      </c>
      <c r="W529" s="158" t="str">
        <v/>
      </c>
      <c r="X529" s="158" t="str">
        <v/>
      </c>
      <c r="Y529" s="158" t="str">
        <v/>
      </c>
      <c r="Z529" s="158" t="str">
        <v/>
      </c>
      <c r="AA529" s="158" t="e">
        <v>#VALUE!</v>
      </c>
      <c r="AB529" s="171" t="str">
        <v/>
      </c>
      <c r="AC529" s="158">
        <v>0</v>
      </c>
      <c r="AD529" s="173" t="str">
        <f ca="1">IFERROR(__xludf.DUMMYFUNCTION("""COMPUTED_VALUE"""),"")</f>
        <v/>
      </c>
      <c r="AE529" s="154" t="str">
        <v/>
      </c>
      <c r="AF529" s="154" t="str">
        <v/>
      </c>
    </row>
    <row r="530" spans="1:32" ht="15">
      <c r="A530" s="176"/>
      <c r="B530" s="145"/>
      <c r="C530" s="169"/>
      <c r="D530" s="145"/>
      <c r="E530" s="145"/>
      <c r="F530" s="169" t="e">
        <v>#VALUE!</v>
      </c>
      <c r="G530" s="145"/>
      <c r="H530" s="145"/>
      <c r="I530" s="145"/>
      <c r="J530" s="145"/>
      <c r="K530" s="145"/>
      <c r="L530" s="145"/>
      <c r="M530" s="145"/>
      <c r="N530" s="145"/>
      <c r="O530" s="174"/>
      <c r="P530" s="174"/>
      <c r="Q530" s="158" t="str">
        <v/>
      </c>
      <c r="R530" s="158" t="str">
        <v/>
      </c>
      <c r="S530" s="158" t="str">
        <v/>
      </c>
      <c r="T530" s="158" t="str">
        <v/>
      </c>
      <c r="U530" s="158" t="str">
        <v/>
      </c>
      <c r="V530" s="158" t="str">
        <v/>
      </c>
      <c r="W530" s="158" t="str">
        <v/>
      </c>
      <c r="X530" s="158" t="str">
        <v/>
      </c>
      <c r="Y530" s="158" t="str">
        <v/>
      </c>
      <c r="Z530" s="158" t="str">
        <v/>
      </c>
      <c r="AA530" s="158" t="e">
        <v>#VALUE!</v>
      </c>
      <c r="AB530" s="171" t="str">
        <v/>
      </c>
      <c r="AC530" s="158">
        <v>0</v>
      </c>
      <c r="AD530" s="173" t="str">
        <f ca="1">IFERROR(__xludf.DUMMYFUNCTION("""COMPUTED_VALUE"""),"")</f>
        <v/>
      </c>
      <c r="AE530" s="154" t="str">
        <v/>
      </c>
      <c r="AF530" s="154" t="str">
        <v/>
      </c>
    </row>
    <row r="531" spans="1:32" ht="15">
      <c r="A531" s="176"/>
      <c r="B531" s="145"/>
      <c r="C531" s="169"/>
      <c r="D531" s="145"/>
      <c r="E531" s="145"/>
      <c r="F531" s="169" t="e">
        <v>#VALUE!</v>
      </c>
      <c r="G531" s="145"/>
      <c r="H531" s="145"/>
      <c r="I531" s="145"/>
      <c r="J531" s="145"/>
      <c r="K531" s="145"/>
      <c r="L531" s="145"/>
      <c r="M531" s="145"/>
      <c r="N531" s="145"/>
      <c r="O531" s="174"/>
      <c r="P531" s="174"/>
      <c r="Q531" s="158" t="str">
        <v/>
      </c>
      <c r="R531" s="158" t="str">
        <v/>
      </c>
      <c r="S531" s="158" t="str">
        <v/>
      </c>
      <c r="T531" s="158" t="str">
        <v/>
      </c>
      <c r="U531" s="158" t="str">
        <v/>
      </c>
      <c r="V531" s="158" t="str">
        <v/>
      </c>
      <c r="W531" s="158" t="str">
        <v/>
      </c>
      <c r="X531" s="158" t="str">
        <v/>
      </c>
      <c r="Y531" s="158" t="str">
        <v/>
      </c>
      <c r="Z531" s="158" t="str">
        <v/>
      </c>
      <c r="AA531" s="158" t="e">
        <v>#VALUE!</v>
      </c>
      <c r="AB531" s="171" t="str">
        <v/>
      </c>
      <c r="AC531" s="158">
        <v>0</v>
      </c>
      <c r="AD531" s="173" t="str">
        <f ca="1">IFERROR(__xludf.DUMMYFUNCTION("""COMPUTED_VALUE"""),"")</f>
        <v/>
      </c>
      <c r="AE531" s="154" t="str">
        <v/>
      </c>
      <c r="AF531" s="154" t="str">
        <v/>
      </c>
    </row>
    <row r="532" spans="1:32" ht="15">
      <c r="A532" s="176"/>
      <c r="B532" s="145"/>
      <c r="C532" s="169"/>
      <c r="D532" s="145"/>
      <c r="E532" s="145"/>
      <c r="F532" s="169" t="e">
        <v>#VALUE!</v>
      </c>
      <c r="G532" s="145"/>
      <c r="H532" s="145"/>
      <c r="I532" s="145"/>
      <c r="J532" s="145"/>
      <c r="K532" s="145"/>
      <c r="L532" s="145"/>
      <c r="M532" s="145"/>
      <c r="N532" s="145"/>
      <c r="O532" s="174"/>
      <c r="P532" s="174"/>
      <c r="Q532" s="158" t="str">
        <v/>
      </c>
      <c r="R532" s="158" t="str">
        <v/>
      </c>
      <c r="S532" s="158" t="str">
        <v/>
      </c>
      <c r="T532" s="158" t="str">
        <v/>
      </c>
      <c r="U532" s="158" t="str">
        <v/>
      </c>
      <c r="V532" s="158" t="str">
        <v/>
      </c>
      <c r="W532" s="158" t="str">
        <v/>
      </c>
      <c r="X532" s="158" t="str">
        <v/>
      </c>
      <c r="Y532" s="158" t="str">
        <v/>
      </c>
      <c r="Z532" s="158" t="str">
        <v/>
      </c>
      <c r="AA532" s="158" t="e">
        <v>#VALUE!</v>
      </c>
      <c r="AB532" s="171" t="str">
        <v/>
      </c>
      <c r="AC532" s="158">
        <v>0</v>
      </c>
      <c r="AD532" s="173" t="str">
        <f ca="1">IFERROR(__xludf.DUMMYFUNCTION("""COMPUTED_VALUE"""),"")</f>
        <v/>
      </c>
      <c r="AE532" s="154" t="str">
        <v/>
      </c>
      <c r="AF532" s="154" t="str">
        <v/>
      </c>
    </row>
    <row r="533" spans="1:32" ht="15">
      <c r="A533" s="176"/>
      <c r="B533" s="145"/>
      <c r="C533" s="169"/>
      <c r="D533" s="145"/>
      <c r="E533" s="145"/>
      <c r="F533" s="169" t="e">
        <v>#VALUE!</v>
      </c>
      <c r="G533" s="145"/>
      <c r="H533" s="145"/>
      <c r="I533" s="145"/>
      <c r="J533" s="145"/>
      <c r="K533" s="145"/>
      <c r="L533" s="145"/>
      <c r="M533" s="145"/>
      <c r="N533" s="145"/>
      <c r="O533" s="174"/>
      <c r="P533" s="174"/>
      <c r="Q533" s="158" t="str">
        <v/>
      </c>
      <c r="R533" s="158" t="str">
        <v/>
      </c>
      <c r="S533" s="158" t="str">
        <v/>
      </c>
      <c r="T533" s="158" t="str">
        <v/>
      </c>
      <c r="U533" s="158" t="str">
        <v/>
      </c>
      <c r="V533" s="158" t="str">
        <v/>
      </c>
      <c r="W533" s="158" t="str">
        <v/>
      </c>
      <c r="X533" s="158" t="str">
        <v/>
      </c>
      <c r="Y533" s="158" t="str">
        <v/>
      </c>
      <c r="Z533" s="158" t="str">
        <v/>
      </c>
      <c r="AA533" s="158" t="e">
        <v>#VALUE!</v>
      </c>
      <c r="AB533" s="171" t="str">
        <v/>
      </c>
      <c r="AC533" s="158">
        <v>0</v>
      </c>
      <c r="AD533" s="173" t="str">
        <f ca="1">IFERROR(__xludf.DUMMYFUNCTION("""COMPUTED_VALUE"""),"")</f>
        <v/>
      </c>
      <c r="AE533" s="154" t="str">
        <v/>
      </c>
      <c r="AF533" s="154" t="str">
        <v/>
      </c>
    </row>
    <row r="534" spans="1:32" ht="15">
      <c r="A534" s="176"/>
      <c r="B534" s="145"/>
      <c r="C534" s="169"/>
      <c r="D534" s="145"/>
      <c r="E534" s="145"/>
      <c r="F534" s="169" t="e">
        <v>#VALUE!</v>
      </c>
      <c r="G534" s="145"/>
      <c r="H534" s="145"/>
      <c r="I534" s="145"/>
      <c r="J534" s="145"/>
      <c r="K534" s="145"/>
      <c r="L534" s="145"/>
      <c r="M534" s="145"/>
      <c r="N534" s="145"/>
      <c r="O534" s="174"/>
      <c r="P534" s="174"/>
      <c r="Q534" s="158" t="str">
        <v/>
      </c>
      <c r="R534" s="158" t="str">
        <v/>
      </c>
      <c r="S534" s="158" t="str">
        <v/>
      </c>
      <c r="T534" s="158" t="str">
        <v/>
      </c>
      <c r="U534" s="158" t="str">
        <v/>
      </c>
      <c r="V534" s="158" t="str">
        <v/>
      </c>
      <c r="W534" s="158" t="str">
        <v/>
      </c>
      <c r="X534" s="158" t="str">
        <v/>
      </c>
      <c r="Y534" s="158" t="str">
        <v/>
      </c>
      <c r="Z534" s="158" t="str">
        <v/>
      </c>
      <c r="AA534" s="158" t="e">
        <v>#VALUE!</v>
      </c>
      <c r="AB534" s="171" t="str">
        <v/>
      </c>
      <c r="AC534" s="158">
        <v>0</v>
      </c>
      <c r="AD534" s="173" t="str">
        <f ca="1">IFERROR(__xludf.DUMMYFUNCTION("""COMPUTED_VALUE"""),"")</f>
        <v/>
      </c>
      <c r="AE534" s="154" t="str">
        <v/>
      </c>
      <c r="AF534" s="154" t="str">
        <v/>
      </c>
    </row>
    <row r="535" spans="1:32" ht="15">
      <c r="A535" s="176"/>
      <c r="B535" s="145"/>
      <c r="C535" s="169"/>
      <c r="D535" s="145"/>
      <c r="E535" s="145"/>
      <c r="F535" s="169" t="e">
        <v>#VALUE!</v>
      </c>
      <c r="G535" s="145"/>
      <c r="H535" s="145"/>
      <c r="I535" s="145"/>
      <c r="J535" s="145"/>
      <c r="K535" s="145"/>
      <c r="L535" s="145"/>
      <c r="M535" s="145"/>
      <c r="N535" s="145"/>
      <c r="O535" s="174"/>
      <c r="P535" s="174"/>
      <c r="Q535" s="158" t="str">
        <v/>
      </c>
      <c r="R535" s="158" t="str">
        <v/>
      </c>
      <c r="S535" s="158" t="str">
        <v/>
      </c>
      <c r="T535" s="158" t="str">
        <v/>
      </c>
      <c r="U535" s="158" t="str">
        <v/>
      </c>
      <c r="V535" s="158" t="str">
        <v/>
      </c>
      <c r="W535" s="158" t="str">
        <v/>
      </c>
      <c r="X535" s="158" t="str">
        <v/>
      </c>
      <c r="Y535" s="158" t="str">
        <v/>
      </c>
      <c r="Z535" s="158" t="str">
        <v/>
      </c>
      <c r="AA535" s="158" t="e">
        <v>#VALUE!</v>
      </c>
      <c r="AB535" s="171" t="str">
        <v/>
      </c>
      <c r="AC535" s="158">
        <v>0</v>
      </c>
      <c r="AD535" s="173" t="str">
        <f ca="1">IFERROR(__xludf.DUMMYFUNCTION("""COMPUTED_VALUE"""),"")</f>
        <v/>
      </c>
      <c r="AE535" s="154" t="str">
        <v/>
      </c>
      <c r="AF535" s="154" t="str">
        <v/>
      </c>
    </row>
    <row r="536" spans="1:32" ht="15">
      <c r="A536" s="176"/>
      <c r="B536" s="145"/>
      <c r="C536" s="169"/>
      <c r="D536" s="145"/>
      <c r="E536" s="145"/>
      <c r="F536" s="169" t="e">
        <v>#VALUE!</v>
      </c>
      <c r="G536" s="145"/>
      <c r="H536" s="145"/>
      <c r="I536" s="145"/>
      <c r="J536" s="145"/>
      <c r="K536" s="145"/>
      <c r="L536" s="145"/>
      <c r="M536" s="145"/>
      <c r="N536" s="145"/>
      <c r="O536" s="174"/>
      <c r="P536" s="174"/>
      <c r="Q536" s="158" t="str">
        <v/>
      </c>
      <c r="R536" s="158" t="str">
        <v/>
      </c>
      <c r="S536" s="158" t="str">
        <v/>
      </c>
      <c r="T536" s="158" t="str">
        <v/>
      </c>
      <c r="U536" s="158" t="str">
        <v/>
      </c>
      <c r="V536" s="158" t="str">
        <v/>
      </c>
      <c r="W536" s="158" t="str">
        <v/>
      </c>
      <c r="X536" s="158" t="str">
        <v/>
      </c>
      <c r="Y536" s="158" t="str">
        <v/>
      </c>
      <c r="Z536" s="158" t="str">
        <v/>
      </c>
      <c r="AA536" s="158" t="e">
        <v>#VALUE!</v>
      </c>
      <c r="AB536" s="171" t="str">
        <v/>
      </c>
      <c r="AC536" s="158">
        <v>0</v>
      </c>
      <c r="AD536" s="173" t="str">
        <f ca="1">IFERROR(__xludf.DUMMYFUNCTION("""COMPUTED_VALUE"""),"")</f>
        <v/>
      </c>
      <c r="AE536" s="154" t="str">
        <v/>
      </c>
      <c r="AF536" s="154" t="str">
        <v/>
      </c>
    </row>
    <row r="537" spans="1:32" ht="15">
      <c r="A537" s="176"/>
      <c r="B537" s="145"/>
      <c r="C537" s="169"/>
      <c r="D537" s="145"/>
      <c r="E537" s="145"/>
      <c r="F537" s="169" t="e">
        <v>#VALUE!</v>
      </c>
      <c r="G537" s="145"/>
      <c r="H537" s="145"/>
      <c r="I537" s="145"/>
      <c r="J537" s="145"/>
      <c r="K537" s="145"/>
      <c r="L537" s="145"/>
      <c r="M537" s="145"/>
      <c r="N537" s="145"/>
      <c r="O537" s="174"/>
      <c r="P537" s="174"/>
      <c r="Q537" s="158" t="str">
        <v/>
      </c>
      <c r="R537" s="158" t="str">
        <v/>
      </c>
      <c r="S537" s="158" t="str">
        <v/>
      </c>
      <c r="T537" s="158" t="str">
        <v/>
      </c>
      <c r="U537" s="158" t="str">
        <v/>
      </c>
      <c r="V537" s="158" t="str">
        <v/>
      </c>
      <c r="W537" s="158" t="str">
        <v/>
      </c>
      <c r="X537" s="158" t="str">
        <v/>
      </c>
      <c r="Y537" s="158" t="str">
        <v/>
      </c>
      <c r="Z537" s="158" t="str">
        <v/>
      </c>
      <c r="AA537" s="158" t="e">
        <v>#VALUE!</v>
      </c>
      <c r="AB537" s="171" t="str">
        <v/>
      </c>
      <c r="AC537" s="158">
        <v>0</v>
      </c>
      <c r="AD537" s="173" t="str">
        <f ca="1">IFERROR(__xludf.DUMMYFUNCTION("""COMPUTED_VALUE"""),"")</f>
        <v/>
      </c>
      <c r="AE537" s="154" t="str">
        <v/>
      </c>
      <c r="AF537" s="154" t="str">
        <v/>
      </c>
    </row>
    <row r="538" spans="1:32" ht="15">
      <c r="A538" s="176"/>
      <c r="B538" s="145"/>
      <c r="C538" s="169"/>
      <c r="D538" s="145"/>
      <c r="E538" s="145"/>
      <c r="F538" s="169" t="e">
        <v>#VALUE!</v>
      </c>
      <c r="G538" s="145"/>
      <c r="H538" s="145"/>
      <c r="I538" s="145"/>
      <c r="J538" s="145"/>
      <c r="K538" s="145"/>
      <c r="L538" s="145"/>
      <c r="M538" s="145"/>
      <c r="N538" s="145"/>
      <c r="O538" s="174"/>
      <c r="P538" s="174"/>
      <c r="Q538" s="158" t="str">
        <v/>
      </c>
      <c r="R538" s="158" t="str">
        <v/>
      </c>
      <c r="S538" s="158" t="str">
        <v/>
      </c>
      <c r="T538" s="158" t="str">
        <v/>
      </c>
      <c r="U538" s="158" t="str">
        <v/>
      </c>
      <c r="V538" s="158" t="str">
        <v/>
      </c>
      <c r="W538" s="158" t="str">
        <v/>
      </c>
      <c r="X538" s="158" t="str">
        <v/>
      </c>
      <c r="Y538" s="158" t="str">
        <v/>
      </c>
      <c r="Z538" s="158" t="str">
        <v/>
      </c>
      <c r="AA538" s="158" t="e">
        <v>#VALUE!</v>
      </c>
      <c r="AB538" s="171" t="str">
        <v/>
      </c>
      <c r="AC538" s="158">
        <v>0</v>
      </c>
      <c r="AD538" s="173" t="str">
        <f ca="1">IFERROR(__xludf.DUMMYFUNCTION("""COMPUTED_VALUE"""),"")</f>
        <v/>
      </c>
      <c r="AE538" s="154" t="str">
        <v/>
      </c>
      <c r="AF538" s="154" t="str">
        <v/>
      </c>
    </row>
    <row r="539" spans="1:32" ht="15">
      <c r="A539" s="176"/>
      <c r="B539" s="145"/>
      <c r="C539" s="169"/>
      <c r="D539" s="145"/>
      <c r="E539" s="145"/>
      <c r="F539" s="169" t="e">
        <v>#VALUE!</v>
      </c>
      <c r="G539" s="145"/>
      <c r="H539" s="145"/>
      <c r="I539" s="145"/>
      <c r="J539" s="145"/>
      <c r="K539" s="145"/>
      <c r="L539" s="145"/>
      <c r="M539" s="145"/>
      <c r="N539" s="145"/>
      <c r="O539" s="174"/>
      <c r="P539" s="174"/>
      <c r="Q539" s="158" t="str">
        <v/>
      </c>
      <c r="R539" s="158" t="str">
        <v/>
      </c>
      <c r="S539" s="158" t="str">
        <v/>
      </c>
      <c r="T539" s="158" t="str">
        <v/>
      </c>
      <c r="U539" s="158" t="str">
        <v/>
      </c>
      <c r="V539" s="158" t="str">
        <v/>
      </c>
      <c r="W539" s="158" t="str">
        <v/>
      </c>
      <c r="X539" s="158" t="str">
        <v/>
      </c>
      <c r="Y539" s="158" t="str">
        <v/>
      </c>
      <c r="Z539" s="158" t="str">
        <v/>
      </c>
      <c r="AA539" s="158" t="e">
        <v>#VALUE!</v>
      </c>
      <c r="AB539" s="171" t="str">
        <v/>
      </c>
      <c r="AC539" s="158">
        <v>0</v>
      </c>
      <c r="AD539" s="173" t="str">
        <f ca="1">IFERROR(__xludf.DUMMYFUNCTION("""COMPUTED_VALUE"""),"")</f>
        <v/>
      </c>
      <c r="AE539" s="154" t="str">
        <v/>
      </c>
      <c r="AF539" s="154" t="str">
        <v/>
      </c>
    </row>
    <row r="540" spans="1:32" ht="15">
      <c r="A540" s="176"/>
      <c r="B540" s="145"/>
      <c r="C540" s="169"/>
      <c r="D540" s="145"/>
      <c r="E540" s="145"/>
      <c r="F540" s="169" t="e">
        <v>#VALUE!</v>
      </c>
      <c r="G540" s="145"/>
      <c r="H540" s="145"/>
      <c r="I540" s="145"/>
      <c r="J540" s="145"/>
      <c r="K540" s="145"/>
      <c r="L540" s="145"/>
      <c r="M540" s="145"/>
      <c r="N540" s="145"/>
      <c r="O540" s="174"/>
      <c r="P540" s="174"/>
      <c r="Q540" s="158" t="str">
        <v/>
      </c>
      <c r="R540" s="158" t="str">
        <v/>
      </c>
      <c r="S540" s="158" t="str">
        <v/>
      </c>
      <c r="T540" s="158" t="str">
        <v/>
      </c>
      <c r="U540" s="158" t="str">
        <v/>
      </c>
      <c r="V540" s="158" t="str">
        <v/>
      </c>
      <c r="W540" s="158" t="str">
        <v/>
      </c>
      <c r="X540" s="158" t="str">
        <v/>
      </c>
      <c r="Y540" s="158" t="str">
        <v/>
      </c>
      <c r="Z540" s="158" t="str">
        <v/>
      </c>
      <c r="AA540" s="158" t="e">
        <v>#VALUE!</v>
      </c>
      <c r="AB540" s="171" t="str">
        <v/>
      </c>
      <c r="AC540" s="158">
        <v>0</v>
      </c>
      <c r="AD540" s="173" t="str">
        <f ca="1">IFERROR(__xludf.DUMMYFUNCTION("""COMPUTED_VALUE"""),"")</f>
        <v/>
      </c>
      <c r="AE540" s="154" t="str">
        <v/>
      </c>
      <c r="AF540" s="154" t="str">
        <v/>
      </c>
    </row>
    <row r="541" spans="1:32" ht="15">
      <c r="A541" s="176"/>
      <c r="B541" s="145"/>
      <c r="C541" s="169"/>
      <c r="D541" s="145"/>
      <c r="E541" s="145"/>
      <c r="F541" s="169" t="e">
        <v>#VALUE!</v>
      </c>
      <c r="G541" s="145"/>
      <c r="H541" s="145"/>
      <c r="I541" s="145"/>
      <c r="J541" s="145"/>
      <c r="K541" s="145"/>
      <c r="L541" s="145"/>
      <c r="M541" s="145"/>
      <c r="N541" s="145"/>
      <c r="O541" s="174"/>
      <c r="P541" s="174"/>
      <c r="Q541" s="158" t="str">
        <v/>
      </c>
      <c r="R541" s="158" t="str">
        <v/>
      </c>
      <c r="S541" s="158" t="str">
        <v/>
      </c>
      <c r="T541" s="158" t="str">
        <v/>
      </c>
      <c r="U541" s="158" t="str">
        <v/>
      </c>
      <c r="V541" s="158" t="str">
        <v/>
      </c>
      <c r="W541" s="158" t="str">
        <v/>
      </c>
      <c r="X541" s="158" t="str">
        <v/>
      </c>
      <c r="Y541" s="158" t="str">
        <v/>
      </c>
      <c r="Z541" s="158" t="str">
        <v/>
      </c>
      <c r="AA541" s="158" t="e">
        <v>#VALUE!</v>
      </c>
      <c r="AB541" s="171" t="str">
        <v/>
      </c>
      <c r="AC541" s="158">
        <v>0</v>
      </c>
      <c r="AD541" s="173" t="str">
        <f ca="1">IFERROR(__xludf.DUMMYFUNCTION("""COMPUTED_VALUE"""),"")</f>
        <v/>
      </c>
      <c r="AE541" s="154" t="str">
        <v/>
      </c>
      <c r="AF541" s="154" t="str">
        <v/>
      </c>
    </row>
    <row r="542" spans="1:32" ht="15">
      <c r="A542" s="176"/>
      <c r="B542" s="145"/>
      <c r="C542" s="169"/>
      <c r="D542" s="145"/>
      <c r="E542" s="145"/>
      <c r="F542" s="169" t="e">
        <v>#VALUE!</v>
      </c>
      <c r="G542" s="145"/>
      <c r="H542" s="145"/>
      <c r="I542" s="145"/>
      <c r="J542" s="145"/>
      <c r="K542" s="145"/>
      <c r="L542" s="145"/>
      <c r="M542" s="145"/>
      <c r="N542" s="145"/>
      <c r="O542" s="174"/>
      <c r="P542" s="174"/>
      <c r="Q542" s="158" t="str">
        <v/>
      </c>
      <c r="R542" s="158" t="str">
        <v/>
      </c>
      <c r="S542" s="158" t="str">
        <v/>
      </c>
      <c r="T542" s="158" t="str">
        <v/>
      </c>
      <c r="U542" s="158" t="str">
        <v/>
      </c>
      <c r="V542" s="158" t="str">
        <v/>
      </c>
      <c r="W542" s="158" t="str">
        <v/>
      </c>
      <c r="X542" s="158" t="str">
        <v/>
      </c>
      <c r="Y542" s="158" t="str">
        <v/>
      </c>
      <c r="Z542" s="158" t="str">
        <v/>
      </c>
      <c r="AA542" s="158" t="e">
        <v>#VALUE!</v>
      </c>
      <c r="AB542" s="171" t="str">
        <v/>
      </c>
      <c r="AC542" s="158">
        <v>0</v>
      </c>
      <c r="AD542" s="173" t="str">
        <f ca="1">IFERROR(__xludf.DUMMYFUNCTION("""COMPUTED_VALUE"""),"")</f>
        <v/>
      </c>
      <c r="AE542" s="154" t="str">
        <v/>
      </c>
      <c r="AF542" s="154" t="str">
        <v/>
      </c>
    </row>
    <row r="543" spans="1:32" ht="15">
      <c r="A543" s="176"/>
      <c r="B543" s="145"/>
      <c r="C543" s="169"/>
      <c r="D543" s="145"/>
      <c r="E543" s="145"/>
      <c r="F543" s="169" t="e">
        <v>#VALUE!</v>
      </c>
      <c r="G543" s="145"/>
      <c r="H543" s="145"/>
      <c r="I543" s="145"/>
      <c r="J543" s="145"/>
      <c r="K543" s="145"/>
      <c r="L543" s="145"/>
      <c r="M543" s="145"/>
      <c r="N543" s="145"/>
      <c r="O543" s="174"/>
      <c r="P543" s="174"/>
      <c r="Q543" s="158" t="str">
        <v/>
      </c>
      <c r="R543" s="158" t="str">
        <v/>
      </c>
      <c r="S543" s="158" t="str">
        <v/>
      </c>
      <c r="T543" s="158" t="str">
        <v/>
      </c>
      <c r="U543" s="158" t="str">
        <v/>
      </c>
      <c r="V543" s="158" t="str">
        <v/>
      </c>
      <c r="W543" s="158" t="str">
        <v/>
      </c>
      <c r="X543" s="158" t="str">
        <v/>
      </c>
      <c r="Y543" s="158" t="str">
        <v/>
      </c>
      <c r="Z543" s="158" t="str">
        <v/>
      </c>
      <c r="AA543" s="158" t="e">
        <v>#VALUE!</v>
      </c>
      <c r="AB543" s="171" t="str">
        <v/>
      </c>
      <c r="AC543" s="158">
        <v>0</v>
      </c>
      <c r="AD543" s="173" t="str">
        <f ca="1">IFERROR(__xludf.DUMMYFUNCTION("""COMPUTED_VALUE"""),"")</f>
        <v/>
      </c>
      <c r="AE543" s="154" t="str">
        <v/>
      </c>
      <c r="AF543" s="154" t="str">
        <v/>
      </c>
    </row>
    <row r="544" spans="1:32" ht="15">
      <c r="A544" s="176"/>
      <c r="B544" s="145"/>
      <c r="C544" s="169"/>
      <c r="D544" s="145"/>
      <c r="E544" s="145"/>
      <c r="F544" s="169" t="e">
        <v>#VALUE!</v>
      </c>
      <c r="G544" s="145"/>
      <c r="H544" s="145"/>
      <c r="I544" s="145"/>
      <c r="J544" s="145"/>
      <c r="K544" s="145"/>
      <c r="L544" s="145"/>
      <c r="M544" s="145"/>
      <c r="N544" s="145"/>
      <c r="O544" s="174"/>
      <c r="P544" s="174"/>
      <c r="Q544" s="158" t="str">
        <v/>
      </c>
      <c r="R544" s="158" t="str">
        <v/>
      </c>
      <c r="S544" s="158" t="str">
        <v/>
      </c>
      <c r="T544" s="158" t="str">
        <v/>
      </c>
      <c r="U544" s="158" t="str">
        <v/>
      </c>
      <c r="V544" s="158" t="str">
        <v/>
      </c>
      <c r="W544" s="158" t="str">
        <v/>
      </c>
      <c r="X544" s="158" t="str">
        <v/>
      </c>
      <c r="Y544" s="158" t="str">
        <v/>
      </c>
      <c r="Z544" s="158" t="str">
        <v/>
      </c>
      <c r="AA544" s="158" t="e">
        <v>#VALUE!</v>
      </c>
      <c r="AB544" s="171" t="str">
        <v/>
      </c>
      <c r="AC544" s="158">
        <v>0</v>
      </c>
      <c r="AD544" s="173" t="str">
        <f ca="1">IFERROR(__xludf.DUMMYFUNCTION("""COMPUTED_VALUE"""),"")</f>
        <v/>
      </c>
      <c r="AE544" s="154" t="str">
        <v/>
      </c>
      <c r="AF544" s="154" t="str">
        <v/>
      </c>
    </row>
    <row r="545" spans="1:32" ht="15">
      <c r="A545" s="176"/>
      <c r="B545" s="145"/>
      <c r="C545" s="169"/>
      <c r="D545" s="145"/>
      <c r="E545" s="145"/>
      <c r="F545" s="169" t="e">
        <v>#VALUE!</v>
      </c>
      <c r="G545" s="145"/>
      <c r="H545" s="145"/>
      <c r="I545" s="145"/>
      <c r="J545" s="145"/>
      <c r="K545" s="145"/>
      <c r="L545" s="145"/>
      <c r="M545" s="145"/>
      <c r="N545" s="145"/>
      <c r="O545" s="174"/>
      <c r="P545" s="174"/>
      <c r="Q545" s="158" t="str">
        <v/>
      </c>
      <c r="R545" s="158" t="str">
        <v/>
      </c>
      <c r="S545" s="158" t="str">
        <v/>
      </c>
      <c r="T545" s="158" t="str">
        <v/>
      </c>
      <c r="U545" s="158" t="str">
        <v/>
      </c>
      <c r="V545" s="158" t="str">
        <v/>
      </c>
      <c r="W545" s="158" t="str">
        <v/>
      </c>
      <c r="X545" s="158" t="str">
        <v/>
      </c>
      <c r="Y545" s="158" t="str">
        <v/>
      </c>
      <c r="Z545" s="158" t="str">
        <v/>
      </c>
      <c r="AA545" s="158" t="e">
        <v>#VALUE!</v>
      </c>
      <c r="AB545" s="171" t="str">
        <v/>
      </c>
      <c r="AC545" s="158">
        <v>0</v>
      </c>
      <c r="AD545" s="173" t="str">
        <f ca="1">IFERROR(__xludf.DUMMYFUNCTION("""COMPUTED_VALUE"""),"")</f>
        <v/>
      </c>
      <c r="AE545" s="154" t="str">
        <v/>
      </c>
      <c r="AF545" s="154" t="str">
        <v/>
      </c>
    </row>
    <row r="546" spans="1:32" ht="15">
      <c r="A546" s="176"/>
      <c r="B546" s="145"/>
      <c r="C546" s="169"/>
      <c r="D546" s="145"/>
      <c r="E546" s="145"/>
      <c r="F546" s="169" t="e">
        <v>#VALUE!</v>
      </c>
      <c r="G546" s="145"/>
      <c r="H546" s="145"/>
      <c r="I546" s="145"/>
      <c r="J546" s="145"/>
      <c r="K546" s="145"/>
      <c r="L546" s="145"/>
      <c r="M546" s="145"/>
      <c r="N546" s="145"/>
      <c r="O546" s="174"/>
      <c r="P546" s="174"/>
      <c r="Q546" s="158" t="str">
        <v/>
      </c>
      <c r="R546" s="158" t="str">
        <v/>
      </c>
      <c r="S546" s="158" t="str">
        <v/>
      </c>
      <c r="T546" s="158" t="str">
        <v/>
      </c>
      <c r="U546" s="158" t="str">
        <v/>
      </c>
      <c r="V546" s="158" t="str">
        <v/>
      </c>
      <c r="W546" s="158" t="str">
        <v/>
      </c>
      <c r="X546" s="158" t="str">
        <v/>
      </c>
      <c r="Y546" s="158" t="str">
        <v/>
      </c>
      <c r="Z546" s="158" t="str">
        <v/>
      </c>
      <c r="AA546" s="158" t="e">
        <v>#VALUE!</v>
      </c>
      <c r="AB546" s="171" t="str">
        <v/>
      </c>
      <c r="AC546" s="158">
        <v>0</v>
      </c>
      <c r="AD546" s="173" t="str">
        <f ca="1">IFERROR(__xludf.DUMMYFUNCTION("""COMPUTED_VALUE"""),"")</f>
        <v/>
      </c>
      <c r="AE546" s="154" t="str">
        <v/>
      </c>
      <c r="AF546" s="154" t="str">
        <v/>
      </c>
    </row>
    <row r="547" spans="1:32" ht="15">
      <c r="A547" s="176"/>
      <c r="B547" s="145"/>
      <c r="C547" s="169"/>
      <c r="D547" s="145"/>
      <c r="E547" s="145"/>
      <c r="F547" s="169" t="e">
        <v>#VALUE!</v>
      </c>
      <c r="G547" s="145"/>
      <c r="H547" s="145"/>
      <c r="I547" s="145"/>
      <c r="J547" s="145"/>
      <c r="K547" s="145"/>
      <c r="L547" s="145"/>
      <c r="M547" s="145"/>
      <c r="N547" s="145"/>
      <c r="O547" s="174"/>
      <c r="P547" s="174"/>
      <c r="Q547" s="158" t="str">
        <v/>
      </c>
      <c r="R547" s="158" t="str">
        <v/>
      </c>
      <c r="S547" s="158" t="str">
        <v/>
      </c>
      <c r="T547" s="158" t="str">
        <v/>
      </c>
      <c r="U547" s="158" t="str">
        <v/>
      </c>
      <c r="V547" s="158" t="str">
        <v/>
      </c>
      <c r="W547" s="158" t="str">
        <v/>
      </c>
      <c r="X547" s="158" t="str">
        <v/>
      </c>
      <c r="Y547" s="158" t="str">
        <v/>
      </c>
      <c r="Z547" s="158" t="str">
        <v/>
      </c>
      <c r="AA547" s="158" t="e">
        <v>#VALUE!</v>
      </c>
      <c r="AB547" s="171" t="str">
        <v/>
      </c>
      <c r="AC547" s="158">
        <v>0</v>
      </c>
      <c r="AD547" s="173" t="str">
        <f ca="1">IFERROR(__xludf.DUMMYFUNCTION("""COMPUTED_VALUE"""),"")</f>
        <v/>
      </c>
      <c r="AE547" s="154" t="str">
        <v/>
      </c>
      <c r="AF547" s="154" t="str">
        <v/>
      </c>
    </row>
    <row r="548" spans="1:32" ht="15">
      <c r="A548" s="176"/>
      <c r="B548" s="145"/>
      <c r="C548" s="169"/>
      <c r="D548" s="145"/>
      <c r="E548" s="145"/>
      <c r="F548" s="169" t="e">
        <v>#VALUE!</v>
      </c>
      <c r="G548" s="145"/>
      <c r="H548" s="145"/>
      <c r="I548" s="145"/>
      <c r="J548" s="145"/>
      <c r="K548" s="145"/>
      <c r="L548" s="145"/>
      <c r="M548" s="145"/>
      <c r="N548" s="145"/>
      <c r="O548" s="174"/>
      <c r="P548" s="174"/>
      <c r="Q548" s="158" t="str">
        <v/>
      </c>
      <c r="R548" s="158" t="str">
        <v/>
      </c>
      <c r="S548" s="158" t="str">
        <v/>
      </c>
      <c r="T548" s="158" t="str">
        <v/>
      </c>
      <c r="U548" s="158" t="str">
        <v/>
      </c>
      <c r="V548" s="158" t="str">
        <v/>
      </c>
      <c r="W548" s="158" t="str">
        <v/>
      </c>
      <c r="X548" s="158" t="str">
        <v/>
      </c>
      <c r="Y548" s="158" t="str">
        <v/>
      </c>
      <c r="Z548" s="158" t="str">
        <v/>
      </c>
      <c r="AA548" s="158" t="e">
        <v>#VALUE!</v>
      </c>
      <c r="AB548" s="171" t="str">
        <v/>
      </c>
      <c r="AC548" s="158">
        <v>0</v>
      </c>
      <c r="AD548" s="173" t="str">
        <f ca="1">IFERROR(__xludf.DUMMYFUNCTION("""COMPUTED_VALUE"""),"")</f>
        <v/>
      </c>
      <c r="AE548" s="154" t="str">
        <v/>
      </c>
      <c r="AF548" s="154" t="str">
        <v/>
      </c>
    </row>
    <row r="549" spans="1:32" ht="15">
      <c r="A549" s="176"/>
      <c r="B549" s="145"/>
      <c r="C549" s="169"/>
      <c r="D549" s="145"/>
      <c r="E549" s="145"/>
      <c r="F549" s="169" t="e">
        <v>#VALUE!</v>
      </c>
      <c r="G549" s="145"/>
      <c r="H549" s="145"/>
      <c r="I549" s="145"/>
      <c r="J549" s="145"/>
      <c r="K549" s="145"/>
      <c r="L549" s="145"/>
      <c r="M549" s="145"/>
      <c r="N549" s="145"/>
      <c r="O549" s="174"/>
      <c r="P549" s="174"/>
      <c r="Q549" s="158" t="str">
        <v/>
      </c>
      <c r="R549" s="158" t="str">
        <v/>
      </c>
      <c r="S549" s="158" t="str">
        <v/>
      </c>
      <c r="T549" s="158" t="str">
        <v/>
      </c>
      <c r="U549" s="158" t="str">
        <v/>
      </c>
      <c r="V549" s="158" t="str">
        <v/>
      </c>
      <c r="W549" s="158" t="str">
        <v/>
      </c>
      <c r="X549" s="158" t="str">
        <v/>
      </c>
      <c r="Y549" s="158" t="str">
        <v/>
      </c>
      <c r="Z549" s="158" t="str">
        <v/>
      </c>
      <c r="AA549" s="158" t="e">
        <v>#VALUE!</v>
      </c>
      <c r="AB549" s="171" t="str">
        <v/>
      </c>
      <c r="AC549" s="158">
        <v>0</v>
      </c>
      <c r="AD549" s="173" t="str">
        <f ca="1">IFERROR(__xludf.DUMMYFUNCTION("""COMPUTED_VALUE"""),"")</f>
        <v/>
      </c>
      <c r="AE549" s="154" t="str">
        <v/>
      </c>
      <c r="AF549" s="154" t="str">
        <v/>
      </c>
    </row>
    <row r="550" spans="1:32" ht="15">
      <c r="A550" s="176"/>
      <c r="B550" s="145"/>
      <c r="C550" s="169"/>
      <c r="D550" s="145"/>
      <c r="E550" s="145"/>
      <c r="F550" s="169" t="e">
        <v>#VALUE!</v>
      </c>
      <c r="G550" s="145"/>
      <c r="H550" s="145"/>
      <c r="I550" s="145"/>
      <c r="J550" s="145"/>
      <c r="K550" s="145"/>
      <c r="L550" s="145"/>
      <c r="M550" s="145"/>
      <c r="N550" s="145"/>
      <c r="O550" s="174"/>
      <c r="P550" s="174"/>
      <c r="Q550" s="158" t="str">
        <v/>
      </c>
      <c r="R550" s="158" t="str">
        <v/>
      </c>
      <c r="S550" s="158" t="str">
        <v/>
      </c>
      <c r="T550" s="158" t="str">
        <v/>
      </c>
      <c r="U550" s="158" t="str">
        <v/>
      </c>
      <c r="V550" s="158" t="str">
        <v/>
      </c>
      <c r="W550" s="158" t="str">
        <v/>
      </c>
      <c r="X550" s="158" t="str">
        <v/>
      </c>
      <c r="Y550" s="158" t="str">
        <v/>
      </c>
      <c r="Z550" s="158" t="str">
        <v/>
      </c>
      <c r="AA550" s="158" t="e">
        <v>#VALUE!</v>
      </c>
      <c r="AB550" s="171" t="str">
        <v/>
      </c>
      <c r="AC550" s="158">
        <v>0</v>
      </c>
      <c r="AD550" s="173" t="str">
        <f ca="1">IFERROR(__xludf.DUMMYFUNCTION("""COMPUTED_VALUE"""),"")</f>
        <v/>
      </c>
      <c r="AE550" s="154" t="str">
        <v/>
      </c>
      <c r="AF550" s="154" t="str">
        <v/>
      </c>
    </row>
    <row r="551" spans="1:32" ht="15">
      <c r="A551" s="176"/>
      <c r="B551" s="145"/>
      <c r="C551" s="169"/>
      <c r="D551" s="145"/>
      <c r="E551" s="145"/>
      <c r="F551" s="169" t="e">
        <v>#VALUE!</v>
      </c>
      <c r="G551" s="145"/>
      <c r="H551" s="145"/>
      <c r="I551" s="145"/>
      <c r="J551" s="145"/>
      <c r="K551" s="145"/>
      <c r="L551" s="145"/>
      <c r="M551" s="145"/>
      <c r="N551" s="145"/>
      <c r="O551" s="174"/>
      <c r="P551" s="174"/>
      <c r="Q551" s="158" t="str">
        <v/>
      </c>
      <c r="R551" s="158" t="str">
        <v/>
      </c>
      <c r="S551" s="158" t="str">
        <v/>
      </c>
      <c r="T551" s="158" t="str">
        <v/>
      </c>
      <c r="U551" s="158" t="str">
        <v/>
      </c>
      <c r="V551" s="158" t="str">
        <v/>
      </c>
      <c r="W551" s="158" t="str">
        <v/>
      </c>
      <c r="X551" s="158" t="str">
        <v/>
      </c>
      <c r="Y551" s="158" t="str">
        <v/>
      </c>
      <c r="Z551" s="158" t="str">
        <v/>
      </c>
      <c r="AA551" s="158" t="e">
        <v>#VALUE!</v>
      </c>
      <c r="AB551" s="171" t="str">
        <v/>
      </c>
      <c r="AC551" s="158">
        <v>0</v>
      </c>
      <c r="AD551" s="173" t="str">
        <f ca="1">IFERROR(__xludf.DUMMYFUNCTION("""COMPUTED_VALUE"""),"")</f>
        <v/>
      </c>
      <c r="AE551" s="154" t="str">
        <v/>
      </c>
      <c r="AF551" s="154" t="str">
        <v/>
      </c>
    </row>
    <row r="552" spans="1:32" ht="15">
      <c r="A552" s="176"/>
      <c r="B552" s="145"/>
      <c r="C552" s="169"/>
      <c r="D552" s="145"/>
      <c r="E552" s="145"/>
      <c r="F552" s="169" t="e">
        <v>#VALUE!</v>
      </c>
      <c r="G552" s="145"/>
      <c r="H552" s="145"/>
      <c r="I552" s="145"/>
      <c r="J552" s="145"/>
      <c r="K552" s="145"/>
      <c r="L552" s="145"/>
      <c r="M552" s="145"/>
      <c r="N552" s="145"/>
      <c r="O552" s="174"/>
      <c r="P552" s="174"/>
      <c r="Q552" s="158" t="str">
        <v/>
      </c>
      <c r="R552" s="158" t="str">
        <v/>
      </c>
      <c r="S552" s="158" t="str">
        <v/>
      </c>
      <c r="T552" s="158" t="str">
        <v/>
      </c>
      <c r="U552" s="158" t="str">
        <v/>
      </c>
      <c r="V552" s="158" t="str">
        <v/>
      </c>
      <c r="W552" s="158" t="str">
        <v/>
      </c>
      <c r="X552" s="158" t="str">
        <v/>
      </c>
      <c r="Y552" s="158" t="str">
        <v/>
      </c>
      <c r="Z552" s="158" t="str">
        <v/>
      </c>
      <c r="AA552" s="158" t="e">
        <v>#VALUE!</v>
      </c>
      <c r="AB552" s="171" t="str">
        <v/>
      </c>
      <c r="AC552" s="158">
        <v>0</v>
      </c>
      <c r="AD552" s="173" t="str">
        <f ca="1">IFERROR(__xludf.DUMMYFUNCTION("""COMPUTED_VALUE"""),"")</f>
        <v/>
      </c>
      <c r="AE552" s="154" t="str">
        <v/>
      </c>
      <c r="AF552" s="154" t="str">
        <v/>
      </c>
    </row>
    <row r="553" spans="1:32" ht="15">
      <c r="A553" s="176"/>
      <c r="B553" s="145"/>
      <c r="C553" s="169"/>
      <c r="D553" s="145"/>
      <c r="E553" s="145"/>
      <c r="F553" s="169" t="e">
        <v>#VALUE!</v>
      </c>
      <c r="G553" s="145"/>
      <c r="H553" s="145"/>
      <c r="I553" s="145"/>
      <c r="J553" s="145"/>
      <c r="K553" s="145"/>
      <c r="L553" s="145"/>
      <c r="M553" s="145"/>
      <c r="N553" s="145"/>
      <c r="O553" s="174"/>
      <c r="P553" s="174"/>
      <c r="Q553" s="158" t="str">
        <v/>
      </c>
      <c r="R553" s="158" t="str">
        <v/>
      </c>
      <c r="S553" s="158" t="str">
        <v/>
      </c>
      <c r="T553" s="158" t="str">
        <v/>
      </c>
      <c r="U553" s="158" t="str">
        <v/>
      </c>
      <c r="V553" s="158" t="str">
        <v/>
      </c>
      <c r="W553" s="158" t="str">
        <v/>
      </c>
      <c r="X553" s="158" t="str">
        <v/>
      </c>
      <c r="Y553" s="158" t="str">
        <v/>
      </c>
      <c r="Z553" s="158" t="str">
        <v/>
      </c>
      <c r="AA553" s="158" t="e">
        <v>#VALUE!</v>
      </c>
      <c r="AB553" s="171" t="str">
        <v/>
      </c>
      <c r="AC553" s="158">
        <v>0</v>
      </c>
      <c r="AD553" s="173" t="str">
        <f ca="1">IFERROR(__xludf.DUMMYFUNCTION("""COMPUTED_VALUE"""),"")</f>
        <v/>
      </c>
      <c r="AE553" s="154" t="str">
        <v/>
      </c>
      <c r="AF553" s="154" t="str">
        <v/>
      </c>
    </row>
    <row r="554" spans="1:32" ht="15">
      <c r="A554" s="176"/>
      <c r="B554" s="145"/>
      <c r="C554" s="169"/>
      <c r="D554" s="145"/>
      <c r="E554" s="145"/>
      <c r="F554" s="169" t="e">
        <v>#VALUE!</v>
      </c>
      <c r="G554" s="145"/>
      <c r="H554" s="145"/>
      <c r="I554" s="145"/>
      <c r="J554" s="145"/>
      <c r="K554" s="145"/>
      <c r="L554" s="145"/>
      <c r="M554" s="145"/>
      <c r="N554" s="145"/>
      <c r="O554" s="174"/>
      <c r="P554" s="174"/>
      <c r="Q554" s="158" t="str">
        <v/>
      </c>
      <c r="R554" s="158" t="str">
        <v/>
      </c>
      <c r="S554" s="158" t="str">
        <v/>
      </c>
      <c r="T554" s="158" t="str">
        <v/>
      </c>
      <c r="U554" s="158" t="str">
        <v/>
      </c>
      <c r="V554" s="158" t="str">
        <v/>
      </c>
      <c r="W554" s="158" t="str">
        <v/>
      </c>
      <c r="X554" s="158" t="str">
        <v/>
      </c>
      <c r="Y554" s="158" t="str">
        <v/>
      </c>
      <c r="Z554" s="158" t="str">
        <v/>
      </c>
      <c r="AA554" s="158" t="e">
        <v>#VALUE!</v>
      </c>
      <c r="AB554" s="171" t="str">
        <v/>
      </c>
      <c r="AC554" s="158">
        <v>0</v>
      </c>
      <c r="AD554" s="173" t="str">
        <f ca="1">IFERROR(__xludf.DUMMYFUNCTION("""COMPUTED_VALUE"""),"")</f>
        <v/>
      </c>
      <c r="AE554" s="154" t="str">
        <v/>
      </c>
      <c r="AF554" s="154" t="str">
        <v/>
      </c>
    </row>
    <row r="555" spans="1:32" ht="15">
      <c r="A555" s="176"/>
      <c r="B555" s="145"/>
      <c r="C555" s="169"/>
      <c r="D555" s="145"/>
      <c r="E555" s="145"/>
      <c r="F555" s="169" t="e">
        <v>#VALUE!</v>
      </c>
      <c r="G555" s="145"/>
      <c r="H555" s="145"/>
      <c r="I555" s="145"/>
      <c r="J555" s="145"/>
      <c r="K555" s="145"/>
      <c r="L555" s="145"/>
      <c r="M555" s="145"/>
      <c r="N555" s="145"/>
      <c r="O555" s="174"/>
      <c r="P555" s="174"/>
      <c r="Q555" s="158" t="str">
        <v/>
      </c>
      <c r="R555" s="158" t="str">
        <v/>
      </c>
      <c r="S555" s="158" t="str">
        <v/>
      </c>
      <c r="T555" s="158" t="str">
        <v/>
      </c>
      <c r="U555" s="158" t="str">
        <v/>
      </c>
      <c r="V555" s="158" t="str">
        <v/>
      </c>
      <c r="W555" s="158" t="str">
        <v/>
      </c>
      <c r="X555" s="158" t="str">
        <v/>
      </c>
      <c r="Y555" s="158" t="str">
        <v/>
      </c>
      <c r="Z555" s="158" t="str">
        <v/>
      </c>
      <c r="AA555" s="158" t="e">
        <v>#VALUE!</v>
      </c>
      <c r="AB555" s="171" t="str">
        <v/>
      </c>
      <c r="AC555" s="158">
        <v>0</v>
      </c>
      <c r="AD555" s="173" t="str">
        <f ca="1">IFERROR(__xludf.DUMMYFUNCTION("""COMPUTED_VALUE"""),"")</f>
        <v/>
      </c>
      <c r="AE555" s="154" t="str">
        <v/>
      </c>
      <c r="AF555" s="154" t="str">
        <v/>
      </c>
    </row>
    <row r="556" spans="1:32" ht="15">
      <c r="A556" s="176"/>
      <c r="B556" s="145"/>
      <c r="C556" s="169"/>
      <c r="D556" s="145"/>
      <c r="E556" s="145"/>
      <c r="F556" s="169" t="e">
        <v>#VALUE!</v>
      </c>
      <c r="G556" s="145"/>
      <c r="H556" s="145"/>
      <c r="I556" s="145"/>
      <c r="J556" s="145"/>
      <c r="K556" s="145"/>
      <c r="L556" s="145"/>
      <c r="M556" s="145"/>
      <c r="N556" s="145"/>
      <c r="O556" s="174"/>
      <c r="P556" s="174"/>
      <c r="Q556" s="158" t="str">
        <v/>
      </c>
      <c r="R556" s="158" t="str">
        <v/>
      </c>
      <c r="S556" s="158" t="str">
        <v/>
      </c>
      <c r="T556" s="158" t="str">
        <v/>
      </c>
      <c r="U556" s="158" t="str">
        <v/>
      </c>
      <c r="V556" s="158" t="str">
        <v/>
      </c>
      <c r="W556" s="158" t="str">
        <v/>
      </c>
      <c r="X556" s="158" t="str">
        <v/>
      </c>
      <c r="Y556" s="158" t="str">
        <v/>
      </c>
      <c r="Z556" s="158" t="str">
        <v/>
      </c>
      <c r="AA556" s="158" t="e">
        <v>#VALUE!</v>
      </c>
      <c r="AB556" s="171" t="str">
        <v/>
      </c>
      <c r="AC556" s="158">
        <v>0</v>
      </c>
      <c r="AD556" s="173" t="str">
        <f ca="1">IFERROR(__xludf.DUMMYFUNCTION("""COMPUTED_VALUE"""),"")</f>
        <v/>
      </c>
      <c r="AE556" s="154" t="str">
        <v/>
      </c>
      <c r="AF556" s="154" t="str">
        <v/>
      </c>
    </row>
    <row r="557" spans="1:32" ht="15">
      <c r="A557" s="176"/>
      <c r="B557" s="145"/>
      <c r="C557" s="169"/>
      <c r="D557" s="145"/>
      <c r="E557" s="145"/>
      <c r="F557" s="169" t="e">
        <v>#VALUE!</v>
      </c>
      <c r="G557" s="145"/>
      <c r="H557" s="145"/>
      <c r="I557" s="145"/>
      <c r="J557" s="145"/>
      <c r="K557" s="145"/>
      <c r="L557" s="145"/>
      <c r="M557" s="145"/>
      <c r="N557" s="145"/>
      <c r="O557" s="174"/>
      <c r="P557" s="174"/>
      <c r="Q557" s="158" t="str">
        <v/>
      </c>
      <c r="R557" s="158" t="str">
        <v/>
      </c>
      <c r="S557" s="158" t="str">
        <v/>
      </c>
      <c r="T557" s="158" t="str">
        <v/>
      </c>
      <c r="U557" s="158" t="str">
        <v/>
      </c>
      <c r="V557" s="158" t="str">
        <v/>
      </c>
      <c r="W557" s="158" t="str">
        <v/>
      </c>
      <c r="X557" s="158" t="str">
        <v/>
      </c>
      <c r="Y557" s="158" t="str">
        <v/>
      </c>
      <c r="Z557" s="158" t="str">
        <v/>
      </c>
      <c r="AA557" s="158" t="e">
        <v>#VALUE!</v>
      </c>
      <c r="AB557" s="171" t="str">
        <v/>
      </c>
      <c r="AC557" s="158">
        <v>0</v>
      </c>
      <c r="AD557" s="173" t="str">
        <f ca="1">IFERROR(__xludf.DUMMYFUNCTION("""COMPUTED_VALUE"""),"")</f>
        <v/>
      </c>
      <c r="AE557" s="154" t="str">
        <v/>
      </c>
      <c r="AF557" s="154" t="str">
        <v/>
      </c>
    </row>
    <row r="558" spans="1:32" ht="15">
      <c r="A558" s="176"/>
      <c r="B558" s="145"/>
      <c r="C558" s="169"/>
      <c r="D558" s="145"/>
      <c r="E558" s="145"/>
      <c r="F558" s="169" t="e">
        <v>#VALUE!</v>
      </c>
      <c r="G558" s="145"/>
      <c r="H558" s="145"/>
      <c r="I558" s="145"/>
      <c r="J558" s="145"/>
      <c r="K558" s="145"/>
      <c r="L558" s="145"/>
      <c r="M558" s="145"/>
      <c r="N558" s="145"/>
      <c r="O558" s="174"/>
      <c r="P558" s="174"/>
      <c r="Q558" s="158" t="str">
        <v/>
      </c>
      <c r="R558" s="158" t="str">
        <v/>
      </c>
      <c r="S558" s="158" t="str">
        <v/>
      </c>
      <c r="T558" s="158" t="str">
        <v/>
      </c>
      <c r="U558" s="158" t="str">
        <v/>
      </c>
      <c r="V558" s="158" t="str">
        <v/>
      </c>
      <c r="W558" s="158" t="str">
        <v/>
      </c>
      <c r="X558" s="158" t="str">
        <v/>
      </c>
      <c r="Y558" s="158" t="str">
        <v/>
      </c>
      <c r="Z558" s="158" t="str">
        <v/>
      </c>
      <c r="AA558" s="158" t="e">
        <v>#VALUE!</v>
      </c>
      <c r="AB558" s="171" t="str">
        <v/>
      </c>
      <c r="AC558" s="158">
        <v>0</v>
      </c>
      <c r="AD558" s="173" t="str">
        <f ca="1">IFERROR(__xludf.DUMMYFUNCTION("""COMPUTED_VALUE"""),"")</f>
        <v/>
      </c>
      <c r="AE558" s="154" t="str">
        <v/>
      </c>
      <c r="AF558" s="154" t="str">
        <v/>
      </c>
    </row>
    <row r="559" spans="1:32" ht="15">
      <c r="A559" s="176"/>
      <c r="B559" s="145"/>
      <c r="C559" s="169"/>
      <c r="D559" s="145"/>
      <c r="E559" s="145"/>
      <c r="F559" s="169" t="e">
        <v>#VALUE!</v>
      </c>
      <c r="G559" s="145"/>
      <c r="H559" s="145"/>
      <c r="I559" s="145"/>
      <c r="J559" s="145"/>
      <c r="K559" s="145"/>
      <c r="L559" s="145"/>
      <c r="M559" s="145"/>
      <c r="N559" s="145"/>
      <c r="O559" s="174"/>
      <c r="P559" s="174"/>
      <c r="Q559" s="158" t="str">
        <v/>
      </c>
      <c r="R559" s="158" t="str">
        <v/>
      </c>
      <c r="S559" s="158" t="str">
        <v/>
      </c>
      <c r="T559" s="158" t="str">
        <v/>
      </c>
      <c r="U559" s="158" t="str">
        <v/>
      </c>
      <c r="V559" s="158" t="str">
        <v/>
      </c>
      <c r="W559" s="158" t="str">
        <v/>
      </c>
      <c r="X559" s="158" t="str">
        <v/>
      </c>
      <c r="Y559" s="158" t="str">
        <v/>
      </c>
      <c r="Z559" s="158" t="str">
        <v/>
      </c>
      <c r="AA559" s="158" t="e">
        <v>#VALUE!</v>
      </c>
      <c r="AB559" s="171" t="str">
        <v/>
      </c>
      <c r="AC559" s="158">
        <v>0</v>
      </c>
      <c r="AD559" s="173" t="str">
        <f ca="1">IFERROR(__xludf.DUMMYFUNCTION("""COMPUTED_VALUE"""),"")</f>
        <v/>
      </c>
      <c r="AE559" s="154" t="str">
        <v/>
      </c>
      <c r="AF559" s="154" t="str">
        <v/>
      </c>
    </row>
    <row r="560" spans="1:32" ht="15">
      <c r="A560" s="176"/>
      <c r="B560" s="145"/>
      <c r="C560" s="169"/>
      <c r="D560" s="145"/>
      <c r="E560" s="145"/>
      <c r="F560" s="169" t="e">
        <v>#VALUE!</v>
      </c>
      <c r="G560" s="145"/>
      <c r="H560" s="145"/>
      <c r="I560" s="145"/>
      <c r="J560" s="145"/>
      <c r="K560" s="145"/>
      <c r="L560" s="145"/>
      <c r="M560" s="145"/>
      <c r="N560" s="145"/>
      <c r="O560" s="174"/>
      <c r="P560" s="174"/>
      <c r="Q560" s="158" t="str">
        <v/>
      </c>
      <c r="R560" s="158" t="str">
        <v/>
      </c>
      <c r="S560" s="158" t="str">
        <v/>
      </c>
      <c r="T560" s="158" t="str">
        <v/>
      </c>
      <c r="U560" s="158" t="str">
        <v/>
      </c>
      <c r="V560" s="158" t="str">
        <v/>
      </c>
      <c r="W560" s="158" t="str">
        <v/>
      </c>
      <c r="X560" s="158" t="str">
        <v/>
      </c>
      <c r="Y560" s="158" t="str">
        <v/>
      </c>
      <c r="Z560" s="158" t="str">
        <v/>
      </c>
      <c r="AA560" s="158" t="e">
        <v>#VALUE!</v>
      </c>
      <c r="AB560" s="171" t="str">
        <v/>
      </c>
      <c r="AC560" s="158">
        <v>0</v>
      </c>
      <c r="AD560" s="173" t="str">
        <f ca="1">IFERROR(__xludf.DUMMYFUNCTION("""COMPUTED_VALUE"""),"")</f>
        <v/>
      </c>
      <c r="AE560" s="154" t="str">
        <v/>
      </c>
      <c r="AF560" s="154" t="str">
        <v/>
      </c>
    </row>
    <row r="561" spans="1:32" ht="15">
      <c r="A561" s="176"/>
      <c r="B561" s="145"/>
      <c r="C561" s="169"/>
      <c r="D561" s="145"/>
      <c r="E561" s="145"/>
      <c r="F561" s="169" t="e">
        <v>#VALUE!</v>
      </c>
      <c r="G561" s="145"/>
      <c r="H561" s="145"/>
      <c r="I561" s="145"/>
      <c r="J561" s="145"/>
      <c r="K561" s="145"/>
      <c r="L561" s="145"/>
      <c r="M561" s="145"/>
      <c r="N561" s="145"/>
      <c r="O561" s="174"/>
      <c r="P561" s="174"/>
      <c r="Q561" s="158" t="str">
        <v/>
      </c>
      <c r="R561" s="158" t="str">
        <v/>
      </c>
      <c r="S561" s="158" t="str">
        <v/>
      </c>
      <c r="T561" s="158" t="str">
        <v/>
      </c>
      <c r="U561" s="158" t="str">
        <v/>
      </c>
      <c r="V561" s="158" t="str">
        <v/>
      </c>
      <c r="W561" s="158" t="str">
        <v/>
      </c>
      <c r="X561" s="158" t="str">
        <v/>
      </c>
      <c r="Y561" s="158" t="str">
        <v/>
      </c>
      <c r="Z561" s="158" t="str">
        <v/>
      </c>
      <c r="AA561" s="158" t="e">
        <v>#VALUE!</v>
      </c>
      <c r="AB561" s="171" t="str">
        <v/>
      </c>
      <c r="AC561" s="158">
        <v>0</v>
      </c>
      <c r="AD561" s="173" t="str">
        <f ca="1">IFERROR(__xludf.DUMMYFUNCTION("""COMPUTED_VALUE"""),"")</f>
        <v/>
      </c>
      <c r="AE561" s="154" t="str">
        <v/>
      </c>
      <c r="AF561" s="154" t="str">
        <v/>
      </c>
    </row>
    <row r="562" spans="1:32" ht="15">
      <c r="A562" s="176"/>
      <c r="B562" s="145"/>
      <c r="C562" s="169"/>
      <c r="D562" s="145"/>
      <c r="E562" s="145"/>
      <c r="F562" s="169" t="e">
        <v>#VALUE!</v>
      </c>
      <c r="G562" s="145"/>
      <c r="H562" s="145"/>
      <c r="I562" s="145"/>
      <c r="J562" s="145"/>
      <c r="K562" s="145"/>
      <c r="L562" s="145"/>
      <c r="M562" s="145"/>
      <c r="N562" s="145"/>
      <c r="O562" s="174"/>
      <c r="P562" s="174"/>
      <c r="Q562" s="158" t="str">
        <v/>
      </c>
      <c r="R562" s="158" t="str">
        <v/>
      </c>
      <c r="S562" s="158" t="str">
        <v/>
      </c>
      <c r="T562" s="158" t="str">
        <v/>
      </c>
      <c r="U562" s="158" t="str">
        <v/>
      </c>
      <c r="V562" s="158" t="str">
        <v/>
      </c>
      <c r="W562" s="158" t="str">
        <v/>
      </c>
      <c r="X562" s="158" t="str">
        <v/>
      </c>
      <c r="Y562" s="158" t="str">
        <v/>
      </c>
      <c r="Z562" s="158" t="str">
        <v/>
      </c>
      <c r="AA562" s="158" t="e">
        <v>#VALUE!</v>
      </c>
      <c r="AB562" s="171" t="str">
        <v/>
      </c>
      <c r="AC562" s="158">
        <v>0</v>
      </c>
      <c r="AD562" s="173" t="str">
        <f ca="1">IFERROR(__xludf.DUMMYFUNCTION("""COMPUTED_VALUE"""),"")</f>
        <v/>
      </c>
      <c r="AE562" s="154" t="str">
        <v/>
      </c>
      <c r="AF562" s="154" t="str">
        <v/>
      </c>
    </row>
    <row r="563" spans="1:32" ht="15">
      <c r="A563" s="176"/>
      <c r="B563" s="145"/>
      <c r="C563" s="169"/>
      <c r="D563" s="145"/>
      <c r="E563" s="145"/>
      <c r="F563" s="169" t="e">
        <v>#VALUE!</v>
      </c>
      <c r="G563" s="145"/>
      <c r="H563" s="145"/>
      <c r="I563" s="145"/>
      <c r="J563" s="145"/>
      <c r="K563" s="145"/>
      <c r="L563" s="145"/>
      <c r="M563" s="145"/>
      <c r="N563" s="145"/>
      <c r="O563" s="174"/>
      <c r="P563" s="174"/>
      <c r="Q563" s="158" t="str">
        <v/>
      </c>
      <c r="R563" s="158" t="str">
        <v/>
      </c>
      <c r="S563" s="158" t="str">
        <v/>
      </c>
      <c r="T563" s="158" t="str">
        <v/>
      </c>
      <c r="U563" s="158" t="str">
        <v/>
      </c>
      <c r="V563" s="158" t="str">
        <v/>
      </c>
      <c r="W563" s="158" t="str">
        <v/>
      </c>
      <c r="X563" s="158" t="str">
        <v/>
      </c>
      <c r="Y563" s="158" t="str">
        <v/>
      </c>
      <c r="Z563" s="158" t="str">
        <v/>
      </c>
      <c r="AA563" s="158" t="e">
        <v>#VALUE!</v>
      </c>
      <c r="AB563" s="171" t="str">
        <v/>
      </c>
      <c r="AC563" s="158">
        <v>0</v>
      </c>
      <c r="AD563" s="173" t="str">
        <f ca="1">IFERROR(__xludf.DUMMYFUNCTION("""COMPUTED_VALUE"""),"")</f>
        <v/>
      </c>
      <c r="AE563" s="154" t="str">
        <v/>
      </c>
      <c r="AF563" s="154" t="str">
        <v/>
      </c>
    </row>
    <row r="564" spans="1:32" ht="15">
      <c r="A564" s="176"/>
      <c r="B564" s="145"/>
      <c r="C564" s="169"/>
      <c r="D564" s="145"/>
      <c r="E564" s="145"/>
      <c r="F564" s="169" t="e">
        <v>#VALUE!</v>
      </c>
      <c r="G564" s="145"/>
      <c r="H564" s="145"/>
      <c r="I564" s="145"/>
      <c r="J564" s="145"/>
      <c r="K564" s="145"/>
      <c r="L564" s="145"/>
      <c r="M564" s="145"/>
      <c r="N564" s="145"/>
      <c r="O564" s="174"/>
      <c r="P564" s="174"/>
      <c r="Q564" s="158" t="str">
        <v/>
      </c>
      <c r="R564" s="158" t="str">
        <v/>
      </c>
      <c r="S564" s="158" t="str">
        <v/>
      </c>
      <c r="T564" s="158" t="str">
        <v/>
      </c>
      <c r="U564" s="158" t="str">
        <v/>
      </c>
      <c r="V564" s="158" t="str">
        <v/>
      </c>
      <c r="W564" s="158" t="str">
        <v/>
      </c>
      <c r="X564" s="158" t="str">
        <v/>
      </c>
      <c r="Y564" s="158" t="str">
        <v/>
      </c>
      <c r="Z564" s="158" t="str">
        <v/>
      </c>
      <c r="AA564" s="158" t="e">
        <v>#VALUE!</v>
      </c>
      <c r="AB564" s="171" t="str">
        <v/>
      </c>
      <c r="AC564" s="158">
        <v>0</v>
      </c>
      <c r="AD564" s="173" t="str">
        <f ca="1">IFERROR(__xludf.DUMMYFUNCTION("""COMPUTED_VALUE"""),"")</f>
        <v/>
      </c>
      <c r="AE564" s="154" t="str">
        <v/>
      </c>
      <c r="AF564" s="154" t="str">
        <v/>
      </c>
    </row>
    <row r="565" spans="1:32" ht="15">
      <c r="A565" s="176"/>
      <c r="B565" s="145"/>
      <c r="C565" s="169"/>
      <c r="D565" s="145"/>
      <c r="E565" s="145"/>
      <c r="F565" s="169" t="e">
        <v>#VALUE!</v>
      </c>
      <c r="G565" s="145"/>
      <c r="H565" s="145"/>
      <c r="I565" s="145"/>
      <c r="J565" s="145"/>
      <c r="K565" s="145"/>
      <c r="L565" s="145"/>
      <c r="M565" s="145"/>
      <c r="N565" s="145"/>
      <c r="O565" s="174"/>
      <c r="P565" s="174"/>
      <c r="Q565" s="158" t="str">
        <v/>
      </c>
      <c r="R565" s="158" t="str">
        <v/>
      </c>
      <c r="S565" s="158" t="str">
        <v/>
      </c>
      <c r="T565" s="158" t="str">
        <v/>
      </c>
      <c r="U565" s="158" t="str">
        <v/>
      </c>
      <c r="V565" s="158" t="str">
        <v/>
      </c>
      <c r="W565" s="158" t="str">
        <v/>
      </c>
      <c r="X565" s="158" t="str">
        <v/>
      </c>
      <c r="Y565" s="158" t="str">
        <v/>
      </c>
      <c r="Z565" s="158" t="str">
        <v/>
      </c>
      <c r="AA565" s="158" t="e">
        <v>#VALUE!</v>
      </c>
      <c r="AB565" s="171" t="str">
        <v/>
      </c>
      <c r="AC565" s="158">
        <v>0</v>
      </c>
      <c r="AD565" s="173" t="str">
        <f ca="1">IFERROR(__xludf.DUMMYFUNCTION("""COMPUTED_VALUE"""),"")</f>
        <v/>
      </c>
      <c r="AE565" s="154" t="str">
        <v/>
      </c>
      <c r="AF565" s="154" t="str">
        <v/>
      </c>
    </row>
    <row r="566" spans="1:32" ht="15">
      <c r="A566" s="176"/>
      <c r="B566" s="145"/>
      <c r="C566" s="169"/>
      <c r="D566" s="145"/>
      <c r="E566" s="145"/>
      <c r="F566" s="169" t="e">
        <v>#VALUE!</v>
      </c>
      <c r="G566" s="145"/>
      <c r="H566" s="145"/>
      <c r="I566" s="145"/>
      <c r="J566" s="145"/>
      <c r="K566" s="145"/>
      <c r="L566" s="145"/>
      <c r="M566" s="145"/>
      <c r="N566" s="145"/>
      <c r="O566" s="174"/>
      <c r="P566" s="174"/>
      <c r="Q566" s="158" t="str">
        <v/>
      </c>
      <c r="R566" s="158" t="str">
        <v/>
      </c>
      <c r="S566" s="158" t="str">
        <v/>
      </c>
      <c r="T566" s="158" t="str">
        <v/>
      </c>
      <c r="U566" s="158" t="str">
        <v/>
      </c>
      <c r="V566" s="158" t="str">
        <v/>
      </c>
      <c r="W566" s="158" t="str">
        <v/>
      </c>
      <c r="X566" s="158" t="str">
        <v/>
      </c>
      <c r="Y566" s="158" t="str">
        <v/>
      </c>
      <c r="Z566" s="158" t="str">
        <v/>
      </c>
      <c r="AA566" s="158" t="e">
        <v>#VALUE!</v>
      </c>
      <c r="AB566" s="171" t="str">
        <v/>
      </c>
      <c r="AC566" s="158">
        <v>0</v>
      </c>
      <c r="AD566" s="173" t="str">
        <f ca="1">IFERROR(__xludf.DUMMYFUNCTION("""COMPUTED_VALUE"""),"")</f>
        <v/>
      </c>
      <c r="AE566" s="154" t="str">
        <v/>
      </c>
      <c r="AF566" s="154" t="str">
        <v/>
      </c>
    </row>
    <row r="567" spans="1:32" ht="15">
      <c r="A567" s="176"/>
      <c r="B567" s="145"/>
      <c r="C567" s="169"/>
      <c r="D567" s="145"/>
      <c r="E567" s="145"/>
      <c r="F567" s="169" t="e">
        <v>#VALUE!</v>
      </c>
      <c r="G567" s="145"/>
      <c r="H567" s="145"/>
      <c r="I567" s="145"/>
      <c r="J567" s="145"/>
      <c r="K567" s="145"/>
      <c r="L567" s="145"/>
      <c r="M567" s="145"/>
      <c r="N567" s="145"/>
      <c r="O567" s="174"/>
      <c r="P567" s="174"/>
      <c r="Q567" s="158" t="str">
        <v/>
      </c>
      <c r="R567" s="158" t="str">
        <v/>
      </c>
      <c r="S567" s="158" t="str">
        <v/>
      </c>
      <c r="T567" s="158" t="str">
        <v/>
      </c>
      <c r="U567" s="158" t="str">
        <v/>
      </c>
      <c r="V567" s="158" t="str">
        <v/>
      </c>
      <c r="W567" s="158" t="str">
        <v/>
      </c>
      <c r="X567" s="158" t="str">
        <v/>
      </c>
      <c r="Y567" s="158" t="str">
        <v/>
      </c>
      <c r="Z567" s="158" t="str">
        <v/>
      </c>
      <c r="AA567" s="158" t="e">
        <v>#VALUE!</v>
      </c>
      <c r="AB567" s="171" t="str">
        <v/>
      </c>
      <c r="AC567" s="158">
        <v>0</v>
      </c>
      <c r="AD567" s="173" t="str">
        <f ca="1">IFERROR(__xludf.DUMMYFUNCTION("""COMPUTED_VALUE"""),"")</f>
        <v/>
      </c>
      <c r="AE567" s="154" t="str">
        <v/>
      </c>
      <c r="AF567" s="154" t="str">
        <v/>
      </c>
    </row>
    <row r="568" spans="1:32" ht="15">
      <c r="A568" s="176"/>
      <c r="B568" s="145"/>
      <c r="C568" s="169"/>
      <c r="D568" s="145"/>
      <c r="E568" s="145"/>
      <c r="F568" s="169" t="e">
        <v>#VALUE!</v>
      </c>
      <c r="G568" s="145"/>
      <c r="H568" s="145"/>
      <c r="I568" s="145"/>
      <c r="J568" s="145"/>
      <c r="K568" s="145"/>
      <c r="L568" s="145"/>
      <c r="M568" s="145"/>
      <c r="N568" s="145"/>
      <c r="O568" s="174"/>
      <c r="P568" s="174"/>
      <c r="Q568" s="158" t="str">
        <v/>
      </c>
      <c r="R568" s="158" t="str">
        <v/>
      </c>
      <c r="S568" s="158" t="str">
        <v/>
      </c>
      <c r="T568" s="158" t="str">
        <v/>
      </c>
      <c r="U568" s="158" t="str">
        <v/>
      </c>
      <c r="V568" s="158" t="str">
        <v/>
      </c>
      <c r="W568" s="158" t="str">
        <v/>
      </c>
      <c r="X568" s="158" t="str">
        <v/>
      </c>
      <c r="Y568" s="158" t="str">
        <v/>
      </c>
      <c r="Z568" s="158" t="str">
        <v/>
      </c>
      <c r="AA568" s="158" t="e">
        <v>#VALUE!</v>
      </c>
      <c r="AB568" s="171" t="str">
        <v/>
      </c>
      <c r="AC568" s="158">
        <v>0</v>
      </c>
      <c r="AD568" s="173" t="str">
        <f ca="1">IFERROR(__xludf.DUMMYFUNCTION("""COMPUTED_VALUE"""),"")</f>
        <v/>
      </c>
      <c r="AE568" s="154" t="str">
        <v/>
      </c>
      <c r="AF568" s="154" t="str">
        <v/>
      </c>
    </row>
    <row r="569" spans="1:32" ht="15">
      <c r="A569" s="176"/>
      <c r="B569" s="145"/>
      <c r="C569" s="169"/>
      <c r="D569" s="145"/>
      <c r="E569" s="145"/>
      <c r="F569" s="169" t="e">
        <v>#VALUE!</v>
      </c>
      <c r="G569" s="145"/>
      <c r="H569" s="145"/>
      <c r="I569" s="145"/>
      <c r="J569" s="145"/>
      <c r="K569" s="145"/>
      <c r="L569" s="145"/>
      <c r="M569" s="145"/>
      <c r="N569" s="145"/>
      <c r="O569" s="174"/>
      <c r="P569" s="174"/>
      <c r="Q569" s="158" t="str">
        <v/>
      </c>
      <c r="R569" s="158" t="str">
        <v/>
      </c>
      <c r="S569" s="158" t="str">
        <v/>
      </c>
      <c r="T569" s="158" t="str">
        <v/>
      </c>
      <c r="U569" s="158" t="str">
        <v/>
      </c>
      <c r="V569" s="158" t="str">
        <v/>
      </c>
      <c r="W569" s="158" t="str">
        <v/>
      </c>
      <c r="X569" s="158" t="str">
        <v/>
      </c>
      <c r="Y569" s="158" t="str">
        <v/>
      </c>
      <c r="Z569" s="158" t="str">
        <v/>
      </c>
      <c r="AA569" s="158" t="e">
        <v>#VALUE!</v>
      </c>
      <c r="AB569" s="171" t="str">
        <v/>
      </c>
      <c r="AC569" s="158">
        <v>0</v>
      </c>
      <c r="AD569" s="173" t="str">
        <f ca="1">IFERROR(__xludf.DUMMYFUNCTION("""COMPUTED_VALUE"""),"")</f>
        <v/>
      </c>
      <c r="AE569" s="154" t="str">
        <v/>
      </c>
      <c r="AF569" s="154" t="str">
        <v/>
      </c>
    </row>
    <row r="570" spans="1:32" ht="15">
      <c r="A570" s="176"/>
      <c r="B570" s="145"/>
      <c r="C570" s="169"/>
      <c r="D570" s="145"/>
      <c r="E570" s="145"/>
      <c r="F570" s="169" t="e">
        <v>#VALUE!</v>
      </c>
      <c r="G570" s="145"/>
      <c r="H570" s="145"/>
      <c r="I570" s="145"/>
      <c r="J570" s="145"/>
      <c r="K570" s="145"/>
      <c r="L570" s="145"/>
      <c r="M570" s="145"/>
      <c r="N570" s="145"/>
      <c r="O570" s="174"/>
      <c r="P570" s="174"/>
      <c r="Q570" s="158" t="str">
        <v/>
      </c>
      <c r="R570" s="158" t="str">
        <v/>
      </c>
      <c r="S570" s="158" t="str">
        <v/>
      </c>
      <c r="T570" s="158" t="str">
        <v/>
      </c>
      <c r="U570" s="158" t="str">
        <v/>
      </c>
      <c r="V570" s="158" t="str">
        <v/>
      </c>
      <c r="W570" s="158" t="str">
        <v/>
      </c>
      <c r="X570" s="158" t="str">
        <v/>
      </c>
      <c r="Y570" s="158" t="str">
        <v/>
      </c>
      <c r="Z570" s="158" t="str">
        <v/>
      </c>
      <c r="AA570" s="158" t="e">
        <v>#VALUE!</v>
      </c>
      <c r="AB570" s="171" t="str">
        <v/>
      </c>
      <c r="AC570" s="158">
        <v>0</v>
      </c>
      <c r="AD570" s="173" t="str">
        <f ca="1">IFERROR(__xludf.DUMMYFUNCTION("""COMPUTED_VALUE"""),"")</f>
        <v/>
      </c>
      <c r="AE570" s="154" t="str">
        <v/>
      </c>
      <c r="AF570" s="154" t="str">
        <v/>
      </c>
    </row>
    <row r="571" spans="1:32" ht="15">
      <c r="A571" s="176"/>
      <c r="B571" s="145"/>
      <c r="C571" s="169"/>
      <c r="D571" s="145"/>
      <c r="E571" s="145"/>
      <c r="F571" s="169" t="e">
        <v>#VALUE!</v>
      </c>
      <c r="G571" s="145"/>
      <c r="H571" s="145"/>
      <c r="I571" s="145"/>
      <c r="J571" s="145"/>
      <c r="K571" s="145"/>
      <c r="L571" s="145"/>
      <c r="M571" s="145"/>
      <c r="N571" s="145"/>
      <c r="O571" s="174"/>
      <c r="P571" s="174"/>
      <c r="Q571" s="158" t="str">
        <v/>
      </c>
      <c r="R571" s="158" t="str">
        <v/>
      </c>
      <c r="S571" s="158" t="str">
        <v/>
      </c>
      <c r="T571" s="158" t="str">
        <v/>
      </c>
      <c r="U571" s="158" t="str">
        <v/>
      </c>
      <c r="V571" s="158" t="str">
        <v/>
      </c>
      <c r="W571" s="158" t="str">
        <v/>
      </c>
      <c r="X571" s="158" t="str">
        <v/>
      </c>
      <c r="Y571" s="158" t="str">
        <v/>
      </c>
      <c r="Z571" s="158" t="str">
        <v/>
      </c>
      <c r="AA571" s="158" t="e">
        <v>#VALUE!</v>
      </c>
      <c r="AB571" s="171" t="str">
        <v/>
      </c>
      <c r="AC571" s="158">
        <v>0</v>
      </c>
      <c r="AD571" s="173" t="str">
        <f ca="1">IFERROR(__xludf.DUMMYFUNCTION("""COMPUTED_VALUE"""),"")</f>
        <v/>
      </c>
      <c r="AE571" s="154" t="str">
        <v/>
      </c>
      <c r="AF571" s="154" t="str">
        <v/>
      </c>
    </row>
    <row r="572" spans="1:32" ht="15">
      <c r="A572" s="176"/>
      <c r="B572" s="145"/>
      <c r="C572" s="169"/>
      <c r="D572" s="145"/>
      <c r="E572" s="145"/>
      <c r="F572" s="169" t="e">
        <v>#VALUE!</v>
      </c>
      <c r="G572" s="145"/>
      <c r="H572" s="145"/>
      <c r="I572" s="145"/>
      <c r="J572" s="145"/>
      <c r="K572" s="145"/>
      <c r="L572" s="145"/>
      <c r="M572" s="145"/>
      <c r="N572" s="145"/>
      <c r="O572" s="174"/>
      <c r="P572" s="174"/>
      <c r="Q572" s="158" t="str">
        <v/>
      </c>
      <c r="R572" s="158" t="str">
        <v/>
      </c>
      <c r="S572" s="158" t="str">
        <v/>
      </c>
      <c r="T572" s="158" t="str">
        <v/>
      </c>
      <c r="U572" s="158" t="str">
        <v/>
      </c>
      <c r="V572" s="158" t="str">
        <v/>
      </c>
      <c r="W572" s="158" t="str">
        <v/>
      </c>
      <c r="X572" s="158" t="str">
        <v/>
      </c>
      <c r="Y572" s="158" t="str">
        <v/>
      </c>
      <c r="Z572" s="158" t="str">
        <v/>
      </c>
      <c r="AA572" s="158" t="e">
        <v>#VALUE!</v>
      </c>
      <c r="AB572" s="171" t="str">
        <v/>
      </c>
      <c r="AC572" s="158">
        <v>0</v>
      </c>
      <c r="AD572" s="173" t="str">
        <f ca="1">IFERROR(__xludf.DUMMYFUNCTION("""COMPUTED_VALUE"""),"")</f>
        <v/>
      </c>
      <c r="AE572" s="154" t="str">
        <v/>
      </c>
      <c r="AF572" s="154" t="str">
        <v/>
      </c>
    </row>
    <row r="573" spans="1:32" ht="15">
      <c r="A573" s="176"/>
      <c r="B573" s="145"/>
      <c r="C573" s="169"/>
      <c r="D573" s="145"/>
      <c r="E573" s="145"/>
      <c r="F573" s="169" t="e">
        <v>#VALUE!</v>
      </c>
      <c r="G573" s="145"/>
      <c r="H573" s="145"/>
      <c r="I573" s="145"/>
      <c r="J573" s="145"/>
      <c r="K573" s="145"/>
      <c r="L573" s="145"/>
      <c r="M573" s="145"/>
      <c r="N573" s="145"/>
      <c r="O573" s="174"/>
      <c r="P573" s="174"/>
      <c r="Q573" s="158" t="str">
        <v/>
      </c>
      <c r="R573" s="158" t="str">
        <v/>
      </c>
      <c r="S573" s="158" t="str">
        <v/>
      </c>
      <c r="T573" s="158" t="str">
        <v/>
      </c>
      <c r="U573" s="158" t="str">
        <v/>
      </c>
      <c r="V573" s="158" t="str">
        <v/>
      </c>
      <c r="W573" s="158" t="str">
        <v/>
      </c>
      <c r="X573" s="158" t="str">
        <v/>
      </c>
      <c r="Y573" s="158" t="str">
        <v/>
      </c>
      <c r="Z573" s="158" t="str">
        <v/>
      </c>
      <c r="AA573" s="158" t="e">
        <v>#VALUE!</v>
      </c>
      <c r="AB573" s="171" t="str">
        <v/>
      </c>
      <c r="AC573" s="158">
        <v>0</v>
      </c>
      <c r="AD573" s="173" t="str">
        <f ca="1">IFERROR(__xludf.DUMMYFUNCTION("""COMPUTED_VALUE"""),"")</f>
        <v/>
      </c>
      <c r="AE573" s="154" t="str">
        <v/>
      </c>
      <c r="AF573" s="154" t="str">
        <v/>
      </c>
    </row>
    <row r="574" spans="1:32" ht="15">
      <c r="A574" s="176"/>
      <c r="B574" s="145"/>
      <c r="C574" s="169"/>
      <c r="D574" s="145"/>
      <c r="E574" s="145"/>
      <c r="F574" s="169" t="e">
        <v>#VALUE!</v>
      </c>
      <c r="G574" s="145"/>
      <c r="H574" s="145"/>
      <c r="I574" s="145"/>
      <c r="J574" s="145"/>
      <c r="K574" s="145"/>
      <c r="L574" s="145"/>
      <c r="M574" s="145"/>
      <c r="N574" s="145"/>
      <c r="O574" s="174"/>
      <c r="P574" s="174"/>
      <c r="Q574" s="158" t="str">
        <v/>
      </c>
      <c r="R574" s="158" t="str">
        <v/>
      </c>
      <c r="S574" s="158" t="str">
        <v/>
      </c>
      <c r="T574" s="158" t="str">
        <v/>
      </c>
      <c r="U574" s="158" t="str">
        <v/>
      </c>
      <c r="V574" s="158" t="str">
        <v/>
      </c>
      <c r="W574" s="158" t="str">
        <v/>
      </c>
      <c r="X574" s="158" t="str">
        <v/>
      </c>
      <c r="Y574" s="158" t="str">
        <v/>
      </c>
      <c r="Z574" s="158" t="str">
        <v/>
      </c>
      <c r="AA574" s="158" t="e">
        <v>#VALUE!</v>
      </c>
      <c r="AB574" s="171" t="str">
        <v/>
      </c>
      <c r="AC574" s="158">
        <v>0</v>
      </c>
      <c r="AD574" s="173" t="str">
        <f ca="1">IFERROR(__xludf.DUMMYFUNCTION("""COMPUTED_VALUE"""),"")</f>
        <v/>
      </c>
      <c r="AE574" s="154" t="str">
        <v/>
      </c>
      <c r="AF574" s="154" t="str">
        <v/>
      </c>
    </row>
    <row r="575" spans="1:32" ht="15">
      <c r="A575" s="176"/>
      <c r="B575" s="145"/>
      <c r="C575" s="169"/>
      <c r="D575" s="145"/>
      <c r="E575" s="145"/>
      <c r="F575" s="169" t="e">
        <v>#VALUE!</v>
      </c>
      <c r="G575" s="145"/>
      <c r="H575" s="145"/>
      <c r="I575" s="145"/>
      <c r="J575" s="145"/>
      <c r="K575" s="145"/>
      <c r="L575" s="145"/>
      <c r="M575" s="145"/>
      <c r="N575" s="145"/>
      <c r="O575" s="174"/>
      <c r="P575" s="174"/>
      <c r="Q575" s="158" t="str">
        <v/>
      </c>
      <c r="R575" s="158" t="str">
        <v/>
      </c>
      <c r="S575" s="158" t="str">
        <v/>
      </c>
      <c r="T575" s="158" t="str">
        <v/>
      </c>
      <c r="U575" s="158" t="str">
        <v/>
      </c>
      <c r="V575" s="158" t="str">
        <v/>
      </c>
      <c r="W575" s="158" t="str">
        <v/>
      </c>
      <c r="X575" s="158" t="str">
        <v/>
      </c>
      <c r="Y575" s="158" t="str">
        <v/>
      </c>
      <c r="Z575" s="158" t="str">
        <v/>
      </c>
      <c r="AA575" s="158" t="e">
        <v>#VALUE!</v>
      </c>
      <c r="AB575" s="171" t="str">
        <v/>
      </c>
      <c r="AC575" s="158">
        <v>0</v>
      </c>
      <c r="AD575" s="173" t="str">
        <f ca="1">IFERROR(__xludf.DUMMYFUNCTION("""COMPUTED_VALUE"""),"")</f>
        <v/>
      </c>
      <c r="AE575" s="154" t="str">
        <v/>
      </c>
      <c r="AF575" s="154" t="str">
        <v/>
      </c>
    </row>
    <row r="576" spans="1:32" ht="15">
      <c r="A576" s="176"/>
      <c r="B576" s="145"/>
      <c r="C576" s="169"/>
      <c r="D576" s="145"/>
      <c r="E576" s="145"/>
      <c r="F576" s="169" t="e">
        <v>#VALUE!</v>
      </c>
      <c r="G576" s="145"/>
      <c r="H576" s="145"/>
      <c r="I576" s="145"/>
      <c r="J576" s="145"/>
      <c r="K576" s="145"/>
      <c r="L576" s="145"/>
      <c r="M576" s="145"/>
      <c r="N576" s="145"/>
      <c r="O576" s="174"/>
      <c r="P576" s="174"/>
      <c r="Q576" s="158" t="str">
        <v/>
      </c>
      <c r="R576" s="158" t="str">
        <v/>
      </c>
      <c r="S576" s="158" t="str">
        <v/>
      </c>
      <c r="T576" s="158" t="str">
        <v/>
      </c>
      <c r="U576" s="158" t="str">
        <v/>
      </c>
      <c r="V576" s="158" t="str">
        <v/>
      </c>
      <c r="W576" s="158" t="str">
        <v/>
      </c>
      <c r="X576" s="158" t="str">
        <v/>
      </c>
      <c r="Y576" s="158" t="str">
        <v/>
      </c>
      <c r="Z576" s="158" t="str">
        <v/>
      </c>
      <c r="AA576" s="158" t="e">
        <v>#VALUE!</v>
      </c>
      <c r="AB576" s="171" t="str">
        <v/>
      </c>
      <c r="AC576" s="158">
        <v>0</v>
      </c>
      <c r="AD576" s="173" t="str">
        <f ca="1">IFERROR(__xludf.DUMMYFUNCTION("""COMPUTED_VALUE"""),"")</f>
        <v/>
      </c>
      <c r="AE576" s="154" t="str">
        <v/>
      </c>
      <c r="AF576" s="154" t="str">
        <v/>
      </c>
    </row>
    <row r="577" spans="1:32" ht="15">
      <c r="A577" s="176"/>
      <c r="B577" s="145"/>
      <c r="C577" s="169"/>
      <c r="D577" s="145"/>
      <c r="E577" s="145"/>
      <c r="F577" s="169" t="e">
        <v>#VALUE!</v>
      </c>
      <c r="G577" s="145"/>
      <c r="H577" s="145"/>
      <c r="I577" s="145"/>
      <c r="J577" s="145"/>
      <c r="K577" s="145"/>
      <c r="L577" s="145"/>
      <c r="M577" s="145"/>
      <c r="N577" s="145"/>
      <c r="O577" s="174"/>
      <c r="P577" s="174"/>
      <c r="Q577" s="158" t="str">
        <v/>
      </c>
      <c r="R577" s="158" t="str">
        <v/>
      </c>
      <c r="S577" s="158" t="str">
        <v/>
      </c>
      <c r="T577" s="158" t="str">
        <v/>
      </c>
      <c r="U577" s="158" t="str">
        <v/>
      </c>
      <c r="V577" s="158" t="str">
        <v/>
      </c>
      <c r="W577" s="158" t="str">
        <v/>
      </c>
      <c r="X577" s="158" t="str">
        <v/>
      </c>
      <c r="Y577" s="158" t="str">
        <v/>
      </c>
      <c r="Z577" s="158" t="str">
        <v/>
      </c>
      <c r="AA577" s="158" t="e">
        <v>#VALUE!</v>
      </c>
      <c r="AB577" s="171" t="str">
        <v/>
      </c>
      <c r="AC577" s="158">
        <v>0</v>
      </c>
      <c r="AD577" s="173" t="str">
        <f ca="1">IFERROR(__xludf.DUMMYFUNCTION("""COMPUTED_VALUE"""),"")</f>
        <v/>
      </c>
      <c r="AE577" s="154" t="str">
        <v/>
      </c>
      <c r="AF577" s="154" t="str">
        <v/>
      </c>
    </row>
    <row r="578" spans="1:32" ht="15">
      <c r="A578" s="176"/>
      <c r="B578" s="145"/>
      <c r="C578" s="169"/>
      <c r="D578" s="145"/>
      <c r="E578" s="145"/>
      <c r="F578" s="169" t="e">
        <v>#VALUE!</v>
      </c>
      <c r="G578" s="145"/>
      <c r="H578" s="145"/>
      <c r="I578" s="145"/>
      <c r="J578" s="145"/>
      <c r="K578" s="145"/>
      <c r="L578" s="145"/>
      <c r="M578" s="145"/>
      <c r="N578" s="145"/>
      <c r="O578" s="174"/>
      <c r="P578" s="174"/>
      <c r="Q578" s="158" t="str">
        <v/>
      </c>
      <c r="R578" s="158" t="str">
        <v/>
      </c>
      <c r="S578" s="158" t="str">
        <v/>
      </c>
      <c r="T578" s="158" t="str">
        <v/>
      </c>
      <c r="U578" s="158" t="str">
        <v/>
      </c>
      <c r="V578" s="158" t="str">
        <v/>
      </c>
      <c r="W578" s="158" t="str">
        <v/>
      </c>
      <c r="X578" s="158" t="str">
        <v/>
      </c>
      <c r="Y578" s="158" t="str">
        <v/>
      </c>
      <c r="Z578" s="158" t="str">
        <v/>
      </c>
      <c r="AA578" s="158" t="e">
        <v>#VALUE!</v>
      </c>
      <c r="AB578" s="171" t="str">
        <v/>
      </c>
      <c r="AC578" s="158">
        <v>0</v>
      </c>
      <c r="AD578" s="173" t="str">
        <f ca="1">IFERROR(__xludf.DUMMYFUNCTION("""COMPUTED_VALUE"""),"")</f>
        <v/>
      </c>
      <c r="AE578" s="154" t="str">
        <v/>
      </c>
      <c r="AF578" s="154" t="str">
        <v/>
      </c>
    </row>
    <row r="579" spans="1:32" ht="15">
      <c r="A579" s="176"/>
      <c r="B579" s="145"/>
      <c r="C579" s="169"/>
      <c r="D579" s="145"/>
      <c r="E579" s="145"/>
      <c r="F579" s="169" t="e">
        <v>#VALUE!</v>
      </c>
      <c r="G579" s="145"/>
      <c r="H579" s="145"/>
      <c r="I579" s="145"/>
      <c r="J579" s="145"/>
      <c r="K579" s="145"/>
      <c r="L579" s="145"/>
      <c r="M579" s="145"/>
      <c r="N579" s="145"/>
      <c r="O579" s="174"/>
      <c r="P579" s="174"/>
      <c r="Q579" s="158" t="str">
        <v/>
      </c>
      <c r="R579" s="158" t="str">
        <v/>
      </c>
      <c r="S579" s="158" t="str">
        <v/>
      </c>
      <c r="T579" s="158" t="str">
        <v/>
      </c>
      <c r="U579" s="158" t="str">
        <v/>
      </c>
      <c r="V579" s="158" t="str">
        <v/>
      </c>
      <c r="W579" s="158" t="str">
        <v/>
      </c>
      <c r="X579" s="158" t="str">
        <v/>
      </c>
      <c r="Y579" s="158" t="str">
        <v/>
      </c>
      <c r="Z579" s="158" t="str">
        <v/>
      </c>
      <c r="AA579" s="158" t="e">
        <v>#VALUE!</v>
      </c>
      <c r="AB579" s="171" t="str">
        <v/>
      </c>
      <c r="AC579" s="158">
        <v>0</v>
      </c>
      <c r="AD579" s="173" t="str">
        <f ca="1">IFERROR(__xludf.DUMMYFUNCTION("""COMPUTED_VALUE"""),"")</f>
        <v/>
      </c>
      <c r="AE579" s="154" t="str">
        <v/>
      </c>
      <c r="AF579" s="154" t="str">
        <v/>
      </c>
    </row>
    <row r="580" spans="1:32" ht="15">
      <c r="A580" s="176"/>
      <c r="B580" s="145"/>
      <c r="C580" s="169"/>
      <c r="D580" s="145"/>
      <c r="E580" s="145"/>
      <c r="F580" s="169" t="e">
        <v>#VALUE!</v>
      </c>
      <c r="G580" s="145"/>
      <c r="H580" s="145"/>
      <c r="I580" s="145"/>
      <c r="J580" s="145"/>
      <c r="K580" s="145"/>
      <c r="L580" s="145"/>
      <c r="M580" s="145"/>
      <c r="N580" s="145"/>
      <c r="O580" s="174"/>
      <c r="P580" s="174"/>
      <c r="Q580" s="158" t="str">
        <v/>
      </c>
      <c r="R580" s="158" t="str">
        <v/>
      </c>
      <c r="S580" s="158" t="str">
        <v/>
      </c>
      <c r="T580" s="158" t="str">
        <v/>
      </c>
      <c r="U580" s="158" t="str">
        <v/>
      </c>
      <c r="V580" s="158" t="str">
        <v/>
      </c>
      <c r="W580" s="158" t="str">
        <v/>
      </c>
      <c r="X580" s="158" t="str">
        <v/>
      </c>
      <c r="Y580" s="158" t="str">
        <v/>
      </c>
      <c r="Z580" s="158" t="str">
        <v/>
      </c>
      <c r="AA580" s="158" t="e">
        <v>#VALUE!</v>
      </c>
      <c r="AB580" s="171" t="str">
        <v/>
      </c>
      <c r="AC580" s="158">
        <v>0</v>
      </c>
      <c r="AD580" s="173" t="str">
        <f ca="1">IFERROR(__xludf.DUMMYFUNCTION("""COMPUTED_VALUE"""),"")</f>
        <v/>
      </c>
      <c r="AE580" s="154" t="str">
        <v/>
      </c>
      <c r="AF580" s="154" t="str">
        <v/>
      </c>
    </row>
    <row r="581" spans="1:32" ht="15">
      <c r="A581" s="176"/>
      <c r="B581" s="145"/>
      <c r="C581" s="169"/>
      <c r="D581" s="145"/>
      <c r="E581" s="145"/>
      <c r="F581" s="169" t="e">
        <v>#VALUE!</v>
      </c>
      <c r="G581" s="145"/>
      <c r="H581" s="145"/>
      <c r="I581" s="145"/>
      <c r="J581" s="145"/>
      <c r="K581" s="145"/>
      <c r="L581" s="145"/>
      <c r="M581" s="145"/>
      <c r="N581" s="145"/>
      <c r="O581" s="174"/>
      <c r="P581" s="174"/>
      <c r="Q581" s="158" t="str">
        <v/>
      </c>
      <c r="R581" s="158" t="str">
        <v/>
      </c>
      <c r="S581" s="158" t="str">
        <v/>
      </c>
      <c r="T581" s="158" t="str">
        <v/>
      </c>
      <c r="U581" s="158" t="str">
        <v/>
      </c>
      <c r="V581" s="158" t="str">
        <v/>
      </c>
      <c r="W581" s="158" t="str">
        <v/>
      </c>
      <c r="X581" s="158" t="str">
        <v/>
      </c>
      <c r="Y581" s="158" t="str">
        <v/>
      </c>
      <c r="Z581" s="158" t="str">
        <v/>
      </c>
      <c r="AA581" s="158" t="e">
        <v>#VALUE!</v>
      </c>
      <c r="AB581" s="171" t="str">
        <v/>
      </c>
      <c r="AC581" s="158">
        <v>0</v>
      </c>
      <c r="AD581" s="173" t="str">
        <f ca="1">IFERROR(__xludf.DUMMYFUNCTION("""COMPUTED_VALUE"""),"")</f>
        <v/>
      </c>
      <c r="AE581" s="154" t="str">
        <v/>
      </c>
      <c r="AF581" s="154" t="str">
        <v/>
      </c>
    </row>
    <row r="582" spans="1:32" ht="15">
      <c r="A582" s="176"/>
      <c r="B582" s="145"/>
      <c r="C582" s="169"/>
      <c r="D582" s="145"/>
      <c r="E582" s="145"/>
      <c r="F582" s="169" t="e">
        <v>#VALUE!</v>
      </c>
      <c r="G582" s="145"/>
      <c r="H582" s="145"/>
      <c r="I582" s="145"/>
      <c r="J582" s="145"/>
      <c r="K582" s="145"/>
      <c r="L582" s="145"/>
      <c r="M582" s="145"/>
      <c r="N582" s="145"/>
      <c r="O582" s="174"/>
      <c r="P582" s="174"/>
      <c r="Q582" s="158" t="str">
        <v/>
      </c>
      <c r="R582" s="158" t="str">
        <v/>
      </c>
      <c r="S582" s="158" t="str">
        <v/>
      </c>
      <c r="T582" s="158" t="str">
        <v/>
      </c>
      <c r="U582" s="158" t="str">
        <v/>
      </c>
      <c r="V582" s="158" t="str">
        <v/>
      </c>
      <c r="W582" s="158" t="str">
        <v/>
      </c>
      <c r="X582" s="158" t="str">
        <v/>
      </c>
      <c r="Y582" s="158" t="str">
        <v/>
      </c>
      <c r="Z582" s="158" t="str">
        <v/>
      </c>
      <c r="AA582" s="158" t="e">
        <v>#VALUE!</v>
      </c>
      <c r="AB582" s="171" t="str">
        <v/>
      </c>
      <c r="AC582" s="158">
        <v>0</v>
      </c>
      <c r="AD582" s="173" t="str">
        <f ca="1">IFERROR(__xludf.DUMMYFUNCTION("""COMPUTED_VALUE"""),"")</f>
        <v/>
      </c>
      <c r="AE582" s="154" t="str">
        <v/>
      </c>
      <c r="AF582" s="154" t="str">
        <v/>
      </c>
    </row>
    <row r="583" spans="1:32" ht="15">
      <c r="A583" s="176"/>
      <c r="B583" s="145"/>
      <c r="C583" s="169"/>
      <c r="D583" s="145"/>
      <c r="E583" s="145"/>
      <c r="F583" s="169" t="e">
        <v>#VALUE!</v>
      </c>
      <c r="G583" s="145"/>
      <c r="H583" s="145"/>
      <c r="I583" s="145"/>
      <c r="J583" s="145"/>
      <c r="K583" s="145"/>
      <c r="L583" s="145"/>
      <c r="M583" s="145"/>
      <c r="N583" s="145"/>
      <c r="O583" s="174"/>
      <c r="P583" s="174"/>
      <c r="Q583" s="158" t="str">
        <v/>
      </c>
      <c r="R583" s="158" t="str">
        <v/>
      </c>
      <c r="S583" s="158" t="str">
        <v/>
      </c>
      <c r="T583" s="158" t="str">
        <v/>
      </c>
      <c r="U583" s="158" t="str">
        <v/>
      </c>
      <c r="V583" s="158" t="str">
        <v/>
      </c>
      <c r="W583" s="158" t="str">
        <v/>
      </c>
      <c r="X583" s="158" t="str">
        <v/>
      </c>
      <c r="Y583" s="158" t="str">
        <v/>
      </c>
      <c r="Z583" s="158" t="str">
        <v/>
      </c>
      <c r="AA583" s="158" t="e">
        <v>#VALUE!</v>
      </c>
      <c r="AB583" s="171" t="str">
        <v/>
      </c>
      <c r="AC583" s="158">
        <v>0</v>
      </c>
      <c r="AD583" s="173" t="str">
        <f ca="1">IFERROR(__xludf.DUMMYFUNCTION("""COMPUTED_VALUE"""),"")</f>
        <v/>
      </c>
      <c r="AE583" s="154" t="str">
        <v/>
      </c>
      <c r="AF583" s="154" t="str">
        <v/>
      </c>
    </row>
    <row r="584" spans="1:32" ht="15">
      <c r="A584" s="176"/>
      <c r="B584" s="145"/>
      <c r="C584" s="169"/>
      <c r="D584" s="145"/>
      <c r="E584" s="145"/>
      <c r="F584" s="169" t="e">
        <v>#VALUE!</v>
      </c>
      <c r="G584" s="145"/>
      <c r="H584" s="145"/>
      <c r="I584" s="145"/>
      <c r="J584" s="145"/>
      <c r="K584" s="145"/>
      <c r="L584" s="145"/>
      <c r="M584" s="145"/>
      <c r="N584" s="145"/>
      <c r="O584" s="174"/>
      <c r="P584" s="174"/>
      <c r="Q584" s="158" t="str">
        <v/>
      </c>
      <c r="R584" s="158" t="str">
        <v/>
      </c>
      <c r="S584" s="158" t="str">
        <v/>
      </c>
      <c r="T584" s="158" t="str">
        <v/>
      </c>
      <c r="U584" s="158" t="str">
        <v/>
      </c>
      <c r="V584" s="158" t="str">
        <v/>
      </c>
      <c r="W584" s="158" t="str">
        <v/>
      </c>
      <c r="X584" s="158" t="str">
        <v/>
      </c>
      <c r="Y584" s="158" t="str">
        <v/>
      </c>
      <c r="Z584" s="158" t="str">
        <v/>
      </c>
      <c r="AA584" s="158" t="e">
        <v>#VALUE!</v>
      </c>
      <c r="AB584" s="171" t="str">
        <v/>
      </c>
      <c r="AC584" s="158">
        <v>0</v>
      </c>
      <c r="AD584" s="173" t="str">
        <f ca="1">IFERROR(__xludf.DUMMYFUNCTION("""COMPUTED_VALUE"""),"")</f>
        <v/>
      </c>
      <c r="AE584" s="154" t="str">
        <v/>
      </c>
      <c r="AF584" s="154" t="str">
        <v/>
      </c>
    </row>
    <row r="585" spans="1:32" ht="15">
      <c r="A585" s="176"/>
      <c r="B585" s="145"/>
      <c r="C585" s="169"/>
      <c r="D585" s="145"/>
      <c r="E585" s="145"/>
      <c r="F585" s="169" t="e">
        <v>#VALUE!</v>
      </c>
      <c r="G585" s="145"/>
      <c r="H585" s="145"/>
      <c r="I585" s="145"/>
      <c r="J585" s="145"/>
      <c r="K585" s="145"/>
      <c r="L585" s="145"/>
      <c r="M585" s="145"/>
      <c r="N585" s="145"/>
      <c r="O585" s="174"/>
      <c r="P585" s="174"/>
      <c r="Q585" s="158" t="str">
        <v/>
      </c>
      <c r="R585" s="158" t="str">
        <v/>
      </c>
      <c r="S585" s="158" t="str">
        <v/>
      </c>
      <c r="T585" s="158" t="str">
        <v/>
      </c>
      <c r="U585" s="158" t="str">
        <v/>
      </c>
      <c r="V585" s="158" t="str">
        <v/>
      </c>
      <c r="W585" s="158" t="str">
        <v/>
      </c>
      <c r="X585" s="158" t="str">
        <v/>
      </c>
      <c r="Y585" s="158" t="str">
        <v/>
      </c>
      <c r="Z585" s="158" t="str">
        <v/>
      </c>
      <c r="AA585" s="158" t="e">
        <v>#VALUE!</v>
      </c>
      <c r="AB585" s="171" t="str">
        <v/>
      </c>
      <c r="AC585" s="158">
        <v>0</v>
      </c>
      <c r="AD585" s="173" t="str">
        <f ca="1">IFERROR(__xludf.DUMMYFUNCTION("""COMPUTED_VALUE"""),"")</f>
        <v/>
      </c>
      <c r="AE585" s="154" t="str">
        <v/>
      </c>
      <c r="AF585" s="154" t="str">
        <v/>
      </c>
    </row>
    <row r="586" spans="1:32" ht="15">
      <c r="A586" s="176"/>
      <c r="B586" s="145"/>
      <c r="C586" s="169"/>
      <c r="D586" s="145"/>
      <c r="E586" s="145"/>
      <c r="F586" s="169" t="e">
        <v>#VALUE!</v>
      </c>
      <c r="G586" s="145"/>
      <c r="H586" s="145"/>
      <c r="I586" s="145"/>
      <c r="J586" s="145"/>
      <c r="K586" s="145"/>
      <c r="L586" s="145"/>
      <c r="M586" s="145"/>
      <c r="N586" s="145"/>
      <c r="O586" s="174"/>
      <c r="P586" s="174"/>
      <c r="Q586" s="158" t="str">
        <v/>
      </c>
      <c r="R586" s="158" t="str">
        <v/>
      </c>
      <c r="S586" s="158" t="str">
        <v/>
      </c>
      <c r="T586" s="158" t="str">
        <v/>
      </c>
      <c r="U586" s="158" t="str">
        <v/>
      </c>
      <c r="V586" s="158" t="str">
        <v/>
      </c>
      <c r="W586" s="158" t="str">
        <v/>
      </c>
      <c r="X586" s="158" t="str">
        <v/>
      </c>
      <c r="Y586" s="158" t="str">
        <v/>
      </c>
      <c r="Z586" s="158" t="str">
        <v/>
      </c>
      <c r="AA586" s="158" t="e">
        <v>#VALUE!</v>
      </c>
      <c r="AB586" s="171" t="str">
        <v/>
      </c>
      <c r="AC586" s="158">
        <v>0</v>
      </c>
      <c r="AD586" s="173" t="str">
        <f ca="1">IFERROR(__xludf.DUMMYFUNCTION("""COMPUTED_VALUE"""),"")</f>
        <v/>
      </c>
      <c r="AE586" s="154" t="str">
        <v/>
      </c>
      <c r="AF586" s="154" t="str">
        <v/>
      </c>
    </row>
    <row r="587" spans="1:32" ht="15">
      <c r="A587" s="176"/>
      <c r="B587" s="145"/>
      <c r="C587" s="169"/>
      <c r="D587" s="145"/>
      <c r="E587" s="145"/>
      <c r="F587" s="169" t="e">
        <v>#VALUE!</v>
      </c>
      <c r="G587" s="145"/>
      <c r="H587" s="145"/>
      <c r="I587" s="145"/>
      <c r="J587" s="145"/>
      <c r="K587" s="145"/>
      <c r="L587" s="145"/>
      <c r="M587" s="145"/>
      <c r="N587" s="145"/>
      <c r="O587" s="174"/>
      <c r="P587" s="174"/>
      <c r="Q587" s="158" t="str">
        <v/>
      </c>
      <c r="R587" s="158" t="str">
        <v/>
      </c>
      <c r="S587" s="158" t="str">
        <v/>
      </c>
      <c r="T587" s="158" t="str">
        <v/>
      </c>
      <c r="U587" s="158" t="str">
        <v/>
      </c>
      <c r="V587" s="158" t="str">
        <v/>
      </c>
      <c r="W587" s="158" t="str">
        <v/>
      </c>
      <c r="X587" s="158" t="str">
        <v/>
      </c>
      <c r="Y587" s="158" t="str">
        <v/>
      </c>
      <c r="Z587" s="158" t="str">
        <v/>
      </c>
      <c r="AA587" s="158" t="e">
        <v>#VALUE!</v>
      </c>
      <c r="AB587" s="171" t="str">
        <v/>
      </c>
      <c r="AC587" s="158">
        <v>0</v>
      </c>
      <c r="AD587" s="173" t="str">
        <f ca="1">IFERROR(__xludf.DUMMYFUNCTION("""COMPUTED_VALUE"""),"")</f>
        <v/>
      </c>
      <c r="AE587" s="154" t="str">
        <v/>
      </c>
      <c r="AF587" s="154" t="str">
        <v/>
      </c>
    </row>
    <row r="588" spans="1:32" ht="15">
      <c r="A588" s="176"/>
      <c r="B588" s="145"/>
      <c r="C588" s="169"/>
      <c r="D588" s="145"/>
      <c r="E588" s="145"/>
      <c r="F588" s="169" t="e">
        <v>#VALUE!</v>
      </c>
      <c r="G588" s="145"/>
      <c r="H588" s="145"/>
      <c r="I588" s="145"/>
      <c r="J588" s="145"/>
      <c r="K588" s="145"/>
      <c r="L588" s="145"/>
      <c r="M588" s="145"/>
      <c r="N588" s="145"/>
      <c r="O588" s="174"/>
      <c r="P588" s="174"/>
      <c r="Q588" s="158" t="str">
        <v/>
      </c>
      <c r="R588" s="158" t="str">
        <v/>
      </c>
      <c r="S588" s="158" t="str">
        <v/>
      </c>
      <c r="T588" s="158" t="str">
        <v/>
      </c>
      <c r="U588" s="158" t="str">
        <v/>
      </c>
      <c r="V588" s="158" t="str">
        <v/>
      </c>
      <c r="W588" s="158" t="str">
        <v/>
      </c>
      <c r="X588" s="158" t="str">
        <v/>
      </c>
      <c r="Y588" s="158" t="str">
        <v/>
      </c>
      <c r="Z588" s="158" t="str">
        <v/>
      </c>
      <c r="AA588" s="158" t="e">
        <v>#VALUE!</v>
      </c>
      <c r="AB588" s="171" t="str">
        <v/>
      </c>
      <c r="AC588" s="158">
        <v>0</v>
      </c>
      <c r="AD588" s="173" t="str">
        <f ca="1">IFERROR(__xludf.DUMMYFUNCTION("""COMPUTED_VALUE"""),"")</f>
        <v/>
      </c>
      <c r="AE588" s="154" t="str">
        <v/>
      </c>
      <c r="AF588" s="154" t="str">
        <v/>
      </c>
    </row>
    <row r="589" spans="1:32" ht="15">
      <c r="A589" s="176"/>
      <c r="B589" s="145"/>
      <c r="C589" s="169"/>
      <c r="D589" s="145"/>
      <c r="E589" s="145"/>
      <c r="F589" s="169" t="e">
        <v>#VALUE!</v>
      </c>
      <c r="G589" s="145"/>
      <c r="H589" s="145"/>
      <c r="I589" s="145"/>
      <c r="J589" s="145"/>
      <c r="K589" s="145"/>
      <c r="L589" s="145"/>
      <c r="M589" s="145"/>
      <c r="N589" s="145"/>
      <c r="O589" s="174"/>
      <c r="P589" s="174"/>
      <c r="Q589" s="158" t="str">
        <v/>
      </c>
      <c r="R589" s="158" t="str">
        <v/>
      </c>
      <c r="S589" s="158" t="str">
        <v/>
      </c>
      <c r="T589" s="158" t="str">
        <v/>
      </c>
      <c r="U589" s="158" t="str">
        <v/>
      </c>
      <c r="V589" s="158" t="str">
        <v/>
      </c>
      <c r="W589" s="158" t="str">
        <v/>
      </c>
      <c r="X589" s="158" t="str">
        <v/>
      </c>
      <c r="Y589" s="158" t="str">
        <v/>
      </c>
      <c r="Z589" s="158" t="str">
        <v/>
      </c>
      <c r="AA589" s="158" t="e">
        <v>#VALUE!</v>
      </c>
      <c r="AB589" s="171" t="str">
        <v/>
      </c>
      <c r="AC589" s="158">
        <v>0</v>
      </c>
      <c r="AD589" s="173" t="str">
        <f ca="1">IFERROR(__xludf.DUMMYFUNCTION("""COMPUTED_VALUE"""),"")</f>
        <v/>
      </c>
      <c r="AE589" s="154" t="str">
        <v/>
      </c>
      <c r="AF589" s="154" t="str">
        <v/>
      </c>
    </row>
    <row r="590" spans="1:32" ht="15">
      <c r="A590" s="176"/>
      <c r="B590" s="145"/>
      <c r="C590" s="169"/>
      <c r="D590" s="145"/>
      <c r="E590" s="145"/>
      <c r="F590" s="169" t="e">
        <v>#VALUE!</v>
      </c>
      <c r="G590" s="145"/>
      <c r="H590" s="145"/>
      <c r="I590" s="145"/>
      <c r="J590" s="145"/>
      <c r="K590" s="145"/>
      <c r="L590" s="145"/>
      <c r="M590" s="145"/>
      <c r="N590" s="145"/>
      <c r="O590" s="174"/>
      <c r="P590" s="174"/>
      <c r="Q590" s="158" t="str">
        <v/>
      </c>
      <c r="R590" s="158" t="str">
        <v/>
      </c>
      <c r="S590" s="158" t="str">
        <v/>
      </c>
      <c r="T590" s="158" t="str">
        <v/>
      </c>
      <c r="U590" s="158" t="str">
        <v/>
      </c>
      <c r="V590" s="158" t="str">
        <v/>
      </c>
      <c r="W590" s="158" t="str">
        <v/>
      </c>
      <c r="X590" s="158" t="str">
        <v/>
      </c>
      <c r="Y590" s="158" t="str">
        <v/>
      </c>
      <c r="Z590" s="158" t="str">
        <v/>
      </c>
      <c r="AA590" s="158" t="e">
        <v>#VALUE!</v>
      </c>
      <c r="AB590" s="171" t="str">
        <v/>
      </c>
      <c r="AC590" s="158">
        <v>0</v>
      </c>
      <c r="AD590" s="173" t="str">
        <f ca="1">IFERROR(__xludf.DUMMYFUNCTION("""COMPUTED_VALUE"""),"")</f>
        <v/>
      </c>
      <c r="AE590" s="154" t="str">
        <v/>
      </c>
      <c r="AF590" s="154" t="str">
        <v/>
      </c>
    </row>
    <row r="591" spans="1:32" ht="15">
      <c r="A591" s="176"/>
      <c r="B591" s="145"/>
      <c r="C591" s="169"/>
      <c r="D591" s="145"/>
      <c r="E591" s="145"/>
      <c r="F591" s="169" t="e">
        <v>#VALUE!</v>
      </c>
      <c r="G591" s="145"/>
      <c r="H591" s="145"/>
      <c r="I591" s="145"/>
      <c r="J591" s="145"/>
      <c r="K591" s="145"/>
      <c r="L591" s="145"/>
      <c r="M591" s="145"/>
      <c r="N591" s="145"/>
      <c r="O591" s="174"/>
      <c r="P591" s="174"/>
      <c r="Q591" s="158" t="str">
        <v/>
      </c>
      <c r="R591" s="158" t="str">
        <v/>
      </c>
      <c r="S591" s="158" t="str">
        <v/>
      </c>
      <c r="T591" s="158" t="str">
        <v/>
      </c>
      <c r="U591" s="158" t="str">
        <v/>
      </c>
      <c r="V591" s="158" t="str">
        <v/>
      </c>
      <c r="W591" s="158" t="str">
        <v/>
      </c>
      <c r="X591" s="158" t="str">
        <v/>
      </c>
      <c r="Y591" s="158" t="str">
        <v/>
      </c>
      <c r="Z591" s="158" t="str">
        <v/>
      </c>
      <c r="AA591" s="158" t="e">
        <v>#VALUE!</v>
      </c>
      <c r="AB591" s="171" t="str">
        <v/>
      </c>
      <c r="AC591" s="158">
        <v>0</v>
      </c>
      <c r="AD591" s="173" t="str">
        <f ca="1">IFERROR(__xludf.DUMMYFUNCTION("""COMPUTED_VALUE"""),"")</f>
        <v/>
      </c>
      <c r="AE591" s="154" t="str">
        <v/>
      </c>
      <c r="AF591" s="154" t="str">
        <v/>
      </c>
    </row>
    <row r="592" spans="1:32" ht="15">
      <c r="A592" s="176"/>
      <c r="B592" s="145"/>
      <c r="C592" s="169"/>
      <c r="D592" s="145"/>
      <c r="E592" s="145"/>
      <c r="F592" s="169" t="e">
        <v>#VALUE!</v>
      </c>
      <c r="G592" s="145"/>
      <c r="H592" s="145"/>
      <c r="I592" s="145"/>
      <c r="J592" s="145"/>
      <c r="K592" s="145"/>
      <c r="L592" s="145"/>
      <c r="M592" s="145"/>
      <c r="N592" s="145"/>
      <c r="O592" s="174"/>
      <c r="P592" s="174"/>
      <c r="Q592" s="158" t="str">
        <v/>
      </c>
      <c r="R592" s="158" t="str">
        <v/>
      </c>
      <c r="S592" s="158" t="str">
        <v/>
      </c>
      <c r="T592" s="158" t="str">
        <v/>
      </c>
      <c r="U592" s="158" t="str">
        <v/>
      </c>
      <c r="V592" s="158" t="str">
        <v/>
      </c>
      <c r="W592" s="158" t="str">
        <v/>
      </c>
      <c r="X592" s="158" t="str">
        <v/>
      </c>
      <c r="Y592" s="158" t="str">
        <v/>
      </c>
      <c r="Z592" s="158" t="str">
        <v/>
      </c>
      <c r="AA592" s="158" t="e">
        <v>#VALUE!</v>
      </c>
      <c r="AB592" s="171" t="str">
        <v/>
      </c>
      <c r="AC592" s="158">
        <v>0</v>
      </c>
      <c r="AD592" s="173" t="str">
        <f ca="1">IFERROR(__xludf.DUMMYFUNCTION("""COMPUTED_VALUE"""),"")</f>
        <v/>
      </c>
      <c r="AE592" s="154" t="str">
        <v/>
      </c>
      <c r="AF592" s="154" t="str">
        <v/>
      </c>
    </row>
    <row r="593" spans="1:32" ht="15">
      <c r="A593" s="176"/>
      <c r="B593" s="145"/>
      <c r="C593" s="169"/>
      <c r="D593" s="145"/>
      <c r="E593" s="145"/>
      <c r="F593" s="169" t="e">
        <v>#VALUE!</v>
      </c>
      <c r="G593" s="145"/>
      <c r="H593" s="145"/>
      <c r="I593" s="145"/>
      <c r="J593" s="145"/>
      <c r="K593" s="145"/>
      <c r="L593" s="145"/>
      <c r="M593" s="145"/>
      <c r="N593" s="145"/>
      <c r="O593" s="174"/>
      <c r="P593" s="174"/>
      <c r="Q593" s="158" t="str">
        <v/>
      </c>
      <c r="R593" s="158" t="str">
        <v/>
      </c>
      <c r="S593" s="158" t="str">
        <v/>
      </c>
      <c r="T593" s="158" t="str">
        <v/>
      </c>
      <c r="U593" s="158" t="str">
        <v/>
      </c>
      <c r="V593" s="158" t="str">
        <v/>
      </c>
      <c r="W593" s="158" t="str">
        <v/>
      </c>
      <c r="X593" s="158" t="str">
        <v/>
      </c>
      <c r="Y593" s="158" t="str">
        <v/>
      </c>
      <c r="Z593" s="158" t="str">
        <v/>
      </c>
      <c r="AA593" s="158" t="e">
        <v>#VALUE!</v>
      </c>
      <c r="AB593" s="171" t="str">
        <v/>
      </c>
      <c r="AC593" s="158">
        <v>0</v>
      </c>
      <c r="AD593" s="173" t="str">
        <f ca="1">IFERROR(__xludf.DUMMYFUNCTION("""COMPUTED_VALUE"""),"")</f>
        <v/>
      </c>
      <c r="AE593" s="154" t="str">
        <v/>
      </c>
      <c r="AF593" s="154" t="str">
        <v/>
      </c>
    </row>
    <row r="594" spans="1:32" ht="15">
      <c r="A594" s="176"/>
      <c r="B594" s="145"/>
      <c r="C594" s="169"/>
      <c r="D594" s="145"/>
      <c r="E594" s="145"/>
      <c r="F594" s="169" t="e">
        <v>#VALUE!</v>
      </c>
      <c r="G594" s="145"/>
      <c r="H594" s="145"/>
      <c r="I594" s="145"/>
      <c r="J594" s="145"/>
      <c r="K594" s="145"/>
      <c r="L594" s="145"/>
      <c r="M594" s="145"/>
      <c r="N594" s="145"/>
      <c r="O594" s="174"/>
      <c r="P594" s="174"/>
      <c r="Q594" s="158" t="str">
        <v/>
      </c>
      <c r="R594" s="158" t="str">
        <v/>
      </c>
      <c r="S594" s="158" t="str">
        <v/>
      </c>
      <c r="T594" s="158" t="str">
        <v/>
      </c>
      <c r="U594" s="158" t="str">
        <v/>
      </c>
      <c r="V594" s="158" t="str">
        <v/>
      </c>
      <c r="W594" s="158" t="str">
        <v/>
      </c>
      <c r="X594" s="158" t="str">
        <v/>
      </c>
      <c r="Y594" s="158" t="str">
        <v/>
      </c>
      <c r="Z594" s="158" t="str">
        <v/>
      </c>
      <c r="AA594" s="158" t="e">
        <v>#VALUE!</v>
      </c>
      <c r="AB594" s="171" t="str">
        <v/>
      </c>
      <c r="AC594" s="158">
        <v>0</v>
      </c>
      <c r="AD594" s="173" t="str">
        <f ca="1">IFERROR(__xludf.DUMMYFUNCTION("""COMPUTED_VALUE"""),"")</f>
        <v/>
      </c>
      <c r="AE594" s="154" t="str">
        <v/>
      </c>
      <c r="AF594" s="154" t="str">
        <v/>
      </c>
    </row>
    <row r="595" spans="1:32" ht="15">
      <c r="A595" s="176"/>
      <c r="B595" s="145"/>
      <c r="C595" s="169"/>
      <c r="D595" s="145"/>
      <c r="E595" s="145"/>
      <c r="F595" s="169" t="e">
        <v>#VALUE!</v>
      </c>
      <c r="G595" s="145"/>
      <c r="H595" s="145"/>
      <c r="I595" s="145"/>
      <c r="J595" s="145"/>
      <c r="K595" s="145"/>
      <c r="L595" s="145"/>
      <c r="M595" s="145"/>
      <c r="N595" s="145"/>
      <c r="O595" s="174"/>
      <c r="P595" s="174"/>
      <c r="Q595" s="158" t="str">
        <v/>
      </c>
      <c r="R595" s="158" t="str">
        <v/>
      </c>
      <c r="S595" s="158" t="str">
        <v/>
      </c>
      <c r="T595" s="158" t="str">
        <v/>
      </c>
      <c r="U595" s="158" t="str">
        <v/>
      </c>
      <c r="V595" s="158" t="str">
        <v/>
      </c>
      <c r="W595" s="158" t="str">
        <v/>
      </c>
      <c r="X595" s="158" t="str">
        <v/>
      </c>
      <c r="Y595" s="158" t="str">
        <v/>
      </c>
      <c r="Z595" s="158" t="str">
        <v/>
      </c>
      <c r="AA595" s="158" t="e">
        <v>#VALUE!</v>
      </c>
      <c r="AB595" s="171" t="str">
        <v/>
      </c>
      <c r="AC595" s="158">
        <v>0</v>
      </c>
      <c r="AD595" s="173" t="str">
        <f ca="1">IFERROR(__xludf.DUMMYFUNCTION("""COMPUTED_VALUE"""),"")</f>
        <v/>
      </c>
      <c r="AE595" s="154" t="str">
        <v/>
      </c>
      <c r="AF595" s="154" t="str">
        <v/>
      </c>
    </row>
    <row r="596" spans="1:32" ht="15">
      <c r="A596" s="176"/>
      <c r="B596" s="145"/>
      <c r="C596" s="169"/>
      <c r="D596" s="145"/>
      <c r="E596" s="145"/>
      <c r="F596" s="169" t="e">
        <v>#VALUE!</v>
      </c>
      <c r="G596" s="145"/>
      <c r="H596" s="145"/>
      <c r="I596" s="145"/>
      <c r="J596" s="145"/>
      <c r="K596" s="145"/>
      <c r="L596" s="145"/>
      <c r="M596" s="145"/>
      <c r="N596" s="145"/>
      <c r="O596" s="174"/>
      <c r="P596" s="174"/>
      <c r="Q596" s="158" t="str">
        <v/>
      </c>
      <c r="R596" s="158" t="str">
        <v/>
      </c>
      <c r="S596" s="158" t="str">
        <v/>
      </c>
      <c r="T596" s="158" t="str">
        <v/>
      </c>
      <c r="U596" s="158" t="str">
        <v/>
      </c>
      <c r="V596" s="158" t="str">
        <v/>
      </c>
      <c r="W596" s="158" t="str">
        <v/>
      </c>
      <c r="X596" s="158" t="str">
        <v/>
      </c>
      <c r="Y596" s="158" t="str">
        <v/>
      </c>
      <c r="Z596" s="158" t="str">
        <v/>
      </c>
      <c r="AA596" s="158" t="e">
        <v>#VALUE!</v>
      </c>
      <c r="AB596" s="171" t="str">
        <v/>
      </c>
      <c r="AC596" s="158">
        <v>0</v>
      </c>
      <c r="AD596" s="173" t="str">
        <f ca="1">IFERROR(__xludf.DUMMYFUNCTION("""COMPUTED_VALUE"""),"")</f>
        <v/>
      </c>
      <c r="AE596" s="154" t="str">
        <v/>
      </c>
      <c r="AF596" s="154" t="str">
        <v/>
      </c>
    </row>
    <row r="597" spans="1:32" ht="15">
      <c r="A597" s="176"/>
      <c r="B597" s="145"/>
      <c r="C597" s="169"/>
      <c r="D597" s="145"/>
      <c r="E597" s="145"/>
      <c r="F597" s="169" t="e">
        <v>#VALUE!</v>
      </c>
      <c r="G597" s="145"/>
      <c r="H597" s="145"/>
      <c r="I597" s="145"/>
      <c r="J597" s="145"/>
      <c r="K597" s="145"/>
      <c r="L597" s="145"/>
      <c r="M597" s="145"/>
      <c r="N597" s="145"/>
      <c r="O597" s="174"/>
      <c r="P597" s="174"/>
      <c r="Q597" s="158" t="str">
        <v/>
      </c>
      <c r="R597" s="158" t="str">
        <v/>
      </c>
      <c r="S597" s="158" t="str">
        <v/>
      </c>
      <c r="T597" s="158" t="str">
        <v/>
      </c>
      <c r="U597" s="158" t="str">
        <v/>
      </c>
      <c r="V597" s="158" t="str">
        <v/>
      </c>
      <c r="W597" s="158" t="str">
        <v/>
      </c>
      <c r="X597" s="158" t="str">
        <v/>
      </c>
      <c r="Y597" s="158" t="str">
        <v/>
      </c>
      <c r="Z597" s="158" t="str">
        <v/>
      </c>
      <c r="AA597" s="158" t="e">
        <v>#VALUE!</v>
      </c>
      <c r="AB597" s="171" t="str">
        <v/>
      </c>
      <c r="AC597" s="158">
        <v>0</v>
      </c>
      <c r="AD597" s="173" t="str">
        <f ca="1">IFERROR(__xludf.DUMMYFUNCTION("""COMPUTED_VALUE"""),"")</f>
        <v/>
      </c>
      <c r="AE597" s="154" t="str">
        <v/>
      </c>
      <c r="AF597" s="154" t="str">
        <v/>
      </c>
    </row>
    <row r="598" spans="1:32" ht="15">
      <c r="A598" s="176"/>
      <c r="B598" s="145"/>
      <c r="C598" s="169"/>
      <c r="D598" s="145"/>
      <c r="E598" s="145"/>
      <c r="F598" s="169" t="e">
        <v>#VALUE!</v>
      </c>
      <c r="G598" s="145"/>
      <c r="H598" s="145"/>
      <c r="I598" s="145"/>
      <c r="J598" s="145"/>
      <c r="K598" s="145"/>
      <c r="L598" s="145"/>
      <c r="M598" s="145"/>
      <c r="N598" s="145"/>
      <c r="O598" s="174"/>
      <c r="P598" s="174"/>
      <c r="Q598" s="158" t="str">
        <v/>
      </c>
      <c r="R598" s="158" t="str">
        <v/>
      </c>
      <c r="S598" s="158" t="str">
        <v/>
      </c>
      <c r="T598" s="158" t="str">
        <v/>
      </c>
      <c r="U598" s="158" t="str">
        <v/>
      </c>
      <c r="V598" s="158" t="str">
        <v/>
      </c>
      <c r="W598" s="158" t="str">
        <v/>
      </c>
      <c r="X598" s="158" t="str">
        <v/>
      </c>
      <c r="Y598" s="158" t="str">
        <v/>
      </c>
      <c r="Z598" s="158" t="str">
        <v/>
      </c>
      <c r="AA598" s="158" t="e">
        <v>#VALUE!</v>
      </c>
      <c r="AB598" s="171" t="str">
        <v/>
      </c>
      <c r="AC598" s="158">
        <v>0</v>
      </c>
      <c r="AD598" s="173" t="str">
        <f ca="1">IFERROR(__xludf.DUMMYFUNCTION("""COMPUTED_VALUE"""),"")</f>
        <v/>
      </c>
      <c r="AE598" s="154" t="str">
        <v/>
      </c>
      <c r="AF598" s="154" t="str">
        <v/>
      </c>
    </row>
    <row r="599" spans="1:32" ht="15">
      <c r="A599" s="176"/>
      <c r="B599" s="145"/>
      <c r="C599" s="169"/>
      <c r="D599" s="145"/>
      <c r="E599" s="145"/>
      <c r="F599" s="169" t="e">
        <v>#VALUE!</v>
      </c>
      <c r="G599" s="145"/>
      <c r="H599" s="145"/>
      <c r="I599" s="145"/>
      <c r="J599" s="145"/>
      <c r="K599" s="145"/>
      <c r="L599" s="145"/>
      <c r="M599" s="145"/>
      <c r="N599" s="145"/>
      <c r="O599" s="174"/>
      <c r="P599" s="174"/>
      <c r="Q599" s="158" t="str">
        <v/>
      </c>
      <c r="R599" s="158" t="str">
        <v/>
      </c>
      <c r="S599" s="158" t="str">
        <v/>
      </c>
      <c r="T599" s="158" t="str">
        <v/>
      </c>
      <c r="U599" s="158" t="str">
        <v/>
      </c>
      <c r="V599" s="158" t="str">
        <v/>
      </c>
      <c r="W599" s="158" t="str">
        <v/>
      </c>
      <c r="X599" s="158" t="str">
        <v/>
      </c>
      <c r="Y599" s="158" t="str">
        <v/>
      </c>
      <c r="Z599" s="158" t="str">
        <v/>
      </c>
      <c r="AA599" s="158" t="e">
        <v>#VALUE!</v>
      </c>
      <c r="AB599" s="171" t="str">
        <v/>
      </c>
      <c r="AC599" s="158">
        <v>0</v>
      </c>
      <c r="AD599" s="173" t="str">
        <f ca="1">IFERROR(__xludf.DUMMYFUNCTION("""COMPUTED_VALUE"""),"")</f>
        <v/>
      </c>
      <c r="AE599" s="154" t="str">
        <v/>
      </c>
      <c r="AF599" s="154" t="str">
        <v/>
      </c>
    </row>
    <row r="600" spans="1:32" ht="15">
      <c r="A600" s="176"/>
      <c r="B600" s="145"/>
      <c r="C600" s="169"/>
      <c r="D600" s="145"/>
      <c r="E600" s="145"/>
      <c r="F600" s="169" t="e">
        <v>#VALUE!</v>
      </c>
      <c r="G600" s="145"/>
      <c r="H600" s="145"/>
      <c r="I600" s="145"/>
      <c r="J600" s="145"/>
      <c r="K600" s="145"/>
      <c r="L600" s="145"/>
      <c r="M600" s="145"/>
      <c r="N600" s="145"/>
      <c r="O600" s="174"/>
      <c r="P600" s="174"/>
      <c r="Q600" s="158" t="str">
        <v/>
      </c>
      <c r="R600" s="158" t="str">
        <v/>
      </c>
      <c r="S600" s="158" t="str">
        <v/>
      </c>
      <c r="T600" s="158" t="str">
        <v/>
      </c>
      <c r="U600" s="158" t="str">
        <v/>
      </c>
      <c r="V600" s="158" t="str">
        <v/>
      </c>
      <c r="W600" s="158" t="str">
        <v/>
      </c>
      <c r="X600" s="158" t="str">
        <v/>
      </c>
      <c r="Y600" s="158" t="str">
        <v/>
      </c>
      <c r="Z600" s="158" t="str">
        <v/>
      </c>
      <c r="AA600" s="158" t="e">
        <v>#VALUE!</v>
      </c>
      <c r="AB600" s="171" t="str">
        <v/>
      </c>
      <c r="AC600" s="158">
        <v>0</v>
      </c>
      <c r="AD600" s="173" t="str">
        <f ca="1">IFERROR(__xludf.DUMMYFUNCTION("""COMPUTED_VALUE"""),"")</f>
        <v/>
      </c>
      <c r="AE600" s="154" t="str">
        <v/>
      </c>
      <c r="AF600" s="154" t="str">
        <v/>
      </c>
    </row>
    <row r="601" spans="1:32" ht="15">
      <c r="A601" s="176"/>
      <c r="B601" s="145"/>
      <c r="C601" s="169"/>
      <c r="D601" s="145"/>
      <c r="E601" s="145"/>
      <c r="F601" s="169" t="e">
        <v>#VALUE!</v>
      </c>
      <c r="G601" s="145"/>
      <c r="H601" s="145"/>
      <c r="I601" s="145"/>
      <c r="J601" s="145"/>
      <c r="K601" s="145"/>
      <c r="L601" s="145"/>
      <c r="M601" s="145"/>
      <c r="N601" s="145"/>
      <c r="O601" s="174"/>
      <c r="P601" s="174"/>
      <c r="Q601" s="158" t="str">
        <v/>
      </c>
      <c r="R601" s="158" t="str">
        <v/>
      </c>
      <c r="S601" s="158" t="str">
        <v/>
      </c>
      <c r="T601" s="158" t="str">
        <v/>
      </c>
      <c r="U601" s="158" t="str">
        <v/>
      </c>
      <c r="V601" s="158" t="str">
        <v/>
      </c>
      <c r="W601" s="158" t="str">
        <v/>
      </c>
      <c r="X601" s="158" t="str">
        <v/>
      </c>
      <c r="Y601" s="158" t="str">
        <v/>
      </c>
      <c r="Z601" s="158" t="str">
        <v/>
      </c>
      <c r="AA601" s="158" t="e">
        <v>#VALUE!</v>
      </c>
      <c r="AB601" s="171" t="str">
        <v/>
      </c>
      <c r="AC601" s="158">
        <v>0</v>
      </c>
      <c r="AD601" s="173" t="str">
        <f ca="1">IFERROR(__xludf.DUMMYFUNCTION("""COMPUTED_VALUE"""),"")</f>
        <v/>
      </c>
      <c r="AE601" s="154" t="str">
        <v/>
      </c>
      <c r="AF601" s="154" t="str">
        <v/>
      </c>
    </row>
    <row r="602" spans="1:32" ht="15">
      <c r="A602" s="176"/>
      <c r="B602" s="145"/>
      <c r="C602" s="169"/>
      <c r="D602" s="145"/>
      <c r="E602" s="145"/>
      <c r="F602" s="169" t="e">
        <v>#VALUE!</v>
      </c>
      <c r="G602" s="145"/>
      <c r="H602" s="145"/>
      <c r="I602" s="145"/>
      <c r="J602" s="145"/>
      <c r="K602" s="145"/>
      <c r="L602" s="145"/>
      <c r="M602" s="145"/>
      <c r="N602" s="145"/>
      <c r="O602" s="174"/>
      <c r="P602" s="174"/>
      <c r="Q602" s="158" t="str">
        <v/>
      </c>
      <c r="R602" s="158" t="str">
        <v/>
      </c>
      <c r="S602" s="158" t="str">
        <v/>
      </c>
      <c r="T602" s="158" t="str">
        <v/>
      </c>
      <c r="U602" s="158" t="str">
        <v/>
      </c>
      <c r="V602" s="158" t="str">
        <v/>
      </c>
      <c r="W602" s="158" t="str">
        <v/>
      </c>
      <c r="X602" s="158" t="str">
        <v/>
      </c>
      <c r="Y602" s="158" t="str">
        <v/>
      </c>
      <c r="Z602" s="158" t="str">
        <v/>
      </c>
      <c r="AA602" s="158" t="e">
        <v>#VALUE!</v>
      </c>
      <c r="AB602" s="171" t="str">
        <v/>
      </c>
      <c r="AC602" s="158">
        <v>0</v>
      </c>
      <c r="AD602" s="173" t="str">
        <f ca="1">IFERROR(__xludf.DUMMYFUNCTION("""COMPUTED_VALUE"""),"")</f>
        <v/>
      </c>
      <c r="AE602" s="154" t="str">
        <v/>
      </c>
      <c r="AF602" s="154" t="str">
        <v/>
      </c>
    </row>
    <row r="603" spans="1:32" ht="15">
      <c r="A603" s="176"/>
      <c r="B603" s="145"/>
      <c r="C603" s="169"/>
      <c r="D603" s="145"/>
      <c r="E603" s="145"/>
      <c r="F603" s="169" t="e">
        <v>#VALUE!</v>
      </c>
      <c r="G603" s="145"/>
      <c r="H603" s="145"/>
      <c r="I603" s="145"/>
      <c r="J603" s="145"/>
      <c r="K603" s="145"/>
      <c r="L603" s="145"/>
      <c r="M603" s="145"/>
      <c r="N603" s="145"/>
      <c r="O603" s="174"/>
      <c r="P603" s="174"/>
      <c r="Q603" s="158" t="str">
        <v/>
      </c>
      <c r="R603" s="158" t="str">
        <v/>
      </c>
      <c r="S603" s="158" t="str">
        <v/>
      </c>
      <c r="T603" s="158" t="str">
        <v/>
      </c>
      <c r="U603" s="158" t="str">
        <v/>
      </c>
      <c r="V603" s="158" t="str">
        <v/>
      </c>
      <c r="W603" s="158" t="str">
        <v/>
      </c>
      <c r="X603" s="158" t="str">
        <v/>
      </c>
      <c r="Y603" s="158" t="str">
        <v/>
      </c>
      <c r="Z603" s="158" t="str">
        <v/>
      </c>
      <c r="AA603" s="158" t="e">
        <v>#VALUE!</v>
      </c>
      <c r="AB603" s="171" t="str">
        <v/>
      </c>
      <c r="AC603" s="158">
        <v>0</v>
      </c>
      <c r="AD603" s="173" t="str">
        <f ca="1">IFERROR(__xludf.DUMMYFUNCTION("""COMPUTED_VALUE"""),"")</f>
        <v/>
      </c>
      <c r="AE603" s="154" t="str">
        <v/>
      </c>
      <c r="AF603" s="154" t="str">
        <v/>
      </c>
    </row>
    <row r="604" spans="1:32" ht="15">
      <c r="A604" s="176"/>
      <c r="B604" s="145"/>
      <c r="C604" s="169"/>
      <c r="D604" s="145"/>
      <c r="E604" s="145"/>
      <c r="F604" s="169" t="e">
        <v>#VALUE!</v>
      </c>
      <c r="G604" s="145"/>
      <c r="H604" s="145"/>
      <c r="I604" s="145"/>
      <c r="J604" s="145"/>
      <c r="K604" s="145"/>
      <c r="L604" s="145"/>
      <c r="M604" s="145"/>
      <c r="N604" s="145"/>
      <c r="O604" s="174"/>
      <c r="P604" s="174"/>
      <c r="Q604" s="158" t="str">
        <v/>
      </c>
      <c r="R604" s="158" t="str">
        <v/>
      </c>
      <c r="S604" s="158" t="str">
        <v/>
      </c>
      <c r="T604" s="158" t="str">
        <v/>
      </c>
      <c r="U604" s="158" t="str">
        <v/>
      </c>
      <c r="V604" s="158" t="str">
        <v/>
      </c>
      <c r="W604" s="158" t="str">
        <v/>
      </c>
      <c r="X604" s="158" t="str">
        <v/>
      </c>
      <c r="Y604" s="158" t="str">
        <v/>
      </c>
      <c r="Z604" s="158" t="str">
        <v/>
      </c>
      <c r="AA604" s="158" t="e">
        <v>#VALUE!</v>
      </c>
      <c r="AB604" s="171" t="str">
        <v/>
      </c>
      <c r="AC604" s="158">
        <v>0</v>
      </c>
      <c r="AD604" s="173" t="str">
        <f ca="1">IFERROR(__xludf.DUMMYFUNCTION("""COMPUTED_VALUE"""),"")</f>
        <v/>
      </c>
      <c r="AE604" s="154" t="str">
        <v/>
      </c>
      <c r="AF604" s="154" t="str">
        <v/>
      </c>
    </row>
    <row r="605" spans="1:32" ht="15">
      <c r="A605" s="176"/>
      <c r="B605" s="145"/>
      <c r="C605" s="169"/>
      <c r="D605" s="145"/>
      <c r="E605" s="145"/>
      <c r="F605" s="169" t="e">
        <v>#VALUE!</v>
      </c>
      <c r="G605" s="145"/>
      <c r="H605" s="145"/>
      <c r="I605" s="145"/>
      <c r="J605" s="145"/>
      <c r="K605" s="145"/>
      <c r="L605" s="145"/>
      <c r="M605" s="145"/>
      <c r="N605" s="145"/>
      <c r="O605" s="174"/>
      <c r="P605" s="174"/>
      <c r="Q605" s="158" t="str">
        <v/>
      </c>
      <c r="R605" s="158" t="str">
        <v/>
      </c>
      <c r="S605" s="158" t="str">
        <v/>
      </c>
      <c r="T605" s="158" t="str">
        <v/>
      </c>
      <c r="U605" s="158" t="str">
        <v/>
      </c>
      <c r="V605" s="158" t="str">
        <v/>
      </c>
      <c r="W605" s="158" t="str">
        <v/>
      </c>
      <c r="X605" s="158" t="str">
        <v/>
      </c>
      <c r="Y605" s="158" t="str">
        <v/>
      </c>
      <c r="Z605" s="158" t="str">
        <v/>
      </c>
      <c r="AA605" s="158" t="e">
        <v>#VALUE!</v>
      </c>
      <c r="AB605" s="171" t="str">
        <v/>
      </c>
      <c r="AC605" s="158">
        <v>0</v>
      </c>
      <c r="AD605" s="173" t="str">
        <f ca="1">IFERROR(__xludf.DUMMYFUNCTION("""COMPUTED_VALUE"""),"")</f>
        <v/>
      </c>
      <c r="AE605" s="154" t="str">
        <v/>
      </c>
      <c r="AF605" s="154" t="str">
        <v/>
      </c>
    </row>
    <row r="606" spans="1:32" ht="15">
      <c r="A606" s="176"/>
      <c r="B606" s="145"/>
      <c r="C606" s="169"/>
      <c r="D606" s="145"/>
      <c r="E606" s="145"/>
      <c r="F606" s="169" t="e">
        <v>#VALUE!</v>
      </c>
      <c r="G606" s="145"/>
      <c r="H606" s="145"/>
      <c r="I606" s="145"/>
      <c r="J606" s="145"/>
      <c r="K606" s="145"/>
      <c r="L606" s="145"/>
      <c r="M606" s="145"/>
      <c r="N606" s="145"/>
      <c r="O606" s="174"/>
      <c r="P606" s="174"/>
      <c r="Q606" s="158" t="str">
        <v/>
      </c>
      <c r="R606" s="158" t="str">
        <v/>
      </c>
      <c r="S606" s="158" t="str">
        <v/>
      </c>
      <c r="T606" s="158" t="str">
        <v/>
      </c>
      <c r="U606" s="158" t="str">
        <v/>
      </c>
      <c r="V606" s="158" t="str">
        <v/>
      </c>
      <c r="W606" s="158" t="str">
        <v/>
      </c>
      <c r="X606" s="158" t="str">
        <v/>
      </c>
      <c r="Y606" s="158" t="str">
        <v/>
      </c>
      <c r="Z606" s="158" t="str">
        <v/>
      </c>
      <c r="AA606" s="158" t="e">
        <v>#VALUE!</v>
      </c>
      <c r="AB606" s="171" t="str">
        <v/>
      </c>
      <c r="AC606" s="158">
        <v>0</v>
      </c>
      <c r="AD606" s="173" t="str">
        <f ca="1">IFERROR(__xludf.DUMMYFUNCTION("""COMPUTED_VALUE"""),"")</f>
        <v/>
      </c>
      <c r="AE606" s="154" t="str">
        <v/>
      </c>
      <c r="AF606" s="154" t="str">
        <v/>
      </c>
    </row>
    <row r="607" spans="1:32" ht="15">
      <c r="A607" s="176"/>
      <c r="B607" s="145"/>
      <c r="C607" s="169"/>
      <c r="D607" s="145"/>
      <c r="E607" s="145"/>
      <c r="F607" s="169" t="e">
        <v>#VALUE!</v>
      </c>
      <c r="G607" s="145"/>
      <c r="H607" s="145"/>
      <c r="I607" s="145"/>
      <c r="J607" s="145"/>
      <c r="K607" s="145"/>
      <c r="L607" s="145"/>
      <c r="M607" s="145"/>
      <c r="N607" s="145"/>
      <c r="O607" s="174"/>
      <c r="P607" s="174"/>
      <c r="Q607" s="158" t="str">
        <v/>
      </c>
      <c r="R607" s="158" t="str">
        <v/>
      </c>
      <c r="S607" s="158" t="str">
        <v/>
      </c>
      <c r="T607" s="158" t="str">
        <v/>
      </c>
      <c r="U607" s="158" t="str">
        <v/>
      </c>
      <c r="V607" s="158" t="str">
        <v/>
      </c>
      <c r="W607" s="158" t="str">
        <v/>
      </c>
      <c r="X607" s="158" t="str">
        <v/>
      </c>
      <c r="Y607" s="158" t="str">
        <v/>
      </c>
      <c r="Z607" s="158" t="str">
        <v/>
      </c>
      <c r="AA607" s="158" t="e">
        <v>#VALUE!</v>
      </c>
      <c r="AB607" s="171" t="str">
        <v/>
      </c>
      <c r="AC607" s="158">
        <v>0</v>
      </c>
      <c r="AD607" s="173" t="str">
        <f ca="1">IFERROR(__xludf.DUMMYFUNCTION("""COMPUTED_VALUE"""),"")</f>
        <v/>
      </c>
      <c r="AE607" s="154" t="str">
        <v/>
      </c>
      <c r="AF607" s="154" t="str">
        <v/>
      </c>
    </row>
    <row r="608" spans="1:32" ht="15">
      <c r="A608" s="176"/>
      <c r="B608" s="145"/>
      <c r="C608" s="169"/>
      <c r="D608" s="145"/>
      <c r="E608" s="145"/>
      <c r="F608" s="169" t="e">
        <v>#VALUE!</v>
      </c>
      <c r="G608" s="145"/>
      <c r="H608" s="145"/>
      <c r="I608" s="145"/>
      <c r="J608" s="145"/>
      <c r="K608" s="145"/>
      <c r="L608" s="145"/>
      <c r="M608" s="145"/>
      <c r="N608" s="145"/>
      <c r="O608" s="174"/>
      <c r="P608" s="174"/>
      <c r="Q608" s="158" t="str">
        <v/>
      </c>
      <c r="R608" s="158" t="str">
        <v/>
      </c>
      <c r="S608" s="158" t="str">
        <v/>
      </c>
      <c r="T608" s="158" t="str">
        <v/>
      </c>
      <c r="U608" s="158" t="str">
        <v/>
      </c>
      <c r="V608" s="158" t="str">
        <v/>
      </c>
      <c r="W608" s="158" t="str">
        <v/>
      </c>
      <c r="X608" s="158" t="str">
        <v/>
      </c>
      <c r="Y608" s="158" t="str">
        <v/>
      </c>
      <c r="Z608" s="158" t="str">
        <v/>
      </c>
      <c r="AA608" s="158" t="e">
        <v>#VALUE!</v>
      </c>
      <c r="AB608" s="171" t="str">
        <v/>
      </c>
      <c r="AC608" s="158">
        <v>0</v>
      </c>
      <c r="AD608" s="173" t="str">
        <f ca="1">IFERROR(__xludf.DUMMYFUNCTION("""COMPUTED_VALUE"""),"")</f>
        <v/>
      </c>
      <c r="AE608" s="154" t="str">
        <v/>
      </c>
      <c r="AF608" s="154" t="str">
        <v/>
      </c>
    </row>
    <row r="609" spans="1:32" ht="15">
      <c r="A609" s="176"/>
      <c r="B609" s="145"/>
      <c r="C609" s="169"/>
      <c r="D609" s="145"/>
      <c r="E609" s="145"/>
      <c r="F609" s="169" t="e">
        <v>#VALUE!</v>
      </c>
      <c r="G609" s="145"/>
      <c r="H609" s="145"/>
      <c r="I609" s="145"/>
      <c r="J609" s="145"/>
      <c r="K609" s="145"/>
      <c r="L609" s="145"/>
      <c r="M609" s="145"/>
      <c r="N609" s="145"/>
      <c r="O609" s="174"/>
      <c r="P609" s="174"/>
      <c r="Q609" s="158" t="str">
        <v/>
      </c>
      <c r="R609" s="158" t="str">
        <v/>
      </c>
      <c r="S609" s="158" t="str">
        <v/>
      </c>
      <c r="T609" s="158" t="str">
        <v/>
      </c>
      <c r="U609" s="158" t="str">
        <v/>
      </c>
      <c r="V609" s="158" t="str">
        <v/>
      </c>
      <c r="W609" s="158" t="str">
        <v/>
      </c>
      <c r="X609" s="158" t="str">
        <v/>
      </c>
      <c r="Y609" s="158" t="str">
        <v/>
      </c>
      <c r="Z609" s="158" t="str">
        <v/>
      </c>
      <c r="AA609" s="158" t="e">
        <v>#VALUE!</v>
      </c>
      <c r="AB609" s="171" t="str">
        <v/>
      </c>
      <c r="AC609" s="158">
        <v>0</v>
      </c>
      <c r="AD609" s="173" t="str">
        <f ca="1">IFERROR(__xludf.DUMMYFUNCTION("""COMPUTED_VALUE"""),"")</f>
        <v/>
      </c>
      <c r="AE609" s="154" t="str">
        <v/>
      </c>
      <c r="AF609" s="154" t="str">
        <v/>
      </c>
    </row>
    <row r="610" spans="1:32" ht="15">
      <c r="A610" s="176"/>
      <c r="B610" s="145"/>
      <c r="C610" s="169"/>
      <c r="D610" s="145"/>
      <c r="E610" s="145"/>
      <c r="F610" s="169" t="e">
        <v>#VALUE!</v>
      </c>
      <c r="G610" s="145"/>
      <c r="H610" s="145"/>
      <c r="I610" s="145"/>
      <c r="J610" s="145"/>
      <c r="K610" s="145"/>
      <c r="L610" s="145"/>
      <c r="M610" s="145"/>
      <c r="N610" s="145"/>
      <c r="O610" s="174"/>
      <c r="P610" s="174"/>
      <c r="Q610" s="158" t="str">
        <v/>
      </c>
      <c r="R610" s="158" t="str">
        <v/>
      </c>
      <c r="S610" s="158" t="str">
        <v/>
      </c>
      <c r="T610" s="158" t="str">
        <v/>
      </c>
      <c r="U610" s="158" t="str">
        <v/>
      </c>
      <c r="V610" s="158" t="str">
        <v/>
      </c>
      <c r="W610" s="158" t="str">
        <v/>
      </c>
      <c r="X610" s="158" t="str">
        <v/>
      </c>
      <c r="Y610" s="158" t="str">
        <v/>
      </c>
      <c r="Z610" s="158" t="str">
        <v/>
      </c>
      <c r="AA610" s="158" t="e">
        <v>#VALUE!</v>
      </c>
      <c r="AB610" s="171" t="str">
        <v/>
      </c>
      <c r="AC610" s="158">
        <v>0</v>
      </c>
      <c r="AD610" s="173" t="str">
        <f ca="1">IFERROR(__xludf.DUMMYFUNCTION("""COMPUTED_VALUE"""),"")</f>
        <v/>
      </c>
      <c r="AE610" s="154" t="str">
        <v/>
      </c>
      <c r="AF610" s="154" t="str">
        <v/>
      </c>
    </row>
    <row r="611" spans="1:32" ht="15">
      <c r="A611" s="176"/>
      <c r="B611" s="145"/>
      <c r="C611" s="169"/>
      <c r="D611" s="145"/>
      <c r="E611" s="145"/>
      <c r="F611" s="169" t="e">
        <v>#VALUE!</v>
      </c>
      <c r="G611" s="145"/>
      <c r="H611" s="145"/>
      <c r="I611" s="145"/>
      <c r="J611" s="145"/>
      <c r="K611" s="145"/>
      <c r="L611" s="145"/>
      <c r="M611" s="145"/>
      <c r="N611" s="145"/>
      <c r="O611" s="174"/>
      <c r="P611" s="174"/>
      <c r="Q611" s="158" t="str">
        <v/>
      </c>
      <c r="R611" s="158" t="str">
        <v/>
      </c>
      <c r="S611" s="158" t="str">
        <v/>
      </c>
      <c r="T611" s="158" t="str">
        <v/>
      </c>
      <c r="U611" s="158" t="str">
        <v/>
      </c>
      <c r="V611" s="158" t="str">
        <v/>
      </c>
      <c r="W611" s="158" t="str">
        <v/>
      </c>
      <c r="X611" s="158" t="str">
        <v/>
      </c>
      <c r="Y611" s="158" t="str">
        <v/>
      </c>
      <c r="Z611" s="158" t="str">
        <v/>
      </c>
      <c r="AA611" s="158" t="e">
        <v>#VALUE!</v>
      </c>
      <c r="AB611" s="171" t="str">
        <v/>
      </c>
      <c r="AC611" s="158">
        <v>0</v>
      </c>
      <c r="AD611" s="173" t="str">
        <f ca="1">IFERROR(__xludf.DUMMYFUNCTION("""COMPUTED_VALUE"""),"")</f>
        <v/>
      </c>
      <c r="AE611" s="154" t="str">
        <v/>
      </c>
      <c r="AF611" s="154" t="str">
        <v/>
      </c>
    </row>
    <row r="612" spans="1:32" ht="15">
      <c r="A612" s="176"/>
      <c r="B612" s="145"/>
      <c r="C612" s="169"/>
      <c r="D612" s="145"/>
      <c r="E612" s="145"/>
      <c r="F612" s="169" t="e">
        <v>#VALUE!</v>
      </c>
      <c r="G612" s="145"/>
      <c r="H612" s="145"/>
      <c r="I612" s="145"/>
      <c r="J612" s="145"/>
      <c r="K612" s="145"/>
      <c r="L612" s="145"/>
      <c r="M612" s="145"/>
      <c r="N612" s="145"/>
      <c r="O612" s="174"/>
      <c r="P612" s="174"/>
      <c r="Q612" s="158" t="str">
        <v/>
      </c>
      <c r="R612" s="158" t="str">
        <v/>
      </c>
      <c r="S612" s="158" t="str">
        <v/>
      </c>
      <c r="T612" s="158" t="str">
        <v/>
      </c>
      <c r="U612" s="158" t="str">
        <v/>
      </c>
      <c r="V612" s="158" t="str">
        <v/>
      </c>
      <c r="W612" s="158" t="str">
        <v/>
      </c>
      <c r="X612" s="158" t="str">
        <v/>
      </c>
      <c r="Y612" s="158" t="str">
        <v/>
      </c>
      <c r="Z612" s="158" t="str">
        <v/>
      </c>
      <c r="AA612" s="158" t="e">
        <v>#VALUE!</v>
      </c>
      <c r="AB612" s="171" t="str">
        <v/>
      </c>
      <c r="AC612" s="158">
        <v>0</v>
      </c>
      <c r="AD612" s="173" t="str">
        <f ca="1">IFERROR(__xludf.DUMMYFUNCTION("""COMPUTED_VALUE"""),"")</f>
        <v/>
      </c>
      <c r="AE612" s="154" t="str">
        <v/>
      </c>
      <c r="AF612" s="154" t="str">
        <v/>
      </c>
    </row>
    <row r="613" spans="1:32" ht="15">
      <c r="A613" s="176"/>
      <c r="B613" s="145"/>
      <c r="C613" s="169"/>
      <c r="D613" s="145"/>
      <c r="E613" s="145"/>
      <c r="F613" s="169" t="e">
        <v>#VALUE!</v>
      </c>
      <c r="G613" s="145"/>
      <c r="H613" s="145"/>
      <c r="I613" s="145"/>
      <c r="J613" s="145"/>
      <c r="K613" s="145"/>
      <c r="L613" s="145"/>
      <c r="M613" s="145"/>
      <c r="N613" s="145"/>
      <c r="O613" s="174"/>
      <c r="P613" s="174"/>
      <c r="Q613" s="158" t="str">
        <v/>
      </c>
      <c r="R613" s="158" t="str">
        <v/>
      </c>
      <c r="S613" s="158" t="str">
        <v/>
      </c>
      <c r="T613" s="158" t="str">
        <v/>
      </c>
      <c r="U613" s="158" t="str">
        <v/>
      </c>
      <c r="V613" s="158" t="str">
        <v/>
      </c>
      <c r="W613" s="158" t="str">
        <v/>
      </c>
      <c r="X613" s="158" t="str">
        <v/>
      </c>
      <c r="Y613" s="158" t="str">
        <v/>
      </c>
      <c r="Z613" s="158" t="str">
        <v/>
      </c>
      <c r="AA613" s="158" t="e">
        <v>#VALUE!</v>
      </c>
      <c r="AB613" s="171" t="str">
        <v/>
      </c>
      <c r="AC613" s="158">
        <v>0</v>
      </c>
      <c r="AD613" s="173" t="str">
        <f ca="1">IFERROR(__xludf.DUMMYFUNCTION("""COMPUTED_VALUE"""),"")</f>
        <v/>
      </c>
      <c r="AE613" s="154" t="str">
        <v/>
      </c>
      <c r="AF613" s="154" t="str">
        <v/>
      </c>
    </row>
    <row r="614" spans="1:32" ht="15">
      <c r="A614" s="176"/>
      <c r="B614" s="145"/>
      <c r="C614" s="169"/>
      <c r="D614" s="145"/>
      <c r="E614" s="145"/>
      <c r="F614" s="169" t="e">
        <v>#VALUE!</v>
      </c>
      <c r="G614" s="145"/>
      <c r="H614" s="145"/>
      <c r="I614" s="145"/>
      <c r="J614" s="145"/>
      <c r="K614" s="145"/>
      <c r="L614" s="145"/>
      <c r="M614" s="145"/>
      <c r="N614" s="145"/>
      <c r="O614" s="174"/>
      <c r="P614" s="174"/>
      <c r="Q614" s="158" t="str">
        <v/>
      </c>
      <c r="R614" s="158" t="str">
        <v/>
      </c>
      <c r="S614" s="158" t="str">
        <v/>
      </c>
      <c r="T614" s="158" t="str">
        <v/>
      </c>
      <c r="U614" s="158" t="str">
        <v/>
      </c>
      <c r="V614" s="158" t="str">
        <v/>
      </c>
      <c r="W614" s="158" t="str">
        <v/>
      </c>
      <c r="X614" s="158" t="str">
        <v/>
      </c>
      <c r="Y614" s="158" t="str">
        <v/>
      </c>
      <c r="Z614" s="158" t="str">
        <v/>
      </c>
      <c r="AA614" s="158" t="e">
        <v>#VALUE!</v>
      </c>
      <c r="AB614" s="171" t="str">
        <v/>
      </c>
      <c r="AC614" s="158">
        <v>0</v>
      </c>
      <c r="AD614" s="173" t="str">
        <f ca="1">IFERROR(__xludf.DUMMYFUNCTION("""COMPUTED_VALUE"""),"")</f>
        <v/>
      </c>
      <c r="AE614" s="154" t="str">
        <v/>
      </c>
      <c r="AF614" s="154" t="str">
        <v/>
      </c>
    </row>
    <row r="615" spans="1:32" ht="15">
      <c r="A615" s="176"/>
      <c r="B615" s="145"/>
      <c r="C615" s="169"/>
      <c r="D615" s="145"/>
      <c r="E615" s="145"/>
      <c r="F615" s="169" t="e">
        <v>#VALUE!</v>
      </c>
      <c r="G615" s="145"/>
      <c r="H615" s="145"/>
      <c r="I615" s="145"/>
      <c r="J615" s="145"/>
      <c r="K615" s="145"/>
      <c r="L615" s="145"/>
      <c r="M615" s="145"/>
      <c r="N615" s="145"/>
      <c r="O615" s="174"/>
      <c r="P615" s="174"/>
      <c r="Q615" s="158" t="str">
        <v/>
      </c>
      <c r="R615" s="158" t="str">
        <v/>
      </c>
      <c r="S615" s="158" t="str">
        <v/>
      </c>
      <c r="T615" s="158" t="str">
        <v/>
      </c>
      <c r="U615" s="158" t="str">
        <v/>
      </c>
      <c r="V615" s="158" t="str">
        <v/>
      </c>
      <c r="W615" s="158" t="str">
        <v/>
      </c>
      <c r="X615" s="158" t="str">
        <v/>
      </c>
      <c r="Y615" s="158" t="str">
        <v/>
      </c>
      <c r="Z615" s="158" t="str">
        <v/>
      </c>
      <c r="AA615" s="158" t="e">
        <v>#VALUE!</v>
      </c>
      <c r="AB615" s="171" t="str">
        <v/>
      </c>
      <c r="AC615" s="158">
        <v>0</v>
      </c>
      <c r="AD615" s="173" t="str">
        <f ca="1">IFERROR(__xludf.DUMMYFUNCTION("""COMPUTED_VALUE"""),"")</f>
        <v/>
      </c>
      <c r="AE615" s="154" t="str">
        <v/>
      </c>
      <c r="AF615" s="154" t="str">
        <v/>
      </c>
    </row>
    <row r="616" spans="1:32" ht="15">
      <c r="A616" s="176"/>
      <c r="B616" s="145"/>
      <c r="C616" s="169"/>
      <c r="D616" s="145"/>
      <c r="E616" s="145"/>
      <c r="F616" s="169" t="e">
        <v>#VALUE!</v>
      </c>
      <c r="G616" s="145"/>
      <c r="H616" s="145"/>
      <c r="I616" s="145"/>
      <c r="J616" s="145"/>
      <c r="K616" s="145"/>
      <c r="L616" s="145"/>
      <c r="M616" s="145"/>
      <c r="N616" s="145"/>
      <c r="O616" s="174"/>
      <c r="P616" s="174"/>
      <c r="Q616" s="158" t="str">
        <v/>
      </c>
      <c r="R616" s="158" t="str">
        <v/>
      </c>
      <c r="S616" s="158" t="str">
        <v/>
      </c>
      <c r="T616" s="158" t="str">
        <v/>
      </c>
      <c r="U616" s="158" t="str">
        <v/>
      </c>
      <c r="V616" s="158" t="str">
        <v/>
      </c>
      <c r="W616" s="158" t="str">
        <v/>
      </c>
      <c r="X616" s="158" t="str">
        <v/>
      </c>
      <c r="Y616" s="158" t="str">
        <v/>
      </c>
      <c r="Z616" s="158" t="str">
        <v/>
      </c>
      <c r="AA616" s="158" t="e">
        <v>#VALUE!</v>
      </c>
      <c r="AB616" s="171" t="str">
        <v/>
      </c>
      <c r="AC616" s="158">
        <v>0</v>
      </c>
      <c r="AD616" s="173" t="str">
        <f ca="1">IFERROR(__xludf.DUMMYFUNCTION("""COMPUTED_VALUE"""),"")</f>
        <v/>
      </c>
      <c r="AE616" s="154" t="str">
        <v/>
      </c>
      <c r="AF616" s="154" t="str">
        <v/>
      </c>
    </row>
    <row r="617" spans="1:32" ht="15">
      <c r="A617" s="176"/>
      <c r="B617" s="145"/>
      <c r="C617" s="169"/>
      <c r="D617" s="145"/>
      <c r="E617" s="145"/>
      <c r="F617" s="169" t="e">
        <v>#VALUE!</v>
      </c>
      <c r="G617" s="145"/>
      <c r="H617" s="145"/>
      <c r="I617" s="145"/>
      <c r="J617" s="145"/>
      <c r="K617" s="145"/>
      <c r="L617" s="145"/>
      <c r="M617" s="145"/>
      <c r="N617" s="145"/>
      <c r="O617" s="174"/>
      <c r="P617" s="174"/>
      <c r="Q617" s="158" t="str">
        <v/>
      </c>
      <c r="R617" s="158" t="str">
        <v/>
      </c>
      <c r="S617" s="158" t="str">
        <v/>
      </c>
      <c r="T617" s="158" t="str">
        <v/>
      </c>
      <c r="U617" s="158" t="str">
        <v/>
      </c>
      <c r="V617" s="158" t="str">
        <v/>
      </c>
      <c r="W617" s="158" t="str">
        <v/>
      </c>
      <c r="X617" s="158" t="str">
        <v/>
      </c>
      <c r="Y617" s="158" t="str">
        <v/>
      </c>
      <c r="Z617" s="158" t="str">
        <v/>
      </c>
      <c r="AA617" s="158" t="e">
        <v>#VALUE!</v>
      </c>
      <c r="AB617" s="171" t="str">
        <v/>
      </c>
      <c r="AC617" s="158">
        <v>0</v>
      </c>
      <c r="AD617" s="173" t="str">
        <f ca="1">IFERROR(__xludf.DUMMYFUNCTION("""COMPUTED_VALUE"""),"")</f>
        <v/>
      </c>
      <c r="AE617" s="154" t="str">
        <v/>
      </c>
      <c r="AF617" s="154" t="str">
        <v/>
      </c>
    </row>
    <row r="618" spans="1:32" ht="15">
      <c r="A618" s="176"/>
      <c r="B618" s="145"/>
      <c r="C618" s="169"/>
      <c r="D618" s="145"/>
      <c r="E618" s="145"/>
      <c r="F618" s="169" t="e">
        <v>#VALUE!</v>
      </c>
      <c r="G618" s="145"/>
      <c r="H618" s="145"/>
      <c r="I618" s="145"/>
      <c r="J618" s="145"/>
      <c r="K618" s="145"/>
      <c r="L618" s="145"/>
      <c r="M618" s="145"/>
      <c r="N618" s="145"/>
      <c r="O618" s="174"/>
      <c r="P618" s="174"/>
      <c r="Q618" s="158" t="str">
        <v/>
      </c>
      <c r="R618" s="158" t="str">
        <v/>
      </c>
      <c r="S618" s="158" t="str">
        <v/>
      </c>
      <c r="T618" s="158" t="str">
        <v/>
      </c>
      <c r="U618" s="158" t="str">
        <v/>
      </c>
      <c r="V618" s="158" t="str">
        <v/>
      </c>
      <c r="W618" s="158" t="str">
        <v/>
      </c>
      <c r="X618" s="158" t="str">
        <v/>
      </c>
      <c r="Y618" s="158" t="str">
        <v/>
      </c>
      <c r="Z618" s="158" t="str">
        <v/>
      </c>
      <c r="AA618" s="158" t="e">
        <v>#VALUE!</v>
      </c>
      <c r="AB618" s="171" t="str">
        <v/>
      </c>
      <c r="AC618" s="158">
        <v>0</v>
      </c>
      <c r="AD618" s="173" t="str">
        <f ca="1">IFERROR(__xludf.DUMMYFUNCTION("""COMPUTED_VALUE"""),"")</f>
        <v/>
      </c>
      <c r="AE618" s="154" t="str">
        <v/>
      </c>
      <c r="AF618" s="154" t="str">
        <v/>
      </c>
    </row>
    <row r="619" spans="1:32" ht="15">
      <c r="A619" s="176"/>
      <c r="B619" s="145"/>
      <c r="C619" s="169"/>
      <c r="D619" s="145"/>
      <c r="E619" s="145"/>
      <c r="F619" s="169" t="e">
        <v>#VALUE!</v>
      </c>
      <c r="G619" s="145"/>
      <c r="H619" s="145"/>
      <c r="I619" s="145"/>
      <c r="J619" s="145"/>
      <c r="K619" s="145"/>
      <c r="L619" s="145"/>
      <c r="M619" s="145"/>
      <c r="N619" s="145"/>
      <c r="O619" s="174"/>
      <c r="P619" s="174"/>
      <c r="Q619" s="158" t="str">
        <v/>
      </c>
      <c r="R619" s="158" t="str">
        <v/>
      </c>
      <c r="S619" s="158" t="str">
        <v/>
      </c>
      <c r="T619" s="158" t="str">
        <v/>
      </c>
      <c r="U619" s="158" t="str">
        <v/>
      </c>
      <c r="V619" s="158" t="str">
        <v/>
      </c>
      <c r="W619" s="158" t="str">
        <v/>
      </c>
      <c r="X619" s="158" t="str">
        <v/>
      </c>
      <c r="Y619" s="158" t="str">
        <v/>
      </c>
      <c r="Z619" s="158" t="str">
        <v/>
      </c>
      <c r="AA619" s="158" t="e">
        <v>#VALUE!</v>
      </c>
      <c r="AB619" s="171" t="str">
        <v/>
      </c>
      <c r="AC619" s="158">
        <v>0</v>
      </c>
      <c r="AD619" s="173" t="str">
        <f ca="1">IFERROR(__xludf.DUMMYFUNCTION("""COMPUTED_VALUE"""),"")</f>
        <v/>
      </c>
      <c r="AE619" s="154" t="str">
        <v/>
      </c>
      <c r="AF619" s="154" t="str">
        <v/>
      </c>
    </row>
    <row r="620" spans="1:32" ht="15">
      <c r="A620" s="176"/>
      <c r="B620" s="145"/>
      <c r="C620" s="169"/>
      <c r="D620" s="145"/>
      <c r="E620" s="145"/>
      <c r="F620" s="169" t="e">
        <v>#VALUE!</v>
      </c>
      <c r="G620" s="145"/>
      <c r="H620" s="145"/>
      <c r="I620" s="145"/>
      <c r="J620" s="145"/>
      <c r="K620" s="145"/>
      <c r="L620" s="145"/>
      <c r="M620" s="145"/>
      <c r="N620" s="145"/>
      <c r="O620" s="174"/>
      <c r="P620" s="174"/>
      <c r="Q620" s="158" t="str">
        <v/>
      </c>
      <c r="R620" s="158" t="str">
        <v/>
      </c>
      <c r="S620" s="158" t="str">
        <v/>
      </c>
      <c r="T620" s="158" t="str">
        <v/>
      </c>
      <c r="U620" s="158" t="str">
        <v/>
      </c>
      <c r="V620" s="158" t="str">
        <v/>
      </c>
      <c r="W620" s="158" t="str">
        <v/>
      </c>
      <c r="X620" s="158" t="str">
        <v/>
      </c>
      <c r="Y620" s="158" t="str">
        <v/>
      </c>
      <c r="Z620" s="158" t="str">
        <v/>
      </c>
      <c r="AA620" s="158" t="e">
        <v>#VALUE!</v>
      </c>
      <c r="AB620" s="171" t="str">
        <v/>
      </c>
      <c r="AC620" s="158">
        <v>0</v>
      </c>
      <c r="AD620" s="173" t="str">
        <f ca="1">IFERROR(__xludf.DUMMYFUNCTION("""COMPUTED_VALUE"""),"")</f>
        <v/>
      </c>
      <c r="AE620" s="154" t="str">
        <v/>
      </c>
      <c r="AF620" s="154" t="str">
        <v/>
      </c>
    </row>
    <row r="621" spans="1:32" ht="15">
      <c r="A621" s="176"/>
      <c r="B621" s="145"/>
      <c r="C621" s="169"/>
      <c r="D621" s="145"/>
      <c r="E621" s="145"/>
      <c r="F621" s="169" t="e">
        <v>#VALUE!</v>
      </c>
      <c r="G621" s="145"/>
      <c r="H621" s="145"/>
      <c r="I621" s="145"/>
      <c r="J621" s="145"/>
      <c r="K621" s="145"/>
      <c r="L621" s="145"/>
      <c r="M621" s="145"/>
      <c r="N621" s="145"/>
      <c r="O621" s="174"/>
      <c r="P621" s="174"/>
      <c r="Q621" s="158" t="str">
        <v/>
      </c>
      <c r="R621" s="158" t="str">
        <v/>
      </c>
      <c r="S621" s="158" t="str">
        <v/>
      </c>
      <c r="T621" s="158" t="str">
        <v/>
      </c>
      <c r="U621" s="158" t="str">
        <v/>
      </c>
      <c r="V621" s="158" t="str">
        <v/>
      </c>
      <c r="W621" s="158" t="str">
        <v/>
      </c>
      <c r="X621" s="158" t="str">
        <v/>
      </c>
      <c r="Y621" s="158" t="str">
        <v/>
      </c>
      <c r="Z621" s="158" t="str">
        <v/>
      </c>
      <c r="AA621" s="158" t="e">
        <v>#VALUE!</v>
      </c>
      <c r="AB621" s="171" t="str">
        <v/>
      </c>
      <c r="AC621" s="158">
        <v>0</v>
      </c>
      <c r="AD621" s="173" t="str">
        <f ca="1">IFERROR(__xludf.DUMMYFUNCTION("""COMPUTED_VALUE"""),"")</f>
        <v/>
      </c>
      <c r="AE621" s="154" t="str">
        <v/>
      </c>
      <c r="AF621" s="154" t="str">
        <v/>
      </c>
    </row>
    <row r="622" spans="1:32" ht="15">
      <c r="A622" s="176"/>
      <c r="B622" s="145"/>
      <c r="C622" s="169"/>
      <c r="D622" s="145"/>
      <c r="E622" s="145"/>
      <c r="F622" s="169" t="e">
        <v>#VALUE!</v>
      </c>
      <c r="G622" s="145"/>
      <c r="H622" s="145"/>
      <c r="I622" s="145"/>
      <c r="J622" s="145"/>
      <c r="K622" s="145"/>
      <c r="L622" s="145"/>
      <c r="M622" s="145"/>
      <c r="N622" s="145"/>
      <c r="O622" s="174"/>
      <c r="P622" s="174"/>
      <c r="Q622" s="158" t="str">
        <v/>
      </c>
      <c r="R622" s="158" t="str">
        <v/>
      </c>
      <c r="S622" s="158" t="str">
        <v/>
      </c>
      <c r="T622" s="158" t="str">
        <v/>
      </c>
      <c r="U622" s="158" t="str">
        <v/>
      </c>
      <c r="V622" s="158" t="str">
        <v/>
      </c>
      <c r="W622" s="158" t="str">
        <v/>
      </c>
      <c r="X622" s="158" t="str">
        <v/>
      </c>
      <c r="Y622" s="158" t="str">
        <v/>
      </c>
      <c r="Z622" s="158" t="str">
        <v/>
      </c>
      <c r="AA622" s="158" t="e">
        <v>#VALUE!</v>
      </c>
      <c r="AB622" s="171" t="str">
        <v/>
      </c>
      <c r="AC622" s="158">
        <v>0</v>
      </c>
      <c r="AD622" s="173" t="str">
        <f ca="1">IFERROR(__xludf.DUMMYFUNCTION("""COMPUTED_VALUE"""),"")</f>
        <v/>
      </c>
      <c r="AE622" s="154" t="str">
        <v/>
      </c>
      <c r="AF622" s="154" t="str">
        <v/>
      </c>
    </row>
    <row r="623" spans="1:32" ht="15">
      <c r="A623" s="176"/>
      <c r="B623" s="145"/>
      <c r="C623" s="169"/>
      <c r="D623" s="145"/>
      <c r="E623" s="145"/>
      <c r="F623" s="169" t="e">
        <v>#VALUE!</v>
      </c>
      <c r="G623" s="145"/>
      <c r="H623" s="145"/>
      <c r="I623" s="145"/>
      <c r="J623" s="145"/>
      <c r="K623" s="145"/>
      <c r="L623" s="145"/>
      <c r="M623" s="145"/>
      <c r="N623" s="145"/>
      <c r="O623" s="174"/>
      <c r="P623" s="174"/>
      <c r="Q623" s="158" t="str">
        <v/>
      </c>
      <c r="R623" s="158" t="str">
        <v/>
      </c>
      <c r="S623" s="158" t="str">
        <v/>
      </c>
      <c r="T623" s="158" t="str">
        <v/>
      </c>
      <c r="U623" s="158" t="str">
        <v/>
      </c>
      <c r="V623" s="158" t="str">
        <v/>
      </c>
      <c r="W623" s="158" t="str">
        <v/>
      </c>
      <c r="X623" s="158" t="str">
        <v/>
      </c>
      <c r="Y623" s="158" t="str">
        <v/>
      </c>
      <c r="Z623" s="158" t="str">
        <v/>
      </c>
      <c r="AA623" s="158" t="e">
        <v>#VALUE!</v>
      </c>
      <c r="AB623" s="171" t="str">
        <v/>
      </c>
      <c r="AC623" s="158">
        <v>0</v>
      </c>
      <c r="AD623" s="173" t="str">
        <f ca="1">IFERROR(__xludf.DUMMYFUNCTION("""COMPUTED_VALUE"""),"")</f>
        <v/>
      </c>
      <c r="AE623" s="154" t="str">
        <v/>
      </c>
      <c r="AF623" s="154" t="str">
        <v/>
      </c>
    </row>
    <row r="624" spans="1:32" ht="15">
      <c r="A624" s="176"/>
      <c r="B624" s="145"/>
      <c r="C624" s="169"/>
      <c r="D624" s="145"/>
      <c r="E624" s="145"/>
      <c r="F624" s="169" t="e">
        <v>#VALUE!</v>
      </c>
      <c r="G624" s="145"/>
      <c r="H624" s="145"/>
      <c r="I624" s="145"/>
      <c r="J624" s="145"/>
      <c r="K624" s="145"/>
      <c r="L624" s="145"/>
      <c r="M624" s="145"/>
      <c r="N624" s="145"/>
      <c r="O624" s="174"/>
      <c r="P624" s="174"/>
      <c r="Q624" s="158" t="str">
        <v/>
      </c>
      <c r="R624" s="158" t="str">
        <v/>
      </c>
      <c r="S624" s="158" t="str">
        <v/>
      </c>
      <c r="T624" s="158" t="str">
        <v/>
      </c>
      <c r="U624" s="158" t="str">
        <v/>
      </c>
      <c r="V624" s="158" t="str">
        <v/>
      </c>
      <c r="W624" s="158" t="str">
        <v/>
      </c>
      <c r="X624" s="158" t="str">
        <v/>
      </c>
      <c r="Y624" s="158" t="str">
        <v/>
      </c>
      <c r="Z624" s="158" t="str">
        <v/>
      </c>
      <c r="AA624" s="158" t="e">
        <v>#VALUE!</v>
      </c>
      <c r="AB624" s="171" t="str">
        <v/>
      </c>
      <c r="AC624" s="158">
        <v>0</v>
      </c>
      <c r="AD624" s="173" t="str">
        <f ca="1">IFERROR(__xludf.DUMMYFUNCTION("""COMPUTED_VALUE"""),"")</f>
        <v/>
      </c>
      <c r="AE624" s="154" t="str">
        <v/>
      </c>
      <c r="AF624" s="154" t="str">
        <v/>
      </c>
    </row>
    <row r="625" spans="1:32" ht="15">
      <c r="A625" s="176"/>
      <c r="B625" s="145"/>
      <c r="C625" s="169"/>
      <c r="D625" s="145"/>
      <c r="E625" s="145"/>
      <c r="F625" s="169" t="e">
        <v>#VALUE!</v>
      </c>
      <c r="G625" s="145"/>
      <c r="H625" s="145"/>
      <c r="I625" s="145"/>
      <c r="J625" s="145"/>
      <c r="K625" s="145"/>
      <c r="L625" s="145"/>
      <c r="M625" s="145"/>
      <c r="N625" s="145"/>
      <c r="O625" s="174"/>
      <c r="P625" s="174"/>
      <c r="Q625" s="158" t="str">
        <v/>
      </c>
      <c r="R625" s="158" t="str">
        <v/>
      </c>
      <c r="S625" s="158" t="str">
        <v/>
      </c>
      <c r="T625" s="158" t="str">
        <v/>
      </c>
      <c r="U625" s="158" t="str">
        <v/>
      </c>
      <c r="V625" s="158" t="str">
        <v/>
      </c>
      <c r="W625" s="158" t="str">
        <v/>
      </c>
      <c r="X625" s="158" t="str">
        <v/>
      </c>
      <c r="Y625" s="158" t="str">
        <v/>
      </c>
      <c r="Z625" s="158" t="str">
        <v/>
      </c>
      <c r="AA625" s="158" t="e">
        <v>#VALUE!</v>
      </c>
      <c r="AB625" s="171" t="str">
        <v/>
      </c>
      <c r="AC625" s="158">
        <v>0</v>
      </c>
      <c r="AD625" s="173" t="str">
        <f ca="1">IFERROR(__xludf.DUMMYFUNCTION("""COMPUTED_VALUE"""),"")</f>
        <v/>
      </c>
      <c r="AE625" s="154" t="str">
        <v/>
      </c>
      <c r="AF625" s="154" t="str">
        <v/>
      </c>
    </row>
    <row r="626" spans="1:32" ht="15">
      <c r="A626" s="176"/>
      <c r="B626" s="145"/>
      <c r="C626" s="169"/>
      <c r="D626" s="145"/>
      <c r="E626" s="145"/>
      <c r="F626" s="169" t="e">
        <v>#VALUE!</v>
      </c>
      <c r="G626" s="145"/>
      <c r="H626" s="145"/>
      <c r="I626" s="145"/>
      <c r="J626" s="145"/>
      <c r="K626" s="145"/>
      <c r="L626" s="145"/>
      <c r="M626" s="145"/>
      <c r="N626" s="145"/>
      <c r="O626" s="174"/>
      <c r="P626" s="174"/>
      <c r="Q626" s="158" t="str">
        <v/>
      </c>
      <c r="R626" s="158" t="str">
        <v/>
      </c>
      <c r="S626" s="158" t="str">
        <v/>
      </c>
      <c r="T626" s="158" t="str">
        <v/>
      </c>
      <c r="U626" s="158" t="str">
        <v/>
      </c>
      <c r="V626" s="158" t="str">
        <v/>
      </c>
      <c r="W626" s="158" t="str">
        <v/>
      </c>
      <c r="X626" s="158" t="str">
        <v/>
      </c>
      <c r="Y626" s="158" t="str">
        <v/>
      </c>
      <c r="Z626" s="158" t="str">
        <v/>
      </c>
      <c r="AA626" s="158" t="e">
        <v>#VALUE!</v>
      </c>
      <c r="AB626" s="171" t="str">
        <v/>
      </c>
      <c r="AC626" s="158">
        <v>0</v>
      </c>
      <c r="AD626" s="173" t="str">
        <f ca="1">IFERROR(__xludf.DUMMYFUNCTION("""COMPUTED_VALUE"""),"")</f>
        <v/>
      </c>
      <c r="AE626" s="154" t="str">
        <v/>
      </c>
      <c r="AF626" s="154" t="str">
        <v/>
      </c>
    </row>
    <row r="627" spans="1:32" ht="15">
      <c r="A627" s="176"/>
      <c r="B627" s="145"/>
      <c r="C627" s="169"/>
      <c r="D627" s="145"/>
      <c r="E627" s="145"/>
      <c r="F627" s="169" t="e">
        <v>#VALUE!</v>
      </c>
      <c r="G627" s="145"/>
      <c r="H627" s="145"/>
      <c r="I627" s="145"/>
      <c r="J627" s="145"/>
      <c r="K627" s="145"/>
      <c r="L627" s="145"/>
      <c r="M627" s="145"/>
      <c r="N627" s="145"/>
      <c r="O627" s="174"/>
      <c r="P627" s="174"/>
      <c r="Q627" s="158" t="str">
        <v/>
      </c>
      <c r="R627" s="158" t="str">
        <v/>
      </c>
      <c r="S627" s="158" t="str">
        <v/>
      </c>
      <c r="T627" s="158" t="str">
        <v/>
      </c>
      <c r="U627" s="158" t="str">
        <v/>
      </c>
      <c r="V627" s="158" t="str">
        <v/>
      </c>
      <c r="W627" s="158" t="str">
        <v/>
      </c>
      <c r="X627" s="158" t="str">
        <v/>
      </c>
      <c r="Y627" s="158" t="str">
        <v/>
      </c>
      <c r="Z627" s="158" t="str">
        <v/>
      </c>
      <c r="AA627" s="158" t="e">
        <v>#VALUE!</v>
      </c>
      <c r="AB627" s="171" t="str">
        <v/>
      </c>
      <c r="AC627" s="158">
        <v>0</v>
      </c>
      <c r="AD627" s="173" t="str">
        <f ca="1">IFERROR(__xludf.DUMMYFUNCTION("""COMPUTED_VALUE"""),"")</f>
        <v/>
      </c>
      <c r="AE627" s="154" t="str">
        <v/>
      </c>
      <c r="AF627" s="154" t="str">
        <v/>
      </c>
    </row>
    <row r="628" spans="1:32" ht="15">
      <c r="A628" s="176"/>
      <c r="B628" s="145"/>
      <c r="C628" s="169"/>
      <c r="D628" s="145"/>
      <c r="E628" s="145"/>
      <c r="F628" s="169" t="e">
        <v>#VALUE!</v>
      </c>
      <c r="G628" s="145"/>
      <c r="H628" s="145"/>
      <c r="I628" s="145"/>
      <c r="J628" s="145"/>
      <c r="K628" s="145"/>
      <c r="L628" s="145"/>
      <c r="M628" s="145"/>
      <c r="N628" s="145"/>
      <c r="O628" s="174"/>
      <c r="P628" s="174"/>
      <c r="Q628" s="158" t="str">
        <v/>
      </c>
      <c r="R628" s="158" t="str">
        <v/>
      </c>
      <c r="S628" s="158" t="str">
        <v/>
      </c>
      <c r="T628" s="158" t="str">
        <v/>
      </c>
      <c r="U628" s="158" t="str">
        <v/>
      </c>
      <c r="V628" s="158" t="str">
        <v/>
      </c>
      <c r="W628" s="158" t="str">
        <v/>
      </c>
      <c r="X628" s="158" t="str">
        <v/>
      </c>
      <c r="Y628" s="158" t="str">
        <v/>
      </c>
      <c r="Z628" s="158" t="str">
        <v/>
      </c>
      <c r="AA628" s="158" t="e">
        <v>#VALUE!</v>
      </c>
      <c r="AB628" s="171" t="str">
        <v/>
      </c>
      <c r="AC628" s="158">
        <v>0</v>
      </c>
      <c r="AD628" s="173" t="str">
        <f ca="1">IFERROR(__xludf.DUMMYFUNCTION("""COMPUTED_VALUE"""),"")</f>
        <v/>
      </c>
      <c r="AE628" s="154" t="str">
        <v/>
      </c>
      <c r="AF628" s="154" t="str">
        <v/>
      </c>
    </row>
    <row r="629" spans="1:32" ht="15">
      <c r="A629" s="176"/>
      <c r="B629" s="145"/>
      <c r="C629" s="169"/>
      <c r="D629" s="145"/>
      <c r="E629" s="145"/>
      <c r="F629" s="169" t="e">
        <v>#VALUE!</v>
      </c>
      <c r="G629" s="145"/>
      <c r="H629" s="145"/>
      <c r="I629" s="145"/>
      <c r="J629" s="145"/>
      <c r="K629" s="145"/>
      <c r="L629" s="145"/>
      <c r="M629" s="145"/>
      <c r="N629" s="145"/>
      <c r="O629" s="174"/>
      <c r="P629" s="174"/>
      <c r="Q629" s="158" t="str">
        <v/>
      </c>
      <c r="R629" s="158" t="str">
        <v/>
      </c>
      <c r="S629" s="158" t="str">
        <v/>
      </c>
      <c r="T629" s="158" t="str">
        <v/>
      </c>
      <c r="U629" s="158" t="str">
        <v/>
      </c>
      <c r="V629" s="158" t="str">
        <v/>
      </c>
      <c r="W629" s="158" t="str">
        <v/>
      </c>
      <c r="X629" s="158" t="str">
        <v/>
      </c>
      <c r="Y629" s="158" t="str">
        <v/>
      </c>
      <c r="Z629" s="158" t="str">
        <v/>
      </c>
      <c r="AA629" s="158" t="e">
        <v>#VALUE!</v>
      </c>
      <c r="AB629" s="171" t="str">
        <v/>
      </c>
      <c r="AC629" s="158">
        <v>0</v>
      </c>
      <c r="AD629" s="173" t="str">
        <f ca="1">IFERROR(__xludf.DUMMYFUNCTION("""COMPUTED_VALUE"""),"")</f>
        <v/>
      </c>
      <c r="AE629" s="154" t="str">
        <v/>
      </c>
      <c r="AF629" s="154" t="str">
        <v/>
      </c>
    </row>
    <row r="630" spans="1:32" ht="15">
      <c r="A630" s="176"/>
      <c r="B630" s="145"/>
      <c r="C630" s="169"/>
      <c r="D630" s="145"/>
      <c r="E630" s="145"/>
      <c r="F630" s="169" t="e">
        <v>#VALUE!</v>
      </c>
      <c r="G630" s="145"/>
      <c r="H630" s="145"/>
      <c r="I630" s="145"/>
      <c r="J630" s="145"/>
      <c r="K630" s="145"/>
      <c r="L630" s="145"/>
      <c r="M630" s="145"/>
      <c r="N630" s="145"/>
      <c r="O630" s="174"/>
      <c r="P630" s="174"/>
      <c r="Q630" s="158" t="str">
        <v/>
      </c>
      <c r="R630" s="158" t="str">
        <v/>
      </c>
      <c r="S630" s="158" t="str">
        <v/>
      </c>
      <c r="T630" s="158" t="str">
        <v/>
      </c>
      <c r="U630" s="158" t="str">
        <v/>
      </c>
      <c r="V630" s="158" t="str">
        <v/>
      </c>
      <c r="W630" s="158" t="str">
        <v/>
      </c>
      <c r="X630" s="158" t="str">
        <v/>
      </c>
      <c r="Y630" s="158" t="str">
        <v/>
      </c>
      <c r="Z630" s="158" t="str">
        <v/>
      </c>
      <c r="AA630" s="158" t="e">
        <v>#VALUE!</v>
      </c>
      <c r="AB630" s="171" t="str">
        <v/>
      </c>
      <c r="AC630" s="158">
        <v>0</v>
      </c>
      <c r="AD630" s="173" t="str">
        <f ca="1">IFERROR(__xludf.DUMMYFUNCTION("""COMPUTED_VALUE"""),"")</f>
        <v/>
      </c>
      <c r="AE630" s="154" t="str">
        <v/>
      </c>
      <c r="AF630" s="154" t="str">
        <v/>
      </c>
    </row>
    <row r="631" spans="1:32" ht="15">
      <c r="A631" s="176"/>
      <c r="B631" s="145"/>
      <c r="C631" s="169"/>
      <c r="D631" s="145"/>
      <c r="E631" s="145"/>
      <c r="F631" s="169" t="e">
        <v>#VALUE!</v>
      </c>
      <c r="G631" s="145"/>
      <c r="H631" s="145"/>
      <c r="I631" s="145"/>
      <c r="J631" s="145"/>
      <c r="K631" s="145"/>
      <c r="L631" s="145"/>
      <c r="M631" s="145"/>
      <c r="N631" s="145"/>
      <c r="O631" s="174"/>
      <c r="P631" s="174"/>
      <c r="Q631" s="158" t="str">
        <v/>
      </c>
      <c r="R631" s="158" t="str">
        <v/>
      </c>
      <c r="S631" s="158" t="str">
        <v/>
      </c>
      <c r="T631" s="158" t="str">
        <v/>
      </c>
      <c r="U631" s="158" t="str">
        <v/>
      </c>
      <c r="V631" s="158" t="str">
        <v/>
      </c>
      <c r="W631" s="158" t="str">
        <v/>
      </c>
      <c r="X631" s="158" t="str">
        <v/>
      </c>
      <c r="Y631" s="158" t="str">
        <v/>
      </c>
      <c r="Z631" s="158" t="str">
        <v/>
      </c>
      <c r="AA631" s="158" t="e">
        <v>#VALUE!</v>
      </c>
      <c r="AB631" s="171" t="str">
        <v/>
      </c>
      <c r="AC631" s="158">
        <v>0</v>
      </c>
      <c r="AD631" s="173" t="str">
        <f ca="1">IFERROR(__xludf.DUMMYFUNCTION("""COMPUTED_VALUE"""),"")</f>
        <v/>
      </c>
      <c r="AE631" s="154" t="str">
        <v/>
      </c>
      <c r="AF631" s="154" t="str">
        <v/>
      </c>
    </row>
    <row r="632" spans="1:32" ht="15">
      <c r="A632" s="176"/>
      <c r="B632" s="145"/>
      <c r="C632" s="169"/>
      <c r="D632" s="145"/>
      <c r="E632" s="145"/>
      <c r="F632" s="169" t="e">
        <v>#VALUE!</v>
      </c>
      <c r="G632" s="145"/>
      <c r="H632" s="145"/>
      <c r="I632" s="145"/>
      <c r="J632" s="145"/>
      <c r="K632" s="145"/>
      <c r="L632" s="145"/>
      <c r="M632" s="145"/>
      <c r="N632" s="145"/>
      <c r="O632" s="174"/>
      <c r="P632" s="174"/>
      <c r="Q632" s="158" t="str">
        <v/>
      </c>
      <c r="R632" s="158" t="str">
        <v/>
      </c>
      <c r="S632" s="158" t="str">
        <v/>
      </c>
      <c r="T632" s="158" t="str">
        <v/>
      </c>
      <c r="U632" s="158" t="str">
        <v/>
      </c>
      <c r="V632" s="158" t="str">
        <v/>
      </c>
      <c r="W632" s="158" t="str">
        <v/>
      </c>
      <c r="X632" s="158" t="str">
        <v/>
      </c>
      <c r="Y632" s="158" t="str">
        <v/>
      </c>
      <c r="Z632" s="158" t="str">
        <v/>
      </c>
      <c r="AA632" s="158" t="e">
        <v>#VALUE!</v>
      </c>
      <c r="AB632" s="171" t="str">
        <v/>
      </c>
      <c r="AC632" s="158">
        <v>0</v>
      </c>
      <c r="AD632" s="173" t="str">
        <f ca="1">IFERROR(__xludf.DUMMYFUNCTION("""COMPUTED_VALUE"""),"")</f>
        <v/>
      </c>
      <c r="AE632" s="154" t="str">
        <v/>
      </c>
      <c r="AF632" s="154" t="str">
        <v/>
      </c>
    </row>
    <row r="633" spans="1:32" ht="15">
      <c r="A633" s="176"/>
      <c r="B633" s="145"/>
      <c r="C633" s="169"/>
      <c r="D633" s="145"/>
      <c r="E633" s="145"/>
      <c r="F633" s="169" t="e">
        <v>#VALUE!</v>
      </c>
      <c r="G633" s="145"/>
      <c r="H633" s="145"/>
      <c r="I633" s="145"/>
      <c r="J633" s="145"/>
      <c r="K633" s="145"/>
      <c r="L633" s="145"/>
      <c r="M633" s="145"/>
      <c r="N633" s="145"/>
      <c r="O633" s="174"/>
      <c r="P633" s="174"/>
      <c r="Q633" s="158" t="str">
        <v/>
      </c>
      <c r="R633" s="158" t="str">
        <v/>
      </c>
      <c r="S633" s="158" t="str">
        <v/>
      </c>
      <c r="T633" s="158" t="str">
        <v/>
      </c>
      <c r="U633" s="158" t="str">
        <v/>
      </c>
      <c r="V633" s="158" t="str">
        <v/>
      </c>
      <c r="W633" s="158" t="str">
        <v/>
      </c>
      <c r="X633" s="158" t="str">
        <v/>
      </c>
      <c r="Y633" s="158" t="str">
        <v/>
      </c>
      <c r="Z633" s="158" t="str">
        <v/>
      </c>
      <c r="AA633" s="158" t="e">
        <v>#VALUE!</v>
      </c>
      <c r="AB633" s="171" t="str">
        <v/>
      </c>
      <c r="AC633" s="158">
        <v>0</v>
      </c>
      <c r="AD633" s="173" t="str">
        <f ca="1">IFERROR(__xludf.DUMMYFUNCTION("""COMPUTED_VALUE"""),"")</f>
        <v/>
      </c>
      <c r="AE633" s="154" t="str">
        <v/>
      </c>
      <c r="AF633" s="154" t="str">
        <v/>
      </c>
    </row>
    <row r="634" spans="1:32" ht="15">
      <c r="A634" s="176"/>
      <c r="B634" s="145"/>
      <c r="C634" s="169"/>
      <c r="D634" s="145"/>
      <c r="E634" s="145"/>
      <c r="F634" s="169" t="e">
        <v>#VALUE!</v>
      </c>
      <c r="G634" s="145"/>
      <c r="H634" s="145"/>
      <c r="I634" s="145"/>
      <c r="J634" s="145"/>
      <c r="K634" s="145"/>
      <c r="L634" s="145"/>
      <c r="M634" s="145"/>
      <c r="N634" s="145"/>
      <c r="O634" s="174"/>
      <c r="P634" s="174"/>
      <c r="Q634" s="158" t="str">
        <v/>
      </c>
      <c r="R634" s="158" t="str">
        <v/>
      </c>
      <c r="S634" s="158" t="str">
        <v/>
      </c>
      <c r="T634" s="158" t="str">
        <v/>
      </c>
      <c r="U634" s="158" t="str">
        <v/>
      </c>
      <c r="V634" s="158" t="str">
        <v/>
      </c>
      <c r="W634" s="158" t="str">
        <v/>
      </c>
      <c r="X634" s="158" t="str">
        <v/>
      </c>
      <c r="Y634" s="158" t="str">
        <v/>
      </c>
      <c r="Z634" s="158" t="str">
        <v/>
      </c>
      <c r="AA634" s="158" t="e">
        <v>#VALUE!</v>
      </c>
      <c r="AB634" s="171" t="str">
        <v/>
      </c>
      <c r="AC634" s="158">
        <v>0</v>
      </c>
      <c r="AD634" s="173" t="str">
        <f ca="1">IFERROR(__xludf.DUMMYFUNCTION("""COMPUTED_VALUE"""),"")</f>
        <v/>
      </c>
      <c r="AE634" s="154" t="str">
        <v/>
      </c>
      <c r="AF634" s="154" t="str">
        <v/>
      </c>
    </row>
    <row r="635" spans="1:32" ht="15">
      <c r="A635" s="176"/>
      <c r="B635" s="145"/>
      <c r="C635" s="169"/>
      <c r="D635" s="145"/>
      <c r="E635" s="145"/>
      <c r="F635" s="169" t="e">
        <v>#VALUE!</v>
      </c>
      <c r="G635" s="145"/>
      <c r="H635" s="145"/>
      <c r="I635" s="145"/>
      <c r="J635" s="145"/>
      <c r="K635" s="145"/>
      <c r="L635" s="145"/>
      <c r="M635" s="145"/>
      <c r="N635" s="145"/>
      <c r="O635" s="174"/>
      <c r="P635" s="174"/>
      <c r="Q635" s="158" t="str">
        <v/>
      </c>
      <c r="R635" s="158" t="str">
        <v/>
      </c>
      <c r="S635" s="158" t="str">
        <v/>
      </c>
      <c r="T635" s="158" t="str">
        <v/>
      </c>
      <c r="U635" s="158" t="str">
        <v/>
      </c>
      <c r="V635" s="158" t="str">
        <v/>
      </c>
      <c r="W635" s="158" t="str">
        <v/>
      </c>
      <c r="X635" s="158" t="str">
        <v/>
      </c>
      <c r="Y635" s="158" t="str">
        <v/>
      </c>
      <c r="Z635" s="158" t="str">
        <v/>
      </c>
      <c r="AA635" s="158" t="e">
        <v>#VALUE!</v>
      </c>
      <c r="AB635" s="171" t="str">
        <v/>
      </c>
      <c r="AC635" s="158">
        <v>0</v>
      </c>
      <c r="AD635" s="173" t="str">
        <f ca="1">IFERROR(__xludf.DUMMYFUNCTION("""COMPUTED_VALUE"""),"")</f>
        <v/>
      </c>
      <c r="AE635" s="154" t="str">
        <v/>
      </c>
      <c r="AF635" s="154" t="str">
        <v/>
      </c>
    </row>
    <row r="636" spans="1:32" ht="15">
      <c r="A636" s="176"/>
      <c r="B636" s="145"/>
      <c r="C636" s="169"/>
      <c r="D636" s="145"/>
      <c r="E636" s="145"/>
      <c r="F636" s="169" t="e">
        <v>#VALUE!</v>
      </c>
      <c r="G636" s="145"/>
      <c r="H636" s="145"/>
      <c r="I636" s="145"/>
      <c r="J636" s="145"/>
      <c r="K636" s="145"/>
      <c r="L636" s="145"/>
      <c r="M636" s="145"/>
      <c r="N636" s="145"/>
      <c r="O636" s="174"/>
      <c r="P636" s="174"/>
      <c r="Q636" s="158" t="str">
        <v/>
      </c>
      <c r="R636" s="158" t="str">
        <v/>
      </c>
      <c r="S636" s="158" t="str">
        <v/>
      </c>
      <c r="T636" s="158" t="str">
        <v/>
      </c>
      <c r="U636" s="158" t="str">
        <v/>
      </c>
      <c r="V636" s="158" t="str">
        <v/>
      </c>
      <c r="W636" s="158" t="str">
        <v/>
      </c>
      <c r="X636" s="158" t="str">
        <v/>
      </c>
      <c r="Y636" s="158" t="str">
        <v/>
      </c>
      <c r="Z636" s="158" t="str">
        <v/>
      </c>
      <c r="AA636" s="158" t="e">
        <v>#VALUE!</v>
      </c>
      <c r="AB636" s="171" t="str">
        <v/>
      </c>
      <c r="AC636" s="158">
        <v>0</v>
      </c>
      <c r="AD636" s="173" t="str">
        <f ca="1">IFERROR(__xludf.DUMMYFUNCTION("""COMPUTED_VALUE"""),"")</f>
        <v/>
      </c>
      <c r="AE636" s="154" t="str">
        <v/>
      </c>
      <c r="AF636" s="154" t="str">
        <v/>
      </c>
    </row>
    <row r="637" spans="1:32" ht="15">
      <c r="A637" s="176"/>
      <c r="B637" s="145"/>
      <c r="C637" s="169"/>
      <c r="D637" s="145"/>
      <c r="E637" s="145"/>
      <c r="F637" s="169" t="e">
        <v>#VALUE!</v>
      </c>
      <c r="G637" s="145"/>
      <c r="H637" s="145"/>
      <c r="I637" s="145"/>
      <c r="J637" s="145"/>
      <c r="K637" s="145"/>
      <c r="L637" s="145"/>
      <c r="M637" s="145"/>
      <c r="N637" s="145"/>
      <c r="O637" s="174"/>
      <c r="P637" s="174"/>
      <c r="Q637" s="158" t="str">
        <v/>
      </c>
      <c r="R637" s="158" t="str">
        <v/>
      </c>
      <c r="S637" s="158" t="str">
        <v/>
      </c>
      <c r="T637" s="158" t="str">
        <v/>
      </c>
      <c r="U637" s="158" t="str">
        <v/>
      </c>
      <c r="V637" s="158" t="str">
        <v/>
      </c>
      <c r="W637" s="158" t="str">
        <v/>
      </c>
      <c r="X637" s="158" t="str">
        <v/>
      </c>
      <c r="Y637" s="158" t="str">
        <v/>
      </c>
      <c r="Z637" s="158" t="str">
        <v/>
      </c>
      <c r="AA637" s="158" t="e">
        <v>#VALUE!</v>
      </c>
      <c r="AB637" s="171" t="str">
        <v/>
      </c>
      <c r="AC637" s="158">
        <v>0</v>
      </c>
      <c r="AD637" s="173" t="str">
        <f ca="1">IFERROR(__xludf.DUMMYFUNCTION("""COMPUTED_VALUE"""),"")</f>
        <v/>
      </c>
      <c r="AE637" s="154" t="str">
        <v/>
      </c>
      <c r="AF637" s="154" t="str">
        <v/>
      </c>
    </row>
    <row r="638" spans="1:32" ht="15">
      <c r="A638" s="176"/>
      <c r="B638" s="145"/>
      <c r="C638" s="169"/>
      <c r="D638" s="145"/>
      <c r="E638" s="145"/>
      <c r="F638" s="169" t="e">
        <v>#VALUE!</v>
      </c>
      <c r="G638" s="145"/>
      <c r="H638" s="145"/>
      <c r="I638" s="145"/>
      <c r="J638" s="145"/>
      <c r="K638" s="145"/>
      <c r="L638" s="145"/>
      <c r="M638" s="145"/>
      <c r="N638" s="145"/>
      <c r="O638" s="174"/>
      <c r="P638" s="174"/>
      <c r="Q638" s="158" t="str">
        <v/>
      </c>
      <c r="R638" s="158" t="str">
        <v/>
      </c>
      <c r="S638" s="158" t="str">
        <v/>
      </c>
      <c r="T638" s="158" t="str">
        <v/>
      </c>
      <c r="U638" s="158" t="str">
        <v/>
      </c>
      <c r="V638" s="158" t="str">
        <v/>
      </c>
      <c r="W638" s="158" t="str">
        <v/>
      </c>
      <c r="X638" s="158" t="str">
        <v/>
      </c>
      <c r="Y638" s="158" t="str">
        <v/>
      </c>
      <c r="Z638" s="158" t="str">
        <v/>
      </c>
      <c r="AA638" s="158" t="e">
        <v>#VALUE!</v>
      </c>
      <c r="AB638" s="171" t="str">
        <v/>
      </c>
      <c r="AC638" s="158">
        <v>0</v>
      </c>
      <c r="AD638" s="173" t="str">
        <f ca="1">IFERROR(__xludf.DUMMYFUNCTION("""COMPUTED_VALUE"""),"")</f>
        <v/>
      </c>
      <c r="AE638" s="154" t="str">
        <v/>
      </c>
      <c r="AF638" s="154" t="str">
        <v/>
      </c>
    </row>
    <row r="639" spans="1:32" ht="15">
      <c r="A639" s="176"/>
      <c r="B639" s="145"/>
      <c r="C639" s="169"/>
      <c r="D639" s="145"/>
      <c r="E639" s="145"/>
      <c r="F639" s="169" t="e">
        <v>#VALUE!</v>
      </c>
      <c r="G639" s="145"/>
      <c r="H639" s="145"/>
      <c r="I639" s="145"/>
      <c r="J639" s="145"/>
      <c r="K639" s="145"/>
      <c r="L639" s="145"/>
      <c r="M639" s="145"/>
      <c r="N639" s="145"/>
      <c r="O639" s="174"/>
      <c r="P639" s="174"/>
      <c r="Q639" s="158" t="str">
        <v/>
      </c>
      <c r="R639" s="158" t="str">
        <v/>
      </c>
      <c r="S639" s="158" t="str">
        <v/>
      </c>
      <c r="T639" s="158" t="str">
        <v/>
      </c>
      <c r="U639" s="158" t="str">
        <v/>
      </c>
      <c r="V639" s="158" t="str">
        <v/>
      </c>
      <c r="W639" s="158" t="str">
        <v/>
      </c>
      <c r="X639" s="158" t="str">
        <v/>
      </c>
      <c r="Y639" s="158" t="str">
        <v/>
      </c>
      <c r="Z639" s="158" t="str">
        <v/>
      </c>
      <c r="AA639" s="158" t="e">
        <v>#VALUE!</v>
      </c>
      <c r="AB639" s="171" t="str">
        <v/>
      </c>
      <c r="AC639" s="158">
        <v>0</v>
      </c>
      <c r="AD639" s="173" t="str">
        <f ca="1">IFERROR(__xludf.DUMMYFUNCTION("""COMPUTED_VALUE"""),"")</f>
        <v/>
      </c>
      <c r="AE639" s="154" t="str">
        <v/>
      </c>
      <c r="AF639" s="154" t="str">
        <v/>
      </c>
    </row>
    <row r="640" spans="1:32" ht="15">
      <c r="A640" s="176"/>
      <c r="B640" s="145"/>
      <c r="C640" s="169"/>
      <c r="D640" s="145"/>
      <c r="E640" s="145"/>
      <c r="F640" s="169" t="e">
        <v>#VALUE!</v>
      </c>
      <c r="G640" s="145"/>
      <c r="H640" s="145"/>
      <c r="I640" s="145"/>
      <c r="J640" s="145"/>
      <c r="K640" s="145"/>
      <c r="L640" s="145"/>
      <c r="M640" s="145"/>
      <c r="N640" s="145"/>
      <c r="O640" s="174"/>
      <c r="P640" s="174"/>
      <c r="Q640" s="158" t="str">
        <v/>
      </c>
      <c r="R640" s="158" t="str">
        <v/>
      </c>
      <c r="S640" s="158" t="str">
        <v/>
      </c>
      <c r="T640" s="158" t="str">
        <v/>
      </c>
      <c r="U640" s="158" t="str">
        <v/>
      </c>
      <c r="V640" s="158" t="str">
        <v/>
      </c>
      <c r="W640" s="158" t="str">
        <v/>
      </c>
      <c r="X640" s="158" t="str">
        <v/>
      </c>
      <c r="Y640" s="158" t="str">
        <v/>
      </c>
      <c r="Z640" s="158" t="str">
        <v/>
      </c>
      <c r="AA640" s="158" t="e">
        <v>#VALUE!</v>
      </c>
      <c r="AB640" s="171" t="str">
        <v/>
      </c>
      <c r="AC640" s="158">
        <v>0</v>
      </c>
      <c r="AD640" s="173" t="str">
        <f ca="1">IFERROR(__xludf.DUMMYFUNCTION("""COMPUTED_VALUE"""),"")</f>
        <v/>
      </c>
      <c r="AE640" s="154" t="str">
        <v/>
      </c>
      <c r="AF640" s="154" t="str">
        <v/>
      </c>
    </row>
    <row r="641" spans="1:32" ht="15">
      <c r="A641" s="176"/>
      <c r="B641" s="145"/>
      <c r="C641" s="169"/>
      <c r="D641" s="145"/>
      <c r="E641" s="145"/>
      <c r="F641" s="169" t="e">
        <v>#VALUE!</v>
      </c>
      <c r="G641" s="145"/>
      <c r="H641" s="145"/>
      <c r="I641" s="145"/>
      <c r="J641" s="145"/>
      <c r="K641" s="145"/>
      <c r="L641" s="145"/>
      <c r="M641" s="145"/>
      <c r="N641" s="145"/>
      <c r="O641" s="174"/>
      <c r="P641" s="174"/>
      <c r="Q641" s="158" t="str">
        <v/>
      </c>
      <c r="R641" s="158" t="str">
        <v/>
      </c>
      <c r="S641" s="158" t="str">
        <v/>
      </c>
      <c r="T641" s="158" t="str">
        <v/>
      </c>
      <c r="U641" s="158" t="str">
        <v/>
      </c>
      <c r="V641" s="158" t="str">
        <v/>
      </c>
      <c r="W641" s="158" t="str">
        <v/>
      </c>
      <c r="X641" s="158" t="str">
        <v/>
      </c>
      <c r="Y641" s="158" t="str">
        <v/>
      </c>
      <c r="Z641" s="158" t="str">
        <v/>
      </c>
      <c r="AA641" s="158" t="e">
        <v>#VALUE!</v>
      </c>
      <c r="AB641" s="171" t="str">
        <v/>
      </c>
      <c r="AC641" s="158">
        <v>0</v>
      </c>
      <c r="AD641" s="173" t="str">
        <f ca="1">IFERROR(__xludf.DUMMYFUNCTION("""COMPUTED_VALUE"""),"")</f>
        <v/>
      </c>
      <c r="AE641" s="154" t="str">
        <v/>
      </c>
      <c r="AF641" s="154" t="str">
        <v/>
      </c>
    </row>
    <row r="642" spans="1:32" ht="15">
      <c r="A642" s="176"/>
      <c r="B642" s="145"/>
      <c r="C642" s="169"/>
      <c r="D642" s="145"/>
      <c r="E642" s="145"/>
      <c r="F642" s="169" t="e">
        <v>#VALUE!</v>
      </c>
      <c r="G642" s="145"/>
      <c r="H642" s="145"/>
      <c r="I642" s="145"/>
      <c r="J642" s="145"/>
      <c r="K642" s="145"/>
      <c r="L642" s="145"/>
      <c r="M642" s="145"/>
      <c r="N642" s="145"/>
      <c r="O642" s="174"/>
      <c r="P642" s="174"/>
      <c r="Q642" s="158" t="str">
        <v/>
      </c>
      <c r="R642" s="158" t="str">
        <v/>
      </c>
      <c r="S642" s="158" t="str">
        <v/>
      </c>
      <c r="T642" s="158" t="str">
        <v/>
      </c>
      <c r="U642" s="158" t="str">
        <v/>
      </c>
      <c r="V642" s="158" t="str">
        <v/>
      </c>
      <c r="W642" s="158" t="str">
        <v/>
      </c>
      <c r="X642" s="158" t="str">
        <v/>
      </c>
      <c r="Y642" s="158" t="str">
        <v/>
      </c>
      <c r="Z642" s="158" t="str">
        <v/>
      </c>
      <c r="AA642" s="158" t="e">
        <v>#VALUE!</v>
      </c>
      <c r="AB642" s="171" t="str">
        <v/>
      </c>
      <c r="AC642" s="158">
        <v>0</v>
      </c>
      <c r="AD642" s="173" t="str">
        <f ca="1">IFERROR(__xludf.DUMMYFUNCTION("""COMPUTED_VALUE"""),"")</f>
        <v/>
      </c>
      <c r="AE642" s="154" t="str">
        <v/>
      </c>
      <c r="AF642" s="154" t="str">
        <v/>
      </c>
    </row>
    <row r="643" spans="1:32" ht="15">
      <c r="A643" s="176"/>
      <c r="B643" s="145"/>
      <c r="C643" s="169"/>
      <c r="D643" s="145"/>
      <c r="E643" s="145"/>
      <c r="F643" s="169" t="e">
        <v>#VALUE!</v>
      </c>
      <c r="G643" s="145"/>
      <c r="H643" s="145"/>
      <c r="I643" s="145"/>
      <c r="J643" s="145"/>
      <c r="K643" s="145"/>
      <c r="L643" s="145"/>
      <c r="M643" s="145"/>
      <c r="N643" s="145"/>
      <c r="O643" s="174"/>
      <c r="P643" s="174"/>
      <c r="Q643" s="158" t="str">
        <v/>
      </c>
      <c r="R643" s="158" t="str">
        <v/>
      </c>
      <c r="S643" s="158" t="str">
        <v/>
      </c>
      <c r="T643" s="158" t="str">
        <v/>
      </c>
      <c r="U643" s="158" t="str">
        <v/>
      </c>
      <c r="V643" s="158" t="str">
        <v/>
      </c>
      <c r="W643" s="158" t="str">
        <v/>
      </c>
      <c r="X643" s="158" t="str">
        <v/>
      </c>
      <c r="Y643" s="158" t="str">
        <v/>
      </c>
      <c r="Z643" s="158" t="str">
        <v/>
      </c>
      <c r="AA643" s="158" t="e">
        <v>#VALUE!</v>
      </c>
      <c r="AB643" s="171" t="str">
        <v/>
      </c>
      <c r="AC643" s="158">
        <v>0</v>
      </c>
      <c r="AD643" s="173" t="str">
        <f ca="1">IFERROR(__xludf.DUMMYFUNCTION("""COMPUTED_VALUE"""),"")</f>
        <v/>
      </c>
      <c r="AE643" s="154" t="str">
        <v/>
      </c>
      <c r="AF643" s="154" t="str">
        <v/>
      </c>
    </row>
    <row r="644" spans="1:32" ht="15">
      <c r="A644" s="176"/>
      <c r="B644" s="145"/>
      <c r="C644" s="169"/>
      <c r="D644" s="145"/>
      <c r="E644" s="145"/>
      <c r="F644" s="169" t="e">
        <v>#VALUE!</v>
      </c>
      <c r="G644" s="145"/>
      <c r="H644" s="145"/>
      <c r="I644" s="145"/>
      <c r="J644" s="145"/>
      <c r="K644" s="145"/>
      <c r="L644" s="145"/>
      <c r="M644" s="145"/>
      <c r="N644" s="145"/>
      <c r="O644" s="174"/>
      <c r="P644" s="174"/>
      <c r="Q644" s="158" t="str">
        <v/>
      </c>
      <c r="R644" s="158" t="str">
        <v/>
      </c>
      <c r="S644" s="158" t="str">
        <v/>
      </c>
      <c r="T644" s="158" t="str">
        <v/>
      </c>
      <c r="U644" s="158" t="str">
        <v/>
      </c>
      <c r="V644" s="158" t="str">
        <v/>
      </c>
      <c r="W644" s="158" t="str">
        <v/>
      </c>
      <c r="X644" s="158" t="str">
        <v/>
      </c>
      <c r="Y644" s="158" t="str">
        <v/>
      </c>
      <c r="Z644" s="158" t="str">
        <v/>
      </c>
      <c r="AA644" s="158" t="e">
        <v>#VALUE!</v>
      </c>
      <c r="AB644" s="171" t="str">
        <v/>
      </c>
      <c r="AC644" s="158">
        <v>0</v>
      </c>
      <c r="AD644" s="173" t="str">
        <f ca="1">IFERROR(__xludf.DUMMYFUNCTION("""COMPUTED_VALUE"""),"")</f>
        <v/>
      </c>
      <c r="AE644" s="154" t="str">
        <v/>
      </c>
      <c r="AF644" s="154" t="str">
        <v/>
      </c>
    </row>
    <row r="645" spans="1:32" ht="15">
      <c r="A645" s="176"/>
      <c r="B645" s="145"/>
      <c r="C645" s="169"/>
      <c r="D645" s="145"/>
      <c r="E645" s="145"/>
      <c r="F645" s="169" t="e">
        <v>#VALUE!</v>
      </c>
      <c r="G645" s="145"/>
      <c r="H645" s="145"/>
      <c r="I645" s="145"/>
      <c r="J645" s="145"/>
      <c r="K645" s="145"/>
      <c r="L645" s="145"/>
      <c r="M645" s="145"/>
      <c r="N645" s="145"/>
      <c r="O645" s="174"/>
      <c r="P645" s="174"/>
      <c r="Q645" s="158" t="str">
        <v/>
      </c>
      <c r="R645" s="158" t="str">
        <v/>
      </c>
      <c r="S645" s="158" t="str">
        <v/>
      </c>
      <c r="T645" s="158" t="str">
        <v/>
      </c>
      <c r="U645" s="158" t="str">
        <v/>
      </c>
      <c r="V645" s="158" t="str">
        <v/>
      </c>
      <c r="W645" s="158" t="str">
        <v/>
      </c>
      <c r="X645" s="158" t="str">
        <v/>
      </c>
      <c r="Y645" s="158" t="str">
        <v/>
      </c>
      <c r="Z645" s="158" t="str">
        <v/>
      </c>
      <c r="AA645" s="158" t="e">
        <v>#VALUE!</v>
      </c>
      <c r="AB645" s="171" t="str">
        <v/>
      </c>
      <c r="AC645" s="158">
        <v>0</v>
      </c>
      <c r="AD645" s="173" t="str">
        <f ca="1">IFERROR(__xludf.DUMMYFUNCTION("""COMPUTED_VALUE"""),"")</f>
        <v/>
      </c>
      <c r="AE645" s="154" t="str">
        <v/>
      </c>
      <c r="AF645" s="154" t="str">
        <v/>
      </c>
    </row>
    <row r="646" spans="1:32" ht="15">
      <c r="A646" s="176"/>
      <c r="B646" s="145"/>
      <c r="C646" s="169"/>
      <c r="D646" s="145"/>
      <c r="E646" s="145"/>
      <c r="F646" s="169" t="e">
        <v>#VALUE!</v>
      </c>
      <c r="G646" s="145"/>
      <c r="H646" s="145"/>
      <c r="I646" s="145"/>
      <c r="J646" s="145"/>
      <c r="K646" s="145"/>
      <c r="L646" s="145"/>
      <c r="M646" s="145"/>
      <c r="N646" s="145"/>
      <c r="O646" s="174"/>
      <c r="P646" s="174"/>
      <c r="Q646" s="158" t="str">
        <v/>
      </c>
      <c r="R646" s="158" t="str">
        <v/>
      </c>
      <c r="S646" s="158" t="str">
        <v/>
      </c>
      <c r="T646" s="158" t="str">
        <v/>
      </c>
      <c r="U646" s="158" t="str">
        <v/>
      </c>
      <c r="V646" s="158" t="str">
        <v/>
      </c>
      <c r="W646" s="158" t="str">
        <v/>
      </c>
      <c r="X646" s="158" t="str">
        <v/>
      </c>
      <c r="Y646" s="158" t="str">
        <v/>
      </c>
      <c r="Z646" s="158" t="str">
        <v/>
      </c>
      <c r="AA646" s="158" t="e">
        <v>#VALUE!</v>
      </c>
      <c r="AB646" s="171" t="str">
        <v/>
      </c>
      <c r="AC646" s="158">
        <v>0</v>
      </c>
      <c r="AD646" s="173" t="str">
        <f ca="1">IFERROR(__xludf.DUMMYFUNCTION("""COMPUTED_VALUE"""),"")</f>
        <v/>
      </c>
      <c r="AE646" s="154" t="str">
        <v/>
      </c>
      <c r="AF646" s="154" t="str">
        <v/>
      </c>
    </row>
    <row r="647" spans="1:32" ht="15">
      <c r="A647" s="176"/>
      <c r="B647" s="145"/>
      <c r="C647" s="169"/>
      <c r="D647" s="145"/>
      <c r="E647" s="145"/>
      <c r="F647" s="169" t="e">
        <v>#VALUE!</v>
      </c>
      <c r="G647" s="145"/>
      <c r="H647" s="145"/>
      <c r="I647" s="145"/>
      <c r="J647" s="145"/>
      <c r="K647" s="145"/>
      <c r="L647" s="145"/>
      <c r="M647" s="145"/>
      <c r="N647" s="145"/>
      <c r="O647" s="174"/>
      <c r="P647" s="174"/>
      <c r="Q647" s="158" t="str">
        <v/>
      </c>
      <c r="R647" s="158" t="str">
        <v/>
      </c>
      <c r="S647" s="158" t="str">
        <v/>
      </c>
      <c r="T647" s="158" t="str">
        <v/>
      </c>
      <c r="U647" s="158" t="str">
        <v/>
      </c>
      <c r="V647" s="158" t="str">
        <v/>
      </c>
      <c r="W647" s="158" t="str">
        <v/>
      </c>
      <c r="X647" s="158" t="str">
        <v/>
      </c>
      <c r="Y647" s="158" t="str">
        <v/>
      </c>
      <c r="Z647" s="158" t="str">
        <v/>
      </c>
      <c r="AA647" s="158" t="e">
        <v>#VALUE!</v>
      </c>
      <c r="AB647" s="171" t="str">
        <v/>
      </c>
      <c r="AC647" s="158">
        <v>0</v>
      </c>
      <c r="AD647" s="173" t="str">
        <f ca="1">IFERROR(__xludf.DUMMYFUNCTION("""COMPUTED_VALUE"""),"")</f>
        <v/>
      </c>
      <c r="AE647" s="154" t="str">
        <v/>
      </c>
      <c r="AF647" s="154" t="str">
        <v/>
      </c>
    </row>
    <row r="648" spans="1:32" ht="15">
      <c r="A648" s="176"/>
      <c r="B648" s="145"/>
      <c r="C648" s="169"/>
      <c r="D648" s="145"/>
      <c r="E648" s="145"/>
      <c r="F648" s="169" t="e">
        <v>#VALUE!</v>
      </c>
      <c r="G648" s="145"/>
      <c r="H648" s="145"/>
      <c r="I648" s="145"/>
      <c r="J648" s="145"/>
      <c r="K648" s="145"/>
      <c r="L648" s="145"/>
      <c r="M648" s="145"/>
      <c r="N648" s="145"/>
      <c r="O648" s="174"/>
      <c r="P648" s="174"/>
      <c r="Q648" s="158" t="str">
        <v/>
      </c>
      <c r="R648" s="158" t="str">
        <v/>
      </c>
      <c r="S648" s="158" t="str">
        <v/>
      </c>
      <c r="T648" s="158" t="str">
        <v/>
      </c>
      <c r="U648" s="158" t="str">
        <v/>
      </c>
      <c r="V648" s="158" t="str">
        <v/>
      </c>
      <c r="W648" s="158" t="str">
        <v/>
      </c>
      <c r="X648" s="158" t="str">
        <v/>
      </c>
      <c r="Y648" s="158" t="str">
        <v/>
      </c>
      <c r="Z648" s="158" t="str">
        <v/>
      </c>
      <c r="AA648" s="158" t="e">
        <v>#VALUE!</v>
      </c>
      <c r="AB648" s="171" t="str">
        <v/>
      </c>
      <c r="AC648" s="158">
        <v>0</v>
      </c>
      <c r="AD648" s="173" t="str">
        <f ca="1">IFERROR(__xludf.DUMMYFUNCTION("""COMPUTED_VALUE"""),"")</f>
        <v/>
      </c>
      <c r="AE648" s="154" t="str">
        <v/>
      </c>
      <c r="AF648" s="154" t="str">
        <v/>
      </c>
    </row>
    <row r="649" spans="1:32" ht="15">
      <c r="A649" s="176"/>
      <c r="B649" s="145"/>
      <c r="C649" s="169"/>
      <c r="D649" s="145"/>
      <c r="E649" s="145"/>
      <c r="F649" s="169" t="e">
        <v>#VALUE!</v>
      </c>
      <c r="G649" s="145"/>
      <c r="H649" s="145"/>
      <c r="I649" s="145"/>
      <c r="J649" s="145"/>
      <c r="K649" s="145"/>
      <c r="L649" s="145"/>
      <c r="M649" s="145"/>
      <c r="N649" s="145"/>
      <c r="O649" s="174"/>
      <c r="P649" s="174"/>
      <c r="Q649" s="158" t="str">
        <v/>
      </c>
      <c r="R649" s="158" t="str">
        <v/>
      </c>
      <c r="S649" s="158" t="str">
        <v/>
      </c>
      <c r="T649" s="158" t="str">
        <v/>
      </c>
      <c r="U649" s="158" t="str">
        <v/>
      </c>
      <c r="V649" s="158" t="str">
        <v/>
      </c>
      <c r="W649" s="158" t="str">
        <v/>
      </c>
      <c r="X649" s="158" t="str">
        <v/>
      </c>
      <c r="Y649" s="158" t="str">
        <v/>
      </c>
      <c r="Z649" s="158" t="str">
        <v/>
      </c>
      <c r="AA649" s="158" t="e">
        <v>#VALUE!</v>
      </c>
      <c r="AB649" s="171" t="str">
        <v/>
      </c>
      <c r="AC649" s="158">
        <v>0</v>
      </c>
      <c r="AD649" s="173" t="str">
        <f ca="1">IFERROR(__xludf.DUMMYFUNCTION("""COMPUTED_VALUE"""),"")</f>
        <v/>
      </c>
      <c r="AE649" s="154" t="str">
        <v/>
      </c>
      <c r="AF649" s="154" t="str">
        <v/>
      </c>
    </row>
    <row r="650" spans="1:32" ht="15">
      <c r="A650" s="176"/>
      <c r="B650" s="145"/>
      <c r="C650" s="169"/>
      <c r="D650" s="145"/>
      <c r="E650" s="145"/>
      <c r="F650" s="169" t="e">
        <v>#VALUE!</v>
      </c>
      <c r="G650" s="145"/>
      <c r="H650" s="145"/>
      <c r="I650" s="145"/>
      <c r="J650" s="145"/>
      <c r="K650" s="145"/>
      <c r="L650" s="145"/>
      <c r="M650" s="145"/>
      <c r="N650" s="145"/>
      <c r="O650" s="174"/>
      <c r="P650" s="174"/>
      <c r="Q650" s="158" t="str">
        <v/>
      </c>
      <c r="R650" s="158" t="str">
        <v/>
      </c>
      <c r="S650" s="158" t="str">
        <v/>
      </c>
      <c r="T650" s="158" t="str">
        <v/>
      </c>
      <c r="U650" s="158" t="str">
        <v/>
      </c>
      <c r="V650" s="158" t="str">
        <v/>
      </c>
      <c r="W650" s="158" t="str">
        <v/>
      </c>
      <c r="X650" s="158" t="str">
        <v/>
      </c>
      <c r="Y650" s="158" t="str">
        <v/>
      </c>
      <c r="Z650" s="158" t="str">
        <v/>
      </c>
      <c r="AA650" s="158" t="e">
        <v>#VALUE!</v>
      </c>
      <c r="AB650" s="171" t="str">
        <v/>
      </c>
      <c r="AC650" s="158">
        <v>0</v>
      </c>
      <c r="AD650" s="173" t="str">
        <f ca="1">IFERROR(__xludf.DUMMYFUNCTION("""COMPUTED_VALUE"""),"")</f>
        <v/>
      </c>
      <c r="AE650" s="154" t="str">
        <v/>
      </c>
      <c r="AF650" s="154" t="str">
        <v/>
      </c>
    </row>
    <row r="651" spans="1:32" ht="15">
      <c r="A651" s="176"/>
      <c r="B651" s="145"/>
      <c r="C651" s="169"/>
      <c r="D651" s="145"/>
      <c r="E651" s="145"/>
      <c r="F651" s="169" t="e">
        <v>#VALUE!</v>
      </c>
      <c r="G651" s="145"/>
      <c r="H651" s="145"/>
      <c r="I651" s="145"/>
      <c r="J651" s="145"/>
      <c r="K651" s="145"/>
      <c r="L651" s="145"/>
      <c r="M651" s="145"/>
      <c r="N651" s="145"/>
      <c r="O651" s="174"/>
      <c r="P651" s="174"/>
      <c r="Q651" s="158" t="str">
        <v/>
      </c>
      <c r="R651" s="158" t="str">
        <v/>
      </c>
      <c r="S651" s="158" t="str">
        <v/>
      </c>
      <c r="T651" s="158" t="str">
        <v/>
      </c>
      <c r="U651" s="158" t="str">
        <v/>
      </c>
      <c r="V651" s="158" t="str">
        <v/>
      </c>
      <c r="W651" s="158" t="str">
        <v/>
      </c>
      <c r="X651" s="158" t="str">
        <v/>
      </c>
      <c r="Y651" s="158" t="str">
        <v/>
      </c>
      <c r="Z651" s="158" t="str">
        <v/>
      </c>
      <c r="AA651" s="158" t="e">
        <v>#VALUE!</v>
      </c>
      <c r="AB651" s="171" t="str">
        <v/>
      </c>
      <c r="AC651" s="158">
        <v>0</v>
      </c>
      <c r="AD651" s="173" t="str">
        <f ca="1">IFERROR(__xludf.DUMMYFUNCTION("""COMPUTED_VALUE"""),"")</f>
        <v/>
      </c>
      <c r="AE651" s="154" t="str">
        <v/>
      </c>
      <c r="AF651" s="154" t="str">
        <v/>
      </c>
    </row>
    <row r="652" spans="1:32" ht="15">
      <c r="A652" s="176"/>
      <c r="B652" s="145"/>
      <c r="C652" s="169"/>
      <c r="D652" s="145"/>
      <c r="E652" s="145"/>
      <c r="F652" s="169" t="e">
        <v>#VALUE!</v>
      </c>
      <c r="G652" s="145"/>
      <c r="H652" s="145"/>
      <c r="I652" s="145"/>
      <c r="J652" s="145"/>
      <c r="K652" s="145"/>
      <c r="L652" s="145"/>
      <c r="M652" s="145"/>
      <c r="N652" s="145"/>
      <c r="O652" s="174"/>
      <c r="P652" s="174"/>
      <c r="Q652" s="158" t="str">
        <v/>
      </c>
      <c r="R652" s="158" t="str">
        <v/>
      </c>
      <c r="S652" s="158" t="str">
        <v/>
      </c>
      <c r="T652" s="158" t="str">
        <v/>
      </c>
      <c r="U652" s="158" t="str">
        <v/>
      </c>
      <c r="V652" s="158" t="str">
        <v/>
      </c>
      <c r="W652" s="158" t="str">
        <v/>
      </c>
      <c r="X652" s="158" t="str">
        <v/>
      </c>
      <c r="Y652" s="158" t="str">
        <v/>
      </c>
      <c r="Z652" s="158" t="str">
        <v/>
      </c>
      <c r="AA652" s="158" t="e">
        <v>#VALUE!</v>
      </c>
      <c r="AB652" s="171" t="str">
        <v/>
      </c>
      <c r="AC652" s="158">
        <v>0</v>
      </c>
      <c r="AD652" s="173" t="str">
        <f ca="1">IFERROR(__xludf.DUMMYFUNCTION("""COMPUTED_VALUE"""),"")</f>
        <v/>
      </c>
      <c r="AE652" s="154" t="str">
        <v/>
      </c>
      <c r="AF652" s="154" t="str">
        <v/>
      </c>
    </row>
    <row r="653" spans="1:32" ht="15">
      <c r="A653" s="176"/>
      <c r="B653" s="145"/>
      <c r="C653" s="169"/>
      <c r="D653" s="145"/>
      <c r="E653" s="145"/>
      <c r="F653" s="169" t="e">
        <v>#VALUE!</v>
      </c>
      <c r="G653" s="145"/>
      <c r="H653" s="145"/>
      <c r="I653" s="145"/>
      <c r="J653" s="145"/>
      <c r="K653" s="145"/>
      <c r="L653" s="145"/>
      <c r="M653" s="145"/>
      <c r="N653" s="145"/>
      <c r="O653" s="174"/>
      <c r="P653" s="174"/>
      <c r="Q653" s="158" t="str">
        <v/>
      </c>
      <c r="R653" s="158" t="str">
        <v/>
      </c>
      <c r="S653" s="158" t="str">
        <v/>
      </c>
      <c r="T653" s="158" t="str">
        <v/>
      </c>
      <c r="U653" s="158" t="str">
        <v/>
      </c>
      <c r="V653" s="158" t="str">
        <v/>
      </c>
      <c r="W653" s="158" t="str">
        <v/>
      </c>
      <c r="X653" s="158" t="str">
        <v/>
      </c>
      <c r="Y653" s="158" t="str">
        <v/>
      </c>
      <c r="Z653" s="158" t="str">
        <v/>
      </c>
      <c r="AA653" s="158" t="e">
        <v>#VALUE!</v>
      </c>
      <c r="AB653" s="171" t="str">
        <v/>
      </c>
      <c r="AC653" s="158">
        <v>0</v>
      </c>
      <c r="AD653" s="173" t="str">
        <f ca="1">IFERROR(__xludf.DUMMYFUNCTION("""COMPUTED_VALUE"""),"")</f>
        <v/>
      </c>
      <c r="AE653" s="154" t="str">
        <v/>
      </c>
      <c r="AF653" s="154" t="str">
        <v/>
      </c>
    </row>
    <row r="654" spans="1:32" ht="15">
      <c r="A654" s="176"/>
      <c r="B654" s="145"/>
      <c r="C654" s="169"/>
      <c r="D654" s="145"/>
      <c r="E654" s="145"/>
      <c r="F654" s="169" t="e">
        <v>#VALUE!</v>
      </c>
      <c r="G654" s="145"/>
      <c r="H654" s="145"/>
      <c r="I654" s="145"/>
      <c r="J654" s="145"/>
      <c r="K654" s="145"/>
      <c r="L654" s="145"/>
      <c r="M654" s="145"/>
      <c r="N654" s="145"/>
      <c r="O654" s="174"/>
      <c r="P654" s="174"/>
      <c r="Q654" s="158" t="str">
        <v/>
      </c>
      <c r="R654" s="158" t="str">
        <v/>
      </c>
      <c r="S654" s="158" t="str">
        <v/>
      </c>
      <c r="T654" s="158" t="str">
        <v/>
      </c>
      <c r="U654" s="158" t="str">
        <v/>
      </c>
      <c r="V654" s="158" t="str">
        <v/>
      </c>
      <c r="W654" s="158" t="str">
        <v/>
      </c>
      <c r="X654" s="158" t="str">
        <v/>
      </c>
      <c r="Y654" s="158" t="str">
        <v/>
      </c>
      <c r="Z654" s="158" t="str">
        <v/>
      </c>
      <c r="AA654" s="158" t="e">
        <v>#VALUE!</v>
      </c>
      <c r="AB654" s="171" t="str">
        <v/>
      </c>
      <c r="AC654" s="158">
        <v>0</v>
      </c>
      <c r="AD654" s="173" t="str">
        <f ca="1">IFERROR(__xludf.DUMMYFUNCTION("""COMPUTED_VALUE"""),"")</f>
        <v/>
      </c>
      <c r="AE654" s="154" t="str">
        <v/>
      </c>
      <c r="AF654" s="154" t="str">
        <v/>
      </c>
    </row>
    <row r="655" spans="1:32" ht="15">
      <c r="A655" s="176"/>
      <c r="B655" s="145"/>
      <c r="C655" s="169"/>
      <c r="D655" s="145"/>
      <c r="E655" s="145"/>
      <c r="F655" s="169" t="e">
        <v>#VALUE!</v>
      </c>
      <c r="G655" s="145"/>
      <c r="H655" s="145"/>
      <c r="I655" s="145"/>
      <c r="J655" s="145"/>
      <c r="K655" s="145"/>
      <c r="L655" s="145"/>
      <c r="M655" s="145"/>
      <c r="N655" s="145"/>
      <c r="O655" s="174"/>
      <c r="P655" s="174"/>
      <c r="Q655" s="158" t="str">
        <v/>
      </c>
      <c r="R655" s="158" t="str">
        <v/>
      </c>
      <c r="S655" s="158" t="str">
        <v/>
      </c>
      <c r="T655" s="158" t="str">
        <v/>
      </c>
      <c r="U655" s="158" t="str">
        <v/>
      </c>
      <c r="V655" s="158" t="str">
        <v/>
      </c>
      <c r="W655" s="158" t="str">
        <v/>
      </c>
      <c r="X655" s="158" t="str">
        <v/>
      </c>
      <c r="Y655" s="158" t="str">
        <v/>
      </c>
      <c r="Z655" s="158" t="str">
        <v/>
      </c>
      <c r="AA655" s="158" t="e">
        <v>#VALUE!</v>
      </c>
      <c r="AB655" s="171" t="str">
        <v/>
      </c>
      <c r="AC655" s="158">
        <v>0</v>
      </c>
      <c r="AD655" s="173" t="str">
        <f ca="1">IFERROR(__xludf.DUMMYFUNCTION("""COMPUTED_VALUE"""),"")</f>
        <v/>
      </c>
      <c r="AE655" s="154" t="str">
        <v/>
      </c>
      <c r="AF655" s="154" t="str">
        <v/>
      </c>
    </row>
    <row r="656" spans="1:32" ht="15">
      <c r="A656" s="176"/>
      <c r="B656" s="145"/>
      <c r="C656" s="169"/>
      <c r="D656" s="145"/>
      <c r="E656" s="145"/>
      <c r="F656" s="169" t="e">
        <v>#VALUE!</v>
      </c>
      <c r="G656" s="145"/>
      <c r="H656" s="145"/>
      <c r="I656" s="145"/>
      <c r="J656" s="145"/>
      <c r="K656" s="145"/>
      <c r="L656" s="145"/>
      <c r="M656" s="145"/>
      <c r="N656" s="145"/>
      <c r="O656" s="174"/>
      <c r="P656" s="174"/>
      <c r="Q656" s="158" t="str">
        <v/>
      </c>
      <c r="R656" s="158" t="str">
        <v/>
      </c>
      <c r="S656" s="158" t="str">
        <v/>
      </c>
      <c r="T656" s="158" t="str">
        <v/>
      </c>
      <c r="U656" s="158" t="str">
        <v/>
      </c>
      <c r="V656" s="158" t="str">
        <v/>
      </c>
      <c r="W656" s="158" t="str">
        <v/>
      </c>
      <c r="X656" s="158" t="str">
        <v/>
      </c>
      <c r="Y656" s="158" t="str">
        <v/>
      </c>
      <c r="Z656" s="158" t="str">
        <v/>
      </c>
      <c r="AA656" s="158" t="e">
        <v>#VALUE!</v>
      </c>
      <c r="AB656" s="171" t="str">
        <v/>
      </c>
      <c r="AC656" s="158">
        <v>0</v>
      </c>
      <c r="AD656" s="173" t="str">
        <f ca="1">IFERROR(__xludf.DUMMYFUNCTION("""COMPUTED_VALUE"""),"")</f>
        <v/>
      </c>
      <c r="AE656" s="154" t="str">
        <v/>
      </c>
      <c r="AF656" s="154" t="str">
        <v/>
      </c>
    </row>
    <row r="657" spans="1:32" ht="15">
      <c r="A657" s="176"/>
      <c r="B657" s="145"/>
      <c r="C657" s="169"/>
      <c r="D657" s="145"/>
      <c r="E657" s="145"/>
      <c r="F657" s="169" t="e">
        <v>#VALUE!</v>
      </c>
      <c r="G657" s="145"/>
      <c r="H657" s="145"/>
      <c r="I657" s="145"/>
      <c r="J657" s="145"/>
      <c r="K657" s="145"/>
      <c r="L657" s="145"/>
      <c r="M657" s="145"/>
      <c r="N657" s="145"/>
      <c r="O657" s="174"/>
      <c r="P657" s="174"/>
      <c r="Q657" s="158" t="str">
        <v/>
      </c>
      <c r="R657" s="158" t="str">
        <v/>
      </c>
      <c r="S657" s="158" t="str">
        <v/>
      </c>
      <c r="T657" s="158" t="str">
        <v/>
      </c>
      <c r="U657" s="158" t="str">
        <v/>
      </c>
      <c r="V657" s="158" t="str">
        <v/>
      </c>
      <c r="W657" s="158" t="str">
        <v/>
      </c>
      <c r="X657" s="158" t="str">
        <v/>
      </c>
      <c r="Y657" s="158" t="str">
        <v/>
      </c>
      <c r="Z657" s="158" t="str">
        <v/>
      </c>
      <c r="AA657" s="158" t="e">
        <v>#VALUE!</v>
      </c>
      <c r="AB657" s="171" t="str">
        <v/>
      </c>
      <c r="AC657" s="158">
        <v>0</v>
      </c>
      <c r="AD657" s="173" t="str">
        <f ca="1">IFERROR(__xludf.DUMMYFUNCTION("""COMPUTED_VALUE"""),"")</f>
        <v/>
      </c>
      <c r="AE657" s="154" t="str">
        <v/>
      </c>
      <c r="AF657" s="154" t="str">
        <v/>
      </c>
    </row>
    <row r="658" spans="1:32" ht="15">
      <c r="A658" s="176"/>
      <c r="B658" s="145"/>
      <c r="C658" s="169"/>
      <c r="D658" s="145"/>
      <c r="E658" s="145"/>
      <c r="F658" s="169" t="e">
        <v>#VALUE!</v>
      </c>
      <c r="G658" s="145"/>
      <c r="H658" s="145"/>
      <c r="I658" s="145"/>
      <c r="J658" s="145"/>
      <c r="K658" s="145"/>
      <c r="L658" s="145"/>
      <c r="M658" s="145"/>
      <c r="N658" s="145"/>
      <c r="O658" s="174"/>
      <c r="P658" s="174"/>
      <c r="Q658" s="158" t="str">
        <v/>
      </c>
      <c r="R658" s="158" t="str">
        <v/>
      </c>
      <c r="S658" s="158" t="str">
        <v/>
      </c>
      <c r="T658" s="158" t="str">
        <v/>
      </c>
      <c r="U658" s="158" t="str">
        <v/>
      </c>
      <c r="V658" s="158" t="str">
        <v/>
      </c>
      <c r="W658" s="158" t="str">
        <v/>
      </c>
      <c r="X658" s="158" t="str">
        <v/>
      </c>
      <c r="Y658" s="158" t="str">
        <v/>
      </c>
      <c r="Z658" s="158" t="str">
        <v/>
      </c>
      <c r="AA658" s="158" t="e">
        <v>#VALUE!</v>
      </c>
      <c r="AB658" s="171" t="str">
        <v/>
      </c>
      <c r="AC658" s="158">
        <v>0</v>
      </c>
      <c r="AD658" s="173" t="str">
        <f ca="1">IFERROR(__xludf.DUMMYFUNCTION("""COMPUTED_VALUE"""),"")</f>
        <v/>
      </c>
      <c r="AE658" s="154" t="str">
        <v/>
      </c>
      <c r="AF658" s="154" t="str">
        <v/>
      </c>
    </row>
    <row r="659" spans="1:32" ht="15">
      <c r="A659" s="176"/>
      <c r="B659" s="145"/>
      <c r="C659" s="169"/>
      <c r="D659" s="145"/>
      <c r="E659" s="145"/>
      <c r="F659" s="169" t="e">
        <v>#VALUE!</v>
      </c>
      <c r="G659" s="145"/>
      <c r="H659" s="145"/>
      <c r="I659" s="145"/>
      <c r="J659" s="145"/>
      <c r="K659" s="145"/>
      <c r="L659" s="145"/>
      <c r="M659" s="145"/>
      <c r="N659" s="145"/>
      <c r="O659" s="174"/>
      <c r="P659" s="174"/>
      <c r="Q659" s="158" t="str">
        <v/>
      </c>
      <c r="R659" s="158" t="str">
        <v/>
      </c>
      <c r="S659" s="158" t="str">
        <v/>
      </c>
      <c r="T659" s="158" t="str">
        <v/>
      </c>
      <c r="U659" s="158" t="str">
        <v/>
      </c>
      <c r="V659" s="158" t="str">
        <v/>
      </c>
      <c r="W659" s="158" t="str">
        <v/>
      </c>
      <c r="X659" s="158" t="str">
        <v/>
      </c>
      <c r="Y659" s="158" t="str">
        <v/>
      </c>
      <c r="Z659" s="158" t="str">
        <v/>
      </c>
      <c r="AA659" s="158" t="e">
        <v>#VALUE!</v>
      </c>
      <c r="AB659" s="171" t="str">
        <v/>
      </c>
      <c r="AC659" s="158">
        <v>0</v>
      </c>
      <c r="AD659" s="173" t="str">
        <f ca="1">IFERROR(__xludf.DUMMYFUNCTION("""COMPUTED_VALUE"""),"")</f>
        <v/>
      </c>
      <c r="AE659" s="154" t="str">
        <v/>
      </c>
      <c r="AF659" s="154" t="str">
        <v/>
      </c>
    </row>
    <row r="660" spans="1:32" ht="15">
      <c r="A660" s="176"/>
      <c r="B660" s="145"/>
      <c r="C660" s="169"/>
      <c r="D660" s="145"/>
      <c r="E660" s="145"/>
      <c r="F660" s="169" t="e">
        <v>#VALUE!</v>
      </c>
      <c r="G660" s="145"/>
      <c r="H660" s="145"/>
      <c r="I660" s="145"/>
      <c r="J660" s="145"/>
      <c r="K660" s="145"/>
      <c r="L660" s="145"/>
      <c r="M660" s="145"/>
      <c r="N660" s="145"/>
      <c r="O660" s="174"/>
      <c r="P660" s="174"/>
      <c r="Q660" s="158" t="str">
        <v/>
      </c>
      <c r="R660" s="158" t="str">
        <v/>
      </c>
      <c r="S660" s="158" t="str">
        <v/>
      </c>
      <c r="T660" s="158" t="str">
        <v/>
      </c>
      <c r="U660" s="158" t="str">
        <v/>
      </c>
      <c r="V660" s="158" t="str">
        <v/>
      </c>
      <c r="W660" s="158" t="str">
        <v/>
      </c>
      <c r="X660" s="158" t="str">
        <v/>
      </c>
      <c r="Y660" s="158" t="str">
        <v/>
      </c>
      <c r="Z660" s="158" t="str">
        <v/>
      </c>
      <c r="AA660" s="158" t="e">
        <v>#VALUE!</v>
      </c>
      <c r="AB660" s="171" t="str">
        <v/>
      </c>
      <c r="AC660" s="158">
        <v>0</v>
      </c>
      <c r="AD660" s="173" t="str">
        <f ca="1">IFERROR(__xludf.DUMMYFUNCTION("""COMPUTED_VALUE"""),"")</f>
        <v/>
      </c>
      <c r="AE660" s="154" t="str">
        <v/>
      </c>
      <c r="AF660" s="154" t="str">
        <v/>
      </c>
    </row>
    <row r="661" spans="1:32" ht="15">
      <c r="A661" s="176"/>
      <c r="B661" s="145"/>
      <c r="C661" s="169"/>
      <c r="D661" s="145"/>
      <c r="E661" s="145"/>
      <c r="F661" s="169" t="e">
        <v>#VALUE!</v>
      </c>
      <c r="G661" s="145"/>
      <c r="H661" s="145"/>
      <c r="I661" s="145"/>
      <c r="J661" s="145"/>
      <c r="K661" s="145"/>
      <c r="L661" s="145"/>
      <c r="M661" s="145"/>
      <c r="N661" s="145"/>
      <c r="O661" s="174"/>
      <c r="P661" s="174"/>
      <c r="Q661" s="158" t="str">
        <v/>
      </c>
      <c r="R661" s="158" t="str">
        <v/>
      </c>
      <c r="S661" s="158" t="str">
        <v/>
      </c>
      <c r="T661" s="158" t="str">
        <v/>
      </c>
      <c r="U661" s="158" t="str">
        <v/>
      </c>
      <c r="V661" s="158" t="str">
        <v/>
      </c>
      <c r="W661" s="158" t="str">
        <v/>
      </c>
      <c r="X661" s="158" t="str">
        <v/>
      </c>
      <c r="Y661" s="158" t="str">
        <v/>
      </c>
      <c r="Z661" s="158" t="str">
        <v/>
      </c>
      <c r="AA661" s="158" t="e">
        <v>#VALUE!</v>
      </c>
      <c r="AB661" s="171" t="str">
        <v/>
      </c>
      <c r="AC661" s="158">
        <v>0</v>
      </c>
      <c r="AD661" s="173" t="str">
        <f ca="1">IFERROR(__xludf.DUMMYFUNCTION("""COMPUTED_VALUE"""),"")</f>
        <v/>
      </c>
      <c r="AE661" s="154" t="str">
        <v/>
      </c>
      <c r="AF661" s="154" t="str">
        <v/>
      </c>
    </row>
    <row r="662" spans="1:32" ht="15">
      <c r="A662" s="176"/>
      <c r="B662" s="145"/>
      <c r="C662" s="169"/>
      <c r="D662" s="145"/>
      <c r="E662" s="145"/>
      <c r="F662" s="169" t="e">
        <v>#VALUE!</v>
      </c>
      <c r="G662" s="145"/>
      <c r="H662" s="145"/>
      <c r="I662" s="145"/>
      <c r="J662" s="145"/>
      <c r="K662" s="145"/>
      <c r="L662" s="145"/>
      <c r="M662" s="145"/>
      <c r="N662" s="145"/>
      <c r="O662" s="174"/>
      <c r="P662" s="174"/>
      <c r="Q662" s="158" t="str">
        <v/>
      </c>
      <c r="R662" s="158" t="str">
        <v/>
      </c>
      <c r="S662" s="158" t="str">
        <v/>
      </c>
      <c r="T662" s="158" t="str">
        <v/>
      </c>
      <c r="U662" s="158" t="str">
        <v/>
      </c>
      <c r="V662" s="158" t="str">
        <v/>
      </c>
      <c r="W662" s="158" t="str">
        <v/>
      </c>
      <c r="X662" s="158" t="str">
        <v/>
      </c>
      <c r="Y662" s="158" t="str">
        <v/>
      </c>
      <c r="Z662" s="158" t="str">
        <v/>
      </c>
      <c r="AA662" s="158" t="e">
        <v>#VALUE!</v>
      </c>
      <c r="AB662" s="171" t="str">
        <v/>
      </c>
      <c r="AC662" s="158">
        <v>0</v>
      </c>
      <c r="AD662" s="173" t="str">
        <f ca="1">IFERROR(__xludf.DUMMYFUNCTION("""COMPUTED_VALUE"""),"")</f>
        <v/>
      </c>
      <c r="AE662" s="154" t="str">
        <v/>
      </c>
      <c r="AF662" s="154" t="str">
        <v/>
      </c>
    </row>
    <row r="663" spans="1:32" ht="15">
      <c r="A663" s="176"/>
      <c r="B663" s="145"/>
      <c r="C663" s="169"/>
      <c r="D663" s="145"/>
      <c r="E663" s="145"/>
      <c r="F663" s="169" t="e">
        <v>#VALUE!</v>
      </c>
      <c r="G663" s="145"/>
      <c r="H663" s="145"/>
      <c r="I663" s="145"/>
      <c r="J663" s="145"/>
      <c r="K663" s="145"/>
      <c r="L663" s="145"/>
      <c r="M663" s="145"/>
      <c r="N663" s="145"/>
      <c r="O663" s="174"/>
      <c r="P663" s="174"/>
      <c r="Q663" s="158" t="str">
        <v/>
      </c>
      <c r="R663" s="158" t="str">
        <v/>
      </c>
      <c r="S663" s="158" t="str">
        <v/>
      </c>
      <c r="T663" s="158" t="str">
        <v/>
      </c>
      <c r="U663" s="158" t="str">
        <v/>
      </c>
      <c r="V663" s="158" t="str">
        <v/>
      </c>
      <c r="W663" s="158" t="str">
        <v/>
      </c>
      <c r="X663" s="158" t="str">
        <v/>
      </c>
      <c r="Y663" s="158" t="str">
        <v/>
      </c>
      <c r="Z663" s="158" t="str">
        <v/>
      </c>
      <c r="AA663" s="158" t="e">
        <v>#VALUE!</v>
      </c>
      <c r="AB663" s="171" t="str">
        <v/>
      </c>
      <c r="AC663" s="158">
        <v>0</v>
      </c>
      <c r="AD663" s="173" t="str">
        <f ca="1">IFERROR(__xludf.DUMMYFUNCTION("""COMPUTED_VALUE"""),"")</f>
        <v/>
      </c>
      <c r="AE663" s="154" t="str">
        <v/>
      </c>
      <c r="AF663" s="154" t="str">
        <v/>
      </c>
    </row>
    <row r="664" spans="1:32" ht="15">
      <c r="A664" s="176"/>
      <c r="B664" s="145"/>
      <c r="C664" s="169"/>
      <c r="D664" s="145"/>
      <c r="E664" s="145"/>
      <c r="F664" s="169" t="e">
        <v>#VALUE!</v>
      </c>
      <c r="G664" s="145"/>
      <c r="H664" s="145"/>
      <c r="I664" s="145"/>
      <c r="J664" s="145"/>
      <c r="K664" s="145"/>
      <c r="L664" s="145"/>
      <c r="M664" s="145"/>
      <c r="N664" s="145"/>
      <c r="O664" s="174"/>
      <c r="P664" s="174"/>
      <c r="Q664" s="158" t="str">
        <v/>
      </c>
      <c r="R664" s="158" t="str">
        <v/>
      </c>
      <c r="S664" s="158" t="str">
        <v/>
      </c>
      <c r="T664" s="158" t="str">
        <v/>
      </c>
      <c r="U664" s="158" t="str">
        <v/>
      </c>
      <c r="V664" s="158" t="str">
        <v/>
      </c>
      <c r="W664" s="158" t="str">
        <v/>
      </c>
      <c r="X664" s="158" t="str">
        <v/>
      </c>
      <c r="Y664" s="158" t="str">
        <v/>
      </c>
      <c r="Z664" s="158" t="str">
        <v/>
      </c>
      <c r="AA664" s="158" t="e">
        <v>#VALUE!</v>
      </c>
      <c r="AB664" s="171" t="str">
        <v/>
      </c>
      <c r="AC664" s="158">
        <v>0</v>
      </c>
      <c r="AD664" s="173" t="str">
        <f ca="1">IFERROR(__xludf.DUMMYFUNCTION("""COMPUTED_VALUE"""),"")</f>
        <v/>
      </c>
      <c r="AE664" s="154" t="str">
        <v/>
      </c>
      <c r="AF664" s="154" t="str">
        <v/>
      </c>
    </row>
    <row r="665" spans="1:32" ht="15">
      <c r="A665" s="176"/>
      <c r="B665" s="145"/>
      <c r="C665" s="169"/>
      <c r="D665" s="145"/>
      <c r="E665" s="145"/>
      <c r="F665" s="169" t="e">
        <v>#VALUE!</v>
      </c>
      <c r="G665" s="145"/>
      <c r="H665" s="145"/>
      <c r="I665" s="145"/>
      <c r="J665" s="145"/>
      <c r="K665" s="145"/>
      <c r="L665" s="145"/>
      <c r="M665" s="145"/>
      <c r="N665" s="145"/>
      <c r="O665" s="174"/>
      <c r="P665" s="174"/>
      <c r="Q665" s="158" t="str">
        <v/>
      </c>
      <c r="R665" s="158" t="str">
        <v/>
      </c>
      <c r="S665" s="158" t="str">
        <v/>
      </c>
      <c r="T665" s="158" t="str">
        <v/>
      </c>
      <c r="U665" s="158" t="str">
        <v/>
      </c>
      <c r="V665" s="158" t="str">
        <v/>
      </c>
      <c r="W665" s="158" t="str">
        <v/>
      </c>
      <c r="X665" s="158" t="str">
        <v/>
      </c>
      <c r="Y665" s="158" t="str">
        <v/>
      </c>
      <c r="Z665" s="158" t="str">
        <v/>
      </c>
      <c r="AA665" s="158" t="e">
        <v>#VALUE!</v>
      </c>
      <c r="AB665" s="171" t="str">
        <v/>
      </c>
      <c r="AC665" s="158">
        <v>0</v>
      </c>
      <c r="AD665" s="173" t="str">
        <f ca="1">IFERROR(__xludf.DUMMYFUNCTION("""COMPUTED_VALUE"""),"")</f>
        <v/>
      </c>
      <c r="AE665" s="154" t="str">
        <v/>
      </c>
      <c r="AF665" s="154" t="str">
        <v/>
      </c>
    </row>
    <row r="666" spans="1:32" ht="15">
      <c r="A666" s="176"/>
      <c r="B666" s="145"/>
      <c r="C666" s="169"/>
      <c r="D666" s="145"/>
      <c r="E666" s="145"/>
      <c r="F666" s="169" t="e">
        <v>#VALUE!</v>
      </c>
      <c r="G666" s="145"/>
      <c r="H666" s="145"/>
      <c r="I666" s="145"/>
      <c r="J666" s="145"/>
      <c r="K666" s="145"/>
      <c r="L666" s="145"/>
      <c r="M666" s="145"/>
      <c r="N666" s="145"/>
      <c r="O666" s="174"/>
      <c r="P666" s="174"/>
      <c r="Q666" s="158" t="str">
        <v/>
      </c>
      <c r="R666" s="158" t="str">
        <v/>
      </c>
      <c r="S666" s="158" t="str">
        <v/>
      </c>
      <c r="T666" s="158" t="str">
        <v/>
      </c>
      <c r="U666" s="158" t="str">
        <v/>
      </c>
      <c r="V666" s="158" t="str">
        <v/>
      </c>
      <c r="W666" s="158" t="str">
        <v/>
      </c>
      <c r="X666" s="158" t="str">
        <v/>
      </c>
      <c r="Y666" s="158" t="str">
        <v/>
      </c>
      <c r="Z666" s="158" t="str">
        <v/>
      </c>
      <c r="AA666" s="158" t="e">
        <v>#VALUE!</v>
      </c>
      <c r="AB666" s="171" t="str">
        <v/>
      </c>
      <c r="AC666" s="158">
        <v>0</v>
      </c>
      <c r="AD666" s="173" t="str">
        <f ca="1">IFERROR(__xludf.DUMMYFUNCTION("""COMPUTED_VALUE"""),"")</f>
        <v/>
      </c>
      <c r="AE666" s="154" t="str">
        <v/>
      </c>
      <c r="AF666" s="154" t="str">
        <v/>
      </c>
    </row>
    <row r="667" spans="1:32" ht="15">
      <c r="A667" s="176"/>
      <c r="B667" s="145"/>
      <c r="C667" s="169"/>
      <c r="D667" s="145"/>
      <c r="E667" s="145"/>
      <c r="F667" s="169" t="e">
        <v>#VALUE!</v>
      </c>
      <c r="G667" s="145"/>
      <c r="H667" s="145"/>
      <c r="I667" s="145"/>
      <c r="J667" s="145"/>
      <c r="K667" s="145"/>
      <c r="L667" s="145"/>
      <c r="M667" s="145"/>
      <c r="N667" s="145"/>
      <c r="O667" s="174"/>
      <c r="P667" s="174"/>
      <c r="Q667" s="158" t="str">
        <v/>
      </c>
      <c r="R667" s="158" t="str">
        <v/>
      </c>
      <c r="S667" s="158" t="str">
        <v/>
      </c>
      <c r="T667" s="158" t="str">
        <v/>
      </c>
      <c r="U667" s="158" t="str">
        <v/>
      </c>
      <c r="V667" s="158" t="str">
        <v/>
      </c>
      <c r="W667" s="158" t="str">
        <v/>
      </c>
      <c r="X667" s="158" t="str">
        <v/>
      </c>
      <c r="Y667" s="158" t="str">
        <v/>
      </c>
      <c r="Z667" s="158" t="str">
        <v/>
      </c>
      <c r="AA667" s="158" t="e">
        <v>#VALUE!</v>
      </c>
      <c r="AB667" s="171" t="str">
        <v/>
      </c>
      <c r="AC667" s="158">
        <v>0</v>
      </c>
      <c r="AD667" s="173" t="str">
        <f ca="1">IFERROR(__xludf.DUMMYFUNCTION("""COMPUTED_VALUE"""),"")</f>
        <v/>
      </c>
      <c r="AE667" s="154" t="str">
        <v/>
      </c>
      <c r="AF667" s="154" t="str">
        <v/>
      </c>
    </row>
    <row r="668" spans="1:32" ht="15">
      <c r="A668" s="176"/>
      <c r="B668" s="145"/>
      <c r="C668" s="169"/>
      <c r="D668" s="145"/>
      <c r="E668" s="145"/>
      <c r="F668" s="169" t="e">
        <v>#VALUE!</v>
      </c>
      <c r="G668" s="145"/>
      <c r="H668" s="145"/>
      <c r="I668" s="145"/>
      <c r="J668" s="145"/>
      <c r="K668" s="145"/>
      <c r="L668" s="145"/>
      <c r="M668" s="145"/>
      <c r="N668" s="145"/>
      <c r="O668" s="174"/>
      <c r="P668" s="174"/>
      <c r="Q668" s="158" t="str">
        <v/>
      </c>
      <c r="R668" s="158" t="str">
        <v/>
      </c>
      <c r="S668" s="158" t="str">
        <v/>
      </c>
      <c r="T668" s="158" t="str">
        <v/>
      </c>
      <c r="U668" s="158" t="str">
        <v/>
      </c>
      <c r="V668" s="158" t="str">
        <v/>
      </c>
      <c r="W668" s="158" t="str">
        <v/>
      </c>
      <c r="X668" s="158" t="str">
        <v/>
      </c>
      <c r="Y668" s="158" t="str">
        <v/>
      </c>
      <c r="Z668" s="158" t="str">
        <v/>
      </c>
      <c r="AA668" s="158" t="e">
        <v>#VALUE!</v>
      </c>
      <c r="AB668" s="171" t="str">
        <v/>
      </c>
      <c r="AC668" s="158">
        <v>0</v>
      </c>
      <c r="AD668" s="173" t="str">
        <f ca="1">IFERROR(__xludf.DUMMYFUNCTION("""COMPUTED_VALUE"""),"")</f>
        <v/>
      </c>
      <c r="AE668" s="154" t="str">
        <v/>
      </c>
      <c r="AF668" s="154" t="str">
        <v/>
      </c>
    </row>
    <row r="669" spans="1:32" ht="15">
      <c r="A669" s="176"/>
      <c r="B669" s="145"/>
      <c r="C669" s="169"/>
      <c r="D669" s="145"/>
      <c r="E669" s="145"/>
      <c r="F669" s="169" t="e">
        <v>#VALUE!</v>
      </c>
      <c r="G669" s="145"/>
      <c r="H669" s="145"/>
      <c r="I669" s="145"/>
      <c r="J669" s="145"/>
      <c r="K669" s="145"/>
      <c r="L669" s="145"/>
      <c r="M669" s="145"/>
      <c r="N669" s="145"/>
      <c r="O669" s="174"/>
      <c r="P669" s="174"/>
      <c r="Q669" s="158" t="str">
        <v/>
      </c>
      <c r="R669" s="158" t="str">
        <v/>
      </c>
      <c r="S669" s="158" t="str">
        <v/>
      </c>
      <c r="T669" s="158" t="str">
        <v/>
      </c>
      <c r="U669" s="158" t="str">
        <v/>
      </c>
      <c r="V669" s="158" t="str">
        <v/>
      </c>
      <c r="W669" s="158" t="str">
        <v/>
      </c>
      <c r="X669" s="158" t="str">
        <v/>
      </c>
      <c r="Y669" s="158" t="str">
        <v/>
      </c>
      <c r="Z669" s="158" t="str">
        <v/>
      </c>
      <c r="AA669" s="158" t="e">
        <v>#VALUE!</v>
      </c>
      <c r="AB669" s="171" t="str">
        <v/>
      </c>
      <c r="AC669" s="158">
        <v>0</v>
      </c>
      <c r="AD669" s="173" t="str">
        <f ca="1">IFERROR(__xludf.DUMMYFUNCTION("""COMPUTED_VALUE"""),"")</f>
        <v/>
      </c>
      <c r="AE669" s="154" t="str">
        <v/>
      </c>
      <c r="AF669" s="154" t="str">
        <v/>
      </c>
    </row>
    <row r="670" spans="1:32" ht="15">
      <c r="A670" s="176"/>
      <c r="B670" s="145"/>
      <c r="C670" s="169"/>
      <c r="D670" s="145"/>
      <c r="E670" s="145"/>
      <c r="F670" s="169" t="e">
        <v>#VALUE!</v>
      </c>
      <c r="G670" s="145"/>
      <c r="H670" s="145"/>
      <c r="I670" s="145"/>
      <c r="J670" s="145"/>
      <c r="K670" s="145"/>
      <c r="L670" s="145"/>
      <c r="M670" s="145"/>
      <c r="N670" s="145"/>
      <c r="O670" s="174"/>
      <c r="P670" s="174"/>
      <c r="Q670" s="158" t="str">
        <v/>
      </c>
      <c r="R670" s="158" t="str">
        <v/>
      </c>
      <c r="S670" s="158" t="str">
        <v/>
      </c>
      <c r="T670" s="158" t="str">
        <v/>
      </c>
      <c r="U670" s="158" t="str">
        <v/>
      </c>
      <c r="V670" s="158" t="str">
        <v/>
      </c>
      <c r="W670" s="158" t="str">
        <v/>
      </c>
      <c r="X670" s="158" t="str">
        <v/>
      </c>
      <c r="Y670" s="158" t="str">
        <v/>
      </c>
      <c r="Z670" s="158" t="str">
        <v/>
      </c>
      <c r="AA670" s="158" t="e">
        <v>#VALUE!</v>
      </c>
      <c r="AB670" s="171" t="str">
        <v/>
      </c>
      <c r="AC670" s="158">
        <v>0</v>
      </c>
      <c r="AD670" s="173" t="str">
        <f ca="1">IFERROR(__xludf.DUMMYFUNCTION("""COMPUTED_VALUE"""),"")</f>
        <v/>
      </c>
      <c r="AE670" s="154" t="str">
        <v/>
      </c>
      <c r="AF670" s="154" t="str">
        <v/>
      </c>
    </row>
    <row r="671" spans="1:32" ht="15">
      <c r="A671" s="176"/>
      <c r="B671" s="145"/>
      <c r="C671" s="169"/>
      <c r="D671" s="145"/>
      <c r="E671" s="145"/>
      <c r="F671" s="169" t="e">
        <v>#VALUE!</v>
      </c>
      <c r="G671" s="145"/>
      <c r="H671" s="145"/>
      <c r="I671" s="145"/>
      <c r="J671" s="145"/>
      <c r="K671" s="145"/>
      <c r="L671" s="145"/>
      <c r="M671" s="145"/>
      <c r="N671" s="145"/>
      <c r="O671" s="174"/>
      <c r="P671" s="174"/>
      <c r="Q671" s="158" t="str">
        <v/>
      </c>
      <c r="R671" s="158" t="str">
        <v/>
      </c>
      <c r="S671" s="158" t="str">
        <v/>
      </c>
      <c r="T671" s="158" t="str">
        <v/>
      </c>
      <c r="U671" s="158" t="str">
        <v/>
      </c>
      <c r="V671" s="158" t="str">
        <v/>
      </c>
      <c r="W671" s="158" t="str">
        <v/>
      </c>
      <c r="X671" s="158" t="str">
        <v/>
      </c>
      <c r="Y671" s="158" t="str">
        <v/>
      </c>
      <c r="Z671" s="158" t="str">
        <v/>
      </c>
      <c r="AA671" s="158" t="e">
        <v>#VALUE!</v>
      </c>
      <c r="AB671" s="171" t="str">
        <v/>
      </c>
      <c r="AC671" s="158">
        <v>0</v>
      </c>
      <c r="AD671" s="173" t="str">
        <f ca="1">IFERROR(__xludf.DUMMYFUNCTION("""COMPUTED_VALUE"""),"")</f>
        <v/>
      </c>
      <c r="AE671" s="154" t="str">
        <v/>
      </c>
      <c r="AF671" s="154" t="str">
        <v/>
      </c>
    </row>
    <row r="672" spans="1:32" ht="15">
      <c r="A672" s="176"/>
      <c r="B672" s="145"/>
      <c r="C672" s="169"/>
      <c r="D672" s="145"/>
      <c r="E672" s="145"/>
      <c r="F672" s="169" t="e">
        <v>#VALUE!</v>
      </c>
      <c r="G672" s="145"/>
      <c r="H672" s="145"/>
      <c r="I672" s="145"/>
      <c r="J672" s="145"/>
      <c r="K672" s="145"/>
      <c r="L672" s="145"/>
      <c r="M672" s="145"/>
      <c r="N672" s="145"/>
      <c r="O672" s="174"/>
      <c r="P672" s="174"/>
      <c r="Q672" s="158" t="str">
        <v/>
      </c>
      <c r="R672" s="158" t="str">
        <v/>
      </c>
      <c r="S672" s="158" t="str">
        <v/>
      </c>
      <c r="T672" s="158" t="str">
        <v/>
      </c>
      <c r="U672" s="158" t="str">
        <v/>
      </c>
      <c r="V672" s="158" t="str">
        <v/>
      </c>
      <c r="W672" s="158" t="str">
        <v/>
      </c>
      <c r="X672" s="158" t="str">
        <v/>
      </c>
      <c r="Y672" s="158" t="str">
        <v/>
      </c>
      <c r="Z672" s="158" t="str">
        <v/>
      </c>
      <c r="AA672" s="158" t="e">
        <v>#VALUE!</v>
      </c>
      <c r="AB672" s="171" t="str">
        <v/>
      </c>
      <c r="AC672" s="158">
        <v>0</v>
      </c>
      <c r="AD672" s="173" t="str">
        <f ca="1">IFERROR(__xludf.DUMMYFUNCTION("""COMPUTED_VALUE"""),"")</f>
        <v/>
      </c>
      <c r="AE672" s="154" t="str">
        <v/>
      </c>
      <c r="AF672" s="154" t="str">
        <v/>
      </c>
    </row>
    <row r="673" spans="1:32" ht="15">
      <c r="A673" s="176"/>
      <c r="B673" s="145"/>
      <c r="C673" s="169"/>
      <c r="D673" s="145"/>
      <c r="E673" s="145"/>
      <c r="F673" s="169" t="e">
        <v>#VALUE!</v>
      </c>
      <c r="G673" s="145"/>
      <c r="H673" s="145"/>
      <c r="I673" s="145"/>
      <c r="J673" s="145"/>
      <c r="K673" s="145"/>
      <c r="L673" s="145"/>
      <c r="M673" s="145"/>
      <c r="N673" s="145"/>
      <c r="O673" s="174"/>
      <c r="P673" s="174"/>
      <c r="Q673" s="158" t="str">
        <v/>
      </c>
      <c r="R673" s="158" t="str">
        <v/>
      </c>
      <c r="S673" s="158" t="str">
        <v/>
      </c>
      <c r="T673" s="158" t="str">
        <v/>
      </c>
      <c r="U673" s="158" t="str">
        <v/>
      </c>
      <c r="V673" s="158" t="str">
        <v/>
      </c>
      <c r="W673" s="158" t="str">
        <v/>
      </c>
      <c r="X673" s="158" t="str">
        <v/>
      </c>
      <c r="Y673" s="158" t="str">
        <v/>
      </c>
      <c r="Z673" s="158" t="str">
        <v/>
      </c>
      <c r="AA673" s="158" t="e">
        <v>#VALUE!</v>
      </c>
      <c r="AB673" s="171" t="str">
        <v/>
      </c>
      <c r="AC673" s="158">
        <v>0</v>
      </c>
      <c r="AD673" s="173" t="str">
        <f ca="1">IFERROR(__xludf.DUMMYFUNCTION("""COMPUTED_VALUE"""),"")</f>
        <v/>
      </c>
      <c r="AE673" s="154" t="str">
        <v/>
      </c>
      <c r="AF673" s="154" t="str">
        <v/>
      </c>
    </row>
    <row r="674" spans="1:32" ht="15">
      <c r="A674" s="176"/>
      <c r="B674" s="145"/>
      <c r="C674" s="169"/>
      <c r="D674" s="145"/>
      <c r="E674" s="145"/>
      <c r="F674" s="169" t="e">
        <v>#VALUE!</v>
      </c>
      <c r="G674" s="145"/>
      <c r="H674" s="145"/>
      <c r="I674" s="145"/>
      <c r="J674" s="145"/>
      <c r="K674" s="145"/>
      <c r="L674" s="145"/>
      <c r="M674" s="145"/>
      <c r="N674" s="145"/>
      <c r="O674" s="174"/>
      <c r="P674" s="174"/>
      <c r="Q674" s="158" t="str">
        <v/>
      </c>
      <c r="R674" s="158" t="str">
        <v/>
      </c>
      <c r="S674" s="158" t="str">
        <v/>
      </c>
      <c r="T674" s="158" t="str">
        <v/>
      </c>
      <c r="U674" s="158" t="str">
        <v/>
      </c>
      <c r="V674" s="158" t="str">
        <v/>
      </c>
      <c r="W674" s="158" t="str">
        <v/>
      </c>
      <c r="X674" s="158" t="str">
        <v/>
      </c>
      <c r="Y674" s="158" t="str">
        <v/>
      </c>
      <c r="Z674" s="158" t="str">
        <v/>
      </c>
      <c r="AA674" s="158" t="e">
        <v>#VALUE!</v>
      </c>
      <c r="AB674" s="171" t="str">
        <v/>
      </c>
      <c r="AC674" s="158">
        <v>0</v>
      </c>
      <c r="AD674" s="173" t="str">
        <f ca="1">IFERROR(__xludf.DUMMYFUNCTION("""COMPUTED_VALUE"""),"")</f>
        <v/>
      </c>
      <c r="AE674" s="154" t="str">
        <v/>
      </c>
      <c r="AF674" s="154" t="str">
        <v/>
      </c>
    </row>
    <row r="675" spans="1:32" ht="15">
      <c r="A675" s="176"/>
      <c r="B675" s="145"/>
      <c r="C675" s="169"/>
      <c r="D675" s="145"/>
      <c r="E675" s="145"/>
      <c r="F675" s="169" t="e">
        <v>#VALUE!</v>
      </c>
      <c r="G675" s="145"/>
      <c r="H675" s="145"/>
      <c r="I675" s="145"/>
      <c r="J675" s="145"/>
      <c r="K675" s="145"/>
      <c r="L675" s="145"/>
      <c r="M675" s="145"/>
      <c r="N675" s="145"/>
      <c r="O675" s="174"/>
      <c r="P675" s="174"/>
      <c r="Q675" s="158" t="str">
        <v/>
      </c>
      <c r="R675" s="158" t="str">
        <v/>
      </c>
      <c r="S675" s="158" t="str">
        <v/>
      </c>
      <c r="T675" s="158" t="str">
        <v/>
      </c>
      <c r="U675" s="158" t="str">
        <v/>
      </c>
      <c r="V675" s="158" t="str">
        <v/>
      </c>
      <c r="W675" s="158" t="str">
        <v/>
      </c>
      <c r="X675" s="158" t="str">
        <v/>
      </c>
      <c r="Y675" s="158" t="str">
        <v/>
      </c>
      <c r="Z675" s="158" t="str">
        <v/>
      </c>
      <c r="AA675" s="158" t="e">
        <v>#VALUE!</v>
      </c>
      <c r="AB675" s="171" t="str">
        <v/>
      </c>
      <c r="AC675" s="158">
        <v>0</v>
      </c>
      <c r="AD675" s="173" t="str">
        <f ca="1">IFERROR(__xludf.DUMMYFUNCTION("""COMPUTED_VALUE"""),"")</f>
        <v/>
      </c>
      <c r="AE675" s="154" t="str">
        <v/>
      </c>
      <c r="AF675" s="154" t="str">
        <v/>
      </c>
    </row>
    <row r="676" spans="1:32" ht="15">
      <c r="A676" s="176"/>
      <c r="B676" s="145"/>
      <c r="C676" s="169"/>
      <c r="D676" s="145"/>
      <c r="E676" s="145"/>
      <c r="F676" s="169" t="e">
        <v>#VALUE!</v>
      </c>
      <c r="G676" s="145"/>
      <c r="H676" s="145"/>
      <c r="I676" s="145"/>
      <c r="J676" s="145"/>
      <c r="K676" s="145"/>
      <c r="L676" s="145"/>
      <c r="M676" s="145"/>
      <c r="N676" s="145"/>
      <c r="O676" s="174"/>
      <c r="P676" s="174"/>
      <c r="Q676" s="158" t="str">
        <v/>
      </c>
      <c r="R676" s="158" t="str">
        <v/>
      </c>
      <c r="S676" s="158" t="str">
        <v/>
      </c>
      <c r="T676" s="158" t="str">
        <v/>
      </c>
      <c r="U676" s="158" t="str">
        <v/>
      </c>
      <c r="V676" s="158" t="str">
        <v/>
      </c>
      <c r="W676" s="158" t="str">
        <v/>
      </c>
      <c r="X676" s="158" t="str">
        <v/>
      </c>
      <c r="Y676" s="158" t="str">
        <v/>
      </c>
      <c r="Z676" s="158" t="str">
        <v/>
      </c>
      <c r="AA676" s="158" t="e">
        <v>#VALUE!</v>
      </c>
      <c r="AB676" s="171" t="str">
        <v/>
      </c>
      <c r="AC676" s="158">
        <v>0</v>
      </c>
      <c r="AD676" s="173" t="str">
        <f ca="1">IFERROR(__xludf.DUMMYFUNCTION("""COMPUTED_VALUE"""),"")</f>
        <v/>
      </c>
      <c r="AE676" s="154" t="str">
        <v/>
      </c>
      <c r="AF676" s="154" t="str">
        <v/>
      </c>
    </row>
    <row r="677" spans="1:32" ht="15">
      <c r="A677" s="176"/>
      <c r="B677" s="145"/>
      <c r="C677" s="169"/>
      <c r="D677" s="145"/>
      <c r="E677" s="145"/>
      <c r="F677" s="169" t="e">
        <v>#VALUE!</v>
      </c>
      <c r="G677" s="145"/>
      <c r="H677" s="145"/>
      <c r="I677" s="145"/>
      <c r="J677" s="145"/>
      <c r="K677" s="145"/>
      <c r="L677" s="145"/>
      <c r="M677" s="145"/>
      <c r="N677" s="145"/>
      <c r="O677" s="174"/>
      <c r="P677" s="174"/>
      <c r="Q677" s="158" t="str">
        <v/>
      </c>
      <c r="R677" s="158" t="str">
        <v/>
      </c>
      <c r="S677" s="158" t="str">
        <v/>
      </c>
      <c r="T677" s="158" t="str">
        <v/>
      </c>
      <c r="U677" s="158" t="str">
        <v/>
      </c>
      <c r="V677" s="158" t="str">
        <v/>
      </c>
      <c r="W677" s="158" t="str">
        <v/>
      </c>
      <c r="X677" s="158" t="str">
        <v/>
      </c>
      <c r="Y677" s="158" t="str">
        <v/>
      </c>
      <c r="Z677" s="158" t="str">
        <v/>
      </c>
      <c r="AA677" s="158" t="e">
        <v>#VALUE!</v>
      </c>
      <c r="AB677" s="171" t="str">
        <v/>
      </c>
      <c r="AC677" s="158">
        <v>0</v>
      </c>
      <c r="AD677" s="173" t="str">
        <f ca="1">IFERROR(__xludf.DUMMYFUNCTION("""COMPUTED_VALUE"""),"")</f>
        <v/>
      </c>
      <c r="AE677" s="154" t="str">
        <v/>
      </c>
      <c r="AF677" s="154" t="str">
        <v/>
      </c>
    </row>
    <row r="678" spans="1:32" ht="15">
      <c r="A678" s="176"/>
      <c r="B678" s="145"/>
      <c r="C678" s="169"/>
      <c r="D678" s="145"/>
      <c r="E678" s="145"/>
      <c r="F678" s="169" t="e">
        <v>#VALUE!</v>
      </c>
      <c r="G678" s="145"/>
      <c r="H678" s="145"/>
      <c r="I678" s="145"/>
      <c r="J678" s="145"/>
      <c r="K678" s="145"/>
      <c r="L678" s="145"/>
      <c r="M678" s="145"/>
      <c r="N678" s="145"/>
      <c r="O678" s="174"/>
      <c r="P678" s="174"/>
      <c r="Q678" s="158" t="str">
        <v/>
      </c>
      <c r="R678" s="158" t="str">
        <v/>
      </c>
      <c r="S678" s="158" t="str">
        <v/>
      </c>
      <c r="T678" s="158" t="str">
        <v/>
      </c>
      <c r="U678" s="158" t="str">
        <v/>
      </c>
      <c r="V678" s="158" t="str">
        <v/>
      </c>
      <c r="W678" s="158" t="str">
        <v/>
      </c>
      <c r="X678" s="158" t="str">
        <v/>
      </c>
      <c r="Y678" s="158" t="str">
        <v/>
      </c>
      <c r="Z678" s="158" t="str">
        <v/>
      </c>
      <c r="AA678" s="158" t="e">
        <v>#VALUE!</v>
      </c>
      <c r="AB678" s="171" t="str">
        <v/>
      </c>
      <c r="AC678" s="158">
        <v>0</v>
      </c>
      <c r="AD678" s="173" t="str">
        <f ca="1">IFERROR(__xludf.DUMMYFUNCTION("""COMPUTED_VALUE"""),"")</f>
        <v/>
      </c>
      <c r="AE678" s="154" t="str">
        <v/>
      </c>
      <c r="AF678" s="154" t="str">
        <v/>
      </c>
    </row>
    <row r="679" spans="1:32" ht="15">
      <c r="A679" s="176"/>
      <c r="B679" s="145"/>
      <c r="C679" s="169"/>
      <c r="D679" s="145"/>
      <c r="E679" s="145"/>
      <c r="F679" s="169" t="e">
        <v>#VALUE!</v>
      </c>
      <c r="G679" s="145"/>
      <c r="H679" s="145"/>
      <c r="I679" s="145"/>
      <c r="J679" s="145"/>
      <c r="K679" s="145"/>
      <c r="L679" s="145"/>
      <c r="M679" s="145"/>
      <c r="N679" s="145"/>
      <c r="O679" s="174"/>
      <c r="P679" s="174"/>
      <c r="Q679" s="158" t="str">
        <v/>
      </c>
      <c r="R679" s="158" t="str">
        <v/>
      </c>
      <c r="S679" s="158" t="str">
        <v/>
      </c>
      <c r="T679" s="158" t="str">
        <v/>
      </c>
      <c r="U679" s="158" t="str">
        <v/>
      </c>
      <c r="V679" s="158" t="str">
        <v/>
      </c>
      <c r="W679" s="158" t="str">
        <v/>
      </c>
      <c r="X679" s="158" t="str">
        <v/>
      </c>
      <c r="Y679" s="158" t="str">
        <v/>
      </c>
      <c r="Z679" s="158" t="str">
        <v/>
      </c>
      <c r="AA679" s="158" t="e">
        <v>#VALUE!</v>
      </c>
      <c r="AB679" s="171" t="str">
        <v/>
      </c>
      <c r="AC679" s="158">
        <v>0</v>
      </c>
      <c r="AD679" s="173" t="str">
        <f ca="1">IFERROR(__xludf.DUMMYFUNCTION("""COMPUTED_VALUE"""),"")</f>
        <v/>
      </c>
      <c r="AE679" s="154" t="str">
        <v/>
      </c>
      <c r="AF679" s="154" t="str">
        <v/>
      </c>
    </row>
    <row r="680" spans="1:32" ht="15">
      <c r="A680" s="176"/>
      <c r="B680" s="145"/>
      <c r="C680" s="169"/>
      <c r="D680" s="145"/>
      <c r="E680" s="145"/>
      <c r="F680" s="169" t="e">
        <v>#VALUE!</v>
      </c>
      <c r="G680" s="145"/>
      <c r="H680" s="145"/>
      <c r="I680" s="145"/>
      <c r="J680" s="145"/>
      <c r="K680" s="145"/>
      <c r="L680" s="145"/>
      <c r="M680" s="145"/>
      <c r="N680" s="145"/>
      <c r="O680" s="174"/>
      <c r="P680" s="174"/>
      <c r="Q680" s="158" t="str">
        <v/>
      </c>
      <c r="R680" s="158" t="str">
        <v/>
      </c>
      <c r="S680" s="158" t="str">
        <v/>
      </c>
      <c r="T680" s="158" t="str">
        <v/>
      </c>
      <c r="U680" s="158" t="str">
        <v/>
      </c>
      <c r="V680" s="158" t="str">
        <v/>
      </c>
      <c r="W680" s="158" t="str">
        <v/>
      </c>
      <c r="X680" s="158" t="str">
        <v/>
      </c>
      <c r="Y680" s="158" t="str">
        <v/>
      </c>
      <c r="Z680" s="158" t="str">
        <v/>
      </c>
      <c r="AA680" s="158" t="e">
        <v>#VALUE!</v>
      </c>
      <c r="AB680" s="171" t="str">
        <v/>
      </c>
      <c r="AC680" s="158">
        <v>0</v>
      </c>
      <c r="AD680" s="173" t="str">
        <f ca="1">IFERROR(__xludf.DUMMYFUNCTION("""COMPUTED_VALUE"""),"")</f>
        <v/>
      </c>
      <c r="AE680" s="154" t="str">
        <v/>
      </c>
      <c r="AF680" s="154" t="str">
        <v/>
      </c>
    </row>
    <row r="681" spans="1:32" ht="15">
      <c r="A681" s="176"/>
      <c r="B681" s="145"/>
      <c r="C681" s="169"/>
      <c r="D681" s="145"/>
      <c r="E681" s="145"/>
      <c r="F681" s="169" t="e">
        <v>#VALUE!</v>
      </c>
      <c r="G681" s="145"/>
      <c r="H681" s="145"/>
      <c r="I681" s="145"/>
      <c r="J681" s="145"/>
      <c r="K681" s="145"/>
      <c r="L681" s="145"/>
      <c r="M681" s="145"/>
      <c r="N681" s="145"/>
      <c r="O681" s="174"/>
      <c r="P681" s="174"/>
      <c r="Q681" s="158" t="str">
        <v/>
      </c>
      <c r="R681" s="158" t="str">
        <v/>
      </c>
      <c r="S681" s="158" t="str">
        <v/>
      </c>
      <c r="T681" s="158" t="str">
        <v/>
      </c>
      <c r="U681" s="158" t="str">
        <v/>
      </c>
      <c r="V681" s="158" t="str">
        <v/>
      </c>
      <c r="W681" s="158" t="str">
        <v/>
      </c>
      <c r="X681" s="158" t="str">
        <v/>
      </c>
      <c r="Y681" s="158" t="str">
        <v/>
      </c>
      <c r="Z681" s="158" t="str">
        <v/>
      </c>
      <c r="AA681" s="158" t="e">
        <v>#VALUE!</v>
      </c>
      <c r="AB681" s="171" t="str">
        <v/>
      </c>
      <c r="AC681" s="158">
        <v>0</v>
      </c>
      <c r="AD681" s="173" t="str">
        <f ca="1">IFERROR(__xludf.DUMMYFUNCTION("""COMPUTED_VALUE"""),"")</f>
        <v/>
      </c>
      <c r="AE681" s="154" t="str">
        <v/>
      </c>
      <c r="AF681" s="154" t="str">
        <v/>
      </c>
    </row>
    <row r="682" spans="1:32" ht="15">
      <c r="A682" s="176"/>
      <c r="B682" s="145"/>
      <c r="C682" s="169"/>
      <c r="D682" s="145"/>
      <c r="E682" s="145"/>
      <c r="F682" s="169" t="e">
        <v>#VALUE!</v>
      </c>
      <c r="G682" s="145"/>
      <c r="H682" s="145"/>
      <c r="I682" s="145"/>
      <c r="J682" s="145"/>
      <c r="K682" s="145"/>
      <c r="L682" s="145"/>
      <c r="M682" s="145"/>
      <c r="N682" s="145"/>
      <c r="O682" s="174"/>
      <c r="P682" s="174"/>
      <c r="Q682" s="158" t="str">
        <v/>
      </c>
      <c r="R682" s="158" t="str">
        <v/>
      </c>
      <c r="S682" s="158" t="str">
        <v/>
      </c>
      <c r="T682" s="158" t="str">
        <v/>
      </c>
      <c r="U682" s="158" t="str">
        <v/>
      </c>
      <c r="V682" s="158" t="str">
        <v/>
      </c>
      <c r="W682" s="158" t="str">
        <v/>
      </c>
      <c r="X682" s="158" t="str">
        <v/>
      </c>
      <c r="Y682" s="158" t="str">
        <v/>
      </c>
      <c r="Z682" s="158" t="str">
        <v/>
      </c>
      <c r="AA682" s="158" t="e">
        <v>#VALUE!</v>
      </c>
      <c r="AB682" s="171" t="str">
        <v/>
      </c>
      <c r="AC682" s="158">
        <v>0</v>
      </c>
      <c r="AD682" s="173" t="str">
        <f ca="1">IFERROR(__xludf.DUMMYFUNCTION("""COMPUTED_VALUE"""),"")</f>
        <v/>
      </c>
      <c r="AE682" s="154" t="str">
        <v/>
      </c>
      <c r="AF682" s="154" t="str">
        <v/>
      </c>
    </row>
    <row r="683" spans="1:32" ht="15">
      <c r="A683" s="176"/>
      <c r="B683" s="145"/>
      <c r="C683" s="169"/>
      <c r="D683" s="145"/>
      <c r="E683" s="145"/>
      <c r="F683" s="169" t="e">
        <v>#VALUE!</v>
      </c>
      <c r="G683" s="145"/>
      <c r="H683" s="145"/>
      <c r="I683" s="145"/>
      <c r="J683" s="145"/>
      <c r="K683" s="145"/>
      <c r="L683" s="145"/>
      <c r="M683" s="145"/>
      <c r="N683" s="145"/>
      <c r="O683" s="174"/>
      <c r="P683" s="174"/>
      <c r="Q683" s="158" t="str">
        <v/>
      </c>
      <c r="R683" s="158" t="str">
        <v/>
      </c>
      <c r="S683" s="158" t="str">
        <v/>
      </c>
      <c r="T683" s="158" t="str">
        <v/>
      </c>
      <c r="U683" s="158" t="str">
        <v/>
      </c>
      <c r="V683" s="158" t="str">
        <v/>
      </c>
      <c r="W683" s="158" t="str">
        <v/>
      </c>
      <c r="X683" s="158" t="str">
        <v/>
      </c>
      <c r="Y683" s="158" t="str">
        <v/>
      </c>
      <c r="Z683" s="158" t="str">
        <v/>
      </c>
      <c r="AA683" s="158" t="e">
        <v>#VALUE!</v>
      </c>
      <c r="AB683" s="171" t="str">
        <v/>
      </c>
      <c r="AC683" s="158">
        <v>0</v>
      </c>
      <c r="AD683" s="173" t="str">
        <f ca="1">IFERROR(__xludf.DUMMYFUNCTION("""COMPUTED_VALUE"""),"")</f>
        <v/>
      </c>
      <c r="AE683" s="154" t="str">
        <v/>
      </c>
      <c r="AF683" s="154" t="str">
        <v/>
      </c>
    </row>
    <row r="684" spans="1:32" ht="15">
      <c r="A684" s="176"/>
      <c r="B684" s="145"/>
      <c r="C684" s="169"/>
      <c r="D684" s="145"/>
      <c r="E684" s="145"/>
      <c r="F684" s="169" t="e">
        <v>#VALUE!</v>
      </c>
      <c r="G684" s="145"/>
      <c r="H684" s="145"/>
      <c r="I684" s="145"/>
      <c r="J684" s="145"/>
      <c r="K684" s="145"/>
      <c r="L684" s="145"/>
      <c r="M684" s="145"/>
      <c r="N684" s="145"/>
      <c r="O684" s="174"/>
      <c r="P684" s="174"/>
      <c r="Q684" s="158" t="str">
        <v/>
      </c>
      <c r="R684" s="158" t="str">
        <v/>
      </c>
      <c r="S684" s="158" t="str">
        <v/>
      </c>
      <c r="T684" s="158" t="str">
        <v/>
      </c>
      <c r="U684" s="158" t="str">
        <v/>
      </c>
      <c r="V684" s="158" t="str">
        <v/>
      </c>
      <c r="W684" s="158" t="str">
        <v/>
      </c>
      <c r="X684" s="158" t="str">
        <v/>
      </c>
      <c r="Y684" s="158" t="str">
        <v/>
      </c>
      <c r="Z684" s="158" t="str">
        <v/>
      </c>
      <c r="AA684" s="158" t="e">
        <v>#VALUE!</v>
      </c>
      <c r="AB684" s="171" t="str">
        <v/>
      </c>
      <c r="AC684" s="158">
        <v>0</v>
      </c>
      <c r="AD684" s="173" t="str">
        <f ca="1">IFERROR(__xludf.DUMMYFUNCTION("""COMPUTED_VALUE"""),"")</f>
        <v/>
      </c>
      <c r="AE684" s="154" t="str">
        <v/>
      </c>
      <c r="AF684" s="154" t="str">
        <v/>
      </c>
    </row>
    <row r="685" spans="1:32" ht="15">
      <c r="A685" s="176"/>
      <c r="B685" s="145"/>
      <c r="C685" s="169"/>
      <c r="D685" s="145"/>
      <c r="E685" s="145"/>
      <c r="F685" s="169" t="e">
        <v>#VALUE!</v>
      </c>
      <c r="G685" s="145"/>
      <c r="H685" s="145"/>
      <c r="I685" s="145"/>
      <c r="J685" s="145"/>
      <c r="K685" s="145"/>
      <c r="L685" s="145"/>
      <c r="M685" s="145"/>
      <c r="N685" s="145"/>
      <c r="O685" s="174"/>
      <c r="P685" s="174"/>
      <c r="Q685" s="158" t="str">
        <v/>
      </c>
      <c r="R685" s="158" t="str">
        <v/>
      </c>
      <c r="S685" s="158" t="str">
        <v/>
      </c>
      <c r="T685" s="158" t="str">
        <v/>
      </c>
      <c r="U685" s="158" t="str">
        <v/>
      </c>
      <c r="V685" s="158" t="str">
        <v/>
      </c>
      <c r="W685" s="158" t="str">
        <v/>
      </c>
      <c r="X685" s="158" t="str">
        <v/>
      </c>
      <c r="Y685" s="158" t="str">
        <v/>
      </c>
      <c r="Z685" s="158" t="str">
        <v/>
      </c>
      <c r="AA685" s="158" t="e">
        <v>#VALUE!</v>
      </c>
      <c r="AB685" s="171" t="str">
        <v/>
      </c>
      <c r="AC685" s="158">
        <v>0</v>
      </c>
      <c r="AD685" s="173" t="str">
        <f ca="1">IFERROR(__xludf.DUMMYFUNCTION("""COMPUTED_VALUE"""),"")</f>
        <v/>
      </c>
      <c r="AE685" s="154" t="str">
        <v/>
      </c>
      <c r="AF685" s="154" t="str">
        <v/>
      </c>
    </row>
    <row r="686" spans="1:32" ht="15">
      <c r="A686" s="176"/>
      <c r="B686" s="145"/>
      <c r="C686" s="169"/>
      <c r="D686" s="145"/>
      <c r="E686" s="145"/>
      <c r="F686" s="169" t="e">
        <v>#VALUE!</v>
      </c>
      <c r="G686" s="145"/>
      <c r="H686" s="145"/>
      <c r="I686" s="145"/>
      <c r="J686" s="145"/>
      <c r="K686" s="145"/>
      <c r="L686" s="145"/>
      <c r="M686" s="145"/>
      <c r="N686" s="145"/>
      <c r="O686" s="174"/>
      <c r="P686" s="174"/>
      <c r="Q686" s="158" t="str">
        <v/>
      </c>
      <c r="R686" s="158" t="str">
        <v/>
      </c>
      <c r="S686" s="158" t="str">
        <v/>
      </c>
      <c r="T686" s="158" t="str">
        <v/>
      </c>
      <c r="U686" s="158" t="str">
        <v/>
      </c>
      <c r="V686" s="158" t="str">
        <v/>
      </c>
      <c r="W686" s="158" t="str">
        <v/>
      </c>
      <c r="X686" s="158" t="str">
        <v/>
      </c>
      <c r="Y686" s="158" t="str">
        <v/>
      </c>
      <c r="Z686" s="158" t="str">
        <v/>
      </c>
      <c r="AA686" s="158" t="e">
        <v>#VALUE!</v>
      </c>
      <c r="AB686" s="171" t="str">
        <v/>
      </c>
      <c r="AC686" s="158">
        <v>0</v>
      </c>
      <c r="AD686" s="173" t="str">
        <f ca="1">IFERROR(__xludf.DUMMYFUNCTION("""COMPUTED_VALUE"""),"")</f>
        <v/>
      </c>
      <c r="AE686" s="154" t="str">
        <v/>
      </c>
      <c r="AF686" s="154" t="str">
        <v/>
      </c>
    </row>
    <row r="687" spans="1:32" ht="15">
      <c r="A687" s="176"/>
      <c r="B687" s="145"/>
      <c r="C687" s="169"/>
      <c r="D687" s="145"/>
      <c r="E687" s="145"/>
      <c r="F687" s="169" t="e">
        <v>#VALUE!</v>
      </c>
      <c r="G687" s="145"/>
      <c r="H687" s="145"/>
      <c r="I687" s="145"/>
      <c r="J687" s="145"/>
      <c r="K687" s="145"/>
      <c r="L687" s="145"/>
      <c r="M687" s="145"/>
      <c r="N687" s="145"/>
      <c r="O687" s="174"/>
      <c r="P687" s="174"/>
      <c r="Q687" s="158" t="str">
        <v/>
      </c>
      <c r="R687" s="158" t="str">
        <v/>
      </c>
      <c r="S687" s="158" t="str">
        <v/>
      </c>
      <c r="T687" s="158" t="str">
        <v/>
      </c>
      <c r="U687" s="158" t="str">
        <v/>
      </c>
      <c r="V687" s="158" t="str">
        <v/>
      </c>
      <c r="W687" s="158" t="str">
        <v/>
      </c>
      <c r="X687" s="158" t="str">
        <v/>
      </c>
      <c r="Y687" s="158" t="str">
        <v/>
      </c>
      <c r="Z687" s="158" t="str">
        <v/>
      </c>
      <c r="AA687" s="158" t="e">
        <v>#VALUE!</v>
      </c>
      <c r="AB687" s="171" t="str">
        <v/>
      </c>
      <c r="AC687" s="158">
        <v>0</v>
      </c>
      <c r="AD687" s="173" t="str">
        <f ca="1">IFERROR(__xludf.DUMMYFUNCTION("""COMPUTED_VALUE"""),"")</f>
        <v/>
      </c>
      <c r="AE687" s="154" t="str">
        <v/>
      </c>
      <c r="AF687" s="154" t="str">
        <v/>
      </c>
    </row>
    <row r="688" spans="1:32" ht="15">
      <c r="A688" s="176"/>
      <c r="B688" s="145"/>
      <c r="C688" s="169"/>
      <c r="D688" s="145"/>
      <c r="E688" s="145"/>
      <c r="F688" s="169" t="e">
        <v>#VALUE!</v>
      </c>
      <c r="G688" s="145"/>
      <c r="H688" s="145"/>
      <c r="I688" s="145"/>
      <c r="J688" s="145"/>
      <c r="K688" s="145"/>
      <c r="L688" s="145"/>
      <c r="M688" s="145"/>
      <c r="N688" s="145"/>
      <c r="O688" s="174"/>
      <c r="P688" s="174"/>
      <c r="Q688" s="158" t="str">
        <v/>
      </c>
      <c r="R688" s="158" t="str">
        <v/>
      </c>
      <c r="S688" s="158" t="str">
        <v/>
      </c>
      <c r="T688" s="158" t="str">
        <v/>
      </c>
      <c r="U688" s="158" t="str">
        <v/>
      </c>
      <c r="V688" s="158" t="str">
        <v/>
      </c>
      <c r="W688" s="158" t="str">
        <v/>
      </c>
      <c r="X688" s="158" t="str">
        <v/>
      </c>
      <c r="Y688" s="158" t="str">
        <v/>
      </c>
      <c r="Z688" s="158" t="str">
        <v/>
      </c>
      <c r="AA688" s="158" t="e">
        <v>#VALUE!</v>
      </c>
      <c r="AB688" s="171" t="str">
        <v/>
      </c>
      <c r="AC688" s="158">
        <v>0</v>
      </c>
      <c r="AD688" s="173" t="str">
        <f ca="1">IFERROR(__xludf.DUMMYFUNCTION("""COMPUTED_VALUE"""),"")</f>
        <v/>
      </c>
      <c r="AE688" s="154" t="str">
        <v/>
      </c>
      <c r="AF688" s="154" t="str">
        <v/>
      </c>
    </row>
    <row r="689" spans="1:32" ht="15">
      <c r="A689" s="176"/>
      <c r="B689" s="145"/>
      <c r="C689" s="169"/>
      <c r="D689" s="145"/>
      <c r="E689" s="145"/>
      <c r="F689" s="169" t="e">
        <v>#VALUE!</v>
      </c>
      <c r="G689" s="145"/>
      <c r="H689" s="145"/>
      <c r="I689" s="145"/>
      <c r="J689" s="145"/>
      <c r="K689" s="145"/>
      <c r="L689" s="145"/>
      <c r="M689" s="145"/>
      <c r="N689" s="145"/>
      <c r="O689" s="174"/>
      <c r="P689" s="174"/>
      <c r="Q689" s="158" t="str">
        <v/>
      </c>
      <c r="R689" s="158" t="str">
        <v/>
      </c>
      <c r="S689" s="158" t="str">
        <v/>
      </c>
      <c r="T689" s="158" t="str">
        <v/>
      </c>
      <c r="U689" s="158" t="str">
        <v/>
      </c>
      <c r="V689" s="158" t="str">
        <v/>
      </c>
      <c r="W689" s="158" t="str">
        <v/>
      </c>
      <c r="X689" s="158" t="str">
        <v/>
      </c>
      <c r="Y689" s="158" t="str">
        <v/>
      </c>
      <c r="Z689" s="158" t="str">
        <v/>
      </c>
      <c r="AA689" s="158" t="e">
        <v>#VALUE!</v>
      </c>
      <c r="AB689" s="171" t="str">
        <v/>
      </c>
      <c r="AC689" s="158">
        <v>0</v>
      </c>
      <c r="AD689" s="173" t="str">
        <f ca="1">IFERROR(__xludf.DUMMYFUNCTION("""COMPUTED_VALUE"""),"")</f>
        <v/>
      </c>
      <c r="AE689" s="154" t="str">
        <v/>
      </c>
      <c r="AF689" s="154" t="str">
        <v/>
      </c>
    </row>
    <row r="690" spans="1:32" ht="15">
      <c r="A690" s="176"/>
      <c r="B690" s="145"/>
      <c r="C690" s="169"/>
      <c r="D690" s="145"/>
      <c r="E690" s="145"/>
      <c r="F690" s="169" t="e">
        <v>#VALUE!</v>
      </c>
      <c r="G690" s="145"/>
      <c r="H690" s="145"/>
      <c r="I690" s="145"/>
      <c r="J690" s="145"/>
      <c r="K690" s="145"/>
      <c r="L690" s="145"/>
      <c r="M690" s="145"/>
      <c r="N690" s="145"/>
      <c r="O690" s="174"/>
      <c r="P690" s="174"/>
      <c r="Q690" s="158" t="str">
        <v/>
      </c>
      <c r="R690" s="158" t="str">
        <v/>
      </c>
      <c r="S690" s="158" t="str">
        <v/>
      </c>
      <c r="T690" s="158" t="str">
        <v/>
      </c>
      <c r="U690" s="158" t="str">
        <v/>
      </c>
      <c r="V690" s="158" t="str">
        <v/>
      </c>
      <c r="W690" s="158" t="str">
        <v/>
      </c>
      <c r="X690" s="158" t="str">
        <v/>
      </c>
      <c r="Y690" s="158" t="str">
        <v/>
      </c>
      <c r="Z690" s="158" t="str">
        <v/>
      </c>
      <c r="AA690" s="158" t="e">
        <v>#VALUE!</v>
      </c>
      <c r="AB690" s="171" t="str">
        <v/>
      </c>
      <c r="AC690" s="158">
        <v>0</v>
      </c>
      <c r="AD690" s="173" t="str">
        <f ca="1">IFERROR(__xludf.DUMMYFUNCTION("""COMPUTED_VALUE"""),"")</f>
        <v/>
      </c>
      <c r="AE690" s="154" t="str">
        <v/>
      </c>
      <c r="AF690" s="154" t="str">
        <v/>
      </c>
    </row>
    <row r="691" spans="1:32" ht="15">
      <c r="A691" s="176"/>
      <c r="B691" s="145"/>
      <c r="C691" s="169"/>
      <c r="D691" s="145"/>
      <c r="E691" s="145"/>
      <c r="F691" s="169" t="e">
        <v>#VALUE!</v>
      </c>
      <c r="G691" s="145"/>
      <c r="H691" s="145"/>
      <c r="I691" s="145"/>
      <c r="J691" s="145"/>
      <c r="K691" s="145"/>
      <c r="L691" s="145"/>
      <c r="M691" s="145"/>
      <c r="N691" s="145"/>
      <c r="O691" s="174"/>
      <c r="P691" s="174"/>
      <c r="Q691" s="158" t="str">
        <v/>
      </c>
      <c r="R691" s="158" t="str">
        <v/>
      </c>
      <c r="S691" s="158" t="str">
        <v/>
      </c>
      <c r="T691" s="158" t="str">
        <v/>
      </c>
      <c r="U691" s="158" t="str">
        <v/>
      </c>
      <c r="V691" s="158" t="str">
        <v/>
      </c>
      <c r="W691" s="158" t="str">
        <v/>
      </c>
      <c r="X691" s="158" t="str">
        <v/>
      </c>
      <c r="Y691" s="158" t="str">
        <v/>
      </c>
      <c r="Z691" s="158" t="str">
        <v/>
      </c>
      <c r="AA691" s="158" t="e">
        <v>#VALUE!</v>
      </c>
      <c r="AB691" s="171" t="str">
        <v/>
      </c>
      <c r="AC691" s="158">
        <v>0</v>
      </c>
      <c r="AD691" s="173" t="str">
        <f ca="1">IFERROR(__xludf.DUMMYFUNCTION("""COMPUTED_VALUE"""),"")</f>
        <v/>
      </c>
      <c r="AE691" s="154" t="str">
        <v/>
      </c>
      <c r="AF691" s="154" t="str">
        <v/>
      </c>
    </row>
    <row r="692" spans="1:32" ht="15">
      <c r="A692" s="176"/>
      <c r="B692" s="145"/>
      <c r="C692" s="169"/>
      <c r="D692" s="145"/>
      <c r="E692" s="145"/>
      <c r="F692" s="169" t="e">
        <v>#VALUE!</v>
      </c>
      <c r="G692" s="145"/>
      <c r="H692" s="145"/>
      <c r="I692" s="145"/>
      <c r="J692" s="145"/>
      <c r="K692" s="145"/>
      <c r="L692" s="145"/>
      <c r="M692" s="145"/>
      <c r="N692" s="145"/>
      <c r="O692" s="174"/>
      <c r="P692" s="174"/>
      <c r="Q692" s="158" t="str">
        <v/>
      </c>
      <c r="R692" s="158" t="str">
        <v/>
      </c>
      <c r="S692" s="158" t="str">
        <v/>
      </c>
      <c r="T692" s="158" t="str">
        <v/>
      </c>
      <c r="U692" s="158" t="str">
        <v/>
      </c>
      <c r="V692" s="158" t="str">
        <v/>
      </c>
      <c r="W692" s="158" t="str">
        <v/>
      </c>
      <c r="X692" s="158" t="str">
        <v/>
      </c>
      <c r="Y692" s="158" t="str">
        <v/>
      </c>
      <c r="Z692" s="158" t="str">
        <v/>
      </c>
      <c r="AA692" s="158" t="e">
        <v>#VALUE!</v>
      </c>
      <c r="AB692" s="171" t="str">
        <v/>
      </c>
      <c r="AC692" s="158">
        <v>0</v>
      </c>
      <c r="AD692" s="173" t="str">
        <f ca="1">IFERROR(__xludf.DUMMYFUNCTION("""COMPUTED_VALUE"""),"")</f>
        <v/>
      </c>
      <c r="AE692" s="154" t="str">
        <v/>
      </c>
      <c r="AF692" s="154" t="str">
        <v/>
      </c>
    </row>
    <row r="693" spans="1:32" ht="15">
      <c r="A693" s="176"/>
      <c r="B693" s="145"/>
      <c r="C693" s="169"/>
      <c r="D693" s="145"/>
      <c r="E693" s="145"/>
      <c r="F693" s="169" t="e">
        <v>#VALUE!</v>
      </c>
      <c r="G693" s="145"/>
      <c r="H693" s="145"/>
      <c r="I693" s="145"/>
      <c r="J693" s="145"/>
      <c r="K693" s="145"/>
      <c r="L693" s="145"/>
      <c r="M693" s="145"/>
      <c r="N693" s="145"/>
      <c r="O693" s="174"/>
      <c r="P693" s="174"/>
      <c r="Q693" s="158" t="str">
        <v/>
      </c>
      <c r="R693" s="158" t="str">
        <v/>
      </c>
      <c r="S693" s="158" t="str">
        <v/>
      </c>
      <c r="T693" s="158" t="str">
        <v/>
      </c>
      <c r="U693" s="158" t="str">
        <v/>
      </c>
      <c r="V693" s="158" t="str">
        <v/>
      </c>
      <c r="W693" s="158" t="str">
        <v/>
      </c>
      <c r="X693" s="158" t="str">
        <v/>
      </c>
      <c r="Y693" s="158" t="str">
        <v/>
      </c>
      <c r="Z693" s="158" t="str">
        <v/>
      </c>
      <c r="AA693" s="158" t="e">
        <v>#VALUE!</v>
      </c>
      <c r="AB693" s="171" t="str">
        <v/>
      </c>
      <c r="AC693" s="158">
        <v>0</v>
      </c>
      <c r="AD693" s="173" t="str">
        <f ca="1">IFERROR(__xludf.DUMMYFUNCTION("""COMPUTED_VALUE"""),"")</f>
        <v/>
      </c>
      <c r="AE693" s="154" t="str">
        <v/>
      </c>
      <c r="AF693" s="154" t="str">
        <v/>
      </c>
    </row>
    <row r="694" spans="1:32" ht="15">
      <c r="A694" s="176"/>
      <c r="B694" s="145"/>
      <c r="C694" s="169"/>
      <c r="D694" s="145"/>
      <c r="E694" s="145"/>
      <c r="F694" s="169" t="e">
        <v>#VALUE!</v>
      </c>
      <c r="G694" s="145"/>
      <c r="H694" s="145"/>
      <c r="I694" s="145"/>
      <c r="J694" s="145"/>
      <c r="K694" s="145"/>
      <c r="L694" s="145"/>
      <c r="M694" s="145"/>
      <c r="N694" s="145"/>
      <c r="O694" s="174"/>
      <c r="P694" s="174"/>
      <c r="Q694" s="158" t="str">
        <v/>
      </c>
      <c r="R694" s="158" t="str">
        <v/>
      </c>
      <c r="S694" s="158" t="str">
        <v/>
      </c>
      <c r="T694" s="158" t="str">
        <v/>
      </c>
      <c r="U694" s="158" t="str">
        <v/>
      </c>
      <c r="V694" s="158" t="str">
        <v/>
      </c>
      <c r="W694" s="158" t="str">
        <v/>
      </c>
      <c r="X694" s="158" t="str">
        <v/>
      </c>
      <c r="Y694" s="158" t="str">
        <v/>
      </c>
      <c r="Z694" s="158" t="str">
        <v/>
      </c>
      <c r="AA694" s="158" t="e">
        <v>#VALUE!</v>
      </c>
      <c r="AB694" s="171" t="str">
        <v/>
      </c>
      <c r="AC694" s="158">
        <v>0</v>
      </c>
      <c r="AD694" s="173" t="str">
        <f ca="1">IFERROR(__xludf.DUMMYFUNCTION("""COMPUTED_VALUE"""),"")</f>
        <v/>
      </c>
      <c r="AE694" s="154" t="str">
        <v/>
      </c>
      <c r="AF694" s="154" t="str">
        <v/>
      </c>
    </row>
    <row r="695" spans="1:32" ht="15">
      <c r="A695" s="176"/>
      <c r="B695" s="145"/>
      <c r="C695" s="169"/>
      <c r="D695" s="145"/>
      <c r="E695" s="145"/>
      <c r="F695" s="169" t="e">
        <v>#VALUE!</v>
      </c>
      <c r="G695" s="145"/>
      <c r="H695" s="145"/>
      <c r="I695" s="145"/>
      <c r="J695" s="145"/>
      <c r="K695" s="145"/>
      <c r="L695" s="145"/>
      <c r="M695" s="145"/>
      <c r="N695" s="145"/>
      <c r="O695" s="174"/>
      <c r="P695" s="174"/>
      <c r="Q695" s="158" t="str">
        <v/>
      </c>
      <c r="R695" s="158" t="str">
        <v/>
      </c>
      <c r="S695" s="158" t="str">
        <v/>
      </c>
      <c r="T695" s="158" t="str">
        <v/>
      </c>
      <c r="U695" s="158" t="str">
        <v/>
      </c>
      <c r="V695" s="158" t="str">
        <v/>
      </c>
      <c r="W695" s="158" t="str">
        <v/>
      </c>
      <c r="X695" s="158" t="str">
        <v/>
      </c>
      <c r="Y695" s="158" t="str">
        <v/>
      </c>
      <c r="Z695" s="158" t="str">
        <v/>
      </c>
      <c r="AA695" s="158" t="e">
        <v>#VALUE!</v>
      </c>
      <c r="AB695" s="171" t="str">
        <v/>
      </c>
      <c r="AC695" s="158">
        <v>0</v>
      </c>
      <c r="AD695" s="173" t="str">
        <f ca="1">IFERROR(__xludf.DUMMYFUNCTION("""COMPUTED_VALUE"""),"")</f>
        <v/>
      </c>
      <c r="AE695" s="154" t="str">
        <v/>
      </c>
      <c r="AF695" s="154" t="str">
        <v/>
      </c>
    </row>
    <row r="696" spans="1:32" ht="15">
      <c r="A696" s="176"/>
      <c r="B696" s="145"/>
      <c r="C696" s="169"/>
      <c r="D696" s="145"/>
      <c r="E696" s="145"/>
      <c r="F696" s="169" t="e">
        <v>#VALUE!</v>
      </c>
      <c r="G696" s="145"/>
      <c r="H696" s="145"/>
      <c r="I696" s="145"/>
      <c r="J696" s="145"/>
      <c r="K696" s="145"/>
      <c r="L696" s="145"/>
      <c r="M696" s="145"/>
      <c r="N696" s="145"/>
      <c r="O696" s="174"/>
      <c r="P696" s="174"/>
      <c r="Q696" s="158" t="str">
        <v/>
      </c>
      <c r="R696" s="158" t="str">
        <v/>
      </c>
      <c r="S696" s="158" t="str">
        <v/>
      </c>
      <c r="T696" s="158" t="str">
        <v/>
      </c>
      <c r="U696" s="158" t="str">
        <v/>
      </c>
      <c r="V696" s="158" t="str">
        <v/>
      </c>
      <c r="W696" s="158" t="str">
        <v/>
      </c>
      <c r="X696" s="158" t="str">
        <v/>
      </c>
      <c r="Y696" s="158" t="str">
        <v/>
      </c>
      <c r="Z696" s="158" t="str">
        <v/>
      </c>
      <c r="AA696" s="158" t="e">
        <v>#VALUE!</v>
      </c>
      <c r="AB696" s="171" t="str">
        <v/>
      </c>
      <c r="AC696" s="158">
        <v>0</v>
      </c>
      <c r="AD696" s="173" t="str">
        <f ca="1">IFERROR(__xludf.DUMMYFUNCTION("""COMPUTED_VALUE"""),"")</f>
        <v/>
      </c>
      <c r="AE696" s="154" t="str">
        <v/>
      </c>
      <c r="AF696" s="154" t="str">
        <v/>
      </c>
    </row>
    <row r="697" spans="1:32" ht="15">
      <c r="A697" s="176"/>
      <c r="B697" s="145"/>
      <c r="C697" s="169"/>
      <c r="D697" s="145"/>
      <c r="E697" s="145"/>
      <c r="F697" s="169" t="e">
        <v>#VALUE!</v>
      </c>
      <c r="G697" s="145"/>
      <c r="H697" s="145"/>
      <c r="I697" s="145"/>
      <c r="J697" s="145"/>
      <c r="K697" s="145"/>
      <c r="L697" s="145"/>
      <c r="M697" s="145"/>
      <c r="N697" s="145"/>
      <c r="O697" s="174"/>
      <c r="P697" s="174"/>
      <c r="Q697" s="158" t="str">
        <v/>
      </c>
      <c r="R697" s="158" t="str">
        <v/>
      </c>
      <c r="S697" s="158" t="str">
        <v/>
      </c>
      <c r="T697" s="158" t="str">
        <v/>
      </c>
      <c r="U697" s="158" t="str">
        <v/>
      </c>
      <c r="V697" s="158" t="str">
        <v/>
      </c>
      <c r="W697" s="158" t="str">
        <v/>
      </c>
      <c r="X697" s="158" t="str">
        <v/>
      </c>
      <c r="Y697" s="158" t="str">
        <v/>
      </c>
      <c r="Z697" s="158" t="str">
        <v/>
      </c>
      <c r="AA697" s="158" t="e">
        <v>#VALUE!</v>
      </c>
      <c r="AB697" s="171" t="str">
        <v/>
      </c>
      <c r="AC697" s="158">
        <v>0</v>
      </c>
      <c r="AD697" s="173" t="str">
        <f ca="1">IFERROR(__xludf.DUMMYFUNCTION("""COMPUTED_VALUE"""),"")</f>
        <v/>
      </c>
      <c r="AE697" s="154" t="str">
        <v/>
      </c>
      <c r="AF697" s="154" t="str">
        <v/>
      </c>
    </row>
    <row r="698" spans="1:32" ht="15">
      <c r="A698" s="176"/>
      <c r="B698" s="145"/>
      <c r="C698" s="169"/>
      <c r="D698" s="145"/>
      <c r="E698" s="145"/>
      <c r="F698" s="169" t="e">
        <v>#VALUE!</v>
      </c>
      <c r="G698" s="145"/>
      <c r="H698" s="145"/>
      <c r="I698" s="145"/>
      <c r="J698" s="145"/>
      <c r="K698" s="145"/>
      <c r="L698" s="145"/>
      <c r="M698" s="145"/>
      <c r="N698" s="145"/>
      <c r="O698" s="174"/>
      <c r="P698" s="174"/>
      <c r="Q698" s="158" t="str">
        <v/>
      </c>
      <c r="R698" s="158" t="str">
        <v/>
      </c>
      <c r="S698" s="158" t="str">
        <v/>
      </c>
      <c r="T698" s="158" t="str">
        <v/>
      </c>
      <c r="U698" s="158" t="str">
        <v/>
      </c>
      <c r="V698" s="158" t="str">
        <v/>
      </c>
      <c r="W698" s="158" t="str">
        <v/>
      </c>
      <c r="X698" s="158" t="str">
        <v/>
      </c>
      <c r="Y698" s="158" t="str">
        <v/>
      </c>
      <c r="Z698" s="158" t="str">
        <v/>
      </c>
      <c r="AA698" s="158" t="e">
        <v>#VALUE!</v>
      </c>
      <c r="AB698" s="171" t="str">
        <v/>
      </c>
      <c r="AC698" s="158">
        <v>0</v>
      </c>
      <c r="AD698" s="173" t="str">
        <f ca="1">IFERROR(__xludf.DUMMYFUNCTION("""COMPUTED_VALUE"""),"")</f>
        <v/>
      </c>
      <c r="AE698" s="154" t="str">
        <v/>
      </c>
      <c r="AF698" s="154" t="str">
        <v/>
      </c>
    </row>
    <row r="699" spans="1:32" ht="15">
      <c r="A699" s="176"/>
      <c r="B699" s="145"/>
      <c r="C699" s="169"/>
      <c r="D699" s="145"/>
      <c r="E699" s="145"/>
      <c r="F699" s="169" t="e">
        <v>#VALUE!</v>
      </c>
      <c r="G699" s="145"/>
      <c r="H699" s="145"/>
      <c r="I699" s="145"/>
      <c r="J699" s="145"/>
      <c r="K699" s="145"/>
      <c r="L699" s="145"/>
      <c r="M699" s="145"/>
      <c r="N699" s="145"/>
      <c r="O699" s="174"/>
      <c r="P699" s="174"/>
      <c r="Q699" s="158" t="str">
        <v/>
      </c>
      <c r="R699" s="158" t="str">
        <v/>
      </c>
      <c r="S699" s="158" t="str">
        <v/>
      </c>
      <c r="T699" s="158" t="str">
        <v/>
      </c>
      <c r="U699" s="158" t="str">
        <v/>
      </c>
      <c r="V699" s="158" t="str">
        <v/>
      </c>
      <c r="W699" s="158" t="str">
        <v/>
      </c>
      <c r="X699" s="158" t="str">
        <v/>
      </c>
      <c r="Y699" s="158" t="str">
        <v/>
      </c>
      <c r="Z699" s="158" t="str">
        <v/>
      </c>
      <c r="AA699" s="158" t="e">
        <v>#VALUE!</v>
      </c>
      <c r="AB699" s="171" t="str">
        <v/>
      </c>
      <c r="AC699" s="158">
        <v>0</v>
      </c>
      <c r="AD699" s="173" t="str">
        <f ca="1">IFERROR(__xludf.DUMMYFUNCTION("""COMPUTED_VALUE"""),"")</f>
        <v/>
      </c>
      <c r="AE699" s="154" t="str">
        <v/>
      </c>
      <c r="AF699" s="154" t="str">
        <v/>
      </c>
    </row>
    <row r="700" spans="1:32" ht="15">
      <c r="A700" s="176"/>
      <c r="B700" s="145"/>
      <c r="C700" s="169"/>
      <c r="D700" s="145"/>
      <c r="E700" s="145"/>
      <c r="F700" s="169" t="e">
        <v>#VALUE!</v>
      </c>
      <c r="G700" s="145"/>
      <c r="H700" s="145"/>
      <c r="I700" s="145"/>
      <c r="J700" s="145"/>
      <c r="K700" s="145"/>
      <c r="L700" s="145"/>
      <c r="M700" s="145"/>
      <c r="N700" s="145"/>
      <c r="O700" s="174"/>
      <c r="P700" s="174"/>
      <c r="Q700" s="158" t="str">
        <v/>
      </c>
      <c r="R700" s="158" t="str">
        <v/>
      </c>
      <c r="S700" s="158" t="str">
        <v/>
      </c>
      <c r="T700" s="158" t="str">
        <v/>
      </c>
      <c r="U700" s="158" t="str">
        <v/>
      </c>
      <c r="V700" s="158" t="str">
        <v/>
      </c>
      <c r="W700" s="158" t="str">
        <v/>
      </c>
      <c r="X700" s="158" t="str">
        <v/>
      </c>
      <c r="Y700" s="158" t="str">
        <v/>
      </c>
      <c r="Z700" s="158" t="str">
        <v/>
      </c>
      <c r="AA700" s="158" t="e">
        <v>#VALUE!</v>
      </c>
      <c r="AB700" s="171" t="str">
        <v/>
      </c>
      <c r="AC700" s="158">
        <v>0</v>
      </c>
      <c r="AD700" s="173" t="str">
        <f ca="1">IFERROR(__xludf.DUMMYFUNCTION("""COMPUTED_VALUE"""),"")</f>
        <v/>
      </c>
      <c r="AE700" s="154" t="str">
        <v/>
      </c>
      <c r="AF700" s="154" t="str">
        <v/>
      </c>
    </row>
    <row r="701" spans="1:32" ht="15">
      <c r="A701" s="176"/>
      <c r="B701" s="145"/>
      <c r="C701" s="169"/>
      <c r="D701" s="145"/>
      <c r="E701" s="145"/>
      <c r="F701" s="169" t="e">
        <v>#VALUE!</v>
      </c>
      <c r="G701" s="145"/>
      <c r="H701" s="145"/>
      <c r="I701" s="145"/>
      <c r="J701" s="145"/>
      <c r="K701" s="145"/>
      <c r="L701" s="145"/>
      <c r="M701" s="145"/>
      <c r="N701" s="145"/>
      <c r="O701" s="174"/>
      <c r="P701" s="174"/>
      <c r="Q701" s="158" t="str">
        <v/>
      </c>
      <c r="R701" s="158" t="str">
        <v/>
      </c>
      <c r="S701" s="158" t="str">
        <v/>
      </c>
      <c r="T701" s="158" t="str">
        <v/>
      </c>
      <c r="U701" s="158" t="str">
        <v/>
      </c>
      <c r="V701" s="158" t="str">
        <v/>
      </c>
      <c r="W701" s="158" t="str">
        <v/>
      </c>
      <c r="X701" s="158" t="str">
        <v/>
      </c>
      <c r="Y701" s="158" t="str">
        <v/>
      </c>
      <c r="Z701" s="158" t="str">
        <v/>
      </c>
      <c r="AA701" s="158" t="e">
        <v>#VALUE!</v>
      </c>
      <c r="AB701" s="171" t="str">
        <v/>
      </c>
      <c r="AC701" s="158">
        <v>0</v>
      </c>
      <c r="AD701" s="173" t="str">
        <f ca="1">IFERROR(__xludf.DUMMYFUNCTION("""COMPUTED_VALUE"""),"")</f>
        <v/>
      </c>
      <c r="AE701" s="154" t="str">
        <v/>
      </c>
      <c r="AF701" s="154" t="str">
        <v/>
      </c>
    </row>
    <row r="702" spans="1:32" ht="15">
      <c r="A702" s="176"/>
      <c r="B702" s="145"/>
      <c r="C702" s="169"/>
      <c r="D702" s="145"/>
      <c r="E702" s="145"/>
      <c r="F702" s="169" t="e">
        <v>#VALUE!</v>
      </c>
      <c r="G702" s="145"/>
      <c r="H702" s="145"/>
      <c r="I702" s="145"/>
      <c r="J702" s="145"/>
      <c r="K702" s="145"/>
      <c r="L702" s="145"/>
      <c r="M702" s="145"/>
      <c r="N702" s="145"/>
      <c r="O702" s="174"/>
      <c r="P702" s="174"/>
      <c r="Q702" s="158" t="str">
        <v/>
      </c>
      <c r="R702" s="158" t="str">
        <v/>
      </c>
      <c r="S702" s="158" t="str">
        <v/>
      </c>
      <c r="T702" s="158" t="str">
        <v/>
      </c>
      <c r="U702" s="158" t="str">
        <v/>
      </c>
      <c r="V702" s="158" t="str">
        <v/>
      </c>
      <c r="W702" s="158" t="str">
        <v/>
      </c>
      <c r="X702" s="158" t="str">
        <v/>
      </c>
      <c r="Y702" s="158" t="str">
        <v/>
      </c>
      <c r="Z702" s="158" t="str">
        <v/>
      </c>
      <c r="AA702" s="158" t="e">
        <v>#VALUE!</v>
      </c>
      <c r="AB702" s="171" t="str">
        <v/>
      </c>
      <c r="AC702" s="158">
        <v>0</v>
      </c>
      <c r="AD702" s="173" t="str">
        <f ca="1">IFERROR(__xludf.DUMMYFUNCTION("""COMPUTED_VALUE"""),"")</f>
        <v/>
      </c>
      <c r="AE702" s="154" t="str">
        <v/>
      </c>
      <c r="AF702" s="154" t="str">
        <v/>
      </c>
    </row>
    <row r="703" spans="1:32" ht="15">
      <c r="A703" s="176"/>
      <c r="B703" s="145"/>
      <c r="C703" s="169"/>
      <c r="D703" s="145"/>
      <c r="E703" s="145"/>
      <c r="F703" s="169" t="e">
        <v>#VALUE!</v>
      </c>
      <c r="G703" s="145"/>
      <c r="H703" s="145"/>
      <c r="I703" s="145"/>
      <c r="J703" s="145"/>
      <c r="K703" s="145"/>
      <c r="L703" s="145"/>
      <c r="M703" s="145"/>
      <c r="N703" s="145"/>
      <c r="O703" s="174"/>
      <c r="P703" s="174"/>
      <c r="Q703" s="158" t="str">
        <v/>
      </c>
      <c r="R703" s="158" t="str">
        <v/>
      </c>
      <c r="S703" s="158" t="str">
        <v/>
      </c>
      <c r="T703" s="158" t="str">
        <v/>
      </c>
      <c r="U703" s="158" t="str">
        <v/>
      </c>
      <c r="V703" s="158" t="str">
        <v/>
      </c>
      <c r="W703" s="158" t="str">
        <v/>
      </c>
      <c r="X703" s="158" t="str">
        <v/>
      </c>
      <c r="Y703" s="158" t="str">
        <v/>
      </c>
      <c r="Z703" s="158" t="str">
        <v/>
      </c>
      <c r="AA703" s="158" t="e">
        <v>#VALUE!</v>
      </c>
      <c r="AB703" s="171" t="str">
        <v/>
      </c>
      <c r="AC703" s="158">
        <v>0</v>
      </c>
      <c r="AD703" s="173" t="str">
        <f ca="1">IFERROR(__xludf.DUMMYFUNCTION("""COMPUTED_VALUE"""),"")</f>
        <v/>
      </c>
      <c r="AE703" s="154" t="str">
        <v/>
      </c>
      <c r="AF703" s="154" t="str">
        <v/>
      </c>
    </row>
    <row r="704" spans="1:32" ht="15">
      <c r="A704" s="176"/>
      <c r="B704" s="145"/>
      <c r="C704" s="169"/>
      <c r="D704" s="145"/>
      <c r="E704" s="145"/>
      <c r="F704" s="169" t="e">
        <v>#VALUE!</v>
      </c>
      <c r="G704" s="145"/>
      <c r="H704" s="145"/>
      <c r="I704" s="145"/>
      <c r="J704" s="145"/>
      <c r="K704" s="145"/>
      <c r="L704" s="145"/>
      <c r="M704" s="145"/>
      <c r="N704" s="145"/>
      <c r="O704" s="174"/>
      <c r="P704" s="174"/>
      <c r="Q704" s="158" t="str">
        <v/>
      </c>
      <c r="R704" s="158" t="str">
        <v/>
      </c>
      <c r="S704" s="158" t="str">
        <v/>
      </c>
      <c r="T704" s="158" t="str">
        <v/>
      </c>
      <c r="U704" s="158" t="str">
        <v/>
      </c>
      <c r="V704" s="158" t="str">
        <v/>
      </c>
      <c r="W704" s="158" t="str">
        <v/>
      </c>
      <c r="X704" s="158" t="str">
        <v/>
      </c>
      <c r="Y704" s="158" t="str">
        <v/>
      </c>
      <c r="Z704" s="158" t="str">
        <v/>
      </c>
      <c r="AA704" s="158" t="e">
        <v>#VALUE!</v>
      </c>
      <c r="AB704" s="171" t="str">
        <v/>
      </c>
      <c r="AC704" s="158">
        <v>0</v>
      </c>
      <c r="AD704" s="173" t="str">
        <f ca="1">IFERROR(__xludf.DUMMYFUNCTION("""COMPUTED_VALUE"""),"")</f>
        <v/>
      </c>
      <c r="AE704" s="154" t="str">
        <v/>
      </c>
      <c r="AF704" s="154" t="str">
        <v/>
      </c>
    </row>
    <row r="705" spans="1:32" ht="15">
      <c r="A705" s="176"/>
      <c r="B705" s="145"/>
      <c r="C705" s="169"/>
      <c r="D705" s="145"/>
      <c r="E705" s="145"/>
      <c r="F705" s="169" t="e">
        <v>#VALUE!</v>
      </c>
      <c r="G705" s="145"/>
      <c r="H705" s="145"/>
      <c r="I705" s="145"/>
      <c r="J705" s="145"/>
      <c r="K705" s="145"/>
      <c r="L705" s="145"/>
      <c r="M705" s="145"/>
      <c r="N705" s="145"/>
      <c r="O705" s="174"/>
      <c r="P705" s="174"/>
      <c r="Q705" s="158" t="str">
        <v/>
      </c>
      <c r="R705" s="158" t="str">
        <v/>
      </c>
      <c r="S705" s="158" t="str">
        <v/>
      </c>
      <c r="T705" s="158" t="str">
        <v/>
      </c>
      <c r="U705" s="158" t="str">
        <v/>
      </c>
      <c r="V705" s="158" t="str">
        <v/>
      </c>
      <c r="W705" s="158" t="str">
        <v/>
      </c>
      <c r="X705" s="158" t="str">
        <v/>
      </c>
      <c r="Y705" s="158" t="str">
        <v/>
      </c>
      <c r="Z705" s="158" t="str">
        <v/>
      </c>
      <c r="AA705" s="158" t="e">
        <v>#VALUE!</v>
      </c>
      <c r="AB705" s="171" t="str">
        <v/>
      </c>
      <c r="AC705" s="158">
        <v>0</v>
      </c>
      <c r="AD705" s="173" t="str">
        <f ca="1">IFERROR(__xludf.DUMMYFUNCTION("""COMPUTED_VALUE"""),"")</f>
        <v/>
      </c>
      <c r="AE705" s="154" t="str">
        <v/>
      </c>
      <c r="AF705" s="154" t="str">
        <v/>
      </c>
    </row>
    <row r="706" spans="1:32" ht="15">
      <c r="A706" s="176"/>
      <c r="B706" s="145"/>
      <c r="C706" s="169"/>
      <c r="D706" s="145"/>
      <c r="E706" s="145"/>
      <c r="F706" s="169" t="e">
        <v>#VALUE!</v>
      </c>
      <c r="G706" s="145"/>
      <c r="H706" s="145"/>
      <c r="I706" s="145"/>
      <c r="J706" s="145"/>
      <c r="K706" s="145"/>
      <c r="L706" s="145"/>
      <c r="M706" s="145"/>
      <c r="N706" s="145"/>
      <c r="O706" s="174"/>
      <c r="P706" s="174"/>
      <c r="Q706" s="158" t="str">
        <v/>
      </c>
      <c r="R706" s="158" t="str">
        <v/>
      </c>
      <c r="S706" s="158" t="str">
        <v/>
      </c>
      <c r="T706" s="158" t="str">
        <v/>
      </c>
      <c r="U706" s="158" t="str">
        <v/>
      </c>
      <c r="V706" s="158" t="str">
        <v/>
      </c>
      <c r="W706" s="158" t="str">
        <v/>
      </c>
      <c r="X706" s="158" t="str">
        <v/>
      </c>
      <c r="Y706" s="158" t="str">
        <v/>
      </c>
      <c r="Z706" s="158" t="str">
        <v/>
      </c>
      <c r="AA706" s="158" t="e">
        <v>#VALUE!</v>
      </c>
      <c r="AB706" s="171" t="str">
        <v/>
      </c>
      <c r="AC706" s="158">
        <v>0</v>
      </c>
      <c r="AD706" s="173" t="str">
        <f ca="1">IFERROR(__xludf.DUMMYFUNCTION("""COMPUTED_VALUE"""),"")</f>
        <v/>
      </c>
      <c r="AE706" s="154" t="str">
        <v/>
      </c>
      <c r="AF706" s="154" t="str">
        <v/>
      </c>
    </row>
    <row r="707" spans="1:32" ht="15">
      <c r="A707" s="176"/>
      <c r="B707" s="145"/>
      <c r="C707" s="169"/>
      <c r="D707" s="145"/>
      <c r="E707" s="145"/>
      <c r="F707" s="169" t="e">
        <v>#VALUE!</v>
      </c>
      <c r="G707" s="145"/>
      <c r="H707" s="145"/>
      <c r="I707" s="145"/>
      <c r="J707" s="145"/>
      <c r="K707" s="145"/>
      <c r="L707" s="145"/>
      <c r="M707" s="145"/>
      <c r="N707" s="145"/>
      <c r="O707" s="174"/>
      <c r="P707" s="174"/>
      <c r="Q707" s="158" t="str">
        <v/>
      </c>
      <c r="R707" s="158" t="str">
        <v/>
      </c>
      <c r="S707" s="158" t="str">
        <v/>
      </c>
      <c r="T707" s="158" t="str">
        <v/>
      </c>
      <c r="U707" s="158" t="str">
        <v/>
      </c>
      <c r="V707" s="158" t="str">
        <v/>
      </c>
      <c r="W707" s="158" t="str">
        <v/>
      </c>
      <c r="X707" s="158" t="str">
        <v/>
      </c>
      <c r="Y707" s="158" t="str">
        <v/>
      </c>
      <c r="Z707" s="158" t="str">
        <v/>
      </c>
      <c r="AA707" s="158" t="e">
        <v>#VALUE!</v>
      </c>
      <c r="AB707" s="171" t="str">
        <v/>
      </c>
      <c r="AC707" s="158">
        <v>0</v>
      </c>
      <c r="AD707" s="173" t="str">
        <f ca="1">IFERROR(__xludf.DUMMYFUNCTION("""COMPUTED_VALUE"""),"")</f>
        <v/>
      </c>
      <c r="AE707" s="154" t="str">
        <v/>
      </c>
      <c r="AF707" s="154" t="str">
        <v/>
      </c>
    </row>
    <row r="708" spans="1:32" ht="15">
      <c r="A708" s="176"/>
      <c r="B708" s="145"/>
      <c r="C708" s="169"/>
      <c r="D708" s="145"/>
      <c r="E708" s="145"/>
      <c r="F708" s="169" t="e">
        <v>#VALUE!</v>
      </c>
      <c r="G708" s="145"/>
      <c r="H708" s="145"/>
      <c r="I708" s="145"/>
      <c r="J708" s="145"/>
      <c r="K708" s="145"/>
      <c r="L708" s="145"/>
      <c r="M708" s="145"/>
      <c r="N708" s="145"/>
      <c r="O708" s="174"/>
      <c r="P708" s="174"/>
      <c r="Q708" s="158" t="str">
        <v/>
      </c>
      <c r="R708" s="158" t="str">
        <v/>
      </c>
      <c r="S708" s="158" t="str">
        <v/>
      </c>
      <c r="T708" s="158" t="str">
        <v/>
      </c>
      <c r="U708" s="158" t="str">
        <v/>
      </c>
      <c r="V708" s="158" t="str">
        <v/>
      </c>
      <c r="W708" s="158" t="str">
        <v/>
      </c>
      <c r="X708" s="158" t="str">
        <v/>
      </c>
      <c r="Y708" s="158" t="str">
        <v/>
      </c>
      <c r="Z708" s="158" t="str">
        <v/>
      </c>
      <c r="AA708" s="158" t="e">
        <v>#VALUE!</v>
      </c>
      <c r="AB708" s="171" t="str">
        <v/>
      </c>
      <c r="AC708" s="158">
        <v>0</v>
      </c>
      <c r="AD708" s="173" t="str">
        <f ca="1">IFERROR(__xludf.DUMMYFUNCTION("""COMPUTED_VALUE"""),"")</f>
        <v/>
      </c>
      <c r="AE708" s="154" t="str">
        <v/>
      </c>
      <c r="AF708" s="154" t="str">
        <v/>
      </c>
    </row>
    <row r="709" spans="1:32" ht="15">
      <c r="A709" s="176"/>
      <c r="B709" s="145"/>
      <c r="C709" s="169"/>
      <c r="D709" s="145"/>
      <c r="E709" s="145"/>
      <c r="F709" s="169" t="e">
        <v>#VALUE!</v>
      </c>
      <c r="G709" s="145"/>
      <c r="H709" s="145"/>
      <c r="I709" s="145"/>
      <c r="J709" s="145"/>
      <c r="K709" s="145"/>
      <c r="L709" s="145"/>
      <c r="M709" s="145"/>
      <c r="N709" s="145"/>
      <c r="O709" s="174"/>
      <c r="P709" s="174"/>
      <c r="Q709" s="158" t="str">
        <v/>
      </c>
      <c r="R709" s="158" t="str">
        <v/>
      </c>
      <c r="S709" s="158" t="str">
        <v/>
      </c>
      <c r="T709" s="158" t="str">
        <v/>
      </c>
      <c r="U709" s="158" t="str">
        <v/>
      </c>
      <c r="V709" s="158" t="str">
        <v/>
      </c>
      <c r="W709" s="158" t="str">
        <v/>
      </c>
      <c r="X709" s="158" t="str">
        <v/>
      </c>
      <c r="Y709" s="158" t="str">
        <v/>
      </c>
      <c r="Z709" s="158" t="str">
        <v/>
      </c>
      <c r="AA709" s="158" t="e">
        <v>#VALUE!</v>
      </c>
      <c r="AB709" s="171" t="str">
        <v/>
      </c>
      <c r="AC709" s="158">
        <v>0</v>
      </c>
      <c r="AD709" s="173" t="str">
        <f ca="1">IFERROR(__xludf.DUMMYFUNCTION("""COMPUTED_VALUE"""),"")</f>
        <v/>
      </c>
      <c r="AE709" s="154" t="str">
        <v/>
      </c>
      <c r="AF709" s="154" t="str">
        <v/>
      </c>
    </row>
    <row r="710" spans="1:32" ht="15">
      <c r="A710" s="176"/>
      <c r="B710" s="145"/>
      <c r="C710" s="169"/>
      <c r="D710" s="145"/>
      <c r="E710" s="145"/>
      <c r="F710" s="169" t="e">
        <v>#VALUE!</v>
      </c>
      <c r="G710" s="145"/>
      <c r="H710" s="145"/>
      <c r="I710" s="145"/>
      <c r="J710" s="145"/>
      <c r="K710" s="145"/>
      <c r="L710" s="145"/>
      <c r="M710" s="145"/>
      <c r="N710" s="145"/>
      <c r="O710" s="174"/>
      <c r="P710" s="174"/>
      <c r="Q710" s="158" t="str">
        <v/>
      </c>
      <c r="R710" s="158" t="str">
        <v/>
      </c>
      <c r="S710" s="158" t="str">
        <v/>
      </c>
      <c r="T710" s="158" t="str">
        <v/>
      </c>
      <c r="U710" s="158" t="str">
        <v/>
      </c>
      <c r="V710" s="158" t="str">
        <v/>
      </c>
      <c r="W710" s="158" t="str">
        <v/>
      </c>
      <c r="X710" s="158" t="str">
        <v/>
      </c>
      <c r="Y710" s="158" t="str">
        <v/>
      </c>
      <c r="Z710" s="158" t="str">
        <v/>
      </c>
      <c r="AA710" s="158" t="e">
        <v>#VALUE!</v>
      </c>
      <c r="AB710" s="171" t="str">
        <v/>
      </c>
      <c r="AC710" s="158">
        <v>0</v>
      </c>
      <c r="AD710" s="173" t="str">
        <f ca="1">IFERROR(__xludf.DUMMYFUNCTION("""COMPUTED_VALUE"""),"")</f>
        <v/>
      </c>
      <c r="AE710" s="154" t="str">
        <v/>
      </c>
      <c r="AF710" s="154" t="str">
        <v/>
      </c>
    </row>
    <row r="711" spans="1:32" ht="15">
      <c r="A711" s="176"/>
      <c r="B711" s="145"/>
      <c r="C711" s="169"/>
      <c r="D711" s="145"/>
      <c r="E711" s="145"/>
      <c r="F711" s="169" t="e">
        <v>#VALUE!</v>
      </c>
      <c r="G711" s="145"/>
      <c r="H711" s="145"/>
      <c r="I711" s="145"/>
      <c r="J711" s="145"/>
      <c r="K711" s="145"/>
      <c r="L711" s="145"/>
      <c r="M711" s="145"/>
      <c r="N711" s="145"/>
      <c r="O711" s="174"/>
      <c r="P711" s="174"/>
      <c r="Q711" s="158" t="str">
        <v/>
      </c>
      <c r="R711" s="158" t="str">
        <v/>
      </c>
      <c r="S711" s="158" t="str">
        <v/>
      </c>
      <c r="T711" s="158" t="str">
        <v/>
      </c>
      <c r="U711" s="158" t="str">
        <v/>
      </c>
      <c r="V711" s="158" t="str">
        <v/>
      </c>
      <c r="W711" s="158" t="str">
        <v/>
      </c>
      <c r="X711" s="158" t="str">
        <v/>
      </c>
      <c r="Y711" s="158" t="str">
        <v/>
      </c>
      <c r="Z711" s="158" t="str">
        <v/>
      </c>
      <c r="AA711" s="158" t="e">
        <v>#VALUE!</v>
      </c>
      <c r="AB711" s="171" t="str">
        <v/>
      </c>
      <c r="AC711" s="158">
        <v>0</v>
      </c>
      <c r="AD711" s="173" t="str">
        <f ca="1">IFERROR(__xludf.DUMMYFUNCTION("""COMPUTED_VALUE"""),"")</f>
        <v/>
      </c>
      <c r="AE711" s="154" t="str">
        <v/>
      </c>
      <c r="AF711" s="154" t="str">
        <v/>
      </c>
    </row>
    <row r="712" spans="1:32" ht="15">
      <c r="A712" s="176"/>
      <c r="B712" s="145"/>
      <c r="C712" s="169"/>
      <c r="D712" s="145"/>
      <c r="E712" s="145"/>
      <c r="F712" s="169" t="e">
        <v>#VALUE!</v>
      </c>
      <c r="G712" s="145"/>
      <c r="H712" s="145"/>
      <c r="I712" s="145"/>
      <c r="J712" s="145"/>
      <c r="K712" s="145"/>
      <c r="L712" s="145"/>
      <c r="M712" s="145"/>
      <c r="N712" s="145"/>
      <c r="O712" s="174"/>
      <c r="P712" s="174"/>
      <c r="Q712" s="158" t="str">
        <v/>
      </c>
      <c r="R712" s="158" t="str">
        <v/>
      </c>
      <c r="S712" s="158" t="str">
        <v/>
      </c>
      <c r="T712" s="158" t="str">
        <v/>
      </c>
      <c r="U712" s="158" t="str">
        <v/>
      </c>
      <c r="V712" s="158" t="str">
        <v/>
      </c>
      <c r="W712" s="158" t="str">
        <v/>
      </c>
      <c r="X712" s="158" t="str">
        <v/>
      </c>
      <c r="Y712" s="158" t="str">
        <v/>
      </c>
      <c r="Z712" s="158" t="str">
        <v/>
      </c>
      <c r="AA712" s="158" t="e">
        <v>#VALUE!</v>
      </c>
      <c r="AB712" s="171" t="str">
        <v/>
      </c>
      <c r="AC712" s="158">
        <v>0</v>
      </c>
      <c r="AD712" s="173" t="str">
        <f ca="1">IFERROR(__xludf.DUMMYFUNCTION("""COMPUTED_VALUE"""),"")</f>
        <v/>
      </c>
      <c r="AE712" s="154" t="str">
        <v/>
      </c>
      <c r="AF712" s="154" t="str">
        <v/>
      </c>
    </row>
    <row r="713" spans="1:32" ht="15">
      <c r="A713" s="176"/>
      <c r="B713" s="145"/>
      <c r="C713" s="169"/>
      <c r="D713" s="145"/>
      <c r="E713" s="145"/>
      <c r="F713" s="169" t="e">
        <v>#VALUE!</v>
      </c>
      <c r="G713" s="145"/>
      <c r="H713" s="145"/>
      <c r="I713" s="145"/>
      <c r="J713" s="145"/>
      <c r="K713" s="145"/>
      <c r="L713" s="145"/>
      <c r="M713" s="145"/>
      <c r="N713" s="145"/>
      <c r="O713" s="174"/>
      <c r="P713" s="174"/>
      <c r="Q713" s="158" t="str">
        <v/>
      </c>
      <c r="R713" s="158" t="str">
        <v/>
      </c>
      <c r="S713" s="158" t="str">
        <v/>
      </c>
      <c r="T713" s="158" t="str">
        <v/>
      </c>
      <c r="U713" s="158" t="str">
        <v/>
      </c>
      <c r="V713" s="158" t="str">
        <v/>
      </c>
      <c r="W713" s="158" t="str">
        <v/>
      </c>
      <c r="X713" s="158" t="str">
        <v/>
      </c>
      <c r="Y713" s="158" t="str">
        <v/>
      </c>
      <c r="Z713" s="158" t="str">
        <v/>
      </c>
      <c r="AA713" s="158" t="e">
        <v>#VALUE!</v>
      </c>
      <c r="AB713" s="171" t="str">
        <v/>
      </c>
      <c r="AC713" s="158">
        <v>0</v>
      </c>
      <c r="AD713" s="173" t="str">
        <f ca="1">IFERROR(__xludf.DUMMYFUNCTION("""COMPUTED_VALUE"""),"")</f>
        <v/>
      </c>
      <c r="AE713" s="154" t="str">
        <v/>
      </c>
      <c r="AF713" s="154" t="str">
        <v/>
      </c>
    </row>
    <row r="714" spans="1:32" ht="15">
      <c r="A714" s="176"/>
      <c r="B714" s="145"/>
      <c r="C714" s="169"/>
      <c r="D714" s="145"/>
      <c r="E714" s="145"/>
      <c r="F714" s="169" t="e">
        <v>#VALUE!</v>
      </c>
      <c r="G714" s="145"/>
      <c r="H714" s="145"/>
      <c r="I714" s="145"/>
      <c r="J714" s="145"/>
      <c r="K714" s="145"/>
      <c r="L714" s="145"/>
      <c r="M714" s="145"/>
      <c r="N714" s="145"/>
      <c r="O714" s="174"/>
      <c r="P714" s="174"/>
      <c r="Q714" s="158" t="str">
        <v/>
      </c>
      <c r="R714" s="158" t="str">
        <v/>
      </c>
      <c r="S714" s="158" t="str">
        <v/>
      </c>
      <c r="T714" s="158" t="str">
        <v/>
      </c>
      <c r="U714" s="158" t="str">
        <v/>
      </c>
      <c r="V714" s="158" t="str">
        <v/>
      </c>
      <c r="W714" s="158" t="str">
        <v/>
      </c>
      <c r="X714" s="158" t="str">
        <v/>
      </c>
      <c r="Y714" s="158" t="str">
        <v/>
      </c>
      <c r="Z714" s="158" t="str">
        <v/>
      </c>
      <c r="AA714" s="158" t="e">
        <v>#VALUE!</v>
      </c>
      <c r="AB714" s="171" t="str">
        <v/>
      </c>
      <c r="AC714" s="158">
        <v>0</v>
      </c>
      <c r="AD714" s="173" t="str">
        <f ca="1">IFERROR(__xludf.DUMMYFUNCTION("""COMPUTED_VALUE"""),"")</f>
        <v/>
      </c>
      <c r="AE714" s="154" t="str">
        <v/>
      </c>
      <c r="AF714" s="154" t="str">
        <v/>
      </c>
    </row>
    <row r="715" spans="1:32" ht="15">
      <c r="A715" s="176"/>
      <c r="B715" s="145"/>
      <c r="C715" s="169"/>
      <c r="D715" s="145"/>
      <c r="E715" s="145"/>
      <c r="F715" s="169" t="e">
        <v>#VALUE!</v>
      </c>
      <c r="G715" s="145"/>
      <c r="H715" s="145"/>
      <c r="I715" s="145"/>
      <c r="J715" s="145"/>
      <c r="K715" s="145"/>
      <c r="L715" s="145"/>
      <c r="M715" s="145"/>
      <c r="N715" s="145"/>
      <c r="O715" s="174"/>
      <c r="P715" s="174"/>
      <c r="Q715" s="158" t="str">
        <v/>
      </c>
      <c r="R715" s="158" t="str">
        <v/>
      </c>
      <c r="S715" s="158" t="str">
        <v/>
      </c>
      <c r="T715" s="158" t="str">
        <v/>
      </c>
      <c r="U715" s="158" t="str">
        <v/>
      </c>
      <c r="V715" s="158" t="str">
        <v/>
      </c>
      <c r="W715" s="158" t="str">
        <v/>
      </c>
      <c r="X715" s="158" t="str">
        <v/>
      </c>
      <c r="Y715" s="158" t="str">
        <v/>
      </c>
      <c r="Z715" s="158" t="str">
        <v/>
      </c>
      <c r="AA715" s="158" t="e">
        <v>#VALUE!</v>
      </c>
      <c r="AB715" s="171" t="str">
        <v/>
      </c>
      <c r="AC715" s="158">
        <v>0</v>
      </c>
      <c r="AD715" s="173" t="str">
        <f ca="1">IFERROR(__xludf.DUMMYFUNCTION("""COMPUTED_VALUE"""),"")</f>
        <v/>
      </c>
      <c r="AE715" s="154" t="str">
        <v/>
      </c>
      <c r="AF715" s="154" t="str">
        <v/>
      </c>
    </row>
    <row r="716" spans="1:32" ht="15">
      <c r="A716" s="176"/>
      <c r="B716" s="145"/>
      <c r="C716" s="169"/>
      <c r="D716" s="145"/>
      <c r="E716" s="145"/>
      <c r="F716" s="169" t="e">
        <v>#VALUE!</v>
      </c>
      <c r="G716" s="145"/>
      <c r="H716" s="145"/>
      <c r="I716" s="145"/>
      <c r="J716" s="145"/>
      <c r="K716" s="145"/>
      <c r="L716" s="145"/>
      <c r="M716" s="145"/>
      <c r="N716" s="145"/>
      <c r="O716" s="174"/>
      <c r="P716" s="174"/>
      <c r="Q716" s="158" t="str">
        <v/>
      </c>
      <c r="R716" s="158" t="str">
        <v/>
      </c>
      <c r="S716" s="158" t="str">
        <v/>
      </c>
      <c r="T716" s="158" t="str">
        <v/>
      </c>
      <c r="U716" s="158" t="str">
        <v/>
      </c>
      <c r="V716" s="158" t="str">
        <v/>
      </c>
      <c r="W716" s="158" t="str">
        <v/>
      </c>
      <c r="X716" s="158" t="str">
        <v/>
      </c>
      <c r="Y716" s="158" t="str">
        <v/>
      </c>
      <c r="Z716" s="158" t="str">
        <v/>
      </c>
      <c r="AA716" s="158" t="e">
        <v>#VALUE!</v>
      </c>
      <c r="AB716" s="171" t="str">
        <v/>
      </c>
      <c r="AC716" s="158">
        <v>0</v>
      </c>
      <c r="AD716" s="173" t="str">
        <f ca="1">IFERROR(__xludf.DUMMYFUNCTION("""COMPUTED_VALUE"""),"")</f>
        <v/>
      </c>
      <c r="AE716" s="154" t="str">
        <v/>
      </c>
      <c r="AF716" s="154" t="str">
        <v/>
      </c>
    </row>
    <row r="717" spans="1:32" ht="15">
      <c r="A717" s="176"/>
      <c r="B717" s="145"/>
      <c r="C717" s="169"/>
      <c r="D717" s="145"/>
      <c r="E717" s="145"/>
      <c r="F717" s="169" t="e">
        <v>#VALUE!</v>
      </c>
      <c r="G717" s="145"/>
      <c r="H717" s="145"/>
      <c r="I717" s="145"/>
      <c r="J717" s="145"/>
      <c r="K717" s="145"/>
      <c r="L717" s="145"/>
      <c r="M717" s="145"/>
      <c r="N717" s="145"/>
      <c r="O717" s="174"/>
      <c r="P717" s="174"/>
      <c r="Q717" s="158" t="str">
        <v/>
      </c>
      <c r="R717" s="158" t="str">
        <v/>
      </c>
      <c r="S717" s="158" t="str">
        <v/>
      </c>
      <c r="T717" s="158" t="str">
        <v/>
      </c>
      <c r="U717" s="158" t="str">
        <v/>
      </c>
      <c r="V717" s="158" t="str">
        <v/>
      </c>
      <c r="W717" s="158" t="str">
        <v/>
      </c>
      <c r="X717" s="158" t="str">
        <v/>
      </c>
      <c r="Y717" s="158" t="str">
        <v/>
      </c>
      <c r="Z717" s="158" t="str">
        <v/>
      </c>
      <c r="AA717" s="158" t="e">
        <v>#VALUE!</v>
      </c>
      <c r="AB717" s="171" t="str">
        <v/>
      </c>
      <c r="AC717" s="158">
        <v>0</v>
      </c>
      <c r="AD717" s="173" t="str">
        <f ca="1">IFERROR(__xludf.DUMMYFUNCTION("""COMPUTED_VALUE"""),"")</f>
        <v/>
      </c>
      <c r="AE717" s="154" t="str">
        <v/>
      </c>
      <c r="AF717" s="154" t="str">
        <v/>
      </c>
    </row>
    <row r="718" spans="1:32" ht="15">
      <c r="A718" s="176"/>
      <c r="B718" s="145"/>
      <c r="C718" s="169"/>
      <c r="D718" s="145"/>
      <c r="E718" s="145"/>
      <c r="F718" s="169" t="e">
        <v>#VALUE!</v>
      </c>
      <c r="G718" s="145"/>
      <c r="H718" s="145"/>
      <c r="I718" s="145"/>
      <c r="J718" s="145"/>
      <c r="K718" s="145"/>
      <c r="L718" s="145"/>
      <c r="M718" s="145"/>
      <c r="N718" s="145"/>
      <c r="O718" s="174"/>
      <c r="P718" s="174"/>
      <c r="Q718" s="158" t="str">
        <v/>
      </c>
      <c r="R718" s="158" t="str">
        <v/>
      </c>
      <c r="S718" s="158" t="str">
        <v/>
      </c>
      <c r="T718" s="158" t="str">
        <v/>
      </c>
      <c r="U718" s="158" t="str">
        <v/>
      </c>
      <c r="V718" s="158" t="str">
        <v/>
      </c>
      <c r="W718" s="158" t="str">
        <v/>
      </c>
      <c r="X718" s="158" t="str">
        <v/>
      </c>
      <c r="Y718" s="158" t="str">
        <v/>
      </c>
      <c r="Z718" s="158" t="str">
        <v/>
      </c>
      <c r="AA718" s="158" t="e">
        <v>#VALUE!</v>
      </c>
      <c r="AB718" s="171" t="str">
        <v/>
      </c>
      <c r="AC718" s="158">
        <v>0</v>
      </c>
      <c r="AD718" s="173" t="str">
        <f ca="1">IFERROR(__xludf.DUMMYFUNCTION("""COMPUTED_VALUE"""),"")</f>
        <v/>
      </c>
      <c r="AE718" s="154" t="str">
        <v/>
      </c>
      <c r="AF718" s="154" t="str">
        <v/>
      </c>
    </row>
    <row r="719" spans="1:32" ht="15">
      <c r="A719" s="176"/>
      <c r="B719" s="145"/>
      <c r="C719" s="169"/>
      <c r="D719" s="145"/>
      <c r="E719" s="145"/>
      <c r="F719" s="169" t="e">
        <v>#VALUE!</v>
      </c>
      <c r="G719" s="145"/>
      <c r="H719" s="145"/>
      <c r="I719" s="145"/>
      <c r="J719" s="145"/>
      <c r="K719" s="145"/>
      <c r="L719" s="145"/>
      <c r="M719" s="145"/>
      <c r="N719" s="145"/>
      <c r="O719" s="174"/>
      <c r="P719" s="174"/>
      <c r="Q719" s="158" t="str">
        <v/>
      </c>
      <c r="R719" s="158" t="str">
        <v/>
      </c>
      <c r="S719" s="158" t="str">
        <v/>
      </c>
      <c r="T719" s="158" t="str">
        <v/>
      </c>
      <c r="U719" s="158" t="str">
        <v/>
      </c>
      <c r="V719" s="158" t="str">
        <v/>
      </c>
      <c r="W719" s="158" t="str">
        <v/>
      </c>
      <c r="X719" s="158" t="str">
        <v/>
      </c>
      <c r="Y719" s="158" t="str">
        <v/>
      </c>
      <c r="Z719" s="158" t="str">
        <v/>
      </c>
      <c r="AA719" s="158" t="e">
        <v>#VALUE!</v>
      </c>
      <c r="AB719" s="171" t="str">
        <v/>
      </c>
      <c r="AC719" s="158">
        <v>0</v>
      </c>
      <c r="AD719" s="173" t="str">
        <f ca="1">IFERROR(__xludf.DUMMYFUNCTION("""COMPUTED_VALUE"""),"")</f>
        <v/>
      </c>
      <c r="AE719" s="154" t="str">
        <v/>
      </c>
      <c r="AF719" s="154" t="str">
        <v/>
      </c>
    </row>
    <row r="720" spans="1:32" ht="15">
      <c r="A720" s="176"/>
      <c r="B720" s="145"/>
      <c r="C720" s="169"/>
      <c r="D720" s="145"/>
      <c r="E720" s="145"/>
      <c r="F720" s="169" t="e">
        <v>#VALUE!</v>
      </c>
      <c r="G720" s="145"/>
      <c r="H720" s="145"/>
      <c r="I720" s="145"/>
      <c r="J720" s="145"/>
      <c r="K720" s="145"/>
      <c r="L720" s="145"/>
      <c r="M720" s="145"/>
      <c r="N720" s="145"/>
      <c r="O720" s="174"/>
      <c r="P720" s="174"/>
      <c r="Q720" s="158" t="str">
        <v/>
      </c>
      <c r="R720" s="158" t="str">
        <v/>
      </c>
      <c r="S720" s="158" t="str">
        <v/>
      </c>
      <c r="T720" s="158" t="str">
        <v/>
      </c>
      <c r="U720" s="158" t="str">
        <v/>
      </c>
      <c r="V720" s="158" t="str">
        <v/>
      </c>
      <c r="W720" s="158" t="str">
        <v/>
      </c>
      <c r="X720" s="158" t="str">
        <v/>
      </c>
      <c r="Y720" s="158" t="str">
        <v/>
      </c>
      <c r="Z720" s="158" t="str">
        <v/>
      </c>
      <c r="AA720" s="158" t="e">
        <v>#VALUE!</v>
      </c>
      <c r="AB720" s="171" t="str">
        <v/>
      </c>
      <c r="AC720" s="158">
        <v>0</v>
      </c>
      <c r="AD720" s="173" t="str">
        <f ca="1">IFERROR(__xludf.DUMMYFUNCTION("""COMPUTED_VALUE"""),"")</f>
        <v/>
      </c>
      <c r="AE720" s="154" t="str">
        <v/>
      </c>
      <c r="AF720" s="154" t="str">
        <v/>
      </c>
    </row>
    <row r="721" spans="1:32" ht="15">
      <c r="A721" s="176"/>
      <c r="B721" s="145"/>
      <c r="C721" s="169"/>
      <c r="D721" s="145"/>
      <c r="E721" s="145"/>
      <c r="F721" s="169" t="e">
        <v>#VALUE!</v>
      </c>
      <c r="G721" s="145"/>
      <c r="H721" s="145"/>
      <c r="I721" s="145"/>
      <c r="J721" s="145"/>
      <c r="K721" s="145"/>
      <c r="L721" s="145"/>
      <c r="M721" s="145"/>
      <c r="N721" s="145"/>
      <c r="O721" s="174"/>
      <c r="P721" s="174"/>
      <c r="Q721" s="158" t="str">
        <v/>
      </c>
      <c r="R721" s="158" t="str">
        <v/>
      </c>
      <c r="S721" s="158" t="str">
        <v/>
      </c>
      <c r="T721" s="158" t="str">
        <v/>
      </c>
      <c r="U721" s="158" t="str">
        <v/>
      </c>
      <c r="V721" s="158" t="str">
        <v/>
      </c>
      <c r="W721" s="158" t="str">
        <v/>
      </c>
      <c r="X721" s="158" t="str">
        <v/>
      </c>
      <c r="Y721" s="158" t="str">
        <v/>
      </c>
      <c r="Z721" s="158" t="str">
        <v/>
      </c>
      <c r="AA721" s="158" t="e">
        <v>#VALUE!</v>
      </c>
      <c r="AB721" s="171" t="str">
        <v/>
      </c>
      <c r="AC721" s="158">
        <v>0</v>
      </c>
      <c r="AD721" s="173" t="str">
        <f ca="1">IFERROR(__xludf.DUMMYFUNCTION("""COMPUTED_VALUE"""),"")</f>
        <v/>
      </c>
      <c r="AE721" s="154" t="str">
        <v/>
      </c>
      <c r="AF721" s="154" t="str">
        <v/>
      </c>
    </row>
    <row r="722" spans="1:32" ht="15">
      <c r="A722" s="176"/>
      <c r="B722" s="145"/>
      <c r="C722" s="169"/>
      <c r="D722" s="145"/>
      <c r="E722" s="145"/>
      <c r="F722" s="169" t="e">
        <v>#VALUE!</v>
      </c>
      <c r="G722" s="145"/>
      <c r="H722" s="145"/>
      <c r="I722" s="145"/>
      <c r="J722" s="145"/>
      <c r="K722" s="145"/>
      <c r="L722" s="145"/>
      <c r="M722" s="145"/>
      <c r="N722" s="145"/>
      <c r="O722" s="174"/>
      <c r="P722" s="174"/>
      <c r="Q722" s="158" t="str">
        <v/>
      </c>
      <c r="R722" s="158" t="str">
        <v/>
      </c>
      <c r="S722" s="158" t="str">
        <v/>
      </c>
      <c r="T722" s="158" t="str">
        <v/>
      </c>
      <c r="U722" s="158" t="str">
        <v/>
      </c>
      <c r="V722" s="158" t="str">
        <v/>
      </c>
      <c r="W722" s="158" t="str">
        <v/>
      </c>
      <c r="X722" s="158" t="str">
        <v/>
      </c>
      <c r="Y722" s="158" t="str">
        <v/>
      </c>
      <c r="Z722" s="158" t="str">
        <v/>
      </c>
      <c r="AA722" s="158" t="e">
        <v>#VALUE!</v>
      </c>
      <c r="AB722" s="171" t="str">
        <v/>
      </c>
      <c r="AC722" s="158">
        <v>0</v>
      </c>
      <c r="AD722" s="173" t="str">
        <f ca="1">IFERROR(__xludf.DUMMYFUNCTION("""COMPUTED_VALUE"""),"")</f>
        <v/>
      </c>
      <c r="AE722" s="154" t="str">
        <v/>
      </c>
      <c r="AF722" s="154" t="str">
        <v/>
      </c>
    </row>
    <row r="723" spans="1:32" ht="15">
      <c r="A723" s="176"/>
      <c r="B723" s="145"/>
      <c r="C723" s="169"/>
      <c r="D723" s="145"/>
      <c r="E723" s="145"/>
      <c r="F723" s="169" t="e">
        <v>#VALUE!</v>
      </c>
      <c r="G723" s="145"/>
      <c r="H723" s="145"/>
      <c r="I723" s="145"/>
      <c r="J723" s="145"/>
      <c r="K723" s="145"/>
      <c r="L723" s="145"/>
      <c r="M723" s="145"/>
      <c r="N723" s="145"/>
      <c r="O723" s="174"/>
      <c r="P723" s="174"/>
      <c r="Q723" s="158" t="str">
        <v/>
      </c>
      <c r="R723" s="158" t="str">
        <v/>
      </c>
      <c r="S723" s="158" t="str">
        <v/>
      </c>
      <c r="T723" s="158" t="str">
        <v/>
      </c>
      <c r="U723" s="158" t="str">
        <v/>
      </c>
      <c r="V723" s="158" t="str">
        <v/>
      </c>
      <c r="W723" s="158" t="str">
        <v/>
      </c>
      <c r="X723" s="158" t="str">
        <v/>
      </c>
      <c r="Y723" s="158" t="str">
        <v/>
      </c>
      <c r="Z723" s="158" t="str">
        <v/>
      </c>
      <c r="AA723" s="158" t="e">
        <v>#VALUE!</v>
      </c>
      <c r="AB723" s="171" t="str">
        <v/>
      </c>
      <c r="AC723" s="158">
        <v>0</v>
      </c>
      <c r="AD723" s="173" t="str">
        <f ca="1">IFERROR(__xludf.DUMMYFUNCTION("""COMPUTED_VALUE"""),"")</f>
        <v/>
      </c>
      <c r="AE723" s="154" t="str">
        <v/>
      </c>
      <c r="AF723" s="154" t="str">
        <v/>
      </c>
    </row>
    <row r="724" spans="1:32" ht="15">
      <c r="A724" s="176"/>
      <c r="B724" s="145"/>
      <c r="C724" s="169"/>
      <c r="D724" s="145"/>
      <c r="E724" s="145"/>
      <c r="F724" s="169" t="e">
        <v>#VALUE!</v>
      </c>
      <c r="G724" s="145"/>
      <c r="H724" s="145"/>
      <c r="I724" s="145"/>
      <c r="J724" s="145"/>
      <c r="K724" s="145"/>
      <c r="L724" s="145"/>
      <c r="M724" s="145"/>
      <c r="N724" s="145"/>
      <c r="O724" s="174"/>
      <c r="P724" s="174"/>
      <c r="Q724" s="158" t="str">
        <v/>
      </c>
      <c r="R724" s="158" t="str">
        <v/>
      </c>
      <c r="S724" s="158" t="str">
        <v/>
      </c>
      <c r="T724" s="158" t="str">
        <v/>
      </c>
      <c r="U724" s="158" t="str">
        <v/>
      </c>
      <c r="V724" s="158" t="str">
        <v/>
      </c>
      <c r="W724" s="158" t="str">
        <v/>
      </c>
      <c r="X724" s="158" t="str">
        <v/>
      </c>
      <c r="Y724" s="158" t="str">
        <v/>
      </c>
      <c r="Z724" s="158" t="str">
        <v/>
      </c>
      <c r="AA724" s="158" t="e">
        <v>#VALUE!</v>
      </c>
      <c r="AB724" s="171" t="str">
        <v/>
      </c>
      <c r="AC724" s="158">
        <v>0</v>
      </c>
      <c r="AD724" s="173" t="str">
        <f ca="1">IFERROR(__xludf.DUMMYFUNCTION("""COMPUTED_VALUE"""),"")</f>
        <v/>
      </c>
      <c r="AE724" s="154" t="str">
        <v/>
      </c>
      <c r="AF724" s="154" t="str">
        <v/>
      </c>
    </row>
    <row r="725" spans="1:32" ht="15">
      <c r="A725" s="176"/>
      <c r="B725" s="145"/>
      <c r="C725" s="169"/>
      <c r="D725" s="145"/>
      <c r="E725" s="145"/>
      <c r="F725" s="169" t="e">
        <v>#VALUE!</v>
      </c>
      <c r="G725" s="145"/>
      <c r="H725" s="145"/>
      <c r="I725" s="145"/>
      <c r="J725" s="145"/>
      <c r="K725" s="145"/>
      <c r="L725" s="145"/>
      <c r="M725" s="145"/>
      <c r="N725" s="145"/>
      <c r="O725" s="174"/>
      <c r="P725" s="174"/>
      <c r="Q725" s="158" t="str">
        <v/>
      </c>
      <c r="R725" s="158" t="str">
        <v/>
      </c>
      <c r="S725" s="158" t="str">
        <v/>
      </c>
      <c r="T725" s="158" t="str">
        <v/>
      </c>
      <c r="U725" s="158" t="str">
        <v/>
      </c>
      <c r="V725" s="158" t="str">
        <v/>
      </c>
      <c r="W725" s="158" t="str">
        <v/>
      </c>
      <c r="X725" s="158" t="str">
        <v/>
      </c>
      <c r="Y725" s="158" t="str">
        <v/>
      </c>
      <c r="Z725" s="158" t="str">
        <v/>
      </c>
      <c r="AA725" s="158" t="e">
        <v>#VALUE!</v>
      </c>
      <c r="AB725" s="171" t="str">
        <v/>
      </c>
      <c r="AC725" s="158">
        <v>0</v>
      </c>
      <c r="AD725" s="173" t="str">
        <f ca="1">IFERROR(__xludf.DUMMYFUNCTION("""COMPUTED_VALUE"""),"")</f>
        <v/>
      </c>
      <c r="AE725" s="154" t="str">
        <v/>
      </c>
      <c r="AF725" s="154" t="str">
        <v/>
      </c>
    </row>
    <row r="726" spans="1:32" ht="15">
      <c r="A726" s="176"/>
      <c r="B726" s="145"/>
      <c r="C726" s="169"/>
      <c r="D726" s="145"/>
      <c r="E726" s="145"/>
      <c r="F726" s="169" t="e">
        <v>#VALUE!</v>
      </c>
      <c r="G726" s="145"/>
      <c r="H726" s="145"/>
      <c r="I726" s="145"/>
      <c r="J726" s="145"/>
      <c r="K726" s="145"/>
      <c r="L726" s="145"/>
      <c r="M726" s="145"/>
      <c r="N726" s="145"/>
      <c r="O726" s="174"/>
      <c r="P726" s="174"/>
      <c r="Q726" s="158" t="str">
        <v/>
      </c>
      <c r="R726" s="158" t="str">
        <v/>
      </c>
      <c r="S726" s="158" t="str">
        <v/>
      </c>
      <c r="T726" s="158" t="str">
        <v/>
      </c>
      <c r="U726" s="158" t="str">
        <v/>
      </c>
      <c r="V726" s="158" t="str">
        <v/>
      </c>
      <c r="W726" s="158" t="str">
        <v/>
      </c>
      <c r="X726" s="158" t="str">
        <v/>
      </c>
      <c r="Y726" s="158" t="str">
        <v/>
      </c>
      <c r="Z726" s="158" t="str">
        <v/>
      </c>
      <c r="AA726" s="158" t="e">
        <v>#VALUE!</v>
      </c>
      <c r="AB726" s="171" t="str">
        <v/>
      </c>
      <c r="AC726" s="158">
        <v>0</v>
      </c>
      <c r="AD726" s="173" t="str">
        <f ca="1">IFERROR(__xludf.DUMMYFUNCTION("""COMPUTED_VALUE"""),"")</f>
        <v/>
      </c>
      <c r="AE726" s="154" t="str">
        <v/>
      </c>
      <c r="AF726" s="154" t="str">
        <v/>
      </c>
    </row>
    <row r="727" spans="1:32" ht="15">
      <c r="A727" s="176"/>
      <c r="B727" s="145"/>
      <c r="C727" s="169"/>
      <c r="D727" s="145"/>
      <c r="E727" s="145"/>
      <c r="F727" s="169" t="e">
        <v>#VALUE!</v>
      </c>
      <c r="G727" s="145"/>
      <c r="H727" s="145"/>
      <c r="I727" s="145"/>
      <c r="J727" s="145"/>
      <c r="K727" s="145"/>
      <c r="L727" s="145"/>
      <c r="M727" s="145"/>
      <c r="N727" s="145"/>
      <c r="O727" s="174"/>
      <c r="P727" s="174"/>
      <c r="Q727" s="158" t="str">
        <v/>
      </c>
      <c r="R727" s="158" t="str">
        <v/>
      </c>
      <c r="S727" s="158" t="str">
        <v/>
      </c>
      <c r="T727" s="158" t="str">
        <v/>
      </c>
      <c r="U727" s="158" t="str">
        <v/>
      </c>
      <c r="V727" s="158" t="str">
        <v/>
      </c>
      <c r="W727" s="158" t="str">
        <v/>
      </c>
      <c r="X727" s="158" t="str">
        <v/>
      </c>
      <c r="Y727" s="158" t="str">
        <v/>
      </c>
      <c r="Z727" s="158" t="str">
        <v/>
      </c>
      <c r="AA727" s="158" t="e">
        <v>#VALUE!</v>
      </c>
      <c r="AB727" s="171" t="str">
        <v/>
      </c>
      <c r="AC727" s="158">
        <v>0</v>
      </c>
      <c r="AD727" s="173" t="str">
        <f ca="1">IFERROR(__xludf.DUMMYFUNCTION("""COMPUTED_VALUE"""),"")</f>
        <v/>
      </c>
      <c r="AE727" s="154" t="str">
        <v/>
      </c>
      <c r="AF727" s="154" t="str">
        <v/>
      </c>
    </row>
    <row r="728" spans="1:32" ht="15">
      <c r="A728" s="176"/>
      <c r="B728" s="145"/>
      <c r="C728" s="169"/>
      <c r="D728" s="145"/>
      <c r="E728" s="145"/>
      <c r="F728" s="169" t="e">
        <v>#VALUE!</v>
      </c>
      <c r="G728" s="145"/>
      <c r="H728" s="145"/>
      <c r="I728" s="145"/>
      <c r="J728" s="145"/>
      <c r="K728" s="145"/>
      <c r="L728" s="145"/>
      <c r="M728" s="145"/>
      <c r="N728" s="145"/>
      <c r="O728" s="174"/>
      <c r="P728" s="174"/>
      <c r="Q728" s="158" t="str">
        <v/>
      </c>
      <c r="R728" s="158" t="str">
        <v/>
      </c>
      <c r="S728" s="158" t="str">
        <v/>
      </c>
      <c r="T728" s="158" t="str">
        <v/>
      </c>
      <c r="U728" s="158" t="str">
        <v/>
      </c>
      <c r="V728" s="158" t="str">
        <v/>
      </c>
      <c r="W728" s="158" t="str">
        <v/>
      </c>
      <c r="X728" s="158" t="str">
        <v/>
      </c>
      <c r="Y728" s="158" t="str">
        <v/>
      </c>
      <c r="Z728" s="158" t="str">
        <v/>
      </c>
      <c r="AA728" s="158" t="e">
        <v>#VALUE!</v>
      </c>
      <c r="AB728" s="171" t="str">
        <v/>
      </c>
      <c r="AC728" s="158">
        <v>0</v>
      </c>
      <c r="AD728" s="173" t="str">
        <f ca="1">IFERROR(__xludf.DUMMYFUNCTION("""COMPUTED_VALUE"""),"")</f>
        <v/>
      </c>
      <c r="AE728" s="154" t="str">
        <v/>
      </c>
      <c r="AF728" s="154" t="str">
        <v/>
      </c>
    </row>
    <row r="729" spans="1:32" ht="15">
      <c r="A729" s="176"/>
      <c r="B729" s="145"/>
      <c r="C729" s="169"/>
      <c r="D729" s="145"/>
      <c r="E729" s="145"/>
      <c r="F729" s="169" t="e">
        <v>#VALUE!</v>
      </c>
      <c r="G729" s="145"/>
      <c r="H729" s="145"/>
      <c r="I729" s="145"/>
      <c r="J729" s="145"/>
      <c r="K729" s="145"/>
      <c r="L729" s="145"/>
      <c r="M729" s="145"/>
      <c r="N729" s="145"/>
      <c r="O729" s="174"/>
      <c r="P729" s="174"/>
      <c r="Q729" s="158" t="str">
        <v/>
      </c>
      <c r="R729" s="158" t="str">
        <v/>
      </c>
      <c r="S729" s="158" t="str">
        <v/>
      </c>
      <c r="T729" s="158" t="str">
        <v/>
      </c>
      <c r="U729" s="158" t="str">
        <v/>
      </c>
      <c r="V729" s="158" t="str">
        <v/>
      </c>
      <c r="W729" s="158" t="str">
        <v/>
      </c>
      <c r="X729" s="158" t="str">
        <v/>
      </c>
      <c r="Y729" s="158" t="str">
        <v/>
      </c>
      <c r="Z729" s="158" t="str">
        <v/>
      </c>
      <c r="AA729" s="158" t="e">
        <v>#VALUE!</v>
      </c>
      <c r="AB729" s="171" t="str">
        <v/>
      </c>
      <c r="AC729" s="158">
        <v>0</v>
      </c>
      <c r="AD729" s="173" t="str">
        <f ca="1">IFERROR(__xludf.DUMMYFUNCTION("""COMPUTED_VALUE"""),"")</f>
        <v/>
      </c>
      <c r="AE729" s="154" t="str">
        <v/>
      </c>
      <c r="AF729" s="154" t="str">
        <v/>
      </c>
    </row>
    <row r="730" spans="1:32" ht="15">
      <c r="A730" s="176"/>
      <c r="B730" s="145"/>
      <c r="C730" s="169"/>
      <c r="D730" s="145"/>
      <c r="E730" s="145"/>
      <c r="F730" s="169" t="e">
        <v>#VALUE!</v>
      </c>
      <c r="G730" s="145"/>
      <c r="H730" s="145"/>
      <c r="I730" s="145"/>
      <c r="J730" s="145"/>
      <c r="K730" s="145"/>
      <c r="L730" s="145"/>
      <c r="M730" s="145"/>
      <c r="N730" s="145"/>
      <c r="O730" s="174"/>
      <c r="P730" s="174"/>
      <c r="Q730" s="158" t="str">
        <v/>
      </c>
      <c r="R730" s="158" t="str">
        <v/>
      </c>
      <c r="S730" s="158" t="str">
        <v/>
      </c>
      <c r="T730" s="158" t="str">
        <v/>
      </c>
      <c r="U730" s="158" t="str">
        <v/>
      </c>
      <c r="V730" s="158" t="str">
        <v/>
      </c>
      <c r="W730" s="158" t="str">
        <v/>
      </c>
      <c r="X730" s="158" t="str">
        <v/>
      </c>
      <c r="Y730" s="158" t="str">
        <v/>
      </c>
      <c r="Z730" s="158" t="str">
        <v/>
      </c>
      <c r="AA730" s="158" t="e">
        <v>#VALUE!</v>
      </c>
      <c r="AB730" s="171" t="str">
        <v/>
      </c>
      <c r="AC730" s="158">
        <v>0</v>
      </c>
      <c r="AD730" s="173" t="str">
        <f ca="1">IFERROR(__xludf.DUMMYFUNCTION("""COMPUTED_VALUE"""),"")</f>
        <v/>
      </c>
      <c r="AE730" s="154" t="str">
        <v/>
      </c>
      <c r="AF730" s="154" t="str">
        <v/>
      </c>
    </row>
    <row r="731" spans="1:32" ht="15">
      <c r="A731" s="176"/>
      <c r="B731" s="145"/>
      <c r="C731" s="169"/>
      <c r="D731" s="145"/>
      <c r="E731" s="145"/>
      <c r="F731" s="169" t="e">
        <v>#VALUE!</v>
      </c>
      <c r="G731" s="145"/>
      <c r="H731" s="145"/>
      <c r="I731" s="145"/>
      <c r="J731" s="145"/>
      <c r="K731" s="145"/>
      <c r="L731" s="145"/>
      <c r="M731" s="145"/>
      <c r="N731" s="145"/>
      <c r="O731" s="174"/>
      <c r="P731" s="174"/>
      <c r="Q731" s="158" t="str">
        <v/>
      </c>
      <c r="R731" s="158" t="str">
        <v/>
      </c>
      <c r="S731" s="158" t="str">
        <v/>
      </c>
      <c r="T731" s="158" t="str">
        <v/>
      </c>
      <c r="U731" s="158" t="str">
        <v/>
      </c>
      <c r="V731" s="158" t="str">
        <v/>
      </c>
      <c r="W731" s="158" t="str">
        <v/>
      </c>
      <c r="X731" s="158" t="str">
        <v/>
      </c>
      <c r="Y731" s="158" t="str">
        <v/>
      </c>
      <c r="Z731" s="158" t="str">
        <v/>
      </c>
      <c r="AA731" s="158" t="e">
        <v>#VALUE!</v>
      </c>
      <c r="AB731" s="171" t="str">
        <v/>
      </c>
      <c r="AC731" s="158">
        <v>0</v>
      </c>
      <c r="AD731" s="173" t="str">
        <f ca="1">IFERROR(__xludf.DUMMYFUNCTION("""COMPUTED_VALUE"""),"")</f>
        <v/>
      </c>
      <c r="AE731" s="154" t="str">
        <v/>
      </c>
      <c r="AF731" s="154" t="str">
        <v/>
      </c>
    </row>
    <row r="732" spans="1:32" ht="15">
      <c r="A732" s="176"/>
      <c r="B732" s="145"/>
      <c r="C732" s="169"/>
      <c r="D732" s="145"/>
      <c r="E732" s="145"/>
      <c r="F732" s="169" t="e">
        <v>#VALUE!</v>
      </c>
      <c r="G732" s="145"/>
      <c r="H732" s="145"/>
      <c r="I732" s="145"/>
      <c r="J732" s="145"/>
      <c r="K732" s="145"/>
      <c r="L732" s="145"/>
      <c r="M732" s="145"/>
      <c r="N732" s="145"/>
      <c r="O732" s="174"/>
      <c r="P732" s="174"/>
      <c r="Q732" s="158" t="str">
        <v/>
      </c>
      <c r="R732" s="158" t="str">
        <v/>
      </c>
      <c r="S732" s="158" t="str">
        <v/>
      </c>
      <c r="T732" s="158" t="str">
        <v/>
      </c>
      <c r="U732" s="158" t="str">
        <v/>
      </c>
      <c r="V732" s="158" t="str">
        <v/>
      </c>
      <c r="W732" s="158" t="str">
        <v/>
      </c>
      <c r="X732" s="158" t="str">
        <v/>
      </c>
      <c r="Y732" s="158" t="str">
        <v/>
      </c>
      <c r="Z732" s="158" t="str">
        <v/>
      </c>
      <c r="AA732" s="158" t="e">
        <v>#VALUE!</v>
      </c>
      <c r="AB732" s="171" t="str">
        <v/>
      </c>
      <c r="AC732" s="158">
        <v>0</v>
      </c>
      <c r="AD732" s="173" t="str">
        <f ca="1">IFERROR(__xludf.DUMMYFUNCTION("""COMPUTED_VALUE"""),"")</f>
        <v/>
      </c>
      <c r="AE732" s="154" t="str">
        <v/>
      </c>
      <c r="AF732" s="154" t="str">
        <v/>
      </c>
    </row>
    <row r="733" spans="1:32" ht="15">
      <c r="A733" s="176"/>
      <c r="B733" s="145"/>
      <c r="C733" s="169"/>
      <c r="D733" s="145"/>
      <c r="E733" s="145"/>
      <c r="F733" s="169" t="e">
        <v>#VALUE!</v>
      </c>
      <c r="G733" s="145"/>
      <c r="H733" s="145"/>
      <c r="I733" s="145"/>
      <c r="J733" s="145"/>
      <c r="K733" s="145"/>
      <c r="L733" s="145"/>
      <c r="M733" s="145"/>
      <c r="N733" s="145"/>
      <c r="O733" s="174"/>
      <c r="P733" s="174"/>
      <c r="Q733" s="158" t="str">
        <v/>
      </c>
      <c r="R733" s="158" t="str">
        <v/>
      </c>
      <c r="S733" s="158" t="str">
        <v/>
      </c>
      <c r="T733" s="158" t="str">
        <v/>
      </c>
      <c r="U733" s="158" t="str">
        <v/>
      </c>
      <c r="V733" s="158" t="str">
        <v/>
      </c>
      <c r="W733" s="158" t="str">
        <v/>
      </c>
      <c r="X733" s="158" t="str">
        <v/>
      </c>
      <c r="Y733" s="158" t="str">
        <v/>
      </c>
      <c r="Z733" s="158" t="str">
        <v/>
      </c>
      <c r="AA733" s="158" t="e">
        <v>#VALUE!</v>
      </c>
      <c r="AB733" s="171" t="str">
        <v/>
      </c>
      <c r="AC733" s="158">
        <v>0</v>
      </c>
      <c r="AD733" s="173" t="str">
        <f ca="1">IFERROR(__xludf.DUMMYFUNCTION("""COMPUTED_VALUE"""),"")</f>
        <v/>
      </c>
      <c r="AE733" s="154" t="str">
        <v/>
      </c>
      <c r="AF733" s="154" t="str">
        <v/>
      </c>
    </row>
    <row r="734" spans="1:32" ht="15">
      <c r="A734" s="176"/>
      <c r="B734" s="145"/>
      <c r="C734" s="169"/>
      <c r="D734" s="145"/>
      <c r="E734" s="145"/>
      <c r="F734" s="169" t="e">
        <v>#VALUE!</v>
      </c>
      <c r="G734" s="145"/>
      <c r="H734" s="145"/>
      <c r="I734" s="145"/>
      <c r="J734" s="145"/>
      <c r="K734" s="145"/>
      <c r="L734" s="145"/>
      <c r="M734" s="145"/>
      <c r="N734" s="145"/>
      <c r="O734" s="174"/>
      <c r="P734" s="174"/>
      <c r="Q734" s="158" t="str">
        <v/>
      </c>
      <c r="R734" s="158" t="str">
        <v/>
      </c>
      <c r="S734" s="158" t="str">
        <v/>
      </c>
      <c r="T734" s="158" t="str">
        <v/>
      </c>
      <c r="U734" s="158" t="str">
        <v/>
      </c>
      <c r="V734" s="158" t="str">
        <v/>
      </c>
      <c r="W734" s="158" t="str">
        <v/>
      </c>
      <c r="X734" s="158" t="str">
        <v/>
      </c>
      <c r="Y734" s="158" t="str">
        <v/>
      </c>
      <c r="Z734" s="158" t="str">
        <v/>
      </c>
      <c r="AA734" s="158" t="e">
        <v>#VALUE!</v>
      </c>
      <c r="AB734" s="171" t="str">
        <v/>
      </c>
      <c r="AC734" s="158">
        <v>0</v>
      </c>
      <c r="AD734" s="173" t="str">
        <f ca="1">IFERROR(__xludf.DUMMYFUNCTION("""COMPUTED_VALUE"""),"")</f>
        <v/>
      </c>
      <c r="AE734" s="154" t="str">
        <v/>
      </c>
      <c r="AF734" s="154" t="str">
        <v/>
      </c>
    </row>
    <row r="735" spans="1:32" ht="15">
      <c r="A735" s="176"/>
      <c r="B735" s="145"/>
      <c r="C735" s="169"/>
      <c r="D735" s="145"/>
      <c r="E735" s="145"/>
      <c r="F735" s="169" t="e">
        <v>#VALUE!</v>
      </c>
      <c r="G735" s="145"/>
      <c r="H735" s="145"/>
      <c r="I735" s="145"/>
      <c r="J735" s="145"/>
      <c r="K735" s="145"/>
      <c r="L735" s="145"/>
      <c r="M735" s="145"/>
      <c r="N735" s="145"/>
      <c r="O735" s="174"/>
      <c r="P735" s="174"/>
      <c r="Q735" s="158" t="str">
        <v/>
      </c>
      <c r="R735" s="158" t="str">
        <v/>
      </c>
      <c r="S735" s="158" t="str">
        <v/>
      </c>
      <c r="T735" s="158" t="str">
        <v/>
      </c>
      <c r="U735" s="158" t="str">
        <v/>
      </c>
      <c r="V735" s="158" t="str">
        <v/>
      </c>
      <c r="W735" s="158" t="str">
        <v/>
      </c>
      <c r="X735" s="158" t="str">
        <v/>
      </c>
      <c r="Y735" s="158" t="str">
        <v/>
      </c>
      <c r="Z735" s="158" t="str">
        <v/>
      </c>
      <c r="AA735" s="158" t="e">
        <v>#VALUE!</v>
      </c>
      <c r="AB735" s="171" t="str">
        <v/>
      </c>
      <c r="AC735" s="158">
        <v>0</v>
      </c>
      <c r="AD735" s="173" t="str">
        <f ca="1">IFERROR(__xludf.DUMMYFUNCTION("""COMPUTED_VALUE"""),"")</f>
        <v/>
      </c>
      <c r="AE735" s="154" t="str">
        <v/>
      </c>
      <c r="AF735" s="154" t="str">
        <v/>
      </c>
    </row>
    <row r="736" spans="1:32" ht="15">
      <c r="A736" s="176"/>
      <c r="B736" s="145"/>
      <c r="C736" s="169"/>
      <c r="D736" s="145"/>
      <c r="E736" s="145"/>
      <c r="F736" s="169" t="e">
        <v>#VALUE!</v>
      </c>
      <c r="G736" s="145"/>
      <c r="H736" s="145"/>
      <c r="I736" s="145"/>
      <c r="J736" s="145"/>
      <c r="K736" s="145"/>
      <c r="L736" s="145"/>
      <c r="M736" s="145"/>
      <c r="N736" s="145"/>
      <c r="O736" s="174"/>
      <c r="P736" s="174"/>
      <c r="Q736" s="158" t="str">
        <v/>
      </c>
      <c r="R736" s="158" t="str">
        <v/>
      </c>
      <c r="S736" s="158" t="str">
        <v/>
      </c>
      <c r="T736" s="158" t="str">
        <v/>
      </c>
      <c r="U736" s="158" t="str">
        <v/>
      </c>
      <c r="V736" s="158" t="str">
        <v/>
      </c>
      <c r="W736" s="158" t="str">
        <v/>
      </c>
      <c r="X736" s="158" t="str">
        <v/>
      </c>
      <c r="Y736" s="158" t="str">
        <v/>
      </c>
      <c r="Z736" s="158" t="str">
        <v/>
      </c>
      <c r="AA736" s="158" t="e">
        <v>#VALUE!</v>
      </c>
      <c r="AB736" s="171" t="str">
        <v/>
      </c>
      <c r="AC736" s="158">
        <v>0</v>
      </c>
      <c r="AD736" s="173" t="str">
        <f ca="1">IFERROR(__xludf.DUMMYFUNCTION("""COMPUTED_VALUE"""),"")</f>
        <v/>
      </c>
      <c r="AE736" s="154" t="str">
        <v/>
      </c>
      <c r="AF736" s="154" t="str">
        <v/>
      </c>
    </row>
    <row r="737" spans="1:32" ht="15">
      <c r="A737" s="176"/>
      <c r="B737" s="145"/>
      <c r="C737" s="169"/>
      <c r="D737" s="145"/>
      <c r="E737" s="145"/>
      <c r="F737" s="169" t="e">
        <v>#VALUE!</v>
      </c>
      <c r="G737" s="145"/>
      <c r="H737" s="145"/>
      <c r="I737" s="145"/>
      <c r="J737" s="145"/>
      <c r="K737" s="145"/>
      <c r="L737" s="145"/>
      <c r="M737" s="145"/>
      <c r="N737" s="145"/>
      <c r="O737" s="174"/>
      <c r="P737" s="174"/>
      <c r="Q737" s="158" t="str">
        <v/>
      </c>
      <c r="R737" s="158" t="str">
        <v/>
      </c>
      <c r="S737" s="158" t="str">
        <v/>
      </c>
      <c r="T737" s="158" t="str">
        <v/>
      </c>
      <c r="U737" s="158" t="str">
        <v/>
      </c>
      <c r="V737" s="158" t="str">
        <v/>
      </c>
      <c r="W737" s="158" t="str">
        <v/>
      </c>
      <c r="X737" s="158" t="str">
        <v/>
      </c>
      <c r="Y737" s="158" t="str">
        <v/>
      </c>
      <c r="Z737" s="158" t="str">
        <v/>
      </c>
      <c r="AA737" s="158" t="e">
        <v>#VALUE!</v>
      </c>
      <c r="AB737" s="171" t="str">
        <v/>
      </c>
      <c r="AC737" s="158">
        <v>0</v>
      </c>
      <c r="AD737" s="173" t="str">
        <f ca="1">IFERROR(__xludf.DUMMYFUNCTION("""COMPUTED_VALUE"""),"")</f>
        <v/>
      </c>
      <c r="AE737" s="154" t="str">
        <v/>
      </c>
      <c r="AF737" s="154" t="str">
        <v/>
      </c>
    </row>
    <row r="738" spans="1:32" ht="15">
      <c r="A738" s="176"/>
      <c r="B738" s="145"/>
      <c r="C738" s="169"/>
      <c r="D738" s="145"/>
      <c r="E738" s="145"/>
      <c r="F738" s="169" t="e">
        <v>#VALUE!</v>
      </c>
      <c r="G738" s="145"/>
      <c r="H738" s="145"/>
      <c r="I738" s="145"/>
      <c r="J738" s="145"/>
      <c r="K738" s="145"/>
      <c r="L738" s="145"/>
      <c r="M738" s="145"/>
      <c r="N738" s="145"/>
      <c r="O738" s="174"/>
      <c r="P738" s="174"/>
      <c r="Q738" s="158" t="str">
        <v/>
      </c>
      <c r="R738" s="158" t="str">
        <v/>
      </c>
      <c r="S738" s="158" t="str">
        <v/>
      </c>
      <c r="T738" s="158" t="str">
        <v/>
      </c>
      <c r="U738" s="158" t="str">
        <v/>
      </c>
      <c r="V738" s="158" t="str">
        <v/>
      </c>
      <c r="W738" s="158" t="str">
        <v/>
      </c>
      <c r="X738" s="158" t="str">
        <v/>
      </c>
      <c r="Y738" s="158" t="str">
        <v/>
      </c>
      <c r="Z738" s="158" t="str">
        <v/>
      </c>
      <c r="AA738" s="158" t="e">
        <v>#VALUE!</v>
      </c>
      <c r="AB738" s="171" t="str">
        <v/>
      </c>
      <c r="AC738" s="158">
        <v>0</v>
      </c>
      <c r="AD738" s="173" t="str">
        <f ca="1">IFERROR(__xludf.DUMMYFUNCTION("""COMPUTED_VALUE"""),"")</f>
        <v/>
      </c>
      <c r="AE738" s="154" t="str">
        <v/>
      </c>
      <c r="AF738" s="154" t="str">
        <v/>
      </c>
    </row>
    <row r="739" spans="1:32" ht="15">
      <c r="A739" s="176"/>
      <c r="B739" s="145"/>
      <c r="C739" s="169"/>
      <c r="D739" s="145"/>
      <c r="E739" s="145"/>
      <c r="F739" s="169" t="e">
        <v>#VALUE!</v>
      </c>
      <c r="G739" s="145"/>
      <c r="H739" s="145"/>
      <c r="I739" s="145"/>
      <c r="J739" s="145"/>
      <c r="K739" s="145"/>
      <c r="L739" s="145"/>
      <c r="M739" s="145"/>
      <c r="N739" s="145"/>
      <c r="O739" s="174"/>
      <c r="P739" s="174"/>
      <c r="Q739" s="158" t="str">
        <v/>
      </c>
      <c r="R739" s="158" t="str">
        <v/>
      </c>
      <c r="S739" s="158" t="str">
        <v/>
      </c>
      <c r="T739" s="158" t="str">
        <v/>
      </c>
      <c r="U739" s="158" t="str">
        <v/>
      </c>
      <c r="V739" s="158" t="str">
        <v/>
      </c>
      <c r="W739" s="158" t="str">
        <v/>
      </c>
      <c r="X739" s="158" t="str">
        <v/>
      </c>
      <c r="Y739" s="158" t="str">
        <v/>
      </c>
      <c r="Z739" s="158" t="str">
        <v/>
      </c>
      <c r="AA739" s="158" t="e">
        <v>#VALUE!</v>
      </c>
      <c r="AB739" s="171" t="str">
        <v/>
      </c>
      <c r="AC739" s="158">
        <v>0</v>
      </c>
      <c r="AD739" s="173" t="str">
        <f ca="1">IFERROR(__xludf.DUMMYFUNCTION("""COMPUTED_VALUE"""),"")</f>
        <v/>
      </c>
      <c r="AE739" s="154" t="str">
        <v/>
      </c>
      <c r="AF739" s="154" t="str">
        <v/>
      </c>
    </row>
    <row r="740" spans="1:32" ht="15">
      <c r="A740" s="176"/>
      <c r="B740" s="145"/>
      <c r="C740" s="169"/>
      <c r="D740" s="145"/>
      <c r="E740" s="145"/>
      <c r="F740" s="169" t="e">
        <v>#VALUE!</v>
      </c>
      <c r="G740" s="145"/>
      <c r="H740" s="145"/>
      <c r="I740" s="145"/>
      <c r="J740" s="145"/>
      <c r="K740" s="145"/>
      <c r="L740" s="145"/>
      <c r="M740" s="145"/>
      <c r="N740" s="145"/>
      <c r="O740" s="174"/>
      <c r="P740" s="174"/>
      <c r="Q740" s="158" t="str">
        <v/>
      </c>
      <c r="R740" s="158" t="str">
        <v/>
      </c>
      <c r="S740" s="158" t="str">
        <v/>
      </c>
      <c r="T740" s="158" t="str">
        <v/>
      </c>
      <c r="U740" s="158" t="str">
        <v/>
      </c>
      <c r="V740" s="158" t="str">
        <v/>
      </c>
      <c r="W740" s="158" t="str">
        <v/>
      </c>
      <c r="X740" s="158" t="str">
        <v/>
      </c>
      <c r="Y740" s="158" t="str">
        <v/>
      </c>
      <c r="Z740" s="158" t="str">
        <v/>
      </c>
      <c r="AA740" s="158" t="e">
        <v>#VALUE!</v>
      </c>
      <c r="AB740" s="171" t="str">
        <v/>
      </c>
      <c r="AC740" s="158">
        <v>0</v>
      </c>
      <c r="AD740" s="173" t="str">
        <f ca="1">IFERROR(__xludf.DUMMYFUNCTION("""COMPUTED_VALUE"""),"")</f>
        <v/>
      </c>
      <c r="AE740" s="154" t="str">
        <v/>
      </c>
      <c r="AF740" s="154" t="str">
        <v/>
      </c>
    </row>
    <row r="741" spans="1:32" ht="15">
      <c r="A741" s="176"/>
      <c r="B741" s="145"/>
      <c r="C741" s="169"/>
      <c r="D741" s="145"/>
      <c r="E741" s="145"/>
      <c r="F741" s="169" t="e">
        <v>#VALUE!</v>
      </c>
      <c r="G741" s="145"/>
      <c r="H741" s="145"/>
      <c r="I741" s="145"/>
      <c r="J741" s="145"/>
      <c r="K741" s="145"/>
      <c r="L741" s="145"/>
      <c r="M741" s="145"/>
      <c r="N741" s="145"/>
      <c r="O741" s="174"/>
      <c r="P741" s="174"/>
      <c r="Q741" s="158" t="str">
        <v/>
      </c>
      <c r="R741" s="158" t="str">
        <v/>
      </c>
      <c r="S741" s="158" t="str">
        <v/>
      </c>
      <c r="T741" s="158" t="str">
        <v/>
      </c>
      <c r="U741" s="158" t="str">
        <v/>
      </c>
      <c r="V741" s="158" t="str">
        <v/>
      </c>
      <c r="W741" s="158" t="str">
        <v/>
      </c>
      <c r="X741" s="158" t="str">
        <v/>
      </c>
      <c r="Y741" s="158" t="str">
        <v/>
      </c>
      <c r="Z741" s="158" t="str">
        <v/>
      </c>
      <c r="AA741" s="158" t="e">
        <v>#VALUE!</v>
      </c>
      <c r="AB741" s="171" t="str">
        <v/>
      </c>
      <c r="AC741" s="158">
        <v>0</v>
      </c>
      <c r="AD741" s="173" t="str">
        <f ca="1">IFERROR(__xludf.DUMMYFUNCTION("""COMPUTED_VALUE"""),"")</f>
        <v/>
      </c>
      <c r="AE741" s="154" t="str">
        <v/>
      </c>
      <c r="AF741" s="154" t="str">
        <v/>
      </c>
    </row>
    <row r="742" spans="1:32" ht="15">
      <c r="A742" s="176"/>
      <c r="B742" s="145"/>
      <c r="C742" s="169"/>
      <c r="D742" s="145"/>
      <c r="E742" s="145"/>
      <c r="F742" s="169" t="e">
        <v>#VALUE!</v>
      </c>
      <c r="G742" s="145"/>
      <c r="H742" s="145"/>
      <c r="I742" s="145"/>
      <c r="J742" s="145"/>
      <c r="K742" s="145"/>
      <c r="L742" s="145"/>
      <c r="M742" s="145"/>
      <c r="N742" s="145"/>
      <c r="O742" s="174"/>
      <c r="P742" s="174"/>
      <c r="Q742" s="158" t="str">
        <v/>
      </c>
      <c r="R742" s="158" t="str">
        <v/>
      </c>
      <c r="S742" s="158" t="str">
        <v/>
      </c>
      <c r="T742" s="158" t="str">
        <v/>
      </c>
      <c r="U742" s="158" t="str">
        <v/>
      </c>
      <c r="V742" s="158" t="str">
        <v/>
      </c>
      <c r="W742" s="158" t="str">
        <v/>
      </c>
      <c r="X742" s="158" t="str">
        <v/>
      </c>
      <c r="Y742" s="158" t="str">
        <v/>
      </c>
      <c r="Z742" s="158" t="str">
        <v/>
      </c>
      <c r="AA742" s="158" t="e">
        <v>#VALUE!</v>
      </c>
      <c r="AB742" s="171" t="str">
        <v/>
      </c>
      <c r="AC742" s="158">
        <v>0</v>
      </c>
      <c r="AD742" s="173" t="str">
        <f ca="1">IFERROR(__xludf.DUMMYFUNCTION("""COMPUTED_VALUE"""),"")</f>
        <v/>
      </c>
      <c r="AE742" s="154" t="str">
        <v/>
      </c>
      <c r="AF742" s="154" t="str">
        <v/>
      </c>
    </row>
    <row r="743" spans="1:32" ht="15">
      <c r="A743" s="176"/>
      <c r="B743" s="145"/>
      <c r="C743" s="169"/>
      <c r="D743" s="145"/>
      <c r="E743" s="145"/>
      <c r="F743" s="169" t="e">
        <v>#VALUE!</v>
      </c>
      <c r="G743" s="145"/>
      <c r="H743" s="145"/>
      <c r="I743" s="145"/>
      <c r="J743" s="145"/>
      <c r="K743" s="145"/>
      <c r="L743" s="145"/>
      <c r="M743" s="145"/>
      <c r="N743" s="145"/>
      <c r="O743" s="174"/>
      <c r="P743" s="174"/>
      <c r="Q743" s="158" t="str">
        <v/>
      </c>
      <c r="R743" s="158" t="str">
        <v/>
      </c>
      <c r="S743" s="158" t="str">
        <v/>
      </c>
      <c r="T743" s="158" t="str">
        <v/>
      </c>
      <c r="U743" s="158" t="str">
        <v/>
      </c>
      <c r="V743" s="158" t="str">
        <v/>
      </c>
      <c r="W743" s="158" t="str">
        <v/>
      </c>
      <c r="X743" s="158" t="str">
        <v/>
      </c>
      <c r="Y743" s="158" t="str">
        <v/>
      </c>
      <c r="Z743" s="158" t="str">
        <v/>
      </c>
      <c r="AA743" s="158" t="e">
        <v>#VALUE!</v>
      </c>
      <c r="AB743" s="171" t="str">
        <v/>
      </c>
      <c r="AC743" s="158">
        <v>0</v>
      </c>
      <c r="AD743" s="173" t="str">
        <f ca="1">IFERROR(__xludf.DUMMYFUNCTION("""COMPUTED_VALUE"""),"")</f>
        <v/>
      </c>
      <c r="AE743" s="154" t="str">
        <v/>
      </c>
      <c r="AF743" s="154" t="str">
        <v/>
      </c>
    </row>
    <row r="744" spans="1:32" ht="15">
      <c r="A744" s="176"/>
      <c r="B744" s="145"/>
      <c r="C744" s="169"/>
      <c r="D744" s="145"/>
      <c r="E744" s="145"/>
      <c r="F744" s="169" t="e">
        <v>#VALUE!</v>
      </c>
      <c r="G744" s="145"/>
      <c r="H744" s="145"/>
      <c r="I744" s="145"/>
      <c r="J744" s="145"/>
      <c r="K744" s="145"/>
      <c r="L744" s="145"/>
      <c r="M744" s="145"/>
      <c r="N744" s="145"/>
      <c r="O744" s="174"/>
      <c r="P744" s="174"/>
      <c r="Q744" s="158" t="str">
        <v/>
      </c>
      <c r="R744" s="158" t="str">
        <v/>
      </c>
      <c r="S744" s="158" t="str">
        <v/>
      </c>
      <c r="T744" s="158" t="str">
        <v/>
      </c>
      <c r="U744" s="158" t="str">
        <v/>
      </c>
      <c r="V744" s="158" t="str">
        <v/>
      </c>
      <c r="W744" s="158" t="str">
        <v/>
      </c>
      <c r="X744" s="158" t="str">
        <v/>
      </c>
      <c r="Y744" s="158" t="str">
        <v/>
      </c>
      <c r="Z744" s="158" t="str">
        <v/>
      </c>
      <c r="AA744" s="158" t="e">
        <v>#VALUE!</v>
      </c>
      <c r="AB744" s="171" t="str">
        <v/>
      </c>
      <c r="AC744" s="158">
        <v>0</v>
      </c>
      <c r="AD744" s="173" t="str">
        <f ca="1">IFERROR(__xludf.DUMMYFUNCTION("""COMPUTED_VALUE"""),"")</f>
        <v/>
      </c>
      <c r="AE744" s="154" t="str">
        <v/>
      </c>
      <c r="AF744" s="154" t="str">
        <v/>
      </c>
    </row>
    <row r="745" spans="1:32" ht="15">
      <c r="A745" s="176"/>
      <c r="B745" s="145"/>
      <c r="C745" s="169"/>
      <c r="D745" s="145"/>
      <c r="E745" s="145"/>
      <c r="F745" s="169" t="e">
        <v>#VALUE!</v>
      </c>
      <c r="G745" s="145"/>
      <c r="H745" s="145"/>
      <c r="I745" s="145"/>
      <c r="J745" s="145"/>
      <c r="K745" s="145"/>
      <c r="L745" s="145"/>
      <c r="M745" s="145"/>
      <c r="N745" s="145"/>
      <c r="O745" s="174"/>
      <c r="P745" s="174"/>
      <c r="Q745" s="158" t="str">
        <v/>
      </c>
      <c r="R745" s="158" t="str">
        <v/>
      </c>
      <c r="S745" s="158" t="str">
        <v/>
      </c>
      <c r="T745" s="158" t="str">
        <v/>
      </c>
      <c r="U745" s="158" t="str">
        <v/>
      </c>
      <c r="V745" s="158" t="str">
        <v/>
      </c>
      <c r="W745" s="158" t="str">
        <v/>
      </c>
      <c r="X745" s="158" t="str">
        <v/>
      </c>
      <c r="Y745" s="158" t="str">
        <v/>
      </c>
      <c r="Z745" s="158" t="str">
        <v/>
      </c>
      <c r="AA745" s="158" t="e">
        <v>#VALUE!</v>
      </c>
      <c r="AB745" s="171" t="str">
        <v/>
      </c>
      <c r="AC745" s="158">
        <v>0</v>
      </c>
      <c r="AD745" s="173" t="str">
        <f ca="1">IFERROR(__xludf.DUMMYFUNCTION("""COMPUTED_VALUE"""),"")</f>
        <v/>
      </c>
      <c r="AE745" s="154" t="str">
        <v/>
      </c>
      <c r="AF745" s="154" t="str">
        <v/>
      </c>
    </row>
    <row r="746" spans="1:32" ht="15">
      <c r="A746" s="176"/>
      <c r="B746" s="145"/>
      <c r="C746" s="169"/>
      <c r="D746" s="145"/>
      <c r="E746" s="145"/>
      <c r="F746" s="169" t="e">
        <v>#VALUE!</v>
      </c>
      <c r="G746" s="145"/>
      <c r="H746" s="145"/>
      <c r="I746" s="145"/>
      <c r="J746" s="145"/>
      <c r="K746" s="145"/>
      <c r="L746" s="145"/>
      <c r="M746" s="145"/>
      <c r="N746" s="145"/>
      <c r="O746" s="174"/>
      <c r="P746" s="174"/>
      <c r="Q746" s="158" t="str">
        <v/>
      </c>
      <c r="R746" s="158" t="str">
        <v/>
      </c>
      <c r="S746" s="158" t="str">
        <v/>
      </c>
      <c r="T746" s="158" t="str">
        <v/>
      </c>
      <c r="U746" s="158" t="str">
        <v/>
      </c>
      <c r="V746" s="158" t="str">
        <v/>
      </c>
      <c r="W746" s="158" t="str">
        <v/>
      </c>
      <c r="X746" s="158" t="str">
        <v/>
      </c>
      <c r="Y746" s="158" t="str">
        <v/>
      </c>
      <c r="Z746" s="158" t="str">
        <v/>
      </c>
      <c r="AA746" s="158" t="e">
        <v>#VALUE!</v>
      </c>
      <c r="AB746" s="171" t="str">
        <v/>
      </c>
      <c r="AC746" s="158">
        <v>0</v>
      </c>
      <c r="AD746" s="173" t="str">
        <f ca="1">IFERROR(__xludf.DUMMYFUNCTION("""COMPUTED_VALUE"""),"")</f>
        <v/>
      </c>
      <c r="AE746" s="154" t="str">
        <v/>
      </c>
      <c r="AF746" s="154" t="str">
        <v/>
      </c>
    </row>
    <row r="747" spans="1:32" ht="15">
      <c r="A747" s="176"/>
      <c r="B747" s="145"/>
      <c r="C747" s="169"/>
      <c r="D747" s="145"/>
      <c r="E747" s="145"/>
      <c r="F747" s="169" t="e">
        <v>#VALUE!</v>
      </c>
      <c r="G747" s="145"/>
      <c r="H747" s="145"/>
      <c r="I747" s="145"/>
      <c r="J747" s="145"/>
      <c r="K747" s="145"/>
      <c r="L747" s="145"/>
      <c r="M747" s="145"/>
      <c r="N747" s="145"/>
      <c r="O747" s="174"/>
      <c r="P747" s="174"/>
      <c r="Q747" s="158" t="str">
        <v/>
      </c>
      <c r="R747" s="158" t="str">
        <v/>
      </c>
      <c r="S747" s="158" t="str">
        <v/>
      </c>
      <c r="T747" s="158" t="str">
        <v/>
      </c>
      <c r="U747" s="158" t="str">
        <v/>
      </c>
      <c r="V747" s="158" t="str">
        <v/>
      </c>
      <c r="W747" s="158" t="str">
        <v/>
      </c>
      <c r="X747" s="158" t="str">
        <v/>
      </c>
      <c r="Y747" s="158" t="str">
        <v/>
      </c>
      <c r="Z747" s="158" t="str">
        <v/>
      </c>
      <c r="AA747" s="158" t="e">
        <v>#VALUE!</v>
      </c>
      <c r="AB747" s="171" t="str">
        <v/>
      </c>
      <c r="AC747" s="158">
        <v>0</v>
      </c>
      <c r="AD747" s="173" t="str">
        <f ca="1">IFERROR(__xludf.DUMMYFUNCTION("""COMPUTED_VALUE"""),"")</f>
        <v/>
      </c>
      <c r="AE747" s="154" t="str">
        <v/>
      </c>
      <c r="AF747" s="154" t="str">
        <v/>
      </c>
    </row>
    <row r="748" spans="1:32" ht="15">
      <c r="A748" s="176"/>
      <c r="B748" s="145"/>
      <c r="C748" s="169"/>
      <c r="D748" s="145"/>
      <c r="E748" s="145"/>
      <c r="F748" s="169" t="e">
        <v>#VALUE!</v>
      </c>
      <c r="G748" s="145"/>
      <c r="H748" s="145"/>
      <c r="I748" s="145"/>
      <c r="J748" s="145"/>
      <c r="K748" s="145"/>
      <c r="L748" s="145"/>
      <c r="M748" s="145"/>
      <c r="N748" s="145"/>
      <c r="O748" s="174"/>
      <c r="P748" s="174"/>
      <c r="Q748" s="158" t="str">
        <v/>
      </c>
      <c r="R748" s="158" t="str">
        <v/>
      </c>
      <c r="S748" s="158" t="str">
        <v/>
      </c>
      <c r="T748" s="158" t="str">
        <v/>
      </c>
      <c r="U748" s="158" t="str">
        <v/>
      </c>
      <c r="V748" s="158" t="str">
        <v/>
      </c>
      <c r="W748" s="158" t="str">
        <v/>
      </c>
      <c r="X748" s="158" t="str">
        <v/>
      </c>
      <c r="Y748" s="158" t="str">
        <v/>
      </c>
      <c r="Z748" s="158" t="str">
        <v/>
      </c>
      <c r="AA748" s="158" t="e">
        <v>#VALUE!</v>
      </c>
      <c r="AB748" s="171" t="str">
        <v/>
      </c>
      <c r="AC748" s="158">
        <v>0</v>
      </c>
      <c r="AD748" s="173" t="str">
        <f ca="1">IFERROR(__xludf.DUMMYFUNCTION("""COMPUTED_VALUE"""),"")</f>
        <v/>
      </c>
      <c r="AE748" s="154" t="str">
        <v/>
      </c>
      <c r="AF748" s="154" t="str">
        <v/>
      </c>
    </row>
    <row r="749" spans="1:32" ht="15">
      <c r="A749" s="176"/>
      <c r="B749" s="145"/>
      <c r="C749" s="169"/>
      <c r="D749" s="145"/>
      <c r="E749" s="145"/>
      <c r="F749" s="169" t="e">
        <v>#VALUE!</v>
      </c>
      <c r="G749" s="145"/>
      <c r="H749" s="145"/>
      <c r="I749" s="145"/>
      <c r="J749" s="145"/>
      <c r="K749" s="145"/>
      <c r="L749" s="145"/>
      <c r="M749" s="145"/>
      <c r="N749" s="145"/>
      <c r="O749" s="174"/>
      <c r="P749" s="174"/>
      <c r="Q749" s="158" t="str">
        <v/>
      </c>
      <c r="R749" s="158" t="str">
        <v/>
      </c>
      <c r="S749" s="158" t="str">
        <v/>
      </c>
      <c r="T749" s="158" t="str">
        <v/>
      </c>
      <c r="U749" s="158" t="str">
        <v/>
      </c>
      <c r="V749" s="158" t="str">
        <v/>
      </c>
      <c r="W749" s="158" t="str">
        <v/>
      </c>
      <c r="X749" s="158" t="str">
        <v/>
      </c>
      <c r="Y749" s="158" t="str">
        <v/>
      </c>
      <c r="Z749" s="158" t="str">
        <v/>
      </c>
      <c r="AA749" s="158" t="e">
        <v>#VALUE!</v>
      </c>
      <c r="AB749" s="171" t="str">
        <v/>
      </c>
      <c r="AC749" s="158">
        <v>0</v>
      </c>
      <c r="AD749" s="173" t="str">
        <f ca="1">IFERROR(__xludf.DUMMYFUNCTION("""COMPUTED_VALUE"""),"")</f>
        <v/>
      </c>
      <c r="AE749" s="154" t="str">
        <v/>
      </c>
      <c r="AF749" s="154" t="str">
        <v/>
      </c>
    </row>
    <row r="750" spans="1:32" ht="15">
      <c r="A750" s="176"/>
      <c r="B750" s="145"/>
      <c r="C750" s="169"/>
      <c r="D750" s="145"/>
      <c r="E750" s="145"/>
      <c r="F750" s="169" t="e">
        <v>#VALUE!</v>
      </c>
      <c r="G750" s="145"/>
      <c r="H750" s="145"/>
      <c r="I750" s="145"/>
      <c r="J750" s="145"/>
      <c r="K750" s="145"/>
      <c r="L750" s="145"/>
      <c r="M750" s="145"/>
      <c r="N750" s="145"/>
      <c r="O750" s="174"/>
      <c r="P750" s="174"/>
      <c r="Q750" s="158" t="str">
        <v/>
      </c>
      <c r="R750" s="158" t="str">
        <v/>
      </c>
      <c r="S750" s="158" t="str">
        <v/>
      </c>
      <c r="T750" s="158" t="str">
        <v/>
      </c>
      <c r="U750" s="158" t="str">
        <v/>
      </c>
      <c r="V750" s="158" t="str">
        <v/>
      </c>
      <c r="W750" s="158" t="str">
        <v/>
      </c>
      <c r="X750" s="158" t="str">
        <v/>
      </c>
      <c r="Y750" s="158" t="str">
        <v/>
      </c>
      <c r="Z750" s="158" t="str">
        <v/>
      </c>
      <c r="AA750" s="158" t="e">
        <v>#VALUE!</v>
      </c>
      <c r="AB750" s="171" t="str">
        <v/>
      </c>
      <c r="AC750" s="158">
        <v>0</v>
      </c>
      <c r="AD750" s="173" t="str">
        <f ca="1">IFERROR(__xludf.DUMMYFUNCTION("""COMPUTED_VALUE"""),"")</f>
        <v/>
      </c>
      <c r="AE750" s="154" t="str">
        <v/>
      </c>
      <c r="AF750" s="154" t="str">
        <v/>
      </c>
    </row>
    <row r="751" spans="1:32" ht="15">
      <c r="A751" s="176"/>
      <c r="B751" s="145"/>
      <c r="C751" s="169"/>
      <c r="D751" s="145"/>
      <c r="E751" s="145"/>
      <c r="F751" s="169" t="e">
        <v>#VALUE!</v>
      </c>
      <c r="G751" s="145"/>
      <c r="H751" s="145"/>
      <c r="I751" s="145"/>
      <c r="J751" s="145"/>
      <c r="K751" s="145"/>
      <c r="L751" s="145"/>
      <c r="M751" s="145"/>
      <c r="N751" s="145"/>
      <c r="O751" s="174"/>
      <c r="P751" s="174"/>
      <c r="Q751" s="158" t="str">
        <v/>
      </c>
      <c r="R751" s="158" t="str">
        <v/>
      </c>
      <c r="S751" s="158" t="str">
        <v/>
      </c>
      <c r="T751" s="158" t="str">
        <v/>
      </c>
      <c r="U751" s="158" t="str">
        <v/>
      </c>
      <c r="V751" s="158" t="str">
        <v/>
      </c>
      <c r="W751" s="158" t="str">
        <v/>
      </c>
      <c r="X751" s="158" t="str">
        <v/>
      </c>
      <c r="Y751" s="158" t="str">
        <v/>
      </c>
      <c r="Z751" s="158" t="str">
        <v/>
      </c>
      <c r="AA751" s="158" t="e">
        <v>#VALUE!</v>
      </c>
      <c r="AB751" s="171" t="str">
        <v/>
      </c>
      <c r="AC751" s="158">
        <v>0</v>
      </c>
      <c r="AD751" s="173" t="str">
        <f ca="1">IFERROR(__xludf.DUMMYFUNCTION("""COMPUTED_VALUE"""),"")</f>
        <v/>
      </c>
      <c r="AE751" s="154" t="str">
        <v/>
      </c>
      <c r="AF751" s="154" t="str">
        <v/>
      </c>
    </row>
    <row r="752" spans="1:32" ht="15">
      <c r="A752" s="176"/>
      <c r="B752" s="145"/>
      <c r="C752" s="169"/>
      <c r="D752" s="145"/>
      <c r="E752" s="145"/>
      <c r="F752" s="169" t="e">
        <v>#VALUE!</v>
      </c>
      <c r="G752" s="145"/>
      <c r="H752" s="145"/>
      <c r="I752" s="145"/>
      <c r="J752" s="145"/>
      <c r="K752" s="145"/>
      <c r="L752" s="145"/>
      <c r="M752" s="145"/>
      <c r="N752" s="145"/>
      <c r="O752" s="174"/>
      <c r="P752" s="174"/>
      <c r="Q752" s="158" t="str">
        <v/>
      </c>
      <c r="R752" s="158" t="str">
        <v/>
      </c>
      <c r="S752" s="158" t="str">
        <v/>
      </c>
      <c r="T752" s="158" t="str">
        <v/>
      </c>
      <c r="U752" s="158" t="str">
        <v/>
      </c>
      <c r="V752" s="158" t="str">
        <v/>
      </c>
      <c r="W752" s="158" t="str">
        <v/>
      </c>
      <c r="X752" s="158" t="str">
        <v/>
      </c>
      <c r="Y752" s="158" t="str">
        <v/>
      </c>
      <c r="Z752" s="158" t="str">
        <v/>
      </c>
      <c r="AA752" s="158" t="e">
        <v>#VALUE!</v>
      </c>
      <c r="AB752" s="171" t="str">
        <v/>
      </c>
      <c r="AC752" s="158">
        <v>0</v>
      </c>
      <c r="AD752" s="173" t="str">
        <f ca="1">IFERROR(__xludf.DUMMYFUNCTION("""COMPUTED_VALUE"""),"")</f>
        <v/>
      </c>
      <c r="AE752" s="154" t="str">
        <v/>
      </c>
      <c r="AF752" s="154" t="str">
        <v/>
      </c>
    </row>
    <row r="753" spans="1:32" ht="15">
      <c r="A753" s="176"/>
      <c r="B753" s="145"/>
      <c r="C753" s="169"/>
      <c r="D753" s="145"/>
      <c r="E753" s="145"/>
      <c r="F753" s="169" t="e">
        <v>#VALUE!</v>
      </c>
      <c r="G753" s="145"/>
      <c r="H753" s="145"/>
      <c r="I753" s="145"/>
      <c r="J753" s="145"/>
      <c r="K753" s="145"/>
      <c r="L753" s="145"/>
      <c r="M753" s="145"/>
      <c r="N753" s="145"/>
      <c r="O753" s="174"/>
      <c r="P753" s="174"/>
      <c r="Q753" s="158" t="str">
        <v/>
      </c>
      <c r="R753" s="158" t="str">
        <v/>
      </c>
      <c r="S753" s="158" t="str">
        <v/>
      </c>
      <c r="T753" s="158" t="str">
        <v/>
      </c>
      <c r="U753" s="158" t="str">
        <v/>
      </c>
      <c r="V753" s="158" t="str">
        <v/>
      </c>
      <c r="W753" s="158" t="str">
        <v/>
      </c>
      <c r="X753" s="158" t="str">
        <v/>
      </c>
      <c r="Y753" s="158" t="str">
        <v/>
      </c>
      <c r="Z753" s="158" t="str">
        <v/>
      </c>
      <c r="AA753" s="158" t="e">
        <v>#VALUE!</v>
      </c>
      <c r="AB753" s="171" t="str">
        <v/>
      </c>
      <c r="AC753" s="158">
        <v>0</v>
      </c>
      <c r="AD753" s="173" t="str">
        <f ca="1">IFERROR(__xludf.DUMMYFUNCTION("""COMPUTED_VALUE"""),"")</f>
        <v/>
      </c>
      <c r="AE753" s="154" t="str">
        <v/>
      </c>
      <c r="AF753" s="154" t="str">
        <v/>
      </c>
    </row>
    <row r="754" spans="1:32" ht="15">
      <c r="A754" s="176"/>
      <c r="B754" s="145"/>
      <c r="C754" s="169"/>
      <c r="D754" s="145"/>
      <c r="E754" s="145"/>
      <c r="F754" s="169" t="e">
        <v>#VALUE!</v>
      </c>
      <c r="G754" s="145"/>
      <c r="H754" s="145"/>
      <c r="I754" s="145"/>
      <c r="J754" s="145"/>
      <c r="K754" s="145"/>
      <c r="L754" s="145"/>
      <c r="M754" s="145"/>
      <c r="N754" s="145"/>
      <c r="O754" s="174"/>
      <c r="P754" s="174"/>
      <c r="Q754" s="158" t="str">
        <v/>
      </c>
      <c r="R754" s="158" t="str">
        <v/>
      </c>
      <c r="S754" s="158" t="str">
        <v/>
      </c>
      <c r="T754" s="158" t="str">
        <v/>
      </c>
      <c r="U754" s="158" t="str">
        <v/>
      </c>
      <c r="V754" s="158" t="str">
        <v/>
      </c>
      <c r="W754" s="158" t="str">
        <v/>
      </c>
      <c r="X754" s="158" t="str">
        <v/>
      </c>
      <c r="Y754" s="158" t="str">
        <v/>
      </c>
      <c r="Z754" s="158" t="str">
        <v/>
      </c>
      <c r="AA754" s="158" t="e">
        <v>#VALUE!</v>
      </c>
      <c r="AB754" s="171" t="str">
        <v/>
      </c>
      <c r="AC754" s="158">
        <v>0</v>
      </c>
      <c r="AD754" s="173" t="str">
        <f ca="1">IFERROR(__xludf.DUMMYFUNCTION("""COMPUTED_VALUE"""),"")</f>
        <v/>
      </c>
      <c r="AE754" s="154" t="str">
        <v/>
      </c>
      <c r="AF754" s="154" t="str">
        <v/>
      </c>
    </row>
    <row r="755" spans="1:32" ht="15">
      <c r="A755" s="176"/>
      <c r="B755" s="145"/>
      <c r="C755" s="169"/>
      <c r="D755" s="145"/>
      <c r="E755" s="145"/>
      <c r="F755" s="169" t="e">
        <v>#VALUE!</v>
      </c>
      <c r="G755" s="145"/>
      <c r="H755" s="145"/>
      <c r="I755" s="145"/>
      <c r="J755" s="145"/>
      <c r="K755" s="145"/>
      <c r="L755" s="145"/>
      <c r="M755" s="145"/>
      <c r="N755" s="145"/>
      <c r="O755" s="174"/>
      <c r="P755" s="174"/>
      <c r="Q755" s="158" t="str">
        <v/>
      </c>
      <c r="R755" s="158" t="str">
        <v/>
      </c>
      <c r="S755" s="158" t="str">
        <v/>
      </c>
      <c r="T755" s="158" t="str">
        <v/>
      </c>
      <c r="U755" s="158" t="str">
        <v/>
      </c>
      <c r="V755" s="158" t="str">
        <v/>
      </c>
      <c r="W755" s="158" t="str">
        <v/>
      </c>
      <c r="X755" s="158" t="str">
        <v/>
      </c>
      <c r="Y755" s="158" t="str">
        <v/>
      </c>
      <c r="Z755" s="158" t="str">
        <v/>
      </c>
      <c r="AA755" s="158" t="e">
        <v>#VALUE!</v>
      </c>
      <c r="AB755" s="171" t="str">
        <v/>
      </c>
      <c r="AC755" s="158">
        <v>0</v>
      </c>
      <c r="AD755" s="173" t="str">
        <f ca="1">IFERROR(__xludf.DUMMYFUNCTION("""COMPUTED_VALUE"""),"")</f>
        <v/>
      </c>
      <c r="AE755" s="154" t="str">
        <v/>
      </c>
      <c r="AF755" s="154" t="str">
        <v/>
      </c>
    </row>
    <row r="756" spans="1:32" ht="15">
      <c r="A756" s="176"/>
      <c r="B756" s="145"/>
      <c r="C756" s="169"/>
      <c r="D756" s="145"/>
      <c r="E756" s="145"/>
      <c r="F756" s="169" t="e">
        <v>#VALUE!</v>
      </c>
      <c r="G756" s="145"/>
      <c r="H756" s="145"/>
      <c r="I756" s="145"/>
      <c r="J756" s="145"/>
      <c r="K756" s="145"/>
      <c r="L756" s="145"/>
      <c r="M756" s="145"/>
      <c r="N756" s="145"/>
      <c r="O756" s="174"/>
      <c r="P756" s="174"/>
      <c r="Q756" s="158" t="str">
        <v/>
      </c>
      <c r="R756" s="158" t="str">
        <v/>
      </c>
      <c r="S756" s="158" t="str">
        <v/>
      </c>
      <c r="T756" s="158" t="str">
        <v/>
      </c>
      <c r="U756" s="158" t="str">
        <v/>
      </c>
      <c r="V756" s="158" t="str">
        <v/>
      </c>
      <c r="W756" s="158" t="str">
        <v/>
      </c>
      <c r="X756" s="158" t="str">
        <v/>
      </c>
      <c r="Y756" s="158" t="str">
        <v/>
      </c>
      <c r="Z756" s="158" t="str">
        <v/>
      </c>
      <c r="AA756" s="158" t="e">
        <v>#VALUE!</v>
      </c>
      <c r="AB756" s="171" t="str">
        <v/>
      </c>
      <c r="AC756" s="158">
        <v>0</v>
      </c>
      <c r="AD756" s="173" t="str">
        <f ca="1">IFERROR(__xludf.DUMMYFUNCTION("""COMPUTED_VALUE"""),"")</f>
        <v/>
      </c>
      <c r="AE756" s="154" t="str">
        <v/>
      </c>
      <c r="AF756" s="154" t="str">
        <v/>
      </c>
    </row>
    <row r="757" spans="1:32" ht="15">
      <c r="A757" s="176"/>
      <c r="B757" s="145"/>
      <c r="C757" s="169"/>
      <c r="D757" s="145"/>
      <c r="E757" s="145"/>
      <c r="F757" s="169" t="e">
        <v>#VALUE!</v>
      </c>
      <c r="G757" s="145"/>
      <c r="H757" s="145"/>
      <c r="I757" s="145"/>
      <c r="J757" s="145"/>
      <c r="K757" s="145"/>
      <c r="L757" s="145"/>
      <c r="M757" s="145"/>
      <c r="N757" s="145"/>
      <c r="O757" s="174"/>
      <c r="P757" s="174"/>
      <c r="Q757" s="158" t="str">
        <v/>
      </c>
      <c r="R757" s="158" t="str">
        <v/>
      </c>
      <c r="S757" s="158" t="str">
        <v/>
      </c>
      <c r="T757" s="158" t="str">
        <v/>
      </c>
      <c r="U757" s="158" t="str">
        <v/>
      </c>
      <c r="V757" s="158" t="str">
        <v/>
      </c>
      <c r="W757" s="158" t="str">
        <v/>
      </c>
      <c r="X757" s="158" t="str">
        <v/>
      </c>
      <c r="Y757" s="158" t="str">
        <v/>
      </c>
      <c r="Z757" s="158" t="str">
        <v/>
      </c>
      <c r="AA757" s="158" t="e">
        <v>#VALUE!</v>
      </c>
      <c r="AB757" s="171" t="str">
        <v/>
      </c>
      <c r="AC757" s="158">
        <v>0</v>
      </c>
      <c r="AD757" s="173" t="str">
        <f ca="1">IFERROR(__xludf.DUMMYFUNCTION("""COMPUTED_VALUE"""),"")</f>
        <v/>
      </c>
      <c r="AE757" s="154" t="str">
        <v/>
      </c>
      <c r="AF757" s="154" t="str">
        <v/>
      </c>
    </row>
    <row r="758" spans="1:32" ht="15">
      <c r="A758" s="176"/>
      <c r="B758" s="145"/>
      <c r="C758" s="169"/>
      <c r="D758" s="145"/>
      <c r="E758" s="145"/>
      <c r="F758" s="169" t="e">
        <v>#VALUE!</v>
      </c>
      <c r="G758" s="145"/>
      <c r="H758" s="145"/>
      <c r="I758" s="145"/>
      <c r="J758" s="145"/>
      <c r="K758" s="145"/>
      <c r="L758" s="145"/>
      <c r="M758" s="145"/>
      <c r="N758" s="145"/>
      <c r="O758" s="174"/>
      <c r="P758" s="174"/>
      <c r="Q758" s="158" t="str">
        <v/>
      </c>
      <c r="R758" s="158" t="str">
        <v/>
      </c>
      <c r="S758" s="158" t="str">
        <v/>
      </c>
      <c r="T758" s="158" t="str">
        <v/>
      </c>
      <c r="U758" s="158" t="str">
        <v/>
      </c>
      <c r="V758" s="158" t="str">
        <v/>
      </c>
      <c r="W758" s="158" t="str">
        <v/>
      </c>
      <c r="X758" s="158" t="str">
        <v/>
      </c>
      <c r="Y758" s="158" t="str">
        <v/>
      </c>
      <c r="Z758" s="158" t="str">
        <v/>
      </c>
      <c r="AA758" s="158" t="e">
        <v>#VALUE!</v>
      </c>
      <c r="AB758" s="171" t="str">
        <v/>
      </c>
      <c r="AC758" s="158">
        <v>0</v>
      </c>
      <c r="AD758" s="173" t="str">
        <f ca="1">IFERROR(__xludf.DUMMYFUNCTION("""COMPUTED_VALUE"""),"")</f>
        <v/>
      </c>
      <c r="AE758" s="154" t="str">
        <v/>
      </c>
      <c r="AF758" s="154" t="str">
        <v/>
      </c>
    </row>
    <row r="759" spans="1:32" ht="15">
      <c r="A759" s="176"/>
      <c r="B759" s="145"/>
      <c r="C759" s="169"/>
      <c r="D759" s="145"/>
      <c r="E759" s="145"/>
      <c r="F759" s="169" t="e">
        <v>#VALUE!</v>
      </c>
      <c r="G759" s="145"/>
      <c r="H759" s="145"/>
      <c r="I759" s="145"/>
      <c r="J759" s="145"/>
      <c r="K759" s="145"/>
      <c r="L759" s="145"/>
      <c r="M759" s="145"/>
      <c r="N759" s="145"/>
      <c r="O759" s="174"/>
      <c r="P759" s="174"/>
      <c r="Q759" s="158" t="str">
        <v/>
      </c>
      <c r="R759" s="158" t="str">
        <v/>
      </c>
      <c r="S759" s="158" t="str">
        <v/>
      </c>
      <c r="T759" s="158" t="str">
        <v/>
      </c>
      <c r="U759" s="158" t="str">
        <v/>
      </c>
      <c r="V759" s="158" t="str">
        <v/>
      </c>
      <c r="W759" s="158" t="str">
        <v/>
      </c>
      <c r="X759" s="158" t="str">
        <v/>
      </c>
      <c r="Y759" s="158" t="str">
        <v/>
      </c>
      <c r="Z759" s="158" t="str">
        <v/>
      </c>
      <c r="AA759" s="158" t="e">
        <v>#VALUE!</v>
      </c>
      <c r="AB759" s="171" t="str">
        <v/>
      </c>
      <c r="AC759" s="158">
        <v>0</v>
      </c>
      <c r="AD759" s="173" t="str">
        <f ca="1">IFERROR(__xludf.DUMMYFUNCTION("""COMPUTED_VALUE"""),"")</f>
        <v/>
      </c>
      <c r="AE759" s="154" t="str">
        <v/>
      </c>
      <c r="AF759" s="154" t="str">
        <v/>
      </c>
    </row>
    <row r="760" spans="1:32" ht="15">
      <c r="A760" s="176"/>
      <c r="B760" s="145"/>
      <c r="C760" s="169"/>
      <c r="D760" s="145"/>
      <c r="E760" s="145"/>
      <c r="F760" s="169" t="e">
        <v>#VALUE!</v>
      </c>
      <c r="G760" s="145"/>
      <c r="H760" s="145"/>
      <c r="I760" s="145"/>
      <c r="J760" s="145"/>
      <c r="K760" s="145"/>
      <c r="L760" s="145"/>
      <c r="M760" s="145"/>
      <c r="N760" s="145"/>
      <c r="O760" s="174"/>
      <c r="P760" s="174"/>
      <c r="Q760" s="158" t="str">
        <v/>
      </c>
      <c r="R760" s="158" t="str">
        <v/>
      </c>
      <c r="S760" s="158" t="str">
        <v/>
      </c>
      <c r="T760" s="158" t="str">
        <v/>
      </c>
      <c r="U760" s="158" t="str">
        <v/>
      </c>
      <c r="V760" s="158" t="str">
        <v/>
      </c>
      <c r="W760" s="158" t="str">
        <v/>
      </c>
      <c r="X760" s="158" t="str">
        <v/>
      </c>
      <c r="Y760" s="158" t="str">
        <v/>
      </c>
      <c r="Z760" s="158" t="str">
        <v/>
      </c>
      <c r="AA760" s="158" t="e">
        <v>#VALUE!</v>
      </c>
      <c r="AB760" s="171" t="str">
        <v/>
      </c>
      <c r="AC760" s="158">
        <v>0</v>
      </c>
      <c r="AD760" s="173" t="str">
        <f ca="1">IFERROR(__xludf.DUMMYFUNCTION("""COMPUTED_VALUE"""),"")</f>
        <v/>
      </c>
      <c r="AE760" s="154" t="str">
        <v/>
      </c>
      <c r="AF760" s="154" t="str">
        <v/>
      </c>
    </row>
    <row r="761" spans="1:32" ht="15">
      <c r="A761" s="176"/>
      <c r="B761" s="145"/>
      <c r="C761" s="169"/>
      <c r="D761" s="145"/>
      <c r="E761" s="145"/>
      <c r="F761" s="169" t="e">
        <v>#VALUE!</v>
      </c>
      <c r="G761" s="145"/>
      <c r="H761" s="145"/>
      <c r="I761" s="145"/>
      <c r="J761" s="145"/>
      <c r="K761" s="145"/>
      <c r="L761" s="145"/>
      <c r="M761" s="145"/>
      <c r="N761" s="145"/>
      <c r="O761" s="174"/>
      <c r="P761" s="174"/>
      <c r="Q761" s="158" t="str">
        <v/>
      </c>
      <c r="R761" s="158" t="str">
        <v/>
      </c>
      <c r="S761" s="158" t="str">
        <v/>
      </c>
      <c r="T761" s="158" t="str">
        <v/>
      </c>
      <c r="U761" s="158" t="str">
        <v/>
      </c>
      <c r="V761" s="158" t="str">
        <v/>
      </c>
      <c r="W761" s="158" t="str">
        <v/>
      </c>
      <c r="X761" s="158" t="str">
        <v/>
      </c>
      <c r="Y761" s="158" t="str">
        <v/>
      </c>
      <c r="Z761" s="158" t="str">
        <v/>
      </c>
      <c r="AA761" s="158" t="e">
        <v>#VALUE!</v>
      </c>
      <c r="AB761" s="171" t="str">
        <v/>
      </c>
      <c r="AC761" s="158">
        <v>0</v>
      </c>
      <c r="AD761" s="173" t="str">
        <f ca="1">IFERROR(__xludf.DUMMYFUNCTION("""COMPUTED_VALUE"""),"")</f>
        <v/>
      </c>
      <c r="AE761" s="154" t="str">
        <v/>
      </c>
      <c r="AF761" s="154" t="str">
        <v/>
      </c>
    </row>
    <row r="762" spans="1:32" ht="15">
      <c r="A762" s="176"/>
      <c r="B762" s="145"/>
      <c r="C762" s="169"/>
      <c r="D762" s="145"/>
      <c r="E762" s="145"/>
      <c r="F762" s="169" t="e">
        <v>#VALUE!</v>
      </c>
      <c r="G762" s="145"/>
      <c r="H762" s="145"/>
      <c r="I762" s="145"/>
      <c r="J762" s="145"/>
      <c r="K762" s="145"/>
      <c r="L762" s="145"/>
      <c r="M762" s="145"/>
      <c r="N762" s="145"/>
      <c r="O762" s="174"/>
      <c r="P762" s="174"/>
      <c r="Q762" s="158" t="str">
        <v/>
      </c>
      <c r="R762" s="158" t="str">
        <v/>
      </c>
      <c r="S762" s="158" t="str">
        <v/>
      </c>
      <c r="T762" s="158" t="str">
        <v/>
      </c>
      <c r="U762" s="158" t="str">
        <v/>
      </c>
      <c r="V762" s="158" t="str">
        <v/>
      </c>
      <c r="W762" s="158" t="str">
        <v/>
      </c>
      <c r="X762" s="158" t="str">
        <v/>
      </c>
      <c r="Y762" s="158" t="str">
        <v/>
      </c>
      <c r="Z762" s="158" t="str">
        <v/>
      </c>
      <c r="AA762" s="158" t="e">
        <v>#VALUE!</v>
      </c>
      <c r="AB762" s="171" t="str">
        <v/>
      </c>
      <c r="AC762" s="158">
        <v>0</v>
      </c>
      <c r="AD762" s="173" t="str">
        <f ca="1">IFERROR(__xludf.DUMMYFUNCTION("""COMPUTED_VALUE"""),"")</f>
        <v/>
      </c>
      <c r="AE762" s="154" t="str">
        <v/>
      </c>
      <c r="AF762" s="154" t="str">
        <v/>
      </c>
    </row>
    <row r="763" spans="1:32" ht="15">
      <c r="A763" s="176"/>
      <c r="B763" s="145"/>
      <c r="C763" s="169"/>
      <c r="D763" s="145"/>
      <c r="E763" s="145"/>
      <c r="F763" s="169" t="e">
        <v>#VALUE!</v>
      </c>
      <c r="G763" s="145"/>
      <c r="H763" s="145"/>
      <c r="I763" s="145"/>
      <c r="J763" s="145"/>
      <c r="K763" s="145"/>
      <c r="L763" s="145"/>
      <c r="M763" s="145"/>
      <c r="N763" s="145"/>
      <c r="O763" s="174"/>
      <c r="P763" s="174"/>
      <c r="Q763" s="158" t="str">
        <v/>
      </c>
      <c r="R763" s="158" t="str">
        <v/>
      </c>
      <c r="S763" s="158" t="str">
        <v/>
      </c>
      <c r="T763" s="158" t="str">
        <v/>
      </c>
      <c r="U763" s="158" t="str">
        <v/>
      </c>
      <c r="V763" s="158" t="str">
        <v/>
      </c>
      <c r="W763" s="158" t="str">
        <v/>
      </c>
      <c r="X763" s="158" t="str">
        <v/>
      </c>
      <c r="Y763" s="158" t="str">
        <v/>
      </c>
      <c r="Z763" s="158" t="str">
        <v/>
      </c>
      <c r="AA763" s="158" t="e">
        <v>#VALUE!</v>
      </c>
      <c r="AB763" s="171" t="str">
        <v/>
      </c>
      <c r="AC763" s="158">
        <v>0</v>
      </c>
      <c r="AD763" s="173" t="str">
        <f ca="1">IFERROR(__xludf.DUMMYFUNCTION("""COMPUTED_VALUE"""),"")</f>
        <v/>
      </c>
      <c r="AE763" s="154" t="str">
        <v/>
      </c>
      <c r="AF763" s="154" t="str">
        <v/>
      </c>
    </row>
    <row r="764" spans="1:32" ht="15">
      <c r="A764" s="176"/>
      <c r="B764" s="145"/>
      <c r="C764" s="169"/>
      <c r="D764" s="145"/>
      <c r="E764" s="145"/>
      <c r="F764" s="169" t="e">
        <v>#VALUE!</v>
      </c>
      <c r="G764" s="145"/>
      <c r="H764" s="145"/>
      <c r="I764" s="145"/>
      <c r="J764" s="145"/>
      <c r="K764" s="145"/>
      <c r="L764" s="145"/>
      <c r="M764" s="145"/>
      <c r="N764" s="145"/>
      <c r="O764" s="174"/>
      <c r="P764" s="174"/>
      <c r="Q764" s="158" t="str">
        <v/>
      </c>
      <c r="R764" s="158" t="str">
        <v/>
      </c>
      <c r="S764" s="158" t="str">
        <v/>
      </c>
      <c r="T764" s="158" t="str">
        <v/>
      </c>
      <c r="U764" s="158" t="str">
        <v/>
      </c>
      <c r="V764" s="158" t="str">
        <v/>
      </c>
      <c r="W764" s="158" t="str">
        <v/>
      </c>
      <c r="X764" s="158" t="str">
        <v/>
      </c>
      <c r="Y764" s="158" t="str">
        <v/>
      </c>
      <c r="Z764" s="158" t="str">
        <v/>
      </c>
      <c r="AA764" s="158" t="e">
        <v>#VALUE!</v>
      </c>
      <c r="AB764" s="171" t="str">
        <v/>
      </c>
      <c r="AC764" s="158">
        <v>0</v>
      </c>
      <c r="AD764" s="173" t="str">
        <f ca="1">IFERROR(__xludf.DUMMYFUNCTION("""COMPUTED_VALUE"""),"")</f>
        <v/>
      </c>
      <c r="AE764" s="154" t="str">
        <v/>
      </c>
      <c r="AF764" s="154" t="str">
        <v/>
      </c>
    </row>
    <row r="765" spans="1:32" ht="15">
      <c r="A765" s="176"/>
      <c r="B765" s="145"/>
      <c r="C765" s="169"/>
      <c r="D765" s="145"/>
      <c r="E765" s="145"/>
      <c r="F765" s="169" t="e">
        <v>#VALUE!</v>
      </c>
      <c r="G765" s="145"/>
      <c r="H765" s="145"/>
      <c r="I765" s="145"/>
      <c r="J765" s="145"/>
      <c r="K765" s="145"/>
      <c r="L765" s="145"/>
      <c r="M765" s="145"/>
      <c r="N765" s="145"/>
      <c r="O765" s="174"/>
      <c r="P765" s="174"/>
      <c r="Q765" s="158" t="str">
        <v/>
      </c>
      <c r="R765" s="158" t="str">
        <v/>
      </c>
      <c r="S765" s="158" t="str">
        <v/>
      </c>
      <c r="T765" s="158" t="str">
        <v/>
      </c>
      <c r="U765" s="158" t="str">
        <v/>
      </c>
      <c r="V765" s="158" t="str">
        <v/>
      </c>
      <c r="W765" s="158" t="str">
        <v/>
      </c>
      <c r="X765" s="158" t="str">
        <v/>
      </c>
      <c r="Y765" s="158" t="str">
        <v/>
      </c>
      <c r="Z765" s="158" t="str">
        <v/>
      </c>
      <c r="AA765" s="158" t="e">
        <v>#VALUE!</v>
      </c>
      <c r="AB765" s="171" t="str">
        <v/>
      </c>
      <c r="AC765" s="158">
        <v>0</v>
      </c>
      <c r="AD765" s="173" t="str">
        <f ca="1">IFERROR(__xludf.DUMMYFUNCTION("""COMPUTED_VALUE"""),"")</f>
        <v/>
      </c>
      <c r="AE765" s="154" t="str">
        <v/>
      </c>
      <c r="AF765" s="154" t="str">
        <v/>
      </c>
    </row>
    <row r="766" spans="1:32" ht="15">
      <c r="A766" s="176"/>
      <c r="B766" s="145"/>
      <c r="C766" s="169"/>
      <c r="D766" s="145"/>
      <c r="E766" s="145"/>
      <c r="F766" s="169" t="e">
        <v>#VALUE!</v>
      </c>
      <c r="G766" s="145"/>
      <c r="H766" s="145"/>
      <c r="I766" s="145"/>
      <c r="J766" s="145"/>
      <c r="K766" s="145"/>
      <c r="L766" s="145"/>
      <c r="M766" s="145"/>
      <c r="N766" s="145"/>
      <c r="O766" s="174"/>
      <c r="P766" s="174"/>
      <c r="Q766" s="158" t="str">
        <v/>
      </c>
      <c r="R766" s="158" t="str">
        <v/>
      </c>
      <c r="S766" s="158" t="str">
        <v/>
      </c>
      <c r="T766" s="158" t="str">
        <v/>
      </c>
      <c r="U766" s="158" t="str">
        <v/>
      </c>
      <c r="V766" s="158" t="str">
        <v/>
      </c>
      <c r="W766" s="158" t="str">
        <v/>
      </c>
      <c r="X766" s="158" t="str">
        <v/>
      </c>
      <c r="Y766" s="158" t="str">
        <v/>
      </c>
      <c r="Z766" s="158" t="str">
        <v/>
      </c>
      <c r="AA766" s="158" t="e">
        <v>#VALUE!</v>
      </c>
      <c r="AB766" s="171" t="str">
        <v/>
      </c>
      <c r="AC766" s="158">
        <v>0</v>
      </c>
      <c r="AD766" s="173" t="str">
        <f ca="1">IFERROR(__xludf.DUMMYFUNCTION("""COMPUTED_VALUE"""),"")</f>
        <v/>
      </c>
      <c r="AE766" s="154" t="str">
        <v/>
      </c>
      <c r="AF766" s="154" t="str">
        <v/>
      </c>
    </row>
    <row r="767" spans="1:32" ht="15">
      <c r="A767" s="176"/>
      <c r="B767" s="145"/>
      <c r="C767" s="169"/>
      <c r="D767" s="145"/>
      <c r="E767" s="145"/>
      <c r="F767" s="169" t="e">
        <v>#VALUE!</v>
      </c>
      <c r="G767" s="145"/>
      <c r="H767" s="145"/>
      <c r="I767" s="145"/>
      <c r="J767" s="145"/>
      <c r="K767" s="145"/>
      <c r="L767" s="145"/>
      <c r="M767" s="145"/>
      <c r="N767" s="145"/>
      <c r="O767" s="174"/>
      <c r="P767" s="174"/>
      <c r="Q767" s="158" t="str">
        <v/>
      </c>
      <c r="R767" s="158" t="str">
        <v/>
      </c>
      <c r="S767" s="158" t="str">
        <v/>
      </c>
      <c r="T767" s="158" t="str">
        <v/>
      </c>
      <c r="U767" s="158" t="str">
        <v/>
      </c>
      <c r="V767" s="158" t="str">
        <v/>
      </c>
      <c r="W767" s="158" t="str">
        <v/>
      </c>
      <c r="X767" s="158" t="str">
        <v/>
      </c>
      <c r="Y767" s="158" t="str">
        <v/>
      </c>
      <c r="Z767" s="158" t="str">
        <v/>
      </c>
      <c r="AA767" s="158" t="e">
        <v>#VALUE!</v>
      </c>
      <c r="AB767" s="171" t="str">
        <v/>
      </c>
      <c r="AC767" s="158">
        <v>0</v>
      </c>
      <c r="AD767" s="173" t="str">
        <f ca="1">IFERROR(__xludf.DUMMYFUNCTION("""COMPUTED_VALUE"""),"")</f>
        <v/>
      </c>
      <c r="AE767" s="154" t="str">
        <v/>
      </c>
      <c r="AF767" s="154" t="str">
        <v/>
      </c>
    </row>
    <row r="768" spans="1:32" ht="15">
      <c r="A768" s="176"/>
      <c r="B768" s="145"/>
      <c r="C768" s="169"/>
      <c r="D768" s="145"/>
      <c r="E768" s="145"/>
      <c r="F768" s="169" t="e">
        <v>#VALUE!</v>
      </c>
      <c r="G768" s="145"/>
      <c r="H768" s="145"/>
      <c r="I768" s="145"/>
      <c r="J768" s="145"/>
      <c r="K768" s="145"/>
      <c r="L768" s="145"/>
      <c r="M768" s="145"/>
      <c r="N768" s="145"/>
      <c r="O768" s="174"/>
      <c r="P768" s="174"/>
      <c r="Q768" s="158" t="str">
        <v/>
      </c>
      <c r="R768" s="158" t="str">
        <v/>
      </c>
      <c r="S768" s="158" t="str">
        <v/>
      </c>
      <c r="T768" s="158" t="str">
        <v/>
      </c>
      <c r="U768" s="158" t="str">
        <v/>
      </c>
      <c r="V768" s="158" t="str">
        <v/>
      </c>
      <c r="W768" s="158" t="str">
        <v/>
      </c>
      <c r="X768" s="158" t="str">
        <v/>
      </c>
      <c r="Y768" s="158" t="str">
        <v/>
      </c>
      <c r="Z768" s="158" t="str">
        <v/>
      </c>
      <c r="AA768" s="158" t="e">
        <v>#VALUE!</v>
      </c>
      <c r="AB768" s="171" t="str">
        <v/>
      </c>
      <c r="AC768" s="158">
        <v>0</v>
      </c>
      <c r="AD768" s="173" t="str">
        <f ca="1">IFERROR(__xludf.DUMMYFUNCTION("""COMPUTED_VALUE"""),"")</f>
        <v/>
      </c>
      <c r="AE768" s="154" t="str">
        <v/>
      </c>
      <c r="AF768" s="154" t="str">
        <v/>
      </c>
    </row>
    <row r="769" spans="1:32" ht="15">
      <c r="A769" s="176"/>
      <c r="B769" s="145"/>
      <c r="C769" s="169"/>
      <c r="D769" s="145"/>
      <c r="E769" s="145"/>
      <c r="F769" s="169" t="e">
        <v>#VALUE!</v>
      </c>
      <c r="G769" s="145"/>
      <c r="H769" s="145"/>
      <c r="I769" s="145"/>
      <c r="J769" s="145"/>
      <c r="K769" s="145"/>
      <c r="L769" s="145"/>
      <c r="M769" s="145"/>
      <c r="N769" s="145"/>
      <c r="O769" s="174"/>
      <c r="P769" s="174"/>
      <c r="Q769" s="158" t="str">
        <v/>
      </c>
      <c r="R769" s="158" t="str">
        <v/>
      </c>
      <c r="S769" s="158" t="str">
        <v/>
      </c>
      <c r="T769" s="158" t="str">
        <v/>
      </c>
      <c r="U769" s="158" t="str">
        <v/>
      </c>
      <c r="V769" s="158" t="str">
        <v/>
      </c>
      <c r="W769" s="158" t="str">
        <v/>
      </c>
      <c r="X769" s="158" t="str">
        <v/>
      </c>
      <c r="Y769" s="158" t="str">
        <v/>
      </c>
      <c r="Z769" s="158" t="str">
        <v/>
      </c>
      <c r="AA769" s="158" t="e">
        <v>#VALUE!</v>
      </c>
      <c r="AB769" s="171" t="str">
        <v/>
      </c>
      <c r="AC769" s="158">
        <v>0</v>
      </c>
      <c r="AD769" s="173" t="str">
        <f ca="1">IFERROR(__xludf.DUMMYFUNCTION("""COMPUTED_VALUE"""),"")</f>
        <v/>
      </c>
      <c r="AE769" s="154" t="str">
        <v/>
      </c>
      <c r="AF769" s="154" t="str">
        <v/>
      </c>
    </row>
    <row r="770" spans="1:32" ht="15">
      <c r="A770" s="176"/>
      <c r="B770" s="145"/>
      <c r="C770" s="169"/>
      <c r="D770" s="145"/>
      <c r="E770" s="145"/>
      <c r="F770" s="169" t="e">
        <v>#VALUE!</v>
      </c>
      <c r="G770" s="145"/>
      <c r="H770" s="145"/>
      <c r="I770" s="145"/>
      <c r="J770" s="145"/>
      <c r="K770" s="145"/>
      <c r="L770" s="145"/>
      <c r="M770" s="145"/>
      <c r="N770" s="145"/>
      <c r="O770" s="174"/>
      <c r="P770" s="174"/>
      <c r="Q770" s="158" t="str">
        <v/>
      </c>
      <c r="R770" s="158" t="str">
        <v/>
      </c>
      <c r="S770" s="158" t="str">
        <v/>
      </c>
      <c r="T770" s="158" t="str">
        <v/>
      </c>
      <c r="U770" s="158" t="str">
        <v/>
      </c>
      <c r="V770" s="158" t="str">
        <v/>
      </c>
      <c r="W770" s="158" t="str">
        <v/>
      </c>
      <c r="X770" s="158" t="str">
        <v/>
      </c>
      <c r="Y770" s="158" t="str">
        <v/>
      </c>
      <c r="Z770" s="158" t="str">
        <v/>
      </c>
      <c r="AA770" s="158" t="e">
        <v>#VALUE!</v>
      </c>
      <c r="AB770" s="171" t="str">
        <v/>
      </c>
      <c r="AC770" s="158">
        <v>0</v>
      </c>
      <c r="AD770" s="173" t="str">
        <f ca="1">IFERROR(__xludf.DUMMYFUNCTION("""COMPUTED_VALUE"""),"")</f>
        <v/>
      </c>
      <c r="AE770" s="154" t="str">
        <v/>
      </c>
      <c r="AF770" s="154" t="str">
        <v/>
      </c>
    </row>
    <row r="771" spans="1:32" ht="15">
      <c r="A771" s="176"/>
      <c r="B771" s="145"/>
      <c r="C771" s="169"/>
      <c r="D771" s="145"/>
      <c r="E771" s="145"/>
      <c r="F771" s="169" t="e">
        <v>#VALUE!</v>
      </c>
      <c r="G771" s="145"/>
      <c r="H771" s="145"/>
      <c r="I771" s="145"/>
      <c r="J771" s="145"/>
      <c r="K771" s="145"/>
      <c r="L771" s="145"/>
      <c r="M771" s="145"/>
      <c r="N771" s="145"/>
      <c r="O771" s="174"/>
      <c r="P771" s="174"/>
      <c r="Q771" s="158" t="str">
        <v/>
      </c>
      <c r="R771" s="158" t="str">
        <v/>
      </c>
      <c r="S771" s="158" t="str">
        <v/>
      </c>
      <c r="T771" s="158" t="str">
        <v/>
      </c>
      <c r="U771" s="158" t="str">
        <v/>
      </c>
      <c r="V771" s="158" t="str">
        <v/>
      </c>
      <c r="W771" s="158" t="str">
        <v/>
      </c>
      <c r="X771" s="158" t="str">
        <v/>
      </c>
      <c r="Y771" s="158" t="str">
        <v/>
      </c>
      <c r="Z771" s="158" t="str">
        <v/>
      </c>
      <c r="AA771" s="158" t="e">
        <v>#VALUE!</v>
      </c>
      <c r="AB771" s="171" t="str">
        <v/>
      </c>
      <c r="AC771" s="158">
        <v>0</v>
      </c>
      <c r="AD771" s="173" t="str">
        <f ca="1">IFERROR(__xludf.DUMMYFUNCTION("""COMPUTED_VALUE"""),"")</f>
        <v/>
      </c>
      <c r="AE771" s="154" t="str">
        <v/>
      </c>
      <c r="AF771" s="154" t="str">
        <v/>
      </c>
    </row>
    <row r="772" spans="1:32" ht="15">
      <c r="A772" s="176"/>
      <c r="B772" s="145"/>
      <c r="C772" s="169"/>
      <c r="D772" s="145"/>
      <c r="E772" s="145"/>
      <c r="F772" s="169" t="e">
        <v>#VALUE!</v>
      </c>
      <c r="G772" s="145"/>
      <c r="H772" s="145"/>
      <c r="I772" s="145"/>
      <c r="J772" s="145"/>
      <c r="K772" s="145"/>
      <c r="L772" s="145"/>
      <c r="M772" s="145"/>
      <c r="N772" s="145"/>
      <c r="O772" s="174"/>
      <c r="P772" s="174"/>
      <c r="Q772" s="158" t="str">
        <v/>
      </c>
      <c r="R772" s="158" t="str">
        <v/>
      </c>
      <c r="S772" s="158" t="str">
        <v/>
      </c>
      <c r="T772" s="158" t="str">
        <v/>
      </c>
      <c r="U772" s="158" t="str">
        <v/>
      </c>
      <c r="V772" s="158" t="str">
        <v/>
      </c>
      <c r="W772" s="158" t="str">
        <v/>
      </c>
      <c r="X772" s="158" t="str">
        <v/>
      </c>
      <c r="Y772" s="158" t="str">
        <v/>
      </c>
      <c r="Z772" s="158" t="str">
        <v/>
      </c>
      <c r="AA772" s="158" t="e">
        <v>#VALUE!</v>
      </c>
      <c r="AB772" s="171" t="str">
        <v/>
      </c>
      <c r="AC772" s="158">
        <v>0</v>
      </c>
      <c r="AD772" s="173" t="str">
        <f ca="1">IFERROR(__xludf.DUMMYFUNCTION("""COMPUTED_VALUE"""),"")</f>
        <v/>
      </c>
      <c r="AE772" s="154" t="str">
        <v/>
      </c>
      <c r="AF772" s="154" t="str">
        <v/>
      </c>
    </row>
    <row r="773" spans="1:32" ht="15">
      <c r="A773" s="176"/>
      <c r="B773" s="145"/>
      <c r="C773" s="169"/>
      <c r="D773" s="145"/>
      <c r="E773" s="145"/>
      <c r="F773" s="169" t="e">
        <v>#VALUE!</v>
      </c>
      <c r="G773" s="145"/>
      <c r="H773" s="145"/>
      <c r="I773" s="145"/>
      <c r="J773" s="145"/>
      <c r="K773" s="145"/>
      <c r="L773" s="145"/>
      <c r="M773" s="145"/>
      <c r="N773" s="145"/>
      <c r="O773" s="174"/>
      <c r="P773" s="174"/>
      <c r="Q773" s="158" t="str">
        <v/>
      </c>
      <c r="R773" s="158" t="str">
        <v/>
      </c>
      <c r="S773" s="158" t="str">
        <v/>
      </c>
      <c r="T773" s="158" t="str">
        <v/>
      </c>
      <c r="U773" s="158" t="str">
        <v/>
      </c>
      <c r="V773" s="158" t="str">
        <v/>
      </c>
      <c r="W773" s="158" t="str">
        <v/>
      </c>
      <c r="X773" s="158" t="str">
        <v/>
      </c>
      <c r="Y773" s="158" t="str">
        <v/>
      </c>
      <c r="Z773" s="158" t="str">
        <v/>
      </c>
      <c r="AA773" s="158" t="e">
        <v>#VALUE!</v>
      </c>
      <c r="AB773" s="171" t="str">
        <v/>
      </c>
      <c r="AC773" s="158">
        <v>0</v>
      </c>
      <c r="AD773" s="173" t="str">
        <f ca="1">IFERROR(__xludf.DUMMYFUNCTION("""COMPUTED_VALUE"""),"")</f>
        <v/>
      </c>
      <c r="AE773" s="154" t="str">
        <v/>
      </c>
      <c r="AF773" s="154" t="str">
        <v/>
      </c>
    </row>
    <row r="774" spans="1:32" ht="15">
      <c r="A774" s="176"/>
      <c r="B774" s="145"/>
      <c r="C774" s="169"/>
      <c r="D774" s="145"/>
      <c r="E774" s="145"/>
      <c r="F774" s="169" t="e">
        <v>#VALUE!</v>
      </c>
      <c r="G774" s="145"/>
      <c r="H774" s="145"/>
      <c r="I774" s="145"/>
      <c r="J774" s="145"/>
      <c r="K774" s="145"/>
      <c r="L774" s="145"/>
      <c r="M774" s="145"/>
      <c r="N774" s="145"/>
      <c r="O774" s="174"/>
      <c r="P774" s="174"/>
      <c r="Q774" s="158" t="str">
        <v/>
      </c>
      <c r="R774" s="158" t="str">
        <v/>
      </c>
      <c r="S774" s="158" t="str">
        <v/>
      </c>
      <c r="T774" s="158" t="str">
        <v/>
      </c>
      <c r="U774" s="158" t="str">
        <v/>
      </c>
      <c r="V774" s="158" t="str">
        <v/>
      </c>
      <c r="W774" s="158" t="str">
        <v/>
      </c>
      <c r="X774" s="158" t="str">
        <v/>
      </c>
      <c r="Y774" s="158" t="str">
        <v/>
      </c>
      <c r="Z774" s="158" t="str">
        <v/>
      </c>
      <c r="AA774" s="158" t="e">
        <v>#VALUE!</v>
      </c>
      <c r="AB774" s="171" t="str">
        <v/>
      </c>
      <c r="AC774" s="158">
        <v>0</v>
      </c>
      <c r="AD774" s="173" t="str">
        <f ca="1">IFERROR(__xludf.DUMMYFUNCTION("""COMPUTED_VALUE"""),"")</f>
        <v/>
      </c>
      <c r="AE774" s="154" t="str">
        <v/>
      </c>
      <c r="AF774" s="154" t="str">
        <v/>
      </c>
    </row>
    <row r="775" spans="1:32" ht="15">
      <c r="A775" s="176"/>
      <c r="B775" s="145"/>
      <c r="C775" s="169"/>
      <c r="D775" s="145"/>
      <c r="E775" s="145"/>
      <c r="F775" s="169" t="e">
        <v>#VALUE!</v>
      </c>
      <c r="G775" s="145"/>
      <c r="H775" s="145"/>
      <c r="I775" s="145"/>
      <c r="J775" s="145"/>
      <c r="K775" s="145"/>
      <c r="L775" s="145"/>
      <c r="M775" s="145"/>
      <c r="N775" s="145"/>
      <c r="O775" s="174"/>
      <c r="P775" s="174"/>
      <c r="Q775" s="158" t="str">
        <v/>
      </c>
      <c r="R775" s="158" t="str">
        <v/>
      </c>
      <c r="S775" s="158" t="str">
        <v/>
      </c>
      <c r="T775" s="158" t="str">
        <v/>
      </c>
      <c r="U775" s="158" t="str">
        <v/>
      </c>
      <c r="V775" s="158" t="str">
        <v/>
      </c>
      <c r="W775" s="158" t="str">
        <v/>
      </c>
      <c r="X775" s="158" t="str">
        <v/>
      </c>
      <c r="Y775" s="158" t="str">
        <v/>
      </c>
      <c r="Z775" s="158" t="str">
        <v/>
      </c>
      <c r="AA775" s="158" t="e">
        <v>#VALUE!</v>
      </c>
      <c r="AB775" s="171" t="str">
        <v/>
      </c>
      <c r="AC775" s="158">
        <v>0</v>
      </c>
      <c r="AD775" s="173" t="str">
        <f ca="1">IFERROR(__xludf.DUMMYFUNCTION("""COMPUTED_VALUE"""),"")</f>
        <v/>
      </c>
      <c r="AE775" s="154" t="str">
        <v/>
      </c>
      <c r="AF775" s="154" t="str">
        <v/>
      </c>
    </row>
    <row r="776" spans="1:32" ht="15">
      <c r="A776" s="176"/>
      <c r="B776" s="145"/>
      <c r="C776" s="169"/>
      <c r="D776" s="145"/>
      <c r="E776" s="145"/>
      <c r="F776" s="169" t="e">
        <v>#VALUE!</v>
      </c>
      <c r="G776" s="145"/>
      <c r="H776" s="145"/>
      <c r="I776" s="145"/>
      <c r="J776" s="145"/>
      <c r="K776" s="145"/>
      <c r="L776" s="145"/>
      <c r="M776" s="145"/>
      <c r="N776" s="145"/>
      <c r="O776" s="174"/>
      <c r="P776" s="174"/>
      <c r="Q776" s="158" t="str">
        <v/>
      </c>
      <c r="R776" s="158" t="str">
        <v/>
      </c>
      <c r="S776" s="158" t="str">
        <v/>
      </c>
      <c r="T776" s="158" t="str">
        <v/>
      </c>
      <c r="U776" s="158" t="str">
        <v/>
      </c>
      <c r="V776" s="158" t="str">
        <v/>
      </c>
      <c r="W776" s="158" t="str">
        <v/>
      </c>
      <c r="X776" s="158" t="str">
        <v/>
      </c>
      <c r="Y776" s="158" t="str">
        <v/>
      </c>
      <c r="Z776" s="158" t="str">
        <v/>
      </c>
      <c r="AA776" s="158" t="e">
        <v>#VALUE!</v>
      </c>
      <c r="AB776" s="171" t="str">
        <v/>
      </c>
      <c r="AC776" s="158">
        <v>0</v>
      </c>
      <c r="AD776" s="173" t="str">
        <f ca="1">IFERROR(__xludf.DUMMYFUNCTION("""COMPUTED_VALUE"""),"")</f>
        <v/>
      </c>
      <c r="AE776" s="154" t="str">
        <v/>
      </c>
      <c r="AF776" s="154" t="str">
        <v/>
      </c>
    </row>
    <row r="777" spans="1:32" ht="15">
      <c r="A777" s="176"/>
      <c r="B777" s="145"/>
      <c r="C777" s="169"/>
      <c r="D777" s="145"/>
      <c r="E777" s="145"/>
      <c r="F777" s="169" t="e">
        <v>#VALUE!</v>
      </c>
      <c r="G777" s="145"/>
      <c r="H777" s="145"/>
      <c r="I777" s="145"/>
      <c r="J777" s="145"/>
      <c r="K777" s="145"/>
      <c r="L777" s="145"/>
      <c r="M777" s="145"/>
      <c r="N777" s="145"/>
      <c r="O777" s="174"/>
      <c r="P777" s="174"/>
      <c r="Q777" s="158" t="str">
        <v/>
      </c>
      <c r="R777" s="158" t="str">
        <v/>
      </c>
      <c r="S777" s="158" t="str">
        <v/>
      </c>
      <c r="T777" s="158" t="str">
        <v/>
      </c>
      <c r="U777" s="158" t="str">
        <v/>
      </c>
      <c r="V777" s="158" t="str">
        <v/>
      </c>
      <c r="W777" s="158" t="str">
        <v/>
      </c>
      <c r="X777" s="158" t="str">
        <v/>
      </c>
      <c r="Y777" s="158" t="str">
        <v/>
      </c>
      <c r="Z777" s="158" t="str">
        <v/>
      </c>
      <c r="AA777" s="158" t="e">
        <v>#VALUE!</v>
      </c>
      <c r="AB777" s="171" t="str">
        <v/>
      </c>
      <c r="AC777" s="158">
        <v>0</v>
      </c>
      <c r="AD777" s="173" t="str">
        <f ca="1">IFERROR(__xludf.DUMMYFUNCTION("""COMPUTED_VALUE"""),"")</f>
        <v/>
      </c>
      <c r="AE777" s="154" t="str">
        <v/>
      </c>
      <c r="AF777" s="154" t="str">
        <v/>
      </c>
    </row>
    <row r="778" spans="1:32" ht="15">
      <c r="A778" s="176"/>
      <c r="B778" s="145"/>
      <c r="C778" s="169"/>
      <c r="D778" s="145"/>
      <c r="E778" s="145"/>
      <c r="F778" s="169" t="e">
        <v>#VALUE!</v>
      </c>
      <c r="G778" s="145"/>
      <c r="H778" s="145"/>
      <c r="I778" s="145"/>
      <c r="J778" s="145"/>
      <c r="K778" s="145"/>
      <c r="L778" s="145"/>
      <c r="M778" s="145"/>
      <c r="N778" s="145"/>
      <c r="O778" s="174"/>
      <c r="P778" s="174"/>
      <c r="Q778" s="158" t="str">
        <v/>
      </c>
      <c r="R778" s="158" t="str">
        <v/>
      </c>
      <c r="S778" s="158" t="str">
        <v/>
      </c>
      <c r="T778" s="158" t="str">
        <v/>
      </c>
      <c r="U778" s="158" t="str">
        <v/>
      </c>
      <c r="V778" s="158" t="str">
        <v/>
      </c>
      <c r="W778" s="158" t="str">
        <v/>
      </c>
      <c r="X778" s="158" t="str">
        <v/>
      </c>
      <c r="Y778" s="158" t="str">
        <v/>
      </c>
      <c r="Z778" s="158" t="str">
        <v/>
      </c>
      <c r="AA778" s="158" t="e">
        <v>#VALUE!</v>
      </c>
      <c r="AB778" s="171" t="str">
        <v/>
      </c>
      <c r="AC778" s="158">
        <v>0</v>
      </c>
      <c r="AD778" s="173" t="str">
        <f ca="1">IFERROR(__xludf.DUMMYFUNCTION("""COMPUTED_VALUE"""),"")</f>
        <v/>
      </c>
      <c r="AE778" s="154" t="str">
        <v/>
      </c>
      <c r="AF778" s="154" t="str">
        <v/>
      </c>
    </row>
    <row r="779" spans="1:32" ht="15">
      <c r="A779" s="176"/>
      <c r="B779" s="145"/>
      <c r="C779" s="169"/>
      <c r="D779" s="145"/>
      <c r="E779" s="145"/>
      <c r="F779" s="169" t="e">
        <v>#VALUE!</v>
      </c>
      <c r="G779" s="145"/>
      <c r="H779" s="145"/>
      <c r="I779" s="145"/>
      <c r="J779" s="145"/>
      <c r="K779" s="145"/>
      <c r="L779" s="145"/>
      <c r="M779" s="145"/>
      <c r="N779" s="145"/>
      <c r="O779" s="174"/>
      <c r="P779" s="174"/>
      <c r="Q779" s="158" t="str">
        <v/>
      </c>
      <c r="R779" s="158" t="str">
        <v/>
      </c>
      <c r="S779" s="158" t="str">
        <v/>
      </c>
      <c r="T779" s="158" t="str">
        <v/>
      </c>
      <c r="U779" s="158" t="str">
        <v/>
      </c>
      <c r="V779" s="158" t="str">
        <v/>
      </c>
      <c r="W779" s="158" t="str">
        <v/>
      </c>
      <c r="X779" s="158" t="str">
        <v/>
      </c>
      <c r="Y779" s="158" t="str">
        <v/>
      </c>
      <c r="Z779" s="158" t="str">
        <v/>
      </c>
      <c r="AA779" s="158" t="e">
        <v>#VALUE!</v>
      </c>
      <c r="AB779" s="171" t="str">
        <v/>
      </c>
      <c r="AC779" s="158">
        <v>0</v>
      </c>
      <c r="AD779" s="173" t="str">
        <f ca="1">IFERROR(__xludf.DUMMYFUNCTION("""COMPUTED_VALUE"""),"")</f>
        <v/>
      </c>
      <c r="AE779" s="154" t="str">
        <v/>
      </c>
      <c r="AF779" s="154" t="str">
        <v/>
      </c>
    </row>
    <row r="780" spans="1:32" ht="15">
      <c r="A780" s="176"/>
      <c r="B780" s="145"/>
      <c r="C780" s="169"/>
      <c r="D780" s="145"/>
      <c r="E780" s="145"/>
      <c r="F780" s="169" t="e">
        <v>#VALUE!</v>
      </c>
      <c r="G780" s="145"/>
      <c r="H780" s="145"/>
      <c r="I780" s="145"/>
      <c r="J780" s="145"/>
      <c r="K780" s="145"/>
      <c r="L780" s="145"/>
      <c r="M780" s="145"/>
      <c r="N780" s="145"/>
      <c r="O780" s="174"/>
      <c r="P780" s="174"/>
      <c r="Q780" s="158" t="str">
        <v/>
      </c>
      <c r="R780" s="158" t="str">
        <v/>
      </c>
      <c r="S780" s="158" t="str">
        <v/>
      </c>
      <c r="T780" s="158" t="str">
        <v/>
      </c>
      <c r="U780" s="158" t="str">
        <v/>
      </c>
      <c r="V780" s="158" t="str">
        <v/>
      </c>
      <c r="W780" s="158" t="str">
        <v/>
      </c>
      <c r="X780" s="158" t="str">
        <v/>
      </c>
      <c r="Y780" s="158" t="str">
        <v/>
      </c>
      <c r="Z780" s="158" t="str">
        <v/>
      </c>
      <c r="AA780" s="158" t="e">
        <v>#VALUE!</v>
      </c>
      <c r="AB780" s="171" t="str">
        <v/>
      </c>
      <c r="AC780" s="158">
        <v>0</v>
      </c>
      <c r="AD780" s="173" t="str">
        <f ca="1">IFERROR(__xludf.DUMMYFUNCTION("""COMPUTED_VALUE"""),"")</f>
        <v/>
      </c>
      <c r="AE780" s="154" t="str">
        <v/>
      </c>
      <c r="AF780" s="154" t="str">
        <v/>
      </c>
    </row>
    <row r="781" spans="1:32" ht="15">
      <c r="A781" s="176"/>
      <c r="B781" s="145"/>
      <c r="C781" s="169"/>
      <c r="D781" s="145"/>
      <c r="E781" s="145"/>
      <c r="F781" s="169" t="e">
        <v>#VALUE!</v>
      </c>
      <c r="G781" s="145"/>
      <c r="H781" s="145"/>
      <c r="I781" s="145"/>
      <c r="J781" s="145"/>
      <c r="K781" s="145"/>
      <c r="L781" s="145"/>
      <c r="M781" s="145"/>
      <c r="N781" s="145"/>
      <c r="O781" s="174"/>
      <c r="P781" s="174"/>
      <c r="Q781" s="158" t="str">
        <v/>
      </c>
      <c r="R781" s="158" t="str">
        <v/>
      </c>
      <c r="S781" s="158" t="str">
        <v/>
      </c>
      <c r="T781" s="158" t="str">
        <v/>
      </c>
      <c r="U781" s="158" t="str">
        <v/>
      </c>
      <c r="V781" s="158" t="str">
        <v/>
      </c>
      <c r="W781" s="158" t="str">
        <v/>
      </c>
      <c r="X781" s="158" t="str">
        <v/>
      </c>
      <c r="Y781" s="158" t="str">
        <v/>
      </c>
      <c r="Z781" s="158" t="str">
        <v/>
      </c>
      <c r="AA781" s="158" t="e">
        <v>#VALUE!</v>
      </c>
      <c r="AB781" s="171" t="str">
        <v/>
      </c>
      <c r="AC781" s="158">
        <v>0</v>
      </c>
      <c r="AD781" s="173" t="str">
        <f ca="1">IFERROR(__xludf.DUMMYFUNCTION("""COMPUTED_VALUE"""),"")</f>
        <v/>
      </c>
      <c r="AE781" s="154" t="str">
        <v/>
      </c>
      <c r="AF781" s="154" t="str">
        <v/>
      </c>
    </row>
    <row r="782" spans="1:32" ht="15">
      <c r="A782" s="176"/>
      <c r="B782" s="145"/>
      <c r="C782" s="169"/>
      <c r="D782" s="145"/>
      <c r="E782" s="145"/>
      <c r="F782" s="169" t="e">
        <v>#VALUE!</v>
      </c>
      <c r="G782" s="145"/>
      <c r="H782" s="145"/>
      <c r="I782" s="145"/>
      <c r="J782" s="145"/>
      <c r="K782" s="145"/>
      <c r="L782" s="145"/>
      <c r="M782" s="145"/>
      <c r="N782" s="145"/>
      <c r="O782" s="174"/>
      <c r="P782" s="174"/>
      <c r="Q782" s="158" t="str">
        <v/>
      </c>
      <c r="R782" s="158" t="str">
        <v/>
      </c>
      <c r="S782" s="158" t="str">
        <v/>
      </c>
      <c r="T782" s="158" t="str">
        <v/>
      </c>
      <c r="U782" s="158" t="str">
        <v/>
      </c>
      <c r="V782" s="158" t="str">
        <v/>
      </c>
      <c r="W782" s="158" t="str">
        <v/>
      </c>
      <c r="X782" s="158" t="str">
        <v/>
      </c>
      <c r="Y782" s="158" t="str">
        <v/>
      </c>
      <c r="Z782" s="158" t="str">
        <v/>
      </c>
      <c r="AA782" s="158" t="e">
        <v>#VALUE!</v>
      </c>
      <c r="AB782" s="171" t="str">
        <v/>
      </c>
      <c r="AC782" s="158">
        <v>0</v>
      </c>
      <c r="AD782" s="173" t="str">
        <f ca="1">IFERROR(__xludf.DUMMYFUNCTION("""COMPUTED_VALUE"""),"")</f>
        <v/>
      </c>
      <c r="AE782" s="154" t="str">
        <v/>
      </c>
      <c r="AF782" s="154" t="str">
        <v/>
      </c>
    </row>
    <row r="783" spans="1:32" ht="15">
      <c r="A783" s="176"/>
      <c r="B783" s="145"/>
      <c r="C783" s="169"/>
      <c r="D783" s="145"/>
      <c r="E783" s="145"/>
      <c r="F783" s="169" t="e">
        <v>#VALUE!</v>
      </c>
      <c r="G783" s="145"/>
      <c r="H783" s="145"/>
      <c r="I783" s="145"/>
      <c r="J783" s="145"/>
      <c r="K783" s="145"/>
      <c r="L783" s="145"/>
      <c r="M783" s="145"/>
      <c r="N783" s="145"/>
      <c r="O783" s="174"/>
      <c r="P783" s="174"/>
      <c r="Q783" s="158" t="str">
        <v/>
      </c>
      <c r="R783" s="158" t="str">
        <v/>
      </c>
      <c r="S783" s="158" t="str">
        <v/>
      </c>
      <c r="T783" s="158" t="str">
        <v/>
      </c>
      <c r="U783" s="158" t="str">
        <v/>
      </c>
      <c r="V783" s="158" t="str">
        <v/>
      </c>
      <c r="W783" s="158" t="str">
        <v/>
      </c>
      <c r="X783" s="158" t="str">
        <v/>
      </c>
      <c r="Y783" s="158" t="str">
        <v/>
      </c>
      <c r="Z783" s="158" t="str">
        <v/>
      </c>
      <c r="AA783" s="158" t="e">
        <v>#VALUE!</v>
      </c>
      <c r="AB783" s="171" t="str">
        <v/>
      </c>
      <c r="AC783" s="158">
        <v>0</v>
      </c>
      <c r="AD783" s="173" t="str">
        <f ca="1">IFERROR(__xludf.DUMMYFUNCTION("""COMPUTED_VALUE"""),"")</f>
        <v/>
      </c>
      <c r="AE783" s="154" t="str">
        <v/>
      </c>
      <c r="AF783" s="154" t="str">
        <v/>
      </c>
    </row>
    <row r="784" spans="1:32" ht="15">
      <c r="A784" s="176"/>
      <c r="B784" s="145"/>
      <c r="C784" s="169"/>
      <c r="D784" s="145"/>
      <c r="E784" s="145"/>
      <c r="F784" s="169" t="e">
        <v>#VALUE!</v>
      </c>
      <c r="G784" s="145"/>
      <c r="H784" s="145"/>
      <c r="I784" s="145"/>
      <c r="J784" s="145"/>
      <c r="K784" s="145"/>
      <c r="L784" s="145"/>
      <c r="M784" s="145"/>
      <c r="N784" s="145"/>
      <c r="O784" s="174"/>
      <c r="P784" s="174"/>
      <c r="Q784" s="158" t="str">
        <v/>
      </c>
      <c r="R784" s="158" t="str">
        <v/>
      </c>
      <c r="S784" s="158" t="str">
        <v/>
      </c>
      <c r="T784" s="158" t="str">
        <v/>
      </c>
      <c r="U784" s="158" t="str">
        <v/>
      </c>
      <c r="V784" s="158" t="str">
        <v/>
      </c>
      <c r="W784" s="158" t="str">
        <v/>
      </c>
      <c r="X784" s="158" t="str">
        <v/>
      </c>
      <c r="Y784" s="158" t="str">
        <v/>
      </c>
      <c r="Z784" s="158" t="str">
        <v/>
      </c>
      <c r="AA784" s="158" t="e">
        <v>#VALUE!</v>
      </c>
      <c r="AB784" s="171" t="str">
        <v/>
      </c>
      <c r="AC784" s="158">
        <v>0</v>
      </c>
      <c r="AD784" s="173" t="str">
        <f ca="1">IFERROR(__xludf.DUMMYFUNCTION("""COMPUTED_VALUE"""),"")</f>
        <v/>
      </c>
      <c r="AE784" s="154" t="str">
        <v/>
      </c>
      <c r="AF784" s="154" t="str">
        <v/>
      </c>
    </row>
    <row r="785" spans="1:32" ht="15">
      <c r="A785" s="176"/>
      <c r="B785" s="145"/>
      <c r="C785" s="169"/>
      <c r="D785" s="145"/>
      <c r="E785" s="145"/>
      <c r="F785" s="169" t="e">
        <v>#VALUE!</v>
      </c>
      <c r="G785" s="145"/>
      <c r="H785" s="145"/>
      <c r="I785" s="145"/>
      <c r="J785" s="145"/>
      <c r="K785" s="145"/>
      <c r="L785" s="145"/>
      <c r="M785" s="145"/>
      <c r="N785" s="145"/>
      <c r="O785" s="174"/>
      <c r="P785" s="174"/>
      <c r="Q785" s="158" t="str">
        <v/>
      </c>
      <c r="R785" s="158" t="str">
        <v/>
      </c>
      <c r="S785" s="158" t="str">
        <v/>
      </c>
      <c r="T785" s="158" t="str">
        <v/>
      </c>
      <c r="U785" s="158" t="str">
        <v/>
      </c>
      <c r="V785" s="158" t="str">
        <v/>
      </c>
      <c r="W785" s="158" t="str">
        <v/>
      </c>
      <c r="X785" s="158" t="str">
        <v/>
      </c>
      <c r="Y785" s="158" t="str">
        <v/>
      </c>
      <c r="Z785" s="158" t="str">
        <v/>
      </c>
      <c r="AA785" s="158" t="e">
        <v>#VALUE!</v>
      </c>
      <c r="AB785" s="171" t="str">
        <v/>
      </c>
      <c r="AC785" s="158">
        <v>0</v>
      </c>
      <c r="AD785" s="173" t="str">
        <f ca="1">IFERROR(__xludf.DUMMYFUNCTION("""COMPUTED_VALUE"""),"")</f>
        <v/>
      </c>
      <c r="AE785" s="154" t="str">
        <v/>
      </c>
      <c r="AF785" s="154" t="str">
        <v/>
      </c>
    </row>
    <row r="786" spans="1:32" ht="15">
      <c r="A786" s="176"/>
      <c r="B786" s="145"/>
      <c r="C786" s="169"/>
      <c r="D786" s="145"/>
      <c r="E786" s="145"/>
      <c r="F786" s="169" t="e">
        <v>#VALUE!</v>
      </c>
      <c r="G786" s="145"/>
      <c r="H786" s="145"/>
      <c r="I786" s="145"/>
      <c r="J786" s="145"/>
      <c r="K786" s="145"/>
      <c r="L786" s="145"/>
      <c r="M786" s="145"/>
      <c r="N786" s="145"/>
      <c r="O786" s="174"/>
      <c r="P786" s="174"/>
      <c r="Q786" s="158" t="str">
        <v/>
      </c>
      <c r="R786" s="158" t="str">
        <v/>
      </c>
      <c r="S786" s="158" t="str">
        <v/>
      </c>
      <c r="T786" s="158" t="str">
        <v/>
      </c>
      <c r="U786" s="158" t="str">
        <v/>
      </c>
      <c r="V786" s="158" t="str">
        <v/>
      </c>
      <c r="W786" s="158" t="str">
        <v/>
      </c>
      <c r="X786" s="158" t="str">
        <v/>
      </c>
      <c r="Y786" s="158" t="str">
        <v/>
      </c>
      <c r="Z786" s="158" t="str">
        <v/>
      </c>
      <c r="AA786" s="158" t="e">
        <v>#VALUE!</v>
      </c>
      <c r="AB786" s="171" t="str">
        <v/>
      </c>
      <c r="AC786" s="158">
        <v>0</v>
      </c>
      <c r="AD786" s="173" t="str">
        <f ca="1">IFERROR(__xludf.DUMMYFUNCTION("""COMPUTED_VALUE"""),"")</f>
        <v/>
      </c>
      <c r="AE786" s="154" t="str">
        <v/>
      </c>
      <c r="AF786" s="154" t="str">
        <v/>
      </c>
    </row>
    <row r="787" spans="1:32" ht="15">
      <c r="A787" s="176"/>
      <c r="B787" s="145"/>
      <c r="C787" s="169"/>
      <c r="D787" s="145"/>
      <c r="E787" s="145"/>
      <c r="F787" s="169" t="e">
        <v>#VALUE!</v>
      </c>
      <c r="G787" s="145"/>
      <c r="H787" s="145"/>
      <c r="I787" s="145"/>
      <c r="J787" s="145"/>
      <c r="K787" s="145"/>
      <c r="L787" s="145"/>
      <c r="M787" s="145"/>
      <c r="N787" s="145"/>
      <c r="O787" s="174"/>
      <c r="P787" s="174"/>
      <c r="Q787" s="158" t="str">
        <v/>
      </c>
      <c r="R787" s="158" t="str">
        <v/>
      </c>
      <c r="S787" s="158" t="str">
        <v/>
      </c>
      <c r="T787" s="158" t="str">
        <v/>
      </c>
      <c r="U787" s="158" t="str">
        <v/>
      </c>
      <c r="V787" s="158" t="str">
        <v/>
      </c>
      <c r="W787" s="158" t="str">
        <v/>
      </c>
      <c r="X787" s="158" t="str">
        <v/>
      </c>
      <c r="Y787" s="158" t="str">
        <v/>
      </c>
      <c r="Z787" s="158" t="str">
        <v/>
      </c>
      <c r="AA787" s="158" t="e">
        <v>#VALUE!</v>
      </c>
      <c r="AB787" s="171" t="str">
        <v/>
      </c>
      <c r="AC787" s="158">
        <v>0</v>
      </c>
      <c r="AD787" s="173" t="str">
        <f ca="1">IFERROR(__xludf.DUMMYFUNCTION("""COMPUTED_VALUE"""),"")</f>
        <v/>
      </c>
      <c r="AE787" s="154" t="str">
        <v/>
      </c>
      <c r="AF787" s="154" t="str">
        <v/>
      </c>
    </row>
    <row r="788" spans="1:32" ht="15">
      <c r="A788" s="176"/>
      <c r="B788" s="145"/>
      <c r="C788" s="169"/>
      <c r="D788" s="145"/>
      <c r="E788" s="145"/>
      <c r="F788" s="169" t="e">
        <v>#VALUE!</v>
      </c>
      <c r="G788" s="145"/>
      <c r="H788" s="145"/>
      <c r="I788" s="145"/>
      <c r="J788" s="145"/>
      <c r="K788" s="145"/>
      <c r="L788" s="145"/>
      <c r="M788" s="145"/>
      <c r="N788" s="145"/>
      <c r="O788" s="174"/>
      <c r="P788" s="174"/>
      <c r="Q788" s="158" t="str">
        <v/>
      </c>
      <c r="R788" s="158" t="str">
        <v/>
      </c>
      <c r="S788" s="158" t="str">
        <v/>
      </c>
      <c r="T788" s="158" t="str">
        <v/>
      </c>
      <c r="U788" s="158" t="str">
        <v/>
      </c>
      <c r="V788" s="158" t="str">
        <v/>
      </c>
      <c r="W788" s="158" t="str">
        <v/>
      </c>
      <c r="X788" s="158" t="str">
        <v/>
      </c>
      <c r="Y788" s="158" t="str">
        <v/>
      </c>
      <c r="Z788" s="158" t="str">
        <v/>
      </c>
      <c r="AA788" s="158" t="e">
        <v>#VALUE!</v>
      </c>
      <c r="AB788" s="171" t="str">
        <v/>
      </c>
      <c r="AC788" s="158">
        <v>0</v>
      </c>
      <c r="AD788" s="173" t="str">
        <f ca="1">IFERROR(__xludf.DUMMYFUNCTION("""COMPUTED_VALUE"""),"")</f>
        <v/>
      </c>
      <c r="AE788" s="154" t="str">
        <v/>
      </c>
      <c r="AF788" s="154" t="str">
        <v/>
      </c>
    </row>
    <row r="789" spans="1:32" ht="15">
      <c r="A789" s="176"/>
      <c r="B789" s="145"/>
      <c r="C789" s="169"/>
      <c r="D789" s="145"/>
      <c r="E789" s="145"/>
      <c r="F789" s="169" t="e">
        <v>#VALUE!</v>
      </c>
      <c r="G789" s="145"/>
      <c r="H789" s="145"/>
      <c r="I789" s="145"/>
      <c r="J789" s="145"/>
      <c r="K789" s="145"/>
      <c r="L789" s="145"/>
      <c r="M789" s="145"/>
      <c r="N789" s="145"/>
      <c r="O789" s="174"/>
      <c r="P789" s="174"/>
      <c r="Q789" s="158" t="str">
        <v/>
      </c>
      <c r="R789" s="158" t="str">
        <v/>
      </c>
      <c r="S789" s="158" t="str">
        <v/>
      </c>
      <c r="T789" s="158" t="str">
        <v/>
      </c>
      <c r="U789" s="158" t="str">
        <v/>
      </c>
      <c r="V789" s="158" t="str">
        <v/>
      </c>
      <c r="W789" s="158" t="str">
        <v/>
      </c>
      <c r="X789" s="158" t="str">
        <v/>
      </c>
      <c r="Y789" s="158" t="str">
        <v/>
      </c>
      <c r="Z789" s="158" t="str">
        <v/>
      </c>
      <c r="AA789" s="158" t="e">
        <v>#VALUE!</v>
      </c>
      <c r="AB789" s="171" t="str">
        <v/>
      </c>
      <c r="AC789" s="158">
        <v>0</v>
      </c>
      <c r="AD789" s="173" t="str">
        <f ca="1">IFERROR(__xludf.DUMMYFUNCTION("""COMPUTED_VALUE"""),"")</f>
        <v/>
      </c>
      <c r="AE789" s="154" t="str">
        <v/>
      </c>
      <c r="AF789" s="154" t="str">
        <v/>
      </c>
    </row>
    <row r="790" spans="1:32" ht="15">
      <c r="A790" s="176"/>
      <c r="B790" s="145"/>
      <c r="C790" s="169"/>
      <c r="D790" s="145"/>
      <c r="E790" s="145"/>
      <c r="F790" s="169" t="e">
        <v>#VALUE!</v>
      </c>
      <c r="G790" s="145"/>
      <c r="H790" s="145"/>
      <c r="I790" s="145"/>
      <c r="J790" s="145"/>
      <c r="K790" s="145"/>
      <c r="L790" s="145"/>
      <c r="M790" s="145"/>
      <c r="N790" s="145"/>
      <c r="O790" s="174"/>
      <c r="P790" s="174"/>
      <c r="Q790" s="158" t="str">
        <v/>
      </c>
      <c r="R790" s="158" t="str">
        <v/>
      </c>
      <c r="S790" s="158" t="str">
        <v/>
      </c>
      <c r="T790" s="158" t="str">
        <v/>
      </c>
      <c r="U790" s="158" t="str">
        <v/>
      </c>
      <c r="V790" s="158" t="str">
        <v/>
      </c>
      <c r="W790" s="158" t="str">
        <v/>
      </c>
      <c r="X790" s="158" t="str">
        <v/>
      </c>
      <c r="Y790" s="158" t="str">
        <v/>
      </c>
      <c r="Z790" s="158" t="str">
        <v/>
      </c>
      <c r="AA790" s="158" t="e">
        <v>#VALUE!</v>
      </c>
      <c r="AB790" s="171" t="str">
        <v/>
      </c>
      <c r="AC790" s="158">
        <v>0</v>
      </c>
      <c r="AD790" s="173" t="str">
        <f ca="1">IFERROR(__xludf.DUMMYFUNCTION("""COMPUTED_VALUE"""),"")</f>
        <v/>
      </c>
      <c r="AE790" s="154" t="str">
        <v/>
      </c>
      <c r="AF790" s="154" t="str">
        <v/>
      </c>
    </row>
    <row r="791" spans="1:32" ht="15">
      <c r="A791" s="176"/>
      <c r="B791" s="145"/>
      <c r="C791" s="169"/>
      <c r="D791" s="145"/>
      <c r="E791" s="145"/>
      <c r="F791" s="169" t="e">
        <v>#VALUE!</v>
      </c>
      <c r="G791" s="145"/>
      <c r="H791" s="145"/>
      <c r="I791" s="145"/>
      <c r="J791" s="145"/>
      <c r="K791" s="145"/>
      <c r="L791" s="145"/>
      <c r="M791" s="145"/>
      <c r="N791" s="145"/>
      <c r="O791" s="174"/>
      <c r="P791" s="174"/>
      <c r="Q791" s="158" t="str">
        <v/>
      </c>
      <c r="R791" s="158" t="str">
        <v/>
      </c>
      <c r="S791" s="158" t="str">
        <v/>
      </c>
      <c r="T791" s="158" t="str">
        <v/>
      </c>
      <c r="U791" s="158" t="str">
        <v/>
      </c>
      <c r="V791" s="158" t="str">
        <v/>
      </c>
      <c r="W791" s="158" t="str">
        <v/>
      </c>
      <c r="X791" s="158" t="str">
        <v/>
      </c>
      <c r="Y791" s="158" t="str">
        <v/>
      </c>
      <c r="Z791" s="158" t="str">
        <v/>
      </c>
      <c r="AA791" s="158" t="e">
        <v>#VALUE!</v>
      </c>
      <c r="AB791" s="171" t="str">
        <v/>
      </c>
      <c r="AC791" s="158">
        <v>0</v>
      </c>
      <c r="AD791" s="173" t="str">
        <f ca="1">IFERROR(__xludf.DUMMYFUNCTION("""COMPUTED_VALUE"""),"")</f>
        <v/>
      </c>
      <c r="AE791" s="154" t="str">
        <v/>
      </c>
      <c r="AF791" s="154" t="str">
        <v/>
      </c>
    </row>
    <row r="792" spans="1:32" ht="15">
      <c r="A792" s="176"/>
      <c r="B792" s="145"/>
      <c r="C792" s="169"/>
      <c r="D792" s="145"/>
      <c r="E792" s="145"/>
      <c r="F792" s="169" t="e">
        <v>#VALUE!</v>
      </c>
      <c r="G792" s="145"/>
      <c r="H792" s="145"/>
      <c r="I792" s="145"/>
      <c r="J792" s="145"/>
      <c r="K792" s="145"/>
      <c r="L792" s="145"/>
      <c r="M792" s="145"/>
      <c r="N792" s="145"/>
      <c r="O792" s="174"/>
      <c r="P792" s="174"/>
      <c r="Q792" s="158" t="str">
        <v/>
      </c>
      <c r="R792" s="158" t="str">
        <v/>
      </c>
      <c r="S792" s="158" t="str">
        <v/>
      </c>
      <c r="T792" s="158" t="str">
        <v/>
      </c>
      <c r="U792" s="158" t="str">
        <v/>
      </c>
      <c r="V792" s="158" t="str">
        <v/>
      </c>
      <c r="W792" s="158" t="str">
        <v/>
      </c>
      <c r="X792" s="158" t="str">
        <v/>
      </c>
      <c r="Y792" s="158" t="str">
        <v/>
      </c>
      <c r="Z792" s="158" t="str">
        <v/>
      </c>
      <c r="AA792" s="158" t="e">
        <v>#VALUE!</v>
      </c>
      <c r="AB792" s="171" t="str">
        <v/>
      </c>
      <c r="AC792" s="158">
        <v>0</v>
      </c>
      <c r="AD792" s="173" t="str">
        <f ca="1">IFERROR(__xludf.DUMMYFUNCTION("""COMPUTED_VALUE"""),"")</f>
        <v/>
      </c>
      <c r="AE792" s="154" t="str">
        <v/>
      </c>
      <c r="AF792" s="154" t="str">
        <v/>
      </c>
    </row>
    <row r="793" spans="1:32" ht="15">
      <c r="A793" s="176"/>
      <c r="B793" s="145"/>
      <c r="C793" s="169"/>
      <c r="D793" s="145"/>
      <c r="E793" s="145"/>
      <c r="F793" s="169" t="e">
        <v>#VALUE!</v>
      </c>
      <c r="G793" s="145"/>
      <c r="H793" s="145"/>
      <c r="I793" s="145"/>
      <c r="J793" s="145"/>
      <c r="K793" s="145"/>
      <c r="L793" s="145"/>
      <c r="M793" s="145"/>
      <c r="N793" s="145"/>
      <c r="O793" s="174"/>
      <c r="P793" s="174"/>
      <c r="Q793" s="158" t="str">
        <v/>
      </c>
      <c r="R793" s="158" t="str">
        <v/>
      </c>
      <c r="S793" s="158" t="str">
        <v/>
      </c>
      <c r="T793" s="158" t="str">
        <v/>
      </c>
      <c r="U793" s="158" t="str">
        <v/>
      </c>
      <c r="V793" s="158" t="str">
        <v/>
      </c>
      <c r="W793" s="158" t="str">
        <v/>
      </c>
      <c r="X793" s="158" t="str">
        <v/>
      </c>
      <c r="Y793" s="158" t="str">
        <v/>
      </c>
      <c r="Z793" s="158" t="str">
        <v/>
      </c>
      <c r="AA793" s="158" t="e">
        <v>#VALUE!</v>
      </c>
      <c r="AB793" s="171" t="str">
        <v/>
      </c>
      <c r="AC793" s="158">
        <v>0</v>
      </c>
      <c r="AD793" s="173" t="str">
        <f ca="1">IFERROR(__xludf.DUMMYFUNCTION("""COMPUTED_VALUE"""),"")</f>
        <v/>
      </c>
      <c r="AE793" s="154" t="str">
        <v/>
      </c>
      <c r="AF793" s="154" t="str">
        <v/>
      </c>
    </row>
    <row r="794" spans="1:32" ht="15">
      <c r="A794" s="176"/>
      <c r="B794" s="145"/>
      <c r="C794" s="169"/>
      <c r="D794" s="145"/>
      <c r="E794" s="145"/>
      <c r="F794" s="169" t="e">
        <v>#VALUE!</v>
      </c>
      <c r="G794" s="145"/>
      <c r="H794" s="145"/>
      <c r="I794" s="145"/>
      <c r="J794" s="145"/>
      <c r="K794" s="145"/>
      <c r="L794" s="145"/>
      <c r="M794" s="145"/>
      <c r="N794" s="145"/>
      <c r="O794" s="174"/>
      <c r="P794" s="174"/>
      <c r="Q794" s="158" t="str">
        <v/>
      </c>
      <c r="R794" s="158" t="str">
        <v/>
      </c>
      <c r="S794" s="158" t="str">
        <v/>
      </c>
      <c r="T794" s="158" t="str">
        <v/>
      </c>
      <c r="U794" s="158" t="str">
        <v/>
      </c>
      <c r="V794" s="158" t="str">
        <v/>
      </c>
      <c r="W794" s="158" t="str">
        <v/>
      </c>
      <c r="X794" s="158" t="str">
        <v/>
      </c>
      <c r="Y794" s="158" t="str">
        <v/>
      </c>
      <c r="Z794" s="158" t="str">
        <v/>
      </c>
      <c r="AA794" s="158" t="e">
        <v>#VALUE!</v>
      </c>
      <c r="AB794" s="171" t="str">
        <v/>
      </c>
      <c r="AC794" s="158">
        <v>0</v>
      </c>
      <c r="AD794" s="173" t="str">
        <f ca="1">IFERROR(__xludf.DUMMYFUNCTION("""COMPUTED_VALUE"""),"")</f>
        <v/>
      </c>
      <c r="AE794" s="154" t="str">
        <v/>
      </c>
      <c r="AF794" s="154" t="str">
        <v/>
      </c>
    </row>
    <row r="795" spans="1:32" ht="15">
      <c r="A795" s="176"/>
      <c r="B795" s="145"/>
      <c r="C795" s="169"/>
      <c r="D795" s="145"/>
      <c r="E795" s="145"/>
      <c r="F795" s="169" t="e">
        <v>#VALUE!</v>
      </c>
      <c r="G795" s="145"/>
      <c r="H795" s="145"/>
      <c r="I795" s="145"/>
      <c r="J795" s="145"/>
      <c r="K795" s="145"/>
      <c r="L795" s="145"/>
      <c r="M795" s="145"/>
      <c r="N795" s="145"/>
      <c r="O795" s="174"/>
      <c r="P795" s="174"/>
      <c r="Q795" s="158" t="str">
        <v/>
      </c>
      <c r="R795" s="158" t="str">
        <v/>
      </c>
      <c r="S795" s="158" t="str">
        <v/>
      </c>
      <c r="T795" s="158" t="str">
        <v/>
      </c>
      <c r="U795" s="158" t="str">
        <v/>
      </c>
      <c r="V795" s="158" t="str">
        <v/>
      </c>
      <c r="W795" s="158" t="str">
        <v/>
      </c>
      <c r="X795" s="158" t="str">
        <v/>
      </c>
      <c r="Y795" s="158" t="str">
        <v/>
      </c>
      <c r="Z795" s="158" t="str">
        <v/>
      </c>
      <c r="AA795" s="158" t="e">
        <v>#VALUE!</v>
      </c>
      <c r="AB795" s="171" t="str">
        <v/>
      </c>
      <c r="AC795" s="158">
        <v>0</v>
      </c>
      <c r="AD795" s="173" t="str">
        <f ca="1">IFERROR(__xludf.DUMMYFUNCTION("""COMPUTED_VALUE"""),"")</f>
        <v/>
      </c>
      <c r="AE795" s="154" t="str">
        <v/>
      </c>
      <c r="AF795" s="154" t="str">
        <v/>
      </c>
    </row>
    <row r="796" spans="1:32" ht="15">
      <c r="A796" s="176"/>
      <c r="B796" s="145"/>
      <c r="C796" s="169"/>
      <c r="D796" s="145"/>
      <c r="E796" s="145"/>
      <c r="F796" s="169" t="e">
        <v>#VALUE!</v>
      </c>
      <c r="G796" s="145"/>
      <c r="H796" s="145"/>
      <c r="I796" s="145"/>
      <c r="J796" s="145"/>
      <c r="K796" s="145"/>
      <c r="L796" s="145"/>
      <c r="M796" s="145"/>
      <c r="N796" s="145"/>
      <c r="O796" s="174"/>
      <c r="P796" s="174"/>
      <c r="Q796" s="158" t="str">
        <v/>
      </c>
      <c r="R796" s="158" t="str">
        <v/>
      </c>
      <c r="S796" s="158" t="str">
        <v/>
      </c>
      <c r="T796" s="158" t="str">
        <v/>
      </c>
      <c r="U796" s="158" t="str">
        <v/>
      </c>
      <c r="V796" s="158" t="str">
        <v/>
      </c>
      <c r="W796" s="158" t="str">
        <v/>
      </c>
      <c r="X796" s="158" t="str">
        <v/>
      </c>
      <c r="Y796" s="158" t="str">
        <v/>
      </c>
      <c r="Z796" s="158" t="str">
        <v/>
      </c>
      <c r="AA796" s="158" t="e">
        <v>#VALUE!</v>
      </c>
      <c r="AB796" s="171" t="str">
        <v/>
      </c>
      <c r="AC796" s="158">
        <v>0</v>
      </c>
      <c r="AD796" s="173" t="str">
        <f ca="1">IFERROR(__xludf.DUMMYFUNCTION("""COMPUTED_VALUE"""),"")</f>
        <v/>
      </c>
      <c r="AE796" s="154" t="str">
        <v/>
      </c>
      <c r="AF796" s="154" t="str">
        <v/>
      </c>
    </row>
    <row r="797" spans="1:32" ht="15">
      <c r="A797" s="176"/>
      <c r="B797" s="145"/>
      <c r="C797" s="169"/>
      <c r="D797" s="145"/>
      <c r="E797" s="145"/>
      <c r="F797" s="169" t="e">
        <v>#VALUE!</v>
      </c>
      <c r="G797" s="145"/>
      <c r="H797" s="145"/>
      <c r="I797" s="145"/>
      <c r="J797" s="145"/>
      <c r="K797" s="145"/>
      <c r="L797" s="145"/>
      <c r="M797" s="145"/>
      <c r="N797" s="145"/>
      <c r="O797" s="174"/>
      <c r="P797" s="174"/>
      <c r="Q797" s="158" t="str">
        <v/>
      </c>
      <c r="R797" s="158" t="str">
        <v/>
      </c>
      <c r="S797" s="158" t="str">
        <v/>
      </c>
      <c r="T797" s="158" t="str">
        <v/>
      </c>
      <c r="U797" s="158" t="str">
        <v/>
      </c>
      <c r="V797" s="158" t="str">
        <v/>
      </c>
      <c r="W797" s="158" t="str">
        <v/>
      </c>
      <c r="X797" s="158" t="str">
        <v/>
      </c>
      <c r="Y797" s="158" t="str">
        <v/>
      </c>
      <c r="Z797" s="158" t="str">
        <v/>
      </c>
      <c r="AA797" s="158" t="e">
        <v>#VALUE!</v>
      </c>
      <c r="AB797" s="171" t="str">
        <v/>
      </c>
      <c r="AC797" s="158">
        <v>0</v>
      </c>
      <c r="AD797" s="173" t="str">
        <f ca="1">IFERROR(__xludf.DUMMYFUNCTION("""COMPUTED_VALUE"""),"")</f>
        <v/>
      </c>
      <c r="AE797" s="154" t="str">
        <v/>
      </c>
      <c r="AF797" s="154" t="str">
        <v/>
      </c>
    </row>
    <row r="798" spans="1:32" ht="15">
      <c r="A798" s="176"/>
      <c r="B798" s="145"/>
      <c r="C798" s="169"/>
      <c r="D798" s="145"/>
      <c r="E798" s="145"/>
      <c r="F798" s="169" t="e">
        <v>#VALUE!</v>
      </c>
      <c r="G798" s="145"/>
      <c r="H798" s="145"/>
      <c r="I798" s="145"/>
      <c r="J798" s="145"/>
      <c r="K798" s="145"/>
      <c r="L798" s="145"/>
      <c r="M798" s="145"/>
      <c r="N798" s="145"/>
      <c r="O798" s="174"/>
      <c r="P798" s="174"/>
      <c r="Q798" s="158" t="str">
        <v/>
      </c>
      <c r="R798" s="158" t="str">
        <v/>
      </c>
      <c r="S798" s="158" t="str">
        <v/>
      </c>
      <c r="T798" s="158" t="str">
        <v/>
      </c>
      <c r="U798" s="158" t="str">
        <v/>
      </c>
      <c r="V798" s="158" t="str">
        <v/>
      </c>
      <c r="W798" s="158" t="str">
        <v/>
      </c>
      <c r="X798" s="158" t="str">
        <v/>
      </c>
      <c r="Y798" s="158" t="str">
        <v/>
      </c>
      <c r="Z798" s="158" t="str">
        <v/>
      </c>
      <c r="AA798" s="158" t="e">
        <v>#VALUE!</v>
      </c>
      <c r="AB798" s="171" t="str">
        <v/>
      </c>
      <c r="AC798" s="158">
        <v>0</v>
      </c>
      <c r="AD798" s="173" t="str">
        <f ca="1">IFERROR(__xludf.DUMMYFUNCTION("""COMPUTED_VALUE"""),"")</f>
        <v/>
      </c>
      <c r="AE798" s="154" t="str">
        <v/>
      </c>
      <c r="AF798" s="154" t="str">
        <v/>
      </c>
    </row>
    <row r="799" spans="1:32" ht="15">
      <c r="A799" s="176"/>
      <c r="B799" s="145"/>
      <c r="C799" s="169"/>
      <c r="D799" s="145"/>
      <c r="E799" s="145"/>
      <c r="F799" s="169" t="e">
        <v>#VALUE!</v>
      </c>
      <c r="G799" s="145"/>
      <c r="H799" s="145"/>
      <c r="I799" s="145"/>
      <c r="J799" s="145"/>
      <c r="K799" s="145"/>
      <c r="L799" s="145"/>
      <c r="M799" s="145"/>
      <c r="N799" s="145"/>
      <c r="O799" s="174"/>
      <c r="P799" s="174"/>
      <c r="Q799" s="158" t="str">
        <v/>
      </c>
      <c r="R799" s="158" t="str">
        <v/>
      </c>
      <c r="S799" s="158" t="str">
        <v/>
      </c>
      <c r="T799" s="158" t="str">
        <v/>
      </c>
      <c r="U799" s="158" t="str">
        <v/>
      </c>
      <c r="V799" s="158" t="str">
        <v/>
      </c>
      <c r="W799" s="158" t="str">
        <v/>
      </c>
      <c r="X799" s="158" t="str">
        <v/>
      </c>
      <c r="Y799" s="158" t="str">
        <v/>
      </c>
      <c r="Z799" s="158" t="str">
        <v/>
      </c>
      <c r="AA799" s="158" t="e">
        <v>#VALUE!</v>
      </c>
      <c r="AB799" s="171" t="str">
        <v/>
      </c>
      <c r="AC799" s="158">
        <v>0</v>
      </c>
      <c r="AD799" s="173" t="str">
        <f ca="1">IFERROR(__xludf.DUMMYFUNCTION("""COMPUTED_VALUE"""),"")</f>
        <v/>
      </c>
      <c r="AE799" s="154" t="str">
        <v/>
      </c>
      <c r="AF799" s="154" t="str">
        <v/>
      </c>
    </row>
    <row r="800" spans="1:32" ht="15">
      <c r="A800" s="176"/>
      <c r="B800" s="145"/>
      <c r="C800" s="169"/>
      <c r="D800" s="145"/>
      <c r="E800" s="145"/>
      <c r="F800" s="169" t="e">
        <v>#VALUE!</v>
      </c>
      <c r="G800" s="145"/>
      <c r="H800" s="145"/>
      <c r="I800" s="145"/>
      <c r="J800" s="145"/>
      <c r="K800" s="145"/>
      <c r="L800" s="145"/>
      <c r="M800" s="145"/>
      <c r="N800" s="145"/>
      <c r="O800" s="174"/>
      <c r="P800" s="174"/>
      <c r="Q800" s="158" t="str">
        <v/>
      </c>
      <c r="R800" s="158" t="str">
        <v/>
      </c>
      <c r="S800" s="158" t="str">
        <v/>
      </c>
      <c r="T800" s="158" t="str">
        <v/>
      </c>
      <c r="U800" s="158" t="str">
        <v/>
      </c>
      <c r="V800" s="158" t="str">
        <v/>
      </c>
      <c r="W800" s="158" t="str">
        <v/>
      </c>
      <c r="X800" s="158" t="str">
        <v/>
      </c>
      <c r="Y800" s="158" t="str">
        <v/>
      </c>
      <c r="Z800" s="158" t="str">
        <v/>
      </c>
      <c r="AA800" s="158" t="e">
        <v>#VALUE!</v>
      </c>
      <c r="AB800" s="171" t="str">
        <v/>
      </c>
      <c r="AC800" s="158">
        <v>0</v>
      </c>
      <c r="AD800" s="173" t="str">
        <f ca="1">IFERROR(__xludf.DUMMYFUNCTION("""COMPUTED_VALUE"""),"")</f>
        <v/>
      </c>
      <c r="AE800" s="154" t="str">
        <v/>
      </c>
      <c r="AF800" s="154" t="str">
        <v/>
      </c>
    </row>
    <row r="801" spans="1:32" ht="15">
      <c r="A801" s="176"/>
      <c r="B801" s="145"/>
      <c r="C801" s="169"/>
      <c r="D801" s="145"/>
      <c r="E801" s="145"/>
      <c r="F801" s="169" t="e">
        <v>#VALUE!</v>
      </c>
      <c r="G801" s="145"/>
      <c r="H801" s="145"/>
      <c r="I801" s="145"/>
      <c r="J801" s="145"/>
      <c r="K801" s="145"/>
      <c r="L801" s="145"/>
      <c r="M801" s="145"/>
      <c r="N801" s="145"/>
      <c r="O801" s="174"/>
      <c r="P801" s="174"/>
      <c r="Q801" s="158" t="str">
        <v/>
      </c>
      <c r="R801" s="158" t="str">
        <v/>
      </c>
      <c r="S801" s="158" t="str">
        <v/>
      </c>
      <c r="T801" s="158" t="str">
        <v/>
      </c>
      <c r="U801" s="158" t="str">
        <v/>
      </c>
      <c r="V801" s="158" t="str">
        <v/>
      </c>
      <c r="W801" s="158" t="str">
        <v/>
      </c>
      <c r="X801" s="158" t="str">
        <v/>
      </c>
      <c r="Y801" s="158" t="str">
        <v/>
      </c>
      <c r="Z801" s="158" t="str">
        <v/>
      </c>
      <c r="AA801" s="158" t="e">
        <v>#VALUE!</v>
      </c>
      <c r="AB801" s="171" t="str">
        <v/>
      </c>
      <c r="AC801" s="158">
        <v>0</v>
      </c>
      <c r="AD801" s="173" t="str">
        <f ca="1">IFERROR(__xludf.DUMMYFUNCTION("""COMPUTED_VALUE"""),"")</f>
        <v/>
      </c>
      <c r="AE801" s="154" t="str">
        <v/>
      </c>
      <c r="AF801" s="154" t="str">
        <v/>
      </c>
    </row>
    <row r="802" spans="1:32" ht="15">
      <c r="A802" s="176"/>
      <c r="B802" s="145"/>
      <c r="C802" s="169"/>
      <c r="D802" s="145"/>
      <c r="E802" s="145"/>
      <c r="F802" s="169" t="e">
        <v>#VALUE!</v>
      </c>
      <c r="G802" s="145"/>
      <c r="H802" s="145"/>
      <c r="I802" s="145"/>
      <c r="J802" s="145"/>
      <c r="K802" s="145"/>
      <c r="L802" s="145"/>
      <c r="M802" s="145"/>
      <c r="N802" s="145"/>
      <c r="O802" s="174"/>
      <c r="P802" s="174"/>
      <c r="Q802" s="158" t="str">
        <v/>
      </c>
      <c r="R802" s="158" t="str">
        <v/>
      </c>
      <c r="S802" s="158" t="str">
        <v/>
      </c>
      <c r="T802" s="158" t="str">
        <v/>
      </c>
      <c r="U802" s="158" t="str">
        <v/>
      </c>
      <c r="V802" s="158" t="str">
        <v/>
      </c>
      <c r="W802" s="158" t="str">
        <v/>
      </c>
      <c r="X802" s="158" t="str">
        <v/>
      </c>
      <c r="Y802" s="158" t="str">
        <v/>
      </c>
      <c r="Z802" s="158" t="str">
        <v/>
      </c>
      <c r="AA802" s="158" t="e">
        <v>#VALUE!</v>
      </c>
      <c r="AB802" s="171" t="str">
        <v/>
      </c>
      <c r="AC802" s="158">
        <v>0</v>
      </c>
      <c r="AD802" s="173" t="str">
        <f ca="1">IFERROR(__xludf.DUMMYFUNCTION("""COMPUTED_VALUE"""),"")</f>
        <v/>
      </c>
      <c r="AE802" s="154" t="str">
        <v/>
      </c>
      <c r="AF802" s="154" t="str">
        <v/>
      </c>
    </row>
    <row r="803" spans="1:32" ht="15">
      <c r="A803" s="176"/>
      <c r="B803" s="145"/>
      <c r="C803" s="169"/>
      <c r="D803" s="145"/>
      <c r="E803" s="145"/>
      <c r="F803" s="169" t="e">
        <v>#VALUE!</v>
      </c>
      <c r="G803" s="145"/>
      <c r="H803" s="145"/>
      <c r="I803" s="145"/>
      <c r="J803" s="145"/>
      <c r="K803" s="145"/>
      <c r="L803" s="145"/>
      <c r="M803" s="145"/>
      <c r="N803" s="145"/>
      <c r="O803" s="174"/>
      <c r="P803" s="174"/>
      <c r="Q803" s="158" t="str">
        <v/>
      </c>
      <c r="R803" s="158" t="str">
        <v/>
      </c>
      <c r="S803" s="158" t="str">
        <v/>
      </c>
      <c r="T803" s="158" t="str">
        <v/>
      </c>
      <c r="U803" s="158" t="str">
        <v/>
      </c>
      <c r="V803" s="158" t="str">
        <v/>
      </c>
      <c r="W803" s="158" t="str">
        <v/>
      </c>
      <c r="X803" s="158" t="str">
        <v/>
      </c>
      <c r="Y803" s="158" t="str">
        <v/>
      </c>
      <c r="Z803" s="158" t="str">
        <v/>
      </c>
      <c r="AA803" s="158" t="e">
        <v>#VALUE!</v>
      </c>
      <c r="AB803" s="171" t="str">
        <v/>
      </c>
      <c r="AC803" s="158">
        <v>0</v>
      </c>
      <c r="AD803" s="173" t="str">
        <f ca="1">IFERROR(__xludf.DUMMYFUNCTION("""COMPUTED_VALUE"""),"")</f>
        <v/>
      </c>
      <c r="AE803" s="154" t="str">
        <v/>
      </c>
      <c r="AF803" s="154" t="str">
        <v/>
      </c>
    </row>
    <row r="804" spans="1:32" ht="15">
      <c r="A804" s="176"/>
      <c r="B804" s="145"/>
      <c r="C804" s="169"/>
      <c r="D804" s="145"/>
      <c r="E804" s="145"/>
      <c r="F804" s="169" t="e">
        <v>#VALUE!</v>
      </c>
      <c r="G804" s="145"/>
      <c r="H804" s="145"/>
      <c r="I804" s="145"/>
      <c r="J804" s="145"/>
      <c r="K804" s="145"/>
      <c r="L804" s="145"/>
      <c r="M804" s="145"/>
      <c r="N804" s="145"/>
      <c r="O804" s="174"/>
      <c r="P804" s="174"/>
      <c r="Q804" s="158" t="str">
        <v/>
      </c>
      <c r="R804" s="158" t="str">
        <v/>
      </c>
      <c r="S804" s="158" t="str">
        <v/>
      </c>
      <c r="T804" s="158" t="str">
        <v/>
      </c>
      <c r="U804" s="158" t="str">
        <v/>
      </c>
      <c r="V804" s="158" t="str">
        <v/>
      </c>
      <c r="W804" s="158" t="str">
        <v/>
      </c>
      <c r="X804" s="158" t="str">
        <v/>
      </c>
      <c r="Y804" s="158" t="str">
        <v/>
      </c>
      <c r="Z804" s="158" t="str">
        <v/>
      </c>
      <c r="AA804" s="158" t="e">
        <v>#VALUE!</v>
      </c>
      <c r="AB804" s="171" t="str">
        <v/>
      </c>
      <c r="AC804" s="158">
        <v>0</v>
      </c>
      <c r="AD804" s="173" t="str">
        <f ca="1">IFERROR(__xludf.DUMMYFUNCTION("""COMPUTED_VALUE"""),"")</f>
        <v/>
      </c>
      <c r="AE804" s="154" t="str">
        <v/>
      </c>
      <c r="AF804" s="154" t="str">
        <v/>
      </c>
    </row>
    <row r="805" spans="1:32" ht="15">
      <c r="A805" s="176"/>
      <c r="B805" s="145"/>
      <c r="C805" s="169"/>
      <c r="D805" s="145"/>
      <c r="E805" s="145"/>
      <c r="F805" s="169" t="e">
        <v>#VALUE!</v>
      </c>
      <c r="G805" s="145"/>
      <c r="H805" s="145"/>
      <c r="I805" s="145"/>
      <c r="J805" s="145"/>
      <c r="K805" s="145"/>
      <c r="L805" s="145"/>
      <c r="M805" s="145"/>
      <c r="N805" s="145"/>
      <c r="O805" s="174"/>
      <c r="P805" s="174"/>
      <c r="Q805" s="158" t="str">
        <v/>
      </c>
      <c r="R805" s="158" t="str">
        <v/>
      </c>
      <c r="S805" s="158" t="str">
        <v/>
      </c>
      <c r="T805" s="158" t="str">
        <v/>
      </c>
      <c r="U805" s="158" t="str">
        <v/>
      </c>
      <c r="V805" s="158" t="str">
        <v/>
      </c>
      <c r="W805" s="158" t="str">
        <v/>
      </c>
      <c r="X805" s="158" t="str">
        <v/>
      </c>
      <c r="Y805" s="158" t="str">
        <v/>
      </c>
      <c r="Z805" s="158" t="str">
        <v/>
      </c>
      <c r="AA805" s="158" t="e">
        <v>#VALUE!</v>
      </c>
      <c r="AB805" s="171" t="str">
        <v/>
      </c>
      <c r="AC805" s="158">
        <v>0</v>
      </c>
      <c r="AD805" s="173" t="str">
        <f ca="1">IFERROR(__xludf.DUMMYFUNCTION("""COMPUTED_VALUE"""),"")</f>
        <v/>
      </c>
      <c r="AE805" s="154" t="str">
        <v/>
      </c>
      <c r="AF805" s="154" t="str">
        <v/>
      </c>
    </row>
    <row r="806" spans="1:32" ht="15">
      <c r="A806" s="176"/>
      <c r="B806" s="145"/>
      <c r="C806" s="169"/>
      <c r="D806" s="145"/>
      <c r="E806" s="145"/>
      <c r="F806" s="169" t="e">
        <v>#VALUE!</v>
      </c>
      <c r="G806" s="145"/>
      <c r="H806" s="145"/>
      <c r="I806" s="145"/>
      <c r="J806" s="145"/>
      <c r="K806" s="145"/>
      <c r="L806" s="145"/>
      <c r="M806" s="145"/>
      <c r="N806" s="145"/>
      <c r="O806" s="174"/>
      <c r="P806" s="174"/>
      <c r="Q806" s="158" t="str">
        <v/>
      </c>
      <c r="R806" s="158" t="str">
        <v/>
      </c>
      <c r="S806" s="158" t="str">
        <v/>
      </c>
      <c r="T806" s="158" t="str">
        <v/>
      </c>
      <c r="U806" s="158" t="str">
        <v/>
      </c>
      <c r="V806" s="158" t="str">
        <v/>
      </c>
      <c r="W806" s="158" t="str">
        <v/>
      </c>
      <c r="X806" s="158" t="str">
        <v/>
      </c>
      <c r="Y806" s="158" t="str">
        <v/>
      </c>
      <c r="Z806" s="158" t="str">
        <v/>
      </c>
      <c r="AA806" s="158" t="e">
        <v>#VALUE!</v>
      </c>
      <c r="AB806" s="171" t="str">
        <v/>
      </c>
      <c r="AC806" s="158">
        <v>0</v>
      </c>
      <c r="AD806" s="173" t="str">
        <f ca="1">IFERROR(__xludf.DUMMYFUNCTION("""COMPUTED_VALUE"""),"")</f>
        <v/>
      </c>
      <c r="AE806" s="154" t="str">
        <v/>
      </c>
      <c r="AF806" s="154" t="str">
        <v/>
      </c>
    </row>
    <row r="807" spans="1:32" ht="15">
      <c r="A807" s="176"/>
      <c r="B807" s="145"/>
      <c r="C807" s="169"/>
      <c r="D807" s="145"/>
      <c r="E807" s="145"/>
      <c r="F807" s="169" t="e">
        <v>#VALUE!</v>
      </c>
      <c r="G807" s="145"/>
      <c r="H807" s="145"/>
      <c r="I807" s="145"/>
      <c r="J807" s="145"/>
      <c r="K807" s="145"/>
      <c r="L807" s="145"/>
      <c r="M807" s="145"/>
      <c r="N807" s="145"/>
      <c r="O807" s="174"/>
      <c r="P807" s="174"/>
      <c r="Q807" s="158" t="str">
        <v/>
      </c>
      <c r="R807" s="158" t="str">
        <v/>
      </c>
      <c r="S807" s="158" t="str">
        <v/>
      </c>
      <c r="T807" s="158" t="str">
        <v/>
      </c>
      <c r="U807" s="158" t="str">
        <v/>
      </c>
      <c r="V807" s="158" t="str">
        <v/>
      </c>
      <c r="W807" s="158" t="str">
        <v/>
      </c>
      <c r="X807" s="158" t="str">
        <v/>
      </c>
      <c r="Y807" s="158" t="str">
        <v/>
      </c>
      <c r="Z807" s="158" t="str">
        <v/>
      </c>
      <c r="AA807" s="158" t="e">
        <v>#VALUE!</v>
      </c>
      <c r="AB807" s="171" t="str">
        <v/>
      </c>
      <c r="AC807" s="158">
        <v>0</v>
      </c>
      <c r="AD807" s="173" t="str">
        <f ca="1">IFERROR(__xludf.DUMMYFUNCTION("""COMPUTED_VALUE"""),"")</f>
        <v/>
      </c>
      <c r="AE807" s="154" t="str">
        <v/>
      </c>
      <c r="AF807" s="154" t="str">
        <v/>
      </c>
    </row>
    <row r="808" spans="1:32" ht="15">
      <c r="A808" s="176"/>
      <c r="B808" s="145"/>
      <c r="C808" s="169"/>
      <c r="D808" s="145"/>
      <c r="E808" s="145"/>
      <c r="F808" s="169" t="e">
        <v>#VALUE!</v>
      </c>
      <c r="G808" s="145"/>
      <c r="H808" s="145"/>
      <c r="I808" s="145"/>
      <c r="J808" s="145"/>
      <c r="K808" s="145"/>
      <c r="L808" s="145"/>
      <c r="M808" s="145"/>
      <c r="N808" s="145"/>
      <c r="O808" s="174"/>
      <c r="P808" s="174"/>
      <c r="Q808" s="158" t="str">
        <v/>
      </c>
      <c r="R808" s="158" t="str">
        <v/>
      </c>
      <c r="S808" s="158" t="str">
        <v/>
      </c>
      <c r="T808" s="158" t="str">
        <v/>
      </c>
      <c r="U808" s="158" t="str">
        <v/>
      </c>
      <c r="V808" s="158" t="str">
        <v/>
      </c>
      <c r="W808" s="158" t="str">
        <v/>
      </c>
      <c r="X808" s="158" t="str">
        <v/>
      </c>
      <c r="Y808" s="158" t="str">
        <v/>
      </c>
      <c r="Z808" s="158" t="str">
        <v/>
      </c>
      <c r="AA808" s="158" t="e">
        <v>#VALUE!</v>
      </c>
      <c r="AB808" s="171" t="str">
        <v/>
      </c>
      <c r="AC808" s="158">
        <v>0</v>
      </c>
      <c r="AD808" s="173" t="str">
        <f ca="1">IFERROR(__xludf.DUMMYFUNCTION("""COMPUTED_VALUE"""),"")</f>
        <v/>
      </c>
      <c r="AE808" s="154" t="str">
        <v/>
      </c>
      <c r="AF808" s="154" t="str">
        <v/>
      </c>
    </row>
    <row r="809" spans="1:32" ht="15">
      <c r="A809" s="176"/>
      <c r="B809" s="145"/>
      <c r="C809" s="169"/>
      <c r="D809" s="145"/>
      <c r="E809" s="145"/>
      <c r="F809" s="169" t="e">
        <v>#VALUE!</v>
      </c>
      <c r="G809" s="145"/>
      <c r="H809" s="145"/>
      <c r="I809" s="145"/>
      <c r="J809" s="145"/>
      <c r="K809" s="145"/>
      <c r="L809" s="145"/>
      <c r="M809" s="145"/>
      <c r="N809" s="145"/>
      <c r="O809" s="174"/>
      <c r="P809" s="174"/>
      <c r="Q809" s="158" t="str">
        <v/>
      </c>
      <c r="R809" s="158" t="str">
        <v/>
      </c>
      <c r="S809" s="158" t="str">
        <v/>
      </c>
      <c r="T809" s="158" t="str">
        <v/>
      </c>
      <c r="U809" s="158" t="str">
        <v/>
      </c>
      <c r="V809" s="158" t="str">
        <v/>
      </c>
      <c r="W809" s="158" t="str">
        <v/>
      </c>
      <c r="X809" s="158" t="str">
        <v/>
      </c>
      <c r="Y809" s="158" t="str">
        <v/>
      </c>
      <c r="Z809" s="158" t="str">
        <v/>
      </c>
      <c r="AA809" s="158" t="e">
        <v>#VALUE!</v>
      </c>
      <c r="AB809" s="171" t="str">
        <v/>
      </c>
      <c r="AC809" s="158">
        <v>0</v>
      </c>
      <c r="AD809" s="173" t="str">
        <f ca="1">IFERROR(__xludf.DUMMYFUNCTION("""COMPUTED_VALUE"""),"")</f>
        <v/>
      </c>
      <c r="AE809" s="154" t="str">
        <v/>
      </c>
      <c r="AF809" s="154" t="str">
        <v/>
      </c>
    </row>
    <row r="810" spans="1:32" ht="15">
      <c r="A810" s="176"/>
      <c r="B810" s="145"/>
      <c r="C810" s="169"/>
      <c r="D810" s="145"/>
      <c r="E810" s="145"/>
      <c r="F810" s="169" t="e">
        <v>#VALUE!</v>
      </c>
      <c r="G810" s="145"/>
      <c r="H810" s="145"/>
      <c r="I810" s="145"/>
      <c r="J810" s="145"/>
      <c r="K810" s="145"/>
      <c r="L810" s="145"/>
      <c r="M810" s="145"/>
      <c r="N810" s="145"/>
      <c r="O810" s="174"/>
      <c r="P810" s="174"/>
      <c r="Q810" s="158" t="str">
        <v/>
      </c>
      <c r="R810" s="158" t="str">
        <v/>
      </c>
      <c r="S810" s="158" t="str">
        <v/>
      </c>
      <c r="T810" s="158" t="str">
        <v/>
      </c>
      <c r="U810" s="158" t="str">
        <v/>
      </c>
      <c r="V810" s="158" t="str">
        <v/>
      </c>
      <c r="W810" s="158" t="str">
        <v/>
      </c>
      <c r="X810" s="158" t="str">
        <v/>
      </c>
      <c r="Y810" s="158" t="str">
        <v/>
      </c>
      <c r="Z810" s="158" t="str">
        <v/>
      </c>
      <c r="AA810" s="158" t="e">
        <v>#VALUE!</v>
      </c>
      <c r="AB810" s="171" t="str">
        <v/>
      </c>
      <c r="AC810" s="158">
        <v>0</v>
      </c>
      <c r="AD810" s="173" t="str">
        <f ca="1">IFERROR(__xludf.DUMMYFUNCTION("""COMPUTED_VALUE"""),"")</f>
        <v/>
      </c>
      <c r="AE810" s="154" t="str">
        <v/>
      </c>
      <c r="AF810" s="154" t="str">
        <v/>
      </c>
    </row>
    <row r="811" spans="1:32" ht="15">
      <c r="A811" s="176"/>
      <c r="B811" s="145"/>
      <c r="C811" s="169"/>
      <c r="D811" s="145"/>
      <c r="E811" s="145"/>
      <c r="F811" s="169" t="e">
        <v>#VALUE!</v>
      </c>
      <c r="G811" s="145"/>
      <c r="H811" s="145"/>
      <c r="I811" s="145"/>
      <c r="J811" s="145"/>
      <c r="K811" s="145"/>
      <c r="L811" s="145"/>
      <c r="M811" s="145"/>
      <c r="N811" s="145"/>
      <c r="O811" s="174"/>
      <c r="P811" s="174"/>
      <c r="Q811" s="158" t="str">
        <v/>
      </c>
      <c r="R811" s="158" t="str">
        <v/>
      </c>
      <c r="S811" s="158" t="str">
        <v/>
      </c>
      <c r="T811" s="158" t="str">
        <v/>
      </c>
      <c r="U811" s="158" t="str">
        <v/>
      </c>
      <c r="V811" s="158" t="str">
        <v/>
      </c>
      <c r="W811" s="158" t="str">
        <v/>
      </c>
      <c r="X811" s="158" t="str">
        <v/>
      </c>
      <c r="Y811" s="158" t="str">
        <v/>
      </c>
      <c r="Z811" s="158" t="str">
        <v/>
      </c>
      <c r="AA811" s="158" t="e">
        <v>#VALUE!</v>
      </c>
      <c r="AB811" s="171" t="str">
        <v/>
      </c>
      <c r="AC811" s="158">
        <v>0</v>
      </c>
      <c r="AD811" s="173" t="str">
        <f ca="1">IFERROR(__xludf.DUMMYFUNCTION("""COMPUTED_VALUE"""),"")</f>
        <v/>
      </c>
      <c r="AE811" s="154" t="str">
        <v/>
      </c>
      <c r="AF811" s="154" t="str">
        <v/>
      </c>
    </row>
    <row r="812" spans="1:32" ht="15">
      <c r="A812" s="176"/>
      <c r="B812" s="145"/>
      <c r="C812" s="169"/>
      <c r="D812" s="145"/>
      <c r="E812" s="145"/>
      <c r="F812" s="169" t="e">
        <v>#VALUE!</v>
      </c>
      <c r="G812" s="145"/>
      <c r="H812" s="145"/>
      <c r="I812" s="145"/>
      <c r="J812" s="145"/>
      <c r="K812" s="145"/>
      <c r="L812" s="145"/>
      <c r="M812" s="145"/>
      <c r="N812" s="145"/>
      <c r="O812" s="174"/>
      <c r="P812" s="174"/>
      <c r="Q812" s="158" t="str">
        <v/>
      </c>
      <c r="R812" s="158" t="str">
        <v/>
      </c>
      <c r="S812" s="158" t="str">
        <v/>
      </c>
      <c r="T812" s="158" t="str">
        <v/>
      </c>
      <c r="U812" s="158" t="str">
        <v/>
      </c>
      <c r="V812" s="158" t="str">
        <v/>
      </c>
      <c r="W812" s="158" t="str">
        <v/>
      </c>
      <c r="X812" s="158" t="str">
        <v/>
      </c>
      <c r="Y812" s="158" t="str">
        <v/>
      </c>
      <c r="Z812" s="158" t="str">
        <v/>
      </c>
      <c r="AA812" s="158" t="e">
        <v>#VALUE!</v>
      </c>
      <c r="AB812" s="171" t="str">
        <v/>
      </c>
      <c r="AC812" s="158">
        <v>0</v>
      </c>
      <c r="AD812" s="173" t="str">
        <f ca="1">IFERROR(__xludf.DUMMYFUNCTION("""COMPUTED_VALUE"""),"")</f>
        <v/>
      </c>
      <c r="AE812" s="154" t="str">
        <v/>
      </c>
      <c r="AF812" s="154" t="str">
        <v/>
      </c>
    </row>
    <row r="813" spans="1:32" ht="15">
      <c r="A813" s="176"/>
      <c r="B813" s="145"/>
      <c r="C813" s="169"/>
      <c r="D813" s="145"/>
      <c r="E813" s="145"/>
      <c r="F813" s="169" t="e">
        <v>#VALUE!</v>
      </c>
      <c r="G813" s="145"/>
      <c r="H813" s="145"/>
      <c r="I813" s="145"/>
      <c r="J813" s="145"/>
      <c r="K813" s="145"/>
      <c r="L813" s="145"/>
      <c r="M813" s="145"/>
      <c r="N813" s="145"/>
      <c r="O813" s="174"/>
      <c r="P813" s="174"/>
      <c r="Q813" s="158" t="str">
        <v/>
      </c>
      <c r="R813" s="158" t="str">
        <v/>
      </c>
      <c r="S813" s="158" t="str">
        <v/>
      </c>
      <c r="T813" s="158" t="str">
        <v/>
      </c>
      <c r="U813" s="158" t="str">
        <v/>
      </c>
      <c r="V813" s="158" t="str">
        <v/>
      </c>
      <c r="W813" s="158" t="str">
        <v/>
      </c>
      <c r="X813" s="158" t="str">
        <v/>
      </c>
      <c r="Y813" s="158" t="str">
        <v/>
      </c>
      <c r="Z813" s="158" t="str">
        <v/>
      </c>
      <c r="AA813" s="158" t="e">
        <v>#VALUE!</v>
      </c>
      <c r="AB813" s="171" t="str">
        <v/>
      </c>
      <c r="AC813" s="158">
        <v>0</v>
      </c>
      <c r="AD813" s="173" t="str">
        <f ca="1">IFERROR(__xludf.DUMMYFUNCTION("""COMPUTED_VALUE"""),"")</f>
        <v/>
      </c>
      <c r="AE813" s="154" t="str">
        <v/>
      </c>
      <c r="AF813" s="154" t="str">
        <v/>
      </c>
    </row>
    <row r="814" spans="1:32" ht="15">
      <c r="A814" s="176"/>
      <c r="B814" s="145"/>
      <c r="C814" s="169"/>
      <c r="D814" s="145"/>
      <c r="E814" s="145"/>
      <c r="F814" s="169" t="e">
        <v>#VALUE!</v>
      </c>
      <c r="G814" s="145"/>
      <c r="H814" s="145"/>
      <c r="I814" s="145"/>
      <c r="J814" s="145"/>
      <c r="K814" s="145"/>
      <c r="L814" s="145"/>
      <c r="M814" s="145"/>
      <c r="N814" s="145"/>
      <c r="O814" s="174"/>
      <c r="P814" s="174"/>
      <c r="Q814" s="158" t="str">
        <v/>
      </c>
      <c r="R814" s="158" t="str">
        <v/>
      </c>
      <c r="S814" s="158" t="str">
        <v/>
      </c>
      <c r="T814" s="158" t="str">
        <v/>
      </c>
      <c r="U814" s="158" t="str">
        <v/>
      </c>
      <c r="V814" s="158" t="str">
        <v/>
      </c>
      <c r="W814" s="158" t="str">
        <v/>
      </c>
      <c r="X814" s="158" t="str">
        <v/>
      </c>
      <c r="Y814" s="158" t="str">
        <v/>
      </c>
      <c r="Z814" s="158" t="str">
        <v/>
      </c>
      <c r="AA814" s="158" t="e">
        <v>#VALUE!</v>
      </c>
      <c r="AB814" s="171" t="str">
        <v/>
      </c>
      <c r="AC814" s="158">
        <v>0</v>
      </c>
      <c r="AD814" s="173" t="str">
        <f ca="1">IFERROR(__xludf.DUMMYFUNCTION("""COMPUTED_VALUE"""),"")</f>
        <v/>
      </c>
      <c r="AE814" s="154" t="str">
        <v/>
      </c>
      <c r="AF814" s="154" t="str">
        <v/>
      </c>
    </row>
    <row r="815" spans="1:32" ht="15">
      <c r="A815" s="176"/>
      <c r="B815" s="145"/>
      <c r="C815" s="169"/>
      <c r="D815" s="145"/>
      <c r="E815" s="145"/>
      <c r="F815" s="169" t="e">
        <v>#VALUE!</v>
      </c>
      <c r="G815" s="145"/>
      <c r="H815" s="145"/>
      <c r="I815" s="145"/>
      <c r="J815" s="145"/>
      <c r="K815" s="145"/>
      <c r="L815" s="145"/>
      <c r="M815" s="145"/>
      <c r="N815" s="145"/>
      <c r="O815" s="174"/>
      <c r="P815" s="174"/>
      <c r="Q815" s="158" t="str">
        <v/>
      </c>
      <c r="R815" s="158" t="str">
        <v/>
      </c>
      <c r="S815" s="158" t="str">
        <v/>
      </c>
      <c r="T815" s="158" t="str">
        <v/>
      </c>
      <c r="U815" s="158" t="str">
        <v/>
      </c>
      <c r="V815" s="158" t="str">
        <v/>
      </c>
      <c r="W815" s="158" t="str">
        <v/>
      </c>
      <c r="X815" s="158" t="str">
        <v/>
      </c>
      <c r="Y815" s="158" t="str">
        <v/>
      </c>
      <c r="Z815" s="158" t="str">
        <v/>
      </c>
      <c r="AA815" s="158" t="e">
        <v>#VALUE!</v>
      </c>
      <c r="AB815" s="171" t="str">
        <v/>
      </c>
      <c r="AC815" s="158">
        <v>0</v>
      </c>
      <c r="AD815" s="173" t="str">
        <f ca="1">IFERROR(__xludf.DUMMYFUNCTION("""COMPUTED_VALUE"""),"")</f>
        <v/>
      </c>
      <c r="AE815" s="154" t="str">
        <v/>
      </c>
      <c r="AF815" s="154" t="str">
        <v/>
      </c>
    </row>
    <row r="816" spans="1:32" ht="15">
      <c r="A816" s="176"/>
      <c r="B816" s="145"/>
      <c r="C816" s="169"/>
      <c r="D816" s="145"/>
      <c r="E816" s="145"/>
      <c r="F816" s="169" t="e">
        <v>#VALUE!</v>
      </c>
      <c r="G816" s="145"/>
      <c r="H816" s="145"/>
      <c r="I816" s="145"/>
      <c r="J816" s="145"/>
      <c r="K816" s="145"/>
      <c r="L816" s="145"/>
      <c r="M816" s="145"/>
      <c r="N816" s="145"/>
      <c r="O816" s="174"/>
      <c r="P816" s="174"/>
      <c r="Q816" s="158" t="str">
        <v/>
      </c>
      <c r="R816" s="158" t="str">
        <v/>
      </c>
      <c r="S816" s="158" t="str">
        <v/>
      </c>
      <c r="T816" s="158" t="str">
        <v/>
      </c>
      <c r="U816" s="158" t="str">
        <v/>
      </c>
      <c r="V816" s="158" t="str">
        <v/>
      </c>
      <c r="W816" s="158" t="str">
        <v/>
      </c>
      <c r="X816" s="158" t="str">
        <v/>
      </c>
      <c r="Y816" s="158" t="str">
        <v/>
      </c>
      <c r="Z816" s="158" t="str">
        <v/>
      </c>
      <c r="AA816" s="158" t="e">
        <v>#VALUE!</v>
      </c>
      <c r="AB816" s="171" t="str">
        <v/>
      </c>
      <c r="AC816" s="158">
        <v>0</v>
      </c>
      <c r="AD816" s="173" t="str">
        <f ca="1">IFERROR(__xludf.DUMMYFUNCTION("""COMPUTED_VALUE"""),"")</f>
        <v/>
      </c>
      <c r="AE816" s="154" t="str">
        <v/>
      </c>
      <c r="AF816" s="154" t="str">
        <v/>
      </c>
    </row>
    <row r="817" spans="1:32" ht="15">
      <c r="A817" s="176"/>
      <c r="B817" s="145"/>
      <c r="C817" s="169"/>
      <c r="D817" s="145"/>
      <c r="E817" s="145"/>
      <c r="F817" s="169" t="e">
        <v>#VALUE!</v>
      </c>
      <c r="G817" s="145"/>
      <c r="H817" s="145"/>
      <c r="I817" s="145"/>
      <c r="J817" s="145"/>
      <c r="K817" s="145"/>
      <c r="L817" s="145"/>
      <c r="M817" s="145"/>
      <c r="N817" s="145"/>
      <c r="O817" s="174"/>
      <c r="P817" s="174"/>
      <c r="Q817" s="158" t="str">
        <v/>
      </c>
      <c r="R817" s="158" t="str">
        <v/>
      </c>
      <c r="S817" s="158" t="str">
        <v/>
      </c>
      <c r="T817" s="158" t="str">
        <v/>
      </c>
      <c r="U817" s="158" t="str">
        <v/>
      </c>
      <c r="V817" s="158" t="str">
        <v/>
      </c>
      <c r="W817" s="158" t="str">
        <v/>
      </c>
      <c r="X817" s="158" t="str">
        <v/>
      </c>
      <c r="Y817" s="158" t="str">
        <v/>
      </c>
      <c r="Z817" s="158" t="str">
        <v/>
      </c>
      <c r="AA817" s="158" t="e">
        <v>#VALUE!</v>
      </c>
      <c r="AB817" s="171" t="str">
        <v/>
      </c>
      <c r="AC817" s="158">
        <v>0</v>
      </c>
      <c r="AD817" s="173" t="str">
        <f ca="1">IFERROR(__xludf.DUMMYFUNCTION("""COMPUTED_VALUE"""),"")</f>
        <v/>
      </c>
      <c r="AE817" s="154" t="str">
        <v/>
      </c>
      <c r="AF817" s="154" t="str">
        <v/>
      </c>
    </row>
    <row r="818" spans="1:32" ht="15">
      <c r="A818" s="176"/>
      <c r="B818" s="145"/>
      <c r="C818" s="169"/>
      <c r="D818" s="145"/>
      <c r="E818" s="145"/>
      <c r="F818" s="169" t="e">
        <v>#VALUE!</v>
      </c>
      <c r="G818" s="145"/>
      <c r="H818" s="145"/>
      <c r="I818" s="145"/>
      <c r="J818" s="145"/>
      <c r="K818" s="145"/>
      <c r="L818" s="145"/>
      <c r="M818" s="145"/>
      <c r="N818" s="145"/>
      <c r="O818" s="174"/>
      <c r="P818" s="174"/>
      <c r="Q818" s="158" t="str">
        <v/>
      </c>
      <c r="R818" s="158" t="str">
        <v/>
      </c>
      <c r="S818" s="158" t="str">
        <v/>
      </c>
      <c r="T818" s="158" t="str">
        <v/>
      </c>
      <c r="U818" s="158" t="str">
        <v/>
      </c>
      <c r="V818" s="158" t="str">
        <v/>
      </c>
      <c r="W818" s="158" t="str">
        <v/>
      </c>
      <c r="X818" s="158" t="str">
        <v/>
      </c>
      <c r="Y818" s="158" t="str">
        <v/>
      </c>
      <c r="Z818" s="158" t="str">
        <v/>
      </c>
      <c r="AA818" s="158" t="e">
        <v>#VALUE!</v>
      </c>
      <c r="AB818" s="171" t="str">
        <v/>
      </c>
      <c r="AC818" s="158">
        <v>0</v>
      </c>
      <c r="AD818" s="173" t="str">
        <f ca="1">IFERROR(__xludf.DUMMYFUNCTION("""COMPUTED_VALUE"""),"")</f>
        <v/>
      </c>
      <c r="AE818" s="154" t="str">
        <v/>
      </c>
      <c r="AF818" s="154" t="str">
        <v/>
      </c>
    </row>
    <row r="819" spans="1:32" ht="15">
      <c r="A819" s="176"/>
      <c r="B819" s="145"/>
      <c r="C819" s="169"/>
      <c r="D819" s="145"/>
      <c r="E819" s="145"/>
      <c r="F819" s="169" t="e">
        <v>#VALUE!</v>
      </c>
      <c r="G819" s="145"/>
      <c r="H819" s="145"/>
      <c r="I819" s="145"/>
      <c r="J819" s="145"/>
      <c r="K819" s="145"/>
      <c r="L819" s="145"/>
      <c r="M819" s="145"/>
      <c r="N819" s="145"/>
      <c r="O819" s="174"/>
      <c r="P819" s="174"/>
      <c r="Q819" s="158" t="str">
        <v/>
      </c>
      <c r="R819" s="158" t="str">
        <v/>
      </c>
      <c r="S819" s="158" t="str">
        <v/>
      </c>
      <c r="T819" s="158" t="str">
        <v/>
      </c>
      <c r="U819" s="158" t="str">
        <v/>
      </c>
      <c r="V819" s="158" t="str">
        <v/>
      </c>
      <c r="W819" s="158" t="str">
        <v/>
      </c>
      <c r="X819" s="158" t="str">
        <v/>
      </c>
      <c r="Y819" s="158" t="str">
        <v/>
      </c>
      <c r="Z819" s="158" t="str">
        <v/>
      </c>
      <c r="AA819" s="158" t="e">
        <v>#VALUE!</v>
      </c>
      <c r="AB819" s="171" t="str">
        <v/>
      </c>
      <c r="AC819" s="158">
        <v>0</v>
      </c>
      <c r="AD819" s="173" t="str">
        <f ca="1">IFERROR(__xludf.DUMMYFUNCTION("""COMPUTED_VALUE"""),"")</f>
        <v/>
      </c>
      <c r="AE819" s="154" t="str">
        <v/>
      </c>
      <c r="AF819" s="154" t="str">
        <v/>
      </c>
    </row>
    <row r="820" spans="1:32" ht="15">
      <c r="A820" s="176"/>
      <c r="B820" s="145"/>
      <c r="C820" s="169"/>
      <c r="D820" s="145"/>
      <c r="E820" s="145"/>
      <c r="F820" s="169" t="e">
        <v>#VALUE!</v>
      </c>
      <c r="G820" s="145"/>
      <c r="H820" s="145"/>
      <c r="I820" s="145"/>
      <c r="J820" s="145"/>
      <c r="K820" s="145"/>
      <c r="L820" s="145"/>
      <c r="M820" s="145"/>
      <c r="N820" s="145"/>
      <c r="O820" s="174"/>
      <c r="P820" s="174"/>
      <c r="Q820" s="158" t="str">
        <v/>
      </c>
      <c r="R820" s="158" t="str">
        <v/>
      </c>
      <c r="S820" s="158" t="str">
        <v/>
      </c>
      <c r="T820" s="158" t="str">
        <v/>
      </c>
      <c r="U820" s="158" t="str">
        <v/>
      </c>
      <c r="V820" s="158" t="str">
        <v/>
      </c>
      <c r="W820" s="158" t="str">
        <v/>
      </c>
      <c r="X820" s="158" t="str">
        <v/>
      </c>
      <c r="Y820" s="158" t="str">
        <v/>
      </c>
      <c r="Z820" s="158" t="str">
        <v/>
      </c>
      <c r="AA820" s="158" t="e">
        <v>#VALUE!</v>
      </c>
      <c r="AB820" s="171" t="str">
        <v/>
      </c>
      <c r="AC820" s="158">
        <v>0</v>
      </c>
      <c r="AD820" s="173" t="str">
        <f ca="1">IFERROR(__xludf.DUMMYFUNCTION("""COMPUTED_VALUE"""),"")</f>
        <v/>
      </c>
      <c r="AE820" s="154" t="str">
        <v/>
      </c>
      <c r="AF820" s="154" t="str">
        <v/>
      </c>
    </row>
    <row r="821" spans="1:32" ht="15">
      <c r="A821" s="176"/>
      <c r="B821" s="145"/>
      <c r="C821" s="169"/>
      <c r="D821" s="145"/>
      <c r="E821" s="145"/>
      <c r="F821" s="169" t="e">
        <v>#VALUE!</v>
      </c>
      <c r="G821" s="145"/>
      <c r="H821" s="145"/>
      <c r="I821" s="145"/>
      <c r="J821" s="145"/>
      <c r="K821" s="145"/>
      <c r="L821" s="145"/>
      <c r="M821" s="145"/>
      <c r="N821" s="145"/>
      <c r="O821" s="174"/>
      <c r="P821" s="174"/>
      <c r="Q821" s="158" t="str">
        <v/>
      </c>
      <c r="R821" s="158" t="str">
        <v/>
      </c>
      <c r="S821" s="158" t="str">
        <v/>
      </c>
      <c r="T821" s="158" t="str">
        <v/>
      </c>
      <c r="U821" s="158" t="str">
        <v/>
      </c>
      <c r="V821" s="158" t="str">
        <v/>
      </c>
      <c r="W821" s="158" t="str">
        <v/>
      </c>
      <c r="X821" s="158" t="str">
        <v/>
      </c>
      <c r="Y821" s="158" t="str">
        <v/>
      </c>
      <c r="Z821" s="158" t="str">
        <v/>
      </c>
      <c r="AA821" s="158" t="e">
        <v>#VALUE!</v>
      </c>
      <c r="AB821" s="171" t="str">
        <v/>
      </c>
      <c r="AC821" s="158">
        <v>0</v>
      </c>
      <c r="AD821" s="173" t="str">
        <f ca="1">IFERROR(__xludf.DUMMYFUNCTION("""COMPUTED_VALUE"""),"")</f>
        <v/>
      </c>
      <c r="AE821" s="154" t="str">
        <v/>
      </c>
      <c r="AF821" s="154" t="str">
        <v/>
      </c>
    </row>
    <row r="822" spans="1:32" ht="15">
      <c r="A822" s="176"/>
      <c r="B822" s="145"/>
      <c r="C822" s="169"/>
      <c r="D822" s="145"/>
      <c r="E822" s="145"/>
      <c r="F822" s="169" t="e">
        <v>#VALUE!</v>
      </c>
      <c r="G822" s="145"/>
      <c r="H822" s="145"/>
      <c r="I822" s="145"/>
      <c r="J822" s="145"/>
      <c r="K822" s="145"/>
      <c r="L822" s="145"/>
      <c r="M822" s="145"/>
      <c r="N822" s="145"/>
      <c r="O822" s="174"/>
      <c r="P822" s="174"/>
      <c r="Q822" s="158" t="str">
        <v/>
      </c>
      <c r="R822" s="158" t="str">
        <v/>
      </c>
      <c r="S822" s="158" t="str">
        <v/>
      </c>
      <c r="T822" s="158" t="str">
        <v/>
      </c>
      <c r="U822" s="158" t="str">
        <v/>
      </c>
      <c r="V822" s="158" t="str">
        <v/>
      </c>
      <c r="W822" s="158" t="str">
        <v/>
      </c>
      <c r="X822" s="158" t="str">
        <v/>
      </c>
      <c r="Y822" s="158" t="str">
        <v/>
      </c>
      <c r="Z822" s="158" t="str">
        <v/>
      </c>
      <c r="AA822" s="158" t="e">
        <v>#VALUE!</v>
      </c>
      <c r="AB822" s="171" t="str">
        <v/>
      </c>
      <c r="AC822" s="158">
        <v>0</v>
      </c>
      <c r="AD822" s="173" t="str">
        <f ca="1">IFERROR(__xludf.DUMMYFUNCTION("""COMPUTED_VALUE"""),"")</f>
        <v/>
      </c>
      <c r="AE822" s="154" t="str">
        <v/>
      </c>
      <c r="AF822" s="154" t="str">
        <v/>
      </c>
    </row>
    <row r="823" spans="1:32" ht="15">
      <c r="A823" s="176"/>
      <c r="B823" s="145"/>
      <c r="C823" s="169"/>
      <c r="D823" s="145"/>
      <c r="E823" s="145"/>
      <c r="F823" s="169" t="e">
        <v>#VALUE!</v>
      </c>
      <c r="G823" s="145"/>
      <c r="H823" s="145"/>
      <c r="I823" s="145"/>
      <c r="J823" s="145"/>
      <c r="K823" s="145"/>
      <c r="L823" s="145"/>
      <c r="M823" s="145"/>
      <c r="N823" s="145"/>
      <c r="O823" s="174"/>
      <c r="P823" s="174"/>
      <c r="Q823" s="158" t="str">
        <v/>
      </c>
      <c r="R823" s="158" t="str">
        <v/>
      </c>
      <c r="S823" s="158" t="str">
        <v/>
      </c>
      <c r="T823" s="158" t="str">
        <v/>
      </c>
      <c r="U823" s="158" t="str">
        <v/>
      </c>
      <c r="V823" s="158" t="str">
        <v/>
      </c>
      <c r="W823" s="158" t="str">
        <v/>
      </c>
      <c r="X823" s="158" t="str">
        <v/>
      </c>
      <c r="Y823" s="158" t="str">
        <v/>
      </c>
      <c r="Z823" s="158" t="str">
        <v/>
      </c>
      <c r="AA823" s="158" t="e">
        <v>#VALUE!</v>
      </c>
      <c r="AB823" s="171" t="str">
        <v/>
      </c>
      <c r="AC823" s="158">
        <v>0</v>
      </c>
      <c r="AD823" s="173" t="str">
        <f ca="1">IFERROR(__xludf.DUMMYFUNCTION("""COMPUTED_VALUE"""),"")</f>
        <v/>
      </c>
      <c r="AE823" s="154" t="str">
        <v/>
      </c>
      <c r="AF823" s="154" t="str">
        <v/>
      </c>
    </row>
    <row r="824" spans="1:32" ht="15">
      <c r="A824" s="176"/>
      <c r="B824" s="145"/>
      <c r="C824" s="169"/>
      <c r="D824" s="145"/>
      <c r="E824" s="145"/>
      <c r="F824" s="169" t="e">
        <v>#VALUE!</v>
      </c>
      <c r="G824" s="145"/>
      <c r="H824" s="145"/>
      <c r="I824" s="145"/>
      <c r="J824" s="145"/>
      <c r="K824" s="145"/>
      <c r="L824" s="145"/>
      <c r="M824" s="145"/>
      <c r="N824" s="145"/>
      <c r="O824" s="174"/>
      <c r="P824" s="174"/>
      <c r="Q824" s="158" t="str">
        <v/>
      </c>
      <c r="R824" s="158" t="str">
        <v/>
      </c>
      <c r="S824" s="158" t="str">
        <v/>
      </c>
      <c r="T824" s="158" t="str">
        <v/>
      </c>
      <c r="U824" s="158" t="str">
        <v/>
      </c>
      <c r="V824" s="158" t="str">
        <v/>
      </c>
      <c r="W824" s="158" t="str">
        <v/>
      </c>
      <c r="X824" s="158" t="str">
        <v/>
      </c>
      <c r="Y824" s="158" t="str">
        <v/>
      </c>
      <c r="Z824" s="158" t="str">
        <v/>
      </c>
      <c r="AA824" s="158" t="e">
        <v>#VALUE!</v>
      </c>
      <c r="AB824" s="171" t="str">
        <v/>
      </c>
      <c r="AC824" s="158">
        <v>0</v>
      </c>
      <c r="AD824" s="173" t="str">
        <f ca="1">IFERROR(__xludf.DUMMYFUNCTION("""COMPUTED_VALUE"""),"")</f>
        <v/>
      </c>
      <c r="AE824" s="154" t="str">
        <v/>
      </c>
      <c r="AF824" s="154" t="str">
        <v/>
      </c>
    </row>
    <row r="825" spans="1:32" ht="15">
      <c r="A825" s="176"/>
      <c r="B825" s="145"/>
      <c r="C825" s="169"/>
      <c r="D825" s="145"/>
      <c r="E825" s="145"/>
      <c r="F825" s="169" t="e">
        <v>#VALUE!</v>
      </c>
      <c r="G825" s="145"/>
      <c r="H825" s="145"/>
      <c r="I825" s="145"/>
      <c r="J825" s="145"/>
      <c r="K825" s="145"/>
      <c r="L825" s="145"/>
      <c r="M825" s="145"/>
      <c r="N825" s="145"/>
      <c r="O825" s="174"/>
      <c r="P825" s="174"/>
      <c r="Q825" s="158" t="str">
        <v/>
      </c>
      <c r="R825" s="158" t="str">
        <v/>
      </c>
      <c r="S825" s="158" t="str">
        <v/>
      </c>
      <c r="T825" s="158" t="str">
        <v/>
      </c>
      <c r="U825" s="158" t="str">
        <v/>
      </c>
      <c r="V825" s="158" t="str">
        <v/>
      </c>
      <c r="W825" s="158" t="str">
        <v/>
      </c>
      <c r="X825" s="158" t="str">
        <v/>
      </c>
      <c r="Y825" s="158" t="str">
        <v/>
      </c>
      <c r="Z825" s="158" t="str">
        <v/>
      </c>
      <c r="AA825" s="158" t="e">
        <v>#VALUE!</v>
      </c>
      <c r="AB825" s="171" t="str">
        <v/>
      </c>
      <c r="AC825" s="158">
        <v>0</v>
      </c>
      <c r="AD825" s="173" t="str">
        <f ca="1">IFERROR(__xludf.DUMMYFUNCTION("""COMPUTED_VALUE"""),"")</f>
        <v/>
      </c>
      <c r="AE825" s="154" t="str">
        <v/>
      </c>
      <c r="AF825" s="154" t="str">
        <v/>
      </c>
    </row>
    <row r="826" spans="1:32" ht="15">
      <c r="A826" s="176"/>
      <c r="B826" s="145"/>
      <c r="C826" s="169"/>
      <c r="D826" s="145"/>
      <c r="E826" s="145"/>
      <c r="F826" s="169" t="e">
        <v>#VALUE!</v>
      </c>
      <c r="G826" s="145"/>
      <c r="H826" s="145"/>
      <c r="I826" s="145"/>
      <c r="J826" s="145"/>
      <c r="K826" s="145"/>
      <c r="L826" s="145"/>
      <c r="M826" s="145"/>
      <c r="N826" s="145"/>
      <c r="O826" s="174"/>
      <c r="P826" s="174"/>
      <c r="Q826" s="158" t="str">
        <v/>
      </c>
      <c r="R826" s="158" t="str">
        <v/>
      </c>
      <c r="S826" s="158" t="str">
        <v/>
      </c>
      <c r="T826" s="158" t="str">
        <v/>
      </c>
      <c r="U826" s="158" t="str">
        <v/>
      </c>
      <c r="V826" s="158" t="str">
        <v/>
      </c>
      <c r="W826" s="158" t="str">
        <v/>
      </c>
      <c r="X826" s="158" t="str">
        <v/>
      </c>
      <c r="Y826" s="158" t="str">
        <v/>
      </c>
      <c r="Z826" s="158" t="str">
        <v/>
      </c>
      <c r="AA826" s="158" t="e">
        <v>#VALUE!</v>
      </c>
      <c r="AB826" s="171" t="str">
        <v/>
      </c>
      <c r="AC826" s="158">
        <v>0</v>
      </c>
      <c r="AD826" s="173" t="str">
        <f ca="1">IFERROR(__xludf.DUMMYFUNCTION("""COMPUTED_VALUE"""),"")</f>
        <v/>
      </c>
      <c r="AE826" s="154" t="str">
        <v/>
      </c>
      <c r="AF826" s="154" t="str">
        <v/>
      </c>
    </row>
    <row r="827" spans="1:32" ht="15">
      <c r="A827" s="176"/>
      <c r="B827" s="145"/>
      <c r="C827" s="169"/>
      <c r="D827" s="145"/>
      <c r="E827" s="145"/>
      <c r="F827" s="169" t="e">
        <v>#VALUE!</v>
      </c>
      <c r="G827" s="145"/>
      <c r="H827" s="145"/>
      <c r="I827" s="145"/>
      <c r="J827" s="145"/>
      <c r="K827" s="145"/>
      <c r="L827" s="145"/>
      <c r="M827" s="145"/>
      <c r="N827" s="145"/>
      <c r="O827" s="174"/>
      <c r="P827" s="174"/>
      <c r="Q827" s="158" t="str">
        <v/>
      </c>
      <c r="R827" s="158" t="str">
        <v/>
      </c>
      <c r="S827" s="158" t="str">
        <v/>
      </c>
      <c r="T827" s="158" t="str">
        <v/>
      </c>
      <c r="U827" s="158" t="str">
        <v/>
      </c>
      <c r="V827" s="158" t="str">
        <v/>
      </c>
      <c r="W827" s="158" t="str">
        <v/>
      </c>
      <c r="X827" s="158" t="str">
        <v/>
      </c>
      <c r="Y827" s="158" t="str">
        <v/>
      </c>
      <c r="Z827" s="158" t="str">
        <v/>
      </c>
      <c r="AA827" s="158" t="e">
        <v>#VALUE!</v>
      </c>
      <c r="AB827" s="171" t="str">
        <v/>
      </c>
      <c r="AC827" s="158">
        <v>0</v>
      </c>
      <c r="AD827" s="173" t="str">
        <f ca="1">IFERROR(__xludf.DUMMYFUNCTION("""COMPUTED_VALUE"""),"")</f>
        <v/>
      </c>
      <c r="AE827" s="154" t="str">
        <v/>
      </c>
      <c r="AF827" s="154" t="str">
        <v/>
      </c>
    </row>
    <row r="828" spans="1:32" ht="15">
      <c r="A828" s="176"/>
      <c r="B828" s="145"/>
      <c r="C828" s="169"/>
      <c r="D828" s="145"/>
      <c r="E828" s="145"/>
      <c r="F828" s="169" t="e">
        <v>#VALUE!</v>
      </c>
      <c r="G828" s="145"/>
      <c r="H828" s="145"/>
      <c r="I828" s="145"/>
      <c r="J828" s="145"/>
      <c r="K828" s="145"/>
      <c r="L828" s="145"/>
      <c r="M828" s="145"/>
      <c r="N828" s="145"/>
      <c r="O828" s="174"/>
      <c r="P828" s="174"/>
      <c r="Q828" s="158" t="str">
        <v/>
      </c>
      <c r="R828" s="158" t="str">
        <v/>
      </c>
      <c r="S828" s="158" t="str">
        <v/>
      </c>
      <c r="T828" s="158" t="str">
        <v/>
      </c>
      <c r="U828" s="158" t="str">
        <v/>
      </c>
      <c r="V828" s="158" t="str">
        <v/>
      </c>
      <c r="W828" s="158" t="str">
        <v/>
      </c>
      <c r="X828" s="158" t="str">
        <v/>
      </c>
      <c r="Y828" s="158" t="str">
        <v/>
      </c>
      <c r="Z828" s="158" t="str">
        <v/>
      </c>
      <c r="AA828" s="158" t="e">
        <v>#VALUE!</v>
      </c>
      <c r="AB828" s="171" t="str">
        <v/>
      </c>
      <c r="AC828" s="158">
        <v>0</v>
      </c>
      <c r="AD828" s="173" t="str">
        <f ca="1">IFERROR(__xludf.DUMMYFUNCTION("""COMPUTED_VALUE"""),"")</f>
        <v/>
      </c>
      <c r="AE828" s="154" t="str">
        <v/>
      </c>
      <c r="AF828" s="154" t="str">
        <v/>
      </c>
    </row>
    <row r="829" spans="1:32" ht="15">
      <c r="A829" s="176"/>
      <c r="B829" s="145"/>
      <c r="C829" s="169"/>
      <c r="D829" s="145"/>
      <c r="E829" s="145"/>
      <c r="F829" s="169" t="e">
        <v>#VALUE!</v>
      </c>
      <c r="G829" s="145"/>
      <c r="H829" s="145"/>
      <c r="I829" s="145"/>
      <c r="J829" s="145"/>
      <c r="K829" s="145"/>
      <c r="L829" s="145"/>
      <c r="M829" s="145"/>
      <c r="N829" s="145"/>
      <c r="O829" s="174"/>
      <c r="P829" s="174"/>
      <c r="Q829" s="158" t="str">
        <v/>
      </c>
      <c r="R829" s="158" t="str">
        <v/>
      </c>
      <c r="S829" s="158" t="str">
        <v/>
      </c>
      <c r="T829" s="158" t="str">
        <v/>
      </c>
      <c r="U829" s="158" t="str">
        <v/>
      </c>
      <c r="V829" s="158" t="str">
        <v/>
      </c>
      <c r="W829" s="158" t="str">
        <v/>
      </c>
      <c r="X829" s="158" t="str">
        <v/>
      </c>
      <c r="Y829" s="158" t="str">
        <v/>
      </c>
      <c r="Z829" s="158" t="str">
        <v/>
      </c>
      <c r="AA829" s="158" t="e">
        <v>#VALUE!</v>
      </c>
      <c r="AB829" s="171" t="str">
        <v/>
      </c>
      <c r="AC829" s="158">
        <v>0</v>
      </c>
      <c r="AD829" s="173" t="str">
        <f ca="1">IFERROR(__xludf.DUMMYFUNCTION("""COMPUTED_VALUE"""),"")</f>
        <v/>
      </c>
      <c r="AE829" s="154" t="str">
        <v/>
      </c>
      <c r="AF829" s="154" t="str">
        <v/>
      </c>
    </row>
    <row r="830" spans="1:32" ht="15">
      <c r="A830" s="176"/>
      <c r="B830" s="145"/>
      <c r="C830" s="169"/>
      <c r="D830" s="145"/>
      <c r="E830" s="145"/>
      <c r="F830" s="169" t="e">
        <v>#VALUE!</v>
      </c>
      <c r="G830" s="145"/>
      <c r="H830" s="145"/>
      <c r="I830" s="145"/>
      <c r="J830" s="145"/>
      <c r="K830" s="145"/>
      <c r="L830" s="145"/>
      <c r="M830" s="145"/>
      <c r="N830" s="145"/>
      <c r="O830" s="174"/>
      <c r="P830" s="174"/>
      <c r="Q830" s="158" t="str">
        <v/>
      </c>
      <c r="R830" s="158" t="str">
        <v/>
      </c>
      <c r="S830" s="158" t="str">
        <v/>
      </c>
      <c r="T830" s="158" t="str">
        <v/>
      </c>
      <c r="U830" s="158" t="str">
        <v/>
      </c>
      <c r="V830" s="158" t="str">
        <v/>
      </c>
      <c r="W830" s="158" t="str">
        <v/>
      </c>
      <c r="X830" s="158" t="str">
        <v/>
      </c>
      <c r="Y830" s="158" t="str">
        <v/>
      </c>
      <c r="Z830" s="158" t="str">
        <v/>
      </c>
      <c r="AA830" s="158" t="e">
        <v>#VALUE!</v>
      </c>
      <c r="AB830" s="171" t="str">
        <v/>
      </c>
      <c r="AC830" s="158">
        <v>0</v>
      </c>
      <c r="AD830" s="173" t="str">
        <f ca="1">IFERROR(__xludf.DUMMYFUNCTION("""COMPUTED_VALUE"""),"")</f>
        <v/>
      </c>
      <c r="AE830" s="154" t="str">
        <v/>
      </c>
      <c r="AF830" s="154" t="str">
        <v/>
      </c>
    </row>
    <row r="831" spans="1:32" ht="15">
      <c r="A831" s="176"/>
      <c r="B831" s="145"/>
      <c r="C831" s="169"/>
      <c r="D831" s="145"/>
      <c r="E831" s="145"/>
      <c r="F831" s="169" t="e">
        <v>#VALUE!</v>
      </c>
      <c r="G831" s="145"/>
      <c r="H831" s="145"/>
      <c r="I831" s="145"/>
      <c r="J831" s="145"/>
      <c r="K831" s="145"/>
      <c r="L831" s="145"/>
      <c r="M831" s="145"/>
      <c r="N831" s="145"/>
      <c r="O831" s="174"/>
      <c r="P831" s="174"/>
      <c r="Q831" s="158" t="str">
        <v/>
      </c>
      <c r="R831" s="158" t="str">
        <v/>
      </c>
      <c r="S831" s="158" t="str">
        <v/>
      </c>
      <c r="T831" s="158" t="str">
        <v/>
      </c>
      <c r="U831" s="158" t="str">
        <v/>
      </c>
      <c r="V831" s="158" t="str">
        <v/>
      </c>
      <c r="W831" s="158" t="str">
        <v/>
      </c>
      <c r="X831" s="158" t="str">
        <v/>
      </c>
      <c r="Y831" s="158" t="str">
        <v/>
      </c>
      <c r="Z831" s="158" t="str">
        <v/>
      </c>
      <c r="AA831" s="158" t="e">
        <v>#VALUE!</v>
      </c>
      <c r="AB831" s="171" t="str">
        <v/>
      </c>
      <c r="AC831" s="158">
        <v>0</v>
      </c>
      <c r="AD831" s="173" t="str">
        <f ca="1">IFERROR(__xludf.DUMMYFUNCTION("""COMPUTED_VALUE"""),"")</f>
        <v/>
      </c>
      <c r="AE831" s="154" t="str">
        <v/>
      </c>
      <c r="AF831" s="154" t="str">
        <v/>
      </c>
    </row>
    <row r="832" spans="1:32" ht="15">
      <c r="A832" s="176"/>
      <c r="B832" s="145"/>
      <c r="C832" s="169"/>
      <c r="D832" s="145"/>
      <c r="E832" s="145"/>
      <c r="F832" s="169" t="e">
        <v>#VALUE!</v>
      </c>
      <c r="G832" s="145"/>
      <c r="H832" s="145"/>
      <c r="I832" s="145"/>
      <c r="J832" s="145"/>
      <c r="K832" s="145"/>
      <c r="L832" s="145"/>
      <c r="M832" s="145"/>
      <c r="N832" s="145"/>
      <c r="O832" s="174"/>
      <c r="P832" s="174"/>
      <c r="Q832" s="158" t="str">
        <v/>
      </c>
      <c r="R832" s="158" t="str">
        <v/>
      </c>
      <c r="S832" s="158" t="str">
        <v/>
      </c>
      <c r="T832" s="158" t="str">
        <v/>
      </c>
      <c r="U832" s="158" t="str">
        <v/>
      </c>
      <c r="V832" s="158" t="str">
        <v/>
      </c>
      <c r="W832" s="158" t="str">
        <v/>
      </c>
      <c r="X832" s="158" t="str">
        <v/>
      </c>
      <c r="Y832" s="158" t="str">
        <v/>
      </c>
      <c r="Z832" s="158" t="str">
        <v/>
      </c>
      <c r="AA832" s="158" t="e">
        <v>#VALUE!</v>
      </c>
      <c r="AB832" s="171" t="str">
        <v/>
      </c>
      <c r="AC832" s="158">
        <v>0</v>
      </c>
      <c r="AD832" s="173" t="str">
        <f ca="1">IFERROR(__xludf.DUMMYFUNCTION("""COMPUTED_VALUE"""),"")</f>
        <v/>
      </c>
      <c r="AE832" s="154" t="str">
        <v/>
      </c>
      <c r="AF832" s="154" t="str">
        <v/>
      </c>
    </row>
    <row r="833" spans="1:32" ht="15">
      <c r="A833" s="176"/>
      <c r="B833" s="145"/>
      <c r="C833" s="169"/>
      <c r="D833" s="145"/>
      <c r="E833" s="145"/>
      <c r="F833" s="169" t="e">
        <v>#VALUE!</v>
      </c>
      <c r="G833" s="145"/>
      <c r="H833" s="145"/>
      <c r="I833" s="145"/>
      <c r="J833" s="145"/>
      <c r="K833" s="145"/>
      <c r="L833" s="145"/>
      <c r="M833" s="145"/>
      <c r="N833" s="145"/>
      <c r="O833" s="174"/>
      <c r="P833" s="174"/>
      <c r="Q833" s="158" t="str">
        <v/>
      </c>
      <c r="R833" s="158" t="str">
        <v/>
      </c>
      <c r="S833" s="158" t="str">
        <v/>
      </c>
      <c r="T833" s="158" t="str">
        <v/>
      </c>
      <c r="U833" s="158" t="str">
        <v/>
      </c>
      <c r="V833" s="158" t="str">
        <v/>
      </c>
      <c r="W833" s="158" t="str">
        <v/>
      </c>
      <c r="X833" s="158" t="str">
        <v/>
      </c>
      <c r="Y833" s="158" t="str">
        <v/>
      </c>
      <c r="Z833" s="158" t="str">
        <v/>
      </c>
      <c r="AA833" s="158" t="e">
        <v>#VALUE!</v>
      </c>
      <c r="AB833" s="171" t="str">
        <v/>
      </c>
      <c r="AC833" s="158">
        <v>0</v>
      </c>
      <c r="AD833" s="173" t="str">
        <f ca="1">IFERROR(__xludf.DUMMYFUNCTION("""COMPUTED_VALUE"""),"")</f>
        <v/>
      </c>
      <c r="AE833" s="154" t="str">
        <v/>
      </c>
      <c r="AF833" s="154" t="str">
        <v/>
      </c>
    </row>
    <row r="834" spans="1:32" ht="15">
      <c r="A834" s="176"/>
      <c r="B834" s="145"/>
      <c r="C834" s="169"/>
      <c r="D834" s="145"/>
      <c r="E834" s="145"/>
      <c r="F834" s="169" t="e">
        <v>#VALUE!</v>
      </c>
      <c r="G834" s="145"/>
      <c r="H834" s="145"/>
      <c r="I834" s="145"/>
      <c r="J834" s="145"/>
      <c r="K834" s="145"/>
      <c r="L834" s="145"/>
      <c r="M834" s="145"/>
      <c r="N834" s="145"/>
      <c r="O834" s="174"/>
      <c r="P834" s="174"/>
      <c r="Q834" s="158" t="str">
        <v/>
      </c>
      <c r="R834" s="158" t="str">
        <v/>
      </c>
      <c r="S834" s="158" t="str">
        <v/>
      </c>
      <c r="T834" s="158" t="str">
        <v/>
      </c>
      <c r="U834" s="158" t="str">
        <v/>
      </c>
      <c r="V834" s="158" t="str">
        <v/>
      </c>
      <c r="W834" s="158" t="str">
        <v/>
      </c>
      <c r="X834" s="158" t="str">
        <v/>
      </c>
      <c r="Y834" s="158" t="str">
        <v/>
      </c>
      <c r="Z834" s="158" t="str">
        <v/>
      </c>
      <c r="AA834" s="158" t="e">
        <v>#VALUE!</v>
      </c>
      <c r="AB834" s="171" t="str">
        <v/>
      </c>
      <c r="AC834" s="158">
        <v>0</v>
      </c>
      <c r="AD834" s="173" t="str">
        <f ca="1">IFERROR(__xludf.DUMMYFUNCTION("""COMPUTED_VALUE"""),"")</f>
        <v/>
      </c>
      <c r="AE834" s="154" t="str">
        <v/>
      </c>
      <c r="AF834" s="154" t="str">
        <v/>
      </c>
    </row>
    <row r="835" spans="1:32" ht="15">
      <c r="A835" s="176"/>
      <c r="B835" s="145"/>
      <c r="C835" s="169"/>
      <c r="D835" s="145"/>
      <c r="E835" s="145"/>
      <c r="F835" s="169" t="e">
        <v>#VALUE!</v>
      </c>
      <c r="G835" s="145"/>
      <c r="H835" s="145"/>
      <c r="I835" s="145"/>
      <c r="J835" s="145"/>
      <c r="K835" s="145"/>
      <c r="L835" s="145"/>
      <c r="M835" s="145"/>
      <c r="N835" s="145"/>
      <c r="O835" s="174"/>
      <c r="P835" s="174"/>
      <c r="Q835" s="158" t="str">
        <v/>
      </c>
      <c r="R835" s="158" t="str">
        <v/>
      </c>
      <c r="S835" s="158" t="str">
        <v/>
      </c>
      <c r="T835" s="158" t="str">
        <v/>
      </c>
      <c r="U835" s="158" t="str">
        <v/>
      </c>
      <c r="V835" s="158" t="str">
        <v/>
      </c>
      <c r="W835" s="158" t="str">
        <v/>
      </c>
      <c r="X835" s="158" t="str">
        <v/>
      </c>
      <c r="Y835" s="158" t="str">
        <v/>
      </c>
      <c r="Z835" s="158" t="str">
        <v/>
      </c>
      <c r="AA835" s="158" t="e">
        <v>#VALUE!</v>
      </c>
      <c r="AB835" s="171" t="str">
        <v/>
      </c>
      <c r="AC835" s="158">
        <v>0</v>
      </c>
      <c r="AD835" s="173" t="str">
        <f ca="1">IFERROR(__xludf.DUMMYFUNCTION("""COMPUTED_VALUE"""),"")</f>
        <v/>
      </c>
      <c r="AE835" s="154" t="str">
        <v/>
      </c>
      <c r="AF835" s="154" t="str">
        <v/>
      </c>
    </row>
    <row r="836" spans="1:32" ht="15">
      <c r="A836" s="176"/>
      <c r="B836" s="145"/>
      <c r="C836" s="169"/>
      <c r="D836" s="145"/>
      <c r="E836" s="145"/>
      <c r="F836" s="169" t="e">
        <v>#VALUE!</v>
      </c>
      <c r="G836" s="145"/>
      <c r="H836" s="145"/>
      <c r="I836" s="145"/>
      <c r="J836" s="145"/>
      <c r="K836" s="145"/>
      <c r="L836" s="145"/>
      <c r="M836" s="145"/>
      <c r="N836" s="145"/>
      <c r="O836" s="174"/>
      <c r="P836" s="174"/>
      <c r="Q836" s="158" t="str">
        <v/>
      </c>
      <c r="R836" s="158" t="str">
        <v/>
      </c>
      <c r="S836" s="158" t="str">
        <v/>
      </c>
      <c r="T836" s="158" t="str">
        <v/>
      </c>
      <c r="U836" s="158" t="str">
        <v/>
      </c>
      <c r="V836" s="158" t="str">
        <v/>
      </c>
      <c r="W836" s="158" t="str">
        <v/>
      </c>
      <c r="X836" s="158" t="str">
        <v/>
      </c>
      <c r="Y836" s="158" t="str">
        <v/>
      </c>
      <c r="Z836" s="158" t="str">
        <v/>
      </c>
      <c r="AA836" s="158" t="e">
        <v>#VALUE!</v>
      </c>
      <c r="AB836" s="171" t="str">
        <v/>
      </c>
      <c r="AC836" s="158">
        <v>0</v>
      </c>
      <c r="AD836" s="173" t="str">
        <f ca="1">IFERROR(__xludf.DUMMYFUNCTION("""COMPUTED_VALUE"""),"")</f>
        <v/>
      </c>
      <c r="AE836" s="154" t="str">
        <v/>
      </c>
      <c r="AF836" s="154" t="str">
        <v/>
      </c>
    </row>
    <row r="837" spans="1:32" ht="15">
      <c r="A837" s="176"/>
      <c r="B837" s="145"/>
      <c r="C837" s="169"/>
      <c r="D837" s="145"/>
      <c r="E837" s="145"/>
      <c r="F837" s="169" t="e">
        <v>#VALUE!</v>
      </c>
      <c r="G837" s="145"/>
      <c r="H837" s="145"/>
      <c r="I837" s="145"/>
      <c r="J837" s="145"/>
      <c r="K837" s="145"/>
      <c r="L837" s="145"/>
      <c r="M837" s="145"/>
      <c r="N837" s="145"/>
      <c r="O837" s="174"/>
      <c r="P837" s="174"/>
      <c r="Q837" s="158" t="str">
        <v/>
      </c>
      <c r="R837" s="158" t="str">
        <v/>
      </c>
      <c r="S837" s="158" t="str">
        <v/>
      </c>
      <c r="T837" s="158" t="str">
        <v/>
      </c>
      <c r="U837" s="158" t="str">
        <v/>
      </c>
      <c r="V837" s="158" t="str">
        <v/>
      </c>
      <c r="W837" s="158" t="str">
        <v/>
      </c>
      <c r="X837" s="158" t="str">
        <v/>
      </c>
      <c r="Y837" s="158" t="str">
        <v/>
      </c>
      <c r="Z837" s="158" t="str">
        <v/>
      </c>
      <c r="AA837" s="158" t="e">
        <v>#VALUE!</v>
      </c>
      <c r="AB837" s="171" t="str">
        <v/>
      </c>
      <c r="AC837" s="158">
        <v>0</v>
      </c>
      <c r="AD837" s="173" t="str">
        <f ca="1">IFERROR(__xludf.DUMMYFUNCTION("""COMPUTED_VALUE"""),"")</f>
        <v/>
      </c>
      <c r="AE837" s="154" t="str">
        <v/>
      </c>
      <c r="AF837" s="154" t="str">
        <v/>
      </c>
    </row>
    <row r="838" spans="1:32" ht="15">
      <c r="A838" s="176"/>
      <c r="B838" s="145"/>
      <c r="C838" s="169"/>
      <c r="D838" s="145"/>
      <c r="E838" s="145"/>
      <c r="F838" s="169" t="e">
        <v>#VALUE!</v>
      </c>
      <c r="G838" s="145"/>
      <c r="H838" s="145"/>
      <c r="I838" s="145"/>
      <c r="J838" s="145"/>
      <c r="K838" s="145"/>
      <c r="L838" s="145"/>
      <c r="M838" s="145"/>
      <c r="N838" s="145"/>
      <c r="O838" s="174"/>
      <c r="P838" s="174"/>
      <c r="Q838" s="158" t="str">
        <v/>
      </c>
      <c r="R838" s="158" t="str">
        <v/>
      </c>
      <c r="S838" s="158" t="str">
        <v/>
      </c>
      <c r="T838" s="158" t="str">
        <v/>
      </c>
      <c r="U838" s="158" t="str">
        <v/>
      </c>
      <c r="V838" s="158" t="str">
        <v/>
      </c>
      <c r="W838" s="158" t="str">
        <v/>
      </c>
      <c r="X838" s="158" t="str">
        <v/>
      </c>
      <c r="Y838" s="158" t="str">
        <v/>
      </c>
      <c r="Z838" s="158" t="str">
        <v/>
      </c>
      <c r="AA838" s="158" t="e">
        <v>#VALUE!</v>
      </c>
      <c r="AB838" s="171" t="str">
        <v/>
      </c>
      <c r="AC838" s="158">
        <v>0</v>
      </c>
      <c r="AD838" s="173" t="str">
        <f ca="1">IFERROR(__xludf.DUMMYFUNCTION("""COMPUTED_VALUE"""),"")</f>
        <v/>
      </c>
      <c r="AE838" s="154" t="str">
        <v/>
      </c>
      <c r="AF838" s="154" t="str">
        <v/>
      </c>
    </row>
    <row r="839" spans="1:32" ht="15">
      <c r="A839" s="176"/>
      <c r="B839" s="145"/>
      <c r="C839" s="169"/>
      <c r="D839" s="145"/>
      <c r="E839" s="145"/>
      <c r="F839" s="169" t="e">
        <v>#VALUE!</v>
      </c>
      <c r="G839" s="145"/>
      <c r="H839" s="145"/>
      <c r="I839" s="145"/>
      <c r="J839" s="145"/>
      <c r="K839" s="145"/>
      <c r="L839" s="145"/>
      <c r="M839" s="145"/>
      <c r="N839" s="145"/>
      <c r="O839" s="174"/>
      <c r="P839" s="174"/>
      <c r="Q839" s="158" t="str">
        <v/>
      </c>
      <c r="R839" s="158" t="str">
        <v/>
      </c>
      <c r="S839" s="158" t="str">
        <v/>
      </c>
      <c r="T839" s="158" t="str">
        <v/>
      </c>
      <c r="U839" s="158" t="str">
        <v/>
      </c>
      <c r="V839" s="158" t="str">
        <v/>
      </c>
      <c r="W839" s="158" t="str">
        <v/>
      </c>
      <c r="X839" s="158" t="str">
        <v/>
      </c>
      <c r="Y839" s="158" t="str">
        <v/>
      </c>
      <c r="Z839" s="158" t="str">
        <v/>
      </c>
      <c r="AA839" s="158" t="e">
        <v>#VALUE!</v>
      </c>
      <c r="AB839" s="171" t="str">
        <v/>
      </c>
      <c r="AC839" s="158">
        <v>0</v>
      </c>
      <c r="AD839" s="173" t="str">
        <f ca="1">IFERROR(__xludf.DUMMYFUNCTION("""COMPUTED_VALUE"""),"")</f>
        <v/>
      </c>
      <c r="AE839" s="154" t="str">
        <v/>
      </c>
      <c r="AF839" s="154" t="str">
        <v/>
      </c>
    </row>
    <row r="840" spans="1:32" ht="15">
      <c r="A840" s="176"/>
      <c r="B840" s="145"/>
      <c r="C840" s="169"/>
      <c r="D840" s="145"/>
      <c r="E840" s="145"/>
      <c r="F840" s="169" t="e">
        <v>#VALUE!</v>
      </c>
      <c r="G840" s="145"/>
      <c r="H840" s="145"/>
      <c r="I840" s="145"/>
      <c r="J840" s="145"/>
      <c r="K840" s="145"/>
      <c r="L840" s="145"/>
      <c r="M840" s="145"/>
      <c r="N840" s="145"/>
      <c r="O840" s="174"/>
      <c r="P840" s="174"/>
      <c r="Q840" s="158" t="str">
        <v/>
      </c>
      <c r="R840" s="158" t="str">
        <v/>
      </c>
      <c r="S840" s="158" t="str">
        <v/>
      </c>
      <c r="T840" s="158" t="str">
        <v/>
      </c>
      <c r="U840" s="158" t="str">
        <v/>
      </c>
      <c r="V840" s="158" t="str">
        <v/>
      </c>
      <c r="W840" s="158" t="str">
        <v/>
      </c>
      <c r="X840" s="158" t="str">
        <v/>
      </c>
      <c r="Y840" s="158" t="str">
        <v/>
      </c>
      <c r="Z840" s="158" t="str">
        <v/>
      </c>
      <c r="AA840" s="158" t="e">
        <v>#VALUE!</v>
      </c>
      <c r="AB840" s="171" t="str">
        <v/>
      </c>
      <c r="AC840" s="158">
        <v>0</v>
      </c>
      <c r="AD840" s="173" t="str">
        <f ca="1">IFERROR(__xludf.DUMMYFUNCTION("""COMPUTED_VALUE"""),"")</f>
        <v/>
      </c>
      <c r="AE840" s="154" t="str">
        <v/>
      </c>
      <c r="AF840" s="154" t="str">
        <v/>
      </c>
    </row>
    <row r="841" spans="1:32" ht="15">
      <c r="A841" s="176"/>
      <c r="B841" s="145"/>
      <c r="C841" s="169"/>
      <c r="D841" s="145"/>
      <c r="E841" s="145"/>
      <c r="F841" s="169" t="e">
        <v>#VALUE!</v>
      </c>
      <c r="G841" s="145"/>
      <c r="H841" s="145"/>
      <c r="I841" s="145"/>
      <c r="J841" s="145"/>
      <c r="K841" s="145"/>
      <c r="L841" s="145"/>
      <c r="M841" s="145"/>
      <c r="N841" s="145"/>
      <c r="O841" s="174"/>
      <c r="P841" s="174"/>
      <c r="Q841" s="158" t="str">
        <v/>
      </c>
      <c r="R841" s="158" t="str">
        <v/>
      </c>
      <c r="S841" s="158" t="str">
        <v/>
      </c>
      <c r="T841" s="158" t="str">
        <v/>
      </c>
      <c r="U841" s="158" t="str">
        <v/>
      </c>
      <c r="V841" s="158" t="str">
        <v/>
      </c>
      <c r="W841" s="158" t="str">
        <v/>
      </c>
      <c r="X841" s="158" t="str">
        <v/>
      </c>
      <c r="Y841" s="158" t="str">
        <v/>
      </c>
      <c r="Z841" s="158" t="str">
        <v/>
      </c>
      <c r="AA841" s="158" t="e">
        <v>#VALUE!</v>
      </c>
      <c r="AB841" s="171" t="str">
        <v/>
      </c>
      <c r="AC841" s="158">
        <v>0</v>
      </c>
      <c r="AD841" s="173" t="str">
        <f ca="1">IFERROR(__xludf.DUMMYFUNCTION("""COMPUTED_VALUE"""),"")</f>
        <v/>
      </c>
      <c r="AE841" s="154" t="str">
        <v/>
      </c>
      <c r="AF841" s="154" t="str">
        <v/>
      </c>
    </row>
    <row r="842" spans="1:32" ht="15">
      <c r="A842" s="176"/>
      <c r="B842" s="145"/>
      <c r="C842" s="169"/>
      <c r="D842" s="145"/>
      <c r="E842" s="145"/>
      <c r="F842" s="169" t="e">
        <v>#VALUE!</v>
      </c>
      <c r="G842" s="145"/>
      <c r="H842" s="145"/>
      <c r="I842" s="145"/>
      <c r="J842" s="145"/>
      <c r="K842" s="145"/>
      <c r="L842" s="145"/>
      <c r="M842" s="145"/>
      <c r="N842" s="145"/>
      <c r="O842" s="174"/>
      <c r="P842" s="174"/>
      <c r="Q842" s="158" t="str">
        <v/>
      </c>
      <c r="R842" s="158" t="str">
        <v/>
      </c>
      <c r="S842" s="158" t="str">
        <v/>
      </c>
      <c r="T842" s="158" t="str">
        <v/>
      </c>
      <c r="U842" s="158" t="str">
        <v/>
      </c>
      <c r="V842" s="158" t="str">
        <v/>
      </c>
      <c r="W842" s="158" t="str">
        <v/>
      </c>
      <c r="X842" s="158" t="str">
        <v/>
      </c>
      <c r="Y842" s="158" t="str">
        <v/>
      </c>
      <c r="Z842" s="158" t="str">
        <v/>
      </c>
      <c r="AA842" s="158" t="e">
        <v>#VALUE!</v>
      </c>
      <c r="AB842" s="171" t="str">
        <v/>
      </c>
      <c r="AC842" s="158">
        <v>0</v>
      </c>
      <c r="AD842" s="173" t="str">
        <f ca="1">IFERROR(__xludf.DUMMYFUNCTION("""COMPUTED_VALUE"""),"")</f>
        <v/>
      </c>
      <c r="AE842" s="154" t="str">
        <v/>
      </c>
      <c r="AF842" s="154" t="str">
        <v/>
      </c>
    </row>
    <row r="843" spans="1:32" ht="15">
      <c r="A843" s="176"/>
      <c r="B843" s="145"/>
      <c r="C843" s="169"/>
      <c r="D843" s="145"/>
      <c r="E843" s="145"/>
      <c r="F843" s="169" t="e">
        <v>#VALUE!</v>
      </c>
      <c r="G843" s="145"/>
      <c r="H843" s="145"/>
      <c r="I843" s="145"/>
      <c r="J843" s="145"/>
      <c r="K843" s="145"/>
      <c r="L843" s="145"/>
      <c r="M843" s="145"/>
      <c r="N843" s="145"/>
      <c r="O843" s="174"/>
      <c r="P843" s="174"/>
      <c r="Q843" s="158" t="str">
        <v/>
      </c>
      <c r="R843" s="158" t="str">
        <v/>
      </c>
      <c r="S843" s="158" t="str">
        <v/>
      </c>
      <c r="T843" s="158" t="str">
        <v/>
      </c>
      <c r="U843" s="158" t="str">
        <v/>
      </c>
      <c r="V843" s="158" t="str">
        <v/>
      </c>
      <c r="W843" s="158" t="str">
        <v/>
      </c>
      <c r="X843" s="158" t="str">
        <v/>
      </c>
      <c r="Y843" s="158" t="str">
        <v/>
      </c>
      <c r="Z843" s="158" t="str">
        <v/>
      </c>
      <c r="AA843" s="158" t="e">
        <v>#VALUE!</v>
      </c>
      <c r="AB843" s="171" t="str">
        <v/>
      </c>
      <c r="AC843" s="158">
        <v>0</v>
      </c>
      <c r="AD843" s="173" t="str">
        <f ca="1">IFERROR(__xludf.DUMMYFUNCTION("""COMPUTED_VALUE"""),"")</f>
        <v/>
      </c>
      <c r="AE843" s="154" t="str">
        <v/>
      </c>
      <c r="AF843" s="154" t="str">
        <v/>
      </c>
    </row>
    <row r="844" spans="1:32" ht="15">
      <c r="A844" s="176"/>
      <c r="B844" s="145"/>
      <c r="C844" s="169"/>
      <c r="D844" s="145"/>
      <c r="E844" s="145"/>
      <c r="F844" s="169" t="e">
        <v>#VALUE!</v>
      </c>
      <c r="G844" s="145"/>
      <c r="H844" s="145"/>
      <c r="I844" s="145"/>
      <c r="J844" s="145"/>
      <c r="K844" s="145"/>
      <c r="L844" s="145"/>
      <c r="M844" s="145"/>
      <c r="N844" s="145"/>
      <c r="O844" s="174"/>
      <c r="P844" s="174"/>
      <c r="Q844" s="158" t="str">
        <v/>
      </c>
      <c r="R844" s="158" t="str">
        <v/>
      </c>
      <c r="S844" s="158" t="str">
        <v/>
      </c>
      <c r="T844" s="158" t="str">
        <v/>
      </c>
      <c r="U844" s="158" t="str">
        <v/>
      </c>
      <c r="V844" s="158" t="str">
        <v/>
      </c>
      <c r="W844" s="158" t="str">
        <v/>
      </c>
      <c r="X844" s="158" t="str">
        <v/>
      </c>
      <c r="Y844" s="158" t="str">
        <v/>
      </c>
      <c r="Z844" s="158" t="str">
        <v/>
      </c>
      <c r="AA844" s="158" t="e">
        <v>#VALUE!</v>
      </c>
      <c r="AB844" s="171" t="str">
        <v/>
      </c>
      <c r="AC844" s="158">
        <v>0</v>
      </c>
      <c r="AD844" s="173" t="str">
        <f ca="1">IFERROR(__xludf.DUMMYFUNCTION("""COMPUTED_VALUE"""),"")</f>
        <v/>
      </c>
      <c r="AE844" s="154" t="str">
        <v/>
      </c>
      <c r="AF844" s="154" t="str">
        <v/>
      </c>
    </row>
    <row r="845" spans="1:32" ht="15">
      <c r="A845" s="176"/>
      <c r="B845" s="145"/>
      <c r="C845" s="169"/>
      <c r="D845" s="145"/>
      <c r="E845" s="145"/>
      <c r="F845" s="169" t="e">
        <v>#VALUE!</v>
      </c>
      <c r="G845" s="145"/>
      <c r="H845" s="145"/>
      <c r="I845" s="145"/>
      <c r="J845" s="145"/>
      <c r="K845" s="145"/>
      <c r="L845" s="145"/>
      <c r="M845" s="145"/>
      <c r="N845" s="145"/>
      <c r="O845" s="174"/>
      <c r="P845" s="174"/>
      <c r="Q845" s="158" t="str">
        <v/>
      </c>
      <c r="R845" s="158" t="str">
        <v/>
      </c>
      <c r="S845" s="158" t="str">
        <v/>
      </c>
      <c r="T845" s="158" t="str">
        <v/>
      </c>
      <c r="U845" s="158" t="str">
        <v/>
      </c>
      <c r="V845" s="158" t="str">
        <v/>
      </c>
      <c r="W845" s="158" t="str">
        <v/>
      </c>
      <c r="X845" s="158" t="str">
        <v/>
      </c>
      <c r="Y845" s="158" t="str">
        <v/>
      </c>
      <c r="Z845" s="158" t="str">
        <v/>
      </c>
      <c r="AA845" s="158" t="e">
        <v>#VALUE!</v>
      </c>
      <c r="AB845" s="171" t="str">
        <v/>
      </c>
      <c r="AC845" s="158">
        <v>0</v>
      </c>
      <c r="AD845" s="173" t="str">
        <f ca="1">IFERROR(__xludf.DUMMYFUNCTION("""COMPUTED_VALUE"""),"")</f>
        <v/>
      </c>
      <c r="AE845" s="154" t="str">
        <v/>
      </c>
      <c r="AF845" s="154" t="str">
        <v/>
      </c>
    </row>
    <row r="846" spans="1:32" ht="15">
      <c r="A846" s="176"/>
      <c r="B846" s="145"/>
      <c r="C846" s="169"/>
      <c r="D846" s="145"/>
      <c r="E846" s="145"/>
      <c r="F846" s="169" t="e">
        <v>#VALUE!</v>
      </c>
      <c r="G846" s="145"/>
      <c r="H846" s="145"/>
      <c r="I846" s="145"/>
      <c r="J846" s="145"/>
      <c r="K846" s="145"/>
      <c r="L846" s="145"/>
      <c r="M846" s="145"/>
      <c r="N846" s="145"/>
      <c r="O846" s="174"/>
      <c r="P846" s="174"/>
      <c r="Q846" s="158" t="str">
        <v/>
      </c>
      <c r="R846" s="158" t="str">
        <v/>
      </c>
      <c r="S846" s="158" t="str">
        <v/>
      </c>
      <c r="T846" s="158" t="str">
        <v/>
      </c>
      <c r="U846" s="158" t="str">
        <v/>
      </c>
      <c r="V846" s="158" t="str">
        <v/>
      </c>
      <c r="W846" s="158" t="str">
        <v/>
      </c>
      <c r="X846" s="158" t="str">
        <v/>
      </c>
      <c r="Y846" s="158" t="str">
        <v/>
      </c>
      <c r="Z846" s="158" t="str">
        <v/>
      </c>
      <c r="AA846" s="158" t="e">
        <v>#VALUE!</v>
      </c>
      <c r="AB846" s="171" t="str">
        <v/>
      </c>
      <c r="AC846" s="158">
        <v>0</v>
      </c>
      <c r="AD846" s="173" t="str">
        <f ca="1">IFERROR(__xludf.DUMMYFUNCTION("""COMPUTED_VALUE"""),"")</f>
        <v/>
      </c>
      <c r="AE846" s="154" t="str">
        <v/>
      </c>
      <c r="AF846" s="154" t="str">
        <v/>
      </c>
    </row>
    <row r="847" spans="1:32" ht="15">
      <c r="A847" s="176"/>
      <c r="B847" s="145"/>
      <c r="C847" s="169"/>
      <c r="D847" s="145"/>
      <c r="E847" s="145"/>
      <c r="F847" s="169" t="e">
        <v>#VALUE!</v>
      </c>
      <c r="G847" s="145"/>
      <c r="H847" s="145"/>
      <c r="I847" s="145"/>
      <c r="J847" s="145"/>
      <c r="K847" s="145"/>
      <c r="L847" s="145"/>
      <c r="M847" s="145"/>
      <c r="N847" s="145"/>
      <c r="O847" s="174"/>
      <c r="P847" s="174"/>
      <c r="Q847" s="158" t="str">
        <v/>
      </c>
      <c r="R847" s="158" t="str">
        <v/>
      </c>
      <c r="S847" s="158" t="str">
        <v/>
      </c>
      <c r="T847" s="158" t="str">
        <v/>
      </c>
      <c r="U847" s="158" t="str">
        <v/>
      </c>
      <c r="V847" s="158" t="str">
        <v/>
      </c>
      <c r="W847" s="158" t="str">
        <v/>
      </c>
      <c r="X847" s="158" t="str">
        <v/>
      </c>
      <c r="Y847" s="158" t="str">
        <v/>
      </c>
      <c r="Z847" s="158" t="str">
        <v/>
      </c>
      <c r="AA847" s="158" t="e">
        <v>#VALUE!</v>
      </c>
      <c r="AB847" s="171" t="str">
        <v/>
      </c>
      <c r="AC847" s="158">
        <v>0</v>
      </c>
      <c r="AD847" s="173" t="str">
        <f ca="1">IFERROR(__xludf.DUMMYFUNCTION("""COMPUTED_VALUE"""),"")</f>
        <v/>
      </c>
      <c r="AE847" s="154" t="str">
        <v/>
      </c>
      <c r="AF847" s="154" t="str">
        <v/>
      </c>
    </row>
    <row r="848" spans="1:32" ht="15">
      <c r="A848" s="176"/>
      <c r="B848" s="145"/>
      <c r="C848" s="169"/>
      <c r="D848" s="145"/>
      <c r="E848" s="145"/>
      <c r="F848" s="169" t="e">
        <v>#VALUE!</v>
      </c>
      <c r="G848" s="145"/>
      <c r="H848" s="145"/>
      <c r="I848" s="145"/>
      <c r="J848" s="145"/>
      <c r="K848" s="145"/>
      <c r="L848" s="145"/>
      <c r="M848" s="145"/>
      <c r="N848" s="145"/>
      <c r="O848" s="174"/>
      <c r="P848" s="174"/>
      <c r="Q848" s="158" t="str">
        <v/>
      </c>
      <c r="R848" s="158" t="str">
        <v/>
      </c>
      <c r="S848" s="158" t="str">
        <v/>
      </c>
      <c r="T848" s="158" t="str">
        <v/>
      </c>
      <c r="U848" s="158" t="str">
        <v/>
      </c>
      <c r="V848" s="158" t="str">
        <v/>
      </c>
      <c r="W848" s="158" t="str">
        <v/>
      </c>
      <c r="X848" s="158" t="str">
        <v/>
      </c>
      <c r="Y848" s="158" t="str">
        <v/>
      </c>
      <c r="Z848" s="158" t="str">
        <v/>
      </c>
      <c r="AA848" s="158" t="e">
        <v>#VALUE!</v>
      </c>
      <c r="AB848" s="171" t="str">
        <v/>
      </c>
      <c r="AC848" s="158">
        <v>0</v>
      </c>
      <c r="AD848" s="173" t="str">
        <f ca="1">IFERROR(__xludf.DUMMYFUNCTION("""COMPUTED_VALUE"""),"")</f>
        <v/>
      </c>
      <c r="AE848" s="154" t="str">
        <v/>
      </c>
      <c r="AF848" s="154" t="str">
        <v/>
      </c>
    </row>
    <row r="849" spans="1:32" ht="15">
      <c r="A849" s="176"/>
      <c r="B849" s="145"/>
      <c r="C849" s="169"/>
      <c r="D849" s="145"/>
      <c r="E849" s="145"/>
      <c r="F849" s="169" t="e">
        <v>#VALUE!</v>
      </c>
      <c r="G849" s="145"/>
      <c r="H849" s="145"/>
      <c r="I849" s="145"/>
      <c r="J849" s="145"/>
      <c r="K849" s="145"/>
      <c r="L849" s="145"/>
      <c r="M849" s="145"/>
      <c r="N849" s="145"/>
      <c r="O849" s="174"/>
      <c r="P849" s="174"/>
      <c r="Q849" s="158" t="str">
        <v/>
      </c>
      <c r="R849" s="158" t="str">
        <v/>
      </c>
      <c r="S849" s="158" t="str">
        <v/>
      </c>
      <c r="T849" s="158" t="str">
        <v/>
      </c>
      <c r="U849" s="158" t="str">
        <v/>
      </c>
      <c r="V849" s="158" t="str">
        <v/>
      </c>
      <c r="W849" s="158" t="str">
        <v/>
      </c>
      <c r="X849" s="158" t="str">
        <v/>
      </c>
      <c r="Y849" s="158" t="str">
        <v/>
      </c>
      <c r="Z849" s="158" t="str">
        <v/>
      </c>
      <c r="AA849" s="158" t="e">
        <v>#VALUE!</v>
      </c>
      <c r="AB849" s="171" t="str">
        <v/>
      </c>
      <c r="AC849" s="158">
        <v>0</v>
      </c>
      <c r="AD849" s="173" t="str">
        <f ca="1">IFERROR(__xludf.DUMMYFUNCTION("""COMPUTED_VALUE"""),"")</f>
        <v/>
      </c>
      <c r="AE849" s="154" t="str">
        <v/>
      </c>
      <c r="AF849" s="154" t="str">
        <v/>
      </c>
    </row>
    <row r="850" spans="1:32" ht="15">
      <c r="A850" s="176"/>
      <c r="B850" s="145"/>
      <c r="C850" s="169"/>
      <c r="D850" s="145"/>
      <c r="E850" s="145"/>
      <c r="F850" s="169" t="e">
        <v>#VALUE!</v>
      </c>
      <c r="G850" s="145"/>
      <c r="H850" s="145"/>
      <c r="I850" s="145"/>
      <c r="J850" s="145"/>
      <c r="K850" s="145"/>
      <c r="L850" s="145"/>
      <c r="M850" s="145"/>
      <c r="N850" s="145"/>
      <c r="O850" s="174"/>
      <c r="P850" s="174"/>
      <c r="Q850" s="158" t="str">
        <v/>
      </c>
      <c r="R850" s="158" t="str">
        <v/>
      </c>
      <c r="S850" s="158" t="str">
        <v/>
      </c>
      <c r="T850" s="158" t="str">
        <v/>
      </c>
      <c r="U850" s="158" t="str">
        <v/>
      </c>
      <c r="V850" s="158" t="str">
        <v/>
      </c>
      <c r="W850" s="158" t="str">
        <v/>
      </c>
      <c r="X850" s="158" t="str">
        <v/>
      </c>
      <c r="Y850" s="158" t="str">
        <v/>
      </c>
      <c r="Z850" s="158" t="str">
        <v/>
      </c>
      <c r="AA850" s="158" t="e">
        <v>#VALUE!</v>
      </c>
      <c r="AB850" s="171" t="str">
        <v/>
      </c>
      <c r="AC850" s="158">
        <v>0</v>
      </c>
      <c r="AD850" s="173" t="str">
        <f ca="1">IFERROR(__xludf.DUMMYFUNCTION("""COMPUTED_VALUE"""),"")</f>
        <v/>
      </c>
      <c r="AE850" s="154" t="str">
        <v/>
      </c>
      <c r="AF850" s="154" t="str">
        <v/>
      </c>
    </row>
    <row r="851" spans="1:32" ht="15">
      <c r="A851" s="176"/>
      <c r="B851" s="145"/>
      <c r="C851" s="169"/>
      <c r="D851" s="145"/>
      <c r="E851" s="145"/>
      <c r="F851" s="169" t="e">
        <v>#VALUE!</v>
      </c>
      <c r="G851" s="145"/>
      <c r="H851" s="145"/>
      <c r="I851" s="145"/>
      <c r="J851" s="145"/>
      <c r="K851" s="145"/>
      <c r="L851" s="145"/>
      <c r="M851" s="145"/>
      <c r="N851" s="145"/>
      <c r="O851" s="174"/>
      <c r="P851" s="174"/>
      <c r="Q851" s="158" t="str">
        <v/>
      </c>
      <c r="R851" s="158" t="str">
        <v/>
      </c>
      <c r="S851" s="158" t="str">
        <v/>
      </c>
      <c r="T851" s="158" t="str">
        <v/>
      </c>
      <c r="U851" s="158" t="str">
        <v/>
      </c>
      <c r="V851" s="158" t="str">
        <v/>
      </c>
      <c r="W851" s="158" t="str">
        <v/>
      </c>
      <c r="X851" s="158" t="str">
        <v/>
      </c>
      <c r="Y851" s="158" t="str">
        <v/>
      </c>
      <c r="Z851" s="158" t="str">
        <v/>
      </c>
      <c r="AA851" s="158" t="e">
        <v>#VALUE!</v>
      </c>
      <c r="AB851" s="171" t="str">
        <v/>
      </c>
      <c r="AC851" s="158">
        <v>0</v>
      </c>
      <c r="AD851" s="173" t="str">
        <f ca="1">IFERROR(__xludf.DUMMYFUNCTION("""COMPUTED_VALUE"""),"")</f>
        <v/>
      </c>
      <c r="AE851" s="154" t="str">
        <v/>
      </c>
      <c r="AF851" s="154" t="str">
        <v/>
      </c>
    </row>
    <row r="852" spans="1:32" ht="15">
      <c r="A852" s="176"/>
      <c r="B852" s="145"/>
      <c r="C852" s="169"/>
      <c r="D852" s="145"/>
      <c r="E852" s="145"/>
      <c r="F852" s="169" t="e">
        <v>#VALUE!</v>
      </c>
      <c r="G852" s="145"/>
      <c r="H852" s="145"/>
      <c r="I852" s="145"/>
      <c r="J852" s="145"/>
      <c r="K852" s="145"/>
      <c r="L852" s="145"/>
      <c r="M852" s="145"/>
      <c r="N852" s="145"/>
      <c r="O852" s="174"/>
      <c r="P852" s="174"/>
      <c r="Q852" s="158" t="str">
        <v/>
      </c>
      <c r="R852" s="158" t="str">
        <v/>
      </c>
      <c r="S852" s="158" t="str">
        <v/>
      </c>
      <c r="T852" s="158" t="str">
        <v/>
      </c>
      <c r="U852" s="158" t="str">
        <v/>
      </c>
      <c r="V852" s="158" t="str">
        <v/>
      </c>
      <c r="W852" s="158" t="str">
        <v/>
      </c>
      <c r="X852" s="158" t="str">
        <v/>
      </c>
      <c r="Y852" s="158" t="str">
        <v/>
      </c>
      <c r="Z852" s="158" t="str">
        <v/>
      </c>
      <c r="AA852" s="158" t="e">
        <v>#VALUE!</v>
      </c>
      <c r="AB852" s="171" t="str">
        <v/>
      </c>
      <c r="AC852" s="158">
        <v>0</v>
      </c>
      <c r="AD852" s="173" t="str">
        <f ca="1">IFERROR(__xludf.DUMMYFUNCTION("""COMPUTED_VALUE"""),"")</f>
        <v/>
      </c>
      <c r="AE852" s="154" t="str">
        <v/>
      </c>
      <c r="AF852" s="154" t="str">
        <v/>
      </c>
    </row>
    <row r="853" spans="1:32" ht="15">
      <c r="A853" s="176"/>
      <c r="B853" s="145"/>
      <c r="C853" s="169"/>
      <c r="D853" s="145"/>
      <c r="E853" s="145"/>
      <c r="F853" s="169" t="e">
        <v>#VALUE!</v>
      </c>
      <c r="G853" s="145"/>
      <c r="H853" s="145"/>
      <c r="I853" s="145"/>
      <c r="J853" s="145"/>
      <c r="K853" s="145"/>
      <c r="L853" s="145"/>
      <c r="M853" s="145"/>
      <c r="N853" s="145"/>
      <c r="O853" s="174"/>
      <c r="P853" s="174"/>
      <c r="Q853" s="158" t="str">
        <v/>
      </c>
      <c r="R853" s="158" t="str">
        <v/>
      </c>
      <c r="S853" s="158" t="str">
        <v/>
      </c>
      <c r="T853" s="158" t="str">
        <v/>
      </c>
      <c r="U853" s="158" t="str">
        <v/>
      </c>
      <c r="V853" s="158" t="str">
        <v/>
      </c>
      <c r="W853" s="158" t="str">
        <v/>
      </c>
      <c r="X853" s="158" t="str">
        <v/>
      </c>
      <c r="Y853" s="158" t="str">
        <v/>
      </c>
      <c r="Z853" s="158" t="str">
        <v/>
      </c>
      <c r="AA853" s="158" t="e">
        <v>#VALUE!</v>
      </c>
      <c r="AB853" s="171" t="str">
        <v/>
      </c>
      <c r="AC853" s="158">
        <v>0</v>
      </c>
      <c r="AD853" s="173" t="str">
        <f ca="1">IFERROR(__xludf.DUMMYFUNCTION("""COMPUTED_VALUE"""),"")</f>
        <v/>
      </c>
      <c r="AE853" s="154" t="str">
        <v/>
      </c>
      <c r="AF853" s="154" t="str">
        <v/>
      </c>
    </row>
    <row r="854" spans="1:32" ht="15">
      <c r="A854" s="176"/>
      <c r="B854" s="145"/>
      <c r="C854" s="169"/>
      <c r="D854" s="145"/>
      <c r="E854" s="145"/>
      <c r="F854" s="169" t="e">
        <v>#VALUE!</v>
      </c>
      <c r="G854" s="145"/>
      <c r="H854" s="145"/>
      <c r="I854" s="145"/>
      <c r="J854" s="145"/>
      <c r="K854" s="145"/>
      <c r="L854" s="145"/>
      <c r="M854" s="145"/>
      <c r="N854" s="145"/>
      <c r="O854" s="174"/>
      <c r="P854" s="174"/>
      <c r="Q854" s="158" t="str">
        <v/>
      </c>
      <c r="R854" s="158" t="str">
        <v/>
      </c>
      <c r="S854" s="158" t="str">
        <v/>
      </c>
      <c r="T854" s="158" t="str">
        <v/>
      </c>
      <c r="U854" s="158" t="str">
        <v/>
      </c>
      <c r="V854" s="158" t="str">
        <v/>
      </c>
      <c r="W854" s="158" t="str">
        <v/>
      </c>
      <c r="X854" s="158" t="str">
        <v/>
      </c>
      <c r="Y854" s="158" t="str">
        <v/>
      </c>
      <c r="Z854" s="158" t="str">
        <v/>
      </c>
      <c r="AA854" s="158" t="e">
        <v>#VALUE!</v>
      </c>
      <c r="AB854" s="171" t="str">
        <v/>
      </c>
      <c r="AC854" s="158">
        <v>0</v>
      </c>
      <c r="AD854" s="173" t="str">
        <f ca="1">IFERROR(__xludf.DUMMYFUNCTION("""COMPUTED_VALUE"""),"")</f>
        <v/>
      </c>
      <c r="AE854" s="154" t="str">
        <v/>
      </c>
      <c r="AF854" s="154" t="str">
        <v/>
      </c>
    </row>
    <row r="855" spans="1:32" ht="15">
      <c r="A855" s="176"/>
      <c r="B855" s="145"/>
      <c r="C855" s="169"/>
      <c r="D855" s="145"/>
      <c r="E855" s="145"/>
      <c r="F855" s="169" t="e">
        <v>#VALUE!</v>
      </c>
      <c r="G855" s="145"/>
      <c r="H855" s="145"/>
      <c r="I855" s="145"/>
      <c r="J855" s="145"/>
      <c r="K855" s="145"/>
      <c r="L855" s="145"/>
      <c r="M855" s="145"/>
      <c r="N855" s="145"/>
      <c r="O855" s="174"/>
      <c r="P855" s="174"/>
      <c r="Q855" s="158" t="str">
        <v/>
      </c>
      <c r="R855" s="158" t="str">
        <v/>
      </c>
      <c r="S855" s="158" t="str">
        <v/>
      </c>
      <c r="T855" s="158" t="str">
        <v/>
      </c>
      <c r="U855" s="158" t="str">
        <v/>
      </c>
      <c r="V855" s="158" t="str">
        <v/>
      </c>
      <c r="W855" s="158" t="str">
        <v/>
      </c>
      <c r="X855" s="158" t="str">
        <v/>
      </c>
      <c r="Y855" s="158" t="str">
        <v/>
      </c>
      <c r="Z855" s="158" t="str">
        <v/>
      </c>
      <c r="AA855" s="158" t="e">
        <v>#VALUE!</v>
      </c>
      <c r="AB855" s="171" t="str">
        <v/>
      </c>
      <c r="AC855" s="158">
        <v>0</v>
      </c>
      <c r="AD855" s="173" t="str">
        <f ca="1">IFERROR(__xludf.DUMMYFUNCTION("""COMPUTED_VALUE"""),"")</f>
        <v/>
      </c>
      <c r="AE855" s="154" t="str">
        <v/>
      </c>
      <c r="AF855" s="154" t="str">
        <v/>
      </c>
    </row>
    <row r="856" spans="1:32" ht="15">
      <c r="A856" s="176"/>
      <c r="B856" s="145"/>
      <c r="C856" s="169"/>
      <c r="D856" s="145"/>
      <c r="E856" s="145"/>
      <c r="F856" s="169" t="e">
        <v>#VALUE!</v>
      </c>
      <c r="G856" s="145"/>
      <c r="H856" s="145"/>
      <c r="I856" s="145"/>
      <c r="J856" s="145"/>
      <c r="K856" s="145"/>
      <c r="L856" s="145"/>
      <c r="M856" s="145"/>
      <c r="N856" s="145"/>
      <c r="O856" s="174"/>
      <c r="P856" s="174"/>
      <c r="Q856" s="158" t="str">
        <v/>
      </c>
      <c r="R856" s="158" t="str">
        <v/>
      </c>
      <c r="S856" s="158" t="str">
        <v/>
      </c>
      <c r="T856" s="158" t="str">
        <v/>
      </c>
      <c r="U856" s="158" t="str">
        <v/>
      </c>
      <c r="V856" s="158" t="str">
        <v/>
      </c>
      <c r="W856" s="158" t="str">
        <v/>
      </c>
      <c r="X856" s="158" t="str">
        <v/>
      </c>
      <c r="Y856" s="158" t="str">
        <v/>
      </c>
      <c r="Z856" s="158" t="str">
        <v/>
      </c>
      <c r="AA856" s="158" t="e">
        <v>#VALUE!</v>
      </c>
      <c r="AB856" s="171" t="str">
        <v/>
      </c>
      <c r="AC856" s="158">
        <v>0</v>
      </c>
      <c r="AD856" s="173" t="str">
        <f ca="1">IFERROR(__xludf.DUMMYFUNCTION("""COMPUTED_VALUE"""),"")</f>
        <v/>
      </c>
      <c r="AE856" s="154" t="str">
        <v/>
      </c>
      <c r="AF856" s="154" t="str">
        <v/>
      </c>
    </row>
    <row r="857" spans="1:32" ht="15">
      <c r="A857" s="176"/>
      <c r="B857" s="145"/>
      <c r="C857" s="169"/>
      <c r="D857" s="145"/>
      <c r="E857" s="145"/>
      <c r="F857" s="169" t="e">
        <v>#VALUE!</v>
      </c>
      <c r="G857" s="145"/>
      <c r="H857" s="145"/>
      <c r="I857" s="145"/>
      <c r="J857" s="145"/>
      <c r="K857" s="145"/>
      <c r="L857" s="145"/>
      <c r="M857" s="145"/>
      <c r="N857" s="145"/>
      <c r="O857" s="174"/>
      <c r="P857" s="174"/>
      <c r="Q857" s="158" t="str">
        <v/>
      </c>
      <c r="R857" s="158" t="str">
        <v/>
      </c>
      <c r="S857" s="158" t="str">
        <v/>
      </c>
      <c r="T857" s="158" t="str">
        <v/>
      </c>
      <c r="U857" s="158" t="str">
        <v/>
      </c>
      <c r="V857" s="158" t="str">
        <v/>
      </c>
      <c r="W857" s="158" t="str">
        <v/>
      </c>
      <c r="X857" s="158" t="str">
        <v/>
      </c>
      <c r="Y857" s="158" t="str">
        <v/>
      </c>
      <c r="Z857" s="158" t="str">
        <v/>
      </c>
      <c r="AA857" s="158" t="e">
        <v>#VALUE!</v>
      </c>
      <c r="AB857" s="171" t="str">
        <v/>
      </c>
      <c r="AC857" s="158">
        <v>0</v>
      </c>
      <c r="AD857" s="173" t="str">
        <f ca="1">IFERROR(__xludf.DUMMYFUNCTION("""COMPUTED_VALUE"""),"")</f>
        <v/>
      </c>
      <c r="AE857" s="154" t="str">
        <v/>
      </c>
      <c r="AF857" s="154" t="str">
        <v/>
      </c>
    </row>
    <row r="858" spans="1:32" ht="15">
      <c r="A858" s="176"/>
      <c r="B858" s="145"/>
      <c r="C858" s="169"/>
      <c r="D858" s="145"/>
      <c r="E858" s="145"/>
      <c r="F858" s="169" t="e">
        <v>#VALUE!</v>
      </c>
      <c r="G858" s="145"/>
      <c r="H858" s="145"/>
      <c r="I858" s="145"/>
      <c r="J858" s="145"/>
      <c r="K858" s="145"/>
      <c r="L858" s="145"/>
      <c r="M858" s="145"/>
      <c r="N858" s="145"/>
      <c r="O858" s="174"/>
      <c r="P858" s="174"/>
      <c r="Q858" s="158" t="str">
        <v/>
      </c>
      <c r="R858" s="158" t="str">
        <v/>
      </c>
      <c r="S858" s="158" t="str">
        <v/>
      </c>
      <c r="T858" s="158" t="str">
        <v/>
      </c>
      <c r="U858" s="158" t="str">
        <v/>
      </c>
      <c r="V858" s="158" t="str">
        <v/>
      </c>
      <c r="W858" s="158" t="str">
        <v/>
      </c>
      <c r="X858" s="158" t="str">
        <v/>
      </c>
      <c r="Y858" s="158" t="str">
        <v/>
      </c>
      <c r="Z858" s="158" t="str">
        <v/>
      </c>
      <c r="AA858" s="158" t="e">
        <v>#VALUE!</v>
      </c>
      <c r="AB858" s="171" t="str">
        <v/>
      </c>
      <c r="AC858" s="158">
        <v>0</v>
      </c>
      <c r="AD858" s="173" t="str">
        <f ca="1">IFERROR(__xludf.DUMMYFUNCTION("""COMPUTED_VALUE"""),"")</f>
        <v/>
      </c>
      <c r="AE858" s="154" t="str">
        <v/>
      </c>
      <c r="AF858" s="154" t="str">
        <v/>
      </c>
    </row>
    <row r="859" spans="1:32" ht="15">
      <c r="A859" s="176"/>
      <c r="B859" s="145"/>
      <c r="C859" s="169"/>
      <c r="D859" s="145"/>
      <c r="E859" s="145"/>
      <c r="F859" s="169" t="e">
        <v>#VALUE!</v>
      </c>
      <c r="G859" s="145"/>
      <c r="H859" s="145"/>
      <c r="I859" s="145"/>
      <c r="J859" s="145"/>
      <c r="K859" s="145"/>
      <c r="L859" s="145"/>
      <c r="M859" s="145"/>
      <c r="N859" s="145"/>
      <c r="O859" s="174"/>
      <c r="P859" s="174"/>
      <c r="Q859" s="158" t="str">
        <v/>
      </c>
      <c r="R859" s="158" t="str">
        <v/>
      </c>
      <c r="S859" s="158" t="str">
        <v/>
      </c>
      <c r="T859" s="158" t="str">
        <v/>
      </c>
      <c r="U859" s="158" t="str">
        <v/>
      </c>
      <c r="V859" s="158" t="str">
        <v/>
      </c>
      <c r="W859" s="158" t="str">
        <v/>
      </c>
      <c r="X859" s="158" t="str">
        <v/>
      </c>
      <c r="Y859" s="158" t="str">
        <v/>
      </c>
      <c r="Z859" s="158" t="str">
        <v/>
      </c>
      <c r="AA859" s="158" t="e">
        <v>#VALUE!</v>
      </c>
      <c r="AB859" s="171" t="str">
        <v/>
      </c>
      <c r="AC859" s="158">
        <v>0</v>
      </c>
      <c r="AD859" s="173" t="str">
        <f ca="1">IFERROR(__xludf.DUMMYFUNCTION("""COMPUTED_VALUE"""),"")</f>
        <v/>
      </c>
      <c r="AE859" s="154" t="str">
        <v/>
      </c>
      <c r="AF859" s="154" t="str">
        <v/>
      </c>
    </row>
    <row r="860" spans="1:32" ht="15">
      <c r="A860" s="176"/>
      <c r="B860" s="145"/>
      <c r="C860" s="169"/>
      <c r="D860" s="145"/>
      <c r="E860" s="145"/>
      <c r="F860" s="169" t="e">
        <v>#VALUE!</v>
      </c>
      <c r="G860" s="145"/>
      <c r="H860" s="145"/>
      <c r="I860" s="145"/>
      <c r="J860" s="145"/>
      <c r="K860" s="145"/>
      <c r="L860" s="145"/>
      <c r="M860" s="145"/>
      <c r="N860" s="145"/>
      <c r="O860" s="174"/>
      <c r="P860" s="174"/>
      <c r="Q860" s="158" t="str">
        <v/>
      </c>
      <c r="R860" s="158" t="str">
        <v/>
      </c>
      <c r="S860" s="158" t="str">
        <v/>
      </c>
      <c r="T860" s="158" t="str">
        <v/>
      </c>
      <c r="U860" s="158" t="str">
        <v/>
      </c>
      <c r="V860" s="158" t="str">
        <v/>
      </c>
      <c r="W860" s="158" t="str">
        <v/>
      </c>
      <c r="X860" s="158" t="str">
        <v/>
      </c>
      <c r="Y860" s="158" t="str">
        <v/>
      </c>
      <c r="Z860" s="158" t="str">
        <v/>
      </c>
      <c r="AA860" s="158" t="e">
        <v>#VALUE!</v>
      </c>
      <c r="AB860" s="171" t="str">
        <v/>
      </c>
      <c r="AC860" s="158">
        <v>0</v>
      </c>
      <c r="AD860" s="173" t="str">
        <f ca="1">IFERROR(__xludf.DUMMYFUNCTION("""COMPUTED_VALUE"""),"")</f>
        <v/>
      </c>
      <c r="AE860" s="154" t="str">
        <v/>
      </c>
      <c r="AF860" s="154" t="str">
        <v/>
      </c>
    </row>
    <row r="861" spans="1:32" ht="15">
      <c r="A861" s="176"/>
      <c r="B861" s="145"/>
      <c r="C861" s="169"/>
      <c r="D861" s="145"/>
      <c r="E861" s="145"/>
      <c r="F861" s="169" t="e">
        <v>#VALUE!</v>
      </c>
      <c r="G861" s="145"/>
      <c r="H861" s="145"/>
      <c r="I861" s="145"/>
      <c r="J861" s="145"/>
      <c r="K861" s="145"/>
      <c r="L861" s="145"/>
      <c r="M861" s="145"/>
      <c r="N861" s="145"/>
      <c r="O861" s="174"/>
      <c r="P861" s="174"/>
      <c r="Q861" s="158" t="str">
        <v/>
      </c>
      <c r="R861" s="158" t="str">
        <v/>
      </c>
      <c r="S861" s="158" t="str">
        <v/>
      </c>
      <c r="T861" s="158" t="str">
        <v/>
      </c>
      <c r="U861" s="158" t="str">
        <v/>
      </c>
      <c r="V861" s="158" t="str">
        <v/>
      </c>
      <c r="W861" s="158" t="str">
        <v/>
      </c>
      <c r="X861" s="158" t="str">
        <v/>
      </c>
      <c r="Y861" s="158" t="str">
        <v/>
      </c>
      <c r="Z861" s="158" t="str">
        <v/>
      </c>
      <c r="AA861" s="158" t="e">
        <v>#VALUE!</v>
      </c>
      <c r="AB861" s="171" t="str">
        <v/>
      </c>
      <c r="AC861" s="158">
        <v>0</v>
      </c>
      <c r="AD861" s="173" t="str">
        <f ca="1">IFERROR(__xludf.DUMMYFUNCTION("""COMPUTED_VALUE"""),"")</f>
        <v/>
      </c>
      <c r="AE861" s="154" t="str">
        <v/>
      </c>
      <c r="AF861" s="154" t="str">
        <v/>
      </c>
    </row>
    <row r="862" spans="1:32" ht="15">
      <c r="A862" s="176"/>
      <c r="B862" s="145"/>
      <c r="C862" s="169"/>
      <c r="D862" s="145"/>
      <c r="E862" s="145"/>
      <c r="F862" s="169" t="e">
        <v>#VALUE!</v>
      </c>
      <c r="G862" s="145"/>
      <c r="H862" s="145"/>
      <c r="I862" s="145"/>
      <c r="J862" s="145"/>
      <c r="K862" s="145"/>
      <c r="L862" s="145"/>
      <c r="M862" s="145"/>
      <c r="N862" s="145"/>
      <c r="O862" s="174"/>
      <c r="P862" s="174"/>
      <c r="Q862" s="158" t="str">
        <v/>
      </c>
      <c r="R862" s="158" t="str">
        <v/>
      </c>
      <c r="S862" s="158" t="str">
        <v/>
      </c>
      <c r="T862" s="158" t="str">
        <v/>
      </c>
      <c r="U862" s="158" t="str">
        <v/>
      </c>
      <c r="V862" s="158" t="str">
        <v/>
      </c>
      <c r="W862" s="158" t="str">
        <v/>
      </c>
      <c r="X862" s="158" t="str">
        <v/>
      </c>
      <c r="Y862" s="158" t="str">
        <v/>
      </c>
      <c r="Z862" s="158" t="str">
        <v/>
      </c>
      <c r="AA862" s="158" t="e">
        <v>#VALUE!</v>
      </c>
      <c r="AB862" s="171" t="str">
        <v/>
      </c>
      <c r="AC862" s="158">
        <v>0</v>
      </c>
      <c r="AD862" s="173" t="str">
        <f ca="1">IFERROR(__xludf.DUMMYFUNCTION("""COMPUTED_VALUE"""),"")</f>
        <v/>
      </c>
      <c r="AE862" s="154" t="str">
        <v/>
      </c>
      <c r="AF862" s="154" t="str">
        <v/>
      </c>
    </row>
    <row r="863" spans="1:32" ht="15">
      <c r="A863" s="176"/>
      <c r="B863" s="145"/>
      <c r="C863" s="169"/>
      <c r="D863" s="145"/>
      <c r="E863" s="145"/>
      <c r="F863" s="169" t="e">
        <v>#VALUE!</v>
      </c>
      <c r="G863" s="145"/>
      <c r="H863" s="145"/>
      <c r="I863" s="145"/>
      <c r="J863" s="145"/>
      <c r="K863" s="145"/>
      <c r="L863" s="145"/>
      <c r="M863" s="145"/>
      <c r="N863" s="145"/>
      <c r="O863" s="174"/>
      <c r="P863" s="174"/>
      <c r="Q863" s="158" t="str">
        <v/>
      </c>
      <c r="R863" s="158" t="str">
        <v/>
      </c>
      <c r="S863" s="158" t="str">
        <v/>
      </c>
      <c r="T863" s="158" t="str">
        <v/>
      </c>
      <c r="U863" s="158" t="str">
        <v/>
      </c>
      <c r="V863" s="158" t="str">
        <v/>
      </c>
      <c r="W863" s="158" t="str">
        <v/>
      </c>
      <c r="X863" s="158" t="str">
        <v/>
      </c>
      <c r="Y863" s="158" t="str">
        <v/>
      </c>
      <c r="Z863" s="158" t="str">
        <v/>
      </c>
      <c r="AA863" s="158" t="e">
        <v>#VALUE!</v>
      </c>
      <c r="AB863" s="171" t="str">
        <v/>
      </c>
      <c r="AC863" s="158">
        <v>0</v>
      </c>
      <c r="AD863" s="173" t="str">
        <f ca="1">IFERROR(__xludf.DUMMYFUNCTION("""COMPUTED_VALUE"""),"")</f>
        <v/>
      </c>
      <c r="AE863" s="154" t="str">
        <v/>
      </c>
      <c r="AF863" s="154" t="str">
        <v/>
      </c>
    </row>
    <row r="864" spans="1:32" ht="15">
      <c r="A864" s="176"/>
      <c r="B864" s="145"/>
      <c r="C864" s="169"/>
      <c r="D864" s="145"/>
      <c r="E864" s="145"/>
      <c r="F864" s="169" t="e">
        <v>#VALUE!</v>
      </c>
      <c r="G864" s="145"/>
      <c r="H864" s="145"/>
      <c r="I864" s="145"/>
      <c r="J864" s="145"/>
      <c r="K864" s="145"/>
      <c r="L864" s="145"/>
      <c r="M864" s="145"/>
      <c r="N864" s="145"/>
      <c r="O864" s="174"/>
      <c r="P864" s="174"/>
      <c r="Q864" s="158" t="str">
        <v/>
      </c>
      <c r="R864" s="158" t="str">
        <v/>
      </c>
      <c r="S864" s="158" t="str">
        <v/>
      </c>
      <c r="T864" s="158" t="str">
        <v/>
      </c>
      <c r="U864" s="158" t="str">
        <v/>
      </c>
      <c r="V864" s="158" t="str">
        <v/>
      </c>
      <c r="W864" s="158" t="str">
        <v/>
      </c>
      <c r="X864" s="158" t="str">
        <v/>
      </c>
      <c r="Y864" s="158" t="str">
        <v/>
      </c>
      <c r="Z864" s="158" t="str">
        <v/>
      </c>
      <c r="AA864" s="158" t="e">
        <v>#VALUE!</v>
      </c>
      <c r="AB864" s="171" t="str">
        <v/>
      </c>
      <c r="AC864" s="158">
        <v>0</v>
      </c>
      <c r="AD864" s="173" t="str">
        <f ca="1">IFERROR(__xludf.DUMMYFUNCTION("""COMPUTED_VALUE"""),"")</f>
        <v/>
      </c>
      <c r="AE864" s="154" t="str">
        <v/>
      </c>
      <c r="AF864" s="154" t="str">
        <v/>
      </c>
    </row>
    <row r="865" spans="1:32" ht="15">
      <c r="A865" s="176"/>
      <c r="B865" s="145"/>
      <c r="C865" s="169"/>
      <c r="D865" s="145"/>
      <c r="E865" s="145"/>
      <c r="F865" s="169" t="e">
        <v>#VALUE!</v>
      </c>
      <c r="G865" s="145"/>
      <c r="H865" s="145"/>
      <c r="I865" s="145"/>
      <c r="J865" s="145"/>
      <c r="K865" s="145"/>
      <c r="L865" s="145"/>
      <c r="M865" s="145"/>
      <c r="N865" s="145"/>
      <c r="O865" s="174"/>
      <c r="P865" s="174"/>
      <c r="Q865" s="158" t="str">
        <v/>
      </c>
      <c r="R865" s="158" t="str">
        <v/>
      </c>
      <c r="S865" s="158" t="str">
        <v/>
      </c>
      <c r="T865" s="158" t="str">
        <v/>
      </c>
      <c r="U865" s="158" t="str">
        <v/>
      </c>
      <c r="V865" s="158" t="str">
        <v/>
      </c>
      <c r="W865" s="158" t="str">
        <v/>
      </c>
      <c r="X865" s="158" t="str">
        <v/>
      </c>
      <c r="Y865" s="158" t="str">
        <v/>
      </c>
      <c r="Z865" s="158" t="str">
        <v/>
      </c>
      <c r="AA865" s="158" t="e">
        <v>#VALUE!</v>
      </c>
      <c r="AB865" s="171" t="str">
        <v/>
      </c>
      <c r="AC865" s="158">
        <v>0</v>
      </c>
      <c r="AD865" s="173" t="str">
        <f ca="1">IFERROR(__xludf.DUMMYFUNCTION("""COMPUTED_VALUE"""),"")</f>
        <v/>
      </c>
      <c r="AE865" s="154" t="str">
        <v/>
      </c>
      <c r="AF865" s="154" t="str">
        <v/>
      </c>
    </row>
    <row r="866" spans="1:32" ht="15">
      <c r="A866" s="176"/>
      <c r="B866" s="145"/>
      <c r="C866" s="169"/>
      <c r="D866" s="145"/>
      <c r="E866" s="145"/>
      <c r="F866" s="169" t="e">
        <v>#VALUE!</v>
      </c>
      <c r="G866" s="145"/>
      <c r="H866" s="145"/>
      <c r="I866" s="145"/>
      <c r="J866" s="145"/>
      <c r="K866" s="145"/>
      <c r="L866" s="145"/>
      <c r="M866" s="145"/>
      <c r="N866" s="145"/>
      <c r="O866" s="174"/>
      <c r="P866" s="174"/>
      <c r="Q866" s="158" t="str">
        <v/>
      </c>
      <c r="R866" s="158" t="str">
        <v/>
      </c>
      <c r="S866" s="158" t="str">
        <v/>
      </c>
      <c r="T866" s="158" t="str">
        <v/>
      </c>
      <c r="U866" s="158" t="str">
        <v/>
      </c>
      <c r="V866" s="158" t="str">
        <v/>
      </c>
      <c r="W866" s="158" t="str">
        <v/>
      </c>
      <c r="X866" s="158" t="str">
        <v/>
      </c>
      <c r="Y866" s="158" t="str">
        <v/>
      </c>
      <c r="Z866" s="158" t="str">
        <v/>
      </c>
      <c r="AA866" s="158" t="e">
        <v>#VALUE!</v>
      </c>
      <c r="AB866" s="171" t="str">
        <v/>
      </c>
      <c r="AC866" s="158">
        <v>0</v>
      </c>
      <c r="AD866" s="173" t="str">
        <f ca="1">IFERROR(__xludf.DUMMYFUNCTION("""COMPUTED_VALUE"""),"")</f>
        <v/>
      </c>
      <c r="AE866" s="154" t="str">
        <v/>
      </c>
      <c r="AF866" s="154" t="str">
        <v/>
      </c>
    </row>
    <row r="867" spans="1:32" ht="15">
      <c r="A867" s="176"/>
      <c r="B867" s="145"/>
      <c r="C867" s="169"/>
      <c r="D867" s="145"/>
      <c r="E867" s="145"/>
      <c r="F867" s="169" t="e">
        <v>#VALUE!</v>
      </c>
      <c r="G867" s="145"/>
      <c r="H867" s="145"/>
      <c r="I867" s="145"/>
      <c r="J867" s="145"/>
      <c r="K867" s="145"/>
      <c r="L867" s="145"/>
      <c r="M867" s="145"/>
      <c r="N867" s="145"/>
      <c r="O867" s="174"/>
      <c r="P867" s="174"/>
      <c r="Q867" s="158" t="str">
        <v/>
      </c>
      <c r="R867" s="158" t="str">
        <v/>
      </c>
      <c r="S867" s="158" t="str">
        <v/>
      </c>
      <c r="T867" s="158" t="str">
        <v/>
      </c>
      <c r="U867" s="158" t="str">
        <v/>
      </c>
      <c r="V867" s="158" t="str">
        <v/>
      </c>
      <c r="W867" s="158" t="str">
        <v/>
      </c>
      <c r="X867" s="158" t="str">
        <v/>
      </c>
      <c r="Y867" s="158" t="str">
        <v/>
      </c>
      <c r="Z867" s="158" t="str">
        <v/>
      </c>
      <c r="AA867" s="158" t="e">
        <v>#VALUE!</v>
      </c>
      <c r="AB867" s="171" t="str">
        <v/>
      </c>
      <c r="AC867" s="158">
        <v>0</v>
      </c>
      <c r="AD867" s="173" t="str">
        <f ca="1">IFERROR(__xludf.DUMMYFUNCTION("""COMPUTED_VALUE"""),"")</f>
        <v/>
      </c>
      <c r="AE867" s="154" t="str">
        <v/>
      </c>
      <c r="AF867" s="154" t="str">
        <v/>
      </c>
    </row>
    <row r="868" spans="1:32" ht="15">
      <c r="A868" s="176"/>
      <c r="B868" s="145"/>
      <c r="C868" s="169"/>
      <c r="D868" s="145"/>
      <c r="E868" s="145"/>
      <c r="F868" s="169" t="e">
        <v>#VALUE!</v>
      </c>
      <c r="G868" s="145"/>
      <c r="H868" s="145"/>
      <c r="I868" s="145"/>
      <c r="J868" s="145"/>
      <c r="K868" s="145"/>
      <c r="L868" s="145"/>
      <c r="M868" s="145"/>
      <c r="N868" s="145"/>
      <c r="O868" s="174"/>
      <c r="P868" s="174"/>
      <c r="Q868" s="158" t="str">
        <v/>
      </c>
      <c r="R868" s="158" t="str">
        <v/>
      </c>
      <c r="S868" s="158" t="str">
        <v/>
      </c>
      <c r="T868" s="158" t="str">
        <v/>
      </c>
      <c r="U868" s="158" t="str">
        <v/>
      </c>
      <c r="V868" s="158" t="str">
        <v/>
      </c>
      <c r="W868" s="158" t="str">
        <v/>
      </c>
      <c r="X868" s="158" t="str">
        <v/>
      </c>
      <c r="Y868" s="158" t="str">
        <v/>
      </c>
      <c r="Z868" s="158" t="str">
        <v/>
      </c>
      <c r="AA868" s="158" t="e">
        <v>#VALUE!</v>
      </c>
      <c r="AB868" s="171" t="str">
        <v/>
      </c>
      <c r="AC868" s="158">
        <v>0</v>
      </c>
      <c r="AD868" s="173" t="str">
        <f ca="1">IFERROR(__xludf.DUMMYFUNCTION("""COMPUTED_VALUE"""),"")</f>
        <v/>
      </c>
      <c r="AE868" s="154" t="str">
        <v/>
      </c>
      <c r="AF868" s="154" t="str">
        <v/>
      </c>
    </row>
    <row r="869" spans="1:32" ht="15">
      <c r="A869" s="176"/>
      <c r="B869" s="145"/>
      <c r="C869" s="169"/>
      <c r="D869" s="145"/>
      <c r="E869" s="145"/>
      <c r="F869" s="169" t="e">
        <v>#VALUE!</v>
      </c>
      <c r="G869" s="145"/>
      <c r="H869" s="145"/>
      <c r="I869" s="145"/>
      <c r="J869" s="145"/>
      <c r="K869" s="145"/>
      <c r="L869" s="145"/>
      <c r="M869" s="145"/>
      <c r="N869" s="145"/>
      <c r="O869" s="174"/>
      <c r="P869" s="174"/>
      <c r="Q869" s="158" t="str">
        <v/>
      </c>
      <c r="R869" s="158" t="str">
        <v/>
      </c>
      <c r="S869" s="158" t="str">
        <v/>
      </c>
      <c r="T869" s="158" t="str">
        <v/>
      </c>
      <c r="U869" s="158" t="str">
        <v/>
      </c>
      <c r="V869" s="158" t="str">
        <v/>
      </c>
      <c r="W869" s="158" t="str">
        <v/>
      </c>
      <c r="X869" s="158" t="str">
        <v/>
      </c>
      <c r="Y869" s="158" t="str">
        <v/>
      </c>
      <c r="Z869" s="158" t="str">
        <v/>
      </c>
      <c r="AA869" s="158" t="e">
        <v>#VALUE!</v>
      </c>
      <c r="AB869" s="171" t="str">
        <v/>
      </c>
      <c r="AC869" s="158">
        <v>0</v>
      </c>
      <c r="AD869" s="173" t="str">
        <f ca="1">IFERROR(__xludf.DUMMYFUNCTION("""COMPUTED_VALUE"""),"")</f>
        <v/>
      </c>
      <c r="AE869" s="154" t="str">
        <v/>
      </c>
      <c r="AF869" s="154" t="str">
        <v/>
      </c>
    </row>
    <row r="870" spans="1:32" ht="15">
      <c r="A870" s="176"/>
      <c r="B870" s="145"/>
      <c r="C870" s="169"/>
      <c r="D870" s="145"/>
      <c r="E870" s="145"/>
      <c r="F870" s="169" t="e">
        <v>#VALUE!</v>
      </c>
      <c r="G870" s="145"/>
      <c r="H870" s="145"/>
      <c r="I870" s="145"/>
      <c r="J870" s="145"/>
      <c r="K870" s="145"/>
      <c r="L870" s="145"/>
      <c r="M870" s="145"/>
      <c r="N870" s="145"/>
      <c r="O870" s="174"/>
      <c r="P870" s="174"/>
      <c r="Q870" s="158" t="str">
        <v/>
      </c>
      <c r="R870" s="158" t="str">
        <v/>
      </c>
      <c r="S870" s="158" t="str">
        <v/>
      </c>
      <c r="T870" s="158" t="str">
        <v/>
      </c>
      <c r="U870" s="158" t="str">
        <v/>
      </c>
      <c r="V870" s="158" t="str">
        <v/>
      </c>
      <c r="W870" s="158" t="str">
        <v/>
      </c>
      <c r="X870" s="158" t="str">
        <v/>
      </c>
      <c r="Y870" s="158" t="str">
        <v/>
      </c>
      <c r="Z870" s="158" t="str">
        <v/>
      </c>
      <c r="AA870" s="158" t="e">
        <v>#VALUE!</v>
      </c>
      <c r="AB870" s="171" t="str">
        <v/>
      </c>
      <c r="AC870" s="158">
        <v>0</v>
      </c>
      <c r="AD870" s="173" t="str">
        <f ca="1">IFERROR(__xludf.DUMMYFUNCTION("""COMPUTED_VALUE"""),"")</f>
        <v/>
      </c>
      <c r="AE870" s="154" t="str">
        <v/>
      </c>
      <c r="AF870" s="154" t="str">
        <v/>
      </c>
    </row>
    <row r="871" spans="1:32" ht="15">
      <c r="A871" s="176"/>
      <c r="B871" s="145"/>
      <c r="C871" s="169"/>
      <c r="D871" s="145"/>
      <c r="E871" s="145"/>
      <c r="F871" s="169" t="e">
        <v>#VALUE!</v>
      </c>
      <c r="G871" s="145"/>
      <c r="H871" s="145"/>
      <c r="I871" s="145"/>
      <c r="J871" s="145"/>
      <c r="K871" s="145"/>
      <c r="L871" s="145"/>
      <c r="M871" s="145"/>
      <c r="N871" s="145"/>
      <c r="O871" s="174"/>
      <c r="P871" s="174"/>
      <c r="Q871" s="158" t="str">
        <v/>
      </c>
      <c r="R871" s="158" t="str">
        <v/>
      </c>
      <c r="S871" s="158" t="str">
        <v/>
      </c>
      <c r="T871" s="158" t="str">
        <v/>
      </c>
      <c r="U871" s="158" t="str">
        <v/>
      </c>
      <c r="V871" s="158" t="str">
        <v/>
      </c>
      <c r="W871" s="158" t="str">
        <v/>
      </c>
      <c r="X871" s="158" t="str">
        <v/>
      </c>
      <c r="Y871" s="158" t="str">
        <v/>
      </c>
      <c r="Z871" s="158" t="str">
        <v/>
      </c>
      <c r="AA871" s="158" t="e">
        <v>#VALUE!</v>
      </c>
      <c r="AB871" s="171" t="str">
        <v/>
      </c>
      <c r="AC871" s="158">
        <v>0</v>
      </c>
      <c r="AD871" s="173" t="str">
        <f ca="1">IFERROR(__xludf.DUMMYFUNCTION("""COMPUTED_VALUE"""),"")</f>
        <v/>
      </c>
      <c r="AE871" s="154" t="str">
        <v/>
      </c>
      <c r="AF871" s="154" t="str">
        <v/>
      </c>
    </row>
    <row r="872" spans="1:32" ht="15">
      <c r="A872" s="176"/>
      <c r="B872" s="145"/>
      <c r="C872" s="169"/>
      <c r="D872" s="145"/>
      <c r="E872" s="145"/>
      <c r="F872" s="169" t="e">
        <v>#VALUE!</v>
      </c>
      <c r="G872" s="145"/>
      <c r="H872" s="145"/>
      <c r="I872" s="145"/>
      <c r="J872" s="145"/>
      <c r="K872" s="145"/>
      <c r="L872" s="145"/>
      <c r="M872" s="145"/>
      <c r="N872" s="145"/>
      <c r="O872" s="174"/>
      <c r="P872" s="174"/>
      <c r="Q872" s="158" t="str">
        <v/>
      </c>
      <c r="R872" s="158" t="str">
        <v/>
      </c>
      <c r="S872" s="158" t="str">
        <v/>
      </c>
      <c r="T872" s="158" t="str">
        <v/>
      </c>
      <c r="U872" s="158" t="str">
        <v/>
      </c>
      <c r="V872" s="158" t="str">
        <v/>
      </c>
      <c r="W872" s="158" t="str">
        <v/>
      </c>
      <c r="X872" s="158" t="str">
        <v/>
      </c>
      <c r="Y872" s="158" t="str">
        <v/>
      </c>
      <c r="Z872" s="158" t="str">
        <v/>
      </c>
      <c r="AA872" s="158" t="e">
        <v>#VALUE!</v>
      </c>
      <c r="AB872" s="171" t="str">
        <v/>
      </c>
      <c r="AC872" s="158">
        <v>0</v>
      </c>
      <c r="AD872" s="173" t="str">
        <f ca="1">IFERROR(__xludf.DUMMYFUNCTION("""COMPUTED_VALUE"""),"")</f>
        <v/>
      </c>
      <c r="AE872" s="154" t="str">
        <v/>
      </c>
      <c r="AF872" s="154" t="str">
        <v/>
      </c>
    </row>
    <row r="873" spans="1:32" ht="15">
      <c r="A873" s="176"/>
      <c r="B873" s="145"/>
      <c r="C873" s="169"/>
      <c r="D873" s="145"/>
      <c r="E873" s="145"/>
      <c r="F873" s="169" t="e">
        <v>#VALUE!</v>
      </c>
      <c r="G873" s="145"/>
      <c r="H873" s="145"/>
      <c r="I873" s="145"/>
      <c r="J873" s="145"/>
      <c r="K873" s="145"/>
      <c r="L873" s="145"/>
      <c r="M873" s="145"/>
      <c r="N873" s="145"/>
      <c r="O873" s="174"/>
      <c r="P873" s="174"/>
      <c r="Q873" s="158" t="str">
        <v/>
      </c>
      <c r="R873" s="158" t="str">
        <v/>
      </c>
      <c r="S873" s="158" t="str">
        <v/>
      </c>
      <c r="T873" s="158" t="str">
        <v/>
      </c>
      <c r="U873" s="158" t="str">
        <v/>
      </c>
      <c r="V873" s="158" t="str">
        <v/>
      </c>
      <c r="W873" s="158" t="str">
        <v/>
      </c>
      <c r="X873" s="158" t="str">
        <v/>
      </c>
      <c r="Y873" s="158" t="str">
        <v/>
      </c>
      <c r="Z873" s="158" t="str">
        <v/>
      </c>
      <c r="AA873" s="158" t="e">
        <v>#VALUE!</v>
      </c>
      <c r="AB873" s="171" t="str">
        <v/>
      </c>
      <c r="AC873" s="158">
        <v>0</v>
      </c>
      <c r="AD873" s="173" t="str">
        <f ca="1">IFERROR(__xludf.DUMMYFUNCTION("""COMPUTED_VALUE"""),"")</f>
        <v/>
      </c>
      <c r="AE873" s="154" t="str">
        <v/>
      </c>
      <c r="AF873" s="154" t="str">
        <v/>
      </c>
    </row>
    <row r="874" spans="1:32" ht="15">
      <c r="A874" s="176"/>
      <c r="B874" s="145"/>
      <c r="C874" s="169"/>
      <c r="D874" s="145"/>
      <c r="E874" s="145"/>
      <c r="F874" s="169" t="e">
        <v>#VALUE!</v>
      </c>
      <c r="G874" s="145"/>
      <c r="H874" s="145"/>
      <c r="I874" s="145"/>
      <c r="J874" s="145"/>
      <c r="K874" s="145"/>
      <c r="L874" s="145"/>
      <c r="M874" s="145"/>
      <c r="N874" s="145"/>
      <c r="O874" s="174"/>
      <c r="P874" s="174"/>
      <c r="Q874" s="158" t="str">
        <v/>
      </c>
      <c r="R874" s="158" t="str">
        <v/>
      </c>
      <c r="S874" s="158" t="str">
        <v/>
      </c>
      <c r="T874" s="158" t="str">
        <v/>
      </c>
      <c r="U874" s="158" t="str">
        <v/>
      </c>
      <c r="V874" s="158" t="str">
        <v/>
      </c>
      <c r="W874" s="158" t="str">
        <v/>
      </c>
      <c r="X874" s="158" t="str">
        <v/>
      </c>
      <c r="Y874" s="158" t="str">
        <v/>
      </c>
      <c r="Z874" s="158" t="str">
        <v/>
      </c>
      <c r="AA874" s="158" t="e">
        <v>#VALUE!</v>
      </c>
      <c r="AB874" s="171" t="str">
        <v/>
      </c>
      <c r="AC874" s="158">
        <v>0</v>
      </c>
      <c r="AD874" s="173" t="str">
        <f ca="1">IFERROR(__xludf.DUMMYFUNCTION("""COMPUTED_VALUE"""),"")</f>
        <v/>
      </c>
      <c r="AE874" s="154" t="str">
        <v/>
      </c>
      <c r="AF874" s="154" t="str">
        <v/>
      </c>
    </row>
    <row r="875" spans="1:32" ht="15">
      <c r="A875" s="176"/>
      <c r="B875" s="145"/>
      <c r="C875" s="169"/>
      <c r="D875" s="145"/>
      <c r="E875" s="145"/>
      <c r="F875" s="169" t="e">
        <v>#VALUE!</v>
      </c>
      <c r="G875" s="145"/>
      <c r="H875" s="145"/>
      <c r="I875" s="145"/>
      <c r="J875" s="145"/>
      <c r="K875" s="145"/>
      <c r="L875" s="145"/>
      <c r="M875" s="145"/>
      <c r="N875" s="145"/>
      <c r="O875" s="174"/>
      <c r="P875" s="174"/>
      <c r="Q875" s="158" t="str">
        <v/>
      </c>
      <c r="R875" s="158" t="str">
        <v/>
      </c>
      <c r="S875" s="158" t="str">
        <v/>
      </c>
      <c r="T875" s="158" t="str">
        <v/>
      </c>
      <c r="U875" s="158" t="str">
        <v/>
      </c>
      <c r="V875" s="158" t="str">
        <v/>
      </c>
      <c r="W875" s="158" t="str">
        <v/>
      </c>
      <c r="X875" s="158" t="str">
        <v/>
      </c>
      <c r="Y875" s="158" t="str">
        <v/>
      </c>
      <c r="Z875" s="158" t="str">
        <v/>
      </c>
      <c r="AA875" s="158" t="e">
        <v>#VALUE!</v>
      </c>
      <c r="AB875" s="171" t="str">
        <v/>
      </c>
      <c r="AC875" s="158">
        <v>0</v>
      </c>
      <c r="AD875" s="173" t="str">
        <f ca="1">IFERROR(__xludf.DUMMYFUNCTION("""COMPUTED_VALUE"""),"")</f>
        <v/>
      </c>
      <c r="AE875" s="154" t="str">
        <v/>
      </c>
      <c r="AF875" s="154" t="str">
        <v/>
      </c>
    </row>
    <row r="876" spans="1:32" ht="15">
      <c r="A876" s="176"/>
      <c r="B876" s="145"/>
      <c r="C876" s="169"/>
      <c r="D876" s="145"/>
      <c r="E876" s="145"/>
      <c r="F876" s="169" t="e">
        <v>#VALUE!</v>
      </c>
      <c r="G876" s="145"/>
      <c r="H876" s="145"/>
      <c r="I876" s="145"/>
      <c r="J876" s="145"/>
      <c r="K876" s="145"/>
      <c r="L876" s="145"/>
      <c r="M876" s="145"/>
      <c r="N876" s="145"/>
      <c r="O876" s="174"/>
      <c r="P876" s="174"/>
      <c r="Q876" s="158" t="str">
        <v/>
      </c>
      <c r="R876" s="158" t="str">
        <v/>
      </c>
      <c r="S876" s="158" t="str">
        <v/>
      </c>
      <c r="T876" s="158" t="str">
        <v/>
      </c>
      <c r="U876" s="158" t="str">
        <v/>
      </c>
      <c r="V876" s="158" t="str">
        <v/>
      </c>
      <c r="W876" s="158" t="str">
        <v/>
      </c>
      <c r="X876" s="158" t="str">
        <v/>
      </c>
      <c r="Y876" s="158" t="str">
        <v/>
      </c>
      <c r="Z876" s="158" t="str">
        <v/>
      </c>
      <c r="AA876" s="158" t="e">
        <v>#VALUE!</v>
      </c>
      <c r="AB876" s="171" t="str">
        <v/>
      </c>
      <c r="AC876" s="158">
        <v>0</v>
      </c>
      <c r="AD876" s="173" t="str">
        <f ca="1">IFERROR(__xludf.DUMMYFUNCTION("""COMPUTED_VALUE"""),"")</f>
        <v/>
      </c>
      <c r="AE876" s="154" t="str">
        <v/>
      </c>
      <c r="AF876" s="154" t="str">
        <v/>
      </c>
    </row>
    <row r="877" spans="1:32" ht="15">
      <c r="A877" s="176"/>
      <c r="B877" s="145"/>
      <c r="C877" s="169"/>
      <c r="D877" s="145"/>
      <c r="E877" s="145"/>
      <c r="F877" s="169" t="e">
        <v>#VALUE!</v>
      </c>
      <c r="G877" s="145"/>
      <c r="H877" s="145"/>
      <c r="I877" s="145"/>
      <c r="J877" s="145"/>
      <c r="K877" s="145"/>
      <c r="L877" s="145"/>
      <c r="M877" s="145"/>
      <c r="N877" s="145"/>
      <c r="O877" s="174"/>
      <c r="P877" s="174"/>
      <c r="Q877" s="158" t="str">
        <v/>
      </c>
      <c r="R877" s="158" t="str">
        <v/>
      </c>
      <c r="S877" s="158" t="str">
        <v/>
      </c>
      <c r="T877" s="158" t="str">
        <v/>
      </c>
      <c r="U877" s="158" t="str">
        <v/>
      </c>
      <c r="V877" s="158" t="str">
        <v/>
      </c>
      <c r="W877" s="158" t="str">
        <v/>
      </c>
      <c r="X877" s="158" t="str">
        <v/>
      </c>
      <c r="Y877" s="158" t="str">
        <v/>
      </c>
      <c r="Z877" s="158" t="str">
        <v/>
      </c>
      <c r="AA877" s="158" t="e">
        <v>#VALUE!</v>
      </c>
      <c r="AB877" s="171" t="str">
        <v/>
      </c>
      <c r="AC877" s="158">
        <v>0</v>
      </c>
      <c r="AD877" s="173" t="str">
        <f ca="1">IFERROR(__xludf.DUMMYFUNCTION("""COMPUTED_VALUE"""),"")</f>
        <v/>
      </c>
      <c r="AE877" s="154" t="str">
        <v/>
      </c>
      <c r="AF877" s="154" t="str">
        <v/>
      </c>
    </row>
    <row r="878" spans="1:32" ht="15">
      <c r="A878" s="176"/>
      <c r="B878" s="145"/>
      <c r="C878" s="169"/>
      <c r="D878" s="145"/>
      <c r="E878" s="145"/>
      <c r="F878" s="169" t="e">
        <v>#VALUE!</v>
      </c>
      <c r="G878" s="145"/>
      <c r="H878" s="145"/>
      <c r="I878" s="145"/>
      <c r="J878" s="145"/>
      <c r="K878" s="145"/>
      <c r="L878" s="145"/>
      <c r="M878" s="145"/>
      <c r="N878" s="145"/>
      <c r="O878" s="174"/>
      <c r="P878" s="174"/>
      <c r="Q878" s="158" t="str">
        <v/>
      </c>
      <c r="R878" s="158" t="str">
        <v/>
      </c>
      <c r="S878" s="158" t="str">
        <v/>
      </c>
      <c r="T878" s="158" t="str">
        <v/>
      </c>
      <c r="U878" s="158" t="str">
        <v/>
      </c>
      <c r="V878" s="158" t="str">
        <v/>
      </c>
      <c r="W878" s="158" t="str">
        <v/>
      </c>
      <c r="X878" s="158" t="str">
        <v/>
      </c>
      <c r="Y878" s="158" t="str">
        <v/>
      </c>
      <c r="Z878" s="158" t="str">
        <v/>
      </c>
      <c r="AA878" s="158" t="e">
        <v>#VALUE!</v>
      </c>
      <c r="AB878" s="171" t="str">
        <v/>
      </c>
      <c r="AC878" s="158">
        <v>0</v>
      </c>
      <c r="AD878" s="173" t="str">
        <f ca="1">IFERROR(__xludf.DUMMYFUNCTION("""COMPUTED_VALUE"""),"")</f>
        <v/>
      </c>
      <c r="AE878" s="154" t="str">
        <v/>
      </c>
      <c r="AF878" s="154" t="str">
        <v/>
      </c>
    </row>
    <row r="879" spans="1:32" ht="15">
      <c r="A879" s="176"/>
      <c r="B879" s="145"/>
      <c r="C879" s="169"/>
      <c r="D879" s="145"/>
      <c r="E879" s="145"/>
      <c r="F879" s="169" t="e">
        <v>#VALUE!</v>
      </c>
      <c r="G879" s="145"/>
      <c r="H879" s="145"/>
      <c r="I879" s="145"/>
      <c r="J879" s="145"/>
      <c r="K879" s="145"/>
      <c r="L879" s="145"/>
      <c r="M879" s="145"/>
      <c r="N879" s="145"/>
      <c r="O879" s="174"/>
      <c r="P879" s="174"/>
      <c r="Q879" s="158" t="str">
        <v/>
      </c>
      <c r="R879" s="158" t="str">
        <v/>
      </c>
      <c r="S879" s="158" t="str">
        <v/>
      </c>
      <c r="T879" s="158" t="str">
        <v/>
      </c>
      <c r="U879" s="158" t="str">
        <v/>
      </c>
      <c r="V879" s="158" t="str">
        <v/>
      </c>
      <c r="W879" s="158" t="str">
        <v/>
      </c>
      <c r="X879" s="158" t="str">
        <v/>
      </c>
      <c r="Y879" s="158" t="str">
        <v/>
      </c>
      <c r="Z879" s="158" t="str">
        <v/>
      </c>
      <c r="AA879" s="158" t="e">
        <v>#VALUE!</v>
      </c>
      <c r="AB879" s="171" t="str">
        <v/>
      </c>
      <c r="AC879" s="158">
        <v>0</v>
      </c>
      <c r="AD879" s="173" t="str">
        <f ca="1">IFERROR(__xludf.DUMMYFUNCTION("""COMPUTED_VALUE"""),"")</f>
        <v/>
      </c>
      <c r="AE879" s="154" t="str">
        <v/>
      </c>
      <c r="AF879" s="154" t="str">
        <v/>
      </c>
    </row>
    <row r="880" spans="1:32" ht="15">
      <c r="A880" s="176"/>
      <c r="B880" s="145"/>
      <c r="C880" s="169"/>
      <c r="D880" s="145"/>
      <c r="E880" s="145"/>
      <c r="F880" s="169" t="e">
        <v>#VALUE!</v>
      </c>
      <c r="G880" s="145"/>
      <c r="H880" s="145"/>
      <c r="I880" s="145"/>
      <c r="J880" s="145"/>
      <c r="K880" s="145"/>
      <c r="L880" s="145"/>
      <c r="M880" s="145"/>
      <c r="N880" s="145"/>
      <c r="O880" s="174"/>
      <c r="P880" s="174"/>
      <c r="Q880" s="158" t="str">
        <v/>
      </c>
      <c r="R880" s="158" t="str">
        <v/>
      </c>
      <c r="S880" s="158" t="str">
        <v/>
      </c>
      <c r="T880" s="158" t="str">
        <v/>
      </c>
      <c r="U880" s="158" t="str">
        <v/>
      </c>
      <c r="V880" s="158" t="str">
        <v/>
      </c>
      <c r="W880" s="158" t="str">
        <v/>
      </c>
      <c r="X880" s="158" t="str">
        <v/>
      </c>
      <c r="Y880" s="158" t="str">
        <v/>
      </c>
      <c r="Z880" s="158" t="str">
        <v/>
      </c>
      <c r="AA880" s="158" t="e">
        <v>#VALUE!</v>
      </c>
      <c r="AB880" s="171" t="str">
        <v/>
      </c>
      <c r="AC880" s="158">
        <v>0</v>
      </c>
      <c r="AD880" s="173" t="str">
        <f ca="1">IFERROR(__xludf.DUMMYFUNCTION("""COMPUTED_VALUE"""),"")</f>
        <v/>
      </c>
      <c r="AE880" s="154" t="str">
        <v/>
      </c>
      <c r="AF880" s="154" t="str">
        <v/>
      </c>
    </row>
    <row r="881" spans="1:32" ht="15">
      <c r="A881" s="176"/>
      <c r="B881" s="145"/>
      <c r="C881" s="169"/>
      <c r="D881" s="145"/>
      <c r="E881" s="145"/>
      <c r="F881" s="169" t="e">
        <v>#VALUE!</v>
      </c>
      <c r="G881" s="145"/>
      <c r="H881" s="145"/>
      <c r="I881" s="145"/>
      <c r="J881" s="145"/>
      <c r="K881" s="145"/>
      <c r="L881" s="145"/>
      <c r="M881" s="145"/>
      <c r="N881" s="145"/>
      <c r="O881" s="174"/>
      <c r="P881" s="174"/>
      <c r="Q881" s="158" t="str">
        <v/>
      </c>
      <c r="R881" s="158" t="str">
        <v/>
      </c>
      <c r="S881" s="158" t="str">
        <v/>
      </c>
      <c r="T881" s="158" t="str">
        <v/>
      </c>
      <c r="U881" s="158" t="str">
        <v/>
      </c>
      <c r="V881" s="158" t="str">
        <v/>
      </c>
      <c r="W881" s="158" t="str">
        <v/>
      </c>
      <c r="X881" s="158" t="str">
        <v/>
      </c>
      <c r="Y881" s="158" t="str">
        <v/>
      </c>
      <c r="Z881" s="158" t="str">
        <v/>
      </c>
      <c r="AA881" s="158" t="e">
        <v>#VALUE!</v>
      </c>
      <c r="AB881" s="171" t="str">
        <v/>
      </c>
      <c r="AC881" s="158">
        <v>0</v>
      </c>
      <c r="AD881" s="173" t="str">
        <f ca="1">IFERROR(__xludf.DUMMYFUNCTION("""COMPUTED_VALUE"""),"")</f>
        <v/>
      </c>
      <c r="AE881" s="154" t="str">
        <v/>
      </c>
      <c r="AF881" s="154" t="str">
        <v/>
      </c>
    </row>
    <row r="882" spans="1:32" ht="15">
      <c r="A882" s="176"/>
      <c r="B882" s="145"/>
      <c r="C882" s="169"/>
      <c r="D882" s="145"/>
      <c r="E882" s="145"/>
      <c r="F882" s="169" t="e">
        <v>#VALUE!</v>
      </c>
      <c r="G882" s="145"/>
      <c r="H882" s="145"/>
      <c r="I882" s="145"/>
      <c r="J882" s="145"/>
      <c r="K882" s="145"/>
      <c r="L882" s="145"/>
      <c r="M882" s="145"/>
      <c r="N882" s="145"/>
      <c r="O882" s="174"/>
      <c r="P882" s="174"/>
      <c r="Q882" s="158" t="str">
        <v/>
      </c>
      <c r="R882" s="158" t="str">
        <v/>
      </c>
      <c r="S882" s="158" t="str">
        <v/>
      </c>
      <c r="T882" s="158" t="str">
        <v/>
      </c>
      <c r="U882" s="158" t="str">
        <v/>
      </c>
      <c r="V882" s="158" t="str">
        <v/>
      </c>
      <c r="W882" s="158" t="str">
        <v/>
      </c>
      <c r="X882" s="158" t="str">
        <v/>
      </c>
      <c r="Y882" s="158" t="str">
        <v/>
      </c>
      <c r="Z882" s="158" t="str">
        <v/>
      </c>
      <c r="AA882" s="158" t="e">
        <v>#VALUE!</v>
      </c>
      <c r="AB882" s="171" t="str">
        <v/>
      </c>
      <c r="AC882" s="158">
        <v>0</v>
      </c>
      <c r="AD882" s="173" t="str">
        <f ca="1">IFERROR(__xludf.DUMMYFUNCTION("""COMPUTED_VALUE"""),"")</f>
        <v/>
      </c>
      <c r="AE882" s="154" t="str">
        <v/>
      </c>
      <c r="AF882" s="154" t="str">
        <v/>
      </c>
    </row>
    <row r="883" spans="1:32" ht="15">
      <c r="A883" s="176"/>
      <c r="B883" s="145"/>
      <c r="C883" s="169"/>
      <c r="D883" s="145"/>
      <c r="E883" s="145"/>
      <c r="F883" s="169" t="e">
        <v>#VALUE!</v>
      </c>
      <c r="G883" s="145"/>
      <c r="H883" s="145"/>
      <c r="I883" s="145"/>
      <c r="J883" s="145"/>
      <c r="K883" s="145"/>
      <c r="L883" s="145"/>
      <c r="M883" s="145"/>
      <c r="N883" s="145"/>
      <c r="O883" s="174"/>
      <c r="P883" s="174"/>
      <c r="Q883" s="158" t="str">
        <v/>
      </c>
      <c r="R883" s="158" t="str">
        <v/>
      </c>
      <c r="S883" s="158" t="str">
        <v/>
      </c>
      <c r="T883" s="158" t="str">
        <v/>
      </c>
      <c r="U883" s="158" t="str">
        <v/>
      </c>
      <c r="V883" s="158" t="str">
        <v/>
      </c>
      <c r="W883" s="158" t="str">
        <v/>
      </c>
      <c r="X883" s="158" t="str">
        <v/>
      </c>
      <c r="Y883" s="158" t="str">
        <v/>
      </c>
      <c r="Z883" s="158" t="str">
        <v/>
      </c>
      <c r="AA883" s="158" t="e">
        <v>#VALUE!</v>
      </c>
      <c r="AB883" s="171" t="str">
        <v/>
      </c>
      <c r="AC883" s="158">
        <v>0</v>
      </c>
      <c r="AD883" s="173" t="str">
        <f ca="1">IFERROR(__xludf.DUMMYFUNCTION("""COMPUTED_VALUE"""),"")</f>
        <v/>
      </c>
      <c r="AE883" s="154" t="str">
        <v/>
      </c>
      <c r="AF883" s="154" t="str">
        <v/>
      </c>
    </row>
    <row r="884" spans="1:32" ht="15">
      <c r="A884" s="176"/>
      <c r="B884" s="145"/>
      <c r="C884" s="169"/>
      <c r="D884" s="145"/>
      <c r="E884" s="145"/>
      <c r="F884" s="169" t="e">
        <v>#VALUE!</v>
      </c>
      <c r="G884" s="145"/>
      <c r="H884" s="145"/>
      <c r="I884" s="145"/>
      <c r="J884" s="145"/>
      <c r="K884" s="145"/>
      <c r="L884" s="145"/>
      <c r="M884" s="145"/>
      <c r="N884" s="145"/>
      <c r="O884" s="174"/>
      <c r="P884" s="174"/>
      <c r="Q884" s="158" t="str">
        <v/>
      </c>
      <c r="R884" s="158" t="str">
        <v/>
      </c>
      <c r="S884" s="158" t="str">
        <v/>
      </c>
      <c r="T884" s="158" t="str">
        <v/>
      </c>
      <c r="U884" s="158" t="str">
        <v/>
      </c>
      <c r="V884" s="158" t="str">
        <v/>
      </c>
      <c r="W884" s="158" t="str">
        <v/>
      </c>
      <c r="X884" s="158" t="str">
        <v/>
      </c>
      <c r="Y884" s="158" t="str">
        <v/>
      </c>
      <c r="Z884" s="158" t="str">
        <v/>
      </c>
      <c r="AA884" s="158" t="e">
        <v>#VALUE!</v>
      </c>
      <c r="AB884" s="171" t="str">
        <v/>
      </c>
      <c r="AC884" s="158">
        <v>0</v>
      </c>
      <c r="AD884" s="173" t="str">
        <f ca="1">IFERROR(__xludf.DUMMYFUNCTION("""COMPUTED_VALUE"""),"")</f>
        <v/>
      </c>
      <c r="AE884" s="154" t="str">
        <v/>
      </c>
      <c r="AF884" s="154" t="str">
        <v/>
      </c>
    </row>
    <row r="885" spans="1:32" ht="15">
      <c r="A885" s="176"/>
      <c r="B885" s="145"/>
      <c r="C885" s="169"/>
      <c r="D885" s="145"/>
      <c r="E885" s="145"/>
      <c r="F885" s="169" t="e">
        <v>#VALUE!</v>
      </c>
      <c r="G885" s="145"/>
      <c r="H885" s="145"/>
      <c r="I885" s="145"/>
      <c r="J885" s="145"/>
      <c r="K885" s="145"/>
      <c r="L885" s="145"/>
      <c r="M885" s="145"/>
      <c r="N885" s="145"/>
      <c r="O885" s="174"/>
      <c r="P885" s="174"/>
      <c r="Q885" s="158" t="str">
        <v/>
      </c>
      <c r="R885" s="158" t="str">
        <v/>
      </c>
      <c r="S885" s="158" t="str">
        <v/>
      </c>
      <c r="T885" s="158" t="str">
        <v/>
      </c>
      <c r="U885" s="158" t="str">
        <v/>
      </c>
      <c r="V885" s="158" t="str">
        <v/>
      </c>
      <c r="W885" s="158" t="str">
        <v/>
      </c>
      <c r="X885" s="158" t="str">
        <v/>
      </c>
      <c r="Y885" s="158" t="str">
        <v/>
      </c>
      <c r="Z885" s="158" t="str">
        <v/>
      </c>
      <c r="AA885" s="158" t="e">
        <v>#VALUE!</v>
      </c>
      <c r="AB885" s="171" t="str">
        <v/>
      </c>
      <c r="AC885" s="158">
        <v>0</v>
      </c>
      <c r="AD885" s="173" t="str">
        <f ca="1">IFERROR(__xludf.DUMMYFUNCTION("""COMPUTED_VALUE"""),"")</f>
        <v/>
      </c>
      <c r="AE885" s="154" t="str">
        <v/>
      </c>
      <c r="AF885" s="154" t="str">
        <v/>
      </c>
    </row>
    <row r="886" spans="1:32" ht="15">
      <c r="A886" s="176"/>
      <c r="B886" s="145"/>
      <c r="C886" s="169"/>
      <c r="D886" s="145"/>
      <c r="E886" s="145"/>
      <c r="F886" s="169" t="e">
        <v>#VALUE!</v>
      </c>
      <c r="G886" s="145"/>
      <c r="H886" s="145"/>
      <c r="I886" s="145"/>
      <c r="J886" s="145"/>
      <c r="K886" s="145"/>
      <c r="L886" s="145"/>
      <c r="M886" s="145"/>
      <c r="N886" s="145"/>
      <c r="O886" s="174"/>
      <c r="P886" s="174"/>
      <c r="Q886" s="158" t="str">
        <v/>
      </c>
      <c r="R886" s="158" t="str">
        <v/>
      </c>
      <c r="S886" s="158" t="str">
        <v/>
      </c>
      <c r="T886" s="158" t="str">
        <v/>
      </c>
      <c r="U886" s="158" t="str">
        <v/>
      </c>
      <c r="V886" s="158" t="str">
        <v/>
      </c>
      <c r="W886" s="158" t="str">
        <v/>
      </c>
      <c r="X886" s="158" t="str">
        <v/>
      </c>
      <c r="Y886" s="158" t="str">
        <v/>
      </c>
      <c r="Z886" s="158" t="str">
        <v/>
      </c>
      <c r="AA886" s="158" t="e">
        <v>#VALUE!</v>
      </c>
      <c r="AB886" s="171" t="str">
        <v/>
      </c>
      <c r="AC886" s="158">
        <v>0</v>
      </c>
      <c r="AD886" s="173" t="str">
        <f ca="1">IFERROR(__xludf.DUMMYFUNCTION("""COMPUTED_VALUE"""),"")</f>
        <v/>
      </c>
      <c r="AE886" s="154" t="str">
        <v/>
      </c>
      <c r="AF886" s="154" t="str">
        <v/>
      </c>
    </row>
    <row r="887" spans="1:32" ht="15">
      <c r="A887" s="176"/>
      <c r="B887" s="145"/>
      <c r="C887" s="169"/>
      <c r="D887" s="145"/>
      <c r="E887" s="145"/>
      <c r="F887" s="169" t="e">
        <v>#VALUE!</v>
      </c>
      <c r="G887" s="145"/>
      <c r="H887" s="145"/>
      <c r="I887" s="145"/>
      <c r="J887" s="145"/>
      <c r="K887" s="145"/>
      <c r="L887" s="145"/>
      <c r="M887" s="145"/>
      <c r="N887" s="145"/>
      <c r="O887" s="174"/>
      <c r="P887" s="174"/>
      <c r="Q887" s="158" t="str">
        <v/>
      </c>
      <c r="R887" s="158" t="str">
        <v/>
      </c>
      <c r="S887" s="158" t="str">
        <v/>
      </c>
      <c r="T887" s="158" t="str">
        <v/>
      </c>
      <c r="U887" s="158" t="str">
        <v/>
      </c>
      <c r="V887" s="158" t="str">
        <v/>
      </c>
      <c r="W887" s="158" t="str">
        <v/>
      </c>
      <c r="X887" s="158" t="str">
        <v/>
      </c>
      <c r="Y887" s="158" t="str">
        <v/>
      </c>
      <c r="Z887" s="158" t="str">
        <v/>
      </c>
      <c r="AA887" s="158" t="e">
        <v>#VALUE!</v>
      </c>
      <c r="AB887" s="171" t="str">
        <v/>
      </c>
      <c r="AC887" s="158">
        <v>0</v>
      </c>
      <c r="AD887" s="173" t="str">
        <f ca="1">IFERROR(__xludf.DUMMYFUNCTION("""COMPUTED_VALUE"""),"")</f>
        <v/>
      </c>
      <c r="AE887" s="154" t="str">
        <v/>
      </c>
      <c r="AF887" s="154" t="str">
        <v/>
      </c>
    </row>
    <row r="888" spans="1:32" ht="15">
      <c r="A888" s="176"/>
      <c r="B888" s="145"/>
      <c r="C888" s="169"/>
      <c r="D888" s="145"/>
      <c r="E888" s="145"/>
      <c r="F888" s="169" t="e">
        <v>#VALUE!</v>
      </c>
      <c r="G888" s="145"/>
      <c r="H888" s="145"/>
      <c r="I888" s="145"/>
      <c r="J888" s="145"/>
      <c r="K888" s="145"/>
      <c r="L888" s="145"/>
      <c r="M888" s="145"/>
      <c r="N888" s="145"/>
      <c r="O888" s="174"/>
      <c r="P888" s="174"/>
      <c r="Q888" s="158" t="str">
        <v/>
      </c>
      <c r="R888" s="158" t="str">
        <v/>
      </c>
      <c r="S888" s="158" t="str">
        <v/>
      </c>
      <c r="T888" s="158" t="str">
        <v/>
      </c>
      <c r="U888" s="158" t="str">
        <v/>
      </c>
      <c r="V888" s="158" t="str">
        <v/>
      </c>
      <c r="W888" s="158" t="str">
        <v/>
      </c>
      <c r="X888" s="158" t="str">
        <v/>
      </c>
      <c r="Y888" s="158" t="str">
        <v/>
      </c>
      <c r="Z888" s="158" t="str">
        <v/>
      </c>
      <c r="AA888" s="158" t="e">
        <v>#VALUE!</v>
      </c>
      <c r="AB888" s="171" t="str">
        <v/>
      </c>
      <c r="AC888" s="158">
        <v>0</v>
      </c>
      <c r="AD888" s="173" t="str">
        <f ca="1">IFERROR(__xludf.DUMMYFUNCTION("""COMPUTED_VALUE"""),"")</f>
        <v/>
      </c>
      <c r="AE888" s="154" t="str">
        <v/>
      </c>
      <c r="AF888" s="154" t="str">
        <v/>
      </c>
    </row>
    <row r="889" spans="1:32" ht="15">
      <c r="A889" s="176"/>
      <c r="B889" s="145"/>
      <c r="C889" s="169"/>
      <c r="D889" s="145"/>
      <c r="E889" s="145"/>
      <c r="F889" s="169" t="e">
        <v>#VALUE!</v>
      </c>
      <c r="G889" s="145"/>
      <c r="H889" s="145"/>
      <c r="I889" s="145"/>
      <c r="J889" s="145"/>
      <c r="K889" s="145"/>
      <c r="L889" s="145"/>
      <c r="M889" s="145"/>
      <c r="N889" s="145"/>
      <c r="O889" s="174"/>
      <c r="P889" s="174"/>
      <c r="Q889" s="158" t="str">
        <v/>
      </c>
      <c r="R889" s="158" t="str">
        <v/>
      </c>
      <c r="S889" s="158" t="str">
        <v/>
      </c>
      <c r="T889" s="158" t="str">
        <v/>
      </c>
      <c r="U889" s="158" t="str">
        <v/>
      </c>
      <c r="V889" s="158" t="str">
        <v/>
      </c>
      <c r="W889" s="158" t="str">
        <v/>
      </c>
      <c r="X889" s="158" t="str">
        <v/>
      </c>
      <c r="Y889" s="158" t="str">
        <v/>
      </c>
      <c r="Z889" s="158" t="str">
        <v/>
      </c>
      <c r="AA889" s="158" t="e">
        <v>#VALUE!</v>
      </c>
      <c r="AB889" s="171" t="str">
        <v/>
      </c>
      <c r="AC889" s="158">
        <v>0</v>
      </c>
      <c r="AD889" s="173" t="str">
        <f ca="1">IFERROR(__xludf.DUMMYFUNCTION("""COMPUTED_VALUE"""),"")</f>
        <v/>
      </c>
      <c r="AE889" s="154" t="str">
        <v/>
      </c>
      <c r="AF889" s="154" t="str">
        <v/>
      </c>
    </row>
    <row r="890" spans="1:32" ht="15">
      <c r="A890" s="176"/>
      <c r="B890" s="145"/>
      <c r="C890" s="169"/>
      <c r="D890" s="145"/>
      <c r="E890" s="145"/>
      <c r="F890" s="169" t="e">
        <v>#VALUE!</v>
      </c>
      <c r="G890" s="145"/>
      <c r="H890" s="145"/>
      <c r="I890" s="145"/>
      <c r="J890" s="145"/>
      <c r="K890" s="145"/>
      <c r="L890" s="145"/>
      <c r="M890" s="145"/>
      <c r="N890" s="145"/>
      <c r="O890" s="174"/>
      <c r="P890" s="174"/>
      <c r="Q890" s="158" t="str">
        <v/>
      </c>
      <c r="R890" s="158" t="str">
        <v/>
      </c>
      <c r="S890" s="158" t="str">
        <v/>
      </c>
      <c r="T890" s="158" t="str">
        <v/>
      </c>
      <c r="U890" s="158" t="str">
        <v/>
      </c>
      <c r="V890" s="158" t="str">
        <v/>
      </c>
      <c r="W890" s="158" t="str">
        <v/>
      </c>
      <c r="X890" s="158" t="str">
        <v/>
      </c>
      <c r="Y890" s="158" t="str">
        <v/>
      </c>
      <c r="Z890" s="158" t="str">
        <v/>
      </c>
      <c r="AA890" s="158" t="e">
        <v>#VALUE!</v>
      </c>
      <c r="AB890" s="171" t="str">
        <v/>
      </c>
      <c r="AC890" s="158">
        <v>0</v>
      </c>
      <c r="AD890" s="173" t="str">
        <f ca="1">IFERROR(__xludf.DUMMYFUNCTION("""COMPUTED_VALUE"""),"")</f>
        <v/>
      </c>
      <c r="AE890" s="154" t="str">
        <v/>
      </c>
      <c r="AF890" s="154" t="str">
        <v/>
      </c>
    </row>
    <row r="891" spans="1:32" ht="15">
      <c r="A891" s="176"/>
      <c r="B891" s="145"/>
      <c r="C891" s="169"/>
      <c r="D891" s="145"/>
      <c r="E891" s="145"/>
      <c r="F891" s="169" t="e">
        <v>#VALUE!</v>
      </c>
      <c r="G891" s="145"/>
      <c r="H891" s="145"/>
      <c r="I891" s="145"/>
      <c r="J891" s="145"/>
      <c r="K891" s="145"/>
      <c r="L891" s="145"/>
      <c r="M891" s="145"/>
      <c r="N891" s="145"/>
      <c r="O891" s="174"/>
      <c r="P891" s="174"/>
      <c r="Q891" s="158" t="str">
        <v/>
      </c>
      <c r="R891" s="158" t="str">
        <v/>
      </c>
      <c r="S891" s="158" t="str">
        <v/>
      </c>
      <c r="T891" s="158" t="str">
        <v/>
      </c>
      <c r="U891" s="158" t="str">
        <v/>
      </c>
      <c r="V891" s="158" t="str">
        <v/>
      </c>
      <c r="W891" s="158" t="str">
        <v/>
      </c>
      <c r="X891" s="158" t="str">
        <v/>
      </c>
      <c r="Y891" s="158" t="str">
        <v/>
      </c>
      <c r="Z891" s="158" t="str">
        <v/>
      </c>
      <c r="AA891" s="158" t="e">
        <v>#VALUE!</v>
      </c>
      <c r="AB891" s="171" t="str">
        <v/>
      </c>
      <c r="AC891" s="158">
        <v>0</v>
      </c>
      <c r="AD891" s="173" t="str">
        <f ca="1">IFERROR(__xludf.DUMMYFUNCTION("""COMPUTED_VALUE"""),"")</f>
        <v/>
      </c>
      <c r="AE891" s="154" t="str">
        <v/>
      </c>
      <c r="AF891" s="154" t="str">
        <v/>
      </c>
    </row>
    <row r="892" spans="1:32" ht="15">
      <c r="A892" s="176"/>
      <c r="B892" s="145"/>
      <c r="C892" s="169"/>
      <c r="D892" s="145"/>
      <c r="E892" s="145"/>
      <c r="F892" s="169" t="e">
        <v>#VALUE!</v>
      </c>
      <c r="G892" s="145"/>
      <c r="H892" s="145"/>
      <c r="I892" s="145"/>
      <c r="J892" s="145"/>
      <c r="K892" s="145"/>
      <c r="L892" s="145"/>
      <c r="M892" s="145"/>
      <c r="N892" s="145"/>
      <c r="O892" s="174"/>
      <c r="P892" s="174"/>
      <c r="Q892" s="158" t="str">
        <v/>
      </c>
      <c r="R892" s="158" t="str">
        <v/>
      </c>
      <c r="S892" s="158" t="str">
        <v/>
      </c>
      <c r="T892" s="158" t="str">
        <v/>
      </c>
      <c r="U892" s="158" t="str">
        <v/>
      </c>
      <c r="V892" s="158" t="str">
        <v/>
      </c>
      <c r="W892" s="158" t="str">
        <v/>
      </c>
      <c r="X892" s="158" t="str">
        <v/>
      </c>
      <c r="Y892" s="158" t="str">
        <v/>
      </c>
      <c r="Z892" s="158" t="str">
        <v/>
      </c>
      <c r="AA892" s="158" t="e">
        <v>#VALUE!</v>
      </c>
      <c r="AB892" s="171" t="str">
        <v/>
      </c>
      <c r="AC892" s="158">
        <v>0</v>
      </c>
      <c r="AD892" s="173" t="str">
        <f ca="1">IFERROR(__xludf.DUMMYFUNCTION("""COMPUTED_VALUE"""),"")</f>
        <v/>
      </c>
      <c r="AE892" s="154" t="str">
        <v/>
      </c>
      <c r="AF892" s="154" t="str">
        <v/>
      </c>
    </row>
    <row r="893" spans="1:32" ht="15">
      <c r="A893" s="176"/>
      <c r="B893" s="145"/>
      <c r="C893" s="169"/>
      <c r="D893" s="145"/>
      <c r="E893" s="145"/>
      <c r="F893" s="169" t="e">
        <v>#VALUE!</v>
      </c>
      <c r="G893" s="145"/>
      <c r="H893" s="145"/>
      <c r="I893" s="145"/>
      <c r="J893" s="145"/>
      <c r="K893" s="145"/>
      <c r="L893" s="145"/>
      <c r="M893" s="145"/>
      <c r="N893" s="145"/>
      <c r="O893" s="174"/>
      <c r="P893" s="174"/>
      <c r="Q893" s="158" t="str">
        <v/>
      </c>
      <c r="R893" s="158" t="str">
        <v/>
      </c>
      <c r="S893" s="158" t="str">
        <v/>
      </c>
      <c r="T893" s="158" t="str">
        <v/>
      </c>
      <c r="U893" s="158" t="str">
        <v/>
      </c>
      <c r="V893" s="158" t="str">
        <v/>
      </c>
      <c r="W893" s="158" t="str">
        <v/>
      </c>
      <c r="X893" s="158" t="str">
        <v/>
      </c>
      <c r="Y893" s="158" t="str">
        <v/>
      </c>
      <c r="Z893" s="158" t="str">
        <v/>
      </c>
      <c r="AA893" s="158" t="e">
        <v>#VALUE!</v>
      </c>
      <c r="AB893" s="171" t="str">
        <v/>
      </c>
      <c r="AC893" s="158">
        <v>0</v>
      </c>
      <c r="AD893" s="173" t="str">
        <f ca="1">IFERROR(__xludf.DUMMYFUNCTION("""COMPUTED_VALUE"""),"")</f>
        <v/>
      </c>
      <c r="AE893" s="154" t="str">
        <v/>
      </c>
      <c r="AF893" s="154" t="str">
        <v/>
      </c>
    </row>
    <row r="894" spans="1:32" ht="15">
      <c r="A894" s="176"/>
      <c r="B894" s="145"/>
      <c r="C894" s="169"/>
      <c r="D894" s="145"/>
      <c r="E894" s="145"/>
      <c r="F894" s="169" t="e">
        <v>#VALUE!</v>
      </c>
      <c r="G894" s="145"/>
      <c r="H894" s="145"/>
      <c r="I894" s="145"/>
      <c r="J894" s="145"/>
      <c r="K894" s="145"/>
      <c r="L894" s="145"/>
      <c r="M894" s="145"/>
      <c r="N894" s="145"/>
      <c r="O894" s="174"/>
      <c r="P894" s="174"/>
      <c r="Q894" s="158" t="str">
        <v/>
      </c>
      <c r="R894" s="158" t="str">
        <v/>
      </c>
      <c r="S894" s="158" t="str">
        <v/>
      </c>
      <c r="T894" s="158" t="str">
        <v/>
      </c>
      <c r="U894" s="158" t="str">
        <v/>
      </c>
      <c r="V894" s="158" t="str">
        <v/>
      </c>
      <c r="W894" s="158" t="str">
        <v/>
      </c>
      <c r="X894" s="158" t="str">
        <v/>
      </c>
      <c r="Y894" s="158" t="str">
        <v/>
      </c>
      <c r="Z894" s="158" t="str">
        <v/>
      </c>
      <c r="AA894" s="158" t="e">
        <v>#VALUE!</v>
      </c>
      <c r="AB894" s="171" t="str">
        <v/>
      </c>
      <c r="AC894" s="158">
        <v>0</v>
      </c>
      <c r="AD894" s="173" t="str">
        <f ca="1">IFERROR(__xludf.DUMMYFUNCTION("""COMPUTED_VALUE"""),"")</f>
        <v/>
      </c>
      <c r="AE894" s="154" t="str">
        <v/>
      </c>
      <c r="AF894" s="154" t="str">
        <v/>
      </c>
    </row>
    <row r="895" spans="1:32" ht="15">
      <c r="A895" s="176"/>
      <c r="B895" s="145"/>
      <c r="C895" s="169"/>
      <c r="D895" s="145"/>
      <c r="E895" s="145"/>
      <c r="F895" s="169" t="e">
        <v>#VALUE!</v>
      </c>
      <c r="G895" s="145"/>
      <c r="H895" s="145"/>
      <c r="I895" s="145"/>
      <c r="J895" s="145"/>
      <c r="K895" s="145"/>
      <c r="L895" s="145"/>
      <c r="M895" s="145"/>
      <c r="N895" s="145"/>
      <c r="O895" s="174"/>
      <c r="P895" s="174"/>
      <c r="Q895" s="158" t="str">
        <v/>
      </c>
      <c r="R895" s="158" t="str">
        <v/>
      </c>
      <c r="S895" s="158" t="str">
        <v/>
      </c>
      <c r="T895" s="158" t="str">
        <v/>
      </c>
      <c r="U895" s="158" t="str">
        <v/>
      </c>
      <c r="V895" s="158" t="str">
        <v/>
      </c>
      <c r="W895" s="158" t="str">
        <v/>
      </c>
      <c r="X895" s="158" t="str">
        <v/>
      </c>
      <c r="Y895" s="158" t="str">
        <v/>
      </c>
      <c r="Z895" s="158" t="str">
        <v/>
      </c>
      <c r="AA895" s="158" t="e">
        <v>#VALUE!</v>
      </c>
      <c r="AB895" s="171" t="str">
        <v/>
      </c>
      <c r="AC895" s="158">
        <v>0</v>
      </c>
      <c r="AD895" s="173" t="str">
        <f ca="1">IFERROR(__xludf.DUMMYFUNCTION("""COMPUTED_VALUE"""),"")</f>
        <v/>
      </c>
      <c r="AE895" s="154" t="str">
        <v/>
      </c>
      <c r="AF895" s="154" t="str">
        <v/>
      </c>
    </row>
    <row r="896" spans="1:32" ht="15">
      <c r="A896" s="176"/>
      <c r="B896" s="145"/>
      <c r="C896" s="169"/>
      <c r="D896" s="145"/>
      <c r="E896" s="145"/>
      <c r="F896" s="169" t="e">
        <v>#VALUE!</v>
      </c>
      <c r="G896" s="145"/>
      <c r="H896" s="145"/>
      <c r="I896" s="145"/>
      <c r="J896" s="145"/>
      <c r="K896" s="145"/>
      <c r="L896" s="145"/>
      <c r="M896" s="145"/>
      <c r="N896" s="145"/>
      <c r="O896" s="174"/>
      <c r="P896" s="174"/>
      <c r="Q896" s="158" t="str">
        <v/>
      </c>
      <c r="R896" s="158" t="str">
        <v/>
      </c>
      <c r="S896" s="158" t="str">
        <v/>
      </c>
      <c r="T896" s="158" t="str">
        <v/>
      </c>
      <c r="U896" s="158" t="str">
        <v/>
      </c>
      <c r="V896" s="158" t="str">
        <v/>
      </c>
      <c r="W896" s="158" t="str">
        <v/>
      </c>
      <c r="X896" s="158" t="str">
        <v/>
      </c>
      <c r="Y896" s="158" t="str">
        <v/>
      </c>
      <c r="Z896" s="158" t="str">
        <v/>
      </c>
      <c r="AA896" s="158" t="e">
        <v>#VALUE!</v>
      </c>
      <c r="AB896" s="171" t="str">
        <v/>
      </c>
      <c r="AC896" s="158">
        <v>0</v>
      </c>
      <c r="AD896" s="173" t="str">
        <f ca="1">IFERROR(__xludf.DUMMYFUNCTION("""COMPUTED_VALUE"""),"")</f>
        <v/>
      </c>
      <c r="AE896" s="154" t="str">
        <v/>
      </c>
      <c r="AF896" s="154" t="str">
        <v/>
      </c>
    </row>
    <row r="897" spans="1:32" ht="15">
      <c r="A897" s="176"/>
      <c r="B897" s="145"/>
      <c r="C897" s="169"/>
      <c r="D897" s="145"/>
      <c r="E897" s="145"/>
      <c r="F897" s="169" t="e">
        <v>#VALUE!</v>
      </c>
      <c r="G897" s="145"/>
      <c r="H897" s="145"/>
      <c r="I897" s="145"/>
      <c r="J897" s="145"/>
      <c r="K897" s="145"/>
      <c r="L897" s="145"/>
      <c r="M897" s="145"/>
      <c r="N897" s="145"/>
      <c r="O897" s="174"/>
      <c r="P897" s="174"/>
      <c r="Q897" s="158" t="str">
        <v/>
      </c>
      <c r="R897" s="158" t="str">
        <v/>
      </c>
      <c r="S897" s="158" t="str">
        <v/>
      </c>
      <c r="T897" s="158" t="str">
        <v/>
      </c>
      <c r="U897" s="158" t="str">
        <v/>
      </c>
      <c r="V897" s="158" t="str">
        <v/>
      </c>
      <c r="W897" s="158" t="str">
        <v/>
      </c>
      <c r="X897" s="158" t="str">
        <v/>
      </c>
      <c r="Y897" s="158" t="str">
        <v/>
      </c>
      <c r="Z897" s="158" t="str">
        <v/>
      </c>
      <c r="AA897" s="158" t="e">
        <v>#VALUE!</v>
      </c>
      <c r="AB897" s="171" t="str">
        <v/>
      </c>
      <c r="AC897" s="158">
        <v>0</v>
      </c>
      <c r="AD897" s="173" t="str">
        <f ca="1">IFERROR(__xludf.DUMMYFUNCTION("""COMPUTED_VALUE"""),"")</f>
        <v/>
      </c>
      <c r="AE897" s="154" t="str">
        <v/>
      </c>
      <c r="AF897" s="154" t="str">
        <v/>
      </c>
    </row>
    <row r="898" spans="1:32" ht="15">
      <c r="A898" s="176"/>
      <c r="B898" s="145"/>
      <c r="C898" s="169"/>
      <c r="D898" s="145"/>
      <c r="E898" s="145"/>
      <c r="F898" s="169" t="e">
        <v>#VALUE!</v>
      </c>
      <c r="G898" s="145"/>
      <c r="H898" s="145"/>
      <c r="I898" s="145"/>
      <c r="J898" s="145"/>
      <c r="K898" s="145"/>
      <c r="L898" s="145"/>
      <c r="M898" s="145"/>
      <c r="N898" s="145"/>
      <c r="O898" s="174"/>
      <c r="P898" s="174"/>
      <c r="Q898" s="158" t="str">
        <v/>
      </c>
      <c r="R898" s="158" t="str">
        <v/>
      </c>
      <c r="S898" s="158" t="str">
        <v/>
      </c>
      <c r="T898" s="158" t="str">
        <v/>
      </c>
      <c r="U898" s="158" t="str">
        <v/>
      </c>
      <c r="V898" s="158" t="str">
        <v/>
      </c>
      <c r="W898" s="158" t="str">
        <v/>
      </c>
      <c r="X898" s="158" t="str">
        <v/>
      </c>
      <c r="Y898" s="158" t="str">
        <v/>
      </c>
      <c r="Z898" s="158" t="str">
        <v/>
      </c>
      <c r="AA898" s="158" t="e">
        <v>#VALUE!</v>
      </c>
      <c r="AB898" s="171" t="str">
        <v/>
      </c>
      <c r="AC898" s="158">
        <v>0</v>
      </c>
      <c r="AD898" s="173" t="str">
        <f ca="1">IFERROR(__xludf.DUMMYFUNCTION("""COMPUTED_VALUE"""),"")</f>
        <v/>
      </c>
      <c r="AE898" s="154" t="str">
        <v/>
      </c>
      <c r="AF898" s="154" t="str">
        <v/>
      </c>
    </row>
    <row r="899" spans="1:32" ht="15">
      <c r="A899" s="176"/>
      <c r="B899" s="145"/>
      <c r="C899" s="169"/>
      <c r="D899" s="145"/>
      <c r="E899" s="145"/>
      <c r="F899" s="169" t="e">
        <v>#VALUE!</v>
      </c>
      <c r="G899" s="145"/>
      <c r="H899" s="145"/>
      <c r="I899" s="145"/>
      <c r="J899" s="145"/>
      <c r="K899" s="145"/>
      <c r="L899" s="145"/>
      <c r="M899" s="145"/>
      <c r="N899" s="145"/>
      <c r="O899" s="174"/>
      <c r="P899" s="174"/>
      <c r="Q899" s="158" t="str">
        <v/>
      </c>
      <c r="R899" s="158" t="str">
        <v/>
      </c>
      <c r="S899" s="158" t="str">
        <v/>
      </c>
      <c r="T899" s="158" t="str">
        <v/>
      </c>
      <c r="U899" s="158" t="str">
        <v/>
      </c>
      <c r="V899" s="158" t="str">
        <v/>
      </c>
      <c r="W899" s="158" t="str">
        <v/>
      </c>
      <c r="X899" s="158" t="str">
        <v/>
      </c>
      <c r="Y899" s="158" t="str">
        <v/>
      </c>
      <c r="Z899" s="158" t="str">
        <v/>
      </c>
      <c r="AA899" s="158" t="e">
        <v>#VALUE!</v>
      </c>
      <c r="AB899" s="171" t="str">
        <v/>
      </c>
      <c r="AC899" s="158">
        <v>0</v>
      </c>
      <c r="AD899" s="173" t="str">
        <f ca="1">IFERROR(__xludf.DUMMYFUNCTION("""COMPUTED_VALUE"""),"")</f>
        <v/>
      </c>
      <c r="AE899" s="154" t="str">
        <v/>
      </c>
      <c r="AF899" s="154" t="str">
        <v/>
      </c>
    </row>
    <row r="900" spans="1:32" ht="15">
      <c r="A900" s="176"/>
      <c r="B900" s="145"/>
      <c r="C900" s="169"/>
      <c r="D900" s="145"/>
      <c r="E900" s="145"/>
      <c r="F900" s="169" t="e">
        <v>#VALUE!</v>
      </c>
      <c r="G900" s="145"/>
      <c r="H900" s="145"/>
      <c r="I900" s="145"/>
      <c r="J900" s="145"/>
      <c r="K900" s="145"/>
      <c r="L900" s="145"/>
      <c r="M900" s="145"/>
      <c r="N900" s="145"/>
      <c r="O900" s="174"/>
      <c r="P900" s="174"/>
      <c r="Q900" s="158" t="str">
        <v/>
      </c>
      <c r="R900" s="158" t="str">
        <v/>
      </c>
      <c r="S900" s="158" t="str">
        <v/>
      </c>
      <c r="T900" s="158" t="str">
        <v/>
      </c>
      <c r="U900" s="158" t="str">
        <v/>
      </c>
      <c r="V900" s="158" t="str">
        <v/>
      </c>
      <c r="W900" s="158" t="str">
        <v/>
      </c>
      <c r="X900" s="158" t="str">
        <v/>
      </c>
      <c r="Y900" s="158" t="str">
        <v/>
      </c>
      <c r="Z900" s="158" t="str">
        <v/>
      </c>
      <c r="AA900" s="158" t="e">
        <v>#VALUE!</v>
      </c>
      <c r="AB900" s="171" t="str">
        <v/>
      </c>
      <c r="AC900" s="158">
        <v>0</v>
      </c>
      <c r="AD900" s="173" t="str">
        <f ca="1">IFERROR(__xludf.DUMMYFUNCTION("""COMPUTED_VALUE"""),"")</f>
        <v/>
      </c>
      <c r="AE900" s="154" t="str">
        <v/>
      </c>
      <c r="AF900" s="154" t="str">
        <v/>
      </c>
    </row>
    <row r="901" spans="1:32" ht="15">
      <c r="A901" s="176"/>
      <c r="B901" s="145"/>
      <c r="C901" s="169"/>
      <c r="D901" s="145"/>
      <c r="E901" s="145"/>
      <c r="F901" s="169" t="e">
        <v>#VALUE!</v>
      </c>
      <c r="G901" s="145"/>
      <c r="H901" s="145"/>
      <c r="I901" s="145"/>
      <c r="J901" s="145"/>
      <c r="K901" s="145"/>
      <c r="L901" s="145"/>
      <c r="M901" s="145"/>
      <c r="N901" s="145"/>
      <c r="O901" s="174"/>
      <c r="P901" s="174"/>
      <c r="Q901" s="158" t="str">
        <v/>
      </c>
      <c r="R901" s="158" t="str">
        <v/>
      </c>
      <c r="S901" s="158" t="str">
        <v/>
      </c>
      <c r="T901" s="158" t="str">
        <v/>
      </c>
      <c r="U901" s="158" t="str">
        <v/>
      </c>
      <c r="V901" s="158" t="str">
        <v/>
      </c>
      <c r="W901" s="158" t="str">
        <v/>
      </c>
      <c r="X901" s="158" t="str">
        <v/>
      </c>
      <c r="Y901" s="158" t="str">
        <v/>
      </c>
      <c r="Z901" s="158" t="str">
        <v/>
      </c>
      <c r="AA901" s="158" t="e">
        <v>#VALUE!</v>
      </c>
      <c r="AB901" s="171" t="str">
        <v/>
      </c>
      <c r="AC901" s="158">
        <v>0</v>
      </c>
      <c r="AD901" s="173" t="str">
        <f ca="1">IFERROR(__xludf.DUMMYFUNCTION("""COMPUTED_VALUE"""),"")</f>
        <v/>
      </c>
      <c r="AE901" s="154" t="str">
        <v/>
      </c>
      <c r="AF901" s="154" t="str">
        <v/>
      </c>
    </row>
    <row r="902" spans="1:32" ht="15">
      <c r="A902" s="176"/>
      <c r="B902" s="145"/>
      <c r="C902" s="169"/>
      <c r="D902" s="145"/>
      <c r="E902" s="145"/>
      <c r="F902" s="169" t="e">
        <v>#VALUE!</v>
      </c>
      <c r="G902" s="145"/>
      <c r="H902" s="145"/>
      <c r="I902" s="145"/>
      <c r="J902" s="145"/>
      <c r="K902" s="145"/>
      <c r="L902" s="145"/>
      <c r="M902" s="145"/>
      <c r="N902" s="145"/>
      <c r="O902" s="174"/>
      <c r="P902" s="174"/>
      <c r="Q902" s="158" t="str">
        <v/>
      </c>
      <c r="R902" s="158" t="str">
        <v/>
      </c>
      <c r="S902" s="158" t="str">
        <v/>
      </c>
      <c r="T902" s="158" t="str">
        <v/>
      </c>
      <c r="U902" s="158" t="str">
        <v/>
      </c>
      <c r="V902" s="158" t="str">
        <v/>
      </c>
      <c r="W902" s="158" t="str">
        <v/>
      </c>
      <c r="X902" s="158" t="str">
        <v/>
      </c>
      <c r="Y902" s="158" t="str">
        <v/>
      </c>
      <c r="Z902" s="158" t="str">
        <v/>
      </c>
      <c r="AA902" s="158" t="e">
        <v>#VALUE!</v>
      </c>
      <c r="AB902" s="171" t="str">
        <v/>
      </c>
      <c r="AC902" s="158">
        <v>0</v>
      </c>
      <c r="AD902" s="173" t="str">
        <f ca="1">IFERROR(__xludf.DUMMYFUNCTION("""COMPUTED_VALUE"""),"")</f>
        <v/>
      </c>
      <c r="AE902" s="154" t="str">
        <v/>
      </c>
      <c r="AF902" s="154" t="str">
        <v/>
      </c>
    </row>
    <row r="903" spans="1:32" ht="15">
      <c r="A903" s="176"/>
      <c r="B903" s="145"/>
      <c r="C903" s="169"/>
      <c r="D903" s="145"/>
      <c r="E903" s="145"/>
      <c r="F903" s="169" t="e">
        <v>#VALUE!</v>
      </c>
      <c r="G903" s="145"/>
      <c r="H903" s="145"/>
      <c r="I903" s="145"/>
      <c r="J903" s="145"/>
      <c r="K903" s="145"/>
      <c r="L903" s="145"/>
      <c r="M903" s="145"/>
      <c r="N903" s="145"/>
      <c r="O903" s="174"/>
      <c r="P903" s="174"/>
      <c r="Q903" s="158" t="str">
        <v/>
      </c>
      <c r="R903" s="158" t="str">
        <v/>
      </c>
      <c r="S903" s="158" t="str">
        <v/>
      </c>
      <c r="T903" s="158" t="str">
        <v/>
      </c>
      <c r="U903" s="158" t="str">
        <v/>
      </c>
      <c r="V903" s="158" t="str">
        <v/>
      </c>
      <c r="W903" s="158" t="str">
        <v/>
      </c>
      <c r="X903" s="158" t="str">
        <v/>
      </c>
      <c r="Y903" s="158" t="str">
        <v/>
      </c>
      <c r="Z903" s="158" t="str">
        <v/>
      </c>
      <c r="AA903" s="158" t="e">
        <v>#VALUE!</v>
      </c>
      <c r="AB903" s="171" t="str">
        <v/>
      </c>
      <c r="AC903" s="158">
        <v>0</v>
      </c>
      <c r="AD903" s="173" t="str">
        <f ca="1">IFERROR(__xludf.DUMMYFUNCTION("""COMPUTED_VALUE"""),"")</f>
        <v/>
      </c>
      <c r="AE903" s="154" t="str">
        <v/>
      </c>
      <c r="AF903" s="154" t="str">
        <v/>
      </c>
    </row>
    <row r="904" spans="1:32" ht="15">
      <c r="A904" s="176"/>
      <c r="B904" s="145"/>
      <c r="C904" s="169"/>
      <c r="D904" s="145"/>
      <c r="E904" s="145"/>
      <c r="F904" s="169" t="e">
        <v>#VALUE!</v>
      </c>
      <c r="G904" s="145"/>
      <c r="H904" s="145"/>
      <c r="I904" s="145"/>
      <c r="J904" s="145"/>
      <c r="K904" s="145"/>
      <c r="L904" s="145"/>
      <c r="M904" s="145"/>
      <c r="N904" s="145"/>
      <c r="O904" s="174"/>
      <c r="P904" s="174"/>
      <c r="Q904" s="158" t="str">
        <v/>
      </c>
      <c r="R904" s="158" t="str">
        <v/>
      </c>
      <c r="S904" s="158" t="str">
        <v/>
      </c>
      <c r="T904" s="158" t="str">
        <v/>
      </c>
      <c r="U904" s="158" t="str">
        <v/>
      </c>
      <c r="V904" s="158" t="str">
        <v/>
      </c>
      <c r="W904" s="158" t="str">
        <v/>
      </c>
      <c r="X904" s="158" t="str">
        <v/>
      </c>
      <c r="Y904" s="158" t="str">
        <v/>
      </c>
      <c r="Z904" s="158" t="str">
        <v/>
      </c>
      <c r="AA904" s="158" t="e">
        <v>#VALUE!</v>
      </c>
      <c r="AB904" s="171" t="str">
        <v/>
      </c>
      <c r="AC904" s="158">
        <v>0</v>
      </c>
      <c r="AD904" s="173" t="str">
        <f ca="1">IFERROR(__xludf.DUMMYFUNCTION("""COMPUTED_VALUE"""),"")</f>
        <v/>
      </c>
      <c r="AE904" s="154" t="str">
        <v/>
      </c>
      <c r="AF904" s="154" t="str">
        <v/>
      </c>
    </row>
    <row r="905" spans="1:32" ht="15">
      <c r="A905" s="176"/>
      <c r="B905" s="145"/>
      <c r="C905" s="169"/>
      <c r="D905" s="145"/>
      <c r="E905" s="145"/>
      <c r="F905" s="169" t="e">
        <v>#VALUE!</v>
      </c>
      <c r="G905" s="145"/>
      <c r="H905" s="145"/>
      <c r="I905" s="145"/>
      <c r="J905" s="145"/>
      <c r="K905" s="145"/>
      <c r="L905" s="145"/>
      <c r="M905" s="145"/>
      <c r="N905" s="145"/>
      <c r="O905" s="174"/>
      <c r="P905" s="174"/>
      <c r="Q905" s="158" t="str">
        <v/>
      </c>
      <c r="R905" s="158" t="str">
        <v/>
      </c>
      <c r="S905" s="158" t="str">
        <v/>
      </c>
      <c r="T905" s="158" t="str">
        <v/>
      </c>
      <c r="U905" s="158" t="str">
        <v/>
      </c>
      <c r="V905" s="158" t="str">
        <v/>
      </c>
      <c r="W905" s="158" t="str">
        <v/>
      </c>
      <c r="X905" s="158" t="str">
        <v/>
      </c>
      <c r="Y905" s="158" t="str">
        <v/>
      </c>
      <c r="Z905" s="158" t="str">
        <v/>
      </c>
      <c r="AA905" s="158" t="e">
        <v>#VALUE!</v>
      </c>
      <c r="AB905" s="171" t="str">
        <v/>
      </c>
      <c r="AC905" s="158">
        <v>0</v>
      </c>
      <c r="AD905" s="173" t="str">
        <f ca="1">IFERROR(__xludf.DUMMYFUNCTION("""COMPUTED_VALUE"""),"")</f>
        <v/>
      </c>
      <c r="AE905" s="154" t="str">
        <v/>
      </c>
      <c r="AF905" s="154" t="str">
        <v/>
      </c>
    </row>
    <row r="906" spans="1:32" ht="15">
      <c r="A906" s="176"/>
      <c r="B906" s="145"/>
      <c r="C906" s="169"/>
      <c r="D906" s="145"/>
      <c r="E906" s="145"/>
      <c r="F906" s="169" t="e">
        <v>#VALUE!</v>
      </c>
      <c r="G906" s="145"/>
      <c r="H906" s="145"/>
      <c r="I906" s="145"/>
      <c r="J906" s="145"/>
      <c r="K906" s="145"/>
      <c r="L906" s="145"/>
      <c r="M906" s="145"/>
      <c r="N906" s="145"/>
      <c r="O906" s="174"/>
      <c r="P906" s="174"/>
      <c r="Q906" s="158" t="str">
        <v/>
      </c>
      <c r="R906" s="158" t="str">
        <v/>
      </c>
      <c r="S906" s="158" t="str">
        <v/>
      </c>
      <c r="T906" s="158" t="str">
        <v/>
      </c>
      <c r="U906" s="158" t="str">
        <v/>
      </c>
      <c r="V906" s="158" t="str">
        <v/>
      </c>
      <c r="W906" s="158" t="str">
        <v/>
      </c>
      <c r="X906" s="158" t="str">
        <v/>
      </c>
      <c r="Y906" s="158" t="str">
        <v/>
      </c>
      <c r="Z906" s="158" t="str">
        <v/>
      </c>
      <c r="AA906" s="158" t="e">
        <v>#VALUE!</v>
      </c>
      <c r="AB906" s="171" t="str">
        <v/>
      </c>
      <c r="AC906" s="158">
        <v>0</v>
      </c>
      <c r="AD906" s="173" t="str">
        <f ca="1">IFERROR(__xludf.DUMMYFUNCTION("""COMPUTED_VALUE"""),"")</f>
        <v/>
      </c>
      <c r="AE906" s="154" t="str">
        <v/>
      </c>
      <c r="AF906" s="154" t="str">
        <v/>
      </c>
    </row>
    <row r="907" spans="1:32" ht="15">
      <c r="A907" s="176"/>
      <c r="B907" s="145"/>
      <c r="C907" s="169"/>
      <c r="D907" s="145"/>
      <c r="E907" s="145"/>
      <c r="F907" s="169" t="e">
        <v>#VALUE!</v>
      </c>
      <c r="G907" s="145"/>
      <c r="H907" s="145"/>
      <c r="I907" s="145"/>
      <c r="J907" s="145"/>
      <c r="K907" s="145"/>
      <c r="L907" s="145"/>
      <c r="M907" s="145"/>
      <c r="N907" s="145"/>
      <c r="O907" s="174"/>
      <c r="P907" s="174"/>
      <c r="Q907" s="158" t="str">
        <v/>
      </c>
      <c r="R907" s="158" t="str">
        <v/>
      </c>
      <c r="S907" s="158" t="str">
        <v/>
      </c>
      <c r="T907" s="158" t="str">
        <v/>
      </c>
      <c r="U907" s="158" t="str">
        <v/>
      </c>
      <c r="V907" s="158" t="str">
        <v/>
      </c>
      <c r="W907" s="158" t="str">
        <v/>
      </c>
      <c r="X907" s="158" t="str">
        <v/>
      </c>
      <c r="Y907" s="158" t="str">
        <v/>
      </c>
      <c r="Z907" s="158" t="str">
        <v/>
      </c>
      <c r="AA907" s="158" t="e">
        <v>#VALUE!</v>
      </c>
      <c r="AB907" s="171" t="str">
        <v/>
      </c>
      <c r="AC907" s="158">
        <v>0</v>
      </c>
      <c r="AD907" s="173" t="str">
        <f ca="1">IFERROR(__xludf.DUMMYFUNCTION("""COMPUTED_VALUE"""),"")</f>
        <v/>
      </c>
      <c r="AE907" s="154" t="str">
        <v/>
      </c>
      <c r="AF907" s="154" t="str">
        <v/>
      </c>
    </row>
    <row r="908" spans="1:32" ht="15">
      <c r="A908" s="176"/>
      <c r="B908" s="145"/>
      <c r="C908" s="169"/>
      <c r="D908" s="145"/>
      <c r="E908" s="145"/>
      <c r="F908" s="169" t="e">
        <v>#VALUE!</v>
      </c>
      <c r="G908" s="145"/>
      <c r="H908" s="145"/>
      <c r="I908" s="145"/>
      <c r="J908" s="145"/>
      <c r="K908" s="145"/>
      <c r="L908" s="145"/>
      <c r="M908" s="145"/>
      <c r="N908" s="145"/>
      <c r="O908" s="174"/>
      <c r="P908" s="174"/>
      <c r="Q908" s="158" t="str">
        <v/>
      </c>
      <c r="R908" s="158" t="str">
        <v/>
      </c>
      <c r="S908" s="158" t="str">
        <v/>
      </c>
      <c r="T908" s="158" t="str">
        <v/>
      </c>
      <c r="U908" s="158" t="str">
        <v/>
      </c>
      <c r="V908" s="158" t="str">
        <v/>
      </c>
      <c r="W908" s="158" t="str">
        <v/>
      </c>
      <c r="X908" s="158" t="str">
        <v/>
      </c>
      <c r="Y908" s="158" t="str">
        <v/>
      </c>
      <c r="Z908" s="158" t="str">
        <v/>
      </c>
      <c r="AA908" s="158" t="e">
        <v>#VALUE!</v>
      </c>
      <c r="AB908" s="171" t="str">
        <v/>
      </c>
      <c r="AC908" s="158">
        <v>0</v>
      </c>
      <c r="AD908" s="173" t="str">
        <f ca="1">IFERROR(__xludf.DUMMYFUNCTION("""COMPUTED_VALUE"""),"")</f>
        <v/>
      </c>
      <c r="AE908" s="154" t="str">
        <v/>
      </c>
      <c r="AF908" s="154" t="str">
        <v/>
      </c>
    </row>
    <row r="909" spans="1:32" ht="15">
      <c r="A909" s="176"/>
      <c r="B909" s="145"/>
      <c r="C909" s="169"/>
      <c r="D909" s="145"/>
      <c r="E909" s="145"/>
      <c r="F909" s="169" t="e">
        <v>#VALUE!</v>
      </c>
      <c r="G909" s="145"/>
      <c r="H909" s="145"/>
      <c r="I909" s="145"/>
      <c r="J909" s="145"/>
      <c r="K909" s="145"/>
      <c r="L909" s="145"/>
      <c r="M909" s="145"/>
      <c r="N909" s="145"/>
      <c r="O909" s="174"/>
      <c r="P909" s="174"/>
      <c r="Q909" s="158" t="str">
        <v/>
      </c>
      <c r="R909" s="158" t="str">
        <v/>
      </c>
      <c r="S909" s="158" t="str">
        <v/>
      </c>
      <c r="T909" s="158" t="str">
        <v/>
      </c>
      <c r="U909" s="158" t="str">
        <v/>
      </c>
      <c r="V909" s="158" t="str">
        <v/>
      </c>
      <c r="W909" s="158" t="str">
        <v/>
      </c>
      <c r="X909" s="158" t="str">
        <v/>
      </c>
      <c r="Y909" s="158" t="str">
        <v/>
      </c>
      <c r="Z909" s="158" t="str">
        <v/>
      </c>
      <c r="AA909" s="158" t="e">
        <v>#VALUE!</v>
      </c>
      <c r="AB909" s="171" t="str">
        <v/>
      </c>
      <c r="AC909" s="158">
        <v>0</v>
      </c>
      <c r="AD909" s="173" t="str">
        <f ca="1">IFERROR(__xludf.DUMMYFUNCTION("""COMPUTED_VALUE"""),"")</f>
        <v/>
      </c>
      <c r="AE909" s="154" t="str">
        <v/>
      </c>
      <c r="AF909" s="154" t="str">
        <v/>
      </c>
    </row>
    <row r="910" spans="1:32" ht="15">
      <c r="A910" s="176"/>
      <c r="B910" s="145"/>
      <c r="C910" s="169"/>
      <c r="D910" s="145"/>
      <c r="E910" s="145"/>
      <c r="F910" s="169" t="e">
        <v>#VALUE!</v>
      </c>
      <c r="G910" s="145"/>
      <c r="H910" s="145"/>
      <c r="I910" s="145"/>
      <c r="J910" s="145"/>
      <c r="K910" s="145"/>
      <c r="L910" s="145"/>
      <c r="M910" s="145"/>
      <c r="N910" s="145"/>
      <c r="O910" s="174"/>
      <c r="P910" s="174"/>
      <c r="Q910" s="158" t="str">
        <v/>
      </c>
      <c r="R910" s="158" t="str">
        <v/>
      </c>
      <c r="S910" s="158" t="str">
        <v/>
      </c>
      <c r="T910" s="158" t="str">
        <v/>
      </c>
      <c r="U910" s="158" t="str">
        <v/>
      </c>
      <c r="V910" s="158" t="str">
        <v/>
      </c>
      <c r="W910" s="158" t="str">
        <v/>
      </c>
      <c r="X910" s="158" t="str">
        <v/>
      </c>
      <c r="Y910" s="158" t="str">
        <v/>
      </c>
      <c r="Z910" s="158" t="str">
        <v/>
      </c>
      <c r="AA910" s="158" t="e">
        <v>#VALUE!</v>
      </c>
      <c r="AB910" s="171" t="str">
        <v/>
      </c>
      <c r="AC910" s="158">
        <v>0</v>
      </c>
      <c r="AD910" s="173" t="str">
        <f ca="1">IFERROR(__xludf.DUMMYFUNCTION("""COMPUTED_VALUE"""),"")</f>
        <v/>
      </c>
      <c r="AE910" s="154" t="str">
        <v/>
      </c>
      <c r="AF910" s="154" t="str">
        <v/>
      </c>
    </row>
    <row r="911" spans="1:32" ht="15">
      <c r="A911" s="176"/>
      <c r="B911" s="145"/>
      <c r="C911" s="169"/>
      <c r="D911" s="145"/>
      <c r="E911" s="145"/>
      <c r="F911" s="169" t="e">
        <v>#VALUE!</v>
      </c>
      <c r="G911" s="145"/>
      <c r="H911" s="145"/>
      <c r="I911" s="145"/>
      <c r="J911" s="145"/>
      <c r="K911" s="145"/>
      <c r="L911" s="145"/>
      <c r="M911" s="145"/>
      <c r="N911" s="145"/>
      <c r="O911" s="174"/>
      <c r="P911" s="174"/>
      <c r="Q911" s="158" t="str">
        <v/>
      </c>
      <c r="R911" s="158" t="str">
        <v/>
      </c>
      <c r="S911" s="158" t="str">
        <v/>
      </c>
      <c r="T911" s="158" t="str">
        <v/>
      </c>
      <c r="U911" s="158" t="str">
        <v/>
      </c>
      <c r="V911" s="158" t="str">
        <v/>
      </c>
      <c r="W911" s="158" t="str">
        <v/>
      </c>
      <c r="X911" s="158" t="str">
        <v/>
      </c>
      <c r="Y911" s="158" t="str">
        <v/>
      </c>
      <c r="Z911" s="158" t="str">
        <v/>
      </c>
      <c r="AA911" s="158" t="e">
        <v>#VALUE!</v>
      </c>
      <c r="AB911" s="171" t="str">
        <v/>
      </c>
      <c r="AC911" s="158">
        <v>0</v>
      </c>
      <c r="AD911" s="173" t="str">
        <f ca="1">IFERROR(__xludf.DUMMYFUNCTION("""COMPUTED_VALUE"""),"")</f>
        <v/>
      </c>
      <c r="AE911" s="154" t="str">
        <v/>
      </c>
      <c r="AF911" s="154" t="str">
        <v/>
      </c>
    </row>
    <row r="912" spans="1:32" ht="15">
      <c r="A912" s="176"/>
      <c r="B912" s="145"/>
      <c r="C912" s="169"/>
      <c r="D912" s="145"/>
      <c r="E912" s="145"/>
      <c r="F912" s="169" t="e">
        <v>#VALUE!</v>
      </c>
      <c r="G912" s="145"/>
      <c r="H912" s="145"/>
      <c r="I912" s="145"/>
      <c r="J912" s="145"/>
      <c r="K912" s="145"/>
      <c r="L912" s="145"/>
      <c r="M912" s="145"/>
      <c r="N912" s="145"/>
      <c r="O912" s="174"/>
      <c r="P912" s="174"/>
      <c r="Q912" s="158" t="str">
        <v/>
      </c>
      <c r="R912" s="158" t="str">
        <v/>
      </c>
      <c r="S912" s="158" t="str">
        <v/>
      </c>
      <c r="T912" s="158" t="str">
        <v/>
      </c>
      <c r="U912" s="158" t="str">
        <v/>
      </c>
      <c r="V912" s="158" t="str">
        <v/>
      </c>
      <c r="W912" s="158" t="str">
        <v/>
      </c>
      <c r="X912" s="158" t="str">
        <v/>
      </c>
      <c r="Y912" s="158" t="str">
        <v/>
      </c>
      <c r="Z912" s="158" t="str">
        <v/>
      </c>
      <c r="AA912" s="158" t="e">
        <v>#VALUE!</v>
      </c>
      <c r="AB912" s="171" t="str">
        <v/>
      </c>
      <c r="AC912" s="158">
        <v>0</v>
      </c>
      <c r="AD912" s="173" t="str">
        <f ca="1">IFERROR(__xludf.DUMMYFUNCTION("""COMPUTED_VALUE"""),"")</f>
        <v/>
      </c>
      <c r="AE912" s="154" t="str">
        <v/>
      </c>
      <c r="AF912" s="154" t="str">
        <v/>
      </c>
    </row>
    <row r="913" spans="1:32" ht="15">
      <c r="A913" s="176"/>
      <c r="B913" s="145"/>
      <c r="C913" s="169"/>
      <c r="D913" s="145"/>
      <c r="E913" s="145"/>
      <c r="F913" s="169" t="e">
        <v>#VALUE!</v>
      </c>
      <c r="G913" s="145"/>
      <c r="H913" s="145"/>
      <c r="I913" s="145"/>
      <c r="J913" s="145"/>
      <c r="K913" s="145"/>
      <c r="L913" s="145"/>
      <c r="M913" s="145"/>
      <c r="N913" s="145"/>
      <c r="O913" s="174"/>
      <c r="P913" s="174"/>
      <c r="Q913" s="158" t="str">
        <v/>
      </c>
      <c r="R913" s="158" t="str">
        <v/>
      </c>
      <c r="S913" s="158" t="str">
        <v/>
      </c>
      <c r="T913" s="158" t="str">
        <v/>
      </c>
      <c r="U913" s="158" t="str">
        <v/>
      </c>
      <c r="V913" s="158" t="str">
        <v/>
      </c>
      <c r="W913" s="158" t="str">
        <v/>
      </c>
      <c r="X913" s="158" t="str">
        <v/>
      </c>
      <c r="Y913" s="158" t="str">
        <v/>
      </c>
      <c r="Z913" s="158" t="str">
        <v/>
      </c>
      <c r="AA913" s="158" t="e">
        <v>#VALUE!</v>
      </c>
      <c r="AB913" s="171" t="str">
        <v/>
      </c>
      <c r="AC913" s="158">
        <v>0</v>
      </c>
      <c r="AD913" s="173" t="str">
        <f ca="1">IFERROR(__xludf.DUMMYFUNCTION("""COMPUTED_VALUE"""),"")</f>
        <v/>
      </c>
      <c r="AE913" s="154" t="str">
        <v/>
      </c>
      <c r="AF913" s="154" t="str">
        <v/>
      </c>
    </row>
    <row r="914" spans="1:32" ht="15">
      <c r="A914" s="176"/>
      <c r="B914" s="145"/>
      <c r="C914" s="169"/>
      <c r="D914" s="145"/>
      <c r="E914" s="145"/>
      <c r="F914" s="169" t="e">
        <v>#VALUE!</v>
      </c>
      <c r="G914" s="145"/>
      <c r="H914" s="145"/>
      <c r="I914" s="145"/>
      <c r="J914" s="145"/>
      <c r="K914" s="145"/>
      <c r="L914" s="145"/>
      <c r="M914" s="145"/>
      <c r="N914" s="145"/>
      <c r="O914" s="174"/>
      <c r="P914" s="174"/>
      <c r="Q914" s="158" t="str">
        <v/>
      </c>
      <c r="R914" s="158" t="str">
        <v/>
      </c>
      <c r="S914" s="158" t="str">
        <v/>
      </c>
      <c r="T914" s="158" t="str">
        <v/>
      </c>
      <c r="U914" s="158" t="str">
        <v/>
      </c>
      <c r="V914" s="158" t="str">
        <v/>
      </c>
      <c r="W914" s="158" t="str">
        <v/>
      </c>
      <c r="X914" s="158" t="str">
        <v/>
      </c>
      <c r="Y914" s="158" t="str">
        <v/>
      </c>
      <c r="Z914" s="158" t="str">
        <v/>
      </c>
      <c r="AA914" s="158" t="e">
        <v>#VALUE!</v>
      </c>
      <c r="AB914" s="171" t="str">
        <v/>
      </c>
      <c r="AC914" s="158">
        <v>0</v>
      </c>
      <c r="AD914" s="173" t="str">
        <f ca="1">IFERROR(__xludf.DUMMYFUNCTION("""COMPUTED_VALUE"""),"")</f>
        <v/>
      </c>
      <c r="AE914" s="154" t="str">
        <v/>
      </c>
      <c r="AF914" s="154" t="str">
        <v/>
      </c>
    </row>
    <row r="915" spans="1:32" ht="15">
      <c r="A915" s="176"/>
      <c r="B915" s="145"/>
      <c r="C915" s="169"/>
      <c r="D915" s="145"/>
      <c r="E915" s="145"/>
      <c r="F915" s="169" t="e">
        <v>#VALUE!</v>
      </c>
      <c r="G915" s="145"/>
      <c r="H915" s="145"/>
      <c r="I915" s="145"/>
      <c r="J915" s="145"/>
      <c r="K915" s="145"/>
      <c r="L915" s="145"/>
      <c r="M915" s="145"/>
      <c r="N915" s="145"/>
      <c r="O915" s="174"/>
      <c r="P915" s="174"/>
      <c r="Q915" s="158" t="str">
        <v/>
      </c>
      <c r="R915" s="158" t="str">
        <v/>
      </c>
      <c r="S915" s="158" t="str">
        <v/>
      </c>
      <c r="T915" s="158" t="str">
        <v/>
      </c>
      <c r="U915" s="158" t="str">
        <v/>
      </c>
      <c r="V915" s="158" t="str">
        <v/>
      </c>
      <c r="W915" s="158" t="str">
        <v/>
      </c>
      <c r="X915" s="158" t="str">
        <v/>
      </c>
      <c r="Y915" s="158" t="str">
        <v/>
      </c>
      <c r="Z915" s="158" t="str">
        <v/>
      </c>
      <c r="AA915" s="158" t="e">
        <v>#VALUE!</v>
      </c>
      <c r="AB915" s="171" t="str">
        <v/>
      </c>
      <c r="AC915" s="158">
        <v>0</v>
      </c>
      <c r="AD915" s="173" t="str">
        <f ca="1">IFERROR(__xludf.DUMMYFUNCTION("""COMPUTED_VALUE"""),"")</f>
        <v/>
      </c>
      <c r="AE915" s="154" t="str">
        <v/>
      </c>
      <c r="AF915" s="154" t="str">
        <v/>
      </c>
    </row>
    <row r="916" spans="1:32" ht="15">
      <c r="A916" s="176"/>
      <c r="B916" s="145"/>
      <c r="C916" s="169"/>
      <c r="D916" s="145"/>
      <c r="E916" s="145"/>
      <c r="F916" s="169" t="e">
        <v>#VALUE!</v>
      </c>
      <c r="G916" s="145"/>
      <c r="H916" s="145"/>
      <c r="I916" s="145"/>
      <c r="J916" s="145"/>
      <c r="K916" s="145"/>
      <c r="L916" s="145"/>
      <c r="M916" s="145"/>
      <c r="N916" s="145"/>
      <c r="O916" s="174"/>
      <c r="P916" s="174"/>
      <c r="Q916" s="158" t="str">
        <v/>
      </c>
      <c r="R916" s="158" t="str">
        <v/>
      </c>
      <c r="S916" s="158" t="str">
        <v/>
      </c>
      <c r="T916" s="158" t="str">
        <v/>
      </c>
      <c r="U916" s="158" t="str">
        <v/>
      </c>
      <c r="V916" s="158" t="str">
        <v/>
      </c>
      <c r="W916" s="158" t="str">
        <v/>
      </c>
      <c r="X916" s="158" t="str">
        <v/>
      </c>
      <c r="Y916" s="158" t="str">
        <v/>
      </c>
      <c r="Z916" s="158" t="str">
        <v/>
      </c>
      <c r="AA916" s="158" t="e">
        <v>#VALUE!</v>
      </c>
      <c r="AB916" s="171" t="str">
        <v/>
      </c>
      <c r="AC916" s="158">
        <v>0</v>
      </c>
      <c r="AD916" s="173" t="str">
        <f ca="1">IFERROR(__xludf.DUMMYFUNCTION("""COMPUTED_VALUE"""),"")</f>
        <v/>
      </c>
      <c r="AE916" s="154" t="str">
        <v/>
      </c>
      <c r="AF916" s="154" t="str">
        <v/>
      </c>
    </row>
    <row r="917" spans="1:32" ht="15">
      <c r="A917" s="176"/>
      <c r="B917" s="145"/>
      <c r="C917" s="169"/>
      <c r="D917" s="145"/>
      <c r="E917" s="145"/>
      <c r="F917" s="169" t="e">
        <v>#VALUE!</v>
      </c>
      <c r="G917" s="145"/>
      <c r="H917" s="145"/>
      <c r="I917" s="145"/>
      <c r="J917" s="145"/>
      <c r="K917" s="145"/>
      <c r="L917" s="145"/>
      <c r="M917" s="145"/>
      <c r="N917" s="145"/>
      <c r="O917" s="174"/>
      <c r="P917" s="174"/>
      <c r="Q917" s="158" t="str">
        <v/>
      </c>
      <c r="R917" s="158" t="str">
        <v/>
      </c>
      <c r="S917" s="158" t="str">
        <v/>
      </c>
      <c r="T917" s="158" t="str">
        <v/>
      </c>
      <c r="U917" s="158" t="str">
        <v/>
      </c>
      <c r="V917" s="158" t="str">
        <v/>
      </c>
      <c r="W917" s="158" t="str">
        <v/>
      </c>
      <c r="X917" s="158" t="str">
        <v/>
      </c>
      <c r="Y917" s="158" t="str">
        <v/>
      </c>
      <c r="Z917" s="158" t="str">
        <v/>
      </c>
      <c r="AA917" s="158" t="e">
        <v>#VALUE!</v>
      </c>
      <c r="AB917" s="171" t="str">
        <v/>
      </c>
      <c r="AC917" s="158">
        <v>0</v>
      </c>
      <c r="AD917" s="173" t="str">
        <f ca="1">IFERROR(__xludf.DUMMYFUNCTION("""COMPUTED_VALUE"""),"")</f>
        <v/>
      </c>
      <c r="AE917" s="154" t="str">
        <v/>
      </c>
      <c r="AF917" s="154" t="str">
        <v/>
      </c>
    </row>
    <row r="918" spans="1:32" ht="15">
      <c r="A918" s="176"/>
      <c r="B918" s="145"/>
      <c r="C918" s="169"/>
      <c r="D918" s="145"/>
      <c r="E918" s="145"/>
      <c r="F918" s="169" t="e">
        <v>#VALUE!</v>
      </c>
      <c r="G918" s="145"/>
      <c r="H918" s="145"/>
      <c r="I918" s="145"/>
      <c r="J918" s="145"/>
      <c r="K918" s="145"/>
      <c r="L918" s="145"/>
      <c r="M918" s="145"/>
      <c r="N918" s="145"/>
      <c r="O918" s="174"/>
      <c r="P918" s="174"/>
      <c r="Q918" s="158" t="str">
        <v/>
      </c>
      <c r="R918" s="158" t="str">
        <v/>
      </c>
      <c r="S918" s="158" t="str">
        <v/>
      </c>
      <c r="T918" s="158" t="str">
        <v/>
      </c>
      <c r="U918" s="158" t="str">
        <v/>
      </c>
      <c r="V918" s="158" t="str">
        <v/>
      </c>
      <c r="W918" s="158" t="str">
        <v/>
      </c>
      <c r="X918" s="158" t="str">
        <v/>
      </c>
      <c r="Y918" s="158" t="str">
        <v/>
      </c>
      <c r="Z918" s="158" t="str">
        <v/>
      </c>
      <c r="AA918" s="158" t="e">
        <v>#VALUE!</v>
      </c>
      <c r="AB918" s="171" t="str">
        <v/>
      </c>
      <c r="AC918" s="158">
        <v>0</v>
      </c>
      <c r="AD918" s="173" t="str">
        <f ca="1">IFERROR(__xludf.DUMMYFUNCTION("""COMPUTED_VALUE"""),"")</f>
        <v/>
      </c>
      <c r="AE918" s="154" t="str">
        <v/>
      </c>
      <c r="AF918" s="154" t="str">
        <v/>
      </c>
    </row>
    <row r="919" spans="1:32" ht="15">
      <c r="A919" s="176"/>
      <c r="B919" s="145"/>
      <c r="C919" s="169"/>
      <c r="D919" s="145"/>
      <c r="E919" s="145"/>
      <c r="F919" s="169" t="e">
        <v>#VALUE!</v>
      </c>
      <c r="G919" s="145"/>
      <c r="H919" s="145"/>
      <c r="I919" s="145"/>
      <c r="J919" s="145"/>
      <c r="K919" s="145"/>
      <c r="L919" s="145"/>
      <c r="M919" s="145"/>
      <c r="N919" s="145"/>
      <c r="O919" s="174"/>
      <c r="P919" s="174"/>
      <c r="Q919" s="158" t="str">
        <v/>
      </c>
      <c r="R919" s="158" t="str">
        <v/>
      </c>
      <c r="S919" s="158" t="str">
        <v/>
      </c>
      <c r="T919" s="158" t="str">
        <v/>
      </c>
      <c r="U919" s="158" t="str">
        <v/>
      </c>
      <c r="V919" s="158" t="str">
        <v/>
      </c>
      <c r="W919" s="158" t="str">
        <v/>
      </c>
      <c r="X919" s="158" t="str">
        <v/>
      </c>
      <c r="Y919" s="158" t="str">
        <v/>
      </c>
      <c r="Z919" s="158" t="str">
        <v/>
      </c>
      <c r="AA919" s="158" t="e">
        <v>#VALUE!</v>
      </c>
      <c r="AB919" s="171" t="str">
        <v/>
      </c>
      <c r="AC919" s="158">
        <v>0</v>
      </c>
      <c r="AD919" s="173" t="str">
        <f ca="1">IFERROR(__xludf.DUMMYFUNCTION("""COMPUTED_VALUE"""),"")</f>
        <v/>
      </c>
      <c r="AE919" s="154" t="str">
        <v/>
      </c>
      <c r="AF919" s="154" t="str">
        <v/>
      </c>
    </row>
    <row r="920" spans="1:32" ht="15">
      <c r="A920" s="176"/>
      <c r="B920" s="145"/>
      <c r="C920" s="169"/>
      <c r="D920" s="145"/>
      <c r="E920" s="145"/>
      <c r="F920" s="169" t="e">
        <v>#VALUE!</v>
      </c>
      <c r="G920" s="145"/>
      <c r="H920" s="145"/>
      <c r="I920" s="145"/>
      <c r="J920" s="145"/>
      <c r="K920" s="145"/>
      <c r="L920" s="145"/>
      <c r="M920" s="145"/>
      <c r="N920" s="145"/>
      <c r="O920" s="174"/>
      <c r="P920" s="174"/>
      <c r="Q920" s="158" t="str">
        <v/>
      </c>
      <c r="R920" s="158" t="str">
        <v/>
      </c>
      <c r="S920" s="158" t="str">
        <v/>
      </c>
      <c r="T920" s="158" t="str">
        <v/>
      </c>
      <c r="U920" s="158" t="str">
        <v/>
      </c>
      <c r="V920" s="158" t="str">
        <v/>
      </c>
      <c r="W920" s="158" t="str">
        <v/>
      </c>
      <c r="X920" s="158" t="str">
        <v/>
      </c>
      <c r="Y920" s="158" t="str">
        <v/>
      </c>
      <c r="Z920" s="158" t="str">
        <v/>
      </c>
      <c r="AA920" s="158" t="e">
        <v>#VALUE!</v>
      </c>
      <c r="AB920" s="171" t="str">
        <v/>
      </c>
      <c r="AC920" s="158">
        <v>0</v>
      </c>
      <c r="AD920" s="173" t="str">
        <f ca="1">IFERROR(__xludf.DUMMYFUNCTION("""COMPUTED_VALUE"""),"")</f>
        <v/>
      </c>
      <c r="AE920" s="154" t="str">
        <v/>
      </c>
      <c r="AF920" s="154" t="str">
        <v/>
      </c>
    </row>
    <row r="921" spans="1:32" ht="15">
      <c r="A921" s="176"/>
      <c r="B921" s="145"/>
      <c r="C921" s="169"/>
      <c r="D921" s="145"/>
      <c r="E921" s="145"/>
      <c r="F921" s="169" t="e">
        <v>#VALUE!</v>
      </c>
      <c r="G921" s="145"/>
      <c r="H921" s="145"/>
      <c r="I921" s="145"/>
      <c r="J921" s="145"/>
      <c r="K921" s="145"/>
      <c r="L921" s="145"/>
      <c r="M921" s="145"/>
      <c r="N921" s="145"/>
      <c r="O921" s="174"/>
      <c r="P921" s="174"/>
      <c r="Q921" s="158" t="str">
        <v/>
      </c>
      <c r="R921" s="158" t="str">
        <v/>
      </c>
      <c r="S921" s="158" t="str">
        <v/>
      </c>
      <c r="T921" s="158" t="str">
        <v/>
      </c>
      <c r="U921" s="158" t="str">
        <v/>
      </c>
      <c r="V921" s="158" t="str">
        <v/>
      </c>
      <c r="W921" s="158" t="str">
        <v/>
      </c>
      <c r="X921" s="158" t="str">
        <v/>
      </c>
      <c r="Y921" s="158" t="str">
        <v/>
      </c>
      <c r="Z921" s="158" t="str">
        <v/>
      </c>
      <c r="AA921" s="158" t="e">
        <v>#VALUE!</v>
      </c>
      <c r="AB921" s="171" t="str">
        <v/>
      </c>
      <c r="AC921" s="158">
        <v>0</v>
      </c>
      <c r="AD921" s="173" t="str">
        <f ca="1">IFERROR(__xludf.DUMMYFUNCTION("""COMPUTED_VALUE"""),"")</f>
        <v/>
      </c>
      <c r="AE921" s="154" t="str">
        <v/>
      </c>
      <c r="AF921" s="154" t="str">
        <v/>
      </c>
    </row>
    <row r="922" spans="1:32" ht="15">
      <c r="A922" s="176"/>
      <c r="B922" s="145"/>
      <c r="C922" s="169"/>
      <c r="D922" s="145"/>
      <c r="E922" s="145"/>
      <c r="F922" s="169" t="e">
        <v>#VALUE!</v>
      </c>
      <c r="G922" s="145"/>
      <c r="H922" s="145"/>
      <c r="I922" s="145"/>
      <c r="J922" s="145"/>
      <c r="K922" s="145"/>
      <c r="L922" s="145"/>
      <c r="M922" s="145"/>
      <c r="N922" s="145"/>
      <c r="O922" s="174"/>
      <c r="P922" s="174"/>
      <c r="Q922" s="158" t="str">
        <v/>
      </c>
      <c r="R922" s="158" t="str">
        <v/>
      </c>
      <c r="S922" s="158" t="str">
        <v/>
      </c>
      <c r="T922" s="158" t="str">
        <v/>
      </c>
      <c r="U922" s="158" t="str">
        <v/>
      </c>
      <c r="V922" s="158" t="str">
        <v/>
      </c>
      <c r="W922" s="158" t="str">
        <v/>
      </c>
      <c r="X922" s="158" t="str">
        <v/>
      </c>
      <c r="Y922" s="158" t="str">
        <v/>
      </c>
      <c r="Z922" s="158" t="str">
        <v/>
      </c>
      <c r="AA922" s="158" t="e">
        <v>#VALUE!</v>
      </c>
      <c r="AB922" s="171" t="str">
        <v/>
      </c>
      <c r="AC922" s="158">
        <v>0</v>
      </c>
      <c r="AD922" s="173" t="str">
        <f ca="1">IFERROR(__xludf.DUMMYFUNCTION("""COMPUTED_VALUE"""),"")</f>
        <v/>
      </c>
      <c r="AE922" s="154" t="str">
        <v/>
      </c>
      <c r="AF922" s="154" t="str">
        <v/>
      </c>
    </row>
    <row r="923" spans="1:32" ht="15">
      <c r="A923" s="176"/>
      <c r="B923" s="145"/>
      <c r="C923" s="169"/>
      <c r="D923" s="145"/>
      <c r="E923" s="145"/>
      <c r="F923" s="169" t="e">
        <v>#VALUE!</v>
      </c>
      <c r="G923" s="145"/>
      <c r="H923" s="145"/>
      <c r="I923" s="145"/>
      <c r="J923" s="145"/>
      <c r="K923" s="145"/>
      <c r="L923" s="145"/>
      <c r="M923" s="145"/>
      <c r="N923" s="145"/>
      <c r="O923" s="174"/>
      <c r="P923" s="174"/>
      <c r="Q923" s="158" t="str">
        <v/>
      </c>
      <c r="R923" s="158" t="str">
        <v/>
      </c>
      <c r="S923" s="158" t="str">
        <v/>
      </c>
      <c r="T923" s="158" t="str">
        <v/>
      </c>
      <c r="U923" s="158" t="str">
        <v/>
      </c>
      <c r="V923" s="158" t="str">
        <v/>
      </c>
      <c r="W923" s="158" t="str">
        <v/>
      </c>
      <c r="X923" s="158" t="str">
        <v/>
      </c>
      <c r="Y923" s="158" t="str">
        <v/>
      </c>
      <c r="Z923" s="158" t="str">
        <v/>
      </c>
      <c r="AA923" s="158" t="e">
        <v>#VALUE!</v>
      </c>
      <c r="AB923" s="171" t="str">
        <v/>
      </c>
      <c r="AC923" s="158">
        <v>0</v>
      </c>
      <c r="AD923" s="173" t="str">
        <f ca="1">IFERROR(__xludf.DUMMYFUNCTION("""COMPUTED_VALUE"""),"")</f>
        <v/>
      </c>
      <c r="AE923" s="154" t="str">
        <v/>
      </c>
      <c r="AF923" s="154" t="str">
        <v/>
      </c>
    </row>
    <row r="924" spans="1:32" ht="15">
      <c r="A924" s="176"/>
      <c r="B924" s="145"/>
      <c r="C924" s="169"/>
      <c r="D924" s="145"/>
      <c r="E924" s="145"/>
      <c r="F924" s="169" t="e">
        <v>#VALUE!</v>
      </c>
      <c r="G924" s="145"/>
      <c r="H924" s="145"/>
      <c r="I924" s="145"/>
      <c r="J924" s="145"/>
      <c r="K924" s="145"/>
      <c r="L924" s="145"/>
      <c r="M924" s="145"/>
      <c r="N924" s="145"/>
      <c r="O924" s="174"/>
      <c r="P924" s="174"/>
      <c r="Q924" s="158" t="str">
        <v/>
      </c>
      <c r="R924" s="158" t="str">
        <v/>
      </c>
      <c r="S924" s="158" t="str">
        <v/>
      </c>
      <c r="T924" s="158" t="str">
        <v/>
      </c>
      <c r="U924" s="158" t="str">
        <v/>
      </c>
      <c r="V924" s="158" t="str">
        <v/>
      </c>
      <c r="W924" s="158" t="str">
        <v/>
      </c>
      <c r="X924" s="158" t="str">
        <v/>
      </c>
      <c r="Y924" s="158" t="str">
        <v/>
      </c>
      <c r="Z924" s="158" t="str">
        <v/>
      </c>
      <c r="AA924" s="158" t="e">
        <v>#VALUE!</v>
      </c>
      <c r="AB924" s="171" t="str">
        <v/>
      </c>
      <c r="AC924" s="158">
        <v>0</v>
      </c>
      <c r="AD924" s="173" t="str">
        <f ca="1">IFERROR(__xludf.DUMMYFUNCTION("""COMPUTED_VALUE"""),"")</f>
        <v/>
      </c>
      <c r="AE924" s="154" t="str">
        <v/>
      </c>
      <c r="AF924" s="154" t="str">
        <v/>
      </c>
    </row>
    <row r="925" spans="1:32" ht="15">
      <c r="A925" s="176"/>
      <c r="B925" s="145"/>
      <c r="C925" s="169"/>
      <c r="D925" s="145"/>
      <c r="E925" s="145"/>
      <c r="F925" s="169" t="e">
        <v>#VALUE!</v>
      </c>
      <c r="G925" s="145"/>
      <c r="H925" s="145"/>
      <c r="I925" s="145"/>
      <c r="J925" s="145"/>
      <c r="K925" s="145"/>
      <c r="L925" s="145"/>
      <c r="M925" s="145"/>
      <c r="N925" s="145"/>
      <c r="O925" s="174"/>
      <c r="P925" s="174"/>
      <c r="Q925" s="158" t="str">
        <v/>
      </c>
      <c r="R925" s="158" t="str">
        <v/>
      </c>
      <c r="S925" s="158" t="str">
        <v/>
      </c>
      <c r="T925" s="158" t="str">
        <v/>
      </c>
      <c r="U925" s="158" t="str">
        <v/>
      </c>
      <c r="V925" s="158" t="str">
        <v/>
      </c>
      <c r="W925" s="158" t="str">
        <v/>
      </c>
      <c r="X925" s="158" t="str">
        <v/>
      </c>
      <c r="Y925" s="158" t="str">
        <v/>
      </c>
      <c r="Z925" s="158" t="str">
        <v/>
      </c>
      <c r="AA925" s="158" t="e">
        <v>#VALUE!</v>
      </c>
      <c r="AB925" s="171" t="str">
        <v/>
      </c>
      <c r="AC925" s="158">
        <v>0</v>
      </c>
      <c r="AD925" s="173" t="str">
        <f ca="1">IFERROR(__xludf.DUMMYFUNCTION("""COMPUTED_VALUE"""),"")</f>
        <v/>
      </c>
      <c r="AE925" s="154" t="str">
        <v/>
      </c>
      <c r="AF925" s="154" t="str">
        <v/>
      </c>
    </row>
    <row r="926" spans="1:32" ht="15">
      <c r="A926" s="176"/>
      <c r="B926" s="145"/>
      <c r="C926" s="169"/>
      <c r="D926" s="145"/>
      <c r="E926" s="145"/>
      <c r="F926" s="169" t="e">
        <v>#VALUE!</v>
      </c>
      <c r="G926" s="145"/>
      <c r="H926" s="145"/>
      <c r="I926" s="145"/>
      <c r="J926" s="145"/>
      <c r="K926" s="145"/>
      <c r="L926" s="145"/>
      <c r="M926" s="145"/>
      <c r="N926" s="145"/>
      <c r="O926" s="174"/>
      <c r="P926" s="174"/>
      <c r="Q926" s="158" t="str">
        <v/>
      </c>
      <c r="R926" s="158" t="str">
        <v/>
      </c>
      <c r="S926" s="158" t="str">
        <v/>
      </c>
      <c r="T926" s="158" t="str">
        <v/>
      </c>
      <c r="U926" s="158" t="str">
        <v/>
      </c>
      <c r="V926" s="158" t="str">
        <v/>
      </c>
      <c r="W926" s="158" t="str">
        <v/>
      </c>
      <c r="X926" s="158" t="str">
        <v/>
      </c>
      <c r="Y926" s="158" t="str">
        <v/>
      </c>
      <c r="Z926" s="158" t="str">
        <v/>
      </c>
      <c r="AA926" s="158" t="e">
        <v>#VALUE!</v>
      </c>
      <c r="AB926" s="171" t="str">
        <v/>
      </c>
      <c r="AC926" s="158">
        <v>0</v>
      </c>
      <c r="AD926" s="173" t="str">
        <f ca="1">IFERROR(__xludf.DUMMYFUNCTION("""COMPUTED_VALUE"""),"")</f>
        <v/>
      </c>
      <c r="AE926" s="154" t="str">
        <v/>
      </c>
      <c r="AF926" s="154" t="str">
        <v/>
      </c>
    </row>
    <row r="927" spans="1:32" ht="15">
      <c r="A927" s="176"/>
      <c r="B927" s="145"/>
      <c r="C927" s="169"/>
      <c r="D927" s="145"/>
      <c r="E927" s="145"/>
      <c r="F927" s="169" t="e">
        <v>#VALUE!</v>
      </c>
      <c r="G927" s="145"/>
      <c r="H927" s="145"/>
      <c r="I927" s="145"/>
      <c r="J927" s="145"/>
      <c r="K927" s="145"/>
      <c r="L927" s="145"/>
      <c r="M927" s="145"/>
      <c r="N927" s="145"/>
      <c r="O927" s="174"/>
      <c r="P927" s="174"/>
      <c r="Q927" s="158" t="str">
        <v/>
      </c>
      <c r="R927" s="158" t="str">
        <v/>
      </c>
      <c r="S927" s="158" t="str">
        <v/>
      </c>
      <c r="T927" s="158" t="str">
        <v/>
      </c>
      <c r="U927" s="158" t="str">
        <v/>
      </c>
      <c r="V927" s="158" t="str">
        <v/>
      </c>
      <c r="W927" s="158" t="str">
        <v/>
      </c>
      <c r="X927" s="158" t="str">
        <v/>
      </c>
      <c r="Y927" s="158" t="str">
        <v/>
      </c>
      <c r="Z927" s="158" t="str">
        <v/>
      </c>
      <c r="AA927" s="158" t="e">
        <v>#VALUE!</v>
      </c>
      <c r="AB927" s="171" t="str">
        <v/>
      </c>
      <c r="AC927" s="158">
        <v>0</v>
      </c>
      <c r="AD927" s="173" t="str">
        <f ca="1">IFERROR(__xludf.DUMMYFUNCTION("""COMPUTED_VALUE"""),"")</f>
        <v/>
      </c>
      <c r="AE927" s="154" t="str">
        <v/>
      </c>
      <c r="AF927" s="154" t="str">
        <v/>
      </c>
    </row>
    <row r="928" spans="1:32" ht="15">
      <c r="A928" s="176"/>
      <c r="B928" s="145"/>
      <c r="C928" s="169"/>
      <c r="D928" s="145"/>
      <c r="E928" s="145"/>
      <c r="F928" s="169" t="e">
        <v>#VALUE!</v>
      </c>
      <c r="G928" s="145"/>
      <c r="H928" s="145"/>
      <c r="I928" s="145"/>
      <c r="J928" s="145"/>
      <c r="K928" s="145"/>
      <c r="L928" s="145"/>
      <c r="M928" s="145"/>
      <c r="N928" s="145"/>
      <c r="O928" s="174"/>
      <c r="P928" s="174"/>
      <c r="Q928" s="158" t="str">
        <v/>
      </c>
      <c r="R928" s="158" t="str">
        <v/>
      </c>
      <c r="S928" s="158" t="str">
        <v/>
      </c>
      <c r="T928" s="158" t="str">
        <v/>
      </c>
      <c r="U928" s="158" t="str">
        <v/>
      </c>
      <c r="V928" s="158" t="str">
        <v/>
      </c>
      <c r="W928" s="158" t="str">
        <v/>
      </c>
      <c r="X928" s="158" t="str">
        <v/>
      </c>
      <c r="Y928" s="158" t="str">
        <v/>
      </c>
      <c r="Z928" s="158" t="str">
        <v/>
      </c>
      <c r="AA928" s="158" t="e">
        <v>#VALUE!</v>
      </c>
      <c r="AB928" s="171" t="str">
        <v/>
      </c>
      <c r="AC928" s="158">
        <v>0</v>
      </c>
      <c r="AD928" s="173" t="str">
        <f ca="1">IFERROR(__xludf.DUMMYFUNCTION("""COMPUTED_VALUE"""),"")</f>
        <v/>
      </c>
      <c r="AE928" s="154" t="str">
        <v/>
      </c>
      <c r="AF928" s="154" t="str">
        <v/>
      </c>
    </row>
    <row r="929" spans="1:32" ht="15">
      <c r="A929" s="176"/>
      <c r="B929" s="145"/>
      <c r="C929" s="169"/>
      <c r="D929" s="145"/>
      <c r="E929" s="145"/>
      <c r="F929" s="169" t="e">
        <v>#VALUE!</v>
      </c>
      <c r="G929" s="145"/>
      <c r="H929" s="145"/>
      <c r="I929" s="145"/>
      <c r="J929" s="145"/>
      <c r="K929" s="145"/>
      <c r="L929" s="145"/>
      <c r="M929" s="145"/>
      <c r="N929" s="145"/>
      <c r="O929" s="174"/>
      <c r="P929" s="174"/>
      <c r="Q929" s="158" t="str">
        <v/>
      </c>
      <c r="R929" s="158" t="str">
        <v/>
      </c>
      <c r="S929" s="158" t="str">
        <v/>
      </c>
      <c r="T929" s="158" t="str">
        <v/>
      </c>
      <c r="U929" s="158" t="str">
        <v/>
      </c>
      <c r="V929" s="158" t="str">
        <v/>
      </c>
      <c r="W929" s="158" t="str">
        <v/>
      </c>
      <c r="X929" s="158" t="str">
        <v/>
      </c>
      <c r="Y929" s="158" t="str">
        <v/>
      </c>
      <c r="Z929" s="158" t="str">
        <v/>
      </c>
      <c r="AA929" s="158" t="e">
        <v>#VALUE!</v>
      </c>
      <c r="AB929" s="171" t="str">
        <v/>
      </c>
      <c r="AC929" s="158">
        <v>0</v>
      </c>
      <c r="AD929" s="173" t="str">
        <f ca="1">IFERROR(__xludf.DUMMYFUNCTION("""COMPUTED_VALUE"""),"")</f>
        <v/>
      </c>
      <c r="AE929" s="154" t="str">
        <v/>
      </c>
      <c r="AF929" s="154" t="str">
        <v/>
      </c>
    </row>
    <row r="930" spans="1:32" ht="15">
      <c r="A930" s="176"/>
      <c r="B930" s="145"/>
      <c r="C930" s="169"/>
      <c r="D930" s="145"/>
      <c r="E930" s="145"/>
      <c r="F930" s="169" t="e">
        <v>#VALUE!</v>
      </c>
      <c r="G930" s="145"/>
      <c r="H930" s="145"/>
      <c r="I930" s="145"/>
      <c r="J930" s="145"/>
      <c r="K930" s="145"/>
      <c r="L930" s="145"/>
      <c r="M930" s="145"/>
      <c r="N930" s="145"/>
      <c r="O930" s="174"/>
      <c r="P930" s="174"/>
      <c r="Q930" s="158" t="str">
        <v/>
      </c>
      <c r="R930" s="158" t="str">
        <v/>
      </c>
      <c r="S930" s="158" t="str">
        <v/>
      </c>
      <c r="T930" s="158" t="str">
        <v/>
      </c>
      <c r="U930" s="158" t="str">
        <v/>
      </c>
      <c r="V930" s="158" t="str">
        <v/>
      </c>
      <c r="W930" s="158" t="str">
        <v/>
      </c>
      <c r="X930" s="158" t="str">
        <v/>
      </c>
      <c r="Y930" s="158" t="str">
        <v/>
      </c>
      <c r="Z930" s="158" t="str">
        <v/>
      </c>
      <c r="AA930" s="158" t="e">
        <v>#VALUE!</v>
      </c>
      <c r="AB930" s="171" t="str">
        <v/>
      </c>
      <c r="AC930" s="158">
        <v>0</v>
      </c>
      <c r="AD930" s="173" t="str">
        <f ca="1">IFERROR(__xludf.DUMMYFUNCTION("""COMPUTED_VALUE"""),"")</f>
        <v/>
      </c>
      <c r="AE930" s="154" t="str">
        <v/>
      </c>
      <c r="AF930" s="154" t="str">
        <v/>
      </c>
    </row>
    <row r="931" spans="1:32" ht="15">
      <c r="A931" s="176"/>
      <c r="B931" s="145"/>
      <c r="C931" s="169"/>
      <c r="D931" s="145"/>
      <c r="E931" s="145"/>
      <c r="F931" s="169" t="e">
        <v>#VALUE!</v>
      </c>
      <c r="G931" s="145"/>
      <c r="H931" s="145"/>
      <c r="I931" s="145"/>
      <c r="J931" s="145"/>
      <c r="K931" s="145"/>
      <c r="L931" s="145"/>
      <c r="M931" s="145"/>
      <c r="N931" s="145"/>
      <c r="O931" s="174"/>
      <c r="P931" s="174"/>
      <c r="Q931" s="158" t="str">
        <v/>
      </c>
      <c r="R931" s="158" t="str">
        <v/>
      </c>
      <c r="S931" s="158" t="str">
        <v/>
      </c>
      <c r="T931" s="158" t="str">
        <v/>
      </c>
      <c r="U931" s="158" t="str">
        <v/>
      </c>
      <c r="V931" s="158" t="str">
        <v/>
      </c>
      <c r="W931" s="158" t="str">
        <v/>
      </c>
      <c r="X931" s="158" t="str">
        <v/>
      </c>
      <c r="Y931" s="158" t="str">
        <v/>
      </c>
      <c r="Z931" s="158" t="str">
        <v/>
      </c>
      <c r="AA931" s="158" t="e">
        <v>#VALUE!</v>
      </c>
      <c r="AB931" s="171" t="str">
        <v/>
      </c>
      <c r="AC931" s="158">
        <v>0</v>
      </c>
      <c r="AD931" s="173" t="str">
        <f ca="1">IFERROR(__xludf.DUMMYFUNCTION("""COMPUTED_VALUE"""),"")</f>
        <v/>
      </c>
      <c r="AE931" s="154" t="str">
        <v/>
      </c>
      <c r="AF931" s="154" t="str">
        <v/>
      </c>
    </row>
    <row r="932" spans="1:32" ht="15">
      <c r="A932" s="176"/>
      <c r="B932" s="145"/>
      <c r="C932" s="169"/>
      <c r="D932" s="145"/>
      <c r="E932" s="145"/>
      <c r="F932" s="169" t="e">
        <v>#VALUE!</v>
      </c>
      <c r="G932" s="145"/>
      <c r="H932" s="145"/>
      <c r="I932" s="145"/>
      <c r="J932" s="145"/>
      <c r="K932" s="145"/>
      <c r="L932" s="145"/>
      <c r="M932" s="145"/>
      <c r="N932" s="145"/>
      <c r="O932" s="174"/>
      <c r="P932" s="174"/>
      <c r="Q932" s="158" t="str">
        <v/>
      </c>
      <c r="R932" s="158" t="str">
        <v/>
      </c>
      <c r="S932" s="158" t="str">
        <v/>
      </c>
      <c r="T932" s="158" t="str">
        <v/>
      </c>
      <c r="U932" s="158" t="str">
        <v/>
      </c>
      <c r="V932" s="158" t="str">
        <v/>
      </c>
      <c r="W932" s="158" t="str">
        <v/>
      </c>
      <c r="X932" s="158" t="str">
        <v/>
      </c>
      <c r="Y932" s="158" t="str">
        <v/>
      </c>
      <c r="Z932" s="158" t="str">
        <v/>
      </c>
      <c r="AA932" s="158" t="e">
        <v>#VALUE!</v>
      </c>
      <c r="AB932" s="171" t="str">
        <v/>
      </c>
      <c r="AC932" s="158">
        <v>0</v>
      </c>
      <c r="AD932" s="173" t="str">
        <f ca="1">IFERROR(__xludf.DUMMYFUNCTION("""COMPUTED_VALUE"""),"")</f>
        <v/>
      </c>
      <c r="AE932" s="154" t="str">
        <v/>
      </c>
      <c r="AF932" s="154" t="str">
        <v/>
      </c>
    </row>
    <row r="933" spans="1:32" ht="15">
      <c r="A933" s="176"/>
      <c r="B933" s="145"/>
      <c r="C933" s="169"/>
      <c r="D933" s="145"/>
      <c r="E933" s="145"/>
      <c r="F933" s="169" t="e">
        <v>#VALUE!</v>
      </c>
      <c r="G933" s="145"/>
      <c r="H933" s="145"/>
      <c r="I933" s="145"/>
      <c r="J933" s="145"/>
      <c r="K933" s="145"/>
      <c r="L933" s="145"/>
      <c r="M933" s="145"/>
      <c r="N933" s="145"/>
      <c r="O933" s="174"/>
      <c r="P933" s="174"/>
      <c r="Q933" s="158" t="str">
        <v/>
      </c>
      <c r="R933" s="158" t="str">
        <v/>
      </c>
      <c r="S933" s="158" t="str">
        <v/>
      </c>
      <c r="T933" s="158" t="str">
        <v/>
      </c>
      <c r="U933" s="158" t="str">
        <v/>
      </c>
      <c r="V933" s="158" t="str">
        <v/>
      </c>
      <c r="W933" s="158" t="str">
        <v/>
      </c>
      <c r="X933" s="158" t="str">
        <v/>
      </c>
      <c r="Y933" s="158" t="str">
        <v/>
      </c>
      <c r="Z933" s="158" t="str">
        <v/>
      </c>
      <c r="AA933" s="158" t="e">
        <v>#VALUE!</v>
      </c>
      <c r="AB933" s="171" t="str">
        <v/>
      </c>
      <c r="AC933" s="158">
        <v>0</v>
      </c>
      <c r="AD933" s="173" t="str">
        <f ca="1">IFERROR(__xludf.DUMMYFUNCTION("""COMPUTED_VALUE"""),"")</f>
        <v/>
      </c>
      <c r="AE933" s="154" t="str">
        <v/>
      </c>
      <c r="AF933" s="154" t="str">
        <v/>
      </c>
    </row>
    <row r="934" spans="1:32" ht="15">
      <c r="A934" s="176"/>
      <c r="B934" s="145"/>
      <c r="C934" s="169"/>
      <c r="D934" s="145"/>
      <c r="E934" s="145"/>
      <c r="F934" s="169" t="e">
        <v>#VALUE!</v>
      </c>
      <c r="G934" s="145"/>
      <c r="H934" s="145"/>
      <c r="I934" s="145"/>
      <c r="J934" s="145"/>
      <c r="K934" s="145"/>
      <c r="L934" s="145"/>
      <c r="M934" s="145"/>
      <c r="N934" s="145"/>
      <c r="O934" s="174"/>
      <c r="P934" s="174"/>
      <c r="Q934" s="158" t="str">
        <v/>
      </c>
      <c r="R934" s="158" t="str">
        <v/>
      </c>
      <c r="S934" s="158" t="str">
        <v/>
      </c>
      <c r="T934" s="158" t="str">
        <v/>
      </c>
      <c r="U934" s="158" t="str">
        <v/>
      </c>
      <c r="V934" s="158" t="str">
        <v/>
      </c>
      <c r="W934" s="158" t="str">
        <v/>
      </c>
      <c r="X934" s="158" t="str">
        <v/>
      </c>
      <c r="Y934" s="158" t="str">
        <v/>
      </c>
      <c r="Z934" s="158" t="str">
        <v/>
      </c>
      <c r="AA934" s="158" t="e">
        <v>#VALUE!</v>
      </c>
      <c r="AB934" s="171" t="str">
        <v/>
      </c>
      <c r="AC934" s="158">
        <v>0</v>
      </c>
      <c r="AD934" s="173" t="str">
        <f ca="1">IFERROR(__xludf.DUMMYFUNCTION("""COMPUTED_VALUE"""),"")</f>
        <v/>
      </c>
      <c r="AE934" s="154" t="str">
        <v/>
      </c>
      <c r="AF934" s="154" t="str">
        <v/>
      </c>
    </row>
    <row r="935" spans="1:32" ht="15">
      <c r="A935" s="176"/>
      <c r="B935" s="145"/>
      <c r="C935" s="169"/>
      <c r="D935" s="145"/>
      <c r="E935" s="145"/>
      <c r="F935" s="169" t="e">
        <v>#VALUE!</v>
      </c>
      <c r="G935" s="145"/>
      <c r="H935" s="145"/>
      <c r="I935" s="145"/>
      <c r="J935" s="145"/>
      <c r="K935" s="145"/>
      <c r="L935" s="145"/>
      <c r="M935" s="145"/>
      <c r="N935" s="145"/>
      <c r="O935" s="174"/>
      <c r="P935" s="174"/>
      <c r="Q935" s="158" t="str">
        <v/>
      </c>
      <c r="R935" s="158" t="str">
        <v/>
      </c>
      <c r="S935" s="158" t="str">
        <v/>
      </c>
      <c r="T935" s="158" t="str">
        <v/>
      </c>
      <c r="U935" s="158" t="str">
        <v/>
      </c>
      <c r="V935" s="158" t="str">
        <v/>
      </c>
      <c r="W935" s="158" t="str">
        <v/>
      </c>
      <c r="X935" s="158" t="str">
        <v/>
      </c>
      <c r="Y935" s="158" t="str">
        <v/>
      </c>
      <c r="Z935" s="158" t="str">
        <v/>
      </c>
      <c r="AA935" s="158" t="e">
        <v>#VALUE!</v>
      </c>
      <c r="AB935" s="171" t="str">
        <v/>
      </c>
      <c r="AC935" s="158">
        <v>0</v>
      </c>
      <c r="AD935" s="173" t="str">
        <f ca="1">IFERROR(__xludf.DUMMYFUNCTION("""COMPUTED_VALUE"""),"")</f>
        <v/>
      </c>
      <c r="AE935" s="154" t="str">
        <v/>
      </c>
      <c r="AF935" s="154" t="str">
        <v/>
      </c>
    </row>
    <row r="936" spans="1:32" ht="15">
      <c r="A936" s="176"/>
      <c r="B936" s="145"/>
      <c r="C936" s="169"/>
      <c r="D936" s="145"/>
      <c r="E936" s="145"/>
      <c r="F936" s="169" t="e">
        <v>#VALUE!</v>
      </c>
      <c r="G936" s="145"/>
      <c r="H936" s="145"/>
      <c r="I936" s="145"/>
      <c r="J936" s="145"/>
      <c r="K936" s="145"/>
      <c r="L936" s="145"/>
      <c r="M936" s="145"/>
      <c r="N936" s="145"/>
      <c r="O936" s="174"/>
      <c r="P936" s="174"/>
      <c r="Q936" s="158" t="str">
        <v/>
      </c>
      <c r="R936" s="158" t="str">
        <v/>
      </c>
      <c r="S936" s="158" t="str">
        <v/>
      </c>
      <c r="T936" s="158" t="str">
        <v/>
      </c>
      <c r="U936" s="158" t="str">
        <v/>
      </c>
      <c r="V936" s="158" t="str">
        <v/>
      </c>
      <c r="W936" s="158" t="str">
        <v/>
      </c>
      <c r="X936" s="158" t="str">
        <v/>
      </c>
      <c r="Y936" s="158" t="str">
        <v/>
      </c>
      <c r="Z936" s="158" t="str">
        <v/>
      </c>
      <c r="AA936" s="158" t="e">
        <v>#VALUE!</v>
      </c>
      <c r="AB936" s="171" t="str">
        <v/>
      </c>
      <c r="AC936" s="158">
        <v>0</v>
      </c>
      <c r="AD936" s="173" t="str">
        <f ca="1">IFERROR(__xludf.DUMMYFUNCTION("""COMPUTED_VALUE"""),"")</f>
        <v/>
      </c>
      <c r="AE936" s="154" t="str">
        <v/>
      </c>
      <c r="AF936" s="154" t="str">
        <v/>
      </c>
    </row>
    <row r="937" spans="1:32" ht="15">
      <c r="A937" s="176"/>
      <c r="B937" s="145"/>
      <c r="C937" s="169"/>
      <c r="D937" s="145"/>
      <c r="E937" s="145"/>
      <c r="F937" s="169" t="e">
        <v>#VALUE!</v>
      </c>
      <c r="G937" s="145"/>
      <c r="H937" s="145"/>
      <c r="I937" s="145"/>
      <c r="J937" s="145"/>
      <c r="K937" s="145"/>
      <c r="L937" s="145"/>
      <c r="M937" s="145"/>
      <c r="N937" s="145"/>
      <c r="O937" s="174"/>
      <c r="P937" s="174"/>
      <c r="Q937" s="158" t="str">
        <v/>
      </c>
      <c r="R937" s="158" t="str">
        <v/>
      </c>
      <c r="S937" s="158" t="str">
        <v/>
      </c>
      <c r="T937" s="158" t="str">
        <v/>
      </c>
      <c r="U937" s="158" t="str">
        <v/>
      </c>
      <c r="V937" s="158" t="str">
        <v/>
      </c>
      <c r="W937" s="158" t="str">
        <v/>
      </c>
      <c r="X937" s="158" t="str">
        <v/>
      </c>
      <c r="Y937" s="158" t="str">
        <v/>
      </c>
      <c r="Z937" s="158" t="str">
        <v/>
      </c>
      <c r="AA937" s="158" t="e">
        <v>#VALUE!</v>
      </c>
      <c r="AB937" s="171" t="str">
        <v/>
      </c>
      <c r="AC937" s="158">
        <v>0</v>
      </c>
      <c r="AD937" s="173" t="str">
        <f ca="1">IFERROR(__xludf.DUMMYFUNCTION("""COMPUTED_VALUE"""),"")</f>
        <v/>
      </c>
      <c r="AE937" s="154" t="str">
        <v/>
      </c>
      <c r="AF937" s="154" t="str">
        <v/>
      </c>
    </row>
    <row r="938" spans="1:32" ht="15">
      <c r="A938" s="176"/>
      <c r="B938" s="145"/>
      <c r="C938" s="169"/>
      <c r="D938" s="145"/>
      <c r="E938" s="145"/>
      <c r="F938" s="169" t="e">
        <v>#VALUE!</v>
      </c>
      <c r="G938" s="145"/>
      <c r="H938" s="145"/>
      <c r="I938" s="145"/>
      <c r="J938" s="145"/>
      <c r="K938" s="145"/>
      <c r="L938" s="145"/>
      <c r="M938" s="145"/>
      <c r="N938" s="145"/>
      <c r="O938" s="174"/>
      <c r="P938" s="174"/>
      <c r="Q938" s="158" t="str">
        <v/>
      </c>
      <c r="R938" s="158" t="str">
        <v/>
      </c>
      <c r="S938" s="158" t="str">
        <v/>
      </c>
      <c r="T938" s="158" t="str">
        <v/>
      </c>
      <c r="U938" s="158" t="str">
        <v/>
      </c>
      <c r="V938" s="158" t="str">
        <v/>
      </c>
      <c r="W938" s="158" t="str">
        <v/>
      </c>
      <c r="X938" s="158" t="str">
        <v/>
      </c>
      <c r="Y938" s="158" t="str">
        <v/>
      </c>
      <c r="Z938" s="158" t="str">
        <v/>
      </c>
      <c r="AA938" s="158" t="e">
        <v>#VALUE!</v>
      </c>
      <c r="AB938" s="171" t="str">
        <v/>
      </c>
      <c r="AC938" s="158">
        <v>0</v>
      </c>
      <c r="AD938" s="173" t="str">
        <f ca="1">IFERROR(__xludf.DUMMYFUNCTION("""COMPUTED_VALUE"""),"")</f>
        <v/>
      </c>
      <c r="AE938" s="154" t="str">
        <v/>
      </c>
      <c r="AF938" s="154" t="str">
        <v/>
      </c>
    </row>
    <row r="939" spans="1:32" ht="15">
      <c r="A939" s="176"/>
      <c r="B939" s="145"/>
      <c r="C939" s="169"/>
      <c r="D939" s="145"/>
      <c r="E939" s="145"/>
      <c r="F939" s="169" t="e">
        <v>#VALUE!</v>
      </c>
      <c r="G939" s="145"/>
      <c r="H939" s="145"/>
      <c r="I939" s="145"/>
      <c r="J939" s="145"/>
      <c r="K939" s="145"/>
      <c r="L939" s="145"/>
      <c r="M939" s="145"/>
      <c r="N939" s="145"/>
      <c r="O939" s="174"/>
      <c r="P939" s="174"/>
      <c r="Q939" s="158" t="str">
        <v/>
      </c>
      <c r="R939" s="158" t="str">
        <v/>
      </c>
      <c r="S939" s="158" t="str">
        <v/>
      </c>
      <c r="T939" s="158" t="str">
        <v/>
      </c>
      <c r="U939" s="158" t="str">
        <v/>
      </c>
      <c r="V939" s="158" t="str">
        <v/>
      </c>
      <c r="W939" s="158" t="str">
        <v/>
      </c>
      <c r="X939" s="158" t="str">
        <v/>
      </c>
      <c r="Y939" s="158" t="str">
        <v/>
      </c>
      <c r="Z939" s="158" t="str">
        <v/>
      </c>
      <c r="AA939" s="158" t="e">
        <v>#VALUE!</v>
      </c>
      <c r="AB939" s="171" t="str">
        <v/>
      </c>
      <c r="AC939" s="158">
        <v>0</v>
      </c>
      <c r="AD939" s="173" t="str">
        <f ca="1">IFERROR(__xludf.DUMMYFUNCTION("""COMPUTED_VALUE"""),"")</f>
        <v/>
      </c>
      <c r="AE939" s="154" t="str">
        <v/>
      </c>
      <c r="AF939" s="154" t="str">
        <v/>
      </c>
    </row>
    <row r="940" spans="1:32" ht="15">
      <c r="A940" s="176"/>
      <c r="B940" s="145"/>
      <c r="C940" s="169"/>
      <c r="D940" s="145"/>
      <c r="E940" s="145"/>
      <c r="F940" s="169" t="e">
        <v>#VALUE!</v>
      </c>
      <c r="G940" s="145"/>
      <c r="H940" s="145"/>
      <c r="I940" s="145"/>
      <c r="J940" s="145"/>
      <c r="K940" s="145"/>
      <c r="L940" s="145"/>
      <c r="M940" s="145"/>
      <c r="N940" s="145"/>
      <c r="O940" s="174"/>
      <c r="P940" s="174"/>
      <c r="Q940" s="158" t="str">
        <v/>
      </c>
      <c r="R940" s="158" t="str">
        <v/>
      </c>
      <c r="S940" s="158" t="str">
        <v/>
      </c>
      <c r="T940" s="158" t="str">
        <v/>
      </c>
      <c r="U940" s="158" t="str">
        <v/>
      </c>
      <c r="V940" s="158" t="str">
        <v/>
      </c>
      <c r="W940" s="158" t="str">
        <v/>
      </c>
      <c r="X940" s="158" t="str">
        <v/>
      </c>
      <c r="Y940" s="158" t="str">
        <v/>
      </c>
      <c r="Z940" s="158" t="str">
        <v/>
      </c>
      <c r="AA940" s="158" t="e">
        <v>#VALUE!</v>
      </c>
      <c r="AB940" s="171" t="str">
        <v/>
      </c>
      <c r="AC940" s="158">
        <v>0</v>
      </c>
      <c r="AD940" s="173" t="str">
        <f ca="1">IFERROR(__xludf.DUMMYFUNCTION("""COMPUTED_VALUE"""),"")</f>
        <v/>
      </c>
      <c r="AE940" s="154" t="str">
        <v/>
      </c>
      <c r="AF940" s="154" t="str">
        <v/>
      </c>
    </row>
    <row r="941" spans="1:32" ht="15">
      <c r="A941" s="176"/>
      <c r="B941" s="145"/>
      <c r="C941" s="169"/>
      <c r="D941" s="145"/>
      <c r="E941" s="145"/>
      <c r="F941" s="169" t="e">
        <v>#VALUE!</v>
      </c>
      <c r="G941" s="145"/>
      <c r="H941" s="145"/>
      <c r="I941" s="145"/>
      <c r="J941" s="145"/>
      <c r="K941" s="145"/>
      <c r="L941" s="145"/>
      <c r="M941" s="145"/>
      <c r="N941" s="145"/>
      <c r="O941" s="174"/>
      <c r="P941" s="174"/>
      <c r="Q941" s="158" t="str">
        <v/>
      </c>
      <c r="R941" s="158" t="str">
        <v/>
      </c>
      <c r="S941" s="158" t="str">
        <v/>
      </c>
      <c r="T941" s="158" t="str">
        <v/>
      </c>
      <c r="U941" s="158" t="str">
        <v/>
      </c>
      <c r="V941" s="158" t="str">
        <v/>
      </c>
      <c r="W941" s="158" t="str">
        <v/>
      </c>
      <c r="X941" s="158" t="str">
        <v/>
      </c>
      <c r="Y941" s="158" t="str">
        <v/>
      </c>
      <c r="Z941" s="158" t="str">
        <v/>
      </c>
      <c r="AA941" s="158" t="e">
        <v>#VALUE!</v>
      </c>
      <c r="AB941" s="171" t="str">
        <v/>
      </c>
      <c r="AC941" s="158">
        <v>0</v>
      </c>
      <c r="AD941" s="173" t="str">
        <f ca="1">IFERROR(__xludf.DUMMYFUNCTION("""COMPUTED_VALUE"""),"")</f>
        <v/>
      </c>
      <c r="AE941" s="154" t="str">
        <v/>
      </c>
      <c r="AF941" s="154" t="str">
        <v/>
      </c>
    </row>
    <row r="942" spans="1:32" ht="15">
      <c r="A942" s="176"/>
      <c r="B942" s="145"/>
      <c r="C942" s="169"/>
      <c r="D942" s="145"/>
      <c r="E942" s="145"/>
      <c r="F942" s="169" t="e">
        <v>#VALUE!</v>
      </c>
      <c r="G942" s="145"/>
      <c r="H942" s="145"/>
      <c r="I942" s="145"/>
      <c r="J942" s="145"/>
      <c r="K942" s="145"/>
      <c r="L942" s="145"/>
      <c r="M942" s="145"/>
      <c r="N942" s="145"/>
      <c r="O942" s="174"/>
      <c r="P942" s="174"/>
      <c r="Q942" s="158" t="str">
        <v/>
      </c>
      <c r="R942" s="158" t="str">
        <v/>
      </c>
      <c r="S942" s="158" t="str">
        <v/>
      </c>
      <c r="T942" s="158" t="str">
        <v/>
      </c>
      <c r="U942" s="158" t="str">
        <v/>
      </c>
      <c r="V942" s="158" t="str">
        <v/>
      </c>
      <c r="W942" s="158" t="str">
        <v/>
      </c>
      <c r="X942" s="158" t="str">
        <v/>
      </c>
      <c r="Y942" s="158" t="str">
        <v/>
      </c>
      <c r="Z942" s="158" t="str">
        <v/>
      </c>
      <c r="AA942" s="158" t="e">
        <v>#VALUE!</v>
      </c>
      <c r="AB942" s="171" t="str">
        <v/>
      </c>
      <c r="AC942" s="158">
        <v>0</v>
      </c>
      <c r="AD942" s="173" t="str">
        <f ca="1">IFERROR(__xludf.DUMMYFUNCTION("""COMPUTED_VALUE"""),"")</f>
        <v/>
      </c>
      <c r="AE942" s="154" t="str">
        <v/>
      </c>
      <c r="AF942" s="154" t="str">
        <v/>
      </c>
    </row>
    <row r="943" spans="1:32" ht="15">
      <c r="A943" s="176"/>
      <c r="B943" s="145"/>
      <c r="C943" s="169"/>
      <c r="D943" s="145"/>
      <c r="E943" s="145"/>
      <c r="F943" s="169" t="e">
        <v>#VALUE!</v>
      </c>
      <c r="G943" s="145"/>
      <c r="H943" s="145"/>
      <c r="I943" s="145"/>
      <c r="J943" s="145"/>
      <c r="K943" s="145"/>
      <c r="L943" s="145"/>
      <c r="M943" s="145"/>
      <c r="N943" s="145"/>
      <c r="O943" s="174"/>
      <c r="P943" s="174"/>
      <c r="Q943" s="158" t="str">
        <v/>
      </c>
      <c r="R943" s="158" t="str">
        <v/>
      </c>
      <c r="S943" s="158" t="str">
        <v/>
      </c>
      <c r="T943" s="158" t="str">
        <v/>
      </c>
      <c r="U943" s="158" t="str">
        <v/>
      </c>
      <c r="V943" s="158" t="str">
        <v/>
      </c>
      <c r="W943" s="158" t="str">
        <v/>
      </c>
      <c r="X943" s="158" t="str">
        <v/>
      </c>
      <c r="Y943" s="158" t="str">
        <v/>
      </c>
      <c r="Z943" s="158" t="str">
        <v/>
      </c>
      <c r="AA943" s="158" t="e">
        <v>#VALUE!</v>
      </c>
      <c r="AB943" s="171" t="str">
        <v/>
      </c>
      <c r="AC943" s="158">
        <v>0</v>
      </c>
      <c r="AD943" s="173" t="str">
        <f ca="1">IFERROR(__xludf.DUMMYFUNCTION("""COMPUTED_VALUE"""),"")</f>
        <v/>
      </c>
      <c r="AE943" s="154" t="str">
        <v/>
      </c>
      <c r="AF943" s="154" t="str">
        <v/>
      </c>
    </row>
    <row r="944" spans="1:32" ht="15">
      <c r="A944" s="176"/>
      <c r="B944" s="145"/>
      <c r="C944" s="169"/>
      <c r="D944" s="145"/>
      <c r="E944" s="145"/>
      <c r="F944" s="169" t="e">
        <v>#VALUE!</v>
      </c>
      <c r="G944" s="145"/>
      <c r="H944" s="145"/>
      <c r="I944" s="145"/>
      <c r="J944" s="145"/>
      <c r="K944" s="145"/>
      <c r="L944" s="145"/>
      <c r="M944" s="145"/>
      <c r="N944" s="145"/>
      <c r="O944" s="174"/>
      <c r="P944" s="174"/>
      <c r="Q944" s="158" t="str">
        <v/>
      </c>
      <c r="R944" s="158" t="str">
        <v/>
      </c>
      <c r="S944" s="158" t="str">
        <v/>
      </c>
      <c r="T944" s="158" t="str">
        <v/>
      </c>
      <c r="U944" s="158" t="str">
        <v/>
      </c>
      <c r="V944" s="158" t="str">
        <v/>
      </c>
      <c r="W944" s="158" t="str">
        <v/>
      </c>
      <c r="X944" s="158" t="str">
        <v/>
      </c>
      <c r="Y944" s="158" t="str">
        <v/>
      </c>
      <c r="Z944" s="158" t="str">
        <v/>
      </c>
      <c r="AA944" s="158" t="e">
        <v>#VALUE!</v>
      </c>
      <c r="AB944" s="171" t="str">
        <v/>
      </c>
      <c r="AC944" s="158">
        <v>0</v>
      </c>
      <c r="AD944" s="173" t="str">
        <f ca="1">IFERROR(__xludf.DUMMYFUNCTION("""COMPUTED_VALUE"""),"")</f>
        <v/>
      </c>
      <c r="AE944" s="154" t="str">
        <v/>
      </c>
      <c r="AF944" s="154" t="str">
        <v/>
      </c>
    </row>
    <row r="945" spans="1:32" ht="15">
      <c r="A945" s="176"/>
      <c r="B945" s="145"/>
      <c r="C945" s="169"/>
      <c r="D945" s="145"/>
      <c r="E945" s="145"/>
      <c r="F945" s="169" t="e">
        <v>#VALUE!</v>
      </c>
      <c r="G945" s="145"/>
      <c r="H945" s="145"/>
      <c r="I945" s="145"/>
      <c r="J945" s="145"/>
      <c r="K945" s="145"/>
      <c r="L945" s="145"/>
      <c r="M945" s="145"/>
      <c r="N945" s="145"/>
      <c r="O945" s="174"/>
      <c r="P945" s="174"/>
      <c r="Q945" s="158" t="str">
        <v/>
      </c>
      <c r="R945" s="158" t="str">
        <v/>
      </c>
      <c r="S945" s="158" t="str">
        <v/>
      </c>
      <c r="T945" s="158" t="str">
        <v/>
      </c>
      <c r="U945" s="158" t="str">
        <v/>
      </c>
      <c r="V945" s="158" t="str">
        <v/>
      </c>
      <c r="W945" s="158" t="str">
        <v/>
      </c>
      <c r="X945" s="158" t="str">
        <v/>
      </c>
      <c r="Y945" s="158" t="str">
        <v/>
      </c>
      <c r="Z945" s="158" t="str">
        <v/>
      </c>
      <c r="AA945" s="158" t="e">
        <v>#VALUE!</v>
      </c>
      <c r="AB945" s="171" t="str">
        <v/>
      </c>
      <c r="AC945" s="158">
        <v>0</v>
      </c>
      <c r="AD945" s="173" t="str">
        <f ca="1">IFERROR(__xludf.DUMMYFUNCTION("""COMPUTED_VALUE"""),"")</f>
        <v/>
      </c>
      <c r="AE945" s="154" t="str">
        <v/>
      </c>
      <c r="AF945" s="154" t="str">
        <v/>
      </c>
    </row>
    <row r="946" spans="1:32" ht="15">
      <c r="A946" s="176"/>
      <c r="B946" s="145"/>
      <c r="C946" s="169"/>
      <c r="D946" s="145"/>
      <c r="E946" s="145"/>
      <c r="F946" s="169" t="e">
        <v>#VALUE!</v>
      </c>
      <c r="G946" s="145"/>
      <c r="H946" s="145"/>
      <c r="I946" s="145"/>
      <c r="J946" s="145"/>
      <c r="K946" s="145"/>
      <c r="L946" s="145"/>
      <c r="M946" s="145"/>
      <c r="N946" s="145"/>
      <c r="O946" s="174"/>
      <c r="P946" s="174"/>
      <c r="Q946" s="158" t="str">
        <v/>
      </c>
      <c r="R946" s="158" t="str">
        <v/>
      </c>
      <c r="S946" s="158" t="str">
        <v/>
      </c>
      <c r="T946" s="158" t="str">
        <v/>
      </c>
      <c r="U946" s="158" t="str">
        <v/>
      </c>
      <c r="V946" s="158" t="str">
        <v/>
      </c>
      <c r="W946" s="158" t="str">
        <v/>
      </c>
      <c r="X946" s="158" t="str">
        <v/>
      </c>
      <c r="Y946" s="158" t="str">
        <v/>
      </c>
      <c r="Z946" s="158" t="str">
        <v/>
      </c>
      <c r="AA946" s="158" t="e">
        <v>#VALUE!</v>
      </c>
      <c r="AB946" s="171" t="str">
        <v/>
      </c>
      <c r="AC946" s="158">
        <v>0</v>
      </c>
      <c r="AD946" s="173" t="str">
        <f ca="1">IFERROR(__xludf.DUMMYFUNCTION("""COMPUTED_VALUE"""),"")</f>
        <v/>
      </c>
      <c r="AE946" s="154" t="str">
        <v/>
      </c>
      <c r="AF946" s="154" t="str">
        <v/>
      </c>
    </row>
    <row r="947" spans="1:32" ht="15">
      <c r="A947" s="176"/>
      <c r="B947" s="145"/>
      <c r="C947" s="169"/>
      <c r="D947" s="145"/>
      <c r="E947" s="145"/>
      <c r="F947" s="169" t="e">
        <v>#VALUE!</v>
      </c>
      <c r="G947" s="145"/>
      <c r="H947" s="145"/>
      <c r="I947" s="145"/>
      <c r="J947" s="145"/>
      <c r="K947" s="145"/>
      <c r="L947" s="145"/>
      <c r="M947" s="145"/>
      <c r="N947" s="145"/>
      <c r="O947" s="174"/>
      <c r="P947" s="174"/>
      <c r="Q947" s="158" t="str">
        <v/>
      </c>
      <c r="R947" s="158" t="str">
        <v/>
      </c>
      <c r="S947" s="158" t="str">
        <v/>
      </c>
      <c r="T947" s="158" t="str">
        <v/>
      </c>
      <c r="U947" s="158" t="str">
        <v/>
      </c>
      <c r="V947" s="158" t="str">
        <v/>
      </c>
      <c r="W947" s="158" t="str">
        <v/>
      </c>
      <c r="X947" s="158" t="str">
        <v/>
      </c>
      <c r="Y947" s="158" t="str">
        <v/>
      </c>
      <c r="Z947" s="158" t="str">
        <v/>
      </c>
      <c r="AA947" s="158" t="e">
        <v>#VALUE!</v>
      </c>
      <c r="AB947" s="171" t="str">
        <v/>
      </c>
      <c r="AC947" s="158">
        <v>0</v>
      </c>
      <c r="AD947" s="173" t="str">
        <f ca="1">IFERROR(__xludf.DUMMYFUNCTION("""COMPUTED_VALUE"""),"")</f>
        <v/>
      </c>
      <c r="AE947" s="154" t="str">
        <v/>
      </c>
      <c r="AF947" s="154" t="str">
        <v/>
      </c>
    </row>
    <row r="948" spans="1:32" ht="15">
      <c r="A948" s="176"/>
      <c r="B948" s="145"/>
      <c r="C948" s="169"/>
      <c r="D948" s="145"/>
      <c r="E948" s="145"/>
      <c r="F948" s="169" t="e">
        <v>#VALUE!</v>
      </c>
      <c r="G948" s="145"/>
      <c r="H948" s="145"/>
      <c r="I948" s="145"/>
      <c r="J948" s="145"/>
      <c r="K948" s="145"/>
      <c r="L948" s="145"/>
      <c r="M948" s="145"/>
      <c r="N948" s="145"/>
      <c r="O948" s="174"/>
      <c r="P948" s="174"/>
      <c r="Q948" s="158" t="str">
        <v/>
      </c>
      <c r="R948" s="158" t="str">
        <v/>
      </c>
      <c r="S948" s="158" t="str">
        <v/>
      </c>
      <c r="T948" s="158" t="str">
        <v/>
      </c>
      <c r="U948" s="158" t="str">
        <v/>
      </c>
      <c r="V948" s="158" t="str">
        <v/>
      </c>
      <c r="W948" s="158" t="str">
        <v/>
      </c>
      <c r="X948" s="158" t="str">
        <v/>
      </c>
      <c r="Y948" s="158" t="str">
        <v/>
      </c>
      <c r="Z948" s="158" t="str">
        <v/>
      </c>
      <c r="AA948" s="158" t="e">
        <v>#VALUE!</v>
      </c>
      <c r="AB948" s="171" t="str">
        <v/>
      </c>
      <c r="AC948" s="158">
        <v>0</v>
      </c>
      <c r="AD948" s="173" t="str">
        <f ca="1">IFERROR(__xludf.DUMMYFUNCTION("""COMPUTED_VALUE"""),"")</f>
        <v/>
      </c>
      <c r="AE948" s="154" t="str">
        <v/>
      </c>
      <c r="AF948" s="154" t="str">
        <v/>
      </c>
    </row>
    <row r="949" spans="1:32" ht="15">
      <c r="A949" s="176"/>
      <c r="B949" s="145"/>
      <c r="C949" s="169"/>
      <c r="D949" s="145"/>
      <c r="E949" s="145"/>
      <c r="F949" s="169" t="e">
        <v>#VALUE!</v>
      </c>
      <c r="G949" s="145"/>
      <c r="H949" s="145"/>
      <c r="I949" s="145"/>
      <c r="J949" s="145"/>
      <c r="K949" s="145"/>
      <c r="L949" s="145"/>
      <c r="M949" s="145"/>
      <c r="N949" s="145"/>
      <c r="O949" s="174"/>
      <c r="P949" s="174"/>
      <c r="Q949" s="158" t="str">
        <v/>
      </c>
      <c r="R949" s="158" t="str">
        <v/>
      </c>
      <c r="S949" s="158" t="str">
        <v/>
      </c>
      <c r="T949" s="158" t="str">
        <v/>
      </c>
      <c r="U949" s="158" t="str">
        <v/>
      </c>
      <c r="V949" s="158" t="str">
        <v/>
      </c>
      <c r="W949" s="158" t="str">
        <v/>
      </c>
      <c r="X949" s="158" t="str">
        <v/>
      </c>
      <c r="Y949" s="158" t="str">
        <v/>
      </c>
      <c r="Z949" s="158" t="str">
        <v/>
      </c>
      <c r="AA949" s="158" t="e">
        <v>#VALUE!</v>
      </c>
      <c r="AB949" s="171" t="str">
        <v/>
      </c>
      <c r="AC949" s="158">
        <v>0</v>
      </c>
      <c r="AD949" s="173" t="str">
        <f ca="1">IFERROR(__xludf.DUMMYFUNCTION("""COMPUTED_VALUE"""),"")</f>
        <v/>
      </c>
      <c r="AE949" s="154" t="str">
        <v/>
      </c>
      <c r="AF949" s="154" t="str">
        <v/>
      </c>
    </row>
    <row r="950" spans="1:32" ht="15">
      <c r="A950" s="176"/>
      <c r="B950" s="145"/>
      <c r="C950" s="169"/>
      <c r="D950" s="145"/>
      <c r="E950" s="145"/>
      <c r="F950" s="169" t="e">
        <v>#VALUE!</v>
      </c>
      <c r="G950" s="145"/>
      <c r="H950" s="145"/>
      <c r="I950" s="145"/>
      <c r="J950" s="145"/>
      <c r="K950" s="145"/>
      <c r="L950" s="145"/>
      <c r="M950" s="145"/>
      <c r="N950" s="145"/>
      <c r="O950" s="174"/>
      <c r="P950" s="174"/>
      <c r="Q950" s="158" t="str">
        <v/>
      </c>
      <c r="R950" s="158" t="str">
        <v/>
      </c>
      <c r="S950" s="158" t="str">
        <v/>
      </c>
      <c r="T950" s="158" t="str">
        <v/>
      </c>
      <c r="U950" s="158" t="str">
        <v/>
      </c>
      <c r="V950" s="158" t="str">
        <v/>
      </c>
      <c r="W950" s="158" t="str">
        <v/>
      </c>
      <c r="X950" s="158" t="str">
        <v/>
      </c>
      <c r="Y950" s="158" t="str">
        <v/>
      </c>
      <c r="Z950" s="158" t="str">
        <v/>
      </c>
      <c r="AA950" s="158" t="e">
        <v>#VALUE!</v>
      </c>
      <c r="AB950" s="171" t="str">
        <v/>
      </c>
      <c r="AC950" s="158">
        <v>0</v>
      </c>
      <c r="AD950" s="173" t="str">
        <f ca="1">IFERROR(__xludf.DUMMYFUNCTION("""COMPUTED_VALUE"""),"")</f>
        <v/>
      </c>
      <c r="AE950" s="154" t="str">
        <v/>
      </c>
      <c r="AF950" s="154" t="str">
        <v/>
      </c>
    </row>
    <row r="951" spans="1:32" ht="15">
      <c r="A951" s="176"/>
      <c r="B951" s="145"/>
      <c r="C951" s="169"/>
      <c r="D951" s="145"/>
      <c r="E951" s="145"/>
      <c r="F951" s="169" t="e">
        <v>#VALUE!</v>
      </c>
      <c r="G951" s="145"/>
      <c r="H951" s="145"/>
      <c r="I951" s="145"/>
      <c r="J951" s="145"/>
      <c r="K951" s="145"/>
      <c r="L951" s="145"/>
      <c r="M951" s="145"/>
      <c r="N951" s="145"/>
      <c r="O951" s="174"/>
      <c r="P951" s="174"/>
      <c r="Q951" s="158" t="str">
        <v/>
      </c>
      <c r="R951" s="158" t="str">
        <v/>
      </c>
      <c r="S951" s="158" t="str">
        <v/>
      </c>
      <c r="T951" s="158" t="str">
        <v/>
      </c>
      <c r="U951" s="158" t="str">
        <v/>
      </c>
      <c r="V951" s="158" t="str">
        <v/>
      </c>
      <c r="W951" s="158" t="str">
        <v/>
      </c>
      <c r="X951" s="158" t="str">
        <v/>
      </c>
      <c r="Y951" s="158" t="str">
        <v/>
      </c>
      <c r="Z951" s="158" t="str">
        <v/>
      </c>
      <c r="AA951" s="158" t="e">
        <v>#VALUE!</v>
      </c>
      <c r="AB951" s="171" t="str">
        <v/>
      </c>
      <c r="AC951" s="158">
        <v>0</v>
      </c>
      <c r="AD951" s="173" t="str">
        <f ca="1">IFERROR(__xludf.DUMMYFUNCTION("""COMPUTED_VALUE"""),"")</f>
        <v/>
      </c>
      <c r="AE951" s="154" t="str">
        <v/>
      </c>
      <c r="AF951" s="154" t="str">
        <v/>
      </c>
    </row>
    <row r="952" spans="1:32" ht="15">
      <c r="A952" s="176"/>
      <c r="B952" s="145"/>
      <c r="C952" s="169"/>
      <c r="D952" s="145"/>
      <c r="E952" s="145"/>
      <c r="F952" s="169" t="e">
        <v>#VALUE!</v>
      </c>
      <c r="G952" s="145"/>
      <c r="H952" s="145"/>
      <c r="I952" s="145"/>
      <c r="J952" s="145"/>
      <c r="K952" s="145"/>
      <c r="L952" s="145"/>
      <c r="M952" s="145"/>
      <c r="N952" s="145"/>
      <c r="O952" s="174"/>
      <c r="P952" s="174"/>
      <c r="Q952" s="158" t="str">
        <v/>
      </c>
      <c r="R952" s="158" t="str">
        <v/>
      </c>
      <c r="S952" s="158" t="str">
        <v/>
      </c>
      <c r="T952" s="158" t="str">
        <v/>
      </c>
      <c r="U952" s="158" t="str">
        <v/>
      </c>
      <c r="V952" s="158" t="str">
        <v/>
      </c>
      <c r="W952" s="158" t="str">
        <v/>
      </c>
      <c r="X952" s="158" t="str">
        <v/>
      </c>
      <c r="Y952" s="158" t="str">
        <v/>
      </c>
      <c r="Z952" s="158" t="str">
        <v/>
      </c>
      <c r="AA952" s="158" t="e">
        <v>#VALUE!</v>
      </c>
      <c r="AB952" s="171" t="str">
        <v/>
      </c>
      <c r="AC952" s="158">
        <v>0</v>
      </c>
      <c r="AD952" s="173" t="str">
        <f ca="1">IFERROR(__xludf.DUMMYFUNCTION("""COMPUTED_VALUE"""),"")</f>
        <v/>
      </c>
      <c r="AE952" s="154" t="str">
        <v/>
      </c>
      <c r="AF952" s="154" t="str">
        <v/>
      </c>
    </row>
    <row r="953" spans="1:32" ht="15">
      <c r="A953" s="176"/>
      <c r="B953" s="145"/>
      <c r="C953" s="169"/>
      <c r="D953" s="145"/>
      <c r="E953" s="145"/>
      <c r="F953" s="169" t="e">
        <v>#VALUE!</v>
      </c>
      <c r="G953" s="145"/>
      <c r="H953" s="145"/>
      <c r="I953" s="145"/>
      <c r="J953" s="145"/>
      <c r="K953" s="145"/>
      <c r="L953" s="145"/>
      <c r="M953" s="145"/>
      <c r="N953" s="145"/>
      <c r="O953" s="174"/>
      <c r="P953" s="174"/>
      <c r="Q953" s="158" t="str">
        <v/>
      </c>
      <c r="R953" s="158" t="str">
        <v/>
      </c>
      <c r="S953" s="158" t="str">
        <v/>
      </c>
      <c r="T953" s="158" t="str">
        <v/>
      </c>
      <c r="U953" s="158" t="str">
        <v/>
      </c>
      <c r="V953" s="158" t="str">
        <v/>
      </c>
      <c r="W953" s="158" t="str">
        <v/>
      </c>
      <c r="X953" s="158" t="str">
        <v/>
      </c>
      <c r="Y953" s="158" t="str">
        <v/>
      </c>
      <c r="Z953" s="158" t="str">
        <v/>
      </c>
      <c r="AA953" s="158" t="e">
        <v>#VALUE!</v>
      </c>
      <c r="AB953" s="171" t="str">
        <v/>
      </c>
      <c r="AC953" s="158">
        <v>0</v>
      </c>
      <c r="AD953" s="173" t="str">
        <f ca="1">IFERROR(__xludf.DUMMYFUNCTION("""COMPUTED_VALUE"""),"")</f>
        <v/>
      </c>
      <c r="AE953" s="154" t="str">
        <v/>
      </c>
      <c r="AF953" s="154" t="str">
        <v/>
      </c>
    </row>
    <row r="954" spans="1:32" ht="15">
      <c r="A954" s="176"/>
      <c r="B954" s="145"/>
      <c r="C954" s="169"/>
      <c r="D954" s="145"/>
      <c r="E954" s="145"/>
      <c r="F954" s="169" t="e">
        <v>#VALUE!</v>
      </c>
      <c r="G954" s="145"/>
      <c r="H954" s="145"/>
      <c r="I954" s="145"/>
      <c r="J954" s="145"/>
      <c r="K954" s="145"/>
      <c r="L954" s="145"/>
      <c r="M954" s="145"/>
      <c r="N954" s="145"/>
      <c r="O954" s="174"/>
      <c r="P954" s="174"/>
      <c r="Q954" s="158" t="str">
        <v/>
      </c>
      <c r="R954" s="158" t="str">
        <v/>
      </c>
      <c r="S954" s="158" t="str">
        <v/>
      </c>
      <c r="T954" s="158" t="str">
        <v/>
      </c>
      <c r="U954" s="158" t="str">
        <v/>
      </c>
      <c r="V954" s="158" t="str">
        <v/>
      </c>
      <c r="W954" s="158" t="str">
        <v/>
      </c>
      <c r="X954" s="158" t="str">
        <v/>
      </c>
      <c r="Y954" s="158" t="str">
        <v/>
      </c>
      <c r="Z954" s="158" t="str">
        <v/>
      </c>
      <c r="AA954" s="158" t="e">
        <v>#VALUE!</v>
      </c>
      <c r="AB954" s="171" t="str">
        <v/>
      </c>
      <c r="AC954" s="158">
        <v>0</v>
      </c>
      <c r="AD954" s="173" t="str">
        <f ca="1">IFERROR(__xludf.DUMMYFUNCTION("""COMPUTED_VALUE"""),"")</f>
        <v/>
      </c>
      <c r="AE954" s="154" t="str">
        <v/>
      </c>
      <c r="AF954" s="154" t="str">
        <v/>
      </c>
    </row>
    <row r="955" spans="1:32" ht="15">
      <c r="A955" s="176"/>
      <c r="B955" s="145"/>
      <c r="C955" s="169"/>
      <c r="D955" s="145"/>
      <c r="E955" s="145"/>
      <c r="F955" s="169" t="e">
        <v>#VALUE!</v>
      </c>
      <c r="G955" s="145"/>
      <c r="H955" s="145"/>
      <c r="I955" s="145"/>
      <c r="J955" s="145"/>
      <c r="K955" s="145"/>
      <c r="L955" s="145"/>
      <c r="M955" s="145"/>
      <c r="N955" s="145"/>
      <c r="O955" s="174"/>
      <c r="P955" s="174"/>
      <c r="Q955" s="158" t="str">
        <v/>
      </c>
      <c r="R955" s="158" t="str">
        <v/>
      </c>
      <c r="S955" s="158" t="str">
        <v/>
      </c>
      <c r="T955" s="158" t="str">
        <v/>
      </c>
      <c r="U955" s="158" t="str">
        <v/>
      </c>
      <c r="V955" s="158" t="str">
        <v/>
      </c>
      <c r="W955" s="158" t="str">
        <v/>
      </c>
      <c r="X955" s="158" t="str">
        <v/>
      </c>
      <c r="Y955" s="158" t="str">
        <v/>
      </c>
      <c r="Z955" s="158" t="str">
        <v/>
      </c>
      <c r="AA955" s="158" t="e">
        <v>#VALUE!</v>
      </c>
      <c r="AB955" s="171" t="str">
        <v/>
      </c>
      <c r="AC955" s="158">
        <v>0</v>
      </c>
      <c r="AD955" s="173" t="str">
        <f ca="1">IFERROR(__xludf.DUMMYFUNCTION("""COMPUTED_VALUE"""),"")</f>
        <v/>
      </c>
      <c r="AE955" s="154" t="str">
        <v/>
      </c>
      <c r="AF955" s="154" t="str">
        <v/>
      </c>
    </row>
    <row r="956" spans="1:32" ht="15">
      <c r="A956" s="176"/>
      <c r="B956" s="145"/>
      <c r="C956" s="169"/>
      <c r="D956" s="145"/>
      <c r="E956" s="145"/>
      <c r="F956" s="169" t="e">
        <v>#VALUE!</v>
      </c>
      <c r="G956" s="145"/>
      <c r="H956" s="145"/>
      <c r="I956" s="145"/>
      <c r="J956" s="145"/>
      <c r="K956" s="145"/>
      <c r="L956" s="145"/>
      <c r="M956" s="145"/>
      <c r="N956" s="145"/>
      <c r="O956" s="174"/>
      <c r="P956" s="174"/>
      <c r="Q956" s="158" t="str">
        <v/>
      </c>
      <c r="R956" s="158" t="str">
        <v/>
      </c>
      <c r="S956" s="158" t="str">
        <v/>
      </c>
      <c r="T956" s="158" t="str">
        <v/>
      </c>
      <c r="U956" s="158" t="str">
        <v/>
      </c>
      <c r="V956" s="158" t="str">
        <v/>
      </c>
      <c r="W956" s="158" t="str">
        <v/>
      </c>
      <c r="X956" s="158" t="str">
        <v/>
      </c>
      <c r="Y956" s="158" t="str">
        <v/>
      </c>
      <c r="Z956" s="158" t="str">
        <v/>
      </c>
      <c r="AA956" s="158" t="e">
        <v>#VALUE!</v>
      </c>
      <c r="AB956" s="171" t="str">
        <v/>
      </c>
      <c r="AC956" s="158">
        <v>0</v>
      </c>
      <c r="AD956" s="173" t="str">
        <f ca="1">IFERROR(__xludf.DUMMYFUNCTION("""COMPUTED_VALUE"""),"")</f>
        <v/>
      </c>
      <c r="AE956" s="154" t="str">
        <v/>
      </c>
      <c r="AF956" s="154" t="str">
        <v/>
      </c>
    </row>
    <row r="957" spans="1:32" ht="15">
      <c r="A957" s="176"/>
      <c r="B957" s="145"/>
      <c r="C957" s="169"/>
      <c r="D957" s="145"/>
      <c r="E957" s="145"/>
      <c r="F957" s="169" t="e">
        <v>#VALUE!</v>
      </c>
      <c r="G957" s="145"/>
      <c r="H957" s="145"/>
      <c r="I957" s="145"/>
      <c r="J957" s="145"/>
      <c r="K957" s="145"/>
      <c r="L957" s="145"/>
      <c r="M957" s="145"/>
      <c r="N957" s="145"/>
      <c r="O957" s="174"/>
      <c r="P957" s="174"/>
      <c r="Q957" s="158" t="str">
        <v/>
      </c>
      <c r="R957" s="158" t="str">
        <v/>
      </c>
      <c r="S957" s="158" t="str">
        <v/>
      </c>
      <c r="T957" s="158" t="str">
        <v/>
      </c>
      <c r="U957" s="158" t="str">
        <v/>
      </c>
      <c r="V957" s="158" t="str">
        <v/>
      </c>
      <c r="W957" s="158" t="str">
        <v/>
      </c>
      <c r="X957" s="158" t="str">
        <v/>
      </c>
      <c r="Y957" s="158" t="str">
        <v/>
      </c>
      <c r="Z957" s="158" t="str">
        <v/>
      </c>
      <c r="AA957" s="158" t="e">
        <v>#VALUE!</v>
      </c>
      <c r="AB957" s="171" t="str">
        <v/>
      </c>
      <c r="AC957" s="158">
        <v>0</v>
      </c>
      <c r="AD957" s="173" t="str">
        <f ca="1">IFERROR(__xludf.DUMMYFUNCTION("""COMPUTED_VALUE"""),"")</f>
        <v/>
      </c>
      <c r="AE957" s="154" t="str">
        <v/>
      </c>
      <c r="AF957" s="154" t="str">
        <v/>
      </c>
    </row>
    <row r="958" spans="1:32" ht="15">
      <c r="A958" s="176"/>
      <c r="B958" s="145"/>
      <c r="C958" s="169"/>
      <c r="D958" s="145"/>
      <c r="E958" s="145"/>
      <c r="F958" s="169" t="e">
        <v>#VALUE!</v>
      </c>
      <c r="G958" s="145"/>
      <c r="H958" s="145"/>
      <c r="I958" s="145"/>
      <c r="J958" s="145"/>
      <c r="K958" s="145"/>
      <c r="L958" s="145"/>
      <c r="M958" s="145"/>
      <c r="N958" s="145"/>
      <c r="O958" s="174"/>
      <c r="P958" s="174"/>
      <c r="Q958" s="158" t="str">
        <v/>
      </c>
      <c r="R958" s="158" t="str">
        <v/>
      </c>
      <c r="S958" s="158" t="str">
        <v/>
      </c>
      <c r="T958" s="158" t="str">
        <v/>
      </c>
      <c r="U958" s="158" t="str">
        <v/>
      </c>
      <c r="V958" s="158" t="str">
        <v/>
      </c>
      <c r="W958" s="158" t="str">
        <v/>
      </c>
      <c r="X958" s="158" t="str">
        <v/>
      </c>
      <c r="Y958" s="158" t="str">
        <v/>
      </c>
      <c r="Z958" s="158" t="str">
        <v/>
      </c>
      <c r="AA958" s="158" t="e">
        <v>#VALUE!</v>
      </c>
      <c r="AB958" s="171" t="str">
        <v/>
      </c>
      <c r="AC958" s="158">
        <v>0</v>
      </c>
      <c r="AD958" s="173" t="str">
        <f ca="1">IFERROR(__xludf.DUMMYFUNCTION("""COMPUTED_VALUE"""),"")</f>
        <v/>
      </c>
      <c r="AE958" s="154" t="str">
        <v/>
      </c>
      <c r="AF958" s="154" t="str">
        <v/>
      </c>
    </row>
    <row r="959" spans="1:32" ht="15">
      <c r="A959" s="176"/>
      <c r="B959" s="145"/>
      <c r="C959" s="169"/>
      <c r="D959" s="145"/>
      <c r="E959" s="145"/>
      <c r="F959" s="169" t="e">
        <v>#VALUE!</v>
      </c>
      <c r="G959" s="145"/>
      <c r="H959" s="145"/>
      <c r="I959" s="145"/>
      <c r="J959" s="145"/>
      <c r="K959" s="145"/>
      <c r="L959" s="145"/>
      <c r="M959" s="145"/>
      <c r="N959" s="145"/>
      <c r="O959" s="174"/>
      <c r="P959" s="174"/>
      <c r="Q959" s="158" t="str">
        <v/>
      </c>
      <c r="R959" s="158" t="str">
        <v/>
      </c>
      <c r="S959" s="158" t="str">
        <v/>
      </c>
      <c r="T959" s="158" t="str">
        <v/>
      </c>
      <c r="U959" s="158" t="str">
        <v/>
      </c>
      <c r="V959" s="158" t="str">
        <v/>
      </c>
      <c r="W959" s="158" t="str">
        <v/>
      </c>
      <c r="X959" s="158" t="str">
        <v/>
      </c>
      <c r="Y959" s="158" t="str">
        <v/>
      </c>
      <c r="Z959" s="158" t="str">
        <v/>
      </c>
      <c r="AA959" s="158" t="e">
        <v>#VALUE!</v>
      </c>
      <c r="AB959" s="171" t="str">
        <v/>
      </c>
      <c r="AC959" s="158">
        <v>0</v>
      </c>
      <c r="AD959" s="173" t="str">
        <f ca="1">IFERROR(__xludf.DUMMYFUNCTION("""COMPUTED_VALUE"""),"")</f>
        <v/>
      </c>
      <c r="AE959" s="154" t="str">
        <v/>
      </c>
      <c r="AF959" s="154" t="str">
        <v/>
      </c>
    </row>
    <row r="960" spans="1:32" ht="15">
      <c r="A960" s="176"/>
      <c r="B960" s="145"/>
      <c r="C960" s="169"/>
      <c r="D960" s="145"/>
      <c r="E960" s="145"/>
      <c r="F960" s="169" t="e">
        <v>#VALUE!</v>
      </c>
      <c r="G960" s="145"/>
      <c r="H960" s="145"/>
      <c r="I960" s="145"/>
      <c r="J960" s="145"/>
      <c r="K960" s="145"/>
      <c r="L960" s="145"/>
      <c r="M960" s="145"/>
      <c r="N960" s="145"/>
      <c r="O960" s="174"/>
      <c r="P960" s="174"/>
      <c r="Q960" s="158" t="str">
        <v/>
      </c>
      <c r="R960" s="158" t="str">
        <v/>
      </c>
      <c r="S960" s="158" t="str">
        <v/>
      </c>
      <c r="T960" s="158" t="str">
        <v/>
      </c>
      <c r="U960" s="158" t="str">
        <v/>
      </c>
      <c r="V960" s="158" t="str">
        <v/>
      </c>
      <c r="W960" s="158" t="str">
        <v/>
      </c>
      <c r="X960" s="158" t="str">
        <v/>
      </c>
      <c r="Y960" s="158" t="str">
        <v/>
      </c>
      <c r="Z960" s="158" t="str">
        <v/>
      </c>
      <c r="AA960" s="158" t="e">
        <v>#VALUE!</v>
      </c>
      <c r="AB960" s="171" t="str">
        <v/>
      </c>
      <c r="AC960" s="158">
        <v>0</v>
      </c>
      <c r="AD960" s="173" t="str">
        <f ca="1">IFERROR(__xludf.DUMMYFUNCTION("""COMPUTED_VALUE"""),"")</f>
        <v/>
      </c>
      <c r="AE960" s="154" t="str">
        <v/>
      </c>
      <c r="AF960" s="154" t="str">
        <v/>
      </c>
    </row>
    <row r="961" spans="1:32" ht="15">
      <c r="A961" s="176"/>
      <c r="B961" s="145"/>
      <c r="C961" s="169"/>
      <c r="D961" s="145"/>
      <c r="E961" s="145"/>
      <c r="F961" s="169" t="e">
        <v>#VALUE!</v>
      </c>
      <c r="G961" s="145"/>
      <c r="H961" s="145"/>
      <c r="I961" s="145"/>
      <c r="J961" s="145"/>
      <c r="K961" s="145"/>
      <c r="L961" s="145"/>
      <c r="M961" s="145"/>
      <c r="N961" s="145"/>
      <c r="O961" s="174"/>
      <c r="P961" s="174"/>
      <c r="Q961" s="158" t="str">
        <v/>
      </c>
      <c r="R961" s="158" t="str">
        <v/>
      </c>
      <c r="S961" s="158" t="str">
        <v/>
      </c>
      <c r="T961" s="158" t="str">
        <v/>
      </c>
      <c r="U961" s="158" t="str">
        <v/>
      </c>
      <c r="V961" s="158" t="str">
        <v/>
      </c>
      <c r="W961" s="158" t="str">
        <v/>
      </c>
      <c r="X961" s="158" t="str">
        <v/>
      </c>
      <c r="Y961" s="158" t="str">
        <v/>
      </c>
      <c r="Z961" s="158" t="str">
        <v/>
      </c>
      <c r="AA961" s="158" t="e">
        <v>#VALUE!</v>
      </c>
      <c r="AB961" s="171" t="str">
        <v/>
      </c>
      <c r="AC961" s="158">
        <v>0</v>
      </c>
      <c r="AD961" s="173" t="str">
        <f ca="1">IFERROR(__xludf.DUMMYFUNCTION("""COMPUTED_VALUE"""),"")</f>
        <v/>
      </c>
      <c r="AE961" s="154" t="str">
        <v/>
      </c>
      <c r="AF961" s="154" t="str">
        <v/>
      </c>
    </row>
    <row r="962" spans="1:32" ht="15">
      <c r="A962" s="176"/>
      <c r="B962" s="145"/>
      <c r="C962" s="169"/>
      <c r="D962" s="145"/>
      <c r="E962" s="145"/>
      <c r="F962" s="169" t="e">
        <v>#VALUE!</v>
      </c>
      <c r="G962" s="145"/>
      <c r="H962" s="145"/>
      <c r="I962" s="145"/>
      <c r="J962" s="145"/>
      <c r="K962" s="145"/>
      <c r="L962" s="145"/>
      <c r="M962" s="145"/>
      <c r="N962" s="145"/>
      <c r="O962" s="174"/>
      <c r="P962" s="174"/>
      <c r="Q962" s="158" t="str">
        <v/>
      </c>
      <c r="R962" s="158" t="str">
        <v/>
      </c>
      <c r="S962" s="158" t="str">
        <v/>
      </c>
      <c r="T962" s="158" t="str">
        <v/>
      </c>
      <c r="U962" s="158" t="str">
        <v/>
      </c>
      <c r="V962" s="158" t="str">
        <v/>
      </c>
      <c r="W962" s="158" t="str">
        <v/>
      </c>
      <c r="X962" s="158" t="str">
        <v/>
      </c>
      <c r="Y962" s="158" t="str">
        <v/>
      </c>
      <c r="Z962" s="158" t="str">
        <v/>
      </c>
      <c r="AA962" s="158" t="e">
        <v>#VALUE!</v>
      </c>
      <c r="AB962" s="171" t="str">
        <v/>
      </c>
      <c r="AC962" s="158">
        <v>0</v>
      </c>
      <c r="AD962" s="173" t="str">
        <f ca="1">IFERROR(__xludf.DUMMYFUNCTION("""COMPUTED_VALUE"""),"")</f>
        <v/>
      </c>
      <c r="AE962" s="154" t="str">
        <v/>
      </c>
      <c r="AF962" s="154" t="str">
        <v/>
      </c>
    </row>
    <row r="963" spans="1:32" ht="15">
      <c r="A963" s="176"/>
      <c r="B963" s="145"/>
      <c r="C963" s="169"/>
      <c r="D963" s="145"/>
      <c r="E963" s="145"/>
      <c r="F963" s="169" t="e">
        <v>#VALUE!</v>
      </c>
      <c r="G963" s="145"/>
      <c r="H963" s="145"/>
      <c r="I963" s="145"/>
      <c r="J963" s="145"/>
      <c r="K963" s="145"/>
      <c r="L963" s="145"/>
      <c r="M963" s="145"/>
      <c r="N963" s="145"/>
      <c r="O963" s="174"/>
      <c r="P963" s="174"/>
      <c r="Q963" s="158" t="str">
        <v/>
      </c>
      <c r="R963" s="158" t="str">
        <v/>
      </c>
      <c r="S963" s="158" t="str">
        <v/>
      </c>
      <c r="T963" s="158" t="str">
        <v/>
      </c>
      <c r="U963" s="158" t="str">
        <v/>
      </c>
      <c r="V963" s="158" t="str">
        <v/>
      </c>
      <c r="W963" s="158" t="str">
        <v/>
      </c>
      <c r="X963" s="158" t="str">
        <v/>
      </c>
      <c r="Y963" s="158" t="str">
        <v/>
      </c>
      <c r="Z963" s="158" t="str">
        <v/>
      </c>
      <c r="AA963" s="158" t="e">
        <v>#VALUE!</v>
      </c>
      <c r="AB963" s="171" t="str">
        <v/>
      </c>
      <c r="AC963" s="158">
        <v>0</v>
      </c>
      <c r="AD963" s="173" t="str">
        <f ca="1">IFERROR(__xludf.DUMMYFUNCTION("""COMPUTED_VALUE"""),"")</f>
        <v/>
      </c>
      <c r="AE963" s="154" t="str">
        <v/>
      </c>
      <c r="AF963" s="154" t="str">
        <v/>
      </c>
    </row>
    <row r="964" spans="1:32" ht="15">
      <c r="A964" s="176"/>
      <c r="B964" s="145"/>
      <c r="C964" s="169"/>
      <c r="D964" s="145"/>
      <c r="E964" s="145"/>
      <c r="F964" s="169" t="e">
        <v>#VALUE!</v>
      </c>
      <c r="G964" s="145"/>
      <c r="H964" s="145"/>
      <c r="I964" s="145"/>
      <c r="J964" s="145"/>
      <c r="K964" s="145"/>
      <c r="L964" s="145"/>
      <c r="M964" s="145"/>
      <c r="N964" s="145"/>
      <c r="O964" s="174"/>
      <c r="P964" s="174"/>
      <c r="Q964" s="158" t="str">
        <v/>
      </c>
      <c r="R964" s="158" t="str">
        <v/>
      </c>
      <c r="S964" s="158" t="str">
        <v/>
      </c>
      <c r="T964" s="158" t="str">
        <v/>
      </c>
      <c r="U964" s="158" t="str">
        <v/>
      </c>
      <c r="V964" s="158" t="str">
        <v/>
      </c>
      <c r="W964" s="158" t="str">
        <v/>
      </c>
      <c r="X964" s="158" t="str">
        <v/>
      </c>
      <c r="Y964" s="158" t="str">
        <v/>
      </c>
      <c r="Z964" s="158" t="str">
        <v/>
      </c>
      <c r="AA964" s="158" t="e">
        <v>#VALUE!</v>
      </c>
      <c r="AB964" s="171" t="str">
        <v/>
      </c>
      <c r="AC964" s="158">
        <v>0</v>
      </c>
      <c r="AD964" s="173" t="str">
        <f ca="1">IFERROR(__xludf.DUMMYFUNCTION("""COMPUTED_VALUE"""),"")</f>
        <v/>
      </c>
      <c r="AE964" s="154" t="str">
        <v/>
      </c>
      <c r="AF964" s="154" t="str">
        <v/>
      </c>
    </row>
    <row r="965" spans="1:32" ht="15">
      <c r="A965" s="176"/>
      <c r="B965" s="145"/>
      <c r="C965" s="169"/>
      <c r="D965" s="145"/>
      <c r="E965" s="145"/>
      <c r="F965" s="169" t="e">
        <v>#VALUE!</v>
      </c>
      <c r="G965" s="145"/>
      <c r="H965" s="145"/>
      <c r="I965" s="145"/>
      <c r="J965" s="145"/>
      <c r="K965" s="145"/>
      <c r="L965" s="145"/>
      <c r="M965" s="145"/>
      <c r="N965" s="145"/>
      <c r="O965" s="174"/>
      <c r="P965" s="174"/>
      <c r="Q965" s="158" t="str">
        <v/>
      </c>
      <c r="R965" s="158" t="str">
        <v/>
      </c>
      <c r="S965" s="158" t="str">
        <v/>
      </c>
      <c r="T965" s="158" t="str">
        <v/>
      </c>
      <c r="U965" s="158" t="str">
        <v/>
      </c>
      <c r="V965" s="158" t="str">
        <v/>
      </c>
      <c r="W965" s="158" t="str">
        <v/>
      </c>
      <c r="X965" s="158" t="str">
        <v/>
      </c>
      <c r="Y965" s="158" t="str">
        <v/>
      </c>
      <c r="Z965" s="158" t="str">
        <v/>
      </c>
      <c r="AA965" s="158" t="e">
        <v>#VALUE!</v>
      </c>
      <c r="AB965" s="171" t="str">
        <v/>
      </c>
      <c r="AC965" s="158">
        <v>0</v>
      </c>
      <c r="AD965" s="173" t="str">
        <f ca="1">IFERROR(__xludf.DUMMYFUNCTION("""COMPUTED_VALUE"""),"")</f>
        <v/>
      </c>
      <c r="AE965" s="154" t="str">
        <v/>
      </c>
      <c r="AF965" s="154" t="str">
        <v/>
      </c>
    </row>
    <row r="966" spans="1:32" ht="15">
      <c r="A966" s="176"/>
      <c r="B966" s="145"/>
      <c r="C966" s="169"/>
      <c r="D966" s="145"/>
      <c r="E966" s="145"/>
      <c r="F966" s="169" t="e">
        <v>#VALUE!</v>
      </c>
      <c r="G966" s="145"/>
      <c r="H966" s="145"/>
      <c r="I966" s="145"/>
      <c r="J966" s="145"/>
      <c r="K966" s="145"/>
      <c r="L966" s="145"/>
      <c r="M966" s="145"/>
      <c r="N966" s="145"/>
      <c r="O966" s="174"/>
      <c r="P966" s="174"/>
      <c r="Q966" s="158" t="str">
        <v/>
      </c>
      <c r="R966" s="158" t="str">
        <v/>
      </c>
      <c r="S966" s="158" t="str">
        <v/>
      </c>
      <c r="T966" s="158" t="str">
        <v/>
      </c>
      <c r="U966" s="158" t="str">
        <v/>
      </c>
      <c r="V966" s="158" t="str">
        <v/>
      </c>
      <c r="W966" s="158" t="str">
        <v/>
      </c>
      <c r="X966" s="158" t="str">
        <v/>
      </c>
      <c r="Y966" s="158" t="str">
        <v/>
      </c>
      <c r="Z966" s="158" t="str">
        <v/>
      </c>
      <c r="AA966" s="158" t="e">
        <v>#VALUE!</v>
      </c>
      <c r="AB966" s="171" t="str">
        <v/>
      </c>
      <c r="AC966" s="158">
        <v>0</v>
      </c>
      <c r="AD966" s="173" t="str">
        <f ca="1">IFERROR(__xludf.DUMMYFUNCTION("""COMPUTED_VALUE"""),"")</f>
        <v/>
      </c>
      <c r="AE966" s="154" t="str">
        <v/>
      </c>
      <c r="AF966" s="154" t="str">
        <v/>
      </c>
    </row>
    <row r="967" spans="1:32" ht="15">
      <c r="A967" s="176"/>
      <c r="B967" s="145"/>
      <c r="C967" s="169"/>
      <c r="D967" s="145"/>
      <c r="E967" s="145"/>
      <c r="F967" s="169" t="e">
        <v>#VALUE!</v>
      </c>
      <c r="G967" s="145"/>
      <c r="H967" s="145"/>
      <c r="I967" s="145"/>
      <c r="J967" s="145"/>
      <c r="K967" s="145"/>
      <c r="L967" s="145"/>
      <c r="M967" s="145"/>
      <c r="N967" s="145"/>
      <c r="O967" s="174"/>
      <c r="P967" s="174"/>
      <c r="Q967" s="158" t="str">
        <v/>
      </c>
      <c r="R967" s="158" t="str">
        <v/>
      </c>
      <c r="S967" s="158" t="str">
        <v/>
      </c>
      <c r="T967" s="158" t="str">
        <v/>
      </c>
      <c r="U967" s="158" t="str">
        <v/>
      </c>
      <c r="V967" s="158" t="str">
        <v/>
      </c>
      <c r="W967" s="158" t="str">
        <v/>
      </c>
      <c r="X967" s="158" t="str">
        <v/>
      </c>
      <c r="Y967" s="158" t="str">
        <v/>
      </c>
      <c r="Z967" s="158" t="str">
        <v/>
      </c>
      <c r="AA967" s="158" t="e">
        <v>#VALUE!</v>
      </c>
      <c r="AB967" s="171" t="str">
        <v/>
      </c>
      <c r="AC967" s="158">
        <v>0</v>
      </c>
      <c r="AD967" s="173" t="str">
        <f ca="1">IFERROR(__xludf.DUMMYFUNCTION("""COMPUTED_VALUE"""),"")</f>
        <v/>
      </c>
      <c r="AE967" s="154" t="str">
        <v/>
      </c>
      <c r="AF967" s="154" t="str">
        <v/>
      </c>
    </row>
    <row r="968" spans="1:32" ht="15">
      <c r="A968" s="176"/>
      <c r="B968" s="145"/>
      <c r="C968" s="169"/>
      <c r="D968" s="145"/>
      <c r="E968" s="145"/>
      <c r="F968" s="169" t="e">
        <v>#VALUE!</v>
      </c>
      <c r="G968" s="145"/>
      <c r="H968" s="145"/>
      <c r="I968" s="145"/>
      <c r="J968" s="145"/>
      <c r="K968" s="145"/>
      <c r="L968" s="145"/>
      <c r="M968" s="145"/>
      <c r="N968" s="145"/>
      <c r="O968" s="174"/>
      <c r="P968" s="174"/>
      <c r="Q968" s="158" t="str">
        <v/>
      </c>
      <c r="R968" s="158" t="str">
        <v/>
      </c>
      <c r="S968" s="158" t="str">
        <v/>
      </c>
      <c r="T968" s="158" t="str">
        <v/>
      </c>
      <c r="U968" s="158" t="str">
        <v/>
      </c>
      <c r="V968" s="158" t="str">
        <v/>
      </c>
      <c r="W968" s="158" t="str">
        <v/>
      </c>
      <c r="X968" s="158" t="str">
        <v/>
      </c>
      <c r="Y968" s="158" t="str">
        <v/>
      </c>
      <c r="Z968" s="158" t="str">
        <v/>
      </c>
      <c r="AA968" s="158" t="e">
        <v>#VALUE!</v>
      </c>
      <c r="AB968" s="171" t="str">
        <v/>
      </c>
      <c r="AC968" s="158">
        <v>0</v>
      </c>
      <c r="AD968" s="173" t="str">
        <f ca="1">IFERROR(__xludf.DUMMYFUNCTION("""COMPUTED_VALUE"""),"")</f>
        <v/>
      </c>
      <c r="AE968" s="154" t="str">
        <v/>
      </c>
      <c r="AF968" s="154" t="str">
        <v/>
      </c>
    </row>
    <row r="969" spans="1:32" ht="15">
      <c r="A969" s="176"/>
      <c r="B969" s="145"/>
      <c r="C969" s="169"/>
      <c r="D969" s="145"/>
      <c r="E969" s="145"/>
      <c r="F969" s="169" t="e">
        <v>#VALUE!</v>
      </c>
      <c r="G969" s="145"/>
      <c r="H969" s="145"/>
      <c r="I969" s="145"/>
      <c r="J969" s="145"/>
      <c r="K969" s="145"/>
      <c r="L969" s="145"/>
      <c r="M969" s="145"/>
      <c r="N969" s="145"/>
      <c r="O969" s="174"/>
      <c r="P969" s="174"/>
      <c r="Q969" s="158" t="str">
        <v/>
      </c>
      <c r="R969" s="158" t="str">
        <v/>
      </c>
      <c r="S969" s="158" t="str">
        <v/>
      </c>
      <c r="T969" s="158" t="str">
        <v/>
      </c>
      <c r="U969" s="158" t="str">
        <v/>
      </c>
      <c r="V969" s="158" t="str">
        <v/>
      </c>
      <c r="W969" s="158" t="str">
        <v/>
      </c>
      <c r="X969" s="158" t="str">
        <v/>
      </c>
      <c r="Y969" s="158" t="str">
        <v/>
      </c>
      <c r="Z969" s="158" t="str">
        <v/>
      </c>
      <c r="AA969" s="158" t="e">
        <v>#VALUE!</v>
      </c>
      <c r="AB969" s="171" t="str">
        <v/>
      </c>
      <c r="AC969" s="158">
        <v>0</v>
      </c>
      <c r="AD969" s="173" t="str">
        <f ca="1">IFERROR(__xludf.DUMMYFUNCTION("""COMPUTED_VALUE"""),"")</f>
        <v/>
      </c>
      <c r="AE969" s="154" t="str">
        <v/>
      </c>
      <c r="AF969" s="154" t="str">
        <v/>
      </c>
    </row>
    <row r="970" spans="1:32" ht="15">
      <c r="A970" s="176"/>
      <c r="B970" s="145"/>
      <c r="C970" s="169"/>
      <c r="D970" s="145"/>
      <c r="E970" s="145"/>
      <c r="F970" s="169" t="e">
        <v>#VALUE!</v>
      </c>
      <c r="G970" s="145"/>
      <c r="H970" s="145"/>
      <c r="I970" s="145"/>
      <c r="J970" s="145"/>
      <c r="K970" s="145"/>
      <c r="L970" s="145"/>
      <c r="M970" s="145"/>
      <c r="N970" s="145"/>
      <c r="O970" s="174"/>
      <c r="P970" s="174"/>
      <c r="Q970" s="158" t="str">
        <v/>
      </c>
      <c r="R970" s="158" t="str">
        <v/>
      </c>
      <c r="S970" s="158" t="str">
        <v/>
      </c>
      <c r="T970" s="158" t="str">
        <v/>
      </c>
      <c r="U970" s="158" t="str">
        <v/>
      </c>
      <c r="V970" s="158" t="str">
        <v/>
      </c>
      <c r="W970" s="158" t="str">
        <v/>
      </c>
      <c r="X970" s="158" t="str">
        <v/>
      </c>
      <c r="Y970" s="158" t="str">
        <v/>
      </c>
      <c r="Z970" s="158" t="str">
        <v/>
      </c>
      <c r="AA970" s="158" t="e">
        <v>#VALUE!</v>
      </c>
      <c r="AB970" s="171" t="str">
        <v/>
      </c>
      <c r="AC970" s="158">
        <v>0</v>
      </c>
      <c r="AD970" s="173" t="str">
        <f ca="1">IFERROR(__xludf.DUMMYFUNCTION("""COMPUTED_VALUE"""),"")</f>
        <v/>
      </c>
      <c r="AE970" s="154" t="str">
        <v/>
      </c>
      <c r="AF970" s="154" t="str">
        <v/>
      </c>
    </row>
    <row r="971" spans="1:32" ht="15">
      <c r="A971" s="176"/>
      <c r="B971" s="145"/>
      <c r="C971" s="169"/>
      <c r="D971" s="145"/>
      <c r="E971" s="145"/>
      <c r="F971" s="169" t="e">
        <v>#VALUE!</v>
      </c>
      <c r="G971" s="145"/>
      <c r="H971" s="145"/>
      <c r="I971" s="145"/>
      <c r="J971" s="145"/>
      <c r="K971" s="145"/>
      <c r="L971" s="145"/>
      <c r="M971" s="145"/>
      <c r="N971" s="145"/>
      <c r="O971" s="174"/>
      <c r="P971" s="174"/>
      <c r="Q971" s="158" t="str">
        <v/>
      </c>
      <c r="R971" s="158" t="str">
        <v/>
      </c>
      <c r="S971" s="158" t="str">
        <v/>
      </c>
      <c r="T971" s="158" t="str">
        <v/>
      </c>
      <c r="U971" s="158" t="str">
        <v/>
      </c>
      <c r="V971" s="158" t="str">
        <v/>
      </c>
      <c r="W971" s="158" t="str">
        <v/>
      </c>
      <c r="X971" s="158" t="str">
        <v/>
      </c>
      <c r="Y971" s="158" t="str">
        <v/>
      </c>
      <c r="Z971" s="158" t="str">
        <v/>
      </c>
      <c r="AA971" s="158" t="e">
        <v>#VALUE!</v>
      </c>
      <c r="AB971" s="171" t="str">
        <v/>
      </c>
      <c r="AC971" s="158">
        <v>0</v>
      </c>
      <c r="AD971" s="173" t="str">
        <f ca="1">IFERROR(__xludf.DUMMYFUNCTION("""COMPUTED_VALUE"""),"")</f>
        <v/>
      </c>
      <c r="AE971" s="154" t="str">
        <v/>
      </c>
      <c r="AF971" s="154" t="str">
        <v/>
      </c>
    </row>
    <row r="972" spans="1:32" ht="15">
      <c r="A972" s="176"/>
      <c r="B972" s="145"/>
      <c r="C972" s="169"/>
      <c r="D972" s="145"/>
      <c r="E972" s="145"/>
      <c r="F972" s="169" t="e">
        <v>#VALUE!</v>
      </c>
      <c r="G972" s="145"/>
      <c r="H972" s="145"/>
      <c r="I972" s="145"/>
      <c r="J972" s="145"/>
      <c r="K972" s="145"/>
      <c r="L972" s="145"/>
      <c r="M972" s="145"/>
      <c r="N972" s="145"/>
      <c r="O972" s="174"/>
      <c r="P972" s="174"/>
      <c r="Q972" s="158" t="str">
        <v/>
      </c>
      <c r="R972" s="158" t="str">
        <v/>
      </c>
      <c r="S972" s="158" t="str">
        <v/>
      </c>
      <c r="T972" s="158" t="str">
        <v/>
      </c>
      <c r="U972" s="158" t="str">
        <v/>
      </c>
      <c r="V972" s="158" t="str">
        <v/>
      </c>
      <c r="W972" s="158" t="str">
        <v/>
      </c>
      <c r="X972" s="158" t="str">
        <v/>
      </c>
      <c r="Y972" s="158" t="str">
        <v/>
      </c>
      <c r="Z972" s="158" t="str">
        <v/>
      </c>
      <c r="AA972" s="158" t="e">
        <v>#VALUE!</v>
      </c>
      <c r="AB972" s="171" t="str">
        <v/>
      </c>
      <c r="AC972" s="158">
        <v>0</v>
      </c>
      <c r="AD972" s="173" t="str">
        <f ca="1">IFERROR(__xludf.DUMMYFUNCTION("""COMPUTED_VALUE"""),"")</f>
        <v/>
      </c>
      <c r="AE972" s="154" t="str">
        <v/>
      </c>
      <c r="AF972" s="154" t="str">
        <v/>
      </c>
    </row>
    <row r="973" spans="1:32" ht="15">
      <c r="A973" s="176"/>
      <c r="B973" s="145"/>
      <c r="C973" s="169"/>
      <c r="D973" s="145"/>
      <c r="E973" s="145"/>
      <c r="F973" s="169" t="e">
        <v>#VALUE!</v>
      </c>
      <c r="G973" s="145"/>
      <c r="H973" s="145"/>
      <c r="I973" s="145"/>
      <c r="J973" s="145"/>
      <c r="K973" s="145"/>
      <c r="L973" s="145"/>
      <c r="M973" s="145"/>
      <c r="N973" s="145"/>
      <c r="O973" s="174"/>
      <c r="P973" s="174"/>
      <c r="Q973" s="158" t="str">
        <v/>
      </c>
      <c r="R973" s="158" t="str">
        <v/>
      </c>
      <c r="S973" s="158" t="str">
        <v/>
      </c>
      <c r="T973" s="158" t="str">
        <v/>
      </c>
      <c r="U973" s="158" t="str">
        <v/>
      </c>
      <c r="V973" s="158" t="str">
        <v/>
      </c>
      <c r="W973" s="158" t="str">
        <v/>
      </c>
      <c r="X973" s="158" t="str">
        <v/>
      </c>
      <c r="Y973" s="158" t="str">
        <v/>
      </c>
      <c r="Z973" s="158" t="str">
        <v/>
      </c>
      <c r="AA973" s="158" t="e">
        <v>#VALUE!</v>
      </c>
      <c r="AB973" s="171" t="str">
        <v/>
      </c>
      <c r="AC973" s="158">
        <v>0</v>
      </c>
      <c r="AD973" s="173" t="str">
        <f ca="1">IFERROR(__xludf.DUMMYFUNCTION("""COMPUTED_VALUE"""),"")</f>
        <v/>
      </c>
      <c r="AE973" s="154" t="str">
        <v/>
      </c>
      <c r="AF973" s="154" t="str">
        <v/>
      </c>
    </row>
    <row r="974" spans="1:32" ht="15">
      <c r="A974" s="176"/>
      <c r="B974" s="145"/>
      <c r="C974" s="169"/>
      <c r="D974" s="145"/>
      <c r="E974" s="145"/>
      <c r="F974" s="169" t="e">
        <v>#VALUE!</v>
      </c>
      <c r="G974" s="145"/>
      <c r="H974" s="145"/>
      <c r="I974" s="145"/>
      <c r="J974" s="145"/>
      <c r="K974" s="145"/>
      <c r="L974" s="145"/>
      <c r="M974" s="145"/>
      <c r="N974" s="145"/>
      <c r="O974" s="174"/>
      <c r="P974" s="174"/>
      <c r="Q974" s="158" t="str">
        <v/>
      </c>
      <c r="R974" s="158" t="str">
        <v/>
      </c>
      <c r="S974" s="158" t="str">
        <v/>
      </c>
      <c r="T974" s="158" t="str">
        <v/>
      </c>
      <c r="U974" s="158" t="str">
        <v/>
      </c>
      <c r="V974" s="158" t="str">
        <v/>
      </c>
      <c r="W974" s="158" t="str">
        <v/>
      </c>
      <c r="X974" s="158" t="str">
        <v/>
      </c>
      <c r="Y974" s="158" t="str">
        <v/>
      </c>
      <c r="Z974" s="158" t="str">
        <v/>
      </c>
      <c r="AA974" s="158" t="e">
        <v>#VALUE!</v>
      </c>
      <c r="AB974" s="171" t="str">
        <v/>
      </c>
      <c r="AC974" s="158">
        <v>0</v>
      </c>
      <c r="AD974" s="173" t="str">
        <f ca="1">IFERROR(__xludf.DUMMYFUNCTION("""COMPUTED_VALUE"""),"")</f>
        <v/>
      </c>
      <c r="AE974" s="154" t="str">
        <v/>
      </c>
      <c r="AF974" s="154" t="str">
        <v/>
      </c>
    </row>
    <row r="975" spans="1:32" ht="15">
      <c r="A975" s="176"/>
      <c r="B975" s="145"/>
      <c r="C975" s="169"/>
      <c r="D975" s="145"/>
      <c r="E975" s="145"/>
      <c r="F975" s="169" t="e">
        <v>#VALUE!</v>
      </c>
      <c r="G975" s="145"/>
      <c r="H975" s="145"/>
      <c r="I975" s="145"/>
      <c r="J975" s="145"/>
      <c r="K975" s="145"/>
      <c r="L975" s="145"/>
      <c r="M975" s="145"/>
      <c r="N975" s="145"/>
      <c r="O975" s="174"/>
      <c r="P975" s="174"/>
      <c r="Q975" s="158" t="str">
        <v/>
      </c>
      <c r="R975" s="158" t="str">
        <v/>
      </c>
      <c r="S975" s="158" t="str">
        <v/>
      </c>
      <c r="T975" s="158" t="str">
        <v/>
      </c>
      <c r="U975" s="158" t="str">
        <v/>
      </c>
      <c r="V975" s="158" t="str">
        <v/>
      </c>
      <c r="W975" s="158" t="str">
        <v/>
      </c>
      <c r="X975" s="158" t="str">
        <v/>
      </c>
      <c r="Y975" s="158" t="str">
        <v/>
      </c>
      <c r="Z975" s="158" t="str">
        <v/>
      </c>
      <c r="AA975" s="158" t="e">
        <v>#VALUE!</v>
      </c>
      <c r="AB975" s="171" t="str">
        <v/>
      </c>
      <c r="AC975" s="158">
        <v>0</v>
      </c>
      <c r="AD975" s="173" t="str">
        <f ca="1">IFERROR(__xludf.DUMMYFUNCTION("""COMPUTED_VALUE"""),"")</f>
        <v/>
      </c>
      <c r="AE975" s="154" t="str">
        <v/>
      </c>
      <c r="AF975" s="154" t="str">
        <v/>
      </c>
    </row>
    <row r="976" spans="1:32" ht="15">
      <c r="A976" s="176"/>
      <c r="B976" s="145"/>
      <c r="C976" s="169"/>
      <c r="D976" s="145"/>
      <c r="E976" s="145"/>
      <c r="F976" s="169" t="e">
        <v>#VALUE!</v>
      </c>
      <c r="G976" s="145"/>
      <c r="H976" s="145"/>
      <c r="I976" s="145"/>
      <c r="J976" s="145"/>
      <c r="K976" s="145"/>
      <c r="L976" s="145"/>
      <c r="M976" s="145"/>
      <c r="N976" s="145"/>
      <c r="O976" s="174"/>
      <c r="P976" s="174"/>
      <c r="Q976" s="158" t="str">
        <v/>
      </c>
      <c r="R976" s="158" t="str">
        <v/>
      </c>
      <c r="S976" s="158" t="str">
        <v/>
      </c>
      <c r="T976" s="158" t="str">
        <v/>
      </c>
      <c r="U976" s="158" t="str">
        <v/>
      </c>
      <c r="V976" s="158" t="str">
        <v/>
      </c>
      <c r="W976" s="158" t="str">
        <v/>
      </c>
      <c r="X976" s="158" t="str">
        <v/>
      </c>
      <c r="Y976" s="158" t="str">
        <v/>
      </c>
      <c r="Z976" s="158" t="str">
        <v/>
      </c>
      <c r="AA976" s="158" t="e">
        <v>#VALUE!</v>
      </c>
      <c r="AB976" s="171" t="str">
        <v/>
      </c>
      <c r="AC976" s="158">
        <v>0</v>
      </c>
      <c r="AD976" s="173" t="str">
        <f ca="1">IFERROR(__xludf.DUMMYFUNCTION("""COMPUTED_VALUE"""),"")</f>
        <v/>
      </c>
      <c r="AE976" s="154" t="str">
        <v/>
      </c>
      <c r="AF976" s="154" t="str">
        <v/>
      </c>
    </row>
    <row r="977" spans="1:32" ht="15">
      <c r="A977" s="176"/>
      <c r="B977" s="145"/>
      <c r="C977" s="169"/>
      <c r="D977" s="145"/>
      <c r="E977" s="145"/>
      <c r="F977" s="169" t="e">
        <v>#VALUE!</v>
      </c>
      <c r="G977" s="145"/>
      <c r="H977" s="145"/>
      <c r="I977" s="145"/>
      <c r="J977" s="145"/>
      <c r="K977" s="145"/>
      <c r="L977" s="145"/>
      <c r="M977" s="145"/>
      <c r="N977" s="145"/>
      <c r="O977" s="174"/>
      <c r="P977" s="174"/>
      <c r="Q977" s="158" t="str">
        <v/>
      </c>
      <c r="R977" s="158" t="str">
        <v/>
      </c>
      <c r="S977" s="158" t="str">
        <v/>
      </c>
      <c r="T977" s="158" t="str">
        <v/>
      </c>
      <c r="U977" s="158" t="str">
        <v/>
      </c>
      <c r="V977" s="158" t="str">
        <v/>
      </c>
      <c r="W977" s="158" t="str">
        <v/>
      </c>
      <c r="X977" s="158" t="str">
        <v/>
      </c>
      <c r="Y977" s="158" t="str">
        <v/>
      </c>
      <c r="Z977" s="158" t="str">
        <v/>
      </c>
      <c r="AA977" s="158" t="e">
        <v>#VALUE!</v>
      </c>
      <c r="AB977" s="171" t="str">
        <v/>
      </c>
      <c r="AC977" s="158">
        <v>0</v>
      </c>
      <c r="AD977" s="173" t="str">
        <f ca="1">IFERROR(__xludf.DUMMYFUNCTION("""COMPUTED_VALUE"""),"")</f>
        <v/>
      </c>
      <c r="AE977" s="154" t="str">
        <v/>
      </c>
      <c r="AF977" s="154" t="str">
        <v/>
      </c>
    </row>
    <row r="978" spans="1:32" ht="15">
      <c r="A978" s="176"/>
      <c r="B978" s="145"/>
      <c r="C978" s="169"/>
      <c r="D978" s="145"/>
      <c r="E978" s="145"/>
      <c r="F978" s="169" t="e">
        <v>#VALUE!</v>
      </c>
      <c r="G978" s="145"/>
      <c r="H978" s="145"/>
      <c r="I978" s="145"/>
      <c r="J978" s="145"/>
      <c r="K978" s="145"/>
      <c r="L978" s="145"/>
      <c r="M978" s="145"/>
      <c r="N978" s="145"/>
      <c r="O978" s="174"/>
      <c r="P978" s="174"/>
      <c r="Q978" s="158" t="str">
        <v/>
      </c>
      <c r="R978" s="158" t="str">
        <v/>
      </c>
      <c r="S978" s="158" t="str">
        <v/>
      </c>
      <c r="T978" s="158" t="str">
        <v/>
      </c>
      <c r="U978" s="158" t="str">
        <v/>
      </c>
      <c r="V978" s="158" t="str">
        <v/>
      </c>
      <c r="W978" s="158" t="str">
        <v/>
      </c>
      <c r="X978" s="158" t="str">
        <v/>
      </c>
      <c r="Y978" s="158" t="str">
        <v/>
      </c>
      <c r="Z978" s="158" t="str">
        <v/>
      </c>
      <c r="AA978" s="158" t="e">
        <v>#VALUE!</v>
      </c>
      <c r="AB978" s="171" t="str">
        <v/>
      </c>
      <c r="AC978" s="158">
        <v>0</v>
      </c>
      <c r="AD978" s="173" t="str">
        <f ca="1">IFERROR(__xludf.DUMMYFUNCTION("""COMPUTED_VALUE"""),"")</f>
        <v/>
      </c>
      <c r="AE978" s="154" t="str">
        <v/>
      </c>
      <c r="AF978" s="154" t="str">
        <v/>
      </c>
    </row>
    <row r="979" spans="1:32" ht="15">
      <c r="A979" s="176"/>
      <c r="B979" s="145"/>
      <c r="C979" s="169"/>
      <c r="D979" s="145"/>
      <c r="E979" s="145"/>
      <c r="F979" s="169" t="e">
        <v>#VALUE!</v>
      </c>
      <c r="G979" s="145"/>
      <c r="H979" s="145"/>
      <c r="I979" s="145"/>
      <c r="J979" s="145"/>
      <c r="K979" s="145"/>
      <c r="L979" s="145"/>
      <c r="M979" s="145"/>
      <c r="N979" s="145"/>
      <c r="O979" s="174"/>
      <c r="P979" s="174"/>
      <c r="Q979" s="158" t="str">
        <v/>
      </c>
      <c r="R979" s="158" t="str">
        <v/>
      </c>
      <c r="S979" s="158" t="str">
        <v/>
      </c>
      <c r="T979" s="158" t="str">
        <v/>
      </c>
      <c r="U979" s="158" t="str">
        <v/>
      </c>
      <c r="V979" s="158" t="str">
        <v/>
      </c>
      <c r="W979" s="158" t="str">
        <v/>
      </c>
      <c r="X979" s="158" t="str">
        <v/>
      </c>
      <c r="Y979" s="158" t="str">
        <v/>
      </c>
      <c r="Z979" s="158" t="str">
        <v/>
      </c>
      <c r="AA979" s="158" t="e">
        <v>#VALUE!</v>
      </c>
      <c r="AB979" s="171" t="str">
        <v/>
      </c>
      <c r="AC979" s="158">
        <v>0</v>
      </c>
      <c r="AD979" s="173" t="str">
        <f ca="1">IFERROR(__xludf.DUMMYFUNCTION("""COMPUTED_VALUE"""),"")</f>
        <v/>
      </c>
      <c r="AE979" s="154" t="str">
        <v/>
      </c>
      <c r="AF979" s="154" t="str">
        <v/>
      </c>
    </row>
    <row r="980" spans="1:32" ht="15">
      <c r="A980" s="176"/>
      <c r="B980" s="145"/>
      <c r="C980" s="169"/>
      <c r="D980" s="145"/>
      <c r="E980" s="145"/>
      <c r="F980" s="169" t="e">
        <v>#VALUE!</v>
      </c>
      <c r="G980" s="145"/>
      <c r="H980" s="145"/>
      <c r="I980" s="145"/>
      <c r="J980" s="145"/>
      <c r="K980" s="145"/>
      <c r="L980" s="145"/>
      <c r="M980" s="145"/>
      <c r="N980" s="145"/>
      <c r="O980" s="174"/>
      <c r="P980" s="174"/>
      <c r="Q980" s="158" t="str">
        <v/>
      </c>
      <c r="R980" s="158" t="str">
        <v/>
      </c>
      <c r="S980" s="158" t="str">
        <v/>
      </c>
      <c r="T980" s="158" t="str">
        <v/>
      </c>
      <c r="U980" s="158" t="str">
        <v/>
      </c>
      <c r="V980" s="158" t="str">
        <v/>
      </c>
      <c r="W980" s="158" t="str">
        <v/>
      </c>
      <c r="X980" s="158" t="str">
        <v/>
      </c>
      <c r="Y980" s="158" t="str">
        <v/>
      </c>
      <c r="Z980" s="158" t="str">
        <v/>
      </c>
      <c r="AA980" s="158" t="e">
        <v>#VALUE!</v>
      </c>
      <c r="AB980" s="171" t="str">
        <v/>
      </c>
      <c r="AC980" s="158">
        <v>0</v>
      </c>
      <c r="AD980" s="173" t="str">
        <f ca="1">IFERROR(__xludf.DUMMYFUNCTION("""COMPUTED_VALUE"""),"")</f>
        <v/>
      </c>
      <c r="AE980" s="154" t="str">
        <v/>
      </c>
      <c r="AF980" s="154" t="str">
        <v/>
      </c>
    </row>
    <row r="981" spans="1:32" ht="15">
      <c r="A981" s="176"/>
      <c r="B981" s="145"/>
      <c r="C981" s="169"/>
      <c r="D981" s="145"/>
      <c r="E981" s="145"/>
      <c r="F981" s="169" t="e">
        <v>#VALUE!</v>
      </c>
      <c r="G981" s="145"/>
      <c r="H981" s="145"/>
      <c r="I981" s="145"/>
      <c r="J981" s="145"/>
      <c r="K981" s="145"/>
      <c r="L981" s="145"/>
      <c r="M981" s="145"/>
      <c r="N981" s="145"/>
      <c r="O981" s="174"/>
      <c r="P981" s="174"/>
      <c r="Q981" s="158" t="str">
        <v/>
      </c>
      <c r="R981" s="158" t="str">
        <v/>
      </c>
      <c r="S981" s="158" t="str">
        <v/>
      </c>
      <c r="T981" s="158" t="str">
        <v/>
      </c>
      <c r="U981" s="158" t="str">
        <v/>
      </c>
      <c r="V981" s="158" t="str">
        <v/>
      </c>
      <c r="W981" s="158" t="str">
        <v/>
      </c>
      <c r="X981" s="158" t="str">
        <v/>
      </c>
      <c r="Y981" s="158" t="str">
        <v/>
      </c>
      <c r="Z981" s="158" t="str">
        <v/>
      </c>
      <c r="AA981" s="158" t="e">
        <v>#VALUE!</v>
      </c>
      <c r="AB981" s="171" t="str">
        <v/>
      </c>
      <c r="AC981" s="158">
        <v>0</v>
      </c>
      <c r="AD981" s="173" t="str">
        <f ca="1">IFERROR(__xludf.DUMMYFUNCTION("""COMPUTED_VALUE"""),"")</f>
        <v/>
      </c>
      <c r="AE981" s="154" t="str">
        <v/>
      </c>
      <c r="AF981" s="154" t="str">
        <v/>
      </c>
    </row>
    <row r="982" spans="1:32" ht="15">
      <c r="A982" s="176"/>
      <c r="B982" s="145"/>
      <c r="C982" s="169"/>
      <c r="D982" s="145"/>
      <c r="E982" s="145"/>
      <c r="F982" s="169" t="e">
        <v>#VALUE!</v>
      </c>
      <c r="G982" s="145"/>
      <c r="H982" s="145"/>
      <c r="I982" s="145"/>
      <c r="J982" s="145"/>
      <c r="K982" s="145"/>
      <c r="L982" s="145"/>
      <c r="M982" s="145"/>
      <c r="N982" s="145"/>
      <c r="O982" s="174"/>
      <c r="P982" s="174"/>
      <c r="Q982" s="158" t="str">
        <v/>
      </c>
      <c r="R982" s="158" t="str">
        <v/>
      </c>
      <c r="S982" s="158" t="str">
        <v/>
      </c>
      <c r="T982" s="158" t="str">
        <v/>
      </c>
      <c r="U982" s="158" t="str">
        <v/>
      </c>
      <c r="V982" s="158" t="str">
        <v/>
      </c>
      <c r="W982" s="158" t="str">
        <v/>
      </c>
      <c r="X982" s="158" t="str">
        <v/>
      </c>
      <c r="Y982" s="158" t="str">
        <v/>
      </c>
      <c r="Z982" s="158" t="str">
        <v/>
      </c>
      <c r="AA982" s="158" t="e">
        <v>#VALUE!</v>
      </c>
      <c r="AB982" s="171" t="str">
        <v/>
      </c>
      <c r="AC982" s="158">
        <v>0</v>
      </c>
      <c r="AD982" s="173" t="str">
        <f ca="1">IFERROR(__xludf.DUMMYFUNCTION("""COMPUTED_VALUE"""),"")</f>
        <v/>
      </c>
      <c r="AE982" s="154" t="str">
        <v/>
      </c>
      <c r="AF982" s="154" t="str">
        <v/>
      </c>
    </row>
    <row r="983" spans="1:32" ht="15">
      <c r="A983" s="176"/>
      <c r="B983" s="145"/>
      <c r="C983" s="169"/>
      <c r="D983" s="145"/>
      <c r="E983" s="145"/>
      <c r="F983" s="169" t="e">
        <v>#VALUE!</v>
      </c>
      <c r="G983" s="145"/>
      <c r="H983" s="145"/>
      <c r="I983" s="145"/>
      <c r="J983" s="145"/>
      <c r="K983" s="145"/>
      <c r="L983" s="145"/>
      <c r="M983" s="145"/>
      <c r="N983" s="145"/>
      <c r="O983" s="174"/>
      <c r="P983" s="174"/>
      <c r="Q983" s="158" t="str">
        <v/>
      </c>
      <c r="R983" s="158" t="str">
        <v/>
      </c>
      <c r="S983" s="158" t="str">
        <v/>
      </c>
      <c r="T983" s="158" t="str">
        <v/>
      </c>
      <c r="U983" s="158" t="str">
        <v/>
      </c>
      <c r="V983" s="158" t="str">
        <v/>
      </c>
      <c r="W983" s="158" t="str">
        <v/>
      </c>
      <c r="X983" s="158" t="str">
        <v/>
      </c>
      <c r="Y983" s="158" t="str">
        <v/>
      </c>
      <c r="Z983" s="158" t="str">
        <v/>
      </c>
      <c r="AA983" s="158" t="e">
        <v>#VALUE!</v>
      </c>
      <c r="AB983" s="171" t="str">
        <v/>
      </c>
      <c r="AC983" s="158">
        <v>0</v>
      </c>
      <c r="AD983" s="173" t="str">
        <f ca="1">IFERROR(__xludf.DUMMYFUNCTION("""COMPUTED_VALUE"""),"")</f>
        <v/>
      </c>
      <c r="AE983" s="154" t="str">
        <v/>
      </c>
      <c r="AF983" s="154" t="str">
        <v/>
      </c>
    </row>
    <row r="984" spans="1:32" ht="15">
      <c r="A984" s="176"/>
      <c r="B984" s="145"/>
      <c r="C984" s="169"/>
      <c r="D984" s="145"/>
      <c r="E984" s="145"/>
      <c r="F984" s="169" t="e">
        <v>#VALUE!</v>
      </c>
      <c r="G984" s="145"/>
      <c r="H984" s="145"/>
      <c r="I984" s="145"/>
      <c r="J984" s="145"/>
      <c r="K984" s="145"/>
      <c r="L984" s="145"/>
      <c r="M984" s="145"/>
      <c r="N984" s="145"/>
      <c r="O984" s="174"/>
      <c r="P984" s="174"/>
      <c r="Q984" s="158" t="str">
        <v/>
      </c>
      <c r="R984" s="158" t="str">
        <v/>
      </c>
      <c r="S984" s="158" t="str">
        <v/>
      </c>
      <c r="T984" s="158" t="str">
        <v/>
      </c>
      <c r="U984" s="158" t="str">
        <v/>
      </c>
      <c r="V984" s="158" t="str">
        <v/>
      </c>
      <c r="W984" s="158" t="str">
        <v/>
      </c>
      <c r="X984" s="158" t="str">
        <v/>
      </c>
      <c r="Y984" s="158" t="str">
        <v/>
      </c>
      <c r="Z984" s="158" t="str">
        <v/>
      </c>
      <c r="AA984" s="158" t="e">
        <v>#VALUE!</v>
      </c>
      <c r="AB984" s="171" t="str">
        <v/>
      </c>
      <c r="AC984" s="158">
        <v>0</v>
      </c>
      <c r="AD984" s="173" t="str">
        <f ca="1">IFERROR(__xludf.DUMMYFUNCTION("""COMPUTED_VALUE"""),"")</f>
        <v/>
      </c>
      <c r="AE984" s="154" t="str">
        <v/>
      </c>
      <c r="AF984" s="154" t="str">
        <v/>
      </c>
    </row>
    <row r="985" spans="1:32" ht="15">
      <c r="A985" s="176"/>
      <c r="B985" s="145"/>
      <c r="C985" s="169"/>
      <c r="D985" s="145"/>
      <c r="E985" s="145"/>
      <c r="F985" s="169" t="e">
        <v>#VALUE!</v>
      </c>
      <c r="G985" s="145"/>
      <c r="H985" s="145"/>
      <c r="I985" s="145"/>
      <c r="J985" s="145"/>
      <c r="K985" s="145"/>
      <c r="L985" s="145"/>
      <c r="M985" s="145"/>
      <c r="N985" s="145"/>
      <c r="O985" s="174"/>
      <c r="P985" s="174"/>
      <c r="Q985" s="158" t="str">
        <v/>
      </c>
      <c r="R985" s="158" t="str">
        <v/>
      </c>
      <c r="S985" s="158" t="str">
        <v/>
      </c>
      <c r="T985" s="158" t="str">
        <v/>
      </c>
      <c r="U985" s="158" t="str">
        <v/>
      </c>
      <c r="V985" s="158" t="str">
        <v/>
      </c>
      <c r="W985" s="158" t="str">
        <v/>
      </c>
      <c r="X985" s="158" t="str">
        <v/>
      </c>
      <c r="Y985" s="158" t="str">
        <v/>
      </c>
      <c r="Z985" s="158" t="str">
        <v/>
      </c>
      <c r="AA985" s="158" t="e">
        <v>#VALUE!</v>
      </c>
      <c r="AB985" s="171" t="str">
        <v/>
      </c>
      <c r="AC985" s="158">
        <v>0</v>
      </c>
      <c r="AD985" s="173" t="str">
        <f ca="1">IFERROR(__xludf.DUMMYFUNCTION("""COMPUTED_VALUE"""),"")</f>
        <v/>
      </c>
      <c r="AE985" s="154" t="str">
        <v/>
      </c>
      <c r="AF985" s="154" t="str">
        <v/>
      </c>
    </row>
    <row r="986" spans="1:32" ht="15">
      <c r="A986" s="176"/>
      <c r="B986" s="145"/>
      <c r="C986" s="169"/>
      <c r="D986" s="145"/>
      <c r="E986" s="145"/>
      <c r="F986" s="169" t="e">
        <v>#VALUE!</v>
      </c>
      <c r="G986" s="145"/>
      <c r="H986" s="145"/>
      <c r="I986" s="145"/>
      <c r="J986" s="145"/>
      <c r="K986" s="145"/>
      <c r="L986" s="145"/>
      <c r="M986" s="145"/>
      <c r="N986" s="145"/>
      <c r="O986" s="174"/>
      <c r="P986" s="174"/>
      <c r="Q986" s="158" t="str">
        <v/>
      </c>
      <c r="R986" s="158" t="str">
        <v/>
      </c>
      <c r="S986" s="158" t="str">
        <v/>
      </c>
      <c r="T986" s="158" t="str">
        <v/>
      </c>
      <c r="U986" s="158" t="str">
        <v/>
      </c>
      <c r="V986" s="158" t="str">
        <v/>
      </c>
      <c r="W986" s="158" t="str">
        <v/>
      </c>
      <c r="X986" s="158" t="str">
        <v/>
      </c>
      <c r="Y986" s="158" t="str">
        <v/>
      </c>
      <c r="Z986" s="158" t="str">
        <v/>
      </c>
      <c r="AA986" s="158" t="e">
        <v>#VALUE!</v>
      </c>
      <c r="AB986" s="171" t="str">
        <v/>
      </c>
      <c r="AC986" s="158">
        <v>0</v>
      </c>
      <c r="AD986" s="173" t="str">
        <f ca="1">IFERROR(__xludf.DUMMYFUNCTION("""COMPUTED_VALUE"""),"")</f>
        <v/>
      </c>
      <c r="AE986" s="154" t="str">
        <v/>
      </c>
      <c r="AF986" s="154" t="str">
        <v/>
      </c>
    </row>
    <row r="987" spans="1:32" ht="15">
      <c r="A987" s="176"/>
      <c r="B987" s="145"/>
      <c r="C987" s="169"/>
      <c r="D987" s="145"/>
      <c r="E987" s="145"/>
      <c r="F987" s="169" t="e">
        <v>#VALUE!</v>
      </c>
      <c r="G987" s="145"/>
      <c r="H987" s="145"/>
      <c r="I987" s="145"/>
      <c r="J987" s="145"/>
      <c r="K987" s="145"/>
      <c r="L987" s="145"/>
      <c r="M987" s="145"/>
      <c r="N987" s="145"/>
      <c r="O987" s="174"/>
      <c r="P987" s="174"/>
      <c r="Q987" s="158" t="str">
        <v/>
      </c>
      <c r="R987" s="158" t="str">
        <v/>
      </c>
      <c r="S987" s="158" t="str">
        <v/>
      </c>
      <c r="T987" s="158" t="str">
        <v/>
      </c>
      <c r="U987" s="158" t="str">
        <v/>
      </c>
      <c r="V987" s="158" t="str">
        <v/>
      </c>
      <c r="W987" s="158" t="str">
        <v/>
      </c>
      <c r="X987" s="158" t="str">
        <v/>
      </c>
      <c r="Y987" s="158" t="str">
        <v/>
      </c>
      <c r="Z987" s="158" t="str">
        <v/>
      </c>
      <c r="AA987" s="158" t="e">
        <v>#VALUE!</v>
      </c>
      <c r="AB987" s="171" t="str">
        <v/>
      </c>
      <c r="AC987" s="158">
        <v>0</v>
      </c>
      <c r="AD987" s="173" t="str">
        <f ca="1">IFERROR(__xludf.DUMMYFUNCTION("""COMPUTED_VALUE"""),"")</f>
        <v/>
      </c>
      <c r="AE987" s="154" t="str">
        <v/>
      </c>
      <c r="AF987" s="154" t="str">
        <v/>
      </c>
    </row>
    <row r="988" spans="1:32" ht="15">
      <c r="A988" s="176"/>
      <c r="B988" s="145"/>
      <c r="C988" s="169"/>
      <c r="D988" s="145"/>
      <c r="E988" s="145"/>
      <c r="F988" s="169" t="e">
        <v>#VALUE!</v>
      </c>
      <c r="G988" s="145"/>
      <c r="H988" s="145"/>
      <c r="I988" s="145"/>
      <c r="J988" s="145"/>
      <c r="K988" s="145"/>
      <c r="L988" s="145"/>
      <c r="M988" s="145"/>
      <c r="N988" s="145"/>
      <c r="O988" s="174"/>
      <c r="P988" s="174"/>
      <c r="Q988" s="158" t="str">
        <v/>
      </c>
      <c r="R988" s="158" t="str">
        <v/>
      </c>
      <c r="S988" s="158" t="str">
        <v/>
      </c>
      <c r="T988" s="158" t="str">
        <v/>
      </c>
      <c r="U988" s="158" t="str">
        <v/>
      </c>
      <c r="V988" s="158" t="str">
        <v/>
      </c>
      <c r="W988" s="158" t="str">
        <v/>
      </c>
      <c r="X988" s="158" t="str">
        <v/>
      </c>
      <c r="Y988" s="158" t="str">
        <v/>
      </c>
      <c r="Z988" s="158" t="str">
        <v/>
      </c>
      <c r="AA988" s="158" t="e">
        <v>#VALUE!</v>
      </c>
      <c r="AB988" s="171" t="str">
        <v/>
      </c>
      <c r="AC988" s="158">
        <v>0</v>
      </c>
      <c r="AD988" s="173" t="str">
        <f ca="1">IFERROR(__xludf.DUMMYFUNCTION("""COMPUTED_VALUE"""),"")</f>
        <v/>
      </c>
      <c r="AE988" s="154" t="str">
        <v/>
      </c>
      <c r="AF988" s="154" t="str">
        <v/>
      </c>
    </row>
    <row r="989" spans="1:32" ht="15">
      <c r="A989" s="176"/>
      <c r="B989" s="145"/>
      <c r="C989" s="169"/>
      <c r="D989" s="145"/>
      <c r="E989" s="145"/>
      <c r="F989" s="169" t="e">
        <v>#VALUE!</v>
      </c>
      <c r="G989" s="145"/>
      <c r="H989" s="145"/>
      <c r="I989" s="145"/>
      <c r="J989" s="145"/>
      <c r="K989" s="145"/>
      <c r="L989" s="145"/>
      <c r="M989" s="145"/>
      <c r="N989" s="145"/>
      <c r="O989" s="174"/>
      <c r="P989" s="174"/>
      <c r="Q989" s="158" t="str">
        <v/>
      </c>
      <c r="R989" s="158" t="str">
        <v/>
      </c>
      <c r="S989" s="158" t="str">
        <v/>
      </c>
      <c r="T989" s="158" t="str">
        <v/>
      </c>
      <c r="U989" s="158" t="str">
        <v/>
      </c>
      <c r="V989" s="158" t="str">
        <v/>
      </c>
      <c r="W989" s="158" t="str">
        <v/>
      </c>
      <c r="X989" s="158" t="str">
        <v/>
      </c>
      <c r="Y989" s="158" t="str">
        <v/>
      </c>
      <c r="Z989" s="158" t="str">
        <v/>
      </c>
      <c r="AA989" s="158" t="e">
        <v>#VALUE!</v>
      </c>
      <c r="AB989" s="171" t="str">
        <v/>
      </c>
      <c r="AC989" s="158">
        <v>0</v>
      </c>
      <c r="AD989" s="173" t="str">
        <f ca="1">IFERROR(__xludf.DUMMYFUNCTION("""COMPUTED_VALUE"""),"")</f>
        <v/>
      </c>
      <c r="AE989" s="154" t="str">
        <v/>
      </c>
      <c r="AF989" s="154" t="str">
        <v/>
      </c>
    </row>
    <row r="990" spans="1:32" ht="15">
      <c r="A990" s="176"/>
      <c r="B990" s="145"/>
      <c r="C990" s="169"/>
      <c r="D990" s="145"/>
      <c r="E990" s="145"/>
      <c r="F990" s="169" t="e">
        <v>#VALUE!</v>
      </c>
      <c r="G990" s="145"/>
      <c r="H990" s="145"/>
      <c r="I990" s="145"/>
      <c r="J990" s="145"/>
      <c r="K990" s="145"/>
      <c r="L990" s="145"/>
      <c r="M990" s="145"/>
      <c r="N990" s="145"/>
      <c r="O990" s="174"/>
      <c r="P990" s="174"/>
      <c r="Q990" s="158" t="str">
        <v/>
      </c>
      <c r="R990" s="158" t="str">
        <v/>
      </c>
      <c r="S990" s="158" t="str">
        <v/>
      </c>
      <c r="T990" s="158" t="str">
        <v/>
      </c>
      <c r="U990" s="158" t="str">
        <v/>
      </c>
      <c r="V990" s="158" t="str">
        <v/>
      </c>
      <c r="W990" s="158" t="str">
        <v/>
      </c>
      <c r="X990" s="158" t="str">
        <v/>
      </c>
      <c r="Y990" s="158" t="str">
        <v/>
      </c>
      <c r="Z990" s="158" t="str">
        <v/>
      </c>
      <c r="AA990" s="158" t="e">
        <v>#VALUE!</v>
      </c>
      <c r="AB990" s="171" t="str">
        <v/>
      </c>
      <c r="AC990" s="158">
        <v>0</v>
      </c>
      <c r="AD990" s="173" t="str">
        <f ca="1">IFERROR(__xludf.DUMMYFUNCTION("""COMPUTED_VALUE"""),"")</f>
        <v/>
      </c>
      <c r="AE990" s="154" t="str">
        <v/>
      </c>
      <c r="AF990" s="154" t="str">
        <v/>
      </c>
    </row>
    <row r="991" spans="1:32" ht="15">
      <c r="A991" s="176"/>
      <c r="B991" s="145"/>
      <c r="C991" s="169"/>
      <c r="D991" s="145"/>
      <c r="E991" s="145"/>
      <c r="F991" s="169" t="e">
        <v>#VALUE!</v>
      </c>
      <c r="G991" s="145"/>
      <c r="H991" s="145"/>
      <c r="I991" s="145"/>
      <c r="J991" s="145"/>
      <c r="K991" s="145"/>
      <c r="L991" s="145"/>
      <c r="M991" s="145"/>
      <c r="N991" s="145"/>
      <c r="O991" s="174"/>
      <c r="P991" s="174"/>
      <c r="Q991" s="158" t="str">
        <v/>
      </c>
      <c r="R991" s="158" t="str">
        <v/>
      </c>
      <c r="S991" s="158" t="str">
        <v/>
      </c>
      <c r="T991" s="158" t="str">
        <v/>
      </c>
      <c r="U991" s="158" t="str">
        <v/>
      </c>
      <c r="V991" s="158" t="str">
        <v/>
      </c>
      <c r="W991" s="158" t="str">
        <v/>
      </c>
      <c r="X991" s="158" t="str">
        <v/>
      </c>
      <c r="Y991" s="158" t="str">
        <v/>
      </c>
      <c r="Z991" s="158" t="str">
        <v/>
      </c>
      <c r="AA991" s="158" t="e">
        <v>#VALUE!</v>
      </c>
      <c r="AB991" s="171" t="str">
        <v/>
      </c>
      <c r="AC991" s="158">
        <v>0</v>
      </c>
      <c r="AD991" s="173" t="str">
        <f ca="1">IFERROR(__xludf.DUMMYFUNCTION("""COMPUTED_VALUE"""),"")</f>
        <v/>
      </c>
      <c r="AE991" s="154" t="str">
        <v/>
      </c>
      <c r="AF991" s="154" t="str">
        <v/>
      </c>
    </row>
    <row r="992" spans="1:32" ht="15">
      <c r="A992" s="176"/>
      <c r="B992" s="145"/>
      <c r="C992" s="169"/>
      <c r="D992" s="145"/>
      <c r="E992" s="145"/>
      <c r="F992" s="169" t="e">
        <v>#VALUE!</v>
      </c>
      <c r="G992" s="145"/>
      <c r="H992" s="145"/>
      <c r="I992" s="145"/>
      <c r="J992" s="145"/>
      <c r="K992" s="145"/>
      <c r="L992" s="145"/>
      <c r="M992" s="145"/>
      <c r="N992" s="145"/>
      <c r="O992" s="174"/>
      <c r="P992" s="174"/>
      <c r="Q992" s="158" t="str">
        <v/>
      </c>
      <c r="R992" s="158" t="str">
        <v/>
      </c>
      <c r="S992" s="158" t="str">
        <v/>
      </c>
      <c r="T992" s="158" t="str">
        <v/>
      </c>
      <c r="U992" s="158" t="str">
        <v/>
      </c>
      <c r="V992" s="158" t="str">
        <v/>
      </c>
      <c r="W992" s="158" t="str">
        <v/>
      </c>
      <c r="X992" s="158" t="str">
        <v/>
      </c>
      <c r="Y992" s="158" t="str">
        <v/>
      </c>
      <c r="Z992" s="158" t="str">
        <v/>
      </c>
      <c r="AA992" s="158" t="e">
        <v>#VALUE!</v>
      </c>
      <c r="AB992" s="171" t="str">
        <v/>
      </c>
      <c r="AC992" s="158">
        <v>0</v>
      </c>
      <c r="AD992" s="173" t="str">
        <f ca="1">IFERROR(__xludf.DUMMYFUNCTION("""COMPUTED_VALUE"""),"")</f>
        <v/>
      </c>
      <c r="AE992" s="154" t="str">
        <v/>
      </c>
      <c r="AF992" s="154" t="str">
        <v/>
      </c>
    </row>
    <row r="993" spans="1:32" ht="15">
      <c r="A993" s="176"/>
      <c r="B993" s="145"/>
      <c r="C993" s="169"/>
      <c r="D993" s="145"/>
      <c r="E993" s="145"/>
      <c r="F993" s="169" t="e">
        <v>#VALUE!</v>
      </c>
      <c r="G993" s="145"/>
      <c r="H993" s="145"/>
      <c r="I993" s="145"/>
      <c r="J993" s="145"/>
      <c r="K993" s="145"/>
      <c r="L993" s="145"/>
      <c r="M993" s="145"/>
      <c r="N993" s="145"/>
      <c r="O993" s="174"/>
      <c r="P993" s="174"/>
      <c r="Q993" s="158" t="str">
        <v/>
      </c>
      <c r="R993" s="158" t="str">
        <v/>
      </c>
      <c r="S993" s="158" t="str">
        <v/>
      </c>
      <c r="T993" s="158" t="str">
        <v/>
      </c>
      <c r="U993" s="158" t="str">
        <v/>
      </c>
      <c r="V993" s="158" t="str">
        <v/>
      </c>
      <c r="W993" s="158" t="str">
        <v/>
      </c>
      <c r="X993" s="158" t="str">
        <v/>
      </c>
      <c r="Y993" s="158" t="str">
        <v/>
      </c>
      <c r="Z993" s="158" t="str">
        <v/>
      </c>
      <c r="AA993" s="158" t="e">
        <v>#VALUE!</v>
      </c>
      <c r="AB993" s="171" t="str">
        <v/>
      </c>
      <c r="AC993" s="158">
        <v>0</v>
      </c>
      <c r="AD993" s="173" t="str">
        <f ca="1">IFERROR(__xludf.DUMMYFUNCTION("""COMPUTED_VALUE"""),"")</f>
        <v/>
      </c>
      <c r="AE993" s="154" t="str">
        <v/>
      </c>
      <c r="AF993" s="154" t="str">
        <v/>
      </c>
    </row>
    <row r="994" spans="1:32" ht="15">
      <c r="A994" s="176"/>
      <c r="B994" s="145"/>
      <c r="C994" s="169"/>
      <c r="D994" s="145"/>
      <c r="E994" s="145"/>
      <c r="F994" s="169" t="e">
        <v>#VALUE!</v>
      </c>
      <c r="G994" s="145"/>
      <c r="H994" s="145"/>
      <c r="I994" s="145"/>
      <c r="J994" s="145"/>
      <c r="K994" s="145"/>
      <c r="L994" s="145"/>
      <c r="M994" s="145"/>
      <c r="N994" s="145"/>
      <c r="O994" s="174"/>
      <c r="P994" s="174"/>
      <c r="Q994" s="158" t="str">
        <v/>
      </c>
      <c r="R994" s="158" t="str">
        <v/>
      </c>
      <c r="S994" s="158" t="str">
        <v/>
      </c>
      <c r="T994" s="158" t="str">
        <v/>
      </c>
      <c r="U994" s="158" t="str">
        <v/>
      </c>
      <c r="V994" s="158" t="str">
        <v/>
      </c>
      <c r="W994" s="158" t="str">
        <v/>
      </c>
      <c r="X994" s="158" t="str">
        <v/>
      </c>
      <c r="Y994" s="158" t="str">
        <v/>
      </c>
      <c r="Z994" s="158" t="str">
        <v/>
      </c>
      <c r="AA994" s="158" t="e">
        <v>#VALUE!</v>
      </c>
      <c r="AB994" s="171" t="str">
        <v/>
      </c>
      <c r="AC994" s="158">
        <v>0</v>
      </c>
      <c r="AD994" s="173" t="str">
        <f ca="1">IFERROR(__xludf.DUMMYFUNCTION("""COMPUTED_VALUE"""),"")</f>
        <v/>
      </c>
      <c r="AE994" s="154" t="str">
        <v/>
      </c>
      <c r="AF994" s="154" t="str">
        <v/>
      </c>
    </row>
    <row r="995" spans="1:32" ht="15">
      <c r="A995" s="176"/>
      <c r="B995" s="145"/>
      <c r="C995" s="169"/>
      <c r="D995" s="145"/>
      <c r="E995" s="145"/>
      <c r="F995" s="169" t="e">
        <v>#VALUE!</v>
      </c>
      <c r="G995" s="145"/>
      <c r="H995" s="145"/>
      <c r="I995" s="145"/>
      <c r="J995" s="145"/>
      <c r="K995" s="145"/>
      <c r="L995" s="145"/>
      <c r="M995" s="145"/>
      <c r="N995" s="145"/>
      <c r="O995" s="174"/>
      <c r="P995" s="174"/>
      <c r="Q995" s="158" t="str">
        <v/>
      </c>
      <c r="R995" s="158" t="str">
        <v/>
      </c>
      <c r="S995" s="158" t="str">
        <v/>
      </c>
      <c r="T995" s="158" t="str">
        <v/>
      </c>
      <c r="U995" s="158" t="str">
        <v/>
      </c>
      <c r="V995" s="158" t="str">
        <v/>
      </c>
      <c r="W995" s="158" t="str">
        <v/>
      </c>
      <c r="X995" s="158" t="str">
        <v/>
      </c>
      <c r="Y995" s="158" t="str">
        <v/>
      </c>
      <c r="Z995" s="158" t="str">
        <v/>
      </c>
      <c r="AA995" s="158" t="e">
        <v>#VALUE!</v>
      </c>
      <c r="AB995" s="171" t="str">
        <v/>
      </c>
      <c r="AC995" s="158">
        <v>0</v>
      </c>
      <c r="AD995" s="173" t="str">
        <f ca="1">IFERROR(__xludf.DUMMYFUNCTION("""COMPUTED_VALUE"""),"")</f>
        <v/>
      </c>
      <c r="AE995" s="154" t="str">
        <v/>
      </c>
      <c r="AF995" s="154" t="str">
        <v/>
      </c>
    </row>
    <row r="996" spans="1:32" ht="15">
      <c r="A996" s="176"/>
      <c r="B996" s="145"/>
      <c r="C996" s="169"/>
      <c r="D996" s="145"/>
      <c r="E996" s="145"/>
      <c r="F996" s="169" t="e">
        <v>#VALUE!</v>
      </c>
      <c r="G996" s="145"/>
      <c r="H996" s="145"/>
      <c r="I996" s="145"/>
      <c r="J996" s="145"/>
      <c r="K996" s="145"/>
      <c r="L996" s="145"/>
      <c r="M996" s="145"/>
      <c r="N996" s="145"/>
      <c r="O996" s="174"/>
      <c r="P996" s="174"/>
      <c r="Q996" s="158" t="str">
        <v/>
      </c>
      <c r="R996" s="158" t="str">
        <v/>
      </c>
      <c r="S996" s="158" t="str">
        <v/>
      </c>
      <c r="T996" s="158" t="str">
        <v/>
      </c>
      <c r="U996" s="158" t="str">
        <v/>
      </c>
      <c r="V996" s="158" t="str">
        <v/>
      </c>
      <c r="W996" s="158" t="str">
        <v/>
      </c>
      <c r="X996" s="158" t="str">
        <v/>
      </c>
      <c r="Y996" s="158" t="str">
        <v/>
      </c>
      <c r="Z996" s="158" t="str">
        <v/>
      </c>
      <c r="AA996" s="158" t="e">
        <v>#VALUE!</v>
      </c>
      <c r="AB996" s="171" t="str">
        <v/>
      </c>
      <c r="AC996" s="158">
        <v>0</v>
      </c>
      <c r="AD996" s="173" t="str">
        <f ca="1">IFERROR(__xludf.DUMMYFUNCTION("""COMPUTED_VALUE"""),"")</f>
        <v/>
      </c>
      <c r="AE996" s="154" t="str">
        <v/>
      </c>
      <c r="AF996" s="154" t="str">
        <v/>
      </c>
    </row>
    <row r="997" spans="1:32" ht="15">
      <c r="A997" s="176"/>
      <c r="B997" s="145"/>
      <c r="C997" s="169"/>
      <c r="D997" s="145"/>
      <c r="E997" s="145"/>
      <c r="F997" s="169" t="e">
        <v>#VALUE!</v>
      </c>
      <c r="G997" s="145"/>
      <c r="H997" s="145"/>
      <c r="I997" s="145"/>
      <c r="J997" s="145"/>
      <c r="K997" s="145"/>
      <c r="L997" s="145"/>
      <c r="M997" s="145"/>
      <c r="N997" s="145"/>
      <c r="O997" s="174"/>
      <c r="P997" s="174"/>
      <c r="Q997" s="158" t="str">
        <v/>
      </c>
      <c r="R997" s="158" t="str">
        <v/>
      </c>
      <c r="S997" s="158" t="str">
        <v/>
      </c>
      <c r="T997" s="158" t="str">
        <v/>
      </c>
      <c r="U997" s="158" t="str">
        <v/>
      </c>
      <c r="V997" s="158" t="str">
        <v/>
      </c>
      <c r="W997" s="158" t="str">
        <v/>
      </c>
      <c r="X997" s="158" t="str">
        <v/>
      </c>
      <c r="Y997" s="158" t="str">
        <v/>
      </c>
      <c r="Z997" s="158" t="str">
        <v/>
      </c>
      <c r="AA997" s="158" t="e">
        <v>#VALUE!</v>
      </c>
      <c r="AB997" s="171" t="str">
        <v/>
      </c>
      <c r="AC997" s="158">
        <v>0</v>
      </c>
      <c r="AD997" s="173" t="str">
        <f ca="1">IFERROR(__xludf.DUMMYFUNCTION("""COMPUTED_VALUE"""),"")</f>
        <v/>
      </c>
      <c r="AE997" s="154" t="str">
        <v/>
      </c>
      <c r="AF997" s="154" t="str">
        <v/>
      </c>
    </row>
    <row r="998" spans="1:32" ht="15">
      <c r="A998" s="176"/>
      <c r="B998" s="145"/>
      <c r="C998" s="169"/>
      <c r="D998" s="145"/>
      <c r="E998" s="145"/>
      <c r="F998" s="169" t="e">
        <v>#VALUE!</v>
      </c>
      <c r="G998" s="145"/>
      <c r="H998" s="145"/>
      <c r="I998" s="145"/>
      <c r="J998" s="145"/>
      <c r="K998" s="145"/>
      <c r="L998" s="145"/>
      <c r="M998" s="145"/>
      <c r="N998" s="145"/>
      <c r="O998" s="174"/>
      <c r="P998" s="174"/>
      <c r="Q998" s="158" t="str">
        <v/>
      </c>
      <c r="R998" s="158" t="str">
        <v/>
      </c>
      <c r="S998" s="158" t="str">
        <v/>
      </c>
      <c r="T998" s="158" t="str">
        <v/>
      </c>
      <c r="U998" s="158" t="str">
        <v/>
      </c>
      <c r="V998" s="158" t="str">
        <v/>
      </c>
      <c r="W998" s="158" t="str">
        <v/>
      </c>
      <c r="X998" s="158" t="str">
        <v/>
      </c>
      <c r="Y998" s="158" t="str">
        <v/>
      </c>
      <c r="Z998" s="158" t="str">
        <v/>
      </c>
      <c r="AA998" s="158" t="e">
        <v>#VALUE!</v>
      </c>
      <c r="AB998" s="171" t="str">
        <v/>
      </c>
      <c r="AC998" s="158">
        <v>0</v>
      </c>
      <c r="AD998" s="173" t="str">
        <f ca="1">IFERROR(__xludf.DUMMYFUNCTION("""COMPUTED_VALUE"""),"")</f>
        <v/>
      </c>
      <c r="AE998" s="154" t="str">
        <v/>
      </c>
      <c r="AF998" s="154" t="str">
        <v/>
      </c>
    </row>
    <row r="999" spans="1:32" ht="15">
      <c r="A999" s="176"/>
      <c r="B999" s="145"/>
      <c r="C999" s="169"/>
      <c r="D999" s="145"/>
      <c r="E999" s="145"/>
      <c r="F999" s="169" t="e">
        <v>#VALUE!</v>
      </c>
      <c r="G999" s="145"/>
      <c r="H999" s="145"/>
      <c r="I999" s="145"/>
      <c r="J999" s="145"/>
      <c r="K999" s="145"/>
      <c r="L999" s="145"/>
      <c r="M999" s="145"/>
      <c r="N999" s="145"/>
      <c r="O999" s="174"/>
      <c r="P999" s="174"/>
      <c r="Q999" s="158" t="str">
        <v/>
      </c>
      <c r="R999" s="158" t="str">
        <v/>
      </c>
      <c r="S999" s="158" t="str">
        <v/>
      </c>
      <c r="T999" s="158" t="str">
        <v/>
      </c>
      <c r="U999" s="158" t="str">
        <v/>
      </c>
      <c r="V999" s="158" t="str">
        <v/>
      </c>
      <c r="W999" s="158" t="str">
        <v/>
      </c>
      <c r="X999" s="158" t="str">
        <v/>
      </c>
      <c r="Y999" s="158" t="str">
        <v/>
      </c>
      <c r="Z999" s="158" t="str">
        <v/>
      </c>
      <c r="AA999" s="158" t="e">
        <v>#VALUE!</v>
      </c>
      <c r="AB999" s="171" t="str">
        <v/>
      </c>
      <c r="AC999" s="158">
        <v>0</v>
      </c>
      <c r="AD999" s="173" t="str">
        <f ca="1">IFERROR(__xludf.DUMMYFUNCTION("""COMPUTED_VALUE"""),"")</f>
        <v/>
      </c>
      <c r="AE999" s="154" t="str">
        <v/>
      </c>
      <c r="AF999" s="154" t="str">
        <v/>
      </c>
    </row>
    <row r="1000" spans="1:32" ht="15">
      <c r="A1000" s="176"/>
      <c r="B1000" s="145"/>
      <c r="C1000" s="169"/>
      <c r="D1000" s="145"/>
      <c r="E1000" s="145"/>
      <c r="F1000" s="169" t="e">
        <v>#VALUE!</v>
      </c>
      <c r="G1000" s="145"/>
      <c r="H1000" s="145"/>
      <c r="I1000" s="145"/>
      <c r="J1000" s="145"/>
      <c r="K1000" s="145"/>
      <c r="L1000" s="145"/>
      <c r="M1000" s="145"/>
      <c r="N1000" s="145"/>
      <c r="O1000" s="174"/>
      <c r="P1000" s="174"/>
      <c r="Q1000" s="158" t="str">
        <v/>
      </c>
      <c r="R1000" s="158" t="str">
        <v/>
      </c>
      <c r="S1000" s="158" t="str">
        <v/>
      </c>
      <c r="T1000" s="158" t="str">
        <v/>
      </c>
      <c r="U1000" s="158" t="str">
        <v/>
      </c>
      <c r="V1000" s="158" t="str">
        <v/>
      </c>
      <c r="W1000" s="158" t="str">
        <v/>
      </c>
      <c r="X1000" s="158" t="str">
        <v/>
      </c>
      <c r="Y1000" s="158" t="str">
        <v/>
      </c>
      <c r="Z1000" s="158" t="str">
        <v/>
      </c>
      <c r="AA1000" s="158" t="e">
        <v>#VALUE!</v>
      </c>
      <c r="AB1000" s="171" t="str">
        <v/>
      </c>
      <c r="AC1000" s="158">
        <v>0</v>
      </c>
      <c r="AD1000" s="173" t="str">
        <f ca="1">IFERROR(__xludf.DUMMYFUNCTION("""COMPUTED_VALUE"""),"")</f>
        <v/>
      </c>
      <c r="AE1000" s="154" t="str">
        <v/>
      </c>
      <c r="AF1000" s="154" t="str">
        <v/>
      </c>
    </row>
    <row r="1001" spans="1:32" ht="15">
      <c r="A1001" s="176"/>
      <c r="B1001" s="145"/>
      <c r="C1001" s="169"/>
      <c r="D1001" s="145"/>
      <c r="E1001" s="145"/>
      <c r="F1001" s="169" t="e">
        <v>#VALUE!</v>
      </c>
      <c r="G1001" s="145"/>
      <c r="H1001" s="145"/>
      <c r="I1001" s="145"/>
      <c r="J1001" s="145"/>
      <c r="K1001" s="145"/>
      <c r="L1001" s="145"/>
      <c r="M1001" s="145"/>
      <c r="N1001" s="145"/>
      <c r="O1001" s="174"/>
      <c r="P1001" s="174"/>
      <c r="Q1001" s="158" t="str">
        <v/>
      </c>
      <c r="R1001" s="158" t="str">
        <v/>
      </c>
      <c r="S1001" s="158" t="str">
        <v/>
      </c>
      <c r="T1001" s="158" t="str">
        <v/>
      </c>
      <c r="U1001" s="158" t="str">
        <v/>
      </c>
      <c r="V1001" s="158" t="str">
        <v/>
      </c>
      <c r="W1001" s="158" t="str">
        <v/>
      </c>
      <c r="X1001" s="158" t="str">
        <v/>
      </c>
      <c r="Y1001" s="158" t="str">
        <v/>
      </c>
      <c r="Z1001" s="158" t="str">
        <v/>
      </c>
      <c r="AA1001" s="158" t="e">
        <v>#VALUE!</v>
      </c>
      <c r="AB1001" s="171" t="str">
        <v/>
      </c>
      <c r="AC1001" s="158">
        <v>0</v>
      </c>
      <c r="AD1001" s="173" t="str">
        <f ca="1">IFERROR(__xludf.DUMMYFUNCTION("""COMPUTED_VALUE"""),"")</f>
        <v/>
      </c>
      <c r="AE1001" s="154" t="str">
        <v/>
      </c>
      <c r="AF1001" s="154" t="str">
        <v/>
      </c>
    </row>
    <row r="1002" spans="1:32" ht="15">
      <c r="A1002" s="176"/>
      <c r="B1002" s="145"/>
      <c r="C1002" s="169"/>
      <c r="D1002" s="145"/>
      <c r="E1002" s="145"/>
      <c r="F1002" s="169" t="e">
        <v>#VALUE!</v>
      </c>
      <c r="G1002" s="145"/>
      <c r="H1002" s="145"/>
      <c r="I1002" s="145"/>
      <c r="J1002" s="145"/>
      <c r="K1002" s="145"/>
      <c r="L1002" s="145"/>
      <c r="M1002" s="145"/>
      <c r="N1002" s="145"/>
      <c r="O1002" s="174"/>
      <c r="P1002" s="174"/>
      <c r="Q1002" s="158" t="str">
        <v/>
      </c>
      <c r="R1002" s="158" t="str">
        <v/>
      </c>
      <c r="S1002" s="158" t="str">
        <v/>
      </c>
      <c r="T1002" s="158" t="str">
        <v/>
      </c>
      <c r="U1002" s="158" t="str">
        <v/>
      </c>
      <c r="V1002" s="158" t="str">
        <v/>
      </c>
      <c r="W1002" s="158" t="str">
        <v/>
      </c>
      <c r="X1002" s="158" t="str">
        <v/>
      </c>
      <c r="Y1002" s="158" t="str">
        <v/>
      </c>
      <c r="Z1002" s="158" t="str">
        <v/>
      </c>
      <c r="AA1002" s="158" t="e">
        <v>#VALUE!</v>
      </c>
      <c r="AB1002" s="171" t="str">
        <v/>
      </c>
      <c r="AC1002" s="158">
        <v>0</v>
      </c>
      <c r="AD1002" s="173" t="str">
        <f ca="1">IFERROR(__xludf.DUMMYFUNCTION("""COMPUTED_VALUE"""),"")</f>
        <v/>
      </c>
      <c r="AE1002" s="154" t="str">
        <v/>
      </c>
      <c r="AF1002" s="154" t="str">
        <v/>
      </c>
    </row>
    <row r="1003" spans="1:32" ht="15">
      <c r="A1003" s="176"/>
      <c r="B1003" s="145"/>
      <c r="C1003" s="169"/>
      <c r="D1003" s="145"/>
      <c r="E1003" s="145"/>
      <c r="F1003" s="169" t="e">
        <v>#VALUE!</v>
      </c>
      <c r="G1003" s="145"/>
      <c r="H1003" s="145"/>
      <c r="I1003" s="145"/>
      <c r="J1003" s="145"/>
      <c r="K1003" s="145"/>
      <c r="L1003" s="145"/>
      <c r="M1003" s="145"/>
      <c r="N1003" s="145"/>
      <c r="O1003" s="174"/>
      <c r="P1003" s="174"/>
      <c r="Q1003" s="158" t="str">
        <v/>
      </c>
      <c r="R1003" s="158" t="str">
        <v/>
      </c>
      <c r="S1003" s="158" t="str">
        <v/>
      </c>
      <c r="T1003" s="158" t="str">
        <v/>
      </c>
      <c r="U1003" s="158" t="str">
        <v/>
      </c>
      <c r="V1003" s="158" t="str">
        <v/>
      </c>
      <c r="W1003" s="158" t="str">
        <v/>
      </c>
      <c r="X1003" s="158" t="str">
        <v/>
      </c>
      <c r="Y1003" s="158" t="str">
        <v/>
      </c>
      <c r="Z1003" s="158" t="str">
        <v/>
      </c>
      <c r="AA1003" s="158" t="e">
        <v>#VALUE!</v>
      </c>
      <c r="AB1003" s="171" t="str">
        <v/>
      </c>
      <c r="AC1003" s="158">
        <v>0</v>
      </c>
      <c r="AD1003" s="173" t="str">
        <f ca="1">IFERROR(__xludf.DUMMYFUNCTION("""COMPUTED_VALUE"""),"")</f>
        <v/>
      </c>
      <c r="AE1003" s="154" t="str">
        <v/>
      </c>
      <c r="AF1003" s="154" t="str">
        <v/>
      </c>
    </row>
    <row r="1004" spans="1:32" ht="15">
      <c r="A1004" s="176"/>
      <c r="B1004" s="145"/>
      <c r="C1004" s="169"/>
      <c r="D1004" s="145"/>
      <c r="E1004" s="145"/>
      <c r="F1004" s="169" t="e">
        <v>#VALUE!</v>
      </c>
      <c r="G1004" s="145"/>
      <c r="H1004" s="145"/>
      <c r="I1004" s="145"/>
      <c r="J1004" s="145"/>
      <c r="K1004" s="145"/>
      <c r="L1004" s="145"/>
      <c r="M1004" s="145"/>
      <c r="N1004" s="145"/>
      <c r="O1004" s="174"/>
      <c r="P1004" s="174"/>
      <c r="Q1004" s="158" t="str">
        <v/>
      </c>
      <c r="R1004" s="158" t="str">
        <v/>
      </c>
      <c r="S1004" s="158" t="str">
        <v/>
      </c>
      <c r="T1004" s="158" t="str">
        <v/>
      </c>
      <c r="U1004" s="158" t="str">
        <v/>
      </c>
      <c r="V1004" s="158" t="str">
        <v/>
      </c>
      <c r="W1004" s="158" t="str">
        <v/>
      </c>
      <c r="X1004" s="158" t="str">
        <v/>
      </c>
      <c r="Y1004" s="158" t="str">
        <v/>
      </c>
      <c r="Z1004" s="158" t="str">
        <v/>
      </c>
      <c r="AA1004" s="158" t="e">
        <v>#VALUE!</v>
      </c>
      <c r="AB1004" s="171" t="str">
        <v/>
      </c>
      <c r="AC1004" s="158">
        <v>0</v>
      </c>
      <c r="AD1004" s="173" t="str">
        <f ca="1">IFERROR(__xludf.DUMMYFUNCTION("""COMPUTED_VALUE"""),"")</f>
        <v/>
      </c>
      <c r="AE1004" s="154" t="str">
        <v/>
      </c>
      <c r="AF1004" s="154" t="str">
        <v/>
      </c>
    </row>
    <row r="1005" spans="1:32" ht="15">
      <c r="A1005" s="176"/>
      <c r="B1005" s="145"/>
      <c r="C1005" s="169"/>
      <c r="D1005" s="145"/>
      <c r="E1005" s="145"/>
      <c r="F1005" s="169" t="e">
        <v>#VALUE!</v>
      </c>
      <c r="G1005" s="145"/>
      <c r="H1005" s="145"/>
      <c r="I1005" s="145"/>
      <c r="J1005" s="145"/>
      <c r="K1005" s="145"/>
      <c r="L1005" s="145"/>
      <c r="M1005" s="145"/>
      <c r="N1005" s="145"/>
      <c r="O1005" s="174"/>
      <c r="P1005" s="174"/>
      <c r="Q1005" s="158" t="str">
        <v/>
      </c>
      <c r="R1005" s="158" t="str">
        <v/>
      </c>
      <c r="S1005" s="158" t="str">
        <v/>
      </c>
      <c r="T1005" s="158" t="str">
        <v/>
      </c>
      <c r="U1005" s="158" t="str">
        <v/>
      </c>
      <c r="V1005" s="158" t="str">
        <v/>
      </c>
      <c r="W1005" s="158" t="str">
        <v/>
      </c>
      <c r="X1005" s="158" t="str">
        <v/>
      </c>
      <c r="Y1005" s="158" t="str">
        <v/>
      </c>
      <c r="Z1005" s="158" t="str">
        <v/>
      </c>
      <c r="AA1005" s="158" t="e">
        <v>#VALUE!</v>
      </c>
      <c r="AB1005" s="171" t="str">
        <v/>
      </c>
      <c r="AC1005" s="158">
        <v>0</v>
      </c>
      <c r="AD1005" s="173" t="str">
        <f ca="1">IFERROR(__xludf.DUMMYFUNCTION("""COMPUTED_VALUE"""),"")</f>
        <v/>
      </c>
      <c r="AE1005" s="154" t="str">
        <v/>
      </c>
      <c r="AF1005" s="154" t="str">
        <v/>
      </c>
    </row>
    <row r="1006" spans="1:32" ht="15">
      <c r="A1006" s="176"/>
      <c r="B1006" s="145"/>
      <c r="C1006" s="169"/>
      <c r="D1006" s="145"/>
      <c r="E1006" s="145"/>
      <c r="F1006" s="169" t="e">
        <v>#VALUE!</v>
      </c>
      <c r="G1006" s="145"/>
      <c r="H1006" s="145"/>
      <c r="I1006" s="145"/>
      <c r="J1006" s="145"/>
      <c r="K1006" s="145"/>
      <c r="L1006" s="145"/>
      <c r="M1006" s="145"/>
      <c r="N1006" s="145"/>
      <c r="O1006" s="174"/>
      <c r="P1006" s="174"/>
      <c r="Q1006" s="158" t="str">
        <v/>
      </c>
      <c r="R1006" s="158" t="str">
        <v/>
      </c>
      <c r="S1006" s="158" t="str">
        <v/>
      </c>
      <c r="T1006" s="158" t="str">
        <v/>
      </c>
      <c r="U1006" s="158" t="str">
        <v/>
      </c>
      <c r="V1006" s="158" t="str">
        <v/>
      </c>
      <c r="W1006" s="158" t="str">
        <v/>
      </c>
      <c r="X1006" s="158" t="str">
        <v/>
      </c>
      <c r="Y1006" s="158" t="str">
        <v/>
      </c>
      <c r="Z1006" s="158" t="str">
        <v/>
      </c>
      <c r="AA1006" s="158" t="e">
        <v>#VALUE!</v>
      </c>
      <c r="AB1006" s="171" t="str">
        <v/>
      </c>
      <c r="AC1006" s="158">
        <v>0</v>
      </c>
      <c r="AD1006" s="173" t="str">
        <f ca="1">IFERROR(__xludf.DUMMYFUNCTION("""COMPUTED_VALUE"""),"")</f>
        <v/>
      </c>
      <c r="AE1006" s="154" t="str">
        <v/>
      </c>
      <c r="AF1006" s="154" t="str">
        <v/>
      </c>
    </row>
    <row r="1007" spans="1:32" ht="15">
      <c r="A1007" s="176"/>
      <c r="B1007" s="145"/>
      <c r="C1007" s="169"/>
      <c r="D1007" s="145"/>
      <c r="E1007" s="145"/>
      <c r="F1007" s="169" t="e">
        <v>#VALUE!</v>
      </c>
      <c r="G1007" s="145"/>
      <c r="H1007" s="145"/>
      <c r="I1007" s="145"/>
      <c r="J1007" s="145"/>
      <c r="K1007" s="145"/>
      <c r="L1007" s="145"/>
      <c r="M1007" s="145"/>
      <c r="N1007" s="145"/>
      <c r="O1007" s="174"/>
      <c r="P1007" s="174"/>
      <c r="Q1007" s="158" t="str">
        <v/>
      </c>
      <c r="R1007" s="158" t="str">
        <v/>
      </c>
      <c r="S1007" s="158" t="str">
        <v/>
      </c>
      <c r="T1007" s="158" t="str">
        <v/>
      </c>
      <c r="U1007" s="158" t="str">
        <v/>
      </c>
      <c r="V1007" s="158" t="str">
        <v/>
      </c>
      <c r="W1007" s="158" t="str">
        <v/>
      </c>
      <c r="X1007" s="158" t="str">
        <v/>
      </c>
      <c r="Y1007" s="158" t="str">
        <v/>
      </c>
      <c r="Z1007" s="158" t="str">
        <v/>
      </c>
      <c r="AA1007" s="158" t="e">
        <v>#VALUE!</v>
      </c>
      <c r="AB1007" s="171" t="str">
        <v/>
      </c>
      <c r="AC1007" s="158">
        <v>0</v>
      </c>
      <c r="AD1007" s="173" t="str">
        <f ca="1">IFERROR(__xludf.DUMMYFUNCTION("""COMPUTED_VALUE"""),"")</f>
        <v/>
      </c>
      <c r="AE1007" s="154" t="str">
        <v/>
      </c>
      <c r="AF1007" s="154" t="str">
        <v/>
      </c>
    </row>
    <row r="1008" spans="1:32" ht="15">
      <c r="A1008" s="176"/>
      <c r="B1008" s="145"/>
      <c r="C1008" s="169"/>
      <c r="D1008" s="145"/>
      <c r="E1008" s="145"/>
      <c r="F1008" s="169" t="e">
        <v>#VALUE!</v>
      </c>
      <c r="G1008" s="145"/>
      <c r="H1008" s="145"/>
      <c r="I1008" s="145"/>
      <c r="J1008" s="145"/>
      <c r="K1008" s="145"/>
      <c r="L1008" s="145"/>
      <c r="M1008" s="145"/>
      <c r="N1008" s="145"/>
      <c r="O1008" s="174"/>
      <c r="P1008" s="174"/>
      <c r="Q1008" s="158" t="str">
        <v/>
      </c>
      <c r="R1008" s="158" t="str">
        <v/>
      </c>
      <c r="S1008" s="158" t="str">
        <v/>
      </c>
      <c r="T1008" s="158" t="str">
        <v/>
      </c>
      <c r="U1008" s="158" t="str">
        <v/>
      </c>
      <c r="V1008" s="158" t="str">
        <v/>
      </c>
      <c r="W1008" s="158" t="str">
        <v/>
      </c>
      <c r="X1008" s="158" t="str">
        <v/>
      </c>
      <c r="Y1008" s="158" t="str">
        <v/>
      </c>
      <c r="Z1008" s="158" t="str">
        <v/>
      </c>
      <c r="AA1008" s="158" t="e">
        <v>#VALUE!</v>
      </c>
      <c r="AB1008" s="171" t="str">
        <v/>
      </c>
      <c r="AC1008" s="158">
        <v>0</v>
      </c>
      <c r="AD1008" s="173" t="str">
        <f ca="1">IFERROR(__xludf.DUMMYFUNCTION("""COMPUTED_VALUE"""),"")</f>
        <v/>
      </c>
      <c r="AE1008" s="154" t="str">
        <v/>
      </c>
      <c r="AF1008" s="154" t="str">
        <v/>
      </c>
    </row>
    <row r="1009" spans="1:32" ht="15">
      <c r="A1009" s="176"/>
      <c r="B1009" s="145"/>
      <c r="C1009" s="169"/>
      <c r="D1009" s="145"/>
      <c r="E1009" s="145"/>
      <c r="F1009" s="169" t="e">
        <v>#VALUE!</v>
      </c>
      <c r="G1009" s="145"/>
      <c r="H1009" s="145"/>
      <c r="I1009" s="145"/>
      <c r="J1009" s="145"/>
      <c r="K1009" s="145"/>
      <c r="L1009" s="145"/>
      <c r="M1009" s="145"/>
      <c r="N1009" s="145"/>
      <c r="O1009" s="174"/>
      <c r="P1009" s="174"/>
      <c r="Q1009" s="158" t="str">
        <v/>
      </c>
      <c r="R1009" s="158" t="str">
        <v/>
      </c>
      <c r="S1009" s="158" t="str">
        <v/>
      </c>
      <c r="T1009" s="158" t="str">
        <v/>
      </c>
      <c r="U1009" s="158" t="str">
        <v/>
      </c>
      <c r="V1009" s="158" t="str">
        <v/>
      </c>
      <c r="W1009" s="158" t="str">
        <v/>
      </c>
      <c r="X1009" s="158" t="str">
        <v/>
      </c>
      <c r="Y1009" s="158" t="str">
        <v/>
      </c>
      <c r="Z1009" s="158" t="str">
        <v/>
      </c>
      <c r="AA1009" s="158" t="e">
        <v>#VALUE!</v>
      </c>
      <c r="AB1009" s="171" t="str">
        <v/>
      </c>
      <c r="AC1009" s="158">
        <v>0</v>
      </c>
      <c r="AD1009" s="173" t="str">
        <f ca="1">IFERROR(__xludf.DUMMYFUNCTION("""COMPUTED_VALUE"""),"")</f>
        <v/>
      </c>
      <c r="AE1009" s="154" t="str">
        <v/>
      </c>
      <c r="AF1009" s="154" t="str">
        <v/>
      </c>
    </row>
    <row r="1010" spans="1:32" ht="15">
      <c r="A1010" s="176"/>
      <c r="B1010" s="145"/>
      <c r="C1010" s="169"/>
      <c r="D1010" s="145"/>
      <c r="E1010" s="145"/>
      <c r="F1010" s="169" t="e">
        <v>#VALUE!</v>
      </c>
      <c r="G1010" s="145"/>
      <c r="H1010" s="145"/>
      <c r="I1010" s="145"/>
      <c r="J1010" s="145"/>
      <c r="K1010" s="145"/>
      <c r="L1010" s="145"/>
      <c r="M1010" s="145"/>
      <c r="N1010" s="145"/>
      <c r="O1010" s="174"/>
      <c r="P1010" s="174"/>
      <c r="Q1010" s="158" t="str">
        <v/>
      </c>
      <c r="R1010" s="158" t="str">
        <v/>
      </c>
      <c r="S1010" s="158" t="str">
        <v/>
      </c>
      <c r="T1010" s="158" t="str">
        <v/>
      </c>
      <c r="U1010" s="158" t="str">
        <v/>
      </c>
      <c r="V1010" s="158" t="str">
        <v/>
      </c>
      <c r="W1010" s="158" t="str">
        <v/>
      </c>
      <c r="X1010" s="158" t="str">
        <v/>
      </c>
      <c r="Y1010" s="158" t="str">
        <v/>
      </c>
      <c r="Z1010" s="158" t="str">
        <v/>
      </c>
      <c r="AA1010" s="158" t="e">
        <v>#VALUE!</v>
      </c>
      <c r="AB1010" s="171" t="str">
        <v/>
      </c>
      <c r="AC1010" s="158">
        <v>0</v>
      </c>
      <c r="AD1010" s="173" t="str">
        <f ca="1">IFERROR(__xludf.DUMMYFUNCTION("""COMPUTED_VALUE"""),"")</f>
        <v/>
      </c>
      <c r="AE1010" s="154" t="str">
        <v/>
      </c>
      <c r="AF1010" s="154" t="str">
        <v/>
      </c>
    </row>
    <row r="1011" spans="1:32" ht="15">
      <c r="A1011" s="176"/>
      <c r="B1011" s="145"/>
      <c r="C1011" s="169"/>
      <c r="D1011" s="145"/>
      <c r="E1011" s="145"/>
      <c r="F1011" s="169" t="e">
        <v>#VALUE!</v>
      </c>
      <c r="G1011" s="145"/>
      <c r="H1011" s="145"/>
      <c r="I1011" s="145"/>
      <c r="J1011" s="145"/>
      <c r="K1011" s="145"/>
      <c r="L1011" s="145"/>
      <c r="M1011" s="145"/>
      <c r="N1011" s="145"/>
      <c r="O1011" s="174"/>
      <c r="P1011" s="174"/>
      <c r="Q1011" s="158" t="str">
        <v/>
      </c>
      <c r="R1011" s="158" t="str">
        <v/>
      </c>
      <c r="S1011" s="158" t="str">
        <v/>
      </c>
      <c r="T1011" s="158" t="str">
        <v/>
      </c>
      <c r="U1011" s="158" t="str">
        <v/>
      </c>
      <c r="V1011" s="158" t="str">
        <v/>
      </c>
      <c r="W1011" s="158" t="str">
        <v/>
      </c>
      <c r="X1011" s="158" t="str">
        <v/>
      </c>
      <c r="Y1011" s="158" t="str">
        <v/>
      </c>
      <c r="Z1011" s="158" t="str">
        <v/>
      </c>
      <c r="AA1011" s="158" t="e">
        <v>#VALUE!</v>
      </c>
      <c r="AB1011" s="171" t="str">
        <v/>
      </c>
      <c r="AC1011" s="158">
        <v>0</v>
      </c>
      <c r="AD1011" s="173" t="str">
        <f ca="1">IFERROR(__xludf.DUMMYFUNCTION("""COMPUTED_VALUE"""),"")</f>
        <v/>
      </c>
      <c r="AE1011" s="154" t="str">
        <v/>
      </c>
      <c r="AF1011" s="154" t="str">
        <v/>
      </c>
    </row>
    <row r="1012" spans="1:32" ht="15">
      <c r="A1012" s="176"/>
      <c r="B1012" s="145"/>
      <c r="C1012" s="169"/>
      <c r="D1012" s="145"/>
      <c r="E1012" s="145"/>
      <c r="F1012" s="169" t="e">
        <v>#VALUE!</v>
      </c>
      <c r="G1012" s="145"/>
      <c r="H1012" s="145"/>
      <c r="I1012" s="145"/>
      <c r="J1012" s="145"/>
      <c r="K1012" s="145"/>
      <c r="L1012" s="145"/>
      <c r="M1012" s="145"/>
      <c r="N1012" s="145"/>
      <c r="O1012" s="174"/>
      <c r="P1012" s="174"/>
      <c r="Q1012" s="158" t="str">
        <v/>
      </c>
      <c r="R1012" s="158" t="str">
        <v/>
      </c>
      <c r="S1012" s="158" t="str">
        <v/>
      </c>
      <c r="T1012" s="158" t="str">
        <v/>
      </c>
      <c r="U1012" s="158" t="str">
        <v/>
      </c>
      <c r="V1012" s="158" t="str">
        <v/>
      </c>
      <c r="W1012" s="158" t="str">
        <v/>
      </c>
      <c r="X1012" s="158" t="str">
        <v/>
      </c>
      <c r="Y1012" s="158" t="str">
        <v/>
      </c>
      <c r="Z1012" s="158" t="str">
        <v/>
      </c>
      <c r="AA1012" s="158" t="e">
        <v>#VALUE!</v>
      </c>
      <c r="AB1012" s="171" t="str">
        <v/>
      </c>
      <c r="AC1012" s="158">
        <v>0</v>
      </c>
      <c r="AD1012" s="173" t="str">
        <f ca="1">IFERROR(__xludf.DUMMYFUNCTION("""COMPUTED_VALUE"""),"")</f>
        <v/>
      </c>
      <c r="AE1012" s="154" t="str">
        <v/>
      </c>
      <c r="AF1012" s="154" t="str">
        <v/>
      </c>
    </row>
    <row r="1013" spans="1:32" ht="15">
      <c r="A1013" s="176"/>
      <c r="B1013" s="145"/>
      <c r="C1013" s="169"/>
      <c r="D1013" s="145"/>
      <c r="E1013" s="145"/>
      <c r="F1013" s="169" t="e">
        <v>#VALUE!</v>
      </c>
      <c r="G1013" s="145"/>
      <c r="H1013" s="145"/>
      <c r="I1013" s="145"/>
      <c r="J1013" s="145"/>
      <c r="K1013" s="145"/>
      <c r="L1013" s="145"/>
      <c r="M1013" s="145"/>
      <c r="N1013" s="145"/>
      <c r="O1013" s="174"/>
      <c r="P1013" s="174"/>
      <c r="Q1013" s="158" t="str">
        <v/>
      </c>
      <c r="R1013" s="158" t="str">
        <v/>
      </c>
      <c r="S1013" s="158" t="str">
        <v/>
      </c>
      <c r="T1013" s="158" t="str">
        <v/>
      </c>
      <c r="U1013" s="158" t="str">
        <v/>
      </c>
      <c r="V1013" s="158" t="str">
        <v/>
      </c>
      <c r="W1013" s="158" t="str">
        <v/>
      </c>
      <c r="X1013" s="158" t="str">
        <v/>
      </c>
      <c r="Y1013" s="158" t="str">
        <v/>
      </c>
      <c r="Z1013" s="158" t="str">
        <v/>
      </c>
      <c r="AA1013" s="158" t="e">
        <v>#VALUE!</v>
      </c>
      <c r="AB1013" s="171" t="str">
        <v/>
      </c>
      <c r="AC1013" s="158">
        <v>0</v>
      </c>
      <c r="AD1013" s="173" t="str">
        <f ca="1">IFERROR(__xludf.DUMMYFUNCTION("""COMPUTED_VALUE"""),"")</f>
        <v/>
      </c>
      <c r="AE1013" s="154" t="str">
        <v/>
      </c>
      <c r="AF1013" s="154" t="str">
        <v/>
      </c>
    </row>
    <row r="1014" spans="1:32" ht="15">
      <c r="A1014" s="176"/>
      <c r="B1014" s="145"/>
      <c r="C1014" s="169"/>
      <c r="D1014" s="145"/>
      <c r="E1014" s="145"/>
      <c r="F1014" s="169" t="e">
        <v>#VALUE!</v>
      </c>
      <c r="G1014" s="145"/>
      <c r="H1014" s="145"/>
      <c r="I1014" s="145"/>
      <c r="J1014" s="145"/>
      <c r="K1014" s="145"/>
      <c r="L1014" s="145"/>
      <c r="M1014" s="145"/>
      <c r="N1014" s="145"/>
      <c r="O1014" s="174"/>
      <c r="P1014" s="174"/>
      <c r="Q1014" s="158" t="str">
        <v/>
      </c>
      <c r="R1014" s="158" t="str">
        <v/>
      </c>
      <c r="S1014" s="158" t="str">
        <v/>
      </c>
      <c r="T1014" s="158" t="str">
        <v/>
      </c>
      <c r="U1014" s="158" t="str">
        <v/>
      </c>
      <c r="V1014" s="158" t="str">
        <v/>
      </c>
      <c r="W1014" s="158" t="str">
        <v/>
      </c>
      <c r="X1014" s="158" t="str">
        <v/>
      </c>
      <c r="Y1014" s="158" t="str">
        <v/>
      </c>
      <c r="Z1014" s="158" t="str">
        <v/>
      </c>
      <c r="AA1014" s="158" t="e">
        <v>#VALUE!</v>
      </c>
      <c r="AB1014" s="171" t="str">
        <v/>
      </c>
      <c r="AC1014" s="158">
        <v>0</v>
      </c>
      <c r="AD1014" s="173" t="str">
        <f ca="1">IFERROR(__xludf.DUMMYFUNCTION("""COMPUTED_VALUE"""),"")</f>
        <v/>
      </c>
      <c r="AE1014" s="154" t="str">
        <v/>
      </c>
      <c r="AF1014" s="154" t="str">
        <v/>
      </c>
    </row>
    <row r="1015" spans="1:32" ht="15">
      <c r="A1015" s="176"/>
      <c r="B1015" s="145"/>
      <c r="C1015" s="169"/>
      <c r="D1015" s="145"/>
      <c r="E1015" s="145"/>
      <c r="F1015" s="169" t="e">
        <v>#VALUE!</v>
      </c>
      <c r="G1015" s="145"/>
      <c r="H1015" s="145"/>
      <c r="I1015" s="145"/>
      <c r="J1015" s="145"/>
      <c r="K1015" s="145"/>
      <c r="L1015" s="145"/>
      <c r="M1015" s="145"/>
      <c r="N1015" s="145"/>
      <c r="O1015" s="174"/>
      <c r="P1015" s="174"/>
      <c r="Q1015" s="158" t="str">
        <v/>
      </c>
      <c r="R1015" s="158" t="str">
        <v/>
      </c>
      <c r="S1015" s="158" t="str">
        <v/>
      </c>
      <c r="T1015" s="158" t="str">
        <v/>
      </c>
      <c r="U1015" s="158" t="str">
        <v/>
      </c>
      <c r="V1015" s="158" t="str">
        <v/>
      </c>
      <c r="W1015" s="158" t="str">
        <v/>
      </c>
      <c r="X1015" s="158" t="str">
        <v/>
      </c>
      <c r="Y1015" s="158" t="str">
        <v/>
      </c>
      <c r="Z1015" s="158" t="str">
        <v/>
      </c>
      <c r="AA1015" s="158" t="e">
        <v>#VALUE!</v>
      </c>
      <c r="AB1015" s="171" t="str">
        <v/>
      </c>
      <c r="AC1015" s="158">
        <v>0</v>
      </c>
      <c r="AD1015" s="173" t="str">
        <f ca="1">IFERROR(__xludf.DUMMYFUNCTION("""COMPUTED_VALUE"""),"")</f>
        <v/>
      </c>
      <c r="AE1015" s="154" t="str">
        <v/>
      </c>
      <c r="AF1015" s="154" t="str">
        <v/>
      </c>
    </row>
    <row r="1016" spans="1:32" ht="15">
      <c r="A1016" s="176"/>
      <c r="B1016" s="145"/>
      <c r="C1016" s="169"/>
      <c r="D1016" s="145"/>
      <c r="E1016" s="145"/>
      <c r="F1016" s="169" t="e">
        <v>#VALUE!</v>
      </c>
      <c r="G1016" s="145"/>
      <c r="H1016" s="145"/>
      <c r="I1016" s="145"/>
      <c r="J1016" s="145"/>
      <c r="K1016" s="145"/>
      <c r="L1016" s="145"/>
      <c r="M1016" s="145"/>
      <c r="N1016" s="145"/>
      <c r="O1016" s="174"/>
      <c r="P1016" s="174"/>
      <c r="Q1016" s="158" t="str">
        <v/>
      </c>
      <c r="R1016" s="158" t="str">
        <v/>
      </c>
      <c r="S1016" s="158" t="str">
        <v/>
      </c>
      <c r="T1016" s="158" t="str">
        <v/>
      </c>
      <c r="U1016" s="158" t="str">
        <v/>
      </c>
      <c r="V1016" s="158" t="str">
        <v/>
      </c>
      <c r="W1016" s="158" t="str">
        <v/>
      </c>
      <c r="X1016" s="158" t="str">
        <v/>
      </c>
      <c r="Y1016" s="158" t="str">
        <v/>
      </c>
      <c r="Z1016" s="158" t="str">
        <v/>
      </c>
      <c r="AA1016" s="158" t="e">
        <v>#VALUE!</v>
      </c>
      <c r="AB1016" s="171" t="str">
        <v/>
      </c>
      <c r="AC1016" s="158">
        <v>0</v>
      </c>
      <c r="AD1016" s="173" t="str">
        <f ca="1">IFERROR(__xludf.DUMMYFUNCTION("""COMPUTED_VALUE"""),"")</f>
        <v/>
      </c>
      <c r="AE1016" s="154" t="str">
        <v/>
      </c>
      <c r="AF1016" s="154" t="str">
        <v/>
      </c>
    </row>
    <row r="1017" spans="1:32" ht="15">
      <c r="A1017" s="176"/>
      <c r="B1017" s="145"/>
      <c r="C1017" s="169"/>
      <c r="D1017" s="145"/>
      <c r="E1017" s="145"/>
      <c r="F1017" s="169" t="e">
        <v>#VALUE!</v>
      </c>
      <c r="G1017" s="145"/>
      <c r="H1017" s="145"/>
      <c r="I1017" s="145"/>
      <c r="J1017" s="145"/>
      <c r="K1017" s="145"/>
      <c r="L1017" s="145"/>
      <c r="M1017" s="145"/>
      <c r="N1017" s="145"/>
      <c r="O1017" s="174"/>
      <c r="P1017" s="174"/>
      <c r="Q1017" s="158" t="str">
        <v/>
      </c>
      <c r="R1017" s="158" t="str">
        <v/>
      </c>
      <c r="S1017" s="158" t="str">
        <v/>
      </c>
      <c r="T1017" s="158" t="str">
        <v/>
      </c>
      <c r="U1017" s="158" t="str">
        <v/>
      </c>
      <c r="V1017" s="158" t="str">
        <v/>
      </c>
      <c r="W1017" s="158" t="str">
        <v/>
      </c>
      <c r="X1017" s="158" t="str">
        <v/>
      </c>
      <c r="Y1017" s="158" t="str">
        <v/>
      </c>
      <c r="Z1017" s="158" t="str">
        <v/>
      </c>
      <c r="AA1017" s="158" t="e">
        <v>#VALUE!</v>
      </c>
      <c r="AB1017" s="171" t="str">
        <v/>
      </c>
      <c r="AC1017" s="158">
        <v>0</v>
      </c>
      <c r="AD1017" s="173" t="str">
        <f ca="1">IFERROR(__xludf.DUMMYFUNCTION("""COMPUTED_VALUE"""),"")</f>
        <v/>
      </c>
      <c r="AE1017" s="154" t="str">
        <v/>
      </c>
      <c r="AF1017" s="154" t="str">
        <v/>
      </c>
    </row>
    <row r="1018" spans="1:32" ht="15">
      <c r="A1018" s="176"/>
      <c r="B1018" s="145"/>
      <c r="C1018" s="169"/>
      <c r="D1018" s="145"/>
      <c r="E1018" s="145"/>
      <c r="F1018" s="169" t="e">
        <v>#VALUE!</v>
      </c>
      <c r="G1018" s="145"/>
      <c r="H1018" s="145"/>
      <c r="I1018" s="145"/>
      <c r="J1018" s="145"/>
      <c r="K1018" s="145"/>
      <c r="L1018" s="145"/>
      <c r="M1018" s="145"/>
      <c r="N1018" s="145"/>
      <c r="O1018" s="174"/>
      <c r="P1018" s="174"/>
      <c r="Q1018" s="158" t="str">
        <v/>
      </c>
      <c r="R1018" s="158" t="str">
        <v/>
      </c>
      <c r="S1018" s="158" t="str">
        <v/>
      </c>
      <c r="T1018" s="158" t="str">
        <v/>
      </c>
      <c r="U1018" s="158" t="str">
        <v/>
      </c>
      <c r="V1018" s="158" t="str">
        <v/>
      </c>
      <c r="W1018" s="158" t="str">
        <v/>
      </c>
      <c r="X1018" s="158" t="str">
        <v/>
      </c>
      <c r="Y1018" s="158" t="str">
        <v/>
      </c>
      <c r="Z1018" s="158" t="str">
        <v/>
      </c>
      <c r="AA1018" s="158" t="e">
        <v>#VALUE!</v>
      </c>
      <c r="AB1018" s="171" t="str">
        <v/>
      </c>
      <c r="AC1018" s="158">
        <v>0</v>
      </c>
      <c r="AD1018" s="173" t="str">
        <f ca="1">IFERROR(__xludf.DUMMYFUNCTION("""COMPUTED_VALUE"""),"")</f>
        <v/>
      </c>
      <c r="AE1018" s="154" t="str">
        <v/>
      </c>
      <c r="AF1018" s="154" t="str">
        <v/>
      </c>
    </row>
    <row r="1019" spans="1:32" ht="15">
      <c r="A1019" s="176"/>
      <c r="B1019" s="145"/>
      <c r="C1019" s="169"/>
      <c r="D1019" s="145"/>
      <c r="E1019" s="145"/>
      <c r="F1019" s="169" t="e">
        <v>#VALUE!</v>
      </c>
      <c r="G1019" s="145"/>
      <c r="H1019" s="145"/>
      <c r="I1019" s="145"/>
      <c r="J1019" s="145"/>
      <c r="K1019" s="145"/>
      <c r="L1019" s="145"/>
      <c r="M1019" s="145"/>
      <c r="N1019" s="145"/>
      <c r="O1019" s="174"/>
      <c r="P1019" s="174"/>
      <c r="Q1019" s="158" t="str">
        <v/>
      </c>
      <c r="R1019" s="158" t="str">
        <v/>
      </c>
      <c r="S1019" s="158" t="str">
        <v/>
      </c>
      <c r="T1019" s="158" t="str">
        <v/>
      </c>
      <c r="U1019" s="158" t="str">
        <v/>
      </c>
      <c r="V1019" s="158" t="str">
        <v/>
      </c>
      <c r="W1019" s="158" t="str">
        <v/>
      </c>
      <c r="X1019" s="158" t="str">
        <v/>
      </c>
      <c r="Y1019" s="158" t="str">
        <v/>
      </c>
      <c r="Z1019" s="158" t="str">
        <v/>
      </c>
      <c r="AA1019" s="158" t="e">
        <v>#VALUE!</v>
      </c>
      <c r="AB1019" s="171" t="str">
        <v/>
      </c>
      <c r="AC1019" s="158">
        <v>0</v>
      </c>
      <c r="AD1019" s="173" t="str">
        <f ca="1">IFERROR(__xludf.DUMMYFUNCTION("""COMPUTED_VALUE"""),"")</f>
        <v/>
      </c>
      <c r="AE1019" s="154" t="str">
        <v/>
      </c>
      <c r="AF1019" s="154" t="str">
        <v/>
      </c>
    </row>
    <row r="1020" spans="1:32" ht="15">
      <c r="A1020" s="176"/>
      <c r="B1020" s="145"/>
      <c r="C1020" s="169"/>
      <c r="D1020" s="145"/>
      <c r="E1020" s="145"/>
      <c r="F1020" s="169" t="e">
        <v>#VALUE!</v>
      </c>
      <c r="G1020" s="145"/>
      <c r="H1020" s="145"/>
      <c r="I1020" s="145"/>
      <c r="J1020" s="145"/>
      <c r="K1020" s="145"/>
      <c r="L1020" s="145"/>
      <c r="M1020" s="145"/>
      <c r="N1020" s="145"/>
      <c r="O1020" s="174"/>
      <c r="P1020" s="174"/>
      <c r="Q1020" s="158" t="str">
        <v/>
      </c>
      <c r="R1020" s="158" t="str">
        <v/>
      </c>
      <c r="S1020" s="158" t="str">
        <v/>
      </c>
      <c r="T1020" s="158" t="str">
        <v/>
      </c>
      <c r="U1020" s="158" t="str">
        <v/>
      </c>
      <c r="V1020" s="158" t="str">
        <v/>
      </c>
      <c r="W1020" s="158" t="str">
        <v/>
      </c>
      <c r="X1020" s="158" t="str">
        <v/>
      </c>
      <c r="Y1020" s="158" t="str">
        <v/>
      </c>
      <c r="Z1020" s="158" t="str">
        <v/>
      </c>
      <c r="AA1020" s="158" t="e">
        <v>#VALUE!</v>
      </c>
      <c r="AB1020" s="171" t="str">
        <v/>
      </c>
      <c r="AC1020" s="158">
        <v>0</v>
      </c>
      <c r="AD1020" s="173" t="str">
        <f ca="1">IFERROR(__xludf.DUMMYFUNCTION("""COMPUTED_VALUE"""),"")</f>
        <v/>
      </c>
      <c r="AE1020" s="154" t="str">
        <v/>
      </c>
      <c r="AF1020" s="154" t="str">
        <v/>
      </c>
    </row>
    <row r="1021" spans="1:32" ht="15">
      <c r="A1021" s="176"/>
      <c r="B1021" s="145"/>
      <c r="C1021" s="169"/>
      <c r="D1021" s="145"/>
      <c r="E1021" s="145"/>
      <c r="F1021" s="169" t="e">
        <v>#VALUE!</v>
      </c>
      <c r="G1021" s="145"/>
      <c r="H1021" s="145"/>
      <c r="I1021" s="145"/>
      <c r="J1021" s="145"/>
      <c r="K1021" s="145"/>
      <c r="L1021" s="145"/>
      <c r="M1021" s="145"/>
      <c r="N1021" s="145"/>
      <c r="O1021" s="174"/>
      <c r="P1021" s="174"/>
      <c r="Q1021" s="158" t="str">
        <v/>
      </c>
      <c r="R1021" s="158" t="str">
        <v/>
      </c>
      <c r="S1021" s="158" t="str">
        <v/>
      </c>
      <c r="T1021" s="158" t="str">
        <v/>
      </c>
      <c r="U1021" s="158" t="str">
        <v/>
      </c>
      <c r="V1021" s="158" t="str">
        <v/>
      </c>
      <c r="W1021" s="158" t="str">
        <v/>
      </c>
      <c r="X1021" s="158" t="str">
        <v/>
      </c>
      <c r="Y1021" s="158" t="str">
        <v/>
      </c>
      <c r="Z1021" s="158" t="str">
        <v/>
      </c>
      <c r="AA1021" s="158" t="e">
        <v>#VALUE!</v>
      </c>
      <c r="AB1021" s="171" t="str">
        <v/>
      </c>
      <c r="AC1021" s="158">
        <v>0</v>
      </c>
      <c r="AD1021" s="173" t="str">
        <f ca="1">IFERROR(__xludf.DUMMYFUNCTION("""COMPUTED_VALUE"""),"")</f>
        <v/>
      </c>
      <c r="AE1021" s="154" t="str">
        <v/>
      </c>
      <c r="AF1021" s="154" t="str">
        <v/>
      </c>
    </row>
    <row r="1022" spans="1:32" ht="15">
      <c r="A1022" s="176"/>
      <c r="B1022" s="145"/>
      <c r="C1022" s="169"/>
      <c r="D1022" s="145"/>
      <c r="E1022" s="145"/>
      <c r="F1022" s="169" t="e">
        <v>#VALUE!</v>
      </c>
      <c r="G1022" s="145"/>
      <c r="H1022" s="145"/>
      <c r="I1022" s="145"/>
      <c r="J1022" s="145"/>
      <c r="K1022" s="145"/>
      <c r="L1022" s="145"/>
      <c r="M1022" s="145"/>
      <c r="N1022" s="145"/>
      <c r="O1022" s="174"/>
      <c r="P1022" s="174"/>
      <c r="Q1022" s="158" t="str">
        <v/>
      </c>
      <c r="R1022" s="158" t="str">
        <v/>
      </c>
      <c r="S1022" s="158" t="str">
        <v/>
      </c>
      <c r="T1022" s="158" t="str">
        <v/>
      </c>
      <c r="U1022" s="158" t="str">
        <v/>
      </c>
      <c r="V1022" s="158" t="str">
        <v/>
      </c>
      <c r="W1022" s="158" t="str">
        <v/>
      </c>
      <c r="X1022" s="158" t="str">
        <v/>
      </c>
      <c r="Y1022" s="158" t="str">
        <v/>
      </c>
      <c r="Z1022" s="158" t="str">
        <v/>
      </c>
      <c r="AA1022" s="158" t="e">
        <v>#VALUE!</v>
      </c>
      <c r="AB1022" s="171" t="str">
        <v/>
      </c>
      <c r="AC1022" s="158">
        <v>0</v>
      </c>
      <c r="AD1022" s="173" t="str">
        <f ca="1">IFERROR(__xludf.DUMMYFUNCTION("""COMPUTED_VALUE"""),"")</f>
        <v/>
      </c>
      <c r="AE1022" s="154" t="str">
        <v/>
      </c>
      <c r="AF1022" s="154" t="str">
        <v/>
      </c>
    </row>
    <row r="1023" spans="1:32" ht="15">
      <c r="A1023" s="176"/>
      <c r="B1023" s="145"/>
      <c r="C1023" s="169"/>
      <c r="D1023" s="145"/>
      <c r="E1023" s="145"/>
      <c r="F1023" s="169" t="e">
        <v>#VALUE!</v>
      </c>
      <c r="G1023" s="145"/>
      <c r="H1023" s="145"/>
      <c r="I1023" s="145"/>
      <c r="J1023" s="145"/>
      <c r="K1023" s="145"/>
      <c r="L1023" s="145"/>
      <c r="M1023" s="145"/>
      <c r="N1023" s="145"/>
      <c r="O1023" s="174"/>
      <c r="P1023" s="174"/>
      <c r="Q1023" s="158" t="str">
        <v/>
      </c>
      <c r="R1023" s="158" t="str">
        <v/>
      </c>
      <c r="S1023" s="158" t="str">
        <v/>
      </c>
      <c r="T1023" s="158" t="str">
        <v/>
      </c>
      <c r="U1023" s="158" t="str">
        <v/>
      </c>
      <c r="V1023" s="158" t="str">
        <v/>
      </c>
      <c r="W1023" s="158" t="str">
        <v/>
      </c>
      <c r="X1023" s="158" t="str">
        <v/>
      </c>
      <c r="Y1023" s="158" t="str">
        <v/>
      </c>
      <c r="Z1023" s="158" t="str">
        <v/>
      </c>
      <c r="AA1023" s="158" t="e">
        <v>#VALUE!</v>
      </c>
      <c r="AB1023" s="171" t="str">
        <v/>
      </c>
      <c r="AC1023" s="158">
        <v>0</v>
      </c>
      <c r="AD1023" s="173" t="str">
        <f ca="1">IFERROR(__xludf.DUMMYFUNCTION("""COMPUTED_VALUE"""),"")</f>
        <v/>
      </c>
      <c r="AE1023" s="154" t="str">
        <v/>
      </c>
      <c r="AF1023" s="154" t="str">
        <v/>
      </c>
    </row>
    <row r="1024" spans="1:32" ht="15">
      <c r="A1024" s="176"/>
      <c r="B1024" s="145"/>
      <c r="C1024" s="169"/>
      <c r="D1024" s="145"/>
      <c r="E1024" s="145"/>
      <c r="F1024" s="169" t="e">
        <v>#VALUE!</v>
      </c>
      <c r="G1024" s="145"/>
      <c r="H1024" s="145"/>
      <c r="I1024" s="145"/>
      <c r="J1024" s="145"/>
      <c r="K1024" s="145"/>
      <c r="L1024" s="145"/>
      <c r="M1024" s="145"/>
      <c r="N1024" s="145"/>
      <c r="O1024" s="174"/>
      <c r="P1024" s="174"/>
      <c r="Q1024" s="158" t="str">
        <v/>
      </c>
      <c r="R1024" s="158" t="str">
        <v/>
      </c>
      <c r="S1024" s="158" t="str">
        <v/>
      </c>
      <c r="T1024" s="158" t="str">
        <v/>
      </c>
      <c r="U1024" s="158" t="str">
        <v/>
      </c>
      <c r="V1024" s="158" t="str">
        <v/>
      </c>
      <c r="W1024" s="158" t="str">
        <v/>
      </c>
      <c r="X1024" s="158" t="str">
        <v/>
      </c>
      <c r="Y1024" s="158" t="str">
        <v/>
      </c>
      <c r="Z1024" s="158" t="str">
        <v/>
      </c>
      <c r="AA1024" s="158" t="e">
        <v>#VALUE!</v>
      </c>
      <c r="AB1024" s="171" t="str">
        <v/>
      </c>
      <c r="AC1024" s="158">
        <v>0</v>
      </c>
      <c r="AD1024" s="173" t="str">
        <f ca="1">IFERROR(__xludf.DUMMYFUNCTION("""COMPUTED_VALUE"""),"")</f>
        <v/>
      </c>
      <c r="AE1024" s="154" t="str">
        <v/>
      </c>
      <c r="AF1024" s="154" t="str">
        <v/>
      </c>
    </row>
    <row r="1025" spans="1:32" ht="15">
      <c r="A1025" s="176"/>
      <c r="B1025" s="145"/>
      <c r="C1025" s="169"/>
      <c r="D1025" s="145"/>
      <c r="E1025" s="145"/>
      <c r="F1025" s="169" t="e">
        <v>#VALUE!</v>
      </c>
      <c r="G1025" s="145"/>
      <c r="H1025" s="145"/>
      <c r="I1025" s="145"/>
      <c r="J1025" s="145"/>
      <c r="K1025" s="145"/>
      <c r="L1025" s="145"/>
      <c r="M1025" s="145"/>
      <c r="N1025" s="145"/>
      <c r="O1025" s="174"/>
      <c r="P1025" s="174"/>
      <c r="Q1025" s="158" t="str">
        <v/>
      </c>
      <c r="R1025" s="158" t="str">
        <v/>
      </c>
      <c r="S1025" s="158" t="str">
        <v/>
      </c>
      <c r="T1025" s="158" t="str">
        <v/>
      </c>
      <c r="U1025" s="158" t="str">
        <v/>
      </c>
      <c r="V1025" s="158" t="str">
        <v/>
      </c>
      <c r="W1025" s="158" t="str">
        <v/>
      </c>
      <c r="X1025" s="158" t="str">
        <v/>
      </c>
      <c r="Y1025" s="158" t="str">
        <v/>
      </c>
      <c r="Z1025" s="158" t="str">
        <v/>
      </c>
      <c r="AA1025" s="158" t="e">
        <v>#VALUE!</v>
      </c>
      <c r="AB1025" s="171" t="str">
        <v/>
      </c>
      <c r="AC1025" s="158">
        <v>0</v>
      </c>
      <c r="AD1025" s="173" t="str">
        <f ca="1">IFERROR(__xludf.DUMMYFUNCTION("""COMPUTED_VALUE"""),"")</f>
        <v/>
      </c>
      <c r="AE1025" s="154" t="str">
        <v/>
      </c>
      <c r="AF1025" s="154" t="str">
        <v/>
      </c>
    </row>
    <row r="1026" spans="1:32" ht="15">
      <c r="A1026" s="176"/>
      <c r="B1026" s="145"/>
      <c r="C1026" s="169"/>
      <c r="D1026" s="145"/>
      <c r="E1026" s="145"/>
      <c r="F1026" s="169" t="e">
        <v>#VALUE!</v>
      </c>
      <c r="G1026" s="145"/>
      <c r="H1026" s="145"/>
      <c r="I1026" s="145"/>
      <c r="J1026" s="145"/>
      <c r="K1026" s="145"/>
      <c r="L1026" s="145"/>
      <c r="M1026" s="145"/>
      <c r="N1026" s="145"/>
      <c r="O1026" s="174"/>
      <c r="P1026" s="174"/>
      <c r="Q1026" s="158" t="str">
        <v/>
      </c>
      <c r="R1026" s="158" t="str">
        <v/>
      </c>
      <c r="S1026" s="158" t="str">
        <v/>
      </c>
      <c r="T1026" s="158" t="str">
        <v/>
      </c>
      <c r="U1026" s="158" t="str">
        <v/>
      </c>
      <c r="V1026" s="158" t="str">
        <v/>
      </c>
      <c r="W1026" s="158" t="str">
        <v/>
      </c>
      <c r="X1026" s="158" t="str">
        <v/>
      </c>
      <c r="Y1026" s="158" t="str">
        <v/>
      </c>
      <c r="Z1026" s="158" t="str">
        <v/>
      </c>
      <c r="AA1026" s="158" t="e">
        <v>#VALUE!</v>
      </c>
      <c r="AB1026" s="171" t="str">
        <v/>
      </c>
      <c r="AC1026" s="158">
        <v>0</v>
      </c>
      <c r="AD1026" s="173" t="str">
        <f ca="1">IFERROR(__xludf.DUMMYFUNCTION("""COMPUTED_VALUE"""),"")</f>
        <v/>
      </c>
      <c r="AE1026" s="154" t="str">
        <v/>
      </c>
      <c r="AF1026" s="154" t="str">
        <v/>
      </c>
    </row>
    <row r="1027" spans="1:32" ht="15">
      <c r="A1027" s="176"/>
      <c r="B1027" s="145"/>
      <c r="C1027" s="169"/>
      <c r="D1027" s="145"/>
      <c r="E1027" s="145"/>
      <c r="F1027" s="169" t="e">
        <v>#VALUE!</v>
      </c>
      <c r="G1027" s="145"/>
      <c r="H1027" s="145"/>
      <c r="I1027" s="145"/>
      <c r="J1027" s="145"/>
      <c r="K1027" s="145"/>
      <c r="L1027" s="145"/>
      <c r="M1027" s="145"/>
      <c r="N1027" s="145"/>
      <c r="O1027" s="174"/>
      <c r="P1027" s="174"/>
      <c r="Q1027" s="158" t="str">
        <v/>
      </c>
      <c r="R1027" s="158" t="str">
        <v/>
      </c>
      <c r="S1027" s="158" t="str">
        <v/>
      </c>
      <c r="T1027" s="158" t="str">
        <v/>
      </c>
      <c r="U1027" s="158" t="str">
        <v/>
      </c>
      <c r="V1027" s="158" t="str">
        <v/>
      </c>
      <c r="W1027" s="158" t="str">
        <v/>
      </c>
      <c r="X1027" s="158" t="str">
        <v/>
      </c>
      <c r="Y1027" s="158" t="str">
        <v/>
      </c>
      <c r="Z1027" s="158" t="str">
        <v/>
      </c>
      <c r="AA1027" s="158" t="e">
        <v>#VALUE!</v>
      </c>
      <c r="AB1027" s="171" t="str">
        <v/>
      </c>
      <c r="AC1027" s="158">
        <v>0</v>
      </c>
      <c r="AD1027" s="173" t="str">
        <f ca="1">IFERROR(__xludf.DUMMYFUNCTION("""COMPUTED_VALUE"""),"")</f>
        <v/>
      </c>
      <c r="AE1027" s="154" t="str">
        <v/>
      </c>
      <c r="AF1027" s="154" t="str">
        <v/>
      </c>
    </row>
    <row r="1028" spans="1:32" ht="15">
      <c r="A1028" s="176"/>
      <c r="B1028" s="145"/>
      <c r="C1028" s="169"/>
      <c r="D1028" s="145"/>
      <c r="E1028" s="145"/>
      <c r="F1028" s="169" t="e">
        <v>#VALUE!</v>
      </c>
      <c r="G1028" s="145"/>
      <c r="H1028" s="145"/>
      <c r="I1028" s="145"/>
      <c r="J1028" s="145"/>
      <c r="K1028" s="145"/>
      <c r="L1028" s="145"/>
      <c r="M1028" s="145"/>
      <c r="N1028" s="145"/>
      <c r="O1028" s="174"/>
      <c r="P1028" s="174"/>
      <c r="Q1028" s="158" t="str">
        <v/>
      </c>
      <c r="R1028" s="158" t="str">
        <v/>
      </c>
      <c r="S1028" s="158" t="str">
        <v/>
      </c>
      <c r="T1028" s="158" t="str">
        <v/>
      </c>
      <c r="U1028" s="158" t="str">
        <v/>
      </c>
      <c r="V1028" s="158" t="str">
        <v/>
      </c>
      <c r="W1028" s="158" t="str">
        <v/>
      </c>
      <c r="X1028" s="158" t="str">
        <v/>
      </c>
      <c r="Y1028" s="158" t="str">
        <v/>
      </c>
      <c r="Z1028" s="158" t="str">
        <v/>
      </c>
      <c r="AA1028" s="158" t="e">
        <v>#VALUE!</v>
      </c>
      <c r="AB1028" s="171" t="str">
        <v/>
      </c>
      <c r="AC1028" s="158">
        <v>0</v>
      </c>
      <c r="AD1028" s="173" t="str">
        <f ca="1">IFERROR(__xludf.DUMMYFUNCTION("""COMPUTED_VALUE"""),"")</f>
        <v/>
      </c>
      <c r="AE1028" s="154" t="str">
        <v/>
      </c>
      <c r="AF1028" s="154" t="str">
        <v/>
      </c>
    </row>
    <row r="1029" spans="1:32" ht="15">
      <c r="A1029" s="176"/>
      <c r="B1029" s="145"/>
      <c r="C1029" s="169"/>
      <c r="D1029" s="145"/>
      <c r="E1029" s="145"/>
      <c r="F1029" s="169" t="e">
        <v>#VALUE!</v>
      </c>
      <c r="G1029" s="145"/>
      <c r="H1029" s="145"/>
      <c r="I1029" s="145"/>
      <c r="J1029" s="145"/>
      <c r="K1029" s="145"/>
      <c r="L1029" s="145"/>
      <c r="M1029" s="145"/>
      <c r="N1029" s="145"/>
      <c r="O1029" s="174"/>
      <c r="P1029" s="174"/>
      <c r="Q1029" s="158" t="str">
        <v/>
      </c>
      <c r="R1029" s="158" t="str">
        <v/>
      </c>
      <c r="S1029" s="158" t="str">
        <v/>
      </c>
      <c r="T1029" s="158" t="str">
        <v/>
      </c>
      <c r="U1029" s="158" t="str">
        <v/>
      </c>
      <c r="V1029" s="158" t="str">
        <v/>
      </c>
      <c r="W1029" s="158" t="str">
        <v/>
      </c>
      <c r="X1029" s="158" t="str">
        <v/>
      </c>
      <c r="Y1029" s="158" t="str">
        <v/>
      </c>
      <c r="Z1029" s="158" t="str">
        <v/>
      </c>
      <c r="AA1029" s="158" t="e">
        <v>#VALUE!</v>
      </c>
      <c r="AB1029" s="171" t="str">
        <v/>
      </c>
      <c r="AC1029" s="158">
        <v>0</v>
      </c>
      <c r="AD1029" s="173" t="str">
        <f ca="1">IFERROR(__xludf.DUMMYFUNCTION("""COMPUTED_VALUE"""),"")</f>
        <v/>
      </c>
      <c r="AE1029" s="154" t="str">
        <v/>
      </c>
      <c r="AF1029" s="154" t="str">
        <v/>
      </c>
    </row>
    <row r="1030" spans="1:32" ht="15">
      <c r="A1030" s="176"/>
      <c r="B1030" s="145"/>
      <c r="C1030" s="169"/>
      <c r="D1030" s="145"/>
      <c r="E1030" s="145"/>
      <c r="F1030" s="169" t="e">
        <v>#VALUE!</v>
      </c>
      <c r="G1030" s="145"/>
      <c r="H1030" s="145"/>
      <c r="I1030" s="145"/>
      <c r="J1030" s="145"/>
      <c r="K1030" s="145"/>
      <c r="L1030" s="145"/>
      <c r="M1030" s="145"/>
      <c r="N1030" s="145"/>
      <c r="O1030" s="174"/>
      <c r="P1030" s="174"/>
      <c r="Q1030" s="158" t="str">
        <v/>
      </c>
      <c r="R1030" s="158" t="str">
        <v/>
      </c>
      <c r="S1030" s="158" t="str">
        <v/>
      </c>
      <c r="T1030" s="158" t="str">
        <v/>
      </c>
      <c r="U1030" s="158" t="str">
        <v/>
      </c>
      <c r="V1030" s="158" t="str">
        <v/>
      </c>
      <c r="W1030" s="158" t="str">
        <v/>
      </c>
      <c r="X1030" s="158" t="str">
        <v/>
      </c>
      <c r="Y1030" s="158" t="str">
        <v/>
      </c>
      <c r="Z1030" s="158" t="str">
        <v/>
      </c>
      <c r="AA1030" s="158" t="e">
        <v>#VALUE!</v>
      </c>
      <c r="AB1030" s="171" t="str">
        <v/>
      </c>
      <c r="AC1030" s="158">
        <v>0</v>
      </c>
      <c r="AD1030" s="173" t="str">
        <f ca="1">IFERROR(__xludf.DUMMYFUNCTION("""COMPUTED_VALUE"""),"")</f>
        <v/>
      </c>
      <c r="AE1030" s="154" t="str">
        <v/>
      </c>
      <c r="AF1030" s="154" t="str">
        <v/>
      </c>
    </row>
    <row r="1031" spans="1:32" ht="15">
      <c r="A1031" s="176"/>
      <c r="B1031" s="145"/>
      <c r="C1031" s="169"/>
      <c r="D1031" s="145"/>
      <c r="E1031" s="145"/>
      <c r="F1031" s="169" t="e">
        <v>#VALUE!</v>
      </c>
      <c r="G1031" s="145"/>
      <c r="H1031" s="145"/>
      <c r="I1031" s="145"/>
      <c r="J1031" s="145"/>
      <c r="K1031" s="145"/>
      <c r="L1031" s="145"/>
      <c r="M1031" s="145"/>
      <c r="N1031" s="145"/>
      <c r="O1031" s="174"/>
      <c r="P1031" s="174"/>
      <c r="Q1031" s="158" t="str">
        <v/>
      </c>
      <c r="R1031" s="158" t="str">
        <v/>
      </c>
      <c r="S1031" s="158" t="str">
        <v/>
      </c>
      <c r="T1031" s="158" t="str">
        <v/>
      </c>
      <c r="U1031" s="158" t="str">
        <v/>
      </c>
      <c r="V1031" s="158" t="str">
        <v/>
      </c>
      <c r="W1031" s="158" t="str">
        <v/>
      </c>
      <c r="X1031" s="158" t="str">
        <v/>
      </c>
      <c r="Y1031" s="158" t="str">
        <v/>
      </c>
      <c r="Z1031" s="158" t="str">
        <v/>
      </c>
      <c r="AA1031" s="158" t="e">
        <v>#VALUE!</v>
      </c>
      <c r="AB1031" s="171" t="str">
        <v/>
      </c>
      <c r="AC1031" s="158">
        <v>0</v>
      </c>
      <c r="AD1031" s="173" t="str">
        <f ca="1">IFERROR(__xludf.DUMMYFUNCTION("""COMPUTED_VALUE"""),"")</f>
        <v/>
      </c>
      <c r="AE1031" s="154" t="str">
        <v/>
      </c>
      <c r="AF1031" s="154" t="str">
        <v/>
      </c>
    </row>
    <row r="1032" spans="1:32" ht="15">
      <c r="A1032" s="176"/>
      <c r="B1032" s="145"/>
      <c r="C1032" s="169"/>
      <c r="D1032" s="145"/>
      <c r="E1032" s="145"/>
      <c r="F1032" s="169" t="e">
        <v>#VALUE!</v>
      </c>
      <c r="G1032" s="145"/>
      <c r="H1032" s="145"/>
      <c r="I1032" s="145"/>
      <c r="J1032" s="145"/>
      <c r="K1032" s="145"/>
      <c r="L1032" s="145"/>
      <c r="M1032" s="145"/>
      <c r="N1032" s="145"/>
      <c r="O1032" s="174"/>
      <c r="P1032" s="174"/>
      <c r="Q1032" s="158" t="str">
        <v/>
      </c>
      <c r="R1032" s="158" t="str">
        <v/>
      </c>
      <c r="S1032" s="158" t="str">
        <v/>
      </c>
      <c r="T1032" s="158" t="str">
        <v/>
      </c>
      <c r="U1032" s="158" t="str">
        <v/>
      </c>
      <c r="V1032" s="158" t="str">
        <v/>
      </c>
      <c r="W1032" s="158" t="str">
        <v/>
      </c>
      <c r="X1032" s="158" t="str">
        <v/>
      </c>
      <c r="Y1032" s="158" t="str">
        <v/>
      </c>
      <c r="Z1032" s="158" t="str">
        <v/>
      </c>
      <c r="AA1032" s="158" t="e">
        <v>#VALUE!</v>
      </c>
      <c r="AB1032" s="171" t="str">
        <v/>
      </c>
      <c r="AC1032" s="158">
        <v>0</v>
      </c>
      <c r="AD1032" s="173" t="str">
        <f ca="1">IFERROR(__xludf.DUMMYFUNCTION("""COMPUTED_VALUE"""),"")</f>
        <v/>
      </c>
      <c r="AE1032" s="154" t="str">
        <v/>
      </c>
      <c r="AF1032" s="154" t="str">
        <v/>
      </c>
    </row>
    <row r="1033" spans="1:32" ht="15">
      <c r="A1033" s="176"/>
      <c r="B1033" s="145"/>
      <c r="C1033" s="169"/>
      <c r="D1033" s="145"/>
      <c r="E1033" s="145"/>
      <c r="F1033" s="169" t="e">
        <v>#VALUE!</v>
      </c>
      <c r="G1033" s="145"/>
      <c r="H1033" s="145"/>
      <c r="I1033" s="145"/>
      <c r="J1033" s="145"/>
      <c r="K1033" s="145"/>
      <c r="L1033" s="145"/>
      <c r="M1033" s="145"/>
      <c r="N1033" s="145"/>
      <c r="O1033" s="174"/>
      <c r="P1033" s="174"/>
      <c r="Q1033" s="158" t="str">
        <v/>
      </c>
      <c r="R1033" s="158" t="str">
        <v/>
      </c>
      <c r="S1033" s="158" t="str">
        <v/>
      </c>
      <c r="T1033" s="158" t="str">
        <v/>
      </c>
      <c r="U1033" s="158" t="str">
        <v/>
      </c>
      <c r="V1033" s="158" t="str">
        <v/>
      </c>
      <c r="W1033" s="158" t="str">
        <v/>
      </c>
      <c r="X1033" s="158" t="str">
        <v/>
      </c>
      <c r="Y1033" s="158" t="str">
        <v/>
      </c>
      <c r="Z1033" s="158" t="str">
        <v/>
      </c>
      <c r="AA1033" s="158" t="e">
        <v>#VALUE!</v>
      </c>
      <c r="AB1033" s="171" t="str">
        <v/>
      </c>
      <c r="AC1033" s="158">
        <v>0</v>
      </c>
      <c r="AD1033" s="173" t="str">
        <f ca="1">IFERROR(__xludf.DUMMYFUNCTION("""COMPUTED_VALUE"""),"")</f>
        <v/>
      </c>
      <c r="AE1033" s="154" t="str">
        <v/>
      </c>
      <c r="AF1033" s="154" t="str">
        <v/>
      </c>
    </row>
    <row r="1034" spans="1:32" ht="15">
      <c r="A1034" s="176"/>
      <c r="B1034" s="145"/>
      <c r="C1034" s="169"/>
      <c r="D1034" s="145"/>
      <c r="E1034" s="145"/>
      <c r="F1034" s="169" t="e">
        <v>#VALUE!</v>
      </c>
      <c r="G1034" s="145"/>
      <c r="H1034" s="145"/>
      <c r="I1034" s="145"/>
      <c r="J1034" s="145"/>
      <c r="K1034" s="145"/>
      <c r="L1034" s="145"/>
      <c r="M1034" s="145"/>
      <c r="N1034" s="145"/>
      <c r="O1034" s="174"/>
      <c r="P1034" s="174"/>
      <c r="Q1034" s="158" t="str">
        <v/>
      </c>
      <c r="R1034" s="158" t="str">
        <v/>
      </c>
      <c r="S1034" s="158" t="str">
        <v/>
      </c>
      <c r="T1034" s="158" t="str">
        <v/>
      </c>
      <c r="U1034" s="158" t="str">
        <v/>
      </c>
      <c r="V1034" s="158" t="str">
        <v/>
      </c>
      <c r="W1034" s="158" t="str">
        <v/>
      </c>
      <c r="X1034" s="158" t="str">
        <v/>
      </c>
      <c r="Y1034" s="158" t="str">
        <v/>
      </c>
      <c r="Z1034" s="158" t="str">
        <v/>
      </c>
      <c r="AA1034" s="158" t="e">
        <v>#VALUE!</v>
      </c>
      <c r="AB1034" s="171" t="str">
        <v/>
      </c>
      <c r="AC1034" s="158">
        <v>0</v>
      </c>
      <c r="AD1034" s="173" t="str">
        <f ca="1">IFERROR(__xludf.DUMMYFUNCTION("""COMPUTED_VALUE"""),"")</f>
        <v/>
      </c>
      <c r="AE1034" s="154" t="str">
        <v/>
      </c>
      <c r="AF1034" s="154" t="str">
        <v/>
      </c>
    </row>
    <row r="1035" spans="1:32" ht="15">
      <c r="A1035" s="176"/>
      <c r="B1035" s="145"/>
      <c r="C1035" s="169"/>
      <c r="D1035" s="145"/>
      <c r="E1035" s="145"/>
      <c r="F1035" s="169" t="e">
        <v>#VALUE!</v>
      </c>
      <c r="G1035" s="145"/>
      <c r="H1035" s="145"/>
      <c r="I1035" s="145"/>
      <c r="J1035" s="145"/>
      <c r="K1035" s="145"/>
      <c r="L1035" s="145"/>
      <c r="M1035" s="145"/>
      <c r="N1035" s="145"/>
      <c r="O1035" s="174"/>
      <c r="P1035" s="174"/>
      <c r="Q1035" s="158" t="str">
        <v/>
      </c>
      <c r="R1035" s="158" t="str">
        <v/>
      </c>
      <c r="S1035" s="158" t="str">
        <v/>
      </c>
      <c r="T1035" s="158" t="str">
        <v/>
      </c>
      <c r="U1035" s="158" t="str">
        <v/>
      </c>
      <c r="V1035" s="158" t="str">
        <v/>
      </c>
      <c r="W1035" s="158" t="str">
        <v/>
      </c>
      <c r="X1035" s="158" t="str">
        <v/>
      </c>
      <c r="Y1035" s="158" t="str">
        <v/>
      </c>
      <c r="Z1035" s="158" t="str">
        <v/>
      </c>
      <c r="AA1035" s="158" t="e">
        <v>#VALUE!</v>
      </c>
      <c r="AB1035" s="171" t="str">
        <v/>
      </c>
      <c r="AC1035" s="158">
        <v>0</v>
      </c>
      <c r="AD1035" s="173" t="str">
        <f ca="1">IFERROR(__xludf.DUMMYFUNCTION("""COMPUTED_VALUE"""),"")</f>
        <v/>
      </c>
      <c r="AE1035" s="154" t="str">
        <v/>
      </c>
      <c r="AF1035" s="154" t="str">
        <v/>
      </c>
    </row>
    <row r="1036" spans="1:32" ht="15">
      <c r="A1036" s="176"/>
      <c r="B1036" s="145"/>
      <c r="C1036" s="169"/>
      <c r="D1036" s="145"/>
      <c r="E1036" s="145"/>
      <c r="F1036" s="169" t="e">
        <v>#VALUE!</v>
      </c>
      <c r="G1036" s="145"/>
      <c r="H1036" s="145"/>
      <c r="I1036" s="145"/>
      <c r="J1036" s="145"/>
      <c r="K1036" s="145"/>
      <c r="L1036" s="145"/>
      <c r="M1036" s="145"/>
      <c r="N1036" s="145"/>
      <c r="O1036" s="174"/>
      <c r="P1036" s="174"/>
      <c r="Q1036" s="158" t="str">
        <v/>
      </c>
      <c r="R1036" s="158" t="str">
        <v/>
      </c>
      <c r="S1036" s="158" t="str">
        <v/>
      </c>
      <c r="T1036" s="158" t="str">
        <v/>
      </c>
      <c r="U1036" s="158" t="str">
        <v/>
      </c>
      <c r="V1036" s="158" t="str">
        <v/>
      </c>
      <c r="W1036" s="158" t="str">
        <v/>
      </c>
      <c r="X1036" s="158" t="str">
        <v/>
      </c>
      <c r="Y1036" s="158" t="str">
        <v/>
      </c>
      <c r="Z1036" s="158" t="str">
        <v/>
      </c>
      <c r="AA1036" s="158" t="e">
        <v>#VALUE!</v>
      </c>
      <c r="AB1036" s="171" t="str">
        <v/>
      </c>
      <c r="AC1036" s="158">
        <v>0</v>
      </c>
      <c r="AD1036" s="173" t="str">
        <f ca="1">IFERROR(__xludf.DUMMYFUNCTION("""COMPUTED_VALUE"""),"")</f>
        <v/>
      </c>
      <c r="AE1036" s="154" t="str">
        <v/>
      </c>
      <c r="AF1036" s="154" t="str">
        <v/>
      </c>
    </row>
    <row r="1037" spans="1:32" ht="15">
      <c r="A1037" s="176"/>
      <c r="B1037" s="145"/>
      <c r="C1037" s="169"/>
      <c r="D1037" s="145"/>
      <c r="E1037" s="145"/>
      <c r="F1037" s="169" t="e">
        <v>#VALUE!</v>
      </c>
      <c r="G1037" s="145"/>
      <c r="H1037" s="145"/>
      <c r="I1037" s="145"/>
      <c r="J1037" s="145"/>
      <c r="K1037" s="145"/>
      <c r="L1037" s="145"/>
      <c r="M1037" s="145"/>
      <c r="N1037" s="145"/>
      <c r="O1037" s="174"/>
      <c r="P1037" s="174"/>
      <c r="Q1037" s="158" t="str">
        <v/>
      </c>
      <c r="R1037" s="158" t="str">
        <v/>
      </c>
      <c r="S1037" s="158" t="str">
        <v/>
      </c>
      <c r="T1037" s="158" t="str">
        <v/>
      </c>
      <c r="U1037" s="158" t="str">
        <v/>
      </c>
      <c r="V1037" s="158" t="str">
        <v/>
      </c>
      <c r="W1037" s="158" t="str">
        <v/>
      </c>
      <c r="X1037" s="158" t="str">
        <v/>
      </c>
      <c r="Y1037" s="158" t="str">
        <v/>
      </c>
      <c r="Z1037" s="158" t="str">
        <v/>
      </c>
      <c r="AA1037" s="158" t="e">
        <v>#VALUE!</v>
      </c>
      <c r="AB1037" s="171" t="str">
        <v/>
      </c>
      <c r="AC1037" s="158">
        <v>0</v>
      </c>
      <c r="AD1037" s="173" t="str">
        <f ca="1">IFERROR(__xludf.DUMMYFUNCTION("""COMPUTED_VALUE"""),"")</f>
        <v/>
      </c>
      <c r="AE1037" s="154" t="str">
        <v/>
      </c>
      <c r="AF1037" s="154" t="str">
        <v/>
      </c>
    </row>
    <row r="1038" spans="1:32" ht="15">
      <c r="A1038" s="176"/>
      <c r="B1038" s="145"/>
      <c r="C1038" s="169"/>
      <c r="D1038" s="145"/>
      <c r="E1038" s="145"/>
      <c r="F1038" s="169" t="e">
        <v>#VALUE!</v>
      </c>
      <c r="G1038" s="145"/>
      <c r="H1038" s="145"/>
      <c r="I1038" s="145"/>
      <c r="J1038" s="145"/>
      <c r="K1038" s="145"/>
      <c r="L1038" s="145"/>
      <c r="M1038" s="145"/>
      <c r="N1038" s="145"/>
      <c r="O1038" s="174"/>
      <c r="P1038" s="174"/>
      <c r="Q1038" s="158" t="str">
        <v/>
      </c>
      <c r="R1038" s="158" t="str">
        <v/>
      </c>
      <c r="S1038" s="158" t="str">
        <v/>
      </c>
      <c r="T1038" s="158" t="str">
        <v/>
      </c>
      <c r="U1038" s="158" t="str">
        <v/>
      </c>
      <c r="V1038" s="158" t="str">
        <v/>
      </c>
      <c r="W1038" s="158" t="str">
        <v/>
      </c>
      <c r="X1038" s="158" t="str">
        <v/>
      </c>
      <c r="Y1038" s="158" t="str">
        <v/>
      </c>
      <c r="Z1038" s="158" t="str">
        <v/>
      </c>
      <c r="AA1038" s="158" t="e">
        <v>#VALUE!</v>
      </c>
      <c r="AB1038" s="171" t="str">
        <v/>
      </c>
      <c r="AC1038" s="158">
        <v>0</v>
      </c>
      <c r="AD1038" s="173" t="str">
        <f ca="1">IFERROR(__xludf.DUMMYFUNCTION("""COMPUTED_VALUE"""),"")</f>
        <v/>
      </c>
      <c r="AE1038" s="154" t="str">
        <v/>
      </c>
      <c r="AF1038" s="154" t="str">
        <v/>
      </c>
    </row>
    <row r="1039" spans="1:32" ht="15">
      <c r="A1039" s="176"/>
      <c r="B1039" s="145"/>
      <c r="C1039" s="169"/>
      <c r="D1039" s="145"/>
      <c r="E1039" s="145"/>
      <c r="F1039" s="169" t="e">
        <v>#VALUE!</v>
      </c>
      <c r="G1039" s="145"/>
      <c r="H1039" s="145"/>
      <c r="I1039" s="145"/>
      <c r="J1039" s="145"/>
      <c r="K1039" s="145"/>
      <c r="L1039" s="145"/>
      <c r="M1039" s="145"/>
      <c r="N1039" s="145"/>
      <c r="O1039" s="174"/>
      <c r="P1039" s="174"/>
      <c r="Q1039" s="158" t="str">
        <v/>
      </c>
      <c r="R1039" s="158" t="str">
        <v/>
      </c>
      <c r="S1039" s="158" t="str">
        <v/>
      </c>
      <c r="T1039" s="158" t="str">
        <v/>
      </c>
      <c r="U1039" s="158" t="str">
        <v/>
      </c>
      <c r="V1039" s="158" t="str">
        <v/>
      </c>
      <c r="W1039" s="158" t="str">
        <v/>
      </c>
      <c r="X1039" s="158" t="str">
        <v/>
      </c>
      <c r="Y1039" s="158" t="str">
        <v/>
      </c>
      <c r="Z1039" s="158" t="str">
        <v/>
      </c>
      <c r="AA1039" s="158" t="e">
        <v>#VALUE!</v>
      </c>
      <c r="AB1039" s="171" t="str">
        <v/>
      </c>
      <c r="AC1039" s="158">
        <v>0</v>
      </c>
      <c r="AD1039" s="173" t="str">
        <f ca="1">IFERROR(__xludf.DUMMYFUNCTION("""COMPUTED_VALUE"""),"")</f>
        <v/>
      </c>
      <c r="AE1039" s="154" t="str">
        <v/>
      </c>
      <c r="AF1039" s="154" t="str">
        <v/>
      </c>
    </row>
    <row r="1040" spans="1:32" ht="15">
      <c r="A1040" s="176"/>
      <c r="B1040" s="145"/>
      <c r="C1040" s="169"/>
      <c r="D1040" s="145"/>
      <c r="E1040" s="145"/>
      <c r="F1040" s="169" t="e">
        <v>#VALUE!</v>
      </c>
      <c r="G1040" s="145"/>
      <c r="H1040" s="145"/>
      <c r="I1040" s="145"/>
      <c r="J1040" s="145"/>
      <c r="K1040" s="145"/>
      <c r="L1040" s="145"/>
      <c r="M1040" s="145"/>
      <c r="N1040" s="145"/>
      <c r="O1040" s="174"/>
      <c r="P1040" s="174"/>
      <c r="Q1040" s="158" t="str">
        <v/>
      </c>
      <c r="R1040" s="158" t="str">
        <v/>
      </c>
      <c r="S1040" s="158" t="str">
        <v/>
      </c>
      <c r="T1040" s="158" t="str">
        <v/>
      </c>
      <c r="U1040" s="158" t="str">
        <v/>
      </c>
      <c r="V1040" s="158" t="str">
        <v/>
      </c>
      <c r="W1040" s="158" t="str">
        <v/>
      </c>
      <c r="X1040" s="158" t="str">
        <v/>
      </c>
      <c r="Y1040" s="158" t="str">
        <v/>
      </c>
      <c r="Z1040" s="158" t="str">
        <v/>
      </c>
      <c r="AA1040" s="158" t="e">
        <v>#VALUE!</v>
      </c>
      <c r="AB1040" s="171" t="str">
        <v/>
      </c>
      <c r="AC1040" s="158">
        <v>0</v>
      </c>
      <c r="AD1040" s="173" t="str">
        <f ca="1">IFERROR(__xludf.DUMMYFUNCTION("""COMPUTED_VALUE"""),"")</f>
        <v/>
      </c>
      <c r="AE1040" s="154" t="str">
        <v/>
      </c>
      <c r="AF1040" s="154" t="str">
        <v/>
      </c>
    </row>
    <row r="1041" spans="1:32" ht="15">
      <c r="A1041" s="176"/>
      <c r="B1041" s="145"/>
      <c r="C1041" s="169"/>
      <c r="D1041" s="145"/>
      <c r="E1041" s="145"/>
      <c r="F1041" s="169" t="e">
        <v>#VALUE!</v>
      </c>
      <c r="G1041" s="145"/>
      <c r="H1041" s="145"/>
      <c r="I1041" s="145"/>
      <c r="J1041" s="145"/>
      <c r="K1041" s="145"/>
      <c r="L1041" s="145"/>
      <c r="M1041" s="145"/>
      <c r="N1041" s="145"/>
      <c r="O1041" s="174"/>
      <c r="P1041" s="174"/>
      <c r="Q1041" s="158" t="str">
        <v/>
      </c>
      <c r="R1041" s="158" t="str">
        <v/>
      </c>
      <c r="S1041" s="158" t="str">
        <v/>
      </c>
      <c r="T1041" s="158" t="str">
        <v/>
      </c>
      <c r="U1041" s="158" t="str">
        <v/>
      </c>
      <c r="V1041" s="158" t="str">
        <v/>
      </c>
      <c r="W1041" s="158" t="str">
        <v/>
      </c>
      <c r="X1041" s="158" t="str">
        <v/>
      </c>
      <c r="Y1041" s="158" t="str">
        <v/>
      </c>
      <c r="Z1041" s="158" t="str">
        <v/>
      </c>
      <c r="AA1041" s="158" t="e">
        <v>#VALUE!</v>
      </c>
      <c r="AB1041" s="171" t="str">
        <v/>
      </c>
      <c r="AC1041" s="158">
        <v>0</v>
      </c>
      <c r="AD1041" s="173" t="str">
        <f ca="1">IFERROR(__xludf.DUMMYFUNCTION("""COMPUTED_VALUE"""),"")</f>
        <v/>
      </c>
      <c r="AE1041" s="154" t="str">
        <v/>
      </c>
      <c r="AF1041" s="154" t="str">
        <v/>
      </c>
    </row>
    <row r="1042" spans="1:32" ht="15">
      <c r="A1042" s="176"/>
      <c r="B1042" s="145"/>
      <c r="C1042" s="169"/>
      <c r="D1042" s="145"/>
      <c r="E1042" s="145"/>
      <c r="F1042" s="169" t="e">
        <v>#VALUE!</v>
      </c>
      <c r="G1042" s="145"/>
      <c r="H1042" s="145"/>
      <c r="I1042" s="145"/>
      <c r="J1042" s="145"/>
      <c r="K1042" s="145"/>
      <c r="L1042" s="145"/>
      <c r="M1042" s="145"/>
      <c r="N1042" s="145"/>
      <c r="O1042" s="174"/>
      <c r="P1042" s="174"/>
      <c r="Q1042" s="158" t="str">
        <v/>
      </c>
      <c r="R1042" s="158" t="str">
        <v/>
      </c>
      <c r="S1042" s="158" t="str">
        <v/>
      </c>
      <c r="T1042" s="158" t="str">
        <v/>
      </c>
      <c r="U1042" s="158" t="str">
        <v/>
      </c>
      <c r="V1042" s="158" t="str">
        <v/>
      </c>
      <c r="W1042" s="158" t="str">
        <v/>
      </c>
      <c r="X1042" s="158" t="str">
        <v/>
      </c>
      <c r="Y1042" s="158" t="str">
        <v/>
      </c>
      <c r="Z1042" s="158" t="str">
        <v/>
      </c>
      <c r="AA1042" s="158" t="e">
        <v>#VALUE!</v>
      </c>
      <c r="AB1042" s="171" t="str">
        <v/>
      </c>
      <c r="AC1042" s="158">
        <v>0</v>
      </c>
      <c r="AD1042" s="173" t="str">
        <f ca="1">IFERROR(__xludf.DUMMYFUNCTION("""COMPUTED_VALUE"""),"")</f>
        <v/>
      </c>
      <c r="AE1042" s="154" t="str">
        <v/>
      </c>
      <c r="AF1042" s="154" t="str">
        <v/>
      </c>
    </row>
    <row r="1043" spans="1:32" ht="15">
      <c r="A1043" s="176"/>
      <c r="B1043" s="145"/>
      <c r="C1043" s="169"/>
      <c r="D1043" s="145"/>
      <c r="E1043" s="145"/>
      <c r="F1043" s="169" t="e">
        <v>#VALUE!</v>
      </c>
      <c r="G1043" s="145"/>
      <c r="H1043" s="145"/>
      <c r="I1043" s="145"/>
      <c r="J1043" s="145"/>
      <c r="K1043" s="145"/>
      <c r="L1043" s="145"/>
      <c r="M1043" s="145"/>
      <c r="N1043" s="145"/>
      <c r="O1043" s="174"/>
      <c r="P1043" s="174"/>
      <c r="Q1043" s="158" t="str">
        <v/>
      </c>
      <c r="R1043" s="158" t="str">
        <v/>
      </c>
      <c r="S1043" s="158" t="str">
        <v/>
      </c>
      <c r="T1043" s="158" t="str">
        <v/>
      </c>
      <c r="U1043" s="158" t="str">
        <v/>
      </c>
      <c r="V1043" s="158" t="str">
        <v/>
      </c>
      <c r="W1043" s="158" t="str">
        <v/>
      </c>
      <c r="X1043" s="158" t="str">
        <v/>
      </c>
      <c r="Y1043" s="158" t="str">
        <v/>
      </c>
      <c r="Z1043" s="158" t="str">
        <v/>
      </c>
      <c r="AA1043" s="158" t="e">
        <v>#VALUE!</v>
      </c>
      <c r="AB1043" s="171" t="str">
        <v/>
      </c>
      <c r="AC1043" s="158">
        <v>0</v>
      </c>
      <c r="AD1043" s="173" t="str">
        <f ca="1">IFERROR(__xludf.DUMMYFUNCTION("""COMPUTED_VALUE"""),"")</f>
        <v/>
      </c>
      <c r="AE1043" s="154" t="str">
        <v/>
      </c>
      <c r="AF1043" s="154" t="str">
        <v/>
      </c>
    </row>
    <row r="1044" spans="1:32" ht="15">
      <c r="A1044" s="176"/>
      <c r="B1044" s="145"/>
      <c r="C1044" s="169"/>
      <c r="D1044" s="145"/>
      <c r="E1044" s="145"/>
      <c r="F1044" s="169" t="e">
        <v>#VALUE!</v>
      </c>
      <c r="G1044" s="145"/>
      <c r="H1044" s="145"/>
      <c r="I1044" s="145"/>
      <c r="J1044" s="145"/>
      <c r="K1044" s="145"/>
      <c r="L1044" s="145"/>
      <c r="M1044" s="145"/>
      <c r="N1044" s="145"/>
      <c r="O1044" s="174"/>
      <c r="P1044" s="174"/>
      <c r="Q1044" s="158" t="str">
        <v/>
      </c>
      <c r="R1044" s="158" t="str">
        <v/>
      </c>
      <c r="S1044" s="158" t="str">
        <v/>
      </c>
      <c r="T1044" s="158" t="str">
        <v/>
      </c>
      <c r="U1044" s="158" t="str">
        <v/>
      </c>
      <c r="V1044" s="158" t="str">
        <v/>
      </c>
      <c r="W1044" s="158" t="str">
        <v/>
      </c>
      <c r="X1044" s="158" t="str">
        <v/>
      </c>
      <c r="Y1044" s="158" t="str">
        <v/>
      </c>
      <c r="Z1044" s="158" t="str">
        <v/>
      </c>
      <c r="AA1044" s="158" t="e">
        <v>#VALUE!</v>
      </c>
      <c r="AB1044" s="171" t="str">
        <v/>
      </c>
      <c r="AC1044" s="158">
        <v>0</v>
      </c>
      <c r="AD1044" s="173" t="str">
        <f ca="1">IFERROR(__xludf.DUMMYFUNCTION("""COMPUTED_VALUE"""),"")</f>
        <v/>
      </c>
      <c r="AE1044" s="154" t="str">
        <v/>
      </c>
      <c r="AF1044" s="154" t="str">
        <v/>
      </c>
    </row>
    <row r="1045" spans="1:32" ht="15">
      <c r="A1045" s="176"/>
      <c r="B1045" s="145"/>
      <c r="C1045" s="169"/>
      <c r="D1045" s="145"/>
      <c r="E1045" s="145"/>
      <c r="F1045" s="169" t="e">
        <v>#VALUE!</v>
      </c>
      <c r="G1045" s="145"/>
      <c r="H1045" s="145"/>
      <c r="I1045" s="145"/>
      <c r="J1045" s="145"/>
      <c r="K1045" s="145"/>
      <c r="L1045" s="145"/>
      <c r="M1045" s="145"/>
      <c r="N1045" s="145"/>
      <c r="O1045" s="174"/>
      <c r="P1045" s="174"/>
      <c r="Q1045" s="158" t="str">
        <v/>
      </c>
      <c r="R1045" s="158" t="str">
        <v/>
      </c>
      <c r="S1045" s="158" t="str">
        <v/>
      </c>
      <c r="T1045" s="158" t="str">
        <v/>
      </c>
      <c r="U1045" s="158" t="str">
        <v/>
      </c>
      <c r="V1045" s="158" t="str">
        <v/>
      </c>
      <c r="W1045" s="158" t="str">
        <v/>
      </c>
      <c r="X1045" s="158" t="str">
        <v/>
      </c>
      <c r="Y1045" s="158" t="str">
        <v/>
      </c>
      <c r="Z1045" s="158" t="str">
        <v/>
      </c>
      <c r="AA1045" s="158" t="e">
        <v>#VALUE!</v>
      </c>
      <c r="AB1045" s="171" t="str">
        <v/>
      </c>
      <c r="AC1045" s="158">
        <v>0</v>
      </c>
      <c r="AD1045" s="173" t="str">
        <f ca="1">IFERROR(__xludf.DUMMYFUNCTION("""COMPUTED_VALUE"""),"")</f>
        <v/>
      </c>
      <c r="AE1045" s="154" t="str">
        <v/>
      </c>
      <c r="AF1045" s="154" t="str">
        <v/>
      </c>
    </row>
    <row r="1046" spans="1:32" ht="15">
      <c r="A1046" s="176"/>
      <c r="B1046" s="145"/>
      <c r="C1046" s="169"/>
      <c r="D1046" s="145"/>
      <c r="E1046" s="145"/>
      <c r="F1046" s="169" t="e">
        <v>#VALUE!</v>
      </c>
      <c r="G1046" s="145"/>
      <c r="H1046" s="145"/>
      <c r="I1046" s="145"/>
      <c r="J1046" s="145"/>
      <c r="K1046" s="145"/>
      <c r="L1046" s="145"/>
      <c r="M1046" s="145"/>
      <c r="N1046" s="145"/>
      <c r="O1046" s="174"/>
      <c r="P1046" s="174"/>
      <c r="Q1046" s="158" t="str">
        <v/>
      </c>
      <c r="R1046" s="158" t="str">
        <v/>
      </c>
      <c r="S1046" s="158" t="str">
        <v/>
      </c>
      <c r="T1046" s="158" t="str">
        <v/>
      </c>
      <c r="U1046" s="158" t="str">
        <v/>
      </c>
      <c r="V1046" s="158" t="str">
        <v/>
      </c>
      <c r="W1046" s="158" t="str">
        <v/>
      </c>
      <c r="X1046" s="158" t="str">
        <v/>
      </c>
      <c r="Y1046" s="158" t="str">
        <v/>
      </c>
      <c r="Z1046" s="158" t="str">
        <v/>
      </c>
      <c r="AA1046" s="158" t="e">
        <v>#VALUE!</v>
      </c>
      <c r="AB1046" s="171" t="str">
        <v/>
      </c>
      <c r="AC1046" s="158">
        <v>0</v>
      </c>
      <c r="AD1046" s="173" t="str">
        <f ca="1">IFERROR(__xludf.DUMMYFUNCTION("""COMPUTED_VALUE"""),"")</f>
        <v/>
      </c>
      <c r="AE1046" s="154" t="str">
        <v/>
      </c>
      <c r="AF1046" s="154" t="str">
        <v/>
      </c>
    </row>
    <row r="1047" spans="1:32" ht="15">
      <c r="A1047" s="176"/>
      <c r="B1047" s="145"/>
      <c r="C1047" s="169"/>
      <c r="D1047" s="145"/>
      <c r="E1047" s="145"/>
      <c r="F1047" s="169" t="e">
        <v>#VALUE!</v>
      </c>
      <c r="G1047" s="145"/>
      <c r="H1047" s="145"/>
      <c r="I1047" s="145"/>
      <c r="J1047" s="145"/>
      <c r="K1047" s="145"/>
      <c r="L1047" s="145"/>
      <c r="M1047" s="145"/>
      <c r="N1047" s="145"/>
      <c r="O1047" s="174"/>
      <c r="P1047" s="174"/>
      <c r="Q1047" s="158" t="str">
        <v/>
      </c>
      <c r="R1047" s="158" t="str">
        <v/>
      </c>
      <c r="S1047" s="158" t="str">
        <v/>
      </c>
      <c r="T1047" s="158" t="str">
        <v/>
      </c>
      <c r="U1047" s="158" t="str">
        <v/>
      </c>
      <c r="V1047" s="158" t="str">
        <v/>
      </c>
      <c r="W1047" s="158" t="str">
        <v/>
      </c>
      <c r="X1047" s="158" t="str">
        <v/>
      </c>
      <c r="Y1047" s="158" t="str">
        <v/>
      </c>
      <c r="Z1047" s="158" t="str">
        <v/>
      </c>
      <c r="AA1047" s="158" t="e">
        <v>#VALUE!</v>
      </c>
      <c r="AB1047" s="171" t="str">
        <v/>
      </c>
      <c r="AC1047" s="158">
        <v>0</v>
      </c>
      <c r="AD1047" s="173" t="str">
        <f ca="1">IFERROR(__xludf.DUMMYFUNCTION("""COMPUTED_VALUE"""),"")</f>
        <v/>
      </c>
      <c r="AE1047" s="154" t="str">
        <v/>
      </c>
      <c r="AF1047" s="154" t="str">
        <v/>
      </c>
    </row>
    <row r="1048" spans="1:32" ht="15">
      <c r="A1048" s="176"/>
      <c r="B1048" s="145"/>
      <c r="C1048" s="169"/>
      <c r="D1048" s="145"/>
      <c r="E1048" s="145"/>
      <c r="F1048" s="169" t="e">
        <v>#VALUE!</v>
      </c>
      <c r="G1048" s="145"/>
      <c r="H1048" s="145"/>
      <c r="I1048" s="145"/>
      <c r="J1048" s="145"/>
      <c r="K1048" s="145"/>
      <c r="L1048" s="145"/>
      <c r="M1048" s="145"/>
      <c r="N1048" s="145"/>
      <c r="O1048" s="174"/>
      <c r="P1048" s="174"/>
      <c r="Q1048" s="158" t="str">
        <v/>
      </c>
      <c r="R1048" s="158" t="str">
        <v/>
      </c>
      <c r="S1048" s="158" t="str">
        <v/>
      </c>
      <c r="T1048" s="158" t="str">
        <v/>
      </c>
      <c r="U1048" s="158" t="str">
        <v/>
      </c>
      <c r="V1048" s="158" t="str">
        <v/>
      </c>
      <c r="W1048" s="158" t="str">
        <v/>
      </c>
      <c r="X1048" s="158" t="str">
        <v/>
      </c>
      <c r="Y1048" s="158" t="str">
        <v/>
      </c>
      <c r="Z1048" s="158" t="str">
        <v/>
      </c>
      <c r="AA1048" s="158" t="e">
        <v>#VALUE!</v>
      </c>
      <c r="AB1048" s="171" t="str">
        <v/>
      </c>
      <c r="AC1048" s="158">
        <v>0</v>
      </c>
      <c r="AD1048" s="173" t="str">
        <f ca="1">IFERROR(__xludf.DUMMYFUNCTION("""COMPUTED_VALUE"""),"")</f>
        <v/>
      </c>
      <c r="AE1048" s="154" t="str">
        <v/>
      </c>
      <c r="AF1048" s="154" t="str">
        <v/>
      </c>
    </row>
    <row r="1049" spans="1:32" ht="15">
      <c r="A1049" s="176"/>
      <c r="B1049" s="145"/>
      <c r="C1049" s="169"/>
      <c r="D1049" s="145"/>
      <c r="E1049" s="145"/>
      <c r="F1049" s="169" t="e">
        <v>#VALUE!</v>
      </c>
      <c r="G1049" s="145"/>
      <c r="H1049" s="145"/>
      <c r="I1049" s="145"/>
      <c r="J1049" s="145"/>
      <c r="K1049" s="145"/>
      <c r="L1049" s="145"/>
      <c r="M1049" s="145"/>
      <c r="N1049" s="145"/>
      <c r="O1049" s="174"/>
      <c r="P1049" s="174"/>
      <c r="Q1049" s="158" t="str">
        <v/>
      </c>
      <c r="R1049" s="158" t="str">
        <v/>
      </c>
      <c r="S1049" s="158" t="str">
        <v/>
      </c>
      <c r="T1049" s="158" t="str">
        <v/>
      </c>
      <c r="U1049" s="158" t="str">
        <v/>
      </c>
      <c r="V1049" s="158" t="str">
        <v/>
      </c>
      <c r="W1049" s="158" t="str">
        <v/>
      </c>
      <c r="X1049" s="158" t="str">
        <v/>
      </c>
      <c r="Y1049" s="158" t="str">
        <v/>
      </c>
      <c r="Z1049" s="158" t="str">
        <v/>
      </c>
      <c r="AA1049" s="158" t="e">
        <v>#VALUE!</v>
      </c>
      <c r="AB1049" s="171" t="str">
        <v/>
      </c>
      <c r="AC1049" s="158">
        <v>0</v>
      </c>
      <c r="AD1049" s="173" t="str">
        <f ca="1">IFERROR(__xludf.DUMMYFUNCTION("""COMPUTED_VALUE"""),"")</f>
        <v/>
      </c>
      <c r="AE1049" s="154" t="str">
        <v/>
      </c>
      <c r="AF1049" s="154" t="str">
        <v/>
      </c>
    </row>
    <row r="1050" spans="1:32" ht="15">
      <c r="A1050" s="176"/>
      <c r="B1050" s="145"/>
      <c r="C1050" s="169"/>
      <c r="D1050" s="145"/>
      <c r="E1050" s="145"/>
      <c r="F1050" s="169" t="e">
        <v>#VALUE!</v>
      </c>
      <c r="G1050" s="145"/>
      <c r="H1050" s="145"/>
      <c r="I1050" s="145"/>
      <c r="J1050" s="145"/>
      <c r="K1050" s="145"/>
      <c r="L1050" s="145"/>
      <c r="M1050" s="145"/>
      <c r="N1050" s="145"/>
      <c r="O1050" s="174"/>
      <c r="P1050" s="174"/>
      <c r="Q1050" s="158" t="str">
        <v/>
      </c>
      <c r="R1050" s="158" t="str">
        <v/>
      </c>
      <c r="S1050" s="158" t="str">
        <v/>
      </c>
      <c r="T1050" s="158" t="str">
        <v/>
      </c>
      <c r="U1050" s="158" t="str">
        <v/>
      </c>
      <c r="V1050" s="158" t="str">
        <v/>
      </c>
      <c r="W1050" s="158" t="str">
        <v/>
      </c>
      <c r="X1050" s="158" t="str">
        <v/>
      </c>
      <c r="Y1050" s="158" t="str">
        <v/>
      </c>
      <c r="Z1050" s="158" t="str">
        <v/>
      </c>
      <c r="AA1050" s="158" t="e">
        <v>#VALUE!</v>
      </c>
      <c r="AB1050" s="171" t="str">
        <v/>
      </c>
      <c r="AC1050" s="158">
        <v>0</v>
      </c>
      <c r="AD1050" s="173" t="str">
        <f ca="1">IFERROR(__xludf.DUMMYFUNCTION("""COMPUTED_VALUE"""),"")</f>
        <v/>
      </c>
      <c r="AE1050" s="154" t="str">
        <v/>
      </c>
      <c r="AF1050" s="154" t="str">
        <v/>
      </c>
    </row>
    <row r="1051" spans="1:32" ht="15">
      <c r="A1051" s="176"/>
      <c r="B1051" s="145"/>
      <c r="C1051" s="169"/>
      <c r="D1051" s="145"/>
      <c r="E1051" s="145"/>
      <c r="F1051" s="169" t="e">
        <v>#VALUE!</v>
      </c>
      <c r="G1051" s="145"/>
      <c r="H1051" s="145"/>
      <c r="I1051" s="145"/>
      <c r="J1051" s="145"/>
      <c r="K1051" s="145"/>
      <c r="L1051" s="145"/>
      <c r="M1051" s="145"/>
      <c r="N1051" s="145"/>
      <c r="O1051" s="174"/>
      <c r="P1051" s="174"/>
      <c r="Q1051" s="158" t="str">
        <v/>
      </c>
      <c r="R1051" s="158" t="str">
        <v/>
      </c>
      <c r="S1051" s="158" t="str">
        <v/>
      </c>
      <c r="T1051" s="158" t="str">
        <v/>
      </c>
      <c r="U1051" s="158" t="str">
        <v/>
      </c>
      <c r="V1051" s="158" t="str">
        <v/>
      </c>
      <c r="W1051" s="158" t="str">
        <v/>
      </c>
      <c r="X1051" s="158" t="str">
        <v/>
      </c>
      <c r="Y1051" s="158" t="str">
        <v/>
      </c>
      <c r="Z1051" s="158" t="str">
        <v/>
      </c>
      <c r="AA1051" s="158" t="e">
        <v>#VALUE!</v>
      </c>
      <c r="AB1051" s="171" t="str">
        <v/>
      </c>
      <c r="AC1051" s="158">
        <v>0</v>
      </c>
      <c r="AD1051" s="173" t="str">
        <f ca="1">IFERROR(__xludf.DUMMYFUNCTION("""COMPUTED_VALUE"""),"")</f>
        <v/>
      </c>
      <c r="AE1051" s="154" t="str">
        <v/>
      </c>
      <c r="AF1051" s="154" t="str">
        <v/>
      </c>
    </row>
    <row r="1052" spans="1:32" ht="15">
      <c r="A1052" s="176"/>
      <c r="B1052" s="145"/>
      <c r="C1052" s="169"/>
      <c r="D1052" s="145"/>
      <c r="E1052" s="145"/>
      <c r="F1052" s="169" t="e">
        <v>#VALUE!</v>
      </c>
      <c r="G1052" s="145"/>
      <c r="H1052" s="145"/>
      <c r="I1052" s="145"/>
      <c r="J1052" s="145"/>
      <c r="K1052" s="145"/>
      <c r="L1052" s="145"/>
      <c r="M1052" s="145"/>
      <c r="N1052" s="145"/>
      <c r="O1052" s="174"/>
      <c r="P1052" s="174"/>
      <c r="Q1052" s="158" t="str">
        <v/>
      </c>
      <c r="R1052" s="158" t="str">
        <v/>
      </c>
      <c r="S1052" s="158" t="str">
        <v/>
      </c>
      <c r="T1052" s="158" t="str">
        <v/>
      </c>
      <c r="U1052" s="158" t="str">
        <v/>
      </c>
      <c r="V1052" s="158" t="str">
        <v/>
      </c>
      <c r="W1052" s="158" t="str">
        <v/>
      </c>
      <c r="X1052" s="158" t="str">
        <v/>
      </c>
      <c r="Y1052" s="158" t="str">
        <v/>
      </c>
      <c r="Z1052" s="158" t="str">
        <v/>
      </c>
      <c r="AA1052" s="158" t="e">
        <v>#VALUE!</v>
      </c>
      <c r="AB1052" s="171" t="str">
        <v/>
      </c>
      <c r="AC1052" s="158">
        <v>0</v>
      </c>
      <c r="AD1052" s="173" t="str">
        <f ca="1">IFERROR(__xludf.DUMMYFUNCTION("""COMPUTED_VALUE"""),"")</f>
        <v/>
      </c>
      <c r="AE1052" s="154" t="str">
        <v/>
      </c>
      <c r="AF1052" s="154" t="str">
        <v/>
      </c>
    </row>
    <row r="1053" spans="1:32" ht="15">
      <c r="A1053" s="176"/>
      <c r="B1053" s="145"/>
      <c r="C1053" s="169"/>
      <c r="D1053" s="145"/>
      <c r="E1053" s="145"/>
      <c r="F1053" s="169" t="e">
        <v>#VALUE!</v>
      </c>
      <c r="G1053" s="145"/>
      <c r="H1053" s="145"/>
      <c r="I1053" s="145"/>
      <c r="J1053" s="145"/>
      <c r="K1053" s="145"/>
      <c r="L1053" s="145"/>
      <c r="M1053" s="145"/>
      <c r="N1053" s="145"/>
      <c r="O1053" s="174"/>
      <c r="P1053" s="174"/>
      <c r="Q1053" s="158" t="str">
        <v/>
      </c>
      <c r="R1053" s="158" t="str">
        <v/>
      </c>
      <c r="S1053" s="158" t="str">
        <v/>
      </c>
      <c r="T1053" s="158" t="str">
        <v/>
      </c>
      <c r="U1053" s="158" t="str">
        <v/>
      </c>
      <c r="V1053" s="158" t="str">
        <v/>
      </c>
      <c r="W1053" s="158" t="str">
        <v/>
      </c>
      <c r="X1053" s="158" t="str">
        <v/>
      </c>
      <c r="Y1053" s="158" t="str">
        <v/>
      </c>
      <c r="Z1053" s="158" t="str">
        <v/>
      </c>
      <c r="AA1053" s="158" t="e">
        <v>#VALUE!</v>
      </c>
      <c r="AB1053" s="171" t="str">
        <v/>
      </c>
      <c r="AC1053" s="158">
        <v>0</v>
      </c>
      <c r="AD1053" s="173" t="str">
        <f ca="1">IFERROR(__xludf.DUMMYFUNCTION("""COMPUTED_VALUE"""),"")</f>
        <v/>
      </c>
      <c r="AE1053" s="154" t="str">
        <v/>
      </c>
      <c r="AF1053" s="154" t="str">
        <v/>
      </c>
    </row>
    <row r="1054" spans="1:32" ht="15">
      <c r="A1054" s="176"/>
      <c r="B1054" s="145"/>
      <c r="C1054" s="169"/>
      <c r="D1054" s="145"/>
      <c r="E1054" s="145"/>
      <c r="F1054" s="169" t="e">
        <v>#VALUE!</v>
      </c>
      <c r="G1054" s="145"/>
      <c r="H1054" s="145"/>
      <c r="I1054" s="145"/>
      <c r="J1054" s="145"/>
      <c r="K1054" s="145"/>
      <c r="L1054" s="145"/>
      <c r="M1054" s="145"/>
      <c r="N1054" s="145"/>
      <c r="O1054" s="174"/>
      <c r="P1054" s="174"/>
      <c r="Q1054" s="158" t="str">
        <v/>
      </c>
      <c r="R1054" s="158" t="str">
        <v/>
      </c>
      <c r="S1054" s="158" t="str">
        <v/>
      </c>
      <c r="T1054" s="158" t="str">
        <v/>
      </c>
      <c r="U1054" s="158" t="str">
        <v/>
      </c>
      <c r="V1054" s="158" t="str">
        <v/>
      </c>
      <c r="W1054" s="158" t="str">
        <v/>
      </c>
      <c r="X1054" s="158" t="str">
        <v/>
      </c>
      <c r="Y1054" s="158" t="str">
        <v/>
      </c>
      <c r="Z1054" s="158" t="str">
        <v/>
      </c>
      <c r="AA1054" s="158" t="e">
        <v>#VALUE!</v>
      </c>
      <c r="AB1054" s="171" t="str">
        <v/>
      </c>
      <c r="AC1054" s="158">
        <v>0</v>
      </c>
      <c r="AD1054" s="173" t="str">
        <f ca="1">IFERROR(__xludf.DUMMYFUNCTION("""COMPUTED_VALUE"""),"")</f>
        <v/>
      </c>
      <c r="AE1054" s="154" t="str">
        <v/>
      </c>
      <c r="AF1054" s="154" t="str">
        <v/>
      </c>
    </row>
    <row r="1055" spans="1:32" ht="15">
      <c r="A1055" s="176"/>
      <c r="B1055" s="145"/>
      <c r="C1055" s="169"/>
      <c r="D1055" s="145"/>
      <c r="E1055" s="145"/>
      <c r="F1055" s="169" t="e">
        <v>#VALUE!</v>
      </c>
      <c r="G1055" s="145"/>
      <c r="H1055" s="145"/>
      <c r="I1055" s="145"/>
      <c r="J1055" s="145"/>
      <c r="K1055" s="145"/>
      <c r="L1055" s="145"/>
      <c r="M1055" s="145"/>
      <c r="N1055" s="145"/>
      <c r="O1055" s="174"/>
      <c r="P1055" s="174"/>
      <c r="Q1055" s="158" t="str">
        <v/>
      </c>
      <c r="R1055" s="158" t="str">
        <v/>
      </c>
      <c r="S1055" s="158" t="str">
        <v/>
      </c>
      <c r="T1055" s="158" t="str">
        <v/>
      </c>
      <c r="U1055" s="158" t="str">
        <v/>
      </c>
      <c r="V1055" s="158" t="str">
        <v/>
      </c>
      <c r="W1055" s="158" t="str">
        <v/>
      </c>
      <c r="X1055" s="158" t="str">
        <v/>
      </c>
      <c r="Y1055" s="158" t="str">
        <v/>
      </c>
      <c r="Z1055" s="158" t="str">
        <v/>
      </c>
      <c r="AA1055" s="158" t="e">
        <v>#VALUE!</v>
      </c>
      <c r="AB1055" s="171" t="str">
        <v/>
      </c>
      <c r="AC1055" s="158">
        <v>0</v>
      </c>
      <c r="AD1055" s="173" t="str">
        <f ca="1">IFERROR(__xludf.DUMMYFUNCTION("""COMPUTED_VALUE"""),"")</f>
        <v/>
      </c>
      <c r="AE1055" s="154" t="str">
        <v/>
      </c>
      <c r="AF1055" s="154" t="str">
        <v/>
      </c>
    </row>
    <row r="1056" spans="1:32" ht="15">
      <c r="A1056" s="176"/>
      <c r="B1056" s="145"/>
      <c r="C1056" s="169"/>
      <c r="D1056" s="145"/>
      <c r="E1056" s="145"/>
      <c r="F1056" s="169" t="e">
        <v>#VALUE!</v>
      </c>
      <c r="G1056" s="145"/>
      <c r="H1056" s="145"/>
      <c r="I1056" s="145"/>
      <c r="J1056" s="145"/>
      <c r="K1056" s="145"/>
      <c r="L1056" s="145"/>
      <c r="M1056" s="145"/>
      <c r="N1056" s="145"/>
      <c r="O1056" s="174"/>
      <c r="P1056" s="174"/>
      <c r="Q1056" s="158" t="str">
        <v/>
      </c>
      <c r="R1056" s="158" t="str">
        <v/>
      </c>
      <c r="S1056" s="158" t="str">
        <v/>
      </c>
      <c r="T1056" s="158" t="str">
        <v/>
      </c>
      <c r="U1056" s="158" t="str">
        <v/>
      </c>
      <c r="V1056" s="158" t="str">
        <v/>
      </c>
      <c r="W1056" s="158" t="str">
        <v/>
      </c>
      <c r="X1056" s="158" t="str">
        <v/>
      </c>
      <c r="Y1056" s="158" t="str">
        <v/>
      </c>
      <c r="Z1056" s="158" t="str">
        <v/>
      </c>
      <c r="AA1056" s="158" t="e">
        <v>#VALUE!</v>
      </c>
      <c r="AB1056" s="171" t="str">
        <v/>
      </c>
      <c r="AC1056" s="158">
        <v>0</v>
      </c>
      <c r="AD1056" s="173" t="str">
        <f ca="1">IFERROR(__xludf.DUMMYFUNCTION("""COMPUTED_VALUE"""),"")</f>
        <v/>
      </c>
      <c r="AE1056" s="154" t="str">
        <v/>
      </c>
      <c r="AF1056" s="154" t="str">
        <v/>
      </c>
    </row>
    <row r="1057" spans="1:32" ht="15">
      <c r="A1057" s="176"/>
      <c r="B1057" s="145"/>
      <c r="C1057" s="169"/>
      <c r="D1057" s="145"/>
      <c r="E1057" s="145"/>
      <c r="F1057" s="169" t="e">
        <v>#VALUE!</v>
      </c>
      <c r="G1057" s="145"/>
      <c r="H1057" s="145"/>
      <c r="I1057" s="145"/>
      <c r="J1057" s="145"/>
      <c r="K1057" s="145"/>
      <c r="L1057" s="145"/>
      <c r="M1057" s="145"/>
      <c r="N1057" s="145"/>
      <c r="O1057" s="174"/>
      <c r="P1057" s="174"/>
      <c r="Q1057" s="158" t="str">
        <v/>
      </c>
      <c r="R1057" s="158" t="str">
        <v/>
      </c>
      <c r="S1057" s="158" t="str">
        <v/>
      </c>
      <c r="T1057" s="158" t="str">
        <v/>
      </c>
      <c r="U1057" s="158" t="str">
        <v/>
      </c>
      <c r="V1057" s="158" t="str">
        <v/>
      </c>
      <c r="W1057" s="158" t="str">
        <v/>
      </c>
      <c r="X1057" s="158" t="str">
        <v/>
      </c>
      <c r="Y1057" s="158" t="str">
        <v/>
      </c>
      <c r="Z1057" s="158" t="str">
        <v/>
      </c>
      <c r="AA1057" s="158" t="e">
        <v>#VALUE!</v>
      </c>
      <c r="AB1057" s="171" t="str">
        <v/>
      </c>
      <c r="AC1057" s="158">
        <v>0</v>
      </c>
      <c r="AD1057" s="173" t="str">
        <f ca="1">IFERROR(__xludf.DUMMYFUNCTION("""COMPUTED_VALUE"""),"")</f>
        <v/>
      </c>
      <c r="AE1057" s="154" t="str">
        <v/>
      </c>
      <c r="AF1057" s="154" t="str">
        <v/>
      </c>
    </row>
    <row r="1058" spans="1:32" ht="15">
      <c r="A1058" s="176"/>
      <c r="B1058" s="145"/>
      <c r="C1058" s="169"/>
      <c r="D1058" s="145"/>
      <c r="E1058" s="145"/>
      <c r="F1058" s="169" t="e">
        <v>#VALUE!</v>
      </c>
      <c r="G1058" s="145"/>
      <c r="H1058" s="145"/>
      <c r="I1058" s="145"/>
      <c r="J1058" s="145"/>
      <c r="K1058" s="145"/>
      <c r="L1058" s="145"/>
      <c r="M1058" s="145"/>
      <c r="N1058" s="145"/>
      <c r="O1058" s="174"/>
      <c r="P1058" s="174"/>
      <c r="Q1058" s="158" t="str">
        <v/>
      </c>
      <c r="R1058" s="158" t="str">
        <v/>
      </c>
      <c r="S1058" s="158" t="str">
        <v/>
      </c>
      <c r="T1058" s="158" t="str">
        <v/>
      </c>
      <c r="U1058" s="158" t="str">
        <v/>
      </c>
      <c r="V1058" s="158" t="str">
        <v/>
      </c>
      <c r="W1058" s="158" t="str">
        <v/>
      </c>
      <c r="X1058" s="158" t="str">
        <v/>
      </c>
      <c r="Y1058" s="158" t="str">
        <v/>
      </c>
      <c r="Z1058" s="158" t="str">
        <v/>
      </c>
      <c r="AA1058" s="158" t="e">
        <v>#VALUE!</v>
      </c>
      <c r="AB1058" s="171" t="str">
        <v/>
      </c>
      <c r="AC1058" s="158">
        <v>0</v>
      </c>
      <c r="AD1058" s="173" t="str">
        <f ca="1">IFERROR(__xludf.DUMMYFUNCTION("""COMPUTED_VALUE"""),"")</f>
        <v/>
      </c>
      <c r="AE1058" s="154" t="str">
        <v/>
      </c>
      <c r="AF1058" s="154" t="str">
        <v/>
      </c>
    </row>
    <row r="1059" spans="1:32" ht="15">
      <c r="A1059" s="176"/>
      <c r="B1059" s="145"/>
      <c r="C1059" s="169"/>
      <c r="D1059" s="145"/>
      <c r="E1059" s="145"/>
      <c r="F1059" s="169" t="e">
        <v>#VALUE!</v>
      </c>
      <c r="G1059" s="145"/>
      <c r="H1059" s="145"/>
      <c r="I1059" s="145"/>
      <c r="J1059" s="145"/>
      <c r="K1059" s="145"/>
      <c r="L1059" s="145"/>
      <c r="M1059" s="145"/>
      <c r="N1059" s="145"/>
      <c r="O1059" s="174"/>
      <c r="P1059" s="174"/>
      <c r="Q1059" s="158" t="str">
        <v/>
      </c>
      <c r="R1059" s="158" t="str">
        <v/>
      </c>
      <c r="S1059" s="158" t="str">
        <v/>
      </c>
      <c r="T1059" s="158" t="str">
        <v/>
      </c>
      <c r="U1059" s="158" t="str">
        <v/>
      </c>
      <c r="V1059" s="158" t="str">
        <v/>
      </c>
      <c r="W1059" s="158" t="str">
        <v/>
      </c>
      <c r="X1059" s="158" t="str">
        <v/>
      </c>
      <c r="Y1059" s="158" t="str">
        <v/>
      </c>
      <c r="Z1059" s="158" t="str">
        <v/>
      </c>
      <c r="AA1059" s="158" t="e">
        <v>#VALUE!</v>
      </c>
      <c r="AB1059" s="171" t="str">
        <v/>
      </c>
      <c r="AC1059" s="158">
        <v>0</v>
      </c>
      <c r="AD1059" s="173" t="str">
        <f ca="1">IFERROR(__xludf.DUMMYFUNCTION("""COMPUTED_VALUE"""),"")</f>
        <v/>
      </c>
      <c r="AE1059" s="154" t="str">
        <v/>
      </c>
      <c r="AF1059" s="154" t="str">
        <v/>
      </c>
    </row>
    <row r="1060" spans="1:32" ht="15">
      <c r="A1060" s="176"/>
      <c r="B1060" s="145"/>
      <c r="C1060" s="169"/>
      <c r="D1060" s="145"/>
      <c r="E1060" s="145"/>
      <c r="F1060" s="169" t="e">
        <v>#VALUE!</v>
      </c>
      <c r="G1060" s="145"/>
      <c r="H1060" s="145"/>
      <c r="I1060" s="145"/>
      <c r="J1060" s="145"/>
      <c r="K1060" s="145"/>
      <c r="L1060" s="145"/>
      <c r="M1060" s="145"/>
      <c r="N1060" s="145"/>
      <c r="O1060" s="174"/>
      <c r="P1060" s="174"/>
      <c r="Q1060" s="158" t="str">
        <v/>
      </c>
      <c r="R1060" s="158" t="str">
        <v/>
      </c>
      <c r="S1060" s="158" t="str">
        <v/>
      </c>
      <c r="T1060" s="158" t="str">
        <v/>
      </c>
      <c r="U1060" s="158" t="str">
        <v/>
      </c>
      <c r="V1060" s="158" t="str">
        <v/>
      </c>
      <c r="W1060" s="158" t="str">
        <v/>
      </c>
      <c r="X1060" s="158" t="str">
        <v/>
      </c>
      <c r="Y1060" s="158" t="str">
        <v/>
      </c>
      <c r="Z1060" s="158" t="str">
        <v/>
      </c>
      <c r="AA1060" s="158" t="e">
        <v>#VALUE!</v>
      </c>
      <c r="AB1060" s="171" t="str">
        <v/>
      </c>
      <c r="AC1060" s="158">
        <v>0</v>
      </c>
      <c r="AD1060" s="173" t="str">
        <f ca="1">IFERROR(__xludf.DUMMYFUNCTION("""COMPUTED_VALUE"""),"")</f>
        <v/>
      </c>
      <c r="AE1060" s="154" t="str">
        <v/>
      </c>
      <c r="AF1060" s="154" t="str">
        <v/>
      </c>
    </row>
    <row r="1061" spans="1:32" ht="15">
      <c r="A1061" s="176"/>
      <c r="B1061" s="145"/>
      <c r="C1061" s="169"/>
      <c r="D1061" s="145"/>
      <c r="E1061" s="145"/>
      <c r="F1061" s="169" t="e">
        <v>#VALUE!</v>
      </c>
      <c r="G1061" s="145"/>
      <c r="H1061" s="145"/>
      <c r="I1061" s="145"/>
      <c r="J1061" s="145"/>
      <c r="K1061" s="145"/>
      <c r="L1061" s="145"/>
      <c r="M1061" s="145"/>
      <c r="N1061" s="145"/>
      <c r="O1061" s="174"/>
      <c r="P1061" s="174"/>
      <c r="Q1061" s="158" t="str">
        <v/>
      </c>
      <c r="R1061" s="158" t="str">
        <v/>
      </c>
      <c r="S1061" s="158" t="str">
        <v/>
      </c>
      <c r="T1061" s="158" t="str">
        <v/>
      </c>
      <c r="U1061" s="158" t="str">
        <v/>
      </c>
      <c r="V1061" s="158" t="str">
        <v/>
      </c>
      <c r="W1061" s="158" t="str">
        <v/>
      </c>
      <c r="X1061" s="158" t="str">
        <v/>
      </c>
      <c r="Y1061" s="158" t="str">
        <v/>
      </c>
      <c r="Z1061" s="158" t="str">
        <v/>
      </c>
      <c r="AA1061" s="158" t="e">
        <v>#VALUE!</v>
      </c>
      <c r="AB1061" s="171" t="str">
        <v/>
      </c>
      <c r="AC1061" s="158">
        <v>0</v>
      </c>
      <c r="AD1061" s="173" t="str">
        <f ca="1">IFERROR(__xludf.DUMMYFUNCTION("""COMPUTED_VALUE"""),"")</f>
        <v/>
      </c>
      <c r="AE1061" s="154" t="str">
        <v/>
      </c>
      <c r="AF1061" s="154" t="str">
        <v/>
      </c>
    </row>
    <row r="1062" spans="1:32" ht="15">
      <c r="A1062" s="176"/>
      <c r="B1062" s="145"/>
      <c r="C1062" s="169"/>
      <c r="D1062" s="145"/>
      <c r="E1062" s="145"/>
      <c r="F1062" s="169" t="e">
        <v>#VALUE!</v>
      </c>
      <c r="G1062" s="145"/>
      <c r="H1062" s="145"/>
      <c r="I1062" s="145"/>
      <c r="J1062" s="145"/>
      <c r="K1062" s="145"/>
      <c r="L1062" s="145"/>
      <c r="M1062" s="145"/>
      <c r="N1062" s="145"/>
      <c r="O1062" s="174"/>
      <c r="P1062" s="174"/>
      <c r="Q1062" s="158" t="str">
        <v/>
      </c>
      <c r="R1062" s="158" t="str">
        <v/>
      </c>
      <c r="S1062" s="158" t="str">
        <v/>
      </c>
      <c r="T1062" s="158" t="str">
        <v/>
      </c>
      <c r="U1062" s="158" t="str">
        <v/>
      </c>
      <c r="V1062" s="158" t="str">
        <v/>
      </c>
      <c r="W1062" s="158" t="str">
        <v/>
      </c>
      <c r="X1062" s="158" t="str">
        <v/>
      </c>
      <c r="Y1062" s="158" t="str">
        <v/>
      </c>
      <c r="Z1062" s="158" t="str">
        <v/>
      </c>
      <c r="AA1062" s="158" t="e">
        <v>#VALUE!</v>
      </c>
      <c r="AB1062" s="171" t="str">
        <v/>
      </c>
      <c r="AC1062" s="158">
        <v>0</v>
      </c>
      <c r="AD1062" s="173" t="str">
        <f ca="1">IFERROR(__xludf.DUMMYFUNCTION("""COMPUTED_VALUE"""),"")</f>
        <v/>
      </c>
      <c r="AE1062" s="154" t="str">
        <v/>
      </c>
      <c r="AF1062" s="154" t="str">
        <v/>
      </c>
    </row>
    <row r="1063" spans="1:32" ht="15">
      <c r="A1063" s="176"/>
      <c r="B1063" s="145"/>
      <c r="C1063" s="169"/>
      <c r="D1063" s="145"/>
      <c r="E1063" s="145"/>
      <c r="F1063" s="169" t="e">
        <v>#VALUE!</v>
      </c>
      <c r="G1063" s="145"/>
      <c r="H1063" s="145"/>
      <c r="I1063" s="145"/>
      <c r="J1063" s="145"/>
      <c r="K1063" s="145"/>
      <c r="L1063" s="145"/>
      <c r="M1063" s="145"/>
      <c r="N1063" s="145"/>
      <c r="O1063" s="174"/>
      <c r="P1063" s="174"/>
      <c r="Q1063" s="158" t="str">
        <v/>
      </c>
      <c r="R1063" s="158" t="str">
        <v/>
      </c>
      <c r="S1063" s="158" t="str">
        <v/>
      </c>
      <c r="T1063" s="158" t="str">
        <v/>
      </c>
      <c r="U1063" s="158" t="str">
        <v/>
      </c>
      <c r="V1063" s="158" t="str">
        <v/>
      </c>
      <c r="W1063" s="158" t="str">
        <v/>
      </c>
      <c r="X1063" s="158" t="str">
        <v/>
      </c>
      <c r="Y1063" s="158" t="str">
        <v/>
      </c>
      <c r="Z1063" s="158" t="str">
        <v/>
      </c>
      <c r="AA1063" s="158" t="e">
        <v>#VALUE!</v>
      </c>
      <c r="AB1063" s="171" t="str">
        <v/>
      </c>
      <c r="AC1063" s="158">
        <v>0</v>
      </c>
      <c r="AD1063" s="173" t="str">
        <f ca="1">IFERROR(__xludf.DUMMYFUNCTION("""COMPUTED_VALUE"""),"")</f>
        <v/>
      </c>
      <c r="AE1063" s="154" t="str">
        <v/>
      </c>
      <c r="AF1063" s="154" t="str">
        <v/>
      </c>
    </row>
    <row r="1064" spans="1:32" ht="15">
      <c r="A1064" s="176"/>
      <c r="B1064" s="145"/>
      <c r="C1064" s="169"/>
      <c r="D1064" s="145"/>
      <c r="E1064" s="145"/>
      <c r="F1064" s="169" t="e">
        <v>#VALUE!</v>
      </c>
      <c r="G1064" s="145"/>
      <c r="H1064" s="145"/>
      <c r="I1064" s="145"/>
      <c r="J1064" s="145"/>
      <c r="K1064" s="145"/>
      <c r="L1064" s="145"/>
      <c r="M1064" s="145"/>
      <c r="N1064" s="145"/>
      <c r="O1064" s="174"/>
      <c r="P1064" s="174"/>
      <c r="Q1064" s="158" t="str">
        <v/>
      </c>
      <c r="R1064" s="158" t="str">
        <v/>
      </c>
      <c r="S1064" s="158" t="str">
        <v/>
      </c>
      <c r="T1064" s="158" t="str">
        <v/>
      </c>
      <c r="U1064" s="158" t="str">
        <v/>
      </c>
      <c r="V1064" s="158" t="str">
        <v/>
      </c>
      <c r="W1064" s="158" t="str">
        <v/>
      </c>
      <c r="X1064" s="158" t="str">
        <v/>
      </c>
      <c r="Y1064" s="158" t="str">
        <v/>
      </c>
      <c r="Z1064" s="158" t="str">
        <v/>
      </c>
      <c r="AA1064" s="158" t="e">
        <v>#VALUE!</v>
      </c>
      <c r="AB1064" s="171" t="str">
        <v/>
      </c>
      <c r="AC1064" s="158">
        <v>0</v>
      </c>
      <c r="AD1064" s="173" t="str">
        <f ca="1">IFERROR(__xludf.DUMMYFUNCTION("""COMPUTED_VALUE"""),"")</f>
        <v/>
      </c>
      <c r="AE1064" s="154" t="str">
        <v/>
      </c>
      <c r="AF1064" s="154" t="str">
        <v/>
      </c>
    </row>
    <row r="1065" spans="1:32" ht="15">
      <c r="A1065" s="176"/>
      <c r="B1065" s="145"/>
      <c r="C1065" s="169"/>
      <c r="D1065" s="145"/>
      <c r="E1065" s="145"/>
      <c r="F1065" s="169" t="e">
        <v>#VALUE!</v>
      </c>
      <c r="G1065" s="145"/>
      <c r="H1065" s="145"/>
      <c r="I1065" s="145"/>
      <c r="J1065" s="145"/>
      <c r="K1065" s="145"/>
      <c r="L1065" s="145"/>
      <c r="M1065" s="145"/>
      <c r="N1065" s="145"/>
      <c r="O1065" s="174"/>
      <c r="P1065" s="174"/>
      <c r="Q1065" s="158" t="str">
        <v/>
      </c>
      <c r="R1065" s="158" t="str">
        <v/>
      </c>
      <c r="S1065" s="158" t="str">
        <v/>
      </c>
      <c r="T1065" s="158" t="str">
        <v/>
      </c>
      <c r="U1065" s="158" t="str">
        <v/>
      </c>
      <c r="V1065" s="158" t="str">
        <v/>
      </c>
      <c r="W1065" s="158" t="str">
        <v/>
      </c>
      <c r="X1065" s="158" t="str">
        <v/>
      </c>
      <c r="Y1065" s="158" t="str">
        <v/>
      </c>
      <c r="Z1065" s="158" t="str">
        <v/>
      </c>
      <c r="AA1065" s="158" t="e">
        <v>#VALUE!</v>
      </c>
      <c r="AB1065" s="171" t="str">
        <v/>
      </c>
      <c r="AC1065" s="158">
        <v>0</v>
      </c>
      <c r="AD1065" s="173" t="str">
        <f ca="1">IFERROR(__xludf.DUMMYFUNCTION("""COMPUTED_VALUE"""),"")</f>
        <v/>
      </c>
      <c r="AE1065" s="154" t="str">
        <v/>
      </c>
      <c r="AF1065" s="154" t="str">
        <v/>
      </c>
    </row>
    <row r="1066" spans="1:32" ht="15">
      <c r="A1066" s="176"/>
      <c r="B1066" s="145"/>
      <c r="C1066" s="169"/>
      <c r="D1066" s="145"/>
      <c r="E1066" s="145"/>
      <c r="F1066" s="169" t="e">
        <v>#VALUE!</v>
      </c>
      <c r="G1066" s="145"/>
      <c r="H1066" s="145"/>
      <c r="I1066" s="145"/>
      <c r="J1066" s="145"/>
      <c r="K1066" s="145"/>
      <c r="L1066" s="145"/>
      <c r="M1066" s="145"/>
      <c r="N1066" s="145"/>
      <c r="O1066" s="174"/>
      <c r="P1066" s="174"/>
      <c r="Q1066" s="158" t="str">
        <v/>
      </c>
      <c r="R1066" s="158" t="str">
        <v/>
      </c>
      <c r="S1066" s="158" t="str">
        <v/>
      </c>
      <c r="T1066" s="158" t="str">
        <v/>
      </c>
      <c r="U1066" s="158" t="str">
        <v/>
      </c>
      <c r="V1066" s="158" t="str">
        <v/>
      </c>
      <c r="W1066" s="158" t="str">
        <v/>
      </c>
      <c r="X1066" s="158" t="str">
        <v/>
      </c>
      <c r="Y1066" s="158" t="str">
        <v/>
      </c>
      <c r="Z1066" s="158" t="str">
        <v/>
      </c>
      <c r="AA1066" s="158" t="e">
        <v>#VALUE!</v>
      </c>
      <c r="AB1066" s="171" t="str">
        <v/>
      </c>
      <c r="AC1066" s="158">
        <v>0</v>
      </c>
      <c r="AD1066" s="173" t="str">
        <f ca="1">IFERROR(__xludf.DUMMYFUNCTION("""COMPUTED_VALUE"""),"")</f>
        <v/>
      </c>
      <c r="AE1066" s="154" t="str">
        <v/>
      </c>
      <c r="AF1066" s="154" t="str">
        <v/>
      </c>
    </row>
    <row r="1067" spans="1:32" ht="15">
      <c r="A1067" s="176"/>
      <c r="B1067" s="145"/>
      <c r="C1067" s="169"/>
      <c r="D1067" s="145"/>
      <c r="E1067" s="145"/>
      <c r="F1067" s="169" t="e">
        <v>#VALUE!</v>
      </c>
      <c r="G1067" s="145"/>
      <c r="H1067" s="145"/>
      <c r="I1067" s="145"/>
      <c r="J1067" s="145"/>
      <c r="K1067" s="145"/>
      <c r="L1067" s="145"/>
      <c r="M1067" s="145"/>
      <c r="N1067" s="145"/>
      <c r="O1067" s="174"/>
      <c r="P1067" s="174"/>
      <c r="Q1067" s="158" t="str">
        <v/>
      </c>
      <c r="R1067" s="158" t="str">
        <v/>
      </c>
      <c r="S1067" s="158" t="str">
        <v/>
      </c>
      <c r="T1067" s="158" t="str">
        <v/>
      </c>
      <c r="U1067" s="158" t="str">
        <v/>
      </c>
      <c r="V1067" s="158" t="str">
        <v/>
      </c>
      <c r="W1067" s="158" t="str">
        <v/>
      </c>
      <c r="X1067" s="158" t="str">
        <v/>
      </c>
      <c r="Y1067" s="158" t="str">
        <v/>
      </c>
      <c r="Z1067" s="158" t="str">
        <v/>
      </c>
      <c r="AA1067" s="158" t="e">
        <v>#VALUE!</v>
      </c>
      <c r="AB1067" s="171" t="str">
        <v/>
      </c>
      <c r="AC1067" s="158">
        <v>0</v>
      </c>
      <c r="AD1067" s="173" t="str">
        <f ca="1">IFERROR(__xludf.DUMMYFUNCTION("""COMPUTED_VALUE"""),"")</f>
        <v/>
      </c>
      <c r="AE1067" s="154" t="str">
        <v/>
      </c>
      <c r="AF1067" s="154" t="str">
        <v/>
      </c>
    </row>
    <row r="1068" spans="1:32" ht="15">
      <c r="A1068" s="176"/>
      <c r="B1068" s="145"/>
      <c r="C1068" s="169"/>
      <c r="D1068" s="145"/>
      <c r="E1068" s="145"/>
      <c r="F1068" s="169" t="e">
        <v>#VALUE!</v>
      </c>
      <c r="G1068" s="145"/>
      <c r="H1068" s="145"/>
      <c r="I1068" s="145"/>
      <c r="J1068" s="145"/>
      <c r="K1068" s="145"/>
      <c r="L1068" s="145"/>
      <c r="M1068" s="145"/>
      <c r="N1068" s="145"/>
      <c r="O1068" s="174"/>
      <c r="P1068" s="174"/>
      <c r="Q1068" s="158" t="str">
        <v/>
      </c>
      <c r="R1068" s="158" t="str">
        <v/>
      </c>
      <c r="S1068" s="158" t="str">
        <v/>
      </c>
      <c r="T1068" s="158" t="str">
        <v/>
      </c>
      <c r="U1068" s="158" t="str">
        <v/>
      </c>
      <c r="V1068" s="158" t="str">
        <v/>
      </c>
      <c r="W1068" s="158" t="str">
        <v/>
      </c>
      <c r="X1068" s="158" t="str">
        <v/>
      </c>
      <c r="Y1068" s="158" t="str">
        <v/>
      </c>
      <c r="Z1068" s="158" t="str">
        <v/>
      </c>
      <c r="AA1068" s="158" t="e">
        <v>#VALUE!</v>
      </c>
      <c r="AB1068" s="171" t="str">
        <v/>
      </c>
      <c r="AC1068" s="158">
        <v>0</v>
      </c>
      <c r="AD1068" s="173" t="str">
        <f ca="1">IFERROR(__xludf.DUMMYFUNCTION("""COMPUTED_VALUE"""),"")</f>
        <v/>
      </c>
      <c r="AE1068" s="154" t="str">
        <v/>
      </c>
      <c r="AF1068" s="154" t="str">
        <v/>
      </c>
    </row>
    <row r="1069" spans="1:32" ht="15">
      <c r="A1069" s="176"/>
      <c r="B1069" s="145"/>
      <c r="C1069" s="169"/>
      <c r="D1069" s="145"/>
      <c r="E1069" s="145"/>
      <c r="F1069" s="169" t="e">
        <v>#VALUE!</v>
      </c>
      <c r="G1069" s="145"/>
      <c r="H1069" s="145"/>
      <c r="I1069" s="145"/>
      <c r="J1069" s="145"/>
      <c r="K1069" s="145"/>
      <c r="L1069" s="145"/>
      <c r="M1069" s="145"/>
      <c r="N1069" s="145"/>
      <c r="O1069" s="174"/>
      <c r="P1069" s="174"/>
      <c r="Q1069" s="158" t="str">
        <v/>
      </c>
      <c r="R1069" s="158" t="str">
        <v/>
      </c>
      <c r="S1069" s="158" t="str">
        <v/>
      </c>
      <c r="T1069" s="158" t="str">
        <v/>
      </c>
      <c r="U1069" s="158" t="str">
        <v/>
      </c>
      <c r="V1069" s="158" t="str">
        <v/>
      </c>
      <c r="W1069" s="158" t="str">
        <v/>
      </c>
      <c r="X1069" s="158" t="str">
        <v/>
      </c>
      <c r="Y1069" s="158" t="str">
        <v/>
      </c>
      <c r="Z1069" s="158" t="str">
        <v/>
      </c>
      <c r="AA1069" s="158" t="e">
        <v>#VALUE!</v>
      </c>
      <c r="AB1069" s="171" t="str">
        <v/>
      </c>
      <c r="AC1069" s="158">
        <v>0</v>
      </c>
      <c r="AD1069" s="173" t="str">
        <f ca="1">IFERROR(__xludf.DUMMYFUNCTION("""COMPUTED_VALUE"""),"")</f>
        <v/>
      </c>
      <c r="AE1069" s="154" t="str">
        <v/>
      </c>
      <c r="AF1069" s="154" t="str">
        <v/>
      </c>
    </row>
    <row r="1070" spans="1:32" ht="15">
      <c r="A1070" s="176"/>
      <c r="B1070" s="145"/>
      <c r="C1070" s="169"/>
      <c r="D1070" s="145"/>
      <c r="E1070" s="145"/>
      <c r="F1070" s="169" t="e">
        <v>#VALUE!</v>
      </c>
      <c r="G1070" s="145"/>
      <c r="H1070" s="145"/>
      <c r="I1070" s="145"/>
      <c r="J1070" s="145"/>
      <c r="K1070" s="145"/>
      <c r="L1070" s="145"/>
      <c r="M1070" s="145"/>
      <c r="N1070" s="145"/>
      <c r="O1070" s="174"/>
      <c r="P1070" s="174"/>
      <c r="Q1070" s="158" t="str">
        <v/>
      </c>
      <c r="R1070" s="158" t="str">
        <v/>
      </c>
      <c r="S1070" s="158" t="str">
        <v/>
      </c>
      <c r="T1070" s="158" t="str">
        <v/>
      </c>
      <c r="U1070" s="158" t="str">
        <v/>
      </c>
      <c r="V1070" s="158" t="str">
        <v/>
      </c>
      <c r="W1070" s="158" t="str">
        <v/>
      </c>
      <c r="X1070" s="158" t="str">
        <v/>
      </c>
      <c r="Y1070" s="158" t="str">
        <v/>
      </c>
      <c r="Z1070" s="158" t="str">
        <v/>
      </c>
      <c r="AA1070" s="158" t="e">
        <v>#VALUE!</v>
      </c>
      <c r="AB1070" s="171" t="str">
        <v/>
      </c>
      <c r="AC1070" s="158">
        <v>0</v>
      </c>
      <c r="AD1070" s="173" t="str">
        <f ca="1">IFERROR(__xludf.DUMMYFUNCTION("""COMPUTED_VALUE"""),"")</f>
        <v/>
      </c>
      <c r="AE1070" s="154" t="str">
        <v/>
      </c>
      <c r="AF1070" s="154" t="str">
        <v/>
      </c>
    </row>
    <row r="1071" spans="1:32" ht="15">
      <c r="A1071" s="176"/>
      <c r="B1071" s="145"/>
      <c r="C1071" s="169"/>
      <c r="D1071" s="145"/>
      <c r="E1071" s="145"/>
      <c r="F1071" s="169" t="e">
        <v>#VALUE!</v>
      </c>
      <c r="G1071" s="145"/>
      <c r="H1071" s="145"/>
      <c r="I1071" s="145"/>
      <c r="J1071" s="145"/>
      <c r="K1071" s="145"/>
      <c r="L1071" s="145"/>
      <c r="M1071" s="145"/>
      <c r="N1071" s="145"/>
      <c r="O1071" s="174"/>
      <c r="P1071" s="174"/>
      <c r="Q1071" s="158" t="str">
        <v/>
      </c>
      <c r="R1071" s="158" t="str">
        <v/>
      </c>
      <c r="S1071" s="158" t="str">
        <v/>
      </c>
      <c r="T1071" s="158" t="str">
        <v/>
      </c>
      <c r="U1071" s="158" t="str">
        <v/>
      </c>
      <c r="V1071" s="158" t="str">
        <v/>
      </c>
      <c r="W1071" s="158" t="str">
        <v/>
      </c>
      <c r="X1071" s="158" t="str">
        <v/>
      </c>
      <c r="Y1071" s="158" t="str">
        <v/>
      </c>
      <c r="Z1071" s="158" t="str">
        <v/>
      </c>
      <c r="AA1071" s="158" t="e">
        <v>#VALUE!</v>
      </c>
      <c r="AB1071" s="171" t="str">
        <v/>
      </c>
      <c r="AC1071" s="158">
        <v>0</v>
      </c>
      <c r="AD1071" s="173" t="str">
        <f ca="1">IFERROR(__xludf.DUMMYFUNCTION("""COMPUTED_VALUE"""),"")</f>
        <v/>
      </c>
      <c r="AE1071" s="154" t="str">
        <v/>
      </c>
      <c r="AF1071" s="154" t="str">
        <v/>
      </c>
    </row>
    <row r="1072" spans="1:32" ht="15">
      <c r="A1072" s="176"/>
      <c r="B1072" s="145"/>
      <c r="C1072" s="169"/>
      <c r="D1072" s="145"/>
      <c r="E1072" s="145"/>
      <c r="F1072" s="169" t="e">
        <v>#VALUE!</v>
      </c>
      <c r="G1072" s="145"/>
      <c r="H1072" s="145"/>
      <c r="I1072" s="145"/>
      <c r="J1072" s="145"/>
      <c r="K1072" s="145"/>
      <c r="L1072" s="145"/>
      <c r="M1072" s="145"/>
      <c r="N1072" s="145"/>
      <c r="O1072" s="174"/>
      <c r="P1072" s="174"/>
      <c r="Q1072" s="158" t="str">
        <v/>
      </c>
      <c r="R1072" s="158" t="str">
        <v/>
      </c>
      <c r="S1072" s="158" t="str">
        <v/>
      </c>
      <c r="T1072" s="158" t="str">
        <v/>
      </c>
      <c r="U1072" s="158" t="str">
        <v/>
      </c>
      <c r="V1072" s="158" t="str">
        <v/>
      </c>
      <c r="W1072" s="158" t="str">
        <v/>
      </c>
      <c r="X1072" s="158" t="str">
        <v/>
      </c>
      <c r="Y1072" s="158" t="str">
        <v/>
      </c>
      <c r="Z1072" s="158" t="str">
        <v/>
      </c>
      <c r="AA1072" s="158" t="e">
        <v>#VALUE!</v>
      </c>
      <c r="AB1072" s="171" t="str">
        <v/>
      </c>
      <c r="AC1072" s="158">
        <v>0</v>
      </c>
      <c r="AD1072" s="173" t="str">
        <f ca="1">IFERROR(__xludf.DUMMYFUNCTION("""COMPUTED_VALUE"""),"")</f>
        <v/>
      </c>
      <c r="AE1072" s="154" t="str">
        <v/>
      </c>
      <c r="AF1072" s="154" t="str">
        <v/>
      </c>
    </row>
    <row r="1073" spans="1:32" ht="15">
      <c r="A1073" s="176"/>
      <c r="B1073" s="145"/>
      <c r="C1073" s="169"/>
      <c r="D1073" s="145"/>
      <c r="E1073" s="145"/>
      <c r="F1073" s="169" t="e">
        <v>#VALUE!</v>
      </c>
      <c r="G1073" s="145"/>
      <c r="H1073" s="145"/>
      <c r="I1073" s="145"/>
      <c r="J1073" s="145"/>
      <c r="K1073" s="145"/>
      <c r="L1073" s="145"/>
      <c r="M1073" s="145"/>
      <c r="N1073" s="145"/>
      <c r="O1073" s="174"/>
      <c r="P1073" s="174"/>
      <c r="Q1073" s="158" t="str">
        <v/>
      </c>
      <c r="R1073" s="158" t="str">
        <v/>
      </c>
      <c r="S1073" s="158" t="str">
        <v/>
      </c>
      <c r="T1073" s="158" t="str">
        <v/>
      </c>
      <c r="U1073" s="158" t="str">
        <v/>
      </c>
      <c r="V1073" s="158" t="str">
        <v/>
      </c>
      <c r="W1073" s="158" t="str">
        <v/>
      </c>
      <c r="X1073" s="158" t="str">
        <v/>
      </c>
      <c r="Y1073" s="158" t="str">
        <v/>
      </c>
      <c r="Z1073" s="158" t="str">
        <v/>
      </c>
      <c r="AA1073" s="158" t="e">
        <v>#VALUE!</v>
      </c>
      <c r="AB1073" s="171" t="str">
        <v/>
      </c>
      <c r="AC1073" s="158">
        <v>0</v>
      </c>
      <c r="AD1073" s="173" t="str">
        <f ca="1">IFERROR(__xludf.DUMMYFUNCTION("""COMPUTED_VALUE"""),"")</f>
        <v/>
      </c>
      <c r="AE1073" s="154" t="str">
        <v/>
      </c>
      <c r="AF1073" s="154" t="str">
        <v/>
      </c>
    </row>
    <row r="1074" spans="1:32" ht="15">
      <c r="A1074" s="176"/>
      <c r="B1074" s="145"/>
      <c r="C1074" s="169"/>
      <c r="D1074" s="145"/>
      <c r="E1074" s="145"/>
      <c r="F1074" s="169" t="e">
        <v>#VALUE!</v>
      </c>
      <c r="G1074" s="145"/>
      <c r="H1074" s="145"/>
      <c r="I1074" s="145"/>
      <c r="J1074" s="145"/>
      <c r="K1074" s="145"/>
      <c r="L1074" s="145"/>
      <c r="M1074" s="145"/>
      <c r="N1074" s="145"/>
      <c r="O1074" s="174"/>
      <c r="P1074" s="174"/>
      <c r="Q1074" s="158" t="str">
        <v/>
      </c>
      <c r="R1074" s="158" t="str">
        <v/>
      </c>
      <c r="S1074" s="158" t="str">
        <v/>
      </c>
      <c r="T1074" s="158" t="str">
        <v/>
      </c>
      <c r="U1074" s="158" t="str">
        <v/>
      </c>
      <c r="V1074" s="158" t="str">
        <v/>
      </c>
      <c r="W1074" s="158" t="str">
        <v/>
      </c>
      <c r="X1074" s="158" t="str">
        <v/>
      </c>
      <c r="Y1074" s="158" t="str">
        <v/>
      </c>
      <c r="Z1074" s="158" t="str">
        <v/>
      </c>
      <c r="AA1074" s="158" t="e">
        <v>#VALUE!</v>
      </c>
      <c r="AB1074" s="171" t="str">
        <v/>
      </c>
      <c r="AC1074" s="158">
        <v>0</v>
      </c>
      <c r="AD1074" s="173" t="str">
        <f ca="1">IFERROR(__xludf.DUMMYFUNCTION("""COMPUTED_VALUE"""),"")</f>
        <v/>
      </c>
      <c r="AE1074" s="154" t="str">
        <v/>
      </c>
      <c r="AF1074" s="154" t="str">
        <v/>
      </c>
    </row>
    <row r="1075" spans="1:32" ht="15">
      <c r="A1075" s="176"/>
      <c r="B1075" s="145"/>
      <c r="C1075" s="169"/>
      <c r="D1075" s="145"/>
      <c r="E1075" s="145"/>
      <c r="F1075" s="169" t="e">
        <v>#VALUE!</v>
      </c>
      <c r="G1075" s="145"/>
      <c r="H1075" s="145"/>
      <c r="I1075" s="145"/>
      <c r="J1075" s="145"/>
      <c r="K1075" s="145"/>
      <c r="L1075" s="145"/>
      <c r="M1075" s="145"/>
      <c r="N1075" s="145"/>
      <c r="O1075" s="174"/>
      <c r="P1075" s="174"/>
      <c r="Q1075" s="158" t="str">
        <v/>
      </c>
      <c r="R1075" s="158" t="str">
        <v/>
      </c>
      <c r="S1075" s="158" t="str">
        <v/>
      </c>
      <c r="T1075" s="158" t="str">
        <v/>
      </c>
      <c r="U1075" s="158" t="str">
        <v/>
      </c>
      <c r="V1075" s="158" t="str">
        <v/>
      </c>
      <c r="W1075" s="158" t="str">
        <v/>
      </c>
      <c r="X1075" s="158" t="str">
        <v/>
      </c>
      <c r="Y1075" s="158" t="str">
        <v/>
      </c>
      <c r="Z1075" s="158" t="str">
        <v/>
      </c>
      <c r="AA1075" s="158" t="e">
        <v>#VALUE!</v>
      </c>
      <c r="AB1075" s="171" t="str">
        <v/>
      </c>
      <c r="AC1075" s="158">
        <v>0</v>
      </c>
      <c r="AD1075" s="173" t="str">
        <f ca="1">IFERROR(__xludf.DUMMYFUNCTION("""COMPUTED_VALUE"""),"")</f>
        <v/>
      </c>
      <c r="AE1075" s="154" t="str">
        <v/>
      </c>
      <c r="AF1075" s="154" t="str">
        <v/>
      </c>
    </row>
    <row r="1076" spans="1:32" ht="15">
      <c r="A1076" s="176"/>
      <c r="B1076" s="145"/>
      <c r="C1076" s="169"/>
      <c r="D1076" s="145"/>
      <c r="E1076" s="145"/>
      <c r="F1076" s="169" t="e">
        <v>#VALUE!</v>
      </c>
      <c r="G1076" s="145"/>
      <c r="H1076" s="145"/>
      <c r="I1076" s="145"/>
      <c r="J1076" s="145"/>
      <c r="K1076" s="145"/>
      <c r="L1076" s="145"/>
      <c r="M1076" s="145"/>
      <c r="N1076" s="145"/>
      <c r="O1076" s="174"/>
      <c r="P1076" s="174"/>
      <c r="Q1076" s="158" t="str">
        <v/>
      </c>
      <c r="R1076" s="158" t="str">
        <v/>
      </c>
      <c r="S1076" s="158" t="str">
        <v/>
      </c>
      <c r="T1076" s="158" t="str">
        <v/>
      </c>
      <c r="U1076" s="158" t="str">
        <v/>
      </c>
      <c r="V1076" s="158" t="str">
        <v/>
      </c>
      <c r="W1076" s="158" t="str">
        <v/>
      </c>
      <c r="X1076" s="158" t="str">
        <v/>
      </c>
      <c r="Y1076" s="158" t="str">
        <v/>
      </c>
      <c r="Z1076" s="158" t="str">
        <v/>
      </c>
      <c r="AA1076" s="158" t="e">
        <v>#VALUE!</v>
      </c>
      <c r="AB1076" s="171" t="str">
        <v/>
      </c>
      <c r="AC1076" s="158">
        <v>0</v>
      </c>
      <c r="AD1076" s="173" t="str">
        <f ca="1">IFERROR(__xludf.DUMMYFUNCTION("""COMPUTED_VALUE"""),"")</f>
        <v/>
      </c>
      <c r="AE1076" s="154" t="str">
        <v/>
      </c>
      <c r="AF1076" s="154" t="str">
        <v/>
      </c>
    </row>
    <row r="1077" spans="1:32" ht="15">
      <c r="A1077" s="176"/>
      <c r="B1077" s="145"/>
      <c r="C1077" s="169"/>
      <c r="D1077" s="145"/>
      <c r="E1077" s="145"/>
      <c r="F1077" s="169" t="e">
        <v>#VALUE!</v>
      </c>
      <c r="G1077" s="145"/>
      <c r="H1077" s="145"/>
      <c r="I1077" s="145"/>
      <c r="J1077" s="145"/>
      <c r="K1077" s="145"/>
      <c r="L1077" s="145"/>
      <c r="M1077" s="145"/>
      <c r="N1077" s="145"/>
      <c r="O1077" s="174"/>
      <c r="P1077" s="174"/>
      <c r="Q1077" s="158" t="str">
        <v/>
      </c>
      <c r="R1077" s="158" t="str">
        <v/>
      </c>
      <c r="S1077" s="158" t="str">
        <v/>
      </c>
      <c r="T1077" s="158" t="str">
        <v/>
      </c>
      <c r="U1077" s="158" t="str">
        <v/>
      </c>
      <c r="V1077" s="158" t="str">
        <v/>
      </c>
      <c r="W1077" s="158" t="str">
        <v/>
      </c>
      <c r="X1077" s="158" t="str">
        <v/>
      </c>
      <c r="Y1077" s="158" t="str">
        <v/>
      </c>
      <c r="Z1077" s="158" t="str">
        <v/>
      </c>
      <c r="AA1077" s="158" t="e">
        <v>#VALUE!</v>
      </c>
      <c r="AB1077" s="171" t="str">
        <v/>
      </c>
      <c r="AC1077" s="158">
        <v>0</v>
      </c>
      <c r="AD1077" s="173" t="str">
        <f ca="1">IFERROR(__xludf.DUMMYFUNCTION("""COMPUTED_VALUE"""),"")</f>
        <v/>
      </c>
      <c r="AE1077" s="154" t="str">
        <v/>
      </c>
      <c r="AF1077" s="154" t="str">
        <v/>
      </c>
    </row>
    <row r="1078" spans="1:32" ht="15">
      <c r="A1078" s="176"/>
      <c r="B1078" s="145"/>
      <c r="C1078" s="169"/>
      <c r="D1078" s="145"/>
      <c r="E1078" s="145"/>
      <c r="F1078" s="169" t="e">
        <v>#VALUE!</v>
      </c>
      <c r="G1078" s="145"/>
      <c r="H1078" s="145"/>
      <c r="I1078" s="145"/>
      <c r="J1078" s="145"/>
      <c r="K1078" s="145"/>
      <c r="L1078" s="145"/>
      <c r="M1078" s="145"/>
      <c r="N1078" s="145"/>
      <c r="O1078" s="174"/>
      <c r="P1078" s="174"/>
      <c r="Q1078" s="158" t="str">
        <v/>
      </c>
      <c r="R1078" s="158" t="str">
        <v/>
      </c>
      <c r="S1078" s="158" t="str">
        <v/>
      </c>
      <c r="T1078" s="158" t="str">
        <v/>
      </c>
      <c r="U1078" s="158" t="str">
        <v/>
      </c>
      <c r="V1078" s="158" t="str">
        <v/>
      </c>
      <c r="W1078" s="158" t="str">
        <v/>
      </c>
      <c r="X1078" s="158" t="str">
        <v/>
      </c>
      <c r="Y1078" s="158" t="str">
        <v/>
      </c>
      <c r="Z1078" s="158" t="str">
        <v/>
      </c>
      <c r="AA1078" s="158" t="e">
        <v>#VALUE!</v>
      </c>
      <c r="AB1078" s="171" t="str">
        <v/>
      </c>
      <c r="AC1078" s="158">
        <v>0</v>
      </c>
      <c r="AD1078" s="173" t="str">
        <f ca="1">IFERROR(__xludf.DUMMYFUNCTION("""COMPUTED_VALUE"""),"")</f>
        <v/>
      </c>
      <c r="AE1078" s="154" t="str">
        <v/>
      </c>
      <c r="AF1078" s="154" t="str">
        <v/>
      </c>
    </row>
    <row r="1079" spans="1:32" ht="15">
      <c r="A1079" s="176"/>
      <c r="B1079" s="145"/>
      <c r="C1079" s="169"/>
      <c r="D1079" s="145"/>
      <c r="E1079" s="145"/>
      <c r="F1079" s="169" t="e">
        <v>#VALUE!</v>
      </c>
      <c r="G1079" s="145"/>
      <c r="H1079" s="145"/>
      <c r="I1079" s="145"/>
      <c r="J1079" s="145"/>
      <c r="K1079" s="145"/>
      <c r="L1079" s="145"/>
      <c r="M1079" s="145"/>
      <c r="N1079" s="145"/>
      <c r="O1079" s="174"/>
      <c r="P1079" s="174"/>
      <c r="Q1079" s="158" t="str">
        <v/>
      </c>
      <c r="R1079" s="158" t="str">
        <v/>
      </c>
      <c r="S1079" s="158" t="str">
        <v/>
      </c>
      <c r="T1079" s="158" t="str">
        <v/>
      </c>
      <c r="U1079" s="158" t="str">
        <v/>
      </c>
      <c r="V1079" s="158" t="str">
        <v/>
      </c>
      <c r="W1079" s="158" t="str">
        <v/>
      </c>
      <c r="X1079" s="158" t="str">
        <v/>
      </c>
      <c r="Y1079" s="158" t="str">
        <v/>
      </c>
      <c r="Z1079" s="158" t="str">
        <v/>
      </c>
      <c r="AA1079" s="158" t="e">
        <v>#VALUE!</v>
      </c>
      <c r="AB1079" s="171" t="str">
        <v/>
      </c>
      <c r="AC1079" s="158">
        <v>0</v>
      </c>
      <c r="AD1079" s="173" t="str">
        <f ca="1">IFERROR(__xludf.DUMMYFUNCTION("""COMPUTED_VALUE"""),"")</f>
        <v/>
      </c>
      <c r="AE1079" s="154" t="str">
        <v/>
      </c>
      <c r="AF1079" s="154" t="str">
        <v/>
      </c>
    </row>
    <row r="1080" spans="1:32" ht="15">
      <c r="A1080" s="176"/>
      <c r="B1080" s="145"/>
      <c r="C1080" s="169"/>
      <c r="D1080" s="145"/>
      <c r="E1080" s="145"/>
      <c r="F1080" s="169" t="e">
        <v>#VALUE!</v>
      </c>
      <c r="G1080" s="145"/>
      <c r="H1080" s="145"/>
      <c r="I1080" s="145"/>
      <c r="J1080" s="145"/>
      <c r="K1080" s="145"/>
      <c r="L1080" s="145"/>
      <c r="M1080" s="145"/>
      <c r="N1080" s="145"/>
      <c r="O1080" s="174"/>
      <c r="P1080" s="174"/>
      <c r="Q1080" s="158" t="str">
        <v/>
      </c>
      <c r="R1080" s="158" t="str">
        <v/>
      </c>
      <c r="S1080" s="158" t="str">
        <v/>
      </c>
      <c r="T1080" s="158" t="str">
        <v/>
      </c>
      <c r="U1080" s="158" t="str">
        <v/>
      </c>
      <c r="V1080" s="158" t="str">
        <v/>
      </c>
      <c r="W1080" s="158" t="str">
        <v/>
      </c>
      <c r="X1080" s="158" t="str">
        <v/>
      </c>
      <c r="Y1080" s="158" t="str">
        <v/>
      </c>
      <c r="Z1080" s="158" t="str">
        <v/>
      </c>
      <c r="AA1080" s="158" t="e">
        <v>#VALUE!</v>
      </c>
      <c r="AB1080" s="171" t="str">
        <v/>
      </c>
      <c r="AC1080" s="158">
        <v>0</v>
      </c>
      <c r="AD1080" s="173" t="str">
        <f ca="1">IFERROR(__xludf.DUMMYFUNCTION("""COMPUTED_VALUE"""),"")</f>
        <v/>
      </c>
      <c r="AE1080" s="154" t="str">
        <v/>
      </c>
      <c r="AF1080" s="154" t="str">
        <v/>
      </c>
    </row>
    <row r="1081" spans="1:32" ht="15">
      <c r="A1081" s="176"/>
      <c r="B1081" s="145"/>
      <c r="C1081" s="169"/>
      <c r="D1081" s="145"/>
      <c r="E1081" s="145"/>
      <c r="F1081" s="169" t="e">
        <v>#VALUE!</v>
      </c>
      <c r="G1081" s="145"/>
      <c r="H1081" s="145"/>
      <c r="I1081" s="145"/>
      <c r="J1081" s="145"/>
      <c r="K1081" s="145"/>
      <c r="L1081" s="145"/>
      <c r="M1081" s="145"/>
      <c r="N1081" s="145"/>
      <c r="O1081" s="174"/>
      <c r="P1081" s="174"/>
      <c r="Q1081" s="158" t="str">
        <v/>
      </c>
      <c r="R1081" s="158" t="str">
        <v/>
      </c>
      <c r="S1081" s="158" t="str">
        <v/>
      </c>
      <c r="T1081" s="158" t="str">
        <v/>
      </c>
      <c r="U1081" s="158" t="str">
        <v/>
      </c>
      <c r="V1081" s="158" t="str">
        <v/>
      </c>
      <c r="W1081" s="158" t="str">
        <v/>
      </c>
      <c r="X1081" s="158" t="str">
        <v/>
      </c>
      <c r="Y1081" s="158" t="str">
        <v/>
      </c>
      <c r="Z1081" s="158" t="str">
        <v/>
      </c>
      <c r="AA1081" s="158" t="e">
        <v>#VALUE!</v>
      </c>
      <c r="AB1081" s="171" t="str">
        <v/>
      </c>
      <c r="AC1081" s="158">
        <v>0</v>
      </c>
      <c r="AD1081" s="173" t="str">
        <f ca="1">IFERROR(__xludf.DUMMYFUNCTION("""COMPUTED_VALUE"""),"")</f>
        <v/>
      </c>
      <c r="AE1081" s="154" t="str">
        <v/>
      </c>
      <c r="AF1081" s="154" t="str">
        <v/>
      </c>
    </row>
    <row r="1082" spans="1:32" ht="15">
      <c r="A1082" s="176"/>
      <c r="B1082" s="145"/>
      <c r="C1082" s="169"/>
      <c r="D1082" s="145"/>
      <c r="E1082" s="145"/>
      <c r="F1082" s="169" t="e">
        <v>#VALUE!</v>
      </c>
      <c r="G1082" s="145"/>
      <c r="H1082" s="145"/>
      <c r="I1082" s="145"/>
      <c r="J1082" s="145"/>
      <c r="K1082" s="145"/>
      <c r="L1082" s="145"/>
      <c r="M1082" s="145"/>
      <c r="N1082" s="145"/>
      <c r="O1082" s="174"/>
      <c r="P1082" s="174"/>
      <c r="Q1082" s="158" t="str">
        <v/>
      </c>
      <c r="R1082" s="158" t="str">
        <v/>
      </c>
      <c r="S1082" s="158" t="str">
        <v/>
      </c>
      <c r="T1082" s="158" t="str">
        <v/>
      </c>
      <c r="U1082" s="158" t="str">
        <v/>
      </c>
      <c r="V1082" s="158" t="str">
        <v/>
      </c>
      <c r="W1082" s="158" t="str">
        <v/>
      </c>
      <c r="X1082" s="158" t="str">
        <v/>
      </c>
      <c r="Y1082" s="158" t="str">
        <v/>
      </c>
      <c r="Z1082" s="158" t="str">
        <v/>
      </c>
      <c r="AA1082" s="158" t="e">
        <v>#VALUE!</v>
      </c>
      <c r="AB1082" s="171" t="str">
        <v/>
      </c>
      <c r="AC1082" s="158">
        <v>0</v>
      </c>
      <c r="AD1082" s="173" t="str">
        <f ca="1">IFERROR(__xludf.DUMMYFUNCTION("""COMPUTED_VALUE"""),"")</f>
        <v/>
      </c>
      <c r="AE1082" s="154" t="str">
        <v/>
      </c>
      <c r="AF1082" s="154" t="str">
        <v/>
      </c>
    </row>
    <row r="1083" spans="1:32" ht="15">
      <c r="A1083" s="176"/>
      <c r="B1083" s="145"/>
      <c r="C1083" s="169"/>
      <c r="D1083" s="145"/>
      <c r="E1083" s="145"/>
      <c r="F1083" s="169" t="e">
        <v>#VALUE!</v>
      </c>
      <c r="G1083" s="145"/>
      <c r="H1083" s="145"/>
      <c r="I1083" s="145"/>
      <c r="J1083" s="145"/>
      <c r="K1083" s="145"/>
      <c r="L1083" s="145"/>
      <c r="M1083" s="145"/>
      <c r="N1083" s="145"/>
      <c r="O1083" s="174"/>
      <c r="P1083" s="174"/>
      <c r="Q1083" s="158" t="str">
        <v/>
      </c>
      <c r="R1083" s="158" t="str">
        <v/>
      </c>
      <c r="S1083" s="158" t="str">
        <v/>
      </c>
      <c r="T1083" s="158" t="str">
        <v/>
      </c>
      <c r="U1083" s="158" t="str">
        <v/>
      </c>
      <c r="V1083" s="158" t="str">
        <v/>
      </c>
      <c r="W1083" s="158" t="str">
        <v/>
      </c>
      <c r="X1083" s="158" t="str">
        <v/>
      </c>
      <c r="Y1083" s="158" t="str">
        <v/>
      </c>
      <c r="Z1083" s="158" t="str">
        <v/>
      </c>
      <c r="AA1083" s="158" t="e">
        <v>#VALUE!</v>
      </c>
      <c r="AB1083" s="171" t="str">
        <v/>
      </c>
      <c r="AC1083" s="158">
        <v>0</v>
      </c>
      <c r="AD1083" s="173" t="str">
        <f ca="1">IFERROR(__xludf.DUMMYFUNCTION("""COMPUTED_VALUE"""),"")</f>
        <v/>
      </c>
      <c r="AE1083" s="154" t="str">
        <v/>
      </c>
      <c r="AF1083" s="154" t="str">
        <v/>
      </c>
    </row>
    <row r="1084" spans="1:32" ht="15">
      <c r="A1084" s="176"/>
      <c r="B1084" s="145"/>
      <c r="C1084" s="169"/>
      <c r="D1084" s="145"/>
      <c r="E1084" s="145"/>
      <c r="F1084" s="169" t="e">
        <v>#VALUE!</v>
      </c>
      <c r="G1084" s="145"/>
      <c r="H1084" s="145"/>
      <c r="I1084" s="145"/>
      <c r="J1084" s="145"/>
      <c r="K1084" s="145"/>
      <c r="L1084" s="145"/>
      <c r="M1084" s="145"/>
      <c r="N1084" s="145"/>
      <c r="O1084" s="174"/>
      <c r="P1084" s="174"/>
      <c r="Q1084" s="158" t="str">
        <v/>
      </c>
      <c r="R1084" s="158" t="str">
        <v/>
      </c>
      <c r="S1084" s="158" t="str">
        <v/>
      </c>
      <c r="T1084" s="158" t="str">
        <v/>
      </c>
      <c r="U1084" s="158" t="str">
        <v/>
      </c>
      <c r="V1084" s="158" t="str">
        <v/>
      </c>
      <c r="W1084" s="158" t="str">
        <v/>
      </c>
      <c r="X1084" s="158" t="str">
        <v/>
      </c>
      <c r="Y1084" s="158" t="str">
        <v/>
      </c>
      <c r="Z1084" s="158" t="str">
        <v/>
      </c>
      <c r="AA1084" s="158" t="e">
        <v>#VALUE!</v>
      </c>
      <c r="AB1084" s="171" t="str">
        <v/>
      </c>
      <c r="AC1084" s="158">
        <v>0</v>
      </c>
      <c r="AD1084" s="173" t="str">
        <f ca="1">IFERROR(__xludf.DUMMYFUNCTION("""COMPUTED_VALUE"""),"")</f>
        <v/>
      </c>
      <c r="AE1084" s="154" t="str">
        <v/>
      </c>
      <c r="AF1084" s="154" t="str">
        <v/>
      </c>
    </row>
    <row r="1085" spans="1:32" ht="15">
      <c r="A1085" s="176"/>
      <c r="B1085" s="145"/>
      <c r="C1085" s="169"/>
      <c r="D1085" s="145"/>
      <c r="E1085" s="145"/>
      <c r="F1085" s="169" t="e">
        <v>#VALUE!</v>
      </c>
      <c r="G1085" s="145"/>
      <c r="H1085" s="145"/>
      <c r="I1085" s="145"/>
      <c r="J1085" s="145"/>
      <c r="K1085" s="145"/>
      <c r="L1085" s="145"/>
      <c r="M1085" s="145"/>
      <c r="N1085" s="145"/>
      <c r="O1085" s="174"/>
      <c r="P1085" s="174"/>
      <c r="Q1085" s="158" t="str">
        <v/>
      </c>
      <c r="R1085" s="158" t="str">
        <v/>
      </c>
      <c r="S1085" s="158" t="str">
        <v/>
      </c>
      <c r="T1085" s="158" t="str">
        <v/>
      </c>
      <c r="U1085" s="158" t="str">
        <v/>
      </c>
      <c r="V1085" s="158" t="str">
        <v/>
      </c>
      <c r="W1085" s="158" t="str">
        <v/>
      </c>
      <c r="X1085" s="158" t="str">
        <v/>
      </c>
      <c r="Y1085" s="158" t="str">
        <v/>
      </c>
      <c r="Z1085" s="158" t="str">
        <v/>
      </c>
      <c r="AA1085" s="158" t="e">
        <v>#VALUE!</v>
      </c>
      <c r="AB1085" s="171" t="str">
        <v/>
      </c>
      <c r="AC1085" s="158">
        <v>0</v>
      </c>
      <c r="AD1085" s="173" t="str">
        <f ca="1">IFERROR(__xludf.DUMMYFUNCTION("""COMPUTED_VALUE"""),"")</f>
        <v/>
      </c>
      <c r="AE1085" s="154" t="str">
        <v/>
      </c>
      <c r="AF1085" s="154" t="str">
        <v/>
      </c>
    </row>
    <row r="1086" spans="1:32" ht="15">
      <c r="A1086" s="176"/>
      <c r="B1086" s="145"/>
      <c r="C1086" s="169"/>
      <c r="D1086" s="145"/>
      <c r="E1086" s="145"/>
      <c r="F1086" s="169" t="e">
        <v>#VALUE!</v>
      </c>
      <c r="G1086" s="145"/>
      <c r="H1086" s="145"/>
      <c r="I1086" s="145"/>
      <c r="J1086" s="145"/>
      <c r="K1086" s="145"/>
      <c r="L1086" s="145"/>
      <c r="M1086" s="145"/>
      <c r="N1086" s="145"/>
      <c r="O1086" s="174"/>
      <c r="P1086" s="174"/>
      <c r="Q1086" s="158" t="str">
        <v/>
      </c>
      <c r="R1086" s="158" t="str">
        <v/>
      </c>
      <c r="S1086" s="158" t="str">
        <v/>
      </c>
      <c r="T1086" s="158" t="str">
        <v/>
      </c>
      <c r="U1086" s="158" t="str">
        <v/>
      </c>
      <c r="V1086" s="158" t="str">
        <v/>
      </c>
      <c r="W1086" s="158" t="str">
        <v/>
      </c>
      <c r="X1086" s="158" t="str">
        <v/>
      </c>
      <c r="Y1086" s="158" t="str">
        <v/>
      </c>
      <c r="Z1086" s="158" t="str">
        <v/>
      </c>
      <c r="AA1086" s="158" t="e">
        <v>#VALUE!</v>
      </c>
      <c r="AB1086" s="171" t="str">
        <v/>
      </c>
      <c r="AC1086" s="158">
        <v>0</v>
      </c>
      <c r="AD1086" s="173" t="str">
        <f ca="1">IFERROR(__xludf.DUMMYFUNCTION("""COMPUTED_VALUE"""),"")</f>
        <v/>
      </c>
      <c r="AE1086" s="154" t="str">
        <v/>
      </c>
      <c r="AF1086" s="154" t="str">
        <v/>
      </c>
    </row>
    <row r="1087" spans="1:32" ht="15">
      <c r="A1087" s="176"/>
      <c r="B1087" s="145"/>
      <c r="C1087" s="169"/>
      <c r="D1087" s="145"/>
      <c r="E1087" s="145"/>
      <c r="F1087" s="169" t="e">
        <v>#VALUE!</v>
      </c>
      <c r="G1087" s="145"/>
      <c r="H1087" s="145"/>
      <c r="I1087" s="145"/>
      <c r="J1087" s="145"/>
      <c r="K1087" s="145"/>
      <c r="L1087" s="145"/>
      <c r="M1087" s="145"/>
      <c r="N1087" s="145"/>
      <c r="O1087" s="174"/>
      <c r="P1087" s="174"/>
      <c r="Q1087" s="158" t="str">
        <v/>
      </c>
      <c r="R1087" s="158" t="str">
        <v/>
      </c>
      <c r="S1087" s="158" t="str">
        <v/>
      </c>
      <c r="T1087" s="158" t="str">
        <v/>
      </c>
      <c r="U1087" s="158" t="str">
        <v/>
      </c>
      <c r="V1087" s="158" t="str">
        <v/>
      </c>
      <c r="W1087" s="158" t="str">
        <v/>
      </c>
      <c r="X1087" s="158" t="str">
        <v/>
      </c>
      <c r="Y1087" s="158" t="str">
        <v/>
      </c>
      <c r="Z1087" s="158" t="str">
        <v/>
      </c>
      <c r="AA1087" s="158" t="e">
        <v>#VALUE!</v>
      </c>
      <c r="AB1087" s="171" t="str">
        <v/>
      </c>
      <c r="AC1087" s="158">
        <v>0</v>
      </c>
      <c r="AD1087" s="173" t="str">
        <f ca="1">IFERROR(__xludf.DUMMYFUNCTION("""COMPUTED_VALUE"""),"")</f>
        <v/>
      </c>
      <c r="AE1087" s="154" t="str">
        <v/>
      </c>
      <c r="AF1087" s="154" t="str">
        <v/>
      </c>
    </row>
    <row r="1088" spans="1:32" ht="15">
      <c r="A1088" s="176"/>
      <c r="B1088" s="145"/>
      <c r="C1088" s="169"/>
      <c r="D1088" s="145"/>
      <c r="E1088" s="145"/>
      <c r="F1088" s="169" t="e">
        <v>#VALUE!</v>
      </c>
      <c r="G1088" s="145"/>
      <c r="H1088" s="145"/>
      <c r="I1088" s="145"/>
      <c r="J1088" s="145"/>
      <c r="K1088" s="145"/>
      <c r="L1088" s="145"/>
      <c r="M1088" s="145"/>
      <c r="N1088" s="145"/>
      <c r="O1088" s="174"/>
      <c r="P1088" s="174"/>
      <c r="Q1088" s="158" t="str">
        <v/>
      </c>
      <c r="R1088" s="158" t="str">
        <v/>
      </c>
      <c r="S1088" s="158" t="str">
        <v/>
      </c>
      <c r="T1088" s="158" t="str">
        <v/>
      </c>
      <c r="U1088" s="158" t="str">
        <v/>
      </c>
      <c r="V1088" s="158" t="str">
        <v/>
      </c>
      <c r="W1088" s="158" t="str">
        <v/>
      </c>
      <c r="X1088" s="158" t="str">
        <v/>
      </c>
      <c r="Y1088" s="158" t="str">
        <v/>
      </c>
      <c r="Z1088" s="158" t="str">
        <v/>
      </c>
      <c r="AA1088" s="158" t="e">
        <v>#VALUE!</v>
      </c>
      <c r="AB1088" s="171" t="str">
        <v/>
      </c>
      <c r="AC1088" s="158">
        <v>0</v>
      </c>
      <c r="AD1088" s="173" t="str">
        <f ca="1">IFERROR(__xludf.DUMMYFUNCTION("""COMPUTED_VALUE"""),"")</f>
        <v/>
      </c>
      <c r="AE1088" s="154" t="str">
        <v/>
      </c>
      <c r="AF1088" s="154" t="str">
        <v/>
      </c>
    </row>
    <row r="1089" spans="1:32" ht="15">
      <c r="A1089" s="176"/>
      <c r="B1089" s="145"/>
      <c r="C1089" s="169"/>
      <c r="D1089" s="145"/>
      <c r="E1089" s="145"/>
      <c r="F1089" s="169" t="e">
        <v>#VALUE!</v>
      </c>
      <c r="G1089" s="145"/>
      <c r="H1089" s="145"/>
      <c r="I1089" s="145"/>
      <c r="J1089" s="145"/>
      <c r="K1089" s="145"/>
      <c r="L1089" s="145"/>
      <c r="M1089" s="145"/>
      <c r="N1089" s="145"/>
      <c r="O1089" s="174"/>
      <c r="P1089" s="174"/>
      <c r="Q1089" s="158" t="str">
        <v/>
      </c>
      <c r="R1089" s="158" t="str">
        <v/>
      </c>
      <c r="S1089" s="158" t="str">
        <v/>
      </c>
      <c r="T1089" s="158" t="str">
        <v/>
      </c>
      <c r="U1089" s="158" t="str">
        <v/>
      </c>
      <c r="V1089" s="158" t="str">
        <v/>
      </c>
      <c r="W1089" s="158" t="str">
        <v/>
      </c>
      <c r="X1089" s="158" t="str">
        <v/>
      </c>
      <c r="Y1089" s="158" t="str">
        <v/>
      </c>
      <c r="Z1089" s="158" t="str">
        <v/>
      </c>
      <c r="AA1089" s="158" t="e">
        <v>#VALUE!</v>
      </c>
      <c r="AB1089" s="171" t="str">
        <v/>
      </c>
      <c r="AC1089" s="158">
        <v>0</v>
      </c>
      <c r="AD1089" s="173" t="str">
        <f ca="1">IFERROR(__xludf.DUMMYFUNCTION("""COMPUTED_VALUE"""),"")</f>
        <v/>
      </c>
      <c r="AE1089" s="154" t="str">
        <v/>
      </c>
      <c r="AF1089" s="154" t="str">
        <v/>
      </c>
    </row>
    <row r="1090" spans="1:32" ht="15">
      <c r="A1090" s="176"/>
      <c r="B1090" s="145"/>
      <c r="C1090" s="169"/>
      <c r="D1090" s="145"/>
      <c r="E1090" s="145"/>
      <c r="F1090" s="169" t="e">
        <v>#VALUE!</v>
      </c>
      <c r="G1090" s="145"/>
      <c r="H1090" s="145"/>
      <c r="I1090" s="145"/>
      <c r="J1090" s="145"/>
      <c r="K1090" s="145"/>
      <c r="L1090" s="145"/>
      <c r="M1090" s="145"/>
      <c r="N1090" s="145"/>
      <c r="O1090" s="174"/>
      <c r="P1090" s="174"/>
      <c r="Q1090" s="158" t="str">
        <v/>
      </c>
      <c r="R1090" s="158" t="str">
        <v/>
      </c>
      <c r="S1090" s="158" t="str">
        <v/>
      </c>
      <c r="T1090" s="158" t="str">
        <v/>
      </c>
      <c r="U1090" s="158" t="str">
        <v/>
      </c>
      <c r="V1090" s="158" t="str">
        <v/>
      </c>
      <c r="W1090" s="158" t="str">
        <v/>
      </c>
      <c r="X1090" s="158" t="str">
        <v/>
      </c>
      <c r="Y1090" s="158" t="str">
        <v/>
      </c>
      <c r="Z1090" s="158" t="str">
        <v/>
      </c>
      <c r="AA1090" s="158" t="e">
        <v>#VALUE!</v>
      </c>
      <c r="AB1090" s="171" t="str">
        <v/>
      </c>
      <c r="AC1090" s="158">
        <v>0</v>
      </c>
      <c r="AD1090" s="173" t="str">
        <f ca="1">IFERROR(__xludf.DUMMYFUNCTION("""COMPUTED_VALUE"""),"")</f>
        <v/>
      </c>
      <c r="AE1090" s="154" t="str">
        <v/>
      </c>
      <c r="AF1090" s="154" t="str">
        <v/>
      </c>
    </row>
    <row r="1091" spans="1:32" ht="15">
      <c r="A1091" s="176"/>
      <c r="B1091" s="145"/>
      <c r="C1091" s="169"/>
      <c r="D1091" s="145"/>
      <c r="E1091" s="145"/>
      <c r="F1091" s="169" t="e">
        <v>#VALUE!</v>
      </c>
      <c r="G1091" s="145"/>
      <c r="H1091" s="145"/>
      <c r="I1091" s="145"/>
      <c r="J1091" s="145"/>
      <c r="K1091" s="145"/>
      <c r="L1091" s="145"/>
      <c r="M1091" s="145"/>
      <c r="N1091" s="145"/>
      <c r="O1091" s="174"/>
      <c r="P1091" s="174"/>
      <c r="Q1091" s="158" t="str">
        <v/>
      </c>
      <c r="R1091" s="158" t="str">
        <v/>
      </c>
      <c r="S1091" s="158" t="str">
        <v/>
      </c>
      <c r="T1091" s="158" t="str">
        <v/>
      </c>
      <c r="U1091" s="158" t="str">
        <v/>
      </c>
      <c r="V1091" s="158" t="str">
        <v/>
      </c>
      <c r="W1091" s="158" t="str">
        <v/>
      </c>
      <c r="X1091" s="158" t="str">
        <v/>
      </c>
      <c r="Y1091" s="158" t="str">
        <v/>
      </c>
      <c r="Z1091" s="158" t="str">
        <v/>
      </c>
      <c r="AA1091" s="158" t="e">
        <v>#VALUE!</v>
      </c>
      <c r="AB1091" s="171" t="str">
        <v/>
      </c>
      <c r="AC1091" s="158">
        <v>0</v>
      </c>
      <c r="AD1091" s="173" t="str">
        <f ca="1">IFERROR(__xludf.DUMMYFUNCTION("""COMPUTED_VALUE"""),"")</f>
        <v/>
      </c>
      <c r="AE1091" s="154" t="str">
        <v/>
      </c>
      <c r="AF1091" s="154" t="str">
        <v/>
      </c>
    </row>
    <row r="1092" spans="1:32" ht="15">
      <c r="A1092" s="176"/>
      <c r="B1092" s="145"/>
      <c r="C1092" s="169"/>
      <c r="D1092" s="145"/>
      <c r="E1092" s="145"/>
      <c r="F1092" s="169" t="e">
        <v>#VALUE!</v>
      </c>
      <c r="G1092" s="145"/>
      <c r="H1092" s="145"/>
      <c r="I1092" s="145"/>
      <c r="J1092" s="145"/>
      <c r="K1092" s="145"/>
      <c r="L1092" s="145"/>
      <c r="M1092" s="145"/>
      <c r="N1092" s="145"/>
      <c r="O1092" s="174"/>
      <c r="P1092" s="174"/>
      <c r="Q1092" s="158" t="str">
        <v/>
      </c>
      <c r="R1092" s="158" t="str">
        <v/>
      </c>
      <c r="S1092" s="158" t="str">
        <v/>
      </c>
      <c r="T1092" s="158" t="str">
        <v/>
      </c>
      <c r="U1092" s="158" t="str">
        <v/>
      </c>
      <c r="V1092" s="158" t="str">
        <v/>
      </c>
      <c r="W1092" s="158" t="str">
        <v/>
      </c>
      <c r="X1092" s="158" t="str">
        <v/>
      </c>
      <c r="Y1092" s="158" t="str">
        <v/>
      </c>
      <c r="Z1092" s="158" t="str">
        <v/>
      </c>
      <c r="AA1092" s="158" t="e">
        <v>#VALUE!</v>
      </c>
      <c r="AB1092" s="171" t="str">
        <v/>
      </c>
      <c r="AC1092" s="158">
        <v>0</v>
      </c>
      <c r="AD1092" s="173" t="str">
        <f ca="1">IFERROR(__xludf.DUMMYFUNCTION("""COMPUTED_VALUE"""),"")</f>
        <v/>
      </c>
      <c r="AE1092" s="154" t="str">
        <v/>
      </c>
      <c r="AF1092" s="154" t="str">
        <v/>
      </c>
    </row>
    <row r="1093" spans="1:32" ht="15">
      <c r="A1093" s="176"/>
      <c r="B1093" s="145"/>
      <c r="C1093" s="169"/>
      <c r="D1093" s="145"/>
      <c r="E1093" s="145"/>
      <c r="F1093" s="169" t="e">
        <v>#VALUE!</v>
      </c>
      <c r="G1093" s="145"/>
      <c r="H1093" s="145"/>
      <c r="I1093" s="145"/>
      <c r="J1093" s="145"/>
      <c r="K1093" s="145"/>
      <c r="L1093" s="145"/>
      <c r="M1093" s="145"/>
      <c r="N1093" s="145"/>
      <c r="O1093" s="174"/>
      <c r="P1093" s="174"/>
      <c r="Q1093" s="158" t="str">
        <v/>
      </c>
      <c r="R1093" s="158" t="str">
        <v/>
      </c>
      <c r="S1093" s="158" t="str">
        <v/>
      </c>
      <c r="T1093" s="158" t="str">
        <v/>
      </c>
      <c r="U1093" s="158" t="str">
        <v/>
      </c>
      <c r="V1093" s="158" t="str">
        <v/>
      </c>
      <c r="W1093" s="158" t="str">
        <v/>
      </c>
      <c r="X1093" s="158" t="str">
        <v/>
      </c>
      <c r="Y1093" s="158" t="str">
        <v/>
      </c>
      <c r="Z1093" s="158" t="str">
        <v/>
      </c>
      <c r="AA1093" s="158" t="e">
        <v>#VALUE!</v>
      </c>
      <c r="AB1093" s="171" t="str">
        <v/>
      </c>
      <c r="AC1093" s="158">
        <v>0</v>
      </c>
      <c r="AD1093" s="173" t="str">
        <f ca="1">IFERROR(__xludf.DUMMYFUNCTION("""COMPUTED_VALUE"""),"")</f>
        <v/>
      </c>
      <c r="AE1093" s="154" t="str">
        <v/>
      </c>
      <c r="AF1093" s="154" t="str">
        <v/>
      </c>
    </row>
    <row r="1094" spans="1:32" ht="15">
      <c r="A1094" s="176"/>
      <c r="B1094" s="145"/>
      <c r="C1094" s="169"/>
      <c r="D1094" s="145"/>
      <c r="E1094" s="145"/>
      <c r="F1094" s="169" t="e">
        <v>#VALUE!</v>
      </c>
      <c r="G1094" s="145"/>
      <c r="H1094" s="145"/>
      <c r="I1094" s="145"/>
      <c r="J1094" s="145"/>
      <c r="K1094" s="145"/>
      <c r="L1094" s="145"/>
      <c r="M1094" s="145"/>
      <c r="N1094" s="145"/>
      <c r="O1094" s="174"/>
      <c r="P1094" s="174"/>
      <c r="Q1094" s="158" t="str">
        <v/>
      </c>
      <c r="R1094" s="158" t="str">
        <v/>
      </c>
      <c r="S1094" s="158" t="str">
        <v/>
      </c>
      <c r="T1094" s="158" t="str">
        <v/>
      </c>
      <c r="U1094" s="158" t="str">
        <v/>
      </c>
      <c r="V1094" s="158" t="str">
        <v/>
      </c>
      <c r="W1094" s="158" t="str">
        <v/>
      </c>
      <c r="X1094" s="158" t="str">
        <v/>
      </c>
      <c r="Y1094" s="158" t="str">
        <v/>
      </c>
      <c r="Z1094" s="158" t="str">
        <v/>
      </c>
      <c r="AA1094" s="158" t="e">
        <v>#VALUE!</v>
      </c>
      <c r="AB1094" s="171" t="str">
        <v/>
      </c>
      <c r="AC1094" s="158">
        <v>0</v>
      </c>
      <c r="AD1094" s="173" t="str">
        <f ca="1">IFERROR(__xludf.DUMMYFUNCTION("""COMPUTED_VALUE"""),"")</f>
        <v/>
      </c>
      <c r="AE1094" s="154" t="str">
        <v/>
      </c>
      <c r="AF1094" s="154" t="str">
        <v/>
      </c>
    </row>
    <row r="1095" spans="1:32" ht="15">
      <c r="A1095" s="176"/>
      <c r="B1095" s="145"/>
      <c r="C1095" s="169"/>
      <c r="D1095" s="145"/>
      <c r="E1095" s="145"/>
      <c r="F1095" s="169" t="e">
        <v>#VALUE!</v>
      </c>
      <c r="G1095" s="145"/>
      <c r="H1095" s="145"/>
      <c r="I1095" s="145"/>
      <c r="J1095" s="145"/>
      <c r="K1095" s="145"/>
      <c r="L1095" s="145"/>
      <c r="M1095" s="145"/>
      <c r="N1095" s="145"/>
      <c r="O1095" s="174"/>
      <c r="P1095" s="174"/>
      <c r="Q1095" s="158" t="str">
        <v/>
      </c>
      <c r="R1095" s="158" t="str">
        <v/>
      </c>
      <c r="S1095" s="158" t="str">
        <v/>
      </c>
      <c r="T1095" s="158" t="str">
        <v/>
      </c>
      <c r="U1095" s="158" t="str">
        <v/>
      </c>
      <c r="V1095" s="158" t="str">
        <v/>
      </c>
      <c r="W1095" s="158" t="str">
        <v/>
      </c>
      <c r="X1095" s="158" t="str">
        <v/>
      </c>
      <c r="Y1095" s="158" t="str">
        <v/>
      </c>
      <c r="Z1095" s="158" t="str">
        <v/>
      </c>
      <c r="AA1095" s="158" t="e">
        <v>#VALUE!</v>
      </c>
      <c r="AB1095" s="171" t="str">
        <v/>
      </c>
      <c r="AC1095" s="158">
        <v>0</v>
      </c>
      <c r="AD1095" s="173" t="str">
        <f ca="1">IFERROR(__xludf.DUMMYFUNCTION("""COMPUTED_VALUE"""),"")</f>
        <v/>
      </c>
      <c r="AE1095" s="154" t="str">
        <v/>
      </c>
      <c r="AF1095" s="154" t="str">
        <v/>
      </c>
    </row>
    <row r="1096" spans="1:32" ht="15">
      <c r="A1096" s="176"/>
      <c r="B1096" s="145"/>
      <c r="C1096" s="169"/>
      <c r="D1096" s="145"/>
      <c r="E1096" s="145"/>
      <c r="F1096" s="169" t="e">
        <v>#VALUE!</v>
      </c>
      <c r="G1096" s="145"/>
      <c r="H1096" s="145"/>
      <c r="I1096" s="145"/>
      <c r="J1096" s="145"/>
      <c r="K1096" s="145"/>
      <c r="L1096" s="145"/>
      <c r="M1096" s="145"/>
      <c r="N1096" s="145"/>
      <c r="O1096" s="174"/>
      <c r="P1096" s="174"/>
      <c r="Q1096" s="158" t="str">
        <v/>
      </c>
      <c r="R1096" s="158" t="str">
        <v/>
      </c>
      <c r="S1096" s="158" t="str">
        <v/>
      </c>
      <c r="T1096" s="158" t="str">
        <v/>
      </c>
      <c r="U1096" s="158" t="str">
        <v/>
      </c>
      <c r="V1096" s="158" t="str">
        <v/>
      </c>
      <c r="W1096" s="158" t="str">
        <v/>
      </c>
      <c r="X1096" s="158" t="str">
        <v/>
      </c>
      <c r="Y1096" s="158" t="str">
        <v/>
      </c>
      <c r="Z1096" s="158" t="str">
        <v/>
      </c>
      <c r="AA1096" s="158" t="e">
        <v>#VALUE!</v>
      </c>
      <c r="AB1096" s="171" t="str">
        <v/>
      </c>
      <c r="AC1096" s="158">
        <v>0</v>
      </c>
      <c r="AD1096" s="173" t="str">
        <f ca="1">IFERROR(__xludf.DUMMYFUNCTION("""COMPUTED_VALUE"""),"")</f>
        <v/>
      </c>
      <c r="AE1096" s="154" t="str">
        <v/>
      </c>
      <c r="AF1096" s="154" t="str">
        <v/>
      </c>
    </row>
    <row r="1097" spans="1:32" ht="15">
      <c r="A1097" s="176"/>
      <c r="B1097" s="145"/>
      <c r="C1097" s="169"/>
      <c r="D1097" s="145"/>
      <c r="E1097" s="145"/>
      <c r="F1097" s="169" t="e">
        <v>#VALUE!</v>
      </c>
      <c r="G1097" s="145"/>
      <c r="H1097" s="145"/>
      <c r="I1097" s="145"/>
      <c r="J1097" s="145"/>
      <c r="K1097" s="145"/>
      <c r="L1097" s="145"/>
      <c r="M1097" s="145"/>
      <c r="N1097" s="145"/>
      <c r="O1097" s="174"/>
      <c r="P1097" s="174"/>
      <c r="Q1097" s="158" t="str">
        <v/>
      </c>
      <c r="R1097" s="158" t="str">
        <v/>
      </c>
      <c r="S1097" s="158" t="str">
        <v/>
      </c>
      <c r="T1097" s="158" t="str">
        <v/>
      </c>
      <c r="U1097" s="158" t="str">
        <v/>
      </c>
      <c r="V1097" s="158" t="str">
        <v/>
      </c>
      <c r="W1097" s="158" t="str">
        <v/>
      </c>
      <c r="X1097" s="158" t="str">
        <v/>
      </c>
      <c r="Y1097" s="158" t="str">
        <v/>
      </c>
      <c r="Z1097" s="158" t="str">
        <v/>
      </c>
      <c r="AA1097" s="158" t="e">
        <v>#VALUE!</v>
      </c>
      <c r="AB1097" s="171" t="str">
        <v/>
      </c>
      <c r="AC1097" s="158">
        <v>0</v>
      </c>
      <c r="AD1097" s="173" t="str">
        <f ca="1">IFERROR(__xludf.DUMMYFUNCTION("""COMPUTED_VALUE"""),"")</f>
        <v/>
      </c>
      <c r="AE1097" s="154" t="str">
        <v/>
      </c>
      <c r="AF1097" s="154" t="str">
        <v/>
      </c>
    </row>
    <row r="1098" spans="1:32" ht="15">
      <c r="A1098" s="176"/>
      <c r="B1098" s="145"/>
      <c r="C1098" s="169"/>
      <c r="D1098" s="145"/>
      <c r="E1098" s="145"/>
      <c r="F1098" s="169" t="e">
        <v>#VALUE!</v>
      </c>
      <c r="G1098" s="145"/>
      <c r="H1098" s="145"/>
      <c r="I1098" s="145"/>
      <c r="J1098" s="145"/>
      <c r="K1098" s="145"/>
      <c r="L1098" s="145"/>
      <c r="M1098" s="145"/>
      <c r="N1098" s="145"/>
      <c r="O1098" s="174"/>
      <c r="P1098" s="174"/>
      <c r="Q1098" s="158" t="str">
        <v/>
      </c>
      <c r="R1098" s="158" t="str">
        <v/>
      </c>
      <c r="S1098" s="158" t="str">
        <v/>
      </c>
      <c r="T1098" s="158" t="str">
        <v/>
      </c>
      <c r="U1098" s="158" t="str">
        <v/>
      </c>
      <c r="V1098" s="158" t="str">
        <v/>
      </c>
      <c r="W1098" s="158" t="str">
        <v/>
      </c>
      <c r="X1098" s="158" t="str">
        <v/>
      </c>
      <c r="Y1098" s="158" t="str">
        <v/>
      </c>
      <c r="Z1098" s="158" t="str">
        <v/>
      </c>
      <c r="AA1098" s="158" t="e">
        <v>#VALUE!</v>
      </c>
      <c r="AB1098" s="171" t="str">
        <v/>
      </c>
      <c r="AC1098" s="158">
        <v>0</v>
      </c>
      <c r="AD1098" s="173" t="str">
        <f ca="1">IFERROR(__xludf.DUMMYFUNCTION("""COMPUTED_VALUE"""),"")</f>
        <v/>
      </c>
      <c r="AE1098" s="154" t="str">
        <v/>
      </c>
      <c r="AF1098" s="154" t="str">
        <v/>
      </c>
    </row>
    <row r="1099" spans="1:32" ht="15">
      <c r="A1099" s="176"/>
      <c r="B1099" s="145"/>
      <c r="C1099" s="169"/>
      <c r="D1099" s="145"/>
      <c r="E1099" s="145"/>
      <c r="F1099" s="169" t="e">
        <v>#VALUE!</v>
      </c>
      <c r="G1099" s="145"/>
      <c r="H1099" s="145"/>
      <c r="I1099" s="145"/>
      <c r="J1099" s="145"/>
      <c r="K1099" s="145"/>
      <c r="L1099" s="145"/>
      <c r="M1099" s="145"/>
      <c r="N1099" s="145"/>
      <c r="O1099" s="174"/>
      <c r="P1099" s="174"/>
      <c r="Q1099" s="158" t="str">
        <v/>
      </c>
      <c r="R1099" s="158" t="str">
        <v/>
      </c>
      <c r="S1099" s="158" t="str">
        <v/>
      </c>
      <c r="T1099" s="158" t="str">
        <v/>
      </c>
      <c r="U1099" s="158" t="str">
        <v/>
      </c>
      <c r="V1099" s="158" t="str">
        <v/>
      </c>
      <c r="W1099" s="158" t="str">
        <v/>
      </c>
      <c r="X1099" s="158" t="str">
        <v/>
      </c>
      <c r="Y1099" s="158" t="str">
        <v/>
      </c>
      <c r="Z1099" s="158" t="str">
        <v/>
      </c>
      <c r="AA1099" s="158" t="e">
        <v>#VALUE!</v>
      </c>
      <c r="AB1099" s="171" t="str">
        <v/>
      </c>
      <c r="AC1099" s="158">
        <v>0</v>
      </c>
      <c r="AD1099" s="173" t="str">
        <f ca="1">IFERROR(__xludf.DUMMYFUNCTION("""COMPUTED_VALUE"""),"")</f>
        <v/>
      </c>
      <c r="AE1099" s="154" t="str">
        <v/>
      </c>
      <c r="AF1099" s="154" t="str">
        <v/>
      </c>
    </row>
    <row r="1100" spans="1:32" ht="15">
      <c r="A1100" s="176"/>
      <c r="B1100" s="145"/>
      <c r="C1100" s="169"/>
      <c r="D1100" s="145"/>
      <c r="E1100" s="145"/>
      <c r="F1100" s="169" t="e">
        <v>#VALUE!</v>
      </c>
      <c r="G1100" s="145"/>
      <c r="H1100" s="145"/>
      <c r="I1100" s="145"/>
      <c r="J1100" s="145"/>
      <c r="K1100" s="145"/>
      <c r="L1100" s="145"/>
      <c r="M1100" s="145"/>
      <c r="N1100" s="145"/>
      <c r="O1100" s="174"/>
      <c r="P1100" s="174"/>
      <c r="Q1100" s="158" t="str">
        <v/>
      </c>
      <c r="R1100" s="158" t="str">
        <v/>
      </c>
      <c r="S1100" s="158" t="str">
        <v/>
      </c>
      <c r="T1100" s="158" t="str">
        <v/>
      </c>
      <c r="U1100" s="158" t="str">
        <v/>
      </c>
      <c r="V1100" s="158" t="str">
        <v/>
      </c>
      <c r="W1100" s="158" t="str">
        <v/>
      </c>
      <c r="X1100" s="158" t="str">
        <v/>
      </c>
      <c r="Y1100" s="158" t="str">
        <v/>
      </c>
      <c r="Z1100" s="158" t="str">
        <v/>
      </c>
      <c r="AA1100" s="158" t="e">
        <v>#VALUE!</v>
      </c>
      <c r="AB1100" s="171" t="str">
        <v/>
      </c>
      <c r="AC1100" s="158">
        <v>0</v>
      </c>
      <c r="AD1100" s="173" t="str">
        <f ca="1">IFERROR(__xludf.DUMMYFUNCTION("""COMPUTED_VALUE"""),"")</f>
        <v/>
      </c>
      <c r="AE1100" s="154" t="str">
        <v/>
      </c>
      <c r="AF1100" s="154" t="str">
        <v/>
      </c>
    </row>
    <row r="1101" spans="1:32" ht="15">
      <c r="A1101" s="176"/>
      <c r="B1101" s="145"/>
      <c r="C1101" s="169"/>
      <c r="D1101" s="145"/>
      <c r="E1101" s="145"/>
      <c r="F1101" s="169" t="e">
        <v>#VALUE!</v>
      </c>
      <c r="G1101" s="145"/>
      <c r="H1101" s="145"/>
      <c r="I1101" s="145"/>
      <c r="J1101" s="145"/>
      <c r="K1101" s="145"/>
      <c r="L1101" s="145"/>
      <c r="M1101" s="145"/>
      <c r="N1101" s="145"/>
      <c r="O1101" s="174"/>
      <c r="P1101" s="174"/>
      <c r="Q1101" s="158" t="str">
        <v/>
      </c>
      <c r="R1101" s="158" t="str">
        <v/>
      </c>
      <c r="S1101" s="158" t="str">
        <v/>
      </c>
      <c r="T1101" s="158" t="str">
        <v/>
      </c>
      <c r="U1101" s="158" t="str">
        <v/>
      </c>
      <c r="V1101" s="158" t="str">
        <v/>
      </c>
      <c r="W1101" s="158" t="str">
        <v/>
      </c>
      <c r="X1101" s="158" t="str">
        <v/>
      </c>
      <c r="Y1101" s="158" t="str">
        <v/>
      </c>
      <c r="Z1101" s="158" t="str">
        <v/>
      </c>
      <c r="AA1101" s="158" t="e">
        <v>#VALUE!</v>
      </c>
      <c r="AB1101" s="171" t="str">
        <v/>
      </c>
      <c r="AC1101" s="158">
        <v>0</v>
      </c>
      <c r="AD1101" s="173" t="str">
        <f ca="1">IFERROR(__xludf.DUMMYFUNCTION("""COMPUTED_VALUE"""),"")</f>
        <v/>
      </c>
      <c r="AE1101" s="154" t="str">
        <v/>
      </c>
      <c r="AF1101" s="154" t="str">
        <v/>
      </c>
    </row>
    <row r="1102" spans="1:32" ht="15">
      <c r="A1102" s="176"/>
      <c r="B1102" s="145"/>
      <c r="C1102" s="169"/>
      <c r="D1102" s="145"/>
      <c r="E1102" s="145"/>
      <c r="F1102" s="169" t="e">
        <v>#VALUE!</v>
      </c>
      <c r="G1102" s="145"/>
      <c r="H1102" s="145"/>
      <c r="I1102" s="145"/>
      <c r="J1102" s="145"/>
      <c r="K1102" s="145"/>
      <c r="L1102" s="145"/>
      <c r="M1102" s="145"/>
      <c r="N1102" s="145"/>
      <c r="O1102" s="174"/>
      <c r="P1102" s="174"/>
      <c r="Q1102" s="158" t="str">
        <v/>
      </c>
      <c r="R1102" s="158" t="str">
        <v/>
      </c>
      <c r="S1102" s="158" t="str">
        <v/>
      </c>
      <c r="T1102" s="158" t="str">
        <v/>
      </c>
      <c r="U1102" s="158" t="str">
        <v/>
      </c>
      <c r="V1102" s="158" t="str">
        <v/>
      </c>
      <c r="W1102" s="158" t="str">
        <v/>
      </c>
      <c r="X1102" s="158" t="str">
        <v/>
      </c>
      <c r="Y1102" s="158" t="str">
        <v/>
      </c>
      <c r="Z1102" s="158" t="str">
        <v/>
      </c>
      <c r="AA1102" s="158" t="e">
        <v>#VALUE!</v>
      </c>
      <c r="AB1102" s="171" t="str">
        <v/>
      </c>
      <c r="AC1102" s="158">
        <v>0</v>
      </c>
      <c r="AD1102" s="173" t="str">
        <f ca="1">IFERROR(__xludf.DUMMYFUNCTION("""COMPUTED_VALUE"""),"")</f>
        <v/>
      </c>
      <c r="AE1102" s="154" t="str">
        <v/>
      </c>
      <c r="AF1102" s="154" t="str">
        <v/>
      </c>
    </row>
    <row r="1103" spans="1:32" ht="15">
      <c r="A1103" s="176"/>
      <c r="B1103" s="145"/>
      <c r="C1103" s="169"/>
      <c r="D1103" s="145"/>
      <c r="E1103" s="145"/>
      <c r="F1103" s="169" t="e">
        <v>#VALUE!</v>
      </c>
      <c r="G1103" s="145"/>
      <c r="H1103" s="145"/>
      <c r="I1103" s="145"/>
      <c r="J1103" s="145"/>
      <c r="K1103" s="145"/>
      <c r="L1103" s="145"/>
      <c r="M1103" s="145"/>
      <c r="N1103" s="145"/>
      <c r="O1103" s="174"/>
      <c r="P1103" s="174"/>
      <c r="Q1103" s="158" t="str">
        <v/>
      </c>
      <c r="R1103" s="158" t="str">
        <v/>
      </c>
      <c r="S1103" s="158" t="str">
        <v/>
      </c>
      <c r="T1103" s="158" t="str">
        <v/>
      </c>
      <c r="U1103" s="158" t="str">
        <v/>
      </c>
      <c r="V1103" s="158" t="str">
        <v/>
      </c>
      <c r="W1103" s="158" t="str">
        <v/>
      </c>
      <c r="X1103" s="158" t="str">
        <v/>
      </c>
      <c r="Y1103" s="158" t="str">
        <v/>
      </c>
      <c r="Z1103" s="158" t="str">
        <v/>
      </c>
      <c r="AA1103" s="158" t="e">
        <v>#VALUE!</v>
      </c>
      <c r="AB1103" s="171" t="str">
        <v/>
      </c>
      <c r="AC1103" s="158">
        <v>0</v>
      </c>
      <c r="AD1103" s="173" t="str">
        <f ca="1">IFERROR(__xludf.DUMMYFUNCTION("""COMPUTED_VALUE"""),"")</f>
        <v/>
      </c>
      <c r="AE1103" s="154" t="str">
        <v/>
      </c>
      <c r="AF1103" s="154" t="str">
        <v/>
      </c>
    </row>
    <row r="1104" spans="1:32" ht="15">
      <c r="A1104" s="176"/>
      <c r="B1104" s="145"/>
      <c r="C1104" s="169"/>
      <c r="D1104" s="145"/>
      <c r="E1104" s="145"/>
      <c r="F1104" s="169" t="e">
        <v>#VALUE!</v>
      </c>
      <c r="G1104" s="145"/>
      <c r="H1104" s="145"/>
      <c r="I1104" s="145"/>
      <c r="J1104" s="145"/>
      <c r="K1104" s="145"/>
      <c r="L1104" s="145"/>
      <c r="M1104" s="145"/>
      <c r="N1104" s="145"/>
      <c r="O1104" s="174"/>
      <c r="P1104" s="174"/>
      <c r="Q1104" s="158" t="str">
        <v/>
      </c>
      <c r="R1104" s="158" t="str">
        <v/>
      </c>
      <c r="S1104" s="158" t="str">
        <v/>
      </c>
      <c r="T1104" s="158" t="str">
        <v/>
      </c>
      <c r="U1104" s="158" t="str">
        <v/>
      </c>
      <c r="V1104" s="158" t="str">
        <v/>
      </c>
      <c r="W1104" s="158" t="str">
        <v/>
      </c>
      <c r="X1104" s="158" t="str">
        <v/>
      </c>
      <c r="Y1104" s="158" t="str">
        <v/>
      </c>
      <c r="Z1104" s="158" t="str">
        <v/>
      </c>
      <c r="AA1104" s="158" t="e">
        <v>#VALUE!</v>
      </c>
      <c r="AB1104" s="171" t="str">
        <v/>
      </c>
      <c r="AC1104" s="158">
        <v>0</v>
      </c>
      <c r="AD1104" s="173" t="str">
        <f ca="1">IFERROR(__xludf.DUMMYFUNCTION("""COMPUTED_VALUE"""),"")</f>
        <v/>
      </c>
      <c r="AE1104" s="154" t="str">
        <v/>
      </c>
      <c r="AF1104" s="154" t="str">
        <v/>
      </c>
    </row>
    <row r="1105" spans="1:32" ht="15">
      <c r="A1105" s="176"/>
      <c r="B1105" s="145"/>
      <c r="C1105" s="169"/>
      <c r="D1105" s="145"/>
      <c r="E1105" s="145"/>
      <c r="F1105" s="169" t="e">
        <v>#VALUE!</v>
      </c>
      <c r="G1105" s="145"/>
      <c r="H1105" s="145"/>
      <c r="I1105" s="145"/>
      <c r="J1105" s="145"/>
      <c r="K1105" s="145"/>
      <c r="L1105" s="145"/>
      <c r="M1105" s="145"/>
      <c r="N1105" s="145"/>
      <c r="O1105" s="174"/>
      <c r="P1105" s="174"/>
      <c r="Q1105" s="158" t="str">
        <v/>
      </c>
      <c r="R1105" s="158" t="str">
        <v/>
      </c>
      <c r="S1105" s="158" t="str">
        <v/>
      </c>
      <c r="T1105" s="158" t="str">
        <v/>
      </c>
      <c r="U1105" s="158" t="str">
        <v/>
      </c>
      <c r="V1105" s="158" t="str">
        <v/>
      </c>
      <c r="W1105" s="158" t="str">
        <v/>
      </c>
      <c r="X1105" s="158" t="str">
        <v/>
      </c>
      <c r="Y1105" s="158" t="str">
        <v/>
      </c>
      <c r="Z1105" s="158" t="str">
        <v/>
      </c>
      <c r="AA1105" s="158" t="e">
        <v>#VALUE!</v>
      </c>
      <c r="AB1105" s="171" t="str">
        <v/>
      </c>
      <c r="AC1105" s="158">
        <v>0</v>
      </c>
      <c r="AD1105" s="173" t="str">
        <f ca="1">IFERROR(__xludf.DUMMYFUNCTION("""COMPUTED_VALUE"""),"")</f>
        <v/>
      </c>
      <c r="AE1105" s="154" t="str">
        <v/>
      </c>
      <c r="AF1105" s="154" t="str">
        <v/>
      </c>
    </row>
    <row r="1106" spans="1:32" ht="15">
      <c r="A1106" s="176"/>
      <c r="B1106" s="145"/>
      <c r="C1106" s="169"/>
      <c r="D1106" s="145"/>
      <c r="E1106" s="145"/>
      <c r="F1106" s="169" t="e">
        <v>#VALUE!</v>
      </c>
      <c r="G1106" s="145"/>
      <c r="H1106" s="145"/>
      <c r="I1106" s="145"/>
      <c r="J1106" s="145"/>
      <c r="K1106" s="145"/>
      <c r="L1106" s="145"/>
      <c r="M1106" s="145"/>
      <c r="N1106" s="145"/>
      <c r="O1106" s="174"/>
      <c r="P1106" s="174"/>
      <c r="Q1106" s="158" t="str">
        <v/>
      </c>
      <c r="R1106" s="158" t="str">
        <v/>
      </c>
      <c r="S1106" s="158" t="str">
        <v/>
      </c>
      <c r="T1106" s="158" t="str">
        <v/>
      </c>
      <c r="U1106" s="158" t="str">
        <v/>
      </c>
      <c r="V1106" s="158" t="str">
        <v/>
      </c>
      <c r="W1106" s="158" t="str">
        <v/>
      </c>
      <c r="X1106" s="158" t="str">
        <v/>
      </c>
      <c r="Y1106" s="158" t="str">
        <v/>
      </c>
      <c r="Z1106" s="158" t="str">
        <v/>
      </c>
      <c r="AA1106" s="158" t="e">
        <v>#VALUE!</v>
      </c>
      <c r="AB1106" s="171" t="str">
        <v/>
      </c>
      <c r="AC1106" s="158">
        <v>0</v>
      </c>
      <c r="AD1106" s="173" t="str">
        <f ca="1">IFERROR(__xludf.DUMMYFUNCTION("""COMPUTED_VALUE"""),"")</f>
        <v/>
      </c>
      <c r="AE1106" s="154" t="str">
        <v/>
      </c>
      <c r="AF1106" s="154" t="str">
        <v/>
      </c>
    </row>
    <row r="1107" spans="1:32" ht="15">
      <c r="A1107" s="176"/>
      <c r="B1107" s="145"/>
      <c r="C1107" s="169"/>
      <c r="D1107" s="145"/>
      <c r="E1107" s="145"/>
      <c r="F1107" s="169" t="e">
        <v>#VALUE!</v>
      </c>
      <c r="G1107" s="145"/>
      <c r="H1107" s="145"/>
      <c r="I1107" s="145"/>
      <c r="J1107" s="145"/>
      <c r="K1107" s="145"/>
      <c r="L1107" s="145"/>
      <c r="M1107" s="145"/>
      <c r="N1107" s="145"/>
      <c r="O1107" s="174"/>
      <c r="P1107" s="174"/>
      <c r="Q1107" s="158" t="str">
        <v/>
      </c>
      <c r="R1107" s="158" t="str">
        <v/>
      </c>
      <c r="S1107" s="158" t="str">
        <v/>
      </c>
      <c r="T1107" s="158" t="str">
        <v/>
      </c>
      <c r="U1107" s="158" t="str">
        <v/>
      </c>
      <c r="V1107" s="158" t="str">
        <v/>
      </c>
      <c r="W1107" s="158" t="str">
        <v/>
      </c>
      <c r="X1107" s="158" t="str">
        <v/>
      </c>
      <c r="Y1107" s="158" t="str">
        <v/>
      </c>
      <c r="Z1107" s="158" t="str">
        <v/>
      </c>
      <c r="AA1107" s="158" t="e">
        <v>#VALUE!</v>
      </c>
      <c r="AB1107" s="171" t="str">
        <v/>
      </c>
      <c r="AC1107" s="158">
        <v>0</v>
      </c>
      <c r="AD1107" s="173" t="str">
        <f ca="1">IFERROR(__xludf.DUMMYFUNCTION("""COMPUTED_VALUE"""),"")</f>
        <v/>
      </c>
      <c r="AE1107" s="154" t="str">
        <v/>
      </c>
      <c r="AF1107" s="154" t="str">
        <v/>
      </c>
    </row>
    <row r="1108" spans="1:32" ht="15">
      <c r="A1108" s="176"/>
      <c r="B1108" s="145"/>
      <c r="C1108" s="169"/>
      <c r="D1108" s="145"/>
      <c r="E1108" s="145"/>
      <c r="F1108" s="169" t="e">
        <v>#VALUE!</v>
      </c>
      <c r="G1108" s="145"/>
      <c r="H1108" s="145"/>
      <c r="I1108" s="145"/>
      <c r="J1108" s="145"/>
      <c r="K1108" s="145"/>
      <c r="L1108" s="145"/>
      <c r="M1108" s="145"/>
      <c r="N1108" s="145"/>
      <c r="O1108" s="174"/>
      <c r="P1108" s="174"/>
      <c r="Q1108" s="158" t="str">
        <v/>
      </c>
      <c r="R1108" s="158" t="str">
        <v/>
      </c>
      <c r="S1108" s="158" t="str">
        <v/>
      </c>
      <c r="T1108" s="158" t="str">
        <v/>
      </c>
      <c r="U1108" s="158" t="str">
        <v/>
      </c>
      <c r="V1108" s="158" t="str">
        <v/>
      </c>
      <c r="W1108" s="158" t="str">
        <v/>
      </c>
      <c r="X1108" s="158" t="str">
        <v/>
      </c>
      <c r="Y1108" s="158" t="str">
        <v/>
      </c>
      <c r="Z1108" s="158" t="str">
        <v/>
      </c>
      <c r="AA1108" s="158" t="e">
        <v>#VALUE!</v>
      </c>
      <c r="AB1108" s="171" t="str">
        <v/>
      </c>
      <c r="AC1108" s="158">
        <v>0</v>
      </c>
      <c r="AD1108" s="173" t="str">
        <f ca="1">IFERROR(__xludf.DUMMYFUNCTION("""COMPUTED_VALUE"""),"")</f>
        <v/>
      </c>
      <c r="AE1108" s="154" t="str">
        <v/>
      </c>
      <c r="AF1108" s="154" t="str">
        <v/>
      </c>
    </row>
    <row r="1109" spans="1:32" ht="15">
      <c r="A1109" s="176"/>
      <c r="B1109" s="145"/>
      <c r="C1109" s="169"/>
      <c r="D1109" s="145"/>
      <c r="E1109" s="145"/>
      <c r="F1109" s="169" t="e">
        <v>#VALUE!</v>
      </c>
      <c r="G1109" s="145"/>
      <c r="H1109" s="145"/>
      <c r="I1109" s="145"/>
      <c r="J1109" s="145"/>
      <c r="K1109" s="145"/>
      <c r="L1109" s="145"/>
      <c r="M1109" s="145"/>
      <c r="N1109" s="145"/>
      <c r="O1109" s="174"/>
      <c r="P1109" s="174"/>
      <c r="Q1109" s="158" t="str">
        <v/>
      </c>
      <c r="R1109" s="158" t="str">
        <v/>
      </c>
      <c r="S1109" s="158" t="str">
        <v/>
      </c>
      <c r="T1109" s="158" t="str">
        <v/>
      </c>
      <c r="U1109" s="158" t="str">
        <v/>
      </c>
      <c r="V1109" s="158" t="str">
        <v/>
      </c>
      <c r="W1109" s="158" t="str">
        <v/>
      </c>
      <c r="X1109" s="158" t="str">
        <v/>
      </c>
      <c r="Y1109" s="158" t="str">
        <v/>
      </c>
      <c r="Z1109" s="158" t="str">
        <v/>
      </c>
      <c r="AA1109" s="158" t="e">
        <v>#VALUE!</v>
      </c>
      <c r="AB1109" s="171" t="str">
        <v/>
      </c>
      <c r="AC1109" s="158">
        <v>0</v>
      </c>
      <c r="AD1109" s="173" t="str">
        <f ca="1">IFERROR(__xludf.DUMMYFUNCTION("""COMPUTED_VALUE"""),"")</f>
        <v/>
      </c>
      <c r="AE1109" s="154" t="str">
        <v/>
      </c>
      <c r="AF1109" s="154" t="str">
        <v/>
      </c>
    </row>
    <row r="1110" spans="1:32" ht="15">
      <c r="A1110" s="176"/>
      <c r="B1110" s="145"/>
      <c r="C1110" s="169"/>
      <c r="D1110" s="145"/>
      <c r="E1110" s="145"/>
      <c r="F1110" s="169" t="e">
        <v>#VALUE!</v>
      </c>
      <c r="G1110" s="145"/>
      <c r="H1110" s="145"/>
      <c r="I1110" s="145"/>
      <c r="J1110" s="145"/>
      <c r="K1110" s="145"/>
      <c r="L1110" s="145"/>
      <c r="M1110" s="145"/>
      <c r="N1110" s="145"/>
      <c r="O1110" s="174"/>
      <c r="P1110" s="174"/>
      <c r="Q1110" s="158" t="str">
        <v/>
      </c>
      <c r="R1110" s="158" t="str">
        <v/>
      </c>
      <c r="S1110" s="158" t="str">
        <v/>
      </c>
      <c r="T1110" s="158" t="str">
        <v/>
      </c>
      <c r="U1110" s="158" t="str">
        <v/>
      </c>
      <c r="V1110" s="158" t="str">
        <v/>
      </c>
      <c r="W1110" s="158" t="str">
        <v/>
      </c>
      <c r="X1110" s="158" t="str">
        <v/>
      </c>
      <c r="Y1110" s="158" t="str">
        <v/>
      </c>
      <c r="Z1110" s="158" t="str">
        <v/>
      </c>
      <c r="AA1110" s="158" t="e">
        <v>#VALUE!</v>
      </c>
      <c r="AB1110" s="171" t="str">
        <v/>
      </c>
      <c r="AC1110" s="158">
        <v>0</v>
      </c>
      <c r="AD1110" s="173" t="str">
        <f ca="1">IFERROR(__xludf.DUMMYFUNCTION("""COMPUTED_VALUE"""),"")</f>
        <v/>
      </c>
      <c r="AE1110" s="154" t="str">
        <v/>
      </c>
      <c r="AF1110" s="154" t="str">
        <v/>
      </c>
    </row>
    <row r="1111" spans="1:32" ht="15">
      <c r="A1111" s="176"/>
      <c r="B1111" s="145"/>
      <c r="C1111" s="169"/>
      <c r="D1111" s="145"/>
      <c r="E1111" s="145"/>
      <c r="F1111" s="169" t="e">
        <v>#VALUE!</v>
      </c>
      <c r="G1111" s="145"/>
      <c r="H1111" s="145"/>
      <c r="I1111" s="145"/>
      <c r="J1111" s="145"/>
      <c r="K1111" s="145"/>
      <c r="L1111" s="145"/>
      <c r="M1111" s="145"/>
      <c r="N1111" s="145"/>
      <c r="O1111" s="174"/>
      <c r="P1111" s="174"/>
      <c r="Q1111" s="158" t="str">
        <v/>
      </c>
      <c r="R1111" s="158" t="str">
        <v/>
      </c>
      <c r="S1111" s="158" t="str">
        <v/>
      </c>
      <c r="T1111" s="158" t="str">
        <v/>
      </c>
      <c r="U1111" s="158" t="str">
        <v/>
      </c>
      <c r="V1111" s="158" t="str">
        <v/>
      </c>
      <c r="W1111" s="158" t="str">
        <v/>
      </c>
      <c r="X1111" s="158" t="str">
        <v/>
      </c>
      <c r="Y1111" s="158" t="str">
        <v/>
      </c>
      <c r="Z1111" s="158" t="str">
        <v/>
      </c>
      <c r="AA1111" s="158" t="e">
        <v>#VALUE!</v>
      </c>
      <c r="AB1111" s="171" t="str">
        <v/>
      </c>
      <c r="AC1111" s="158">
        <v>0</v>
      </c>
      <c r="AD1111" s="173" t="str">
        <f ca="1">IFERROR(__xludf.DUMMYFUNCTION("""COMPUTED_VALUE"""),"")</f>
        <v/>
      </c>
      <c r="AE1111" s="154" t="str">
        <v/>
      </c>
      <c r="AF1111" s="154" t="str">
        <v/>
      </c>
    </row>
    <row r="1112" spans="1:32" ht="15">
      <c r="A1112" s="176"/>
      <c r="B1112" s="145"/>
      <c r="C1112" s="169"/>
      <c r="D1112" s="145"/>
      <c r="E1112" s="145"/>
      <c r="F1112" s="169" t="e">
        <v>#VALUE!</v>
      </c>
      <c r="G1112" s="145"/>
      <c r="H1112" s="145"/>
      <c r="I1112" s="145"/>
      <c r="J1112" s="145"/>
      <c r="K1112" s="145"/>
      <c r="L1112" s="145"/>
      <c r="M1112" s="145"/>
      <c r="N1112" s="145"/>
      <c r="O1112" s="174"/>
      <c r="P1112" s="174"/>
      <c r="Q1112" s="158" t="str">
        <v/>
      </c>
      <c r="R1112" s="158" t="str">
        <v/>
      </c>
      <c r="S1112" s="158" t="str">
        <v/>
      </c>
      <c r="T1112" s="158" t="str">
        <v/>
      </c>
      <c r="U1112" s="158" t="str">
        <v/>
      </c>
      <c r="V1112" s="158" t="str">
        <v/>
      </c>
      <c r="W1112" s="158" t="str">
        <v/>
      </c>
      <c r="X1112" s="158" t="str">
        <v/>
      </c>
      <c r="Y1112" s="158" t="str">
        <v/>
      </c>
      <c r="Z1112" s="158" t="str">
        <v/>
      </c>
      <c r="AA1112" s="158" t="e">
        <v>#VALUE!</v>
      </c>
      <c r="AB1112" s="171" t="str">
        <v/>
      </c>
      <c r="AC1112" s="158">
        <v>0</v>
      </c>
      <c r="AD1112" s="173" t="str">
        <f ca="1">IFERROR(__xludf.DUMMYFUNCTION("""COMPUTED_VALUE"""),"")</f>
        <v/>
      </c>
      <c r="AE1112" s="154" t="str">
        <v/>
      </c>
      <c r="AF1112" s="154" t="str">
        <v/>
      </c>
    </row>
    <row r="1113" spans="1:32" ht="15">
      <c r="A1113" s="176"/>
      <c r="B1113" s="145"/>
      <c r="C1113" s="169"/>
      <c r="D1113" s="145"/>
      <c r="E1113" s="145"/>
      <c r="F1113" s="169" t="e">
        <v>#VALUE!</v>
      </c>
      <c r="G1113" s="145"/>
      <c r="H1113" s="145"/>
      <c r="I1113" s="145"/>
      <c r="J1113" s="145"/>
      <c r="K1113" s="145"/>
      <c r="L1113" s="145"/>
      <c r="M1113" s="145"/>
      <c r="N1113" s="145"/>
      <c r="O1113" s="174"/>
      <c r="P1113" s="174"/>
      <c r="Q1113" s="158" t="str">
        <v/>
      </c>
      <c r="R1113" s="158" t="str">
        <v/>
      </c>
      <c r="S1113" s="158" t="str">
        <v/>
      </c>
      <c r="T1113" s="158" t="str">
        <v/>
      </c>
      <c r="U1113" s="158" t="str">
        <v/>
      </c>
      <c r="V1113" s="158" t="str">
        <v/>
      </c>
      <c r="W1113" s="158" t="str">
        <v/>
      </c>
      <c r="X1113" s="158" t="str">
        <v/>
      </c>
      <c r="Y1113" s="158" t="str">
        <v/>
      </c>
      <c r="Z1113" s="158" t="str">
        <v/>
      </c>
      <c r="AA1113" s="158" t="e">
        <v>#VALUE!</v>
      </c>
      <c r="AB1113" s="171" t="str">
        <v/>
      </c>
      <c r="AC1113" s="158">
        <v>0</v>
      </c>
      <c r="AD1113" s="173" t="str">
        <f ca="1">IFERROR(__xludf.DUMMYFUNCTION("""COMPUTED_VALUE"""),"")</f>
        <v/>
      </c>
      <c r="AE1113" s="154" t="str">
        <v/>
      </c>
      <c r="AF1113" s="154" t="str">
        <v/>
      </c>
    </row>
    <row r="1114" spans="1:32" ht="15">
      <c r="A1114" s="176"/>
      <c r="B1114" s="145"/>
      <c r="C1114" s="169"/>
      <c r="D1114" s="145"/>
      <c r="E1114" s="145"/>
      <c r="F1114" s="169" t="e">
        <v>#VALUE!</v>
      </c>
      <c r="G1114" s="145"/>
      <c r="H1114" s="145"/>
      <c r="I1114" s="145"/>
      <c r="J1114" s="145"/>
      <c r="K1114" s="145"/>
      <c r="L1114" s="145"/>
      <c r="M1114" s="145"/>
      <c r="N1114" s="145"/>
      <c r="O1114" s="174"/>
      <c r="P1114" s="174"/>
      <c r="Q1114" s="158" t="str">
        <v/>
      </c>
      <c r="R1114" s="158" t="str">
        <v/>
      </c>
      <c r="S1114" s="158" t="str">
        <v/>
      </c>
      <c r="T1114" s="158" t="str">
        <v/>
      </c>
      <c r="U1114" s="158" t="str">
        <v/>
      </c>
      <c r="V1114" s="158" t="str">
        <v/>
      </c>
      <c r="W1114" s="158" t="str">
        <v/>
      </c>
      <c r="X1114" s="158" t="str">
        <v/>
      </c>
      <c r="Y1114" s="158" t="str">
        <v/>
      </c>
      <c r="Z1114" s="158" t="str">
        <v/>
      </c>
      <c r="AA1114" s="158" t="e">
        <v>#VALUE!</v>
      </c>
      <c r="AB1114" s="171" t="str">
        <v/>
      </c>
      <c r="AC1114" s="158">
        <v>0</v>
      </c>
      <c r="AD1114" s="173" t="str">
        <f ca="1">IFERROR(__xludf.DUMMYFUNCTION("""COMPUTED_VALUE"""),"")</f>
        <v/>
      </c>
      <c r="AE1114" s="154" t="str">
        <v/>
      </c>
      <c r="AF1114" s="154" t="str">
        <v/>
      </c>
    </row>
    <row r="1115" spans="1:32" ht="15">
      <c r="A1115" s="176"/>
      <c r="B1115" s="145"/>
      <c r="C1115" s="169"/>
      <c r="D1115" s="145"/>
      <c r="E1115" s="145"/>
      <c r="F1115" s="169" t="e">
        <v>#VALUE!</v>
      </c>
      <c r="G1115" s="145"/>
      <c r="H1115" s="145"/>
      <c r="I1115" s="145"/>
      <c r="J1115" s="145"/>
      <c r="K1115" s="145"/>
      <c r="L1115" s="145"/>
      <c r="M1115" s="145"/>
      <c r="N1115" s="145"/>
      <c r="O1115" s="174"/>
      <c r="P1115" s="174"/>
      <c r="Q1115" s="158" t="str">
        <v/>
      </c>
      <c r="R1115" s="158" t="str">
        <v/>
      </c>
      <c r="S1115" s="158" t="str">
        <v/>
      </c>
      <c r="T1115" s="158" t="str">
        <v/>
      </c>
      <c r="U1115" s="158" t="str">
        <v/>
      </c>
      <c r="V1115" s="158" t="str">
        <v/>
      </c>
      <c r="W1115" s="158" t="str">
        <v/>
      </c>
      <c r="X1115" s="158" t="str">
        <v/>
      </c>
      <c r="Y1115" s="158" t="str">
        <v/>
      </c>
      <c r="Z1115" s="158" t="str">
        <v/>
      </c>
      <c r="AA1115" s="158" t="e">
        <v>#VALUE!</v>
      </c>
      <c r="AB1115" s="171" t="str">
        <v/>
      </c>
      <c r="AC1115" s="158">
        <v>0</v>
      </c>
      <c r="AD1115" s="173" t="str">
        <f ca="1">IFERROR(__xludf.DUMMYFUNCTION("""COMPUTED_VALUE"""),"")</f>
        <v/>
      </c>
      <c r="AE1115" s="154" t="str">
        <v/>
      </c>
      <c r="AF1115" s="154" t="str">
        <v/>
      </c>
    </row>
    <row r="1116" spans="1:32" ht="15">
      <c r="A1116" s="176"/>
      <c r="B1116" s="145"/>
      <c r="C1116" s="169"/>
      <c r="D1116" s="145"/>
      <c r="E1116" s="145"/>
      <c r="F1116" s="169" t="e">
        <v>#VALUE!</v>
      </c>
      <c r="G1116" s="145"/>
      <c r="H1116" s="145"/>
      <c r="I1116" s="145"/>
      <c r="J1116" s="145"/>
      <c r="K1116" s="145"/>
      <c r="L1116" s="145"/>
      <c r="M1116" s="145"/>
      <c r="N1116" s="145"/>
      <c r="O1116" s="174"/>
      <c r="P1116" s="174"/>
      <c r="Q1116" s="158" t="str">
        <v/>
      </c>
      <c r="R1116" s="158" t="str">
        <v/>
      </c>
      <c r="S1116" s="158" t="str">
        <v/>
      </c>
      <c r="T1116" s="158" t="str">
        <v/>
      </c>
      <c r="U1116" s="158" t="str">
        <v/>
      </c>
      <c r="V1116" s="158" t="str">
        <v/>
      </c>
      <c r="W1116" s="158" t="str">
        <v/>
      </c>
      <c r="X1116" s="158" t="str">
        <v/>
      </c>
      <c r="Y1116" s="158" t="str">
        <v/>
      </c>
      <c r="Z1116" s="158" t="str">
        <v/>
      </c>
      <c r="AA1116" s="158" t="e">
        <v>#VALUE!</v>
      </c>
      <c r="AB1116" s="171" t="str">
        <v/>
      </c>
      <c r="AC1116" s="158">
        <v>0</v>
      </c>
      <c r="AD1116" s="173" t="str">
        <f ca="1">IFERROR(__xludf.DUMMYFUNCTION("""COMPUTED_VALUE"""),"")</f>
        <v/>
      </c>
      <c r="AE1116" s="154" t="str">
        <v/>
      </c>
      <c r="AF1116" s="154" t="str">
        <v/>
      </c>
    </row>
    <row r="1117" spans="1:32" ht="15">
      <c r="A1117" s="176"/>
      <c r="B1117" s="145"/>
      <c r="C1117" s="169"/>
      <c r="D1117" s="145"/>
      <c r="E1117" s="145"/>
      <c r="F1117" s="169" t="e">
        <v>#VALUE!</v>
      </c>
      <c r="G1117" s="145"/>
      <c r="H1117" s="145"/>
      <c r="I1117" s="145"/>
      <c r="J1117" s="145"/>
      <c r="K1117" s="145"/>
      <c r="L1117" s="145"/>
      <c r="M1117" s="145"/>
      <c r="N1117" s="145"/>
      <c r="O1117" s="174"/>
      <c r="P1117" s="174"/>
      <c r="Q1117" s="158" t="str">
        <v/>
      </c>
      <c r="R1117" s="158" t="str">
        <v/>
      </c>
      <c r="S1117" s="158" t="str">
        <v/>
      </c>
      <c r="T1117" s="158" t="str">
        <v/>
      </c>
      <c r="U1117" s="158" t="str">
        <v/>
      </c>
      <c r="V1117" s="158" t="str">
        <v/>
      </c>
      <c r="W1117" s="158" t="str">
        <v/>
      </c>
      <c r="X1117" s="158" t="str">
        <v/>
      </c>
      <c r="Y1117" s="158" t="str">
        <v/>
      </c>
      <c r="Z1117" s="158" t="str">
        <v/>
      </c>
      <c r="AA1117" s="158" t="e">
        <v>#VALUE!</v>
      </c>
      <c r="AB1117" s="171" t="str">
        <v/>
      </c>
      <c r="AC1117" s="158">
        <v>0</v>
      </c>
      <c r="AD1117" s="173" t="str">
        <f ca="1">IFERROR(__xludf.DUMMYFUNCTION("""COMPUTED_VALUE"""),"")</f>
        <v/>
      </c>
      <c r="AE1117" s="154" t="str">
        <v/>
      </c>
      <c r="AF1117" s="154" t="str">
        <v/>
      </c>
    </row>
    <row r="1118" spans="1:32" ht="15">
      <c r="A1118" s="176"/>
      <c r="B1118" s="145"/>
      <c r="C1118" s="169"/>
      <c r="D1118" s="145"/>
      <c r="E1118" s="145"/>
      <c r="F1118" s="169" t="e">
        <v>#VALUE!</v>
      </c>
      <c r="G1118" s="145"/>
      <c r="H1118" s="145"/>
      <c r="I1118" s="145"/>
      <c r="J1118" s="145"/>
      <c r="K1118" s="145"/>
      <c r="L1118" s="145"/>
      <c r="M1118" s="145"/>
      <c r="N1118" s="145"/>
      <c r="O1118" s="174"/>
      <c r="P1118" s="174"/>
      <c r="Q1118" s="158" t="str">
        <v/>
      </c>
      <c r="R1118" s="158" t="str">
        <v/>
      </c>
      <c r="S1118" s="158" t="str">
        <v/>
      </c>
      <c r="T1118" s="158" t="str">
        <v/>
      </c>
      <c r="U1118" s="158" t="str">
        <v/>
      </c>
      <c r="V1118" s="158" t="str">
        <v/>
      </c>
      <c r="W1118" s="158" t="str">
        <v/>
      </c>
      <c r="X1118" s="158" t="str">
        <v/>
      </c>
      <c r="Y1118" s="158" t="str">
        <v/>
      </c>
      <c r="Z1118" s="158" t="str">
        <v/>
      </c>
      <c r="AA1118" s="158" t="e">
        <v>#VALUE!</v>
      </c>
      <c r="AB1118" s="171" t="str">
        <v/>
      </c>
      <c r="AC1118" s="158">
        <v>0</v>
      </c>
      <c r="AD1118" s="173" t="str">
        <f ca="1">IFERROR(__xludf.DUMMYFUNCTION("""COMPUTED_VALUE"""),"")</f>
        <v/>
      </c>
      <c r="AE1118" s="154" t="str">
        <v/>
      </c>
      <c r="AF1118" s="154" t="str">
        <v/>
      </c>
    </row>
    <row r="1119" spans="1:32" ht="15">
      <c r="A1119" s="176"/>
      <c r="B1119" s="145"/>
      <c r="C1119" s="169"/>
      <c r="D1119" s="145"/>
      <c r="E1119" s="145"/>
      <c r="F1119" s="169" t="e">
        <v>#VALUE!</v>
      </c>
      <c r="G1119" s="145"/>
      <c r="H1119" s="145"/>
      <c r="I1119" s="145"/>
      <c r="J1119" s="145"/>
      <c r="K1119" s="145"/>
      <c r="L1119" s="145"/>
      <c r="M1119" s="145"/>
      <c r="N1119" s="145"/>
      <c r="O1119" s="174"/>
      <c r="P1119" s="174"/>
      <c r="Q1119" s="158" t="str">
        <v/>
      </c>
      <c r="R1119" s="158" t="str">
        <v/>
      </c>
      <c r="S1119" s="158" t="str">
        <v/>
      </c>
      <c r="T1119" s="158" t="str">
        <v/>
      </c>
      <c r="U1119" s="158" t="str">
        <v/>
      </c>
      <c r="V1119" s="158" t="str">
        <v/>
      </c>
      <c r="W1119" s="158" t="str">
        <v/>
      </c>
      <c r="X1119" s="158" t="str">
        <v/>
      </c>
      <c r="Y1119" s="158" t="str">
        <v/>
      </c>
      <c r="Z1119" s="158" t="str">
        <v/>
      </c>
      <c r="AA1119" s="158" t="e">
        <v>#VALUE!</v>
      </c>
      <c r="AB1119" s="171" t="str">
        <v/>
      </c>
      <c r="AC1119" s="158">
        <v>0</v>
      </c>
      <c r="AD1119" s="173" t="str">
        <f ca="1">IFERROR(__xludf.DUMMYFUNCTION("""COMPUTED_VALUE"""),"")</f>
        <v/>
      </c>
      <c r="AE1119" s="154" t="str">
        <v/>
      </c>
      <c r="AF1119" s="154" t="str">
        <v/>
      </c>
    </row>
    <row r="1120" spans="1:32" ht="15">
      <c r="A1120" s="176"/>
      <c r="B1120" s="145"/>
      <c r="C1120" s="169"/>
      <c r="D1120" s="145"/>
      <c r="E1120" s="145"/>
      <c r="F1120" s="169" t="e">
        <v>#VALUE!</v>
      </c>
      <c r="G1120" s="145"/>
      <c r="H1120" s="145"/>
      <c r="I1120" s="145"/>
      <c r="J1120" s="145"/>
      <c r="K1120" s="145"/>
      <c r="L1120" s="145"/>
      <c r="M1120" s="145"/>
      <c r="N1120" s="145"/>
      <c r="O1120" s="174"/>
      <c r="P1120" s="174"/>
      <c r="Q1120" s="158" t="str">
        <v/>
      </c>
      <c r="R1120" s="158" t="str">
        <v/>
      </c>
      <c r="S1120" s="158" t="str">
        <v/>
      </c>
      <c r="T1120" s="158" t="str">
        <v/>
      </c>
      <c r="U1120" s="158" t="str">
        <v/>
      </c>
      <c r="V1120" s="158" t="str">
        <v/>
      </c>
      <c r="W1120" s="158" t="str">
        <v/>
      </c>
      <c r="X1120" s="158" t="str">
        <v/>
      </c>
      <c r="Y1120" s="158" t="str">
        <v/>
      </c>
      <c r="Z1120" s="158" t="str">
        <v/>
      </c>
      <c r="AA1120" s="158" t="e">
        <v>#VALUE!</v>
      </c>
      <c r="AB1120" s="171" t="str">
        <v/>
      </c>
      <c r="AC1120" s="158">
        <v>0</v>
      </c>
      <c r="AD1120" s="173" t="str">
        <f ca="1">IFERROR(__xludf.DUMMYFUNCTION("""COMPUTED_VALUE"""),"")</f>
        <v/>
      </c>
      <c r="AE1120" s="154" t="str">
        <v/>
      </c>
      <c r="AF1120" s="154" t="str">
        <v/>
      </c>
    </row>
    <row r="1121" spans="1:32" ht="15">
      <c r="A1121" s="176"/>
      <c r="B1121" s="145"/>
      <c r="C1121" s="169"/>
      <c r="D1121" s="145"/>
      <c r="E1121" s="145"/>
      <c r="F1121" s="169" t="e">
        <v>#VALUE!</v>
      </c>
      <c r="G1121" s="145"/>
      <c r="H1121" s="145"/>
      <c r="I1121" s="145"/>
      <c r="J1121" s="145"/>
      <c r="K1121" s="145"/>
      <c r="L1121" s="145"/>
      <c r="M1121" s="145"/>
      <c r="N1121" s="145"/>
      <c r="O1121" s="174"/>
      <c r="P1121" s="174"/>
      <c r="Q1121" s="158" t="str">
        <v/>
      </c>
      <c r="R1121" s="158" t="str">
        <v/>
      </c>
      <c r="S1121" s="158" t="str">
        <v/>
      </c>
      <c r="T1121" s="158" t="str">
        <v/>
      </c>
      <c r="U1121" s="158" t="str">
        <v/>
      </c>
      <c r="V1121" s="158" t="str">
        <v/>
      </c>
      <c r="W1121" s="158" t="str">
        <v/>
      </c>
      <c r="X1121" s="158" t="str">
        <v/>
      </c>
      <c r="Y1121" s="158" t="str">
        <v/>
      </c>
      <c r="Z1121" s="158" t="str">
        <v/>
      </c>
      <c r="AA1121" s="158" t="e">
        <v>#VALUE!</v>
      </c>
      <c r="AB1121" s="171" t="str">
        <v/>
      </c>
      <c r="AC1121" s="158">
        <v>0</v>
      </c>
      <c r="AD1121" s="173" t="str">
        <f ca="1">IFERROR(__xludf.DUMMYFUNCTION("""COMPUTED_VALUE"""),"")</f>
        <v/>
      </c>
      <c r="AE1121" s="154" t="str">
        <v/>
      </c>
      <c r="AF1121" s="154" t="str">
        <v/>
      </c>
    </row>
    <row r="1122" spans="1:32" ht="15">
      <c r="A1122" s="176"/>
      <c r="B1122" s="145"/>
      <c r="C1122" s="169"/>
      <c r="D1122" s="145"/>
      <c r="E1122" s="145"/>
      <c r="F1122" s="169" t="e">
        <v>#VALUE!</v>
      </c>
      <c r="G1122" s="145"/>
      <c r="H1122" s="145"/>
      <c r="I1122" s="145"/>
      <c r="J1122" s="145"/>
      <c r="K1122" s="145"/>
      <c r="L1122" s="145"/>
      <c r="M1122" s="145"/>
      <c r="N1122" s="145"/>
      <c r="O1122" s="174"/>
      <c r="P1122" s="174"/>
      <c r="Q1122" s="158" t="str">
        <v/>
      </c>
      <c r="R1122" s="158" t="str">
        <v/>
      </c>
      <c r="S1122" s="158" t="str">
        <v/>
      </c>
      <c r="T1122" s="158" t="str">
        <v/>
      </c>
      <c r="U1122" s="158" t="str">
        <v/>
      </c>
      <c r="V1122" s="158" t="str">
        <v/>
      </c>
      <c r="W1122" s="158" t="str">
        <v/>
      </c>
      <c r="X1122" s="158" t="str">
        <v/>
      </c>
      <c r="Y1122" s="158" t="str">
        <v/>
      </c>
      <c r="Z1122" s="158" t="str">
        <v/>
      </c>
      <c r="AA1122" s="158" t="e">
        <v>#VALUE!</v>
      </c>
      <c r="AB1122" s="171" t="str">
        <v/>
      </c>
      <c r="AC1122" s="158">
        <v>0</v>
      </c>
      <c r="AD1122" s="173" t="str">
        <f ca="1">IFERROR(__xludf.DUMMYFUNCTION("""COMPUTED_VALUE"""),"")</f>
        <v/>
      </c>
      <c r="AE1122" s="154" t="str">
        <v/>
      </c>
      <c r="AF1122" s="154" t="str">
        <v/>
      </c>
    </row>
    <row r="1123" spans="1:32" ht="15">
      <c r="A1123" s="176"/>
      <c r="B1123" s="145"/>
      <c r="C1123" s="169"/>
      <c r="D1123" s="145"/>
      <c r="E1123" s="145"/>
      <c r="F1123" s="169" t="e">
        <v>#VALUE!</v>
      </c>
      <c r="G1123" s="145"/>
      <c r="H1123" s="145"/>
      <c r="I1123" s="145"/>
      <c r="J1123" s="145"/>
      <c r="K1123" s="145"/>
      <c r="L1123" s="145"/>
      <c r="M1123" s="145"/>
      <c r="N1123" s="145"/>
      <c r="O1123" s="174"/>
      <c r="P1123" s="174"/>
      <c r="Q1123" s="158" t="str">
        <v/>
      </c>
      <c r="R1123" s="158" t="str">
        <v/>
      </c>
      <c r="S1123" s="158" t="str">
        <v/>
      </c>
      <c r="T1123" s="158" t="str">
        <v/>
      </c>
      <c r="U1123" s="158" t="str">
        <v/>
      </c>
      <c r="V1123" s="158" t="str">
        <v/>
      </c>
      <c r="W1123" s="158" t="str">
        <v/>
      </c>
      <c r="X1123" s="158" t="str">
        <v/>
      </c>
      <c r="Y1123" s="158" t="str">
        <v/>
      </c>
      <c r="Z1123" s="158" t="str">
        <v/>
      </c>
      <c r="AA1123" s="158" t="e">
        <v>#VALUE!</v>
      </c>
      <c r="AB1123" s="171" t="str">
        <v/>
      </c>
      <c r="AC1123" s="158">
        <v>0</v>
      </c>
      <c r="AD1123" s="173" t="str">
        <f ca="1">IFERROR(__xludf.DUMMYFUNCTION("""COMPUTED_VALUE"""),"")</f>
        <v/>
      </c>
      <c r="AE1123" s="154" t="str">
        <v/>
      </c>
      <c r="AF1123" s="154" t="str">
        <v/>
      </c>
    </row>
    <row r="1124" spans="1:32" ht="15">
      <c r="A1124" s="176"/>
      <c r="B1124" s="145"/>
      <c r="C1124" s="169"/>
      <c r="D1124" s="145"/>
      <c r="E1124" s="145"/>
      <c r="F1124" s="169" t="e">
        <v>#VALUE!</v>
      </c>
      <c r="G1124" s="145"/>
      <c r="H1124" s="145"/>
      <c r="I1124" s="145"/>
      <c r="J1124" s="145"/>
      <c r="K1124" s="145"/>
      <c r="L1124" s="145"/>
      <c r="M1124" s="145"/>
      <c r="N1124" s="145"/>
      <c r="O1124" s="174"/>
      <c r="P1124" s="174"/>
      <c r="Q1124" s="158" t="str">
        <v/>
      </c>
      <c r="R1124" s="158" t="str">
        <v/>
      </c>
      <c r="S1124" s="158" t="str">
        <v/>
      </c>
      <c r="T1124" s="158" t="str">
        <v/>
      </c>
      <c r="U1124" s="158" t="str">
        <v/>
      </c>
      <c r="V1124" s="158" t="str">
        <v/>
      </c>
      <c r="W1124" s="158" t="str">
        <v/>
      </c>
      <c r="X1124" s="158" t="str">
        <v/>
      </c>
      <c r="Y1124" s="158" t="str">
        <v/>
      </c>
      <c r="Z1124" s="158" t="str">
        <v/>
      </c>
      <c r="AA1124" s="158" t="e">
        <v>#VALUE!</v>
      </c>
      <c r="AB1124" s="171" t="str">
        <v/>
      </c>
      <c r="AC1124" s="158">
        <v>0</v>
      </c>
      <c r="AD1124" s="173" t="str">
        <f ca="1">IFERROR(__xludf.DUMMYFUNCTION("""COMPUTED_VALUE"""),"")</f>
        <v/>
      </c>
      <c r="AE1124" s="154" t="str">
        <v/>
      </c>
      <c r="AF1124" s="154" t="str">
        <v/>
      </c>
    </row>
    <row r="1125" spans="1:32" ht="15">
      <c r="A1125" s="176"/>
      <c r="B1125" s="145"/>
      <c r="C1125" s="169"/>
      <c r="D1125" s="145"/>
      <c r="E1125" s="145"/>
      <c r="F1125" s="169" t="e">
        <v>#VALUE!</v>
      </c>
      <c r="G1125" s="145"/>
      <c r="H1125" s="145"/>
      <c r="I1125" s="145"/>
      <c r="J1125" s="145"/>
      <c r="K1125" s="145"/>
      <c r="L1125" s="145"/>
      <c r="M1125" s="145"/>
      <c r="N1125" s="145"/>
      <c r="O1125" s="174"/>
      <c r="P1125" s="174"/>
      <c r="Q1125" s="158" t="str">
        <v/>
      </c>
      <c r="R1125" s="158" t="str">
        <v/>
      </c>
      <c r="S1125" s="158" t="str">
        <v/>
      </c>
      <c r="T1125" s="158" t="str">
        <v/>
      </c>
      <c r="U1125" s="158" t="str">
        <v/>
      </c>
      <c r="V1125" s="158" t="str">
        <v/>
      </c>
      <c r="W1125" s="158" t="str">
        <v/>
      </c>
      <c r="X1125" s="158" t="str">
        <v/>
      </c>
      <c r="Y1125" s="158" t="str">
        <v/>
      </c>
      <c r="Z1125" s="158" t="str">
        <v/>
      </c>
      <c r="AA1125" s="158" t="e">
        <v>#VALUE!</v>
      </c>
      <c r="AB1125" s="171" t="str">
        <v/>
      </c>
      <c r="AC1125" s="158">
        <v>0</v>
      </c>
      <c r="AD1125" s="173" t="str">
        <f ca="1">IFERROR(__xludf.DUMMYFUNCTION("""COMPUTED_VALUE"""),"")</f>
        <v/>
      </c>
      <c r="AE1125" s="154" t="str">
        <v/>
      </c>
      <c r="AF1125" s="154" t="str">
        <v/>
      </c>
    </row>
    <row r="1126" spans="1:32" ht="15">
      <c r="A1126" s="176"/>
      <c r="B1126" s="145"/>
      <c r="C1126" s="169"/>
      <c r="D1126" s="145"/>
      <c r="E1126" s="145"/>
      <c r="F1126" s="169" t="e">
        <v>#VALUE!</v>
      </c>
      <c r="G1126" s="145"/>
      <c r="H1126" s="145"/>
      <c r="I1126" s="145"/>
      <c r="J1126" s="145"/>
      <c r="K1126" s="145"/>
      <c r="L1126" s="145"/>
      <c r="M1126" s="145"/>
      <c r="N1126" s="145"/>
      <c r="O1126" s="174"/>
      <c r="P1126" s="174"/>
      <c r="Q1126" s="158" t="str">
        <v/>
      </c>
      <c r="R1126" s="158" t="str">
        <v/>
      </c>
      <c r="S1126" s="158" t="str">
        <v/>
      </c>
      <c r="T1126" s="158" t="str">
        <v/>
      </c>
      <c r="U1126" s="158" t="str">
        <v/>
      </c>
      <c r="V1126" s="158" t="str">
        <v/>
      </c>
      <c r="W1126" s="158" t="str">
        <v/>
      </c>
      <c r="X1126" s="158" t="str">
        <v/>
      </c>
      <c r="Y1126" s="158" t="str">
        <v/>
      </c>
      <c r="Z1126" s="158" t="str">
        <v/>
      </c>
      <c r="AA1126" s="158" t="e">
        <v>#VALUE!</v>
      </c>
      <c r="AB1126" s="171" t="str">
        <v/>
      </c>
      <c r="AC1126" s="158">
        <v>0</v>
      </c>
      <c r="AD1126" s="173" t="str">
        <f ca="1">IFERROR(__xludf.DUMMYFUNCTION("""COMPUTED_VALUE"""),"")</f>
        <v/>
      </c>
      <c r="AE1126" s="154" t="str">
        <v/>
      </c>
      <c r="AF1126" s="154" t="str">
        <v/>
      </c>
    </row>
    <row r="1127" spans="1:32" ht="15">
      <c r="A1127" s="176"/>
      <c r="B1127" s="145"/>
      <c r="C1127" s="169"/>
      <c r="D1127" s="145"/>
      <c r="E1127" s="145"/>
      <c r="F1127" s="169" t="e">
        <v>#VALUE!</v>
      </c>
      <c r="G1127" s="145"/>
      <c r="H1127" s="145"/>
      <c r="I1127" s="145"/>
      <c r="J1127" s="145"/>
      <c r="K1127" s="145"/>
      <c r="L1127" s="145"/>
      <c r="M1127" s="145"/>
      <c r="N1127" s="145"/>
      <c r="O1127" s="174"/>
      <c r="P1127" s="174"/>
      <c r="Q1127" s="158" t="str">
        <v/>
      </c>
      <c r="R1127" s="158" t="str">
        <v/>
      </c>
      <c r="S1127" s="158" t="str">
        <v/>
      </c>
      <c r="T1127" s="158" t="str">
        <v/>
      </c>
      <c r="U1127" s="158" t="str">
        <v/>
      </c>
      <c r="V1127" s="158" t="str">
        <v/>
      </c>
      <c r="W1127" s="158" t="str">
        <v/>
      </c>
      <c r="X1127" s="158" t="str">
        <v/>
      </c>
      <c r="Y1127" s="158" t="str">
        <v/>
      </c>
      <c r="Z1127" s="158" t="str">
        <v/>
      </c>
      <c r="AA1127" s="158" t="e">
        <v>#VALUE!</v>
      </c>
      <c r="AB1127" s="171" t="str">
        <v/>
      </c>
      <c r="AC1127" s="158">
        <v>0</v>
      </c>
      <c r="AD1127" s="173" t="str">
        <f ca="1">IFERROR(__xludf.DUMMYFUNCTION("""COMPUTED_VALUE"""),"")</f>
        <v/>
      </c>
      <c r="AE1127" s="154" t="str">
        <v/>
      </c>
      <c r="AF1127" s="154" t="str">
        <v/>
      </c>
    </row>
    <row r="1128" spans="1:32" ht="15">
      <c r="A1128" s="176"/>
      <c r="B1128" s="145"/>
      <c r="C1128" s="169"/>
      <c r="D1128" s="145"/>
      <c r="E1128" s="145"/>
      <c r="F1128" s="169" t="e">
        <v>#VALUE!</v>
      </c>
      <c r="G1128" s="145"/>
      <c r="H1128" s="145"/>
      <c r="I1128" s="145"/>
      <c r="J1128" s="145"/>
      <c r="K1128" s="145"/>
      <c r="L1128" s="145"/>
      <c r="M1128" s="145"/>
      <c r="N1128" s="145"/>
      <c r="O1128" s="174"/>
      <c r="P1128" s="174"/>
      <c r="Q1128" s="158" t="str">
        <v/>
      </c>
      <c r="R1128" s="158" t="str">
        <v/>
      </c>
      <c r="S1128" s="158" t="str">
        <v/>
      </c>
      <c r="T1128" s="158" t="str">
        <v/>
      </c>
      <c r="U1128" s="158" t="str">
        <v/>
      </c>
      <c r="V1128" s="158" t="str">
        <v/>
      </c>
      <c r="W1128" s="158" t="str">
        <v/>
      </c>
      <c r="X1128" s="158" t="str">
        <v/>
      </c>
      <c r="Y1128" s="158" t="str">
        <v/>
      </c>
      <c r="Z1128" s="158" t="str">
        <v/>
      </c>
      <c r="AA1128" s="158" t="e">
        <v>#VALUE!</v>
      </c>
      <c r="AB1128" s="171" t="str">
        <v/>
      </c>
      <c r="AC1128" s="158">
        <v>0</v>
      </c>
      <c r="AD1128" s="173" t="str">
        <f ca="1">IFERROR(__xludf.DUMMYFUNCTION("""COMPUTED_VALUE"""),"")</f>
        <v/>
      </c>
      <c r="AE1128" s="154" t="str">
        <v/>
      </c>
      <c r="AF1128" s="154" t="str">
        <v/>
      </c>
    </row>
    <row r="1129" spans="1:32" ht="15">
      <c r="A1129" s="176"/>
      <c r="B1129" s="145"/>
      <c r="C1129" s="169"/>
      <c r="D1129" s="145"/>
      <c r="E1129" s="145"/>
      <c r="F1129" s="169" t="e">
        <v>#VALUE!</v>
      </c>
      <c r="G1129" s="145"/>
      <c r="H1129" s="145"/>
      <c r="I1129" s="145"/>
      <c r="J1129" s="145"/>
      <c r="K1129" s="145"/>
      <c r="L1129" s="145"/>
      <c r="M1129" s="145"/>
      <c r="N1129" s="145"/>
      <c r="O1129" s="174"/>
      <c r="P1129" s="174"/>
      <c r="Q1129" s="158" t="str">
        <v/>
      </c>
      <c r="R1129" s="158" t="str">
        <v/>
      </c>
      <c r="S1129" s="158" t="str">
        <v/>
      </c>
      <c r="T1129" s="158" t="str">
        <v/>
      </c>
      <c r="U1129" s="158" t="str">
        <v/>
      </c>
      <c r="V1129" s="158" t="str">
        <v/>
      </c>
      <c r="W1129" s="158" t="str">
        <v/>
      </c>
      <c r="X1129" s="158" t="str">
        <v/>
      </c>
      <c r="Y1129" s="158" t="str">
        <v/>
      </c>
      <c r="Z1129" s="158" t="str">
        <v/>
      </c>
      <c r="AA1129" s="158" t="e">
        <v>#VALUE!</v>
      </c>
      <c r="AB1129" s="171" t="str">
        <v/>
      </c>
      <c r="AC1129" s="158">
        <v>0</v>
      </c>
      <c r="AD1129" s="173" t="str">
        <f ca="1">IFERROR(__xludf.DUMMYFUNCTION("""COMPUTED_VALUE"""),"")</f>
        <v/>
      </c>
      <c r="AE1129" s="154" t="str">
        <v/>
      </c>
      <c r="AF1129" s="154" t="str">
        <v/>
      </c>
    </row>
    <row r="1130" spans="1:32" ht="15">
      <c r="A1130" s="176"/>
      <c r="B1130" s="145"/>
      <c r="C1130" s="169"/>
      <c r="D1130" s="145"/>
      <c r="E1130" s="145"/>
      <c r="F1130" s="169" t="e">
        <v>#VALUE!</v>
      </c>
      <c r="G1130" s="145"/>
      <c r="H1130" s="145"/>
      <c r="I1130" s="145"/>
      <c r="J1130" s="145"/>
      <c r="K1130" s="145"/>
      <c r="L1130" s="145"/>
      <c r="M1130" s="145"/>
      <c r="N1130" s="145"/>
      <c r="O1130" s="174"/>
      <c r="P1130" s="174"/>
      <c r="Q1130" s="158" t="str">
        <v/>
      </c>
      <c r="R1130" s="158" t="str">
        <v/>
      </c>
      <c r="S1130" s="158" t="str">
        <v/>
      </c>
      <c r="T1130" s="158" t="str">
        <v/>
      </c>
      <c r="U1130" s="158" t="str">
        <v/>
      </c>
      <c r="V1130" s="158" t="str">
        <v/>
      </c>
      <c r="W1130" s="158" t="str">
        <v/>
      </c>
      <c r="X1130" s="158" t="str">
        <v/>
      </c>
      <c r="Y1130" s="158" t="str">
        <v/>
      </c>
      <c r="Z1130" s="158" t="str">
        <v/>
      </c>
      <c r="AA1130" s="158" t="e">
        <v>#VALUE!</v>
      </c>
      <c r="AB1130" s="171" t="str">
        <v/>
      </c>
      <c r="AC1130" s="158">
        <v>0</v>
      </c>
      <c r="AD1130" s="173" t="str">
        <f ca="1">IFERROR(__xludf.DUMMYFUNCTION("""COMPUTED_VALUE"""),"")</f>
        <v/>
      </c>
      <c r="AE1130" s="154" t="str">
        <v/>
      </c>
      <c r="AF1130" s="154" t="str">
        <v/>
      </c>
    </row>
    <row r="1131" spans="1:32" ht="15">
      <c r="A1131" s="176"/>
      <c r="B1131" s="145"/>
      <c r="C1131" s="169"/>
      <c r="D1131" s="145"/>
      <c r="E1131" s="145"/>
      <c r="F1131" s="169" t="e">
        <v>#VALUE!</v>
      </c>
      <c r="G1131" s="145"/>
      <c r="H1131" s="145"/>
      <c r="I1131" s="145"/>
      <c r="J1131" s="145"/>
      <c r="K1131" s="145"/>
      <c r="L1131" s="145"/>
      <c r="M1131" s="145"/>
      <c r="N1131" s="145"/>
      <c r="O1131" s="174"/>
      <c r="P1131" s="174"/>
      <c r="Q1131" s="158" t="str">
        <v/>
      </c>
      <c r="R1131" s="158" t="str">
        <v/>
      </c>
      <c r="S1131" s="158" t="str">
        <v/>
      </c>
      <c r="T1131" s="158" t="str">
        <v/>
      </c>
      <c r="U1131" s="158" t="str">
        <v/>
      </c>
      <c r="V1131" s="158" t="str">
        <v/>
      </c>
      <c r="W1131" s="158" t="str">
        <v/>
      </c>
      <c r="X1131" s="158" t="str">
        <v/>
      </c>
      <c r="Y1131" s="158" t="str">
        <v/>
      </c>
      <c r="Z1131" s="158" t="str">
        <v/>
      </c>
      <c r="AA1131" s="158" t="e">
        <v>#VALUE!</v>
      </c>
      <c r="AB1131" s="171" t="str">
        <v/>
      </c>
      <c r="AC1131" s="158">
        <v>0</v>
      </c>
      <c r="AD1131" s="173" t="str">
        <f ca="1">IFERROR(__xludf.DUMMYFUNCTION("""COMPUTED_VALUE"""),"")</f>
        <v/>
      </c>
      <c r="AE1131" s="154" t="str">
        <v/>
      </c>
      <c r="AF1131" s="154" t="str">
        <v/>
      </c>
    </row>
    <row r="1132" spans="1:32" ht="15">
      <c r="A1132" s="176"/>
      <c r="B1132" s="145"/>
      <c r="C1132" s="169"/>
      <c r="D1132" s="145"/>
      <c r="E1132" s="145"/>
      <c r="F1132" s="169" t="e">
        <v>#VALUE!</v>
      </c>
      <c r="G1132" s="145"/>
      <c r="H1132" s="145"/>
      <c r="I1132" s="145"/>
      <c r="J1132" s="145"/>
      <c r="K1132" s="145"/>
      <c r="L1132" s="145"/>
      <c r="M1132" s="145"/>
      <c r="N1132" s="145"/>
      <c r="O1132" s="174"/>
      <c r="P1132" s="174"/>
      <c r="Q1132" s="158" t="str">
        <v/>
      </c>
      <c r="R1132" s="158" t="str">
        <v/>
      </c>
      <c r="S1132" s="158" t="str">
        <v/>
      </c>
      <c r="T1132" s="158" t="str">
        <v/>
      </c>
      <c r="U1132" s="158" t="str">
        <v/>
      </c>
      <c r="V1132" s="158" t="str">
        <v/>
      </c>
      <c r="W1132" s="158" t="str">
        <v/>
      </c>
      <c r="X1132" s="158" t="str">
        <v/>
      </c>
      <c r="Y1132" s="158" t="str">
        <v/>
      </c>
      <c r="Z1132" s="158" t="str">
        <v/>
      </c>
      <c r="AA1132" s="158" t="e">
        <v>#VALUE!</v>
      </c>
      <c r="AB1132" s="171" t="str">
        <v/>
      </c>
      <c r="AC1132" s="158">
        <v>0</v>
      </c>
      <c r="AD1132" s="173" t="str">
        <f ca="1">IFERROR(__xludf.DUMMYFUNCTION("""COMPUTED_VALUE"""),"")</f>
        <v/>
      </c>
      <c r="AE1132" s="154" t="str">
        <v/>
      </c>
      <c r="AF1132" s="154" t="str">
        <v/>
      </c>
    </row>
    <row r="1133" spans="1:32" ht="15">
      <c r="A1133" s="176"/>
      <c r="B1133" s="145"/>
      <c r="C1133" s="169"/>
      <c r="D1133" s="145"/>
      <c r="E1133" s="145"/>
      <c r="F1133" s="169" t="e">
        <v>#VALUE!</v>
      </c>
      <c r="G1133" s="145"/>
      <c r="H1133" s="145"/>
      <c r="I1133" s="145"/>
      <c r="J1133" s="145"/>
      <c r="K1133" s="145"/>
      <c r="L1133" s="145"/>
      <c r="M1133" s="145"/>
      <c r="N1133" s="145"/>
      <c r="O1133" s="174"/>
      <c r="P1133" s="174"/>
      <c r="Q1133" s="158" t="str">
        <v/>
      </c>
      <c r="R1133" s="158" t="str">
        <v/>
      </c>
      <c r="S1133" s="158" t="str">
        <v/>
      </c>
      <c r="T1133" s="158" t="str">
        <v/>
      </c>
      <c r="U1133" s="158" t="str">
        <v/>
      </c>
      <c r="V1133" s="158" t="str">
        <v/>
      </c>
      <c r="W1133" s="158" t="str">
        <v/>
      </c>
      <c r="X1133" s="158" t="str">
        <v/>
      </c>
      <c r="Y1133" s="158" t="str">
        <v/>
      </c>
      <c r="Z1133" s="158" t="str">
        <v/>
      </c>
      <c r="AA1133" s="158" t="e">
        <v>#VALUE!</v>
      </c>
      <c r="AB1133" s="171" t="str">
        <v/>
      </c>
      <c r="AC1133" s="158">
        <v>0</v>
      </c>
      <c r="AD1133" s="173" t="str">
        <f ca="1">IFERROR(__xludf.DUMMYFUNCTION("""COMPUTED_VALUE"""),"")</f>
        <v/>
      </c>
      <c r="AE1133" s="154" t="str">
        <v/>
      </c>
      <c r="AF1133" s="154" t="str">
        <v/>
      </c>
    </row>
    <row r="1134" spans="1:32" ht="15">
      <c r="A1134" s="176"/>
      <c r="B1134" s="145"/>
      <c r="C1134" s="169"/>
      <c r="D1134" s="145"/>
      <c r="E1134" s="145"/>
      <c r="F1134" s="169" t="e">
        <v>#VALUE!</v>
      </c>
      <c r="G1134" s="145"/>
      <c r="H1134" s="145"/>
      <c r="I1134" s="145"/>
      <c r="J1134" s="145"/>
      <c r="K1134" s="145"/>
      <c r="L1134" s="145"/>
      <c r="M1134" s="145"/>
      <c r="N1134" s="145"/>
      <c r="O1134" s="174"/>
      <c r="P1134" s="174"/>
      <c r="Q1134" s="158" t="str">
        <v/>
      </c>
      <c r="R1134" s="158" t="str">
        <v/>
      </c>
      <c r="S1134" s="158" t="str">
        <v/>
      </c>
      <c r="T1134" s="158" t="str">
        <v/>
      </c>
      <c r="U1134" s="158" t="str">
        <v/>
      </c>
      <c r="V1134" s="158" t="str">
        <v/>
      </c>
      <c r="W1134" s="158" t="str">
        <v/>
      </c>
      <c r="X1134" s="158" t="str">
        <v/>
      </c>
      <c r="Y1134" s="158" t="str">
        <v/>
      </c>
      <c r="Z1134" s="158" t="str">
        <v/>
      </c>
      <c r="AA1134" s="158" t="e">
        <v>#VALUE!</v>
      </c>
      <c r="AB1134" s="171" t="str">
        <v/>
      </c>
      <c r="AC1134" s="158">
        <v>0</v>
      </c>
      <c r="AD1134" s="173" t="str">
        <f ca="1">IFERROR(__xludf.DUMMYFUNCTION("""COMPUTED_VALUE"""),"")</f>
        <v/>
      </c>
      <c r="AE1134" s="154" t="str">
        <v/>
      </c>
      <c r="AF1134" s="154" t="str">
        <v/>
      </c>
    </row>
    <row r="1135" spans="1:32" ht="15">
      <c r="A1135" s="176"/>
      <c r="B1135" s="145"/>
      <c r="C1135" s="169"/>
      <c r="D1135" s="145"/>
      <c r="E1135" s="145"/>
      <c r="F1135" s="169" t="e">
        <v>#VALUE!</v>
      </c>
      <c r="G1135" s="145"/>
      <c r="H1135" s="145"/>
      <c r="I1135" s="145"/>
      <c r="J1135" s="145"/>
      <c r="K1135" s="145"/>
      <c r="L1135" s="145"/>
      <c r="M1135" s="145"/>
      <c r="N1135" s="145"/>
      <c r="O1135" s="174"/>
      <c r="P1135" s="174"/>
      <c r="Q1135" s="158" t="str">
        <v/>
      </c>
      <c r="R1135" s="158" t="str">
        <v/>
      </c>
      <c r="S1135" s="158" t="str">
        <v/>
      </c>
      <c r="T1135" s="158" t="str">
        <v/>
      </c>
      <c r="U1135" s="158" t="str">
        <v/>
      </c>
      <c r="V1135" s="158" t="str">
        <v/>
      </c>
      <c r="W1135" s="158" t="str">
        <v/>
      </c>
      <c r="X1135" s="158" t="str">
        <v/>
      </c>
      <c r="Y1135" s="158" t="str">
        <v/>
      </c>
      <c r="Z1135" s="158" t="str">
        <v/>
      </c>
      <c r="AA1135" s="158" t="e">
        <v>#VALUE!</v>
      </c>
      <c r="AB1135" s="171" t="str">
        <v/>
      </c>
      <c r="AC1135" s="158">
        <v>0</v>
      </c>
      <c r="AD1135" s="173" t="str">
        <f ca="1">IFERROR(__xludf.DUMMYFUNCTION("""COMPUTED_VALUE"""),"")</f>
        <v/>
      </c>
      <c r="AE1135" s="154" t="str">
        <v/>
      </c>
      <c r="AF1135" s="154" t="str">
        <v/>
      </c>
    </row>
    <row r="1136" spans="1:32" ht="15">
      <c r="A1136" s="176"/>
      <c r="B1136" s="145"/>
      <c r="C1136" s="169"/>
      <c r="D1136" s="145"/>
      <c r="E1136" s="145"/>
      <c r="F1136" s="169" t="e">
        <v>#VALUE!</v>
      </c>
      <c r="G1136" s="145"/>
      <c r="H1136" s="145"/>
      <c r="I1136" s="145"/>
      <c r="J1136" s="145"/>
      <c r="K1136" s="145"/>
      <c r="L1136" s="145"/>
      <c r="M1136" s="145"/>
      <c r="N1136" s="145"/>
      <c r="O1136" s="174"/>
      <c r="P1136" s="174"/>
      <c r="Q1136" s="158" t="str">
        <v/>
      </c>
      <c r="R1136" s="158" t="str">
        <v/>
      </c>
      <c r="S1136" s="158" t="str">
        <v/>
      </c>
      <c r="T1136" s="158" t="str">
        <v/>
      </c>
      <c r="U1136" s="158" t="str">
        <v/>
      </c>
      <c r="V1136" s="158" t="str">
        <v/>
      </c>
      <c r="W1136" s="158" t="str">
        <v/>
      </c>
      <c r="X1136" s="158" t="str">
        <v/>
      </c>
      <c r="Y1136" s="158" t="str">
        <v/>
      </c>
      <c r="Z1136" s="158" t="str">
        <v/>
      </c>
      <c r="AA1136" s="158" t="e">
        <v>#VALUE!</v>
      </c>
      <c r="AB1136" s="171" t="str">
        <v/>
      </c>
      <c r="AC1136" s="158">
        <v>0</v>
      </c>
      <c r="AD1136" s="173" t="str">
        <f ca="1">IFERROR(__xludf.DUMMYFUNCTION("""COMPUTED_VALUE"""),"")</f>
        <v/>
      </c>
      <c r="AE1136" s="154" t="str">
        <v/>
      </c>
      <c r="AF1136" s="154" t="str">
        <v/>
      </c>
    </row>
    <row r="1137" spans="1:32" ht="15">
      <c r="A1137" s="176"/>
      <c r="B1137" s="145"/>
      <c r="C1137" s="169"/>
      <c r="D1137" s="145"/>
      <c r="E1137" s="145"/>
      <c r="F1137" s="169" t="e">
        <v>#VALUE!</v>
      </c>
      <c r="G1137" s="145"/>
      <c r="H1137" s="145"/>
      <c r="I1137" s="145"/>
      <c r="J1137" s="145"/>
      <c r="K1137" s="145"/>
      <c r="L1137" s="145"/>
      <c r="M1137" s="145"/>
      <c r="N1137" s="145"/>
      <c r="O1137" s="174"/>
      <c r="P1137" s="174"/>
      <c r="Q1137" s="158" t="str">
        <v/>
      </c>
      <c r="R1137" s="158" t="str">
        <v/>
      </c>
      <c r="S1137" s="158" t="str">
        <v/>
      </c>
      <c r="T1137" s="158" t="str">
        <v/>
      </c>
      <c r="U1137" s="158" t="str">
        <v/>
      </c>
      <c r="V1137" s="158" t="str">
        <v/>
      </c>
      <c r="W1137" s="158" t="str">
        <v/>
      </c>
      <c r="X1137" s="158" t="str">
        <v/>
      </c>
      <c r="Y1137" s="158" t="str">
        <v/>
      </c>
      <c r="Z1137" s="158" t="str">
        <v/>
      </c>
      <c r="AA1137" s="158" t="e">
        <v>#VALUE!</v>
      </c>
      <c r="AB1137" s="171" t="str">
        <v/>
      </c>
      <c r="AC1137" s="158">
        <v>0</v>
      </c>
      <c r="AD1137" s="173" t="str">
        <f ca="1">IFERROR(__xludf.DUMMYFUNCTION("""COMPUTED_VALUE"""),"")</f>
        <v/>
      </c>
      <c r="AE1137" s="154" t="str">
        <v/>
      </c>
      <c r="AF1137" s="154" t="str">
        <v/>
      </c>
    </row>
    <row r="1138" spans="1:32" ht="15">
      <c r="A1138" s="176"/>
      <c r="B1138" s="145"/>
      <c r="C1138" s="169"/>
      <c r="D1138" s="145"/>
      <c r="E1138" s="145"/>
      <c r="F1138" s="169" t="e">
        <v>#VALUE!</v>
      </c>
      <c r="G1138" s="145"/>
      <c r="H1138" s="145"/>
      <c r="I1138" s="145"/>
      <c r="J1138" s="145"/>
      <c r="K1138" s="145"/>
      <c r="L1138" s="145"/>
      <c r="M1138" s="145"/>
      <c r="N1138" s="145"/>
      <c r="O1138" s="174"/>
      <c r="P1138" s="174"/>
      <c r="Q1138" s="158" t="str">
        <v/>
      </c>
      <c r="R1138" s="158" t="str">
        <v/>
      </c>
      <c r="S1138" s="158" t="str">
        <v/>
      </c>
      <c r="T1138" s="158" t="str">
        <v/>
      </c>
      <c r="U1138" s="158" t="str">
        <v/>
      </c>
      <c r="V1138" s="158" t="str">
        <v/>
      </c>
      <c r="W1138" s="158" t="str">
        <v/>
      </c>
      <c r="X1138" s="158" t="str">
        <v/>
      </c>
      <c r="Y1138" s="158" t="str">
        <v/>
      </c>
      <c r="Z1138" s="158" t="str">
        <v/>
      </c>
      <c r="AA1138" s="158" t="e">
        <v>#VALUE!</v>
      </c>
      <c r="AB1138" s="171" t="str">
        <v/>
      </c>
      <c r="AC1138" s="158">
        <v>0</v>
      </c>
      <c r="AD1138" s="173" t="str">
        <f ca="1">IFERROR(__xludf.DUMMYFUNCTION("""COMPUTED_VALUE"""),"")</f>
        <v/>
      </c>
      <c r="AE1138" s="154" t="str">
        <v/>
      </c>
      <c r="AF1138" s="154" t="str">
        <v/>
      </c>
    </row>
    <row r="1139" spans="1:32" ht="15">
      <c r="A1139" s="176"/>
      <c r="B1139" s="145"/>
      <c r="C1139" s="169"/>
      <c r="D1139" s="145"/>
      <c r="E1139" s="145"/>
      <c r="F1139" s="169" t="e">
        <v>#VALUE!</v>
      </c>
      <c r="G1139" s="145"/>
      <c r="H1139" s="145"/>
      <c r="I1139" s="145"/>
      <c r="J1139" s="145"/>
      <c r="K1139" s="145"/>
      <c r="L1139" s="145"/>
      <c r="M1139" s="145"/>
      <c r="N1139" s="145"/>
      <c r="O1139" s="174"/>
      <c r="P1139" s="174"/>
      <c r="Q1139" s="158" t="str">
        <v/>
      </c>
      <c r="R1139" s="158" t="str">
        <v/>
      </c>
      <c r="S1139" s="158" t="str">
        <v/>
      </c>
      <c r="T1139" s="158" t="str">
        <v/>
      </c>
      <c r="U1139" s="158" t="str">
        <v/>
      </c>
      <c r="V1139" s="158" t="str">
        <v/>
      </c>
      <c r="W1139" s="158" t="str">
        <v/>
      </c>
      <c r="X1139" s="158" t="str">
        <v/>
      </c>
      <c r="Y1139" s="158" t="str">
        <v/>
      </c>
      <c r="Z1139" s="158" t="str">
        <v/>
      </c>
      <c r="AA1139" s="158" t="e">
        <v>#VALUE!</v>
      </c>
      <c r="AB1139" s="171" t="str">
        <v/>
      </c>
      <c r="AC1139" s="158">
        <v>0</v>
      </c>
      <c r="AD1139" s="173" t="str">
        <f ca="1">IFERROR(__xludf.DUMMYFUNCTION("""COMPUTED_VALUE"""),"")</f>
        <v/>
      </c>
      <c r="AE1139" s="154" t="str">
        <v/>
      </c>
      <c r="AF1139" s="154" t="str">
        <v/>
      </c>
    </row>
    <row r="1140" spans="1:32" ht="15">
      <c r="A1140" s="176"/>
      <c r="B1140" s="145"/>
      <c r="C1140" s="169"/>
      <c r="D1140" s="145"/>
      <c r="E1140" s="145"/>
      <c r="F1140" s="169" t="e">
        <v>#VALUE!</v>
      </c>
      <c r="G1140" s="145"/>
      <c r="H1140" s="145"/>
      <c r="I1140" s="145"/>
      <c r="J1140" s="145"/>
      <c r="K1140" s="145"/>
      <c r="L1140" s="145"/>
      <c r="M1140" s="145"/>
      <c r="N1140" s="145"/>
      <c r="O1140" s="174"/>
      <c r="P1140" s="174"/>
      <c r="Q1140" s="158" t="str">
        <v/>
      </c>
      <c r="R1140" s="158" t="str">
        <v/>
      </c>
      <c r="S1140" s="158" t="str">
        <v/>
      </c>
      <c r="T1140" s="158" t="str">
        <v/>
      </c>
      <c r="U1140" s="158" t="str">
        <v/>
      </c>
      <c r="V1140" s="158" t="str">
        <v/>
      </c>
      <c r="W1140" s="158" t="str">
        <v/>
      </c>
      <c r="X1140" s="158" t="str">
        <v/>
      </c>
      <c r="Y1140" s="158" t="str">
        <v/>
      </c>
      <c r="Z1140" s="158" t="str">
        <v/>
      </c>
      <c r="AA1140" s="158" t="e">
        <v>#VALUE!</v>
      </c>
      <c r="AB1140" s="171" t="str">
        <v/>
      </c>
      <c r="AC1140" s="158">
        <v>0</v>
      </c>
      <c r="AD1140" s="173" t="str">
        <f ca="1">IFERROR(__xludf.DUMMYFUNCTION("""COMPUTED_VALUE"""),"")</f>
        <v/>
      </c>
      <c r="AE1140" s="154" t="str">
        <v/>
      </c>
      <c r="AF1140" s="154" t="str">
        <v/>
      </c>
    </row>
    <row r="1141" spans="1:32" ht="15">
      <c r="A1141" s="176"/>
      <c r="B1141" s="145"/>
      <c r="C1141" s="169"/>
      <c r="D1141" s="145"/>
      <c r="E1141" s="145"/>
      <c r="F1141" s="169" t="e">
        <v>#VALUE!</v>
      </c>
      <c r="G1141" s="145"/>
      <c r="H1141" s="145"/>
      <c r="I1141" s="145"/>
      <c r="J1141" s="145"/>
      <c r="K1141" s="145"/>
      <c r="L1141" s="145"/>
      <c r="M1141" s="145"/>
      <c r="N1141" s="145"/>
      <c r="O1141" s="174"/>
      <c r="P1141" s="174"/>
      <c r="Q1141" s="158" t="str">
        <v/>
      </c>
      <c r="R1141" s="158" t="str">
        <v/>
      </c>
      <c r="S1141" s="158" t="str">
        <v/>
      </c>
      <c r="T1141" s="158" t="str">
        <v/>
      </c>
      <c r="U1141" s="158" t="str">
        <v/>
      </c>
      <c r="V1141" s="158" t="str">
        <v/>
      </c>
      <c r="W1141" s="158" t="str">
        <v/>
      </c>
      <c r="X1141" s="158" t="str">
        <v/>
      </c>
      <c r="Y1141" s="158" t="str">
        <v/>
      </c>
      <c r="Z1141" s="158" t="str">
        <v/>
      </c>
      <c r="AA1141" s="158" t="e">
        <v>#VALUE!</v>
      </c>
      <c r="AB1141" s="171" t="str">
        <v/>
      </c>
      <c r="AC1141" s="158">
        <v>0</v>
      </c>
      <c r="AD1141" s="173" t="str">
        <f ca="1">IFERROR(__xludf.DUMMYFUNCTION("""COMPUTED_VALUE"""),"")</f>
        <v/>
      </c>
      <c r="AE1141" s="154" t="str">
        <v/>
      </c>
      <c r="AF1141" s="154" t="str">
        <v/>
      </c>
    </row>
    <row r="1142" spans="1:32" ht="15">
      <c r="A1142" s="176"/>
      <c r="B1142" s="145"/>
      <c r="C1142" s="169"/>
      <c r="D1142" s="145"/>
      <c r="E1142" s="145"/>
      <c r="F1142" s="169" t="e">
        <v>#VALUE!</v>
      </c>
      <c r="G1142" s="145"/>
      <c r="H1142" s="145"/>
      <c r="I1142" s="145"/>
      <c r="J1142" s="145"/>
      <c r="K1142" s="145"/>
      <c r="L1142" s="145"/>
      <c r="M1142" s="145"/>
      <c r="N1142" s="145"/>
      <c r="O1142" s="174"/>
      <c r="P1142" s="174"/>
      <c r="Q1142" s="158" t="str">
        <v/>
      </c>
      <c r="R1142" s="158" t="str">
        <v/>
      </c>
      <c r="S1142" s="158" t="str">
        <v/>
      </c>
      <c r="T1142" s="158" t="str">
        <v/>
      </c>
      <c r="U1142" s="158" t="str">
        <v/>
      </c>
      <c r="V1142" s="158" t="str">
        <v/>
      </c>
      <c r="W1142" s="158" t="str">
        <v/>
      </c>
      <c r="X1142" s="158" t="str">
        <v/>
      </c>
      <c r="Y1142" s="158" t="str">
        <v/>
      </c>
      <c r="Z1142" s="158" t="str">
        <v/>
      </c>
      <c r="AA1142" s="158" t="e">
        <v>#VALUE!</v>
      </c>
      <c r="AB1142" s="171" t="str">
        <v/>
      </c>
      <c r="AC1142" s="158">
        <v>0</v>
      </c>
      <c r="AD1142" s="173" t="str">
        <f ca="1">IFERROR(__xludf.DUMMYFUNCTION("""COMPUTED_VALUE"""),"")</f>
        <v/>
      </c>
      <c r="AE1142" s="154" t="str">
        <v/>
      </c>
      <c r="AF1142" s="154" t="str">
        <v/>
      </c>
    </row>
    <row r="1143" spans="1:32" ht="15">
      <c r="A1143" s="176"/>
      <c r="B1143" s="145"/>
      <c r="C1143" s="169"/>
      <c r="D1143" s="145"/>
      <c r="E1143" s="145"/>
      <c r="F1143" s="169" t="e">
        <v>#VALUE!</v>
      </c>
      <c r="G1143" s="145"/>
      <c r="H1143" s="145"/>
      <c r="I1143" s="145"/>
      <c r="J1143" s="145"/>
      <c r="K1143" s="145"/>
      <c r="L1143" s="145"/>
      <c r="M1143" s="145"/>
      <c r="N1143" s="145"/>
      <c r="O1143" s="174"/>
      <c r="P1143" s="174"/>
      <c r="Q1143" s="158" t="str">
        <v/>
      </c>
      <c r="R1143" s="158" t="str">
        <v/>
      </c>
      <c r="S1143" s="158" t="str">
        <v/>
      </c>
      <c r="T1143" s="158" t="str">
        <v/>
      </c>
      <c r="U1143" s="158" t="str">
        <v/>
      </c>
      <c r="V1143" s="158" t="str">
        <v/>
      </c>
      <c r="W1143" s="158" t="str">
        <v/>
      </c>
      <c r="X1143" s="158" t="str">
        <v/>
      </c>
      <c r="Y1143" s="158" t="str">
        <v/>
      </c>
      <c r="Z1143" s="158" t="str">
        <v/>
      </c>
      <c r="AA1143" s="158" t="e">
        <v>#VALUE!</v>
      </c>
      <c r="AB1143" s="171" t="str">
        <v/>
      </c>
      <c r="AC1143" s="158">
        <v>0</v>
      </c>
      <c r="AD1143" s="173" t="str">
        <f ca="1">IFERROR(__xludf.DUMMYFUNCTION("""COMPUTED_VALUE"""),"")</f>
        <v/>
      </c>
      <c r="AE1143" s="154" t="str">
        <v/>
      </c>
      <c r="AF1143" s="154" t="str">
        <v/>
      </c>
    </row>
    <row r="1144" spans="1:32" ht="15">
      <c r="A1144" s="176"/>
      <c r="B1144" s="145"/>
      <c r="C1144" s="169"/>
      <c r="D1144" s="145"/>
      <c r="E1144" s="145"/>
      <c r="F1144" s="169" t="e">
        <v>#VALUE!</v>
      </c>
      <c r="G1144" s="145"/>
      <c r="H1144" s="145"/>
      <c r="I1144" s="145"/>
      <c r="J1144" s="145"/>
      <c r="K1144" s="145"/>
      <c r="L1144" s="145"/>
      <c r="M1144" s="145"/>
      <c r="N1144" s="145"/>
      <c r="O1144" s="174"/>
      <c r="P1144" s="174"/>
      <c r="Q1144" s="158" t="str">
        <v/>
      </c>
      <c r="R1144" s="158" t="str">
        <v/>
      </c>
      <c r="S1144" s="158" t="str">
        <v/>
      </c>
      <c r="T1144" s="158" t="str">
        <v/>
      </c>
      <c r="U1144" s="158" t="str">
        <v/>
      </c>
      <c r="V1144" s="158" t="str">
        <v/>
      </c>
      <c r="W1144" s="158" t="str">
        <v/>
      </c>
      <c r="X1144" s="158" t="str">
        <v/>
      </c>
      <c r="Y1144" s="158" t="str">
        <v/>
      </c>
      <c r="Z1144" s="158" t="str">
        <v/>
      </c>
      <c r="AA1144" s="158" t="e">
        <v>#VALUE!</v>
      </c>
      <c r="AB1144" s="171" t="str">
        <v/>
      </c>
      <c r="AC1144" s="158">
        <v>0</v>
      </c>
      <c r="AD1144" s="173" t="str">
        <f ca="1">IFERROR(__xludf.DUMMYFUNCTION("""COMPUTED_VALUE"""),"")</f>
        <v/>
      </c>
      <c r="AE1144" s="154" t="str">
        <v/>
      </c>
      <c r="AF1144" s="154" t="str">
        <v/>
      </c>
    </row>
    <row r="1145" spans="1:32" ht="15">
      <c r="A1145" s="176"/>
      <c r="B1145" s="145"/>
      <c r="C1145" s="169"/>
      <c r="D1145" s="145"/>
      <c r="E1145" s="145"/>
      <c r="F1145" s="169" t="e">
        <v>#VALUE!</v>
      </c>
      <c r="G1145" s="145"/>
      <c r="H1145" s="145"/>
      <c r="I1145" s="145"/>
      <c r="J1145" s="145"/>
      <c r="K1145" s="145"/>
      <c r="L1145" s="145"/>
      <c r="M1145" s="145"/>
      <c r="N1145" s="145"/>
      <c r="O1145" s="174"/>
      <c r="P1145" s="174"/>
      <c r="Q1145" s="158" t="str">
        <v/>
      </c>
      <c r="R1145" s="158" t="str">
        <v/>
      </c>
      <c r="S1145" s="158" t="str">
        <v/>
      </c>
      <c r="T1145" s="158" t="str">
        <v/>
      </c>
      <c r="U1145" s="158" t="str">
        <v/>
      </c>
      <c r="V1145" s="158" t="str">
        <v/>
      </c>
      <c r="W1145" s="158" t="str">
        <v/>
      </c>
      <c r="X1145" s="158" t="str">
        <v/>
      </c>
      <c r="Y1145" s="158" t="str">
        <v/>
      </c>
      <c r="Z1145" s="158" t="str">
        <v/>
      </c>
      <c r="AA1145" s="158" t="e">
        <v>#VALUE!</v>
      </c>
      <c r="AB1145" s="171" t="str">
        <v/>
      </c>
      <c r="AC1145" s="158">
        <v>0</v>
      </c>
      <c r="AD1145" s="173" t="str">
        <f ca="1">IFERROR(__xludf.DUMMYFUNCTION("""COMPUTED_VALUE"""),"")</f>
        <v/>
      </c>
      <c r="AE1145" s="154" t="str">
        <v/>
      </c>
      <c r="AF1145" s="154" t="str">
        <v/>
      </c>
    </row>
    <row r="1146" spans="1:32" ht="15">
      <c r="A1146" s="176"/>
      <c r="B1146" s="145"/>
      <c r="C1146" s="169"/>
      <c r="D1146" s="145"/>
      <c r="E1146" s="145"/>
      <c r="F1146" s="169" t="e">
        <v>#VALUE!</v>
      </c>
      <c r="G1146" s="145"/>
      <c r="H1146" s="145"/>
      <c r="I1146" s="145"/>
      <c r="J1146" s="145"/>
      <c r="K1146" s="145"/>
      <c r="L1146" s="145"/>
      <c r="M1146" s="145"/>
      <c r="N1146" s="145"/>
      <c r="O1146" s="174"/>
      <c r="P1146" s="174"/>
      <c r="Q1146" s="158" t="str">
        <v/>
      </c>
      <c r="R1146" s="158" t="str">
        <v/>
      </c>
      <c r="S1146" s="158" t="str">
        <v/>
      </c>
      <c r="T1146" s="158" t="str">
        <v/>
      </c>
      <c r="U1146" s="158" t="str">
        <v/>
      </c>
      <c r="V1146" s="158" t="str">
        <v/>
      </c>
      <c r="W1146" s="158" t="str">
        <v/>
      </c>
      <c r="X1146" s="158" t="str">
        <v/>
      </c>
      <c r="Y1146" s="158" t="str">
        <v/>
      </c>
      <c r="Z1146" s="158" t="str">
        <v/>
      </c>
      <c r="AA1146" s="158" t="e">
        <v>#VALUE!</v>
      </c>
      <c r="AB1146" s="171" t="str">
        <v/>
      </c>
      <c r="AC1146" s="158">
        <v>0</v>
      </c>
      <c r="AD1146" s="173" t="str">
        <f ca="1">IFERROR(__xludf.DUMMYFUNCTION("""COMPUTED_VALUE"""),"")</f>
        <v/>
      </c>
      <c r="AE1146" s="154" t="str">
        <v/>
      </c>
      <c r="AF1146" s="154" t="str">
        <v/>
      </c>
    </row>
    <row r="1147" spans="1:32" ht="15">
      <c r="A1147" s="176"/>
      <c r="B1147" s="145"/>
      <c r="C1147" s="169"/>
      <c r="D1147" s="145"/>
      <c r="E1147" s="145"/>
      <c r="F1147" s="169" t="e">
        <v>#VALUE!</v>
      </c>
      <c r="G1147" s="145"/>
      <c r="H1147" s="145"/>
      <c r="I1147" s="145"/>
      <c r="J1147" s="145"/>
      <c r="K1147" s="145"/>
      <c r="L1147" s="145"/>
      <c r="M1147" s="145"/>
      <c r="N1147" s="145"/>
      <c r="O1147" s="174"/>
      <c r="P1147" s="174"/>
      <c r="Q1147" s="158" t="str">
        <v/>
      </c>
      <c r="R1147" s="158" t="str">
        <v/>
      </c>
      <c r="S1147" s="158" t="str">
        <v/>
      </c>
      <c r="T1147" s="158" t="str">
        <v/>
      </c>
      <c r="U1147" s="158" t="str">
        <v/>
      </c>
      <c r="V1147" s="158" t="str">
        <v/>
      </c>
      <c r="W1147" s="158" t="str">
        <v/>
      </c>
      <c r="X1147" s="158" t="str">
        <v/>
      </c>
      <c r="Y1147" s="158" t="str">
        <v/>
      </c>
      <c r="Z1147" s="158" t="str">
        <v/>
      </c>
      <c r="AA1147" s="158" t="e">
        <v>#VALUE!</v>
      </c>
      <c r="AB1147" s="171" t="str">
        <v/>
      </c>
      <c r="AC1147" s="158">
        <v>0</v>
      </c>
      <c r="AD1147" s="173" t="str">
        <f ca="1">IFERROR(__xludf.DUMMYFUNCTION("""COMPUTED_VALUE"""),"")</f>
        <v/>
      </c>
      <c r="AE1147" s="154" t="str">
        <v/>
      </c>
      <c r="AF1147" s="154" t="str">
        <v/>
      </c>
    </row>
    <row r="1148" spans="1:32" ht="15">
      <c r="A1148" s="176"/>
      <c r="B1148" s="145"/>
      <c r="C1148" s="169"/>
      <c r="D1148" s="145"/>
      <c r="E1148" s="145"/>
      <c r="F1148" s="169" t="e">
        <v>#VALUE!</v>
      </c>
      <c r="G1148" s="145"/>
      <c r="H1148" s="145"/>
      <c r="I1148" s="145"/>
      <c r="J1148" s="145"/>
      <c r="K1148" s="145"/>
      <c r="L1148" s="145"/>
      <c r="M1148" s="145"/>
      <c r="N1148" s="145"/>
      <c r="O1148" s="174"/>
      <c r="P1148" s="174"/>
      <c r="Q1148" s="158" t="str">
        <v/>
      </c>
      <c r="R1148" s="158" t="str">
        <v/>
      </c>
      <c r="S1148" s="158" t="str">
        <v/>
      </c>
      <c r="T1148" s="158" t="str">
        <v/>
      </c>
      <c r="U1148" s="158" t="str">
        <v/>
      </c>
      <c r="V1148" s="158" t="str">
        <v/>
      </c>
      <c r="W1148" s="158" t="str">
        <v/>
      </c>
      <c r="X1148" s="158" t="str">
        <v/>
      </c>
      <c r="Y1148" s="158" t="str">
        <v/>
      </c>
      <c r="Z1148" s="158" t="str">
        <v/>
      </c>
      <c r="AA1148" s="158" t="e">
        <v>#VALUE!</v>
      </c>
      <c r="AB1148" s="171" t="str">
        <v/>
      </c>
      <c r="AC1148" s="158">
        <v>0</v>
      </c>
      <c r="AD1148" s="173" t="str">
        <f ca="1">IFERROR(__xludf.DUMMYFUNCTION("""COMPUTED_VALUE"""),"")</f>
        <v/>
      </c>
      <c r="AE1148" s="154" t="str">
        <v/>
      </c>
      <c r="AF1148" s="154" t="str">
        <v/>
      </c>
    </row>
    <row r="1149" spans="1:32" ht="15">
      <c r="A1149" s="176"/>
      <c r="B1149" s="145"/>
      <c r="C1149" s="169"/>
      <c r="D1149" s="145"/>
      <c r="E1149" s="145"/>
      <c r="F1149" s="169" t="e">
        <v>#VALUE!</v>
      </c>
      <c r="G1149" s="145"/>
      <c r="H1149" s="145"/>
      <c r="I1149" s="145"/>
      <c r="J1149" s="145"/>
      <c r="K1149" s="145"/>
      <c r="L1149" s="145"/>
      <c r="M1149" s="145"/>
      <c r="N1149" s="145"/>
      <c r="O1149" s="174"/>
      <c r="P1149" s="174"/>
      <c r="Q1149" s="158" t="str">
        <v/>
      </c>
      <c r="R1149" s="158" t="str">
        <v/>
      </c>
      <c r="S1149" s="158" t="str">
        <v/>
      </c>
      <c r="T1149" s="158" t="str">
        <v/>
      </c>
      <c r="U1149" s="158" t="str">
        <v/>
      </c>
      <c r="V1149" s="158" t="str">
        <v/>
      </c>
      <c r="W1149" s="158" t="str">
        <v/>
      </c>
      <c r="X1149" s="158" t="str">
        <v/>
      </c>
      <c r="Y1149" s="158" t="str">
        <v/>
      </c>
      <c r="Z1149" s="158" t="str">
        <v/>
      </c>
      <c r="AA1149" s="158" t="e">
        <v>#VALUE!</v>
      </c>
      <c r="AB1149" s="171" t="str">
        <v/>
      </c>
      <c r="AC1149" s="158">
        <v>0</v>
      </c>
      <c r="AD1149" s="173" t="str">
        <f ca="1">IFERROR(__xludf.DUMMYFUNCTION("""COMPUTED_VALUE"""),"")</f>
        <v/>
      </c>
      <c r="AE1149" s="154" t="str">
        <v/>
      </c>
      <c r="AF1149" s="154" t="str">
        <v/>
      </c>
    </row>
    <row r="1150" spans="1:32" ht="15">
      <c r="A1150" s="176"/>
      <c r="B1150" s="145"/>
      <c r="C1150" s="169"/>
      <c r="D1150" s="145"/>
      <c r="E1150" s="145"/>
      <c r="F1150" s="169" t="e">
        <v>#VALUE!</v>
      </c>
      <c r="G1150" s="145"/>
      <c r="H1150" s="145"/>
      <c r="I1150" s="145"/>
      <c r="J1150" s="145"/>
      <c r="K1150" s="145"/>
      <c r="L1150" s="145"/>
      <c r="M1150" s="145"/>
      <c r="N1150" s="145"/>
      <c r="O1150" s="174"/>
      <c r="P1150" s="174"/>
      <c r="Q1150" s="158" t="str">
        <v/>
      </c>
      <c r="R1150" s="158" t="str">
        <v/>
      </c>
      <c r="S1150" s="158" t="str">
        <v/>
      </c>
      <c r="T1150" s="158" t="str">
        <v/>
      </c>
      <c r="U1150" s="158" t="str">
        <v/>
      </c>
      <c r="V1150" s="158" t="str">
        <v/>
      </c>
      <c r="W1150" s="158" t="str">
        <v/>
      </c>
      <c r="X1150" s="158" t="str">
        <v/>
      </c>
      <c r="Y1150" s="158" t="str">
        <v/>
      </c>
      <c r="Z1150" s="158" t="str">
        <v/>
      </c>
      <c r="AA1150" s="158" t="e">
        <v>#VALUE!</v>
      </c>
      <c r="AB1150" s="171" t="str">
        <v/>
      </c>
      <c r="AC1150" s="158">
        <v>0</v>
      </c>
      <c r="AD1150" s="173" t="str">
        <f ca="1">IFERROR(__xludf.DUMMYFUNCTION("""COMPUTED_VALUE"""),"")</f>
        <v/>
      </c>
      <c r="AE1150" s="154" t="str">
        <v/>
      </c>
      <c r="AF1150" s="154" t="str">
        <v/>
      </c>
    </row>
    <row r="1151" spans="1:32" ht="15">
      <c r="A1151" s="176"/>
      <c r="B1151" s="145"/>
      <c r="C1151" s="169"/>
      <c r="D1151" s="145"/>
      <c r="E1151" s="145"/>
      <c r="F1151" s="169" t="e">
        <v>#VALUE!</v>
      </c>
      <c r="G1151" s="145"/>
      <c r="H1151" s="145"/>
      <c r="I1151" s="145"/>
      <c r="J1151" s="145"/>
      <c r="K1151" s="145"/>
      <c r="L1151" s="145"/>
      <c r="M1151" s="145"/>
      <c r="N1151" s="145"/>
      <c r="O1151" s="174"/>
      <c r="P1151" s="174"/>
      <c r="Q1151" s="158" t="str">
        <v/>
      </c>
      <c r="R1151" s="158" t="str">
        <v/>
      </c>
      <c r="S1151" s="158" t="str">
        <v/>
      </c>
      <c r="T1151" s="158" t="str">
        <v/>
      </c>
      <c r="U1151" s="158" t="str">
        <v/>
      </c>
      <c r="V1151" s="158" t="str">
        <v/>
      </c>
      <c r="W1151" s="158" t="str">
        <v/>
      </c>
      <c r="X1151" s="158" t="str">
        <v/>
      </c>
      <c r="Y1151" s="158" t="str">
        <v/>
      </c>
      <c r="Z1151" s="158" t="str">
        <v/>
      </c>
      <c r="AA1151" s="158" t="e">
        <v>#VALUE!</v>
      </c>
      <c r="AB1151" s="171" t="str">
        <v/>
      </c>
      <c r="AC1151" s="158">
        <v>0</v>
      </c>
      <c r="AD1151" s="173" t="str">
        <f ca="1">IFERROR(__xludf.DUMMYFUNCTION("""COMPUTED_VALUE"""),"")</f>
        <v/>
      </c>
      <c r="AE1151" s="154" t="str">
        <v/>
      </c>
      <c r="AF1151" s="154" t="str">
        <v/>
      </c>
    </row>
    <row r="1152" spans="1:32" ht="15">
      <c r="A1152" s="176"/>
      <c r="B1152" s="145"/>
      <c r="C1152" s="169"/>
      <c r="D1152" s="145"/>
      <c r="E1152" s="145"/>
      <c r="F1152" s="169" t="e">
        <v>#VALUE!</v>
      </c>
      <c r="G1152" s="145"/>
      <c r="H1152" s="145"/>
      <c r="I1152" s="145"/>
      <c r="J1152" s="145"/>
      <c r="K1152" s="145"/>
      <c r="L1152" s="145"/>
      <c r="M1152" s="145"/>
      <c r="N1152" s="145"/>
      <c r="O1152" s="174"/>
      <c r="P1152" s="174"/>
      <c r="Q1152" s="158" t="str">
        <v/>
      </c>
      <c r="R1152" s="158" t="str">
        <v/>
      </c>
      <c r="S1152" s="158" t="str">
        <v/>
      </c>
      <c r="T1152" s="158" t="str">
        <v/>
      </c>
      <c r="U1152" s="158" t="str">
        <v/>
      </c>
      <c r="V1152" s="158" t="str">
        <v/>
      </c>
      <c r="W1152" s="158" t="str">
        <v/>
      </c>
      <c r="X1152" s="158" t="str">
        <v/>
      </c>
      <c r="Y1152" s="158" t="str">
        <v/>
      </c>
      <c r="Z1152" s="158" t="str">
        <v/>
      </c>
      <c r="AA1152" s="158" t="e">
        <v>#VALUE!</v>
      </c>
      <c r="AB1152" s="171" t="str">
        <v/>
      </c>
      <c r="AC1152" s="158">
        <v>0</v>
      </c>
      <c r="AD1152" s="173" t="str">
        <f ca="1">IFERROR(__xludf.DUMMYFUNCTION("""COMPUTED_VALUE"""),"")</f>
        <v/>
      </c>
      <c r="AE1152" s="154" t="str">
        <v/>
      </c>
      <c r="AF1152" s="154" t="str">
        <v/>
      </c>
    </row>
    <row r="1153" spans="1:32" ht="15">
      <c r="A1153" s="176"/>
      <c r="B1153" s="145"/>
      <c r="C1153" s="169"/>
      <c r="D1153" s="145"/>
      <c r="E1153" s="145"/>
      <c r="F1153" s="169" t="e">
        <v>#VALUE!</v>
      </c>
      <c r="G1153" s="145"/>
      <c r="H1153" s="145"/>
      <c r="I1153" s="145"/>
      <c r="J1153" s="145"/>
      <c r="K1153" s="145"/>
      <c r="L1153" s="145"/>
      <c r="M1153" s="145"/>
      <c r="N1153" s="145"/>
      <c r="O1153" s="174"/>
      <c r="P1153" s="174"/>
      <c r="Q1153" s="158" t="str">
        <v/>
      </c>
      <c r="R1153" s="158" t="str">
        <v/>
      </c>
      <c r="S1153" s="158" t="str">
        <v/>
      </c>
      <c r="T1153" s="158" t="str">
        <v/>
      </c>
      <c r="U1153" s="158" t="str">
        <v/>
      </c>
      <c r="V1153" s="158" t="str">
        <v/>
      </c>
      <c r="W1153" s="158" t="str">
        <v/>
      </c>
      <c r="X1153" s="158" t="str">
        <v/>
      </c>
      <c r="Y1153" s="158" t="str">
        <v/>
      </c>
      <c r="Z1153" s="158" t="str">
        <v/>
      </c>
      <c r="AA1153" s="158" t="e">
        <v>#VALUE!</v>
      </c>
      <c r="AB1153" s="171" t="str">
        <v/>
      </c>
      <c r="AC1153" s="158">
        <v>0</v>
      </c>
      <c r="AD1153" s="173" t="str">
        <f ca="1">IFERROR(__xludf.DUMMYFUNCTION("""COMPUTED_VALUE"""),"")</f>
        <v/>
      </c>
      <c r="AE1153" s="154" t="str">
        <v/>
      </c>
      <c r="AF1153" s="154" t="str">
        <v/>
      </c>
    </row>
    <row r="1154" spans="1:32" ht="15">
      <c r="A1154" s="176"/>
      <c r="B1154" s="145"/>
      <c r="C1154" s="169"/>
      <c r="D1154" s="145"/>
      <c r="E1154" s="145"/>
      <c r="F1154" s="169" t="e">
        <v>#VALUE!</v>
      </c>
      <c r="G1154" s="145"/>
      <c r="H1154" s="145"/>
      <c r="I1154" s="145"/>
      <c r="J1154" s="145"/>
      <c r="K1154" s="145"/>
      <c r="L1154" s="145"/>
      <c r="M1154" s="145"/>
      <c r="N1154" s="145"/>
      <c r="O1154" s="174"/>
      <c r="P1154" s="174"/>
      <c r="Q1154" s="158" t="str">
        <v/>
      </c>
      <c r="R1154" s="158" t="str">
        <v/>
      </c>
      <c r="S1154" s="158" t="str">
        <v/>
      </c>
      <c r="T1154" s="158" t="str">
        <v/>
      </c>
      <c r="U1154" s="158" t="str">
        <v/>
      </c>
      <c r="V1154" s="158" t="str">
        <v/>
      </c>
      <c r="W1154" s="158" t="str">
        <v/>
      </c>
      <c r="X1154" s="158" t="str">
        <v/>
      </c>
      <c r="Y1154" s="158" t="str">
        <v/>
      </c>
      <c r="Z1154" s="158" t="str">
        <v/>
      </c>
      <c r="AA1154" s="158" t="e">
        <v>#VALUE!</v>
      </c>
      <c r="AB1154" s="171" t="str">
        <v/>
      </c>
      <c r="AC1154" s="158">
        <v>0</v>
      </c>
      <c r="AD1154" s="173" t="str">
        <f ca="1">IFERROR(__xludf.DUMMYFUNCTION("""COMPUTED_VALUE"""),"")</f>
        <v/>
      </c>
      <c r="AE1154" s="154" t="str">
        <v/>
      </c>
      <c r="AF1154" s="154" t="str">
        <v/>
      </c>
    </row>
    <row r="1155" spans="1:32" ht="15">
      <c r="A1155" s="176"/>
      <c r="B1155" s="145"/>
      <c r="C1155" s="169"/>
      <c r="D1155" s="145"/>
      <c r="E1155" s="145"/>
      <c r="F1155" s="169" t="e">
        <v>#VALUE!</v>
      </c>
      <c r="G1155" s="145"/>
      <c r="H1155" s="145"/>
      <c r="I1155" s="145"/>
      <c r="J1155" s="145"/>
      <c r="K1155" s="145"/>
      <c r="L1155" s="145"/>
      <c r="M1155" s="145"/>
      <c r="N1155" s="145"/>
      <c r="O1155" s="174"/>
      <c r="P1155" s="174"/>
      <c r="Q1155" s="158" t="str">
        <v/>
      </c>
      <c r="R1155" s="158" t="str">
        <v/>
      </c>
      <c r="S1155" s="158" t="str">
        <v/>
      </c>
      <c r="T1155" s="158" t="str">
        <v/>
      </c>
      <c r="U1155" s="158" t="str">
        <v/>
      </c>
      <c r="V1155" s="158" t="str">
        <v/>
      </c>
      <c r="W1155" s="158" t="str">
        <v/>
      </c>
      <c r="X1155" s="158" t="str">
        <v/>
      </c>
      <c r="Y1155" s="158" t="str">
        <v/>
      </c>
      <c r="Z1155" s="158" t="str">
        <v/>
      </c>
      <c r="AA1155" s="158" t="e">
        <v>#VALUE!</v>
      </c>
      <c r="AB1155" s="171" t="str">
        <v/>
      </c>
      <c r="AC1155" s="158">
        <v>0</v>
      </c>
      <c r="AD1155" s="173" t="str">
        <f ca="1">IFERROR(__xludf.DUMMYFUNCTION("""COMPUTED_VALUE"""),"")</f>
        <v/>
      </c>
      <c r="AE1155" s="154" t="str">
        <v/>
      </c>
      <c r="AF1155" s="154" t="str">
        <v/>
      </c>
    </row>
    <row r="1156" spans="1:32" ht="15">
      <c r="A1156" s="176"/>
      <c r="B1156" s="145"/>
      <c r="C1156" s="169"/>
      <c r="D1156" s="145"/>
      <c r="E1156" s="145"/>
      <c r="F1156" s="169" t="e">
        <v>#VALUE!</v>
      </c>
      <c r="G1156" s="145"/>
      <c r="H1156" s="145"/>
      <c r="I1156" s="145"/>
      <c r="J1156" s="145"/>
      <c r="K1156" s="145"/>
      <c r="L1156" s="145"/>
      <c r="M1156" s="145"/>
      <c r="N1156" s="145"/>
      <c r="O1156" s="174"/>
      <c r="P1156" s="174"/>
      <c r="Q1156" s="158" t="str">
        <v/>
      </c>
      <c r="R1156" s="158" t="str">
        <v/>
      </c>
      <c r="S1156" s="158" t="str">
        <v/>
      </c>
      <c r="T1156" s="158" t="str">
        <v/>
      </c>
      <c r="U1156" s="158" t="str">
        <v/>
      </c>
      <c r="V1156" s="158" t="str">
        <v/>
      </c>
      <c r="W1156" s="158" t="str">
        <v/>
      </c>
      <c r="X1156" s="158" t="str">
        <v/>
      </c>
      <c r="Y1156" s="158" t="str">
        <v/>
      </c>
      <c r="Z1156" s="158" t="str">
        <v/>
      </c>
      <c r="AA1156" s="158" t="e">
        <v>#VALUE!</v>
      </c>
      <c r="AB1156" s="171" t="str">
        <v/>
      </c>
      <c r="AC1156" s="158">
        <v>0</v>
      </c>
      <c r="AD1156" s="173" t="str">
        <f ca="1">IFERROR(__xludf.DUMMYFUNCTION("""COMPUTED_VALUE"""),"")</f>
        <v/>
      </c>
      <c r="AE1156" s="154" t="str">
        <v/>
      </c>
      <c r="AF1156" s="154" t="str">
        <v/>
      </c>
    </row>
    <row r="1157" spans="1:32" ht="15">
      <c r="A1157" s="176"/>
      <c r="B1157" s="145"/>
      <c r="C1157" s="169"/>
      <c r="D1157" s="145"/>
      <c r="E1157" s="145"/>
      <c r="F1157" s="169" t="e">
        <v>#VALUE!</v>
      </c>
      <c r="G1157" s="145"/>
      <c r="H1157" s="145"/>
      <c r="I1157" s="145"/>
      <c r="J1157" s="145"/>
      <c r="K1157" s="145"/>
      <c r="L1157" s="145"/>
      <c r="M1157" s="145"/>
      <c r="N1157" s="145"/>
      <c r="O1157" s="174"/>
      <c r="P1157" s="174"/>
      <c r="Q1157" s="158" t="str">
        <v/>
      </c>
      <c r="R1157" s="158" t="str">
        <v/>
      </c>
      <c r="S1157" s="158" t="str">
        <v/>
      </c>
      <c r="T1157" s="158" t="str">
        <v/>
      </c>
      <c r="U1157" s="158" t="str">
        <v/>
      </c>
      <c r="V1157" s="158" t="str">
        <v/>
      </c>
      <c r="W1157" s="158" t="str">
        <v/>
      </c>
      <c r="X1157" s="158" t="str">
        <v/>
      </c>
      <c r="Y1157" s="158" t="str">
        <v/>
      </c>
      <c r="Z1157" s="158" t="str">
        <v/>
      </c>
      <c r="AA1157" s="158" t="e">
        <v>#VALUE!</v>
      </c>
      <c r="AB1157" s="171" t="str">
        <v/>
      </c>
      <c r="AC1157" s="158">
        <v>0</v>
      </c>
      <c r="AD1157" s="173" t="str">
        <f ca="1">IFERROR(__xludf.DUMMYFUNCTION("""COMPUTED_VALUE"""),"")</f>
        <v/>
      </c>
      <c r="AE1157" s="154" t="str">
        <v/>
      </c>
      <c r="AF1157" s="154" t="str">
        <v/>
      </c>
    </row>
    <row r="1158" spans="1:32" ht="15">
      <c r="A1158" s="176"/>
      <c r="B1158" s="145"/>
      <c r="C1158" s="169"/>
      <c r="D1158" s="145"/>
      <c r="E1158" s="145"/>
      <c r="F1158" s="169" t="e">
        <v>#VALUE!</v>
      </c>
      <c r="G1158" s="145"/>
      <c r="H1158" s="145"/>
      <c r="I1158" s="145"/>
      <c r="J1158" s="145"/>
      <c r="K1158" s="145"/>
      <c r="L1158" s="145"/>
      <c r="M1158" s="145"/>
      <c r="N1158" s="145"/>
      <c r="O1158" s="174"/>
      <c r="P1158" s="174"/>
      <c r="Q1158" s="158" t="str">
        <v/>
      </c>
      <c r="R1158" s="158" t="str">
        <v/>
      </c>
      <c r="S1158" s="158" t="str">
        <v/>
      </c>
      <c r="T1158" s="158" t="str">
        <v/>
      </c>
      <c r="U1158" s="158" t="str">
        <v/>
      </c>
      <c r="V1158" s="158" t="str">
        <v/>
      </c>
      <c r="W1158" s="158" t="str">
        <v/>
      </c>
      <c r="X1158" s="158" t="str">
        <v/>
      </c>
      <c r="Y1158" s="158" t="str">
        <v/>
      </c>
      <c r="Z1158" s="158" t="str">
        <v/>
      </c>
      <c r="AA1158" s="158" t="e">
        <v>#VALUE!</v>
      </c>
      <c r="AB1158" s="171" t="str">
        <v/>
      </c>
      <c r="AC1158" s="158">
        <v>0</v>
      </c>
      <c r="AD1158" s="173" t="str">
        <f ca="1">IFERROR(__xludf.DUMMYFUNCTION("""COMPUTED_VALUE"""),"")</f>
        <v/>
      </c>
      <c r="AE1158" s="154" t="str">
        <v/>
      </c>
      <c r="AF1158" s="154" t="str">
        <v/>
      </c>
    </row>
    <row r="1159" spans="1:32" ht="15">
      <c r="A1159" s="176"/>
      <c r="B1159" s="145"/>
      <c r="C1159" s="169"/>
      <c r="D1159" s="145"/>
      <c r="E1159" s="145"/>
      <c r="F1159" s="169" t="e">
        <v>#VALUE!</v>
      </c>
      <c r="G1159" s="145"/>
      <c r="H1159" s="145"/>
      <c r="I1159" s="145"/>
      <c r="J1159" s="145"/>
      <c r="K1159" s="145"/>
      <c r="L1159" s="145"/>
      <c r="M1159" s="145"/>
      <c r="N1159" s="145"/>
      <c r="O1159" s="174"/>
      <c r="P1159" s="174"/>
      <c r="Q1159" s="158" t="str">
        <v/>
      </c>
      <c r="R1159" s="158" t="str">
        <v/>
      </c>
      <c r="S1159" s="158" t="str">
        <v/>
      </c>
      <c r="T1159" s="158" t="str">
        <v/>
      </c>
      <c r="U1159" s="158" t="str">
        <v/>
      </c>
      <c r="V1159" s="158" t="str">
        <v/>
      </c>
      <c r="W1159" s="158" t="str">
        <v/>
      </c>
      <c r="X1159" s="158" t="str">
        <v/>
      </c>
      <c r="Y1159" s="158" t="str">
        <v/>
      </c>
      <c r="Z1159" s="158" t="str">
        <v/>
      </c>
      <c r="AA1159" s="158" t="e">
        <v>#VALUE!</v>
      </c>
      <c r="AB1159" s="171" t="str">
        <v/>
      </c>
      <c r="AC1159" s="158">
        <v>0</v>
      </c>
      <c r="AD1159" s="173" t="str">
        <f ca="1">IFERROR(__xludf.DUMMYFUNCTION("""COMPUTED_VALUE"""),"")</f>
        <v/>
      </c>
      <c r="AE1159" s="154" t="str">
        <v/>
      </c>
      <c r="AF1159" s="154" t="str">
        <v/>
      </c>
    </row>
    <row r="1160" spans="1:32" ht="15">
      <c r="A1160" s="176"/>
      <c r="B1160" s="145"/>
      <c r="C1160" s="169"/>
      <c r="D1160" s="145"/>
      <c r="E1160" s="145"/>
      <c r="F1160" s="169" t="e">
        <v>#VALUE!</v>
      </c>
      <c r="G1160" s="145"/>
      <c r="H1160" s="145"/>
      <c r="I1160" s="145"/>
      <c r="J1160" s="145"/>
      <c r="K1160" s="145"/>
      <c r="L1160" s="145"/>
      <c r="M1160" s="145"/>
      <c r="N1160" s="145"/>
      <c r="O1160" s="174"/>
      <c r="P1160" s="174"/>
      <c r="Q1160" s="158" t="str">
        <v/>
      </c>
      <c r="R1160" s="158" t="str">
        <v/>
      </c>
      <c r="S1160" s="158" t="str">
        <v/>
      </c>
      <c r="T1160" s="158" t="str">
        <v/>
      </c>
      <c r="U1160" s="158" t="str">
        <v/>
      </c>
      <c r="V1160" s="158" t="str">
        <v/>
      </c>
      <c r="W1160" s="158" t="str">
        <v/>
      </c>
      <c r="X1160" s="158" t="str">
        <v/>
      </c>
      <c r="Y1160" s="158" t="str">
        <v/>
      </c>
      <c r="Z1160" s="158" t="str">
        <v/>
      </c>
      <c r="AA1160" s="158" t="e">
        <v>#VALUE!</v>
      </c>
      <c r="AB1160" s="171" t="str">
        <v/>
      </c>
      <c r="AC1160" s="158">
        <v>0</v>
      </c>
      <c r="AD1160" s="173" t="str">
        <f ca="1">IFERROR(__xludf.DUMMYFUNCTION("""COMPUTED_VALUE"""),"")</f>
        <v/>
      </c>
      <c r="AE1160" s="154" t="str">
        <v/>
      </c>
      <c r="AF1160" s="154" t="str">
        <v/>
      </c>
    </row>
    <row r="1161" spans="1:32" ht="15">
      <c r="A1161" s="176"/>
      <c r="B1161" s="145"/>
      <c r="C1161" s="169"/>
      <c r="D1161" s="145"/>
      <c r="E1161" s="145"/>
      <c r="F1161" s="169" t="e">
        <v>#VALUE!</v>
      </c>
      <c r="G1161" s="145"/>
      <c r="H1161" s="145"/>
      <c r="I1161" s="145"/>
      <c r="J1161" s="145"/>
      <c r="K1161" s="145"/>
      <c r="L1161" s="145"/>
      <c r="M1161" s="145"/>
      <c r="N1161" s="145"/>
      <c r="O1161" s="174"/>
      <c r="P1161" s="174"/>
      <c r="Q1161" s="158" t="str">
        <v/>
      </c>
      <c r="R1161" s="158" t="str">
        <v/>
      </c>
      <c r="S1161" s="158" t="str">
        <v/>
      </c>
      <c r="T1161" s="158" t="str">
        <v/>
      </c>
      <c r="U1161" s="158" t="str">
        <v/>
      </c>
      <c r="V1161" s="158" t="str">
        <v/>
      </c>
      <c r="W1161" s="158" t="str">
        <v/>
      </c>
      <c r="X1161" s="158" t="str">
        <v/>
      </c>
      <c r="Y1161" s="158" t="str">
        <v/>
      </c>
      <c r="Z1161" s="158" t="str">
        <v/>
      </c>
      <c r="AA1161" s="158" t="e">
        <v>#VALUE!</v>
      </c>
      <c r="AB1161" s="171" t="str">
        <v/>
      </c>
      <c r="AC1161" s="158">
        <v>0</v>
      </c>
      <c r="AD1161" s="173" t="str">
        <f ca="1">IFERROR(__xludf.DUMMYFUNCTION("""COMPUTED_VALUE"""),"")</f>
        <v/>
      </c>
      <c r="AE1161" s="154" t="str">
        <v/>
      </c>
      <c r="AF1161" s="154" t="str">
        <v/>
      </c>
    </row>
    <row r="1162" spans="1:32" ht="15">
      <c r="A1162" s="176"/>
      <c r="B1162" s="145"/>
      <c r="C1162" s="169"/>
      <c r="D1162" s="145"/>
      <c r="E1162" s="145"/>
      <c r="F1162" s="169" t="e">
        <v>#VALUE!</v>
      </c>
      <c r="G1162" s="145"/>
      <c r="H1162" s="145"/>
      <c r="I1162" s="145"/>
      <c r="J1162" s="145"/>
      <c r="K1162" s="145"/>
      <c r="L1162" s="145"/>
      <c r="M1162" s="145"/>
      <c r="N1162" s="145"/>
      <c r="O1162" s="174"/>
      <c r="P1162" s="174"/>
      <c r="Q1162" s="158" t="str">
        <v/>
      </c>
      <c r="R1162" s="158" t="str">
        <v/>
      </c>
      <c r="S1162" s="158" t="str">
        <v/>
      </c>
      <c r="T1162" s="158" t="str">
        <v/>
      </c>
      <c r="U1162" s="158" t="str">
        <v/>
      </c>
      <c r="V1162" s="158" t="str">
        <v/>
      </c>
      <c r="W1162" s="158" t="str">
        <v/>
      </c>
      <c r="X1162" s="158" t="str">
        <v/>
      </c>
      <c r="Y1162" s="158" t="str">
        <v/>
      </c>
      <c r="Z1162" s="158" t="str">
        <v/>
      </c>
      <c r="AA1162" s="158" t="e">
        <v>#VALUE!</v>
      </c>
      <c r="AB1162" s="171" t="str">
        <v/>
      </c>
      <c r="AC1162" s="158">
        <v>0</v>
      </c>
      <c r="AD1162" s="173" t="str">
        <f ca="1">IFERROR(__xludf.DUMMYFUNCTION("""COMPUTED_VALUE"""),"")</f>
        <v/>
      </c>
      <c r="AE1162" s="154" t="str">
        <v/>
      </c>
      <c r="AF1162" s="154" t="str">
        <v/>
      </c>
    </row>
    <row r="1163" spans="1:32" ht="15">
      <c r="A1163" s="176"/>
      <c r="B1163" s="145"/>
      <c r="C1163" s="169"/>
      <c r="D1163" s="145"/>
      <c r="E1163" s="145"/>
      <c r="F1163" s="169" t="e">
        <v>#VALUE!</v>
      </c>
      <c r="G1163" s="145"/>
      <c r="H1163" s="145"/>
      <c r="I1163" s="145"/>
      <c r="J1163" s="145"/>
      <c r="K1163" s="145"/>
      <c r="L1163" s="145"/>
      <c r="M1163" s="145"/>
      <c r="N1163" s="145"/>
      <c r="O1163" s="174"/>
      <c r="P1163" s="174"/>
      <c r="Q1163" s="158" t="str">
        <v/>
      </c>
      <c r="R1163" s="158" t="str">
        <v/>
      </c>
      <c r="S1163" s="158" t="str">
        <v/>
      </c>
      <c r="T1163" s="158" t="str">
        <v/>
      </c>
      <c r="U1163" s="158" t="str">
        <v/>
      </c>
      <c r="V1163" s="158" t="str">
        <v/>
      </c>
      <c r="W1163" s="158" t="str">
        <v/>
      </c>
      <c r="X1163" s="158" t="str">
        <v/>
      </c>
      <c r="Y1163" s="158" t="str">
        <v/>
      </c>
      <c r="Z1163" s="158" t="str">
        <v/>
      </c>
      <c r="AA1163" s="158" t="e">
        <v>#VALUE!</v>
      </c>
      <c r="AB1163" s="171" t="str">
        <v/>
      </c>
      <c r="AC1163" s="158">
        <v>0</v>
      </c>
      <c r="AD1163" s="173" t="str">
        <f ca="1">IFERROR(__xludf.DUMMYFUNCTION("""COMPUTED_VALUE"""),"")</f>
        <v/>
      </c>
      <c r="AE1163" s="154" t="str">
        <v/>
      </c>
      <c r="AF1163" s="154" t="str">
        <v/>
      </c>
    </row>
    <row r="1164" spans="1:32" ht="15">
      <c r="A1164" s="176"/>
      <c r="B1164" s="145"/>
      <c r="C1164" s="169"/>
      <c r="D1164" s="145"/>
      <c r="E1164" s="145"/>
      <c r="F1164" s="169" t="e">
        <v>#VALUE!</v>
      </c>
      <c r="G1164" s="145"/>
      <c r="H1164" s="145"/>
      <c r="I1164" s="145"/>
      <c r="J1164" s="145"/>
      <c r="K1164" s="145"/>
      <c r="L1164" s="145"/>
      <c r="M1164" s="145"/>
      <c r="N1164" s="145"/>
      <c r="O1164" s="174"/>
      <c r="P1164" s="174"/>
      <c r="Q1164" s="158" t="str">
        <v/>
      </c>
      <c r="R1164" s="158" t="str">
        <v/>
      </c>
      <c r="S1164" s="158" t="str">
        <v/>
      </c>
      <c r="T1164" s="158" t="str">
        <v/>
      </c>
      <c r="U1164" s="158" t="str">
        <v/>
      </c>
      <c r="V1164" s="158" t="str">
        <v/>
      </c>
      <c r="W1164" s="158" t="str">
        <v/>
      </c>
      <c r="X1164" s="158" t="str">
        <v/>
      </c>
      <c r="Y1164" s="158" t="str">
        <v/>
      </c>
      <c r="Z1164" s="158" t="str">
        <v/>
      </c>
      <c r="AA1164" s="158" t="e">
        <v>#VALUE!</v>
      </c>
      <c r="AB1164" s="171" t="str">
        <v/>
      </c>
      <c r="AC1164" s="158">
        <v>0</v>
      </c>
      <c r="AD1164" s="173" t="str">
        <f ca="1">IFERROR(__xludf.DUMMYFUNCTION("""COMPUTED_VALUE"""),"")</f>
        <v/>
      </c>
      <c r="AE1164" s="154" t="str">
        <v/>
      </c>
      <c r="AF1164" s="154" t="str">
        <v/>
      </c>
    </row>
    <row r="1165" spans="1:32" ht="15">
      <c r="A1165" s="176"/>
      <c r="B1165" s="145"/>
      <c r="C1165" s="169"/>
      <c r="D1165" s="145"/>
      <c r="E1165" s="145"/>
      <c r="F1165" s="169" t="e">
        <v>#VALUE!</v>
      </c>
      <c r="G1165" s="145"/>
      <c r="H1165" s="145"/>
      <c r="I1165" s="145"/>
      <c r="J1165" s="145"/>
      <c r="K1165" s="145"/>
      <c r="L1165" s="145"/>
      <c r="M1165" s="145"/>
      <c r="N1165" s="145"/>
      <c r="O1165" s="174"/>
      <c r="P1165" s="174"/>
      <c r="Q1165" s="158" t="str">
        <v/>
      </c>
      <c r="R1165" s="158" t="str">
        <v/>
      </c>
      <c r="S1165" s="158" t="str">
        <v/>
      </c>
      <c r="T1165" s="158" t="str">
        <v/>
      </c>
      <c r="U1165" s="158" t="str">
        <v/>
      </c>
      <c r="V1165" s="158" t="str">
        <v/>
      </c>
      <c r="W1165" s="158" t="str">
        <v/>
      </c>
      <c r="X1165" s="158" t="str">
        <v/>
      </c>
      <c r="Y1165" s="158" t="str">
        <v/>
      </c>
      <c r="Z1165" s="158" t="str">
        <v/>
      </c>
      <c r="AA1165" s="158" t="e">
        <v>#VALUE!</v>
      </c>
      <c r="AB1165" s="171" t="str">
        <v/>
      </c>
      <c r="AC1165" s="158">
        <v>0</v>
      </c>
      <c r="AD1165" s="173" t="str">
        <f ca="1">IFERROR(__xludf.DUMMYFUNCTION("""COMPUTED_VALUE"""),"")</f>
        <v/>
      </c>
      <c r="AE1165" s="154" t="str">
        <v/>
      </c>
      <c r="AF1165" s="154" t="str">
        <v/>
      </c>
    </row>
    <row r="1166" spans="1:32" ht="15">
      <c r="A1166" s="176"/>
      <c r="B1166" s="145"/>
      <c r="C1166" s="169"/>
      <c r="D1166" s="145"/>
      <c r="E1166" s="145"/>
      <c r="F1166" s="169" t="e">
        <v>#VALUE!</v>
      </c>
      <c r="G1166" s="145"/>
      <c r="H1166" s="145"/>
      <c r="I1166" s="145"/>
      <c r="J1166" s="145"/>
      <c r="K1166" s="145"/>
      <c r="L1166" s="145"/>
      <c r="M1166" s="145"/>
      <c r="N1166" s="145"/>
      <c r="O1166" s="174"/>
      <c r="P1166" s="174"/>
      <c r="Q1166" s="158" t="str">
        <v/>
      </c>
      <c r="R1166" s="158" t="str">
        <v/>
      </c>
      <c r="S1166" s="158" t="str">
        <v/>
      </c>
      <c r="T1166" s="158" t="str">
        <v/>
      </c>
      <c r="U1166" s="158" t="str">
        <v/>
      </c>
      <c r="V1166" s="158" t="str">
        <v/>
      </c>
      <c r="W1166" s="158" t="str">
        <v/>
      </c>
      <c r="X1166" s="158" t="str">
        <v/>
      </c>
      <c r="Y1166" s="158" t="str">
        <v/>
      </c>
      <c r="Z1166" s="158" t="str">
        <v/>
      </c>
      <c r="AA1166" s="158" t="e">
        <v>#VALUE!</v>
      </c>
      <c r="AB1166" s="171" t="str">
        <v/>
      </c>
      <c r="AC1166" s="158">
        <v>0</v>
      </c>
      <c r="AD1166" s="173" t="str">
        <f ca="1">IFERROR(__xludf.DUMMYFUNCTION("""COMPUTED_VALUE"""),"")</f>
        <v/>
      </c>
      <c r="AE1166" s="154" t="str">
        <v/>
      </c>
      <c r="AF1166" s="154" t="str">
        <v/>
      </c>
    </row>
    <row r="1167" spans="1:32" ht="15">
      <c r="A1167" s="176"/>
      <c r="B1167" s="145"/>
      <c r="C1167" s="169"/>
      <c r="D1167" s="145"/>
      <c r="E1167" s="145"/>
      <c r="F1167" s="169" t="e">
        <v>#VALUE!</v>
      </c>
      <c r="G1167" s="145"/>
      <c r="H1167" s="145"/>
      <c r="I1167" s="145"/>
      <c r="J1167" s="145"/>
      <c r="K1167" s="145"/>
      <c r="L1167" s="145"/>
      <c r="M1167" s="145"/>
      <c r="N1167" s="145"/>
      <c r="O1167" s="174"/>
      <c r="P1167" s="174"/>
      <c r="Q1167" s="158" t="str">
        <v/>
      </c>
      <c r="R1167" s="158" t="str">
        <v/>
      </c>
      <c r="S1167" s="158" t="str">
        <v/>
      </c>
      <c r="T1167" s="158" t="str">
        <v/>
      </c>
      <c r="U1167" s="158" t="str">
        <v/>
      </c>
      <c r="V1167" s="158" t="str">
        <v/>
      </c>
      <c r="W1167" s="158" t="str">
        <v/>
      </c>
      <c r="X1167" s="158" t="str">
        <v/>
      </c>
      <c r="Y1167" s="158" t="str">
        <v/>
      </c>
      <c r="Z1167" s="158" t="str">
        <v/>
      </c>
      <c r="AA1167" s="158" t="e">
        <v>#VALUE!</v>
      </c>
      <c r="AB1167" s="171" t="str">
        <v/>
      </c>
      <c r="AC1167" s="158">
        <v>0</v>
      </c>
      <c r="AD1167" s="173" t="str">
        <f ca="1">IFERROR(__xludf.DUMMYFUNCTION("""COMPUTED_VALUE"""),"")</f>
        <v/>
      </c>
      <c r="AE1167" s="154" t="str">
        <v/>
      </c>
      <c r="AF1167" s="154" t="str">
        <v/>
      </c>
    </row>
    <row r="1168" spans="1:32" ht="15">
      <c r="A1168" s="176"/>
      <c r="B1168" s="145"/>
      <c r="C1168" s="169"/>
      <c r="D1168" s="145"/>
      <c r="E1168" s="145"/>
      <c r="F1168" s="169" t="e">
        <v>#VALUE!</v>
      </c>
      <c r="G1168" s="145"/>
      <c r="H1168" s="145"/>
      <c r="I1168" s="145"/>
      <c r="J1168" s="145"/>
      <c r="K1168" s="145"/>
      <c r="L1168" s="145"/>
      <c r="M1168" s="145"/>
      <c r="N1168" s="145"/>
      <c r="O1168" s="174"/>
      <c r="P1168" s="174"/>
      <c r="Q1168" s="158" t="str">
        <v/>
      </c>
      <c r="R1168" s="158" t="str">
        <v/>
      </c>
      <c r="S1168" s="158" t="str">
        <v/>
      </c>
      <c r="T1168" s="158" t="str">
        <v/>
      </c>
      <c r="U1168" s="158" t="str">
        <v/>
      </c>
      <c r="V1168" s="158" t="str">
        <v/>
      </c>
      <c r="W1168" s="158" t="str">
        <v/>
      </c>
      <c r="X1168" s="158" t="str">
        <v/>
      </c>
      <c r="Y1168" s="158" t="str">
        <v/>
      </c>
      <c r="Z1168" s="158" t="str">
        <v/>
      </c>
      <c r="AA1168" s="158" t="e">
        <v>#VALUE!</v>
      </c>
      <c r="AB1168" s="171" t="str">
        <v/>
      </c>
      <c r="AC1168" s="158">
        <v>0</v>
      </c>
      <c r="AD1168" s="173" t="str">
        <f ca="1">IFERROR(__xludf.DUMMYFUNCTION("""COMPUTED_VALUE"""),"")</f>
        <v/>
      </c>
      <c r="AE1168" s="154" t="str">
        <v/>
      </c>
      <c r="AF1168" s="154" t="str">
        <v/>
      </c>
    </row>
    <row r="1169" spans="1:32" ht="15">
      <c r="A1169" s="176"/>
      <c r="B1169" s="145"/>
      <c r="C1169" s="169"/>
      <c r="D1169" s="145"/>
      <c r="E1169" s="145"/>
      <c r="F1169" s="169" t="e">
        <v>#VALUE!</v>
      </c>
      <c r="G1169" s="145"/>
      <c r="H1169" s="145"/>
      <c r="I1169" s="145"/>
      <c r="J1169" s="145"/>
      <c r="K1169" s="145"/>
      <c r="L1169" s="145"/>
      <c r="M1169" s="145"/>
      <c r="N1169" s="145"/>
      <c r="O1169" s="174"/>
      <c r="P1169" s="174"/>
      <c r="Q1169" s="158" t="str">
        <v/>
      </c>
      <c r="R1169" s="158" t="str">
        <v/>
      </c>
      <c r="S1169" s="158" t="str">
        <v/>
      </c>
      <c r="T1169" s="158" t="str">
        <v/>
      </c>
      <c r="U1169" s="158" t="str">
        <v/>
      </c>
      <c r="V1169" s="158" t="str">
        <v/>
      </c>
      <c r="W1169" s="158" t="str">
        <v/>
      </c>
      <c r="X1169" s="158" t="str">
        <v/>
      </c>
      <c r="Y1169" s="158" t="str">
        <v/>
      </c>
      <c r="Z1169" s="158" t="str">
        <v/>
      </c>
      <c r="AA1169" s="158" t="e">
        <v>#VALUE!</v>
      </c>
      <c r="AB1169" s="171" t="str">
        <v/>
      </c>
      <c r="AC1169" s="158">
        <v>0</v>
      </c>
      <c r="AD1169" s="173" t="str">
        <f ca="1">IFERROR(__xludf.DUMMYFUNCTION("""COMPUTED_VALUE"""),"")</f>
        <v/>
      </c>
      <c r="AE1169" s="154" t="str">
        <v/>
      </c>
      <c r="AF1169" s="154" t="str">
        <v/>
      </c>
    </row>
    <row r="1170" spans="1:32" ht="15">
      <c r="A1170" s="176"/>
      <c r="B1170" s="145"/>
      <c r="C1170" s="169"/>
      <c r="D1170" s="145"/>
      <c r="E1170" s="145"/>
      <c r="F1170" s="169" t="e">
        <v>#VALUE!</v>
      </c>
      <c r="G1170" s="145"/>
      <c r="H1170" s="145"/>
      <c r="I1170" s="145"/>
      <c r="J1170" s="145"/>
      <c r="K1170" s="145"/>
      <c r="L1170" s="145"/>
      <c r="M1170" s="145"/>
      <c r="N1170" s="145"/>
      <c r="O1170" s="174"/>
      <c r="P1170" s="174"/>
      <c r="Q1170" s="158" t="str">
        <v/>
      </c>
      <c r="R1170" s="158" t="str">
        <v/>
      </c>
      <c r="S1170" s="158" t="str">
        <v/>
      </c>
      <c r="T1170" s="158" t="str">
        <v/>
      </c>
      <c r="U1170" s="158" t="str">
        <v/>
      </c>
      <c r="V1170" s="158" t="str">
        <v/>
      </c>
      <c r="W1170" s="158" t="str">
        <v/>
      </c>
      <c r="X1170" s="158" t="str">
        <v/>
      </c>
      <c r="Y1170" s="158" t="str">
        <v/>
      </c>
      <c r="Z1170" s="158" t="str">
        <v/>
      </c>
      <c r="AA1170" s="158" t="e">
        <v>#VALUE!</v>
      </c>
      <c r="AB1170" s="171" t="str">
        <v/>
      </c>
      <c r="AC1170" s="158">
        <v>0</v>
      </c>
      <c r="AD1170" s="173" t="str">
        <f ca="1">IFERROR(__xludf.DUMMYFUNCTION("""COMPUTED_VALUE"""),"")</f>
        <v/>
      </c>
      <c r="AE1170" s="154" t="str">
        <v/>
      </c>
      <c r="AF1170" s="154" t="str">
        <v/>
      </c>
    </row>
    <row r="1171" spans="1:32" ht="15">
      <c r="A1171" s="176"/>
      <c r="B1171" s="145"/>
      <c r="C1171" s="169"/>
      <c r="D1171" s="145"/>
      <c r="E1171" s="145"/>
      <c r="F1171" s="169" t="e">
        <v>#VALUE!</v>
      </c>
      <c r="G1171" s="145"/>
      <c r="H1171" s="145"/>
      <c r="I1171" s="145"/>
      <c r="J1171" s="145"/>
      <c r="K1171" s="145"/>
      <c r="L1171" s="145"/>
      <c r="M1171" s="145"/>
      <c r="N1171" s="145"/>
      <c r="O1171" s="174"/>
      <c r="P1171" s="174"/>
      <c r="Q1171" s="158" t="str">
        <v/>
      </c>
      <c r="R1171" s="158" t="str">
        <v/>
      </c>
      <c r="S1171" s="158" t="str">
        <v/>
      </c>
      <c r="T1171" s="158" t="str">
        <v/>
      </c>
      <c r="U1171" s="158" t="str">
        <v/>
      </c>
      <c r="V1171" s="158" t="str">
        <v/>
      </c>
      <c r="W1171" s="158" t="str">
        <v/>
      </c>
      <c r="X1171" s="158" t="str">
        <v/>
      </c>
      <c r="Y1171" s="158" t="str">
        <v/>
      </c>
      <c r="Z1171" s="158" t="str">
        <v/>
      </c>
      <c r="AA1171" s="158" t="e">
        <v>#VALUE!</v>
      </c>
      <c r="AB1171" s="171" t="str">
        <v/>
      </c>
      <c r="AC1171" s="158">
        <v>0</v>
      </c>
      <c r="AD1171" s="173" t="str">
        <f ca="1">IFERROR(__xludf.DUMMYFUNCTION("""COMPUTED_VALUE"""),"")</f>
        <v/>
      </c>
      <c r="AE1171" s="154" t="str">
        <v/>
      </c>
      <c r="AF1171" s="154" t="str">
        <v/>
      </c>
    </row>
    <row r="1172" spans="1:32" ht="15">
      <c r="A1172" s="176"/>
      <c r="B1172" s="145"/>
      <c r="C1172" s="169"/>
      <c r="D1172" s="145"/>
      <c r="E1172" s="145"/>
      <c r="F1172" s="169" t="e">
        <v>#VALUE!</v>
      </c>
      <c r="G1172" s="145"/>
      <c r="H1172" s="145"/>
      <c r="I1172" s="145"/>
      <c r="J1172" s="145"/>
      <c r="K1172" s="145"/>
      <c r="L1172" s="145"/>
      <c r="M1172" s="145"/>
      <c r="N1172" s="145"/>
      <c r="O1172" s="174"/>
      <c r="P1172" s="174"/>
      <c r="Q1172" s="158" t="str">
        <v/>
      </c>
      <c r="R1172" s="158" t="str">
        <v/>
      </c>
      <c r="S1172" s="158" t="str">
        <v/>
      </c>
      <c r="T1172" s="158" t="str">
        <v/>
      </c>
      <c r="U1172" s="158" t="str">
        <v/>
      </c>
      <c r="V1172" s="158" t="str">
        <v/>
      </c>
      <c r="W1172" s="158" t="str">
        <v/>
      </c>
      <c r="X1172" s="158" t="str">
        <v/>
      </c>
      <c r="Y1172" s="158" t="str">
        <v/>
      </c>
      <c r="Z1172" s="158" t="str">
        <v/>
      </c>
      <c r="AA1172" s="158" t="e">
        <v>#VALUE!</v>
      </c>
      <c r="AB1172" s="171" t="str">
        <v/>
      </c>
      <c r="AC1172" s="158">
        <v>0</v>
      </c>
      <c r="AD1172" s="173" t="str">
        <f ca="1">IFERROR(__xludf.DUMMYFUNCTION("""COMPUTED_VALUE"""),"")</f>
        <v/>
      </c>
      <c r="AE1172" s="154" t="str">
        <v/>
      </c>
      <c r="AF1172" s="154" t="str">
        <v/>
      </c>
    </row>
    <row r="1173" spans="1:32" ht="15">
      <c r="A1173" s="176"/>
      <c r="B1173" s="145"/>
      <c r="C1173" s="169"/>
      <c r="D1173" s="145"/>
      <c r="E1173" s="145"/>
      <c r="F1173" s="169" t="e">
        <v>#VALUE!</v>
      </c>
      <c r="G1173" s="145"/>
      <c r="H1173" s="145"/>
      <c r="I1173" s="145"/>
      <c r="J1173" s="145"/>
      <c r="K1173" s="145"/>
      <c r="L1173" s="145"/>
      <c r="M1173" s="145"/>
      <c r="N1173" s="145"/>
      <c r="O1173" s="174"/>
      <c r="P1173" s="174"/>
      <c r="Q1173" s="158" t="str">
        <v/>
      </c>
      <c r="R1173" s="158" t="str">
        <v/>
      </c>
      <c r="S1173" s="158" t="str">
        <v/>
      </c>
      <c r="T1173" s="158" t="str">
        <v/>
      </c>
      <c r="U1173" s="158" t="str">
        <v/>
      </c>
      <c r="V1173" s="158" t="str">
        <v/>
      </c>
      <c r="W1173" s="158" t="str">
        <v/>
      </c>
      <c r="X1173" s="158" t="str">
        <v/>
      </c>
      <c r="Y1173" s="158" t="str">
        <v/>
      </c>
      <c r="Z1173" s="158" t="str">
        <v/>
      </c>
      <c r="AA1173" s="158" t="e">
        <v>#VALUE!</v>
      </c>
      <c r="AB1173" s="171" t="str">
        <v/>
      </c>
      <c r="AC1173" s="158">
        <v>0</v>
      </c>
      <c r="AD1173" s="173" t="str">
        <f ca="1">IFERROR(__xludf.DUMMYFUNCTION("""COMPUTED_VALUE"""),"")</f>
        <v/>
      </c>
      <c r="AE1173" s="154" t="str">
        <v/>
      </c>
      <c r="AF1173" s="154" t="str">
        <v/>
      </c>
    </row>
    <row r="1174" spans="1:32" ht="15">
      <c r="A1174" s="176"/>
      <c r="B1174" s="145"/>
      <c r="C1174" s="169"/>
      <c r="D1174" s="145"/>
      <c r="E1174" s="145"/>
      <c r="F1174" s="169" t="e">
        <v>#VALUE!</v>
      </c>
      <c r="G1174" s="145"/>
      <c r="H1174" s="145"/>
      <c r="I1174" s="145"/>
      <c r="J1174" s="145"/>
      <c r="K1174" s="145"/>
      <c r="L1174" s="145"/>
      <c r="M1174" s="145"/>
      <c r="N1174" s="145"/>
      <c r="O1174" s="174"/>
      <c r="P1174" s="174"/>
      <c r="Q1174" s="158" t="str">
        <v/>
      </c>
      <c r="R1174" s="158" t="str">
        <v/>
      </c>
      <c r="S1174" s="158" t="str">
        <v/>
      </c>
      <c r="T1174" s="158" t="str">
        <v/>
      </c>
      <c r="U1174" s="158" t="str">
        <v/>
      </c>
      <c r="V1174" s="158" t="str">
        <v/>
      </c>
      <c r="W1174" s="158" t="str">
        <v/>
      </c>
      <c r="X1174" s="158" t="str">
        <v/>
      </c>
      <c r="Y1174" s="158" t="str">
        <v/>
      </c>
      <c r="Z1174" s="158" t="str">
        <v/>
      </c>
      <c r="AA1174" s="158" t="e">
        <v>#VALUE!</v>
      </c>
      <c r="AB1174" s="171" t="str">
        <v/>
      </c>
      <c r="AC1174" s="158">
        <v>0</v>
      </c>
      <c r="AD1174" s="173" t="str">
        <f ca="1">IFERROR(__xludf.DUMMYFUNCTION("""COMPUTED_VALUE"""),"")</f>
        <v/>
      </c>
      <c r="AE1174" s="154" t="str">
        <v/>
      </c>
      <c r="AF1174" s="154" t="str">
        <v/>
      </c>
    </row>
    <row r="1175" spans="1:32" ht="15">
      <c r="A1175" s="176"/>
      <c r="B1175" s="145"/>
      <c r="C1175" s="169"/>
      <c r="D1175" s="145"/>
      <c r="E1175" s="145"/>
      <c r="F1175" s="169" t="e">
        <v>#VALUE!</v>
      </c>
      <c r="G1175" s="145"/>
      <c r="H1175" s="145"/>
      <c r="I1175" s="145"/>
      <c r="J1175" s="145"/>
      <c r="K1175" s="145"/>
      <c r="L1175" s="145"/>
      <c r="M1175" s="145"/>
      <c r="N1175" s="145"/>
      <c r="O1175" s="174"/>
      <c r="P1175" s="174"/>
      <c r="Q1175" s="158" t="str">
        <v/>
      </c>
      <c r="R1175" s="158" t="str">
        <v/>
      </c>
      <c r="S1175" s="158" t="str">
        <v/>
      </c>
      <c r="T1175" s="158" t="str">
        <v/>
      </c>
      <c r="U1175" s="158" t="str">
        <v/>
      </c>
      <c r="V1175" s="158" t="str">
        <v/>
      </c>
      <c r="W1175" s="158" t="str">
        <v/>
      </c>
      <c r="X1175" s="158" t="str">
        <v/>
      </c>
      <c r="Y1175" s="158" t="str">
        <v/>
      </c>
      <c r="Z1175" s="158" t="str">
        <v/>
      </c>
      <c r="AA1175" s="158" t="e">
        <v>#VALUE!</v>
      </c>
      <c r="AB1175" s="171" t="str">
        <v/>
      </c>
      <c r="AC1175" s="158">
        <v>0</v>
      </c>
      <c r="AD1175" s="173" t="str">
        <f ca="1">IFERROR(__xludf.DUMMYFUNCTION("""COMPUTED_VALUE"""),"")</f>
        <v/>
      </c>
      <c r="AE1175" s="154" t="str">
        <v/>
      </c>
      <c r="AF1175" s="154" t="str">
        <v/>
      </c>
    </row>
    <row r="1176" spans="1:32" ht="15">
      <c r="A1176" s="176"/>
      <c r="B1176" s="145"/>
      <c r="C1176" s="169"/>
      <c r="D1176" s="145"/>
      <c r="E1176" s="145"/>
      <c r="F1176" s="169" t="e">
        <v>#VALUE!</v>
      </c>
      <c r="G1176" s="145"/>
      <c r="H1176" s="145"/>
      <c r="I1176" s="145"/>
      <c r="J1176" s="145"/>
      <c r="K1176" s="145"/>
      <c r="L1176" s="145"/>
      <c r="M1176" s="145"/>
      <c r="N1176" s="145"/>
      <c r="O1176" s="174"/>
      <c r="P1176" s="174"/>
      <c r="Q1176" s="158" t="str">
        <v/>
      </c>
      <c r="R1176" s="158" t="str">
        <v/>
      </c>
      <c r="S1176" s="158" t="str">
        <v/>
      </c>
      <c r="T1176" s="158" t="str">
        <v/>
      </c>
      <c r="U1176" s="158" t="str">
        <v/>
      </c>
      <c r="V1176" s="158" t="str">
        <v/>
      </c>
      <c r="W1176" s="158" t="str">
        <v/>
      </c>
      <c r="X1176" s="158" t="str">
        <v/>
      </c>
      <c r="Y1176" s="158" t="str">
        <v/>
      </c>
      <c r="Z1176" s="158" t="str">
        <v/>
      </c>
      <c r="AA1176" s="158" t="e">
        <v>#VALUE!</v>
      </c>
      <c r="AB1176" s="171" t="str">
        <v/>
      </c>
      <c r="AC1176" s="158">
        <v>0</v>
      </c>
      <c r="AD1176" s="173" t="str">
        <f ca="1">IFERROR(__xludf.DUMMYFUNCTION("""COMPUTED_VALUE"""),"")</f>
        <v/>
      </c>
      <c r="AE1176" s="154" t="str">
        <v/>
      </c>
      <c r="AF1176" s="154" t="str">
        <v/>
      </c>
    </row>
    <row r="1177" spans="1:32" ht="15">
      <c r="A1177" s="176"/>
      <c r="B1177" s="145"/>
      <c r="C1177" s="169"/>
      <c r="D1177" s="145"/>
      <c r="E1177" s="145"/>
      <c r="F1177" s="169" t="e">
        <v>#VALUE!</v>
      </c>
      <c r="G1177" s="145"/>
      <c r="H1177" s="145"/>
      <c r="I1177" s="145"/>
      <c r="J1177" s="145"/>
      <c r="K1177" s="145"/>
      <c r="L1177" s="145"/>
      <c r="M1177" s="145"/>
      <c r="N1177" s="145"/>
      <c r="O1177" s="174"/>
      <c r="P1177" s="174"/>
      <c r="Q1177" s="158" t="str">
        <v/>
      </c>
      <c r="R1177" s="158" t="str">
        <v/>
      </c>
      <c r="S1177" s="158" t="str">
        <v/>
      </c>
      <c r="T1177" s="158" t="str">
        <v/>
      </c>
      <c r="U1177" s="158" t="str">
        <v/>
      </c>
      <c r="V1177" s="158" t="str">
        <v/>
      </c>
      <c r="W1177" s="158" t="str">
        <v/>
      </c>
      <c r="X1177" s="158" t="str">
        <v/>
      </c>
      <c r="Y1177" s="158" t="str">
        <v/>
      </c>
      <c r="Z1177" s="158" t="str">
        <v/>
      </c>
      <c r="AA1177" s="158" t="e">
        <v>#VALUE!</v>
      </c>
      <c r="AB1177" s="171" t="str">
        <v/>
      </c>
      <c r="AC1177" s="158">
        <v>0</v>
      </c>
      <c r="AD1177" s="173" t="str">
        <f ca="1">IFERROR(__xludf.DUMMYFUNCTION("""COMPUTED_VALUE"""),"")</f>
        <v/>
      </c>
      <c r="AE1177" s="154" t="str">
        <v/>
      </c>
      <c r="AF1177" s="154" t="str">
        <v/>
      </c>
    </row>
    <row r="1178" spans="1:32" ht="15">
      <c r="A1178" s="176"/>
      <c r="B1178" s="145"/>
      <c r="C1178" s="169"/>
      <c r="D1178" s="145"/>
      <c r="E1178" s="145"/>
      <c r="F1178" s="169" t="e">
        <v>#VALUE!</v>
      </c>
      <c r="G1178" s="145"/>
      <c r="H1178" s="145"/>
      <c r="I1178" s="145"/>
      <c r="J1178" s="145"/>
      <c r="K1178" s="145"/>
      <c r="L1178" s="145"/>
      <c r="M1178" s="145"/>
      <c r="N1178" s="145"/>
      <c r="O1178" s="174"/>
      <c r="P1178" s="174"/>
      <c r="Q1178" s="158" t="str">
        <v/>
      </c>
      <c r="R1178" s="158" t="str">
        <v/>
      </c>
      <c r="S1178" s="158" t="str">
        <v/>
      </c>
      <c r="T1178" s="158" t="str">
        <v/>
      </c>
      <c r="U1178" s="158" t="str">
        <v/>
      </c>
      <c r="V1178" s="158" t="str">
        <v/>
      </c>
      <c r="W1178" s="158" t="str">
        <v/>
      </c>
      <c r="X1178" s="158" t="str">
        <v/>
      </c>
      <c r="Y1178" s="158" t="str">
        <v/>
      </c>
      <c r="Z1178" s="158" t="str">
        <v/>
      </c>
      <c r="AA1178" s="158" t="e">
        <v>#VALUE!</v>
      </c>
      <c r="AB1178" s="171" t="str">
        <v/>
      </c>
      <c r="AC1178" s="158">
        <v>0</v>
      </c>
      <c r="AD1178" s="173" t="str">
        <f ca="1">IFERROR(__xludf.DUMMYFUNCTION("""COMPUTED_VALUE"""),"")</f>
        <v/>
      </c>
      <c r="AE1178" s="154" t="str">
        <v/>
      </c>
      <c r="AF1178" s="154" t="str">
        <v/>
      </c>
    </row>
    <row r="1179" spans="1:32" ht="15">
      <c r="A1179" s="176"/>
      <c r="B1179" s="145"/>
      <c r="C1179" s="169"/>
      <c r="D1179" s="145"/>
      <c r="E1179" s="145"/>
      <c r="F1179" s="169" t="e">
        <v>#VALUE!</v>
      </c>
      <c r="G1179" s="145"/>
      <c r="H1179" s="145"/>
      <c r="I1179" s="145"/>
      <c r="J1179" s="145"/>
      <c r="K1179" s="145"/>
      <c r="L1179" s="145"/>
      <c r="M1179" s="145"/>
      <c r="N1179" s="145"/>
      <c r="O1179" s="174"/>
      <c r="P1179" s="174"/>
      <c r="Q1179" s="158" t="str">
        <v/>
      </c>
      <c r="R1179" s="158" t="str">
        <v/>
      </c>
      <c r="S1179" s="158" t="str">
        <v/>
      </c>
      <c r="T1179" s="158" t="str">
        <v/>
      </c>
      <c r="U1179" s="158" t="str">
        <v/>
      </c>
      <c r="V1179" s="158" t="str">
        <v/>
      </c>
      <c r="W1179" s="158" t="str">
        <v/>
      </c>
      <c r="X1179" s="158" t="str">
        <v/>
      </c>
      <c r="Y1179" s="158" t="str">
        <v/>
      </c>
      <c r="Z1179" s="158" t="str">
        <v/>
      </c>
      <c r="AA1179" s="158" t="e">
        <v>#VALUE!</v>
      </c>
      <c r="AB1179" s="171" t="str">
        <v/>
      </c>
      <c r="AC1179" s="158">
        <v>0</v>
      </c>
      <c r="AD1179" s="173" t="str">
        <f ca="1">IFERROR(__xludf.DUMMYFUNCTION("""COMPUTED_VALUE"""),"")</f>
        <v/>
      </c>
      <c r="AE1179" s="154" t="str">
        <v/>
      </c>
      <c r="AF1179" s="154" t="str">
        <v/>
      </c>
    </row>
    <row r="1180" spans="1:32" ht="15">
      <c r="A1180" s="176"/>
      <c r="B1180" s="145"/>
      <c r="C1180" s="169"/>
      <c r="D1180" s="145"/>
      <c r="E1180" s="145"/>
      <c r="F1180" s="169" t="e">
        <v>#VALUE!</v>
      </c>
      <c r="G1180" s="145"/>
      <c r="H1180" s="145"/>
      <c r="I1180" s="145"/>
      <c r="J1180" s="145"/>
      <c r="K1180" s="145"/>
      <c r="L1180" s="145"/>
      <c r="M1180" s="145"/>
      <c r="N1180" s="145"/>
      <c r="O1180" s="174"/>
      <c r="P1180" s="174"/>
      <c r="Q1180" s="158" t="str">
        <v/>
      </c>
      <c r="R1180" s="158" t="str">
        <v/>
      </c>
      <c r="S1180" s="158" t="str">
        <v/>
      </c>
      <c r="T1180" s="158" t="str">
        <v/>
      </c>
      <c r="U1180" s="158" t="str">
        <v/>
      </c>
      <c r="V1180" s="158" t="str">
        <v/>
      </c>
      <c r="W1180" s="158" t="str">
        <v/>
      </c>
      <c r="X1180" s="158" t="str">
        <v/>
      </c>
      <c r="Y1180" s="158" t="str">
        <v/>
      </c>
      <c r="Z1180" s="158" t="str">
        <v/>
      </c>
      <c r="AA1180" s="158" t="e">
        <v>#VALUE!</v>
      </c>
      <c r="AB1180" s="171" t="str">
        <v/>
      </c>
      <c r="AC1180" s="158">
        <v>0</v>
      </c>
      <c r="AD1180" s="173" t="str">
        <f ca="1">IFERROR(__xludf.DUMMYFUNCTION("""COMPUTED_VALUE"""),"")</f>
        <v/>
      </c>
      <c r="AE1180" s="154" t="str">
        <v/>
      </c>
      <c r="AF1180" s="154" t="str">
        <v/>
      </c>
    </row>
    <row r="1181" spans="1:32" ht="15">
      <c r="A1181" s="176"/>
      <c r="B1181" s="145"/>
      <c r="C1181" s="169"/>
      <c r="D1181" s="145"/>
      <c r="E1181" s="145"/>
      <c r="F1181" s="169" t="e">
        <v>#VALUE!</v>
      </c>
      <c r="G1181" s="145"/>
      <c r="H1181" s="145"/>
      <c r="I1181" s="145"/>
      <c r="J1181" s="145"/>
      <c r="K1181" s="145"/>
      <c r="L1181" s="145"/>
      <c r="M1181" s="145"/>
      <c r="N1181" s="145"/>
      <c r="O1181" s="174"/>
      <c r="P1181" s="174"/>
      <c r="Q1181" s="158" t="str">
        <v/>
      </c>
      <c r="R1181" s="158" t="str">
        <v/>
      </c>
      <c r="S1181" s="158" t="str">
        <v/>
      </c>
      <c r="T1181" s="158" t="str">
        <v/>
      </c>
      <c r="U1181" s="158" t="str">
        <v/>
      </c>
      <c r="V1181" s="158" t="str">
        <v/>
      </c>
      <c r="W1181" s="158" t="str">
        <v/>
      </c>
      <c r="X1181" s="158" t="str">
        <v/>
      </c>
      <c r="Y1181" s="158" t="str">
        <v/>
      </c>
      <c r="Z1181" s="158" t="str">
        <v/>
      </c>
      <c r="AA1181" s="158" t="e">
        <v>#VALUE!</v>
      </c>
      <c r="AB1181" s="171" t="str">
        <v/>
      </c>
      <c r="AC1181" s="158">
        <v>0</v>
      </c>
      <c r="AD1181" s="173" t="str">
        <f ca="1">IFERROR(__xludf.DUMMYFUNCTION("""COMPUTED_VALUE"""),"")</f>
        <v/>
      </c>
      <c r="AE1181" s="154" t="str">
        <v/>
      </c>
      <c r="AF1181" s="154" t="str">
        <v/>
      </c>
    </row>
    <row r="1182" spans="1:32" ht="15">
      <c r="A1182" s="176"/>
      <c r="B1182" s="145"/>
      <c r="C1182" s="169"/>
      <c r="D1182" s="145"/>
      <c r="E1182" s="145"/>
      <c r="F1182" s="169" t="e">
        <v>#VALUE!</v>
      </c>
      <c r="G1182" s="145"/>
      <c r="H1182" s="145"/>
      <c r="I1182" s="145"/>
      <c r="J1182" s="145"/>
      <c r="K1182" s="145"/>
      <c r="L1182" s="145"/>
      <c r="M1182" s="145"/>
      <c r="N1182" s="145"/>
      <c r="O1182" s="174"/>
      <c r="P1182" s="174"/>
      <c r="Q1182" s="158" t="str">
        <v/>
      </c>
      <c r="R1182" s="158" t="str">
        <v/>
      </c>
      <c r="S1182" s="158" t="str">
        <v/>
      </c>
      <c r="T1182" s="158" t="str">
        <v/>
      </c>
      <c r="U1182" s="158" t="str">
        <v/>
      </c>
      <c r="V1182" s="158" t="str">
        <v/>
      </c>
      <c r="W1182" s="158" t="str">
        <v/>
      </c>
      <c r="X1182" s="158" t="str">
        <v/>
      </c>
      <c r="Y1182" s="158" t="str">
        <v/>
      </c>
      <c r="Z1182" s="158" t="str">
        <v/>
      </c>
      <c r="AA1182" s="158" t="e">
        <v>#VALUE!</v>
      </c>
      <c r="AB1182" s="171" t="str">
        <v/>
      </c>
      <c r="AC1182" s="158">
        <v>0</v>
      </c>
      <c r="AD1182" s="173" t="str">
        <f ca="1">IFERROR(__xludf.DUMMYFUNCTION("""COMPUTED_VALUE"""),"")</f>
        <v/>
      </c>
      <c r="AE1182" s="154" t="str">
        <v/>
      </c>
      <c r="AF1182" s="154" t="str">
        <v/>
      </c>
    </row>
    <row r="1183" spans="1:32" ht="15">
      <c r="A1183" s="176"/>
      <c r="B1183" s="145"/>
      <c r="C1183" s="169"/>
      <c r="D1183" s="145"/>
      <c r="E1183" s="145"/>
      <c r="F1183" s="169" t="e">
        <v>#VALUE!</v>
      </c>
      <c r="G1183" s="145"/>
      <c r="H1183" s="145"/>
      <c r="I1183" s="145"/>
      <c r="J1183" s="145"/>
      <c r="K1183" s="145"/>
      <c r="L1183" s="145"/>
      <c r="M1183" s="145"/>
      <c r="N1183" s="145"/>
      <c r="O1183" s="174"/>
      <c r="P1183" s="174"/>
      <c r="Q1183" s="158" t="str">
        <v/>
      </c>
      <c r="R1183" s="158" t="str">
        <v/>
      </c>
      <c r="S1183" s="158" t="str">
        <v/>
      </c>
      <c r="T1183" s="158" t="str">
        <v/>
      </c>
      <c r="U1183" s="158" t="str">
        <v/>
      </c>
      <c r="V1183" s="158" t="str">
        <v/>
      </c>
      <c r="W1183" s="158" t="str">
        <v/>
      </c>
      <c r="X1183" s="158" t="str">
        <v/>
      </c>
      <c r="Y1183" s="158" t="str">
        <v/>
      </c>
      <c r="Z1183" s="158" t="str">
        <v/>
      </c>
      <c r="AA1183" s="158" t="e">
        <v>#VALUE!</v>
      </c>
      <c r="AB1183" s="171" t="str">
        <v/>
      </c>
      <c r="AC1183" s="158">
        <v>0</v>
      </c>
      <c r="AD1183" s="173" t="str">
        <f ca="1">IFERROR(__xludf.DUMMYFUNCTION("""COMPUTED_VALUE"""),"")</f>
        <v/>
      </c>
      <c r="AE1183" s="154" t="str">
        <v/>
      </c>
      <c r="AF1183" s="154" t="str">
        <v/>
      </c>
    </row>
    <row r="1184" spans="1:32" ht="15">
      <c r="A1184" s="176"/>
      <c r="B1184" s="145"/>
      <c r="C1184" s="169"/>
      <c r="D1184" s="145"/>
      <c r="E1184" s="145"/>
      <c r="F1184" s="169" t="e">
        <v>#VALUE!</v>
      </c>
      <c r="G1184" s="145"/>
      <c r="H1184" s="145"/>
      <c r="I1184" s="145"/>
      <c r="J1184" s="145"/>
      <c r="K1184" s="145"/>
      <c r="L1184" s="145"/>
      <c r="M1184" s="145"/>
      <c r="N1184" s="145"/>
      <c r="O1184" s="174"/>
      <c r="P1184" s="174"/>
      <c r="Q1184" s="158" t="str">
        <v/>
      </c>
      <c r="R1184" s="158" t="str">
        <v/>
      </c>
      <c r="S1184" s="158" t="str">
        <v/>
      </c>
      <c r="T1184" s="158" t="str">
        <v/>
      </c>
      <c r="U1184" s="158" t="str">
        <v/>
      </c>
      <c r="V1184" s="158" t="str">
        <v/>
      </c>
      <c r="W1184" s="158" t="str">
        <v/>
      </c>
      <c r="X1184" s="158" t="str">
        <v/>
      </c>
      <c r="Y1184" s="158" t="str">
        <v/>
      </c>
      <c r="Z1184" s="158" t="str">
        <v/>
      </c>
      <c r="AA1184" s="158" t="e">
        <v>#VALUE!</v>
      </c>
      <c r="AB1184" s="171" t="str">
        <v/>
      </c>
      <c r="AC1184" s="158">
        <v>0</v>
      </c>
      <c r="AD1184" s="173" t="str">
        <f ca="1">IFERROR(__xludf.DUMMYFUNCTION("""COMPUTED_VALUE"""),"")</f>
        <v/>
      </c>
      <c r="AE1184" s="154" t="str">
        <v/>
      </c>
      <c r="AF1184" s="154" t="str">
        <v/>
      </c>
    </row>
    <row r="1185" spans="1:32" ht="15">
      <c r="A1185" s="176"/>
      <c r="B1185" s="145"/>
      <c r="C1185" s="169"/>
      <c r="D1185" s="145"/>
      <c r="E1185" s="145"/>
      <c r="F1185" s="169" t="e">
        <v>#VALUE!</v>
      </c>
      <c r="G1185" s="145"/>
      <c r="H1185" s="145"/>
      <c r="I1185" s="145"/>
      <c r="J1185" s="145"/>
      <c r="K1185" s="145"/>
      <c r="L1185" s="145"/>
      <c r="M1185" s="145"/>
      <c r="N1185" s="145"/>
      <c r="O1185" s="174"/>
      <c r="P1185" s="174"/>
      <c r="Q1185" s="158" t="str">
        <v/>
      </c>
      <c r="R1185" s="158" t="str">
        <v/>
      </c>
      <c r="S1185" s="158" t="str">
        <v/>
      </c>
      <c r="T1185" s="158" t="str">
        <v/>
      </c>
      <c r="U1185" s="158" t="str">
        <v/>
      </c>
      <c r="V1185" s="158" t="str">
        <v/>
      </c>
      <c r="W1185" s="158" t="str">
        <v/>
      </c>
      <c r="X1185" s="158" t="str">
        <v/>
      </c>
      <c r="Y1185" s="158" t="str">
        <v/>
      </c>
      <c r="Z1185" s="158" t="str">
        <v/>
      </c>
      <c r="AA1185" s="158" t="e">
        <v>#VALUE!</v>
      </c>
      <c r="AB1185" s="171" t="str">
        <v/>
      </c>
      <c r="AC1185" s="158">
        <v>0</v>
      </c>
      <c r="AD1185" s="173" t="str">
        <f ca="1">IFERROR(__xludf.DUMMYFUNCTION("""COMPUTED_VALUE"""),"")</f>
        <v/>
      </c>
      <c r="AE1185" s="154" t="str">
        <v/>
      </c>
      <c r="AF1185" s="154" t="str">
        <v/>
      </c>
    </row>
    <row r="1186" spans="1:32" ht="15">
      <c r="A1186" s="176"/>
      <c r="B1186" s="145"/>
      <c r="C1186" s="169"/>
      <c r="D1186" s="145"/>
      <c r="E1186" s="145"/>
      <c r="F1186" s="169" t="e">
        <v>#VALUE!</v>
      </c>
      <c r="G1186" s="145"/>
      <c r="H1186" s="145"/>
      <c r="I1186" s="145"/>
      <c r="J1186" s="145"/>
      <c r="K1186" s="145"/>
      <c r="L1186" s="145"/>
      <c r="M1186" s="145"/>
      <c r="N1186" s="145"/>
      <c r="O1186" s="174"/>
      <c r="P1186" s="174"/>
      <c r="Q1186" s="158" t="str">
        <v/>
      </c>
      <c r="R1186" s="158" t="str">
        <v/>
      </c>
      <c r="S1186" s="158" t="str">
        <v/>
      </c>
      <c r="T1186" s="158" t="str">
        <v/>
      </c>
      <c r="U1186" s="158" t="str">
        <v/>
      </c>
      <c r="V1186" s="158" t="str">
        <v/>
      </c>
      <c r="W1186" s="158" t="str">
        <v/>
      </c>
      <c r="X1186" s="158" t="str">
        <v/>
      </c>
      <c r="Y1186" s="158" t="str">
        <v/>
      </c>
      <c r="Z1186" s="158" t="str">
        <v/>
      </c>
      <c r="AA1186" s="158" t="e">
        <v>#VALUE!</v>
      </c>
      <c r="AB1186" s="171" t="str">
        <v/>
      </c>
      <c r="AC1186" s="158">
        <v>0</v>
      </c>
      <c r="AD1186" s="173" t="str">
        <f ca="1">IFERROR(__xludf.DUMMYFUNCTION("""COMPUTED_VALUE"""),"")</f>
        <v/>
      </c>
      <c r="AE1186" s="154" t="str">
        <v/>
      </c>
      <c r="AF1186" s="154" t="str">
        <v/>
      </c>
    </row>
    <row r="1187" spans="1:32" ht="15">
      <c r="A1187" s="176"/>
      <c r="B1187" s="145"/>
      <c r="C1187" s="169"/>
      <c r="D1187" s="145"/>
      <c r="E1187" s="145"/>
      <c r="F1187" s="169" t="e">
        <v>#VALUE!</v>
      </c>
      <c r="G1187" s="145"/>
      <c r="H1187" s="145"/>
      <c r="I1187" s="145"/>
      <c r="J1187" s="145"/>
      <c r="K1187" s="145"/>
      <c r="L1187" s="145"/>
      <c r="M1187" s="145"/>
      <c r="N1187" s="145"/>
      <c r="O1187" s="174"/>
      <c r="P1187" s="174"/>
      <c r="Q1187" s="158" t="str">
        <v/>
      </c>
      <c r="R1187" s="158" t="str">
        <v/>
      </c>
      <c r="S1187" s="158" t="str">
        <v/>
      </c>
      <c r="T1187" s="158" t="str">
        <v/>
      </c>
      <c r="U1187" s="158" t="str">
        <v/>
      </c>
      <c r="V1187" s="158" t="str">
        <v/>
      </c>
      <c r="W1187" s="158" t="str">
        <v/>
      </c>
      <c r="X1187" s="158" t="str">
        <v/>
      </c>
      <c r="Y1187" s="158" t="str">
        <v/>
      </c>
      <c r="Z1187" s="158" t="str">
        <v/>
      </c>
      <c r="AA1187" s="158" t="e">
        <v>#VALUE!</v>
      </c>
      <c r="AB1187" s="171" t="str">
        <v/>
      </c>
      <c r="AC1187" s="158">
        <v>0</v>
      </c>
      <c r="AD1187" s="173" t="str">
        <f ca="1">IFERROR(__xludf.DUMMYFUNCTION("""COMPUTED_VALUE"""),"")</f>
        <v/>
      </c>
      <c r="AE1187" s="154" t="str">
        <v/>
      </c>
      <c r="AF1187" s="154" t="str">
        <v/>
      </c>
    </row>
    <row r="1188" spans="1:32" ht="15">
      <c r="A1188" s="176"/>
      <c r="B1188" s="145"/>
      <c r="C1188" s="169"/>
      <c r="D1188" s="145"/>
      <c r="E1188" s="145"/>
      <c r="F1188" s="169" t="e">
        <v>#VALUE!</v>
      </c>
      <c r="G1188" s="145"/>
      <c r="H1188" s="145"/>
      <c r="I1188" s="145"/>
      <c r="J1188" s="145"/>
      <c r="K1188" s="145"/>
      <c r="L1188" s="145"/>
      <c r="M1188" s="145"/>
      <c r="N1188" s="145"/>
      <c r="O1188" s="174"/>
      <c r="P1188" s="174"/>
      <c r="Q1188" s="158" t="str">
        <v/>
      </c>
      <c r="R1188" s="158" t="str">
        <v/>
      </c>
      <c r="S1188" s="158" t="str">
        <v/>
      </c>
      <c r="T1188" s="158" t="str">
        <v/>
      </c>
      <c r="U1188" s="158" t="str">
        <v/>
      </c>
      <c r="V1188" s="158" t="str">
        <v/>
      </c>
      <c r="W1188" s="158" t="str">
        <v/>
      </c>
      <c r="X1188" s="158" t="str">
        <v/>
      </c>
      <c r="Y1188" s="158" t="str">
        <v/>
      </c>
      <c r="Z1188" s="158" t="str">
        <v/>
      </c>
      <c r="AA1188" s="158" t="e">
        <v>#VALUE!</v>
      </c>
      <c r="AB1188" s="171" t="str">
        <v/>
      </c>
      <c r="AC1188" s="158">
        <v>0</v>
      </c>
      <c r="AD1188" s="173" t="str">
        <f ca="1">IFERROR(__xludf.DUMMYFUNCTION("""COMPUTED_VALUE"""),"")</f>
        <v/>
      </c>
      <c r="AE1188" s="154" t="str">
        <v/>
      </c>
      <c r="AF1188" s="154" t="str">
        <v/>
      </c>
    </row>
    <row r="1189" spans="1:32" ht="15">
      <c r="A1189" s="176"/>
      <c r="B1189" s="145"/>
      <c r="C1189" s="169"/>
      <c r="D1189" s="145"/>
      <c r="E1189" s="145"/>
      <c r="F1189" s="169" t="e">
        <v>#VALUE!</v>
      </c>
      <c r="G1189" s="145"/>
      <c r="H1189" s="145"/>
      <c r="I1189" s="145"/>
      <c r="J1189" s="145"/>
      <c r="K1189" s="145"/>
      <c r="L1189" s="145"/>
      <c r="M1189" s="145"/>
      <c r="N1189" s="145"/>
      <c r="O1189" s="174"/>
      <c r="P1189" s="174"/>
      <c r="Q1189" s="158" t="str">
        <v/>
      </c>
      <c r="R1189" s="158" t="str">
        <v/>
      </c>
      <c r="S1189" s="158" t="str">
        <v/>
      </c>
      <c r="T1189" s="158" t="str">
        <v/>
      </c>
      <c r="U1189" s="158" t="str">
        <v/>
      </c>
      <c r="V1189" s="158" t="str">
        <v/>
      </c>
      <c r="W1189" s="158" t="str">
        <v/>
      </c>
      <c r="X1189" s="158" t="str">
        <v/>
      </c>
      <c r="Y1189" s="158" t="str">
        <v/>
      </c>
      <c r="Z1189" s="158" t="str">
        <v/>
      </c>
      <c r="AA1189" s="158" t="e">
        <v>#VALUE!</v>
      </c>
      <c r="AB1189" s="171" t="str">
        <v/>
      </c>
      <c r="AC1189" s="158">
        <v>0</v>
      </c>
      <c r="AD1189" s="173" t="str">
        <f ca="1">IFERROR(__xludf.DUMMYFUNCTION("""COMPUTED_VALUE"""),"")</f>
        <v/>
      </c>
      <c r="AE1189" s="154" t="str">
        <v/>
      </c>
      <c r="AF1189" s="154" t="str">
        <v/>
      </c>
    </row>
    <row r="1190" spans="1:32" ht="15">
      <c r="A1190" s="176"/>
      <c r="B1190" s="145"/>
      <c r="C1190" s="169"/>
      <c r="D1190" s="145"/>
      <c r="E1190" s="145"/>
      <c r="F1190" s="169" t="e">
        <v>#VALUE!</v>
      </c>
      <c r="G1190" s="145"/>
      <c r="H1190" s="145"/>
      <c r="I1190" s="145"/>
      <c r="J1190" s="145"/>
      <c r="K1190" s="145"/>
      <c r="L1190" s="145"/>
      <c r="M1190" s="145"/>
      <c r="N1190" s="145"/>
      <c r="O1190" s="174"/>
      <c r="P1190" s="174"/>
      <c r="Q1190" s="158" t="str">
        <v/>
      </c>
      <c r="R1190" s="158" t="str">
        <v/>
      </c>
      <c r="S1190" s="158" t="str">
        <v/>
      </c>
      <c r="T1190" s="158" t="str">
        <v/>
      </c>
      <c r="U1190" s="158" t="str">
        <v/>
      </c>
      <c r="V1190" s="158" t="str">
        <v/>
      </c>
      <c r="W1190" s="158" t="str">
        <v/>
      </c>
      <c r="X1190" s="158" t="str">
        <v/>
      </c>
      <c r="Y1190" s="158" t="str">
        <v/>
      </c>
      <c r="Z1190" s="158" t="str">
        <v/>
      </c>
      <c r="AA1190" s="158" t="e">
        <v>#VALUE!</v>
      </c>
      <c r="AB1190" s="171" t="str">
        <v/>
      </c>
      <c r="AC1190" s="158">
        <v>0</v>
      </c>
      <c r="AD1190" s="173" t="str">
        <f ca="1">IFERROR(__xludf.DUMMYFUNCTION("""COMPUTED_VALUE"""),"")</f>
        <v/>
      </c>
      <c r="AE1190" s="154" t="str">
        <v/>
      </c>
      <c r="AF1190" s="154" t="str">
        <v/>
      </c>
    </row>
    <row r="1191" spans="1:32" ht="15">
      <c r="A1191" s="176"/>
      <c r="B1191" s="145"/>
      <c r="C1191" s="169"/>
      <c r="D1191" s="145"/>
      <c r="E1191" s="145"/>
      <c r="F1191" s="169" t="e">
        <v>#VALUE!</v>
      </c>
      <c r="G1191" s="145"/>
      <c r="H1191" s="145"/>
      <c r="I1191" s="145"/>
      <c r="J1191" s="145"/>
      <c r="K1191" s="145"/>
      <c r="L1191" s="145"/>
      <c r="M1191" s="145"/>
      <c r="N1191" s="145"/>
      <c r="O1191" s="174"/>
      <c r="P1191" s="174"/>
      <c r="Q1191" s="158" t="str">
        <v/>
      </c>
      <c r="R1191" s="158" t="str">
        <v/>
      </c>
      <c r="S1191" s="158" t="str">
        <v/>
      </c>
      <c r="T1191" s="158" t="str">
        <v/>
      </c>
      <c r="U1191" s="158" t="str">
        <v/>
      </c>
      <c r="V1191" s="158" t="str">
        <v/>
      </c>
      <c r="W1191" s="158" t="str">
        <v/>
      </c>
      <c r="X1191" s="158" t="str">
        <v/>
      </c>
      <c r="Y1191" s="158" t="str">
        <v/>
      </c>
      <c r="Z1191" s="158" t="str">
        <v/>
      </c>
      <c r="AA1191" s="158" t="e">
        <v>#VALUE!</v>
      </c>
      <c r="AB1191" s="171" t="str">
        <v/>
      </c>
      <c r="AC1191" s="158">
        <v>0</v>
      </c>
      <c r="AD1191" s="173" t="str">
        <f ca="1">IFERROR(__xludf.DUMMYFUNCTION("""COMPUTED_VALUE"""),"")</f>
        <v/>
      </c>
      <c r="AE1191" s="154" t="str">
        <v/>
      </c>
      <c r="AF1191" s="154" t="str">
        <v/>
      </c>
    </row>
    <row r="1192" spans="1:32" ht="15">
      <c r="A1192" s="176"/>
      <c r="B1192" s="145"/>
      <c r="C1192" s="169"/>
      <c r="D1192" s="145"/>
      <c r="E1192" s="145"/>
      <c r="F1192" s="169" t="e">
        <v>#VALUE!</v>
      </c>
      <c r="G1192" s="145"/>
      <c r="H1192" s="145"/>
      <c r="I1192" s="145"/>
      <c r="J1192" s="145"/>
      <c r="K1192" s="145"/>
      <c r="L1192" s="145"/>
      <c r="M1192" s="145"/>
      <c r="N1192" s="145"/>
      <c r="O1192" s="174"/>
      <c r="P1192" s="174"/>
      <c r="Q1192" s="158" t="str">
        <v/>
      </c>
      <c r="R1192" s="158" t="str">
        <v/>
      </c>
      <c r="S1192" s="158" t="str">
        <v/>
      </c>
      <c r="T1192" s="158" t="str">
        <v/>
      </c>
      <c r="U1192" s="158" t="str">
        <v/>
      </c>
      <c r="V1192" s="158" t="str">
        <v/>
      </c>
      <c r="W1192" s="158" t="str">
        <v/>
      </c>
      <c r="X1192" s="158" t="str">
        <v/>
      </c>
      <c r="Y1192" s="158" t="str">
        <v/>
      </c>
      <c r="Z1192" s="158" t="str">
        <v/>
      </c>
      <c r="AA1192" s="158" t="e">
        <v>#VALUE!</v>
      </c>
      <c r="AB1192" s="171" t="str">
        <v/>
      </c>
      <c r="AC1192" s="158">
        <v>0</v>
      </c>
      <c r="AD1192" s="173" t="str">
        <f ca="1">IFERROR(__xludf.DUMMYFUNCTION("""COMPUTED_VALUE"""),"")</f>
        <v/>
      </c>
      <c r="AE1192" s="154" t="str">
        <v/>
      </c>
      <c r="AF1192" s="154" t="str">
        <v/>
      </c>
    </row>
    <row r="1193" spans="1:32" ht="15">
      <c r="A1193" s="176"/>
      <c r="B1193" s="145"/>
      <c r="C1193" s="169"/>
      <c r="D1193" s="145"/>
      <c r="E1193" s="145"/>
      <c r="F1193" s="169" t="e">
        <v>#VALUE!</v>
      </c>
      <c r="G1193" s="145"/>
      <c r="H1193" s="145"/>
      <c r="I1193" s="145"/>
      <c r="J1193" s="145"/>
      <c r="K1193" s="145"/>
      <c r="L1193" s="145"/>
      <c r="M1193" s="145"/>
      <c r="N1193" s="145"/>
      <c r="O1193" s="174"/>
      <c r="P1193" s="174"/>
      <c r="Q1193" s="158" t="str">
        <v/>
      </c>
      <c r="R1193" s="158" t="str">
        <v/>
      </c>
      <c r="S1193" s="158" t="str">
        <v/>
      </c>
      <c r="T1193" s="158" t="str">
        <v/>
      </c>
      <c r="U1193" s="158" t="str">
        <v/>
      </c>
      <c r="V1193" s="158" t="str">
        <v/>
      </c>
      <c r="W1193" s="158" t="str">
        <v/>
      </c>
      <c r="X1193" s="158" t="str">
        <v/>
      </c>
      <c r="Y1193" s="158" t="str">
        <v/>
      </c>
      <c r="Z1193" s="158" t="str">
        <v/>
      </c>
      <c r="AA1193" s="158" t="e">
        <v>#VALUE!</v>
      </c>
      <c r="AB1193" s="171" t="str">
        <v/>
      </c>
      <c r="AC1193" s="158">
        <v>0</v>
      </c>
      <c r="AD1193" s="173" t="str">
        <f ca="1">IFERROR(__xludf.DUMMYFUNCTION("""COMPUTED_VALUE"""),"")</f>
        <v/>
      </c>
      <c r="AE1193" s="154" t="str">
        <v/>
      </c>
      <c r="AF1193" s="154" t="str">
        <v/>
      </c>
    </row>
    <row r="1194" spans="1:32" ht="15">
      <c r="A1194" s="176"/>
      <c r="B1194" s="145"/>
      <c r="C1194" s="169"/>
      <c r="D1194" s="145"/>
      <c r="E1194" s="145"/>
      <c r="F1194" s="169" t="e">
        <v>#VALUE!</v>
      </c>
      <c r="G1194" s="145"/>
      <c r="H1194" s="145"/>
      <c r="I1194" s="145"/>
      <c r="J1194" s="145"/>
      <c r="K1194" s="145"/>
      <c r="L1194" s="145"/>
      <c r="M1194" s="145"/>
      <c r="N1194" s="145"/>
      <c r="O1194" s="174"/>
      <c r="P1194" s="174"/>
      <c r="Q1194" s="158" t="str">
        <v/>
      </c>
      <c r="R1194" s="158" t="str">
        <v/>
      </c>
      <c r="S1194" s="158" t="str">
        <v/>
      </c>
      <c r="T1194" s="158" t="str">
        <v/>
      </c>
      <c r="U1194" s="158" t="str">
        <v/>
      </c>
      <c r="V1194" s="158" t="str">
        <v/>
      </c>
      <c r="W1194" s="158" t="str">
        <v/>
      </c>
      <c r="X1194" s="158" t="str">
        <v/>
      </c>
      <c r="Y1194" s="158" t="str">
        <v/>
      </c>
      <c r="Z1194" s="158" t="str">
        <v/>
      </c>
      <c r="AA1194" s="158" t="e">
        <v>#VALUE!</v>
      </c>
      <c r="AB1194" s="171" t="str">
        <v/>
      </c>
      <c r="AC1194" s="158">
        <v>0</v>
      </c>
      <c r="AD1194" s="173" t="str">
        <f ca="1">IFERROR(__xludf.DUMMYFUNCTION("""COMPUTED_VALUE"""),"")</f>
        <v/>
      </c>
      <c r="AE1194" s="154" t="str">
        <v/>
      </c>
      <c r="AF1194" s="154" t="str">
        <v/>
      </c>
    </row>
    <row r="1195" spans="1:32" ht="15">
      <c r="A1195" s="176"/>
      <c r="B1195" s="145"/>
      <c r="C1195" s="169"/>
      <c r="D1195" s="145"/>
      <c r="E1195" s="145"/>
      <c r="F1195" s="169" t="e">
        <v>#VALUE!</v>
      </c>
      <c r="G1195" s="145"/>
      <c r="H1195" s="145"/>
      <c r="I1195" s="145"/>
      <c r="J1195" s="145"/>
      <c r="K1195" s="145"/>
      <c r="L1195" s="145"/>
      <c r="M1195" s="145"/>
      <c r="N1195" s="145"/>
      <c r="O1195" s="174"/>
      <c r="P1195" s="174"/>
      <c r="Q1195" s="158" t="str">
        <v/>
      </c>
      <c r="R1195" s="158" t="str">
        <v/>
      </c>
      <c r="S1195" s="158" t="str">
        <v/>
      </c>
      <c r="T1195" s="158" t="str">
        <v/>
      </c>
      <c r="U1195" s="158" t="str">
        <v/>
      </c>
      <c r="V1195" s="158" t="str">
        <v/>
      </c>
      <c r="W1195" s="158" t="str">
        <v/>
      </c>
      <c r="X1195" s="158" t="str">
        <v/>
      </c>
      <c r="Y1195" s="158" t="str">
        <v/>
      </c>
      <c r="Z1195" s="158" t="str">
        <v/>
      </c>
      <c r="AA1195" s="158" t="e">
        <v>#VALUE!</v>
      </c>
      <c r="AB1195" s="171" t="str">
        <v/>
      </c>
      <c r="AC1195" s="158">
        <v>0</v>
      </c>
      <c r="AD1195" s="173" t="str">
        <f ca="1">IFERROR(__xludf.DUMMYFUNCTION("""COMPUTED_VALUE"""),"")</f>
        <v/>
      </c>
      <c r="AE1195" s="154" t="str">
        <v/>
      </c>
      <c r="AF1195" s="154" t="str">
        <v/>
      </c>
    </row>
    <row r="1196" spans="1:32" ht="15">
      <c r="A1196" s="176"/>
      <c r="B1196" s="145"/>
      <c r="C1196" s="169"/>
      <c r="D1196" s="145"/>
      <c r="E1196" s="145"/>
      <c r="F1196" s="169" t="e">
        <v>#VALUE!</v>
      </c>
      <c r="G1196" s="145"/>
      <c r="H1196" s="145"/>
      <c r="I1196" s="145"/>
      <c r="J1196" s="145"/>
      <c r="K1196" s="145"/>
      <c r="L1196" s="145"/>
      <c r="M1196" s="145"/>
      <c r="N1196" s="145"/>
      <c r="O1196" s="174"/>
      <c r="P1196" s="174"/>
      <c r="Q1196" s="158" t="str">
        <v/>
      </c>
      <c r="R1196" s="158" t="str">
        <v/>
      </c>
      <c r="S1196" s="158" t="str">
        <v/>
      </c>
      <c r="T1196" s="158" t="str">
        <v/>
      </c>
      <c r="U1196" s="158" t="str">
        <v/>
      </c>
      <c r="V1196" s="158" t="str">
        <v/>
      </c>
      <c r="W1196" s="158" t="str">
        <v/>
      </c>
      <c r="X1196" s="158" t="str">
        <v/>
      </c>
      <c r="Y1196" s="158" t="str">
        <v/>
      </c>
      <c r="Z1196" s="158" t="str">
        <v/>
      </c>
      <c r="AA1196" s="158" t="e">
        <v>#VALUE!</v>
      </c>
      <c r="AB1196" s="171" t="str">
        <v/>
      </c>
      <c r="AC1196" s="158">
        <v>0</v>
      </c>
      <c r="AD1196" s="173" t="str">
        <f ca="1">IFERROR(__xludf.DUMMYFUNCTION("""COMPUTED_VALUE"""),"")</f>
        <v/>
      </c>
      <c r="AE1196" s="154" t="str">
        <v/>
      </c>
      <c r="AF1196" s="154" t="str">
        <v/>
      </c>
    </row>
    <row r="1197" spans="1:32" ht="15">
      <c r="A1197" s="176"/>
      <c r="B1197" s="145"/>
      <c r="C1197" s="169"/>
      <c r="D1197" s="145"/>
      <c r="E1197" s="145"/>
      <c r="F1197" s="169" t="e">
        <v>#VALUE!</v>
      </c>
      <c r="G1197" s="145"/>
      <c r="H1197" s="145"/>
      <c r="I1197" s="145"/>
      <c r="J1197" s="145"/>
      <c r="K1197" s="145"/>
      <c r="L1197" s="145"/>
      <c r="M1197" s="145"/>
      <c r="N1197" s="145"/>
      <c r="O1197" s="174"/>
      <c r="P1197" s="174"/>
      <c r="Q1197" s="158" t="str">
        <v/>
      </c>
      <c r="R1197" s="158" t="str">
        <v/>
      </c>
      <c r="S1197" s="158" t="str">
        <v/>
      </c>
      <c r="T1197" s="158" t="str">
        <v/>
      </c>
      <c r="U1197" s="158" t="str">
        <v/>
      </c>
      <c r="V1197" s="158" t="str">
        <v/>
      </c>
      <c r="W1197" s="158" t="str">
        <v/>
      </c>
      <c r="X1197" s="158" t="str">
        <v/>
      </c>
      <c r="Y1197" s="158" t="str">
        <v/>
      </c>
      <c r="Z1197" s="158" t="str">
        <v/>
      </c>
      <c r="AA1197" s="158" t="e">
        <v>#VALUE!</v>
      </c>
      <c r="AB1197" s="171" t="str">
        <v/>
      </c>
      <c r="AC1197" s="158">
        <v>0</v>
      </c>
      <c r="AD1197" s="173" t="str">
        <f ca="1">IFERROR(__xludf.DUMMYFUNCTION("""COMPUTED_VALUE"""),"")</f>
        <v/>
      </c>
      <c r="AE1197" s="154" t="str">
        <v/>
      </c>
      <c r="AF1197" s="154" t="str">
        <v/>
      </c>
    </row>
    <row r="1198" spans="1:32" ht="15">
      <c r="A1198" s="176"/>
      <c r="B1198" s="145"/>
      <c r="C1198" s="169"/>
      <c r="D1198" s="145"/>
      <c r="E1198" s="145"/>
      <c r="F1198" s="169" t="e">
        <v>#VALUE!</v>
      </c>
      <c r="G1198" s="145"/>
      <c r="H1198" s="145"/>
      <c r="I1198" s="145"/>
      <c r="J1198" s="145"/>
      <c r="K1198" s="145"/>
      <c r="L1198" s="145"/>
      <c r="M1198" s="145"/>
      <c r="N1198" s="145"/>
      <c r="O1198" s="174"/>
      <c r="P1198" s="174"/>
      <c r="Q1198" s="158" t="str">
        <v/>
      </c>
      <c r="R1198" s="158" t="str">
        <v/>
      </c>
      <c r="S1198" s="158" t="str">
        <v/>
      </c>
      <c r="T1198" s="158" t="str">
        <v/>
      </c>
      <c r="U1198" s="158" t="str">
        <v/>
      </c>
      <c r="V1198" s="158" t="str">
        <v/>
      </c>
      <c r="W1198" s="158" t="str">
        <v/>
      </c>
      <c r="X1198" s="158" t="str">
        <v/>
      </c>
      <c r="Y1198" s="158" t="str">
        <v/>
      </c>
      <c r="Z1198" s="158" t="str">
        <v/>
      </c>
      <c r="AA1198" s="158" t="e">
        <v>#VALUE!</v>
      </c>
      <c r="AB1198" s="171" t="str">
        <v/>
      </c>
      <c r="AC1198" s="158">
        <v>0</v>
      </c>
      <c r="AD1198" s="173" t="str">
        <f ca="1">IFERROR(__xludf.DUMMYFUNCTION("""COMPUTED_VALUE"""),"")</f>
        <v/>
      </c>
      <c r="AE1198" s="154" t="str">
        <v/>
      </c>
      <c r="AF1198" s="154" t="str">
        <v/>
      </c>
    </row>
    <row r="1199" spans="1:32" ht="15">
      <c r="A1199" s="176"/>
      <c r="B1199" s="145"/>
      <c r="C1199" s="169"/>
      <c r="D1199" s="145"/>
      <c r="E1199" s="145"/>
      <c r="F1199" s="169" t="e">
        <v>#VALUE!</v>
      </c>
      <c r="G1199" s="145"/>
      <c r="H1199" s="145"/>
      <c r="I1199" s="145"/>
      <c r="J1199" s="145"/>
      <c r="K1199" s="145"/>
      <c r="L1199" s="145"/>
      <c r="M1199" s="145"/>
      <c r="N1199" s="145"/>
      <c r="O1199" s="174"/>
      <c r="P1199" s="174"/>
      <c r="Q1199" s="158" t="str">
        <v/>
      </c>
      <c r="R1199" s="158" t="str">
        <v/>
      </c>
      <c r="S1199" s="158" t="str">
        <v/>
      </c>
      <c r="T1199" s="158" t="str">
        <v/>
      </c>
      <c r="U1199" s="158" t="str">
        <v/>
      </c>
      <c r="V1199" s="158" t="str">
        <v/>
      </c>
      <c r="W1199" s="158" t="str">
        <v/>
      </c>
      <c r="X1199" s="158" t="str">
        <v/>
      </c>
      <c r="Y1199" s="158" t="str">
        <v/>
      </c>
      <c r="Z1199" s="158" t="str">
        <v/>
      </c>
      <c r="AA1199" s="158" t="e">
        <v>#VALUE!</v>
      </c>
      <c r="AB1199" s="171" t="str">
        <v/>
      </c>
      <c r="AC1199" s="158">
        <v>0</v>
      </c>
      <c r="AD1199" s="173" t="str">
        <f ca="1">IFERROR(__xludf.DUMMYFUNCTION("""COMPUTED_VALUE"""),"")</f>
        <v/>
      </c>
      <c r="AE1199" s="154" t="str">
        <v/>
      </c>
      <c r="AF1199" s="154" t="str">
        <v/>
      </c>
    </row>
    <row r="1200" spans="1:32" ht="15">
      <c r="A1200" s="176"/>
      <c r="B1200" s="145"/>
      <c r="C1200" s="169"/>
      <c r="D1200" s="145"/>
      <c r="E1200" s="145"/>
      <c r="F1200" s="169" t="e">
        <v>#VALUE!</v>
      </c>
      <c r="G1200" s="145"/>
      <c r="H1200" s="145"/>
      <c r="I1200" s="145"/>
      <c r="J1200" s="145"/>
      <c r="K1200" s="145"/>
      <c r="L1200" s="145"/>
      <c r="M1200" s="145"/>
      <c r="N1200" s="145"/>
      <c r="O1200" s="174"/>
      <c r="P1200" s="174"/>
      <c r="Q1200" s="158" t="str">
        <v/>
      </c>
      <c r="R1200" s="158" t="str">
        <v/>
      </c>
      <c r="S1200" s="158" t="str">
        <v/>
      </c>
      <c r="T1200" s="158" t="str">
        <v/>
      </c>
      <c r="U1200" s="158" t="str">
        <v/>
      </c>
      <c r="V1200" s="158" t="str">
        <v/>
      </c>
      <c r="W1200" s="158" t="str">
        <v/>
      </c>
      <c r="X1200" s="158" t="str">
        <v/>
      </c>
      <c r="Y1200" s="158" t="str">
        <v/>
      </c>
      <c r="Z1200" s="158" t="str">
        <v/>
      </c>
      <c r="AA1200" s="158" t="e">
        <v>#VALUE!</v>
      </c>
      <c r="AB1200" s="171" t="str">
        <v/>
      </c>
      <c r="AC1200" s="158">
        <v>0</v>
      </c>
      <c r="AD1200" s="173" t="str">
        <f ca="1">IFERROR(__xludf.DUMMYFUNCTION("""COMPUTED_VALUE"""),"")</f>
        <v/>
      </c>
      <c r="AE1200" s="154" t="str">
        <v/>
      </c>
      <c r="AF1200" s="154" t="str">
        <v/>
      </c>
    </row>
    <row r="1201" spans="1:32" ht="15">
      <c r="A1201" s="176"/>
      <c r="B1201" s="145"/>
      <c r="C1201" s="169"/>
      <c r="D1201" s="145"/>
      <c r="E1201" s="145"/>
      <c r="F1201" s="169" t="e">
        <v>#VALUE!</v>
      </c>
      <c r="G1201" s="145"/>
      <c r="H1201" s="145"/>
      <c r="I1201" s="145"/>
      <c r="J1201" s="145"/>
      <c r="K1201" s="145"/>
      <c r="L1201" s="145"/>
      <c r="M1201" s="145"/>
      <c r="N1201" s="145"/>
      <c r="O1201" s="174"/>
      <c r="P1201" s="174"/>
      <c r="Q1201" s="158" t="str">
        <v/>
      </c>
      <c r="R1201" s="158" t="str">
        <v/>
      </c>
      <c r="S1201" s="158" t="str">
        <v/>
      </c>
      <c r="T1201" s="158" t="str">
        <v/>
      </c>
      <c r="U1201" s="158" t="str">
        <v/>
      </c>
      <c r="V1201" s="158" t="str">
        <v/>
      </c>
      <c r="W1201" s="158" t="str">
        <v/>
      </c>
      <c r="X1201" s="158" t="str">
        <v/>
      </c>
      <c r="Y1201" s="158" t="str">
        <v/>
      </c>
      <c r="Z1201" s="158" t="str">
        <v/>
      </c>
      <c r="AA1201" s="158" t="e">
        <v>#VALUE!</v>
      </c>
      <c r="AB1201" s="171" t="str">
        <v/>
      </c>
      <c r="AC1201" s="158">
        <v>0</v>
      </c>
      <c r="AD1201" s="173" t="str">
        <f ca="1">IFERROR(__xludf.DUMMYFUNCTION("""COMPUTED_VALUE"""),"")</f>
        <v/>
      </c>
      <c r="AE1201" s="154" t="str">
        <v/>
      </c>
      <c r="AF1201" s="154" t="str">
        <v/>
      </c>
    </row>
    <row r="1202" spans="1:32" ht="15">
      <c r="A1202" s="176"/>
      <c r="B1202" s="145"/>
      <c r="C1202" s="169"/>
      <c r="D1202" s="145"/>
      <c r="E1202" s="145"/>
      <c r="F1202" s="169" t="e">
        <v>#VALUE!</v>
      </c>
      <c r="G1202" s="145"/>
      <c r="H1202" s="145"/>
      <c r="I1202" s="145"/>
      <c r="J1202" s="145"/>
      <c r="K1202" s="145"/>
      <c r="L1202" s="145"/>
      <c r="M1202" s="145"/>
      <c r="N1202" s="145"/>
      <c r="O1202" s="174"/>
      <c r="P1202" s="174"/>
      <c r="Q1202" s="158" t="str">
        <v/>
      </c>
      <c r="R1202" s="158" t="str">
        <v/>
      </c>
      <c r="S1202" s="158" t="str">
        <v/>
      </c>
      <c r="T1202" s="158" t="str">
        <v/>
      </c>
      <c r="U1202" s="158" t="str">
        <v/>
      </c>
      <c r="V1202" s="158" t="str">
        <v/>
      </c>
      <c r="W1202" s="158" t="str">
        <v/>
      </c>
      <c r="X1202" s="158" t="str">
        <v/>
      </c>
      <c r="Y1202" s="158" t="str">
        <v/>
      </c>
      <c r="Z1202" s="158" t="str">
        <v/>
      </c>
      <c r="AA1202" s="158" t="e">
        <v>#VALUE!</v>
      </c>
      <c r="AB1202" s="171" t="str">
        <v/>
      </c>
      <c r="AC1202" s="158">
        <v>0</v>
      </c>
      <c r="AD1202" s="173" t="str">
        <f ca="1">IFERROR(__xludf.DUMMYFUNCTION("""COMPUTED_VALUE"""),"")</f>
        <v/>
      </c>
      <c r="AE1202" s="154" t="str">
        <v/>
      </c>
      <c r="AF1202" s="154" t="str">
        <v/>
      </c>
    </row>
    <row r="1203" spans="1:32" ht="15">
      <c r="A1203" s="176"/>
      <c r="B1203" s="145"/>
      <c r="C1203" s="169"/>
      <c r="D1203" s="145"/>
      <c r="E1203" s="145"/>
      <c r="F1203" s="169" t="e">
        <v>#VALUE!</v>
      </c>
      <c r="G1203" s="145"/>
      <c r="H1203" s="145"/>
      <c r="I1203" s="145"/>
      <c r="J1203" s="145"/>
      <c r="K1203" s="145"/>
      <c r="L1203" s="145"/>
      <c r="M1203" s="145"/>
      <c r="N1203" s="145"/>
      <c r="O1203" s="174"/>
      <c r="P1203" s="174"/>
      <c r="Q1203" s="158" t="str">
        <v/>
      </c>
      <c r="R1203" s="158" t="str">
        <v/>
      </c>
      <c r="S1203" s="158" t="str">
        <v/>
      </c>
      <c r="T1203" s="158" t="str">
        <v/>
      </c>
      <c r="U1203" s="158" t="str">
        <v/>
      </c>
      <c r="V1203" s="158" t="str">
        <v/>
      </c>
      <c r="W1203" s="158" t="str">
        <v/>
      </c>
      <c r="X1203" s="158" t="str">
        <v/>
      </c>
      <c r="Y1203" s="158" t="str">
        <v/>
      </c>
      <c r="Z1203" s="158" t="str">
        <v/>
      </c>
      <c r="AA1203" s="158" t="e">
        <v>#VALUE!</v>
      </c>
      <c r="AB1203" s="171" t="str">
        <v/>
      </c>
      <c r="AC1203" s="158">
        <v>0</v>
      </c>
      <c r="AD1203" s="173" t="str">
        <f ca="1">IFERROR(__xludf.DUMMYFUNCTION("""COMPUTED_VALUE"""),"")</f>
        <v/>
      </c>
      <c r="AE1203" s="154" t="str">
        <v/>
      </c>
      <c r="AF1203" s="154" t="str">
        <v/>
      </c>
    </row>
    <row r="1204" spans="1:32" ht="15">
      <c r="A1204" s="176"/>
      <c r="B1204" s="145"/>
      <c r="C1204" s="169"/>
      <c r="D1204" s="145"/>
      <c r="E1204" s="145"/>
      <c r="F1204" s="169" t="e">
        <v>#VALUE!</v>
      </c>
      <c r="G1204" s="145"/>
      <c r="H1204" s="145"/>
      <c r="I1204" s="145"/>
      <c r="J1204" s="145"/>
      <c r="K1204" s="145"/>
      <c r="L1204" s="145"/>
      <c r="M1204" s="145"/>
      <c r="N1204" s="145"/>
      <c r="O1204" s="174"/>
      <c r="P1204" s="174"/>
      <c r="Q1204" s="158" t="str">
        <v/>
      </c>
      <c r="R1204" s="158" t="str">
        <v/>
      </c>
      <c r="S1204" s="158" t="str">
        <v/>
      </c>
      <c r="T1204" s="158" t="str">
        <v/>
      </c>
      <c r="U1204" s="158" t="str">
        <v/>
      </c>
      <c r="V1204" s="158" t="str">
        <v/>
      </c>
      <c r="W1204" s="158" t="str">
        <v/>
      </c>
      <c r="X1204" s="158" t="str">
        <v/>
      </c>
      <c r="Y1204" s="158" t="str">
        <v/>
      </c>
      <c r="Z1204" s="158" t="str">
        <v/>
      </c>
      <c r="AA1204" s="158" t="e">
        <v>#VALUE!</v>
      </c>
      <c r="AB1204" s="171" t="str">
        <v/>
      </c>
      <c r="AC1204" s="158">
        <v>0</v>
      </c>
      <c r="AD1204" s="173" t="str">
        <f ca="1">IFERROR(__xludf.DUMMYFUNCTION("""COMPUTED_VALUE"""),"")</f>
        <v/>
      </c>
      <c r="AE1204" s="154" t="str">
        <v/>
      </c>
      <c r="AF1204" s="154" t="str">
        <v/>
      </c>
    </row>
    <row r="1205" spans="1:32" ht="15">
      <c r="A1205" s="176"/>
      <c r="B1205" s="145"/>
      <c r="C1205" s="169"/>
      <c r="D1205" s="145"/>
      <c r="E1205" s="145"/>
      <c r="F1205" s="169" t="e">
        <v>#VALUE!</v>
      </c>
      <c r="G1205" s="145"/>
      <c r="H1205" s="145"/>
      <c r="I1205" s="145"/>
      <c r="J1205" s="145"/>
      <c r="K1205" s="145"/>
      <c r="L1205" s="145"/>
      <c r="M1205" s="145"/>
      <c r="N1205" s="145"/>
      <c r="O1205" s="174"/>
      <c r="P1205" s="174"/>
      <c r="Q1205" s="158" t="str">
        <v/>
      </c>
      <c r="R1205" s="158" t="str">
        <v/>
      </c>
      <c r="S1205" s="158" t="str">
        <v/>
      </c>
      <c r="T1205" s="158" t="str">
        <v/>
      </c>
      <c r="U1205" s="158" t="str">
        <v/>
      </c>
      <c r="V1205" s="158" t="str">
        <v/>
      </c>
      <c r="W1205" s="158" t="str">
        <v/>
      </c>
      <c r="X1205" s="158" t="str">
        <v/>
      </c>
      <c r="Y1205" s="158" t="str">
        <v/>
      </c>
      <c r="Z1205" s="158" t="str">
        <v/>
      </c>
      <c r="AA1205" s="158" t="e">
        <v>#VALUE!</v>
      </c>
      <c r="AB1205" s="171" t="str">
        <v/>
      </c>
      <c r="AC1205" s="158">
        <v>0</v>
      </c>
      <c r="AD1205" s="173" t="str">
        <f ca="1">IFERROR(__xludf.DUMMYFUNCTION("""COMPUTED_VALUE"""),"")</f>
        <v/>
      </c>
      <c r="AE1205" s="154" t="str">
        <v/>
      </c>
      <c r="AF1205" s="154" t="str">
        <v/>
      </c>
    </row>
    <row r="1206" spans="1:32" ht="15">
      <c r="A1206" s="176"/>
      <c r="B1206" s="145"/>
      <c r="C1206" s="169"/>
      <c r="D1206" s="145"/>
      <c r="E1206" s="145"/>
      <c r="F1206" s="169" t="e">
        <v>#VALUE!</v>
      </c>
      <c r="G1206" s="145"/>
      <c r="H1206" s="145"/>
      <c r="I1206" s="145"/>
      <c r="J1206" s="145"/>
      <c r="K1206" s="145"/>
      <c r="L1206" s="145"/>
      <c r="M1206" s="145"/>
      <c r="N1206" s="145"/>
      <c r="O1206" s="174"/>
      <c r="P1206" s="174"/>
      <c r="Q1206" s="158" t="str">
        <v/>
      </c>
      <c r="R1206" s="158" t="str">
        <v/>
      </c>
      <c r="S1206" s="158" t="str">
        <v/>
      </c>
      <c r="T1206" s="158" t="str">
        <v/>
      </c>
      <c r="U1206" s="158" t="str">
        <v/>
      </c>
      <c r="V1206" s="158" t="str">
        <v/>
      </c>
      <c r="W1206" s="158" t="str">
        <v/>
      </c>
      <c r="X1206" s="158" t="str">
        <v/>
      </c>
      <c r="Y1206" s="158" t="str">
        <v/>
      </c>
      <c r="Z1206" s="158" t="str">
        <v/>
      </c>
      <c r="AA1206" s="158" t="e">
        <v>#VALUE!</v>
      </c>
      <c r="AB1206" s="171" t="str">
        <v/>
      </c>
      <c r="AC1206" s="158">
        <v>0</v>
      </c>
      <c r="AD1206" s="173" t="str">
        <f ca="1">IFERROR(__xludf.DUMMYFUNCTION("""COMPUTED_VALUE"""),"")</f>
        <v/>
      </c>
      <c r="AE1206" s="154" t="str">
        <v/>
      </c>
      <c r="AF1206" s="154" t="str">
        <v/>
      </c>
    </row>
    <row r="1207" spans="1:32" ht="15">
      <c r="A1207" s="176"/>
      <c r="B1207" s="145"/>
      <c r="C1207" s="169"/>
      <c r="D1207" s="145"/>
      <c r="E1207" s="145"/>
      <c r="F1207" s="169" t="e">
        <v>#VALUE!</v>
      </c>
      <c r="G1207" s="145"/>
      <c r="H1207" s="145"/>
      <c r="I1207" s="145"/>
      <c r="J1207" s="145"/>
      <c r="K1207" s="145"/>
      <c r="L1207" s="145"/>
      <c r="M1207" s="145"/>
      <c r="N1207" s="145"/>
      <c r="O1207" s="174"/>
      <c r="P1207" s="174"/>
      <c r="Q1207" s="158" t="str">
        <v/>
      </c>
      <c r="R1207" s="158" t="str">
        <v/>
      </c>
      <c r="S1207" s="158" t="str">
        <v/>
      </c>
      <c r="T1207" s="158" t="str">
        <v/>
      </c>
      <c r="U1207" s="158" t="str">
        <v/>
      </c>
      <c r="V1207" s="158" t="str">
        <v/>
      </c>
      <c r="W1207" s="158" t="str">
        <v/>
      </c>
      <c r="X1207" s="158" t="str">
        <v/>
      </c>
      <c r="Y1207" s="158" t="str">
        <v/>
      </c>
      <c r="Z1207" s="158" t="str">
        <v/>
      </c>
      <c r="AA1207" s="158" t="e">
        <v>#VALUE!</v>
      </c>
      <c r="AB1207" s="171" t="str">
        <v/>
      </c>
      <c r="AC1207" s="158">
        <v>0</v>
      </c>
      <c r="AD1207" s="173" t="str">
        <f ca="1">IFERROR(__xludf.DUMMYFUNCTION("""COMPUTED_VALUE"""),"")</f>
        <v/>
      </c>
      <c r="AE1207" s="154" t="str">
        <v/>
      </c>
      <c r="AF1207" s="154" t="str">
        <v/>
      </c>
    </row>
    <row r="1208" spans="1:32" ht="15">
      <c r="A1208" s="176"/>
      <c r="B1208" s="145"/>
      <c r="C1208" s="169"/>
      <c r="D1208" s="145"/>
      <c r="E1208" s="145"/>
      <c r="F1208" s="169" t="e">
        <v>#VALUE!</v>
      </c>
      <c r="G1208" s="145"/>
      <c r="H1208" s="145"/>
      <c r="I1208" s="145"/>
      <c r="J1208" s="145"/>
      <c r="K1208" s="145"/>
      <c r="L1208" s="145"/>
      <c r="M1208" s="145"/>
      <c r="N1208" s="145"/>
      <c r="O1208" s="174"/>
      <c r="P1208" s="174"/>
      <c r="Q1208" s="158" t="str">
        <v/>
      </c>
      <c r="R1208" s="158" t="str">
        <v/>
      </c>
      <c r="S1208" s="158" t="str">
        <v/>
      </c>
      <c r="T1208" s="158" t="str">
        <v/>
      </c>
      <c r="U1208" s="158" t="str">
        <v/>
      </c>
      <c r="V1208" s="158" t="str">
        <v/>
      </c>
      <c r="W1208" s="158" t="str">
        <v/>
      </c>
      <c r="X1208" s="158" t="str">
        <v/>
      </c>
      <c r="Y1208" s="158" t="str">
        <v/>
      </c>
      <c r="Z1208" s="158" t="str">
        <v/>
      </c>
      <c r="AA1208" s="158" t="e">
        <v>#VALUE!</v>
      </c>
      <c r="AB1208" s="171" t="str">
        <v/>
      </c>
      <c r="AC1208" s="158">
        <v>0</v>
      </c>
      <c r="AD1208" s="173" t="str">
        <f ca="1">IFERROR(__xludf.DUMMYFUNCTION("""COMPUTED_VALUE"""),"")</f>
        <v/>
      </c>
      <c r="AE1208" s="154" t="str">
        <v/>
      </c>
      <c r="AF1208" s="154" t="str">
        <v/>
      </c>
    </row>
    <row r="1209" spans="1:32" ht="15">
      <c r="A1209" s="176"/>
      <c r="B1209" s="145"/>
      <c r="C1209" s="169"/>
      <c r="D1209" s="145"/>
      <c r="E1209" s="145"/>
      <c r="F1209" s="169" t="e">
        <v>#VALUE!</v>
      </c>
      <c r="G1209" s="145"/>
      <c r="H1209" s="145"/>
      <c r="I1209" s="145"/>
      <c r="J1209" s="145"/>
      <c r="K1209" s="145"/>
      <c r="L1209" s="145"/>
      <c r="M1209" s="145"/>
      <c r="N1209" s="145"/>
      <c r="O1209" s="174"/>
      <c r="P1209" s="174"/>
      <c r="Q1209" s="158" t="str">
        <v/>
      </c>
      <c r="R1209" s="158" t="str">
        <v/>
      </c>
      <c r="S1209" s="158" t="str">
        <v/>
      </c>
      <c r="T1209" s="158" t="str">
        <v/>
      </c>
      <c r="U1209" s="158" t="str">
        <v/>
      </c>
      <c r="V1209" s="158" t="str">
        <v/>
      </c>
      <c r="W1209" s="158" t="str">
        <v/>
      </c>
      <c r="X1209" s="158" t="str">
        <v/>
      </c>
      <c r="Y1209" s="158" t="str">
        <v/>
      </c>
      <c r="Z1209" s="158" t="str">
        <v/>
      </c>
      <c r="AA1209" s="158" t="e">
        <v>#VALUE!</v>
      </c>
      <c r="AB1209" s="171" t="str">
        <v/>
      </c>
      <c r="AC1209" s="158">
        <v>0</v>
      </c>
      <c r="AD1209" s="173" t="str">
        <f ca="1">IFERROR(__xludf.DUMMYFUNCTION("""COMPUTED_VALUE"""),"")</f>
        <v/>
      </c>
      <c r="AE1209" s="154" t="str">
        <v/>
      </c>
      <c r="AF1209" s="154" t="str">
        <v/>
      </c>
    </row>
    <row r="1210" spans="1:32" ht="15">
      <c r="A1210" s="176"/>
      <c r="B1210" s="145"/>
      <c r="C1210" s="169"/>
      <c r="D1210" s="145"/>
      <c r="E1210" s="145"/>
      <c r="F1210" s="169" t="e">
        <v>#VALUE!</v>
      </c>
      <c r="G1210" s="145"/>
      <c r="H1210" s="145"/>
      <c r="I1210" s="145"/>
      <c r="J1210" s="145"/>
      <c r="K1210" s="145"/>
      <c r="L1210" s="145"/>
      <c r="M1210" s="145"/>
      <c r="N1210" s="145"/>
      <c r="O1210" s="174"/>
      <c r="P1210" s="174"/>
      <c r="Q1210" s="158" t="str">
        <v/>
      </c>
      <c r="R1210" s="158" t="str">
        <v/>
      </c>
      <c r="S1210" s="158" t="str">
        <v/>
      </c>
      <c r="T1210" s="158" t="str">
        <v/>
      </c>
      <c r="U1210" s="158" t="str">
        <v/>
      </c>
      <c r="V1210" s="158" t="str">
        <v/>
      </c>
      <c r="W1210" s="158" t="str">
        <v/>
      </c>
      <c r="X1210" s="158" t="str">
        <v/>
      </c>
      <c r="Y1210" s="158" t="str">
        <v/>
      </c>
      <c r="Z1210" s="158" t="str">
        <v/>
      </c>
      <c r="AA1210" s="158" t="e">
        <v>#VALUE!</v>
      </c>
      <c r="AB1210" s="171" t="str">
        <v/>
      </c>
      <c r="AC1210" s="158">
        <v>0</v>
      </c>
      <c r="AD1210" s="173" t="str">
        <f ca="1">IFERROR(__xludf.DUMMYFUNCTION("""COMPUTED_VALUE"""),"")</f>
        <v/>
      </c>
      <c r="AE1210" s="154" t="str">
        <v/>
      </c>
      <c r="AF1210" s="154" t="str">
        <v/>
      </c>
    </row>
    <row r="1211" spans="1:32" ht="15">
      <c r="A1211" s="176"/>
      <c r="B1211" s="145"/>
      <c r="C1211" s="169"/>
      <c r="D1211" s="145"/>
      <c r="E1211" s="145"/>
      <c r="F1211" s="169" t="e">
        <v>#VALUE!</v>
      </c>
      <c r="G1211" s="145"/>
      <c r="H1211" s="145"/>
      <c r="I1211" s="145"/>
      <c r="J1211" s="145"/>
      <c r="K1211" s="145"/>
      <c r="L1211" s="145"/>
      <c r="M1211" s="145"/>
      <c r="N1211" s="145"/>
      <c r="O1211" s="174"/>
      <c r="P1211" s="174"/>
      <c r="Q1211" s="158" t="str">
        <v/>
      </c>
      <c r="R1211" s="158" t="str">
        <v/>
      </c>
      <c r="S1211" s="158" t="str">
        <v/>
      </c>
      <c r="T1211" s="158" t="str">
        <v/>
      </c>
      <c r="U1211" s="158" t="str">
        <v/>
      </c>
      <c r="V1211" s="158" t="str">
        <v/>
      </c>
      <c r="W1211" s="158" t="str">
        <v/>
      </c>
      <c r="X1211" s="158" t="str">
        <v/>
      </c>
      <c r="Y1211" s="158" t="str">
        <v/>
      </c>
      <c r="Z1211" s="158" t="str">
        <v/>
      </c>
      <c r="AA1211" s="158" t="e">
        <v>#VALUE!</v>
      </c>
      <c r="AB1211" s="171" t="str">
        <v/>
      </c>
      <c r="AC1211" s="158">
        <v>0</v>
      </c>
      <c r="AD1211" s="173" t="str">
        <f ca="1">IFERROR(__xludf.DUMMYFUNCTION("""COMPUTED_VALUE"""),"")</f>
        <v/>
      </c>
      <c r="AE1211" s="154" t="str">
        <v/>
      </c>
      <c r="AF1211" s="154" t="str">
        <v/>
      </c>
    </row>
    <row r="1212" spans="1:32" ht="15">
      <c r="A1212" s="176"/>
      <c r="B1212" s="145"/>
      <c r="C1212" s="169"/>
      <c r="D1212" s="145"/>
      <c r="E1212" s="145"/>
      <c r="F1212" s="169" t="e">
        <v>#VALUE!</v>
      </c>
      <c r="G1212" s="145"/>
      <c r="H1212" s="145"/>
      <c r="I1212" s="145"/>
      <c r="J1212" s="145"/>
      <c r="K1212" s="145"/>
      <c r="L1212" s="145"/>
      <c r="M1212" s="145"/>
      <c r="N1212" s="145"/>
      <c r="O1212" s="174"/>
      <c r="P1212" s="174"/>
      <c r="Q1212" s="158" t="str">
        <v/>
      </c>
      <c r="R1212" s="158" t="str">
        <v/>
      </c>
      <c r="S1212" s="158" t="str">
        <v/>
      </c>
      <c r="T1212" s="158" t="str">
        <v/>
      </c>
      <c r="U1212" s="158" t="str">
        <v/>
      </c>
      <c r="V1212" s="158" t="str">
        <v/>
      </c>
      <c r="W1212" s="158" t="str">
        <v/>
      </c>
      <c r="X1212" s="158" t="str">
        <v/>
      </c>
      <c r="Y1212" s="158" t="str">
        <v/>
      </c>
      <c r="Z1212" s="158" t="str">
        <v/>
      </c>
      <c r="AA1212" s="158" t="e">
        <v>#VALUE!</v>
      </c>
      <c r="AB1212" s="171" t="str">
        <v/>
      </c>
      <c r="AC1212" s="158">
        <v>0</v>
      </c>
      <c r="AD1212" s="173" t="str">
        <f ca="1">IFERROR(__xludf.DUMMYFUNCTION("""COMPUTED_VALUE"""),"")</f>
        <v/>
      </c>
      <c r="AE1212" s="154" t="str">
        <v/>
      </c>
      <c r="AF1212" s="154" t="str">
        <v/>
      </c>
    </row>
    <row r="1213" spans="1:32" ht="15">
      <c r="A1213" s="176"/>
      <c r="B1213" s="145"/>
      <c r="C1213" s="169"/>
      <c r="D1213" s="145"/>
      <c r="E1213" s="145"/>
      <c r="F1213" s="169" t="e">
        <v>#VALUE!</v>
      </c>
      <c r="G1213" s="145"/>
      <c r="H1213" s="145"/>
      <c r="I1213" s="145"/>
      <c r="J1213" s="145"/>
      <c r="K1213" s="145"/>
      <c r="L1213" s="145"/>
      <c r="M1213" s="145"/>
      <c r="N1213" s="145"/>
      <c r="O1213" s="174"/>
      <c r="P1213" s="174"/>
      <c r="Q1213" s="158" t="str">
        <v/>
      </c>
      <c r="R1213" s="158" t="str">
        <v/>
      </c>
      <c r="S1213" s="158" t="str">
        <v/>
      </c>
      <c r="T1213" s="158" t="str">
        <v/>
      </c>
      <c r="U1213" s="158" t="str">
        <v/>
      </c>
      <c r="V1213" s="158" t="str">
        <v/>
      </c>
      <c r="W1213" s="158" t="str">
        <v/>
      </c>
      <c r="X1213" s="158" t="str">
        <v/>
      </c>
      <c r="Y1213" s="158" t="str">
        <v/>
      </c>
      <c r="Z1213" s="158" t="str">
        <v/>
      </c>
      <c r="AA1213" s="158" t="e">
        <v>#VALUE!</v>
      </c>
      <c r="AB1213" s="171" t="str">
        <v/>
      </c>
      <c r="AC1213" s="158">
        <v>0</v>
      </c>
      <c r="AD1213" s="173" t="str">
        <f ca="1">IFERROR(__xludf.DUMMYFUNCTION("""COMPUTED_VALUE"""),"")</f>
        <v/>
      </c>
      <c r="AE1213" s="154" t="str">
        <v/>
      </c>
      <c r="AF1213" s="154" t="str">
        <v/>
      </c>
    </row>
    <row r="1214" spans="1:32" ht="15">
      <c r="A1214" s="176"/>
      <c r="B1214" s="145"/>
      <c r="C1214" s="169"/>
      <c r="D1214" s="145"/>
      <c r="E1214" s="145"/>
      <c r="F1214" s="169" t="e">
        <v>#VALUE!</v>
      </c>
      <c r="G1214" s="145"/>
      <c r="H1214" s="145"/>
      <c r="I1214" s="145"/>
      <c r="J1214" s="145"/>
      <c r="K1214" s="145"/>
      <c r="L1214" s="145"/>
      <c r="M1214" s="145"/>
      <c r="N1214" s="145"/>
      <c r="O1214" s="174"/>
      <c r="P1214" s="174"/>
      <c r="Q1214" s="158" t="str">
        <v/>
      </c>
      <c r="R1214" s="158" t="str">
        <v/>
      </c>
      <c r="S1214" s="158" t="str">
        <v/>
      </c>
      <c r="T1214" s="158" t="str">
        <v/>
      </c>
      <c r="U1214" s="158" t="str">
        <v/>
      </c>
      <c r="V1214" s="158" t="str">
        <v/>
      </c>
      <c r="W1214" s="158" t="str">
        <v/>
      </c>
      <c r="X1214" s="158" t="str">
        <v/>
      </c>
      <c r="Y1214" s="158" t="str">
        <v/>
      </c>
      <c r="Z1214" s="158" t="str">
        <v/>
      </c>
      <c r="AA1214" s="158" t="e">
        <v>#VALUE!</v>
      </c>
      <c r="AB1214" s="171" t="str">
        <v/>
      </c>
      <c r="AC1214" s="158">
        <v>0</v>
      </c>
      <c r="AD1214" s="173" t="str">
        <f ca="1">IFERROR(__xludf.DUMMYFUNCTION("""COMPUTED_VALUE"""),"")</f>
        <v/>
      </c>
      <c r="AE1214" s="154" t="str">
        <v/>
      </c>
      <c r="AF1214" s="154" t="str">
        <v/>
      </c>
    </row>
    <row r="1215" spans="1:32" ht="15">
      <c r="A1215" s="176"/>
      <c r="B1215" s="145"/>
      <c r="C1215" s="169"/>
      <c r="D1215" s="145"/>
      <c r="E1215" s="145"/>
      <c r="F1215" s="169" t="e">
        <v>#VALUE!</v>
      </c>
      <c r="G1215" s="145"/>
      <c r="H1215" s="145"/>
      <c r="I1215" s="145"/>
      <c r="J1215" s="145"/>
      <c r="K1215" s="145"/>
      <c r="L1215" s="145"/>
      <c r="M1215" s="145"/>
      <c r="N1215" s="145"/>
      <c r="O1215" s="174"/>
      <c r="P1215" s="174"/>
      <c r="Q1215" s="158" t="str">
        <v/>
      </c>
      <c r="R1215" s="158" t="str">
        <v/>
      </c>
      <c r="S1215" s="158" t="str">
        <v/>
      </c>
      <c r="T1215" s="158" t="str">
        <v/>
      </c>
      <c r="U1215" s="158" t="str">
        <v/>
      </c>
      <c r="V1215" s="158" t="str">
        <v/>
      </c>
      <c r="W1215" s="158" t="str">
        <v/>
      </c>
      <c r="X1215" s="158" t="str">
        <v/>
      </c>
      <c r="Y1215" s="158" t="str">
        <v/>
      </c>
      <c r="Z1215" s="158" t="str">
        <v/>
      </c>
      <c r="AA1215" s="158" t="e">
        <v>#VALUE!</v>
      </c>
      <c r="AB1215" s="171" t="str">
        <v/>
      </c>
      <c r="AC1215" s="158">
        <v>0</v>
      </c>
      <c r="AD1215" s="173" t="str">
        <f ca="1">IFERROR(__xludf.DUMMYFUNCTION("""COMPUTED_VALUE"""),"")</f>
        <v/>
      </c>
      <c r="AE1215" s="154" t="str">
        <v/>
      </c>
      <c r="AF1215" s="154" t="str">
        <v/>
      </c>
    </row>
    <row r="1216" spans="1:32" ht="15">
      <c r="A1216" s="176"/>
      <c r="B1216" s="145"/>
      <c r="C1216" s="169"/>
      <c r="D1216" s="145"/>
      <c r="E1216" s="145"/>
      <c r="F1216" s="169" t="e">
        <v>#VALUE!</v>
      </c>
      <c r="G1216" s="145"/>
      <c r="H1216" s="145"/>
      <c r="I1216" s="145"/>
      <c r="J1216" s="145"/>
      <c r="K1216" s="145"/>
      <c r="L1216" s="145"/>
      <c r="M1216" s="145"/>
      <c r="N1216" s="145"/>
      <c r="O1216" s="174"/>
      <c r="P1216" s="174"/>
      <c r="Q1216" s="158" t="str">
        <v/>
      </c>
      <c r="R1216" s="158" t="str">
        <v/>
      </c>
      <c r="S1216" s="158" t="str">
        <v/>
      </c>
      <c r="T1216" s="158" t="str">
        <v/>
      </c>
      <c r="U1216" s="158" t="str">
        <v/>
      </c>
      <c r="V1216" s="158" t="str">
        <v/>
      </c>
      <c r="W1216" s="158" t="str">
        <v/>
      </c>
      <c r="X1216" s="158" t="str">
        <v/>
      </c>
      <c r="Y1216" s="158" t="str">
        <v/>
      </c>
      <c r="Z1216" s="158" t="str">
        <v/>
      </c>
      <c r="AA1216" s="158" t="e">
        <v>#VALUE!</v>
      </c>
      <c r="AB1216" s="171" t="str">
        <v/>
      </c>
      <c r="AC1216" s="158">
        <v>0</v>
      </c>
      <c r="AD1216" s="173" t="str">
        <f ca="1">IFERROR(__xludf.DUMMYFUNCTION("""COMPUTED_VALUE"""),"")</f>
        <v/>
      </c>
      <c r="AE1216" s="154" t="str">
        <v/>
      </c>
      <c r="AF1216" s="154" t="str">
        <v/>
      </c>
    </row>
    <row r="1217" spans="1:32" ht="15">
      <c r="A1217" s="176"/>
      <c r="B1217" s="145"/>
      <c r="C1217" s="169"/>
      <c r="D1217" s="145"/>
      <c r="E1217" s="145"/>
      <c r="F1217" s="169" t="e">
        <v>#VALUE!</v>
      </c>
      <c r="G1217" s="145"/>
      <c r="H1217" s="145"/>
      <c r="I1217" s="145"/>
      <c r="J1217" s="145"/>
      <c r="K1217" s="145"/>
      <c r="L1217" s="145"/>
      <c r="M1217" s="145"/>
      <c r="N1217" s="145"/>
      <c r="O1217" s="174"/>
      <c r="P1217" s="174"/>
      <c r="Q1217" s="158" t="str">
        <v/>
      </c>
      <c r="R1217" s="158" t="str">
        <v/>
      </c>
      <c r="S1217" s="158" t="str">
        <v/>
      </c>
      <c r="T1217" s="158" t="str">
        <v/>
      </c>
      <c r="U1217" s="158" t="str">
        <v/>
      </c>
      <c r="V1217" s="158" t="str">
        <v/>
      </c>
      <c r="W1217" s="158" t="str">
        <v/>
      </c>
      <c r="X1217" s="158" t="str">
        <v/>
      </c>
      <c r="Y1217" s="158" t="str">
        <v/>
      </c>
      <c r="Z1217" s="158" t="str">
        <v/>
      </c>
      <c r="AA1217" s="158" t="e">
        <v>#VALUE!</v>
      </c>
      <c r="AB1217" s="171" t="str">
        <v/>
      </c>
      <c r="AC1217" s="158">
        <v>0</v>
      </c>
      <c r="AD1217" s="173" t="str">
        <f ca="1">IFERROR(__xludf.DUMMYFUNCTION("""COMPUTED_VALUE"""),"")</f>
        <v/>
      </c>
      <c r="AE1217" s="154" t="str">
        <v/>
      </c>
      <c r="AF1217" s="154" t="str">
        <v/>
      </c>
    </row>
    <row r="1218" spans="1:32" ht="15">
      <c r="A1218" s="176"/>
      <c r="B1218" s="145"/>
      <c r="C1218" s="169"/>
      <c r="D1218" s="145"/>
      <c r="E1218" s="145"/>
      <c r="F1218" s="169" t="e">
        <v>#VALUE!</v>
      </c>
      <c r="G1218" s="145"/>
      <c r="H1218" s="145"/>
      <c r="I1218" s="145"/>
      <c r="J1218" s="145"/>
      <c r="K1218" s="145"/>
      <c r="L1218" s="145"/>
      <c r="M1218" s="145"/>
      <c r="N1218" s="145"/>
      <c r="O1218" s="174"/>
      <c r="P1218" s="174"/>
      <c r="Q1218" s="158" t="str">
        <v/>
      </c>
      <c r="R1218" s="158" t="str">
        <v/>
      </c>
      <c r="S1218" s="158" t="str">
        <v/>
      </c>
      <c r="T1218" s="158" t="str">
        <v/>
      </c>
      <c r="U1218" s="158" t="str">
        <v/>
      </c>
      <c r="V1218" s="158" t="str">
        <v/>
      </c>
      <c r="W1218" s="158" t="str">
        <v/>
      </c>
      <c r="X1218" s="158" t="str">
        <v/>
      </c>
      <c r="Y1218" s="158" t="str">
        <v/>
      </c>
      <c r="Z1218" s="158" t="str">
        <v/>
      </c>
      <c r="AA1218" s="158" t="e">
        <v>#VALUE!</v>
      </c>
      <c r="AB1218" s="171" t="str">
        <v/>
      </c>
      <c r="AC1218" s="158">
        <v>0</v>
      </c>
      <c r="AD1218" s="173" t="str">
        <f ca="1">IFERROR(__xludf.DUMMYFUNCTION("""COMPUTED_VALUE"""),"")</f>
        <v/>
      </c>
      <c r="AE1218" s="154" t="str">
        <v/>
      </c>
      <c r="AF1218" s="154" t="str">
        <v/>
      </c>
    </row>
    <row r="1219" spans="1:32" ht="15">
      <c r="A1219" s="176"/>
      <c r="B1219" s="145"/>
      <c r="C1219" s="169"/>
      <c r="D1219" s="145"/>
      <c r="E1219" s="145"/>
      <c r="F1219" s="169" t="e">
        <v>#VALUE!</v>
      </c>
      <c r="G1219" s="145"/>
      <c r="H1219" s="145"/>
      <c r="I1219" s="145"/>
      <c r="J1219" s="145"/>
      <c r="K1219" s="145"/>
      <c r="L1219" s="145"/>
      <c r="M1219" s="145"/>
      <c r="N1219" s="145"/>
      <c r="O1219" s="174"/>
      <c r="P1219" s="174"/>
      <c r="Q1219" s="158" t="str">
        <v/>
      </c>
      <c r="R1219" s="158" t="str">
        <v/>
      </c>
      <c r="S1219" s="158" t="str">
        <v/>
      </c>
      <c r="T1219" s="158" t="str">
        <v/>
      </c>
      <c r="U1219" s="158" t="str">
        <v/>
      </c>
      <c r="V1219" s="158" t="str">
        <v/>
      </c>
      <c r="W1219" s="158" t="str">
        <v/>
      </c>
      <c r="X1219" s="158" t="str">
        <v/>
      </c>
      <c r="Y1219" s="158" t="str">
        <v/>
      </c>
      <c r="Z1219" s="158" t="str">
        <v/>
      </c>
      <c r="AA1219" s="158" t="e">
        <v>#VALUE!</v>
      </c>
      <c r="AB1219" s="171" t="str">
        <v/>
      </c>
      <c r="AC1219" s="158">
        <v>0</v>
      </c>
      <c r="AD1219" s="173" t="str">
        <f ca="1">IFERROR(__xludf.DUMMYFUNCTION("""COMPUTED_VALUE"""),"")</f>
        <v/>
      </c>
      <c r="AE1219" s="154" t="str">
        <v/>
      </c>
      <c r="AF1219" s="154" t="str">
        <v/>
      </c>
    </row>
    <row r="1220" spans="1:32" ht="15">
      <c r="A1220" s="176"/>
      <c r="B1220" s="145"/>
      <c r="C1220" s="169"/>
      <c r="D1220" s="145"/>
      <c r="E1220" s="145"/>
      <c r="F1220" s="169" t="e">
        <v>#VALUE!</v>
      </c>
      <c r="G1220" s="145"/>
      <c r="H1220" s="145"/>
      <c r="I1220" s="145"/>
      <c r="J1220" s="145"/>
      <c r="K1220" s="145"/>
      <c r="L1220" s="145"/>
      <c r="M1220" s="145"/>
      <c r="N1220" s="145"/>
      <c r="O1220" s="174"/>
      <c r="P1220" s="174"/>
      <c r="Q1220" s="158" t="str">
        <v/>
      </c>
      <c r="R1220" s="158" t="str">
        <v/>
      </c>
      <c r="S1220" s="158" t="str">
        <v/>
      </c>
      <c r="T1220" s="158" t="str">
        <v/>
      </c>
      <c r="U1220" s="158" t="str">
        <v/>
      </c>
      <c r="V1220" s="158" t="str">
        <v/>
      </c>
      <c r="W1220" s="158" t="str">
        <v/>
      </c>
      <c r="X1220" s="158" t="str">
        <v/>
      </c>
      <c r="Y1220" s="158" t="str">
        <v/>
      </c>
      <c r="Z1220" s="158" t="str">
        <v/>
      </c>
      <c r="AA1220" s="158" t="e">
        <v>#VALUE!</v>
      </c>
      <c r="AB1220" s="171" t="str">
        <v/>
      </c>
      <c r="AC1220" s="158">
        <v>0</v>
      </c>
      <c r="AD1220" s="173" t="str">
        <f ca="1">IFERROR(__xludf.DUMMYFUNCTION("""COMPUTED_VALUE"""),"")</f>
        <v/>
      </c>
      <c r="AE1220" s="154" t="str">
        <v/>
      </c>
      <c r="AF1220" s="154" t="str">
        <v/>
      </c>
    </row>
    <row r="1221" spans="1:32" ht="15">
      <c r="A1221" s="176"/>
      <c r="B1221" s="145"/>
      <c r="C1221" s="169"/>
      <c r="D1221" s="145"/>
      <c r="E1221" s="145"/>
      <c r="F1221" s="169" t="e">
        <v>#VALUE!</v>
      </c>
      <c r="G1221" s="145"/>
      <c r="H1221" s="145"/>
      <c r="I1221" s="145"/>
      <c r="J1221" s="145"/>
      <c r="K1221" s="145"/>
      <c r="L1221" s="145"/>
      <c r="M1221" s="145"/>
      <c r="N1221" s="145"/>
      <c r="O1221" s="174"/>
      <c r="P1221" s="174"/>
      <c r="Q1221" s="158" t="str">
        <v/>
      </c>
      <c r="R1221" s="158" t="str">
        <v/>
      </c>
      <c r="S1221" s="158" t="str">
        <v/>
      </c>
      <c r="T1221" s="158" t="str">
        <v/>
      </c>
      <c r="U1221" s="158" t="str">
        <v/>
      </c>
      <c r="V1221" s="158" t="str">
        <v/>
      </c>
      <c r="W1221" s="158" t="str">
        <v/>
      </c>
      <c r="X1221" s="158" t="str">
        <v/>
      </c>
      <c r="Y1221" s="158" t="str">
        <v/>
      </c>
      <c r="Z1221" s="158" t="str">
        <v/>
      </c>
      <c r="AA1221" s="158" t="e">
        <v>#VALUE!</v>
      </c>
      <c r="AB1221" s="171" t="str">
        <v/>
      </c>
      <c r="AC1221" s="158">
        <v>0</v>
      </c>
      <c r="AD1221" s="173" t="str">
        <f ca="1">IFERROR(__xludf.DUMMYFUNCTION("""COMPUTED_VALUE"""),"")</f>
        <v/>
      </c>
      <c r="AE1221" s="154" t="str">
        <v/>
      </c>
      <c r="AF1221" s="154" t="str">
        <v/>
      </c>
    </row>
    <row r="1222" spans="1:32" ht="15">
      <c r="A1222" s="176"/>
      <c r="B1222" s="145"/>
      <c r="C1222" s="169"/>
      <c r="D1222" s="145"/>
      <c r="E1222" s="145"/>
      <c r="F1222" s="169" t="e">
        <v>#VALUE!</v>
      </c>
      <c r="G1222" s="145"/>
      <c r="H1222" s="145"/>
      <c r="I1222" s="145"/>
      <c r="J1222" s="145"/>
      <c r="K1222" s="145"/>
      <c r="L1222" s="145"/>
      <c r="M1222" s="145"/>
      <c r="N1222" s="145"/>
      <c r="O1222" s="174"/>
      <c r="P1222" s="174"/>
      <c r="Q1222" s="158" t="str">
        <v/>
      </c>
      <c r="R1222" s="158" t="str">
        <v/>
      </c>
      <c r="S1222" s="158" t="str">
        <v/>
      </c>
      <c r="T1222" s="158" t="str">
        <v/>
      </c>
      <c r="U1222" s="158" t="str">
        <v/>
      </c>
      <c r="V1222" s="158" t="str">
        <v/>
      </c>
      <c r="W1222" s="158" t="str">
        <v/>
      </c>
      <c r="X1222" s="158" t="str">
        <v/>
      </c>
      <c r="Y1222" s="158" t="str">
        <v/>
      </c>
      <c r="Z1222" s="158" t="str">
        <v/>
      </c>
      <c r="AA1222" s="158" t="e">
        <v>#VALUE!</v>
      </c>
      <c r="AB1222" s="171" t="str">
        <v/>
      </c>
      <c r="AC1222" s="158">
        <v>0</v>
      </c>
      <c r="AD1222" s="173" t="str">
        <f ca="1">IFERROR(__xludf.DUMMYFUNCTION("""COMPUTED_VALUE"""),"")</f>
        <v/>
      </c>
      <c r="AE1222" s="154" t="str">
        <v/>
      </c>
      <c r="AF1222" s="154" t="str">
        <v/>
      </c>
    </row>
    <row r="1223" spans="1:32" ht="15">
      <c r="A1223" s="176"/>
      <c r="B1223" s="145"/>
      <c r="C1223" s="169"/>
      <c r="D1223" s="145"/>
      <c r="E1223" s="145"/>
      <c r="F1223" s="169" t="e">
        <v>#VALUE!</v>
      </c>
      <c r="G1223" s="145"/>
      <c r="H1223" s="145"/>
      <c r="I1223" s="145"/>
      <c r="J1223" s="145"/>
      <c r="K1223" s="145"/>
      <c r="L1223" s="145"/>
      <c r="M1223" s="145"/>
      <c r="N1223" s="145"/>
      <c r="O1223" s="174"/>
      <c r="P1223" s="174"/>
      <c r="Q1223" s="158" t="str">
        <v/>
      </c>
      <c r="R1223" s="158" t="str">
        <v/>
      </c>
      <c r="S1223" s="158" t="str">
        <v/>
      </c>
      <c r="T1223" s="158" t="str">
        <v/>
      </c>
      <c r="U1223" s="158" t="str">
        <v/>
      </c>
      <c r="V1223" s="158" t="str">
        <v/>
      </c>
      <c r="W1223" s="158" t="str">
        <v/>
      </c>
      <c r="X1223" s="158" t="str">
        <v/>
      </c>
      <c r="Y1223" s="158" t="str">
        <v/>
      </c>
      <c r="Z1223" s="158" t="str">
        <v/>
      </c>
      <c r="AA1223" s="158" t="e">
        <v>#VALUE!</v>
      </c>
      <c r="AB1223" s="171" t="str">
        <v/>
      </c>
      <c r="AC1223" s="158">
        <v>0</v>
      </c>
      <c r="AD1223" s="173" t="str">
        <f ca="1">IFERROR(__xludf.DUMMYFUNCTION("""COMPUTED_VALUE"""),"")</f>
        <v/>
      </c>
      <c r="AE1223" s="154" t="str">
        <v/>
      </c>
      <c r="AF1223" s="154" t="str">
        <v/>
      </c>
    </row>
    <row r="1224" spans="1:32" ht="15">
      <c r="A1224" s="176"/>
      <c r="B1224" s="145"/>
      <c r="C1224" s="169"/>
      <c r="D1224" s="145"/>
      <c r="E1224" s="145"/>
      <c r="F1224" s="169" t="e">
        <v>#VALUE!</v>
      </c>
      <c r="G1224" s="145"/>
      <c r="H1224" s="145"/>
      <c r="I1224" s="145"/>
      <c r="J1224" s="145"/>
      <c r="K1224" s="145"/>
      <c r="L1224" s="145"/>
      <c r="M1224" s="145"/>
      <c r="N1224" s="145"/>
      <c r="O1224" s="174"/>
      <c r="P1224" s="174"/>
      <c r="Q1224" s="158" t="str">
        <v/>
      </c>
      <c r="R1224" s="158" t="str">
        <v/>
      </c>
      <c r="S1224" s="158" t="str">
        <v/>
      </c>
      <c r="T1224" s="158" t="str">
        <v/>
      </c>
      <c r="U1224" s="158" t="str">
        <v/>
      </c>
      <c r="V1224" s="158" t="str">
        <v/>
      </c>
      <c r="W1224" s="158" t="str">
        <v/>
      </c>
      <c r="X1224" s="158" t="str">
        <v/>
      </c>
      <c r="Y1224" s="158" t="str">
        <v/>
      </c>
      <c r="Z1224" s="158" t="str">
        <v/>
      </c>
      <c r="AA1224" s="158" t="e">
        <v>#VALUE!</v>
      </c>
      <c r="AB1224" s="171" t="str">
        <v/>
      </c>
      <c r="AC1224" s="158">
        <v>0</v>
      </c>
      <c r="AD1224" s="173" t="str">
        <f ca="1">IFERROR(__xludf.DUMMYFUNCTION("""COMPUTED_VALUE"""),"")</f>
        <v/>
      </c>
      <c r="AE1224" s="154" t="str">
        <v/>
      </c>
      <c r="AF1224" s="154" t="str">
        <v/>
      </c>
    </row>
    <row r="1225" spans="1:32" ht="15">
      <c r="A1225" s="176"/>
      <c r="B1225" s="145"/>
      <c r="C1225" s="169"/>
      <c r="D1225" s="145"/>
      <c r="E1225" s="145"/>
      <c r="F1225" s="169" t="e">
        <v>#VALUE!</v>
      </c>
      <c r="G1225" s="145"/>
      <c r="H1225" s="145"/>
      <c r="I1225" s="145"/>
      <c r="J1225" s="145"/>
      <c r="K1225" s="145"/>
      <c r="L1225" s="145"/>
      <c r="M1225" s="145"/>
      <c r="N1225" s="145"/>
      <c r="O1225" s="174"/>
      <c r="P1225" s="174"/>
      <c r="Q1225" s="158" t="str">
        <v/>
      </c>
      <c r="R1225" s="158" t="str">
        <v/>
      </c>
      <c r="S1225" s="158" t="str">
        <v/>
      </c>
      <c r="T1225" s="158" t="str">
        <v/>
      </c>
      <c r="U1225" s="158" t="str">
        <v/>
      </c>
      <c r="V1225" s="158" t="str">
        <v/>
      </c>
      <c r="W1225" s="158" t="str">
        <v/>
      </c>
      <c r="X1225" s="158" t="str">
        <v/>
      </c>
      <c r="Y1225" s="158" t="str">
        <v/>
      </c>
      <c r="Z1225" s="158" t="str">
        <v/>
      </c>
      <c r="AA1225" s="158" t="e">
        <v>#VALUE!</v>
      </c>
      <c r="AB1225" s="171" t="str">
        <v/>
      </c>
      <c r="AC1225" s="158">
        <v>0</v>
      </c>
      <c r="AD1225" s="173" t="str">
        <f ca="1">IFERROR(__xludf.DUMMYFUNCTION("""COMPUTED_VALUE"""),"")</f>
        <v/>
      </c>
      <c r="AE1225" s="154" t="str">
        <v/>
      </c>
      <c r="AF1225" s="154" t="str">
        <v/>
      </c>
    </row>
    <row r="1226" spans="1:32" ht="15">
      <c r="A1226" s="176"/>
      <c r="B1226" s="145"/>
      <c r="C1226" s="169"/>
      <c r="D1226" s="145"/>
      <c r="E1226" s="145"/>
      <c r="F1226" s="169" t="e">
        <v>#VALUE!</v>
      </c>
      <c r="G1226" s="145"/>
      <c r="H1226" s="145"/>
      <c r="I1226" s="145"/>
      <c r="J1226" s="145"/>
      <c r="K1226" s="145"/>
      <c r="L1226" s="145"/>
      <c r="M1226" s="145"/>
      <c r="N1226" s="145"/>
      <c r="O1226" s="174"/>
      <c r="P1226" s="174"/>
      <c r="Q1226" s="158" t="str">
        <v/>
      </c>
      <c r="R1226" s="158" t="str">
        <v/>
      </c>
      <c r="S1226" s="158" t="str">
        <v/>
      </c>
      <c r="T1226" s="158" t="str">
        <v/>
      </c>
      <c r="U1226" s="158" t="str">
        <v/>
      </c>
      <c r="V1226" s="158" t="str">
        <v/>
      </c>
      <c r="W1226" s="158" t="str">
        <v/>
      </c>
      <c r="X1226" s="158" t="str">
        <v/>
      </c>
      <c r="Y1226" s="158" t="str">
        <v/>
      </c>
      <c r="Z1226" s="158" t="str">
        <v/>
      </c>
      <c r="AA1226" s="158" t="e">
        <v>#VALUE!</v>
      </c>
      <c r="AB1226" s="171" t="str">
        <v/>
      </c>
      <c r="AC1226" s="158">
        <v>0</v>
      </c>
      <c r="AD1226" s="173" t="str">
        <f ca="1">IFERROR(__xludf.DUMMYFUNCTION("""COMPUTED_VALUE"""),"")</f>
        <v/>
      </c>
      <c r="AE1226" s="154" t="str">
        <v/>
      </c>
      <c r="AF1226" s="154" t="str">
        <v/>
      </c>
    </row>
    <row r="1227" spans="1:32" ht="15">
      <c r="A1227" s="176"/>
      <c r="B1227" s="145"/>
      <c r="C1227" s="169"/>
      <c r="D1227" s="145"/>
      <c r="E1227" s="145"/>
      <c r="F1227" s="169" t="e">
        <v>#VALUE!</v>
      </c>
      <c r="G1227" s="145"/>
      <c r="H1227" s="145"/>
      <c r="I1227" s="145"/>
      <c r="J1227" s="145"/>
      <c r="K1227" s="145"/>
      <c r="L1227" s="145"/>
      <c r="M1227" s="145"/>
      <c r="N1227" s="145"/>
      <c r="O1227" s="174"/>
      <c r="P1227" s="174"/>
      <c r="Q1227" s="158" t="str">
        <v/>
      </c>
      <c r="R1227" s="158" t="str">
        <v/>
      </c>
      <c r="S1227" s="158" t="str">
        <v/>
      </c>
      <c r="T1227" s="158" t="str">
        <v/>
      </c>
      <c r="U1227" s="158" t="str">
        <v/>
      </c>
      <c r="V1227" s="158" t="str">
        <v/>
      </c>
      <c r="W1227" s="158" t="str">
        <v/>
      </c>
      <c r="X1227" s="158" t="str">
        <v/>
      </c>
      <c r="Y1227" s="158" t="str">
        <v/>
      </c>
      <c r="Z1227" s="158" t="str">
        <v/>
      </c>
      <c r="AA1227" s="158" t="e">
        <v>#VALUE!</v>
      </c>
      <c r="AB1227" s="171" t="str">
        <v/>
      </c>
      <c r="AC1227" s="158">
        <v>0</v>
      </c>
      <c r="AD1227" s="173" t="str">
        <f ca="1">IFERROR(__xludf.DUMMYFUNCTION("""COMPUTED_VALUE"""),"")</f>
        <v/>
      </c>
      <c r="AE1227" s="154" t="str">
        <v/>
      </c>
      <c r="AF1227" s="154" t="str">
        <v/>
      </c>
    </row>
    <row r="1228" spans="1:32" ht="15">
      <c r="A1228" s="176"/>
      <c r="B1228" s="145"/>
      <c r="C1228" s="169"/>
      <c r="D1228" s="145"/>
      <c r="E1228" s="145"/>
      <c r="F1228" s="169" t="e">
        <v>#VALUE!</v>
      </c>
      <c r="G1228" s="145"/>
      <c r="H1228" s="145"/>
      <c r="I1228" s="145"/>
      <c r="J1228" s="145"/>
      <c r="K1228" s="145"/>
      <c r="L1228" s="145"/>
      <c r="M1228" s="145"/>
      <c r="N1228" s="145"/>
      <c r="O1228" s="174"/>
      <c r="P1228" s="174"/>
      <c r="Q1228" s="158" t="str">
        <v/>
      </c>
      <c r="R1228" s="158" t="str">
        <v/>
      </c>
      <c r="S1228" s="158" t="str">
        <v/>
      </c>
      <c r="T1228" s="158" t="str">
        <v/>
      </c>
      <c r="U1228" s="158" t="str">
        <v/>
      </c>
      <c r="V1228" s="158" t="str">
        <v/>
      </c>
      <c r="W1228" s="158" t="str">
        <v/>
      </c>
      <c r="X1228" s="158" t="str">
        <v/>
      </c>
      <c r="Y1228" s="158" t="str">
        <v/>
      </c>
      <c r="Z1228" s="158" t="str">
        <v/>
      </c>
      <c r="AA1228" s="158" t="e">
        <v>#VALUE!</v>
      </c>
      <c r="AB1228" s="171" t="str">
        <v/>
      </c>
      <c r="AC1228" s="158">
        <v>0</v>
      </c>
      <c r="AD1228" s="173" t="str">
        <f ca="1">IFERROR(__xludf.DUMMYFUNCTION("""COMPUTED_VALUE"""),"")</f>
        <v/>
      </c>
      <c r="AE1228" s="154" t="str">
        <v/>
      </c>
      <c r="AF1228" s="154" t="str">
        <v/>
      </c>
    </row>
    <row r="1229" spans="1:32" ht="15">
      <c r="A1229" s="176"/>
      <c r="B1229" s="145"/>
      <c r="C1229" s="169"/>
      <c r="D1229" s="145"/>
      <c r="E1229" s="145"/>
      <c r="F1229" s="169" t="e">
        <v>#VALUE!</v>
      </c>
      <c r="G1229" s="145"/>
      <c r="H1229" s="145"/>
      <c r="I1229" s="145"/>
      <c r="J1229" s="145"/>
      <c r="K1229" s="145"/>
      <c r="L1229" s="145"/>
      <c r="M1229" s="145"/>
      <c r="N1229" s="145"/>
      <c r="O1229" s="174"/>
      <c r="P1229" s="174"/>
      <c r="Q1229" s="158" t="str">
        <v/>
      </c>
      <c r="R1229" s="158" t="str">
        <v/>
      </c>
      <c r="S1229" s="158" t="str">
        <v/>
      </c>
      <c r="T1229" s="158" t="str">
        <v/>
      </c>
      <c r="U1229" s="158" t="str">
        <v/>
      </c>
      <c r="V1229" s="158" t="str">
        <v/>
      </c>
      <c r="W1229" s="158" t="str">
        <v/>
      </c>
      <c r="X1229" s="158" t="str">
        <v/>
      </c>
      <c r="Y1229" s="158" t="str">
        <v/>
      </c>
      <c r="Z1229" s="158" t="str">
        <v/>
      </c>
      <c r="AA1229" s="158" t="e">
        <v>#VALUE!</v>
      </c>
      <c r="AB1229" s="171" t="str">
        <v/>
      </c>
      <c r="AC1229" s="158">
        <v>0</v>
      </c>
      <c r="AD1229" s="173" t="str">
        <f ca="1">IFERROR(__xludf.DUMMYFUNCTION("""COMPUTED_VALUE"""),"")</f>
        <v/>
      </c>
      <c r="AE1229" s="154" t="str">
        <v/>
      </c>
      <c r="AF1229" s="154" t="str">
        <v/>
      </c>
    </row>
    <row r="1230" spans="1:32" ht="15">
      <c r="A1230" s="176"/>
      <c r="B1230" s="145"/>
      <c r="C1230" s="169"/>
      <c r="D1230" s="145"/>
      <c r="E1230" s="145"/>
      <c r="F1230" s="169" t="e">
        <v>#VALUE!</v>
      </c>
      <c r="G1230" s="145"/>
      <c r="H1230" s="145"/>
      <c r="I1230" s="145"/>
      <c r="J1230" s="145"/>
      <c r="K1230" s="145"/>
      <c r="L1230" s="145"/>
      <c r="M1230" s="145"/>
      <c r="N1230" s="145"/>
      <c r="O1230" s="174"/>
      <c r="P1230" s="174"/>
      <c r="Q1230" s="158" t="str">
        <v/>
      </c>
      <c r="R1230" s="158" t="str">
        <v/>
      </c>
      <c r="S1230" s="158" t="str">
        <v/>
      </c>
      <c r="T1230" s="158" t="str">
        <v/>
      </c>
      <c r="U1230" s="158" t="str">
        <v/>
      </c>
      <c r="V1230" s="158" t="str">
        <v/>
      </c>
      <c r="W1230" s="158" t="str">
        <v/>
      </c>
      <c r="X1230" s="158" t="str">
        <v/>
      </c>
      <c r="Y1230" s="158" t="str">
        <v/>
      </c>
      <c r="Z1230" s="158" t="str">
        <v/>
      </c>
      <c r="AA1230" s="158" t="e">
        <v>#VALUE!</v>
      </c>
      <c r="AB1230" s="171" t="str">
        <v/>
      </c>
      <c r="AC1230" s="158">
        <v>0</v>
      </c>
      <c r="AD1230" s="173" t="str">
        <f ca="1">IFERROR(__xludf.DUMMYFUNCTION("""COMPUTED_VALUE"""),"")</f>
        <v/>
      </c>
      <c r="AE1230" s="154" t="str">
        <v/>
      </c>
      <c r="AF1230" s="154" t="str">
        <v/>
      </c>
    </row>
    <row r="1231" spans="1:32" ht="15">
      <c r="A1231" s="176"/>
      <c r="B1231" s="145"/>
      <c r="C1231" s="169"/>
      <c r="D1231" s="145"/>
      <c r="E1231" s="145"/>
      <c r="F1231" s="169" t="e">
        <v>#VALUE!</v>
      </c>
      <c r="G1231" s="145"/>
      <c r="H1231" s="145"/>
      <c r="I1231" s="145"/>
      <c r="J1231" s="145"/>
      <c r="K1231" s="145"/>
      <c r="L1231" s="145"/>
      <c r="M1231" s="145"/>
      <c r="N1231" s="145"/>
      <c r="O1231" s="174"/>
      <c r="P1231" s="174"/>
      <c r="Q1231" s="158" t="str">
        <v/>
      </c>
      <c r="R1231" s="158" t="str">
        <v/>
      </c>
      <c r="S1231" s="158" t="str">
        <v/>
      </c>
      <c r="T1231" s="158" t="str">
        <v/>
      </c>
      <c r="U1231" s="158" t="str">
        <v/>
      </c>
      <c r="V1231" s="158" t="str">
        <v/>
      </c>
      <c r="W1231" s="158" t="str">
        <v/>
      </c>
      <c r="X1231" s="158" t="str">
        <v/>
      </c>
      <c r="Y1231" s="158" t="str">
        <v/>
      </c>
      <c r="Z1231" s="158" t="str">
        <v/>
      </c>
      <c r="AA1231" s="158" t="e">
        <v>#VALUE!</v>
      </c>
      <c r="AB1231" s="171" t="str">
        <v/>
      </c>
      <c r="AC1231" s="158">
        <v>0</v>
      </c>
      <c r="AD1231" s="173" t="str">
        <f ca="1">IFERROR(__xludf.DUMMYFUNCTION("""COMPUTED_VALUE"""),"")</f>
        <v/>
      </c>
      <c r="AE1231" s="154" t="str">
        <v/>
      </c>
      <c r="AF1231" s="154" t="str">
        <v/>
      </c>
    </row>
    <row r="1232" spans="1:32" ht="15">
      <c r="A1232" s="176"/>
      <c r="B1232" s="145"/>
      <c r="C1232" s="169"/>
      <c r="D1232" s="145"/>
      <c r="E1232" s="145"/>
      <c r="F1232" s="169" t="e">
        <v>#VALUE!</v>
      </c>
      <c r="G1232" s="145"/>
      <c r="H1232" s="145"/>
      <c r="I1232" s="145"/>
      <c r="J1232" s="145"/>
      <c r="K1232" s="145"/>
      <c r="L1232" s="145"/>
      <c r="M1232" s="145"/>
      <c r="N1232" s="145"/>
      <c r="O1232" s="174"/>
      <c r="P1232" s="174"/>
      <c r="Q1232" s="158" t="str">
        <v/>
      </c>
      <c r="R1232" s="158" t="str">
        <v/>
      </c>
      <c r="S1232" s="158" t="str">
        <v/>
      </c>
      <c r="T1232" s="158" t="str">
        <v/>
      </c>
      <c r="U1232" s="158" t="str">
        <v/>
      </c>
      <c r="V1232" s="158" t="str">
        <v/>
      </c>
      <c r="W1232" s="158" t="str">
        <v/>
      </c>
      <c r="X1232" s="158" t="str">
        <v/>
      </c>
      <c r="Y1232" s="158" t="str">
        <v/>
      </c>
      <c r="Z1232" s="158" t="str">
        <v/>
      </c>
      <c r="AA1232" s="158" t="e">
        <v>#VALUE!</v>
      </c>
      <c r="AB1232" s="171" t="str">
        <v/>
      </c>
      <c r="AC1232" s="158">
        <v>0</v>
      </c>
      <c r="AD1232" s="173" t="str">
        <f ca="1">IFERROR(__xludf.DUMMYFUNCTION("""COMPUTED_VALUE"""),"")</f>
        <v/>
      </c>
      <c r="AE1232" s="154" t="str">
        <v/>
      </c>
      <c r="AF1232" s="154" t="str">
        <v/>
      </c>
    </row>
    <row r="1233" spans="1:32" ht="15">
      <c r="A1233" s="176"/>
      <c r="B1233" s="145"/>
      <c r="C1233" s="169"/>
      <c r="D1233" s="145"/>
      <c r="E1233" s="145"/>
      <c r="F1233" s="169" t="e">
        <v>#VALUE!</v>
      </c>
      <c r="G1233" s="145"/>
      <c r="H1233" s="145"/>
      <c r="I1233" s="145"/>
      <c r="J1233" s="145"/>
      <c r="K1233" s="145"/>
      <c r="L1233" s="145"/>
      <c r="M1233" s="145"/>
      <c r="N1233" s="145"/>
      <c r="O1233" s="174"/>
      <c r="P1233" s="174"/>
      <c r="Q1233" s="158" t="str">
        <v/>
      </c>
      <c r="R1233" s="158" t="str">
        <v/>
      </c>
      <c r="S1233" s="158" t="str">
        <v/>
      </c>
      <c r="T1233" s="158" t="str">
        <v/>
      </c>
      <c r="U1233" s="158" t="str">
        <v/>
      </c>
      <c r="V1233" s="158" t="str">
        <v/>
      </c>
      <c r="W1233" s="158" t="str">
        <v/>
      </c>
      <c r="X1233" s="158" t="str">
        <v/>
      </c>
      <c r="Y1233" s="158" t="str">
        <v/>
      </c>
      <c r="Z1233" s="158" t="str">
        <v/>
      </c>
      <c r="AA1233" s="158" t="e">
        <v>#VALUE!</v>
      </c>
      <c r="AB1233" s="171" t="str">
        <v/>
      </c>
      <c r="AC1233" s="158">
        <v>0</v>
      </c>
      <c r="AD1233" s="173" t="str">
        <f ca="1">IFERROR(__xludf.DUMMYFUNCTION("""COMPUTED_VALUE"""),"")</f>
        <v/>
      </c>
      <c r="AE1233" s="154" t="str">
        <v/>
      </c>
      <c r="AF1233" s="154" t="str">
        <v/>
      </c>
    </row>
    <row r="1234" spans="1:32" ht="15">
      <c r="A1234" s="176"/>
      <c r="B1234" s="145"/>
      <c r="C1234" s="169"/>
      <c r="D1234" s="145"/>
      <c r="E1234" s="145"/>
      <c r="F1234" s="169" t="e">
        <v>#VALUE!</v>
      </c>
      <c r="G1234" s="145"/>
      <c r="H1234" s="145"/>
      <c r="I1234" s="145"/>
      <c r="J1234" s="145"/>
      <c r="K1234" s="145"/>
      <c r="L1234" s="145"/>
      <c r="M1234" s="145"/>
      <c r="N1234" s="145"/>
      <c r="O1234" s="174"/>
      <c r="P1234" s="174"/>
      <c r="Q1234" s="158" t="str">
        <v/>
      </c>
      <c r="R1234" s="158" t="str">
        <v/>
      </c>
      <c r="S1234" s="158" t="str">
        <v/>
      </c>
      <c r="T1234" s="158" t="str">
        <v/>
      </c>
      <c r="U1234" s="158" t="str">
        <v/>
      </c>
      <c r="V1234" s="158" t="str">
        <v/>
      </c>
      <c r="W1234" s="158" t="str">
        <v/>
      </c>
      <c r="X1234" s="158" t="str">
        <v/>
      </c>
      <c r="Y1234" s="158" t="str">
        <v/>
      </c>
      <c r="Z1234" s="158" t="str">
        <v/>
      </c>
      <c r="AA1234" s="158" t="e">
        <v>#VALUE!</v>
      </c>
      <c r="AB1234" s="171" t="str">
        <v/>
      </c>
      <c r="AC1234" s="158">
        <v>0</v>
      </c>
      <c r="AD1234" s="173" t="str">
        <f ca="1">IFERROR(__xludf.DUMMYFUNCTION("""COMPUTED_VALUE"""),"")</f>
        <v/>
      </c>
      <c r="AE1234" s="154" t="str">
        <v/>
      </c>
      <c r="AF1234" s="154" t="str">
        <v/>
      </c>
    </row>
    <row r="1235" spans="1:32" ht="15">
      <c r="A1235" s="176"/>
      <c r="B1235" s="145"/>
      <c r="C1235" s="169"/>
      <c r="D1235" s="145"/>
      <c r="E1235" s="145"/>
      <c r="F1235" s="169" t="e">
        <v>#VALUE!</v>
      </c>
      <c r="G1235" s="145"/>
      <c r="H1235" s="145"/>
      <c r="I1235" s="145"/>
      <c r="J1235" s="145"/>
      <c r="K1235" s="145"/>
      <c r="L1235" s="145"/>
      <c r="M1235" s="145"/>
      <c r="N1235" s="145"/>
      <c r="O1235" s="174"/>
      <c r="P1235" s="174"/>
      <c r="Q1235" s="158" t="str">
        <v/>
      </c>
      <c r="R1235" s="158" t="str">
        <v/>
      </c>
      <c r="S1235" s="158" t="str">
        <v/>
      </c>
      <c r="T1235" s="158" t="str">
        <v/>
      </c>
      <c r="U1235" s="158" t="str">
        <v/>
      </c>
      <c r="V1235" s="158" t="str">
        <v/>
      </c>
      <c r="W1235" s="158" t="str">
        <v/>
      </c>
      <c r="X1235" s="158" t="str">
        <v/>
      </c>
      <c r="Y1235" s="158" t="str">
        <v/>
      </c>
      <c r="Z1235" s="158" t="str">
        <v/>
      </c>
      <c r="AA1235" s="158" t="e">
        <v>#VALUE!</v>
      </c>
      <c r="AB1235" s="171" t="str">
        <v/>
      </c>
      <c r="AC1235" s="158">
        <v>0</v>
      </c>
      <c r="AD1235" s="173" t="str">
        <f ca="1">IFERROR(__xludf.DUMMYFUNCTION("""COMPUTED_VALUE"""),"")</f>
        <v/>
      </c>
      <c r="AE1235" s="154" t="str">
        <v/>
      </c>
      <c r="AF1235" s="154" t="str">
        <v/>
      </c>
    </row>
    <row r="1236" spans="1:32" ht="15">
      <c r="A1236" s="176"/>
      <c r="B1236" s="145"/>
      <c r="C1236" s="169"/>
      <c r="D1236" s="145"/>
      <c r="E1236" s="145"/>
      <c r="F1236" s="169" t="e">
        <v>#VALUE!</v>
      </c>
      <c r="G1236" s="145"/>
      <c r="H1236" s="145"/>
      <c r="I1236" s="145"/>
      <c r="J1236" s="145"/>
      <c r="K1236" s="145"/>
      <c r="L1236" s="145"/>
      <c r="M1236" s="145"/>
      <c r="N1236" s="145"/>
      <c r="O1236" s="174"/>
      <c r="P1236" s="174"/>
      <c r="Q1236" s="158" t="str">
        <v/>
      </c>
      <c r="R1236" s="158" t="str">
        <v/>
      </c>
      <c r="S1236" s="158" t="str">
        <v/>
      </c>
      <c r="T1236" s="158" t="str">
        <v/>
      </c>
      <c r="U1236" s="158" t="str">
        <v/>
      </c>
      <c r="V1236" s="158" t="str">
        <v/>
      </c>
      <c r="W1236" s="158" t="str">
        <v/>
      </c>
      <c r="X1236" s="158" t="str">
        <v/>
      </c>
      <c r="Y1236" s="158" t="str">
        <v/>
      </c>
      <c r="Z1236" s="158" t="str">
        <v/>
      </c>
      <c r="AA1236" s="158" t="e">
        <v>#VALUE!</v>
      </c>
      <c r="AB1236" s="171" t="str">
        <v/>
      </c>
      <c r="AC1236" s="158">
        <v>0</v>
      </c>
      <c r="AD1236" s="173" t="str">
        <f ca="1">IFERROR(__xludf.DUMMYFUNCTION("""COMPUTED_VALUE"""),"")</f>
        <v/>
      </c>
      <c r="AE1236" s="154" t="str">
        <v/>
      </c>
      <c r="AF1236" s="154" t="str">
        <v/>
      </c>
    </row>
    <row r="1237" spans="1:32" ht="15">
      <c r="A1237" s="176"/>
      <c r="B1237" s="145"/>
      <c r="C1237" s="169"/>
      <c r="D1237" s="145"/>
      <c r="E1237" s="145"/>
      <c r="F1237" s="169" t="e">
        <v>#VALUE!</v>
      </c>
      <c r="G1237" s="145"/>
      <c r="H1237" s="145"/>
      <c r="I1237" s="145"/>
      <c r="J1237" s="145"/>
      <c r="K1237" s="145"/>
      <c r="L1237" s="145"/>
      <c r="M1237" s="145"/>
      <c r="N1237" s="145"/>
      <c r="O1237" s="174"/>
      <c r="P1237" s="174"/>
      <c r="Q1237" s="158" t="str">
        <v/>
      </c>
      <c r="R1237" s="158" t="str">
        <v/>
      </c>
      <c r="S1237" s="158" t="str">
        <v/>
      </c>
      <c r="T1237" s="158" t="str">
        <v/>
      </c>
      <c r="U1237" s="158" t="str">
        <v/>
      </c>
      <c r="V1237" s="158" t="str">
        <v/>
      </c>
      <c r="W1237" s="158" t="str">
        <v/>
      </c>
      <c r="X1237" s="158" t="str">
        <v/>
      </c>
      <c r="Y1237" s="158" t="str">
        <v/>
      </c>
      <c r="Z1237" s="158" t="str">
        <v/>
      </c>
      <c r="AA1237" s="158" t="e">
        <v>#VALUE!</v>
      </c>
      <c r="AB1237" s="171" t="str">
        <v/>
      </c>
      <c r="AC1237" s="158">
        <v>0</v>
      </c>
      <c r="AD1237" s="173" t="str">
        <f ca="1">IFERROR(__xludf.DUMMYFUNCTION("""COMPUTED_VALUE"""),"")</f>
        <v/>
      </c>
      <c r="AE1237" s="154" t="str">
        <v/>
      </c>
      <c r="AF1237" s="154" t="str">
        <v/>
      </c>
    </row>
    <row r="1238" spans="1:32" ht="15">
      <c r="A1238" s="176"/>
      <c r="B1238" s="145"/>
      <c r="C1238" s="169"/>
      <c r="D1238" s="145"/>
      <c r="E1238" s="145"/>
      <c r="F1238" s="169" t="e">
        <v>#VALUE!</v>
      </c>
      <c r="G1238" s="145"/>
      <c r="H1238" s="145"/>
      <c r="I1238" s="145"/>
      <c r="J1238" s="145"/>
      <c r="K1238" s="145"/>
      <c r="L1238" s="145"/>
      <c r="M1238" s="145"/>
      <c r="N1238" s="145"/>
      <c r="O1238" s="174"/>
      <c r="P1238" s="174"/>
      <c r="Q1238" s="158" t="str">
        <v/>
      </c>
      <c r="R1238" s="158" t="str">
        <v/>
      </c>
      <c r="S1238" s="158" t="str">
        <v/>
      </c>
      <c r="T1238" s="158" t="str">
        <v/>
      </c>
      <c r="U1238" s="158" t="str">
        <v/>
      </c>
      <c r="V1238" s="158" t="str">
        <v/>
      </c>
      <c r="W1238" s="158" t="str">
        <v/>
      </c>
      <c r="X1238" s="158" t="str">
        <v/>
      </c>
      <c r="Y1238" s="158" t="str">
        <v/>
      </c>
      <c r="Z1238" s="158" t="str">
        <v/>
      </c>
      <c r="AA1238" s="158" t="e">
        <v>#VALUE!</v>
      </c>
      <c r="AB1238" s="171" t="str">
        <v/>
      </c>
      <c r="AC1238" s="158">
        <v>0</v>
      </c>
      <c r="AD1238" s="173" t="str">
        <f ca="1">IFERROR(__xludf.DUMMYFUNCTION("""COMPUTED_VALUE"""),"")</f>
        <v/>
      </c>
      <c r="AE1238" s="154" t="str">
        <v/>
      </c>
      <c r="AF1238" s="154" t="str">
        <v/>
      </c>
    </row>
    <row r="1239" spans="1:32" ht="15">
      <c r="A1239" s="176"/>
      <c r="B1239" s="145"/>
      <c r="C1239" s="169"/>
      <c r="D1239" s="145"/>
      <c r="E1239" s="145"/>
      <c r="F1239" s="169" t="e">
        <v>#VALUE!</v>
      </c>
      <c r="G1239" s="145"/>
      <c r="H1239" s="145"/>
      <c r="I1239" s="145"/>
      <c r="J1239" s="145"/>
      <c r="K1239" s="145"/>
      <c r="L1239" s="145"/>
      <c r="M1239" s="145"/>
      <c r="N1239" s="145"/>
      <c r="O1239" s="174"/>
      <c r="P1239" s="174"/>
      <c r="Q1239" s="158" t="str">
        <v/>
      </c>
      <c r="R1239" s="158" t="str">
        <v/>
      </c>
      <c r="S1239" s="158" t="str">
        <v/>
      </c>
      <c r="T1239" s="158" t="str">
        <v/>
      </c>
      <c r="U1239" s="158" t="str">
        <v/>
      </c>
      <c r="V1239" s="158" t="str">
        <v/>
      </c>
      <c r="W1239" s="158" t="str">
        <v/>
      </c>
      <c r="X1239" s="158" t="str">
        <v/>
      </c>
      <c r="Y1239" s="158" t="str">
        <v/>
      </c>
      <c r="Z1239" s="158" t="str">
        <v/>
      </c>
      <c r="AA1239" s="158" t="e">
        <v>#VALUE!</v>
      </c>
      <c r="AB1239" s="171" t="str">
        <v/>
      </c>
      <c r="AC1239" s="158">
        <v>0</v>
      </c>
      <c r="AD1239" s="173" t="str">
        <f ca="1">IFERROR(__xludf.DUMMYFUNCTION("""COMPUTED_VALUE"""),"")</f>
        <v/>
      </c>
      <c r="AE1239" s="154" t="str">
        <v/>
      </c>
      <c r="AF1239" s="154" t="str">
        <v/>
      </c>
    </row>
    <row r="1240" spans="1:32" ht="15">
      <c r="A1240" s="176"/>
      <c r="B1240" s="145"/>
      <c r="C1240" s="169"/>
      <c r="D1240" s="145"/>
      <c r="E1240" s="145"/>
      <c r="F1240" s="169" t="e">
        <v>#VALUE!</v>
      </c>
      <c r="G1240" s="145"/>
      <c r="H1240" s="145"/>
      <c r="I1240" s="145"/>
      <c r="J1240" s="145"/>
      <c r="K1240" s="145"/>
      <c r="L1240" s="145"/>
      <c r="M1240" s="145"/>
      <c r="N1240" s="145"/>
      <c r="O1240" s="174"/>
      <c r="P1240" s="174"/>
      <c r="Q1240" s="158" t="str">
        <v/>
      </c>
      <c r="R1240" s="158" t="str">
        <v/>
      </c>
      <c r="S1240" s="158" t="str">
        <v/>
      </c>
      <c r="T1240" s="158" t="str">
        <v/>
      </c>
      <c r="U1240" s="158" t="str">
        <v/>
      </c>
      <c r="V1240" s="158" t="str">
        <v/>
      </c>
      <c r="W1240" s="158" t="str">
        <v/>
      </c>
      <c r="X1240" s="158" t="str">
        <v/>
      </c>
      <c r="Y1240" s="158" t="str">
        <v/>
      </c>
      <c r="Z1240" s="158" t="str">
        <v/>
      </c>
      <c r="AA1240" s="158" t="e">
        <v>#VALUE!</v>
      </c>
      <c r="AB1240" s="171" t="str">
        <v/>
      </c>
      <c r="AC1240" s="158">
        <v>0</v>
      </c>
      <c r="AD1240" s="173" t="str">
        <f ca="1">IFERROR(__xludf.DUMMYFUNCTION("""COMPUTED_VALUE"""),"")</f>
        <v/>
      </c>
      <c r="AE1240" s="154" t="str">
        <v/>
      </c>
      <c r="AF1240" s="154" t="str">
        <v/>
      </c>
    </row>
    <row r="1241" spans="1:32" ht="15">
      <c r="A1241" s="176"/>
      <c r="B1241" s="145"/>
      <c r="C1241" s="169"/>
      <c r="D1241" s="145"/>
      <c r="E1241" s="145"/>
      <c r="F1241" s="169" t="e">
        <v>#VALUE!</v>
      </c>
      <c r="G1241" s="145"/>
      <c r="H1241" s="145"/>
      <c r="I1241" s="145"/>
      <c r="J1241" s="145"/>
      <c r="K1241" s="145"/>
      <c r="L1241" s="145"/>
      <c r="M1241" s="145"/>
      <c r="N1241" s="145"/>
      <c r="O1241" s="174"/>
      <c r="P1241" s="174"/>
      <c r="Q1241" s="158" t="str">
        <v/>
      </c>
      <c r="R1241" s="158" t="str">
        <v/>
      </c>
      <c r="S1241" s="158" t="str">
        <v/>
      </c>
      <c r="T1241" s="158" t="str">
        <v/>
      </c>
      <c r="U1241" s="158" t="str">
        <v/>
      </c>
      <c r="V1241" s="158" t="str">
        <v/>
      </c>
      <c r="W1241" s="158" t="str">
        <v/>
      </c>
      <c r="X1241" s="158" t="str">
        <v/>
      </c>
      <c r="Y1241" s="158" t="str">
        <v/>
      </c>
      <c r="Z1241" s="158" t="str">
        <v/>
      </c>
      <c r="AA1241" s="158" t="e">
        <v>#VALUE!</v>
      </c>
      <c r="AB1241" s="171" t="str">
        <v/>
      </c>
      <c r="AC1241" s="158">
        <v>0</v>
      </c>
      <c r="AD1241" s="173" t="str">
        <f ca="1">IFERROR(__xludf.DUMMYFUNCTION("""COMPUTED_VALUE"""),"")</f>
        <v/>
      </c>
      <c r="AE1241" s="154" t="str">
        <v/>
      </c>
      <c r="AF1241" s="154" t="str">
        <v/>
      </c>
    </row>
    <row r="1242" spans="1:32" ht="15">
      <c r="A1242" s="176"/>
      <c r="B1242" s="145"/>
      <c r="C1242" s="169"/>
      <c r="D1242" s="145"/>
      <c r="E1242" s="145"/>
      <c r="F1242" s="169" t="e">
        <v>#VALUE!</v>
      </c>
      <c r="G1242" s="145"/>
      <c r="H1242" s="145"/>
      <c r="I1242" s="145"/>
      <c r="J1242" s="145"/>
      <c r="K1242" s="145"/>
      <c r="L1242" s="145"/>
      <c r="M1242" s="145"/>
      <c r="N1242" s="145"/>
      <c r="O1242" s="174"/>
      <c r="P1242" s="174"/>
      <c r="Q1242" s="158" t="str">
        <v/>
      </c>
      <c r="R1242" s="158" t="str">
        <v/>
      </c>
      <c r="S1242" s="158" t="str">
        <v/>
      </c>
      <c r="T1242" s="158" t="str">
        <v/>
      </c>
      <c r="U1242" s="158" t="str">
        <v/>
      </c>
      <c r="V1242" s="158" t="str">
        <v/>
      </c>
      <c r="W1242" s="158" t="str">
        <v/>
      </c>
      <c r="X1242" s="158" t="str">
        <v/>
      </c>
      <c r="Y1242" s="158" t="str">
        <v/>
      </c>
      <c r="Z1242" s="158" t="str">
        <v/>
      </c>
      <c r="AA1242" s="158" t="e">
        <v>#VALUE!</v>
      </c>
      <c r="AB1242" s="171" t="str">
        <v/>
      </c>
      <c r="AC1242" s="158">
        <v>0</v>
      </c>
      <c r="AD1242" s="173" t="str">
        <f ca="1">IFERROR(__xludf.DUMMYFUNCTION("""COMPUTED_VALUE"""),"")</f>
        <v/>
      </c>
      <c r="AE1242" s="154" t="str">
        <v/>
      </c>
      <c r="AF1242" s="154" t="str">
        <v/>
      </c>
    </row>
    <row r="1243" spans="1:32" ht="15">
      <c r="A1243" s="176"/>
      <c r="B1243" s="145"/>
      <c r="C1243" s="169"/>
      <c r="D1243" s="145"/>
      <c r="E1243" s="145"/>
      <c r="F1243" s="169" t="e">
        <v>#VALUE!</v>
      </c>
      <c r="G1243" s="145"/>
      <c r="H1243" s="145"/>
      <c r="I1243" s="145"/>
      <c r="J1243" s="145"/>
      <c r="K1243" s="145"/>
      <c r="L1243" s="145"/>
      <c r="M1243" s="145"/>
      <c r="N1243" s="145"/>
      <c r="O1243" s="174"/>
      <c r="P1243" s="174"/>
      <c r="Q1243" s="158" t="str">
        <v/>
      </c>
      <c r="R1243" s="158" t="str">
        <v/>
      </c>
      <c r="S1243" s="158" t="str">
        <v/>
      </c>
      <c r="T1243" s="158" t="str">
        <v/>
      </c>
      <c r="U1243" s="158" t="str">
        <v/>
      </c>
      <c r="V1243" s="158" t="str">
        <v/>
      </c>
      <c r="W1243" s="158" t="str">
        <v/>
      </c>
      <c r="X1243" s="158" t="str">
        <v/>
      </c>
      <c r="Y1243" s="158" t="str">
        <v/>
      </c>
      <c r="Z1243" s="158" t="str">
        <v/>
      </c>
      <c r="AA1243" s="158" t="e">
        <v>#VALUE!</v>
      </c>
      <c r="AB1243" s="171" t="str">
        <v/>
      </c>
      <c r="AC1243" s="158">
        <v>0</v>
      </c>
      <c r="AD1243" s="173" t="str">
        <f ca="1">IFERROR(__xludf.DUMMYFUNCTION("""COMPUTED_VALUE"""),"")</f>
        <v/>
      </c>
      <c r="AE1243" s="154" t="str">
        <v/>
      </c>
      <c r="AF1243" s="154" t="str">
        <v/>
      </c>
    </row>
    <row r="1244" spans="1:32" ht="15">
      <c r="A1244" s="176"/>
      <c r="B1244" s="145"/>
      <c r="C1244" s="169"/>
      <c r="D1244" s="145"/>
      <c r="E1244" s="145"/>
      <c r="F1244" s="169" t="e">
        <v>#VALUE!</v>
      </c>
      <c r="G1244" s="145"/>
      <c r="H1244" s="145"/>
      <c r="I1244" s="145"/>
      <c r="J1244" s="145"/>
      <c r="K1244" s="145"/>
      <c r="L1244" s="145"/>
      <c r="M1244" s="145"/>
      <c r="N1244" s="145"/>
      <c r="O1244" s="174"/>
      <c r="P1244" s="174"/>
      <c r="Q1244" s="158" t="str">
        <v/>
      </c>
      <c r="R1244" s="158" t="str">
        <v/>
      </c>
      <c r="S1244" s="158" t="str">
        <v/>
      </c>
      <c r="T1244" s="158" t="str">
        <v/>
      </c>
      <c r="U1244" s="158" t="str">
        <v/>
      </c>
      <c r="V1244" s="158" t="str">
        <v/>
      </c>
      <c r="W1244" s="158" t="str">
        <v/>
      </c>
      <c r="X1244" s="158" t="str">
        <v/>
      </c>
      <c r="Y1244" s="158" t="str">
        <v/>
      </c>
      <c r="Z1244" s="158" t="str">
        <v/>
      </c>
      <c r="AA1244" s="158" t="e">
        <v>#VALUE!</v>
      </c>
      <c r="AB1244" s="171" t="str">
        <v/>
      </c>
      <c r="AC1244" s="158">
        <v>0</v>
      </c>
      <c r="AD1244" s="173" t="str">
        <f ca="1">IFERROR(__xludf.DUMMYFUNCTION("""COMPUTED_VALUE"""),"")</f>
        <v/>
      </c>
      <c r="AE1244" s="154" t="str">
        <v/>
      </c>
      <c r="AF1244" s="154" t="str">
        <v/>
      </c>
    </row>
    <row r="1245" spans="1:32" ht="15">
      <c r="A1245" s="176"/>
      <c r="B1245" s="145"/>
      <c r="C1245" s="169"/>
      <c r="D1245" s="145"/>
      <c r="E1245" s="145"/>
      <c r="F1245" s="169" t="e">
        <v>#VALUE!</v>
      </c>
      <c r="G1245" s="145"/>
      <c r="H1245" s="145"/>
      <c r="I1245" s="145"/>
      <c r="J1245" s="145"/>
      <c r="K1245" s="145"/>
      <c r="L1245" s="145"/>
      <c r="M1245" s="145"/>
      <c r="N1245" s="145"/>
      <c r="O1245" s="174"/>
      <c r="P1245" s="174"/>
      <c r="Q1245" s="158" t="str">
        <v/>
      </c>
      <c r="R1245" s="158" t="str">
        <v/>
      </c>
      <c r="S1245" s="158" t="str">
        <v/>
      </c>
      <c r="T1245" s="158" t="str">
        <v/>
      </c>
      <c r="U1245" s="158" t="str">
        <v/>
      </c>
      <c r="V1245" s="158" t="str">
        <v/>
      </c>
      <c r="W1245" s="158" t="str">
        <v/>
      </c>
      <c r="X1245" s="158" t="str">
        <v/>
      </c>
      <c r="Y1245" s="158" t="str">
        <v/>
      </c>
      <c r="Z1245" s="158" t="str">
        <v/>
      </c>
      <c r="AA1245" s="158" t="e">
        <v>#VALUE!</v>
      </c>
      <c r="AB1245" s="171" t="str">
        <v/>
      </c>
      <c r="AC1245" s="158">
        <v>0</v>
      </c>
      <c r="AD1245" s="173" t="str">
        <f ca="1">IFERROR(__xludf.DUMMYFUNCTION("""COMPUTED_VALUE"""),"")</f>
        <v/>
      </c>
      <c r="AE1245" s="154" t="str">
        <v/>
      </c>
      <c r="AF1245" s="154" t="str">
        <v/>
      </c>
    </row>
    <row r="1246" spans="1:32" ht="15">
      <c r="A1246" s="176"/>
      <c r="B1246" s="145"/>
      <c r="C1246" s="169"/>
      <c r="D1246" s="145"/>
      <c r="E1246" s="145"/>
      <c r="F1246" s="169" t="e">
        <v>#VALUE!</v>
      </c>
      <c r="G1246" s="145"/>
      <c r="H1246" s="145"/>
      <c r="I1246" s="145"/>
      <c r="J1246" s="145"/>
      <c r="K1246" s="145"/>
      <c r="L1246" s="145"/>
      <c r="M1246" s="145"/>
      <c r="N1246" s="145"/>
      <c r="O1246" s="174"/>
      <c r="P1246" s="174"/>
      <c r="Q1246" s="158" t="str">
        <v/>
      </c>
      <c r="R1246" s="158" t="str">
        <v/>
      </c>
      <c r="S1246" s="158" t="str">
        <v/>
      </c>
      <c r="T1246" s="158" t="str">
        <v/>
      </c>
      <c r="U1246" s="158" t="str">
        <v/>
      </c>
      <c r="V1246" s="158" t="str">
        <v/>
      </c>
      <c r="W1246" s="158" t="str">
        <v/>
      </c>
      <c r="X1246" s="158" t="str">
        <v/>
      </c>
      <c r="Y1246" s="158" t="str">
        <v/>
      </c>
      <c r="Z1246" s="158" t="str">
        <v/>
      </c>
      <c r="AA1246" s="158" t="e">
        <v>#VALUE!</v>
      </c>
      <c r="AB1246" s="171" t="str">
        <v/>
      </c>
      <c r="AC1246" s="158">
        <v>0</v>
      </c>
      <c r="AD1246" s="173" t="str">
        <f ca="1">IFERROR(__xludf.DUMMYFUNCTION("""COMPUTED_VALUE"""),"")</f>
        <v/>
      </c>
      <c r="AE1246" s="154" t="str">
        <v/>
      </c>
      <c r="AF1246" s="154" t="str">
        <v/>
      </c>
    </row>
    <row r="1247" spans="1:32" ht="15">
      <c r="A1247" s="176"/>
      <c r="B1247" s="145"/>
      <c r="C1247" s="169"/>
      <c r="D1247" s="145"/>
      <c r="E1247" s="145"/>
      <c r="F1247" s="169" t="e">
        <v>#VALUE!</v>
      </c>
      <c r="G1247" s="145"/>
      <c r="H1247" s="145"/>
      <c r="I1247" s="145"/>
      <c r="J1247" s="145"/>
      <c r="K1247" s="145"/>
      <c r="L1247" s="145"/>
      <c r="M1247" s="145"/>
      <c r="N1247" s="145"/>
      <c r="O1247" s="174"/>
      <c r="P1247" s="174"/>
      <c r="Q1247" s="158" t="str">
        <v/>
      </c>
      <c r="R1247" s="158" t="str">
        <v/>
      </c>
      <c r="S1247" s="158" t="str">
        <v/>
      </c>
      <c r="T1247" s="158" t="str">
        <v/>
      </c>
      <c r="U1247" s="158" t="str">
        <v/>
      </c>
      <c r="V1247" s="158" t="str">
        <v/>
      </c>
      <c r="W1247" s="158" t="str">
        <v/>
      </c>
      <c r="X1247" s="158" t="str">
        <v/>
      </c>
      <c r="Y1247" s="158" t="str">
        <v/>
      </c>
      <c r="Z1247" s="158" t="str">
        <v/>
      </c>
      <c r="AA1247" s="158" t="e">
        <v>#VALUE!</v>
      </c>
      <c r="AB1247" s="171" t="str">
        <v/>
      </c>
      <c r="AC1247" s="158">
        <v>0</v>
      </c>
      <c r="AD1247" s="173" t="str">
        <f ca="1">IFERROR(__xludf.DUMMYFUNCTION("""COMPUTED_VALUE"""),"")</f>
        <v/>
      </c>
      <c r="AE1247" s="154" t="str">
        <v/>
      </c>
      <c r="AF1247" s="154" t="str">
        <v/>
      </c>
    </row>
    <row r="1248" spans="1:32" ht="15">
      <c r="A1248" s="176"/>
      <c r="B1248" s="145"/>
      <c r="C1248" s="169"/>
      <c r="D1248" s="145"/>
      <c r="E1248" s="145"/>
      <c r="F1248" s="169" t="e">
        <v>#VALUE!</v>
      </c>
      <c r="G1248" s="145"/>
      <c r="H1248" s="145"/>
      <c r="I1248" s="145"/>
      <c r="J1248" s="145"/>
      <c r="K1248" s="145"/>
      <c r="L1248" s="145"/>
      <c r="M1248" s="145"/>
      <c r="N1248" s="145"/>
      <c r="O1248" s="174"/>
      <c r="P1248" s="174"/>
      <c r="Q1248" s="158" t="str">
        <v/>
      </c>
      <c r="R1248" s="158" t="str">
        <v/>
      </c>
      <c r="S1248" s="158" t="str">
        <v/>
      </c>
      <c r="T1248" s="158" t="str">
        <v/>
      </c>
      <c r="U1248" s="158" t="str">
        <v/>
      </c>
      <c r="V1248" s="158" t="str">
        <v/>
      </c>
      <c r="W1248" s="158" t="str">
        <v/>
      </c>
      <c r="X1248" s="158" t="str">
        <v/>
      </c>
      <c r="Y1248" s="158" t="str">
        <v/>
      </c>
      <c r="Z1248" s="158" t="str">
        <v/>
      </c>
      <c r="AA1248" s="158" t="e">
        <v>#VALUE!</v>
      </c>
      <c r="AB1248" s="171" t="str">
        <v/>
      </c>
      <c r="AC1248" s="158">
        <v>0</v>
      </c>
      <c r="AD1248" s="173" t="str">
        <f ca="1">IFERROR(__xludf.DUMMYFUNCTION("""COMPUTED_VALUE"""),"")</f>
        <v/>
      </c>
      <c r="AE1248" s="154" t="str">
        <v/>
      </c>
      <c r="AF1248" s="154" t="str">
        <v/>
      </c>
    </row>
    <row r="1249" spans="1:32" ht="15">
      <c r="A1249" s="176"/>
      <c r="B1249" s="145"/>
      <c r="C1249" s="169"/>
      <c r="D1249" s="145"/>
      <c r="E1249" s="145"/>
      <c r="F1249" s="169" t="e">
        <v>#VALUE!</v>
      </c>
      <c r="G1249" s="145"/>
      <c r="H1249" s="145"/>
      <c r="I1249" s="145"/>
      <c r="J1249" s="145"/>
      <c r="K1249" s="145"/>
      <c r="L1249" s="145"/>
      <c r="M1249" s="145"/>
      <c r="N1249" s="145"/>
      <c r="O1249" s="174"/>
      <c r="P1249" s="174"/>
      <c r="Q1249" s="158" t="str">
        <v/>
      </c>
      <c r="R1249" s="158" t="str">
        <v/>
      </c>
      <c r="S1249" s="158" t="str">
        <v/>
      </c>
      <c r="T1249" s="158" t="str">
        <v/>
      </c>
      <c r="U1249" s="158" t="str">
        <v/>
      </c>
      <c r="V1249" s="158" t="str">
        <v/>
      </c>
      <c r="W1249" s="158" t="str">
        <v/>
      </c>
      <c r="X1249" s="158" t="str">
        <v/>
      </c>
      <c r="Y1249" s="158" t="str">
        <v/>
      </c>
      <c r="Z1249" s="158" t="str">
        <v/>
      </c>
      <c r="AA1249" s="158" t="e">
        <v>#VALUE!</v>
      </c>
      <c r="AB1249" s="171" t="str">
        <v/>
      </c>
      <c r="AC1249" s="158">
        <v>0</v>
      </c>
      <c r="AD1249" s="173" t="str">
        <f ca="1">IFERROR(__xludf.DUMMYFUNCTION("""COMPUTED_VALUE"""),"")</f>
        <v/>
      </c>
      <c r="AE1249" s="154" t="str">
        <v/>
      </c>
      <c r="AF1249" s="154" t="str">
        <v/>
      </c>
    </row>
    <row r="1250" spans="1:32" ht="15">
      <c r="A1250" s="176"/>
      <c r="B1250" s="145"/>
      <c r="C1250" s="169"/>
      <c r="D1250" s="145"/>
      <c r="E1250" s="145"/>
      <c r="F1250" s="169" t="e">
        <v>#VALUE!</v>
      </c>
      <c r="G1250" s="145"/>
      <c r="H1250" s="145"/>
      <c r="I1250" s="145"/>
      <c r="J1250" s="145"/>
      <c r="K1250" s="145"/>
      <c r="L1250" s="145"/>
      <c r="M1250" s="145"/>
      <c r="N1250" s="145"/>
      <c r="O1250" s="174"/>
      <c r="P1250" s="174"/>
      <c r="Q1250" s="158" t="str">
        <v/>
      </c>
      <c r="R1250" s="158" t="str">
        <v/>
      </c>
      <c r="S1250" s="158" t="str">
        <v/>
      </c>
      <c r="T1250" s="158" t="str">
        <v/>
      </c>
      <c r="U1250" s="158" t="str">
        <v/>
      </c>
      <c r="V1250" s="158" t="str">
        <v/>
      </c>
      <c r="W1250" s="158" t="str">
        <v/>
      </c>
      <c r="X1250" s="158" t="str">
        <v/>
      </c>
      <c r="Y1250" s="158" t="str">
        <v/>
      </c>
      <c r="Z1250" s="158" t="str">
        <v/>
      </c>
      <c r="AA1250" s="158" t="e">
        <v>#VALUE!</v>
      </c>
      <c r="AB1250" s="171" t="str">
        <v/>
      </c>
      <c r="AC1250" s="158">
        <v>0</v>
      </c>
      <c r="AD1250" s="173" t="str">
        <f ca="1">IFERROR(__xludf.DUMMYFUNCTION("""COMPUTED_VALUE"""),"")</f>
        <v/>
      </c>
      <c r="AE1250" s="154" t="str">
        <v/>
      </c>
      <c r="AF1250" s="154" t="str">
        <v/>
      </c>
    </row>
    <row r="1251" spans="1:32" ht="15">
      <c r="A1251" s="176"/>
      <c r="B1251" s="145"/>
      <c r="C1251" s="169"/>
      <c r="D1251" s="145"/>
      <c r="E1251" s="145"/>
      <c r="F1251" s="169" t="e">
        <v>#VALUE!</v>
      </c>
      <c r="G1251" s="145"/>
      <c r="H1251" s="145"/>
      <c r="I1251" s="145"/>
      <c r="J1251" s="145"/>
      <c r="K1251" s="145"/>
      <c r="L1251" s="145"/>
      <c r="M1251" s="145"/>
      <c r="N1251" s="145"/>
      <c r="O1251" s="174"/>
      <c r="P1251" s="174"/>
      <c r="Q1251" s="158" t="str">
        <v/>
      </c>
      <c r="R1251" s="158" t="str">
        <v/>
      </c>
      <c r="S1251" s="158" t="str">
        <v/>
      </c>
      <c r="T1251" s="158" t="str">
        <v/>
      </c>
      <c r="U1251" s="158" t="str">
        <v/>
      </c>
      <c r="V1251" s="158" t="str">
        <v/>
      </c>
      <c r="W1251" s="158" t="str">
        <v/>
      </c>
      <c r="X1251" s="158" t="str">
        <v/>
      </c>
      <c r="Y1251" s="158" t="str">
        <v/>
      </c>
      <c r="Z1251" s="158" t="str">
        <v/>
      </c>
      <c r="AA1251" s="158" t="e">
        <v>#VALUE!</v>
      </c>
      <c r="AB1251" s="171" t="str">
        <v/>
      </c>
      <c r="AC1251" s="158">
        <v>0</v>
      </c>
      <c r="AD1251" s="173" t="str">
        <f ca="1">IFERROR(__xludf.DUMMYFUNCTION("""COMPUTED_VALUE"""),"")</f>
        <v/>
      </c>
      <c r="AE1251" s="154" t="str">
        <v/>
      </c>
      <c r="AF1251" s="154" t="str">
        <v/>
      </c>
    </row>
    <row r="1252" spans="1:32" ht="15">
      <c r="A1252" s="176"/>
      <c r="B1252" s="145"/>
      <c r="C1252" s="169"/>
      <c r="D1252" s="145"/>
      <c r="E1252" s="145"/>
      <c r="F1252" s="169" t="e">
        <v>#VALUE!</v>
      </c>
      <c r="G1252" s="145"/>
      <c r="H1252" s="145"/>
      <c r="I1252" s="145"/>
      <c r="J1252" s="145"/>
      <c r="K1252" s="145"/>
      <c r="L1252" s="145"/>
      <c r="M1252" s="145"/>
      <c r="N1252" s="145"/>
      <c r="O1252" s="174"/>
      <c r="P1252" s="174"/>
      <c r="Q1252" s="158" t="str">
        <v/>
      </c>
      <c r="R1252" s="158" t="str">
        <v/>
      </c>
      <c r="S1252" s="158" t="str">
        <v/>
      </c>
      <c r="T1252" s="158" t="str">
        <v/>
      </c>
      <c r="U1252" s="158" t="str">
        <v/>
      </c>
      <c r="V1252" s="158" t="str">
        <v/>
      </c>
      <c r="W1252" s="158" t="str">
        <v/>
      </c>
      <c r="X1252" s="158" t="str">
        <v/>
      </c>
      <c r="Y1252" s="158" t="str">
        <v/>
      </c>
      <c r="Z1252" s="158" t="str">
        <v/>
      </c>
      <c r="AA1252" s="158" t="e">
        <v>#VALUE!</v>
      </c>
      <c r="AB1252" s="171" t="str">
        <v/>
      </c>
      <c r="AC1252" s="158">
        <v>0</v>
      </c>
      <c r="AD1252" s="173" t="str">
        <f ca="1">IFERROR(__xludf.DUMMYFUNCTION("""COMPUTED_VALUE"""),"")</f>
        <v/>
      </c>
      <c r="AE1252" s="154" t="str">
        <v/>
      </c>
      <c r="AF1252" s="154" t="str">
        <v/>
      </c>
    </row>
    <row r="1253" spans="1:32" ht="15">
      <c r="A1253" s="176"/>
      <c r="B1253" s="145"/>
      <c r="C1253" s="169"/>
      <c r="D1253" s="145"/>
      <c r="E1253" s="145"/>
      <c r="F1253" s="169" t="e">
        <v>#VALUE!</v>
      </c>
      <c r="G1253" s="145"/>
      <c r="H1253" s="145"/>
      <c r="I1253" s="145"/>
      <c r="J1253" s="145"/>
      <c r="K1253" s="145"/>
      <c r="L1253" s="145"/>
      <c r="M1253" s="145"/>
      <c r="N1253" s="145"/>
      <c r="O1253" s="174"/>
      <c r="P1253" s="174"/>
      <c r="Q1253" s="158" t="str">
        <v/>
      </c>
      <c r="R1253" s="158" t="str">
        <v/>
      </c>
      <c r="S1253" s="158" t="str">
        <v/>
      </c>
      <c r="T1253" s="158" t="str">
        <v/>
      </c>
      <c r="U1253" s="158" t="str">
        <v/>
      </c>
      <c r="V1253" s="158" t="str">
        <v/>
      </c>
      <c r="W1253" s="158" t="str">
        <v/>
      </c>
      <c r="X1253" s="158" t="str">
        <v/>
      </c>
      <c r="Y1253" s="158" t="str">
        <v/>
      </c>
      <c r="Z1253" s="158" t="str">
        <v/>
      </c>
      <c r="AA1253" s="158" t="e">
        <v>#VALUE!</v>
      </c>
      <c r="AB1253" s="171" t="str">
        <v/>
      </c>
      <c r="AC1253" s="158">
        <v>0</v>
      </c>
      <c r="AD1253" s="173" t="str">
        <f ca="1">IFERROR(__xludf.DUMMYFUNCTION("""COMPUTED_VALUE"""),"")</f>
        <v/>
      </c>
      <c r="AE1253" s="154" t="str">
        <v/>
      </c>
      <c r="AF1253" s="154" t="str">
        <v/>
      </c>
    </row>
    <row r="1254" spans="1:32" ht="15">
      <c r="A1254" s="176"/>
      <c r="B1254" s="145"/>
      <c r="C1254" s="169"/>
      <c r="D1254" s="145"/>
      <c r="E1254" s="145"/>
      <c r="F1254" s="169" t="e">
        <v>#VALUE!</v>
      </c>
      <c r="G1254" s="145"/>
      <c r="H1254" s="145"/>
      <c r="I1254" s="145"/>
      <c r="J1254" s="145"/>
      <c r="K1254" s="145"/>
      <c r="L1254" s="145"/>
      <c r="M1254" s="145"/>
      <c r="N1254" s="145"/>
      <c r="O1254" s="174"/>
      <c r="P1254" s="174"/>
      <c r="Q1254" s="158" t="str">
        <v/>
      </c>
      <c r="R1254" s="158" t="str">
        <v/>
      </c>
      <c r="S1254" s="158" t="str">
        <v/>
      </c>
      <c r="T1254" s="158" t="str">
        <v/>
      </c>
      <c r="U1254" s="158" t="str">
        <v/>
      </c>
      <c r="V1254" s="158" t="str">
        <v/>
      </c>
      <c r="W1254" s="158" t="str">
        <v/>
      </c>
      <c r="X1254" s="158" t="str">
        <v/>
      </c>
      <c r="Y1254" s="158" t="str">
        <v/>
      </c>
      <c r="Z1254" s="158" t="str">
        <v/>
      </c>
      <c r="AA1254" s="158" t="e">
        <v>#VALUE!</v>
      </c>
      <c r="AB1254" s="171" t="str">
        <v/>
      </c>
      <c r="AC1254" s="158">
        <v>0</v>
      </c>
      <c r="AD1254" s="173" t="str">
        <f ca="1">IFERROR(__xludf.DUMMYFUNCTION("""COMPUTED_VALUE"""),"")</f>
        <v/>
      </c>
      <c r="AE1254" s="154" t="str">
        <v/>
      </c>
      <c r="AF1254" s="154" t="str">
        <v/>
      </c>
    </row>
    <row r="1255" spans="1:32" ht="15">
      <c r="A1255" s="176"/>
      <c r="B1255" s="145"/>
      <c r="C1255" s="169"/>
      <c r="D1255" s="145"/>
      <c r="E1255" s="145"/>
      <c r="F1255" s="169" t="e">
        <v>#VALUE!</v>
      </c>
      <c r="G1255" s="145"/>
      <c r="H1255" s="145"/>
      <c r="I1255" s="145"/>
      <c r="J1255" s="145"/>
      <c r="K1255" s="145"/>
      <c r="L1255" s="145"/>
      <c r="M1255" s="145"/>
      <c r="N1255" s="145"/>
      <c r="O1255" s="174"/>
      <c r="P1255" s="174"/>
      <c r="Q1255" s="158" t="str">
        <v/>
      </c>
      <c r="R1255" s="158" t="str">
        <v/>
      </c>
      <c r="S1255" s="158" t="str">
        <v/>
      </c>
      <c r="T1255" s="158" t="str">
        <v/>
      </c>
      <c r="U1255" s="158" t="str">
        <v/>
      </c>
      <c r="V1255" s="158" t="str">
        <v/>
      </c>
      <c r="W1255" s="158" t="str">
        <v/>
      </c>
      <c r="X1255" s="158" t="str">
        <v/>
      </c>
      <c r="Y1255" s="158" t="str">
        <v/>
      </c>
      <c r="Z1255" s="158" t="str">
        <v/>
      </c>
      <c r="AA1255" s="158" t="e">
        <v>#VALUE!</v>
      </c>
      <c r="AB1255" s="171" t="str">
        <v/>
      </c>
      <c r="AC1255" s="158">
        <v>0</v>
      </c>
      <c r="AD1255" s="173" t="str">
        <f ca="1">IFERROR(__xludf.DUMMYFUNCTION("""COMPUTED_VALUE"""),"")</f>
        <v/>
      </c>
      <c r="AE1255" s="154" t="str">
        <v/>
      </c>
      <c r="AF1255" s="154" t="str">
        <v/>
      </c>
    </row>
    <row r="1256" spans="1:32" ht="15">
      <c r="A1256" s="176"/>
      <c r="B1256" s="145"/>
      <c r="C1256" s="169"/>
      <c r="D1256" s="145"/>
      <c r="E1256" s="145"/>
      <c r="F1256" s="169" t="e">
        <v>#VALUE!</v>
      </c>
      <c r="G1256" s="145"/>
      <c r="H1256" s="145"/>
      <c r="I1256" s="145"/>
      <c r="J1256" s="145"/>
      <c r="K1256" s="145"/>
      <c r="L1256" s="145"/>
      <c r="M1256" s="145"/>
      <c r="N1256" s="145"/>
      <c r="O1256" s="174"/>
      <c r="P1256" s="174"/>
      <c r="Q1256" s="158" t="str">
        <v/>
      </c>
      <c r="R1256" s="158" t="str">
        <v/>
      </c>
      <c r="S1256" s="158" t="str">
        <v/>
      </c>
      <c r="T1256" s="158" t="str">
        <v/>
      </c>
      <c r="U1256" s="158" t="str">
        <v/>
      </c>
      <c r="V1256" s="158" t="str">
        <v/>
      </c>
      <c r="W1256" s="158" t="str">
        <v/>
      </c>
      <c r="X1256" s="158" t="str">
        <v/>
      </c>
      <c r="Y1256" s="158" t="str">
        <v/>
      </c>
      <c r="Z1256" s="158" t="str">
        <v/>
      </c>
      <c r="AA1256" s="158" t="e">
        <v>#VALUE!</v>
      </c>
      <c r="AB1256" s="171" t="str">
        <v/>
      </c>
      <c r="AC1256" s="158">
        <v>0</v>
      </c>
      <c r="AD1256" s="173" t="str">
        <f ca="1">IFERROR(__xludf.DUMMYFUNCTION("""COMPUTED_VALUE"""),"")</f>
        <v/>
      </c>
      <c r="AE1256" s="154" t="str">
        <v/>
      </c>
      <c r="AF1256" s="154" t="str">
        <v/>
      </c>
    </row>
    <row r="1257" spans="1:32" ht="15">
      <c r="A1257" s="176"/>
      <c r="B1257" s="145"/>
      <c r="C1257" s="169"/>
      <c r="D1257" s="145"/>
      <c r="E1257" s="145"/>
      <c r="F1257" s="169" t="e">
        <v>#VALUE!</v>
      </c>
      <c r="G1257" s="145"/>
      <c r="H1257" s="145"/>
      <c r="I1257" s="145"/>
      <c r="J1257" s="145"/>
      <c r="K1257" s="145"/>
      <c r="L1257" s="145"/>
      <c r="M1257" s="145"/>
      <c r="N1257" s="145"/>
      <c r="O1257" s="174"/>
      <c r="P1257" s="174"/>
      <c r="Q1257" s="158" t="str">
        <v/>
      </c>
      <c r="R1257" s="158" t="str">
        <v/>
      </c>
      <c r="S1257" s="158" t="str">
        <v/>
      </c>
      <c r="T1257" s="158" t="str">
        <v/>
      </c>
      <c r="U1257" s="158" t="str">
        <v/>
      </c>
      <c r="V1257" s="158" t="str">
        <v/>
      </c>
      <c r="W1257" s="158" t="str">
        <v/>
      </c>
      <c r="X1257" s="158" t="str">
        <v/>
      </c>
      <c r="Y1257" s="158" t="str">
        <v/>
      </c>
      <c r="Z1257" s="158" t="str">
        <v/>
      </c>
      <c r="AA1257" s="158" t="e">
        <v>#VALUE!</v>
      </c>
      <c r="AB1257" s="171" t="str">
        <v/>
      </c>
      <c r="AC1257" s="158">
        <v>0</v>
      </c>
      <c r="AD1257" s="173" t="str">
        <f ca="1">IFERROR(__xludf.DUMMYFUNCTION("""COMPUTED_VALUE"""),"")</f>
        <v/>
      </c>
      <c r="AE1257" s="154" t="str">
        <v/>
      </c>
      <c r="AF1257" s="154" t="str">
        <v/>
      </c>
    </row>
    <row r="1258" spans="1:32" ht="15">
      <c r="A1258" s="176"/>
      <c r="B1258" s="145"/>
      <c r="C1258" s="169"/>
      <c r="D1258" s="145"/>
      <c r="E1258" s="145"/>
      <c r="F1258" s="169" t="e">
        <v>#VALUE!</v>
      </c>
      <c r="G1258" s="145"/>
      <c r="H1258" s="145"/>
      <c r="I1258" s="145"/>
      <c r="J1258" s="145"/>
      <c r="K1258" s="145"/>
      <c r="L1258" s="145"/>
      <c r="M1258" s="145"/>
      <c r="N1258" s="145"/>
      <c r="O1258" s="174"/>
      <c r="P1258" s="174"/>
      <c r="Q1258" s="158" t="str">
        <v/>
      </c>
      <c r="R1258" s="158" t="str">
        <v/>
      </c>
      <c r="S1258" s="158" t="str">
        <v/>
      </c>
      <c r="T1258" s="158" t="str">
        <v/>
      </c>
      <c r="U1258" s="158" t="str">
        <v/>
      </c>
      <c r="V1258" s="158" t="str">
        <v/>
      </c>
      <c r="W1258" s="158" t="str">
        <v/>
      </c>
      <c r="X1258" s="158" t="str">
        <v/>
      </c>
      <c r="Y1258" s="158" t="str">
        <v/>
      </c>
      <c r="Z1258" s="158" t="str">
        <v/>
      </c>
      <c r="AA1258" s="158" t="e">
        <v>#VALUE!</v>
      </c>
      <c r="AB1258" s="171" t="str">
        <v/>
      </c>
      <c r="AC1258" s="158">
        <v>0</v>
      </c>
      <c r="AD1258" s="173" t="str">
        <f ca="1">IFERROR(__xludf.DUMMYFUNCTION("""COMPUTED_VALUE"""),"")</f>
        <v/>
      </c>
      <c r="AE1258" s="154" t="str">
        <v/>
      </c>
      <c r="AF1258" s="154" t="str">
        <v/>
      </c>
    </row>
    <row r="1259" spans="1:32" ht="15">
      <c r="A1259" s="176"/>
      <c r="B1259" s="145"/>
      <c r="C1259" s="169"/>
      <c r="D1259" s="145"/>
      <c r="E1259" s="145"/>
      <c r="F1259" s="169" t="e">
        <v>#VALUE!</v>
      </c>
      <c r="G1259" s="145"/>
      <c r="H1259" s="145"/>
      <c r="I1259" s="145"/>
      <c r="J1259" s="145"/>
      <c r="K1259" s="145"/>
      <c r="L1259" s="145"/>
      <c r="M1259" s="145"/>
      <c r="N1259" s="145"/>
      <c r="O1259" s="174"/>
      <c r="P1259" s="174"/>
      <c r="Q1259" s="158" t="str">
        <v/>
      </c>
      <c r="R1259" s="158" t="str">
        <v/>
      </c>
      <c r="S1259" s="158" t="str">
        <v/>
      </c>
      <c r="T1259" s="158" t="str">
        <v/>
      </c>
      <c r="U1259" s="158" t="str">
        <v/>
      </c>
      <c r="V1259" s="158" t="str">
        <v/>
      </c>
      <c r="W1259" s="158" t="str">
        <v/>
      </c>
      <c r="X1259" s="158" t="str">
        <v/>
      </c>
      <c r="Y1259" s="158" t="str">
        <v/>
      </c>
      <c r="Z1259" s="158" t="str">
        <v/>
      </c>
      <c r="AA1259" s="158" t="e">
        <v>#VALUE!</v>
      </c>
      <c r="AB1259" s="171" t="str">
        <v/>
      </c>
      <c r="AC1259" s="158">
        <v>0</v>
      </c>
      <c r="AD1259" s="173" t="str">
        <f ca="1">IFERROR(__xludf.DUMMYFUNCTION("""COMPUTED_VALUE"""),"")</f>
        <v/>
      </c>
      <c r="AE1259" s="154" t="str">
        <v/>
      </c>
      <c r="AF1259" s="154" t="str">
        <v/>
      </c>
    </row>
    <row r="1260" spans="1:32" ht="15">
      <c r="A1260" s="176"/>
      <c r="B1260" s="145"/>
      <c r="C1260" s="169"/>
      <c r="D1260" s="145"/>
      <c r="E1260" s="145"/>
      <c r="F1260" s="169" t="e">
        <v>#VALUE!</v>
      </c>
      <c r="G1260" s="145"/>
      <c r="H1260" s="145"/>
      <c r="I1260" s="145"/>
      <c r="J1260" s="145"/>
      <c r="K1260" s="145"/>
      <c r="L1260" s="145"/>
      <c r="M1260" s="145"/>
      <c r="N1260" s="145"/>
      <c r="O1260" s="174"/>
      <c r="P1260" s="174"/>
      <c r="Q1260" s="158" t="str">
        <v/>
      </c>
      <c r="R1260" s="158" t="str">
        <v/>
      </c>
      <c r="S1260" s="158" t="str">
        <v/>
      </c>
      <c r="T1260" s="158" t="str">
        <v/>
      </c>
      <c r="U1260" s="158" t="str">
        <v/>
      </c>
      <c r="V1260" s="158" t="str">
        <v/>
      </c>
      <c r="W1260" s="158" t="str">
        <v/>
      </c>
      <c r="X1260" s="158" t="str">
        <v/>
      </c>
      <c r="Y1260" s="158" t="str">
        <v/>
      </c>
      <c r="Z1260" s="158" t="str">
        <v/>
      </c>
      <c r="AA1260" s="158" t="e">
        <v>#VALUE!</v>
      </c>
      <c r="AB1260" s="171" t="str">
        <v/>
      </c>
      <c r="AC1260" s="158">
        <v>0</v>
      </c>
      <c r="AD1260" s="173" t="str">
        <f ca="1">IFERROR(__xludf.DUMMYFUNCTION("""COMPUTED_VALUE"""),"")</f>
        <v/>
      </c>
      <c r="AE1260" s="154" t="str">
        <v/>
      </c>
      <c r="AF1260" s="154" t="str">
        <v/>
      </c>
    </row>
    <row r="1261" spans="1:32" ht="15">
      <c r="A1261" s="176"/>
      <c r="B1261" s="145"/>
      <c r="C1261" s="169"/>
      <c r="D1261" s="145"/>
      <c r="E1261" s="145"/>
      <c r="F1261" s="169" t="e">
        <v>#VALUE!</v>
      </c>
      <c r="G1261" s="145"/>
      <c r="H1261" s="145"/>
      <c r="I1261" s="145"/>
      <c r="J1261" s="145"/>
      <c r="K1261" s="145"/>
      <c r="L1261" s="145"/>
      <c r="M1261" s="145"/>
      <c r="N1261" s="145"/>
      <c r="O1261" s="174"/>
      <c r="P1261" s="174"/>
      <c r="Q1261" s="158" t="str">
        <v/>
      </c>
      <c r="R1261" s="158" t="str">
        <v/>
      </c>
      <c r="S1261" s="158" t="str">
        <v/>
      </c>
      <c r="T1261" s="158" t="str">
        <v/>
      </c>
      <c r="U1261" s="158" t="str">
        <v/>
      </c>
      <c r="V1261" s="158" t="str">
        <v/>
      </c>
      <c r="W1261" s="158" t="str">
        <v/>
      </c>
      <c r="X1261" s="158" t="str">
        <v/>
      </c>
      <c r="Y1261" s="158" t="str">
        <v/>
      </c>
      <c r="Z1261" s="158" t="str">
        <v/>
      </c>
      <c r="AA1261" s="158" t="e">
        <v>#VALUE!</v>
      </c>
      <c r="AB1261" s="171" t="str">
        <v/>
      </c>
      <c r="AC1261" s="158">
        <v>0</v>
      </c>
      <c r="AD1261" s="173" t="str">
        <f ca="1">IFERROR(__xludf.DUMMYFUNCTION("""COMPUTED_VALUE"""),"")</f>
        <v/>
      </c>
      <c r="AE1261" s="154" t="str">
        <v/>
      </c>
      <c r="AF1261" s="154" t="str">
        <v/>
      </c>
    </row>
    <row r="1262" spans="1:32" ht="15">
      <c r="A1262" s="176"/>
      <c r="B1262" s="145"/>
      <c r="C1262" s="169"/>
      <c r="D1262" s="145"/>
      <c r="E1262" s="145"/>
      <c r="F1262" s="169" t="e">
        <v>#VALUE!</v>
      </c>
      <c r="G1262" s="145"/>
      <c r="H1262" s="145"/>
      <c r="I1262" s="145"/>
      <c r="J1262" s="145"/>
      <c r="K1262" s="145"/>
      <c r="L1262" s="145"/>
      <c r="M1262" s="145"/>
      <c r="N1262" s="145"/>
      <c r="O1262" s="174"/>
      <c r="P1262" s="174"/>
      <c r="Q1262" s="158" t="str">
        <v/>
      </c>
      <c r="R1262" s="158" t="str">
        <v/>
      </c>
      <c r="S1262" s="158" t="str">
        <v/>
      </c>
      <c r="T1262" s="158" t="str">
        <v/>
      </c>
      <c r="U1262" s="158" t="str">
        <v/>
      </c>
      <c r="V1262" s="158" t="str">
        <v/>
      </c>
      <c r="W1262" s="158" t="str">
        <v/>
      </c>
      <c r="X1262" s="158" t="str">
        <v/>
      </c>
      <c r="Y1262" s="158" t="str">
        <v/>
      </c>
      <c r="Z1262" s="158" t="str">
        <v/>
      </c>
      <c r="AA1262" s="158" t="e">
        <v>#VALUE!</v>
      </c>
      <c r="AB1262" s="171" t="str">
        <v/>
      </c>
      <c r="AC1262" s="158">
        <v>0</v>
      </c>
      <c r="AD1262" s="173" t="str">
        <f ca="1">IFERROR(__xludf.DUMMYFUNCTION("""COMPUTED_VALUE"""),"")</f>
        <v/>
      </c>
      <c r="AE1262" s="154" t="str">
        <v/>
      </c>
      <c r="AF1262" s="154" t="str">
        <v/>
      </c>
    </row>
    <row r="1263" spans="1:32" ht="15">
      <c r="A1263" s="176"/>
      <c r="B1263" s="145"/>
      <c r="C1263" s="169"/>
      <c r="D1263" s="145"/>
      <c r="E1263" s="145"/>
      <c r="F1263" s="169" t="e">
        <v>#VALUE!</v>
      </c>
      <c r="G1263" s="145"/>
      <c r="H1263" s="145"/>
      <c r="I1263" s="145"/>
      <c r="J1263" s="145"/>
      <c r="K1263" s="145"/>
      <c r="L1263" s="145"/>
      <c r="M1263" s="145"/>
      <c r="N1263" s="145"/>
      <c r="O1263" s="174"/>
      <c r="P1263" s="174"/>
      <c r="Q1263" s="158" t="str">
        <v/>
      </c>
      <c r="R1263" s="158" t="str">
        <v/>
      </c>
      <c r="S1263" s="158" t="str">
        <v/>
      </c>
      <c r="T1263" s="158" t="str">
        <v/>
      </c>
      <c r="U1263" s="158" t="str">
        <v/>
      </c>
      <c r="V1263" s="158" t="str">
        <v/>
      </c>
      <c r="W1263" s="158" t="str">
        <v/>
      </c>
      <c r="X1263" s="158" t="str">
        <v/>
      </c>
      <c r="Y1263" s="158" t="str">
        <v/>
      </c>
      <c r="Z1263" s="158" t="str">
        <v/>
      </c>
      <c r="AA1263" s="158" t="e">
        <v>#VALUE!</v>
      </c>
      <c r="AB1263" s="171" t="str">
        <v/>
      </c>
      <c r="AC1263" s="158">
        <v>0</v>
      </c>
      <c r="AD1263" s="173" t="str">
        <f ca="1">IFERROR(__xludf.DUMMYFUNCTION("""COMPUTED_VALUE"""),"")</f>
        <v/>
      </c>
      <c r="AE1263" s="154" t="str">
        <v/>
      </c>
      <c r="AF1263" s="154" t="str">
        <v/>
      </c>
    </row>
    <row r="1264" spans="1:32" ht="15">
      <c r="A1264" s="176"/>
      <c r="B1264" s="145"/>
      <c r="C1264" s="169"/>
      <c r="D1264" s="145"/>
      <c r="E1264" s="145"/>
      <c r="F1264" s="169" t="e">
        <v>#VALUE!</v>
      </c>
      <c r="G1264" s="145"/>
      <c r="H1264" s="145"/>
      <c r="I1264" s="145"/>
      <c r="J1264" s="145"/>
      <c r="K1264" s="145"/>
      <c r="L1264" s="145"/>
      <c r="M1264" s="145"/>
      <c r="N1264" s="145"/>
      <c r="O1264" s="174"/>
      <c r="P1264" s="174"/>
      <c r="Q1264" s="158" t="str">
        <v/>
      </c>
      <c r="R1264" s="158" t="str">
        <v/>
      </c>
      <c r="S1264" s="158" t="str">
        <v/>
      </c>
      <c r="T1264" s="158" t="str">
        <v/>
      </c>
      <c r="U1264" s="158" t="str">
        <v/>
      </c>
      <c r="V1264" s="158" t="str">
        <v/>
      </c>
      <c r="W1264" s="158" t="str">
        <v/>
      </c>
      <c r="X1264" s="158" t="str">
        <v/>
      </c>
      <c r="Y1264" s="158" t="str">
        <v/>
      </c>
      <c r="Z1264" s="158" t="str">
        <v/>
      </c>
      <c r="AA1264" s="158" t="e">
        <v>#VALUE!</v>
      </c>
      <c r="AB1264" s="171" t="str">
        <v/>
      </c>
      <c r="AC1264" s="158">
        <v>0</v>
      </c>
      <c r="AD1264" s="173" t="str">
        <f ca="1">IFERROR(__xludf.DUMMYFUNCTION("""COMPUTED_VALUE"""),"")</f>
        <v/>
      </c>
      <c r="AE1264" s="154" t="str">
        <v/>
      </c>
      <c r="AF1264" s="154" t="str">
        <v/>
      </c>
    </row>
    <row r="1265" spans="1:32" ht="15">
      <c r="A1265" s="176"/>
      <c r="B1265" s="145"/>
      <c r="C1265" s="169"/>
      <c r="D1265" s="145"/>
      <c r="E1265" s="145"/>
      <c r="F1265" s="169" t="e">
        <v>#VALUE!</v>
      </c>
      <c r="G1265" s="145"/>
      <c r="H1265" s="145"/>
      <c r="I1265" s="145"/>
      <c r="J1265" s="145"/>
      <c r="K1265" s="145"/>
      <c r="L1265" s="145"/>
      <c r="M1265" s="145"/>
      <c r="N1265" s="145"/>
      <c r="O1265" s="174"/>
      <c r="P1265" s="174"/>
      <c r="Q1265" s="158" t="str">
        <v/>
      </c>
      <c r="R1265" s="158" t="str">
        <v/>
      </c>
      <c r="S1265" s="158" t="str">
        <v/>
      </c>
      <c r="T1265" s="158" t="str">
        <v/>
      </c>
      <c r="U1265" s="158" t="str">
        <v/>
      </c>
      <c r="V1265" s="158" t="str">
        <v/>
      </c>
      <c r="W1265" s="158" t="str">
        <v/>
      </c>
      <c r="X1265" s="158" t="str">
        <v/>
      </c>
      <c r="Y1265" s="158" t="str">
        <v/>
      </c>
      <c r="Z1265" s="158" t="str">
        <v/>
      </c>
      <c r="AA1265" s="158" t="e">
        <v>#VALUE!</v>
      </c>
      <c r="AB1265" s="171" t="str">
        <v/>
      </c>
      <c r="AC1265" s="158">
        <v>0</v>
      </c>
      <c r="AD1265" s="173" t="str">
        <f ca="1">IFERROR(__xludf.DUMMYFUNCTION("""COMPUTED_VALUE"""),"")</f>
        <v/>
      </c>
      <c r="AE1265" s="154" t="str">
        <v/>
      </c>
      <c r="AF1265" s="154" t="str">
        <v/>
      </c>
    </row>
    <row r="1266" spans="1:32" ht="15">
      <c r="A1266" s="176"/>
      <c r="B1266" s="145"/>
      <c r="C1266" s="169"/>
      <c r="D1266" s="145"/>
      <c r="E1266" s="145"/>
      <c r="F1266" s="169" t="e">
        <v>#VALUE!</v>
      </c>
      <c r="G1266" s="145"/>
      <c r="H1266" s="145"/>
      <c r="I1266" s="145"/>
      <c r="J1266" s="145"/>
      <c r="K1266" s="145"/>
      <c r="L1266" s="145"/>
      <c r="M1266" s="145"/>
      <c r="N1266" s="145"/>
      <c r="O1266" s="174"/>
      <c r="P1266" s="174"/>
      <c r="Q1266" s="158" t="str">
        <v/>
      </c>
      <c r="R1266" s="158" t="str">
        <v/>
      </c>
      <c r="S1266" s="158" t="str">
        <v/>
      </c>
      <c r="T1266" s="158" t="str">
        <v/>
      </c>
      <c r="U1266" s="158" t="str">
        <v/>
      </c>
      <c r="V1266" s="158" t="str">
        <v/>
      </c>
      <c r="W1266" s="158" t="str">
        <v/>
      </c>
      <c r="X1266" s="158" t="str">
        <v/>
      </c>
      <c r="Y1266" s="158" t="str">
        <v/>
      </c>
      <c r="Z1266" s="158" t="str">
        <v/>
      </c>
      <c r="AA1266" s="158" t="e">
        <v>#VALUE!</v>
      </c>
      <c r="AB1266" s="171" t="str">
        <v/>
      </c>
      <c r="AC1266" s="158">
        <v>0</v>
      </c>
      <c r="AD1266" s="173" t="str">
        <f ca="1">IFERROR(__xludf.DUMMYFUNCTION("""COMPUTED_VALUE"""),"")</f>
        <v/>
      </c>
      <c r="AE1266" s="154" t="str">
        <v/>
      </c>
      <c r="AF1266" s="154" t="str">
        <v/>
      </c>
    </row>
    <row r="1267" spans="1:32" ht="15">
      <c r="A1267" s="176"/>
      <c r="B1267" s="145"/>
      <c r="C1267" s="169"/>
      <c r="D1267" s="145"/>
      <c r="E1267" s="145"/>
      <c r="F1267" s="169" t="e">
        <v>#VALUE!</v>
      </c>
      <c r="G1267" s="145"/>
      <c r="H1267" s="145"/>
      <c r="I1267" s="145"/>
      <c r="J1267" s="145"/>
      <c r="K1267" s="145"/>
      <c r="L1267" s="145"/>
      <c r="M1267" s="145"/>
      <c r="N1267" s="145"/>
      <c r="O1267" s="174"/>
      <c r="P1267" s="174"/>
      <c r="Q1267" s="158" t="str">
        <v/>
      </c>
      <c r="R1267" s="158" t="str">
        <v/>
      </c>
      <c r="S1267" s="158" t="str">
        <v/>
      </c>
      <c r="T1267" s="158" t="str">
        <v/>
      </c>
      <c r="U1267" s="158" t="str">
        <v/>
      </c>
      <c r="V1267" s="158" t="str">
        <v/>
      </c>
      <c r="W1267" s="158" t="str">
        <v/>
      </c>
      <c r="X1267" s="158" t="str">
        <v/>
      </c>
      <c r="Y1267" s="158" t="str">
        <v/>
      </c>
      <c r="Z1267" s="158" t="str">
        <v/>
      </c>
      <c r="AA1267" s="158" t="e">
        <v>#VALUE!</v>
      </c>
      <c r="AB1267" s="171" t="str">
        <v/>
      </c>
      <c r="AC1267" s="158">
        <v>0</v>
      </c>
      <c r="AD1267" s="173" t="str">
        <f ca="1">IFERROR(__xludf.DUMMYFUNCTION("""COMPUTED_VALUE"""),"")</f>
        <v/>
      </c>
      <c r="AE1267" s="154" t="str">
        <v/>
      </c>
      <c r="AF1267" s="154" t="str">
        <v/>
      </c>
    </row>
    <row r="1268" spans="1:32" ht="15">
      <c r="A1268" s="176"/>
      <c r="B1268" s="145"/>
      <c r="C1268" s="169"/>
      <c r="D1268" s="145"/>
      <c r="E1268" s="145"/>
      <c r="F1268" s="169" t="e">
        <v>#VALUE!</v>
      </c>
      <c r="G1268" s="145"/>
      <c r="H1268" s="145"/>
      <c r="I1268" s="145"/>
      <c r="J1268" s="145"/>
      <c r="K1268" s="145"/>
      <c r="L1268" s="145"/>
      <c r="M1268" s="145"/>
      <c r="N1268" s="145"/>
      <c r="O1268" s="174"/>
      <c r="P1268" s="174"/>
      <c r="Q1268" s="158" t="str">
        <v/>
      </c>
      <c r="R1268" s="158" t="str">
        <v/>
      </c>
      <c r="S1268" s="158" t="str">
        <v/>
      </c>
      <c r="T1268" s="158" t="str">
        <v/>
      </c>
      <c r="U1268" s="158" t="str">
        <v/>
      </c>
      <c r="V1268" s="158" t="str">
        <v/>
      </c>
      <c r="W1268" s="158" t="str">
        <v/>
      </c>
      <c r="X1268" s="158" t="str">
        <v/>
      </c>
      <c r="Y1268" s="158" t="str">
        <v/>
      </c>
      <c r="Z1268" s="158" t="str">
        <v/>
      </c>
      <c r="AA1268" s="158" t="e">
        <v>#VALUE!</v>
      </c>
      <c r="AB1268" s="171" t="str">
        <v/>
      </c>
      <c r="AC1268" s="158">
        <v>0</v>
      </c>
      <c r="AD1268" s="173" t="str">
        <f ca="1">IFERROR(__xludf.DUMMYFUNCTION("""COMPUTED_VALUE"""),"")</f>
        <v/>
      </c>
      <c r="AE1268" s="154" t="str">
        <v/>
      </c>
      <c r="AF1268" s="154" t="str">
        <v/>
      </c>
    </row>
    <row r="1269" spans="1:32" ht="15">
      <c r="A1269" s="176"/>
      <c r="B1269" s="145"/>
      <c r="C1269" s="169"/>
      <c r="D1269" s="145"/>
      <c r="E1269" s="145"/>
      <c r="F1269" s="169" t="e">
        <v>#VALUE!</v>
      </c>
      <c r="G1269" s="145"/>
      <c r="H1269" s="145"/>
      <c r="I1269" s="145"/>
      <c r="J1269" s="145"/>
      <c r="K1269" s="145"/>
      <c r="L1269" s="145"/>
      <c r="M1269" s="145"/>
      <c r="N1269" s="145"/>
      <c r="O1269" s="174"/>
      <c r="P1269" s="174"/>
      <c r="Q1269" s="158" t="str">
        <v/>
      </c>
      <c r="R1269" s="158" t="str">
        <v/>
      </c>
      <c r="S1269" s="158" t="str">
        <v/>
      </c>
      <c r="T1269" s="158" t="str">
        <v/>
      </c>
      <c r="U1269" s="158" t="str">
        <v/>
      </c>
      <c r="V1269" s="158" t="str">
        <v/>
      </c>
      <c r="W1269" s="158" t="str">
        <v/>
      </c>
      <c r="X1269" s="158" t="str">
        <v/>
      </c>
      <c r="Y1269" s="158" t="str">
        <v/>
      </c>
      <c r="Z1269" s="158" t="str">
        <v/>
      </c>
      <c r="AA1269" s="158" t="e">
        <v>#VALUE!</v>
      </c>
      <c r="AB1269" s="171" t="str">
        <v/>
      </c>
      <c r="AC1269" s="158">
        <v>0</v>
      </c>
      <c r="AD1269" s="173" t="str">
        <f ca="1">IFERROR(__xludf.DUMMYFUNCTION("""COMPUTED_VALUE"""),"")</f>
        <v/>
      </c>
      <c r="AE1269" s="154" t="str">
        <v/>
      </c>
      <c r="AF1269" s="154" t="str">
        <v/>
      </c>
    </row>
    <row r="1270" spans="1:32" ht="15">
      <c r="A1270" s="176"/>
      <c r="B1270" s="145"/>
      <c r="C1270" s="169"/>
      <c r="D1270" s="145"/>
      <c r="E1270" s="145"/>
      <c r="F1270" s="169" t="e">
        <v>#VALUE!</v>
      </c>
      <c r="G1270" s="145"/>
      <c r="H1270" s="145"/>
      <c r="I1270" s="145"/>
      <c r="J1270" s="145"/>
      <c r="K1270" s="145"/>
      <c r="L1270" s="145"/>
      <c r="M1270" s="145"/>
      <c r="N1270" s="145"/>
      <c r="O1270" s="174"/>
      <c r="P1270" s="174"/>
      <c r="Q1270" s="158" t="str">
        <v/>
      </c>
      <c r="R1270" s="158" t="str">
        <v/>
      </c>
      <c r="S1270" s="158" t="str">
        <v/>
      </c>
      <c r="T1270" s="158" t="str">
        <v/>
      </c>
      <c r="U1270" s="158" t="str">
        <v/>
      </c>
      <c r="V1270" s="158" t="str">
        <v/>
      </c>
      <c r="W1270" s="158" t="str">
        <v/>
      </c>
      <c r="X1270" s="158" t="str">
        <v/>
      </c>
      <c r="Y1270" s="158" t="str">
        <v/>
      </c>
      <c r="Z1270" s="158" t="str">
        <v/>
      </c>
      <c r="AA1270" s="158" t="e">
        <v>#VALUE!</v>
      </c>
      <c r="AB1270" s="171" t="str">
        <v/>
      </c>
      <c r="AC1270" s="158">
        <v>0</v>
      </c>
      <c r="AD1270" s="173" t="str">
        <f ca="1">IFERROR(__xludf.DUMMYFUNCTION("""COMPUTED_VALUE"""),"")</f>
        <v/>
      </c>
      <c r="AE1270" s="154" t="str">
        <v/>
      </c>
      <c r="AF1270" s="154" t="str">
        <v/>
      </c>
    </row>
    <row r="1271" spans="1:32" ht="15">
      <c r="A1271" s="176"/>
      <c r="B1271" s="145"/>
      <c r="C1271" s="169"/>
      <c r="D1271" s="145"/>
      <c r="E1271" s="145"/>
      <c r="F1271" s="169" t="e">
        <v>#VALUE!</v>
      </c>
      <c r="G1271" s="145"/>
      <c r="H1271" s="145"/>
      <c r="I1271" s="145"/>
      <c r="J1271" s="145"/>
      <c r="K1271" s="145"/>
      <c r="L1271" s="145"/>
      <c r="M1271" s="145"/>
      <c r="N1271" s="145"/>
      <c r="O1271" s="174"/>
      <c r="P1271" s="174"/>
      <c r="Q1271" s="158" t="str">
        <v/>
      </c>
      <c r="R1271" s="158" t="str">
        <v/>
      </c>
      <c r="S1271" s="158" t="str">
        <v/>
      </c>
      <c r="T1271" s="158" t="str">
        <v/>
      </c>
      <c r="U1271" s="158" t="str">
        <v/>
      </c>
      <c r="V1271" s="158" t="str">
        <v/>
      </c>
      <c r="W1271" s="158" t="str">
        <v/>
      </c>
      <c r="X1271" s="158" t="str">
        <v/>
      </c>
      <c r="Y1271" s="158" t="str">
        <v/>
      </c>
      <c r="Z1271" s="158" t="str">
        <v/>
      </c>
      <c r="AA1271" s="158" t="e">
        <v>#VALUE!</v>
      </c>
      <c r="AB1271" s="171" t="str">
        <v/>
      </c>
      <c r="AC1271" s="158">
        <v>0</v>
      </c>
      <c r="AD1271" s="173" t="str">
        <f ca="1">IFERROR(__xludf.DUMMYFUNCTION("""COMPUTED_VALUE"""),"")</f>
        <v/>
      </c>
      <c r="AE1271" s="154" t="str">
        <v/>
      </c>
      <c r="AF1271" s="154" t="str">
        <v/>
      </c>
    </row>
    <row r="1272" spans="1:32" ht="15">
      <c r="A1272" s="176"/>
      <c r="B1272" s="145"/>
      <c r="C1272" s="169"/>
      <c r="D1272" s="145"/>
      <c r="E1272" s="145"/>
      <c r="F1272" s="169" t="e">
        <v>#VALUE!</v>
      </c>
      <c r="G1272" s="145"/>
      <c r="H1272" s="145"/>
      <c r="I1272" s="145"/>
      <c r="J1272" s="145"/>
      <c r="K1272" s="145"/>
      <c r="L1272" s="145"/>
      <c r="M1272" s="145"/>
      <c r="N1272" s="145"/>
      <c r="O1272" s="174"/>
      <c r="P1272" s="174"/>
      <c r="Q1272" s="158" t="str">
        <v/>
      </c>
      <c r="R1272" s="158" t="str">
        <v/>
      </c>
      <c r="S1272" s="158" t="str">
        <v/>
      </c>
      <c r="T1272" s="158" t="str">
        <v/>
      </c>
      <c r="U1272" s="158" t="str">
        <v/>
      </c>
      <c r="V1272" s="158" t="str">
        <v/>
      </c>
      <c r="W1272" s="158" t="str">
        <v/>
      </c>
      <c r="X1272" s="158" t="str">
        <v/>
      </c>
      <c r="Y1272" s="158" t="str">
        <v/>
      </c>
      <c r="Z1272" s="158" t="str">
        <v/>
      </c>
      <c r="AA1272" s="158" t="e">
        <v>#VALUE!</v>
      </c>
      <c r="AB1272" s="171" t="str">
        <v/>
      </c>
      <c r="AC1272" s="158">
        <v>0</v>
      </c>
      <c r="AD1272" s="173" t="str">
        <f ca="1">IFERROR(__xludf.DUMMYFUNCTION("""COMPUTED_VALUE"""),"")</f>
        <v/>
      </c>
      <c r="AE1272" s="154" t="str">
        <v/>
      </c>
      <c r="AF1272" s="154" t="str">
        <v/>
      </c>
    </row>
    <row r="1273" spans="1:32" ht="15">
      <c r="A1273" s="176"/>
      <c r="B1273" s="145"/>
      <c r="C1273" s="169"/>
      <c r="D1273" s="145"/>
      <c r="E1273" s="145"/>
      <c r="F1273" s="169" t="e">
        <v>#VALUE!</v>
      </c>
      <c r="G1273" s="145"/>
      <c r="H1273" s="145"/>
      <c r="I1273" s="145"/>
      <c r="J1273" s="145"/>
      <c r="K1273" s="145"/>
      <c r="L1273" s="145"/>
      <c r="M1273" s="145"/>
      <c r="N1273" s="145"/>
      <c r="O1273" s="174"/>
      <c r="P1273" s="174"/>
      <c r="Q1273" s="158" t="str">
        <v/>
      </c>
      <c r="R1273" s="158" t="str">
        <v/>
      </c>
      <c r="S1273" s="158" t="str">
        <v/>
      </c>
      <c r="T1273" s="158" t="str">
        <v/>
      </c>
      <c r="U1273" s="158" t="str">
        <v/>
      </c>
      <c r="V1273" s="158" t="str">
        <v/>
      </c>
      <c r="W1273" s="158" t="str">
        <v/>
      </c>
      <c r="X1273" s="158" t="str">
        <v/>
      </c>
      <c r="Y1273" s="158" t="str">
        <v/>
      </c>
      <c r="Z1273" s="158" t="str">
        <v/>
      </c>
      <c r="AA1273" s="158" t="e">
        <v>#VALUE!</v>
      </c>
      <c r="AB1273" s="171" t="str">
        <v/>
      </c>
      <c r="AC1273" s="158">
        <v>0</v>
      </c>
      <c r="AD1273" s="173" t="str">
        <f ca="1">IFERROR(__xludf.DUMMYFUNCTION("""COMPUTED_VALUE"""),"")</f>
        <v/>
      </c>
      <c r="AE1273" s="154" t="str">
        <v/>
      </c>
      <c r="AF1273" s="154" t="str">
        <v/>
      </c>
    </row>
    <row r="1274" spans="1:32" ht="15">
      <c r="A1274" s="176"/>
      <c r="B1274" s="145"/>
      <c r="C1274" s="169"/>
      <c r="D1274" s="145"/>
      <c r="E1274" s="145"/>
      <c r="F1274" s="169" t="e">
        <v>#VALUE!</v>
      </c>
      <c r="G1274" s="145"/>
      <c r="H1274" s="145"/>
      <c r="I1274" s="145"/>
      <c r="J1274" s="145"/>
      <c r="K1274" s="145"/>
      <c r="L1274" s="145"/>
      <c r="M1274" s="145"/>
      <c r="N1274" s="145"/>
      <c r="O1274" s="174"/>
      <c r="P1274" s="174"/>
      <c r="Q1274" s="158" t="str">
        <v/>
      </c>
      <c r="R1274" s="158" t="str">
        <v/>
      </c>
      <c r="S1274" s="158" t="str">
        <v/>
      </c>
      <c r="T1274" s="158" t="str">
        <v/>
      </c>
      <c r="U1274" s="158" t="str">
        <v/>
      </c>
      <c r="V1274" s="158" t="str">
        <v/>
      </c>
      <c r="W1274" s="158" t="str">
        <v/>
      </c>
      <c r="X1274" s="158" t="str">
        <v/>
      </c>
      <c r="Y1274" s="158" t="str">
        <v/>
      </c>
      <c r="Z1274" s="158" t="str">
        <v/>
      </c>
      <c r="AA1274" s="158" t="e">
        <v>#VALUE!</v>
      </c>
      <c r="AB1274" s="171" t="str">
        <v/>
      </c>
      <c r="AC1274" s="158">
        <v>0</v>
      </c>
      <c r="AD1274" s="173" t="str">
        <f ca="1">IFERROR(__xludf.DUMMYFUNCTION("""COMPUTED_VALUE"""),"")</f>
        <v/>
      </c>
      <c r="AE1274" s="154" t="str">
        <v/>
      </c>
      <c r="AF1274" s="154" t="str">
        <v/>
      </c>
    </row>
    <row r="1275" spans="1:32" ht="15">
      <c r="A1275" s="176"/>
      <c r="B1275" s="145"/>
      <c r="C1275" s="169"/>
      <c r="D1275" s="145"/>
      <c r="E1275" s="145"/>
      <c r="F1275" s="169" t="e">
        <v>#VALUE!</v>
      </c>
      <c r="G1275" s="145"/>
      <c r="H1275" s="145"/>
      <c r="I1275" s="145"/>
      <c r="J1275" s="145"/>
      <c r="K1275" s="145"/>
      <c r="L1275" s="145"/>
      <c r="M1275" s="145"/>
      <c r="N1275" s="145"/>
      <c r="O1275" s="174"/>
      <c r="P1275" s="174"/>
      <c r="Q1275" s="158" t="str">
        <v/>
      </c>
      <c r="R1275" s="158" t="str">
        <v/>
      </c>
      <c r="S1275" s="158" t="str">
        <v/>
      </c>
      <c r="T1275" s="158" t="str">
        <v/>
      </c>
      <c r="U1275" s="158" t="str">
        <v/>
      </c>
      <c r="V1275" s="158" t="str">
        <v/>
      </c>
      <c r="W1275" s="158" t="str">
        <v/>
      </c>
      <c r="X1275" s="158" t="str">
        <v/>
      </c>
      <c r="Y1275" s="158" t="str">
        <v/>
      </c>
      <c r="Z1275" s="158" t="str">
        <v/>
      </c>
      <c r="AA1275" s="158" t="e">
        <v>#VALUE!</v>
      </c>
      <c r="AB1275" s="171" t="str">
        <v/>
      </c>
      <c r="AC1275" s="158">
        <v>0</v>
      </c>
      <c r="AD1275" s="173" t="str">
        <f ca="1">IFERROR(__xludf.DUMMYFUNCTION("""COMPUTED_VALUE"""),"")</f>
        <v/>
      </c>
      <c r="AE1275" s="154" t="str">
        <v/>
      </c>
      <c r="AF1275" s="154" t="str">
        <v/>
      </c>
    </row>
    <row r="1276" spans="1:32" ht="15">
      <c r="A1276" s="176"/>
      <c r="B1276" s="145"/>
      <c r="C1276" s="169"/>
      <c r="D1276" s="145"/>
      <c r="E1276" s="145"/>
      <c r="F1276" s="169" t="e">
        <v>#VALUE!</v>
      </c>
      <c r="G1276" s="145"/>
      <c r="H1276" s="145"/>
      <c r="I1276" s="145"/>
      <c r="J1276" s="145"/>
      <c r="K1276" s="145"/>
      <c r="L1276" s="145"/>
      <c r="M1276" s="145"/>
      <c r="N1276" s="145"/>
      <c r="O1276" s="174"/>
      <c r="P1276" s="174"/>
      <c r="Q1276" s="158" t="str">
        <v/>
      </c>
      <c r="R1276" s="158" t="str">
        <v/>
      </c>
      <c r="S1276" s="158" t="str">
        <v/>
      </c>
      <c r="T1276" s="158" t="str">
        <v/>
      </c>
      <c r="U1276" s="158" t="str">
        <v/>
      </c>
      <c r="V1276" s="158" t="str">
        <v/>
      </c>
      <c r="W1276" s="158" t="str">
        <v/>
      </c>
      <c r="X1276" s="158" t="str">
        <v/>
      </c>
      <c r="Y1276" s="158" t="str">
        <v/>
      </c>
      <c r="Z1276" s="158" t="str">
        <v/>
      </c>
      <c r="AA1276" s="158" t="e">
        <v>#VALUE!</v>
      </c>
      <c r="AB1276" s="171" t="str">
        <v/>
      </c>
      <c r="AC1276" s="158">
        <v>0</v>
      </c>
      <c r="AD1276" s="173" t="str">
        <f ca="1">IFERROR(__xludf.DUMMYFUNCTION("""COMPUTED_VALUE"""),"")</f>
        <v/>
      </c>
      <c r="AE1276" s="154" t="str">
        <v/>
      </c>
      <c r="AF1276" s="154" t="str">
        <v/>
      </c>
    </row>
    <row r="1277" spans="1:32" ht="15">
      <c r="A1277" s="176"/>
      <c r="B1277" s="145"/>
      <c r="C1277" s="169"/>
      <c r="D1277" s="145"/>
      <c r="E1277" s="145"/>
      <c r="F1277" s="169" t="e">
        <v>#VALUE!</v>
      </c>
      <c r="G1277" s="145"/>
      <c r="H1277" s="145"/>
      <c r="I1277" s="145"/>
      <c r="J1277" s="145"/>
      <c r="K1277" s="145"/>
      <c r="L1277" s="145"/>
      <c r="M1277" s="145"/>
      <c r="N1277" s="145"/>
      <c r="O1277" s="174"/>
      <c r="P1277" s="174"/>
      <c r="Q1277" s="158" t="str">
        <v/>
      </c>
      <c r="R1277" s="158" t="str">
        <v/>
      </c>
      <c r="S1277" s="158" t="str">
        <v/>
      </c>
      <c r="T1277" s="158" t="str">
        <v/>
      </c>
      <c r="U1277" s="158" t="str">
        <v/>
      </c>
      <c r="V1277" s="158" t="str">
        <v/>
      </c>
      <c r="W1277" s="158" t="str">
        <v/>
      </c>
      <c r="X1277" s="158" t="str">
        <v/>
      </c>
      <c r="Y1277" s="158" t="str">
        <v/>
      </c>
      <c r="Z1277" s="158" t="str">
        <v/>
      </c>
      <c r="AA1277" s="158" t="e">
        <v>#VALUE!</v>
      </c>
      <c r="AB1277" s="171" t="str">
        <v/>
      </c>
      <c r="AC1277" s="158">
        <v>0</v>
      </c>
      <c r="AD1277" s="173" t="str">
        <f ca="1">IFERROR(__xludf.DUMMYFUNCTION("""COMPUTED_VALUE"""),"")</f>
        <v/>
      </c>
      <c r="AE1277" s="154" t="str">
        <v/>
      </c>
      <c r="AF1277" s="154" t="str">
        <v/>
      </c>
    </row>
    <row r="1278" spans="1:32" ht="15">
      <c r="A1278" s="176"/>
      <c r="B1278" s="145"/>
      <c r="C1278" s="169"/>
      <c r="D1278" s="145"/>
      <c r="E1278" s="145"/>
      <c r="F1278" s="169" t="e">
        <v>#VALUE!</v>
      </c>
      <c r="G1278" s="145"/>
      <c r="H1278" s="145"/>
      <c r="I1278" s="145"/>
      <c r="J1278" s="145"/>
      <c r="K1278" s="145"/>
      <c r="L1278" s="145"/>
      <c r="M1278" s="145"/>
      <c r="N1278" s="145"/>
      <c r="O1278" s="174"/>
      <c r="P1278" s="174"/>
      <c r="Q1278" s="158" t="str">
        <v/>
      </c>
      <c r="R1278" s="158" t="str">
        <v/>
      </c>
      <c r="S1278" s="158" t="str">
        <v/>
      </c>
      <c r="T1278" s="158" t="str">
        <v/>
      </c>
      <c r="U1278" s="158" t="str">
        <v/>
      </c>
      <c r="V1278" s="158" t="str">
        <v/>
      </c>
      <c r="W1278" s="158" t="str">
        <v/>
      </c>
      <c r="X1278" s="158" t="str">
        <v/>
      </c>
      <c r="Y1278" s="158" t="str">
        <v/>
      </c>
      <c r="Z1278" s="158" t="str">
        <v/>
      </c>
      <c r="AA1278" s="158" t="e">
        <v>#VALUE!</v>
      </c>
      <c r="AB1278" s="171" t="str">
        <v/>
      </c>
      <c r="AC1278" s="158">
        <v>0</v>
      </c>
      <c r="AD1278" s="173" t="str">
        <f ca="1">IFERROR(__xludf.DUMMYFUNCTION("""COMPUTED_VALUE"""),"")</f>
        <v/>
      </c>
      <c r="AE1278" s="154" t="str">
        <v/>
      </c>
      <c r="AF1278" s="154" t="str">
        <v/>
      </c>
    </row>
    <row r="1279" spans="1:32" ht="15">
      <c r="A1279" s="176"/>
      <c r="B1279" s="145"/>
      <c r="C1279" s="169"/>
      <c r="D1279" s="145"/>
      <c r="E1279" s="145"/>
      <c r="F1279" s="169" t="e">
        <v>#VALUE!</v>
      </c>
      <c r="G1279" s="145"/>
      <c r="H1279" s="145"/>
      <c r="I1279" s="145"/>
      <c r="J1279" s="145"/>
      <c r="K1279" s="145"/>
      <c r="L1279" s="145"/>
      <c r="M1279" s="145"/>
      <c r="N1279" s="145"/>
      <c r="O1279" s="174"/>
      <c r="P1279" s="174"/>
      <c r="Q1279" s="158" t="str">
        <v/>
      </c>
      <c r="R1279" s="158" t="str">
        <v/>
      </c>
      <c r="S1279" s="158" t="str">
        <v/>
      </c>
      <c r="T1279" s="158" t="str">
        <v/>
      </c>
      <c r="U1279" s="158" t="str">
        <v/>
      </c>
      <c r="V1279" s="158" t="str">
        <v/>
      </c>
      <c r="W1279" s="158" t="str">
        <v/>
      </c>
      <c r="X1279" s="158" t="str">
        <v/>
      </c>
      <c r="Y1279" s="158" t="str">
        <v/>
      </c>
      <c r="Z1279" s="158" t="str">
        <v/>
      </c>
      <c r="AA1279" s="158" t="e">
        <v>#VALUE!</v>
      </c>
      <c r="AB1279" s="171" t="str">
        <v/>
      </c>
      <c r="AC1279" s="158">
        <v>0</v>
      </c>
      <c r="AD1279" s="173" t="str">
        <f ca="1">IFERROR(__xludf.DUMMYFUNCTION("""COMPUTED_VALUE"""),"")</f>
        <v/>
      </c>
      <c r="AE1279" s="154" t="str">
        <v/>
      </c>
      <c r="AF1279" s="154" t="str">
        <v/>
      </c>
    </row>
    <row r="1280" spans="1:32" ht="15">
      <c r="A1280" s="176"/>
      <c r="B1280" s="145"/>
      <c r="C1280" s="169"/>
      <c r="D1280" s="145"/>
      <c r="E1280" s="145"/>
      <c r="F1280" s="169" t="e">
        <v>#VALUE!</v>
      </c>
      <c r="G1280" s="145"/>
      <c r="H1280" s="145"/>
      <c r="I1280" s="145"/>
      <c r="J1280" s="145"/>
      <c r="K1280" s="145"/>
      <c r="L1280" s="145"/>
      <c r="M1280" s="145"/>
      <c r="N1280" s="145"/>
      <c r="O1280" s="174"/>
      <c r="P1280" s="174"/>
      <c r="Q1280" s="158" t="str">
        <v/>
      </c>
      <c r="R1280" s="158" t="str">
        <v/>
      </c>
      <c r="S1280" s="158" t="str">
        <v/>
      </c>
      <c r="T1280" s="158" t="str">
        <v/>
      </c>
      <c r="U1280" s="158" t="str">
        <v/>
      </c>
      <c r="V1280" s="158" t="str">
        <v/>
      </c>
      <c r="W1280" s="158" t="str">
        <v/>
      </c>
      <c r="X1280" s="158" t="str">
        <v/>
      </c>
      <c r="Y1280" s="158" t="str">
        <v/>
      </c>
      <c r="Z1280" s="158" t="str">
        <v/>
      </c>
      <c r="AA1280" s="158" t="e">
        <v>#VALUE!</v>
      </c>
      <c r="AB1280" s="171" t="str">
        <v/>
      </c>
      <c r="AC1280" s="158">
        <v>0</v>
      </c>
      <c r="AD1280" s="173" t="str">
        <f ca="1">IFERROR(__xludf.DUMMYFUNCTION("""COMPUTED_VALUE"""),"")</f>
        <v/>
      </c>
      <c r="AE1280" s="154" t="str">
        <v/>
      </c>
      <c r="AF1280" s="154" t="str">
        <v/>
      </c>
    </row>
    <row r="1281" spans="1:32" ht="15">
      <c r="A1281" s="176"/>
      <c r="B1281" s="145"/>
      <c r="C1281" s="169"/>
      <c r="D1281" s="145"/>
      <c r="E1281" s="145"/>
      <c r="F1281" s="169" t="e">
        <v>#VALUE!</v>
      </c>
      <c r="G1281" s="145"/>
      <c r="H1281" s="145"/>
      <c r="I1281" s="145"/>
      <c r="J1281" s="145"/>
      <c r="K1281" s="145"/>
      <c r="L1281" s="145"/>
      <c r="M1281" s="145"/>
      <c r="N1281" s="145"/>
      <c r="O1281" s="174"/>
      <c r="P1281" s="174"/>
      <c r="Q1281" s="158" t="str">
        <v/>
      </c>
      <c r="R1281" s="158" t="str">
        <v/>
      </c>
      <c r="S1281" s="158" t="str">
        <v/>
      </c>
      <c r="T1281" s="158" t="str">
        <v/>
      </c>
      <c r="U1281" s="158" t="str">
        <v/>
      </c>
      <c r="V1281" s="158" t="str">
        <v/>
      </c>
      <c r="W1281" s="158" t="str">
        <v/>
      </c>
      <c r="X1281" s="158" t="str">
        <v/>
      </c>
      <c r="Y1281" s="158" t="str">
        <v/>
      </c>
      <c r="Z1281" s="158" t="str">
        <v/>
      </c>
      <c r="AA1281" s="158" t="e">
        <v>#VALUE!</v>
      </c>
      <c r="AB1281" s="171" t="str">
        <v/>
      </c>
      <c r="AC1281" s="158">
        <v>0</v>
      </c>
      <c r="AD1281" s="173" t="str">
        <f ca="1">IFERROR(__xludf.DUMMYFUNCTION("""COMPUTED_VALUE"""),"")</f>
        <v/>
      </c>
      <c r="AE1281" s="154" t="str">
        <v/>
      </c>
      <c r="AF1281" s="154" t="str">
        <v/>
      </c>
    </row>
    <row r="1282" spans="1:32" ht="15">
      <c r="A1282" s="176"/>
      <c r="B1282" s="145"/>
      <c r="C1282" s="169"/>
      <c r="D1282" s="145"/>
      <c r="E1282" s="145"/>
      <c r="F1282" s="169" t="e">
        <v>#VALUE!</v>
      </c>
      <c r="G1282" s="145"/>
      <c r="H1282" s="145"/>
      <c r="I1282" s="145"/>
      <c r="J1282" s="145"/>
      <c r="K1282" s="145"/>
      <c r="L1282" s="145"/>
      <c r="M1282" s="145"/>
      <c r="N1282" s="145"/>
      <c r="O1282" s="174"/>
      <c r="P1282" s="174"/>
      <c r="Q1282" s="158" t="str">
        <v/>
      </c>
      <c r="R1282" s="158" t="str">
        <v/>
      </c>
      <c r="S1282" s="158" t="str">
        <v/>
      </c>
      <c r="T1282" s="158" t="str">
        <v/>
      </c>
      <c r="U1282" s="158" t="str">
        <v/>
      </c>
      <c r="V1282" s="158" t="str">
        <v/>
      </c>
      <c r="W1282" s="158" t="str">
        <v/>
      </c>
      <c r="X1282" s="158" t="str">
        <v/>
      </c>
      <c r="Y1282" s="158" t="str">
        <v/>
      </c>
      <c r="Z1282" s="158" t="str">
        <v/>
      </c>
      <c r="AA1282" s="158" t="e">
        <v>#VALUE!</v>
      </c>
      <c r="AB1282" s="171" t="str">
        <v/>
      </c>
      <c r="AC1282" s="158">
        <v>0</v>
      </c>
      <c r="AD1282" s="173" t="str">
        <f ca="1">IFERROR(__xludf.DUMMYFUNCTION("""COMPUTED_VALUE"""),"")</f>
        <v/>
      </c>
      <c r="AE1282" s="154" t="str">
        <v/>
      </c>
      <c r="AF1282" s="154" t="str">
        <v/>
      </c>
    </row>
    <row r="1283" spans="1:32" ht="15">
      <c r="A1283" s="176"/>
      <c r="B1283" s="145"/>
      <c r="C1283" s="169"/>
      <c r="D1283" s="145"/>
      <c r="E1283" s="145"/>
      <c r="F1283" s="169" t="e">
        <v>#VALUE!</v>
      </c>
      <c r="G1283" s="145"/>
      <c r="H1283" s="145"/>
      <c r="I1283" s="145"/>
      <c r="J1283" s="145"/>
      <c r="K1283" s="145"/>
      <c r="L1283" s="145"/>
      <c r="M1283" s="145"/>
      <c r="N1283" s="145"/>
      <c r="O1283" s="174"/>
      <c r="P1283" s="174"/>
      <c r="Q1283" s="158" t="str">
        <v/>
      </c>
      <c r="R1283" s="158" t="str">
        <v/>
      </c>
      <c r="S1283" s="158" t="str">
        <v/>
      </c>
      <c r="T1283" s="158" t="str">
        <v/>
      </c>
      <c r="U1283" s="158" t="str">
        <v/>
      </c>
      <c r="V1283" s="158" t="str">
        <v/>
      </c>
      <c r="W1283" s="158" t="str">
        <v/>
      </c>
      <c r="X1283" s="158" t="str">
        <v/>
      </c>
      <c r="Y1283" s="158" t="str">
        <v/>
      </c>
      <c r="Z1283" s="158" t="str">
        <v/>
      </c>
      <c r="AA1283" s="158" t="e">
        <v>#VALUE!</v>
      </c>
      <c r="AB1283" s="171" t="str">
        <v/>
      </c>
      <c r="AC1283" s="158">
        <v>0</v>
      </c>
      <c r="AD1283" s="173" t="str">
        <f ca="1">IFERROR(__xludf.DUMMYFUNCTION("""COMPUTED_VALUE"""),"")</f>
        <v/>
      </c>
      <c r="AE1283" s="154" t="str">
        <v/>
      </c>
      <c r="AF1283" s="154" t="str">
        <v/>
      </c>
    </row>
    <row r="1284" spans="1:32" ht="15">
      <c r="A1284" s="176"/>
      <c r="B1284" s="145"/>
      <c r="C1284" s="169"/>
      <c r="D1284" s="145"/>
      <c r="E1284" s="145"/>
      <c r="F1284" s="169" t="e">
        <v>#VALUE!</v>
      </c>
      <c r="G1284" s="145"/>
      <c r="H1284" s="145"/>
      <c r="I1284" s="145"/>
      <c r="J1284" s="145"/>
      <c r="K1284" s="145"/>
      <c r="L1284" s="145"/>
      <c r="M1284" s="145"/>
      <c r="N1284" s="145"/>
      <c r="O1284" s="174"/>
      <c r="P1284" s="174"/>
      <c r="Q1284" s="158" t="str">
        <v/>
      </c>
      <c r="R1284" s="158" t="str">
        <v/>
      </c>
      <c r="S1284" s="158" t="str">
        <v/>
      </c>
      <c r="T1284" s="158" t="str">
        <v/>
      </c>
      <c r="U1284" s="158" t="str">
        <v/>
      </c>
      <c r="V1284" s="158" t="str">
        <v/>
      </c>
      <c r="W1284" s="158" t="str">
        <v/>
      </c>
      <c r="X1284" s="158" t="str">
        <v/>
      </c>
      <c r="Y1284" s="158" t="str">
        <v/>
      </c>
      <c r="Z1284" s="158" t="str">
        <v/>
      </c>
      <c r="AA1284" s="158" t="e">
        <v>#VALUE!</v>
      </c>
      <c r="AB1284" s="171" t="str">
        <v/>
      </c>
      <c r="AC1284" s="158">
        <v>0</v>
      </c>
      <c r="AD1284" s="173" t="str">
        <f ca="1">IFERROR(__xludf.DUMMYFUNCTION("""COMPUTED_VALUE"""),"")</f>
        <v/>
      </c>
      <c r="AE1284" s="154" t="str">
        <v/>
      </c>
      <c r="AF1284" s="154" t="str">
        <v/>
      </c>
    </row>
    <row r="1285" spans="1:32" ht="15">
      <c r="A1285" s="176"/>
      <c r="B1285" s="145"/>
      <c r="C1285" s="169"/>
      <c r="D1285" s="145"/>
      <c r="E1285" s="145"/>
      <c r="F1285" s="169" t="e">
        <v>#VALUE!</v>
      </c>
      <c r="G1285" s="145"/>
      <c r="H1285" s="145"/>
      <c r="I1285" s="145"/>
      <c r="J1285" s="145"/>
      <c r="K1285" s="145"/>
      <c r="L1285" s="145"/>
      <c r="M1285" s="145"/>
      <c r="N1285" s="145"/>
      <c r="O1285" s="174"/>
      <c r="P1285" s="174"/>
      <c r="Q1285" s="158" t="str">
        <v/>
      </c>
      <c r="R1285" s="158" t="str">
        <v/>
      </c>
      <c r="S1285" s="158" t="str">
        <v/>
      </c>
      <c r="T1285" s="158" t="str">
        <v/>
      </c>
      <c r="U1285" s="158" t="str">
        <v/>
      </c>
      <c r="V1285" s="158" t="str">
        <v/>
      </c>
      <c r="W1285" s="158" t="str">
        <v/>
      </c>
      <c r="X1285" s="158" t="str">
        <v/>
      </c>
      <c r="Y1285" s="158" t="str">
        <v/>
      </c>
      <c r="Z1285" s="158" t="str">
        <v/>
      </c>
      <c r="AA1285" s="158" t="e">
        <v>#VALUE!</v>
      </c>
      <c r="AB1285" s="171" t="str">
        <v/>
      </c>
      <c r="AC1285" s="158">
        <v>0</v>
      </c>
      <c r="AD1285" s="173" t="str">
        <f ca="1">IFERROR(__xludf.DUMMYFUNCTION("""COMPUTED_VALUE"""),"")</f>
        <v/>
      </c>
      <c r="AE1285" s="154" t="str">
        <v/>
      </c>
      <c r="AF1285" s="154" t="str">
        <v/>
      </c>
    </row>
    <row r="1286" spans="1:32" ht="15">
      <c r="A1286" s="176"/>
      <c r="B1286" s="145"/>
      <c r="C1286" s="169"/>
      <c r="D1286" s="145"/>
      <c r="E1286" s="145"/>
      <c r="F1286" s="169" t="e">
        <v>#VALUE!</v>
      </c>
      <c r="G1286" s="145"/>
      <c r="H1286" s="145"/>
      <c r="I1286" s="145"/>
      <c r="J1286" s="145"/>
      <c r="K1286" s="145"/>
      <c r="L1286" s="145"/>
      <c r="M1286" s="145"/>
      <c r="N1286" s="145"/>
      <c r="O1286" s="174"/>
      <c r="P1286" s="174"/>
      <c r="Q1286" s="158" t="str">
        <v/>
      </c>
      <c r="R1286" s="158" t="str">
        <v/>
      </c>
      <c r="S1286" s="158" t="str">
        <v/>
      </c>
      <c r="T1286" s="158" t="str">
        <v/>
      </c>
      <c r="U1286" s="158" t="str">
        <v/>
      </c>
      <c r="V1286" s="158" t="str">
        <v/>
      </c>
      <c r="W1286" s="158" t="str">
        <v/>
      </c>
      <c r="X1286" s="158" t="str">
        <v/>
      </c>
      <c r="Y1286" s="158" t="str">
        <v/>
      </c>
      <c r="Z1286" s="158" t="str">
        <v/>
      </c>
      <c r="AA1286" s="158" t="e">
        <v>#VALUE!</v>
      </c>
      <c r="AB1286" s="171" t="str">
        <v/>
      </c>
      <c r="AC1286" s="158">
        <v>0</v>
      </c>
      <c r="AD1286" s="173" t="str">
        <f ca="1">IFERROR(__xludf.DUMMYFUNCTION("""COMPUTED_VALUE"""),"")</f>
        <v/>
      </c>
      <c r="AE1286" s="154" t="str">
        <v/>
      </c>
      <c r="AF1286" s="154" t="str">
        <v/>
      </c>
    </row>
    <row r="1287" spans="1:32" ht="15">
      <c r="A1287" s="176"/>
      <c r="B1287" s="145"/>
      <c r="C1287" s="169"/>
      <c r="D1287" s="145"/>
      <c r="E1287" s="145"/>
      <c r="F1287" s="169" t="e">
        <v>#VALUE!</v>
      </c>
      <c r="G1287" s="145"/>
      <c r="H1287" s="145"/>
      <c r="I1287" s="145"/>
      <c r="J1287" s="145"/>
      <c r="K1287" s="145"/>
      <c r="L1287" s="145"/>
      <c r="M1287" s="145"/>
      <c r="N1287" s="145"/>
      <c r="O1287" s="174"/>
      <c r="P1287" s="174"/>
      <c r="Q1287" s="158" t="str">
        <v/>
      </c>
      <c r="R1287" s="158" t="str">
        <v/>
      </c>
      <c r="S1287" s="158" t="str">
        <v/>
      </c>
      <c r="T1287" s="158" t="str">
        <v/>
      </c>
      <c r="U1287" s="158" t="str">
        <v/>
      </c>
      <c r="V1287" s="158" t="str">
        <v/>
      </c>
      <c r="W1287" s="158" t="str">
        <v/>
      </c>
      <c r="X1287" s="158" t="str">
        <v/>
      </c>
      <c r="Y1287" s="158" t="str">
        <v/>
      </c>
      <c r="Z1287" s="158" t="str">
        <v/>
      </c>
      <c r="AA1287" s="158" t="e">
        <v>#VALUE!</v>
      </c>
      <c r="AB1287" s="171" t="str">
        <v/>
      </c>
      <c r="AC1287" s="158">
        <v>0</v>
      </c>
      <c r="AD1287" s="173" t="str">
        <f ca="1">IFERROR(__xludf.DUMMYFUNCTION("""COMPUTED_VALUE"""),"")</f>
        <v/>
      </c>
      <c r="AE1287" s="154" t="str">
        <v/>
      </c>
      <c r="AF1287" s="154" t="str">
        <v/>
      </c>
    </row>
    <row r="1288" spans="1:32" ht="15">
      <c r="A1288" s="176"/>
      <c r="B1288" s="145"/>
      <c r="C1288" s="169"/>
      <c r="D1288" s="145"/>
      <c r="E1288" s="145"/>
      <c r="F1288" s="169" t="e">
        <v>#VALUE!</v>
      </c>
      <c r="G1288" s="145"/>
      <c r="H1288" s="145"/>
      <c r="I1288" s="145"/>
      <c r="J1288" s="145"/>
      <c r="K1288" s="145"/>
      <c r="L1288" s="145"/>
      <c r="M1288" s="145"/>
      <c r="N1288" s="145"/>
      <c r="O1288" s="174"/>
      <c r="P1288" s="174"/>
      <c r="Q1288" s="158" t="str">
        <v/>
      </c>
      <c r="R1288" s="158" t="str">
        <v/>
      </c>
      <c r="S1288" s="158" t="str">
        <v/>
      </c>
      <c r="T1288" s="158" t="str">
        <v/>
      </c>
      <c r="U1288" s="158" t="str">
        <v/>
      </c>
      <c r="V1288" s="158" t="str">
        <v/>
      </c>
      <c r="W1288" s="158" t="str">
        <v/>
      </c>
      <c r="X1288" s="158" t="str">
        <v/>
      </c>
      <c r="Y1288" s="158" t="str">
        <v/>
      </c>
      <c r="Z1288" s="158" t="str">
        <v/>
      </c>
      <c r="AA1288" s="158" t="e">
        <v>#VALUE!</v>
      </c>
      <c r="AB1288" s="171" t="str">
        <v/>
      </c>
      <c r="AC1288" s="158">
        <v>0</v>
      </c>
      <c r="AD1288" s="173" t="str">
        <f ca="1">IFERROR(__xludf.DUMMYFUNCTION("""COMPUTED_VALUE"""),"")</f>
        <v/>
      </c>
      <c r="AE1288" s="154" t="str">
        <v/>
      </c>
      <c r="AF1288" s="154" t="str">
        <v/>
      </c>
    </row>
    <row r="1289" spans="1:32" ht="15">
      <c r="A1289" s="176"/>
      <c r="B1289" s="145"/>
      <c r="C1289" s="169"/>
      <c r="D1289" s="145"/>
      <c r="E1289" s="145"/>
      <c r="F1289" s="169" t="e">
        <v>#VALUE!</v>
      </c>
      <c r="G1289" s="145"/>
      <c r="H1289" s="145"/>
      <c r="I1289" s="145"/>
      <c r="J1289" s="145"/>
      <c r="K1289" s="145"/>
      <c r="L1289" s="145"/>
      <c r="M1289" s="145"/>
      <c r="N1289" s="145"/>
      <c r="O1289" s="174"/>
      <c r="P1289" s="174"/>
      <c r="Q1289" s="158" t="str">
        <v/>
      </c>
      <c r="R1289" s="158" t="str">
        <v/>
      </c>
      <c r="S1289" s="158" t="str">
        <v/>
      </c>
      <c r="T1289" s="158" t="str">
        <v/>
      </c>
      <c r="U1289" s="158" t="str">
        <v/>
      </c>
      <c r="V1289" s="158" t="str">
        <v/>
      </c>
      <c r="W1289" s="158" t="str">
        <v/>
      </c>
      <c r="X1289" s="158" t="str">
        <v/>
      </c>
      <c r="Y1289" s="158" t="str">
        <v/>
      </c>
      <c r="Z1289" s="158" t="str">
        <v/>
      </c>
      <c r="AA1289" s="158" t="e">
        <v>#VALUE!</v>
      </c>
      <c r="AB1289" s="171" t="str">
        <v/>
      </c>
      <c r="AC1289" s="158">
        <v>0</v>
      </c>
      <c r="AD1289" s="173" t="str">
        <f ca="1">IFERROR(__xludf.DUMMYFUNCTION("""COMPUTED_VALUE"""),"")</f>
        <v/>
      </c>
      <c r="AE1289" s="154" t="str">
        <v/>
      </c>
      <c r="AF1289" s="154" t="str">
        <v/>
      </c>
    </row>
    <row r="1290" spans="1:32" ht="15">
      <c r="A1290" s="176"/>
      <c r="B1290" s="145"/>
      <c r="C1290" s="169"/>
      <c r="D1290" s="145"/>
      <c r="E1290" s="145"/>
      <c r="F1290" s="169" t="e">
        <v>#VALUE!</v>
      </c>
      <c r="G1290" s="145"/>
      <c r="H1290" s="145"/>
      <c r="I1290" s="145"/>
      <c r="J1290" s="145"/>
      <c r="K1290" s="145"/>
      <c r="L1290" s="145"/>
      <c r="M1290" s="145"/>
      <c r="N1290" s="145"/>
      <c r="O1290" s="174"/>
      <c r="P1290" s="174"/>
      <c r="Q1290" s="158" t="str">
        <v/>
      </c>
      <c r="R1290" s="158" t="str">
        <v/>
      </c>
      <c r="S1290" s="158" t="str">
        <v/>
      </c>
      <c r="T1290" s="158" t="str">
        <v/>
      </c>
      <c r="U1290" s="158" t="str">
        <v/>
      </c>
      <c r="V1290" s="158" t="str">
        <v/>
      </c>
      <c r="W1290" s="158" t="str">
        <v/>
      </c>
      <c r="X1290" s="158" t="str">
        <v/>
      </c>
      <c r="Y1290" s="158" t="str">
        <v/>
      </c>
      <c r="Z1290" s="158" t="str">
        <v/>
      </c>
      <c r="AA1290" s="158" t="e">
        <v>#VALUE!</v>
      </c>
      <c r="AB1290" s="171" t="str">
        <v/>
      </c>
      <c r="AC1290" s="158">
        <v>0</v>
      </c>
      <c r="AD1290" s="173" t="str">
        <f ca="1">IFERROR(__xludf.DUMMYFUNCTION("""COMPUTED_VALUE"""),"")</f>
        <v/>
      </c>
      <c r="AE1290" s="154" t="str">
        <v/>
      </c>
      <c r="AF1290" s="154" t="str">
        <v/>
      </c>
    </row>
    <row r="1291" spans="1:32" ht="15">
      <c r="A1291" s="176"/>
      <c r="B1291" s="145"/>
      <c r="C1291" s="169"/>
      <c r="D1291" s="145"/>
      <c r="E1291" s="145"/>
      <c r="F1291" s="169" t="e">
        <v>#VALUE!</v>
      </c>
      <c r="G1291" s="145"/>
      <c r="H1291" s="145"/>
      <c r="I1291" s="145"/>
      <c r="J1291" s="145"/>
      <c r="K1291" s="145"/>
      <c r="L1291" s="145"/>
      <c r="M1291" s="145"/>
      <c r="N1291" s="145"/>
      <c r="O1291" s="174"/>
      <c r="P1291" s="174"/>
      <c r="Q1291" s="158" t="str">
        <v/>
      </c>
      <c r="R1291" s="158" t="str">
        <v/>
      </c>
      <c r="S1291" s="158" t="str">
        <v/>
      </c>
      <c r="T1291" s="158" t="str">
        <v/>
      </c>
      <c r="U1291" s="158" t="str">
        <v/>
      </c>
      <c r="V1291" s="158" t="str">
        <v/>
      </c>
      <c r="W1291" s="158" t="str">
        <v/>
      </c>
      <c r="X1291" s="158" t="str">
        <v/>
      </c>
      <c r="Y1291" s="158" t="str">
        <v/>
      </c>
      <c r="Z1291" s="158" t="str">
        <v/>
      </c>
      <c r="AA1291" s="158" t="e">
        <v>#VALUE!</v>
      </c>
      <c r="AB1291" s="171" t="str">
        <v/>
      </c>
      <c r="AC1291" s="158">
        <v>0</v>
      </c>
      <c r="AD1291" s="173" t="str">
        <f ca="1">IFERROR(__xludf.DUMMYFUNCTION("""COMPUTED_VALUE"""),"")</f>
        <v/>
      </c>
      <c r="AE1291" s="154" t="str">
        <v/>
      </c>
      <c r="AF1291" s="154" t="str">
        <v/>
      </c>
    </row>
    <row r="1292" spans="1:32" ht="15">
      <c r="A1292" s="176"/>
      <c r="B1292" s="145"/>
      <c r="C1292" s="169"/>
      <c r="D1292" s="145"/>
      <c r="E1292" s="145"/>
      <c r="F1292" s="169" t="e">
        <v>#VALUE!</v>
      </c>
      <c r="G1292" s="145"/>
      <c r="H1292" s="145"/>
      <c r="I1292" s="145"/>
      <c r="J1292" s="145"/>
      <c r="K1292" s="145"/>
      <c r="L1292" s="145"/>
      <c r="M1292" s="145"/>
      <c r="N1292" s="145"/>
      <c r="O1292" s="174"/>
      <c r="P1292" s="174"/>
      <c r="Q1292" s="158" t="str">
        <v/>
      </c>
      <c r="R1292" s="158" t="str">
        <v/>
      </c>
      <c r="S1292" s="158" t="str">
        <v/>
      </c>
      <c r="T1292" s="158" t="str">
        <v/>
      </c>
      <c r="U1292" s="158" t="str">
        <v/>
      </c>
      <c r="V1292" s="158" t="str">
        <v/>
      </c>
      <c r="W1292" s="158" t="str">
        <v/>
      </c>
      <c r="X1292" s="158" t="str">
        <v/>
      </c>
      <c r="Y1292" s="158" t="str">
        <v/>
      </c>
      <c r="Z1292" s="158" t="str">
        <v/>
      </c>
      <c r="AA1292" s="158" t="e">
        <v>#VALUE!</v>
      </c>
      <c r="AB1292" s="171" t="str">
        <v/>
      </c>
      <c r="AC1292" s="158">
        <v>0</v>
      </c>
      <c r="AD1292" s="173" t="str">
        <f ca="1">IFERROR(__xludf.DUMMYFUNCTION("""COMPUTED_VALUE"""),"")</f>
        <v/>
      </c>
      <c r="AE1292" s="154" t="str">
        <v/>
      </c>
      <c r="AF1292" s="154" t="str">
        <v/>
      </c>
    </row>
    <row r="1293" spans="1:32" ht="15">
      <c r="A1293" s="176"/>
      <c r="B1293" s="145"/>
      <c r="C1293" s="169"/>
      <c r="D1293" s="145"/>
      <c r="E1293" s="145"/>
      <c r="F1293" s="169" t="e">
        <v>#VALUE!</v>
      </c>
      <c r="G1293" s="145"/>
      <c r="H1293" s="145"/>
      <c r="I1293" s="145"/>
      <c r="J1293" s="145"/>
      <c r="K1293" s="145"/>
      <c r="L1293" s="145"/>
      <c r="M1293" s="145"/>
      <c r="N1293" s="145"/>
      <c r="O1293" s="174"/>
      <c r="P1293" s="174"/>
      <c r="Q1293" s="158" t="str">
        <v/>
      </c>
      <c r="R1293" s="158" t="str">
        <v/>
      </c>
      <c r="S1293" s="158" t="str">
        <v/>
      </c>
      <c r="T1293" s="158" t="str">
        <v/>
      </c>
      <c r="U1293" s="158" t="str">
        <v/>
      </c>
      <c r="V1293" s="158" t="str">
        <v/>
      </c>
      <c r="W1293" s="158" t="str">
        <v/>
      </c>
      <c r="X1293" s="158" t="str">
        <v/>
      </c>
      <c r="Y1293" s="158" t="str">
        <v/>
      </c>
      <c r="Z1293" s="158" t="str">
        <v/>
      </c>
      <c r="AA1293" s="158" t="e">
        <v>#VALUE!</v>
      </c>
      <c r="AB1293" s="171" t="str">
        <v/>
      </c>
      <c r="AC1293" s="158">
        <v>0</v>
      </c>
      <c r="AD1293" s="173" t="str">
        <f ca="1">IFERROR(__xludf.DUMMYFUNCTION("""COMPUTED_VALUE"""),"")</f>
        <v/>
      </c>
      <c r="AE1293" s="154" t="str">
        <v/>
      </c>
      <c r="AF1293" s="154" t="str">
        <v/>
      </c>
    </row>
    <row r="1294" spans="1:32" ht="15">
      <c r="A1294" s="176"/>
      <c r="B1294" s="145"/>
      <c r="C1294" s="169"/>
      <c r="D1294" s="145"/>
      <c r="E1294" s="145"/>
      <c r="F1294" s="169" t="e">
        <v>#VALUE!</v>
      </c>
      <c r="G1294" s="145"/>
      <c r="H1294" s="145"/>
      <c r="I1294" s="145"/>
      <c r="J1294" s="145"/>
      <c r="K1294" s="145"/>
      <c r="L1294" s="145"/>
      <c r="M1294" s="145"/>
      <c r="N1294" s="145"/>
      <c r="O1294" s="174"/>
      <c r="P1294" s="174"/>
      <c r="Q1294" s="158" t="str">
        <v/>
      </c>
      <c r="R1294" s="158" t="str">
        <v/>
      </c>
      <c r="S1294" s="158" t="str">
        <v/>
      </c>
      <c r="T1294" s="158" t="str">
        <v/>
      </c>
      <c r="U1294" s="158" t="str">
        <v/>
      </c>
      <c r="V1294" s="158" t="str">
        <v/>
      </c>
      <c r="W1294" s="158" t="str">
        <v/>
      </c>
      <c r="X1294" s="158" t="str">
        <v/>
      </c>
      <c r="Y1294" s="158" t="str">
        <v/>
      </c>
      <c r="Z1294" s="158" t="str">
        <v/>
      </c>
      <c r="AA1294" s="158" t="e">
        <v>#VALUE!</v>
      </c>
      <c r="AB1294" s="171" t="str">
        <v/>
      </c>
      <c r="AC1294" s="158">
        <v>0</v>
      </c>
      <c r="AD1294" s="173" t="str">
        <f ca="1">IFERROR(__xludf.DUMMYFUNCTION("""COMPUTED_VALUE"""),"")</f>
        <v/>
      </c>
      <c r="AE1294" s="154" t="str">
        <v/>
      </c>
      <c r="AF1294" s="154" t="str">
        <v/>
      </c>
    </row>
    <row r="1295" spans="1:32" ht="15">
      <c r="A1295" s="176"/>
      <c r="B1295" s="145"/>
      <c r="C1295" s="169"/>
      <c r="D1295" s="145"/>
      <c r="E1295" s="145"/>
      <c r="F1295" s="169" t="e">
        <v>#VALUE!</v>
      </c>
      <c r="G1295" s="145"/>
      <c r="H1295" s="145"/>
      <c r="I1295" s="145"/>
      <c r="J1295" s="145"/>
      <c r="K1295" s="145"/>
      <c r="L1295" s="145"/>
      <c r="M1295" s="145"/>
      <c r="N1295" s="145"/>
      <c r="O1295" s="174"/>
      <c r="P1295" s="174"/>
      <c r="Q1295" s="158" t="str">
        <v/>
      </c>
      <c r="R1295" s="158" t="str">
        <v/>
      </c>
      <c r="S1295" s="158" t="str">
        <v/>
      </c>
      <c r="T1295" s="158" t="str">
        <v/>
      </c>
      <c r="U1295" s="158" t="str">
        <v/>
      </c>
      <c r="V1295" s="158" t="str">
        <v/>
      </c>
      <c r="W1295" s="158" t="str">
        <v/>
      </c>
      <c r="X1295" s="158" t="str">
        <v/>
      </c>
      <c r="Y1295" s="158" t="str">
        <v/>
      </c>
      <c r="Z1295" s="158" t="str">
        <v/>
      </c>
      <c r="AA1295" s="158" t="e">
        <v>#VALUE!</v>
      </c>
      <c r="AB1295" s="171" t="str">
        <v/>
      </c>
      <c r="AC1295" s="158">
        <v>0</v>
      </c>
      <c r="AD1295" s="173" t="str">
        <f ca="1">IFERROR(__xludf.DUMMYFUNCTION("""COMPUTED_VALUE"""),"")</f>
        <v/>
      </c>
      <c r="AE1295" s="154" t="str">
        <v/>
      </c>
      <c r="AF1295" s="154" t="str">
        <v/>
      </c>
    </row>
    <row r="1296" spans="1:32" ht="15">
      <c r="A1296" s="176"/>
      <c r="B1296" s="145"/>
      <c r="C1296" s="169"/>
      <c r="D1296" s="145"/>
      <c r="E1296" s="145"/>
      <c r="F1296" s="169" t="e">
        <v>#VALUE!</v>
      </c>
      <c r="G1296" s="145"/>
      <c r="H1296" s="145"/>
      <c r="I1296" s="145"/>
      <c r="J1296" s="145"/>
      <c r="K1296" s="145"/>
      <c r="L1296" s="145"/>
      <c r="M1296" s="145"/>
      <c r="N1296" s="145"/>
      <c r="O1296" s="174"/>
      <c r="P1296" s="174"/>
      <c r="Q1296" s="158" t="str">
        <v/>
      </c>
      <c r="R1296" s="158" t="str">
        <v/>
      </c>
      <c r="S1296" s="158" t="str">
        <v/>
      </c>
      <c r="T1296" s="158" t="str">
        <v/>
      </c>
      <c r="U1296" s="158" t="str">
        <v/>
      </c>
      <c r="V1296" s="158" t="str">
        <v/>
      </c>
      <c r="W1296" s="158" t="str">
        <v/>
      </c>
      <c r="X1296" s="158" t="str">
        <v/>
      </c>
      <c r="Y1296" s="158" t="str">
        <v/>
      </c>
      <c r="Z1296" s="158" t="str">
        <v/>
      </c>
      <c r="AA1296" s="158" t="e">
        <v>#VALUE!</v>
      </c>
      <c r="AB1296" s="171" t="str">
        <v/>
      </c>
      <c r="AC1296" s="158">
        <v>0</v>
      </c>
      <c r="AD1296" s="173" t="str">
        <f ca="1">IFERROR(__xludf.DUMMYFUNCTION("""COMPUTED_VALUE"""),"")</f>
        <v/>
      </c>
      <c r="AE1296" s="154" t="str">
        <v/>
      </c>
      <c r="AF1296" s="154" t="str">
        <v/>
      </c>
    </row>
    <row r="1297" spans="1:32" ht="15">
      <c r="A1297" s="176"/>
      <c r="B1297" s="145"/>
      <c r="C1297" s="169"/>
      <c r="D1297" s="145"/>
      <c r="E1297" s="145"/>
      <c r="F1297" s="169" t="e">
        <v>#VALUE!</v>
      </c>
      <c r="G1297" s="145"/>
      <c r="H1297" s="145"/>
      <c r="I1297" s="145"/>
      <c r="J1297" s="145"/>
      <c r="K1297" s="145"/>
      <c r="L1297" s="145"/>
      <c r="M1297" s="145"/>
      <c r="N1297" s="145"/>
      <c r="O1297" s="174"/>
      <c r="P1297" s="174"/>
      <c r="Q1297" s="158" t="str">
        <v/>
      </c>
      <c r="R1297" s="158" t="str">
        <v/>
      </c>
      <c r="S1297" s="158" t="str">
        <v/>
      </c>
      <c r="T1297" s="158" t="str">
        <v/>
      </c>
      <c r="U1297" s="158" t="str">
        <v/>
      </c>
      <c r="V1297" s="158" t="str">
        <v/>
      </c>
      <c r="W1297" s="158" t="str">
        <v/>
      </c>
      <c r="X1297" s="158" t="str">
        <v/>
      </c>
      <c r="Y1297" s="158" t="str">
        <v/>
      </c>
      <c r="Z1297" s="158" t="str">
        <v/>
      </c>
      <c r="AA1297" s="158" t="e">
        <v>#VALUE!</v>
      </c>
      <c r="AB1297" s="171" t="str">
        <v/>
      </c>
      <c r="AC1297" s="158">
        <v>0</v>
      </c>
      <c r="AD1297" s="173" t="str">
        <f ca="1">IFERROR(__xludf.DUMMYFUNCTION("""COMPUTED_VALUE"""),"")</f>
        <v/>
      </c>
      <c r="AE1297" s="154" t="str">
        <v/>
      </c>
      <c r="AF1297" s="154" t="str">
        <v/>
      </c>
    </row>
    <row r="1298" spans="1:32" ht="15">
      <c r="A1298" s="176"/>
      <c r="B1298" s="145"/>
      <c r="C1298" s="169"/>
      <c r="D1298" s="145"/>
      <c r="E1298" s="145"/>
      <c r="F1298" s="169" t="e">
        <v>#VALUE!</v>
      </c>
      <c r="G1298" s="145"/>
      <c r="H1298" s="145"/>
      <c r="I1298" s="145"/>
      <c r="J1298" s="145"/>
      <c r="K1298" s="145"/>
      <c r="L1298" s="145"/>
      <c r="M1298" s="145"/>
      <c r="N1298" s="145"/>
      <c r="O1298" s="174"/>
      <c r="P1298" s="174"/>
      <c r="Q1298" s="158" t="str">
        <v/>
      </c>
      <c r="R1298" s="158" t="str">
        <v/>
      </c>
      <c r="S1298" s="158" t="str">
        <v/>
      </c>
      <c r="T1298" s="158" t="str">
        <v/>
      </c>
      <c r="U1298" s="158" t="str">
        <v/>
      </c>
      <c r="V1298" s="158" t="str">
        <v/>
      </c>
      <c r="W1298" s="158" t="str">
        <v/>
      </c>
      <c r="X1298" s="158" t="str">
        <v/>
      </c>
      <c r="Y1298" s="158" t="str">
        <v/>
      </c>
      <c r="Z1298" s="158" t="str">
        <v/>
      </c>
      <c r="AA1298" s="158" t="e">
        <v>#VALUE!</v>
      </c>
      <c r="AB1298" s="171" t="str">
        <v/>
      </c>
      <c r="AC1298" s="158">
        <v>0</v>
      </c>
      <c r="AD1298" s="173" t="str">
        <f ca="1">IFERROR(__xludf.DUMMYFUNCTION("""COMPUTED_VALUE"""),"")</f>
        <v/>
      </c>
      <c r="AE1298" s="154" t="str">
        <v/>
      </c>
      <c r="AF1298" s="154" t="str">
        <v/>
      </c>
    </row>
    <row r="1299" spans="1:32" ht="15">
      <c r="A1299" s="176"/>
      <c r="B1299" s="145"/>
      <c r="C1299" s="169"/>
      <c r="D1299" s="145"/>
      <c r="E1299" s="145"/>
      <c r="F1299" s="169" t="e">
        <v>#VALUE!</v>
      </c>
      <c r="G1299" s="145"/>
      <c r="H1299" s="145"/>
      <c r="I1299" s="145"/>
      <c r="J1299" s="145"/>
      <c r="K1299" s="145"/>
      <c r="L1299" s="145"/>
      <c r="M1299" s="145"/>
      <c r="N1299" s="145"/>
      <c r="O1299" s="174"/>
      <c r="P1299" s="174"/>
      <c r="Q1299" s="158" t="str">
        <v/>
      </c>
      <c r="R1299" s="158" t="str">
        <v/>
      </c>
      <c r="S1299" s="158" t="str">
        <v/>
      </c>
      <c r="T1299" s="158" t="str">
        <v/>
      </c>
      <c r="U1299" s="158" t="str">
        <v/>
      </c>
      <c r="V1299" s="158" t="str">
        <v/>
      </c>
      <c r="W1299" s="158" t="str">
        <v/>
      </c>
      <c r="X1299" s="158" t="str">
        <v/>
      </c>
      <c r="Y1299" s="158" t="str">
        <v/>
      </c>
      <c r="Z1299" s="158" t="str">
        <v/>
      </c>
      <c r="AA1299" s="158" t="e">
        <v>#VALUE!</v>
      </c>
      <c r="AB1299" s="171" t="str">
        <v/>
      </c>
      <c r="AC1299" s="158">
        <v>0</v>
      </c>
      <c r="AD1299" s="173" t="str">
        <f ca="1">IFERROR(__xludf.DUMMYFUNCTION("""COMPUTED_VALUE"""),"")</f>
        <v/>
      </c>
      <c r="AE1299" s="154" t="str">
        <v/>
      </c>
      <c r="AF1299" s="154" t="str">
        <v/>
      </c>
    </row>
    <row r="1300" spans="1:32" ht="15">
      <c r="A1300" s="176"/>
      <c r="B1300" s="145"/>
      <c r="C1300" s="169"/>
      <c r="D1300" s="145"/>
      <c r="E1300" s="145"/>
      <c r="F1300" s="169" t="e">
        <v>#VALUE!</v>
      </c>
      <c r="G1300" s="145"/>
      <c r="H1300" s="145"/>
      <c r="I1300" s="145"/>
      <c r="J1300" s="145"/>
      <c r="K1300" s="145"/>
      <c r="L1300" s="145"/>
      <c r="M1300" s="145"/>
      <c r="N1300" s="145"/>
      <c r="O1300" s="174"/>
      <c r="P1300" s="174"/>
      <c r="Q1300" s="158" t="str">
        <v/>
      </c>
      <c r="R1300" s="158" t="str">
        <v/>
      </c>
      <c r="S1300" s="158" t="str">
        <v/>
      </c>
      <c r="T1300" s="158" t="str">
        <v/>
      </c>
      <c r="U1300" s="158" t="str">
        <v/>
      </c>
      <c r="V1300" s="158" t="str">
        <v/>
      </c>
      <c r="W1300" s="158" t="str">
        <v/>
      </c>
      <c r="X1300" s="158" t="str">
        <v/>
      </c>
      <c r="Y1300" s="158" t="str">
        <v/>
      </c>
      <c r="Z1300" s="158" t="str">
        <v/>
      </c>
      <c r="AA1300" s="158" t="e">
        <v>#VALUE!</v>
      </c>
      <c r="AB1300" s="171" t="str">
        <v/>
      </c>
      <c r="AC1300" s="158">
        <v>0</v>
      </c>
      <c r="AD1300" s="173" t="str">
        <f ca="1">IFERROR(__xludf.DUMMYFUNCTION("""COMPUTED_VALUE"""),"")</f>
        <v/>
      </c>
      <c r="AE1300" s="154" t="str">
        <v/>
      </c>
      <c r="AF1300" s="154" t="str">
        <v/>
      </c>
    </row>
    <row r="1301" spans="1:32" ht="15">
      <c r="A1301" s="176"/>
      <c r="B1301" s="145"/>
      <c r="C1301" s="169"/>
      <c r="D1301" s="145"/>
      <c r="E1301" s="145"/>
      <c r="F1301" s="169" t="e">
        <v>#VALUE!</v>
      </c>
      <c r="G1301" s="145"/>
      <c r="H1301" s="145"/>
      <c r="I1301" s="145"/>
      <c r="J1301" s="145"/>
      <c r="K1301" s="145"/>
      <c r="L1301" s="145"/>
      <c r="M1301" s="145"/>
      <c r="N1301" s="145"/>
      <c r="O1301" s="174"/>
      <c r="P1301" s="174"/>
      <c r="Q1301" s="158" t="str">
        <v/>
      </c>
      <c r="R1301" s="158" t="str">
        <v/>
      </c>
      <c r="S1301" s="158" t="str">
        <v/>
      </c>
      <c r="T1301" s="158" t="str">
        <v/>
      </c>
      <c r="U1301" s="158" t="str">
        <v/>
      </c>
      <c r="V1301" s="158" t="str">
        <v/>
      </c>
      <c r="W1301" s="158" t="str">
        <v/>
      </c>
      <c r="X1301" s="158" t="str">
        <v/>
      </c>
      <c r="Y1301" s="158" t="str">
        <v/>
      </c>
      <c r="Z1301" s="158" t="str">
        <v/>
      </c>
      <c r="AA1301" s="158" t="e">
        <v>#VALUE!</v>
      </c>
      <c r="AB1301" s="171" t="str">
        <v/>
      </c>
      <c r="AC1301" s="158">
        <v>0</v>
      </c>
      <c r="AD1301" s="173" t="str">
        <f ca="1">IFERROR(__xludf.DUMMYFUNCTION("""COMPUTED_VALUE"""),"")</f>
        <v/>
      </c>
      <c r="AE1301" s="154" t="str">
        <v/>
      </c>
      <c r="AF1301" s="154" t="str">
        <v/>
      </c>
    </row>
    <row r="1302" spans="1:32" ht="15">
      <c r="A1302" s="176"/>
      <c r="B1302" s="145"/>
      <c r="C1302" s="169"/>
      <c r="D1302" s="145"/>
      <c r="E1302" s="145"/>
      <c r="F1302" s="169" t="e">
        <v>#VALUE!</v>
      </c>
      <c r="G1302" s="145"/>
      <c r="H1302" s="145"/>
      <c r="I1302" s="145"/>
      <c r="J1302" s="145"/>
      <c r="K1302" s="145"/>
      <c r="L1302" s="145"/>
      <c r="M1302" s="145"/>
      <c r="N1302" s="145"/>
      <c r="O1302" s="174"/>
      <c r="P1302" s="174"/>
      <c r="Q1302" s="158" t="str">
        <v/>
      </c>
      <c r="R1302" s="158" t="str">
        <v/>
      </c>
      <c r="S1302" s="158" t="str">
        <v/>
      </c>
      <c r="T1302" s="158" t="str">
        <v/>
      </c>
      <c r="U1302" s="158" t="str">
        <v/>
      </c>
      <c r="V1302" s="158" t="str">
        <v/>
      </c>
      <c r="W1302" s="158" t="str">
        <v/>
      </c>
      <c r="X1302" s="158" t="str">
        <v/>
      </c>
      <c r="Y1302" s="158" t="str">
        <v/>
      </c>
      <c r="Z1302" s="158" t="str">
        <v/>
      </c>
      <c r="AA1302" s="158" t="e">
        <v>#VALUE!</v>
      </c>
      <c r="AB1302" s="171" t="str">
        <v/>
      </c>
      <c r="AC1302" s="158">
        <v>0</v>
      </c>
      <c r="AD1302" s="173" t="str">
        <f ca="1">IFERROR(__xludf.DUMMYFUNCTION("""COMPUTED_VALUE"""),"")</f>
        <v/>
      </c>
      <c r="AE1302" s="154" t="str">
        <v/>
      </c>
      <c r="AF1302" s="154" t="str">
        <v/>
      </c>
    </row>
    <row r="1303" spans="1:32" ht="15">
      <c r="A1303" s="176"/>
      <c r="B1303" s="145"/>
      <c r="C1303" s="169"/>
      <c r="D1303" s="145"/>
      <c r="E1303" s="145"/>
      <c r="F1303" s="169" t="e">
        <v>#VALUE!</v>
      </c>
      <c r="G1303" s="145"/>
      <c r="H1303" s="145"/>
      <c r="I1303" s="145"/>
      <c r="J1303" s="145"/>
      <c r="K1303" s="145"/>
      <c r="L1303" s="145"/>
      <c r="M1303" s="145"/>
      <c r="N1303" s="145"/>
      <c r="O1303" s="174"/>
      <c r="P1303" s="174"/>
      <c r="Q1303" s="158" t="str">
        <v/>
      </c>
      <c r="R1303" s="158" t="str">
        <v/>
      </c>
      <c r="S1303" s="158" t="str">
        <v/>
      </c>
      <c r="T1303" s="158" t="str">
        <v/>
      </c>
      <c r="U1303" s="158" t="str">
        <v/>
      </c>
      <c r="V1303" s="158" t="str">
        <v/>
      </c>
      <c r="W1303" s="158" t="str">
        <v/>
      </c>
      <c r="X1303" s="158" t="str">
        <v/>
      </c>
      <c r="Y1303" s="158" t="str">
        <v/>
      </c>
      <c r="Z1303" s="158" t="str">
        <v/>
      </c>
      <c r="AA1303" s="158" t="e">
        <v>#VALUE!</v>
      </c>
      <c r="AB1303" s="171" t="str">
        <v/>
      </c>
      <c r="AC1303" s="158">
        <v>0</v>
      </c>
      <c r="AD1303" s="173" t="str">
        <f ca="1">IFERROR(__xludf.DUMMYFUNCTION("""COMPUTED_VALUE"""),"")</f>
        <v/>
      </c>
      <c r="AE1303" s="154" t="str">
        <v/>
      </c>
      <c r="AF1303" s="154" t="str">
        <v/>
      </c>
    </row>
    <row r="1304" spans="1:32" ht="15">
      <c r="A1304" s="176"/>
      <c r="B1304" s="145"/>
      <c r="C1304" s="169"/>
      <c r="D1304" s="145"/>
      <c r="E1304" s="145"/>
      <c r="F1304" s="169" t="e">
        <v>#VALUE!</v>
      </c>
      <c r="G1304" s="145"/>
      <c r="H1304" s="145"/>
      <c r="I1304" s="145"/>
      <c r="J1304" s="145"/>
      <c r="K1304" s="145"/>
      <c r="L1304" s="145"/>
      <c r="M1304" s="145"/>
      <c r="N1304" s="145"/>
      <c r="O1304" s="174"/>
      <c r="P1304" s="174"/>
      <c r="Q1304" s="158" t="str">
        <v/>
      </c>
      <c r="R1304" s="158" t="str">
        <v/>
      </c>
      <c r="S1304" s="158" t="str">
        <v/>
      </c>
      <c r="T1304" s="158" t="str">
        <v/>
      </c>
      <c r="U1304" s="158" t="str">
        <v/>
      </c>
      <c r="V1304" s="158" t="str">
        <v/>
      </c>
      <c r="W1304" s="158" t="str">
        <v/>
      </c>
      <c r="X1304" s="158" t="str">
        <v/>
      </c>
      <c r="Y1304" s="158" t="str">
        <v/>
      </c>
      <c r="Z1304" s="158" t="str">
        <v/>
      </c>
      <c r="AA1304" s="158" t="e">
        <v>#VALUE!</v>
      </c>
      <c r="AB1304" s="171" t="str">
        <v/>
      </c>
      <c r="AC1304" s="158">
        <v>0</v>
      </c>
      <c r="AD1304" s="173" t="str">
        <f ca="1">IFERROR(__xludf.DUMMYFUNCTION("""COMPUTED_VALUE"""),"")</f>
        <v/>
      </c>
      <c r="AE1304" s="154" t="str">
        <v/>
      </c>
      <c r="AF1304" s="154" t="str">
        <v/>
      </c>
    </row>
    <row r="1305" spans="1:32" ht="15">
      <c r="A1305" s="176"/>
      <c r="B1305" s="145"/>
      <c r="C1305" s="169"/>
      <c r="D1305" s="145"/>
      <c r="E1305" s="145"/>
      <c r="F1305" s="169" t="e">
        <v>#VALUE!</v>
      </c>
      <c r="G1305" s="145"/>
      <c r="H1305" s="145"/>
      <c r="I1305" s="145"/>
      <c r="J1305" s="145"/>
      <c r="K1305" s="145"/>
      <c r="L1305" s="145"/>
      <c r="M1305" s="145"/>
      <c r="N1305" s="145"/>
      <c r="O1305" s="174"/>
      <c r="P1305" s="174"/>
      <c r="Q1305" s="158" t="str">
        <v/>
      </c>
      <c r="R1305" s="158" t="str">
        <v/>
      </c>
      <c r="S1305" s="158" t="str">
        <v/>
      </c>
      <c r="T1305" s="158" t="str">
        <v/>
      </c>
      <c r="U1305" s="158" t="str">
        <v/>
      </c>
      <c r="V1305" s="158" t="str">
        <v/>
      </c>
      <c r="W1305" s="158" t="str">
        <v/>
      </c>
      <c r="X1305" s="158" t="str">
        <v/>
      </c>
      <c r="Y1305" s="158" t="str">
        <v/>
      </c>
      <c r="Z1305" s="158" t="str">
        <v/>
      </c>
      <c r="AA1305" s="158" t="e">
        <v>#VALUE!</v>
      </c>
      <c r="AB1305" s="171" t="str">
        <v/>
      </c>
      <c r="AC1305" s="158">
        <v>0</v>
      </c>
      <c r="AD1305" s="173" t="str">
        <f ca="1">IFERROR(__xludf.DUMMYFUNCTION("""COMPUTED_VALUE"""),"")</f>
        <v/>
      </c>
      <c r="AE1305" s="154" t="str">
        <v/>
      </c>
      <c r="AF1305" s="154" t="str">
        <v/>
      </c>
    </row>
    <row r="1306" spans="1:32" ht="15">
      <c r="A1306" s="176"/>
      <c r="B1306" s="145"/>
      <c r="C1306" s="169"/>
      <c r="D1306" s="145"/>
      <c r="E1306" s="145"/>
      <c r="F1306" s="169" t="e">
        <v>#VALUE!</v>
      </c>
      <c r="G1306" s="145"/>
      <c r="H1306" s="145"/>
      <c r="I1306" s="145"/>
      <c r="J1306" s="145"/>
      <c r="K1306" s="145"/>
      <c r="L1306" s="145"/>
      <c r="M1306" s="145"/>
      <c r="N1306" s="145"/>
      <c r="O1306" s="174"/>
      <c r="P1306" s="174"/>
      <c r="Q1306" s="158" t="str">
        <v/>
      </c>
      <c r="R1306" s="158" t="str">
        <v/>
      </c>
      <c r="S1306" s="158" t="str">
        <v/>
      </c>
      <c r="T1306" s="158" t="str">
        <v/>
      </c>
      <c r="U1306" s="158" t="str">
        <v/>
      </c>
      <c r="V1306" s="158" t="str">
        <v/>
      </c>
      <c r="W1306" s="158" t="str">
        <v/>
      </c>
      <c r="X1306" s="158" t="str">
        <v/>
      </c>
      <c r="Y1306" s="158" t="str">
        <v/>
      </c>
      <c r="Z1306" s="158" t="str">
        <v/>
      </c>
      <c r="AA1306" s="158" t="e">
        <v>#VALUE!</v>
      </c>
      <c r="AB1306" s="171" t="str">
        <v/>
      </c>
      <c r="AC1306" s="158">
        <v>0</v>
      </c>
      <c r="AD1306" s="173" t="str">
        <f ca="1">IFERROR(__xludf.DUMMYFUNCTION("""COMPUTED_VALUE"""),"")</f>
        <v/>
      </c>
      <c r="AE1306" s="154" t="str">
        <v/>
      </c>
      <c r="AF1306" s="154" t="str">
        <v/>
      </c>
    </row>
    <row r="1307" spans="1:32" ht="15">
      <c r="A1307" s="176"/>
      <c r="B1307" s="145"/>
      <c r="C1307" s="169"/>
      <c r="D1307" s="145"/>
      <c r="E1307" s="145"/>
      <c r="F1307" s="169" t="e">
        <v>#VALUE!</v>
      </c>
      <c r="G1307" s="145"/>
      <c r="H1307" s="145"/>
      <c r="I1307" s="145"/>
      <c r="J1307" s="145"/>
      <c r="K1307" s="145"/>
      <c r="L1307" s="145"/>
      <c r="M1307" s="145"/>
      <c r="N1307" s="145"/>
      <c r="O1307" s="174"/>
      <c r="P1307" s="174"/>
      <c r="Q1307" s="158" t="str">
        <v/>
      </c>
      <c r="R1307" s="158" t="str">
        <v/>
      </c>
      <c r="S1307" s="158" t="str">
        <v/>
      </c>
      <c r="T1307" s="158" t="str">
        <v/>
      </c>
      <c r="U1307" s="158" t="str">
        <v/>
      </c>
      <c r="V1307" s="158" t="str">
        <v/>
      </c>
      <c r="W1307" s="158" t="str">
        <v/>
      </c>
      <c r="X1307" s="158" t="str">
        <v/>
      </c>
      <c r="Y1307" s="158" t="str">
        <v/>
      </c>
      <c r="Z1307" s="158" t="str">
        <v/>
      </c>
      <c r="AA1307" s="158" t="e">
        <v>#VALUE!</v>
      </c>
      <c r="AB1307" s="171" t="str">
        <v/>
      </c>
      <c r="AC1307" s="158">
        <v>0</v>
      </c>
      <c r="AD1307" s="173" t="str">
        <f ca="1">IFERROR(__xludf.DUMMYFUNCTION("""COMPUTED_VALUE"""),"")</f>
        <v/>
      </c>
      <c r="AE1307" s="154" t="str">
        <v/>
      </c>
      <c r="AF1307" s="154" t="str">
        <v/>
      </c>
    </row>
    <row r="1308" spans="1:32" ht="15">
      <c r="A1308" s="176"/>
      <c r="B1308" s="145"/>
      <c r="C1308" s="169"/>
      <c r="D1308" s="145"/>
      <c r="E1308" s="145"/>
      <c r="F1308" s="169" t="e">
        <v>#VALUE!</v>
      </c>
      <c r="G1308" s="145"/>
      <c r="H1308" s="145"/>
      <c r="I1308" s="145"/>
      <c r="J1308" s="145"/>
      <c r="K1308" s="145"/>
      <c r="L1308" s="145"/>
      <c r="M1308" s="145"/>
      <c r="N1308" s="145"/>
      <c r="O1308" s="174"/>
      <c r="P1308" s="174"/>
      <c r="Q1308" s="158" t="str">
        <v/>
      </c>
      <c r="R1308" s="158" t="str">
        <v/>
      </c>
      <c r="S1308" s="158" t="str">
        <v/>
      </c>
      <c r="T1308" s="158" t="str">
        <v/>
      </c>
      <c r="U1308" s="158" t="str">
        <v/>
      </c>
      <c r="V1308" s="158" t="str">
        <v/>
      </c>
      <c r="W1308" s="158" t="str">
        <v/>
      </c>
      <c r="X1308" s="158" t="str">
        <v/>
      </c>
      <c r="Y1308" s="158" t="str">
        <v/>
      </c>
      <c r="Z1308" s="158" t="str">
        <v/>
      </c>
      <c r="AA1308" s="158" t="e">
        <v>#VALUE!</v>
      </c>
      <c r="AB1308" s="171" t="str">
        <v/>
      </c>
      <c r="AC1308" s="158">
        <v>0</v>
      </c>
      <c r="AD1308" s="173" t="str">
        <f ca="1">IFERROR(__xludf.DUMMYFUNCTION("""COMPUTED_VALUE"""),"")</f>
        <v/>
      </c>
      <c r="AE1308" s="154" t="str">
        <v/>
      </c>
      <c r="AF1308" s="154" t="str">
        <v/>
      </c>
    </row>
    <row r="1309" spans="1:32" ht="15">
      <c r="A1309" s="176"/>
      <c r="B1309" s="145"/>
      <c r="C1309" s="169"/>
      <c r="D1309" s="145"/>
      <c r="E1309" s="145"/>
      <c r="F1309" s="169" t="e">
        <v>#VALUE!</v>
      </c>
      <c r="G1309" s="145"/>
      <c r="H1309" s="145"/>
      <c r="I1309" s="145"/>
      <c r="J1309" s="145"/>
      <c r="K1309" s="145"/>
      <c r="L1309" s="145"/>
      <c r="M1309" s="145"/>
      <c r="N1309" s="145"/>
      <c r="O1309" s="174"/>
      <c r="P1309" s="174"/>
      <c r="Q1309" s="158" t="str">
        <v/>
      </c>
      <c r="R1309" s="158" t="str">
        <v/>
      </c>
      <c r="S1309" s="158" t="str">
        <v/>
      </c>
      <c r="T1309" s="158" t="str">
        <v/>
      </c>
      <c r="U1309" s="158" t="str">
        <v/>
      </c>
      <c r="V1309" s="158" t="str">
        <v/>
      </c>
      <c r="W1309" s="158" t="str">
        <v/>
      </c>
      <c r="X1309" s="158" t="str">
        <v/>
      </c>
      <c r="Y1309" s="158" t="str">
        <v/>
      </c>
      <c r="Z1309" s="158" t="str">
        <v/>
      </c>
      <c r="AA1309" s="158" t="e">
        <v>#VALUE!</v>
      </c>
      <c r="AB1309" s="171" t="str">
        <v/>
      </c>
      <c r="AC1309" s="158">
        <v>0</v>
      </c>
      <c r="AD1309" s="173" t="str">
        <f ca="1">IFERROR(__xludf.DUMMYFUNCTION("""COMPUTED_VALUE"""),"")</f>
        <v/>
      </c>
      <c r="AE1309" s="154" t="str">
        <v/>
      </c>
      <c r="AF1309" s="154" t="str">
        <v/>
      </c>
    </row>
    <row r="1310" spans="1:32" ht="15">
      <c r="A1310" s="176"/>
      <c r="B1310" s="145"/>
      <c r="C1310" s="169"/>
      <c r="D1310" s="145"/>
      <c r="E1310" s="145"/>
      <c r="F1310" s="169" t="e">
        <v>#VALUE!</v>
      </c>
      <c r="G1310" s="145"/>
      <c r="H1310" s="145"/>
      <c r="I1310" s="145"/>
      <c r="J1310" s="145"/>
      <c r="K1310" s="145"/>
      <c r="L1310" s="145"/>
      <c r="M1310" s="145"/>
      <c r="N1310" s="145"/>
      <c r="O1310" s="174"/>
      <c r="P1310" s="174"/>
      <c r="Q1310" s="158" t="str">
        <v/>
      </c>
      <c r="R1310" s="158" t="str">
        <v/>
      </c>
      <c r="S1310" s="158" t="str">
        <v/>
      </c>
      <c r="T1310" s="158" t="str">
        <v/>
      </c>
      <c r="U1310" s="158" t="str">
        <v/>
      </c>
      <c r="V1310" s="158" t="str">
        <v/>
      </c>
      <c r="W1310" s="158" t="str">
        <v/>
      </c>
      <c r="X1310" s="158" t="str">
        <v/>
      </c>
      <c r="Y1310" s="158" t="str">
        <v/>
      </c>
      <c r="Z1310" s="158" t="str">
        <v/>
      </c>
      <c r="AA1310" s="158" t="e">
        <v>#VALUE!</v>
      </c>
      <c r="AB1310" s="171" t="str">
        <v/>
      </c>
      <c r="AC1310" s="158">
        <v>0</v>
      </c>
      <c r="AD1310" s="173" t="str">
        <f ca="1">IFERROR(__xludf.DUMMYFUNCTION("""COMPUTED_VALUE"""),"")</f>
        <v/>
      </c>
      <c r="AE1310" s="154" t="str">
        <v/>
      </c>
      <c r="AF1310" s="154" t="str">
        <v/>
      </c>
    </row>
    <row r="1311" spans="1:32" ht="15">
      <c r="A1311" s="176"/>
      <c r="B1311" s="145"/>
      <c r="C1311" s="169"/>
      <c r="D1311" s="145"/>
      <c r="E1311" s="145"/>
      <c r="F1311" s="169" t="e">
        <v>#VALUE!</v>
      </c>
      <c r="G1311" s="145"/>
      <c r="H1311" s="145"/>
      <c r="I1311" s="145"/>
      <c r="J1311" s="145"/>
      <c r="K1311" s="145"/>
      <c r="L1311" s="145"/>
      <c r="M1311" s="145"/>
      <c r="N1311" s="145"/>
      <c r="O1311" s="174"/>
      <c r="P1311" s="174"/>
      <c r="Q1311" s="158" t="str">
        <v/>
      </c>
      <c r="R1311" s="158" t="str">
        <v/>
      </c>
      <c r="S1311" s="158" t="str">
        <v/>
      </c>
      <c r="T1311" s="158" t="str">
        <v/>
      </c>
      <c r="U1311" s="158" t="str">
        <v/>
      </c>
      <c r="V1311" s="158" t="str">
        <v/>
      </c>
      <c r="W1311" s="158" t="str">
        <v/>
      </c>
      <c r="X1311" s="158" t="str">
        <v/>
      </c>
      <c r="Y1311" s="158" t="str">
        <v/>
      </c>
      <c r="Z1311" s="158" t="str">
        <v/>
      </c>
      <c r="AA1311" s="158" t="e">
        <v>#VALUE!</v>
      </c>
      <c r="AB1311" s="171" t="str">
        <v/>
      </c>
      <c r="AC1311" s="158">
        <v>0</v>
      </c>
      <c r="AD1311" s="173" t="str">
        <f ca="1">IFERROR(__xludf.DUMMYFUNCTION("""COMPUTED_VALUE"""),"")</f>
        <v/>
      </c>
      <c r="AE1311" s="154" t="str">
        <v/>
      </c>
      <c r="AF1311" s="154" t="str">
        <v/>
      </c>
    </row>
    <row r="1312" spans="1:32" ht="15">
      <c r="A1312" s="176"/>
      <c r="B1312" s="145"/>
      <c r="C1312" s="169"/>
      <c r="D1312" s="145"/>
      <c r="E1312" s="145"/>
      <c r="F1312" s="169" t="e">
        <v>#VALUE!</v>
      </c>
      <c r="G1312" s="145"/>
      <c r="H1312" s="145"/>
      <c r="I1312" s="145"/>
      <c r="J1312" s="145"/>
      <c r="K1312" s="145"/>
      <c r="L1312" s="145"/>
      <c r="M1312" s="145"/>
      <c r="N1312" s="145"/>
      <c r="O1312" s="174"/>
      <c r="P1312" s="174"/>
      <c r="Q1312" s="158" t="str">
        <v/>
      </c>
      <c r="R1312" s="158" t="str">
        <v/>
      </c>
      <c r="S1312" s="158" t="str">
        <v/>
      </c>
      <c r="T1312" s="158" t="str">
        <v/>
      </c>
      <c r="U1312" s="158" t="str">
        <v/>
      </c>
      <c r="V1312" s="158" t="str">
        <v/>
      </c>
      <c r="W1312" s="158" t="str">
        <v/>
      </c>
      <c r="X1312" s="158" t="str">
        <v/>
      </c>
      <c r="Y1312" s="158" t="str">
        <v/>
      </c>
      <c r="Z1312" s="158" t="str">
        <v/>
      </c>
      <c r="AA1312" s="158" t="e">
        <v>#VALUE!</v>
      </c>
      <c r="AB1312" s="171" t="str">
        <v/>
      </c>
      <c r="AC1312" s="158">
        <v>0</v>
      </c>
      <c r="AD1312" s="173" t="str">
        <f ca="1">IFERROR(__xludf.DUMMYFUNCTION("""COMPUTED_VALUE"""),"")</f>
        <v/>
      </c>
      <c r="AE1312" s="154" t="str">
        <v/>
      </c>
      <c r="AF1312" s="154" t="str">
        <v/>
      </c>
    </row>
    <row r="1313" spans="1:32" ht="15">
      <c r="A1313" s="176"/>
      <c r="B1313" s="145"/>
      <c r="C1313" s="169"/>
      <c r="D1313" s="145"/>
      <c r="E1313" s="145"/>
      <c r="F1313" s="169" t="e">
        <v>#VALUE!</v>
      </c>
      <c r="G1313" s="145"/>
      <c r="H1313" s="145"/>
      <c r="I1313" s="145"/>
      <c r="J1313" s="145"/>
      <c r="K1313" s="145"/>
      <c r="L1313" s="145"/>
      <c r="M1313" s="145"/>
      <c r="N1313" s="145"/>
      <c r="O1313" s="174"/>
      <c r="P1313" s="174"/>
      <c r="Q1313" s="158" t="str">
        <v/>
      </c>
      <c r="R1313" s="158" t="str">
        <v/>
      </c>
      <c r="S1313" s="158" t="str">
        <v/>
      </c>
      <c r="T1313" s="158" t="str">
        <v/>
      </c>
      <c r="U1313" s="158" t="str">
        <v/>
      </c>
      <c r="V1313" s="158" t="str">
        <v/>
      </c>
      <c r="W1313" s="158" t="str">
        <v/>
      </c>
      <c r="X1313" s="158" t="str">
        <v/>
      </c>
      <c r="Y1313" s="158" t="str">
        <v/>
      </c>
      <c r="Z1313" s="158" t="str">
        <v/>
      </c>
      <c r="AA1313" s="158" t="e">
        <v>#VALUE!</v>
      </c>
      <c r="AB1313" s="171" t="str">
        <v/>
      </c>
      <c r="AC1313" s="158">
        <v>0</v>
      </c>
      <c r="AD1313" s="173" t="str">
        <f ca="1">IFERROR(__xludf.DUMMYFUNCTION("""COMPUTED_VALUE"""),"")</f>
        <v/>
      </c>
      <c r="AE1313" s="154" t="str">
        <v/>
      </c>
      <c r="AF1313" s="154" t="str">
        <v/>
      </c>
    </row>
    <row r="1314" spans="1:32" ht="15">
      <c r="A1314" s="176"/>
      <c r="B1314" s="145"/>
      <c r="C1314" s="169"/>
      <c r="D1314" s="145"/>
      <c r="E1314" s="145"/>
      <c r="F1314" s="169" t="e">
        <v>#VALUE!</v>
      </c>
      <c r="G1314" s="145"/>
      <c r="H1314" s="145"/>
      <c r="I1314" s="145"/>
      <c r="J1314" s="145"/>
      <c r="K1314" s="145"/>
      <c r="L1314" s="145"/>
      <c r="M1314" s="145"/>
      <c r="N1314" s="145"/>
      <c r="O1314" s="174"/>
      <c r="P1314" s="174"/>
      <c r="Q1314" s="158" t="str">
        <v/>
      </c>
      <c r="R1314" s="158" t="str">
        <v/>
      </c>
      <c r="S1314" s="158" t="str">
        <v/>
      </c>
      <c r="T1314" s="158" t="str">
        <v/>
      </c>
      <c r="U1314" s="158" t="str">
        <v/>
      </c>
      <c r="V1314" s="158" t="str">
        <v/>
      </c>
      <c r="W1314" s="158" t="str">
        <v/>
      </c>
      <c r="X1314" s="158" t="str">
        <v/>
      </c>
      <c r="Y1314" s="158" t="str">
        <v/>
      </c>
      <c r="Z1314" s="158" t="str">
        <v/>
      </c>
      <c r="AA1314" s="158" t="e">
        <v>#VALUE!</v>
      </c>
      <c r="AB1314" s="171" t="str">
        <v/>
      </c>
      <c r="AC1314" s="158">
        <v>0</v>
      </c>
      <c r="AD1314" s="173" t="str">
        <f ca="1">IFERROR(__xludf.DUMMYFUNCTION("""COMPUTED_VALUE"""),"")</f>
        <v/>
      </c>
      <c r="AE1314" s="154" t="str">
        <v/>
      </c>
      <c r="AF1314" s="154" t="str">
        <v/>
      </c>
    </row>
    <row r="1315" spans="1:32" ht="15">
      <c r="A1315" s="176"/>
      <c r="B1315" s="145"/>
      <c r="C1315" s="169"/>
      <c r="D1315" s="145"/>
      <c r="E1315" s="145"/>
      <c r="F1315" s="169" t="e">
        <v>#VALUE!</v>
      </c>
      <c r="G1315" s="145"/>
      <c r="H1315" s="145"/>
      <c r="I1315" s="145"/>
      <c r="J1315" s="145"/>
      <c r="K1315" s="145"/>
      <c r="L1315" s="145"/>
      <c r="M1315" s="145"/>
      <c r="N1315" s="145"/>
      <c r="O1315" s="174"/>
      <c r="P1315" s="174"/>
      <c r="Q1315" s="158" t="str">
        <v/>
      </c>
      <c r="R1315" s="158" t="str">
        <v/>
      </c>
      <c r="S1315" s="158" t="str">
        <v/>
      </c>
      <c r="T1315" s="158" t="str">
        <v/>
      </c>
      <c r="U1315" s="158" t="str">
        <v/>
      </c>
      <c r="V1315" s="158" t="str">
        <v/>
      </c>
      <c r="W1315" s="158" t="str">
        <v/>
      </c>
      <c r="X1315" s="158" t="str">
        <v/>
      </c>
      <c r="Y1315" s="158" t="str">
        <v/>
      </c>
      <c r="Z1315" s="158" t="str">
        <v/>
      </c>
      <c r="AA1315" s="158" t="e">
        <v>#VALUE!</v>
      </c>
      <c r="AB1315" s="171" t="str">
        <v/>
      </c>
      <c r="AC1315" s="158">
        <v>0</v>
      </c>
      <c r="AD1315" s="173" t="str">
        <f ca="1">IFERROR(__xludf.DUMMYFUNCTION("""COMPUTED_VALUE"""),"")</f>
        <v/>
      </c>
      <c r="AE1315" s="154" t="str">
        <v/>
      </c>
      <c r="AF1315" s="154" t="str">
        <v/>
      </c>
    </row>
    <row r="1316" spans="1:32" ht="15">
      <c r="A1316" s="176"/>
      <c r="B1316" s="145"/>
      <c r="C1316" s="169"/>
      <c r="D1316" s="145"/>
      <c r="E1316" s="145"/>
      <c r="F1316" s="169" t="e">
        <v>#VALUE!</v>
      </c>
      <c r="G1316" s="145"/>
      <c r="H1316" s="145"/>
      <c r="I1316" s="145"/>
      <c r="J1316" s="145"/>
      <c r="K1316" s="145"/>
      <c r="L1316" s="145"/>
      <c r="M1316" s="145"/>
      <c r="N1316" s="145"/>
      <c r="O1316" s="174"/>
      <c r="P1316" s="174"/>
      <c r="Q1316" s="158" t="str">
        <v/>
      </c>
      <c r="R1316" s="158" t="str">
        <v/>
      </c>
      <c r="S1316" s="158" t="str">
        <v/>
      </c>
      <c r="T1316" s="158" t="str">
        <v/>
      </c>
      <c r="U1316" s="158" t="str">
        <v/>
      </c>
      <c r="V1316" s="158" t="str">
        <v/>
      </c>
      <c r="W1316" s="158" t="str">
        <v/>
      </c>
      <c r="X1316" s="158" t="str">
        <v/>
      </c>
      <c r="Y1316" s="158" t="str">
        <v/>
      </c>
      <c r="Z1316" s="158" t="str">
        <v/>
      </c>
      <c r="AA1316" s="158" t="e">
        <v>#VALUE!</v>
      </c>
      <c r="AB1316" s="171" t="str">
        <v/>
      </c>
      <c r="AC1316" s="158">
        <v>0</v>
      </c>
      <c r="AD1316" s="173" t="str">
        <f ca="1">IFERROR(__xludf.DUMMYFUNCTION("""COMPUTED_VALUE"""),"")</f>
        <v/>
      </c>
      <c r="AE1316" s="154" t="str">
        <v/>
      </c>
      <c r="AF1316" s="154" t="str">
        <v/>
      </c>
    </row>
    <row r="1317" spans="1:32" ht="15">
      <c r="A1317" s="176"/>
      <c r="B1317" s="145"/>
      <c r="C1317" s="169"/>
      <c r="D1317" s="145"/>
      <c r="E1317" s="145"/>
      <c r="F1317" s="169" t="e">
        <v>#VALUE!</v>
      </c>
      <c r="G1317" s="145"/>
      <c r="H1317" s="145"/>
      <c r="I1317" s="145"/>
      <c r="J1317" s="145"/>
      <c r="K1317" s="145"/>
      <c r="L1317" s="145"/>
      <c r="M1317" s="145"/>
      <c r="N1317" s="145"/>
      <c r="O1317" s="174"/>
      <c r="P1317" s="174"/>
      <c r="Q1317" s="158" t="str">
        <v/>
      </c>
      <c r="R1317" s="158" t="str">
        <v/>
      </c>
      <c r="S1317" s="158" t="str">
        <v/>
      </c>
      <c r="T1317" s="158" t="str">
        <v/>
      </c>
      <c r="U1317" s="158" t="str">
        <v/>
      </c>
      <c r="V1317" s="158" t="str">
        <v/>
      </c>
      <c r="W1317" s="158" t="str">
        <v/>
      </c>
      <c r="X1317" s="158" t="str">
        <v/>
      </c>
      <c r="Y1317" s="158" t="str">
        <v/>
      </c>
      <c r="Z1317" s="158" t="str">
        <v/>
      </c>
      <c r="AA1317" s="158" t="e">
        <v>#VALUE!</v>
      </c>
      <c r="AB1317" s="171" t="str">
        <v/>
      </c>
      <c r="AC1317" s="158">
        <v>0</v>
      </c>
      <c r="AD1317" s="173" t="str">
        <f ca="1">IFERROR(__xludf.DUMMYFUNCTION("""COMPUTED_VALUE"""),"")</f>
        <v/>
      </c>
      <c r="AE1317" s="154" t="str">
        <v/>
      </c>
      <c r="AF1317" s="154" t="str">
        <v/>
      </c>
    </row>
    <row r="1318" spans="1:32" ht="15">
      <c r="A1318" s="176"/>
      <c r="B1318" s="145"/>
      <c r="C1318" s="169"/>
      <c r="D1318" s="145"/>
      <c r="E1318" s="145"/>
      <c r="F1318" s="169" t="e">
        <v>#VALUE!</v>
      </c>
      <c r="G1318" s="145"/>
      <c r="H1318" s="145"/>
      <c r="I1318" s="145"/>
      <c r="J1318" s="145"/>
      <c r="K1318" s="145"/>
      <c r="L1318" s="145"/>
      <c r="M1318" s="145"/>
      <c r="N1318" s="145"/>
      <c r="O1318" s="174"/>
      <c r="P1318" s="174"/>
      <c r="Q1318" s="158" t="str">
        <v/>
      </c>
      <c r="R1318" s="158" t="str">
        <v/>
      </c>
      <c r="S1318" s="158" t="str">
        <v/>
      </c>
      <c r="T1318" s="158" t="str">
        <v/>
      </c>
      <c r="U1318" s="158" t="str">
        <v/>
      </c>
      <c r="V1318" s="158" t="str">
        <v/>
      </c>
      <c r="W1318" s="158" t="str">
        <v/>
      </c>
      <c r="X1318" s="158" t="str">
        <v/>
      </c>
      <c r="Y1318" s="158" t="str">
        <v/>
      </c>
      <c r="Z1318" s="158" t="str">
        <v/>
      </c>
      <c r="AA1318" s="158" t="e">
        <v>#VALUE!</v>
      </c>
      <c r="AB1318" s="171" t="str">
        <v/>
      </c>
      <c r="AC1318" s="158">
        <v>0</v>
      </c>
      <c r="AD1318" s="173" t="str">
        <f ca="1">IFERROR(__xludf.DUMMYFUNCTION("""COMPUTED_VALUE"""),"")</f>
        <v/>
      </c>
      <c r="AE1318" s="154" t="str">
        <v/>
      </c>
      <c r="AF1318" s="154" t="str">
        <v/>
      </c>
    </row>
    <row r="1319" spans="1:32" ht="15">
      <c r="A1319" s="176"/>
      <c r="B1319" s="145"/>
      <c r="C1319" s="169"/>
      <c r="D1319" s="145"/>
      <c r="E1319" s="145"/>
      <c r="F1319" s="169" t="e">
        <v>#VALUE!</v>
      </c>
      <c r="G1319" s="145"/>
      <c r="H1319" s="145"/>
      <c r="I1319" s="145"/>
      <c r="J1319" s="145"/>
      <c r="K1319" s="145"/>
      <c r="L1319" s="145"/>
      <c r="M1319" s="145"/>
      <c r="N1319" s="145"/>
      <c r="O1319" s="174"/>
      <c r="P1319" s="174"/>
      <c r="Q1319" s="158" t="str">
        <v/>
      </c>
      <c r="R1319" s="158" t="str">
        <v/>
      </c>
      <c r="S1319" s="158" t="str">
        <v/>
      </c>
      <c r="T1319" s="158" t="str">
        <v/>
      </c>
      <c r="U1319" s="158" t="str">
        <v/>
      </c>
      <c r="V1319" s="158" t="str">
        <v/>
      </c>
      <c r="W1319" s="158" t="str">
        <v/>
      </c>
      <c r="X1319" s="158" t="str">
        <v/>
      </c>
      <c r="Y1319" s="158" t="str">
        <v/>
      </c>
      <c r="Z1319" s="158" t="str">
        <v/>
      </c>
      <c r="AA1319" s="158" t="e">
        <v>#VALUE!</v>
      </c>
      <c r="AB1319" s="171" t="str">
        <v/>
      </c>
      <c r="AC1319" s="158">
        <v>0</v>
      </c>
      <c r="AD1319" s="173" t="str">
        <f ca="1">IFERROR(__xludf.DUMMYFUNCTION("""COMPUTED_VALUE"""),"")</f>
        <v/>
      </c>
      <c r="AE1319" s="154" t="str">
        <v/>
      </c>
      <c r="AF1319" s="154" t="str">
        <v/>
      </c>
    </row>
    <row r="1320" spans="1:32" ht="15">
      <c r="A1320" s="176"/>
      <c r="B1320" s="145"/>
      <c r="C1320" s="169"/>
      <c r="D1320" s="145"/>
      <c r="E1320" s="145"/>
      <c r="F1320" s="169" t="e">
        <v>#VALUE!</v>
      </c>
      <c r="G1320" s="145"/>
      <c r="H1320" s="145"/>
      <c r="I1320" s="145"/>
      <c r="J1320" s="145"/>
      <c r="K1320" s="145"/>
      <c r="L1320" s="145"/>
      <c r="M1320" s="145"/>
      <c r="N1320" s="145"/>
      <c r="O1320" s="174"/>
      <c r="P1320" s="174"/>
      <c r="Q1320" s="158" t="str">
        <v/>
      </c>
      <c r="R1320" s="158" t="str">
        <v/>
      </c>
      <c r="S1320" s="158" t="str">
        <v/>
      </c>
      <c r="T1320" s="158" t="str">
        <v/>
      </c>
      <c r="U1320" s="158" t="str">
        <v/>
      </c>
      <c r="V1320" s="158" t="str">
        <v/>
      </c>
      <c r="W1320" s="158" t="str">
        <v/>
      </c>
      <c r="X1320" s="158" t="str">
        <v/>
      </c>
      <c r="Y1320" s="158" t="str">
        <v/>
      </c>
      <c r="Z1320" s="158" t="str">
        <v/>
      </c>
      <c r="AA1320" s="158" t="e">
        <v>#VALUE!</v>
      </c>
      <c r="AB1320" s="171" t="str">
        <v/>
      </c>
      <c r="AC1320" s="158">
        <v>0</v>
      </c>
      <c r="AD1320" s="173" t="str">
        <f ca="1">IFERROR(__xludf.DUMMYFUNCTION("""COMPUTED_VALUE"""),"")</f>
        <v/>
      </c>
      <c r="AE1320" s="154" t="str">
        <v/>
      </c>
      <c r="AF1320" s="154" t="str">
        <v/>
      </c>
    </row>
    <row r="1321" spans="1:32" ht="15">
      <c r="A1321" s="176"/>
      <c r="B1321" s="145"/>
      <c r="C1321" s="169"/>
      <c r="D1321" s="145"/>
      <c r="E1321" s="145"/>
      <c r="F1321" s="169" t="e">
        <v>#VALUE!</v>
      </c>
      <c r="G1321" s="145"/>
      <c r="H1321" s="145"/>
      <c r="I1321" s="145"/>
      <c r="J1321" s="145"/>
      <c r="K1321" s="145"/>
      <c r="L1321" s="145"/>
      <c r="M1321" s="145"/>
      <c r="N1321" s="145"/>
      <c r="O1321" s="174"/>
      <c r="P1321" s="174"/>
      <c r="Q1321" s="158" t="str">
        <v/>
      </c>
      <c r="R1321" s="158" t="str">
        <v/>
      </c>
      <c r="S1321" s="158" t="str">
        <v/>
      </c>
      <c r="T1321" s="158" t="str">
        <v/>
      </c>
      <c r="U1321" s="158" t="str">
        <v/>
      </c>
      <c r="V1321" s="158" t="str">
        <v/>
      </c>
      <c r="W1321" s="158" t="str">
        <v/>
      </c>
      <c r="X1321" s="158" t="str">
        <v/>
      </c>
      <c r="Y1321" s="158" t="str">
        <v/>
      </c>
      <c r="Z1321" s="158" t="str">
        <v/>
      </c>
      <c r="AA1321" s="158" t="e">
        <v>#VALUE!</v>
      </c>
      <c r="AB1321" s="171" t="str">
        <v/>
      </c>
      <c r="AC1321" s="158">
        <v>0</v>
      </c>
      <c r="AD1321" s="173" t="str">
        <f ca="1">IFERROR(__xludf.DUMMYFUNCTION("""COMPUTED_VALUE"""),"")</f>
        <v/>
      </c>
      <c r="AE1321" s="154" t="str">
        <v/>
      </c>
      <c r="AF1321" s="154" t="str">
        <v/>
      </c>
    </row>
    <row r="1322" spans="1:32" ht="15">
      <c r="A1322" s="176"/>
      <c r="B1322" s="145"/>
      <c r="C1322" s="169"/>
      <c r="D1322" s="145"/>
      <c r="E1322" s="145"/>
      <c r="F1322" s="169" t="e">
        <v>#VALUE!</v>
      </c>
      <c r="G1322" s="145"/>
      <c r="H1322" s="145"/>
      <c r="I1322" s="145"/>
      <c r="J1322" s="145"/>
      <c r="K1322" s="145"/>
      <c r="L1322" s="145"/>
      <c r="M1322" s="145"/>
      <c r="N1322" s="145"/>
      <c r="O1322" s="174"/>
      <c r="P1322" s="174"/>
      <c r="Q1322" s="158" t="str">
        <v/>
      </c>
      <c r="R1322" s="158" t="str">
        <v/>
      </c>
      <c r="S1322" s="158" t="str">
        <v/>
      </c>
      <c r="T1322" s="158" t="str">
        <v/>
      </c>
      <c r="U1322" s="158" t="str">
        <v/>
      </c>
      <c r="V1322" s="158" t="str">
        <v/>
      </c>
      <c r="W1322" s="158" t="str">
        <v/>
      </c>
      <c r="X1322" s="158" t="str">
        <v/>
      </c>
      <c r="Y1322" s="158" t="str">
        <v/>
      </c>
      <c r="Z1322" s="158" t="str">
        <v/>
      </c>
      <c r="AA1322" s="158" t="e">
        <v>#VALUE!</v>
      </c>
      <c r="AB1322" s="171" t="str">
        <v/>
      </c>
      <c r="AC1322" s="158">
        <v>0</v>
      </c>
      <c r="AD1322" s="173" t="str">
        <f ca="1">IFERROR(__xludf.DUMMYFUNCTION("""COMPUTED_VALUE"""),"")</f>
        <v/>
      </c>
      <c r="AE1322" s="154" t="str">
        <v/>
      </c>
      <c r="AF1322" s="154" t="str">
        <v/>
      </c>
    </row>
    <row r="1323" spans="1:32" ht="15">
      <c r="A1323" s="176"/>
      <c r="B1323" s="145"/>
      <c r="C1323" s="169"/>
      <c r="D1323" s="145"/>
      <c r="E1323" s="145"/>
      <c r="F1323" s="169" t="e">
        <v>#VALUE!</v>
      </c>
      <c r="G1323" s="145"/>
      <c r="H1323" s="145"/>
      <c r="I1323" s="145"/>
      <c r="J1323" s="145"/>
      <c r="K1323" s="145"/>
      <c r="L1323" s="145"/>
      <c r="M1323" s="145"/>
      <c r="N1323" s="145"/>
      <c r="O1323" s="174"/>
      <c r="P1323" s="174"/>
      <c r="Q1323" s="158" t="str">
        <v/>
      </c>
      <c r="R1323" s="158" t="str">
        <v/>
      </c>
      <c r="S1323" s="158" t="str">
        <v/>
      </c>
      <c r="T1323" s="158" t="str">
        <v/>
      </c>
      <c r="U1323" s="158" t="str">
        <v/>
      </c>
      <c r="V1323" s="158" t="str">
        <v/>
      </c>
      <c r="W1323" s="158" t="str">
        <v/>
      </c>
      <c r="X1323" s="158" t="str">
        <v/>
      </c>
      <c r="Y1323" s="158" t="str">
        <v/>
      </c>
      <c r="Z1323" s="158" t="str">
        <v/>
      </c>
      <c r="AA1323" s="158" t="e">
        <v>#VALUE!</v>
      </c>
      <c r="AB1323" s="171" t="str">
        <v/>
      </c>
      <c r="AC1323" s="158">
        <v>0</v>
      </c>
      <c r="AD1323" s="173" t="str">
        <f ca="1">IFERROR(__xludf.DUMMYFUNCTION("""COMPUTED_VALUE"""),"")</f>
        <v/>
      </c>
      <c r="AE1323" s="154" t="str">
        <v/>
      </c>
      <c r="AF1323" s="154" t="str">
        <v/>
      </c>
    </row>
    <row r="1324" spans="1:32" ht="15">
      <c r="A1324" s="176"/>
      <c r="B1324" s="145"/>
      <c r="C1324" s="169"/>
      <c r="D1324" s="145"/>
      <c r="E1324" s="145"/>
      <c r="F1324" s="169" t="e">
        <v>#VALUE!</v>
      </c>
      <c r="G1324" s="145"/>
      <c r="H1324" s="145"/>
      <c r="I1324" s="145"/>
      <c r="J1324" s="145"/>
      <c r="K1324" s="145"/>
      <c r="L1324" s="145"/>
      <c r="M1324" s="145"/>
      <c r="N1324" s="145"/>
      <c r="O1324" s="174"/>
      <c r="P1324" s="174"/>
      <c r="Q1324" s="158" t="str">
        <v/>
      </c>
      <c r="R1324" s="158" t="str">
        <v/>
      </c>
      <c r="S1324" s="158" t="str">
        <v/>
      </c>
      <c r="T1324" s="158" t="str">
        <v/>
      </c>
      <c r="U1324" s="158" t="str">
        <v/>
      </c>
      <c r="V1324" s="158" t="str">
        <v/>
      </c>
      <c r="W1324" s="158" t="str">
        <v/>
      </c>
      <c r="X1324" s="158" t="str">
        <v/>
      </c>
      <c r="Y1324" s="158" t="str">
        <v/>
      </c>
      <c r="Z1324" s="158" t="str">
        <v/>
      </c>
      <c r="AA1324" s="158" t="e">
        <v>#VALUE!</v>
      </c>
      <c r="AB1324" s="171" t="str">
        <v/>
      </c>
      <c r="AC1324" s="158">
        <v>0</v>
      </c>
      <c r="AD1324" s="173" t="str">
        <f ca="1">IFERROR(__xludf.DUMMYFUNCTION("""COMPUTED_VALUE"""),"")</f>
        <v/>
      </c>
      <c r="AE1324" s="154" t="str">
        <v/>
      </c>
      <c r="AF1324" s="154" t="str">
        <v/>
      </c>
    </row>
    <row r="1325" spans="1:32" ht="15">
      <c r="A1325" s="176"/>
      <c r="B1325" s="145"/>
      <c r="C1325" s="169"/>
      <c r="D1325" s="145"/>
      <c r="E1325" s="145"/>
      <c r="F1325" s="169" t="e">
        <v>#VALUE!</v>
      </c>
      <c r="G1325" s="145"/>
      <c r="H1325" s="145"/>
      <c r="I1325" s="145"/>
      <c r="J1325" s="145"/>
      <c r="K1325" s="145"/>
      <c r="L1325" s="145"/>
      <c r="M1325" s="145"/>
      <c r="N1325" s="145"/>
      <c r="O1325" s="174"/>
      <c r="P1325" s="174"/>
      <c r="Q1325" s="158" t="str">
        <v/>
      </c>
      <c r="R1325" s="158" t="str">
        <v/>
      </c>
      <c r="S1325" s="158" t="str">
        <v/>
      </c>
      <c r="T1325" s="158" t="str">
        <v/>
      </c>
      <c r="U1325" s="158" t="str">
        <v/>
      </c>
      <c r="V1325" s="158" t="str">
        <v/>
      </c>
      <c r="W1325" s="158" t="str">
        <v/>
      </c>
      <c r="X1325" s="158" t="str">
        <v/>
      </c>
      <c r="Y1325" s="158" t="str">
        <v/>
      </c>
      <c r="Z1325" s="158" t="str">
        <v/>
      </c>
      <c r="AA1325" s="158" t="e">
        <v>#VALUE!</v>
      </c>
      <c r="AB1325" s="171" t="str">
        <v/>
      </c>
      <c r="AC1325" s="158">
        <v>0</v>
      </c>
      <c r="AD1325" s="173" t="str">
        <f ca="1">IFERROR(__xludf.DUMMYFUNCTION("""COMPUTED_VALUE"""),"")</f>
        <v/>
      </c>
      <c r="AE1325" s="154" t="str">
        <v/>
      </c>
      <c r="AF1325" s="154" t="str">
        <v/>
      </c>
    </row>
    <row r="1326" spans="1:32" ht="15">
      <c r="A1326" s="176"/>
      <c r="B1326" s="145"/>
      <c r="C1326" s="169"/>
      <c r="D1326" s="145"/>
      <c r="E1326" s="145"/>
      <c r="F1326" s="169" t="e">
        <v>#VALUE!</v>
      </c>
      <c r="G1326" s="145"/>
      <c r="H1326" s="145"/>
      <c r="I1326" s="145"/>
      <c r="J1326" s="145"/>
      <c r="K1326" s="145"/>
      <c r="L1326" s="145"/>
      <c r="M1326" s="145"/>
      <c r="N1326" s="145"/>
      <c r="O1326" s="174"/>
      <c r="P1326" s="174"/>
      <c r="Q1326" s="158" t="str">
        <v/>
      </c>
      <c r="R1326" s="158" t="str">
        <v/>
      </c>
      <c r="S1326" s="158" t="str">
        <v/>
      </c>
      <c r="T1326" s="158" t="str">
        <v/>
      </c>
      <c r="U1326" s="158" t="str">
        <v/>
      </c>
      <c r="V1326" s="158" t="str">
        <v/>
      </c>
      <c r="W1326" s="158" t="str">
        <v/>
      </c>
      <c r="X1326" s="158" t="str">
        <v/>
      </c>
      <c r="Y1326" s="158" t="str">
        <v/>
      </c>
      <c r="Z1326" s="158" t="str">
        <v/>
      </c>
      <c r="AA1326" s="158" t="e">
        <v>#VALUE!</v>
      </c>
      <c r="AB1326" s="171" t="str">
        <v/>
      </c>
      <c r="AC1326" s="158">
        <v>0</v>
      </c>
      <c r="AD1326" s="173" t="str">
        <f ca="1">IFERROR(__xludf.DUMMYFUNCTION("""COMPUTED_VALUE"""),"")</f>
        <v/>
      </c>
      <c r="AE1326" s="154" t="str">
        <v/>
      </c>
      <c r="AF1326" s="154" t="str">
        <v/>
      </c>
    </row>
    <row r="1327" spans="1:32" ht="15">
      <c r="A1327" s="176"/>
      <c r="B1327" s="145"/>
      <c r="C1327" s="169"/>
      <c r="D1327" s="145"/>
      <c r="E1327" s="145"/>
      <c r="F1327" s="169" t="e">
        <v>#VALUE!</v>
      </c>
      <c r="G1327" s="145"/>
      <c r="H1327" s="145"/>
      <c r="I1327" s="145"/>
      <c r="J1327" s="145"/>
      <c r="K1327" s="145"/>
      <c r="L1327" s="145"/>
      <c r="M1327" s="145"/>
      <c r="N1327" s="145"/>
      <c r="O1327" s="174"/>
      <c r="P1327" s="174"/>
      <c r="Q1327" s="158" t="str">
        <v/>
      </c>
      <c r="R1327" s="158" t="str">
        <v/>
      </c>
      <c r="S1327" s="158" t="str">
        <v/>
      </c>
      <c r="T1327" s="158" t="str">
        <v/>
      </c>
      <c r="U1327" s="158" t="str">
        <v/>
      </c>
      <c r="V1327" s="158" t="str">
        <v/>
      </c>
      <c r="W1327" s="158" t="str">
        <v/>
      </c>
      <c r="X1327" s="158" t="str">
        <v/>
      </c>
      <c r="Y1327" s="158" t="str">
        <v/>
      </c>
      <c r="Z1327" s="158" t="str">
        <v/>
      </c>
      <c r="AA1327" s="158" t="e">
        <v>#VALUE!</v>
      </c>
      <c r="AB1327" s="171" t="str">
        <v/>
      </c>
      <c r="AC1327" s="158">
        <v>0</v>
      </c>
      <c r="AD1327" s="173" t="str">
        <f ca="1">IFERROR(__xludf.DUMMYFUNCTION("""COMPUTED_VALUE"""),"")</f>
        <v/>
      </c>
      <c r="AE1327" s="154" t="str">
        <v/>
      </c>
      <c r="AF1327" s="154" t="str">
        <v/>
      </c>
    </row>
    <row r="1328" spans="1:32" ht="15">
      <c r="A1328" s="176"/>
      <c r="B1328" s="145"/>
      <c r="C1328" s="169"/>
      <c r="D1328" s="145"/>
      <c r="E1328" s="145"/>
      <c r="F1328" s="169" t="e">
        <v>#VALUE!</v>
      </c>
      <c r="G1328" s="145"/>
      <c r="H1328" s="145"/>
      <c r="I1328" s="145"/>
      <c r="J1328" s="145"/>
      <c r="K1328" s="145"/>
      <c r="L1328" s="145"/>
      <c r="M1328" s="145"/>
      <c r="N1328" s="145"/>
      <c r="O1328" s="174"/>
      <c r="P1328" s="174"/>
      <c r="Q1328" s="158" t="str">
        <v/>
      </c>
      <c r="R1328" s="158" t="str">
        <v/>
      </c>
      <c r="S1328" s="158" t="str">
        <v/>
      </c>
      <c r="T1328" s="158" t="str">
        <v/>
      </c>
      <c r="U1328" s="158" t="str">
        <v/>
      </c>
      <c r="V1328" s="158" t="str">
        <v/>
      </c>
      <c r="W1328" s="158" t="str">
        <v/>
      </c>
      <c r="X1328" s="158" t="str">
        <v/>
      </c>
      <c r="Y1328" s="158" t="str">
        <v/>
      </c>
      <c r="Z1328" s="158" t="str">
        <v/>
      </c>
      <c r="AA1328" s="158" t="e">
        <v>#VALUE!</v>
      </c>
      <c r="AB1328" s="171" t="str">
        <v/>
      </c>
      <c r="AC1328" s="158">
        <v>0</v>
      </c>
      <c r="AD1328" s="173" t="str">
        <f ca="1">IFERROR(__xludf.DUMMYFUNCTION("""COMPUTED_VALUE"""),"")</f>
        <v/>
      </c>
      <c r="AE1328" s="154" t="str">
        <v/>
      </c>
      <c r="AF1328" s="154" t="str">
        <v/>
      </c>
    </row>
    <row r="1329" spans="1:32" ht="15">
      <c r="A1329" s="176"/>
      <c r="B1329" s="145"/>
      <c r="C1329" s="169"/>
      <c r="D1329" s="145"/>
      <c r="E1329" s="145"/>
      <c r="F1329" s="169" t="e">
        <v>#VALUE!</v>
      </c>
      <c r="G1329" s="145"/>
      <c r="H1329" s="145"/>
      <c r="I1329" s="145"/>
      <c r="J1329" s="145"/>
      <c r="K1329" s="145"/>
      <c r="L1329" s="145"/>
      <c r="M1329" s="145"/>
      <c r="N1329" s="145"/>
      <c r="O1329" s="174"/>
      <c r="P1329" s="174"/>
      <c r="Q1329" s="158" t="str">
        <v/>
      </c>
      <c r="R1329" s="158" t="str">
        <v/>
      </c>
      <c r="S1329" s="158" t="str">
        <v/>
      </c>
      <c r="T1329" s="158" t="str">
        <v/>
      </c>
      <c r="U1329" s="158" t="str">
        <v/>
      </c>
      <c r="V1329" s="158" t="str">
        <v/>
      </c>
      <c r="W1329" s="158" t="str">
        <v/>
      </c>
      <c r="X1329" s="158" t="str">
        <v/>
      </c>
      <c r="Y1329" s="158" t="str">
        <v/>
      </c>
      <c r="Z1329" s="158" t="str">
        <v/>
      </c>
      <c r="AA1329" s="158" t="e">
        <v>#VALUE!</v>
      </c>
      <c r="AB1329" s="171" t="str">
        <v/>
      </c>
      <c r="AC1329" s="158">
        <v>0</v>
      </c>
      <c r="AD1329" s="173" t="str">
        <f ca="1">IFERROR(__xludf.DUMMYFUNCTION("""COMPUTED_VALUE"""),"")</f>
        <v/>
      </c>
      <c r="AE1329" s="154" t="str">
        <v/>
      </c>
      <c r="AF1329" s="154" t="str">
        <v/>
      </c>
    </row>
    <row r="1330" spans="1:32" ht="15">
      <c r="A1330" s="176"/>
      <c r="B1330" s="145"/>
      <c r="C1330" s="169"/>
      <c r="D1330" s="145"/>
      <c r="E1330" s="145"/>
      <c r="F1330" s="169" t="e">
        <v>#VALUE!</v>
      </c>
      <c r="G1330" s="145"/>
      <c r="H1330" s="145"/>
      <c r="I1330" s="145"/>
      <c r="J1330" s="145"/>
      <c r="K1330" s="145"/>
      <c r="L1330" s="145"/>
      <c r="M1330" s="145"/>
      <c r="N1330" s="145"/>
      <c r="O1330" s="174"/>
      <c r="P1330" s="174"/>
      <c r="Q1330" s="158" t="str">
        <v/>
      </c>
      <c r="R1330" s="158" t="str">
        <v/>
      </c>
      <c r="S1330" s="158" t="str">
        <v/>
      </c>
      <c r="T1330" s="158" t="str">
        <v/>
      </c>
      <c r="U1330" s="158" t="str">
        <v/>
      </c>
      <c r="V1330" s="158" t="str">
        <v/>
      </c>
      <c r="W1330" s="158" t="str">
        <v/>
      </c>
      <c r="X1330" s="158" t="str">
        <v/>
      </c>
      <c r="Y1330" s="158" t="str">
        <v/>
      </c>
      <c r="Z1330" s="158" t="str">
        <v/>
      </c>
      <c r="AA1330" s="158" t="e">
        <v>#VALUE!</v>
      </c>
      <c r="AB1330" s="171" t="str">
        <v/>
      </c>
      <c r="AC1330" s="158">
        <v>0</v>
      </c>
      <c r="AD1330" s="173" t="str">
        <f ca="1">IFERROR(__xludf.DUMMYFUNCTION("""COMPUTED_VALUE"""),"")</f>
        <v/>
      </c>
      <c r="AE1330" s="154" t="str">
        <v/>
      </c>
      <c r="AF1330" s="154" t="str">
        <v/>
      </c>
    </row>
    <row r="1331" spans="1:32" ht="15">
      <c r="A1331" s="176"/>
      <c r="B1331" s="145"/>
      <c r="C1331" s="169"/>
      <c r="D1331" s="145"/>
      <c r="E1331" s="145"/>
      <c r="F1331" s="169" t="e">
        <v>#VALUE!</v>
      </c>
      <c r="G1331" s="145"/>
      <c r="H1331" s="145"/>
      <c r="I1331" s="145"/>
      <c r="J1331" s="145"/>
      <c r="K1331" s="145"/>
      <c r="L1331" s="145"/>
      <c r="M1331" s="145"/>
      <c r="N1331" s="145"/>
      <c r="O1331" s="174"/>
      <c r="P1331" s="174"/>
      <c r="Q1331" s="158" t="str">
        <v/>
      </c>
      <c r="R1331" s="158" t="str">
        <v/>
      </c>
      <c r="S1331" s="158" t="str">
        <v/>
      </c>
      <c r="T1331" s="158" t="str">
        <v/>
      </c>
      <c r="U1331" s="158" t="str">
        <v/>
      </c>
      <c r="V1331" s="158" t="str">
        <v/>
      </c>
      <c r="W1331" s="158" t="str">
        <v/>
      </c>
      <c r="X1331" s="158" t="str">
        <v/>
      </c>
      <c r="Y1331" s="158" t="str">
        <v/>
      </c>
      <c r="Z1331" s="158" t="str">
        <v/>
      </c>
      <c r="AA1331" s="158" t="e">
        <v>#VALUE!</v>
      </c>
      <c r="AB1331" s="171" t="str">
        <v/>
      </c>
      <c r="AC1331" s="158">
        <v>0</v>
      </c>
      <c r="AD1331" s="173" t="str">
        <f ca="1">IFERROR(__xludf.DUMMYFUNCTION("""COMPUTED_VALUE"""),"")</f>
        <v/>
      </c>
      <c r="AE1331" s="154" t="str">
        <v/>
      </c>
      <c r="AF1331" s="154" t="str">
        <v/>
      </c>
    </row>
    <row r="1332" spans="1:32" ht="15">
      <c r="A1332" s="176"/>
      <c r="B1332" s="145"/>
      <c r="C1332" s="169"/>
      <c r="D1332" s="145"/>
      <c r="E1332" s="145"/>
      <c r="F1332" s="169" t="e">
        <v>#VALUE!</v>
      </c>
      <c r="G1332" s="145"/>
      <c r="H1332" s="145"/>
      <c r="I1332" s="145"/>
      <c r="J1332" s="145"/>
      <c r="K1332" s="145"/>
      <c r="L1332" s="145"/>
      <c r="M1332" s="145"/>
      <c r="N1332" s="145"/>
      <c r="O1332" s="174"/>
      <c r="P1332" s="174"/>
      <c r="Q1332" s="158" t="str">
        <v/>
      </c>
      <c r="R1332" s="158" t="str">
        <v/>
      </c>
      <c r="S1332" s="158" t="str">
        <v/>
      </c>
      <c r="T1332" s="158" t="str">
        <v/>
      </c>
      <c r="U1332" s="158" t="str">
        <v/>
      </c>
      <c r="V1332" s="158" t="str">
        <v/>
      </c>
      <c r="W1332" s="158" t="str">
        <v/>
      </c>
      <c r="X1332" s="158" t="str">
        <v/>
      </c>
      <c r="Y1332" s="158" t="str">
        <v/>
      </c>
      <c r="Z1332" s="158" t="str">
        <v/>
      </c>
      <c r="AA1332" s="158" t="e">
        <v>#VALUE!</v>
      </c>
      <c r="AB1332" s="171" t="str">
        <v/>
      </c>
      <c r="AC1332" s="158">
        <v>0</v>
      </c>
      <c r="AD1332" s="173" t="str">
        <f ca="1">IFERROR(__xludf.DUMMYFUNCTION("""COMPUTED_VALUE"""),"")</f>
        <v/>
      </c>
      <c r="AE1332" s="154" t="str">
        <v/>
      </c>
      <c r="AF1332" s="154" t="str">
        <v/>
      </c>
    </row>
    <row r="1333" spans="1:32" ht="15">
      <c r="A1333" s="176"/>
      <c r="B1333" s="145"/>
      <c r="C1333" s="169"/>
      <c r="D1333" s="145"/>
      <c r="E1333" s="145"/>
      <c r="F1333" s="169" t="e">
        <v>#VALUE!</v>
      </c>
      <c r="G1333" s="145"/>
      <c r="H1333" s="145"/>
      <c r="I1333" s="145"/>
      <c r="J1333" s="145"/>
      <c r="K1333" s="145"/>
      <c r="L1333" s="145"/>
      <c r="M1333" s="145"/>
      <c r="N1333" s="145"/>
      <c r="O1333" s="174"/>
      <c r="P1333" s="174"/>
      <c r="Q1333" s="158" t="str">
        <v/>
      </c>
      <c r="R1333" s="158" t="str">
        <v/>
      </c>
      <c r="S1333" s="158" t="str">
        <v/>
      </c>
      <c r="T1333" s="158" t="str">
        <v/>
      </c>
      <c r="U1333" s="158" t="str">
        <v/>
      </c>
      <c r="V1333" s="158" t="str">
        <v/>
      </c>
      <c r="W1333" s="158" t="str">
        <v/>
      </c>
      <c r="X1333" s="158" t="str">
        <v/>
      </c>
      <c r="Y1333" s="158" t="str">
        <v/>
      </c>
      <c r="Z1333" s="158" t="str">
        <v/>
      </c>
      <c r="AA1333" s="158" t="e">
        <v>#VALUE!</v>
      </c>
      <c r="AB1333" s="171" t="str">
        <v/>
      </c>
      <c r="AC1333" s="158">
        <v>0</v>
      </c>
      <c r="AD1333" s="173" t="str">
        <f ca="1">IFERROR(__xludf.DUMMYFUNCTION("""COMPUTED_VALUE"""),"")</f>
        <v/>
      </c>
      <c r="AE1333" s="154" t="str">
        <v/>
      </c>
      <c r="AF1333" s="154" t="str">
        <v/>
      </c>
    </row>
    <row r="1334" spans="1:32" ht="15">
      <c r="A1334" s="176"/>
      <c r="B1334" s="145"/>
      <c r="C1334" s="169"/>
      <c r="D1334" s="145"/>
      <c r="E1334" s="145"/>
      <c r="F1334" s="169" t="e">
        <v>#VALUE!</v>
      </c>
      <c r="G1334" s="145"/>
      <c r="H1334" s="145"/>
      <c r="I1334" s="145"/>
      <c r="J1334" s="145"/>
      <c r="K1334" s="145"/>
      <c r="L1334" s="145"/>
      <c r="M1334" s="145"/>
      <c r="N1334" s="145"/>
      <c r="O1334" s="174"/>
      <c r="P1334" s="174"/>
      <c r="Q1334" s="158" t="str">
        <v/>
      </c>
      <c r="R1334" s="158" t="str">
        <v/>
      </c>
      <c r="S1334" s="158" t="str">
        <v/>
      </c>
      <c r="T1334" s="158" t="str">
        <v/>
      </c>
      <c r="U1334" s="158" t="str">
        <v/>
      </c>
      <c r="V1334" s="158" t="str">
        <v/>
      </c>
      <c r="W1334" s="158" t="str">
        <v/>
      </c>
      <c r="X1334" s="158" t="str">
        <v/>
      </c>
      <c r="Y1334" s="158" t="str">
        <v/>
      </c>
      <c r="Z1334" s="158" t="str">
        <v/>
      </c>
      <c r="AA1334" s="158" t="e">
        <v>#VALUE!</v>
      </c>
      <c r="AB1334" s="171" t="str">
        <v/>
      </c>
      <c r="AC1334" s="158">
        <v>0</v>
      </c>
      <c r="AD1334" s="173" t="str">
        <f ca="1">IFERROR(__xludf.DUMMYFUNCTION("""COMPUTED_VALUE"""),"")</f>
        <v/>
      </c>
      <c r="AE1334" s="154" t="str">
        <v/>
      </c>
      <c r="AF1334" s="154" t="str">
        <v/>
      </c>
    </row>
    <row r="1335" spans="1:32" ht="15">
      <c r="A1335" s="176"/>
      <c r="B1335" s="145"/>
      <c r="C1335" s="169"/>
      <c r="D1335" s="145"/>
      <c r="E1335" s="145"/>
      <c r="F1335" s="169" t="e">
        <v>#VALUE!</v>
      </c>
      <c r="G1335" s="145"/>
      <c r="H1335" s="145"/>
      <c r="I1335" s="145"/>
      <c r="J1335" s="145"/>
      <c r="K1335" s="145"/>
      <c r="L1335" s="145"/>
      <c r="M1335" s="145"/>
      <c r="N1335" s="145"/>
      <c r="O1335" s="174"/>
      <c r="P1335" s="174"/>
      <c r="Q1335" s="158" t="str">
        <v/>
      </c>
      <c r="R1335" s="158" t="str">
        <v/>
      </c>
      <c r="S1335" s="158" t="str">
        <v/>
      </c>
      <c r="T1335" s="158" t="str">
        <v/>
      </c>
      <c r="U1335" s="158" t="str">
        <v/>
      </c>
      <c r="V1335" s="158" t="str">
        <v/>
      </c>
      <c r="W1335" s="158" t="str">
        <v/>
      </c>
      <c r="X1335" s="158" t="str">
        <v/>
      </c>
      <c r="Y1335" s="158" t="str">
        <v/>
      </c>
      <c r="Z1335" s="158" t="str">
        <v/>
      </c>
      <c r="AA1335" s="158" t="e">
        <v>#VALUE!</v>
      </c>
      <c r="AB1335" s="171" t="str">
        <v/>
      </c>
      <c r="AC1335" s="158">
        <v>0</v>
      </c>
      <c r="AD1335" s="173" t="str">
        <f ca="1">IFERROR(__xludf.DUMMYFUNCTION("""COMPUTED_VALUE"""),"")</f>
        <v/>
      </c>
      <c r="AE1335" s="154" t="str">
        <v/>
      </c>
      <c r="AF1335" s="154" t="str">
        <v/>
      </c>
    </row>
    <row r="1336" spans="1:32" ht="15">
      <c r="A1336" s="176"/>
      <c r="B1336" s="145"/>
      <c r="C1336" s="169"/>
      <c r="D1336" s="145"/>
      <c r="E1336" s="145"/>
      <c r="F1336" s="169" t="e">
        <v>#VALUE!</v>
      </c>
      <c r="G1336" s="145"/>
      <c r="H1336" s="145"/>
      <c r="I1336" s="145"/>
      <c r="J1336" s="145"/>
      <c r="K1336" s="145"/>
      <c r="L1336" s="145"/>
      <c r="M1336" s="145"/>
      <c r="N1336" s="145"/>
      <c r="O1336" s="174"/>
      <c r="P1336" s="174"/>
      <c r="Q1336" s="158" t="str">
        <v/>
      </c>
      <c r="R1336" s="158" t="str">
        <v/>
      </c>
      <c r="S1336" s="158" t="str">
        <v/>
      </c>
      <c r="T1336" s="158" t="str">
        <v/>
      </c>
      <c r="U1336" s="158" t="str">
        <v/>
      </c>
      <c r="V1336" s="158" t="str">
        <v/>
      </c>
      <c r="W1336" s="158" t="str">
        <v/>
      </c>
      <c r="X1336" s="158" t="str">
        <v/>
      </c>
      <c r="Y1336" s="158" t="str">
        <v/>
      </c>
      <c r="Z1336" s="158" t="str">
        <v/>
      </c>
      <c r="AA1336" s="158" t="e">
        <v>#VALUE!</v>
      </c>
      <c r="AB1336" s="171" t="str">
        <v/>
      </c>
      <c r="AC1336" s="158">
        <v>0</v>
      </c>
      <c r="AD1336" s="173" t="str">
        <f ca="1">IFERROR(__xludf.DUMMYFUNCTION("""COMPUTED_VALUE"""),"")</f>
        <v/>
      </c>
      <c r="AE1336" s="154" t="str">
        <v/>
      </c>
      <c r="AF1336" s="154" t="str">
        <v/>
      </c>
    </row>
    <row r="1337" spans="1:32" ht="15">
      <c r="A1337" s="176"/>
      <c r="B1337" s="145"/>
      <c r="C1337" s="169"/>
      <c r="D1337" s="145"/>
      <c r="E1337" s="145"/>
      <c r="F1337" s="169" t="e">
        <v>#VALUE!</v>
      </c>
      <c r="G1337" s="145"/>
      <c r="H1337" s="145"/>
      <c r="I1337" s="145"/>
      <c r="J1337" s="145"/>
      <c r="K1337" s="145"/>
      <c r="L1337" s="145"/>
      <c r="M1337" s="145"/>
      <c r="N1337" s="145"/>
      <c r="O1337" s="174"/>
      <c r="P1337" s="174"/>
      <c r="Q1337" s="158" t="str">
        <v/>
      </c>
      <c r="R1337" s="158" t="str">
        <v/>
      </c>
      <c r="S1337" s="158" t="str">
        <v/>
      </c>
      <c r="T1337" s="158" t="str">
        <v/>
      </c>
      <c r="U1337" s="158" t="str">
        <v/>
      </c>
      <c r="V1337" s="158" t="str">
        <v/>
      </c>
      <c r="W1337" s="158" t="str">
        <v/>
      </c>
      <c r="X1337" s="158" t="str">
        <v/>
      </c>
      <c r="Y1337" s="158" t="str">
        <v/>
      </c>
      <c r="Z1337" s="158" t="str">
        <v/>
      </c>
      <c r="AA1337" s="158" t="e">
        <v>#VALUE!</v>
      </c>
      <c r="AB1337" s="171" t="str">
        <v/>
      </c>
      <c r="AC1337" s="158">
        <v>0</v>
      </c>
      <c r="AD1337" s="173" t="str">
        <f ca="1">IFERROR(__xludf.DUMMYFUNCTION("""COMPUTED_VALUE"""),"")</f>
        <v/>
      </c>
      <c r="AE1337" s="154" t="str">
        <v/>
      </c>
      <c r="AF1337" s="154" t="str">
        <v/>
      </c>
    </row>
    <row r="1338" spans="1:32" ht="15">
      <c r="A1338" s="176"/>
      <c r="B1338" s="145"/>
      <c r="C1338" s="169"/>
      <c r="D1338" s="145"/>
      <c r="E1338" s="145"/>
      <c r="F1338" s="169" t="e">
        <v>#VALUE!</v>
      </c>
      <c r="G1338" s="145"/>
      <c r="H1338" s="145"/>
      <c r="I1338" s="145"/>
      <c r="J1338" s="145"/>
      <c r="K1338" s="145"/>
      <c r="L1338" s="145"/>
      <c r="M1338" s="145"/>
      <c r="N1338" s="145"/>
      <c r="O1338" s="174"/>
      <c r="P1338" s="174"/>
      <c r="Q1338" s="158" t="str">
        <v/>
      </c>
      <c r="R1338" s="158" t="str">
        <v/>
      </c>
      <c r="S1338" s="158" t="str">
        <v/>
      </c>
      <c r="T1338" s="158" t="str">
        <v/>
      </c>
      <c r="U1338" s="158" t="str">
        <v/>
      </c>
      <c r="V1338" s="158" t="str">
        <v/>
      </c>
      <c r="W1338" s="158" t="str">
        <v/>
      </c>
      <c r="X1338" s="158" t="str">
        <v/>
      </c>
      <c r="Y1338" s="158" t="str">
        <v/>
      </c>
      <c r="Z1338" s="158" t="str">
        <v/>
      </c>
      <c r="AA1338" s="158" t="e">
        <v>#VALUE!</v>
      </c>
      <c r="AB1338" s="171" t="str">
        <v/>
      </c>
      <c r="AC1338" s="158">
        <v>0</v>
      </c>
      <c r="AD1338" s="173" t="str">
        <f ca="1">IFERROR(__xludf.DUMMYFUNCTION("""COMPUTED_VALUE"""),"")</f>
        <v/>
      </c>
      <c r="AE1338" s="154" t="str">
        <v/>
      </c>
      <c r="AF1338" s="154" t="str">
        <v/>
      </c>
    </row>
    <row r="1339" spans="1:32" ht="15">
      <c r="A1339" s="176"/>
      <c r="B1339" s="145"/>
      <c r="C1339" s="169"/>
      <c r="D1339" s="145"/>
      <c r="E1339" s="145"/>
      <c r="F1339" s="169" t="e">
        <v>#VALUE!</v>
      </c>
      <c r="G1339" s="145"/>
      <c r="H1339" s="145"/>
      <c r="I1339" s="145"/>
      <c r="J1339" s="145"/>
      <c r="K1339" s="145"/>
      <c r="L1339" s="145"/>
      <c r="M1339" s="145"/>
      <c r="N1339" s="145"/>
      <c r="O1339" s="174"/>
      <c r="P1339" s="174"/>
      <c r="Q1339" s="158" t="str">
        <v/>
      </c>
      <c r="R1339" s="158" t="str">
        <v/>
      </c>
      <c r="S1339" s="158" t="str">
        <v/>
      </c>
      <c r="T1339" s="158" t="str">
        <v/>
      </c>
      <c r="U1339" s="158" t="str">
        <v/>
      </c>
      <c r="V1339" s="158" t="str">
        <v/>
      </c>
      <c r="W1339" s="158" t="str">
        <v/>
      </c>
      <c r="X1339" s="158" t="str">
        <v/>
      </c>
      <c r="Y1339" s="158" t="str">
        <v/>
      </c>
      <c r="Z1339" s="158" t="str">
        <v/>
      </c>
      <c r="AA1339" s="158" t="e">
        <v>#VALUE!</v>
      </c>
      <c r="AB1339" s="171" t="str">
        <v/>
      </c>
      <c r="AC1339" s="158">
        <v>0</v>
      </c>
      <c r="AD1339" s="173" t="str">
        <f ca="1">IFERROR(__xludf.DUMMYFUNCTION("""COMPUTED_VALUE"""),"")</f>
        <v/>
      </c>
      <c r="AE1339" s="154" t="str">
        <v/>
      </c>
      <c r="AF1339" s="154" t="str">
        <v/>
      </c>
    </row>
    <row r="1340" spans="1:32" ht="15">
      <c r="A1340" s="176"/>
      <c r="B1340" s="145"/>
      <c r="C1340" s="169"/>
      <c r="D1340" s="145"/>
      <c r="E1340" s="145"/>
      <c r="F1340" s="169" t="e">
        <v>#VALUE!</v>
      </c>
      <c r="G1340" s="145"/>
      <c r="H1340" s="145"/>
      <c r="I1340" s="145"/>
      <c r="J1340" s="145"/>
      <c r="K1340" s="145"/>
      <c r="L1340" s="145"/>
      <c r="M1340" s="145"/>
      <c r="N1340" s="145"/>
      <c r="O1340" s="174"/>
      <c r="P1340" s="174"/>
      <c r="Q1340" s="158" t="str">
        <v/>
      </c>
      <c r="R1340" s="158" t="str">
        <v/>
      </c>
      <c r="S1340" s="158" t="str">
        <v/>
      </c>
      <c r="T1340" s="158" t="str">
        <v/>
      </c>
      <c r="U1340" s="158" t="str">
        <v/>
      </c>
      <c r="V1340" s="158" t="str">
        <v/>
      </c>
      <c r="W1340" s="158" t="str">
        <v/>
      </c>
      <c r="X1340" s="158" t="str">
        <v/>
      </c>
      <c r="Y1340" s="158" t="str">
        <v/>
      </c>
      <c r="Z1340" s="158" t="str">
        <v/>
      </c>
      <c r="AA1340" s="158" t="e">
        <v>#VALUE!</v>
      </c>
      <c r="AB1340" s="171" t="str">
        <v/>
      </c>
      <c r="AC1340" s="158">
        <v>0</v>
      </c>
      <c r="AD1340" s="173" t="str">
        <f ca="1">IFERROR(__xludf.DUMMYFUNCTION("""COMPUTED_VALUE"""),"")</f>
        <v/>
      </c>
      <c r="AE1340" s="154" t="str">
        <v/>
      </c>
      <c r="AF1340" s="154" t="str">
        <v/>
      </c>
    </row>
    <row r="1341" spans="1:32" ht="15">
      <c r="A1341" s="176"/>
      <c r="B1341" s="145"/>
      <c r="C1341" s="169"/>
      <c r="D1341" s="145"/>
      <c r="E1341" s="145"/>
      <c r="F1341" s="169" t="e">
        <v>#VALUE!</v>
      </c>
      <c r="G1341" s="145"/>
      <c r="H1341" s="145"/>
      <c r="I1341" s="145"/>
      <c r="J1341" s="145"/>
      <c r="K1341" s="145"/>
      <c r="L1341" s="145"/>
      <c r="M1341" s="145"/>
      <c r="N1341" s="145"/>
      <c r="O1341" s="174"/>
      <c r="P1341" s="174"/>
      <c r="Q1341" s="158" t="str">
        <v/>
      </c>
      <c r="R1341" s="158" t="str">
        <v/>
      </c>
      <c r="S1341" s="158" t="str">
        <v/>
      </c>
      <c r="T1341" s="158" t="str">
        <v/>
      </c>
      <c r="U1341" s="158" t="str">
        <v/>
      </c>
      <c r="V1341" s="158" t="str">
        <v/>
      </c>
      <c r="W1341" s="158" t="str">
        <v/>
      </c>
      <c r="X1341" s="158" t="str">
        <v/>
      </c>
      <c r="Y1341" s="158" t="str">
        <v/>
      </c>
      <c r="Z1341" s="158" t="str">
        <v/>
      </c>
      <c r="AA1341" s="158" t="e">
        <v>#VALUE!</v>
      </c>
      <c r="AB1341" s="171" t="str">
        <v/>
      </c>
      <c r="AC1341" s="158">
        <v>0</v>
      </c>
      <c r="AD1341" s="173" t="str">
        <f ca="1">IFERROR(__xludf.DUMMYFUNCTION("""COMPUTED_VALUE"""),"")</f>
        <v/>
      </c>
      <c r="AE1341" s="154" t="str">
        <v/>
      </c>
      <c r="AF1341" s="154" t="str">
        <v/>
      </c>
    </row>
    <row r="1342" spans="1:32" ht="15">
      <c r="A1342" s="176"/>
      <c r="B1342" s="145"/>
      <c r="C1342" s="169"/>
      <c r="D1342" s="145"/>
      <c r="E1342" s="145"/>
      <c r="F1342" s="169" t="e">
        <v>#VALUE!</v>
      </c>
      <c r="G1342" s="145"/>
      <c r="H1342" s="145"/>
      <c r="I1342" s="145"/>
      <c r="J1342" s="145"/>
      <c r="K1342" s="145"/>
      <c r="L1342" s="145"/>
      <c r="M1342" s="145"/>
      <c r="N1342" s="145"/>
      <c r="O1342" s="174"/>
      <c r="P1342" s="174"/>
      <c r="Q1342" s="158" t="str">
        <v/>
      </c>
      <c r="R1342" s="158" t="str">
        <v/>
      </c>
      <c r="S1342" s="158" t="str">
        <v/>
      </c>
      <c r="T1342" s="158" t="str">
        <v/>
      </c>
      <c r="U1342" s="158" t="str">
        <v/>
      </c>
      <c r="V1342" s="158" t="str">
        <v/>
      </c>
      <c r="W1342" s="158" t="str">
        <v/>
      </c>
      <c r="X1342" s="158" t="str">
        <v/>
      </c>
      <c r="Y1342" s="158" t="str">
        <v/>
      </c>
      <c r="Z1342" s="158" t="str">
        <v/>
      </c>
      <c r="AA1342" s="158" t="e">
        <v>#VALUE!</v>
      </c>
      <c r="AB1342" s="171" t="str">
        <v/>
      </c>
      <c r="AC1342" s="158">
        <v>0</v>
      </c>
      <c r="AD1342" s="173" t="str">
        <f ca="1">IFERROR(__xludf.DUMMYFUNCTION("""COMPUTED_VALUE"""),"")</f>
        <v/>
      </c>
      <c r="AE1342" s="154" t="str">
        <v/>
      </c>
      <c r="AF1342" s="154" t="str">
        <v/>
      </c>
    </row>
    <row r="1343" spans="1:32" ht="15">
      <c r="A1343" s="176"/>
      <c r="B1343" s="145"/>
      <c r="C1343" s="169"/>
      <c r="D1343" s="145"/>
      <c r="E1343" s="145"/>
      <c r="F1343" s="169" t="e">
        <v>#VALUE!</v>
      </c>
      <c r="G1343" s="145"/>
      <c r="H1343" s="145"/>
      <c r="I1343" s="145"/>
      <c r="J1343" s="145"/>
      <c r="K1343" s="145"/>
      <c r="L1343" s="145"/>
      <c r="M1343" s="145"/>
      <c r="N1343" s="145"/>
      <c r="O1343" s="174"/>
      <c r="P1343" s="174"/>
      <c r="Q1343" s="158" t="str">
        <v/>
      </c>
      <c r="R1343" s="158" t="str">
        <v/>
      </c>
      <c r="S1343" s="158" t="str">
        <v/>
      </c>
      <c r="T1343" s="158" t="str">
        <v/>
      </c>
      <c r="U1343" s="158" t="str">
        <v/>
      </c>
      <c r="V1343" s="158" t="str">
        <v/>
      </c>
      <c r="W1343" s="158" t="str">
        <v/>
      </c>
      <c r="X1343" s="158" t="str">
        <v/>
      </c>
      <c r="Y1343" s="158" t="str">
        <v/>
      </c>
      <c r="Z1343" s="158" t="str">
        <v/>
      </c>
      <c r="AA1343" s="158" t="e">
        <v>#VALUE!</v>
      </c>
      <c r="AB1343" s="171" t="str">
        <v/>
      </c>
      <c r="AC1343" s="158">
        <v>0</v>
      </c>
      <c r="AD1343" s="173" t="str">
        <f ca="1">IFERROR(__xludf.DUMMYFUNCTION("""COMPUTED_VALUE"""),"")</f>
        <v/>
      </c>
      <c r="AE1343" s="154" t="str">
        <v/>
      </c>
      <c r="AF1343" s="154" t="str">
        <v/>
      </c>
    </row>
    <row r="1344" spans="1:32" ht="15">
      <c r="A1344" s="176"/>
      <c r="B1344" s="145"/>
      <c r="C1344" s="169"/>
      <c r="D1344" s="145"/>
      <c r="E1344" s="145"/>
      <c r="F1344" s="169" t="e">
        <v>#VALUE!</v>
      </c>
      <c r="G1344" s="145"/>
      <c r="H1344" s="145"/>
      <c r="I1344" s="145"/>
      <c r="J1344" s="145"/>
      <c r="K1344" s="145"/>
      <c r="L1344" s="145"/>
      <c r="M1344" s="145"/>
      <c r="N1344" s="145"/>
      <c r="O1344" s="174"/>
      <c r="P1344" s="174"/>
      <c r="Q1344" s="158" t="str">
        <v/>
      </c>
      <c r="R1344" s="158" t="str">
        <v/>
      </c>
      <c r="S1344" s="158" t="str">
        <v/>
      </c>
      <c r="T1344" s="158" t="str">
        <v/>
      </c>
      <c r="U1344" s="158" t="str">
        <v/>
      </c>
      <c r="V1344" s="158" t="str">
        <v/>
      </c>
      <c r="W1344" s="158" t="str">
        <v/>
      </c>
      <c r="X1344" s="158" t="str">
        <v/>
      </c>
      <c r="Y1344" s="158" t="str">
        <v/>
      </c>
      <c r="Z1344" s="158" t="str">
        <v/>
      </c>
      <c r="AA1344" s="158" t="e">
        <v>#VALUE!</v>
      </c>
      <c r="AB1344" s="171" t="str">
        <v/>
      </c>
      <c r="AC1344" s="158">
        <v>0</v>
      </c>
      <c r="AD1344" s="173" t="str">
        <f ca="1">IFERROR(__xludf.DUMMYFUNCTION("""COMPUTED_VALUE"""),"")</f>
        <v/>
      </c>
      <c r="AE1344" s="154" t="str">
        <v/>
      </c>
      <c r="AF1344" s="154" t="str">
        <v/>
      </c>
    </row>
    <row r="1345" spans="1:32" ht="15">
      <c r="A1345" s="176"/>
      <c r="B1345" s="145"/>
      <c r="C1345" s="169"/>
      <c r="D1345" s="145"/>
      <c r="E1345" s="145"/>
      <c r="F1345" s="169" t="e">
        <v>#VALUE!</v>
      </c>
      <c r="G1345" s="145"/>
      <c r="H1345" s="145"/>
      <c r="I1345" s="145"/>
      <c r="J1345" s="145"/>
      <c r="K1345" s="145"/>
      <c r="L1345" s="145"/>
      <c r="M1345" s="145"/>
      <c r="N1345" s="145"/>
      <c r="O1345" s="174"/>
      <c r="P1345" s="174"/>
      <c r="Q1345" s="158" t="str">
        <v/>
      </c>
      <c r="R1345" s="158" t="str">
        <v/>
      </c>
      <c r="S1345" s="158" t="str">
        <v/>
      </c>
      <c r="T1345" s="158" t="str">
        <v/>
      </c>
      <c r="U1345" s="158" t="str">
        <v/>
      </c>
      <c r="V1345" s="158" t="str">
        <v/>
      </c>
      <c r="W1345" s="158" t="str">
        <v/>
      </c>
      <c r="X1345" s="158" t="str">
        <v/>
      </c>
      <c r="Y1345" s="158" t="str">
        <v/>
      </c>
      <c r="Z1345" s="158" t="str">
        <v/>
      </c>
      <c r="AA1345" s="158" t="e">
        <v>#VALUE!</v>
      </c>
      <c r="AB1345" s="171" t="str">
        <v/>
      </c>
      <c r="AC1345" s="158">
        <v>0</v>
      </c>
      <c r="AD1345" s="173" t="str">
        <f ca="1">IFERROR(__xludf.DUMMYFUNCTION("""COMPUTED_VALUE"""),"")</f>
        <v/>
      </c>
      <c r="AE1345" s="154" t="str">
        <v/>
      </c>
      <c r="AF1345" s="154" t="str">
        <v/>
      </c>
    </row>
    <row r="1346" spans="1:32" ht="15">
      <c r="A1346" s="176"/>
      <c r="B1346" s="145"/>
      <c r="C1346" s="169"/>
      <c r="D1346" s="145"/>
      <c r="E1346" s="145"/>
      <c r="F1346" s="169" t="e">
        <v>#VALUE!</v>
      </c>
      <c r="G1346" s="145"/>
      <c r="H1346" s="145"/>
      <c r="I1346" s="145"/>
      <c r="J1346" s="145"/>
      <c r="K1346" s="145"/>
      <c r="L1346" s="145"/>
      <c r="M1346" s="145"/>
      <c r="N1346" s="145"/>
      <c r="O1346" s="174"/>
      <c r="P1346" s="174"/>
      <c r="Q1346" s="158" t="str">
        <v/>
      </c>
      <c r="R1346" s="158" t="str">
        <v/>
      </c>
      <c r="S1346" s="158" t="str">
        <v/>
      </c>
      <c r="T1346" s="158" t="str">
        <v/>
      </c>
      <c r="U1346" s="158" t="str">
        <v/>
      </c>
      <c r="V1346" s="158" t="str">
        <v/>
      </c>
      <c r="W1346" s="158" t="str">
        <v/>
      </c>
      <c r="X1346" s="158" t="str">
        <v/>
      </c>
      <c r="Y1346" s="158" t="str">
        <v/>
      </c>
      <c r="Z1346" s="158" t="str">
        <v/>
      </c>
      <c r="AA1346" s="158" t="e">
        <v>#VALUE!</v>
      </c>
      <c r="AB1346" s="171" t="str">
        <v/>
      </c>
      <c r="AC1346" s="158">
        <v>0</v>
      </c>
      <c r="AD1346" s="173" t="str">
        <f ca="1">IFERROR(__xludf.DUMMYFUNCTION("""COMPUTED_VALUE"""),"")</f>
        <v/>
      </c>
      <c r="AE1346" s="154" t="str">
        <v/>
      </c>
      <c r="AF1346" s="154" t="str">
        <v/>
      </c>
    </row>
    <row r="1347" spans="1:32" ht="15">
      <c r="A1347" s="176"/>
      <c r="B1347" s="145"/>
      <c r="C1347" s="169"/>
      <c r="D1347" s="145"/>
      <c r="E1347" s="145"/>
      <c r="F1347" s="169" t="e">
        <v>#VALUE!</v>
      </c>
      <c r="G1347" s="145"/>
      <c r="H1347" s="145"/>
      <c r="I1347" s="145"/>
      <c r="J1347" s="145"/>
      <c r="K1347" s="145"/>
      <c r="L1347" s="145"/>
      <c r="M1347" s="145"/>
      <c r="N1347" s="145"/>
      <c r="O1347" s="174"/>
      <c r="P1347" s="174"/>
      <c r="Q1347" s="158" t="str">
        <v/>
      </c>
      <c r="R1347" s="158" t="str">
        <v/>
      </c>
      <c r="S1347" s="158" t="str">
        <v/>
      </c>
      <c r="T1347" s="158" t="str">
        <v/>
      </c>
      <c r="U1347" s="158" t="str">
        <v/>
      </c>
      <c r="V1347" s="158" t="str">
        <v/>
      </c>
      <c r="W1347" s="158" t="str">
        <v/>
      </c>
      <c r="X1347" s="158" t="str">
        <v/>
      </c>
      <c r="Y1347" s="158" t="str">
        <v/>
      </c>
      <c r="Z1347" s="158" t="str">
        <v/>
      </c>
      <c r="AA1347" s="158" t="e">
        <v>#VALUE!</v>
      </c>
      <c r="AB1347" s="171" t="str">
        <v/>
      </c>
      <c r="AC1347" s="158">
        <v>0</v>
      </c>
      <c r="AD1347" s="173" t="str">
        <f ca="1">IFERROR(__xludf.DUMMYFUNCTION("""COMPUTED_VALUE"""),"")</f>
        <v/>
      </c>
      <c r="AE1347" s="154" t="str">
        <v/>
      </c>
      <c r="AF1347" s="154" t="str">
        <v/>
      </c>
    </row>
    <row r="1348" spans="1:32" ht="15">
      <c r="A1348" s="176"/>
      <c r="B1348" s="145"/>
      <c r="C1348" s="169"/>
      <c r="D1348" s="145"/>
      <c r="E1348" s="145"/>
      <c r="F1348" s="169" t="e">
        <v>#VALUE!</v>
      </c>
      <c r="G1348" s="145"/>
      <c r="H1348" s="145"/>
      <c r="I1348" s="145"/>
      <c r="J1348" s="145"/>
      <c r="K1348" s="145"/>
      <c r="L1348" s="145"/>
      <c r="M1348" s="145"/>
      <c r="N1348" s="145"/>
      <c r="O1348" s="174"/>
      <c r="P1348" s="174"/>
      <c r="Q1348" s="158" t="str">
        <v/>
      </c>
      <c r="R1348" s="158" t="str">
        <v/>
      </c>
      <c r="S1348" s="158" t="str">
        <v/>
      </c>
      <c r="T1348" s="158" t="str">
        <v/>
      </c>
      <c r="U1348" s="158" t="str">
        <v/>
      </c>
      <c r="V1348" s="158" t="str">
        <v/>
      </c>
      <c r="W1348" s="158" t="str">
        <v/>
      </c>
      <c r="X1348" s="158" t="str">
        <v/>
      </c>
      <c r="Y1348" s="158" t="str">
        <v/>
      </c>
      <c r="Z1348" s="158" t="str">
        <v/>
      </c>
      <c r="AA1348" s="158" t="e">
        <v>#VALUE!</v>
      </c>
      <c r="AB1348" s="171" t="str">
        <v/>
      </c>
      <c r="AC1348" s="158">
        <v>0</v>
      </c>
      <c r="AD1348" s="173" t="str">
        <f ca="1">IFERROR(__xludf.DUMMYFUNCTION("""COMPUTED_VALUE"""),"")</f>
        <v/>
      </c>
      <c r="AE1348" s="154" t="str">
        <v/>
      </c>
      <c r="AF1348" s="154" t="str">
        <v/>
      </c>
    </row>
    <row r="1349" spans="1:32" ht="15">
      <c r="A1349" s="176"/>
      <c r="B1349" s="145"/>
      <c r="C1349" s="169"/>
      <c r="D1349" s="145"/>
      <c r="E1349" s="145"/>
      <c r="F1349" s="169" t="e">
        <v>#VALUE!</v>
      </c>
      <c r="G1349" s="145"/>
      <c r="H1349" s="145"/>
      <c r="I1349" s="145"/>
      <c r="J1349" s="145"/>
      <c r="K1349" s="145"/>
      <c r="L1349" s="145"/>
      <c r="M1349" s="145"/>
      <c r="N1349" s="145"/>
      <c r="O1349" s="174"/>
      <c r="P1349" s="174"/>
      <c r="Q1349" s="158" t="str">
        <v/>
      </c>
      <c r="R1349" s="158" t="str">
        <v/>
      </c>
      <c r="S1349" s="158" t="str">
        <v/>
      </c>
      <c r="T1349" s="158" t="str">
        <v/>
      </c>
      <c r="U1349" s="158" t="str">
        <v/>
      </c>
      <c r="V1349" s="158" t="str">
        <v/>
      </c>
      <c r="W1349" s="158" t="str">
        <v/>
      </c>
      <c r="X1349" s="158" t="str">
        <v/>
      </c>
      <c r="Y1349" s="158" t="str">
        <v/>
      </c>
      <c r="Z1349" s="158" t="str">
        <v/>
      </c>
      <c r="AA1349" s="158" t="e">
        <v>#VALUE!</v>
      </c>
      <c r="AB1349" s="171" t="str">
        <v/>
      </c>
      <c r="AC1349" s="158">
        <v>0</v>
      </c>
      <c r="AD1349" s="173" t="str">
        <f ca="1">IFERROR(__xludf.DUMMYFUNCTION("""COMPUTED_VALUE"""),"")</f>
        <v/>
      </c>
      <c r="AE1349" s="154" t="str">
        <v/>
      </c>
      <c r="AF1349" s="154" t="str">
        <v/>
      </c>
    </row>
    <row r="1350" spans="1:32" ht="15">
      <c r="A1350" s="176"/>
      <c r="B1350" s="145"/>
      <c r="C1350" s="169"/>
      <c r="D1350" s="145"/>
      <c r="E1350" s="145"/>
      <c r="F1350" s="169" t="e">
        <v>#VALUE!</v>
      </c>
      <c r="G1350" s="145"/>
      <c r="H1350" s="145"/>
      <c r="I1350" s="145"/>
      <c r="J1350" s="145"/>
      <c r="K1350" s="145"/>
      <c r="L1350" s="145"/>
      <c r="M1350" s="145"/>
      <c r="N1350" s="145"/>
      <c r="O1350" s="174"/>
      <c r="P1350" s="174"/>
      <c r="Q1350" s="158" t="str">
        <v/>
      </c>
      <c r="R1350" s="158" t="str">
        <v/>
      </c>
      <c r="S1350" s="158" t="str">
        <v/>
      </c>
      <c r="T1350" s="158" t="str">
        <v/>
      </c>
      <c r="U1350" s="158" t="str">
        <v/>
      </c>
      <c r="V1350" s="158" t="str">
        <v/>
      </c>
      <c r="W1350" s="158" t="str">
        <v/>
      </c>
      <c r="X1350" s="158" t="str">
        <v/>
      </c>
      <c r="Y1350" s="158" t="str">
        <v/>
      </c>
      <c r="Z1350" s="158" t="str">
        <v/>
      </c>
      <c r="AA1350" s="158" t="e">
        <v>#VALUE!</v>
      </c>
      <c r="AB1350" s="171" t="str">
        <v/>
      </c>
      <c r="AC1350" s="158">
        <v>0</v>
      </c>
      <c r="AD1350" s="173" t="str">
        <f ca="1">IFERROR(__xludf.DUMMYFUNCTION("""COMPUTED_VALUE"""),"")</f>
        <v/>
      </c>
      <c r="AE1350" s="154" t="str">
        <v/>
      </c>
      <c r="AF1350" s="154" t="str">
        <v/>
      </c>
    </row>
    <row r="1351" spans="1:32" ht="15">
      <c r="A1351" s="176"/>
      <c r="B1351" s="145"/>
      <c r="C1351" s="169"/>
      <c r="D1351" s="145"/>
      <c r="E1351" s="145"/>
      <c r="F1351" s="169" t="e">
        <v>#VALUE!</v>
      </c>
      <c r="G1351" s="145"/>
      <c r="H1351" s="145"/>
      <c r="I1351" s="145"/>
      <c r="J1351" s="145"/>
      <c r="K1351" s="145"/>
      <c r="L1351" s="145"/>
      <c r="M1351" s="145"/>
      <c r="N1351" s="145"/>
      <c r="O1351" s="174"/>
      <c r="P1351" s="174"/>
      <c r="Q1351" s="158" t="str">
        <v/>
      </c>
      <c r="R1351" s="158" t="str">
        <v/>
      </c>
      <c r="S1351" s="158" t="str">
        <v/>
      </c>
      <c r="T1351" s="158" t="str">
        <v/>
      </c>
      <c r="U1351" s="158" t="str">
        <v/>
      </c>
      <c r="V1351" s="158" t="str">
        <v/>
      </c>
      <c r="W1351" s="158" t="str">
        <v/>
      </c>
      <c r="X1351" s="158" t="str">
        <v/>
      </c>
      <c r="Y1351" s="158" t="str">
        <v/>
      </c>
      <c r="Z1351" s="158" t="str">
        <v/>
      </c>
      <c r="AA1351" s="158" t="e">
        <v>#VALUE!</v>
      </c>
      <c r="AB1351" s="171" t="str">
        <v/>
      </c>
      <c r="AC1351" s="158">
        <v>0</v>
      </c>
      <c r="AD1351" s="173" t="str">
        <f ca="1">IFERROR(__xludf.DUMMYFUNCTION("""COMPUTED_VALUE"""),"")</f>
        <v/>
      </c>
      <c r="AE1351" s="154" t="str">
        <v/>
      </c>
      <c r="AF1351" s="154" t="str">
        <v/>
      </c>
    </row>
    <row r="1352" spans="1:32" ht="15">
      <c r="A1352" s="176"/>
      <c r="B1352" s="145"/>
      <c r="C1352" s="169"/>
      <c r="D1352" s="145"/>
      <c r="E1352" s="145"/>
      <c r="F1352" s="169" t="e">
        <v>#VALUE!</v>
      </c>
      <c r="G1352" s="145"/>
      <c r="H1352" s="145"/>
      <c r="I1352" s="145"/>
      <c r="J1352" s="145"/>
      <c r="K1352" s="145"/>
      <c r="L1352" s="145"/>
      <c r="M1352" s="145"/>
      <c r="N1352" s="145"/>
      <c r="O1352" s="174"/>
      <c r="P1352" s="174"/>
      <c r="Q1352" s="158" t="str">
        <v/>
      </c>
      <c r="R1352" s="158" t="str">
        <v/>
      </c>
      <c r="S1352" s="158" t="str">
        <v/>
      </c>
      <c r="T1352" s="158" t="str">
        <v/>
      </c>
      <c r="U1352" s="158" t="str">
        <v/>
      </c>
      <c r="V1352" s="158" t="str">
        <v/>
      </c>
      <c r="W1352" s="158" t="str">
        <v/>
      </c>
      <c r="X1352" s="158" t="str">
        <v/>
      </c>
      <c r="Y1352" s="158" t="str">
        <v/>
      </c>
      <c r="Z1352" s="158" t="str">
        <v/>
      </c>
      <c r="AA1352" s="158" t="e">
        <v>#VALUE!</v>
      </c>
      <c r="AB1352" s="171" t="str">
        <v/>
      </c>
      <c r="AC1352" s="158">
        <v>0</v>
      </c>
      <c r="AD1352" s="173" t="str">
        <f ca="1">IFERROR(__xludf.DUMMYFUNCTION("""COMPUTED_VALUE"""),"")</f>
        <v/>
      </c>
      <c r="AE1352" s="154" t="str">
        <v/>
      </c>
      <c r="AF1352" s="154" t="str">
        <v/>
      </c>
    </row>
    <row r="1353" spans="1:32" ht="15">
      <c r="A1353" s="176"/>
      <c r="B1353" s="145"/>
      <c r="C1353" s="169"/>
      <c r="D1353" s="145"/>
      <c r="E1353" s="145"/>
      <c r="F1353" s="169" t="e">
        <v>#VALUE!</v>
      </c>
      <c r="G1353" s="145"/>
      <c r="H1353" s="145"/>
      <c r="I1353" s="145"/>
      <c r="J1353" s="145"/>
      <c r="K1353" s="145"/>
      <c r="L1353" s="145"/>
      <c r="M1353" s="145"/>
      <c r="N1353" s="145"/>
      <c r="O1353" s="174"/>
      <c r="P1353" s="174"/>
      <c r="Q1353" s="158" t="str">
        <v/>
      </c>
      <c r="R1353" s="158" t="str">
        <v/>
      </c>
      <c r="S1353" s="158" t="str">
        <v/>
      </c>
      <c r="T1353" s="158" t="str">
        <v/>
      </c>
      <c r="U1353" s="158" t="str">
        <v/>
      </c>
      <c r="V1353" s="158" t="str">
        <v/>
      </c>
      <c r="W1353" s="158" t="str">
        <v/>
      </c>
      <c r="X1353" s="158" t="str">
        <v/>
      </c>
      <c r="Y1353" s="158" t="str">
        <v/>
      </c>
      <c r="Z1353" s="158" t="str">
        <v/>
      </c>
      <c r="AA1353" s="158" t="e">
        <v>#VALUE!</v>
      </c>
      <c r="AB1353" s="171" t="str">
        <v/>
      </c>
      <c r="AC1353" s="158">
        <v>0</v>
      </c>
      <c r="AD1353" s="173" t="str">
        <f ca="1">IFERROR(__xludf.DUMMYFUNCTION("""COMPUTED_VALUE"""),"")</f>
        <v/>
      </c>
      <c r="AE1353" s="154" t="str">
        <v/>
      </c>
      <c r="AF1353" s="154" t="str">
        <v/>
      </c>
    </row>
    <row r="1354" spans="1:32" ht="15">
      <c r="A1354" s="176"/>
      <c r="B1354" s="145"/>
      <c r="C1354" s="169"/>
      <c r="D1354" s="145"/>
      <c r="E1354" s="145"/>
      <c r="F1354" s="169" t="e">
        <v>#VALUE!</v>
      </c>
      <c r="G1354" s="145"/>
      <c r="H1354" s="145"/>
      <c r="I1354" s="145"/>
      <c r="J1354" s="145"/>
      <c r="K1354" s="145"/>
      <c r="L1354" s="145"/>
      <c r="M1354" s="145"/>
      <c r="N1354" s="145"/>
      <c r="O1354" s="174"/>
      <c r="P1354" s="174"/>
      <c r="Q1354" s="158" t="str">
        <v/>
      </c>
      <c r="R1354" s="158" t="str">
        <v/>
      </c>
      <c r="S1354" s="158" t="str">
        <v/>
      </c>
      <c r="T1354" s="158" t="str">
        <v/>
      </c>
      <c r="U1354" s="158" t="str">
        <v/>
      </c>
      <c r="V1354" s="158" t="str">
        <v/>
      </c>
      <c r="W1354" s="158" t="str">
        <v/>
      </c>
      <c r="X1354" s="158" t="str">
        <v/>
      </c>
      <c r="Y1354" s="158" t="str">
        <v/>
      </c>
      <c r="Z1354" s="158" t="str">
        <v/>
      </c>
      <c r="AA1354" s="158" t="e">
        <v>#VALUE!</v>
      </c>
      <c r="AB1354" s="171" t="str">
        <v/>
      </c>
      <c r="AC1354" s="158">
        <v>0</v>
      </c>
      <c r="AD1354" s="173" t="str">
        <f ca="1">IFERROR(__xludf.DUMMYFUNCTION("""COMPUTED_VALUE"""),"")</f>
        <v/>
      </c>
      <c r="AE1354" s="154" t="str">
        <v/>
      </c>
      <c r="AF1354" s="154" t="str">
        <v/>
      </c>
    </row>
    <row r="1355" spans="1:32" ht="15">
      <c r="A1355" s="176"/>
      <c r="B1355" s="145"/>
      <c r="C1355" s="169"/>
      <c r="D1355" s="145"/>
      <c r="E1355" s="145"/>
      <c r="F1355" s="169" t="e">
        <v>#VALUE!</v>
      </c>
      <c r="G1355" s="145"/>
      <c r="H1355" s="145"/>
      <c r="I1355" s="145"/>
      <c r="J1355" s="145"/>
      <c r="K1355" s="145"/>
      <c r="L1355" s="145"/>
      <c r="M1355" s="145"/>
      <c r="N1355" s="145"/>
      <c r="O1355" s="174"/>
      <c r="P1355" s="174"/>
      <c r="Q1355" s="158" t="str">
        <v/>
      </c>
      <c r="R1355" s="158" t="str">
        <v/>
      </c>
      <c r="S1355" s="158" t="str">
        <v/>
      </c>
      <c r="T1355" s="158" t="str">
        <v/>
      </c>
      <c r="U1355" s="158" t="str">
        <v/>
      </c>
      <c r="V1355" s="158" t="str">
        <v/>
      </c>
      <c r="W1355" s="158" t="str">
        <v/>
      </c>
      <c r="X1355" s="158" t="str">
        <v/>
      </c>
      <c r="Y1355" s="158" t="str">
        <v/>
      </c>
      <c r="Z1355" s="158" t="str">
        <v/>
      </c>
      <c r="AA1355" s="158" t="e">
        <v>#VALUE!</v>
      </c>
      <c r="AB1355" s="171" t="str">
        <v/>
      </c>
      <c r="AC1355" s="158">
        <v>0</v>
      </c>
      <c r="AD1355" s="173" t="str">
        <f ca="1">IFERROR(__xludf.DUMMYFUNCTION("""COMPUTED_VALUE"""),"")</f>
        <v/>
      </c>
      <c r="AE1355" s="154" t="str">
        <v/>
      </c>
      <c r="AF1355" s="154" t="str">
        <v/>
      </c>
    </row>
    <row r="1356" spans="1:32" ht="15">
      <c r="A1356" s="176"/>
      <c r="B1356" s="145"/>
      <c r="C1356" s="169"/>
      <c r="D1356" s="145"/>
      <c r="E1356" s="145"/>
      <c r="F1356" s="169" t="e">
        <v>#VALUE!</v>
      </c>
      <c r="G1356" s="145"/>
      <c r="H1356" s="145"/>
      <c r="I1356" s="145"/>
      <c r="J1356" s="145"/>
      <c r="K1356" s="145"/>
      <c r="L1356" s="145"/>
      <c r="M1356" s="145"/>
      <c r="N1356" s="145"/>
      <c r="O1356" s="174"/>
      <c r="P1356" s="174"/>
      <c r="Q1356" s="158" t="str">
        <v/>
      </c>
      <c r="R1356" s="158" t="str">
        <v/>
      </c>
      <c r="S1356" s="158" t="str">
        <v/>
      </c>
      <c r="T1356" s="158" t="str">
        <v/>
      </c>
      <c r="U1356" s="158" t="str">
        <v/>
      </c>
      <c r="V1356" s="158" t="str">
        <v/>
      </c>
      <c r="W1356" s="158" t="str">
        <v/>
      </c>
      <c r="X1356" s="158" t="str">
        <v/>
      </c>
      <c r="Y1356" s="158" t="str">
        <v/>
      </c>
      <c r="Z1356" s="158" t="str">
        <v/>
      </c>
      <c r="AA1356" s="158" t="e">
        <v>#VALUE!</v>
      </c>
      <c r="AB1356" s="171" t="str">
        <v/>
      </c>
      <c r="AC1356" s="158">
        <v>0</v>
      </c>
      <c r="AD1356" s="173" t="str">
        <f ca="1">IFERROR(__xludf.DUMMYFUNCTION("""COMPUTED_VALUE"""),"")</f>
        <v/>
      </c>
      <c r="AE1356" s="154" t="str">
        <v/>
      </c>
      <c r="AF1356" s="154" t="str">
        <v/>
      </c>
    </row>
    <row r="1357" spans="1:32" ht="15">
      <c r="A1357" s="176"/>
      <c r="B1357" s="145"/>
      <c r="C1357" s="169"/>
      <c r="D1357" s="145"/>
      <c r="E1357" s="145"/>
      <c r="F1357" s="169" t="e">
        <v>#VALUE!</v>
      </c>
      <c r="G1357" s="145"/>
      <c r="H1357" s="145"/>
      <c r="I1357" s="145"/>
      <c r="J1357" s="145"/>
      <c r="K1357" s="145"/>
      <c r="L1357" s="145"/>
      <c r="M1357" s="145"/>
      <c r="N1357" s="145"/>
      <c r="O1357" s="174"/>
      <c r="P1357" s="174"/>
      <c r="Q1357" s="158" t="str">
        <v/>
      </c>
      <c r="R1357" s="158" t="str">
        <v/>
      </c>
      <c r="S1357" s="158" t="str">
        <v/>
      </c>
      <c r="T1357" s="158" t="str">
        <v/>
      </c>
      <c r="U1357" s="158" t="str">
        <v/>
      </c>
      <c r="V1357" s="158" t="str">
        <v/>
      </c>
      <c r="W1357" s="158" t="str">
        <v/>
      </c>
      <c r="X1357" s="158" t="str">
        <v/>
      </c>
      <c r="Y1357" s="158" t="str">
        <v/>
      </c>
      <c r="Z1357" s="158" t="str">
        <v/>
      </c>
      <c r="AA1357" s="158" t="e">
        <v>#VALUE!</v>
      </c>
      <c r="AB1357" s="171" t="str">
        <v/>
      </c>
      <c r="AC1357" s="158">
        <v>0</v>
      </c>
      <c r="AD1357" s="173" t="str">
        <f ca="1">IFERROR(__xludf.DUMMYFUNCTION("""COMPUTED_VALUE"""),"")</f>
        <v/>
      </c>
      <c r="AE1357" s="154" t="str">
        <v/>
      </c>
      <c r="AF1357" s="154" t="str">
        <v/>
      </c>
    </row>
    <row r="1358" spans="1:32" ht="15">
      <c r="A1358" s="176"/>
      <c r="B1358" s="145"/>
      <c r="C1358" s="169"/>
      <c r="D1358" s="145"/>
      <c r="E1358" s="145"/>
      <c r="F1358" s="169" t="e">
        <v>#VALUE!</v>
      </c>
      <c r="G1358" s="145"/>
      <c r="H1358" s="145"/>
      <c r="I1358" s="145"/>
      <c r="J1358" s="145"/>
      <c r="K1358" s="145"/>
      <c r="L1358" s="145"/>
      <c r="M1358" s="145"/>
      <c r="N1358" s="145"/>
      <c r="O1358" s="174"/>
      <c r="P1358" s="174"/>
      <c r="Q1358" s="158" t="str">
        <v/>
      </c>
      <c r="R1358" s="158" t="str">
        <v/>
      </c>
      <c r="S1358" s="158" t="str">
        <v/>
      </c>
      <c r="T1358" s="158" t="str">
        <v/>
      </c>
      <c r="U1358" s="158" t="str">
        <v/>
      </c>
      <c r="V1358" s="158" t="str">
        <v/>
      </c>
      <c r="W1358" s="158" t="str">
        <v/>
      </c>
      <c r="X1358" s="158" t="str">
        <v/>
      </c>
      <c r="Y1358" s="158" t="str">
        <v/>
      </c>
      <c r="Z1358" s="158" t="str">
        <v/>
      </c>
      <c r="AA1358" s="158" t="e">
        <v>#VALUE!</v>
      </c>
      <c r="AB1358" s="171" t="str">
        <v/>
      </c>
      <c r="AC1358" s="158">
        <v>0</v>
      </c>
      <c r="AD1358" s="173" t="str">
        <f ca="1">IFERROR(__xludf.DUMMYFUNCTION("""COMPUTED_VALUE"""),"")</f>
        <v/>
      </c>
      <c r="AE1358" s="154" t="str">
        <v/>
      </c>
      <c r="AF1358" s="154" t="str">
        <v/>
      </c>
    </row>
    <row r="1359" spans="1:32" ht="15">
      <c r="A1359" s="176"/>
      <c r="B1359" s="145"/>
      <c r="C1359" s="169"/>
      <c r="D1359" s="145"/>
      <c r="E1359" s="145"/>
      <c r="F1359" s="169" t="e">
        <v>#VALUE!</v>
      </c>
      <c r="G1359" s="145"/>
      <c r="H1359" s="145"/>
      <c r="I1359" s="145"/>
      <c r="J1359" s="145"/>
      <c r="K1359" s="145"/>
      <c r="L1359" s="145"/>
      <c r="M1359" s="145"/>
      <c r="N1359" s="145"/>
      <c r="O1359" s="174"/>
      <c r="P1359" s="174"/>
      <c r="Q1359" s="158" t="str">
        <v/>
      </c>
      <c r="R1359" s="158" t="str">
        <v/>
      </c>
      <c r="S1359" s="158" t="str">
        <v/>
      </c>
      <c r="T1359" s="158" t="str">
        <v/>
      </c>
      <c r="U1359" s="158" t="str">
        <v/>
      </c>
      <c r="V1359" s="158" t="str">
        <v/>
      </c>
      <c r="W1359" s="158" t="str">
        <v/>
      </c>
      <c r="X1359" s="158" t="str">
        <v/>
      </c>
      <c r="Y1359" s="158" t="str">
        <v/>
      </c>
      <c r="Z1359" s="158" t="str">
        <v/>
      </c>
      <c r="AA1359" s="158" t="e">
        <v>#VALUE!</v>
      </c>
      <c r="AB1359" s="171" t="str">
        <v/>
      </c>
      <c r="AC1359" s="158">
        <v>0</v>
      </c>
      <c r="AD1359" s="173" t="str">
        <f ca="1">IFERROR(__xludf.DUMMYFUNCTION("""COMPUTED_VALUE"""),"")</f>
        <v/>
      </c>
      <c r="AE1359" s="154" t="str">
        <v/>
      </c>
      <c r="AF1359" s="154" t="str">
        <v/>
      </c>
    </row>
    <row r="1360" spans="1:32" ht="15">
      <c r="A1360" s="176"/>
      <c r="B1360" s="145"/>
      <c r="C1360" s="169"/>
      <c r="D1360" s="145"/>
      <c r="E1360" s="145"/>
      <c r="F1360" s="169" t="e">
        <v>#VALUE!</v>
      </c>
      <c r="G1360" s="145"/>
      <c r="H1360" s="145"/>
      <c r="I1360" s="145"/>
      <c r="J1360" s="145"/>
      <c r="K1360" s="145"/>
      <c r="L1360" s="145"/>
      <c r="M1360" s="145"/>
      <c r="N1360" s="145"/>
      <c r="O1360" s="174"/>
      <c r="P1360" s="174"/>
      <c r="Q1360" s="158" t="str">
        <v/>
      </c>
      <c r="R1360" s="158" t="str">
        <v/>
      </c>
      <c r="S1360" s="158" t="str">
        <v/>
      </c>
      <c r="T1360" s="158" t="str">
        <v/>
      </c>
      <c r="U1360" s="158" t="str">
        <v/>
      </c>
      <c r="V1360" s="158" t="str">
        <v/>
      </c>
      <c r="W1360" s="158" t="str">
        <v/>
      </c>
      <c r="X1360" s="158" t="str">
        <v/>
      </c>
      <c r="Y1360" s="158" t="str">
        <v/>
      </c>
      <c r="Z1360" s="158" t="str">
        <v/>
      </c>
      <c r="AA1360" s="158" t="e">
        <v>#VALUE!</v>
      </c>
      <c r="AB1360" s="171" t="str">
        <v/>
      </c>
      <c r="AC1360" s="158">
        <v>0</v>
      </c>
      <c r="AD1360" s="173" t="str">
        <f ca="1">IFERROR(__xludf.DUMMYFUNCTION("""COMPUTED_VALUE"""),"")</f>
        <v/>
      </c>
      <c r="AE1360" s="154" t="str">
        <v/>
      </c>
      <c r="AF1360" s="154" t="str">
        <v/>
      </c>
    </row>
    <row r="1361" spans="1:32" ht="15">
      <c r="A1361" s="176"/>
      <c r="B1361" s="145"/>
      <c r="C1361" s="169"/>
      <c r="D1361" s="145"/>
      <c r="E1361" s="145"/>
      <c r="F1361" s="169" t="e">
        <v>#VALUE!</v>
      </c>
      <c r="G1361" s="145"/>
      <c r="H1361" s="145"/>
      <c r="I1361" s="145"/>
      <c r="J1361" s="145"/>
      <c r="K1361" s="145"/>
      <c r="L1361" s="145"/>
      <c r="M1361" s="145"/>
      <c r="N1361" s="145"/>
      <c r="O1361" s="174"/>
      <c r="P1361" s="174"/>
      <c r="Q1361" s="158" t="str">
        <v/>
      </c>
      <c r="R1361" s="158" t="str">
        <v/>
      </c>
      <c r="S1361" s="158" t="str">
        <v/>
      </c>
      <c r="T1361" s="158" t="str">
        <v/>
      </c>
      <c r="U1361" s="158" t="str">
        <v/>
      </c>
      <c r="V1361" s="158" t="str">
        <v/>
      </c>
      <c r="W1361" s="158" t="str">
        <v/>
      </c>
      <c r="X1361" s="158" t="str">
        <v/>
      </c>
      <c r="Y1361" s="158" t="str">
        <v/>
      </c>
      <c r="Z1361" s="158" t="str">
        <v/>
      </c>
      <c r="AA1361" s="158" t="e">
        <v>#VALUE!</v>
      </c>
      <c r="AB1361" s="171" t="str">
        <v/>
      </c>
      <c r="AC1361" s="158">
        <v>0</v>
      </c>
      <c r="AD1361" s="173" t="str">
        <f ca="1">IFERROR(__xludf.DUMMYFUNCTION("""COMPUTED_VALUE"""),"")</f>
        <v/>
      </c>
      <c r="AE1361" s="154" t="str">
        <v/>
      </c>
      <c r="AF1361" s="154" t="str">
        <v/>
      </c>
    </row>
    <row r="1362" spans="1:32" ht="15">
      <c r="A1362" s="176"/>
      <c r="B1362" s="145"/>
      <c r="C1362" s="169"/>
      <c r="D1362" s="145"/>
      <c r="E1362" s="145"/>
      <c r="F1362" s="169" t="e">
        <v>#VALUE!</v>
      </c>
      <c r="G1362" s="145"/>
      <c r="H1362" s="145"/>
      <c r="I1362" s="145"/>
      <c r="J1362" s="145"/>
      <c r="K1362" s="145"/>
      <c r="L1362" s="145"/>
      <c r="M1362" s="145"/>
      <c r="N1362" s="145"/>
      <c r="O1362" s="174"/>
      <c r="P1362" s="174"/>
      <c r="Q1362" s="158" t="str">
        <v/>
      </c>
      <c r="R1362" s="158" t="str">
        <v/>
      </c>
      <c r="S1362" s="158" t="str">
        <v/>
      </c>
      <c r="T1362" s="158" t="str">
        <v/>
      </c>
      <c r="U1362" s="158" t="str">
        <v/>
      </c>
      <c r="V1362" s="158" t="str">
        <v/>
      </c>
      <c r="W1362" s="158" t="str">
        <v/>
      </c>
      <c r="X1362" s="158" t="str">
        <v/>
      </c>
      <c r="Y1362" s="158" t="str">
        <v/>
      </c>
      <c r="Z1362" s="158" t="str">
        <v/>
      </c>
      <c r="AA1362" s="158" t="e">
        <v>#VALUE!</v>
      </c>
      <c r="AB1362" s="171" t="str">
        <v/>
      </c>
      <c r="AC1362" s="158">
        <v>0</v>
      </c>
      <c r="AD1362" s="173" t="str">
        <f ca="1">IFERROR(__xludf.DUMMYFUNCTION("""COMPUTED_VALUE"""),"")</f>
        <v/>
      </c>
      <c r="AE1362" s="154" t="str">
        <v/>
      </c>
      <c r="AF1362" s="154" t="str">
        <v/>
      </c>
    </row>
    <row r="1363" spans="1:32" ht="15">
      <c r="A1363" s="176"/>
      <c r="B1363" s="145"/>
      <c r="C1363" s="169"/>
      <c r="D1363" s="145"/>
      <c r="E1363" s="145"/>
      <c r="F1363" s="169" t="e">
        <v>#VALUE!</v>
      </c>
      <c r="G1363" s="145"/>
      <c r="H1363" s="145"/>
      <c r="I1363" s="145"/>
      <c r="J1363" s="145"/>
      <c r="K1363" s="145"/>
      <c r="L1363" s="145"/>
      <c r="M1363" s="145"/>
      <c r="N1363" s="145"/>
      <c r="O1363" s="174"/>
      <c r="P1363" s="174"/>
      <c r="Q1363" s="158" t="str">
        <v/>
      </c>
      <c r="R1363" s="158" t="str">
        <v/>
      </c>
      <c r="S1363" s="158" t="str">
        <v/>
      </c>
      <c r="T1363" s="158" t="str">
        <v/>
      </c>
      <c r="U1363" s="158" t="str">
        <v/>
      </c>
      <c r="V1363" s="158" t="str">
        <v/>
      </c>
      <c r="W1363" s="158" t="str">
        <v/>
      </c>
      <c r="X1363" s="158" t="str">
        <v/>
      </c>
      <c r="Y1363" s="158" t="str">
        <v/>
      </c>
      <c r="Z1363" s="158" t="str">
        <v/>
      </c>
      <c r="AA1363" s="158" t="e">
        <v>#VALUE!</v>
      </c>
      <c r="AB1363" s="171" t="str">
        <v/>
      </c>
      <c r="AC1363" s="158">
        <v>0</v>
      </c>
      <c r="AD1363" s="173" t="str">
        <f ca="1">IFERROR(__xludf.DUMMYFUNCTION("""COMPUTED_VALUE"""),"")</f>
        <v/>
      </c>
      <c r="AE1363" s="154" t="str">
        <v/>
      </c>
      <c r="AF1363" s="154" t="str">
        <v/>
      </c>
    </row>
    <row r="1364" spans="1:32" ht="15">
      <c r="A1364" s="176"/>
      <c r="B1364" s="145"/>
      <c r="C1364" s="169"/>
      <c r="D1364" s="145"/>
      <c r="E1364" s="145"/>
      <c r="F1364" s="169" t="e">
        <v>#VALUE!</v>
      </c>
      <c r="G1364" s="145"/>
      <c r="H1364" s="145"/>
      <c r="I1364" s="145"/>
      <c r="J1364" s="145"/>
      <c r="K1364" s="145"/>
      <c r="L1364" s="145"/>
      <c r="M1364" s="145"/>
      <c r="N1364" s="145"/>
      <c r="O1364" s="174"/>
      <c r="P1364" s="174"/>
      <c r="Q1364" s="158" t="str">
        <v/>
      </c>
      <c r="R1364" s="158" t="str">
        <v/>
      </c>
      <c r="S1364" s="158" t="str">
        <v/>
      </c>
      <c r="T1364" s="158" t="str">
        <v/>
      </c>
      <c r="U1364" s="158" t="str">
        <v/>
      </c>
      <c r="V1364" s="158" t="str">
        <v/>
      </c>
      <c r="W1364" s="158" t="str">
        <v/>
      </c>
      <c r="X1364" s="158" t="str">
        <v/>
      </c>
      <c r="Y1364" s="158" t="str">
        <v/>
      </c>
      <c r="Z1364" s="158" t="str">
        <v/>
      </c>
      <c r="AA1364" s="158" t="e">
        <v>#VALUE!</v>
      </c>
      <c r="AB1364" s="171" t="str">
        <v/>
      </c>
      <c r="AC1364" s="158">
        <v>0</v>
      </c>
      <c r="AD1364" s="173" t="str">
        <f ca="1">IFERROR(__xludf.DUMMYFUNCTION("""COMPUTED_VALUE"""),"")</f>
        <v/>
      </c>
      <c r="AE1364" s="154" t="str">
        <v/>
      </c>
      <c r="AF1364" s="154" t="str">
        <v/>
      </c>
    </row>
    <row r="1365" spans="1:32" ht="15">
      <c r="A1365" s="176"/>
      <c r="B1365" s="145"/>
      <c r="C1365" s="169"/>
      <c r="D1365" s="145"/>
      <c r="E1365" s="145"/>
      <c r="F1365" s="169" t="e">
        <v>#VALUE!</v>
      </c>
      <c r="G1365" s="145"/>
      <c r="H1365" s="145"/>
      <c r="I1365" s="145"/>
      <c r="J1365" s="145"/>
      <c r="K1365" s="145"/>
      <c r="L1365" s="145"/>
      <c r="M1365" s="145"/>
      <c r="N1365" s="145"/>
      <c r="O1365" s="174"/>
      <c r="P1365" s="174"/>
      <c r="Q1365" s="158" t="str">
        <v/>
      </c>
      <c r="R1365" s="158" t="str">
        <v/>
      </c>
      <c r="S1365" s="158" t="str">
        <v/>
      </c>
      <c r="T1365" s="158" t="str">
        <v/>
      </c>
      <c r="U1365" s="158" t="str">
        <v/>
      </c>
      <c r="V1365" s="158" t="str">
        <v/>
      </c>
      <c r="W1365" s="158" t="str">
        <v/>
      </c>
      <c r="X1365" s="158" t="str">
        <v/>
      </c>
      <c r="Y1365" s="158" t="str">
        <v/>
      </c>
      <c r="Z1365" s="158" t="str">
        <v/>
      </c>
      <c r="AA1365" s="158" t="e">
        <v>#VALUE!</v>
      </c>
      <c r="AB1365" s="171" t="str">
        <v/>
      </c>
      <c r="AC1365" s="158">
        <v>0</v>
      </c>
      <c r="AD1365" s="173" t="str">
        <f ca="1">IFERROR(__xludf.DUMMYFUNCTION("""COMPUTED_VALUE"""),"")</f>
        <v/>
      </c>
      <c r="AE1365" s="154" t="str">
        <v/>
      </c>
      <c r="AF1365" s="154" t="str">
        <v/>
      </c>
    </row>
    <row r="1366" spans="1:32" ht="15">
      <c r="A1366" s="176"/>
      <c r="B1366" s="145"/>
      <c r="C1366" s="169"/>
      <c r="D1366" s="145"/>
      <c r="E1366" s="145"/>
      <c r="F1366" s="169" t="e">
        <v>#VALUE!</v>
      </c>
      <c r="G1366" s="145"/>
      <c r="H1366" s="145"/>
      <c r="I1366" s="145"/>
      <c r="J1366" s="145"/>
      <c r="K1366" s="145"/>
      <c r="L1366" s="145"/>
      <c r="M1366" s="145"/>
      <c r="N1366" s="145"/>
      <c r="O1366" s="174"/>
      <c r="P1366" s="174"/>
      <c r="Q1366" s="158" t="str">
        <v/>
      </c>
      <c r="R1366" s="158" t="str">
        <v/>
      </c>
      <c r="S1366" s="158" t="str">
        <v/>
      </c>
      <c r="T1366" s="158" t="str">
        <v/>
      </c>
      <c r="U1366" s="158" t="str">
        <v/>
      </c>
      <c r="V1366" s="158" t="str">
        <v/>
      </c>
      <c r="W1366" s="158" t="str">
        <v/>
      </c>
      <c r="X1366" s="158" t="str">
        <v/>
      </c>
      <c r="Y1366" s="158" t="str">
        <v/>
      </c>
      <c r="Z1366" s="158" t="str">
        <v/>
      </c>
      <c r="AA1366" s="158" t="e">
        <v>#VALUE!</v>
      </c>
      <c r="AB1366" s="171" t="str">
        <v/>
      </c>
      <c r="AC1366" s="158">
        <v>0</v>
      </c>
      <c r="AD1366" s="173" t="str">
        <f ca="1">IFERROR(__xludf.DUMMYFUNCTION("""COMPUTED_VALUE"""),"")</f>
        <v/>
      </c>
      <c r="AE1366" s="154" t="str">
        <v/>
      </c>
      <c r="AF1366" s="154" t="str">
        <v/>
      </c>
    </row>
    <row r="1367" spans="1:32" ht="15">
      <c r="A1367" s="176"/>
      <c r="B1367" s="145"/>
      <c r="C1367" s="169"/>
      <c r="D1367" s="145"/>
      <c r="E1367" s="145"/>
      <c r="F1367" s="169" t="e">
        <v>#VALUE!</v>
      </c>
      <c r="G1367" s="145"/>
      <c r="H1367" s="145"/>
      <c r="I1367" s="145"/>
      <c r="J1367" s="145"/>
      <c r="K1367" s="145"/>
      <c r="L1367" s="145"/>
      <c r="M1367" s="145"/>
      <c r="N1367" s="145"/>
      <c r="O1367" s="174"/>
      <c r="P1367" s="174"/>
      <c r="Q1367" s="158" t="str">
        <v/>
      </c>
      <c r="R1367" s="158" t="str">
        <v/>
      </c>
      <c r="S1367" s="158" t="str">
        <v/>
      </c>
      <c r="T1367" s="158" t="str">
        <v/>
      </c>
      <c r="U1367" s="158" t="str">
        <v/>
      </c>
      <c r="V1367" s="158" t="str">
        <v/>
      </c>
      <c r="W1367" s="158" t="str">
        <v/>
      </c>
      <c r="X1367" s="158" t="str">
        <v/>
      </c>
      <c r="Y1367" s="158" t="str">
        <v/>
      </c>
      <c r="Z1367" s="158" t="str">
        <v/>
      </c>
      <c r="AA1367" s="158" t="e">
        <v>#VALUE!</v>
      </c>
      <c r="AB1367" s="171" t="str">
        <v/>
      </c>
      <c r="AC1367" s="158">
        <v>0</v>
      </c>
      <c r="AD1367" s="173" t="str">
        <f ca="1">IFERROR(__xludf.DUMMYFUNCTION("""COMPUTED_VALUE"""),"")</f>
        <v/>
      </c>
      <c r="AE1367" s="154" t="str">
        <v/>
      </c>
      <c r="AF1367" s="154" t="str">
        <v/>
      </c>
    </row>
    <row r="1368" spans="1:32" ht="15">
      <c r="A1368" s="176"/>
      <c r="B1368" s="145"/>
      <c r="C1368" s="169"/>
      <c r="D1368" s="145"/>
      <c r="E1368" s="145"/>
      <c r="F1368" s="169" t="e">
        <v>#VALUE!</v>
      </c>
      <c r="G1368" s="145"/>
      <c r="H1368" s="145"/>
      <c r="I1368" s="145"/>
      <c r="J1368" s="145"/>
      <c r="K1368" s="145"/>
      <c r="L1368" s="145"/>
      <c r="M1368" s="145"/>
      <c r="N1368" s="145"/>
      <c r="O1368" s="174"/>
      <c r="P1368" s="174"/>
      <c r="Q1368" s="158" t="str">
        <v/>
      </c>
      <c r="R1368" s="158" t="str">
        <v/>
      </c>
      <c r="S1368" s="158" t="str">
        <v/>
      </c>
      <c r="T1368" s="158" t="str">
        <v/>
      </c>
      <c r="U1368" s="158" t="str">
        <v/>
      </c>
      <c r="V1368" s="158" t="str">
        <v/>
      </c>
      <c r="W1368" s="158" t="str">
        <v/>
      </c>
      <c r="X1368" s="158" t="str">
        <v/>
      </c>
      <c r="Y1368" s="158" t="str">
        <v/>
      </c>
      <c r="Z1368" s="158" t="str">
        <v/>
      </c>
      <c r="AA1368" s="158" t="e">
        <v>#VALUE!</v>
      </c>
      <c r="AB1368" s="171" t="str">
        <v/>
      </c>
      <c r="AC1368" s="158">
        <v>0</v>
      </c>
      <c r="AD1368" s="173" t="str">
        <f ca="1">IFERROR(__xludf.DUMMYFUNCTION("""COMPUTED_VALUE"""),"")</f>
        <v/>
      </c>
      <c r="AE1368" s="154" t="str">
        <v/>
      </c>
      <c r="AF1368" s="154" t="str">
        <v/>
      </c>
    </row>
    <row r="1369" spans="1:32" ht="15">
      <c r="A1369" s="176"/>
      <c r="B1369" s="145"/>
      <c r="C1369" s="169"/>
      <c r="D1369" s="145"/>
      <c r="E1369" s="145"/>
      <c r="F1369" s="169" t="e">
        <v>#VALUE!</v>
      </c>
      <c r="G1369" s="145"/>
      <c r="H1369" s="145"/>
      <c r="I1369" s="145"/>
      <c r="J1369" s="145"/>
      <c r="K1369" s="145"/>
      <c r="L1369" s="145"/>
      <c r="M1369" s="145"/>
      <c r="N1369" s="145"/>
      <c r="O1369" s="174"/>
      <c r="P1369" s="174"/>
      <c r="Q1369" s="158" t="str">
        <v/>
      </c>
      <c r="R1369" s="158" t="str">
        <v/>
      </c>
      <c r="S1369" s="158" t="str">
        <v/>
      </c>
      <c r="T1369" s="158" t="str">
        <v/>
      </c>
      <c r="U1369" s="158" t="str">
        <v/>
      </c>
      <c r="V1369" s="158" t="str">
        <v/>
      </c>
      <c r="W1369" s="158" t="str">
        <v/>
      </c>
      <c r="X1369" s="158" t="str">
        <v/>
      </c>
      <c r="Y1369" s="158" t="str">
        <v/>
      </c>
      <c r="Z1369" s="158" t="str">
        <v/>
      </c>
      <c r="AA1369" s="158" t="e">
        <v>#VALUE!</v>
      </c>
      <c r="AB1369" s="171" t="str">
        <v/>
      </c>
      <c r="AC1369" s="158">
        <v>0</v>
      </c>
      <c r="AD1369" s="173" t="str">
        <f ca="1">IFERROR(__xludf.DUMMYFUNCTION("""COMPUTED_VALUE"""),"")</f>
        <v/>
      </c>
      <c r="AE1369" s="154" t="str">
        <v/>
      </c>
      <c r="AF1369" s="154" t="str">
        <v/>
      </c>
    </row>
    <row r="1370" spans="1:32" ht="15">
      <c r="A1370" s="176"/>
      <c r="B1370" s="145"/>
      <c r="C1370" s="169"/>
      <c r="D1370" s="145"/>
      <c r="E1370" s="145"/>
      <c r="F1370" s="169" t="e">
        <v>#VALUE!</v>
      </c>
      <c r="G1370" s="145"/>
      <c r="H1370" s="145"/>
      <c r="I1370" s="145"/>
      <c r="J1370" s="145"/>
      <c r="K1370" s="145"/>
      <c r="L1370" s="145"/>
      <c r="M1370" s="145"/>
      <c r="N1370" s="145"/>
      <c r="O1370" s="174"/>
      <c r="P1370" s="174"/>
      <c r="Q1370" s="158" t="str">
        <v/>
      </c>
      <c r="R1370" s="158" t="str">
        <v/>
      </c>
      <c r="S1370" s="158" t="str">
        <v/>
      </c>
      <c r="T1370" s="158" t="str">
        <v/>
      </c>
      <c r="U1370" s="158" t="str">
        <v/>
      </c>
      <c r="V1370" s="158" t="str">
        <v/>
      </c>
      <c r="W1370" s="158" t="str">
        <v/>
      </c>
      <c r="X1370" s="158" t="str">
        <v/>
      </c>
      <c r="Y1370" s="158" t="str">
        <v/>
      </c>
      <c r="Z1370" s="158" t="str">
        <v/>
      </c>
      <c r="AA1370" s="158" t="e">
        <v>#VALUE!</v>
      </c>
      <c r="AB1370" s="171" t="str">
        <v/>
      </c>
      <c r="AC1370" s="158">
        <v>0</v>
      </c>
      <c r="AD1370" s="173" t="str">
        <f ca="1">IFERROR(__xludf.DUMMYFUNCTION("""COMPUTED_VALUE"""),"")</f>
        <v/>
      </c>
      <c r="AE1370" s="154" t="str">
        <v/>
      </c>
      <c r="AF1370" s="154" t="str">
        <v/>
      </c>
    </row>
    <row r="1371" spans="1:32" ht="15">
      <c r="A1371" s="176"/>
      <c r="B1371" s="145"/>
      <c r="C1371" s="169"/>
      <c r="D1371" s="145"/>
      <c r="E1371" s="145"/>
      <c r="F1371" s="169" t="e">
        <v>#VALUE!</v>
      </c>
      <c r="G1371" s="145"/>
      <c r="H1371" s="145"/>
      <c r="I1371" s="145"/>
      <c r="J1371" s="145"/>
      <c r="K1371" s="145"/>
      <c r="L1371" s="145"/>
      <c r="M1371" s="145"/>
      <c r="N1371" s="145"/>
      <c r="O1371" s="174"/>
      <c r="P1371" s="174"/>
      <c r="Q1371" s="158" t="str">
        <v/>
      </c>
      <c r="R1371" s="158" t="str">
        <v/>
      </c>
      <c r="S1371" s="158" t="str">
        <v/>
      </c>
      <c r="T1371" s="158" t="str">
        <v/>
      </c>
      <c r="U1371" s="158" t="str">
        <v/>
      </c>
      <c r="V1371" s="158" t="str">
        <v/>
      </c>
      <c r="W1371" s="158" t="str">
        <v/>
      </c>
      <c r="X1371" s="158" t="str">
        <v/>
      </c>
      <c r="Y1371" s="158" t="str">
        <v/>
      </c>
      <c r="Z1371" s="158" t="str">
        <v/>
      </c>
      <c r="AA1371" s="158" t="e">
        <v>#VALUE!</v>
      </c>
      <c r="AB1371" s="171" t="str">
        <v/>
      </c>
      <c r="AC1371" s="158">
        <v>0</v>
      </c>
      <c r="AD1371" s="173" t="str">
        <f ca="1">IFERROR(__xludf.DUMMYFUNCTION("""COMPUTED_VALUE"""),"")</f>
        <v/>
      </c>
      <c r="AE1371" s="154" t="str">
        <v/>
      </c>
      <c r="AF1371" s="154" t="str">
        <v/>
      </c>
    </row>
    <row r="1372" spans="1:32" ht="15">
      <c r="A1372" s="176"/>
      <c r="B1372" s="145"/>
      <c r="C1372" s="169"/>
      <c r="D1372" s="145"/>
      <c r="E1372" s="145"/>
      <c r="F1372" s="169" t="e">
        <v>#VALUE!</v>
      </c>
      <c r="G1372" s="145"/>
      <c r="H1372" s="145"/>
      <c r="I1372" s="145"/>
      <c r="J1372" s="145"/>
      <c r="K1372" s="145"/>
      <c r="L1372" s="145"/>
      <c r="M1372" s="145"/>
      <c r="N1372" s="145"/>
      <c r="O1372" s="174"/>
      <c r="P1372" s="174"/>
      <c r="Q1372" s="158" t="str">
        <v/>
      </c>
      <c r="R1372" s="158" t="str">
        <v/>
      </c>
      <c r="S1372" s="158" t="str">
        <v/>
      </c>
      <c r="T1372" s="158" t="str">
        <v/>
      </c>
      <c r="U1372" s="158" t="str">
        <v/>
      </c>
      <c r="V1372" s="158" t="str">
        <v/>
      </c>
      <c r="W1372" s="158" t="str">
        <v/>
      </c>
      <c r="X1372" s="158" t="str">
        <v/>
      </c>
      <c r="Y1372" s="158" t="str">
        <v/>
      </c>
      <c r="Z1372" s="158" t="str">
        <v/>
      </c>
      <c r="AA1372" s="158" t="e">
        <v>#VALUE!</v>
      </c>
      <c r="AB1372" s="171" t="str">
        <v/>
      </c>
      <c r="AC1372" s="158">
        <v>0</v>
      </c>
      <c r="AD1372" s="173" t="str">
        <f ca="1">IFERROR(__xludf.DUMMYFUNCTION("""COMPUTED_VALUE"""),"")</f>
        <v/>
      </c>
      <c r="AE1372" s="154" t="str">
        <v/>
      </c>
      <c r="AF1372" s="154" t="str">
        <v/>
      </c>
    </row>
    <row r="1373" spans="1:32" ht="15">
      <c r="A1373" s="176"/>
      <c r="B1373" s="145"/>
      <c r="C1373" s="169"/>
      <c r="D1373" s="145"/>
      <c r="E1373" s="145"/>
      <c r="F1373" s="169" t="e">
        <v>#VALUE!</v>
      </c>
      <c r="G1373" s="145"/>
      <c r="H1373" s="145"/>
      <c r="I1373" s="145"/>
      <c r="J1373" s="145"/>
      <c r="K1373" s="145"/>
      <c r="L1373" s="145"/>
      <c r="M1373" s="145"/>
      <c r="N1373" s="145"/>
      <c r="O1373" s="174"/>
      <c r="P1373" s="174"/>
      <c r="Q1373" s="158" t="str">
        <v/>
      </c>
      <c r="R1373" s="158" t="str">
        <v/>
      </c>
      <c r="S1373" s="158" t="str">
        <v/>
      </c>
      <c r="T1373" s="158" t="str">
        <v/>
      </c>
      <c r="U1373" s="158" t="str">
        <v/>
      </c>
      <c r="V1373" s="158" t="str">
        <v/>
      </c>
      <c r="W1373" s="158" t="str">
        <v/>
      </c>
      <c r="X1373" s="158" t="str">
        <v/>
      </c>
      <c r="Y1373" s="158" t="str">
        <v/>
      </c>
      <c r="Z1373" s="158" t="str">
        <v/>
      </c>
      <c r="AA1373" s="158" t="e">
        <v>#VALUE!</v>
      </c>
      <c r="AB1373" s="171" t="str">
        <v/>
      </c>
      <c r="AC1373" s="158">
        <v>0</v>
      </c>
      <c r="AD1373" s="173" t="str">
        <f ca="1">IFERROR(__xludf.DUMMYFUNCTION("""COMPUTED_VALUE"""),"")</f>
        <v/>
      </c>
      <c r="AE1373" s="154" t="str">
        <v/>
      </c>
      <c r="AF1373" s="154" t="str">
        <v/>
      </c>
    </row>
    <row r="1374" spans="1:32" ht="15">
      <c r="A1374" s="176"/>
      <c r="B1374" s="145"/>
      <c r="C1374" s="169"/>
      <c r="D1374" s="145"/>
      <c r="E1374" s="145"/>
      <c r="F1374" s="169" t="e">
        <v>#VALUE!</v>
      </c>
      <c r="G1374" s="145"/>
      <c r="H1374" s="145"/>
      <c r="I1374" s="145"/>
      <c r="J1374" s="145"/>
      <c r="K1374" s="145"/>
      <c r="L1374" s="145"/>
      <c r="M1374" s="145"/>
      <c r="N1374" s="145"/>
      <c r="O1374" s="174"/>
      <c r="P1374" s="174"/>
      <c r="Q1374" s="158" t="str">
        <v/>
      </c>
      <c r="R1374" s="158" t="str">
        <v/>
      </c>
      <c r="S1374" s="158" t="str">
        <v/>
      </c>
      <c r="T1374" s="158" t="str">
        <v/>
      </c>
      <c r="U1374" s="158" t="str">
        <v/>
      </c>
      <c r="V1374" s="158" t="str">
        <v/>
      </c>
      <c r="W1374" s="158" t="str">
        <v/>
      </c>
      <c r="X1374" s="158" t="str">
        <v/>
      </c>
      <c r="Y1374" s="158" t="str">
        <v/>
      </c>
      <c r="Z1374" s="158" t="str">
        <v/>
      </c>
      <c r="AA1374" s="158" t="e">
        <v>#VALUE!</v>
      </c>
      <c r="AB1374" s="171" t="str">
        <v/>
      </c>
      <c r="AC1374" s="158">
        <v>0</v>
      </c>
      <c r="AD1374" s="173" t="str">
        <f ca="1">IFERROR(__xludf.DUMMYFUNCTION("""COMPUTED_VALUE"""),"")</f>
        <v/>
      </c>
      <c r="AE1374" s="154" t="str">
        <v/>
      </c>
      <c r="AF1374" s="154" t="str">
        <v/>
      </c>
    </row>
    <row r="1375" spans="1:32" ht="15">
      <c r="A1375" s="176"/>
      <c r="B1375" s="145"/>
      <c r="C1375" s="169"/>
      <c r="D1375" s="145"/>
      <c r="E1375" s="145"/>
      <c r="F1375" s="169" t="e">
        <v>#VALUE!</v>
      </c>
      <c r="G1375" s="145"/>
      <c r="H1375" s="145"/>
      <c r="I1375" s="145"/>
      <c r="J1375" s="145"/>
      <c r="K1375" s="145"/>
      <c r="L1375" s="145"/>
      <c r="M1375" s="145"/>
      <c r="N1375" s="145"/>
      <c r="O1375" s="174"/>
      <c r="P1375" s="174"/>
      <c r="Q1375" s="158" t="str">
        <v/>
      </c>
      <c r="R1375" s="158" t="str">
        <v/>
      </c>
      <c r="S1375" s="158" t="str">
        <v/>
      </c>
      <c r="T1375" s="158" t="str">
        <v/>
      </c>
      <c r="U1375" s="158" t="str">
        <v/>
      </c>
      <c r="V1375" s="158" t="str">
        <v/>
      </c>
      <c r="W1375" s="158" t="str">
        <v/>
      </c>
      <c r="X1375" s="158" t="str">
        <v/>
      </c>
      <c r="Y1375" s="158" t="str">
        <v/>
      </c>
      <c r="Z1375" s="158" t="str">
        <v/>
      </c>
      <c r="AA1375" s="158" t="e">
        <v>#VALUE!</v>
      </c>
      <c r="AB1375" s="171" t="str">
        <v/>
      </c>
      <c r="AC1375" s="158">
        <v>0</v>
      </c>
      <c r="AD1375" s="173" t="str">
        <f ca="1">IFERROR(__xludf.DUMMYFUNCTION("""COMPUTED_VALUE"""),"")</f>
        <v/>
      </c>
      <c r="AE1375" s="154" t="str">
        <v/>
      </c>
      <c r="AF1375" s="154" t="str">
        <v/>
      </c>
    </row>
    <row r="1376" spans="1:32" ht="15">
      <c r="A1376" s="176"/>
      <c r="B1376" s="145"/>
      <c r="C1376" s="169"/>
      <c r="D1376" s="145"/>
      <c r="E1376" s="145"/>
      <c r="F1376" s="169" t="e">
        <v>#VALUE!</v>
      </c>
      <c r="G1376" s="145"/>
      <c r="H1376" s="145"/>
      <c r="I1376" s="145"/>
      <c r="J1376" s="145"/>
      <c r="K1376" s="145"/>
      <c r="L1376" s="145"/>
      <c r="M1376" s="145"/>
      <c r="N1376" s="145"/>
      <c r="O1376" s="174"/>
      <c r="P1376" s="174"/>
      <c r="Q1376" s="158" t="str">
        <v/>
      </c>
      <c r="R1376" s="158" t="str">
        <v/>
      </c>
      <c r="S1376" s="158" t="str">
        <v/>
      </c>
      <c r="T1376" s="158" t="str">
        <v/>
      </c>
      <c r="U1376" s="158" t="str">
        <v/>
      </c>
      <c r="V1376" s="158" t="str">
        <v/>
      </c>
      <c r="W1376" s="158" t="str">
        <v/>
      </c>
      <c r="X1376" s="158" t="str">
        <v/>
      </c>
      <c r="Y1376" s="158" t="str">
        <v/>
      </c>
      <c r="Z1376" s="158" t="str">
        <v/>
      </c>
      <c r="AA1376" s="158" t="e">
        <v>#VALUE!</v>
      </c>
      <c r="AB1376" s="171" t="str">
        <v/>
      </c>
      <c r="AC1376" s="158">
        <v>0</v>
      </c>
      <c r="AD1376" s="173" t="str">
        <f ca="1">IFERROR(__xludf.DUMMYFUNCTION("""COMPUTED_VALUE"""),"")</f>
        <v/>
      </c>
      <c r="AE1376" s="154" t="str">
        <v/>
      </c>
      <c r="AF1376" s="154" t="str">
        <v/>
      </c>
    </row>
    <row r="1377" spans="1:32" ht="15">
      <c r="A1377" s="176"/>
      <c r="B1377" s="145"/>
      <c r="C1377" s="169"/>
      <c r="D1377" s="145"/>
      <c r="E1377" s="145"/>
      <c r="F1377" s="169" t="e">
        <v>#VALUE!</v>
      </c>
      <c r="G1377" s="145"/>
      <c r="H1377" s="145"/>
      <c r="I1377" s="145"/>
      <c r="J1377" s="145"/>
      <c r="K1377" s="145"/>
      <c r="L1377" s="145"/>
      <c r="M1377" s="145"/>
      <c r="N1377" s="145"/>
      <c r="O1377" s="174"/>
      <c r="P1377" s="174"/>
      <c r="Q1377" s="158" t="str">
        <v/>
      </c>
      <c r="R1377" s="158" t="str">
        <v/>
      </c>
      <c r="S1377" s="158" t="str">
        <v/>
      </c>
      <c r="T1377" s="158" t="str">
        <v/>
      </c>
      <c r="U1377" s="158" t="str">
        <v/>
      </c>
      <c r="V1377" s="158" t="str">
        <v/>
      </c>
      <c r="W1377" s="158" t="str">
        <v/>
      </c>
      <c r="X1377" s="158" t="str">
        <v/>
      </c>
      <c r="Y1377" s="158" t="str">
        <v/>
      </c>
      <c r="Z1377" s="158" t="str">
        <v/>
      </c>
      <c r="AA1377" s="158" t="e">
        <v>#VALUE!</v>
      </c>
      <c r="AB1377" s="171" t="str">
        <v/>
      </c>
      <c r="AC1377" s="158">
        <v>0</v>
      </c>
      <c r="AD1377" s="173" t="str">
        <f ca="1">IFERROR(__xludf.DUMMYFUNCTION("""COMPUTED_VALUE"""),"")</f>
        <v/>
      </c>
      <c r="AE1377" s="154" t="str">
        <v/>
      </c>
      <c r="AF1377" s="154" t="str">
        <v/>
      </c>
    </row>
    <row r="1378" spans="1:32" ht="15">
      <c r="A1378" s="176"/>
      <c r="B1378" s="145"/>
      <c r="C1378" s="169"/>
      <c r="D1378" s="145"/>
      <c r="E1378" s="145"/>
      <c r="F1378" s="169" t="e">
        <v>#VALUE!</v>
      </c>
      <c r="G1378" s="145"/>
      <c r="H1378" s="145"/>
      <c r="I1378" s="145"/>
      <c r="J1378" s="145"/>
      <c r="K1378" s="145"/>
      <c r="L1378" s="145"/>
      <c r="M1378" s="145"/>
      <c r="N1378" s="145"/>
      <c r="O1378" s="174"/>
      <c r="P1378" s="174"/>
      <c r="Q1378" s="158" t="str">
        <v/>
      </c>
      <c r="R1378" s="158" t="str">
        <v/>
      </c>
      <c r="S1378" s="158" t="str">
        <v/>
      </c>
      <c r="T1378" s="158" t="str">
        <v/>
      </c>
      <c r="U1378" s="158" t="str">
        <v/>
      </c>
      <c r="V1378" s="158" t="str">
        <v/>
      </c>
      <c r="W1378" s="158" t="str">
        <v/>
      </c>
      <c r="X1378" s="158" t="str">
        <v/>
      </c>
      <c r="Y1378" s="158" t="str">
        <v/>
      </c>
      <c r="Z1378" s="158" t="str">
        <v/>
      </c>
      <c r="AA1378" s="158" t="e">
        <v>#VALUE!</v>
      </c>
      <c r="AB1378" s="171" t="str">
        <v/>
      </c>
      <c r="AC1378" s="158">
        <v>0</v>
      </c>
      <c r="AD1378" s="173" t="str">
        <f ca="1">IFERROR(__xludf.DUMMYFUNCTION("""COMPUTED_VALUE"""),"")</f>
        <v/>
      </c>
      <c r="AE1378" s="154" t="str">
        <v/>
      </c>
      <c r="AF1378" s="154" t="str">
        <v/>
      </c>
    </row>
    <row r="1379" spans="1:32" ht="15">
      <c r="A1379" s="176"/>
      <c r="B1379" s="145"/>
      <c r="C1379" s="169"/>
      <c r="D1379" s="145"/>
      <c r="E1379" s="145"/>
      <c r="F1379" s="169" t="e">
        <v>#VALUE!</v>
      </c>
      <c r="G1379" s="145"/>
      <c r="H1379" s="145"/>
      <c r="I1379" s="145"/>
      <c r="J1379" s="145"/>
      <c r="K1379" s="145"/>
      <c r="L1379" s="145"/>
      <c r="M1379" s="145"/>
      <c r="N1379" s="145"/>
      <c r="O1379" s="174"/>
      <c r="P1379" s="174"/>
      <c r="Q1379" s="158" t="str">
        <v/>
      </c>
      <c r="R1379" s="158" t="str">
        <v/>
      </c>
      <c r="S1379" s="158" t="str">
        <v/>
      </c>
      <c r="T1379" s="158" t="str">
        <v/>
      </c>
      <c r="U1379" s="158" t="str">
        <v/>
      </c>
      <c r="V1379" s="158" t="str">
        <v/>
      </c>
      <c r="W1379" s="158" t="str">
        <v/>
      </c>
      <c r="X1379" s="158" t="str">
        <v/>
      </c>
      <c r="Y1379" s="158" t="str">
        <v/>
      </c>
      <c r="Z1379" s="158" t="str">
        <v/>
      </c>
      <c r="AA1379" s="158" t="e">
        <v>#VALUE!</v>
      </c>
      <c r="AB1379" s="171" t="str">
        <v/>
      </c>
      <c r="AC1379" s="158">
        <v>0</v>
      </c>
      <c r="AD1379" s="173" t="str">
        <f ca="1">IFERROR(__xludf.DUMMYFUNCTION("""COMPUTED_VALUE"""),"")</f>
        <v/>
      </c>
      <c r="AE1379" s="154" t="str">
        <v/>
      </c>
      <c r="AF1379" s="154" t="str">
        <v/>
      </c>
    </row>
    <row r="1380" spans="1:32" ht="15">
      <c r="A1380" s="176"/>
      <c r="B1380" s="145"/>
      <c r="C1380" s="169"/>
      <c r="D1380" s="145"/>
      <c r="E1380" s="145"/>
      <c r="F1380" s="169" t="e">
        <v>#VALUE!</v>
      </c>
      <c r="G1380" s="145"/>
      <c r="H1380" s="145"/>
      <c r="I1380" s="145"/>
      <c r="J1380" s="145"/>
      <c r="K1380" s="145"/>
      <c r="L1380" s="145"/>
      <c r="M1380" s="145"/>
      <c r="N1380" s="145"/>
      <c r="O1380" s="174"/>
      <c r="P1380" s="174"/>
      <c r="Q1380" s="158" t="str">
        <v/>
      </c>
      <c r="R1380" s="158" t="str">
        <v/>
      </c>
      <c r="S1380" s="158" t="str">
        <v/>
      </c>
      <c r="T1380" s="158" t="str">
        <v/>
      </c>
      <c r="U1380" s="158" t="str">
        <v/>
      </c>
      <c r="V1380" s="158" t="str">
        <v/>
      </c>
      <c r="W1380" s="158" t="str">
        <v/>
      </c>
      <c r="X1380" s="158" t="str">
        <v/>
      </c>
      <c r="Y1380" s="158" t="str">
        <v/>
      </c>
      <c r="Z1380" s="158" t="str">
        <v/>
      </c>
      <c r="AA1380" s="158" t="e">
        <v>#VALUE!</v>
      </c>
      <c r="AB1380" s="171" t="str">
        <v/>
      </c>
      <c r="AC1380" s="158">
        <v>0</v>
      </c>
      <c r="AD1380" s="173" t="str">
        <f ca="1">IFERROR(__xludf.DUMMYFUNCTION("""COMPUTED_VALUE"""),"")</f>
        <v/>
      </c>
      <c r="AE1380" s="154" t="str">
        <v/>
      </c>
      <c r="AF1380" s="154" t="str">
        <v/>
      </c>
    </row>
    <row r="1381" spans="1:32" ht="15">
      <c r="A1381" s="176"/>
      <c r="B1381" s="145"/>
      <c r="C1381" s="169"/>
      <c r="D1381" s="145"/>
      <c r="E1381" s="145"/>
      <c r="F1381" s="169" t="e">
        <v>#VALUE!</v>
      </c>
      <c r="G1381" s="145"/>
      <c r="H1381" s="145"/>
      <c r="I1381" s="145"/>
      <c r="J1381" s="145"/>
      <c r="K1381" s="145"/>
      <c r="L1381" s="145"/>
      <c r="M1381" s="145"/>
      <c r="N1381" s="145"/>
      <c r="O1381" s="174"/>
      <c r="P1381" s="174"/>
      <c r="Q1381" s="158" t="str">
        <v/>
      </c>
      <c r="R1381" s="158" t="str">
        <v/>
      </c>
      <c r="S1381" s="158" t="str">
        <v/>
      </c>
      <c r="T1381" s="158" t="str">
        <v/>
      </c>
      <c r="U1381" s="158" t="str">
        <v/>
      </c>
      <c r="V1381" s="158" t="str">
        <v/>
      </c>
      <c r="W1381" s="158" t="str">
        <v/>
      </c>
      <c r="X1381" s="158" t="str">
        <v/>
      </c>
      <c r="Y1381" s="158" t="str">
        <v/>
      </c>
      <c r="Z1381" s="158" t="str">
        <v/>
      </c>
      <c r="AA1381" s="158" t="e">
        <v>#VALUE!</v>
      </c>
      <c r="AB1381" s="171" t="str">
        <v/>
      </c>
      <c r="AC1381" s="158">
        <v>0</v>
      </c>
      <c r="AD1381" s="173" t="str">
        <f ca="1">IFERROR(__xludf.DUMMYFUNCTION("""COMPUTED_VALUE"""),"")</f>
        <v/>
      </c>
      <c r="AE1381" s="154" t="str">
        <v/>
      </c>
      <c r="AF1381" s="154" t="str">
        <v/>
      </c>
    </row>
    <row r="1382" spans="1:32" ht="15">
      <c r="A1382" s="176"/>
      <c r="B1382" s="145"/>
      <c r="C1382" s="169"/>
      <c r="D1382" s="145"/>
      <c r="E1382" s="145"/>
      <c r="F1382" s="169" t="e">
        <v>#VALUE!</v>
      </c>
      <c r="G1382" s="145"/>
      <c r="H1382" s="145"/>
      <c r="I1382" s="145"/>
      <c r="J1382" s="145"/>
      <c r="K1382" s="145"/>
      <c r="L1382" s="145"/>
      <c r="M1382" s="145"/>
      <c r="N1382" s="145"/>
      <c r="O1382" s="174"/>
      <c r="P1382" s="174"/>
      <c r="Q1382" s="158" t="str">
        <v/>
      </c>
      <c r="R1382" s="158" t="str">
        <v/>
      </c>
      <c r="S1382" s="158" t="str">
        <v/>
      </c>
      <c r="T1382" s="158" t="str">
        <v/>
      </c>
      <c r="U1382" s="158" t="str">
        <v/>
      </c>
      <c r="V1382" s="158" t="str">
        <v/>
      </c>
      <c r="W1382" s="158" t="str">
        <v/>
      </c>
      <c r="X1382" s="158" t="str">
        <v/>
      </c>
      <c r="Y1382" s="158" t="str">
        <v/>
      </c>
      <c r="Z1382" s="158" t="str">
        <v/>
      </c>
      <c r="AA1382" s="158" t="e">
        <v>#VALUE!</v>
      </c>
      <c r="AB1382" s="171" t="str">
        <v/>
      </c>
      <c r="AC1382" s="158">
        <v>0</v>
      </c>
      <c r="AD1382" s="173" t="str">
        <f ca="1">IFERROR(__xludf.DUMMYFUNCTION("""COMPUTED_VALUE"""),"")</f>
        <v/>
      </c>
      <c r="AE1382" s="154" t="str">
        <v/>
      </c>
      <c r="AF1382" s="154" t="str">
        <v/>
      </c>
    </row>
    <row r="1383" spans="1:32" ht="15">
      <c r="A1383" s="176"/>
      <c r="B1383" s="145"/>
      <c r="C1383" s="169"/>
      <c r="D1383" s="145"/>
      <c r="E1383" s="145"/>
      <c r="F1383" s="169" t="e">
        <v>#VALUE!</v>
      </c>
      <c r="G1383" s="145"/>
      <c r="H1383" s="145"/>
      <c r="I1383" s="145"/>
      <c r="J1383" s="145"/>
      <c r="K1383" s="145"/>
      <c r="L1383" s="145"/>
      <c r="M1383" s="145"/>
      <c r="N1383" s="145"/>
      <c r="O1383" s="174"/>
      <c r="P1383" s="174"/>
      <c r="Q1383" s="158" t="str">
        <v/>
      </c>
      <c r="R1383" s="158" t="str">
        <v/>
      </c>
      <c r="S1383" s="158" t="str">
        <v/>
      </c>
      <c r="T1383" s="158" t="str">
        <v/>
      </c>
      <c r="U1383" s="158" t="str">
        <v/>
      </c>
      <c r="V1383" s="158" t="str">
        <v/>
      </c>
      <c r="W1383" s="158" t="str">
        <v/>
      </c>
      <c r="X1383" s="158" t="str">
        <v/>
      </c>
      <c r="Y1383" s="158" t="str">
        <v/>
      </c>
      <c r="Z1383" s="158" t="str">
        <v/>
      </c>
      <c r="AA1383" s="158" t="e">
        <v>#VALUE!</v>
      </c>
      <c r="AB1383" s="171" t="str">
        <v/>
      </c>
      <c r="AC1383" s="158">
        <v>0</v>
      </c>
      <c r="AD1383" s="173" t="str">
        <f ca="1">IFERROR(__xludf.DUMMYFUNCTION("""COMPUTED_VALUE"""),"")</f>
        <v/>
      </c>
      <c r="AE1383" s="154" t="str">
        <v/>
      </c>
      <c r="AF1383" s="154" t="str">
        <v/>
      </c>
    </row>
    <row r="1384" spans="1:32" ht="15">
      <c r="A1384" s="176"/>
      <c r="B1384" s="145"/>
      <c r="C1384" s="169"/>
      <c r="D1384" s="145"/>
      <c r="E1384" s="145"/>
      <c r="F1384" s="169" t="e">
        <v>#VALUE!</v>
      </c>
      <c r="G1384" s="145"/>
      <c r="H1384" s="145"/>
      <c r="I1384" s="145"/>
      <c r="J1384" s="145"/>
      <c r="K1384" s="145"/>
      <c r="L1384" s="145"/>
      <c r="M1384" s="145"/>
      <c r="N1384" s="145"/>
      <c r="O1384" s="174"/>
      <c r="P1384" s="174"/>
      <c r="Q1384" s="158" t="str">
        <v/>
      </c>
      <c r="R1384" s="158" t="str">
        <v/>
      </c>
      <c r="S1384" s="158" t="str">
        <v/>
      </c>
      <c r="T1384" s="158" t="str">
        <v/>
      </c>
      <c r="U1384" s="158" t="str">
        <v/>
      </c>
      <c r="V1384" s="158" t="str">
        <v/>
      </c>
      <c r="W1384" s="158" t="str">
        <v/>
      </c>
      <c r="X1384" s="158" t="str">
        <v/>
      </c>
      <c r="Y1384" s="158" t="str">
        <v/>
      </c>
      <c r="Z1384" s="158" t="str">
        <v/>
      </c>
      <c r="AA1384" s="158" t="e">
        <v>#VALUE!</v>
      </c>
      <c r="AB1384" s="171" t="str">
        <v/>
      </c>
      <c r="AC1384" s="158">
        <v>0</v>
      </c>
      <c r="AD1384" s="173" t="str">
        <f ca="1">IFERROR(__xludf.DUMMYFUNCTION("""COMPUTED_VALUE"""),"")</f>
        <v/>
      </c>
      <c r="AE1384" s="154" t="str">
        <v/>
      </c>
      <c r="AF1384" s="154" t="str">
        <v/>
      </c>
    </row>
    <row r="1385" spans="1:32" ht="15">
      <c r="A1385" s="176"/>
      <c r="B1385" s="145"/>
      <c r="C1385" s="169"/>
      <c r="D1385" s="145"/>
      <c r="E1385" s="145"/>
      <c r="F1385" s="169" t="e">
        <v>#VALUE!</v>
      </c>
      <c r="G1385" s="145"/>
      <c r="H1385" s="145"/>
      <c r="I1385" s="145"/>
      <c r="J1385" s="145"/>
      <c r="K1385" s="145"/>
      <c r="L1385" s="145"/>
      <c r="M1385" s="145"/>
      <c r="N1385" s="145"/>
      <c r="O1385" s="174"/>
      <c r="P1385" s="174"/>
      <c r="Q1385" s="158" t="str">
        <v/>
      </c>
      <c r="R1385" s="158" t="str">
        <v/>
      </c>
      <c r="S1385" s="158" t="str">
        <v/>
      </c>
      <c r="T1385" s="158" t="str">
        <v/>
      </c>
      <c r="U1385" s="158" t="str">
        <v/>
      </c>
      <c r="V1385" s="158" t="str">
        <v/>
      </c>
      <c r="W1385" s="158" t="str">
        <v/>
      </c>
      <c r="X1385" s="158" t="str">
        <v/>
      </c>
      <c r="Y1385" s="158" t="str">
        <v/>
      </c>
      <c r="Z1385" s="158" t="str">
        <v/>
      </c>
      <c r="AA1385" s="158" t="e">
        <v>#VALUE!</v>
      </c>
      <c r="AB1385" s="171" t="str">
        <v/>
      </c>
      <c r="AC1385" s="158">
        <v>0</v>
      </c>
      <c r="AD1385" s="173" t="str">
        <f ca="1">IFERROR(__xludf.DUMMYFUNCTION("""COMPUTED_VALUE"""),"")</f>
        <v/>
      </c>
      <c r="AE1385" s="154" t="str">
        <v/>
      </c>
      <c r="AF1385" s="154" t="str">
        <v/>
      </c>
    </row>
    <row r="1386" spans="1:32" ht="15">
      <c r="A1386" s="176"/>
      <c r="B1386" s="145"/>
      <c r="C1386" s="169"/>
      <c r="D1386" s="145"/>
      <c r="E1386" s="145"/>
      <c r="F1386" s="169" t="e">
        <v>#VALUE!</v>
      </c>
      <c r="G1386" s="145"/>
      <c r="H1386" s="145"/>
      <c r="I1386" s="145"/>
      <c r="J1386" s="145"/>
      <c r="K1386" s="145"/>
      <c r="L1386" s="145"/>
      <c r="M1386" s="145"/>
      <c r="N1386" s="145"/>
      <c r="O1386" s="174"/>
      <c r="P1386" s="174"/>
      <c r="Q1386" s="158" t="str">
        <v/>
      </c>
      <c r="R1386" s="158" t="str">
        <v/>
      </c>
      <c r="S1386" s="158" t="str">
        <v/>
      </c>
      <c r="T1386" s="158" t="str">
        <v/>
      </c>
      <c r="U1386" s="158" t="str">
        <v/>
      </c>
      <c r="V1386" s="158" t="str">
        <v/>
      </c>
      <c r="W1386" s="158" t="str">
        <v/>
      </c>
      <c r="X1386" s="158" t="str">
        <v/>
      </c>
      <c r="Y1386" s="158" t="str">
        <v/>
      </c>
      <c r="Z1386" s="158" t="str">
        <v/>
      </c>
      <c r="AA1386" s="158" t="e">
        <v>#VALUE!</v>
      </c>
      <c r="AB1386" s="171" t="str">
        <v/>
      </c>
      <c r="AC1386" s="158">
        <v>0</v>
      </c>
      <c r="AD1386" s="173" t="str">
        <f ca="1">IFERROR(__xludf.DUMMYFUNCTION("""COMPUTED_VALUE"""),"")</f>
        <v/>
      </c>
      <c r="AE1386" s="154" t="str">
        <v/>
      </c>
      <c r="AF1386" s="154" t="str">
        <v/>
      </c>
    </row>
    <row r="1387" spans="1:32" ht="15">
      <c r="A1387" s="176"/>
      <c r="B1387" s="145"/>
      <c r="C1387" s="169"/>
      <c r="D1387" s="145"/>
      <c r="E1387" s="145"/>
      <c r="F1387" s="169" t="e">
        <v>#VALUE!</v>
      </c>
      <c r="G1387" s="145"/>
      <c r="H1387" s="145"/>
      <c r="I1387" s="145"/>
      <c r="J1387" s="145"/>
      <c r="K1387" s="145"/>
      <c r="L1387" s="145"/>
      <c r="M1387" s="145"/>
      <c r="N1387" s="145"/>
      <c r="O1387" s="174"/>
      <c r="P1387" s="174"/>
      <c r="Q1387" s="158" t="str">
        <v/>
      </c>
      <c r="R1387" s="158" t="str">
        <v/>
      </c>
      <c r="S1387" s="158" t="str">
        <v/>
      </c>
      <c r="T1387" s="158" t="str">
        <v/>
      </c>
      <c r="U1387" s="158" t="str">
        <v/>
      </c>
      <c r="V1387" s="158" t="str">
        <v/>
      </c>
      <c r="W1387" s="158" t="str">
        <v/>
      </c>
      <c r="X1387" s="158" t="str">
        <v/>
      </c>
      <c r="Y1387" s="158" t="str">
        <v/>
      </c>
      <c r="Z1387" s="158" t="str">
        <v/>
      </c>
      <c r="AA1387" s="158" t="e">
        <v>#VALUE!</v>
      </c>
      <c r="AB1387" s="171" t="str">
        <v/>
      </c>
      <c r="AC1387" s="158">
        <v>0</v>
      </c>
      <c r="AD1387" s="173" t="str">
        <f ca="1">IFERROR(__xludf.DUMMYFUNCTION("""COMPUTED_VALUE"""),"")</f>
        <v/>
      </c>
      <c r="AE1387" s="154" t="str">
        <v/>
      </c>
      <c r="AF1387" s="154" t="str">
        <v/>
      </c>
    </row>
    <row r="1388" spans="1:32" ht="15">
      <c r="A1388" s="176"/>
      <c r="B1388" s="145"/>
      <c r="C1388" s="169"/>
      <c r="D1388" s="145"/>
      <c r="E1388" s="145"/>
      <c r="F1388" s="169" t="e">
        <v>#VALUE!</v>
      </c>
      <c r="G1388" s="145"/>
      <c r="H1388" s="145"/>
      <c r="I1388" s="145"/>
      <c r="J1388" s="145"/>
      <c r="K1388" s="145"/>
      <c r="L1388" s="145"/>
      <c r="M1388" s="145"/>
      <c r="N1388" s="145"/>
      <c r="O1388" s="174"/>
      <c r="P1388" s="174"/>
      <c r="Q1388" s="158" t="str">
        <v/>
      </c>
      <c r="R1388" s="158" t="str">
        <v/>
      </c>
      <c r="S1388" s="158" t="str">
        <v/>
      </c>
      <c r="T1388" s="158" t="str">
        <v/>
      </c>
      <c r="U1388" s="158" t="str">
        <v/>
      </c>
      <c r="V1388" s="158" t="str">
        <v/>
      </c>
      <c r="W1388" s="158" t="str">
        <v/>
      </c>
      <c r="X1388" s="158" t="str">
        <v/>
      </c>
      <c r="Y1388" s="158" t="str">
        <v/>
      </c>
      <c r="Z1388" s="158" t="str">
        <v/>
      </c>
      <c r="AA1388" s="158" t="e">
        <v>#VALUE!</v>
      </c>
      <c r="AB1388" s="171" t="str">
        <v/>
      </c>
      <c r="AC1388" s="158">
        <v>0</v>
      </c>
      <c r="AD1388" s="173" t="str">
        <f ca="1">IFERROR(__xludf.DUMMYFUNCTION("""COMPUTED_VALUE"""),"")</f>
        <v/>
      </c>
      <c r="AE1388" s="154" t="str">
        <v/>
      </c>
      <c r="AF1388" s="154" t="str">
        <v/>
      </c>
    </row>
    <row r="1389" spans="1:32" ht="15">
      <c r="A1389" s="176"/>
      <c r="B1389" s="145"/>
      <c r="C1389" s="169"/>
      <c r="D1389" s="145"/>
      <c r="E1389" s="145"/>
      <c r="F1389" s="169" t="e">
        <v>#VALUE!</v>
      </c>
      <c r="G1389" s="145"/>
      <c r="H1389" s="145"/>
      <c r="I1389" s="145"/>
      <c r="J1389" s="145"/>
      <c r="K1389" s="145"/>
      <c r="L1389" s="145"/>
      <c r="M1389" s="145"/>
      <c r="N1389" s="145"/>
      <c r="O1389" s="174"/>
      <c r="P1389" s="174"/>
      <c r="Q1389" s="158" t="str">
        <v/>
      </c>
      <c r="R1389" s="158" t="str">
        <v/>
      </c>
      <c r="S1389" s="158" t="str">
        <v/>
      </c>
      <c r="T1389" s="158" t="str">
        <v/>
      </c>
      <c r="U1389" s="158" t="str">
        <v/>
      </c>
      <c r="V1389" s="158" t="str">
        <v/>
      </c>
      <c r="W1389" s="158" t="str">
        <v/>
      </c>
      <c r="X1389" s="158" t="str">
        <v/>
      </c>
      <c r="Y1389" s="158" t="str">
        <v/>
      </c>
      <c r="Z1389" s="158" t="str">
        <v/>
      </c>
      <c r="AA1389" s="158" t="e">
        <v>#VALUE!</v>
      </c>
      <c r="AB1389" s="171" t="str">
        <v/>
      </c>
      <c r="AC1389" s="158">
        <v>0</v>
      </c>
      <c r="AD1389" s="173" t="str">
        <f ca="1">IFERROR(__xludf.DUMMYFUNCTION("""COMPUTED_VALUE"""),"")</f>
        <v/>
      </c>
      <c r="AE1389" s="154" t="str">
        <v/>
      </c>
      <c r="AF1389" s="154" t="str">
        <v/>
      </c>
    </row>
    <row r="1390" spans="1:32" ht="15">
      <c r="A1390" s="176"/>
      <c r="B1390" s="145"/>
      <c r="C1390" s="169"/>
      <c r="D1390" s="145"/>
      <c r="E1390" s="145"/>
      <c r="F1390" s="169" t="e">
        <v>#VALUE!</v>
      </c>
      <c r="G1390" s="145"/>
      <c r="H1390" s="145"/>
      <c r="I1390" s="145"/>
      <c r="J1390" s="145"/>
      <c r="K1390" s="145"/>
      <c r="L1390" s="145"/>
      <c r="M1390" s="145"/>
      <c r="N1390" s="145"/>
      <c r="O1390" s="174"/>
      <c r="P1390" s="174"/>
      <c r="Q1390" s="158" t="str">
        <v/>
      </c>
      <c r="R1390" s="158" t="str">
        <v/>
      </c>
      <c r="S1390" s="158" t="str">
        <v/>
      </c>
      <c r="T1390" s="158" t="str">
        <v/>
      </c>
      <c r="U1390" s="158" t="str">
        <v/>
      </c>
      <c r="V1390" s="158" t="str">
        <v/>
      </c>
      <c r="W1390" s="158" t="str">
        <v/>
      </c>
      <c r="X1390" s="158" t="str">
        <v/>
      </c>
      <c r="Y1390" s="158" t="str">
        <v/>
      </c>
      <c r="Z1390" s="158" t="str">
        <v/>
      </c>
      <c r="AA1390" s="158" t="e">
        <v>#VALUE!</v>
      </c>
      <c r="AB1390" s="171" t="str">
        <v/>
      </c>
      <c r="AC1390" s="158">
        <v>0</v>
      </c>
      <c r="AD1390" s="173" t="str">
        <f ca="1">IFERROR(__xludf.DUMMYFUNCTION("""COMPUTED_VALUE"""),"")</f>
        <v/>
      </c>
      <c r="AE1390" s="154" t="str">
        <v/>
      </c>
      <c r="AF1390" s="154" t="str">
        <v/>
      </c>
    </row>
    <row r="1391" spans="1:32" ht="15">
      <c r="A1391" s="176"/>
      <c r="B1391" s="145"/>
      <c r="C1391" s="169"/>
      <c r="D1391" s="145"/>
      <c r="E1391" s="145"/>
      <c r="F1391" s="169" t="e">
        <v>#VALUE!</v>
      </c>
      <c r="G1391" s="145"/>
      <c r="H1391" s="145"/>
      <c r="I1391" s="145"/>
      <c r="J1391" s="145"/>
      <c r="K1391" s="145"/>
      <c r="L1391" s="145"/>
      <c r="M1391" s="145"/>
      <c r="N1391" s="145"/>
      <c r="O1391" s="174"/>
      <c r="P1391" s="174"/>
      <c r="Q1391" s="158" t="str">
        <v/>
      </c>
      <c r="R1391" s="158" t="str">
        <v/>
      </c>
      <c r="S1391" s="158" t="str">
        <v/>
      </c>
      <c r="T1391" s="158" t="str">
        <v/>
      </c>
      <c r="U1391" s="158" t="str">
        <v/>
      </c>
      <c r="V1391" s="158" t="str">
        <v/>
      </c>
      <c r="W1391" s="158" t="str">
        <v/>
      </c>
      <c r="X1391" s="158" t="str">
        <v/>
      </c>
      <c r="Y1391" s="158" t="str">
        <v/>
      </c>
      <c r="Z1391" s="158" t="str">
        <v/>
      </c>
      <c r="AA1391" s="158" t="e">
        <v>#VALUE!</v>
      </c>
      <c r="AB1391" s="171" t="str">
        <v/>
      </c>
      <c r="AC1391" s="158">
        <v>0</v>
      </c>
      <c r="AD1391" s="173" t="str">
        <f ca="1">IFERROR(__xludf.DUMMYFUNCTION("""COMPUTED_VALUE"""),"")</f>
        <v/>
      </c>
      <c r="AE1391" s="154" t="str">
        <v/>
      </c>
      <c r="AF1391" s="154" t="str">
        <v/>
      </c>
    </row>
    <row r="1392" spans="1:32" ht="15">
      <c r="A1392" s="176"/>
      <c r="B1392" s="145"/>
      <c r="C1392" s="169"/>
      <c r="D1392" s="145"/>
      <c r="E1392" s="145"/>
      <c r="F1392" s="169" t="e">
        <v>#VALUE!</v>
      </c>
      <c r="G1392" s="145"/>
      <c r="H1392" s="145"/>
      <c r="I1392" s="145"/>
      <c r="J1392" s="145"/>
      <c r="K1392" s="145"/>
      <c r="L1392" s="145"/>
      <c r="M1392" s="145"/>
      <c r="N1392" s="145"/>
      <c r="O1392" s="174"/>
      <c r="P1392" s="174"/>
      <c r="Q1392" s="158" t="str">
        <v/>
      </c>
      <c r="R1392" s="158" t="str">
        <v/>
      </c>
      <c r="S1392" s="158" t="str">
        <v/>
      </c>
      <c r="T1392" s="158" t="str">
        <v/>
      </c>
      <c r="U1392" s="158" t="str">
        <v/>
      </c>
      <c r="V1392" s="158" t="str">
        <v/>
      </c>
      <c r="W1392" s="158" t="str">
        <v/>
      </c>
      <c r="X1392" s="158" t="str">
        <v/>
      </c>
      <c r="Y1392" s="158" t="str">
        <v/>
      </c>
      <c r="Z1392" s="158" t="str">
        <v/>
      </c>
      <c r="AA1392" s="158" t="e">
        <v>#VALUE!</v>
      </c>
      <c r="AB1392" s="171" t="str">
        <v/>
      </c>
      <c r="AC1392" s="158">
        <v>0</v>
      </c>
      <c r="AD1392" s="173" t="str">
        <f ca="1">IFERROR(__xludf.DUMMYFUNCTION("""COMPUTED_VALUE"""),"")</f>
        <v/>
      </c>
      <c r="AE1392" s="154" t="str">
        <v/>
      </c>
      <c r="AF1392" s="154" t="str">
        <v/>
      </c>
    </row>
    <row r="1393" spans="1:32" ht="15">
      <c r="A1393" s="176"/>
      <c r="B1393" s="145"/>
      <c r="C1393" s="169"/>
      <c r="D1393" s="145"/>
      <c r="E1393" s="145"/>
      <c r="F1393" s="169" t="e">
        <v>#VALUE!</v>
      </c>
      <c r="G1393" s="145"/>
      <c r="H1393" s="145"/>
      <c r="I1393" s="145"/>
      <c r="J1393" s="145"/>
      <c r="K1393" s="145"/>
      <c r="L1393" s="145"/>
      <c r="M1393" s="145"/>
      <c r="N1393" s="145"/>
      <c r="O1393" s="174"/>
      <c r="P1393" s="174"/>
      <c r="Q1393" s="158" t="str">
        <v/>
      </c>
      <c r="R1393" s="158" t="str">
        <v/>
      </c>
      <c r="S1393" s="158" t="str">
        <v/>
      </c>
      <c r="T1393" s="158" t="str">
        <v/>
      </c>
      <c r="U1393" s="158" t="str">
        <v/>
      </c>
      <c r="V1393" s="158" t="str">
        <v/>
      </c>
      <c r="W1393" s="158" t="str">
        <v/>
      </c>
      <c r="X1393" s="158" t="str">
        <v/>
      </c>
      <c r="Y1393" s="158" t="str">
        <v/>
      </c>
      <c r="Z1393" s="158" t="str">
        <v/>
      </c>
      <c r="AA1393" s="158" t="e">
        <v>#VALUE!</v>
      </c>
      <c r="AB1393" s="171" t="str">
        <v/>
      </c>
      <c r="AC1393" s="158">
        <v>0</v>
      </c>
      <c r="AD1393" s="173" t="str">
        <f ca="1">IFERROR(__xludf.DUMMYFUNCTION("""COMPUTED_VALUE"""),"")</f>
        <v/>
      </c>
      <c r="AE1393" s="154" t="str">
        <v/>
      </c>
      <c r="AF1393" s="154" t="str">
        <v/>
      </c>
    </row>
    <row r="1394" spans="1:32" ht="15">
      <c r="A1394" s="176"/>
      <c r="B1394" s="145"/>
      <c r="C1394" s="169"/>
      <c r="D1394" s="145"/>
      <c r="E1394" s="145"/>
      <c r="F1394" s="169" t="e">
        <v>#VALUE!</v>
      </c>
      <c r="G1394" s="145"/>
      <c r="H1394" s="145"/>
      <c r="I1394" s="145"/>
      <c r="J1394" s="145"/>
      <c r="K1394" s="145"/>
      <c r="L1394" s="145"/>
      <c r="M1394" s="145"/>
      <c r="N1394" s="145"/>
      <c r="O1394" s="174"/>
      <c r="P1394" s="174"/>
      <c r="Q1394" s="158" t="str">
        <v/>
      </c>
      <c r="R1394" s="158" t="str">
        <v/>
      </c>
      <c r="S1394" s="158" t="str">
        <v/>
      </c>
      <c r="T1394" s="158" t="str">
        <v/>
      </c>
      <c r="U1394" s="158" t="str">
        <v/>
      </c>
      <c r="V1394" s="158" t="str">
        <v/>
      </c>
      <c r="W1394" s="158" t="str">
        <v/>
      </c>
      <c r="X1394" s="158" t="str">
        <v/>
      </c>
      <c r="Y1394" s="158" t="str">
        <v/>
      </c>
      <c r="Z1394" s="158" t="str">
        <v/>
      </c>
      <c r="AA1394" s="158" t="e">
        <v>#VALUE!</v>
      </c>
      <c r="AB1394" s="171" t="str">
        <v/>
      </c>
      <c r="AC1394" s="158">
        <v>0</v>
      </c>
      <c r="AD1394" s="173" t="str">
        <f ca="1">IFERROR(__xludf.DUMMYFUNCTION("""COMPUTED_VALUE"""),"")</f>
        <v/>
      </c>
      <c r="AE1394" s="154" t="str">
        <v/>
      </c>
      <c r="AF1394" s="154" t="str">
        <v/>
      </c>
    </row>
    <row r="1395" spans="1:32" ht="15">
      <c r="A1395" s="176"/>
      <c r="B1395" s="145"/>
      <c r="C1395" s="169"/>
      <c r="D1395" s="145"/>
      <c r="E1395" s="145"/>
      <c r="F1395" s="169" t="e">
        <v>#VALUE!</v>
      </c>
      <c r="G1395" s="145"/>
      <c r="H1395" s="145"/>
      <c r="I1395" s="145"/>
      <c r="J1395" s="145"/>
      <c r="K1395" s="145"/>
      <c r="L1395" s="145"/>
      <c r="M1395" s="145"/>
      <c r="N1395" s="145"/>
      <c r="O1395" s="174"/>
      <c r="P1395" s="174"/>
      <c r="Q1395" s="158" t="str">
        <v/>
      </c>
      <c r="R1395" s="158" t="str">
        <v/>
      </c>
      <c r="S1395" s="158" t="str">
        <v/>
      </c>
      <c r="T1395" s="158" t="str">
        <v/>
      </c>
      <c r="U1395" s="158" t="str">
        <v/>
      </c>
      <c r="V1395" s="158" t="str">
        <v/>
      </c>
      <c r="W1395" s="158" t="str">
        <v/>
      </c>
      <c r="X1395" s="158" t="str">
        <v/>
      </c>
      <c r="Y1395" s="158" t="str">
        <v/>
      </c>
      <c r="Z1395" s="158" t="str">
        <v/>
      </c>
      <c r="AA1395" s="158" t="e">
        <v>#VALUE!</v>
      </c>
      <c r="AB1395" s="171" t="str">
        <v/>
      </c>
      <c r="AC1395" s="158">
        <v>0</v>
      </c>
      <c r="AD1395" s="173" t="str">
        <f ca="1">IFERROR(__xludf.DUMMYFUNCTION("""COMPUTED_VALUE"""),"")</f>
        <v/>
      </c>
      <c r="AE1395" s="154" t="str">
        <v/>
      </c>
      <c r="AF1395" s="154" t="str">
        <v/>
      </c>
    </row>
    <row r="1396" spans="1:32" ht="15">
      <c r="A1396" s="176"/>
      <c r="B1396" s="145"/>
      <c r="C1396" s="169"/>
      <c r="D1396" s="145"/>
      <c r="E1396" s="145"/>
      <c r="F1396" s="169" t="e">
        <v>#VALUE!</v>
      </c>
      <c r="G1396" s="145"/>
      <c r="H1396" s="145"/>
      <c r="I1396" s="145"/>
      <c r="J1396" s="145"/>
      <c r="K1396" s="145"/>
      <c r="L1396" s="145"/>
      <c r="M1396" s="145"/>
      <c r="N1396" s="145"/>
      <c r="O1396" s="174"/>
      <c r="P1396" s="174"/>
      <c r="Q1396" s="158" t="str">
        <v/>
      </c>
      <c r="R1396" s="158" t="str">
        <v/>
      </c>
      <c r="S1396" s="158" t="str">
        <v/>
      </c>
      <c r="T1396" s="158" t="str">
        <v/>
      </c>
      <c r="U1396" s="158" t="str">
        <v/>
      </c>
      <c r="V1396" s="158" t="str">
        <v/>
      </c>
      <c r="W1396" s="158" t="str">
        <v/>
      </c>
      <c r="X1396" s="158" t="str">
        <v/>
      </c>
      <c r="Y1396" s="158" t="str">
        <v/>
      </c>
      <c r="Z1396" s="158" t="str">
        <v/>
      </c>
      <c r="AA1396" s="158" t="e">
        <v>#VALUE!</v>
      </c>
      <c r="AB1396" s="171" t="str">
        <v/>
      </c>
      <c r="AC1396" s="158">
        <v>0</v>
      </c>
      <c r="AD1396" s="173" t="str">
        <f ca="1">IFERROR(__xludf.DUMMYFUNCTION("""COMPUTED_VALUE"""),"")</f>
        <v/>
      </c>
      <c r="AE1396" s="154" t="str">
        <v/>
      </c>
      <c r="AF1396" s="154" t="str">
        <v/>
      </c>
    </row>
    <row r="1397" spans="1:32" ht="15">
      <c r="A1397" s="176"/>
      <c r="B1397" s="145"/>
      <c r="C1397" s="169"/>
      <c r="D1397" s="145"/>
      <c r="E1397" s="145"/>
      <c r="F1397" s="169" t="e">
        <v>#VALUE!</v>
      </c>
      <c r="G1397" s="145"/>
      <c r="H1397" s="145"/>
      <c r="I1397" s="145"/>
      <c r="J1397" s="145"/>
      <c r="K1397" s="145"/>
      <c r="L1397" s="145"/>
      <c r="M1397" s="145"/>
      <c r="N1397" s="145"/>
      <c r="O1397" s="174"/>
      <c r="P1397" s="174"/>
      <c r="Q1397" s="158" t="str">
        <v/>
      </c>
      <c r="R1397" s="158" t="str">
        <v/>
      </c>
      <c r="S1397" s="158" t="str">
        <v/>
      </c>
      <c r="T1397" s="158" t="str">
        <v/>
      </c>
      <c r="U1397" s="158" t="str">
        <v/>
      </c>
      <c r="V1397" s="158" t="str">
        <v/>
      </c>
      <c r="W1397" s="158" t="str">
        <v/>
      </c>
      <c r="X1397" s="158" t="str">
        <v/>
      </c>
      <c r="Y1397" s="158" t="str">
        <v/>
      </c>
      <c r="Z1397" s="158" t="str">
        <v/>
      </c>
      <c r="AA1397" s="158" t="e">
        <v>#VALUE!</v>
      </c>
      <c r="AB1397" s="171" t="str">
        <v/>
      </c>
      <c r="AC1397" s="158">
        <v>0</v>
      </c>
      <c r="AD1397" s="173" t="str">
        <f ca="1">IFERROR(__xludf.DUMMYFUNCTION("""COMPUTED_VALUE"""),"")</f>
        <v/>
      </c>
      <c r="AE1397" s="154" t="str">
        <v/>
      </c>
      <c r="AF1397" s="154" t="str">
        <v/>
      </c>
    </row>
    <row r="1398" spans="1:32" ht="15">
      <c r="A1398" s="176"/>
      <c r="B1398" s="145"/>
      <c r="C1398" s="169"/>
      <c r="D1398" s="145"/>
      <c r="E1398" s="145"/>
      <c r="F1398" s="169" t="e">
        <v>#VALUE!</v>
      </c>
      <c r="G1398" s="145"/>
      <c r="H1398" s="145"/>
      <c r="I1398" s="145"/>
      <c r="J1398" s="145"/>
      <c r="K1398" s="145"/>
      <c r="L1398" s="145"/>
      <c r="M1398" s="145"/>
      <c r="N1398" s="145"/>
      <c r="O1398" s="174"/>
      <c r="P1398" s="174"/>
      <c r="Q1398" s="158" t="str">
        <v/>
      </c>
      <c r="R1398" s="158" t="str">
        <v/>
      </c>
      <c r="S1398" s="158" t="str">
        <v/>
      </c>
      <c r="T1398" s="158" t="str">
        <v/>
      </c>
      <c r="U1398" s="158" t="str">
        <v/>
      </c>
      <c r="V1398" s="158" t="str">
        <v/>
      </c>
      <c r="W1398" s="158" t="str">
        <v/>
      </c>
      <c r="X1398" s="158" t="str">
        <v/>
      </c>
      <c r="Y1398" s="158" t="str">
        <v/>
      </c>
      <c r="Z1398" s="158" t="str">
        <v/>
      </c>
      <c r="AA1398" s="158" t="e">
        <v>#VALUE!</v>
      </c>
      <c r="AB1398" s="171" t="str">
        <v/>
      </c>
      <c r="AC1398" s="158">
        <v>0</v>
      </c>
      <c r="AD1398" s="173" t="str">
        <f ca="1">IFERROR(__xludf.DUMMYFUNCTION("""COMPUTED_VALUE"""),"")</f>
        <v/>
      </c>
      <c r="AE1398" s="154" t="str">
        <v/>
      </c>
      <c r="AF1398" s="154" t="str">
        <v/>
      </c>
    </row>
    <row r="1399" spans="1:32" ht="15">
      <c r="A1399" s="176"/>
      <c r="B1399" s="145"/>
      <c r="C1399" s="169"/>
      <c r="D1399" s="145"/>
      <c r="E1399" s="145"/>
      <c r="F1399" s="169" t="e">
        <v>#VALUE!</v>
      </c>
      <c r="G1399" s="145"/>
      <c r="H1399" s="145"/>
      <c r="I1399" s="145"/>
      <c r="J1399" s="145"/>
      <c r="K1399" s="145"/>
      <c r="L1399" s="145"/>
      <c r="M1399" s="145"/>
      <c r="N1399" s="145"/>
      <c r="O1399" s="174"/>
      <c r="P1399" s="174"/>
      <c r="Q1399" s="158" t="str">
        <v/>
      </c>
      <c r="R1399" s="158" t="str">
        <v/>
      </c>
      <c r="S1399" s="158" t="str">
        <v/>
      </c>
      <c r="T1399" s="158" t="str">
        <v/>
      </c>
      <c r="U1399" s="158" t="str">
        <v/>
      </c>
      <c r="V1399" s="158" t="str">
        <v/>
      </c>
      <c r="W1399" s="158" t="str">
        <v/>
      </c>
      <c r="X1399" s="158" t="str">
        <v/>
      </c>
      <c r="Y1399" s="158" t="str">
        <v/>
      </c>
      <c r="Z1399" s="158" t="str">
        <v/>
      </c>
      <c r="AA1399" s="158" t="e">
        <v>#VALUE!</v>
      </c>
      <c r="AB1399" s="171" t="str">
        <v/>
      </c>
      <c r="AC1399" s="158">
        <v>0</v>
      </c>
      <c r="AD1399" s="173" t="str">
        <f ca="1">IFERROR(__xludf.DUMMYFUNCTION("""COMPUTED_VALUE"""),"")</f>
        <v/>
      </c>
      <c r="AE1399" s="154" t="str">
        <v/>
      </c>
      <c r="AF1399" s="154" t="str">
        <v/>
      </c>
    </row>
    <row r="1400" spans="1:32" ht="15">
      <c r="A1400" s="176"/>
      <c r="B1400" s="145"/>
      <c r="C1400" s="169"/>
      <c r="D1400" s="145"/>
      <c r="E1400" s="145"/>
      <c r="F1400" s="169" t="e">
        <v>#VALUE!</v>
      </c>
      <c r="G1400" s="145"/>
      <c r="H1400" s="145"/>
      <c r="I1400" s="145"/>
      <c r="J1400" s="145"/>
      <c r="K1400" s="145"/>
      <c r="L1400" s="145"/>
      <c r="M1400" s="145"/>
      <c r="N1400" s="145"/>
      <c r="O1400" s="174"/>
      <c r="P1400" s="174"/>
      <c r="Q1400" s="158" t="str">
        <v/>
      </c>
      <c r="R1400" s="158" t="str">
        <v/>
      </c>
      <c r="S1400" s="158" t="str">
        <v/>
      </c>
      <c r="T1400" s="158" t="str">
        <v/>
      </c>
      <c r="U1400" s="158" t="str">
        <v/>
      </c>
      <c r="V1400" s="158" t="str">
        <v/>
      </c>
      <c r="W1400" s="158" t="str">
        <v/>
      </c>
      <c r="X1400" s="158" t="str">
        <v/>
      </c>
      <c r="Y1400" s="158" t="str">
        <v/>
      </c>
      <c r="Z1400" s="158" t="str">
        <v/>
      </c>
      <c r="AA1400" s="158" t="e">
        <v>#VALUE!</v>
      </c>
      <c r="AB1400" s="171" t="str">
        <v/>
      </c>
      <c r="AC1400" s="158">
        <v>0</v>
      </c>
      <c r="AD1400" s="173" t="str">
        <f ca="1">IFERROR(__xludf.DUMMYFUNCTION("""COMPUTED_VALUE"""),"")</f>
        <v/>
      </c>
      <c r="AE1400" s="154" t="str">
        <v/>
      </c>
      <c r="AF1400" s="154" t="str">
        <v/>
      </c>
    </row>
    <row r="1401" spans="1:32" ht="15">
      <c r="A1401" s="176"/>
      <c r="B1401" s="145"/>
      <c r="C1401" s="169"/>
      <c r="D1401" s="145"/>
      <c r="E1401" s="145"/>
      <c r="F1401" s="169" t="e">
        <v>#VALUE!</v>
      </c>
      <c r="G1401" s="145"/>
      <c r="H1401" s="145"/>
      <c r="I1401" s="145"/>
      <c r="J1401" s="145"/>
      <c r="K1401" s="145"/>
      <c r="L1401" s="145"/>
      <c r="M1401" s="145"/>
      <c r="N1401" s="145"/>
      <c r="O1401" s="174"/>
      <c r="P1401" s="174"/>
      <c r="Q1401" s="158" t="str">
        <v/>
      </c>
      <c r="R1401" s="158" t="str">
        <v/>
      </c>
      <c r="S1401" s="158" t="str">
        <v/>
      </c>
      <c r="T1401" s="158" t="str">
        <v/>
      </c>
      <c r="U1401" s="158" t="str">
        <v/>
      </c>
      <c r="V1401" s="158" t="str">
        <v/>
      </c>
      <c r="W1401" s="158" t="str">
        <v/>
      </c>
      <c r="X1401" s="158" t="str">
        <v/>
      </c>
      <c r="Y1401" s="158" t="str">
        <v/>
      </c>
      <c r="Z1401" s="158" t="str">
        <v/>
      </c>
      <c r="AA1401" s="158" t="e">
        <v>#VALUE!</v>
      </c>
      <c r="AB1401" s="171" t="str">
        <v/>
      </c>
      <c r="AC1401" s="158">
        <v>0</v>
      </c>
      <c r="AD1401" s="173" t="str">
        <f ca="1">IFERROR(__xludf.DUMMYFUNCTION("""COMPUTED_VALUE"""),"")</f>
        <v/>
      </c>
      <c r="AE1401" s="154" t="str">
        <v/>
      </c>
      <c r="AF1401" s="154" t="str">
        <v/>
      </c>
    </row>
    <row r="1402" spans="1:32" ht="15">
      <c r="A1402" s="176"/>
      <c r="B1402" s="145"/>
      <c r="C1402" s="169"/>
      <c r="D1402" s="145"/>
      <c r="E1402" s="145"/>
      <c r="F1402" s="169" t="e">
        <v>#VALUE!</v>
      </c>
      <c r="G1402" s="145"/>
      <c r="H1402" s="145"/>
      <c r="I1402" s="145"/>
      <c r="J1402" s="145"/>
      <c r="K1402" s="145"/>
      <c r="L1402" s="145"/>
      <c r="M1402" s="145"/>
      <c r="N1402" s="145"/>
      <c r="O1402" s="174"/>
      <c r="P1402" s="174"/>
      <c r="Q1402" s="158" t="str">
        <v/>
      </c>
      <c r="R1402" s="158" t="str">
        <v/>
      </c>
      <c r="S1402" s="158" t="str">
        <v/>
      </c>
      <c r="T1402" s="158" t="str">
        <v/>
      </c>
      <c r="U1402" s="158" t="str">
        <v/>
      </c>
      <c r="V1402" s="158" t="str">
        <v/>
      </c>
      <c r="W1402" s="158" t="str">
        <v/>
      </c>
      <c r="X1402" s="158" t="str">
        <v/>
      </c>
      <c r="Y1402" s="158" t="str">
        <v/>
      </c>
      <c r="Z1402" s="158" t="str">
        <v/>
      </c>
      <c r="AA1402" s="158" t="e">
        <v>#VALUE!</v>
      </c>
      <c r="AB1402" s="171" t="str">
        <v/>
      </c>
      <c r="AC1402" s="158">
        <v>0</v>
      </c>
      <c r="AD1402" s="173" t="str">
        <f ca="1">IFERROR(__xludf.DUMMYFUNCTION("""COMPUTED_VALUE"""),"")</f>
        <v/>
      </c>
      <c r="AE1402" s="154" t="str">
        <v/>
      </c>
      <c r="AF1402" s="154" t="str">
        <v/>
      </c>
    </row>
    <row r="1403" spans="1:32" ht="15">
      <c r="A1403" s="176"/>
      <c r="B1403" s="145"/>
      <c r="C1403" s="169"/>
      <c r="D1403" s="145"/>
      <c r="E1403" s="145"/>
      <c r="F1403" s="169" t="e">
        <v>#VALUE!</v>
      </c>
      <c r="G1403" s="145"/>
      <c r="H1403" s="145"/>
      <c r="I1403" s="145"/>
      <c r="J1403" s="145"/>
      <c r="K1403" s="145"/>
      <c r="L1403" s="145"/>
      <c r="M1403" s="145"/>
      <c r="N1403" s="145"/>
      <c r="O1403" s="174"/>
      <c r="P1403" s="174"/>
      <c r="Q1403" s="158" t="str">
        <v/>
      </c>
      <c r="R1403" s="158" t="str">
        <v/>
      </c>
      <c r="S1403" s="158" t="str">
        <v/>
      </c>
      <c r="T1403" s="158" t="str">
        <v/>
      </c>
      <c r="U1403" s="158" t="str">
        <v/>
      </c>
      <c r="V1403" s="158" t="str">
        <v/>
      </c>
      <c r="W1403" s="158" t="str">
        <v/>
      </c>
      <c r="X1403" s="158" t="str">
        <v/>
      </c>
      <c r="Y1403" s="158" t="str">
        <v/>
      </c>
      <c r="Z1403" s="158" t="str">
        <v/>
      </c>
      <c r="AA1403" s="158" t="e">
        <v>#VALUE!</v>
      </c>
      <c r="AB1403" s="171" t="str">
        <v/>
      </c>
      <c r="AC1403" s="158">
        <v>0</v>
      </c>
      <c r="AD1403" s="173" t="str">
        <f ca="1">IFERROR(__xludf.DUMMYFUNCTION("""COMPUTED_VALUE"""),"")</f>
        <v/>
      </c>
      <c r="AE1403" s="154" t="str">
        <v/>
      </c>
      <c r="AF1403" s="154" t="str">
        <v/>
      </c>
    </row>
    <row r="1404" spans="1:32" ht="15">
      <c r="A1404" s="176"/>
      <c r="B1404" s="145"/>
      <c r="C1404" s="169"/>
      <c r="D1404" s="145"/>
      <c r="E1404" s="145"/>
      <c r="F1404" s="169" t="e">
        <v>#VALUE!</v>
      </c>
      <c r="G1404" s="145"/>
      <c r="H1404" s="145"/>
      <c r="I1404" s="145"/>
      <c r="J1404" s="145"/>
      <c r="K1404" s="145"/>
      <c r="L1404" s="145"/>
      <c r="M1404" s="145"/>
      <c r="N1404" s="145"/>
      <c r="O1404" s="174"/>
      <c r="P1404" s="174"/>
      <c r="Q1404" s="158" t="str">
        <v/>
      </c>
      <c r="R1404" s="158" t="str">
        <v/>
      </c>
      <c r="S1404" s="158" t="str">
        <v/>
      </c>
      <c r="T1404" s="158" t="str">
        <v/>
      </c>
      <c r="U1404" s="158" t="str">
        <v/>
      </c>
      <c r="V1404" s="158" t="str">
        <v/>
      </c>
      <c r="W1404" s="158" t="str">
        <v/>
      </c>
      <c r="X1404" s="158" t="str">
        <v/>
      </c>
      <c r="Y1404" s="158" t="str">
        <v/>
      </c>
      <c r="Z1404" s="158" t="str">
        <v/>
      </c>
      <c r="AA1404" s="158" t="e">
        <v>#VALUE!</v>
      </c>
      <c r="AB1404" s="171" t="str">
        <v/>
      </c>
      <c r="AC1404" s="158">
        <v>0</v>
      </c>
      <c r="AD1404" s="173" t="str">
        <f ca="1">IFERROR(__xludf.DUMMYFUNCTION("""COMPUTED_VALUE"""),"")</f>
        <v/>
      </c>
      <c r="AE1404" s="154" t="str">
        <v/>
      </c>
      <c r="AF1404" s="154" t="str">
        <v/>
      </c>
    </row>
    <row r="1405" spans="1:32" ht="15">
      <c r="A1405" s="176"/>
      <c r="B1405" s="145"/>
      <c r="C1405" s="169"/>
      <c r="D1405" s="145"/>
      <c r="E1405" s="145"/>
      <c r="F1405" s="169" t="e">
        <v>#VALUE!</v>
      </c>
      <c r="G1405" s="145"/>
      <c r="H1405" s="145"/>
      <c r="I1405" s="145"/>
      <c r="J1405" s="145"/>
      <c r="K1405" s="145"/>
      <c r="L1405" s="145"/>
      <c r="M1405" s="145"/>
      <c r="N1405" s="145"/>
      <c r="O1405" s="174"/>
      <c r="P1405" s="174"/>
      <c r="Q1405" s="158" t="str">
        <v/>
      </c>
      <c r="R1405" s="158" t="str">
        <v/>
      </c>
      <c r="S1405" s="158" t="str">
        <v/>
      </c>
      <c r="T1405" s="158" t="str">
        <v/>
      </c>
      <c r="U1405" s="158" t="str">
        <v/>
      </c>
      <c r="V1405" s="158" t="str">
        <v/>
      </c>
      <c r="W1405" s="158" t="str">
        <v/>
      </c>
      <c r="X1405" s="158" t="str">
        <v/>
      </c>
      <c r="Y1405" s="158" t="str">
        <v/>
      </c>
      <c r="Z1405" s="158" t="str">
        <v/>
      </c>
      <c r="AA1405" s="158" t="e">
        <v>#VALUE!</v>
      </c>
      <c r="AB1405" s="171" t="str">
        <v/>
      </c>
      <c r="AC1405" s="158">
        <v>0</v>
      </c>
      <c r="AD1405" s="173" t="str">
        <f ca="1">IFERROR(__xludf.DUMMYFUNCTION("""COMPUTED_VALUE"""),"")</f>
        <v/>
      </c>
      <c r="AE1405" s="154" t="str">
        <v/>
      </c>
      <c r="AF1405" s="154" t="str">
        <v/>
      </c>
    </row>
    <row r="1406" spans="1:32" ht="15">
      <c r="A1406" s="176"/>
      <c r="B1406" s="145"/>
      <c r="C1406" s="169"/>
      <c r="D1406" s="145"/>
      <c r="E1406" s="145"/>
      <c r="F1406" s="169" t="e">
        <v>#VALUE!</v>
      </c>
      <c r="G1406" s="145"/>
      <c r="H1406" s="145"/>
      <c r="I1406" s="145"/>
      <c r="J1406" s="145"/>
      <c r="K1406" s="145"/>
      <c r="L1406" s="145"/>
      <c r="M1406" s="145"/>
      <c r="N1406" s="145"/>
      <c r="O1406" s="174"/>
      <c r="P1406" s="174"/>
      <c r="Q1406" s="158" t="str">
        <v/>
      </c>
      <c r="R1406" s="158" t="str">
        <v/>
      </c>
      <c r="S1406" s="158" t="str">
        <v/>
      </c>
      <c r="T1406" s="158" t="str">
        <v/>
      </c>
      <c r="U1406" s="158" t="str">
        <v/>
      </c>
      <c r="V1406" s="158" t="str">
        <v/>
      </c>
      <c r="W1406" s="158" t="str">
        <v/>
      </c>
      <c r="X1406" s="158" t="str">
        <v/>
      </c>
      <c r="Y1406" s="158" t="str">
        <v/>
      </c>
      <c r="Z1406" s="158" t="str">
        <v/>
      </c>
      <c r="AA1406" s="158" t="e">
        <v>#VALUE!</v>
      </c>
      <c r="AB1406" s="171" t="str">
        <v/>
      </c>
      <c r="AC1406" s="158">
        <v>0</v>
      </c>
      <c r="AD1406" s="173" t="str">
        <f ca="1">IFERROR(__xludf.DUMMYFUNCTION("""COMPUTED_VALUE"""),"")</f>
        <v/>
      </c>
      <c r="AE1406" s="154" t="str">
        <v/>
      </c>
      <c r="AF1406" s="154" t="str">
        <v/>
      </c>
    </row>
    <row r="1407" spans="1:32" ht="15">
      <c r="A1407" s="176"/>
      <c r="B1407" s="145"/>
      <c r="C1407" s="169"/>
      <c r="D1407" s="145"/>
      <c r="E1407" s="145"/>
      <c r="F1407" s="169" t="e">
        <v>#VALUE!</v>
      </c>
      <c r="G1407" s="145"/>
      <c r="H1407" s="145"/>
      <c r="I1407" s="145"/>
      <c r="J1407" s="145"/>
      <c r="K1407" s="145"/>
      <c r="L1407" s="145"/>
      <c r="M1407" s="145"/>
      <c r="N1407" s="145"/>
      <c r="O1407" s="174"/>
      <c r="P1407" s="174"/>
      <c r="Q1407" s="158" t="str">
        <v/>
      </c>
      <c r="R1407" s="158" t="str">
        <v/>
      </c>
      <c r="S1407" s="158" t="str">
        <v/>
      </c>
      <c r="T1407" s="158" t="str">
        <v/>
      </c>
      <c r="U1407" s="158" t="str">
        <v/>
      </c>
      <c r="V1407" s="158" t="str">
        <v/>
      </c>
      <c r="W1407" s="158" t="str">
        <v/>
      </c>
      <c r="X1407" s="158" t="str">
        <v/>
      </c>
      <c r="Y1407" s="158" t="str">
        <v/>
      </c>
      <c r="Z1407" s="158" t="str">
        <v/>
      </c>
      <c r="AA1407" s="158" t="e">
        <v>#VALUE!</v>
      </c>
      <c r="AB1407" s="171" t="str">
        <v/>
      </c>
      <c r="AC1407" s="158">
        <v>0</v>
      </c>
      <c r="AD1407" s="173" t="str">
        <f ca="1">IFERROR(__xludf.DUMMYFUNCTION("""COMPUTED_VALUE"""),"")</f>
        <v/>
      </c>
      <c r="AE1407" s="154" t="str">
        <v/>
      </c>
      <c r="AF1407" s="154" t="str">
        <v/>
      </c>
    </row>
    <row r="1408" spans="1:32" ht="15">
      <c r="A1408" s="176"/>
      <c r="B1408" s="145"/>
      <c r="C1408" s="169"/>
      <c r="D1408" s="145"/>
      <c r="E1408" s="145"/>
      <c r="F1408" s="169" t="e">
        <v>#VALUE!</v>
      </c>
      <c r="G1408" s="145"/>
      <c r="H1408" s="145"/>
      <c r="I1408" s="145"/>
      <c r="J1408" s="145"/>
      <c r="K1408" s="145"/>
      <c r="L1408" s="145"/>
      <c r="M1408" s="145"/>
      <c r="N1408" s="145"/>
      <c r="O1408" s="174"/>
      <c r="P1408" s="174"/>
      <c r="Q1408" s="158" t="str">
        <v/>
      </c>
      <c r="R1408" s="158" t="str">
        <v/>
      </c>
      <c r="S1408" s="158" t="str">
        <v/>
      </c>
      <c r="T1408" s="158" t="str">
        <v/>
      </c>
      <c r="U1408" s="158" t="str">
        <v/>
      </c>
      <c r="V1408" s="158" t="str">
        <v/>
      </c>
      <c r="W1408" s="158" t="str">
        <v/>
      </c>
      <c r="X1408" s="158" t="str">
        <v/>
      </c>
      <c r="Y1408" s="158" t="str">
        <v/>
      </c>
      <c r="Z1408" s="158" t="str">
        <v/>
      </c>
      <c r="AA1408" s="158" t="e">
        <v>#VALUE!</v>
      </c>
      <c r="AB1408" s="171" t="str">
        <v/>
      </c>
      <c r="AC1408" s="158">
        <v>0</v>
      </c>
      <c r="AD1408" s="173" t="str">
        <f ca="1">IFERROR(__xludf.DUMMYFUNCTION("""COMPUTED_VALUE"""),"")</f>
        <v/>
      </c>
      <c r="AE1408" s="154" t="str">
        <v/>
      </c>
      <c r="AF1408" s="154" t="str">
        <v/>
      </c>
    </row>
    <row r="1409" spans="1:32" ht="15">
      <c r="A1409" s="176"/>
      <c r="B1409" s="145"/>
      <c r="C1409" s="169"/>
      <c r="D1409" s="145"/>
      <c r="E1409" s="145"/>
      <c r="F1409" s="169" t="e">
        <v>#VALUE!</v>
      </c>
      <c r="G1409" s="145"/>
      <c r="H1409" s="145"/>
      <c r="I1409" s="145"/>
      <c r="J1409" s="145"/>
      <c r="K1409" s="145"/>
      <c r="L1409" s="145"/>
      <c r="M1409" s="145"/>
      <c r="N1409" s="145"/>
      <c r="O1409" s="174"/>
      <c r="P1409" s="174"/>
      <c r="Q1409" s="158" t="str">
        <v/>
      </c>
      <c r="R1409" s="158" t="str">
        <v/>
      </c>
      <c r="S1409" s="158" t="str">
        <v/>
      </c>
      <c r="T1409" s="158" t="str">
        <v/>
      </c>
      <c r="U1409" s="158" t="str">
        <v/>
      </c>
      <c r="V1409" s="158" t="str">
        <v/>
      </c>
      <c r="W1409" s="158" t="str">
        <v/>
      </c>
      <c r="X1409" s="158" t="str">
        <v/>
      </c>
      <c r="Y1409" s="158" t="str">
        <v/>
      </c>
      <c r="Z1409" s="158" t="str">
        <v/>
      </c>
      <c r="AA1409" s="158" t="e">
        <v>#VALUE!</v>
      </c>
      <c r="AB1409" s="171" t="str">
        <v/>
      </c>
      <c r="AC1409" s="158">
        <v>0</v>
      </c>
      <c r="AD1409" s="173" t="str">
        <f ca="1">IFERROR(__xludf.DUMMYFUNCTION("""COMPUTED_VALUE"""),"")</f>
        <v/>
      </c>
      <c r="AE1409" s="154" t="str">
        <v/>
      </c>
      <c r="AF1409" s="154" t="str">
        <v/>
      </c>
    </row>
    <row r="1410" spans="1:32" ht="15">
      <c r="A1410" s="176"/>
      <c r="B1410" s="145"/>
      <c r="C1410" s="169"/>
      <c r="D1410" s="145"/>
      <c r="E1410" s="145"/>
      <c r="F1410" s="169" t="e">
        <v>#VALUE!</v>
      </c>
      <c r="G1410" s="145"/>
      <c r="H1410" s="145"/>
      <c r="I1410" s="145"/>
      <c r="J1410" s="145"/>
      <c r="K1410" s="145"/>
      <c r="L1410" s="145"/>
      <c r="M1410" s="145"/>
      <c r="N1410" s="145"/>
      <c r="O1410" s="174"/>
      <c r="P1410" s="174"/>
      <c r="Q1410" s="158" t="str">
        <v/>
      </c>
      <c r="R1410" s="158" t="str">
        <v/>
      </c>
      <c r="S1410" s="158" t="str">
        <v/>
      </c>
      <c r="T1410" s="158" t="str">
        <v/>
      </c>
      <c r="U1410" s="158" t="str">
        <v/>
      </c>
      <c r="V1410" s="158" t="str">
        <v/>
      </c>
      <c r="W1410" s="158" t="str">
        <v/>
      </c>
      <c r="X1410" s="158" t="str">
        <v/>
      </c>
      <c r="Y1410" s="158" t="str">
        <v/>
      </c>
      <c r="Z1410" s="158" t="str">
        <v/>
      </c>
      <c r="AA1410" s="158" t="e">
        <v>#VALUE!</v>
      </c>
      <c r="AB1410" s="171" t="str">
        <v/>
      </c>
      <c r="AC1410" s="158">
        <v>0</v>
      </c>
      <c r="AD1410" s="173" t="str">
        <f ca="1">IFERROR(__xludf.DUMMYFUNCTION("""COMPUTED_VALUE"""),"")</f>
        <v/>
      </c>
      <c r="AE1410" s="154" t="str">
        <v/>
      </c>
      <c r="AF1410" s="154" t="str">
        <v/>
      </c>
    </row>
    <row r="1411" spans="1:32" ht="15">
      <c r="A1411" s="176"/>
      <c r="B1411" s="145"/>
      <c r="C1411" s="169"/>
      <c r="D1411" s="145"/>
      <c r="E1411" s="145"/>
      <c r="F1411" s="169" t="e">
        <v>#VALUE!</v>
      </c>
      <c r="G1411" s="145"/>
      <c r="H1411" s="145"/>
      <c r="I1411" s="145"/>
      <c r="J1411" s="145"/>
      <c r="K1411" s="145"/>
      <c r="L1411" s="145"/>
      <c r="M1411" s="145"/>
      <c r="N1411" s="145"/>
      <c r="O1411" s="174"/>
      <c r="P1411" s="174"/>
      <c r="Q1411" s="158" t="str">
        <v/>
      </c>
      <c r="R1411" s="158" t="str">
        <v/>
      </c>
      <c r="S1411" s="158" t="str">
        <v/>
      </c>
      <c r="T1411" s="158" t="str">
        <v/>
      </c>
      <c r="U1411" s="158" t="str">
        <v/>
      </c>
      <c r="V1411" s="158" t="str">
        <v/>
      </c>
      <c r="W1411" s="158" t="str">
        <v/>
      </c>
      <c r="X1411" s="158" t="str">
        <v/>
      </c>
      <c r="Y1411" s="158" t="str">
        <v/>
      </c>
      <c r="Z1411" s="158" t="str">
        <v/>
      </c>
      <c r="AA1411" s="158" t="e">
        <v>#VALUE!</v>
      </c>
      <c r="AB1411" s="171" t="str">
        <v/>
      </c>
      <c r="AC1411" s="158">
        <v>0</v>
      </c>
      <c r="AD1411" s="173" t="str">
        <f ca="1">IFERROR(__xludf.DUMMYFUNCTION("""COMPUTED_VALUE"""),"")</f>
        <v/>
      </c>
      <c r="AE1411" s="154" t="str">
        <v/>
      </c>
      <c r="AF1411" s="154" t="str">
        <v/>
      </c>
    </row>
    <row r="1412" spans="1:32" ht="15">
      <c r="A1412" s="176"/>
      <c r="B1412" s="145"/>
      <c r="C1412" s="169"/>
      <c r="D1412" s="145"/>
      <c r="E1412" s="145"/>
      <c r="F1412" s="169" t="e">
        <v>#VALUE!</v>
      </c>
      <c r="G1412" s="145"/>
      <c r="H1412" s="145"/>
      <c r="I1412" s="145"/>
      <c r="J1412" s="145"/>
      <c r="K1412" s="145"/>
      <c r="L1412" s="145"/>
      <c r="M1412" s="145"/>
      <c r="N1412" s="145"/>
      <c r="O1412" s="174"/>
      <c r="P1412" s="174"/>
      <c r="Q1412" s="158" t="str">
        <v/>
      </c>
      <c r="R1412" s="158" t="str">
        <v/>
      </c>
      <c r="S1412" s="158" t="str">
        <v/>
      </c>
      <c r="T1412" s="158" t="str">
        <v/>
      </c>
      <c r="U1412" s="158" t="str">
        <v/>
      </c>
      <c r="V1412" s="158" t="str">
        <v/>
      </c>
      <c r="W1412" s="158" t="str">
        <v/>
      </c>
      <c r="X1412" s="158" t="str">
        <v/>
      </c>
      <c r="Y1412" s="158" t="str">
        <v/>
      </c>
      <c r="Z1412" s="158" t="str">
        <v/>
      </c>
      <c r="AA1412" s="158" t="e">
        <v>#VALUE!</v>
      </c>
      <c r="AB1412" s="171" t="str">
        <v/>
      </c>
      <c r="AC1412" s="158">
        <v>0</v>
      </c>
      <c r="AD1412" s="173" t="str">
        <f ca="1">IFERROR(__xludf.DUMMYFUNCTION("""COMPUTED_VALUE"""),"")</f>
        <v/>
      </c>
      <c r="AE1412" s="154" t="str">
        <v/>
      </c>
      <c r="AF1412" s="154" t="str">
        <v/>
      </c>
    </row>
    <row r="1413" spans="1:32" ht="15">
      <c r="A1413" s="176"/>
      <c r="B1413" s="145"/>
      <c r="C1413" s="169"/>
      <c r="D1413" s="145"/>
      <c r="E1413" s="145"/>
      <c r="F1413" s="169" t="e">
        <v>#VALUE!</v>
      </c>
      <c r="G1413" s="145"/>
      <c r="H1413" s="145"/>
      <c r="I1413" s="145"/>
      <c r="J1413" s="145"/>
      <c r="K1413" s="145"/>
      <c r="L1413" s="145"/>
      <c r="M1413" s="145"/>
      <c r="N1413" s="145"/>
      <c r="O1413" s="174"/>
      <c r="P1413" s="174"/>
      <c r="Q1413" s="158" t="str">
        <v/>
      </c>
      <c r="R1413" s="158" t="str">
        <v/>
      </c>
      <c r="S1413" s="158" t="str">
        <v/>
      </c>
      <c r="T1413" s="158" t="str">
        <v/>
      </c>
      <c r="U1413" s="158" t="str">
        <v/>
      </c>
      <c r="V1413" s="158" t="str">
        <v/>
      </c>
      <c r="W1413" s="158" t="str">
        <v/>
      </c>
      <c r="X1413" s="158" t="str">
        <v/>
      </c>
      <c r="Y1413" s="158" t="str">
        <v/>
      </c>
      <c r="Z1413" s="158" t="str">
        <v/>
      </c>
      <c r="AA1413" s="158" t="e">
        <v>#VALUE!</v>
      </c>
      <c r="AB1413" s="171" t="str">
        <v/>
      </c>
      <c r="AC1413" s="158">
        <v>0</v>
      </c>
      <c r="AD1413" s="173" t="str">
        <f ca="1">IFERROR(__xludf.DUMMYFUNCTION("""COMPUTED_VALUE"""),"")</f>
        <v/>
      </c>
      <c r="AE1413" s="154" t="str">
        <v/>
      </c>
      <c r="AF1413" s="154" t="str">
        <v/>
      </c>
    </row>
    <row r="1414" spans="1:32" ht="15">
      <c r="A1414" s="176"/>
      <c r="B1414" s="145"/>
      <c r="C1414" s="169"/>
      <c r="D1414" s="145"/>
      <c r="E1414" s="145"/>
      <c r="F1414" s="169" t="e">
        <v>#VALUE!</v>
      </c>
      <c r="G1414" s="145"/>
      <c r="H1414" s="145"/>
      <c r="I1414" s="145"/>
      <c r="J1414" s="145"/>
      <c r="K1414" s="145"/>
      <c r="L1414" s="145"/>
      <c r="M1414" s="145"/>
      <c r="N1414" s="145"/>
      <c r="O1414" s="174"/>
      <c r="P1414" s="174"/>
      <c r="Q1414" s="158" t="str">
        <v/>
      </c>
      <c r="R1414" s="158" t="str">
        <v/>
      </c>
      <c r="S1414" s="158" t="str">
        <v/>
      </c>
      <c r="T1414" s="158" t="str">
        <v/>
      </c>
      <c r="U1414" s="158" t="str">
        <v/>
      </c>
      <c r="V1414" s="158" t="str">
        <v/>
      </c>
      <c r="W1414" s="158" t="str">
        <v/>
      </c>
      <c r="X1414" s="158" t="str">
        <v/>
      </c>
      <c r="Y1414" s="158" t="str">
        <v/>
      </c>
      <c r="Z1414" s="158" t="str">
        <v/>
      </c>
      <c r="AA1414" s="158" t="e">
        <v>#VALUE!</v>
      </c>
      <c r="AB1414" s="171" t="str">
        <v/>
      </c>
      <c r="AC1414" s="158">
        <v>0</v>
      </c>
      <c r="AD1414" s="173" t="str">
        <f ca="1">IFERROR(__xludf.DUMMYFUNCTION("""COMPUTED_VALUE"""),"")</f>
        <v/>
      </c>
      <c r="AE1414" s="154" t="str">
        <v/>
      </c>
      <c r="AF1414" s="154" t="str">
        <v/>
      </c>
    </row>
    <row r="1415" spans="1:32" ht="15">
      <c r="A1415" s="176"/>
      <c r="B1415" s="145"/>
      <c r="C1415" s="169"/>
      <c r="D1415" s="145"/>
      <c r="E1415" s="145"/>
      <c r="F1415" s="169" t="e">
        <v>#VALUE!</v>
      </c>
      <c r="G1415" s="145"/>
      <c r="H1415" s="145"/>
      <c r="I1415" s="145"/>
      <c r="J1415" s="145"/>
      <c r="K1415" s="145"/>
      <c r="L1415" s="145"/>
      <c r="M1415" s="145"/>
      <c r="N1415" s="145"/>
      <c r="O1415" s="174"/>
      <c r="P1415" s="174"/>
      <c r="Q1415" s="158" t="str">
        <v/>
      </c>
      <c r="R1415" s="158" t="str">
        <v/>
      </c>
      <c r="S1415" s="158" t="str">
        <v/>
      </c>
      <c r="T1415" s="158" t="str">
        <v/>
      </c>
      <c r="U1415" s="158" t="str">
        <v/>
      </c>
      <c r="V1415" s="158" t="str">
        <v/>
      </c>
      <c r="W1415" s="158" t="str">
        <v/>
      </c>
      <c r="X1415" s="158" t="str">
        <v/>
      </c>
      <c r="Y1415" s="158" t="str">
        <v/>
      </c>
      <c r="Z1415" s="158" t="str">
        <v/>
      </c>
      <c r="AA1415" s="158" t="e">
        <v>#VALUE!</v>
      </c>
      <c r="AB1415" s="171" t="str">
        <v/>
      </c>
      <c r="AC1415" s="158">
        <v>0</v>
      </c>
      <c r="AD1415" s="173" t="str">
        <f ca="1">IFERROR(__xludf.DUMMYFUNCTION("""COMPUTED_VALUE"""),"")</f>
        <v/>
      </c>
      <c r="AE1415" s="154" t="str">
        <v/>
      </c>
      <c r="AF1415" s="154" t="str">
        <v/>
      </c>
    </row>
    <row r="1416" spans="1:32" ht="15">
      <c r="A1416" s="176"/>
      <c r="B1416" s="145"/>
      <c r="C1416" s="169"/>
      <c r="D1416" s="145"/>
      <c r="E1416" s="145"/>
      <c r="F1416" s="169" t="e">
        <v>#VALUE!</v>
      </c>
      <c r="G1416" s="145"/>
      <c r="H1416" s="145"/>
      <c r="I1416" s="145"/>
      <c r="J1416" s="145"/>
      <c r="K1416" s="145"/>
      <c r="L1416" s="145"/>
      <c r="M1416" s="145"/>
      <c r="N1416" s="145"/>
      <c r="O1416" s="174"/>
      <c r="P1416" s="174"/>
      <c r="Q1416" s="158" t="str">
        <v/>
      </c>
      <c r="R1416" s="158" t="str">
        <v/>
      </c>
      <c r="S1416" s="158" t="str">
        <v/>
      </c>
      <c r="T1416" s="158" t="str">
        <v/>
      </c>
      <c r="U1416" s="158" t="str">
        <v/>
      </c>
      <c r="V1416" s="158" t="str">
        <v/>
      </c>
      <c r="W1416" s="158" t="str">
        <v/>
      </c>
      <c r="X1416" s="158" t="str">
        <v/>
      </c>
      <c r="Y1416" s="158" t="str">
        <v/>
      </c>
      <c r="Z1416" s="158" t="str">
        <v/>
      </c>
      <c r="AA1416" s="158" t="e">
        <v>#VALUE!</v>
      </c>
      <c r="AB1416" s="171" t="str">
        <v/>
      </c>
      <c r="AC1416" s="158">
        <v>0</v>
      </c>
      <c r="AD1416" s="173" t="str">
        <f ca="1">IFERROR(__xludf.DUMMYFUNCTION("""COMPUTED_VALUE"""),"")</f>
        <v/>
      </c>
      <c r="AE1416" s="154" t="str">
        <v/>
      </c>
      <c r="AF1416" s="154" t="str">
        <v/>
      </c>
    </row>
    <row r="1417" spans="1:32" ht="15">
      <c r="A1417" s="176"/>
      <c r="B1417" s="145"/>
      <c r="C1417" s="169"/>
      <c r="D1417" s="145"/>
      <c r="E1417" s="145"/>
      <c r="F1417" s="169" t="e">
        <v>#VALUE!</v>
      </c>
      <c r="G1417" s="145"/>
      <c r="H1417" s="145"/>
      <c r="I1417" s="145"/>
      <c r="J1417" s="145"/>
      <c r="K1417" s="145"/>
      <c r="L1417" s="145"/>
      <c r="M1417" s="145"/>
      <c r="N1417" s="145"/>
      <c r="O1417" s="174"/>
      <c r="P1417" s="174"/>
      <c r="Q1417" s="158" t="str">
        <v/>
      </c>
      <c r="R1417" s="158" t="str">
        <v/>
      </c>
      <c r="S1417" s="158" t="str">
        <v/>
      </c>
      <c r="T1417" s="158" t="str">
        <v/>
      </c>
      <c r="U1417" s="158" t="str">
        <v/>
      </c>
      <c r="V1417" s="158" t="str">
        <v/>
      </c>
      <c r="W1417" s="158" t="str">
        <v/>
      </c>
      <c r="X1417" s="158" t="str">
        <v/>
      </c>
      <c r="Y1417" s="158" t="str">
        <v/>
      </c>
      <c r="Z1417" s="158" t="str">
        <v/>
      </c>
      <c r="AA1417" s="158" t="e">
        <v>#VALUE!</v>
      </c>
      <c r="AB1417" s="171" t="str">
        <v/>
      </c>
      <c r="AC1417" s="158">
        <v>0</v>
      </c>
      <c r="AD1417" s="173" t="str">
        <f ca="1">IFERROR(__xludf.DUMMYFUNCTION("""COMPUTED_VALUE"""),"")</f>
        <v/>
      </c>
      <c r="AE1417" s="154" t="str">
        <v/>
      </c>
      <c r="AF1417" s="154" t="str">
        <v/>
      </c>
    </row>
    <row r="1418" spans="1:32" ht="15">
      <c r="A1418" s="176"/>
      <c r="B1418" s="145"/>
      <c r="C1418" s="169"/>
      <c r="D1418" s="145"/>
      <c r="E1418" s="145"/>
      <c r="F1418" s="169" t="e">
        <v>#VALUE!</v>
      </c>
      <c r="G1418" s="145"/>
      <c r="H1418" s="145"/>
      <c r="I1418" s="145"/>
      <c r="J1418" s="145"/>
      <c r="K1418" s="145"/>
      <c r="L1418" s="145"/>
      <c r="M1418" s="145"/>
      <c r="N1418" s="145"/>
      <c r="O1418" s="174"/>
      <c r="P1418" s="174"/>
      <c r="Q1418" s="158" t="str">
        <v/>
      </c>
      <c r="R1418" s="158" t="str">
        <v/>
      </c>
      <c r="S1418" s="158" t="str">
        <v/>
      </c>
      <c r="T1418" s="158" t="str">
        <v/>
      </c>
      <c r="U1418" s="158" t="str">
        <v/>
      </c>
      <c r="V1418" s="158" t="str">
        <v/>
      </c>
      <c r="W1418" s="158" t="str">
        <v/>
      </c>
      <c r="X1418" s="158" t="str">
        <v/>
      </c>
      <c r="Y1418" s="158" t="str">
        <v/>
      </c>
      <c r="Z1418" s="158" t="str">
        <v/>
      </c>
      <c r="AA1418" s="158" t="e">
        <v>#VALUE!</v>
      </c>
      <c r="AB1418" s="171" t="str">
        <v/>
      </c>
      <c r="AC1418" s="158">
        <v>0</v>
      </c>
      <c r="AD1418" s="173" t="str">
        <f ca="1">IFERROR(__xludf.DUMMYFUNCTION("""COMPUTED_VALUE"""),"")</f>
        <v/>
      </c>
      <c r="AE1418" s="154" t="str">
        <v/>
      </c>
      <c r="AF1418" s="154" t="str">
        <v/>
      </c>
    </row>
    <row r="1419" spans="1:32" ht="15">
      <c r="A1419" s="176"/>
      <c r="B1419" s="145"/>
      <c r="C1419" s="169"/>
      <c r="D1419" s="145"/>
      <c r="E1419" s="145"/>
      <c r="F1419" s="169" t="e">
        <v>#VALUE!</v>
      </c>
      <c r="G1419" s="145"/>
      <c r="H1419" s="145"/>
      <c r="I1419" s="145"/>
      <c r="J1419" s="145"/>
      <c r="K1419" s="145"/>
      <c r="L1419" s="145"/>
      <c r="M1419" s="145"/>
      <c r="N1419" s="145"/>
      <c r="O1419" s="174"/>
      <c r="P1419" s="174"/>
      <c r="Q1419" s="158" t="str">
        <v/>
      </c>
      <c r="R1419" s="158" t="str">
        <v/>
      </c>
      <c r="S1419" s="158" t="str">
        <v/>
      </c>
      <c r="T1419" s="158" t="str">
        <v/>
      </c>
      <c r="U1419" s="158" t="str">
        <v/>
      </c>
      <c r="V1419" s="158" t="str">
        <v/>
      </c>
      <c r="W1419" s="158" t="str">
        <v/>
      </c>
      <c r="X1419" s="158" t="str">
        <v/>
      </c>
      <c r="Y1419" s="158" t="str">
        <v/>
      </c>
      <c r="Z1419" s="158" t="str">
        <v/>
      </c>
      <c r="AA1419" s="158" t="e">
        <v>#VALUE!</v>
      </c>
      <c r="AB1419" s="171" t="str">
        <v/>
      </c>
      <c r="AC1419" s="158">
        <v>0</v>
      </c>
      <c r="AD1419" s="173" t="str">
        <f ca="1">IFERROR(__xludf.DUMMYFUNCTION("""COMPUTED_VALUE"""),"")</f>
        <v/>
      </c>
      <c r="AE1419" s="154" t="str">
        <v/>
      </c>
      <c r="AF1419" s="154" t="str">
        <v/>
      </c>
    </row>
    <row r="1420" spans="1:32" ht="15">
      <c r="A1420" s="176"/>
      <c r="B1420" s="145"/>
      <c r="C1420" s="169"/>
      <c r="D1420" s="145"/>
      <c r="E1420" s="145"/>
      <c r="F1420" s="169" t="e">
        <v>#VALUE!</v>
      </c>
      <c r="G1420" s="145"/>
      <c r="H1420" s="145"/>
      <c r="I1420" s="145"/>
      <c r="J1420" s="145"/>
      <c r="K1420" s="145"/>
      <c r="L1420" s="145"/>
      <c r="M1420" s="145"/>
      <c r="N1420" s="145"/>
      <c r="O1420" s="174"/>
      <c r="P1420" s="174"/>
      <c r="Q1420" s="158" t="str">
        <v/>
      </c>
      <c r="R1420" s="158" t="str">
        <v/>
      </c>
      <c r="S1420" s="158" t="str">
        <v/>
      </c>
      <c r="T1420" s="158" t="str">
        <v/>
      </c>
      <c r="U1420" s="158" t="str">
        <v/>
      </c>
      <c r="V1420" s="158" t="str">
        <v/>
      </c>
      <c r="W1420" s="158" t="str">
        <v/>
      </c>
      <c r="X1420" s="158" t="str">
        <v/>
      </c>
      <c r="Y1420" s="158" t="str">
        <v/>
      </c>
      <c r="Z1420" s="158" t="str">
        <v/>
      </c>
      <c r="AA1420" s="158" t="e">
        <v>#VALUE!</v>
      </c>
      <c r="AB1420" s="171" t="str">
        <v/>
      </c>
      <c r="AC1420" s="158">
        <v>0</v>
      </c>
      <c r="AD1420" s="173" t="str">
        <f ca="1">IFERROR(__xludf.DUMMYFUNCTION("""COMPUTED_VALUE"""),"")</f>
        <v/>
      </c>
      <c r="AE1420" s="154" t="str">
        <v/>
      </c>
      <c r="AF1420" s="154" t="str">
        <v/>
      </c>
    </row>
    <row r="1421" spans="1:32" ht="15">
      <c r="A1421" s="176"/>
      <c r="B1421" s="145"/>
      <c r="C1421" s="169"/>
      <c r="D1421" s="145"/>
      <c r="E1421" s="145"/>
      <c r="F1421" s="169" t="e">
        <v>#VALUE!</v>
      </c>
      <c r="G1421" s="145"/>
      <c r="H1421" s="145"/>
      <c r="I1421" s="145"/>
      <c r="J1421" s="145"/>
      <c r="K1421" s="145"/>
      <c r="L1421" s="145"/>
      <c r="M1421" s="145"/>
      <c r="N1421" s="145"/>
      <c r="O1421" s="174"/>
      <c r="P1421" s="174"/>
      <c r="Q1421" s="158" t="str">
        <v/>
      </c>
      <c r="R1421" s="158" t="str">
        <v/>
      </c>
      <c r="S1421" s="158" t="str">
        <v/>
      </c>
      <c r="T1421" s="158" t="str">
        <v/>
      </c>
      <c r="U1421" s="158" t="str">
        <v/>
      </c>
      <c r="V1421" s="158" t="str">
        <v/>
      </c>
      <c r="W1421" s="158" t="str">
        <v/>
      </c>
      <c r="X1421" s="158" t="str">
        <v/>
      </c>
      <c r="Y1421" s="158" t="str">
        <v/>
      </c>
      <c r="Z1421" s="158" t="str">
        <v/>
      </c>
      <c r="AA1421" s="158" t="e">
        <v>#VALUE!</v>
      </c>
      <c r="AB1421" s="171" t="str">
        <v/>
      </c>
      <c r="AC1421" s="158">
        <v>0</v>
      </c>
      <c r="AD1421" s="173" t="str">
        <f ca="1">IFERROR(__xludf.DUMMYFUNCTION("""COMPUTED_VALUE"""),"")</f>
        <v/>
      </c>
      <c r="AE1421" s="154" t="str">
        <v/>
      </c>
      <c r="AF1421" s="154" t="str">
        <v/>
      </c>
    </row>
    <row r="1422" spans="1:32" ht="15">
      <c r="A1422" s="176"/>
      <c r="B1422" s="145"/>
      <c r="C1422" s="169"/>
      <c r="D1422" s="145"/>
      <c r="E1422" s="145"/>
      <c r="F1422" s="169" t="e">
        <v>#VALUE!</v>
      </c>
      <c r="G1422" s="145"/>
      <c r="H1422" s="145"/>
      <c r="I1422" s="145"/>
      <c r="J1422" s="145"/>
      <c r="K1422" s="145"/>
      <c r="L1422" s="145"/>
      <c r="M1422" s="145"/>
      <c r="N1422" s="145"/>
      <c r="O1422" s="174"/>
      <c r="P1422" s="174"/>
      <c r="Q1422" s="158" t="str">
        <v/>
      </c>
      <c r="R1422" s="158" t="str">
        <v/>
      </c>
      <c r="S1422" s="158" t="str">
        <v/>
      </c>
      <c r="T1422" s="158" t="str">
        <v/>
      </c>
      <c r="U1422" s="158" t="str">
        <v/>
      </c>
      <c r="V1422" s="158" t="str">
        <v/>
      </c>
      <c r="W1422" s="158" t="str">
        <v/>
      </c>
      <c r="X1422" s="158" t="str">
        <v/>
      </c>
      <c r="Y1422" s="158" t="str">
        <v/>
      </c>
      <c r="Z1422" s="158" t="str">
        <v/>
      </c>
      <c r="AA1422" s="158" t="e">
        <v>#VALUE!</v>
      </c>
      <c r="AB1422" s="171" t="str">
        <v/>
      </c>
      <c r="AC1422" s="158">
        <v>0</v>
      </c>
      <c r="AD1422" s="173" t="str">
        <f ca="1">IFERROR(__xludf.DUMMYFUNCTION("""COMPUTED_VALUE"""),"")</f>
        <v/>
      </c>
      <c r="AE1422" s="154" t="str">
        <v/>
      </c>
      <c r="AF1422" s="154" t="str">
        <v/>
      </c>
    </row>
    <row r="1423" spans="1:32" ht="15">
      <c r="A1423" s="176"/>
      <c r="B1423" s="145"/>
      <c r="C1423" s="169"/>
      <c r="D1423" s="145"/>
      <c r="E1423" s="145"/>
      <c r="F1423" s="169" t="e">
        <v>#VALUE!</v>
      </c>
      <c r="G1423" s="145"/>
      <c r="H1423" s="145"/>
      <c r="I1423" s="145"/>
      <c r="J1423" s="145"/>
      <c r="K1423" s="145"/>
      <c r="L1423" s="145"/>
      <c r="M1423" s="145"/>
      <c r="N1423" s="145"/>
      <c r="O1423" s="174"/>
      <c r="P1423" s="174"/>
      <c r="Q1423" s="158" t="str">
        <v/>
      </c>
      <c r="R1423" s="158" t="str">
        <v/>
      </c>
      <c r="S1423" s="158" t="str">
        <v/>
      </c>
      <c r="T1423" s="158" t="str">
        <v/>
      </c>
      <c r="U1423" s="158" t="str">
        <v/>
      </c>
      <c r="V1423" s="158" t="str">
        <v/>
      </c>
      <c r="W1423" s="158" t="str">
        <v/>
      </c>
      <c r="X1423" s="158" t="str">
        <v/>
      </c>
      <c r="Y1423" s="158" t="str">
        <v/>
      </c>
      <c r="Z1423" s="158" t="str">
        <v/>
      </c>
      <c r="AA1423" s="158" t="e">
        <v>#VALUE!</v>
      </c>
      <c r="AB1423" s="171" t="str">
        <v/>
      </c>
      <c r="AC1423" s="158">
        <v>0</v>
      </c>
      <c r="AD1423" s="173" t="str">
        <f ca="1">IFERROR(__xludf.DUMMYFUNCTION("""COMPUTED_VALUE"""),"")</f>
        <v/>
      </c>
      <c r="AE1423" s="154" t="str">
        <v/>
      </c>
      <c r="AF1423" s="154" t="str">
        <v/>
      </c>
    </row>
    <row r="1424" spans="1:32" ht="15">
      <c r="A1424" s="176"/>
      <c r="B1424" s="145"/>
      <c r="C1424" s="169"/>
      <c r="D1424" s="145"/>
      <c r="E1424" s="145"/>
      <c r="F1424" s="169" t="e">
        <v>#VALUE!</v>
      </c>
      <c r="G1424" s="145"/>
      <c r="H1424" s="145"/>
      <c r="I1424" s="145"/>
      <c r="J1424" s="145"/>
      <c r="K1424" s="145"/>
      <c r="L1424" s="145"/>
      <c r="M1424" s="145"/>
      <c r="N1424" s="145"/>
      <c r="O1424" s="174"/>
      <c r="P1424" s="174"/>
      <c r="Q1424" s="158" t="str">
        <v/>
      </c>
      <c r="R1424" s="158" t="str">
        <v/>
      </c>
      <c r="S1424" s="158" t="str">
        <v/>
      </c>
      <c r="T1424" s="158" t="str">
        <v/>
      </c>
      <c r="U1424" s="158" t="str">
        <v/>
      </c>
      <c r="V1424" s="158" t="str">
        <v/>
      </c>
      <c r="W1424" s="158" t="str">
        <v/>
      </c>
      <c r="X1424" s="158" t="str">
        <v/>
      </c>
      <c r="Y1424" s="158" t="str">
        <v/>
      </c>
      <c r="Z1424" s="158" t="str">
        <v/>
      </c>
      <c r="AA1424" s="158" t="e">
        <v>#VALUE!</v>
      </c>
      <c r="AB1424" s="171" t="str">
        <v/>
      </c>
      <c r="AC1424" s="158">
        <v>0</v>
      </c>
      <c r="AD1424" s="173" t="str">
        <f ca="1">IFERROR(__xludf.DUMMYFUNCTION("""COMPUTED_VALUE"""),"")</f>
        <v/>
      </c>
      <c r="AE1424" s="154" t="str">
        <v/>
      </c>
      <c r="AF1424" s="154" t="str">
        <v/>
      </c>
    </row>
    <row r="1425" spans="1:32" ht="15">
      <c r="A1425" s="176"/>
      <c r="B1425" s="145"/>
      <c r="C1425" s="169"/>
      <c r="D1425" s="145"/>
      <c r="E1425" s="145"/>
      <c r="F1425" s="169" t="e">
        <v>#VALUE!</v>
      </c>
      <c r="G1425" s="145"/>
      <c r="H1425" s="145"/>
      <c r="I1425" s="145"/>
      <c r="J1425" s="145"/>
      <c r="K1425" s="145"/>
      <c r="L1425" s="145"/>
      <c r="M1425" s="145"/>
      <c r="N1425" s="145"/>
      <c r="O1425" s="174"/>
      <c r="P1425" s="174"/>
      <c r="Q1425" s="158" t="str">
        <v/>
      </c>
      <c r="R1425" s="158" t="str">
        <v/>
      </c>
      <c r="S1425" s="158" t="str">
        <v/>
      </c>
      <c r="T1425" s="158" t="str">
        <v/>
      </c>
      <c r="U1425" s="158" t="str">
        <v/>
      </c>
      <c r="V1425" s="158" t="str">
        <v/>
      </c>
      <c r="W1425" s="158" t="str">
        <v/>
      </c>
      <c r="X1425" s="158" t="str">
        <v/>
      </c>
      <c r="Y1425" s="158" t="str">
        <v/>
      </c>
      <c r="Z1425" s="158" t="str">
        <v/>
      </c>
      <c r="AA1425" s="158" t="e">
        <v>#VALUE!</v>
      </c>
      <c r="AB1425" s="171" t="str">
        <v/>
      </c>
      <c r="AC1425" s="158">
        <v>0</v>
      </c>
      <c r="AD1425" s="173" t="str">
        <f ca="1">IFERROR(__xludf.DUMMYFUNCTION("""COMPUTED_VALUE"""),"")</f>
        <v/>
      </c>
      <c r="AE1425" s="154" t="str">
        <v/>
      </c>
      <c r="AF1425" s="154" t="str">
        <v/>
      </c>
    </row>
    <row r="1426" spans="1:32" ht="15">
      <c r="A1426" s="176"/>
      <c r="B1426" s="145"/>
      <c r="C1426" s="169"/>
      <c r="D1426" s="145"/>
      <c r="E1426" s="145"/>
      <c r="F1426" s="169" t="e">
        <v>#VALUE!</v>
      </c>
      <c r="G1426" s="145"/>
      <c r="H1426" s="145"/>
      <c r="I1426" s="145"/>
      <c r="J1426" s="145"/>
      <c r="K1426" s="145"/>
      <c r="L1426" s="145"/>
      <c r="M1426" s="145"/>
      <c r="N1426" s="145"/>
      <c r="O1426" s="174"/>
      <c r="P1426" s="174"/>
      <c r="Q1426" s="158" t="str">
        <v/>
      </c>
      <c r="R1426" s="158" t="str">
        <v/>
      </c>
      <c r="S1426" s="158" t="str">
        <v/>
      </c>
      <c r="T1426" s="158" t="str">
        <v/>
      </c>
      <c r="U1426" s="158" t="str">
        <v/>
      </c>
      <c r="V1426" s="158" t="str">
        <v/>
      </c>
      <c r="W1426" s="158" t="str">
        <v/>
      </c>
      <c r="X1426" s="158" t="str">
        <v/>
      </c>
      <c r="Y1426" s="158" t="str">
        <v/>
      </c>
      <c r="Z1426" s="158" t="str">
        <v/>
      </c>
      <c r="AA1426" s="158" t="e">
        <v>#VALUE!</v>
      </c>
      <c r="AB1426" s="171" t="str">
        <v/>
      </c>
      <c r="AC1426" s="158">
        <v>0</v>
      </c>
      <c r="AD1426" s="173" t="str">
        <f ca="1">IFERROR(__xludf.DUMMYFUNCTION("""COMPUTED_VALUE"""),"")</f>
        <v/>
      </c>
      <c r="AE1426" s="154" t="str">
        <v/>
      </c>
      <c r="AF1426" s="154" t="str">
        <v/>
      </c>
    </row>
    <row r="1427" spans="1:32" ht="15">
      <c r="A1427" s="176"/>
      <c r="B1427" s="145"/>
      <c r="C1427" s="169"/>
      <c r="D1427" s="145"/>
      <c r="E1427" s="145"/>
      <c r="F1427" s="169" t="e">
        <v>#VALUE!</v>
      </c>
      <c r="G1427" s="145"/>
      <c r="H1427" s="145"/>
      <c r="I1427" s="145"/>
      <c r="J1427" s="145"/>
      <c r="K1427" s="145"/>
      <c r="L1427" s="145"/>
      <c r="M1427" s="145"/>
      <c r="N1427" s="145"/>
      <c r="O1427" s="174"/>
      <c r="P1427" s="174"/>
      <c r="Q1427" s="158" t="str">
        <v/>
      </c>
      <c r="R1427" s="158" t="str">
        <v/>
      </c>
      <c r="S1427" s="158" t="str">
        <v/>
      </c>
      <c r="T1427" s="158" t="str">
        <v/>
      </c>
      <c r="U1427" s="158" t="str">
        <v/>
      </c>
      <c r="V1427" s="158" t="str">
        <v/>
      </c>
      <c r="W1427" s="158" t="str">
        <v/>
      </c>
      <c r="X1427" s="158" t="str">
        <v/>
      </c>
      <c r="Y1427" s="158" t="str">
        <v/>
      </c>
      <c r="Z1427" s="158" t="str">
        <v/>
      </c>
      <c r="AA1427" s="158" t="e">
        <v>#VALUE!</v>
      </c>
      <c r="AB1427" s="171" t="str">
        <v/>
      </c>
      <c r="AC1427" s="158">
        <v>0</v>
      </c>
      <c r="AD1427" s="173" t="str">
        <f ca="1">IFERROR(__xludf.DUMMYFUNCTION("""COMPUTED_VALUE"""),"")</f>
        <v/>
      </c>
      <c r="AE1427" s="154" t="str">
        <v/>
      </c>
      <c r="AF1427" s="154" t="str">
        <v/>
      </c>
    </row>
    <row r="1428" spans="1:32" ht="15">
      <c r="A1428" s="176"/>
      <c r="B1428" s="145"/>
      <c r="C1428" s="169"/>
      <c r="D1428" s="145"/>
      <c r="E1428" s="145"/>
      <c r="F1428" s="169" t="e">
        <v>#VALUE!</v>
      </c>
      <c r="G1428" s="145"/>
      <c r="H1428" s="145"/>
      <c r="I1428" s="145"/>
      <c r="J1428" s="145"/>
      <c r="K1428" s="145"/>
      <c r="L1428" s="145"/>
      <c r="M1428" s="145"/>
      <c r="N1428" s="145"/>
      <c r="O1428" s="174"/>
      <c r="P1428" s="174"/>
      <c r="Q1428" s="158" t="str">
        <v/>
      </c>
      <c r="R1428" s="158" t="str">
        <v/>
      </c>
      <c r="S1428" s="158" t="str">
        <v/>
      </c>
      <c r="T1428" s="158" t="str">
        <v/>
      </c>
      <c r="U1428" s="158" t="str">
        <v/>
      </c>
      <c r="V1428" s="158" t="str">
        <v/>
      </c>
      <c r="W1428" s="158" t="str">
        <v/>
      </c>
      <c r="X1428" s="158" t="str">
        <v/>
      </c>
      <c r="Y1428" s="158" t="str">
        <v/>
      </c>
      <c r="Z1428" s="158" t="str">
        <v/>
      </c>
      <c r="AA1428" s="158" t="e">
        <v>#VALUE!</v>
      </c>
      <c r="AB1428" s="171" t="str">
        <v/>
      </c>
      <c r="AC1428" s="158">
        <v>0</v>
      </c>
      <c r="AD1428" s="173" t="str">
        <f ca="1">IFERROR(__xludf.DUMMYFUNCTION("""COMPUTED_VALUE"""),"")</f>
        <v/>
      </c>
      <c r="AE1428" s="154" t="str">
        <v/>
      </c>
      <c r="AF1428" s="154" t="str">
        <v/>
      </c>
    </row>
    <row r="1429" spans="1:32" ht="15">
      <c r="A1429" s="176"/>
      <c r="B1429" s="145"/>
      <c r="C1429" s="169"/>
      <c r="D1429" s="145"/>
      <c r="E1429" s="145"/>
      <c r="F1429" s="169" t="e">
        <v>#VALUE!</v>
      </c>
      <c r="G1429" s="145"/>
      <c r="H1429" s="145"/>
      <c r="I1429" s="145"/>
      <c r="J1429" s="145"/>
      <c r="K1429" s="145"/>
      <c r="L1429" s="145"/>
      <c r="M1429" s="145"/>
      <c r="N1429" s="145"/>
      <c r="O1429" s="174"/>
      <c r="P1429" s="174"/>
      <c r="Q1429" s="158" t="str">
        <v/>
      </c>
      <c r="R1429" s="158" t="str">
        <v/>
      </c>
      <c r="S1429" s="158" t="str">
        <v/>
      </c>
      <c r="T1429" s="158" t="str">
        <v/>
      </c>
      <c r="U1429" s="158" t="str">
        <v/>
      </c>
      <c r="V1429" s="158" t="str">
        <v/>
      </c>
      <c r="W1429" s="158" t="str">
        <v/>
      </c>
      <c r="X1429" s="158" t="str">
        <v/>
      </c>
      <c r="Y1429" s="158" t="str">
        <v/>
      </c>
      <c r="Z1429" s="158" t="str">
        <v/>
      </c>
      <c r="AA1429" s="158" t="e">
        <v>#VALUE!</v>
      </c>
      <c r="AB1429" s="171" t="str">
        <v/>
      </c>
      <c r="AC1429" s="158">
        <v>0</v>
      </c>
      <c r="AD1429" s="173" t="str">
        <f ca="1">IFERROR(__xludf.DUMMYFUNCTION("""COMPUTED_VALUE"""),"")</f>
        <v/>
      </c>
      <c r="AE1429" s="154" t="str">
        <v/>
      </c>
      <c r="AF1429" s="154" t="str">
        <v/>
      </c>
    </row>
    <row r="1430" spans="1:32" ht="15">
      <c r="A1430" s="176"/>
      <c r="B1430" s="145"/>
      <c r="C1430" s="169"/>
      <c r="D1430" s="145"/>
      <c r="E1430" s="145"/>
      <c r="F1430" s="169" t="e">
        <v>#VALUE!</v>
      </c>
      <c r="G1430" s="145"/>
      <c r="H1430" s="145"/>
      <c r="I1430" s="145"/>
      <c r="J1430" s="145"/>
      <c r="K1430" s="145"/>
      <c r="L1430" s="145"/>
      <c r="M1430" s="145"/>
      <c r="N1430" s="145"/>
      <c r="O1430" s="174"/>
      <c r="P1430" s="174"/>
      <c r="Q1430" s="158" t="str">
        <v/>
      </c>
      <c r="R1430" s="158" t="str">
        <v/>
      </c>
      <c r="S1430" s="158" t="str">
        <v/>
      </c>
      <c r="T1430" s="158" t="str">
        <v/>
      </c>
      <c r="U1430" s="158" t="str">
        <v/>
      </c>
      <c r="V1430" s="158" t="str">
        <v/>
      </c>
      <c r="W1430" s="158" t="str">
        <v/>
      </c>
      <c r="X1430" s="158" t="str">
        <v/>
      </c>
      <c r="Y1430" s="158" t="str">
        <v/>
      </c>
      <c r="Z1430" s="158" t="str">
        <v/>
      </c>
      <c r="AA1430" s="158" t="e">
        <v>#VALUE!</v>
      </c>
      <c r="AB1430" s="171" t="str">
        <v/>
      </c>
      <c r="AC1430" s="158">
        <v>0</v>
      </c>
      <c r="AD1430" s="173" t="str">
        <f ca="1">IFERROR(__xludf.DUMMYFUNCTION("""COMPUTED_VALUE"""),"")</f>
        <v/>
      </c>
      <c r="AE1430" s="154" t="str">
        <v/>
      </c>
      <c r="AF1430" s="154" t="str">
        <v/>
      </c>
    </row>
    <row r="1431" spans="1:32" ht="15">
      <c r="A1431" s="176"/>
      <c r="B1431" s="145"/>
      <c r="C1431" s="169"/>
      <c r="D1431" s="145"/>
      <c r="E1431" s="145"/>
      <c r="F1431" s="169" t="e">
        <v>#VALUE!</v>
      </c>
      <c r="G1431" s="145"/>
      <c r="H1431" s="145"/>
      <c r="I1431" s="145"/>
      <c r="J1431" s="145"/>
      <c r="K1431" s="145"/>
      <c r="L1431" s="145"/>
      <c r="M1431" s="145"/>
      <c r="N1431" s="145"/>
      <c r="O1431" s="174"/>
      <c r="P1431" s="174"/>
      <c r="Q1431" s="158" t="str">
        <v/>
      </c>
      <c r="R1431" s="158" t="str">
        <v/>
      </c>
      <c r="S1431" s="158" t="str">
        <v/>
      </c>
      <c r="T1431" s="158" t="str">
        <v/>
      </c>
      <c r="U1431" s="158" t="str">
        <v/>
      </c>
      <c r="V1431" s="158" t="str">
        <v/>
      </c>
      <c r="W1431" s="158" t="str">
        <v/>
      </c>
      <c r="X1431" s="158" t="str">
        <v/>
      </c>
      <c r="Y1431" s="158" t="str">
        <v/>
      </c>
      <c r="Z1431" s="158" t="str">
        <v/>
      </c>
      <c r="AA1431" s="158" t="e">
        <v>#VALUE!</v>
      </c>
      <c r="AB1431" s="171" t="str">
        <v/>
      </c>
      <c r="AC1431" s="158">
        <v>0</v>
      </c>
      <c r="AD1431" s="173" t="str">
        <f ca="1">IFERROR(__xludf.DUMMYFUNCTION("""COMPUTED_VALUE"""),"")</f>
        <v/>
      </c>
      <c r="AE1431" s="154" t="str">
        <v/>
      </c>
      <c r="AF1431" s="154" t="str">
        <v/>
      </c>
    </row>
    <row r="1432" spans="1:32" ht="15">
      <c r="A1432" s="176"/>
      <c r="B1432" s="145"/>
      <c r="C1432" s="169"/>
      <c r="D1432" s="145"/>
      <c r="E1432" s="145"/>
      <c r="F1432" s="169" t="e">
        <v>#VALUE!</v>
      </c>
      <c r="G1432" s="145"/>
      <c r="H1432" s="145"/>
      <c r="I1432" s="145"/>
      <c r="J1432" s="145"/>
      <c r="K1432" s="145"/>
      <c r="L1432" s="145"/>
      <c r="M1432" s="145"/>
      <c r="N1432" s="145"/>
      <c r="O1432" s="174"/>
      <c r="P1432" s="174"/>
      <c r="Q1432" s="158" t="str">
        <v/>
      </c>
      <c r="R1432" s="158" t="str">
        <v/>
      </c>
      <c r="S1432" s="158" t="str">
        <v/>
      </c>
      <c r="T1432" s="158" t="str">
        <v/>
      </c>
      <c r="U1432" s="158" t="str">
        <v/>
      </c>
      <c r="V1432" s="158" t="str">
        <v/>
      </c>
      <c r="W1432" s="158" t="str">
        <v/>
      </c>
      <c r="X1432" s="158" t="str">
        <v/>
      </c>
      <c r="Y1432" s="158" t="str">
        <v/>
      </c>
      <c r="Z1432" s="158" t="str">
        <v/>
      </c>
      <c r="AA1432" s="158" t="e">
        <v>#VALUE!</v>
      </c>
      <c r="AB1432" s="171" t="str">
        <v/>
      </c>
      <c r="AC1432" s="158">
        <v>0</v>
      </c>
      <c r="AD1432" s="173" t="str">
        <f ca="1">IFERROR(__xludf.DUMMYFUNCTION("""COMPUTED_VALUE"""),"")</f>
        <v/>
      </c>
      <c r="AE1432" s="154" t="str">
        <v/>
      </c>
      <c r="AF1432" s="154" t="str">
        <v/>
      </c>
    </row>
    <row r="1433" spans="1:32" ht="15">
      <c r="A1433" s="176"/>
      <c r="B1433" s="145"/>
      <c r="C1433" s="169"/>
      <c r="D1433" s="145"/>
      <c r="E1433" s="145"/>
      <c r="F1433" s="169" t="e">
        <v>#VALUE!</v>
      </c>
      <c r="G1433" s="145"/>
      <c r="H1433" s="145"/>
      <c r="I1433" s="145"/>
      <c r="J1433" s="145"/>
      <c r="K1433" s="145"/>
      <c r="L1433" s="145"/>
      <c r="M1433" s="145"/>
      <c r="N1433" s="145"/>
      <c r="O1433" s="174"/>
      <c r="P1433" s="174"/>
      <c r="Q1433" s="158" t="str">
        <v/>
      </c>
      <c r="R1433" s="158" t="str">
        <v/>
      </c>
      <c r="S1433" s="158" t="str">
        <v/>
      </c>
      <c r="T1433" s="158" t="str">
        <v/>
      </c>
      <c r="U1433" s="158" t="str">
        <v/>
      </c>
      <c r="V1433" s="158" t="str">
        <v/>
      </c>
      <c r="W1433" s="158" t="str">
        <v/>
      </c>
      <c r="X1433" s="158" t="str">
        <v/>
      </c>
      <c r="Y1433" s="158" t="str">
        <v/>
      </c>
      <c r="Z1433" s="158" t="str">
        <v/>
      </c>
      <c r="AA1433" s="158" t="e">
        <v>#VALUE!</v>
      </c>
      <c r="AB1433" s="171" t="str">
        <v/>
      </c>
      <c r="AC1433" s="158">
        <v>0</v>
      </c>
      <c r="AD1433" s="173" t="str">
        <f ca="1">IFERROR(__xludf.DUMMYFUNCTION("""COMPUTED_VALUE"""),"")</f>
        <v/>
      </c>
      <c r="AE1433" s="154" t="str">
        <v/>
      </c>
      <c r="AF1433" s="154" t="str">
        <v/>
      </c>
    </row>
    <row r="1434" spans="1:32" ht="15">
      <c r="A1434" s="176"/>
      <c r="B1434" s="145"/>
      <c r="C1434" s="169"/>
      <c r="D1434" s="145"/>
      <c r="E1434" s="145"/>
      <c r="F1434" s="169" t="e">
        <v>#VALUE!</v>
      </c>
      <c r="G1434" s="145"/>
      <c r="H1434" s="145"/>
      <c r="I1434" s="145"/>
      <c r="J1434" s="145"/>
      <c r="K1434" s="145"/>
      <c r="L1434" s="145"/>
      <c r="M1434" s="145"/>
      <c r="N1434" s="145"/>
      <c r="O1434" s="174"/>
      <c r="P1434" s="174"/>
      <c r="Q1434" s="158" t="str">
        <v/>
      </c>
      <c r="R1434" s="158" t="str">
        <v/>
      </c>
      <c r="S1434" s="158" t="str">
        <v/>
      </c>
      <c r="T1434" s="158" t="str">
        <v/>
      </c>
      <c r="U1434" s="158" t="str">
        <v/>
      </c>
      <c r="V1434" s="158" t="str">
        <v/>
      </c>
      <c r="W1434" s="158" t="str">
        <v/>
      </c>
      <c r="X1434" s="158" t="str">
        <v/>
      </c>
      <c r="Y1434" s="158" t="str">
        <v/>
      </c>
      <c r="Z1434" s="158" t="str">
        <v/>
      </c>
      <c r="AA1434" s="158" t="e">
        <v>#VALUE!</v>
      </c>
      <c r="AB1434" s="171" t="str">
        <v/>
      </c>
      <c r="AC1434" s="158">
        <v>0</v>
      </c>
      <c r="AD1434" s="173" t="str">
        <f ca="1">IFERROR(__xludf.DUMMYFUNCTION("""COMPUTED_VALUE"""),"")</f>
        <v/>
      </c>
      <c r="AE1434" s="154" t="str">
        <v/>
      </c>
      <c r="AF1434" s="154" t="str">
        <v/>
      </c>
    </row>
    <row r="1435" spans="1:32" ht="15">
      <c r="A1435" s="176"/>
      <c r="B1435" s="145"/>
      <c r="C1435" s="169"/>
      <c r="D1435" s="145"/>
      <c r="E1435" s="145"/>
      <c r="F1435" s="169" t="e">
        <v>#VALUE!</v>
      </c>
      <c r="G1435" s="145"/>
      <c r="H1435" s="145"/>
      <c r="I1435" s="145"/>
      <c r="J1435" s="145"/>
      <c r="K1435" s="145"/>
      <c r="L1435" s="145"/>
      <c r="M1435" s="145"/>
      <c r="N1435" s="145"/>
      <c r="O1435" s="174"/>
      <c r="P1435" s="174"/>
      <c r="Q1435" s="158" t="str">
        <v/>
      </c>
      <c r="R1435" s="158" t="str">
        <v/>
      </c>
      <c r="S1435" s="158" t="str">
        <v/>
      </c>
      <c r="T1435" s="158" t="str">
        <v/>
      </c>
      <c r="U1435" s="158" t="str">
        <v/>
      </c>
      <c r="V1435" s="158" t="str">
        <v/>
      </c>
      <c r="W1435" s="158" t="str">
        <v/>
      </c>
      <c r="X1435" s="158" t="str">
        <v/>
      </c>
      <c r="Y1435" s="158" t="str">
        <v/>
      </c>
      <c r="Z1435" s="158" t="str">
        <v/>
      </c>
      <c r="AA1435" s="158" t="e">
        <v>#VALUE!</v>
      </c>
      <c r="AB1435" s="171" t="str">
        <v/>
      </c>
      <c r="AC1435" s="158">
        <v>0</v>
      </c>
      <c r="AD1435" s="173" t="str">
        <f ca="1">IFERROR(__xludf.DUMMYFUNCTION("""COMPUTED_VALUE"""),"")</f>
        <v/>
      </c>
      <c r="AE1435" s="154" t="str">
        <v/>
      </c>
      <c r="AF1435" s="154" t="str">
        <v/>
      </c>
    </row>
    <row r="1436" spans="1:32" ht="15">
      <c r="A1436" s="176"/>
      <c r="B1436" s="145"/>
      <c r="C1436" s="169"/>
      <c r="D1436" s="145"/>
      <c r="E1436" s="145"/>
      <c r="F1436" s="169" t="e">
        <v>#VALUE!</v>
      </c>
      <c r="G1436" s="145"/>
      <c r="H1436" s="145"/>
      <c r="I1436" s="145"/>
      <c r="J1436" s="145"/>
      <c r="K1436" s="145"/>
      <c r="L1436" s="145"/>
      <c r="M1436" s="145"/>
      <c r="N1436" s="145"/>
      <c r="O1436" s="174"/>
      <c r="P1436" s="174"/>
      <c r="Q1436" s="158" t="str">
        <v/>
      </c>
      <c r="R1436" s="158" t="str">
        <v/>
      </c>
      <c r="S1436" s="158" t="str">
        <v/>
      </c>
      <c r="T1436" s="158" t="str">
        <v/>
      </c>
      <c r="U1436" s="158" t="str">
        <v/>
      </c>
      <c r="V1436" s="158" t="str">
        <v/>
      </c>
      <c r="W1436" s="158" t="str">
        <v/>
      </c>
      <c r="X1436" s="158" t="str">
        <v/>
      </c>
      <c r="Y1436" s="158" t="str">
        <v/>
      </c>
      <c r="Z1436" s="158" t="str">
        <v/>
      </c>
      <c r="AA1436" s="158" t="e">
        <v>#VALUE!</v>
      </c>
      <c r="AB1436" s="171" t="str">
        <v/>
      </c>
      <c r="AC1436" s="158">
        <v>0</v>
      </c>
      <c r="AD1436" s="173" t="str">
        <f ca="1">IFERROR(__xludf.DUMMYFUNCTION("""COMPUTED_VALUE"""),"")</f>
        <v/>
      </c>
      <c r="AE1436" s="154" t="str">
        <v/>
      </c>
      <c r="AF1436" s="154" t="str">
        <v/>
      </c>
    </row>
    <row r="1437" spans="1:32" ht="15">
      <c r="A1437" s="176"/>
      <c r="B1437" s="145"/>
      <c r="C1437" s="169"/>
      <c r="D1437" s="145"/>
      <c r="E1437" s="145"/>
      <c r="F1437" s="169" t="e">
        <v>#VALUE!</v>
      </c>
      <c r="G1437" s="145"/>
      <c r="H1437" s="145"/>
      <c r="I1437" s="145"/>
      <c r="J1437" s="145"/>
      <c r="K1437" s="145"/>
      <c r="L1437" s="145"/>
      <c r="M1437" s="145"/>
      <c r="N1437" s="145"/>
      <c r="O1437" s="174"/>
      <c r="P1437" s="174"/>
      <c r="Q1437" s="158" t="str">
        <v/>
      </c>
      <c r="R1437" s="158" t="str">
        <v/>
      </c>
      <c r="S1437" s="158" t="str">
        <v/>
      </c>
      <c r="T1437" s="158" t="str">
        <v/>
      </c>
      <c r="U1437" s="158" t="str">
        <v/>
      </c>
      <c r="V1437" s="158" t="str">
        <v/>
      </c>
      <c r="W1437" s="158" t="str">
        <v/>
      </c>
      <c r="X1437" s="158" t="str">
        <v/>
      </c>
      <c r="Y1437" s="158" t="str">
        <v/>
      </c>
      <c r="Z1437" s="158" t="str">
        <v/>
      </c>
      <c r="AA1437" s="158" t="e">
        <v>#VALUE!</v>
      </c>
      <c r="AB1437" s="171" t="str">
        <v/>
      </c>
      <c r="AC1437" s="158">
        <v>0</v>
      </c>
      <c r="AD1437" s="173" t="str">
        <f ca="1">IFERROR(__xludf.DUMMYFUNCTION("""COMPUTED_VALUE"""),"")</f>
        <v/>
      </c>
      <c r="AE1437" s="154" t="str">
        <v/>
      </c>
      <c r="AF1437" s="154" t="str">
        <v/>
      </c>
    </row>
    <row r="1438" spans="1:32" ht="15">
      <c r="A1438" s="176"/>
      <c r="B1438" s="145"/>
      <c r="C1438" s="169"/>
      <c r="D1438" s="145"/>
      <c r="E1438" s="145"/>
      <c r="F1438" s="169" t="e">
        <v>#VALUE!</v>
      </c>
      <c r="G1438" s="145"/>
      <c r="H1438" s="145"/>
      <c r="I1438" s="145"/>
      <c r="J1438" s="145"/>
      <c r="K1438" s="145"/>
      <c r="L1438" s="145"/>
      <c r="M1438" s="145"/>
      <c r="N1438" s="145"/>
      <c r="O1438" s="174"/>
      <c r="P1438" s="174"/>
      <c r="Q1438" s="158" t="str">
        <v/>
      </c>
      <c r="R1438" s="158" t="str">
        <v/>
      </c>
      <c r="S1438" s="158" t="str">
        <v/>
      </c>
      <c r="T1438" s="158" t="str">
        <v/>
      </c>
      <c r="U1438" s="158" t="str">
        <v/>
      </c>
      <c r="V1438" s="158" t="str">
        <v/>
      </c>
      <c r="W1438" s="158" t="str">
        <v/>
      </c>
      <c r="X1438" s="158" t="str">
        <v/>
      </c>
      <c r="Y1438" s="158" t="str">
        <v/>
      </c>
      <c r="Z1438" s="158" t="str">
        <v/>
      </c>
      <c r="AA1438" s="158" t="e">
        <v>#VALUE!</v>
      </c>
      <c r="AB1438" s="171" t="str">
        <v/>
      </c>
      <c r="AC1438" s="158">
        <v>0</v>
      </c>
      <c r="AD1438" s="173" t="str">
        <f ca="1">IFERROR(__xludf.DUMMYFUNCTION("""COMPUTED_VALUE"""),"")</f>
        <v/>
      </c>
      <c r="AE1438" s="154" t="str">
        <v/>
      </c>
      <c r="AF1438" s="154" t="str">
        <v/>
      </c>
    </row>
    <row r="1439" spans="1:32" ht="15">
      <c r="A1439" s="176"/>
      <c r="B1439" s="145"/>
      <c r="C1439" s="169"/>
      <c r="D1439" s="145"/>
      <c r="E1439" s="145"/>
      <c r="F1439" s="169" t="e">
        <v>#VALUE!</v>
      </c>
      <c r="G1439" s="145"/>
      <c r="H1439" s="145"/>
      <c r="I1439" s="145"/>
      <c r="J1439" s="145"/>
      <c r="K1439" s="145"/>
      <c r="L1439" s="145"/>
      <c r="M1439" s="145"/>
      <c r="N1439" s="145"/>
      <c r="O1439" s="174"/>
      <c r="P1439" s="174"/>
      <c r="Q1439" s="158" t="str">
        <v/>
      </c>
      <c r="R1439" s="158" t="str">
        <v/>
      </c>
      <c r="S1439" s="158" t="str">
        <v/>
      </c>
      <c r="T1439" s="158" t="str">
        <v/>
      </c>
      <c r="U1439" s="158" t="str">
        <v/>
      </c>
      <c r="V1439" s="158" t="str">
        <v/>
      </c>
      <c r="W1439" s="158" t="str">
        <v/>
      </c>
      <c r="X1439" s="158" t="str">
        <v/>
      </c>
      <c r="Y1439" s="158" t="str">
        <v/>
      </c>
      <c r="Z1439" s="158" t="str">
        <v/>
      </c>
      <c r="AA1439" s="158" t="e">
        <v>#VALUE!</v>
      </c>
      <c r="AB1439" s="171" t="str">
        <v/>
      </c>
      <c r="AC1439" s="158">
        <v>0</v>
      </c>
      <c r="AD1439" s="173" t="str">
        <f ca="1">IFERROR(__xludf.DUMMYFUNCTION("""COMPUTED_VALUE"""),"")</f>
        <v/>
      </c>
      <c r="AE1439" s="154" t="str">
        <v/>
      </c>
      <c r="AF1439" s="154" t="str">
        <v/>
      </c>
    </row>
    <row r="1440" spans="1:32" ht="15">
      <c r="A1440" s="176"/>
      <c r="B1440" s="145"/>
      <c r="C1440" s="169"/>
      <c r="D1440" s="145"/>
      <c r="E1440" s="145"/>
      <c r="F1440" s="169" t="e">
        <v>#VALUE!</v>
      </c>
      <c r="G1440" s="145"/>
      <c r="H1440" s="145"/>
      <c r="I1440" s="145"/>
      <c r="J1440" s="145"/>
      <c r="K1440" s="145"/>
      <c r="L1440" s="145"/>
      <c r="M1440" s="145"/>
      <c r="N1440" s="145"/>
      <c r="O1440" s="174"/>
      <c r="P1440" s="174"/>
      <c r="Q1440" s="158" t="str">
        <v/>
      </c>
      <c r="R1440" s="158" t="str">
        <v/>
      </c>
      <c r="S1440" s="158" t="str">
        <v/>
      </c>
      <c r="T1440" s="158" t="str">
        <v/>
      </c>
      <c r="U1440" s="158" t="str">
        <v/>
      </c>
      <c r="V1440" s="158" t="str">
        <v/>
      </c>
      <c r="W1440" s="158" t="str">
        <v/>
      </c>
      <c r="X1440" s="158" t="str">
        <v/>
      </c>
      <c r="Y1440" s="158" t="str">
        <v/>
      </c>
      <c r="Z1440" s="158" t="str">
        <v/>
      </c>
      <c r="AA1440" s="158" t="e">
        <v>#VALUE!</v>
      </c>
      <c r="AB1440" s="171" t="str">
        <v/>
      </c>
      <c r="AC1440" s="158">
        <v>0</v>
      </c>
      <c r="AD1440" s="173" t="str">
        <f ca="1">IFERROR(__xludf.DUMMYFUNCTION("""COMPUTED_VALUE"""),"")</f>
        <v/>
      </c>
      <c r="AE1440" s="154" t="str">
        <v/>
      </c>
      <c r="AF1440" s="154" t="str">
        <v/>
      </c>
    </row>
    <row r="1441" spans="1:32" ht="15">
      <c r="A1441" s="176"/>
      <c r="B1441" s="145"/>
      <c r="C1441" s="169"/>
      <c r="D1441" s="145"/>
      <c r="E1441" s="145"/>
      <c r="F1441" s="169" t="e">
        <v>#VALUE!</v>
      </c>
      <c r="G1441" s="145"/>
      <c r="H1441" s="145"/>
      <c r="I1441" s="145"/>
      <c r="J1441" s="145"/>
      <c r="K1441" s="145"/>
      <c r="L1441" s="145"/>
      <c r="M1441" s="145"/>
      <c r="N1441" s="145"/>
      <c r="O1441" s="174"/>
      <c r="P1441" s="174"/>
      <c r="Q1441" s="158" t="str">
        <v/>
      </c>
      <c r="R1441" s="158" t="str">
        <v/>
      </c>
      <c r="S1441" s="158" t="str">
        <v/>
      </c>
      <c r="T1441" s="158" t="str">
        <v/>
      </c>
      <c r="U1441" s="158" t="str">
        <v/>
      </c>
      <c r="V1441" s="158" t="str">
        <v/>
      </c>
      <c r="W1441" s="158" t="str">
        <v/>
      </c>
      <c r="X1441" s="158" t="str">
        <v/>
      </c>
      <c r="Y1441" s="158" t="str">
        <v/>
      </c>
      <c r="Z1441" s="158" t="str">
        <v/>
      </c>
      <c r="AA1441" s="158" t="e">
        <v>#VALUE!</v>
      </c>
      <c r="AB1441" s="171" t="str">
        <v/>
      </c>
      <c r="AC1441" s="158">
        <v>0</v>
      </c>
      <c r="AD1441" s="173" t="str">
        <f ca="1">IFERROR(__xludf.DUMMYFUNCTION("""COMPUTED_VALUE"""),"")</f>
        <v/>
      </c>
      <c r="AE1441" s="154" t="str">
        <v/>
      </c>
      <c r="AF1441" s="154" t="str">
        <v/>
      </c>
    </row>
    <row r="1442" spans="1:32" ht="15">
      <c r="A1442" s="176"/>
      <c r="B1442" s="145"/>
      <c r="C1442" s="169"/>
      <c r="D1442" s="145"/>
      <c r="E1442" s="145"/>
      <c r="F1442" s="169" t="e">
        <v>#VALUE!</v>
      </c>
      <c r="G1442" s="145"/>
      <c r="H1442" s="145"/>
      <c r="I1442" s="145"/>
      <c r="J1442" s="145"/>
      <c r="K1442" s="145"/>
      <c r="L1442" s="145"/>
      <c r="M1442" s="145"/>
      <c r="N1442" s="145"/>
      <c r="O1442" s="174"/>
      <c r="P1442" s="174"/>
      <c r="Q1442" s="158" t="str">
        <v/>
      </c>
      <c r="R1442" s="158" t="str">
        <v/>
      </c>
      <c r="S1442" s="158" t="str">
        <v/>
      </c>
      <c r="T1442" s="158" t="str">
        <v/>
      </c>
      <c r="U1442" s="158" t="str">
        <v/>
      </c>
      <c r="V1442" s="158" t="str">
        <v/>
      </c>
      <c r="W1442" s="158" t="str">
        <v/>
      </c>
      <c r="X1442" s="158" t="str">
        <v/>
      </c>
      <c r="Y1442" s="158" t="str">
        <v/>
      </c>
      <c r="Z1442" s="158" t="str">
        <v/>
      </c>
      <c r="AA1442" s="158" t="e">
        <v>#VALUE!</v>
      </c>
      <c r="AB1442" s="171" t="str">
        <v/>
      </c>
      <c r="AC1442" s="158">
        <v>0</v>
      </c>
      <c r="AD1442" s="173" t="str">
        <f ca="1">IFERROR(__xludf.DUMMYFUNCTION("""COMPUTED_VALUE"""),"")</f>
        <v/>
      </c>
      <c r="AE1442" s="154" t="str">
        <v/>
      </c>
      <c r="AF1442" s="154" t="str">
        <v/>
      </c>
    </row>
    <row r="1443" spans="1:32" ht="15">
      <c r="A1443" s="176"/>
      <c r="B1443" s="145"/>
      <c r="C1443" s="169"/>
      <c r="D1443" s="145"/>
      <c r="E1443" s="145"/>
      <c r="F1443" s="169" t="e">
        <v>#VALUE!</v>
      </c>
      <c r="G1443" s="145"/>
      <c r="H1443" s="145"/>
      <c r="I1443" s="145"/>
      <c r="J1443" s="145"/>
      <c r="K1443" s="145"/>
      <c r="L1443" s="145"/>
      <c r="M1443" s="145"/>
      <c r="N1443" s="145"/>
      <c r="O1443" s="174"/>
      <c r="P1443" s="174"/>
      <c r="Q1443" s="158" t="str">
        <v/>
      </c>
      <c r="R1443" s="158" t="str">
        <v/>
      </c>
      <c r="S1443" s="158" t="str">
        <v/>
      </c>
      <c r="T1443" s="158" t="str">
        <v/>
      </c>
      <c r="U1443" s="158" t="str">
        <v/>
      </c>
      <c r="V1443" s="158" t="str">
        <v/>
      </c>
      <c r="W1443" s="158" t="str">
        <v/>
      </c>
      <c r="X1443" s="158" t="str">
        <v/>
      </c>
      <c r="Y1443" s="158" t="str">
        <v/>
      </c>
      <c r="Z1443" s="158" t="str">
        <v/>
      </c>
      <c r="AA1443" s="158" t="e">
        <v>#VALUE!</v>
      </c>
      <c r="AB1443" s="171" t="str">
        <v/>
      </c>
      <c r="AC1443" s="158">
        <v>0</v>
      </c>
      <c r="AD1443" s="173" t="str">
        <f ca="1">IFERROR(__xludf.DUMMYFUNCTION("""COMPUTED_VALUE"""),"")</f>
        <v/>
      </c>
      <c r="AE1443" s="154" t="str">
        <v/>
      </c>
      <c r="AF1443" s="154" t="str">
        <v/>
      </c>
    </row>
    <row r="1444" spans="1:32" ht="15">
      <c r="A1444" s="176"/>
      <c r="B1444" s="145"/>
      <c r="C1444" s="169"/>
      <c r="D1444" s="145"/>
      <c r="E1444" s="145"/>
      <c r="F1444" s="169" t="e">
        <v>#VALUE!</v>
      </c>
      <c r="G1444" s="145"/>
      <c r="H1444" s="145"/>
      <c r="I1444" s="145"/>
      <c r="J1444" s="145"/>
      <c r="K1444" s="145"/>
      <c r="L1444" s="145"/>
      <c r="M1444" s="145"/>
      <c r="N1444" s="145"/>
      <c r="O1444" s="174"/>
      <c r="P1444" s="174"/>
      <c r="Q1444" s="158" t="str">
        <v/>
      </c>
      <c r="R1444" s="158" t="str">
        <v/>
      </c>
      <c r="S1444" s="158" t="str">
        <v/>
      </c>
      <c r="T1444" s="158" t="str">
        <v/>
      </c>
      <c r="U1444" s="158" t="str">
        <v/>
      </c>
      <c r="V1444" s="158" t="str">
        <v/>
      </c>
      <c r="W1444" s="158" t="str">
        <v/>
      </c>
      <c r="X1444" s="158" t="str">
        <v/>
      </c>
      <c r="Y1444" s="158" t="str">
        <v/>
      </c>
      <c r="Z1444" s="158" t="str">
        <v/>
      </c>
      <c r="AA1444" s="158" t="e">
        <v>#VALUE!</v>
      </c>
      <c r="AB1444" s="171" t="str">
        <v/>
      </c>
      <c r="AC1444" s="158">
        <v>0</v>
      </c>
      <c r="AD1444" s="173" t="str">
        <f ca="1">IFERROR(__xludf.DUMMYFUNCTION("""COMPUTED_VALUE"""),"")</f>
        <v/>
      </c>
      <c r="AE1444" s="154" t="str">
        <v/>
      </c>
      <c r="AF1444" s="154" t="str">
        <v/>
      </c>
    </row>
    <row r="1445" spans="1:32" ht="15">
      <c r="A1445" s="176"/>
      <c r="B1445" s="145"/>
      <c r="C1445" s="169"/>
      <c r="D1445" s="145"/>
      <c r="E1445" s="145"/>
      <c r="F1445" s="169" t="e">
        <v>#VALUE!</v>
      </c>
      <c r="G1445" s="145"/>
      <c r="H1445" s="145"/>
      <c r="I1445" s="145"/>
      <c r="J1445" s="145"/>
      <c r="K1445" s="145"/>
      <c r="L1445" s="145"/>
      <c r="M1445" s="145"/>
      <c r="N1445" s="145"/>
      <c r="O1445" s="174"/>
      <c r="P1445" s="174"/>
      <c r="Q1445" s="158" t="str">
        <v/>
      </c>
      <c r="R1445" s="158" t="str">
        <v/>
      </c>
      <c r="S1445" s="158" t="str">
        <v/>
      </c>
      <c r="T1445" s="158" t="str">
        <v/>
      </c>
      <c r="U1445" s="158" t="str">
        <v/>
      </c>
      <c r="V1445" s="158" t="str">
        <v/>
      </c>
      <c r="W1445" s="158" t="str">
        <v/>
      </c>
      <c r="X1445" s="158" t="str">
        <v/>
      </c>
      <c r="Y1445" s="158" t="str">
        <v/>
      </c>
      <c r="Z1445" s="158" t="str">
        <v/>
      </c>
      <c r="AA1445" s="158" t="e">
        <v>#VALUE!</v>
      </c>
      <c r="AB1445" s="171" t="str">
        <v/>
      </c>
      <c r="AC1445" s="158">
        <v>0</v>
      </c>
      <c r="AD1445" s="173" t="str">
        <f ca="1">IFERROR(__xludf.DUMMYFUNCTION("""COMPUTED_VALUE"""),"")</f>
        <v/>
      </c>
      <c r="AE1445" s="154" t="str">
        <v/>
      </c>
      <c r="AF1445" s="154" t="str">
        <v/>
      </c>
    </row>
    <row r="1446" spans="1:32" ht="15">
      <c r="A1446" s="176"/>
      <c r="B1446" s="145"/>
      <c r="C1446" s="169"/>
      <c r="D1446" s="145"/>
      <c r="E1446" s="145"/>
      <c r="F1446" s="169" t="e">
        <v>#VALUE!</v>
      </c>
      <c r="G1446" s="145"/>
      <c r="H1446" s="145"/>
      <c r="I1446" s="145"/>
      <c r="J1446" s="145"/>
      <c r="K1446" s="145"/>
      <c r="L1446" s="145"/>
      <c r="M1446" s="145"/>
      <c r="N1446" s="145"/>
      <c r="O1446" s="174"/>
      <c r="P1446" s="174"/>
      <c r="Q1446" s="158" t="str">
        <v/>
      </c>
      <c r="R1446" s="158" t="str">
        <v/>
      </c>
      <c r="S1446" s="158" t="str">
        <v/>
      </c>
      <c r="T1446" s="158" t="str">
        <v/>
      </c>
      <c r="U1446" s="158" t="str">
        <v/>
      </c>
      <c r="V1446" s="158" t="str">
        <v/>
      </c>
      <c r="W1446" s="158" t="str">
        <v/>
      </c>
      <c r="X1446" s="158" t="str">
        <v/>
      </c>
      <c r="Y1446" s="158" t="str">
        <v/>
      </c>
      <c r="Z1446" s="158" t="str">
        <v/>
      </c>
      <c r="AA1446" s="158" t="e">
        <v>#VALUE!</v>
      </c>
      <c r="AB1446" s="171" t="str">
        <v/>
      </c>
      <c r="AC1446" s="158">
        <v>0</v>
      </c>
      <c r="AD1446" s="173" t="str">
        <f ca="1">IFERROR(__xludf.DUMMYFUNCTION("""COMPUTED_VALUE"""),"")</f>
        <v/>
      </c>
      <c r="AE1446" s="154" t="str">
        <v/>
      </c>
      <c r="AF1446" s="154" t="str">
        <v/>
      </c>
    </row>
    <row r="1447" spans="1:32" ht="15">
      <c r="A1447" s="176"/>
      <c r="B1447" s="145"/>
      <c r="C1447" s="169"/>
      <c r="D1447" s="145"/>
      <c r="E1447" s="145"/>
      <c r="F1447" s="169" t="e">
        <v>#VALUE!</v>
      </c>
      <c r="G1447" s="145"/>
      <c r="H1447" s="145"/>
      <c r="I1447" s="145"/>
      <c r="J1447" s="145"/>
      <c r="K1447" s="145"/>
      <c r="L1447" s="145"/>
      <c r="M1447" s="145"/>
      <c r="N1447" s="145"/>
      <c r="O1447" s="174"/>
      <c r="P1447" s="174"/>
      <c r="Q1447" s="158" t="str">
        <v/>
      </c>
      <c r="R1447" s="158" t="str">
        <v/>
      </c>
      <c r="S1447" s="158" t="str">
        <v/>
      </c>
      <c r="T1447" s="158" t="str">
        <v/>
      </c>
      <c r="U1447" s="158" t="str">
        <v/>
      </c>
      <c r="V1447" s="158" t="str">
        <v/>
      </c>
      <c r="W1447" s="158" t="str">
        <v/>
      </c>
      <c r="X1447" s="158" t="str">
        <v/>
      </c>
      <c r="Y1447" s="158" t="str">
        <v/>
      </c>
      <c r="Z1447" s="158" t="str">
        <v/>
      </c>
      <c r="AA1447" s="158" t="e">
        <v>#VALUE!</v>
      </c>
      <c r="AB1447" s="171" t="str">
        <v/>
      </c>
      <c r="AC1447" s="158">
        <v>0</v>
      </c>
      <c r="AD1447" s="173" t="str">
        <f ca="1">IFERROR(__xludf.DUMMYFUNCTION("""COMPUTED_VALUE"""),"")</f>
        <v/>
      </c>
      <c r="AE1447" s="154" t="str">
        <v/>
      </c>
      <c r="AF1447" s="154" t="str">
        <v/>
      </c>
    </row>
    <row r="1448" spans="1:32" ht="15">
      <c r="A1448" s="176"/>
      <c r="B1448" s="145"/>
      <c r="C1448" s="169"/>
      <c r="D1448" s="145"/>
      <c r="E1448" s="145"/>
      <c r="F1448" s="169" t="e">
        <v>#VALUE!</v>
      </c>
      <c r="G1448" s="145"/>
      <c r="H1448" s="145"/>
      <c r="I1448" s="145"/>
      <c r="J1448" s="145"/>
      <c r="K1448" s="145"/>
      <c r="L1448" s="145"/>
      <c r="M1448" s="145"/>
      <c r="N1448" s="145"/>
      <c r="O1448" s="174"/>
      <c r="P1448" s="174"/>
      <c r="Q1448" s="158" t="str">
        <v/>
      </c>
      <c r="R1448" s="158" t="str">
        <v/>
      </c>
      <c r="S1448" s="158" t="str">
        <v/>
      </c>
      <c r="T1448" s="158" t="str">
        <v/>
      </c>
      <c r="U1448" s="158" t="str">
        <v/>
      </c>
      <c r="V1448" s="158" t="str">
        <v/>
      </c>
      <c r="W1448" s="158" t="str">
        <v/>
      </c>
      <c r="X1448" s="158" t="str">
        <v/>
      </c>
      <c r="Y1448" s="158" t="str">
        <v/>
      </c>
      <c r="Z1448" s="158" t="str">
        <v/>
      </c>
      <c r="AA1448" s="158" t="e">
        <v>#VALUE!</v>
      </c>
      <c r="AB1448" s="171" t="str">
        <v/>
      </c>
      <c r="AC1448" s="158">
        <v>0</v>
      </c>
      <c r="AD1448" s="173" t="str">
        <f ca="1">IFERROR(__xludf.DUMMYFUNCTION("""COMPUTED_VALUE"""),"")</f>
        <v/>
      </c>
      <c r="AE1448" s="154" t="str">
        <v/>
      </c>
      <c r="AF1448" s="154" t="str">
        <v/>
      </c>
    </row>
    <row r="1449" spans="1:32" ht="15">
      <c r="A1449" s="176"/>
      <c r="B1449" s="145"/>
      <c r="C1449" s="169"/>
      <c r="D1449" s="145"/>
      <c r="E1449" s="145"/>
      <c r="F1449" s="169" t="e">
        <v>#VALUE!</v>
      </c>
      <c r="G1449" s="145"/>
      <c r="H1449" s="145"/>
      <c r="I1449" s="145"/>
      <c r="J1449" s="145"/>
      <c r="K1449" s="145"/>
      <c r="L1449" s="145"/>
      <c r="M1449" s="145"/>
      <c r="N1449" s="145"/>
      <c r="O1449" s="174"/>
      <c r="P1449" s="174"/>
      <c r="Q1449" s="158" t="str">
        <v/>
      </c>
      <c r="R1449" s="158" t="str">
        <v/>
      </c>
      <c r="S1449" s="158" t="str">
        <v/>
      </c>
      <c r="T1449" s="158" t="str">
        <v/>
      </c>
      <c r="U1449" s="158" t="str">
        <v/>
      </c>
      <c r="V1449" s="158" t="str">
        <v/>
      </c>
      <c r="W1449" s="158" t="str">
        <v/>
      </c>
      <c r="X1449" s="158" t="str">
        <v/>
      </c>
      <c r="Y1449" s="158" t="str">
        <v/>
      </c>
      <c r="Z1449" s="158" t="str">
        <v/>
      </c>
      <c r="AA1449" s="158" t="e">
        <v>#VALUE!</v>
      </c>
      <c r="AB1449" s="171" t="str">
        <v/>
      </c>
      <c r="AC1449" s="158">
        <v>0</v>
      </c>
      <c r="AD1449" s="173" t="str">
        <f ca="1">IFERROR(__xludf.DUMMYFUNCTION("""COMPUTED_VALUE"""),"")</f>
        <v/>
      </c>
      <c r="AE1449" s="154" t="str">
        <v/>
      </c>
      <c r="AF1449" s="154" t="str">
        <v/>
      </c>
    </row>
    <row r="1450" spans="1:32" ht="15">
      <c r="A1450" s="176"/>
      <c r="B1450" s="145"/>
      <c r="C1450" s="169"/>
      <c r="D1450" s="145"/>
      <c r="E1450" s="145"/>
      <c r="F1450" s="169" t="e">
        <v>#VALUE!</v>
      </c>
      <c r="G1450" s="145"/>
      <c r="H1450" s="145"/>
      <c r="I1450" s="145"/>
      <c r="J1450" s="145"/>
      <c r="K1450" s="145"/>
      <c r="L1450" s="145"/>
      <c r="M1450" s="145"/>
      <c r="N1450" s="145"/>
      <c r="O1450" s="174"/>
      <c r="P1450" s="174"/>
      <c r="Q1450" s="158" t="str">
        <v/>
      </c>
      <c r="R1450" s="158" t="str">
        <v/>
      </c>
      <c r="S1450" s="158" t="str">
        <v/>
      </c>
      <c r="T1450" s="158" t="str">
        <v/>
      </c>
      <c r="U1450" s="158" t="str">
        <v/>
      </c>
      <c r="V1450" s="158" t="str">
        <v/>
      </c>
      <c r="W1450" s="158" t="str">
        <v/>
      </c>
      <c r="X1450" s="158" t="str">
        <v/>
      </c>
      <c r="Y1450" s="158" t="str">
        <v/>
      </c>
      <c r="Z1450" s="158" t="str">
        <v/>
      </c>
      <c r="AA1450" s="158" t="e">
        <v>#VALUE!</v>
      </c>
      <c r="AB1450" s="171" t="str">
        <v/>
      </c>
      <c r="AC1450" s="158">
        <v>0</v>
      </c>
      <c r="AD1450" s="173" t="str">
        <f ca="1">IFERROR(__xludf.DUMMYFUNCTION("""COMPUTED_VALUE"""),"")</f>
        <v/>
      </c>
      <c r="AE1450" s="154" t="str">
        <v/>
      </c>
      <c r="AF1450" s="154" t="str">
        <v/>
      </c>
    </row>
    <row r="1451" spans="1:32" ht="15">
      <c r="A1451" s="176"/>
      <c r="B1451" s="145"/>
      <c r="C1451" s="169"/>
      <c r="D1451" s="145"/>
      <c r="E1451" s="145"/>
      <c r="F1451" s="169" t="e">
        <v>#VALUE!</v>
      </c>
      <c r="G1451" s="145"/>
      <c r="H1451" s="145"/>
      <c r="I1451" s="145"/>
      <c r="J1451" s="145"/>
      <c r="K1451" s="145"/>
      <c r="L1451" s="145"/>
      <c r="M1451" s="145"/>
      <c r="N1451" s="145"/>
      <c r="O1451" s="174"/>
      <c r="P1451" s="174"/>
      <c r="Q1451" s="158" t="str">
        <v/>
      </c>
      <c r="R1451" s="158" t="str">
        <v/>
      </c>
      <c r="S1451" s="158" t="str">
        <v/>
      </c>
      <c r="T1451" s="158" t="str">
        <v/>
      </c>
      <c r="U1451" s="158" t="str">
        <v/>
      </c>
      <c r="V1451" s="158" t="str">
        <v/>
      </c>
      <c r="W1451" s="158" t="str">
        <v/>
      </c>
      <c r="X1451" s="158" t="str">
        <v/>
      </c>
      <c r="Y1451" s="158" t="str">
        <v/>
      </c>
      <c r="Z1451" s="158" t="str">
        <v/>
      </c>
      <c r="AA1451" s="158" t="e">
        <v>#VALUE!</v>
      </c>
      <c r="AB1451" s="171" t="str">
        <v/>
      </c>
      <c r="AC1451" s="158">
        <v>0</v>
      </c>
      <c r="AD1451" s="173" t="str">
        <f ca="1">IFERROR(__xludf.DUMMYFUNCTION("""COMPUTED_VALUE"""),"")</f>
        <v/>
      </c>
      <c r="AE1451" s="154" t="str">
        <v/>
      </c>
      <c r="AF1451" s="154" t="str">
        <v/>
      </c>
    </row>
    <row r="1452" spans="1:32" ht="15">
      <c r="A1452" s="176"/>
      <c r="B1452" s="145"/>
      <c r="C1452" s="169"/>
      <c r="D1452" s="145"/>
      <c r="E1452" s="145"/>
      <c r="F1452" s="169" t="e">
        <v>#VALUE!</v>
      </c>
      <c r="G1452" s="145"/>
      <c r="H1452" s="145"/>
      <c r="I1452" s="145"/>
      <c r="J1452" s="145"/>
      <c r="K1452" s="145"/>
      <c r="L1452" s="145"/>
      <c r="M1452" s="145"/>
      <c r="N1452" s="145"/>
      <c r="O1452" s="174"/>
      <c r="P1452" s="174"/>
      <c r="Q1452" s="158" t="str">
        <v/>
      </c>
      <c r="R1452" s="158" t="str">
        <v/>
      </c>
      <c r="S1452" s="158" t="str">
        <v/>
      </c>
      <c r="T1452" s="158" t="str">
        <v/>
      </c>
      <c r="U1452" s="158" t="str">
        <v/>
      </c>
      <c r="V1452" s="158" t="str">
        <v/>
      </c>
      <c r="W1452" s="158" t="str">
        <v/>
      </c>
      <c r="X1452" s="158" t="str">
        <v/>
      </c>
      <c r="Y1452" s="158" t="str">
        <v/>
      </c>
      <c r="Z1452" s="158" t="str">
        <v/>
      </c>
      <c r="AA1452" s="158" t="e">
        <v>#VALUE!</v>
      </c>
      <c r="AB1452" s="171" t="str">
        <v/>
      </c>
      <c r="AC1452" s="158">
        <v>0</v>
      </c>
      <c r="AD1452" s="173" t="str">
        <f ca="1">IFERROR(__xludf.DUMMYFUNCTION("""COMPUTED_VALUE"""),"")</f>
        <v/>
      </c>
      <c r="AE1452" s="154" t="str">
        <v/>
      </c>
      <c r="AF1452" s="154" t="str">
        <v/>
      </c>
    </row>
    <row r="1453" spans="1:32" ht="15">
      <c r="A1453" s="176"/>
      <c r="B1453" s="145"/>
      <c r="C1453" s="169"/>
      <c r="D1453" s="145"/>
      <c r="E1453" s="145"/>
      <c r="F1453" s="169" t="e">
        <v>#VALUE!</v>
      </c>
      <c r="G1453" s="145"/>
      <c r="H1453" s="145"/>
      <c r="I1453" s="145"/>
      <c r="J1453" s="145"/>
      <c r="K1453" s="145"/>
      <c r="L1453" s="145"/>
      <c r="M1453" s="145"/>
      <c r="N1453" s="145"/>
      <c r="O1453" s="174"/>
      <c r="P1453" s="174"/>
      <c r="Q1453" s="158" t="str">
        <v/>
      </c>
      <c r="R1453" s="158" t="str">
        <v/>
      </c>
      <c r="S1453" s="158" t="str">
        <v/>
      </c>
      <c r="T1453" s="158" t="str">
        <v/>
      </c>
      <c r="U1453" s="158" t="str">
        <v/>
      </c>
      <c r="V1453" s="158" t="str">
        <v/>
      </c>
      <c r="W1453" s="158" t="str">
        <v/>
      </c>
      <c r="X1453" s="158" t="str">
        <v/>
      </c>
      <c r="Y1453" s="158" t="str">
        <v/>
      </c>
      <c r="Z1453" s="158" t="str">
        <v/>
      </c>
      <c r="AA1453" s="158" t="e">
        <v>#VALUE!</v>
      </c>
      <c r="AB1453" s="171" t="str">
        <v/>
      </c>
      <c r="AC1453" s="158">
        <v>0</v>
      </c>
      <c r="AD1453" s="173" t="str">
        <f ca="1">IFERROR(__xludf.DUMMYFUNCTION("""COMPUTED_VALUE"""),"")</f>
        <v/>
      </c>
      <c r="AE1453" s="154" t="str">
        <v/>
      </c>
      <c r="AF1453" s="154" t="str">
        <v/>
      </c>
    </row>
    <row r="1454" spans="1:32" ht="15">
      <c r="A1454" s="176"/>
      <c r="B1454" s="145"/>
      <c r="C1454" s="169"/>
      <c r="D1454" s="145"/>
      <c r="E1454" s="145"/>
      <c r="F1454" s="169" t="e">
        <v>#VALUE!</v>
      </c>
      <c r="G1454" s="145"/>
      <c r="H1454" s="145"/>
      <c r="I1454" s="145"/>
      <c r="J1454" s="145"/>
      <c r="K1454" s="145"/>
      <c r="L1454" s="145"/>
      <c r="M1454" s="145"/>
      <c r="N1454" s="145"/>
      <c r="O1454" s="174"/>
      <c r="P1454" s="174"/>
      <c r="Q1454" s="158" t="str">
        <v/>
      </c>
      <c r="R1454" s="158" t="str">
        <v/>
      </c>
      <c r="S1454" s="158" t="str">
        <v/>
      </c>
      <c r="T1454" s="158" t="str">
        <v/>
      </c>
      <c r="U1454" s="158" t="str">
        <v/>
      </c>
      <c r="V1454" s="158" t="str">
        <v/>
      </c>
      <c r="W1454" s="158" t="str">
        <v/>
      </c>
      <c r="X1454" s="158" t="str">
        <v/>
      </c>
      <c r="Y1454" s="158" t="str">
        <v/>
      </c>
      <c r="Z1454" s="158" t="str">
        <v/>
      </c>
      <c r="AA1454" s="158" t="e">
        <v>#VALUE!</v>
      </c>
      <c r="AB1454" s="171" t="str">
        <v/>
      </c>
      <c r="AC1454" s="158">
        <v>0</v>
      </c>
      <c r="AD1454" s="173" t="str">
        <f ca="1">IFERROR(__xludf.DUMMYFUNCTION("""COMPUTED_VALUE"""),"")</f>
        <v/>
      </c>
      <c r="AE1454" s="154" t="str">
        <v/>
      </c>
      <c r="AF1454" s="154" t="str">
        <v/>
      </c>
    </row>
    <row r="1455" spans="1:32" ht="15">
      <c r="A1455" s="176"/>
      <c r="B1455" s="145"/>
      <c r="C1455" s="169"/>
      <c r="D1455" s="145"/>
      <c r="E1455" s="145"/>
      <c r="F1455" s="169" t="e">
        <v>#VALUE!</v>
      </c>
      <c r="G1455" s="145"/>
      <c r="H1455" s="145"/>
      <c r="I1455" s="145"/>
      <c r="J1455" s="145"/>
      <c r="K1455" s="145"/>
      <c r="L1455" s="145"/>
      <c r="M1455" s="145"/>
      <c r="N1455" s="145"/>
      <c r="O1455" s="174"/>
      <c r="P1455" s="174"/>
      <c r="Q1455" s="158" t="str">
        <v/>
      </c>
      <c r="R1455" s="158" t="str">
        <v/>
      </c>
      <c r="S1455" s="158" t="str">
        <v/>
      </c>
      <c r="T1455" s="158" t="str">
        <v/>
      </c>
      <c r="U1455" s="158" t="str">
        <v/>
      </c>
      <c r="V1455" s="158" t="str">
        <v/>
      </c>
      <c r="W1455" s="158" t="str">
        <v/>
      </c>
      <c r="X1455" s="158" t="str">
        <v/>
      </c>
      <c r="Y1455" s="158" t="str">
        <v/>
      </c>
      <c r="Z1455" s="158" t="str">
        <v/>
      </c>
      <c r="AA1455" s="158" t="e">
        <v>#VALUE!</v>
      </c>
      <c r="AB1455" s="171" t="str">
        <v/>
      </c>
      <c r="AC1455" s="158">
        <v>0</v>
      </c>
      <c r="AD1455" s="173" t="str">
        <f ca="1">IFERROR(__xludf.DUMMYFUNCTION("""COMPUTED_VALUE"""),"")</f>
        <v/>
      </c>
      <c r="AE1455" s="154" t="str">
        <v/>
      </c>
      <c r="AF1455" s="154" t="str">
        <v/>
      </c>
    </row>
    <row r="1456" spans="1:32" ht="15">
      <c r="A1456" s="176"/>
      <c r="B1456" s="145"/>
      <c r="C1456" s="169"/>
      <c r="D1456" s="145"/>
      <c r="E1456" s="145"/>
      <c r="F1456" s="169" t="e">
        <v>#VALUE!</v>
      </c>
      <c r="G1456" s="145"/>
      <c r="H1456" s="145"/>
      <c r="I1456" s="145"/>
      <c r="J1456" s="145"/>
      <c r="K1456" s="145"/>
      <c r="L1456" s="145"/>
      <c r="M1456" s="145"/>
      <c r="N1456" s="145"/>
      <c r="O1456" s="174"/>
      <c r="P1456" s="174"/>
      <c r="Q1456" s="158" t="str">
        <v/>
      </c>
      <c r="R1456" s="158" t="str">
        <v/>
      </c>
      <c r="S1456" s="158" t="str">
        <v/>
      </c>
      <c r="T1456" s="158" t="str">
        <v/>
      </c>
      <c r="U1456" s="158" t="str">
        <v/>
      </c>
      <c r="V1456" s="158" t="str">
        <v/>
      </c>
      <c r="W1456" s="158" t="str">
        <v/>
      </c>
      <c r="X1456" s="158" t="str">
        <v/>
      </c>
      <c r="Y1456" s="158" t="str">
        <v/>
      </c>
      <c r="Z1456" s="158" t="str">
        <v/>
      </c>
      <c r="AA1456" s="158" t="e">
        <v>#VALUE!</v>
      </c>
      <c r="AB1456" s="171" t="str">
        <v/>
      </c>
      <c r="AC1456" s="158">
        <v>0</v>
      </c>
      <c r="AD1456" s="173" t="str">
        <f ca="1">IFERROR(__xludf.DUMMYFUNCTION("""COMPUTED_VALUE"""),"")</f>
        <v/>
      </c>
      <c r="AE1456" s="154" t="str">
        <v/>
      </c>
      <c r="AF1456" s="154" t="str">
        <v/>
      </c>
    </row>
    <row r="1457" spans="1:32" ht="15">
      <c r="A1457" s="176"/>
      <c r="B1457" s="145"/>
      <c r="C1457" s="169"/>
      <c r="D1457" s="145"/>
      <c r="E1457" s="145"/>
      <c r="F1457" s="169" t="e">
        <v>#VALUE!</v>
      </c>
      <c r="G1457" s="145"/>
      <c r="H1457" s="145"/>
      <c r="I1457" s="145"/>
      <c r="J1457" s="145"/>
      <c r="K1457" s="145"/>
      <c r="L1457" s="145"/>
      <c r="M1457" s="145"/>
      <c r="N1457" s="145"/>
      <c r="O1457" s="174"/>
      <c r="P1457" s="174"/>
      <c r="Q1457" s="158" t="str">
        <v/>
      </c>
      <c r="R1457" s="158" t="str">
        <v/>
      </c>
      <c r="S1457" s="158" t="str">
        <v/>
      </c>
      <c r="T1457" s="158" t="str">
        <v/>
      </c>
      <c r="U1457" s="158" t="str">
        <v/>
      </c>
      <c r="V1457" s="158" t="str">
        <v/>
      </c>
      <c r="W1457" s="158" t="str">
        <v/>
      </c>
      <c r="X1457" s="158" t="str">
        <v/>
      </c>
      <c r="Y1457" s="158" t="str">
        <v/>
      </c>
      <c r="Z1457" s="158" t="str">
        <v/>
      </c>
      <c r="AA1457" s="158" t="e">
        <v>#VALUE!</v>
      </c>
      <c r="AB1457" s="171" t="str">
        <v/>
      </c>
      <c r="AC1457" s="158">
        <v>0</v>
      </c>
      <c r="AD1457" s="173" t="str">
        <f ca="1">IFERROR(__xludf.DUMMYFUNCTION("""COMPUTED_VALUE"""),"")</f>
        <v/>
      </c>
      <c r="AE1457" s="154" t="str">
        <v/>
      </c>
      <c r="AF1457" s="154" t="str">
        <v/>
      </c>
    </row>
    <row r="1458" spans="1:32" ht="15">
      <c r="A1458" s="176"/>
      <c r="B1458" s="145"/>
      <c r="C1458" s="169"/>
      <c r="D1458" s="145"/>
      <c r="E1458" s="145"/>
      <c r="F1458" s="169" t="e">
        <v>#VALUE!</v>
      </c>
      <c r="G1458" s="145"/>
      <c r="H1458" s="145"/>
      <c r="I1458" s="145"/>
      <c r="J1458" s="145"/>
      <c r="K1458" s="145"/>
      <c r="L1458" s="145"/>
      <c r="M1458" s="145"/>
      <c r="N1458" s="145"/>
      <c r="O1458" s="174"/>
      <c r="P1458" s="174"/>
      <c r="Q1458" s="158" t="str">
        <v/>
      </c>
      <c r="R1458" s="158" t="str">
        <v/>
      </c>
      <c r="S1458" s="158" t="str">
        <v/>
      </c>
      <c r="T1458" s="158" t="str">
        <v/>
      </c>
      <c r="U1458" s="158" t="str">
        <v/>
      </c>
      <c r="V1458" s="158" t="str">
        <v/>
      </c>
      <c r="W1458" s="158" t="str">
        <v/>
      </c>
      <c r="X1458" s="158" t="str">
        <v/>
      </c>
      <c r="Y1458" s="158" t="str">
        <v/>
      </c>
      <c r="Z1458" s="158" t="str">
        <v/>
      </c>
      <c r="AA1458" s="158" t="e">
        <v>#VALUE!</v>
      </c>
      <c r="AB1458" s="171" t="str">
        <v/>
      </c>
      <c r="AC1458" s="158">
        <v>0</v>
      </c>
      <c r="AD1458" s="173" t="str">
        <f ca="1">IFERROR(__xludf.DUMMYFUNCTION("""COMPUTED_VALUE"""),"")</f>
        <v/>
      </c>
      <c r="AE1458" s="154" t="str">
        <v/>
      </c>
      <c r="AF1458" s="154" t="str">
        <v/>
      </c>
    </row>
    <row r="1459" spans="1:32" ht="15">
      <c r="A1459" s="176"/>
      <c r="B1459" s="145"/>
      <c r="C1459" s="169"/>
      <c r="D1459" s="145"/>
      <c r="E1459" s="145"/>
      <c r="F1459" s="169" t="e">
        <v>#VALUE!</v>
      </c>
      <c r="G1459" s="145"/>
      <c r="H1459" s="145"/>
      <c r="I1459" s="145"/>
      <c r="J1459" s="145"/>
      <c r="K1459" s="145"/>
      <c r="L1459" s="145"/>
      <c r="M1459" s="145"/>
      <c r="N1459" s="145"/>
      <c r="O1459" s="174"/>
      <c r="P1459" s="174"/>
      <c r="Q1459" s="158" t="str">
        <v/>
      </c>
      <c r="R1459" s="158" t="str">
        <v/>
      </c>
      <c r="S1459" s="158" t="str">
        <v/>
      </c>
      <c r="T1459" s="158" t="str">
        <v/>
      </c>
      <c r="U1459" s="158" t="str">
        <v/>
      </c>
      <c r="V1459" s="158" t="str">
        <v/>
      </c>
      <c r="W1459" s="158" t="str">
        <v/>
      </c>
      <c r="X1459" s="158" t="str">
        <v/>
      </c>
      <c r="Y1459" s="158" t="str">
        <v/>
      </c>
      <c r="Z1459" s="158" t="str">
        <v/>
      </c>
      <c r="AA1459" s="158" t="e">
        <v>#VALUE!</v>
      </c>
      <c r="AB1459" s="171" t="str">
        <v/>
      </c>
      <c r="AC1459" s="158">
        <v>0</v>
      </c>
      <c r="AD1459" s="173" t="str">
        <f ca="1">IFERROR(__xludf.DUMMYFUNCTION("""COMPUTED_VALUE"""),"")</f>
        <v/>
      </c>
      <c r="AE1459" s="154" t="str">
        <v/>
      </c>
      <c r="AF1459" s="154" t="str">
        <v/>
      </c>
    </row>
    <row r="1460" spans="1:32" ht="15">
      <c r="A1460" s="176"/>
      <c r="B1460" s="145"/>
      <c r="C1460" s="169"/>
      <c r="D1460" s="145"/>
      <c r="E1460" s="145"/>
      <c r="F1460" s="169" t="e">
        <v>#VALUE!</v>
      </c>
      <c r="G1460" s="145"/>
      <c r="H1460" s="145"/>
      <c r="I1460" s="145"/>
      <c r="J1460" s="145"/>
      <c r="K1460" s="145"/>
      <c r="L1460" s="145"/>
      <c r="M1460" s="145"/>
      <c r="N1460" s="145"/>
      <c r="O1460" s="174"/>
      <c r="P1460" s="174"/>
      <c r="Q1460" s="158" t="str">
        <v/>
      </c>
      <c r="R1460" s="158" t="str">
        <v/>
      </c>
      <c r="S1460" s="158" t="str">
        <v/>
      </c>
      <c r="T1460" s="158" t="str">
        <v/>
      </c>
      <c r="U1460" s="158" t="str">
        <v/>
      </c>
      <c r="V1460" s="158" t="str">
        <v/>
      </c>
      <c r="W1460" s="158" t="str">
        <v/>
      </c>
      <c r="X1460" s="158" t="str">
        <v/>
      </c>
      <c r="Y1460" s="158" t="str">
        <v/>
      </c>
      <c r="Z1460" s="158" t="str">
        <v/>
      </c>
      <c r="AA1460" s="158" t="e">
        <v>#VALUE!</v>
      </c>
      <c r="AB1460" s="171" t="str">
        <v/>
      </c>
      <c r="AC1460" s="158">
        <v>0</v>
      </c>
      <c r="AD1460" s="173" t="str">
        <f ca="1">IFERROR(__xludf.DUMMYFUNCTION("""COMPUTED_VALUE"""),"")</f>
        <v/>
      </c>
      <c r="AE1460" s="154" t="str">
        <v/>
      </c>
      <c r="AF1460" s="154" t="str">
        <v/>
      </c>
    </row>
    <row r="1461" spans="1:32" ht="15">
      <c r="A1461" s="176"/>
      <c r="B1461" s="145"/>
      <c r="C1461" s="169"/>
      <c r="D1461" s="145"/>
      <c r="E1461" s="145"/>
      <c r="F1461" s="169" t="e">
        <v>#VALUE!</v>
      </c>
      <c r="G1461" s="145"/>
      <c r="H1461" s="145"/>
      <c r="I1461" s="145"/>
      <c r="J1461" s="145"/>
      <c r="K1461" s="145"/>
      <c r="L1461" s="145"/>
      <c r="M1461" s="145"/>
      <c r="N1461" s="145"/>
      <c r="O1461" s="174"/>
      <c r="P1461" s="174"/>
      <c r="Q1461" s="158" t="str">
        <v/>
      </c>
      <c r="R1461" s="158" t="str">
        <v/>
      </c>
      <c r="S1461" s="158" t="str">
        <v/>
      </c>
      <c r="T1461" s="158" t="str">
        <v/>
      </c>
      <c r="U1461" s="158" t="str">
        <v/>
      </c>
      <c r="V1461" s="158" t="str">
        <v/>
      </c>
      <c r="W1461" s="158" t="str">
        <v/>
      </c>
      <c r="X1461" s="158" t="str">
        <v/>
      </c>
      <c r="Y1461" s="158" t="str">
        <v/>
      </c>
      <c r="Z1461" s="158" t="str">
        <v/>
      </c>
      <c r="AA1461" s="158" t="e">
        <v>#VALUE!</v>
      </c>
      <c r="AB1461" s="171" t="str">
        <v/>
      </c>
      <c r="AC1461" s="158">
        <v>0</v>
      </c>
      <c r="AD1461" s="173" t="str">
        <f ca="1">IFERROR(__xludf.DUMMYFUNCTION("""COMPUTED_VALUE"""),"")</f>
        <v/>
      </c>
      <c r="AE1461" s="154" t="str">
        <v/>
      </c>
      <c r="AF1461" s="154" t="str">
        <v/>
      </c>
    </row>
    <row r="1462" spans="1:32" ht="15">
      <c r="A1462" s="176"/>
      <c r="B1462" s="145"/>
      <c r="C1462" s="169"/>
      <c r="D1462" s="145"/>
      <c r="E1462" s="145"/>
      <c r="F1462" s="169" t="e">
        <v>#VALUE!</v>
      </c>
      <c r="G1462" s="145"/>
      <c r="H1462" s="145"/>
      <c r="I1462" s="145"/>
      <c r="J1462" s="145"/>
      <c r="K1462" s="145"/>
      <c r="L1462" s="145"/>
      <c r="M1462" s="145"/>
      <c r="N1462" s="145"/>
      <c r="O1462" s="174"/>
      <c r="P1462" s="174"/>
      <c r="Q1462" s="158" t="str">
        <v/>
      </c>
      <c r="R1462" s="158" t="str">
        <v/>
      </c>
      <c r="S1462" s="158" t="str">
        <v/>
      </c>
      <c r="T1462" s="158" t="str">
        <v/>
      </c>
      <c r="U1462" s="158" t="str">
        <v/>
      </c>
      <c r="V1462" s="158" t="str">
        <v/>
      </c>
      <c r="W1462" s="158" t="str">
        <v/>
      </c>
      <c r="X1462" s="158" t="str">
        <v/>
      </c>
      <c r="Y1462" s="158" t="str">
        <v/>
      </c>
      <c r="Z1462" s="158" t="str">
        <v/>
      </c>
      <c r="AA1462" s="158" t="e">
        <v>#VALUE!</v>
      </c>
      <c r="AB1462" s="171" t="str">
        <v/>
      </c>
      <c r="AC1462" s="158">
        <v>0</v>
      </c>
      <c r="AD1462" s="173" t="str">
        <f ca="1">IFERROR(__xludf.DUMMYFUNCTION("""COMPUTED_VALUE"""),"")</f>
        <v/>
      </c>
      <c r="AE1462" s="154" t="str">
        <v/>
      </c>
      <c r="AF1462" s="154" t="str">
        <v/>
      </c>
    </row>
    <row r="1463" spans="1:32" ht="15">
      <c r="A1463" s="176"/>
      <c r="B1463" s="145"/>
      <c r="C1463" s="169"/>
      <c r="D1463" s="145"/>
      <c r="E1463" s="145"/>
      <c r="F1463" s="169" t="e">
        <v>#VALUE!</v>
      </c>
      <c r="G1463" s="145"/>
      <c r="H1463" s="145"/>
      <c r="I1463" s="145"/>
      <c r="J1463" s="145"/>
      <c r="K1463" s="145"/>
      <c r="L1463" s="145"/>
      <c r="M1463" s="145"/>
      <c r="N1463" s="145"/>
      <c r="O1463" s="174"/>
      <c r="P1463" s="174"/>
      <c r="Q1463" s="158" t="str">
        <v/>
      </c>
      <c r="R1463" s="158" t="str">
        <v/>
      </c>
      <c r="S1463" s="158" t="str">
        <v/>
      </c>
      <c r="T1463" s="158" t="str">
        <v/>
      </c>
      <c r="U1463" s="158" t="str">
        <v/>
      </c>
      <c r="V1463" s="158" t="str">
        <v/>
      </c>
      <c r="W1463" s="158" t="str">
        <v/>
      </c>
      <c r="X1463" s="158" t="str">
        <v/>
      </c>
      <c r="Y1463" s="158" t="str">
        <v/>
      </c>
      <c r="Z1463" s="158" t="str">
        <v/>
      </c>
      <c r="AA1463" s="158" t="e">
        <v>#VALUE!</v>
      </c>
      <c r="AB1463" s="171" t="str">
        <v/>
      </c>
      <c r="AC1463" s="158">
        <v>0</v>
      </c>
      <c r="AD1463" s="173" t="str">
        <f ca="1">IFERROR(__xludf.DUMMYFUNCTION("""COMPUTED_VALUE"""),"")</f>
        <v/>
      </c>
      <c r="AE1463" s="154" t="str">
        <v/>
      </c>
      <c r="AF1463" s="154" t="str">
        <v/>
      </c>
    </row>
    <row r="1464" spans="1:32" ht="15">
      <c r="A1464" s="176"/>
      <c r="B1464" s="145"/>
      <c r="C1464" s="169"/>
      <c r="D1464" s="145"/>
      <c r="E1464" s="145"/>
      <c r="F1464" s="169" t="e">
        <v>#VALUE!</v>
      </c>
      <c r="G1464" s="145"/>
      <c r="H1464" s="145"/>
      <c r="I1464" s="145"/>
      <c r="J1464" s="145"/>
      <c r="K1464" s="145"/>
      <c r="L1464" s="145"/>
      <c r="M1464" s="145"/>
      <c r="N1464" s="145"/>
      <c r="O1464" s="174"/>
      <c r="P1464" s="174"/>
      <c r="Q1464" s="158" t="str">
        <v/>
      </c>
      <c r="R1464" s="158" t="str">
        <v/>
      </c>
      <c r="S1464" s="158" t="str">
        <v/>
      </c>
      <c r="T1464" s="158" t="str">
        <v/>
      </c>
      <c r="U1464" s="158" t="str">
        <v/>
      </c>
      <c r="V1464" s="158" t="str">
        <v/>
      </c>
      <c r="W1464" s="158" t="str">
        <v/>
      </c>
      <c r="X1464" s="158" t="str">
        <v/>
      </c>
      <c r="Y1464" s="158" t="str">
        <v/>
      </c>
      <c r="Z1464" s="158" t="str">
        <v/>
      </c>
      <c r="AA1464" s="158" t="e">
        <v>#VALUE!</v>
      </c>
      <c r="AB1464" s="171" t="str">
        <v/>
      </c>
      <c r="AC1464" s="158">
        <v>0</v>
      </c>
      <c r="AD1464" s="173" t="str">
        <f ca="1">IFERROR(__xludf.DUMMYFUNCTION("""COMPUTED_VALUE"""),"")</f>
        <v/>
      </c>
      <c r="AE1464" s="154" t="str">
        <v/>
      </c>
      <c r="AF1464" s="154" t="str">
        <v/>
      </c>
    </row>
    <row r="1465" spans="1:32" ht="15">
      <c r="A1465" s="176"/>
      <c r="B1465" s="145"/>
      <c r="C1465" s="169"/>
      <c r="D1465" s="145"/>
      <c r="E1465" s="145"/>
      <c r="F1465" s="169" t="e">
        <v>#VALUE!</v>
      </c>
      <c r="G1465" s="145"/>
      <c r="H1465" s="145"/>
      <c r="I1465" s="145"/>
      <c r="J1465" s="145"/>
      <c r="K1465" s="145"/>
      <c r="L1465" s="145"/>
      <c r="M1465" s="145"/>
      <c r="N1465" s="145"/>
      <c r="O1465" s="174"/>
      <c r="P1465" s="174"/>
      <c r="Q1465" s="158" t="str">
        <v/>
      </c>
      <c r="R1465" s="158" t="str">
        <v/>
      </c>
      <c r="S1465" s="158" t="str">
        <v/>
      </c>
      <c r="T1465" s="158" t="str">
        <v/>
      </c>
      <c r="U1465" s="158" t="str">
        <v/>
      </c>
      <c r="V1465" s="158" t="str">
        <v/>
      </c>
      <c r="W1465" s="158" t="str">
        <v/>
      </c>
      <c r="X1465" s="158" t="str">
        <v/>
      </c>
      <c r="Y1465" s="158" t="str">
        <v/>
      </c>
      <c r="Z1465" s="158" t="str">
        <v/>
      </c>
      <c r="AA1465" s="158" t="e">
        <v>#VALUE!</v>
      </c>
      <c r="AB1465" s="171" t="str">
        <v/>
      </c>
      <c r="AC1465" s="158">
        <v>0</v>
      </c>
      <c r="AD1465" s="173" t="str">
        <f ca="1">IFERROR(__xludf.DUMMYFUNCTION("""COMPUTED_VALUE"""),"")</f>
        <v/>
      </c>
      <c r="AE1465" s="154" t="str">
        <v/>
      </c>
      <c r="AF1465" s="154" t="str">
        <v/>
      </c>
    </row>
    <row r="1466" spans="1:32" ht="15">
      <c r="A1466" s="176"/>
      <c r="B1466" s="145"/>
      <c r="C1466" s="169"/>
      <c r="D1466" s="145"/>
      <c r="E1466" s="145"/>
      <c r="F1466" s="169" t="e">
        <v>#VALUE!</v>
      </c>
      <c r="G1466" s="145"/>
      <c r="H1466" s="145"/>
      <c r="I1466" s="145"/>
      <c r="J1466" s="145"/>
      <c r="K1466" s="145"/>
      <c r="L1466" s="145"/>
      <c r="M1466" s="145"/>
      <c r="N1466" s="145"/>
      <c r="O1466" s="174"/>
      <c r="P1466" s="174"/>
      <c r="Q1466" s="158" t="str">
        <v/>
      </c>
      <c r="R1466" s="158" t="str">
        <v/>
      </c>
      <c r="S1466" s="158" t="str">
        <v/>
      </c>
      <c r="T1466" s="158" t="str">
        <v/>
      </c>
      <c r="U1466" s="158" t="str">
        <v/>
      </c>
      <c r="V1466" s="158" t="str">
        <v/>
      </c>
      <c r="W1466" s="158" t="str">
        <v/>
      </c>
      <c r="X1466" s="158" t="str">
        <v/>
      </c>
      <c r="Y1466" s="158" t="str">
        <v/>
      </c>
      <c r="Z1466" s="158" t="str">
        <v/>
      </c>
      <c r="AA1466" s="158" t="e">
        <v>#VALUE!</v>
      </c>
      <c r="AB1466" s="171" t="str">
        <v/>
      </c>
      <c r="AC1466" s="158">
        <v>0</v>
      </c>
      <c r="AD1466" s="173" t="str">
        <f ca="1">IFERROR(__xludf.DUMMYFUNCTION("""COMPUTED_VALUE"""),"")</f>
        <v/>
      </c>
      <c r="AE1466" s="154" t="str">
        <v/>
      </c>
      <c r="AF1466" s="154" t="str">
        <v/>
      </c>
    </row>
    <row r="1467" spans="1:32" ht="15">
      <c r="A1467" s="176"/>
      <c r="B1467" s="145"/>
      <c r="C1467" s="169"/>
      <c r="D1467" s="145"/>
      <c r="E1467" s="145"/>
      <c r="F1467" s="169" t="e">
        <v>#VALUE!</v>
      </c>
      <c r="G1467" s="145"/>
      <c r="H1467" s="145"/>
      <c r="I1467" s="145"/>
      <c r="J1467" s="145"/>
      <c r="K1467" s="145"/>
      <c r="L1467" s="145"/>
      <c r="M1467" s="145"/>
      <c r="N1467" s="145"/>
      <c r="O1467" s="174"/>
      <c r="P1467" s="174"/>
      <c r="Q1467" s="158" t="str">
        <v/>
      </c>
      <c r="R1467" s="158" t="str">
        <v/>
      </c>
      <c r="S1467" s="158" t="str">
        <v/>
      </c>
      <c r="T1467" s="158" t="str">
        <v/>
      </c>
      <c r="U1467" s="158" t="str">
        <v/>
      </c>
      <c r="V1467" s="158" t="str">
        <v/>
      </c>
      <c r="W1467" s="158" t="str">
        <v/>
      </c>
      <c r="X1467" s="158" t="str">
        <v/>
      </c>
      <c r="Y1467" s="158" t="str">
        <v/>
      </c>
      <c r="Z1467" s="158" t="str">
        <v/>
      </c>
      <c r="AA1467" s="158" t="e">
        <v>#VALUE!</v>
      </c>
      <c r="AB1467" s="171" t="str">
        <v/>
      </c>
      <c r="AC1467" s="158">
        <v>0</v>
      </c>
      <c r="AD1467" s="173" t="str">
        <f ca="1">IFERROR(__xludf.DUMMYFUNCTION("""COMPUTED_VALUE"""),"")</f>
        <v/>
      </c>
      <c r="AE1467" s="154" t="str">
        <v/>
      </c>
      <c r="AF1467" s="154" t="str">
        <v/>
      </c>
    </row>
    <row r="1468" spans="1:32" ht="15">
      <c r="A1468" s="176"/>
      <c r="B1468" s="145"/>
      <c r="C1468" s="169"/>
      <c r="D1468" s="145"/>
      <c r="E1468" s="145"/>
      <c r="F1468" s="169" t="e">
        <v>#VALUE!</v>
      </c>
      <c r="G1468" s="145"/>
      <c r="H1468" s="145"/>
      <c r="I1468" s="145"/>
      <c r="J1468" s="145"/>
      <c r="K1468" s="145"/>
      <c r="L1468" s="145"/>
      <c r="M1468" s="145"/>
      <c r="N1468" s="145"/>
      <c r="O1468" s="174"/>
      <c r="P1468" s="174"/>
      <c r="Q1468" s="158" t="str">
        <v/>
      </c>
      <c r="R1468" s="158" t="str">
        <v/>
      </c>
      <c r="S1468" s="158" t="str">
        <v/>
      </c>
      <c r="T1468" s="158" t="str">
        <v/>
      </c>
      <c r="U1468" s="158" t="str">
        <v/>
      </c>
      <c r="V1468" s="158" t="str">
        <v/>
      </c>
      <c r="W1468" s="158" t="str">
        <v/>
      </c>
      <c r="X1468" s="158" t="str">
        <v/>
      </c>
      <c r="Y1468" s="158" t="str">
        <v/>
      </c>
      <c r="Z1468" s="158" t="str">
        <v/>
      </c>
      <c r="AA1468" s="158" t="e">
        <v>#VALUE!</v>
      </c>
      <c r="AB1468" s="171" t="str">
        <v/>
      </c>
      <c r="AC1468" s="158">
        <v>0</v>
      </c>
      <c r="AD1468" s="173" t="str">
        <f ca="1">IFERROR(__xludf.DUMMYFUNCTION("""COMPUTED_VALUE"""),"")</f>
        <v/>
      </c>
      <c r="AE1468" s="154" t="str">
        <v/>
      </c>
      <c r="AF1468" s="154" t="str">
        <v/>
      </c>
    </row>
    <row r="1469" spans="1:32" ht="15">
      <c r="A1469" s="176"/>
      <c r="B1469" s="145"/>
      <c r="C1469" s="169"/>
      <c r="D1469" s="145"/>
      <c r="E1469" s="145"/>
      <c r="F1469" s="169" t="e">
        <v>#VALUE!</v>
      </c>
      <c r="G1469" s="145"/>
      <c r="H1469" s="145"/>
      <c r="I1469" s="145"/>
      <c r="J1469" s="145"/>
      <c r="K1469" s="145"/>
      <c r="L1469" s="145"/>
      <c r="M1469" s="145"/>
      <c r="N1469" s="145"/>
      <c r="O1469" s="174"/>
      <c r="P1469" s="174"/>
      <c r="Q1469" s="158" t="str">
        <v/>
      </c>
      <c r="R1469" s="158" t="str">
        <v/>
      </c>
      <c r="S1469" s="158" t="str">
        <v/>
      </c>
      <c r="T1469" s="158" t="str">
        <v/>
      </c>
      <c r="U1469" s="158" t="str">
        <v/>
      </c>
      <c r="V1469" s="158" t="str">
        <v/>
      </c>
      <c r="W1469" s="158" t="str">
        <v/>
      </c>
      <c r="X1469" s="158" t="str">
        <v/>
      </c>
      <c r="Y1469" s="158" t="str">
        <v/>
      </c>
      <c r="Z1469" s="158" t="str">
        <v/>
      </c>
      <c r="AA1469" s="158" t="e">
        <v>#VALUE!</v>
      </c>
      <c r="AB1469" s="171" t="str">
        <v/>
      </c>
      <c r="AC1469" s="158">
        <v>0</v>
      </c>
      <c r="AD1469" s="173" t="str">
        <f ca="1">IFERROR(__xludf.DUMMYFUNCTION("""COMPUTED_VALUE"""),"")</f>
        <v/>
      </c>
      <c r="AE1469" s="154" t="str">
        <v/>
      </c>
      <c r="AF1469" s="154" t="str">
        <v/>
      </c>
    </row>
    <row r="1470" spans="1:32" ht="15">
      <c r="A1470" s="176"/>
      <c r="B1470" s="145"/>
      <c r="C1470" s="169"/>
      <c r="D1470" s="145"/>
      <c r="E1470" s="145"/>
      <c r="F1470" s="169" t="e">
        <v>#VALUE!</v>
      </c>
      <c r="G1470" s="145"/>
      <c r="H1470" s="145"/>
      <c r="I1470" s="145"/>
      <c r="J1470" s="145"/>
      <c r="K1470" s="145"/>
      <c r="L1470" s="145"/>
      <c r="M1470" s="145"/>
      <c r="N1470" s="145"/>
      <c r="O1470" s="174"/>
      <c r="P1470" s="174"/>
      <c r="Q1470" s="158" t="str">
        <v/>
      </c>
      <c r="R1470" s="158" t="str">
        <v/>
      </c>
      <c r="S1470" s="158" t="str">
        <v/>
      </c>
      <c r="T1470" s="158" t="str">
        <v/>
      </c>
      <c r="U1470" s="158" t="str">
        <v/>
      </c>
      <c r="V1470" s="158" t="str">
        <v/>
      </c>
      <c r="W1470" s="158" t="str">
        <v/>
      </c>
      <c r="X1470" s="158" t="str">
        <v/>
      </c>
      <c r="Y1470" s="158" t="str">
        <v/>
      </c>
      <c r="Z1470" s="158" t="str">
        <v/>
      </c>
      <c r="AA1470" s="158" t="e">
        <v>#VALUE!</v>
      </c>
      <c r="AB1470" s="171" t="str">
        <v/>
      </c>
      <c r="AC1470" s="158">
        <v>0</v>
      </c>
      <c r="AD1470" s="173" t="str">
        <f ca="1">IFERROR(__xludf.DUMMYFUNCTION("""COMPUTED_VALUE"""),"")</f>
        <v/>
      </c>
      <c r="AE1470" s="154" t="str">
        <v/>
      </c>
      <c r="AF1470" s="154" t="str">
        <v/>
      </c>
    </row>
    <row r="1471" spans="1:32" ht="15">
      <c r="A1471" s="176"/>
      <c r="B1471" s="145"/>
      <c r="C1471" s="169"/>
      <c r="D1471" s="145"/>
      <c r="E1471" s="145"/>
      <c r="F1471" s="169" t="e">
        <v>#VALUE!</v>
      </c>
      <c r="G1471" s="145"/>
      <c r="H1471" s="145"/>
      <c r="I1471" s="145"/>
      <c r="J1471" s="145"/>
      <c r="K1471" s="145"/>
      <c r="L1471" s="145"/>
      <c r="M1471" s="145"/>
      <c r="N1471" s="145"/>
      <c r="O1471" s="174"/>
      <c r="P1471" s="174"/>
      <c r="Q1471" s="158" t="str">
        <v/>
      </c>
      <c r="R1471" s="158" t="str">
        <v/>
      </c>
      <c r="S1471" s="158" t="str">
        <v/>
      </c>
      <c r="T1471" s="158" t="str">
        <v/>
      </c>
      <c r="U1471" s="158" t="str">
        <v/>
      </c>
      <c r="V1471" s="158" t="str">
        <v/>
      </c>
      <c r="W1471" s="158" t="str">
        <v/>
      </c>
      <c r="X1471" s="158" t="str">
        <v/>
      </c>
      <c r="Y1471" s="158" t="str">
        <v/>
      </c>
      <c r="Z1471" s="158" t="str">
        <v/>
      </c>
      <c r="AA1471" s="158" t="e">
        <v>#VALUE!</v>
      </c>
      <c r="AB1471" s="171" t="str">
        <v/>
      </c>
      <c r="AC1471" s="158">
        <v>0</v>
      </c>
      <c r="AD1471" s="173" t="str">
        <f ca="1">IFERROR(__xludf.DUMMYFUNCTION("""COMPUTED_VALUE"""),"")</f>
        <v/>
      </c>
      <c r="AE1471" s="154" t="str">
        <v/>
      </c>
      <c r="AF1471" s="154" t="str">
        <v/>
      </c>
    </row>
    <row r="1472" spans="1:32" ht="15">
      <c r="A1472" s="176"/>
      <c r="B1472" s="145"/>
      <c r="C1472" s="169"/>
      <c r="D1472" s="145"/>
      <c r="E1472" s="145"/>
      <c r="F1472" s="169" t="e">
        <v>#VALUE!</v>
      </c>
      <c r="G1472" s="145"/>
      <c r="H1472" s="145"/>
      <c r="I1472" s="145"/>
      <c r="J1472" s="145"/>
      <c r="K1472" s="145"/>
      <c r="L1472" s="145"/>
      <c r="M1472" s="145"/>
      <c r="N1472" s="145"/>
      <c r="O1472" s="174"/>
      <c r="P1472" s="174"/>
      <c r="Q1472" s="158" t="str">
        <v/>
      </c>
      <c r="R1472" s="158" t="str">
        <v/>
      </c>
      <c r="S1472" s="158" t="str">
        <v/>
      </c>
      <c r="T1472" s="158" t="str">
        <v/>
      </c>
      <c r="U1472" s="158" t="str">
        <v/>
      </c>
      <c r="V1472" s="158" t="str">
        <v/>
      </c>
      <c r="W1472" s="158" t="str">
        <v/>
      </c>
      <c r="X1472" s="158" t="str">
        <v/>
      </c>
      <c r="Y1472" s="158" t="str">
        <v/>
      </c>
      <c r="Z1472" s="158" t="str">
        <v/>
      </c>
      <c r="AA1472" s="158" t="e">
        <v>#VALUE!</v>
      </c>
      <c r="AB1472" s="171" t="str">
        <v/>
      </c>
      <c r="AC1472" s="158">
        <v>0</v>
      </c>
      <c r="AD1472" s="173" t="str">
        <f ca="1">IFERROR(__xludf.DUMMYFUNCTION("""COMPUTED_VALUE"""),"")</f>
        <v/>
      </c>
      <c r="AE1472" s="154" t="str">
        <v/>
      </c>
      <c r="AF1472" s="154" t="str">
        <v/>
      </c>
    </row>
    <row r="1473" spans="1:32" ht="15">
      <c r="A1473" s="176"/>
      <c r="B1473" s="145"/>
      <c r="C1473" s="169"/>
      <c r="D1473" s="145"/>
      <c r="E1473" s="145"/>
      <c r="F1473" s="169" t="e">
        <v>#VALUE!</v>
      </c>
      <c r="G1473" s="145"/>
      <c r="H1473" s="145"/>
      <c r="I1473" s="145"/>
      <c r="J1473" s="145"/>
      <c r="K1473" s="145"/>
      <c r="L1473" s="145"/>
      <c r="M1473" s="145"/>
      <c r="N1473" s="145"/>
      <c r="O1473" s="174"/>
      <c r="P1473" s="174"/>
      <c r="Q1473" s="158" t="str">
        <v/>
      </c>
      <c r="R1473" s="158" t="str">
        <v/>
      </c>
      <c r="S1473" s="158" t="str">
        <v/>
      </c>
      <c r="T1473" s="158" t="str">
        <v/>
      </c>
      <c r="U1473" s="158" t="str">
        <v/>
      </c>
      <c r="V1473" s="158" t="str">
        <v/>
      </c>
      <c r="W1473" s="158" t="str">
        <v/>
      </c>
      <c r="X1473" s="158" t="str">
        <v/>
      </c>
      <c r="Y1473" s="158" t="str">
        <v/>
      </c>
      <c r="Z1473" s="158" t="str">
        <v/>
      </c>
      <c r="AA1473" s="158" t="e">
        <v>#VALUE!</v>
      </c>
      <c r="AB1473" s="171" t="str">
        <v/>
      </c>
      <c r="AC1473" s="158">
        <v>0</v>
      </c>
      <c r="AD1473" s="173" t="str">
        <f ca="1">IFERROR(__xludf.DUMMYFUNCTION("""COMPUTED_VALUE"""),"")</f>
        <v/>
      </c>
      <c r="AE1473" s="154" t="str">
        <v/>
      </c>
      <c r="AF1473" s="154" t="str">
        <v/>
      </c>
    </row>
    <row r="1474" spans="1:32" ht="15">
      <c r="A1474" s="176"/>
      <c r="B1474" s="145"/>
      <c r="C1474" s="169"/>
      <c r="D1474" s="145"/>
      <c r="E1474" s="145"/>
      <c r="F1474" s="169" t="e">
        <v>#VALUE!</v>
      </c>
      <c r="G1474" s="145"/>
      <c r="H1474" s="145"/>
      <c r="I1474" s="145"/>
      <c r="J1474" s="145"/>
      <c r="K1474" s="145"/>
      <c r="L1474" s="145"/>
      <c r="M1474" s="145"/>
      <c r="N1474" s="145"/>
      <c r="O1474" s="174"/>
      <c r="P1474" s="174"/>
      <c r="Q1474" s="158" t="str">
        <v/>
      </c>
      <c r="R1474" s="158" t="str">
        <v/>
      </c>
      <c r="S1474" s="158" t="str">
        <v/>
      </c>
      <c r="T1474" s="158" t="str">
        <v/>
      </c>
      <c r="U1474" s="158" t="str">
        <v/>
      </c>
      <c r="V1474" s="158" t="str">
        <v/>
      </c>
      <c r="W1474" s="158" t="str">
        <v/>
      </c>
      <c r="X1474" s="158" t="str">
        <v/>
      </c>
      <c r="Y1474" s="158" t="str">
        <v/>
      </c>
      <c r="Z1474" s="158" t="str">
        <v/>
      </c>
      <c r="AA1474" s="158" t="e">
        <v>#VALUE!</v>
      </c>
      <c r="AB1474" s="171" t="str">
        <v/>
      </c>
      <c r="AC1474" s="158">
        <v>0</v>
      </c>
      <c r="AD1474" s="173" t="str">
        <f ca="1">IFERROR(__xludf.DUMMYFUNCTION("""COMPUTED_VALUE"""),"")</f>
        <v/>
      </c>
      <c r="AE1474" s="154" t="str">
        <v/>
      </c>
      <c r="AF1474" s="154" t="str">
        <v/>
      </c>
    </row>
    <row r="1475" spans="1:32" ht="15">
      <c r="A1475" s="176"/>
      <c r="B1475" s="145"/>
      <c r="C1475" s="169"/>
      <c r="D1475" s="145"/>
      <c r="E1475" s="145"/>
      <c r="F1475" s="169" t="e">
        <v>#VALUE!</v>
      </c>
      <c r="G1475" s="145"/>
      <c r="H1475" s="145"/>
      <c r="I1475" s="145"/>
      <c r="J1475" s="145"/>
      <c r="K1475" s="145"/>
      <c r="L1475" s="145"/>
      <c r="M1475" s="145"/>
      <c r="N1475" s="145"/>
      <c r="O1475" s="174"/>
      <c r="P1475" s="174"/>
      <c r="Q1475" s="158" t="str">
        <v/>
      </c>
      <c r="R1475" s="158" t="str">
        <v/>
      </c>
      <c r="S1475" s="158" t="str">
        <v/>
      </c>
      <c r="T1475" s="158" t="str">
        <v/>
      </c>
      <c r="U1475" s="158" t="str">
        <v/>
      </c>
      <c r="V1475" s="158" t="str">
        <v/>
      </c>
      <c r="W1475" s="158" t="str">
        <v/>
      </c>
      <c r="X1475" s="158" t="str">
        <v/>
      </c>
      <c r="Y1475" s="158" t="str">
        <v/>
      </c>
      <c r="Z1475" s="158" t="str">
        <v/>
      </c>
      <c r="AA1475" s="158" t="e">
        <v>#VALUE!</v>
      </c>
      <c r="AB1475" s="171" t="str">
        <v/>
      </c>
      <c r="AC1475" s="158">
        <v>0</v>
      </c>
      <c r="AD1475" s="173" t="str">
        <f ca="1">IFERROR(__xludf.DUMMYFUNCTION("""COMPUTED_VALUE"""),"")</f>
        <v/>
      </c>
      <c r="AE1475" s="154" t="str">
        <v/>
      </c>
      <c r="AF1475" s="154" t="str">
        <v/>
      </c>
    </row>
    <row r="1476" spans="1:32" ht="15">
      <c r="A1476" s="176"/>
      <c r="B1476" s="145"/>
      <c r="C1476" s="169"/>
      <c r="D1476" s="145"/>
      <c r="E1476" s="145"/>
      <c r="F1476" s="169" t="e">
        <v>#VALUE!</v>
      </c>
      <c r="G1476" s="145"/>
      <c r="H1476" s="145"/>
      <c r="I1476" s="145"/>
      <c r="J1476" s="145"/>
      <c r="K1476" s="145"/>
      <c r="L1476" s="145"/>
      <c r="M1476" s="145"/>
      <c r="N1476" s="145"/>
      <c r="O1476" s="174"/>
      <c r="P1476" s="174"/>
      <c r="Q1476" s="158" t="str">
        <v/>
      </c>
      <c r="R1476" s="158" t="str">
        <v/>
      </c>
      <c r="S1476" s="158" t="str">
        <v/>
      </c>
      <c r="T1476" s="158" t="str">
        <v/>
      </c>
      <c r="U1476" s="158" t="str">
        <v/>
      </c>
      <c r="V1476" s="158" t="str">
        <v/>
      </c>
      <c r="W1476" s="158" t="str">
        <v/>
      </c>
      <c r="X1476" s="158" t="str">
        <v/>
      </c>
      <c r="Y1476" s="158" t="str">
        <v/>
      </c>
      <c r="Z1476" s="158" t="str">
        <v/>
      </c>
      <c r="AA1476" s="158" t="e">
        <v>#VALUE!</v>
      </c>
      <c r="AB1476" s="171" t="str">
        <v/>
      </c>
      <c r="AC1476" s="158">
        <v>0</v>
      </c>
      <c r="AD1476" s="173" t="str">
        <f ca="1">IFERROR(__xludf.DUMMYFUNCTION("""COMPUTED_VALUE"""),"")</f>
        <v/>
      </c>
      <c r="AE1476" s="154" t="str">
        <v/>
      </c>
      <c r="AF1476" s="154" t="str">
        <v/>
      </c>
    </row>
    <row r="1477" spans="1:32" ht="15">
      <c r="A1477" s="176"/>
      <c r="B1477" s="145"/>
      <c r="C1477" s="169"/>
      <c r="D1477" s="145"/>
      <c r="E1477" s="145"/>
      <c r="F1477" s="169" t="e">
        <v>#VALUE!</v>
      </c>
      <c r="G1477" s="145"/>
      <c r="H1477" s="145"/>
      <c r="I1477" s="145"/>
      <c r="J1477" s="145"/>
      <c r="K1477" s="145"/>
      <c r="L1477" s="145"/>
      <c r="M1477" s="145"/>
      <c r="N1477" s="145"/>
      <c r="O1477" s="174"/>
      <c r="P1477" s="174"/>
      <c r="Q1477" s="158" t="str">
        <v/>
      </c>
      <c r="R1477" s="158" t="str">
        <v/>
      </c>
      <c r="S1477" s="158" t="str">
        <v/>
      </c>
      <c r="T1477" s="158" t="str">
        <v/>
      </c>
      <c r="U1477" s="158" t="str">
        <v/>
      </c>
      <c r="V1477" s="158" t="str">
        <v/>
      </c>
      <c r="W1477" s="158" t="str">
        <v/>
      </c>
      <c r="X1477" s="158" t="str">
        <v/>
      </c>
      <c r="Y1477" s="158" t="str">
        <v/>
      </c>
      <c r="Z1477" s="158" t="str">
        <v/>
      </c>
      <c r="AA1477" s="158" t="e">
        <v>#VALUE!</v>
      </c>
      <c r="AB1477" s="171" t="str">
        <v/>
      </c>
      <c r="AC1477" s="158">
        <v>0</v>
      </c>
      <c r="AD1477" s="173" t="str">
        <f ca="1">IFERROR(__xludf.DUMMYFUNCTION("""COMPUTED_VALUE"""),"")</f>
        <v/>
      </c>
      <c r="AE1477" s="154" t="str">
        <v/>
      </c>
      <c r="AF1477" s="154" t="str">
        <v/>
      </c>
    </row>
    <row r="1478" spans="1:32" ht="15">
      <c r="A1478" s="176"/>
      <c r="B1478" s="145"/>
      <c r="C1478" s="169"/>
      <c r="D1478" s="145"/>
      <c r="E1478" s="145"/>
      <c r="F1478" s="169" t="e">
        <v>#VALUE!</v>
      </c>
      <c r="G1478" s="145"/>
      <c r="H1478" s="145"/>
      <c r="I1478" s="145"/>
      <c r="J1478" s="145"/>
      <c r="K1478" s="145"/>
      <c r="L1478" s="145"/>
      <c r="M1478" s="145"/>
      <c r="N1478" s="145"/>
      <c r="O1478" s="174"/>
      <c r="P1478" s="174"/>
      <c r="Q1478" s="158" t="str">
        <v/>
      </c>
      <c r="R1478" s="158" t="str">
        <v/>
      </c>
      <c r="S1478" s="158" t="str">
        <v/>
      </c>
      <c r="T1478" s="158" t="str">
        <v/>
      </c>
      <c r="U1478" s="158" t="str">
        <v/>
      </c>
      <c r="V1478" s="158" t="str">
        <v/>
      </c>
      <c r="W1478" s="158" t="str">
        <v/>
      </c>
      <c r="X1478" s="158" t="str">
        <v/>
      </c>
      <c r="Y1478" s="158" t="str">
        <v/>
      </c>
      <c r="Z1478" s="158" t="str">
        <v/>
      </c>
      <c r="AA1478" s="158" t="e">
        <v>#VALUE!</v>
      </c>
      <c r="AB1478" s="171" t="str">
        <v/>
      </c>
      <c r="AC1478" s="158">
        <v>0</v>
      </c>
      <c r="AD1478" s="173" t="str">
        <f ca="1">IFERROR(__xludf.DUMMYFUNCTION("""COMPUTED_VALUE"""),"")</f>
        <v/>
      </c>
      <c r="AE1478" s="154" t="str">
        <v/>
      </c>
      <c r="AF1478" s="154" t="str">
        <v/>
      </c>
    </row>
    <row r="1479" spans="1:32" ht="15">
      <c r="A1479" s="176"/>
      <c r="B1479" s="145"/>
      <c r="C1479" s="169"/>
      <c r="D1479" s="145"/>
      <c r="E1479" s="145"/>
      <c r="F1479" s="169" t="e">
        <v>#VALUE!</v>
      </c>
      <c r="G1479" s="145"/>
      <c r="H1479" s="145"/>
      <c r="I1479" s="145"/>
      <c r="J1479" s="145"/>
      <c r="K1479" s="145"/>
      <c r="L1479" s="145"/>
      <c r="M1479" s="145"/>
      <c r="N1479" s="145"/>
      <c r="O1479" s="174"/>
      <c r="P1479" s="174"/>
      <c r="Q1479" s="158" t="str">
        <v/>
      </c>
      <c r="R1479" s="158" t="str">
        <v/>
      </c>
      <c r="S1479" s="158" t="str">
        <v/>
      </c>
      <c r="T1479" s="158" t="str">
        <v/>
      </c>
      <c r="U1479" s="158" t="str">
        <v/>
      </c>
      <c r="V1479" s="158" t="str">
        <v/>
      </c>
      <c r="W1479" s="158" t="str">
        <v/>
      </c>
      <c r="X1479" s="158" t="str">
        <v/>
      </c>
      <c r="Y1479" s="158" t="str">
        <v/>
      </c>
      <c r="Z1479" s="158" t="str">
        <v/>
      </c>
      <c r="AA1479" s="158" t="e">
        <v>#VALUE!</v>
      </c>
      <c r="AB1479" s="171" t="str">
        <v/>
      </c>
      <c r="AC1479" s="158">
        <v>0</v>
      </c>
      <c r="AD1479" s="173" t="str">
        <f ca="1">IFERROR(__xludf.DUMMYFUNCTION("""COMPUTED_VALUE"""),"")</f>
        <v/>
      </c>
      <c r="AE1479" s="154" t="str">
        <v/>
      </c>
      <c r="AF1479" s="154" t="str">
        <v/>
      </c>
    </row>
    <row r="1480" spans="1:32" ht="15">
      <c r="A1480" s="176"/>
      <c r="B1480" s="145"/>
      <c r="C1480" s="169"/>
      <c r="D1480" s="145"/>
      <c r="E1480" s="145"/>
      <c r="F1480" s="169" t="e">
        <v>#VALUE!</v>
      </c>
      <c r="G1480" s="145"/>
      <c r="H1480" s="145"/>
      <c r="I1480" s="145"/>
      <c r="J1480" s="145"/>
      <c r="K1480" s="145"/>
      <c r="L1480" s="145"/>
      <c r="M1480" s="145"/>
      <c r="N1480" s="145"/>
      <c r="O1480" s="174"/>
      <c r="P1480" s="174"/>
      <c r="Q1480" s="158" t="str">
        <v/>
      </c>
      <c r="R1480" s="158" t="str">
        <v/>
      </c>
      <c r="S1480" s="158" t="str">
        <v/>
      </c>
      <c r="T1480" s="158" t="str">
        <v/>
      </c>
      <c r="U1480" s="158" t="str">
        <v/>
      </c>
      <c r="V1480" s="158" t="str">
        <v/>
      </c>
      <c r="W1480" s="158" t="str">
        <v/>
      </c>
      <c r="X1480" s="158" t="str">
        <v/>
      </c>
      <c r="Y1480" s="158" t="str">
        <v/>
      </c>
      <c r="Z1480" s="158" t="str">
        <v/>
      </c>
      <c r="AA1480" s="158" t="e">
        <v>#VALUE!</v>
      </c>
      <c r="AB1480" s="171" t="str">
        <v/>
      </c>
      <c r="AC1480" s="158">
        <v>0</v>
      </c>
      <c r="AD1480" s="173" t="str">
        <f ca="1">IFERROR(__xludf.DUMMYFUNCTION("""COMPUTED_VALUE"""),"")</f>
        <v/>
      </c>
      <c r="AE1480" s="154" t="str">
        <v/>
      </c>
      <c r="AF1480" s="154" t="str">
        <v/>
      </c>
    </row>
    <row r="1481" spans="1:32" ht="15">
      <c r="A1481" s="176"/>
      <c r="B1481" s="145"/>
      <c r="C1481" s="169"/>
      <c r="D1481" s="145"/>
      <c r="E1481" s="145"/>
      <c r="F1481" s="169" t="e">
        <v>#VALUE!</v>
      </c>
      <c r="G1481" s="145"/>
      <c r="H1481" s="145"/>
      <c r="I1481" s="145"/>
      <c r="J1481" s="145"/>
      <c r="K1481" s="145"/>
      <c r="L1481" s="145"/>
      <c r="M1481" s="145"/>
      <c r="N1481" s="145"/>
      <c r="O1481" s="174"/>
      <c r="P1481" s="174"/>
      <c r="Q1481" s="158" t="str">
        <v/>
      </c>
      <c r="R1481" s="158" t="str">
        <v/>
      </c>
      <c r="S1481" s="158" t="str">
        <v/>
      </c>
      <c r="T1481" s="158" t="str">
        <v/>
      </c>
      <c r="U1481" s="158" t="str">
        <v/>
      </c>
      <c r="V1481" s="158" t="str">
        <v/>
      </c>
      <c r="W1481" s="158" t="str">
        <v/>
      </c>
      <c r="X1481" s="158" t="str">
        <v/>
      </c>
      <c r="Y1481" s="158" t="str">
        <v/>
      </c>
      <c r="Z1481" s="158" t="str">
        <v/>
      </c>
      <c r="AA1481" s="158" t="e">
        <v>#VALUE!</v>
      </c>
      <c r="AB1481" s="171" t="str">
        <v/>
      </c>
      <c r="AC1481" s="158">
        <v>0</v>
      </c>
      <c r="AD1481" s="173" t="str">
        <f ca="1">IFERROR(__xludf.DUMMYFUNCTION("""COMPUTED_VALUE"""),"")</f>
        <v/>
      </c>
      <c r="AE1481" s="154" t="str">
        <v/>
      </c>
      <c r="AF1481" s="154" t="str">
        <v/>
      </c>
    </row>
    <row r="1482" spans="1:32" ht="15">
      <c r="A1482" s="176"/>
      <c r="B1482" s="145"/>
      <c r="C1482" s="169"/>
      <c r="D1482" s="145"/>
      <c r="E1482" s="145"/>
      <c r="F1482" s="169" t="e">
        <v>#VALUE!</v>
      </c>
      <c r="G1482" s="145"/>
      <c r="H1482" s="145"/>
      <c r="I1482" s="145"/>
      <c r="J1482" s="145"/>
      <c r="K1482" s="145"/>
      <c r="L1482" s="145"/>
      <c r="M1482" s="145"/>
      <c r="N1482" s="145"/>
      <c r="O1482" s="174"/>
      <c r="P1482" s="174"/>
      <c r="Q1482" s="158" t="str">
        <v/>
      </c>
      <c r="R1482" s="158" t="str">
        <v/>
      </c>
      <c r="S1482" s="158" t="str">
        <v/>
      </c>
      <c r="T1482" s="158" t="str">
        <v/>
      </c>
      <c r="U1482" s="158" t="str">
        <v/>
      </c>
      <c r="V1482" s="158" t="str">
        <v/>
      </c>
      <c r="W1482" s="158" t="str">
        <v/>
      </c>
      <c r="X1482" s="158" t="str">
        <v/>
      </c>
      <c r="Y1482" s="158" t="str">
        <v/>
      </c>
      <c r="Z1482" s="158" t="str">
        <v/>
      </c>
      <c r="AA1482" s="158" t="e">
        <v>#VALUE!</v>
      </c>
      <c r="AB1482" s="171" t="str">
        <v/>
      </c>
      <c r="AC1482" s="158">
        <v>0</v>
      </c>
      <c r="AD1482" s="173" t="str">
        <f ca="1">IFERROR(__xludf.DUMMYFUNCTION("""COMPUTED_VALUE"""),"")</f>
        <v/>
      </c>
      <c r="AE1482" s="154" t="str">
        <v/>
      </c>
      <c r="AF1482" s="154" t="str">
        <v/>
      </c>
    </row>
    <row r="1483" spans="1:32" ht="15">
      <c r="A1483" s="176"/>
      <c r="B1483" s="145"/>
      <c r="C1483" s="169"/>
      <c r="D1483" s="145"/>
      <c r="E1483" s="145"/>
      <c r="F1483" s="169" t="e">
        <v>#VALUE!</v>
      </c>
      <c r="G1483" s="145"/>
      <c r="H1483" s="145"/>
      <c r="I1483" s="145"/>
      <c r="J1483" s="145"/>
      <c r="K1483" s="145"/>
      <c r="L1483" s="145"/>
      <c r="M1483" s="145"/>
      <c r="N1483" s="145"/>
      <c r="O1483" s="174"/>
      <c r="P1483" s="174"/>
      <c r="Q1483" s="158" t="str">
        <v/>
      </c>
      <c r="R1483" s="158" t="str">
        <v/>
      </c>
      <c r="S1483" s="158" t="str">
        <v/>
      </c>
      <c r="T1483" s="158" t="str">
        <v/>
      </c>
      <c r="U1483" s="158" t="str">
        <v/>
      </c>
      <c r="V1483" s="158" t="str">
        <v/>
      </c>
      <c r="W1483" s="158" t="str">
        <v/>
      </c>
      <c r="X1483" s="158" t="str">
        <v/>
      </c>
      <c r="Y1483" s="158" t="str">
        <v/>
      </c>
      <c r="Z1483" s="158" t="str">
        <v/>
      </c>
      <c r="AA1483" s="158" t="e">
        <v>#VALUE!</v>
      </c>
      <c r="AB1483" s="171" t="str">
        <v/>
      </c>
      <c r="AC1483" s="158">
        <v>0</v>
      </c>
      <c r="AD1483" s="173" t="str">
        <f ca="1">IFERROR(__xludf.DUMMYFUNCTION("""COMPUTED_VALUE"""),"")</f>
        <v/>
      </c>
      <c r="AE1483" s="154" t="str">
        <v/>
      </c>
      <c r="AF1483" s="154" t="str">
        <v/>
      </c>
    </row>
    <row r="1484" spans="1:32" ht="15">
      <c r="A1484" s="176"/>
      <c r="B1484" s="145"/>
      <c r="C1484" s="169"/>
      <c r="D1484" s="145"/>
      <c r="E1484" s="145"/>
      <c r="F1484" s="169" t="e">
        <v>#VALUE!</v>
      </c>
      <c r="G1484" s="145"/>
      <c r="H1484" s="145"/>
      <c r="I1484" s="145"/>
      <c r="J1484" s="145"/>
      <c r="K1484" s="145"/>
      <c r="L1484" s="145"/>
      <c r="M1484" s="145"/>
      <c r="N1484" s="145"/>
      <c r="O1484" s="174"/>
      <c r="P1484" s="174"/>
      <c r="Q1484" s="158" t="str">
        <v/>
      </c>
      <c r="R1484" s="158" t="str">
        <v/>
      </c>
      <c r="S1484" s="158" t="str">
        <v/>
      </c>
      <c r="T1484" s="158" t="str">
        <v/>
      </c>
      <c r="U1484" s="158" t="str">
        <v/>
      </c>
      <c r="V1484" s="158" t="str">
        <v/>
      </c>
      <c r="W1484" s="158" t="str">
        <v/>
      </c>
      <c r="X1484" s="158" t="str">
        <v/>
      </c>
      <c r="Y1484" s="158" t="str">
        <v/>
      </c>
      <c r="Z1484" s="158" t="str">
        <v/>
      </c>
      <c r="AA1484" s="158" t="e">
        <v>#VALUE!</v>
      </c>
      <c r="AB1484" s="171" t="str">
        <v/>
      </c>
      <c r="AC1484" s="158">
        <v>0</v>
      </c>
      <c r="AD1484" s="173" t="str">
        <f ca="1">IFERROR(__xludf.DUMMYFUNCTION("""COMPUTED_VALUE"""),"")</f>
        <v/>
      </c>
      <c r="AE1484" s="154" t="str">
        <v/>
      </c>
      <c r="AF1484" s="154" t="str">
        <v/>
      </c>
    </row>
    <row r="1485" spans="1:32" ht="15">
      <c r="A1485" s="176"/>
      <c r="B1485" s="145"/>
      <c r="C1485" s="169"/>
      <c r="D1485" s="145"/>
      <c r="E1485" s="145"/>
      <c r="F1485" s="169" t="e">
        <v>#VALUE!</v>
      </c>
      <c r="G1485" s="145"/>
      <c r="H1485" s="145"/>
      <c r="I1485" s="145"/>
      <c r="J1485" s="145"/>
      <c r="K1485" s="145"/>
      <c r="L1485" s="145"/>
      <c r="M1485" s="145"/>
      <c r="N1485" s="145"/>
      <c r="O1485" s="174"/>
      <c r="P1485" s="174"/>
      <c r="Q1485" s="158" t="str">
        <v/>
      </c>
      <c r="R1485" s="158" t="str">
        <v/>
      </c>
      <c r="S1485" s="158" t="str">
        <v/>
      </c>
      <c r="T1485" s="158" t="str">
        <v/>
      </c>
      <c r="U1485" s="158" t="str">
        <v/>
      </c>
      <c r="V1485" s="158" t="str">
        <v/>
      </c>
      <c r="W1485" s="158" t="str">
        <v/>
      </c>
      <c r="X1485" s="158" t="str">
        <v/>
      </c>
      <c r="Y1485" s="158" t="str">
        <v/>
      </c>
      <c r="Z1485" s="158" t="str">
        <v/>
      </c>
      <c r="AA1485" s="158" t="e">
        <v>#VALUE!</v>
      </c>
      <c r="AB1485" s="171" t="str">
        <v/>
      </c>
      <c r="AC1485" s="158">
        <v>0</v>
      </c>
      <c r="AD1485" s="173" t="str">
        <f ca="1">IFERROR(__xludf.DUMMYFUNCTION("""COMPUTED_VALUE"""),"")</f>
        <v/>
      </c>
      <c r="AE1485" s="154" t="str">
        <v/>
      </c>
      <c r="AF1485" s="154" t="str">
        <v/>
      </c>
    </row>
    <row r="1486" spans="1:32" ht="15">
      <c r="A1486" s="176"/>
      <c r="B1486" s="145"/>
      <c r="C1486" s="169"/>
      <c r="D1486" s="145"/>
      <c r="E1486" s="145"/>
      <c r="F1486" s="169" t="e">
        <v>#VALUE!</v>
      </c>
      <c r="G1486" s="145"/>
      <c r="H1486" s="145"/>
      <c r="I1486" s="145"/>
      <c r="J1486" s="145"/>
      <c r="K1486" s="145"/>
      <c r="L1486" s="145"/>
      <c r="M1486" s="145"/>
      <c r="N1486" s="145"/>
      <c r="O1486" s="174"/>
      <c r="P1486" s="174"/>
      <c r="Q1486" s="158" t="str">
        <v/>
      </c>
      <c r="R1486" s="158" t="str">
        <v/>
      </c>
      <c r="S1486" s="158" t="str">
        <v/>
      </c>
      <c r="T1486" s="158" t="str">
        <v/>
      </c>
      <c r="U1486" s="158" t="str">
        <v/>
      </c>
      <c r="V1486" s="158" t="str">
        <v/>
      </c>
      <c r="W1486" s="158" t="str">
        <v/>
      </c>
      <c r="X1486" s="158" t="str">
        <v/>
      </c>
      <c r="Y1486" s="158" t="str">
        <v/>
      </c>
      <c r="Z1486" s="158" t="str">
        <v/>
      </c>
      <c r="AA1486" s="158" t="e">
        <v>#VALUE!</v>
      </c>
      <c r="AB1486" s="171" t="str">
        <v/>
      </c>
      <c r="AC1486" s="158">
        <v>0</v>
      </c>
      <c r="AD1486" s="173" t="str">
        <f ca="1">IFERROR(__xludf.DUMMYFUNCTION("""COMPUTED_VALUE"""),"")</f>
        <v/>
      </c>
      <c r="AE1486" s="154" t="str">
        <v/>
      </c>
      <c r="AF1486" s="154" t="str">
        <v/>
      </c>
    </row>
    <row r="1487" spans="1:32" ht="15">
      <c r="A1487" s="176"/>
      <c r="B1487" s="145"/>
      <c r="C1487" s="169"/>
      <c r="D1487" s="145"/>
      <c r="E1487" s="145"/>
      <c r="F1487" s="169" t="e">
        <v>#VALUE!</v>
      </c>
      <c r="G1487" s="145"/>
      <c r="H1487" s="145"/>
      <c r="I1487" s="145"/>
      <c r="J1487" s="145"/>
      <c r="K1487" s="145"/>
      <c r="L1487" s="145"/>
      <c r="M1487" s="145"/>
      <c r="N1487" s="145"/>
      <c r="O1487" s="174"/>
      <c r="P1487" s="174"/>
      <c r="Q1487" s="158" t="str">
        <v/>
      </c>
      <c r="R1487" s="158" t="str">
        <v/>
      </c>
      <c r="S1487" s="158" t="str">
        <v/>
      </c>
      <c r="T1487" s="158" t="str">
        <v/>
      </c>
      <c r="U1487" s="158" t="str">
        <v/>
      </c>
      <c r="V1487" s="158" t="str">
        <v/>
      </c>
      <c r="W1487" s="158" t="str">
        <v/>
      </c>
      <c r="X1487" s="158" t="str">
        <v/>
      </c>
      <c r="Y1487" s="158" t="str">
        <v/>
      </c>
      <c r="Z1487" s="158" t="str">
        <v/>
      </c>
      <c r="AA1487" s="158" t="e">
        <v>#VALUE!</v>
      </c>
      <c r="AB1487" s="171" t="str">
        <v/>
      </c>
      <c r="AC1487" s="158">
        <v>0</v>
      </c>
      <c r="AD1487" s="173" t="str">
        <f ca="1">IFERROR(__xludf.DUMMYFUNCTION("""COMPUTED_VALUE"""),"")</f>
        <v/>
      </c>
      <c r="AE1487" s="154" t="str">
        <v/>
      </c>
      <c r="AF1487" s="154" t="str">
        <v/>
      </c>
    </row>
    <row r="1488" spans="1:32" ht="15">
      <c r="A1488" s="176"/>
      <c r="B1488" s="145"/>
      <c r="C1488" s="169"/>
      <c r="D1488" s="145"/>
      <c r="E1488" s="145"/>
      <c r="F1488" s="169" t="e">
        <v>#VALUE!</v>
      </c>
      <c r="G1488" s="145"/>
      <c r="H1488" s="145"/>
      <c r="I1488" s="145"/>
      <c r="J1488" s="145"/>
      <c r="K1488" s="145"/>
      <c r="L1488" s="145"/>
      <c r="M1488" s="145"/>
      <c r="N1488" s="145"/>
      <c r="O1488" s="174"/>
      <c r="P1488" s="174"/>
      <c r="Q1488" s="158" t="str">
        <v/>
      </c>
      <c r="R1488" s="158" t="str">
        <v/>
      </c>
      <c r="S1488" s="158" t="str">
        <v/>
      </c>
      <c r="T1488" s="158" t="str">
        <v/>
      </c>
      <c r="U1488" s="158" t="str">
        <v/>
      </c>
      <c r="V1488" s="158" t="str">
        <v/>
      </c>
      <c r="W1488" s="158" t="str">
        <v/>
      </c>
      <c r="X1488" s="158" t="str">
        <v/>
      </c>
      <c r="Y1488" s="158" t="str">
        <v/>
      </c>
      <c r="Z1488" s="158" t="str">
        <v/>
      </c>
      <c r="AA1488" s="158" t="e">
        <v>#VALUE!</v>
      </c>
      <c r="AB1488" s="171" t="str">
        <v/>
      </c>
      <c r="AC1488" s="158">
        <v>0</v>
      </c>
      <c r="AD1488" s="173" t="str">
        <f ca="1">IFERROR(__xludf.DUMMYFUNCTION("""COMPUTED_VALUE"""),"")</f>
        <v/>
      </c>
      <c r="AE1488" s="154" t="str">
        <v/>
      </c>
      <c r="AF1488" s="154" t="str">
        <v/>
      </c>
    </row>
    <row r="1489" spans="1:32" ht="15">
      <c r="A1489" s="176"/>
      <c r="B1489" s="145"/>
      <c r="C1489" s="169"/>
      <c r="D1489" s="145"/>
      <c r="E1489" s="145"/>
      <c r="F1489" s="169" t="e">
        <v>#VALUE!</v>
      </c>
      <c r="G1489" s="145"/>
      <c r="H1489" s="145"/>
      <c r="I1489" s="145"/>
      <c r="J1489" s="145"/>
      <c r="K1489" s="145"/>
      <c r="L1489" s="145"/>
      <c r="M1489" s="145"/>
      <c r="N1489" s="145"/>
      <c r="O1489" s="174"/>
      <c r="P1489" s="174"/>
      <c r="Q1489" s="158" t="str">
        <v/>
      </c>
      <c r="R1489" s="158" t="str">
        <v/>
      </c>
      <c r="S1489" s="158" t="str">
        <v/>
      </c>
      <c r="T1489" s="158" t="str">
        <v/>
      </c>
      <c r="U1489" s="158" t="str">
        <v/>
      </c>
      <c r="V1489" s="158" t="str">
        <v/>
      </c>
      <c r="W1489" s="158" t="str">
        <v/>
      </c>
      <c r="X1489" s="158" t="str">
        <v/>
      </c>
      <c r="Y1489" s="158" t="str">
        <v/>
      </c>
      <c r="Z1489" s="158" t="str">
        <v/>
      </c>
      <c r="AA1489" s="158" t="e">
        <v>#VALUE!</v>
      </c>
      <c r="AB1489" s="171" t="str">
        <v/>
      </c>
      <c r="AC1489" s="158">
        <v>0</v>
      </c>
      <c r="AD1489" s="173" t="str">
        <f ca="1">IFERROR(__xludf.DUMMYFUNCTION("""COMPUTED_VALUE"""),"")</f>
        <v/>
      </c>
      <c r="AE1489" s="154" t="str">
        <v/>
      </c>
      <c r="AF1489" s="154" t="str">
        <v/>
      </c>
    </row>
    <row r="1490" spans="1:32" ht="15">
      <c r="A1490" s="176"/>
      <c r="B1490" s="145"/>
      <c r="C1490" s="169"/>
      <c r="D1490" s="145"/>
      <c r="E1490" s="145"/>
      <c r="F1490" s="169" t="e">
        <v>#VALUE!</v>
      </c>
      <c r="G1490" s="145"/>
      <c r="H1490" s="145"/>
      <c r="I1490" s="145"/>
      <c r="J1490" s="145"/>
      <c r="K1490" s="145"/>
      <c r="L1490" s="145"/>
      <c r="M1490" s="145"/>
      <c r="N1490" s="145"/>
      <c r="O1490" s="174"/>
      <c r="P1490" s="174"/>
      <c r="Q1490" s="158" t="str">
        <v/>
      </c>
      <c r="R1490" s="158" t="str">
        <v/>
      </c>
      <c r="S1490" s="158" t="str">
        <v/>
      </c>
      <c r="T1490" s="158" t="str">
        <v/>
      </c>
      <c r="U1490" s="158" t="str">
        <v/>
      </c>
      <c r="V1490" s="158" t="str">
        <v/>
      </c>
      <c r="W1490" s="158" t="str">
        <v/>
      </c>
      <c r="X1490" s="158" t="str">
        <v/>
      </c>
      <c r="Y1490" s="158" t="str">
        <v/>
      </c>
      <c r="Z1490" s="158" t="str">
        <v/>
      </c>
      <c r="AA1490" s="158" t="e">
        <v>#VALUE!</v>
      </c>
      <c r="AB1490" s="171" t="str">
        <v/>
      </c>
      <c r="AC1490" s="158">
        <v>0</v>
      </c>
      <c r="AD1490" s="173" t="str">
        <f ca="1">IFERROR(__xludf.DUMMYFUNCTION("""COMPUTED_VALUE"""),"")</f>
        <v/>
      </c>
      <c r="AE1490" s="154" t="str">
        <v/>
      </c>
      <c r="AF1490" s="154" t="str">
        <v/>
      </c>
    </row>
    <row r="1491" spans="1:32" ht="15">
      <c r="A1491" s="176"/>
      <c r="B1491" s="145"/>
      <c r="C1491" s="169"/>
      <c r="D1491" s="145"/>
      <c r="E1491" s="145"/>
      <c r="F1491" s="169" t="e">
        <v>#VALUE!</v>
      </c>
      <c r="G1491" s="145"/>
      <c r="H1491" s="145"/>
      <c r="I1491" s="145"/>
      <c r="J1491" s="145"/>
      <c r="K1491" s="145"/>
      <c r="L1491" s="145"/>
      <c r="M1491" s="145"/>
      <c r="N1491" s="145"/>
      <c r="O1491" s="174"/>
      <c r="P1491" s="174"/>
      <c r="Q1491" s="158" t="str">
        <v/>
      </c>
      <c r="R1491" s="158" t="str">
        <v/>
      </c>
      <c r="S1491" s="158" t="str">
        <v/>
      </c>
      <c r="T1491" s="158" t="str">
        <v/>
      </c>
      <c r="U1491" s="158" t="str">
        <v/>
      </c>
      <c r="V1491" s="158" t="str">
        <v/>
      </c>
      <c r="W1491" s="158" t="str">
        <v/>
      </c>
      <c r="X1491" s="158" t="str">
        <v/>
      </c>
      <c r="Y1491" s="158" t="str">
        <v/>
      </c>
      <c r="Z1491" s="158" t="str">
        <v/>
      </c>
      <c r="AA1491" s="158" t="e">
        <v>#VALUE!</v>
      </c>
      <c r="AB1491" s="171" t="str">
        <v/>
      </c>
      <c r="AC1491" s="158">
        <v>0</v>
      </c>
      <c r="AD1491" s="173" t="str">
        <f ca="1">IFERROR(__xludf.DUMMYFUNCTION("""COMPUTED_VALUE"""),"")</f>
        <v/>
      </c>
      <c r="AE1491" s="154" t="str">
        <v/>
      </c>
      <c r="AF1491" s="154" t="str">
        <v/>
      </c>
    </row>
    <row r="1492" spans="1:32" ht="15">
      <c r="A1492" s="176"/>
      <c r="B1492" s="145"/>
      <c r="C1492" s="169"/>
      <c r="D1492" s="145"/>
      <c r="E1492" s="145"/>
      <c r="F1492" s="169" t="e">
        <v>#VALUE!</v>
      </c>
      <c r="G1492" s="145"/>
      <c r="H1492" s="145"/>
      <c r="I1492" s="145"/>
      <c r="J1492" s="145"/>
      <c r="K1492" s="145"/>
      <c r="L1492" s="145"/>
      <c r="M1492" s="145"/>
      <c r="N1492" s="145"/>
      <c r="O1492" s="174"/>
      <c r="P1492" s="174"/>
      <c r="Q1492" s="158" t="str">
        <v/>
      </c>
      <c r="R1492" s="158" t="str">
        <v/>
      </c>
      <c r="S1492" s="158" t="str">
        <v/>
      </c>
      <c r="T1492" s="158" t="str">
        <v/>
      </c>
      <c r="U1492" s="158" t="str">
        <v/>
      </c>
      <c r="V1492" s="158" t="str">
        <v/>
      </c>
      <c r="W1492" s="158" t="str">
        <v/>
      </c>
      <c r="X1492" s="158" t="str">
        <v/>
      </c>
      <c r="Y1492" s="158" t="str">
        <v/>
      </c>
      <c r="Z1492" s="158" t="str">
        <v/>
      </c>
      <c r="AA1492" s="158" t="e">
        <v>#VALUE!</v>
      </c>
      <c r="AB1492" s="171" t="str">
        <v/>
      </c>
      <c r="AC1492" s="158">
        <v>0</v>
      </c>
      <c r="AD1492" s="173" t="str">
        <f ca="1">IFERROR(__xludf.DUMMYFUNCTION("""COMPUTED_VALUE"""),"")</f>
        <v/>
      </c>
      <c r="AE1492" s="154" t="str">
        <v/>
      </c>
      <c r="AF1492" s="154" t="str">
        <v/>
      </c>
    </row>
    <row r="1493" spans="1:32" ht="15">
      <c r="A1493" s="176"/>
      <c r="B1493" s="145"/>
      <c r="C1493" s="169"/>
      <c r="D1493" s="145"/>
      <c r="E1493" s="145"/>
      <c r="F1493" s="169" t="e">
        <v>#VALUE!</v>
      </c>
      <c r="G1493" s="145"/>
      <c r="H1493" s="145"/>
      <c r="I1493" s="145"/>
      <c r="J1493" s="145"/>
      <c r="K1493" s="145"/>
      <c r="L1493" s="145"/>
      <c r="M1493" s="145"/>
      <c r="N1493" s="145"/>
      <c r="O1493" s="174"/>
      <c r="P1493" s="174"/>
      <c r="Q1493" s="158" t="str">
        <v/>
      </c>
      <c r="R1493" s="158" t="str">
        <v/>
      </c>
      <c r="S1493" s="158" t="str">
        <v/>
      </c>
      <c r="T1493" s="158" t="str">
        <v/>
      </c>
      <c r="U1493" s="158" t="str">
        <v/>
      </c>
      <c r="V1493" s="158" t="str">
        <v/>
      </c>
      <c r="W1493" s="158" t="str">
        <v/>
      </c>
      <c r="X1493" s="158" t="str">
        <v/>
      </c>
      <c r="Y1493" s="158" t="str">
        <v/>
      </c>
      <c r="Z1493" s="158" t="str">
        <v/>
      </c>
      <c r="AA1493" s="158" t="e">
        <v>#VALUE!</v>
      </c>
      <c r="AB1493" s="171" t="str">
        <v/>
      </c>
      <c r="AC1493" s="158">
        <v>0</v>
      </c>
      <c r="AD1493" s="173" t="str">
        <f ca="1">IFERROR(__xludf.DUMMYFUNCTION("""COMPUTED_VALUE"""),"")</f>
        <v/>
      </c>
      <c r="AE1493" s="154" t="str">
        <v/>
      </c>
      <c r="AF1493" s="154" t="str">
        <v/>
      </c>
    </row>
    <row r="1494" spans="1:32" ht="15">
      <c r="A1494" s="176"/>
      <c r="B1494" s="145"/>
      <c r="C1494" s="169"/>
      <c r="D1494" s="145"/>
      <c r="E1494" s="145"/>
      <c r="F1494" s="169" t="e">
        <v>#VALUE!</v>
      </c>
      <c r="G1494" s="145"/>
      <c r="H1494" s="145"/>
      <c r="I1494" s="145"/>
      <c r="J1494" s="145"/>
      <c r="K1494" s="145"/>
      <c r="L1494" s="145"/>
      <c r="M1494" s="145"/>
      <c r="N1494" s="145"/>
      <c r="O1494" s="174"/>
      <c r="P1494" s="174"/>
      <c r="Q1494" s="158" t="str">
        <v/>
      </c>
      <c r="R1494" s="158" t="str">
        <v/>
      </c>
      <c r="S1494" s="158" t="str">
        <v/>
      </c>
      <c r="T1494" s="158" t="str">
        <v/>
      </c>
      <c r="U1494" s="158" t="str">
        <v/>
      </c>
      <c r="V1494" s="158" t="str">
        <v/>
      </c>
      <c r="W1494" s="158" t="str">
        <v/>
      </c>
      <c r="X1494" s="158" t="str">
        <v/>
      </c>
      <c r="Y1494" s="158" t="str">
        <v/>
      </c>
      <c r="Z1494" s="158" t="str">
        <v/>
      </c>
      <c r="AA1494" s="158" t="e">
        <v>#VALUE!</v>
      </c>
      <c r="AB1494" s="171" t="str">
        <v/>
      </c>
      <c r="AC1494" s="158">
        <v>0</v>
      </c>
      <c r="AD1494" s="173" t="str">
        <f ca="1">IFERROR(__xludf.DUMMYFUNCTION("""COMPUTED_VALUE"""),"")</f>
        <v/>
      </c>
      <c r="AE1494" s="154" t="str">
        <v/>
      </c>
      <c r="AF1494" s="154" t="str">
        <v/>
      </c>
    </row>
    <row r="1495" spans="1:32" ht="15">
      <c r="A1495" s="176"/>
      <c r="B1495" s="145"/>
      <c r="C1495" s="169"/>
      <c r="D1495" s="145"/>
      <c r="E1495" s="145"/>
      <c r="F1495" s="169" t="e">
        <v>#VALUE!</v>
      </c>
      <c r="G1495" s="145"/>
      <c r="H1495" s="145"/>
      <c r="I1495" s="145"/>
      <c r="J1495" s="145"/>
      <c r="K1495" s="145"/>
      <c r="L1495" s="145"/>
      <c r="M1495" s="145"/>
      <c r="N1495" s="145"/>
      <c r="O1495" s="174"/>
      <c r="P1495" s="174"/>
      <c r="Q1495" s="158" t="str">
        <v/>
      </c>
      <c r="R1495" s="158" t="str">
        <v/>
      </c>
      <c r="S1495" s="158" t="str">
        <v/>
      </c>
      <c r="T1495" s="158" t="str">
        <v/>
      </c>
      <c r="U1495" s="158" t="str">
        <v/>
      </c>
      <c r="V1495" s="158" t="str">
        <v/>
      </c>
      <c r="W1495" s="158" t="str">
        <v/>
      </c>
      <c r="X1495" s="158" t="str">
        <v/>
      </c>
      <c r="Y1495" s="158" t="str">
        <v/>
      </c>
      <c r="Z1495" s="158" t="str">
        <v/>
      </c>
      <c r="AA1495" s="158" t="e">
        <v>#VALUE!</v>
      </c>
      <c r="AB1495" s="171" t="str">
        <v/>
      </c>
      <c r="AC1495" s="158">
        <v>0</v>
      </c>
      <c r="AD1495" s="173" t="str">
        <f ca="1">IFERROR(__xludf.DUMMYFUNCTION("""COMPUTED_VALUE"""),"")</f>
        <v/>
      </c>
      <c r="AE1495" s="154" t="str">
        <v/>
      </c>
      <c r="AF1495" s="154" t="str">
        <v/>
      </c>
    </row>
    <row r="1496" spans="1:32" ht="15">
      <c r="A1496" s="176"/>
      <c r="B1496" s="145"/>
      <c r="C1496" s="169"/>
      <c r="D1496" s="145"/>
      <c r="E1496" s="145"/>
      <c r="F1496" s="169" t="e">
        <v>#VALUE!</v>
      </c>
      <c r="G1496" s="145"/>
      <c r="H1496" s="145"/>
      <c r="I1496" s="145"/>
      <c r="J1496" s="145"/>
      <c r="K1496" s="145"/>
      <c r="L1496" s="145"/>
      <c r="M1496" s="145"/>
      <c r="N1496" s="145"/>
      <c r="O1496" s="174"/>
      <c r="P1496" s="174"/>
      <c r="Q1496" s="158" t="str">
        <v/>
      </c>
      <c r="R1496" s="158" t="str">
        <v/>
      </c>
      <c r="S1496" s="158" t="str">
        <v/>
      </c>
      <c r="T1496" s="158" t="str">
        <v/>
      </c>
      <c r="U1496" s="158" t="str">
        <v/>
      </c>
      <c r="V1496" s="158" t="str">
        <v/>
      </c>
      <c r="W1496" s="158" t="str">
        <v/>
      </c>
      <c r="X1496" s="158" t="str">
        <v/>
      </c>
      <c r="Y1496" s="158" t="str">
        <v/>
      </c>
      <c r="Z1496" s="158" t="str">
        <v/>
      </c>
      <c r="AA1496" s="158" t="e">
        <v>#VALUE!</v>
      </c>
      <c r="AB1496" s="171" t="str">
        <v/>
      </c>
      <c r="AC1496" s="158">
        <v>0</v>
      </c>
      <c r="AD1496" s="173" t="str">
        <f ca="1">IFERROR(__xludf.DUMMYFUNCTION("""COMPUTED_VALUE"""),"")</f>
        <v/>
      </c>
      <c r="AE1496" s="154" t="str">
        <v/>
      </c>
      <c r="AF1496" s="154" t="str">
        <v/>
      </c>
    </row>
    <row r="1497" spans="1:32" ht="15">
      <c r="A1497" s="176"/>
      <c r="B1497" s="145"/>
      <c r="C1497" s="169"/>
      <c r="D1497" s="145"/>
      <c r="E1497" s="145"/>
      <c r="F1497" s="169" t="e">
        <v>#VALUE!</v>
      </c>
      <c r="G1497" s="145"/>
      <c r="H1497" s="145"/>
      <c r="I1497" s="145"/>
      <c r="J1497" s="145"/>
      <c r="K1497" s="145"/>
      <c r="L1497" s="145"/>
      <c r="M1497" s="145"/>
      <c r="N1497" s="145"/>
      <c r="O1497" s="174"/>
      <c r="P1497" s="174"/>
      <c r="Q1497" s="158" t="str">
        <v/>
      </c>
      <c r="R1497" s="158" t="str">
        <v/>
      </c>
      <c r="S1497" s="158" t="str">
        <v/>
      </c>
      <c r="T1497" s="158" t="str">
        <v/>
      </c>
      <c r="U1497" s="158" t="str">
        <v/>
      </c>
      <c r="V1497" s="158" t="str">
        <v/>
      </c>
      <c r="W1497" s="158" t="str">
        <v/>
      </c>
      <c r="X1497" s="158" t="str">
        <v/>
      </c>
      <c r="Y1497" s="158" t="str">
        <v/>
      </c>
      <c r="Z1497" s="158" t="str">
        <v/>
      </c>
      <c r="AA1497" s="158" t="e">
        <v>#VALUE!</v>
      </c>
      <c r="AB1497" s="171" t="str">
        <v/>
      </c>
      <c r="AC1497" s="158">
        <v>0</v>
      </c>
      <c r="AD1497" s="173" t="str">
        <f ca="1">IFERROR(__xludf.DUMMYFUNCTION("""COMPUTED_VALUE"""),"")</f>
        <v/>
      </c>
      <c r="AE1497" s="154" t="str">
        <v/>
      </c>
      <c r="AF1497" s="154" t="str">
        <v/>
      </c>
    </row>
    <row r="1498" spans="1:32" ht="15">
      <c r="A1498" s="176"/>
      <c r="B1498" s="145"/>
      <c r="C1498" s="169"/>
      <c r="D1498" s="145"/>
      <c r="E1498" s="145"/>
      <c r="F1498" s="169" t="e">
        <v>#VALUE!</v>
      </c>
      <c r="G1498" s="145"/>
      <c r="H1498" s="145"/>
      <c r="I1498" s="145"/>
      <c r="J1498" s="145"/>
      <c r="K1498" s="145"/>
      <c r="L1498" s="145"/>
      <c r="M1498" s="145"/>
      <c r="N1498" s="145"/>
      <c r="O1498" s="174"/>
      <c r="P1498" s="174"/>
      <c r="Q1498" s="158" t="str">
        <v/>
      </c>
      <c r="R1498" s="158" t="str">
        <v/>
      </c>
      <c r="S1498" s="158" t="str">
        <v/>
      </c>
      <c r="T1498" s="158" t="str">
        <v/>
      </c>
      <c r="U1498" s="158" t="str">
        <v/>
      </c>
      <c r="V1498" s="158" t="str">
        <v/>
      </c>
      <c r="W1498" s="158" t="str">
        <v/>
      </c>
      <c r="X1498" s="158" t="str">
        <v/>
      </c>
      <c r="Y1498" s="158" t="str">
        <v/>
      </c>
      <c r="Z1498" s="158" t="str">
        <v/>
      </c>
      <c r="AA1498" s="158" t="e">
        <v>#VALUE!</v>
      </c>
      <c r="AB1498" s="171" t="str">
        <v/>
      </c>
      <c r="AC1498" s="158">
        <v>0</v>
      </c>
      <c r="AD1498" s="173" t="str">
        <f ca="1">IFERROR(__xludf.DUMMYFUNCTION("""COMPUTED_VALUE"""),"")</f>
        <v/>
      </c>
      <c r="AE1498" s="154" t="str">
        <v/>
      </c>
      <c r="AF1498" s="154" t="str">
        <v/>
      </c>
    </row>
    <row r="1499" spans="1:32" ht="15">
      <c r="A1499" s="176"/>
      <c r="B1499" s="145"/>
      <c r="C1499" s="169"/>
      <c r="D1499" s="145"/>
      <c r="E1499" s="145"/>
      <c r="F1499" s="169" t="e">
        <v>#VALUE!</v>
      </c>
      <c r="G1499" s="145"/>
      <c r="H1499" s="145"/>
      <c r="I1499" s="145"/>
      <c r="J1499" s="145"/>
      <c r="K1499" s="145"/>
      <c r="L1499" s="145"/>
      <c r="M1499" s="145"/>
      <c r="N1499" s="145"/>
      <c r="O1499" s="174"/>
      <c r="P1499" s="174"/>
      <c r="Q1499" s="158" t="str">
        <v/>
      </c>
      <c r="R1499" s="158" t="str">
        <v/>
      </c>
      <c r="S1499" s="158" t="str">
        <v/>
      </c>
      <c r="T1499" s="158" t="str">
        <v/>
      </c>
      <c r="U1499" s="158" t="str">
        <v/>
      </c>
      <c r="V1499" s="158" t="str">
        <v/>
      </c>
      <c r="W1499" s="158" t="str">
        <v/>
      </c>
      <c r="X1499" s="158" t="str">
        <v/>
      </c>
      <c r="Y1499" s="158" t="str">
        <v/>
      </c>
      <c r="Z1499" s="158" t="str">
        <v/>
      </c>
      <c r="AA1499" s="158" t="e">
        <v>#VALUE!</v>
      </c>
      <c r="AB1499" s="171" t="str">
        <v/>
      </c>
      <c r="AC1499" s="158">
        <v>0</v>
      </c>
      <c r="AD1499" s="173" t="str">
        <f ca="1">IFERROR(__xludf.DUMMYFUNCTION("""COMPUTED_VALUE"""),"")</f>
        <v/>
      </c>
      <c r="AE1499" s="154" t="str">
        <v/>
      </c>
      <c r="AF1499" s="154" t="str">
        <v/>
      </c>
    </row>
    <row r="1500" spans="1:32" ht="15">
      <c r="A1500" s="176"/>
      <c r="B1500" s="145"/>
      <c r="C1500" s="169"/>
      <c r="D1500" s="145"/>
      <c r="E1500" s="145"/>
      <c r="F1500" s="169" t="e">
        <v>#VALUE!</v>
      </c>
      <c r="G1500" s="145"/>
      <c r="H1500" s="145"/>
      <c r="I1500" s="145"/>
      <c r="J1500" s="145"/>
      <c r="K1500" s="145"/>
      <c r="L1500" s="145"/>
      <c r="M1500" s="145"/>
      <c r="N1500" s="145"/>
      <c r="O1500" s="174"/>
      <c r="P1500" s="174"/>
      <c r="Q1500" s="158" t="str">
        <v/>
      </c>
      <c r="R1500" s="158" t="str">
        <v/>
      </c>
      <c r="S1500" s="158" t="str">
        <v/>
      </c>
      <c r="T1500" s="158" t="str">
        <v/>
      </c>
      <c r="U1500" s="158" t="str">
        <v/>
      </c>
      <c r="V1500" s="158" t="str">
        <v/>
      </c>
      <c r="W1500" s="158" t="str">
        <v/>
      </c>
      <c r="X1500" s="158" t="str">
        <v/>
      </c>
      <c r="Y1500" s="158" t="str">
        <v/>
      </c>
      <c r="Z1500" s="158" t="str">
        <v/>
      </c>
      <c r="AA1500" s="158" t="e">
        <v>#VALUE!</v>
      </c>
      <c r="AB1500" s="171" t="str">
        <v/>
      </c>
      <c r="AC1500" s="158">
        <v>0</v>
      </c>
      <c r="AD1500" s="173" t="str">
        <f ca="1">IFERROR(__xludf.DUMMYFUNCTION("""COMPUTED_VALUE"""),"")</f>
        <v/>
      </c>
      <c r="AE1500" s="154" t="str">
        <v/>
      </c>
      <c r="AF1500" s="154" t="str">
        <v/>
      </c>
    </row>
    <row r="1501" spans="1:32" ht="15">
      <c r="A1501" s="176"/>
      <c r="B1501" s="145"/>
      <c r="C1501" s="169"/>
      <c r="D1501" s="145"/>
      <c r="E1501" s="145"/>
      <c r="F1501" s="169" t="e">
        <v>#VALUE!</v>
      </c>
      <c r="G1501" s="145"/>
      <c r="H1501" s="145"/>
      <c r="I1501" s="145"/>
      <c r="J1501" s="145"/>
      <c r="K1501" s="145"/>
      <c r="L1501" s="145"/>
      <c r="M1501" s="145"/>
      <c r="N1501" s="145"/>
      <c r="O1501" s="174"/>
      <c r="P1501" s="174"/>
      <c r="Q1501" s="158" t="str">
        <v/>
      </c>
      <c r="R1501" s="158" t="str">
        <v/>
      </c>
      <c r="S1501" s="158" t="str">
        <v/>
      </c>
      <c r="T1501" s="158" t="str">
        <v/>
      </c>
      <c r="U1501" s="158" t="str">
        <v/>
      </c>
      <c r="V1501" s="158" t="str">
        <v/>
      </c>
      <c r="W1501" s="158" t="str">
        <v/>
      </c>
      <c r="X1501" s="158" t="str">
        <v/>
      </c>
      <c r="Y1501" s="158" t="str">
        <v/>
      </c>
      <c r="Z1501" s="158" t="str">
        <v/>
      </c>
      <c r="AA1501" s="158" t="e">
        <v>#VALUE!</v>
      </c>
      <c r="AB1501" s="171" t="str">
        <v/>
      </c>
      <c r="AC1501" s="158">
        <v>0</v>
      </c>
      <c r="AD1501" s="173" t="str">
        <f ca="1">IFERROR(__xludf.DUMMYFUNCTION("""COMPUTED_VALUE"""),"")</f>
        <v/>
      </c>
      <c r="AE1501" s="154" t="str">
        <v/>
      </c>
      <c r="AF1501" s="154" t="str">
        <v/>
      </c>
    </row>
    <row r="1502" spans="1:32" ht="15">
      <c r="A1502" s="176"/>
      <c r="B1502" s="145"/>
      <c r="C1502" s="169"/>
      <c r="D1502" s="145"/>
      <c r="E1502" s="145"/>
      <c r="F1502" s="169" t="e">
        <v>#VALUE!</v>
      </c>
      <c r="G1502" s="145"/>
      <c r="H1502" s="145"/>
      <c r="I1502" s="145"/>
      <c r="J1502" s="145"/>
      <c r="K1502" s="145"/>
      <c r="L1502" s="145"/>
      <c r="M1502" s="145"/>
      <c r="N1502" s="145"/>
      <c r="O1502" s="174"/>
      <c r="P1502" s="174"/>
      <c r="Q1502" s="158" t="str">
        <v/>
      </c>
      <c r="R1502" s="158" t="str">
        <v/>
      </c>
      <c r="S1502" s="158" t="str">
        <v/>
      </c>
      <c r="T1502" s="158" t="str">
        <v/>
      </c>
      <c r="U1502" s="158" t="str">
        <v/>
      </c>
      <c r="V1502" s="158" t="str">
        <v/>
      </c>
      <c r="W1502" s="158" t="str">
        <v/>
      </c>
      <c r="X1502" s="158" t="str">
        <v/>
      </c>
      <c r="Y1502" s="158" t="str">
        <v/>
      </c>
      <c r="Z1502" s="158" t="str">
        <v/>
      </c>
      <c r="AA1502" s="158" t="e">
        <v>#VALUE!</v>
      </c>
      <c r="AB1502" s="171" t="str">
        <v/>
      </c>
      <c r="AC1502" s="158">
        <v>0</v>
      </c>
      <c r="AD1502" s="173" t="str">
        <f ca="1">IFERROR(__xludf.DUMMYFUNCTION("""COMPUTED_VALUE"""),"")</f>
        <v/>
      </c>
      <c r="AE1502" s="154" t="str">
        <v/>
      </c>
      <c r="AF1502" s="154" t="str">
        <v/>
      </c>
    </row>
    <row r="1503" spans="1:32" ht="15">
      <c r="A1503" s="176"/>
      <c r="B1503" s="145"/>
      <c r="C1503" s="169"/>
      <c r="D1503" s="145"/>
      <c r="E1503" s="145"/>
      <c r="F1503" s="169" t="e">
        <v>#VALUE!</v>
      </c>
      <c r="G1503" s="145"/>
      <c r="H1503" s="145"/>
      <c r="I1503" s="145"/>
      <c r="J1503" s="145"/>
      <c r="K1503" s="145"/>
      <c r="L1503" s="145"/>
      <c r="M1503" s="145"/>
      <c r="N1503" s="145"/>
      <c r="O1503" s="174"/>
      <c r="P1503" s="174"/>
      <c r="Q1503" s="158" t="str">
        <v/>
      </c>
      <c r="R1503" s="158" t="str">
        <v/>
      </c>
      <c r="S1503" s="158" t="str">
        <v/>
      </c>
      <c r="T1503" s="158" t="str">
        <v/>
      </c>
      <c r="U1503" s="158" t="str">
        <v/>
      </c>
      <c r="V1503" s="158" t="str">
        <v/>
      </c>
      <c r="W1503" s="158" t="str">
        <v/>
      </c>
      <c r="X1503" s="158" t="str">
        <v/>
      </c>
      <c r="Y1503" s="158" t="str">
        <v/>
      </c>
      <c r="Z1503" s="158" t="str">
        <v/>
      </c>
      <c r="AA1503" s="158" t="e">
        <v>#VALUE!</v>
      </c>
      <c r="AB1503" s="171" t="str">
        <v/>
      </c>
      <c r="AC1503" s="158">
        <v>0</v>
      </c>
      <c r="AD1503" s="173" t="str">
        <f ca="1">IFERROR(__xludf.DUMMYFUNCTION("""COMPUTED_VALUE"""),"")</f>
        <v/>
      </c>
      <c r="AE1503" s="154" t="str">
        <v/>
      </c>
      <c r="AF1503" s="154" t="str">
        <v/>
      </c>
    </row>
    <row r="1504" spans="1:32" ht="15">
      <c r="A1504" s="176"/>
      <c r="B1504" s="145"/>
      <c r="C1504" s="169"/>
      <c r="D1504" s="145"/>
      <c r="E1504" s="145"/>
      <c r="F1504" s="169" t="e">
        <v>#VALUE!</v>
      </c>
      <c r="G1504" s="145"/>
      <c r="H1504" s="145"/>
      <c r="I1504" s="145"/>
      <c r="J1504" s="145"/>
      <c r="K1504" s="145"/>
      <c r="L1504" s="145"/>
      <c r="M1504" s="145"/>
      <c r="N1504" s="145"/>
      <c r="O1504" s="174"/>
      <c r="P1504" s="174"/>
      <c r="Q1504" s="158" t="str">
        <v/>
      </c>
      <c r="R1504" s="158" t="str">
        <v/>
      </c>
      <c r="S1504" s="158" t="str">
        <v/>
      </c>
      <c r="T1504" s="158" t="str">
        <v/>
      </c>
      <c r="U1504" s="158" t="str">
        <v/>
      </c>
      <c r="V1504" s="158" t="str">
        <v/>
      </c>
      <c r="W1504" s="158" t="str">
        <v/>
      </c>
      <c r="X1504" s="158" t="str">
        <v/>
      </c>
      <c r="Y1504" s="158" t="str">
        <v/>
      </c>
      <c r="Z1504" s="158" t="str">
        <v/>
      </c>
      <c r="AA1504" s="158" t="e">
        <v>#VALUE!</v>
      </c>
      <c r="AB1504" s="171" t="str">
        <v/>
      </c>
      <c r="AC1504" s="158">
        <v>0</v>
      </c>
      <c r="AD1504" s="173" t="str">
        <f ca="1">IFERROR(__xludf.DUMMYFUNCTION("""COMPUTED_VALUE"""),"")</f>
        <v/>
      </c>
      <c r="AE1504" s="154" t="str">
        <v/>
      </c>
      <c r="AF1504" s="154" t="str">
        <v/>
      </c>
    </row>
    <row r="1505" spans="1:32" ht="15">
      <c r="A1505" s="176"/>
      <c r="B1505" s="145"/>
      <c r="C1505" s="169"/>
      <c r="D1505" s="145"/>
      <c r="E1505" s="145"/>
      <c r="F1505" s="169" t="e">
        <v>#VALUE!</v>
      </c>
      <c r="G1505" s="145"/>
      <c r="H1505" s="145"/>
      <c r="I1505" s="145"/>
      <c r="J1505" s="145"/>
      <c r="K1505" s="145"/>
      <c r="L1505" s="145"/>
      <c r="M1505" s="145"/>
      <c r="N1505" s="145"/>
      <c r="O1505" s="174"/>
      <c r="P1505" s="174"/>
      <c r="Q1505" s="158" t="str">
        <v/>
      </c>
      <c r="R1505" s="158" t="str">
        <v/>
      </c>
      <c r="S1505" s="158" t="str">
        <v/>
      </c>
      <c r="T1505" s="158" t="str">
        <v/>
      </c>
      <c r="U1505" s="158" t="str">
        <v/>
      </c>
      <c r="V1505" s="158" t="str">
        <v/>
      </c>
      <c r="W1505" s="158" t="str">
        <v/>
      </c>
      <c r="X1505" s="158" t="str">
        <v/>
      </c>
      <c r="Y1505" s="158" t="str">
        <v/>
      </c>
      <c r="Z1505" s="158" t="str">
        <v/>
      </c>
      <c r="AA1505" s="158" t="e">
        <v>#VALUE!</v>
      </c>
      <c r="AB1505" s="171" t="str">
        <v/>
      </c>
      <c r="AC1505" s="158">
        <v>0</v>
      </c>
      <c r="AD1505" s="173" t="str">
        <f ca="1">IFERROR(__xludf.DUMMYFUNCTION("""COMPUTED_VALUE"""),"")</f>
        <v/>
      </c>
      <c r="AE1505" s="154" t="str">
        <v/>
      </c>
      <c r="AF1505" s="154" t="str">
        <v/>
      </c>
    </row>
    <row r="1506" spans="1:32" ht="15">
      <c r="A1506" s="176"/>
      <c r="B1506" s="145"/>
      <c r="C1506" s="169"/>
      <c r="D1506" s="145"/>
      <c r="E1506" s="145"/>
      <c r="F1506" s="169" t="e">
        <v>#VALUE!</v>
      </c>
      <c r="G1506" s="145"/>
      <c r="H1506" s="145"/>
      <c r="I1506" s="145"/>
      <c r="J1506" s="145"/>
      <c r="K1506" s="145"/>
      <c r="L1506" s="145"/>
      <c r="M1506" s="145"/>
      <c r="N1506" s="145"/>
      <c r="O1506" s="174"/>
      <c r="P1506" s="174"/>
      <c r="Q1506" s="158" t="str">
        <v/>
      </c>
      <c r="R1506" s="158" t="str">
        <v/>
      </c>
      <c r="S1506" s="158" t="str">
        <v/>
      </c>
      <c r="T1506" s="158" t="str">
        <v/>
      </c>
      <c r="U1506" s="158" t="str">
        <v/>
      </c>
      <c r="V1506" s="158" t="str">
        <v/>
      </c>
      <c r="W1506" s="158" t="str">
        <v/>
      </c>
      <c r="X1506" s="158" t="str">
        <v/>
      </c>
      <c r="Y1506" s="158" t="str">
        <v/>
      </c>
      <c r="Z1506" s="158" t="str">
        <v/>
      </c>
      <c r="AA1506" s="158" t="e">
        <v>#VALUE!</v>
      </c>
      <c r="AB1506" s="171" t="str">
        <v/>
      </c>
      <c r="AC1506" s="158">
        <v>0</v>
      </c>
      <c r="AD1506" s="173" t="str">
        <f ca="1">IFERROR(__xludf.DUMMYFUNCTION("""COMPUTED_VALUE"""),"")</f>
        <v/>
      </c>
      <c r="AE1506" s="154" t="str">
        <v/>
      </c>
      <c r="AF1506" s="154" t="str">
        <v/>
      </c>
    </row>
    <row r="1507" spans="1:32" ht="15">
      <c r="A1507" s="176"/>
      <c r="B1507" s="145"/>
      <c r="C1507" s="169"/>
      <c r="D1507" s="145"/>
      <c r="E1507" s="145"/>
      <c r="F1507" s="169" t="e">
        <v>#VALUE!</v>
      </c>
      <c r="G1507" s="145"/>
      <c r="H1507" s="145"/>
      <c r="I1507" s="145"/>
      <c r="J1507" s="145"/>
      <c r="K1507" s="145"/>
      <c r="L1507" s="145"/>
      <c r="M1507" s="145"/>
      <c r="N1507" s="145"/>
      <c r="O1507" s="174"/>
      <c r="P1507" s="174"/>
      <c r="Q1507" s="158" t="str">
        <v/>
      </c>
      <c r="R1507" s="158" t="str">
        <v/>
      </c>
      <c r="S1507" s="158" t="str">
        <v/>
      </c>
      <c r="T1507" s="158" t="str">
        <v/>
      </c>
      <c r="U1507" s="158" t="str">
        <v/>
      </c>
      <c r="V1507" s="158" t="str">
        <v/>
      </c>
      <c r="W1507" s="158" t="str">
        <v/>
      </c>
      <c r="X1507" s="158" t="str">
        <v/>
      </c>
      <c r="Y1507" s="158" t="str">
        <v/>
      </c>
      <c r="Z1507" s="158" t="str">
        <v/>
      </c>
      <c r="AA1507" s="158" t="e">
        <v>#VALUE!</v>
      </c>
      <c r="AB1507" s="171" t="str">
        <v/>
      </c>
      <c r="AC1507" s="158">
        <v>0</v>
      </c>
      <c r="AD1507" s="173" t="str">
        <f ca="1">IFERROR(__xludf.DUMMYFUNCTION("""COMPUTED_VALUE"""),"")</f>
        <v/>
      </c>
      <c r="AE1507" s="154" t="str">
        <v/>
      </c>
      <c r="AF1507" s="154" t="str">
        <v/>
      </c>
    </row>
    <row r="1508" spans="1:32" ht="15">
      <c r="A1508" s="176"/>
      <c r="B1508" s="145"/>
      <c r="C1508" s="169"/>
      <c r="D1508" s="145"/>
      <c r="E1508" s="145"/>
      <c r="F1508" s="169" t="e">
        <v>#VALUE!</v>
      </c>
      <c r="G1508" s="145"/>
      <c r="H1508" s="145"/>
      <c r="I1508" s="145"/>
      <c r="J1508" s="145"/>
      <c r="K1508" s="145"/>
      <c r="L1508" s="145"/>
      <c r="M1508" s="145"/>
      <c r="N1508" s="145"/>
      <c r="O1508" s="174"/>
      <c r="P1508" s="174"/>
      <c r="Q1508" s="158" t="str">
        <v/>
      </c>
      <c r="R1508" s="158" t="str">
        <v/>
      </c>
      <c r="S1508" s="158" t="str">
        <v/>
      </c>
      <c r="T1508" s="158" t="str">
        <v/>
      </c>
      <c r="U1508" s="158" t="str">
        <v/>
      </c>
      <c r="V1508" s="158" t="str">
        <v/>
      </c>
      <c r="W1508" s="158" t="str">
        <v/>
      </c>
      <c r="X1508" s="158" t="str">
        <v/>
      </c>
      <c r="Y1508" s="158" t="str">
        <v/>
      </c>
      <c r="Z1508" s="158" t="str">
        <v/>
      </c>
      <c r="AA1508" s="158" t="e">
        <v>#VALUE!</v>
      </c>
      <c r="AB1508" s="171" t="str">
        <v/>
      </c>
      <c r="AC1508" s="158">
        <v>0</v>
      </c>
      <c r="AD1508" s="173" t="str">
        <f ca="1">IFERROR(__xludf.DUMMYFUNCTION("""COMPUTED_VALUE"""),"")</f>
        <v/>
      </c>
      <c r="AE1508" s="154" t="str">
        <v/>
      </c>
      <c r="AF1508" s="154" t="str">
        <v/>
      </c>
    </row>
    <row r="1509" spans="1:32" ht="15">
      <c r="A1509" s="176"/>
      <c r="B1509" s="145"/>
      <c r="C1509" s="169"/>
      <c r="D1509" s="145"/>
      <c r="E1509" s="145"/>
      <c r="F1509" s="169" t="e">
        <v>#VALUE!</v>
      </c>
      <c r="G1509" s="145"/>
      <c r="H1509" s="145"/>
      <c r="I1509" s="145"/>
      <c r="J1509" s="145"/>
      <c r="K1509" s="145"/>
      <c r="L1509" s="145"/>
      <c r="M1509" s="145"/>
      <c r="N1509" s="145"/>
      <c r="O1509" s="174"/>
      <c r="P1509" s="174"/>
      <c r="Q1509" s="158" t="str">
        <v/>
      </c>
      <c r="R1509" s="158" t="str">
        <v/>
      </c>
      <c r="S1509" s="158" t="str">
        <v/>
      </c>
      <c r="T1509" s="158" t="str">
        <v/>
      </c>
      <c r="U1509" s="158" t="str">
        <v/>
      </c>
      <c r="V1509" s="158" t="str">
        <v/>
      </c>
      <c r="W1509" s="158" t="str">
        <v/>
      </c>
      <c r="X1509" s="158" t="str">
        <v/>
      </c>
      <c r="Y1509" s="158" t="str">
        <v/>
      </c>
      <c r="Z1509" s="158" t="str">
        <v/>
      </c>
      <c r="AA1509" s="158" t="e">
        <v>#VALUE!</v>
      </c>
      <c r="AB1509" s="171" t="str">
        <v/>
      </c>
      <c r="AC1509" s="158">
        <v>0</v>
      </c>
      <c r="AD1509" s="173" t="str">
        <f ca="1">IFERROR(__xludf.DUMMYFUNCTION("""COMPUTED_VALUE"""),"")</f>
        <v/>
      </c>
      <c r="AE1509" s="154" t="str">
        <v/>
      </c>
      <c r="AF1509" s="154" t="str">
        <v/>
      </c>
    </row>
    <row r="1510" spans="1:32" ht="15">
      <c r="A1510" s="176">
        <v>45978</v>
      </c>
      <c r="B1510" s="145" t="s">
        <v>12905</v>
      </c>
      <c r="C1510" s="169">
        <v>61613</v>
      </c>
      <c r="D1510" s="145">
        <v>3</v>
      </c>
      <c r="E1510" s="145"/>
      <c r="F1510" s="169" t="e">
        <v>#VALUE!</v>
      </c>
      <c r="G1510" s="145"/>
      <c r="H1510" s="145"/>
      <c r="I1510" s="145"/>
      <c r="J1510" s="145"/>
      <c r="K1510" s="145"/>
      <c r="L1510" s="145"/>
      <c r="M1510" s="145"/>
      <c r="N1510" s="145"/>
      <c r="O1510" s="174"/>
      <c r="P1510" s="174"/>
      <c r="Q1510" s="158" t="str">
        <v/>
      </c>
      <c r="R1510" s="158" t="str">
        <v/>
      </c>
      <c r="S1510" s="158" t="str">
        <v/>
      </c>
      <c r="T1510" s="158" t="str">
        <v/>
      </c>
      <c r="U1510" s="158" t="str">
        <v/>
      </c>
      <c r="V1510" s="158" t="str">
        <v/>
      </c>
      <c r="W1510" s="158" t="str">
        <v/>
      </c>
      <c r="X1510" s="158" t="str">
        <v/>
      </c>
      <c r="Y1510" s="158" t="str">
        <v/>
      </c>
      <c r="Z1510" s="158" t="str">
        <v/>
      </c>
      <c r="AA1510" s="158" t="e">
        <v>#VALUE!</v>
      </c>
      <c r="AB1510" s="171" t="str">
        <v/>
      </c>
      <c r="AC1510" s="158">
        <v>20537.666666666668</v>
      </c>
      <c r="AD1510" s="173" t="str">
        <f ca="1">IFERROR(__xludf.DUMMYFUNCTION("""COMPUTED_VALUE"""),"2025-11")</f>
        <v>2025-11</v>
      </c>
      <c r="AE1510" s="154" t="str">
        <v/>
      </c>
      <c r="AF1510" s="154" t="str">
        <v/>
      </c>
    </row>
    <row r="1511" spans="1:32" ht="15">
      <c r="A1511" s="176">
        <v>45979</v>
      </c>
      <c r="B1511" s="145" t="s">
        <v>12905</v>
      </c>
      <c r="C1511" s="169">
        <v>76687</v>
      </c>
      <c r="D1511" s="145">
        <v>8</v>
      </c>
      <c r="E1511" s="145"/>
      <c r="F1511" s="169" t="e">
        <v>#VALUE!</v>
      </c>
      <c r="G1511" s="145"/>
      <c r="H1511" s="145"/>
      <c r="I1511" s="145"/>
      <c r="J1511" s="145"/>
      <c r="K1511" s="145"/>
      <c r="L1511" s="145"/>
      <c r="M1511" s="145"/>
      <c r="N1511" s="145"/>
      <c r="O1511" s="174"/>
      <c r="P1511" s="174"/>
      <c r="Q1511" s="158" t="str">
        <v/>
      </c>
      <c r="R1511" s="158" t="str">
        <v/>
      </c>
      <c r="S1511" s="158" t="str">
        <v/>
      </c>
      <c r="T1511" s="158" t="str">
        <v/>
      </c>
      <c r="U1511" s="158" t="str">
        <v/>
      </c>
      <c r="V1511" s="158" t="str">
        <v/>
      </c>
      <c r="W1511" s="158" t="str">
        <v/>
      </c>
      <c r="X1511" s="158" t="str">
        <v/>
      </c>
      <c r="Y1511" s="158" t="str">
        <v/>
      </c>
      <c r="Z1511" s="158" t="str">
        <v/>
      </c>
      <c r="AA1511" s="158" t="e">
        <v>#VALUE!</v>
      </c>
      <c r="AB1511" s="171" t="str">
        <v/>
      </c>
      <c r="AC1511" s="158">
        <v>9585.875</v>
      </c>
      <c r="AD1511" s="173" t="str">
        <f ca="1">IFERROR(__xludf.DUMMYFUNCTION("""COMPUTED_VALUE"""),"2025-11")</f>
        <v>2025-11</v>
      </c>
      <c r="AE1511" s="154" t="str">
        <v/>
      </c>
      <c r="AF1511" s="154" t="str">
        <v/>
      </c>
    </row>
    <row r="1512" spans="1:32" ht="15">
      <c r="A1512" s="176">
        <v>45980</v>
      </c>
      <c r="B1512" s="145" t="s">
        <v>12909</v>
      </c>
      <c r="C1512" s="169">
        <v>17018</v>
      </c>
      <c r="D1512" s="145">
        <v>1</v>
      </c>
      <c r="E1512" s="145"/>
      <c r="F1512" s="169" t="e">
        <v>#VALUE!</v>
      </c>
      <c r="G1512" s="145"/>
      <c r="H1512" s="145"/>
      <c r="I1512" s="145"/>
      <c r="J1512" s="145"/>
      <c r="K1512" s="145"/>
      <c r="L1512" s="145"/>
      <c r="M1512" s="145"/>
      <c r="N1512" s="145"/>
      <c r="O1512" s="174"/>
      <c r="P1512" s="174"/>
      <c r="Q1512" s="158" t="str">
        <v/>
      </c>
      <c r="R1512" s="158" t="str">
        <v/>
      </c>
      <c r="S1512" s="158" t="str">
        <v/>
      </c>
      <c r="T1512" s="158" t="str">
        <v/>
      </c>
      <c r="U1512" s="158" t="str">
        <v/>
      </c>
      <c r="V1512" s="158" t="str">
        <v/>
      </c>
      <c r="W1512" s="158" t="str">
        <v/>
      </c>
      <c r="X1512" s="158" t="str">
        <v/>
      </c>
      <c r="Y1512" s="158" t="str">
        <v/>
      </c>
      <c r="Z1512" s="158" t="str">
        <v/>
      </c>
      <c r="AA1512" s="158" t="e">
        <v>#VALUE!</v>
      </c>
      <c r="AB1512" s="171" t="str">
        <v/>
      </c>
      <c r="AC1512" s="158">
        <v>17018</v>
      </c>
      <c r="AD1512" s="173" t="str">
        <f ca="1">IFERROR(__xludf.DUMMYFUNCTION("""COMPUTED_VALUE"""),"2025-11")</f>
        <v>2025-11</v>
      </c>
      <c r="AE1512" s="154" t="str">
        <v/>
      </c>
      <c r="AF1512" s="154" t="str">
        <v/>
      </c>
    </row>
    <row r="1513" spans="1:32" ht="15">
      <c r="A1513" s="176">
        <v>45980</v>
      </c>
      <c r="B1513" s="145" t="s">
        <v>12910</v>
      </c>
      <c r="C1513" s="169">
        <v>82023</v>
      </c>
      <c r="D1513" s="145">
        <v>10</v>
      </c>
      <c r="E1513" s="145"/>
      <c r="F1513" s="169" t="e">
        <v>#VALUE!</v>
      </c>
      <c r="G1513" s="145"/>
      <c r="H1513" s="145"/>
      <c r="I1513" s="145"/>
      <c r="J1513" s="145"/>
      <c r="K1513" s="145"/>
      <c r="L1513" s="145"/>
      <c r="M1513" s="145"/>
      <c r="N1513" s="145"/>
      <c r="O1513" s="174"/>
      <c r="P1513" s="174"/>
      <c r="Q1513" s="158" t="str">
        <v/>
      </c>
      <c r="R1513" s="158" t="str">
        <v/>
      </c>
      <c r="S1513" s="158" t="str">
        <v/>
      </c>
      <c r="T1513" s="158" t="str">
        <v/>
      </c>
      <c r="U1513" s="158" t="str">
        <v/>
      </c>
      <c r="V1513" s="158" t="str">
        <v/>
      </c>
      <c r="W1513" s="158" t="str">
        <v/>
      </c>
      <c r="X1513" s="158" t="str">
        <v/>
      </c>
      <c r="Y1513" s="158" t="str">
        <v/>
      </c>
      <c r="Z1513" s="158" t="str">
        <v/>
      </c>
      <c r="AA1513" s="158" t="e">
        <v>#VALUE!</v>
      </c>
      <c r="AB1513" s="171" t="str">
        <v/>
      </c>
      <c r="AC1513" s="158">
        <v>8202.2999999999993</v>
      </c>
      <c r="AD1513" s="173" t="str">
        <f ca="1">IFERROR(__xludf.DUMMYFUNCTION("""COMPUTED_VALUE"""),"2025-11")</f>
        <v>2025-11</v>
      </c>
      <c r="AE1513" s="154" t="str">
        <v/>
      </c>
      <c r="AF1513" s="154" t="str">
        <v/>
      </c>
    </row>
    <row r="1514" spans="1:32" ht="15">
      <c r="A1514" s="176">
        <v>45982</v>
      </c>
      <c r="B1514" s="145" t="s">
        <v>12909</v>
      </c>
      <c r="C1514" s="169">
        <v>44894</v>
      </c>
      <c r="D1514" s="145">
        <v>2</v>
      </c>
      <c r="E1514" s="145"/>
      <c r="F1514" s="169" t="e">
        <v>#VALUE!</v>
      </c>
      <c r="G1514" s="145"/>
      <c r="H1514" s="145"/>
      <c r="I1514" s="145"/>
      <c r="J1514" s="145"/>
      <c r="K1514" s="145"/>
      <c r="L1514" s="145"/>
      <c r="M1514" s="145"/>
      <c r="N1514" s="145"/>
      <c r="O1514" s="174"/>
      <c r="P1514" s="174"/>
      <c r="Q1514" s="158" t="str">
        <v/>
      </c>
      <c r="R1514" s="158" t="str">
        <v/>
      </c>
      <c r="S1514" s="158" t="str">
        <v/>
      </c>
      <c r="T1514" s="158" t="str">
        <v/>
      </c>
      <c r="U1514" s="158" t="str">
        <v/>
      </c>
      <c r="V1514" s="158" t="str">
        <v/>
      </c>
      <c r="W1514" s="158" t="str">
        <v/>
      </c>
      <c r="X1514" s="158" t="str">
        <v/>
      </c>
      <c r="Y1514" s="158" t="str">
        <v/>
      </c>
      <c r="Z1514" s="158" t="str">
        <v/>
      </c>
      <c r="AA1514" s="158" t="e">
        <v>#VALUE!</v>
      </c>
      <c r="AB1514" s="171" t="str">
        <v/>
      </c>
      <c r="AC1514" s="158">
        <v>22447</v>
      </c>
      <c r="AD1514" s="173" t="str">
        <f ca="1">IFERROR(__xludf.DUMMYFUNCTION("""COMPUTED_VALUE"""),"2025-11")</f>
        <v>2025-11</v>
      </c>
      <c r="AE1514" s="154" t="str">
        <v/>
      </c>
      <c r="AF1514" s="154" t="str">
        <v/>
      </c>
    </row>
    <row r="1515" spans="1:32" ht="15">
      <c r="A1515" s="176">
        <v>45982</v>
      </c>
      <c r="B1515" s="145" t="s">
        <v>12910</v>
      </c>
      <c r="C1515" s="169">
        <v>78810</v>
      </c>
      <c r="D1515" s="145">
        <v>8</v>
      </c>
      <c r="E1515" s="145"/>
      <c r="F1515" s="169" t="e">
        <v>#VALUE!</v>
      </c>
      <c r="G1515" s="145"/>
      <c r="H1515" s="145"/>
      <c r="I1515" s="145"/>
      <c r="J1515" s="145"/>
      <c r="K1515" s="145"/>
      <c r="L1515" s="145"/>
      <c r="M1515" s="145"/>
      <c r="N1515" s="145"/>
      <c r="O1515" s="174"/>
      <c r="P1515" s="174"/>
      <c r="Q1515" s="158" t="str">
        <v/>
      </c>
      <c r="R1515" s="158" t="str">
        <v/>
      </c>
      <c r="S1515" s="158" t="str">
        <v/>
      </c>
      <c r="T1515" s="158" t="str">
        <v/>
      </c>
      <c r="U1515" s="158" t="str">
        <v/>
      </c>
      <c r="V1515" s="158" t="str">
        <v/>
      </c>
      <c r="W1515" s="158" t="str">
        <v/>
      </c>
      <c r="X1515" s="158" t="str">
        <v/>
      </c>
      <c r="Y1515" s="158" t="str">
        <v/>
      </c>
      <c r="Z1515" s="158" t="str">
        <v/>
      </c>
      <c r="AA1515" s="158" t="e">
        <v>#VALUE!</v>
      </c>
      <c r="AB1515" s="171" t="str">
        <v/>
      </c>
      <c r="AC1515" s="158">
        <v>9851.25</v>
      </c>
      <c r="AD1515" s="173" t="str">
        <f ca="1">IFERROR(__xludf.DUMMYFUNCTION("""COMPUTED_VALUE"""),"2025-11")</f>
        <v>2025-11</v>
      </c>
      <c r="AE1515" s="154" t="str">
        <v/>
      </c>
      <c r="AF1515" s="154" t="str">
        <v/>
      </c>
    </row>
    <row r="1516" spans="1:32" ht="15">
      <c r="A1516" s="176">
        <v>45983</v>
      </c>
      <c r="B1516" s="145" t="s">
        <v>12910</v>
      </c>
      <c r="C1516" s="169">
        <v>44304</v>
      </c>
      <c r="D1516" s="145">
        <v>3</v>
      </c>
      <c r="E1516" s="145"/>
      <c r="F1516" s="169" t="e">
        <v>#VALUE!</v>
      </c>
      <c r="G1516" s="145"/>
      <c r="H1516" s="145"/>
      <c r="I1516" s="145"/>
      <c r="J1516" s="145"/>
      <c r="K1516" s="145"/>
      <c r="L1516" s="145"/>
      <c r="M1516" s="145"/>
      <c r="N1516" s="145"/>
      <c r="O1516" s="174"/>
      <c r="P1516" s="174"/>
      <c r="Q1516" s="158" t="str">
        <v/>
      </c>
      <c r="R1516" s="158" t="str">
        <v/>
      </c>
      <c r="S1516" s="158" t="str">
        <v/>
      </c>
      <c r="T1516" s="158" t="str">
        <v/>
      </c>
      <c r="U1516" s="158" t="str">
        <v/>
      </c>
      <c r="V1516" s="158" t="str">
        <v/>
      </c>
      <c r="W1516" s="158" t="str">
        <v/>
      </c>
      <c r="X1516" s="158" t="str">
        <v/>
      </c>
      <c r="Y1516" s="158" t="str">
        <v/>
      </c>
      <c r="Z1516" s="158" t="str">
        <v/>
      </c>
      <c r="AA1516" s="158" t="e">
        <v>#VALUE!</v>
      </c>
      <c r="AB1516" s="171" t="str">
        <v/>
      </c>
      <c r="AC1516" s="158">
        <v>14768</v>
      </c>
      <c r="AD1516" s="173" t="str">
        <f ca="1">IFERROR(__xludf.DUMMYFUNCTION("""COMPUTED_VALUE"""),"2025-11")</f>
        <v>2025-11</v>
      </c>
      <c r="AE1516" s="154" t="str">
        <v/>
      </c>
      <c r="AF1516" s="154" t="str">
        <v/>
      </c>
    </row>
    <row r="1517" spans="1:32" ht="15">
      <c r="A1517" s="176">
        <v>1517</v>
      </c>
      <c r="B1517" s="145"/>
      <c r="C1517" s="145" t="s">
        <v>115</v>
      </c>
      <c r="D1517" s="176">
        <v>46065</v>
      </c>
      <c r="E1517" s="145">
        <v>2</v>
      </c>
      <c r="F1517" s="169" t="e">
        <v>#VALUE!</v>
      </c>
      <c r="G1517" s="145"/>
      <c r="H1517" s="145"/>
      <c r="I1517" s="145"/>
      <c r="J1517" s="145"/>
      <c r="K1517" s="145">
        <v>2</v>
      </c>
      <c r="L1517" s="145"/>
      <c r="M1517" s="145"/>
      <c r="N1517" s="145"/>
      <c r="O1517" s="174"/>
      <c r="P1517" s="174"/>
      <c r="Q1517" s="177" t="str">
        <v/>
      </c>
      <c r="R1517" s="158" t="str">
        <v/>
      </c>
      <c r="S1517" s="158" t="str">
        <v/>
      </c>
      <c r="T1517" s="158" t="str">
        <v/>
      </c>
      <c r="U1517" s="158">
        <v>2000000</v>
      </c>
      <c r="V1517" s="158" t="str">
        <v/>
      </c>
      <c r="W1517" s="158" t="str">
        <v/>
      </c>
      <c r="X1517" s="158" t="str">
        <v/>
      </c>
      <c r="Y1517" s="158" t="str">
        <v/>
      </c>
      <c r="Z1517" s="158" t="str">
        <v/>
      </c>
      <c r="AA1517" s="158" t="e">
        <v>#VALUE!</v>
      </c>
      <c r="AB1517" s="171">
        <v>0.02</v>
      </c>
      <c r="AC1517" s="158" t="e">
        <v>#VALUE!</v>
      </c>
      <c r="AD1517" s="173" t="str">
        <f ca="1">IFERROR(__xludf.DUMMYFUNCTION("""COMPUTED_VALUE"""),"1904-02")</f>
        <v>1904-02</v>
      </c>
      <c r="AE1517" s="154">
        <v>0</v>
      </c>
      <c r="AF1517" s="154">
        <v>0</v>
      </c>
    </row>
    <row r="1518" spans="1:32" ht="15">
      <c r="A1518" s="176">
        <v>1518</v>
      </c>
      <c r="B1518" s="145"/>
      <c r="C1518" s="145" t="s">
        <v>115</v>
      </c>
      <c r="D1518" s="176">
        <v>46065</v>
      </c>
      <c r="E1518" s="145">
        <v>5</v>
      </c>
      <c r="F1518" s="145" t="e">
        <v>#VALUE!</v>
      </c>
      <c r="G1518" s="145"/>
      <c r="H1518" s="145"/>
      <c r="I1518" s="145"/>
      <c r="J1518" s="145"/>
      <c r="K1518" s="145">
        <v>2</v>
      </c>
      <c r="L1518" s="145"/>
      <c r="M1518" s="145">
        <v>1</v>
      </c>
      <c r="N1518" s="145">
        <v>1</v>
      </c>
      <c r="O1518" s="174"/>
      <c r="P1518" s="174"/>
      <c r="Q1518" s="177">
        <v>46066.206881215279</v>
      </c>
      <c r="R1518" s="158" t="str">
        <v/>
      </c>
      <c r="S1518" s="158" t="str">
        <v/>
      </c>
      <c r="T1518" s="158" t="str">
        <v/>
      </c>
      <c r="U1518" s="158">
        <v>2000000</v>
      </c>
      <c r="V1518" s="158" t="str">
        <v/>
      </c>
      <c r="W1518" s="158">
        <v>297000</v>
      </c>
      <c r="X1518" s="158">
        <v>375000</v>
      </c>
      <c r="Y1518" s="158" t="str">
        <v/>
      </c>
      <c r="Z1518" s="158" t="str">
        <v/>
      </c>
      <c r="AA1518" s="158" t="e">
        <v>#VALUE!</v>
      </c>
      <c r="AB1518" s="171">
        <v>0.05</v>
      </c>
      <c r="AC1518" s="158" t="e">
        <v>#VALUE!</v>
      </c>
      <c r="AD1518" s="173" t="str">
        <f ca="1">IFERROR(__xludf.DUMMYFUNCTION("""COMPUTED_VALUE"""),"1904-02")</f>
        <v>1904-02</v>
      </c>
      <c r="AE1518" s="154">
        <v>0</v>
      </c>
      <c r="AF1518" s="154">
        <v>0</v>
      </c>
    </row>
    <row r="1519" spans="1:32" ht="15">
      <c r="A1519" s="176">
        <v>1519</v>
      </c>
      <c r="B1519" s="145">
        <v>27</v>
      </c>
      <c r="C1519" s="145" t="s">
        <v>115</v>
      </c>
      <c r="D1519" s="176">
        <v>46065</v>
      </c>
      <c r="E1519" s="145">
        <v>5</v>
      </c>
      <c r="F1519" s="145">
        <v>1</v>
      </c>
      <c r="G1519" s="145"/>
      <c r="H1519" s="145"/>
      <c r="I1519" s="145"/>
      <c r="J1519" s="145"/>
      <c r="K1519" s="145">
        <v>2</v>
      </c>
      <c r="L1519" s="145"/>
      <c r="M1519" s="145">
        <v>1</v>
      </c>
      <c r="N1519" s="145">
        <v>1</v>
      </c>
      <c r="O1519" s="174"/>
      <c r="P1519" s="174"/>
      <c r="Q1519" s="177">
        <v>46066.260536817128</v>
      </c>
      <c r="R1519" s="158" t="str">
        <v/>
      </c>
      <c r="S1519" s="158" t="str">
        <v/>
      </c>
      <c r="T1519" s="158" t="str">
        <v/>
      </c>
      <c r="U1519" s="158">
        <v>2000000</v>
      </c>
      <c r="V1519" s="158" t="str">
        <v/>
      </c>
      <c r="W1519" s="158">
        <v>297000</v>
      </c>
      <c r="X1519" s="158">
        <v>375000</v>
      </c>
      <c r="Y1519" s="158" t="str">
        <v/>
      </c>
      <c r="Z1519" s="158" t="str">
        <v/>
      </c>
      <c r="AA1519" s="158" t="e">
        <v>#VALUE!</v>
      </c>
      <c r="AB1519" s="171">
        <v>0.05</v>
      </c>
      <c r="AC1519" s="158" t="e">
        <v>#VALUE!</v>
      </c>
      <c r="AD1519" s="173" t="str">
        <f ca="1">IFERROR(__xludf.DUMMYFUNCTION("""COMPUTED_VALUE"""),"1904-02")</f>
        <v>1904-02</v>
      </c>
      <c r="AE1519" s="154">
        <v>0</v>
      </c>
      <c r="AF1519" s="154">
        <v>0</v>
      </c>
    </row>
    <row r="1520" spans="1:32" ht="15">
      <c r="A1520" s="176">
        <v>1520</v>
      </c>
      <c r="B1520" s="145">
        <v>30</v>
      </c>
      <c r="C1520" s="145" t="s">
        <v>115</v>
      </c>
      <c r="D1520" s="176">
        <v>46066</v>
      </c>
      <c r="E1520" s="145"/>
      <c r="F1520" s="145"/>
      <c r="G1520" s="145"/>
      <c r="H1520" s="145"/>
      <c r="I1520" s="145"/>
      <c r="J1520" s="145"/>
      <c r="K1520" s="145"/>
      <c r="L1520" s="145"/>
      <c r="M1520" s="145"/>
      <c r="N1520" s="145"/>
      <c r="O1520" s="174"/>
      <c r="P1520" s="174"/>
      <c r="Q1520" s="177">
        <v>46067.259322094906</v>
      </c>
      <c r="R1520" s="158" t="str">
        <v/>
      </c>
      <c r="S1520" s="158" t="str">
        <v/>
      </c>
      <c r="T1520" s="158" t="str">
        <v/>
      </c>
      <c r="U1520" s="158" t="str">
        <v/>
      </c>
      <c r="V1520" s="158" t="str">
        <v/>
      </c>
      <c r="W1520" s="158" t="str">
        <v/>
      </c>
      <c r="X1520" s="158" t="str">
        <v/>
      </c>
      <c r="Y1520" s="158" t="str">
        <v/>
      </c>
      <c r="Z1520" s="158" t="str">
        <v/>
      </c>
      <c r="AA1520" s="158" t="e">
        <v>#VALUE!</v>
      </c>
      <c r="AB1520" s="171" t="str">
        <v/>
      </c>
      <c r="AC1520" s="158" t="e">
        <v>#VALUE!</v>
      </c>
      <c r="AD1520" s="173" t="str">
        <f ca="1">IFERROR(__xludf.DUMMYFUNCTION("""COMPUTED_VALUE"""),"1904-02")</f>
        <v>1904-02</v>
      </c>
      <c r="AE1520" s="154" t="str">
        <v/>
      </c>
      <c r="AF1520" s="154" t="str">
        <v/>
      </c>
    </row>
    <row r="1521" spans="1:32" ht="15">
      <c r="A1521" s="176">
        <v>1521</v>
      </c>
      <c r="B1521" s="145">
        <v>16</v>
      </c>
      <c r="C1521" s="145" t="s">
        <v>1774</v>
      </c>
      <c r="D1521" s="176">
        <v>46066</v>
      </c>
      <c r="E1521" s="145"/>
      <c r="F1521" s="145"/>
      <c r="G1521" s="145"/>
      <c r="H1521" s="145"/>
      <c r="I1521" s="145"/>
      <c r="J1521" s="145"/>
      <c r="K1521" s="145"/>
      <c r="L1521" s="145"/>
      <c r="M1521" s="145"/>
      <c r="N1521" s="145"/>
      <c r="O1521" s="174"/>
      <c r="P1521" s="174"/>
      <c r="Q1521" s="177">
        <v>46067.26500767361</v>
      </c>
      <c r="R1521" s="158" t="str">
        <v/>
      </c>
      <c r="S1521" s="158" t="str">
        <v/>
      </c>
      <c r="T1521" s="158" t="str">
        <v/>
      </c>
      <c r="U1521" s="158" t="str">
        <v/>
      </c>
      <c r="V1521" s="158" t="str">
        <v/>
      </c>
      <c r="W1521" s="158" t="str">
        <v/>
      </c>
      <c r="X1521" s="158" t="str">
        <v/>
      </c>
      <c r="Y1521" s="158" t="str">
        <v/>
      </c>
      <c r="Z1521" s="158" t="str">
        <v/>
      </c>
      <c r="AA1521" s="158" t="e">
        <v>#VALUE!</v>
      </c>
      <c r="AB1521" s="171" t="str">
        <v/>
      </c>
      <c r="AC1521" s="158" t="e">
        <v>#VALUE!</v>
      </c>
      <c r="AD1521" s="173" t="str">
        <f ca="1">IFERROR(__xludf.DUMMYFUNCTION("""COMPUTED_VALUE"""),"1904-02")</f>
        <v>1904-02</v>
      </c>
      <c r="AE1521" s="154" t="str">
        <v/>
      </c>
      <c r="AF1521" s="154" t="str">
        <v/>
      </c>
    </row>
    <row r="1522" spans="1:32" ht="15">
      <c r="A1522" s="176">
        <v>1522</v>
      </c>
      <c r="B1522" s="145">
        <v>9</v>
      </c>
      <c r="C1522" s="145" t="s">
        <v>115</v>
      </c>
      <c r="D1522" s="176">
        <v>46067</v>
      </c>
      <c r="E1522" s="145">
        <v>2</v>
      </c>
      <c r="F1522" s="145"/>
      <c r="G1522" s="145"/>
      <c r="H1522" s="145"/>
      <c r="I1522" s="145"/>
      <c r="J1522" s="145"/>
      <c r="K1522" s="145">
        <v>1</v>
      </c>
      <c r="L1522" s="145"/>
      <c r="M1522" s="145">
        <v>1</v>
      </c>
      <c r="N1522" s="145"/>
      <c r="O1522" s="174"/>
      <c r="P1522" s="174"/>
      <c r="Q1522" s="177">
        <v>46068.240276817131</v>
      </c>
      <c r="R1522" s="158" t="str">
        <v/>
      </c>
      <c r="S1522" s="158" t="str">
        <v/>
      </c>
      <c r="T1522" s="158" t="str">
        <v/>
      </c>
      <c r="U1522" s="158">
        <v>1000000</v>
      </c>
      <c r="V1522" s="158" t="str">
        <v/>
      </c>
      <c r="W1522" s="158">
        <v>297000</v>
      </c>
      <c r="X1522" s="158" t="str">
        <v/>
      </c>
      <c r="Y1522" s="158" t="str">
        <v/>
      </c>
      <c r="Z1522" s="158" t="str">
        <v/>
      </c>
      <c r="AA1522" s="158" t="e">
        <v>#VALUE!</v>
      </c>
      <c r="AB1522" s="171">
        <v>0.02</v>
      </c>
      <c r="AC1522" s="158" t="e">
        <v>#VALUE!</v>
      </c>
      <c r="AD1522" s="173" t="str">
        <f ca="1">IFERROR(__xludf.DUMMYFUNCTION("""COMPUTED_VALUE"""),"1904-03")</f>
        <v>1904-03</v>
      </c>
      <c r="AE1522" s="154">
        <v>0</v>
      </c>
      <c r="AF1522" s="154">
        <v>0</v>
      </c>
    </row>
    <row r="1523" spans="1:32" ht="15">
      <c r="A1523" s="176">
        <v>1523</v>
      </c>
      <c r="B1523" s="145">
        <v>88</v>
      </c>
      <c r="C1523" s="145" t="s">
        <v>1774</v>
      </c>
      <c r="D1523" s="176">
        <v>46067</v>
      </c>
      <c r="E1523" s="145">
        <v>3</v>
      </c>
      <c r="F1523" s="145">
        <v>2</v>
      </c>
      <c r="G1523" s="145"/>
      <c r="H1523" s="145"/>
      <c r="I1523" s="145"/>
      <c r="J1523" s="145"/>
      <c r="K1523" s="145">
        <v>1</v>
      </c>
      <c r="L1523" s="145"/>
      <c r="M1523" s="145"/>
      <c r="N1523" s="145"/>
      <c r="O1523" s="174"/>
      <c r="P1523" s="174"/>
      <c r="Q1523" s="177">
        <v>46068.286158715273</v>
      </c>
      <c r="R1523" s="158" t="str">
        <v/>
      </c>
      <c r="S1523" s="158" t="str">
        <v/>
      </c>
      <c r="T1523" s="158" t="str">
        <v/>
      </c>
      <c r="U1523" s="158">
        <v>1000000</v>
      </c>
      <c r="V1523" s="158" t="str">
        <v/>
      </c>
      <c r="W1523" s="158" t="str">
        <v/>
      </c>
      <c r="X1523" s="158" t="str">
        <v/>
      </c>
      <c r="Y1523" s="158" t="str">
        <v/>
      </c>
      <c r="Z1523" s="158" t="str">
        <v/>
      </c>
      <c r="AA1523" s="158" t="e">
        <v>#VALUE!</v>
      </c>
      <c r="AB1523" s="171">
        <v>0.03</v>
      </c>
      <c r="AC1523" s="158" t="e">
        <v>#VALUE!</v>
      </c>
      <c r="AD1523" s="173" t="str">
        <f ca="1">IFERROR(__xludf.DUMMYFUNCTION("""COMPUTED_VALUE"""),"1904-03")</f>
        <v>1904-03</v>
      </c>
      <c r="AE1523" s="154">
        <v>0</v>
      </c>
      <c r="AF1523" s="154">
        <v>0</v>
      </c>
    </row>
    <row r="1524" spans="1:32" ht="15">
      <c r="A1524" s="176">
        <v>1524</v>
      </c>
      <c r="B1524" s="145">
        <v>9</v>
      </c>
      <c r="C1524" s="145" t="s">
        <v>115</v>
      </c>
      <c r="D1524" s="176">
        <v>46068</v>
      </c>
      <c r="E1524" s="145">
        <v>1</v>
      </c>
      <c r="F1524" s="145">
        <v>1</v>
      </c>
      <c r="G1524" s="145"/>
      <c r="H1524" s="145"/>
      <c r="I1524" s="145"/>
      <c r="J1524" s="145"/>
      <c r="K1524" s="145"/>
      <c r="L1524" s="145"/>
      <c r="M1524" s="145"/>
      <c r="N1524" s="145"/>
      <c r="O1524" s="174"/>
      <c r="P1524" s="174"/>
      <c r="Q1524" s="177">
        <v>46069.237171145833</v>
      </c>
      <c r="R1524" s="158" t="str">
        <v/>
      </c>
      <c r="S1524" s="158" t="str">
        <v/>
      </c>
      <c r="T1524" s="158" t="str">
        <v/>
      </c>
      <c r="U1524" s="158" t="str">
        <v/>
      </c>
      <c r="V1524" s="158" t="str">
        <v/>
      </c>
      <c r="W1524" s="158" t="str">
        <v/>
      </c>
      <c r="X1524" s="158" t="str">
        <v/>
      </c>
      <c r="Y1524" s="158" t="str">
        <v/>
      </c>
      <c r="Z1524" s="158" t="str">
        <v/>
      </c>
      <c r="AA1524" s="158" t="e">
        <v>#VALUE!</v>
      </c>
      <c r="AB1524" s="171">
        <v>0.01</v>
      </c>
      <c r="AC1524" s="158" t="e">
        <v>#VALUE!</v>
      </c>
      <c r="AD1524" s="173" t="str">
        <f ca="1">IFERROR(__xludf.DUMMYFUNCTION("""COMPUTED_VALUE"""),"1904-03")</f>
        <v>1904-03</v>
      </c>
      <c r="AE1524" s="154">
        <v>0</v>
      </c>
      <c r="AF1524" s="154">
        <v>0</v>
      </c>
    </row>
    <row r="1525" spans="1:32" ht="15">
      <c r="A1525" s="176">
        <v>1525</v>
      </c>
      <c r="B1525" s="145"/>
      <c r="C1525" s="145" t="s">
        <v>1774</v>
      </c>
      <c r="D1525" s="176">
        <v>46068</v>
      </c>
      <c r="E1525" s="145">
        <v>1</v>
      </c>
      <c r="F1525" s="145">
        <v>1</v>
      </c>
      <c r="G1525" s="145"/>
      <c r="H1525" s="145"/>
      <c r="I1525" s="145"/>
      <c r="J1525" s="145"/>
      <c r="K1525" s="145"/>
      <c r="L1525" s="145"/>
      <c r="M1525" s="145"/>
      <c r="N1525" s="145"/>
      <c r="O1525" s="174"/>
      <c r="P1525" s="174"/>
      <c r="Q1525" s="177">
        <v>46069.333556238431</v>
      </c>
      <c r="R1525" s="158" t="str">
        <v/>
      </c>
      <c r="S1525" s="158" t="str">
        <v/>
      </c>
      <c r="T1525" s="158" t="str">
        <v/>
      </c>
      <c r="U1525" s="158" t="str">
        <v/>
      </c>
      <c r="V1525" s="158" t="str">
        <v/>
      </c>
      <c r="W1525" s="158" t="str">
        <v/>
      </c>
      <c r="X1525" s="158" t="str">
        <v/>
      </c>
      <c r="Y1525" s="158" t="str">
        <v/>
      </c>
      <c r="Z1525" s="158" t="str">
        <v/>
      </c>
      <c r="AA1525" s="158" t="e">
        <v>#VALUE!</v>
      </c>
      <c r="AB1525" s="171">
        <v>0.01</v>
      </c>
      <c r="AC1525" s="158" t="e">
        <v>#VALUE!</v>
      </c>
      <c r="AD1525" s="173" t="str">
        <f ca="1">IFERROR(__xludf.DUMMYFUNCTION("""COMPUTED_VALUE"""),"1904-03")</f>
        <v>1904-03</v>
      </c>
      <c r="AE1525" s="154">
        <v>0</v>
      </c>
      <c r="AF1525" s="154">
        <v>0</v>
      </c>
    </row>
    <row r="1526" spans="1:32" ht="15">
      <c r="A1526" s="176">
        <v>1526</v>
      </c>
      <c r="B1526" s="145">
        <v>11</v>
      </c>
      <c r="C1526" s="145" t="s">
        <v>115</v>
      </c>
      <c r="D1526" s="176">
        <v>46070</v>
      </c>
      <c r="E1526" s="145">
        <v>1</v>
      </c>
      <c r="F1526" s="145"/>
      <c r="G1526" s="145"/>
      <c r="H1526" s="145"/>
      <c r="I1526" s="145"/>
      <c r="J1526" s="145"/>
      <c r="K1526" s="145"/>
      <c r="L1526" s="145">
        <v>1</v>
      </c>
      <c r="M1526" s="145"/>
      <c r="N1526" s="145"/>
      <c r="O1526" s="174"/>
      <c r="P1526" s="174"/>
      <c r="Q1526" s="177">
        <v>46072.242531354168</v>
      </c>
      <c r="R1526" s="158" t="str">
        <v/>
      </c>
      <c r="S1526" s="158" t="str">
        <v/>
      </c>
      <c r="T1526" s="158" t="str">
        <v/>
      </c>
      <c r="U1526" s="158" t="str">
        <v/>
      </c>
      <c r="V1526" s="158">
        <v>197000</v>
      </c>
      <c r="W1526" s="158" t="str">
        <v/>
      </c>
      <c r="X1526" s="158" t="str">
        <v/>
      </c>
      <c r="Y1526" s="158" t="str">
        <v/>
      </c>
      <c r="Z1526" s="158" t="str">
        <v/>
      </c>
      <c r="AA1526" s="158" t="e">
        <v>#VALUE!</v>
      </c>
      <c r="AB1526" s="171">
        <v>0.01</v>
      </c>
      <c r="AC1526" s="158" t="e">
        <v>#VALUE!</v>
      </c>
      <c r="AD1526" s="173" t="str">
        <f ca="1">IFERROR(__xludf.DUMMYFUNCTION("""COMPUTED_VALUE"""),"1904-03")</f>
        <v>1904-03</v>
      </c>
      <c r="AE1526" s="154">
        <v>0</v>
      </c>
      <c r="AF1526" s="154">
        <v>0</v>
      </c>
    </row>
    <row r="1527" spans="1:32" ht="15">
      <c r="A1527" s="176">
        <v>1527</v>
      </c>
      <c r="B1527" s="145">
        <v>11</v>
      </c>
      <c r="C1527" s="145" t="s">
        <v>115</v>
      </c>
      <c r="D1527" s="176">
        <v>46070</v>
      </c>
      <c r="E1527" s="145">
        <v>1</v>
      </c>
      <c r="F1527" s="145"/>
      <c r="G1527" s="145"/>
      <c r="H1527" s="145"/>
      <c r="I1527" s="145"/>
      <c r="J1527" s="145"/>
      <c r="K1527" s="145"/>
      <c r="L1527" s="145">
        <v>1</v>
      </c>
      <c r="M1527" s="145"/>
      <c r="N1527" s="145"/>
      <c r="O1527" s="174"/>
      <c r="P1527" s="174"/>
      <c r="Q1527" s="177">
        <v>46072.242589548609</v>
      </c>
      <c r="R1527" s="158" t="str">
        <v/>
      </c>
      <c r="S1527" s="158" t="str">
        <v/>
      </c>
      <c r="T1527" s="158" t="str">
        <v/>
      </c>
      <c r="U1527" s="158" t="str">
        <v/>
      </c>
      <c r="V1527" s="158">
        <v>197000</v>
      </c>
      <c r="W1527" s="158" t="str">
        <v/>
      </c>
      <c r="X1527" s="158" t="str">
        <v/>
      </c>
      <c r="Y1527" s="158" t="str">
        <v/>
      </c>
      <c r="Z1527" s="158" t="str">
        <v/>
      </c>
      <c r="AA1527" s="158" t="e">
        <v>#VALUE!</v>
      </c>
      <c r="AB1527" s="171">
        <v>0.01</v>
      </c>
      <c r="AC1527" s="158" t="e">
        <v>#VALUE!</v>
      </c>
      <c r="AD1527" s="173" t="str">
        <f ca="1">IFERROR(__xludf.DUMMYFUNCTION("""COMPUTED_VALUE"""),"1904-03")</f>
        <v>1904-03</v>
      </c>
      <c r="AE1527" s="154">
        <v>0</v>
      </c>
      <c r="AF1527" s="154">
        <v>0</v>
      </c>
    </row>
    <row r="1528" spans="1:32" ht="15">
      <c r="A1528" s="176">
        <v>1528</v>
      </c>
      <c r="B1528" s="145">
        <v>11</v>
      </c>
      <c r="C1528" s="145" t="s">
        <v>115</v>
      </c>
      <c r="D1528" s="176">
        <v>46070</v>
      </c>
      <c r="E1528" s="145">
        <v>1</v>
      </c>
      <c r="F1528" s="145"/>
      <c r="G1528" s="145"/>
      <c r="H1528" s="145"/>
      <c r="I1528" s="145"/>
      <c r="J1528" s="145"/>
      <c r="K1528" s="145"/>
      <c r="L1528" s="145">
        <v>1</v>
      </c>
      <c r="M1528" s="145"/>
      <c r="N1528" s="145"/>
      <c r="O1528" s="174"/>
      <c r="P1528" s="174"/>
      <c r="Q1528" s="177">
        <v>46072.242670810185</v>
      </c>
      <c r="R1528" s="158" t="str">
        <v/>
      </c>
      <c r="S1528" s="158" t="str">
        <v/>
      </c>
      <c r="T1528" s="158" t="str">
        <v/>
      </c>
      <c r="U1528" s="158" t="str">
        <v/>
      </c>
      <c r="V1528" s="158">
        <v>197000</v>
      </c>
      <c r="W1528" s="158" t="str">
        <v/>
      </c>
      <c r="X1528" s="158" t="str">
        <v/>
      </c>
      <c r="Y1528" s="158" t="str">
        <v/>
      </c>
      <c r="Z1528" s="158" t="str">
        <v/>
      </c>
      <c r="AA1528" s="158" t="e">
        <v>#VALUE!</v>
      </c>
      <c r="AB1528" s="171">
        <v>0.01</v>
      </c>
      <c r="AC1528" s="158" t="e">
        <v>#VALUE!</v>
      </c>
      <c r="AD1528" s="173" t="str">
        <f ca="1">IFERROR(__xludf.DUMMYFUNCTION("""COMPUTED_VALUE"""),"1904-03")</f>
        <v>1904-03</v>
      </c>
      <c r="AE1528" s="154">
        <v>0</v>
      </c>
      <c r="AF1528" s="154">
        <v>0</v>
      </c>
    </row>
    <row r="1529" spans="1:32" ht="15">
      <c r="A1529" s="176">
        <v>1529</v>
      </c>
      <c r="B1529" s="145">
        <v>11</v>
      </c>
      <c r="C1529" s="145" t="s">
        <v>115</v>
      </c>
      <c r="D1529" s="176">
        <v>46070</v>
      </c>
      <c r="E1529" s="145">
        <v>1</v>
      </c>
      <c r="F1529" s="145"/>
      <c r="G1529" s="145"/>
      <c r="H1529" s="145"/>
      <c r="I1529" s="145"/>
      <c r="J1529" s="145"/>
      <c r="K1529" s="145"/>
      <c r="L1529" s="145">
        <v>1</v>
      </c>
      <c r="M1529" s="145"/>
      <c r="N1529" s="145"/>
      <c r="O1529" s="174"/>
      <c r="P1529" s="174"/>
      <c r="Q1529" s="177">
        <v>46072.242756747684</v>
      </c>
      <c r="R1529" s="158" t="str">
        <v/>
      </c>
      <c r="S1529" s="158" t="str">
        <v/>
      </c>
      <c r="T1529" s="158" t="str">
        <v/>
      </c>
      <c r="U1529" s="158" t="str">
        <v/>
      </c>
      <c r="V1529" s="158">
        <v>197000</v>
      </c>
      <c r="W1529" s="158" t="str">
        <v/>
      </c>
      <c r="X1529" s="158" t="str">
        <v/>
      </c>
      <c r="Y1529" s="158" t="str">
        <v/>
      </c>
      <c r="Z1529" s="158" t="str">
        <v/>
      </c>
      <c r="AA1529" s="158" t="e">
        <v>#VALUE!</v>
      </c>
      <c r="AB1529" s="171">
        <v>0.01</v>
      </c>
      <c r="AC1529" s="158" t="e">
        <v>#VALUE!</v>
      </c>
      <c r="AD1529" s="173" t="str">
        <f ca="1">IFERROR(__xludf.DUMMYFUNCTION("""COMPUTED_VALUE"""),"1904-03")</f>
        <v>1904-03</v>
      </c>
      <c r="AE1529" s="154">
        <v>0</v>
      </c>
      <c r="AF1529" s="154">
        <v>0</v>
      </c>
    </row>
    <row r="1530" spans="1:32" ht="15">
      <c r="A1530" s="176">
        <v>1530</v>
      </c>
      <c r="B1530" s="145">
        <v>11</v>
      </c>
      <c r="C1530" s="145" t="s">
        <v>115</v>
      </c>
      <c r="D1530" s="176">
        <v>46070</v>
      </c>
      <c r="E1530" s="145">
        <v>1</v>
      </c>
      <c r="F1530" s="145"/>
      <c r="G1530" s="145"/>
      <c r="H1530" s="145"/>
      <c r="I1530" s="145"/>
      <c r="J1530" s="145"/>
      <c r="K1530" s="145"/>
      <c r="L1530" s="145">
        <v>1</v>
      </c>
      <c r="M1530" s="145"/>
      <c r="N1530" s="145"/>
      <c r="O1530" s="174"/>
      <c r="P1530" s="174"/>
      <c r="Q1530" s="177">
        <v>46072.242927638887</v>
      </c>
      <c r="R1530" s="158" t="str">
        <v/>
      </c>
      <c r="S1530" s="158" t="str">
        <v/>
      </c>
      <c r="T1530" s="158" t="str">
        <v/>
      </c>
      <c r="U1530" s="158" t="str">
        <v/>
      </c>
      <c r="V1530" s="158">
        <v>197000</v>
      </c>
      <c r="W1530" s="158" t="str">
        <v/>
      </c>
      <c r="X1530" s="158" t="str">
        <v/>
      </c>
      <c r="Y1530" s="158" t="str">
        <v/>
      </c>
      <c r="Z1530" s="158" t="str">
        <v/>
      </c>
      <c r="AA1530" s="158" t="e">
        <v>#VALUE!</v>
      </c>
      <c r="AB1530" s="171">
        <v>0.01</v>
      </c>
      <c r="AC1530" s="158" t="e">
        <v>#VALUE!</v>
      </c>
      <c r="AD1530" s="173" t="str">
        <f ca="1">IFERROR(__xludf.DUMMYFUNCTION("""COMPUTED_VALUE"""),"1904-03")</f>
        <v>1904-03</v>
      </c>
      <c r="AE1530" s="154">
        <v>0</v>
      </c>
      <c r="AF1530" s="154">
        <v>0</v>
      </c>
    </row>
    <row r="1531" spans="1:32" ht="15">
      <c r="A1531" s="176">
        <v>1531</v>
      </c>
      <c r="B1531" s="145">
        <v>11</v>
      </c>
      <c r="C1531" s="145" t="s">
        <v>115</v>
      </c>
      <c r="D1531" s="176">
        <v>46070</v>
      </c>
      <c r="E1531" s="145">
        <v>1</v>
      </c>
      <c r="F1531" s="145"/>
      <c r="G1531" s="145"/>
      <c r="H1531" s="145"/>
      <c r="I1531" s="145"/>
      <c r="J1531" s="145"/>
      <c r="K1531" s="145"/>
      <c r="L1531" s="145">
        <v>1</v>
      </c>
      <c r="M1531" s="145"/>
      <c r="N1531" s="145"/>
      <c r="O1531" s="174"/>
      <c r="P1531" s="174"/>
      <c r="Q1531" s="177">
        <v>46072.243180324076</v>
      </c>
      <c r="R1531" s="158" t="str">
        <v/>
      </c>
      <c r="S1531" s="158" t="str">
        <v/>
      </c>
      <c r="T1531" s="158" t="str">
        <v/>
      </c>
      <c r="U1531" s="158" t="str">
        <v/>
      </c>
      <c r="V1531" s="158">
        <v>197000</v>
      </c>
      <c r="W1531" s="158" t="str">
        <v/>
      </c>
      <c r="X1531" s="158" t="str">
        <v/>
      </c>
      <c r="Y1531" s="158" t="str">
        <v/>
      </c>
      <c r="Z1531" s="158" t="str">
        <v/>
      </c>
      <c r="AA1531" s="158" t="e">
        <v>#VALUE!</v>
      </c>
      <c r="AB1531" s="171">
        <v>0.01</v>
      </c>
      <c r="AC1531" s="158" t="e">
        <v>#VALUE!</v>
      </c>
      <c r="AD1531" s="173" t="str">
        <f ca="1">IFERROR(__xludf.DUMMYFUNCTION("""COMPUTED_VALUE"""),"1904-03")</f>
        <v>1904-03</v>
      </c>
      <c r="AE1531" s="154">
        <v>0</v>
      </c>
      <c r="AF1531" s="154">
        <v>0</v>
      </c>
    </row>
    <row r="1532" spans="1:32" ht="15">
      <c r="A1532" s="176">
        <v>1532</v>
      </c>
      <c r="B1532" s="145">
        <v>11</v>
      </c>
      <c r="C1532" s="145" t="s">
        <v>115</v>
      </c>
      <c r="D1532" s="176">
        <v>46070</v>
      </c>
      <c r="E1532" s="145">
        <v>1</v>
      </c>
      <c r="F1532" s="145"/>
      <c r="G1532" s="145"/>
      <c r="H1532" s="145"/>
      <c r="I1532" s="145"/>
      <c r="J1532" s="145"/>
      <c r="K1532" s="145"/>
      <c r="L1532" s="145">
        <v>1</v>
      </c>
      <c r="M1532" s="145"/>
      <c r="N1532" s="145"/>
      <c r="O1532" s="174"/>
      <c r="P1532" s="174"/>
      <c r="Q1532" s="177">
        <v>46072.243594282409</v>
      </c>
      <c r="R1532" s="158" t="str">
        <v/>
      </c>
      <c r="S1532" s="158" t="str">
        <v/>
      </c>
      <c r="T1532" s="158" t="str">
        <v/>
      </c>
      <c r="U1532" s="158" t="str">
        <v/>
      </c>
      <c r="V1532" s="158">
        <v>197000</v>
      </c>
      <c r="W1532" s="158" t="str">
        <v/>
      </c>
      <c r="X1532" s="158" t="str">
        <v/>
      </c>
      <c r="Y1532" s="158" t="str">
        <v/>
      </c>
      <c r="Z1532" s="158" t="str">
        <v/>
      </c>
      <c r="AA1532" s="158" t="e">
        <v>#VALUE!</v>
      </c>
      <c r="AB1532" s="171">
        <v>0.01</v>
      </c>
      <c r="AC1532" s="158" t="e">
        <v>#VALUE!</v>
      </c>
      <c r="AD1532" s="173" t="str">
        <f ca="1">IFERROR(__xludf.DUMMYFUNCTION("""COMPUTED_VALUE"""),"1904-03")</f>
        <v>1904-03</v>
      </c>
      <c r="AE1532" s="154">
        <v>0</v>
      </c>
      <c r="AF1532" s="154">
        <v>0</v>
      </c>
    </row>
    <row r="1533" spans="1:32" ht="15">
      <c r="A1533" s="176">
        <v>1533</v>
      </c>
      <c r="B1533" s="145">
        <v>11</v>
      </c>
      <c r="C1533" s="145" t="s">
        <v>115</v>
      </c>
      <c r="D1533" s="176">
        <v>46070</v>
      </c>
      <c r="E1533" s="145">
        <v>1</v>
      </c>
      <c r="F1533" s="145"/>
      <c r="G1533" s="145"/>
      <c r="H1533" s="145"/>
      <c r="I1533" s="145"/>
      <c r="J1533" s="145"/>
      <c r="K1533" s="145"/>
      <c r="L1533" s="145">
        <v>1</v>
      </c>
      <c r="M1533" s="145"/>
      <c r="N1533" s="145"/>
      <c r="O1533" s="174"/>
      <c r="P1533" s="174"/>
      <c r="Q1533" s="177">
        <v>46072.244404930556</v>
      </c>
      <c r="R1533" s="158" t="str">
        <v/>
      </c>
      <c r="S1533" s="158" t="str">
        <v/>
      </c>
      <c r="T1533" s="158" t="str">
        <v/>
      </c>
      <c r="U1533" s="158" t="str">
        <v/>
      </c>
      <c r="V1533" s="158">
        <v>197000</v>
      </c>
      <c r="W1533" s="158" t="str">
        <v/>
      </c>
      <c r="X1533" s="158" t="str">
        <v/>
      </c>
      <c r="Y1533" s="158" t="str">
        <v/>
      </c>
      <c r="Z1533" s="158" t="str">
        <v/>
      </c>
      <c r="AA1533" s="158" t="e">
        <v>#VALUE!</v>
      </c>
      <c r="AB1533" s="171">
        <v>0.01</v>
      </c>
      <c r="AC1533" s="158" t="e">
        <v>#VALUE!</v>
      </c>
      <c r="AD1533" s="173" t="str">
        <f ca="1">IFERROR(__xludf.DUMMYFUNCTION("""COMPUTED_VALUE"""),"1904-03")</f>
        <v>1904-03</v>
      </c>
      <c r="AE1533" s="154">
        <v>0</v>
      </c>
      <c r="AF1533" s="154">
        <v>0</v>
      </c>
    </row>
    <row r="1534" spans="1:32" ht="15">
      <c r="A1534" s="176">
        <v>1534</v>
      </c>
      <c r="B1534" s="145">
        <v>11</v>
      </c>
      <c r="C1534" s="145" t="s">
        <v>115</v>
      </c>
      <c r="D1534" s="176">
        <v>46070</v>
      </c>
      <c r="E1534" s="145">
        <v>1</v>
      </c>
      <c r="F1534" s="145"/>
      <c r="G1534" s="145"/>
      <c r="H1534" s="145"/>
      <c r="I1534" s="145"/>
      <c r="J1534" s="145"/>
      <c r="K1534" s="145"/>
      <c r="L1534" s="145">
        <v>1</v>
      </c>
      <c r="M1534" s="145"/>
      <c r="N1534" s="145"/>
      <c r="O1534" s="174"/>
      <c r="P1534" s="174"/>
      <c r="Q1534" s="177">
        <v>46072.245431539355</v>
      </c>
      <c r="R1534" s="158" t="str">
        <v/>
      </c>
      <c r="S1534" s="158" t="str">
        <v/>
      </c>
      <c r="T1534" s="158" t="str">
        <v/>
      </c>
      <c r="U1534" s="158" t="str">
        <v/>
      </c>
      <c r="V1534" s="158">
        <v>197000</v>
      </c>
      <c r="W1534" s="158" t="str">
        <v/>
      </c>
      <c r="X1534" s="158" t="str">
        <v/>
      </c>
      <c r="Y1534" s="158" t="str">
        <v/>
      </c>
      <c r="Z1534" s="158" t="str">
        <v/>
      </c>
      <c r="AA1534" s="158" t="e">
        <v>#VALUE!</v>
      </c>
      <c r="AB1534" s="171">
        <v>0.01</v>
      </c>
      <c r="AC1534" s="158" t="e">
        <v>#VALUE!</v>
      </c>
      <c r="AD1534" s="173" t="str">
        <f ca="1">IFERROR(__xludf.DUMMYFUNCTION("""COMPUTED_VALUE"""),"1904-03")</f>
        <v>1904-03</v>
      </c>
      <c r="AE1534" s="154">
        <v>0</v>
      </c>
      <c r="AF1534" s="154">
        <v>0</v>
      </c>
    </row>
    <row r="1535" spans="1:32" ht="15">
      <c r="A1535" s="176">
        <v>1535</v>
      </c>
      <c r="B1535" s="145">
        <v>11</v>
      </c>
      <c r="C1535" s="145" t="s">
        <v>115</v>
      </c>
      <c r="D1535" s="176">
        <v>46070</v>
      </c>
      <c r="E1535" s="145">
        <v>1</v>
      </c>
      <c r="F1535" s="145"/>
      <c r="G1535" s="145"/>
      <c r="H1535" s="145"/>
      <c r="I1535" s="145"/>
      <c r="J1535" s="145"/>
      <c r="K1535" s="145"/>
      <c r="L1535" s="145">
        <v>1</v>
      </c>
      <c r="M1535" s="145"/>
      <c r="N1535" s="145"/>
      <c r="O1535" s="174"/>
      <c r="P1535" s="174"/>
      <c r="Q1535" s="177">
        <v>46072.246374768518</v>
      </c>
      <c r="R1535" s="158" t="str">
        <v/>
      </c>
      <c r="S1535" s="158" t="str">
        <v/>
      </c>
      <c r="T1535" s="158" t="str">
        <v/>
      </c>
      <c r="U1535" s="158" t="str">
        <v/>
      </c>
      <c r="V1535" s="158">
        <v>197000</v>
      </c>
      <c r="W1535" s="158" t="str">
        <v/>
      </c>
      <c r="X1535" s="158" t="str">
        <v/>
      </c>
      <c r="Y1535" s="158" t="str">
        <v/>
      </c>
      <c r="Z1535" s="158" t="str">
        <v/>
      </c>
      <c r="AA1535" s="158" t="e">
        <v>#VALUE!</v>
      </c>
      <c r="AB1535" s="171">
        <v>0.01</v>
      </c>
      <c r="AC1535" s="158" t="e">
        <v>#VALUE!</v>
      </c>
      <c r="AD1535" s="173" t="str">
        <f ca="1">IFERROR(__xludf.DUMMYFUNCTION("""COMPUTED_VALUE"""),"1904-03")</f>
        <v>1904-03</v>
      </c>
      <c r="AE1535" s="154">
        <v>0</v>
      </c>
      <c r="AF1535" s="154">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999"/>
  <sheetViews>
    <sheetView workbookViewId="0"/>
  </sheetViews>
  <sheetFormatPr defaultColWidth="12.5703125" defaultRowHeight="15.75" customHeight="1"/>
  <cols>
    <col min="1" max="1" width="20.140625" customWidth="1"/>
    <col min="2" max="2" width="28.7109375" customWidth="1"/>
    <col min="3" max="3" width="17.7109375" customWidth="1"/>
    <col min="4" max="4" width="53.140625" customWidth="1"/>
  </cols>
  <sheetData>
    <row r="1" spans="1:27">
      <c r="A1" s="145" t="s">
        <v>12911</v>
      </c>
      <c r="B1" s="145" t="s">
        <v>12912</v>
      </c>
      <c r="C1" s="145" t="s">
        <v>24</v>
      </c>
      <c r="D1" s="145" t="s">
        <v>25</v>
      </c>
      <c r="E1" s="145" t="s">
        <v>30</v>
      </c>
      <c r="F1" s="154"/>
      <c r="G1" s="154"/>
      <c r="H1" s="154"/>
      <c r="I1" s="154"/>
      <c r="J1" s="154"/>
      <c r="K1" s="154"/>
      <c r="L1" s="154"/>
      <c r="M1" s="154"/>
      <c r="N1" s="154"/>
      <c r="O1" s="154"/>
      <c r="P1" s="154"/>
      <c r="Q1" s="154"/>
      <c r="R1" s="154"/>
      <c r="S1" s="154"/>
      <c r="T1" s="154"/>
      <c r="U1" s="154"/>
      <c r="V1" s="154"/>
      <c r="W1" s="154"/>
      <c r="X1" s="154"/>
      <c r="Y1" s="154"/>
      <c r="Z1" s="154"/>
      <c r="AA1" s="154"/>
    </row>
    <row r="2" spans="1:27">
      <c r="A2" s="145">
        <v>569094022964012</v>
      </c>
      <c r="B2" s="145" t="s">
        <v>12913</v>
      </c>
      <c r="C2" s="145" t="s">
        <v>10651</v>
      </c>
      <c r="D2" s="154" t="str">
        <f t="shared" ref="D2:D22" si="0">CONCATENATE(B2,"-",C2, "-",A2)</f>
        <v>Promo UMKM Bersama-R10-569094022964012</v>
      </c>
      <c r="E2" s="145" t="s">
        <v>12783</v>
      </c>
      <c r="F2" s="154"/>
      <c r="G2" s="154"/>
      <c r="H2" s="154"/>
      <c r="I2" s="154"/>
      <c r="J2" s="154"/>
      <c r="K2" s="154"/>
      <c r="L2" s="154"/>
      <c r="M2" s="154"/>
      <c r="N2" s="154"/>
      <c r="O2" s="154"/>
      <c r="P2" s="154"/>
      <c r="Q2" s="154"/>
      <c r="R2" s="154"/>
      <c r="S2" s="154"/>
      <c r="T2" s="154"/>
      <c r="U2" s="154"/>
      <c r="V2" s="154"/>
      <c r="W2" s="154"/>
      <c r="X2" s="154"/>
      <c r="Y2" s="154"/>
      <c r="Z2" s="154"/>
      <c r="AA2" s="154"/>
    </row>
    <row r="3" spans="1:27">
      <c r="A3" s="145">
        <v>581334451725831</v>
      </c>
      <c r="B3" s="145" t="s">
        <v>12914</v>
      </c>
      <c r="C3" s="145" t="s">
        <v>10651</v>
      </c>
      <c r="D3" s="154" t="str">
        <f t="shared" si="0"/>
        <v>Lembaga Edukasi Pilihan Anda-R10-581334451725831</v>
      </c>
      <c r="E3" s="145" t="s">
        <v>12786</v>
      </c>
      <c r="F3" s="154"/>
      <c r="G3" s="154"/>
      <c r="H3" s="154"/>
      <c r="I3" s="154"/>
      <c r="J3" s="154"/>
      <c r="K3" s="154"/>
      <c r="L3" s="154"/>
      <c r="M3" s="154"/>
      <c r="N3" s="154"/>
      <c r="O3" s="154"/>
      <c r="P3" s="154"/>
      <c r="Q3" s="154"/>
      <c r="R3" s="154"/>
      <c r="S3" s="154"/>
      <c r="T3" s="154"/>
      <c r="U3" s="154"/>
      <c r="V3" s="154"/>
      <c r="W3" s="154"/>
      <c r="X3" s="154"/>
      <c r="Y3" s="154"/>
      <c r="Z3" s="154"/>
      <c r="AA3" s="154"/>
    </row>
    <row r="4" spans="1:27">
      <c r="A4" s="145">
        <v>576779842182895</v>
      </c>
      <c r="B4" s="178" t="s">
        <v>11483</v>
      </c>
      <c r="C4" s="145" t="s">
        <v>10651</v>
      </c>
      <c r="D4" s="154" t="str">
        <f t="shared" si="0"/>
        <v>Griya Sehat-R10-576779842182895</v>
      </c>
      <c r="E4" s="145" t="s">
        <v>1711</v>
      </c>
      <c r="F4" s="154"/>
      <c r="G4" s="154"/>
      <c r="H4" s="154"/>
      <c r="I4" s="154"/>
      <c r="J4" s="154"/>
      <c r="K4" s="154"/>
      <c r="L4" s="154"/>
      <c r="M4" s="154"/>
      <c r="N4" s="154"/>
      <c r="O4" s="154"/>
      <c r="P4" s="154"/>
      <c r="Q4" s="154"/>
      <c r="R4" s="154"/>
      <c r="S4" s="154"/>
      <c r="T4" s="154"/>
      <c r="U4" s="154"/>
      <c r="V4" s="154"/>
      <c r="W4" s="154"/>
      <c r="X4" s="154"/>
      <c r="Y4" s="154"/>
      <c r="Z4" s="154"/>
      <c r="AA4" s="154"/>
    </row>
    <row r="5" spans="1:27">
      <c r="A5" s="145">
        <v>532820886584415</v>
      </c>
      <c r="B5" s="145" t="s">
        <v>12915</v>
      </c>
      <c r="C5" s="145" t="s">
        <v>10651</v>
      </c>
      <c r="D5" s="154" t="str">
        <f t="shared" si="0"/>
        <v>Jasa Iklan Usaha UMKM-R10-532820886584415</v>
      </c>
      <c r="E5" s="145" t="s">
        <v>12783</v>
      </c>
      <c r="F5" s="154"/>
      <c r="G5" s="154"/>
      <c r="H5" s="154"/>
      <c r="I5" s="154"/>
      <c r="J5" s="154"/>
      <c r="K5" s="154"/>
      <c r="L5" s="154"/>
      <c r="M5" s="154"/>
      <c r="N5" s="154"/>
      <c r="O5" s="154"/>
      <c r="P5" s="154"/>
      <c r="Q5" s="154"/>
      <c r="R5" s="154"/>
      <c r="S5" s="154"/>
      <c r="T5" s="154"/>
      <c r="U5" s="154"/>
      <c r="V5" s="154"/>
      <c r="W5" s="154"/>
      <c r="X5" s="154"/>
      <c r="Y5" s="154"/>
      <c r="Z5" s="154"/>
      <c r="AA5" s="154"/>
    </row>
    <row r="6" spans="1:27">
      <c r="A6" s="145">
        <v>476331375569214</v>
      </c>
      <c r="B6" s="145" t="s">
        <v>12916</v>
      </c>
      <c r="C6" s="145" t="s">
        <v>10651</v>
      </c>
      <c r="D6" s="154" t="str">
        <f t="shared" si="0"/>
        <v>Jasa Otomotif Terdekat-R10-476331375569214</v>
      </c>
      <c r="E6" s="145" t="s">
        <v>4481</v>
      </c>
      <c r="F6" s="154"/>
      <c r="G6" s="154"/>
      <c r="H6" s="154"/>
      <c r="I6" s="154"/>
      <c r="J6" s="154"/>
      <c r="K6" s="154"/>
      <c r="L6" s="154"/>
      <c r="M6" s="154"/>
      <c r="N6" s="154"/>
      <c r="O6" s="154"/>
      <c r="P6" s="154"/>
      <c r="Q6" s="154"/>
      <c r="R6" s="154"/>
      <c r="S6" s="154"/>
      <c r="T6" s="154"/>
      <c r="U6" s="154"/>
      <c r="V6" s="154"/>
      <c r="W6" s="154"/>
      <c r="X6" s="154"/>
      <c r="Y6" s="154"/>
      <c r="Z6" s="154"/>
      <c r="AA6" s="154"/>
    </row>
    <row r="7" spans="1:27" ht="15.75" customHeight="1">
      <c r="A7" s="145">
        <v>514784225046611</v>
      </c>
      <c r="B7" s="179" t="s">
        <v>12917</v>
      </c>
      <c r="C7" s="145" t="s">
        <v>10651</v>
      </c>
      <c r="D7" s="154" t="str">
        <f t="shared" si="0"/>
        <v>Jasa Interior dan Exterior Terdekat-R10-514784225046611</v>
      </c>
      <c r="E7" s="145" t="s">
        <v>409</v>
      </c>
      <c r="F7" s="154"/>
      <c r="G7" s="154"/>
      <c r="H7" s="154"/>
      <c r="I7" s="154"/>
      <c r="J7" s="154"/>
      <c r="K7" s="154"/>
      <c r="L7" s="154"/>
      <c r="M7" s="154"/>
      <c r="N7" s="154"/>
      <c r="O7" s="154"/>
      <c r="P7" s="154"/>
      <c r="Q7" s="154"/>
      <c r="R7" s="154"/>
      <c r="S7" s="154"/>
      <c r="T7" s="154"/>
      <c r="U7" s="154"/>
      <c r="V7" s="154"/>
      <c r="W7" s="154"/>
      <c r="X7" s="154"/>
      <c r="Y7" s="154"/>
      <c r="Z7" s="154"/>
      <c r="AA7" s="154"/>
    </row>
    <row r="8" spans="1:27" ht="15.75" customHeight="1">
      <c r="A8" s="145">
        <v>472416665961142</v>
      </c>
      <c r="B8" s="179" t="s">
        <v>12918</v>
      </c>
      <c r="C8" s="145" t="s">
        <v>10651</v>
      </c>
      <c r="D8" s="154" t="str">
        <f t="shared" si="0"/>
        <v>Jasa Advertising UMKM-R10-472416665961142</v>
      </c>
      <c r="E8" s="145" t="s">
        <v>12783</v>
      </c>
      <c r="F8" s="154"/>
      <c r="G8" s="154"/>
      <c r="H8" s="154"/>
      <c r="I8" s="154"/>
      <c r="J8" s="154"/>
      <c r="K8" s="154"/>
      <c r="L8" s="154"/>
      <c r="M8" s="154"/>
      <c r="N8" s="154"/>
      <c r="O8" s="154"/>
      <c r="P8" s="154"/>
      <c r="Q8" s="154"/>
      <c r="R8" s="154"/>
      <c r="S8" s="154"/>
      <c r="T8" s="154"/>
      <c r="U8" s="154"/>
      <c r="V8" s="154"/>
      <c r="W8" s="154"/>
      <c r="X8" s="154"/>
      <c r="Y8" s="154"/>
      <c r="Z8" s="154"/>
      <c r="AA8" s="154"/>
    </row>
    <row r="9" spans="1:27">
      <c r="A9" s="145">
        <v>512508301939019</v>
      </c>
      <c r="B9" s="145" t="s">
        <v>12919</v>
      </c>
      <c r="C9" s="145" t="s">
        <v>10651</v>
      </c>
      <c r="D9" s="154" t="str">
        <f t="shared" si="0"/>
        <v>Jasa Home Cleaning-R10-512508301939019</v>
      </c>
      <c r="E9" s="145" t="s">
        <v>12787</v>
      </c>
      <c r="F9" s="154"/>
      <c r="G9" s="154"/>
      <c r="H9" s="154"/>
      <c r="I9" s="154"/>
      <c r="J9" s="154"/>
      <c r="K9" s="154"/>
      <c r="L9" s="154"/>
      <c r="M9" s="154"/>
      <c r="N9" s="154"/>
      <c r="O9" s="154"/>
      <c r="P9" s="154"/>
      <c r="Q9" s="154"/>
      <c r="R9" s="154"/>
      <c r="S9" s="154"/>
      <c r="T9" s="154"/>
      <c r="U9" s="154"/>
      <c r="V9" s="154"/>
      <c r="W9" s="154"/>
      <c r="X9" s="154"/>
      <c r="Y9" s="154"/>
      <c r="Z9" s="154"/>
      <c r="AA9" s="154"/>
    </row>
    <row r="10" spans="1:27">
      <c r="A10" s="145">
        <v>522032024316690</v>
      </c>
      <c r="B10" s="145" t="s">
        <v>12920</v>
      </c>
      <c r="C10" s="145" t="s">
        <v>10651</v>
      </c>
      <c r="D10" s="154" t="str">
        <f t="shared" si="0"/>
        <v>Jasa Service AC Terdekat-R10-522032024316690</v>
      </c>
      <c r="E10" s="145" t="s">
        <v>12921</v>
      </c>
      <c r="F10" s="154"/>
      <c r="G10" s="154"/>
      <c r="H10" s="154"/>
      <c r="I10" s="154"/>
      <c r="J10" s="154"/>
      <c r="K10" s="154"/>
      <c r="L10" s="154"/>
      <c r="M10" s="154"/>
      <c r="N10" s="154"/>
      <c r="O10" s="154"/>
      <c r="P10" s="154"/>
      <c r="Q10" s="154"/>
      <c r="R10" s="154"/>
      <c r="S10" s="154"/>
      <c r="T10" s="154"/>
      <c r="U10" s="154"/>
      <c r="V10" s="154"/>
      <c r="W10" s="154"/>
      <c r="X10" s="154"/>
      <c r="Y10" s="154"/>
      <c r="Z10" s="154"/>
      <c r="AA10" s="154"/>
    </row>
    <row r="11" spans="1:27">
      <c r="A11" s="145">
        <v>685883047935688</v>
      </c>
      <c r="B11" s="145" t="s">
        <v>12922</v>
      </c>
      <c r="C11" s="145" t="s">
        <v>10621</v>
      </c>
      <c r="D11" s="154" t="str">
        <f t="shared" si="0"/>
        <v>Forum Edukasi-R11-685883047935688</v>
      </c>
      <c r="E11" s="145" t="s">
        <v>12786</v>
      </c>
      <c r="F11" s="154"/>
      <c r="G11" s="154"/>
      <c r="H11" s="154"/>
      <c r="I11" s="154"/>
      <c r="J11" s="154"/>
      <c r="K11" s="154"/>
      <c r="L11" s="154"/>
      <c r="M11" s="154"/>
      <c r="N11" s="154"/>
      <c r="O11" s="154"/>
      <c r="P11" s="154"/>
      <c r="Q11" s="154"/>
      <c r="R11" s="154"/>
      <c r="S11" s="154"/>
      <c r="T11" s="154"/>
      <c r="U11" s="154"/>
      <c r="V11" s="154"/>
      <c r="W11" s="154"/>
      <c r="X11" s="154"/>
      <c r="Y11" s="154"/>
      <c r="Z11" s="154"/>
      <c r="AA11" s="154"/>
    </row>
    <row r="12" spans="1:27">
      <c r="A12" s="145">
        <v>667346859796665</v>
      </c>
      <c r="B12" s="145" t="s">
        <v>12923</v>
      </c>
      <c r="C12" s="145" t="s">
        <v>10621</v>
      </c>
      <c r="D12" s="154" t="str">
        <f t="shared" si="0"/>
        <v>Beauty Solution-R11-667346859796665</v>
      </c>
      <c r="E12" s="145" t="s">
        <v>12788</v>
      </c>
      <c r="F12" s="154"/>
      <c r="G12" s="154"/>
      <c r="H12" s="154"/>
      <c r="I12" s="154"/>
      <c r="J12" s="154"/>
      <c r="K12" s="154"/>
      <c r="L12" s="154"/>
      <c r="M12" s="154"/>
      <c r="N12" s="154"/>
      <c r="O12" s="154"/>
      <c r="P12" s="154"/>
      <c r="Q12" s="154"/>
      <c r="R12" s="154"/>
      <c r="S12" s="154"/>
      <c r="T12" s="154"/>
      <c r="U12" s="154"/>
      <c r="V12" s="154"/>
      <c r="W12" s="154"/>
      <c r="X12" s="154"/>
      <c r="Y12" s="154"/>
      <c r="Z12" s="154"/>
      <c r="AA12" s="154"/>
    </row>
    <row r="13" spans="1:27">
      <c r="A13" s="145">
        <v>706957285826722</v>
      </c>
      <c r="B13" s="145" t="s">
        <v>12924</v>
      </c>
      <c r="C13" s="145" t="s">
        <v>10621</v>
      </c>
      <c r="D13" s="154" t="str">
        <f t="shared" si="0"/>
        <v>Pakar Bangun Indonesia-R11-706957285826722</v>
      </c>
      <c r="E13" s="145" t="s">
        <v>409</v>
      </c>
      <c r="F13" s="154"/>
      <c r="G13" s="154"/>
      <c r="H13" s="154"/>
      <c r="I13" s="154"/>
      <c r="J13" s="154"/>
      <c r="K13" s="154"/>
      <c r="L13" s="154"/>
      <c r="M13" s="154"/>
      <c r="N13" s="154"/>
      <c r="O13" s="154"/>
      <c r="P13" s="154"/>
      <c r="Q13" s="154"/>
      <c r="R13" s="154"/>
      <c r="S13" s="154"/>
      <c r="T13" s="154"/>
      <c r="U13" s="154"/>
      <c r="V13" s="154"/>
      <c r="W13" s="154"/>
      <c r="X13" s="154"/>
      <c r="Y13" s="154"/>
      <c r="Z13" s="154"/>
      <c r="AA13" s="154"/>
    </row>
    <row r="14" spans="1:27">
      <c r="A14" s="145">
        <v>672574572602431</v>
      </c>
      <c r="B14" s="145" t="s">
        <v>12925</v>
      </c>
      <c r="C14" s="145" t="s">
        <v>10621</v>
      </c>
      <c r="D14" s="154" t="str">
        <f t="shared" si="0"/>
        <v>Promo Bisnis UMKM-R11-672574572602431</v>
      </c>
      <c r="E14" s="145" t="s">
        <v>12926</v>
      </c>
      <c r="F14" s="154"/>
      <c r="G14" s="154"/>
      <c r="H14" s="154"/>
      <c r="I14" s="154"/>
      <c r="J14" s="154"/>
      <c r="K14" s="154"/>
      <c r="L14" s="154"/>
      <c r="M14" s="154"/>
      <c r="N14" s="154"/>
      <c r="O14" s="154"/>
      <c r="P14" s="154"/>
      <c r="Q14" s="154"/>
      <c r="R14" s="154"/>
      <c r="S14" s="154"/>
      <c r="T14" s="154"/>
      <c r="U14" s="154"/>
      <c r="V14" s="154"/>
      <c r="W14" s="154"/>
      <c r="X14" s="154"/>
      <c r="Y14" s="154"/>
      <c r="Z14" s="154"/>
      <c r="AA14" s="154"/>
    </row>
    <row r="15" spans="1:27">
      <c r="A15" s="145">
        <v>641986379006091</v>
      </c>
      <c r="B15" s="145" t="s">
        <v>12927</v>
      </c>
      <c r="C15" s="145" t="s">
        <v>10621</v>
      </c>
      <c r="D15" s="154" t="str">
        <f t="shared" si="0"/>
        <v>Mitra Kuliner-R11-641986379006091</v>
      </c>
      <c r="E15" s="145" t="s">
        <v>838</v>
      </c>
      <c r="F15" s="154"/>
      <c r="G15" s="154"/>
      <c r="H15" s="154"/>
      <c r="I15" s="154"/>
      <c r="J15" s="154"/>
      <c r="K15" s="154"/>
      <c r="L15" s="154"/>
      <c r="M15" s="154"/>
      <c r="N15" s="154"/>
      <c r="O15" s="154"/>
      <c r="P15" s="154"/>
      <c r="Q15" s="154"/>
      <c r="R15" s="154"/>
      <c r="S15" s="154"/>
      <c r="T15" s="154"/>
      <c r="U15" s="154"/>
      <c r="V15" s="154"/>
      <c r="W15" s="154"/>
      <c r="X15" s="154"/>
      <c r="Y15" s="154"/>
      <c r="Z15" s="154"/>
      <c r="AA15" s="154"/>
    </row>
    <row r="16" spans="1:27">
      <c r="A16" s="145">
        <v>645488418650292</v>
      </c>
      <c r="B16" s="145" t="s">
        <v>12928</v>
      </c>
      <c r="C16" s="145" t="s">
        <v>10621</v>
      </c>
      <c r="D16" s="154" t="str">
        <f t="shared" si="0"/>
        <v>Sahabat Otomotif-R11-645488418650292</v>
      </c>
      <c r="E16" s="145" t="s">
        <v>4481</v>
      </c>
      <c r="F16" s="154"/>
      <c r="G16" s="154"/>
      <c r="H16" s="154"/>
      <c r="I16" s="154"/>
      <c r="J16" s="154"/>
      <c r="K16" s="154"/>
      <c r="L16" s="154"/>
      <c r="M16" s="154"/>
      <c r="N16" s="154"/>
      <c r="O16" s="154"/>
      <c r="P16" s="154"/>
      <c r="Q16" s="154"/>
      <c r="R16" s="154"/>
      <c r="S16" s="154"/>
      <c r="T16" s="154"/>
      <c r="U16" s="154"/>
      <c r="V16" s="154"/>
      <c r="W16" s="154"/>
      <c r="X16" s="154"/>
      <c r="Y16" s="154"/>
      <c r="Z16" s="154"/>
      <c r="AA16" s="154"/>
    </row>
    <row r="17" spans="1:27">
      <c r="A17" s="145">
        <v>696512170212149</v>
      </c>
      <c r="B17" s="145" t="s">
        <v>12929</v>
      </c>
      <c r="C17" s="145" t="s">
        <v>10621</v>
      </c>
      <c r="D17" s="154" t="str">
        <f t="shared" si="0"/>
        <v>Pakar Teknisi-R11-696512170212149</v>
      </c>
      <c r="E17" s="145" t="s">
        <v>12789</v>
      </c>
      <c r="F17" s="154"/>
      <c r="G17" s="154"/>
      <c r="H17" s="154"/>
      <c r="I17" s="154"/>
      <c r="J17" s="154"/>
      <c r="K17" s="154"/>
      <c r="L17" s="154"/>
      <c r="M17" s="154"/>
      <c r="N17" s="154"/>
      <c r="O17" s="154"/>
      <c r="P17" s="154"/>
      <c r="Q17" s="154"/>
      <c r="R17" s="154"/>
      <c r="S17" s="154"/>
      <c r="T17" s="154"/>
      <c r="U17" s="154"/>
      <c r="V17" s="154"/>
      <c r="W17" s="154"/>
      <c r="X17" s="154"/>
      <c r="Y17" s="154"/>
      <c r="Z17" s="154"/>
      <c r="AA17" s="154"/>
    </row>
    <row r="18" spans="1:27">
      <c r="A18" s="145">
        <v>703817629479483</v>
      </c>
      <c r="B18" s="145" t="s">
        <v>12930</v>
      </c>
      <c r="C18" s="145" t="s">
        <v>10621</v>
      </c>
      <c r="D18" s="154" t="str">
        <f t="shared" si="0"/>
        <v>Bangun karya-R11-703817629479483</v>
      </c>
      <c r="E18" s="145" t="s">
        <v>409</v>
      </c>
      <c r="F18" s="154"/>
      <c r="G18" s="154"/>
      <c r="H18" s="154"/>
      <c r="I18" s="154"/>
      <c r="J18" s="154"/>
      <c r="K18" s="154"/>
      <c r="L18" s="154"/>
      <c r="M18" s="154"/>
      <c r="N18" s="154"/>
      <c r="O18" s="154"/>
      <c r="P18" s="154"/>
      <c r="Q18" s="154"/>
      <c r="R18" s="154"/>
      <c r="S18" s="154"/>
      <c r="T18" s="154"/>
      <c r="U18" s="154"/>
      <c r="V18" s="154"/>
      <c r="W18" s="154"/>
      <c r="X18" s="154"/>
      <c r="Y18" s="154"/>
      <c r="Z18" s="154"/>
      <c r="AA18" s="154"/>
    </row>
    <row r="19" spans="1:27">
      <c r="A19" s="145">
        <v>61577805940511</v>
      </c>
      <c r="B19" s="145" t="s">
        <v>12931</v>
      </c>
      <c r="C19" s="145" t="s">
        <v>10651</v>
      </c>
      <c r="D19" s="154" t="str">
        <f t="shared" si="0"/>
        <v>BisnisKlik-R10-61577805940511</v>
      </c>
      <c r="E19" s="145" t="s">
        <v>12783</v>
      </c>
      <c r="F19" s="154"/>
      <c r="G19" s="154"/>
      <c r="H19" s="154"/>
      <c r="I19" s="154"/>
      <c r="J19" s="154"/>
      <c r="K19" s="154"/>
      <c r="L19" s="154"/>
      <c r="M19" s="154"/>
      <c r="N19" s="154"/>
      <c r="O19" s="154"/>
      <c r="P19" s="154"/>
      <c r="Q19" s="154"/>
      <c r="R19" s="154"/>
      <c r="S19" s="154"/>
      <c r="T19" s="154"/>
      <c r="U19" s="154"/>
      <c r="V19" s="154"/>
      <c r="W19" s="154"/>
      <c r="X19" s="154"/>
      <c r="Y19" s="154"/>
      <c r="Z19" s="154"/>
      <c r="AA19" s="154"/>
    </row>
    <row r="20" spans="1:27">
      <c r="A20" s="145">
        <v>626972463843711</v>
      </c>
      <c r="B20" s="145" t="s">
        <v>12932</v>
      </c>
      <c r="C20" s="145" t="s">
        <v>10621</v>
      </c>
      <c r="D20" s="154" t="str">
        <f t="shared" si="0"/>
        <v>FoodiePilihan-R11-626972463843711</v>
      </c>
      <c r="E20" s="145" t="s">
        <v>12783</v>
      </c>
      <c r="F20" s="154"/>
      <c r="G20" s="154"/>
      <c r="H20" s="154"/>
      <c r="I20" s="154"/>
      <c r="J20" s="154"/>
      <c r="K20" s="154"/>
      <c r="L20" s="154"/>
      <c r="M20" s="154"/>
      <c r="N20" s="154"/>
      <c r="O20" s="154"/>
      <c r="P20" s="154"/>
      <c r="Q20" s="154"/>
      <c r="R20" s="154"/>
      <c r="S20" s="154"/>
      <c r="T20" s="154"/>
      <c r="U20" s="154"/>
      <c r="V20" s="154"/>
      <c r="W20" s="154"/>
      <c r="X20" s="154"/>
      <c r="Y20" s="154"/>
      <c r="Z20" s="154"/>
      <c r="AA20" s="154"/>
    </row>
    <row r="21" spans="1:27">
      <c r="A21" s="145">
        <v>626281007244939</v>
      </c>
      <c r="B21" s="145" t="s">
        <v>12933</v>
      </c>
      <c r="C21" s="145" t="s">
        <v>10621</v>
      </c>
      <c r="D21" s="154" t="str">
        <f t="shared" si="0"/>
        <v>ShopEasy-R11-626281007244939</v>
      </c>
      <c r="E21" s="145" t="s">
        <v>12783</v>
      </c>
      <c r="F21" s="154"/>
      <c r="G21" s="154"/>
      <c r="H21" s="154"/>
      <c r="I21" s="154"/>
      <c r="J21" s="154"/>
      <c r="K21" s="154"/>
      <c r="L21" s="154"/>
      <c r="M21" s="154"/>
      <c r="N21" s="154"/>
      <c r="O21" s="154"/>
      <c r="P21" s="154"/>
      <c r="Q21" s="154"/>
      <c r="R21" s="154"/>
      <c r="S21" s="154"/>
      <c r="T21" s="154"/>
      <c r="U21" s="154"/>
      <c r="V21" s="154"/>
      <c r="W21" s="154"/>
      <c r="X21" s="154"/>
      <c r="Y21" s="154"/>
      <c r="Z21" s="154"/>
      <c r="AA21" s="154"/>
    </row>
    <row r="22" spans="1:27">
      <c r="A22" s="145">
        <v>751031078084301</v>
      </c>
      <c r="B22" s="145" t="s">
        <v>12934</v>
      </c>
      <c r="C22" s="145" t="s">
        <v>12935</v>
      </c>
      <c r="D22" s="154" t="str">
        <f t="shared" si="0"/>
        <v>TravelPartner-R08-751031078084301</v>
      </c>
      <c r="E22" s="145" t="s">
        <v>2248</v>
      </c>
      <c r="F22" s="154"/>
      <c r="G22" s="154"/>
      <c r="H22" s="154"/>
      <c r="I22" s="154"/>
      <c r="J22" s="154"/>
      <c r="K22" s="154"/>
      <c r="L22" s="154"/>
      <c r="M22" s="154"/>
      <c r="N22" s="154"/>
      <c r="O22" s="154"/>
      <c r="P22" s="154"/>
      <c r="Q22" s="154"/>
      <c r="R22" s="154"/>
      <c r="S22" s="154"/>
      <c r="T22" s="154"/>
      <c r="U22" s="154"/>
      <c r="V22" s="154"/>
      <c r="W22" s="154"/>
      <c r="X22" s="154"/>
      <c r="Y22" s="154"/>
      <c r="Z22" s="154"/>
      <c r="AA22" s="154"/>
    </row>
    <row r="23" spans="1:27" ht="15">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row>
    <row r="24" spans="1:27" ht="15">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row>
    <row r="25" spans="1:27" ht="15">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154"/>
    </row>
    <row r="26" spans="1:27" ht="15">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row>
    <row r="27" spans="1:27" ht="15">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154"/>
    </row>
    <row r="28" spans="1:27" ht="15">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row>
    <row r="29" spans="1:27" ht="15">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row>
    <row r="30" spans="1:27" ht="1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row>
    <row r="31" spans="1:27" ht="15">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row>
    <row r="32" spans="1:27" ht="15">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row>
    <row r="33" spans="1:27" ht="15">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row>
    <row r="34" spans="1:27" ht="15">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row>
    <row r="35" spans="1:27" ht="1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row>
    <row r="36" spans="1:27" ht="15">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row>
    <row r="37" spans="1:27" ht="15">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row>
    <row r="38" spans="1:27" ht="15">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row>
    <row r="39" spans="1:27" ht="15">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row>
    <row r="40" spans="1:27" ht="15">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row>
    <row r="41" spans="1:27" ht="15">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row>
    <row r="42" spans="1:27" ht="15">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row>
    <row r="43" spans="1:27" ht="15">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row>
    <row r="44" spans="1:27" ht="15">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row>
    <row r="45" spans="1:27" ht="1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row>
    <row r="46" spans="1:27" ht="15">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row>
    <row r="47" spans="1:27" ht="15">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row>
    <row r="48" spans="1:27" ht="15">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row>
    <row r="49" spans="1:27" ht="15">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row>
    <row r="50" spans="1:27" ht="15">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row>
    <row r="51" spans="1:27" ht="15">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154"/>
    </row>
    <row r="52" spans="1:27" ht="15">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4"/>
    </row>
    <row r="53" spans="1:27" ht="15">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154"/>
    </row>
    <row r="54" spans="1:27" ht="15">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row>
    <row r="55" spans="1:27" ht="1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row>
    <row r="56" spans="1:27" ht="15">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row>
    <row r="57" spans="1:27" ht="15">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row>
    <row r="58" spans="1:27" ht="15">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154"/>
    </row>
    <row r="59" spans="1:27" ht="15">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row>
    <row r="60" spans="1:27" ht="15">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row>
    <row r="61" spans="1:27" ht="15">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row>
    <row r="62" spans="1:27" ht="15">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row>
    <row r="63" spans="1:27" ht="15">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row>
    <row r="64" spans="1:27" ht="15">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row>
    <row r="65" spans="1:27" ht="1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row>
    <row r="66" spans="1:27" ht="15">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row>
    <row r="67" spans="1:27" ht="15">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row>
    <row r="68" spans="1:27" ht="15">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row>
    <row r="69" spans="1:27" ht="15">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row>
    <row r="70" spans="1:27" ht="15">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row>
    <row r="71" spans="1:27" ht="15">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row>
    <row r="72" spans="1:27" ht="15">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row>
    <row r="73" spans="1:27" ht="15">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row>
    <row r="74" spans="1:27" ht="15">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row>
    <row r="75" spans="1:27" ht="1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row>
    <row r="76" spans="1:27" ht="15">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row>
    <row r="77" spans="1:27" ht="15">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row>
    <row r="78" spans="1:27" ht="15">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row>
    <row r="79" spans="1:27" ht="15">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row>
    <row r="80" spans="1:27" ht="15">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row>
    <row r="81" spans="1:27" ht="15">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row>
    <row r="82" spans="1:27" ht="15">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row>
    <row r="83" spans="1:27" ht="15">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row>
    <row r="84" spans="1:27" ht="15">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row>
    <row r="85" spans="1:27" ht="1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row>
    <row r="86" spans="1:27" ht="15">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row>
    <row r="87" spans="1:27" ht="15">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row>
    <row r="88" spans="1:27" ht="15">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row>
    <row r="89" spans="1:27" ht="15">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row>
    <row r="90" spans="1:27" ht="15">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row>
    <row r="91" spans="1:27" ht="15">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row>
    <row r="92" spans="1:27" ht="15">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row>
    <row r="93" spans="1:27" ht="15">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row>
    <row r="94" spans="1:27" ht="15">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row>
    <row r="95" spans="1:27" ht="1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row>
    <row r="96" spans="1:27" ht="15">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spans="1:27" ht="15">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spans="1:27" ht="15">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spans="1:27" ht="15">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spans="1:27" ht="15">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spans="1:27" ht="15">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spans="1:27" ht="15">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spans="1:27" ht="15">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spans="1:27" ht="15">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spans="1:27" ht="1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spans="1:27" ht="15">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spans="1:27" ht="15">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spans="1:27" ht="15">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spans="1:27" ht="15">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row>
    <row r="110" spans="1:27" ht="15">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row>
    <row r="111" spans="1:27" ht="15">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row>
    <row r="112" spans="1:27" ht="15">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row>
    <row r="113" spans="1:27" ht="15">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row>
    <row r="114" spans="1:27" ht="15">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row>
    <row r="115" spans="1:27" ht="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row>
    <row r="116" spans="1:27" ht="15">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row>
    <row r="117" spans="1:27" ht="15">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row>
    <row r="118" spans="1:27" ht="15">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row>
    <row r="119" spans="1:27" ht="15">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row>
    <row r="120" spans="1:27" ht="15">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row>
    <row r="121" spans="1:27" ht="15">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row>
    <row r="122" spans="1:27" ht="15">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row>
    <row r="123" spans="1:27" ht="15">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row>
    <row r="124" spans="1:27" ht="15">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row>
    <row r="125" spans="1:27" ht="1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row>
    <row r="126" spans="1:27" ht="15">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row>
    <row r="127" spans="1:27" ht="15">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row>
    <row r="128" spans="1:27" ht="15">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row>
    <row r="129" spans="1:27" ht="15">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row>
    <row r="130" spans="1:27" ht="15">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row>
    <row r="131" spans="1:27" ht="15">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row>
    <row r="132" spans="1:27" ht="15">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row>
    <row r="133" spans="1:27" ht="15">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row>
    <row r="134" spans="1:27" ht="15">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row>
    <row r="135" spans="1:27" ht="1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row>
    <row r="136" spans="1:27" ht="15">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row>
    <row r="137" spans="1:27" ht="15">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row>
    <row r="138" spans="1:27" ht="15">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row>
    <row r="139" spans="1:27" ht="15">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row>
    <row r="140" spans="1:27" ht="15">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row>
    <row r="141" spans="1:27" ht="15">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row>
    <row r="142" spans="1:27" ht="15">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row>
    <row r="143" spans="1:27" ht="15">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row>
    <row r="144" spans="1:27" ht="15">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row>
    <row r="145" spans="1:27" ht="1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row>
    <row r="146" spans="1:27" ht="15">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row>
    <row r="147" spans="1:27" ht="15">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row>
    <row r="148" spans="1:27" ht="15">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row>
    <row r="149" spans="1:27" ht="15">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row>
    <row r="150" spans="1:27" ht="15">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row>
    <row r="151" spans="1:27" ht="15">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row>
    <row r="152" spans="1:27" ht="15">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row>
    <row r="153" spans="1:27" ht="15">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row>
    <row r="154" spans="1:27" ht="15">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row>
    <row r="155" spans="1:27" ht="1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row>
    <row r="156" spans="1:27" ht="15">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row>
    <row r="157" spans="1:27" ht="15">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row>
    <row r="158" spans="1:27" ht="15">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row>
    <row r="159" spans="1:27" ht="15">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row>
    <row r="160" spans="1:27" ht="15">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row>
    <row r="161" spans="1:27" ht="15">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row>
    <row r="162" spans="1:27" ht="15">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row>
    <row r="163" spans="1:27" ht="15">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row>
    <row r="164" spans="1:27" ht="15">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row>
    <row r="165" spans="1:27" ht="1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row>
    <row r="166" spans="1:27" ht="15">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row>
    <row r="167" spans="1:27" ht="15">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row>
    <row r="168" spans="1:27" ht="15">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row>
    <row r="169" spans="1:27" ht="15">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row>
    <row r="170" spans="1:27" ht="15">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row>
    <row r="171" spans="1:27" ht="15">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row>
    <row r="172" spans="1:27" ht="15">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row>
    <row r="173" spans="1:27" ht="15">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row>
    <row r="174" spans="1:27" ht="15">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row>
    <row r="175" spans="1:27" ht="1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row>
    <row r="176" spans="1:27" ht="15">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row>
    <row r="177" spans="1:27" ht="15">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row>
    <row r="178" spans="1:27" ht="15">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row>
    <row r="179" spans="1:27" ht="15">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row>
    <row r="180" spans="1:27" ht="15">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row>
    <row r="181" spans="1:27" ht="15">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row>
    <row r="182" spans="1:27" ht="15">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row>
    <row r="183" spans="1:27" ht="15">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row>
    <row r="184" spans="1:27" ht="15">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row>
    <row r="185" spans="1:27" ht="1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row>
    <row r="186" spans="1:27" ht="15">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row>
    <row r="187" spans="1:27" ht="15">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row>
    <row r="188" spans="1:27" ht="15">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row>
    <row r="189" spans="1:27" ht="15">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row>
    <row r="190" spans="1:27" ht="15">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row>
    <row r="191" spans="1:27" ht="15">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row>
    <row r="192" spans="1:27" ht="15">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row>
    <row r="193" spans="1:27" ht="15">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row>
    <row r="194" spans="1:27" ht="15">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row>
    <row r="195" spans="1:27" ht="1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row>
    <row r="196" spans="1:27" ht="15">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row>
    <row r="197" spans="1:27" ht="15">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row>
    <row r="198" spans="1:27" ht="15">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row>
    <row r="199" spans="1:27" ht="15">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row>
    <row r="200" spans="1:27" ht="15">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row>
    <row r="201" spans="1:27" ht="15">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row>
    <row r="202" spans="1:27" ht="15">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row>
    <row r="203" spans="1:27" ht="15">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row>
    <row r="204" spans="1:27" ht="15">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row>
    <row r="205" spans="1:27" ht="1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row>
    <row r="206" spans="1:27" ht="15">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row>
    <row r="207" spans="1:27" ht="15">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row>
    <row r="208" spans="1:27" ht="15">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row>
    <row r="209" spans="1:27" ht="15">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row>
    <row r="210" spans="1:27" ht="15">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row>
    <row r="211" spans="1:27" ht="15">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row>
    <row r="212" spans="1:27" ht="15">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row>
    <row r="213" spans="1:27" ht="15">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row>
    <row r="214" spans="1:27" ht="15">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row>
    <row r="215" spans="1:27" ht="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row>
    <row r="216" spans="1:27" ht="15">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row>
    <row r="217" spans="1:27" ht="15">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row>
    <row r="218" spans="1:27" ht="15">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row>
    <row r="219" spans="1:27" ht="15">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row>
    <row r="220" spans="1:27" ht="15">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row>
    <row r="221" spans="1:27" ht="15">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row>
    <row r="222" spans="1:27" ht="15">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row>
    <row r="223" spans="1:27" ht="15">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row>
    <row r="224" spans="1:27" ht="15">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row>
    <row r="225" spans="1:27" ht="1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row>
    <row r="226" spans="1:27" ht="15">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row>
    <row r="227" spans="1:27" ht="15">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row>
    <row r="228" spans="1:27" ht="15">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row>
    <row r="229" spans="1:27" ht="15">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row>
    <row r="230" spans="1:27" ht="15">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row>
    <row r="231" spans="1:27" ht="15">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row>
    <row r="232" spans="1:27" ht="15">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row>
    <row r="233" spans="1:27" ht="15">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row>
    <row r="234" spans="1:27" ht="15">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row>
    <row r="235" spans="1:27" ht="1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row>
    <row r="236" spans="1:27" ht="15">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row>
    <row r="237" spans="1:27" ht="15">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row>
    <row r="238" spans="1:27" ht="15">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row>
    <row r="239" spans="1:27" ht="15">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row>
    <row r="240" spans="1:27" ht="15">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row>
    <row r="241" spans="1:27" ht="15">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row>
    <row r="242" spans="1:27" ht="15">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row>
    <row r="243" spans="1:27" ht="15">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row>
    <row r="244" spans="1:27" ht="15">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row>
    <row r="245" spans="1:27" ht="1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row>
    <row r="246" spans="1:27" ht="15">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row>
    <row r="247" spans="1:27" ht="15">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row>
    <row r="248" spans="1:27" ht="15">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row>
    <row r="249" spans="1:27" ht="15">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row>
    <row r="250" spans="1:27" ht="15">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row>
    <row r="251" spans="1:27" ht="15">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row>
    <row r="252" spans="1:27" ht="15">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row>
    <row r="253" spans="1:27" ht="15">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row>
    <row r="254" spans="1:27" ht="15">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row>
    <row r="255" spans="1:27" ht="1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row>
    <row r="256" spans="1:27" ht="15">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row>
    <row r="257" spans="1:27" ht="15">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row>
    <row r="258" spans="1:27" ht="15">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row>
    <row r="259" spans="1:27" ht="15">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row>
    <row r="260" spans="1:27" ht="15">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row>
    <row r="261" spans="1:27" ht="15">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row>
    <row r="262" spans="1:27" ht="15">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row>
    <row r="263" spans="1:27" ht="15">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row>
    <row r="264" spans="1:27" ht="15">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row>
    <row r="265" spans="1:27" ht="1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row>
    <row r="266" spans="1:27" ht="15">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row>
    <row r="267" spans="1:27" ht="15">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row>
    <row r="268" spans="1:27" ht="15">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row>
    <row r="269" spans="1:27" ht="15">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row>
    <row r="270" spans="1:27" ht="15">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row>
    <row r="271" spans="1:27" ht="15">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row>
    <row r="272" spans="1:27" ht="15">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row>
    <row r="273" spans="1:27" ht="15">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row>
    <row r="274" spans="1:27" ht="15">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row>
    <row r="275" spans="1:27" ht="1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row>
    <row r="276" spans="1:27" ht="15">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row>
    <row r="277" spans="1:27" ht="15">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row>
    <row r="278" spans="1:27" ht="15">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row>
    <row r="279" spans="1:27" ht="15">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row>
    <row r="280" spans="1:27" ht="15">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row>
    <row r="281" spans="1:27" ht="15">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row>
    <row r="282" spans="1:27" ht="15">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row>
    <row r="283" spans="1:27" ht="15">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row>
    <row r="284" spans="1:27" ht="15">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row>
    <row r="285" spans="1:27" ht="1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row>
    <row r="286" spans="1:27" ht="15">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row>
    <row r="287" spans="1:27" ht="15">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row>
    <row r="288" spans="1:27" ht="15">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row>
    <row r="289" spans="1:27" ht="15">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row>
    <row r="290" spans="1:27" ht="15">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row>
    <row r="291" spans="1:27" ht="15">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row>
    <row r="292" spans="1:27" ht="15">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row>
    <row r="293" spans="1:27" ht="15">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row>
    <row r="294" spans="1:27" ht="15">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row>
    <row r="295" spans="1:27" ht="1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row>
    <row r="296" spans="1:27" ht="15">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row>
    <row r="297" spans="1:27" ht="15">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row>
    <row r="298" spans="1:27" ht="15">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row>
    <row r="299" spans="1:27" ht="15">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row>
    <row r="300" spans="1:27" ht="15">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row>
    <row r="301" spans="1:27" ht="15">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row>
    <row r="302" spans="1:27" ht="15">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row>
    <row r="303" spans="1:27" ht="15">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row>
    <row r="304" spans="1:27" ht="15">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row>
    <row r="305" spans="1:27" ht="1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row>
    <row r="306" spans="1:27" ht="15">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row>
    <row r="307" spans="1:27" ht="15">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row>
    <row r="308" spans="1:27" ht="15">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row>
    <row r="309" spans="1:27" ht="15">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row>
    <row r="310" spans="1:27" ht="15">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row>
    <row r="311" spans="1:27" ht="15">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row>
    <row r="312" spans="1:27" ht="15">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row>
    <row r="313" spans="1:27" ht="15">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row>
    <row r="314" spans="1:27" ht="15">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row>
    <row r="315" spans="1:27" ht="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row>
    <row r="316" spans="1:27" ht="15">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row>
    <row r="317" spans="1:27" ht="15">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row>
    <row r="318" spans="1:27" ht="15">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row>
    <row r="319" spans="1:27" ht="15">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row>
    <row r="320" spans="1:27" ht="15">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row>
    <row r="321" spans="1:27" ht="15">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row>
    <row r="322" spans="1:27" ht="15">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row>
    <row r="323" spans="1:27" ht="15">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row>
    <row r="324" spans="1:27" ht="15">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row>
    <row r="325" spans="1:27" ht="1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row>
    <row r="326" spans="1:27" ht="15">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row>
    <row r="327" spans="1:27" ht="15">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row>
    <row r="328" spans="1:27" ht="15">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row>
    <row r="329" spans="1:27" ht="15">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row>
    <row r="330" spans="1:27" ht="15">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row>
    <row r="331" spans="1:27" ht="15">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row>
    <row r="332" spans="1:27" ht="15">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row>
    <row r="333" spans="1:27" ht="15">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row>
    <row r="334" spans="1:27" ht="15">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row>
    <row r="335" spans="1:27" ht="1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row>
    <row r="336" spans="1:27" ht="15">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row>
    <row r="337" spans="1:27" ht="15">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row>
    <row r="338" spans="1:27" ht="15">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row>
    <row r="339" spans="1:27" ht="15">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row>
    <row r="340" spans="1:27" ht="15">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row>
    <row r="341" spans="1:27" ht="15">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row>
    <row r="342" spans="1:27" ht="15">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row>
    <row r="343" spans="1:27" ht="15">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row>
    <row r="344" spans="1:27" ht="15">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row>
    <row r="345" spans="1:27" ht="1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row>
    <row r="346" spans="1:27" ht="15">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row>
    <row r="347" spans="1:27" ht="15">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row>
    <row r="348" spans="1:27" ht="15">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row>
    <row r="349" spans="1:27" ht="15">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row>
    <row r="350" spans="1:27" ht="15">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row>
    <row r="351" spans="1:27" ht="15">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row>
    <row r="352" spans="1:27" ht="15">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row>
    <row r="353" spans="1:27" ht="15">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row>
    <row r="354" spans="1:27" ht="15">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row>
    <row r="355" spans="1:27" ht="1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row>
    <row r="356" spans="1:27" ht="15">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row>
    <row r="357" spans="1:27" ht="15">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row>
    <row r="358" spans="1:27" ht="15">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row>
    <row r="359" spans="1:27" ht="15">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row>
    <row r="360" spans="1:27" ht="15">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row>
    <row r="361" spans="1:27" ht="15">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row>
    <row r="362" spans="1:27" ht="15">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row>
    <row r="363" spans="1:27" ht="15">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row>
    <row r="364" spans="1:27" ht="15">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row>
    <row r="365" spans="1:27" ht="1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row>
    <row r="366" spans="1:27" ht="15">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row>
    <row r="367" spans="1:27" ht="15">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row>
    <row r="368" spans="1:27" ht="15">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row>
    <row r="369" spans="1:27" ht="15">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row>
    <row r="370" spans="1:27" ht="15">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row>
    <row r="371" spans="1:27" ht="15">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row>
    <row r="372" spans="1:27" ht="15">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row>
    <row r="373" spans="1:27" ht="15">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row>
    <row r="374" spans="1:27" ht="15">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row>
    <row r="375" spans="1:27" ht="1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row>
    <row r="376" spans="1:27" ht="15">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row>
    <row r="377" spans="1:27" ht="15">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row>
    <row r="378" spans="1:27" ht="15">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row>
    <row r="379" spans="1:27" ht="15">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row>
    <row r="380" spans="1:27" ht="15">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row>
    <row r="381" spans="1:27" ht="15">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row>
    <row r="382" spans="1:27" ht="15">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row>
    <row r="383" spans="1:27" ht="15">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row>
    <row r="384" spans="1:27" ht="15">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row>
    <row r="385" spans="1:27" ht="1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row>
    <row r="386" spans="1:27" ht="15">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row>
    <row r="387" spans="1:27" ht="15">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row>
    <row r="388" spans="1:27" ht="15">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row>
    <row r="389" spans="1:27" ht="15">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row>
    <row r="390" spans="1:27" ht="15">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row>
    <row r="391" spans="1:27" ht="15">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row>
    <row r="392" spans="1:27" ht="15">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row>
    <row r="393" spans="1:27" ht="15">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row>
    <row r="394" spans="1:27" ht="15">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row>
    <row r="395" spans="1:27" ht="1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row>
    <row r="396" spans="1:27" ht="15">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row>
    <row r="397" spans="1:27" ht="15">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row>
    <row r="398" spans="1:27" ht="15">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row>
    <row r="399" spans="1:27" ht="15">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row>
    <row r="400" spans="1:27" ht="15">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row>
    <row r="401" spans="1:27" ht="15">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row>
    <row r="402" spans="1:27" ht="15">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row>
    <row r="403" spans="1:27" ht="15">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row>
    <row r="404" spans="1:27" ht="15">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row>
    <row r="405" spans="1:27" ht="1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row>
    <row r="406" spans="1:27" ht="15">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row>
    <row r="407" spans="1:27" ht="15">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row>
    <row r="408" spans="1:27" ht="15">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row>
    <row r="409" spans="1:27" ht="15">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row>
    <row r="410" spans="1:27" ht="15">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row>
    <row r="411" spans="1:27" ht="15">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row>
    <row r="412" spans="1:27" ht="15">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row>
    <row r="413" spans="1:27" ht="15">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row>
    <row r="414" spans="1:27" ht="15">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row>
    <row r="415" spans="1:27" ht="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row>
    <row r="416" spans="1:27" ht="15">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row>
    <row r="417" spans="1:27" ht="15">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row>
    <row r="418" spans="1:27" ht="15">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row>
    <row r="419" spans="1:27" ht="15">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row>
    <row r="420" spans="1:27" ht="15">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row>
    <row r="421" spans="1:27" ht="15">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row>
    <row r="422" spans="1:27" ht="15">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row>
    <row r="423" spans="1:27" ht="15">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row>
    <row r="424" spans="1:27" ht="15">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row>
    <row r="425" spans="1:27" ht="1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row>
    <row r="426" spans="1:27" ht="15">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row>
    <row r="427" spans="1:27" ht="15">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row>
    <row r="428" spans="1:27" ht="15">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row>
    <row r="429" spans="1:27" ht="15">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row>
    <row r="430" spans="1:27" ht="15">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row>
    <row r="431" spans="1:27" ht="15">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row>
    <row r="432" spans="1:27" ht="15">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row>
    <row r="433" spans="1:27" ht="15">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row>
    <row r="434" spans="1:27" ht="15">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row>
    <row r="435" spans="1:27" ht="1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row>
    <row r="436" spans="1:27" ht="15">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row>
    <row r="437" spans="1:27" ht="15">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row>
    <row r="438" spans="1:27" ht="15">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row>
    <row r="439" spans="1:27" ht="15">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row>
    <row r="440" spans="1:27" ht="15">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row>
    <row r="441" spans="1:27" ht="15">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row>
    <row r="442" spans="1:27" ht="15">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row>
    <row r="443" spans="1:27" ht="15">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row>
    <row r="444" spans="1:27" ht="15">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row>
    <row r="445" spans="1:27" ht="1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row>
    <row r="446" spans="1:27" ht="15">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row>
    <row r="447" spans="1:27" ht="15">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row>
    <row r="448" spans="1:27" ht="15">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row>
    <row r="449" spans="1:27" ht="15">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row>
    <row r="450" spans="1:27" ht="15">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row>
    <row r="451" spans="1:27" ht="15">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row>
    <row r="452" spans="1:27" ht="15">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row>
    <row r="453" spans="1:27" ht="15">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row>
    <row r="454" spans="1:27" ht="15">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row>
    <row r="455" spans="1:27" ht="1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row>
    <row r="456" spans="1:27" ht="15">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row>
    <row r="457" spans="1:27" ht="15">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row>
    <row r="458" spans="1:27" ht="15">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row>
    <row r="459" spans="1:27" ht="15">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row>
    <row r="460" spans="1:27" ht="15">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row>
    <row r="461" spans="1:27" ht="15">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row>
    <row r="462" spans="1:27" ht="15">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row>
    <row r="463" spans="1:27" ht="15">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row>
    <row r="464" spans="1:27" ht="15">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row>
    <row r="465" spans="1:27" ht="1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row>
    <row r="466" spans="1:27" ht="15">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row>
    <row r="467" spans="1:27" ht="15">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row>
    <row r="468" spans="1:27" ht="15">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row>
    <row r="469" spans="1:27" ht="15">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row>
    <row r="470" spans="1:27" ht="15">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row>
    <row r="471" spans="1:27" ht="15">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row>
    <row r="472" spans="1:27" ht="15">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row>
    <row r="473" spans="1:27" ht="15">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row>
    <row r="474" spans="1:27" ht="15">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row>
    <row r="475" spans="1:27" ht="1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row>
    <row r="476" spans="1:27" ht="15">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row>
    <row r="477" spans="1:27" ht="15">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row>
    <row r="478" spans="1:27" ht="15">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row>
    <row r="479" spans="1:27" ht="15">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row>
    <row r="480" spans="1:27" ht="15">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row>
    <row r="481" spans="1:27" ht="15">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row>
    <row r="482" spans="1:27" ht="15">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row>
    <row r="483" spans="1:27" ht="15">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row>
    <row r="484" spans="1:27" ht="15">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row>
    <row r="485" spans="1:27" ht="1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row>
    <row r="486" spans="1:27" ht="15">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row>
    <row r="487" spans="1:27" ht="15">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row>
    <row r="488" spans="1:27" ht="15">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row>
    <row r="489" spans="1:27" ht="15">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row>
    <row r="490" spans="1:27" ht="15">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row>
    <row r="491" spans="1:27" ht="15">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row>
    <row r="492" spans="1:27" ht="15">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row>
    <row r="493" spans="1:27" ht="15">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row>
    <row r="494" spans="1:27" ht="15">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row>
    <row r="495" spans="1:27" ht="1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row>
    <row r="496" spans="1:27" ht="15">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row>
    <row r="497" spans="1:27" ht="15">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row>
    <row r="498" spans="1:27" ht="15">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row>
    <row r="499" spans="1:27" ht="15">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row>
    <row r="500" spans="1:27" ht="15">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row>
    <row r="501" spans="1:27" ht="15">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row>
    <row r="502" spans="1:27" ht="15">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row>
    <row r="503" spans="1:27" ht="15">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row>
    <row r="504" spans="1:27" ht="15">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row>
    <row r="505" spans="1:27" ht="1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row>
    <row r="506" spans="1:27" ht="15">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row>
    <row r="507" spans="1:27" ht="15">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row>
    <row r="508" spans="1:27" ht="15">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row>
    <row r="509" spans="1:27" ht="15">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row>
    <row r="510" spans="1:27" ht="15">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row>
    <row r="511" spans="1:27" ht="15">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row>
    <row r="512" spans="1:27" ht="15">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row>
    <row r="513" spans="1:27" ht="15">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row>
    <row r="514" spans="1:27" ht="15">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row>
    <row r="515" spans="1:27" ht="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row>
    <row r="516" spans="1:27" ht="15">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row>
    <row r="517" spans="1:27" ht="15">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row>
    <row r="518" spans="1:27" ht="15">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row>
    <row r="519" spans="1:27" ht="15">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row>
    <row r="520" spans="1:27" ht="15">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row>
    <row r="521" spans="1:27" ht="15">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row>
    <row r="522" spans="1:27" ht="15">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row>
    <row r="523" spans="1:27" ht="15">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row>
    <row r="524" spans="1:27" ht="15">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row>
    <row r="525" spans="1:27" ht="1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row>
    <row r="526" spans="1:27" ht="15">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row>
    <row r="527" spans="1:27" ht="15">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row>
    <row r="528" spans="1:27" ht="15">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row>
    <row r="529" spans="1:27" ht="15">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row>
    <row r="530" spans="1:27" ht="15">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row>
    <row r="531" spans="1:27" ht="15">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row>
    <row r="532" spans="1:27" ht="15">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row>
    <row r="533" spans="1:27" ht="15">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row>
    <row r="534" spans="1:27" ht="15">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row>
    <row r="535" spans="1:27" ht="1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row>
    <row r="536" spans="1:27" ht="15">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row>
    <row r="537" spans="1:27" ht="15">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row>
    <row r="538" spans="1:27" ht="15">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row>
    <row r="539" spans="1:27" ht="15">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row>
    <row r="540" spans="1:27" ht="15">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row>
    <row r="541" spans="1:27" ht="15">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row>
    <row r="542" spans="1:27" ht="15">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row>
    <row r="543" spans="1:27" ht="15">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row>
    <row r="544" spans="1:27" ht="15">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row>
    <row r="545" spans="1:27" ht="1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row>
    <row r="546" spans="1:27" ht="15">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row>
    <row r="547" spans="1:27" ht="15">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row>
    <row r="548" spans="1:27" ht="15">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row>
    <row r="549" spans="1:27" ht="15">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row>
    <row r="550" spans="1:27" ht="15">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row>
    <row r="551" spans="1:27" ht="15">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row>
    <row r="552" spans="1:27" ht="15">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row>
    <row r="553" spans="1:27" ht="15">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row>
    <row r="554" spans="1:27" ht="15">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row>
    <row r="555" spans="1:27" ht="1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row>
    <row r="556" spans="1:27" ht="15">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row>
    <row r="557" spans="1:27" ht="15">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row>
    <row r="558" spans="1:27" ht="15">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row>
    <row r="559" spans="1:27" ht="15">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row>
    <row r="560" spans="1:27" ht="15">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row>
    <row r="561" spans="1:27" ht="15">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row>
    <row r="562" spans="1:27" ht="15">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row>
    <row r="563" spans="1:27" ht="15">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row>
    <row r="564" spans="1:27" ht="15">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row>
    <row r="565" spans="1:27" ht="1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row>
    <row r="566" spans="1:27" ht="15">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row>
    <row r="567" spans="1:27" ht="15">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row>
    <row r="568" spans="1:27" ht="15">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row>
    <row r="569" spans="1:27" ht="15">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row>
    <row r="570" spans="1:27" ht="15">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row>
    <row r="571" spans="1:27" ht="15">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row>
    <row r="572" spans="1:27" ht="15">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row>
    <row r="573" spans="1:27" ht="15">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row>
    <row r="574" spans="1:27" ht="15">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row>
    <row r="575" spans="1:27" ht="1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row>
    <row r="576" spans="1:27" ht="15">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row>
    <row r="577" spans="1:27" ht="15">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row>
    <row r="578" spans="1:27" ht="15">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row>
    <row r="579" spans="1:27" ht="15">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row>
    <row r="580" spans="1:27" ht="15">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row>
    <row r="581" spans="1:27" ht="15">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row>
    <row r="582" spans="1:27" ht="15">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row>
    <row r="583" spans="1:27" ht="15">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row>
    <row r="584" spans="1:27" ht="15">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row>
    <row r="585" spans="1:27" ht="1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row>
    <row r="586" spans="1:27" ht="15">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row>
    <row r="587" spans="1:27" ht="15">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row>
    <row r="588" spans="1:27" ht="15">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row>
    <row r="589" spans="1:27" ht="15">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row>
    <row r="590" spans="1:27" ht="15">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row>
    <row r="591" spans="1:27" ht="15">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row>
    <row r="592" spans="1:27" ht="15">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row>
    <row r="593" spans="1:27" ht="15">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row>
    <row r="594" spans="1:27" ht="15">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row>
    <row r="595" spans="1:27" ht="1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row>
    <row r="596" spans="1:27" ht="15">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row>
    <row r="597" spans="1:27" ht="15">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row>
    <row r="598" spans="1:27" ht="15">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row>
    <row r="599" spans="1:27" ht="15">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row>
    <row r="600" spans="1:27" ht="15">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row>
    <row r="601" spans="1:27" ht="15">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row>
    <row r="602" spans="1:27" ht="15">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row>
    <row r="603" spans="1:27" ht="15">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row>
    <row r="604" spans="1:27" ht="15">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row>
    <row r="605" spans="1:27" ht="1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row>
    <row r="606" spans="1:27" ht="15">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row>
    <row r="607" spans="1:27" ht="15">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row>
    <row r="608" spans="1:27" ht="15">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row>
    <row r="609" spans="1:27" ht="15">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row>
    <row r="610" spans="1:27" ht="15">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row>
    <row r="611" spans="1:27" ht="15">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row>
    <row r="612" spans="1:27" ht="15">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row>
    <row r="613" spans="1:27" ht="15">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row>
    <row r="614" spans="1:27" ht="15">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row>
    <row r="615" spans="1:27" ht="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row>
    <row r="616" spans="1:27" ht="15">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row>
    <row r="617" spans="1:27" ht="15">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row>
    <row r="618" spans="1:27" ht="15">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row>
    <row r="619" spans="1:27" ht="15">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row>
    <row r="620" spans="1:27" ht="15">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row>
    <row r="621" spans="1:27" ht="15">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row>
    <row r="622" spans="1:27" ht="15">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row>
    <row r="623" spans="1:27" ht="15">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row>
    <row r="624" spans="1:27" ht="15">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row>
    <row r="625" spans="1:27" ht="1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row>
    <row r="626" spans="1:27" ht="15">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row>
    <row r="627" spans="1:27" ht="15">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row>
    <row r="628" spans="1:27" ht="15">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row>
    <row r="629" spans="1:27" ht="15">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row>
    <row r="630" spans="1:27" ht="15">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row>
    <row r="631" spans="1:27" ht="15">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row>
    <row r="632" spans="1:27" ht="15">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row>
    <row r="633" spans="1:27" ht="15">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row>
    <row r="634" spans="1:27" ht="15">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row>
    <row r="635" spans="1:27" ht="1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row>
    <row r="636" spans="1:27" ht="15">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row>
    <row r="637" spans="1:27" ht="15">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row>
    <row r="638" spans="1:27" ht="15">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row>
    <row r="639" spans="1:27" ht="15">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row>
    <row r="640" spans="1:27" ht="15">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row>
    <row r="641" spans="1:27" ht="15">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row>
    <row r="642" spans="1:27" ht="15">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row>
    <row r="643" spans="1:27" ht="15">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row>
    <row r="644" spans="1:27" ht="15">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row>
    <row r="645" spans="1:27" ht="1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row>
    <row r="646" spans="1:27" ht="15">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row>
    <row r="647" spans="1:27" ht="15">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row>
    <row r="648" spans="1:27" ht="15">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row>
    <row r="649" spans="1:27" ht="15">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row>
    <row r="650" spans="1:27" ht="15">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row>
    <row r="651" spans="1:27" ht="15">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row>
    <row r="652" spans="1:27" ht="15">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row>
    <row r="653" spans="1:27" ht="15">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row>
    <row r="654" spans="1:27" ht="15">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row>
    <row r="655" spans="1:27" ht="1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row>
    <row r="656" spans="1:27" ht="15">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row>
    <row r="657" spans="1:27" ht="15">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row>
    <row r="658" spans="1:27" ht="15">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row>
    <row r="659" spans="1:27" ht="15">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row>
    <row r="660" spans="1:27" ht="15">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row>
    <row r="661" spans="1:27" ht="15">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row>
    <row r="662" spans="1:27" ht="15">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row>
    <row r="663" spans="1:27" ht="15">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row>
    <row r="664" spans="1:27" ht="15">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row>
    <row r="665" spans="1:27" ht="1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row>
    <row r="666" spans="1:27" ht="15">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row>
    <row r="667" spans="1:27" ht="15">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row>
    <row r="668" spans="1:27" ht="15">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row>
    <row r="669" spans="1:27" ht="15">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row>
    <row r="670" spans="1:27" ht="15">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row>
    <row r="671" spans="1:27" ht="15">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row>
    <row r="672" spans="1:27" ht="15">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row>
    <row r="673" spans="1:27" ht="15">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row>
    <row r="674" spans="1:27" ht="15">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row>
    <row r="675" spans="1:27" ht="1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row>
    <row r="676" spans="1:27" ht="15">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row>
    <row r="677" spans="1:27" ht="15">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row>
    <row r="678" spans="1:27" ht="15">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row>
    <row r="679" spans="1:27" ht="15">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row>
    <row r="680" spans="1:27" ht="15">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row>
    <row r="681" spans="1:27" ht="15">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row>
    <row r="682" spans="1:27" ht="15">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row>
    <row r="683" spans="1:27" ht="15">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row>
    <row r="684" spans="1:27" ht="15">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row>
    <row r="685" spans="1:27" ht="1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row>
    <row r="686" spans="1:27" ht="15">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row>
    <row r="687" spans="1:27" ht="15">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row>
    <row r="688" spans="1:27" ht="15">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row>
    <row r="689" spans="1:27" ht="15">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row>
    <row r="690" spans="1:27" ht="15">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row>
    <row r="691" spans="1:27" ht="15">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row>
    <row r="692" spans="1:27" ht="15">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row>
    <row r="693" spans="1:27" ht="15">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row>
    <row r="694" spans="1:27" ht="15">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row>
    <row r="695" spans="1:27" ht="1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row>
    <row r="696" spans="1:27" ht="15">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row>
    <row r="697" spans="1:27" ht="15">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row>
    <row r="698" spans="1:27" ht="15">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row>
    <row r="699" spans="1:27" ht="15">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row>
    <row r="700" spans="1:27" ht="15">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row>
    <row r="701" spans="1:27" ht="15">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row>
    <row r="702" spans="1:27" ht="15">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row>
    <row r="703" spans="1:27" ht="15">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row>
    <row r="704" spans="1:27" ht="15">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row>
    <row r="705" spans="1:27" ht="1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row>
    <row r="706" spans="1:27" ht="15">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row>
    <row r="707" spans="1:27" ht="15">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row>
    <row r="708" spans="1:27" ht="15">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row>
    <row r="709" spans="1:27" ht="15">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row>
    <row r="710" spans="1:27" ht="15">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row>
    <row r="711" spans="1:27" ht="15">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row>
    <row r="712" spans="1:27" ht="15">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row>
    <row r="713" spans="1:27" ht="15">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row>
    <row r="714" spans="1:27" ht="15">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row>
    <row r="715" spans="1:27" ht="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row>
    <row r="716" spans="1:27" ht="15">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row>
    <row r="717" spans="1:27" ht="15">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row>
    <row r="718" spans="1:27" ht="15">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row>
    <row r="719" spans="1:27" ht="15">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row>
    <row r="720" spans="1:27" ht="15">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row>
    <row r="721" spans="1:27" ht="15">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row>
    <row r="722" spans="1:27" ht="15">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row>
    <row r="723" spans="1:27" ht="15">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row>
    <row r="724" spans="1:27" ht="15">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row>
    <row r="725" spans="1:27" ht="1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row>
    <row r="726" spans="1:27" ht="15">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row>
    <row r="727" spans="1:27" ht="15">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row>
    <row r="728" spans="1:27" ht="15">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row>
    <row r="729" spans="1:27" ht="15">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row>
    <row r="730" spans="1:27" ht="15">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row>
    <row r="731" spans="1:27" ht="15">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row>
    <row r="732" spans="1:27" ht="15">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row>
    <row r="733" spans="1:27" ht="15">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row>
    <row r="734" spans="1:27" ht="15">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row>
    <row r="735" spans="1:27" ht="1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row>
    <row r="736" spans="1:27" ht="15">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row>
    <row r="737" spans="1:27" ht="15">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row>
    <row r="738" spans="1:27" ht="15">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row>
    <row r="739" spans="1:27" ht="15">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row>
    <row r="740" spans="1:27" ht="15">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row>
    <row r="741" spans="1:27" ht="15">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row>
    <row r="742" spans="1:27" ht="15">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row>
    <row r="743" spans="1:27" ht="15">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row>
    <row r="744" spans="1:27" ht="15">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row>
    <row r="745" spans="1:27" ht="1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row>
    <row r="746" spans="1:27" ht="15">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row>
    <row r="747" spans="1:27" ht="15">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row>
    <row r="748" spans="1:27" ht="15">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row>
    <row r="749" spans="1:27" ht="15">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row>
    <row r="750" spans="1:27" ht="15">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row>
    <row r="751" spans="1:27" ht="15">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row>
    <row r="752" spans="1:27" ht="15">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row>
    <row r="753" spans="1:27" ht="15">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row>
    <row r="754" spans="1:27" ht="15">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row>
    <row r="755" spans="1:27" ht="1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row>
    <row r="756" spans="1:27" ht="15">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row>
    <row r="757" spans="1:27" ht="15">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row>
    <row r="758" spans="1:27" ht="15">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row>
    <row r="759" spans="1:27" ht="15">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row>
    <row r="760" spans="1:27" ht="15">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row>
    <row r="761" spans="1:27" ht="15">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row>
    <row r="762" spans="1:27" ht="15">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row>
    <row r="763" spans="1:27" ht="15">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row>
    <row r="764" spans="1:27" ht="15">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row>
    <row r="765" spans="1:27" ht="1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row>
    <row r="766" spans="1:27" ht="15">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row>
    <row r="767" spans="1:27" ht="15">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row>
    <row r="768" spans="1:27" ht="15">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row>
    <row r="769" spans="1:27" ht="15">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row>
    <row r="770" spans="1:27" ht="15">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row>
    <row r="771" spans="1:27" ht="15">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row>
    <row r="772" spans="1:27" ht="15">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row>
    <row r="773" spans="1:27" ht="15">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row>
    <row r="774" spans="1:27" ht="15">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row>
    <row r="775" spans="1:27" ht="1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row>
    <row r="776" spans="1:27" ht="15">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row>
    <row r="777" spans="1:27" ht="15">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row>
    <row r="778" spans="1:27" ht="15">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row>
    <row r="779" spans="1:27" ht="15">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row>
    <row r="780" spans="1:27" ht="15">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row>
    <row r="781" spans="1:27" ht="15">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row>
    <row r="782" spans="1:27" ht="15">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row>
    <row r="783" spans="1:27" ht="15">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row>
    <row r="784" spans="1:27" ht="15">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row>
    <row r="785" spans="1:27" ht="1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row>
    <row r="786" spans="1:27" ht="15">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row>
    <row r="787" spans="1:27" ht="15">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row>
    <row r="788" spans="1:27" ht="15">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row>
    <row r="789" spans="1:27" ht="15">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row>
    <row r="790" spans="1:27" ht="15">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row>
    <row r="791" spans="1:27" ht="15">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row>
    <row r="792" spans="1:27" ht="15">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row>
    <row r="793" spans="1:27" ht="15">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row>
    <row r="794" spans="1:27" ht="15">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row>
    <row r="795" spans="1:27" ht="1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row>
    <row r="796" spans="1:27" ht="15">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row>
    <row r="797" spans="1:27" ht="15">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row>
    <row r="798" spans="1:27" ht="15">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row>
    <row r="799" spans="1:27" ht="15">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row>
    <row r="800" spans="1:27" ht="15">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row>
    <row r="801" spans="1:27" ht="15">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row>
    <row r="802" spans="1:27" ht="15">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row>
    <row r="803" spans="1:27" ht="15">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row>
    <row r="804" spans="1:27" ht="15">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row>
    <row r="805" spans="1:27" ht="1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row>
    <row r="806" spans="1:27" ht="15">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row>
    <row r="807" spans="1:27" ht="15">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row>
    <row r="808" spans="1:27" ht="15">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row>
    <row r="809" spans="1:27" ht="15">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row>
    <row r="810" spans="1:27" ht="15">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row>
    <row r="811" spans="1:27" ht="15">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row>
    <row r="812" spans="1:27" ht="15">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row>
    <row r="813" spans="1:27" ht="15">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row>
    <row r="814" spans="1:27" ht="15">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row>
    <row r="815" spans="1:27" ht="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row>
    <row r="816" spans="1:27" ht="15">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row>
    <row r="817" spans="1:27" ht="15">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row>
    <row r="818" spans="1:27" ht="15">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row>
    <row r="819" spans="1:27" ht="15">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row>
    <row r="820" spans="1:27" ht="15">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row>
    <row r="821" spans="1:27" ht="15">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row>
    <row r="822" spans="1:27" ht="15">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row>
    <row r="823" spans="1:27" ht="15">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row>
    <row r="824" spans="1:27" ht="15">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row>
    <row r="825" spans="1:27" ht="1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row>
    <row r="826" spans="1:27" ht="15">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row>
    <row r="827" spans="1:27" ht="15">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row>
    <row r="828" spans="1:27" ht="15">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row>
    <row r="829" spans="1:27" ht="15">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row>
    <row r="830" spans="1:27" ht="15">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row>
    <row r="831" spans="1:27" ht="15">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row>
    <row r="832" spans="1:27" ht="15">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row>
    <row r="833" spans="1:27" ht="15">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row>
    <row r="834" spans="1:27" ht="15">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row>
    <row r="835" spans="1:27" ht="1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row>
    <row r="836" spans="1:27" ht="15">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row>
    <row r="837" spans="1:27" ht="15">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row>
    <row r="838" spans="1:27" ht="15">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row>
    <row r="839" spans="1:27" ht="15">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row>
    <row r="840" spans="1:27" ht="15">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row>
    <row r="841" spans="1:27" ht="15">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row>
    <row r="842" spans="1:27" ht="15">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row>
    <row r="843" spans="1:27" ht="15">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row>
    <row r="844" spans="1:27" ht="15">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row>
    <row r="845" spans="1:27" ht="1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row>
    <row r="846" spans="1:27" ht="15">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row>
    <row r="847" spans="1:27" ht="15">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row>
    <row r="848" spans="1:27" ht="15">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row>
    <row r="849" spans="1:27" ht="15">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row>
    <row r="850" spans="1:27" ht="15">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row>
    <row r="851" spans="1:27" ht="15">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row>
    <row r="852" spans="1:27" ht="15">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row>
    <row r="853" spans="1:27" ht="15">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row>
    <row r="854" spans="1:27" ht="15">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row>
    <row r="855" spans="1:27" ht="1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row>
    <row r="856" spans="1:27" ht="15">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row>
    <row r="857" spans="1:27" ht="15">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row>
    <row r="858" spans="1:27" ht="15">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row>
    <row r="859" spans="1:27" ht="15">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row>
    <row r="860" spans="1:27" ht="15">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row>
    <row r="861" spans="1:27" ht="15">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row>
    <row r="862" spans="1:27" ht="15">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row>
    <row r="863" spans="1:27" ht="15">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row>
    <row r="864" spans="1:27" ht="15">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row>
    <row r="865" spans="1:27" ht="1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row>
    <row r="866" spans="1:27" ht="15">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row>
    <row r="867" spans="1:27" ht="15">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row>
    <row r="868" spans="1:27" ht="15">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row>
    <row r="869" spans="1:27" ht="15">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row>
    <row r="870" spans="1:27" ht="15">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row>
    <row r="871" spans="1:27" ht="15">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row>
    <row r="872" spans="1:27" ht="15">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row>
    <row r="873" spans="1:27" ht="15">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row>
    <row r="874" spans="1:27" ht="15">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row>
    <row r="875" spans="1:27" ht="1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row>
    <row r="876" spans="1:27" ht="15">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row>
    <row r="877" spans="1:27" ht="15">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row>
    <row r="878" spans="1:27" ht="15">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row>
    <row r="879" spans="1:27" ht="15">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row>
    <row r="880" spans="1:27" ht="15">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row>
    <row r="881" spans="1:27" ht="15">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row>
    <row r="882" spans="1:27" ht="15">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row>
    <row r="883" spans="1:27" ht="15">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row>
    <row r="884" spans="1:27" ht="15">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row>
    <row r="885" spans="1:27" ht="1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row>
    <row r="886" spans="1:27" ht="15">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row>
    <row r="887" spans="1:27" ht="15">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row>
    <row r="888" spans="1:27" ht="15">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row>
    <row r="889" spans="1:27" ht="15">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row>
    <row r="890" spans="1:27" ht="15">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row>
    <row r="891" spans="1:27" ht="15">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row>
    <row r="892" spans="1:27" ht="15">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row>
    <row r="893" spans="1:27" ht="15">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row>
    <row r="894" spans="1:27" ht="15">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row>
    <row r="895" spans="1:27" ht="1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row>
    <row r="896" spans="1:27" ht="15">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row>
    <row r="897" spans="1:27" ht="15">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row>
    <row r="898" spans="1:27" ht="15">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row>
    <row r="899" spans="1:27" ht="15">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row>
    <row r="900" spans="1:27" ht="15">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row>
    <row r="901" spans="1:27" ht="15">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row>
    <row r="902" spans="1:27" ht="15">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row>
    <row r="903" spans="1:27" ht="15">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row>
    <row r="904" spans="1:27" ht="15">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row>
    <row r="905" spans="1:27" ht="1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row>
    <row r="906" spans="1:27" ht="15">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row>
    <row r="907" spans="1:27" ht="15">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row>
    <row r="908" spans="1:27" ht="15">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row>
    <row r="909" spans="1:27" ht="15">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row>
    <row r="910" spans="1:27" ht="15">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row>
    <row r="911" spans="1:27" ht="15">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row>
    <row r="912" spans="1:27" ht="15">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row>
    <row r="913" spans="1:27" ht="15">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row>
    <row r="914" spans="1:27" ht="15">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row>
    <row r="915" spans="1:27" ht="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row>
    <row r="916" spans="1:27" ht="15">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row>
    <row r="917" spans="1:27" ht="15">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row>
    <row r="918" spans="1:27" ht="15">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row>
    <row r="919" spans="1:27" ht="15">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row>
    <row r="920" spans="1:27" ht="15">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row>
    <row r="921" spans="1:27" ht="15">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row>
    <row r="922" spans="1:27" ht="15">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row>
    <row r="923" spans="1:27" ht="15">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row>
    <row r="924" spans="1:27" ht="15">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row>
    <row r="925" spans="1:27" ht="1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row>
    <row r="926" spans="1:27" ht="15">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row>
    <row r="927" spans="1:27" ht="15">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row>
    <row r="928" spans="1:27" ht="15">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row>
    <row r="929" spans="1:27" ht="15">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row>
    <row r="930" spans="1:27" ht="15">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row>
    <row r="931" spans="1:27" ht="15">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row>
    <row r="932" spans="1:27" ht="15">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row>
    <row r="933" spans="1:27" ht="15">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row>
    <row r="934" spans="1:27" ht="15">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row>
    <row r="935" spans="1:27" ht="1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row>
    <row r="936" spans="1:27" ht="15">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row>
    <row r="937" spans="1:27" ht="15">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row>
    <row r="938" spans="1:27" ht="15">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row>
    <row r="939" spans="1:27" ht="15">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row>
    <row r="940" spans="1:27" ht="15">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row>
    <row r="941" spans="1:27" ht="15">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row>
    <row r="942" spans="1:27" ht="15">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row>
    <row r="943" spans="1:27" ht="15">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row>
    <row r="944" spans="1:27" ht="15">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row>
    <row r="945" spans="1:27" ht="1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row>
    <row r="946" spans="1:27" ht="15">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row>
    <row r="947" spans="1:27" ht="15">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row>
    <row r="948" spans="1:27" ht="15">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row>
    <row r="949" spans="1:27" ht="15">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row>
    <row r="950" spans="1:27" ht="15">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row>
    <row r="951" spans="1:27" ht="15">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row>
    <row r="952" spans="1:27" ht="15">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row>
    <row r="953" spans="1:27" ht="15">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row>
    <row r="954" spans="1:27" ht="15">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row>
    <row r="955" spans="1:27" ht="1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row>
    <row r="956" spans="1:27" ht="15">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row>
    <row r="957" spans="1:27" ht="15">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row>
    <row r="958" spans="1:27" ht="15">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row>
    <row r="959" spans="1:27" ht="15">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row>
    <row r="960" spans="1:27" ht="15">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row>
    <row r="961" spans="1:27" ht="15">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row>
    <row r="962" spans="1:27" ht="15">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row>
    <row r="963" spans="1:27" ht="15">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row>
    <row r="964" spans="1:27" ht="15">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row>
    <row r="965" spans="1:27" ht="1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row>
    <row r="966" spans="1:27" ht="15">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row>
    <row r="967" spans="1:27" ht="15">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row>
    <row r="968" spans="1:27" ht="15">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row>
    <row r="969" spans="1:27" ht="15">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row>
    <row r="970" spans="1:27" ht="15">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row>
    <row r="971" spans="1:27" ht="15">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row>
    <row r="972" spans="1:27" ht="15">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row>
    <row r="973" spans="1:27" ht="15">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row>
    <row r="974" spans="1:27" ht="15">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row>
    <row r="975" spans="1:27" ht="1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row>
    <row r="976" spans="1:27" ht="15">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row>
    <row r="977" spans="1:27" ht="15">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row>
    <row r="978" spans="1:27" ht="15">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row>
    <row r="979" spans="1:27" ht="15">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row>
    <row r="980" spans="1:27" ht="15">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row>
    <row r="981" spans="1:27" ht="15">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row>
    <row r="982" spans="1:27" ht="15">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row>
    <row r="983" spans="1:27" ht="15">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row>
    <row r="984" spans="1:27" ht="15">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row>
    <row r="985" spans="1:27" ht="1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row>
    <row r="986" spans="1:27" ht="15">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row>
    <row r="987" spans="1:27" ht="15">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row>
    <row r="988" spans="1:27" ht="15">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row>
    <row r="989" spans="1:27" ht="15">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row>
    <row r="990" spans="1:27" ht="15">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row>
    <row r="991" spans="1:27" ht="15">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row>
    <row r="992" spans="1:27" ht="15">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row>
    <row r="993" spans="1:27" ht="15">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row>
    <row r="994" spans="1:27" ht="15">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row>
    <row r="995" spans="1:27" ht="1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row>
    <row r="996" spans="1:27" ht="15">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row>
    <row r="997" spans="1:27" ht="15">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row>
    <row r="998" spans="1:27" ht="15">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row>
    <row r="999" spans="1:27" ht="15">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1002"/>
  <sheetViews>
    <sheetView workbookViewId="0"/>
  </sheetViews>
  <sheetFormatPr defaultColWidth="12.5703125" defaultRowHeight="15.75" customHeight="1"/>
  <cols>
    <col min="1" max="1" width="14.7109375" customWidth="1"/>
    <col min="4" max="4" width="23.5703125" customWidth="1"/>
    <col min="5" max="5" width="20.5703125" customWidth="1"/>
    <col min="6" max="6" width="11" customWidth="1"/>
  </cols>
  <sheetData>
    <row r="1" spans="1:8">
      <c r="A1" s="145" t="s">
        <v>12936</v>
      </c>
      <c r="B1" s="169" t="s">
        <v>12937</v>
      </c>
      <c r="C1" s="145" t="s">
        <v>13</v>
      </c>
      <c r="D1" s="169" t="s">
        <v>12938</v>
      </c>
      <c r="E1" s="169" t="s">
        <v>12939</v>
      </c>
      <c r="F1" s="169" t="s">
        <v>12940</v>
      </c>
      <c r="G1" s="154"/>
      <c r="H1" s="154"/>
    </row>
    <row r="2" spans="1:8">
      <c r="A2" s="145" t="s">
        <v>12790</v>
      </c>
      <c r="B2" s="169">
        <v>197000</v>
      </c>
      <c r="C2" s="145">
        <v>5</v>
      </c>
      <c r="D2" s="169">
        <v>15000</v>
      </c>
      <c r="E2" s="158">
        <f t="shared" ref="E2:E11" si="0">D2*C2</f>
        <v>75000</v>
      </c>
      <c r="F2" s="158">
        <f t="shared" ref="F2:F11" si="1">B2-E2</f>
        <v>122000</v>
      </c>
      <c r="G2" s="154"/>
      <c r="H2" s="154"/>
    </row>
    <row r="3" spans="1:8">
      <c r="A3" s="145" t="s">
        <v>12791</v>
      </c>
      <c r="B3" s="169">
        <v>297000</v>
      </c>
      <c r="C3" s="145">
        <v>7</v>
      </c>
      <c r="D3" s="169">
        <v>15000</v>
      </c>
      <c r="E3" s="158">
        <f t="shared" si="0"/>
        <v>105000</v>
      </c>
      <c r="F3" s="158">
        <f t="shared" si="1"/>
        <v>192000</v>
      </c>
      <c r="G3" s="154"/>
      <c r="H3" s="154"/>
    </row>
    <row r="4" spans="1:8">
      <c r="A4" s="145" t="s">
        <v>12792</v>
      </c>
      <c r="B4" s="169">
        <v>375000</v>
      </c>
      <c r="C4" s="145">
        <v>10</v>
      </c>
      <c r="D4" s="169">
        <v>15000</v>
      </c>
      <c r="E4" s="158">
        <f t="shared" si="0"/>
        <v>150000</v>
      </c>
      <c r="F4" s="158">
        <f t="shared" si="1"/>
        <v>225000</v>
      </c>
      <c r="G4" s="154"/>
      <c r="H4" s="154"/>
    </row>
    <row r="5" spans="1:8">
      <c r="A5" s="145" t="s">
        <v>12941</v>
      </c>
      <c r="B5" s="169">
        <v>550000</v>
      </c>
      <c r="C5" s="145">
        <v>14</v>
      </c>
      <c r="D5" s="169">
        <v>15000</v>
      </c>
      <c r="E5" s="158">
        <f t="shared" si="0"/>
        <v>210000</v>
      </c>
      <c r="F5" s="158">
        <f t="shared" si="1"/>
        <v>340000</v>
      </c>
      <c r="G5" s="154"/>
      <c r="H5" s="154"/>
    </row>
    <row r="6" spans="1:8">
      <c r="A6" s="145" t="s">
        <v>12793</v>
      </c>
      <c r="B6" s="169">
        <v>1000000</v>
      </c>
      <c r="C6" s="145">
        <v>30</v>
      </c>
      <c r="D6" s="169">
        <v>15000</v>
      </c>
      <c r="E6" s="158">
        <f t="shared" si="0"/>
        <v>450000</v>
      </c>
      <c r="F6" s="158">
        <f t="shared" si="1"/>
        <v>550000</v>
      </c>
      <c r="G6" s="154"/>
      <c r="H6" s="154"/>
    </row>
    <row r="7" spans="1:8">
      <c r="A7" s="145" t="s">
        <v>12794</v>
      </c>
      <c r="B7" s="169">
        <v>197000</v>
      </c>
      <c r="C7" s="145">
        <v>5</v>
      </c>
      <c r="D7" s="169">
        <v>15000</v>
      </c>
      <c r="E7" s="158">
        <f t="shared" si="0"/>
        <v>75000</v>
      </c>
      <c r="F7" s="158">
        <f t="shared" si="1"/>
        <v>122000</v>
      </c>
      <c r="G7" s="154"/>
      <c r="H7" s="154"/>
    </row>
    <row r="8" spans="1:8">
      <c r="A8" s="145" t="s">
        <v>12795</v>
      </c>
      <c r="B8" s="169">
        <v>297000</v>
      </c>
      <c r="C8" s="145">
        <v>7</v>
      </c>
      <c r="D8" s="169">
        <v>15000</v>
      </c>
      <c r="E8" s="158">
        <f t="shared" si="0"/>
        <v>105000</v>
      </c>
      <c r="F8" s="158">
        <f t="shared" si="1"/>
        <v>192000</v>
      </c>
      <c r="G8" s="154"/>
      <c r="H8" s="154"/>
    </row>
    <row r="9" spans="1:8">
      <c r="A9" s="145" t="s">
        <v>12796</v>
      </c>
      <c r="B9" s="169">
        <v>375000</v>
      </c>
      <c r="C9" s="145">
        <v>10</v>
      </c>
      <c r="D9" s="169">
        <v>15000</v>
      </c>
      <c r="E9" s="158">
        <f t="shared" si="0"/>
        <v>150000</v>
      </c>
      <c r="F9" s="158">
        <f t="shared" si="1"/>
        <v>225000</v>
      </c>
      <c r="G9" s="154"/>
      <c r="H9" s="154"/>
    </row>
    <row r="10" spans="1:8">
      <c r="A10" s="145" t="s">
        <v>12797</v>
      </c>
      <c r="B10" s="169">
        <v>550000</v>
      </c>
      <c r="C10" s="145">
        <v>14</v>
      </c>
      <c r="D10" s="169">
        <v>15000</v>
      </c>
      <c r="E10" s="158">
        <f t="shared" si="0"/>
        <v>210000</v>
      </c>
      <c r="F10" s="158">
        <f t="shared" si="1"/>
        <v>340000</v>
      </c>
      <c r="G10" s="154"/>
      <c r="H10" s="154"/>
    </row>
    <row r="11" spans="1:8">
      <c r="A11" s="145" t="s">
        <v>12798</v>
      </c>
      <c r="B11" s="169">
        <v>1000000</v>
      </c>
      <c r="C11" s="145">
        <v>30</v>
      </c>
      <c r="D11" s="169">
        <v>15000</v>
      </c>
      <c r="E11" s="158">
        <f t="shared" si="0"/>
        <v>450000</v>
      </c>
      <c r="F11" s="158">
        <f t="shared" si="1"/>
        <v>550000</v>
      </c>
      <c r="G11" s="154"/>
      <c r="H11" s="154"/>
    </row>
    <row r="12" spans="1:8">
      <c r="B12" s="103"/>
      <c r="D12" s="103"/>
      <c r="E12" s="103"/>
      <c r="F12" s="103"/>
    </row>
    <row r="13" spans="1:8">
      <c r="B13" s="103"/>
      <c r="D13" s="103"/>
      <c r="E13" s="103"/>
      <c r="F13" s="103"/>
    </row>
    <row r="14" spans="1:8">
      <c r="B14" s="103"/>
      <c r="D14" s="103"/>
      <c r="E14" s="103"/>
      <c r="F14" s="103"/>
    </row>
    <row r="15" spans="1:8">
      <c r="B15" s="103"/>
      <c r="D15" s="103"/>
      <c r="E15" s="103"/>
      <c r="F15" s="103"/>
    </row>
    <row r="16" spans="1:8">
      <c r="B16" s="103"/>
      <c r="D16" s="103"/>
      <c r="E16" s="103"/>
      <c r="F16" s="103"/>
    </row>
    <row r="17" spans="2:6">
      <c r="B17" s="103"/>
      <c r="D17" s="103"/>
      <c r="E17" s="103"/>
      <c r="F17" s="103"/>
    </row>
    <row r="18" spans="2:6">
      <c r="B18" s="103"/>
      <c r="D18" s="103"/>
      <c r="E18" s="103"/>
      <c r="F18" s="103"/>
    </row>
    <row r="19" spans="2:6">
      <c r="B19" s="103"/>
      <c r="D19" s="103"/>
      <c r="E19" s="103"/>
      <c r="F19" s="103"/>
    </row>
    <row r="20" spans="2:6">
      <c r="B20" s="103"/>
      <c r="D20" s="103"/>
      <c r="E20" s="103"/>
      <c r="F20" s="103"/>
    </row>
    <row r="21" spans="2:6">
      <c r="B21" s="103"/>
      <c r="D21" s="103"/>
      <c r="E21" s="103"/>
      <c r="F21" s="103"/>
    </row>
    <row r="22" spans="2:6">
      <c r="B22" s="103"/>
      <c r="D22" s="103"/>
      <c r="E22" s="103"/>
      <c r="F22" s="103"/>
    </row>
    <row r="23" spans="2:6">
      <c r="B23" s="103"/>
      <c r="D23" s="103"/>
      <c r="E23" s="103"/>
      <c r="F23" s="103"/>
    </row>
    <row r="24" spans="2:6">
      <c r="B24" s="103"/>
      <c r="D24" s="103"/>
      <c r="E24" s="103"/>
      <c r="F24" s="103"/>
    </row>
    <row r="25" spans="2:6">
      <c r="B25" s="103"/>
      <c r="D25" s="103"/>
      <c r="E25" s="103"/>
      <c r="F25" s="103"/>
    </row>
    <row r="26" spans="2:6">
      <c r="B26" s="103"/>
      <c r="D26" s="103"/>
      <c r="E26" s="103"/>
      <c r="F26" s="103"/>
    </row>
    <row r="27" spans="2:6">
      <c r="B27" s="103"/>
      <c r="D27" s="103"/>
      <c r="E27" s="103"/>
      <c r="F27" s="103"/>
    </row>
    <row r="28" spans="2:6">
      <c r="B28" s="103"/>
      <c r="D28" s="103"/>
      <c r="E28" s="103"/>
      <c r="F28" s="103"/>
    </row>
    <row r="29" spans="2:6">
      <c r="B29" s="103"/>
      <c r="D29" s="103"/>
      <c r="E29" s="103"/>
      <c r="F29" s="103"/>
    </row>
    <row r="30" spans="2:6">
      <c r="B30" s="103"/>
      <c r="D30" s="103"/>
      <c r="E30" s="103"/>
      <c r="F30" s="103"/>
    </row>
    <row r="31" spans="2:6">
      <c r="B31" s="103"/>
      <c r="D31" s="103"/>
      <c r="E31" s="103"/>
      <c r="F31" s="103"/>
    </row>
    <row r="32" spans="2:6">
      <c r="B32" s="103"/>
      <c r="D32" s="103"/>
      <c r="E32" s="103"/>
      <c r="F32" s="103"/>
    </row>
    <row r="33" spans="2:6">
      <c r="B33" s="103"/>
      <c r="D33" s="103"/>
      <c r="E33" s="103"/>
      <c r="F33" s="103"/>
    </row>
    <row r="34" spans="2:6">
      <c r="B34" s="103"/>
      <c r="D34" s="103"/>
      <c r="E34" s="103"/>
      <c r="F34" s="103"/>
    </row>
    <row r="35" spans="2:6">
      <c r="B35" s="103"/>
      <c r="D35" s="103"/>
      <c r="E35" s="103"/>
      <c r="F35" s="103"/>
    </row>
    <row r="36" spans="2:6">
      <c r="B36" s="103"/>
      <c r="D36" s="103"/>
      <c r="E36" s="103"/>
      <c r="F36" s="103"/>
    </row>
    <row r="37" spans="2:6">
      <c r="B37" s="103"/>
      <c r="D37" s="103"/>
      <c r="E37" s="103"/>
      <c r="F37" s="103"/>
    </row>
    <row r="38" spans="2:6">
      <c r="B38" s="103"/>
      <c r="D38" s="103"/>
      <c r="E38" s="103"/>
      <c r="F38" s="103"/>
    </row>
    <row r="39" spans="2:6">
      <c r="B39" s="103"/>
      <c r="D39" s="103"/>
      <c r="E39" s="103"/>
      <c r="F39" s="103"/>
    </row>
    <row r="40" spans="2:6">
      <c r="B40" s="103"/>
      <c r="D40" s="103"/>
      <c r="E40" s="103"/>
      <c r="F40" s="103"/>
    </row>
    <row r="41" spans="2:6">
      <c r="B41" s="103"/>
      <c r="D41" s="103"/>
      <c r="E41" s="103"/>
      <c r="F41" s="103"/>
    </row>
    <row r="42" spans="2:6">
      <c r="B42" s="103"/>
      <c r="D42" s="103"/>
      <c r="E42" s="103"/>
      <c r="F42" s="103"/>
    </row>
    <row r="43" spans="2:6">
      <c r="B43" s="103"/>
      <c r="D43" s="103"/>
      <c r="E43" s="103"/>
      <c r="F43" s="103"/>
    </row>
    <row r="44" spans="2:6">
      <c r="B44" s="103"/>
      <c r="D44" s="103"/>
      <c r="E44" s="103"/>
      <c r="F44" s="103"/>
    </row>
    <row r="45" spans="2:6">
      <c r="B45" s="103"/>
      <c r="D45" s="103"/>
      <c r="E45" s="103"/>
      <c r="F45" s="103"/>
    </row>
    <row r="46" spans="2:6">
      <c r="B46" s="103"/>
      <c r="D46" s="103"/>
      <c r="E46" s="103"/>
      <c r="F46" s="103"/>
    </row>
    <row r="47" spans="2:6">
      <c r="B47" s="103"/>
      <c r="D47" s="103"/>
      <c r="E47" s="103"/>
      <c r="F47" s="103"/>
    </row>
    <row r="48" spans="2:6">
      <c r="B48" s="103"/>
      <c r="D48" s="103"/>
      <c r="E48" s="103"/>
      <c r="F48" s="103"/>
    </row>
    <row r="49" spans="2:6">
      <c r="B49" s="103"/>
      <c r="D49" s="103"/>
      <c r="E49" s="103"/>
      <c r="F49" s="103"/>
    </row>
    <row r="50" spans="2:6">
      <c r="B50" s="103"/>
      <c r="D50" s="103"/>
      <c r="E50" s="103"/>
      <c r="F50" s="103"/>
    </row>
    <row r="51" spans="2:6">
      <c r="B51" s="103"/>
      <c r="D51" s="103"/>
      <c r="E51" s="103"/>
      <c r="F51" s="103"/>
    </row>
    <row r="52" spans="2:6">
      <c r="B52" s="103"/>
      <c r="D52" s="103"/>
      <c r="E52" s="103"/>
      <c r="F52" s="103"/>
    </row>
    <row r="53" spans="2:6">
      <c r="B53" s="103"/>
      <c r="D53" s="103"/>
      <c r="E53" s="103"/>
      <c r="F53" s="103"/>
    </row>
    <row r="54" spans="2:6">
      <c r="B54" s="103"/>
      <c r="D54" s="103"/>
      <c r="E54" s="103"/>
      <c r="F54" s="103"/>
    </row>
    <row r="55" spans="2:6">
      <c r="B55" s="103"/>
      <c r="D55" s="103"/>
      <c r="E55" s="103"/>
      <c r="F55" s="103"/>
    </row>
    <row r="56" spans="2:6">
      <c r="B56" s="103"/>
      <c r="D56" s="103"/>
      <c r="E56" s="103"/>
      <c r="F56" s="103"/>
    </row>
    <row r="57" spans="2:6">
      <c r="B57" s="103"/>
      <c r="D57" s="103"/>
      <c r="E57" s="103"/>
      <c r="F57" s="103"/>
    </row>
    <row r="58" spans="2:6">
      <c r="B58" s="103"/>
      <c r="D58" s="103"/>
      <c r="E58" s="103"/>
      <c r="F58" s="103"/>
    </row>
    <row r="59" spans="2:6">
      <c r="B59" s="103"/>
      <c r="D59" s="103"/>
      <c r="E59" s="103"/>
      <c r="F59" s="103"/>
    </row>
    <row r="60" spans="2:6">
      <c r="B60" s="103"/>
      <c r="D60" s="103"/>
      <c r="E60" s="103"/>
      <c r="F60" s="103"/>
    </row>
    <row r="61" spans="2:6">
      <c r="B61" s="103"/>
      <c r="D61" s="103"/>
      <c r="E61" s="103"/>
      <c r="F61" s="103"/>
    </row>
    <row r="62" spans="2:6">
      <c r="B62" s="103"/>
      <c r="D62" s="103"/>
      <c r="E62" s="103"/>
      <c r="F62" s="103"/>
    </row>
    <row r="63" spans="2:6">
      <c r="B63" s="103"/>
      <c r="D63" s="103"/>
      <c r="E63" s="103"/>
      <c r="F63" s="103"/>
    </row>
    <row r="64" spans="2:6">
      <c r="B64" s="103"/>
      <c r="D64" s="103"/>
      <c r="E64" s="103"/>
      <c r="F64" s="103"/>
    </row>
    <row r="65" spans="2:6">
      <c r="B65" s="103"/>
      <c r="D65" s="103"/>
      <c r="E65" s="103"/>
      <c r="F65" s="103"/>
    </row>
    <row r="66" spans="2:6">
      <c r="B66" s="103"/>
      <c r="D66" s="103"/>
      <c r="E66" s="103"/>
      <c r="F66" s="103"/>
    </row>
    <row r="67" spans="2:6">
      <c r="B67" s="103"/>
      <c r="D67" s="103"/>
      <c r="E67" s="103"/>
      <c r="F67" s="103"/>
    </row>
    <row r="68" spans="2:6">
      <c r="B68" s="103"/>
      <c r="D68" s="103"/>
      <c r="E68" s="103"/>
      <c r="F68" s="103"/>
    </row>
    <row r="69" spans="2:6">
      <c r="B69" s="103"/>
      <c r="D69" s="103"/>
      <c r="E69" s="103"/>
      <c r="F69" s="103"/>
    </row>
    <row r="70" spans="2:6">
      <c r="B70" s="103"/>
      <c r="D70" s="103"/>
      <c r="E70" s="103"/>
      <c r="F70" s="103"/>
    </row>
    <row r="71" spans="2:6">
      <c r="B71" s="103"/>
      <c r="D71" s="103"/>
      <c r="E71" s="103"/>
      <c r="F71" s="103"/>
    </row>
    <row r="72" spans="2:6">
      <c r="B72" s="103"/>
      <c r="D72" s="103"/>
      <c r="E72" s="103"/>
      <c r="F72" s="103"/>
    </row>
    <row r="73" spans="2:6">
      <c r="B73" s="103"/>
      <c r="D73" s="103"/>
      <c r="E73" s="103"/>
      <c r="F73" s="103"/>
    </row>
    <row r="74" spans="2:6">
      <c r="B74" s="103"/>
      <c r="D74" s="103"/>
      <c r="E74" s="103"/>
      <c r="F74" s="103"/>
    </row>
    <row r="75" spans="2:6">
      <c r="B75" s="103"/>
      <c r="D75" s="103"/>
      <c r="E75" s="103"/>
      <c r="F75" s="103"/>
    </row>
    <row r="76" spans="2:6">
      <c r="B76" s="103"/>
      <c r="D76" s="103"/>
      <c r="E76" s="103"/>
      <c r="F76" s="103"/>
    </row>
    <row r="77" spans="2:6">
      <c r="B77" s="103"/>
      <c r="D77" s="103"/>
      <c r="E77" s="103"/>
      <c r="F77" s="103"/>
    </row>
    <row r="78" spans="2:6">
      <c r="B78" s="103"/>
      <c r="D78" s="103"/>
      <c r="E78" s="103"/>
      <c r="F78" s="103"/>
    </row>
    <row r="79" spans="2:6">
      <c r="B79" s="103"/>
      <c r="D79" s="103"/>
      <c r="E79" s="103"/>
      <c r="F79" s="103"/>
    </row>
    <row r="80" spans="2:6">
      <c r="B80" s="103"/>
      <c r="D80" s="103"/>
      <c r="E80" s="103"/>
      <c r="F80" s="103"/>
    </row>
    <row r="81" spans="2:6">
      <c r="B81" s="103"/>
      <c r="D81" s="103"/>
      <c r="E81" s="103"/>
      <c r="F81" s="103"/>
    </row>
    <row r="82" spans="2:6">
      <c r="B82" s="103"/>
      <c r="D82" s="103"/>
      <c r="E82" s="103"/>
      <c r="F82" s="103"/>
    </row>
    <row r="83" spans="2:6">
      <c r="B83" s="103"/>
      <c r="D83" s="103"/>
      <c r="E83" s="103"/>
      <c r="F83" s="103"/>
    </row>
    <row r="84" spans="2:6">
      <c r="B84" s="103"/>
      <c r="D84" s="103"/>
      <c r="E84" s="103"/>
      <c r="F84" s="103"/>
    </row>
    <row r="85" spans="2:6">
      <c r="B85" s="103"/>
      <c r="D85" s="103"/>
      <c r="E85" s="103"/>
      <c r="F85" s="103"/>
    </row>
    <row r="86" spans="2:6">
      <c r="B86" s="103"/>
      <c r="D86" s="103"/>
      <c r="E86" s="103"/>
      <c r="F86" s="103"/>
    </row>
    <row r="87" spans="2:6">
      <c r="B87" s="103"/>
      <c r="D87" s="103"/>
      <c r="E87" s="103"/>
      <c r="F87" s="103"/>
    </row>
    <row r="88" spans="2:6">
      <c r="B88" s="103"/>
      <c r="D88" s="103"/>
      <c r="E88" s="103"/>
      <c r="F88" s="103"/>
    </row>
    <row r="89" spans="2:6">
      <c r="B89" s="103"/>
      <c r="D89" s="103"/>
      <c r="E89" s="103"/>
      <c r="F89" s="103"/>
    </row>
    <row r="90" spans="2:6">
      <c r="B90" s="103"/>
      <c r="D90" s="103"/>
      <c r="E90" s="103"/>
      <c r="F90" s="103"/>
    </row>
    <row r="91" spans="2:6">
      <c r="B91" s="103"/>
      <c r="D91" s="103"/>
      <c r="E91" s="103"/>
      <c r="F91" s="103"/>
    </row>
    <row r="92" spans="2:6">
      <c r="B92" s="103"/>
      <c r="D92" s="103"/>
      <c r="E92" s="103"/>
      <c r="F92" s="103"/>
    </row>
    <row r="93" spans="2:6">
      <c r="B93" s="103"/>
      <c r="D93" s="103"/>
      <c r="E93" s="103"/>
      <c r="F93" s="103"/>
    </row>
    <row r="94" spans="2:6">
      <c r="B94" s="103"/>
      <c r="D94" s="103"/>
      <c r="E94" s="103"/>
      <c r="F94" s="103"/>
    </row>
    <row r="95" spans="2:6">
      <c r="B95" s="103"/>
      <c r="D95" s="103"/>
      <c r="E95" s="103"/>
      <c r="F95" s="103"/>
    </row>
    <row r="96" spans="2:6">
      <c r="B96" s="103"/>
      <c r="D96" s="103"/>
      <c r="E96" s="103"/>
      <c r="F96" s="103"/>
    </row>
    <row r="97" spans="2:6">
      <c r="B97" s="103"/>
      <c r="D97" s="103"/>
      <c r="E97" s="103"/>
      <c r="F97" s="103"/>
    </row>
    <row r="98" spans="2:6">
      <c r="B98" s="103"/>
      <c r="D98" s="103"/>
      <c r="E98" s="103"/>
      <c r="F98" s="103"/>
    </row>
    <row r="99" spans="2:6">
      <c r="B99" s="103"/>
      <c r="D99" s="103"/>
      <c r="E99" s="103"/>
      <c r="F99" s="103"/>
    </row>
    <row r="100" spans="2:6">
      <c r="B100" s="103"/>
      <c r="D100" s="103"/>
      <c r="E100" s="103"/>
      <c r="F100" s="103"/>
    </row>
    <row r="101" spans="2:6">
      <c r="B101" s="103"/>
      <c r="D101" s="103"/>
      <c r="E101" s="103"/>
      <c r="F101" s="103"/>
    </row>
    <row r="102" spans="2:6">
      <c r="B102" s="103"/>
      <c r="D102" s="103"/>
      <c r="E102" s="103"/>
      <c r="F102" s="103"/>
    </row>
    <row r="103" spans="2:6">
      <c r="B103" s="103"/>
      <c r="D103" s="103"/>
      <c r="E103" s="103"/>
      <c r="F103" s="103"/>
    </row>
    <row r="104" spans="2:6">
      <c r="B104" s="103"/>
      <c r="D104" s="103"/>
      <c r="E104" s="103"/>
      <c r="F104" s="103"/>
    </row>
    <row r="105" spans="2:6">
      <c r="B105" s="103"/>
      <c r="D105" s="103"/>
      <c r="E105" s="103"/>
      <c r="F105" s="103"/>
    </row>
    <row r="106" spans="2:6">
      <c r="B106" s="103"/>
      <c r="D106" s="103"/>
      <c r="E106" s="103"/>
      <c r="F106" s="103"/>
    </row>
    <row r="107" spans="2:6">
      <c r="B107" s="103"/>
      <c r="D107" s="103"/>
      <c r="E107" s="103"/>
      <c r="F107" s="103"/>
    </row>
    <row r="108" spans="2:6">
      <c r="B108" s="103"/>
      <c r="D108" s="103"/>
      <c r="E108" s="103"/>
      <c r="F108" s="103"/>
    </row>
    <row r="109" spans="2:6">
      <c r="B109" s="103"/>
      <c r="D109" s="103"/>
      <c r="E109" s="103"/>
      <c r="F109" s="103"/>
    </row>
    <row r="110" spans="2:6">
      <c r="B110" s="103"/>
      <c r="D110" s="103"/>
      <c r="E110" s="103"/>
      <c r="F110" s="103"/>
    </row>
    <row r="111" spans="2:6">
      <c r="B111" s="103"/>
      <c r="D111" s="103"/>
      <c r="E111" s="103"/>
      <c r="F111" s="103"/>
    </row>
    <row r="112" spans="2:6">
      <c r="B112" s="103"/>
      <c r="D112" s="103"/>
      <c r="E112" s="103"/>
      <c r="F112" s="103"/>
    </row>
    <row r="113" spans="2:6">
      <c r="B113" s="103"/>
      <c r="D113" s="103"/>
      <c r="E113" s="103"/>
      <c r="F113" s="103"/>
    </row>
    <row r="114" spans="2:6">
      <c r="B114" s="103"/>
      <c r="D114" s="103"/>
      <c r="E114" s="103"/>
      <c r="F114" s="103"/>
    </row>
    <row r="115" spans="2:6">
      <c r="B115" s="103"/>
      <c r="D115" s="103"/>
      <c r="E115" s="103"/>
      <c r="F115" s="103"/>
    </row>
    <row r="116" spans="2:6">
      <c r="B116" s="103"/>
      <c r="D116" s="103"/>
      <c r="E116" s="103"/>
      <c r="F116" s="103"/>
    </row>
    <row r="117" spans="2:6">
      <c r="B117" s="103"/>
      <c r="D117" s="103"/>
      <c r="E117" s="103"/>
      <c r="F117" s="103"/>
    </row>
    <row r="118" spans="2:6">
      <c r="B118" s="103"/>
      <c r="D118" s="103"/>
      <c r="E118" s="103"/>
      <c r="F118" s="103"/>
    </row>
    <row r="119" spans="2:6">
      <c r="B119" s="103"/>
      <c r="D119" s="103"/>
      <c r="E119" s="103"/>
      <c r="F119" s="103"/>
    </row>
    <row r="120" spans="2:6">
      <c r="B120" s="103"/>
      <c r="D120" s="103"/>
      <c r="E120" s="103"/>
      <c r="F120" s="103"/>
    </row>
    <row r="121" spans="2:6">
      <c r="B121" s="103"/>
      <c r="D121" s="103"/>
      <c r="E121" s="103"/>
      <c r="F121" s="103"/>
    </row>
    <row r="122" spans="2:6">
      <c r="B122" s="103"/>
      <c r="D122" s="103"/>
      <c r="E122" s="103"/>
      <c r="F122" s="103"/>
    </row>
    <row r="123" spans="2:6">
      <c r="B123" s="103"/>
      <c r="D123" s="103"/>
      <c r="E123" s="103"/>
      <c r="F123" s="103"/>
    </row>
    <row r="124" spans="2:6">
      <c r="B124" s="103"/>
      <c r="D124" s="103"/>
      <c r="E124" s="103"/>
      <c r="F124" s="103"/>
    </row>
    <row r="125" spans="2:6">
      <c r="B125" s="103"/>
      <c r="D125" s="103"/>
      <c r="E125" s="103"/>
      <c r="F125" s="103"/>
    </row>
    <row r="126" spans="2:6">
      <c r="B126" s="103"/>
      <c r="D126" s="103"/>
      <c r="E126" s="103"/>
      <c r="F126" s="103"/>
    </row>
    <row r="127" spans="2:6">
      <c r="B127" s="103"/>
      <c r="D127" s="103"/>
      <c r="E127" s="103"/>
      <c r="F127" s="103"/>
    </row>
    <row r="128" spans="2:6">
      <c r="B128" s="103"/>
      <c r="D128" s="103"/>
      <c r="E128" s="103"/>
      <c r="F128" s="103"/>
    </row>
    <row r="129" spans="2:6">
      <c r="B129" s="103"/>
      <c r="D129" s="103"/>
      <c r="E129" s="103"/>
      <c r="F129" s="103"/>
    </row>
    <row r="130" spans="2:6">
      <c r="B130" s="103"/>
      <c r="D130" s="103"/>
      <c r="E130" s="103"/>
      <c r="F130" s="103"/>
    </row>
    <row r="131" spans="2:6">
      <c r="B131" s="103"/>
      <c r="D131" s="103"/>
      <c r="E131" s="103"/>
      <c r="F131" s="103"/>
    </row>
    <row r="132" spans="2:6">
      <c r="B132" s="103"/>
      <c r="D132" s="103"/>
      <c r="E132" s="103"/>
      <c r="F132" s="103"/>
    </row>
    <row r="133" spans="2:6">
      <c r="B133" s="103"/>
      <c r="D133" s="103"/>
      <c r="E133" s="103"/>
      <c r="F133" s="103"/>
    </row>
    <row r="134" spans="2:6">
      <c r="B134" s="103"/>
      <c r="D134" s="103"/>
      <c r="E134" s="103"/>
      <c r="F134" s="103"/>
    </row>
    <row r="135" spans="2:6">
      <c r="B135" s="103"/>
      <c r="D135" s="103"/>
      <c r="E135" s="103"/>
      <c r="F135" s="103"/>
    </row>
    <row r="136" spans="2:6">
      <c r="B136" s="103"/>
      <c r="D136" s="103"/>
      <c r="E136" s="103"/>
      <c r="F136" s="103"/>
    </row>
    <row r="137" spans="2:6">
      <c r="B137" s="103"/>
      <c r="D137" s="103"/>
      <c r="E137" s="103"/>
      <c r="F137" s="103"/>
    </row>
    <row r="138" spans="2:6">
      <c r="B138" s="103"/>
      <c r="D138" s="103"/>
      <c r="E138" s="103"/>
      <c r="F138" s="103"/>
    </row>
    <row r="139" spans="2:6">
      <c r="B139" s="103"/>
      <c r="D139" s="103"/>
      <c r="E139" s="103"/>
      <c r="F139" s="103"/>
    </row>
    <row r="140" spans="2:6">
      <c r="B140" s="103"/>
      <c r="D140" s="103"/>
      <c r="E140" s="103"/>
      <c r="F140" s="103"/>
    </row>
    <row r="141" spans="2:6">
      <c r="B141" s="103"/>
      <c r="D141" s="103"/>
      <c r="E141" s="103"/>
      <c r="F141" s="103"/>
    </row>
    <row r="142" spans="2:6">
      <c r="B142" s="103"/>
      <c r="D142" s="103"/>
      <c r="E142" s="103"/>
      <c r="F142" s="103"/>
    </row>
    <row r="143" spans="2:6">
      <c r="B143" s="103"/>
      <c r="D143" s="103"/>
      <c r="E143" s="103"/>
      <c r="F143" s="103"/>
    </row>
    <row r="144" spans="2:6">
      <c r="B144" s="103"/>
      <c r="D144" s="103"/>
      <c r="E144" s="103"/>
      <c r="F144" s="103"/>
    </row>
    <row r="145" spans="2:6">
      <c r="B145" s="103"/>
      <c r="D145" s="103"/>
      <c r="E145" s="103"/>
      <c r="F145" s="103"/>
    </row>
    <row r="146" spans="2:6">
      <c r="B146" s="103"/>
      <c r="D146" s="103"/>
      <c r="E146" s="103"/>
      <c r="F146" s="103"/>
    </row>
    <row r="147" spans="2:6">
      <c r="B147" s="103"/>
      <c r="D147" s="103"/>
      <c r="E147" s="103"/>
      <c r="F147" s="103"/>
    </row>
    <row r="148" spans="2:6">
      <c r="B148" s="103"/>
      <c r="D148" s="103"/>
      <c r="E148" s="103"/>
      <c r="F148" s="103"/>
    </row>
    <row r="149" spans="2:6">
      <c r="B149" s="103"/>
      <c r="D149" s="103"/>
      <c r="E149" s="103"/>
      <c r="F149" s="103"/>
    </row>
    <row r="150" spans="2:6">
      <c r="B150" s="103"/>
      <c r="D150" s="103"/>
      <c r="E150" s="103"/>
      <c r="F150" s="103"/>
    </row>
    <row r="151" spans="2:6">
      <c r="B151" s="103"/>
      <c r="D151" s="103"/>
      <c r="E151" s="103"/>
      <c r="F151" s="103"/>
    </row>
    <row r="152" spans="2:6">
      <c r="B152" s="103"/>
      <c r="D152" s="103"/>
      <c r="E152" s="103"/>
      <c r="F152" s="103"/>
    </row>
    <row r="153" spans="2:6">
      <c r="B153" s="103"/>
      <c r="D153" s="103"/>
      <c r="E153" s="103"/>
      <c r="F153" s="103"/>
    </row>
    <row r="154" spans="2:6">
      <c r="B154" s="103"/>
      <c r="D154" s="103"/>
      <c r="E154" s="103"/>
      <c r="F154" s="103"/>
    </row>
    <row r="155" spans="2:6">
      <c r="B155" s="103"/>
      <c r="D155" s="103"/>
      <c r="E155" s="103"/>
      <c r="F155" s="103"/>
    </row>
    <row r="156" spans="2:6">
      <c r="B156" s="103"/>
      <c r="D156" s="103"/>
      <c r="E156" s="103"/>
      <c r="F156" s="103"/>
    </row>
    <row r="157" spans="2:6">
      <c r="B157" s="103"/>
      <c r="D157" s="103"/>
      <c r="E157" s="103"/>
      <c r="F157" s="103"/>
    </row>
    <row r="158" spans="2:6">
      <c r="B158" s="103"/>
      <c r="D158" s="103"/>
      <c r="E158" s="103"/>
      <c r="F158" s="103"/>
    </row>
    <row r="159" spans="2:6">
      <c r="B159" s="103"/>
      <c r="D159" s="103"/>
      <c r="E159" s="103"/>
      <c r="F159" s="103"/>
    </row>
    <row r="160" spans="2:6">
      <c r="B160" s="103"/>
      <c r="D160" s="103"/>
      <c r="E160" s="103"/>
      <c r="F160" s="103"/>
    </row>
    <row r="161" spans="2:6">
      <c r="B161" s="103"/>
      <c r="D161" s="103"/>
      <c r="E161" s="103"/>
      <c r="F161" s="103"/>
    </row>
    <row r="162" spans="2:6">
      <c r="B162" s="103"/>
      <c r="D162" s="103"/>
      <c r="E162" s="103"/>
      <c r="F162" s="103"/>
    </row>
    <row r="163" spans="2:6">
      <c r="B163" s="103"/>
      <c r="D163" s="103"/>
      <c r="E163" s="103"/>
      <c r="F163" s="103"/>
    </row>
    <row r="164" spans="2:6">
      <c r="B164" s="103"/>
      <c r="D164" s="103"/>
      <c r="E164" s="103"/>
      <c r="F164" s="103"/>
    </row>
    <row r="165" spans="2:6">
      <c r="B165" s="103"/>
      <c r="D165" s="103"/>
      <c r="E165" s="103"/>
      <c r="F165" s="103"/>
    </row>
    <row r="166" spans="2:6">
      <c r="B166" s="103"/>
      <c r="D166" s="103"/>
      <c r="E166" s="103"/>
      <c r="F166" s="103"/>
    </row>
    <row r="167" spans="2:6">
      <c r="B167" s="103"/>
      <c r="D167" s="103"/>
      <c r="E167" s="103"/>
      <c r="F167" s="103"/>
    </row>
    <row r="168" spans="2:6">
      <c r="B168" s="103"/>
      <c r="D168" s="103"/>
      <c r="E168" s="103"/>
      <c r="F168" s="103"/>
    </row>
    <row r="169" spans="2:6">
      <c r="B169" s="103"/>
      <c r="D169" s="103"/>
      <c r="E169" s="103"/>
      <c r="F169" s="103"/>
    </row>
    <row r="170" spans="2:6">
      <c r="B170" s="103"/>
      <c r="D170" s="103"/>
      <c r="E170" s="103"/>
      <c r="F170" s="103"/>
    </row>
    <row r="171" spans="2:6">
      <c r="B171" s="103"/>
      <c r="D171" s="103"/>
      <c r="E171" s="103"/>
      <c r="F171" s="103"/>
    </row>
    <row r="172" spans="2:6">
      <c r="B172" s="103"/>
      <c r="D172" s="103"/>
      <c r="E172" s="103"/>
      <c r="F172" s="103"/>
    </row>
    <row r="173" spans="2:6">
      <c r="B173" s="103"/>
      <c r="D173" s="103"/>
      <c r="E173" s="103"/>
      <c r="F173" s="103"/>
    </row>
    <row r="174" spans="2:6">
      <c r="B174" s="103"/>
      <c r="D174" s="103"/>
      <c r="E174" s="103"/>
      <c r="F174" s="103"/>
    </row>
    <row r="175" spans="2:6">
      <c r="B175" s="103"/>
      <c r="D175" s="103"/>
      <c r="E175" s="103"/>
      <c r="F175" s="103"/>
    </row>
    <row r="176" spans="2:6">
      <c r="B176" s="103"/>
      <c r="D176" s="103"/>
      <c r="E176" s="103"/>
      <c r="F176" s="103"/>
    </row>
    <row r="177" spans="2:6">
      <c r="B177" s="103"/>
      <c r="D177" s="103"/>
      <c r="E177" s="103"/>
      <c r="F177" s="103"/>
    </row>
    <row r="178" spans="2:6">
      <c r="B178" s="103"/>
      <c r="D178" s="103"/>
      <c r="E178" s="103"/>
      <c r="F178" s="103"/>
    </row>
    <row r="179" spans="2:6">
      <c r="B179" s="103"/>
      <c r="D179" s="103"/>
      <c r="E179" s="103"/>
      <c r="F179" s="103"/>
    </row>
    <row r="180" spans="2:6">
      <c r="B180" s="103"/>
      <c r="D180" s="103"/>
      <c r="E180" s="103"/>
      <c r="F180" s="103"/>
    </row>
    <row r="181" spans="2:6">
      <c r="B181" s="103"/>
      <c r="D181" s="103"/>
      <c r="E181" s="103"/>
      <c r="F181" s="103"/>
    </row>
    <row r="182" spans="2:6">
      <c r="B182" s="103"/>
      <c r="D182" s="103"/>
      <c r="E182" s="103"/>
      <c r="F182" s="103"/>
    </row>
    <row r="183" spans="2:6">
      <c r="B183" s="103"/>
      <c r="D183" s="103"/>
      <c r="E183" s="103"/>
      <c r="F183" s="103"/>
    </row>
    <row r="184" spans="2:6">
      <c r="B184" s="103"/>
      <c r="D184" s="103"/>
      <c r="E184" s="103"/>
      <c r="F184" s="103"/>
    </row>
    <row r="185" spans="2:6">
      <c r="B185" s="103"/>
      <c r="D185" s="103"/>
      <c r="E185" s="103"/>
      <c r="F185" s="103"/>
    </row>
    <row r="186" spans="2:6">
      <c r="B186" s="103"/>
      <c r="D186" s="103"/>
      <c r="E186" s="103"/>
      <c r="F186" s="103"/>
    </row>
    <row r="187" spans="2:6">
      <c r="B187" s="103"/>
      <c r="D187" s="103"/>
      <c r="E187" s="103"/>
      <c r="F187" s="103"/>
    </row>
    <row r="188" spans="2:6">
      <c r="B188" s="103"/>
      <c r="D188" s="103"/>
      <c r="E188" s="103"/>
      <c r="F188" s="103"/>
    </row>
    <row r="189" spans="2:6">
      <c r="B189" s="103"/>
      <c r="D189" s="103"/>
      <c r="E189" s="103"/>
      <c r="F189" s="103"/>
    </row>
    <row r="190" spans="2:6">
      <c r="B190" s="103"/>
      <c r="D190" s="103"/>
      <c r="E190" s="103"/>
      <c r="F190" s="103"/>
    </row>
    <row r="191" spans="2:6">
      <c r="B191" s="103"/>
      <c r="D191" s="103"/>
      <c r="E191" s="103"/>
      <c r="F191" s="103"/>
    </row>
    <row r="192" spans="2:6">
      <c r="B192" s="103"/>
      <c r="D192" s="103"/>
      <c r="E192" s="103"/>
      <c r="F192" s="103"/>
    </row>
    <row r="193" spans="2:6">
      <c r="B193" s="103"/>
      <c r="D193" s="103"/>
      <c r="E193" s="103"/>
      <c r="F193" s="103"/>
    </row>
    <row r="194" spans="2:6">
      <c r="B194" s="103"/>
      <c r="D194" s="103"/>
      <c r="E194" s="103"/>
      <c r="F194" s="103"/>
    </row>
    <row r="195" spans="2:6">
      <c r="B195" s="103"/>
      <c r="D195" s="103"/>
      <c r="E195" s="103"/>
      <c r="F195" s="103"/>
    </row>
    <row r="196" spans="2:6">
      <c r="B196" s="103"/>
      <c r="D196" s="103"/>
      <c r="E196" s="103"/>
      <c r="F196" s="103"/>
    </row>
    <row r="197" spans="2:6">
      <c r="B197" s="103"/>
      <c r="D197" s="103"/>
      <c r="E197" s="103"/>
      <c r="F197" s="103"/>
    </row>
    <row r="198" spans="2:6">
      <c r="B198" s="103"/>
      <c r="D198" s="103"/>
      <c r="E198" s="103"/>
      <c r="F198" s="103"/>
    </row>
    <row r="199" spans="2:6">
      <c r="B199" s="103"/>
      <c r="D199" s="103"/>
      <c r="E199" s="103"/>
      <c r="F199" s="103"/>
    </row>
    <row r="200" spans="2:6">
      <c r="B200" s="103"/>
      <c r="D200" s="103"/>
      <c r="E200" s="103"/>
      <c r="F200" s="103"/>
    </row>
    <row r="201" spans="2:6">
      <c r="B201" s="103"/>
      <c r="D201" s="103"/>
      <c r="E201" s="103"/>
      <c r="F201" s="103"/>
    </row>
    <row r="202" spans="2:6">
      <c r="B202" s="103"/>
      <c r="D202" s="103"/>
      <c r="E202" s="103"/>
      <c r="F202" s="103"/>
    </row>
    <row r="203" spans="2:6">
      <c r="B203" s="103"/>
      <c r="D203" s="103"/>
      <c r="E203" s="103"/>
      <c r="F203" s="103"/>
    </row>
    <row r="204" spans="2:6">
      <c r="B204" s="103"/>
      <c r="D204" s="103"/>
      <c r="E204" s="103"/>
      <c r="F204" s="103"/>
    </row>
    <row r="205" spans="2:6">
      <c r="B205" s="103"/>
      <c r="D205" s="103"/>
      <c r="E205" s="103"/>
      <c r="F205" s="103"/>
    </row>
    <row r="206" spans="2:6">
      <c r="B206" s="103"/>
      <c r="D206" s="103"/>
      <c r="E206" s="103"/>
      <c r="F206" s="103"/>
    </row>
    <row r="207" spans="2:6">
      <c r="B207" s="103"/>
      <c r="D207" s="103"/>
      <c r="E207" s="103"/>
      <c r="F207" s="103"/>
    </row>
    <row r="208" spans="2:6">
      <c r="B208" s="103"/>
      <c r="D208" s="103"/>
      <c r="E208" s="103"/>
      <c r="F208" s="103"/>
    </row>
    <row r="209" spans="2:6">
      <c r="B209" s="103"/>
      <c r="D209" s="103"/>
      <c r="E209" s="103"/>
      <c r="F209" s="103"/>
    </row>
    <row r="210" spans="2:6">
      <c r="B210" s="103"/>
      <c r="D210" s="103"/>
      <c r="E210" s="103"/>
      <c r="F210" s="103"/>
    </row>
    <row r="211" spans="2:6">
      <c r="B211" s="103"/>
      <c r="D211" s="103"/>
      <c r="E211" s="103"/>
      <c r="F211" s="103"/>
    </row>
    <row r="212" spans="2:6">
      <c r="B212" s="103"/>
      <c r="D212" s="103"/>
      <c r="E212" s="103"/>
      <c r="F212" s="103"/>
    </row>
    <row r="213" spans="2:6">
      <c r="B213" s="103"/>
      <c r="D213" s="103"/>
      <c r="E213" s="103"/>
      <c r="F213" s="103"/>
    </row>
    <row r="214" spans="2:6">
      <c r="B214" s="103"/>
      <c r="D214" s="103"/>
      <c r="E214" s="103"/>
      <c r="F214" s="103"/>
    </row>
    <row r="215" spans="2:6">
      <c r="B215" s="103"/>
      <c r="D215" s="103"/>
      <c r="E215" s="103"/>
      <c r="F215" s="103"/>
    </row>
    <row r="216" spans="2:6">
      <c r="B216" s="103"/>
      <c r="D216" s="103"/>
      <c r="E216" s="103"/>
      <c r="F216" s="103"/>
    </row>
    <row r="217" spans="2:6">
      <c r="B217" s="103"/>
      <c r="D217" s="103"/>
      <c r="E217" s="103"/>
      <c r="F217" s="103"/>
    </row>
    <row r="218" spans="2:6">
      <c r="B218" s="103"/>
      <c r="D218" s="103"/>
      <c r="E218" s="103"/>
      <c r="F218" s="103"/>
    </row>
    <row r="219" spans="2:6">
      <c r="B219" s="103"/>
      <c r="D219" s="103"/>
      <c r="E219" s="103"/>
      <c r="F219" s="103"/>
    </row>
    <row r="220" spans="2:6">
      <c r="B220" s="103"/>
      <c r="D220" s="103"/>
      <c r="E220" s="103"/>
      <c r="F220" s="103"/>
    </row>
    <row r="221" spans="2:6">
      <c r="B221" s="103"/>
      <c r="D221" s="103"/>
      <c r="E221" s="103"/>
      <c r="F221" s="103"/>
    </row>
    <row r="222" spans="2:6">
      <c r="B222" s="103"/>
      <c r="D222" s="103"/>
      <c r="E222" s="103"/>
      <c r="F222" s="103"/>
    </row>
    <row r="223" spans="2:6">
      <c r="B223" s="103"/>
      <c r="D223" s="103"/>
      <c r="E223" s="103"/>
      <c r="F223" s="103"/>
    </row>
    <row r="224" spans="2:6">
      <c r="B224" s="103"/>
      <c r="D224" s="103"/>
      <c r="E224" s="103"/>
      <c r="F224" s="103"/>
    </row>
    <row r="225" spans="2:6">
      <c r="B225" s="103"/>
      <c r="D225" s="103"/>
      <c r="E225" s="103"/>
      <c r="F225" s="103"/>
    </row>
    <row r="226" spans="2:6">
      <c r="B226" s="103"/>
      <c r="D226" s="103"/>
      <c r="E226" s="103"/>
      <c r="F226" s="103"/>
    </row>
    <row r="227" spans="2:6">
      <c r="B227" s="103"/>
      <c r="D227" s="103"/>
      <c r="E227" s="103"/>
      <c r="F227" s="103"/>
    </row>
    <row r="228" spans="2:6">
      <c r="B228" s="103"/>
      <c r="D228" s="103"/>
      <c r="E228" s="103"/>
      <c r="F228" s="103"/>
    </row>
    <row r="229" spans="2:6">
      <c r="B229" s="103"/>
      <c r="D229" s="103"/>
      <c r="E229" s="103"/>
      <c r="F229" s="103"/>
    </row>
    <row r="230" spans="2:6">
      <c r="B230" s="103"/>
      <c r="D230" s="103"/>
      <c r="E230" s="103"/>
      <c r="F230" s="103"/>
    </row>
    <row r="231" spans="2:6">
      <c r="B231" s="103"/>
      <c r="D231" s="103"/>
      <c r="E231" s="103"/>
      <c r="F231" s="103"/>
    </row>
    <row r="232" spans="2:6">
      <c r="B232" s="103"/>
      <c r="D232" s="103"/>
      <c r="E232" s="103"/>
      <c r="F232" s="103"/>
    </row>
    <row r="233" spans="2:6">
      <c r="B233" s="103"/>
      <c r="D233" s="103"/>
      <c r="E233" s="103"/>
      <c r="F233" s="103"/>
    </row>
    <row r="234" spans="2:6">
      <c r="B234" s="103"/>
      <c r="D234" s="103"/>
      <c r="E234" s="103"/>
      <c r="F234" s="103"/>
    </row>
    <row r="235" spans="2:6">
      <c r="B235" s="103"/>
      <c r="D235" s="103"/>
      <c r="E235" s="103"/>
      <c r="F235" s="103"/>
    </row>
    <row r="236" spans="2:6">
      <c r="B236" s="103"/>
      <c r="D236" s="103"/>
      <c r="E236" s="103"/>
      <c r="F236" s="103"/>
    </row>
    <row r="237" spans="2:6">
      <c r="B237" s="103"/>
      <c r="D237" s="103"/>
      <c r="E237" s="103"/>
      <c r="F237" s="103"/>
    </row>
    <row r="238" spans="2:6">
      <c r="B238" s="103"/>
      <c r="D238" s="103"/>
      <c r="E238" s="103"/>
      <c r="F238" s="103"/>
    </row>
    <row r="239" spans="2:6">
      <c r="B239" s="103"/>
      <c r="D239" s="103"/>
      <c r="E239" s="103"/>
      <c r="F239" s="103"/>
    </row>
    <row r="240" spans="2:6">
      <c r="B240" s="103"/>
      <c r="D240" s="103"/>
      <c r="E240" s="103"/>
      <c r="F240" s="103"/>
    </row>
    <row r="241" spans="2:6">
      <c r="B241" s="103"/>
      <c r="D241" s="103"/>
      <c r="E241" s="103"/>
      <c r="F241" s="103"/>
    </row>
    <row r="242" spans="2:6">
      <c r="B242" s="103"/>
      <c r="D242" s="103"/>
      <c r="E242" s="103"/>
      <c r="F242" s="103"/>
    </row>
    <row r="243" spans="2:6">
      <c r="B243" s="103"/>
      <c r="D243" s="103"/>
      <c r="E243" s="103"/>
      <c r="F243" s="103"/>
    </row>
    <row r="244" spans="2:6">
      <c r="B244" s="103"/>
      <c r="D244" s="103"/>
      <c r="E244" s="103"/>
      <c r="F244" s="103"/>
    </row>
    <row r="245" spans="2:6">
      <c r="B245" s="103"/>
      <c r="D245" s="103"/>
      <c r="E245" s="103"/>
      <c r="F245" s="103"/>
    </row>
    <row r="246" spans="2:6">
      <c r="B246" s="103"/>
      <c r="D246" s="103"/>
      <c r="E246" s="103"/>
      <c r="F246" s="103"/>
    </row>
    <row r="247" spans="2:6">
      <c r="B247" s="103"/>
      <c r="D247" s="103"/>
      <c r="E247" s="103"/>
      <c r="F247" s="103"/>
    </row>
    <row r="248" spans="2:6">
      <c r="B248" s="103"/>
      <c r="D248" s="103"/>
      <c r="E248" s="103"/>
      <c r="F248" s="103"/>
    </row>
    <row r="249" spans="2:6">
      <c r="B249" s="103"/>
      <c r="D249" s="103"/>
      <c r="E249" s="103"/>
      <c r="F249" s="103"/>
    </row>
    <row r="250" spans="2:6">
      <c r="B250" s="103"/>
      <c r="D250" s="103"/>
      <c r="E250" s="103"/>
      <c r="F250" s="103"/>
    </row>
    <row r="251" spans="2:6">
      <c r="B251" s="103"/>
      <c r="D251" s="103"/>
      <c r="E251" s="103"/>
      <c r="F251" s="103"/>
    </row>
    <row r="252" spans="2:6">
      <c r="B252" s="103"/>
      <c r="D252" s="103"/>
      <c r="E252" s="103"/>
      <c r="F252" s="103"/>
    </row>
    <row r="253" spans="2:6">
      <c r="B253" s="103"/>
      <c r="D253" s="103"/>
      <c r="E253" s="103"/>
      <c r="F253" s="103"/>
    </row>
    <row r="254" spans="2:6">
      <c r="B254" s="103"/>
      <c r="D254" s="103"/>
      <c r="E254" s="103"/>
      <c r="F254" s="103"/>
    </row>
    <row r="255" spans="2:6">
      <c r="B255" s="103"/>
      <c r="D255" s="103"/>
      <c r="E255" s="103"/>
      <c r="F255" s="103"/>
    </row>
    <row r="256" spans="2:6">
      <c r="B256" s="103"/>
      <c r="D256" s="103"/>
      <c r="E256" s="103"/>
      <c r="F256" s="103"/>
    </row>
    <row r="257" spans="2:6">
      <c r="B257" s="103"/>
      <c r="D257" s="103"/>
      <c r="E257" s="103"/>
      <c r="F257" s="103"/>
    </row>
    <row r="258" spans="2:6">
      <c r="B258" s="103"/>
      <c r="D258" s="103"/>
      <c r="E258" s="103"/>
      <c r="F258" s="103"/>
    </row>
    <row r="259" spans="2:6">
      <c r="B259" s="103"/>
      <c r="D259" s="103"/>
      <c r="E259" s="103"/>
      <c r="F259" s="103"/>
    </row>
    <row r="260" spans="2:6">
      <c r="B260" s="103"/>
      <c r="D260" s="103"/>
      <c r="E260" s="103"/>
      <c r="F260" s="103"/>
    </row>
    <row r="261" spans="2:6">
      <c r="B261" s="103"/>
      <c r="D261" s="103"/>
      <c r="E261" s="103"/>
      <c r="F261" s="103"/>
    </row>
    <row r="262" spans="2:6">
      <c r="B262" s="103"/>
      <c r="D262" s="103"/>
      <c r="E262" s="103"/>
      <c r="F262" s="103"/>
    </row>
    <row r="263" spans="2:6">
      <c r="B263" s="103"/>
      <c r="D263" s="103"/>
      <c r="E263" s="103"/>
      <c r="F263" s="103"/>
    </row>
    <row r="264" spans="2:6">
      <c r="B264" s="103"/>
      <c r="D264" s="103"/>
      <c r="E264" s="103"/>
      <c r="F264" s="103"/>
    </row>
    <row r="265" spans="2:6">
      <c r="B265" s="103"/>
      <c r="D265" s="103"/>
      <c r="E265" s="103"/>
      <c r="F265" s="103"/>
    </row>
    <row r="266" spans="2:6">
      <c r="B266" s="103"/>
      <c r="D266" s="103"/>
      <c r="E266" s="103"/>
      <c r="F266" s="103"/>
    </row>
    <row r="267" spans="2:6">
      <c r="B267" s="103"/>
      <c r="D267" s="103"/>
      <c r="E267" s="103"/>
      <c r="F267" s="103"/>
    </row>
    <row r="268" spans="2:6">
      <c r="B268" s="103"/>
      <c r="D268" s="103"/>
      <c r="E268" s="103"/>
      <c r="F268" s="103"/>
    </row>
    <row r="269" spans="2:6">
      <c r="B269" s="103"/>
      <c r="D269" s="103"/>
      <c r="E269" s="103"/>
      <c r="F269" s="103"/>
    </row>
    <row r="270" spans="2:6">
      <c r="B270" s="103"/>
      <c r="D270" s="103"/>
      <c r="E270" s="103"/>
      <c r="F270" s="103"/>
    </row>
    <row r="271" spans="2:6">
      <c r="B271" s="103"/>
      <c r="D271" s="103"/>
      <c r="E271" s="103"/>
      <c r="F271" s="103"/>
    </row>
    <row r="272" spans="2:6">
      <c r="B272" s="103"/>
      <c r="D272" s="103"/>
      <c r="E272" s="103"/>
      <c r="F272" s="103"/>
    </row>
    <row r="273" spans="2:6">
      <c r="B273" s="103"/>
      <c r="D273" s="103"/>
      <c r="E273" s="103"/>
      <c r="F273" s="103"/>
    </row>
    <row r="274" spans="2:6">
      <c r="B274" s="103"/>
      <c r="D274" s="103"/>
      <c r="E274" s="103"/>
      <c r="F274" s="103"/>
    </row>
    <row r="275" spans="2:6">
      <c r="B275" s="103"/>
      <c r="D275" s="103"/>
      <c r="E275" s="103"/>
      <c r="F275" s="103"/>
    </row>
    <row r="276" spans="2:6">
      <c r="B276" s="103"/>
      <c r="D276" s="103"/>
      <c r="E276" s="103"/>
      <c r="F276" s="103"/>
    </row>
    <row r="277" spans="2:6">
      <c r="B277" s="103"/>
      <c r="D277" s="103"/>
      <c r="E277" s="103"/>
      <c r="F277" s="103"/>
    </row>
    <row r="278" spans="2:6">
      <c r="B278" s="103"/>
      <c r="D278" s="103"/>
      <c r="E278" s="103"/>
      <c r="F278" s="103"/>
    </row>
    <row r="279" spans="2:6">
      <c r="B279" s="103"/>
      <c r="D279" s="103"/>
      <c r="E279" s="103"/>
      <c r="F279" s="103"/>
    </row>
    <row r="280" spans="2:6">
      <c r="B280" s="103"/>
      <c r="D280" s="103"/>
      <c r="E280" s="103"/>
      <c r="F280" s="103"/>
    </row>
    <row r="281" spans="2:6">
      <c r="B281" s="103"/>
      <c r="D281" s="103"/>
      <c r="E281" s="103"/>
      <c r="F281" s="103"/>
    </row>
    <row r="282" spans="2:6">
      <c r="B282" s="103"/>
      <c r="D282" s="103"/>
      <c r="E282" s="103"/>
      <c r="F282" s="103"/>
    </row>
    <row r="283" spans="2:6">
      <c r="B283" s="103"/>
      <c r="D283" s="103"/>
      <c r="E283" s="103"/>
      <c r="F283" s="103"/>
    </row>
    <row r="284" spans="2:6">
      <c r="B284" s="103"/>
      <c r="D284" s="103"/>
      <c r="E284" s="103"/>
      <c r="F284" s="103"/>
    </row>
    <row r="285" spans="2:6">
      <c r="B285" s="103"/>
      <c r="D285" s="103"/>
      <c r="E285" s="103"/>
      <c r="F285" s="103"/>
    </row>
    <row r="286" spans="2:6">
      <c r="B286" s="103"/>
      <c r="D286" s="103"/>
      <c r="E286" s="103"/>
      <c r="F286" s="103"/>
    </row>
    <row r="287" spans="2:6">
      <c r="B287" s="103"/>
      <c r="D287" s="103"/>
      <c r="E287" s="103"/>
      <c r="F287" s="103"/>
    </row>
    <row r="288" spans="2:6">
      <c r="B288" s="103"/>
      <c r="D288" s="103"/>
      <c r="E288" s="103"/>
      <c r="F288" s="103"/>
    </row>
    <row r="289" spans="2:6">
      <c r="B289" s="103"/>
      <c r="D289" s="103"/>
      <c r="E289" s="103"/>
      <c r="F289" s="103"/>
    </row>
    <row r="290" spans="2:6">
      <c r="B290" s="103"/>
      <c r="D290" s="103"/>
      <c r="E290" s="103"/>
      <c r="F290" s="103"/>
    </row>
    <row r="291" spans="2:6">
      <c r="B291" s="103"/>
      <c r="D291" s="103"/>
      <c r="E291" s="103"/>
      <c r="F291" s="103"/>
    </row>
    <row r="292" spans="2:6">
      <c r="B292" s="103"/>
      <c r="D292" s="103"/>
      <c r="E292" s="103"/>
      <c r="F292" s="103"/>
    </row>
    <row r="293" spans="2:6">
      <c r="B293" s="103"/>
      <c r="D293" s="103"/>
      <c r="E293" s="103"/>
      <c r="F293" s="103"/>
    </row>
    <row r="294" spans="2:6">
      <c r="B294" s="103"/>
      <c r="D294" s="103"/>
      <c r="E294" s="103"/>
      <c r="F294" s="103"/>
    </row>
    <row r="295" spans="2:6">
      <c r="B295" s="103"/>
      <c r="D295" s="103"/>
      <c r="E295" s="103"/>
      <c r="F295" s="103"/>
    </row>
    <row r="296" spans="2:6">
      <c r="B296" s="103"/>
      <c r="D296" s="103"/>
      <c r="E296" s="103"/>
      <c r="F296" s="103"/>
    </row>
    <row r="297" spans="2:6">
      <c r="B297" s="103"/>
      <c r="D297" s="103"/>
      <c r="E297" s="103"/>
      <c r="F297" s="103"/>
    </row>
    <row r="298" spans="2:6">
      <c r="B298" s="103"/>
      <c r="D298" s="103"/>
      <c r="E298" s="103"/>
      <c r="F298" s="103"/>
    </row>
    <row r="299" spans="2:6">
      <c r="B299" s="103"/>
      <c r="D299" s="103"/>
      <c r="E299" s="103"/>
      <c r="F299" s="103"/>
    </row>
    <row r="300" spans="2:6">
      <c r="B300" s="103"/>
      <c r="D300" s="103"/>
      <c r="E300" s="103"/>
      <c r="F300" s="103"/>
    </row>
    <row r="301" spans="2:6">
      <c r="B301" s="103"/>
      <c r="D301" s="103"/>
      <c r="E301" s="103"/>
      <c r="F301" s="103"/>
    </row>
    <row r="302" spans="2:6">
      <c r="B302" s="103"/>
      <c r="D302" s="103"/>
      <c r="E302" s="103"/>
      <c r="F302" s="103"/>
    </row>
    <row r="303" spans="2:6">
      <c r="B303" s="103"/>
      <c r="D303" s="103"/>
      <c r="E303" s="103"/>
      <c r="F303" s="103"/>
    </row>
    <row r="304" spans="2:6">
      <c r="B304" s="103"/>
      <c r="D304" s="103"/>
      <c r="E304" s="103"/>
      <c r="F304" s="103"/>
    </row>
    <row r="305" spans="2:6">
      <c r="B305" s="103"/>
      <c r="D305" s="103"/>
      <c r="E305" s="103"/>
      <c r="F305" s="103"/>
    </row>
    <row r="306" spans="2:6">
      <c r="B306" s="103"/>
      <c r="D306" s="103"/>
      <c r="E306" s="103"/>
      <c r="F306" s="103"/>
    </row>
    <row r="307" spans="2:6">
      <c r="B307" s="103"/>
      <c r="D307" s="103"/>
      <c r="E307" s="103"/>
      <c r="F307" s="103"/>
    </row>
    <row r="308" spans="2:6">
      <c r="B308" s="103"/>
      <c r="D308" s="103"/>
      <c r="E308" s="103"/>
      <c r="F308" s="103"/>
    </row>
    <row r="309" spans="2:6">
      <c r="B309" s="103"/>
      <c r="D309" s="103"/>
      <c r="E309" s="103"/>
      <c r="F309" s="103"/>
    </row>
    <row r="310" spans="2:6">
      <c r="B310" s="103"/>
      <c r="D310" s="103"/>
      <c r="E310" s="103"/>
      <c r="F310" s="103"/>
    </row>
    <row r="311" spans="2:6">
      <c r="B311" s="103"/>
      <c r="D311" s="103"/>
      <c r="E311" s="103"/>
      <c r="F311" s="103"/>
    </row>
    <row r="312" spans="2:6">
      <c r="B312" s="103"/>
      <c r="D312" s="103"/>
      <c r="E312" s="103"/>
      <c r="F312" s="103"/>
    </row>
    <row r="313" spans="2:6">
      <c r="B313" s="103"/>
      <c r="D313" s="103"/>
      <c r="E313" s="103"/>
      <c r="F313" s="103"/>
    </row>
    <row r="314" spans="2:6">
      <c r="B314" s="103"/>
      <c r="D314" s="103"/>
      <c r="E314" s="103"/>
      <c r="F314" s="103"/>
    </row>
    <row r="315" spans="2:6">
      <c r="B315" s="103"/>
      <c r="D315" s="103"/>
      <c r="E315" s="103"/>
      <c r="F315" s="103"/>
    </row>
    <row r="316" spans="2:6">
      <c r="B316" s="103"/>
      <c r="D316" s="103"/>
      <c r="E316" s="103"/>
      <c r="F316" s="103"/>
    </row>
    <row r="317" spans="2:6">
      <c r="B317" s="103"/>
      <c r="D317" s="103"/>
      <c r="E317" s="103"/>
      <c r="F317" s="103"/>
    </row>
    <row r="318" spans="2:6">
      <c r="B318" s="103"/>
      <c r="D318" s="103"/>
      <c r="E318" s="103"/>
      <c r="F318" s="103"/>
    </row>
    <row r="319" spans="2:6">
      <c r="B319" s="103"/>
      <c r="D319" s="103"/>
      <c r="E319" s="103"/>
      <c r="F319" s="103"/>
    </row>
    <row r="320" spans="2:6">
      <c r="B320" s="103"/>
      <c r="D320" s="103"/>
      <c r="E320" s="103"/>
      <c r="F320" s="103"/>
    </row>
    <row r="321" spans="2:6">
      <c r="B321" s="103"/>
      <c r="D321" s="103"/>
      <c r="E321" s="103"/>
      <c r="F321" s="103"/>
    </row>
    <row r="322" spans="2:6">
      <c r="B322" s="103"/>
      <c r="D322" s="103"/>
      <c r="E322" s="103"/>
      <c r="F322" s="103"/>
    </row>
    <row r="323" spans="2:6">
      <c r="B323" s="103"/>
      <c r="D323" s="103"/>
      <c r="E323" s="103"/>
      <c r="F323" s="103"/>
    </row>
    <row r="324" spans="2:6">
      <c r="B324" s="103"/>
      <c r="D324" s="103"/>
      <c r="E324" s="103"/>
      <c r="F324" s="103"/>
    </row>
    <row r="325" spans="2:6">
      <c r="B325" s="103"/>
      <c r="D325" s="103"/>
      <c r="E325" s="103"/>
      <c r="F325" s="103"/>
    </row>
    <row r="326" spans="2:6">
      <c r="B326" s="103"/>
      <c r="D326" s="103"/>
      <c r="E326" s="103"/>
      <c r="F326" s="103"/>
    </row>
    <row r="327" spans="2:6">
      <c r="B327" s="103"/>
      <c r="D327" s="103"/>
      <c r="E327" s="103"/>
      <c r="F327" s="103"/>
    </row>
    <row r="328" spans="2:6">
      <c r="B328" s="103"/>
      <c r="D328" s="103"/>
      <c r="E328" s="103"/>
      <c r="F328" s="103"/>
    </row>
    <row r="329" spans="2:6">
      <c r="B329" s="103"/>
      <c r="D329" s="103"/>
      <c r="E329" s="103"/>
      <c r="F329" s="103"/>
    </row>
    <row r="330" spans="2:6">
      <c r="B330" s="103"/>
      <c r="D330" s="103"/>
      <c r="E330" s="103"/>
      <c r="F330" s="103"/>
    </row>
    <row r="331" spans="2:6">
      <c r="B331" s="103"/>
      <c r="D331" s="103"/>
      <c r="E331" s="103"/>
      <c r="F331" s="103"/>
    </row>
    <row r="332" spans="2:6">
      <c r="B332" s="103"/>
      <c r="D332" s="103"/>
      <c r="E332" s="103"/>
      <c r="F332" s="103"/>
    </row>
    <row r="333" spans="2:6">
      <c r="B333" s="103"/>
      <c r="D333" s="103"/>
      <c r="E333" s="103"/>
      <c r="F333" s="103"/>
    </row>
    <row r="334" spans="2:6">
      <c r="B334" s="103"/>
      <c r="D334" s="103"/>
      <c r="E334" s="103"/>
      <c r="F334" s="103"/>
    </row>
    <row r="335" spans="2:6">
      <c r="B335" s="103"/>
      <c r="D335" s="103"/>
      <c r="E335" s="103"/>
      <c r="F335" s="103"/>
    </row>
    <row r="336" spans="2:6">
      <c r="B336" s="103"/>
      <c r="D336" s="103"/>
      <c r="E336" s="103"/>
      <c r="F336" s="103"/>
    </row>
    <row r="337" spans="2:6">
      <c r="B337" s="103"/>
      <c r="D337" s="103"/>
      <c r="E337" s="103"/>
      <c r="F337" s="103"/>
    </row>
    <row r="338" spans="2:6">
      <c r="B338" s="103"/>
      <c r="D338" s="103"/>
      <c r="E338" s="103"/>
      <c r="F338" s="103"/>
    </row>
    <row r="339" spans="2:6">
      <c r="B339" s="103"/>
      <c r="D339" s="103"/>
      <c r="E339" s="103"/>
      <c r="F339" s="103"/>
    </row>
    <row r="340" spans="2:6">
      <c r="B340" s="103"/>
      <c r="D340" s="103"/>
      <c r="E340" s="103"/>
      <c r="F340" s="103"/>
    </row>
    <row r="341" spans="2:6">
      <c r="B341" s="103"/>
      <c r="D341" s="103"/>
      <c r="E341" s="103"/>
      <c r="F341" s="103"/>
    </row>
    <row r="342" spans="2:6">
      <c r="B342" s="103"/>
      <c r="D342" s="103"/>
      <c r="E342" s="103"/>
      <c r="F342" s="103"/>
    </row>
    <row r="343" spans="2:6">
      <c r="B343" s="103"/>
      <c r="D343" s="103"/>
      <c r="E343" s="103"/>
      <c r="F343" s="103"/>
    </row>
    <row r="344" spans="2:6">
      <c r="B344" s="103"/>
      <c r="D344" s="103"/>
      <c r="E344" s="103"/>
      <c r="F344" s="103"/>
    </row>
    <row r="345" spans="2:6">
      <c r="B345" s="103"/>
      <c r="D345" s="103"/>
      <c r="E345" s="103"/>
      <c r="F345" s="103"/>
    </row>
    <row r="346" spans="2:6">
      <c r="B346" s="103"/>
      <c r="D346" s="103"/>
      <c r="E346" s="103"/>
      <c r="F346" s="103"/>
    </row>
    <row r="347" spans="2:6">
      <c r="B347" s="103"/>
      <c r="D347" s="103"/>
      <c r="E347" s="103"/>
      <c r="F347" s="103"/>
    </row>
    <row r="348" spans="2:6">
      <c r="B348" s="103"/>
      <c r="D348" s="103"/>
      <c r="E348" s="103"/>
      <c r="F348" s="103"/>
    </row>
    <row r="349" spans="2:6">
      <c r="B349" s="103"/>
      <c r="D349" s="103"/>
      <c r="E349" s="103"/>
      <c r="F349" s="103"/>
    </row>
    <row r="350" spans="2:6">
      <c r="B350" s="103"/>
      <c r="D350" s="103"/>
      <c r="E350" s="103"/>
      <c r="F350" s="103"/>
    </row>
    <row r="351" spans="2:6">
      <c r="B351" s="103"/>
      <c r="D351" s="103"/>
      <c r="E351" s="103"/>
      <c r="F351" s="103"/>
    </row>
    <row r="352" spans="2:6">
      <c r="B352" s="103"/>
      <c r="D352" s="103"/>
      <c r="E352" s="103"/>
      <c r="F352" s="103"/>
    </row>
    <row r="353" spans="2:6">
      <c r="B353" s="103"/>
      <c r="D353" s="103"/>
      <c r="E353" s="103"/>
      <c r="F353" s="103"/>
    </row>
    <row r="354" spans="2:6">
      <c r="B354" s="103"/>
      <c r="D354" s="103"/>
      <c r="E354" s="103"/>
      <c r="F354" s="103"/>
    </row>
    <row r="355" spans="2:6">
      <c r="B355" s="103"/>
      <c r="D355" s="103"/>
      <c r="E355" s="103"/>
      <c r="F355" s="103"/>
    </row>
    <row r="356" spans="2:6">
      <c r="B356" s="103"/>
      <c r="D356" s="103"/>
      <c r="E356" s="103"/>
      <c r="F356" s="103"/>
    </row>
    <row r="357" spans="2:6">
      <c r="B357" s="103"/>
      <c r="D357" s="103"/>
      <c r="E357" s="103"/>
      <c r="F357" s="103"/>
    </row>
    <row r="358" spans="2:6">
      <c r="B358" s="103"/>
      <c r="D358" s="103"/>
      <c r="E358" s="103"/>
      <c r="F358" s="103"/>
    </row>
    <row r="359" spans="2:6">
      <c r="B359" s="103"/>
      <c r="D359" s="103"/>
      <c r="E359" s="103"/>
      <c r="F359" s="103"/>
    </row>
    <row r="360" spans="2:6">
      <c r="B360" s="103"/>
      <c r="D360" s="103"/>
      <c r="E360" s="103"/>
      <c r="F360" s="103"/>
    </row>
    <row r="361" spans="2:6">
      <c r="B361" s="103"/>
      <c r="D361" s="103"/>
      <c r="E361" s="103"/>
      <c r="F361" s="103"/>
    </row>
    <row r="362" spans="2:6">
      <c r="B362" s="103"/>
      <c r="D362" s="103"/>
      <c r="E362" s="103"/>
      <c r="F362" s="103"/>
    </row>
    <row r="363" spans="2:6">
      <c r="B363" s="103"/>
      <c r="D363" s="103"/>
      <c r="E363" s="103"/>
      <c r="F363" s="103"/>
    </row>
    <row r="364" spans="2:6">
      <c r="B364" s="103"/>
      <c r="D364" s="103"/>
      <c r="E364" s="103"/>
      <c r="F364" s="103"/>
    </row>
    <row r="365" spans="2:6">
      <c r="B365" s="103"/>
      <c r="D365" s="103"/>
      <c r="E365" s="103"/>
      <c r="F365" s="103"/>
    </row>
    <row r="366" spans="2:6">
      <c r="B366" s="103"/>
      <c r="D366" s="103"/>
      <c r="E366" s="103"/>
      <c r="F366" s="103"/>
    </row>
    <row r="367" spans="2:6">
      <c r="B367" s="103"/>
      <c r="D367" s="103"/>
      <c r="E367" s="103"/>
      <c r="F367" s="103"/>
    </row>
    <row r="368" spans="2:6">
      <c r="B368" s="103"/>
      <c r="D368" s="103"/>
      <c r="E368" s="103"/>
      <c r="F368" s="103"/>
    </row>
    <row r="369" spans="2:6">
      <c r="B369" s="103"/>
      <c r="D369" s="103"/>
      <c r="E369" s="103"/>
      <c r="F369" s="103"/>
    </row>
    <row r="370" spans="2:6">
      <c r="B370" s="103"/>
      <c r="D370" s="103"/>
      <c r="E370" s="103"/>
      <c r="F370" s="103"/>
    </row>
    <row r="371" spans="2:6">
      <c r="B371" s="103"/>
      <c r="D371" s="103"/>
      <c r="E371" s="103"/>
      <c r="F371" s="103"/>
    </row>
    <row r="372" spans="2:6">
      <c r="B372" s="103"/>
      <c r="D372" s="103"/>
      <c r="E372" s="103"/>
      <c r="F372" s="103"/>
    </row>
    <row r="373" spans="2:6">
      <c r="B373" s="103"/>
      <c r="D373" s="103"/>
      <c r="E373" s="103"/>
      <c r="F373" s="103"/>
    </row>
    <row r="374" spans="2:6">
      <c r="B374" s="103"/>
      <c r="D374" s="103"/>
      <c r="E374" s="103"/>
      <c r="F374" s="103"/>
    </row>
    <row r="375" spans="2:6">
      <c r="B375" s="103"/>
      <c r="D375" s="103"/>
      <c r="E375" s="103"/>
      <c r="F375" s="103"/>
    </row>
    <row r="376" spans="2:6">
      <c r="B376" s="103"/>
      <c r="D376" s="103"/>
      <c r="E376" s="103"/>
      <c r="F376" s="103"/>
    </row>
    <row r="377" spans="2:6">
      <c r="B377" s="103"/>
      <c r="D377" s="103"/>
      <c r="E377" s="103"/>
      <c r="F377" s="103"/>
    </row>
    <row r="378" spans="2:6">
      <c r="B378" s="103"/>
      <c r="D378" s="103"/>
      <c r="E378" s="103"/>
      <c r="F378" s="103"/>
    </row>
    <row r="379" spans="2:6">
      <c r="B379" s="103"/>
      <c r="D379" s="103"/>
      <c r="E379" s="103"/>
      <c r="F379" s="103"/>
    </row>
    <row r="380" spans="2:6">
      <c r="B380" s="103"/>
      <c r="D380" s="103"/>
      <c r="E380" s="103"/>
      <c r="F380" s="103"/>
    </row>
    <row r="381" spans="2:6">
      <c r="B381" s="103"/>
      <c r="D381" s="103"/>
      <c r="E381" s="103"/>
      <c r="F381" s="103"/>
    </row>
    <row r="382" spans="2:6">
      <c r="B382" s="103"/>
      <c r="D382" s="103"/>
      <c r="E382" s="103"/>
      <c r="F382" s="103"/>
    </row>
    <row r="383" spans="2:6">
      <c r="B383" s="103"/>
      <c r="D383" s="103"/>
      <c r="E383" s="103"/>
      <c r="F383" s="103"/>
    </row>
    <row r="384" spans="2:6">
      <c r="B384" s="103"/>
      <c r="D384" s="103"/>
      <c r="E384" s="103"/>
      <c r="F384" s="103"/>
    </row>
    <row r="385" spans="2:6">
      <c r="B385" s="103"/>
      <c r="D385" s="103"/>
      <c r="E385" s="103"/>
      <c r="F385" s="103"/>
    </row>
    <row r="386" spans="2:6">
      <c r="B386" s="103"/>
      <c r="D386" s="103"/>
      <c r="E386" s="103"/>
      <c r="F386" s="103"/>
    </row>
    <row r="387" spans="2:6">
      <c r="B387" s="103"/>
      <c r="D387" s="103"/>
      <c r="E387" s="103"/>
      <c r="F387" s="103"/>
    </row>
    <row r="388" spans="2:6">
      <c r="B388" s="103"/>
      <c r="D388" s="103"/>
      <c r="E388" s="103"/>
      <c r="F388" s="103"/>
    </row>
    <row r="389" spans="2:6">
      <c r="B389" s="103"/>
      <c r="D389" s="103"/>
      <c r="E389" s="103"/>
      <c r="F389" s="103"/>
    </row>
    <row r="390" spans="2:6">
      <c r="B390" s="103"/>
      <c r="D390" s="103"/>
      <c r="E390" s="103"/>
      <c r="F390" s="103"/>
    </row>
    <row r="391" spans="2:6">
      <c r="B391" s="103"/>
      <c r="D391" s="103"/>
      <c r="E391" s="103"/>
      <c r="F391" s="103"/>
    </row>
    <row r="392" spans="2:6">
      <c r="B392" s="103"/>
      <c r="D392" s="103"/>
      <c r="E392" s="103"/>
      <c r="F392" s="103"/>
    </row>
    <row r="393" spans="2:6">
      <c r="B393" s="103"/>
      <c r="D393" s="103"/>
      <c r="E393" s="103"/>
      <c r="F393" s="103"/>
    </row>
    <row r="394" spans="2:6">
      <c r="B394" s="103"/>
      <c r="D394" s="103"/>
      <c r="E394" s="103"/>
      <c r="F394" s="103"/>
    </row>
    <row r="395" spans="2:6">
      <c r="B395" s="103"/>
      <c r="D395" s="103"/>
      <c r="E395" s="103"/>
      <c r="F395" s="103"/>
    </row>
    <row r="396" spans="2:6">
      <c r="B396" s="103"/>
      <c r="D396" s="103"/>
      <c r="E396" s="103"/>
      <c r="F396" s="103"/>
    </row>
    <row r="397" spans="2:6">
      <c r="B397" s="103"/>
      <c r="D397" s="103"/>
      <c r="E397" s="103"/>
      <c r="F397" s="103"/>
    </row>
    <row r="398" spans="2:6">
      <c r="B398" s="103"/>
      <c r="D398" s="103"/>
      <c r="E398" s="103"/>
      <c r="F398" s="103"/>
    </row>
    <row r="399" spans="2:6">
      <c r="B399" s="103"/>
      <c r="D399" s="103"/>
      <c r="E399" s="103"/>
      <c r="F399" s="103"/>
    </row>
    <row r="400" spans="2:6">
      <c r="B400" s="103"/>
      <c r="D400" s="103"/>
      <c r="E400" s="103"/>
      <c r="F400" s="103"/>
    </row>
    <row r="401" spans="2:6">
      <c r="B401" s="103"/>
      <c r="D401" s="103"/>
      <c r="E401" s="103"/>
      <c r="F401" s="103"/>
    </row>
    <row r="402" spans="2:6">
      <c r="B402" s="103"/>
      <c r="D402" s="103"/>
      <c r="E402" s="103"/>
      <c r="F402" s="103"/>
    </row>
    <row r="403" spans="2:6">
      <c r="B403" s="103"/>
      <c r="D403" s="103"/>
      <c r="E403" s="103"/>
      <c r="F403" s="103"/>
    </row>
    <row r="404" spans="2:6">
      <c r="B404" s="103"/>
      <c r="D404" s="103"/>
      <c r="E404" s="103"/>
      <c r="F404" s="103"/>
    </row>
    <row r="405" spans="2:6">
      <c r="B405" s="103"/>
      <c r="D405" s="103"/>
      <c r="E405" s="103"/>
      <c r="F405" s="103"/>
    </row>
    <row r="406" spans="2:6">
      <c r="B406" s="103"/>
      <c r="D406" s="103"/>
      <c r="E406" s="103"/>
      <c r="F406" s="103"/>
    </row>
    <row r="407" spans="2:6">
      <c r="B407" s="103"/>
      <c r="D407" s="103"/>
      <c r="E407" s="103"/>
      <c r="F407" s="103"/>
    </row>
    <row r="408" spans="2:6">
      <c r="B408" s="103"/>
      <c r="D408" s="103"/>
      <c r="E408" s="103"/>
      <c r="F408" s="103"/>
    </row>
    <row r="409" spans="2:6">
      <c r="B409" s="103"/>
      <c r="D409" s="103"/>
      <c r="E409" s="103"/>
      <c r="F409" s="103"/>
    </row>
    <row r="410" spans="2:6">
      <c r="B410" s="103"/>
      <c r="D410" s="103"/>
      <c r="E410" s="103"/>
      <c r="F410" s="103"/>
    </row>
    <row r="411" spans="2:6">
      <c r="B411" s="103"/>
      <c r="D411" s="103"/>
      <c r="E411" s="103"/>
      <c r="F411" s="103"/>
    </row>
    <row r="412" spans="2:6">
      <c r="B412" s="103"/>
      <c r="D412" s="103"/>
      <c r="E412" s="103"/>
      <c r="F412" s="103"/>
    </row>
    <row r="413" spans="2:6">
      <c r="B413" s="103"/>
      <c r="D413" s="103"/>
      <c r="E413" s="103"/>
      <c r="F413" s="103"/>
    </row>
    <row r="414" spans="2:6">
      <c r="B414" s="103"/>
      <c r="D414" s="103"/>
      <c r="E414" s="103"/>
      <c r="F414" s="103"/>
    </row>
    <row r="415" spans="2:6">
      <c r="B415" s="103"/>
      <c r="D415" s="103"/>
      <c r="E415" s="103"/>
      <c r="F415" s="103"/>
    </row>
    <row r="416" spans="2:6">
      <c r="B416" s="103"/>
      <c r="D416" s="103"/>
      <c r="E416" s="103"/>
      <c r="F416" s="103"/>
    </row>
    <row r="417" spans="2:6">
      <c r="B417" s="103"/>
      <c r="D417" s="103"/>
      <c r="E417" s="103"/>
      <c r="F417" s="103"/>
    </row>
    <row r="418" spans="2:6">
      <c r="B418" s="103"/>
      <c r="D418" s="103"/>
      <c r="E418" s="103"/>
      <c r="F418" s="103"/>
    </row>
    <row r="419" spans="2:6">
      <c r="B419" s="103"/>
      <c r="D419" s="103"/>
      <c r="E419" s="103"/>
      <c r="F419" s="103"/>
    </row>
    <row r="420" spans="2:6">
      <c r="B420" s="103"/>
      <c r="D420" s="103"/>
      <c r="E420" s="103"/>
      <c r="F420" s="103"/>
    </row>
    <row r="421" spans="2:6">
      <c r="B421" s="103"/>
      <c r="D421" s="103"/>
      <c r="E421" s="103"/>
      <c r="F421" s="103"/>
    </row>
    <row r="422" spans="2:6">
      <c r="B422" s="103"/>
      <c r="D422" s="103"/>
      <c r="E422" s="103"/>
      <c r="F422" s="103"/>
    </row>
    <row r="423" spans="2:6">
      <c r="B423" s="103"/>
      <c r="D423" s="103"/>
      <c r="E423" s="103"/>
      <c r="F423" s="103"/>
    </row>
    <row r="424" spans="2:6">
      <c r="B424" s="103"/>
      <c r="D424" s="103"/>
      <c r="E424" s="103"/>
      <c r="F424" s="103"/>
    </row>
    <row r="425" spans="2:6">
      <c r="B425" s="103"/>
      <c r="D425" s="103"/>
      <c r="E425" s="103"/>
      <c r="F425" s="103"/>
    </row>
    <row r="426" spans="2:6">
      <c r="B426" s="103"/>
      <c r="D426" s="103"/>
      <c r="E426" s="103"/>
      <c r="F426" s="103"/>
    </row>
    <row r="427" spans="2:6">
      <c r="B427" s="103"/>
      <c r="D427" s="103"/>
      <c r="E427" s="103"/>
      <c r="F427" s="103"/>
    </row>
    <row r="428" spans="2:6">
      <c r="B428" s="103"/>
      <c r="D428" s="103"/>
      <c r="E428" s="103"/>
      <c r="F428" s="103"/>
    </row>
    <row r="429" spans="2:6">
      <c r="B429" s="103"/>
      <c r="D429" s="103"/>
      <c r="E429" s="103"/>
      <c r="F429" s="103"/>
    </row>
    <row r="430" spans="2:6">
      <c r="B430" s="103"/>
      <c r="D430" s="103"/>
      <c r="E430" s="103"/>
      <c r="F430" s="103"/>
    </row>
    <row r="431" spans="2:6">
      <c r="B431" s="103"/>
      <c r="D431" s="103"/>
      <c r="E431" s="103"/>
      <c r="F431" s="103"/>
    </row>
    <row r="432" spans="2:6">
      <c r="B432" s="103"/>
      <c r="D432" s="103"/>
      <c r="E432" s="103"/>
      <c r="F432" s="103"/>
    </row>
    <row r="433" spans="2:6">
      <c r="B433" s="103"/>
      <c r="D433" s="103"/>
      <c r="E433" s="103"/>
      <c r="F433" s="103"/>
    </row>
    <row r="434" spans="2:6">
      <c r="B434" s="103"/>
      <c r="D434" s="103"/>
      <c r="E434" s="103"/>
      <c r="F434" s="103"/>
    </row>
    <row r="435" spans="2:6">
      <c r="B435" s="103"/>
      <c r="D435" s="103"/>
      <c r="E435" s="103"/>
      <c r="F435" s="103"/>
    </row>
    <row r="436" spans="2:6">
      <c r="B436" s="103"/>
      <c r="D436" s="103"/>
      <c r="E436" s="103"/>
      <c r="F436" s="103"/>
    </row>
    <row r="437" spans="2:6">
      <c r="B437" s="103"/>
      <c r="D437" s="103"/>
      <c r="E437" s="103"/>
      <c r="F437" s="103"/>
    </row>
    <row r="438" spans="2:6">
      <c r="B438" s="103"/>
      <c r="D438" s="103"/>
      <c r="E438" s="103"/>
      <c r="F438" s="103"/>
    </row>
    <row r="439" spans="2:6">
      <c r="B439" s="103"/>
      <c r="D439" s="103"/>
      <c r="E439" s="103"/>
      <c r="F439" s="103"/>
    </row>
    <row r="440" spans="2:6">
      <c r="B440" s="103"/>
      <c r="D440" s="103"/>
      <c r="E440" s="103"/>
      <c r="F440" s="103"/>
    </row>
    <row r="441" spans="2:6">
      <c r="B441" s="103"/>
      <c r="D441" s="103"/>
      <c r="E441" s="103"/>
      <c r="F441" s="103"/>
    </row>
    <row r="442" spans="2:6">
      <c r="B442" s="103"/>
      <c r="D442" s="103"/>
      <c r="E442" s="103"/>
      <c r="F442" s="103"/>
    </row>
    <row r="443" spans="2:6">
      <c r="B443" s="103"/>
      <c r="D443" s="103"/>
      <c r="E443" s="103"/>
      <c r="F443" s="103"/>
    </row>
    <row r="444" spans="2:6">
      <c r="B444" s="103"/>
      <c r="D444" s="103"/>
      <c r="E444" s="103"/>
      <c r="F444" s="103"/>
    </row>
    <row r="445" spans="2:6">
      <c r="B445" s="103"/>
      <c r="D445" s="103"/>
      <c r="E445" s="103"/>
      <c r="F445" s="103"/>
    </row>
    <row r="446" spans="2:6">
      <c r="B446" s="103"/>
      <c r="D446" s="103"/>
      <c r="E446" s="103"/>
      <c r="F446" s="103"/>
    </row>
    <row r="447" spans="2:6">
      <c r="B447" s="103"/>
      <c r="D447" s="103"/>
      <c r="E447" s="103"/>
      <c r="F447" s="103"/>
    </row>
    <row r="448" spans="2:6">
      <c r="B448" s="103"/>
      <c r="D448" s="103"/>
      <c r="E448" s="103"/>
      <c r="F448" s="103"/>
    </row>
    <row r="449" spans="2:6">
      <c r="B449" s="103"/>
      <c r="D449" s="103"/>
      <c r="E449" s="103"/>
      <c r="F449" s="103"/>
    </row>
    <row r="450" spans="2:6">
      <c r="B450" s="103"/>
      <c r="D450" s="103"/>
      <c r="E450" s="103"/>
      <c r="F450" s="103"/>
    </row>
    <row r="451" spans="2:6">
      <c r="B451" s="103"/>
      <c r="D451" s="103"/>
      <c r="E451" s="103"/>
      <c r="F451" s="103"/>
    </row>
    <row r="452" spans="2:6">
      <c r="B452" s="103"/>
      <c r="D452" s="103"/>
      <c r="E452" s="103"/>
      <c r="F452" s="103"/>
    </row>
    <row r="453" spans="2:6">
      <c r="B453" s="103"/>
      <c r="D453" s="103"/>
      <c r="E453" s="103"/>
      <c r="F453" s="103"/>
    </row>
    <row r="454" spans="2:6">
      <c r="B454" s="103"/>
      <c r="D454" s="103"/>
      <c r="E454" s="103"/>
      <c r="F454" s="103"/>
    </row>
    <row r="455" spans="2:6">
      <c r="B455" s="103"/>
      <c r="D455" s="103"/>
      <c r="E455" s="103"/>
      <c r="F455" s="103"/>
    </row>
    <row r="456" spans="2:6">
      <c r="B456" s="103"/>
      <c r="D456" s="103"/>
      <c r="E456" s="103"/>
      <c r="F456" s="103"/>
    </row>
    <row r="457" spans="2:6">
      <c r="B457" s="103"/>
      <c r="D457" s="103"/>
      <c r="E457" s="103"/>
      <c r="F457" s="103"/>
    </row>
    <row r="458" spans="2:6">
      <c r="B458" s="103"/>
      <c r="D458" s="103"/>
      <c r="E458" s="103"/>
      <c r="F458" s="103"/>
    </row>
    <row r="459" spans="2:6">
      <c r="B459" s="103"/>
      <c r="D459" s="103"/>
      <c r="E459" s="103"/>
      <c r="F459" s="103"/>
    </row>
    <row r="460" spans="2:6">
      <c r="B460" s="103"/>
      <c r="D460" s="103"/>
      <c r="E460" s="103"/>
      <c r="F460" s="103"/>
    </row>
    <row r="461" spans="2:6">
      <c r="B461" s="103"/>
      <c r="D461" s="103"/>
      <c r="E461" s="103"/>
      <c r="F461" s="103"/>
    </row>
    <row r="462" spans="2:6">
      <c r="B462" s="103"/>
      <c r="D462" s="103"/>
      <c r="E462" s="103"/>
      <c r="F462" s="103"/>
    </row>
    <row r="463" spans="2:6">
      <c r="B463" s="103"/>
      <c r="D463" s="103"/>
      <c r="E463" s="103"/>
      <c r="F463" s="103"/>
    </row>
    <row r="464" spans="2:6">
      <c r="B464" s="103"/>
      <c r="D464" s="103"/>
      <c r="E464" s="103"/>
      <c r="F464" s="103"/>
    </row>
    <row r="465" spans="2:6">
      <c r="B465" s="103"/>
      <c r="D465" s="103"/>
      <c r="E465" s="103"/>
      <c r="F465" s="103"/>
    </row>
    <row r="466" spans="2:6">
      <c r="B466" s="103"/>
      <c r="D466" s="103"/>
      <c r="E466" s="103"/>
      <c r="F466" s="103"/>
    </row>
    <row r="467" spans="2:6">
      <c r="B467" s="103"/>
      <c r="D467" s="103"/>
      <c r="E467" s="103"/>
      <c r="F467" s="103"/>
    </row>
    <row r="468" spans="2:6">
      <c r="B468" s="103"/>
      <c r="D468" s="103"/>
      <c r="E468" s="103"/>
      <c r="F468" s="103"/>
    </row>
    <row r="469" spans="2:6">
      <c r="B469" s="103"/>
      <c r="D469" s="103"/>
      <c r="E469" s="103"/>
      <c r="F469" s="103"/>
    </row>
    <row r="470" spans="2:6">
      <c r="B470" s="103"/>
      <c r="D470" s="103"/>
      <c r="E470" s="103"/>
      <c r="F470" s="103"/>
    </row>
    <row r="471" spans="2:6">
      <c r="B471" s="103"/>
      <c r="D471" s="103"/>
      <c r="E471" s="103"/>
      <c r="F471" s="103"/>
    </row>
    <row r="472" spans="2:6">
      <c r="B472" s="103"/>
      <c r="D472" s="103"/>
      <c r="E472" s="103"/>
      <c r="F472" s="103"/>
    </row>
    <row r="473" spans="2:6">
      <c r="B473" s="103"/>
      <c r="D473" s="103"/>
      <c r="E473" s="103"/>
      <c r="F473" s="103"/>
    </row>
    <row r="474" spans="2:6">
      <c r="B474" s="103"/>
      <c r="D474" s="103"/>
      <c r="E474" s="103"/>
      <c r="F474" s="103"/>
    </row>
    <row r="475" spans="2:6">
      <c r="B475" s="103"/>
      <c r="D475" s="103"/>
      <c r="E475" s="103"/>
      <c r="F475" s="103"/>
    </row>
    <row r="476" spans="2:6">
      <c r="B476" s="103"/>
      <c r="D476" s="103"/>
      <c r="E476" s="103"/>
      <c r="F476" s="103"/>
    </row>
    <row r="477" spans="2:6">
      <c r="B477" s="103"/>
      <c r="D477" s="103"/>
      <c r="E477" s="103"/>
      <c r="F477" s="103"/>
    </row>
    <row r="478" spans="2:6">
      <c r="B478" s="103"/>
      <c r="D478" s="103"/>
      <c r="E478" s="103"/>
      <c r="F478" s="103"/>
    </row>
    <row r="479" spans="2:6">
      <c r="B479" s="103"/>
      <c r="D479" s="103"/>
      <c r="E479" s="103"/>
      <c r="F479" s="103"/>
    </row>
    <row r="480" spans="2:6">
      <c r="B480" s="103"/>
      <c r="D480" s="103"/>
      <c r="E480" s="103"/>
      <c r="F480" s="103"/>
    </row>
    <row r="481" spans="2:6">
      <c r="B481" s="103"/>
      <c r="D481" s="103"/>
      <c r="E481" s="103"/>
      <c r="F481" s="103"/>
    </row>
    <row r="482" spans="2:6">
      <c r="B482" s="103"/>
      <c r="D482" s="103"/>
      <c r="E482" s="103"/>
      <c r="F482" s="103"/>
    </row>
    <row r="483" spans="2:6">
      <c r="B483" s="103"/>
      <c r="D483" s="103"/>
      <c r="E483" s="103"/>
      <c r="F483" s="103"/>
    </row>
    <row r="484" spans="2:6">
      <c r="B484" s="103"/>
      <c r="D484" s="103"/>
      <c r="E484" s="103"/>
      <c r="F484" s="103"/>
    </row>
    <row r="485" spans="2:6">
      <c r="B485" s="103"/>
      <c r="D485" s="103"/>
      <c r="E485" s="103"/>
      <c r="F485" s="103"/>
    </row>
    <row r="486" spans="2:6">
      <c r="B486" s="103"/>
      <c r="D486" s="103"/>
      <c r="E486" s="103"/>
      <c r="F486" s="103"/>
    </row>
    <row r="487" spans="2:6">
      <c r="B487" s="103"/>
      <c r="D487" s="103"/>
      <c r="E487" s="103"/>
      <c r="F487" s="103"/>
    </row>
    <row r="488" spans="2:6">
      <c r="B488" s="103"/>
      <c r="D488" s="103"/>
      <c r="E488" s="103"/>
      <c r="F488" s="103"/>
    </row>
    <row r="489" spans="2:6">
      <c r="B489" s="103"/>
      <c r="D489" s="103"/>
      <c r="E489" s="103"/>
      <c r="F489" s="103"/>
    </row>
    <row r="490" spans="2:6">
      <c r="B490" s="103"/>
      <c r="D490" s="103"/>
      <c r="E490" s="103"/>
      <c r="F490" s="103"/>
    </row>
    <row r="491" spans="2:6">
      <c r="B491" s="103"/>
      <c r="D491" s="103"/>
      <c r="E491" s="103"/>
      <c r="F491" s="103"/>
    </row>
    <row r="492" spans="2:6">
      <c r="B492" s="103"/>
      <c r="D492" s="103"/>
      <c r="E492" s="103"/>
      <c r="F492" s="103"/>
    </row>
    <row r="493" spans="2:6">
      <c r="B493" s="103"/>
      <c r="D493" s="103"/>
      <c r="E493" s="103"/>
      <c r="F493" s="103"/>
    </row>
    <row r="494" spans="2:6">
      <c r="B494" s="103"/>
      <c r="D494" s="103"/>
      <c r="E494" s="103"/>
      <c r="F494" s="103"/>
    </row>
    <row r="495" spans="2:6">
      <c r="B495" s="103"/>
      <c r="D495" s="103"/>
      <c r="E495" s="103"/>
      <c r="F495" s="103"/>
    </row>
    <row r="496" spans="2:6">
      <c r="B496" s="103"/>
      <c r="D496" s="103"/>
      <c r="E496" s="103"/>
      <c r="F496" s="103"/>
    </row>
    <row r="497" spans="2:6">
      <c r="B497" s="103"/>
      <c r="D497" s="103"/>
      <c r="E497" s="103"/>
      <c r="F497" s="103"/>
    </row>
    <row r="498" spans="2:6">
      <c r="B498" s="103"/>
      <c r="D498" s="103"/>
      <c r="E498" s="103"/>
      <c r="F498" s="103"/>
    </row>
    <row r="499" spans="2:6">
      <c r="B499" s="103"/>
      <c r="D499" s="103"/>
      <c r="E499" s="103"/>
      <c r="F499" s="103"/>
    </row>
    <row r="500" spans="2:6">
      <c r="B500" s="103"/>
      <c r="D500" s="103"/>
      <c r="E500" s="103"/>
      <c r="F500" s="103"/>
    </row>
    <row r="501" spans="2:6">
      <c r="B501" s="103"/>
      <c r="D501" s="103"/>
      <c r="E501" s="103"/>
      <c r="F501" s="103"/>
    </row>
    <row r="502" spans="2:6">
      <c r="B502" s="103"/>
      <c r="D502" s="103"/>
      <c r="E502" s="103"/>
      <c r="F502" s="103"/>
    </row>
    <row r="503" spans="2:6">
      <c r="B503" s="103"/>
      <c r="D503" s="103"/>
      <c r="E503" s="103"/>
      <c r="F503" s="103"/>
    </row>
    <row r="504" spans="2:6">
      <c r="B504" s="103"/>
      <c r="D504" s="103"/>
      <c r="E504" s="103"/>
      <c r="F504" s="103"/>
    </row>
    <row r="505" spans="2:6">
      <c r="B505" s="103"/>
      <c r="D505" s="103"/>
      <c r="E505" s="103"/>
      <c r="F505" s="103"/>
    </row>
    <row r="506" spans="2:6">
      <c r="B506" s="103"/>
      <c r="D506" s="103"/>
      <c r="E506" s="103"/>
      <c r="F506" s="103"/>
    </row>
    <row r="507" spans="2:6">
      <c r="B507" s="103"/>
      <c r="D507" s="103"/>
      <c r="E507" s="103"/>
      <c r="F507" s="103"/>
    </row>
    <row r="508" spans="2:6">
      <c r="B508" s="103"/>
      <c r="D508" s="103"/>
      <c r="E508" s="103"/>
      <c r="F508" s="103"/>
    </row>
    <row r="509" spans="2:6">
      <c r="B509" s="103"/>
      <c r="D509" s="103"/>
      <c r="E509" s="103"/>
      <c r="F509" s="103"/>
    </row>
    <row r="510" spans="2:6">
      <c r="B510" s="103"/>
      <c r="D510" s="103"/>
      <c r="E510" s="103"/>
      <c r="F510" s="103"/>
    </row>
    <row r="511" spans="2:6">
      <c r="B511" s="103"/>
      <c r="D511" s="103"/>
      <c r="E511" s="103"/>
      <c r="F511" s="103"/>
    </row>
    <row r="512" spans="2:6">
      <c r="B512" s="103"/>
      <c r="D512" s="103"/>
      <c r="E512" s="103"/>
      <c r="F512" s="103"/>
    </row>
    <row r="513" spans="2:6">
      <c r="B513" s="103"/>
      <c r="D513" s="103"/>
      <c r="E513" s="103"/>
      <c r="F513" s="103"/>
    </row>
    <row r="514" spans="2:6">
      <c r="B514" s="103"/>
      <c r="D514" s="103"/>
      <c r="E514" s="103"/>
      <c r="F514" s="103"/>
    </row>
    <row r="515" spans="2:6">
      <c r="B515" s="103"/>
      <c r="D515" s="103"/>
      <c r="E515" s="103"/>
      <c r="F515" s="103"/>
    </row>
    <row r="516" spans="2:6">
      <c r="B516" s="103"/>
      <c r="D516" s="103"/>
      <c r="E516" s="103"/>
      <c r="F516" s="103"/>
    </row>
    <row r="517" spans="2:6">
      <c r="B517" s="103"/>
      <c r="D517" s="103"/>
      <c r="E517" s="103"/>
      <c r="F517" s="103"/>
    </row>
    <row r="518" spans="2:6">
      <c r="B518" s="103"/>
      <c r="D518" s="103"/>
      <c r="E518" s="103"/>
      <c r="F518" s="103"/>
    </row>
    <row r="519" spans="2:6">
      <c r="B519" s="103"/>
      <c r="D519" s="103"/>
      <c r="E519" s="103"/>
      <c r="F519" s="103"/>
    </row>
    <row r="520" spans="2:6">
      <c r="B520" s="103"/>
      <c r="D520" s="103"/>
      <c r="E520" s="103"/>
      <c r="F520" s="103"/>
    </row>
    <row r="521" spans="2:6">
      <c r="B521" s="103"/>
      <c r="D521" s="103"/>
      <c r="E521" s="103"/>
      <c r="F521" s="103"/>
    </row>
    <row r="522" spans="2:6">
      <c r="B522" s="103"/>
      <c r="D522" s="103"/>
      <c r="E522" s="103"/>
      <c r="F522" s="103"/>
    </row>
    <row r="523" spans="2:6">
      <c r="B523" s="103"/>
      <c r="D523" s="103"/>
      <c r="E523" s="103"/>
      <c r="F523" s="103"/>
    </row>
    <row r="524" spans="2:6">
      <c r="B524" s="103"/>
      <c r="D524" s="103"/>
      <c r="E524" s="103"/>
      <c r="F524" s="103"/>
    </row>
    <row r="525" spans="2:6">
      <c r="B525" s="103"/>
      <c r="D525" s="103"/>
      <c r="E525" s="103"/>
      <c r="F525" s="103"/>
    </row>
    <row r="526" spans="2:6">
      <c r="B526" s="103"/>
      <c r="D526" s="103"/>
      <c r="E526" s="103"/>
      <c r="F526" s="103"/>
    </row>
    <row r="527" spans="2:6">
      <c r="B527" s="103"/>
      <c r="D527" s="103"/>
      <c r="E527" s="103"/>
      <c r="F527" s="103"/>
    </row>
    <row r="528" spans="2:6">
      <c r="B528" s="103"/>
      <c r="D528" s="103"/>
      <c r="E528" s="103"/>
      <c r="F528" s="103"/>
    </row>
    <row r="529" spans="2:6">
      <c r="B529" s="103"/>
      <c r="D529" s="103"/>
      <c r="E529" s="103"/>
      <c r="F529" s="103"/>
    </row>
    <row r="530" spans="2:6">
      <c r="B530" s="103"/>
      <c r="D530" s="103"/>
      <c r="E530" s="103"/>
      <c r="F530" s="103"/>
    </row>
    <row r="531" spans="2:6">
      <c r="B531" s="103"/>
      <c r="D531" s="103"/>
      <c r="E531" s="103"/>
      <c r="F531" s="103"/>
    </row>
    <row r="532" spans="2:6">
      <c r="B532" s="103"/>
      <c r="D532" s="103"/>
      <c r="E532" s="103"/>
      <c r="F532" s="103"/>
    </row>
    <row r="533" spans="2:6">
      <c r="B533" s="103"/>
      <c r="D533" s="103"/>
      <c r="E533" s="103"/>
      <c r="F533" s="103"/>
    </row>
    <row r="534" spans="2:6">
      <c r="B534" s="103"/>
      <c r="D534" s="103"/>
      <c r="E534" s="103"/>
      <c r="F534" s="103"/>
    </row>
    <row r="535" spans="2:6">
      <c r="B535" s="103"/>
      <c r="D535" s="103"/>
      <c r="E535" s="103"/>
      <c r="F535" s="103"/>
    </row>
    <row r="536" spans="2:6">
      <c r="B536" s="103"/>
      <c r="D536" s="103"/>
      <c r="E536" s="103"/>
      <c r="F536" s="103"/>
    </row>
    <row r="537" spans="2:6">
      <c r="B537" s="103"/>
      <c r="D537" s="103"/>
      <c r="E537" s="103"/>
      <c r="F537" s="103"/>
    </row>
    <row r="538" spans="2:6">
      <c r="B538" s="103"/>
      <c r="D538" s="103"/>
      <c r="E538" s="103"/>
      <c r="F538" s="103"/>
    </row>
    <row r="539" spans="2:6">
      <c r="B539" s="103"/>
      <c r="D539" s="103"/>
      <c r="E539" s="103"/>
      <c r="F539" s="103"/>
    </row>
    <row r="540" spans="2:6">
      <c r="B540" s="103"/>
      <c r="D540" s="103"/>
      <c r="E540" s="103"/>
      <c r="F540" s="103"/>
    </row>
    <row r="541" spans="2:6">
      <c r="B541" s="103"/>
      <c r="D541" s="103"/>
      <c r="E541" s="103"/>
      <c r="F541" s="103"/>
    </row>
    <row r="542" spans="2:6">
      <c r="B542" s="103"/>
      <c r="D542" s="103"/>
      <c r="E542" s="103"/>
      <c r="F542" s="103"/>
    </row>
    <row r="543" spans="2:6">
      <c r="B543" s="103"/>
      <c r="D543" s="103"/>
      <c r="E543" s="103"/>
      <c r="F543" s="103"/>
    </row>
    <row r="544" spans="2:6">
      <c r="B544" s="103"/>
      <c r="D544" s="103"/>
      <c r="E544" s="103"/>
      <c r="F544" s="103"/>
    </row>
    <row r="545" spans="2:6">
      <c r="B545" s="103"/>
      <c r="D545" s="103"/>
      <c r="E545" s="103"/>
      <c r="F545" s="103"/>
    </row>
    <row r="546" spans="2:6">
      <c r="B546" s="103"/>
      <c r="D546" s="103"/>
      <c r="E546" s="103"/>
      <c r="F546" s="103"/>
    </row>
    <row r="547" spans="2:6">
      <c r="B547" s="103"/>
      <c r="D547" s="103"/>
      <c r="E547" s="103"/>
      <c r="F547" s="103"/>
    </row>
    <row r="548" spans="2:6">
      <c r="B548" s="103"/>
      <c r="D548" s="103"/>
      <c r="E548" s="103"/>
      <c r="F548" s="103"/>
    </row>
    <row r="549" spans="2:6">
      <c r="B549" s="103"/>
      <c r="D549" s="103"/>
      <c r="E549" s="103"/>
      <c r="F549" s="103"/>
    </row>
    <row r="550" spans="2:6">
      <c r="B550" s="103"/>
      <c r="D550" s="103"/>
      <c r="E550" s="103"/>
      <c r="F550" s="103"/>
    </row>
    <row r="551" spans="2:6">
      <c r="B551" s="103"/>
      <c r="D551" s="103"/>
      <c r="E551" s="103"/>
      <c r="F551" s="103"/>
    </row>
    <row r="552" spans="2:6">
      <c r="B552" s="103"/>
      <c r="D552" s="103"/>
      <c r="E552" s="103"/>
      <c r="F552" s="103"/>
    </row>
    <row r="553" spans="2:6">
      <c r="B553" s="103"/>
      <c r="D553" s="103"/>
      <c r="E553" s="103"/>
      <c r="F553" s="103"/>
    </row>
    <row r="554" spans="2:6">
      <c r="B554" s="103"/>
      <c r="D554" s="103"/>
      <c r="E554" s="103"/>
      <c r="F554" s="103"/>
    </row>
    <row r="555" spans="2:6">
      <c r="B555" s="103"/>
      <c r="D555" s="103"/>
      <c r="E555" s="103"/>
      <c r="F555" s="103"/>
    </row>
    <row r="556" spans="2:6">
      <c r="B556" s="103"/>
      <c r="D556" s="103"/>
      <c r="E556" s="103"/>
      <c r="F556" s="103"/>
    </row>
    <row r="557" spans="2:6">
      <c r="B557" s="103"/>
      <c r="D557" s="103"/>
      <c r="E557" s="103"/>
      <c r="F557" s="103"/>
    </row>
    <row r="558" spans="2:6">
      <c r="B558" s="103"/>
      <c r="D558" s="103"/>
      <c r="E558" s="103"/>
      <c r="F558" s="103"/>
    </row>
    <row r="559" spans="2:6">
      <c r="B559" s="103"/>
      <c r="D559" s="103"/>
      <c r="E559" s="103"/>
      <c r="F559" s="103"/>
    </row>
    <row r="560" spans="2:6">
      <c r="B560" s="103"/>
      <c r="D560" s="103"/>
      <c r="E560" s="103"/>
      <c r="F560" s="103"/>
    </row>
    <row r="561" spans="2:6">
      <c r="B561" s="103"/>
      <c r="D561" s="103"/>
      <c r="E561" s="103"/>
      <c r="F561" s="103"/>
    </row>
    <row r="562" spans="2:6">
      <c r="B562" s="103"/>
      <c r="D562" s="103"/>
      <c r="E562" s="103"/>
      <c r="F562" s="103"/>
    </row>
    <row r="563" spans="2:6">
      <c r="B563" s="103"/>
      <c r="D563" s="103"/>
      <c r="E563" s="103"/>
      <c r="F563" s="103"/>
    </row>
    <row r="564" spans="2:6">
      <c r="B564" s="103"/>
      <c r="D564" s="103"/>
      <c r="E564" s="103"/>
      <c r="F564" s="103"/>
    </row>
    <row r="565" spans="2:6">
      <c r="B565" s="103"/>
      <c r="D565" s="103"/>
      <c r="E565" s="103"/>
      <c r="F565" s="103"/>
    </row>
    <row r="566" spans="2:6">
      <c r="B566" s="103"/>
      <c r="D566" s="103"/>
      <c r="E566" s="103"/>
      <c r="F566" s="103"/>
    </row>
    <row r="567" spans="2:6">
      <c r="B567" s="103"/>
      <c r="D567" s="103"/>
      <c r="E567" s="103"/>
      <c r="F567" s="103"/>
    </row>
    <row r="568" spans="2:6">
      <c r="B568" s="103"/>
      <c r="D568" s="103"/>
      <c r="E568" s="103"/>
      <c r="F568" s="103"/>
    </row>
    <row r="569" spans="2:6">
      <c r="B569" s="103"/>
      <c r="D569" s="103"/>
      <c r="E569" s="103"/>
      <c r="F569" s="103"/>
    </row>
    <row r="570" spans="2:6">
      <c r="B570" s="103"/>
      <c r="D570" s="103"/>
      <c r="E570" s="103"/>
      <c r="F570" s="103"/>
    </row>
    <row r="571" spans="2:6">
      <c r="B571" s="103"/>
      <c r="D571" s="103"/>
      <c r="E571" s="103"/>
      <c r="F571" s="103"/>
    </row>
    <row r="572" spans="2:6">
      <c r="B572" s="103"/>
      <c r="D572" s="103"/>
      <c r="E572" s="103"/>
      <c r="F572" s="103"/>
    </row>
    <row r="573" spans="2:6">
      <c r="B573" s="103"/>
      <c r="D573" s="103"/>
      <c r="E573" s="103"/>
      <c r="F573" s="103"/>
    </row>
    <row r="574" spans="2:6">
      <c r="B574" s="103"/>
      <c r="D574" s="103"/>
      <c r="E574" s="103"/>
      <c r="F574" s="103"/>
    </row>
    <row r="575" spans="2:6">
      <c r="B575" s="103"/>
      <c r="D575" s="103"/>
      <c r="E575" s="103"/>
      <c r="F575" s="103"/>
    </row>
    <row r="576" spans="2:6">
      <c r="B576" s="103"/>
      <c r="D576" s="103"/>
      <c r="E576" s="103"/>
      <c r="F576" s="103"/>
    </row>
    <row r="577" spans="2:6">
      <c r="B577" s="103"/>
      <c r="D577" s="103"/>
      <c r="E577" s="103"/>
      <c r="F577" s="103"/>
    </row>
    <row r="578" spans="2:6">
      <c r="B578" s="103"/>
      <c r="D578" s="103"/>
      <c r="E578" s="103"/>
      <c r="F578" s="103"/>
    </row>
    <row r="579" spans="2:6">
      <c r="B579" s="103"/>
      <c r="D579" s="103"/>
      <c r="E579" s="103"/>
      <c r="F579" s="103"/>
    </row>
    <row r="580" spans="2:6">
      <c r="B580" s="103"/>
      <c r="D580" s="103"/>
      <c r="E580" s="103"/>
      <c r="F580" s="103"/>
    </row>
    <row r="581" spans="2:6">
      <c r="B581" s="103"/>
      <c r="D581" s="103"/>
      <c r="E581" s="103"/>
      <c r="F581" s="103"/>
    </row>
    <row r="582" spans="2:6">
      <c r="B582" s="103"/>
      <c r="D582" s="103"/>
      <c r="E582" s="103"/>
      <c r="F582" s="103"/>
    </row>
    <row r="583" spans="2:6">
      <c r="B583" s="103"/>
      <c r="D583" s="103"/>
      <c r="E583" s="103"/>
      <c r="F583" s="103"/>
    </row>
    <row r="584" spans="2:6">
      <c r="B584" s="103"/>
      <c r="D584" s="103"/>
      <c r="E584" s="103"/>
      <c r="F584" s="103"/>
    </row>
    <row r="585" spans="2:6">
      <c r="B585" s="103"/>
      <c r="D585" s="103"/>
      <c r="E585" s="103"/>
      <c r="F585" s="103"/>
    </row>
    <row r="586" spans="2:6">
      <c r="B586" s="103"/>
      <c r="D586" s="103"/>
      <c r="E586" s="103"/>
      <c r="F586" s="103"/>
    </row>
    <row r="587" spans="2:6">
      <c r="B587" s="103"/>
      <c r="D587" s="103"/>
      <c r="E587" s="103"/>
      <c r="F587" s="103"/>
    </row>
    <row r="588" spans="2:6">
      <c r="B588" s="103"/>
      <c r="D588" s="103"/>
      <c r="E588" s="103"/>
      <c r="F588" s="103"/>
    </row>
    <row r="589" spans="2:6">
      <c r="B589" s="103"/>
      <c r="D589" s="103"/>
      <c r="E589" s="103"/>
      <c r="F589" s="103"/>
    </row>
    <row r="590" spans="2:6">
      <c r="B590" s="103"/>
      <c r="D590" s="103"/>
      <c r="E590" s="103"/>
      <c r="F590" s="103"/>
    </row>
    <row r="591" spans="2:6">
      <c r="B591" s="103"/>
      <c r="D591" s="103"/>
      <c r="E591" s="103"/>
      <c r="F591" s="103"/>
    </row>
    <row r="592" spans="2:6">
      <c r="B592" s="103"/>
      <c r="D592" s="103"/>
      <c r="E592" s="103"/>
      <c r="F592" s="103"/>
    </row>
    <row r="593" spans="2:6">
      <c r="B593" s="103"/>
      <c r="D593" s="103"/>
      <c r="E593" s="103"/>
      <c r="F593" s="103"/>
    </row>
    <row r="594" spans="2:6">
      <c r="B594" s="103"/>
      <c r="D594" s="103"/>
      <c r="E594" s="103"/>
      <c r="F594" s="103"/>
    </row>
    <row r="595" spans="2:6">
      <c r="B595" s="103"/>
      <c r="D595" s="103"/>
      <c r="E595" s="103"/>
      <c r="F595" s="103"/>
    </row>
    <row r="596" spans="2:6">
      <c r="B596" s="103"/>
      <c r="D596" s="103"/>
      <c r="E596" s="103"/>
      <c r="F596" s="103"/>
    </row>
    <row r="597" spans="2:6">
      <c r="B597" s="103"/>
      <c r="D597" s="103"/>
      <c r="E597" s="103"/>
      <c r="F597" s="103"/>
    </row>
    <row r="598" spans="2:6">
      <c r="B598" s="103"/>
      <c r="D598" s="103"/>
      <c r="E598" s="103"/>
      <c r="F598" s="103"/>
    </row>
    <row r="599" spans="2:6">
      <c r="B599" s="103"/>
      <c r="D599" s="103"/>
      <c r="E599" s="103"/>
      <c r="F599" s="103"/>
    </row>
    <row r="600" spans="2:6">
      <c r="B600" s="103"/>
      <c r="D600" s="103"/>
      <c r="E600" s="103"/>
      <c r="F600" s="103"/>
    </row>
    <row r="601" spans="2:6">
      <c r="B601" s="103"/>
      <c r="D601" s="103"/>
      <c r="E601" s="103"/>
      <c r="F601" s="103"/>
    </row>
    <row r="602" spans="2:6">
      <c r="B602" s="103"/>
      <c r="D602" s="103"/>
      <c r="E602" s="103"/>
      <c r="F602" s="103"/>
    </row>
    <row r="603" spans="2:6">
      <c r="B603" s="103"/>
      <c r="D603" s="103"/>
      <c r="E603" s="103"/>
      <c r="F603" s="103"/>
    </row>
    <row r="604" spans="2:6">
      <c r="B604" s="103"/>
      <c r="D604" s="103"/>
      <c r="E604" s="103"/>
      <c r="F604" s="103"/>
    </row>
    <row r="605" spans="2:6">
      <c r="B605" s="103"/>
      <c r="D605" s="103"/>
      <c r="E605" s="103"/>
      <c r="F605" s="103"/>
    </row>
    <row r="606" spans="2:6">
      <c r="B606" s="103"/>
      <c r="D606" s="103"/>
      <c r="E606" s="103"/>
      <c r="F606" s="103"/>
    </row>
    <row r="607" spans="2:6">
      <c r="B607" s="103"/>
      <c r="D607" s="103"/>
      <c r="E607" s="103"/>
      <c r="F607" s="103"/>
    </row>
    <row r="608" spans="2:6">
      <c r="B608" s="103"/>
      <c r="D608" s="103"/>
      <c r="E608" s="103"/>
      <c r="F608" s="103"/>
    </row>
    <row r="609" spans="2:6">
      <c r="B609" s="103"/>
      <c r="D609" s="103"/>
      <c r="E609" s="103"/>
      <c r="F609" s="103"/>
    </row>
    <row r="610" spans="2:6">
      <c r="B610" s="103"/>
      <c r="D610" s="103"/>
      <c r="E610" s="103"/>
      <c r="F610" s="103"/>
    </row>
    <row r="611" spans="2:6">
      <c r="B611" s="103"/>
      <c r="D611" s="103"/>
      <c r="E611" s="103"/>
      <c r="F611" s="103"/>
    </row>
    <row r="612" spans="2:6">
      <c r="B612" s="103"/>
      <c r="D612" s="103"/>
      <c r="E612" s="103"/>
      <c r="F612" s="103"/>
    </row>
    <row r="613" spans="2:6">
      <c r="B613" s="103"/>
      <c r="D613" s="103"/>
      <c r="E613" s="103"/>
      <c r="F613" s="103"/>
    </row>
    <row r="614" spans="2:6">
      <c r="B614" s="103"/>
      <c r="D614" s="103"/>
      <c r="E614" s="103"/>
      <c r="F614" s="103"/>
    </row>
    <row r="615" spans="2:6">
      <c r="B615" s="103"/>
      <c r="D615" s="103"/>
      <c r="E615" s="103"/>
      <c r="F615" s="103"/>
    </row>
    <row r="616" spans="2:6">
      <c r="B616" s="103"/>
      <c r="D616" s="103"/>
      <c r="E616" s="103"/>
      <c r="F616" s="103"/>
    </row>
    <row r="617" spans="2:6">
      <c r="B617" s="103"/>
      <c r="D617" s="103"/>
      <c r="E617" s="103"/>
      <c r="F617" s="103"/>
    </row>
    <row r="618" spans="2:6">
      <c r="B618" s="103"/>
      <c r="D618" s="103"/>
      <c r="E618" s="103"/>
      <c r="F618" s="103"/>
    </row>
    <row r="619" spans="2:6">
      <c r="B619" s="103"/>
      <c r="D619" s="103"/>
      <c r="E619" s="103"/>
      <c r="F619" s="103"/>
    </row>
    <row r="620" spans="2:6">
      <c r="B620" s="103"/>
      <c r="D620" s="103"/>
      <c r="E620" s="103"/>
      <c r="F620" s="103"/>
    </row>
    <row r="621" spans="2:6">
      <c r="B621" s="103"/>
      <c r="D621" s="103"/>
      <c r="E621" s="103"/>
      <c r="F621" s="103"/>
    </row>
    <row r="622" spans="2:6">
      <c r="B622" s="103"/>
      <c r="D622" s="103"/>
      <c r="E622" s="103"/>
      <c r="F622" s="103"/>
    </row>
    <row r="623" spans="2:6">
      <c r="B623" s="103"/>
      <c r="D623" s="103"/>
      <c r="E623" s="103"/>
      <c r="F623" s="103"/>
    </row>
    <row r="624" spans="2:6">
      <c r="B624" s="103"/>
      <c r="D624" s="103"/>
      <c r="E624" s="103"/>
      <c r="F624" s="103"/>
    </row>
    <row r="625" spans="2:6">
      <c r="B625" s="103"/>
      <c r="D625" s="103"/>
      <c r="E625" s="103"/>
      <c r="F625" s="103"/>
    </row>
    <row r="626" spans="2:6">
      <c r="B626" s="103"/>
      <c r="D626" s="103"/>
      <c r="E626" s="103"/>
      <c r="F626" s="103"/>
    </row>
    <row r="627" spans="2:6">
      <c r="B627" s="103"/>
      <c r="D627" s="103"/>
      <c r="E627" s="103"/>
      <c r="F627" s="103"/>
    </row>
    <row r="628" spans="2:6">
      <c r="B628" s="103"/>
      <c r="D628" s="103"/>
      <c r="E628" s="103"/>
      <c r="F628" s="103"/>
    </row>
    <row r="629" spans="2:6">
      <c r="B629" s="103"/>
      <c r="D629" s="103"/>
      <c r="E629" s="103"/>
      <c r="F629" s="103"/>
    </row>
    <row r="630" spans="2:6">
      <c r="B630" s="103"/>
      <c r="D630" s="103"/>
      <c r="E630" s="103"/>
      <c r="F630" s="103"/>
    </row>
    <row r="631" spans="2:6">
      <c r="B631" s="103"/>
      <c r="D631" s="103"/>
      <c r="E631" s="103"/>
      <c r="F631" s="103"/>
    </row>
    <row r="632" spans="2:6">
      <c r="B632" s="103"/>
      <c r="D632" s="103"/>
      <c r="E632" s="103"/>
      <c r="F632" s="103"/>
    </row>
    <row r="633" spans="2:6">
      <c r="B633" s="103"/>
      <c r="D633" s="103"/>
      <c r="E633" s="103"/>
      <c r="F633" s="103"/>
    </row>
    <row r="634" spans="2:6">
      <c r="B634" s="103"/>
      <c r="D634" s="103"/>
      <c r="E634" s="103"/>
      <c r="F634" s="103"/>
    </row>
    <row r="635" spans="2:6">
      <c r="B635" s="103"/>
      <c r="D635" s="103"/>
      <c r="E635" s="103"/>
      <c r="F635" s="103"/>
    </row>
    <row r="636" spans="2:6">
      <c r="B636" s="103"/>
      <c r="D636" s="103"/>
      <c r="E636" s="103"/>
      <c r="F636" s="103"/>
    </row>
    <row r="637" spans="2:6">
      <c r="B637" s="103"/>
      <c r="D637" s="103"/>
      <c r="E637" s="103"/>
      <c r="F637" s="103"/>
    </row>
    <row r="638" spans="2:6">
      <c r="B638" s="103"/>
      <c r="D638" s="103"/>
      <c r="E638" s="103"/>
      <c r="F638" s="103"/>
    </row>
    <row r="639" spans="2:6">
      <c r="B639" s="103"/>
      <c r="D639" s="103"/>
      <c r="E639" s="103"/>
      <c r="F639" s="103"/>
    </row>
    <row r="640" spans="2:6">
      <c r="B640" s="103"/>
      <c r="D640" s="103"/>
      <c r="E640" s="103"/>
      <c r="F640" s="103"/>
    </row>
    <row r="641" spans="2:6">
      <c r="B641" s="103"/>
      <c r="D641" s="103"/>
      <c r="E641" s="103"/>
      <c r="F641" s="103"/>
    </row>
    <row r="642" spans="2:6">
      <c r="B642" s="103"/>
      <c r="D642" s="103"/>
      <c r="E642" s="103"/>
      <c r="F642" s="103"/>
    </row>
    <row r="643" spans="2:6">
      <c r="B643" s="103"/>
      <c r="D643" s="103"/>
      <c r="E643" s="103"/>
      <c r="F643" s="103"/>
    </row>
    <row r="644" spans="2:6">
      <c r="B644" s="103"/>
      <c r="D644" s="103"/>
      <c r="E644" s="103"/>
      <c r="F644" s="103"/>
    </row>
    <row r="645" spans="2:6">
      <c r="B645" s="103"/>
      <c r="D645" s="103"/>
      <c r="E645" s="103"/>
      <c r="F645" s="103"/>
    </row>
    <row r="646" spans="2:6">
      <c r="B646" s="103"/>
      <c r="D646" s="103"/>
      <c r="E646" s="103"/>
      <c r="F646" s="103"/>
    </row>
    <row r="647" spans="2:6">
      <c r="B647" s="103"/>
      <c r="D647" s="103"/>
      <c r="E647" s="103"/>
      <c r="F647" s="103"/>
    </row>
    <row r="648" spans="2:6">
      <c r="B648" s="103"/>
      <c r="D648" s="103"/>
      <c r="E648" s="103"/>
      <c r="F648" s="103"/>
    </row>
    <row r="649" spans="2:6">
      <c r="B649" s="103"/>
      <c r="D649" s="103"/>
      <c r="E649" s="103"/>
      <c r="F649" s="103"/>
    </row>
    <row r="650" spans="2:6">
      <c r="B650" s="103"/>
      <c r="D650" s="103"/>
      <c r="E650" s="103"/>
      <c r="F650" s="103"/>
    </row>
    <row r="651" spans="2:6">
      <c r="B651" s="103"/>
      <c r="D651" s="103"/>
      <c r="E651" s="103"/>
      <c r="F651" s="103"/>
    </row>
    <row r="652" spans="2:6">
      <c r="B652" s="103"/>
      <c r="D652" s="103"/>
      <c r="E652" s="103"/>
      <c r="F652" s="103"/>
    </row>
    <row r="653" spans="2:6">
      <c r="B653" s="103"/>
      <c r="D653" s="103"/>
      <c r="E653" s="103"/>
      <c r="F653" s="103"/>
    </row>
    <row r="654" spans="2:6">
      <c r="B654" s="103"/>
      <c r="D654" s="103"/>
      <c r="E654" s="103"/>
      <c r="F654" s="103"/>
    </row>
    <row r="655" spans="2:6">
      <c r="B655" s="103"/>
      <c r="D655" s="103"/>
      <c r="E655" s="103"/>
      <c r="F655" s="103"/>
    </row>
    <row r="656" spans="2:6">
      <c r="B656" s="103"/>
      <c r="D656" s="103"/>
      <c r="E656" s="103"/>
      <c r="F656" s="103"/>
    </row>
    <row r="657" spans="2:6">
      <c r="B657" s="103"/>
      <c r="D657" s="103"/>
      <c r="E657" s="103"/>
      <c r="F657" s="103"/>
    </row>
    <row r="658" spans="2:6">
      <c r="B658" s="103"/>
      <c r="D658" s="103"/>
      <c r="E658" s="103"/>
      <c r="F658" s="103"/>
    </row>
    <row r="659" spans="2:6">
      <c r="B659" s="103"/>
      <c r="D659" s="103"/>
      <c r="E659" s="103"/>
      <c r="F659" s="103"/>
    </row>
    <row r="660" spans="2:6">
      <c r="B660" s="103"/>
      <c r="D660" s="103"/>
      <c r="E660" s="103"/>
      <c r="F660" s="103"/>
    </row>
    <row r="661" spans="2:6">
      <c r="B661" s="103"/>
      <c r="D661" s="103"/>
      <c r="E661" s="103"/>
      <c r="F661" s="103"/>
    </row>
    <row r="662" spans="2:6">
      <c r="B662" s="103"/>
      <c r="D662" s="103"/>
      <c r="E662" s="103"/>
      <c r="F662" s="103"/>
    </row>
    <row r="663" spans="2:6">
      <c r="B663" s="103"/>
      <c r="D663" s="103"/>
      <c r="E663" s="103"/>
      <c r="F663" s="103"/>
    </row>
    <row r="664" spans="2:6">
      <c r="B664" s="103"/>
      <c r="D664" s="103"/>
      <c r="E664" s="103"/>
      <c r="F664" s="103"/>
    </row>
    <row r="665" spans="2:6">
      <c r="B665" s="103"/>
      <c r="D665" s="103"/>
      <c r="E665" s="103"/>
      <c r="F665" s="103"/>
    </row>
    <row r="666" spans="2:6">
      <c r="B666" s="103"/>
      <c r="D666" s="103"/>
      <c r="E666" s="103"/>
      <c r="F666" s="103"/>
    </row>
    <row r="667" spans="2:6">
      <c r="B667" s="103"/>
      <c r="D667" s="103"/>
      <c r="E667" s="103"/>
      <c r="F667" s="103"/>
    </row>
    <row r="668" spans="2:6">
      <c r="B668" s="103"/>
      <c r="D668" s="103"/>
      <c r="E668" s="103"/>
      <c r="F668" s="103"/>
    </row>
    <row r="669" spans="2:6">
      <c r="B669" s="103"/>
      <c r="D669" s="103"/>
      <c r="E669" s="103"/>
      <c r="F669" s="103"/>
    </row>
    <row r="670" spans="2:6">
      <c r="B670" s="103"/>
      <c r="D670" s="103"/>
      <c r="E670" s="103"/>
      <c r="F670" s="103"/>
    </row>
    <row r="671" spans="2:6">
      <c r="B671" s="103"/>
      <c r="D671" s="103"/>
      <c r="E671" s="103"/>
      <c r="F671" s="103"/>
    </row>
    <row r="672" spans="2:6">
      <c r="B672" s="103"/>
      <c r="D672" s="103"/>
      <c r="E672" s="103"/>
      <c r="F672" s="103"/>
    </row>
    <row r="673" spans="2:6">
      <c r="B673" s="103"/>
      <c r="D673" s="103"/>
      <c r="E673" s="103"/>
      <c r="F673" s="103"/>
    </row>
    <row r="674" spans="2:6">
      <c r="B674" s="103"/>
      <c r="D674" s="103"/>
      <c r="E674" s="103"/>
      <c r="F674" s="103"/>
    </row>
    <row r="675" spans="2:6">
      <c r="B675" s="103"/>
      <c r="D675" s="103"/>
      <c r="E675" s="103"/>
      <c r="F675" s="103"/>
    </row>
    <row r="676" spans="2:6">
      <c r="B676" s="103"/>
      <c r="D676" s="103"/>
      <c r="E676" s="103"/>
      <c r="F676" s="103"/>
    </row>
    <row r="677" spans="2:6">
      <c r="B677" s="103"/>
      <c r="D677" s="103"/>
      <c r="E677" s="103"/>
      <c r="F677" s="103"/>
    </row>
    <row r="678" spans="2:6">
      <c r="B678" s="103"/>
      <c r="D678" s="103"/>
      <c r="E678" s="103"/>
      <c r="F678" s="103"/>
    </row>
    <row r="679" spans="2:6">
      <c r="B679" s="103"/>
      <c r="D679" s="103"/>
      <c r="E679" s="103"/>
      <c r="F679" s="103"/>
    </row>
    <row r="680" spans="2:6">
      <c r="B680" s="103"/>
      <c r="D680" s="103"/>
      <c r="E680" s="103"/>
      <c r="F680" s="103"/>
    </row>
    <row r="681" spans="2:6">
      <c r="B681" s="103"/>
      <c r="D681" s="103"/>
      <c r="E681" s="103"/>
      <c r="F681" s="103"/>
    </row>
    <row r="682" spans="2:6">
      <c r="B682" s="103"/>
      <c r="D682" s="103"/>
      <c r="E682" s="103"/>
      <c r="F682" s="103"/>
    </row>
    <row r="683" spans="2:6">
      <c r="B683" s="103"/>
      <c r="D683" s="103"/>
      <c r="E683" s="103"/>
      <c r="F683" s="103"/>
    </row>
    <row r="684" spans="2:6">
      <c r="B684" s="103"/>
      <c r="D684" s="103"/>
      <c r="E684" s="103"/>
      <c r="F684" s="103"/>
    </row>
    <row r="685" spans="2:6">
      <c r="B685" s="103"/>
      <c r="D685" s="103"/>
      <c r="E685" s="103"/>
      <c r="F685" s="103"/>
    </row>
    <row r="686" spans="2:6">
      <c r="B686" s="103"/>
      <c r="D686" s="103"/>
      <c r="E686" s="103"/>
      <c r="F686" s="103"/>
    </row>
    <row r="687" spans="2:6">
      <c r="B687" s="103"/>
      <c r="D687" s="103"/>
      <c r="E687" s="103"/>
      <c r="F687" s="103"/>
    </row>
    <row r="688" spans="2:6">
      <c r="B688" s="103"/>
      <c r="D688" s="103"/>
      <c r="E688" s="103"/>
      <c r="F688" s="103"/>
    </row>
    <row r="689" spans="2:6">
      <c r="B689" s="103"/>
      <c r="D689" s="103"/>
      <c r="E689" s="103"/>
      <c r="F689" s="103"/>
    </row>
    <row r="690" spans="2:6">
      <c r="B690" s="103"/>
      <c r="D690" s="103"/>
      <c r="E690" s="103"/>
      <c r="F690" s="103"/>
    </row>
    <row r="691" spans="2:6">
      <c r="B691" s="103"/>
      <c r="D691" s="103"/>
      <c r="E691" s="103"/>
      <c r="F691" s="103"/>
    </row>
    <row r="692" spans="2:6">
      <c r="B692" s="103"/>
      <c r="D692" s="103"/>
      <c r="E692" s="103"/>
      <c r="F692" s="103"/>
    </row>
    <row r="693" spans="2:6">
      <c r="B693" s="103"/>
      <c r="D693" s="103"/>
      <c r="E693" s="103"/>
      <c r="F693" s="103"/>
    </row>
    <row r="694" spans="2:6">
      <c r="B694" s="103"/>
      <c r="D694" s="103"/>
      <c r="E694" s="103"/>
      <c r="F694" s="103"/>
    </row>
    <row r="695" spans="2:6">
      <c r="B695" s="103"/>
      <c r="D695" s="103"/>
      <c r="E695" s="103"/>
      <c r="F695" s="103"/>
    </row>
    <row r="696" spans="2:6">
      <c r="B696" s="103"/>
      <c r="D696" s="103"/>
      <c r="E696" s="103"/>
      <c r="F696" s="103"/>
    </row>
    <row r="697" spans="2:6">
      <c r="B697" s="103"/>
      <c r="D697" s="103"/>
      <c r="E697" s="103"/>
      <c r="F697" s="103"/>
    </row>
    <row r="698" spans="2:6">
      <c r="B698" s="103"/>
      <c r="D698" s="103"/>
      <c r="E698" s="103"/>
      <c r="F698" s="103"/>
    </row>
    <row r="699" spans="2:6">
      <c r="B699" s="103"/>
      <c r="D699" s="103"/>
      <c r="E699" s="103"/>
      <c r="F699" s="103"/>
    </row>
    <row r="700" spans="2:6">
      <c r="B700" s="103"/>
      <c r="D700" s="103"/>
      <c r="E700" s="103"/>
      <c r="F700" s="103"/>
    </row>
    <row r="701" spans="2:6">
      <c r="B701" s="103"/>
      <c r="D701" s="103"/>
      <c r="E701" s="103"/>
      <c r="F701" s="103"/>
    </row>
    <row r="702" spans="2:6">
      <c r="B702" s="103"/>
      <c r="D702" s="103"/>
      <c r="E702" s="103"/>
      <c r="F702" s="103"/>
    </row>
    <row r="703" spans="2:6">
      <c r="B703" s="103"/>
      <c r="D703" s="103"/>
      <c r="E703" s="103"/>
      <c r="F703" s="103"/>
    </row>
    <row r="704" spans="2:6">
      <c r="B704" s="103"/>
      <c r="D704" s="103"/>
      <c r="E704" s="103"/>
      <c r="F704" s="103"/>
    </row>
    <row r="705" spans="2:6">
      <c r="B705" s="103"/>
      <c r="D705" s="103"/>
      <c r="E705" s="103"/>
      <c r="F705" s="103"/>
    </row>
    <row r="706" spans="2:6">
      <c r="B706" s="103"/>
      <c r="D706" s="103"/>
      <c r="E706" s="103"/>
      <c r="F706" s="103"/>
    </row>
    <row r="707" spans="2:6">
      <c r="B707" s="103"/>
      <c r="D707" s="103"/>
      <c r="E707" s="103"/>
      <c r="F707" s="103"/>
    </row>
    <row r="708" spans="2:6">
      <c r="B708" s="103"/>
      <c r="D708" s="103"/>
      <c r="E708" s="103"/>
      <c r="F708" s="103"/>
    </row>
    <row r="709" spans="2:6">
      <c r="B709" s="103"/>
      <c r="D709" s="103"/>
      <c r="E709" s="103"/>
      <c r="F709" s="103"/>
    </row>
    <row r="710" spans="2:6">
      <c r="B710" s="103"/>
      <c r="D710" s="103"/>
      <c r="E710" s="103"/>
      <c r="F710" s="103"/>
    </row>
    <row r="711" spans="2:6">
      <c r="B711" s="103"/>
      <c r="D711" s="103"/>
      <c r="E711" s="103"/>
      <c r="F711" s="103"/>
    </row>
    <row r="712" spans="2:6">
      <c r="B712" s="103"/>
      <c r="D712" s="103"/>
      <c r="E712" s="103"/>
      <c r="F712" s="103"/>
    </row>
    <row r="713" spans="2:6">
      <c r="B713" s="103"/>
      <c r="D713" s="103"/>
      <c r="E713" s="103"/>
      <c r="F713" s="103"/>
    </row>
    <row r="714" spans="2:6">
      <c r="B714" s="103"/>
      <c r="D714" s="103"/>
      <c r="E714" s="103"/>
      <c r="F714" s="103"/>
    </row>
    <row r="715" spans="2:6">
      <c r="B715" s="103"/>
      <c r="D715" s="103"/>
      <c r="E715" s="103"/>
      <c r="F715" s="103"/>
    </row>
    <row r="716" spans="2:6">
      <c r="B716" s="103"/>
      <c r="D716" s="103"/>
      <c r="E716" s="103"/>
      <c r="F716" s="103"/>
    </row>
    <row r="717" spans="2:6">
      <c r="B717" s="103"/>
      <c r="D717" s="103"/>
      <c r="E717" s="103"/>
      <c r="F717" s="103"/>
    </row>
    <row r="718" spans="2:6">
      <c r="B718" s="103"/>
      <c r="D718" s="103"/>
      <c r="E718" s="103"/>
      <c r="F718" s="103"/>
    </row>
    <row r="719" spans="2:6">
      <c r="B719" s="103"/>
      <c r="D719" s="103"/>
      <c r="E719" s="103"/>
      <c r="F719" s="103"/>
    </row>
    <row r="720" spans="2:6">
      <c r="B720" s="103"/>
      <c r="D720" s="103"/>
      <c r="E720" s="103"/>
      <c r="F720" s="103"/>
    </row>
    <row r="721" spans="2:6">
      <c r="B721" s="103"/>
      <c r="D721" s="103"/>
      <c r="E721" s="103"/>
      <c r="F721" s="103"/>
    </row>
    <row r="722" spans="2:6">
      <c r="B722" s="103"/>
      <c r="D722" s="103"/>
      <c r="E722" s="103"/>
      <c r="F722" s="103"/>
    </row>
    <row r="723" spans="2:6">
      <c r="B723" s="103"/>
      <c r="D723" s="103"/>
      <c r="E723" s="103"/>
      <c r="F723" s="103"/>
    </row>
    <row r="724" spans="2:6">
      <c r="B724" s="103"/>
      <c r="D724" s="103"/>
      <c r="E724" s="103"/>
      <c r="F724" s="103"/>
    </row>
    <row r="725" spans="2:6">
      <c r="B725" s="103"/>
      <c r="D725" s="103"/>
      <c r="E725" s="103"/>
      <c r="F725" s="103"/>
    </row>
    <row r="726" spans="2:6">
      <c r="B726" s="103"/>
      <c r="D726" s="103"/>
      <c r="E726" s="103"/>
      <c r="F726" s="103"/>
    </row>
    <row r="727" spans="2:6">
      <c r="B727" s="103"/>
      <c r="D727" s="103"/>
      <c r="E727" s="103"/>
      <c r="F727" s="103"/>
    </row>
    <row r="728" spans="2:6">
      <c r="B728" s="103"/>
      <c r="D728" s="103"/>
      <c r="E728" s="103"/>
      <c r="F728" s="103"/>
    </row>
    <row r="729" spans="2:6">
      <c r="B729" s="103"/>
      <c r="D729" s="103"/>
      <c r="E729" s="103"/>
      <c r="F729" s="103"/>
    </row>
    <row r="730" spans="2:6">
      <c r="B730" s="103"/>
      <c r="D730" s="103"/>
      <c r="E730" s="103"/>
      <c r="F730" s="103"/>
    </row>
    <row r="731" spans="2:6">
      <c r="B731" s="103"/>
      <c r="D731" s="103"/>
      <c r="E731" s="103"/>
      <c r="F731" s="103"/>
    </row>
    <row r="732" spans="2:6">
      <c r="B732" s="103"/>
      <c r="D732" s="103"/>
      <c r="E732" s="103"/>
      <c r="F732" s="103"/>
    </row>
    <row r="733" spans="2:6">
      <c r="B733" s="103"/>
      <c r="D733" s="103"/>
      <c r="E733" s="103"/>
      <c r="F733" s="103"/>
    </row>
    <row r="734" spans="2:6">
      <c r="B734" s="103"/>
      <c r="D734" s="103"/>
      <c r="E734" s="103"/>
      <c r="F734" s="103"/>
    </row>
    <row r="735" spans="2:6">
      <c r="B735" s="103"/>
      <c r="D735" s="103"/>
      <c r="E735" s="103"/>
      <c r="F735" s="103"/>
    </row>
    <row r="736" spans="2:6">
      <c r="B736" s="103"/>
      <c r="D736" s="103"/>
      <c r="E736" s="103"/>
      <c r="F736" s="103"/>
    </row>
    <row r="737" spans="2:6">
      <c r="B737" s="103"/>
      <c r="D737" s="103"/>
      <c r="E737" s="103"/>
      <c r="F737" s="103"/>
    </row>
    <row r="738" spans="2:6">
      <c r="B738" s="103"/>
      <c r="D738" s="103"/>
      <c r="E738" s="103"/>
      <c r="F738" s="103"/>
    </row>
    <row r="739" spans="2:6">
      <c r="B739" s="103"/>
      <c r="D739" s="103"/>
      <c r="E739" s="103"/>
      <c r="F739" s="103"/>
    </row>
    <row r="740" spans="2:6">
      <c r="B740" s="103"/>
      <c r="D740" s="103"/>
      <c r="E740" s="103"/>
      <c r="F740" s="103"/>
    </row>
    <row r="741" spans="2:6">
      <c r="B741" s="103"/>
      <c r="D741" s="103"/>
      <c r="E741" s="103"/>
      <c r="F741" s="103"/>
    </row>
    <row r="742" spans="2:6">
      <c r="B742" s="103"/>
      <c r="D742" s="103"/>
      <c r="E742" s="103"/>
      <c r="F742" s="103"/>
    </row>
    <row r="743" spans="2:6">
      <c r="B743" s="103"/>
      <c r="D743" s="103"/>
      <c r="E743" s="103"/>
      <c r="F743" s="103"/>
    </row>
    <row r="744" spans="2:6">
      <c r="B744" s="103"/>
      <c r="D744" s="103"/>
      <c r="E744" s="103"/>
      <c r="F744" s="103"/>
    </row>
    <row r="745" spans="2:6">
      <c r="B745" s="103"/>
      <c r="D745" s="103"/>
      <c r="E745" s="103"/>
      <c r="F745" s="103"/>
    </row>
    <row r="746" spans="2:6">
      <c r="B746" s="103"/>
      <c r="D746" s="103"/>
      <c r="E746" s="103"/>
      <c r="F746" s="103"/>
    </row>
    <row r="747" spans="2:6">
      <c r="B747" s="103"/>
      <c r="D747" s="103"/>
      <c r="E747" s="103"/>
      <c r="F747" s="103"/>
    </row>
    <row r="748" spans="2:6">
      <c r="B748" s="103"/>
      <c r="D748" s="103"/>
      <c r="E748" s="103"/>
      <c r="F748" s="103"/>
    </row>
    <row r="749" spans="2:6">
      <c r="B749" s="103"/>
      <c r="D749" s="103"/>
      <c r="E749" s="103"/>
      <c r="F749" s="103"/>
    </row>
    <row r="750" spans="2:6">
      <c r="B750" s="103"/>
      <c r="D750" s="103"/>
      <c r="E750" s="103"/>
      <c r="F750" s="103"/>
    </row>
    <row r="751" spans="2:6">
      <c r="B751" s="103"/>
      <c r="D751" s="103"/>
      <c r="E751" s="103"/>
      <c r="F751" s="103"/>
    </row>
    <row r="752" spans="2:6">
      <c r="B752" s="103"/>
      <c r="D752" s="103"/>
      <c r="E752" s="103"/>
      <c r="F752" s="103"/>
    </row>
    <row r="753" spans="2:6">
      <c r="B753" s="103"/>
      <c r="D753" s="103"/>
      <c r="E753" s="103"/>
      <c r="F753" s="103"/>
    </row>
    <row r="754" spans="2:6">
      <c r="B754" s="103"/>
      <c r="D754" s="103"/>
      <c r="E754" s="103"/>
      <c r="F754" s="103"/>
    </row>
    <row r="755" spans="2:6">
      <c r="B755" s="103"/>
      <c r="D755" s="103"/>
      <c r="E755" s="103"/>
      <c r="F755" s="103"/>
    </row>
    <row r="756" spans="2:6">
      <c r="B756" s="103"/>
      <c r="D756" s="103"/>
      <c r="E756" s="103"/>
      <c r="F756" s="103"/>
    </row>
    <row r="757" spans="2:6">
      <c r="B757" s="103"/>
      <c r="D757" s="103"/>
      <c r="E757" s="103"/>
      <c r="F757" s="103"/>
    </row>
    <row r="758" spans="2:6">
      <c r="B758" s="103"/>
      <c r="D758" s="103"/>
      <c r="E758" s="103"/>
      <c r="F758" s="103"/>
    </row>
    <row r="759" spans="2:6">
      <c r="B759" s="103"/>
      <c r="D759" s="103"/>
      <c r="E759" s="103"/>
      <c r="F759" s="103"/>
    </row>
    <row r="760" spans="2:6">
      <c r="B760" s="103"/>
      <c r="D760" s="103"/>
      <c r="E760" s="103"/>
      <c r="F760" s="103"/>
    </row>
    <row r="761" spans="2:6">
      <c r="B761" s="103"/>
      <c r="D761" s="103"/>
      <c r="E761" s="103"/>
      <c r="F761" s="103"/>
    </row>
    <row r="762" spans="2:6">
      <c r="B762" s="103"/>
      <c r="D762" s="103"/>
      <c r="E762" s="103"/>
      <c r="F762" s="103"/>
    </row>
    <row r="763" spans="2:6">
      <c r="B763" s="103"/>
      <c r="D763" s="103"/>
      <c r="E763" s="103"/>
      <c r="F763" s="103"/>
    </row>
    <row r="764" spans="2:6">
      <c r="B764" s="103"/>
      <c r="D764" s="103"/>
      <c r="E764" s="103"/>
      <c r="F764" s="103"/>
    </row>
    <row r="765" spans="2:6">
      <c r="B765" s="103"/>
      <c r="D765" s="103"/>
      <c r="E765" s="103"/>
      <c r="F765" s="103"/>
    </row>
    <row r="766" spans="2:6">
      <c r="B766" s="103"/>
      <c r="D766" s="103"/>
      <c r="E766" s="103"/>
      <c r="F766" s="103"/>
    </row>
    <row r="767" spans="2:6">
      <c r="B767" s="103"/>
      <c r="D767" s="103"/>
      <c r="E767" s="103"/>
      <c r="F767" s="103"/>
    </row>
    <row r="768" spans="2:6">
      <c r="B768" s="103"/>
      <c r="D768" s="103"/>
      <c r="E768" s="103"/>
      <c r="F768" s="103"/>
    </row>
    <row r="769" spans="2:6">
      <c r="B769" s="103"/>
      <c r="D769" s="103"/>
      <c r="E769" s="103"/>
      <c r="F769" s="103"/>
    </row>
    <row r="770" spans="2:6">
      <c r="B770" s="103"/>
      <c r="D770" s="103"/>
      <c r="E770" s="103"/>
      <c r="F770" s="103"/>
    </row>
    <row r="771" spans="2:6">
      <c r="B771" s="103"/>
      <c r="D771" s="103"/>
      <c r="E771" s="103"/>
      <c r="F771" s="103"/>
    </row>
    <row r="772" spans="2:6">
      <c r="B772" s="103"/>
      <c r="D772" s="103"/>
      <c r="E772" s="103"/>
      <c r="F772" s="103"/>
    </row>
    <row r="773" spans="2:6">
      <c r="B773" s="103"/>
      <c r="D773" s="103"/>
      <c r="E773" s="103"/>
      <c r="F773" s="103"/>
    </row>
    <row r="774" spans="2:6">
      <c r="B774" s="103"/>
      <c r="D774" s="103"/>
      <c r="E774" s="103"/>
      <c r="F774" s="103"/>
    </row>
    <row r="775" spans="2:6">
      <c r="B775" s="103"/>
      <c r="D775" s="103"/>
      <c r="E775" s="103"/>
      <c r="F775" s="103"/>
    </row>
    <row r="776" spans="2:6">
      <c r="B776" s="103"/>
      <c r="D776" s="103"/>
      <c r="E776" s="103"/>
      <c r="F776" s="103"/>
    </row>
    <row r="777" spans="2:6">
      <c r="B777" s="103"/>
      <c r="D777" s="103"/>
      <c r="E777" s="103"/>
      <c r="F777" s="103"/>
    </row>
    <row r="778" spans="2:6">
      <c r="B778" s="103"/>
      <c r="D778" s="103"/>
      <c r="E778" s="103"/>
      <c r="F778" s="103"/>
    </row>
    <row r="779" spans="2:6">
      <c r="B779" s="103"/>
      <c r="D779" s="103"/>
      <c r="E779" s="103"/>
      <c r="F779" s="103"/>
    </row>
    <row r="780" spans="2:6">
      <c r="B780" s="103"/>
      <c r="D780" s="103"/>
      <c r="E780" s="103"/>
      <c r="F780" s="103"/>
    </row>
    <row r="781" spans="2:6">
      <c r="B781" s="103"/>
      <c r="D781" s="103"/>
      <c r="E781" s="103"/>
      <c r="F781" s="103"/>
    </row>
    <row r="782" spans="2:6">
      <c r="B782" s="103"/>
      <c r="D782" s="103"/>
      <c r="E782" s="103"/>
      <c r="F782" s="103"/>
    </row>
    <row r="783" spans="2:6">
      <c r="B783" s="103"/>
      <c r="D783" s="103"/>
      <c r="E783" s="103"/>
      <c r="F783" s="103"/>
    </row>
    <row r="784" spans="2:6">
      <c r="B784" s="103"/>
      <c r="D784" s="103"/>
      <c r="E784" s="103"/>
      <c r="F784" s="103"/>
    </row>
    <row r="785" spans="2:6">
      <c r="B785" s="103"/>
      <c r="D785" s="103"/>
      <c r="E785" s="103"/>
      <c r="F785" s="103"/>
    </row>
    <row r="786" spans="2:6">
      <c r="B786" s="103"/>
      <c r="D786" s="103"/>
      <c r="E786" s="103"/>
      <c r="F786" s="103"/>
    </row>
    <row r="787" spans="2:6">
      <c r="B787" s="103"/>
      <c r="D787" s="103"/>
      <c r="E787" s="103"/>
      <c r="F787" s="103"/>
    </row>
    <row r="788" spans="2:6">
      <c r="B788" s="103"/>
      <c r="D788" s="103"/>
      <c r="E788" s="103"/>
      <c r="F788" s="103"/>
    </row>
    <row r="789" spans="2:6">
      <c r="B789" s="103"/>
      <c r="D789" s="103"/>
      <c r="E789" s="103"/>
      <c r="F789" s="103"/>
    </row>
    <row r="790" spans="2:6">
      <c r="B790" s="103"/>
      <c r="D790" s="103"/>
      <c r="E790" s="103"/>
      <c r="F790" s="103"/>
    </row>
    <row r="791" spans="2:6">
      <c r="B791" s="103"/>
      <c r="D791" s="103"/>
      <c r="E791" s="103"/>
      <c r="F791" s="103"/>
    </row>
    <row r="792" spans="2:6">
      <c r="B792" s="103"/>
      <c r="D792" s="103"/>
      <c r="E792" s="103"/>
      <c r="F792" s="103"/>
    </row>
    <row r="793" spans="2:6">
      <c r="B793" s="103"/>
      <c r="D793" s="103"/>
      <c r="E793" s="103"/>
      <c r="F793" s="103"/>
    </row>
    <row r="794" spans="2:6">
      <c r="B794" s="103"/>
      <c r="D794" s="103"/>
      <c r="E794" s="103"/>
      <c r="F794" s="103"/>
    </row>
    <row r="795" spans="2:6">
      <c r="B795" s="103"/>
      <c r="D795" s="103"/>
      <c r="E795" s="103"/>
      <c r="F795" s="103"/>
    </row>
    <row r="796" spans="2:6">
      <c r="B796" s="103"/>
      <c r="D796" s="103"/>
      <c r="E796" s="103"/>
      <c r="F796" s="103"/>
    </row>
    <row r="797" spans="2:6">
      <c r="B797" s="103"/>
      <c r="D797" s="103"/>
      <c r="E797" s="103"/>
      <c r="F797" s="103"/>
    </row>
    <row r="798" spans="2:6">
      <c r="B798" s="103"/>
      <c r="D798" s="103"/>
      <c r="E798" s="103"/>
      <c r="F798" s="103"/>
    </row>
    <row r="799" spans="2:6">
      <c r="B799" s="103"/>
      <c r="D799" s="103"/>
      <c r="E799" s="103"/>
      <c r="F799" s="103"/>
    </row>
    <row r="800" spans="2:6">
      <c r="B800" s="103"/>
      <c r="D800" s="103"/>
      <c r="E800" s="103"/>
      <c r="F800" s="103"/>
    </row>
    <row r="801" spans="2:6">
      <c r="B801" s="103"/>
      <c r="D801" s="103"/>
      <c r="E801" s="103"/>
      <c r="F801" s="103"/>
    </row>
    <row r="802" spans="2:6">
      <c r="B802" s="103"/>
      <c r="D802" s="103"/>
      <c r="E802" s="103"/>
      <c r="F802" s="103"/>
    </row>
    <row r="803" spans="2:6">
      <c r="B803" s="103"/>
      <c r="D803" s="103"/>
      <c r="E803" s="103"/>
      <c r="F803" s="103"/>
    </row>
    <row r="804" spans="2:6">
      <c r="B804" s="103"/>
      <c r="D804" s="103"/>
      <c r="E804" s="103"/>
      <c r="F804" s="103"/>
    </row>
    <row r="805" spans="2:6">
      <c r="B805" s="103"/>
      <c r="D805" s="103"/>
      <c r="E805" s="103"/>
      <c r="F805" s="103"/>
    </row>
    <row r="806" spans="2:6">
      <c r="B806" s="103"/>
      <c r="D806" s="103"/>
      <c r="E806" s="103"/>
      <c r="F806" s="103"/>
    </row>
    <row r="807" spans="2:6">
      <c r="B807" s="103"/>
      <c r="D807" s="103"/>
      <c r="E807" s="103"/>
      <c r="F807" s="103"/>
    </row>
    <row r="808" spans="2:6">
      <c r="B808" s="103"/>
      <c r="D808" s="103"/>
      <c r="E808" s="103"/>
      <c r="F808" s="103"/>
    </row>
    <row r="809" spans="2:6">
      <c r="B809" s="103"/>
      <c r="D809" s="103"/>
      <c r="E809" s="103"/>
      <c r="F809" s="103"/>
    </row>
    <row r="810" spans="2:6">
      <c r="B810" s="103"/>
      <c r="D810" s="103"/>
      <c r="E810" s="103"/>
      <c r="F810" s="103"/>
    </row>
    <row r="811" spans="2:6">
      <c r="B811" s="103"/>
      <c r="D811" s="103"/>
      <c r="E811" s="103"/>
      <c r="F811" s="103"/>
    </row>
    <row r="812" spans="2:6">
      <c r="B812" s="103"/>
      <c r="D812" s="103"/>
      <c r="E812" s="103"/>
      <c r="F812" s="103"/>
    </row>
    <row r="813" spans="2:6">
      <c r="B813" s="103"/>
      <c r="D813" s="103"/>
      <c r="E813" s="103"/>
      <c r="F813" s="103"/>
    </row>
    <row r="814" spans="2:6">
      <c r="B814" s="103"/>
      <c r="D814" s="103"/>
      <c r="E814" s="103"/>
      <c r="F814" s="103"/>
    </row>
    <row r="815" spans="2:6">
      <c r="B815" s="103"/>
      <c r="D815" s="103"/>
      <c r="E815" s="103"/>
      <c r="F815" s="103"/>
    </row>
    <row r="816" spans="2:6">
      <c r="B816" s="103"/>
      <c r="D816" s="103"/>
      <c r="E816" s="103"/>
      <c r="F816" s="103"/>
    </row>
    <row r="817" spans="2:6">
      <c r="B817" s="103"/>
      <c r="D817" s="103"/>
      <c r="E817" s="103"/>
      <c r="F817" s="103"/>
    </row>
    <row r="818" spans="2:6">
      <c r="B818" s="103"/>
      <c r="D818" s="103"/>
      <c r="E818" s="103"/>
      <c r="F818" s="103"/>
    </row>
    <row r="819" spans="2:6">
      <c r="B819" s="103"/>
      <c r="D819" s="103"/>
      <c r="E819" s="103"/>
      <c r="F819" s="103"/>
    </row>
    <row r="820" spans="2:6">
      <c r="B820" s="103"/>
      <c r="D820" s="103"/>
      <c r="E820" s="103"/>
      <c r="F820" s="103"/>
    </row>
    <row r="821" spans="2:6">
      <c r="B821" s="103"/>
      <c r="D821" s="103"/>
      <c r="E821" s="103"/>
      <c r="F821" s="103"/>
    </row>
    <row r="822" spans="2:6">
      <c r="B822" s="103"/>
      <c r="D822" s="103"/>
      <c r="E822" s="103"/>
      <c r="F822" s="103"/>
    </row>
    <row r="823" spans="2:6">
      <c r="B823" s="103"/>
      <c r="D823" s="103"/>
      <c r="E823" s="103"/>
      <c r="F823" s="103"/>
    </row>
    <row r="824" spans="2:6">
      <c r="B824" s="103"/>
      <c r="D824" s="103"/>
      <c r="E824" s="103"/>
      <c r="F824" s="103"/>
    </row>
    <row r="825" spans="2:6">
      <c r="B825" s="103"/>
      <c r="D825" s="103"/>
      <c r="E825" s="103"/>
      <c r="F825" s="103"/>
    </row>
    <row r="826" spans="2:6">
      <c r="B826" s="103"/>
      <c r="D826" s="103"/>
      <c r="E826" s="103"/>
      <c r="F826" s="103"/>
    </row>
    <row r="827" spans="2:6">
      <c r="B827" s="103"/>
      <c r="D827" s="103"/>
      <c r="E827" s="103"/>
      <c r="F827" s="103"/>
    </row>
    <row r="828" spans="2:6">
      <c r="B828" s="103"/>
      <c r="D828" s="103"/>
      <c r="E828" s="103"/>
      <c r="F828" s="103"/>
    </row>
    <row r="829" spans="2:6">
      <c r="B829" s="103"/>
      <c r="D829" s="103"/>
      <c r="E829" s="103"/>
      <c r="F829" s="103"/>
    </row>
    <row r="830" spans="2:6">
      <c r="B830" s="103"/>
      <c r="D830" s="103"/>
      <c r="E830" s="103"/>
      <c r="F830" s="103"/>
    </row>
    <row r="831" spans="2:6">
      <c r="B831" s="103"/>
      <c r="D831" s="103"/>
      <c r="E831" s="103"/>
      <c r="F831" s="103"/>
    </row>
    <row r="832" spans="2:6">
      <c r="B832" s="103"/>
      <c r="D832" s="103"/>
      <c r="E832" s="103"/>
      <c r="F832" s="103"/>
    </row>
    <row r="833" spans="2:6">
      <c r="B833" s="103"/>
      <c r="D833" s="103"/>
      <c r="E833" s="103"/>
      <c r="F833" s="103"/>
    </row>
    <row r="834" spans="2:6">
      <c r="B834" s="103"/>
      <c r="D834" s="103"/>
      <c r="E834" s="103"/>
      <c r="F834" s="103"/>
    </row>
    <row r="835" spans="2:6">
      <c r="B835" s="103"/>
      <c r="D835" s="103"/>
      <c r="E835" s="103"/>
      <c r="F835" s="103"/>
    </row>
    <row r="836" spans="2:6">
      <c r="B836" s="103"/>
      <c r="D836" s="103"/>
      <c r="E836" s="103"/>
      <c r="F836" s="103"/>
    </row>
    <row r="837" spans="2:6">
      <c r="B837" s="103"/>
      <c r="D837" s="103"/>
      <c r="E837" s="103"/>
      <c r="F837" s="103"/>
    </row>
    <row r="838" spans="2:6">
      <c r="B838" s="103"/>
      <c r="D838" s="103"/>
      <c r="E838" s="103"/>
      <c r="F838" s="103"/>
    </row>
    <row r="839" spans="2:6">
      <c r="B839" s="103"/>
      <c r="D839" s="103"/>
      <c r="E839" s="103"/>
      <c r="F839" s="103"/>
    </row>
    <row r="840" spans="2:6">
      <c r="B840" s="103"/>
      <c r="D840" s="103"/>
      <c r="E840" s="103"/>
      <c r="F840" s="103"/>
    </row>
    <row r="841" spans="2:6">
      <c r="B841" s="103"/>
      <c r="D841" s="103"/>
      <c r="E841" s="103"/>
      <c r="F841" s="103"/>
    </row>
    <row r="842" spans="2:6">
      <c r="B842" s="103"/>
      <c r="D842" s="103"/>
      <c r="E842" s="103"/>
      <c r="F842" s="103"/>
    </row>
    <row r="843" spans="2:6">
      <c r="B843" s="103"/>
      <c r="D843" s="103"/>
      <c r="E843" s="103"/>
      <c r="F843" s="103"/>
    </row>
    <row r="844" spans="2:6">
      <c r="B844" s="103"/>
      <c r="D844" s="103"/>
      <c r="E844" s="103"/>
      <c r="F844" s="103"/>
    </row>
    <row r="845" spans="2:6">
      <c r="B845" s="103"/>
      <c r="D845" s="103"/>
      <c r="E845" s="103"/>
      <c r="F845" s="103"/>
    </row>
    <row r="846" spans="2:6">
      <c r="B846" s="103"/>
      <c r="D846" s="103"/>
      <c r="E846" s="103"/>
      <c r="F846" s="103"/>
    </row>
    <row r="847" spans="2:6">
      <c r="B847" s="103"/>
      <c r="D847" s="103"/>
      <c r="E847" s="103"/>
      <c r="F847" s="103"/>
    </row>
    <row r="848" spans="2:6">
      <c r="B848" s="103"/>
      <c r="D848" s="103"/>
      <c r="E848" s="103"/>
      <c r="F848" s="103"/>
    </row>
    <row r="849" spans="2:6">
      <c r="B849" s="103"/>
      <c r="D849" s="103"/>
      <c r="E849" s="103"/>
      <c r="F849" s="103"/>
    </row>
    <row r="850" spans="2:6">
      <c r="B850" s="103"/>
      <c r="D850" s="103"/>
      <c r="E850" s="103"/>
      <c r="F850" s="103"/>
    </row>
    <row r="851" spans="2:6">
      <c r="B851" s="103"/>
      <c r="D851" s="103"/>
      <c r="E851" s="103"/>
      <c r="F851" s="103"/>
    </row>
    <row r="852" spans="2:6">
      <c r="B852" s="103"/>
      <c r="D852" s="103"/>
      <c r="E852" s="103"/>
      <c r="F852" s="103"/>
    </row>
    <row r="853" spans="2:6">
      <c r="B853" s="103"/>
      <c r="D853" s="103"/>
      <c r="E853" s="103"/>
      <c r="F853" s="103"/>
    </row>
    <row r="854" spans="2:6">
      <c r="B854" s="103"/>
      <c r="D854" s="103"/>
      <c r="E854" s="103"/>
      <c r="F854" s="103"/>
    </row>
    <row r="855" spans="2:6">
      <c r="B855" s="103"/>
      <c r="D855" s="103"/>
      <c r="E855" s="103"/>
      <c r="F855" s="103"/>
    </row>
    <row r="856" spans="2:6">
      <c r="B856" s="103"/>
      <c r="D856" s="103"/>
      <c r="E856" s="103"/>
      <c r="F856" s="103"/>
    </row>
    <row r="857" spans="2:6">
      <c r="B857" s="103"/>
      <c r="D857" s="103"/>
      <c r="E857" s="103"/>
      <c r="F857" s="103"/>
    </row>
    <row r="858" spans="2:6">
      <c r="B858" s="103"/>
      <c r="D858" s="103"/>
      <c r="E858" s="103"/>
      <c r="F858" s="103"/>
    </row>
    <row r="859" spans="2:6">
      <c r="B859" s="103"/>
      <c r="D859" s="103"/>
      <c r="E859" s="103"/>
      <c r="F859" s="103"/>
    </row>
    <row r="860" spans="2:6">
      <c r="B860" s="103"/>
      <c r="D860" s="103"/>
      <c r="E860" s="103"/>
      <c r="F860" s="103"/>
    </row>
    <row r="861" spans="2:6">
      <c r="B861" s="103"/>
      <c r="D861" s="103"/>
      <c r="E861" s="103"/>
      <c r="F861" s="103"/>
    </row>
    <row r="862" spans="2:6">
      <c r="B862" s="103"/>
      <c r="D862" s="103"/>
      <c r="E862" s="103"/>
      <c r="F862" s="103"/>
    </row>
    <row r="863" spans="2:6">
      <c r="B863" s="103"/>
      <c r="D863" s="103"/>
      <c r="E863" s="103"/>
      <c r="F863" s="103"/>
    </row>
    <row r="864" spans="2:6">
      <c r="B864" s="103"/>
      <c r="D864" s="103"/>
      <c r="E864" s="103"/>
      <c r="F864" s="103"/>
    </row>
    <row r="865" spans="2:6">
      <c r="B865" s="103"/>
      <c r="D865" s="103"/>
      <c r="E865" s="103"/>
      <c r="F865" s="103"/>
    </row>
    <row r="866" spans="2:6">
      <c r="B866" s="103"/>
      <c r="D866" s="103"/>
      <c r="E866" s="103"/>
      <c r="F866" s="103"/>
    </row>
    <row r="867" spans="2:6">
      <c r="B867" s="103"/>
      <c r="D867" s="103"/>
      <c r="E867" s="103"/>
      <c r="F867" s="103"/>
    </row>
    <row r="868" spans="2:6">
      <c r="B868" s="103"/>
      <c r="D868" s="103"/>
      <c r="E868" s="103"/>
      <c r="F868" s="103"/>
    </row>
    <row r="869" spans="2:6">
      <c r="B869" s="103"/>
      <c r="D869" s="103"/>
      <c r="E869" s="103"/>
      <c r="F869" s="103"/>
    </row>
    <row r="870" spans="2:6">
      <c r="B870" s="103"/>
      <c r="D870" s="103"/>
      <c r="E870" s="103"/>
      <c r="F870" s="103"/>
    </row>
    <row r="871" spans="2:6">
      <c r="B871" s="103"/>
      <c r="D871" s="103"/>
      <c r="E871" s="103"/>
      <c r="F871" s="103"/>
    </row>
    <row r="872" spans="2:6">
      <c r="B872" s="103"/>
      <c r="D872" s="103"/>
      <c r="E872" s="103"/>
      <c r="F872" s="103"/>
    </row>
    <row r="873" spans="2:6">
      <c r="B873" s="103"/>
      <c r="D873" s="103"/>
      <c r="E873" s="103"/>
      <c r="F873" s="103"/>
    </row>
    <row r="874" spans="2:6">
      <c r="B874" s="103"/>
      <c r="D874" s="103"/>
      <c r="E874" s="103"/>
      <c r="F874" s="103"/>
    </row>
    <row r="875" spans="2:6">
      <c r="B875" s="103"/>
      <c r="D875" s="103"/>
      <c r="E875" s="103"/>
      <c r="F875" s="103"/>
    </row>
    <row r="876" spans="2:6">
      <c r="B876" s="103"/>
      <c r="D876" s="103"/>
      <c r="E876" s="103"/>
      <c r="F876" s="103"/>
    </row>
    <row r="877" spans="2:6">
      <c r="B877" s="103"/>
      <c r="D877" s="103"/>
      <c r="E877" s="103"/>
      <c r="F877" s="103"/>
    </row>
    <row r="878" spans="2:6">
      <c r="B878" s="103"/>
      <c r="D878" s="103"/>
      <c r="E878" s="103"/>
      <c r="F878" s="103"/>
    </row>
    <row r="879" spans="2:6">
      <c r="B879" s="103"/>
      <c r="D879" s="103"/>
      <c r="E879" s="103"/>
      <c r="F879" s="103"/>
    </row>
    <row r="880" spans="2:6">
      <c r="B880" s="103"/>
      <c r="D880" s="103"/>
      <c r="E880" s="103"/>
      <c r="F880" s="103"/>
    </row>
    <row r="881" spans="2:6">
      <c r="B881" s="103"/>
      <c r="D881" s="103"/>
      <c r="E881" s="103"/>
      <c r="F881" s="103"/>
    </row>
    <row r="882" spans="2:6">
      <c r="B882" s="103"/>
      <c r="D882" s="103"/>
      <c r="E882" s="103"/>
      <c r="F882" s="103"/>
    </row>
    <row r="883" spans="2:6">
      <c r="B883" s="103"/>
      <c r="D883" s="103"/>
      <c r="E883" s="103"/>
      <c r="F883" s="103"/>
    </row>
    <row r="884" spans="2:6">
      <c r="B884" s="103"/>
      <c r="D884" s="103"/>
      <c r="E884" s="103"/>
      <c r="F884" s="103"/>
    </row>
    <row r="885" spans="2:6">
      <c r="B885" s="103"/>
      <c r="D885" s="103"/>
      <c r="E885" s="103"/>
      <c r="F885" s="103"/>
    </row>
    <row r="886" spans="2:6">
      <c r="B886" s="103"/>
      <c r="D886" s="103"/>
      <c r="E886" s="103"/>
      <c r="F886" s="103"/>
    </row>
    <row r="887" spans="2:6">
      <c r="B887" s="103"/>
      <c r="D887" s="103"/>
      <c r="E887" s="103"/>
      <c r="F887" s="103"/>
    </row>
    <row r="888" spans="2:6">
      <c r="B888" s="103"/>
      <c r="D888" s="103"/>
      <c r="E888" s="103"/>
      <c r="F888" s="103"/>
    </row>
    <row r="889" spans="2:6">
      <c r="B889" s="103"/>
      <c r="D889" s="103"/>
      <c r="E889" s="103"/>
      <c r="F889" s="103"/>
    </row>
    <row r="890" spans="2:6">
      <c r="B890" s="103"/>
      <c r="D890" s="103"/>
      <c r="E890" s="103"/>
      <c r="F890" s="103"/>
    </row>
    <row r="891" spans="2:6">
      <c r="B891" s="103"/>
      <c r="D891" s="103"/>
      <c r="E891" s="103"/>
      <c r="F891" s="103"/>
    </row>
    <row r="892" spans="2:6">
      <c r="B892" s="103"/>
      <c r="D892" s="103"/>
      <c r="E892" s="103"/>
      <c r="F892" s="103"/>
    </row>
    <row r="893" spans="2:6">
      <c r="B893" s="103"/>
      <c r="D893" s="103"/>
      <c r="E893" s="103"/>
      <c r="F893" s="103"/>
    </row>
    <row r="894" spans="2:6">
      <c r="B894" s="103"/>
      <c r="D894" s="103"/>
      <c r="E894" s="103"/>
      <c r="F894" s="103"/>
    </row>
    <row r="895" spans="2:6">
      <c r="B895" s="103"/>
      <c r="D895" s="103"/>
      <c r="E895" s="103"/>
      <c r="F895" s="103"/>
    </row>
    <row r="896" spans="2:6">
      <c r="B896" s="103"/>
      <c r="D896" s="103"/>
      <c r="E896" s="103"/>
      <c r="F896" s="103"/>
    </row>
    <row r="897" spans="2:6">
      <c r="B897" s="103"/>
      <c r="D897" s="103"/>
      <c r="E897" s="103"/>
      <c r="F897" s="103"/>
    </row>
    <row r="898" spans="2:6">
      <c r="B898" s="103"/>
      <c r="D898" s="103"/>
      <c r="E898" s="103"/>
      <c r="F898" s="103"/>
    </row>
    <row r="899" spans="2:6">
      <c r="B899" s="103"/>
      <c r="D899" s="103"/>
      <c r="E899" s="103"/>
      <c r="F899" s="103"/>
    </row>
    <row r="900" spans="2:6">
      <c r="B900" s="103"/>
      <c r="D900" s="103"/>
      <c r="E900" s="103"/>
      <c r="F900" s="103"/>
    </row>
    <row r="901" spans="2:6">
      <c r="B901" s="103"/>
      <c r="D901" s="103"/>
      <c r="E901" s="103"/>
      <c r="F901" s="103"/>
    </row>
    <row r="902" spans="2:6">
      <c r="B902" s="103"/>
      <c r="D902" s="103"/>
      <c r="E902" s="103"/>
      <c r="F902" s="103"/>
    </row>
    <row r="903" spans="2:6">
      <c r="B903" s="103"/>
      <c r="D903" s="103"/>
      <c r="E903" s="103"/>
      <c r="F903" s="103"/>
    </row>
    <row r="904" spans="2:6">
      <c r="B904" s="103"/>
      <c r="D904" s="103"/>
      <c r="E904" s="103"/>
      <c r="F904" s="103"/>
    </row>
    <row r="905" spans="2:6">
      <c r="B905" s="103"/>
      <c r="D905" s="103"/>
      <c r="E905" s="103"/>
      <c r="F905" s="103"/>
    </row>
    <row r="906" spans="2:6">
      <c r="B906" s="103"/>
      <c r="D906" s="103"/>
      <c r="E906" s="103"/>
      <c r="F906" s="103"/>
    </row>
    <row r="907" spans="2:6">
      <c r="B907" s="103"/>
      <c r="D907" s="103"/>
      <c r="E907" s="103"/>
      <c r="F907" s="103"/>
    </row>
    <row r="908" spans="2:6">
      <c r="B908" s="103"/>
      <c r="D908" s="103"/>
      <c r="E908" s="103"/>
      <c r="F908" s="103"/>
    </row>
    <row r="909" spans="2:6">
      <c r="B909" s="103"/>
      <c r="D909" s="103"/>
      <c r="E909" s="103"/>
      <c r="F909" s="103"/>
    </row>
    <row r="910" spans="2:6">
      <c r="B910" s="103"/>
      <c r="D910" s="103"/>
      <c r="E910" s="103"/>
      <c r="F910" s="103"/>
    </row>
    <row r="911" spans="2:6">
      <c r="B911" s="103"/>
      <c r="D911" s="103"/>
      <c r="E911" s="103"/>
      <c r="F911" s="103"/>
    </row>
    <row r="912" spans="2:6">
      <c r="B912" s="103"/>
      <c r="D912" s="103"/>
      <c r="E912" s="103"/>
      <c r="F912" s="103"/>
    </row>
    <row r="913" spans="2:6">
      <c r="B913" s="103"/>
      <c r="D913" s="103"/>
      <c r="E913" s="103"/>
      <c r="F913" s="103"/>
    </row>
    <row r="914" spans="2:6">
      <c r="B914" s="103"/>
      <c r="D914" s="103"/>
      <c r="E914" s="103"/>
      <c r="F914" s="103"/>
    </row>
    <row r="915" spans="2:6">
      <c r="B915" s="103"/>
      <c r="D915" s="103"/>
      <c r="E915" s="103"/>
      <c r="F915" s="103"/>
    </row>
    <row r="916" spans="2:6">
      <c r="B916" s="103"/>
      <c r="D916" s="103"/>
      <c r="E916" s="103"/>
      <c r="F916" s="103"/>
    </row>
    <row r="917" spans="2:6">
      <c r="B917" s="103"/>
      <c r="D917" s="103"/>
      <c r="E917" s="103"/>
      <c r="F917" s="103"/>
    </row>
    <row r="918" spans="2:6">
      <c r="B918" s="103"/>
      <c r="D918" s="103"/>
      <c r="E918" s="103"/>
      <c r="F918" s="103"/>
    </row>
    <row r="919" spans="2:6">
      <c r="B919" s="103"/>
      <c r="D919" s="103"/>
      <c r="E919" s="103"/>
      <c r="F919" s="103"/>
    </row>
    <row r="920" spans="2:6">
      <c r="B920" s="103"/>
      <c r="D920" s="103"/>
      <c r="E920" s="103"/>
      <c r="F920" s="103"/>
    </row>
    <row r="921" spans="2:6">
      <c r="B921" s="103"/>
      <c r="D921" s="103"/>
      <c r="E921" s="103"/>
      <c r="F921" s="103"/>
    </row>
    <row r="922" spans="2:6">
      <c r="B922" s="103"/>
      <c r="D922" s="103"/>
      <c r="E922" s="103"/>
      <c r="F922" s="103"/>
    </row>
    <row r="923" spans="2:6">
      <c r="B923" s="103"/>
      <c r="D923" s="103"/>
      <c r="E923" s="103"/>
      <c r="F923" s="103"/>
    </row>
    <row r="924" spans="2:6">
      <c r="B924" s="103"/>
      <c r="D924" s="103"/>
      <c r="E924" s="103"/>
      <c r="F924" s="103"/>
    </row>
    <row r="925" spans="2:6">
      <c r="B925" s="103"/>
      <c r="D925" s="103"/>
      <c r="E925" s="103"/>
      <c r="F925" s="103"/>
    </row>
    <row r="926" spans="2:6">
      <c r="B926" s="103"/>
      <c r="D926" s="103"/>
      <c r="E926" s="103"/>
      <c r="F926" s="103"/>
    </row>
    <row r="927" spans="2:6">
      <c r="B927" s="103"/>
      <c r="D927" s="103"/>
      <c r="E927" s="103"/>
      <c r="F927" s="103"/>
    </row>
    <row r="928" spans="2:6">
      <c r="B928" s="103"/>
      <c r="D928" s="103"/>
      <c r="E928" s="103"/>
      <c r="F928" s="103"/>
    </row>
    <row r="929" spans="2:6">
      <c r="B929" s="103"/>
      <c r="D929" s="103"/>
      <c r="E929" s="103"/>
      <c r="F929" s="103"/>
    </row>
    <row r="930" spans="2:6">
      <c r="B930" s="103"/>
      <c r="D930" s="103"/>
      <c r="E930" s="103"/>
      <c r="F930" s="103"/>
    </row>
    <row r="931" spans="2:6">
      <c r="B931" s="103"/>
      <c r="D931" s="103"/>
      <c r="E931" s="103"/>
      <c r="F931" s="103"/>
    </row>
    <row r="932" spans="2:6">
      <c r="B932" s="103"/>
      <c r="D932" s="103"/>
      <c r="E932" s="103"/>
      <c r="F932" s="103"/>
    </row>
    <row r="933" spans="2:6">
      <c r="B933" s="103"/>
      <c r="D933" s="103"/>
      <c r="E933" s="103"/>
      <c r="F933" s="103"/>
    </row>
    <row r="934" spans="2:6">
      <c r="B934" s="103"/>
      <c r="D934" s="103"/>
      <c r="E934" s="103"/>
      <c r="F934" s="103"/>
    </row>
    <row r="935" spans="2:6">
      <c r="B935" s="103"/>
      <c r="D935" s="103"/>
      <c r="E935" s="103"/>
      <c r="F935" s="103"/>
    </row>
    <row r="936" spans="2:6">
      <c r="B936" s="103"/>
      <c r="D936" s="103"/>
      <c r="E936" s="103"/>
      <c r="F936" s="103"/>
    </row>
    <row r="937" spans="2:6">
      <c r="B937" s="103"/>
      <c r="D937" s="103"/>
      <c r="E937" s="103"/>
      <c r="F937" s="103"/>
    </row>
    <row r="938" spans="2:6">
      <c r="B938" s="103"/>
      <c r="D938" s="103"/>
      <c r="E938" s="103"/>
      <c r="F938" s="103"/>
    </row>
    <row r="939" spans="2:6">
      <c r="B939" s="103"/>
      <c r="D939" s="103"/>
      <c r="E939" s="103"/>
      <c r="F939" s="103"/>
    </row>
    <row r="940" spans="2:6">
      <c r="B940" s="103"/>
      <c r="D940" s="103"/>
      <c r="E940" s="103"/>
      <c r="F940" s="103"/>
    </row>
    <row r="941" spans="2:6">
      <c r="B941" s="103"/>
      <c r="D941" s="103"/>
      <c r="E941" s="103"/>
      <c r="F941" s="103"/>
    </row>
    <row r="942" spans="2:6">
      <c r="B942" s="103"/>
      <c r="D942" s="103"/>
      <c r="E942" s="103"/>
      <c r="F942" s="103"/>
    </row>
    <row r="943" spans="2:6">
      <c r="B943" s="103"/>
      <c r="D943" s="103"/>
      <c r="E943" s="103"/>
      <c r="F943" s="103"/>
    </row>
    <row r="944" spans="2:6">
      <c r="B944" s="103"/>
      <c r="D944" s="103"/>
      <c r="E944" s="103"/>
      <c r="F944" s="103"/>
    </row>
    <row r="945" spans="2:6">
      <c r="B945" s="103"/>
      <c r="D945" s="103"/>
      <c r="E945" s="103"/>
      <c r="F945" s="103"/>
    </row>
    <row r="946" spans="2:6">
      <c r="B946" s="103"/>
      <c r="D946" s="103"/>
      <c r="E946" s="103"/>
      <c r="F946" s="103"/>
    </row>
    <row r="947" spans="2:6">
      <c r="B947" s="103"/>
      <c r="D947" s="103"/>
      <c r="E947" s="103"/>
      <c r="F947" s="103"/>
    </row>
    <row r="948" spans="2:6">
      <c r="B948" s="103"/>
      <c r="D948" s="103"/>
      <c r="E948" s="103"/>
      <c r="F948" s="103"/>
    </row>
    <row r="949" spans="2:6">
      <c r="B949" s="103"/>
      <c r="D949" s="103"/>
      <c r="E949" s="103"/>
      <c r="F949" s="103"/>
    </row>
    <row r="950" spans="2:6">
      <c r="B950" s="103"/>
      <c r="D950" s="103"/>
      <c r="E950" s="103"/>
      <c r="F950" s="103"/>
    </row>
    <row r="951" spans="2:6">
      <c r="B951" s="103"/>
      <c r="D951" s="103"/>
      <c r="E951" s="103"/>
      <c r="F951" s="103"/>
    </row>
    <row r="952" spans="2:6">
      <c r="B952" s="103"/>
      <c r="D952" s="103"/>
      <c r="E952" s="103"/>
      <c r="F952" s="103"/>
    </row>
    <row r="953" spans="2:6">
      <c r="B953" s="103"/>
      <c r="D953" s="103"/>
      <c r="E953" s="103"/>
      <c r="F953" s="103"/>
    </row>
    <row r="954" spans="2:6">
      <c r="B954" s="103"/>
      <c r="D954" s="103"/>
      <c r="E954" s="103"/>
      <c r="F954" s="103"/>
    </row>
    <row r="955" spans="2:6">
      <c r="B955" s="103"/>
      <c r="D955" s="103"/>
      <c r="E955" s="103"/>
      <c r="F955" s="103"/>
    </row>
    <row r="956" spans="2:6">
      <c r="B956" s="103"/>
      <c r="D956" s="103"/>
      <c r="E956" s="103"/>
      <c r="F956" s="103"/>
    </row>
    <row r="957" spans="2:6">
      <c r="B957" s="103"/>
      <c r="D957" s="103"/>
      <c r="E957" s="103"/>
      <c r="F957" s="103"/>
    </row>
    <row r="958" spans="2:6">
      <c r="B958" s="103"/>
      <c r="D958" s="103"/>
      <c r="E958" s="103"/>
      <c r="F958" s="103"/>
    </row>
    <row r="959" spans="2:6">
      <c r="B959" s="103"/>
      <c r="D959" s="103"/>
      <c r="E959" s="103"/>
      <c r="F959" s="103"/>
    </row>
    <row r="960" spans="2:6">
      <c r="B960" s="103"/>
      <c r="D960" s="103"/>
      <c r="E960" s="103"/>
      <c r="F960" s="103"/>
    </row>
    <row r="961" spans="2:6">
      <c r="B961" s="103"/>
      <c r="D961" s="103"/>
      <c r="E961" s="103"/>
      <c r="F961" s="103"/>
    </row>
    <row r="962" spans="2:6">
      <c r="B962" s="103"/>
      <c r="D962" s="103"/>
      <c r="E962" s="103"/>
      <c r="F962" s="103"/>
    </row>
    <row r="963" spans="2:6">
      <c r="B963" s="103"/>
      <c r="D963" s="103"/>
      <c r="E963" s="103"/>
      <c r="F963" s="103"/>
    </row>
    <row r="964" spans="2:6">
      <c r="B964" s="103"/>
      <c r="D964" s="103"/>
      <c r="E964" s="103"/>
      <c r="F964" s="103"/>
    </row>
    <row r="965" spans="2:6">
      <c r="B965" s="103"/>
      <c r="D965" s="103"/>
      <c r="E965" s="103"/>
      <c r="F965" s="103"/>
    </row>
    <row r="966" spans="2:6">
      <c r="B966" s="103"/>
      <c r="D966" s="103"/>
      <c r="E966" s="103"/>
      <c r="F966" s="103"/>
    </row>
    <row r="967" spans="2:6">
      <c r="B967" s="103"/>
      <c r="D967" s="103"/>
      <c r="E967" s="103"/>
      <c r="F967" s="103"/>
    </row>
    <row r="968" spans="2:6">
      <c r="B968" s="103"/>
      <c r="D968" s="103"/>
      <c r="E968" s="103"/>
      <c r="F968" s="103"/>
    </row>
    <row r="969" spans="2:6">
      <c r="B969" s="103"/>
      <c r="D969" s="103"/>
      <c r="E969" s="103"/>
      <c r="F969" s="103"/>
    </row>
    <row r="970" spans="2:6">
      <c r="B970" s="103"/>
      <c r="D970" s="103"/>
      <c r="E970" s="103"/>
      <c r="F970" s="103"/>
    </row>
    <row r="971" spans="2:6">
      <c r="B971" s="103"/>
      <c r="D971" s="103"/>
      <c r="E971" s="103"/>
      <c r="F971" s="103"/>
    </row>
    <row r="972" spans="2:6">
      <c r="B972" s="103"/>
      <c r="D972" s="103"/>
      <c r="E972" s="103"/>
      <c r="F972" s="103"/>
    </row>
    <row r="973" spans="2:6">
      <c r="B973" s="103"/>
      <c r="D973" s="103"/>
      <c r="E973" s="103"/>
      <c r="F973" s="103"/>
    </row>
    <row r="974" spans="2:6">
      <c r="B974" s="103"/>
      <c r="D974" s="103"/>
      <c r="E974" s="103"/>
      <c r="F974" s="103"/>
    </row>
    <row r="975" spans="2:6">
      <c r="B975" s="103"/>
      <c r="D975" s="103"/>
      <c r="E975" s="103"/>
      <c r="F975" s="103"/>
    </row>
    <row r="976" spans="2:6">
      <c r="B976" s="103"/>
      <c r="D976" s="103"/>
      <c r="E976" s="103"/>
      <c r="F976" s="103"/>
    </row>
    <row r="977" spans="2:6">
      <c r="B977" s="103"/>
      <c r="D977" s="103"/>
      <c r="E977" s="103"/>
      <c r="F977" s="103"/>
    </row>
    <row r="978" spans="2:6">
      <c r="B978" s="103"/>
      <c r="D978" s="103"/>
      <c r="E978" s="103"/>
      <c r="F978" s="103"/>
    </row>
    <row r="979" spans="2:6">
      <c r="B979" s="103"/>
      <c r="D979" s="103"/>
      <c r="E979" s="103"/>
      <c r="F979" s="103"/>
    </row>
    <row r="980" spans="2:6">
      <c r="B980" s="103"/>
      <c r="D980" s="103"/>
      <c r="E980" s="103"/>
      <c r="F980" s="103"/>
    </row>
    <row r="981" spans="2:6">
      <c r="B981" s="103"/>
      <c r="D981" s="103"/>
      <c r="E981" s="103"/>
      <c r="F981" s="103"/>
    </row>
    <row r="982" spans="2:6">
      <c r="B982" s="103"/>
      <c r="D982" s="103"/>
      <c r="E982" s="103"/>
      <c r="F982" s="103"/>
    </row>
    <row r="983" spans="2:6">
      <c r="B983" s="103"/>
      <c r="D983" s="103"/>
      <c r="E983" s="103"/>
      <c r="F983" s="103"/>
    </row>
    <row r="984" spans="2:6">
      <c r="B984" s="103"/>
      <c r="D984" s="103"/>
      <c r="E984" s="103"/>
      <c r="F984" s="103"/>
    </row>
    <row r="985" spans="2:6">
      <c r="B985" s="103"/>
      <c r="D985" s="103"/>
      <c r="E985" s="103"/>
      <c r="F985" s="103"/>
    </row>
    <row r="986" spans="2:6">
      <c r="B986" s="103"/>
      <c r="D986" s="103"/>
      <c r="E986" s="103"/>
      <c r="F986" s="103"/>
    </row>
    <row r="987" spans="2:6">
      <c r="B987" s="103"/>
      <c r="D987" s="103"/>
      <c r="E987" s="103"/>
      <c r="F987" s="103"/>
    </row>
    <row r="988" spans="2:6">
      <c r="B988" s="103"/>
      <c r="D988" s="103"/>
      <c r="E988" s="103"/>
      <c r="F988" s="103"/>
    </row>
    <row r="989" spans="2:6">
      <c r="B989" s="103"/>
      <c r="D989" s="103"/>
      <c r="E989" s="103"/>
      <c r="F989" s="103"/>
    </row>
    <row r="990" spans="2:6">
      <c r="B990" s="103"/>
      <c r="D990" s="103"/>
      <c r="E990" s="103"/>
      <c r="F990" s="103"/>
    </row>
    <row r="991" spans="2:6">
      <c r="B991" s="103"/>
      <c r="D991" s="103"/>
      <c r="E991" s="103"/>
      <c r="F991" s="103"/>
    </row>
    <row r="992" spans="2:6">
      <c r="B992" s="103"/>
      <c r="D992" s="103"/>
      <c r="E992" s="103"/>
      <c r="F992" s="103"/>
    </row>
    <row r="993" spans="2:6">
      <c r="B993" s="103"/>
      <c r="D993" s="103"/>
      <c r="E993" s="103"/>
      <c r="F993" s="103"/>
    </row>
    <row r="994" spans="2:6">
      <c r="B994" s="103"/>
      <c r="D994" s="103"/>
      <c r="E994" s="103"/>
      <c r="F994" s="103"/>
    </row>
    <row r="995" spans="2:6">
      <c r="B995" s="103"/>
      <c r="D995" s="103"/>
      <c r="E995" s="103"/>
      <c r="F995" s="103"/>
    </row>
    <row r="996" spans="2:6">
      <c r="B996" s="103"/>
      <c r="D996" s="103"/>
      <c r="E996" s="103"/>
      <c r="F996" s="103"/>
    </row>
    <row r="997" spans="2:6">
      <c r="B997" s="103"/>
      <c r="D997" s="103"/>
      <c r="E997" s="103"/>
      <c r="F997" s="103"/>
    </row>
    <row r="998" spans="2:6">
      <c r="B998" s="103"/>
      <c r="D998" s="103"/>
      <c r="E998" s="103"/>
      <c r="F998" s="103"/>
    </row>
    <row r="999" spans="2:6">
      <c r="B999" s="103"/>
      <c r="D999" s="103"/>
      <c r="E999" s="103"/>
      <c r="F999" s="103"/>
    </row>
    <row r="1000" spans="2:6">
      <c r="B1000" s="103"/>
      <c r="D1000" s="103"/>
      <c r="E1000" s="103"/>
      <c r="F1000" s="103"/>
    </row>
    <row r="1001" spans="2:6">
      <c r="B1001" s="103"/>
      <c r="D1001" s="103"/>
      <c r="E1001" s="103"/>
      <c r="F1001" s="103"/>
    </row>
    <row r="1002" spans="2:6">
      <c r="B1002" s="103"/>
      <c r="D1002" s="103"/>
      <c r="E1002" s="103"/>
      <c r="F1002" s="10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1483"/>
  <sheetViews>
    <sheetView workbookViewId="0"/>
  </sheetViews>
  <sheetFormatPr defaultColWidth="12.5703125" defaultRowHeight="15.75" customHeight="1"/>
  <cols>
    <col min="2" max="2" width="38.28515625" customWidth="1"/>
    <col min="8" max="8" width="14.85546875" customWidth="1"/>
  </cols>
  <sheetData>
    <row r="1" spans="1:27" ht="15.75" customHeight="1">
      <c r="A1" s="147" t="s">
        <v>3</v>
      </c>
      <c r="B1" s="147" t="s">
        <v>10619</v>
      </c>
      <c r="C1" s="164" t="s">
        <v>20</v>
      </c>
      <c r="D1" s="164" t="s">
        <v>12942</v>
      </c>
      <c r="E1" s="147" t="s">
        <v>12943</v>
      </c>
      <c r="F1" s="147" t="s">
        <v>12944</v>
      </c>
      <c r="G1" s="147" t="s">
        <v>12945</v>
      </c>
      <c r="H1" s="164" t="s">
        <v>12891</v>
      </c>
      <c r="I1" s="154"/>
      <c r="J1" s="154"/>
      <c r="K1" s="154"/>
      <c r="L1" s="154"/>
      <c r="M1" s="154"/>
      <c r="N1" s="154"/>
      <c r="O1" s="154"/>
      <c r="P1" s="154"/>
      <c r="Q1" s="154"/>
      <c r="R1" s="154"/>
      <c r="S1" s="154"/>
      <c r="T1" s="154"/>
      <c r="U1" s="154"/>
      <c r="V1" s="154"/>
      <c r="W1" s="154"/>
      <c r="X1" s="154"/>
      <c r="Y1" s="154"/>
      <c r="Z1" s="154"/>
      <c r="AA1" s="154"/>
    </row>
    <row r="2" spans="1:27">
      <c r="A2" s="180">
        <v>45801</v>
      </c>
      <c r="B2" s="181" t="s">
        <v>12946</v>
      </c>
      <c r="C2" s="182" t="s">
        <v>115</v>
      </c>
      <c r="D2" s="182">
        <v>4184</v>
      </c>
      <c r="E2" s="183">
        <v>3</v>
      </c>
      <c r="F2" s="183">
        <v>199</v>
      </c>
      <c r="G2" s="184">
        <v>0</v>
      </c>
      <c r="H2" s="158"/>
      <c r="I2" s="154"/>
      <c r="J2" s="154"/>
      <c r="K2" s="154"/>
      <c r="L2" s="154"/>
      <c r="M2" s="154"/>
      <c r="N2" s="154"/>
      <c r="O2" s="154"/>
      <c r="P2" s="154"/>
      <c r="Q2" s="154"/>
      <c r="R2" s="154"/>
      <c r="S2" s="154"/>
      <c r="T2" s="154"/>
      <c r="U2" s="154"/>
      <c r="V2" s="154"/>
      <c r="W2" s="154"/>
      <c r="X2" s="154"/>
      <c r="Y2" s="154"/>
      <c r="Z2" s="154"/>
      <c r="AA2" s="154"/>
    </row>
    <row r="3" spans="1:27">
      <c r="A3" s="180">
        <v>45801</v>
      </c>
      <c r="B3" s="181" t="s">
        <v>12947</v>
      </c>
      <c r="C3" s="182" t="s">
        <v>115</v>
      </c>
      <c r="D3" s="182">
        <v>70995</v>
      </c>
      <c r="E3" s="183">
        <v>42</v>
      </c>
      <c r="F3" s="183">
        <v>3609</v>
      </c>
      <c r="G3" s="184">
        <v>5</v>
      </c>
      <c r="H3" s="158"/>
      <c r="I3" s="154"/>
      <c r="J3" s="154"/>
      <c r="K3" s="154"/>
      <c r="L3" s="154"/>
      <c r="M3" s="154"/>
      <c r="N3" s="154"/>
      <c r="O3" s="154"/>
      <c r="P3" s="154"/>
      <c r="Q3" s="154"/>
      <c r="R3" s="154"/>
      <c r="S3" s="154"/>
      <c r="T3" s="154"/>
      <c r="U3" s="154"/>
      <c r="V3" s="154"/>
      <c r="W3" s="154"/>
      <c r="X3" s="154"/>
      <c r="Y3" s="154"/>
      <c r="Z3" s="154"/>
      <c r="AA3" s="154"/>
    </row>
    <row r="4" spans="1:27">
      <c r="A4" s="180">
        <v>45801</v>
      </c>
      <c r="B4" s="181" t="s">
        <v>12948</v>
      </c>
      <c r="C4" s="182" t="s">
        <v>61</v>
      </c>
      <c r="D4" s="182">
        <v>26032</v>
      </c>
      <c r="E4" s="183">
        <v>70</v>
      </c>
      <c r="F4" s="183">
        <v>8357</v>
      </c>
      <c r="G4" s="184">
        <v>7</v>
      </c>
      <c r="H4" s="158"/>
      <c r="I4" s="154"/>
      <c r="J4" s="154"/>
      <c r="K4" s="154"/>
      <c r="L4" s="154"/>
      <c r="M4" s="154"/>
      <c r="N4" s="154"/>
      <c r="O4" s="154"/>
      <c r="P4" s="154"/>
      <c r="Q4" s="154"/>
      <c r="R4" s="154"/>
      <c r="S4" s="154"/>
      <c r="T4" s="154"/>
      <c r="U4" s="154"/>
      <c r="V4" s="154"/>
      <c r="W4" s="154"/>
      <c r="X4" s="154"/>
      <c r="Y4" s="154"/>
      <c r="Z4" s="154"/>
      <c r="AA4" s="154"/>
    </row>
    <row r="5" spans="1:27">
      <c r="A5" s="180">
        <v>45801</v>
      </c>
      <c r="B5" s="181" t="s">
        <v>12949</v>
      </c>
      <c r="C5" s="182" t="s">
        <v>61</v>
      </c>
      <c r="D5" s="182">
        <v>8589</v>
      </c>
      <c r="E5" s="183">
        <v>14</v>
      </c>
      <c r="F5" s="183">
        <v>1430</v>
      </c>
      <c r="G5" s="184">
        <v>1</v>
      </c>
      <c r="H5" s="158"/>
      <c r="I5" s="154"/>
      <c r="J5" s="154"/>
      <c r="K5" s="154"/>
      <c r="L5" s="154"/>
      <c r="M5" s="154"/>
      <c r="N5" s="154"/>
      <c r="O5" s="154"/>
      <c r="P5" s="154"/>
      <c r="Q5" s="154"/>
      <c r="R5" s="154"/>
      <c r="S5" s="154"/>
      <c r="T5" s="154"/>
      <c r="U5" s="154"/>
      <c r="V5" s="154"/>
      <c r="W5" s="154"/>
      <c r="X5" s="154"/>
      <c r="Y5" s="154"/>
      <c r="Z5" s="154"/>
      <c r="AA5" s="154"/>
    </row>
    <row r="6" spans="1:27">
      <c r="A6" s="180">
        <v>45801</v>
      </c>
      <c r="B6" s="181" t="s">
        <v>12950</v>
      </c>
      <c r="C6" s="182" t="s">
        <v>61</v>
      </c>
      <c r="D6" s="182">
        <v>4663</v>
      </c>
      <c r="E6" s="183">
        <v>5</v>
      </c>
      <c r="F6" s="183">
        <v>193</v>
      </c>
      <c r="G6" s="184">
        <v>1</v>
      </c>
      <c r="H6" s="158"/>
      <c r="I6" s="154"/>
      <c r="J6" s="154"/>
      <c r="K6" s="154"/>
      <c r="L6" s="154"/>
      <c r="M6" s="154"/>
      <c r="N6" s="154"/>
      <c r="O6" s="154"/>
      <c r="P6" s="154"/>
      <c r="Q6" s="154"/>
      <c r="R6" s="154"/>
      <c r="S6" s="154"/>
      <c r="T6" s="154"/>
      <c r="U6" s="154"/>
      <c r="V6" s="154"/>
      <c r="W6" s="154"/>
      <c r="X6" s="154"/>
      <c r="Y6" s="154"/>
      <c r="Z6" s="154"/>
      <c r="AA6" s="154"/>
    </row>
    <row r="7" spans="1:27">
      <c r="A7" s="180">
        <v>45802</v>
      </c>
      <c r="B7" s="181" t="s">
        <v>12951</v>
      </c>
      <c r="C7" s="182" t="s">
        <v>115</v>
      </c>
      <c r="D7" s="182">
        <v>55259</v>
      </c>
      <c r="E7" s="183">
        <v>68</v>
      </c>
      <c r="F7" s="183">
        <v>3065</v>
      </c>
      <c r="G7" s="184">
        <v>17</v>
      </c>
      <c r="H7" s="158"/>
      <c r="I7" s="154"/>
      <c r="J7" s="154"/>
      <c r="K7" s="154"/>
      <c r="L7" s="154"/>
      <c r="M7" s="154"/>
      <c r="N7" s="154"/>
      <c r="O7" s="154"/>
      <c r="P7" s="154"/>
      <c r="Q7" s="154"/>
      <c r="R7" s="154"/>
      <c r="S7" s="154"/>
      <c r="T7" s="154"/>
      <c r="U7" s="154"/>
      <c r="V7" s="154"/>
      <c r="W7" s="154"/>
      <c r="X7" s="154"/>
      <c r="Y7" s="154"/>
      <c r="Z7" s="154"/>
      <c r="AA7" s="154"/>
    </row>
    <row r="8" spans="1:27">
      <c r="A8" s="180">
        <v>45802</v>
      </c>
      <c r="B8" s="181" t="s">
        <v>12952</v>
      </c>
      <c r="C8" s="182" t="s">
        <v>115</v>
      </c>
      <c r="D8" s="182">
        <v>3583</v>
      </c>
      <c r="E8" s="183">
        <v>5</v>
      </c>
      <c r="F8" s="183">
        <v>97</v>
      </c>
      <c r="G8" s="184">
        <v>0</v>
      </c>
      <c r="H8" s="158"/>
      <c r="I8" s="154"/>
      <c r="J8" s="154"/>
      <c r="K8" s="154"/>
      <c r="L8" s="154"/>
      <c r="M8" s="154"/>
      <c r="N8" s="154"/>
      <c r="O8" s="154"/>
      <c r="P8" s="154"/>
      <c r="Q8" s="154"/>
      <c r="R8" s="154"/>
      <c r="S8" s="154"/>
      <c r="T8" s="154"/>
      <c r="U8" s="154"/>
      <c r="V8" s="154"/>
      <c r="W8" s="154"/>
      <c r="X8" s="154"/>
      <c r="Y8" s="154"/>
      <c r="Z8" s="154"/>
      <c r="AA8" s="154"/>
    </row>
    <row r="9" spans="1:27">
      <c r="A9" s="180">
        <v>45802</v>
      </c>
      <c r="B9" s="181" t="s">
        <v>12947</v>
      </c>
      <c r="C9" s="182" t="s">
        <v>115</v>
      </c>
      <c r="D9" s="182">
        <v>6518</v>
      </c>
      <c r="E9" s="183">
        <v>4</v>
      </c>
      <c r="F9" s="183">
        <v>221</v>
      </c>
      <c r="G9" s="184">
        <v>2</v>
      </c>
      <c r="H9" s="158"/>
      <c r="I9" s="154"/>
      <c r="J9" s="154"/>
      <c r="K9" s="154"/>
      <c r="L9" s="154"/>
      <c r="M9" s="154"/>
      <c r="N9" s="154"/>
      <c r="O9" s="154"/>
      <c r="P9" s="154"/>
      <c r="Q9" s="154"/>
      <c r="R9" s="154"/>
      <c r="S9" s="154"/>
      <c r="T9" s="154"/>
      <c r="U9" s="154"/>
      <c r="V9" s="154"/>
      <c r="W9" s="154"/>
      <c r="X9" s="154"/>
      <c r="Y9" s="154"/>
      <c r="Z9" s="154"/>
      <c r="AA9" s="154"/>
    </row>
    <row r="10" spans="1:27">
      <c r="A10" s="180">
        <v>45802</v>
      </c>
      <c r="B10" s="181" t="s">
        <v>12953</v>
      </c>
      <c r="C10" s="182" t="s">
        <v>61</v>
      </c>
      <c r="D10" s="182">
        <v>58509</v>
      </c>
      <c r="E10" s="183">
        <v>153</v>
      </c>
      <c r="F10" s="183">
        <v>14607</v>
      </c>
      <c r="G10" s="184">
        <v>13</v>
      </c>
      <c r="H10" s="158"/>
      <c r="I10" s="154"/>
      <c r="J10" s="154"/>
      <c r="K10" s="154"/>
      <c r="L10" s="154"/>
      <c r="M10" s="154"/>
      <c r="N10" s="154"/>
      <c r="O10" s="154"/>
      <c r="P10" s="154"/>
      <c r="Q10" s="154"/>
      <c r="R10" s="154"/>
      <c r="S10" s="154"/>
      <c r="T10" s="154"/>
      <c r="U10" s="154"/>
      <c r="V10" s="154"/>
      <c r="W10" s="154"/>
      <c r="X10" s="154"/>
      <c r="Y10" s="154"/>
      <c r="Z10" s="154"/>
      <c r="AA10" s="154"/>
    </row>
    <row r="11" spans="1:27">
      <c r="A11" s="180">
        <v>45802</v>
      </c>
      <c r="B11" s="181" t="s">
        <v>12954</v>
      </c>
      <c r="C11" s="182" t="s">
        <v>61</v>
      </c>
      <c r="D11" s="182">
        <v>24450</v>
      </c>
      <c r="E11" s="183">
        <v>62</v>
      </c>
      <c r="F11" s="183">
        <v>5225</v>
      </c>
      <c r="G11" s="184">
        <v>5</v>
      </c>
      <c r="H11" s="158"/>
      <c r="I11" s="154"/>
      <c r="J11" s="154"/>
      <c r="K11" s="154"/>
      <c r="L11" s="154"/>
      <c r="M11" s="154"/>
      <c r="N11" s="154"/>
      <c r="O11" s="154"/>
      <c r="P11" s="154"/>
      <c r="Q11" s="154"/>
      <c r="R11" s="154"/>
      <c r="S11" s="154"/>
      <c r="T11" s="154"/>
      <c r="U11" s="154"/>
      <c r="V11" s="154"/>
      <c r="W11" s="154"/>
      <c r="X11" s="154"/>
      <c r="Y11" s="154"/>
      <c r="Z11" s="154"/>
      <c r="AA11" s="154"/>
    </row>
    <row r="12" spans="1:27">
      <c r="A12" s="180">
        <v>45802</v>
      </c>
      <c r="B12" s="181" t="s">
        <v>12955</v>
      </c>
      <c r="C12" s="182" t="s">
        <v>49</v>
      </c>
      <c r="D12" s="182">
        <v>47149</v>
      </c>
      <c r="E12" s="183">
        <v>56</v>
      </c>
      <c r="F12" s="183">
        <v>2810</v>
      </c>
      <c r="G12" s="184">
        <v>17</v>
      </c>
      <c r="H12" s="158"/>
      <c r="I12" s="154"/>
      <c r="J12" s="154"/>
      <c r="K12" s="154"/>
      <c r="L12" s="154"/>
      <c r="M12" s="154"/>
      <c r="N12" s="154"/>
      <c r="O12" s="154"/>
      <c r="P12" s="154"/>
      <c r="Q12" s="154"/>
      <c r="R12" s="154"/>
      <c r="S12" s="154"/>
      <c r="T12" s="154"/>
      <c r="U12" s="154"/>
      <c r="V12" s="154"/>
      <c r="W12" s="154"/>
      <c r="X12" s="154"/>
      <c r="Y12" s="154"/>
      <c r="Z12" s="154"/>
      <c r="AA12" s="154"/>
    </row>
    <row r="13" spans="1:27">
      <c r="A13" s="180">
        <v>45802</v>
      </c>
      <c r="B13" s="181" t="s">
        <v>12956</v>
      </c>
      <c r="C13" s="182" t="s">
        <v>61</v>
      </c>
      <c r="D13" s="182">
        <v>42697</v>
      </c>
      <c r="E13" s="183">
        <v>68</v>
      </c>
      <c r="F13" s="183">
        <v>2522</v>
      </c>
      <c r="G13" s="184">
        <v>20</v>
      </c>
      <c r="H13" s="158"/>
      <c r="I13" s="154"/>
      <c r="J13" s="154"/>
      <c r="K13" s="154"/>
      <c r="L13" s="154"/>
      <c r="M13" s="154"/>
      <c r="N13" s="154"/>
      <c r="O13" s="154"/>
      <c r="P13" s="154"/>
      <c r="Q13" s="154"/>
      <c r="R13" s="154"/>
      <c r="S13" s="154"/>
      <c r="T13" s="154"/>
      <c r="U13" s="154"/>
      <c r="V13" s="154"/>
      <c r="W13" s="154"/>
      <c r="X13" s="154"/>
      <c r="Y13" s="154"/>
      <c r="Z13" s="154"/>
      <c r="AA13" s="154"/>
    </row>
    <row r="14" spans="1:27">
      <c r="A14" s="180">
        <v>45803</v>
      </c>
      <c r="B14" s="181" t="s">
        <v>12951</v>
      </c>
      <c r="C14" s="182" t="s">
        <v>115</v>
      </c>
      <c r="D14" s="182">
        <v>10740</v>
      </c>
      <c r="E14" s="183">
        <v>9</v>
      </c>
      <c r="F14" s="183">
        <v>545</v>
      </c>
      <c r="G14" s="184">
        <v>0</v>
      </c>
      <c r="H14" s="158"/>
      <c r="I14" s="154"/>
      <c r="J14" s="154"/>
      <c r="K14" s="154"/>
      <c r="L14" s="154"/>
      <c r="M14" s="154"/>
      <c r="N14" s="154"/>
      <c r="O14" s="154"/>
      <c r="P14" s="154"/>
      <c r="Q14" s="154"/>
      <c r="R14" s="154"/>
      <c r="S14" s="154"/>
      <c r="T14" s="154"/>
      <c r="U14" s="154"/>
      <c r="V14" s="154"/>
      <c r="W14" s="154"/>
      <c r="X14" s="154"/>
      <c r="Y14" s="154"/>
      <c r="Z14" s="154"/>
      <c r="AA14" s="154"/>
    </row>
    <row r="15" spans="1:27">
      <c r="A15" s="180">
        <v>45803</v>
      </c>
      <c r="B15" s="181" t="s">
        <v>12947</v>
      </c>
      <c r="C15" s="182" t="s">
        <v>115</v>
      </c>
      <c r="D15" s="182">
        <v>15511</v>
      </c>
      <c r="E15" s="183">
        <v>13</v>
      </c>
      <c r="F15" s="183">
        <v>575</v>
      </c>
      <c r="G15" s="184">
        <v>2</v>
      </c>
      <c r="H15" s="158"/>
      <c r="I15" s="154"/>
      <c r="J15" s="154"/>
      <c r="K15" s="154"/>
      <c r="L15" s="154"/>
      <c r="M15" s="154"/>
      <c r="N15" s="154"/>
      <c r="O15" s="154"/>
      <c r="P15" s="154"/>
      <c r="Q15" s="154"/>
      <c r="R15" s="154"/>
      <c r="S15" s="154"/>
      <c r="T15" s="154"/>
      <c r="U15" s="154"/>
      <c r="V15" s="154"/>
      <c r="W15" s="154"/>
      <c r="X15" s="154"/>
      <c r="Y15" s="154"/>
      <c r="Z15" s="154"/>
      <c r="AA15" s="154"/>
    </row>
    <row r="16" spans="1:27">
      <c r="A16" s="180">
        <v>45803</v>
      </c>
      <c r="B16" s="181" t="s">
        <v>12955</v>
      </c>
      <c r="C16" s="182" t="s">
        <v>49</v>
      </c>
      <c r="D16" s="182">
        <v>7626</v>
      </c>
      <c r="E16" s="183">
        <v>10</v>
      </c>
      <c r="F16" s="183">
        <v>480</v>
      </c>
      <c r="G16" s="184">
        <v>2</v>
      </c>
      <c r="H16" s="158"/>
      <c r="I16" s="154"/>
      <c r="J16" s="154"/>
      <c r="K16" s="154"/>
      <c r="L16" s="154"/>
      <c r="M16" s="154"/>
      <c r="N16" s="154"/>
      <c r="O16" s="154"/>
      <c r="P16" s="154"/>
      <c r="Q16" s="154"/>
      <c r="R16" s="154"/>
      <c r="S16" s="154"/>
      <c r="T16" s="154"/>
      <c r="U16" s="154"/>
      <c r="V16" s="154"/>
      <c r="W16" s="154"/>
      <c r="X16" s="154"/>
      <c r="Y16" s="154"/>
      <c r="Z16" s="154"/>
      <c r="AA16" s="154"/>
    </row>
    <row r="17" spans="1:27">
      <c r="A17" s="180">
        <v>45804</v>
      </c>
      <c r="B17" s="181" t="s">
        <v>12951</v>
      </c>
      <c r="C17" s="182" t="s">
        <v>115</v>
      </c>
      <c r="D17" s="182">
        <v>55266</v>
      </c>
      <c r="E17" s="183">
        <v>60</v>
      </c>
      <c r="F17" s="183">
        <v>3610</v>
      </c>
      <c r="G17" s="184">
        <v>7</v>
      </c>
      <c r="H17" s="158"/>
      <c r="I17" s="154"/>
      <c r="J17" s="154"/>
      <c r="K17" s="154"/>
      <c r="L17" s="154"/>
      <c r="M17" s="154"/>
      <c r="N17" s="154"/>
      <c r="O17" s="154"/>
      <c r="P17" s="154"/>
      <c r="Q17" s="154"/>
      <c r="R17" s="154"/>
      <c r="S17" s="154"/>
      <c r="T17" s="154"/>
      <c r="U17" s="154"/>
      <c r="V17" s="154"/>
      <c r="W17" s="154"/>
      <c r="X17" s="154"/>
      <c r="Y17" s="154"/>
      <c r="Z17" s="154"/>
      <c r="AA17" s="154"/>
    </row>
    <row r="18" spans="1:27">
      <c r="A18" s="180">
        <v>45804</v>
      </c>
      <c r="B18" s="181" t="s">
        <v>12947</v>
      </c>
      <c r="C18" s="182" t="s">
        <v>115</v>
      </c>
      <c r="D18" s="182">
        <v>22943</v>
      </c>
      <c r="E18" s="183">
        <v>16</v>
      </c>
      <c r="F18" s="183">
        <v>779</v>
      </c>
      <c r="G18" s="184">
        <v>2</v>
      </c>
      <c r="H18" s="158"/>
      <c r="I18" s="154"/>
      <c r="J18" s="154"/>
      <c r="K18" s="154"/>
      <c r="L18" s="154"/>
      <c r="M18" s="154"/>
      <c r="N18" s="154"/>
      <c r="O18" s="154"/>
      <c r="P18" s="154"/>
      <c r="Q18" s="154"/>
      <c r="R18" s="154"/>
      <c r="S18" s="154"/>
      <c r="T18" s="154"/>
      <c r="U18" s="154"/>
      <c r="V18" s="154"/>
      <c r="W18" s="154"/>
      <c r="X18" s="154"/>
      <c r="Y18" s="154"/>
      <c r="Z18" s="154"/>
      <c r="AA18" s="154"/>
    </row>
    <row r="19" spans="1:27">
      <c r="A19" s="180">
        <v>45804</v>
      </c>
      <c r="B19" s="181" t="s">
        <v>12955</v>
      </c>
      <c r="C19" s="182" t="s">
        <v>49</v>
      </c>
      <c r="D19" s="182">
        <v>129180</v>
      </c>
      <c r="E19" s="183">
        <v>258</v>
      </c>
      <c r="F19" s="183">
        <v>10411</v>
      </c>
      <c r="G19" s="184">
        <v>62</v>
      </c>
      <c r="H19" s="158"/>
      <c r="I19" s="154"/>
      <c r="J19" s="154"/>
      <c r="K19" s="154"/>
      <c r="L19" s="154"/>
      <c r="M19" s="154"/>
      <c r="N19" s="154"/>
      <c r="O19" s="154"/>
      <c r="P19" s="154"/>
      <c r="Q19" s="154"/>
      <c r="R19" s="154"/>
      <c r="S19" s="154"/>
      <c r="T19" s="154"/>
      <c r="U19" s="154"/>
      <c r="V19" s="154"/>
      <c r="W19" s="154"/>
      <c r="X19" s="154"/>
      <c r="Y19" s="154"/>
      <c r="Z19" s="154"/>
      <c r="AA19" s="154"/>
    </row>
    <row r="20" spans="1:27">
      <c r="A20" s="180">
        <v>45805</v>
      </c>
      <c r="B20" s="181" t="s">
        <v>12957</v>
      </c>
      <c r="C20" s="182" t="s">
        <v>12958</v>
      </c>
      <c r="D20" s="182">
        <v>8224</v>
      </c>
      <c r="E20" s="183">
        <v>6</v>
      </c>
      <c r="F20" s="183">
        <v>506</v>
      </c>
      <c r="G20" s="184">
        <v>1</v>
      </c>
      <c r="H20" s="158"/>
      <c r="I20" s="154"/>
      <c r="J20" s="154"/>
      <c r="K20" s="154"/>
      <c r="L20" s="154"/>
      <c r="M20" s="154"/>
      <c r="N20" s="154"/>
      <c r="O20" s="154"/>
      <c r="P20" s="154"/>
      <c r="Q20" s="154"/>
      <c r="R20" s="154"/>
      <c r="S20" s="154"/>
      <c r="T20" s="154"/>
      <c r="U20" s="154"/>
      <c r="V20" s="154"/>
      <c r="W20" s="154"/>
      <c r="X20" s="154"/>
      <c r="Y20" s="154"/>
      <c r="Z20" s="154"/>
      <c r="AA20" s="154"/>
    </row>
    <row r="21" spans="1:27">
      <c r="A21" s="180">
        <v>45805</v>
      </c>
      <c r="B21" s="181" t="s">
        <v>12951</v>
      </c>
      <c r="C21" s="182" t="s">
        <v>115</v>
      </c>
      <c r="D21" s="182">
        <v>12224</v>
      </c>
      <c r="E21" s="183">
        <v>16</v>
      </c>
      <c r="F21" s="183">
        <v>785</v>
      </c>
      <c r="G21" s="184">
        <v>2</v>
      </c>
      <c r="H21" s="158"/>
      <c r="I21" s="154"/>
      <c r="J21" s="154"/>
      <c r="K21" s="154"/>
      <c r="L21" s="154"/>
      <c r="M21" s="154"/>
      <c r="N21" s="154"/>
      <c r="O21" s="154"/>
      <c r="P21" s="154"/>
      <c r="Q21" s="154"/>
      <c r="R21" s="154"/>
      <c r="S21" s="154"/>
      <c r="T21" s="154"/>
      <c r="U21" s="154"/>
      <c r="V21" s="154"/>
      <c r="W21" s="154"/>
      <c r="X21" s="154"/>
      <c r="Y21" s="154"/>
      <c r="Z21" s="154"/>
      <c r="AA21" s="154"/>
    </row>
    <row r="22" spans="1:27">
      <c r="A22" s="180">
        <v>45805</v>
      </c>
      <c r="B22" s="181" t="s">
        <v>12947</v>
      </c>
      <c r="C22" s="182" t="s">
        <v>115</v>
      </c>
      <c r="D22" s="182">
        <v>11422</v>
      </c>
      <c r="E22" s="183">
        <v>11</v>
      </c>
      <c r="F22" s="183">
        <v>496</v>
      </c>
      <c r="G22" s="184">
        <v>2</v>
      </c>
      <c r="H22" s="158"/>
      <c r="I22" s="154"/>
      <c r="J22" s="154"/>
      <c r="K22" s="154"/>
      <c r="L22" s="154"/>
      <c r="M22" s="154"/>
      <c r="N22" s="154"/>
      <c r="O22" s="154"/>
      <c r="P22" s="154"/>
      <c r="Q22" s="154"/>
      <c r="R22" s="154"/>
      <c r="S22" s="154"/>
      <c r="T22" s="154"/>
      <c r="U22" s="154"/>
      <c r="V22" s="154"/>
      <c r="W22" s="154"/>
      <c r="X22" s="154"/>
      <c r="Y22" s="154"/>
      <c r="Z22" s="154"/>
      <c r="AA22" s="154"/>
    </row>
    <row r="23" spans="1:27" ht="15">
      <c r="A23" s="180">
        <v>45805</v>
      </c>
      <c r="B23" s="181" t="s">
        <v>12959</v>
      </c>
      <c r="C23" s="182" t="s">
        <v>49</v>
      </c>
      <c r="D23" s="182">
        <v>7869</v>
      </c>
      <c r="E23" s="183">
        <v>14</v>
      </c>
      <c r="F23" s="183">
        <v>639</v>
      </c>
      <c r="G23" s="184">
        <v>4</v>
      </c>
      <c r="H23" s="158"/>
      <c r="I23" s="154"/>
      <c r="J23" s="154"/>
      <c r="K23" s="154"/>
      <c r="L23" s="154"/>
      <c r="M23" s="154"/>
      <c r="N23" s="154"/>
      <c r="O23" s="154"/>
      <c r="P23" s="154"/>
      <c r="Q23" s="154"/>
      <c r="R23" s="154"/>
      <c r="S23" s="154"/>
      <c r="T23" s="154"/>
      <c r="U23" s="154"/>
      <c r="V23" s="154"/>
      <c r="W23" s="154"/>
      <c r="X23" s="154"/>
      <c r="Y23" s="154"/>
      <c r="Z23" s="154"/>
      <c r="AA23" s="154"/>
    </row>
    <row r="24" spans="1:27" ht="15">
      <c r="A24" s="180">
        <v>45806</v>
      </c>
      <c r="B24" s="181" t="s">
        <v>12960</v>
      </c>
      <c r="C24" s="182" t="s">
        <v>61</v>
      </c>
      <c r="D24" s="182">
        <v>4130</v>
      </c>
      <c r="E24" s="183">
        <v>6</v>
      </c>
      <c r="F24" s="183">
        <v>397</v>
      </c>
      <c r="G24" s="184">
        <v>1</v>
      </c>
      <c r="H24" s="158"/>
      <c r="I24" s="154"/>
      <c r="J24" s="154"/>
      <c r="K24" s="154"/>
      <c r="L24" s="154"/>
      <c r="M24" s="154"/>
      <c r="N24" s="154"/>
      <c r="O24" s="154"/>
      <c r="P24" s="154"/>
      <c r="Q24" s="154"/>
      <c r="R24" s="154"/>
      <c r="S24" s="154"/>
      <c r="T24" s="154"/>
      <c r="U24" s="154"/>
      <c r="V24" s="154"/>
      <c r="W24" s="154"/>
      <c r="X24" s="154"/>
      <c r="Y24" s="154"/>
      <c r="Z24" s="154"/>
      <c r="AA24" s="154"/>
    </row>
    <row r="25" spans="1:27" ht="15">
      <c r="A25" s="180">
        <v>45806</v>
      </c>
      <c r="B25" s="181" t="s">
        <v>12961</v>
      </c>
      <c r="C25" s="182" t="s">
        <v>49</v>
      </c>
      <c r="D25" s="182">
        <v>8037</v>
      </c>
      <c r="E25" s="183">
        <v>3</v>
      </c>
      <c r="F25" s="183">
        <v>527</v>
      </c>
      <c r="G25" s="184">
        <v>1</v>
      </c>
      <c r="H25" s="158"/>
      <c r="I25" s="154"/>
      <c r="J25" s="154"/>
      <c r="K25" s="154"/>
      <c r="L25" s="154"/>
      <c r="M25" s="154"/>
      <c r="N25" s="154"/>
      <c r="O25" s="154"/>
      <c r="P25" s="154"/>
      <c r="Q25" s="154"/>
      <c r="R25" s="154"/>
      <c r="S25" s="154"/>
      <c r="T25" s="154"/>
      <c r="U25" s="154"/>
      <c r="V25" s="154"/>
      <c r="W25" s="154"/>
      <c r="X25" s="154"/>
      <c r="Y25" s="154"/>
      <c r="Z25" s="154"/>
      <c r="AA25" s="154"/>
    </row>
    <row r="26" spans="1:27" ht="15">
      <c r="A26" s="180">
        <v>45806</v>
      </c>
      <c r="B26" s="181" t="s">
        <v>12962</v>
      </c>
      <c r="C26" s="182" t="s">
        <v>115</v>
      </c>
      <c r="D26" s="182">
        <v>12303</v>
      </c>
      <c r="E26" s="183">
        <v>9</v>
      </c>
      <c r="F26" s="183">
        <v>494</v>
      </c>
      <c r="G26" s="184">
        <v>1</v>
      </c>
      <c r="H26" s="158"/>
      <c r="I26" s="154"/>
      <c r="J26" s="154"/>
      <c r="K26" s="154"/>
      <c r="L26" s="154"/>
      <c r="M26" s="154"/>
      <c r="N26" s="154"/>
      <c r="O26" s="154"/>
      <c r="P26" s="154"/>
      <c r="Q26" s="154"/>
      <c r="R26" s="154"/>
      <c r="S26" s="154"/>
      <c r="T26" s="154"/>
      <c r="U26" s="154"/>
      <c r="V26" s="154"/>
      <c r="W26" s="154"/>
      <c r="X26" s="154"/>
      <c r="Y26" s="154"/>
      <c r="Z26" s="154"/>
      <c r="AA26" s="154"/>
    </row>
    <row r="27" spans="1:27" ht="15">
      <c r="A27" s="180">
        <v>45806</v>
      </c>
      <c r="B27" s="181" t="s">
        <v>12951</v>
      </c>
      <c r="C27" s="182" t="s">
        <v>115</v>
      </c>
      <c r="D27" s="182">
        <v>20186</v>
      </c>
      <c r="E27" s="183">
        <v>15</v>
      </c>
      <c r="F27" s="183">
        <v>660</v>
      </c>
      <c r="G27" s="184">
        <v>1</v>
      </c>
      <c r="H27" s="158"/>
      <c r="I27" s="154"/>
      <c r="J27" s="154"/>
      <c r="K27" s="154"/>
      <c r="L27" s="154"/>
      <c r="M27" s="154"/>
      <c r="N27" s="154"/>
      <c r="O27" s="154"/>
      <c r="P27" s="154"/>
      <c r="Q27" s="154"/>
      <c r="R27" s="154"/>
      <c r="S27" s="154"/>
      <c r="T27" s="154"/>
      <c r="U27" s="154"/>
      <c r="V27" s="154"/>
      <c r="W27" s="154"/>
      <c r="X27" s="154"/>
      <c r="Y27" s="154"/>
      <c r="Z27" s="154"/>
      <c r="AA27" s="154"/>
    </row>
    <row r="28" spans="1:27" ht="15">
      <c r="A28" s="180">
        <v>45806</v>
      </c>
      <c r="B28" s="181" t="s">
        <v>12947</v>
      </c>
      <c r="C28" s="182" t="s">
        <v>115</v>
      </c>
      <c r="D28" s="182">
        <v>28486</v>
      </c>
      <c r="E28" s="183">
        <v>16</v>
      </c>
      <c r="F28" s="183">
        <v>805</v>
      </c>
      <c r="G28" s="184">
        <v>5</v>
      </c>
      <c r="H28" s="158"/>
      <c r="I28" s="154"/>
      <c r="J28" s="154"/>
      <c r="K28" s="154"/>
      <c r="L28" s="154"/>
      <c r="M28" s="154"/>
      <c r="N28" s="154"/>
      <c r="O28" s="154"/>
      <c r="P28" s="154"/>
      <c r="Q28" s="154"/>
      <c r="R28" s="154"/>
      <c r="S28" s="154"/>
      <c r="T28" s="154"/>
      <c r="U28" s="154"/>
      <c r="V28" s="154"/>
      <c r="W28" s="154"/>
      <c r="X28" s="154"/>
      <c r="Y28" s="154"/>
      <c r="Z28" s="154"/>
      <c r="AA28" s="154"/>
    </row>
    <row r="29" spans="1:27" ht="15">
      <c r="A29" s="180">
        <v>45806</v>
      </c>
      <c r="B29" s="181" t="s">
        <v>12953</v>
      </c>
      <c r="C29" s="182" t="s">
        <v>61</v>
      </c>
      <c r="D29" s="182">
        <v>8826</v>
      </c>
      <c r="E29" s="183">
        <v>31</v>
      </c>
      <c r="F29" s="183">
        <v>5016</v>
      </c>
      <c r="G29" s="184">
        <v>2</v>
      </c>
      <c r="H29" s="158"/>
      <c r="I29" s="154"/>
      <c r="J29" s="154"/>
      <c r="K29" s="154"/>
      <c r="L29" s="154"/>
      <c r="M29" s="154"/>
      <c r="N29" s="154"/>
      <c r="O29" s="154"/>
      <c r="P29" s="154"/>
      <c r="Q29" s="154"/>
      <c r="R29" s="154"/>
      <c r="S29" s="154"/>
      <c r="T29" s="154"/>
      <c r="U29" s="154"/>
      <c r="V29" s="154"/>
      <c r="W29" s="154"/>
      <c r="X29" s="154"/>
      <c r="Y29" s="154"/>
      <c r="Z29" s="154"/>
      <c r="AA29" s="154"/>
    </row>
    <row r="30" spans="1:27" ht="15">
      <c r="A30" s="180">
        <v>45806</v>
      </c>
      <c r="B30" s="181" t="s">
        <v>12954</v>
      </c>
      <c r="C30" s="182" t="s">
        <v>61</v>
      </c>
      <c r="D30" s="182">
        <v>8957</v>
      </c>
      <c r="E30" s="183">
        <v>12</v>
      </c>
      <c r="F30" s="183">
        <v>1811</v>
      </c>
      <c r="G30" s="184">
        <v>0</v>
      </c>
      <c r="H30" s="158"/>
      <c r="I30" s="154"/>
      <c r="J30" s="154"/>
      <c r="K30" s="154"/>
      <c r="L30" s="154"/>
      <c r="M30" s="154"/>
      <c r="N30" s="154"/>
      <c r="O30" s="154"/>
      <c r="P30" s="154"/>
      <c r="Q30" s="154"/>
      <c r="R30" s="154"/>
      <c r="S30" s="154"/>
      <c r="T30" s="154"/>
      <c r="U30" s="154"/>
      <c r="V30" s="154"/>
      <c r="W30" s="154"/>
      <c r="X30" s="154"/>
      <c r="Y30" s="154"/>
      <c r="Z30" s="154"/>
      <c r="AA30" s="154"/>
    </row>
    <row r="31" spans="1:27" ht="15">
      <c r="A31" s="180">
        <v>45806</v>
      </c>
      <c r="B31" s="181" t="s">
        <v>12955</v>
      </c>
      <c r="C31" s="182" t="s">
        <v>49</v>
      </c>
      <c r="D31" s="182">
        <v>14416</v>
      </c>
      <c r="E31" s="183">
        <v>23</v>
      </c>
      <c r="F31" s="183">
        <v>1031</v>
      </c>
      <c r="G31" s="184">
        <v>4</v>
      </c>
      <c r="H31" s="158"/>
      <c r="I31" s="154"/>
      <c r="J31" s="154"/>
      <c r="K31" s="154"/>
      <c r="L31" s="154"/>
      <c r="M31" s="154"/>
      <c r="N31" s="154"/>
      <c r="O31" s="154"/>
      <c r="P31" s="154"/>
      <c r="Q31" s="154"/>
      <c r="R31" s="154"/>
      <c r="S31" s="154"/>
      <c r="T31" s="154"/>
      <c r="U31" s="154"/>
      <c r="V31" s="154"/>
      <c r="W31" s="154"/>
      <c r="X31" s="154"/>
      <c r="Y31" s="154"/>
      <c r="Z31" s="154"/>
      <c r="AA31" s="154"/>
    </row>
    <row r="32" spans="1:27" ht="15">
      <c r="A32" s="180">
        <v>45806</v>
      </c>
      <c r="B32" s="181" t="s">
        <v>12956</v>
      </c>
      <c r="C32" s="182" t="s">
        <v>61</v>
      </c>
      <c r="D32" s="182">
        <v>21731</v>
      </c>
      <c r="E32" s="183">
        <v>33</v>
      </c>
      <c r="F32" s="183">
        <v>2878</v>
      </c>
      <c r="G32" s="184">
        <v>3</v>
      </c>
      <c r="H32" s="158"/>
      <c r="I32" s="154"/>
      <c r="J32" s="154"/>
      <c r="K32" s="154"/>
      <c r="L32" s="154"/>
      <c r="M32" s="154"/>
      <c r="N32" s="154"/>
      <c r="O32" s="154"/>
      <c r="P32" s="154"/>
      <c r="Q32" s="154"/>
      <c r="R32" s="154"/>
      <c r="S32" s="154"/>
      <c r="T32" s="154"/>
      <c r="U32" s="154"/>
      <c r="V32" s="154"/>
      <c r="W32" s="154"/>
      <c r="X32" s="154"/>
      <c r="Y32" s="154"/>
      <c r="Z32" s="154"/>
      <c r="AA32" s="154"/>
    </row>
    <row r="33" spans="1:27" ht="15">
      <c r="A33" s="180">
        <v>45807</v>
      </c>
      <c r="B33" s="181" t="s">
        <v>12963</v>
      </c>
      <c r="C33" s="182" t="s">
        <v>61</v>
      </c>
      <c r="D33" s="182">
        <v>19632</v>
      </c>
      <c r="E33" s="183">
        <v>31</v>
      </c>
      <c r="F33" s="183">
        <v>1274</v>
      </c>
      <c r="G33" s="184">
        <v>3</v>
      </c>
      <c r="H33" s="158"/>
      <c r="I33" s="154"/>
      <c r="J33" s="154"/>
      <c r="K33" s="154"/>
      <c r="L33" s="154"/>
      <c r="M33" s="154"/>
      <c r="N33" s="154"/>
      <c r="O33" s="154"/>
      <c r="P33" s="154"/>
      <c r="Q33" s="154"/>
      <c r="R33" s="154"/>
      <c r="S33" s="154"/>
      <c r="T33" s="154"/>
      <c r="U33" s="154"/>
      <c r="V33" s="154"/>
      <c r="W33" s="154"/>
      <c r="X33" s="154"/>
      <c r="Y33" s="154"/>
      <c r="Z33" s="154"/>
      <c r="AA33" s="154"/>
    </row>
    <row r="34" spans="1:27" ht="15">
      <c r="A34" s="180">
        <v>45807</v>
      </c>
      <c r="B34" s="181" t="s">
        <v>12964</v>
      </c>
      <c r="C34" s="182" t="s">
        <v>61</v>
      </c>
      <c r="D34" s="182">
        <v>22595</v>
      </c>
      <c r="E34" s="183">
        <v>25</v>
      </c>
      <c r="F34" s="183">
        <v>1356</v>
      </c>
      <c r="G34" s="184">
        <v>8</v>
      </c>
      <c r="H34" s="158"/>
      <c r="I34" s="154"/>
      <c r="J34" s="154"/>
      <c r="K34" s="154"/>
      <c r="L34" s="154"/>
      <c r="M34" s="154"/>
      <c r="N34" s="154"/>
      <c r="O34" s="154"/>
      <c r="P34" s="154"/>
      <c r="Q34" s="154"/>
      <c r="R34" s="154"/>
      <c r="S34" s="154"/>
      <c r="T34" s="154"/>
      <c r="U34" s="154"/>
      <c r="V34" s="154"/>
      <c r="W34" s="154"/>
      <c r="X34" s="154"/>
      <c r="Y34" s="154"/>
      <c r="Z34" s="154"/>
      <c r="AA34" s="154"/>
    </row>
    <row r="35" spans="1:27" ht="15">
      <c r="A35" s="180">
        <v>45807</v>
      </c>
      <c r="B35" s="181" t="s">
        <v>12965</v>
      </c>
      <c r="C35" s="182" t="s">
        <v>49</v>
      </c>
      <c r="D35" s="182">
        <v>23920</v>
      </c>
      <c r="E35" s="183">
        <v>35</v>
      </c>
      <c r="F35" s="183">
        <v>1278</v>
      </c>
      <c r="G35" s="184">
        <v>8</v>
      </c>
      <c r="H35" s="158"/>
      <c r="I35" s="154"/>
      <c r="J35" s="154"/>
      <c r="K35" s="154"/>
      <c r="L35" s="154"/>
      <c r="M35" s="154"/>
      <c r="N35" s="154"/>
      <c r="O35" s="154"/>
      <c r="P35" s="154"/>
      <c r="Q35" s="154"/>
      <c r="R35" s="154"/>
      <c r="S35" s="154"/>
      <c r="T35" s="154"/>
      <c r="U35" s="154"/>
      <c r="V35" s="154"/>
      <c r="W35" s="154"/>
      <c r="X35" s="154"/>
      <c r="Y35" s="154"/>
      <c r="Z35" s="154"/>
      <c r="AA35" s="154"/>
    </row>
    <row r="36" spans="1:27" ht="15">
      <c r="A36" s="180">
        <v>45807</v>
      </c>
      <c r="B36" s="181" t="s">
        <v>12966</v>
      </c>
      <c r="C36" s="182" t="s">
        <v>49</v>
      </c>
      <c r="D36" s="182">
        <v>24087</v>
      </c>
      <c r="E36" s="183">
        <v>44</v>
      </c>
      <c r="F36" s="183">
        <v>1400</v>
      </c>
      <c r="G36" s="184">
        <v>12</v>
      </c>
      <c r="H36" s="158"/>
      <c r="I36" s="154"/>
      <c r="J36" s="154"/>
      <c r="K36" s="154"/>
      <c r="L36" s="154"/>
      <c r="M36" s="154"/>
      <c r="N36" s="154"/>
      <c r="O36" s="154"/>
      <c r="P36" s="154"/>
      <c r="Q36" s="154"/>
      <c r="R36" s="154"/>
      <c r="S36" s="154"/>
      <c r="T36" s="154"/>
      <c r="U36" s="154"/>
      <c r="V36" s="154"/>
      <c r="W36" s="154"/>
      <c r="X36" s="154"/>
      <c r="Y36" s="154"/>
      <c r="Z36" s="154"/>
      <c r="AA36" s="154"/>
    </row>
    <row r="37" spans="1:27" ht="15">
      <c r="A37" s="180">
        <v>45807</v>
      </c>
      <c r="B37" s="181" t="s">
        <v>12967</v>
      </c>
      <c r="C37" s="182" t="s">
        <v>49</v>
      </c>
      <c r="D37" s="182">
        <v>30645</v>
      </c>
      <c r="E37" s="183">
        <v>31</v>
      </c>
      <c r="F37" s="183">
        <v>1732</v>
      </c>
      <c r="G37" s="184">
        <v>7</v>
      </c>
      <c r="H37" s="158"/>
      <c r="I37" s="154"/>
      <c r="J37" s="154"/>
      <c r="K37" s="154"/>
      <c r="L37" s="154"/>
      <c r="M37" s="154"/>
      <c r="N37" s="154"/>
      <c r="O37" s="154"/>
      <c r="P37" s="154"/>
      <c r="Q37" s="154"/>
      <c r="R37" s="154"/>
      <c r="S37" s="154"/>
      <c r="T37" s="154"/>
      <c r="U37" s="154"/>
      <c r="V37" s="154"/>
      <c r="W37" s="154"/>
      <c r="X37" s="154"/>
      <c r="Y37" s="154"/>
      <c r="Z37" s="154"/>
      <c r="AA37" s="154"/>
    </row>
    <row r="38" spans="1:27" ht="15">
      <c r="A38" s="180">
        <v>45807</v>
      </c>
      <c r="B38" s="181" t="s">
        <v>12968</v>
      </c>
      <c r="C38" s="182" t="s">
        <v>61</v>
      </c>
      <c r="D38" s="182">
        <v>50612</v>
      </c>
      <c r="E38" s="183">
        <v>96</v>
      </c>
      <c r="F38" s="183">
        <v>2880</v>
      </c>
      <c r="G38" s="184">
        <v>26</v>
      </c>
      <c r="H38" s="158"/>
      <c r="I38" s="154"/>
      <c r="J38" s="154"/>
      <c r="K38" s="154"/>
      <c r="L38" s="154"/>
      <c r="M38" s="154"/>
      <c r="N38" s="154"/>
      <c r="O38" s="154"/>
      <c r="P38" s="154"/>
      <c r="Q38" s="154"/>
      <c r="R38" s="154"/>
      <c r="S38" s="154"/>
      <c r="T38" s="154"/>
      <c r="U38" s="154"/>
      <c r="V38" s="154"/>
      <c r="W38" s="154"/>
      <c r="X38" s="154"/>
      <c r="Y38" s="154"/>
      <c r="Z38" s="154"/>
      <c r="AA38" s="154"/>
    </row>
    <row r="39" spans="1:27" ht="15">
      <c r="A39" s="180">
        <v>45807</v>
      </c>
      <c r="B39" s="181" t="s">
        <v>12953</v>
      </c>
      <c r="C39" s="182" t="s">
        <v>61</v>
      </c>
      <c r="D39" s="182">
        <v>10379</v>
      </c>
      <c r="E39" s="183">
        <v>22</v>
      </c>
      <c r="F39" s="183">
        <v>3021</v>
      </c>
      <c r="G39" s="184">
        <v>0</v>
      </c>
      <c r="H39" s="158"/>
      <c r="I39" s="154"/>
      <c r="J39" s="154"/>
      <c r="K39" s="154"/>
      <c r="L39" s="154"/>
      <c r="M39" s="154"/>
      <c r="N39" s="154"/>
      <c r="O39" s="154"/>
      <c r="P39" s="154"/>
      <c r="Q39" s="154"/>
      <c r="R39" s="154"/>
      <c r="S39" s="154"/>
      <c r="T39" s="154"/>
      <c r="U39" s="154"/>
      <c r="V39" s="154"/>
      <c r="W39" s="154"/>
      <c r="X39" s="154"/>
      <c r="Y39" s="154"/>
      <c r="Z39" s="154"/>
      <c r="AA39" s="154"/>
    </row>
    <row r="40" spans="1:27" ht="15">
      <c r="A40" s="180">
        <v>45807</v>
      </c>
      <c r="B40" s="181" t="s">
        <v>12955</v>
      </c>
      <c r="C40" s="182" t="s">
        <v>49</v>
      </c>
      <c r="D40" s="182">
        <v>34731</v>
      </c>
      <c r="E40" s="183">
        <v>54</v>
      </c>
      <c r="F40" s="183">
        <v>2404</v>
      </c>
      <c r="G40" s="184">
        <v>16</v>
      </c>
      <c r="H40" s="158"/>
      <c r="I40" s="154"/>
      <c r="J40" s="154"/>
      <c r="K40" s="154"/>
      <c r="L40" s="154"/>
      <c r="M40" s="154"/>
      <c r="N40" s="154"/>
      <c r="O40" s="154"/>
      <c r="P40" s="154"/>
      <c r="Q40" s="154"/>
      <c r="R40" s="154"/>
      <c r="S40" s="154"/>
      <c r="T40" s="154"/>
      <c r="U40" s="154"/>
      <c r="V40" s="154"/>
      <c r="W40" s="154"/>
      <c r="X40" s="154"/>
      <c r="Y40" s="154"/>
      <c r="Z40" s="154"/>
      <c r="AA40" s="154"/>
    </row>
    <row r="41" spans="1:27" ht="15">
      <c r="A41" s="180">
        <v>45807</v>
      </c>
      <c r="B41" s="181" t="s">
        <v>12956</v>
      </c>
      <c r="C41" s="182" t="s">
        <v>61</v>
      </c>
      <c r="D41" s="182">
        <v>12552</v>
      </c>
      <c r="E41" s="183">
        <v>24</v>
      </c>
      <c r="F41" s="183">
        <v>1453</v>
      </c>
      <c r="G41" s="184">
        <v>4</v>
      </c>
      <c r="H41" s="158"/>
      <c r="I41" s="154"/>
      <c r="J41" s="154"/>
      <c r="K41" s="154"/>
      <c r="L41" s="154"/>
      <c r="M41" s="154"/>
      <c r="N41" s="154"/>
      <c r="O41" s="154"/>
      <c r="P41" s="154"/>
      <c r="Q41" s="154"/>
      <c r="R41" s="154"/>
      <c r="S41" s="154"/>
      <c r="T41" s="154"/>
      <c r="U41" s="154"/>
      <c r="V41" s="154"/>
      <c r="W41" s="154"/>
      <c r="X41" s="154"/>
      <c r="Y41" s="154"/>
      <c r="Z41" s="154"/>
      <c r="AA41" s="154"/>
    </row>
    <row r="42" spans="1:27" ht="15">
      <c r="A42" s="180">
        <v>45808</v>
      </c>
      <c r="B42" s="181" t="s">
        <v>12969</v>
      </c>
      <c r="C42" s="182" t="s">
        <v>115</v>
      </c>
      <c r="D42" s="182">
        <v>29531</v>
      </c>
      <c r="E42" s="183">
        <v>8</v>
      </c>
      <c r="F42" s="183">
        <v>1403</v>
      </c>
      <c r="G42" s="184">
        <v>0</v>
      </c>
      <c r="H42" s="158"/>
      <c r="I42" s="154"/>
      <c r="J42" s="154"/>
      <c r="K42" s="154"/>
      <c r="L42" s="154"/>
      <c r="M42" s="154"/>
      <c r="N42" s="154"/>
      <c r="O42" s="154"/>
      <c r="P42" s="154"/>
      <c r="Q42" s="154"/>
      <c r="R42" s="154"/>
      <c r="S42" s="154"/>
      <c r="T42" s="154"/>
      <c r="U42" s="154"/>
      <c r="V42" s="154"/>
      <c r="W42" s="154"/>
      <c r="X42" s="154"/>
      <c r="Y42" s="154"/>
      <c r="Z42" s="154"/>
      <c r="AA42" s="154"/>
    </row>
    <row r="43" spans="1:27" ht="15">
      <c r="A43" s="180">
        <v>45808</v>
      </c>
      <c r="B43" s="181" t="s">
        <v>12970</v>
      </c>
      <c r="C43" s="182" t="s">
        <v>115</v>
      </c>
      <c r="D43" s="182">
        <v>36785</v>
      </c>
      <c r="E43" s="183">
        <v>12</v>
      </c>
      <c r="F43" s="183">
        <v>1173</v>
      </c>
      <c r="G43" s="184">
        <v>0</v>
      </c>
      <c r="H43" s="158"/>
      <c r="I43" s="154"/>
      <c r="J43" s="154"/>
      <c r="K43" s="154"/>
      <c r="L43" s="154"/>
      <c r="M43" s="154"/>
      <c r="N43" s="154"/>
      <c r="O43" s="154"/>
      <c r="P43" s="154"/>
      <c r="Q43" s="154"/>
      <c r="R43" s="154"/>
      <c r="S43" s="154"/>
      <c r="T43" s="154"/>
      <c r="U43" s="154"/>
      <c r="V43" s="154"/>
      <c r="W43" s="154"/>
      <c r="X43" s="154"/>
      <c r="Y43" s="154"/>
      <c r="Z43" s="154"/>
      <c r="AA43" s="154"/>
    </row>
    <row r="44" spans="1:27" ht="15">
      <c r="A44" s="180">
        <v>45808</v>
      </c>
      <c r="B44" s="181" t="s">
        <v>12971</v>
      </c>
      <c r="C44" s="182" t="s">
        <v>115</v>
      </c>
      <c r="D44" s="182">
        <v>28662</v>
      </c>
      <c r="E44" s="183">
        <v>10</v>
      </c>
      <c r="F44" s="183">
        <v>1031</v>
      </c>
      <c r="G44" s="184">
        <v>1</v>
      </c>
      <c r="H44" s="158"/>
      <c r="I44" s="154"/>
      <c r="J44" s="154"/>
      <c r="K44" s="154"/>
      <c r="L44" s="154"/>
      <c r="M44" s="154"/>
      <c r="N44" s="154"/>
      <c r="O44" s="154"/>
      <c r="P44" s="154"/>
      <c r="Q44" s="154"/>
      <c r="R44" s="154"/>
      <c r="S44" s="154"/>
      <c r="T44" s="154"/>
      <c r="U44" s="154"/>
      <c r="V44" s="154"/>
      <c r="W44" s="154"/>
      <c r="X44" s="154"/>
      <c r="Y44" s="154"/>
      <c r="Z44" s="154"/>
      <c r="AA44" s="154"/>
    </row>
    <row r="45" spans="1:27" ht="15">
      <c r="A45" s="180">
        <v>45808</v>
      </c>
      <c r="B45" s="181" t="s">
        <v>12965</v>
      </c>
      <c r="C45" s="182" t="s">
        <v>49</v>
      </c>
      <c r="D45" s="182">
        <v>69182</v>
      </c>
      <c r="E45" s="183">
        <v>147</v>
      </c>
      <c r="F45" s="183">
        <v>4778</v>
      </c>
      <c r="G45" s="184">
        <v>41</v>
      </c>
      <c r="H45" s="158"/>
      <c r="I45" s="154"/>
      <c r="J45" s="154"/>
      <c r="K45" s="154"/>
      <c r="L45" s="154"/>
      <c r="M45" s="154"/>
      <c r="N45" s="154"/>
      <c r="O45" s="154"/>
      <c r="P45" s="154"/>
      <c r="Q45" s="154"/>
      <c r="R45" s="154"/>
      <c r="S45" s="154"/>
      <c r="T45" s="154"/>
      <c r="U45" s="154"/>
      <c r="V45" s="154"/>
      <c r="W45" s="154"/>
      <c r="X45" s="154"/>
      <c r="Y45" s="154"/>
      <c r="Z45" s="154"/>
      <c r="AA45" s="154"/>
    </row>
    <row r="46" spans="1:27" ht="15">
      <c r="A46" s="180">
        <v>45808</v>
      </c>
      <c r="B46" s="181" t="s">
        <v>12966</v>
      </c>
      <c r="C46" s="182" t="s">
        <v>49</v>
      </c>
      <c r="D46" s="182">
        <v>3898</v>
      </c>
      <c r="E46" s="183">
        <v>0</v>
      </c>
      <c r="F46" s="183">
        <v>129</v>
      </c>
      <c r="G46" s="184">
        <v>0</v>
      </c>
      <c r="H46" s="158"/>
      <c r="I46" s="154"/>
      <c r="J46" s="154"/>
      <c r="K46" s="154"/>
      <c r="L46" s="154"/>
      <c r="M46" s="154"/>
      <c r="N46" s="154"/>
      <c r="O46" s="154"/>
      <c r="P46" s="154"/>
      <c r="Q46" s="154"/>
      <c r="R46" s="154"/>
      <c r="S46" s="154"/>
      <c r="T46" s="154"/>
      <c r="U46" s="154"/>
      <c r="V46" s="154"/>
      <c r="W46" s="154"/>
      <c r="X46" s="154"/>
      <c r="Y46" s="154"/>
      <c r="Z46" s="154"/>
      <c r="AA46" s="154"/>
    </row>
    <row r="47" spans="1:27" ht="15">
      <c r="A47" s="180">
        <v>45808</v>
      </c>
      <c r="B47" s="181" t="s">
        <v>12967</v>
      </c>
      <c r="C47" s="182" t="s">
        <v>49</v>
      </c>
      <c r="D47" s="182">
        <v>11281</v>
      </c>
      <c r="E47" s="183">
        <v>17</v>
      </c>
      <c r="F47" s="183">
        <v>872</v>
      </c>
      <c r="G47" s="184">
        <v>0</v>
      </c>
      <c r="H47" s="158"/>
      <c r="I47" s="154"/>
      <c r="J47" s="154"/>
      <c r="K47" s="154"/>
      <c r="L47" s="154"/>
      <c r="M47" s="154"/>
      <c r="N47" s="154"/>
      <c r="O47" s="154"/>
      <c r="P47" s="154"/>
      <c r="Q47" s="154"/>
      <c r="R47" s="154"/>
      <c r="S47" s="154"/>
      <c r="T47" s="154"/>
      <c r="U47" s="154"/>
      <c r="V47" s="154"/>
      <c r="W47" s="154"/>
      <c r="X47" s="154"/>
      <c r="Y47" s="154"/>
      <c r="Z47" s="154"/>
      <c r="AA47" s="154"/>
    </row>
    <row r="48" spans="1:27" ht="15">
      <c r="A48" s="180">
        <v>45809</v>
      </c>
      <c r="B48" s="181" t="s">
        <v>12969</v>
      </c>
      <c r="C48" s="182" t="s">
        <v>115</v>
      </c>
      <c r="D48" s="182">
        <v>116097</v>
      </c>
      <c r="E48" s="183">
        <v>171</v>
      </c>
      <c r="F48" s="183">
        <v>13467</v>
      </c>
      <c r="G48" s="184">
        <v>23</v>
      </c>
      <c r="H48" s="158"/>
      <c r="I48" s="154"/>
      <c r="J48" s="154"/>
      <c r="K48" s="154"/>
      <c r="L48" s="154"/>
      <c r="M48" s="154"/>
      <c r="N48" s="154"/>
      <c r="O48" s="154"/>
      <c r="P48" s="154"/>
      <c r="Q48" s="154"/>
      <c r="R48" s="154"/>
      <c r="S48" s="154"/>
      <c r="T48" s="154"/>
      <c r="U48" s="154"/>
      <c r="V48" s="154"/>
      <c r="W48" s="154"/>
      <c r="X48" s="154"/>
      <c r="Y48" s="154"/>
      <c r="Z48" s="154"/>
      <c r="AA48" s="154"/>
    </row>
    <row r="49" spans="1:27" ht="15">
      <c r="A49" s="180">
        <v>45809</v>
      </c>
      <c r="B49" s="181" t="s">
        <v>12970</v>
      </c>
      <c r="C49" s="182" t="s">
        <v>115</v>
      </c>
      <c r="D49" s="182">
        <v>85813</v>
      </c>
      <c r="E49" s="183">
        <v>179</v>
      </c>
      <c r="F49" s="183">
        <v>8345</v>
      </c>
      <c r="G49" s="184">
        <v>37</v>
      </c>
      <c r="H49" s="158"/>
      <c r="I49" s="154"/>
      <c r="J49" s="154"/>
      <c r="K49" s="154"/>
      <c r="L49" s="154"/>
      <c r="M49" s="154"/>
      <c r="N49" s="154"/>
      <c r="O49" s="154"/>
      <c r="P49" s="154"/>
      <c r="Q49" s="154"/>
      <c r="R49" s="154"/>
      <c r="S49" s="154"/>
      <c r="T49" s="154"/>
      <c r="U49" s="154"/>
      <c r="V49" s="154"/>
      <c r="W49" s="154"/>
      <c r="X49" s="154"/>
      <c r="Y49" s="154"/>
      <c r="Z49" s="154"/>
      <c r="AA49" s="154"/>
    </row>
    <row r="50" spans="1:27" ht="15">
      <c r="A50" s="180">
        <v>45809</v>
      </c>
      <c r="B50" s="181" t="s">
        <v>12971</v>
      </c>
      <c r="C50" s="182" t="s">
        <v>115</v>
      </c>
      <c r="D50" s="182">
        <v>108020</v>
      </c>
      <c r="E50" s="183">
        <v>140</v>
      </c>
      <c r="F50" s="183">
        <v>11364</v>
      </c>
      <c r="G50" s="184">
        <v>9</v>
      </c>
      <c r="H50" s="158"/>
      <c r="I50" s="154"/>
      <c r="J50" s="154"/>
      <c r="K50" s="154"/>
      <c r="L50" s="154"/>
      <c r="M50" s="154"/>
      <c r="N50" s="154"/>
      <c r="O50" s="154"/>
      <c r="P50" s="154"/>
      <c r="Q50" s="154"/>
      <c r="R50" s="154"/>
      <c r="S50" s="154"/>
      <c r="T50" s="154"/>
      <c r="U50" s="154"/>
      <c r="V50" s="154"/>
      <c r="W50" s="154"/>
      <c r="X50" s="154"/>
      <c r="Y50" s="154"/>
      <c r="Z50" s="154"/>
      <c r="AA50" s="154"/>
    </row>
    <row r="51" spans="1:27" ht="15">
      <c r="A51" s="180">
        <v>45809</v>
      </c>
      <c r="B51" s="181" t="s">
        <v>12963</v>
      </c>
      <c r="C51" s="182" t="s">
        <v>61</v>
      </c>
      <c r="D51" s="182">
        <v>19346</v>
      </c>
      <c r="E51" s="183">
        <v>32</v>
      </c>
      <c r="F51" s="183">
        <v>1652</v>
      </c>
      <c r="G51" s="184">
        <v>4</v>
      </c>
      <c r="H51" s="158"/>
      <c r="I51" s="154"/>
      <c r="J51" s="154"/>
      <c r="K51" s="154"/>
      <c r="L51" s="154"/>
      <c r="M51" s="154"/>
      <c r="N51" s="154"/>
      <c r="O51" s="154"/>
      <c r="P51" s="154"/>
      <c r="Q51" s="154"/>
      <c r="R51" s="154"/>
      <c r="S51" s="154"/>
      <c r="T51" s="154"/>
      <c r="U51" s="154"/>
      <c r="V51" s="154"/>
      <c r="W51" s="154"/>
      <c r="X51" s="154"/>
      <c r="Y51" s="154"/>
      <c r="Z51" s="154"/>
      <c r="AA51" s="154"/>
    </row>
    <row r="52" spans="1:27" ht="15">
      <c r="A52" s="180">
        <v>45809</v>
      </c>
      <c r="B52" s="181" t="s">
        <v>12964</v>
      </c>
      <c r="C52" s="182" t="s">
        <v>61</v>
      </c>
      <c r="D52" s="182">
        <v>35305</v>
      </c>
      <c r="E52" s="183">
        <v>89</v>
      </c>
      <c r="F52" s="183">
        <v>3123</v>
      </c>
      <c r="G52" s="184">
        <v>22</v>
      </c>
      <c r="H52" s="158"/>
      <c r="I52" s="154"/>
      <c r="J52" s="154"/>
      <c r="K52" s="154"/>
      <c r="L52" s="154"/>
      <c r="M52" s="154"/>
      <c r="N52" s="154"/>
      <c r="O52" s="154"/>
      <c r="P52" s="154"/>
      <c r="Q52" s="154"/>
      <c r="R52" s="154"/>
      <c r="S52" s="154"/>
      <c r="T52" s="154"/>
      <c r="U52" s="154"/>
      <c r="V52" s="154"/>
      <c r="W52" s="154"/>
      <c r="X52" s="154"/>
      <c r="Y52" s="154"/>
      <c r="Z52" s="154"/>
      <c r="AA52" s="154"/>
    </row>
    <row r="53" spans="1:27" ht="15">
      <c r="A53" s="180">
        <v>45809</v>
      </c>
      <c r="B53" s="181" t="s">
        <v>12965</v>
      </c>
      <c r="C53" s="182" t="s">
        <v>49</v>
      </c>
      <c r="D53" s="182">
        <v>21138</v>
      </c>
      <c r="E53" s="183">
        <v>37</v>
      </c>
      <c r="F53" s="183">
        <v>1516</v>
      </c>
      <c r="G53" s="184">
        <v>3</v>
      </c>
      <c r="H53" s="158"/>
      <c r="I53" s="154"/>
      <c r="J53" s="154"/>
      <c r="K53" s="154"/>
      <c r="L53" s="154"/>
      <c r="M53" s="154"/>
      <c r="N53" s="154"/>
      <c r="O53" s="154"/>
      <c r="P53" s="154"/>
      <c r="Q53" s="154"/>
      <c r="R53" s="154"/>
      <c r="S53" s="154"/>
      <c r="T53" s="154"/>
      <c r="U53" s="154"/>
      <c r="V53" s="154"/>
      <c r="W53" s="154"/>
      <c r="X53" s="154"/>
      <c r="Y53" s="154"/>
      <c r="Z53" s="154"/>
      <c r="AA53" s="154"/>
    </row>
    <row r="54" spans="1:27" ht="15">
      <c r="A54" s="180">
        <v>45809</v>
      </c>
      <c r="B54" s="181" t="s">
        <v>12966</v>
      </c>
      <c r="C54" s="182" t="s">
        <v>49</v>
      </c>
      <c r="D54" s="182">
        <v>20246</v>
      </c>
      <c r="E54" s="183">
        <v>22</v>
      </c>
      <c r="F54" s="183">
        <v>1276</v>
      </c>
      <c r="G54" s="184">
        <v>3</v>
      </c>
      <c r="H54" s="158"/>
      <c r="I54" s="154"/>
      <c r="J54" s="154"/>
      <c r="K54" s="154"/>
      <c r="L54" s="154"/>
      <c r="M54" s="154"/>
      <c r="N54" s="154"/>
      <c r="O54" s="154"/>
      <c r="P54" s="154"/>
      <c r="Q54" s="154"/>
      <c r="R54" s="154"/>
      <c r="S54" s="154"/>
      <c r="T54" s="154"/>
      <c r="U54" s="154"/>
      <c r="V54" s="154"/>
      <c r="W54" s="154"/>
      <c r="X54" s="154"/>
      <c r="Y54" s="154"/>
      <c r="Z54" s="154"/>
      <c r="AA54" s="154"/>
    </row>
    <row r="55" spans="1:27" ht="15">
      <c r="A55" s="180">
        <v>45809</v>
      </c>
      <c r="B55" s="181" t="s">
        <v>12967</v>
      </c>
      <c r="C55" s="182" t="s">
        <v>49</v>
      </c>
      <c r="D55" s="182">
        <v>83046</v>
      </c>
      <c r="E55" s="183">
        <v>179</v>
      </c>
      <c r="F55" s="183">
        <v>6546</v>
      </c>
      <c r="G55" s="184">
        <v>31</v>
      </c>
      <c r="H55" s="158"/>
      <c r="I55" s="154"/>
      <c r="J55" s="154"/>
      <c r="K55" s="154"/>
      <c r="L55" s="154"/>
      <c r="M55" s="154"/>
      <c r="N55" s="154"/>
      <c r="O55" s="154"/>
      <c r="P55" s="154"/>
      <c r="Q55" s="154"/>
      <c r="R55" s="154"/>
      <c r="S55" s="154"/>
      <c r="T55" s="154"/>
      <c r="U55" s="154"/>
      <c r="V55" s="154"/>
      <c r="W55" s="154"/>
      <c r="X55" s="154"/>
      <c r="Y55" s="154"/>
      <c r="Z55" s="154"/>
      <c r="AA55" s="154"/>
    </row>
    <row r="56" spans="1:27" ht="15">
      <c r="A56" s="180">
        <v>45809</v>
      </c>
      <c r="B56" s="181" t="s">
        <v>12968</v>
      </c>
      <c r="C56" s="182" t="s">
        <v>61</v>
      </c>
      <c r="D56" s="182">
        <v>15907</v>
      </c>
      <c r="E56" s="183">
        <v>10</v>
      </c>
      <c r="F56" s="183">
        <v>602</v>
      </c>
      <c r="G56" s="184">
        <v>1</v>
      </c>
      <c r="H56" s="158"/>
      <c r="I56" s="154"/>
      <c r="J56" s="154"/>
      <c r="K56" s="154"/>
      <c r="L56" s="154"/>
      <c r="M56" s="154"/>
      <c r="N56" s="154"/>
      <c r="O56" s="154"/>
      <c r="P56" s="154"/>
      <c r="Q56" s="154"/>
      <c r="R56" s="154"/>
      <c r="S56" s="154"/>
      <c r="T56" s="154"/>
      <c r="U56" s="154"/>
      <c r="V56" s="154"/>
      <c r="W56" s="154"/>
      <c r="X56" s="154"/>
      <c r="Y56" s="154"/>
      <c r="Z56" s="154"/>
      <c r="AA56" s="154"/>
    </row>
    <row r="57" spans="1:27" ht="15">
      <c r="A57" s="180">
        <v>45809</v>
      </c>
      <c r="B57" s="181" t="s">
        <v>12951</v>
      </c>
      <c r="C57" s="182" t="s">
        <v>115</v>
      </c>
      <c r="D57" s="182">
        <v>28911</v>
      </c>
      <c r="E57" s="183">
        <v>49</v>
      </c>
      <c r="F57" s="183">
        <v>2964</v>
      </c>
      <c r="G57" s="184">
        <v>9</v>
      </c>
      <c r="H57" s="158"/>
      <c r="I57" s="154"/>
      <c r="J57" s="154"/>
      <c r="K57" s="154"/>
      <c r="L57" s="154"/>
      <c r="M57" s="154"/>
      <c r="N57" s="154"/>
      <c r="O57" s="154"/>
      <c r="P57" s="154"/>
      <c r="Q57" s="154"/>
      <c r="R57" s="154"/>
      <c r="S57" s="154"/>
      <c r="T57" s="154"/>
      <c r="U57" s="154"/>
      <c r="V57" s="154"/>
      <c r="W57" s="154"/>
      <c r="X57" s="154"/>
      <c r="Y57" s="154"/>
      <c r="Z57" s="154"/>
      <c r="AA57" s="154"/>
    </row>
    <row r="58" spans="1:27" ht="15">
      <c r="A58" s="180">
        <v>45809</v>
      </c>
      <c r="B58" s="181" t="s">
        <v>12953</v>
      </c>
      <c r="C58" s="182" t="s">
        <v>61</v>
      </c>
      <c r="D58" s="182">
        <v>23583</v>
      </c>
      <c r="E58" s="183">
        <v>70</v>
      </c>
      <c r="F58" s="183">
        <v>5696</v>
      </c>
      <c r="G58" s="184">
        <v>3</v>
      </c>
      <c r="H58" s="158"/>
      <c r="I58" s="154"/>
      <c r="J58" s="154"/>
      <c r="K58" s="154"/>
      <c r="L58" s="154"/>
      <c r="M58" s="154"/>
      <c r="N58" s="154"/>
      <c r="O58" s="154"/>
      <c r="P58" s="154"/>
      <c r="Q58" s="154"/>
      <c r="R58" s="154"/>
      <c r="S58" s="154"/>
      <c r="T58" s="154"/>
      <c r="U58" s="154"/>
      <c r="V58" s="154"/>
      <c r="W58" s="154"/>
      <c r="X58" s="154"/>
      <c r="Y58" s="154"/>
      <c r="Z58" s="154"/>
      <c r="AA58" s="154"/>
    </row>
    <row r="59" spans="1:27" ht="15">
      <c r="A59" s="180">
        <v>45809</v>
      </c>
      <c r="B59" s="181" t="s">
        <v>12954</v>
      </c>
      <c r="C59" s="182" t="s">
        <v>61</v>
      </c>
      <c r="D59" s="182">
        <v>74835</v>
      </c>
      <c r="E59" s="183">
        <v>182</v>
      </c>
      <c r="F59" s="183">
        <v>14634</v>
      </c>
      <c r="G59" s="184">
        <v>21</v>
      </c>
      <c r="H59" s="158"/>
      <c r="I59" s="154"/>
      <c r="J59" s="154"/>
      <c r="K59" s="154"/>
      <c r="L59" s="154"/>
      <c r="M59" s="154"/>
      <c r="N59" s="154"/>
      <c r="O59" s="154"/>
      <c r="P59" s="154"/>
      <c r="Q59" s="154"/>
      <c r="R59" s="154"/>
      <c r="S59" s="154"/>
      <c r="T59" s="154"/>
      <c r="U59" s="154"/>
      <c r="V59" s="154"/>
      <c r="W59" s="154"/>
      <c r="X59" s="154"/>
      <c r="Y59" s="154"/>
      <c r="Z59" s="154"/>
      <c r="AA59" s="154"/>
    </row>
    <row r="60" spans="1:27" ht="15">
      <c r="A60" s="180">
        <v>45809</v>
      </c>
      <c r="B60" s="181" t="s">
        <v>12956</v>
      </c>
      <c r="C60" s="182" t="s">
        <v>61</v>
      </c>
      <c r="D60" s="182">
        <v>6626</v>
      </c>
      <c r="E60" s="183">
        <v>9</v>
      </c>
      <c r="F60" s="183">
        <v>641</v>
      </c>
      <c r="G60" s="184">
        <v>2</v>
      </c>
      <c r="H60" s="158"/>
      <c r="I60" s="154"/>
      <c r="J60" s="154"/>
      <c r="K60" s="154"/>
      <c r="L60" s="154"/>
      <c r="M60" s="154"/>
      <c r="N60" s="154"/>
      <c r="O60" s="154"/>
      <c r="P60" s="154"/>
      <c r="Q60" s="154"/>
      <c r="R60" s="154"/>
      <c r="S60" s="154"/>
      <c r="T60" s="154"/>
      <c r="U60" s="154"/>
      <c r="V60" s="154"/>
      <c r="W60" s="154"/>
      <c r="X60" s="154"/>
      <c r="Y60" s="154"/>
      <c r="Z60" s="154"/>
      <c r="AA60" s="154"/>
    </row>
    <row r="61" spans="1:27" ht="15">
      <c r="A61" s="180">
        <v>45810</v>
      </c>
      <c r="B61" s="181" t="s">
        <v>12969</v>
      </c>
      <c r="C61" s="182" t="s">
        <v>115</v>
      </c>
      <c r="D61" s="182">
        <v>104560</v>
      </c>
      <c r="E61" s="183">
        <v>222</v>
      </c>
      <c r="F61" s="183">
        <v>9467</v>
      </c>
      <c r="G61" s="184">
        <v>49</v>
      </c>
      <c r="H61" s="158"/>
      <c r="I61" s="154"/>
      <c r="J61" s="154"/>
      <c r="K61" s="154"/>
      <c r="L61" s="154"/>
      <c r="M61" s="154"/>
      <c r="N61" s="154"/>
      <c r="O61" s="154"/>
      <c r="P61" s="154"/>
      <c r="Q61" s="154"/>
      <c r="R61" s="154"/>
      <c r="S61" s="154"/>
      <c r="T61" s="154"/>
      <c r="U61" s="154"/>
      <c r="V61" s="154"/>
      <c r="W61" s="154"/>
      <c r="X61" s="154"/>
      <c r="Y61" s="154"/>
      <c r="Z61" s="154"/>
      <c r="AA61" s="154"/>
    </row>
    <row r="62" spans="1:27" ht="15">
      <c r="A62" s="180">
        <v>45810</v>
      </c>
      <c r="B62" s="181" t="s">
        <v>12970</v>
      </c>
      <c r="C62" s="182" t="s">
        <v>115</v>
      </c>
      <c r="D62" s="182">
        <v>72378</v>
      </c>
      <c r="E62" s="183">
        <v>119</v>
      </c>
      <c r="F62" s="183">
        <v>6278</v>
      </c>
      <c r="G62" s="184">
        <v>12</v>
      </c>
      <c r="H62" s="158"/>
      <c r="I62" s="154"/>
      <c r="J62" s="154"/>
      <c r="K62" s="154"/>
      <c r="L62" s="154"/>
      <c r="M62" s="154"/>
      <c r="N62" s="154"/>
      <c r="O62" s="154"/>
      <c r="P62" s="154"/>
      <c r="Q62" s="154"/>
      <c r="R62" s="154"/>
      <c r="S62" s="154"/>
      <c r="T62" s="154"/>
      <c r="U62" s="154"/>
      <c r="V62" s="154"/>
      <c r="W62" s="154"/>
      <c r="X62" s="154"/>
      <c r="Y62" s="154"/>
      <c r="Z62" s="154"/>
      <c r="AA62" s="154"/>
    </row>
    <row r="63" spans="1:27" ht="15">
      <c r="A63" s="180">
        <v>45810</v>
      </c>
      <c r="B63" s="181" t="s">
        <v>12971</v>
      </c>
      <c r="C63" s="182" t="s">
        <v>115</v>
      </c>
      <c r="D63" s="182">
        <v>44607</v>
      </c>
      <c r="E63" s="183">
        <v>78</v>
      </c>
      <c r="F63" s="183">
        <v>3533</v>
      </c>
      <c r="G63" s="184">
        <v>11</v>
      </c>
      <c r="H63" s="158"/>
      <c r="I63" s="154"/>
      <c r="J63" s="154"/>
      <c r="K63" s="154"/>
      <c r="L63" s="154"/>
      <c r="M63" s="154"/>
      <c r="N63" s="154"/>
      <c r="O63" s="154"/>
      <c r="P63" s="154"/>
      <c r="Q63" s="154"/>
      <c r="R63" s="154"/>
      <c r="S63" s="154"/>
      <c r="T63" s="154"/>
      <c r="U63" s="154"/>
      <c r="V63" s="154"/>
      <c r="W63" s="154"/>
      <c r="X63" s="154"/>
      <c r="Y63" s="154"/>
      <c r="Z63" s="154"/>
      <c r="AA63" s="154"/>
    </row>
    <row r="64" spans="1:27" ht="15">
      <c r="A64" s="180">
        <v>45810</v>
      </c>
      <c r="B64" s="181" t="s">
        <v>12963</v>
      </c>
      <c r="C64" s="182" t="s">
        <v>61</v>
      </c>
      <c r="D64" s="182">
        <v>53095</v>
      </c>
      <c r="E64" s="183">
        <v>68</v>
      </c>
      <c r="F64" s="183">
        <v>3917</v>
      </c>
      <c r="G64" s="184">
        <v>10</v>
      </c>
      <c r="H64" s="158"/>
      <c r="I64" s="154"/>
      <c r="J64" s="154"/>
      <c r="K64" s="154"/>
      <c r="L64" s="154"/>
      <c r="M64" s="154"/>
      <c r="N64" s="154"/>
      <c r="O64" s="154"/>
      <c r="P64" s="154"/>
      <c r="Q64" s="154"/>
      <c r="R64" s="154"/>
      <c r="S64" s="154"/>
      <c r="T64" s="154"/>
      <c r="U64" s="154"/>
      <c r="V64" s="154"/>
      <c r="W64" s="154"/>
      <c r="X64" s="154"/>
      <c r="Y64" s="154"/>
      <c r="Z64" s="154"/>
      <c r="AA64" s="154"/>
    </row>
    <row r="65" spans="1:27" ht="15">
      <c r="A65" s="180">
        <v>45810</v>
      </c>
      <c r="B65" s="181" t="s">
        <v>12964</v>
      </c>
      <c r="C65" s="182" t="s">
        <v>61</v>
      </c>
      <c r="D65" s="182">
        <v>36864</v>
      </c>
      <c r="E65" s="183">
        <v>56</v>
      </c>
      <c r="F65" s="183">
        <v>3379</v>
      </c>
      <c r="G65" s="184">
        <v>7</v>
      </c>
      <c r="H65" s="158"/>
      <c r="I65" s="154"/>
      <c r="J65" s="154"/>
      <c r="K65" s="154"/>
      <c r="L65" s="154"/>
      <c r="M65" s="154"/>
      <c r="N65" s="154"/>
      <c r="O65" s="154"/>
      <c r="P65" s="154"/>
      <c r="Q65" s="154"/>
      <c r="R65" s="154"/>
      <c r="S65" s="154"/>
      <c r="T65" s="154"/>
      <c r="U65" s="154"/>
      <c r="V65" s="154"/>
      <c r="W65" s="154"/>
      <c r="X65" s="154"/>
      <c r="Y65" s="154"/>
      <c r="Z65" s="154"/>
      <c r="AA65" s="154"/>
    </row>
    <row r="66" spans="1:27" ht="15">
      <c r="A66" s="180">
        <v>45810</v>
      </c>
      <c r="B66" s="181" t="s">
        <v>12965</v>
      </c>
      <c r="C66" s="182" t="s">
        <v>49</v>
      </c>
      <c r="D66" s="182">
        <v>42007</v>
      </c>
      <c r="E66" s="183">
        <v>36</v>
      </c>
      <c r="F66" s="183">
        <v>2440</v>
      </c>
      <c r="G66" s="184">
        <v>10</v>
      </c>
      <c r="H66" s="158"/>
      <c r="I66" s="154"/>
      <c r="J66" s="154"/>
      <c r="K66" s="154"/>
      <c r="L66" s="154"/>
      <c r="M66" s="154"/>
      <c r="N66" s="154"/>
      <c r="O66" s="154"/>
      <c r="P66" s="154"/>
      <c r="Q66" s="154"/>
      <c r="R66" s="154"/>
      <c r="S66" s="154"/>
      <c r="T66" s="154"/>
      <c r="U66" s="154"/>
      <c r="V66" s="154"/>
      <c r="W66" s="154"/>
      <c r="X66" s="154"/>
      <c r="Y66" s="154"/>
      <c r="Z66" s="154"/>
      <c r="AA66" s="154"/>
    </row>
    <row r="67" spans="1:27" ht="15">
      <c r="A67" s="180">
        <v>45810</v>
      </c>
      <c r="B67" s="181" t="s">
        <v>12966</v>
      </c>
      <c r="C67" s="182" t="s">
        <v>49</v>
      </c>
      <c r="D67" s="182">
        <v>42464</v>
      </c>
      <c r="E67" s="183">
        <v>83</v>
      </c>
      <c r="F67" s="183">
        <v>3435</v>
      </c>
      <c r="G67" s="184">
        <v>24</v>
      </c>
      <c r="H67" s="158"/>
      <c r="I67" s="154"/>
      <c r="J67" s="154"/>
      <c r="K67" s="154"/>
      <c r="L67" s="154"/>
      <c r="M67" s="154"/>
      <c r="N67" s="154"/>
      <c r="O67" s="154"/>
      <c r="P67" s="154"/>
      <c r="Q67" s="154"/>
      <c r="R67" s="154"/>
      <c r="S67" s="154"/>
      <c r="T67" s="154"/>
      <c r="U67" s="154"/>
      <c r="V67" s="154"/>
      <c r="W67" s="154"/>
      <c r="X67" s="154"/>
      <c r="Y67" s="154"/>
      <c r="Z67" s="154"/>
      <c r="AA67" s="154"/>
    </row>
    <row r="68" spans="1:27" ht="15">
      <c r="A68" s="180">
        <v>45810</v>
      </c>
      <c r="B68" s="181" t="s">
        <v>12967</v>
      </c>
      <c r="C68" s="182" t="s">
        <v>49</v>
      </c>
      <c r="D68" s="182">
        <v>128587</v>
      </c>
      <c r="E68" s="183">
        <v>297</v>
      </c>
      <c r="F68" s="183">
        <v>10523</v>
      </c>
      <c r="G68" s="184">
        <v>68</v>
      </c>
      <c r="H68" s="158"/>
      <c r="I68" s="154"/>
      <c r="J68" s="154"/>
      <c r="K68" s="154"/>
      <c r="L68" s="154"/>
      <c r="M68" s="154"/>
      <c r="N68" s="154"/>
      <c r="O68" s="154"/>
      <c r="P68" s="154"/>
      <c r="Q68" s="154"/>
      <c r="R68" s="154"/>
      <c r="S68" s="154"/>
      <c r="T68" s="154"/>
      <c r="U68" s="154"/>
      <c r="V68" s="154"/>
      <c r="W68" s="154"/>
      <c r="X68" s="154"/>
      <c r="Y68" s="154"/>
      <c r="Z68" s="154"/>
      <c r="AA68" s="154"/>
    </row>
    <row r="69" spans="1:27" ht="15">
      <c r="A69" s="180">
        <v>45810</v>
      </c>
      <c r="B69" s="181" t="s">
        <v>12968</v>
      </c>
      <c r="C69" s="182" t="s">
        <v>61</v>
      </c>
      <c r="D69" s="182">
        <v>39714</v>
      </c>
      <c r="E69" s="183">
        <v>59</v>
      </c>
      <c r="F69" s="183">
        <v>2131</v>
      </c>
      <c r="G69" s="184">
        <v>14</v>
      </c>
      <c r="H69" s="158"/>
      <c r="I69" s="154"/>
      <c r="J69" s="154"/>
      <c r="K69" s="154"/>
      <c r="L69" s="154"/>
      <c r="M69" s="154"/>
      <c r="N69" s="154"/>
      <c r="O69" s="154"/>
      <c r="P69" s="154"/>
      <c r="Q69" s="154"/>
      <c r="R69" s="154"/>
      <c r="S69" s="154"/>
      <c r="T69" s="154"/>
      <c r="U69" s="154"/>
      <c r="V69" s="154"/>
      <c r="W69" s="154"/>
      <c r="X69" s="154"/>
      <c r="Y69" s="154"/>
      <c r="Z69" s="154"/>
      <c r="AA69" s="154"/>
    </row>
    <row r="70" spans="1:27" ht="15">
      <c r="A70" s="180">
        <v>45811</v>
      </c>
      <c r="B70" s="181" t="s">
        <v>12969</v>
      </c>
      <c r="C70" s="182" t="s">
        <v>115</v>
      </c>
      <c r="D70" s="182">
        <v>58454</v>
      </c>
      <c r="E70" s="183">
        <v>157</v>
      </c>
      <c r="F70" s="183">
        <v>6844</v>
      </c>
      <c r="G70" s="184">
        <v>22</v>
      </c>
      <c r="H70" s="158"/>
      <c r="I70" s="154"/>
      <c r="J70" s="154"/>
      <c r="K70" s="154"/>
      <c r="L70" s="154"/>
      <c r="M70" s="154"/>
      <c r="N70" s="154"/>
      <c r="O70" s="154"/>
      <c r="P70" s="154"/>
      <c r="Q70" s="154"/>
      <c r="R70" s="154"/>
      <c r="S70" s="154"/>
      <c r="T70" s="154"/>
      <c r="U70" s="154"/>
      <c r="V70" s="154"/>
      <c r="W70" s="154"/>
      <c r="X70" s="154"/>
      <c r="Y70" s="154"/>
      <c r="Z70" s="154"/>
      <c r="AA70" s="154"/>
    </row>
    <row r="71" spans="1:27" ht="15">
      <c r="A71" s="180">
        <v>45811</v>
      </c>
      <c r="B71" s="181" t="s">
        <v>12970</v>
      </c>
      <c r="C71" s="182" t="s">
        <v>115</v>
      </c>
      <c r="D71" s="182">
        <v>67355</v>
      </c>
      <c r="E71" s="183">
        <v>116</v>
      </c>
      <c r="F71" s="183">
        <v>6328</v>
      </c>
      <c r="G71" s="184">
        <v>17</v>
      </c>
      <c r="H71" s="158"/>
      <c r="I71" s="154"/>
      <c r="J71" s="154"/>
      <c r="K71" s="154"/>
      <c r="L71" s="154"/>
      <c r="M71" s="154"/>
      <c r="N71" s="154"/>
      <c r="O71" s="154"/>
      <c r="P71" s="154"/>
      <c r="Q71" s="154"/>
      <c r="R71" s="154"/>
      <c r="S71" s="154"/>
      <c r="T71" s="154"/>
      <c r="U71" s="154"/>
      <c r="V71" s="154"/>
      <c r="W71" s="154"/>
      <c r="X71" s="154"/>
      <c r="Y71" s="154"/>
      <c r="Z71" s="154"/>
      <c r="AA71" s="154"/>
    </row>
    <row r="72" spans="1:27" ht="15">
      <c r="A72" s="180">
        <v>45811</v>
      </c>
      <c r="B72" s="181" t="s">
        <v>12971</v>
      </c>
      <c r="C72" s="182" t="s">
        <v>115</v>
      </c>
      <c r="D72" s="182">
        <v>40049</v>
      </c>
      <c r="E72" s="183">
        <v>82</v>
      </c>
      <c r="F72" s="183">
        <v>5163</v>
      </c>
      <c r="G72" s="184">
        <v>10</v>
      </c>
      <c r="H72" s="158"/>
      <c r="I72" s="154"/>
      <c r="J72" s="154"/>
      <c r="K72" s="154"/>
      <c r="L72" s="154"/>
      <c r="M72" s="154"/>
      <c r="N72" s="154"/>
      <c r="O72" s="154"/>
      <c r="P72" s="154"/>
      <c r="Q72" s="154"/>
      <c r="R72" s="154"/>
      <c r="S72" s="154"/>
      <c r="T72" s="154"/>
      <c r="U72" s="154"/>
      <c r="V72" s="154"/>
      <c r="W72" s="154"/>
      <c r="X72" s="154"/>
      <c r="Y72" s="154"/>
      <c r="Z72" s="154"/>
      <c r="AA72" s="154"/>
    </row>
    <row r="73" spans="1:27" ht="15">
      <c r="A73" s="180">
        <v>45811</v>
      </c>
      <c r="B73" s="181" t="s">
        <v>12963</v>
      </c>
      <c r="C73" s="182" t="s">
        <v>61</v>
      </c>
      <c r="D73" s="182">
        <v>56555</v>
      </c>
      <c r="E73" s="183">
        <v>102</v>
      </c>
      <c r="F73" s="183">
        <v>5173</v>
      </c>
      <c r="G73" s="184">
        <v>17</v>
      </c>
      <c r="H73" s="158"/>
      <c r="I73" s="154"/>
      <c r="J73" s="154"/>
      <c r="K73" s="154"/>
      <c r="L73" s="154"/>
      <c r="M73" s="154"/>
      <c r="N73" s="154"/>
      <c r="O73" s="154"/>
      <c r="P73" s="154"/>
      <c r="Q73" s="154"/>
      <c r="R73" s="154"/>
      <c r="S73" s="154"/>
      <c r="T73" s="154"/>
      <c r="U73" s="154"/>
      <c r="V73" s="154"/>
      <c r="W73" s="154"/>
      <c r="X73" s="154"/>
      <c r="Y73" s="154"/>
      <c r="Z73" s="154"/>
      <c r="AA73" s="154"/>
    </row>
    <row r="74" spans="1:27" ht="15">
      <c r="A74" s="180">
        <v>45811</v>
      </c>
      <c r="B74" s="181" t="s">
        <v>12964</v>
      </c>
      <c r="C74" s="182" t="s">
        <v>61</v>
      </c>
      <c r="D74" s="182">
        <v>27651</v>
      </c>
      <c r="E74" s="183">
        <v>65</v>
      </c>
      <c r="F74" s="183">
        <v>2482</v>
      </c>
      <c r="G74" s="184">
        <v>6</v>
      </c>
      <c r="H74" s="158"/>
      <c r="I74" s="154"/>
      <c r="J74" s="154"/>
      <c r="K74" s="154"/>
      <c r="L74" s="154"/>
      <c r="M74" s="154"/>
      <c r="N74" s="154"/>
      <c r="O74" s="154"/>
      <c r="P74" s="154"/>
      <c r="Q74" s="154"/>
      <c r="R74" s="154"/>
      <c r="S74" s="154"/>
      <c r="T74" s="154"/>
      <c r="U74" s="154"/>
      <c r="V74" s="154"/>
      <c r="W74" s="154"/>
      <c r="X74" s="154"/>
      <c r="Y74" s="154"/>
      <c r="Z74" s="154"/>
      <c r="AA74" s="154"/>
    </row>
    <row r="75" spans="1:27" ht="15">
      <c r="A75" s="180">
        <v>45811</v>
      </c>
      <c r="B75" s="181" t="s">
        <v>12965</v>
      </c>
      <c r="C75" s="182" t="s">
        <v>49</v>
      </c>
      <c r="D75" s="182">
        <v>10684</v>
      </c>
      <c r="E75" s="183">
        <v>16</v>
      </c>
      <c r="F75" s="183">
        <v>1008</v>
      </c>
      <c r="G75" s="184">
        <v>5</v>
      </c>
      <c r="H75" s="158"/>
      <c r="I75" s="154"/>
      <c r="J75" s="154"/>
      <c r="K75" s="154"/>
      <c r="L75" s="154"/>
      <c r="M75" s="154"/>
      <c r="N75" s="154"/>
      <c r="O75" s="154"/>
      <c r="P75" s="154"/>
      <c r="Q75" s="154"/>
      <c r="R75" s="154"/>
      <c r="S75" s="154"/>
      <c r="T75" s="154"/>
      <c r="U75" s="154"/>
      <c r="V75" s="154"/>
      <c r="W75" s="154"/>
      <c r="X75" s="154"/>
      <c r="Y75" s="154"/>
      <c r="Z75" s="154"/>
      <c r="AA75" s="154"/>
    </row>
    <row r="76" spans="1:27" ht="15">
      <c r="A76" s="180">
        <v>45811</v>
      </c>
      <c r="B76" s="181" t="s">
        <v>12966</v>
      </c>
      <c r="C76" s="182" t="s">
        <v>49</v>
      </c>
      <c r="D76" s="182">
        <v>11501</v>
      </c>
      <c r="E76" s="183">
        <v>19</v>
      </c>
      <c r="F76" s="183">
        <v>843</v>
      </c>
      <c r="G76" s="184">
        <v>5</v>
      </c>
      <c r="H76" s="158"/>
      <c r="I76" s="154"/>
      <c r="J76" s="154"/>
      <c r="K76" s="154"/>
      <c r="L76" s="154"/>
      <c r="M76" s="154"/>
      <c r="N76" s="154"/>
      <c r="O76" s="154"/>
      <c r="P76" s="154"/>
      <c r="Q76" s="154"/>
      <c r="R76" s="154"/>
      <c r="S76" s="154"/>
      <c r="T76" s="154"/>
      <c r="U76" s="154"/>
      <c r="V76" s="154"/>
      <c r="W76" s="154"/>
      <c r="X76" s="154"/>
      <c r="Y76" s="154"/>
      <c r="Z76" s="154"/>
      <c r="AA76" s="154"/>
    </row>
    <row r="77" spans="1:27" ht="15">
      <c r="A77" s="180">
        <v>45811</v>
      </c>
      <c r="B77" s="181" t="s">
        <v>12967</v>
      </c>
      <c r="C77" s="182" t="s">
        <v>49</v>
      </c>
      <c r="D77" s="182">
        <v>18286</v>
      </c>
      <c r="E77" s="183">
        <v>45</v>
      </c>
      <c r="F77" s="183">
        <v>1584</v>
      </c>
      <c r="G77" s="184">
        <v>13</v>
      </c>
      <c r="H77" s="158"/>
      <c r="I77" s="154"/>
      <c r="J77" s="154"/>
      <c r="K77" s="154"/>
      <c r="L77" s="154"/>
      <c r="M77" s="154"/>
      <c r="N77" s="154"/>
      <c r="O77" s="154"/>
      <c r="P77" s="154"/>
      <c r="Q77" s="154"/>
      <c r="R77" s="154"/>
      <c r="S77" s="154"/>
      <c r="T77" s="154"/>
      <c r="U77" s="154"/>
      <c r="V77" s="154"/>
      <c r="W77" s="154"/>
      <c r="X77" s="154"/>
      <c r="Y77" s="154"/>
      <c r="Z77" s="154"/>
      <c r="AA77" s="154"/>
    </row>
    <row r="78" spans="1:27" ht="15">
      <c r="A78" s="180">
        <v>45811</v>
      </c>
      <c r="B78" s="181" t="s">
        <v>12968</v>
      </c>
      <c r="C78" s="182" t="s">
        <v>61</v>
      </c>
      <c r="D78" s="182">
        <v>53278</v>
      </c>
      <c r="E78" s="183">
        <v>101</v>
      </c>
      <c r="F78" s="183">
        <v>3833</v>
      </c>
      <c r="G78" s="184">
        <v>17</v>
      </c>
      <c r="H78" s="158"/>
      <c r="I78" s="154"/>
      <c r="J78" s="154"/>
      <c r="K78" s="154"/>
      <c r="L78" s="154"/>
      <c r="M78" s="154"/>
      <c r="N78" s="154"/>
      <c r="O78" s="154"/>
      <c r="P78" s="154"/>
      <c r="Q78" s="154"/>
      <c r="R78" s="154"/>
      <c r="S78" s="154"/>
      <c r="T78" s="154"/>
      <c r="U78" s="154"/>
      <c r="V78" s="154"/>
      <c r="W78" s="154"/>
      <c r="X78" s="154"/>
      <c r="Y78" s="154"/>
      <c r="Z78" s="154"/>
      <c r="AA78" s="154"/>
    </row>
    <row r="79" spans="1:27" ht="15">
      <c r="A79" s="180">
        <v>45812</v>
      </c>
      <c r="B79" s="181" t="s">
        <v>12972</v>
      </c>
      <c r="C79" s="182" t="s">
        <v>12895</v>
      </c>
      <c r="D79" s="182">
        <v>21632</v>
      </c>
      <c r="E79" s="183">
        <v>36</v>
      </c>
      <c r="F79" s="183">
        <v>2089</v>
      </c>
      <c r="G79" s="184">
        <v>4</v>
      </c>
      <c r="H79" s="158"/>
      <c r="I79" s="154"/>
      <c r="J79" s="154"/>
      <c r="K79" s="154"/>
      <c r="L79" s="154"/>
      <c r="M79" s="154"/>
      <c r="N79" s="154"/>
      <c r="O79" s="154"/>
      <c r="P79" s="154"/>
      <c r="Q79" s="154"/>
      <c r="R79" s="154"/>
      <c r="S79" s="154"/>
      <c r="T79" s="154"/>
      <c r="U79" s="154"/>
      <c r="V79" s="154"/>
      <c r="W79" s="154"/>
      <c r="X79" s="154"/>
      <c r="Y79" s="154"/>
      <c r="Z79" s="154"/>
      <c r="AA79" s="154"/>
    </row>
    <row r="80" spans="1:27" ht="15">
      <c r="A80" s="180">
        <v>45812</v>
      </c>
      <c r="B80" s="181" t="s">
        <v>12973</v>
      </c>
      <c r="C80" s="182" t="s">
        <v>12895</v>
      </c>
      <c r="D80" s="182">
        <v>28214</v>
      </c>
      <c r="E80" s="183">
        <v>30</v>
      </c>
      <c r="F80" s="183">
        <v>2552</v>
      </c>
      <c r="G80" s="184">
        <v>6</v>
      </c>
      <c r="H80" s="158"/>
      <c r="I80" s="154"/>
      <c r="J80" s="154"/>
      <c r="K80" s="154"/>
      <c r="L80" s="154"/>
      <c r="M80" s="154"/>
      <c r="N80" s="154"/>
      <c r="O80" s="154"/>
      <c r="P80" s="154"/>
      <c r="Q80" s="154"/>
      <c r="R80" s="154"/>
      <c r="S80" s="154"/>
      <c r="T80" s="154"/>
      <c r="U80" s="154"/>
      <c r="V80" s="154"/>
      <c r="W80" s="154"/>
      <c r="X80" s="154"/>
      <c r="Y80" s="154"/>
      <c r="Z80" s="154"/>
      <c r="AA80" s="154"/>
    </row>
    <row r="81" spans="1:27" ht="15">
      <c r="A81" s="180">
        <v>45813</v>
      </c>
      <c r="B81" s="181" t="s">
        <v>12972</v>
      </c>
      <c r="C81" s="182" t="s">
        <v>12895</v>
      </c>
      <c r="D81" s="182">
        <v>23529</v>
      </c>
      <c r="E81" s="183">
        <v>37</v>
      </c>
      <c r="F81" s="183">
        <v>1390</v>
      </c>
      <c r="G81" s="184">
        <v>14</v>
      </c>
      <c r="H81" s="158"/>
      <c r="I81" s="154"/>
      <c r="J81" s="154"/>
      <c r="K81" s="154"/>
      <c r="L81" s="154"/>
      <c r="M81" s="154"/>
      <c r="N81" s="154"/>
      <c r="O81" s="154"/>
      <c r="P81" s="154"/>
      <c r="Q81" s="154"/>
      <c r="R81" s="154"/>
      <c r="S81" s="154"/>
      <c r="T81" s="154"/>
      <c r="U81" s="154"/>
      <c r="V81" s="154"/>
      <c r="W81" s="154"/>
      <c r="X81" s="154"/>
      <c r="Y81" s="154"/>
      <c r="Z81" s="154"/>
      <c r="AA81" s="154"/>
    </row>
    <row r="82" spans="1:27" ht="15">
      <c r="A82" s="180">
        <v>45813</v>
      </c>
      <c r="B82" s="181" t="s">
        <v>12973</v>
      </c>
      <c r="C82" s="182" t="s">
        <v>12895</v>
      </c>
      <c r="D82" s="182">
        <v>12526</v>
      </c>
      <c r="E82" s="183">
        <v>25</v>
      </c>
      <c r="F82" s="183">
        <v>1408</v>
      </c>
      <c r="G82" s="184">
        <v>2</v>
      </c>
      <c r="H82" s="158"/>
      <c r="I82" s="154"/>
      <c r="J82" s="154"/>
      <c r="K82" s="154"/>
      <c r="L82" s="154"/>
      <c r="M82" s="154"/>
      <c r="N82" s="154"/>
      <c r="O82" s="154"/>
      <c r="P82" s="154"/>
      <c r="Q82" s="154"/>
      <c r="R82" s="154"/>
      <c r="S82" s="154"/>
      <c r="T82" s="154"/>
      <c r="U82" s="154"/>
      <c r="V82" s="154"/>
      <c r="W82" s="154"/>
      <c r="X82" s="154"/>
      <c r="Y82" s="154"/>
      <c r="Z82" s="154"/>
      <c r="AA82" s="154"/>
    </row>
    <row r="83" spans="1:27" ht="15">
      <c r="A83" s="180">
        <v>45813</v>
      </c>
      <c r="B83" s="181" t="s">
        <v>12969</v>
      </c>
      <c r="C83" s="182" t="s">
        <v>115</v>
      </c>
      <c r="D83" s="182">
        <v>54735</v>
      </c>
      <c r="E83" s="183">
        <v>87</v>
      </c>
      <c r="F83" s="183">
        <v>6505</v>
      </c>
      <c r="G83" s="184">
        <v>18</v>
      </c>
      <c r="H83" s="158"/>
      <c r="I83" s="154"/>
      <c r="J83" s="154"/>
      <c r="K83" s="154"/>
      <c r="L83" s="154"/>
      <c r="M83" s="154"/>
      <c r="N83" s="154"/>
      <c r="O83" s="154"/>
      <c r="P83" s="154"/>
      <c r="Q83" s="154"/>
      <c r="R83" s="154"/>
      <c r="S83" s="154"/>
      <c r="T83" s="154"/>
      <c r="U83" s="154"/>
      <c r="V83" s="154"/>
      <c r="W83" s="154"/>
      <c r="X83" s="154"/>
      <c r="Y83" s="154"/>
      <c r="Z83" s="154"/>
      <c r="AA83" s="154"/>
    </row>
    <row r="84" spans="1:27" ht="15">
      <c r="A84" s="180">
        <v>45813</v>
      </c>
      <c r="B84" s="181" t="s">
        <v>12970</v>
      </c>
      <c r="C84" s="182" t="s">
        <v>115</v>
      </c>
      <c r="D84" s="182">
        <v>41948</v>
      </c>
      <c r="E84" s="183">
        <v>99</v>
      </c>
      <c r="F84" s="183">
        <v>6747</v>
      </c>
      <c r="G84" s="184">
        <v>17</v>
      </c>
      <c r="H84" s="158"/>
      <c r="I84" s="154"/>
      <c r="J84" s="154"/>
      <c r="K84" s="154"/>
      <c r="L84" s="154"/>
      <c r="M84" s="154"/>
      <c r="N84" s="154"/>
      <c r="O84" s="154"/>
      <c r="P84" s="154"/>
      <c r="Q84" s="154"/>
      <c r="R84" s="154"/>
      <c r="S84" s="154"/>
      <c r="T84" s="154"/>
      <c r="U84" s="154"/>
      <c r="V84" s="154"/>
      <c r="W84" s="154"/>
      <c r="X84" s="154"/>
      <c r="Y84" s="154"/>
      <c r="Z84" s="154"/>
      <c r="AA84" s="154"/>
    </row>
    <row r="85" spans="1:27" ht="15">
      <c r="A85" s="180">
        <v>45813</v>
      </c>
      <c r="B85" s="181" t="s">
        <v>12971</v>
      </c>
      <c r="C85" s="182" t="s">
        <v>115</v>
      </c>
      <c r="D85" s="182">
        <v>28667</v>
      </c>
      <c r="E85" s="183">
        <v>76</v>
      </c>
      <c r="F85" s="183">
        <v>5264</v>
      </c>
      <c r="G85" s="184">
        <v>15</v>
      </c>
      <c r="H85" s="158"/>
      <c r="I85" s="154"/>
      <c r="J85" s="154"/>
      <c r="K85" s="154"/>
      <c r="L85" s="154"/>
      <c r="M85" s="154"/>
      <c r="N85" s="154"/>
      <c r="O85" s="154"/>
      <c r="P85" s="154"/>
      <c r="Q85" s="154"/>
      <c r="R85" s="154"/>
      <c r="S85" s="154"/>
      <c r="T85" s="154"/>
      <c r="U85" s="154"/>
      <c r="V85" s="154"/>
      <c r="W85" s="154"/>
      <c r="X85" s="154"/>
      <c r="Y85" s="154"/>
      <c r="Z85" s="154"/>
      <c r="AA85" s="154"/>
    </row>
    <row r="86" spans="1:27" ht="15">
      <c r="A86" s="180">
        <v>45813</v>
      </c>
      <c r="B86" s="181" t="s">
        <v>12963</v>
      </c>
      <c r="C86" s="182" t="s">
        <v>61</v>
      </c>
      <c r="D86" s="182">
        <v>10058</v>
      </c>
      <c r="E86" s="183">
        <v>33</v>
      </c>
      <c r="F86" s="183">
        <v>1741</v>
      </c>
      <c r="G86" s="184">
        <v>1</v>
      </c>
      <c r="H86" s="158"/>
      <c r="I86" s="154"/>
      <c r="J86" s="154"/>
      <c r="K86" s="154"/>
      <c r="L86" s="154"/>
      <c r="M86" s="154"/>
      <c r="N86" s="154"/>
      <c r="O86" s="154"/>
      <c r="P86" s="154"/>
      <c r="Q86" s="154"/>
      <c r="R86" s="154"/>
      <c r="S86" s="154"/>
      <c r="T86" s="154"/>
      <c r="U86" s="154"/>
      <c r="V86" s="154"/>
      <c r="W86" s="154"/>
      <c r="X86" s="154"/>
      <c r="Y86" s="154"/>
      <c r="Z86" s="154"/>
      <c r="AA86" s="154"/>
    </row>
    <row r="87" spans="1:27" ht="15">
      <c r="A87" s="180">
        <v>45813</v>
      </c>
      <c r="B87" s="181" t="s">
        <v>12964</v>
      </c>
      <c r="C87" s="182" t="s">
        <v>61</v>
      </c>
      <c r="D87" s="182">
        <v>10925</v>
      </c>
      <c r="E87" s="183">
        <v>26</v>
      </c>
      <c r="F87" s="183">
        <v>1969</v>
      </c>
      <c r="G87" s="184">
        <v>3</v>
      </c>
      <c r="H87" s="158"/>
      <c r="I87" s="154"/>
      <c r="J87" s="154"/>
      <c r="K87" s="154"/>
      <c r="L87" s="154"/>
      <c r="M87" s="154"/>
      <c r="N87" s="154"/>
      <c r="O87" s="154"/>
      <c r="P87" s="154"/>
      <c r="Q87" s="154"/>
      <c r="R87" s="154"/>
      <c r="S87" s="154"/>
      <c r="T87" s="154"/>
      <c r="U87" s="154"/>
      <c r="V87" s="154"/>
      <c r="W87" s="154"/>
      <c r="X87" s="154"/>
      <c r="Y87" s="154"/>
      <c r="Z87" s="154"/>
      <c r="AA87" s="154"/>
    </row>
    <row r="88" spans="1:27" ht="15">
      <c r="A88" s="180">
        <v>45813</v>
      </c>
      <c r="B88" s="181" t="s">
        <v>12968</v>
      </c>
      <c r="C88" s="182" t="s">
        <v>61</v>
      </c>
      <c r="D88" s="182">
        <v>38742</v>
      </c>
      <c r="E88" s="183">
        <v>139</v>
      </c>
      <c r="F88" s="183">
        <v>8517</v>
      </c>
      <c r="G88" s="184">
        <v>21</v>
      </c>
      <c r="H88" s="158"/>
      <c r="I88" s="154"/>
      <c r="J88" s="154"/>
      <c r="K88" s="154"/>
      <c r="L88" s="154"/>
      <c r="M88" s="154"/>
      <c r="N88" s="154"/>
      <c r="O88" s="154"/>
      <c r="P88" s="154"/>
      <c r="Q88" s="154"/>
      <c r="R88" s="154"/>
      <c r="S88" s="154"/>
      <c r="T88" s="154"/>
      <c r="U88" s="154"/>
      <c r="V88" s="154"/>
      <c r="W88" s="154"/>
      <c r="X88" s="154"/>
      <c r="Y88" s="154"/>
      <c r="Z88" s="154"/>
      <c r="AA88" s="154"/>
    </row>
    <row r="89" spans="1:27" ht="15">
      <c r="A89" s="180">
        <v>45815</v>
      </c>
      <c r="B89" s="181" t="s">
        <v>12972</v>
      </c>
      <c r="C89" s="182" t="s">
        <v>12895</v>
      </c>
      <c r="D89" s="182">
        <v>10988</v>
      </c>
      <c r="E89" s="183">
        <v>11</v>
      </c>
      <c r="F89" s="183">
        <v>471</v>
      </c>
      <c r="G89" s="184">
        <v>2</v>
      </c>
      <c r="H89" s="158"/>
      <c r="I89" s="154"/>
      <c r="J89" s="154"/>
      <c r="K89" s="154"/>
      <c r="L89" s="154"/>
      <c r="M89" s="154"/>
      <c r="N89" s="154"/>
      <c r="O89" s="154"/>
      <c r="P89" s="154"/>
      <c r="Q89" s="154"/>
      <c r="R89" s="154"/>
      <c r="S89" s="154"/>
      <c r="T89" s="154"/>
      <c r="U89" s="154"/>
      <c r="V89" s="154"/>
      <c r="W89" s="154"/>
      <c r="X89" s="154"/>
      <c r="Y89" s="154"/>
      <c r="Z89" s="154"/>
      <c r="AA89" s="154"/>
    </row>
    <row r="90" spans="1:27" ht="15">
      <c r="A90" s="180">
        <v>45815</v>
      </c>
      <c r="B90" s="181" t="s">
        <v>12973</v>
      </c>
      <c r="C90" s="182" t="s">
        <v>12895</v>
      </c>
      <c r="D90" s="182">
        <v>6032</v>
      </c>
      <c r="E90" s="183">
        <v>7</v>
      </c>
      <c r="F90" s="183">
        <v>282</v>
      </c>
      <c r="G90" s="184">
        <v>1</v>
      </c>
      <c r="H90" s="158"/>
      <c r="I90" s="154"/>
      <c r="J90" s="154"/>
      <c r="K90" s="154"/>
      <c r="L90" s="154"/>
      <c r="M90" s="154"/>
      <c r="N90" s="154"/>
      <c r="O90" s="154"/>
      <c r="P90" s="154"/>
      <c r="Q90" s="154"/>
      <c r="R90" s="154"/>
      <c r="S90" s="154"/>
      <c r="T90" s="154"/>
      <c r="U90" s="154"/>
      <c r="V90" s="154"/>
      <c r="W90" s="154"/>
      <c r="X90" s="154"/>
      <c r="Y90" s="154"/>
      <c r="Z90" s="154"/>
      <c r="AA90" s="154"/>
    </row>
    <row r="91" spans="1:27" ht="15">
      <c r="A91" s="180">
        <v>45815</v>
      </c>
      <c r="B91" s="181" t="s">
        <v>12969</v>
      </c>
      <c r="C91" s="182" t="s">
        <v>115</v>
      </c>
      <c r="D91" s="182">
        <v>18803</v>
      </c>
      <c r="E91" s="183">
        <v>21</v>
      </c>
      <c r="F91" s="183">
        <v>950</v>
      </c>
      <c r="G91" s="184">
        <v>3</v>
      </c>
      <c r="H91" s="158"/>
      <c r="I91" s="154"/>
      <c r="J91" s="154"/>
      <c r="K91" s="154"/>
      <c r="L91" s="154"/>
      <c r="M91" s="154"/>
      <c r="N91" s="154"/>
      <c r="O91" s="154"/>
      <c r="P91" s="154"/>
      <c r="Q91" s="154"/>
      <c r="R91" s="154"/>
      <c r="S91" s="154"/>
      <c r="T91" s="154"/>
      <c r="U91" s="154"/>
      <c r="V91" s="154"/>
      <c r="W91" s="154"/>
      <c r="X91" s="154"/>
      <c r="Y91" s="154"/>
      <c r="Z91" s="154"/>
      <c r="AA91" s="154"/>
    </row>
    <row r="92" spans="1:27" ht="15">
      <c r="A92" s="180">
        <v>45815</v>
      </c>
      <c r="B92" s="181" t="s">
        <v>12970</v>
      </c>
      <c r="C92" s="182" t="s">
        <v>115</v>
      </c>
      <c r="D92" s="182">
        <v>24830</v>
      </c>
      <c r="E92" s="183">
        <v>42</v>
      </c>
      <c r="F92" s="183">
        <v>1767</v>
      </c>
      <c r="G92" s="184">
        <v>7</v>
      </c>
      <c r="H92" s="158"/>
      <c r="I92" s="154"/>
      <c r="J92" s="154"/>
      <c r="K92" s="154"/>
      <c r="L92" s="154"/>
      <c r="M92" s="154"/>
      <c r="N92" s="154"/>
      <c r="O92" s="154"/>
      <c r="P92" s="154"/>
      <c r="Q92" s="154"/>
      <c r="R92" s="154"/>
      <c r="S92" s="154"/>
      <c r="T92" s="154"/>
      <c r="U92" s="154"/>
      <c r="V92" s="154"/>
      <c r="W92" s="154"/>
      <c r="X92" s="154"/>
      <c r="Y92" s="154"/>
      <c r="Z92" s="154"/>
      <c r="AA92" s="154"/>
    </row>
    <row r="93" spans="1:27" ht="15">
      <c r="A93" s="180">
        <v>45815</v>
      </c>
      <c r="B93" s="181" t="s">
        <v>12971</v>
      </c>
      <c r="C93" s="182" t="s">
        <v>115</v>
      </c>
      <c r="D93" s="182">
        <v>37257</v>
      </c>
      <c r="E93" s="183">
        <v>32</v>
      </c>
      <c r="F93" s="183">
        <v>1737</v>
      </c>
      <c r="G93" s="184">
        <v>7</v>
      </c>
      <c r="H93" s="158"/>
      <c r="I93" s="154"/>
      <c r="J93" s="154"/>
      <c r="K93" s="154"/>
      <c r="L93" s="154"/>
      <c r="M93" s="154"/>
      <c r="N93" s="154"/>
      <c r="O93" s="154"/>
      <c r="P93" s="154"/>
      <c r="Q93" s="154"/>
      <c r="R93" s="154"/>
      <c r="S93" s="154"/>
      <c r="T93" s="154"/>
      <c r="U93" s="154"/>
      <c r="V93" s="154"/>
      <c r="W93" s="154"/>
      <c r="X93" s="154"/>
      <c r="Y93" s="154"/>
      <c r="Z93" s="154"/>
      <c r="AA93" s="154"/>
    </row>
    <row r="94" spans="1:27" ht="15">
      <c r="A94" s="180">
        <v>45815</v>
      </c>
      <c r="B94" s="181" t="s">
        <v>12963</v>
      </c>
      <c r="C94" s="182" t="s">
        <v>61</v>
      </c>
      <c r="D94" s="182">
        <v>3899</v>
      </c>
      <c r="E94" s="183">
        <v>8</v>
      </c>
      <c r="F94" s="183">
        <v>360</v>
      </c>
      <c r="G94" s="184">
        <v>1</v>
      </c>
      <c r="H94" s="158"/>
      <c r="I94" s="154"/>
      <c r="J94" s="154"/>
      <c r="K94" s="154"/>
      <c r="L94" s="154"/>
      <c r="M94" s="154"/>
      <c r="N94" s="154"/>
      <c r="O94" s="154"/>
      <c r="P94" s="154"/>
      <c r="Q94" s="154"/>
      <c r="R94" s="154"/>
      <c r="S94" s="154"/>
      <c r="T94" s="154"/>
      <c r="U94" s="154"/>
      <c r="V94" s="154"/>
      <c r="W94" s="154"/>
      <c r="X94" s="154"/>
      <c r="Y94" s="154"/>
      <c r="Z94" s="154"/>
      <c r="AA94" s="154"/>
    </row>
    <row r="95" spans="1:27" ht="15">
      <c r="A95" s="180">
        <v>45815</v>
      </c>
      <c r="B95" s="181" t="s">
        <v>12964</v>
      </c>
      <c r="C95" s="182" t="s">
        <v>61</v>
      </c>
      <c r="D95" s="182">
        <v>41110</v>
      </c>
      <c r="E95" s="183">
        <v>76</v>
      </c>
      <c r="F95" s="183">
        <v>3485</v>
      </c>
      <c r="G95" s="184">
        <v>19</v>
      </c>
      <c r="H95" s="158"/>
      <c r="I95" s="154"/>
      <c r="J95" s="154"/>
      <c r="K95" s="154"/>
      <c r="L95" s="154"/>
      <c r="M95" s="154"/>
      <c r="N95" s="154"/>
      <c r="O95" s="154"/>
      <c r="P95" s="154"/>
      <c r="Q95" s="154"/>
      <c r="R95" s="154"/>
      <c r="S95" s="154"/>
      <c r="T95" s="154"/>
      <c r="U95" s="154"/>
      <c r="V95" s="154"/>
      <c r="W95" s="154"/>
      <c r="X95" s="154"/>
      <c r="Y95" s="154"/>
      <c r="Z95" s="154"/>
      <c r="AA95" s="154"/>
    </row>
    <row r="96" spans="1:27" ht="15">
      <c r="A96" s="180">
        <v>45815</v>
      </c>
      <c r="B96" s="181" t="s">
        <v>12968</v>
      </c>
      <c r="C96" s="182" t="s">
        <v>61</v>
      </c>
      <c r="D96" s="182">
        <v>10988</v>
      </c>
      <c r="E96" s="183">
        <v>16</v>
      </c>
      <c r="F96" s="183">
        <v>723</v>
      </c>
      <c r="G96" s="184">
        <v>1</v>
      </c>
      <c r="H96" s="158"/>
      <c r="I96" s="154"/>
      <c r="J96" s="154"/>
      <c r="K96" s="154"/>
      <c r="L96" s="154"/>
      <c r="M96" s="154"/>
      <c r="N96" s="154"/>
      <c r="O96" s="154"/>
      <c r="P96" s="154"/>
      <c r="Q96" s="154"/>
      <c r="R96" s="154"/>
      <c r="S96" s="154"/>
      <c r="T96" s="154"/>
      <c r="U96" s="154"/>
      <c r="V96" s="154"/>
      <c r="W96" s="154"/>
      <c r="X96" s="154"/>
      <c r="Y96" s="154"/>
      <c r="Z96" s="154"/>
      <c r="AA96" s="154"/>
    </row>
    <row r="97" spans="1:27" ht="15">
      <c r="A97" s="180">
        <v>45815</v>
      </c>
      <c r="B97" s="181" t="s">
        <v>12951</v>
      </c>
      <c r="C97" s="182" t="s">
        <v>115</v>
      </c>
      <c r="D97" s="182">
        <v>11330</v>
      </c>
      <c r="E97" s="183">
        <v>8</v>
      </c>
      <c r="F97" s="183">
        <v>602</v>
      </c>
      <c r="G97" s="184">
        <v>3</v>
      </c>
      <c r="H97" s="158"/>
      <c r="I97" s="154"/>
      <c r="J97" s="154"/>
      <c r="K97" s="154"/>
      <c r="L97" s="154"/>
      <c r="M97" s="154"/>
      <c r="N97" s="154"/>
      <c r="O97" s="154"/>
      <c r="P97" s="154"/>
      <c r="Q97" s="154"/>
      <c r="R97" s="154"/>
      <c r="S97" s="154"/>
      <c r="T97" s="154"/>
      <c r="U97" s="154"/>
      <c r="V97" s="154"/>
      <c r="W97" s="154"/>
      <c r="X97" s="154"/>
      <c r="Y97" s="154"/>
      <c r="Z97" s="154"/>
      <c r="AA97" s="154"/>
    </row>
    <row r="98" spans="1:27" ht="15">
      <c r="A98" s="180">
        <v>45816</v>
      </c>
      <c r="B98" s="181" t="s">
        <v>12972</v>
      </c>
      <c r="C98" s="182" t="s">
        <v>12895</v>
      </c>
      <c r="D98" s="182">
        <v>18057</v>
      </c>
      <c r="E98" s="183">
        <v>11</v>
      </c>
      <c r="F98" s="183">
        <v>955</v>
      </c>
      <c r="G98" s="184">
        <v>0</v>
      </c>
      <c r="H98" s="158"/>
      <c r="I98" s="154"/>
      <c r="J98" s="154"/>
      <c r="K98" s="154"/>
      <c r="L98" s="154"/>
      <c r="M98" s="154"/>
      <c r="N98" s="154"/>
      <c r="O98" s="154"/>
      <c r="P98" s="154"/>
      <c r="Q98" s="154"/>
      <c r="R98" s="154"/>
      <c r="S98" s="154"/>
      <c r="T98" s="154"/>
      <c r="U98" s="154"/>
      <c r="V98" s="154"/>
      <c r="W98" s="154"/>
      <c r="X98" s="154"/>
      <c r="Y98" s="154"/>
      <c r="Z98" s="154"/>
      <c r="AA98" s="154"/>
    </row>
    <row r="99" spans="1:27" ht="15">
      <c r="A99" s="180">
        <v>45816</v>
      </c>
      <c r="B99" s="181" t="s">
        <v>12973</v>
      </c>
      <c r="C99" s="182" t="s">
        <v>12895</v>
      </c>
      <c r="D99" s="182">
        <v>33293</v>
      </c>
      <c r="E99" s="183">
        <v>46</v>
      </c>
      <c r="F99" s="183">
        <v>1931</v>
      </c>
      <c r="G99" s="184">
        <v>13</v>
      </c>
      <c r="H99" s="158"/>
      <c r="I99" s="154"/>
      <c r="J99" s="154"/>
      <c r="K99" s="154"/>
      <c r="L99" s="154"/>
      <c r="M99" s="154"/>
      <c r="N99" s="154"/>
      <c r="O99" s="154"/>
      <c r="P99" s="154"/>
      <c r="Q99" s="154"/>
      <c r="R99" s="154"/>
      <c r="S99" s="154"/>
      <c r="T99" s="154"/>
      <c r="U99" s="154"/>
      <c r="V99" s="154"/>
      <c r="W99" s="154"/>
      <c r="X99" s="154"/>
      <c r="Y99" s="154"/>
      <c r="Z99" s="154"/>
      <c r="AA99" s="154"/>
    </row>
    <row r="100" spans="1:27" ht="15">
      <c r="A100" s="180">
        <v>45816</v>
      </c>
      <c r="B100" s="181" t="s">
        <v>12969</v>
      </c>
      <c r="C100" s="182" t="s">
        <v>115</v>
      </c>
      <c r="D100" s="182">
        <v>30831</v>
      </c>
      <c r="E100" s="183">
        <v>43</v>
      </c>
      <c r="F100" s="183">
        <v>2423</v>
      </c>
      <c r="G100" s="184">
        <v>6</v>
      </c>
      <c r="H100" s="158"/>
      <c r="I100" s="154"/>
      <c r="J100" s="154"/>
      <c r="K100" s="154"/>
      <c r="L100" s="154"/>
      <c r="M100" s="154"/>
      <c r="N100" s="154"/>
      <c r="O100" s="154"/>
      <c r="P100" s="154"/>
      <c r="Q100" s="154"/>
      <c r="R100" s="154"/>
      <c r="S100" s="154"/>
      <c r="T100" s="154"/>
      <c r="U100" s="154"/>
      <c r="V100" s="154"/>
      <c r="W100" s="154"/>
      <c r="X100" s="154"/>
      <c r="Y100" s="154"/>
      <c r="Z100" s="154"/>
      <c r="AA100" s="154"/>
    </row>
    <row r="101" spans="1:27" ht="15">
      <c r="A101" s="180">
        <v>45816</v>
      </c>
      <c r="B101" s="181" t="s">
        <v>12970</v>
      </c>
      <c r="C101" s="182" t="s">
        <v>115</v>
      </c>
      <c r="D101" s="182">
        <v>29902</v>
      </c>
      <c r="E101" s="183">
        <v>66</v>
      </c>
      <c r="F101" s="183">
        <v>2333</v>
      </c>
      <c r="G101" s="184">
        <v>8</v>
      </c>
      <c r="H101" s="158"/>
      <c r="I101" s="154"/>
      <c r="J101" s="154"/>
      <c r="K101" s="154"/>
      <c r="L101" s="154"/>
      <c r="M101" s="154"/>
      <c r="N101" s="154"/>
      <c r="O101" s="154"/>
      <c r="P101" s="154"/>
      <c r="Q101" s="154"/>
      <c r="R101" s="154"/>
      <c r="S101" s="154"/>
      <c r="T101" s="154"/>
      <c r="U101" s="154"/>
      <c r="V101" s="154"/>
      <c r="W101" s="154"/>
      <c r="X101" s="154"/>
      <c r="Y101" s="154"/>
      <c r="Z101" s="154"/>
      <c r="AA101" s="154"/>
    </row>
    <row r="102" spans="1:27" ht="15">
      <c r="A102" s="180">
        <v>45816</v>
      </c>
      <c r="B102" s="181" t="s">
        <v>12971</v>
      </c>
      <c r="C102" s="182" t="s">
        <v>115</v>
      </c>
      <c r="D102" s="182">
        <v>19633</v>
      </c>
      <c r="E102" s="183">
        <v>28</v>
      </c>
      <c r="F102" s="183">
        <v>1319</v>
      </c>
      <c r="G102" s="184">
        <v>3</v>
      </c>
      <c r="H102" s="158"/>
      <c r="I102" s="154"/>
      <c r="J102" s="154"/>
      <c r="K102" s="154"/>
      <c r="L102" s="154"/>
      <c r="M102" s="154"/>
      <c r="N102" s="154"/>
      <c r="O102" s="154"/>
      <c r="P102" s="154"/>
      <c r="Q102" s="154"/>
      <c r="R102" s="154"/>
      <c r="S102" s="154"/>
      <c r="T102" s="154"/>
      <c r="U102" s="154"/>
      <c r="V102" s="154"/>
      <c r="W102" s="154"/>
      <c r="X102" s="154"/>
      <c r="Y102" s="154"/>
      <c r="Z102" s="154"/>
      <c r="AA102" s="154"/>
    </row>
    <row r="103" spans="1:27" ht="15">
      <c r="A103" s="180">
        <v>45816</v>
      </c>
      <c r="B103" s="181" t="s">
        <v>12965</v>
      </c>
      <c r="C103" s="182" t="s">
        <v>49</v>
      </c>
      <c r="D103" s="182">
        <v>31904</v>
      </c>
      <c r="E103" s="183">
        <v>51</v>
      </c>
      <c r="F103" s="183">
        <v>3034</v>
      </c>
      <c r="G103" s="184">
        <v>7</v>
      </c>
      <c r="H103" s="158"/>
      <c r="I103" s="154"/>
      <c r="J103" s="154"/>
      <c r="K103" s="154"/>
      <c r="L103" s="154"/>
      <c r="M103" s="154"/>
      <c r="N103" s="154"/>
      <c r="O103" s="154"/>
      <c r="P103" s="154"/>
      <c r="Q103" s="154"/>
      <c r="R103" s="154"/>
      <c r="S103" s="154"/>
      <c r="T103" s="154"/>
      <c r="U103" s="154"/>
      <c r="V103" s="154"/>
      <c r="W103" s="154"/>
      <c r="X103" s="154"/>
      <c r="Y103" s="154"/>
      <c r="Z103" s="154"/>
      <c r="AA103" s="154"/>
    </row>
    <row r="104" spans="1:27" ht="15">
      <c r="A104" s="180">
        <v>45816</v>
      </c>
      <c r="B104" s="181" t="s">
        <v>12966</v>
      </c>
      <c r="C104" s="182" t="s">
        <v>49</v>
      </c>
      <c r="D104" s="182">
        <v>69417</v>
      </c>
      <c r="E104" s="183">
        <v>128</v>
      </c>
      <c r="F104" s="183">
        <v>7048</v>
      </c>
      <c r="G104" s="184">
        <v>26</v>
      </c>
      <c r="H104" s="158"/>
      <c r="I104" s="154"/>
      <c r="J104" s="154"/>
      <c r="K104" s="154"/>
      <c r="L104" s="154"/>
      <c r="M104" s="154"/>
      <c r="N104" s="154"/>
      <c r="O104" s="154"/>
      <c r="P104" s="154"/>
      <c r="Q104" s="154"/>
      <c r="R104" s="154"/>
      <c r="S104" s="154"/>
      <c r="T104" s="154"/>
      <c r="U104" s="154"/>
      <c r="V104" s="154"/>
      <c r="W104" s="154"/>
      <c r="X104" s="154"/>
      <c r="Y104" s="154"/>
      <c r="Z104" s="154"/>
      <c r="AA104" s="154"/>
    </row>
    <row r="105" spans="1:27" ht="15">
      <c r="A105" s="180">
        <v>45816</v>
      </c>
      <c r="B105" s="181" t="s">
        <v>12967</v>
      </c>
      <c r="C105" s="182" t="s">
        <v>49</v>
      </c>
      <c r="D105" s="182">
        <v>139813</v>
      </c>
      <c r="E105" s="183">
        <v>246</v>
      </c>
      <c r="F105" s="183">
        <v>12302</v>
      </c>
      <c r="G105" s="184">
        <v>33</v>
      </c>
      <c r="H105" s="158"/>
      <c r="I105" s="154"/>
      <c r="J105" s="154"/>
      <c r="K105" s="154"/>
      <c r="L105" s="154"/>
      <c r="M105" s="154"/>
      <c r="N105" s="154"/>
      <c r="O105" s="154"/>
      <c r="P105" s="154"/>
      <c r="Q105" s="154"/>
      <c r="R105" s="154"/>
      <c r="S105" s="154"/>
      <c r="T105" s="154"/>
      <c r="U105" s="154"/>
      <c r="V105" s="154"/>
      <c r="W105" s="154"/>
      <c r="X105" s="154"/>
      <c r="Y105" s="154"/>
      <c r="Z105" s="154"/>
      <c r="AA105" s="154"/>
    </row>
    <row r="106" spans="1:27" ht="15">
      <c r="A106" s="180">
        <v>45817</v>
      </c>
      <c r="B106" s="181" t="s">
        <v>12974</v>
      </c>
      <c r="C106" s="182" t="s">
        <v>12895</v>
      </c>
      <c r="D106" s="182">
        <v>565</v>
      </c>
      <c r="E106" s="183">
        <v>0</v>
      </c>
      <c r="F106" s="183">
        <v>3</v>
      </c>
      <c r="G106" s="184">
        <v>0</v>
      </c>
      <c r="H106" s="158"/>
      <c r="I106" s="154"/>
      <c r="J106" s="154"/>
      <c r="K106" s="154"/>
      <c r="L106" s="154"/>
      <c r="M106" s="154"/>
      <c r="N106" s="154"/>
      <c r="O106" s="154"/>
      <c r="P106" s="154"/>
      <c r="Q106" s="154"/>
      <c r="R106" s="154"/>
      <c r="S106" s="154"/>
      <c r="T106" s="154"/>
      <c r="U106" s="154"/>
      <c r="V106" s="154"/>
      <c r="W106" s="154"/>
      <c r="X106" s="154"/>
      <c r="Y106" s="154"/>
      <c r="Z106" s="154"/>
      <c r="AA106" s="154"/>
    </row>
    <row r="107" spans="1:27" ht="15">
      <c r="A107" s="180">
        <v>45817</v>
      </c>
      <c r="B107" s="181" t="s">
        <v>12973</v>
      </c>
      <c r="C107" s="182" t="s">
        <v>12895</v>
      </c>
      <c r="D107" s="182">
        <v>4232</v>
      </c>
      <c r="E107" s="183">
        <v>8</v>
      </c>
      <c r="F107" s="183">
        <v>419</v>
      </c>
      <c r="G107" s="184">
        <v>0</v>
      </c>
      <c r="H107" s="158"/>
      <c r="I107" s="154"/>
      <c r="J107" s="154"/>
      <c r="K107" s="154"/>
      <c r="L107" s="154"/>
      <c r="M107" s="154"/>
      <c r="N107" s="154"/>
      <c r="O107" s="154"/>
      <c r="P107" s="154"/>
      <c r="Q107" s="154"/>
      <c r="R107" s="154"/>
      <c r="S107" s="154"/>
      <c r="T107" s="154"/>
      <c r="U107" s="154"/>
      <c r="V107" s="154"/>
      <c r="W107" s="154"/>
      <c r="X107" s="154"/>
      <c r="Y107" s="154"/>
      <c r="Z107" s="154"/>
      <c r="AA107" s="154"/>
    </row>
    <row r="108" spans="1:27" ht="15">
      <c r="A108" s="180">
        <v>45817</v>
      </c>
      <c r="B108" s="181" t="s">
        <v>12969</v>
      </c>
      <c r="C108" s="182" t="s">
        <v>115</v>
      </c>
      <c r="D108" s="182">
        <v>33730</v>
      </c>
      <c r="E108" s="183">
        <v>58</v>
      </c>
      <c r="F108" s="183">
        <v>2919</v>
      </c>
      <c r="G108" s="184">
        <v>16</v>
      </c>
      <c r="H108" s="158"/>
      <c r="I108" s="154"/>
      <c r="J108" s="154"/>
      <c r="K108" s="154"/>
      <c r="L108" s="154"/>
      <c r="M108" s="154"/>
      <c r="N108" s="154"/>
      <c r="O108" s="154"/>
      <c r="P108" s="154"/>
      <c r="Q108" s="154"/>
      <c r="R108" s="154"/>
      <c r="S108" s="154"/>
      <c r="T108" s="154"/>
      <c r="U108" s="154"/>
      <c r="V108" s="154"/>
      <c r="W108" s="154"/>
      <c r="X108" s="154"/>
      <c r="Y108" s="154"/>
      <c r="Z108" s="154"/>
      <c r="AA108" s="154"/>
    </row>
    <row r="109" spans="1:27" ht="15">
      <c r="A109" s="180">
        <v>45817</v>
      </c>
      <c r="B109" s="181" t="s">
        <v>12970</v>
      </c>
      <c r="C109" s="182" t="s">
        <v>115</v>
      </c>
      <c r="D109" s="182">
        <v>65291</v>
      </c>
      <c r="E109" s="183">
        <v>129</v>
      </c>
      <c r="F109" s="183">
        <v>4121</v>
      </c>
      <c r="G109" s="184">
        <v>24</v>
      </c>
      <c r="H109" s="158"/>
      <c r="I109" s="154"/>
      <c r="J109" s="154"/>
      <c r="K109" s="154"/>
      <c r="L109" s="154"/>
      <c r="M109" s="154"/>
      <c r="N109" s="154"/>
      <c r="O109" s="154"/>
      <c r="P109" s="154"/>
      <c r="Q109" s="154"/>
      <c r="R109" s="154"/>
      <c r="S109" s="154"/>
      <c r="T109" s="154"/>
      <c r="U109" s="154"/>
      <c r="V109" s="154"/>
      <c r="W109" s="154"/>
      <c r="X109" s="154"/>
      <c r="Y109" s="154"/>
      <c r="Z109" s="154"/>
      <c r="AA109" s="154"/>
    </row>
    <row r="110" spans="1:27" ht="15">
      <c r="A110" s="180">
        <v>45817</v>
      </c>
      <c r="B110" s="181" t="s">
        <v>12971</v>
      </c>
      <c r="C110" s="182" t="s">
        <v>115</v>
      </c>
      <c r="D110" s="182">
        <v>62914</v>
      </c>
      <c r="E110" s="183">
        <v>90</v>
      </c>
      <c r="F110" s="183">
        <v>4921</v>
      </c>
      <c r="G110" s="184">
        <v>22</v>
      </c>
      <c r="H110" s="158"/>
      <c r="I110" s="154"/>
      <c r="J110" s="154"/>
      <c r="K110" s="154"/>
      <c r="L110" s="154"/>
      <c r="M110" s="154"/>
      <c r="N110" s="154"/>
      <c r="O110" s="154"/>
      <c r="P110" s="154"/>
      <c r="Q110" s="154"/>
      <c r="R110" s="154"/>
      <c r="S110" s="154"/>
      <c r="T110" s="154"/>
      <c r="U110" s="154"/>
      <c r="V110" s="154"/>
      <c r="W110" s="154"/>
      <c r="X110" s="154"/>
      <c r="Y110" s="154"/>
      <c r="Z110" s="154"/>
      <c r="AA110" s="154"/>
    </row>
    <row r="111" spans="1:27" ht="15">
      <c r="A111" s="180">
        <v>45817</v>
      </c>
      <c r="B111" s="181" t="s">
        <v>12963</v>
      </c>
      <c r="C111" s="182" t="s">
        <v>61</v>
      </c>
      <c r="D111" s="182">
        <v>41438</v>
      </c>
      <c r="E111" s="183">
        <v>86</v>
      </c>
      <c r="F111" s="183">
        <v>3525</v>
      </c>
      <c r="G111" s="184">
        <v>19</v>
      </c>
      <c r="H111" s="158"/>
      <c r="I111" s="154"/>
      <c r="J111" s="154"/>
      <c r="K111" s="154"/>
      <c r="L111" s="154"/>
      <c r="M111" s="154"/>
      <c r="N111" s="154"/>
      <c r="O111" s="154"/>
      <c r="P111" s="154"/>
      <c r="Q111" s="154"/>
      <c r="R111" s="154"/>
      <c r="S111" s="154"/>
      <c r="T111" s="154"/>
      <c r="U111" s="154"/>
      <c r="V111" s="154"/>
      <c r="W111" s="154"/>
      <c r="X111" s="154"/>
      <c r="Y111" s="154"/>
      <c r="Z111" s="154"/>
      <c r="AA111" s="154"/>
    </row>
    <row r="112" spans="1:27" ht="15">
      <c r="A112" s="180">
        <v>45817</v>
      </c>
      <c r="B112" s="181" t="s">
        <v>12964</v>
      </c>
      <c r="C112" s="182" t="s">
        <v>61</v>
      </c>
      <c r="D112" s="182">
        <v>14137</v>
      </c>
      <c r="E112" s="183">
        <v>32</v>
      </c>
      <c r="F112" s="183">
        <v>1000</v>
      </c>
      <c r="G112" s="184">
        <v>3</v>
      </c>
      <c r="H112" s="158"/>
      <c r="I112" s="154"/>
      <c r="J112" s="154"/>
      <c r="K112" s="154"/>
      <c r="L112" s="154"/>
      <c r="M112" s="154"/>
      <c r="N112" s="154"/>
      <c r="O112" s="154"/>
      <c r="P112" s="154"/>
      <c r="Q112" s="154"/>
      <c r="R112" s="154"/>
      <c r="S112" s="154"/>
      <c r="T112" s="154"/>
      <c r="U112" s="154"/>
      <c r="V112" s="154"/>
      <c r="W112" s="154"/>
      <c r="X112" s="154"/>
      <c r="Y112" s="154"/>
      <c r="Z112" s="154"/>
      <c r="AA112" s="154"/>
    </row>
    <row r="113" spans="1:27" ht="15">
      <c r="A113" s="180">
        <v>45817</v>
      </c>
      <c r="B113" s="181" t="s">
        <v>12965</v>
      </c>
      <c r="C113" s="182" t="s">
        <v>49</v>
      </c>
      <c r="D113" s="182">
        <v>22020</v>
      </c>
      <c r="E113" s="183">
        <v>51</v>
      </c>
      <c r="F113" s="183">
        <v>2281</v>
      </c>
      <c r="G113" s="184">
        <v>13</v>
      </c>
      <c r="H113" s="158"/>
      <c r="I113" s="154"/>
      <c r="J113" s="154"/>
      <c r="K113" s="154"/>
      <c r="L113" s="154"/>
      <c r="M113" s="154"/>
      <c r="N113" s="154"/>
      <c r="O113" s="154"/>
      <c r="P113" s="154"/>
      <c r="Q113" s="154"/>
      <c r="R113" s="154"/>
      <c r="S113" s="154"/>
      <c r="T113" s="154"/>
      <c r="U113" s="154"/>
      <c r="V113" s="154"/>
      <c r="W113" s="154"/>
      <c r="X113" s="154"/>
      <c r="Y113" s="154"/>
      <c r="Z113" s="154"/>
      <c r="AA113" s="154"/>
    </row>
    <row r="114" spans="1:27" ht="15">
      <c r="A114" s="180">
        <v>45817</v>
      </c>
      <c r="B114" s="181" t="s">
        <v>12966</v>
      </c>
      <c r="C114" s="182" t="s">
        <v>49</v>
      </c>
      <c r="D114" s="182">
        <v>56665</v>
      </c>
      <c r="E114" s="183">
        <v>150</v>
      </c>
      <c r="F114" s="183">
        <v>7116</v>
      </c>
      <c r="G114" s="184">
        <v>17</v>
      </c>
      <c r="H114" s="158"/>
      <c r="I114" s="154"/>
      <c r="J114" s="154"/>
      <c r="K114" s="154"/>
      <c r="L114" s="154"/>
      <c r="M114" s="154"/>
      <c r="N114" s="154"/>
      <c r="O114" s="154"/>
      <c r="P114" s="154"/>
      <c r="Q114" s="154"/>
      <c r="R114" s="154"/>
      <c r="S114" s="154"/>
      <c r="T114" s="154"/>
      <c r="U114" s="154"/>
      <c r="V114" s="154"/>
      <c r="W114" s="154"/>
      <c r="X114" s="154"/>
      <c r="Y114" s="154"/>
      <c r="Z114" s="154"/>
      <c r="AA114" s="154"/>
    </row>
    <row r="115" spans="1:27" ht="15">
      <c r="A115" s="180">
        <v>45817</v>
      </c>
      <c r="B115" s="181" t="s">
        <v>12967</v>
      </c>
      <c r="C115" s="182" t="s">
        <v>49</v>
      </c>
      <c r="D115" s="182">
        <v>165864</v>
      </c>
      <c r="E115" s="183">
        <v>278</v>
      </c>
      <c r="F115" s="183">
        <v>19861</v>
      </c>
      <c r="G115" s="184">
        <v>41</v>
      </c>
      <c r="H115" s="158"/>
      <c r="I115" s="154"/>
      <c r="J115" s="154"/>
      <c r="K115" s="154"/>
      <c r="L115" s="154"/>
      <c r="M115" s="154"/>
      <c r="N115" s="154"/>
      <c r="O115" s="154"/>
      <c r="P115" s="154"/>
      <c r="Q115" s="154"/>
      <c r="R115" s="154"/>
      <c r="S115" s="154"/>
      <c r="T115" s="154"/>
      <c r="U115" s="154"/>
      <c r="V115" s="154"/>
      <c r="W115" s="154"/>
      <c r="X115" s="154"/>
      <c r="Y115" s="154"/>
      <c r="Z115" s="154"/>
      <c r="AA115" s="154"/>
    </row>
    <row r="116" spans="1:27" ht="15">
      <c r="A116" s="180">
        <v>45817</v>
      </c>
      <c r="B116" s="181" t="s">
        <v>12968</v>
      </c>
      <c r="C116" s="182" t="s">
        <v>61</v>
      </c>
      <c r="D116" s="182">
        <v>59199</v>
      </c>
      <c r="E116" s="183">
        <v>50</v>
      </c>
      <c r="F116" s="183">
        <v>3289</v>
      </c>
      <c r="G116" s="184">
        <v>11</v>
      </c>
      <c r="H116" s="158"/>
      <c r="I116" s="154"/>
      <c r="J116" s="154"/>
      <c r="K116" s="154"/>
      <c r="L116" s="154"/>
      <c r="M116" s="154"/>
      <c r="N116" s="154"/>
      <c r="O116" s="154"/>
      <c r="P116" s="154"/>
      <c r="Q116" s="154"/>
      <c r="R116" s="154"/>
      <c r="S116" s="154"/>
      <c r="T116" s="154"/>
      <c r="U116" s="154"/>
      <c r="V116" s="154"/>
      <c r="W116" s="154"/>
      <c r="X116" s="154"/>
      <c r="Y116" s="154"/>
      <c r="Z116" s="154"/>
      <c r="AA116" s="154"/>
    </row>
    <row r="117" spans="1:27" ht="15">
      <c r="A117" s="180">
        <v>45817</v>
      </c>
      <c r="B117" s="181" t="s">
        <v>12947</v>
      </c>
      <c r="C117" s="182" t="s">
        <v>115</v>
      </c>
      <c r="D117" s="182">
        <v>5206</v>
      </c>
      <c r="E117" s="183">
        <v>2</v>
      </c>
      <c r="F117" s="183">
        <v>218</v>
      </c>
      <c r="G117" s="184">
        <v>0</v>
      </c>
      <c r="H117" s="158"/>
      <c r="I117" s="154"/>
      <c r="J117" s="154"/>
      <c r="K117" s="154"/>
      <c r="L117" s="154"/>
      <c r="M117" s="154"/>
      <c r="N117" s="154"/>
      <c r="O117" s="154"/>
      <c r="P117" s="154"/>
      <c r="Q117" s="154"/>
      <c r="R117" s="154"/>
      <c r="S117" s="154"/>
      <c r="T117" s="154"/>
      <c r="U117" s="154"/>
      <c r="V117" s="154"/>
      <c r="W117" s="154"/>
      <c r="X117" s="154"/>
      <c r="Y117" s="154"/>
      <c r="Z117" s="154"/>
      <c r="AA117" s="154"/>
    </row>
    <row r="118" spans="1:27" ht="15">
      <c r="A118" s="180">
        <v>45817</v>
      </c>
      <c r="B118" s="181" t="s">
        <v>12953</v>
      </c>
      <c r="C118" s="182" t="s">
        <v>61</v>
      </c>
      <c r="D118" s="182">
        <v>32028</v>
      </c>
      <c r="E118" s="183">
        <v>105</v>
      </c>
      <c r="F118" s="183">
        <v>6423</v>
      </c>
      <c r="G118" s="184">
        <v>6</v>
      </c>
      <c r="H118" s="158"/>
      <c r="I118" s="154"/>
      <c r="J118" s="154"/>
      <c r="K118" s="154"/>
      <c r="L118" s="154"/>
      <c r="M118" s="154"/>
      <c r="N118" s="154"/>
      <c r="O118" s="154"/>
      <c r="P118" s="154"/>
      <c r="Q118" s="154"/>
      <c r="R118" s="154"/>
      <c r="S118" s="154"/>
      <c r="T118" s="154"/>
      <c r="U118" s="154"/>
      <c r="V118" s="154"/>
      <c r="W118" s="154"/>
      <c r="X118" s="154"/>
      <c r="Y118" s="154"/>
      <c r="Z118" s="154"/>
      <c r="AA118" s="154"/>
    </row>
    <row r="119" spans="1:27" ht="15">
      <c r="A119" s="180">
        <v>45817</v>
      </c>
      <c r="B119" s="181" t="s">
        <v>12954</v>
      </c>
      <c r="C119" s="182" t="s">
        <v>61</v>
      </c>
      <c r="D119" s="182">
        <v>5562</v>
      </c>
      <c r="E119" s="183">
        <v>18</v>
      </c>
      <c r="F119" s="183">
        <v>1980</v>
      </c>
      <c r="G119" s="184">
        <v>0</v>
      </c>
      <c r="H119" s="158"/>
      <c r="I119" s="154"/>
      <c r="J119" s="154"/>
      <c r="K119" s="154"/>
      <c r="L119" s="154"/>
      <c r="M119" s="154"/>
      <c r="N119" s="154"/>
      <c r="O119" s="154"/>
      <c r="P119" s="154"/>
      <c r="Q119" s="154"/>
      <c r="R119" s="154"/>
      <c r="S119" s="154"/>
      <c r="T119" s="154"/>
      <c r="U119" s="154"/>
      <c r="V119" s="154"/>
      <c r="W119" s="154"/>
      <c r="X119" s="154"/>
      <c r="Y119" s="154"/>
      <c r="Z119" s="154"/>
      <c r="AA119" s="154"/>
    </row>
    <row r="120" spans="1:27" ht="15">
      <c r="A120" s="180">
        <v>45817</v>
      </c>
      <c r="B120" s="181" t="s">
        <v>12955</v>
      </c>
      <c r="C120" s="182" t="s">
        <v>49</v>
      </c>
      <c r="D120" s="182">
        <v>9072</v>
      </c>
      <c r="E120" s="183">
        <v>17</v>
      </c>
      <c r="F120" s="183">
        <v>546</v>
      </c>
      <c r="G120" s="184">
        <v>3</v>
      </c>
      <c r="H120" s="158"/>
      <c r="I120" s="154"/>
      <c r="J120" s="154"/>
      <c r="K120" s="154"/>
      <c r="L120" s="154"/>
      <c r="M120" s="154"/>
      <c r="N120" s="154"/>
      <c r="O120" s="154"/>
      <c r="P120" s="154"/>
      <c r="Q120" s="154"/>
      <c r="R120" s="154"/>
      <c r="S120" s="154"/>
      <c r="T120" s="154"/>
      <c r="U120" s="154"/>
      <c r="V120" s="154"/>
      <c r="W120" s="154"/>
      <c r="X120" s="154"/>
      <c r="Y120" s="154"/>
      <c r="Z120" s="154"/>
      <c r="AA120" s="154"/>
    </row>
    <row r="121" spans="1:27" ht="15">
      <c r="A121" s="180">
        <v>45817</v>
      </c>
      <c r="B121" s="181" t="s">
        <v>12956</v>
      </c>
      <c r="C121" s="182" t="s">
        <v>61</v>
      </c>
      <c r="D121" s="182">
        <v>3305</v>
      </c>
      <c r="E121" s="183">
        <v>0</v>
      </c>
      <c r="F121" s="183">
        <v>176</v>
      </c>
      <c r="G121" s="184">
        <v>0</v>
      </c>
      <c r="H121" s="158"/>
      <c r="I121" s="154"/>
      <c r="J121" s="154"/>
      <c r="K121" s="154"/>
      <c r="L121" s="154"/>
      <c r="M121" s="154"/>
      <c r="N121" s="154"/>
      <c r="O121" s="154"/>
      <c r="P121" s="154"/>
      <c r="Q121" s="154"/>
      <c r="R121" s="154"/>
      <c r="S121" s="154"/>
      <c r="T121" s="154"/>
      <c r="U121" s="154"/>
      <c r="V121" s="154"/>
      <c r="W121" s="154"/>
      <c r="X121" s="154"/>
      <c r="Y121" s="154"/>
      <c r="Z121" s="154"/>
      <c r="AA121" s="154"/>
    </row>
    <row r="122" spans="1:27" ht="15">
      <c r="A122" s="180">
        <v>45818</v>
      </c>
      <c r="B122" s="181" t="s">
        <v>12969</v>
      </c>
      <c r="C122" s="182" t="s">
        <v>115</v>
      </c>
      <c r="D122" s="182">
        <v>70405</v>
      </c>
      <c r="E122" s="183">
        <v>121</v>
      </c>
      <c r="F122" s="183">
        <v>5701</v>
      </c>
      <c r="G122" s="184">
        <v>31</v>
      </c>
      <c r="H122" s="158"/>
      <c r="I122" s="154"/>
      <c r="J122" s="154"/>
      <c r="K122" s="154"/>
      <c r="L122" s="154"/>
      <c r="M122" s="154"/>
      <c r="N122" s="154"/>
      <c r="O122" s="154"/>
      <c r="P122" s="154"/>
      <c r="Q122" s="154"/>
      <c r="R122" s="154"/>
      <c r="S122" s="154"/>
      <c r="T122" s="154"/>
      <c r="U122" s="154"/>
      <c r="V122" s="154"/>
      <c r="W122" s="154"/>
      <c r="X122" s="154"/>
      <c r="Y122" s="154"/>
      <c r="Z122" s="154"/>
      <c r="AA122" s="154"/>
    </row>
    <row r="123" spans="1:27" ht="15">
      <c r="A123" s="180">
        <v>45818</v>
      </c>
      <c r="B123" s="181" t="s">
        <v>12970</v>
      </c>
      <c r="C123" s="182" t="s">
        <v>115</v>
      </c>
      <c r="D123" s="182">
        <v>37163</v>
      </c>
      <c r="E123" s="183">
        <v>49</v>
      </c>
      <c r="F123" s="183">
        <v>2746</v>
      </c>
      <c r="G123" s="184">
        <v>11</v>
      </c>
      <c r="H123" s="158"/>
      <c r="I123" s="154"/>
      <c r="J123" s="154"/>
      <c r="K123" s="154"/>
      <c r="L123" s="154"/>
      <c r="M123" s="154"/>
      <c r="N123" s="154"/>
      <c r="O123" s="154"/>
      <c r="P123" s="154"/>
      <c r="Q123" s="154"/>
      <c r="R123" s="154"/>
      <c r="S123" s="154"/>
      <c r="T123" s="154"/>
      <c r="U123" s="154"/>
      <c r="V123" s="154"/>
      <c r="W123" s="154"/>
      <c r="X123" s="154"/>
      <c r="Y123" s="154"/>
      <c r="Z123" s="154"/>
      <c r="AA123" s="154"/>
    </row>
    <row r="124" spans="1:27" ht="15">
      <c r="A124" s="180">
        <v>45818</v>
      </c>
      <c r="B124" s="181" t="s">
        <v>12971</v>
      </c>
      <c r="C124" s="182" t="s">
        <v>115</v>
      </c>
      <c r="D124" s="182">
        <v>64912</v>
      </c>
      <c r="E124" s="183">
        <v>88</v>
      </c>
      <c r="F124" s="183">
        <v>5620</v>
      </c>
      <c r="G124" s="184">
        <v>13</v>
      </c>
      <c r="H124" s="158"/>
      <c r="I124" s="154"/>
      <c r="J124" s="154"/>
      <c r="K124" s="154"/>
      <c r="L124" s="154"/>
      <c r="M124" s="154"/>
      <c r="N124" s="154"/>
      <c r="O124" s="154"/>
      <c r="P124" s="154"/>
      <c r="Q124" s="154"/>
      <c r="R124" s="154"/>
      <c r="S124" s="154"/>
      <c r="T124" s="154"/>
      <c r="U124" s="154"/>
      <c r="V124" s="154"/>
      <c r="W124" s="154"/>
      <c r="X124" s="154"/>
      <c r="Y124" s="154"/>
      <c r="Z124" s="154"/>
      <c r="AA124" s="154"/>
    </row>
    <row r="125" spans="1:27" ht="15">
      <c r="A125" s="180">
        <v>45818</v>
      </c>
      <c r="B125" s="181" t="s">
        <v>12963</v>
      </c>
      <c r="C125" s="182" t="s">
        <v>61</v>
      </c>
      <c r="D125" s="182">
        <v>30081</v>
      </c>
      <c r="E125" s="183">
        <v>48</v>
      </c>
      <c r="F125" s="183">
        <v>2887</v>
      </c>
      <c r="G125" s="184">
        <v>5</v>
      </c>
      <c r="H125" s="158"/>
      <c r="I125" s="154"/>
      <c r="J125" s="154"/>
      <c r="K125" s="154"/>
      <c r="L125" s="154"/>
      <c r="M125" s="154"/>
      <c r="N125" s="154"/>
      <c r="O125" s="154"/>
      <c r="P125" s="154"/>
      <c r="Q125" s="154"/>
      <c r="R125" s="154"/>
      <c r="S125" s="154"/>
      <c r="T125" s="154"/>
      <c r="U125" s="154"/>
      <c r="V125" s="154"/>
      <c r="W125" s="154"/>
      <c r="X125" s="154"/>
      <c r="Y125" s="154"/>
      <c r="Z125" s="154"/>
      <c r="AA125" s="154"/>
    </row>
    <row r="126" spans="1:27" ht="15">
      <c r="A126" s="180">
        <v>45818</v>
      </c>
      <c r="B126" s="181" t="s">
        <v>12964</v>
      </c>
      <c r="C126" s="182" t="s">
        <v>61</v>
      </c>
      <c r="D126" s="182">
        <v>47826</v>
      </c>
      <c r="E126" s="183">
        <v>58</v>
      </c>
      <c r="F126" s="183">
        <v>2440</v>
      </c>
      <c r="G126" s="184">
        <v>14</v>
      </c>
      <c r="H126" s="158"/>
      <c r="I126" s="154"/>
      <c r="J126" s="154"/>
      <c r="K126" s="154"/>
      <c r="L126" s="154"/>
      <c r="M126" s="154"/>
      <c r="N126" s="154"/>
      <c r="O126" s="154"/>
      <c r="P126" s="154"/>
      <c r="Q126" s="154"/>
      <c r="R126" s="154"/>
      <c r="S126" s="154"/>
      <c r="T126" s="154"/>
      <c r="U126" s="154"/>
      <c r="V126" s="154"/>
      <c r="W126" s="154"/>
      <c r="X126" s="154"/>
      <c r="Y126" s="154"/>
      <c r="Z126" s="154"/>
      <c r="AA126" s="154"/>
    </row>
    <row r="127" spans="1:27" ht="15">
      <c r="A127" s="180">
        <v>45818</v>
      </c>
      <c r="B127" s="181" t="s">
        <v>12965</v>
      </c>
      <c r="C127" s="182" t="s">
        <v>49</v>
      </c>
      <c r="D127" s="182">
        <v>18705</v>
      </c>
      <c r="E127" s="183">
        <v>40</v>
      </c>
      <c r="F127" s="183">
        <v>1346</v>
      </c>
      <c r="G127" s="184">
        <v>1</v>
      </c>
      <c r="H127" s="158"/>
      <c r="I127" s="154"/>
      <c r="J127" s="154"/>
      <c r="K127" s="154"/>
      <c r="L127" s="154"/>
      <c r="M127" s="154"/>
      <c r="N127" s="154"/>
      <c r="O127" s="154"/>
      <c r="P127" s="154"/>
      <c r="Q127" s="154"/>
      <c r="R127" s="154"/>
      <c r="S127" s="154"/>
      <c r="T127" s="154"/>
      <c r="U127" s="154"/>
      <c r="V127" s="154"/>
      <c r="W127" s="154"/>
      <c r="X127" s="154"/>
      <c r="Y127" s="154"/>
      <c r="Z127" s="154"/>
      <c r="AA127" s="154"/>
    </row>
    <row r="128" spans="1:27" ht="15">
      <c r="A128" s="180">
        <v>45818</v>
      </c>
      <c r="B128" s="181" t="s">
        <v>12966</v>
      </c>
      <c r="C128" s="182" t="s">
        <v>49</v>
      </c>
      <c r="D128" s="182">
        <v>56238</v>
      </c>
      <c r="E128" s="183">
        <v>84</v>
      </c>
      <c r="F128" s="183">
        <v>3460</v>
      </c>
      <c r="G128" s="184">
        <v>11</v>
      </c>
      <c r="H128" s="158"/>
      <c r="I128" s="154"/>
      <c r="J128" s="154"/>
      <c r="K128" s="154"/>
      <c r="L128" s="154"/>
      <c r="M128" s="154"/>
      <c r="N128" s="154"/>
      <c r="O128" s="154"/>
      <c r="P128" s="154"/>
      <c r="Q128" s="154"/>
      <c r="R128" s="154"/>
      <c r="S128" s="154"/>
      <c r="T128" s="154"/>
      <c r="U128" s="154"/>
      <c r="V128" s="154"/>
      <c r="W128" s="154"/>
      <c r="X128" s="154"/>
      <c r="Y128" s="154"/>
      <c r="Z128" s="154"/>
      <c r="AA128" s="154"/>
    </row>
    <row r="129" spans="1:27" ht="15">
      <c r="A129" s="180">
        <v>45818</v>
      </c>
      <c r="B129" s="181" t="s">
        <v>12967</v>
      </c>
      <c r="C129" s="182" t="s">
        <v>49</v>
      </c>
      <c r="D129" s="182">
        <v>30947</v>
      </c>
      <c r="E129" s="183">
        <v>38</v>
      </c>
      <c r="F129" s="183">
        <v>3086</v>
      </c>
      <c r="G129" s="184">
        <v>4</v>
      </c>
      <c r="H129" s="158"/>
      <c r="I129" s="154"/>
      <c r="J129" s="154"/>
      <c r="K129" s="154"/>
      <c r="L129" s="154"/>
      <c r="M129" s="154"/>
      <c r="N129" s="154"/>
      <c r="O129" s="154"/>
      <c r="P129" s="154"/>
      <c r="Q129" s="154"/>
      <c r="R129" s="154"/>
      <c r="S129" s="154"/>
      <c r="T129" s="154"/>
      <c r="U129" s="154"/>
      <c r="V129" s="154"/>
      <c r="W129" s="154"/>
      <c r="X129" s="154"/>
      <c r="Y129" s="154"/>
      <c r="Z129" s="154"/>
      <c r="AA129" s="154"/>
    </row>
    <row r="130" spans="1:27" ht="15">
      <c r="A130" s="180">
        <v>45818</v>
      </c>
      <c r="B130" s="181" t="s">
        <v>12968</v>
      </c>
      <c r="C130" s="182" t="s">
        <v>61</v>
      </c>
      <c r="D130" s="182">
        <v>159462</v>
      </c>
      <c r="E130" s="183">
        <v>268</v>
      </c>
      <c r="F130" s="183">
        <v>15161</v>
      </c>
      <c r="G130" s="184">
        <v>41</v>
      </c>
      <c r="H130" s="158"/>
      <c r="I130" s="154"/>
      <c r="J130" s="154"/>
      <c r="K130" s="154"/>
      <c r="L130" s="154"/>
      <c r="M130" s="154"/>
      <c r="N130" s="154"/>
      <c r="O130" s="154"/>
      <c r="P130" s="154"/>
      <c r="Q130" s="154"/>
      <c r="R130" s="154"/>
      <c r="S130" s="154"/>
      <c r="T130" s="154"/>
      <c r="U130" s="154"/>
      <c r="V130" s="154"/>
      <c r="W130" s="154"/>
      <c r="X130" s="154"/>
      <c r="Y130" s="154"/>
      <c r="Z130" s="154"/>
      <c r="AA130" s="154"/>
    </row>
    <row r="131" spans="1:27" ht="15">
      <c r="A131" s="180">
        <v>45819</v>
      </c>
      <c r="B131" s="181" t="s">
        <v>12975</v>
      </c>
      <c r="C131" s="182" t="s">
        <v>752</v>
      </c>
      <c r="D131" s="182">
        <v>12411</v>
      </c>
      <c r="E131" s="183">
        <v>14</v>
      </c>
      <c r="F131" s="183">
        <v>919</v>
      </c>
      <c r="G131" s="184">
        <v>4</v>
      </c>
      <c r="H131" s="158"/>
      <c r="I131" s="154"/>
      <c r="J131" s="154"/>
      <c r="K131" s="154"/>
      <c r="L131" s="154"/>
      <c r="M131" s="154"/>
      <c r="N131" s="154"/>
      <c r="O131" s="154"/>
      <c r="P131" s="154"/>
      <c r="Q131" s="154"/>
      <c r="R131" s="154"/>
      <c r="S131" s="154"/>
      <c r="T131" s="154"/>
      <c r="U131" s="154"/>
      <c r="V131" s="154"/>
      <c r="W131" s="154"/>
      <c r="X131" s="154"/>
      <c r="Y131" s="154"/>
      <c r="Z131" s="154"/>
      <c r="AA131" s="154"/>
    </row>
    <row r="132" spans="1:27" ht="15">
      <c r="A132" s="180">
        <v>45819</v>
      </c>
      <c r="B132" s="181" t="s">
        <v>12969</v>
      </c>
      <c r="C132" s="182" t="s">
        <v>115</v>
      </c>
      <c r="D132" s="182">
        <v>15163</v>
      </c>
      <c r="E132" s="183">
        <v>32</v>
      </c>
      <c r="F132" s="183">
        <v>1375</v>
      </c>
      <c r="G132" s="184">
        <v>4</v>
      </c>
      <c r="H132" s="158"/>
      <c r="I132" s="154"/>
      <c r="J132" s="154"/>
      <c r="K132" s="154"/>
      <c r="L132" s="154"/>
      <c r="M132" s="154"/>
      <c r="N132" s="154"/>
      <c r="O132" s="154"/>
      <c r="P132" s="154"/>
      <c r="Q132" s="154"/>
      <c r="R132" s="154"/>
      <c r="S132" s="154"/>
      <c r="T132" s="154"/>
      <c r="U132" s="154"/>
      <c r="V132" s="154"/>
      <c r="W132" s="154"/>
      <c r="X132" s="154"/>
      <c r="Y132" s="154"/>
      <c r="Z132" s="154"/>
      <c r="AA132" s="154"/>
    </row>
    <row r="133" spans="1:27" ht="15">
      <c r="A133" s="180">
        <v>45819</v>
      </c>
      <c r="B133" s="181" t="s">
        <v>12970</v>
      </c>
      <c r="C133" s="182" t="s">
        <v>115</v>
      </c>
      <c r="D133" s="182">
        <v>100399</v>
      </c>
      <c r="E133" s="183">
        <v>177</v>
      </c>
      <c r="F133" s="183">
        <v>9636</v>
      </c>
      <c r="G133" s="184">
        <v>38</v>
      </c>
      <c r="H133" s="158"/>
      <c r="I133" s="154"/>
      <c r="J133" s="154"/>
      <c r="K133" s="154"/>
      <c r="L133" s="154"/>
      <c r="M133" s="154"/>
      <c r="N133" s="154"/>
      <c r="O133" s="154"/>
      <c r="P133" s="154"/>
      <c r="Q133" s="154"/>
      <c r="R133" s="154"/>
      <c r="S133" s="154"/>
      <c r="T133" s="154"/>
      <c r="U133" s="154"/>
      <c r="V133" s="154"/>
      <c r="W133" s="154"/>
      <c r="X133" s="154"/>
      <c r="Y133" s="154"/>
      <c r="Z133" s="154"/>
      <c r="AA133" s="154"/>
    </row>
    <row r="134" spans="1:27" ht="15">
      <c r="A134" s="180">
        <v>45819</v>
      </c>
      <c r="B134" s="181" t="s">
        <v>12963</v>
      </c>
      <c r="C134" s="182" t="s">
        <v>61</v>
      </c>
      <c r="D134" s="182">
        <v>70735</v>
      </c>
      <c r="E134" s="183">
        <v>128</v>
      </c>
      <c r="F134" s="183">
        <v>4899</v>
      </c>
      <c r="G134" s="184">
        <v>28</v>
      </c>
      <c r="H134" s="158"/>
      <c r="I134" s="154"/>
      <c r="J134" s="154"/>
      <c r="K134" s="154"/>
      <c r="L134" s="154"/>
      <c r="M134" s="154"/>
      <c r="N134" s="154"/>
      <c r="O134" s="154"/>
      <c r="P134" s="154"/>
      <c r="Q134" s="154"/>
      <c r="R134" s="154"/>
      <c r="S134" s="154"/>
      <c r="T134" s="154"/>
      <c r="U134" s="154"/>
      <c r="V134" s="154"/>
      <c r="W134" s="154"/>
      <c r="X134" s="154"/>
      <c r="Y134" s="154"/>
      <c r="Z134" s="154"/>
      <c r="AA134" s="154"/>
    </row>
    <row r="135" spans="1:27" ht="15">
      <c r="A135" s="180">
        <v>45819</v>
      </c>
      <c r="B135" s="181" t="s">
        <v>12964</v>
      </c>
      <c r="C135" s="182" t="s">
        <v>61</v>
      </c>
      <c r="D135" s="182">
        <v>34692</v>
      </c>
      <c r="E135" s="183">
        <v>52</v>
      </c>
      <c r="F135" s="183">
        <v>2053</v>
      </c>
      <c r="G135" s="184">
        <v>7</v>
      </c>
      <c r="H135" s="158"/>
      <c r="I135" s="154"/>
      <c r="J135" s="154"/>
      <c r="K135" s="154"/>
      <c r="L135" s="154"/>
      <c r="M135" s="154"/>
      <c r="N135" s="154"/>
      <c r="O135" s="154"/>
      <c r="P135" s="154"/>
      <c r="Q135" s="154"/>
      <c r="R135" s="154"/>
      <c r="S135" s="154"/>
      <c r="T135" s="154"/>
      <c r="U135" s="154"/>
      <c r="V135" s="154"/>
      <c r="W135" s="154"/>
      <c r="X135" s="154"/>
      <c r="Y135" s="154"/>
      <c r="Z135" s="154"/>
      <c r="AA135" s="154"/>
    </row>
    <row r="136" spans="1:27" ht="15">
      <c r="A136" s="180">
        <v>45819</v>
      </c>
      <c r="B136" s="181" t="s">
        <v>12965</v>
      </c>
      <c r="C136" s="182" t="s">
        <v>49</v>
      </c>
      <c r="D136" s="182">
        <v>17</v>
      </c>
      <c r="E136" s="183">
        <v>0</v>
      </c>
      <c r="F136" s="183">
        <v>2</v>
      </c>
      <c r="G136" s="184">
        <v>0</v>
      </c>
      <c r="H136" s="158"/>
      <c r="I136" s="154"/>
      <c r="J136" s="154"/>
      <c r="K136" s="154"/>
      <c r="L136" s="154"/>
      <c r="M136" s="154"/>
      <c r="N136" s="154"/>
      <c r="O136" s="154"/>
      <c r="P136" s="154"/>
      <c r="Q136" s="154"/>
      <c r="R136" s="154"/>
      <c r="S136" s="154"/>
      <c r="T136" s="154"/>
      <c r="U136" s="154"/>
      <c r="V136" s="154"/>
      <c r="W136" s="154"/>
      <c r="X136" s="154"/>
      <c r="Y136" s="154"/>
      <c r="Z136" s="154"/>
      <c r="AA136" s="154"/>
    </row>
    <row r="137" spans="1:27" ht="15">
      <c r="A137" s="180">
        <v>45819</v>
      </c>
      <c r="B137" s="181" t="s">
        <v>12966</v>
      </c>
      <c r="C137" s="182" t="s">
        <v>49</v>
      </c>
      <c r="D137" s="182">
        <v>56778</v>
      </c>
      <c r="E137" s="183">
        <v>114</v>
      </c>
      <c r="F137" s="183">
        <v>5241</v>
      </c>
      <c r="G137" s="184">
        <v>17</v>
      </c>
      <c r="H137" s="158"/>
      <c r="I137" s="154"/>
      <c r="J137" s="154"/>
      <c r="K137" s="154"/>
      <c r="L137" s="154"/>
      <c r="M137" s="154"/>
      <c r="N137" s="154"/>
      <c r="O137" s="154"/>
      <c r="P137" s="154"/>
      <c r="Q137" s="154"/>
      <c r="R137" s="154"/>
      <c r="S137" s="154"/>
      <c r="T137" s="154"/>
      <c r="U137" s="154"/>
      <c r="V137" s="154"/>
      <c r="W137" s="154"/>
      <c r="X137" s="154"/>
      <c r="Y137" s="154"/>
      <c r="Z137" s="154"/>
      <c r="AA137" s="154"/>
    </row>
    <row r="138" spans="1:27" ht="15">
      <c r="A138" s="180">
        <v>45819</v>
      </c>
      <c r="B138" s="181" t="s">
        <v>12967</v>
      </c>
      <c r="C138" s="182" t="s">
        <v>49</v>
      </c>
      <c r="D138" s="182">
        <v>10</v>
      </c>
      <c r="E138" s="183">
        <v>0</v>
      </c>
      <c r="F138" s="183">
        <v>4</v>
      </c>
      <c r="G138" s="184">
        <v>0</v>
      </c>
      <c r="H138" s="158"/>
      <c r="I138" s="154"/>
      <c r="J138" s="154"/>
      <c r="K138" s="154"/>
      <c r="L138" s="154"/>
      <c r="M138" s="154"/>
      <c r="N138" s="154"/>
      <c r="O138" s="154"/>
      <c r="P138" s="154"/>
      <c r="Q138" s="154"/>
      <c r="R138" s="154"/>
      <c r="S138" s="154"/>
      <c r="T138" s="154"/>
      <c r="U138" s="154"/>
      <c r="V138" s="154"/>
      <c r="W138" s="154"/>
      <c r="X138" s="154"/>
      <c r="Y138" s="154"/>
      <c r="Z138" s="154"/>
      <c r="AA138" s="154"/>
    </row>
    <row r="139" spans="1:27" ht="15">
      <c r="A139" s="180">
        <v>45819</v>
      </c>
      <c r="B139" s="181" t="s">
        <v>12968</v>
      </c>
      <c r="C139" s="182" t="s">
        <v>61</v>
      </c>
      <c r="D139" s="182">
        <v>36429</v>
      </c>
      <c r="E139" s="183">
        <v>81</v>
      </c>
      <c r="F139" s="183">
        <v>2620</v>
      </c>
      <c r="G139" s="184">
        <v>15</v>
      </c>
      <c r="H139" s="158"/>
      <c r="I139" s="154"/>
      <c r="J139" s="154"/>
      <c r="K139" s="154"/>
      <c r="L139" s="154"/>
      <c r="M139" s="154"/>
      <c r="N139" s="154"/>
      <c r="O139" s="154"/>
      <c r="P139" s="154"/>
      <c r="Q139" s="154"/>
      <c r="R139" s="154"/>
      <c r="S139" s="154"/>
      <c r="T139" s="154"/>
      <c r="U139" s="154"/>
      <c r="V139" s="154"/>
      <c r="W139" s="154"/>
      <c r="X139" s="154"/>
      <c r="Y139" s="154"/>
      <c r="Z139" s="154"/>
      <c r="AA139" s="154"/>
    </row>
    <row r="140" spans="1:27" ht="15">
      <c r="A140" s="180">
        <v>45819</v>
      </c>
      <c r="B140" s="181" t="s">
        <v>12953</v>
      </c>
      <c r="C140" s="182" t="s">
        <v>61</v>
      </c>
      <c r="D140" s="182">
        <v>9401</v>
      </c>
      <c r="E140" s="183">
        <v>32</v>
      </c>
      <c r="F140" s="183">
        <v>4232</v>
      </c>
      <c r="G140" s="184">
        <v>2</v>
      </c>
      <c r="H140" s="158"/>
      <c r="I140" s="154"/>
      <c r="J140" s="154"/>
      <c r="K140" s="154"/>
      <c r="L140" s="154"/>
      <c r="M140" s="154"/>
      <c r="N140" s="154"/>
      <c r="O140" s="154"/>
      <c r="P140" s="154"/>
      <c r="Q140" s="154"/>
      <c r="R140" s="154"/>
      <c r="S140" s="154"/>
      <c r="T140" s="154"/>
      <c r="U140" s="154"/>
      <c r="V140" s="154"/>
      <c r="W140" s="154"/>
      <c r="X140" s="154"/>
      <c r="Y140" s="154"/>
      <c r="Z140" s="154"/>
      <c r="AA140" s="154"/>
    </row>
    <row r="141" spans="1:27" ht="15">
      <c r="A141" s="180">
        <v>45819</v>
      </c>
      <c r="B141" s="181" t="s">
        <v>12954</v>
      </c>
      <c r="C141" s="182" t="s">
        <v>61</v>
      </c>
      <c r="D141" s="182">
        <v>7425</v>
      </c>
      <c r="E141" s="183">
        <v>13</v>
      </c>
      <c r="F141" s="183">
        <v>1508</v>
      </c>
      <c r="G141" s="184">
        <v>0</v>
      </c>
      <c r="H141" s="158"/>
      <c r="I141" s="154"/>
      <c r="J141" s="154"/>
      <c r="K141" s="154"/>
      <c r="L141" s="154"/>
      <c r="M141" s="154"/>
      <c r="N141" s="154"/>
      <c r="O141" s="154"/>
      <c r="P141" s="154"/>
      <c r="Q141" s="154"/>
      <c r="R141" s="154"/>
      <c r="S141" s="154"/>
      <c r="T141" s="154"/>
      <c r="U141" s="154"/>
      <c r="V141" s="154"/>
      <c r="W141" s="154"/>
      <c r="X141" s="154"/>
      <c r="Y141" s="154"/>
      <c r="Z141" s="154"/>
      <c r="AA141" s="154"/>
    </row>
    <row r="142" spans="1:27" ht="15">
      <c r="A142" s="180">
        <v>45819</v>
      </c>
      <c r="B142" s="181" t="s">
        <v>12956</v>
      </c>
      <c r="C142" s="182" t="s">
        <v>61</v>
      </c>
      <c r="D142" s="182">
        <v>19849</v>
      </c>
      <c r="E142" s="183">
        <v>32</v>
      </c>
      <c r="F142" s="183">
        <v>1460</v>
      </c>
      <c r="G142" s="184">
        <v>7</v>
      </c>
      <c r="H142" s="158"/>
      <c r="I142" s="154"/>
      <c r="J142" s="154"/>
      <c r="K142" s="154"/>
      <c r="L142" s="154"/>
      <c r="M142" s="154"/>
      <c r="N142" s="154"/>
      <c r="O142" s="154"/>
      <c r="P142" s="154"/>
      <c r="Q142" s="154"/>
      <c r="R142" s="154"/>
      <c r="S142" s="154"/>
      <c r="T142" s="154"/>
      <c r="U142" s="154"/>
      <c r="V142" s="154"/>
      <c r="W142" s="154"/>
      <c r="X142" s="154"/>
      <c r="Y142" s="154"/>
      <c r="Z142" s="154"/>
      <c r="AA142" s="154"/>
    </row>
    <row r="143" spans="1:27" ht="15">
      <c r="A143" s="180">
        <v>45820</v>
      </c>
      <c r="B143" s="181" t="s">
        <v>12975</v>
      </c>
      <c r="C143" s="182" t="s">
        <v>752</v>
      </c>
      <c r="D143" s="182">
        <v>53607</v>
      </c>
      <c r="E143" s="183">
        <v>104</v>
      </c>
      <c r="F143" s="183">
        <v>4252</v>
      </c>
      <c r="G143" s="184">
        <v>27</v>
      </c>
      <c r="H143" s="158"/>
      <c r="I143" s="154"/>
      <c r="J143" s="154"/>
      <c r="K143" s="154"/>
      <c r="L143" s="154"/>
      <c r="M143" s="154"/>
      <c r="N143" s="154"/>
      <c r="O143" s="154"/>
      <c r="P143" s="154"/>
      <c r="Q143" s="154"/>
      <c r="R143" s="154"/>
      <c r="S143" s="154"/>
      <c r="T143" s="154"/>
      <c r="U143" s="154"/>
      <c r="V143" s="154"/>
      <c r="W143" s="154"/>
      <c r="X143" s="154"/>
      <c r="Y143" s="154"/>
      <c r="Z143" s="154"/>
      <c r="AA143" s="154"/>
    </row>
    <row r="144" spans="1:27" ht="15">
      <c r="A144" s="180">
        <v>45820</v>
      </c>
      <c r="B144" s="181" t="s">
        <v>12969</v>
      </c>
      <c r="C144" s="182" t="s">
        <v>115</v>
      </c>
      <c r="D144" s="182">
        <v>95573</v>
      </c>
      <c r="E144" s="183">
        <v>124</v>
      </c>
      <c r="F144" s="183">
        <v>6918</v>
      </c>
      <c r="G144" s="184">
        <v>26</v>
      </c>
      <c r="H144" s="158"/>
      <c r="I144" s="154"/>
      <c r="J144" s="154"/>
      <c r="K144" s="154"/>
      <c r="L144" s="154"/>
      <c r="M144" s="154"/>
      <c r="N144" s="154"/>
      <c r="O144" s="154"/>
      <c r="P144" s="154"/>
      <c r="Q144" s="154"/>
      <c r="R144" s="154"/>
      <c r="S144" s="154"/>
      <c r="T144" s="154"/>
      <c r="U144" s="154"/>
      <c r="V144" s="154"/>
      <c r="W144" s="154"/>
      <c r="X144" s="154"/>
      <c r="Y144" s="154"/>
      <c r="Z144" s="154"/>
      <c r="AA144" s="154"/>
    </row>
    <row r="145" spans="1:27" ht="15">
      <c r="A145" s="180">
        <v>45820</v>
      </c>
      <c r="B145" s="181" t="s">
        <v>12970</v>
      </c>
      <c r="C145" s="182" t="s">
        <v>115</v>
      </c>
      <c r="D145" s="182">
        <v>40468</v>
      </c>
      <c r="E145" s="183">
        <v>39</v>
      </c>
      <c r="F145" s="183">
        <v>2166</v>
      </c>
      <c r="G145" s="184">
        <v>2</v>
      </c>
      <c r="H145" s="158"/>
      <c r="I145" s="154"/>
      <c r="J145" s="154"/>
      <c r="K145" s="154"/>
      <c r="L145" s="154"/>
      <c r="M145" s="154"/>
      <c r="N145" s="154"/>
      <c r="O145" s="154"/>
      <c r="P145" s="154"/>
      <c r="Q145" s="154"/>
      <c r="R145" s="154"/>
      <c r="S145" s="154"/>
      <c r="T145" s="154"/>
      <c r="U145" s="154"/>
      <c r="V145" s="154"/>
      <c r="W145" s="154"/>
      <c r="X145" s="154"/>
      <c r="Y145" s="154"/>
      <c r="Z145" s="154"/>
      <c r="AA145" s="154"/>
    </row>
    <row r="146" spans="1:27" ht="15">
      <c r="A146" s="180">
        <v>45820</v>
      </c>
      <c r="B146" s="181" t="s">
        <v>12971</v>
      </c>
      <c r="C146" s="182" t="s">
        <v>115</v>
      </c>
      <c r="D146" s="182">
        <v>42352</v>
      </c>
      <c r="E146" s="183">
        <v>54</v>
      </c>
      <c r="F146" s="183">
        <v>2732</v>
      </c>
      <c r="G146" s="184">
        <v>9</v>
      </c>
      <c r="H146" s="158"/>
      <c r="I146" s="154"/>
      <c r="J146" s="154"/>
      <c r="K146" s="154"/>
      <c r="L146" s="154"/>
      <c r="M146" s="154"/>
      <c r="N146" s="154"/>
      <c r="O146" s="154"/>
      <c r="P146" s="154"/>
      <c r="Q146" s="154"/>
      <c r="R146" s="154"/>
      <c r="S146" s="154"/>
      <c r="T146" s="154"/>
      <c r="U146" s="154"/>
      <c r="V146" s="154"/>
      <c r="W146" s="154"/>
      <c r="X146" s="154"/>
      <c r="Y146" s="154"/>
      <c r="Z146" s="154"/>
      <c r="AA146" s="154"/>
    </row>
    <row r="147" spans="1:27" ht="15">
      <c r="A147" s="180">
        <v>45820</v>
      </c>
      <c r="B147" s="181" t="s">
        <v>12963</v>
      </c>
      <c r="C147" s="182" t="s">
        <v>61</v>
      </c>
      <c r="D147" s="182">
        <v>93632</v>
      </c>
      <c r="E147" s="183">
        <v>154</v>
      </c>
      <c r="F147" s="183">
        <v>6433</v>
      </c>
      <c r="G147" s="184">
        <v>29</v>
      </c>
      <c r="H147" s="158"/>
      <c r="I147" s="154"/>
      <c r="J147" s="154"/>
      <c r="K147" s="154"/>
      <c r="L147" s="154"/>
      <c r="M147" s="154"/>
      <c r="N147" s="154"/>
      <c r="O147" s="154"/>
      <c r="P147" s="154"/>
      <c r="Q147" s="154"/>
      <c r="R147" s="154"/>
      <c r="S147" s="154"/>
      <c r="T147" s="154"/>
      <c r="U147" s="154"/>
      <c r="V147" s="154"/>
      <c r="W147" s="154"/>
      <c r="X147" s="154"/>
      <c r="Y147" s="154"/>
      <c r="Z147" s="154"/>
      <c r="AA147" s="154"/>
    </row>
    <row r="148" spans="1:27" ht="15">
      <c r="A148" s="180">
        <v>45820</v>
      </c>
      <c r="B148" s="181" t="s">
        <v>12964</v>
      </c>
      <c r="C148" s="182" t="s">
        <v>61</v>
      </c>
      <c r="D148" s="182">
        <v>129274</v>
      </c>
      <c r="E148" s="183">
        <v>159</v>
      </c>
      <c r="F148" s="183">
        <v>8928</v>
      </c>
      <c r="G148" s="184">
        <v>36</v>
      </c>
      <c r="H148" s="158"/>
      <c r="I148" s="154"/>
      <c r="J148" s="154"/>
      <c r="K148" s="154"/>
      <c r="L148" s="154"/>
      <c r="M148" s="154"/>
      <c r="N148" s="154"/>
      <c r="O148" s="154"/>
      <c r="P148" s="154"/>
      <c r="Q148" s="154"/>
      <c r="R148" s="154"/>
      <c r="S148" s="154"/>
      <c r="T148" s="154"/>
      <c r="U148" s="154"/>
      <c r="V148" s="154"/>
      <c r="W148" s="154"/>
      <c r="X148" s="154"/>
      <c r="Y148" s="154"/>
      <c r="Z148" s="154"/>
      <c r="AA148" s="154"/>
    </row>
    <row r="149" spans="1:27" ht="15">
      <c r="A149" s="180">
        <v>45820</v>
      </c>
      <c r="B149" s="181" t="s">
        <v>12966</v>
      </c>
      <c r="C149" s="182" t="s">
        <v>49</v>
      </c>
      <c r="D149" s="182">
        <v>8067</v>
      </c>
      <c r="E149" s="183">
        <v>10</v>
      </c>
      <c r="F149" s="183">
        <v>612</v>
      </c>
      <c r="G149" s="184">
        <v>0</v>
      </c>
      <c r="H149" s="158"/>
      <c r="I149" s="154"/>
      <c r="J149" s="154"/>
      <c r="K149" s="154"/>
      <c r="L149" s="154"/>
      <c r="M149" s="154"/>
      <c r="N149" s="154"/>
      <c r="O149" s="154"/>
      <c r="P149" s="154"/>
      <c r="Q149" s="154"/>
      <c r="R149" s="154"/>
      <c r="S149" s="154"/>
      <c r="T149" s="154"/>
      <c r="U149" s="154"/>
      <c r="V149" s="154"/>
      <c r="W149" s="154"/>
      <c r="X149" s="154"/>
      <c r="Y149" s="154"/>
      <c r="Z149" s="154"/>
      <c r="AA149" s="154"/>
    </row>
    <row r="150" spans="1:27" ht="15">
      <c r="A150" s="180">
        <v>45820</v>
      </c>
      <c r="B150" s="181" t="s">
        <v>12968</v>
      </c>
      <c r="C150" s="182" t="s">
        <v>61</v>
      </c>
      <c r="D150" s="182">
        <v>38086</v>
      </c>
      <c r="E150" s="183">
        <v>65</v>
      </c>
      <c r="F150" s="183">
        <v>2844</v>
      </c>
      <c r="G150" s="184">
        <v>8</v>
      </c>
      <c r="H150" s="158"/>
      <c r="I150" s="154"/>
      <c r="J150" s="154"/>
      <c r="K150" s="154"/>
      <c r="L150" s="154"/>
      <c r="M150" s="154"/>
      <c r="N150" s="154"/>
      <c r="O150" s="154"/>
      <c r="P150" s="154"/>
      <c r="Q150" s="154"/>
      <c r="R150" s="154"/>
      <c r="S150" s="154"/>
      <c r="T150" s="154"/>
      <c r="U150" s="154"/>
      <c r="V150" s="154"/>
      <c r="W150" s="154"/>
      <c r="X150" s="154"/>
      <c r="Y150" s="154"/>
      <c r="Z150" s="154"/>
      <c r="AA150" s="154"/>
    </row>
    <row r="151" spans="1:27" ht="15">
      <c r="A151" s="180">
        <v>45821</v>
      </c>
      <c r="B151" s="181" t="s">
        <v>12976</v>
      </c>
      <c r="C151" s="182" t="s">
        <v>752</v>
      </c>
      <c r="D151" s="182">
        <v>21587</v>
      </c>
      <c r="E151" s="183">
        <v>47</v>
      </c>
      <c r="F151" s="183">
        <v>1825</v>
      </c>
      <c r="G151" s="184">
        <v>9</v>
      </c>
      <c r="H151" s="158"/>
      <c r="I151" s="154"/>
      <c r="J151" s="154"/>
      <c r="K151" s="154"/>
      <c r="L151" s="154"/>
      <c r="M151" s="154"/>
      <c r="N151" s="154"/>
      <c r="O151" s="154"/>
      <c r="P151" s="154"/>
      <c r="Q151" s="154"/>
      <c r="R151" s="154"/>
      <c r="S151" s="154"/>
      <c r="T151" s="154"/>
      <c r="U151" s="154"/>
      <c r="V151" s="154"/>
      <c r="W151" s="154"/>
      <c r="X151" s="154"/>
      <c r="Y151" s="154"/>
      <c r="Z151" s="154"/>
      <c r="AA151" s="154"/>
    </row>
    <row r="152" spans="1:27" ht="15">
      <c r="A152" s="180">
        <v>45821</v>
      </c>
      <c r="B152" s="181" t="s">
        <v>12976</v>
      </c>
      <c r="C152" s="182" t="s">
        <v>752</v>
      </c>
      <c r="D152" s="182">
        <v>19945</v>
      </c>
      <c r="E152" s="183">
        <v>20</v>
      </c>
      <c r="F152" s="183">
        <v>1188</v>
      </c>
      <c r="G152" s="184">
        <v>2</v>
      </c>
      <c r="H152" s="158"/>
      <c r="I152" s="154"/>
      <c r="J152" s="154"/>
      <c r="K152" s="154"/>
      <c r="L152" s="154"/>
      <c r="M152" s="154"/>
      <c r="N152" s="154"/>
      <c r="O152" s="154"/>
      <c r="P152" s="154"/>
      <c r="Q152" s="154"/>
      <c r="R152" s="154"/>
      <c r="S152" s="154"/>
      <c r="T152" s="154"/>
      <c r="U152" s="154"/>
      <c r="V152" s="154"/>
      <c r="W152" s="154"/>
      <c r="X152" s="154"/>
      <c r="Y152" s="154"/>
      <c r="Z152" s="154"/>
      <c r="AA152" s="154"/>
    </row>
    <row r="153" spans="1:27" ht="15">
      <c r="A153" s="180">
        <v>45821</v>
      </c>
      <c r="B153" s="181" t="s">
        <v>12975</v>
      </c>
      <c r="C153" s="182" t="s">
        <v>752</v>
      </c>
      <c r="D153" s="182">
        <v>34550</v>
      </c>
      <c r="E153" s="183">
        <v>53</v>
      </c>
      <c r="F153" s="183">
        <v>1844</v>
      </c>
      <c r="G153" s="184">
        <v>5</v>
      </c>
      <c r="H153" s="158"/>
      <c r="I153" s="154"/>
      <c r="J153" s="154"/>
      <c r="K153" s="154"/>
      <c r="L153" s="154"/>
      <c r="M153" s="154"/>
      <c r="N153" s="154"/>
      <c r="O153" s="154"/>
      <c r="P153" s="154"/>
      <c r="Q153" s="154"/>
      <c r="R153" s="154"/>
      <c r="S153" s="154"/>
      <c r="T153" s="154"/>
      <c r="U153" s="154"/>
      <c r="V153" s="154"/>
      <c r="W153" s="154"/>
      <c r="X153" s="154"/>
      <c r="Y153" s="154"/>
      <c r="Z153" s="154"/>
      <c r="AA153" s="154"/>
    </row>
    <row r="154" spans="1:27" ht="15">
      <c r="A154" s="180">
        <v>45821</v>
      </c>
      <c r="B154" s="181" t="s">
        <v>12969</v>
      </c>
      <c r="C154" s="182" t="s">
        <v>115</v>
      </c>
      <c r="D154" s="182">
        <v>78924</v>
      </c>
      <c r="E154" s="183">
        <v>85</v>
      </c>
      <c r="F154" s="183">
        <v>5402</v>
      </c>
      <c r="G154" s="184">
        <v>18</v>
      </c>
      <c r="H154" s="158"/>
      <c r="I154" s="154"/>
      <c r="J154" s="154"/>
      <c r="K154" s="154"/>
      <c r="L154" s="154"/>
      <c r="M154" s="154"/>
      <c r="N154" s="154"/>
      <c r="O154" s="154"/>
      <c r="P154" s="154"/>
      <c r="Q154" s="154"/>
      <c r="R154" s="154"/>
      <c r="S154" s="154"/>
      <c r="T154" s="154"/>
      <c r="U154" s="154"/>
      <c r="V154" s="154"/>
      <c r="W154" s="154"/>
      <c r="X154" s="154"/>
      <c r="Y154" s="154"/>
      <c r="Z154" s="154"/>
      <c r="AA154" s="154"/>
    </row>
    <row r="155" spans="1:27" ht="15">
      <c r="A155" s="180">
        <v>45821</v>
      </c>
      <c r="B155" s="181" t="s">
        <v>12970</v>
      </c>
      <c r="C155" s="182" t="s">
        <v>115</v>
      </c>
      <c r="D155" s="182">
        <v>103913</v>
      </c>
      <c r="E155" s="183">
        <v>136</v>
      </c>
      <c r="F155" s="183">
        <v>8477</v>
      </c>
      <c r="G155" s="184">
        <v>30</v>
      </c>
      <c r="H155" s="158"/>
      <c r="I155" s="154"/>
      <c r="J155" s="154"/>
      <c r="K155" s="154"/>
      <c r="L155" s="154"/>
      <c r="M155" s="154"/>
      <c r="N155" s="154"/>
      <c r="O155" s="154"/>
      <c r="P155" s="154"/>
      <c r="Q155" s="154"/>
      <c r="R155" s="154"/>
      <c r="S155" s="154"/>
      <c r="T155" s="154"/>
      <c r="U155" s="154"/>
      <c r="V155" s="154"/>
      <c r="W155" s="154"/>
      <c r="X155" s="154"/>
      <c r="Y155" s="154"/>
      <c r="Z155" s="154"/>
      <c r="AA155" s="154"/>
    </row>
    <row r="156" spans="1:27" ht="15">
      <c r="A156" s="180">
        <v>45821</v>
      </c>
      <c r="B156" s="181" t="s">
        <v>12971</v>
      </c>
      <c r="C156" s="182" t="s">
        <v>115</v>
      </c>
      <c r="D156" s="182">
        <v>15124</v>
      </c>
      <c r="E156" s="183">
        <v>19</v>
      </c>
      <c r="F156" s="183">
        <v>778</v>
      </c>
      <c r="G156" s="184">
        <v>3</v>
      </c>
      <c r="H156" s="158"/>
      <c r="I156" s="154"/>
      <c r="J156" s="154"/>
      <c r="K156" s="154"/>
      <c r="L156" s="154"/>
      <c r="M156" s="154"/>
      <c r="N156" s="154"/>
      <c r="O156" s="154"/>
      <c r="P156" s="154"/>
      <c r="Q156" s="154"/>
      <c r="R156" s="154"/>
      <c r="S156" s="154"/>
      <c r="T156" s="154"/>
      <c r="U156" s="154"/>
      <c r="V156" s="154"/>
      <c r="W156" s="154"/>
      <c r="X156" s="154"/>
      <c r="Y156" s="154"/>
      <c r="Z156" s="154"/>
      <c r="AA156" s="154"/>
    </row>
    <row r="157" spans="1:27" ht="15">
      <c r="A157" s="180">
        <v>45821</v>
      </c>
      <c r="B157" s="181" t="s">
        <v>12963</v>
      </c>
      <c r="C157" s="182" t="s">
        <v>61</v>
      </c>
      <c r="D157" s="182">
        <v>116030</v>
      </c>
      <c r="E157" s="183">
        <v>181</v>
      </c>
      <c r="F157" s="183">
        <v>9216</v>
      </c>
      <c r="G157" s="184">
        <v>37</v>
      </c>
      <c r="H157" s="158"/>
      <c r="I157" s="154"/>
      <c r="J157" s="154"/>
      <c r="K157" s="154"/>
      <c r="L157" s="154"/>
      <c r="M157" s="154"/>
      <c r="N157" s="154"/>
      <c r="O157" s="154"/>
      <c r="P157" s="154"/>
      <c r="Q157" s="154"/>
      <c r="R157" s="154"/>
      <c r="S157" s="154"/>
      <c r="T157" s="154"/>
      <c r="U157" s="154"/>
      <c r="V157" s="154"/>
      <c r="W157" s="154"/>
      <c r="X157" s="154"/>
      <c r="Y157" s="154"/>
      <c r="Z157" s="154"/>
      <c r="AA157" s="154"/>
    </row>
    <row r="158" spans="1:27" ht="15">
      <c r="A158" s="180">
        <v>45821</v>
      </c>
      <c r="B158" s="181" t="s">
        <v>12964</v>
      </c>
      <c r="C158" s="182" t="s">
        <v>61</v>
      </c>
      <c r="D158" s="182">
        <v>34829</v>
      </c>
      <c r="E158" s="183">
        <v>36</v>
      </c>
      <c r="F158" s="183">
        <v>1920</v>
      </c>
      <c r="G158" s="184">
        <v>6</v>
      </c>
      <c r="H158" s="158"/>
      <c r="I158" s="154"/>
      <c r="J158" s="154"/>
      <c r="K158" s="154"/>
      <c r="L158" s="154"/>
      <c r="M158" s="154"/>
      <c r="N158" s="154"/>
      <c r="O158" s="154"/>
      <c r="P158" s="154"/>
      <c r="Q158" s="154"/>
      <c r="R158" s="154"/>
      <c r="S158" s="154"/>
      <c r="T158" s="154"/>
      <c r="U158" s="154"/>
      <c r="V158" s="154"/>
      <c r="W158" s="154"/>
      <c r="X158" s="154"/>
      <c r="Y158" s="154"/>
      <c r="Z158" s="154"/>
      <c r="AA158" s="154"/>
    </row>
    <row r="159" spans="1:27" ht="15">
      <c r="A159" s="180">
        <v>45821</v>
      </c>
      <c r="B159" s="181" t="s">
        <v>12968</v>
      </c>
      <c r="C159" s="182" t="s">
        <v>61</v>
      </c>
      <c r="D159" s="182">
        <v>65960</v>
      </c>
      <c r="E159" s="183">
        <v>103</v>
      </c>
      <c r="F159" s="183">
        <v>5081</v>
      </c>
      <c r="G159" s="184">
        <v>19</v>
      </c>
      <c r="H159" s="158"/>
      <c r="I159" s="154"/>
      <c r="J159" s="154"/>
      <c r="K159" s="154"/>
      <c r="L159" s="154"/>
      <c r="M159" s="154"/>
      <c r="N159" s="154"/>
      <c r="O159" s="154"/>
      <c r="P159" s="154"/>
      <c r="Q159" s="154"/>
      <c r="R159" s="154"/>
      <c r="S159" s="154"/>
      <c r="T159" s="154"/>
      <c r="U159" s="154"/>
      <c r="V159" s="154"/>
      <c r="W159" s="154"/>
      <c r="X159" s="154"/>
      <c r="Y159" s="154"/>
      <c r="Z159" s="154"/>
      <c r="AA159" s="154"/>
    </row>
    <row r="160" spans="1:27" ht="15">
      <c r="A160" s="180">
        <v>45821</v>
      </c>
      <c r="B160" s="181" t="s">
        <v>12954</v>
      </c>
      <c r="C160" s="182" t="s">
        <v>61</v>
      </c>
      <c r="D160" s="182">
        <v>7342</v>
      </c>
      <c r="E160" s="183">
        <v>24</v>
      </c>
      <c r="F160" s="183">
        <v>2064</v>
      </c>
      <c r="G160" s="184">
        <v>1</v>
      </c>
      <c r="H160" s="158"/>
      <c r="I160" s="154"/>
      <c r="J160" s="154"/>
      <c r="K160" s="154"/>
      <c r="L160" s="154"/>
      <c r="M160" s="154"/>
      <c r="N160" s="154"/>
      <c r="O160" s="154"/>
      <c r="P160" s="154"/>
      <c r="Q160" s="154"/>
      <c r="R160" s="154"/>
      <c r="S160" s="154"/>
      <c r="T160" s="154"/>
      <c r="U160" s="154"/>
      <c r="V160" s="154"/>
      <c r="W160" s="154"/>
      <c r="X160" s="154"/>
      <c r="Y160" s="154"/>
      <c r="Z160" s="154"/>
      <c r="AA160" s="154"/>
    </row>
    <row r="161" spans="1:27" ht="15">
      <c r="A161" s="180">
        <v>45822</v>
      </c>
      <c r="B161" s="181" t="s">
        <v>12976</v>
      </c>
      <c r="C161" s="182" t="s">
        <v>752</v>
      </c>
      <c r="D161" s="182">
        <v>55146</v>
      </c>
      <c r="E161" s="183">
        <v>100</v>
      </c>
      <c r="F161" s="183">
        <v>6578</v>
      </c>
      <c r="G161" s="184">
        <v>23</v>
      </c>
      <c r="H161" s="158"/>
      <c r="I161" s="154"/>
      <c r="J161" s="154"/>
      <c r="K161" s="154"/>
      <c r="L161" s="154"/>
      <c r="M161" s="154"/>
      <c r="N161" s="154"/>
      <c r="O161" s="154"/>
      <c r="P161" s="154"/>
      <c r="Q161" s="154"/>
      <c r="R161" s="154"/>
      <c r="S161" s="154"/>
      <c r="T161" s="154"/>
      <c r="U161" s="154"/>
      <c r="V161" s="154"/>
      <c r="W161" s="154"/>
      <c r="X161" s="154"/>
      <c r="Y161" s="154"/>
      <c r="Z161" s="154"/>
      <c r="AA161" s="154"/>
    </row>
    <row r="162" spans="1:27" ht="15">
      <c r="A162" s="180">
        <v>45822</v>
      </c>
      <c r="B162" s="181" t="s">
        <v>12976</v>
      </c>
      <c r="C162" s="182" t="s">
        <v>752</v>
      </c>
      <c r="D162" s="182">
        <v>12493</v>
      </c>
      <c r="E162" s="183">
        <v>12</v>
      </c>
      <c r="F162" s="183">
        <v>730</v>
      </c>
      <c r="G162" s="184">
        <v>2</v>
      </c>
      <c r="H162" s="158"/>
      <c r="I162" s="154"/>
      <c r="J162" s="154"/>
      <c r="K162" s="154"/>
      <c r="L162" s="154"/>
      <c r="M162" s="154"/>
      <c r="N162" s="154"/>
      <c r="O162" s="154"/>
      <c r="P162" s="154"/>
      <c r="Q162" s="154"/>
      <c r="R162" s="154"/>
      <c r="S162" s="154"/>
      <c r="T162" s="154"/>
      <c r="U162" s="154"/>
      <c r="V162" s="154"/>
      <c r="W162" s="154"/>
      <c r="X162" s="154"/>
      <c r="Y162" s="154"/>
      <c r="Z162" s="154"/>
      <c r="AA162" s="154"/>
    </row>
    <row r="163" spans="1:27" ht="15">
      <c r="A163" s="180">
        <v>45822</v>
      </c>
      <c r="B163" s="181" t="s">
        <v>12975</v>
      </c>
      <c r="C163" s="182" t="s">
        <v>752</v>
      </c>
      <c r="D163" s="182">
        <v>71155</v>
      </c>
      <c r="E163" s="183">
        <v>124</v>
      </c>
      <c r="F163" s="183">
        <v>4832</v>
      </c>
      <c r="G163" s="184">
        <v>28</v>
      </c>
      <c r="H163" s="158"/>
      <c r="I163" s="154"/>
      <c r="J163" s="154"/>
      <c r="K163" s="154"/>
      <c r="L163" s="154"/>
      <c r="M163" s="154"/>
      <c r="N163" s="154"/>
      <c r="O163" s="154"/>
      <c r="P163" s="154"/>
      <c r="Q163" s="154"/>
      <c r="R163" s="154"/>
      <c r="S163" s="154"/>
      <c r="T163" s="154"/>
      <c r="U163" s="154"/>
      <c r="V163" s="154"/>
      <c r="W163" s="154"/>
      <c r="X163" s="154"/>
      <c r="Y163" s="154"/>
      <c r="Z163" s="154"/>
      <c r="AA163" s="154"/>
    </row>
    <row r="164" spans="1:27" ht="15">
      <c r="A164" s="180">
        <v>45822</v>
      </c>
      <c r="B164" s="181" t="s">
        <v>12969</v>
      </c>
      <c r="C164" s="182" t="s">
        <v>115</v>
      </c>
      <c r="D164" s="182">
        <v>140066</v>
      </c>
      <c r="E164" s="183">
        <v>236</v>
      </c>
      <c r="F164" s="183">
        <v>12179</v>
      </c>
      <c r="G164" s="184">
        <v>61</v>
      </c>
      <c r="H164" s="158"/>
      <c r="I164" s="154"/>
      <c r="J164" s="154"/>
      <c r="K164" s="154"/>
      <c r="L164" s="154"/>
      <c r="M164" s="154"/>
      <c r="N164" s="154"/>
      <c r="O164" s="154"/>
      <c r="P164" s="154"/>
      <c r="Q164" s="154"/>
      <c r="R164" s="154"/>
      <c r="S164" s="154"/>
      <c r="T164" s="154"/>
      <c r="U164" s="154"/>
      <c r="V164" s="154"/>
      <c r="W164" s="154"/>
      <c r="X164" s="154"/>
      <c r="Y164" s="154"/>
      <c r="Z164" s="154"/>
      <c r="AA164" s="154"/>
    </row>
    <row r="165" spans="1:27" ht="15">
      <c r="A165" s="180">
        <v>45822</v>
      </c>
      <c r="B165" s="181" t="s">
        <v>12970</v>
      </c>
      <c r="C165" s="182" t="s">
        <v>115</v>
      </c>
      <c r="D165" s="182">
        <v>16350</v>
      </c>
      <c r="E165" s="183">
        <v>9</v>
      </c>
      <c r="F165" s="183">
        <v>779</v>
      </c>
      <c r="G165" s="184">
        <v>1</v>
      </c>
      <c r="H165" s="158"/>
      <c r="I165" s="154"/>
      <c r="J165" s="154"/>
      <c r="K165" s="154"/>
      <c r="L165" s="154"/>
      <c r="M165" s="154"/>
      <c r="N165" s="154"/>
      <c r="O165" s="154"/>
      <c r="P165" s="154"/>
      <c r="Q165" s="154"/>
      <c r="R165" s="154"/>
      <c r="S165" s="154"/>
      <c r="T165" s="154"/>
      <c r="U165" s="154"/>
      <c r="V165" s="154"/>
      <c r="W165" s="154"/>
      <c r="X165" s="154"/>
      <c r="Y165" s="154"/>
      <c r="Z165" s="154"/>
      <c r="AA165" s="154"/>
    </row>
    <row r="166" spans="1:27" ht="15">
      <c r="A166" s="180">
        <v>45822</v>
      </c>
      <c r="B166" s="181" t="s">
        <v>12971</v>
      </c>
      <c r="C166" s="182" t="s">
        <v>115</v>
      </c>
      <c r="D166" s="182">
        <v>12492</v>
      </c>
      <c r="E166" s="183">
        <v>6</v>
      </c>
      <c r="F166" s="183">
        <v>661</v>
      </c>
      <c r="G166" s="184">
        <v>0</v>
      </c>
      <c r="H166" s="158"/>
      <c r="I166" s="154"/>
      <c r="J166" s="154"/>
      <c r="K166" s="154"/>
      <c r="L166" s="154"/>
      <c r="M166" s="154"/>
      <c r="N166" s="154"/>
      <c r="O166" s="154"/>
      <c r="P166" s="154"/>
      <c r="Q166" s="154"/>
      <c r="R166" s="154"/>
      <c r="S166" s="154"/>
      <c r="T166" s="154"/>
      <c r="U166" s="154"/>
      <c r="V166" s="154"/>
      <c r="W166" s="154"/>
      <c r="X166" s="154"/>
      <c r="Y166" s="154"/>
      <c r="Z166" s="154"/>
      <c r="AA166" s="154"/>
    </row>
    <row r="167" spans="1:27" ht="15">
      <c r="A167" s="180">
        <v>45822</v>
      </c>
      <c r="B167" s="181" t="s">
        <v>12963</v>
      </c>
      <c r="C167" s="182" t="s">
        <v>61</v>
      </c>
      <c r="D167" s="182">
        <v>15434</v>
      </c>
      <c r="E167" s="183">
        <v>13</v>
      </c>
      <c r="F167" s="183">
        <v>716</v>
      </c>
      <c r="G167" s="184">
        <v>1</v>
      </c>
      <c r="H167" s="158"/>
      <c r="I167" s="154"/>
      <c r="J167" s="154"/>
      <c r="K167" s="154"/>
      <c r="L167" s="154"/>
      <c r="M167" s="154"/>
      <c r="N167" s="154"/>
      <c r="O167" s="154"/>
      <c r="P167" s="154"/>
      <c r="Q167" s="154"/>
      <c r="R167" s="154"/>
      <c r="S167" s="154"/>
      <c r="T167" s="154"/>
      <c r="U167" s="154"/>
      <c r="V167" s="154"/>
      <c r="W167" s="154"/>
      <c r="X167" s="154"/>
      <c r="Y167" s="154"/>
      <c r="Z167" s="154"/>
      <c r="AA167" s="154"/>
    </row>
    <row r="168" spans="1:27" ht="15">
      <c r="A168" s="180">
        <v>45822</v>
      </c>
      <c r="B168" s="181" t="s">
        <v>12964</v>
      </c>
      <c r="C168" s="182" t="s">
        <v>61</v>
      </c>
      <c r="D168" s="182">
        <v>25641</v>
      </c>
      <c r="E168" s="183">
        <v>36</v>
      </c>
      <c r="F168" s="183">
        <v>1943</v>
      </c>
      <c r="G168" s="184">
        <v>4</v>
      </c>
      <c r="H168" s="158"/>
      <c r="I168" s="154"/>
      <c r="J168" s="154"/>
      <c r="K168" s="154"/>
      <c r="L168" s="154"/>
      <c r="M168" s="154"/>
      <c r="N168" s="154"/>
      <c r="O168" s="154"/>
      <c r="P168" s="154"/>
      <c r="Q168" s="154"/>
      <c r="R168" s="154"/>
      <c r="S168" s="154"/>
      <c r="T168" s="154"/>
      <c r="U168" s="154"/>
      <c r="V168" s="154"/>
      <c r="W168" s="154"/>
      <c r="X168" s="154"/>
      <c r="Y168" s="154"/>
      <c r="Z168" s="154"/>
      <c r="AA168" s="154"/>
    </row>
    <row r="169" spans="1:27" ht="15">
      <c r="A169" s="180">
        <v>45822</v>
      </c>
      <c r="B169" s="181" t="s">
        <v>12968</v>
      </c>
      <c r="C169" s="182" t="s">
        <v>61</v>
      </c>
      <c r="D169" s="182">
        <v>24931</v>
      </c>
      <c r="E169" s="183">
        <v>8</v>
      </c>
      <c r="F169" s="183">
        <v>858</v>
      </c>
      <c r="G169" s="184">
        <v>2</v>
      </c>
      <c r="H169" s="158"/>
      <c r="I169" s="154"/>
      <c r="J169" s="154"/>
      <c r="K169" s="154"/>
      <c r="L169" s="154"/>
      <c r="M169" s="154"/>
      <c r="N169" s="154"/>
      <c r="O169" s="154"/>
      <c r="P169" s="154"/>
      <c r="Q169" s="154"/>
      <c r="R169" s="154"/>
      <c r="S169" s="154"/>
      <c r="T169" s="154"/>
      <c r="U169" s="154"/>
      <c r="V169" s="154"/>
      <c r="W169" s="154"/>
      <c r="X169" s="154"/>
      <c r="Y169" s="154"/>
      <c r="Z169" s="154"/>
      <c r="AA169" s="154"/>
    </row>
    <row r="170" spans="1:27" ht="15">
      <c r="A170" s="180">
        <v>45822</v>
      </c>
      <c r="B170" s="181" t="s">
        <v>12951</v>
      </c>
      <c r="C170" s="182" t="s">
        <v>115</v>
      </c>
      <c r="D170" s="182">
        <v>11707</v>
      </c>
      <c r="E170" s="183">
        <v>8</v>
      </c>
      <c r="F170" s="183">
        <v>742</v>
      </c>
      <c r="G170" s="184">
        <v>0</v>
      </c>
      <c r="H170" s="158"/>
      <c r="I170" s="154"/>
      <c r="J170" s="154"/>
      <c r="K170" s="154"/>
      <c r="L170" s="154"/>
      <c r="M170" s="154"/>
      <c r="N170" s="154"/>
      <c r="O170" s="154"/>
      <c r="P170" s="154"/>
      <c r="Q170" s="154"/>
      <c r="R170" s="154"/>
      <c r="S170" s="154"/>
      <c r="T170" s="154"/>
      <c r="U170" s="154"/>
      <c r="V170" s="154"/>
      <c r="W170" s="154"/>
      <c r="X170" s="154"/>
      <c r="Y170" s="154"/>
      <c r="Z170" s="154"/>
      <c r="AA170" s="154"/>
    </row>
    <row r="171" spans="1:27" ht="15">
      <c r="A171" s="180">
        <v>45823</v>
      </c>
      <c r="B171" s="181" t="s">
        <v>12977</v>
      </c>
      <c r="C171" s="182" t="s">
        <v>752</v>
      </c>
      <c r="D171" s="182">
        <v>77716</v>
      </c>
      <c r="E171" s="183">
        <v>141</v>
      </c>
      <c r="F171" s="183">
        <v>9065</v>
      </c>
      <c r="G171" s="184">
        <v>23</v>
      </c>
      <c r="H171" s="158"/>
      <c r="I171" s="154"/>
      <c r="J171" s="154"/>
      <c r="K171" s="154"/>
      <c r="L171" s="154"/>
      <c r="M171" s="154"/>
      <c r="N171" s="154"/>
      <c r="O171" s="154"/>
      <c r="P171" s="154"/>
      <c r="Q171" s="154"/>
      <c r="R171" s="154"/>
      <c r="S171" s="154"/>
      <c r="T171" s="154"/>
      <c r="U171" s="154"/>
      <c r="V171" s="154"/>
      <c r="W171" s="154"/>
      <c r="X171" s="154"/>
      <c r="Y171" s="154"/>
      <c r="Z171" s="154"/>
      <c r="AA171" s="154"/>
    </row>
    <row r="172" spans="1:27" ht="15">
      <c r="A172" s="180">
        <v>45823</v>
      </c>
      <c r="B172" s="181" t="s">
        <v>12978</v>
      </c>
      <c r="C172" s="182" t="s">
        <v>752</v>
      </c>
      <c r="D172" s="182">
        <v>23589</v>
      </c>
      <c r="E172" s="183">
        <v>30</v>
      </c>
      <c r="F172" s="183">
        <v>1312</v>
      </c>
      <c r="G172" s="184">
        <v>4</v>
      </c>
      <c r="H172" s="158"/>
      <c r="I172" s="154"/>
      <c r="J172" s="154"/>
      <c r="K172" s="154"/>
      <c r="L172" s="154"/>
      <c r="M172" s="154"/>
      <c r="N172" s="154"/>
      <c r="O172" s="154"/>
      <c r="P172" s="154"/>
      <c r="Q172" s="154"/>
      <c r="R172" s="154"/>
      <c r="S172" s="154"/>
      <c r="T172" s="154"/>
      <c r="U172" s="154"/>
      <c r="V172" s="154"/>
      <c r="W172" s="154"/>
      <c r="X172" s="154"/>
      <c r="Y172" s="154"/>
      <c r="Z172" s="154"/>
      <c r="AA172" s="154"/>
    </row>
    <row r="173" spans="1:27" ht="15">
      <c r="A173" s="180">
        <v>45823</v>
      </c>
      <c r="B173" s="181" t="s">
        <v>12979</v>
      </c>
      <c r="C173" s="182" t="s">
        <v>752</v>
      </c>
      <c r="D173" s="182">
        <v>121685</v>
      </c>
      <c r="E173" s="183">
        <v>276</v>
      </c>
      <c r="F173" s="183">
        <v>9041</v>
      </c>
      <c r="G173" s="184">
        <v>48</v>
      </c>
      <c r="H173" s="158"/>
      <c r="I173" s="154"/>
      <c r="J173" s="154"/>
      <c r="K173" s="154"/>
      <c r="L173" s="154"/>
      <c r="M173" s="154"/>
      <c r="N173" s="154"/>
      <c r="O173" s="154"/>
      <c r="P173" s="154"/>
      <c r="Q173" s="154"/>
      <c r="R173" s="154"/>
      <c r="S173" s="154"/>
      <c r="T173" s="154"/>
      <c r="U173" s="154"/>
      <c r="V173" s="154"/>
      <c r="W173" s="154"/>
      <c r="X173" s="154"/>
      <c r="Y173" s="154"/>
      <c r="Z173" s="154"/>
      <c r="AA173" s="154"/>
    </row>
    <row r="174" spans="1:27" ht="15">
      <c r="A174" s="180">
        <v>45823</v>
      </c>
      <c r="B174" s="181" t="s">
        <v>12969</v>
      </c>
      <c r="C174" s="182" t="s">
        <v>115</v>
      </c>
      <c r="D174" s="182">
        <v>123728</v>
      </c>
      <c r="E174" s="183">
        <v>197</v>
      </c>
      <c r="F174" s="183">
        <v>10130</v>
      </c>
      <c r="G174" s="184">
        <v>34</v>
      </c>
      <c r="H174" s="158"/>
      <c r="I174" s="154"/>
      <c r="J174" s="154"/>
      <c r="K174" s="154"/>
      <c r="L174" s="154"/>
      <c r="M174" s="154"/>
      <c r="N174" s="154"/>
      <c r="O174" s="154"/>
      <c r="P174" s="154"/>
      <c r="Q174" s="154"/>
      <c r="R174" s="154"/>
      <c r="S174" s="154"/>
      <c r="T174" s="154"/>
      <c r="U174" s="154"/>
      <c r="V174" s="154"/>
      <c r="W174" s="154"/>
      <c r="X174" s="154"/>
      <c r="Y174" s="154"/>
      <c r="Z174" s="154"/>
      <c r="AA174" s="154"/>
    </row>
    <row r="175" spans="1:27" ht="15">
      <c r="A175" s="180">
        <v>45823</v>
      </c>
      <c r="B175" s="181" t="s">
        <v>12970</v>
      </c>
      <c r="C175" s="182" t="s">
        <v>115</v>
      </c>
      <c r="D175" s="182">
        <v>170553</v>
      </c>
      <c r="E175" s="183">
        <v>185</v>
      </c>
      <c r="F175" s="183">
        <v>10552</v>
      </c>
      <c r="G175" s="184">
        <v>32</v>
      </c>
      <c r="H175" s="158"/>
      <c r="I175" s="154"/>
      <c r="J175" s="154"/>
      <c r="K175" s="154"/>
      <c r="L175" s="154"/>
      <c r="M175" s="154"/>
      <c r="N175" s="154"/>
      <c r="O175" s="154"/>
      <c r="P175" s="154"/>
      <c r="Q175" s="154"/>
      <c r="R175" s="154"/>
      <c r="S175" s="154"/>
      <c r="T175" s="154"/>
      <c r="U175" s="154"/>
      <c r="V175" s="154"/>
      <c r="W175" s="154"/>
      <c r="X175" s="154"/>
      <c r="Y175" s="154"/>
      <c r="Z175" s="154"/>
      <c r="AA175" s="154"/>
    </row>
    <row r="176" spans="1:27" ht="15">
      <c r="A176" s="180">
        <v>45823</v>
      </c>
      <c r="B176" s="181" t="s">
        <v>12971</v>
      </c>
      <c r="C176" s="182" t="s">
        <v>115</v>
      </c>
      <c r="D176" s="182">
        <v>42444</v>
      </c>
      <c r="E176" s="183">
        <v>44</v>
      </c>
      <c r="F176" s="183">
        <v>2832</v>
      </c>
      <c r="G176" s="184">
        <v>6</v>
      </c>
      <c r="H176" s="158"/>
      <c r="I176" s="154"/>
      <c r="J176" s="154"/>
      <c r="K176" s="154"/>
      <c r="L176" s="154"/>
      <c r="M176" s="154"/>
      <c r="N176" s="154"/>
      <c r="O176" s="154"/>
      <c r="P176" s="154"/>
      <c r="Q176" s="154"/>
      <c r="R176" s="154"/>
      <c r="S176" s="154"/>
      <c r="T176" s="154"/>
      <c r="U176" s="154"/>
      <c r="V176" s="154"/>
      <c r="W176" s="154"/>
      <c r="X176" s="154"/>
      <c r="Y176" s="154"/>
      <c r="Z176" s="154"/>
      <c r="AA176" s="154"/>
    </row>
    <row r="177" spans="1:27" ht="15">
      <c r="A177" s="180">
        <v>45823</v>
      </c>
      <c r="B177" s="181" t="s">
        <v>12963</v>
      </c>
      <c r="C177" s="182" t="s">
        <v>61</v>
      </c>
      <c r="D177" s="182">
        <v>56616</v>
      </c>
      <c r="E177" s="183">
        <v>79</v>
      </c>
      <c r="F177" s="183">
        <v>3322</v>
      </c>
      <c r="G177" s="184">
        <v>10</v>
      </c>
      <c r="H177" s="158"/>
      <c r="I177" s="154"/>
      <c r="J177" s="154"/>
      <c r="K177" s="154"/>
      <c r="L177" s="154"/>
      <c r="M177" s="154"/>
      <c r="N177" s="154"/>
      <c r="O177" s="154"/>
      <c r="P177" s="154"/>
      <c r="Q177" s="154"/>
      <c r="R177" s="154"/>
      <c r="S177" s="154"/>
      <c r="T177" s="154"/>
      <c r="U177" s="154"/>
      <c r="V177" s="154"/>
      <c r="W177" s="154"/>
      <c r="X177" s="154"/>
      <c r="Y177" s="154"/>
      <c r="Z177" s="154"/>
      <c r="AA177" s="154"/>
    </row>
    <row r="178" spans="1:27" ht="15">
      <c r="A178" s="180">
        <v>45823</v>
      </c>
      <c r="B178" s="181" t="s">
        <v>12964</v>
      </c>
      <c r="C178" s="182" t="s">
        <v>61</v>
      </c>
      <c r="D178" s="182">
        <v>117826</v>
      </c>
      <c r="E178" s="183">
        <v>266</v>
      </c>
      <c r="F178" s="183">
        <v>12631</v>
      </c>
      <c r="G178" s="184">
        <v>54</v>
      </c>
      <c r="H178" s="158"/>
      <c r="I178" s="154"/>
      <c r="J178" s="154"/>
      <c r="K178" s="154"/>
      <c r="L178" s="154"/>
      <c r="M178" s="154"/>
      <c r="N178" s="154"/>
      <c r="O178" s="154"/>
      <c r="P178" s="154"/>
      <c r="Q178" s="154"/>
      <c r="R178" s="154"/>
      <c r="S178" s="154"/>
      <c r="T178" s="154"/>
      <c r="U178" s="154"/>
      <c r="V178" s="154"/>
      <c r="W178" s="154"/>
      <c r="X178" s="154"/>
      <c r="Y178" s="154"/>
      <c r="Z178" s="154"/>
      <c r="AA178" s="154"/>
    </row>
    <row r="179" spans="1:27" ht="15">
      <c r="A179" s="180">
        <v>45823</v>
      </c>
      <c r="B179" s="181" t="s">
        <v>12965</v>
      </c>
      <c r="C179" s="182" t="s">
        <v>49</v>
      </c>
      <c r="D179" s="182">
        <v>14042</v>
      </c>
      <c r="E179" s="183">
        <v>7</v>
      </c>
      <c r="F179" s="183">
        <v>607</v>
      </c>
      <c r="G179" s="184">
        <v>0</v>
      </c>
      <c r="H179" s="158"/>
      <c r="I179" s="154"/>
      <c r="J179" s="154"/>
      <c r="K179" s="154"/>
      <c r="L179" s="154"/>
      <c r="M179" s="154"/>
      <c r="N179" s="154"/>
      <c r="O179" s="154"/>
      <c r="P179" s="154"/>
      <c r="Q179" s="154"/>
      <c r="R179" s="154"/>
      <c r="S179" s="154"/>
      <c r="T179" s="154"/>
      <c r="U179" s="154"/>
      <c r="V179" s="154"/>
      <c r="W179" s="154"/>
      <c r="X179" s="154"/>
      <c r="Y179" s="154"/>
      <c r="Z179" s="154"/>
      <c r="AA179" s="154"/>
    </row>
    <row r="180" spans="1:27" ht="15">
      <c r="A180" s="180">
        <v>45823</v>
      </c>
      <c r="B180" s="181" t="s">
        <v>12966</v>
      </c>
      <c r="C180" s="182" t="s">
        <v>49</v>
      </c>
      <c r="D180" s="182">
        <v>17626</v>
      </c>
      <c r="E180" s="183">
        <v>19</v>
      </c>
      <c r="F180" s="183">
        <v>542</v>
      </c>
      <c r="G180" s="184">
        <v>1</v>
      </c>
      <c r="H180" s="158"/>
      <c r="I180" s="154"/>
      <c r="J180" s="154"/>
      <c r="K180" s="154"/>
      <c r="L180" s="154"/>
      <c r="M180" s="154"/>
      <c r="N180" s="154"/>
      <c r="O180" s="154"/>
      <c r="P180" s="154"/>
      <c r="Q180" s="154"/>
      <c r="R180" s="154"/>
      <c r="S180" s="154"/>
      <c r="T180" s="154"/>
      <c r="U180" s="154"/>
      <c r="V180" s="154"/>
      <c r="W180" s="154"/>
      <c r="X180" s="154"/>
      <c r="Y180" s="154"/>
      <c r="Z180" s="154"/>
      <c r="AA180" s="154"/>
    </row>
    <row r="181" spans="1:27" ht="15">
      <c r="A181" s="180">
        <v>45823</v>
      </c>
      <c r="B181" s="181" t="s">
        <v>12967</v>
      </c>
      <c r="C181" s="182" t="s">
        <v>49</v>
      </c>
      <c r="D181" s="182">
        <v>16033</v>
      </c>
      <c r="E181" s="183">
        <v>9</v>
      </c>
      <c r="F181" s="183">
        <v>587</v>
      </c>
      <c r="G181" s="184">
        <v>2</v>
      </c>
      <c r="H181" s="158"/>
      <c r="I181" s="154"/>
      <c r="J181" s="154"/>
      <c r="K181" s="154"/>
      <c r="L181" s="154"/>
      <c r="M181" s="154"/>
      <c r="N181" s="154"/>
      <c r="O181" s="154"/>
      <c r="P181" s="154"/>
      <c r="Q181" s="154"/>
      <c r="R181" s="154"/>
      <c r="S181" s="154"/>
      <c r="T181" s="154"/>
      <c r="U181" s="154"/>
      <c r="V181" s="154"/>
      <c r="W181" s="154"/>
      <c r="X181" s="154"/>
      <c r="Y181" s="154"/>
      <c r="Z181" s="154"/>
      <c r="AA181" s="154"/>
    </row>
    <row r="182" spans="1:27" ht="15">
      <c r="A182" s="180">
        <v>45823</v>
      </c>
      <c r="B182" s="181" t="s">
        <v>12968</v>
      </c>
      <c r="C182" s="182" t="s">
        <v>61</v>
      </c>
      <c r="D182" s="182">
        <v>87884</v>
      </c>
      <c r="E182" s="183">
        <v>95</v>
      </c>
      <c r="F182" s="183">
        <v>5613</v>
      </c>
      <c r="G182" s="184">
        <v>14</v>
      </c>
      <c r="H182" s="158"/>
      <c r="I182" s="154"/>
      <c r="J182" s="154"/>
      <c r="K182" s="154"/>
      <c r="L182" s="154"/>
      <c r="M182" s="154"/>
      <c r="N182" s="154"/>
      <c r="O182" s="154"/>
      <c r="P182" s="154"/>
      <c r="Q182" s="154"/>
      <c r="R182" s="154"/>
      <c r="S182" s="154"/>
      <c r="T182" s="154"/>
      <c r="U182" s="154"/>
      <c r="V182" s="154"/>
      <c r="W182" s="154"/>
      <c r="X182" s="154"/>
      <c r="Y182" s="154"/>
      <c r="Z182" s="154"/>
      <c r="AA182" s="154"/>
    </row>
    <row r="183" spans="1:27" ht="15">
      <c r="A183" s="180">
        <v>45824</v>
      </c>
      <c r="B183" s="181" t="s">
        <v>12977</v>
      </c>
      <c r="C183" s="182" t="s">
        <v>752</v>
      </c>
      <c r="D183" s="182">
        <v>4318</v>
      </c>
      <c r="E183" s="183">
        <v>5</v>
      </c>
      <c r="F183" s="183">
        <v>395</v>
      </c>
      <c r="G183" s="184">
        <v>0</v>
      </c>
      <c r="H183" s="158"/>
      <c r="I183" s="154"/>
      <c r="J183" s="154"/>
      <c r="K183" s="154"/>
      <c r="L183" s="154"/>
      <c r="M183" s="154"/>
      <c r="N183" s="154"/>
      <c r="O183" s="154"/>
      <c r="P183" s="154"/>
      <c r="Q183" s="154"/>
      <c r="R183" s="154"/>
      <c r="S183" s="154"/>
      <c r="T183" s="154"/>
      <c r="U183" s="154"/>
      <c r="V183" s="154"/>
      <c r="W183" s="154"/>
      <c r="X183" s="154"/>
      <c r="Y183" s="154"/>
      <c r="Z183" s="154"/>
      <c r="AA183" s="154"/>
    </row>
    <row r="184" spans="1:27" ht="15">
      <c r="A184" s="180">
        <v>45824</v>
      </c>
      <c r="B184" s="181" t="s">
        <v>12978</v>
      </c>
      <c r="C184" s="182" t="s">
        <v>752</v>
      </c>
      <c r="D184" s="182">
        <v>8626</v>
      </c>
      <c r="E184" s="183">
        <v>10</v>
      </c>
      <c r="F184" s="183">
        <v>618</v>
      </c>
      <c r="G184" s="184">
        <v>4</v>
      </c>
      <c r="H184" s="158"/>
      <c r="I184" s="154"/>
      <c r="J184" s="154"/>
      <c r="K184" s="154"/>
      <c r="L184" s="154"/>
      <c r="M184" s="154"/>
      <c r="N184" s="154"/>
      <c r="O184" s="154"/>
      <c r="P184" s="154"/>
      <c r="Q184" s="154"/>
      <c r="R184" s="154"/>
      <c r="S184" s="154"/>
      <c r="T184" s="154"/>
      <c r="U184" s="154"/>
      <c r="V184" s="154"/>
      <c r="W184" s="154"/>
      <c r="X184" s="154"/>
      <c r="Y184" s="154"/>
      <c r="Z184" s="154"/>
      <c r="AA184" s="154"/>
    </row>
    <row r="185" spans="1:27" ht="15">
      <c r="A185" s="180">
        <v>45824</v>
      </c>
      <c r="B185" s="181" t="s">
        <v>12979</v>
      </c>
      <c r="C185" s="182" t="s">
        <v>752</v>
      </c>
      <c r="D185" s="182">
        <v>13980</v>
      </c>
      <c r="E185" s="183">
        <v>34</v>
      </c>
      <c r="F185" s="183">
        <v>1293</v>
      </c>
      <c r="G185" s="184">
        <v>4</v>
      </c>
      <c r="H185" s="158"/>
      <c r="I185" s="154"/>
      <c r="J185" s="154"/>
      <c r="K185" s="154"/>
      <c r="L185" s="154"/>
      <c r="M185" s="154"/>
      <c r="N185" s="154"/>
      <c r="O185" s="154"/>
      <c r="P185" s="154"/>
      <c r="Q185" s="154"/>
      <c r="R185" s="154"/>
      <c r="S185" s="154"/>
      <c r="T185" s="154"/>
      <c r="U185" s="154"/>
      <c r="V185" s="154"/>
      <c r="W185" s="154"/>
      <c r="X185" s="154"/>
      <c r="Y185" s="154"/>
      <c r="Z185" s="154"/>
      <c r="AA185" s="154"/>
    </row>
    <row r="186" spans="1:27" ht="15">
      <c r="A186" s="180">
        <v>45824</v>
      </c>
      <c r="B186" s="181" t="s">
        <v>12969</v>
      </c>
      <c r="C186" s="182" t="s">
        <v>115</v>
      </c>
      <c r="D186" s="182">
        <v>131966</v>
      </c>
      <c r="E186" s="183">
        <v>262</v>
      </c>
      <c r="F186" s="183">
        <v>13003</v>
      </c>
      <c r="G186" s="184">
        <v>46</v>
      </c>
      <c r="H186" s="158"/>
      <c r="I186" s="154"/>
      <c r="J186" s="154"/>
      <c r="K186" s="154"/>
      <c r="L186" s="154"/>
      <c r="M186" s="154"/>
      <c r="N186" s="154"/>
      <c r="O186" s="154"/>
      <c r="P186" s="154"/>
      <c r="Q186" s="154"/>
      <c r="R186" s="154"/>
      <c r="S186" s="154"/>
      <c r="T186" s="154"/>
      <c r="U186" s="154"/>
      <c r="V186" s="154"/>
      <c r="W186" s="154"/>
      <c r="X186" s="154"/>
      <c r="Y186" s="154"/>
      <c r="Z186" s="154"/>
      <c r="AA186" s="154"/>
    </row>
    <row r="187" spans="1:27" ht="15">
      <c r="A187" s="180">
        <v>45824</v>
      </c>
      <c r="B187" s="181" t="s">
        <v>12970</v>
      </c>
      <c r="C187" s="182" t="s">
        <v>115</v>
      </c>
      <c r="D187" s="182">
        <v>88520</v>
      </c>
      <c r="E187" s="183">
        <v>131</v>
      </c>
      <c r="F187" s="183">
        <v>5717</v>
      </c>
      <c r="G187" s="184">
        <v>19</v>
      </c>
      <c r="H187" s="158"/>
      <c r="I187" s="154"/>
      <c r="J187" s="154"/>
      <c r="K187" s="154"/>
      <c r="L187" s="154"/>
      <c r="M187" s="154"/>
      <c r="N187" s="154"/>
      <c r="O187" s="154"/>
      <c r="P187" s="154"/>
      <c r="Q187" s="154"/>
      <c r="R187" s="154"/>
      <c r="S187" s="154"/>
      <c r="T187" s="154"/>
      <c r="U187" s="154"/>
      <c r="V187" s="154"/>
      <c r="W187" s="154"/>
      <c r="X187" s="154"/>
      <c r="Y187" s="154"/>
      <c r="Z187" s="154"/>
      <c r="AA187" s="154"/>
    </row>
    <row r="188" spans="1:27" ht="15">
      <c r="A188" s="180">
        <v>45824</v>
      </c>
      <c r="B188" s="181" t="s">
        <v>12971</v>
      </c>
      <c r="C188" s="182" t="s">
        <v>115</v>
      </c>
      <c r="D188" s="182">
        <v>69437</v>
      </c>
      <c r="E188" s="183">
        <v>91</v>
      </c>
      <c r="F188" s="183">
        <v>5186</v>
      </c>
      <c r="G188" s="184">
        <v>14</v>
      </c>
      <c r="H188" s="158"/>
      <c r="I188" s="154"/>
      <c r="J188" s="154"/>
      <c r="K188" s="154"/>
      <c r="L188" s="154"/>
      <c r="M188" s="154"/>
      <c r="N188" s="154"/>
      <c r="O188" s="154"/>
      <c r="P188" s="154"/>
      <c r="Q188" s="154"/>
      <c r="R188" s="154"/>
      <c r="S188" s="154"/>
      <c r="T188" s="154"/>
      <c r="U188" s="154"/>
      <c r="V188" s="154"/>
      <c r="W188" s="154"/>
      <c r="X188" s="154"/>
      <c r="Y188" s="154"/>
      <c r="Z188" s="154"/>
      <c r="AA188" s="154"/>
    </row>
    <row r="189" spans="1:27" ht="15">
      <c r="A189" s="180">
        <v>45824</v>
      </c>
      <c r="B189" s="181" t="s">
        <v>12963</v>
      </c>
      <c r="C189" s="182" t="s">
        <v>61</v>
      </c>
      <c r="D189" s="182">
        <v>41246</v>
      </c>
      <c r="E189" s="183">
        <v>62</v>
      </c>
      <c r="F189" s="183">
        <v>3259</v>
      </c>
      <c r="G189" s="184">
        <v>10</v>
      </c>
      <c r="H189" s="158"/>
      <c r="I189" s="154"/>
      <c r="J189" s="154"/>
      <c r="K189" s="154"/>
      <c r="L189" s="154"/>
      <c r="M189" s="154"/>
      <c r="N189" s="154"/>
      <c r="O189" s="154"/>
      <c r="P189" s="154"/>
      <c r="Q189" s="154"/>
      <c r="R189" s="154"/>
      <c r="S189" s="154"/>
      <c r="T189" s="154"/>
      <c r="U189" s="154"/>
      <c r="V189" s="154"/>
      <c r="W189" s="154"/>
      <c r="X189" s="154"/>
      <c r="Y189" s="154"/>
      <c r="Z189" s="154"/>
      <c r="AA189" s="154"/>
    </row>
    <row r="190" spans="1:27" ht="15">
      <c r="A190" s="180">
        <v>45824</v>
      </c>
      <c r="B190" s="181" t="s">
        <v>12964</v>
      </c>
      <c r="C190" s="182" t="s">
        <v>61</v>
      </c>
      <c r="D190" s="182">
        <v>22565</v>
      </c>
      <c r="E190" s="183">
        <v>40</v>
      </c>
      <c r="F190" s="183">
        <v>2362</v>
      </c>
      <c r="G190" s="184">
        <v>3</v>
      </c>
      <c r="H190" s="158"/>
      <c r="I190" s="154"/>
      <c r="J190" s="154"/>
      <c r="K190" s="154"/>
      <c r="L190" s="154"/>
      <c r="M190" s="154"/>
      <c r="N190" s="154"/>
      <c r="O190" s="154"/>
      <c r="P190" s="154"/>
      <c r="Q190" s="154"/>
      <c r="R190" s="154"/>
      <c r="S190" s="154"/>
      <c r="T190" s="154"/>
      <c r="U190" s="154"/>
      <c r="V190" s="154"/>
      <c r="W190" s="154"/>
      <c r="X190" s="154"/>
      <c r="Y190" s="154"/>
      <c r="Z190" s="154"/>
      <c r="AA190" s="154"/>
    </row>
    <row r="191" spans="1:27" ht="15">
      <c r="A191" s="180">
        <v>45824</v>
      </c>
      <c r="B191" s="181" t="s">
        <v>12965</v>
      </c>
      <c r="C191" s="182" t="s">
        <v>49</v>
      </c>
      <c r="D191" s="182">
        <v>36754</v>
      </c>
      <c r="E191" s="183">
        <v>21</v>
      </c>
      <c r="F191" s="183">
        <v>1432</v>
      </c>
      <c r="G191" s="184">
        <v>4</v>
      </c>
      <c r="H191" s="158"/>
      <c r="I191" s="154"/>
      <c r="J191" s="154"/>
      <c r="K191" s="154"/>
      <c r="L191" s="154"/>
      <c r="M191" s="154"/>
      <c r="N191" s="154"/>
      <c r="O191" s="154"/>
      <c r="P191" s="154"/>
      <c r="Q191" s="154"/>
      <c r="R191" s="154"/>
      <c r="S191" s="154"/>
      <c r="T191" s="154"/>
      <c r="U191" s="154"/>
      <c r="V191" s="154"/>
      <c r="W191" s="154"/>
      <c r="X191" s="154"/>
      <c r="Y191" s="154"/>
      <c r="Z191" s="154"/>
      <c r="AA191" s="154"/>
    </row>
    <row r="192" spans="1:27" ht="15">
      <c r="A192" s="180">
        <v>45824</v>
      </c>
      <c r="B192" s="181" t="s">
        <v>12966</v>
      </c>
      <c r="C192" s="182" t="s">
        <v>49</v>
      </c>
      <c r="D192" s="182">
        <v>45525</v>
      </c>
      <c r="E192" s="183">
        <v>59</v>
      </c>
      <c r="F192" s="183">
        <v>3469</v>
      </c>
      <c r="G192" s="184">
        <v>5</v>
      </c>
      <c r="H192" s="158"/>
      <c r="I192" s="154"/>
      <c r="J192" s="154"/>
      <c r="K192" s="154"/>
      <c r="L192" s="154"/>
      <c r="M192" s="154"/>
      <c r="N192" s="154"/>
      <c r="O192" s="154"/>
      <c r="P192" s="154"/>
      <c r="Q192" s="154"/>
      <c r="R192" s="154"/>
      <c r="S192" s="154"/>
      <c r="T192" s="154"/>
      <c r="U192" s="154"/>
      <c r="V192" s="154"/>
      <c r="W192" s="154"/>
      <c r="X192" s="154"/>
      <c r="Y192" s="154"/>
      <c r="Z192" s="154"/>
      <c r="AA192" s="154"/>
    </row>
    <row r="193" spans="1:27" ht="15">
      <c r="A193" s="180">
        <v>45824</v>
      </c>
      <c r="B193" s="181" t="s">
        <v>12967</v>
      </c>
      <c r="C193" s="182" t="s">
        <v>49</v>
      </c>
      <c r="D193" s="182">
        <v>80439</v>
      </c>
      <c r="E193" s="183">
        <v>130</v>
      </c>
      <c r="F193" s="183">
        <v>5750</v>
      </c>
      <c r="G193" s="184">
        <v>16</v>
      </c>
      <c r="H193" s="158"/>
      <c r="I193" s="154"/>
      <c r="J193" s="154"/>
      <c r="K193" s="154"/>
      <c r="L193" s="154"/>
      <c r="M193" s="154"/>
      <c r="N193" s="154"/>
      <c r="O193" s="154"/>
      <c r="P193" s="154"/>
      <c r="Q193" s="154"/>
      <c r="R193" s="154"/>
      <c r="S193" s="154"/>
      <c r="T193" s="154"/>
      <c r="U193" s="154"/>
      <c r="V193" s="154"/>
      <c r="W193" s="154"/>
      <c r="X193" s="154"/>
      <c r="Y193" s="154"/>
      <c r="Z193" s="154"/>
      <c r="AA193" s="154"/>
    </row>
    <row r="194" spans="1:27" ht="15">
      <c r="A194" s="180">
        <v>45824</v>
      </c>
      <c r="B194" s="181" t="s">
        <v>12968</v>
      </c>
      <c r="C194" s="182" t="s">
        <v>61</v>
      </c>
      <c r="D194" s="182">
        <v>49594</v>
      </c>
      <c r="E194" s="183">
        <v>63</v>
      </c>
      <c r="F194" s="183">
        <v>4433</v>
      </c>
      <c r="G194" s="184">
        <v>11</v>
      </c>
      <c r="H194" s="158"/>
      <c r="I194" s="154"/>
      <c r="J194" s="154"/>
      <c r="K194" s="154"/>
      <c r="L194" s="154"/>
      <c r="M194" s="154"/>
      <c r="N194" s="154"/>
      <c r="O194" s="154"/>
      <c r="P194" s="154"/>
      <c r="Q194" s="154"/>
      <c r="R194" s="154"/>
      <c r="S194" s="154"/>
      <c r="T194" s="154"/>
      <c r="U194" s="154"/>
      <c r="V194" s="154"/>
      <c r="W194" s="154"/>
      <c r="X194" s="154"/>
      <c r="Y194" s="154"/>
      <c r="Z194" s="154"/>
      <c r="AA194" s="154"/>
    </row>
    <row r="195" spans="1:27" ht="15">
      <c r="A195" s="180">
        <v>45824</v>
      </c>
      <c r="B195" s="181" t="s">
        <v>12955</v>
      </c>
      <c r="C195" s="182" t="s">
        <v>49</v>
      </c>
      <c r="D195" s="182">
        <v>4738</v>
      </c>
      <c r="E195" s="183">
        <v>8</v>
      </c>
      <c r="F195" s="183">
        <v>606</v>
      </c>
      <c r="G195" s="184">
        <v>0</v>
      </c>
      <c r="H195" s="158"/>
      <c r="I195" s="154"/>
      <c r="J195" s="154"/>
      <c r="K195" s="154"/>
      <c r="L195" s="154"/>
      <c r="M195" s="154"/>
      <c r="N195" s="154"/>
      <c r="O195" s="154"/>
      <c r="P195" s="154"/>
      <c r="Q195" s="154"/>
      <c r="R195" s="154"/>
      <c r="S195" s="154"/>
      <c r="T195" s="154"/>
      <c r="U195" s="154"/>
      <c r="V195" s="154"/>
      <c r="W195" s="154"/>
      <c r="X195" s="154"/>
      <c r="Y195" s="154"/>
      <c r="Z195" s="154"/>
      <c r="AA195" s="154"/>
    </row>
    <row r="196" spans="1:27" ht="15">
      <c r="A196" s="180">
        <v>45824</v>
      </c>
      <c r="B196" s="181" t="s">
        <v>12956</v>
      </c>
      <c r="C196" s="182" t="s">
        <v>61</v>
      </c>
      <c r="D196" s="182">
        <v>3141</v>
      </c>
      <c r="E196" s="183">
        <v>7</v>
      </c>
      <c r="F196" s="183">
        <v>309</v>
      </c>
      <c r="G196" s="184">
        <v>0</v>
      </c>
      <c r="H196" s="158"/>
      <c r="I196" s="154"/>
      <c r="J196" s="154"/>
      <c r="K196" s="154"/>
      <c r="L196" s="154"/>
      <c r="M196" s="154"/>
      <c r="N196" s="154"/>
      <c r="O196" s="154"/>
      <c r="P196" s="154"/>
      <c r="Q196" s="154"/>
      <c r="R196" s="154"/>
      <c r="S196" s="154"/>
      <c r="T196" s="154"/>
      <c r="U196" s="154"/>
      <c r="V196" s="154"/>
      <c r="W196" s="154"/>
      <c r="X196" s="154"/>
      <c r="Y196" s="154"/>
      <c r="Z196" s="154"/>
      <c r="AA196" s="154"/>
    </row>
    <row r="197" spans="1:27" ht="15">
      <c r="A197" s="180">
        <v>45825</v>
      </c>
      <c r="B197" s="181" t="s">
        <v>12977</v>
      </c>
      <c r="C197" s="182" t="s">
        <v>752</v>
      </c>
      <c r="D197" s="182">
        <v>46574</v>
      </c>
      <c r="E197" s="183">
        <v>91</v>
      </c>
      <c r="F197" s="183">
        <v>4267</v>
      </c>
      <c r="G197" s="184">
        <v>14</v>
      </c>
      <c r="H197" s="158"/>
      <c r="I197" s="154"/>
      <c r="J197" s="154"/>
      <c r="K197" s="154"/>
      <c r="L197" s="154"/>
      <c r="M197" s="154"/>
      <c r="N197" s="154"/>
      <c r="O197" s="154"/>
      <c r="P197" s="154"/>
      <c r="Q197" s="154"/>
      <c r="R197" s="154"/>
      <c r="S197" s="154"/>
      <c r="T197" s="154"/>
      <c r="U197" s="154"/>
      <c r="V197" s="154"/>
      <c r="W197" s="154"/>
      <c r="X197" s="154"/>
      <c r="Y197" s="154"/>
      <c r="Z197" s="154"/>
      <c r="AA197" s="154"/>
    </row>
    <row r="198" spans="1:27" ht="15">
      <c r="A198" s="180">
        <v>45825</v>
      </c>
      <c r="B198" s="181" t="s">
        <v>12978</v>
      </c>
      <c r="C198" s="182" t="s">
        <v>752</v>
      </c>
      <c r="D198" s="182">
        <v>26887</v>
      </c>
      <c r="E198" s="183">
        <v>21</v>
      </c>
      <c r="F198" s="183">
        <v>1404</v>
      </c>
      <c r="G198" s="184">
        <v>3</v>
      </c>
      <c r="H198" s="158"/>
      <c r="I198" s="154"/>
      <c r="J198" s="154"/>
      <c r="K198" s="154"/>
      <c r="L198" s="154"/>
      <c r="M198" s="154"/>
      <c r="N198" s="154"/>
      <c r="O198" s="154"/>
      <c r="P198" s="154"/>
      <c r="Q198" s="154"/>
      <c r="R198" s="154"/>
      <c r="S198" s="154"/>
      <c r="T198" s="154"/>
      <c r="U198" s="154"/>
      <c r="V198" s="154"/>
      <c r="W198" s="154"/>
      <c r="X198" s="154"/>
      <c r="Y198" s="154"/>
      <c r="Z198" s="154"/>
      <c r="AA198" s="154"/>
    </row>
    <row r="199" spans="1:27" ht="15">
      <c r="A199" s="180">
        <v>45825</v>
      </c>
      <c r="B199" s="181" t="s">
        <v>12979</v>
      </c>
      <c r="C199" s="182" t="s">
        <v>752</v>
      </c>
      <c r="D199" s="182">
        <v>47634</v>
      </c>
      <c r="E199" s="183">
        <v>74</v>
      </c>
      <c r="F199" s="183">
        <v>3340</v>
      </c>
      <c r="G199" s="184">
        <v>11</v>
      </c>
      <c r="H199" s="158"/>
      <c r="I199" s="154"/>
      <c r="J199" s="154"/>
      <c r="K199" s="154"/>
      <c r="L199" s="154"/>
      <c r="M199" s="154"/>
      <c r="N199" s="154"/>
      <c r="O199" s="154"/>
      <c r="P199" s="154"/>
      <c r="Q199" s="154"/>
      <c r="R199" s="154"/>
      <c r="S199" s="154"/>
      <c r="T199" s="154"/>
      <c r="U199" s="154"/>
      <c r="V199" s="154"/>
      <c r="W199" s="154"/>
      <c r="X199" s="154"/>
      <c r="Y199" s="154"/>
      <c r="Z199" s="154"/>
      <c r="AA199" s="154"/>
    </row>
    <row r="200" spans="1:27" ht="15">
      <c r="A200" s="180">
        <v>45825</v>
      </c>
      <c r="B200" s="181" t="s">
        <v>12969</v>
      </c>
      <c r="C200" s="182" t="s">
        <v>115</v>
      </c>
      <c r="D200" s="182">
        <v>82822</v>
      </c>
      <c r="E200" s="183">
        <v>133</v>
      </c>
      <c r="F200" s="183">
        <v>9122</v>
      </c>
      <c r="G200" s="184">
        <v>18</v>
      </c>
      <c r="H200" s="158"/>
      <c r="I200" s="154"/>
      <c r="J200" s="154"/>
      <c r="K200" s="154"/>
      <c r="L200" s="154"/>
      <c r="M200" s="154"/>
      <c r="N200" s="154"/>
      <c r="O200" s="154"/>
      <c r="P200" s="154"/>
      <c r="Q200" s="154"/>
      <c r="R200" s="154"/>
      <c r="S200" s="154"/>
      <c r="T200" s="154"/>
      <c r="U200" s="154"/>
      <c r="V200" s="154"/>
      <c r="W200" s="154"/>
      <c r="X200" s="154"/>
      <c r="Y200" s="154"/>
      <c r="Z200" s="154"/>
      <c r="AA200" s="154"/>
    </row>
    <row r="201" spans="1:27" ht="15">
      <c r="A201" s="180">
        <v>45825</v>
      </c>
      <c r="B201" s="181" t="s">
        <v>12970</v>
      </c>
      <c r="C201" s="182" t="s">
        <v>115</v>
      </c>
      <c r="D201" s="182">
        <v>100997</v>
      </c>
      <c r="E201" s="183">
        <v>118</v>
      </c>
      <c r="F201" s="183">
        <v>6647</v>
      </c>
      <c r="G201" s="184">
        <v>24</v>
      </c>
      <c r="H201" s="158"/>
      <c r="I201" s="154"/>
      <c r="J201" s="154"/>
      <c r="K201" s="154"/>
      <c r="L201" s="154"/>
      <c r="M201" s="154"/>
      <c r="N201" s="154"/>
      <c r="O201" s="154"/>
      <c r="P201" s="154"/>
      <c r="Q201" s="154"/>
      <c r="R201" s="154"/>
      <c r="S201" s="154"/>
      <c r="T201" s="154"/>
      <c r="U201" s="154"/>
      <c r="V201" s="154"/>
      <c r="W201" s="154"/>
      <c r="X201" s="154"/>
      <c r="Y201" s="154"/>
      <c r="Z201" s="154"/>
      <c r="AA201" s="154"/>
    </row>
    <row r="202" spans="1:27" ht="15">
      <c r="A202" s="180">
        <v>45825</v>
      </c>
      <c r="B202" s="181" t="s">
        <v>12971</v>
      </c>
      <c r="C202" s="182" t="s">
        <v>115</v>
      </c>
      <c r="D202" s="182">
        <v>30223</v>
      </c>
      <c r="E202" s="183">
        <v>32</v>
      </c>
      <c r="F202" s="183">
        <v>1874</v>
      </c>
      <c r="G202" s="184">
        <v>5</v>
      </c>
      <c r="H202" s="158"/>
      <c r="I202" s="154"/>
      <c r="J202" s="154"/>
      <c r="K202" s="154"/>
      <c r="L202" s="154"/>
      <c r="M202" s="154"/>
      <c r="N202" s="154"/>
      <c r="O202" s="154"/>
      <c r="P202" s="154"/>
      <c r="Q202" s="154"/>
      <c r="R202" s="154"/>
      <c r="S202" s="154"/>
      <c r="T202" s="154"/>
      <c r="U202" s="154"/>
      <c r="V202" s="154"/>
      <c r="W202" s="154"/>
      <c r="X202" s="154"/>
      <c r="Y202" s="154"/>
      <c r="Z202" s="154"/>
      <c r="AA202" s="154"/>
    </row>
    <row r="203" spans="1:27" ht="15">
      <c r="A203" s="180">
        <v>45825</v>
      </c>
      <c r="B203" s="181" t="s">
        <v>12963</v>
      </c>
      <c r="C203" s="182" t="s">
        <v>61</v>
      </c>
      <c r="D203" s="182">
        <v>125789</v>
      </c>
      <c r="E203" s="183">
        <v>207</v>
      </c>
      <c r="F203" s="183">
        <v>13399</v>
      </c>
      <c r="G203" s="184">
        <v>42</v>
      </c>
      <c r="H203" s="158"/>
      <c r="I203" s="154"/>
      <c r="J203" s="154"/>
      <c r="K203" s="154"/>
      <c r="L203" s="154"/>
      <c r="M203" s="154"/>
      <c r="N203" s="154"/>
      <c r="O203" s="154"/>
      <c r="P203" s="154"/>
      <c r="Q203" s="154"/>
      <c r="R203" s="154"/>
      <c r="S203" s="154"/>
      <c r="T203" s="154"/>
      <c r="U203" s="154"/>
      <c r="V203" s="154"/>
      <c r="W203" s="154"/>
      <c r="X203" s="154"/>
      <c r="Y203" s="154"/>
      <c r="Z203" s="154"/>
      <c r="AA203" s="154"/>
    </row>
    <row r="204" spans="1:27" ht="15">
      <c r="A204" s="180">
        <v>45825</v>
      </c>
      <c r="B204" s="181" t="s">
        <v>12964</v>
      </c>
      <c r="C204" s="182" t="s">
        <v>61</v>
      </c>
      <c r="D204" s="182">
        <v>61863</v>
      </c>
      <c r="E204" s="183">
        <v>99</v>
      </c>
      <c r="F204" s="183">
        <v>6884</v>
      </c>
      <c r="G204" s="184">
        <v>18</v>
      </c>
      <c r="H204" s="158"/>
      <c r="I204" s="154"/>
      <c r="J204" s="154"/>
      <c r="K204" s="154"/>
      <c r="L204" s="154"/>
      <c r="M204" s="154"/>
      <c r="N204" s="154"/>
      <c r="O204" s="154"/>
      <c r="P204" s="154"/>
      <c r="Q204" s="154"/>
      <c r="R204" s="154"/>
      <c r="S204" s="154"/>
      <c r="T204" s="154"/>
      <c r="U204" s="154"/>
      <c r="V204" s="154"/>
      <c r="W204" s="154"/>
      <c r="X204" s="154"/>
      <c r="Y204" s="154"/>
      <c r="Z204" s="154"/>
      <c r="AA204" s="154"/>
    </row>
    <row r="205" spans="1:27" ht="15">
      <c r="A205" s="180">
        <v>45825</v>
      </c>
      <c r="B205" s="181" t="s">
        <v>12965</v>
      </c>
      <c r="C205" s="182" t="s">
        <v>49</v>
      </c>
      <c r="D205" s="182">
        <v>79440</v>
      </c>
      <c r="E205" s="183">
        <v>72</v>
      </c>
      <c r="F205" s="183">
        <v>5697</v>
      </c>
      <c r="G205" s="184">
        <v>16</v>
      </c>
      <c r="H205" s="158"/>
      <c r="I205" s="154"/>
      <c r="J205" s="154"/>
      <c r="K205" s="154"/>
      <c r="L205" s="154"/>
      <c r="M205" s="154"/>
      <c r="N205" s="154"/>
      <c r="O205" s="154"/>
      <c r="P205" s="154"/>
      <c r="Q205" s="154"/>
      <c r="R205" s="154"/>
      <c r="S205" s="154"/>
      <c r="T205" s="154"/>
      <c r="U205" s="154"/>
      <c r="V205" s="154"/>
      <c r="W205" s="154"/>
      <c r="X205" s="154"/>
      <c r="Y205" s="154"/>
      <c r="Z205" s="154"/>
      <c r="AA205" s="154"/>
    </row>
    <row r="206" spans="1:27" ht="15">
      <c r="A206" s="180">
        <v>45825</v>
      </c>
      <c r="B206" s="181" t="s">
        <v>12966</v>
      </c>
      <c r="C206" s="182" t="s">
        <v>49</v>
      </c>
      <c r="D206" s="182">
        <v>84266</v>
      </c>
      <c r="E206" s="183">
        <v>122</v>
      </c>
      <c r="F206" s="183">
        <v>7161</v>
      </c>
      <c r="G206" s="184">
        <v>23</v>
      </c>
      <c r="H206" s="158"/>
      <c r="I206" s="154"/>
      <c r="J206" s="154"/>
      <c r="K206" s="154"/>
      <c r="L206" s="154"/>
      <c r="M206" s="154"/>
      <c r="N206" s="154"/>
      <c r="O206" s="154"/>
      <c r="P206" s="154"/>
      <c r="Q206" s="154"/>
      <c r="R206" s="154"/>
      <c r="S206" s="154"/>
      <c r="T206" s="154"/>
      <c r="U206" s="154"/>
      <c r="V206" s="154"/>
      <c r="W206" s="154"/>
      <c r="X206" s="154"/>
      <c r="Y206" s="154"/>
      <c r="Z206" s="154"/>
      <c r="AA206" s="154"/>
    </row>
    <row r="207" spans="1:27" ht="15">
      <c r="A207" s="180">
        <v>45825</v>
      </c>
      <c r="B207" s="181" t="s">
        <v>12967</v>
      </c>
      <c r="C207" s="182" t="s">
        <v>49</v>
      </c>
      <c r="D207" s="182">
        <v>90392</v>
      </c>
      <c r="E207" s="183">
        <v>132</v>
      </c>
      <c r="F207" s="183">
        <v>6124</v>
      </c>
      <c r="G207" s="184">
        <v>18</v>
      </c>
      <c r="H207" s="158"/>
      <c r="I207" s="154"/>
      <c r="J207" s="154"/>
      <c r="K207" s="154"/>
      <c r="L207" s="154"/>
      <c r="M207" s="154"/>
      <c r="N207" s="154"/>
      <c r="O207" s="154"/>
      <c r="P207" s="154"/>
      <c r="Q207" s="154"/>
      <c r="R207" s="154"/>
      <c r="S207" s="154"/>
      <c r="T207" s="154"/>
      <c r="U207" s="154"/>
      <c r="V207" s="154"/>
      <c r="W207" s="154"/>
      <c r="X207" s="154"/>
      <c r="Y207" s="154"/>
      <c r="Z207" s="154"/>
      <c r="AA207" s="154"/>
    </row>
    <row r="208" spans="1:27" ht="15">
      <c r="A208" s="180">
        <v>45825</v>
      </c>
      <c r="B208" s="181" t="s">
        <v>12968</v>
      </c>
      <c r="C208" s="182" t="s">
        <v>61</v>
      </c>
      <c r="D208" s="182">
        <v>40748</v>
      </c>
      <c r="E208" s="183">
        <v>39</v>
      </c>
      <c r="F208" s="183">
        <v>2467</v>
      </c>
      <c r="G208" s="184">
        <v>5</v>
      </c>
      <c r="H208" s="158"/>
      <c r="I208" s="154"/>
      <c r="J208" s="154"/>
      <c r="K208" s="154"/>
      <c r="L208" s="154"/>
      <c r="M208" s="154"/>
      <c r="N208" s="154"/>
      <c r="O208" s="154"/>
      <c r="P208" s="154"/>
      <c r="Q208" s="154"/>
      <c r="R208" s="154"/>
      <c r="S208" s="154"/>
      <c r="T208" s="154"/>
      <c r="U208" s="154"/>
      <c r="V208" s="154"/>
      <c r="W208" s="154"/>
      <c r="X208" s="154"/>
      <c r="Y208" s="154"/>
      <c r="Z208" s="154"/>
      <c r="AA208" s="154"/>
    </row>
    <row r="209" spans="1:27" ht="15">
      <c r="A209" s="180">
        <v>45826</v>
      </c>
      <c r="B209" s="181" t="s">
        <v>12980</v>
      </c>
      <c r="C209" s="182" t="s">
        <v>115</v>
      </c>
      <c r="D209" s="182">
        <v>101597</v>
      </c>
      <c r="E209" s="183">
        <v>120</v>
      </c>
      <c r="F209" s="183">
        <v>7632</v>
      </c>
      <c r="G209" s="184">
        <v>28</v>
      </c>
      <c r="H209" s="158"/>
      <c r="I209" s="154"/>
      <c r="J209" s="154"/>
      <c r="K209" s="154"/>
      <c r="L209" s="154"/>
      <c r="M209" s="154"/>
      <c r="N209" s="154"/>
      <c r="O209" s="154"/>
      <c r="P209" s="154"/>
      <c r="Q209" s="154"/>
      <c r="R209" s="154"/>
      <c r="S209" s="154"/>
      <c r="T209" s="154"/>
      <c r="U209" s="154"/>
      <c r="V209" s="154"/>
      <c r="W209" s="154"/>
      <c r="X209" s="154"/>
      <c r="Y209" s="154"/>
      <c r="Z209" s="154"/>
      <c r="AA209" s="154"/>
    </row>
    <row r="210" spans="1:27" ht="15">
      <c r="A210" s="180">
        <v>45826</v>
      </c>
      <c r="B210" s="181" t="s">
        <v>12981</v>
      </c>
      <c r="C210" s="182" t="s">
        <v>115</v>
      </c>
      <c r="D210" s="182">
        <v>16544</v>
      </c>
      <c r="E210" s="183">
        <v>16</v>
      </c>
      <c r="F210" s="183">
        <v>1118</v>
      </c>
      <c r="G210" s="184">
        <v>1</v>
      </c>
      <c r="H210" s="158"/>
      <c r="I210" s="154"/>
      <c r="J210" s="154"/>
      <c r="K210" s="154"/>
      <c r="L210" s="154"/>
      <c r="M210" s="154"/>
      <c r="N210" s="154"/>
      <c r="O210" s="154"/>
      <c r="P210" s="154"/>
      <c r="Q210" s="154"/>
      <c r="R210" s="154"/>
      <c r="S210" s="154"/>
      <c r="T210" s="154"/>
      <c r="U210" s="154"/>
      <c r="V210" s="154"/>
      <c r="W210" s="154"/>
      <c r="X210" s="154"/>
      <c r="Y210" s="154"/>
      <c r="Z210" s="154"/>
      <c r="AA210" s="154"/>
    </row>
    <row r="211" spans="1:27" ht="15">
      <c r="A211" s="180">
        <v>45826</v>
      </c>
      <c r="B211" s="181" t="s">
        <v>12982</v>
      </c>
      <c r="C211" s="182" t="s">
        <v>61</v>
      </c>
      <c r="D211" s="182">
        <v>33869</v>
      </c>
      <c r="E211" s="183">
        <v>63</v>
      </c>
      <c r="F211" s="183">
        <v>2973</v>
      </c>
      <c r="G211" s="184">
        <v>10</v>
      </c>
      <c r="H211" s="158"/>
      <c r="I211" s="154"/>
      <c r="J211" s="154"/>
      <c r="K211" s="154"/>
      <c r="L211" s="154"/>
      <c r="M211" s="154"/>
      <c r="N211" s="154"/>
      <c r="O211" s="154"/>
      <c r="P211" s="154"/>
      <c r="Q211" s="154"/>
      <c r="R211" s="154"/>
      <c r="S211" s="154"/>
      <c r="T211" s="154"/>
      <c r="U211" s="154"/>
      <c r="V211" s="154"/>
      <c r="W211" s="154"/>
      <c r="X211" s="154"/>
      <c r="Y211" s="154"/>
      <c r="Z211" s="154"/>
      <c r="AA211" s="154"/>
    </row>
    <row r="212" spans="1:27" ht="15">
      <c r="A212" s="180">
        <v>45826</v>
      </c>
      <c r="B212" s="181" t="s">
        <v>12983</v>
      </c>
      <c r="C212" s="182" t="s">
        <v>61</v>
      </c>
      <c r="D212" s="182">
        <v>17562</v>
      </c>
      <c r="E212" s="183">
        <v>9</v>
      </c>
      <c r="F212" s="183">
        <v>1074</v>
      </c>
      <c r="G212" s="184">
        <v>0</v>
      </c>
      <c r="H212" s="158"/>
      <c r="I212" s="154"/>
      <c r="J212" s="154"/>
      <c r="K212" s="154"/>
      <c r="L212" s="154"/>
      <c r="M212" s="154"/>
      <c r="N212" s="154"/>
      <c r="O212" s="154"/>
      <c r="P212" s="154"/>
      <c r="Q212" s="154"/>
      <c r="R212" s="154"/>
      <c r="S212" s="154"/>
      <c r="T212" s="154"/>
      <c r="U212" s="154"/>
      <c r="V212" s="154"/>
      <c r="W212" s="154"/>
      <c r="X212" s="154"/>
      <c r="Y212" s="154"/>
      <c r="Z212" s="154"/>
      <c r="AA212" s="154"/>
    </row>
    <row r="213" spans="1:27" ht="15">
      <c r="A213" s="180">
        <v>45826</v>
      </c>
      <c r="B213" s="181" t="s">
        <v>12969</v>
      </c>
      <c r="C213" s="182" t="s">
        <v>115</v>
      </c>
      <c r="D213" s="182">
        <v>72159</v>
      </c>
      <c r="E213" s="183">
        <v>155</v>
      </c>
      <c r="F213" s="183">
        <v>9529</v>
      </c>
      <c r="G213" s="184">
        <v>25</v>
      </c>
      <c r="H213" s="158"/>
      <c r="I213" s="154"/>
      <c r="J213" s="154"/>
      <c r="K213" s="154"/>
      <c r="L213" s="154"/>
      <c r="M213" s="154"/>
      <c r="N213" s="154"/>
      <c r="O213" s="154"/>
      <c r="P213" s="154"/>
      <c r="Q213" s="154"/>
      <c r="R213" s="154"/>
      <c r="S213" s="154"/>
      <c r="T213" s="154"/>
      <c r="U213" s="154"/>
      <c r="V213" s="154"/>
      <c r="W213" s="154"/>
      <c r="X213" s="154"/>
      <c r="Y213" s="154"/>
      <c r="Z213" s="154"/>
      <c r="AA213" s="154"/>
    </row>
    <row r="214" spans="1:27" ht="15">
      <c r="A214" s="180">
        <v>45826</v>
      </c>
      <c r="B214" s="181" t="s">
        <v>12970</v>
      </c>
      <c r="C214" s="182" t="s">
        <v>115</v>
      </c>
      <c r="D214" s="182">
        <v>51225</v>
      </c>
      <c r="E214" s="183">
        <v>37</v>
      </c>
      <c r="F214" s="183">
        <v>2906</v>
      </c>
      <c r="G214" s="184">
        <v>7</v>
      </c>
      <c r="H214" s="158"/>
      <c r="I214" s="154"/>
      <c r="J214" s="154"/>
      <c r="K214" s="154"/>
      <c r="L214" s="154"/>
      <c r="M214" s="154"/>
      <c r="N214" s="154"/>
      <c r="O214" s="154"/>
      <c r="P214" s="154"/>
      <c r="Q214" s="154"/>
      <c r="R214" s="154"/>
      <c r="S214" s="154"/>
      <c r="T214" s="154"/>
      <c r="U214" s="154"/>
      <c r="V214" s="154"/>
      <c r="W214" s="154"/>
      <c r="X214" s="154"/>
      <c r="Y214" s="154"/>
      <c r="Z214" s="154"/>
      <c r="AA214" s="154"/>
    </row>
    <row r="215" spans="1:27" ht="15">
      <c r="A215" s="180">
        <v>45826</v>
      </c>
      <c r="B215" s="181" t="s">
        <v>12971</v>
      </c>
      <c r="C215" s="182" t="s">
        <v>115</v>
      </c>
      <c r="D215" s="182">
        <v>13522</v>
      </c>
      <c r="E215" s="183">
        <v>14</v>
      </c>
      <c r="F215" s="183">
        <v>911</v>
      </c>
      <c r="G215" s="184">
        <v>3</v>
      </c>
      <c r="H215" s="158"/>
      <c r="I215" s="154"/>
      <c r="J215" s="154"/>
      <c r="K215" s="154"/>
      <c r="L215" s="154"/>
      <c r="M215" s="154"/>
      <c r="N215" s="154"/>
      <c r="O215" s="154"/>
      <c r="P215" s="154"/>
      <c r="Q215" s="154"/>
      <c r="R215" s="154"/>
      <c r="S215" s="154"/>
      <c r="T215" s="154"/>
      <c r="U215" s="154"/>
      <c r="V215" s="154"/>
      <c r="W215" s="154"/>
      <c r="X215" s="154"/>
      <c r="Y215" s="154"/>
      <c r="Z215" s="154"/>
      <c r="AA215" s="154"/>
    </row>
    <row r="216" spans="1:27" ht="15">
      <c r="A216" s="180">
        <v>45826</v>
      </c>
      <c r="B216" s="181" t="s">
        <v>12963</v>
      </c>
      <c r="C216" s="182" t="s">
        <v>61</v>
      </c>
      <c r="D216" s="182">
        <v>58875</v>
      </c>
      <c r="E216" s="183">
        <v>115</v>
      </c>
      <c r="F216" s="183">
        <v>6108</v>
      </c>
      <c r="G216" s="184">
        <v>15</v>
      </c>
      <c r="H216" s="158"/>
      <c r="I216" s="154"/>
      <c r="J216" s="154"/>
      <c r="K216" s="154"/>
      <c r="L216" s="154"/>
      <c r="M216" s="154"/>
      <c r="N216" s="154"/>
      <c r="O216" s="154"/>
      <c r="P216" s="154"/>
      <c r="Q216" s="154"/>
      <c r="R216" s="154"/>
      <c r="S216" s="154"/>
      <c r="T216" s="154"/>
      <c r="U216" s="154"/>
      <c r="V216" s="154"/>
      <c r="W216" s="154"/>
      <c r="X216" s="154"/>
      <c r="Y216" s="154"/>
      <c r="Z216" s="154"/>
      <c r="AA216" s="154"/>
    </row>
    <row r="217" spans="1:27" ht="15">
      <c r="A217" s="180">
        <v>45826</v>
      </c>
      <c r="B217" s="181" t="s">
        <v>12964</v>
      </c>
      <c r="C217" s="182" t="s">
        <v>61</v>
      </c>
      <c r="D217" s="182">
        <v>73881</v>
      </c>
      <c r="E217" s="183">
        <v>159</v>
      </c>
      <c r="F217" s="183">
        <v>10567</v>
      </c>
      <c r="G217" s="184">
        <v>28</v>
      </c>
      <c r="H217" s="158"/>
      <c r="I217" s="154"/>
      <c r="J217" s="154"/>
      <c r="K217" s="154"/>
      <c r="L217" s="154"/>
      <c r="M217" s="154"/>
      <c r="N217" s="154"/>
      <c r="O217" s="154"/>
      <c r="P217" s="154"/>
      <c r="Q217" s="154"/>
      <c r="R217" s="154"/>
      <c r="S217" s="154"/>
      <c r="T217" s="154"/>
      <c r="U217" s="154"/>
      <c r="V217" s="154"/>
      <c r="W217" s="154"/>
      <c r="X217" s="154"/>
      <c r="Y217" s="154"/>
      <c r="Z217" s="154"/>
      <c r="AA217" s="154"/>
    </row>
    <row r="218" spans="1:27" ht="15">
      <c r="A218" s="180">
        <v>45826</v>
      </c>
      <c r="B218" s="181" t="s">
        <v>12965</v>
      </c>
      <c r="C218" s="182" t="s">
        <v>49</v>
      </c>
      <c r="D218" s="182">
        <v>42195</v>
      </c>
      <c r="E218" s="183">
        <v>24</v>
      </c>
      <c r="F218" s="183">
        <v>2013</v>
      </c>
      <c r="G218" s="184">
        <v>4</v>
      </c>
      <c r="H218" s="158"/>
      <c r="I218" s="154"/>
      <c r="J218" s="154"/>
      <c r="K218" s="154"/>
      <c r="L218" s="154"/>
      <c r="M218" s="154"/>
      <c r="N218" s="154"/>
      <c r="O218" s="154"/>
      <c r="P218" s="154"/>
      <c r="Q218" s="154"/>
      <c r="R218" s="154"/>
      <c r="S218" s="154"/>
      <c r="T218" s="154"/>
      <c r="U218" s="154"/>
      <c r="V218" s="154"/>
      <c r="W218" s="154"/>
      <c r="X218" s="154"/>
      <c r="Y218" s="154"/>
      <c r="Z218" s="154"/>
      <c r="AA218" s="154"/>
    </row>
    <row r="219" spans="1:27" ht="15">
      <c r="A219" s="180">
        <v>45826</v>
      </c>
      <c r="B219" s="181" t="s">
        <v>12966</v>
      </c>
      <c r="C219" s="182" t="s">
        <v>49</v>
      </c>
      <c r="D219" s="182">
        <v>82677</v>
      </c>
      <c r="E219" s="183">
        <v>85</v>
      </c>
      <c r="F219" s="183">
        <v>5811</v>
      </c>
      <c r="G219" s="184">
        <v>15</v>
      </c>
      <c r="H219" s="158"/>
      <c r="I219" s="154"/>
      <c r="J219" s="154"/>
      <c r="K219" s="154"/>
      <c r="L219" s="154"/>
      <c r="M219" s="154"/>
      <c r="N219" s="154"/>
      <c r="O219" s="154"/>
      <c r="P219" s="154"/>
      <c r="Q219" s="154"/>
      <c r="R219" s="154"/>
      <c r="S219" s="154"/>
      <c r="T219" s="154"/>
      <c r="U219" s="154"/>
      <c r="V219" s="154"/>
      <c r="W219" s="154"/>
      <c r="X219" s="154"/>
      <c r="Y219" s="154"/>
      <c r="Z219" s="154"/>
      <c r="AA219" s="154"/>
    </row>
    <row r="220" spans="1:27" ht="15">
      <c r="A220" s="180">
        <v>45826</v>
      </c>
      <c r="B220" s="181" t="s">
        <v>12967</v>
      </c>
      <c r="C220" s="182" t="s">
        <v>49</v>
      </c>
      <c r="D220" s="182">
        <v>121525</v>
      </c>
      <c r="E220" s="183">
        <v>220</v>
      </c>
      <c r="F220" s="183">
        <v>10372</v>
      </c>
      <c r="G220" s="184">
        <v>27</v>
      </c>
      <c r="H220" s="158"/>
      <c r="I220" s="154"/>
      <c r="J220" s="154"/>
      <c r="K220" s="154"/>
      <c r="L220" s="154"/>
      <c r="M220" s="154"/>
      <c r="N220" s="154"/>
      <c r="O220" s="154"/>
      <c r="P220" s="154"/>
      <c r="Q220" s="154"/>
      <c r="R220" s="154"/>
      <c r="S220" s="154"/>
      <c r="T220" s="154"/>
      <c r="U220" s="154"/>
      <c r="V220" s="154"/>
      <c r="W220" s="154"/>
      <c r="X220" s="154"/>
      <c r="Y220" s="154"/>
      <c r="Z220" s="154"/>
      <c r="AA220" s="154"/>
    </row>
    <row r="221" spans="1:27" ht="15">
      <c r="A221" s="180">
        <v>45826</v>
      </c>
      <c r="B221" s="181" t="s">
        <v>12968</v>
      </c>
      <c r="C221" s="182" t="s">
        <v>61</v>
      </c>
      <c r="D221" s="182">
        <v>15251</v>
      </c>
      <c r="E221" s="183">
        <v>20</v>
      </c>
      <c r="F221" s="183">
        <v>1291</v>
      </c>
      <c r="G221" s="184">
        <v>1</v>
      </c>
      <c r="H221" s="158"/>
      <c r="I221" s="154"/>
      <c r="J221" s="154"/>
      <c r="K221" s="154"/>
      <c r="L221" s="154"/>
      <c r="M221" s="154"/>
      <c r="N221" s="154"/>
      <c r="O221" s="154"/>
      <c r="P221" s="154"/>
      <c r="Q221" s="154"/>
      <c r="R221" s="154"/>
      <c r="S221" s="154"/>
      <c r="T221" s="154"/>
      <c r="U221" s="154"/>
      <c r="V221" s="154"/>
      <c r="W221" s="154"/>
      <c r="X221" s="154"/>
      <c r="Y221" s="154"/>
      <c r="Z221" s="154"/>
      <c r="AA221" s="154"/>
    </row>
    <row r="222" spans="1:27" ht="15">
      <c r="A222" s="180">
        <v>45827</v>
      </c>
      <c r="B222" s="181" t="s">
        <v>12984</v>
      </c>
      <c r="C222" s="182" t="s">
        <v>49</v>
      </c>
      <c r="D222" s="182">
        <v>14548</v>
      </c>
      <c r="E222" s="183">
        <v>8</v>
      </c>
      <c r="F222" s="183">
        <v>626</v>
      </c>
      <c r="G222" s="184">
        <v>3</v>
      </c>
      <c r="H222" s="158"/>
      <c r="I222" s="154"/>
      <c r="J222" s="154"/>
      <c r="K222" s="154"/>
      <c r="L222" s="154"/>
      <c r="M222" s="154"/>
      <c r="N222" s="154"/>
      <c r="O222" s="154"/>
      <c r="P222" s="154"/>
      <c r="Q222" s="154"/>
      <c r="R222" s="154"/>
      <c r="S222" s="154"/>
      <c r="T222" s="154"/>
      <c r="U222" s="154"/>
      <c r="V222" s="154"/>
      <c r="W222" s="154"/>
      <c r="X222" s="154"/>
      <c r="Y222" s="154"/>
      <c r="Z222" s="154"/>
      <c r="AA222" s="154"/>
    </row>
    <row r="223" spans="1:27" ht="15">
      <c r="A223" s="180">
        <v>45827</v>
      </c>
      <c r="B223" s="181" t="s">
        <v>12985</v>
      </c>
      <c r="C223" s="182" t="s">
        <v>115</v>
      </c>
      <c r="D223" s="182">
        <v>5611</v>
      </c>
      <c r="E223" s="183">
        <v>8</v>
      </c>
      <c r="F223" s="183">
        <v>187</v>
      </c>
      <c r="G223" s="184">
        <v>1</v>
      </c>
      <c r="H223" s="158"/>
      <c r="I223" s="154"/>
      <c r="J223" s="154"/>
      <c r="K223" s="154"/>
      <c r="L223" s="154"/>
      <c r="M223" s="154"/>
      <c r="N223" s="154"/>
      <c r="O223" s="154"/>
      <c r="P223" s="154"/>
      <c r="Q223" s="154"/>
      <c r="R223" s="154"/>
      <c r="S223" s="154"/>
      <c r="T223" s="154"/>
      <c r="U223" s="154"/>
      <c r="V223" s="154"/>
      <c r="W223" s="154"/>
      <c r="X223" s="154"/>
      <c r="Y223" s="154"/>
      <c r="Z223" s="154"/>
      <c r="AA223" s="154"/>
    </row>
    <row r="224" spans="1:27" ht="15">
      <c r="A224" s="180">
        <v>45827</v>
      </c>
      <c r="B224" s="181" t="s">
        <v>12980</v>
      </c>
      <c r="C224" s="182" t="s">
        <v>115</v>
      </c>
      <c r="D224" s="182">
        <v>108175</v>
      </c>
      <c r="E224" s="183">
        <v>80</v>
      </c>
      <c r="F224" s="183">
        <v>5710</v>
      </c>
      <c r="G224" s="184">
        <v>15</v>
      </c>
      <c r="H224" s="158"/>
      <c r="I224" s="154"/>
      <c r="J224" s="154"/>
      <c r="K224" s="154"/>
      <c r="L224" s="154"/>
      <c r="M224" s="154"/>
      <c r="N224" s="154"/>
      <c r="O224" s="154"/>
      <c r="P224" s="154"/>
      <c r="Q224" s="154"/>
      <c r="R224" s="154"/>
      <c r="S224" s="154"/>
      <c r="T224" s="154"/>
      <c r="U224" s="154"/>
      <c r="V224" s="154"/>
      <c r="W224" s="154"/>
      <c r="X224" s="154"/>
      <c r="Y224" s="154"/>
      <c r="Z224" s="154"/>
      <c r="AA224" s="154"/>
    </row>
    <row r="225" spans="1:27" ht="15">
      <c r="A225" s="180">
        <v>45827</v>
      </c>
      <c r="B225" s="181" t="s">
        <v>12981</v>
      </c>
      <c r="C225" s="182" t="s">
        <v>115</v>
      </c>
      <c r="D225" s="182">
        <v>13525</v>
      </c>
      <c r="E225" s="183">
        <v>19</v>
      </c>
      <c r="F225" s="183">
        <v>1802</v>
      </c>
      <c r="G225" s="184">
        <v>1</v>
      </c>
      <c r="H225" s="158"/>
      <c r="I225" s="154"/>
      <c r="J225" s="154"/>
      <c r="K225" s="154"/>
      <c r="L225" s="154"/>
      <c r="M225" s="154"/>
      <c r="N225" s="154"/>
      <c r="O225" s="154"/>
      <c r="P225" s="154"/>
      <c r="Q225" s="154"/>
      <c r="R225" s="154"/>
      <c r="S225" s="154"/>
      <c r="T225" s="154"/>
      <c r="U225" s="154"/>
      <c r="V225" s="154"/>
      <c r="W225" s="154"/>
      <c r="X225" s="154"/>
      <c r="Y225" s="154"/>
      <c r="Z225" s="154"/>
      <c r="AA225" s="154"/>
    </row>
    <row r="226" spans="1:27" ht="15">
      <c r="A226" s="180">
        <v>45827</v>
      </c>
      <c r="B226" s="181" t="s">
        <v>12982</v>
      </c>
      <c r="C226" s="182" t="s">
        <v>61</v>
      </c>
      <c r="D226" s="182">
        <v>6830</v>
      </c>
      <c r="E226" s="183">
        <v>9</v>
      </c>
      <c r="F226" s="183">
        <v>1019</v>
      </c>
      <c r="G226" s="184">
        <v>1</v>
      </c>
      <c r="H226" s="158"/>
      <c r="I226" s="154"/>
      <c r="J226" s="154"/>
      <c r="K226" s="154"/>
      <c r="L226" s="154"/>
      <c r="M226" s="154"/>
      <c r="N226" s="154"/>
      <c r="O226" s="154"/>
      <c r="P226" s="154"/>
      <c r="Q226" s="154"/>
      <c r="R226" s="154"/>
      <c r="S226" s="154"/>
      <c r="T226" s="154"/>
      <c r="U226" s="154"/>
      <c r="V226" s="154"/>
      <c r="W226" s="154"/>
      <c r="X226" s="154"/>
      <c r="Y226" s="154"/>
      <c r="Z226" s="154"/>
      <c r="AA226" s="154"/>
    </row>
    <row r="227" spans="1:27" ht="15">
      <c r="A227" s="180">
        <v>45827</v>
      </c>
      <c r="B227" s="181" t="s">
        <v>12983</v>
      </c>
      <c r="C227" s="182" t="s">
        <v>61</v>
      </c>
      <c r="D227" s="182">
        <v>891</v>
      </c>
      <c r="E227" s="183">
        <v>1</v>
      </c>
      <c r="F227" s="183">
        <v>88</v>
      </c>
      <c r="G227" s="184">
        <v>0</v>
      </c>
      <c r="H227" s="158"/>
      <c r="I227" s="154"/>
      <c r="J227" s="154"/>
      <c r="K227" s="154"/>
      <c r="L227" s="154"/>
      <c r="M227" s="154"/>
      <c r="N227" s="154"/>
      <c r="O227" s="154"/>
      <c r="P227" s="154"/>
      <c r="Q227" s="154"/>
      <c r="R227" s="154"/>
      <c r="S227" s="154"/>
      <c r="T227" s="154"/>
      <c r="U227" s="154"/>
      <c r="V227" s="154"/>
      <c r="W227" s="154"/>
      <c r="X227" s="154"/>
      <c r="Y227" s="154"/>
      <c r="Z227" s="154"/>
      <c r="AA227" s="154"/>
    </row>
    <row r="228" spans="1:27" ht="15">
      <c r="A228" s="180">
        <v>45827</v>
      </c>
      <c r="B228" s="181" t="s">
        <v>12969</v>
      </c>
      <c r="C228" s="182" t="s">
        <v>115</v>
      </c>
      <c r="D228" s="182">
        <v>110593</v>
      </c>
      <c r="E228" s="183">
        <v>191</v>
      </c>
      <c r="F228" s="183">
        <v>10152</v>
      </c>
      <c r="G228" s="184">
        <v>30</v>
      </c>
      <c r="H228" s="158"/>
      <c r="I228" s="154"/>
      <c r="J228" s="154"/>
      <c r="K228" s="154"/>
      <c r="L228" s="154"/>
      <c r="M228" s="154"/>
      <c r="N228" s="154"/>
      <c r="O228" s="154"/>
      <c r="P228" s="154"/>
      <c r="Q228" s="154"/>
      <c r="R228" s="154"/>
      <c r="S228" s="154"/>
      <c r="T228" s="154"/>
      <c r="U228" s="154"/>
      <c r="V228" s="154"/>
      <c r="W228" s="154"/>
      <c r="X228" s="154"/>
      <c r="Y228" s="154"/>
      <c r="Z228" s="154"/>
      <c r="AA228" s="154"/>
    </row>
    <row r="229" spans="1:27" ht="15">
      <c r="A229" s="180">
        <v>45827</v>
      </c>
      <c r="B229" s="181" t="s">
        <v>12970</v>
      </c>
      <c r="C229" s="182" t="s">
        <v>115</v>
      </c>
      <c r="D229" s="182">
        <v>12517</v>
      </c>
      <c r="E229" s="183">
        <v>14</v>
      </c>
      <c r="F229" s="183">
        <v>873</v>
      </c>
      <c r="G229" s="184">
        <v>1</v>
      </c>
      <c r="H229" s="158"/>
      <c r="I229" s="154"/>
      <c r="J229" s="154"/>
      <c r="K229" s="154"/>
      <c r="L229" s="154"/>
      <c r="M229" s="154"/>
      <c r="N229" s="154"/>
      <c r="O229" s="154"/>
      <c r="P229" s="154"/>
      <c r="Q229" s="154"/>
      <c r="R229" s="154"/>
      <c r="S229" s="154"/>
      <c r="T229" s="154"/>
      <c r="U229" s="154"/>
      <c r="V229" s="154"/>
      <c r="W229" s="154"/>
      <c r="X229" s="154"/>
      <c r="Y229" s="154"/>
      <c r="Z229" s="154"/>
      <c r="AA229" s="154"/>
    </row>
    <row r="230" spans="1:27" ht="15">
      <c r="A230" s="180">
        <v>45827</v>
      </c>
      <c r="B230" s="181" t="s">
        <v>12971</v>
      </c>
      <c r="C230" s="182" t="s">
        <v>115</v>
      </c>
      <c r="D230" s="182">
        <v>11876</v>
      </c>
      <c r="E230" s="183">
        <v>7</v>
      </c>
      <c r="F230" s="183">
        <v>627</v>
      </c>
      <c r="G230" s="184">
        <v>1</v>
      </c>
      <c r="H230" s="158"/>
      <c r="I230" s="154"/>
      <c r="J230" s="154"/>
      <c r="K230" s="154"/>
      <c r="L230" s="154"/>
      <c r="M230" s="154"/>
      <c r="N230" s="154"/>
      <c r="O230" s="154"/>
      <c r="P230" s="154"/>
      <c r="Q230" s="154"/>
      <c r="R230" s="154"/>
      <c r="S230" s="154"/>
      <c r="T230" s="154"/>
      <c r="U230" s="154"/>
      <c r="V230" s="154"/>
      <c r="W230" s="154"/>
      <c r="X230" s="154"/>
      <c r="Y230" s="154"/>
      <c r="Z230" s="154"/>
      <c r="AA230" s="154"/>
    </row>
    <row r="231" spans="1:27" ht="15">
      <c r="A231" s="180">
        <v>45827</v>
      </c>
      <c r="B231" s="181" t="s">
        <v>12963</v>
      </c>
      <c r="C231" s="182" t="s">
        <v>61</v>
      </c>
      <c r="D231" s="182">
        <v>4990</v>
      </c>
      <c r="E231" s="183">
        <v>5</v>
      </c>
      <c r="F231" s="183">
        <v>321</v>
      </c>
      <c r="G231" s="184">
        <v>0</v>
      </c>
      <c r="H231" s="158"/>
      <c r="I231" s="154"/>
      <c r="J231" s="154"/>
      <c r="K231" s="154"/>
      <c r="L231" s="154"/>
      <c r="M231" s="154"/>
      <c r="N231" s="154"/>
      <c r="O231" s="154"/>
      <c r="P231" s="154"/>
      <c r="Q231" s="154"/>
      <c r="R231" s="154"/>
      <c r="S231" s="154"/>
      <c r="T231" s="154"/>
      <c r="U231" s="154"/>
      <c r="V231" s="154"/>
      <c r="W231" s="154"/>
      <c r="X231" s="154"/>
      <c r="Y231" s="154"/>
      <c r="Z231" s="154"/>
      <c r="AA231" s="154"/>
    </row>
    <row r="232" spans="1:27" ht="15">
      <c r="A232" s="180">
        <v>45827</v>
      </c>
      <c r="B232" s="181" t="s">
        <v>12964</v>
      </c>
      <c r="C232" s="182" t="s">
        <v>61</v>
      </c>
      <c r="D232" s="182">
        <v>702</v>
      </c>
      <c r="E232" s="183">
        <v>0</v>
      </c>
      <c r="F232" s="183">
        <v>78</v>
      </c>
      <c r="G232" s="184">
        <v>0</v>
      </c>
      <c r="H232" s="158"/>
      <c r="I232" s="154"/>
      <c r="J232" s="154"/>
      <c r="K232" s="154"/>
      <c r="L232" s="154"/>
      <c r="M232" s="154"/>
      <c r="N232" s="154"/>
      <c r="O232" s="154"/>
      <c r="P232" s="154"/>
      <c r="Q232" s="154"/>
      <c r="R232" s="154"/>
      <c r="S232" s="154"/>
      <c r="T232" s="154"/>
      <c r="U232" s="154"/>
      <c r="V232" s="154"/>
      <c r="W232" s="154"/>
      <c r="X232" s="154"/>
      <c r="Y232" s="154"/>
      <c r="Z232" s="154"/>
      <c r="AA232" s="154"/>
    </row>
    <row r="233" spans="1:27" ht="15">
      <c r="A233" s="180">
        <v>45827</v>
      </c>
      <c r="B233" s="181" t="s">
        <v>12965</v>
      </c>
      <c r="C233" s="182" t="s">
        <v>49</v>
      </c>
      <c r="D233" s="182">
        <v>12540</v>
      </c>
      <c r="E233" s="183">
        <v>10</v>
      </c>
      <c r="F233" s="183">
        <v>572</v>
      </c>
      <c r="G233" s="184">
        <v>0</v>
      </c>
      <c r="H233" s="158"/>
      <c r="I233" s="154"/>
      <c r="J233" s="154"/>
      <c r="K233" s="154"/>
      <c r="L233" s="154"/>
      <c r="M233" s="154"/>
      <c r="N233" s="154"/>
      <c r="O233" s="154"/>
      <c r="P233" s="154"/>
      <c r="Q233" s="154"/>
      <c r="R233" s="154"/>
      <c r="S233" s="154"/>
      <c r="T233" s="154"/>
      <c r="U233" s="154"/>
      <c r="V233" s="154"/>
      <c r="W233" s="154"/>
      <c r="X233" s="154"/>
      <c r="Y233" s="154"/>
      <c r="Z233" s="154"/>
      <c r="AA233" s="154"/>
    </row>
    <row r="234" spans="1:27" ht="15">
      <c r="A234" s="180">
        <v>45827</v>
      </c>
      <c r="B234" s="181" t="s">
        <v>12966</v>
      </c>
      <c r="C234" s="182" t="s">
        <v>49</v>
      </c>
      <c r="D234" s="182">
        <v>46002</v>
      </c>
      <c r="E234" s="183">
        <v>62</v>
      </c>
      <c r="F234" s="183">
        <v>2223</v>
      </c>
      <c r="G234" s="184">
        <v>10</v>
      </c>
      <c r="H234" s="158"/>
      <c r="I234" s="154"/>
      <c r="J234" s="154"/>
      <c r="K234" s="154"/>
      <c r="L234" s="154"/>
      <c r="M234" s="154"/>
      <c r="N234" s="154"/>
      <c r="O234" s="154"/>
      <c r="P234" s="154"/>
      <c r="Q234" s="154"/>
      <c r="R234" s="154"/>
      <c r="S234" s="154"/>
      <c r="T234" s="154"/>
      <c r="U234" s="154"/>
      <c r="V234" s="154"/>
      <c r="W234" s="154"/>
      <c r="X234" s="154"/>
      <c r="Y234" s="154"/>
      <c r="Z234" s="154"/>
      <c r="AA234" s="154"/>
    </row>
    <row r="235" spans="1:27" ht="15">
      <c r="A235" s="180">
        <v>45827</v>
      </c>
      <c r="B235" s="181" t="s">
        <v>12967</v>
      </c>
      <c r="C235" s="182" t="s">
        <v>49</v>
      </c>
      <c r="D235" s="182">
        <v>22871</v>
      </c>
      <c r="E235" s="183">
        <v>42</v>
      </c>
      <c r="F235" s="183">
        <v>1766</v>
      </c>
      <c r="G235" s="184">
        <v>3</v>
      </c>
      <c r="H235" s="158"/>
      <c r="I235" s="154"/>
      <c r="J235" s="154"/>
      <c r="K235" s="154"/>
      <c r="L235" s="154"/>
      <c r="M235" s="154"/>
      <c r="N235" s="154"/>
      <c r="O235" s="154"/>
      <c r="P235" s="154"/>
      <c r="Q235" s="154"/>
      <c r="R235" s="154"/>
      <c r="S235" s="154"/>
      <c r="T235" s="154"/>
      <c r="U235" s="154"/>
      <c r="V235" s="154"/>
      <c r="W235" s="154"/>
      <c r="X235" s="154"/>
      <c r="Y235" s="154"/>
      <c r="Z235" s="154"/>
      <c r="AA235" s="154"/>
    </row>
    <row r="236" spans="1:27" ht="15">
      <c r="A236" s="180">
        <v>45827</v>
      </c>
      <c r="B236" s="181" t="s">
        <v>12968</v>
      </c>
      <c r="C236" s="182" t="s">
        <v>61</v>
      </c>
      <c r="D236" s="182">
        <v>71</v>
      </c>
      <c r="E236" s="183">
        <v>0</v>
      </c>
      <c r="F236" s="183">
        <v>13</v>
      </c>
      <c r="G236" s="184">
        <v>0</v>
      </c>
      <c r="H236" s="158"/>
      <c r="I236" s="154"/>
      <c r="J236" s="154"/>
      <c r="K236" s="154"/>
      <c r="L236" s="154"/>
      <c r="M236" s="154"/>
      <c r="N236" s="154"/>
      <c r="O236" s="154"/>
      <c r="P236" s="154"/>
      <c r="Q236" s="154"/>
      <c r="R236" s="154"/>
      <c r="S236" s="154"/>
      <c r="T236" s="154"/>
      <c r="U236" s="154"/>
      <c r="V236" s="154"/>
      <c r="W236" s="154"/>
      <c r="X236" s="154"/>
      <c r="Y236" s="154"/>
      <c r="Z236" s="154"/>
      <c r="AA236" s="154"/>
    </row>
    <row r="237" spans="1:27" ht="15">
      <c r="A237" s="180">
        <v>45827</v>
      </c>
      <c r="B237" s="181" t="s">
        <v>12953</v>
      </c>
      <c r="C237" s="182" t="s">
        <v>61</v>
      </c>
      <c r="D237" s="182">
        <v>30</v>
      </c>
      <c r="E237" s="183">
        <v>0</v>
      </c>
      <c r="F237" s="183">
        <v>7</v>
      </c>
      <c r="G237" s="184">
        <v>0</v>
      </c>
      <c r="H237" s="158"/>
      <c r="I237" s="154"/>
      <c r="J237" s="154"/>
      <c r="K237" s="154"/>
      <c r="L237" s="154"/>
      <c r="M237" s="154"/>
      <c r="N237" s="154"/>
      <c r="O237" s="154"/>
      <c r="P237" s="154"/>
      <c r="Q237" s="154"/>
      <c r="R237" s="154"/>
      <c r="S237" s="154"/>
      <c r="T237" s="154"/>
      <c r="U237" s="154"/>
      <c r="V237" s="154"/>
      <c r="W237" s="154"/>
      <c r="X237" s="154"/>
      <c r="Y237" s="154"/>
      <c r="Z237" s="154"/>
      <c r="AA237" s="154"/>
    </row>
    <row r="238" spans="1:27" ht="15">
      <c r="A238" s="180">
        <v>45828</v>
      </c>
      <c r="B238" s="181" t="s">
        <v>12984</v>
      </c>
      <c r="C238" s="182" t="s">
        <v>49</v>
      </c>
      <c r="D238" s="182">
        <v>5441</v>
      </c>
      <c r="E238" s="183">
        <v>0</v>
      </c>
      <c r="F238" s="183">
        <v>212</v>
      </c>
      <c r="G238" s="184">
        <v>0</v>
      </c>
      <c r="H238" s="158"/>
      <c r="I238" s="154"/>
      <c r="J238" s="154"/>
      <c r="K238" s="154"/>
      <c r="L238" s="154"/>
      <c r="M238" s="154"/>
      <c r="N238" s="154"/>
      <c r="O238" s="154"/>
      <c r="P238" s="154"/>
      <c r="Q238" s="154"/>
      <c r="R238" s="154"/>
      <c r="S238" s="154"/>
      <c r="T238" s="154"/>
      <c r="U238" s="154"/>
      <c r="V238" s="154"/>
      <c r="W238" s="154"/>
      <c r="X238" s="154"/>
      <c r="Y238" s="154"/>
      <c r="Z238" s="154"/>
      <c r="AA238" s="154"/>
    </row>
    <row r="239" spans="1:27" ht="15">
      <c r="A239" s="180">
        <v>45828</v>
      </c>
      <c r="B239" s="181" t="s">
        <v>12985</v>
      </c>
      <c r="C239" s="182" t="s">
        <v>115</v>
      </c>
      <c r="D239" s="182">
        <v>5673</v>
      </c>
      <c r="E239" s="183">
        <v>4</v>
      </c>
      <c r="F239" s="183">
        <v>331</v>
      </c>
      <c r="G239" s="184">
        <v>1</v>
      </c>
      <c r="H239" s="158"/>
      <c r="I239" s="154"/>
      <c r="J239" s="154"/>
      <c r="K239" s="154"/>
      <c r="L239" s="154"/>
      <c r="M239" s="154"/>
      <c r="N239" s="154"/>
      <c r="O239" s="154"/>
      <c r="P239" s="154"/>
      <c r="Q239" s="154"/>
      <c r="R239" s="154"/>
      <c r="S239" s="154"/>
      <c r="T239" s="154"/>
      <c r="U239" s="154"/>
      <c r="V239" s="154"/>
      <c r="W239" s="154"/>
      <c r="X239" s="154"/>
      <c r="Y239" s="154"/>
      <c r="Z239" s="154"/>
      <c r="AA239" s="154"/>
    </row>
    <row r="240" spans="1:27" ht="15">
      <c r="A240" s="180">
        <v>45828</v>
      </c>
      <c r="B240" s="181" t="s">
        <v>12986</v>
      </c>
      <c r="C240" s="182" t="s">
        <v>61</v>
      </c>
      <c r="D240" s="182">
        <v>6971</v>
      </c>
      <c r="E240" s="183">
        <v>3</v>
      </c>
      <c r="F240" s="183">
        <v>269</v>
      </c>
      <c r="G240" s="184">
        <v>1</v>
      </c>
      <c r="H240" s="158"/>
      <c r="I240" s="154"/>
      <c r="J240" s="154"/>
      <c r="K240" s="154"/>
      <c r="L240" s="154"/>
      <c r="M240" s="154"/>
      <c r="N240" s="154"/>
      <c r="O240" s="154"/>
      <c r="P240" s="154"/>
      <c r="Q240" s="154"/>
      <c r="R240" s="154"/>
      <c r="S240" s="154"/>
      <c r="T240" s="154"/>
      <c r="U240" s="154"/>
      <c r="V240" s="154"/>
      <c r="W240" s="154"/>
      <c r="X240" s="154"/>
      <c r="Y240" s="154"/>
      <c r="Z240" s="154"/>
      <c r="AA240" s="154"/>
    </row>
    <row r="241" spans="1:27" ht="15">
      <c r="A241" s="180">
        <v>45828</v>
      </c>
      <c r="B241" s="181" t="s">
        <v>12980</v>
      </c>
      <c r="C241" s="182" t="s">
        <v>115</v>
      </c>
      <c r="D241" s="182">
        <v>119576</v>
      </c>
      <c r="E241" s="183">
        <v>237</v>
      </c>
      <c r="F241" s="183">
        <v>16755</v>
      </c>
      <c r="G241" s="184">
        <v>43</v>
      </c>
      <c r="H241" s="158"/>
      <c r="I241" s="154"/>
      <c r="J241" s="154"/>
      <c r="K241" s="154"/>
      <c r="L241" s="154"/>
      <c r="M241" s="154"/>
      <c r="N241" s="154"/>
      <c r="O241" s="154"/>
      <c r="P241" s="154"/>
      <c r="Q241" s="154"/>
      <c r="R241" s="154"/>
      <c r="S241" s="154"/>
      <c r="T241" s="154"/>
      <c r="U241" s="154"/>
      <c r="V241" s="154"/>
      <c r="W241" s="154"/>
      <c r="X241" s="154"/>
      <c r="Y241" s="154"/>
      <c r="Z241" s="154"/>
      <c r="AA241" s="154"/>
    </row>
    <row r="242" spans="1:27" ht="15">
      <c r="A242" s="180">
        <v>45828</v>
      </c>
      <c r="B242" s="181" t="s">
        <v>12981</v>
      </c>
      <c r="C242" s="182" t="s">
        <v>115</v>
      </c>
      <c r="D242" s="182">
        <v>91657</v>
      </c>
      <c r="E242" s="183">
        <v>69</v>
      </c>
      <c r="F242" s="183">
        <v>4738</v>
      </c>
      <c r="G242" s="184">
        <v>16</v>
      </c>
      <c r="H242" s="158"/>
      <c r="I242" s="154"/>
      <c r="J242" s="154"/>
      <c r="K242" s="154"/>
      <c r="L242" s="154"/>
      <c r="M242" s="154"/>
      <c r="N242" s="154"/>
      <c r="O242" s="154"/>
      <c r="P242" s="154"/>
      <c r="Q242" s="154"/>
      <c r="R242" s="154"/>
      <c r="S242" s="154"/>
      <c r="T242" s="154"/>
      <c r="U242" s="154"/>
      <c r="V242" s="154"/>
      <c r="W242" s="154"/>
      <c r="X242" s="154"/>
      <c r="Y242" s="154"/>
      <c r="Z242" s="154"/>
      <c r="AA242" s="154"/>
    </row>
    <row r="243" spans="1:27" ht="15">
      <c r="A243" s="180">
        <v>45828</v>
      </c>
      <c r="B243" s="181" t="s">
        <v>12982</v>
      </c>
      <c r="C243" s="182" t="s">
        <v>61</v>
      </c>
      <c r="D243" s="182">
        <v>73144</v>
      </c>
      <c r="E243" s="183">
        <v>95</v>
      </c>
      <c r="F243" s="183">
        <v>7695</v>
      </c>
      <c r="G243" s="184">
        <v>17</v>
      </c>
      <c r="H243" s="158"/>
      <c r="I243" s="154"/>
      <c r="J243" s="154"/>
      <c r="K243" s="154"/>
      <c r="L243" s="154"/>
      <c r="M243" s="154"/>
      <c r="N243" s="154"/>
      <c r="O243" s="154"/>
      <c r="P243" s="154"/>
      <c r="Q243" s="154"/>
      <c r="R243" s="154"/>
      <c r="S243" s="154"/>
      <c r="T243" s="154"/>
      <c r="U243" s="154"/>
      <c r="V243" s="154"/>
      <c r="W243" s="154"/>
      <c r="X243" s="154"/>
      <c r="Y243" s="154"/>
      <c r="Z243" s="154"/>
      <c r="AA243" s="154"/>
    </row>
    <row r="244" spans="1:27" ht="15">
      <c r="A244" s="180">
        <v>45828</v>
      </c>
      <c r="B244" s="181" t="s">
        <v>12983</v>
      </c>
      <c r="C244" s="182" t="s">
        <v>61</v>
      </c>
      <c r="D244" s="182">
        <v>24420</v>
      </c>
      <c r="E244" s="183">
        <v>12</v>
      </c>
      <c r="F244" s="183">
        <v>1466</v>
      </c>
      <c r="G244" s="184">
        <v>2</v>
      </c>
      <c r="H244" s="158"/>
      <c r="I244" s="154"/>
      <c r="J244" s="154"/>
      <c r="K244" s="154"/>
      <c r="L244" s="154"/>
      <c r="M244" s="154"/>
      <c r="N244" s="154"/>
      <c r="O244" s="154"/>
      <c r="P244" s="154"/>
      <c r="Q244" s="154"/>
      <c r="R244" s="154"/>
      <c r="S244" s="154"/>
      <c r="T244" s="154"/>
      <c r="U244" s="154"/>
      <c r="V244" s="154"/>
      <c r="W244" s="154"/>
      <c r="X244" s="154"/>
      <c r="Y244" s="154"/>
      <c r="Z244" s="154"/>
      <c r="AA244" s="154"/>
    </row>
    <row r="245" spans="1:27" ht="15">
      <c r="A245" s="180">
        <v>45828</v>
      </c>
      <c r="B245" s="181" t="s">
        <v>12987</v>
      </c>
      <c r="C245" s="182" t="s">
        <v>752</v>
      </c>
      <c r="D245" s="182">
        <v>42390</v>
      </c>
      <c r="E245" s="183">
        <v>33</v>
      </c>
      <c r="F245" s="183">
        <v>2961</v>
      </c>
      <c r="G245" s="184">
        <v>8</v>
      </c>
      <c r="H245" s="158"/>
      <c r="I245" s="154"/>
      <c r="J245" s="154"/>
      <c r="K245" s="154"/>
      <c r="L245" s="154"/>
      <c r="M245" s="154"/>
      <c r="N245" s="154"/>
      <c r="O245" s="154"/>
      <c r="P245" s="154"/>
      <c r="Q245" s="154"/>
      <c r="R245" s="154"/>
      <c r="S245" s="154"/>
      <c r="T245" s="154"/>
      <c r="U245" s="154"/>
      <c r="V245" s="154"/>
      <c r="W245" s="154"/>
      <c r="X245" s="154"/>
      <c r="Y245" s="154"/>
      <c r="Z245" s="154"/>
      <c r="AA245" s="154"/>
    </row>
    <row r="246" spans="1:27" ht="15">
      <c r="A246" s="180">
        <v>45828</v>
      </c>
      <c r="B246" s="181" t="s">
        <v>12988</v>
      </c>
      <c r="C246" s="182" t="s">
        <v>752</v>
      </c>
      <c r="D246" s="182">
        <v>20317</v>
      </c>
      <c r="E246" s="183">
        <v>6</v>
      </c>
      <c r="F246" s="183">
        <v>937</v>
      </c>
      <c r="G246" s="184">
        <v>2</v>
      </c>
      <c r="H246" s="158"/>
      <c r="I246" s="154"/>
      <c r="J246" s="154"/>
      <c r="K246" s="154"/>
      <c r="L246" s="154"/>
      <c r="M246" s="154"/>
      <c r="N246" s="154"/>
      <c r="O246" s="154"/>
      <c r="P246" s="154"/>
      <c r="Q246" s="154"/>
      <c r="R246" s="154"/>
      <c r="S246" s="154"/>
      <c r="T246" s="154"/>
      <c r="U246" s="154"/>
      <c r="V246" s="154"/>
      <c r="W246" s="154"/>
      <c r="X246" s="154"/>
      <c r="Y246" s="154"/>
      <c r="Z246" s="154"/>
      <c r="AA246" s="154"/>
    </row>
    <row r="247" spans="1:27" ht="15">
      <c r="A247" s="180">
        <v>45828</v>
      </c>
      <c r="B247" s="181" t="s">
        <v>12989</v>
      </c>
      <c r="C247" s="182" t="s">
        <v>752</v>
      </c>
      <c r="D247" s="182">
        <v>18967</v>
      </c>
      <c r="E247" s="183">
        <v>16</v>
      </c>
      <c r="F247" s="183">
        <v>1058</v>
      </c>
      <c r="G247" s="184">
        <v>1</v>
      </c>
      <c r="H247" s="158"/>
      <c r="I247" s="154"/>
      <c r="J247" s="154"/>
      <c r="K247" s="154"/>
      <c r="L247" s="154"/>
      <c r="M247" s="154"/>
      <c r="N247" s="154"/>
      <c r="O247" s="154"/>
      <c r="P247" s="154"/>
      <c r="Q247" s="154"/>
      <c r="R247" s="154"/>
      <c r="S247" s="154"/>
      <c r="T247" s="154"/>
      <c r="U247" s="154"/>
      <c r="V247" s="154"/>
      <c r="W247" s="154"/>
      <c r="X247" s="154"/>
      <c r="Y247" s="154"/>
      <c r="Z247" s="154"/>
      <c r="AA247" s="154"/>
    </row>
    <row r="248" spans="1:27" ht="15">
      <c r="A248" s="180">
        <v>45828</v>
      </c>
      <c r="B248" s="181" t="s">
        <v>12969</v>
      </c>
      <c r="C248" s="182" t="s">
        <v>115</v>
      </c>
      <c r="D248" s="182">
        <v>25148</v>
      </c>
      <c r="E248" s="183">
        <v>14</v>
      </c>
      <c r="F248" s="183">
        <v>1471</v>
      </c>
      <c r="G248" s="184">
        <v>2</v>
      </c>
      <c r="H248" s="158"/>
      <c r="I248" s="154"/>
      <c r="J248" s="154"/>
      <c r="K248" s="154"/>
      <c r="L248" s="154"/>
      <c r="M248" s="154"/>
      <c r="N248" s="154"/>
      <c r="O248" s="154"/>
      <c r="P248" s="154"/>
      <c r="Q248" s="154"/>
      <c r="R248" s="154"/>
      <c r="S248" s="154"/>
      <c r="T248" s="154"/>
      <c r="U248" s="154"/>
      <c r="V248" s="154"/>
      <c r="W248" s="154"/>
      <c r="X248" s="154"/>
      <c r="Y248" s="154"/>
      <c r="Z248" s="154"/>
      <c r="AA248" s="154"/>
    </row>
    <row r="249" spans="1:27" ht="15">
      <c r="A249" s="180">
        <v>45828</v>
      </c>
      <c r="B249" s="181" t="s">
        <v>12970</v>
      </c>
      <c r="C249" s="182" t="s">
        <v>115</v>
      </c>
      <c r="D249" s="182">
        <v>12404</v>
      </c>
      <c r="E249" s="183">
        <v>7</v>
      </c>
      <c r="F249" s="183">
        <v>545</v>
      </c>
      <c r="G249" s="184">
        <v>0</v>
      </c>
      <c r="H249" s="158"/>
      <c r="I249" s="154"/>
      <c r="J249" s="154"/>
      <c r="K249" s="154"/>
      <c r="L249" s="154"/>
      <c r="M249" s="154"/>
      <c r="N249" s="154"/>
      <c r="O249" s="154"/>
      <c r="P249" s="154"/>
      <c r="Q249" s="154"/>
      <c r="R249" s="154"/>
      <c r="S249" s="154"/>
      <c r="T249" s="154"/>
      <c r="U249" s="154"/>
      <c r="V249" s="154"/>
      <c r="W249" s="154"/>
      <c r="X249" s="154"/>
      <c r="Y249" s="154"/>
      <c r="Z249" s="154"/>
      <c r="AA249" s="154"/>
    </row>
    <row r="250" spans="1:27" ht="15">
      <c r="A250" s="180">
        <v>45828</v>
      </c>
      <c r="B250" s="181" t="s">
        <v>12971</v>
      </c>
      <c r="C250" s="182" t="s">
        <v>115</v>
      </c>
      <c r="D250" s="182">
        <v>24250</v>
      </c>
      <c r="E250" s="183">
        <v>24</v>
      </c>
      <c r="F250" s="183">
        <v>1210</v>
      </c>
      <c r="G250" s="184">
        <v>5</v>
      </c>
      <c r="H250" s="158"/>
      <c r="I250" s="154"/>
      <c r="J250" s="154"/>
      <c r="K250" s="154"/>
      <c r="L250" s="154"/>
      <c r="M250" s="154"/>
      <c r="N250" s="154"/>
      <c r="O250" s="154"/>
      <c r="P250" s="154"/>
      <c r="Q250" s="154"/>
      <c r="R250" s="154"/>
      <c r="S250" s="154"/>
      <c r="T250" s="154"/>
      <c r="U250" s="154"/>
      <c r="V250" s="154"/>
      <c r="W250" s="154"/>
      <c r="X250" s="154"/>
      <c r="Y250" s="154"/>
      <c r="Z250" s="154"/>
      <c r="AA250" s="154"/>
    </row>
    <row r="251" spans="1:27" ht="15">
      <c r="A251" s="180">
        <v>45828</v>
      </c>
      <c r="B251" s="181" t="s">
        <v>12963</v>
      </c>
      <c r="C251" s="182" t="s">
        <v>61</v>
      </c>
      <c r="D251" s="182">
        <v>13174</v>
      </c>
      <c r="E251" s="183">
        <v>4</v>
      </c>
      <c r="F251" s="183">
        <v>462</v>
      </c>
      <c r="G251" s="184">
        <v>0</v>
      </c>
      <c r="H251" s="158"/>
      <c r="I251" s="154"/>
      <c r="J251" s="154"/>
      <c r="K251" s="154"/>
      <c r="L251" s="154"/>
      <c r="M251" s="154"/>
      <c r="N251" s="154"/>
      <c r="O251" s="154"/>
      <c r="P251" s="154"/>
      <c r="Q251" s="154"/>
      <c r="R251" s="154"/>
      <c r="S251" s="154"/>
      <c r="T251" s="154"/>
      <c r="U251" s="154"/>
      <c r="V251" s="154"/>
      <c r="W251" s="154"/>
      <c r="X251" s="154"/>
      <c r="Y251" s="154"/>
      <c r="Z251" s="154"/>
      <c r="AA251" s="154"/>
    </row>
    <row r="252" spans="1:27" ht="15">
      <c r="A252" s="180">
        <v>45828</v>
      </c>
      <c r="B252" s="181" t="s">
        <v>12964</v>
      </c>
      <c r="C252" s="182" t="s">
        <v>61</v>
      </c>
      <c r="D252" s="182">
        <v>15266</v>
      </c>
      <c r="E252" s="183">
        <v>12</v>
      </c>
      <c r="F252" s="183">
        <v>875</v>
      </c>
      <c r="G252" s="184">
        <v>1</v>
      </c>
      <c r="H252" s="158"/>
      <c r="I252" s="154"/>
      <c r="J252" s="154"/>
      <c r="K252" s="154"/>
      <c r="L252" s="154"/>
      <c r="M252" s="154"/>
      <c r="N252" s="154"/>
      <c r="O252" s="154"/>
      <c r="P252" s="154"/>
      <c r="Q252" s="154"/>
      <c r="R252" s="154"/>
      <c r="S252" s="154"/>
      <c r="T252" s="154"/>
      <c r="U252" s="154"/>
      <c r="V252" s="154"/>
      <c r="W252" s="154"/>
      <c r="X252" s="154"/>
      <c r="Y252" s="154"/>
      <c r="Z252" s="154"/>
      <c r="AA252" s="154"/>
    </row>
    <row r="253" spans="1:27" ht="15">
      <c r="A253" s="180">
        <v>45828</v>
      </c>
      <c r="B253" s="181" t="s">
        <v>12965</v>
      </c>
      <c r="C253" s="182" t="s">
        <v>49</v>
      </c>
      <c r="D253" s="182">
        <v>10416</v>
      </c>
      <c r="E253" s="183">
        <v>13</v>
      </c>
      <c r="F253" s="183">
        <v>593</v>
      </c>
      <c r="G253" s="184">
        <v>2</v>
      </c>
      <c r="H253" s="158"/>
      <c r="I253" s="154"/>
      <c r="J253" s="154"/>
      <c r="K253" s="154"/>
      <c r="L253" s="154"/>
      <c r="M253" s="154"/>
      <c r="N253" s="154"/>
      <c r="O253" s="154"/>
      <c r="P253" s="154"/>
      <c r="Q253" s="154"/>
      <c r="R253" s="154"/>
      <c r="S253" s="154"/>
      <c r="T253" s="154"/>
      <c r="U253" s="154"/>
      <c r="V253" s="154"/>
      <c r="W253" s="154"/>
      <c r="X253" s="154"/>
      <c r="Y253" s="154"/>
      <c r="Z253" s="154"/>
      <c r="AA253" s="154"/>
    </row>
    <row r="254" spans="1:27" ht="15">
      <c r="A254" s="180">
        <v>45828</v>
      </c>
      <c r="B254" s="181" t="s">
        <v>12966</v>
      </c>
      <c r="C254" s="182" t="s">
        <v>49</v>
      </c>
      <c r="D254" s="182">
        <v>19639</v>
      </c>
      <c r="E254" s="183">
        <v>15</v>
      </c>
      <c r="F254" s="183">
        <v>1068</v>
      </c>
      <c r="G254" s="184">
        <v>1</v>
      </c>
      <c r="H254" s="158"/>
      <c r="I254" s="154"/>
      <c r="J254" s="154"/>
      <c r="K254" s="154"/>
      <c r="L254" s="154"/>
      <c r="M254" s="154"/>
      <c r="N254" s="154"/>
      <c r="O254" s="154"/>
      <c r="P254" s="154"/>
      <c r="Q254" s="154"/>
      <c r="R254" s="154"/>
      <c r="S254" s="154"/>
      <c r="T254" s="154"/>
      <c r="U254" s="154"/>
      <c r="V254" s="154"/>
      <c r="W254" s="154"/>
      <c r="X254" s="154"/>
      <c r="Y254" s="154"/>
      <c r="Z254" s="154"/>
      <c r="AA254" s="154"/>
    </row>
    <row r="255" spans="1:27" ht="15">
      <c r="A255" s="180">
        <v>45828</v>
      </c>
      <c r="B255" s="181" t="s">
        <v>12967</v>
      </c>
      <c r="C255" s="182" t="s">
        <v>49</v>
      </c>
      <c r="D255" s="182">
        <v>38800</v>
      </c>
      <c r="E255" s="183">
        <v>70</v>
      </c>
      <c r="F255" s="183">
        <v>2205</v>
      </c>
      <c r="G255" s="184">
        <v>8</v>
      </c>
      <c r="H255" s="158"/>
      <c r="I255" s="154"/>
      <c r="J255" s="154"/>
      <c r="K255" s="154"/>
      <c r="L255" s="154"/>
      <c r="M255" s="154"/>
      <c r="N255" s="154"/>
      <c r="O255" s="154"/>
      <c r="P255" s="154"/>
      <c r="Q255" s="154"/>
      <c r="R255" s="154"/>
      <c r="S255" s="154"/>
      <c r="T255" s="154"/>
      <c r="U255" s="154"/>
      <c r="V255" s="154"/>
      <c r="W255" s="154"/>
      <c r="X255" s="154"/>
      <c r="Y255" s="154"/>
      <c r="Z255" s="154"/>
      <c r="AA255" s="154"/>
    </row>
    <row r="256" spans="1:27" ht="15">
      <c r="A256" s="180">
        <v>45828</v>
      </c>
      <c r="B256" s="181" t="s">
        <v>12968</v>
      </c>
      <c r="C256" s="182" t="s">
        <v>61</v>
      </c>
      <c r="D256" s="182">
        <v>13050</v>
      </c>
      <c r="E256" s="183">
        <v>9</v>
      </c>
      <c r="F256" s="183">
        <v>1121</v>
      </c>
      <c r="G256" s="184">
        <v>0</v>
      </c>
      <c r="H256" s="158"/>
      <c r="I256" s="154"/>
      <c r="J256" s="154"/>
      <c r="K256" s="154"/>
      <c r="L256" s="154"/>
      <c r="M256" s="154"/>
      <c r="N256" s="154"/>
      <c r="O256" s="154"/>
      <c r="P256" s="154"/>
      <c r="Q256" s="154"/>
      <c r="R256" s="154"/>
      <c r="S256" s="154"/>
      <c r="T256" s="154"/>
      <c r="U256" s="154"/>
      <c r="V256" s="154"/>
      <c r="W256" s="154"/>
      <c r="X256" s="154"/>
      <c r="Y256" s="154"/>
      <c r="Z256" s="154"/>
      <c r="AA256" s="154"/>
    </row>
    <row r="257" spans="1:27" ht="15">
      <c r="A257" s="180">
        <v>45829</v>
      </c>
      <c r="B257" s="181" t="s">
        <v>12990</v>
      </c>
      <c r="C257" s="182" t="s">
        <v>752</v>
      </c>
      <c r="D257" s="182">
        <v>8661</v>
      </c>
      <c r="E257" s="183">
        <v>6</v>
      </c>
      <c r="F257" s="183">
        <v>472</v>
      </c>
      <c r="G257" s="184">
        <v>1</v>
      </c>
      <c r="H257" s="158"/>
      <c r="I257" s="154"/>
      <c r="J257" s="154"/>
      <c r="K257" s="154"/>
      <c r="L257" s="154"/>
      <c r="M257" s="154"/>
      <c r="N257" s="154"/>
      <c r="O257" s="154"/>
      <c r="P257" s="154"/>
      <c r="Q257" s="154"/>
      <c r="R257" s="154"/>
      <c r="S257" s="154"/>
      <c r="T257" s="154"/>
      <c r="U257" s="154"/>
      <c r="V257" s="154"/>
      <c r="W257" s="154"/>
      <c r="X257" s="154"/>
      <c r="Y257" s="154"/>
      <c r="Z257" s="154"/>
      <c r="AA257" s="154"/>
    </row>
    <row r="258" spans="1:27" ht="15">
      <c r="A258" s="180">
        <v>45829</v>
      </c>
      <c r="B258" s="181" t="s">
        <v>12991</v>
      </c>
      <c r="C258" s="182" t="s">
        <v>752</v>
      </c>
      <c r="D258" s="182">
        <v>12778</v>
      </c>
      <c r="E258" s="183">
        <v>9</v>
      </c>
      <c r="F258" s="183">
        <v>695</v>
      </c>
      <c r="G258" s="184">
        <v>1</v>
      </c>
      <c r="H258" s="158"/>
      <c r="I258" s="154"/>
      <c r="J258" s="154"/>
      <c r="K258" s="154"/>
      <c r="L258" s="154"/>
      <c r="M258" s="154"/>
      <c r="N258" s="154"/>
      <c r="O258" s="154"/>
      <c r="P258" s="154"/>
      <c r="Q258" s="154"/>
      <c r="R258" s="154"/>
      <c r="S258" s="154"/>
      <c r="T258" s="154"/>
      <c r="U258" s="154"/>
      <c r="V258" s="154"/>
      <c r="W258" s="154"/>
      <c r="X258" s="154"/>
      <c r="Y258" s="154"/>
      <c r="Z258" s="154"/>
      <c r="AA258" s="154"/>
    </row>
    <row r="259" spans="1:27" ht="15">
      <c r="A259" s="180">
        <v>45829</v>
      </c>
      <c r="B259" s="181" t="s">
        <v>12992</v>
      </c>
      <c r="C259" s="182" t="s">
        <v>115</v>
      </c>
      <c r="D259" s="182">
        <v>6849</v>
      </c>
      <c r="E259" s="183">
        <v>5</v>
      </c>
      <c r="F259" s="183">
        <v>416</v>
      </c>
      <c r="G259" s="184">
        <v>0</v>
      </c>
      <c r="H259" s="158"/>
      <c r="I259" s="154"/>
      <c r="J259" s="154"/>
      <c r="K259" s="154"/>
      <c r="L259" s="154"/>
      <c r="M259" s="154"/>
      <c r="N259" s="154"/>
      <c r="O259" s="154"/>
      <c r="P259" s="154"/>
      <c r="Q259" s="154"/>
      <c r="R259" s="154"/>
      <c r="S259" s="154"/>
      <c r="T259" s="154"/>
      <c r="U259" s="154"/>
      <c r="V259" s="154"/>
      <c r="W259" s="154"/>
      <c r="X259" s="154"/>
      <c r="Y259" s="154"/>
      <c r="Z259" s="154"/>
      <c r="AA259" s="154"/>
    </row>
    <row r="260" spans="1:27" ht="15">
      <c r="A260" s="180">
        <v>45829</v>
      </c>
      <c r="B260" s="181" t="s">
        <v>12993</v>
      </c>
      <c r="C260" s="182" t="s">
        <v>49</v>
      </c>
      <c r="D260" s="182">
        <v>11851</v>
      </c>
      <c r="E260" s="183">
        <v>10</v>
      </c>
      <c r="F260" s="183">
        <v>538</v>
      </c>
      <c r="G260" s="184">
        <v>1</v>
      </c>
      <c r="H260" s="158"/>
      <c r="I260" s="154"/>
      <c r="J260" s="154"/>
      <c r="K260" s="154"/>
      <c r="L260" s="154"/>
      <c r="M260" s="154"/>
      <c r="N260" s="154"/>
      <c r="O260" s="154"/>
      <c r="P260" s="154"/>
      <c r="Q260" s="154"/>
      <c r="R260" s="154"/>
      <c r="S260" s="154"/>
      <c r="T260" s="154"/>
      <c r="U260" s="154"/>
      <c r="V260" s="154"/>
      <c r="W260" s="154"/>
      <c r="X260" s="154"/>
      <c r="Y260" s="154"/>
      <c r="Z260" s="154"/>
      <c r="AA260" s="154"/>
    </row>
    <row r="261" spans="1:27" ht="15">
      <c r="A261" s="180">
        <v>45829</v>
      </c>
      <c r="B261" s="181" t="s">
        <v>12994</v>
      </c>
      <c r="C261" s="182" t="s">
        <v>61</v>
      </c>
      <c r="D261" s="182">
        <v>11387</v>
      </c>
      <c r="E261" s="183">
        <v>10</v>
      </c>
      <c r="F261" s="183">
        <v>487</v>
      </c>
      <c r="G261" s="184">
        <v>1</v>
      </c>
      <c r="H261" s="158"/>
      <c r="I261" s="154"/>
      <c r="J261" s="154"/>
      <c r="K261" s="154"/>
      <c r="L261" s="154"/>
      <c r="M261" s="154"/>
      <c r="N261" s="154"/>
      <c r="O261" s="154"/>
      <c r="P261" s="154"/>
      <c r="Q261" s="154"/>
      <c r="R261" s="154"/>
      <c r="S261" s="154"/>
      <c r="T261" s="154"/>
      <c r="U261" s="154"/>
      <c r="V261" s="154"/>
      <c r="W261" s="154"/>
      <c r="X261" s="154"/>
      <c r="Y261" s="154"/>
      <c r="Z261" s="154"/>
      <c r="AA261" s="154"/>
    </row>
    <row r="262" spans="1:27" ht="15">
      <c r="A262" s="180">
        <v>45829</v>
      </c>
      <c r="B262" s="181" t="s">
        <v>12980</v>
      </c>
      <c r="C262" s="182" t="s">
        <v>115</v>
      </c>
      <c r="D262" s="182">
        <v>59503</v>
      </c>
      <c r="E262" s="183">
        <v>95</v>
      </c>
      <c r="F262" s="183">
        <v>6242</v>
      </c>
      <c r="G262" s="184">
        <v>11</v>
      </c>
      <c r="H262" s="158"/>
      <c r="I262" s="154"/>
      <c r="J262" s="154"/>
      <c r="K262" s="154"/>
      <c r="L262" s="154"/>
      <c r="M262" s="154"/>
      <c r="N262" s="154"/>
      <c r="O262" s="154"/>
      <c r="P262" s="154"/>
      <c r="Q262" s="154"/>
      <c r="R262" s="154"/>
      <c r="S262" s="154"/>
      <c r="T262" s="154"/>
      <c r="U262" s="154"/>
      <c r="V262" s="154"/>
      <c r="W262" s="154"/>
      <c r="X262" s="154"/>
      <c r="Y262" s="154"/>
      <c r="Z262" s="154"/>
      <c r="AA262" s="154"/>
    </row>
    <row r="263" spans="1:27" ht="15">
      <c r="A263" s="180">
        <v>45829</v>
      </c>
      <c r="B263" s="181" t="s">
        <v>12981</v>
      </c>
      <c r="C263" s="182" t="s">
        <v>115</v>
      </c>
      <c r="D263" s="182">
        <v>66763</v>
      </c>
      <c r="E263" s="183">
        <v>76</v>
      </c>
      <c r="F263" s="183">
        <v>5959</v>
      </c>
      <c r="G263" s="184">
        <v>13</v>
      </c>
      <c r="H263" s="158"/>
      <c r="I263" s="154"/>
      <c r="J263" s="154"/>
      <c r="K263" s="154"/>
      <c r="L263" s="154"/>
      <c r="M263" s="154"/>
      <c r="N263" s="154"/>
      <c r="O263" s="154"/>
      <c r="P263" s="154"/>
      <c r="Q263" s="154"/>
      <c r="R263" s="154"/>
      <c r="S263" s="154"/>
      <c r="T263" s="154"/>
      <c r="U263" s="154"/>
      <c r="V263" s="154"/>
      <c r="W263" s="154"/>
      <c r="X263" s="154"/>
      <c r="Y263" s="154"/>
      <c r="Z263" s="154"/>
      <c r="AA263" s="154"/>
    </row>
    <row r="264" spans="1:27" ht="15">
      <c r="A264" s="180">
        <v>45829</v>
      </c>
      <c r="B264" s="181" t="s">
        <v>12982</v>
      </c>
      <c r="C264" s="182" t="s">
        <v>61</v>
      </c>
      <c r="D264" s="182">
        <v>42651</v>
      </c>
      <c r="E264" s="183">
        <v>33</v>
      </c>
      <c r="F264" s="183">
        <v>2956</v>
      </c>
      <c r="G264" s="184">
        <v>6</v>
      </c>
      <c r="H264" s="158"/>
      <c r="I264" s="154"/>
      <c r="J264" s="154"/>
      <c r="K264" s="154"/>
      <c r="L264" s="154"/>
      <c r="M264" s="154"/>
      <c r="N264" s="154"/>
      <c r="O264" s="154"/>
      <c r="P264" s="154"/>
      <c r="Q264" s="154"/>
      <c r="R264" s="154"/>
      <c r="S264" s="154"/>
      <c r="T264" s="154"/>
      <c r="U264" s="154"/>
      <c r="V264" s="154"/>
      <c r="W264" s="154"/>
      <c r="X264" s="154"/>
      <c r="Y264" s="154"/>
      <c r="Z264" s="154"/>
      <c r="AA264" s="154"/>
    </row>
    <row r="265" spans="1:27" ht="15">
      <c r="A265" s="180">
        <v>45829</v>
      </c>
      <c r="B265" s="181" t="s">
        <v>12983</v>
      </c>
      <c r="C265" s="182" t="s">
        <v>61</v>
      </c>
      <c r="D265" s="182">
        <v>33036</v>
      </c>
      <c r="E265" s="183">
        <v>19</v>
      </c>
      <c r="F265" s="183">
        <v>2180</v>
      </c>
      <c r="G265" s="184">
        <v>0</v>
      </c>
      <c r="H265" s="158"/>
      <c r="I265" s="154"/>
      <c r="J265" s="154"/>
      <c r="K265" s="154"/>
      <c r="L265" s="154"/>
      <c r="M265" s="154"/>
      <c r="N265" s="154"/>
      <c r="O265" s="154"/>
      <c r="P265" s="154"/>
      <c r="Q265" s="154"/>
      <c r="R265" s="154"/>
      <c r="S265" s="154"/>
      <c r="T265" s="154"/>
      <c r="U265" s="154"/>
      <c r="V265" s="154"/>
      <c r="W265" s="154"/>
      <c r="X265" s="154"/>
      <c r="Y265" s="154"/>
      <c r="Z265" s="154"/>
      <c r="AA265" s="154"/>
    </row>
    <row r="266" spans="1:27" ht="15">
      <c r="A266" s="180">
        <v>45829</v>
      </c>
      <c r="B266" s="181" t="s">
        <v>12995</v>
      </c>
      <c r="C266" s="182" t="s">
        <v>1229</v>
      </c>
      <c r="D266" s="182">
        <v>20996</v>
      </c>
      <c r="E266" s="183">
        <v>21</v>
      </c>
      <c r="F266" s="183">
        <v>1186</v>
      </c>
      <c r="G266" s="184">
        <v>2</v>
      </c>
      <c r="H266" s="158"/>
      <c r="I266" s="154"/>
      <c r="J266" s="154"/>
      <c r="K266" s="154"/>
      <c r="L266" s="154"/>
      <c r="M266" s="154"/>
      <c r="N266" s="154"/>
      <c r="O266" s="154"/>
      <c r="P266" s="154"/>
      <c r="Q266" s="154"/>
      <c r="R266" s="154"/>
      <c r="S266" s="154"/>
      <c r="T266" s="154"/>
      <c r="U266" s="154"/>
      <c r="V266" s="154"/>
      <c r="W266" s="154"/>
      <c r="X266" s="154"/>
      <c r="Y266" s="154"/>
      <c r="Z266" s="154"/>
      <c r="AA266" s="154"/>
    </row>
    <row r="267" spans="1:27" ht="15">
      <c r="A267" s="180">
        <v>45829</v>
      </c>
      <c r="B267" s="181" t="s">
        <v>12996</v>
      </c>
      <c r="C267" s="182" t="s">
        <v>1229</v>
      </c>
      <c r="D267" s="182">
        <v>26426</v>
      </c>
      <c r="E267" s="183">
        <v>19</v>
      </c>
      <c r="F267" s="183">
        <v>1276</v>
      </c>
      <c r="G267" s="184">
        <v>2</v>
      </c>
      <c r="H267" s="158"/>
      <c r="I267" s="154"/>
      <c r="J267" s="154"/>
      <c r="K267" s="154"/>
      <c r="L267" s="154"/>
      <c r="M267" s="154"/>
      <c r="N267" s="154"/>
      <c r="O267" s="154"/>
      <c r="P267" s="154"/>
      <c r="Q267" s="154"/>
      <c r="R267" s="154"/>
      <c r="S267" s="154"/>
      <c r="T267" s="154"/>
      <c r="U267" s="154"/>
      <c r="V267" s="154"/>
      <c r="W267" s="154"/>
      <c r="X267" s="154"/>
      <c r="Y267" s="154"/>
      <c r="Z267" s="154"/>
      <c r="AA267" s="154"/>
    </row>
    <row r="268" spans="1:27" ht="15">
      <c r="A268" s="180">
        <v>45829</v>
      </c>
      <c r="B268" s="181" t="s">
        <v>12969</v>
      </c>
      <c r="C268" s="182" t="s">
        <v>115</v>
      </c>
      <c r="D268" s="182">
        <v>36857</v>
      </c>
      <c r="E268" s="183">
        <v>51</v>
      </c>
      <c r="F268" s="183">
        <v>2546</v>
      </c>
      <c r="G268" s="184">
        <v>6</v>
      </c>
      <c r="H268" s="158"/>
      <c r="I268" s="154"/>
      <c r="J268" s="154"/>
      <c r="K268" s="154"/>
      <c r="L268" s="154"/>
      <c r="M268" s="154"/>
      <c r="N268" s="154"/>
      <c r="O268" s="154"/>
      <c r="P268" s="154"/>
      <c r="Q268" s="154"/>
      <c r="R268" s="154"/>
      <c r="S268" s="154"/>
      <c r="T268" s="154"/>
      <c r="U268" s="154"/>
      <c r="V268" s="154"/>
      <c r="W268" s="154"/>
      <c r="X268" s="154"/>
      <c r="Y268" s="154"/>
      <c r="Z268" s="154"/>
      <c r="AA268" s="154"/>
    </row>
    <row r="269" spans="1:27" ht="15">
      <c r="A269" s="180">
        <v>45829</v>
      </c>
      <c r="B269" s="181" t="s">
        <v>12970</v>
      </c>
      <c r="C269" s="182" t="s">
        <v>115</v>
      </c>
      <c r="D269" s="182">
        <v>21398</v>
      </c>
      <c r="E269" s="183">
        <v>23</v>
      </c>
      <c r="F269" s="183">
        <v>1060</v>
      </c>
      <c r="G269" s="184">
        <v>2</v>
      </c>
      <c r="H269" s="158"/>
      <c r="I269" s="154"/>
      <c r="J269" s="154"/>
      <c r="K269" s="154"/>
      <c r="L269" s="154"/>
      <c r="M269" s="154"/>
      <c r="N269" s="154"/>
      <c r="O269" s="154"/>
      <c r="P269" s="154"/>
      <c r="Q269" s="154"/>
      <c r="R269" s="154"/>
      <c r="S269" s="154"/>
      <c r="T269" s="154"/>
      <c r="U269" s="154"/>
      <c r="V269" s="154"/>
      <c r="W269" s="154"/>
      <c r="X269" s="154"/>
      <c r="Y269" s="154"/>
      <c r="Z269" s="154"/>
      <c r="AA269" s="154"/>
    </row>
    <row r="270" spans="1:27" ht="15">
      <c r="A270" s="180">
        <v>45829</v>
      </c>
      <c r="B270" s="181" t="s">
        <v>12971</v>
      </c>
      <c r="C270" s="182" t="s">
        <v>115</v>
      </c>
      <c r="D270" s="182">
        <v>12727</v>
      </c>
      <c r="E270" s="183">
        <v>17</v>
      </c>
      <c r="F270" s="183">
        <v>602</v>
      </c>
      <c r="G270" s="184">
        <v>1</v>
      </c>
      <c r="H270" s="158"/>
      <c r="I270" s="154"/>
      <c r="J270" s="154"/>
      <c r="K270" s="154"/>
      <c r="L270" s="154"/>
      <c r="M270" s="154"/>
      <c r="N270" s="154"/>
      <c r="O270" s="154"/>
      <c r="P270" s="154"/>
      <c r="Q270" s="154"/>
      <c r="R270" s="154"/>
      <c r="S270" s="154"/>
      <c r="T270" s="154"/>
      <c r="U270" s="154"/>
      <c r="V270" s="154"/>
      <c r="W270" s="154"/>
      <c r="X270" s="154"/>
      <c r="Y270" s="154"/>
      <c r="Z270" s="154"/>
      <c r="AA270" s="154"/>
    </row>
    <row r="271" spans="1:27" ht="15">
      <c r="A271" s="180">
        <v>45829</v>
      </c>
      <c r="B271" s="181" t="s">
        <v>12963</v>
      </c>
      <c r="C271" s="182" t="s">
        <v>61</v>
      </c>
      <c r="D271" s="182">
        <v>24338</v>
      </c>
      <c r="E271" s="183">
        <v>17</v>
      </c>
      <c r="F271" s="183">
        <v>910</v>
      </c>
      <c r="G271" s="184">
        <v>0</v>
      </c>
      <c r="H271" s="158"/>
      <c r="I271" s="154"/>
      <c r="J271" s="154"/>
      <c r="K271" s="154"/>
      <c r="L271" s="154"/>
      <c r="M271" s="154"/>
      <c r="N271" s="154"/>
      <c r="O271" s="154"/>
      <c r="P271" s="154"/>
      <c r="Q271" s="154"/>
      <c r="R271" s="154"/>
      <c r="S271" s="154"/>
      <c r="T271" s="154"/>
      <c r="U271" s="154"/>
      <c r="V271" s="154"/>
      <c r="W271" s="154"/>
      <c r="X271" s="154"/>
      <c r="Y271" s="154"/>
      <c r="Z271" s="154"/>
      <c r="AA271" s="154"/>
    </row>
    <row r="272" spans="1:27" ht="15">
      <c r="A272" s="180">
        <v>45829</v>
      </c>
      <c r="B272" s="181" t="s">
        <v>12964</v>
      </c>
      <c r="C272" s="182" t="s">
        <v>61</v>
      </c>
      <c r="D272" s="182">
        <v>23492</v>
      </c>
      <c r="E272" s="183">
        <v>6</v>
      </c>
      <c r="F272" s="183">
        <v>944</v>
      </c>
      <c r="G272" s="184">
        <v>1</v>
      </c>
      <c r="H272" s="158"/>
      <c r="I272" s="154"/>
      <c r="J272" s="154"/>
      <c r="K272" s="154"/>
      <c r="L272" s="154"/>
      <c r="M272" s="154"/>
      <c r="N272" s="154"/>
      <c r="O272" s="154"/>
      <c r="P272" s="154"/>
      <c r="Q272" s="154"/>
      <c r="R272" s="154"/>
      <c r="S272" s="154"/>
      <c r="T272" s="154"/>
      <c r="U272" s="154"/>
      <c r="V272" s="154"/>
      <c r="W272" s="154"/>
      <c r="X272" s="154"/>
      <c r="Y272" s="154"/>
      <c r="Z272" s="154"/>
      <c r="AA272" s="154"/>
    </row>
    <row r="273" spans="1:27" ht="15">
      <c r="A273" s="180">
        <v>45829</v>
      </c>
      <c r="B273" s="181" t="s">
        <v>12965</v>
      </c>
      <c r="C273" s="182" t="s">
        <v>49</v>
      </c>
      <c r="D273" s="182">
        <v>14489</v>
      </c>
      <c r="E273" s="183">
        <v>5</v>
      </c>
      <c r="F273" s="183">
        <v>592</v>
      </c>
      <c r="G273" s="184">
        <v>0</v>
      </c>
      <c r="H273" s="158"/>
      <c r="I273" s="154"/>
      <c r="J273" s="154"/>
      <c r="K273" s="154"/>
      <c r="L273" s="154"/>
      <c r="M273" s="154"/>
      <c r="N273" s="154"/>
      <c r="O273" s="154"/>
      <c r="P273" s="154"/>
      <c r="Q273" s="154"/>
      <c r="R273" s="154"/>
      <c r="S273" s="154"/>
      <c r="T273" s="154"/>
      <c r="U273" s="154"/>
      <c r="V273" s="154"/>
      <c r="W273" s="154"/>
      <c r="X273" s="154"/>
      <c r="Y273" s="154"/>
      <c r="Z273" s="154"/>
      <c r="AA273" s="154"/>
    </row>
    <row r="274" spans="1:27" ht="15">
      <c r="A274" s="180">
        <v>45829</v>
      </c>
      <c r="B274" s="181" t="s">
        <v>12966</v>
      </c>
      <c r="C274" s="182" t="s">
        <v>49</v>
      </c>
      <c r="D274" s="182">
        <v>38487</v>
      </c>
      <c r="E274" s="183">
        <v>47</v>
      </c>
      <c r="F274" s="183">
        <v>2177</v>
      </c>
      <c r="G274" s="184">
        <v>6</v>
      </c>
      <c r="H274" s="158"/>
      <c r="I274" s="154"/>
      <c r="J274" s="154"/>
      <c r="K274" s="154"/>
      <c r="L274" s="154"/>
      <c r="M274" s="154"/>
      <c r="N274" s="154"/>
      <c r="O274" s="154"/>
      <c r="P274" s="154"/>
      <c r="Q274" s="154"/>
      <c r="R274" s="154"/>
      <c r="S274" s="154"/>
      <c r="T274" s="154"/>
      <c r="U274" s="154"/>
      <c r="V274" s="154"/>
      <c r="W274" s="154"/>
      <c r="X274" s="154"/>
      <c r="Y274" s="154"/>
      <c r="Z274" s="154"/>
      <c r="AA274" s="154"/>
    </row>
    <row r="275" spans="1:27" ht="15">
      <c r="A275" s="180">
        <v>45829</v>
      </c>
      <c r="B275" s="181" t="s">
        <v>12967</v>
      </c>
      <c r="C275" s="182" t="s">
        <v>49</v>
      </c>
      <c r="D275" s="182">
        <v>98430</v>
      </c>
      <c r="E275" s="183">
        <v>127</v>
      </c>
      <c r="F275" s="183">
        <v>6509</v>
      </c>
      <c r="G275" s="184">
        <v>26</v>
      </c>
      <c r="H275" s="158"/>
      <c r="I275" s="154"/>
      <c r="J275" s="154"/>
      <c r="K275" s="154"/>
      <c r="L275" s="154"/>
      <c r="M275" s="154"/>
      <c r="N275" s="154"/>
      <c r="O275" s="154"/>
      <c r="P275" s="154"/>
      <c r="Q275" s="154"/>
      <c r="R275" s="154"/>
      <c r="S275" s="154"/>
      <c r="T275" s="154"/>
      <c r="U275" s="154"/>
      <c r="V275" s="154"/>
      <c r="W275" s="154"/>
      <c r="X275" s="154"/>
      <c r="Y275" s="154"/>
      <c r="Z275" s="154"/>
      <c r="AA275" s="154"/>
    </row>
    <row r="276" spans="1:27" ht="15">
      <c r="A276" s="180">
        <v>45829</v>
      </c>
      <c r="B276" s="181" t="s">
        <v>12968</v>
      </c>
      <c r="C276" s="182" t="s">
        <v>61</v>
      </c>
      <c r="D276" s="182">
        <v>16058</v>
      </c>
      <c r="E276" s="183">
        <v>10</v>
      </c>
      <c r="F276" s="183">
        <v>1378</v>
      </c>
      <c r="G276" s="184">
        <v>1</v>
      </c>
      <c r="H276" s="158"/>
      <c r="I276" s="154"/>
      <c r="J276" s="154"/>
      <c r="K276" s="154"/>
      <c r="L276" s="154"/>
      <c r="M276" s="154"/>
      <c r="N276" s="154"/>
      <c r="O276" s="154"/>
      <c r="P276" s="154"/>
      <c r="Q276" s="154"/>
      <c r="R276" s="154"/>
      <c r="S276" s="154"/>
      <c r="T276" s="154"/>
      <c r="U276" s="154"/>
      <c r="V276" s="154"/>
      <c r="W276" s="154"/>
      <c r="X276" s="154"/>
      <c r="Y276" s="154"/>
      <c r="Z276" s="154"/>
      <c r="AA276" s="154"/>
    </row>
    <row r="277" spans="1:27" ht="15">
      <c r="A277" s="180">
        <v>45830</v>
      </c>
      <c r="B277" s="181" t="s">
        <v>12990</v>
      </c>
      <c r="C277" s="182" t="s">
        <v>752</v>
      </c>
      <c r="D277" s="182">
        <v>13521</v>
      </c>
      <c r="E277" s="183">
        <v>20</v>
      </c>
      <c r="F277" s="183">
        <v>1599</v>
      </c>
      <c r="G277" s="184">
        <v>0</v>
      </c>
      <c r="H277" s="158"/>
      <c r="I277" s="154"/>
      <c r="J277" s="154"/>
      <c r="K277" s="154"/>
      <c r="L277" s="154"/>
      <c r="M277" s="154"/>
      <c r="N277" s="154"/>
      <c r="O277" s="154"/>
      <c r="P277" s="154"/>
      <c r="Q277" s="154"/>
      <c r="R277" s="154"/>
      <c r="S277" s="154"/>
      <c r="T277" s="154"/>
      <c r="U277" s="154"/>
      <c r="V277" s="154"/>
      <c r="W277" s="154"/>
      <c r="X277" s="154"/>
      <c r="Y277" s="154"/>
      <c r="Z277" s="154"/>
      <c r="AA277" s="154"/>
    </row>
    <row r="278" spans="1:27" ht="15">
      <c r="A278" s="180">
        <v>45830</v>
      </c>
      <c r="B278" s="181" t="s">
        <v>12991</v>
      </c>
      <c r="C278" s="182" t="s">
        <v>752</v>
      </c>
      <c r="D278" s="182">
        <v>8351</v>
      </c>
      <c r="E278" s="183">
        <v>9</v>
      </c>
      <c r="F278" s="183">
        <v>355</v>
      </c>
      <c r="G278" s="184">
        <v>0</v>
      </c>
      <c r="H278" s="158"/>
      <c r="I278" s="154"/>
      <c r="J278" s="154"/>
      <c r="K278" s="154"/>
      <c r="L278" s="154"/>
      <c r="M278" s="154"/>
      <c r="N278" s="154"/>
      <c r="O278" s="154"/>
      <c r="P278" s="154"/>
      <c r="Q278" s="154"/>
      <c r="R278" s="154"/>
      <c r="S278" s="154"/>
      <c r="T278" s="154"/>
      <c r="U278" s="154"/>
      <c r="V278" s="154"/>
      <c r="W278" s="154"/>
      <c r="X278" s="154"/>
      <c r="Y278" s="154"/>
      <c r="Z278" s="154"/>
      <c r="AA278" s="154"/>
    </row>
    <row r="279" spans="1:27" ht="15">
      <c r="A279" s="180">
        <v>45830</v>
      </c>
      <c r="B279" s="181" t="s">
        <v>12992</v>
      </c>
      <c r="C279" s="182" t="s">
        <v>115</v>
      </c>
      <c r="D279" s="182">
        <v>32463</v>
      </c>
      <c r="E279" s="183">
        <v>48</v>
      </c>
      <c r="F279" s="183">
        <v>2644</v>
      </c>
      <c r="G279" s="184">
        <v>6</v>
      </c>
      <c r="H279" s="158"/>
      <c r="I279" s="154"/>
      <c r="J279" s="154"/>
      <c r="K279" s="154"/>
      <c r="L279" s="154"/>
      <c r="M279" s="154"/>
      <c r="N279" s="154"/>
      <c r="O279" s="154"/>
      <c r="P279" s="154"/>
      <c r="Q279" s="154"/>
      <c r="R279" s="154"/>
      <c r="S279" s="154"/>
      <c r="T279" s="154"/>
      <c r="U279" s="154"/>
      <c r="V279" s="154"/>
      <c r="W279" s="154"/>
      <c r="X279" s="154"/>
      <c r="Y279" s="154"/>
      <c r="Z279" s="154"/>
      <c r="AA279" s="154"/>
    </row>
    <row r="280" spans="1:27" ht="15">
      <c r="A280" s="180">
        <v>45830</v>
      </c>
      <c r="B280" s="181" t="s">
        <v>12993</v>
      </c>
      <c r="C280" s="182" t="s">
        <v>49</v>
      </c>
      <c r="D280" s="182">
        <v>65087</v>
      </c>
      <c r="E280" s="183">
        <v>31</v>
      </c>
      <c r="F280" s="183">
        <v>1547</v>
      </c>
      <c r="G280" s="184">
        <v>12</v>
      </c>
      <c r="H280" s="158"/>
      <c r="I280" s="154"/>
      <c r="J280" s="154"/>
      <c r="K280" s="154"/>
      <c r="L280" s="154"/>
      <c r="M280" s="154"/>
      <c r="N280" s="154"/>
      <c r="O280" s="154"/>
      <c r="P280" s="154"/>
      <c r="Q280" s="154"/>
      <c r="R280" s="154"/>
      <c r="S280" s="154"/>
      <c r="T280" s="154"/>
      <c r="U280" s="154"/>
      <c r="V280" s="154"/>
      <c r="W280" s="154"/>
      <c r="X280" s="154"/>
      <c r="Y280" s="154"/>
      <c r="Z280" s="154"/>
      <c r="AA280" s="154"/>
    </row>
    <row r="281" spans="1:27" ht="15">
      <c r="A281" s="180">
        <v>45830</v>
      </c>
      <c r="B281" s="181" t="s">
        <v>12994</v>
      </c>
      <c r="C281" s="182" t="s">
        <v>61</v>
      </c>
      <c r="D281" s="182">
        <v>14003</v>
      </c>
      <c r="E281" s="183">
        <v>14</v>
      </c>
      <c r="F281" s="183">
        <v>702</v>
      </c>
      <c r="G281" s="184">
        <v>1</v>
      </c>
      <c r="H281" s="158"/>
      <c r="I281" s="154"/>
      <c r="J281" s="154"/>
      <c r="K281" s="154"/>
      <c r="L281" s="154"/>
      <c r="M281" s="154"/>
      <c r="N281" s="154"/>
      <c r="O281" s="154"/>
      <c r="P281" s="154"/>
      <c r="Q281" s="154"/>
      <c r="R281" s="154"/>
      <c r="S281" s="154"/>
      <c r="T281" s="154"/>
      <c r="U281" s="154"/>
      <c r="V281" s="154"/>
      <c r="W281" s="154"/>
      <c r="X281" s="154"/>
      <c r="Y281" s="154"/>
      <c r="Z281" s="154"/>
      <c r="AA281" s="154"/>
    </row>
    <row r="282" spans="1:27" ht="15">
      <c r="A282" s="180">
        <v>45830</v>
      </c>
      <c r="B282" s="181" t="s">
        <v>12980</v>
      </c>
      <c r="C282" s="182" t="s">
        <v>115</v>
      </c>
      <c r="D282" s="182">
        <v>22039</v>
      </c>
      <c r="E282" s="183">
        <v>21</v>
      </c>
      <c r="F282" s="183">
        <v>1389</v>
      </c>
      <c r="G282" s="184">
        <v>2</v>
      </c>
      <c r="H282" s="158"/>
      <c r="I282" s="154"/>
      <c r="J282" s="154"/>
      <c r="K282" s="154"/>
      <c r="L282" s="154"/>
      <c r="M282" s="154"/>
      <c r="N282" s="154"/>
      <c r="O282" s="154"/>
      <c r="P282" s="154"/>
      <c r="Q282" s="154"/>
      <c r="R282" s="154"/>
      <c r="S282" s="154"/>
      <c r="T282" s="154"/>
      <c r="U282" s="154"/>
      <c r="V282" s="154"/>
      <c r="W282" s="154"/>
      <c r="X282" s="154"/>
      <c r="Y282" s="154"/>
      <c r="Z282" s="154"/>
      <c r="AA282" s="154"/>
    </row>
    <row r="283" spans="1:27" ht="15">
      <c r="A283" s="180">
        <v>45830</v>
      </c>
      <c r="B283" s="181" t="s">
        <v>12981</v>
      </c>
      <c r="C283" s="182" t="s">
        <v>115</v>
      </c>
      <c r="D283" s="182">
        <v>45763</v>
      </c>
      <c r="E283" s="183">
        <v>30</v>
      </c>
      <c r="F283" s="183">
        <v>2701</v>
      </c>
      <c r="G283" s="184">
        <v>6</v>
      </c>
      <c r="H283" s="158"/>
      <c r="I283" s="154"/>
      <c r="J283" s="154"/>
      <c r="K283" s="154"/>
      <c r="L283" s="154"/>
      <c r="M283" s="154"/>
      <c r="N283" s="154"/>
      <c r="O283" s="154"/>
      <c r="P283" s="154"/>
      <c r="Q283" s="154"/>
      <c r="R283" s="154"/>
      <c r="S283" s="154"/>
      <c r="T283" s="154"/>
      <c r="U283" s="154"/>
      <c r="V283" s="154"/>
      <c r="W283" s="154"/>
      <c r="X283" s="154"/>
      <c r="Y283" s="154"/>
      <c r="Z283" s="154"/>
      <c r="AA283" s="154"/>
    </row>
    <row r="284" spans="1:27" ht="15">
      <c r="A284" s="180">
        <v>45830</v>
      </c>
      <c r="B284" s="181" t="s">
        <v>12982</v>
      </c>
      <c r="C284" s="182" t="s">
        <v>61</v>
      </c>
      <c r="D284" s="182">
        <v>83983</v>
      </c>
      <c r="E284" s="183">
        <v>133</v>
      </c>
      <c r="F284" s="183">
        <v>12286</v>
      </c>
      <c r="G284" s="184">
        <v>22</v>
      </c>
      <c r="H284" s="158"/>
      <c r="I284" s="154"/>
      <c r="J284" s="154"/>
      <c r="K284" s="154"/>
      <c r="L284" s="154"/>
      <c r="M284" s="154"/>
      <c r="N284" s="154"/>
      <c r="O284" s="154"/>
      <c r="P284" s="154"/>
      <c r="Q284" s="154"/>
      <c r="R284" s="154"/>
      <c r="S284" s="154"/>
      <c r="T284" s="154"/>
      <c r="U284" s="154"/>
      <c r="V284" s="154"/>
      <c r="W284" s="154"/>
      <c r="X284" s="154"/>
      <c r="Y284" s="154"/>
      <c r="Z284" s="154"/>
      <c r="AA284" s="154"/>
    </row>
    <row r="285" spans="1:27" ht="15">
      <c r="A285" s="180">
        <v>45830</v>
      </c>
      <c r="B285" s="181" t="s">
        <v>12983</v>
      </c>
      <c r="C285" s="182" t="s">
        <v>61</v>
      </c>
      <c r="D285" s="182">
        <v>75847</v>
      </c>
      <c r="E285" s="183">
        <v>56</v>
      </c>
      <c r="F285" s="183">
        <v>4759</v>
      </c>
      <c r="G285" s="184">
        <v>12</v>
      </c>
      <c r="H285" s="158"/>
      <c r="I285" s="154"/>
      <c r="J285" s="154"/>
      <c r="K285" s="154"/>
      <c r="L285" s="154"/>
      <c r="M285" s="154"/>
      <c r="N285" s="154"/>
      <c r="O285" s="154"/>
      <c r="P285" s="154"/>
      <c r="Q285" s="154"/>
      <c r="R285" s="154"/>
      <c r="S285" s="154"/>
      <c r="T285" s="154"/>
      <c r="U285" s="154"/>
      <c r="V285" s="154"/>
      <c r="W285" s="154"/>
      <c r="X285" s="154"/>
      <c r="Y285" s="154"/>
      <c r="Z285" s="154"/>
      <c r="AA285" s="154"/>
    </row>
    <row r="286" spans="1:27" ht="15">
      <c r="A286" s="180">
        <v>45830</v>
      </c>
      <c r="B286" s="181" t="s">
        <v>12995</v>
      </c>
      <c r="C286" s="182" t="s">
        <v>1229</v>
      </c>
      <c r="D286" s="182">
        <v>40088</v>
      </c>
      <c r="E286" s="183">
        <v>58</v>
      </c>
      <c r="F286" s="183">
        <v>4759</v>
      </c>
      <c r="G286" s="184">
        <v>12</v>
      </c>
      <c r="H286" s="158"/>
      <c r="I286" s="154"/>
      <c r="J286" s="154"/>
      <c r="K286" s="154"/>
      <c r="L286" s="154"/>
      <c r="M286" s="154"/>
      <c r="N286" s="154"/>
      <c r="O286" s="154"/>
      <c r="P286" s="154"/>
      <c r="Q286" s="154"/>
      <c r="R286" s="154"/>
      <c r="S286" s="154"/>
      <c r="T286" s="154"/>
      <c r="U286" s="154"/>
      <c r="V286" s="154"/>
      <c r="W286" s="154"/>
      <c r="X286" s="154"/>
      <c r="Y286" s="154"/>
      <c r="Z286" s="154"/>
      <c r="AA286" s="154"/>
    </row>
    <row r="287" spans="1:27" ht="15">
      <c r="A287" s="180">
        <v>45830</v>
      </c>
      <c r="B287" s="181" t="s">
        <v>12988</v>
      </c>
      <c r="C287" s="182" t="s">
        <v>752</v>
      </c>
      <c r="D287" s="182">
        <v>44682</v>
      </c>
      <c r="E287" s="183">
        <v>49</v>
      </c>
      <c r="F287" s="183">
        <v>3199</v>
      </c>
      <c r="G287" s="184">
        <v>8</v>
      </c>
      <c r="H287" s="158"/>
      <c r="I287" s="154"/>
      <c r="J287" s="154"/>
      <c r="K287" s="154"/>
      <c r="L287" s="154"/>
      <c r="M287" s="154"/>
      <c r="N287" s="154"/>
      <c r="O287" s="154"/>
      <c r="P287" s="154"/>
      <c r="Q287" s="154"/>
      <c r="R287" s="154"/>
      <c r="S287" s="154"/>
      <c r="T287" s="154"/>
      <c r="U287" s="154"/>
      <c r="V287" s="154"/>
      <c r="W287" s="154"/>
      <c r="X287" s="154"/>
      <c r="Y287" s="154"/>
      <c r="Z287" s="154"/>
      <c r="AA287" s="154"/>
    </row>
    <row r="288" spans="1:27" ht="15">
      <c r="A288" s="180">
        <v>45830</v>
      </c>
      <c r="B288" s="181" t="s">
        <v>12996</v>
      </c>
      <c r="C288" s="182" t="s">
        <v>1229</v>
      </c>
      <c r="D288" s="182">
        <v>28729</v>
      </c>
      <c r="E288" s="183">
        <v>22</v>
      </c>
      <c r="F288" s="183">
        <v>1295</v>
      </c>
      <c r="G288" s="184">
        <v>4</v>
      </c>
      <c r="H288" s="158"/>
      <c r="I288" s="154"/>
      <c r="J288" s="154"/>
      <c r="K288" s="154"/>
      <c r="L288" s="154"/>
      <c r="M288" s="154"/>
      <c r="N288" s="154"/>
      <c r="O288" s="154"/>
      <c r="P288" s="154"/>
      <c r="Q288" s="154"/>
      <c r="R288" s="154"/>
      <c r="S288" s="154"/>
      <c r="T288" s="154"/>
      <c r="U288" s="154"/>
      <c r="V288" s="154"/>
      <c r="W288" s="154"/>
      <c r="X288" s="154"/>
      <c r="Y288" s="154"/>
      <c r="Z288" s="154"/>
      <c r="AA288" s="154"/>
    </row>
    <row r="289" spans="1:27" ht="15">
      <c r="A289" s="180">
        <v>45830</v>
      </c>
      <c r="B289" s="181" t="s">
        <v>12969</v>
      </c>
      <c r="C289" s="182" t="s">
        <v>115</v>
      </c>
      <c r="D289" s="182">
        <v>182256</v>
      </c>
      <c r="E289" s="183">
        <v>282</v>
      </c>
      <c r="F289" s="183">
        <v>17186</v>
      </c>
      <c r="G289" s="184">
        <v>48</v>
      </c>
      <c r="H289" s="158"/>
      <c r="I289" s="154"/>
      <c r="J289" s="154"/>
      <c r="K289" s="154"/>
      <c r="L289" s="154"/>
      <c r="M289" s="154"/>
      <c r="N289" s="154"/>
      <c r="O289" s="154"/>
      <c r="P289" s="154"/>
      <c r="Q289" s="154"/>
      <c r="R289" s="154"/>
      <c r="S289" s="154"/>
      <c r="T289" s="154"/>
      <c r="U289" s="154"/>
      <c r="V289" s="154"/>
      <c r="W289" s="154"/>
      <c r="X289" s="154"/>
      <c r="Y289" s="154"/>
      <c r="Z289" s="154"/>
      <c r="AA289" s="154"/>
    </row>
    <row r="290" spans="1:27" ht="15">
      <c r="A290" s="180">
        <v>45830</v>
      </c>
      <c r="B290" s="181" t="s">
        <v>12970</v>
      </c>
      <c r="C290" s="182" t="s">
        <v>115</v>
      </c>
      <c r="D290" s="182">
        <v>10297</v>
      </c>
      <c r="E290" s="183">
        <v>8</v>
      </c>
      <c r="F290" s="183">
        <v>762</v>
      </c>
      <c r="G290" s="184">
        <v>0</v>
      </c>
      <c r="H290" s="158"/>
      <c r="I290" s="154"/>
      <c r="J290" s="154"/>
      <c r="K290" s="154"/>
      <c r="L290" s="154"/>
      <c r="M290" s="154"/>
      <c r="N290" s="154"/>
      <c r="O290" s="154"/>
      <c r="P290" s="154"/>
      <c r="Q290" s="154"/>
      <c r="R290" s="154"/>
      <c r="S290" s="154"/>
      <c r="T290" s="154"/>
      <c r="U290" s="154"/>
      <c r="V290" s="154"/>
      <c r="W290" s="154"/>
      <c r="X290" s="154"/>
      <c r="Y290" s="154"/>
      <c r="Z290" s="154"/>
      <c r="AA290" s="154"/>
    </row>
    <row r="291" spans="1:27" ht="15">
      <c r="A291" s="180">
        <v>45830</v>
      </c>
      <c r="B291" s="181" t="s">
        <v>12971</v>
      </c>
      <c r="C291" s="182" t="s">
        <v>115</v>
      </c>
      <c r="D291" s="182">
        <v>68964</v>
      </c>
      <c r="E291" s="183">
        <v>135</v>
      </c>
      <c r="F291" s="183">
        <v>7465</v>
      </c>
      <c r="G291" s="184">
        <v>31</v>
      </c>
      <c r="H291" s="158"/>
      <c r="I291" s="154"/>
      <c r="J291" s="154"/>
      <c r="K291" s="154"/>
      <c r="L291" s="154"/>
      <c r="M291" s="154"/>
      <c r="N291" s="154"/>
      <c r="O291" s="154"/>
      <c r="P291" s="154"/>
      <c r="Q291" s="154"/>
      <c r="R291" s="154"/>
      <c r="S291" s="154"/>
      <c r="T291" s="154"/>
      <c r="U291" s="154"/>
      <c r="V291" s="154"/>
      <c r="W291" s="154"/>
      <c r="X291" s="154"/>
      <c r="Y291" s="154"/>
      <c r="Z291" s="154"/>
      <c r="AA291" s="154"/>
    </row>
    <row r="292" spans="1:27" ht="15">
      <c r="A292" s="180">
        <v>45830</v>
      </c>
      <c r="B292" s="181" t="s">
        <v>12963</v>
      </c>
      <c r="C292" s="182" t="s">
        <v>61</v>
      </c>
      <c r="D292" s="182">
        <v>23098</v>
      </c>
      <c r="E292" s="183">
        <v>16</v>
      </c>
      <c r="F292" s="183">
        <v>822</v>
      </c>
      <c r="G292" s="184">
        <v>2</v>
      </c>
      <c r="H292" s="158"/>
      <c r="I292" s="154"/>
      <c r="J292" s="154"/>
      <c r="K292" s="154"/>
      <c r="L292" s="154"/>
      <c r="M292" s="154"/>
      <c r="N292" s="154"/>
      <c r="O292" s="154"/>
      <c r="P292" s="154"/>
      <c r="Q292" s="154"/>
      <c r="R292" s="154"/>
      <c r="S292" s="154"/>
      <c r="T292" s="154"/>
      <c r="U292" s="154"/>
      <c r="V292" s="154"/>
      <c r="W292" s="154"/>
      <c r="X292" s="154"/>
      <c r="Y292" s="154"/>
      <c r="Z292" s="154"/>
      <c r="AA292" s="154"/>
    </row>
    <row r="293" spans="1:27" ht="15">
      <c r="A293" s="180">
        <v>45830</v>
      </c>
      <c r="B293" s="181" t="s">
        <v>12964</v>
      </c>
      <c r="C293" s="182" t="s">
        <v>61</v>
      </c>
      <c r="D293" s="182">
        <v>75808</v>
      </c>
      <c r="E293" s="183">
        <v>143</v>
      </c>
      <c r="F293" s="183">
        <v>6584</v>
      </c>
      <c r="G293" s="184">
        <v>17</v>
      </c>
      <c r="H293" s="158"/>
      <c r="I293" s="154"/>
      <c r="J293" s="154"/>
      <c r="K293" s="154"/>
      <c r="L293" s="154"/>
      <c r="M293" s="154"/>
      <c r="N293" s="154"/>
      <c r="O293" s="154"/>
      <c r="P293" s="154"/>
      <c r="Q293" s="154"/>
      <c r="R293" s="154"/>
      <c r="S293" s="154"/>
      <c r="T293" s="154"/>
      <c r="U293" s="154"/>
      <c r="V293" s="154"/>
      <c r="W293" s="154"/>
      <c r="X293" s="154"/>
      <c r="Y293" s="154"/>
      <c r="Z293" s="154"/>
      <c r="AA293" s="154"/>
    </row>
    <row r="294" spans="1:27" ht="15">
      <c r="A294" s="180">
        <v>45830</v>
      </c>
      <c r="B294" s="181" t="s">
        <v>12965</v>
      </c>
      <c r="C294" s="182" t="s">
        <v>49</v>
      </c>
      <c r="D294" s="182">
        <v>21402</v>
      </c>
      <c r="E294" s="183">
        <v>24</v>
      </c>
      <c r="F294" s="183">
        <v>1111</v>
      </c>
      <c r="G294" s="184">
        <v>4</v>
      </c>
      <c r="H294" s="158"/>
      <c r="I294" s="154"/>
      <c r="J294" s="154"/>
      <c r="K294" s="154"/>
      <c r="L294" s="154"/>
      <c r="M294" s="154"/>
      <c r="N294" s="154"/>
      <c r="O294" s="154"/>
      <c r="P294" s="154"/>
      <c r="Q294" s="154"/>
      <c r="R294" s="154"/>
      <c r="S294" s="154"/>
      <c r="T294" s="154"/>
      <c r="U294" s="154"/>
      <c r="V294" s="154"/>
      <c r="W294" s="154"/>
      <c r="X294" s="154"/>
      <c r="Y294" s="154"/>
      <c r="Z294" s="154"/>
      <c r="AA294" s="154"/>
    </row>
    <row r="295" spans="1:27" ht="15">
      <c r="A295" s="180">
        <v>45830</v>
      </c>
      <c r="B295" s="181" t="s">
        <v>12966</v>
      </c>
      <c r="C295" s="182" t="s">
        <v>49</v>
      </c>
      <c r="D295" s="182">
        <v>26281</v>
      </c>
      <c r="E295" s="183">
        <v>33</v>
      </c>
      <c r="F295" s="183">
        <v>2013</v>
      </c>
      <c r="G295" s="184">
        <v>3</v>
      </c>
      <c r="H295" s="158"/>
      <c r="I295" s="154"/>
      <c r="J295" s="154"/>
      <c r="K295" s="154"/>
      <c r="L295" s="154"/>
      <c r="M295" s="154"/>
      <c r="N295" s="154"/>
      <c r="O295" s="154"/>
      <c r="P295" s="154"/>
      <c r="Q295" s="154"/>
      <c r="R295" s="154"/>
      <c r="S295" s="154"/>
      <c r="T295" s="154"/>
      <c r="U295" s="154"/>
      <c r="V295" s="154"/>
      <c r="W295" s="154"/>
      <c r="X295" s="154"/>
      <c r="Y295" s="154"/>
      <c r="Z295" s="154"/>
      <c r="AA295" s="154"/>
    </row>
    <row r="296" spans="1:27" ht="15">
      <c r="A296" s="180">
        <v>45830</v>
      </c>
      <c r="B296" s="181" t="s">
        <v>12967</v>
      </c>
      <c r="C296" s="182" t="s">
        <v>49</v>
      </c>
      <c r="D296" s="182">
        <v>62310</v>
      </c>
      <c r="E296" s="183">
        <v>112</v>
      </c>
      <c r="F296" s="183">
        <v>7035</v>
      </c>
      <c r="G296" s="184">
        <v>22</v>
      </c>
      <c r="H296" s="158"/>
      <c r="I296" s="154"/>
      <c r="J296" s="154"/>
      <c r="K296" s="154"/>
      <c r="L296" s="154"/>
      <c r="M296" s="154"/>
      <c r="N296" s="154"/>
      <c r="O296" s="154"/>
      <c r="P296" s="154"/>
      <c r="Q296" s="154"/>
      <c r="R296" s="154"/>
      <c r="S296" s="154"/>
      <c r="T296" s="154"/>
      <c r="U296" s="154"/>
      <c r="V296" s="154"/>
      <c r="W296" s="154"/>
      <c r="X296" s="154"/>
      <c r="Y296" s="154"/>
      <c r="Z296" s="154"/>
      <c r="AA296" s="154"/>
    </row>
    <row r="297" spans="1:27" ht="15">
      <c r="A297" s="180">
        <v>45830</v>
      </c>
      <c r="B297" s="181" t="s">
        <v>12968</v>
      </c>
      <c r="C297" s="182" t="s">
        <v>61</v>
      </c>
      <c r="D297" s="182">
        <v>16894</v>
      </c>
      <c r="E297" s="183">
        <v>26</v>
      </c>
      <c r="F297" s="183">
        <v>1805</v>
      </c>
      <c r="G297" s="184">
        <v>2</v>
      </c>
      <c r="H297" s="158"/>
      <c r="I297" s="154"/>
      <c r="J297" s="154"/>
      <c r="K297" s="154"/>
      <c r="L297" s="154"/>
      <c r="M297" s="154"/>
      <c r="N297" s="154"/>
      <c r="O297" s="154"/>
      <c r="P297" s="154"/>
      <c r="Q297" s="154"/>
      <c r="R297" s="154"/>
      <c r="S297" s="154"/>
      <c r="T297" s="154"/>
      <c r="U297" s="154"/>
      <c r="V297" s="154"/>
      <c r="W297" s="154"/>
      <c r="X297" s="154"/>
      <c r="Y297" s="154"/>
      <c r="Z297" s="154"/>
      <c r="AA297" s="154"/>
    </row>
    <row r="298" spans="1:27" ht="15">
      <c r="A298" s="180">
        <v>45831</v>
      </c>
      <c r="B298" s="181" t="s">
        <v>12991</v>
      </c>
      <c r="C298" s="182" t="s">
        <v>752</v>
      </c>
      <c r="D298" s="182">
        <v>162</v>
      </c>
      <c r="E298" s="183">
        <v>0</v>
      </c>
      <c r="F298" s="183">
        <v>34</v>
      </c>
      <c r="G298" s="184">
        <v>0</v>
      </c>
      <c r="H298" s="158"/>
      <c r="I298" s="154"/>
      <c r="J298" s="154"/>
      <c r="K298" s="154"/>
      <c r="L298" s="154"/>
      <c r="M298" s="154"/>
      <c r="N298" s="154"/>
      <c r="O298" s="154"/>
      <c r="P298" s="154"/>
      <c r="Q298" s="154"/>
      <c r="R298" s="154"/>
      <c r="S298" s="154"/>
      <c r="T298" s="154"/>
      <c r="U298" s="154"/>
      <c r="V298" s="154"/>
      <c r="W298" s="154"/>
      <c r="X298" s="154"/>
      <c r="Y298" s="154"/>
      <c r="Z298" s="154"/>
      <c r="AA298" s="154"/>
    </row>
    <row r="299" spans="1:27" ht="15">
      <c r="A299" s="180">
        <v>45831</v>
      </c>
      <c r="B299" s="181" t="s">
        <v>12992</v>
      </c>
      <c r="C299" s="182" t="s">
        <v>115</v>
      </c>
      <c r="D299" s="182">
        <v>12382</v>
      </c>
      <c r="E299" s="183">
        <v>13</v>
      </c>
      <c r="F299" s="183">
        <v>936</v>
      </c>
      <c r="G299" s="184">
        <v>1</v>
      </c>
      <c r="H299" s="158"/>
      <c r="I299" s="154"/>
      <c r="J299" s="154"/>
      <c r="K299" s="154"/>
      <c r="L299" s="154"/>
      <c r="M299" s="154"/>
      <c r="N299" s="154"/>
      <c r="O299" s="154"/>
      <c r="P299" s="154"/>
      <c r="Q299" s="154"/>
      <c r="R299" s="154"/>
      <c r="S299" s="154"/>
      <c r="T299" s="154"/>
      <c r="U299" s="154"/>
      <c r="V299" s="154"/>
      <c r="W299" s="154"/>
      <c r="X299" s="154"/>
      <c r="Y299" s="154"/>
      <c r="Z299" s="154"/>
      <c r="AA299" s="154"/>
    </row>
    <row r="300" spans="1:27" ht="15">
      <c r="A300" s="180">
        <v>45831</v>
      </c>
      <c r="B300" s="181" t="s">
        <v>12993</v>
      </c>
      <c r="C300" s="182" t="s">
        <v>49</v>
      </c>
      <c r="D300" s="182">
        <v>51191</v>
      </c>
      <c r="E300" s="183">
        <v>55</v>
      </c>
      <c r="F300" s="183">
        <v>5415</v>
      </c>
      <c r="G300" s="184">
        <v>6</v>
      </c>
      <c r="H300" s="158"/>
      <c r="I300" s="154"/>
      <c r="J300" s="154"/>
      <c r="K300" s="154"/>
      <c r="L300" s="154"/>
      <c r="M300" s="154"/>
      <c r="N300" s="154"/>
      <c r="O300" s="154"/>
      <c r="P300" s="154"/>
      <c r="Q300" s="154"/>
      <c r="R300" s="154"/>
      <c r="S300" s="154"/>
      <c r="T300" s="154"/>
      <c r="U300" s="154"/>
      <c r="V300" s="154"/>
      <c r="W300" s="154"/>
      <c r="X300" s="154"/>
      <c r="Y300" s="154"/>
      <c r="Z300" s="154"/>
      <c r="AA300" s="154"/>
    </row>
    <row r="301" spans="1:27" ht="15">
      <c r="A301" s="180">
        <v>45831</v>
      </c>
      <c r="B301" s="181" t="s">
        <v>12994</v>
      </c>
      <c r="C301" s="182" t="s">
        <v>61</v>
      </c>
      <c r="D301" s="182">
        <v>65615</v>
      </c>
      <c r="E301" s="183">
        <v>83</v>
      </c>
      <c r="F301" s="183">
        <v>4820</v>
      </c>
      <c r="G301" s="184">
        <v>14</v>
      </c>
      <c r="H301" s="158"/>
      <c r="I301" s="154"/>
      <c r="J301" s="154"/>
      <c r="K301" s="154"/>
      <c r="L301" s="154"/>
      <c r="M301" s="154"/>
      <c r="N301" s="154"/>
      <c r="O301" s="154"/>
      <c r="P301" s="154"/>
      <c r="Q301" s="154"/>
      <c r="R301" s="154"/>
      <c r="S301" s="154"/>
      <c r="T301" s="154"/>
      <c r="U301" s="154"/>
      <c r="V301" s="154"/>
      <c r="W301" s="154"/>
      <c r="X301" s="154"/>
      <c r="Y301" s="154"/>
      <c r="Z301" s="154"/>
      <c r="AA301" s="154"/>
    </row>
    <row r="302" spans="1:27" ht="15">
      <c r="A302" s="180">
        <v>45831</v>
      </c>
      <c r="B302" s="181" t="s">
        <v>12980</v>
      </c>
      <c r="C302" s="182" t="s">
        <v>115</v>
      </c>
      <c r="D302" s="182">
        <v>11515</v>
      </c>
      <c r="E302" s="183">
        <v>15</v>
      </c>
      <c r="F302" s="183">
        <v>646</v>
      </c>
      <c r="G302" s="184">
        <v>1</v>
      </c>
      <c r="H302" s="158"/>
      <c r="I302" s="154"/>
      <c r="J302" s="154"/>
      <c r="K302" s="154"/>
      <c r="L302" s="154"/>
      <c r="M302" s="154"/>
      <c r="N302" s="154"/>
      <c r="O302" s="154"/>
      <c r="P302" s="154"/>
      <c r="Q302" s="154"/>
      <c r="R302" s="154"/>
      <c r="S302" s="154"/>
      <c r="T302" s="154"/>
      <c r="U302" s="154"/>
      <c r="V302" s="154"/>
      <c r="W302" s="154"/>
      <c r="X302" s="154"/>
      <c r="Y302" s="154"/>
      <c r="Z302" s="154"/>
      <c r="AA302" s="154"/>
    </row>
    <row r="303" spans="1:27" ht="15">
      <c r="A303" s="180">
        <v>45831</v>
      </c>
      <c r="B303" s="181" t="s">
        <v>12981</v>
      </c>
      <c r="C303" s="182" t="s">
        <v>115</v>
      </c>
      <c r="D303" s="182">
        <v>147672</v>
      </c>
      <c r="E303" s="183">
        <v>254</v>
      </c>
      <c r="F303" s="183">
        <v>22641</v>
      </c>
      <c r="G303" s="184">
        <v>35</v>
      </c>
      <c r="H303" s="158"/>
      <c r="I303" s="154"/>
      <c r="J303" s="154"/>
      <c r="K303" s="154"/>
      <c r="L303" s="154"/>
      <c r="M303" s="154"/>
      <c r="N303" s="154"/>
      <c r="O303" s="154"/>
      <c r="P303" s="154"/>
      <c r="Q303" s="154"/>
      <c r="R303" s="154"/>
      <c r="S303" s="154"/>
      <c r="T303" s="154"/>
      <c r="U303" s="154"/>
      <c r="V303" s="154"/>
      <c r="W303" s="154"/>
      <c r="X303" s="154"/>
      <c r="Y303" s="154"/>
      <c r="Z303" s="154"/>
      <c r="AA303" s="154"/>
    </row>
    <row r="304" spans="1:27" ht="15">
      <c r="A304" s="180">
        <v>45831</v>
      </c>
      <c r="B304" s="181" t="s">
        <v>12982</v>
      </c>
      <c r="C304" s="182" t="s">
        <v>61</v>
      </c>
      <c r="D304" s="182">
        <v>70999</v>
      </c>
      <c r="E304" s="183">
        <v>119</v>
      </c>
      <c r="F304" s="183">
        <v>7682</v>
      </c>
      <c r="G304" s="184">
        <v>13</v>
      </c>
      <c r="H304" s="158"/>
      <c r="I304" s="154"/>
      <c r="J304" s="154"/>
      <c r="K304" s="154"/>
      <c r="L304" s="154"/>
      <c r="M304" s="154"/>
      <c r="N304" s="154"/>
      <c r="O304" s="154"/>
      <c r="P304" s="154"/>
      <c r="Q304" s="154"/>
      <c r="R304" s="154"/>
      <c r="S304" s="154"/>
      <c r="T304" s="154"/>
      <c r="U304" s="154"/>
      <c r="V304" s="154"/>
      <c r="W304" s="154"/>
      <c r="X304" s="154"/>
      <c r="Y304" s="154"/>
      <c r="Z304" s="154"/>
      <c r="AA304" s="154"/>
    </row>
    <row r="305" spans="1:27" ht="15">
      <c r="A305" s="180">
        <v>45831</v>
      </c>
      <c r="B305" s="181" t="s">
        <v>12983</v>
      </c>
      <c r="C305" s="182" t="s">
        <v>61</v>
      </c>
      <c r="D305" s="182">
        <v>62981</v>
      </c>
      <c r="E305" s="183">
        <v>40</v>
      </c>
      <c r="F305" s="183">
        <v>2660</v>
      </c>
      <c r="G305" s="184">
        <v>7</v>
      </c>
      <c r="H305" s="158"/>
      <c r="I305" s="154"/>
      <c r="J305" s="154"/>
      <c r="K305" s="154"/>
      <c r="L305" s="154"/>
      <c r="M305" s="154"/>
      <c r="N305" s="154"/>
      <c r="O305" s="154"/>
      <c r="P305" s="154"/>
      <c r="Q305" s="154"/>
      <c r="R305" s="154"/>
      <c r="S305" s="154"/>
      <c r="T305" s="154"/>
      <c r="U305" s="154"/>
      <c r="V305" s="154"/>
      <c r="W305" s="154"/>
      <c r="X305" s="154"/>
      <c r="Y305" s="154"/>
      <c r="Z305" s="154"/>
      <c r="AA305" s="154"/>
    </row>
    <row r="306" spans="1:27" ht="15">
      <c r="A306" s="180">
        <v>45831</v>
      </c>
      <c r="B306" s="181" t="s">
        <v>12995</v>
      </c>
      <c r="C306" s="182" t="s">
        <v>1229</v>
      </c>
      <c r="D306" s="182">
        <v>12950</v>
      </c>
      <c r="E306" s="183">
        <v>11</v>
      </c>
      <c r="F306" s="183">
        <v>607</v>
      </c>
      <c r="G306" s="184">
        <v>0</v>
      </c>
      <c r="H306" s="158"/>
      <c r="I306" s="154"/>
      <c r="J306" s="154"/>
      <c r="K306" s="154"/>
      <c r="L306" s="154"/>
      <c r="M306" s="154"/>
      <c r="N306" s="154"/>
      <c r="O306" s="154"/>
      <c r="P306" s="154"/>
      <c r="Q306" s="154"/>
      <c r="R306" s="154"/>
      <c r="S306" s="154"/>
      <c r="T306" s="154"/>
      <c r="U306" s="154"/>
      <c r="V306" s="154"/>
      <c r="W306" s="154"/>
      <c r="X306" s="154"/>
      <c r="Y306" s="154"/>
      <c r="Z306" s="154"/>
      <c r="AA306" s="154"/>
    </row>
    <row r="307" spans="1:27" ht="15">
      <c r="A307" s="180">
        <v>45831</v>
      </c>
      <c r="B307" s="181" t="s">
        <v>12996</v>
      </c>
      <c r="C307" s="182" t="s">
        <v>1229</v>
      </c>
      <c r="D307" s="182">
        <v>78001</v>
      </c>
      <c r="E307" s="183">
        <v>102</v>
      </c>
      <c r="F307" s="183">
        <v>6438</v>
      </c>
      <c r="G307" s="184">
        <v>33</v>
      </c>
      <c r="H307" s="158"/>
      <c r="I307" s="154"/>
      <c r="J307" s="154"/>
      <c r="K307" s="154"/>
      <c r="L307" s="154"/>
      <c r="M307" s="154"/>
      <c r="N307" s="154"/>
      <c r="O307" s="154"/>
      <c r="P307" s="154"/>
      <c r="Q307" s="154"/>
      <c r="R307" s="154"/>
      <c r="S307" s="154"/>
      <c r="T307" s="154"/>
      <c r="U307" s="154"/>
      <c r="V307" s="154"/>
      <c r="W307" s="154"/>
      <c r="X307" s="154"/>
      <c r="Y307" s="154"/>
      <c r="Z307" s="154"/>
      <c r="AA307" s="154"/>
    </row>
    <row r="308" spans="1:27" ht="15">
      <c r="A308" s="180">
        <v>45831</v>
      </c>
      <c r="B308" s="181" t="s">
        <v>12969</v>
      </c>
      <c r="C308" s="182" t="s">
        <v>115</v>
      </c>
      <c r="D308" s="182">
        <v>30682</v>
      </c>
      <c r="E308" s="183">
        <v>32</v>
      </c>
      <c r="F308" s="183">
        <v>2115</v>
      </c>
      <c r="G308" s="184">
        <v>3</v>
      </c>
      <c r="H308" s="158"/>
      <c r="I308" s="154"/>
      <c r="J308" s="154"/>
      <c r="K308" s="154"/>
      <c r="L308" s="154"/>
      <c r="M308" s="154"/>
      <c r="N308" s="154"/>
      <c r="O308" s="154"/>
      <c r="P308" s="154"/>
      <c r="Q308" s="154"/>
      <c r="R308" s="154"/>
      <c r="S308" s="154"/>
      <c r="T308" s="154"/>
      <c r="U308" s="154"/>
      <c r="V308" s="154"/>
      <c r="W308" s="154"/>
      <c r="X308" s="154"/>
      <c r="Y308" s="154"/>
      <c r="Z308" s="154"/>
      <c r="AA308" s="154"/>
    </row>
    <row r="309" spans="1:27" ht="15">
      <c r="A309" s="180">
        <v>45831</v>
      </c>
      <c r="B309" s="181" t="s">
        <v>12970</v>
      </c>
      <c r="C309" s="182" t="s">
        <v>115</v>
      </c>
      <c r="D309" s="182">
        <v>13068</v>
      </c>
      <c r="E309" s="183">
        <v>16</v>
      </c>
      <c r="F309" s="183">
        <v>842</v>
      </c>
      <c r="G309" s="184">
        <v>0</v>
      </c>
      <c r="H309" s="158"/>
      <c r="I309" s="154"/>
      <c r="J309" s="154"/>
      <c r="K309" s="154"/>
      <c r="L309" s="154"/>
      <c r="M309" s="154"/>
      <c r="N309" s="154"/>
      <c r="O309" s="154"/>
      <c r="P309" s="154"/>
      <c r="Q309" s="154"/>
      <c r="R309" s="154"/>
      <c r="S309" s="154"/>
      <c r="T309" s="154"/>
      <c r="U309" s="154"/>
      <c r="V309" s="154"/>
      <c r="W309" s="154"/>
      <c r="X309" s="154"/>
      <c r="Y309" s="154"/>
      <c r="Z309" s="154"/>
      <c r="AA309" s="154"/>
    </row>
    <row r="310" spans="1:27" ht="15">
      <c r="A310" s="180">
        <v>45831</v>
      </c>
      <c r="B310" s="181" t="s">
        <v>12971</v>
      </c>
      <c r="C310" s="182" t="s">
        <v>115</v>
      </c>
      <c r="D310" s="182">
        <v>82654</v>
      </c>
      <c r="E310" s="183">
        <v>146</v>
      </c>
      <c r="F310" s="183">
        <v>9164</v>
      </c>
      <c r="G310" s="184">
        <v>18</v>
      </c>
      <c r="H310" s="158"/>
      <c r="I310" s="154"/>
      <c r="J310" s="154"/>
      <c r="K310" s="154"/>
      <c r="L310" s="154"/>
      <c r="M310" s="154"/>
      <c r="N310" s="154"/>
      <c r="O310" s="154"/>
      <c r="P310" s="154"/>
      <c r="Q310" s="154"/>
      <c r="R310" s="154"/>
      <c r="S310" s="154"/>
      <c r="T310" s="154"/>
      <c r="U310" s="154"/>
      <c r="V310" s="154"/>
      <c r="W310" s="154"/>
      <c r="X310" s="154"/>
      <c r="Y310" s="154"/>
      <c r="Z310" s="154"/>
      <c r="AA310" s="154"/>
    </row>
    <row r="311" spans="1:27" ht="15">
      <c r="A311" s="180">
        <v>45831</v>
      </c>
      <c r="B311" s="181" t="s">
        <v>12963</v>
      </c>
      <c r="C311" s="182" t="s">
        <v>61</v>
      </c>
      <c r="D311" s="182">
        <v>18152</v>
      </c>
      <c r="E311" s="183">
        <v>20</v>
      </c>
      <c r="F311" s="183">
        <v>1013</v>
      </c>
      <c r="G311" s="184">
        <v>3</v>
      </c>
      <c r="H311" s="158"/>
      <c r="I311" s="154"/>
      <c r="J311" s="154"/>
      <c r="K311" s="154"/>
      <c r="L311" s="154"/>
      <c r="M311" s="154"/>
      <c r="N311" s="154"/>
      <c r="O311" s="154"/>
      <c r="P311" s="154"/>
      <c r="Q311" s="154"/>
      <c r="R311" s="154"/>
      <c r="S311" s="154"/>
      <c r="T311" s="154"/>
      <c r="U311" s="154"/>
      <c r="V311" s="154"/>
      <c r="W311" s="154"/>
      <c r="X311" s="154"/>
      <c r="Y311" s="154"/>
      <c r="Z311" s="154"/>
      <c r="AA311" s="154"/>
    </row>
    <row r="312" spans="1:27" ht="15">
      <c r="A312" s="180">
        <v>45831</v>
      </c>
      <c r="B312" s="181" t="s">
        <v>12964</v>
      </c>
      <c r="C312" s="182" t="s">
        <v>61</v>
      </c>
      <c r="D312" s="182">
        <v>19298</v>
      </c>
      <c r="E312" s="183">
        <v>20</v>
      </c>
      <c r="F312" s="183">
        <v>1226</v>
      </c>
      <c r="G312" s="184">
        <v>2</v>
      </c>
      <c r="H312" s="158"/>
      <c r="I312" s="154"/>
      <c r="J312" s="154"/>
      <c r="K312" s="154"/>
      <c r="L312" s="154"/>
      <c r="M312" s="154"/>
      <c r="N312" s="154"/>
      <c r="O312" s="154"/>
      <c r="P312" s="154"/>
      <c r="Q312" s="154"/>
      <c r="R312" s="154"/>
      <c r="S312" s="154"/>
      <c r="T312" s="154"/>
      <c r="U312" s="154"/>
      <c r="V312" s="154"/>
      <c r="W312" s="154"/>
      <c r="X312" s="154"/>
      <c r="Y312" s="154"/>
      <c r="Z312" s="154"/>
      <c r="AA312" s="154"/>
    </row>
    <row r="313" spans="1:27" ht="15">
      <c r="A313" s="180">
        <v>45831</v>
      </c>
      <c r="B313" s="181" t="s">
        <v>12965</v>
      </c>
      <c r="C313" s="182" t="s">
        <v>49</v>
      </c>
      <c r="D313" s="182">
        <v>40936</v>
      </c>
      <c r="E313" s="183">
        <v>33</v>
      </c>
      <c r="F313" s="183">
        <v>1968</v>
      </c>
      <c r="G313" s="184">
        <v>5</v>
      </c>
      <c r="H313" s="158"/>
      <c r="I313" s="154"/>
      <c r="J313" s="154"/>
      <c r="K313" s="154"/>
      <c r="L313" s="154"/>
      <c r="M313" s="154"/>
      <c r="N313" s="154"/>
      <c r="O313" s="154"/>
      <c r="P313" s="154"/>
      <c r="Q313" s="154"/>
      <c r="R313" s="154"/>
      <c r="S313" s="154"/>
      <c r="T313" s="154"/>
      <c r="U313" s="154"/>
      <c r="V313" s="154"/>
      <c r="W313" s="154"/>
      <c r="X313" s="154"/>
      <c r="Y313" s="154"/>
      <c r="Z313" s="154"/>
      <c r="AA313" s="154"/>
    </row>
    <row r="314" spans="1:27" ht="15">
      <c r="A314" s="180">
        <v>45831</v>
      </c>
      <c r="B314" s="181" t="s">
        <v>12966</v>
      </c>
      <c r="C314" s="182" t="s">
        <v>49</v>
      </c>
      <c r="D314" s="182">
        <v>23414</v>
      </c>
      <c r="E314" s="183">
        <v>25</v>
      </c>
      <c r="F314" s="183">
        <v>1393</v>
      </c>
      <c r="G314" s="184">
        <v>2</v>
      </c>
      <c r="H314" s="158"/>
      <c r="I314" s="154"/>
      <c r="J314" s="154"/>
      <c r="K314" s="154"/>
      <c r="L314" s="154"/>
      <c r="M314" s="154"/>
      <c r="N314" s="154"/>
      <c r="O314" s="154"/>
      <c r="P314" s="154"/>
      <c r="Q314" s="154"/>
      <c r="R314" s="154"/>
      <c r="S314" s="154"/>
      <c r="T314" s="154"/>
      <c r="U314" s="154"/>
      <c r="V314" s="154"/>
      <c r="W314" s="154"/>
      <c r="X314" s="154"/>
      <c r="Y314" s="154"/>
      <c r="Z314" s="154"/>
      <c r="AA314" s="154"/>
    </row>
    <row r="315" spans="1:27" ht="15">
      <c r="A315" s="180">
        <v>45831</v>
      </c>
      <c r="B315" s="181" t="s">
        <v>12967</v>
      </c>
      <c r="C315" s="182" t="s">
        <v>49</v>
      </c>
      <c r="D315" s="182">
        <v>16001</v>
      </c>
      <c r="E315" s="183">
        <v>16</v>
      </c>
      <c r="F315" s="183">
        <v>1144</v>
      </c>
      <c r="G315" s="184">
        <v>0</v>
      </c>
      <c r="H315" s="158"/>
      <c r="I315" s="154"/>
      <c r="J315" s="154"/>
      <c r="K315" s="154"/>
      <c r="L315" s="154"/>
      <c r="M315" s="154"/>
      <c r="N315" s="154"/>
      <c r="O315" s="154"/>
      <c r="P315" s="154"/>
      <c r="Q315" s="154"/>
      <c r="R315" s="154"/>
      <c r="S315" s="154"/>
      <c r="T315" s="154"/>
      <c r="U315" s="154"/>
      <c r="V315" s="154"/>
      <c r="W315" s="154"/>
      <c r="X315" s="154"/>
      <c r="Y315" s="154"/>
      <c r="Z315" s="154"/>
      <c r="AA315" s="154"/>
    </row>
    <row r="316" spans="1:27" ht="15">
      <c r="A316" s="180">
        <v>45831</v>
      </c>
      <c r="B316" s="181" t="s">
        <v>12968</v>
      </c>
      <c r="C316" s="182" t="s">
        <v>61</v>
      </c>
      <c r="D316" s="182">
        <v>96907</v>
      </c>
      <c r="E316" s="183">
        <v>154</v>
      </c>
      <c r="F316" s="183">
        <v>10977</v>
      </c>
      <c r="G316" s="184">
        <v>22</v>
      </c>
      <c r="H316" s="158"/>
      <c r="I316" s="154"/>
      <c r="J316" s="154"/>
      <c r="K316" s="154"/>
      <c r="L316" s="154"/>
      <c r="M316" s="154"/>
      <c r="N316" s="154"/>
      <c r="O316" s="154"/>
      <c r="P316" s="154"/>
      <c r="Q316" s="154"/>
      <c r="R316" s="154"/>
      <c r="S316" s="154"/>
      <c r="T316" s="154"/>
      <c r="U316" s="154"/>
      <c r="V316" s="154"/>
      <c r="W316" s="154"/>
      <c r="X316" s="154"/>
      <c r="Y316" s="154"/>
      <c r="Z316" s="154"/>
      <c r="AA316" s="154"/>
    </row>
    <row r="317" spans="1:27" ht="15">
      <c r="A317" s="180">
        <v>45832</v>
      </c>
      <c r="B317" s="181" t="s">
        <v>12992</v>
      </c>
      <c r="C317" s="182" t="s">
        <v>115</v>
      </c>
      <c r="D317" s="182">
        <v>5</v>
      </c>
      <c r="E317" s="183">
        <v>0</v>
      </c>
      <c r="F317" s="183">
        <v>4</v>
      </c>
      <c r="G317" s="184">
        <v>0</v>
      </c>
      <c r="H317" s="158"/>
      <c r="I317" s="154"/>
      <c r="J317" s="154"/>
      <c r="K317" s="154"/>
      <c r="L317" s="154"/>
      <c r="M317" s="154"/>
      <c r="N317" s="154"/>
      <c r="O317" s="154"/>
      <c r="P317" s="154"/>
      <c r="Q317" s="154"/>
      <c r="R317" s="154"/>
      <c r="S317" s="154"/>
      <c r="T317" s="154"/>
      <c r="U317" s="154"/>
      <c r="V317" s="154"/>
      <c r="W317" s="154"/>
      <c r="X317" s="154"/>
      <c r="Y317" s="154"/>
      <c r="Z317" s="154"/>
      <c r="AA317" s="154"/>
    </row>
    <row r="318" spans="1:27" ht="15">
      <c r="A318" s="180">
        <v>45832</v>
      </c>
      <c r="B318" s="181" t="s">
        <v>12993</v>
      </c>
      <c r="C318" s="182" t="s">
        <v>49</v>
      </c>
      <c r="D318" s="182">
        <v>0</v>
      </c>
      <c r="E318" s="183">
        <v>0</v>
      </c>
      <c r="F318" s="183">
        <v>1</v>
      </c>
      <c r="G318" s="184">
        <v>0</v>
      </c>
      <c r="H318" s="158"/>
      <c r="I318" s="154"/>
      <c r="J318" s="154"/>
      <c r="K318" s="154"/>
      <c r="L318" s="154"/>
      <c r="M318" s="154"/>
      <c r="N318" s="154"/>
      <c r="O318" s="154"/>
      <c r="P318" s="154"/>
      <c r="Q318" s="154"/>
      <c r="R318" s="154"/>
      <c r="S318" s="154"/>
      <c r="T318" s="154"/>
      <c r="U318" s="154"/>
      <c r="V318" s="154"/>
      <c r="W318" s="154"/>
      <c r="X318" s="154"/>
      <c r="Y318" s="154"/>
      <c r="Z318" s="154"/>
      <c r="AA318" s="154"/>
    </row>
    <row r="319" spans="1:27" ht="15">
      <c r="A319" s="180">
        <v>45832</v>
      </c>
      <c r="B319" s="181" t="s">
        <v>12994</v>
      </c>
      <c r="C319" s="182" t="s">
        <v>61</v>
      </c>
      <c r="D319" s="182">
        <v>175189</v>
      </c>
      <c r="E319" s="183">
        <v>189</v>
      </c>
      <c r="F319" s="183">
        <v>10261</v>
      </c>
      <c r="G319" s="184">
        <v>35</v>
      </c>
      <c r="H319" s="158"/>
      <c r="I319" s="154"/>
      <c r="J319" s="154"/>
      <c r="K319" s="154"/>
      <c r="L319" s="154"/>
      <c r="M319" s="154"/>
      <c r="N319" s="154"/>
      <c r="O319" s="154"/>
      <c r="P319" s="154"/>
      <c r="Q319" s="154"/>
      <c r="R319" s="154"/>
      <c r="S319" s="154"/>
      <c r="T319" s="154"/>
      <c r="U319" s="154"/>
      <c r="V319" s="154"/>
      <c r="W319" s="154"/>
      <c r="X319" s="154"/>
      <c r="Y319" s="154"/>
      <c r="Z319" s="154"/>
      <c r="AA319" s="154"/>
    </row>
    <row r="320" spans="1:27" ht="15">
      <c r="A320" s="180">
        <v>45832</v>
      </c>
      <c r="B320" s="181" t="s">
        <v>12980</v>
      </c>
      <c r="C320" s="182" t="s">
        <v>115</v>
      </c>
      <c r="D320" s="182">
        <v>99223</v>
      </c>
      <c r="E320" s="183">
        <v>93</v>
      </c>
      <c r="F320" s="183">
        <v>4925</v>
      </c>
      <c r="G320" s="184">
        <v>16</v>
      </c>
      <c r="H320" s="158"/>
      <c r="I320" s="154"/>
      <c r="J320" s="154"/>
      <c r="K320" s="154"/>
      <c r="L320" s="154"/>
      <c r="M320" s="154"/>
      <c r="N320" s="154"/>
      <c r="O320" s="154"/>
      <c r="P320" s="154"/>
      <c r="Q320" s="154"/>
      <c r="R320" s="154"/>
      <c r="S320" s="154"/>
      <c r="T320" s="154"/>
      <c r="U320" s="154"/>
      <c r="V320" s="154"/>
      <c r="W320" s="154"/>
      <c r="X320" s="154"/>
      <c r="Y320" s="154"/>
      <c r="Z320" s="154"/>
      <c r="AA320" s="154"/>
    </row>
    <row r="321" spans="1:27" ht="15">
      <c r="A321" s="180">
        <v>45832</v>
      </c>
      <c r="B321" s="181" t="s">
        <v>12981</v>
      </c>
      <c r="C321" s="182" t="s">
        <v>115</v>
      </c>
      <c r="D321" s="182">
        <v>5061</v>
      </c>
      <c r="E321" s="183">
        <v>5</v>
      </c>
      <c r="F321" s="183">
        <v>551</v>
      </c>
      <c r="G321" s="184">
        <v>0</v>
      </c>
      <c r="H321" s="158"/>
      <c r="I321" s="154"/>
      <c r="J321" s="154"/>
      <c r="K321" s="154"/>
      <c r="L321" s="154"/>
      <c r="M321" s="154"/>
      <c r="N321" s="154"/>
      <c r="O321" s="154"/>
      <c r="P321" s="154"/>
      <c r="Q321" s="154"/>
      <c r="R321" s="154"/>
      <c r="S321" s="154"/>
      <c r="T321" s="154"/>
      <c r="U321" s="154"/>
      <c r="V321" s="154"/>
      <c r="W321" s="154"/>
      <c r="X321" s="154"/>
      <c r="Y321" s="154"/>
      <c r="Z321" s="154"/>
      <c r="AA321" s="154"/>
    </row>
    <row r="322" spans="1:27" ht="15">
      <c r="A322" s="180">
        <v>45832</v>
      </c>
      <c r="B322" s="181" t="s">
        <v>12982</v>
      </c>
      <c r="C322" s="182" t="s">
        <v>61</v>
      </c>
      <c r="D322" s="182">
        <v>64896</v>
      </c>
      <c r="E322" s="183">
        <v>90</v>
      </c>
      <c r="F322" s="183">
        <v>4160</v>
      </c>
      <c r="G322" s="184">
        <v>17</v>
      </c>
      <c r="H322" s="158"/>
      <c r="I322" s="154"/>
      <c r="J322" s="154"/>
      <c r="K322" s="154"/>
      <c r="L322" s="154"/>
      <c r="M322" s="154"/>
      <c r="N322" s="154"/>
      <c r="O322" s="154"/>
      <c r="P322" s="154"/>
      <c r="Q322" s="154"/>
      <c r="R322" s="154"/>
      <c r="S322" s="154"/>
      <c r="T322" s="154"/>
      <c r="U322" s="154"/>
      <c r="V322" s="154"/>
      <c r="W322" s="154"/>
      <c r="X322" s="154"/>
      <c r="Y322" s="154"/>
      <c r="Z322" s="154"/>
      <c r="AA322" s="154"/>
    </row>
    <row r="323" spans="1:27" ht="15">
      <c r="A323" s="180">
        <v>45832</v>
      </c>
      <c r="B323" s="181" t="s">
        <v>12983</v>
      </c>
      <c r="C323" s="182" t="s">
        <v>61</v>
      </c>
      <c r="D323" s="182">
        <v>47570</v>
      </c>
      <c r="E323" s="183">
        <v>59</v>
      </c>
      <c r="F323" s="183">
        <v>4906</v>
      </c>
      <c r="G323" s="184">
        <v>6</v>
      </c>
      <c r="H323" s="158"/>
      <c r="I323" s="154"/>
      <c r="J323" s="154"/>
      <c r="K323" s="154"/>
      <c r="L323" s="154"/>
      <c r="M323" s="154"/>
      <c r="N323" s="154"/>
      <c r="O323" s="154"/>
      <c r="P323" s="154"/>
      <c r="Q323" s="154"/>
      <c r="R323" s="154"/>
      <c r="S323" s="154"/>
      <c r="T323" s="154"/>
      <c r="U323" s="154"/>
      <c r="V323" s="154"/>
      <c r="W323" s="154"/>
      <c r="X323" s="154"/>
      <c r="Y323" s="154"/>
      <c r="Z323" s="154"/>
      <c r="AA323" s="154"/>
    </row>
    <row r="324" spans="1:27" ht="15">
      <c r="A324" s="180">
        <v>45832</v>
      </c>
      <c r="B324" s="181" t="s">
        <v>12995</v>
      </c>
      <c r="C324" s="182" t="s">
        <v>1229</v>
      </c>
      <c r="D324" s="182">
        <v>7044</v>
      </c>
      <c r="E324" s="183">
        <v>7</v>
      </c>
      <c r="F324" s="183">
        <v>532</v>
      </c>
      <c r="G324" s="184">
        <v>0</v>
      </c>
      <c r="H324" s="158"/>
      <c r="I324" s="154"/>
      <c r="J324" s="154"/>
      <c r="K324" s="154"/>
      <c r="L324" s="154"/>
      <c r="M324" s="154"/>
      <c r="N324" s="154"/>
      <c r="O324" s="154"/>
      <c r="P324" s="154"/>
      <c r="Q324" s="154"/>
      <c r="R324" s="154"/>
      <c r="S324" s="154"/>
      <c r="T324" s="154"/>
      <c r="U324" s="154"/>
      <c r="V324" s="154"/>
      <c r="W324" s="154"/>
      <c r="X324" s="154"/>
      <c r="Y324" s="154"/>
      <c r="Z324" s="154"/>
      <c r="AA324" s="154"/>
    </row>
    <row r="325" spans="1:27" ht="15">
      <c r="A325" s="180">
        <v>45832</v>
      </c>
      <c r="B325" s="181" t="s">
        <v>12996</v>
      </c>
      <c r="C325" s="182" t="s">
        <v>1229</v>
      </c>
      <c r="D325" s="182">
        <v>12421</v>
      </c>
      <c r="E325" s="183">
        <v>12</v>
      </c>
      <c r="F325" s="183">
        <v>711</v>
      </c>
      <c r="G325" s="184">
        <v>1</v>
      </c>
      <c r="H325" s="158"/>
      <c r="I325" s="154"/>
      <c r="J325" s="154"/>
      <c r="K325" s="154"/>
      <c r="L325" s="154"/>
      <c r="M325" s="154"/>
      <c r="N325" s="154"/>
      <c r="O325" s="154"/>
      <c r="P325" s="154"/>
      <c r="Q325" s="154"/>
      <c r="R325" s="154"/>
      <c r="S325" s="154"/>
      <c r="T325" s="154"/>
      <c r="U325" s="154"/>
      <c r="V325" s="154"/>
      <c r="W325" s="154"/>
      <c r="X325" s="154"/>
      <c r="Y325" s="154"/>
      <c r="Z325" s="154"/>
      <c r="AA325" s="154"/>
    </row>
    <row r="326" spans="1:27" ht="15">
      <c r="A326" s="180">
        <v>45832</v>
      </c>
      <c r="B326" s="181" t="s">
        <v>12969</v>
      </c>
      <c r="C326" s="182" t="s">
        <v>115</v>
      </c>
      <c r="D326" s="182">
        <v>28781</v>
      </c>
      <c r="E326" s="183">
        <v>26</v>
      </c>
      <c r="F326" s="183">
        <v>2125</v>
      </c>
      <c r="G326" s="184">
        <v>2</v>
      </c>
      <c r="H326" s="158"/>
      <c r="I326" s="154"/>
      <c r="J326" s="154"/>
      <c r="K326" s="154"/>
      <c r="L326" s="154"/>
      <c r="M326" s="154"/>
      <c r="N326" s="154"/>
      <c r="O326" s="154"/>
      <c r="P326" s="154"/>
      <c r="Q326" s="154"/>
      <c r="R326" s="154"/>
      <c r="S326" s="154"/>
      <c r="T326" s="154"/>
      <c r="U326" s="154"/>
      <c r="V326" s="154"/>
      <c r="W326" s="154"/>
      <c r="X326" s="154"/>
      <c r="Y326" s="154"/>
      <c r="Z326" s="154"/>
      <c r="AA326" s="154"/>
    </row>
    <row r="327" spans="1:27" ht="15">
      <c r="A327" s="180">
        <v>45832</v>
      </c>
      <c r="B327" s="181" t="s">
        <v>12970</v>
      </c>
      <c r="C327" s="182" t="s">
        <v>115</v>
      </c>
      <c r="D327" s="182">
        <v>10266</v>
      </c>
      <c r="E327" s="183">
        <v>15</v>
      </c>
      <c r="F327" s="183">
        <v>895</v>
      </c>
      <c r="G327" s="184">
        <v>2</v>
      </c>
      <c r="H327" s="158"/>
      <c r="I327" s="154"/>
      <c r="J327" s="154"/>
      <c r="K327" s="154"/>
      <c r="L327" s="154"/>
      <c r="M327" s="154"/>
      <c r="N327" s="154"/>
      <c r="O327" s="154"/>
      <c r="P327" s="154"/>
      <c r="Q327" s="154"/>
      <c r="R327" s="154"/>
      <c r="S327" s="154"/>
      <c r="T327" s="154"/>
      <c r="U327" s="154"/>
      <c r="V327" s="154"/>
      <c r="W327" s="154"/>
      <c r="X327" s="154"/>
      <c r="Y327" s="154"/>
      <c r="Z327" s="154"/>
      <c r="AA327" s="154"/>
    </row>
    <row r="328" spans="1:27" ht="15">
      <c r="A328" s="180">
        <v>45832</v>
      </c>
      <c r="B328" s="181" t="s">
        <v>12971</v>
      </c>
      <c r="C328" s="182" t="s">
        <v>115</v>
      </c>
      <c r="D328" s="182">
        <v>94483</v>
      </c>
      <c r="E328" s="183">
        <v>162</v>
      </c>
      <c r="F328" s="183">
        <v>9535</v>
      </c>
      <c r="G328" s="184">
        <v>28</v>
      </c>
      <c r="H328" s="158"/>
      <c r="I328" s="154"/>
      <c r="J328" s="154"/>
      <c r="K328" s="154"/>
      <c r="L328" s="154"/>
      <c r="M328" s="154"/>
      <c r="N328" s="154"/>
      <c r="O328" s="154"/>
      <c r="P328" s="154"/>
      <c r="Q328" s="154"/>
      <c r="R328" s="154"/>
      <c r="S328" s="154"/>
      <c r="T328" s="154"/>
      <c r="U328" s="154"/>
      <c r="V328" s="154"/>
      <c r="W328" s="154"/>
      <c r="X328" s="154"/>
      <c r="Y328" s="154"/>
      <c r="Z328" s="154"/>
      <c r="AA328" s="154"/>
    </row>
    <row r="329" spans="1:27" ht="15">
      <c r="A329" s="180">
        <v>45832</v>
      </c>
      <c r="B329" s="181" t="s">
        <v>12963</v>
      </c>
      <c r="C329" s="182" t="s">
        <v>61</v>
      </c>
      <c r="D329" s="182">
        <v>6054</v>
      </c>
      <c r="E329" s="183">
        <v>6</v>
      </c>
      <c r="F329" s="183">
        <v>436</v>
      </c>
      <c r="G329" s="184">
        <v>0</v>
      </c>
      <c r="H329" s="158"/>
      <c r="I329" s="154"/>
      <c r="J329" s="154"/>
      <c r="K329" s="154"/>
      <c r="L329" s="154"/>
      <c r="M329" s="154"/>
      <c r="N329" s="154"/>
      <c r="O329" s="154"/>
      <c r="P329" s="154"/>
      <c r="Q329" s="154"/>
      <c r="R329" s="154"/>
      <c r="S329" s="154"/>
      <c r="T329" s="154"/>
      <c r="U329" s="154"/>
      <c r="V329" s="154"/>
      <c r="W329" s="154"/>
      <c r="X329" s="154"/>
      <c r="Y329" s="154"/>
      <c r="Z329" s="154"/>
      <c r="AA329" s="154"/>
    </row>
    <row r="330" spans="1:27" ht="15">
      <c r="A330" s="180">
        <v>45832</v>
      </c>
      <c r="B330" s="181" t="s">
        <v>12964</v>
      </c>
      <c r="C330" s="182" t="s">
        <v>61</v>
      </c>
      <c r="D330" s="182">
        <v>20859</v>
      </c>
      <c r="E330" s="183">
        <v>26</v>
      </c>
      <c r="F330" s="183">
        <v>1474</v>
      </c>
      <c r="G330" s="184">
        <v>3</v>
      </c>
      <c r="H330" s="158"/>
      <c r="I330" s="154"/>
      <c r="J330" s="154"/>
      <c r="K330" s="154"/>
      <c r="L330" s="154"/>
      <c r="M330" s="154"/>
      <c r="N330" s="154"/>
      <c r="O330" s="154"/>
      <c r="P330" s="154"/>
      <c r="Q330" s="154"/>
      <c r="R330" s="154"/>
      <c r="S330" s="154"/>
      <c r="T330" s="154"/>
      <c r="U330" s="154"/>
      <c r="V330" s="154"/>
      <c r="W330" s="154"/>
      <c r="X330" s="154"/>
      <c r="Y330" s="154"/>
      <c r="Z330" s="154"/>
      <c r="AA330" s="154"/>
    </row>
    <row r="331" spans="1:27" ht="15">
      <c r="A331" s="180">
        <v>45832</v>
      </c>
      <c r="B331" s="181" t="s">
        <v>12965</v>
      </c>
      <c r="C331" s="182" t="s">
        <v>49</v>
      </c>
      <c r="D331" s="182">
        <v>7472</v>
      </c>
      <c r="E331" s="183">
        <v>15</v>
      </c>
      <c r="F331" s="183">
        <v>579</v>
      </c>
      <c r="G331" s="184">
        <v>0</v>
      </c>
      <c r="H331" s="158"/>
      <c r="I331" s="154"/>
      <c r="J331" s="154"/>
      <c r="K331" s="154"/>
      <c r="L331" s="154"/>
      <c r="M331" s="154"/>
      <c r="N331" s="154"/>
      <c r="O331" s="154"/>
      <c r="P331" s="154"/>
      <c r="Q331" s="154"/>
      <c r="R331" s="154"/>
      <c r="S331" s="154"/>
      <c r="T331" s="154"/>
      <c r="U331" s="154"/>
      <c r="V331" s="154"/>
      <c r="W331" s="154"/>
      <c r="X331" s="154"/>
      <c r="Y331" s="154"/>
      <c r="Z331" s="154"/>
      <c r="AA331" s="154"/>
    </row>
    <row r="332" spans="1:27" ht="15">
      <c r="A332" s="180">
        <v>45832</v>
      </c>
      <c r="B332" s="181" t="s">
        <v>12966</v>
      </c>
      <c r="C332" s="182" t="s">
        <v>49</v>
      </c>
      <c r="D332" s="182">
        <v>98910</v>
      </c>
      <c r="E332" s="183">
        <v>160</v>
      </c>
      <c r="F332" s="183">
        <v>11679</v>
      </c>
      <c r="G332" s="184">
        <v>25</v>
      </c>
      <c r="H332" s="158"/>
      <c r="I332" s="154"/>
      <c r="J332" s="154"/>
      <c r="K332" s="154"/>
      <c r="L332" s="154"/>
      <c r="M332" s="154"/>
      <c r="N332" s="154"/>
      <c r="O332" s="154"/>
      <c r="P332" s="154"/>
      <c r="Q332" s="154"/>
      <c r="R332" s="154"/>
      <c r="S332" s="154"/>
      <c r="T332" s="154"/>
      <c r="U332" s="154"/>
      <c r="V332" s="154"/>
      <c r="W332" s="154"/>
      <c r="X332" s="154"/>
      <c r="Y332" s="154"/>
      <c r="Z332" s="154"/>
      <c r="AA332" s="154"/>
    </row>
    <row r="333" spans="1:27" ht="15">
      <c r="A333" s="180">
        <v>45832</v>
      </c>
      <c r="B333" s="181" t="s">
        <v>12967</v>
      </c>
      <c r="C333" s="182" t="s">
        <v>49</v>
      </c>
      <c r="D333" s="182">
        <v>15114</v>
      </c>
      <c r="E333" s="183">
        <v>25</v>
      </c>
      <c r="F333" s="183">
        <v>1394</v>
      </c>
      <c r="G333" s="184">
        <v>2</v>
      </c>
      <c r="H333" s="158"/>
      <c r="I333" s="154"/>
      <c r="J333" s="154"/>
      <c r="K333" s="154"/>
      <c r="L333" s="154"/>
      <c r="M333" s="154"/>
      <c r="N333" s="154"/>
      <c r="O333" s="154"/>
      <c r="P333" s="154"/>
      <c r="Q333" s="154"/>
      <c r="R333" s="154"/>
      <c r="S333" s="154"/>
      <c r="T333" s="154"/>
      <c r="U333" s="154"/>
      <c r="V333" s="154"/>
      <c r="W333" s="154"/>
      <c r="X333" s="154"/>
      <c r="Y333" s="154"/>
      <c r="Z333" s="154"/>
      <c r="AA333" s="154"/>
    </row>
    <row r="334" spans="1:27" ht="15">
      <c r="A334" s="180">
        <v>45832</v>
      </c>
      <c r="B334" s="181" t="s">
        <v>12968</v>
      </c>
      <c r="C334" s="182" t="s">
        <v>61</v>
      </c>
      <c r="D334" s="182">
        <v>90676</v>
      </c>
      <c r="E334" s="183">
        <v>140</v>
      </c>
      <c r="F334" s="183">
        <v>7141</v>
      </c>
      <c r="G334" s="184">
        <v>19</v>
      </c>
      <c r="H334" s="158"/>
      <c r="I334" s="154"/>
      <c r="J334" s="154"/>
      <c r="K334" s="154"/>
      <c r="L334" s="154"/>
      <c r="M334" s="154"/>
      <c r="N334" s="154"/>
      <c r="O334" s="154"/>
      <c r="P334" s="154"/>
      <c r="Q334" s="154"/>
      <c r="R334" s="154"/>
      <c r="S334" s="154"/>
      <c r="T334" s="154"/>
      <c r="U334" s="154"/>
      <c r="V334" s="154"/>
      <c r="W334" s="154"/>
      <c r="X334" s="154"/>
      <c r="Y334" s="154"/>
      <c r="Z334" s="154"/>
      <c r="AA334" s="154"/>
    </row>
    <row r="335" spans="1:27" ht="15">
      <c r="A335" s="180">
        <v>45833</v>
      </c>
      <c r="B335" s="181" t="s">
        <v>12990</v>
      </c>
      <c r="C335" s="182" t="s">
        <v>752</v>
      </c>
      <c r="D335" s="182">
        <v>50456</v>
      </c>
      <c r="E335" s="183">
        <v>61</v>
      </c>
      <c r="F335" s="183">
        <v>2662</v>
      </c>
      <c r="G335" s="184">
        <v>8</v>
      </c>
      <c r="H335" s="158"/>
      <c r="I335" s="154"/>
      <c r="J335" s="154"/>
      <c r="K335" s="154"/>
      <c r="L335" s="154"/>
      <c r="M335" s="154"/>
      <c r="N335" s="154"/>
      <c r="O335" s="154"/>
      <c r="P335" s="154"/>
      <c r="Q335" s="154"/>
      <c r="R335" s="154"/>
      <c r="S335" s="154"/>
      <c r="T335" s="154"/>
      <c r="U335" s="154"/>
      <c r="V335" s="154"/>
      <c r="W335" s="154"/>
      <c r="X335" s="154"/>
      <c r="Y335" s="154"/>
      <c r="Z335" s="154"/>
      <c r="AA335" s="154"/>
    </row>
    <row r="336" spans="1:27" ht="15">
      <c r="A336" s="180">
        <v>45833</v>
      </c>
      <c r="B336" s="181" t="s">
        <v>12991</v>
      </c>
      <c r="C336" s="182" t="s">
        <v>752</v>
      </c>
      <c r="D336" s="182">
        <v>9198</v>
      </c>
      <c r="E336" s="183">
        <v>9</v>
      </c>
      <c r="F336" s="183">
        <v>594</v>
      </c>
      <c r="G336" s="184">
        <v>0</v>
      </c>
      <c r="H336" s="158"/>
      <c r="I336" s="154"/>
      <c r="J336" s="154"/>
      <c r="K336" s="154"/>
      <c r="L336" s="154"/>
      <c r="M336" s="154"/>
      <c r="N336" s="154"/>
      <c r="O336" s="154"/>
      <c r="P336" s="154"/>
      <c r="Q336" s="154"/>
      <c r="R336" s="154"/>
      <c r="S336" s="154"/>
      <c r="T336" s="154"/>
      <c r="U336" s="154"/>
      <c r="V336" s="154"/>
      <c r="W336" s="154"/>
      <c r="X336" s="154"/>
      <c r="Y336" s="154"/>
      <c r="Z336" s="154"/>
      <c r="AA336" s="154"/>
    </row>
    <row r="337" spans="1:27" ht="15">
      <c r="A337" s="180">
        <v>45833</v>
      </c>
      <c r="B337" s="181" t="s">
        <v>12992</v>
      </c>
      <c r="C337" s="182" t="s">
        <v>115</v>
      </c>
      <c r="D337" s="182">
        <v>7217</v>
      </c>
      <c r="E337" s="183">
        <v>11</v>
      </c>
      <c r="F337" s="183">
        <v>861</v>
      </c>
      <c r="G337" s="184">
        <v>0</v>
      </c>
      <c r="H337" s="158"/>
      <c r="I337" s="154"/>
      <c r="J337" s="154"/>
      <c r="K337" s="154"/>
      <c r="L337" s="154"/>
      <c r="M337" s="154"/>
      <c r="N337" s="154"/>
      <c r="O337" s="154"/>
      <c r="P337" s="154"/>
      <c r="Q337" s="154"/>
      <c r="R337" s="154"/>
      <c r="S337" s="154"/>
      <c r="T337" s="154"/>
      <c r="U337" s="154"/>
      <c r="V337" s="154"/>
      <c r="W337" s="154"/>
      <c r="X337" s="154"/>
      <c r="Y337" s="154"/>
      <c r="Z337" s="154"/>
      <c r="AA337" s="154"/>
    </row>
    <row r="338" spans="1:27" ht="15">
      <c r="A338" s="180">
        <v>45833</v>
      </c>
      <c r="B338" s="181" t="s">
        <v>12993</v>
      </c>
      <c r="C338" s="182" t="s">
        <v>49</v>
      </c>
      <c r="D338" s="182">
        <v>14549</v>
      </c>
      <c r="E338" s="183">
        <v>10</v>
      </c>
      <c r="F338" s="183">
        <v>817</v>
      </c>
      <c r="G338" s="184">
        <v>2</v>
      </c>
      <c r="H338" s="158"/>
      <c r="I338" s="154"/>
      <c r="J338" s="154"/>
      <c r="K338" s="154"/>
      <c r="L338" s="154"/>
      <c r="M338" s="154"/>
      <c r="N338" s="154"/>
      <c r="O338" s="154"/>
      <c r="P338" s="154"/>
      <c r="Q338" s="154"/>
      <c r="R338" s="154"/>
      <c r="S338" s="154"/>
      <c r="T338" s="154"/>
      <c r="U338" s="154"/>
      <c r="V338" s="154"/>
      <c r="W338" s="154"/>
      <c r="X338" s="154"/>
      <c r="Y338" s="154"/>
      <c r="Z338" s="154"/>
      <c r="AA338" s="154"/>
    </row>
    <row r="339" spans="1:27" ht="15">
      <c r="A339" s="180">
        <v>45833</v>
      </c>
      <c r="B339" s="181" t="s">
        <v>12994</v>
      </c>
      <c r="C339" s="182" t="s">
        <v>61</v>
      </c>
      <c r="D339" s="182">
        <v>69179</v>
      </c>
      <c r="E339" s="183">
        <v>82</v>
      </c>
      <c r="F339" s="183">
        <v>4819</v>
      </c>
      <c r="G339" s="184">
        <v>8</v>
      </c>
      <c r="H339" s="158"/>
      <c r="I339" s="154"/>
      <c r="J339" s="154"/>
      <c r="K339" s="154"/>
      <c r="L339" s="154"/>
      <c r="M339" s="154"/>
      <c r="N339" s="154"/>
      <c r="O339" s="154"/>
      <c r="P339" s="154"/>
      <c r="Q339" s="154"/>
      <c r="R339" s="154"/>
      <c r="S339" s="154"/>
      <c r="T339" s="154"/>
      <c r="U339" s="154"/>
      <c r="V339" s="154"/>
      <c r="W339" s="154"/>
      <c r="X339" s="154"/>
      <c r="Y339" s="154"/>
      <c r="Z339" s="154"/>
      <c r="AA339" s="154"/>
    </row>
    <row r="340" spans="1:27" ht="15">
      <c r="A340" s="180">
        <v>45833</v>
      </c>
      <c r="B340" s="181" t="s">
        <v>12980</v>
      </c>
      <c r="C340" s="182" t="s">
        <v>115</v>
      </c>
      <c r="D340" s="182">
        <v>106005</v>
      </c>
      <c r="E340" s="183">
        <v>95</v>
      </c>
      <c r="F340" s="183">
        <v>5491</v>
      </c>
      <c r="G340" s="184">
        <v>22</v>
      </c>
      <c r="H340" s="158"/>
      <c r="I340" s="154"/>
      <c r="J340" s="154"/>
      <c r="K340" s="154"/>
      <c r="L340" s="154"/>
      <c r="M340" s="154"/>
      <c r="N340" s="154"/>
      <c r="O340" s="154"/>
      <c r="P340" s="154"/>
      <c r="Q340" s="154"/>
      <c r="R340" s="154"/>
      <c r="S340" s="154"/>
      <c r="T340" s="154"/>
      <c r="U340" s="154"/>
      <c r="V340" s="154"/>
      <c r="W340" s="154"/>
      <c r="X340" s="154"/>
      <c r="Y340" s="154"/>
      <c r="Z340" s="154"/>
      <c r="AA340" s="154"/>
    </row>
    <row r="341" spans="1:27" ht="15">
      <c r="A341" s="180">
        <v>45833</v>
      </c>
      <c r="B341" s="181" t="s">
        <v>12981</v>
      </c>
      <c r="C341" s="182" t="s">
        <v>115</v>
      </c>
      <c r="D341" s="182">
        <v>21393</v>
      </c>
      <c r="E341" s="183">
        <v>16</v>
      </c>
      <c r="F341" s="183">
        <v>1004</v>
      </c>
      <c r="G341" s="184">
        <v>3</v>
      </c>
      <c r="H341" s="158"/>
      <c r="I341" s="154"/>
      <c r="J341" s="154"/>
      <c r="K341" s="154"/>
      <c r="L341" s="154"/>
      <c r="M341" s="154"/>
      <c r="N341" s="154"/>
      <c r="O341" s="154"/>
      <c r="P341" s="154"/>
      <c r="Q341" s="154"/>
      <c r="R341" s="154"/>
      <c r="S341" s="154"/>
      <c r="T341" s="154"/>
      <c r="U341" s="154"/>
      <c r="V341" s="154"/>
      <c r="W341" s="154"/>
      <c r="X341" s="154"/>
      <c r="Y341" s="154"/>
      <c r="Z341" s="154"/>
      <c r="AA341" s="154"/>
    </row>
    <row r="342" spans="1:27" ht="15">
      <c r="A342" s="180">
        <v>45833</v>
      </c>
      <c r="B342" s="181" t="s">
        <v>12982</v>
      </c>
      <c r="C342" s="182" t="s">
        <v>61</v>
      </c>
      <c r="D342" s="182">
        <v>33354</v>
      </c>
      <c r="E342" s="183">
        <v>30</v>
      </c>
      <c r="F342" s="183">
        <v>1691</v>
      </c>
      <c r="G342" s="184">
        <v>3</v>
      </c>
      <c r="H342" s="158"/>
      <c r="I342" s="154"/>
      <c r="J342" s="154"/>
      <c r="K342" s="154"/>
      <c r="L342" s="154"/>
      <c r="M342" s="154"/>
      <c r="N342" s="154"/>
      <c r="O342" s="154"/>
      <c r="P342" s="154"/>
      <c r="Q342" s="154"/>
      <c r="R342" s="154"/>
      <c r="S342" s="154"/>
      <c r="T342" s="154"/>
      <c r="U342" s="154"/>
      <c r="V342" s="154"/>
      <c r="W342" s="154"/>
      <c r="X342" s="154"/>
      <c r="Y342" s="154"/>
      <c r="Z342" s="154"/>
      <c r="AA342" s="154"/>
    </row>
    <row r="343" spans="1:27" ht="15">
      <c r="A343" s="180">
        <v>45833</v>
      </c>
      <c r="B343" s="181" t="s">
        <v>12983</v>
      </c>
      <c r="C343" s="182" t="s">
        <v>61</v>
      </c>
      <c r="D343" s="182">
        <v>7397</v>
      </c>
      <c r="E343" s="183">
        <v>3</v>
      </c>
      <c r="F343" s="183">
        <v>562</v>
      </c>
      <c r="G343" s="184">
        <v>0</v>
      </c>
      <c r="H343" s="158"/>
      <c r="I343" s="154"/>
      <c r="J343" s="154"/>
      <c r="K343" s="154"/>
      <c r="L343" s="154"/>
      <c r="M343" s="154"/>
      <c r="N343" s="154"/>
      <c r="O343" s="154"/>
      <c r="P343" s="154"/>
      <c r="Q343" s="154"/>
      <c r="R343" s="154"/>
      <c r="S343" s="154"/>
      <c r="T343" s="154"/>
      <c r="U343" s="154"/>
      <c r="V343" s="154"/>
      <c r="W343" s="154"/>
      <c r="X343" s="154"/>
      <c r="Y343" s="154"/>
      <c r="Z343" s="154"/>
      <c r="AA343" s="154"/>
    </row>
    <row r="344" spans="1:27" ht="15">
      <c r="A344" s="180">
        <v>45833</v>
      </c>
      <c r="B344" s="181" t="s">
        <v>12995</v>
      </c>
      <c r="C344" s="182" t="s">
        <v>1229</v>
      </c>
      <c r="D344" s="182">
        <v>48214</v>
      </c>
      <c r="E344" s="183">
        <v>75</v>
      </c>
      <c r="F344" s="183">
        <v>4112</v>
      </c>
      <c r="G344" s="184">
        <v>15</v>
      </c>
      <c r="H344" s="158"/>
      <c r="I344" s="154"/>
      <c r="J344" s="154"/>
      <c r="K344" s="154"/>
      <c r="L344" s="154"/>
      <c r="M344" s="154"/>
      <c r="N344" s="154"/>
      <c r="O344" s="154"/>
      <c r="P344" s="154"/>
      <c r="Q344" s="154"/>
      <c r="R344" s="154"/>
      <c r="S344" s="154"/>
      <c r="T344" s="154"/>
      <c r="U344" s="154"/>
      <c r="V344" s="154"/>
      <c r="W344" s="154"/>
      <c r="X344" s="154"/>
      <c r="Y344" s="154"/>
      <c r="Z344" s="154"/>
      <c r="AA344" s="154"/>
    </row>
    <row r="345" spans="1:27" ht="15">
      <c r="A345" s="180">
        <v>45833</v>
      </c>
      <c r="B345" s="181" t="s">
        <v>12996</v>
      </c>
      <c r="C345" s="182" t="s">
        <v>1229</v>
      </c>
      <c r="D345" s="182">
        <v>23524</v>
      </c>
      <c r="E345" s="183">
        <v>11</v>
      </c>
      <c r="F345" s="183">
        <v>727</v>
      </c>
      <c r="G345" s="184">
        <v>4</v>
      </c>
      <c r="H345" s="158"/>
      <c r="I345" s="154"/>
      <c r="J345" s="154"/>
      <c r="K345" s="154"/>
      <c r="L345" s="154"/>
      <c r="M345" s="154"/>
      <c r="N345" s="154"/>
      <c r="O345" s="154"/>
      <c r="P345" s="154"/>
      <c r="Q345" s="154"/>
      <c r="R345" s="154"/>
      <c r="S345" s="154"/>
      <c r="T345" s="154"/>
      <c r="U345" s="154"/>
      <c r="V345" s="154"/>
      <c r="W345" s="154"/>
      <c r="X345" s="154"/>
      <c r="Y345" s="154"/>
      <c r="Z345" s="154"/>
      <c r="AA345" s="154"/>
    </row>
    <row r="346" spans="1:27" ht="15">
      <c r="A346" s="180">
        <v>45833</v>
      </c>
      <c r="B346" s="181" t="s">
        <v>12969</v>
      </c>
      <c r="C346" s="182" t="s">
        <v>115</v>
      </c>
      <c r="D346" s="182">
        <v>16965</v>
      </c>
      <c r="E346" s="183">
        <v>20</v>
      </c>
      <c r="F346" s="183">
        <v>1034</v>
      </c>
      <c r="G346" s="184">
        <v>0</v>
      </c>
      <c r="H346" s="158"/>
      <c r="I346" s="154"/>
      <c r="J346" s="154"/>
      <c r="K346" s="154"/>
      <c r="L346" s="154"/>
      <c r="M346" s="154"/>
      <c r="N346" s="154"/>
      <c r="O346" s="154"/>
      <c r="P346" s="154"/>
      <c r="Q346" s="154"/>
      <c r="R346" s="154"/>
      <c r="S346" s="154"/>
      <c r="T346" s="154"/>
      <c r="U346" s="154"/>
      <c r="V346" s="154"/>
      <c r="W346" s="154"/>
      <c r="X346" s="154"/>
      <c r="Y346" s="154"/>
      <c r="Z346" s="154"/>
      <c r="AA346" s="154"/>
    </row>
    <row r="347" spans="1:27" ht="15">
      <c r="A347" s="180">
        <v>45833</v>
      </c>
      <c r="B347" s="181" t="s">
        <v>12970</v>
      </c>
      <c r="C347" s="182" t="s">
        <v>115</v>
      </c>
      <c r="D347" s="182">
        <v>47</v>
      </c>
      <c r="E347" s="183">
        <v>0</v>
      </c>
      <c r="F347" s="183">
        <v>7</v>
      </c>
      <c r="G347" s="184">
        <v>0</v>
      </c>
      <c r="H347" s="158"/>
      <c r="I347" s="154"/>
      <c r="J347" s="154"/>
      <c r="K347" s="154"/>
      <c r="L347" s="154"/>
      <c r="M347" s="154"/>
      <c r="N347" s="154"/>
      <c r="O347" s="154"/>
      <c r="P347" s="154"/>
      <c r="Q347" s="154"/>
      <c r="R347" s="154"/>
      <c r="S347" s="154"/>
      <c r="T347" s="154"/>
      <c r="U347" s="154"/>
      <c r="V347" s="154"/>
      <c r="W347" s="154"/>
      <c r="X347" s="154"/>
      <c r="Y347" s="154"/>
      <c r="Z347" s="154"/>
      <c r="AA347" s="154"/>
    </row>
    <row r="348" spans="1:27" ht="15">
      <c r="A348" s="180">
        <v>45833</v>
      </c>
      <c r="B348" s="181" t="s">
        <v>12971</v>
      </c>
      <c r="C348" s="182" t="s">
        <v>115</v>
      </c>
      <c r="D348" s="182">
        <v>17595</v>
      </c>
      <c r="E348" s="183">
        <v>22</v>
      </c>
      <c r="F348" s="183">
        <v>1050</v>
      </c>
      <c r="G348" s="184">
        <v>3</v>
      </c>
      <c r="H348" s="158"/>
      <c r="I348" s="154"/>
      <c r="J348" s="154"/>
      <c r="K348" s="154"/>
      <c r="L348" s="154"/>
      <c r="M348" s="154"/>
      <c r="N348" s="154"/>
      <c r="O348" s="154"/>
      <c r="P348" s="154"/>
      <c r="Q348" s="154"/>
      <c r="R348" s="154"/>
      <c r="S348" s="154"/>
      <c r="T348" s="154"/>
      <c r="U348" s="154"/>
      <c r="V348" s="154"/>
      <c r="W348" s="154"/>
      <c r="X348" s="154"/>
      <c r="Y348" s="154"/>
      <c r="Z348" s="154"/>
      <c r="AA348" s="154"/>
    </row>
    <row r="349" spans="1:27" ht="15">
      <c r="A349" s="180">
        <v>45833</v>
      </c>
      <c r="B349" s="181" t="s">
        <v>12963</v>
      </c>
      <c r="C349" s="182" t="s">
        <v>61</v>
      </c>
      <c r="D349" s="182">
        <v>18957</v>
      </c>
      <c r="E349" s="183">
        <v>20</v>
      </c>
      <c r="F349" s="183">
        <v>754</v>
      </c>
      <c r="G349" s="184">
        <v>2</v>
      </c>
      <c r="H349" s="158"/>
      <c r="I349" s="154"/>
      <c r="J349" s="154"/>
      <c r="K349" s="154"/>
      <c r="L349" s="154"/>
      <c r="M349" s="154"/>
      <c r="N349" s="154"/>
      <c r="O349" s="154"/>
      <c r="P349" s="154"/>
      <c r="Q349" s="154"/>
      <c r="R349" s="154"/>
      <c r="S349" s="154"/>
      <c r="T349" s="154"/>
      <c r="U349" s="154"/>
      <c r="V349" s="154"/>
      <c r="W349" s="154"/>
      <c r="X349" s="154"/>
      <c r="Y349" s="154"/>
      <c r="Z349" s="154"/>
      <c r="AA349" s="154"/>
    </row>
    <row r="350" spans="1:27" ht="15">
      <c r="A350" s="180">
        <v>45833</v>
      </c>
      <c r="B350" s="181" t="s">
        <v>12964</v>
      </c>
      <c r="C350" s="182" t="s">
        <v>61</v>
      </c>
      <c r="D350" s="182">
        <v>8911</v>
      </c>
      <c r="E350" s="183">
        <v>8</v>
      </c>
      <c r="F350" s="183">
        <v>601</v>
      </c>
      <c r="G350" s="184">
        <v>1</v>
      </c>
      <c r="H350" s="158"/>
      <c r="I350" s="154"/>
      <c r="J350" s="154"/>
      <c r="K350" s="154"/>
      <c r="L350" s="154"/>
      <c r="M350" s="154"/>
      <c r="N350" s="154"/>
      <c r="O350" s="154"/>
      <c r="P350" s="154"/>
      <c r="Q350" s="154"/>
      <c r="R350" s="154"/>
      <c r="S350" s="154"/>
      <c r="T350" s="154"/>
      <c r="U350" s="154"/>
      <c r="V350" s="154"/>
      <c r="W350" s="154"/>
      <c r="X350" s="154"/>
      <c r="Y350" s="154"/>
      <c r="Z350" s="154"/>
      <c r="AA350" s="154"/>
    </row>
    <row r="351" spans="1:27" ht="15">
      <c r="A351" s="180">
        <v>45833</v>
      </c>
      <c r="B351" s="181" t="s">
        <v>12965</v>
      </c>
      <c r="C351" s="182" t="s">
        <v>49</v>
      </c>
      <c r="D351" s="182">
        <v>6412</v>
      </c>
      <c r="E351" s="183">
        <v>0</v>
      </c>
      <c r="F351" s="183">
        <v>144</v>
      </c>
      <c r="G351" s="184">
        <v>0</v>
      </c>
      <c r="H351" s="158"/>
      <c r="I351" s="154"/>
      <c r="J351" s="154"/>
      <c r="K351" s="154"/>
      <c r="L351" s="154"/>
      <c r="M351" s="154"/>
      <c r="N351" s="154"/>
      <c r="O351" s="154"/>
      <c r="P351" s="154"/>
      <c r="Q351" s="154"/>
      <c r="R351" s="154"/>
      <c r="S351" s="154"/>
      <c r="T351" s="154"/>
      <c r="U351" s="154"/>
      <c r="V351" s="154"/>
      <c r="W351" s="154"/>
      <c r="X351" s="154"/>
      <c r="Y351" s="154"/>
      <c r="Z351" s="154"/>
      <c r="AA351" s="154"/>
    </row>
    <row r="352" spans="1:27" ht="15">
      <c r="A352" s="180">
        <v>45833</v>
      </c>
      <c r="B352" s="181" t="s">
        <v>12966</v>
      </c>
      <c r="C352" s="182" t="s">
        <v>49</v>
      </c>
      <c r="D352" s="182">
        <v>18741</v>
      </c>
      <c r="E352" s="183">
        <v>24</v>
      </c>
      <c r="F352" s="183">
        <v>1246</v>
      </c>
      <c r="G352" s="184">
        <v>4</v>
      </c>
      <c r="H352" s="158"/>
      <c r="I352" s="154"/>
      <c r="J352" s="154"/>
      <c r="K352" s="154"/>
      <c r="L352" s="154"/>
      <c r="M352" s="154"/>
      <c r="N352" s="154"/>
      <c r="O352" s="154"/>
      <c r="P352" s="154"/>
      <c r="Q352" s="154"/>
      <c r="R352" s="154"/>
      <c r="S352" s="154"/>
      <c r="T352" s="154"/>
      <c r="U352" s="154"/>
      <c r="V352" s="154"/>
      <c r="W352" s="154"/>
      <c r="X352" s="154"/>
      <c r="Y352" s="154"/>
      <c r="Z352" s="154"/>
      <c r="AA352" s="154"/>
    </row>
    <row r="353" spans="1:27" ht="15">
      <c r="A353" s="180">
        <v>45833</v>
      </c>
      <c r="B353" s="181" t="s">
        <v>12967</v>
      </c>
      <c r="C353" s="182" t="s">
        <v>49</v>
      </c>
      <c r="D353" s="182">
        <v>19262</v>
      </c>
      <c r="E353" s="183">
        <v>29</v>
      </c>
      <c r="F353" s="183">
        <v>1301</v>
      </c>
      <c r="G353" s="184">
        <v>2</v>
      </c>
      <c r="H353" s="158"/>
      <c r="I353" s="154"/>
      <c r="J353" s="154"/>
      <c r="K353" s="154"/>
      <c r="L353" s="154"/>
      <c r="M353" s="154"/>
      <c r="N353" s="154"/>
      <c r="O353" s="154"/>
      <c r="P353" s="154"/>
      <c r="Q353" s="154"/>
      <c r="R353" s="154"/>
      <c r="S353" s="154"/>
      <c r="T353" s="154"/>
      <c r="U353" s="154"/>
      <c r="V353" s="154"/>
      <c r="W353" s="154"/>
      <c r="X353" s="154"/>
      <c r="Y353" s="154"/>
      <c r="Z353" s="154"/>
      <c r="AA353" s="154"/>
    </row>
    <row r="354" spans="1:27" ht="15">
      <c r="A354" s="180">
        <v>45833</v>
      </c>
      <c r="B354" s="181" t="s">
        <v>12968</v>
      </c>
      <c r="C354" s="182" t="s">
        <v>61</v>
      </c>
      <c r="D354" s="182">
        <v>14791</v>
      </c>
      <c r="E354" s="183">
        <v>16</v>
      </c>
      <c r="F354" s="183">
        <v>1096</v>
      </c>
      <c r="G354" s="184">
        <v>1</v>
      </c>
      <c r="H354" s="158"/>
      <c r="I354" s="154"/>
      <c r="J354" s="154"/>
      <c r="K354" s="154"/>
      <c r="L354" s="154"/>
      <c r="M354" s="154"/>
      <c r="N354" s="154"/>
      <c r="O354" s="154"/>
      <c r="P354" s="154"/>
      <c r="Q354" s="154"/>
      <c r="R354" s="154"/>
      <c r="S354" s="154"/>
      <c r="T354" s="154"/>
      <c r="U354" s="154"/>
      <c r="V354" s="154"/>
      <c r="W354" s="154"/>
      <c r="X354" s="154"/>
      <c r="Y354" s="154"/>
      <c r="Z354" s="154"/>
      <c r="AA354" s="154"/>
    </row>
    <row r="355" spans="1:27" ht="15">
      <c r="A355" s="180">
        <v>45834</v>
      </c>
      <c r="B355" s="181" t="s">
        <v>12997</v>
      </c>
      <c r="C355" s="182" t="s">
        <v>49</v>
      </c>
      <c r="D355" s="182">
        <v>14361</v>
      </c>
      <c r="E355" s="183">
        <v>0</v>
      </c>
      <c r="F355" s="183">
        <v>487</v>
      </c>
      <c r="G355" s="184">
        <v>0</v>
      </c>
      <c r="H355" s="158"/>
      <c r="I355" s="154"/>
      <c r="J355" s="154"/>
      <c r="K355" s="154"/>
      <c r="L355" s="154"/>
      <c r="M355" s="154"/>
      <c r="N355" s="154"/>
      <c r="O355" s="154"/>
      <c r="P355" s="154"/>
      <c r="Q355" s="154"/>
      <c r="R355" s="154"/>
      <c r="S355" s="154"/>
      <c r="T355" s="154"/>
      <c r="U355" s="154"/>
      <c r="V355" s="154"/>
      <c r="W355" s="154"/>
      <c r="X355" s="154"/>
      <c r="Y355" s="154"/>
      <c r="Z355" s="154"/>
      <c r="AA355" s="154"/>
    </row>
    <row r="356" spans="1:27" ht="15">
      <c r="A356" s="180">
        <v>45834</v>
      </c>
      <c r="B356" s="181" t="s">
        <v>12998</v>
      </c>
      <c r="C356" s="182" t="s">
        <v>1229</v>
      </c>
      <c r="D356" s="182">
        <v>67605</v>
      </c>
      <c r="E356" s="183">
        <v>44</v>
      </c>
      <c r="F356" s="183">
        <v>2907</v>
      </c>
      <c r="G356" s="184">
        <v>7</v>
      </c>
      <c r="H356" s="158"/>
      <c r="I356" s="154"/>
      <c r="J356" s="154"/>
      <c r="K356" s="154"/>
      <c r="L356" s="154"/>
      <c r="M356" s="154"/>
      <c r="N356" s="154"/>
      <c r="O356" s="154"/>
      <c r="P356" s="154"/>
      <c r="Q356" s="154"/>
      <c r="R356" s="154"/>
      <c r="S356" s="154"/>
      <c r="T356" s="154"/>
      <c r="U356" s="154"/>
      <c r="V356" s="154"/>
      <c r="W356" s="154"/>
      <c r="X356" s="154"/>
      <c r="Y356" s="154"/>
      <c r="Z356" s="154"/>
      <c r="AA356" s="154"/>
    </row>
    <row r="357" spans="1:27" ht="15">
      <c r="A357" s="180">
        <v>45834</v>
      </c>
      <c r="B357" s="181" t="s">
        <v>12991</v>
      </c>
      <c r="C357" s="182" t="s">
        <v>752</v>
      </c>
      <c r="D357" s="182">
        <v>34</v>
      </c>
      <c r="E357" s="183">
        <v>0</v>
      </c>
      <c r="F357" s="183">
        <v>14</v>
      </c>
      <c r="G357" s="184">
        <v>0</v>
      </c>
      <c r="H357" s="158"/>
      <c r="I357" s="154"/>
      <c r="J357" s="154"/>
      <c r="K357" s="154"/>
      <c r="L357" s="154"/>
      <c r="M357" s="154"/>
      <c r="N357" s="154"/>
      <c r="O357" s="154"/>
      <c r="P357" s="154"/>
      <c r="Q357" s="154"/>
      <c r="R357" s="154"/>
      <c r="S357" s="154"/>
      <c r="T357" s="154"/>
      <c r="U357" s="154"/>
      <c r="V357" s="154"/>
      <c r="W357" s="154"/>
      <c r="X357" s="154"/>
      <c r="Y357" s="154"/>
      <c r="Z357" s="154"/>
      <c r="AA357" s="154"/>
    </row>
    <row r="358" spans="1:27" ht="15">
      <c r="A358" s="180">
        <v>45834</v>
      </c>
      <c r="B358" s="181" t="s">
        <v>12992</v>
      </c>
      <c r="C358" s="182" t="s">
        <v>115</v>
      </c>
      <c r="D358" s="182">
        <v>14119</v>
      </c>
      <c r="E358" s="183">
        <v>13</v>
      </c>
      <c r="F358" s="183">
        <v>1384</v>
      </c>
      <c r="G358" s="184">
        <v>2</v>
      </c>
      <c r="H358" s="158"/>
      <c r="I358" s="154"/>
      <c r="J358" s="154"/>
      <c r="K358" s="154"/>
      <c r="L358" s="154"/>
      <c r="M358" s="154"/>
      <c r="N358" s="154"/>
      <c r="O358" s="154"/>
      <c r="P358" s="154"/>
      <c r="Q358" s="154"/>
      <c r="R358" s="154"/>
      <c r="S358" s="154"/>
      <c r="T358" s="154"/>
      <c r="U358" s="154"/>
      <c r="V358" s="154"/>
      <c r="W358" s="154"/>
      <c r="X358" s="154"/>
      <c r="Y358" s="154"/>
      <c r="Z358" s="154"/>
      <c r="AA358" s="154"/>
    </row>
    <row r="359" spans="1:27" ht="15">
      <c r="A359" s="180">
        <v>45834</v>
      </c>
      <c r="B359" s="181" t="s">
        <v>12993</v>
      </c>
      <c r="C359" s="182" t="s">
        <v>49</v>
      </c>
      <c r="D359" s="182">
        <v>10001</v>
      </c>
      <c r="E359" s="183">
        <v>7</v>
      </c>
      <c r="F359" s="183">
        <v>389</v>
      </c>
      <c r="G359" s="184">
        <v>1</v>
      </c>
      <c r="H359" s="158"/>
      <c r="I359" s="154"/>
      <c r="J359" s="154"/>
      <c r="K359" s="154"/>
      <c r="L359" s="154"/>
      <c r="M359" s="154"/>
      <c r="N359" s="154"/>
      <c r="O359" s="154"/>
      <c r="P359" s="154"/>
      <c r="Q359" s="154"/>
      <c r="R359" s="154"/>
      <c r="S359" s="154"/>
      <c r="T359" s="154"/>
      <c r="U359" s="154"/>
      <c r="V359" s="154"/>
      <c r="W359" s="154"/>
      <c r="X359" s="154"/>
      <c r="Y359" s="154"/>
      <c r="Z359" s="154"/>
      <c r="AA359" s="154"/>
    </row>
    <row r="360" spans="1:27" ht="15">
      <c r="A360" s="180">
        <v>45834</v>
      </c>
      <c r="B360" s="181" t="s">
        <v>12994</v>
      </c>
      <c r="C360" s="182" t="s">
        <v>61</v>
      </c>
      <c r="D360" s="182">
        <v>15474</v>
      </c>
      <c r="E360" s="183">
        <v>12</v>
      </c>
      <c r="F360" s="183">
        <v>719</v>
      </c>
      <c r="G360" s="184">
        <v>0</v>
      </c>
      <c r="H360" s="158"/>
      <c r="I360" s="154"/>
      <c r="J360" s="154"/>
      <c r="K360" s="154"/>
      <c r="L360" s="154"/>
      <c r="M360" s="154"/>
      <c r="N360" s="154"/>
      <c r="O360" s="154"/>
      <c r="P360" s="154"/>
      <c r="Q360" s="154"/>
      <c r="R360" s="154"/>
      <c r="S360" s="154"/>
      <c r="T360" s="154"/>
      <c r="U360" s="154"/>
      <c r="V360" s="154"/>
      <c r="W360" s="154"/>
      <c r="X360" s="154"/>
      <c r="Y360" s="154"/>
      <c r="Z360" s="154"/>
      <c r="AA360" s="154"/>
    </row>
    <row r="361" spans="1:27" ht="15">
      <c r="A361" s="180">
        <v>45834</v>
      </c>
      <c r="B361" s="181" t="s">
        <v>12980</v>
      </c>
      <c r="C361" s="182" t="s">
        <v>115</v>
      </c>
      <c r="D361" s="182">
        <v>30332</v>
      </c>
      <c r="E361" s="183">
        <v>33</v>
      </c>
      <c r="F361" s="183">
        <v>1475</v>
      </c>
      <c r="G361" s="184">
        <v>3</v>
      </c>
      <c r="H361" s="158"/>
      <c r="I361" s="154"/>
      <c r="J361" s="154"/>
      <c r="K361" s="154"/>
      <c r="L361" s="154"/>
      <c r="M361" s="154"/>
      <c r="N361" s="154"/>
      <c r="O361" s="154"/>
      <c r="P361" s="154"/>
      <c r="Q361" s="154"/>
      <c r="R361" s="154"/>
      <c r="S361" s="154"/>
      <c r="T361" s="154"/>
      <c r="U361" s="154"/>
      <c r="V361" s="154"/>
      <c r="W361" s="154"/>
      <c r="X361" s="154"/>
      <c r="Y361" s="154"/>
      <c r="Z361" s="154"/>
      <c r="AA361" s="154"/>
    </row>
    <row r="362" spans="1:27" ht="15">
      <c r="A362" s="180">
        <v>45834</v>
      </c>
      <c r="B362" s="181" t="s">
        <v>12981</v>
      </c>
      <c r="C362" s="182" t="s">
        <v>115</v>
      </c>
      <c r="D362" s="182">
        <v>26472</v>
      </c>
      <c r="E362" s="183">
        <v>44</v>
      </c>
      <c r="F362" s="183">
        <v>2904</v>
      </c>
      <c r="G362" s="184">
        <v>6</v>
      </c>
      <c r="H362" s="158"/>
      <c r="I362" s="154"/>
      <c r="J362" s="154"/>
      <c r="K362" s="154"/>
      <c r="L362" s="154"/>
      <c r="M362" s="154"/>
      <c r="N362" s="154"/>
      <c r="O362" s="154"/>
      <c r="P362" s="154"/>
      <c r="Q362" s="154"/>
      <c r="R362" s="154"/>
      <c r="S362" s="154"/>
      <c r="T362" s="154"/>
      <c r="U362" s="154"/>
      <c r="V362" s="154"/>
      <c r="W362" s="154"/>
      <c r="X362" s="154"/>
      <c r="Y362" s="154"/>
      <c r="Z362" s="154"/>
      <c r="AA362" s="154"/>
    </row>
    <row r="363" spans="1:27" ht="15">
      <c r="A363" s="180">
        <v>45834</v>
      </c>
      <c r="B363" s="181" t="s">
        <v>12982</v>
      </c>
      <c r="C363" s="182" t="s">
        <v>61</v>
      </c>
      <c r="D363" s="182">
        <v>97056</v>
      </c>
      <c r="E363" s="183">
        <v>115</v>
      </c>
      <c r="F363" s="183">
        <v>10541</v>
      </c>
      <c r="G363" s="184">
        <v>19</v>
      </c>
      <c r="H363" s="158"/>
      <c r="I363" s="154"/>
      <c r="J363" s="154"/>
      <c r="K363" s="154"/>
      <c r="L363" s="154"/>
      <c r="M363" s="154"/>
      <c r="N363" s="154"/>
      <c r="O363" s="154"/>
      <c r="P363" s="154"/>
      <c r="Q363" s="154"/>
      <c r="R363" s="154"/>
      <c r="S363" s="154"/>
      <c r="T363" s="154"/>
      <c r="U363" s="154"/>
      <c r="V363" s="154"/>
      <c r="W363" s="154"/>
      <c r="X363" s="154"/>
      <c r="Y363" s="154"/>
      <c r="Z363" s="154"/>
      <c r="AA363" s="154"/>
    </row>
    <row r="364" spans="1:27" ht="15">
      <c r="A364" s="180">
        <v>45834</v>
      </c>
      <c r="B364" s="181" t="s">
        <v>12983</v>
      </c>
      <c r="C364" s="182" t="s">
        <v>61</v>
      </c>
      <c r="D364" s="182">
        <v>18532</v>
      </c>
      <c r="E364" s="183">
        <v>14</v>
      </c>
      <c r="F364" s="183">
        <v>775</v>
      </c>
      <c r="G364" s="184">
        <v>1</v>
      </c>
      <c r="H364" s="158"/>
      <c r="I364" s="154"/>
      <c r="J364" s="154"/>
      <c r="K364" s="154"/>
      <c r="L364" s="154"/>
      <c r="M364" s="154"/>
      <c r="N364" s="154"/>
      <c r="O364" s="154"/>
      <c r="P364" s="154"/>
      <c r="Q364" s="154"/>
      <c r="R364" s="154"/>
      <c r="S364" s="154"/>
      <c r="T364" s="154"/>
      <c r="U364" s="154"/>
      <c r="V364" s="154"/>
      <c r="W364" s="154"/>
      <c r="X364" s="154"/>
      <c r="Y364" s="154"/>
      <c r="Z364" s="154"/>
      <c r="AA364" s="154"/>
    </row>
    <row r="365" spans="1:27" ht="15">
      <c r="A365" s="180">
        <v>45834</v>
      </c>
      <c r="B365" s="181" t="s">
        <v>12995</v>
      </c>
      <c r="C365" s="182" t="s">
        <v>1229</v>
      </c>
      <c r="D365" s="182">
        <v>26942</v>
      </c>
      <c r="E365" s="183">
        <v>15</v>
      </c>
      <c r="F365" s="183">
        <v>958</v>
      </c>
      <c r="G365" s="184">
        <v>3</v>
      </c>
      <c r="H365" s="158"/>
      <c r="I365" s="154"/>
      <c r="J365" s="154"/>
      <c r="K365" s="154"/>
      <c r="L365" s="154"/>
      <c r="M365" s="154"/>
      <c r="N365" s="154"/>
      <c r="O365" s="154"/>
      <c r="P365" s="154"/>
      <c r="Q365" s="154"/>
      <c r="R365" s="154"/>
      <c r="S365" s="154"/>
      <c r="T365" s="154"/>
      <c r="U365" s="154"/>
      <c r="V365" s="154"/>
      <c r="W365" s="154"/>
      <c r="X365" s="154"/>
      <c r="Y365" s="154"/>
      <c r="Z365" s="154"/>
      <c r="AA365" s="154"/>
    </row>
    <row r="366" spans="1:27" ht="15">
      <c r="A366" s="180">
        <v>45834</v>
      </c>
      <c r="B366" s="181" t="s">
        <v>12999</v>
      </c>
      <c r="C366" s="182" t="s">
        <v>1229</v>
      </c>
      <c r="D366" s="182">
        <v>59811</v>
      </c>
      <c r="E366" s="183">
        <v>1166</v>
      </c>
      <c r="F366" s="183">
        <v>107966</v>
      </c>
      <c r="G366" s="184">
        <v>75</v>
      </c>
      <c r="H366" s="158"/>
      <c r="I366" s="154"/>
      <c r="J366" s="154"/>
      <c r="K366" s="154"/>
      <c r="L366" s="154"/>
      <c r="M366" s="154"/>
      <c r="N366" s="154"/>
      <c r="O366" s="154"/>
      <c r="P366" s="154"/>
      <c r="Q366" s="154"/>
      <c r="R366" s="154"/>
      <c r="S366" s="154"/>
      <c r="T366" s="154"/>
      <c r="U366" s="154"/>
      <c r="V366" s="154"/>
      <c r="W366" s="154"/>
      <c r="X366" s="154"/>
      <c r="Y366" s="154"/>
      <c r="Z366" s="154"/>
      <c r="AA366" s="154"/>
    </row>
    <row r="367" spans="1:27" ht="15">
      <c r="A367" s="180">
        <v>45834</v>
      </c>
      <c r="B367" s="181" t="s">
        <v>12996</v>
      </c>
      <c r="C367" s="182" t="s">
        <v>1229</v>
      </c>
      <c r="D367" s="182">
        <v>50246</v>
      </c>
      <c r="E367" s="183">
        <v>94</v>
      </c>
      <c r="F367" s="183">
        <v>3428</v>
      </c>
      <c r="G367" s="184">
        <v>20</v>
      </c>
      <c r="H367" s="158"/>
      <c r="I367" s="154"/>
      <c r="J367" s="154"/>
      <c r="K367" s="154"/>
      <c r="L367" s="154"/>
      <c r="M367" s="154"/>
      <c r="N367" s="154"/>
      <c r="O367" s="154"/>
      <c r="P367" s="154"/>
      <c r="Q367" s="154"/>
      <c r="R367" s="154"/>
      <c r="S367" s="154"/>
      <c r="T367" s="154"/>
      <c r="U367" s="154"/>
      <c r="V367" s="154"/>
      <c r="W367" s="154"/>
      <c r="X367" s="154"/>
      <c r="Y367" s="154"/>
      <c r="Z367" s="154"/>
      <c r="AA367" s="154"/>
    </row>
    <row r="368" spans="1:27" ht="15">
      <c r="A368" s="180">
        <v>45834</v>
      </c>
      <c r="B368" s="181" t="s">
        <v>12969</v>
      </c>
      <c r="C368" s="182" t="s">
        <v>115</v>
      </c>
      <c r="D368" s="182">
        <v>25840</v>
      </c>
      <c r="E368" s="183">
        <v>29</v>
      </c>
      <c r="F368" s="183">
        <v>1629</v>
      </c>
      <c r="G368" s="184">
        <v>2</v>
      </c>
      <c r="H368" s="158"/>
      <c r="I368" s="154"/>
      <c r="J368" s="154"/>
      <c r="K368" s="154"/>
      <c r="L368" s="154"/>
      <c r="M368" s="154"/>
      <c r="N368" s="154"/>
      <c r="O368" s="154"/>
      <c r="P368" s="154"/>
      <c r="Q368" s="154"/>
      <c r="R368" s="154"/>
      <c r="S368" s="154"/>
      <c r="T368" s="154"/>
      <c r="U368" s="154"/>
      <c r="V368" s="154"/>
      <c r="W368" s="154"/>
      <c r="X368" s="154"/>
      <c r="Y368" s="154"/>
      <c r="Z368" s="154"/>
      <c r="AA368" s="154"/>
    </row>
    <row r="369" spans="1:27" ht="15">
      <c r="A369" s="180">
        <v>45834</v>
      </c>
      <c r="B369" s="181" t="s">
        <v>12971</v>
      </c>
      <c r="C369" s="182" t="s">
        <v>115</v>
      </c>
      <c r="D369" s="182">
        <v>8574</v>
      </c>
      <c r="E369" s="183">
        <v>9</v>
      </c>
      <c r="F369" s="183">
        <v>886</v>
      </c>
      <c r="G369" s="184">
        <v>0</v>
      </c>
      <c r="H369" s="158"/>
      <c r="I369" s="154"/>
      <c r="J369" s="154"/>
      <c r="K369" s="154"/>
      <c r="L369" s="154"/>
      <c r="M369" s="154"/>
      <c r="N369" s="154"/>
      <c r="O369" s="154"/>
      <c r="P369" s="154"/>
      <c r="Q369" s="154"/>
      <c r="R369" s="154"/>
      <c r="S369" s="154"/>
      <c r="T369" s="154"/>
      <c r="U369" s="154"/>
      <c r="V369" s="154"/>
      <c r="W369" s="154"/>
      <c r="X369" s="154"/>
      <c r="Y369" s="154"/>
      <c r="Z369" s="154"/>
      <c r="AA369" s="154"/>
    </row>
    <row r="370" spans="1:27" ht="15">
      <c r="A370" s="180">
        <v>45834</v>
      </c>
      <c r="B370" s="181" t="s">
        <v>12963</v>
      </c>
      <c r="C370" s="182" t="s">
        <v>61</v>
      </c>
      <c r="D370" s="182">
        <v>48955</v>
      </c>
      <c r="E370" s="183">
        <v>48</v>
      </c>
      <c r="F370" s="183">
        <v>3417</v>
      </c>
      <c r="G370" s="184">
        <v>8</v>
      </c>
      <c r="H370" s="158"/>
      <c r="I370" s="154"/>
      <c r="J370" s="154"/>
      <c r="K370" s="154"/>
      <c r="L370" s="154"/>
      <c r="M370" s="154"/>
      <c r="N370" s="154"/>
      <c r="O370" s="154"/>
      <c r="P370" s="154"/>
      <c r="Q370" s="154"/>
      <c r="R370" s="154"/>
      <c r="S370" s="154"/>
      <c r="T370" s="154"/>
      <c r="U370" s="154"/>
      <c r="V370" s="154"/>
      <c r="W370" s="154"/>
      <c r="X370" s="154"/>
      <c r="Y370" s="154"/>
      <c r="Z370" s="154"/>
      <c r="AA370" s="154"/>
    </row>
    <row r="371" spans="1:27" ht="15">
      <c r="A371" s="180">
        <v>45834</v>
      </c>
      <c r="B371" s="181" t="s">
        <v>12964</v>
      </c>
      <c r="C371" s="182" t="s">
        <v>61</v>
      </c>
      <c r="D371" s="182">
        <v>35226</v>
      </c>
      <c r="E371" s="183">
        <v>37</v>
      </c>
      <c r="F371" s="183">
        <v>3060</v>
      </c>
      <c r="G371" s="184">
        <v>6</v>
      </c>
      <c r="H371" s="158"/>
      <c r="I371" s="154"/>
      <c r="J371" s="154"/>
      <c r="K371" s="154"/>
      <c r="L371" s="154"/>
      <c r="M371" s="154"/>
      <c r="N371" s="154"/>
      <c r="O371" s="154"/>
      <c r="P371" s="154"/>
      <c r="Q371" s="154"/>
      <c r="R371" s="154"/>
      <c r="S371" s="154"/>
      <c r="T371" s="154"/>
      <c r="U371" s="154"/>
      <c r="V371" s="154"/>
      <c r="W371" s="154"/>
      <c r="X371" s="154"/>
      <c r="Y371" s="154"/>
      <c r="Z371" s="154"/>
      <c r="AA371" s="154"/>
    </row>
    <row r="372" spans="1:27" ht="15">
      <c r="A372" s="180">
        <v>45834</v>
      </c>
      <c r="B372" s="181" t="s">
        <v>12965</v>
      </c>
      <c r="C372" s="182" t="s">
        <v>49</v>
      </c>
      <c r="D372" s="182">
        <v>58908</v>
      </c>
      <c r="E372" s="183">
        <v>49</v>
      </c>
      <c r="F372" s="183">
        <v>3054</v>
      </c>
      <c r="G372" s="184">
        <v>12</v>
      </c>
      <c r="H372" s="158"/>
      <c r="I372" s="154"/>
      <c r="J372" s="154"/>
      <c r="K372" s="154"/>
      <c r="L372" s="154"/>
      <c r="M372" s="154"/>
      <c r="N372" s="154"/>
      <c r="O372" s="154"/>
      <c r="P372" s="154"/>
      <c r="Q372" s="154"/>
      <c r="R372" s="154"/>
      <c r="S372" s="154"/>
      <c r="T372" s="154"/>
      <c r="U372" s="154"/>
      <c r="V372" s="154"/>
      <c r="W372" s="154"/>
      <c r="X372" s="154"/>
      <c r="Y372" s="154"/>
      <c r="Z372" s="154"/>
      <c r="AA372" s="154"/>
    </row>
    <row r="373" spans="1:27" ht="15">
      <c r="A373" s="180">
        <v>45834</v>
      </c>
      <c r="B373" s="181" t="s">
        <v>12966</v>
      </c>
      <c r="C373" s="182" t="s">
        <v>49</v>
      </c>
      <c r="D373" s="182">
        <v>14690</v>
      </c>
      <c r="E373" s="183">
        <v>18</v>
      </c>
      <c r="F373" s="183">
        <v>1322</v>
      </c>
      <c r="G373" s="184">
        <v>1</v>
      </c>
      <c r="H373" s="158"/>
      <c r="I373" s="154"/>
      <c r="J373" s="154"/>
      <c r="K373" s="154"/>
      <c r="L373" s="154"/>
      <c r="M373" s="154"/>
      <c r="N373" s="154"/>
      <c r="O373" s="154"/>
      <c r="P373" s="154"/>
      <c r="Q373" s="154"/>
      <c r="R373" s="154"/>
      <c r="S373" s="154"/>
      <c r="T373" s="154"/>
      <c r="U373" s="154"/>
      <c r="V373" s="154"/>
      <c r="W373" s="154"/>
      <c r="X373" s="154"/>
      <c r="Y373" s="154"/>
      <c r="Z373" s="154"/>
      <c r="AA373" s="154"/>
    </row>
    <row r="374" spans="1:27" ht="15">
      <c r="A374" s="180">
        <v>45834</v>
      </c>
      <c r="B374" s="181" t="s">
        <v>12967</v>
      </c>
      <c r="C374" s="182" t="s">
        <v>49</v>
      </c>
      <c r="D374" s="182">
        <v>14940</v>
      </c>
      <c r="E374" s="183">
        <v>6</v>
      </c>
      <c r="F374" s="183">
        <v>635</v>
      </c>
      <c r="G374" s="184">
        <v>0</v>
      </c>
      <c r="H374" s="158"/>
      <c r="I374" s="154"/>
      <c r="J374" s="154"/>
      <c r="K374" s="154"/>
      <c r="L374" s="154"/>
      <c r="M374" s="154"/>
      <c r="N374" s="154"/>
      <c r="O374" s="154"/>
      <c r="P374" s="154"/>
      <c r="Q374" s="154"/>
      <c r="R374" s="154"/>
      <c r="S374" s="154"/>
      <c r="T374" s="154"/>
      <c r="U374" s="154"/>
      <c r="V374" s="154"/>
      <c r="W374" s="154"/>
      <c r="X374" s="154"/>
      <c r="Y374" s="154"/>
      <c r="Z374" s="154"/>
      <c r="AA374" s="154"/>
    </row>
    <row r="375" spans="1:27" ht="15">
      <c r="A375" s="180">
        <v>45834</v>
      </c>
      <c r="B375" s="181" t="s">
        <v>12968</v>
      </c>
      <c r="C375" s="182" t="s">
        <v>61</v>
      </c>
      <c r="D375" s="182">
        <v>21018</v>
      </c>
      <c r="E375" s="183">
        <v>19</v>
      </c>
      <c r="F375" s="183">
        <v>2167</v>
      </c>
      <c r="G375" s="184">
        <v>3</v>
      </c>
      <c r="H375" s="158"/>
      <c r="I375" s="154"/>
      <c r="J375" s="154"/>
      <c r="K375" s="154"/>
      <c r="L375" s="154"/>
      <c r="M375" s="154"/>
      <c r="N375" s="154"/>
      <c r="O375" s="154"/>
      <c r="P375" s="154"/>
      <c r="Q375" s="154"/>
      <c r="R375" s="154"/>
      <c r="S375" s="154"/>
      <c r="T375" s="154"/>
      <c r="U375" s="154"/>
      <c r="V375" s="154"/>
      <c r="W375" s="154"/>
      <c r="X375" s="154"/>
      <c r="Y375" s="154"/>
      <c r="Z375" s="154"/>
      <c r="AA375" s="154"/>
    </row>
    <row r="376" spans="1:27" ht="15">
      <c r="A376" s="180">
        <v>45835</v>
      </c>
      <c r="B376" s="181" t="s">
        <v>12997</v>
      </c>
      <c r="C376" s="182" t="s">
        <v>49</v>
      </c>
      <c r="D376" s="182">
        <v>12663</v>
      </c>
      <c r="E376" s="183">
        <v>6</v>
      </c>
      <c r="F376" s="183">
        <v>508</v>
      </c>
      <c r="G376" s="184">
        <v>0</v>
      </c>
      <c r="H376" s="158"/>
      <c r="I376" s="154"/>
      <c r="J376" s="154"/>
      <c r="K376" s="154"/>
      <c r="L376" s="154"/>
      <c r="M376" s="154"/>
      <c r="N376" s="154"/>
      <c r="O376" s="154"/>
      <c r="P376" s="154"/>
      <c r="Q376" s="154"/>
      <c r="R376" s="154"/>
      <c r="S376" s="154"/>
      <c r="T376" s="154"/>
      <c r="U376" s="154"/>
      <c r="V376" s="154"/>
      <c r="W376" s="154"/>
      <c r="X376" s="154"/>
      <c r="Y376" s="154"/>
      <c r="Z376" s="154"/>
      <c r="AA376" s="154"/>
    </row>
    <row r="377" spans="1:27" ht="15">
      <c r="A377" s="180">
        <v>45835</v>
      </c>
      <c r="B377" s="181" t="s">
        <v>12998</v>
      </c>
      <c r="C377" s="182" t="s">
        <v>1229</v>
      </c>
      <c r="D377" s="182">
        <v>6105</v>
      </c>
      <c r="E377" s="183">
        <v>4</v>
      </c>
      <c r="F377" s="183">
        <v>311</v>
      </c>
      <c r="G377" s="184">
        <v>2</v>
      </c>
      <c r="H377" s="158"/>
      <c r="I377" s="154"/>
      <c r="J377" s="154"/>
      <c r="K377" s="154"/>
      <c r="L377" s="154"/>
      <c r="M377" s="154"/>
      <c r="N377" s="154"/>
      <c r="O377" s="154"/>
      <c r="P377" s="154"/>
      <c r="Q377" s="154"/>
      <c r="R377" s="154"/>
      <c r="S377" s="154"/>
      <c r="T377" s="154"/>
      <c r="U377" s="154"/>
      <c r="V377" s="154"/>
      <c r="W377" s="154"/>
      <c r="X377" s="154"/>
      <c r="Y377" s="154"/>
      <c r="Z377" s="154"/>
      <c r="AA377" s="154"/>
    </row>
    <row r="378" spans="1:27" ht="15">
      <c r="A378" s="180">
        <v>45835</v>
      </c>
      <c r="B378" s="181" t="s">
        <v>12992</v>
      </c>
      <c r="C378" s="182" t="s">
        <v>115</v>
      </c>
      <c r="D378" s="182">
        <v>56895</v>
      </c>
      <c r="E378" s="183">
        <v>41</v>
      </c>
      <c r="F378" s="183">
        <v>2926</v>
      </c>
      <c r="G378" s="184">
        <v>10</v>
      </c>
      <c r="H378" s="158"/>
      <c r="I378" s="154"/>
      <c r="J378" s="154"/>
      <c r="K378" s="154"/>
      <c r="L378" s="154"/>
      <c r="M378" s="154"/>
      <c r="N378" s="154"/>
      <c r="O378" s="154"/>
      <c r="P378" s="154"/>
      <c r="Q378" s="154"/>
      <c r="R378" s="154"/>
      <c r="S378" s="154"/>
      <c r="T378" s="154"/>
      <c r="U378" s="154"/>
      <c r="V378" s="154"/>
      <c r="W378" s="154"/>
      <c r="X378" s="154"/>
      <c r="Y378" s="154"/>
      <c r="Z378" s="154"/>
      <c r="AA378" s="154"/>
    </row>
    <row r="379" spans="1:27" ht="15">
      <c r="A379" s="180">
        <v>45835</v>
      </c>
      <c r="B379" s="181" t="s">
        <v>12993</v>
      </c>
      <c r="C379" s="182" t="s">
        <v>49</v>
      </c>
      <c r="D379" s="182">
        <v>7057</v>
      </c>
      <c r="E379" s="183">
        <v>10</v>
      </c>
      <c r="F379" s="183">
        <v>512</v>
      </c>
      <c r="G379" s="184">
        <v>0</v>
      </c>
      <c r="H379" s="158"/>
      <c r="I379" s="154"/>
      <c r="J379" s="154"/>
      <c r="K379" s="154"/>
      <c r="L379" s="154"/>
      <c r="M379" s="154"/>
      <c r="N379" s="154"/>
      <c r="O379" s="154"/>
      <c r="P379" s="154"/>
      <c r="Q379" s="154"/>
      <c r="R379" s="154"/>
      <c r="S379" s="154"/>
      <c r="T379" s="154"/>
      <c r="U379" s="154"/>
      <c r="V379" s="154"/>
      <c r="W379" s="154"/>
      <c r="X379" s="154"/>
      <c r="Y379" s="154"/>
      <c r="Z379" s="154"/>
      <c r="AA379" s="154"/>
    </row>
    <row r="380" spans="1:27" ht="15">
      <c r="A380" s="180">
        <v>45835</v>
      </c>
      <c r="B380" s="181" t="s">
        <v>12994</v>
      </c>
      <c r="C380" s="182" t="s">
        <v>61</v>
      </c>
      <c r="D380" s="182">
        <v>14456</v>
      </c>
      <c r="E380" s="183">
        <v>14</v>
      </c>
      <c r="F380" s="183">
        <v>681</v>
      </c>
      <c r="G380" s="184">
        <v>1</v>
      </c>
      <c r="H380" s="158"/>
      <c r="I380" s="154"/>
      <c r="J380" s="154"/>
      <c r="K380" s="154"/>
      <c r="L380" s="154"/>
      <c r="M380" s="154"/>
      <c r="N380" s="154"/>
      <c r="O380" s="154"/>
      <c r="P380" s="154"/>
      <c r="Q380" s="154"/>
      <c r="R380" s="154"/>
      <c r="S380" s="154"/>
      <c r="T380" s="154"/>
      <c r="U380" s="154"/>
      <c r="V380" s="154"/>
      <c r="W380" s="154"/>
      <c r="X380" s="154"/>
      <c r="Y380" s="154"/>
      <c r="Z380" s="154"/>
      <c r="AA380" s="154"/>
    </row>
    <row r="381" spans="1:27" ht="15">
      <c r="A381" s="180">
        <v>45835</v>
      </c>
      <c r="B381" s="181" t="s">
        <v>12980</v>
      </c>
      <c r="C381" s="182" t="s">
        <v>115</v>
      </c>
      <c r="D381" s="182">
        <v>30815</v>
      </c>
      <c r="E381" s="183">
        <v>33</v>
      </c>
      <c r="F381" s="183">
        <v>1739</v>
      </c>
      <c r="G381" s="184">
        <v>4</v>
      </c>
      <c r="H381" s="158"/>
      <c r="I381" s="154"/>
      <c r="J381" s="154"/>
      <c r="K381" s="154"/>
      <c r="L381" s="154"/>
      <c r="M381" s="154"/>
      <c r="N381" s="154"/>
      <c r="O381" s="154"/>
      <c r="P381" s="154"/>
      <c r="Q381" s="154"/>
      <c r="R381" s="154"/>
      <c r="S381" s="154"/>
      <c r="T381" s="154"/>
      <c r="U381" s="154"/>
      <c r="V381" s="154"/>
      <c r="W381" s="154"/>
      <c r="X381" s="154"/>
      <c r="Y381" s="154"/>
      <c r="Z381" s="154"/>
      <c r="AA381" s="154"/>
    </row>
    <row r="382" spans="1:27" ht="15">
      <c r="A382" s="180">
        <v>45835</v>
      </c>
      <c r="B382" s="181" t="s">
        <v>12981</v>
      </c>
      <c r="C382" s="182" t="s">
        <v>115</v>
      </c>
      <c r="D382" s="182">
        <v>37164</v>
      </c>
      <c r="E382" s="183">
        <v>38</v>
      </c>
      <c r="F382" s="183">
        <v>2562</v>
      </c>
      <c r="G382" s="184">
        <v>6</v>
      </c>
      <c r="H382" s="158"/>
      <c r="I382" s="154"/>
      <c r="J382" s="154"/>
      <c r="K382" s="154"/>
      <c r="L382" s="154"/>
      <c r="M382" s="154"/>
      <c r="N382" s="154"/>
      <c r="O382" s="154"/>
      <c r="P382" s="154"/>
      <c r="Q382" s="154"/>
      <c r="R382" s="154"/>
      <c r="S382" s="154"/>
      <c r="T382" s="154"/>
      <c r="U382" s="154"/>
      <c r="V382" s="154"/>
      <c r="W382" s="154"/>
      <c r="X382" s="154"/>
      <c r="Y382" s="154"/>
      <c r="Z382" s="154"/>
      <c r="AA382" s="154"/>
    </row>
    <row r="383" spans="1:27" ht="15">
      <c r="A383" s="180">
        <v>45835</v>
      </c>
      <c r="B383" s="181" t="s">
        <v>12982</v>
      </c>
      <c r="C383" s="182" t="s">
        <v>61</v>
      </c>
      <c r="D383" s="182">
        <v>121235</v>
      </c>
      <c r="E383" s="183">
        <v>133</v>
      </c>
      <c r="F383" s="183">
        <v>10358</v>
      </c>
      <c r="G383" s="184">
        <v>28</v>
      </c>
      <c r="H383" s="158"/>
      <c r="I383" s="154"/>
      <c r="J383" s="154"/>
      <c r="K383" s="154"/>
      <c r="L383" s="154"/>
      <c r="M383" s="154"/>
      <c r="N383" s="154"/>
      <c r="O383" s="154"/>
      <c r="P383" s="154"/>
      <c r="Q383" s="154"/>
      <c r="R383" s="154"/>
      <c r="S383" s="154"/>
      <c r="T383" s="154"/>
      <c r="U383" s="154"/>
      <c r="V383" s="154"/>
      <c r="W383" s="154"/>
      <c r="X383" s="154"/>
      <c r="Y383" s="154"/>
      <c r="Z383" s="154"/>
      <c r="AA383" s="154"/>
    </row>
    <row r="384" spans="1:27" ht="15">
      <c r="A384" s="180">
        <v>45835</v>
      </c>
      <c r="B384" s="181" t="s">
        <v>12983</v>
      </c>
      <c r="C384" s="182" t="s">
        <v>61</v>
      </c>
      <c r="D384" s="182">
        <v>36700</v>
      </c>
      <c r="E384" s="183">
        <v>42</v>
      </c>
      <c r="F384" s="183">
        <v>1593</v>
      </c>
      <c r="G384" s="184">
        <v>5</v>
      </c>
      <c r="H384" s="158"/>
      <c r="I384" s="154"/>
      <c r="J384" s="154"/>
      <c r="K384" s="154"/>
      <c r="L384" s="154"/>
      <c r="M384" s="154"/>
      <c r="N384" s="154"/>
      <c r="O384" s="154"/>
      <c r="P384" s="154"/>
      <c r="Q384" s="154"/>
      <c r="R384" s="154"/>
      <c r="S384" s="154"/>
      <c r="T384" s="154"/>
      <c r="U384" s="154"/>
      <c r="V384" s="154"/>
      <c r="W384" s="154"/>
      <c r="X384" s="154"/>
      <c r="Y384" s="154"/>
      <c r="Z384" s="154"/>
      <c r="AA384" s="154"/>
    </row>
    <row r="385" spans="1:27" ht="15">
      <c r="A385" s="180">
        <v>45835</v>
      </c>
      <c r="B385" s="181" t="s">
        <v>12996</v>
      </c>
      <c r="C385" s="182" t="s">
        <v>1229</v>
      </c>
      <c r="D385" s="182">
        <v>25</v>
      </c>
      <c r="E385" s="183">
        <v>0</v>
      </c>
      <c r="F385" s="183">
        <v>5</v>
      </c>
      <c r="G385" s="184">
        <v>0</v>
      </c>
      <c r="H385" s="158"/>
      <c r="I385" s="154"/>
      <c r="J385" s="154"/>
      <c r="K385" s="154"/>
      <c r="L385" s="154"/>
      <c r="M385" s="154"/>
      <c r="N385" s="154"/>
      <c r="O385" s="154"/>
      <c r="P385" s="154"/>
      <c r="Q385" s="154"/>
      <c r="R385" s="154"/>
      <c r="S385" s="154"/>
      <c r="T385" s="154"/>
      <c r="U385" s="154"/>
      <c r="V385" s="154"/>
      <c r="W385" s="154"/>
      <c r="X385" s="154"/>
      <c r="Y385" s="154"/>
      <c r="Z385" s="154"/>
      <c r="AA385" s="154"/>
    </row>
    <row r="386" spans="1:27" ht="15">
      <c r="A386" s="180">
        <v>45835</v>
      </c>
      <c r="B386" s="181" t="s">
        <v>12969</v>
      </c>
      <c r="C386" s="182" t="s">
        <v>115</v>
      </c>
      <c r="D386" s="182">
        <v>74680</v>
      </c>
      <c r="E386" s="183">
        <v>115</v>
      </c>
      <c r="F386" s="183">
        <v>7052</v>
      </c>
      <c r="G386" s="184">
        <v>19</v>
      </c>
      <c r="H386" s="158"/>
      <c r="I386" s="154"/>
      <c r="J386" s="154"/>
      <c r="K386" s="154"/>
      <c r="L386" s="154"/>
      <c r="M386" s="154"/>
      <c r="N386" s="154"/>
      <c r="O386" s="154"/>
      <c r="P386" s="154"/>
      <c r="Q386" s="154"/>
      <c r="R386" s="154"/>
      <c r="S386" s="154"/>
      <c r="T386" s="154"/>
      <c r="U386" s="154"/>
      <c r="V386" s="154"/>
      <c r="W386" s="154"/>
      <c r="X386" s="154"/>
      <c r="Y386" s="154"/>
      <c r="Z386" s="154"/>
      <c r="AA386" s="154"/>
    </row>
    <row r="387" spans="1:27" ht="15">
      <c r="A387" s="180">
        <v>45835</v>
      </c>
      <c r="B387" s="181" t="s">
        <v>12970</v>
      </c>
      <c r="C387" s="182" t="s">
        <v>115</v>
      </c>
      <c r="D387" s="182">
        <v>4976</v>
      </c>
      <c r="E387" s="183">
        <v>2</v>
      </c>
      <c r="F387" s="183">
        <v>45</v>
      </c>
      <c r="G387" s="184">
        <v>1</v>
      </c>
      <c r="H387" s="158"/>
      <c r="I387" s="154"/>
      <c r="J387" s="154"/>
      <c r="K387" s="154"/>
      <c r="L387" s="154"/>
      <c r="M387" s="154"/>
      <c r="N387" s="154"/>
      <c r="O387" s="154"/>
      <c r="P387" s="154"/>
      <c r="Q387" s="154"/>
      <c r="R387" s="154"/>
      <c r="S387" s="154"/>
      <c r="T387" s="154"/>
      <c r="U387" s="154"/>
      <c r="V387" s="154"/>
      <c r="W387" s="154"/>
      <c r="X387" s="154"/>
      <c r="Y387" s="154"/>
      <c r="Z387" s="154"/>
      <c r="AA387" s="154"/>
    </row>
    <row r="388" spans="1:27" ht="15">
      <c r="A388" s="180">
        <v>45835</v>
      </c>
      <c r="B388" s="181" t="s">
        <v>12971</v>
      </c>
      <c r="C388" s="182" t="s">
        <v>115</v>
      </c>
      <c r="D388" s="182">
        <v>11207</v>
      </c>
      <c r="E388" s="183">
        <v>14</v>
      </c>
      <c r="F388" s="183">
        <v>1129</v>
      </c>
      <c r="G388" s="184">
        <v>1</v>
      </c>
      <c r="H388" s="158"/>
      <c r="I388" s="154"/>
      <c r="J388" s="154"/>
      <c r="K388" s="154"/>
      <c r="L388" s="154"/>
      <c r="M388" s="154"/>
      <c r="N388" s="154"/>
      <c r="O388" s="154"/>
      <c r="P388" s="154"/>
      <c r="Q388" s="154"/>
      <c r="R388" s="154"/>
      <c r="S388" s="154"/>
      <c r="T388" s="154"/>
      <c r="U388" s="154"/>
      <c r="V388" s="154"/>
      <c r="W388" s="154"/>
      <c r="X388" s="154"/>
      <c r="Y388" s="154"/>
      <c r="Z388" s="154"/>
      <c r="AA388" s="154"/>
    </row>
    <row r="389" spans="1:27" ht="15">
      <c r="A389" s="180">
        <v>45835</v>
      </c>
      <c r="B389" s="181" t="s">
        <v>12963</v>
      </c>
      <c r="C389" s="182" t="s">
        <v>61</v>
      </c>
      <c r="D389" s="182">
        <v>96433</v>
      </c>
      <c r="E389" s="183">
        <v>126</v>
      </c>
      <c r="F389" s="183">
        <v>6820</v>
      </c>
      <c r="G389" s="184">
        <v>23</v>
      </c>
      <c r="H389" s="158"/>
      <c r="I389" s="154"/>
      <c r="J389" s="154"/>
      <c r="K389" s="154"/>
      <c r="L389" s="154"/>
      <c r="M389" s="154"/>
      <c r="N389" s="154"/>
      <c r="O389" s="154"/>
      <c r="P389" s="154"/>
      <c r="Q389" s="154"/>
      <c r="R389" s="154"/>
      <c r="S389" s="154"/>
      <c r="T389" s="154"/>
      <c r="U389" s="154"/>
      <c r="V389" s="154"/>
      <c r="W389" s="154"/>
      <c r="X389" s="154"/>
      <c r="Y389" s="154"/>
      <c r="Z389" s="154"/>
      <c r="AA389" s="154"/>
    </row>
    <row r="390" spans="1:27" ht="15">
      <c r="A390" s="180">
        <v>45835</v>
      </c>
      <c r="B390" s="181" t="s">
        <v>12964</v>
      </c>
      <c r="C390" s="182" t="s">
        <v>61</v>
      </c>
      <c r="D390" s="182">
        <v>56628</v>
      </c>
      <c r="E390" s="183">
        <v>70</v>
      </c>
      <c r="F390" s="183">
        <v>3485</v>
      </c>
      <c r="G390" s="184">
        <v>9</v>
      </c>
      <c r="H390" s="158"/>
      <c r="I390" s="154"/>
      <c r="J390" s="154"/>
      <c r="K390" s="154"/>
      <c r="L390" s="154"/>
      <c r="M390" s="154"/>
      <c r="N390" s="154"/>
      <c r="O390" s="154"/>
      <c r="P390" s="154"/>
      <c r="Q390" s="154"/>
      <c r="R390" s="154"/>
      <c r="S390" s="154"/>
      <c r="T390" s="154"/>
      <c r="U390" s="154"/>
      <c r="V390" s="154"/>
      <c r="W390" s="154"/>
      <c r="X390" s="154"/>
      <c r="Y390" s="154"/>
      <c r="Z390" s="154"/>
      <c r="AA390" s="154"/>
    </row>
    <row r="391" spans="1:27" ht="15">
      <c r="A391" s="180">
        <v>45835</v>
      </c>
      <c r="B391" s="181" t="s">
        <v>12965</v>
      </c>
      <c r="C391" s="182" t="s">
        <v>49</v>
      </c>
      <c r="D391" s="182">
        <v>41988</v>
      </c>
      <c r="E391" s="183">
        <v>45</v>
      </c>
      <c r="F391" s="183">
        <v>2218</v>
      </c>
      <c r="G391" s="184">
        <v>8</v>
      </c>
      <c r="H391" s="158"/>
      <c r="I391" s="154"/>
      <c r="J391" s="154"/>
      <c r="K391" s="154"/>
      <c r="L391" s="154"/>
      <c r="M391" s="154"/>
      <c r="N391" s="154"/>
      <c r="O391" s="154"/>
      <c r="P391" s="154"/>
      <c r="Q391" s="154"/>
      <c r="R391" s="154"/>
      <c r="S391" s="154"/>
      <c r="T391" s="154"/>
      <c r="U391" s="154"/>
      <c r="V391" s="154"/>
      <c r="W391" s="154"/>
      <c r="X391" s="154"/>
      <c r="Y391" s="154"/>
      <c r="Z391" s="154"/>
      <c r="AA391" s="154"/>
    </row>
    <row r="392" spans="1:27" ht="15">
      <c r="A392" s="180">
        <v>45835</v>
      </c>
      <c r="B392" s="181" t="s">
        <v>12966</v>
      </c>
      <c r="C392" s="182" t="s">
        <v>49</v>
      </c>
      <c r="D392" s="182">
        <v>20397</v>
      </c>
      <c r="E392" s="183">
        <v>26</v>
      </c>
      <c r="F392" s="183">
        <v>1649</v>
      </c>
      <c r="G392" s="184">
        <v>4</v>
      </c>
      <c r="H392" s="158"/>
      <c r="I392" s="154"/>
      <c r="J392" s="154"/>
      <c r="K392" s="154"/>
      <c r="L392" s="154"/>
      <c r="M392" s="154"/>
      <c r="N392" s="154"/>
      <c r="O392" s="154"/>
      <c r="P392" s="154"/>
      <c r="Q392" s="154"/>
      <c r="R392" s="154"/>
      <c r="S392" s="154"/>
      <c r="T392" s="154"/>
      <c r="U392" s="154"/>
      <c r="V392" s="154"/>
      <c r="W392" s="154"/>
      <c r="X392" s="154"/>
      <c r="Y392" s="154"/>
      <c r="Z392" s="154"/>
      <c r="AA392" s="154"/>
    </row>
    <row r="393" spans="1:27" ht="15">
      <c r="A393" s="180">
        <v>45835</v>
      </c>
      <c r="B393" s="181" t="s">
        <v>12967</v>
      </c>
      <c r="C393" s="182" t="s">
        <v>49</v>
      </c>
      <c r="D393" s="182">
        <v>24693</v>
      </c>
      <c r="E393" s="183">
        <v>29</v>
      </c>
      <c r="F393" s="183">
        <v>1649</v>
      </c>
      <c r="G393" s="184">
        <v>2</v>
      </c>
      <c r="H393" s="158"/>
      <c r="I393" s="154"/>
      <c r="J393" s="154"/>
      <c r="K393" s="154"/>
      <c r="L393" s="154"/>
      <c r="M393" s="154"/>
      <c r="N393" s="154"/>
      <c r="O393" s="154"/>
      <c r="P393" s="154"/>
      <c r="Q393" s="154"/>
      <c r="R393" s="154"/>
      <c r="S393" s="154"/>
      <c r="T393" s="154"/>
      <c r="U393" s="154"/>
      <c r="V393" s="154"/>
      <c r="W393" s="154"/>
      <c r="X393" s="154"/>
      <c r="Y393" s="154"/>
      <c r="Z393" s="154"/>
      <c r="AA393" s="154"/>
    </row>
    <row r="394" spans="1:27" ht="15">
      <c r="A394" s="180">
        <v>45835</v>
      </c>
      <c r="B394" s="181" t="s">
        <v>12968</v>
      </c>
      <c r="C394" s="182" t="s">
        <v>61</v>
      </c>
      <c r="D394" s="182">
        <v>10791</v>
      </c>
      <c r="E394" s="183">
        <v>17</v>
      </c>
      <c r="F394" s="183">
        <v>898</v>
      </c>
      <c r="G394" s="184">
        <v>0</v>
      </c>
      <c r="H394" s="158"/>
      <c r="I394" s="154"/>
      <c r="J394" s="154"/>
      <c r="K394" s="154"/>
      <c r="L394" s="154"/>
      <c r="M394" s="154"/>
      <c r="N394" s="154"/>
      <c r="O394" s="154"/>
      <c r="P394" s="154"/>
      <c r="Q394" s="154"/>
      <c r="R394" s="154"/>
      <c r="S394" s="154"/>
      <c r="T394" s="154"/>
      <c r="U394" s="154"/>
      <c r="V394" s="154"/>
      <c r="W394" s="154"/>
      <c r="X394" s="154"/>
      <c r="Y394" s="154"/>
      <c r="Z394" s="154"/>
      <c r="AA394" s="154"/>
    </row>
    <row r="395" spans="1:27" ht="15">
      <c r="A395" s="180">
        <v>45836</v>
      </c>
      <c r="B395" s="181" t="s">
        <v>12997</v>
      </c>
      <c r="C395" s="182" t="s">
        <v>49</v>
      </c>
      <c r="D395" s="182">
        <v>14020</v>
      </c>
      <c r="E395" s="183">
        <v>2</v>
      </c>
      <c r="F395" s="183">
        <v>455</v>
      </c>
      <c r="G395" s="184">
        <v>0</v>
      </c>
      <c r="H395" s="158"/>
      <c r="I395" s="154"/>
      <c r="J395" s="154"/>
      <c r="K395" s="154"/>
      <c r="L395" s="154"/>
      <c r="M395" s="154"/>
      <c r="N395" s="154"/>
      <c r="O395" s="154"/>
      <c r="P395" s="154"/>
      <c r="Q395" s="154"/>
      <c r="R395" s="154"/>
      <c r="S395" s="154"/>
      <c r="T395" s="154"/>
      <c r="U395" s="154"/>
      <c r="V395" s="154"/>
      <c r="W395" s="154"/>
      <c r="X395" s="154"/>
      <c r="Y395" s="154"/>
      <c r="Z395" s="154"/>
      <c r="AA395" s="154"/>
    </row>
    <row r="396" spans="1:27" ht="15">
      <c r="A396" s="180">
        <v>45836</v>
      </c>
      <c r="B396" s="181" t="s">
        <v>12998</v>
      </c>
      <c r="C396" s="182" t="s">
        <v>1229</v>
      </c>
      <c r="D396" s="182">
        <v>21624</v>
      </c>
      <c r="E396" s="183">
        <v>10</v>
      </c>
      <c r="F396" s="183">
        <v>823</v>
      </c>
      <c r="G396" s="184">
        <v>1</v>
      </c>
      <c r="H396" s="158"/>
      <c r="I396" s="154"/>
      <c r="J396" s="154"/>
      <c r="K396" s="154"/>
      <c r="L396" s="154"/>
      <c r="M396" s="154"/>
      <c r="N396" s="154"/>
      <c r="O396" s="154"/>
      <c r="P396" s="154"/>
      <c r="Q396" s="154"/>
      <c r="R396" s="154"/>
      <c r="S396" s="154"/>
      <c r="T396" s="154"/>
      <c r="U396" s="154"/>
      <c r="V396" s="154"/>
      <c r="W396" s="154"/>
      <c r="X396" s="154"/>
      <c r="Y396" s="154"/>
      <c r="Z396" s="154"/>
      <c r="AA396" s="154"/>
    </row>
    <row r="397" spans="1:27" ht="15">
      <c r="A397" s="180">
        <v>45836</v>
      </c>
      <c r="B397" s="181" t="s">
        <v>12991</v>
      </c>
      <c r="C397" s="182" t="s">
        <v>752</v>
      </c>
      <c r="D397" s="182">
        <v>24259</v>
      </c>
      <c r="E397" s="183">
        <v>10</v>
      </c>
      <c r="F397" s="183">
        <v>524</v>
      </c>
      <c r="G397" s="184">
        <v>2</v>
      </c>
      <c r="H397" s="158"/>
      <c r="I397" s="154"/>
      <c r="J397" s="154"/>
      <c r="K397" s="154"/>
      <c r="L397" s="154"/>
      <c r="M397" s="154"/>
      <c r="N397" s="154"/>
      <c r="O397" s="154"/>
      <c r="P397" s="154"/>
      <c r="Q397" s="154"/>
      <c r="R397" s="154"/>
      <c r="S397" s="154"/>
      <c r="T397" s="154"/>
      <c r="U397" s="154"/>
      <c r="V397" s="154"/>
      <c r="W397" s="154"/>
      <c r="X397" s="154"/>
      <c r="Y397" s="154"/>
      <c r="Z397" s="154"/>
      <c r="AA397" s="154"/>
    </row>
    <row r="398" spans="1:27" ht="15">
      <c r="A398" s="180">
        <v>45836</v>
      </c>
      <c r="B398" s="181" t="s">
        <v>12992</v>
      </c>
      <c r="C398" s="182" t="s">
        <v>115</v>
      </c>
      <c r="D398" s="182">
        <v>16401</v>
      </c>
      <c r="E398" s="183">
        <v>22</v>
      </c>
      <c r="F398" s="183">
        <v>906</v>
      </c>
      <c r="G398" s="184">
        <v>1</v>
      </c>
      <c r="H398" s="158"/>
      <c r="I398" s="154"/>
      <c r="J398" s="154"/>
      <c r="K398" s="154"/>
      <c r="L398" s="154"/>
      <c r="M398" s="154"/>
      <c r="N398" s="154"/>
      <c r="O398" s="154"/>
      <c r="P398" s="154"/>
      <c r="Q398" s="154"/>
      <c r="R398" s="154"/>
      <c r="S398" s="154"/>
      <c r="T398" s="154"/>
      <c r="U398" s="154"/>
      <c r="V398" s="154"/>
      <c r="W398" s="154"/>
      <c r="X398" s="154"/>
      <c r="Y398" s="154"/>
      <c r="Z398" s="154"/>
      <c r="AA398" s="154"/>
    </row>
    <row r="399" spans="1:27" ht="15">
      <c r="A399" s="180">
        <v>45836</v>
      </c>
      <c r="B399" s="181" t="s">
        <v>12993</v>
      </c>
      <c r="C399" s="182" t="s">
        <v>49</v>
      </c>
      <c r="D399" s="182">
        <v>18631</v>
      </c>
      <c r="E399" s="183">
        <v>20</v>
      </c>
      <c r="F399" s="183">
        <v>640</v>
      </c>
      <c r="G399" s="184">
        <v>2</v>
      </c>
      <c r="H399" s="158"/>
      <c r="I399" s="154"/>
      <c r="J399" s="154"/>
      <c r="K399" s="154"/>
      <c r="L399" s="154"/>
      <c r="M399" s="154"/>
      <c r="N399" s="154"/>
      <c r="O399" s="154"/>
      <c r="P399" s="154"/>
      <c r="Q399" s="154"/>
      <c r="R399" s="154"/>
      <c r="S399" s="154"/>
      <c r="T399" s="154"/>
      <c r="U399" s="154"/>
      <c r="V399" s="154"/>
      <c r="W399" s="154"/>
      <c r="X399" s="154"/>
      <c r="Y399" s="154"/>
      <c r="Z399" s="154"/>
      <c r="AA399" s="154"/>
    </row>
    <row r="400" spans="1:27" ht="15">
      <c r="A400" s="180">
        <v>45836</v>
      </c>
      <c r="B400" s="181" t="s">
        <v>12994</v>
      </c>
      <c r="C400" s="182" t="s">
        <v>61</v>
      </c>
      <c r="D400" s="182">
        <v>16997</v>
      </c>
      <c r="E400" s="183">
        <v>15</v>
      </c>
      <c r="F400" s="183">
        <v>846</v>
      </c>
      <c r="G400" s="184">
        <v>2</v>
      </c>
      <c r="H400" s="158"/>
      <c r="I400" s="154"/>
      <c r="J400" s="154"/>
      <c r="K400" s="154"/>
      <c r="L400" s="154"/>
      <c r="M400" s="154"/>
      <c r="N400" s="154"/>
      <c r="O400" s="154"/>
      <c r="P400" s="154"/>
      <c r="Q400" s="154"/>
      <c r="R400" s="154"/>
      <c r="S400" s="154"/>
      <c r="T400" s="154"/>
      <c r="U400" s="154"/>
      <c r="V400" s="154"/>
      <c r="W400" s="154"/>
      <c r="X400" s="154"/>
      <c r="Y400" s="154"/>
      <c r="Z400" s="154"/>
      <c r="AA400" s="154"/>
    </row>
    <row r="401" spans="1:27" ht="15">
      <c r="A401" s="180">
        <v>45836</v>
      </c>
      <c r="B401" s="181" t="s">
        <v>12980</v>
      </c>
      <c r="C401" s="182" t="s">
        <v>115</v>
      </c>
      <c r="D401" s="182">
        <v>26342</v>
      </c>
      <c r="E401" s="183">
        <v>10</v>
      </c>
      <c r="F401" s="183">
        <v>1063</v>
      </c>
      <c r="G401" s="184">
        <v>0</v>
      </c>
      <c r="H401" s="158"/>
      <c r="I401" s="154"/>
      <c r="J401" s="154"/>
      <c r="K401" s="154"/>
      <c r="L401" s="154"/>
      <c r="M401" s="154"/>
      <c r="N401" s="154"/>
      <c r="O401" s="154"/>
      <c r="P401" s="154"/>
      <c r="Q401" s="154"/>
      <c r="R401" s="154"/>
      <c r="S401" s="154"/>
      <c r="T401" s="154"/>
      <c r="U401" s="154"/>
      <c r="V401" s="154"/>
      <c r="W401" s="154"/>
      <c r="X401" s="154"/>
      <c r="Y401" s="154"/>
      <c r="Z401" s="154"/>
      <c r="AA401" s="154"/>
    </row>
    <row r="402" spans="1:27" ht="15">
      <c r="A402" s="180">
        <v>45836</v>
      </c>
      <c r="B402" s="181" t="s">
        <v>12981</v>
      </c>
      <c r="C402" s="182" t="s">
        <v>115</v>
      </c>
      <c r="D402" s="182">
        <v>29696</v>
      </c>
      <c r="E402" s="183">
        <v>28</v>
      </c>
      <c r="F402" s="183">
        <v>1840</v>
      </c>
      <c r="G402" s="184">
        <v>3</v>
      </c>
      <c r="H402" s="158"/>
      <c r="I402" s="154"/>
      <c r="J402" s="154"/>
      <c r="K402" s="154"/>
      <c r="L402" s="154"/>
      <c r="M402" s="154"/>
      <c r="N402" s="154"/>
      <c r="O402" s="154"/>
      <c r="P402" s="154"/>
      <c r="Q402" s="154"/>
      <c r="R402" s="154"/>
      <c r="S402" s="154"/>
      <c r="T402" s="154"/>
      <c r="U402" s="154"/>
      <c r="V402" s="154"/>
      <c r="W402" s="154"/>
      <c r="X402" s="154"/>
      <c r="Y402" s="154"/>
      <c r="Z402" s="154"/>
      <c r="AA402" s="154"/>
    </row>
    <row r="403" spans="1:27" ht="15">
      <c r="A403" s="180">
        <v>45836</v>
      </c>
      <c r="B403" s="181" t="s">
        <v>12982</v>
      </c>
      <c r="C403" s="182" t="s">
        <v>61</v>
      </c>
      <c r="D403" s="182">
        <v>47482</v>
      </c>
      <c r="E403" s="183">
        <v>34</v>
      </c>
      <c r="F403" s="183">
        <v>1580</v>
      </c>
      <c r="G403" s="184">
        <v>4</v>
      </c>
      <c r="H403" s="158"/>
      <c r="I403" s="154"/>
      <c r="J403" s="154"/>
      <c r="K403" s="154"/>
      <c r="L403" s="154"/>
      <c r="M403" s="154"/>
      <c r="N403" s="154"/>
      <c r="O403" s="154"/>
      <c r="P403" s="154"/>
      <c r="Q403" s="154"/>
      <c r="R403" s="154"/>
      <c r="S403" s="154"/>
      <c r="T403" s="154"/>
      <c r="U403" s="154"/>
      <c r="V403" s="154"/>
      <c r="W403" s="154"/>
      <c r="X403" s="154"/>
      <c r="Y403" s="154"/>
      <c r="Z403" s="154"/>
      <c r="AA403" s="154"/>
    </row>
    <row r="404" spans="1:27" ht="15">
      <c r="A404" s="180">
        <v>45836</v>
      </c>
      <c r="B404" s="181" t="s">
        <v>12983</v>
      </c>
      <c r="C404" s="182" t="s">
        <v>61</v>
      </c>
      <c r="D404" s="182">
        <v>33820</v>
      </c>
      <c r="E404" s="183">
        <v>27</v>
      </c>
      <c r="F404" s="183">
        <v>1757</v>
      </c>
      <c r="G404" s="184">
        <v>4</v>
      </c>
      <c r="H404" s="158"/>
      <c r="I404" s="154"/>
      <c r="J404" s="154"/>
      <c r="K404" s="154"/>
      <c r="L404" s="154"/>
      <c r="M404" s="154"/>
      <c r="N404" s="154"/>
      <c r="O404" s="154"/>
      <c r="P404" s="154"/>
      <c r="Q404" s="154"/>
      <c r="R404" s="154"/>
      <c r="S404" s="154"/>
      <c r="T404" s="154"/>
      <c r="U404" s="154"/>
      <c r="V404" s="154"/>
      <c r="W404" s="154"/>
      <c r="X404" s="154"/>
      <c r="Y404" s="154"/>
      <c r="Z404" s="154"/>
      <c r="AA404" s="154"/>
    </row>
    <row r="405" spans="1:27" ht="15">
      <c r="A405" s="180">
        <v>45836</v>
      </c>
      <c r="B405" s="181" t="s">
        <v>12995</v>
      </c>
      <c r="C405" s="182" t="s">
        <v>1229</v>
      </c>
      <c r="D405" s="182">
        <v>25955</v>
      </c>
      <c r="E405" s="183">
        <v>11</v>
      </c>
      <c r="F405" s="183">
        <v>1076</v>
      </c>
      <c r="G405" s="184">
        <v>2</v>
      </c>
      <c r="H405" s="158"/>
      <c r="I405" s="154"/>
      <c r="J405" s="154"/>
      <c r="K405" s="154"/>
      <c r="L405" s="154"/>
      <c r="M405" s="154"/>
      <c r="N405" s="154"/>
      <c r="O405" s="154"/>
      <c r="P405" s="154"/>
      <c r="Q405" s="154"/>
      <c r="R405" s="154"/>
      <c r="S405" s="154"/>
      <c r="T405" s="154"/>
      <c r="U405" s="154"/>
      <c r="V405" s="154"/>
      <c r="W405" s="154"/>
      <c r="X405" s="154"/>
      <c r="Y405" s="154"/>
      <c r="Z405" s="154"/>
      <c r="AA405" s="154"/>
    </row>
    <row r="406" spans="1:27" ht="15">
      <c r="A406" s="180">
        <v>45836</v>
      </c>
      <c r="B406" s="181" t="s">
        <v>12996</v>
      </c>
      <c r="C406" s="182" t="s">
        <v>1229</v>
      </c>
      <c r="D406" s="182">
        <v>21594</v>
      </c>
      <c r="E406" s="183">
        <v>13</v>
      </c>
      <c r="F406" s="183">
        <v>846</v>
      </c>
      <c r="G406" s="184">
        <v>1</v>
      </c>
      <c r="H406" s="158"/>
      <c r="I406" s="154"/>
      <c r="J406" s="154"/>
      <c r="K406" s="154"/>
      <c r="L406" s="154"/>
      <c r="M406" s="154"/>
      <c r="N406" s="154"/>
      <c r="O406" s="154"/>
      <c r="P406" s="154"/>
      <c r="Q406" s="154"/>
      <c r="R406" s="154"/>
      <c r="S406" s="154"/>
      <c r="T406" s="154"/>
      <c r="U406" s="154"/>
      <c r="V406" s="154"/>
      <c r="W406" s="154"/>
      <c r="X406" s="154"/>
      <c r="Y406" s="154"/>
      <c r="Z406" s="154"/>
      <c r="AA406" s="154"/>
    </row>
    <row r="407" spans="1:27" ht="15">
      <c r="A407" s="180">
        <v>45836</v>
      </c>
      <c r="B407" s="181" t="s">
        <v>12969</v>
      </c>
      <c r="C407" s="182" t="s">
        <v>115</v>
      </c>
      <c r="D407" s="182">
        <v>40266</v>
      </c>
      <c r="E407" s="183">
        <v>53</v>
      </c>
      <c r="F407" s="183">
        <v>2883</v>
      </c>
      <c r="G407" s="184">
        <v>6</v>
      </c>
      <c r="H407" s="158"/>
      <c r="I407" s="154"/>
      <c r="J407" s="154"/>
      <c r="K407" s="154"/>
      <c r="L407" s="154"/>
      <c r="M407" s="154"/>
      <c r="N407" s="154"/>
      <c r="O407" s="154"/>
      <c r="P407" s="154"/>
      <c r="Q407" s="154"/>
      <c r="R407" s="154"/>
      <c r="S407" s="154"/>
      <c r="T407" s="154"/>
      <c r="U407" s="154"/>
      <c r="V407" s="154"/>
      <c r="W407" s="154"/>
      <c r="X407" s="154"/>
      <c r="Y407" s="154"/>
      <c r="Z407" s="154"/>
      <c r="AA407" s="154"/>
    </row>
    <row r="408" spans="1:27" ht="15">
      <c r="A408" s="180">
        <v>45836</v>
      </c>
      <c r="B408" s="181" t="s">
        <v>12970</v>
      </c>
      <c r="C408" s="182" t="s">
        <v>115</v>
      </c>
      <c r="D408" s="182">
        <v>55798</v>
      </c>
      <c r="E408" s="183">
        <v>54</v>
      </c>
      <c r="F408" s="183">
        <v>2906</v>
      </c>
      <c r="G408" s="184">
        <v>10</v>
      </c>
      <c r="H408" s="158"/>
      <c r="I408" s="154"/>
      <c r="J408" s="154"/>
      <c r="K408" s="154"/>
      <c r="L408" s="154"/>
      <c r="M408" s="154"/>
      <c r="N408" s="154"/>
      <c r="O408" s="154"/>
      <c r="P408" s="154"/>
      <c r="Q408" s="154"/>
      <c r="R408" s="154"/>
      <c r="S408" s="154"/>
      <c r="T408" s="154"/>
      <c r="U408" s="154"/>
      <c r="V408" s="154"/>
      <c r="W408" s="154"/>
      <c r="X408" s="154"/>
      <c r="Y408" s="154"/>
      <c r="Z408" s="154"/>
      <c r="AA408" s="154"/>
    </row>
    <row r="409" spans="1:27" ht="15">
      <c r="A409" s="180">
        <v>45836</v>
      </c>
      <c r="B409" s="181" t="s">
        <v>12971</v>
      </c>
      <c r="C409" s="182" t="s">
        <v>115</v>
      </c>
      <c r="D409" s="182">
        <v>14664</v>
      </c>
      <c r="E409" s="183">
        <v>12</v>
      </c>
      <c r="F409" s="183">
        <v>998</v>
      </c>
      <c r="G409" s="184">
        <v>0</v>
      </c>
      <c r="H409" s="158"/>
      <c r="I409" s="154"/>
      <c r="J409" s="154"/>
      <c r="K409" s="154"/>
      <c r="L409" s="154"/>
      <c r="M409" s="154"/>
      <c r="N409" s="154"/>
      <c r="O409" s="154"/>
      <c r="P409" s="154"/>
      <c r="Q409" s="154"/>
      <c r="R409" s="154"/>
      <c r="S409" s="154"/>
      <c r="T409" s="154"/>
      <c r="U409" s="154"/>
      <c r="V409" s="154"/>
      <c r="W409" s="154"/>
      <c r="X409" s="154"/>
      <c r="Y409" s="154"/>
      <c r="Z409" s="154"/>
      <c r="AA409" s="154"/>
    </row>
    <row r="410" spans="1:27" ht="15">
      <c r="A410" s="180">
        <v>45836</v>
      </c>
      <c r="B410" s="181" t="s">
        <v>12963</v>
      </c>
      <c r="C410" s="182" t="s">
        <v>61</v>
      </c>
      <c r="D410" s="182">
        <v>16998</v>
      </c>
      <c r="E410" s="183">
        <v>21</v>
      </c>
      <c r="F410" s="183">
        <v>1217</v>
      </c>
      <c r="G410" s="184">
        <v>1</v>
      </c>
      <c r="H410" s="158"/>
      <c r="I410" s="154"/>
      <c r="J410" s="154"/>
      <c r="K410" s="154"/>
      <c r="L410" s="154"/>
      <c r="M410" s="154"/>
      <c r="N410" s="154"/>
      <c r="O410" s="154"/>
      <c r="P410" s="154"/>
      <c r="Q410" s="154"/>
      <c r="R410" s="154"/>
      <c r="S410" s="154"/>
      <c r="T410" s="154"/>
      <c r="U410" s="154"/>
      <c r="V410" s="154"/>
      <c r="W410" s="154"/>
      <c r="X410" s="154"/>
      <c r="Y410" s="154"/>
      <c r="Z410" s="154"/>
      <c r="AA410" s="154"/>
    </row>
    <row r="411" spans="1:27" ht="15">
      <c r="A411" s="180">
        <v>45836</v>
      </c>
      <c r="B411" s="181" t="s">
        <v>12964</v>
      </c>
      <c r="C411" s="182" t="s">
        <v>61</v>
      </c>
      <c r="D411" s="182">
        <v>38443</v>
      </c>
      <c r="E411" s="183">
        <v>47</v>
      </c>
      <c r="F411" s="183">
        <v>2247</v>
      </c>
      <c r="G411" s="184">
        <v>1</v>
      </c>
      <c r="H411" s="158"/>
      <c r="I411" s="154"/>
      <c r="J411" s="154"/>
      <c r="K411" s="154"/>
      <c r="L411" s="154"/>
      <c r="M411" s="154"/>
      <c r="N411" s="154"/>
      <c r="O411" s="154"/>
      <c r="P411" s="154"/>
      <c r="Q411" s="154"/>
      <c r="R411" s="154"/>
      <c r="S411" s="154"/>
      <c r="T411" s="154"/>
      <c r="U411" s="154"/>
      <c r="V411" s="154"/>
      <c r="W411" s="154"/>
      <c r="X411" s="154"/>
      <c r="Y411" s="154"/>
      <c r="Z411" s="154"/>
      <c r="AA411" s="154"/>
    </row>
    <row r="412" spans="1:27" ht="15">
      <c r="A412" s="180">
        <v>45836</v>
      </c>
      <c r="B412" s="181" t="s">
        <v>12965</v>
      </c>
      <c r="C412" s="182" t="s">
        <v>49</v>
      </c>
      <c r="D412" s="182">
        <v>61012</v>
      </c>
      <c r="E412" s="183">
        <v>79</v>
      </c>
      <c r="F412" s="183">
        <v>5615</v>
      </c>
      <c r="G412" s="184">
        <v>17</v>
      </c>
      <c r="H412" s="158"/>
      <c r="I412" s="154"/>
      <c r="J412" s="154"/>
      <c r="K412" s="154"/>
      <c r="L412" s="154"/>
      <c r="M412" s="154"/>
      <c r="N412" s="154"/>
      <c r="O412" s="154"/>
      <c r="P412" s="154"/>
      <c r="Q412" s="154"/>
      <c r="R412" s="154"/>
      <c r="S412" s="154"/>
      <c r="T412" s="154"/>
      <c r="U412" s="154"/>
      <c r="V412" s="154"/>
      <c r="W412" s="154"/>
      <c r="X412" s="154"/>
      <c r="Y412" s="154"/>
      <c r="Z412" s="154"/>
      <c r="AA412" s="154"/>
    </row>
    <row r="413" spans="1:27" ht="15">
      <c r="A413" s="180">
        <v>45836</v>
      </c>
      <c r="B413" s="181" t="s">
        <v>12966</v>
      </c>
      <c r="C413" s="182" t="s">
        <v>49</v>
      </c>
      <c r="D413" s="182">
        <v>63367</v>
      </c>
      <c r="E413" s="183">
        <v>89</v>
      </c>
      <c r="F413" s="183">
        <v>6043</v>
      </c>
      <c r="G413" s="184">
        <v>9</v>
      </c>
      <c r="H413" s="158"/>
      <c r="I413" s="154"/>
      <c r="J413" s="154"/>
      <c r="K413" s="154"/>
      <c r="L413" s="154"/>
      <c r="M413" s="154"/>
      <c r="N413" s="154"/>
      <c r="O413" s="154"/>
      <c r="P413" s="154"/>
      <c r="Q413" s="154"/>
      <c r="R413" s="154"/>
      <c r="S413" s="154"/>
      <c r="T413" s="154"/>
      <c r="U413" s="154"/>
      <c r="V413" s="154"/>
      <c r="W413" s="154"/>
      <c r="X413" s="154"/>
      <c r="Y413" s="154"/>
      <c r="Z413" s="154"/>
      <c r="AA413" s="154"/>
    </row>
    <row r="414" spans="1:27" ht="15">
      <c r="A414" s="180">
        <v>45836</v>
      </c>
      <c r="B414" s="181" t="s">
        <v>12967</v>
      </c>
      <c r="C414" s="182" t="s">
        <v>49</v>
      </c>
      <c r="D414" s="182">
        <v>114323</v>
      </c>
      <c r="E414" s="183">
        <v>125</v>
      </c>
      <c r="F414" s="183">
        <v>8015</v>
      </c>
      <c r="G414" s="184">
        <v>32</v>
      </c>
      <c r="H414" s="158"/>
      <c r="I414" s="154"/>
      <c r="J414" s="154"/>
      <c r="K414" s="154"/>
      <c r="L414" s="154"/>
      <c r="M414" s="154"/>
      <c r="N414" s="154"/>
      <c r="O414" s="154"/>
      <c r="P414" s="154"/>
      <c r="Q414" s="154"/>
      <c r="R414" s="154"/>
      <c r="S414" s="154"/>
      <c r="T414" s="154"/>
      <c r="U414" s="154"/>
      <c r="V414" s="154"/>
      <c r="W414" s="154"/>
      <c r="X414" s="154"/>
      <c r="Y414" s="154"/>
      <c r="Z414" s="154"/>
      <c r="AA414" s="154"/>
    </row>
    <row r="415" spans="1:27" ht="15">
      <c r="A415" s="180">
        <v>45836</v>
      </c>
      <c r="B415" s="181" t="s">
        <v>12968</v>
      </c>
      <c r="C415" s="182" t="s">
        <v>61</v>
      </c>
      <c r="D415" s="182">
        <v>24259</v>
      </c>
      <c r="E415" s="183">
        <v>17</v>
      </c>
      <c r="F415" s="183">
        <v>1551</v>
      </c>
      <c r="G415" s="184">
        <v>2</v>
      </c>
      <c r="H415" s="158"/>
      <c r="I415" s="154"/>
      <c r="J415" s="154"/>
      <c r="K415" s="154"/>
      <c r="L415" s="154"/>
      <c r="M415" s="154"/>
      <c r="N415" s="154"/>
      <c r="O415" s="154"/>
      <c r="P415" s="154"/>
      <c r="Q415" s="154"/>
      <c r="R415" s="154"/>
      <c r="S415" s="154"/>
      <c r="T415" s="154"/>
      <c r="U415" s="154"/>
      <c r="V415" s="154"/>
      <c r="W415" s="154"/>
      <c r="X415" s="154"/>
      <c r="Y415" s="154"/>
      <c r="Z415" s="154"/>
      <c r="AA415" s="154"/>
    </row>
    <row r="416" spans="1:27" ht="15">
      <c r="A416" s="180">
        <v>45837</v>
      </c>
      <c r="B416" s="181" t="s">
        <v>12997</v>
      </c>
      <c r="C416" s="182" t="s">
        <v>49</v>
      </c>
      <c r="D416" s="182">
        <v>110</v>
      </c>
      <c r="E416" s="183">
        <v>0</v>
      </c>
      <c r="F416" s="183">
        <v>4</v>
      </c>
      <c r="G416" s="184">
        <v>1</v>
      </c>
      <c r="H416" s="158"/>
      <c r="I416" s="154"/>
      <c r="J416" s="154"/>
      <c r="K416" s="154"/>
      <c r="L416" s="154"/>
      <c r="M416" s="154"/>
      <c r="N416" s="154"/>
      <c r="O416" s="154"/>
      <c r="P416" s="154"/>
      <c r="Q416" s="154"/>
      <c r="R416" s="154"/>
      <c r="S416" s="154"/>
      <c r="T416" s="154"/>
      <c r="U416" s="154"/>
      <c r="V416" s="154"/>
      <c r="W416" s="154"/>
      <c r="X416" s="154"/>
      <c r="Y416" s="154"/>
      <c r="Z416" s="154"/>
      <c r="AA416" s="154"/>
    </row>
    <row r="417" spans="1:27" ht="15">
      <c r="A417" s="180">
        <v>45837</v>
      </c>
      <c r="B417" s="181" t="s">
        <v>12992</v>
      </c>
      <c r="C417" s="182" t="s">
        <v>115</v>
      </c>
      <c r="D417" s="182">
        <v>65</v>
      </c>
      <c r="E417" s="183">
        <v>0</v>
      </c>
      <c r="F417" s="183">
        <v>8</v>
      </c>
      <c r="G417" s="184">
        <v>0</v>
      </c>
      <c r="H417" s="158"/>
      <c r="I417" s="154"/>
      <c r="J417" s="154"/>
      <c r="K417" s="154"/>
      <c r="L417" s="154"/>
      <c r="M417" s="154"/>
      <c r="N417" s="154"/>
      <c r="O417" s="154"/>
      <c r="P417" s="154"/>
      <c r="Q417" s="154"/>
      <c r="R417" s="154"/>
      <c r="S417" s="154"/>
      <c r="T417" s="154"/>
      <c r="U417" s="154"/>
      <c r="V417" s="154"/>
      <c r="W417" s="154"/>
      <c r="X417" s="154"/>
      <c r="Y417" s="154"/>
      <c r="Z417" s="154"/>
      <c r="AA417" s="154"/>
    </row>
    <row r="418" spans="1:27" ht="15">
      <c r="A418" s="180">
        <v>45837</v>
      </c>
      <c r="B418" s="181" t="s">
        <v>12993</v>
      </c>
      <c r="C418" s="182" t="s">
        <v>49</v>
      </c>
      <c r="D418" s="182">
        <v>479</v>
      </c>
      <c r="E418" s="183">
        <v>0</v>
      </c>
      <c r="F418" s="183">
        <v>22</v>
      </c>
      <c r="G418" s="184">
        <v>0</v>
      </c>
      <c r="H418" s="158"/>
      <c r="I418" s="154"/>
      <c r="J418" s="154"/>
      <c r="K418" s="154"/>
      <c r="L418" s="154"/>
      <c r="M418" s="154"/>
      <c r="N418" s="154"/>
      <c r="O418" s="154"/>
      <c r="P418" s="154"/>
      <c r="Q418" s="154"/>
      <c r="R418" s="154"/>
      <c r="S418" s="154"/>
      <c r="T418" s="154"/>
      <c r="U418" s="154"/>
      <c r="V418" s="154"/>
      <c r="W418" s="154"/>
      <c r="X418" s="154"/>
      <c r="Y418" s="154"/>
      <c r="Z418" s="154"/>
      <c r="AA418" s="154"/>
    </row>
    <row r="419" spans="1:27" ht="15">
      <c r="A419" s="180">
        <v>45837</v>
      </c>
      <c r="B419" s="181" t="s">
        <v>12994</v>
      </c>
      <c r="C419" s="182" t="s">
        <v>61</v>
      </c>
      <c r="D419" s="182">
        <v>19</v>
      </c>
      <c r="E419" s="183">
        <v>0</v>
      </c>
      <c r="F419" s="183">
        <v>2</v>
      </c>
      <c r="G419" s="184">
        <v>0</v>
      </c>
      <c r="H419" s="158"/>
      <c r="I419" s="154"/>
      <c r="J419" s="154"/>
      <c r="K419" s="154"/>
      <c r="L419" s="154"/>
      <c r="M419" s="154"/>
      <c r="N419" s="154"/>
      <c r="O419" s="154"/>
      <c r="P419" s="154"/>
      <c r="Q419" s="154"/>
      <c r="R419" s="154"/>
      <c r="S419" s="154"/>
      <c r="T419" s="154"/>
      <c r="U419" s="154"/>
      <c r="V419" s="154"/>
      <c r="W419" s="154"/>
      <c r="X419" s="154"/>
      <c r="Y419" s="154"/>
      <c r="Z419" s="154"/>
      <c r="AA419" s="154"/>
    </row>
    <row r="420" spans="1:27" ht="15">
      <c r="A420" s="180">
        <v>45837</v>
      </c>
      <c r="B420" s="181" t="s">
        <v>12981</v>
      </c>
      <c r="C420" s="182" t="s">
        <v>115</v>
      </c>
      <c r="D420" s="182">
        <v>178</v>
      </c>
      <c r="E420" s="183">
        <v>1</v>
      </c>
      <c r="F420" s="183">
        <v>11</v>
      </c>
      <c r="G420" s="184">
        <v>0</v>
      </c>
      <c r="H420" s="158"/>
      <c r="I420" s="154"/>
      <c r="J420" s="154"/>
      <c r="K420" s="154"/>
      <c r="L420" s="154"/>
      <c r="M420" s="154"/>
      <c r="N420" s="154"/>
      <c r="O420" s="154"/>
      <c r="P420" s="154"/>
      <c r="Q420" s="154"/>
      <c r="R420" s="154"/>
      <c r="S420" s="154"/>
      <c r="T420" s="154"/>
      <c r="U420" s="154"/>
      <c r="V420" s="154"/>
      <c r="W420" s="154"/>
      <c r="X420" s="154"/>
      <c r="Y420" s="154"/>
      <c r="Z420" s="154"/>
      <c r="AA420" s="154"/>
    </row>
    <row r="421" spans="1:27" ht="15">
      <c r="A421" s="180">
        <v>45837</v>
      </c>
      <c r="B421" s="181" t="s">
        <v>12983</v>
      </c>
      <c r="C421" s="182" t="s">
        <v>61</v>
      </c>
      <c r="D421" s="182">
        <v>8</v>
      </c>
      <c r="E421" s="183">
        <v>0</v>
      </c>
      <c r="F421" s="183">
        <v>1</v>
      </c>
      <c r="G421" s="184">
        <v>0</v>
      </c>
      <c r="H421" s="158"/>
      <c r="I421" s="154"/>
      <c r="J421" s="154"/>
      <c r="K421" s="154"/>
      <c r="L421" s="154"/>
      <c r="M421" s="154"/>
      <c r="N421" s="154"/>
      <c r="O421" s="154"/>
      <c r="P421" s="154"/>
      <c r="Q421" s="154"/>
      <c r="R421" s="154"/>
      <c r="S421" s="154"/>
      <c r="T421" s="154"/>
      <c r="U421" s="154"/>
      <c r="V421" s="154"/>
      <c r="W421" s="154"/>
      <c r="X421" s="154"/>
      <c r="Y421" s="154"/>
      <c r="Z421" s="154"/>
      <c r="AA421" s="154"/>
    </row>
    <row r="422" spans="1:27" ht="15">
      <c r="A422" s="180">
        <v>45837</v>
      </c>
      <c r="B422" s="181" t="s">
        <v>12969</v>
      </c>
      <c r="C422" s="182" t="s">
        <v>115</v>
      </c>
      <c r="D422" s="182">
        <v>137</v>
      </c>
      <c r="E422" s="183">
        <v>0</v>
      </c>
      <c r="F422" s="183">
        <v>7</v>
      </c>
      <c r="G422" s="184">
        <v>0</v>
      </c>
      <c r="H422" s="158"/>
      <c r="I422" s="154"/>
      <c r="J422" s="154"/>
      <c r="K422" s="154"/>
      <c r="L422" s="154"/>
      <c r="M422" s="154"/>
      <c r="N422" s="154"/>
      <c r="O422" s="154"/>
      <c r="P422" s="154"/>
      <c r="Q422" s="154"/>
      <c r="R422" s="154"/>
      <c r="S422" s="154"/>
      <c r="T422" s="154"/>
      <c r="U422" s="154"/>
      <c r="V422" s="154"/>
      <c r="W422" s="154"/>
      <c r="X422" s="154"/>
      <c r="Y422" s="154"/>
      <c r="Z422" s="154"/>
      <c r="AA422" s="154"/>
    </row>
    <row r="423" spans="1:27" ht="15">
      <c r="A423" s="180">
        <v>45837</v>
      </c>
      <c r="B423" s="181" t="s">
        <v>12970</v>
      </c>
      <c r="C423" s="182" t="s">
        <v>115</v>
      </c>
      <c r="D423" s="182">
        <v>1664</v>
      </c>
      <c r="E423" s="183">
        <v>0</v>
      </c>
      <c r="F423" s="183">
        <v>73</v>
      </c>
      <c r="G423" s="184">
        <v>0</v>
      </c>
      <c r="H423" s="158"/>
      <c r="I423" s="154"/>
      <c r="J423" s="154"/>
      <c r="K423" s="154"/>
      <c r="L423" s="154"/>
      <c r="M423" s="154"/>
      <c r="N423" s="154"/>
      <c r="O423" s="154"/>
      <c r="P423" s="154"/>
      <c r="Q423" s="154"/>
      <c r="R423" s="154"/>
      <c r="S423" s="154"/>
      <c r="T423" s="154"/>
      <c r="U423" s="154"/>
      <c r="V423" s="154"/>
      <c r="W423" s="154"/>
      <c r="X423" s="154"/>
      <c r="Y423" s="154"/>
      <c r="Z423" s="154"/>
      <c r="AA423" s="154"/>
    </row>
    <row r="424" spans="1:27" ht="15">
      <c r="A424" s="180">
        <v>45837</v>
      </c>
      <c r="B424" s="181" t="s">
        <v>12963</v>
      </c>
      <c r="C424" s="182" t="s">
        <v>61</v>
      </c>
      <c r="D424" s="182">
        <v>59</v>
      </c>
      <c r="E424" s="183">
        <v>0</v>
      </c>
      <c r="F424" s="183">
        <v>7</v>
      </c>
      <c r="G424" s="184">
        <v>0</v>
      </c>
      <c r="H424" s="158"/>
      <c r="I424" s="154"/>
      <c r="J424" s="154"/>
      <c r="K424" s="154"/>
      <c r="L424" s="154"/>
      <c r="M424" s="154"/>
      <c r="N424" s="154"/>
      <c r="O424" s="154"/>
      <c r="P424" s="154"/>
      <c r="Q424" s="154"/>
      <c r="R424" s="154"/>
      <c r="S424" s="154"/>
      <c r="T424" s="154"/>
      <c r="U424" s="154"/>
      <c r="V424" s="154"/>
      <c r="W424" s="154"/>
      <c r="X424" s="154"/>
      <c r="Y424" s="154"/>
      <c r="Z424" s="154"/>
      <c r="AA424" s="154"/>
    </row>
    <row r="425" spans="1:27" ht="15">
      <c r="A425" s="180">
        <v>45837</v>
      </c>
      <c r="B425" s="181" t="s">
        <v>12964</v>
      </c>
      <c r="C425" s="182" t="s">
        <v>61</v>
      </c>
      <c r="D425" s="182">
        <v>284</v>
      </c>
      <c r="E425" s="183">
        <v>1</v>
      </c>
      <c r="F425" s="183">
        <v>13</v>
      </c>
      <c r="G425" s="184">
        <v>2</v>
      </c>
      <c r="H425" s="158"/>
      <c r="I425" s="154"/>
      <c r="J425" s="154"/>
      <c r="K425" s="154"/>
      <c r="L425" s="154"/>
      <c r="M425" s="154"/>
      <c r="N425" s="154"/>
      <c r="O425" s="154"/>
      <c r="P425" s="154"/>
      <c r="Q425" s="154"/>
      <c r="R425" s="154"/>
      <c r="S425" s="154"/>
      <c r="T425" s="154"/>
      <c r="U425" s="154"/>
      <c r="V425" s="154"/>
      <c r="W425" s="154"/>
      <c r="X425" s="154"/>
      <c r="Y425" s="154"/>
      <c r="Z425" s="154"/>
      <c r="AA425" s="154"/>
    </row>
    <row r="426" spans="1:27" ht="15">
      <c r="A426" s="180">
        <v>45837</v>
      </c>
      <c r="B426" s="181" t="s">
        <v>12965</v>
      </c>
      <c r="C426" s="182" t="s">
        <v>49</v>
      </c>
      <c r="D426" s="182">
        <v>45</v>
      </c>
      <c r="E426" s="183">
        <v>0</v>
      </c>
      <c r="F426" s="183">
        <v>8</v>
      </c>
      <c r="G426" s="184">
        <v>0</v>
      </c>
      <c r="H426" s="158"/>
      <c r="I426" s="154"/>
      <c r="J426" s="154"/>
      <c r="K426" s="154"/>
      <c r="L426" s="154"/>
      <c r="M426" s="154"/>
      <c r="N426" s="154"/>
      <c r="O426" s="154"/>
      <c r="P426" s="154"/>
      <c r="Q426" s="154"/>
      <c r="R426" s="154"/>
      <c r="S426" s="154"/>
      <c r="T426" s="154"/>
      <c r="U426" s="154"/>
      <c r="V426" s="154"/>
      <c r="W426" s="154"/>
      <c r="X426" s="154"/>
      <c r="Y426" s="154"/>
      <c r="Z426" s="154"/>
      <c r="AA426" s="154"/>
    </row>
    <row r="427" spans="1:27" ht="15">
      <c r="A427" s="180">
        <v>45837</v>
      </c>
      <c r="B427" s="181" t="s">
        <v>12966</v>
      </c>
      <c r="C427" s="182" t="s">
        <v>49</v>
      </c>
      <c r="D427" s="182">
        <v>176</v>
      </c>
      <c r="E427" s="183">
        <v>0</v>
      </c>
      <c r="F427" s="183">
        <v>20</v>
      </c>
      <c r="G427" s="184">
        <v>0</v>
      </c>
      <c r="H427" s="158"/>
      <c r="I427" s="154"/>
      <c r="J427" s="154"/>
      <c r="K427" s="154"/>
      <c r="L427" s="154"/>
      <c r="M427" s="154"/>
      <c r="N427" s="154"/>
      <c r="O427" s="154"/>
      <c r="P427" s="154"/>
      <c r="Q427" s="154"/>
      <c r="R427" s="154"/>
      <c r="S427" s="154"/>
      <c r="T427" s="154"/>
      <c r="U427" s="154"/>
      <c r="V427" s="154"/>
      <c r="W427" s="154"/>
      <c r="X427" s="154"/>
      <c r="Y427" s="154"/>
      <c r="Z427" s="154"/>
      <c r="AA427" s="154"/>
    </row>
    <row r="428" spans="1:27" ht="15">
      <c r="A428" s="180">
        <v>45837</v>
      </c>
      <c r="B428" s="181" t="s">
        <v>12967</v>
      </c>
      <c r="C428" s="182" t="s">
        <v>49</v>
      </c>
      <c r="D428" s="182">
        <v>2751</v>
      </c>
      <c r="E428" s="183">
        <v>0</v>
      </c>
      <c r="F428" s="183">
        <v>146</v>
      </c>
      <c r="G428" s="184">
        <v>0</v>
      </c>
      <c r="H428" s="158"/>
      <c r="I428" s="154"/>
      <c r="J428" s="154"/>
      <c r="K428" s="154"/>
      <c r="L428" s="154"/>
      <c r="M428" s="154"/>
      <c r="N428" s="154"/>
      <c r="O428" s="154"/>
      <c r="P428" s="154"/>
      <c r="Q428" s="154"/>
      <c r="R428" s="154"/>
      <c r="S428" s="154"/>
      <c r="T428" s="154"/>
      <c r="U428" s="154"/>
      <c r="V428" s="154"/>
      <c r="W428" s="154"/>
      <c r="X428" s="154"/>
      <c r="Y428" s="154"/>
      <c r="Z428" s="154"/>
      <c r="AA428" s="154"/>
    </row>
    <row r="429" spans="1:27" ht="15">
      <c r="A429" s="180">
        <v>45837</v>
      </c>
      <c r="B429" s="181" t="s">
        <v>12968</v>
      </c>
      <c r="C429" s="182" t="s">
        <v>61</v>
      </c>
      <c r="D429" s="182">
        <v>138</v>
      </c>
      <c r="E429" s="183">
        <v>1</v>
      </c>
      <c r="F429" s="183">
        <v>13</v>
      </c>
      <c r="G429" s="184">
        <v>1</v>
      </c>
      <c r="H429" s="158"/>
      <c r="I429" s="154"/>
      <c r="J429" s="154"/>
      <c r="K429" s="154"/>
      <c r="L429" s="154"/>
      <c r="M429" s="154"/>
      <c r="N429" s="154"/>
      <c r="O429" s="154"/>
      <c r="P429" s="154"/>
      <c r="Q429" s="154"/>
      <c r="R429" s="154"/>
      <c r="S429" s="154"/>
      <c r="T429" s="154"/>
      <c r="U429" s="154"/>
      <c r="V429" s="154"/>
      <c r="W429" s="154"/>
      <c r="X429" s="154"/>
      <c r="Y429" s="154"/>
      <c r="Z429" s="154"/>
      <c r="AA429" s="154"/>
    </row>
    <row r="430" spans="1:27" ht="15">
      <c r="A430" s="180">
        <v>45838</v>
      </c>
      <c r="B430" s="181" t="s">
        <v>12992</v>
      </c>
      <c r="C430" s="182" t="s">
        <v>115</v>
      </c>
      <c r="D430" s="182">
        <v>52738</v>
      </c>
      <c r="E430" s="183">
        <v>91</v>
      </c>
      <c r="F430" s="183">
        <v>5662</v>
      </c>
      <c r="G430" s="184">
        <v>16</v>
      </c>
      <c r="H430" s="158"/>
      <c r="I430" s="154"/>
      <c r="J430" s="154"/>
      <c r="K430" s="154"/>
      <c r="L430" s="154"/>
      <c r="M430" s="154"/>
      <c r="N430" s="154"/>
      <c r="O430" s="154"/>
      <c r="P430" s="154"/>
      <c r="Q430" s="154"/>
      <c r="R430" s="154"/>
      <c r="S430" s="154"/>
      <c r="T430" s="154"/>
      <c r="U430" s="154"/>
      <c r="V430" s="154"/>
      <c r="W430" s="154"/>
      <c r="X430" s="154"/>
      <c r="Y430" s="154"/>
      <c r="Z430" s="154"/>
      <c r="AA430" s="154"/>
    </row>
    <row r="431" spans="1:27" ht="15">
      <c r="A431" s="180">
        <v>45838</v>
      </c>
      <c r="B431" s="181" t="s">
        <v>12993</v>
      </c>
      <c r="C431" s="182" t="s">
        <v>49</v>
      </c>
      <c r="D431" s="182">
        <v>3212</v>
      </c>
      <c r="E431" s="183">
        <v>5</v>
      </c>
      <c r="F431" s="183">
        <v>147</v>
      </c>
      <c r="G431" s="184">
        <v>0</v>
      </c>
      <c r="H431" s="158"/>
      <c r="I431" s="154"/>
      <c r="J431" s="154"/>
      <c r="K431" s="154"/>
      <c r="L431" s="154"/>
      <c r="M431" s="154"/>
      <c r="N431" s="154"/>
      <c r="O431" s="154"/>
      <c r="P431" s="154"/>
      <c r="Q431" s="154"/>
      <c r="R431" s="154"/>
      <c r="S431" s="154"/>
      <c r="T431" s="154"/>
      <c r="U431" s="154"/>
      <c r="V431" s="154"/>
      <c r="W431" s="154"/>
      <c r="X431" s="154"/>
      <c r="Y431" s="154"/>
      <c r="Z431" s="154"/>
      <c r="AA431" s="154"/>
    </row>
    <row r="432" spans="1:27" ht="15">
      <c r="A432" s="180">
        <v>45838</v>
      </c>
      <c r="B432" s="181" t="s">
        <v>12994</v>
      </c>
      <c r="C432" s="182" t="s">
        <v>61</v>
      </c>
      <c r="D432" s="182">
        <v>15019</v>
      </c>
      <c r="E432" s="183">
        <v>18</v>
      </c>
      <c r="F432" s="183">
        <v>942</v>
      </c>
      <c r="G432" s="184">
        <v>4</v>
      </c>
      <c r="H432" s="158"/>
      <c r="I432" s="154"/>
      <c r="J432" s="154"/>
      <c r="K432" s="154"/>
      <c r="L432" s="154"/>
      <c r="M432" s="154"/>
      <c r="N432" s="154"/>
      <c r="O432" s="154"/>
      <c r="P432" s="154"/>
      <c r="Q432" s="154"/>
      <c r="R432" s="154"/>
      <c r="S432" s="154"/>
      <c r="T432" s="154"/>
      <c r="U432" s="154"/>
      <c r="V432" s="154"/>
      <c r="W432" s="154"/>
      <c r="X432" s="154"/>
      <c r="Y432" s="154"/>
      <c r="Z432" s="154"/>
      <c r="AA432" s="154"/>
    </row>
    <row r="433" spans="1:27" ht="15">
      <c r="A433" s="180">
        <v>45838</v>
      </c>
      <c r="B433" s="181" t="s">
        <v>12980</v>
      </c>
      <c r="C433" s="182" t="s">
        <v>115</v>
      </c>
      <c r="D433" s="182">
        <v>7048</v>
      </c>
      <c r="E433" s="183">
        <v>4</v>
      </c>
      <c r="F433" s="183">
        <v>335</v>
      </c>
      <c r="G433" s="184">
        <v>0</v>
      </c>
      <c r="H433" s="158"/>
      <c r="I433" s="154"/>
      <c r="J433" s="154"/>
      <c r="K433" s="154"/>
      <c r="L433" s="154"/>
      <c r="M433" s="154"/>
      <c r="N433" s="154"/>
      <c r="O433" s="154"/>
      <c r="P433" s="154"/>
      <c r="Q433" s="154"/>
      <c r="R433" s="154"/>
      <c r="S433" s="154"/>
      <c r="T433" s="154"/>
      <c r="U433" s="154"/>
      <c r="V433" s="154"/>
      <c r="W433" s="154"/>
      <c r="X433" s="154"/>
      <c r="Y433" s="154"/>
      <c r="Z433" s="154"/>
      <c r="AA433" s="154"/>
    </row>
    <row r="434" spans="1:27" ht="15">
      <c r="A434" s="180">
        <v>45838</v>
      </c>
      <c r="B434" s="181" t="s">
        <v>12981</v>
      </c>
      <c r="C434" s="182" t="s">
        <v>115</v>
      </c>
      <c r="D434" s="182">
        <v>7303</v>
      </c>
      <c r="E434" s="183">
        <v>6</v>
      </c>
      <c r="F434" s="183">
        <v>462</v>
      </c>
      <c r="G434" s="184">
        <v>0</v>
      </c>
      <c r="H434" s="158"/>
      <c r="I434" s="154"/>
      <c r="J434" s="154"/>
      <c r="K434" s="154"/>
      <c r="L434" s="154"/>
      <c r="M434" s="154"/>
      <c r="N434" s="154"/>
      <c r="O434" s="154"/>
      <c r="P434" s="154"/>
      <c r="Q434" s="154"/>
      <c r="R434" s="154"/>
      <c r="S434" s="154"/>
      <c r="T434" s="154"/>
      <c r="U434" s="154"/>
      <c r="V434" s="154"/>
      <c r="W434" s="154"/>
      <c r="X434" s="154"/>
      <c r="Y434" s="154"/>
      <c r="Z434" s="154"/>
      <c r="AA434" s="154"/>
    </row>
    <row r="435" spans="1:27" ht="15">
      <c r="A435" s="180">
        <v>45838</v>
      </c>
      <c r="B435" s="181" t="s">
        <v>12982</v>
      </c>
      <c r="C435" s="182" t="s">
        <v>61</v>
      </c>
      <c r="D435" s="182">
        <v>55267</v>
      </c>
      <c r="E435" s="183">
        <v>77</v>
      </c>
      <c r="F435" s="183">
        <v>4921</v>
      </c>
      <c r="G435" s="184">
        <v>12</v>
      </c>
      <c r="H435" s="158"/>
      <c r="I435" s="154"/>
      <c r="J435" s="154"/>
      <c r="K435" s="154"/>
      <c r="L435" s="154"/>
      <c r="M435" s="154"/>
      <c r="N435" s="154"/>
      <c r="O435" s="154"/>
      <c r="P435" s="154"/>
      <c r="Q435" s="154"/>
      <c r="R435" s="154"/>
      <c r="S435" s="154"/>
      <c r="T435" s="154"/>
      <c r="U435" s="154"/>
      <c r="V435" s="154"/>
      <c r="W435" s="154"/>
      <c r="X435" s="154"/>
      <c r="Y435" s="154"/>
      <c r="Z435" s="154"/>
      <c r="AA435" s="154"/>
    </row>
    <row r="436" spans="1:27" ht="15">
      <c r="A436" s="180">
        <v>45838</v>
      </c>
      <c r="B436" s="181" t="s">
        <v>12983</v>
      </c>
      <c r="C436" s="182" t="s">
        <v>61</v>
      </c>
      <c r="D436" s="182">
        <v>22220</v>
      </c>
      <c r="E436" s="183">
        <v>22</v>
      </c>
      <c r="F436" s="183">
        <v>877</v>
      </c>
      <c r="G436" s="184">
        <v>4</v>
      </c>
      <c r="H436" s="158"/>
      <c r="I436" s="154"/>
      <c r="J436" s="154"/>
      <c r="K436" s="154"/>
      <c r="L436" s="154"/>
      <c r="M436" s="154"/>
      <c r="N436" s="154"/>
      <c r="O436" s="154"/>
      <c r="P436" s="154"/>
      <c r="Q436" s="154"/>
      <c r="R436" s="154"/>
      <c r="S436" s="154"/>
      <c r="T436" s="154"/>
      <c r="U436" s="154"/>
      <c r="V436" s="154"/>
      <c r="W436" s="154"/>
      <c r="X436" s="154"/>
      <c r="Y436" s="154"/>
      <c r="Z436" s="154"/>
      <c r="AA436" s="154"/>
    </row>
    <row r="437" spans="1:27" ht="15">
      <c r="A437" s="180">
        <v>45838</v>
      </c>
      <c r="B437" s="181" t="s">
        <v>12969</v>
      </c>
      <c r="C437" s="182" t="s">
        <v>115</v>
      </c>
      <c r="D437" s="182">
        <v>11225</v>
      </c>
      <c r="E437" s="183">
        <v>11</v>
      </c>
      <c r="F437" s="183">
        <v>1092</v>
      </c>
      <c r="G437" s="184">
        <v>1</v>
      </c>
      <c r="H437" s="158"/>
      <c r="I437" s="154"/>
      <c r="J437" s="154"/>
      <c r="K437" s="154"/>
      <c r="L437" s="154"/>
      <c r="M437" s="154"/>
      <c r="N437" s="154"/>
      <c r="O437" s="154"/>
      <c r="P437" s="154"/>
      <c r="Q437" s="154"/>
      <c r="R437" s="154"/>
      <c r="S437" s="154"/>
      <c r="T437" s="154"/>
      <c r="U437" s="154"/>
      <c r="V437" s="154"/>
      <c r="W437" s="154"/>
      <c r="X437" s="154"/>
      <c r="Y437" s="154"/>
      <c r="Z437" s="154"/>
      <c r="AA437" s="154"/>
    </row>
    <row r="438" spans="1:27" ht="15">
      <c r="A438" s="180">
        <v>45838</v>
      </c>
      <c r="B438" s="181" t="s">
        <v>12970</v>
      </c>
      <c r="C438" s="182" t="s">
        <v>115</v>
      </c>
      <c r="D438" s="182">
        <v>6866</v>
      </c>
      <c r="E438" s="183">
        <v>12</v>
      </c>
      <c r="F438" s="183">
        <v>411</v>
      </c>
      <c r="G438" s="184">
        <v>1</v>
      </c>
      <c r="H438" s="158"/>
      <c r="I438" s="154"/>
      <c r="J438" s="154"/>
      <c r="K438" s="154"/>
      <c r="L438" s="154"/>
      <c r="M438" s="154"/>
      <c r="N438" s="154"/>
      <c r="O438" s="154"/>
      <c r="P438" s="154"/>
      <c r="Q438" s="154"/>
      <c r="R438" s="154"/>
      <c r="S438" s="154"/>
      <c r="T438" s="154"/>
      <c r="U438" s="154"/>
      <c r="V438" s="154"/>
      <c r="W438" s="154"/>
      <c r="X438" s="154"/>
      <c r="Y438" s="154"/>
      <c r="Z438" s="154"/>
      <c r="AA438" s="154"/>
    </row>
    <row r="439" spans="1:27" ht="15">
      <c r="A439" s="180">
        <v>45838</v>
      </c>
      <c r="B439" s="181" t="s">
        <v>12971</v>
      </c>
      <c r="C439" s="182" t="s">
        <v>115</v>
      </c>
      <c r="D439" s="182">
        <v>17486</v>
      </c>
      <c r="E439" s="183">
        <v>41</v>
      </c>
      <c r="F439" s="183">
        <v>1693</v>
      </c>
      <c r="G439" s="184">
        <v>4</v>
      </c>
      <c r="H439" s="158"/>
      <c r="I439" s="154"/>
      <c r="J439" s="154"/>
      <c r="K439" s="154"/>
      <c r="L439" s="154"/>
      <c r="M439" s="154"/>
      <c r="N439" s="154"/>
      <c r="O439" s="154"/>
      <c r="P439" s="154"/>
      <c r="Q439" s="154"/>
      <c r="R439" s="154"/>
      <c r="S439" s="154"/>
      <c r="T439" s="154"/>
      <c r="U439" s="154"/>
      <c r="V439" s="154"/>
      <c r="W439" s="154"/>
      <c r="X439" s="154"/>
      <c r="Y439" s="154"/>
      <c r="Z439" s="154"/>
      <c r="AA439" s="154"/>
    </row>
    <row r="440" spans="1:27" ht="15">
      <c r="A440" s="180">
        <v>45838</v>
      </c>
      <c r="B440" s="181" t="s">
        <v>12963</v>
      </c>
      <c r="C440" s="182" t="s">
        <v>61</v>
      </c>
      <c r="D440" s="182">
        <v>27702</v>
      </c>
      <c r="E440" s="183">
        <v>52</v>
      </c>
      <c r="F440" s="183">
        <v>2912</v>
      </c>
      <c r="G440" s="184">
        <v>8</v>
      </c>
      <c r="H440" s="158"/>
      <c r="I440" s="154"/>
      <c r="J440" s="154"/>
      <c r="K440" s="154"/>
      <c r="L440" s="154"/>
      <c r="M440" s="154"/>
      <c r="N440" s="154"/>
      <c r="O440" s="154"/>
      <c r="P440" s="154"/>
      <c r="Q440" s="154"/>
      <c r="R440" s="154"/>
      <c r="S440" s="154"/>
      <c r="T440" s="154"/>
      <c r="U440" s="154"/>
      <c r="V440" s="154"/>
      <c r="W440" s="154"/>
      <c r="X440" s="154"/>
      <c r="Y440" s="154"/>
      <c r="Z440" s="154"/>
      <c r="AA440" s="154"/>
    </row>
    <row r="441" spans="1:27" ht="15">
      <c r="A441" s="180">
        <v>45838</v>
      </c>
      <c r="B441" s="181" t="s">
        <v>12964</v>
      </c>
      <c r="C441" s="182" t="s">
        <v>61</v>
      </c>
      <c r="D441" s="182">
        <v>9705</v>
      </c>
      <c r="E441" s="183">
        <v>14</v>
      </c>
      <c r="F441" s="183">
        <v>525</v>
      </c>
      <c r="G441" s="184">
        <v>2</v>
      </c>
      <c r="H441" s="158"/>
      <c r="I441" s="154"/>
      <c r="J441" s="154"/>
      <c r="K441" s="154"/>
      <c r="L441" s="154"/>
      <c r="M441" s="154"/>
      <c r="N441" s="154"/>
      <c r="O441" s="154"/>
      <c r="P441" s="154"/>
      <c r="Q441" s="154"/>
      <c r="R441" s="154"/>
      <c r="S441" s="154"/>
      <c r="T441" s="154"/>
      <c r="U441" s="154"/>
      <c r="V441" s="154"/>
      <c r="W441" s="154"/>
      <c r="X441" s="154"/>
      <c r="Y441" s="154"/>
      <c r="Z441" s="154"/>
      <c r="AA441" s="154"/>
    </row>
    <row r="442" spans="1:27" ht="15">
      <c r="A442" s="180">
        <v>45838</v>
      </c>
      <c r="B442" s="181" t="s">
        <v>12965</v>
      </c>
      <c r="C442" s="182" t="s">
        <v>49</v>
      </c>
      <c r="D442" s="182">
        <v>6734</v>
      </c>
      <c r="E442" s="183">
        <v>10</v>
      </c>
      <c r="F442" s="183">
        <v>468</v>
      </c>
      <c r="G442" s="184">
        <v>0</v>
      </c>
      <c r="H442" s="158"/>
      <c r="I442" s="154"/>
      <c r="J442" s="154"/>
      <c r="K442" s="154"/>
      <c r="L442" s="154"/>
      <c r="M442" s="154"/>
      <c r="N442" s="154"/>
      <c r="O442" s="154"/>
      <c r="P442" s="154"/>
      <c r="Q442" s="154"/>
      <c r="R442" s="154"/>
      <c r="S442" s="154"/>
      <c r="T442" s="154"/>
      <c r="U442" s="154"/>
      <c r="V442" s="154"/>
      <c r="W442" s="154"/>
      <c r="X442" s="154"/>
      <c r="Y442" s="154"/>
      <c r="Z442" s="154"/>
      <c r="AA442" s="154"/>
    </row>
    <row r="443" spans="1:27" ht="15">
      <c r="A443" s="180">
        <v>45838</v>
      </c>
      <c r="B443" s="181" t="s">
        <v>12966</v>
      </c>
      <c r="C443" s="182" t="s">
        <v>49</v>
      </c>
      <c r="D443" s="182">
        <v>49419</v>
      </c>
      <c r="E443" s="183">
        <v>70</v>
      </c>
      <c r="F443" s="183">
        <v>3679</v>
      </c>
      <c r="G443" s="184">
        <v>8</v>
      </c>
      <c r="H443" s="158"/>
      <c r="I443" s="154"/>
      <c r="J443" s="154"/>
      <c r="K443" s="154"/>
      <c r="L443" s="154"/>
      <c r="M443" s="154"/>
      <c r="N443" s="154"/>
      <c r="O443" s="154"/>
      <c r="P443" s="154"/>
      <c r="Q443" s="154"/>
      <c r="R443" s="154"/>
      <c r="S443" s="154"/>
      <c r="T443" s="154"/>
      <c r="U443" s="154"/>
      <c r="V443" s="154"/>
      <c r="W443" s="154"/>
      <c r="X443" s="154"/>
      <c r="Y443" s="154"/>
      <c r="Z443" s="154"/>
      <c r="AA443" s="154"/>
    </row>
    <row r="444" spans="1:27" ht="15">
      <c r="A444" s="180">
        <v>45838</v>
      </c>
      <c r="B444" s="181" t="s">
        <v>12967</v>
      </c>
      <c r="C444" s="182" t="s">
        <v>49</v>
      </c>
      <c r="D444" s="182">
        <v>11307</v>
      </c>
      <c r="E444" s="183">
        <v>12</v>
      </c>
      <c r="F444" s="183">
        <v>870</v>
      </c>
      <c r="G444" s="184">
        <v>1</v>
      </c>
      <c r="H444" s="158"/>
      <c r="I444" s="154"/>
      <c r="J444" s="154"/>
      <c r="K444" s="154"/>
      <c r="L444" s="154"/>
      <c r="M444" s="154"/>
      <c r="N444" s="154"/>
      <c r="O444" s="154"/>
      <c r="P444" s="154"/>
      <c r="Q444" s="154"/>
      <c r="R444" s="154"/>
      <c r="S444" s="154"/>
      <c r="T444" s="154"/>
      <c r="U444" s="154"/>
      <c r="V444" s="154"/>
      <c r="W444" s="154"/>
      <c r="X444" s="154"/>
      <c r="Y444" s="154"/>
      <c r="Z444" s="154"/>
      <c r="AA444" s="154"/>
    </row>
    <row r="445" spans="1:27" ht="15">
      <c r="A445" s="180">
        <v>45838</v>
      </c>
      <c r="B445" s="181" t="s">
        <v>12968</v>
      </c>
      <c r="C445" s="182" t="s">
        <v>61</v>
      </c>
      <c r="D445" s="182">
        <v>10687</v>
      </c>
      <c r="E445" s="183">
        <v>19</v>
      </c>
      <c r="F445" s="183">
        <v>1109</v>
      </c>
      <c r="G445" s="184">
        <v>3</v>
      </c>
      <c r="H445" s="158"/>
      <c r="I445" s="154"/>
      <c r="J445" s="154"/>
      <c r="K445" s="154"/>
      <c r="L445" s="154"/>
      <c r="M445" s="154"/>
      <c r="N445" s="154"/>
      <c r="O445" s="154"/>
      <c r="P445" s="154"/>
      <c r="Q445" s="154"/>
      <c r="R445" s="154"/>
      <c r="S445" s="154"/>
      <c r="T445" s="154"/>
      <c r="U445" s="154"/>
      <c r="V445" s="154"/>
      <c r="W445" s="154"/>
      <c r="X445" s="154"/>
      <c r="Y445" s="154"/>
      <c r="Z445" s="154"/>
      <c r="AA445" s="154"/>
    </row>
    <row r="446" spans="1:27" ht="15">
      <c r="A446" s="180">
        <v>45839</v>
      </c>
      <c r="B446" s="181" t="s">
        <v>12997</v>
      </c>
      <c r="C446" s="182" t="s">
        <v>49</v>
      </c>
      <c r="D446" s="182">
        <v>1036</v>
      </c>
      <c r="E446" s="183">
        <v>0</v>
      </c>
      <c r="F446" s="183">
        <v>58</v>
      </c>
      <c r="G446" s="184">
        <v>0</v>
      </c>
      <c r="H446" s="158"/>
      <c r="I446" s="154"/>
      <c r="J446" s="154"/>
      <c r="K446" s="154"/>
      <c r="L446" s="154"/>
      <c r="M446" s="154"/>
      <c r="N446" s="154"/>
      <c r="O446" s="154"/>
      <c r="P446" s="154"/>
      <c r="Q446" s="154"/>
      <c r="R446" s="154"/>
      <c r="S446" s="154"/>
      <c r="T446" s="154"/>
      <c r="U446" s="154"/>
      <c r="V446" s="154"/>
      <c r="W446" s="154"/>
      <c r="X446" s="154"/>
      <c r="Y446" s="154"/>
      <c r="Z446" s="154"/>
      <c r="AA446" s="154"/>
    </row>
    <row r="447" spans="1:27" ht="15">
      <c r="A447" s="180">
        <v>45839</v>
      </c>
      <c r="B447" s="181" t="s">
        <v>12998</v>
      </c>
      <c r="C447" s="182" t="s">
        <v>1229</v>
      </c>
      <c r="D447" s="182">
        <v>10210</v>
      </c>
      <c r="E447" s="183">
        <v>8</v>
      </c>
      <c r="F447" s="183">
        <v>375</v>
      </c>
      <c r="G447" s="184">
        <v>3</v>
      </c>
      <c r="H447" s="158"/>
      <c r="I447" s="154"/>
      <c r="J447" s="154"/>
      <c r="K447" s="154"/>
      <c r="L447" s="154"/>
      <c r="M447" s="154"/>
      <c r="N447" s="154"/>
      <c r="O447" s="154"/>
      <c r="P447" s="154"/>
      <c r="Q447" s="154"/>
      <c r="R447" s="154"/>
      <c r="S447" s="154"/>
      <c r="T447" s="154"/>
      <c r="U447" s="154"/>
      <c r="V447" s="154"/>
      <c r="W447" s="154"/>
      <c r="X447" s="154"/>
      <c r="Y447" s="154"/>
      <c r="Z447" s="154"/>
      <c r="AA447" s="154"/>
    </row>
    <row r="448" spans="1:27" ht="15">
      <c r="A448" s="180">
        <v>45839</v>
      </c>
      <c r="B448" s="181" t="s">
        <v>12991</v>
      </c>
      <c r="C448" s="182" t="s">
        <v>752</v>
      </c>
      <c r="D448" s="182">
        <v>9532</v>
      </c>
      <c r="E448" s="183">
        <v>4</v>
      </c>
      <c r="F448" s="183">
        <v>282</v>
      </c>
      <c r="G448" s="184">
        <v>1</v>
      </c>
      <c r="H448" s="158"/>
      <c r="I448" s="154"/>
      <c r="J448" s="154"/>
      <c r="K448" s="154"/>
      <c r="L448" s="154"/>
      <c r="M448" s="154"/>
      <c r="N448" s="154"/>
      <c r="O448" s="154"/>
      <c r="P448" s="154"/>
      <c r="Q448" s="154"/>
      <c r="R448" s="154"/>
      <c r="S448" s="154"/>
      <c r="T448" s="154"/>
      <c r="U448" s="154"/>
      <c r="V448" s="154"/>
      <c r="W448" s="154"/>
      <c r="X448" s="154"/>
      <c r="Y448" s="154"/>
      <c r="Z448" s="154"/>
      <c r="AA448" s="154"/>
    </row>
    <row r="449" spans="1:27" ht="15">
      <c r="A449" s="180">
        <v>45839</v>
      </c>
      <c r="B449" s="181" t="s">
        <v>12992</v>
      </c>
      <c r="C449" s="182" t="s">
        <v>115</v>
      </c>
      <c r="D449" s="182">
        <v>4272</v>
      </c>
      <c r="E449" s="183">
        <v>5</v>
      </c>
      <c r="F449" s="183">
        <v>336</v>
      </c>
      <c r="G449" s="184">
        <v>0</v>
      </c>
      <c r="H449" s="158"/>
      <c r="I449" s="154"/>
      <c r="J449" s="154"/>
      <c r="K449" s="154"/>
      <c r="L449" s="154"/>
      <c r="M449" s="154"/>
      <c r="N449" s="154"/>
      <c r="O449" s="154"/>
      <c r="P449" s="154"/>
      <c r="Q449" s="154"/>
      <c r="R449" s="154"/>
      <c r="S449" s="154"/>
      <c r="T449" s="154"/>
      <c r="U449" s="154"/>
      <c r="V449" s="154"/>
      <c r="W449" s="154"/>
      <c r="X449" s="154"/>
      <c r="Y449" s="154"/>
      <c r="Z449" s="154"/>
      <c r="AA449" s="154"/>
    </row>
    <row r="450" spans="1:27" ht="15">
      <c r="A450" s="180">
        <v>45839</v>
      </c>
      <c r="B450" s="181" t="s">
        <v>12993</v>
      </c>
      <c r="C450" s="182" t="s">
        <v>49</v>
      </c>
      <c r="D450" s="182">
        <v>6926</v>
      </c>
      <c r="E450" s="183">
        <v>10</v>
      </c>
      <c r="F450" s="183">
        <v>275</v>
      </c>
      <c r="G450" s="184">
        <v>0</v>
      </c>
      <c r="H450" s="158"/>
      <c r="I450" s="154"/>
      <c r="J450" s="154"/>
      <c r="K450" s="154"/>
      <c r="L450" s="154"/>
      <c r="M450" s="154"/>
      <c r="N450" s="154"/>
      <c r="O450" s="154"/>
      <c r="P450" s="154"/>
      <c r="Q450" s="154"/>
      <c r="R450" s="154"/>
      <c r="S450" s="154"/>
      <c r="T450" s="154"/>
      <c r="U450" s="154"/>
      <c r="V450" s="154"/>
      <c r="W450" s="154"/>
      <c r="X450" s="154"/>
      <c r="Y450" s="154"/>
      <c r="Z450" s="154"/>
      <c r="AA450" s="154"/>
    </row>
    <row r="451" spans="1:27" ht="15">
      <c r="A451" s="180">
        <v>45839</v>
      </c>
      <c r="B451" s="181" t="s">
        <v>12994</v>
      </c>
      <c r="C451" s="182" t="s">
        <v>61</v>
      </c>
      <c r="D451" s="182">
        <v>58577</v>
      </c>
      <c r="E451" s="183">
        <v>106</v>
      </c>
      <c r="F451" s="183">
        <v>3766</v>
      </c>
      <c r="G451" s="184">
        <v>17</v>
      </c>
      <c r="H451" s="158"/>
      <c r="I451" s="154"/>
      <c r="J451" s="154"/>
      <c r="K451" s="154"/>
      <c r="L451" s="154"/>
      <c r="M451" s="154"/>
      <c r="N451" s="154"/>
      <c r="O451" s="154"/>
      <c r="P451" s="154"/>
      <c r="Q451" s="154"/>
      <c r="R451" s="154"/>
      <c r="S451" s="154"/>
      <c r="T451" s="154"/>
      <c r="U451" s="154"/>
      <c r="V451" s="154"/>
      <c r="W451" s="154"/>
      <c r="X451" s="154"/>
      <c r="Y451" s="154"/>
      <c r="Z451" s="154"/>
      <c r="AA451" s="154"/>
    </row>
    <row r="452" spans="1:27" ht="15">
      <c r="A452" s="180">
        <v>45839</v>
      </c>
      <c r="B452" s="181" t="s">
        <v>12980</v>
      </c>
      <c r="C452" s="182" t="s">
        <v>115</v>
      </c>
      <c r="D452" s="182">
        <v>5186</v>
      </c>
      <c r="E452" s="183">
        <v>5</v>
      </c>
      <c r="F452" s="183">
        <v>240</v>
      </c>
      <c r="G452" s="184">
        <v>1</v>
      </c>
      <c r="H452" s="158"/>
      <c r="I452" s="154"/>
      <c r="J452" s="154"/>
      <c r="K452" s="154"/>
      <c r="L452" s="154"/>
      <c r="M452" s="154"/>
      <c r="N452" s="154"/>
      <c r="O452" s="154"/>
      <c r="P452" s="154"/>
      <c r="Q452" s="154"/>
      <c r="R452" s="154"/>
      <c r="S452" s="154"/>
      <c r="T452" s="154"/>
      <c r="U452" s="154"/>
      <c r="V452" s="154"/>
      <c r="W452" s="154"/>
      <c r="X452" s="154"/>
      <c r="Y452" s="154"/>
      <c r="Z452" s="154"/>
      <c r="AA452" s="154"/>
    </row>
    <row r="453" spans="1:27" ht="15">
      <c r="A453" s="180">
        <v>45839</v>
      </c>
      <c r="B453" s="181" t="s">
        <v>12981</v>
      </c>
      <c r="C453" s="182" t="s">
        <v>115</v>
      </c>
      <c r="D453" s="182">
        <v>6813</v>
      </c>
      <c r="E453" s="183">
        <v>6</v>
      </c>
      <c r="F453" s="183">
        <v>287</v>
      </c>
      <c r="G453" s="184">
        <v>2</v>
      </c>
      <c r="H453" s="158"/>
      <c r="I453" s="154"/>
      <c r="J453" s="154"/>
      <c r="K453" s="154"/>
      <c r="L453" s="154"/>
      <c r="M453" s="154"/>
      <c r="N453" s="154"/>
      <c r="O453" s="154"/>
      <c r="P453" s="154"/>
      <c r="Q453" s="154"/>
      <c r="R453" s="154"/>
      <c r="S453" s="154"/>
      <c r="T453" s="154"/>
      <c r="U453" s="154"/>
      <c r="V453" s="154"/>
      <c r="W453" s="154"/>
      <c r="X453" s="154"/>
      <c r="Y453" s="154"/>
      <c r="Z453" s="154"/>
      <c r="AA453" s="154"/>
    </row>
    <row r="454" spans="1:27" ht="15">
      <c r="A454" s="180">
        <v>45839</v>
      </c>
      <c r="B454" s="181" t="s">
        <v>12982</v>
      </c>
      <c r="C454" s="182" t="s">
        <v>61</v>
      </c>
      <c r="D454" s="182">
        <v>36898</v>
      </c>
      <c r="E454" s="183">
        <v>31</v>
      </c>
      <c r="F454" s="183">
        <v>2107</v>
      </c>
      <c r="G454" s="184">
        <v>4</v>
      </c>
      <c r="H454" s="158"/>
      <c r="I454" s="154"/>
      <c r="J454" s="154"/>
      <c r="K454" s="154"/>
      <c r="L454" s="154"/>
      <c r="M454" s="154"/>
      <c r="N454" s="154"/>
      <c r="O454" s="154"/>
      <c r="P454" s="154"/>
      <c r="Q454" s="154"/>
      <c r="R454" s="154"/>
      <c r="S454" s="154"/>
      <c r="T454" s="154"/>
      <c r="U454" s="154"/>
      <c r="V454" s="154"/>
      <c r="W454" s="154"/>
      <c r="X454" s="154"/>
      <c r="Y454" s="154"/>
      <c r="Z454" s="154"/>
      <c r="AA454" s="154"/>
    </row>
    <row r="455" spans="1:27" ht="15">
      <c r="A455" s="180">
        <v>45839</v>
      </c>
      <c r="B455" s="181" t="s">
        <v>12983</v>
      </c>
      <c r="C455" s="182" t="s">
        <v>61</v>
      </c>
      <c r="D455" s="182">
        <v>26784</v>
      </c>
      <c r="E455" s="183">
        <v>27</v>
      </c>
      <c r="F455" s="183">
        <v>1646</v>
      </c>
      <c r="G455" s="184">
        <v>6</v>
      </c>
      <c r="H455" s="158"/>
      <c r="I455" s="154"/>
      <c r="J455" s="154"/>
      <c r="K455" s="154"/>
      <c r="L455" s="154"/>
      <c r="M455" s="154"/>
      <c r="N455" s="154"/>
      <c r="O455" s="154"/>
      <c r="P455" s="154"/>
      <c r="Q455" s="154"/>
      <c r="R455" s="154"/>
      <c r="S455" s="154"/>
      <c r="T455" s="154"/>
      <c r="U455" s="154"/>
      <c r="V455" s="154"/>
      <c r="W455" s="154"/>
      <c r="X455" s="154"/>
      <c r="Y455" s="154"/>
      <c r="Z455" s="154"/>
      <c r="AA455" s="154"/>
    </row>
    <row r="456" spans="1:27" ht="15">
      <c r="A456" s="180">
        <v>45839</v>
      </c>
      <c r="B456" s="181" t="s">
        <v>12995</v>
      </c>
      <c r="C456" s="182" t="s">
        <v>1229</v>
      </c>
      <c r="D456" s="182">
        <v>7643</v>
      </c>
      <c r="E456" s="183">
        <v>6</v>
      </c>
      <c r="F456" s="183">
        <v>362</v>
      </c>
      <c r="G456" s="184">
        <v>1</v>
      </c>
      <c r="H456" s="158"/>
      <c r="I456" s="154"/>
      <c r="J456" s="154"/>
      <c r="K456" s="154"/>
      <c r="L456" s="154"/>
      <c r="M456" s="154"/>
      <c r="N456" s="154"/>
      <c r="O456" s="154"/>
      <c r="P456" s="154"/>
      <c r="Q456" s="154"/>
      <c r="R456" s="154"/>
      <c r="S456" s="154"/>
      <c r="T456" s="154"/>
      <c r="U456" s="154"/>
      <c r="V456" s="154"/>
      <c r="W456" s="154"/>
      <c r="X456" s="154"/>
      <c r="Y456" s="154"/>
      <c r="Z456" s="154"/>
      <c r="AA456" s="154"/>
    </row>
    <row r="457" spans="1:27" ht="15">
      <c r="A457" s="180">
        <v>45839</v>
      </c>
      <c r="B457" s="181" t="s">
        <v>12996</v>
      </c>
      <c r="C457" s="182" t="s">
        <v>1229</v>
      </c>
      <c r="D457" s="182">
        <v>8999</v>
      </c>
      <c r="E457" s="183">
        <v>15</v>
      </c>
      <c r="F457" s="183">
        <v>338</v>
      </c>
      <c r="G457" s="184">
        <v>0</v>
      </c>
      <c r="H457" s="158"/>
      <c r="I457" s="154"/>
      <c r="J457" s="154"/>
      <c r="K457" s="154"/>
      <c r="L457" s="154"/>
      <c r="M457" s="154"/>
      <c r="N457" s="154"/>
      <c r="O457" s="154"/>
      <c r="P457" s="154"/>
      <c r="Q457" s="154"/>
      <c r="R457" s="154"/>
      <c r="S457" s="154"/>
      <c r="T457" s="154"/>
      <c r="U457" s="154"/>
      <c r="V457" s="154"/>
      <c r="W457" s="154"/>
      <c r="X457" s="154"/>
      <c r="Y457" s="154"/>
      <c r="Z457" s="154"/>
      <c r="AA457" s="154"/>
    </row>
    <row r="458" spans="1:27" ht="15">
      <c r="A458" s="180">
        <v>45839</v>
      </c>
      <c r="B458" s="181" t="s">
        <v>12969</v>
      </c>
      <c r="C458" s="182" t="s">
        <v>115</v>
      </c>
      <c r="D458" s="182">
        <v>4432</v>
      </c>
      <c r="E458" s="183">
        <v>4</v>
      </c>
      <c r="F458" s="183">
        <v>344</v>
      </c>
      <c r="G458" s="184">
        <v>1</v>
      </c>
      <c r="H458" s="158"/>
      <c r="I458" s="154"/>
      <c r="J458" s="154"/>
      <c r="K458" s="154"/>
      <c r="L458" s="154"/>
      <c r="M458" s="154"/>
      <c r="N458" s="154"/>
      <c r="O458" s="154"/>
      <c r="P458" s="154"/>
      <c r="Q458" s="154"/>
      <c r="R458" s="154"/>
      <c r="S458" s="154"/>
      <c r="T458" s="154"/>
      <c r="U458" s="154"/>
      <c r="V458" s="154"/>
      <c r="W458" s="154"/>
      <c r="X458" s="154"/>
      <c r="Y458" s="154"/>
      <c r="Z458" s="154"/>
      <c r="AA458" s="154"/>
    </row>
    <row r="459" spans="1:27" ht="15">
      <c r="A459" s="180">
        <v>45839</v>
      </c>
      <c r="B459" s="181" t="s">
        <v>12970</v>
      </c>
      <c r="C459" s="182" t="s">
        <v>115</v>
      </c>
      <c r="D459" s="182">
        <v>3703</v>
      </c>
      <c r="E459" s="183">
        <v>2</v>
      </c>
      <c r="F459" s="183">
        <v>235</v>
      </c>
      <c r="G459" s="184">
        <v>0</v>
      </c>
      <c r="H459" s="158"/>
      <c r="I459" s="154"/>
      <c r="J459" s="154"/>
      <c r="K459" s="154"/>
      <c r="L459" s="154"/>
      <c r="M459" s="154"/>
      <c r="N459" s="154"/>
      <c r="O459" s="154"/>
      <c r="P459" s="154"/>
      <c r="Q459" s="154"/>
      <c r="R459" s="154"/>
      <c r="S459" s="154"/>
      <c r="T459" s="154"/>
      <c r="U459" s="154"/>
      <c r="V459" s="154"/>
      <c r="W459" s="154"/>
      <c r="X459" s="154"/>
      <c r="Y459" s="154"/>
      <c r="Z459" s="154"/>
      <c r="AA459" s="154"/>
    </row>
    <row r="460" spans="1:27" ht="15">
      <c r="A460" s="180">
        <v>45839</v>
      </c>
      <c r="B460" s="181" t="s">
        <v>12971</v>
      </c>
      <c r="C460" s="182" t="s">
        <v>115</v>
      </c>
      <c r="D460" s="182">
        <v>2058</v>
      </c>
      <c r="E460" s="183">
        <v>2</v>
      </c>
      <c r="F460" s="183">
        <v>179</v>
      </c>
      <c r="G460" s="184">
        <v>0</v>
      </c>
      <c r="H460" s="158"/>
      <c r="I460" s="154"/>
      <c r="J460" s="154"/>
      <c r="K460" s="154"/>
      <c r="L460" s="154"/>
      <c r="M460" s="154"/>
      <c r="N460" s="154"/>
      <c r="O460" s="154"/>
      <c r="P460" s="154"/>
      <c r="Q460" s="154"/>
      <c r="R460" s="154"/>
      <c r="S460" s="154"/>
      <c r="T460" s="154"/>
      <c r="U460" s="154"/>
      <c r="V460" s="154"/>
      <c r="W460" s="154"/>
      <c r="X460" s="154"/>
      <c r="Y460" s="154"/>
      <c r="Z460" s="154"/>
      <c r="AA460" s="154"/>
    </row>
    <row r="461" spans="1:27" ht="15">
      <c r="A461" s="180">
        <v>45839</v>
      </c>
      <c r="B461" s="181" t="s">
        <v>12963</v>
      </c>
      <c r="C461" s="182" t="s">
        <v>61</v>
      </c>
      <c r="D461" s="182">
        <v>33390</v>
      </c>
      <c r="E461" s="183">
        <v>66</v>
      </c>
      <c r="F461" s="183">
        <v>2420</v>
      </c>
      <c r="G461" s="184">
        <v>13</v>
      </c>
      <c r="H461" s="158"/>
      <c r="I461" s="154"/>
      <c r="J461" s="154"/>
      <c r="K461" s="154"/>
      <c r="L461" s="154"/>
      <c r="M461" s="154"/>
      <c r="N461" s="154"/>
      <c r="O461" s="154"/>
      <c r="P461" s="154"/>
      <c r="Q461" s="154"/>
      <c r="R461" s="154"/>
      <c r="S461" s="154"/>
      <c r="T461" s="154"/>
      <c r="U461" s="154"/>
      <c r="V461" s="154"/>
      <c r="W461" s="154"/>
      <c r="X461" s="154"/>
      <c r="Y461" s="154"/>
      <c r="Z461" s="154"/>
      <c r="AA461" s="154"/>
    </row>
    <row r="462" spans="1:27" ht="15">
      <c r="A462" s="180">
        <v>45839</v>
      </c>
      <c r="B462" s="181" t="s">
        <v>12964</v>
      </c>
      <c r="C462" s="182" t="s">
        <v>61</v>
      </c>
      <c r="D462" s="182">
        <v>14262</v>
      </c>
      <c r="E462" s="183">
        <v>14</v>
      </c>
      <c r="F462" s="183">
        <v>978</v>
      </c>
      <c r="G462" s="184">
        <v>1</v>
      </c>
      <c r="H462" s="158"/>
      <c r="I462" s="154"/>
      <c r="J462" s="154"/>
      <c r="K462" s="154"/>
      <c r="L462" s="154"/>
      <c r="M462" s="154"/>
      <c r="N462" s="154"/>
      <c r="O462" s="154"/>
      <c r="P462" s="154"/>
      <c r="Q462" s="154"/>
      <c r="R462" s="154"/>
      <c r="S462" s="154"/>
      <c r="T462" s="154"/>
      <c r="U462" s="154"/>
      <c r="V462" s="154"/>
      <c r="W462" s="154"/>
      <c r="X462" s="154"/>
      <c r="Y462" s="154"/>
      <c r="Z462" s="154"/>
      <c r="AA462" s="154"/>
    </row>
    <row r="463" spans="1:27" ht="15">
      <c r="A463" s="180">
        <v>45839</v>
      </c>
      <c r="B463" s="181" t="s">
        <v>12965</v>
      </c>
      <c r="C463" s="182" t="s">
        <v>49</v>
      </c>
      <c r="D463" s="182">
        <v>1238</v>
      </c>
      <c r="E463" s="183">
        <v>3</v>
      </c>
      <c r="F463" s="183">
        <v>121</v>
      </c>
      <c r="G463" s="184">
        <v>0</v>
      </c>
      <c r="H463" s="158"/>
      <c r="I463" s="154"/>
      <c r="J463" s="154"/>
      <c r="K463" s="154"/>
      <c r="L463" s="154"/>
      <c r="M463" s="154"/>
      <c r="N463" s="154"/>
      <c r="O463" s="154"/>
      <c r="P463" s="154"/>
      <c r="Q463" s="154"/>
      <c r="R463" s="154"/>
      <c r="S463" s="154"/>
      <c r="T463" s="154"/>
      <c r="U463" s="154"/>
      <c r="V463" s="154"/>
      <c r="W463" s="154"/>
      <c r="X463" s="154"/>
      <c r="Y463" s="154"/>
      <c r="Z463" s="154"/>
      <c r="AA463" s="154"/>
    </row>
    <row r="464" spans="1:27" ht="15">
      <c r="A464" s="180">
        <v>45839</v>
      </c>
      <c r="B464" s="181" t="s">
        <v>12966</v>
      </c>
      <c r="C464" s="182" t="s">
        <v>49</v>
      </c>
      <c r="D464" s="182">
        <v>16452</v>
      </c>
      <c r="E464" s="183">
        <v>20</v>
      </c>
      <c r="F464" s="183">
        <v>1388</v>
      </c>
      <c r="G464" s="184">
        <v>5</v>
      </c>
      <c r="H464" s="158"/>
      <c r="I464" s="154"/>
      <c r="J464" s="154"/>
      <c r="K464" s="154"/>
      <c r="L464" s="154"/>
      <c r="M464" s="154"/>
      <c r="N464" s="154"/>
      <c r="O464" s="154"/>
      <c r="P464" s="154"/>
      <c r="Q464" s="154"/>
      <c r="R464" s="154"/>
      <c r="S464" s="154"/>
      <c r="T464" s="154"/>
      <c r="U464" s="154"/>
      <c r="V464" s="154"/>
      <c r="W464" s="154"/>
      <c r="X464" s="154"/>
      <c r="Y464" s="154"/>
      <c r="Z464" s="154"/>
      <c r="AA464" s="154"/>
    </row>
    <row r="465" spans="1:27" ht="15">
      <c r="A465" s="180">
        <v>45839</v>
      </c>
      <c r="B465" s="181" t="s">
        <v>12967</v>
      </c>
      <c r="C465" s="182" t="s">
        <v>49</v>
      </c>
      <c r="D465" s="182">
        <v>1582</v>
      </c>
      <c r="E465" s="183">
        <v>3</v>
      </c>
      <c r="F465" s="183">
        <v>89</v>
      </c>
      <c r="G465" s="184">
        <v>0</v>
      </c>
      <c r="H465" s="158"/>
      <c r="I465" s="154"/>
      <c r="J465" s="154"/>
      <c r="K465" s="154"/>
      <c r="L465" s="154"/>
      <c r="M465" s="154"/>
      <c r="N465" s="154"/>
      <c r="O465" s="154"/>
      <c r="P465" s="154"/>
      <c r="Q465" s="154"/>
      <c r="R465" s="154"/>
      <c r="S465" s="154"/>
      <c r="T465" s="154"/>
      <c r="U465" s="154"/>
      <c r="V465" s="154"/>
      <c r="W465" s="154"/>
      <c r="X465" s="154"/>
      <c r="Y465" s="154"/>
      <c r="Z465" s="154"/>
      <c r="AA465" s="154"/>
    </row>
    <row r="466" spans="1:27" ht="15">
      <c r="A466" s="180">
        <v>45839</v>
      </c>
      <c r="B466" s="181" t="s">
        <v>12968</v>
      </c>
      <c r="C466" s="182" t="s">
        <v>61</v>
      </c>
      <c r="D466" s="182">
        <v>58086</v>
      </c>
      <c r="E466" s="183">
        <v>113</v>
      </c>
      <c r="F466" s="183">
        <v>7305</v>
      </c>
      <c r="G466" s="184">
        <v>22</v>
      </c>
      <c r="H466" s="158"/>
      <c r="I466" s="154"/>
      <c r="J466" s="154"/>
      <c r="K466" s="154"/>
      <c r="L466" s="154"/>
      <c r="M466" s="154"/>
      <c r="N466" s="154"/>
      <c r="O466" s="154"/>
      <c r="P466" s="154"/>
      <c r="Q466" s="154"/>
      <c r="R466" s="154"/>
      <c r="S466" s="154"/>
      <c r="T466" s="154"/>
      <c r="U466" s="154"/>
      <c r="V466" s="154"/>
      <c r="W466" s="154"/>
      <c r="X466" s="154"/>
      <c r="Y466" s="154"/>
      <c r="Z466" s="154"/>
      <c r="AA466" s="154"/>
    </row>
    <row r="467" spans="1:27" ht="15">
      <c r="A467" s="180">
        <v>45840</v>
      </c>
      <c r="B467" s="181" t="s">
        <v>12997</v>
      </c>
      <c r="C467" s="182" t="s">
        <v>49</v>
      </c>
      <c r="D467" s="182">
        <v>0</v>
      </c>
      <c r="E467" s="183">
        <v>0</v>
      </c>
      <c r="F467" s="183">
        <v>1</v>
      </c>
      <c r="G467" s="184">
        <v>0</v>
      </c>
      <c r="H467" s="158"/>
      <c r="I467" s="154"/>
      <c r="J467" s="154"/>
      <c r="K467" s="154"/>
      <c r="L467" s="154"/>
      <c r="M467" s="154"/>
      <c r="N467" s="154"/>
      <c r="O467" s="154"/>
      <c r="P467" s="154"/>
      <c r="Q467" s="154"/>
      <c r="R467" s="154"/>
      <c r="S467" s="154"/>
      <c r="T467" s="154"/>
      <c r="U467" s="154"/>
      <c r="V467" s="154"/>
      <c r="W467" s="154"/>
      <c r="X467" s="154"/>
      <c r="Y467" s="154"/>
      <c r="Z467" s="154"/>
      <c r="AA467" s="154"/>
    </row>
    <row r="468" spans="1:27" ht="15">
      <c r="A468" s="180">
        <v>45840</v>
      </c>
      <c r="B468" s="181" t="s">
        <v>12998</v>
      </c>
      <c r="C468" s="182" t="s">
        <v>1229</v>
      </c>
      <c r="D468" s="182">
        <v>6675</v>
      </c>
      <c r="E468" s="183">
        <v>9</v>
      </c>
      <c r="F468" s="183">
        <v>319</v>
      </c>
      <c r="G468" s="184">
        <v>2</v>
      </c>
      <c r="H468" s="158"/>
      <c r="I468" s="154"/>
      <c r="J468" s="154"/>
      <c r="K468" s="154"/>
      <c r="L468" s="154"/>
      <c r="M468" s="154"/>
      <c r="N468" s="154"/>
      <c r="O468" s="154"/>
      <c r="P468" s="154"/>
      <c r="Q468" s="154"/>
      <c r="R468" s="154"/>
      <c r="S468" s="154"/>
      <c r="T468" s="154"/>
      <c r="U468" s="154"/>
      <c r="V468" s="154"/>
      <c r="W468" s="154"/>
      <c r="X468" s="154"/>
      <c r="Y468" s="154"/>
      <c r="Z468" s="154"/>
      <c r="AA468" s="154"/>
    </row>
    <row r="469" spans="1:27" ht="15">
      <c r="A469" s="180">
        <v>45840</v>
      </c>
      <c r="B469" s="181" t="s">
        <v>12991</v>
      </c>
      <c r="C469" s="182" t="s">
        <v>752</v>
      </c>
      <c r="D469" s="182">
        <v>4493</v>
      </c>
      <c r="E469" s="183">
        <v>10</v>
      </c>
      <c r="F469" s="183">
        <v>1007</v>
      </c>
      <c r="G469" s="184">
        <v>2</v>
      </c>
      <c r="H469" s="158"/>
      <c r="I469" s="154"/>
      <c r="J469" s="154"/>
      <c r="K469" s="154"/>
      <c r="L469" s="154"/>
      <c r="M469" s="154"/>
      <c r="N469" s="154"/>
      <c r="O469" s="154"/>
      <c r="P469" s="154"/>
      <c r="Q469" s="154"/>
      <c r="R469" s="154"/>
      <c r="S469" s="154"/>
      <c r="T469" s="154"/>
      <c r="U469" s="154"/>
      <c r="V469" s="154"/>
      <c r="W469" s="154"/>
      <c r="X469" s="154"/>
      <c r="Y469" s="154"/>
      <c r="Z469" s="154"/>
      <c r="AA469" s="154"/>
    </row>
    <row r="470" spans="1:27" ht="15">
      <c r="A470" s="180">
        <v>45840</v>
      </c>
      <c r="B470" s="181" t="s">
        <v>12992</v>
      </c>
      <c r="C470" s="182" t="s">
        <v>115</v>
      </c>
      <c r="D470" s="182">
        <v>17686</v>
      </c>
      <c r="E470" s="183">
        <v>22</v>
      </c>
      <c r="F470" s="183">
        <v>2176</v>
      </c>
      <c r="G470" s="184">
        <v>6</v>
      </c>
      <c r="H470" s="158"/>
      <c r="I470" s="154"/>
      <c r="J470" s="154"/>
      <c r="K470" s="154"/>
      <c r="L470" s="154"/>
      <c r="M470" s="154"/>
      <c r="N470" s="154"/>
      <c r="O470" s="154"/>
      <c r="P470" s="154"/>
      <c r="Q470" s="154"/>
      <c r="R470" s="154"/>
      <c r="S470" s="154"/>
      <c r="T470" s="154"/>
      <c r="U470" s="154"/>
      <c r="V470" s="154"/>
      <c r="W470" s="154"/>
      <c r="X470" s="154"/>
      <c r="Y470" s="154"/>
      <c r="Z470" s="154"/>
      <c r="AA470" s="154"/>
    </row>
    <row r="471" spans="1:27" ht="15">
      <c r="A471" s="180">
        <v>45840</v>
      </c>
      <c r="B471" s="181" t="s">
        <v>12993</v>
      </c>
      <c r="C471" s="182" t="s">
        <v>49</v>
      </c>
      <c r="D471" s="182">
        <v>3883</v>
      </c>
      <c r="E471" s="183">
        <v>5</v>
      </c>
      <c r="F471" s="183">
        <v>223</v>
      </c>
      <c r="G471" s="184">
        <v>1</v>
      </c>
      <c r="H471" s="158"/>
      <c r="I471" s="154"/>
      <c r="J471" s="154"/>
      <c r="K471" s="154"/>
      <c r="L471" s="154"/>
      <c r="M471" s="154"/>
      <c r="N471" s="154"/>
      <c r="O471" s="154"/>
      <c r="P471" s="154"/>
      <c r="Q471" s="154"/>
      <c r="R471" s="154"/>
      <c r="S471" s="154"/>
      <c r="T471" s="154"/>
      <c r="U471" s="154"/>
      <c r="V471" s="154"/>
      <c r="W471" s="154"/>
      <c r="X471" s="154"/>
      <c r="Y471" s="154"/>
      <c r="Z471" s="154"/>
      <c r="AA471" s="154"/>
    </row>
    <row r="472" spans="1:27" ht="15">
      <c r="A472" s="180">
        <v>45840</v>
      </c>
      <c r="B472" s="181" t="s">
        <v>12994</v>
      </c>
      <c r="C472" s="182" t="s">
        <v>61</v>
      </c>
      <c r="D472" s="182">
        <v>50297</v>
      </c>
      <c r="E472" s="183">
        <v>52</v>
      </c>
      <c r="F472" s="183">
        <v>2947</v>
      </c>
      <c r="G472" s="184">
        <v>10</v>
      </c>
      <c r="H472" s="158"/>
      <c r="I472" s="154"/>
      <c r="J472" s="154"/>
      <c r="K472" s="154"/>
      <c r="L472" s="154"/>
      <c r="M472" s="154"/>
      <c r="N472" s="154"/>
      <c r="O472" s="154"/>
      <c r="P472" s="154"/>
      <c r="Q472" s="154"/>
      <c r="R472" s="154"/>
      <c r="S472" s="154"/>
      <c r="T472" s="154"/>
      <c r="U472" s="154"/>
      <c r="V472" s="154"/>
      <c r="W472" s="154"/>
      <c r="X472" s="154"/>
      <c r="Y472" s="154"/>
      <c r="Z472" s="154"/>
      <c r="AA472" s="154"/>
    </row>
    <row r="473" spans="1:27" ht="15">
      <c r="A473" s="180">
        <v>45840</v>
      </c>
      <c r="B473" s="181" t="s">
        <v>12980</v>
      </c>
      <c r="C473" s="182" t="s">
        <v>115</v>
      </c>
      <c r="D473" s="182">
        <v>35236</v>
      </c>
      <c r="E473" s="183">
        <v>24</v>
      </c>
      <c r="F473" s="183">
        <v>1560</v>
      </c>
      <c r="G473" s="184">
        <v>5</v>
      </c>
      <c r="H473" s="158"/>
      <c r="I473" s="154"/>
      <c r="J473" s="154"/>
      <c r="K473" s="154"/>
      <c r="L473" s="154"/>
      <c r="M473" s="154"/>
      <c r="N473" s="154"/>
      <c r="O473" s="154"/>
      <c r="P473" s="154"/>
      <c r="Q473" s="154"/>
      <c r="R473" s="154"/>
      <c r="S473" s="154"/>
      <c r="T473" s="154"/>
      <c r="U473" s="154"/>
      <c r="V473" s="154"/>
      <c r="W473" s="154"/>
      <c r="X473" s="154"/>
      <c r="Y473" s="154"/>
      <c r="Z473" s="154"/>
      <c r="AA473" s="154"/>
    </row>
    <row r="474" spans="1:27" ht="15">
      <c r="A474" s="180">
        <v>45840</v>
      </c>
      <c r="B474" s="181" t="s">
        <v>12981</v>
      </c>
      <c r="C474" s="182" t="s">
        <v>115</v>
      </c>
      <c r="D474" s="182">
        <v>77374</v>
      </c>
      <c r="E474" s="183">
        <v>107</v>
      </c>
      <c r="F474" s="183">
        <v>4609</v>
      </c>
      <c r="G474" s="184">
        <v>24</v>
      </c>
      <c r="H474" s="158"/>
      <c r="I474" s="154"/>
      <c r="J474" s="154"/>
      <c r="K474" s="154"/>
      <c r="L474" s="154"/>
      <c r="M474" s="154"/>
      <c r="N474" s="154"/>
      <c r="O474" s="154"/>
      <c r="P474" s="154"/>
      <c r="Q474" s="154"/>
      <c r="R474" s="154"/>
      <c r="S474" s="154"/>
      <c r="T474" s="154"/>
      <c r="U474" s="154"/>
      <c r="V474" s="154"/>
      <c r="W474" s="154"/>
      <c r="X474" s="154"/>
      <c r="Y474" s="154"/>
      <c r="Z474" s="154"/>
      <c r="AA474" s="154"/>
    </row>
    <row r="475" spans="1:27" ht="15">
      <c r="A475" s="180">
        <v>45840</v>
      </c>
      <c r="B475" s="181" t="s">
        <v>12982</v>
      </c>
      <c r="C475" s="182" t="s">
        <v>61</v>
      </c>
      <c r="D475" s="182">
        <v>40395</v>
      </c>
      <c r="E475" s="183">
        <v>81</v>
      </c>
      <c r="F475" s="183">
        <v>4864</v>
      </c>
      <c r="G475" s="184">
        <v>10</v>
      </c>
      <c r="H475" s="158"/>
      <c r="I475" s="154"/>
      <c r="J475" s="154"/>
      <c r="K475" s="154"/>
      <c r="L475" s="154"/>
      <c r="M475" s="154"/>
      <c r="N475" s="154"/>
      <c r="O475" s="154"/>
      <c r="P475" s="154"/>
      <c r="Q475" s="154"/>
      <c r="R475" s="154"/>
      <c r="S475" s="154"/>
      <c r="T475" s="154"/>
      <c r="U475" s="154"/>
      <c r="V475" s="154"/>
      <c r="W475" s="154"/>
      <c r="X475" s="154"/>
      <c r="Y475" s="154"/>
      <c r="Z475" s="154"/>
      <c r="AA475" s="154"/>
    </row>
    <row r="476" spans="1:27" ht="15">
      <c r="A476" s="180">
        <v>45840</v>
      </c>
      <c r="B476" s="181" t="s">
        <v>12983</v>
      </c>
      <c r="C476" s="182" t="s">
        <v>61</v>
      </c>
      <c r="D476" s="182">
        <v>33103</v>
      </c>
      <c r="E476" s="183">
        <v>40</v>
      </c>
      <c r="F476" s="183">
        <v>1917</v>
      </c>
      <c r="G476" s="184">
        <v>5</v>
      </c>
      <c r="H476" s="158"/>
      <c r="I476" s="154"/>
      <c r="J476" s="154"/>
      <c r="K476" s="154"/>
      <c r="L476" s="154"/>
      <c r="M476" s="154"/>
      <c r="N476" s="154"/>
      <c r="O476" s="154"/>
      <c r="P476" s="154"/>
      <c r="Q476" s="154"/>
      <c r="R476" s="154"/>
      <c r="S476" s="154"/>
      <c r="T476" s="154"/>
      <c r="U476" s="154"/>
      <c r="V476" s="154"/>
      <c r="W476" s="154"/>
      <c r="X476" s="154"/>
      <c r="Y476" s="154"/>
      <c r="Z476" s="154"/>
      <c r="AA476" s="154"/>
    </row>
    <row r="477" spans="1:27" ht="15">
      <c r="A477" s="180">
        <v>45840</v>
      </c>
      <c r="B477" s="181" t="s">
        <v>12995</v>
      </c>
      <c r="C477" s="182" t="s">
        <v>1229</v>
      </c>
      <c r="D477" s="182">
        <v>108</v>
      </c>
      <c r="E477" s="183">
        <v>1</v>
      </c>
      <c r="F477" s="183">
        <v>26</v>
      </c>
      <c r="G477" s="184">
        <v>0</v>
      </c>
      <c r="H477" s="158"/>
      <c r="I477" s="154"/>
      <c r="J477" s="154"/>
      <c r="K477" s="154"/>
      <c r="L477" s="154"/>
      <c r="M477" s="154"/>
      <c r="N477" s="154"/>
      <c r="O477" s="154"/>
      <c r="P477" s="154"/>
      <c r="Q477" s="154"/>
      <c r="R477" s="154"/>
      <c r="S477" s="154"/>
      <c r="T477" s="154"/>
      <c r="U477" s="154"/>
      <c r="V477" s="154"/>
      <c r="W477" s="154"/>
      <c r="X477" s="154"/>
      <c r="Y477" s="154"/>
      <c r="Z477" s="154"/>
      <c r="AA477" s="154"/>
    </row>
    <row r="478" spans="1:27" ht="15">
      <c r="A478" s="180">
        <v>45840</v>
      </c>
      <c r="B478" s="181" t="s">
        <v>12996</v>
      </c>
      <c r="C478" s="182" t="s">
        <v>1229</v>
      </c>
      <c r="D478" s="182">
        <v>4074</v>
      </c>
      <c r="E478" s="183">
        <v>6</v>
      </c>
      <c r="F478" s="183">
        <v>436</v>
      </c>
      <c r="G478" s="184">
        <v>1</v>
      </c>
      <c r="H478" s="158"/>
      <c r="I478" s="154"/>
      <c r="J478" s="154"/>
      <c r="K478" s="154"/>
      <c r="L478" s="154"/>
      <c r="M478" s="154"/>
      <c r="N478" s="154"/>
      <c r="O478" s="154"/>
      <c r="P478" s="154"/>
      <c r="Q478" s="154"/>
      <c r="R478" s="154"/>
      <c r="S478" s="154"/>
      <c r="T478" s="154"/>
      <c r="U478" s="154"/>
      <c r="V478" s="154"/>
      <c r="W478" s="154"/>
      <c r="X478" s="154"/>
      <c r="Y478" s="154"/>
      <c r="Z478" s="154"/>
      <c r="AA478" s="154"/>
    </row>
    <row r="479" spans="1:27" ht="15">
      <c r="A479" s="180">
        <v>45840</v>
      </c>
      <c r="B479" s="181" t="s">
        <v>12969</v>
      </c>
      <c r="C479" s="182" t="s">
        <v>115</v>
      </c>
      <c r="D479" s="182">
        <v>10358</v>
      </c>
      <c r="E479" s="183">
        <v>8</v>
      </c>
      <c r="F479" s="183">
        <v>1118</v>
      </c>
      <c r="G479" s="184">
        <v>0</v>
      </c>
      <c r="H479" s="158"/>
      <c r="I479" s="154"/>
      <c r="J479" s="154"/>
      <c r="K479" s="154"/>
      <c r="L479" s="154"/>
      <c r="M479" s="154"/>
      <c r="N479" s="154"/>
      <c r="O479" s="154"/>
      <c r="P479" s="154"/>
      <c r="Q479" s="154"/>
      <c r="R479" s="154"/>
      <c r="S479" s="154"/>
      <c r="T479" s="154"/>
      <c r="U479" s="154"/>
      <c r="V479" s="154"/>
      <c r="W479" s="154"/>
      <c r="X479" s="154"/>
      <c r="Y479" s="154"/>
      <c r="Z479" s="154"/>
      <c r="AA479" s="154"/>
    </row>
    <row r="480" spans="1:27" ht="15">
      <c r="A480" s="180">
        <v>45840</v>
      </c>
      <c r="B480" s="181" t="s">
        <v>12970</v>
      </c>
      <c r="C480" s="182" t="s">
        <v>115</v>
      </c>
      <c r="D480" s="182">
        <v>4639</v>
      </c>
      <c r="E480" s="183">
        <v>3</v>
      </c>
      <c r="F480" s="183">
        <v>381</v>
      </c>
      <c r="G480" s="184">
        <v>0</v>
      </c>
      <c r="H480" s="158"/>
      <c r="I480" s="154"/>
      <c r="J480" s="154"/>
      <c r="K480" s="154"/>
      <c r="L480" s="154"/>
      <c r="M480" s="154"/>
      <c r="N480" s="154"/>
      <c r="O480" s="154"/>
      <c r="P480" s="154"/>
      <c r="Q480" s="154"/>
      <c r="R480" s="154"/>
      <c r="S480" s="154"/>
      <c r="T480" s="154"/>
      <c r="U480" s="154"/>
      <c r="V480" s="154"/>
      <c r="W480" s="154"/>
      <c r="X480" s="154"/>
      <c r="Y480" s="154"/>
      <c r="Z480" s="154"/>
      <c r="AA480" s="154"/>
    </row>
    <row r="481" spans="1:27" ht="15">
      <c r="A481" s="180">
        <v>45840</v>
      </c>
      <c r="B481" s="181" t="s">
        <v>12971</v>
      </c>
      <c r="C481" s="182" t="s">
        <v>115</v>
      </c>
      <c r="D481" s="182">
        <v>6654</v>
      </c>
      <c r="E481" s="183">
        <v>8</v>
      </c>
      <c r="F481" s="183">
        <v>691</v>
      </c>
      <c r="G481" s="184">
        <v>1</v>
      </c>
      <c r="H481" s="158"/>
      <c r="I481" s="154"/>
      <c r="J481" s="154"/>
      <c r="K481" s="154"/>
      <c r="L481" s="154"/>
      <c r="M481" s="154"/>
      <c r="N481" s="154"/>
      <c r="O481" s="154"/>
      <c r="P481" s="154"/>
      <c r="Q481" s="154"/>
      <c r="R481" s="154"/>
      <c r="S481" s="154"/>
      <c r="T481" s="154"/>
      <c r="U481" s="154"/>
      <c r="V481" s="154"/>
      <c r="W481" s="154"/>
      <c r="X481" s="154"/>
      <c r="Y481" s="154"/>
      <c r="Z481" s="154"/>
      <c r="AA481" s="154"/>
    </row>
    <row r="482" spans="1:27" ht="15">
      <c r="A482" s="180">
        <v>45840</v>
      </c>
      <c r="B482" s="181" t="s">
        <v>12963</v>
      </c>
      <c r="C482" s="182" t="s">
        <v>61</v>
      </c>
      <c r="D482" s="182">
        <v>41690</v>
      </c>
      <c r="E482" s="183">
        <v>90</v>
      </c>
      <c r="F482" s="183">
        <v>3081</v>
      </c>
      <c r="G482" s="184">
        <v>8</v>
      </c>
      <c r="H482" s="158"/>
      <c r="I482" s="154"/>
      <c r="J482" s="154"/>
      <c r="K482" s="154"/>
      <c r="L482" s="154"/>
      <c r="M482" s="154"/>
      <c r="N482" s="154"/>
      <c r="O482" s="154"/>
      <c r="P482" s="154"/>
      <c r="Q482" s="154"/>
      <c r="R482" s="154"/>
      <c r="S482" s="154"/>
      <c r="T482" s="154"/>
      <c r="U482" s="154"/>
      <c r="V482" s="154"/>
      <c r="W482" s="154"/>
      <c r="X482" s="154"/>
      <c r="Y482" s="154"/>
      <c r="Z482" s="154"/>
      <c r="AA482" s="154"/>
    </row>
    <row r="483" spans="1:27" ht="15">
      <c r="A483" s="180">
        <v>45840</v>
      </c>
      <c r="B483" s="181" t="s">
        <v>12964</v>
      </c>
      <c r="C483" s="182" t="s">
        <v>61</v>
      </c>
      <c r="D483" s="182">
        <v>58281</v>
      </c>
      <c r="E483" s="183">
        <v>86</v>
      </c>
      <c r="F483" s="183">
        <v>3966</v>
      </c>
      <c r="G483" s="184">
        <v>16</v>
      </c>
      <c r="H483" s="158"/>
      <c r="I483" s="154"/>
      <c r="J483" s="154"/>
      <c r="K483" s="154"/>
      <c r="L483" s="154"/>
      <c r="M483" s="154"/>
      <c r="N483" s="154"/>
      <c r="O483" s="154"/>
      <c r="P483" s="154"/>
      <c r="Q483" s="154"/>
      <c r="R483" s="154"/>
      <c r="S483" s="154"/>
      <c r="T483" s="154"/>
      <c r="U483" s="154"/>
      <c r="V483" s="154"/>
      <c r="W483" s="154"/>
      <c r="X483" s="154"/>
      <c r="Y483" s="154"/>
      <c r="Z483" s="154"/>
      <c r="AA483" s="154"/>
    </row>
    <row r="484" spans="1:27" ht="15">
      <c r="A484" s="180">
        <v>45840</v>
      </c>
      <c r="B484" s="181" t="s">
        <v>12965</v>
      </c>
      <c r="C484" s="182" t="s">
        <v>49</v>
      </c>
      <c r="D484" s="182">
        <v>455</v>
      </c>
      <c r="E484" s="183">
        <v>0</v>
      </c>
      <c r="F484" s="183">
        <v>39</v>
      </c>
      <c r="G484" s="184">
        <v>0</v>
      </c>
      <c r="H484" s="158"/>
      <c r="I484" s="154"/>
      <c r="J484" s="154"/>
      <c r="K484" s="154"/>
      <c r="L484" s="154"/>
      <c r="M484" s="154"/>
      <c r="N484" s="154"/>
      <c r="O484" s="154"/>
      <c r="P484" s="154"/>
      <c r="Q484" s="154"/>
      <c r="R484" s="154"/>
      <c r="S484" s="154"/>
      <c r="T484" s="154"/>
      <c r="U484" s="154"/>
      <c r="V484" s="154"/>
      <c r="W484" s="154"/>
      <c r="X484" s="154"/>
      <c r="Y484" s="154"/>
      <c r="Z484" s="154"/>
      <c r="AA484" s="154"/>
    </row>
    <row r="485" spans="1:27" ht="15">
      <c r="A485" s="180">
        <v>45840</v>
      </c>
      <c r="B485" s="181" t="s">
        <v>12966</v>
      </c>
      <c r="C485" s="182" t="s">
        <v>49</v>
      </c>
      <c r="D485" s="182">
        <v>2111</v>
      </c>
      <c r="E485" s="183">
        <v>4</v>
      </c>
      <c r="F485" s="183">
        <v>136</v>
      </c>
      <c r="G485" s="184">
        <v>0</v>
      </c>
      <c r="H485" s="158"/>
      <c r="I485" s="154"/>
      <c r="J485" s="154"/>
      <c r="K485" s="154"/>
      <c r="L485" s="154"/>
      <c r="M485" s="154"/>
      <c r="N485" s="154"/>
      <c r="O485" s="154"/>
      <c r="P485" s="154"/>
      <c r="Q485" s="154"/>
      <c r="R485" s="154"/>
      <c r="S485" s="154"/>
      <c r="T485" s="154"/>
      <c r="U485" s="154"/>
      <c r="V485" s="154"/>
      <c r="W485" s="154"/>
      <c r="X485" s="154"/>
      <c r="Y485" s="154"/>
      <c r="Z485" s="154"/>
      <c r="AA485" s="154"/>
    </row>
    <row r="486" spans="1:27" ht="15">
      <c r="A486" s="180">
        <v>45840</v>
      </c>
      <c r="B486" s="181" t="s">
        <v>12967</v>
      </c>
      <c r="C486" s="182" t="s">
        <v>49</v>
      </c>
      <c r="D486" s="182">
        <v>520</v>
      </c>
      <c r="E486" s="183">
        <v>2</v>
      </c>
      <c r="F486" s="183">
        <v>19</v>
      </c>
      <c r="G486" s="184">
        <v>0</v>
      </c>
      <c r="H486" s="158"/>
      <c r="I486" s="154"/>
      <c r="J486" s="154"/>
      <c r="K486" s="154"/>
      <c r="L486" s="154"/>
      <c r="M486" s="154"/>
      <c r="N486" s="154"/>
      <c r="O486" s="154"/>
      <c r="P486" s="154"/>
      <c r="Q486" s="154"/>
      <c r="R486" s="154"/>
      <c r="S486" s="154"/>
      <c r="T486" s="154"/>
      <c r="U486" s="154"/>
      <c r="V486" s="154"/>
      <c r="W486" s="154"/>
      <c r="X486" s="154"/>
      <c r="Y486" s="154"/>
      <c r="Z486" s="154"/>
      <c r="AA486" s="154"/>
    </row>
    <row r="487" spans="1:27" ht="15">
      <c r="A487" s="180">
        <v>45840</v>
      </c>
      <c r="B487" s="181" t="s">
        <v>12968</v>
      </c>
      <c r="C487" s="182" t="s">
        <v>61</v>
      </c>
      <c r="D487" s="182">
        <v>18835</v>
      </c>
      <c r="E487" s="183">
        <v>35</v>
      </c>
      <c r="F487" s="183">
        <v>2610</v>
      </c>
      <c r="G487" s="184">
        <v>3</v>
      </c>
      <c r="H487" s="158"/>
      <c r="I487" s="154"/>
      <c r="J487" s="154"/>
      <c r="K487" s="154"/>
      <c r="L487" s="154"/>
      <c r="M487" s="154"/>
      <c r="N487" s="154"/>
      <c r="O487" s="154"/>
      <c r="P487" s="154"/>
      <c r="Q487" s="154"/>
      <c r="R487" s="154"/>
      <c r="S487" s="154"/>
      <c r="T487" s="154"/>
      <c r="U487" s="154"/>
      <c r="V487" s="154"/>
      <c r="W487" s="154"/>
      <c r="X487" s="154"/>
      <c r="Y487" s="154"/>
      <c r="Z487" s="154"/>
      <c r="AA487" s="154"/>
    </row>
    <row r="488" spans="1:27" ht="15">
      <c r="A488" s="180">
        <v>45841</v>
      </c>
      <c r="B488" s="181" t="s">
        <v>12998</v>
      </c>
      <c r="C488" s="182" t="s">
        <v>1229</v>
      </c>
      <c r="D488" s="182">
        <v>2</v>
      </c>
      <c r="E488" s="183">
        <v>0</v>
      </c>
      <c r="F488" s="183">
        <v>1</v>
      </c>
      <c r="G488" s="184">
        <v>0</v>
      </c>
      <c r="H488" s="158"/>
      <c r="I488" s="154"/>
      <c r="J488" s="154"/>
      <c r="K488" s="154"/>
      <c r="L488" s="154"/>
      <c r="M488" s="154"/>
      <c r="N488" s="154"/>
      <c r="O488" s="154"/>
      <c r="P488" s="154"/>
      <c r="Q488" s="154"/>
      <c r="R488" s="154"/>
      <c r="S488" s="154"/>
      <c r="T488" s="154"/>
      <c r="U488" s="154"/>
      <c r="V488" s="154"/>
      <c r="W488" s="154"/>
      <c r="X488" s="154"/>
      <c r="Y488" s="154"/>
      <c r="Z488" s="154"/>
      <c r="AA488" s="154"/>
    </row>
    <row r="489" spans="1:27" ht="15">
      <c r="A489" s="180">
        <v>45841</v>
      </c>
      <c r="B489" s="181" t="s">
        <v>12991</v>
      </c>
      <c r="C489" s="182" t="s">
        <v>752</v>
      </c>
      <c r="D489" s="182">
        <v>9</v>
      </c>
      <c r="E489" s="183">
        <v>0</v>
      </c>
      <c r="F489" s="183">
        <v>6</v>
      </c>
      <c r="G489" s="184">
        <v>0</v>
      </c>
      <c r="H489" s="158"/>
      <c r="I489" s="154"/>
      <c r="J489" s="154"/>
      <c r="K489" s="154"/>
      <c r="L489" s="154"/>
      <c r="M489" s="154"/>
      <c r="N489" s="154"/>
      <c r="O489" s="154"/>
      <c r="P489" s="154"/>
      <c r="Q489" s="154"/>
      <c r="R489" s="154"/>
      <c r="S489" s="154"/>
      <c r="T489" s="154"/>
      <c r="U489" s="154"/>
      <c r="V489" s="154"/>
      <c r="W489" s="154"/>
      <c r="X489" s="154"/>
      <c r="Y489" s="154"/>
      <c r="Z489" s="154"/>
      <c r="AA489" s="154"/>
    </row>
    <row r="490" spans="1:27" ht="15">
      <c r="A490" s="180">
        <v>45841</v>
      </c>
      <c r="B490" s="181" t="s">
        <v>12992</v>
      </c>
      <c r="C490" s="182" t="s">
        <v>115</v>
      </c>
      <c r="D490" s="182">
        <v>27088</v>
      </c>
      <c r="E490" s="183">
        <v>51</v>
      </c>
      <c r="F490" s="183">
        <v>3419</v>
      </c>
      <c r="G490" s="184">
        <v>14</v>
      </c>
      <c r="H490" s="158"/>
      <c r="I490" s="154"/>
      <c r="J490" s="154"/>
      <c r="K490" s="154"/>
      <c r="L490" s="154"/>
      <c r="M490" s="154"/>
      <c r="N490" s="154"/>
      <c r="O490" s="154"/>
      <c r="P490" s="154"/>
      <c r="Q490" s="154"/>
      <c r="R490" s="154"/>
      <c r="S490" s="154"/>
      <c r="T490" s="154"/>
      <c r="U490" s="154"/>
      <c r="V490" s="154"/>
      <c r="W490" s="154"/>
      <c r="X490" s="154"/>
      <c r="Y490" s="154"/>
      <c r="Z490" s="154"/>
      <c r="AA490" s="154"/>
    </row>
    <row r="491" spans="1:27" ht="15">
      <c r="A491" s="180">
        <v>45841</v>
      </c>
      <c r="B491" s="181" t="s">
        <v>12993</v>
      </c>
      <c r="C491" s="182" t="s">
        <v>49</v>
      </c>
      <c r="D491" s="182">
        <v>9</v>
      </c>
      <c r="E491" s="183">
        <v>0</v>
      </c>
      <c r="F491" s="183">
        <v>2</v>
      </c>
      <c r="G491" s="184">
        <v>0</v>
      </c>
      <c r="H491" s="158"/>
      <c r="I491" s="154"/>
      <c r="J491" s="154"/>
      <c r="K491" s="154"/>
      <c r="L491" s="154"/>
      <c r="M491" s="154"/>
      <c r="N491" s="154"/>
      <c r="O491" s="154"/>
      <c r="P491" s="154"/>
      <c r="Q491" s="154"/>
      <c r="R491" s="154"/>
      <c r="S491" s="154"/>
      <c r="T491" s="154"/>
      <c r="U491" s="154"/>
      <c r="V491" s="154"/>
      <c r="W491" s="154"/>
      <c r="X491" s="154"/>
      <c r="Y491" s="154"/>
      <c r="Z491" s="154"/>
      <c r="AA491" s="154"/>
    </row>
    <row r="492" spans="1:27" ht="15">
      <c r="A492" s="180">
        <v>45841</v>
      </c>
      <c r="B492" s="181" t="s">
        <v>12994</v>
      </c>
      <c r="C492" s="182" t="s">
        <v>61</v>
      </c>
      <c r="D492" s="182">
        <v>1018</v>
      </c>
      <c r="E492" s="183">
        <v>1</v>
      </c>
      <c r="F492" s="183">
        <v>46</v>
      </c>
      <c r="G492" s="184">
        <v>1</v>
      </c>
      <c r="H492" s="158"/>
      <c r="I492" s="154"/>
      <c r="J492" s="154"/>
      <c r="K492" s="154"/>
      <c r="L492" s="154"/>
      <c r="M492" s="154"/>
      <c r="N492" s="154"/>
      <c r="O492" s="154"/>
      <c r="P492" s="154"/>
      <c r="Q492" s="154"/>
      <c r="R492" s="154"/>
      <c r="S492" s="154"/>
      <c r="T492" s="154"/>
      <c r="U492" s="154"/>
      <c r="V492" s="154"/>
      <c r="W492" s="154"/>
      <c r="X492" s="154"/>
      <c r="Y492" s="154"/>
      <c r="Z492" s="154"/>
      <c r="AA492" s="154"/>
    </row>
    <row r="493" spans="1:27" ht="15">
      <c r="A493" s="180">
        <v>45841</v>
      </c>
      <c r="B493" s="181" t="s">
        <v>12980</v>
      </c>
      <c r="C493" s="182" t="s">
        <v>115</v>
      </c>
      <c r="D493" s="182">
        <v>7180</v>
      </c>
      <c r="E493" s="183">
        <v>2</v>
      </c>
      <c r="F493" s="183">
        <v>456</v>
      </c>
      <c r="G493" s="184">
        <v>0</v>
      </c>
      <c r="H493" s="158"/>
      <c r="I493" s="154"/>
      <c r="J493" s="154"/>
      <c r="K493" s="154"/>
      <c r="L493" s="154"/>
      <c r="M493" s="154"/>
      <c r="N493" s="154"/>
      <c r="O493" s="154"/>
      <c r="P493" s="154"/>
      <c r="Q493" s="154"/>
      <c r="R493" s="154"/>
      <c r="S493" s="154"/>
      <c r="T493" s="154"/>
      <c r="U493" s="154"/>
      <c r="V493" s="154"/>
      <c r="W493" s="154"/>
      <c r="X493" s="154"/>
      <c r="Y493" s="154"/>
      <c r="Z493" s="154"/>
      <c r="AA493" s="154"/>
    </row>
    <row r="494" spans="1:27" ht="15">
      <c r="A494" s="180">
        <v>45841</v>
      </c>
      <c r="B494" s="181" t="s">
        <v>12981</v>
      </c>
      <c r="C494" s="182" t="s">
        <v>115</v>
      </c>
      <c r="D494" s="182">
        <v>31941</v>
      </c>
      <c r="E494" s="183">
        <v>39</v>
      </c>
      <c r="F494" s="183">
        <v>1983</v>
      </c>
      <c r="G494" s="184">
        <v>3</v>
      </c>
      <c r="H494" s="158"/>
      <c r="I494" s="154"/>
      <c r="J494" s="154"/>
      <c r="K494" s="154"/>
      <c r="L494" s="154"/>
      <c r="M494" s="154"/>
      <c r="N494" s="154"/>
      <c r="O494" s="154"/>
      <c r="P494" s="154"/>
      <c r="Q494" s="154"/>
      <c r="R494" s="154"/>
      <c r="S494" s="154"/>
      <c r="T494" s="154"/>
      <c r="U494" s="154"/>
      <c r="V494" s="154"/>
      <c r="W494" s="154"/>
      <c r="X494" s="154"/>
      <c r="Y494" s="154"/>
      <c r="Z494" s="154"/>
      <c r="AA494" s="154"/>
    </row>
    <row r="495" spans="1:27" ht="15">
      <c r="A495" s="180">
        <v>45841</v>
      </c>
      <c r="B495" s="181" t="s">
        <v>12982</v>
      </c>
      <c r="C495" s="182" t="s">
        <v>61</v>
      </c>
      <c r="D495" s="182">
        <v>232</v>
      </c>
      <c r="E495" s="183">
        <v>0</v>
      </c>
      <c r="F495" s="183">
        <v>75</v>
      </c>
      <c r="G495" s="184">
        <v>0</v>
      </c>
      <c r="H495" s="158"/>
      <c r="I495" s="154"/>
      <c r="J495" s="154"/>
      <c r="K495" s="154"/>
      <c r="L495" s="154"/>
      <c r="M495" s="154"/>
      <c r="N495" s="154"/>
      <c r="O495" s="154"/>
      <c r="P495" s="154"/>
      <c r="Q495" s="154"/>
      <c r="R495" s="154"/>
      <c r="S495" s="154"/>
      <c r="T495" s="154"/>
      <c r="U495" s="154"/>
      <c r="V495" s="154"/>
      <c r="W495" s="154"/>
      <c r="X495" s="154"/>
      <c r="Y495" s="154"/>
      <c r="Z495" s="154"/>
      <c r="AA495" s="154"/>
    </row>
    <row r="496" spans="1:27" ht="15">
      <c r="A496" s="180">
        <v>45841</v>
      </c>
      <c r="B496" s="181" t="s">
        <v>12983</v>
      </c>
      <c r="C496" s="182" t="s">
        <v>61</v>
      </c>
      <c r="D496" s="182">
        <v>145</v>
      </c>
      <c r="E496" s="183">
        <v>0</v>
      </c>
      <c r="F496" s="183">
        <v>15</v>
      </c>
      <c r="G496" s="184">
        <v>0</v>
      </c>
      <c r="H496" s="158"/>
      <c r="I496" s="154"/>
      <c r="J496" s="154"/>
      <c r="K496" s="154"/>
      <c r="L496" s="154"/>
      <c r="M496" s="154"/>
      <c r="N496" s="154"/>
      <c r="O496" s="154"/>
      <c r="P496" s="154"/>
      <c r="Q496" s="154"/>
      <c r="R496" s="154"/>
      <c r="S496" s="154"/>
      <c r="T496" s="154"/>
      <c r="U496" s="154"/>
      <c r="V496" s="154"/>
      <c r="W496" s="154"/>
      <c r="X496" s="154"/>
      <c r="Y496" s="154"/>
      <c r="Z496" s="154"/>
      <c r="AA496" s="154"/>
    </row>
    <row r="497" spans="1:27" ht="15">
      <c r="A497" s="180">
        <v>45841</v>
      </c>
      <c r="B497" s="181" t="s">
        <v>12995</v>
      </c>
      <c r="C497" s="182" t="s">
        <v>1229</v>
      </c>
      <c r="D497" s="182">
        <v>59</v>
      </c>
      <c r="E497" s="183">
        <v>0</v>
      </c>
      <c r="F497" s="183">
        <v>9</v>
      </c>
      <c r="G497" s="184">
        <v>0</v>
      </c>
      <c r="H497" s="158"/>
      <c r="I497" s="154"/>
      <c r="J497" s="154"/>
      <c r="K497" s="154"/>
      <c r="L497" s="154"/>
      <c r="M497" s="154"/>
      <c r="N497" s="154"/>
      <c r="O497" s="154"/>
      <c r="P497" s="154"/>
      <c r="Q497" s="154"/>
      <c r="R497" s="154"/>
      <c r="S497" s="154"/>
      <c r="T497" s="154"/>
      <c r="U497" s="154"/>
      <c r="V497" s="154"/>
      <c r="W497" s="154"/>
      <c r="X497" s="154"/>
      <c r="Y497" s="154"/>
      <c r="Z497" s="154"/>
      <c r="AA497" s="154"/>
    </row>
    <row r="498" spans="1:27" ht="15">
      <c r="A498" s="180">
        <v>45841</v>
      </c>
      <c r="B498" s="181" t="s">
        <v>12996</v>
      </c>
      <c r="C498" s="182" t="s">
        <v>1229</v>
      </c>
      <c r="D498" s="182">
        <v>19</v>
      </c>
      <c r="E498" s="183">
        <v>0</v>
      </c>
      <c r="F498" s="183">
        <v>6</v>
      </c>
      <c r="G498" s="184">
        <v>0</v>
      </c>
      <c r="H498" s="158"/>
      <c r="I498" s="154"/>
      <c r="J498" s="154"/>
      <c r="K498" s="154"/>
      <c r="L498" s="154"/>
      <c r="M498" s="154"/>
      <c r="N498" s="154"/>
      <c r="O498" s="154"/>
      <c r="P498" s="154"/>
      <c r="Q498" s="154"/>
      <c r="R498" s="154"/>
      <c r="S498" s="154"/>
      <c r="T498" s="154"/>
      <c r="U498" s="154"/>
      <c r="V498" s="154"/>
      <c r="W498" s="154"/>
      <c r="X498" s="154"/>
      <c r="Y498" s="154"/>
      <c r="Z498" s="154"/>
      <c r="AA498" s="154"/>
    </row>
    <row r="499" spans="1:27" ht="15">
      <c r="A499" s="180">
        <v>45841</v>
      </c>
      <c r="B499" s="181" t="s">
        <v>12969</v>
      </c>
      <c r="C499" s="182" t="s">
        <v>115</v>
      </c>
      <c r="D499" s="182">
        <v>47786</v>
      </c>
      <c r="E499" s="183">
        <v>54</v>
      </c>
      <c r="F499" s="183">
        <v>3431</v>
      </c>
      <c r="G499" s="184">
        <v>6</v>
      </c>
      <c r="H499" s="158"/>
      <c r="I499" s="154"/>
      <c r="J499" s="154"/>
      <c r="K499" s="154"/>
      <c r="L499" s="154"/>
      <c r="M499" s="154"/>
      <c r="N499" s="154"/>
      <c r="O499" s="154"/>
      <c r="P499" s="154"/>
      <c r="Q499" s="154"/>
      <c r="R499" s="154"/>
      <c r="S499" s="154"/>
      <c r="T499" s="154"/>
      <c r="U499" s="154"/>
      <c r="V499" s="154"/>
      <c r="W499" s="154"/>
      <c r="X499" s="154"/>
      <c r="Y499" s="154"/>
      <c r="Z499" s="154"/>
      <c r="AA499" s="154"/>
    </row>
    <row r="500" spans="1:27" ht="15">
      <c r="A500" s="180">
        <v>45841</v>
      </c>
      <c r="B500" s="181" t="s">
        <v>12970</v>
      </c>
      <c r="C500" s="182" t="s">
        <v>115</v>
      </c>
      <c r="D500" s="182">
        <v>35209</v>
      </c>
      <c r="E500" s="183">
        <v>38</v>
      </c>
      <c r="F500" s="183">
        <v>2136</v>
      </c>
      <c r="G500" s="184">
        <v>9</v>
      </c>
      <c r="H500" s="158"/>
      <c r="I500" s="154"/>
      <c r="J500" s="154"/>
      <c r="K500" s="154"/>
      <c r="L500" s="154"/>
      <c r="M500" s="154"/>
      <c r="N500" s="154"/>
      <c r="O500" s="154"/>
      <c r="P500" s="154"/>
      <c r="Q500" s="154"/>
      <c r="R500" s="154"/>
      <c r="S500" s="154"/>
      <c r="T500" s="154"/>
      <c r="U500" s="154"/>
      <c r="V500" s="154"/>
      <c r="W500" s="154"/>
      <c r="X500" s="154"/>
      <c r="Y500" s="154"/>
      <c r="Z500" s="154"/>
      <c r="AA500" s="154"/>
    </row>
    <row r="501" spans="1:27" ht="15">
      <c r="A501" s="180">
        <v>45841</v>
      </c>
      <c r="B501" s="181" t="s">
        <v>12971</v>
      </c>
      <c r="C501" s="182" t="s">
        <v>115</v>
      </c>
      <c r="D501" s="182">
        <v>204</v>
      </c>
      <c r="E501" s="183">
        <v>0</v>
      </c>
      <c r="F501" s="183">
        <v>14</v>
      </c>
      <c r="G501" s="184">
        <v>0</v>
      </c>
      <c r="H501" s="158"/>
      <c r="I501" s="154"/>
      <c r="J501" s="154"/>
      <c r="K501" s="154"/>
      <c r="L501" s="154"/>
      <c r="M501" s="154"/>
      <c r="N501" s="154"/>
      <c r="O501" s="154"/>
      <c r="P501" s="154"/>
      <c r="Q501" s="154"/>
      <c r="R501" s="154"/>
      <c r="S501" s="154"/>
      <c r="T501" s="154"/>
      <c r="U501" s="154"/>
      <c r="V501" s="154"/>
      <c r="W501" s="154"/>
      <c r="X501" s="154"/>
      <c r="Y501" s="154"/>
      <c r="Z501" s="154"/>
      <c r="AA501" s="154"/>
    </row>
    <row r="502" spans="1:27" ht="15">
      <c r="A502" s="180">
        <v>45841</v>
      </c>
      <c r="B502" s="181" t="s">
        <v>12963</v>
      </c>
      <c r="C502" s="182" t="s">
        <v>61</v>
      </c>
      <c r="D502" s="182">
        <v>1132</v>
      </c>
      <c r="E502" s="183">
        <v>6</v>
      </c>
      <c r="F502" s="183">
        <v>119</v>
      </c>
      <c r="G502" s="184">
        <v>1</v>
      </c>
      <c r="H502" s="158"/>
      <c r="I502" s="154"/>
      <c r="J502" s="154"/>
      <c r="K502" s="154"/>
      <c r="L502" s="154"/>
      <c r="M502" s="154"/>
      <c r="N502" s="154"/>
      <c r="O502" s="154"/>
      <c r="P502" s="154"/>
      <c r="Q502" s="154"/>
      <c r="R502" s="154"/>
      <c r="S502" s="154"/>
      <c r="T502" s="154"/>
      <c r="U502" s="154"/>
      <c r="V502" s="154"/>
      <c r="W502" s="154"/>
      <c r="X502" s="154"/>
      <c r="Y502" s="154"/>
      <c r="Z502" s="154"/>
      <c r="AA502" s="154"/>
    </row>
    <row r="503" spans="1:27" ht="15">
      <c r="A503" s="180">
        <v>45841</v>
      </c>
      <c r="B503" s="181" t="s">
        <v>12964</v>
      </c>
      <c r="C503" s="182" t="s">
        <v>61</v>
      </c>
      <c r="D503" s="182">
        <v>10911</v>
      </c>
      <c r="E503" s="183">
        <v>9</v>
      </c>
      <c r="F503" s="183">
        <v>637</v>
      </c>
      <c r="G503" s="184">
        <v>0</v>
      </c>
      <c r="H503" s="158"/>
      <c r="I503" s="154"/>
      <c r="J503" s="154"/>
      <c r="K503" s="154"/>
      <c r="L503" s="154"/>
      <c r="M503" s="154"/>
      <c r="N503" s="154"/>
      <c r="O503" s="154"/>
      <c r="P503" s="154"/>
      <c r="Q503" s="154"/>
      <c r="R503" s="154"/>
      <c r="S503" s="154"/>
      <c r="T503" s="154"/>
      <c r="U503" s="154"/>
      <c r="V503" s="154"/>
      <c r="W503" s="154"/>
      <c r="X503" s="154"/>
      <c r="Y503" s="154"/>
      <c r="Z503" s="154"/>
      <c r="AA503" s="154"/>
    </row>
    <row r="504" spans="1:27" ht="15">
      <c r="A504" s="180">
        <v>45841</v>
      </c>
      <c r="B504" s="181" t="s">
        <v>12965</v>
      </c>
      <c r="C504" s="182" t="s">
        <v>49</v>
      </c>
      <c r="D504" s="182">
        <v>0</v>
      </c>
      <c r="E504" s="183">
        <v>0</v>
      </c>
      <c r="F504" s="183">
        <v>1</v>
      </c>
      <c r="G504" s="184">
        <v>0</v>
      </c>
      <c r="H504" s="158"/>
      <c r="I504" s="154"/>
      <c r="J504" s="154"/>
      <c r="K504" s="154"/>
      <c r="L504" s="154"/>
      <c r="M504" s="154"/>
      <c r="N504" s="154"/>
      <c r="O504" s="154"/>
      <c r="P504" s="154"/>
      <c r="Q504" s="154"/>
      <c r="R504" s="154"/>
      <c r="S504" s="154"/>
      <c r="T504" s="154"/>
      <c r="U504" s="154"/>
      <c r="V504" s="154"/>
      <c r="W504" s="154"/>
      <c r="X504" s="154"/>
      <c r="Y504" s="154"/>
      <c r="Z504" s="154"/>
      <c r="AA504" s="154"/>
    </row>
    <row r="505" spans="1:27" ht="15">
      <c r="A505" s="180">
        <v>45841</v>
      </c>
      <c r="B505" s="181" t="s">
        <v>12968</v>
      </c>
      <c r="C505" s="182" t="s">
        <v>61</v>
      </c>
      <c r="D505" s="182">
        <v>921</v>
      </c>
      <c r="E505" s="183">
        <v>0</v>
      </c>
      <c r="F505" s="183">
        <v>105</v>
      </c>
      <c r="G505" s="184">
        <v>0</v>
      </c>
      <c r="H505" s="158"/>
      <c r="I505" s="154"/>
      <c r="J505" s="154"/>
      <c r="K505" s="154"/>
      <c r="L505" s="154"/>
      <c r="M505" s="154"/>
      <c r="N505" s="154"/>
      <c r="O505" s="154"/>
      <c r="P505" s="154"/>
      <c r="Q505" s="154"/>
      <c r="R505" s="154"/>
      <c r="S505" s="154"/>
      <c r="T505" s="154"/>
      <c r="U505" s="154"/>
      <c r="V505" s="154"/>
      <c r="W505" s="154"/>
      <c r="X505" s="154"/>
      <c r="Y505" s="154"/>
      <c r="Z505" s="154"/>
      <c r="AA505" s="154"/>
    </row>
    <row r="506" spans="1:27" ht="15">
      <c r="A506" s="180">
        <v>45842</v>
      </c>
      <c r="B506" s="181" t="s">
        <v>12992</v>
      </c>
      <c r="C506" s="182" t="s">
        <v>115</v>
      </c>
      <c r="D506" s="182">
        <v>5050</v>
      </c>
      <c r="E506" s="183">
        <v>6</v>
      </c>
      <c r="F506" s="183">
        <v>480</v>
      </c>
      <c r="G506" s="184">
        <v>0</v>
      </c>
      <c r="H506" s="158"/>
      <c r="I506" s="154"/>
      <c r="J506" s="154"/>
      <c r="K506" s="154"/>
      <c r="L506" s="154"/>
      <c r="M506" s="154"/>
      <c r="N506" s="154"/>
      <c r="O506" s="154"/>
      <c r="P506" s="154"/>
      <c r="Q506" s="154"/>
      <c r="R506" s="154"/>
      <c r="S506" s="154"/>
      <c r="T506" s="154"/>
      <c r="U506" s="154"/>
      <c r="V506" s="154"/>
      <c r="W506" s="154"/>
      <c r="X506" s="154"/>
      <c r="Y506" s="154"/>
      <c r="Z506" s="154"/>
      <c r="AA506" s="154"/>
    </row>
    <row r="507" spans="1:27" ht="15">
      <c r="A507" s="180">
        <v>45842</v>
      </c>
      <c r="B507" s="181" t="s">
        <v>12994</v>
      </c>
      <c r="C507" s="182" t="s">
        <v>61</v>
      </c>
      <c r="D507" s="182">
        <v>11555</v>
      </c>
      <c r="E507" s="183">
        <v>4</v>
      </c>
      <c r="F507" s="183">
        <v>647</v>
      </c>
      <c r="G507" s="184">
        <v>0</v>
      </c>
      <c r="H507" s="158"/>
      <c r="I507" s="154"/>
      <c r="J507" s="154"/>
      <c r="K507" s="154"/>
      <c r="L507" s="154"/>
      <c r="M507" s="154"/>
      <c r="N507" s="154"/>
      <c r="O507" s="154"/>
      <c r="P507" s="154"/>
      <c r="Q507" s="154"/>
      <c r="R507" s="154"/>
      <c r="S507" s="154"/>
      <c r="T507" s="154"/>
      <c r="U507" s="154"/>
      <c r="V507" s="154"/>
      <c r="W507" s="154"/>
      <c r="X507" s="154"/>
      <c r="Y507" s="154"/>
      <c r="Z507" s="154"/>
      <c r="AA507" s="154"/>
    </row>
    <row r="508" spans="1:27" ht="15">
      <c r="A508" s="180">
        <v>45842</v>
      </c>
      <c r="B508" s="181" t="s">
        <v>12981</v>
      </c>
      <c r="C508" s="182" t="s">
        <v>115</v>
      </c>
      <c r="D508" s="182">
        <v>11968</v>
      </c>
      <c r="E508" s="183">
        <v>14</v>
      </c>
      <c r="F508" s="183">
        <v>591</v>
      </c>
      <c r="G508" s="184">
        <v>1</v>
      </c>
      <c r="H508" s="158"/>
      <c r="I508" s="154"/>
      <c r="J508" s="154"/>
      <c r="K508" s="154"/>
      <c r="L508" s="154"/>
      <c r="M508" s="154"/>
      <c r="N508" s="154"/>
      <c r="O508" s="154"/>
      <c r="P508" s="154"/>
      <c r="Q508" s="154"/>
      <c r="R508" s="154"/>
      <c r="S508" s="154"/>
      <c r="T508" s="154"/>
      <c r="U508" s="154"/>
      <c r="V508" s="154"/>
      <c r="W508" s="154"/>
      <c r="X508" s="154"/>
      <c r="Y508" s="154"/>
      <c r="Z508" s="154"/>
      <c r="AA508" s="154"/>
    </row>
    <row r="509" spans="1:27" ht="15">
      <c r="A509" s="180">
        <v>45842</v>
      </c>
      <c r="B509" s="181" t="s">
        <v>12982</v>
      </c>
      <c r="C509" s="182" t="s">
        <v>61</v>
      </c>
      <c r="D509" s="182">
        <v>60507</v>
      </c>
      <c r="E509" s="183">
        <v>59</v>
      </c>
      <c r="F509" s="183">
        <v>4521</v>
      </c>
      <c r="G509" s="184">
        <v>16</v>
      </c>
      <c r="H509" s="158"/>
      <c r="I509" s="154"/>
      <c r="J509" s="154"/>
      <c r="K509" s="154"/>
      <c r="L509" s="154"/>
      <c r="M509" s="154"/>
      <c r="N509" s="154"/>
      <c r="O509" s="154"/>
      <c r="P509" s="154"/>
      <c r="Q509" s="154"/>
      <c r="R509" s="154"/>
      <c r="S509" s="154"/>
      <c r="T509" s="154"/>
      <c r="U509" s="154"/>
      <c r="V509" s="154"/>
      <c r="W509" s="154"/>
      <c r="X509" s="154"/>
      <c r="Y509" s="154"/>
      <c r="Z509" s="154"/>
      <c r="AA509" s="154"/>
    </row>
    <row r="510" spans="1:27" ht="15">
      <c r="A510" s="180">
        <v>45842</v>
      </c>
      <c r="B510" s="181" t="s">
        <v>12983</v>
      </c>
      <c r="C510" s="182" t="s">
        <v>61</v>
      </c>
      <c r="D510" s="182">
        <v>3332</v>
      </c>
      <c r="E510" s="183">
        <v>2</v>
      </c>
      <c r="F510" s="183">
        <v>154</v>
      </c>
      <c r="G510" s="184">
        <v>0</v>
      </c>
      <c r="H510" s="158"/>
      <c r="I510" s="154"/>
      <c r="J510" s="154"/>
      <c r="K510" s="154"/>
      <c r="L510" s="154"/>
      <c r="M510" s="154"/>
      <c r="N510" s="154"/>
      <c r="O510" s="154"/>
      <c r="P510" s="154"/>
      <c r="Q510" s="154"/>
      <c r="R510" s="154"/>
      <c r="S510" s="154"/>
      <c r="T510" s="154"/>
      <c r="U510" s="154"/>
      <c r="V510" s="154"/>
      <c r="W510" s="154"/>
      <c r="X510" s="154"/>
      <c r="Y510" s="154"/>
      <c r="Z510" s="154"/>
      <c r="AA510" s="154"/>
    </row>
    <row r="511" spans="1:27" ht="15">
      <c r="A511" s="180">
        <v>45842</v>
      </c>
      <c r="B511" s="181" t="s">
        <v>12969</v>
      </c>
      <c r="C511" s="182" t="s">
        <v>115</v>
      </c>
      <c r="D511" s="182">
        <v>65809</v>
      </c>
      <c r="E511" s="183">
        <v>101</v>
      </c>
      <c r="F511" s="183">
        <v>7548</v>
      </c>
      <c r="G511" s="184">
        <v>19</v>
      </c>
      <c r="H511" s="158"/>
      <c r="I511" s="154"/>
      <c r="J511" s="154"/>
      <c r="K511" s="154"/>
      <c r="L511" s="154"/>
      <c r="M511" s="154"/>
      <c r="N511" s="154"/>
      <c r="O511" s="154"/>
      <c r="P511" s="154"/>
      <c r="Q511" s="154"/>
      <c r="R511" s="154"/>
      <c r="S511" s="154"/>
      <c r="T511" s="154"/>
      <c r="U511" s="154"/>
      <c r="V511" s="154"/>
      <c r="W511" s="154"/>
      <c r="X511" s="154"/>
      <c r="Y511" s="154"/>
      <c r="Z511" s="154"/>
      <c r="AA511" s="154"/>
    </row>
    <row r="512" spans="1:27" ht="15">
      <c r="A512" s="180">
        <v>45842</v>
      </c>
      <c r="B512" s="181" t="s">
        <v>12970</v>
      </c>
      <c r="C512" s="182" t="s">
        <v>115</v>
      </c>
      <c r="D512" s="182">
        <v>18180</v>
      </c>
      <c r="E512" s="183">
        <v>27</v>
      </c>
      <c r="F512" s="183">
        <v>1266</v>
      </c>
      <c r="G512" s="184">
        <v>6</v>
      </c>
      <c r="H512" s="158"/>
      <c r="I512" s="154"/>
      <c r="J512" s="154"/>
      <c r="K512" s="154"/>
      <c r="L512" s="154"/>
      <c r="M512" s="154"/>
      <c r="N512" s="154"/>
      <c r="O512" s="154"/>
      <c r="P512" s="154"/>
      <c r="Q512" s="154"/>
      <c r="R512" s="154"/>
      <c r="S512" s="154"/>
      <c r="T512" s="154"/>
      <c r="U512" s="154"/>
      <c r="V512" s="154"/>
      <c r="W512" s="154"/>
      <c r="X512" s="154"/>
      <c r="Y512" s="154"/>
      <c r="Z512" s="154"/>
      <c r="AA512" s="154"/>
    </row>
    <row r="513" spans="1:27" ht="15">
      <c r="A513" s="180">
        <v>45842</v>
      </c>
      <c r="B513" s="181" t="s">
        <v>12963</v>
      </c>
      <c r="C513" s="182" t="s">
        <v>61</v>
      </c>
      <c r="D513" s="182">
        <v>40857</v>
      </c>
      <c r="E513" s="183">
        <v>37</v>
      </c>
      <c r="F513" s="183">
        <v>3010</v>
      </c>
      <c r="G513" s="184">
        <v>5</v>
      </c>
      <c r="H513" s="158"/>
      <c r="I513" s="154"/>
      <c r="J513" s="154"/>
      <c r="K513" s="154"/>
      <c r="L513" s="154"/>
      <c r="M513" s="154"/>
      <c r="N513" s="154"/>
      <c r="O513" s="154"/>
      <c r="P513" s="154"/>
      <c r="Q513" s="154"/>
      <c r="R513" s="154"/>
      <c r="S513" s="154"/>
      <c r="T513" s="154"/>
      <c r="U513" s="154"/>
      <c r="V513" s="154"/>
      <c r="W513" s="154"/>
      <c r="X513" s="154"/>
      <c r="Y513" s="154"/>
      <c r="Z513" s="154"/>
      <c r="AA513" s="154"/>
    </row>
    <row r="514" spans="1:27" ht="15">
      <c r="A514" s="180">
        <v>45842</v>
      </c>
      <c r="B514" s="181" t="s">
        <v>12964</v>
      </c>
      <c r="C514" s="182" t="s">
        <v>61</v>
      </c>
      <c r="D514" s="182">
        <v>33689</v>
      </c>
      <c r="E514" s="183">
        <v>53</v>
      </c>
      <c r="F514" s="183">
        <v>2251</v>
      </c>
      <c r="G514" s="184">
        <v>9</v>
      </c>
      <c r="H514" s="158"/>
      <c r="I514" s="154"/>
      <c r="J514" s="154"/>
      <c r="K514" s="154"/>
      <c r="L514" s="154"/>
      <c r="M514" s="154"/>
      <c r="N514" s="154"/>
      <c r="O514" s="154"/>
      <c r="P514" s="154"/>
      <c r="Q514" s="154"/>
      <c r="R514" s="154"/>
      <c r="S514" s="154"/>
      <c r="T514" s="154"/>
      <c r="U514" s="154"/>
      <c r="V514" s="154"/>
      <c r="W514" s="154"/>
      <c r="X514" s="154"/>
      <c r="Y514" s="154"/>
      <c r="Z514" s="154"/>
      <c r="AA514" s="154"/>
    </row>
    <row r="515" spans="1:27" ht="15">
      <c r="A515" s="180">
        <v>45842</v>
      </c>
      <c r="B515" s="181" t="s">
        <v>12968</v>
      </c>
      <c r="C515" s="182" t="s">
        <v>61</v>
      </c>
      <c r="D515" s="182">
        <v>49945</v>
      </c>
      <c r="E515" s="183">
        <v>87</v>
      </c>
      <c r="F515" s="183">
        <v>6359</v>
      </c>
      <c r="G515" s="184">
        <v>16</v>
      </c>
      <c r="H515" s="158"/>
      <c r="I515" s="154"/>
      <c r="J515" s="154"/>
      <c r="K515" s="154"/>
      <c r="L515" s="154"/>
      <c r="M515" s="154"/>
      <c r="N515" s="154"/>
      <c r="O515" s="154"/>
      <c r="P515" s="154"/>
      <c r="Q515" s="154"/>
      <c r="R515" s="154"/>
      <c r="S515" s="154"/>
      <c r="T515" s="154"/>
      <c r="U515" s="154"/>
      <c r="V515" s="154"/>
      <c r="W515" s="154"/>
      <c r="X515" s="154"/>
      <c r="Y515" s="154"/>
      <c r="Z515" s="154"/>
      <c r="AA515" s="154"/>
    </row>
    <row r="516" spans="1:27" ht="15">
      <c r="A516" s="180">
        <v>45843</v>
      </c>
      <c r="B516" s="181" t="s">
        <v>12998</v>
      </c>
      <c r="C516" s="182" t="s">
        <v>1229</v>
      </c>
      <c r="D516" s="182">
        <v>13951</v>
      </c>
      <c r="E516" s="183">
        <v>10</v>
      </c>
      <c r="F516" s="183">
        <v>520</v>
      </c>
      <c r="G516" s="184">
        <v>1</v>
      </c>
      <c r="H516" s="158"/>
      <c r="I516" s="154"/>
      <c r="J516" s="154"/>
      <c r="K516" s="154"/>
      <c r="L516" s="154"/>
      <c r="M516" s="154"/>
      <c r="N516" s="154"/>
      <c r="O516" s="154"/>
      <c r="P516" s="154"/>
      <c r="Q516" s="154"/>
      <c r="R516" s="154"/>
      <c r="S516" s="154"/>
      <c r="T516" s="154"/>
      <c r="U516" s="154"/>
      <c r="V516" s="154"/>
      <c r="W516" s="154"/>
      <c r="X516" s="154"/>
      <c r="Y516" s="154"/>
      <c r="Z516" s="154"/>
      <c r="AA516" s="154"/>
    </row>
    <row r="517" spans="1:27" ht="15">
      <c r="A517" s="180">
        <v>45843</v>
      </c>
      <c r="B517" s="181" t="s">
        <v>12991</v>
      </c>
      <c r="C517" s="182" t="s">
        <v>752</v>
      </c>
      <c r="D517" s="182">
        <v>8303</v>
      </c>
      <c r="E517" s="183">
        <v>5</v>
      </c>
      <c r="F517" s="183">
        <v>154</v>
      </c>
      <c r="G517" s="184">
        <v>0</v>
      </c>
      <c r="H517" s="158"/>
      <c r="I517" s="154"/>
      <c r="J517" s="154"/>
      <c r="K517" s="154"/>
      <c r="L517" s="154"/>
      <c r="M517" s="154"/>
      <c r="N517" s="154"/>
      <c r="O517" s="154"/>
      <c r="P517" s="154"/>
      <c r="Q517" s="154"/>
      <c r="R517" s="154"/>
      <c r="S517" s="154"/>
      <c r="T517" s="154"/>
      <c r="U517" s="154"/>
      <c r="V517" s="154"/>
      <c r="W517" s="154"/>
      <c r="X517" s="154"/>
      <c r="Y517" s="154"/>
      <c r="Z517" s="154"/>
      <c r="AA517" s="154"/>
    </row>
    <row r="518" spans="1:27" ht="15">
      <c r="A518" s="180">
        <v>45843</v>
      </c>
      <c r="B518" s="181" t="s">
        <v>12992</v>
      </c>
      <c r="C518" s="182" t="s">
        <v>115</v>
      </c>
      <c r="D518" s="182">
        <v>3986</v>
      </c>
      <c r="E518" s="183">
        <v>7</v>
      </c>
      <c r="F518" s="183">
        <v>405</v>
      </c>
      <c r="G518" s="184">
        <v>0</v>
      </c>
      <c r="H518" s="158"/>
      <c r="I518" s="154"/>
      <c r="J518" s="154"/>
      <c r="K518" s="154"/>
      <c r="L518" s="154"/>
      <c r="M518" s="154"/>
      <c r="N518" s="154"/>
      <c r="O518" s="154"/>
      <c r="P518" s="154"/>
      <c r="Q518" s="154"/>
      <c r="R518" s="154"/>
      <c r="S518" s="154"/>
      <c r="T518" s="154"/>
      <c r="U518" s="154"/>
      <c r="V518" s="154"/>
      <c r="W518" s="154"/>
      <c r="X518" s="154"/>
      <c r="Y518" s="154"/>
      <c r="Z518" s="154"/>
      <c r="AA518" s="154"/>
    </row>
    <row r="519" spans="1:27" ht="15">
      <c r="A519" s="180">
        <v>45843</v>
      </c>
      <c r="B519" s="181" t="s">
        <v>12994</v>
      </c>
      <c r="C519" s="182" t="s">
        <v>61</v>
      </c>
      <c r="D519" s="182">
        <v>35830</v>
      </c>
      <c r="E519" s="183">
        <v>37</v>
      </c>
      <c r="F519" s="183">
        <v>1735</v>
      </c>
      <c r="G519" s="184">
        <v>7</v>
      </c>
      <c r="H519" s="158"/>
      <c r="I519" s="154"/>
      <c r="J519" s="154"/>
      <c r="K519" s="154"/>
      <c r="L519" s="154"/>
      <c r="M519" s="154"/>
      <c r="N519" s="154"/>
      <c r="O519" s="154"/>
      <c r="P519" s="154"/>
      <c r="Q519" s="154"/>
      <c r="R519" s="154"/>
      <c r="S519" s="154"/>
      <c r="T519" s="154"/>
      <c r="U519" s="154"/>
      <c r="V519" s="154"/>
      <c r="W519" s="154"/>
      <c r="X519" s="154"/>
      <c r="Y519" s="154"/>
      <c r="Z519" s="154"/>
      <c r="AA519" s="154"/>
    </row>
    <row r="520" spans="1:27" ht="15">
      <c r="A520" s="180">
        <v>45843</v>
      </c>
      <c r="B520" s="181" t="s">
        <v>12981</v>
      </c>
      <c r="C520" s="182" t="s">
        <v>115</v>
      </c>
      <c r="D520" s="182">
        <v>12821</v>
      </c>
      <c r="E520" s="183">
        <v>8</v>
      </c>
      <c r="F520" s="183">
        <v>812</v>
      </c>
      <c r="G520" s="184">
        <v>1</v>
      </c>
      <c r="H520" s="158"/>
      <c r="I520" s="154"/>
      <c r="J520" s="154"/>
      <c r="K520" s="154"/>
      <c r="L520" s="154"/>
      <c r="M520" s="154"/>
      <c r="N520" s="154"/>
      <c r="O520" s="154"/>
      <c r="P520" s="154"/>
      <c r="Q520" s="154"/>
      <c r="R520" s="154"/>
      <c r="S520" s="154"/>
      <c r="T520" s="154"/>
      <c r="U520" s="154"/>
      <c r="V520" s="154"/>
      <c r="W520" s="154"/>
      <c r="X520" s="154"/>
      <c r="Y520" s="154"/>
      <c r="Z520" s="154"/>
      <c r="AA520" s="154"/>
    </row>
    <row r="521" spans="1:27" ht="15">
      <c r="A521" s="180">
        <v>45843</v>
      </c>
      <c r="B521" s="181" t="s">
        <v>12982</v>
      </c>
      <c r="C521" s="182" t="s">
        <v>61</v>
      </c>
      <c r="D521" s="182">
        <v>20722</v>
      </c>
      <c r="E521" s="183">
        <v>33</v>
      </c>
      <c r="F521" s="183">
        <v>1976</v>
      </c>
      <c r="G521" s="184">
        <v>3</v>
      </c>
      <c r="H521" s="158"/>
      <c r="I521" s="154"/>
      <c r="J521" s="154"/>
      <c r="K521" s="154"/>
      <c r="L521" s="154"/>
      <c r="M521" s="154"/>
      <c r="N521" s="154"/>
      <c r="O521" s="154"/>
      <c r="P521" s="154"/>
      <c r="Q521" s="154"/>
      <c r="R521" s="154"/>
      <c r="S521" s="154"/>
      <c r="T521" s="154"/>
      <c r="U521" s="154"/>
      <c r="V521" s="154"/>
      <c r="W521" s="154"/>
      <c r="X521" s="154"/>
      <c r="Y521" s="154"/>
      <c r="Z521" s="154"/>
      <c r="AA521" s="154"/>
    </row>
    <row r="522" spans="1:27" ht="15">
      <c r="A522" s="180">
        <v>45843</v>
      </c>
      <c r="B522" s="181" t="s">
        <v>12983</v>
      </c>
      <c r="C522" s="182" t="s">
        <v>61</v>
      </c>
      <c r="D522" s="182">
        <v>12636</v>
      </c>
      <c r="E522" s="183">
        <v>6</v>
      </c>
      <c r="F522" s="183">
        <v>569</v>
      </c>
      <c r="G522" s="184">
        <v>0</v>
      </c>
      <c r="H522" s="158"/>
      <c r="I522" s="154"/>
      <c r="J522" s="154"/>
      <c r="K522" s="154"/>
      <c r="L522" s="154"/>
      <c r="M522" s="154"/>
      <c r="N522" s="154"/>
      <c r="O522" s="154"/>
      <c r="P522" s="154"/>
      <c r="Q522" s="154"/>
      <c r="R522" s="154"/>
      <c r="S522" s="154"/>
      <c r="T522" s="154"/>
      <c r="U522" s="154"/>
      <c r="V522" s="154"/>
      <c r="W522" s="154"/>
      <c r="X522" s="154"/>
      <c r="Y522" s="154"/>
      <c r="Z522" s="154"/>
      <c r="AA522" s="154"/>
    </row>
    <row r="523" spans="1:27" ht="15">
      <c r="A523" s="180">
        <v>45843</v>
      </c>
      <c r="B523" s="181" t="s">
        <v>12995</v>
      </c>
      <c r="C523" s="182" t="s">
        <v>1229</v>
      </c>
      <c r="D523" s="182">
        <v>22250</v>
      </c>
      <c r="E523" s="183">
        <v>18</v>
      </c>
      <c r="F523" s="183">
        <v>541</v>
      </c>
      <c r="G523" s="184">
        <v>4</v>
      </c>
      <c r="H523" s="158"/>
      <c r="I523" s="154"/>
      <c r="J523" s="154"/>
      <c r="K523" s="154"/>
      <c r="L523" s="154"/>
      <c r="M523" s="154"/>
      <c r="N523" s="154"/>
      <c r="O523" s="154"/>
      <c r="P523" s="154"/>
      <c r="Q523" s="154"/>
      <c r="R523" s="154"/>
      <c r="S523" s="154"/>
      <c r="T523" s="154"/>
      <c r="U523" s="154"/>
      <c r="V523" s="154"/>
      <c r="W523" s="154"/>
      <c r="X523" s="154"/>
      <c r="Y523" s="154"/>
      <c r="Z523" s="154"/>
      <c r="AA523" s="154"/>
    </row>
    <row r="524" spans="1:27" ht="15">
      <c r="A524" s="180">
        <v>45843</v>
      </c>
      <c r="B524" s="181" t="s">
        <v>12996</v>
      </c>
      <c r="C524" s="182" t="s">
        <v>1229</v>
      </c>
      <c r="D524" s="182">
        <v>4362</v>
      </c>
      <c r="E524" s="183">
        <v>1</v>
      </c>
      <c r="F524" s="183">
        <v>85</v>
      </c>
      <c r="G524" s="184">
        <v>0</v>
      </c>
      <c r="H524" s="158"/>
      <c r="I524" s="154"/>
      <c r="J524" s="154"/>
      <c r="K524" s="154"/>
      <c r="L524" s="154"/>
      <c r="M524" s="154"/>
      <c r="N524" s="154"/>
      <c r="O524" s="154"/>
      <c r="P524" s="154"/>
      <c r="Q524" s="154"/>
      <c r="R524" s="154"/>
      <c r="S524" s="154"/>
      <c r="T524" s="154"/>
      <c r="U524" s="154"/>
      <c r="V524" s="154"/>
      <c r="W524" s="154"/>
      <c r="X524" s="154"/>
      <c r="Y524" s="154"/>
      <c r="Z524" s="154"/>
      <c r="AA524" s="154"/>
    </row>
    <row r="525" spans="1:27" ht="15">
      <c r="A525" s="180">
        <v>45843</v>
      </c>
      <c r="B525" s="181" t="s">
        <v>12969</v>
      </c>
      <c r="C525" s="182" t="s">
        <v>115</v>
      </c>
      <c r="D525" s="182">
        <v>3175</v>
      </c>
      <c r="E525" s="183">
        <v>4</v>
      </c>
      <c r="F525" s="183">
        <v>421</v>
      </c>
      <c r="G525" s="184">
        <v>0</v>
      </c>
      <c r="H525" s="158"/>
      <c r="I525" s="154"/>
      <c r="J525" s="154"/>
      <c r="K525" s="154"/>
      <c r="L525" s="154"/>
      <c r="M525" s="154"/>
      <c r="N525" s="154"/>
      <c r="O525" s="154"/>
      <c r="P525" s="154"/>
      <c r="Q525" s="154"/>
      <c r="R525" s="154"/>
      <c r="S525" s="154"/>
      <c r="T525" s="154"/>
      <c r="U525" s="154"/>
      <c r="V525" s="154"/>
      <c r="W525" s="154"/>
      <c r="X525" s="154"/>
      <c r="Y525" s="154"/>
      <c r="Z525" s="154"/>
      <c r="AA525" s="154"/>
    </row>
    <row r="526" spans="1:27" ht="15">
      <c r="A526" s="180">
        <v>45843</v>
      </c>
      <c r="B526" s="181" t="s">
        <v>12970</v>
      </c>
      <c r="C526" s="182" t="s">
        <v>115</v>
      </c>
      <c r="D526" s="182">
        <v>9314</v>
      </c>
      <c r="E526" s="183">
        <v>8</v>
      </c>
      <c r="F526" s="183">
        <v>685</v>
      </c>
      <c r="G526" s="184">
        <v>0</v>
      </c>
      <c r="H526" s="158"/>
      <c r="I526" s="154"/>
      <c r="J526" s="154"/>
      <c r="K526" s="154"/>
      <c r="L526" s="154"/>
      <c r="M526" s="154"/>
      <c r="N526" s="154"/>
      <c r="O526" s="154"/>
      <c r="P526" s="154"/>
      <c r="Q526" s="154"/>
      <c r="R526" s="154"/>
      <c r="S526" s="154"/>
      <c r="T526" s="154"/>
      <c r="U526" s="154"/>
      <c r="V526" s="154"/>
      <c r="W526" s="154"/>
      <c r="X526" s="154"/>
      <c r="Y526" s="154"/>
      <c r="Z526" s="154"/>
      <c r="AA526" s="154"/>
    </row>
    <row r="527" spans="1:27" ht="15">
      <c r="A527" s="180">
        <v>45843</v>
      </c>
      <c r="B527" s="181" t="s">
        <v>12971</v>
      </c>
      <c r="C527" s="182" t="s">
        <v>115</v>
      </c>
      <c r="D527" s="182">
        <v>2895</v>
      </c>
      <c r="E527" s="183">
        <v>3</v>
      </c>
      <c r="F527" s="183">
        <v>298</v>
      </c>
      <c r="G527" s="184">
        <v>0</v>
      </c>
      <c r="H527" s="158"/>
      <c r="I527" s="154"/>
      <c r="J527" s="154"/>
      <c r="K527" s="154"/>
      <c r="L527" s="154"/>
      <c r="M527" s="154"/>
      <c r="N527" s="154"/>
      <c r="O527" s="154"/>
      <c r="P527" s="154"/>
      <c r="Q527" s="154"/>
      <c r="R527" s="154"/>
      <c r="S527" s="154"/>
      <c r="T527" s="154"/>
      <c r="U527" s="154"/>
      <c r="V527" s="154"/>
      <c r="W527" s="154"/>
      <c r="X527" s="154"/>
      <c r="Y527" s="154"/>
      <c r="Z527" s="154"/>
      <c r="AA527" s="154"/>
    </row>
    <row r="528" spans="1:27" ht="15">
      <c r="A528" s="180">
        <v>45843</v>
      </c>
      <c r="B528" s="181" t="s">
        <v>12963</v>
      </c>
      <c r="C528" s="182" t="s">
        <v>61</v>
      </c>
      <c r="D528" s="182">
        <v>52796</v>
      </c>
      <c r="E528" s="183">
        <v>83</v>
      </c>
      <c r="F528" s="183">
        <v>5063</v>
      </c>
      <c r="G528" s="184">
        <v>16</v>
      </c>
      <c r="H528" s="158"/>
      <c r="I528" s="154"/>
      <c r="J528" s="154"/>
      <c r="K528" s="154"/>
      <c r="L528" s="154"/>
      <c r="M528" s="154"/>
      <c r="N528" s="154"/>
      <c r="O528" s="154"/>
      <c r="P528" s="154"/>
      <c r="Q528" s="154"/>
      <c r="R528" s="154"/>
      <c r="S528" s="154"/>
      <c r="T528" s="154"/>
      <c r="U528" s="154"/>
      <c r="V528" s="154"/>
      <c r="W528" s="154"/>
      <c r="X528" s="154"/>
      <c r="Y528" s="154"/>
      <c r="Z528" s="154"/>
      <c r="AA528" s="154"/>
    </row>
    <row r="529" spans="1:27" ht="15">
      <c r="A529" s="180">
        <v>45843</v>
      </c>
      <c r="B529" s="181" t="s">
        <v>12964</v>
      </c>
      <c r="C529" s="182" t="s">
        <v>61</v>
      </c>
      <c r="D529" s="182">
        <v>16061</v>
      </c>
      <c r="E529" s="183">
        <v>15</v>
      </c>
      <c r="F529" s="183">
        <v>1107</v>
      </c>
      <c r="G529" s="184">
        <v>3</v>
      </c>
      <c r="H529" s="158"/>
      <c r="I529" s="154"/>
      <c r="J529" s="154"/>
      <c r="K529" s="154"/>
      <c r="L529" s="154"/>
      <c r="M529" s="154"/>
      <c r="N529" s="154"/>
      <c r="O529" s="154"/>
      <c r="P529" s="154"/>
      <c r="Q529" s="154"/>
      <c r="R529" s="154"/>
      <c r="S529" s="154"/>
      <c r="T529" s="154"/>
      <c r="U529" s="154"/>
      <c r="V529" s="154"/>
      <c r="W529" s="154"/>
      <c r="X529" s="154"/>
      <c r="Y529" s="154"/>
      <c r="Z529" s="154"/>
      <c r="AA529" s="154"/>
    </row>
    <row r="530" spans="1:27" ht="15">
      <c r="A530" s="180">
        <v>45843</v>
      </c>
      <c r="B530" s="181" t="s">
        <v>12968</v>
      </c>
      <c r="C530" s="182" t="s">
        <v>61</v>
      </c>
      <c r="D530" s="182">
        <v>86881</v>
      </c>
      <c r="E530" s="183">
        <v>177</v>
      </c>
      <c r="F530" s="183">
        <v>11629</v>
      </c>
      <c r="G530" s="184">
        <v>23</v>
      </c>
      <c r="H530" s="158"/>
      <c r="I530" s="154"/>
      <c r="J530" s="154"/>
      <c r="K530" s="154"/>
      <c r="L530" s="154"/>
      <c r="M530" s="154"/>
      <c r="N530" s="154"/>
      <c r="O530" s="154"/>
      <c r="P530" s="154"/>
      <c r="Q530" s="154"/>
      <c r="R530" s="154"/>
      <c r="S530" s="154"/>
      <c r="T530" s="154"/>
      <c r="U530" s="154"/>
      <c r="V530" s="154"/>
      <c r="W530" s="154"/>
      <c r="X530" s="154"/>
      <c r="Y530" s="154"/>
      <c r="Z530" s="154"/>
      <c r="AA530" s="154"/>
    </row>
    <row r="531" spans="1:27" ht="15">
      <c r="A531" s="180">
        <v>45844</v>
      </c>
      <c r="B531" s="181" t="s">
        <v>12997</v>
      </c>
      <c r="C531" s="182" t="s">
        <v>49</v>
      </c>
      <c r="D531" s="182">
        <v>16</v>
      </c>
      <c r="E531" s="183">
        <v>0</v>
      </c>
      <c r="F531" s="183">
        <v>1</v>
      </c>
      <c r="G531" s="184">
        <v>0</v>
      </c>
      <c r="H531" s="158"/>
      <c r="I531" s="154"/>
      <c r="J531" s="154"/>
      <c r="K531" s="154"/>
      <c r="L531" s="154"/>
      <c r="M531" s="154"/>
      <c r="N531" s="154"/>
      <c r="O531" s="154"/>
      <c r="P531" s="154"/>
      <c r="Q531" s="154"/>
      <c r="R531" s="154"/>
      <c r="S531" s="154"/>
      <c r="T531" s="154"/>
      <c r="U531" s="154"/>
      <c r="V531" s="154"/>
      <c r="W531" s="154"/>
      <c r="X531" s="154"/>
      <c r="Y531" s="154"/>
      <c r="Z531" s="154"/>
      <c r="AA531" s="154"/>
    </row>
    <row r="532" spans="1:27" ht="15">
      <c r="A532" s="180">
        <v>45844</v>
      </c>
      <c r="B532" s="181" t="s">
        <v>12998</v>
      </c>
      <c r="C532" s="182" t="s">
        <v>1229</v>
      </c>
      <c r="D532" s="182">
        <v>887</v>
      </c>
      <c r="E532" s="183">
        <v>1</v>
      </c>
      <c r="F532" s="183">
        <v>36</v>
      </c>
      <c r="G532" s="184">
        <v>0</v>
      </c>
      <c r="H532" s="158"/>
      <c r="I532" s="154"/>
      <c r="J532" s="154"/>
      <c r="K532" s="154"/>
      <c r="L532" s="154"/>
      <c r="M532" s="154"/>
      <c r="N532" s="154"/>
      <c r="O532" s="154"/>
      <c r="P532" s="154"/>
      <c r="Q532" s="154"/>
      <c r="R532" s="154"/>
      <c r="S532" s="154"/>
      <c r="T532" s="154"/>
      <c r="U532" s="154"/>
      <c r="V532" s="154"/>
      <c r="W532" s="154"/>
      <c r="X532" s="154"/>
      <c r="Y532" s="154"/>
      <c r="Z532" s="154"/>
      <c r="AA532" s="154"/>
    </row>
    <row r="533" spans="1:27" ht="15">
      <c r="A533" s="180">
        <v>45844</v>
      </c>
      <c r="B533" s="181" t="s">
        <v>12991</v>
      </c>
      <c r="C533" s="182" t="s">
        <v>752</v>
      </c>
      <c r="D533" s="182">
        <v>421</v>
      </c>
      <c r="E533" s="183">
        <v>0</v>
      </c>
      <c r="F533" s="183">
        <v>29</v>
      </c>
      <c r="G533" s="184">
        <v>0</v>
      </c>
      <c r="H533" s="158"/>
      <c r="I533" s="154"/>
      <c r="J533" s="154"/>
      <c r="K533" s="154"/>
      <c r="L533" s="154"/>
      <c r="M533" s="154"/>
      <c r="N533" s="154"/>
      <c r="O533" s="154"/>
      <c r="P533" s="154"/>
      <c r="Q533" s="154"/>
      <c r="R533" s="154"/>
      <c r="S533" s="154"/>
      <c r="T533" s="154"/>
      <c r="U533" s="154"/>
      <c r="V533" s="154"/>
      <c r="W533" s="154"/>
      <c r="X533" s="154"/>
      <c r="Y533" s="154"/>
      <c r="Z533" s="154"/>
      <c r="AA533" s="154"/>
    </row>
    <row r="534" spans="1:27" ht="15">
      <c r="A534" s="180">
        <v>45844</v>
      </c>
      <c r="B534" s="181" t="s">
        <v>12992</v>
      </c>
      <c r="C534" s="182" t="s">
        <v>115</v>
      </c>
      <c r="D534" s="182">
        <v>52</v>
      </c>
      <c r="E534" s="183">
        <v>0</v>
      </c>
      <c r="F534" s="183">
        <v>12</v>
      </c>
      <c r="G534" s="184">
        <v>0</v>
      </c>
      <c r="H534" s="158"/>
      <c r="I534" s="154"/>
      <c r="J534" s="154"/>
      <c r="K534" s="154"/>
      <c r="L534" s="154"/>
      <c r="M534" s="154"/>
      <c r="N534" s="154"/>
      <c r="O534" s="154"/>
      <c r="P534" s="154"/>
      <c r="Q534" s="154"/>
      <c r="R534" s="154"/>
      <c r="S534" s="154"/>
      <c r="T534" s="154"/>
      <c r="U534" s="154"/>
      <c r="V534" s="154"/>
      <c r="W534" s="154"/>
      <c r="X534" s="154"/>
      <c r="Y534" s="154"/>
      <c r="Z534" s="154"/>
      <c r="AA534" s="154"/>
    </row>
    <row r="535" spans="1:27" ht="15">
      <c r="A535" s="180">
        <v>45844</v>
      </c>
      <c r="B535" s="181" t="s">
        <v>12993</v>
      </c>
      <c r="C535" s="182" t="s">
        <v>49</v>
      </c>
      <c r="D535" s="182">
        <v>900</v>
      </c>
      <c r="E535" s="183">
        <v>1</v>
      </c>
      <c r="F535" s="183">
        <v>36</v>
      </c>
      <c r="G535" s="184">
        <v>0</v>
      </c>
      <c r="H535" s="158"/>
      <c r="I535" s="154"/>
      <c r="J535" s="154"/>
      <c r="K535" s="154"/>
      <c r="L535" s="154"/>
      <c r="M535" s="154"/>
      <c r="N535" s="154"/>
      <c r="O535" s="154"/>
      <c r="P535" s="154"/>
      <c r="Q535" s="154"/>
      <c r="R535" s="154"/>
      <c r="S535" s="154"/>
      <c r="T535" s="154"/>
      <c r="U535" s="154"/>
      <c r="V535" s="154"/>
      <c r="W535" s="154"/>
      <c r="X535" s="154"/>
      <c r="Y535" s="154"/>
      <c r="Z535" s="154"/>
      <c r="AA535" s="154"/>
    </row>
    <row r="536" spans="1:27" ht="15">
      <c r="A536" s="180">
        <v>45844</v>
      </c>
      <c r="B536" s="181" t="s">
        <v>12994</v>
      </c>
      <c r="C536" s="182" t="s">
        <v>61</v>
      </c>
      <c r="D536" s="182">
        <v>1567</v>
      </c>
      <c r="E536" s="183">
        <v>3</v>
      </c>
      <c r="F536" s="183">
        <v>76</v>
      </c>
      <c r="G536" s="184">
        <v>0</v>
      </c>
      <c r="H536" s="158"/>
      <c r="I536" s="154"/>
      <c r="J536" s="154"/>
      <c r="K536" s="154"/>
      <c r="L536" s="154"/>
      <c r="M536" s="154"/>
      <c r="N536" s="154"/>
      <c r="O536" s="154"/>
      <c r="P536" s="154"/>
      <c r="Q536" s="154"/>
      <c r="R536" s="154"/>
      <c r="S536" s="154"/>
      <c r="T536" s="154"/>
      <c r="U536" s="154"/>
      <c r="V536" s="154"/>
      <c r="W536" s="154"/>
      <c r="X536" s="154"/>
      <c r="Y536" s="154"/>
      <c r="Z536" s="154"/>
      <c r="AA536" s="154"/>
    </row>
    <row r="537" spans="1:27" ht="15">
      <c r="A537" s="180">
        <v>45844</v>
      </c>
      <c r="B537" s="181" t="s">
        <v>12980</v>
      </c>
      <c r="C537" s="182" t="s">
        <v>115</v>
      </c>
      <c r="D537" s="182">
        <v>843</v>
      </c>
      <c r="E537" s="183">
        <v>0</v>
      </c>
      <c r="F537" s="183">
        <v>50</v>
      </c>
      <c r="G537" s="184">
        <v>0</v>
      </c>
      <c r="H537" s="158"/>
      <c r="I537" s="154"/>
      <c r="J537" s="154"/>
      <c r="K537" s="154"/>
      <c r="L537" s="154"/>
      <c r="M537" s="154"/>
      <c r="N537" s="154"/>
      <c r="O537" s="154"/>
      <c r="P537" s="154"/>
      <c r="Q537" s="154"/>
      <c r="R537" s="154"/>
      <c r="S537" s="154"/>
      <c r="T537" s="154"/>
      <c r="U537" s="154"/>
      <c r="V537" s="154"/>
      <c r="W537" s="154"/>
      <c r="X537" s="154"/>
      <c r="Y537" s="154"/>
      <c r="Z537" s="154"/>
      <c r="AA537" s="154"/>
    </row>
    <row r="538" spans="1:27" ht="15">
      <c r="A538" s="180">
        <v>45844</v>
      </c>
      <c r="B538" s="181" t="s">
        <v>12981</v>
      </c>
      <c r="C538" s="182" t="s">
        <v>115</v>
      </c>
      <c r="D538" s="182">
        <v>231</v>
      </c>
      <c r="E538" s="183">
        <v>0</v>
      </c>
      <c r="F538" s="183">
        <v>33</v>
      </c>
      <c r="G538" s="184">
        <v>0</v>
      </c>
      <c r="H538" s="158"/>
      <c r="I538" s="154"/>
      <c r="J538" s="154"/>
      <c r="K538" s="154"/>
      <c r="L538" s="154"/>
      <c r="M538" s="154"/>
      <c r="N538" s="154"/>
      <c r="O538" s="154"/>
      <c r="P538" s="154"/>
      <c r="Q538" s="154"/>
      <c r="R538" s="154"/>
      <c r="S538" s="154"/>
      <c r="T538" s="154"/>
      <c r="U538" s="154"/>
      <c r="V538" s="154"/>
      <c r="W538" s="154"/>
      <c r="X538" s="154"/>
      <c r="Y538" s="154"/>
      <c r="Z538" s="154"/>
      <c r="AA538" s="154"/>
    </row>
    <row r="539" spans="1:27" ht="15">
      <c r="A539" s="180">
        <v>45844</v>
      </c>
      <c r="B539" s="181" t="s">
        <v>12982</v>
      </c>
      <c r="C539" s="182" t="s">
        <v>61</v>
      </c>
      <c r="D539" s="182">
        <v>930</v>
      </c>
      <c r="E539" s="183">
        <v>2</v>
      </c>
      <c r="F539" s="183">
        <v>98</v>
      </c>
      <c r="G539" s="184">
        <v>0</v>
      </c>
      <c r="H539" s="158"/>
      <c r="I539" s="154"/>
      <c r="J539" s="154"/>
      <c r="K539" s="154"/>
      <c r="L539" s="154"/>
      <c r="M539" s="154"/>
      <c r="N539" s="154"/>
      <c r="O539" s="154"/>
      <c r="P539" s="154"/>
      <c r="Q539" s="154"/>
      <c r="R539" s="154"/>
      <c r="S539" s="154"/>
      <c r="T539" s="154"/>
      <c r="U539" s="154"/>
      <c r="V539" s="154"/>
      <c r="W539" s="154"/>
      <c r="X539" s="154"/>
      <c r="Y539" s="154"/>
      <c r="Z539" s="154"/>
      <c r="AA539" s="154"/>
    </row>
    <row r="540" spans="1:27" ht="15">
      <c r="A540" s="180">
        <v>45844</v>
      </c>
      <c r="B540" s="181" t="s">
        <v>12983</v>
      </c>
      <c r="C540" s="182" t="s">
        <v>61</v>
      </c>
      <c r="D540" s="182">
        <v>568</v>
      </c>
      <c r="E540" s="183">
        <v>1</v>
      </c>
      <c r="F540" s="183">
        <v>35</v>
      </c>
      <c r="G540" s="184">
        <v>0</v>
      </c>
      <c r="H540" s="158"/>
      <c r="I540" s="154"/>
      <c r="J540" s="154"/>
      <c r="K540" s="154"/>
      <c r="L540" s="154"/>
      <c r="M540" s="154"/>
      <c r="N540" s="154"/>
      <c r="O540" s="154"/>
      <c r="P540" s="154"/>
      <c r="Q540" s="154"/>
      <c r="R540" s="154"/>
      <c r="S540" s="154"/>
      <c r="T540" s="154"/>
      <c r="U540" s="154"/>
      <c r="V540" s="154"/>
      <c r="W540" s="154"/>
      <c r="X540" s="154"/>
      <c r="Y540" s="154"/>
      <c r="Z540" s="154"/>
      <c r="AA540" s="154"/>
    </row>
    <row r="541" spans="1:27" ht="15">
      <c r="A541" s="180">
        <v>45844</v>
      </c>
      <c r="B541" s="181" t="s">
        <v>12995</v>
      </c>
      <c r="C541" s="182" t="s">
        <v>1229</v>
      </c>
      <c r="D541" s="182">
        <v>5611</v>
      </c>
      <c r="E541" s="183">
        <v>4</v>
      </c>
      <c r="F541" s="183">
        <v>326</v>
      </c>
      <c r="G541" s="184">
        <v>2</v>
      </c>
      <c r="H541" s="158"/>
      <c r="I541" s="154"/>
      <c r="J541" s="154"/>
      <c r="K541" s="154"/>
      <c r="L541" s="154"/>
      <c r="M541" s="154"/>
      <c r="N541" s="154"/>
      <c r="O541" s="154"/>
      <c r="P541" s="154"/>
      <c r="Q541" s="154"/>
      <c r="R541" s="154"/>
      <c r="S541" s="154"/>
      <c r="T541" s="154"/>
      <c r="U541" s="154"/>
      <c r="V541" s="154"/>
      <c r="W541" s="154"/>
      <c r="X541" s="154"/>
      <c r="Y541" s="154"/>
      <c r="Z541" s="154"/>
      <c r="AA541" s="154"/>
    </row>
    <row r="542" spans="1:27" ht="15">
      <c r="A542" s="180">
        <v>45844</v>
      </c>
      <c r="B542" s="181" t="s">
        <v>12996</v>
      </c>
      <c r="C542" s="182" t="s">
        <v>1229</v>
      </c>
      <c r="D542" s="182">
        <v>3</v>
      </c>
      <c r="E542" s="183">
        <v>0</v>
      </c>
      <c r="F542" s="183">
        <v>2</v>
      </c>
      <c r="G542" s="184">
        <v>0</v>
      </c>
      <c r="H542" s="158"/>
      <c r="I542" s="154"/>
      <c r="J542" s="154"/>
      <c r="K542" s="154"/>
      <c r="L542" s="154"/>
      <c r="M542" s="154"/>
      <c r="N542" s="154"/>
      <c r="O542" s="154"/>
      <c r="P542" s="154"/>
      <c r="Q542" s="154"/>
      <c r="R542" s="154"/>
      <c r="S542" s="154"/>
      <c r="T542" s="154"/>
      <c r="U542" s="154"/>
      <c r="V542" s="154"/>
      <c r="W542" s="154"/>
      <c r="X542" s="154"/>
      <c r="Y542" s="154"/>
      <c r="Z542" s="154"/>
      <c r="AA542" s="154"/>
    </row>
    <row r="543" spans="1:27" ht="15">
      <c r="A543" s="180">
        <v>45844</v>
      </c>
      <c r="B543" s="181" t="s">
        <v>12969</v>
      </c>
      <c r="C543" s="182" t="s">
        <v>115</v>
      </c>
      <c r="D543" s="182">
        <v>150</v>
      </c>
      <c r="E543" s="183">
        <v>1</v>
      </c>
      <c r="F543" s="183">
        <v>19</v>
      </c>
      <c r="G543" s="184">
        <v>0</v>
      </c>
      <c r="H543" s="158"/>
      <c r="I543" s="154"/>
      <c r="J543" s="154"/>
      <c r="K543" s="154"/>
      <c r="L543" s="154"/>
      <c r="M543" s="154"/>
      <c r="N543" s="154"/>
      <c r="O543" s="154"/>
      <c r="P543" s="154"/>
      <c r="Q543" s="154"/>
      <c r="R543" s="154"/>
      <c r="S543" s="154"/>
      <c r="T543" s="154"/>
      <c r="U543" s="154"/>
      <c r="V543" s="154"/>
      <c r="W543" s="154"/>
      <c r="X543" s="154"/>
      <c r="Y543" s="154"/>
      <c r="Z543" s="154"/>
      <c r="AA543" s="154"/>
    </row>
    <row r="544" spans="1:27" ht="15">
      <c r="A544" s="180">
        <v>45844</v>
      </c>
      <c r="B544" s="181" t="s">
        <v>12970</v>
      </c>
      <c r="C544" s="182" t="s">
        <v>115</v>
      </c>
      <c r="D544" s="182">
        <v>156</v>
      </c>
      <c r="E544" s="183">
        <v>1</v>
      </c>
      <c r="F544" s="183">
        <v>15</v>
      </c>
      <c r="G544" s="184">
        <v>0</v>
      </c>
      <c r="H544" s="158"/>
      <c r="I544" s="154"/>
      <c r="J544" s="154"/>
      <c r="K544" s="154"/>
      <c r="L544" s="154"/>
      <c r="M544" s="154"/>
      <c r="N544" s="154"/>
      <c r="O544" s="154"/>
      <c r="P544" s="154"/>
      <c r="Q544" s="154"/>
      <c r="R544" s="154"/>
      <c r="S544" s="154"/>
      <c r="T544" s="154"/>
      <c r="U544" s="154"/>
      <c r="V544" s="154"/>
      <c r="W544" s="154"/>
      <c r="X544" s="154"/>
      <c r="Y544" s="154"/>
      <c r="Z544" s="154"/>
      <c r="AA544" s="154"/>
    </row>
    <row r="545" spans="1:27" ht="15">
      <c r="A545" s="180">
        <v>45844</v>
      </c>
      <c r="B545" s="181" t="s">
        <v>12971</v>
      </c>
      <c r="C545" s="182" t="s">
        <v>115</v>
      </c>
      <c r="D545" s="182">
        <v>3</v>
      </c>
      <c r="E545" s="183">
        <v>0</v>
      </c>
      <c r="F545" s="183">
        <v>1</v>
      </c>
      <c r="G545" s="184">
        <v>0</v>
      </c>
      <c r="H545" s="158"/>
      <c r="I545" s="154"/>
      <c r="J545" s="154"/>
      <c r="K545" s="154"/>
      <c r="L545" s="154"/>
      <c r="M545" s="154"/>
      <c r="N545" s="154"/>
      <c r="O545" s="154"/>
      <c r="P545" s="154"/>
      <c r="Q545" s="154"/>
      <c r="R545" s="154"/>
      <c r="S545" s="154"/>
      <c r="T545" s="154"/>
      <c r="U545" s="154"/>
      <c r="V545" s="154"/>
      <c r="W545" s="154"/>
      <c r="X545" s="154"/>
      <c r="Y545" s="154"/>
      <c r="Z545" s="154"/>
      <c r="AA545" s="154"/>
    </row>
    <row r="546" spans="1:27" ht="15">
      <c r="A546" s="180">
        <v>45844</v>
      </c>
      <c r="B546" s="181" t="s">
        <v>12963</v>
      </c>
      <c r="C546" s="182" t="s">
        <v>61</v>
      </c>
      <c r="D546" s="182">
        <v>536</v>
      </c>
      <c r="E546" s="183">
        <v>2</v>
      </c>
      <c r="F546" s="183">
        <v>59</v>
      </c>
      <c r="G546" s="184">
        <v>1</v>
      </c>
      <c r="H546" s="158"/>
      <c r="I546" s="154"/>
      <c r="J546" s="154"/>
      <c r="K546" s="154"/>
      <c r="L546" s="154"/>
      <c r="M546" s="154"/>
      <c r="N546" s="154"/>
      <c r="O546" s="154"/>
      <c r="P546" s="154"/>
      <c r="Q546" s="154"/>
      <c r="R546" s="154"/>
      <c r="S546" s="154"/>
      <c r="T546" s="154"/>
      <c r="U546" s="154"/>
      <c r="V546" s="154"/>
      <c r="W546" s="154"/>
      <c r="X546" s="154"/>
      <c r="Y546" s="154"/>
      <c r="Z546" s="154"/>
      <c r="AA546" s="154"/>
    </row>
    <row r="547" spans="1:27" ht="15">
      <c r="A547" s="180">
        <v>45844</v>
      </c>
      <c r="B547" s="181" t="s">
        <v>12964</v>
      </c>
      <c r="C547" s="182" t="s">
        <v>61</v>
      </c>
      <c r="D547" s="182">
        <v>180</v>
      </c>
      <c r="E547" s="183">
        <v>0</v>
      </c>
      <c r="F547" s="183">
        <v>18</v>
      </c>
      <c r="G547" s="184">
        <v>0</v>
      </c>
      <c r="H547" s="158"/>
      <c r="I547" s="154"/>
      <c r="J547" s="154"/>
      <c r="K547" s="154"/>
      <c r="L547" s="154"/>
      <c r="M547" s="154"/>
      <c r="N547" s="154"/>
      <c r="O547" s="154"/>
      <c r="P547" s="154"/>
      <c r="Q547" s="154"/>
      <c r="R547" s="154"/>
      <c r="S547" s="154"/>
      <c r="T547" s="154"/>
      <c r="U547" s="154"/>
      <c r="V547" s="154"/>
      <c r="W547" s="154"/>
      <c r="X547" s="154"/>
      <c r="Y547" s="154"/>
      <c r="Z547" s="154"/>
      <c r="AA547" s="154"/>
    </row>
    <row r="548" spans="1:27" ht="15">
      <c r="A548" s="180">
        <v>45844</v>
      </c>
      <c r="B548" s="181" t="s">
        <v>12965</v>
      </c>
      <c r="C548" s="182" t="s">
        <v>49</v>
      </c>
      <c r="D548" s="182">
        <v>1966</v>
      </c>
      <c r="E548" s="183">
        <v>0</v>
      </c>
      <c r="F548" s="183">
        <v>43</v>
      </c>
      <c r="G548" s="184">
        <v>0</v>
      </c>
      <c r="H548" s="158"/>
      <c r="I548" s="154"/>
      <c r="J548" s="154"/>
      <c r="K548" s="154"/>
      <c r="L548" s="154"/>
      <c r="M548" s="154"/>
      <c r="N548" s="154"/>
      <c r="O548" s="154"/>
      <c r="P548" s="154"/>
      <c r="Q548" s="154"/>
      <c r="R548" s="154"/>
      <c r="S548" s="154"/>
      <c r="T548" s="154"/>
      <c r="U548" s="154"/>
      <c r="V548" s="154"/>
      <c r="W548" s="154"/>
      <c r="X548" s="154"/>
      <c r="Y548" s="154"/>
      <c r="Z548" s="154"/>
      <c r="AA548" s="154"/>
    </row>
    <row r="549" spans="1:27" ht="15">
      <c r="A549" s="180">
        <v>45844</v>
      </c>
      <c r="B549" s="181" t="s">
        <v>12966</v>
      </c>
      <c r="C549" s="182" t="s">
        <v>49</v>
      </c>
      <c r="D549" s="182">
        <v>1846</v>
      </c>
      <c r="E549" s="183">
        <v>4</v>
      </c>
      <c r="F549" s="183">
        <v>95</v>
      </c>
      <c r="G549" s="184">
        <v>0</v>
      </c>
      <c r="H549" s="158"/>
      <c r="I549" s="154"/>
      <c r="J549" s="154"/>
      <c r="K549" s="154"/>
      <c r="L549" s="154"/>
      <c r="M549" s="154"/>
      <c r="N549" s="154"/>
      <c r="O549" s="154"/>
      <c r="P549" s="154"/>
      <c r="Q549" s="154"/>
      <c r="R549" s="154"/>
      <c r="S549" s="154"/>
      <c r="T549" s="154"/>
      <c r="U549" s="154"/>
      <c r="V549" s="154"/>
      <c r="W549" s="154"/>
      <c r="X549" s="154"/>
      <c r="Y549" s="154"/>
      <c r="Z549" s="154"/>
      <c r="AA549" s="154"/>
    </row>
    <row r="550" spans="1:27" ht="15">
      <c r="A550" s="180">
        <v>45844</v>
      </c>
      <c r="B550" s="181" t="s">
        <v>12967</v>
      </c>
      <c r="C550" s="182" t="s">
        <v>49</v>
      </c>
      <c r="D550" s="182">
        <v>1089</v>
      </c>
      <c r="E550" s="183">
        <v>2</v>
      </c>
      <c r="F550" s="183">
        <v>71</v>
      </c>
      <c r="G550" s="184">
        <v>0</v>
      </c>
      <c r="H550" s="158"/>
      <c r="I550" s="154"/>
      <c r="J550" s="154"/>
      <c r="K550" s="154"/>
      <c r="L550" s="154"/>
      <c r="M550" s="154"/>
      <c r="N550" s="154"/>
      <c r="O550" s="154"/>
      <c r="P550" s="154"/>
      <c r="Q550" s="154"/>
      <c r="R550" s="154"/>
      <c r="S550" s="154"/>
      <c r="T550" s="154"/>
      <c r="U550" s="154"/>
      <c r="V550" s="154"/>
      <c r="W550" s="154"/>
      <c r="X550" s="154"/>
      <c r="Y550" s="154"/>
      <c r="Z550" s="154"/>
      <c r="AA550" s="154"/>
    </row>
    <row r="551" spans="1:27" ht="15">
      <c r="A551" s="180">
        <v>45844</v>
      </c>
      <c r="B551" s="181" t="s">
        <v>12968</v>
      </c>
      <c r="C551" s="182" t="s">
        <v>61</v>
      </c>
      <c r="D551" s="182">
        <v>626</v>
      </c>
      <c r="E551" s="183">
        <v>3</v>
      </c>
      <c r="F551" s="183">
        <v>117</v>
      </c>
      <c r="G551" s="184">
        <v>0</v>
      </c>
      <c r="H551" s="158"/>
      <c r="I551" s="154"/>
      <c r="J551" s="154"/>
      <c r="K551" s="154"/>
      <c r="L551" s="154"/>
      <c r="M551" s="154"/>
      <c r="N551" s="154"/>
      <c r="O551" s="154"/>
      <c r="P551" s="154"/>
      <c r="Q551" s="154"/>
      <c r="R551" s="154"/>
      <c r="S551" s="154"/>
      <c r="T551" s="154"/>
      <c r="U551" s="154"/>
      <c r="V551" s="154"/>
      <c r="W551" s="154"/>
      <c r="X551" s="154"/>
      <c r="Y551" s="154"/>
      <c r="Z551" s="154"/>
      <c r="AA551" s="154"/>
    </row>
    <row r="552" spans="1:27" ht="15">
      <c r="A552" s="180">
        <v>45845</v>
      </c>
      <c r="B552" s="181" t="s">
        <v>12998</v>
      </c>
      <c r="C552" s="182" t="s">
        <v>1229</v>
      </c>
      <c r="D552" s="182">
        <v>19636</v>
      </c>
      <c r="E552" s="183">
        <v>8</v>
      </c>
      <c r="F552" s="183">
        <v>704</v>
      </c>
      <c r="G552" s="184">
        <v>1</v>
      </c>
      <c r="H552" s="158"/>
      <c r="I552" s="154"/>
      <c r="J552" s="154"/>
      <c r="K552" s="154"/>
      <c r="L552" s="154"/>
      <c r="M552" s="154"/>
      <c r="N552" s="154"/>
      <c r="O552" s="154"/>
      <c r="P552" s="154"/>
      <c r="Q552" s="154"/>
      <c r="R552" s="154"/>
      <c r="S552" s="154"/>
      <c r="T552" s="154"/>
      <c r="U552" s="154"/>
      <c r="V552" s="154"/>
      <c r="W552" s="154"/>
      <c r="X552" s="154"/>
      <c r="Y552" s="154"/>
      <c r="Z552" s="154"/>
      <c r="AA552" s="154"/>
    </row>
    <row r="553" spans="1:27" ht="15">
      <c r="A553" s="180">
        <v>45845</v>
      </c>
      <c r="B553" s="181" t="s">
        <v>12991</v>
      </c>
      <c r="C553" s="182" t="s">
        <v>752</v>
      </c>
      <c r="D553" s="182">
        <v>48676</v>
      </c>
      <c r="E553" s="183">
        <v>56</v>
      </c>
      <c r="F553" s="183">
        <v>3540</v>
      </c>
      <c r="G553" s="184">
        <v>10</v>
      </c>
      <c r="H553" s="158"/>
      <c r="I553" s="154"/>
      <c r="J553" s="154"/>
      <c r="K553" s="154"/>
      <c r="L553" s="154"/>
      <c r="M553" s="154"/>
      <c r="N553" s="154"/>
      <c r="O553" s="154"/>
      <c r="P553" s="154"/>
      <c r="Q553" s="154"/>
      <c r="R553" s="154"/>
      <c r="S553" s="154"/>
      <c r="T553" s="154"/>
      <c r="U553" s="154"/>
      <c r="V553" s="154"/>
      <c r="W553" s="154"/>
      <c r="X553" s="154"/>
      <c r="Y553" s="154"/>
      <c r="Z553" s="154"/>
      <c r="AA553" s="154"/>
    </row>
    <row r="554" spans="1:27" ht="15">
      <c r="A554" s="180">
        <v>45845</v>
      </c>
      <c r="B554" s="181" t="s">
        <v>12994</v>
      </c>
      <c r="C554" s="182" t="s">
        <v>61</v>
      </c>
      <c r="D554" s="182">
        <v>10644</v>
      </c>
      <c r="E554" s="183">
        <v>11</v>
      </c>
      <c r="F554" s="183">
        <v>576</v>
      </c>
      <c r="G554" s="184">
        <v>1</v>
      </c>
      <c r="H554" s="158"/>
      <c r="I554" s="154"/>
      <c r="J554" s="154"/>
      <c r="K554" s="154"/>
      <c r="L554" s="154"/>
      <c r="M554" s="154"/>
      <c r="N554" s="154"/>
      <c r="O554" s="154"/>
      <c r="P554" s="154"/>
      <c r="Q554" s="154"/>
      <c r="R554" s="154"/>
      <c r="S554" s="154"/>
      <c r="T554" s="154"/>
      <c r="U554" s="154"/>
      <c r="V554" s="154"/>
      <c r="W554" s="154"/>
      <c r="X554" s="154"/>
      <c r="Y554" s="154"/>
      <c r="Z554" s="154"/>
      <c r="AA554" s="154"/>
    </row>
    <row r="555" spans="1:27" ht="15">
      <c r="A555" s="180">
        <v>45845</v>
      </c>
      <c r="B555" s="181" t="s">
        <v>12982</v>
      </c>
      <c r="C555" s="182" t="s">
        <v>61</v>
      </c>
      <c r="D555" s="182">
        <v>14548</v>
      </c>
      <c r="E555" s="183">
        <v>17</v>
      </c>
      <c r="F555" s="183">
        <v>772</v>
      </c>
      <c r="G555" s="184">
        <v>1</v>
      </c>
      <c r="H555" s="158"/>
      <c r="I555" s="154"/>
      <c r="J555" s="154"/>
      <c r="K555" s="154"/>
      <c r="L555" s="154"/>
      <c r="M555" s="154"/>
      <c r="N555" s="154"/>
      <c r="O555" s="154"/>
      <c r="P555" s="154"/>
      <c r="Q555" s="154"/>
      <c r="R555" s="154"/>
      <c r="S555" s="154"/>
      <c r="T555" s="154"/>
      <c r="U555" s="154"/>
      <c r="V555" s="154"/>
      <c r="W555" s="154"/>
      <c r="X555" s="154"/>
      <c r="Y555" s="154"/>
      <c r="Z555" s="154"/>
      <c r="AA555" s="154"/>
    </row>
    <row r="556" spans="1:27" ht="15">
      <c r="A556" s="180">
        <v>45845</v>
      </c>
      <c r="B556" s="181" t="s">
        <v>12983</v>
      </c>
      <c r="C556" s="182" t="s">
        <v>61</v>
      </c>
      <c r="D556" s="182">
        <v>13485</v>
      </c>
      <c r="E556" s="183">
        <v>12</v>
      </c>
      <c r="F556" s="183">
        <v>577</v>
      </c>
      <c r="G556" s="184">
        <v>2</v>
      </c>
      <c r="H556" s="158"/>
      <c r="I556" s="154"/>
      <c r="J556" s="154"/>
      <c r="K556" s="154"/>
      <c r="L556" s="154"/>
      <c r="M556" s="154"/>
      <c r="N556" s="154"/>
      <c r="O556" s="154"/>
      <c r="P556" s="154"/>
      <c r="Q556" s="154"/>
      <c r="R556" s="154"/>
      <c r="S556" s="154"/>
      <c r="T556" s="154"/>
      <c r="U556" s="154"/>
      <c r="V556" s="154"/>
      <c r="W556" s="154"/>
      <c r="X556" s="154"/>
      <c r="Y556" s="154"/>
      <c r="Z556" s="154"/>
      <c r="AA556" s="154"/>
    </row>
    <row r="557" spans="1:27" ht="15">
      <c r="A557" s="180">
        <v>45845</v>
      </c>
      <c r="B557" s="181" t="s">
        <v>12995</v>
      </c>
      <c r="C557" s="182" t="s">
        <v>1229</v>
      </c>
      <c r="D557" s="182">
        <v>16087</v>
      </c>
      <c r="E557" s="183">
        <v>3</v>
      </c>
      <c r="F557" s="183">
        <v>510</v>
      </c>
      <c r="G557" s="184">
        <v>0</v>
      </c>
      <c r="H557" s="158"/>
      <c r="I557" s="154"/>
      <c r="J557" s="154"/>
      <c r="K557" s="154"/>
      <c r="L557" s="154"/>
      <c r="M557" s="154"/>
      <c r="N557" s="154"/>
      <c r="O557" s="154"/>
      <c r="P557" s="154"/>
      <c r="Q557" s="154"/>
      <c r="R557" s="154"/>
      <c r="S557" s="154"/>
      <c r="T557" s="154"/>
      <c r="U557" s="154"/>
      <c r="V557" s="154"/>
      <c r="W557" s="154"/>
      <c r="X557" s="154"/>
      <c r="Y557" s="154"/>
      <c r="Z557" s="154"/>
      <c r="AA557" s="154"/>
    </row>
    <row r="558" spans="1:27" ht="15">
      <c r="A558" s="180">
        <v>45845</v>
      </c>
      <c r="B558" s="181" t="s">
        <v>12996</v>
      </c>
      <c r="C558" s="182" t="s">
        <v>1229</v>
      </c>
      <c r="D558" s="182">
        <v>18477</v>
      </c>
      <c r="E558" s="183">
        <v>6</v>
      </c>
      <c r="F558" s="183">
        <v>604</v>
      </c>
      <c r="G558" s="184">
        <v>0</v>
      </c>
      <c r="H558" s="158"/>
      <c r="I558" s="154"/>
      <c r="J558" s="154"/>
      <c r="K558" s="154"/>
      <c r="L558" s="154"/>
      <c r="M558" s="154"/>
      <c r="N558" s="154"/>
      <c r="O558" s="154"/>
      <c r="P558" s="154"/>
      <c r="Q558" s="154"/>
      <c r="R558" s="154"/>
      <c r="S558" s="154"/>
      <c r="T558" s="154"/>
      <c r="U558" s="154"/>
      <c r="V558" s="154"/>
      <c r="W558" s="154"/>
      <c r="X558" s="154"/>
      <c r="Y558" s="154"/>
      <c r="Z558" s="154"/>
      <c r="AA558" s="154"/>
    </row>
    <row r="559" spans="1:27" ht="15">
      <c r="A559" s="180">
        <v>45845</v>
      </c>
      <c r="B559" s="181" t="s">
        <v>12963</v>
      </c>
      <c r="C559" s="182" t="s">
        <v>61</v>
      </c>
      <c r="D559" s="182">
        <v>27139</v>
      </c>
      <c r="E559" s="183">
        <v>46</v>
      </c>
      <c r="F559" s="183">
        <v>1727</v>
      </c>
      <c r="G559" s="184">
        <v>4</v>
      </c>
      <c r="H559" s="158"/>
      <c r="I559" s="154"/>
      <c r="J559" s="154"/>
      <c r="K559" s="154"/>
      <c r="L559" s="154"/>
      <c r="M559" s="154"/>
      <c r="N559" s="154"/>
      <c r="O559" s="154"/>
      <c r="P559" s="154"/>
      <c r="Q559" s="154"/>
      <c r="R559" s="154"/>
      <c r="S559" s="154"/>
      <c r="T559" s="154"/>
      <c r="U559" s="154"/>
      <c r="V559" s="154"/>
      <c r="W559" s="154"/>
      <c r="X559" s="154"/>
      <c r="Y559" s="154"/>
      <c r="Z559" s="154"/>
      <c r="AA559" s="154"/>
    </row>
    <row r="560" spans="1:27" ht="15">
      <c r="A560" s="180">
        <v>45845</v>
      </c>
      <c r="B560" s="181" t="s">
        <v>12964</v>
      </c>
      <c r="C560" s="182" t="s">
        <v>61</v>
      </c>
      <c r="D560" s="182">
        <v>16249</v>
      </c>
      <c r="E560" s="183">
        <v>18</v>
      </c>
      <c r="F560" s="183">
        <v>703</v>
      </c>
      <c r="G560" s="184">
        <v>2</v>
      </c>
      <c r="H560" s="158"/>
      <c r="I560" s="154"/>
      <c r="J560" s="154"/>
      <c r="K560" s="154"/>
      <c r="L560" s="154"/>
      <c r="M560" s="154"/>
      <c r="N560" s="154"/>
      <c r="O560" s="154"/>
      <c r="P560" s="154"/>
      <c r="Q560" s="154"/>
      <c r="R560" s="154"/>
      <c r="S560" s="154"/>
      <c r="T560" s="154"/>
      <c r="U560" s="154"/>
      <c r="V560" s="154"/>
      <c r="W560" s="154"/>
      <c r="X560" s="154"/>
      <c r="Y560" s="154"/>
      <c r="Z560" s="154"/>
      <c r="AA560" s="154"/>
    </row>
    <row r="561" spans="1:27" ht="15">
      <c r="A561" s="180">
        <v>45845</v>
      </c>
      <c r="B561" s="181" t="s">
        <v>12968</v>
      </c>
      <c r="C561" s="182" t="s">
        <v>61</v>
      </c>
      <c r="D561" s="182">
        <v>21671</v>
      </c>
      <c r="E561" s="183">
        <v>48</v>
      </c>
      <c r="F561" s="183">
        <v>2467</v>
      </c>
      <c r="G561" s="184">
        <v>5</v>
      </c>
      <c r="H561" s="158"/>
      <c r="I561" s="154"/>
      <c r="J561" s="154"/>
      <c r="K561" s="154"/>
      <c r="L561" s="154"/>
      <c r="M561" s="154"/>
      <c r="N561" s="154"/>
      <c r="O561" s="154"/>
      <c r="P561" s="154"/>
      <c r="Q561" s="154"/>
      <c r="R561" s="154"/>
      <c r="S561" s="154"/>
      <c r="T561" s="154"/>
      <c r="U561" s="154"/>
      <c r="V561" s="154"/>
      <c r="W561" s="154"/>
      <c r="X561" s="154"/>
      <c r="Y561" s="154"/>
      <c r="Z561" s="154"/>
      <c r="AA561" s="154"/>
    </row>
    <row r="562" spans="1:27" ht="15">
      <c r="A562" s="180">
        <v>45846</v>
      </c>
      <c r="B562" s="181" t="s">
        <v>12997</v>
      </c>
      <c r="C562" s="182" t="s">
        <v>49</v>
      </c>
      <c r="D562" s="182">
        <v>309</v>
      </c>
      <c r="E562" s="183">
        <v>0</v>
      </c>
      <c r="F562" s="183">
        <v>4</v>
      </c>
      <c r="G562" s="184">
        <v>0</v>
      </c>
      <c r="H562" s="158"/>
      <c r="I562" s="154"/>
      <c r="J562" s="154"/>
      <c r="K562" s="154"/>
      <c r="L562" s="154"/>
      <c r="M562" s="154"/>
      <c r="N562" s="154"/>
      <c r="O562" s="154"/>
      <c r="P562" s="154"/>
      <c r="Q562" s="154"/>
      <c r="R562" s="154"/>
      <c r="S562" s="154"/>
      <c r="T562" s="154"/>
      <c r="U562" s="154"/>
      <c r="V562" s="154"/>
      <c r="W562" s="154"/>
      <c r="X562" s="154"/>
      <c r="Y562" s="154"/>
      <c r="Z562" s="154"/>
      <c r="AA562" s="154"/>
    </row>
    <row r="563" spans="1:27" ht="15">
      <c r="A563" s="180">
        <v>45846</v>
      </c>
      <c r="B563" s="181" t="s">
        <v>12998</v>
      </c>
      <c r="C563" s="182" t="s">
        <v>1229</v>
      </c>
      <c r="D563" s="182">
        <v>16286</v>
      </c>
      <c r="E563" s="183">
        <v>19</v>
      </c>
      <c r="F563" s="183">
        <v>850</v>
      </c>
      <c r="G563" s="184">
        <v>2</v>
      </c>
      <c r="H563" s="158"/>
      <c r="I563" s="154"/>
      <c r="J563" s="154"/>
      <c r="K563" s="154"/>
      <c r="L563" s="154"/>
      <c r="M563" s="154"/>
      <c r="N563" s="154"/>
      <c r="O563" s="154"/>
      <c r="P563" s="154"/>
      <c r="Q563" s="154"/>
      <c r="R563" s="154"/>
      <c r="S563" s="154"/>
      <c r="T563" s="154"/>
      <c r="U563" s="154"/>
      <c r="V563" s="154"/>
      <c r="W563" s="154"/>
      <c r="X563" s="154"/>
      <c r="Y563" s="154"/>
      <c r="Z563" s="154"/>
      <c r="AA563" s="154"/>
    </row>
    <row r="564" spans="1:27" ht="15">
      <c r="A564" s="180">
        <v>45846</v>
      </c>
      <c r="B564" s="181" t="s">
        <v>12991</v>
      </c>
      <c r="C564" s="182" t="s">
        <v>752</v>
      </c>
      <c r="D564" s="182">
        <v>23944</v>
      </c>
      <c r="E564" s="183">
        <v>10</v>
      </c>
      <c r="F564" s="183">
        <v>865</v>
      </c>
      <c r="G564" s="184">
        <v>1</v>
      </c>
      <c r="H564" s="158"/>
      <c r="I564" s="154"/>
      <c r="J564" s="154"/>
      <c r="K564" s="154"/>
      <c r="L564" s="154"/>
      <c r="M564" s="154"/>
      <c r="N564" s="154"/>
      <c r="O564" s="154"/>
      <c r="P564" s="154"/>
      <c r="Q564" s="154"/>
      <c r="R564" s="154"/>
      <c r="S564" s="154"/>
      <c r="T564" s="154"/>
      <c r="U564" s="154"/>
      <c r="V564" s="154"/>
      <c r="W564" s="154"/>
      <c r="X564" s="154"/>
      <c r="Y564" s="154"/>
      <c r="Z564" s="154"/>
      <c r="AA564" s="154"/>
    </row>
    <row r="565" spans="1:27" ht="15">
      <c r="A565" s="180">
        <v>45846</v>
      </c>
      <c r="B565" s="181" t="s">
        <v>12992</v>
      </c>
      <c r="C565" s="182" t="s">
        <v>115</v>
      </c>
      <c r="D565" s="182">
        <v>137</v>
      </c>
      <c r="E565" s="183">
        <v>0</v>
      </c>
      <c r="F565" s="183">
        <v>18</v>
      </c>
      <c r="G565" s="184">
        <v>0</v>
      </c>
      <c r="H565" s="158"/>
      <c r="I565" s="154"/>
      <c r="J565" s="154"/>
      <c r="K565" s="154"/>
      <c r="L565" s="154"/>
      <c r="M565" s="154"/>
      <c r="N565" s="154"/>
      <c r="O565" s="154"/>
      <c r="P565" s="154"/>
      <c r="Q565" s="154"/>
      <c r="R565" s="154"/>
      <c r="S565" s="154"/>
      <c r="T565" s="154"/>
      <c r="U565" s="154"/>
      <c r="V565" s="154"/>
      <c r="W565" s="154"/>
      <c r="X565" s="154"/>
      <c r="Y565" s="154"/>
      <c r="Z565" s="154"/>
      <c r="AA565" s="154"/>
    </row>
    <row r="566" spans="1:27" ht="15">
      <c r="A566" s="180">
        <v>45846</v>
      </c>
      <c r="B566" s="181" t="s">
        <v>12993</v>
      </c>
      <c r="C566" s="182" t="s">
        <v>49</v>
      </c>
      <c r="D566" s="182">
        <v>1098</v>
      </c>
      <c r="E566" s="183">
        <v>1</v>
      </c>
      <c r="F566" s="183">
        <v>32</v>
      </c>
      <c r="G566" s="184">
        <v>0</v>
      </c>
      <c r="H566" s="158"/>
      <c r="I566" s="154"/>
      <c r="J566" s="154"/>
      <c r="K566" s="154"/>
      <c r="L566" s="154"/>
      <c r="M566" s="154"/>
      <c r="N566" s="154"/>
      <c r="O566" s="154"/>
      <c r="P566" s="154"/>
      <c r="Q566" s="154"/>
      <c r="R566" s="154"/>
      <c r="S566" s="154"/>
      <c r="T566" s="154"/>
      <c r="U566" s="154"/>
      <c r="V566" s="154"/>
      <c r="W566" s="154"/>
      <c r="X566" s="154"/>
      <c r="Y566" s="154"/>
      <c r="Z566" s="154"/>
      <c r="AA566" s="154"/>
    </row>
    <row r="567" spans="1:27" ht="15">
      <c r="A567" s="180">
        <v>45846</v>
      </c>
      <c r="B567" s="181" t="s">
        <v>12994</v>
      </c>
      <c r="C567" s="182" t="s">
        <v>61</v>
      </c>
      <c r="D567" s="182">
        <v>19978</v>
      </c>
      <c r="E567" s="183">
        <v>24</v>
      </c>
      <c r="F567" s="183">
        <v>861</v>
      </c>
      <c r="G567" s="184">
        <v>3</v>
      </c>
      <c r="H567" s="158"/>
      <c r="I567" s="154"/>
      <c r="J567" s="154"/>
      <c r="K567" s="154"/>
      <c r="L567" s="154"/>
      <c r="M567" s="154"/>
      <c r="N567" s="154"/>
      <c r="O567" s="154"/>
      <c r="P567" s="154"/>
      <c r="Q567" s="154"/>
      <c r="R567" s="154"/>
      <c r="S567" s="154"/>
      <c r="T567" s="154"/>
      <c r="U567" s="154"/>
      <c r="V567" s="154"/>
      <c r="W567" s="154"/>
      <c r="X567" s="154"/>
      <c r="Y567" s="154"/>
      <c r="Z567" s="154"/>
      <c r="AA567" s="154"/>
    </row>
    <row r="568" spans="1:27" ht="15">
      <c r="A568" s="180">
        <v>45846</v>
      </c>
      <c r="B568" s="181" t="s">
        <v>12980</v>
      </c>
      <c r="C568" s="182" t="s">
        <v>115</v>
      </c>
      <c r="D568" s="182">
        <v>632</v>
      </c>
      <c r="E568" s="183">
        <v>0</v>
      </c>
      <c r="F568" s="183">
        <v>31</v>
      </c>
      <c r="G568" s="184">
        <v>0</v>
      </c>
      <c r="H568" s="158"/>
      <c r="I568" s="154"/>
      <c r="J568" s="154"/>
      <c r="K568" s="154"/>
      <c r="L568" s="154"/>
      <c r="M568" s="154"/>
      <c r="N568" s="154"/>
      <c r="O568" s="154"/>
      <c r="P568" s="154"/>
      <c r="Q568" s="154"/>
      <c r="R568" s="154"/>
      <c r="S568" s="154"/>
      <c r="T568" s="154"/>
      <c r="U568" s="154"/>
      <c r="V568" s="154"/>
      <c r="W568" s="154"/>
      <c r="X568" s="154"/>
      <c r="Y568" s="154"/>
      <c r="Z568" s="154"/>
      <c r="AA568" s="154"/>
    </row>
    <row r="569" spans="1:27" ht="15">
      <c r="A569" s="180">
        <v>45846</v>
      </c>
      <c r="B569" s="181" t="s">
        <v>12981</v>
      </c>
      <c r="C569" s="182" t="s">
        <v>115</v>
      </c>
      <c r="D569" s="182">
        <v>407</v>
      </c>
      <c r="E569" s="183">
        <v>0</v>
      </c>
      <c r="F569" s="183">
        <v>15</v>
      </c>
      <c r="G569" s="184">
        <v>0</v>
      </c>
      <c r="H569" s="158"/>
      <c r="I569" s="154"/>
      <c r="J569" s="154"/>
      <c r="K569" s="154"/>
      <c r="L569" s="154"/>
      <c r="M569" s="154"/>
      <c r="N569" s="154"/>
      <c r="O569" s="154"/>
      <c r="P569" s="154"/>
      <c r="Q569" s="154"/>
      <c r="R569" s="154"/>
      <c r="S569" s="154"/>
      <c r="T569" s="154"/>
      <c r="U569" s="154"/>
      <c r="V569" s="154"/>
      <c r="W569" s="154"/>
      <c r="X569" s="154"/>
      <c r="Y569" s="154"/>
      <c r="Z569" s="154"/>
      <c r="AA569" s="154"/>
    </row>
    <row r="570" spans="1:27" ht="15">
      <c r="A570" s="180">
        <v>45846</v>
      </c>
      <c r="B570" s="181" t="s">
        <v>12982</v>
      </c>
      <c r="C570" s="182" t="s">
        <v>61</v>
      </c>
      <c r="D570" s="182">
        <v>10400</v>
      </c>
      <c r="E570" s="183">
        <v>12</v>
      </c>
      <c r="F570" s="183">
        <v>933</v>
      </c>
      <c r="G570" s="184">
        <v>3</v>
      </c>
      <c r="H570" s="158"/>
      <c r="I570" s="154"/>
      <c r="J570" s="154"/>
      <c r="K570" s="154"/>
      <c r="L570" s="154"/>
      <c r="M570" s="154"/>
      <c r="N570" s="154"/>
      <c r="O570" s="154"/>
      <c r="P570" s="154"/>
      <c r="Q570" s="154"/>
      <c r="R570" s="154"/>
      <c r="S570" s="154"/>
      <c r="T570" s="154"/>
      <c r="U570" s="154"/>
      <c r="V570" s="154"/>
      <c r="W570" s="154"/>
      <c r="X570" s="154"/>
      <c r="Y570" s="154"/>
      <c r="Z570" s="154"/>
      <c r="AA570" s="154"/>
    </row>
    <row r="571" spans="1:27" ht="15">
      <c r="A571" s="180">
        <v>45846</v>
      </c>
      <c r="B571" s="181" t="s">
        <v>12983</v>
      </c>
      <c r="C571" s="182" t="s">
        <v>61</v>
      </c>
      <c r="D571" s="182">
        <v>21197</v>
      </c>
      <c r="E571" s="183">
        <v>24</v>
      </c>
      <c r="F571" s="183">
        <v>1898</v>
      </c>
      <c r="G571" s="184">
        <v>5</v>
      </c>
      <c r="H571" s="158"/>
      <c r="I571" s="154"/>
      <c r="J571" s="154"/>
      <c r="K571" s="154"/>
      <c r="L571" s="154"/>
      <c r="M571" s="154"/>
      <c r="N571" s="154"/>
      <c r="O571" s="154"/>
      <c r="P571" s="154"/>
      <c r="Q571" s="154"/>
      <c r="R571" s="154"/>
      <c r="S571" s="154"/>
      <c r="T571" s="154"/>
      <c r="U571" s="154"/>
      <c r="V571" s="154"/>
      <c r="W571" s="154"/>
      <c r="X571" s="154"/>
      <c r="Y571" s="154"/>
      <c r="Z571" s="154"/>
      <c r="AA571" s="154"/>
    </row>
    <row r="572" spans="1:27" ht="15">
      <c r="A572" s="180">
        <v>45846</v>
      </c>
      <c r="B572" s="181" t="s">
        <v>12995</v>
      </c>
      <c r="C572" s="182" t="s">
        <v>1229</v>
      </c>
      <c r="D572" s="182">
        <v>122</v>
      </c>
      <c r="E572" s="183">
        <v>0</v>
      </c>
      <c r="F572" s="183">
        <v>10</v>
      </c>
      <c r="G572" s="184">
        <v>0</v>
      </c>
      <c r="H572" s="158"/>
      <c r="I572" s="154"/>
      <c r="J572" s="154"/>
      <c r="K572" s="154"/>
      <c r="L572" s="154"/>
      <c r="M572" s="154"/>
      <c r="N572" s="154"/>
      <c r="O572" s="154"/>
      <c r="P572" s="154"/>
      <c r="Q572" s="154"/>
      <c r="R572" s="154"/>
      <c r="S572" s="154"/>
      <c r="T572" s="154"/>
      <c r="U572" s="154"/>
      <c r="V572" s="154"/>
      <c r="W572" s="154"/>
      <c r="X572" s="154"/>
      <c r="Y572" s="154"/>
      <c r="Z572" s="154"/>
      <c r="AA572" s="154"/>
    </row>
    <row r="573" spans="1:27" ht="15">
      <c r="A573" s="180">
        <v>45846</v>
      </c>
      <c r="B573" s="181" t="s">
        <v>12996</v>
      </c>
      <c r="C573" s="182" t="s">
        <v>1229</v>
      </c>
      <c r="D573" s="182">
        <v>1516</v>
      </c>
      <c r="E573" s="183">
        <v>0</v>
      </c>
      <c r="F573" s="183">
        <v>71</v>
      </c>
      <c r="G573" s="184">
        <v>0</v>
      </c>
      <c r="H573" s="158"/>
      <c r="I573" s="154"/>
      <c r="J573" s="154"/>
      <c r="K573" s="154"/>
      <c r="L573" s="154"/>
      <c r="M573" s="154"/>
      <c r="N573" s="154"/>
      <c r="O573" s="154"/>
      <c r="P573" s="154"/>
      <c r="Q573" s="154"/>
      <c r="R573" s="154"/>
      <c r="S573" s="154"/>
      <c r="T573" s="154"/>
      <c r="U573" s="154"/>
      <c r="V573" s="154"/>
      <c r="W573" s="154"/>
      <c r="X573" s="154"/>
      <c r="Y573" s="154"/>
      <c r="Z573" s="154"/>
      <c r="AA573" s="154"/>
    </row>
    <row r="574" spans="1:27" ht="15">
      <c r="A574" s="180">
        <v>45846</v>
      </c>
      <c r="B574" s="181" t="s">
        <v>12969</v>
      </c>
      <c r="C574" s="182" t="s">
        <v>115</v>
      </c>
      <c r="D574" s="182">
        <v>717</v>
      </c>
      <c r="E574" s="183">
        <v>0</v>
      </c>
      <c r="F574" s="183">
        <v>29</v>
      </c>
      <c r="G574" s="184">
        <v>0</v>
      </c>
      <c r="H574" s="158"/>
      <c r="I574" s="154"/>
      <c r="J574" s="154"/>
      <c r="K574" s="154"/>
      <c r="L574" s="154"/>
      <c r="M574" s="154"/>
      <c r="N574" s="154"/>
      <c r="O574" s="154"/>
      <c r="P574" s="154"/>
      <c r="Q574" s="154"/>
      <c r="R574" s="154"/>
      <c r="S574" s="154"/>
      <c r="T574" s="154"/>
      <c r="U574" s="154"/>
      <c r="V574" s="154"/>
      <c r="W574" s="154"/>
      <c r="X574" s="154"/>
      <c r="Y574" s="154"/>
      <c r="Z574" s="154"/>
      <c r="AA574" s="154"/>
    </row>
    <row r="575" spans="1:27" ht="15">
      <c r="A575" s="180">
        <v>45846</v>
      </c>
      <c r="B575" s="181" t="s">
        <v>12970</v>
      </c>
      <c r="C575" s="182" t="s">
        <v>115</v>
      </c>
      <c r="D575" s="182">
        <v>549</v>
      </c>
      <c r="E575" s="183">
        <v>0</v>
      </c>
      <c r="F575" s="183">
        <v>36</v>
      </c>
      <c r="G575" s="184">
        <v>0</v>
      </c>
      <c r="H575" s="158"/>
      <c r="I575" s="154"/>
      <c r="J575" s="154"/>
      <c r="K575" s="154"/>
      <c r="L575" s="154"/>
      <c r="M575" s="154"/>
      <c r="N575" s="154"/>
      <c r="O575" s="154"/>
      <c r="P575" s="154"/>
      <c r="Q575" s="154"/>
      <c r="R575" s="154"/>
      <c r="S575" s="154"/>
      <c r="T575" s="154"/>
      <c r="U575" s="154"/>
      <c r="V575" s="154"/>
      <c r="W575" s="154"/>
      <c r="X575" s="154"/>
      <c r="Y575" s="154"/>
      <c r="Z575" s="154"/>
      <c r="AA575" s="154"/>
    </row>
    <row r="576" spans="1:27" ht="15">
      <c r="A576" s="180">
        <v>45846</v>
      </c>
      <c r="B576" s="181" t="s">
        <v>12971</v>
      </c>
      <c r="C576" s="182" t="s">
        <v>115</v>
      </c>
      <c r="D576" s="182">
        <v>369</v>
      </c>
      <c r="E576" s="183">
        <v>1</v>
      </c>
      <c r="F576" s="183">
        <v>30</v>
      </c>
      <c r="G576" s="184">
        <v>0</v>
      </c>
      <c r="H576" s="158"/>
      <c r="I576" s="154"/>
      <c r="J576" s="154"/>
      <c r="K576" s="154"/>
      <c r="L576" s="154"/>
      <c r="M576" s="154"/>
      <c r="N576" s="154"/>
      <c r="O576" s="154"/>
      <c r="P576" s="154"/>
      <c r="Q576" s="154"/>
      <c r="R576" s="154"/>
      <c r="S576" s="154"/>
      <c r="T576" s="154"/>
      <c r="U576" s="154"/>
      <c r="V576" s="154"/>
      <c r="W576" s="154"/>
      <c r="X576" s="154"/>
      <c r="Y576" s="154"/>
      <c r="Z576" s="154"/>
      <c r="AA576" s="154"/>
    </row>
    <row r="577" spans="1:27" ht="15">
      <c r="A577" s="180">
        <v>45846</v>
      </c>
      <c r="B577" s="181" t="s">
        <v>12963</v>
      </c>
      <c r="C577" s="182" t="s">
        <v>61</v>
      </c>
      <c r="D577" s="182">
        <v>13451</v>
      </c>
      <c r="E577" s="183">
        <v>26</v>
      </c>
      <c r="F577" s="183">
        <v>1048</v>
      </c>
      <c r="G577" s="184">
        <v>8</v>
      </c>
      <c r="H577" s="158"/>
      <c r="I577" s="154"/>
      <c r="J577" s="154"/>
      <c r="K577" s="154"/>
      <c r="L577" s="154"/>
      <c r="M577" s="154"/>
      <c r="N577" s="154"/>
      <c r="O577" s="154"/>
      <c r="P577" s="154"/>
      <c r="Q577" s="154"/>
      <c r="R577" s="154"/>
      <c r="S577" s="154"/>
      <c r="T577" s="154"/>
      <c r="U577" s="154"/>
      <c r="V577" s="154"/>
      <c r="W577" s="154"/>
      <c r="X577" s="154"/>
      <c r="Y577" s="154"/>
      <c r="Z577" s="154"/>
      <c r="AA577" s="154"/>
    </row>
    <row r="578" spans="1:27" ht="15">
      <c r="A578" s="180">
        <v>45846</v>
      </c>
      <c r="B578" s="181" t="s">
        <v>12964</v>
      </c>
      <c r="C578" s="182" t="s">
        <v>61</v>
      </c>
      <c r="D578" s="182">
        <v>17785</v>
      </c>
      <c r="E578" s="183">
        <v>18</v>
      </c>
      <c r="F578" s="183">
        <v>893</v>
      </c>
      <c r="G578" s="184">
        <v>4</v>
      </c>
      <c r="H578" s="158"/>
      <c r="I578" s="154"/>
      <c r="J578" s="154"/>
      <c r="K578" s="154"/>
      <c r="L578" s="154"/>
      <c r="M578" s="154"/>
      <c r="N578" s="154"/>
      <c r="O578" s="154"/>
      <c r="P578" s="154"/>
      <c r="Q578" s="154"/>
      <c r="R578" s="154"/>
      <c r="S578" s="154"/>
      <c r="T578" s="154"/>
      <c r="U578" s="154"/>
      <c r="V578" s="154"/>
      <c r="W578" s="154"/>
      <c r="X578" s="154"/>
      <c r="Y578" s="154"/>
      <c r="Z578" s="154"/>
      <c r="AA578" s="154"/>
    </row>
    <row r="579" spans="1:27" ht="15">
      <c r="A579" s="180">
        <v>45846</v>
      </c>
      <c r="B579" s="181" t="s">
        <v>12965</v>
      </c>
      <c r="C579" s="182" t="s">
        <v>49</v>
      </c>
      <c r="D579" s="182">
        <v>1508</v>
      </c>
      <c r="E579" s="183">
        <v>4</v>
      </c>
      <c r="F579" s="183">
        <v>57</v>
      </c>
      <c r="G579" s="184">
        <v>1</v>
      </c>
      <c r="H579" s="158"/>
      <c r="I579" s="154"/>
      <c r="J579" s="154"/>
      <c r="K579" s="154"/>
      <c r="L579" s="154"/>
      <c r="M579" s="154"/>
      <c r="N579" s="154"/>
      <c r="O579" s="154"/>
      <c r="P579" s="154"/>
      <c r="Q579" s="154"/>
      <c r="R579" s="154"/>
      <c r="S579" s="154"/>
      <c r="T579" s="154"/>
      <c r="U579" s="154"/>
      <c r="V579" s="154"/>
      <c r="W579" s="154"/>
      <c r="X579" s="154"/>
      <c r="Y579" s="154"/>
      <c r="Z579" s="154"/>
      <c r="AA579" s="154"/>
    </row>
    <row r="580" spans="1:27" ht="15">
      <c r="A580" s="180">
        <v>45846</v>
      </c>
      <c r="B580" s="181" t="s">
        <v>12966</v>
      </c>
      <c r="C580" s="182" t="s">
        <v>49</v>
      </c>
      <c r="D580" s="182">
        <v>1868</v>
      </c>
      <c r="E580" s="183">
        <v>3</v>
      </c>
      <c r="F580" s="183">
        <v>166</v>
      </c>
      <c r="G580" s="184">
        <v>2</v>
      </c>
      <c r="H580" s="158"/>
      <c r="I580" s="154"/>
      <c r="J580" s="154"/>
      <c r="K580" s="154"/>
      <c r="L580" s="154"/>
      <c r="M580" s="154"/>
      <c r="N580" s="154"/>
      <c r="O580" s="154"/>
      <c r="P580" s="154"/>
      <c r="Q580" s="154"/>
      <c r="R580" s="154"/>
      <c r="S580" s="154"/>
      <c r="T580" s="154"/>
      <c r="U580" s="154"/>
      <c r="V580" s="154"/>
      <c r="W580" s="154"/>
      <c r="X580" s="154"/>
      <c r="Y580" s="154"/>
      <c r="Z580" s="154"/>
      <c r="AA580" s="154"/>
    </row>
    <row r="581" spans="1:27" ht="15">
      <c r="A581" s="180">
        <v>45846</v>
      </c>
      <c r="B581" s="181" t="s">
        <v>12967</v>
      </c>
      <c r="C581" s="182" t="s">
        <v>49</v>
      </c>
      <c r="D581" s="182">
        <v>840</v>
      </c>
      <c r="E581" s="183">
        <v>1</v>
      </c>
      <c r="F581" s="183">
        <v>59</v>
      </c>
      <c r="G581" s="184">
        <v>0</v>
      </c>
      <c r="H581" s="158"/>
      <c r="I581" s="154"/>
      <c r="J581" s="154"/>
      <c r="K581" s="154"/>
      <c r="L581" s="154"/>
      <c r="M581" s="154"/>
      <c r="N581" s="154"/>
      <c r="O581" s="154"/>
      <c r="P581" s="154"/>
      <c r="Q581" s="154"/>
      <c r="R581" s="154"/>
      <c r="S581" s="154"/>
      <c r="T581" s="154"/>
      <c r="U581" s="154"/>
      <c r="V581" s="154"/>
      <c r="W581" s="154"/>
      <c r="X581" s="154"/>
      <c r="Y581" s="154"/>
      <c r="Z581" s="154"/>
      <c r="AA581" s="154"/>
    </row>
    <row r="582" spans="1:27" ht="15">
      <c r="A582" s="180">
        <v>45846</v>
      </c>
      <c r="B582" s="181" t="s">
        <v>12968</v>
      </c>
      <c r="C582" s="182" t="s">
        <v>61</v>
      </c>
      <c r="D582" s="182">
        <v>83293</v>
      </c>
      <c r="E582" s="183">
        <v>196</v>
      </c>
      <c r="F582" s="183">
        <v>11833</v>
      </c>
      <c r="G582" s="184">
        <v>45</v>
      </c>
      <c r="H582" s="158"/>
      <c r="I582" s="154"/>
      <c r="J582" s="154"/>
      <c r="K582" s="154"/>
      <c r="L582" s="154"/>
      <c r="M582" s="154"/>
      <c r="N582" s="154"/>
      <c r="O582" s="154"/>
      <c r="P582" s="154"/>
      <c r="Q582" s="154"/>
      <c r="R582" s="154"/>
      <c r="S582" s="154"/>
      <c r="T582" s="154"/>
      <c r="U582" s="154"/>
      <c r="V582" s="154"/>
      <c r="W582" s="154"/>
      <c r="X582" s="154"/>
      <c r="Y582" s="154"/>
      <c r="Z582" s="154"/>
      <c r="AA582" s="154"/>
    </row>
    <row r="583" spans="1:27" ht="15">
      <c r="A583" s="180">
        <v>45847</v>
      </c>
      <c r="B583" s="181" t="s">
        <v>12998</v>
      </c>
      <c r="C583" s="182" t="s">
        <v>1229</v>
      </c>
      <c r="D583" s="182">
        <v>168</v>
      </c>
      <c r="E583" s="183">
        <v>0</v>
      </c>
      <c r="F583" s="183">
        <v>15</v>
      </c>
      <c r="G583" s="184">
        <v>0</v>
      </c>
      <c r="H583" s="158"/>
      <c r="I583" s="154"/>
      <c r="J583" s="154"/>
      <c r="K583" s="154"/>
      <c r="L583" s="154"/>
      <c r="M583" s="154"/>
      <c r="N583" s="154"/>
      <c r="O583" s="154"/>
      <c r="P583" s="154"/>
      <c r="Q583" s="154"/>
      <c r="R583" s="154"/>
      <c r="S583" s="154"/>
      <c r="T583" s="154"/>
      <c r="U583" s="154"/>
      <c r="V583" s="154"/>
      <c r="W583" s="154"/>
      <c r="X583" s="154"/>
      <c r="Y583" s="154"/>
      <c r="Z583" s="154"/>
      <c r="AA583" s="154"/>
    </row>
    <row r="584" spans="1:27" ht="15">
      <c r="A584" s="180">
        <v>45847</v>
      </c>
      <c r="B584" s="181" t="s">
        <v>12991</v>
      </c>
      <c r="C584" s="182" t="s">
        <v>752</v>
      </c>
      <c r="D584" s="182">
        <v>49400</v>
      </c>
      <c r="E584" s="183">
        <v>52</v>
      </c>
      <c r="F584" s="183">
        <v>2154</v>
      </c>
      <c r="G584" s="184">
        <v>11</v>
      </c>
      <c r="H584" s="158"/>
      <c r="I584" s="154"/>
      <c r="J584" s="154"/>
      <c r="K584" s="154"/>
      <c r="L584" s="154"/>
      <c r="M584" s="154"/>
      <c r="N584" s="154"/>
      <c r="O584" s="154"/>
      <c r="P584" s="154"/>
      <c r="Q584" s="154"/>
      <c r="R584" s="154"/>
      <c r="S584" s="154"/>
      <c r="T584" s="154"/>
      <c r="U584" s="154"/>
      <c r="V584" s="154"/>
      <c r="W584" s="154"/>
      <c r="X584" s="154"/>
      <c r="Y584" s="154"/>
      <c r="Z584" s="154"/>
      <c r="AA584" s="154"/>
    </row>
    <row r="585" spans="1:27" ht="15">
      <c r="A585" s="180">
        <v>45847</v>
      </c>
      <c r="B585" s="181" t="s">
        <v>12994</v>
      </c>
      <c r="C585" s="182" t="s">
        <v>61</v>
      </c>
      <c r="D585" s="182">
        <v>33887</v>
      </c>
      <c r="E585" s="183">
        <v>38</v>
      </c>
      <c r="F585" s="183">
        <v>1542</v>
      </c>
      <c r="G585" s="184">
        <v>6</v>
      </c>
      <c r="H585" s="158"/>
      <c r="I585" s="154"/>
      <c r="J585" s="154"/>
      <c r="K585" s="154"/>
      <c r="L585" s="154"/>
      <c r="M585" s="154"/>
      <c r="N585" s="154"/>
      <c r="O585" s="154"/>
      <c r="P585" s="154"/>
      <c r="Q585" s="154"/>
      <c r="R585" s="154"/>
      <c r="S585" s="154"/>
      <c r="T585" s="154"/>
      <c r="U585" s="154"/>
      <c r="V585" s="154"/>
      <c r="W585" s="154"/>
      <c r="X585" s="154"/>
      <c r="Y585" s="154"/>
      <c r="Z585" s="154"/>
      <c r="AA585" s="154"/>
    </row>
    <row r="586" spans="1:27" ht="15">
      <c r="A586" s="180">
        <v>45847</v>
      </c>
      <c r="B586" s="181" t="s">
        <v>12982</v>
      </c>
      <c r="C586" s="182" t="s">
        <v>61</v>
      </c>
      <c r="D586" s="182">
        <v>15721</v>
      </c>
      <c r="E586" s="183">
        <v>5</v>
      </c>
      <c r="F586" s="183">
        <v>637</v>
      </c>
      <c r="G586" s="184">
        <v>1</v>
      </c>
      <c r="H586" s="158"/>
      <c r="I586" s="154"/>
      <c r="J586" s="154"/>
      <c r="K586" s="154"/>
      <c r="L586" s="154"/>
      <c r="M586" s="154"/>
      <c r="N586" s="154"/>
      <c r="O586" s="154"/>
      <c r="P586" s="154"/>
      <c r="Q586" s="154"/>
      <c r="R586" s="154"/>
      <c r="S586" s="154"/>
      <c r="T586" s="154"/>
      <c r="U586" s="154"/>
      <c r="V586" s="154"/>
      <c r="W586" s="154"/>
      <c r="X586" s="154"/>
      <c r="Y586" s="154"/>
      <c r="Z586" s="154"/>
      <c r="AA586" s="154"/>
    </row>
    <row r="587" spans="1:27" ht="15">
      <c r="A587" s="180">
        <v>45847</v>
      </c>
      <c r="B587" s="181" t="s">
        <v>12983</v>
      </c>
      <c r="C587" s="182" t="s">
        <v>61</v>
      </c>
      <c r="D587" s="182">
        <v>31289</v>
      </c>
      <c r="E587" s="183">
        <v>18</v>
      </c>
      <c r="F587" s="183">
        <v>1409</v>
      </c>
      <c r="G587" s="184">
        <v>3</v>
      </c>
      <c r="H587" s="158"/>
      <c r="I587" s="154"/>
      <c r="J587" s="154"/>
      <c r="K587" s="154"/>
      <c r="L587" s="154"/>
      <c r="M587" s="154"/>
      <c r="N587" s="154"/>
      <c r="O587" s="154"/>
      <c r="P587" s="154"/>
      <c r="Q587" s="154"/>
      <c r="R587" s="154"/>
      <c r="S587" s="154"/>
      <c r="T587" s="154"/>
      <c r="U587" s="154"/>
      <c r="V587" s="154"/>
      <c r="W587" s="154"/>
      <c r="X587" s="154"/>
      <c r="Y587" s="154"/>
      <c r="Z587" s="154"/>
      <c r="AA587" s="154"/>
    </row>
    <row r="588" spans="1:27" ht="15">
      <c r="A588" s="180">
        <v>45847</v>
      </c>
      <c r="B588" s="181" t="s">
        <v>12996</v>
      </c>
      <c r="C588" s="182" t="s">
        <v>1229</v>
      </c>
      <c r="D588" s="182">
        <v>71</v>
      </c>
      <c r="E588" s="183">
        <v>1</v>
      </c>
      <c r="F588" s="183">
        <v>1</v>
      </c>
      <c r="G588" s="184">
        <v>0</v>
      </c>
      <c r="H588" s="158"/>
      <c r="I588" s="154"/>
      <c r="J588" s="154"/>
      <c r="K588" s="154"/>
      <c r="L588" s="154"/>
      <c r="M588" s="154"/>
      <c r="N588" s="154"/>
      <c r="O588" s="154"/>
      <c r="P588" s="154"/>
      <c r="Q588" s="154"/>
      <c r="R588" s="154"/>
      <c r="S588" s="154"/>
      <c r="T588" s="154"/>
      <c r="U588" s="154"/>
      <c r="V588" s="154"/>
      <c r="W588" s="154"/>
      <c r="X588" s="154"/>
      <c r="Y588" s="154"/>
      <c r="Z588" s="154"/>
      <c r="AA588" s="154"/>
    </row>
    <row r="589" spans="1:27" ht="15">
      <c r="A589" s="180">
        <v>45847</v>
      </c>
      <c r="B589" s="181" t="s">
        <v>12963</v>
      </c>
      <c r="C589" s="182" t="s">
        <v>61</v>
      </c>
      <c r="D589" s="182">
        <v>43845</v>
      </c>
      <c r="E589" s="183">
        <v>66</v>
      </c>
      <c r="F589" s="183">
        <v>2800</v>
      </c>
      <c r="G589" s="184">
        <v>11</v>
      </c>
      <c r="H589" s="158"/>
      <c r="I589" s="154"/>
      <c r="J589" s="154"/>
      <c r="K589" s="154"/>
      <c r="L589" s="154"/>
      <c r="M589" s="154"/>
      <c r="N589" s="154"/>
      <c r="O589" s="154"/>
      <c r="P589" s="154"/>
      <c r="Q589" s="154"/>
      <c r="R589" s="154"/>
      <c r="S589" s="154"/>
      <c r="T589" s="154"/>
      <c r="U589" s="154"/>
      <c r="V589" s="154"/>
      <c r="W589" s="154"/>
      <c r="X589" s="154"/>
      <c r="Y589" s="154"/>
      <c r="Z589" s="154"/>
      <c r="AA589" s="154"/>
    </row>
    <row r="590" spans="1:27" ht="15">
      <c r="A590" s="180">
        <v>45847</v>
      </c>
      <c r="B590" s="181" t="s">
        <v>12964</v>
      </c>
      <c r="C590" s="182" t="s">
        <v>61</v>
      </c>
      <c r="D590" s="182">
        <v>18312</v>
      </c>
      <c r="E590" s="183">
        <v>23</v>
      </c>
      <c r="F590" s="183">
        <v>1440</v>
      </c>
      <c r="G590" s="184">
        <v>3</v>
      </c>
      <c r="H590" s="158"/>
      <c r="I590" s="154"/>
      <c r="J590" s="154"/>
      <c r="K590" s="154"/>
      <c r="L590" s="154"/>
      <c r="M590" s="154"/>
      <c r="N590" s="154"/>
      <c r="O590" s="154"/>
      <c r="P590" s="154"/>
      <c r="Q590" s="154"/>
      <c r="R590" s="154"/>
      <c r="S590" s="154"/>
      <c r="T590" s="154"/>
      <c r="U590" s="154"/>
      <c r="V590" s="154"/>
      <c r="W590" s="154"/>
      <c r="X590" s="154"/>
      <c r="Y590" s="154"/>
      <c r="Z590" s="154"/>
      <c r="AA590" s="154"/>
    </row>
    <row r="591" spans="1:27" ht="15">
      <c r="A591" s="180">
        <v>45847</v>
      </c>
      <c r="B591" s="181" t="s">
        <v>12968</v>
      </c>
      <c r="C591" s="182" t="s">
        <v>61</v>
      </c>
      <c r="D591" s="182">
        <v>41711</v>
      </c>
      <c r="E591" s="183">
        <v>78</v>
      </c>
      <c r="F591" s="183">
        <v>4380</v>
      </c>
      <c r="G591" s="184">
        <v>19</v>
      </c>
      <c r="H591" s="158"/>
      <c r="I591" s="154"/>
      <c r="J591" s="154"/>
      <c r="K591" s="154"/>
      <c r="L591" s="154"/>
      <c r="M591" s="154"/>
      <c r="N591" s="154"/>
      <c r="O591" s="154"/>
      <c r="P591" s="154"/>
      <c r="Q591" s="154"/>
      <c r="R591" s="154"/>
      <c r="S591" s="154"/>
      <c r="T591" s="154"/>
      <c r="U591" s="154"/>
      <c r="V591" s="154"/>
      <c r="W591" s="154"/>
      <c r="X591" s="154"/>
      <c r="Y591" s="154"/>
      <c r="Z591" s="154"/>
      <c r="AA591" s="154"/>
    </row>
    <row r="592" spans="1:27" ht="15">
      <c r="A592" s="180">
        <v>45848</v>
      </c>
      <c r="B592" s="181" t="s">
        <v>12991</v>
      </c>
      <c r="C592" s="182" t="s">
        <v>752</v>
      </c>
      <c r="D592" s="182">
        <v>47</v>
      </c>
      <c r="E592" s="183">
        <v>0</v>
      </c>
      <c r="F592" s="183">
        <v>5</v>
      </c>
      <c r="G592" s="184">
        <v>0</v>
      </c>
      <c r="H592" s="158"/>
      <c r="I592" s="154"/>
      <c r="J592" s="154"/>
      <c r="K592" s="154"/>
      <c r="L592" s="154"/>
      <c r="M592" s="154"/>
      <c r="N592" s="154"/>
      <c r="O592" s="154"/>
      <c r="P592" s="154"/>
      <c r="Q592" s="154"/>
      <c r="R592" s="154"/>
      <c r="S592" s="154"/>
      <c r="T592" s="154"/>
      <c r="U592" s="154"/>
      <c r="V592" s="154"/>
      <c r="W592" s="154"/>
      <c r="X592" s="154"/>
      <c r="Y592" s="154"/>
      <c r="Z592" s="154"/>
      <c r="AA592" s="154"/>
    </row>
    <row r="593" spans="1:27" ht="15">
      <c r="A593" s="180">
        <v>45848</v>
      </c>
      <c r="B593" s="181" t="s">
        <v>12992</v>
      </c>
      <c r="C593" s="182" t="s">
        <v>115</v>
      </c>
      <c r="D593" s="182">
        <v>17140</v>
      </c>
      <c r="E593" s="183">
        <v>8</v>
      </c>
      <c r="F593" s="183">
        <v>361</v>
      </c>
      <c r="G593" s="184">
        <v>2</v>
      </c>
      <c r="H593" s="158"/>
      <c r="I593" s="154"/>
      <c r="J593" s="154"/>
      <c r="K593" s="154"/>
      <c r="L593" s="154"/>
      <c r="M593" s="154"/>
      <c r="N593" s="154"/>
      <c r="O593" s="154"/>
      <c r="P593" s="154"/>
      <c r="Q593" s="154"/>
      <c r="R593" s="154"/>
      <c r="S593" s="154"/>
      <c r="T593" s="154"/>
      <c r="U593" s="154"/>
      <c r="V593" s="154"/>
      <c r="W593" s="154"/>
      <c r="X593" s="154"/>
      <c r="Y593" s="154"/>
      <c r="Z593" s="154"/>
      <c r="AA593" s="154"/>
    </row>
    <row r="594" spans="1:27" ht="15">
      <c r="A594" s="180">
        <v>45848</v>
      </c>
      <c r="B594" s="181" t="s">
        <v>12994</v>
      </c>
      <c r="C594" s="182" t="s">
        <v>61</v>
      </c>
      <c r="D594" s="182">
        <v>20225</v>
      </c>
      <c r="E594" s="183">
        <v>13</v>
      </c>
      <c r="F594" s="183">
        <v>884</v>
      </c>
      <c r="G594" s="184">
        <v>2</v>
      </c>
      <c r="H594" s="158"/>
      <c r="I594" s="154"/>
      <c r="J594" s="154"/>
      <c r="K594" s="154"/>
      <c r="L594" s="154"/>
      <c r="M594" s="154"/>
      <c r="N594" s="154"/>
      <c r="O594" s="154"/>
      <c r="P594" s="154"/>
      <c r="Q594" s="154"/>
      <c r="R594" s="154"/>
      <c r="S594" s="154"/>
      <c r="T594" s="154"/>
      <c r="U594" s="154"/>
      <c r="V594" s="154"/>
      <c r="W594" s="154"/>
      <c r="X594" s="154"/>
      <c r="Y594" s="154"/>
      <c r="Z594" s="154"/>
      <c r="AA594" s="154"/>
    </row>
    <row r="595" spans="1:27" ht="15">
      <c r="A595" s="180">
        <v>45848</v>
      </c>
      <c r="B595" s="181" t="s">
        <v>12982</v>
      </c>
      <c r="C595" s="182" t="s">
        <v>61</v>
      </c>
      <c r="D595" s="182">
        <v>23492</v>
      </c>
      <c r="E595" s="183">
        <v>18</v>
      </c>
      <c r="F595" s="183">
        <v>1570</v>
      </c>
      <c r="G595" s="184">
        <v>3</v>
      </c>
      <c r="H595" s="158"/>
      <c r="I595" s="154"/>
      <c r="J595" s="154"/>
      <c r="K595" s="154"/>
      <c r="L595" s="154"/>
      <c r="M595" s="154"/>
      <c r="N595" s="154"/>
      <c r="O595" s="154"/>
      <c r="P595" s="154"/>
      <c r="Q595" s="154"/>
      <c r="R595" s="154"/>
      <c r="S595" s="154"/>
      <c r="T595" s="154"/>
      <c r="U595" s="154"/>
      <c r="V595" s="154"/>
      <c r="W595" s="154"/>
      <c r="X595" s="154"/>
      <c r="Y595" s="154"/>
      <c r="Z595" s="154"/>
      <c r="AA595" s="154"/>
    </row>
    <row r="596" spans="1:27" ht="15">
      <c r="A596" s="180">
        <v>45848</v>
      </c>
      <c r="B596" s="181" t="s">
        <v>12983</v>
      </c>
      <c r="C596" s="182" t="s">
        <v>61</v>
      </c>
      <c r="D596" s="182">
        <v>4211</v>
      </c>
      <c r="E596" s="183">
        <v>8</v>
      </c>
      <c r="F596" s="183">
        <v>276</v>
      </c>
      <c r="G596" s="184">
        <v>1</v>
      </c>
      <c r="H596" s="158"/>
      <c r="I596" s="154"/>
      <c r="J596" s="154"/>
      <c r="K596" s="154"/>
      <c r="L596" s="154"/>
      <c r="M596" s="154"/>
      <c r="N596" s="154"/>
      <c r="O596" s="154"/>
      <c r="P596" s="154"/>
      <c r="Q596" s="154"/>
      <c r="R596" s="154"/>
      <c r="S596" s="154"/>
      <c r="T596" s="154"/>
      <c r="U596" s="154"/>
      <c r="V596" s="154"/>
      <c r="W596" s="154"/>
      <c r="X596" s="154"/>
      <c r="Y596" s="154"/>
      <c r="Z596" s="154"/>
      <c r="AA596" s="154"/>
    </row>
    <row r="597" spans="1:27" ht="15">
      <c r="A597" s="180">
        <v>45848</v>
      </c>
      <c r="B597" s="181" t="s">
        <v>12969</v>
      </c>
      <c r="C597" s="182" t="s">
        <v>115</v>
      </c>
      <c r="D597" s="182">
        <v>18200</v>
      </c>
      <c r="E597" s="183">
        <v>30</v>
      </c>
      <c r="F597" s="183">
        <v>1240</v>
      </c>
      <c r="G597" s="184">
        <v>1</v>
      </c>
      <c r="H597" s="158"/>
      <c r="I597" s="154"/>
      <c r="J597" s="154"/>
      <c r="K597" s="154"/>
      <c r="L597" s="154"/>
      <c r="M597" s="154"/>
      <c r="N597" s="154"/>
      <c r="O597" s="154"/>
      <c r="P597" s="154"/>
      <c r="Q597" s="154"/>
      <c r="R597" s="154"/>
      <c r="S597" s="154"/>
      <c r="T597" s="154"/>
      <c r="U597" s="154"/>
      <c r="V597" s="154"/>
      <c r="W597" s="154"/>
      <c r="X597" s="154"/>
      <c r="Y597" s="154"/>
      <c r="Z597" s="154"/>
      <c r="AA597" s="154"/>
    </row>
    <row r="598" spans="1:27" ht="15">
      <c r="A598" s="180">
        <v>45848</v>
      </c>
      <c r="B598" s="181" t="s">
        <v>12970</v>
      </c>
      <c r="C598" s="182" t="s">
        <v>115</v>
      </c>
      <c r="D598" s="182">
        <v>49158</v>
      </c>
      <c r="E598" s="183">
        <v>81</v>
      </c>
      <c r="F598" s="183">
        <v>3216</v>
      </c>
      <c r="G598" s="184">
        <v>10</v>
      </c>
      <c r="H598" s="158"/>
      <c r="I598" s="154"/>
      <c r="J598" s="154"/>
      <c r="K598" s="154"/>
      <c r="L598" s="154"/>
      <c r="M598" s="154"/>
      <c r="N598" s="154"/>
      <c r="O598" s="154"/>
      <c r="P598" s="154"/>
      <c r="Q598" s="154"/>
      <c r="R598" s="154"/>
      <c r="S598" s="154"/>
      <c r="T598" s="154"/>
      <c r="U598" s="154"/>
      <c r="V598" s="154"/>
      <c r="W598" s="154"/>
      <c r="X598" s="154"/>
      <c r="Y598" s="154"/>
      <c r="Z598" s="154"/>
      <c r="AA598" s="154"/>
    </row>
    <row r="599" spans="1:27" ht="15">
      <c r="A599" s="180">
        <v>45848</v>
      </c>
      <c r="B599" s="181" t="s">
        <v>12971</v>
      </c>
      <c r="C599" s="182" t="s">
        <v>115</v>
      </c>
      <c r="D599" s="182">
        <v>61554</v>
      </c>
      <c r="E599" s="183">
        <v>70</v>
      </c>
      <c r="F599" s="183">
        <v>4229</v>
      </c>
      <c r="G599" s="184">
        <v>16</v>
      </c>
      <c r="H599" s="158"/>
      <c r="I599" s="154"/>
      <c r="J599" s="154"/>
      <c r="K599" s="154"/>
      <c r="L599" s="154"/>
      <c r="M599" s="154"/>
      <c r="N599" s="154"/>
      <c r="O599" s="154"/>
      <c r="P599" s="154"/>
      <c r="Q599" s="154"/>
      <c r="R599" s="154"/>
      <c r="S599" s="154"/>
      <c r="T599" s="154"/>
      <c r="U599" s="154"/>
      <c r="V599" s="154"/>
      <c r="W599" s="154"/>
      <c r="X599" s="154"/>
      <c r="Y599" s="154"/>
      <c r="Z599" s="154"/>
      <c r="AA599" s="154"/>
    </row>
    <row r="600" spans="1:27" ht="15">
      <c r="A600" s="180">
        <v>45848</v>
      </c>
      <c r="B600" s="181" t="s">
        <v>12963</v>
      </c>
      <c r="C600" s="182" t="s">
        <v>61</v>
      </c>
      <c r="D600" s="182">
        <v>35397</v>
      </c>
      <c r="E600" s="183">
        <v>51</v>
      </c>
      <c r="F600" s="183">
        <v>2851</v>
      </c>
      <c r="G600" s="184">
        <v>4</v>
      </c>
      <c r="H600" s="158"/>
      <c r="I600" s="154"/>
      <c r="J600" s="154"/>
      <c r="K600" s="154"/>
      <c r="L600" s="154"/>
      <c r="M600" s="154"/>
      <c r="N600" s="154"/>
      <c r="O600" s="154"/>
      <c r="P600" s="154"/>
      <c r="Q600" s="154"/>
      <c r="R600" s="154"/>
      <c r="S600" s="154"/>
      <c r="T600" s="154"/>
      <c r="U600" s="154"/>
      <c r="V600" s="154"/>
      <c r="W600" s="154"/>
      <c r="X600" s="154"/>
      <c r="Y600" s="154"/>
      <c r="Z600" s="154"/>
      <c r="AA600" s="154"/>
    </row>
    <row r="601" spans="1:27" ht="15">
      <c r="A601" s="180">
        <v>45848</v>
      </c>
      <c r="B601" s="181" t="s">
        <v>12964</v>
      </c>
      <c r="C601" s="182" t="s">
        <v>61</v>
      </c>
      <c r="D601" s="182">
        <v>11494</v>
      </c>
      <c r="E601" s="183">
        <v>16</v>
      </c>
      <c r="F601" s="183">
        <v>820</v>
      </c>
      <c r="G601" s="184">
        <v>1</v>
      </c>
      <c r="H601" s="158"/>
      <c r="I601" s="154"/>
      <c r="J601" s="154"/>
      <c r="K601" s="154"/>
      <c r="L601" s="154"/>
      <c r="M601" s="154"/>
      <c r="N601" s="154"/>
      <c r="O601" s="154"/>
      <c r="P601" s="154"/>
      <c r="Q601" s="154"/>
      <c r="R601" s="154"/>
      <c r="S601" s="154"/>
      <c r="T601" s="154"/>
      <c r="U601" s="154"/>
      <c r="V601" s="154"/>
      <c r="W601" s="154"/>
      <c r="X601" s="154"/>
      <c r="Y601" s="154"/>
      <c r="Z601" s="154"/>
      <c r="AA601" s="154"/>
    </row>
    <row r="602" spans="1:27" ht="15">
      <c r="A602" s="180">
        <v>45848</v>
      </c>
      <c r="B602" s="181" t="s">
        <v>12968</v>
      </c>
      <c r="C602" s="182" t="s">
        <v>61</v>
      </c>
      <c r="D602" s="182">
        <v>119232</v>
      </c>
      <c r="E602" s="183">
        <v>235</v>
      </c>
      <c r="F602" s="183">
        <v>13954</v>
      </c>
      <c r="G602" s="184">
        <v>44</v>
      </c>
      <c r="H602" s="158"/>
      <c r="I602" s="154"/>
      <c r="J602" s="154"/>
      <c r="K602" s="154"/>
      <c r="L602" s="154"/>
      <c r="M602" s="154"/>
      <c r="N602" s="154"/>
      <c r="O602" s="154"/>
      <c r="P602" s="154"/>
      <c r="Q602" s="154"/>
      <c r="R602" s="154"/>
      <c r="S602" s="154"/>
      <c r="T602" s="154"/>
      <c r="U602" s="154"/>
      <c r="V602" s="154"/>
      <c r="W602" s="154"/>
      <c r="X602" s="154"/>
      <c r="Y602" s="154"/>
      <c r="Z602" s="154"/>
      <c r="AA602" s="154"/>
    </row>
    <row r="603" spans="1:27" ht="15">
      <c r="A603" s="180">
        <v>45849</v>
      </c>
      <c r="B603" s="181" t="s">
        <v>12997</v>
      </c>
      <c r="C603" s="182" t="s">
        <v>49</v>
      </c>
      <c r="D603" s="182">
        <v>82</v>
      </c>
      <c r="E603" s="183">
        <v>0</v>
      </c>
      <c r="F603" s="183">
        <v>5</v>
      </c>
      <c r="G603" s="184">
        <v>0</v>
      </c>
      <c r="H603" s="158"/>
      <c r="I603" s="154"/>
      <c r="J603" s="154"/>
      <c r="K603" s="154"/>
      <c r="L603" s="154"/>
      <c r="M603" s="154"/>
      <c r="N603" s="154"/>
      <c r="O603" s="154"/>
      <c r="P603" s="154"/>
      <c r="Q603" s="154"/>
      <c r="R603" s="154"/>
      <c r="S603" s="154"/>
      <c r="T603" s="154"/>
      <c r="U603" s="154"/>
      <c r="V603" s="154"/>
      <c r="W603" s="154"/>
      <c r="X603" s="154"/>
      <c r="Y603" s="154"/>
      <c r="Z603" s="154"/>
      <c r="AA603" s="154"/>
    </row>
    <row r="604" spans="1:27" ht="15">
      <c r="A604" s="180">
        <v>45849</v>
      </c>
      <c r="B604" s="181" t="s">
        <v>12998</v>
      </c>
      <c r="C604" s="182" t="s">
        <v>1229</v>
      </c>
      <c r="D604" s="182">
        <v>5767</v>
      </c>
      <c r="E604" s="183">
        <v>2</v>
      </c>
      <c r="F604" s="183">
        <v>188</v>
      </c>
      <c r="G604" s="184">
        <v>0</v>
      </c>
      <c r="H604" s="158"/>
      <c r="I604" s="154"/>
      <c r="J604" s="154"/>
      <c r="K604" s="154"/>
      <c r="L604" s="154"/>
      <c r="M604" s="154"/>
      <c r="N604" s="154"/>
      <c r="O604" s="154"/>
      <c r="P604" s="154"/>
      <c r="Q604" s="154"/>
      <c r="R604" s="154"/>
      <c r="S604" s="154"/>
      <c r="T604" s="154"/>
      <c r="U604" s="154"/>
      <c r="V604" s="154"/>
      <c r="W604" s="154"/>
      <c r="X604" s="154"/>
      <c r="Y604" s="154"/>
      <c r="Z604" s="154"/>
      <c r="AA604" s="154"/>
    </row>
    <row r="605" spans="1:27" ht="15">
      <c r="A605" s="180">
        <v>45849</v>
      </c>
      <c r="B605" s="181" t="s">
        <v>12991</v>
      </c>
      <c r="C605" s="182" t="s">
        <v>752</v>
      </c>
      <c r="D605" s="182">
        <v>4819</v>
      </c>
      <c r="E605" s="183">
        <v>7</v>
      </c>
      <c r="F605" s="183">
        <v>171</v>
      </c>
      <c r="G605" s="184">
        <v>1</v>
      </c>
      <c r="H605" s="158"/>
      <c r="I605" s="154"/>
      <c r="J605" s="154"/>
      <c r="K605" s="154"/>
      <c r="L605" s="154"/>
      <c r="M605" s="154"/>
      <c r="N605" s="154"/>
      <c r="O605" s="154"/>
      <c r="P605" s="154"/>
      <c r="Q605" s="154"/>
      <c r="R605" s="154"/>
      <c r="S605" s="154"/>
      <c r="T605" s="154"/>
      <c r="U605" s="154"/>
      <c r="V605" s="154"/>
      <c r="W605" s="154"/>
      <c r="X605" s="154"/>
      <c r="Y605" s="154"/>
      <c r="Z605" s="154"/>
      <c r="AA605" s="154"/>
    </row>
    <row r="606" spans="1:27" ht="15">
      <c r="A606" s="180">
        <v>45849</v>
      </c>
      <c r="B606" s="181" t="s">
        <v>12992</v>
      </c>
      <c r="C606" s="182" t="s">
        <v>115</v>
      </c>
      <c r="D606" s="182">
        <v>7293</v>
      </c>
      <c r="E606" s="183">
        <v>12</v>
      </c>
      <c r="F606" s="183">
        <v>911</v>
      </c>
      <c r="G606" s="184">
        <v>0</v>
      </c>
      <c r="H606" s="158"/>
      <c r="I606" s="154"/>
      <c r="J606" s="154"/>
      <c r="K606" s="154"/>
      <c r="L606" s="154"/>
      <c r="M606" s="154"/>
      <c r="N606" s="154"/>
      <c r="O606" s="154"/>
      <c r="P606" s="154"/>
      <c r="Q606" s="154"/>
      <c r="R606" s="154"/>
      <c r="S606" s="154"/>
      <c r="T606" s="154"/>
      <c r="U606" s="154"/>
      <c r="V606" s="154"/>
      <c r="W606" s="154"/>
      <c r="X606" s="154"/>
      <c r="Y606" s="154"/>
      <c r="Z606" s="154"/>
      <c r="AA606" s="154"/>
    </row>
    <row r="607" spans="1:27" ht="15">
      <c r="A607" s="180">
        <v>45849</v>
      </c>
      <c r="B607" s="181" t="s">
        <v>12993</v>
      </c>
      <c r="C607" s="182" t="s">
        <v>49</v>
      </c>
      <c r="D607" s="182">
        <v>1897</v>
      </c>
      <c r="E607" s="183">
        <v>1</v>
      </c>
      <c r="F607" s="183">
        <v>58</v>
      </c>
      <c r="G607" s="184">
        <v>1</v>
      </c>
      <c r="H607" s="158"/>
      <c r="I607" s="154"/>
      <c r="J607" s="154"/>
      <c r="K607" s="154"/>
      <c r="L607" s="154"/>
      <c r="M607" s="154"/>
      <c r="N607" s="154"/>
      <c r="O607" s="154"/>
      <c r="P607" s="154"/>
      <c r="Q607" s="154"/>
      <c r="R607" s="154"/>
      <c r="S607" s="154"/>
      <c r="T607" s="154"/>
      <c r="U607" s="154"/>
      <c r="V607" s="154"/>
      <c r="W607" s="154"/>
      <c r="X607" s="154"/>
      <c r="Y607" s="154"/>
      <c r="Z607" s="154"/>
      <c r="AA607" s="154"/>
    </row>
    <row r="608" spans="1:27" ht="15">
      <c r="A608" s="180">
        <v>45849</v>
      </c>
      <c r="B608" s="181" t="s">
        <v>12994</v>
      </c>
      <c r="C608" s="182" t="s">
        <v>61</v>
      </c>
      <c r="D608" s="182">
        <v>15237</v>
      </c>
      <c r="E608" s="183">
        <v>15</v>
      </c>
      <c r="F608" s="183">
        <v>758</v>
      </c>
      <c r="G608" s="184">
        <v>1</v>
      </c>
      <c r="H608" s="158"/>
      <c r="I608" s="154"/>
      <c r="J608" s="154"/>
      <c r="K608" s="154"/>
      <c r="L608" s="154"/>
      <c r="M608" s="154"/>
      <c r="N608" s="154"/>
      <c r="O608" s="154"/>
      <c r="P608" s="154"/>
      <c r="Q608" s="154"/>
      <c r="R608" s="154"/>
      <c r="S608" s="154"/>
      <c r="T608" s="154"/>
      <c r="U608" s="154"/>
      <c r="V608" s="154"/>
      <c r="W608" s="154"/>
      <c r="X608" s="154"/>
      <c r="Y608" s="154"/>
      <c r="Z608" s="154"/>
      <c r="AA608" s="154"/>
    </row>
    <row r="609" spans="1:27" ht="15">
      <c r="A609" s="180">
        <v>45849</v>
      </c>
      <c r="B609" s="181" t="s">
        <v>12980</v>
      </c>
      <c r="C609" s="182" t="s">
        <v>115</v>
      </c>
      <c r="D609" s="182">
        <v>24728</v>
      </c>
      <c r="E609" s="183">
        <v>14</v>
      </c>
      <c r="F609" s="183">
        <v>835</v>
      </c>
      <c r="G609" s="184">
        <v>1</v>
      </c>
      <c r="H609" s="158"/>
      <c r="I609" s="154"/>
      <c r="J609" s="154"/>
      <c r="K609" s="154"/>
      <c r="L609" s="154"/>
      <c r="M609" s="154"/>
      <c r="N609" s="154"/>
      <c r="O609" s="154"/>
      <c r="P609" s="154"/>
      <c r="Q609" s="154"/>
      <c r="R609" s="154"/>
      <c r="S609" s="154"/>
      <c r="T609" s="154"/>
      <c r="U609" s="154"/>
      <c r="V609" s="154"/>
      <c r="W609" s="154"/>
      <c r="X609" s="154"/>
      <c r="Y609" s="154"/>
      <c r="Z609" s="154"/>
      <c r="AA609" s="154"/>
    </row>
    <row r="610" spans="1:27" ht="15">
      <c r="A610" s="180">
        <v>45849</v>
      </c>
      <c r="B610" s="181" t="s">
        <v>12981</v>
      </c>
      <c r="C610" s="182" t="s">
        <v>115</v>
      </c>
      <c r="D610" s="182">
        <v>4358</v>
      </c>
      <c r="E610" s="183">
        <v>2</v>
      </c>
      <c r="F610" s="183">
        <v>184</v>
      </c>
      <c r="G610" s="184">
        <v>0</v>
      </c>
      <c r="H610" s="158"/>
      <c r="I610" s="154"/>
      <c r="J610" s="154"/>
      <c r="K610" s="154"/>
      <c r="L610" s="154"/>
      <c r="M610" s="154"/>
      <c r="N610" s="154"/>
      <c r="O610" s="154"/>
      <c r="P610" s="154"/>
      <c r="Q610" s="154"/>
      <c r="R610" s="154"/>
      <c r="S610" s="154"/>
      <c r="T610" s="154"/>
      <c r="U610" s="154"/>
      <c r="V610" s="154"/>
      <c r="W610" s="154"/>
      <c r="X610" s="154"/>
      <c r="Y610" s="154"/>
      <c r="Z610" s="154"/>
      <c r="AA610" s="154"/>
    </row>
    <row r="611" spans="1:27" ht="15">
      <c r="A611" s="180">
        <v>45849</v>
      </c>
      <c r="B611" s="181" t="s">
        <v>12982</v>
      </c>
      <c r="C611" s="182" t="s">
        <v>61</v>
      </c>
      <c r="D611" s="182">
        <v>20100</v>
      </c>
      <c r="E611" s="183">
        <v>14</v>
      </c>
      <c r="F611" s="183">
        <v>906</v>
      </c>
      <c r="G611" s="184">
        <v>2</v>
      </c>
      <c r="H611" s="158"/>
      <c r="I611" s="154"/>
      <c r="J611" s="154"/>
      <c r="K611" s="154"/>
      <c r="L611" s="154"/>
      <c r="M611" s="154"/>
      <c r="N611" s="154"/>
      <c r="O611" s="154"/>
      <c r="P611" s="154"/>
      <c r="Q611" s="154"/>
      <c r="R611" s="154"/>
      <c r="S611" s="154"/>
      <c r="T611" s="154"/>
      <c r="U611" s="154"/>
      <c r="V611" s="154"/>
      <c r="W611" s="154"/>
      <c r="X611" s="154"/>
      <c r="Y611" s="154"/>
      <c r="Z611" s="154"/>
      <c r="AA611" s="154"/>
    </row>
    <row r="612" spans="1:27" ht="15">
      <c r="A612" s="180">
        <v>45849</v>
      </c>
      <c r="B612" s="181" t="s">
        <v>12983</v>
      </c>
      <c r="C612" s="182" t="s">
        <v>61</v>
      </c>
      <c r="D612" s="182">
        <v>4412</v>
      </c>
      <c r="E612" s="183">
        <v>4</v>
      </c>
      <c r="F612" s="183">
        <v>295</v>
      </c>
      <c r="G612" s="184">
        <v>0</v>
      </c>
      <c r="H612" s="158"/>
      <c r="I612" s="154"/>
      <c r="J612" s="154"/>
      <c r="K612" s="154"/>
      <c r="L612" s="154"/>
      <c r="M612" s="154"/>
      <c r="N612" s="154"/>
      <c r="O612" s="154"/>
      <c r="P612" s="154"/>
      <c r="Q612" s="154"/>
      <c r="R612" s="154"/>
      <c r="S612" s="154"/>
      <c r="T612" s="154"/>
      <c r="U612" s="154"/>
      <c r="V612" s="154"/>
      <c r="W612" s="154"/>
      <c r="X612" s="154"/>
      <c r="Y612" s="154"/>
      <c r="Z612" s="154"/>
      <c r="AA612" s="154"/>
    </row>
    <row r="613" spans="1:27" ht="15">
      <c r="A613" s="180">
        <v>45849</v>
      </c>
      <c r="B613" s="181" t="s">
        <v>12995</v>
      </c>
      <c r="C613" s="182" t="s">
        <v>1229</v>
      </c>
      <c r="D613" s="182">
        <v>7249</v>
      </c>
      <c r="E613" s="183">
        <v>7</v>
      </c>
      <c r="F613" s="183">
        <v>226</v>
      </c>
      <c r="G613" s="184">
        <v>2</v>
      </c>
      <c r="H613" s="158"/>
      <c r="I613" s="154"/>
      <c r="J613" s="154"/>
      <c r="K613" s="154"/>
      <c r="L613" s="154"/>
      <c r="M613" s="154"/>
      <c r="N613" s="154"/>
      <c r="O613" s="154"/>
      <c r="P613" s="154"/>
      <c r="Q613" s="154"/>
      <c r="R613" s="154"/>
      <c r="S613" s="154"/>
      <c r="T613" s="154"/>
      <c r="U613" s="154"/>
      <c r="V613" s="154"/>
      <c r="W613" s="154"/>
      <c r="X613" s="154"/>
      <c r="Y613" s="154"/>
      <c r="Z613" s="154"/>
      <c r="AA613" s="154"/>
    </row>
    <row r="614" spans="1:27" ht="15">
      <c r="A614" s="180">
        <v>45849</v>
      </c>
      <c r="B614" s="181" t="s">
        <v>12996</v>
      </c>
      <c r="C614" s="182" t="s">
        <v>1229</v>
      </c>
      <c r="D614" s="182">
        <v>6143</v>
      </c>
      <c r="E614" s="183">
        <v>6</v>
      </c>
      <c r="F614" s="183">
        <v>185</v>
      </c>
      <c r="G614" s="184">
        <v>4</v>
      </c>
      <c r="H614" s="158"/>
      <c r="I614" s="154"/>
      <c r="J614" s="154"/>
      <c r="K614" s="154"/>
      <c r="L614" s="154"/>
      <c r="M614" s="154"/>
      <c r="N614" s="154"/>
      <c r="O614" s="154"/>
      <c r="P614" s="154"/>
      <c r="Q614" s="154"/>
      <c r="R614" s="154"/>
      <c r="S614" s="154"/>
      <c r="T614" s="154"/>
      <c r="U614" s="154"/>
      <c r="V614" s="154"/>
      <c r="W614" s="154"/>
      <c r="X614" s="154"/>
      <c r="Y614" s="154"/>
      <c r="Z614" s="154"/>
      <c r="AA614" s="154"/>
    </row>
    <row r="615" spans="1:27" ht="15">
      <c r="A615" s="180">
        <v>45849</v>
      </c>
      <c r="B615" s="181" t="s">
        <v>12969</v>
      </c>
      <c r="C615" s="182" t="s">
        <v>115</v>
      </c>
      <c r="D615" s="182">
        <v>150632</v>
      </c>
      <c r="E615" s="183">
        <v>279</v>
      </c>
      <c r="F615" s="183">
        <v>16780</v>
      </c>
      <c r="G615" s="184">
        <v>46</v>
      </c>
      <c r="H615" s="158"/>
      <c r="I615" s="154"/>
      <c r="J615" s="154"/>
      <c r="K615" s="154"/>
      <c r="L615" s="154"/>
      <c r="M615" s="154"/>
      <c r="N615" s="154"/>
      <c r="O615" s="154"/>
      <c r="P615" s="154"/>
      <c r="Q615" s="154"/>
      <c r="R615" s="154"/>
      <c r="S615" s="154"/>
      <c r="T615" s="154"/>
      <c r="U615" s="154"/>
      <c r="V615" s="154"/>
      <c r="W615" s="154"/>
      <c r="X615" s="154"/>
      <c r="Y615" s="154"/>
      <c r="Z615" s="154"/>
      <c r="AA615" s="154"/>
    </row>
    <row r="616" spans="1:27" ht="15">
      <c r="A616" s="180">
        <v>45849</v>
      </c>
      <c r="B616" s="181" t="s">
        <v>12970</v>
      </c>
      <c r="C616" s="182" t="s">
        <v>115</v>
      </c>
      <c r="D616" s="182">
        <v>87506</v>
      </c>
      <c r="E616" s="183">
        <v>140</v>
      </c>
      <c r="F616" s="183">
        <v>8079</v>
      </c>
      <c r="G616" s="184">
        <v>25</v>
      </c>
      <c r="H616" s="158"/>
      <c r="I616" s="154"/>
      <c r="J616" s="154"/>
      <c r="K616" s="154"/>
      <c r="L616" s="154"/>
      <c r="M616" s="154"/>
      <c r="N616" s="154"/>
      <c r="O616" s="154"/>
      <c r="P616" s="154"/>
      <c r="Q616" s="154"/>
      <c r="R616" s="154"/>
      <c r="S616" s="154"/>
      <c r="T616" s="154"/>
      <c r="U616" s="154"/>
      <c r="V616" s="154"/>
      <c r="W616" s="154"/>
      <c r="X616" s="154"/>
      <c r="Y616" s="154"/>
      <c r="Z616" s="154"/>
      <c r="AA616" s="154"/>
    </row>
    <row r="617" spans="1:27" ht="15">
      <c r="A617" s="180">
        <v>45849</v>
      </c>
      <c r="B617" s="181" t="s">
        <v>12971</v>
      </c>
      <c r="C617" s="182" t="s">
        <v>115</v>
      </c>
      <c r="D617" s="182">
        <v>30420</v>
      </c>
      <c r="E617" s="183">
        <v>25</v>
      </c>
      <c r="F617" s="183">
        <v>1393</v>
      </c>
      <c r="G617" s="184">
        <v>5</v>
      </c>
      <c r="H617" s="158"/>
      <c r="I617" s="154"/>
      <c r="J617" s="154"/>
      <c r="K617" s="154"/>
      <c r="L617" s="154"/>
      <c r="M617" s="154"/>
      <c r="N617" s="154"/>
      <c r="O617" s="154"/>
      <c r="P617" s="154"/>
      <c r="Q617" s="154"/>
      <c r="R617" s="154"/>
      <c r="S617" s="154"/>
      <c r="T617" s="154"/>
      <c r="U617" s="154"/>
      <c r="V617" s="154"/>
      <c r="W617" s="154"/>
      <c r="X617" s="154"/>
      <c r="Y617" s="154"/>
      <c r="Z617" s="154"/>
      <c r="AA617" s="154"/>
    </row>
    <row r="618" spans="1:27" ht="15">
      <c r="A618" s="180">
        <v>45849</v>
      </c>
      <c r="B618" s="181" t="s">
        <v>12963</v>
      </c>
      <c r="C618" s="182" t="s">
        <v>61</v>
      </c>
      <c r="D618" s="182">
        <v>71564</v>
      </c>
      <c r="E618" s="183">
        <v>108</v>
      </c>
      <c r="F618" s="183">
        <v>8401</v>
      </c>
      <c r="G618" s="184">
        <v>17</v>
      </c>
      <c r="H618" s="158"/>
      <c r="I618" s="154"/>
      <c r="J618" s="154"/>
      <c r="K618" s="154"/>
      <c r="L618" s="154"/>
      <c r="M618" s="154"/>
      <c r="N618" s="154"/>
      <c r="O618" s="154"/>
      <c r="P618" s="154"/>
      <c r="Q618" s="154"/>
      <c r="R618" s="154"/>
      <c r="S618" s="154"/>
      <c r="T618" s="154"/>
      <c r="U618" s="154"/>
      <c r="V618" s="154"/>
      <c r="W618" s="154"/>
      <c r="X618" s="154"/>
      <c r="Y618" s="154"/>
      <c r="Z618" s="154"/>
      <c r="AA618" s="154"/>
    </row>
    <row r="619" spans="1:27" ht="15">
      <c r="A619" s="180">
        <v>45849</v>
      </c>
      <c r="B619" s="181" t="s">
        <v>12964</v>
      </c>
      <c r="C619" s="182" t="s">
        <v>61</v>
      </c>
      <c r="D619" s="182">
        <v>37763</v>
      </c>
      <c r="E619" s="183">
        <v>33</v>
      </c>
      <c r="F619" s="183">
        <v>1669</v>
      </c>
      <c r="G619" s="184">
        <v>5</v>
      </c>
      <c r="H619" s="158"/>
      <c r="I619" s="154"/>
      <c r="J619" s="154"/>
      <c r="K619" s="154"/>
      <c r="L619" s="154"/>
      <c r="M619" s="154"/>
      <c r="N619" s="154"/>
      <c r="O619" s="154"/>
      <c r="P619" s="154"/>
      <c r="Q619" s="154"/>
      <c r="R619" s="154"/>
      <c r="S619" s="154"/>
      <c r="T619" s="154"/>
      <c r="U619" s="154"/>
      <c r="V619" s="154"/>
      <c r="W619" s="154"/>
      <c r="X619" s="154"/>
      <c r="Y619" s="154"/>
      <c r="Z619" s="154"/>
      <c r="AA619" s="154"/>
    </row>
    <row r="620" spans="1:27" ht="15">
      <c r="A620" s="180">
        <v>45849</v>
      </c>
      <c r="B620" s="181" t="s">
        <v>12965</v>
      </c>
      <c r="C620" s="182" t="s">
        <v>49</v>
      </c>
      <c r="D620" s="182">
        <v>2536</v>
      </c>
      <c r="E620" s="183">
        <v>1</v>
      </c>
      <c r="F620" s="183">
        <v>99</v>
      </c>
      <c r="G620" s="184">
        <v>0</v>
      </c>
      <c r="H620" s="158"/>
      <c r="I620" s="154"/>
      <c r="J620" s="154"/>
      <c r="K620" s="154"/>
      <c r="L620" s="154"/>
      <c r="M620" s="154"/>
      <c r="N620" s="154"/>
      <c r="O620" s="154"/>
      <c r="P620" s="154"/>
      <c r="Q620" s="154"/>
      <c r="R620" s="154"/>
      <c r="S620" s="154"/>
      <c r="T620" s="154"/>
      <c r="U620" s="154"/>
      <c r="V620" s="154"/>
      <c r="W620" s="154"/>
      <c r="X620" s="154"/>
      <c r="Y620" s="154"/>
      <c r="Z620" s="154"/>
      <c r="AA620" s="154"/>
    </row>
    <row r="621" spans="1:27" ht="15">
      <c r="A621" s="180">
        <v>45849</v>
      </c>
      <c r="B621" s="181" t="s">
        <v>12966</v>
      </c>
      <c r="C621" s="182" t="s">
        <v>49</v>
      </c>
      <c r="D621" s="182">
        <v>3620</v>
      </c>
      <c r="E621" s="183">
        <v>3</v>
      </c>
      <c r="F621" s="183">
        <v>503</v>
      </c>
      <c r="G621" s="184">
        <v>1</v>
      </c>
      <c r="H621" s="158"/>
      <c r="I621" s="154"/>
      <c r="J621" s="154"/>
      <c r="K621" s="154"/>
      <c r="L621" s="154"/>
      <c r="M621" s="154"/>
      <c r="N621" s="154"/>
      <c r="O621" s="154"/>
      <c r="P621" s="154"/>
      <c r="Q621" s="154"/>
      <c r="R621" s="154"/>
      <c r="S621" s="154"/>
      <c r="T621" s="154"/>
      <c r="U621" s="154"/>
      <c r="V621" s="154"/>
      <c r="W621" s="154"/>
      <c r="X621" s="154"/>
      <c r="Y621" s="154"/>
      <c r="Z621" s="154"/>
      <c r="AA621" s="154"/>
    </row>
    <row r="622" spans="1:27" ht="15">
      <c r="A622" s="180">
        <v>45849</v>
      </c>
      <c r="B622" s="181" t="s">
        <v>12967</v>
      </c>
      <c r="C622" s="182" t="s">
        <v>49</v>
      </c>
      <c r="D622" s="182">
        <v>3571</v>
      </c>
      <c r="E622" s="183">
        <v>9</v>
      </c>
      <c r="F622" s="183">
        <v>375</v>
      </c>
      <c r="G622" s="184">
        <v>0</v>
      </c>
      <c r="H622" s="158"/>
      <c r="I622" s="154"/>
      <c r="J622" s="154"/>
      <c r="K622" s="154"/>
      <c r="L622" s="154"/>
      <c r="M622" s="154"/>
      <c r="N622" s="154"/>
      <c r="O622" s="154"/>
      <c r="P622" s="154"/>
      <c r="Q622" s="154"/>
      <c r="R622" s="154"/>
      <c r="S622" s="154"/>
      <c r="T622" s="154"/>
      <c r="U622" s="154"/>
      <c r="V622" s="154"/>
      <c r="W622" s="154"/>
      <c r="X622" s="154"/>
      <c r="Y622" s="154"/>
      <c r="Z622" s="154"/>
      <c r="AA622" s="154"/>
    </row>
    <row r="623" spans="1:27" ht="15">
      <c r="A623" s="180">
        <v>45849</v>
      </c>
      <c r="B623" s="181" t="s">
        <v>12968</v>
      </c>
      <c r="C623" s="182" t="s">
        <v>61</v>
      </c>
      <c r="D623" s="182">
        <v>40855</v>
      </c>
      <c r="E623" s="183">
        <v>69</v>
      </c>
      <c r="F623" s="183">
        <v>5068</v>
      </c>
      <c r="G623" s="184">
        <v>9</v>
      </c>
      <c r="H623" s="158"/>
      <c r="I623" s="154"/>
      <c r="J623" s="154"/>
      <c r="K623" s="154"/>
      <c r="L623" s="154"/>
      <c r="M623" s="154"/>
      <c r="N623" s="154"/>
      <c r="O623" s="154"/>
      <c r="P623" s="154"/>
      <c r="Q623" s="154"/>
      <c r="R623" s="154"/>
      <c r="S623" s="154"/>
      <c r="T623" s="154"/>
      <c r="U623" s="154"/>
      <c r="V623" s="154"/>
      <c r="W623" s="154"/>
      <c r="X623" s="154"/>
      <c r="Y623" s="154"/>
      <c r="Z623" s="154"/>
      <c r="AA623" s="154"/>
    </row>
    <row r="624" spans="1:27" ht="15">
      <c r="A624" s="180">
        <v>45850</v>
      </c>
      <c r="B624" s="181" t="s">
        <v>12997</v>
      </c>
      <c r="C624" s="182" t="s">
        <v>49</v>
      </c>
      <c r="D624" s="182">
        <v>396</v>
      </c>
      <c r="E624" s="183">
        <v>0</v>
      </c>
      <c r="F624" s="183">
        <v>21</v>
      </c>
      <c r="G624" s="184">
        <v>0</v>
      </c>
      <c r="H624" s="158"/>
      <c r="I624" s="154"/>
      <c r="J624" s="154"/>
      <c r="K624" s="154"/>
      <c r="L624" s="154"/>
      <c r="M624" s="154"/>
      <c r="N624" s="154"/>
      <c r="O624" s="154"/>
      <c r="P624" s="154"/>
      <c r="Q624" s="154"/>
      <c r="R624" s="154"/>
      <c r="S624" s="154"/>
      <c r="T624" s="154"/>
      <c r="U624" s="154"/>
      <c r="V624" s="154"/>
      <c r="W624" s="154"/>
      <c r="X624" s="154"/>
      <c r="Y624" s="154"/>
      <c r="Z624" s="154"/>
      <c r="AA624" s="154"/>
    </row>
    <row r="625" spans="1:27" ht="15">
      <c r="A625" s="180">
        <v>45850</v>
      </c>
      <c r="B625" s="181" t="s">
        <v>12998</v>
      </c>
      <c r="C625" s="182" t="s">
        <v>1229</v>
      </c>
      <c r="D625" s="182">
        <v>1251</v>
      </c>
      <c r="E625" s="183">
        <v>0</v>
      </c>
      <c r="F625" s="183">
        <v>85</v>
      </c>
      <c r="G625" s="184">
        <v>0</v>
      </c>
      <c r="H625" s="158"/>
      <c r="I625" s="154"/>
      <c r="J625" s="154"/>
      <c r="K625" s="154"/>
      <c r="L625" s="154"/>
      <c r="M625" s="154"/>
      <c r="N625" s="154"/>
      <c r="O625" s="154"/>
      <c r="P625" s="154"/>
      <c r="Q625" s="154"/>
      <c r="R625" s="154"/>
      <c r="S625" s="154"/>
      <c r="T625" s="154"/>
      <c r="U625" s="154"/>
      <c r="V625" s="154"/>
      <c r="W625" s="154"/>
      <c r="X625" s="154"/>
      <c r="Y625" s="154"/>
      <c r="Z625" s="154"/>
      <c r="AA625" s="154"/>
    </row>
    <row r="626" spans="1:27" ht="15">
      <c r="A626" s="180">
        <v>45850</v>
      </c>
      <c r="B626" s="181" t="s">
        <v>12991</v>
      </c>
      <c r="C626" s="182" t="s">
        <v>752</v>
      </c>
      <c r="D626" s="182">
        <v>3426</v>
      </c>
      <c r="E626" s="183">
        <v>4</v>
      </c>
      <c r="F626" s="183">
        <v>138</v>
      </c>
      <c r="G626" s="184">
        <v>0</v>
      </c>
      <c r="H626" s="158"/>
      <c r="I626" s="154"/>
      <c r="J626" s="154"/>
      <c r="K626" s="154"/>
      <c r="L626" s="154"/>
      <c r="M626" s="154"/>
      <c r="N626" s="154"/>
      <c r="O626" s="154"/>
      <c r="P626" s="154"/>
      <c r="Q626" s="154"/>
      <c r="R626" s="154"/>
      <c r="S626" s="154"/>
      <c r="T626" s="154"/>
      <c r="U626" s="154"/>
      <c r="V626" s="154"/>
      <c r="W626" s="154"/>
      <c r="X626" s="154"/>
      <c r="Y626" s="154"/>
      <c r="Z626" s="154"/>
      <c r="AA626" s="154"/>
    </row>
    <row r="627" spans="1:27" ht="15">
      <c r="A627" s="180">
        <v>45850</v>
      </c>
      <c r="B627" s="181" t="s">
        <v>12992</v>
      </c>
      <c r="C627" s="182" t="s">
        <v>115</v>
      </c>
      <c r="D627" s="182">
        <v>3403</v>
      </c>
      <c r="E627" s="183">
        <v>4</v>
      </c>
      <c r="F627" s="183">
        <v>145</v>
      </c>
      <c r="G627" s="184">
        <v>1</v>
      </c>
      <c r="H627" s="158"/>
      <c r="I627" s="154"/>
      <c r="J627" s="154"/>
      <c r="K627" s="154"/>
      <c r="L627" s="154"/>
      <c r="M627" s="154"/>
      <c r="N627" s="154"/>
      <c r="O627" s="154"/>
      <c r="P627" s="154"/>
      <c r="Q627" s="154"/>
      <c r="R627" s="154"/>
      <c r="S627" s="154"/>
      <c r="T627" s="154"/>
      <c r="U627" s="154"/>
      <c r="V627" s="154"/>
      <c r="W627" s="154"/>
      <c r="X627" s="154"/>
      <c r="Y627" s="154"/>
      <c r="Z627" s="154"/>
      <c r="AA627" s="154"/>
    </row>
    <row r="628" spans="1:27" ht="15">
      <c r="A628" s="180">
        <v>45850</v>
      </c>
      <c r="B628" s="181" t="s">
        <v>12993</v>
      </c>
      <c r="C628" s="182" t="s">
        <v>49</v>
      </c>
      <c r="D628" s="182">
        <v>452</v>
      </c>
      <c r="E628" s="183">
        <v>0</v>
      </c>
      <c r="F628" s="183">
        <v>44</v>
      </c>
      <c r="G628" s="184">
        <v>0</v>
      </c>
      <c r="H628" s="158"/>
      <c r="I628" s="154"/>
      <c r="J628" s="154"/>
      <c r="K628" s="154"/>
      <c r="L628" s="154"/>
      <c r="M628" s="154"/>
      <c r="N628" s="154"/>
      <c r="O628" s="154"/>
      <c r="P628" s="154"/>
      <c r="Q628" s="154"/>
      <c r="R628" s="154"/>
      <c r="S628" s="154"/>
      <c r="T628" s="154"/>
      <c r="U628" s="154"/>
      <c r="V628" s="154"/>
      <c r="W628" s="154"/>
      <c r="X628" s="154"/>
      <c r="Y628" s="154"/>
      <c r="Z628" s="154"/>
      <c r="AA628" s="154"/>
    </row>
    <row r="629" spans="1:27" ht="15">
      <c r="A629" s="180">
        <v>45850</v>
      </c>
      <c r="B629" s="181" t="s">
        <v>12994</v>
      </c>
      <c r="C629" s="182" t="s">
        <v>61</v>
      </c>
      <c r="D629" s="182">
        <v>2435</v>
      </c>
      <c r="E629" s="183">
        <v>3</v>
      </c>
      <c r="F629" s="183">
        <v>118</v>
      </c>
      <c r="G629" s="184">
        <v>0</v>
      </c>
      <c r="H629" s="158"/>
      <c r="I629" s="154"/>
      <c r="J629" s="154"/>
      <c r="K629" s="154"/>
      <c r="L629" s="154"/>
      <c r="M629" s="154"/>
      <c r="N629" s="154"/>
      <c r="O629" s="154"/>
      <c r="P629" s="154"/>
      <c r="Q629" s="154"/>
      <c r="R629" s="154"/>
      <c r="S629" s="154"/>
      <c r="T629" s="154"/>
      <c r="U629" s="154"/>
      <c r="V629" s="154"/>
      <c r="W629" s="154"/>
      <c r="X629" s="154"/>
      <c r="Y629" s="154"/>
      <c r="Z629" s="154"/>
      <c r="AA629" s="154"/>
    </row>
    <row r="630" spans="1:27" ht="15">
      <c r="A630" s="180">
        <v>45850</v>
      </c>
      <c r="B630" s="181" t="s">
        <v>12980</v>
      </c>
      <c r="C630" s="182" t="s">
        <v>115</v>
      </c>
      <c r="D630" s="182">
        <v>6072</v>
      </c>
      <c r="E630" s="183">
        <v>5</v>
      </c>
      <c r="F630" s="183">
        <v>255</v>
      </c>
      <c r="G630" s="184">
        <v>2</v>
      </c>
      <c r="H630" s="158"/>
      <c r="I630" s="154"/>
      <c r="J630" s="154"/>
      <c r="K630" s="154"/>
      <c r="L630" s="154"/>
      <c r="M630" s="154"/>
      <c r="N630" s="154"/>
      <c r="O630" s="154"/>
      <c r="P630" s="154"/>
      <c r="Q630" s="154"/>
      <c r="R630" s="154"/>
      <c r="S630" s="154"/>
      <c r="T630" s="154"/>
      <c r="U630" s="154"/>
      <c r="V630" s="154"/>
      <c r="W630" s="154"/>
      <c r="X630" s="154"/>
      <c r="Y630" s="154"/>
      <c r="Z630" s="154"/>
      <c r="AA630" s="154"/>
    </row>
    <row r="631" spans="1:27" ht="15">
      <c r="A631" s="180">
        <v>45850</v>
      </c>
      <c r="B631" s="181" t="s">
        <v>12981</v>
      </c>
      <c r="C631" s="182" t="s">
        <v>115</v>
      </c>
      <c r="D631" s="182">
        <v>3024</v>
      </c>
      <c r="E631" s="183">
        <v>1</v>
      </c>
      <c r="F631" s="183">
        <v>87</v>
      </c>
      <c r="G631" s="184">
        <v>0</v>
      </c>
      <c r="H631" s="158"/>
      <c r="I631" s="154"/>
      <c r="J631" s="154"/>
      <c r="K631" s="154"/>
      <c r="L631" s="154"/>
      <c r="M631" s="154"/>
      <c r="N631" s="154"/>
      <c r="O631" s="154"/>
      <c r="P631" s="154"/>
      <c r="Q631" s="154"/>
      <c r="R631" s="154"/>
      <c r="S631" s="154"/>
      <c r="T631" s="154"/>
      <c r="U631" s="154"/>
      <c r="V631" s="154"/>
      <c r="W631" s="154"/>
      <c r="X631" s="154"/>
      <c r="Y631" s="154"/>
      <c r="Z631" s="154"/>
      <c r="AA631" s="154"/>
    </row>
    <row r="632" spans="1:27" ht="15">
      <c r="A632" s="180">
        <v>45850</v>
      </c>
      <c r="B632" s="181" t="s">
        <v>12982</v>
      </c>
      <c r="C632" s="182" t="s">
        <v>61</v>
      </c>
      <c r="D632" s="182">
        <v>3144</v>
      </c>
      <c r="E632" s="183">
        <v>7</v>
      </c>
      <c r="F632" s="183">
        <v>177</v>
      </c>
      <c r="G632" s="184">
        <v>1</v>
      </c>
      <c r="H632" s="158"/>
      <c r="I632" s="154"/>
      <c r="J632" s="154"/>
      <c r="K632" s="154"/>
      <c r="L632" s="154"/>
      <c r="M632" s="154"/>
      <c r="N632" s="154"/>
      <c r="O632" s="154"/>
      <c r="P632" s="154"/>
      <c r="Q632" s="154"/>
      <c r="R632" s="154"/>
      <c r="S632" s="154"/>
      <c r="T632" s="154"/>
      <c r="U632" s="154"/>
      <c r="V632" s="154"/>
      <c r="W632" s="154"/>
      <c r="X632" s="154"/>
      <c r="Y632" s="154"/>
      <c r="Z632" s="154"/>
      <c r="AA632" s="154"/>
    </row>
    <row r="633" spans="1:27" ht="15">
      <c r="A633" s="180">
        <v>45850</v>
      </c>
      <c r="B633" s="181" t="s">
        <v>12983</v>
      </c>
      <c r="C633" s="182" t="s">
        <v>61</v>
      </c>
      <c r="D633" s="182">
        <v>2215</v>
      </c>
      <c r="E633" s="183">
        <v>6</v>
      </c>
      <c r="F633" s="183">
        <v>116</v>
      </c>
      <c r="G633" s="184">
        <v>2</v>
      </c>
      <c r="H633" s="158"/>
      <c r="I633" s="154"/>
      <c r="J633" s="154"/>
      <c r="K633" s="154"/>
      <c r="L633" s="154"/>
      <c r="M633" s="154"/>
      <c r="N633" s="154"/>
      <c r="O633" s="154"/>
      <c r="P633" s="154"/>
      <c r="Q633" s="154"/>
      <c r="R633" s="154"/>
      <c r="S633" s="154"/>
      <c r="T633" s="154"/>
      <c r="U633" s="154"/>
      <c r="V633" s="154"/>
      <c r="W633" s="154"/>
      <c r="X633" s="154"/>
      <c r="Y633" s="154"/>
      <c r="Z633" s="154"/>
      <c r="AA633" s="154"/>
    </row>
    <row r="634" spans="1:27" ht="15">
      <c r="A634" s="180">
        <v>45850</v>
      </c>
      <c r="B634" s="181" t="s">
        <v>12995</v>
      </c>
      <c r="C634" s="182" t="s">
        <v>1229</v>
      </c>
      <c r="D634" s="182">
        <v>1455</v>
      </c>
      <c r="E634" s="183">
        <v>1</v>
      </c>
      <c r="F634" s="183">
        <v>63</v>
      </c>
      <c r="G634" s="184">
        <v>1</v>
      </c>
      <c r="H634" s="158"/>
      <c r="I634" s="154"/>
      <c r="J634" s="154"/>
      <c r="K634" s="154"/>
      <c r="L634" s="154"/>
      <c r="M634" s="154"/>
      <c r="N634" s="154"/>
      <c r="O634" s="154"/>
      <c r="P634" s="154"/>
      <c r="Q634" s="154"/>
      <c r="R634" s="154"/>
      <c r="S634" s="154"/>
      <c r="T634" s="154"/>
      <c r="U634" s="154"/>
      <c r="V634" s="154"/>
      <c r="W634" s="154"/>
      <c r="X634" s="154"/>
      <c r="Y634" s="154"/>
      <c r="Z634" s="154"/>
      <c r="AA634" s="154"/>
    </row>
    <row r="635" spans="1:27" ht="15">
      <c r="A635" s="180">
        <v>45850</v>
      </c>
      <c r="B635" s="181" t="s">
        <v>12996</v>
      </c>
      <c r="C635" s="182" t="s">
        <v>1229</v>
      </c>
      <c r="D635" s="182">
        <v>1273</v>
      </c>
      <c r="E635" s="183">
        <v>0</v>
      </c>
      <c r="F635" s="183">
        <v>77</v>
      </c>
      <c r="G635" s="184">
        <v>0</v>
      </c>
      <c r="H635" s="158"/>
      <c r="I635" s="154"/>
      <c r="J635" s="154"/>
      <c r="K635" s="154"/>
      <c r="L635" s="154"/>
      <c r="M635" s="154"/>
      <c r="N635" s="154"/>
      <c r="O635" s="154"/>
      <c r="P635" s="154"/>
      <c r="Q635" s="154"/>
      <c r="R635" s="154"/>
      <c r="S635" s="154"/>
      <c r="T635" s="154"/>
      <c r="U635" s="154"/>
      <c r="V635" s="154"/>
      <c r="W635" s="154"/>
      <c r="X635" s="154"/>
      <c r="Y635" s="154"/>
      <c r="Z635" s="154"/>
      <c r="AA635" s="154"/>
    </row>
    <row r="636" spans="1:27" ht="15">
      <c r="A636" s="180">
        <v>45850</v>
      </c>
      <c r="B636" s="181" t="s">
        <v>12969</v>
      </c>
      <c r="C636" s="182" t="s">
        <v>115</v>
      </c>
      <c r="D636" s="182">
        <v>55298</v>
      </c>
      <c r="E636" s="183">
        <v>87</v>
      </c>
      <c r="F636" s="183">
        <v>5571</v>
      </c>
      <c r="G636" s="184">
        <v>14</v>
      </c>
      <c r="H636" s="158"/>
      <c r="I636" s="154"/>
      <c r="J636" s="154"/>
      <c r="K636" s="154"/>
      <c r="L636" s="154"/>
      <c r="M636" s="154"/>
      <c r="N636" s="154"/>
      <c r="O636" s="154"/>
      <c r="P636" s="154"/>
      <c r="Q636" s="154"/>
      <c r="R636" s="154"/>
      <c r="S636" s="154"/>
      <c r="T636" s="154"/>
      <c r="U636" s="154"/>
      <c r="V636" s="154"/>
      <c r="W636" s="154"/>
      <c r="X636" s="154"/>
      <c r="Y636" s="154"/>
      <c r="Z636" s="154"/>
      <c r="AA636" s="154"/>
    </row>
    <row r="637" spans="1:27" ht="15">
      <c r="A637" s="180">
        <v>45850</v>
      </c>
      <c r="B637" s="181" t="s">
        <v>12970</v>
      </c>
      <c r="C637" s="182" t="s">
        <v>115</v>
      </c>
      <c r="D637" s="182">
        <v>7933</v>
      </c>
      <c r="E637" s="183">
        <v>15</v>
      </c>
      <c r="F637" s="183">
        <v>745</v>
      </c>
      <c r="G637" s="184">
        <v>1</v>
      </c>
      <c r="H637" s="158"/>
      <c r="I637" s="154"/>
      <c r="J637" s="154"/>
      <c r="K637" s="154"/>
      <c r="L637" s="154"/>
      <c r="M637" s="154"/>
      <c r="N637" s="154"/>
      <c r="O637" s="154"/>
      <c r="P637" s="154"/>
      <c r="Q637" s="154"/>
      <c r="R637" s="154"/>
      <c r="S637" s="154"/>
      <c r="T637" s="154"/>
      <c r="U637" s="154"/>
      <c r="V637" s="154"/>
      <c r="W637" s="154"/>
      <c r="X637" s="154"/>
      <c r="Y637" s="154"/>
      <c r="Z637" s="154"/>
      <c r="AA637" s="154"/>
    </row>
    <row r="638" spans="1:27" ht="15">
      <c r="A638" s="180">
        <v>45850</v>
      </c>
      <c r="B638" s="181" t="s">
        <v>12971</v>
      </c>
      <c r="C638" s="182" t="s">
        <v>115</v>
      </c>
      <c r="D638" s="182">
        <v>47349</v>
      </c>
      <c r="E638" s="183">
        <v>42</v>
      </c>
      <c r="F638" s="183">
        <v>1603</v>
      </c>
      <c r="G638" s="184">
        <v>13</v>
      </c>
      <c r="H638" s="158"/>
      <c r="I638" s="154"/>
      <c r="J638" s="154"/>
      <c r="K638" s="154"/>
      <c r="L638" s="154"/>
      <c r="M638" s="154"/>
      <c r="N638" s="154"/>
      <c r="O638" s="154"/>
      <c r="P638" s="154"/>
      <c r="Q638" s="154"/>
      <c r="R638" s="154"/>
      <c r="S638" s="154"/>
      <c r="T638" s="154"/>
      <c r="U638" s="154"/>
      <c r="V638" s="154"/>
      <c r="W638" s="154"/>
      <c r="X638" s="154"/>
      <c r="Y638" s="154"/>
      <c r="Z638" s="154"/>
      <c r="AA638" s="154"/>
    </row>
    <row r="639" spans="1:27" ht="15">
      <c r="A639" s="180">
        <v>45850</v>
      </c>
      <c r="B639" s="181" t="s">
        <v>12963</v>
      </c>
      <c r="C639" s="182" t="s">
        <v>61</v>
      </c>
      <c r="D639" s="182">
        <v>33778</v>
      </c>
      <c r="E639" s="183">
        <v>56</v>
      </c>
      <c r="F639" s="183">
        <v>3519</v>
      </c>
      <c r="G639" s="184">
        <v>4</v>
      </c>
      <c r="H639" s="158"/>
      <c r="I639" s="154"/>
      <c r="J639" s="154"/>
      <c r="K639" s="154"/>
      <c r="L639" s="154"/>
      <c r="M639" s="154"/>
      <c r="N639" s="154"/>
      <c r="O639" s="154"/>
      <c r="P639" s="154"/>
      <c r="Q639" s="154"/>
      <c r="R639" s="154"/>
      <c r="S639" s="154"/>
      <c r="T639" s="154"/>
      <c r="U639" s="154"/>
      <c r="V639" s="154"/>
      <c r="W639" s="154"/>
      <c r="X639" s="154"/>
      <c r="Y639" s="154"/>
      <c r="Z639" s="154"/>
      <c r="AA639" s="154"/>
    </row>
    <row r="640" spans="1:27" ht="15">
      <c r="A640" s="180">
        <v>45850</v>
      </c>
      <c r="B640" s="181" t="s">
        <v>12964</v>
      </c>
      <c r="C640" s="182" t="s">
        <v>61</v>
      </c>
      <c r="D640" s="182">
        <v>8384</v>
      </c>
      <c r="E640" s="183">
        <v>5</v>
      </c>
      <c r="F640" s="183">
        <v>523</v>
      </c>
      <c r="G640" s="184">
        <v>0</v>
      </c>
      <c r="H640" s="158"/>
      <c r="I640" s="154"/>
      <c r="J640" s="154"/>
      <c r="K640" s="154"/>
      <c r="L640" s="154"/>
      <c r="M640" s="154"/>
      <c r="N640" s="154"/>
      <c r="O640" s="154"/>
      <c r="P640" s="154"/>
      <c r="Q640" s="154"/>
      <c r="R640" s="154"/>
      <c r="S640" s="154"/>
      <c r="T640" s="154"/>
      <c r="U640" s="154"/>
      <c r="V640" s="154"/>
      <c r="W640" s="154"/>
      <c r="X640" s="154"/>
      <c r="Y640" s="154"/>
      <c r="Z640" s="154"/>
      <c r="AA640" s="154"/>
    </row>
    <row r="641" spans="1:27" ht="15">
      <c r="A641" s="180">
        <v>45850</v>
      </c>
      <c r="B641" s="181" t="s">
        <v>12965</v>
      </c>
      <c r="C641" s="182" t="s">
        <v>49</v>
      </c>
      <c r="D641" s="182">
        <v>1689</v>
      </c>
      <c r="E641" s="183">
        <v>0</v>
      </c>
      <c r="F641" s="183">
        <v>31</v>
      </c>
      <c r="G641" s="184">
        <v>0</v>
      </c>
      <c r="H641" s="158"/>
      <c r="I641" s="154"/>
      <c r="J641" s="154"/>
      <c r="K641" s="154"/>
      <c r="L641" s="154"/>
      <c r="M641" s="154"/>
      <c r="N641" s="154"/>
      <c r="O641" s="154"/>
      <c r="P641" s="154"/>
      <c r="Q641" s="154"/>
      <c r="R641" s="154"/>
      <c r="S641" s="154"/>
      <c r="T641" s="154"/>
      <c r="U641" s="154"/>
      <c r="V641" s="154"/>
      <c r="W641" s="154"/>
      <c r="X641" s="154"/>
      <c r="Y641" s="154"/>
      <c r="Z641" s="154"/>
      <c r="AA641" s="154"/>
    </row>
    <row r="642" spans="1:27" ht="15">
      <c r="A642" s="180">
        <v>45850</v>
      </c>
      <c r="B642" s="181" t="s">
        <v>12966</v>
      </c>
      <c r="C642" s="182" t="s">
        <v>49</v>
      </c>
      <c r="D642" s="182">
        <v>2595</v>
      </c>
      <c r="E642" s="183">
        <v>6</v>
      </c>
      <c r="F642" s="183">
        <v>437</v>
      </c>
      <c r="G642" s="184">
        <v>1</v>
      </c>
      <c r="H642" s="158"/>
      <c r="I642" s="154"/>
      <c r="J642" s="154"/>
      <c r="K642" s="154"/>
      <c r="L642" s="154"/>
      <c r="M642" s="154"/>
      <c r="N642" s="154"/>
      <c r="O642" s="154"/>
      <c r="P642" s="154"/>
      <c r="Q642" s="154"/>
      <c r="R642" s="154"/>
      <c r="S642" s="154"/>
      <c r="T642" s="154"/>
      <c r="U642" s="154"/>
      <c r="V642" s="154"/>
      <c r="W642" s="154"/>
      <c r="X642" s="154"/>
      <c r="Y642" s="154"/>
      <c r="Z642" s="154"/>
      <c r="AA642" s="154"/>
    </row>
    <row r="643" spans="1:27" ht="15">
      <c r="A643" s="180">
        <v>45850</v>
      </c>
      <c r="B643" s="181" t="s">
        <v>12967</v>
      </c>
      <c r="C643" s="182" t="s">
        <v>49</v>
      </c>
      <c r="D643" s="182">
        <v>2445</v>
      </c>
      <c r="E643" s="183">
        <v>8</v>
      </c>
      <c r="F643" s="183">
        <v>409</v>
      </c>
      <c r="G643" s="184">
        <v>1</v>
      </c>
      <c r="H643" s="158"/>
      <c r="I643" s="154"/>
      <c r="J643" s="154"/>
      <c r="K643" s="154"/>
      <c r="L643" s="154"/>
      <c r="M643" s="154"/>
      <c r="N643" s="154"/>
      <c r="O643" s="154"/>
      <c r="P643" s="154"/>
      <c r="Q643" s="154"/>
      <c r="R643" s="154"/>
      <c r="S643" s="154"/>
      <c r="T643" s="154"/>
      <c r="U643" s="154"/>
      <c r="V643" s="154"/>
      <c r="W643" s="154"/>
      <c r="X643" s="154"/>
      <c r="Y643" s="154"/>
      <c r="Z643" s="154"/>
      <c r="AA643" s="154"/>
    </row>
    <row r="644" spans="1:27" ht="15">
      <c r="A644" s="180">
        <v>45850</v>
      </c>
      <c r="B644" s="181" t="s">
        <v>12968</v>
      </c>
      <c r="C644" s="182" t="s">
        <v>61</v>
      </c>
      <c r="D644" s="182">
        <v>12103</v>
      </c>
      <c r="E644" s="183">
        <v>22</v>
      </c>
      <c r="F644" s="183">
        <v>1393</v>
      </c>
      <c r="G644" s="184">
        <v>1</v>
      </c>
      <c r="H644" s="158"/>
      <c r="I644" s="154"/>
      <c r="J644" s="154"/>
      <c r="K644" s="154"/>
      <c r="L644" s="154"/>
      <c r="M644" s="154"/>
      <c r="N644" s="154"/>
      <c r="O644" s="154"/>
      <c r="P644" s="154"/>
      <c r="Q644" s="154"/>
      <c r="R644" s="154"/>
      <c r="S644" s="154"/>
      <c r="T644" s="154"/>
      <c r="U644" s="154"/>
      <c r="V644" s="154"/>
      <c r="W644" s="154"/>
      <c r="X644" s="154"/>
      <c r="Y644" s="154"/>
      <c r="Z644" s="154"/>
      <c r="AA644" s="154"/>
    </row>
    <row r="645" spans="1:27" ht="15">
      <c r="A645" s="180">
        <v>45853</v>
      </c>
      <c r="B645" s="181" t="s">
        <v>13000</v>
      </c>
      <c r="C645" s="182" t="s">
        <v>1774</v>
      </c>
      <c r="D645" s="182">
        <v>10801</v>
      </c>
      <c r="E645" s="183">
        <v>8</v>
      </c>
      <c r="F645" s="183">
        <v>439</v>
      </c>
      <c r="G645" s="184">
        <v>0</v>
      </c>
      <c r="H645" s="158"/>
      <c r="I645" s="154"/>
      <c r="J645" s="154"/>
      <c r="K645" s="154"/>
      <c r="L645" s="154"/>
      <c r="M645" s="154"/>
      <c r="N645" s="154"/>
      <c r="O645" s="154"/>
      <c r="P645" s="154"/>
      <c r="Q645" s="154"/>
      <c r="R645" s="154"/>
      <c r="S645" s="154"/>
      <c r="T645" s="154"/>
      <c r="U645" s="154"/>
      <c r="V645" s="154"/>
      <c r="W645" s="154"/>
      <c r="X645" s="154"/>
      <c r="Y645" s="154"/>
      <c r="Z645" s="154"/>
      <c r="AA645" s="154"/>
    </row>
    <row r="646" spans="1:27" ht="15">
      <c r="A646" s="180">
        <v>45853</v>
      </c>
      <c r="B646" s="181" t="s">
        <v>13001</v>
      </c>
      <c r="C646" s="182" t="s">
        <v>1774</v>
      </c>
      <c r="D646" s="182">
        <v>9235</v>
      </c>
      <c r="E646" s="183">
        <v>2</v>
      </c>
      <c r="F646" s="183">
        <v>369</v>
      </c>
      <c r="G646" s="184">
        <v>1</v>
      </c>
      <c r="H646" s="158"/>
      <c r="I646" s="154"/>
      <c r="J646" s="154"/>
      <c r="K646" s="154"/>
      <c r="L646" s="154"/>
      <c r="M646" s="154"/>
      <c r="N646" s="154"/>
      <c r="O646" s="154"/>
      <c r="P646" s="154"/>
      <c r="Q646" s="154"/>
      <c r="R646" s="154"/>
      <c r="S646" s="154"/>
      <c r="T646" s="154"/>
      <c r="U646" s="154"/>
      <c r="V646" s="154"/>
      <c r="W646" s="154"/>
      <c r="X646" s="154"/>
      <c r="Y646" s="154"/>
      <c r="Z646" s="154"/>
      <c r="AA646" s="154"/>
    </row>
    <row r="647" spans="1:27" ht="15">
      <c r="A647" s="180">
        <v>45853</v>
      </c>
      <c r="B647" s="181" t="s">
        <v>12982</v>
      </c>
      <c r="C647" s="182" t="s">
        <v>61</v>
      </c>
      <c r="D647" s="182">
        <v>16631</v>
      </c>
      <c r="E647" s="183">
        <v>28</v>
      </c>
      <c r="F647" s="183">
        <v>2346</v>
      </c>
      <c r="G647" s="184">
        <v>0</v>
      </c>
      <c r="H647" s="158"/>
      <c r="I647" s="154"/>
      <c r="J647" s="154"/>
      <c r="K647" s="154"/>
      <c r="L647" s="154"/>
      <c r="M647" s="154"/>
      <c r="N647" s="154"/>
      <c r="O647" s="154"/>
      <c r="P647" s="154"/>
      <c r="Q647" s="154"/>
      <c r="R647" s="154"/>
      <c r="S647" s="154"/>
      <c r="T647" s="154"/>
      <c r="U647" s="154"/>
      <c r="V647" s="154"/>
      <c r="W647" s="154"/>
      <c r="X647" s="154"/>
      <c r="Y647" s="154"/>
      <c r="Z647" s="154"/>
      <c r="AA647" s="154"/>
    </row>
    <row r="648" spans="1:27" ht="15">
      <c r="A648" s="180">
        <v>45853</v>
      </c>
      <c r="B648" s="181" t="s">
        <v>12983</v>
      </c>
      <c r="C648" s="182" t="s">
        <v>61</v>
      </c>
      <c r="D648" s="182">
        <v>78393</v>
      </c>
      <c r="E648" s="183">
        <v>55</v>
      </c>
      <c r="F648" s="183">
        <v>2607</v>
      </c>
      <c r="G648" s="184">
        <v>13</v>
      </c>
      <c r="H648" s="158"/>
      <c r="I648" s="154"/>
      <c r="J648" s="154"/>
      <c r="K648" s="154"/>
      <c r="L648" s="154"/>
      <c r="M648" s="154"/>
      <c r="N648" s="154"/>
      <c r="O648" s="154"/>
      <c r="P648" s="154"/>
      <c r="Q648" s="154"/>
      <c r="R648" s="154"/>
      <c r="S648" s="154"/>
      <c r="T648" s="154"/>
      <c r="U648" s="154"/>
      <c r="V648" s="154"/>
      <c r="W648" s="154"/>
      <c r="X648" s="154"/>
      <c r="Y648" s="154"/>
      <c r="Z648" s="154"/>
      <c r="AA648" s="154"/>
    </row>
    <row r="649" spans="1:27" ht="15">
      <c r="A649" s="180">
        <v>45853</v>
      </c>
      <c r="B649" s="181" t="s">
        <v>12963</v>
      </c>
      <c r="C649" s="182" t="s">
        <v>61</v>
      </c>
      <c r="D649" s="182">
        <v>8325</v>
      </c>
      <c r="E649" s="183">
        <v>7</v>
      </c>
      <c r="F649" s="183">
        <v>563</v>
      </c>
      <c r="G649" s="184">
        <v>0</v>
      </c>
      <c r="H649" s="158"/>
      <c r="I649" s="154"/>
      <c r="J649" s="154"/>
      <c r="K649" s="154"/>
      <c r="L649" s="154"/>
      <c r="M649" s="154"/>
      <c r="N649" s="154"/>
      <c r="O649" s="154"/>
      <c r="P649" s="154"/>
      <c r="Q649" s="154"/>
      <c r="R649" s="154"/>
      <c r="S649" s="154"/>
      <c r="T649" s="154"/>
      <c r="U649" s="154"/>
      <c r="V649" s="154"/>
      <c r="W649" s="154"/>
      <c r="X649" s="154"/>
      <c r="Y649" s="154"/>
      <c r="Z649" s="154"/>
      <c r="AA649" s="154"/>
    </row>
    <row r="650" spans="1:27" ht="15">
      <c r="A650" s="180">
        <v>45854</v>
      </c>
      <c r="B650" s="181" t="s">
        <v>12998</v>
      </c>
      <c r="C650" s="182" t="s">
        <v>1229</v>
      </c>
      <c r="D650" s="182">
        <v>18182</v>
      </c>
      <c r="E650" s="183">
        <v>20</v>
      </c>
      <c r="F650" s="183">
        <v>1213</v>
      </c>
      <c r="G650" s="184">
        <v>3</v>
      </c>
      <c r="H650" s="158"/>
      <c r="I650" s="154"/>
      <c r="J650" s="154"/>
      <c r="K650" s="154"/>
      <c r="L650" s="154"/>
      <c r="M650" s="154"/>
      <c r="N650" s="154"/>
      <c r="O650" s="154"/>
      <c r="P650" s="154"/>
      <c r="Q650" s="154"/>
      <c r="R650" s="154"/>
      <c r="S650" s="154"/>
      <c r="T650" s="154"/>
      <c r="U650" s="154"/>
      <c r="V650" s="154"/>
      <c r="W650" s="154"/>
      <c r="X650" s="154"/>
      <c r="Y650" s="154"/>
      <c r="Z650" s="154"/>
      <c r="AA650" s="154"/>
    </row>
    <row r="651" spans="1:27" ht="15">
      <c r="A651" s="180">
        <v>45854</v>
      </c>
      <c r="B651" s="181" t="s">
        <v>13002</v>
      </c>
      <c r="C651" s="182" t="s">
        <v>1229</v>
      </c>
      <c r="D651" s="182">
        <v>26521</v>
      </c>
      <c r="E651" s="183">
        <v>22</v>
      </c>
      <c r="F651" s="183">
        <v>2242</v>
      </c>
      <c r="G651" s="184">
        <v>2</v>
      </c>
      <c r="H651" s="158"/>
      <c r="I651" s="154"/>
      <c r="J651" s="154"/>
      <c r="K651" s="154"/>
      <c r="L651" s="154"/>
      <c r="M651" s="154"/>
      <c r="N651" s="154"/>
      <c r="O651" s="154"/>
      <c r="P651" s="154"/>
      <c r="Q651" s="154"/>
      <c r="R651" s="154"/>
      <c r="S651" s="154"/>
      <c r="T651" s="154"/>
      <c r="U651" s="154"/>
      <c r="V651" s="154"/>
      <c r="W651" s="154"/>
      <c r="X651" s="154"/>
      <c r="Y651" s="154"/>
      <c r="Z651" s="154"/>
      <c r="AA651" s="154"/>
    </row>
    <row r="652" spans="1:27" ht="15">
      <c r="A652" s="180">
        <v>45854</v>
      </c>
      <c r="B652" s="181" t="s">
        <v>12993</v>
      </c>
      <c r="C652" s="182" t="s">
        <v>49</v>
      </c>
      <c r="D652" s="182">
        <v>6954</v>
      </c>
      <c r="E652" s="183">
        <v>12</v>
      </c>
      <c r="F652" s="183">
        <v>469</v>
      </c>
      <c r="G652" s="184">
        <v>0</v>
      </c>
      <c r="H652" s="158"/>
      <c r="I652" s="154"/>
      <c r="J652" s="154"/>
      <c r="K652" s="154"/>
      <c r="L652" s="154"/>
      <c r="M652" s="154"/>
      <c r="N652" s="154"/>
      <c r="O652" s="154"/>
      <c r="P652" s="154"/>
      <c r="Q652" s="154"/>
      <c r="R652" s="154"/>
      <c r="S652" s="154"/>
      <c r="T652" s="154"/>
      <c r="U652" s="154"/>
      <c r="V652" s="154"/>
      <c r="W652" s="154"/>
      <c r="X652" s="154"/>
      <c r="Y652" s="154"/>
      <c r="Z652" s="154"/>
      <c r="AA652" s="154"/>
    </row>
    <row r="653" spans="1:27" ht="15">
      <c r="A653" s="180">
        <v>45854</v>
      </c>
      <c r="B653" s="181" t="s">
        <v>12994</v>
      </c>
      <c r="C653" s="182" t="s">
        <v>61</v>
      </c>
      <c r="D653" s="182">
        <v>63477</v>
      </c>
      <c r="E653" s="183">
        <v>62</v>
      </c>
      <c r="F653" s="183">
        <v>3589</v>
      </c>
      <c r="G653" s="184">
        <v>11</v>
      </c>
      <c r="H653" s="158"/>
      <c r="I653" s="154"/>
      <c r="J653" s="154"/>
      <c r="K653" s="154"/>
      <c r="L653" s="154"/>
      <c r="M653" s="154"/>
      <c r="N653" s="154"/>
      <c r="O653" s="154"/>
      <c r="P653" s="154"/>
      <c r="Q653" s="154"/>
      <c r="R653" s="154"/>
      <c r="S653" s="154"/>
      <c r="T653" s="154"/>
      <c r="U653" s="154"/>
      <c r="V653" s="154"/>
      <c r="W653" s="154"/>
      <c r="X653" s="154"/>
      <c r="Y653" s="154"/>
      <c r="Z653" s="154"/>
      <c r="AA653" s="154"/>
    </row>
    <row r="654" spans="1:27" ht="15">
      <c r="A654" s="180">
        <v>45854</v>
      </c>
      <c r="B654" s="181" t="s">
        <v>12982</v>
      </c>
      <c r="C654" s="182" t="s">
        <v>61</v>
      </c>
      <c r="D654" s="182">
        <v>32466</v>
      </c>
      <c r="E654" s="183">
        <v>35</v>
      </c>
      <c r="F654" s="183">
        <v>2995</v>
      </c>
      <c r="G654" s="184">
        <v>5</v>
      </c>
      <c r="H654" s="158"/>
      <c r="I654" s="154"/>
      <c r="J654" s="154"/>
      <c r="K654" s="154"/>
      <c r="L654" s="154"/>
      <c r="M654" s="154"/>
      <c r="N654" s="154"/>
      <c r="O654" s="154"/>
      <c r="P654" s="154"/>
      <c r="Q654" s="154"/>
      <c r="R654" s="154"/>
      <c r="S654" s="154"/>
      <c r="T654" s="154"/>
      <c r="U654" s="154"/>
      <c r="V654" s="154"/>
      <c r="W654" s="154"/>
      <c r="X654" s="154"/>
      <c r="Y654" s="154"/>
      <c r="Z654" s="154"/>
      <c r="AA654" s="154"/>
    </row>
    <row r="655" spans="1:27" ht="15">
      <c r="A655" s="180">
        <v>45854</v>
      </c>
      <c r="B655" s="181" t="s">
        <v>12995</v>
      </c>
      <c r="C655" s="182" t="s">
        <v>1229</v>
      </c>
      <c r="D655" s="182">
        <v>62344</v>
      </c>
      <c r="E655" s="183">
        <v>79</v>
      </c>
      <c r="F655" s="183">
        <v>6310</v>
      </c>
      <c r="G655" s="184">
        <v>15</v>
      </c>
      <c r="H655" s="158"/>
      <c r="I655" s="154"/>
      <c r="J655" s="154"/>
      <c r="K655" s="154"/>
      <c r="L655" s="154"/>
      <c r="M655" s="154"/>
      <c r="N655" s="154"/>
      <c r="O655" s="154"/>
      <c r="P655" s="154"/>
      <c r="Q655" s="154"/>
      <c r="R655" s="154"/>
      <c r="S655" s="154"/>
      <c r="T655" s="154"/>
      <c r="U655" s="154"/>
      <c r="V655" s="154"/>
      <c r="W655" s="154"/>
      <c r="X655" s="154"/>
      <c r="Y655" s="154"/>
      <c r="Z655" s="154"/>
      <c r="AA655" s="154"/>
    </row>
    <row r="656" spans="1:27" ht="15">
      <c r="A656" s="180">
        <v>45854</v>
      </c>
      <c r="B656" s="181" t="s">
        <v>12996</v>
      </c>
      <c r="C656" s="182" t="s">
        <v>1229</v>
      </c>
      <c r="D656" s="182">
        <v>22134</v>
      </c>
      <c r="E656" s="183">
        <v>31</v>
      </c>
      <c r="F656" s="183">
        <v>1547</v>
      </c>
      <c r="G656" s="184">
        <v>2</v>
      </c>
      <c r="H656" s="158"/>
      <c r="I656" s="154"/>
      <c r="J656" s="154"/>
      <c r="K656" s="154"/>
      <c r="L656" s="154"/>
      <c r="M656" s="154"/>
      <c r="N656" s="154"/>
      <c r="O656" s="154"/>
      <c r="P656" s="154"/>
      <c r="Q656" s="154"/>
      <c r="R656" s="154"/>
      <c r="S656" s="154"/>
      <c r="T656" s="154"/>
      <c r="U656" s="154"/>
      <c r="V656" s="154"/>
      <c r="W656" s="154"/>
      <c r="X656" s="154"/>
      <c r="Y656" s="154"/>
      <c r="Z656" s="154"/>
      <c r="AA656" s="154"/>
    </row>
    <row r="657" spans="1:27" ht="15">
      <c r="A657" s="180">
        <v>45854</v>
      </c>
      <c r="B657" s="181" t="s">
        <v>12963</v>
      </c>
      <c r="C657" s="182" t="s">
        <v>61</v>
      </c>
      <c r="D657" s="182">
        <v>17607</v>
      </c>
      <c r="E657" s="183">
        <v>28</v>
      </c>
      <c r="F657" s="183">
        <v>1372</v>
      </c>
      <c r="G657" s="184">
        <v>2</v>
      </c>
      <c r="H657" s="158"/>
      <c r="I657" s="154"/>
      <c r="J657" s="154"/>
      <c r="K657" s="154"/>
      <c r="L657" s="154"/>
      <c r="M657" s="154"/>
      <c r="N657" s="154"/>
      <c r="O657" s="154"/>
      <c r="P657" s="154"/>
      <c r="Q657" s="154"/>
      <c r="R657" s="154"/>
      <c r="S657" s="154"/>
      <c r="T657" s="154"/>
      <c r="U657" s="154"/>
      <c r="V657" s="154"/>
      <c r="W657" s="154"/>
      <c r="X657" s="154"/>
      <c r="Y657" s="154"/>
      <c r="Z657" s="154"/>
      <c r="AA657" s="154"/>
    </row>
    <row r="658" spans="1:27" ht="15">
      <c r="A658" s="180">
        <v>45854</v>
      </c>
      <c r="B658" s="181" t="s">
        <v>12964</v>
      </c>
      <c r="C658" s="182" t="s">
        <v>61</v>
      </c>
      <c r="D658" s="182">
        <v>51282</v>
      </c>
      <c r="E658" s="183">
        <v>69</v>
      </c>
      <c r="F658" s="183">
        <v>3450</v>
      </c>
      <c r="G658" s="184">
        <v>10</v>
      </c>
      <c r="H658" s="158"/>
      <c r="I658" s="154"/>
      <c r="J658" s="154"/>
      <c r="K658" s="154"/>
      <c r="L658" s="154"/>
      <c r="M658" s="154"/>
      <c r="N658" s="154"/>
      <c r="O658" s="154"/>
      <c r="P658" s="154"/>
      <c r="Q658" s="154"/>
      <c r="R658" s="154"/>
      <c r="S658" s="154"/>
      <c r="T658" s="154"/>
      <c r="U658" s="154"/>
      <c r="V658" s="154"/>
      <c r="W658" s="154"/>
      <c r="X658" s="154"/>
      <c r="Y658" s="154"/>
      <c r="Z658" s="154"/>
      <c r="AA658" s="154"/>
    </row>
    <row r="659" spans="1:27" ht="15">
      <c r="A659" s="180">
        <v>45854</v>
      </c>
      <c r="B659" s="181" t="s">
        <v>12965</v>
      </c>
      <c r="C659" s="182" t="s">
        <v>49</v>
      </c>
      <c r="D659" s="182">
        <v>58408</v>
      </c>
      <c r="E659" s="183">
        <v>101</v>
      </c>
      <c r="F659" s="183">
        <v>7531</v>
      </c>
      <c r="G659" s="184">
        <v>14</v>
      </c>
      <c r="H659" s="158"/>
      <c r="I659" s="154"/>
      <c r="J659" s="154"/>
      <c r="K659" s="154"/>
      <c r="L659" s="154"/>
      <c r="M659" s="154"/>
      <c r="N659" s="154"/>
      <c r="O659" s="154"/>
      <c r="P659" s="154"/>
      <c r="Q659" s="154"/>
      <c r="R659" s="154"/>
      <c r="S659" s="154"/>
      <c r="T659" s="154"/>
      <c r="U659" s="154"/>
      <c r="V659" s="154"/>
      <c r="W659" s="154"/>
      <c r="X659" s="154"/>
      <c r="Y659" s="154"/>
      <c r="Z659" s="154"/>
      <c r="AA659" s="154"/>
    </row>
    <row r="660" spans="1:27" ht="15">
      <c r="A660" s="180">
        <v>45854</v>
      </c>
      <c r="B660" s="181" t="s">
        <v>12966</v>
      </c>
      <c r="C660" s="182" t="s">
        <v>49</v>
      </c>
      <c r="D660" s="182">
        <v>29298</v>
      </c>
      <c r="E660" s="183">
        <v>62</v>
      </c>
      <c r="F660" s="183">
        <v>4302</v>
      </c>
      <c r="G660" s="184">
        <v>5</v>
      </c>
      <c r="H660" s="158"/>
      <c r="I660" s="154"/>
      <c r="J660" s="154"/>
      <c r="K660" s="154"/>
      <c r="L660" s="154"/>
      <c r="M660" s="154"/>
      <c r="N660" s="154"/>
      <c r="O660" s="154"/>
      <c r="P660" s="154"/>
      <c r="Q660" s="154"/>
      <c r="R660" s="154"/>
      <c r="S660" s="154"/>
      <c r="T660" s="154"/>
      <c r="U660" s="154"/>
      <c r="V660" s="154"/>
      <c r="W660" s="154"/>
      <c r="X660" s="154"/>
      <c r="Y660" s="154"/>
      <c r="Z660" s="154"/>
      <c r="AA660" s="154"/>
    </row>
    <row r="661" spans="1:27" ht="15">
      <c r="A661" s="180">
        <v>45854</v>
      </c>
      <c r="B661" s="181" t="s">
        <v>12967</v>
      </c>
      <c r="C661" s="182" t="s">
        <v>49</v>
      </c>
      <c r="D661" s="182">
        <v>56658</v>
      </c>
      <c r="E661" s="183">
        <v>87</v>
      </c>
      <c r="F661" s="183">
        <v>6922</v>
      </c>
      <c r="G661" s="184">
        <v>13</v>
      </c>
      <c r="H661" s="158"/>
      <c r="I661" s="154"/>
      <c r="J661" s="154"/>
      <c r="K661" s="154"/>
      <c r="L661" s="154"/>
      <c r="M661" s="154"/>
      <c r="N661" s="154"/>
      <c r="O661" s="154"/>
      <c r="P661" s="154"/>
      <c r="Q661" s="154"/>
      <c r="R661" s="154"/>
      <c r="S661" s="154"/>
      <c r="T661" s="154"/>
      <c r="U661" s="154"/>
      <c r="V661" s="154"/>
      <c r="W661" s="154"/>
      <c r="X661" s="154"/>
      <c r="Y661" s="154"/>
      <c r="Z661" s="154"/>
      <c r="AA661" s="154"/>
    </row>
    <row r="662" spans="1:27" ht="15">
      <c r="A662" s="180">
        <v>45854</v>
      </c>
      <c r="B662" s="181" t="s">
        <v>12968</v>
      </c>
      <c r="C662" s="182" t="s">
        <v>61</v>
      </c>
      <c r="D662" s="182">
        <v>43709</v>
      </c>
      <c r="E662" s="183">
        <v>91</v>
      </c>
      <c r="F662" s="183">
        <v>5914</v>
      </c>
      <c r="G662" s="184">
        <v>8</v>
      </c>
      <c r="H662" s="158"/>
      <c r="I662" s="154"/>
      <c r="J662" s="154"/>
      <c r="K662" s="154"/>
      <c r="L662" s="154"/>
      <c r="M662" s="154"/>
      <c r="N662" s="154"/>
      <c r="O662" s="154"/>
      <c r="P662" s="154"/>
      <c r="Q662" s="154"/>
      <c r="R662" s="154"/>
      <c r="S662" s="154"/>
      <c r="T662" s="154"/>
      <c r="U662" s="154"/>
      <c r="V662" s="154"/>
      <c r="W662" s="154"/>
      <c r="X662" s="154"/>
      <c r="Y662" s="154"/>
      <c r="Z662" s="154"/>
      <c r="AA662" s="154"/>
    </row>
    <row r="663" spans="1:27" ht="15">
      <c r="A663" s="180">
        <v>45855</v>
      </c>
      <c r="B663" s="181" t="s">
        <v>12995</v>
      </c>
      <c r="C663" s="182" t="s">
        <v>1229</v>
      </c>
      <c r="D663" s="182">
        <v>8293</v>
      </c>
      <c r="E663" s="183">
        <v>10</v>
      </c>
      <c r="F663" s="183">
        <v>693</v>
      </c>
      <c r="G663" s="184">
        <v>1</v>
      </c>
      <c r="H663" s="158"/>
      <c r="I663" s="154"/>
      <c r="J663" s="154"/>
      <c r="K663" s="154"/>
      <c r="L663" s="154"/>
      <c r="M663" s="154"/>
      <c r="N663" s="154"/>
      <c r="O663" s="154"/>
      <c r="P663" s="154"/>
      <c r="Q663" s="154"/>
      <c r="R663" s="154"/>
      <c r="S663" s="154"/>
      <c r="T663" s="154"/>
      <c r="U663" s="154"/>
      <c r="V663" s="154"/>
      <c r="W663" s="154"/>
      <c r="X663" s="154"/>
      <c r="Y663" s="154"/>
      <c r="Z663" s="154"/>
      <c r="AA663" s="154"/>
    </row>
    <row r="664" spans="1:27" ht="15">
      <c r="A664" s="180">
        <v>45855</v>
      </c>
      <c r="B664" s="181" t="s">
        <v>12996</v>
      </c>
      <c r="C664" s="182" t="s">
        <v>1229</v>
      </c>
      <c r="D664" s="182">
        <v>54483</v>
      </c>
      <c r="E664" s="183">
        <v>87</v>
      </c>
      <c r="F664" s="183">
        <v>5989</v>
      </c>
      <c r="G664" s="184">
        <v>18</v>
      </c>
      <c r="H664" s="158"/>
      <c r="I664" s="154"/>
      <c r="J664" s="154"/>
      <c r="K664" s="154"/>
      <c r="L664" s="154"/>
      <c r="M664" s="154"/>
      <c r="N664" s="154"/>
      <c r="O664" s="154"/>
      <c r="P664" s="154"/>
      <c r="Q664" s="154"/>
      <c r="R664" s="154"/>
      <c r="S664" s="154"/>
      <c r="T664" s="154"/>
      <c r="U664" s="154"/>
      <c r="V664" s="154"/>
      <c r="W664" s="154"/>
      <c r="X664" s="154"/>
      <c r="Y664" s="154"/>
      <c r="Z664" s="154"/>
      <c r="AA664" s="154"/>
    </row>
    <row r="665" spans="1:27" ht="15">
      <c r="A665" s="180">
        <v>45855</v>
      </c>
      <c r="B665" s="181" t="s">
        <v>12965</v>
      </c>
      <c r="C665" s="182" t="s">
        <v>49</v>
      </c>
      <c r="D665" s="182">
        <v>30938</v>
      </c>
      <c r="E665" s="183">
        <v>82</v>
      </c>
      <c r="F665" s="183">
        <v>5195</v>
      </c>
      <c r="G665" s="184">
        <v>8</v>
      </c>
      <c r="H665" s="158"/>
      <c r="I665" s="154"/>
      <c r="J665" s="154"/>
      <c r="K665" s="154"/>
      <c r="L665" s="154"/>
      <c r="M665" s="154"/>
      <c r="N665" s="154"/>
      <c r="O665" s="154"/>
      <c r="P665" s="154"/>
      <c r="Q665" s="154"/>
      <c r="R665" s="154"/>
      <c r="S665" s="154"/>
      <c r="T665" s="154"/>
      <c r="U665" s="154"/>
      <c r="V665" s="154"/>
      <c r="W665" s="154"/>
      <c r="X665" s="154"/>
      <c r="Y665" s="154"/>
      <c r="Z665" s="154"/>
      <c r="AA665" s="154"/>
    </row>
    <row r="666" spans="1:27" ht="15">
      <c r="A666" s="180">
        <v>45855</v>
      </c>
      <c r="B666" s="181" t="s">
        <v>12966</v>
      </c>
      <c r="C666" s="182" t="s">
        <v>49</v>
      </c>
      <c r="D666" s="182">
        <v>110842</v>
      </c>
      <c r="E666" s="183">
        <v>196</v>
      </c>
      <c r="F666" s="183">
        <v>13744</v>
      </c>
      <c r="G666" s="184">
        <v>26</v>
      </c>
      <c r="H666" s="158"/>
      <c r="I666" s="154"/>
      <c r="J666" s="154"/>
      <c r="K666" s="154"/>
      <c r="L666" s="154"/>
      <c r="M666" s="154"/>
      <c r="N666" s="154"/>
      <c r="O666" s="154"/>
      <c r="P666" s="154"/>
      <c r="Q666" s="154"/>
      <c r="R666" s="154"/>
      <c r="S666" s="154"/>
      <c r="T666" s="154"/>
      <c r="U666" s="154"/>
      <c r="V666" s="154"/>
      <c r="W666" s="154"/>
      <c r="X666" s="154"/>
      <c r="Y666" s="154"/>
      <c r="Z666" s="154"/>
      <c r="AA666" s="154"/>
    </row>
    <row r="667" spans="1:27" ht="15">
      <c r="A667" s="180">
        <v>45855</v>
      </c>
      <c r="B667" s="181" t="s">
        <v>12967</v>
      </c>
      <c r="C667" s="182" t="s">
        <v>49</v>
      </c>
      <c r="D667" s="182">
        <v>3060</v>
      </c>
      <c r="E667" s="183">
        <v>11</v>
      </c>
      <c r="F667" s="183">
        <v>512</v>
      </c>
      <c r="G667" s="184">
        <v>0</v>
      </c>
      <c r="H667" s="158"/>
      <c r="I667" s="154"/>
      <c r="J667" s="154"/>
      <c r="K667" s="154"/>
      <c r="L667" s="154"/>
      <c r="M667" s="154"/>
      <c r="N667" s="154"/>
      <c r="O667" s="154"/>
      <c r="P667" s="154"/>
      <c r="Q667" s="154"/>
      <c r="R667" s="154"/>
      <c r="S667" s="154"/>
      <c r="T667" s="154"/>
      <c r="U667" s="154"/>
      <c r="V667" s="154"/>
      <c r="W667" s="154"/>
      <c r="X667" s="154"/>
      <c r="Y667" s="154"/>
      <c r="Z667" s="154"/>
      <c r="AA667" s="154"/>
    </row>
    <row r="668" spans="1:27" ht="15">
      <c r="A668" s="180">
        <v>45855</v>
      </c>
      <c r="B668" s="181" t="s">
        <v>12968</v>
      </c>
      <c r="C668" s="182" t="s">
        <v>61</v>
      </c>
      <c r="D668" s="182">
        <v>39520</v>
      </c>
      <c r="E668" s="183">
        <v>71</v>
      </c>
      <c r="F668" s="183">
        <v>5341</v>
      </c>
      <c r="G668" s="184">
        <v>10</v>
      </c>
      <c r="H668" s="158"/>
      <c r="I668" s="154"/>
      <c r="J668" s="154"/>
      <c r="K668" s="154"/>
      <c r="L668" s="154"/>
      <c r="M668" s="154"/>
      <c r="N668" s="154"/>
      <c r="O668" s="154"/>
      <c r="P668" s="154"/>
      <c r="Q668" s="154"/>
      <c r="R668" s="154"/>
      <c r="S668" s="154"/>
      <c r="T668" s="154"/>
      <c r="U668" s="154"/>
      <c r="V668" s="154"/>
      <c r="W668" s="154"/>
      <c r="X668" s="154"/>
      <c r="Y668" s="154"/>
      <c r="Z668" s="154"/>
      <c r="AA668" s="154"/>
    </row>
    <row r="669" spans="1:27" ht="15">
      <c r="A669" s="180">
        <v>45856</v>
      </c>
      <c r="B669" s="181" t="s">
        <v>12995</v>
      </c>
      <c r="C669" s="182" t="s">
        <v>1229</v>
      </c>
      <c r="D669" s="182">
        <v>30063</v>
      </c>
      <c r="E669" s="183">
        <v>19</v>
      </c>
      <c r="F669" s="183">
        <v>1520</v>
      </c>
      <c r="G669" s="184">
        <v>2</v>
      </c>
      <c r="H669" s="158"/>
      <c r="I669" s="154"/>
      <c r="J669" s="154"/>
      <c r="K669" s="154"/>
      <c r="L669" s="154"/>
      <c r="M669" s="154"/>
      <c r="N669" s="154"/>
      <c r="O669" s="154"/>
      <c r="P669" s="154"/>
      <c r="Q669" s="154"/>
      <c r="R669" s="154"/>
      <c r="S669" s="154"/>
      <c r="T669" s="154"/>
      <c r="U669" s="154"/>
      <c r="V669" s="154"/>
      <c r="W669" s="154"/>
      <c r="X669" s="154"/>
      <c r="Y669" s="154"/>
      <c r="Z669" s="154"/>
      <c r="AA669" s="154"/>
    </row>
    <row r="670" spans="1:27" ht="15">
      <c r="A670" s="180">
        <v>45856</v>
      </c>
      <c r="B670" s="181" t="s">
        <v>12996</v>
      </c>
      <c r="C670" s="182" t="s">
        <v>1229</v>
      </c>
      <c r="D670" s="182">
        <v>70914</v>
      </c>
      <c r="E670" s="183">
        <v>87</v>
      </c>
      <c r="F670" s="183">
        <v>5198</v>
      </c>
      <c r="G670" s="184">
        <v>19</v>
      </c>
      <c r="H670" s="158"/>
      <c r="I670" s="154"/>
      <c r="J670" s="154"/>
      <c r="K670" s="154"/>
      <c r="L670" s="154"/>
      <c r="M670" s="154"/>
      <c r="N670" s="154"/>
      <c r="O670" s="154"/>
      <c r="P670" s="154"/>
      <c r="Q670" s="154"/>
      <c r="R670" s="154"/>
      <c r="S670" s="154"/>
      <c r="T670" s="154"/>
      <c r="U670" s="154"/>
      <c r="V670" s="154"/>
      <c r="W670" s="154"/>
      <c r="X670" s="154"/>
      <c r="Y670" s="154"/>
      <c r="Z670" s="154"/>
      <c r="AA670" s="154"/>
    </row>
    <row r="671" spans="1:27" ht="15">
      <c r="A671" s="180">
        <v>45856</v>
      </c>
      <c r="B671" s="181" t="s">
        <v>12965</v>
      </c>
      <c r="C671" s="182" t="s">
        <v>49</v>
      </c>
      <c r="D671" s="182">
        <v>16083</v>
      </c>
      <c r="E671" s="183">
        <v>8</v>
      </c>
      <c r="F671" s="183">
        <v>973</v>
      </c>
      <c r="G671" s="184">
        <v>0</v>
      </c>
      <c r="H671" s="158"/>
      <c r="I671" s="154"/>
      <c r="J671" s="154"/>
      <c r="K671" s="154"/>
      <c r="L671" s="154"/>
      <c r="M671" s="154"/>
      <c r="N671" s="154"/>
      <c r="O671" s="154"/>
      <c r="P671" s="154"/>
      <c r="Q671" s="154"/>
      <c r="R671" s="154"/>
      <c r="S671" s="154"/>
      <c r="T671" s="154"/>
      <c r="U671" s="154"/>
      <c r="V671" s="154"/>
      <c r="W671" s="154"/>
      <c r="X671" s="154"/>
      <c r="Y671" s="154"/>
      <c r="Z671" s="154"/>
      <c r="AA671" s="154"/>
    </row>
    <row r="672" spans="1:27" ht="15">
      <c r="A672" s="180">
        <v>45856</v>
      </c>
      <c r="B672" s="181" t="s">
        <v>12966</v>
      </c>
      <c r="C672" s="182" t="s">
        <v>49</v>
      </c>
      <c r="D672" s="182">
        <v>57712</v>
      </c>
      <c r="E672" s="183">
        <v>83</v>
      </c>
      <c r="F672" s="183">
        <v>5999</v>
      </c>
      <c r="G672" s="184">
        <v>14</v>
      </c>
      <c r="H672" s="158"/>
      <c r="I672" s="154"/>
      <c r="J672" s="154"/>
      <c r="K672" s="154"/>
      <c r="L672" s="154"/>
      <c r="M672" s="154"/>
      <c r="N672" s="154"/>
      <c r="O672" s="154"/>
      <c r="P672" s="154"/>
      <c r="Q672" s="154"/>
      <c r="R672" s="154"/>
      <c r="S672" s="154"/>
      <c r="T672" s="154"/>
      <c r="U672" s="154"/>
      <c r="V672" s="154"/>
      <c r="W672" s="154"/>
      <c r="X672" s="154"/>
      <c r="Y672" s="154"/>
      <c r="Z672" s="154"/>
      <c r="AA672" s="154"/>
    </row>
    <row r="673" spans="1:27" ht="15">
      <c r="A673" s="180">
        <v>45856</v>
      </c>
      <c r="B673" s="181" t="s">
        <v>12967</v>
      </c>
      <c r="C673" s="182" t="s">
        <v>49</v>
      </c>
      <c r="D673" s="182">
        <v>68017</v>
      </c>
      <c r="E673" s="183">
        <v>84</v>
      </c>
      <c r="F673" s="183">
        <v>6950</v>
      </c>
      <c r="G673" s="184">
        <v>16</v>
      </c>
      <c r="H673" s="158"/>
      <c r="I673" s="154"/>
      <c r="J673" s="154"/>
      <c r="K673" s="154"/>
      <c r="L673" s="154"/>
      <c r="M673" s="154"/>
      <c r="N673" s="154"/>
      <c r="O673" s="154"/>
      <c r="P673" s="154"/>
      <c r="Q673" s="154"/>
      <c r="R673" s="154"/>
      <c r="S673" s="154"/>
      <c r="T673" s="154"/>
      <c r="U673" s="154"/>
      <c r="V673" s="154"/>
      <c r="W673" s="154"/>
      <c r="X673" s="154"/>
      <c r="Y673" s="154"/>
      <c r="Z673" s="154"/>
      <c r="AA673" s="154"/>
    </row>
    <row r="674" spans="1:27" ht="15">
      <c r="A674" s="180">
        <v>45856</v>
      </c>
      <c r="B674" s="181" t="s">
        <v>12968</v>
      </c>
      <c r="C674" s="182" t="s">
        <v>61</v>
      </c>
      <c r="D674" s="182">
        <v>13937</v>
      </c>
      <c r="E674" s="183">
        <v>18</v>
      </c>
      <c r="F674" s="183">
        <v>1318</v>
      </c>
      <c r="G674" s="184">
        <v>2</v>
      </c>
      <c r="H674" s="158"/>
      <c r="I674" s="154"/>
      <c r="J674" s="154"/>
      <c r="K674" s="154"/>
      <c r="L674" s="154"/>
      <c r="M674" s="154"/>
      <c r="N674" s="154"/>
      <c r="O674" s="154"/>
      <c r="P674" s="154"/>
      <c r="Q674" s="154"/>
      <c r="R674" s="154"/>
      <c r="S674" s="154"/>
      <c r="T674" s="154"/>
      <c r="U674" s="154"/>
      <c r="V674" s="154"/>
      <c r="W674" s="154"/>
      <c r="X674" s="154"/>
      <c r="Y674" s="154"/>
      <c r="Z674" s="154"/>
      <c r="AA674" s="154"/>
    </row>
    <row r="675" spans="1:27" ht="15">
      <c r="A675" s="180">
        <v>45857</v>
      </c>
      <c r="B675" s="181" t="s">
        <v>12996</v>
      </c>
      <c r="C675" s="182" t="s">
        <v>1229</v>
      </c>
      <c r="D675" s="182">
        <v>6787</v>
      </c>
      <c r="E675" s="183">
        <v>10</v>
      </c>
      <c r="F675" s="183">
        <v>331</v>
      </c>
      <c r="G675" s="184">
        <v>1</v>
      </c>
      <c r="H675" s="158"/>
      <c r="I675" s="154"/>
      <c r="J675" s="154"/>
      <c r="K675" s="154"/>
      <c r="L675" s="154"/>
      <c r="M675" s="154"/>
      <c r="N675" s="154"/>
      <c r="O675" s="154"/>
      <c r="P675" s="154"/>
      <c r="Q675" s="154"/>
      <c r="R675" s="154"/>
      <c r="S675" s="154"/>
      <c r="T675" s="154"/>
      <c r="U675" s="154"/>
      <c r="V675" s="154"/>
      <c r="W675" s="154"/>
      <c r="X675" s="154"/>
      <c r="Y675" s="154"/>
      <c r="Z675" s="154"/>
      <c r="AA675" s="154"/>
    </row>
    <row r="676" spans="1:27" ht="15">
      <c r="A676" s="180">
        <v>45857</v>
      </c>
      <c r="B676" s="181" t="s">
        <v>12965</v>
      </c>
      <c r="C676" s="182" t="s">
        <v>49</v>
      </c>
      <c r="D676" s="182">
        <v>25366</v>
      </c>
      <c r="E676" s="183">
        <v>25</v>
      </c>
      <c r="F676" s="183">
        <v>1587</v>
      </c>
      <c r="G676" s="184">
        <v>2</v>
      </c>
      <c r="H676" s="158"/>
      <c r="I676" s="154"/>
      <c r="J676" s="154"/>
      <c r="K676" s="154"/>
      <c r="L676" s="154"/>
      <c r="M676" s="154"/>
      <c r="N676" s="154"/>
      <c r="O676" s="154"/>
      <c r="P676" s="154"/>
      <c r="Q676" s="154"/>
      <c r="R676" s="154"/>
      <c r="S676" s="154"/>
      <c r="T676" s="154"/>
      <c r="U676" s="154"/>
      <c r="V676" s="154"/>
      <c r="W676" s="154"/>
      <c r="X676" s="154"/>
      <c r="Y676" s="154"/>
      <c r="Z676" s="154"/>
      <c r="AA676" s="154"/>
    </row>
    <row r="677" spans="1:27" ht="15">
      <c r="A677" s="180">
        <v>45857</v>
      </c>
      <c r="B677" s="181" t="s">
        <v>12966</v>
      </c>
      <c r="C677" s="182" t="s">
        <v>49</v>
      </c>
      <c r="D677" s="182">
        <v>126448</v>
      </c>
      <c r="E677" s="183">
        <v>184</v>
      </c>
      <c r="F677" s="183">
        <v>14882</v>
      </c>
      <c r="G677" s="184">
        <v>28</v>
      </c>
      <c r="H677" s="158"/>
      <c r="I677" s="154"/>
      <c r="J677" s="154"/>
      <c r="K677" s="154"/>
      <c r="L677" s="154"/>
      <c r="M677" s="154"/>
      <c r="N677" s="154"/>
      <c r="O677" s="154"/>
      <c r="P677" s="154"/>
      <c r="Q677" s="154"/>
      <c r="R677" s="154"/>
      <c r="S677" s="154"/>
      <c r="T677" s="154"/>
      <c r="U677" s="154"/>
      <c r="V677" s="154"/>
      <c r="W677" s="154"/>
      <c r="X677" s="154"/>
      <c r="Y677" s="154"/>
      <c r="Z677" s="154"/>
      <c r="AA677" s="154"/>
    </row>
    <row r="678" spans="1:27" ht="15">
      <c r="A678" s="180">
        <v>45857</v>
      </c>
      <c r="B678" s="181" t="s">
        <v>12967</v>
      </c>
      <c r="C678" s="182" t="s">
        <v>49</v>
      </c>
      <c r="D678" s="182">
        <v>91117</v>
      </c>
      <c r="E678" s="183">
        <v>135</v>
      </c>
      <c r="F678" s="183">
        <v>9802</v>
      </c>
      <c r="G678" s="184">
        <v>32</v>
      </c>
      <c r="H678" s="158"/>
      <c r="I678" s="154"/>
      <c r="J678" s="154"/>
      <c r="K678" s="154"/>
      <c r="L678" s="154"/>
      <c r="M678" s="154"/>
      <c r="N678" s="154"/>
      <c r="O678" s="154"/>
      <c r="P678" s="154"/>
      <c r="Q678" s="154"/>
      <c r="R678" s="154"/>
      <c r="S678" s="154"/>
      <c r="T678" s="154"/>
      <c r="U678" s="154"/>
      <c r="V678" s="154"/>
      <c r="W678" s="154"/>
      <c r="X678" s="154"/>
      <c r="Y678" s="154"/>
      <c r="Z678" s="154"/>
      <c r="AA678" s="154"/>
    </row>
    <row r="679" spans="1:27" ht="15">
      <c r="A679" s="180">
        <v>45857</v>
      </c>
      <c r="B679" s="181" t="s">
        <v>12968</v>
      </c>
      <c r="C679" s="182" t="s">
        <v>61</v>
      </c>
      <c r="D679" s="182">
        <v>42302</v>
      </c>
      <c r="E679" s="183">
        <v>83</v>
      </c>
      <c r="F679" s="183">
        <v>4700</v>
      </c>
      <c r="G679" s="184">
        <v>15</v>
      </c>
      <c r="H679" s="158"/>
      <c r="I679" s="154"/>
      <c r="J679" s="154"/>
      <c r="K679" s="154"/>
      <c r="L679" s="154"/>
      <c r="M679" s="154"/>
      <c r="N679" s="154"/>
      <c r="O679" s="154"/>
      <c r="P679" s="154"/>
      <c r="Q679" s="154"/>
      <c r="R679" s="154"/>
      <c r="S679" s="154"/>
      <c r="T679" s="154"/>
      <c r="U679" s="154"/>
      <c r="V679" s="154"/>
      <c r="W679" s="154"/>
      <c r="X679" s="154"/>
      <c r="Y679" s="154"/>
      <c r="Z679" s="154"/>
      <c r="AA679" s="154"/>
    </row>
    <row r="680" spans="1:27" ht="15">
      <c r="A680" s="180">
        <v>45858</v>
      </c>
      <c r="B680" s="181" t="s">
        <v>12998</v>
      </c>
      <c r="C680" s="182" t="s">
        <v>1229</v>
      </c>
      <c r="D680" s="182">
        <v>627</v>
      </c>
      <c r="E680" s="183">
        <v>0</v>
      </c>
      <c r="F680" s="183">
        <v>72</v>
      </c>
      <c r="G680" s="184">
        <v>0</v>
      </c>
      <c r="H680" s="158"/>
      <c r="I680" s="154"/>
      <c r="J680" s="154"/>
      <c r="K680" s="154"/>
      <c r="L680" s="154"/>
      <c r="M680" s="154"/>
      <c r="N680" s="154"/>
      <c r="O680" s="154"/>
      <c r="P680" s="154"/>
      <c r="Q680" s="154"/>
      <c r="R680" s="154"/>
      <c r="S680" s="154"/>
      <c r="T680" s="154"/>
      <c r="U680" s="154"/>
      <c r="V680" s="154"/>
      <c r="W680" s="154"/>
      <c r="X680" s="154"/>
      <c r="Y680" s="154"/>
      <c r="Z680" s="154"/>
      <c r="AA680" s="154"/>
    </row>
    <row r="681" spans="1:27" ht="15">
      <c r="A681" s="180">
        <v>45858</v>
      </c>
      <c r="B681" s="181" t="s">
        <v>13002</v>
      </c>
      <c r="C681" s="182" t="s">
        <v>1229</v>
      </c>
      <c r="D681" s="182">
        <v>1042</v>
      </c>
      <c r="E681" s="183">
        <v>3</v>
      </c>
      <c r="F681" s="183">
        <v>135</v>
      </c>
      <c r="G681" s="184">
        <v>0</v>
      </c>
      <c r="H681" s="158"/>
      <c r="I681" s="154"/>
      <c r="J681" s="154"/>
      <c r="K681" s="154"/>
      <c r="L681" s="154"/>
      <c r="M681" s="154"/>
      <c r="N681" s="154"/>
      <c r="O681" s="154"/>
      <c r="P681" s="154"/>
      <c r="Q681" s="154"/>
      <c r="R681" s="154"/>
      <c r="S681" s="154"/>
      <c r="T681" s="154"/>
      <c r="U681" s="154"/>
      <c r="V681" s="154"/>
      <c r="W681" s="154"/>
      <c r="X681" s="154"/>
      <c r="Y681" s="154"/>
      <c r="Z681" s="154"/>
      <c r="AA681" s="154"/>
    </row>
    <row r="682" spans="1:27" ht="15">
      <c r="A682" s="180">
        <v>45858</v>
      </c>
      <c r="B682" s="181" t="s">
        <v>12992</v>
      </c>
      <c r="C682" s="182" t="s">
        <v>115</v>
      </c>
      <c r="D682" s="182">
        <v>883</v>
      </c>
      <c r="E682" s="183">
        <v>2</v>
      </c>
      <c r="F682" s="183">
        <v>84</v>
      </c>
      <c r="G682" s="184">
        <v>0</v>
      </c>
      <c r="H682" s="158"/>
      <c r="I682" s="154"/>
      <c r="J682" s="154"/>
      <c r="K682" s="154"/>
      <c r="L682" s="154"/>
      <c r="M682" s="154"/>
      <c r="N682" s="154"/>
      <c r="O682" s="154"/>
      <c r="P682" s="154"/>
      <c r="Q682" s="154"/>
      <c r="R682" s="154"/>
      <c r="S682" s="154"/>
      <c r="T682" s="154"/>
      <c r="U682" s="154"/>
      <c r="V682" s="154"/>
      <c r="W682" s="154"/>
      <c r="X682" s="154"/>
      <c r="Y682" s="154"/>
      <c r="Z682" s="154"/>
      <c r="AA682" s="154"/>
    </row>
    <row r="683" spans="1:27" ht="15">
      <c r="A683" s="180">
        <v>45858</v>
      </c>
      <c r="B683" s="181" t="s">
        <v>12968</v>
      </c>
      <c r="C683" s="182" t="s">
        <v>61</v>
      </c>
      <c r="D683" s="182">
        <v>1290</v>
      </c>
      <c r="E683" s="183">
        <v>5</v>
      </c>
      <c r="F683" s="183">
        <v>137</v>
      </c>
      <c r="G683" s="184">
        <v>0</v>
      </c>
      <c r="H683" s="158"/>
      <c r="I683" s="154"/>
      <c r="J683" s="154"/>
      <c r="K683" s="154"/>
      <c r="L683" s="154"/>
      <c r="M683" s="154"/>
      <c r="N683" s="154"/>
      <c r="O683" s="154"/>
      <c r="P683" s="154"/>
      <c r="Q683" s="154"/>
      <c r="R683" s="154"/>
      <c r="S683" s="154"/>
      <c r="T683" s="154"/>
      <c r="U683" s="154"/>
      <c r="V683" s="154"/>
      <c r="W683" s="154"/>
      <c r="X683" s="154"/>
      <c r="Y683" s="154"/>
      <c r="Z683" s="154"/>
      <c r="AA683" s="154"/>
    </row>
    <row r="684" spans="1:27" ht="15">
      <c r="A684" s="180">
        <v>45859</v>
      </c>
      <c r="B684" s="181" t="s">
        <v>12998</v>
      </c>
      <c r="C684" s="182" t="s">
        <v>1229</v>
      </c>
      <c r="D684" s="182">
        <v>13066</v>
      </c>
      <c r="E684" s="183">
        <v>21</v>
      </c>
      <c r="F684" s="183">
        <v>2309</v>
      </c>
      <c r="G684" s="184">
        <v>2</v>
      </c>
      <c r="H684" s="158"/>
      <c r="I684" s="154"/>
      <c r="J684" s="154"/>
      <c r="K684" s="154"/>
      <c r="L684" s="154"/>
      <c r="M684" s="154"/>
      <c r="N684" s="154"/>
      <c r="O684" s="154"/>
      <c r="P684" s="154"/>
      <c r="Q684" s="154"/>
      <c r="R684" s="154"/>
      <c r="S684" s="154"/>
      <c r="T684" s="154"/>
      <c r="U684" s="154"/>
      <c r="V684" s="154"/>
      <c r="W684" s="154"/>
      <c r="X684" s="154"/>
      <c r="Y684" s="154"/>
      <c r="Z684" s="154"/>
      <c r="AA684" s="154"/>
    </row>
    <row r="685" spans="1:27" ht="15">
      <c r="A685" s="180">
        <v>45859</v>
      </c>
      <c r="B685" s="181" t="s">
        <v>13002</v>
      </c>
      <c r="C685" s="182" t="s">
        <v>1229</v>
      </c>
      <c r="D685" s="182">
        <v>17697</v>
      </c>
      <c r="E685" s="183">
        <v>15</v>
      </c>
      <c r="F685" s="183">
        <v>1393</v>
      </c>
      <c r="G685" s="184">
        <v>1</v>
      </c>
      <c r="H685" s="158"/>
      <c r="I685" s="154"/>
      <c r="J685" s="154"/>
      <c r="K685" s="154"/>
      <c r="L685" s="154"/>
      <c r="M685" s="154"/>
      <c r="N685" s="154"/>
      <c r="O685" s="154"/>
      <c r="P685" s="154"/>
      <c r="Q685" s="154"/>
      <c r="R685" s="154"/>
      <c r="S685" s="154"/>
      <c r="T685" s="154"/>
      <c r="U685" s="154"/>
      <c r="V685" s="154"/>
      <c r="W685" s="154"/>
      <c r="X685" s="154"/>
      <c r="Y685" s="154"/>
      <c r="Z685" s="154"/>
      <c r="AA685" s="154"/>
    </row>
    <row r="686" spans="1:27" ht="15">
      <c r="A686" s="180">
        <v>45859</v>
      </c>
      <c r="B686" s="181" t="s">
        <v>12992</v>
      </c>
      <c r="C686" s="182" t="s">
        <v>115</v>
      </c>
      <c r="D686" s="182">
        <v>8723</v>
      </c>
      <c r="E686" s="183">
        <v>9</v>
      </c>
      <c r="F686" s="183">
        <v>1054</v>
      </c>
      <c r="G686" s="184">
        <v>1</v>
      </c>
      <c r="H686" s="158"/>
      <c r="I686" s="154"/>
      <c r="J686" s="154"/>
      <c r="K686" s="154"/>
      <c r="L686" s="154"/>
      <c r="M686" s="154"/>
      <c r="N686" s="154"/>
      <c r="O686" s="154"/>
      <c r="P686" s="154"/>
      <c r="Q686" s="154"/>
      <c r="R686" s="154"/>
      <c r="S686" s="154"/>
      <c r="T686" s="154"/>
      <c r="U686" s="154"/>
      <c r="V686" s="154"/>
      <c r="W686" s="154"/>
      <c r="X686" s="154"/>
      <c r="Y686" s="154"/>
      <c r="Z686" s="154"/>
      <c r="AA686" s="154"/>
    </row>
    <row r="687" spans="1:27" ht="15">
      <c r="A687" s="180">
        <v>45859</v>
      </c>
      <c r="B687" s="181" t="s">
        <v>13003</v>
      </c>
      <c r="C687" s="182" t="s">
        <v>61</v>
      </c>
      <c r="D687" s="182">
        <v>111271</v>
      </c>
      <c r="E687" s="183">
        <v>206</v>
      </c>
      <c r="F687" s="183">
        <v>19131</v>
      </c>
      <c r="G687" s="184">
        <v>32</v>
      </c>
      <c r="H687" s="158"/>
      <c r="I687" s="154"/>
      <c r="J687" s="154"/>
      <c r="K687" s="154"/>
      <c r="L687" s="154"/>
      <c r="M687" s="154"/>
      <c r="N687" s="154"/>
      <c r="O687" s="154"/>
      <c r="P687" s="154"/>
      <c r="Q687" s="154"/>
      <c r="R687" s="154"/>
      <c r="S687" s="154"/>
      <c r="T687" s="154"/>
      <c r="U687" s="154"/>
      <c r="V687" s="154"/>
      <c r="W687" s="154"/>
      <c r="X687" s="154"/>
      <c r="Y687" s="154"/>
      <c r="Z687" s="154"/>
      <c r="AA687" s="154"/>
    </row>
    <row r="688" spans="1:27" ht="15">
      <c r="A688" s="180">
        <v>45859</v>
      </c>
      <c r="B688" s="181" t="s">
        <v>12980</v>
      </c>
      <c r="C688" s="182" t="s">
        <v>115</v>
      </c>
      <c r="D688" s="182">
        <v>15275</v>
      </c>
      <c r="E688" s="183">
        <v>13</v>
      </c>
      <c r="F688" s="183">
        <v>836</v>
      </c>
      <c r="G688" s="184">
        <v>1</v>
      </c>
      <c r="H688" s="158"/>
      <c r="I688" s="154"/>
      <c r="J688" s="154"/>
      <c r="K688" s="154"/>
      <c r="L688" s="154"/>
      <c r="M688" s="154"/>
      <c r="N688" s="154"/>
      <c r="O688" s="154"/>
      <c r="P688" s="154"/>
      <c r="Q688" s="154"/>
      <c r="R688" s="154"/>
      <c r="S688" s="154"/>
      <c r="T688" s="154"/>
      <c r="U688" s="154"/>
      <c r="V688" s="154"/>
      <c r="W688" s="154"/>
      <c r="X688" s="154"/>
      <c r="Y688" s="154"/>
      <c r="Z688" s="154"/>
      <c r="AA688" s="154"/>
    </row>
    <row r="689" spans="1:27" ht="15">
      <c r="A689" s="180">
        <v>45859</v>
      </c>
      <c r="B689" s="181" t="s">
        <v>12981</v>
      </c>
      <c r="C689" s="182" t="s">
        <v>115</v>
      </c>
      <c r="D689" s="182">
        <v>47079</v>
      </c>
      <c r="E689" s="183">
        <v>43</v>
      </c>
      <c r="F689" s="183">
        <v>2704</v>
      </c>
      <c r="G689" s="184">
        <v>12</v>
      </c>
      <c r="H689" s="158"/>
      <c r="I689" s="154"/>
      <c r="J689" s="154"/>
      <c r="K689" s="154"/>
      <c r="L689" s="154"/>
      <c r="M689" s="154"/>
      <c r="N689" s="154"/>
      <c r="O689" s="154"/>
      <c r="P689" s="154"/>
      <c r="Q689" s="154"/>
      <c r="R689" s="154"/>
      <c r="S689" s="154"/>
      <c r="T689" s="154"/>
      <c r="U689" s="154"/>
      <c r="V689" s="154"/>
      <c r="W689" s="154"/>
      <c r="X689" s="154"/>
      <c r="Y689" s="154"/>
      <c r="Z689" s="154"/>
      <c r="AA689" s="154"/>
    </row>
    <row r="690" spans="1:27" ht="15">
      <c r="A690" s="180">
        <v>45859</v>
      </c>
      <c r="B690" s="181" t="s">
        <v>12982</v>
      </c>
      <c r="C690" s="182" t="s">
        <v>61</v>
      </c>
      <c r="D690" s="182">
        <v>21351</v>
      </c>
      <c r="E690" s="183">
        <v>24</v>
      </c>
      <c r="F690" s="183">
        <v>1463</v>
      </c>
      <c r="G690" s="184">
        <v>2</v>
      </c>
      <c r="H690" s="158"/>
      <c r="I690" s="154"/>
      <c r="J690" s="154"/>
      <c r="K690" s="154"/>
      <c r="L690" s="154"/>
      <c r="M690" s="154"/>
      <c r="N690" s="154"/>
      <c r="O690" s="154"/>
      <c r="P690" s="154"/>
      <c r="Q690" s="154"/>
      <c r="R690" s="154"/>
      <c r="S690" s="154"/>
      <c r="T690" s="154"/>
      <c r="U690" s="154"/>
      <c r="V690" s="154"/>
      <c r="W690" s="154"/>
      <c r="X690" s="154"/>
      <c r="Y690" s="154"/>
      <c r="Z690" s="154"/>
      <c r="AA690" s="154"/>
    </row>
    <row r="691" spans="1:27" ht="15">
      <c r="A691" s="180">
        <v>45859</v>
      </c>
      <c r="B691" s="181" t="s">
        <v>12995</v>
      </c>
      <c r="C691" s="182" t="s">
        <v>1229</v>
      </c>
      <c r="D691" s="182">
        <v>17069</v>
      </c>
      <c r="E691" s="183">
        <v>14</v>
      </c>
      <c r="F691" s="183">
        <v>1609</v>
      </c>
      <c r="G691" s="184">
        <v>1</v>
      </c>
      <c r="H691" s="158"/>
      <c r="I691" s="154"/>
      <c r="J691" s="154"/>
      <c r="K691" s="154"/>
      <c r="L691" s="154"/>
      <c r="M691" s="154"/>
      <c r="N691" s="154"/>
      <c r="O691" s="154"/>
      <c r="P691" s="154"/>
      <c r="Q691" s="154"/>
      <c r="R691" s="154"/>
      <c r="S691" s="154"/>
      <c r="T691" s="154"/>
      <c r="U691" s="154"/>
      <c r="V691" s="154"/>
      <c r="W691" s="154"/>
      <c r="X691" s="154"/>
      <c r="Y691" s="154"/>
      <c r="Z691" s="154"/>
      <c r="AA691" s="154"/>
    </row>
    <row r="692" spans="1:27" ht="15">
      <c r="A692" s="180">
        <v>45859</v>
      </c>
      <c r="B692" s="181" t="s">
        <v>12996</v>
      </c>
      <c r="C692" s="182" t="s">
        <v>1229</v>
      </c>
      <c r="D692" s="182">
        <v>16820</v>
      </c>
      <c r="E692" s="183">
        <v>12</v>
      </c>
      <c r="F692" s="183">
        <v>642</v>
      </c>
      <c r="G692" s="184">
        <v>2</v>
      </c>
      <c r="H692" s="158"/>
      <c r="I692" s="154"/>
      <c r="J692" s="154"/>
      <c r="K692" s="154"/>
      <c r="L692" s="154"/>
      <c r="M692" s="154"/>
      <c r="N692" s="154"/>
      <c r="O692" s="154"/>
      <c r="P692" s="154"/>
      <c r="Q692" s="154"/>
      <c r="R692" s="154"/>
      <c r="S692" s="154"/>
      <c r="T692" s="154"/>
      <c r="U692" s="154"/>
      <c r="V692" s="154"/>
      <c r="W692" s="154"/>
      <c r="X692" s="154"/>
      <c r="Y692" s="154"/>
      <c r="Z692" s="154"/>
      <c r="AA692" s="154"/>
    </row>
    <row r="693" spans="1:27" ht="15">
      <c r="A693" s="180">
        <v>45859</v>
      </c>
      <c r="B693" s="181" t="s">
        <v>12969</v>
      </c>
      <c r="C693" s="182" t="s">
        <v>115</v>
      </c>
      <c r="D693" s="182">
        <v>11650</v>
      </c>
      <c r="E693" s="183">
        <v>6</v>
      </c>
      <c r="F693" s="183">
        <v>749</v>
      </c>
      <c r="G693" s="184">
        <v>1</v>
      </c>
      <c r="H693" s="158"/>
      <c r="I693" s="154"/>
      <c r="J693" s="154"/>
      <c r="K693" s="154"/>
      <c r="L693" s="154"/>
      <c r="M693" s="154"/>
      <c r="N693" s="154"/>
      <c r="O693" s="154"/>
      <c r="P693" s="154"/>
      <c r="Q693" s="154"/>
      <c r="R693" s="154"/>
      <c r="S693" s="154"/>
      <c r="T693" s="154"/>
      <c r="U693" s="154"/>
      <c r="V693" s="154"/>
      <c r="W693" s="154"/>
      <c r="X693" s="154"/>
      <c r="Y693" s="154"/>
      <c r="Z693" s="154"/>
      <c r="AA693" s="154"/>
    </row>
    <row r="694" spans="1:27" ht="15">
      <c r="A694" s="180">
        <v>45859</v>
      </c>
      <c r="B694" s="181" t="s">
        <v>12970</v>
      </c>
      <c r="C694" s="182" t="s">
        <v>115</v>
      </c>
      <c r="D694" s="182">
        <v>7815</v>
      </c>
      <c r="E694" s="183">
        <v>7</v>
      </c>
      <c r="F694" s="183">
        <v>454</v>
      </c>
      <c r="G694" s="184">
        <v>1</v>
      </c>
      <c r="H694" s="158"/>
      <c r="I694" s="154"/>
      <c r="J694" s="154"/>
      <c r="K694" s="154"/>
      <c r="L694" s="154"/>
      <c r="M694" s="154"/>
      <c r="N694" s="154"/>
      <c r="O694" s="154"/>
      <c r="P694" s="154"/>
      <c r="Q694" s="154"/>
      <c r="R694" s="154"/>
      <c r="S694" s="154"/>
      <c r="T694" s="154"/>
      <c r="U694" s="154"/>
      <c r="V694" s="154"/>
      <c r="W694" s="154"/>
      <c r="X694" s="154"/>
      <c r="Y694" s="154"/>
      <c r="Z694" s="154"/>
      <c r="AA694" s="154"/>
    </row>
    <row r="695" spans="1:27" ht="15">
      <c r="A695" s="180">
        <v>45859</v>
      </c>
      <c r="B695" s="181" t="s">
        <v>12971</v>
      </c>
      <c r="C695" s="182" t="s">
        <v>115</v>
      </c>
      <c r="D695" s="182">
        <v>8442</v>
      </c>
      <c r="E695" s="183">
        <v>3</v>
      </c>
      <c r="F695" s="183">
        <v>603</v>
      </c>
      <c r="G695" s="184">
        <v>1</v>
      </c>
      <c r="H695" s="158"/>
      <c r="I695" s="154"/>
      <c r="J695" s="154"/>
      <c r="K695" s="154"/>
      <c r="L695" s="154"/>
      <c r="M695" s="154"/>
      <c r="N695" s="154"/>
      <c r="O695" s="154"/>
      <c r="P695" s="154"/>
      <c r="Q695" s="154"/>
      <c r="R695" s="154"/>
      <c r="S695" s="154"/>
      <c r="T695" s="154"/>
      <c r="U695" s="154"/>
      <c r="V695" s="154"/>
      <c r="W695" s="154"/>
      <c r="X695" s="154"/>
      <c r="Y695" s="154"/>
      <c r="Z695" s="154"/>
      <c r="AA695" s="154"/>
    </row>
    <row r="696" spans="1:27" ht="15">
      <c r="A696" s="180">
        <v>45859</v>
      </c>
      <c r="B696" s="181" t="s">
        <v>12963</v>
      </c>
      <c r="C696" s="182" t="s">
        <v>61</v>
      </c>
      <c r="D696" s="182">
        <v>18025</v>
      </c>
      <c r="E696" s="183">
        <v>23</v>
      </c>
      <c r="F696" s="183">
        <v>2405</v>
      </c>
      <c r="G696" s="184">
        <v>3</v>
      </c>
      <c r="H696" s="158"/>
      <c r="I696" s="154"/>
      <c r="J696" s="154"/>
      <c r="K696" s="154"/>
      <c r="L696" s="154"/>
      <c r="M696" s="154"/>
      <c r="N696" s="154"/>
      <c r="O696" s="154"/>
      <c r="P696" s="154"/>
      <c r="Q696" s="154"/>
      <c r="R696" s="154"/>
      <c r="S696" s="154"/>
      <c r="T696" s="154"/>
      <c r="U696" s="154"/>
      <c r="V696" s="154"/>
      <c r="W696" s="154"/>
      <c r="X696" s="154"/>
      <c r="Y696" s="154"/>
      <c r="Z696" s="154"/>
      <c r="AA696" s="154"/>
    </row>
    <row r="697" spans="1:27" ht="15">
      <c r="A697" s="180">
        <v>45859</v>
      </c>
      <c r="B697" s="181" t="s">
        <v>12964</v>
      </c>
      <c r="C697" s="182" t="s">
        <v>61</v>
      </c>
      <c r="D697" s="182">
        <v>19065</v>
      </c>
      <c r="E697" s="183">
        <v>30</v>
      </c>
      <c r="F697" s="183">
        <v>2030</v>
      </c>
      <c r="G697" s="184">
        <v>2</v>
      </c>
      <c r="H697" s="158"/>
      <c r="I697" s="154"/>
      <c r="J697" s="154"/>
      <c r="K697" s="154"/>
      <c r="L697" s="154"/>
      <c r="M697" s="154"/>
      <c r="N697" s="154"/>
      <c r="O697" s="154"/>
      <c r="P697" s="154"/>
      <c r="Q697" s="154"/>
      <c r="R697" s="154"/>
      <c r="S697" s="154"/>
      <c r="T697" s="154"/>
      <c r="U697" s="154"/>
      <c r="V697" s="154"/>
      <c r="W697" s="154"/>
      <c r="X697" s="154"/>
      <c r="Y697" s="154"/>
      <c r="Z697" s="154"/>
      <c r="AA697" s="154"/>
    </row>
    <row r="698" spans="1:27" ht="15">
      <c r="A698" s="180">
        <v>45859</v>
      </c>
      <c r="B698" s="181" t="s">
        <v>12968</v>
      </c>
      <c r="C698" s="182" t="s">
        <v>61</v>
      </c>
      <c r="D698" s="182">
        <v>118450</v>
      </c>
      <c r="E698" s="183">
        <v>209</v>
      </c>
      <c r="F698" s="183">
        <v>14484</v>
      </c>
      <c r="G698" s="184">
        <v>32</v>
      </c>
      <c r="H698" s="158"/>
      <c r="I698" s="154"/>
      <c r="J698" s="154"/>
      <c r="K698" s="154"/>
      <c r="L698" s="154"/>
      <c r="M698" s="154"/>
      <c r="N698" s="154"/>
      <c r="O698" s="154"/>
      <c r="P698" s="154"/>
      <c r="Q698" s="154"/>
      <c r="R698" s="154"/>
      <c r="S698" s="154"/>
      <c r="T698" s="154"/>
      <c r="U698" s="154"/>
      <c r="V698" s="154"/>
      <c r="W698" s="154"/>
      <c r="X698" s="154"/>
      <c r="Y698" s="154"/>
      <c r="Z698" s="154"/>
      <c r="AA698" s="154"/>
    </row>
    <row r="699" spans="1:27" ht="15">
      <c r="A699" s="180">
        <v>45860</v>
      </c>
      <c r="B699" s="181" t="s">
        <v>12998</v>
      </c>
      <c r="C699" s="182" t="s">
        <v>1229</v>
      </c>
      <c r="D699" s="182">
        <v>6204</v>
      </c>
      <c r="E699" s="183">
        <v>9</v>
      </c>
      <c r="F699" s="183">
        <v>461</v>
      </c>
      <c r="G699" s="184">
        <v>1</v>
      </c>
      <c r="H699" s="158"/>
      <c r="I699" s="154"/>
      <c r="J699" s="154"/>
      <c r="K699" s="154"/>
      <c r="L699" s="154"/>
      <c r="M699" s="154"/>
      <c r="N699" s="154"/>
      <c r="O699" s="154"/>
      <c r="P699" s="154"/>
      <c r="Q699" s="154"/>
      <c r="R699" s="154"/>
      <c r="S699" s="154"/>
      <c r="T699" s="154"/>
      <c r="U699" s="154"/>
      <c r="V699" s="154"/>
      <c r="W699" s="154"/>
      <c r="X699" s="154"/>
      <c r="Y699" s="154"/>
      <c r="Z699" s="154"/>
      <c r="AA699" s="154"/>
    </row>
    <row r="700" spans="1:27" ht="15">
      <c r="A700" s="180">
        <v>45860</v>
      </c>
      <c r="B700" s="181" t="s">
        <v>13002</v>
      </c>
      <c r="C700" s="182" t="s">
        <v>1229</v>
      </c>
      <c r="D700" s="182">
        <v>19108</v>
      </c>
      <c r="E700" s="183">
        <v>10</v>
      </c>
      <c r="F700" s="183">
        <v>767</v>
      </c>
      <c r="G700" s="184">
        <v>2</v>
      </c>
      <c r="H700" s="158"/>
      <c r="I700" s="154"/>
      <c r="J700" s="154"/>
      <c r="K700" s="154"/>
      <c r="L700" s="154"/>
      <c r="M700" s="154"/>
      <c r="N700" s="154"/>
      <c r="O700" s="154"/>
      <c r="P700" s="154"/>
      <c r="Q700" s="154"/>
      <c r="R700" s="154"/>
      <c r="S700" s="154"/>
      <c r="T700" s="154"/>
      <c r="U700" s="154"/>
      <c r="V700" s="154"/>
      <c r="W700" s="154"/>
      <c r="X700" s="154"/>
      <c r="Y700" s="154"/>
      <c r="Z700" s="154"/>
      <c r="AA700" s="154"/>
    </row>
    <row r="701" spans="1:27" ht="15">
      <c r="A701" s="180">
        <v>45860</v>
      </c>
      <c r="B701" s="181" t="s">
        <v>12992</v>
      </c>
      <c r="C701" s="182" t="s">
        <v>115</v>
      </c>
      <c r="D701" s="182">
        <v>17508</v>
      </c>
      <c r="E701" s="183">
        <v>10</v>
      </c>
      <c r="F701" s="183">
        <v>682</v>
      </c>
      <c r="G701" s="184">
        <v>2</v>
      </c>
      <c r="H701" s="158"/>
      <c r="I701" s="154"/>
      <c r="J701" s="154"/>
      <c r="K701" s="154"/>
      <c r="L701" s="154"/>
      <c r="M701" s="154"/>
      <c r="N701" s="154"/>
      <c r="O701" s="154"/>
      <c r="P701" s="154"/>
      <c r="Q701" s="154"/>
      <c r="R701" s="154"/>
      <c r="S701" s="154"/>
      <c r="T701" s="154"/>
      <c r="U701" s="154"/>
      <c r="V701" s="154"/>
      <c r="W701" s="154"/>
      <c r="X701" s="154"/>
      <c r="Y701" s="154"/>
      <c r="Z701" s="154"/>
      <c r="AA701" s="154"/>
    </row>
    <row r="702" spans="1:27" ht="15">
      <c r="A702" s="180">
        <v>45860</v>
      </c>
      <c r="B702" s="181" t="s">
        <v>12980</v>
      </c>
      <c r="C702" s="182" t="s">
        <v>115</v>
      </c>
      <c r="D702" s="182">
        <v>23533</v>
      </c>
      <c r="E702" s="183">
        <v>24</v>
      </c>
      <c r="F702" s="183">
        <v>2417</v>
      </c>
      <c r="G702" s="184">
        <v>4</v>
      </c>
      <c r="H702" s="158"/>
      <c r="I702" s="154"/>
      <c r="J702" s="154"/>
      <c r="K702" s="154"/>
      <c r="L702" s="154"/>
      <c r="M702" s="154"/>
      <c r="N702" s="154"/>
      <c r="O702" s="154"/>
      <c r="P702" s="154"/>
      <c r="Q702" s="154"/>
      <c r="R702" s="154"/>
      <c r="S702" s="154"/>
      <c r="T702" s="154"/>
      <c r="U702" s="154"/>
      <c r="V702" s="154"/>
      <c r="W702" s="154"/>
      <c r="X702" s="154"/>
      <c r="Y702" s="154"/>
      <c r="Z702" s="154"/>
      <c r="AA702" s="154"/>
    </row>
    <row r="703" spans="1:27" ht="15">
      <c r="A703" s="180">
        <v>45860</v>
      </c>
      <c r="B703" s="181" t="s">
        <v>12981</v>
      </c>
      <c r="C703" s="182" t="s">
        <v>115</v>
      </c>
      <c r="D703" s="182">
        <v>80029</v>
      </c>
      <c r="E703" s="183">
        <v>104</v>
      </c>
      <c r="F703" s="183">
        <v>6351</v>
      </c>
      <c r="G703" s="184">
        <v>20</v>
      </c>
      <c r="H703" s="158"/>
      <c r="I703" s="154"/>
      <c r="J703" s="154"/>
      <c r="K703" s="154"/>
      <c r="L703" s="154"/>
      <c r="M703" s="154"/>
      <c r="N703" s="154"/>
      <c r="O703" s="154"/>
      <c r="P703" s="154"/>
      <c r="Q703" s="154"/>
      <c r="R703" s="154"/>
      <c r="S703" s="154"/>
      <c r="T703" s="154"/>
      <c r="U703" s="154"/>
      <c r="V703" s="154"/>
      <c r="W703" s="154"/>
      <c r="X703" s="154"/>
      <c r="Y703" s="154"/>
      <c r="Z703" s="154"/>
      <c r="AA703" s="154"/>
    </row>
    <row r="704" spans="1:27" ht="15">
      <c r="A704" s="180">
        <v>45860</v>
      </c>
      <c r="B704" s="181" t="s">
        <v>12982</v>
      </c>
      <c r="C704" s="182" t="s">
        <v>61</v>
      </c>
      <c r="D704" s="182">
        <v>62311</v>
      </c>
      <c r="E704" s="183">
        <v>58</v>
      </c>
      <c r="F704" s="183">
        <v>3249</v>
      </c>
      <c r="G704" s="184">
        <v>12</v>
      </c>
      <c r="H704" s="158"/>
      <c r="I704" s="154"/>
      <c r="J704" s="154"/>
      <c r="K704" s="154"/>
      <c r="L704" s="154"/>
      <c r="M704" s="154"/>
      <c r="N704" s="154"/>
      <c r="O704" s="154"/>
      <c r="P704" s="154"/>
      <c r="Q704" s="154"/>
      <c r="R704" s="154"/>
      <c r="S704" s="154"/>
      <c r="T704" s="154"/>
      <c r="U704" s="154"/>
      <c r="V704" s="154"/>
      <c r="W704" s="154"/>
      <c r="X704" s="154"/>
      <c r="Y704" s="154"/>
      <c r="Z704" s="154"/>
      <c r="AA704" s="154"/>
    </row>
    <row r="705" spans="1:27" ht="15">
      <c r="A705" s="180">
        <v>45860</v>
      </c>
      <c r="B705" s="181" t="s">
        <v>12995</v>
      </c>
      <c r="C705" s="182" t="s">
        <v>1229</v>
      </c>
      <c r="D705" s="182">
        <v>34940</v>
      </c>
      <c r="E705" s="183">
        <v>25</v>
      </c>
      <c r="F705" s="183">
        <v>1709</v>
      </c>
      <c r="G705" s="184">
        <v>4</v>
      </c>
      <c r="H705" s="158"/>
      <c r="I705" s="154"/>
      <c r="J705" s="154"/>
      <c r="K705" s="154"/>
      <c r="L705" s="154"/>
      <c r="M705" s="154"/>
      <c r="N705" s="154"/>
      <c r="O705" s="154"/>
      <c r="P705" s="154"/>
      <c r="Q705" s="154"/>
      <c r="R705" s="154"/>
      <c r="S705" s="154"/>
      <c r="T705" s="154"/>
      <c r="U705" s="154"/>
      <c r="V705" s="154"/>
      <c r="W705" s="154"/>
      <c r="X705" s="154"/>
      <c r="Y705" s="154"/>
      <c r="Z705" s="154"/>
      <c r="AA705" s="154"/>
    </row>
    <row r="706" spans="1:27" ht="15">
      <c r="A706" s="180">
        <v>45860</v>
      </c>
      <c r="B706" s="181" t="s">
        <v>12996</v>
      </c>
      <c r="C706" s="182" t="s">
        <v>1229</v>
      </c>
      <c r="D706" s="182">
        <v>58343</v>
      </c>
      <c r="E706" s="183">
        <v>84</v>
      </c>
      <c r="F706" s="183">
        <v>4184</v>
      </c>
      <c r="G706" s="184">
        <v>14</v>
      </c>
      <c r="H706" s="158"/>
      <c r="I706" s="154"/>
      <c r="J706" s="154"/>
      <c r="K706" s="154"/>
      <c r="L706" s="154"/>
      <c r="M706" s="154"/>
      <c r="N706" s="154"/>
      <c r="O706" s="154"/>
      <c r="P706" s="154"/>
      <c r="Q706" s="154"/>
      <c r="R706" s="154"/>
      <c r="S706" s="154"/>
      <c r="T706" s="154"/>
      <c r="U706" s="154"/>
      <c r="V706" s="154"/>
      <c r="W706" s="154"/>
      <c r="X706" s="154"/>
      <c r="Y706" s="154"/>
      <c r="Z706" s="154"/>
      <c r="AA706" s="154"/>
    </row>
    <row r="707" spans="1:27" ht="15">
      <c r="A707" s="180">
        <v>45860</v>
      </c>
      <c r="B707" s="181" t="s">
        <v>12969</v>
      </c>
      <c r="C707" s="182" t="s">
        <v>115</v>
      </c>
      <c r="D707" s="182">
        <v>30626</v>
      </c>
      <c r="E707" s="183">
        <v>18</v>
      </c>
      <c r="F707" s="183">
        <v>1736</v>
      </c>
      <c r="G707" s="184">
        <v>3</v>
      </c>
      <c r="H707" s="158"/>
      <c r="I707" s="154"/>
      <c r="J707" s="154"/>
      <c r="K707" s="154"/>
      <c r="L707" s="154"/>
      <c r="M707" s="154"/>
      <c r="N707" s="154"/>
      <c r="O707" s="154"/>
      <c r="P707" s="154"/>
      <c r="Q707" s="154"/>
      <c r="R707" s="154"/>
      <c r="S707" s="154"/>
      <c r="T707" s="154"/>
      <c r="U707" s="154"/>
      <c r="V707" s="154"/>
      <c r="W707" s="154"/>
      <c r="X707" s="154"/>
      <c r="Y707" s="154"/>
      <c r="Z707" s="154"/>
      <c r="AA707" s="154"/>
    </row>
    <row r="708" spans="1:27" ht="15">
      <c r="A708" s="180">
        <v>45860</v>
      </c>
      <c r="B708" s="181" t="s">
        <v>12970</v>
      </c>
      <c r="C708" s="182" t="s">
        <v>115</v>
      </c>
      <c r="D708" s="182">
        <v>17046</v>
      </c>
      <c r="E708" s="183">
        <v>12</v>
      </c>
      <c r="F708" s="183">
        <v>1111</v>
      </c>
      <c r="G708" s="184">
        <v>0</v>
      </c>
      <c r="H708" s="158"/>
      <c r="I708" s="154"/>
      <c r="J708" s="154"/>
      <c r="K708" s="154"/>
      <c r="L708" s="154"/>
      <c r="M708" s="154"/>
      <c r="N708" s="154"/>
      <c r="O708" s="154"/>
      <c r="P708" s="154"/>
      <c r="Q708" s="154"/>
      <c r="R708" s="154"/>
      <c r="S708" s="154"/>
      <c r="T708" s="154"/>
      <c r="U708" s="154"/>
      <c r="V708" s="154"/>
      <c r="W708" s="154"/>
      <c r="X708" s="154"/>
      <c r="Y708" s="154"/>
      <c r="Z708" s="154"/>
      <c r="AA708" s="154"/>
    </row>
    <row r="709" spans="1:27" ht="15">
      <c r="A709" s="180">
        <v>45860</v>
      </c>
      <c r="B709" s="181" t="s">
        <v>12971</v>
      </c>
      <c r="C709" s="182" t="s">
        <v>115</v>
      </c>
      <c r="D709" s="182">
        <v>23926</v>
      </c>
      <c r="E709" s="183">
        <v>26</v>
      </c>
      <c r="F709" s="183">
        <v>1696</v>
      </c>
      <c r="G709" s="184">
        <v>2</v>
      </c>
      <c r="H709" s="158"/>
      <c r="I709" s="154"/>
      <c r="J709" s="154"/>
      <c r="K709" s="154"/>
      <c r="L709" s="154"/>
      <c r="M709" s="154"/>
      <c r="N709" s="154"/>
      <c r="O709" s="154"/>
      <c r="P709" s="154"/>
      <c r="Q709" s="154"/>
      <c r="R709" s="154"/>
      <c r="S709" s="154"/>
      <c r="T709" s="154"/>
      <c r="U709" s="154"/>
      <c r="V709" s="154"/>
      <c r="W709" s="154"/>
      <c r="X709" s="154"/>
      <c r="Y709" s="154"/>
      <c r="Z709" s="154"/>
      <c r="AA709" s="154"/>
    </row>
    <row r="710" spans="1:27" ht="15">
      <c r="A710" s="180">
        <v>45860</v>
      </c>
      <c r="B710" s="181" t="s">
        <v>12963</v>
      </c>
      <c r="C710" s="182" t="s">
        <v>61</v>
      </c>
      <c r="D710" s="182">
        <v>14674</v>
      </c>
      <c r="E710" s="183">
        <v>15</v>
      </c>
      <c r="F710" s="183">
        <v>886</v>
      </c>
      <c r="G710" s="184">
        <v>1</v>
      </c>
      <c r="H710" s="158"/>
      <c r="I710" s="154"/>
      <c r="J710" s="154"/>
      <c r="K710" s="154"/>
      <c r="L710" s="154"/>
      <c r="M710" s="154"/>
      <c r="N710" s="154"/>
      <c r="O710" s="154"/>
      <c r="P710" s="154"/>
      <c r="Q710" s="154"/>
      <c r="R710" s="154"/>
      <c r="S710" s="154"/>
      <c r="T710" s="154"/>
      <c r="U710" s="154"/>
      <c r="V710" s="154"/>
      <c r="W710" s="154"/>
      <c r="X710" s="154"/>
      <c r="Y710" s="154"/>
      <c r="Z710" s="154"/>
      <c r="AA710" s="154"/>
    </row>
    <row r="711" spans="1:27" ht="15">
      <c r="A711" s="180">
        <v>45860</v>
      </c>
      <c r="B711" s="181" t="s">
        <v>12964</v>
      </c>
      <c r="C711" s="182" t="s">
        <v>61</v>
      </c>
      <c r="D711" s="182">
        <v>13565</v>
      </c>
      <c r="E711" s="183">
        <v>12</v>
      </c>
      <c r="F711" s="183">
        <v>1181</v>
      </c>
      <c r="G711" s="184">
        <v>1</v>
      </c>
      <c r="H711" s="158"/>
      <c r="I711" s="154"/>
      <c r="J711" s="154"/>
      <c r="K711" s="154"/>
      <c r="L711" s="154"/>
      <c r="M711" s="154"/>
      <c r="N711" s="154"/>
      <c r="O711" s="154"/>
      <c r="P711" s="154"/>
      <c r="Q711" s="154"/>
      <c r="R711" s="154"/>
      <c r="S711" s="154"/>
      <c r="T711" s="154"/>
      <c r="U711" s="154"/>
      <c r="V711" s="154"/>
      <c r="W711" s="154"/>
      <c r="X711" s="154"/>
      <c r="Y711" s="154"/>
      <c r="Z711" s="154"/>
      <c r="AA711" s="154"/>
    </row>
    <row r="712" spans="1:27" ht="15">
      <c r="A712" s="180">
        <v>45860</v>
      </c>
      <c r="B712" s="181" t="s">
        <v>12968</v>
      </c>
      <c r="C712" s="182" t="s">
        <v>61</v>
      </c>
      <c r="D712" s="182">
        <v>6896</v>
      </c>
      <c r="E712" s="183">
        <v>9</v>
      </c>
      <c r="F712" s="183">
        <v>790</v>
      </c>
      <c r="G712" s="184">
        <v>1</v>
      </c>
      <c r="H712" s="158"/>
      <c r="I712" s="154"/>
      <c r="J712" s="154"/>
      <c r="K712" s="154"/>
      <c r="L712" s="154"/>
      <c r="M712" s="154"/>
      <c r="N712" s="154"/>
      <c r="O712" s="154"/>
      <c r="P712" s="154"/>
      <c r="Q712" s="154"/>
      <c r="R712" s="154"/>
      <c r="S712" s="154"/>
      <c r="T712" s="154"/>
      <c r="U712" s="154"/>
      <c r="V712" s="154"/>
      <c r="W712" s="154"/>
      <c r="X712" s="154"/>
      <c r="Y712" s="154"/>
      <c r="Z712" s="154"/>
      <c r="AA712" s="154"/>
    </row>
    <row r="713" spans="1:27" ht="15">
      <c r="A713" s="180">
        <v>45861</v>
      </c>
      <c r="B713" s="181" t="s">
        <v>12998</v>
      </c>
      <c r="C713" s="182" t="s">
        <v>1229</v>
      </c>
      <c r="D713" s="182">
        <v>13139</v>
      </c>
      <c r="E713" s="183">
        <v>9</v>
      </c>
      <c r="F713" s="183">
        <v>604</v>
      </c>
      <c r="G713" s="184">
        <v>0</v>
      </c>
      <c r="H713" s="158"/>
      <c r="I713" s="154"/>
      <c r="J713" s="154"/>
      <c r="K713" s="154"/>
      <c r="L713" s="154"/>
      <c r="M713" s="154"/>
      <c r="N713" s="154"/>
      <c r="O713" s="154"/>
      <c r="P713" s="154"/>
      <c r="Q713" s="154"/>
      <c r="R713" s="154"/>
      <c r="S713" s="154"/>
      <c r="T713" s="154"/>
      <c r="U713" s="154"/>
      <c r="V713" s="154"/>
      <c r="W713" s="154"/>
      <c r="X713" s="154"/>
      <c r="Y713" s="154"/>
      <c r="Z713" s="154"/>
      <c r="AA713" s="154"/>
    </row>
    <row r="714" spans="1:27" ht="15">
      <c r="A714" s="180">
        <v>45861</v>
      </c>
      <c r="B714" s="181" t="s">
        <v>13002</v>
      </c>
      <c r="C714" s="182" t="s">
        <v>1229</v>
      </c>
      <c r="D714" s="182">
        <v>87919</v>
      </c>
      <c r="E714" s="183">
        <v>114</v>
      </c>
      <c r="F714" s="183">
        <v>7075</v>
      </c>
      <c r="G714" s="184">
        <v>33</v>
      </c>
      <c r="H714" s="158"/>
      <c r="I714" s="154"/>
      <c r="J714" s="154"/>
      <c r="K714" s="154"/>
      <c r="L714" s="154"/>
      <c r="M714" s="154"/>
      <c r="N714" s="154"/>
      <c r="O714" s="154"/>
      <c r="P714" s="154"/>
      <c r="Q714" s="154"/>
      <c r="R714" s="154"/>
      <c r="S714" s="154"/>
      <c r="T714" s="154"/>
      <c r="U714" s="154"/>
      <c r="V714" s="154"/>
      <c r="W714" s="154"/>
      <c r="X714" s="154"/>
      <c r="Y714" s="154"/>
      <c r="Z714" s="154"/>
      <c r="AA714" s="154"/>
    </row>
    <row r="715" spans="1:27" ht="15">
      <c r="A715" s="180">
        <v>45861</v>
      </c>
      <c r="B715" s="181" t="s">
        <v>12992</v>
      </c>
      <c r="C715" s="182" t="s">
        <v>115</v>
      </c>
      <c r="D715" s="182">
        <v>13329</v>
      </c>
      <c r="E715" s="183">
        <v>14</v>
      </c>
      <c r="F715" s="183">
        <v>603</v>
      </c>
      <c r="G715" s="184">
        <v>0</v>
      </c>
      <c r="H715" s="158"/>
      <c r="I715" s="154"/>
      <c r="J715" s="154"/>
      <c r="K715" s="154"/>
      <c r="L715" s="154"/>
      <c r="M715" s="154"/>
      <c r="N715" s="154"/>
      <c r="O715" s="154"/>
      <c r="P715" s="154"/>
      <c r="Q715" s="154"/>
      <c r="R715" s="154"/>
      <c r="S715" s="154"/>
      <c r="T715" s="154"/>
      <c r="U715" s="154"/>
      <c r="V715" s="154"/>
      <c r="W715" s="154"/>
      <c r="X715" s="154"/>
      <c r="Y715" s="154"/>
      <c r="Z715" s="154"/>
      <c r="AA715" s="154"/>
    </row>
    <row r="716" spans="1:27" ht="15">
      <c r="A716" s="180">
        <v>45861</v>
      </c>
      <c r="B716" s="181" t="s">
        <v>12980</v>
      </c>
      <c r="C716" s="182" t="s">
        <v>115</v>
      </c>
      <c r="D716" s="182">
        <v>10433</v>
      </c>
      <c r="E716" s="183">
        <v>5</v>
      </c>
      <c r="F716" s="183">
        <v>578</v>
      </c>
      <c r="G716" s="184">
        <v>1</v>
      </c>
      <c r="H716" s="158"/>
      <c r="I716" s="154"/>
      <c r="J716" s="154"/>
      <c r="K716" s="154"/>
      <c r="L716" s="154"/>
      <c r="M716" s="154"/>
      <c r="N716" s="154"/>
      <c r="O716" s="154"/>
      <c r="P716" s="154"/>
      <c r="Q716" s="154"/>
      <c r="R716" s="154"/>
      <c r="S716" s="154"/>
      <c r="T716" s="154"/>
      <c r="U716" s="154"/>
      <c r="V716" s="154"/>
      <c r="W716" s="154"/>
      <c r="X716" s="154"/>
      <c r="Y716" s="154"/>
      <c r="Z716" s="154"/>
      <c r="AA716" s="154"/>
    </row>
    <row r="717" spans="1:27" ht="15">
      <c r="A717" s="180">
        <v>45861</v>
      </c>
      <c r="B717" s="181" t="s">
        <v>12981</v>
      </c>
      <c r="C717" s="182" t="s">
        <v>115</v>
      </c>
      <c r="D717" s="182">
        <v>32849</v>
      </c>
      <c r="E717" s="183">
        <v>34</v>
      </c>
      <c r="F717" s="183">
        <v>2316</v>
      </c>
      <c r="G717" s="184">
        <v>4</v>
      </c>
      <c r="H717" s="158"/>
      <c r="I717" s="154"/>
      <c r="J717" s="154"/>
      <c r="K717" s="154"/>
      <c r="L717" s="154"/>
      <c r="M717" s="154"/>
      <c r="N717" s="154"/>
      <c r="O717" s="154"/>
      <c r="P717" s="154"/>
      <c r="Q717" s="154"/>
      <c r="R717" s="154"/>
      <c r="S717" s="154"/>
      <c r="T717" s="154"/>
      <c r="U717" s="154"/>
      <c r="V717" s="154"/>
      <c r="W717" s="154"/>
      <c r="X717" s="154"/>
      <c r="Y717" s="154"/>
      <c r="Z717" s="154"/>
      <c r="AA717" s="154"/>
    </row>
    <row r="718" spans="1:27" ht="15">
      <c r="A718" s="180">
        <v>45861</v>
      </c>
      <c r="B718" s="181" t="s">
        <v>12982</v>
      </c>
      <c r="C718" s="182" t="s">
        <v>61</v>
      </c>
      <c r="D718" s="182">
        <v>18170</v>
      </c>
      <c r="E718" s="183">
        <v>13</v>
      </c>
      <c r="F718" s="183">
        <v>699</v>
      </c>
      <c r="G718" s="184">
        <v>3</v>
      </c>
      <c r="H718" s="158"/>
      <c r="I718" s="154"/>
      <c r="J718" s="154"/>
      <c r="K718" s="154"/>
      <c r="L718" s="154"/>
      <c r="M718" s="154"/>
      <c r="N718" s="154"/>
      <c r="O718" s="154"/>
      <c r="P718" s="154"/>
      <c r="Q718" s="154"/>
      <c r="R718" s="154"/>
      <c r="S718" s="154"/>
      <c r="T718" s="154"/>
      <c r="U718" s="154"/>
      <c r="V718" s="154"/>
      <c r="W718" s="154"/>
      <c r="X718" s="154"/>
      <c r="Y718" s="154"/>
      <c r="Z718" s="154"/>
      <c r="AA718" s="154"/>
    </row>
    <row r="719" spans="1:27" ht="15">
      <c r="A719" s="180">
        <v>45861</v>
      </c>
      <c r="B719" s="181" t="s">
        <v>12995</v>
      </c>
      <c r="C719" s="182" t="s">
        <v>1229</v>
      </c>
      <c r="D719" s="182">
        <v>57375</v>
      </c>
      <c r="E719" s="183">
        <v>80</v>
      </c>
      <c r="F719" s="183">
        <v>3915</v>
      </c>
      <c r="G719" s="184">
        <v>18</v>
      </c>
      <c r="H719" s="158"/>
      <c r="I719" s="154"/>
      <c r="J719" s="154"/>
      <c r="K719" s="154"/>
      <c r="L719" s="154"/>
      <c r="M719" s="154"/>
      <c r="N719" s="154"/>
      <c r="O719" s="154"/>
      <c r="P719" s="154"/>
      <c r="Q719" s="154"/>
      <c r="R719" s="154"/>
      <c r="S719" s="154"/>
      <c r="T719" s="154"/>
      <c r="U719" s="154"/>
      <c r="V719" s="154"/>
      <c r="W719" s="154"/>
      <c r="X719" s="154"/>
      <c r="Y719" s="154"/>
      <c r="Z719" s="154"/>
      <c r="AA719" s="154"/>
    </row>
    <row r="720" spans="1:27" ht="15">
      <c r="A720" s="180">
        <v>45861</v>
      </c>
      <c r="B720" s="181" t="s">
        <v>12996</v>
      </c>
      <c r="C720" s="182" t="s">
        <v>1229</v>
      </c>
      <c r="D720" s="182">
        <v>8178</v>
      </c>
      <c r="E720" s="183">
        <v>4</v>
      </c>
      <c r="F720" s="183">
        <v>502</v>
      </c>
      <c r="G720" s="184">
        <v>1</v>
      </c>
      <c r="H720" s="158"/>
      <c r="I720" s="154"/>
      <c r="J720" s="154"/>
      <c r="K720" s="154"/>
      <c r="L720" s="154"/>
      <c r="M720" s="154"/>
      <c r="N720" s="154"/>
      <c r="O720" s="154"/>
      <c r="P720" s="154"/>
      <c r="Q720" s="154"/>
      <c r="R720" s="154"/>
      <c r="S720" s="154"/>
      <c r="T720" s="154"/>
      <c r="U720" s="154"/>
      <c r="V720" s="154"/>
      <c r="W720" s="154"/>
      <c r="X720" s="154"/>
      <c r="Y720" s="154"/>
      <c r="Z720" s="154"/>
      <c r="AA720" s="154"/>
    </row>
    <row r="721" spans="1:27" ht="15">
      <c r="A721" s="180">
        <v>45861</v>
      </c>
      <c r="B721" s="181" t="s">
        <v>12969</v>
      </c>
      <c r="C721" s="182" t="s">
        <v>115</v>
      </c>
      <c r="D721" s="182">
        <v>18917</v>
      </c>
      <c r="E721" s="183">
        <v>12</v>
      </c>
      <c r="F721" s="183">
        <v>1243</v>
      </c>
      <c r="G721" s="184">
        <v>1</v>
      </c>
      <c r="H721" s="158"/>
      <c r="I721" s="154"/>
      <c r="J721" s="154"/>
      <c r="K721" s="154"/>
      <c r="L721" s="154"/>
      <c r="M721" s="154"/>
      <c r="N721" s="154"/>
      <c r="O721" s="154"/>
      <c r="P721" s="154"/>
      <c r="Q721" s="154"/>
      <c r="R721" s="154"/>
      <c r="S721" s="154"/>
      <c r="T721" s="154"/>
      <c r="U721" s="154"/>
      <c r="V721" s="154"/>
      <c r="W721" s="154"/>
      <c r="X721" s="154"/>
      <c r="Y721" s="154"/>
      <c r="Z721" s="154"/>
      <c r="AA721" s="154"/>
    </row>
    <row r="722" spans="1:27" ht="15">
      <c r="A722" s="180">
        <v>45861</v>
      </c>
      <c r="B722" s="181" t="s">
        <v>12970</v>
      </c>
      <c r="C722" s="182" t="s">
        <v>115</v>
      </c>
      <c r="D722" s="182">
        <v>52248</v>
      </c>
      <c r="E722" s="183">
        <v>84</v>
      </c>
      <c r="F722" s="183">
        <v>5749</v>
      </c>
      <c r="G722" s="184">
        <v>8</v>
      </c>
      <c r="H722" s="158"/>
      <c r="I722" s="154"/>
      <c r="J722" s="154"/>
      <c r="K722" s="154"/>
      <c r="L722" s="154"/>
      <c r="M722" s="154"/>
      <c r="N722" s="154"/>
      <c r="O722" s="154"/>
      <c r="P722" s="154"/>
      <c r="Q722" s="154"/>
      <c r="R722" s="154"/>
      <c r="S722" s="154"/>
      <c r="T722" s="154"/>
      <c r="U722" s="154"/>
      <c r="V722" s="154"/>
      <c r="W722" s="154"/>
      <c r="X722" s="154"/>
      <c r="Y722" s="154"/>
      <c r="Z722" s="154"/>
      <c r="AA722" s="154"/>
    </row>
    <row r="723" spans="1:27" ht="15">
      <c r="A723" s="180">
        <v>45861</v>
      </c>
      <c r="B723" s="181" t="s">
        <v>12971</v>
      </c>
      <c r="C723" s="182" t="s">
        <v>115</v>
      </c>
      <c r="D723" s="182">
        <v>37099</v>
      </c>
      <c r="E723" s="183">
        <v>32</v>
      </c>
      <c r="F723" s="183">
        <v>2626</v>
      </c>
      <c r="G723" s="184">
        <v>2</v>
      </c>
      <c r="H723" s="158"/>
      <c r="I723" s="154"/>
      <c r="J723" s="154"/>
      <c r="K723" s="154"/>
      <c r="L723" s="154"/>
      <c r="M723" s="154"/>
      <c r="N723" s="154"/>
      <c r="O723" s="154"/>
      <c r="P723" s="154"/>
      <c r="Q723" s="154"/>
      <c r="R723" s="154"/>
      <c r="S723" s="154"/>
      <c r="T723" s="154"/>
      <c r="U723" s="154"/>
      <c r="V723" s="154"/>
      <c r="W723" s="154"/>
      <c r="X723" s="154"/>
      <c r="Y723" s="154"/>
      <c r="Z723" s="154"/>
      <c r="AA723" s="154"/>
    </row>
    <row r="724" spans="1:27" ht="15">
      <c r="A724" s="180">
        <v>45861</v>
      </c>
      <c r="B724" s="181" t="s">
        <v>12963</v>
      </c>
      <c r="C724" s="182" t="s">
        <v>61</v>
      </c>
      <c r="D724" s="182">
        <v>15405</v>
      </c>
      <c r="E724" s="183">
        <v>14</v>
      </c>
      <c r="F724" s="183">
        <v>1193</v>
      </c>
      <c r="G724" s="184">
        <v>2</v>
      </c>
      <c r="H724" s="158"/>
      <c r="I724" s="154"/>
      <c r="J724" s="154"/>
      <c r="K724" s="154"/>
      <c r="L724" s="154"/>
      <c r="M724" s="154"/>
      <c r="N724" s="154"/>
      <c r="O724" s="154"/>
      <c r="P724" s="154"/>
      <c r="Q724" s="154"/>
      <c r="R724" s="154"/>
      <c r="S724" s="154"/>
      <c r="T724" s="154"/>
      <c r="U724" s="154"/>
      <c r="V724" s="154"/>
      <c r="W724" s="154"/>
      <c r="X724" s="154"/>
      <c r="Y724" s="154"/>
      <c r="Z724" s="154"/>
      <c r="AA724" s="154"/>
    </row>
    <row r="725" spans="1:27" ht="15">
      <c r="A725" s="180">
        <v>45861</v>
      </c>
      <c r="B725" s="181" t="s">
        <v>12964</v>
      </c>
      <c r="C725" s="182" t="s">
        <v>61</v>
      </c>
      <c r="D725" s="182">
        <v>22364</v>
      </c>
      <c r="E725" s="183">
        <v>22</v>
      </c>
      <c r="F725" s="183">
        <v>1403</v>
      </c>
      <c r="G725" s="184">
        <v>1</v>
      </c>
      <c r="H725" s="158"/>
      <c r="I725" s="154"/>
      <c r="J725" s="154"/>
      <c r="K725" s="154"/>
      <c r="L725" s="154"/>
      <c r="M725" s="154"/>
      <c r="N725" s="154"/>
      <c r="O725" s="154"/>
      <c r="P725" s="154"/>
      <c r="Q725" s="154"/>
      <c r="R725" s="154"/>
      <c r="S725" s="154"/>
      <c r="T725" s="154"/>
      <c r="U725" s="154"/>
      <c r="V725" s="154"/>
      <c r="W725" s="154"/>
      <c r="X725" s="154"/>
      <c r="Y725" s="154"/>
      <c r="Z725" s="154"/>
      <c r="AA725" s="154"/>
    </row>
    <row r="726" spans="1:27" ht="15">
      <c r="A726" s="180">
        <v>45861</v>
      </c>
      <c r="B726" s="181" t="s">
        <v>12968</v>
      </c>
      <c r="C726" s="182" t="s">
        <v>61</v>
      </c>
      <c r="D726" s="182">
        <v>6225</v>
      </c>
      <c r="E726" s="183">
        <v>5</v>
      </c>
      <c r="F726" s="183">
        <v>444</v>
      </c>
      <c r="G726" s="184">
        <v>1</v>
      </c>
      <c r="H726" s="158"/>
      <c r="I726" s="154"/>
      <c r="J726" s="154"/>
      <c r="K726" s="154"/>
      <c r="L726" s="154"/>
      <c r="M726" s="154"/>
      <c r="N726" s="154"/>
      <c r="O726" s="154"/>
      <c r="P726" s="154"/>
      <c r="Q726" s="154"/>
      <c r="R726" s="154"/>
      <c r="S726" s="154"/>
      <c r="T726" s="154"/>
      <c r="U726" s="154"/>
      <c r="V726" s="154"/>
      <c r="W726" s="154"/>
      <c r="X726" s="154"/>
      <c r="Y726" s="154"/>
      <c r="Z726" s="154"/>
      <c r="AA726" s="154"/>
    </row>
    <row r="727" spans="1:27" ht="15">
      <c r="A727" s="180">
        <v>45862</v>
      </c>
      <c r="B727" s="181" t="s">
        <v>13004</v>
      </c>
      <c r="C727" s="182" t="s">
        <v>1229</v>
      </c>
      <c r="D727" s="182">
        <v>37</v>
      </c>
      <c r="E727" s="183">
        <v>0</v>
      </c>
      <c r="F727" s="183">
        <v>5</v>
      </c>
      <c r="G727" s="184">
        <v>0</v>
      </c>
      <c r="H727" s="158"/>
      <c r="I727" s="154"/>
      <c r="J727" s="154"/>
      <c r="K727" s="154"/>
      <c r="L727" s="154"/>
      <c r="M727" s="154"/>
      <c r="N727" s="154"/>
      <c r="O727" s="154"/>
      <c r="P727" s="154"/>
      <c r="Q727" s="154"/>
      <c r="R727" s="154"/>
      <c r="S727" s="154"/>
      <c r="T727" s="154"/>
      <c r="U727" s="154"/>
      <c r="V727" s="154"/>
      <c r="W727" s="154"/>
      <c r="X727" s="154"/>
      <c r="Y727" s="154"/>
      <c r="Z727" s="154"/>
      <c r="AA727" s="154"/>
    </row>
    <row r="728" spans="1:27" ht="15">
      <c r="A728" s="180">
        <v>45862</v>
      </c>
      <c r="B728" s="181" t="s">
        <v>13005</v>
      </c>
      <c r="C728" s="182" t="s">
        <v>1229</v>
      </c>
      <c r="D728" s="182">
        <v>1263</v>
      </c>
      <c r="E728" s="183">
        <v>0</v>
      </c>
      <c r="F728" s="183">
        <v>54</v>
      </c>
      <c r="G728" s="184">
        <v>0</v>
      </c>
      <c r="H728" s="158"/>
      <c r="I728" s="154"/>
      <c r="J728" s="154"/>
      <c r="K728" s="154"/>
      <c r="L728" s="154"/>
      <c r="M728" s="154"/>
      <c r="N728" s="154"/>
      <c r="O728" s="154"/>
      <c r="P728" s="154"/>
      <c r="Q728" s="154"/>
      <c r="R728" s="154"/>
      <c r="S728" s="154"/>
      <c r="T728" s="154"/>
      <c r="U728" s="154"/>
      <c r="V728" s="154"/>
      <c r="W728" s="154"/>
      <c r="X728" s="154"/>
      <c r="Y728" s="154"/>
      <c r="Z728" s="154"/>
      <c r="AA728" s="154"/>
    </row>
    <row r="729" spans="1:27" ht="15">
      <c r="A729" s="180">
        <v>45862</v>
      </c>
      <c r="B729" s="181" t="s">
        <v>12992</v>
      </c>
      <c r="C729" s="182" t="s">
        <v>115</v>
      </c>
      <c r="D729" s="182">
        <v>47065</v>
      </c>
      <c r="E729" s="183">
        <v>69</v>
      </c>
      <c r="F729" s="183">
        <v>4074</v>
      </c>
      <c r="G729" s="184">
        <v>24</v>
      </c>
      <c r="H729" s="158"/>
      <c r="I729" s="154"/>
      <c r="J729" s="154"/>
      <c r="K729" s="154"/>
      <c r="L729" s="154"/>
      <c r="M729" s="154"/>
      <c r="N729" s="154"/>
      <c r="O729" s="154"/>
      <c r="P729" s="154"/>
      <c r="Q729" s="154"/>
      <c r="R729" s="154"/>
      <c r="S729" s="154"/>
      <c r="T729" s="154"/>
      <c r="U729" s="154"/>
      <c r="V729" s="154"/>
      <c r="W729" s="154"/>
      <c r="X729" s="154"/>
      <c r="Y729" s="154"/>
      <c r="Z729" s="154"/>
      <c r="AA729" s="154"/>
    </row>
    <row r="730" spans="1:27" ht="15">
      <c r="A730" s="180">
        <v>45862</v>
      </c>
      <c r="B730" s="181" t="s">
        <v>12980</v>
      </c>
      <c r="C730" s="182" t="s">
        <v>115</v>
      </c>
      <c r="D730" s="182">
        <v>26372</v>
      </c>
      <c r="E730" s="183">
        <v>9</v>
      </c>
      <c r="F730" s="183">
        <v>689</v>
      </c>
      <c r="G730" s="184">
        <v>0</v>
      </c>
      <c r="H730" s="158"/>
      <c r="I730" s="154"/>
      <c r="J730" s="154"/>
      <c r="K730" s="154"/>
      <c r="L730" s="154"/>
      <c r="M730" s="154"/>
      <c r="N730" s="154"/>
      <c r="O730" s="154"/>
      <c r="P730" s="154"/>
      <c r="Q730" s="154"/>
      <c r="R730" s="154"/>
      <c r="S730" s="154"/>
      <c r="T730" s="154"/>
      <c r="U730" s="154"/>
      <c r="V730" s="154"/>
      <c r="W730" s="154"/>
      <c r="X730" s="154"/>
      <c r="Y730" s="154"/>
      <c r="Z730" s="154"/>
      <c r="AA730" s="154"/>
    </row>
    <row r="731" spans="1:27" ht="15">
      <c r="A731" s="180">
        <v>45862</v>
      </c>
      <c r="B731" s="181" t="s">
        <v>12981</v>
      </c>
      <c r="C731" s="182" t="s">
        <v>115</v>
      </c>
      <c r="D731" s="182">
        <v>12092</v>
      </c>
      <c r="E731" s="183">
        <v>14</v>
      </c>
      <c r="F731" s="183">
        <v>916</v>
      </c>
      <c r="G731" s="184">
        <v>1</v>
      </c>
      <c r="H731" s="158"/>
      <c r="I731" s="154"/>
      <c r="J731" s="154"/>
      <c r="K731" s="154"/>
      <c r="L731" s="154"/>
      <c r="M731" s="154"/>
      <c r="N731" s="154"/>
      <c r="O731" s="154"/>
      <c r="P731" s="154"/>
      <c r="Q731" s="154"/>
      <c r="R731" s="154"/>
      <c r="S731" s="154"/>
      <c r="T731" s="154"/>
      <c r="U731" s="154"/>
      <c r="V731" s="154"/>
      <c r="W731" s="154"/>
      <c r="X731" s="154"/>
      <c r="Y731" s="154"/>
      <c r="Z731" s="154"/>
      <c r="AA731" s="154"/>
    </row>
    <row r="732" spans="1:27" ht="15">
      <c r="A732" s="180">
        <v>45862</v>
      </c>
      <c r="B732" s="181" t="s">
        <v>12982</v>
      </c>
      <c r="C732" s="182" t="s">
        <v>61</v>
      </c>
      <c r="D732" s="182">
        <v>7632</v>
      </c>
      <c r="E732" s="183">
        <v>8</v>
      </c>
      <c r="F732" s="183">
        <v>321</v>
      </c>
      <c r="G732" s="184">
        <v>0</v>
      </c>
      <c r="H732" s="158"/>
      <c r="I732" s="154"/>
      <c r="J732" s="154"/>
      <c r="K732" s="154"/>
      <c r="L732" s="154"/>
      <c r="M732" s="154"/>
      <c r="N732" s="154"/>
      <c r="O732" s="154"/>
      <c r="P732" s="154"/>
      <c r="Q732" s="154"/>
      <c r="R732" s="154"/>
      <c r="S732" s="154"/>
      <c r="T732" s="154"/>
      <c r="U732" s="154"/>
      <c r="V732" s="154"/>
      <c r="W732" s="154"/>
      <c r="X732" s="154"/>
      <c r="Y732" s="154"/>
      <c r="Z732" s="154"/>
      <c r="AA732" s="154"/>
    </row>
    <row r="733" spans="1:27" ht="15">
      <c r="A733" s="180">
        <v>45862</v>
      </c>
      <c r="B733" s="181" t="s">
        <v>13006</v>
      </c>
      <c r="C733" s="182" t="s">
        <v>1229</v>
      </c>
      <c r="D733" s="182">
        <v>842</v>
      </c>
      <c r="E733" s="183">
        <v>0</v>
      </c>
      <c r="F733" s="183">
        <v>53</v>
      </c>
      <c r="G733" s="184">
        <v>0</v>
      </c>
      <c r="H733" s="158"/>
      <c r="I733" s="154"/>
      <c r="J733" s="154"/>
      <c r="K733" s="154"/>
      <c r="L733" s="154"/>
      <c r="M733" s="154"/>
      <c r="N733" s="154"/>
      <c r="O733" s="154"/>
      <c r="P733" s="154"/>
      <c r="Q733" s="154"/>
      <c r="R733" s="154"/>
      <c r="S733" s="154"/>
      <c r="T733" s="154"/>
      <c r="U733" s="154"/>
      <c r="V733" s="154"/>
      <c r="W733" s="154"/>
      <c r="X733" s="154"/>
      <c r="Y733" s="154"/>
      <c r="Z733" s="154"/>
      <c r="AA733" s="154"/>
    </row>
    <row r="734" spans="1:27" ht="15">
      <c r="A734" s="180">
        <v>45862</v>
      </c>
      <c r="B734" s="181" t="s">
        <v>13007</v>
      </c>
      <c r="C734" s="182" t="s">
        <v>1229</v>
      </c>
      <c r="D734" s="182">
        <v>277</v>
      </c>
      <c r="E734" s="183">
        <v>0</v>
      </c>
      <c r="F734" s="183">
        <v>24</v>
      </c>
      <c r="G734" s="184">
        <v>0</v>
      </c>
      <c r="H734" s="158"/>
      <c r="I734" s="154"/>
      <c r="J734" s="154"/>
      <c r="K734" s="154"/>
      <c r="L734" s="154"/>
      <c r="M734" s="154"/>
      <c r="N734" s="154"/>
      <c r="O734" s="154"/>
      <c r="P734" s="154"/>
      <c r="Q734" s="154"/>
      <c r="R734" s="154"/>
      <c r="S734" s="154"/>
      <c r="T734" s="154"/>
      <c r="U734" s="154"/>
      <c r="V734" s="154"/>
      <c r="W734" s="154"/>
      <c r="X734" s="154"/>
      <c r="Y734" s="154"/>
      <c r="Z734" s="154"/>
      <c r="AA734" s="154"/>
    </row>
    <row r="735" spans="1:27" ht="15">
      <c r="A735" s="180">
        <v>45862</v>
      </c>
      <c r="B735" s="181" t="s">
        <v>12969</v>
      </c>
      <c r="C735" s="182" t="s">
        <v>115</v>
      </c>
      <c r="D735" s="182">
        <v>20489</v>
      </c>
      <c r="E735" s="183">
        <v>18</v>
      </c>
      <c r="F735" s="183">
        <v>1150</v>
      </c>
      <c r="G735" s="184">
        <v>2</v>
      </c>
      <c r="H735" s="158"/>
      <c r="I735" s="154"/>
      <c r="J735" s="154"/>
      <c r="K735" s="154"/>
      <c r="L735" s="154"/>
      <c r="M735" s="154"/>
      <c r="N735" s="154"/>
      <c r="O735" s="154"/>
      <c r="P735" s="154"/>
      <c r="Q735" s="154"/>
      <c r="R735" s="154"/>
      <c r="S735" s="154"/>
      <c r="T735" s="154"/>
      <c r="U735" s="154"/>
      <c r="V735" s="154"/>
      <c r="W735" s="154"/>
      <c r="X735" s="154"/>
      <c r="Y735" s="154"/>
      <c r="Z735" s="154"/>
      <c r="AA735" s="154"/>
    </row>
    <row r="736" spans="1:27" ht="15">
      <c r="A736" s="180">
        <v>45862</v>
      </c>
      <c r="B736" s="181" t="s">
        <v>12970</v>
      </c>
      <c r="C736" s="182" t="s">
        <v>115</v>
      </c>
      <c r="D736" s="182">
        <v>11159</v>
      </c>
      <c r="E736" s="183">
        <v>16</v>
      </c>
      <c r="F736" s="183">
        <v>1219</v>
      </c>
      <c r="G736" s="184">
        <v>0</v>
      </c>
      <c r="H736" s="158"/>
      <c r="I736" s="154"/>
      <c r="J736" s="154"/>
      <c r="K736" s="154"/>
      <c r="L736" s="154"/>
      <c r="M736" s="154"/>
      <c r="N736" s="154"/>
      <c r="O736" s="154"/>
      <c r="P736" s="154"/>
      <c r="Q736" s="154"/>
      <c r="R736" s="154"/>
      <c r="S736" s="154"/>
      <c r="T736" s="154"/>
      <c r="U736" s="154"/>
      <c r="V736" s="154"/>
      <c r="W736" s="154"/>
      <c r="X736" s="154"/>
      <c r="Y736" s="154"/>
      <c r="Z736" s="154"/>
      <c r="AA736" s="154"/>
    </row>
    <row r="737" spans="1:27" ht="15">
      <c r="A737" s="180">
        <v>45862</v>
      </c>
      <c r="B737" s="181" t="s">
        <v>12971</v>
      </c>
      <c r="C737" s="182" t="s">
        <v>115</v>
      </c>
      <c r="D737" s="182">
        <v>27840</v>
      </c>
      <c r="E737" s="183">
        <v>36</v>
      </c>
      <c r="F737" s="183">
        <v>2376</v>
      </c>
      <c r="G737" s="184">
        <v>2</v>
      </c>
      <c r="H737" s="158"/>
      <c r="I737" s="154"/>
      <c r="J737" s="154"/>
      <c r="K737" s="154"/>
      <c r="L737" s="154"/>
      <c r="M737" s="154"/>
      <c r="N737" s="154"/>
      <c r="O737" s="154"/>
      <c r="P737" s="154"/>
      <c r="Q737" s="154"/>
      <c r="R737" s="154"/>
      <c r="S737" s="154"/>
      <c r="T737" s="154"/>
      <c r="U737" s="154"/>
      <c r="V737" s="154"/>
      <c r="W737" s="154"/>
      <c r="X737" s="154"/>
      <c r="Y737" s="154"/>
      <c r="Z737" s="154"/>
      <c r="AA737" s="154"/>
    </row>
    <row r="738" spans="1:27" ht="15">
      <c r="A738" s="180">
        <v>45862</v>
      </c>
      <c r="B738" s="181" t="s">
        <v>12963</v>
      </c>
      <c r="C738" s="182" t="s">
        <v>61</v>
      </c>
      <c r="D738" s="182">
        <v>70923</v>
      </c>
      <c r="E738" s="183">
        <v>107</v>
      </c>
      <c r="F738" s="183">
        <v>5341</v>
      </c>
      <c r="G738" s="184">
        <v>21</v>
      </c>
      <c r="H738" s="158"/>
      <c r="I738" s="154"/>
      <c r="J738" s="154"/>
      <c r="K738" s="154"/>
      <c r="L738" s="154"/>
      <c r="M738" s="154"/>
      <c r="N738" s="154"/>
      <c r="O738" s="154"/>
      <c r="P738" s="154"/>
      <c r="Q738" s="154"/>
      <c r="R738" s="154"/>
      <c r="S738" s="154"/>
      <c r="T738" s="154"/>
      <c r="U738" s="154"/>
      <c r="V738" s="154"/>
      <c r="W738" s="154"/>
      <c r="X738" s="154"/>
      <c r="Y738" s="154"/>
      <c r="Z738" s="154"/>
      <c r="AA738" s="154"/>
    </row>
    <row r="739" spans="1:27" ht="15">
      <c r="A739" s="180">
        <v>45862</v>
      </c>
      <c r="B739" s="181" t="s">
        <v>12964</v>
      </c>
      <c r="C739" s="182" t="s">
        <v>61</v>
      </c>
      <c r="D739" s="182">
        <v>17113</v>
      </c>
      <c r="E739" s="183">
        <v>16</v>
      </c>
      <c r="F739" s="183">
        <v>1387</v>
      </c>
      <c r="G739" s="184">
        <v>1</v>
      </c>
      <c r="H739" s="158"/>
      <c r="I739" s="154"/>
      <c r="J739" s="154"/>
      <c r="K739" s="154"/>
      <c r="L739" s="154"/>
      <c r="M739" s="154"/>
      <c r="N739" s="154"/>
      <c r="O739" s="154"/>
      <c r="P739" s="154"/>
      <c r="Q739" s="154"/>
      <c r="R739" s="154"/>
      <c r="S739" s="154"/>
      <c r="T739" s="154"/>
      <c r="U739" s="154"/>
      <c r="V739" s="154"/>
      <c r="W739" s="154"/>
      <c r="X739" s="154"/>
      <c r="Y739" s="154"/>
      <c r="Z739" s="154"/>
      <c r="AA739" s="154"/>
    </row>
    <row r="740" spans="1:27" ht="15">
      <c r="A740" s="180">
        <v>45862</v>
      </c>
      <c r="B740" s="181" t="s">
        <v>12968</v>
      </c>
      <c r="C740" s="182" t="s">
        <v>61</v>
      </c>
      <c r="D740" s="182">
        <v>11415</v>
      </c>
      <c r="E740" s="183">
        <v>14</v>
      </c>
      <c r="F740" s="183">
        <v>1122</v>
      </c>
      <c r="G740" s="184">
        <v>2</v>
      </c>
      <c r="H740" s="158"/>
      <c r="I740" s="154"/>
      <c r="J740" s="154"/>
      <c r="K740" s="154"/>
      <c r="L740" s="154"/>
      <c r="M740" s="154"/>
      <c r="N740" s="154"/>
      <c r="O740" s="154"/>
      <c r="P740" s="154"/>
      <c r="Q740" s="154"/>
      <c r="R740" s="154"/>
      <c r="S740" s="154"/>
      <c r="T740" s="154"/>
      <c r="U740" s="154"/>
      <c r="V740" s="154"/>
      <c r="W740" s="154"/>
      <c r="X740" s="154"/>
      <c r="Y740" s="154"/>
      <c r="Z740" s="154"/>
      <c r="AA740" s="154"/>
    </row>
    <row r="741" spans="1:27" ht="15">
      <c r="A741" s="180">
        <v>45863</v>
      </c>
      <c r="B741" s="181" t="s">
        <v>12992</v>
      </c>
      <c r="C741" s="182" t="s">
        <v>115</v>
      </c>
      <c r="D741" s="182">
        <v>5662</v>
      </c>
      <c r="E741" s="183">
        <v>8</v>
      </c>
      <c r="F741" s="183">
        <v>335</v>
      </c>
      <c r="G741" s="184">
        <v>1</v>
      </c>
      <c r="H741" s="158"/>
      <c r="I741" s="154"/>
      <c r="J741" s="154"/>
      <c r="K741" s="154"/>
      <c r="L741" s="154"/>
      <c r="M741" s="154"/>
      <c r="N741" s="154"/>
      <c r="O741" s="154"/>
      <c r="P741" s="154"/>
      <c r="Q741" s="154"/>
      <c r="R741" s="154"/>
      <c r="S741" s="154"/>
      <c r="T741" s="154"/>
      <c r="U741" s="154"/>
      <c r="V741" s="154"/>
      <c r="W741" s="154"/>
      <c r="X741" s="154"/>
      <c r="Y741" s="154"/>
      <c r="Z741" s="154"/>
      <c r="AA741" s="154"/>
    </row>
    <row r="742" spans="1:27" ht="15">
      <c r="A742" s="180">
        <v>45863</v>
      </c>
      <c r="B742" s="181" t="s">
        <v>12980</v>
      </c>
      <c r="C742" s="182" t="s">
        <v>115</v>
      </c>
      <c r="D742" s="182">
        <v>104974</v>
      </c>
      <c r="E742" s="183">
        <v>111</v>
      </c>
      <c r="F742" s="183">
        <v>5057</v>
      </c>
      <c r="G742" s="184">
        <v>19</v>
      </c>
      <c r="H742" s="158"/>
      <c r="I742" s="154"/>
      <c r="J742" s="154"/>
      <c r="K742" s="154"/>
      <c r="L742" s="154"/>
      <c r="M742" s="154"/>
      <c r="N742" s="154"/>
      <c r="O742" s="154"/>
      <c r="P742" s="154"/>
      <c r="Q742" s="154"/>
      <c r="R742" s="154"/>
      <c r="S742" s="154"/>
      <c r="T742" s="154"/>
      <c r="U742" s="154"/>
      <c r="V742" s="154"/>
      <c r="W742" s="154"/>
      <c r="X742" s="154"/>
      <c r="Y742" s="154"/>
      <c r="Z742" s="154"/>
      <c r="AA742" s="154"/>
    </row>
    <row r="743" spans="1:27" ht="15">
      <c r="A743" s="180">
        <v>45863</v>
      </c>
      <c r="B743" s="181" t="s">
        <v>12981</v>
      </c>
      <c r="C743" s="182" t="s">
        <v>115</v>
      </c>
      <c r="D743" s="182">
        <v>45442</v>
      </c>
      <c r="E743" s="183">
        <v>33</v>
      </c>
      <c r="F743" s="183">
        <v>2340</v>
      </c>
      <c r="G743" s="184">
        <v>5</v>
      </c>
      <c r="H743" s="158"/>
      <c r="I743" s="154"/>
      <c r="J743" s="154"/>
      <c r="K743" s="154"/>
      <c r="L743" s="154"/>
      <c r="M743" s="154"/>
      <c r="N743" s="154"/>
      <c r="O743" s="154"/>
      <c r="P743" s="154"/>
      <c r="Q743" s="154"/>
      <c r="R743" s="154"/>
      <c r="S743" s="154"/>
      <c r="T743" s="154"/>
      <c r="U743" s="154"/>
      <c r="V743" s="154"/>
      <c r="W743" s="154"/>
      <c r="X743" s="154"/>
      <c r="Y743" s="154"/>
      <c r="Z743" s="154"/>
      <c r="AA743" s="154"/>
    </row>
    <row r="744" spans="1:27" ht="15">
      <c r="A744" s="180">
        <v>45863</v>
      </c>
      <c r="B744" s="181" t="s">
        <v>12982</v>
      </c>
      <c r="C744" s="182" t="s">
        <v>61</v>
      </c>
      <c r="D744" s="182">
        <v>24306</v>
      </c>
      <c r="E744" s="183">
        <v>9</v>
      </c>
      <c r="F744" s="183">
        <v>697</v>
      </c>
      <c r="G744" s="184">
        <v>0</v>
      </c>
      <c r="H744" s="158"/>
      <c r="I744" s="154"/>
      <c r="J744" s="154"/>
      <c r="K744" s="154"/>
      <c r="L744" s="154"/>
      <c r="M744" s="154"/>
      <c r="N744" s="154"/>
      <c r="O744" s="154"/>
      <c r="P744" s="154"/>
      <c r="Q744" s="154"/>
      <c r="R744" s="154"/>
      <c r="S744" s="154"/>
      <c r="T744" s="154"/>
      <c r="U744" s="154"/>
      <c r="V744" s="154"/>
      <c r="W744" s="154"/>
      <c r="X744" s="154"/>
      <c r="Y744" s="154"/>
      <c r="Z744" s="154"/>
      <c r="AA744" s="154"/>
    </row>
    <row r="745" spans="1:27" ht="15">
      <c r="A745" s="180">
        <v>45863</v>
      </c>
      <c r="B745" s="181" t="s">
        <v>12969</v>
      </c>
      <c r="C745" s="182" t="s">
        <v>115</v>
      </c>
      <c r="D745" s="182">
        <v>20700</v>
      </c>
      <c r="E745" s="183">
        <v>18</v>
      </c>
      <c r="F745" s="183">
        <v>2145</v>
      </c>
      <c r="G745" s="184">
        <v>0</v>
      </c>
      <c r="H745" s="158"/>
      <c r="I745" s="154"/>
      <c r="J745" s="154"/>
      <c r="K745" s="154"/>
      <c r="L745" s="154"/>
      <c r="M745" s="154"/>
      <c r="N745" s="154"/>
      <c r="O745" s="154"/>
      <c r="P745" s="154"/>
      <c r="Q745" s="154"/>
      <c r="R745" s="154"/>
      <c r="S745" s="154"/>
      <c r="T745" s="154"/>
      <c r="U745" s="154"/>
      <c r="V745" s="154"/>
      <c r="W745" s="154"/>
      <c r="X745" s="154"/>
      <c r="Y745" s="154"/>
      <c r="Z745" s="154"/>
      <c r="AA745" s="154"/>
    </row>
    <row r="746" spans="1:27" ht="15">
      <c r="A746" s="180">
        <v>45863</v>
      </c>
      <c r="B746" s="181" t="s">
        <v>12970</v>
      </c>
      <c r="C746" s="182" t="s">
        <v>115</v>
      </c>
      <c r="D746" s="182">
        <v>10889</v>
      </c>
      <c r="E746" s="183">
        <v>13</v>
      </c>
      <c r="F746" s="183">
        <v>1029</v>
      </c>
      <c r="G746" s="184">
        <v>1</v>
      </c>
      <c r="H746" s="158"/>
      <c r="I746" s="154"/>
      <c r="J746" s="154"/>
      <c r="K746" s="154"/>
      <c r="L746" s="154"/>
      <c r="M746" s="154"/>
      <c r="N746" s="154"/>
      <c r="O746" s="154"/>
      <c r="P746" s="154"/>
      <c r="Q746" s="154"/>
      <c r="R746" s="154"/>
      <c r="S746" s="154"/>
      <c r="T746" s="154"/>
      <c r="U746" s="154"/>
      <c r="V746" s="154"/>
      <c r="W746" s="154"/>
      <c r="X746" s="154"/>
      <c r="Y746" s="154"/>
      <c r="Z746" s="154"/>
      <c r="AA746" s="154"/>
    </row>
    <row r="747" spans="1:27" ht="15">
      <c r="A747" s="180">
        <v>45863</v>
      </c>
      <c r="B747" s="181" t="s">
        <v>12971</v>
      </c>
      <c r="C747" s="182" t="s">
        <v>115</v>
      </c>
      <c r="D747" s="182">
        <v>6257</v>
      </c>
      <c r="E747" s="183">
        <v>9</v>
      </c>
      <c r="F747" s="183">
        <v>740</v>
      </c>
      <c r="G747" s="184">
        <v>1</v>
      </c>
      <c r="H747" s="158"/>
      <c r="I747" s="154"/>
      <c r="J747" s="154"/>
      <c r="K747" s="154"/>
      <c r="L747" s="154"/>
      <c r="M747" s="154"/>
      <c r="N747" s="154"/>
      <c r="O747" s="154"/>
      <c r="P747" s="154"/>
      <c r="Q747" s="154"/>
      <c r="R747" s="154"/>
      <c r="S747" s="154"/>
      <c r="T747" s="154"/>
      <c r="U747" s="154"/>
      <c r="V747" s="154"/>
      <c r="W747" s="154"/>
      <c r="X747" s="154"/>
      <c r="Y747" s="154"/>
      <c r="Z747" s="154"/>
      <c r="AA747" s="154"/>
    </row>
    <row r="748" spans="1:27" ht="15">
      <c r="A748" s="180">
        <v>45863</v>
      </c>
      <c r="B748" s="181" t="s">
        <v>12963</v>
      </c>
      <c r="C748" s="182" t="s">
        <v>61</v>
      </c>
      <c r="D748" s="182">
        <v>6366</v>
      </c>
      <c r="E748" s="183">
        <v>3</v>
      </c>
      <c r="F748" s="183">
        <v>439</v>
      </c>
      <c r="G748" s="184">
        <v>1</v>
      </c>
      <c r="H748" s="158"/>
      <c r="I748" s="154"/>
      <c r="J748" s="154"/>
      <c r="K748" s="154"/>
      <c r="L748" s="154"/>
      <c r="M748" s="154"/>
      <c r="N748" s="154"/>
      <c r="O748" s="154"/>
      <c r="P748" s="154"/>
      <c r="Q748" s="154"/>
      <c r="R748" s="154"/>
      <c r="S748" s="154"/>
      <c r="T748" s="154"/>
      <c r="U748" s="154"/>
      <c r="V748" s="154"/>
      <c r="W748" s="154"/>
      <c r="X748" s="154"/>
      <c r="Y748" s="154"/>
      <c r="Z748" s="154"/>
      <c r="AA748" s="154"/>
    </row>
    <row r="749" spans="1:27" ht="15">
      <c r="A749" s="180">
        <v>45863</v>
      </c>
      <c r="B749" s="181" t="s">
        <v>12964</v>
      </c>
      <c r="C749" s="182" t="s">
        <v>61</v>
      </c>
      <c r="D749" s="182">
        <v>16623</v>
      </c>
      <c r="E749" s="183">
        <v>14</v>
      </c>
      <c r="F749" s="183">
        <v>1340</v>
      </c>
      <c r="G749" s="184">
        <v>2</v>
      </c>
      <c r="H749" s="158"/>
      <c r="I749" s="154"/>
      <c r="J749" s="154"/>
      <c r="K749" s="154"/>
      <c r="L749" s="154"/>
      <c r="M749" s="154"/>
      <c r="N749" s="154"/>
      <c r="O749" s="154"/>
      <c r="P749" s="154"/>
      <c r="Q749" s="154"/>
      <c r="R749" s="154"/>
      <c r="S749" s="154"/>
      <c r="T749" s="154"/>
      <c r="U749" s="154"/>
      <c r="V749" s="154"/>
      <c r="W749" s="154"/>
      <c r="X749" s="154"/>
      <c r="Y749" s="154"/>
      <c r="Z749" s="154"/>
      <c r="AA749" s="154"/>
    </row>
    <row r="750" spans="1:27" ht="15">
      <c r="A750" s="180">
        <v>45863</v>
      </c>
      <c r="B750" s="181" t="s">
        <v>12968</v>
      </c>
      <c r="C750" s="182" t="s">
        <v>61</v>
      </c>
      <c r="D750" s="182">
        <v>6220</v>
      </c>
      <c r="E750" s="183">
        <v>5</v>
      </c>
      <c r="F750" s="183">
        <v>615</v>
      </c>
      <c r="G750" s="184">
        <v>1</v>
      </c>
      <c r="H750" s="158"/>
      <c r="I750" s="154"/>
      <c r="J750" s="154"/>
      <c r="K750" s="154"/>
      <c r="L750" s="154"/>
      <c r="M750" s="154"/>
      <c r="N750" s="154"/>
      <c r="O750" s="154"/>
      <c r="P750" s="154"/>
      <c r="Q750" s="154"/>
      <c r="R750" s="154"/>
      <c r="S750" s="154"/>
      <c r="T750" s="154"/>
      <c r="U750" s="154"/>
      <c r="V750" s="154"/>
      <c r="W750" s="154"/>
      <c r="X750" s="154"/>
      <c r="Y750" s="154"/>
      <c r="Z750" s="154"/>
      <c r="AA750" s="154"/>
    </row>
    <row r="751" spans="1:27" ht="15">
      <c r="A751" s="180">
        <v>45864</v>
      </c>
      <c r="B751" s="181" t="s">
        <v>12992</v>
      </c>
      <c r="C751" s="182" t="s">
        <v>115</v>
      </c>
      <c r="D751" s="182">
        <v>21675</v>
      </c>
      <c r="E751" s="183">
        <v>8</v>
      </c>
      <c r="F751" s="183">
        <v>1035</v>
      </c>
      <c r="G751" s="184">
        <v>1</v>
      </c>
      <c r="H751" s="158"/>
      <c r="I751" s="154"/>
      <c r="J751" s="154"/>
      <c r="K751" s="154"/>
      <c r="L751" s="154"/>
      <c r="M751" s="154"/>
      <c r="N751" s="154"/>
      <c r="O751" s="154"/>
      <c r="P751" s="154"/>
      <c r="Q751" s="154"/>
      <c r="R751" s="154"/>
      <c r="S751" s="154"/>
      <c r="T751" s="154"/>
      <c r="U751" s="154"/>
      <c r="V751" s="154"/>
      <c r="W751" s="154"/>
      <c r="X751" s="154"/>
      <c r="Y751" s="154"/>
      <c r="Z751" s="154"/>
      <c r="AA751" s="154"/>
    </row>
    <row r="752" spans="1:27" ht="15">
      <c r="A752" s="180">
        <v>45864</v>
      </c>
      <c r="B752" s="181" t="s">
        <v>12980</v>
      </c>
      <c r="C752" s="182" t="s">
        <v>115</v>
      </c>
      <c r="D752" s="182">
        <v>9897</v>
      </c>
      <c r="E752" s="183">
        <v>1</v>
      </c>
      <c r="F752" s="183">
        <v>377</v>
      </c>
      <c r="G752" s="184">
        <v>1</v>
      </c>
      <c r="H752" s="158"/>
      <c r="I752" s="154"/>
      <c r="J752" s="154"/>
      <c r="K752" s="154"/>
      <c r="L752" s="154"/>
      <c r="M752" s="154"/>
      <c r="N752" s="154"/>
      <c r="O752" s="154"/>
      <c r="P752" s="154"/>
      <c r="Q752" s="154"/>
      <c r="R752" s="154"/>
      <c r="S752" s="154"/>
      <c r="T752" s="154"/>
      <c r="U752" s="154"/>
      <c r="V752" s="154"/>
      <c r="W752" s="154"/>
      <c r="X752" s="154"/>
      <c r="Y752" s="154"/>
      <c r="Z752" s="154"/>
      <c r="AA752" s="154"/>
    </row>
    <row r="753" spans="1:27" ht="15">
      <c r="A753" s="180">
        <v>45864</v>
      </c>
      <c r="B753" s="181" t="s">
        <v>12981</v>
      </c>
      <c r="C753" s="182" t="s">
        <v>115</v>
      </c>
      <c r="D753" s="182">
        <v>26466</v>
      </c>
      <c r="E753" s="183">
        <v>13</v>
      </c>
      <c r="F753" s="183">
        <v>1407</v>
      </c>
      <c r="G753" s="184">
        <v>1</v>
      </c>
      <c r="H753" s="158"/>
      <c r="I753" s="154"/>
      <c r="J753" s="154"/>
      <c r="K753" s="154"/>
      <c r="L753" s="154"/>
      <c r="M753" s="154"/>
      <c r="N753" s="154"/>
      <c r="O753" s="154"/>
      <c r="P753" s="154"/>
      <c r="Q753" s="154"/>
      <c r="R753" s="154"/>
      <c r="S753" s="154"/>
      <c r="T753" s="154"/>
      <c r="U753" s="154"/>
      <c r="V753" s="154"/>
      <c r="W753" s="154"/>
      <c r="X753" s="154"/>
      <c r="Y753" s="154"/>
      <c r="Z753" s="154"/>
      <c r="AA753" s="154"/>
    </row>
    <row r="754" spans="1:27" ht="15">
      <c r="A754" s="180">
        <v>45864</v>
      </c>
      <c r="B754" s="181" t="s">
        <v>12982</v>
      </c>
      <c r="C754" s="182" t="s">
        <v>61</v>
      </c>
      <c r="D754" s="182">
        <v>9218</v>
      </c>
      <c r="E754" s="183">
        <v>5</v>
      </c>
      <c r="F754" s="183">
        <v>226</v>
      </c>
      <c r="G754" s="184">
        <v>1</v>
      </c>
      <c r="H754" s="158"/>
      <c r="I754" s="154"/>
      <c r="J754" s="154"/>
      <c r="K754" s="154"/>
      <c r="L754" s="154"/>
      <c r="M754" s="154"/>
      <c r="N754" s="154"/>
      <c r="O754" s="154"/>
      <c r="P754" s="154"/>
      <c r="Q754" s="154"/>
      <c r="R754" s="154"/>
      <c r="S754" s="154"/>
      <c r="T754" s="154"/>
      <c r="U754" s="154"/>
      <c r="V754" s="154"/>
      <c r="W754" s="154"/>
      <c r="X754" s="154"/>
      <c r="Y754" s="154"/>
      <c r="Z754" s="154"/>
      <c r="AA754" s="154"/>
    </row>
    <row r="755" spans="1:27" ht="15">
      <c r="A755" s="180">
        <v>45864</v>
      </c>
      <c r="B755" s="181" t="s">
        <v>12969</v>
      </c>
      <c r="C755" s="182" t="s">
        <v>115</v>
      </c>
      <c r="D755" s="182">
        <v>10231</v>
      </c>
      <c r="E755" s="183">
        <v>9</v>
      </c>
      <c r="F755" s="183">
        <v>1029</v>
      </c>
      <c r="G755" s="184">
        <v>1</v>
      </c>
      <c r="H755" s="158"/>
      <c r="I755" s="154"/>
      <c r="J755" s="154"/>
      <c r="K755" s="154"/>
      <c r="L755" s="154"/>
      <c r="M755" s="154"/>
      <c r="N755" s="154"/>
      <c r="O755" s="154"/>
      <c r="P755" s="154"/>
      <c r="Q755" s="154"/>
      <c r="R755" s="154"/>
      <c r="S755" s="154"/>
      <c r="T755" s="154"/>
      <c r="U755" s="154"/>
      <c r="V755" s="154"/>
      <c r="W755" s="154"/>
      <c r="X755" s="154"/>
      <c r="Y755" s="154"/>
      <c r="Z755" s="154"/>
      <c r="AA755" s="154"/>
    </row>
    <row r="756" spans="1:27" ht="15">
      <c r="A756" s="180">
        <v>45864</v>
      </c>
      <c r="B756" s="181" t="s">
        <v>12970</v>
      </c>
      <c r="C756" s="182" t="s">
        <v>115</v>
      </c>
      <c r="D756" s="182">
        <v>19745</v>
      </c>
      <c r="E756" s="183">
        <v>5</v>
      </c>
      <c r="F756" s="183">
        <v>1248</v>
      </c>
      <c r="G756" s="184">
        <v>1</v>
      </c>
      <c r="H756" s="158"/>
      <c r="I756" s="154"/>
      <c r="J756" s="154"/>
      <c r="K756" s="154"/>
      <c r="L756" s="154"/>
      <c r="M756" s="154"/>
      <c r="N756" s="154"/>
      <c r="O756" s="154"/>
      <c r="P756" s="154"/>
      <c r="Q756" s="154"/>
      <c r="R756" s="154"/>
      <c r="S756" s="154"/>
      <c r="T756" s="154"/>
      <c r="U756" s="154"/>
      <c r="V756" s="154"/>
      <c r="W756" s="154"/>
      <c r="X756" s="154"/>
      <c r="Y756" s="154"/>
      <c r="Z756" s="154"/>
      <c r="AA756" s="154"/>
    </row>
    <row r="757" spans="1:27" ht="15">
      <c r="A757" s="180">
        <v>45864</v>
      </c>
      <c r="B757" s="181" t="s">
        <v>12971</v>
      </c>
      <c r="C757" s="182" t="s">
        <v>115</v>
      </c>
      <c r="D757" s="182">
        <v>24234</v>
      </c>
      <c r="E757" s="183">
        <v>10</v>
      </c>
      <c r="F757" s="183">
        <v>1264</v>
      </c>
      <c r="G757" s="184">
        <v>0</v>
      </c>
      <c r="H757" s="158"/>
      <c r="I757" s="154"/>
      <c r="J757" s="154"/>
      <c r="K757" s="154"/>
      <c r="L757" s="154"/>
      <c r="M757" s="154"/>
      <c r="N757" s="154"/>
      <c r="O757" s="154"/>
      <c r="P757" s="154"/>
      <c r="Q757" s="154"/>
      <c r="R757" s="154"/>
      <c r="S757" s="154"/>
      <c r="T757" s="154"/>
      <c r="U757" s="154"/>
      <c r="V757" s="154"/>
      <c r="W757" s="154"/>
      <c r="X757" s="154"/>
      <c r="Y757" s="154"/>
      <c r="Z757" s="154"/>
      <c r="AA757" s="154"/>
    </row>
    <row r="758" spans="1:27" ht="15">
      <c r="A758" s="180">
        <v>45864</v>
      </c>
      <c r="B758" s="181" t="s">
        <v>12963</v>
      </c>
      <c r="C758" s="182" t="s">
        <v>61</v>
      </c>
      <c r="D758" s="182">
        <v>27154</v>
      </c>
      <c r="E758" s="183">
        <v>18</v>
      </c>
      <c r="F758" s="183">
        <v>1581</v>
      </c>
      <c r="G758" s="184">
        <v>1</v>
      </c>
      <c r="H758" s="158"/>
      <c r="I758" s="154"/>
      <c r="J758" s="154"/>
      <c r="K758" s="154"/>
      <c r="L758" s="154"/>
      <c r="M758" s="154"/>
      <c r="N758" s="154"/>
      <c r="O758" s="154"/>
      <c r="P758" s="154"/>
      <c r="Q758" s="154"/>
      <c r="R758" s="154"/>
      <c r="S758" s="154"/>
      <c r="T758" s="154"/>
      <c r="U758" s="154"/>
      <c r="V758" s="154"/>
      <c r="W758" s="154"/>
      <c r="X758" s="154"/>
      <c r="Y758" s="154"/>
      <c r="Z758" s="154"/>
      <c r="AA758" s="154"/>
    </row>
    <row r="759" spans="1:27" ht="15">
      <c r="A759" s="180">
        <v>45864</v>
      </c>
      <c r="B759" s="181" t="s">
        <v>12964</v>
      </c>
      <c r="C759" s="182" t="s">
        <v>61</v>
      </c>
      <c r="D759" s="182">
        <v>7799</v>
      </c>
      <c r="E759" s="183">
        <v>7</v>
      </c>
      <c r="F759" s="183">
        <v>500</v>
      </c>
      <c r="G759" s="184">
        <v>1</v>
      </c>
      <c r="H759" s="158"/>
      <c r="I759" s="154"/>
      <c r="J759" s="154"/>
      <c r="K759" s="154"/>
      <c r="L759" s="154"/>
      <c r="M759" s="154"/>
      <c r="N759" s="154"/>
      <c r="O759" s="154"/>
      <c r="P759" s="154"/>
      <c r="Q759" s="154"/>
      <c r="R759" s="154"/>
      <c r="S759" s="154"/>
      <c r="T759" s="154"/>
      <c r="U759" s="154"/>
      <c r="V759" s="154"/>
      <c r="W759" s="154"/>
      <c r="X759" s="154"/>
      <c r="Y759" s="154"/>
      <c r="Z759" s="154"/>
      <c r="AA759" s="154"/>
    </row>
    <row r="760" spans="1:27" ht="15">
      <c r="A760" s="180">
        <v>45864</v>
      </c>
      <c r="B760" s="181" t="s">
        <v>12968</v>
      </c>
      <c r="C760" s="182" t="s">
        <v>61</v>
      </c>
      <c r="D760" s="182">
        <v>28187</v>
      </c>
      <c r="E760" s="183">
        <v>19</v>
      </c>
      <c r="F760" s="183">
        <v>1834</v>
      </c>
      <c r="G760" s="184">
        <v>3</v>
      </c>
      <c r="H760" s="158"/>
      <c r="I760" s="154"/>
      <c r="J760" s="154"/>
      <c r="K760" s="154"/>
      <c r="L760" s="154"/>
      <c r="M760" s="154"/>
      <c r="N760" s="154"/>
      <c r="O760" s="154"/>
      <c r="P760" s="154"/>
      <c r="Q760" s="154"/>
      <c r="R760" s="154"/>
      <c r="S760" s="154"/>
      <c r="T760" s="154"/>
      <c r="U760" s="154"/>
      <c r="V760" s="154"/>
      <c r="W760" s="154"/>
      <c r="X760" s="154"/>
      <c r="Y760" s="154"/>
      <c r="Z760" s="154"/>
      <c r="AA760" s="154"/>
    </row>
    <row r="761" spans="1:27" ht="15">
      <c r="A761" s="180">
        <v>45866</v>
      </c>
      <c r="B761" s="181" t="s">
        <v>12992</v>
      </c>
      <c r="C761" s="182" t="s">
        <v>115</v>
      </c>
      <c r="D761" s="182">
        <v>22521</v>
      </c>
      <c r="E761" s="183">
        <v>14</v>
      </c>
      <c r="F761" s="183">
        <v>910</v>
      </c>
      <c r="G761" s="184">
        <v>2</v>
      </c>
      <c r="H761" s="158"/>
      <c r="I761" s="154"/>
      <c r="J761" s="154"/>
      <c r="K761" s="154"/>
      <c r="L761" s="154"/>
      <c r="M761" s="154"/>
      <c r="N761" s="154"/>
      <c r="O761" s="154"/>
      <c r="P761" s="154"/>
      <c r="Q761" s="154"/>
      <c r="R761" s="154"/>
      <c r="S761" s="154"/>
      <c r="T761" s="154"/>
      <c r="U761" s="154"/>
      <c r="V761" s="154"/>
      <c r="W761" s="154"/>
      <c r="X761" s="154"/>
      <c r="Y761" s="154"/>
      <c r="Z761" s="154"/>
      <c r="AA761" s="154"/>
    </row>
    <row r="762" spans="1:27" ht="15">
      <c r="A762" s="180">
        <v>45866</v>
      </c>
      <c r="B762" s="181" t="s">
        <v>12980</v>
      </c>
      <c r="C762" s="182" t="s">
        <v>115</v>
      </c>
      <c r="D762" s="182">
        <v>38347</v>
      </c>
      <c r="E762" s="183">
        <v>44</v>
      </c>
      <c r="F762" s="183">
        <v>2310</v>
      </c>
      <c r="G762" s="184">
        <v>7</v>
      </c>
      <c r="H762" s="158"/>
      <c r="I762" s="154"/>
      <c r="J762" s="154"/>
      <c r="K762" s="154"/>
      <c r="L762" s="154"/>
      <c r="M762" s="154"/>
      <c r="N762" s="154"/>
      <c r="O762" s="154"/>
      <c r="P762" s="154"/>
      <c r="Q762" s="154"/>
      <c r="R762" s="154"/>
      <c r="S762" s="154"/>
      <c r="T762" s="154"/>
      <c r="U762" s="154"/>
      <c r="V762" s="154"/>
      <c r="W762" s="154"/>
      <c r="X762" s="154"/>
      <c r="Y762" s="154"/>
      <c r="Z762" s="154"/>
      <c r="AA762" s="154"/>
    </row>
    <row r="763" spans="1:27" ht="15">
      <c r="A763" s="180">
        <v>45866</v>
      </c>
      <c r="B763" s="181" t="s">
        <v>12981</v>
      </c>
      <c r="C763" s="182" t="s">
        <v>115</v>
      </c>
      <c r="D763" s="182">
        <v>11338</v>
      </c>
      <c r="E763" s="183">
        <v>6</v>
      </c>
      <c r="F763" s="183">
        <v>352</v>
      </c>
      <c r="G763" s="184">
        <v>1</v>
      </c>
      <c r="H763" s="158"/>
      <c r="I763" s="154"/>
      <c r="J763" s="154"/>
      <c r="K763" s="154"/>
      <c r="L763" s="154"/>
      <c r="M763" s="154"/>
      <c r="N763" s="154"/>
      <c r="O763" s="154"/>
      <c r="P763" s="154"/>
      <c r="Q763" s="154"/>
      <c r="R763" s="154"/>
      <c r="S763" s="154"/>
      <c r="T763" s="154"/>
      <c r="U763" s="154"/>
      <c r="V763" s="154"/>
      <c r="W763" s="154"/>
      <c r="X763" s="154"/>
      <c r="Y763" s="154"/>
      <c r="Z763" s="154"/>
      <c r="AA763" s="154"/>
    </row>
    <row r="764" spans="1:27" ht="15">
      <c r="A764" s="180">
        <v>45866</v>
      </c>
      <c r="B764" s="181" t="s">
        <v>12982</v>
      </c>
      <c r="C764" s="182" t="s">
        <v>61</v>
      </c>
      <c r="D764" s="182">
        <v>21682</v>
      </c>
      <c r="E764" s="183">
        <v>10</v>
      </c>
      <c r="F764" s="183">
        <v>957</v>
      </c>
      <c r="G764" s="184">
        <v>0</v>
      </c>
      <c r="H764" s="158"/>
      <c r="I764" s="154"/>
      <c r="J764" s="154"/>
      <c r="K764" s="154"/>
      <c r="L764" s="154"/>
      <c r="M764" s="154"/>
      <c r="N764" s="154"/>
      <c r="O764" s="154"/>
      <c r="P764" s="154"/>
      <c r="Q764" s="154"/>
      <c r="R764" s="154"/>
      <c r="S764" s="154"/>
      <c r="T764" s="154"/>
      <c r="U764" s="154"/>
      <c r="V764" s="154"/>
      <c r="W764" s="154"/>
      <c r="X764" s="154"/>
      <c r="Y764" s="154"/>
      <c r="Z764" s="154"/>
      <c r="AA764" s="154"/>
    </row>
    <row r="765" spans="1:27" ht="15">
      <c r="A765" s="180">
        <v>45866</v>
      </c>
      <c r="B765" s="181" t="s">
        <v>12969</v>
      </c>
      <c r="C765" s="182" t="s">
        <v>115</v>
      </c>
      <c r="D765" s="182">
        <v>48904</v>
      </c>
      <c r="E765" s="183">
        <v>59</v>
      </c>
      <c r="F765" s="183">
        <v>3015</v>
      </c>
      <c r="G765" s="184">
        <v>13</v>
      </c>
      <c r="H765" s="158"/>
      <c r="I765" s="154"/>
      <c r="J765" s="154"/>
      <c r="K765" s="154"/>
      <c r="L765" s="154"/>
      <c r="M765" s="154"/>
      <c r="N765" s="154"/>
      <c r="O765" s="154"/>
      <c r="P765" s="154"/>
      <c r="Q765" s="154"/>
      <c r="R765" s="154"/>
      <c r="S765" s="154"/>
      <c r="T765" s="154"/>
      <c r="U765" s="154"/>
      <c r="V765" s="154"/>
      <c r="W765" s="154"/>
      <c r="X765" s="154"/>
      <c r="Y765" s="154"/>
      <c r="Z765" s="154"/>
      <c r="AA765" s="154"/>
    </row>
    <row r="766" spans="1:27" ht="15">
      <c r="A766" s="180">
        <v>45866</v>
      </c>
      <c r="B766" s="181" t="s">
        <v>12970</v>
      </c>
      <c r="C766" s="182" t="s">
        <v>115</v>
      </c>
      <c r="D766" s="182">
        <v>12668</v>
      </c>
      <c r="E766" s="183">
        <v>10</v>
      </c>
      <c r="F766" s="183">
        <v>733</v>
      </c>
      <c r="G766" s="184">
        <v>2</v>
      </c>
      <c r="H766" s="158"/>
      <c r="I766" s="154"/>
      <c r="J766" s="154"/>
      <c r="K766" s="154"/>
      <c r="L766" s="154"/>
      <c r="M766" s="154"/>
      <c r="N766" s="154"/>
      <c r="O766" s="154"/>
      <c r="P766" s="154"/>
      <c r="Q766" s="154"/>
      <c r="R766" s="154"/>
      <c r="S766" s="154"/>
      <c r="T766" s="154"/>
      <c r="U766" s="154"/>
      <c r="V766" s="154"/>
      <c r="W766" s="154"/>
      <c r="X766" s="154"/>
      <c r="Y766" s="154"/>
      <c r="Z766" s="154"/>
      <c r="AA766" s="154"/>
    </row>
    <row r="767" spans="1:27" ht="15">
      <c r="A767" s="180">
        <v>45866</v>
      </c>
      <c r="B767" s="181" t="s">
        <v>12971</v>
      </c>
      <c r="C767" s="182" t="s">
        <v>115</v>
      </c>
      <c r="D767" s="182">
        <v>13297</v>
      </c>
      <c r="E767" s="183">
        <v>3</v>
      </c>
      <c r="F767" s="183">
        <v>695</v>
      </c>
      <c r="G767" s="184">
        <v>1</v>
      </c>
      <c r="H767" s="158"/>
      <c r="I767" s="154"/>
      <c r="J767" s="154"/>
      <c r="K767" s="154"/>
      <c r="L767" s="154"/>
      <c r="M767" s="154"/>
      <c r="N767" s="154"/>
      <c r="O767" s="154"/>
      <c r="P767" s="154"/>
      <c r="Q767" s="154"/>
      <c r="R767" s="154"/>
      <c r="S767" s="154"/>
      <c r="T767" s="154"/>
      <c r="U767" s="154"/>
      <c r="V767" s="154"/>
      <c r="W767" s="154"/>
      <c r="X767" s="154"/>
      <c r="Y767" s="154"/>
      <c r="Z767" s="154"/>
      <c r="AA767" s="154"/>
    </row>
    <row r="768" spans="1:27" ht="15">
      <c r="A768" s="180">
        <v>45866</v>
      </c>
      <c r="B768" s="181" t="s">
        <v>12963</v>
      </c>
      <c r="C768" s="182" t="s">
        <v>61</v>
      </c>
      <c r="D768" s="182">
        <v>17487</v>
      </c>
      <c r="E768" s="183">
        <v>9</v>
      </c>
      <c r="F768" s="183">
        <v>1051</v>
      </c>
      <c r="G768" s="184">
        <v>0</v>
      </c>
      <c r="H768" s="158"/>
      <c r="I768" s="154"/>
      <c r="J768" s="154"/>
      <c r="K768" s="154"/>
      <c r="L768" s="154"/>
      <c r="M768" s="154"/>
      <c r="N768" s="154"/>
      <c r="O768" s="154"/>
      <c r="P768" s="154"/>
      <c r="Q768" s="154"/>
      <c r="R768" s="154"/>
      <c r="S768" s="154"/>
      <c r="T768" s="154"/>
      <c r="U768" s="154"/>
      <c r="V768" s="154"/>
      <c r="W768" s="154"/>
      <c r="X768" s="154"/>
      <c r="Y768" s="154"/>
      <c r="Z768" s="154"/>
      <c r="AA768" s="154"/>
    </row>
    <row r="769" spans="1:27" ht="15">
      <c r="A769" s="180">
        <v>45866</v>
      </c>
      <c r="B769" s="181" t="s">
        <v>12964</v>
      </c>
      <c r="C769" s="182" t="s">
        <v>61</v>
      </c>
      <c r="D769" s="182">
        <v>7326</v>
      </c>
      <c r="E769" s="183">
        <v>4</v>
      </c>
      <c r="F769" s="183">
        <v>270</v>
      </c>
      <c r="G769" s="184">
        <v>1</v>
      </c>
      <c r="H769" s="158"/>
      <c r="I769" s="154"/>
      <c r="J769" s="154"/>
      <c r="K769" s="154"/>
      <c r="L769" s="154"/>
      <c r="M769" s="154"/>
      <c r="N769" s="154"/>
      <c r="O769" s="154"/>
      <c r="P769" s="154"/>
      <c r="Q769" s="154"/>
      <c r="R769" s="154"/>
      <c r="S769" s="154"/>
      <c r="T769" s="154"/>
      <c r="U769" s="154"/>
      <c r="V769" s="154"/>
      <c r="W769" s="154"/>
      <c r="X769" s="154"/>
      <c r="Y769" s="154"/>
      <c r="Z769" s="154"/>
      <c r="AA769" s="154"/>
    </row>
    <row r="770" spans="1:27" ht="15">
      <c r="A770" s="180">
        <v>45866</v>
      </c>
      <c r="B770" s="181" t="s">
        <v>12968</v>
      </c>
      <c r="C770" s="182" t="s">
        <v>61</v>
      </c>
      <c r="D770" s="182">
        <v>10537</v>
      </c>
      <c r="E770" s="183">
        <v>14</v>
      </c>
      <c r="F770" s="183">
        <v>848</v>
      </c>
      <c r="G770" s="184">
        <v>0</v>
      </c>
      <c r="H770" s="158"/>
      <c r="I770" s="154"/>
      <c r="J770" s="154"/>
      <c r="K770" s="154"/>
      <c r="L770" s="154"/>
      <c r="M770" s="154"/>
      <c r="N770" s="154"/>
      <c r="O770" s="154"/>
      <c r="P770" s="154"/>
      <c r="Q770" s="154"/>
      <c r="R770" s="154"/>
      <c r="S770" s="154"/>
      <c r="T770" s="154"/>
      <c r="U770" s="154"/>
      <c r="V770" s="154"/>
      <c r="W770" s="154"/>
      <c r="X770" s="154"/>
      <c r="Y770" s="154"/>
      <c r="Z770" s="154"/>
      <c r="AA770" s="154"/>
    </row>
    <row r="771" spans="1:27" ht="15">
      <c r="A771" s="180">
        <v>45867</v>
      </c>
      <c r="B771" s="181" t="s">
        <v>13001</v>
      </c>
      <c r="C771" s="182" t="s">
        <v>1774</v>
      </c>
      <c r="D771" s="182">
        <v>21787</v>
      </c>
      <c r="E771" s="183">
        <v>20</v>
      </c>
      <c r="F771" s="183">
        <v>1098</v>
      </c>
      <c r="G771" s="184">
        <v>2</v>
      </c>
      <c r="H771" s="158"/>
      <c r="I771" s="154"/>
      <c r="J771" s="154"/>
      <c r="K771" s="154"/>
      <c r="L771" s="154"/>
      <c r="M771" s="154"/>
      <c r="N771" s="154"/>
      <c r="O771" s="154"/>
      <c r="P771" s="154"/>
      <c r="Q771" s="154"/>
      <c r="R771" s="154"/>
      <c r="S771" s="154"/>
      <c r="T771" s="154"/>
      <c r="U771" s="154"/>
      <c r="V771" s="154"/>
      <c r="W771" s="154"/>
      <c r="X771" s="154"/>
      <c r="Y771" s="154"/>
      <c r="Z771" s="154"/>
      <c r="AA771" s="154"/>
    </row>
    <row r="772" spans="1:27" ht="15">
      <c r="A772" s="180">
        <v>45867</v>
      </c>
      <c r="B772" s="181" t="s">
        <v>13002</v>
      </c>
      <c r="C772" s="182" t="s">
        <v>1229</v>
      </c>
      <c r="D772" s="182">
        <v>16795</v>
      </c>
      <c r="E772" s="183">
        <v>12</v>
      </c>
      <c r="F772" s="183">
        <v>1223</v>
      </c>
      <c r="G772" s="184">
        <v>0</v>
      </c>
      <c r="H772" s="158"/>
      <c r="I772" s="154"/>
      <c r="J772" s="154"/>
      <c r="K772" s="154"/>
      <c r="L772" s="154"/>
      <c r="M772" s="154"/>
      <c r="N772" s="154"/>
      <c r="O772" s="154"/>
      <c r="P772" s="154"/>
      <c r="Q772" s="154"/>
      <c r="R772" s="154"/>
      <c r="S772" s="154"/>
      <c r="T772" s="154"/>
      <c r="U772" s="154"/>
      <c r="V772" s="154"/>
      <c r="W772" s="154"/>
      <c r="X772" s="154"/>
      <c r="Y772" s="154"/>
      <c r="Z772" s="154"/>
      <c r="AA772" s="154"/>
    </row>
    <row r="773" spans="1:27" ht="15">
      <c r="A773" s="180">
        <v>45867</v>
      </c>
      <c r="B773" s="181" t="s">
        <v>12992</v>
      </c>
      <c r="C773" s="182" t="s">
        <v>115</v>
      </c>
      <c r="D773" s="182">
        <v>17568</v>
      </c>
      <c r="E773" s="183">
        <v>10</v>
      </c>
      <c r="F773" s="183">
        <v>1379</v>
      </c>
      <c r="G773" s="184">
        <v>2</v>
      </c>
      <c r="H773" s="158"/>
      <c r="I773" s="154"/>
      <c r="J773" s="154"/>
      <c r="K773" s="154"/>
      <c r="L773" s="154"/>
      <c r="M773" s="154"/>
      <c r="N773" s="154"/>
      <c r="O773" s="154"/>
      <c r="P773" s="154"/>
      <c r="Q773" s="154"/>
      <c r="R773" s="154"/>
      <c r="S773" s="154"/>
      <c r="T773" s="154"/>
      <c r="U773" s="154"/>
      <c r="V773" s="154"/>
      <c r="W773" s="154"/>
      <c r="X773" s="154"/>
      <c r="Y773" s="154"/>
      <c r="Z773" s="154"/>
      <c r="AA773" s="154"/>
    </row>
    <row r="774" spans="1:27" ht="15">
      <c r="A774" s="180">
        <v>45867</v>
      </c>
      <c r="B774" s="181" t="s">
        <v>12980</v>
      </c>
      <c r="C774" s="182" t="s">
        <v>115</v>
      </c>
      <c r="D774" s="182">
        <v>24549</v>
      </c>
      <c r="E774" s="183">
        <v>23</v>
      </c>
      <c r="F774" s="183">
        <v>1996</v>
      </c>
      <c r="G774" s="184">
        <v>3</v>
      </c>
      <c r="H774" s="158"/>
      <c r="I774" s="154"/>
      <c r="J774" s="154"/>
      <c r="K774" s="154"/>
      <c r="L774" s="154"/>
      <c r="M774" s="154"/>
      <c r="N774" s="154"/>
      <c r="O774" s="154"/>
      <c r="P774" s="154"/>
      <c r="Q774" s="154"/>
      <c r="R774" s="154"/>
      <c r="S774" s="154"/>
      <c r="T774" s="154"/>
      <c r="U774" s="154"/>
      <c r="V774" s="154"/>
      <c r="W774" s="154"/>
      <c r="X774" s="154"/>
      <c r="Y774" s="154"/>
      <c r="Z774" s="154"/>
      <c r="AA774" s="154"/>
    </row>
    <row r="775" spans="1:27" ht="15">
      <c r="A775" s="180">
        <v>45867</v>
      </c>
      <c r="B775" s="181" t="s">
        <v>12981</v>
      </c>
      <c r="C775" s="182" t="s">
        <v>115</v>
      </c>
      <c r="D775" s="182">
        <v>26401</v>
      </c>
      <c r="E775" s="183">
        <v>9</v>
      </c>
      <c r="F775" s="183">
        <v>837</v>
      </c>
      <c r="G775" s="184">
        <v>0</v>
      </c>
      <c r="H775" s="158"/>
      <c r="I775" s="154"/>
      <c r="J775" s="154"/>
      <c r="K775" s="154"/>
      <c r="L775" s="154"/>
      <c r="M775" s="154"/>
      <c r="N775" s="154"/>
      <c r="O775" s="154"/>
      <c r="P775" s="154"/>
      <c r="Q775" s="154"/>
      <c r="R775" s="154"/>
      <c r="S775" s="154"/>
      <c r="T775" s="154"/>
      <c r="U775" s="154"/>
      <c r="V775" s="154"/>
      <c r="W775" s="154"/>
      <c r="X775" s="154"/>
      <c r="Y775" s="154"/>
      <c r="Z775" s="154"/>
      <c r="AA775" s="154"/>
    </row>
    <row r="776" spans="1:27" ht="15">
      <c r="A776" s="180">
        <v>45867</v>
      </c>
      <c r="B776" s="181" t="s">
        <v>12982</v>
      </c>
      <c r="C776" s="182" t="s">
        <v>61</v>
      </c>
      <c r="D776" s="182">
        <v>19321</v>
      </c>
      <c r="E776" s="183">
        <v>12</v>
      </c>
      <c r="F776" s="183">
        <v>1232</v>
      </c>
      <c r="G776" s="184">
        <v>2</v>
      </c>
      <c r="H776" s="158"/>
      <c r="I776" s="154"/>
      <c r="J776" s="154"/>
      <c r="K776" s="154"/>
      <c r="L776" s="154"/>
      <c r="M776" s="154"/>
      <c r="N776" s="154"/>
      <c r="O776" s="154"/>
      <c r="P776" s="154"/>
      <c r="Q776" s="154"/>
      <c r="R776" s="154"/>
      <c r="S776" s="154"/>
      <c r="T776" s="154"/>
      <c r="U776" s="154"/>
      <c r="V776" s="154"/>
      <c r="W776" s="154"/>
      <c r="X776" s="154"/>
      <c r="Y776" s="154"/>
      <c r="Z776" s="154"/>
      <c r="AA776" s="154"/>
    </row>
    <row r="777" spans="1:27" ht="15">
      <c r="A777" s="180">
        <v>45867</v>
      </c>
      <c r="B777" s="181" t="s">
        <v>12995</v>
      </c>
      <c r="C777" s="182" t="s">
        <v>1229</v>
      </c>
      <c r="D777" s="182">
        <v>14421</v>
      </c>
      <c r="E777" s="183">
        <v>13</v>
      </c>
      <c r="F777" s="183">
        <v>1391</v>
      </c>
      <c r="G777" s="184">
        <v>1</v>
      </c>
      <c r="H777" s="158"/>
      <c r="I777" s="154"/>
      <c r="J777" s="154"/>
      <c r="K777" s="154"/>
      <c r="L777" s="154"/>
      <c r="M777" s="154"/>
      <c r="N777" s="154"/>
      <c r="O777" s="154"/>
      <c r="P777" s="154"/>
      <c r="Q777" s="154"/>
      <c r="R777" s="154"/>
      <c r="S777" s="154"/>
      <c r="T777" s="154"/>
      <c r="U777" s="154"/>
      <c r="V777" s="154"/>
      <c r="W777" s="154"/>
      <c r="X777" s="154"/>
      <c r="Y777" s="154"/>
      <c r="Z777" s="154"/>
      <c r="AA777" s="154"/>
    </row>
    <row r="778" spans="1:27" ht="15">
      <c r="A778" s="180">
        <v>45867</v>
      </c>
      <c r="B778" s="181" t="s">
        <v>12996</v>
      </c>
      <c r="C778" s="182" t="s">
        <v>1229</v>
      </c>
      <c r="D778" s="182">
        <v>10948</v>
      </c>
      <c r="E778" s="183">
        <v>6</v>
      </c>
      <c r="F778" s="183">
        <v>938</v>
      </c>
      <c r="G778" s="184">
        <v>1</v>
      </c>
      <c r="H778" s="158"/>
      <c r="I778" s="154"/>
      <c r="J778" s="154"/>
      <c r="K778" s="154"/>
      <c r="L778" s="154"/>
      <c r="M778" s="154"/>
      <c r="N778" s="154"/>
      <c r="O778" s="154"/>
      <c r="P778" s="154"/>
      <c r="Q778" s="154"/>
      <c r="R778" s="154"/>
      <c r="S778" s="154"/>
      <c r="T778" s="154"/>
      <c r="U778" s="154"/>
      <c r="V778" s="154"/>
      <c r="W778" s="154"/>
      <c r="X778" s="154"/>
      <c r="Y778" s="154"/>
      <c r="Z778" s="154"/>
      <c r="AA778" s="154"/>
    </row>
    <row r="779" spans="1:27" ht="15">
      <c r="A779" s="180">
        <v>45867</v>
      </c>
      <c r="B779" s="181" t="s">
        <v>12969</v>
      </c>
      <c r="C779" s="182" t="s">
        <v>115</v>
      </c>
      <c r="D779" s="182">
        <v>45041</v>
      </c>
      <c r="E779" s="183">
        <v>43</v>
      </c>
      <c r="F779" s="183">
        <v>2853</v>
      </c>
      <c r="G779" s="184">
        <v>8</v>
      </c>
      <c r="H779" s="158"/>
      <c r="I779" s="154"/>
      <c r="J779" s="154"/>
      <c r="K779" s="154"/>
      <c r="L779" s="154"/>
      <c r="M779" s="154"/>
      <c r="N779" s="154"/>
      <c r="O779" s="154"/>
      <c r="P779" s="154"/>
      <c r="Q779" s="154"/>
      <c r="R779" s="154"/>
      <c r="S779" s="154"/>
      <c r="T779" s="154"/>
      <c r="U779" s="154"/>
      <c r="V779" s="154"/>
      <c r="W779" s="154"/>
      <c r="X779" s="154"/>
      <c r="Y779" s="154"/>
      <c r="Z779" s="154"/>
      <c r="AA779" s="154"/>
    </row>
    <row r="780" spans="1:27" ht="15">
      <c r="A780" s="180">
        <v>45867</v>
      </c>
      <c r="B780" s="181" t="s">
        <v>12970</v>
      </c>
      <c r="C780" s="182" t="s">
        <v>115</v>
      </c>
      <c r="D780" s="182">
        <v>37990</v>
      </c>
      <c r="E780" s="183">
        <v>56</v>
      </c>
      <c r="F780" s="183">
        <v>4873</v>
      </c>
      <c r="G780" s="184">
        <v>7</v>
      </c>
      <c r="H780" s="158"/>
      <c r="I780" s="154"/>
      <c r="J780" s="154"/>
      <c r="K780" s="154"/>
      <c r="L780" s="154"/>
      <c r="M780" s="154"/>
      <c r="N780" s="154"/>
      <c r="O780" s="154"/>
      <c r="P780" s="154"/>
      <c r="Q780" s="154"/>
      <c r="R780" s="154"/>
      <c r="S780" s="154"/>
      <c r="T780" s="154"/>
      <c r="U780" s="154"/>
      <c r="V780" s="154"/>
      <c r="W780" s="154"/>
      <c r="X780" s="154"/>
      <c r="Y780" s="154"/>
      <c r="Z780" s="154"/>
      <c r="AA780" s="154"/>
    </row>
    <row r="781" spans="1:27" ht="15">
      <c r="A781" s="180">
        <v>45867</v>
      </c>
      <c r="B781" s="181" t="s">
        <v>12963</v>
      </c>
      <c r="C781" s="182" t="s">
        <v>61</v>
      </c>
      <c r="D781" s="182">
        <v>21631</v>
      </c>
      <c r="E781" s="183">
        <v>18</v>
      </c>
      <c r="F781" s="183">
        <v>1748</v>
      </c>
      <c r="G781" s="184">
        <v>3</v>
      </c>
      <c r="H781" s="158"/>
      <c r="I781" s="154"/>
      <c r="J781" s="154"/>
      <c r="K781" s="154"/>
      <c r="L781" s="154"/>
      <c r="M781" s="154"/>
      <c r="N781" s="154"/>
      <c r="O781" s="154"/>
      <c r="P781" s="154"/>
      <c r="Q781" s="154"/>
      <c r="R781" s="154"/>
      <c r="S781" s="154"/>
      <c r="T781" s="154"/>
      <c r="U781" s="154"/>
      <c r="V781" s="154"/>
      <c r="W781" s="154"/>
      <c r="X781" s="154"/>
      <c r="Y781" s="154"/>
      <c r="Z781" s="154"/>
      <c r="AA781" s="154"/>
    </row>
    <row r="782" spans="1:27" ht="15">
      <c r="A782" s="180">
        <v>45867</v>
      </c>
      <c r="B782" s="181" t="s">
        <v>13008</v>
      </c>
      <c r="C782" s="182" t="s">
        <v>61</v>
      </c>
      <c r="D782" s="182">
        <v>3</v>
      </c>
      <c r="E782" s="183">
        <v>0</v>
      </c>
      <c r="F782" s="183">
        <v>5</v>
      </c>
      <c r="G782" s="184">
        <v>0</v>
      </c>
      <c r="H782" s="158"/>
      <c r="I782" s="154"/>
      <c r="J782" s="154"/>
      <c r="K782" s="154"/>
      <c r="L782" s="154"/>
      <c r="M782" s="154"/>
      <c r="N782" s="154"/>
      <c r="O782" s="154"/>
      <c r="P782" s="154"/>
      <c r="Q782" s="154"/>
      <c r="R782" s="154"/>
      <c r="S782" s="154"/>
      <c r="T782" s="154"/>
      <c r="U782" s="154"/>
      <c r="V782" s="154"/>
      <c r="W782" s="154"/>
      <c r="X782" s="154"/>
      <c r="Y782" s="154"/>
      <c r="Z782" s="154"/>
      <c r="AA782" s="154"/>
    </row>
    <row r="783" spans="1:27" ht="15">
      <c r="A783" s="180">
        <v>45867</v>
      </c>
      <c r="B783" s="181" t="s">
        <v>12968</v>
      </c>
      <c r="C783" s="182" t="s">
        <v>61</v>
      </c>
      <c r="D783" s="182">
        <v>37916</v>
      </c>
      <c r="E783" s="183">
        <v>53</v>
      </c>
      <c r="F783" s="183">
        <v>3421</v>
      </c>
      <c r="G783" s="184">
        <v>10</v>
      </c>
      <c r="H783" s="158"/>
      <c r="I783" s="154"/>
      <c r="J783" s="154"/>
      <c r="K783" s="154"/>
      <c r="L783" s="154"/>
      <c r="M783" s="154"/>
      <c r="N783" s="154"/>
      <c r="O783" s="154"/>
      <c r="P783" s="154"/>
      <c r="Q783" s="154"/>
      <c r="R783" s="154"/>
      <c r="S783" s="154"/>
      <c r="T783" s="154"/>
      <c r="U783" s="154"/>
      <c r="V783" s="154"/>
      <c r="W783" s="154"/>
      <c r="X783" s="154"/>
      <c r="Y783" s="154"/>
      <c r="Z783" s="154"/>
      <c r="AA783" s="154"/>
    </row>
    <row r="784" spans="1:27" ht="15">
      <c r="A784" s="180">
        <v>45868</v>
      </c>
      <c r="B784" s="181" t="s">
        <v>13001</v>
      </c>
      <c r="C784" s="182" t="s">
        <v>1774</v>
      </c>
      <c r="D784" s="182">
        <v>5342</v>
      </c>
      <c r="E784" s="183">
        <v>4</v>
      </c>
      <c r="F784" s="183">
        <v>516</v>
      </c>
      <c r="G784" s="184">
        <v>0</v>
      </c>
      <c r="H784" s="158"/>
      <c r="I784" s="154"/>
      <c r="J784" s="154"/>
      <c r="K784" s="154"/>
      <c r="L784" s="154"/>
      <c r="M784" s="154"/>
      <c r="N784" s="154"/>
      <c r="O784" s="154"/>
      <c r="P784" s="154"/>
      <c r="Q784" s="154"/>
      <c r="R784" s="154"/>
      <c r="S784" s="154"/>
      <c r="T784" s="154"/>
      <c r="U784" s="154"/>
      <c r="V784" s="154"/>
      <c r="W784" s="154"/>
      <c r="X784" s="154"/>
      <c r="Y784" s="154"/>
      <c r="Z784" s="154"/>
      <c r="AA784" s="154"/>
    </row>
    <row r="785" spans="1:27" ht="15">
      <c r="A785" s="180">
        <v>45868</v>
      </c>
      <c r="B785" s="181" t="s">
        <v>13002</v>
      </c>
      <c r="C785" s="182" t="s">
        <v>1229</v>
      </c>
      <c r="D785" s="182">
        <v>19887</v>
      </c>
      <c r="E785" s="183">
        <v>8</v>
      </c>
      <c r="F785" s="183">
        <v>1304</v>
      </c>
      <c r="G785" s="184">
        <v>1</v>
      </c>
      <c r="H785" s="158"/>
      <c r="I785" s="154"/>
      <c r="J785" s="154"/>
      <c r="K785" s="154"/>
      <c r="L785" s="154"/>
      <c r="M785" s="154"/>
      <c r="N785" s="154"/>
      <c r="O785" s="154"/>
      <c r="P785" s="154"/>
      <c r="Q785" s="154"/>
      <c r="R785" s="154"/>
      <c r="S785" s="154"/>
      <c r="T785" s="154"/>
      <c r="U785" s="154"/>
      <c r="V785" s="154"/>
      <c r="W785" s="154"/>
      <c r="X785" s="154"/>
      <c r="Y785" s="154"/>
      <c r="Z785" s="154"/>
      <c r="AA785" s="154"/>
    </row>
    <row r="786" spans="1:27" ht="15">
      <c r="A786" s="180">
        <v>45868</v>
      </c>
      <c r="B786" s="181" t="s">
        <v>12992</v>
      </c>
      <c r="C786" s="182" t="s">
        <v>115</v>
      </c>
      <c r="D786" s="182">
        <v>11476</v>
      </c>
      <c r="E786" s="183">
        <v>8</v>
      </c>
      <c r="F786" s="183">
        <v>430</v>
      </c>
      <c r="G786" s="184">
        <v>1</v>
      </c>
      <c r="H786" s="158"/>
      <c r="I786" s="154"/>
      <c r="J786" s="154"/>
      <c r="K786" s="154"/>
      <c r="L786" s="154"/>
      <c r="M786" s="154"/>
      <c r="N786" s="154"/>
      <c r="O786" s="154"/>
      <c r="P786" s="154"/>
      <c r="Q786" s="154"/>
      <c r="R786" s="154"/>
      <c r="S786" s="154"/>
      <c r="T786" s="154"/>
      <c r="U786" s="154"/>
      <c r="V786" s="154"/>
      <c r="W786" s="154"/>
      <c r="X786" s="154"/>
      <c r="Y786" s="154"/>
      <c r="Z786" s="154"/>
      <c r="AA786" s="154"/>
    </row>
    <row r="787" spans="1:27" ht="15">
      <c r="A787" s="180">
        <v>45868</v>
      </c>
      <c r="B787" s="181" t="s">
        <v>12980</v>
      </c>
      <c r="C787" s="182" t="s">
        <v>115</v>
      </c>
      <c r="D787" s="182">
        <v>21341</v>
      </c>
      <c r="E787" s="183">
        <v>19</v>
      </c>
      <c r="F787" s="183">
        <v>682</v>
      </c>
      <c r="G787" s="184">
        <v>2</v>
      </c>
      <c r="H787" s="158"/>
      <c r="I787" s="154"/>
      <c r="J787" s="154"/>
      <c r="K787" s="154"/>
      <c r="L787" s="154"/>
      <c r="M787" s="154"/>
      <c r="N787" s="154"/>
      <c r="O787" s="154"/>
      <c r="P787" s="154"/>
      <c r="Q787" s="154"/>
      <c r="R787" s="154"/>
      <c r="S787" s="154"/>
      <c r="T787" s="154"/>
      <c r="U787" s="154"/>
      <c r="V787" s="154"/>
      <c r="W787" s="154"/>
      <c r="X787" s="154"/>
      <c r="Y787" s="154"/>
      <c r="Z787" s="154"/>
      <c r="AA787" s="154"/>
    </row>
    <row r="788" spans="1:27" ht="15">
      <c r="A788" s="180">
        <v>45868</v>
      </c>
      <c r="B788" s="181" t="s">
        <v>12981</v>
      </c>
      <c r="C788" s="182" t="s">
        <v>115</v>
      </c>
      <c r="D788" s="182">
        <v>30910</v>
      </c>
      <c r="E788" s="183">
        <v>29</v>
      </c>
      <c r="F788" s="183">
        <v>2002</v>
      </c>
      <c r="G788" s="184">
        <v>5</v>
      </c>
      <c r="H788" s="158"/>
      <c r="I788" s="154"/>
      <c r="J788" s="154"/>
      <c r="K788" s="154"/>
      <c r="L788" s="154"/>
      <c r="M788" s="154"/>
      <c r="N788" s="154"/>
      <c r="O788" s="154"/>
      <c r="P788" s="154"/>
      <c r="Q788" s="154"/>
      <c r="R788" s="154"/>
      <c r="S788" s="154"/>
      <c r="T788" s="154"/>
      <c r="U788" s="154"/>
      <c r="V788" s="154"/>
      <c r="W788" s="154"/>
      <c r="X788" s="154"/>
      <c r="Y788" s="154"/>
      <c r="Z788" s="154"/>
      <c r="AA788" s="154"/>
    </row>
    <row r="789" spans="1:27" ht="15">
      <c r="A789" s="180">
        <v>45868</v>
      </c>
      <c r="B789" s="181" t="s">
        <v>12982</v>
      </c>
      <c r="C789" s="182" t="s">
        <v>61</v>
      </c>
      <c r="D789" s="182">
        <v>20298</v>
      </c>
      <c r="E789" s="183">
        <v>18</v>
      </c>
      <c r="F789" s="183">
        <v>1048</v>
      </c>
      <c r="G789" s="184">
        <v>1</v>
      </c>
      <c r="H789" s="158"/>
      <c r="I789" s="154"/>
      <c r="J789" s="154"/>
      <c r="K789" s="154"/>
      <c r="L789" s="154"/>
      <c r="M789" s="154"/>
      <c r="N789" s="154"/>
      <c r="O789" s="154"/>
      <c r="P789" s="154"/>
      <c r="Q789" s="154"/>
      <c r="R789" s="154"/>
      <c r="S789" s="154"/>
      <c r="T789" s="154"/>
      <c r="U789" s="154"/>
      <c r="V789" s="154"/>
      <c r="W789" s="154"/>
      <c r="X789" s="154"/>
      <c r="Y789" s="154"/>
      <c r="Z789" s="154"/>
      <c r="AA789" s="154"/>
    </row>
    <row r="790" spans="1:27" ht="15">
      <c r="A790" s="180">
        <v>45868</v>
      </c>
      <c r="B790" s="181" t="s">
        <v>12995</v>
      </c>
      <c r="C790" s="182" t="s">
        <v>1229</v>
      </c>
      <c r="D790" s="182">
        <v>42636</v>
      </c>
      <c r="E790" s="183">
        <v>49</v>
      </c>
      <c r="F790" s="183">
        <v>2617</v>
      </c>
      <c r="G790" s="184">
        <v>7</v>
      </c>
      <c r="H790" s="158"/>
      <c r="I790" s="154"/>
      <c r="J790" s="154"/>
      <c r="K790" s="154"/>
      <c r="L790" s="154"/>
      <c r="M790" s="154"/>
      <c r="N790" s="154"/>
      <c r="O790" s="154"/>
      <c r="P790" s="154"/>
      <c r="Q790" s="154"/>
      <c r="R790" s="154"/>
      <c r="S790" s="154"/>
      <c r="T790" s="154"/>
      <c r="U790" s="154"/>
      <c r="V790" s="154"/>
      <c r="W790" s="154"/>
      <c r="X790" s="154"/>
      <c r="Y790" s="154"/>
      <c r="Z790" s="154"/>
      <c r="AA790" s="154"/>
    </row>
    <row r="791" spans="1:27" ht="15">
      <c r="A791" s="180">
        <v>45868</v>
      </c>
      <c r="B791" s="181" t="s">
        <v>12996</v>
      </c>
      <c r="C791" s="182" t="s">
        <v>1229</v>
      </c>
      <c r="D791" s="182">
        <v>28994</v>
      </c>
      <c r="E791" s="183">
        <v>23</v>
      </c>
      <c r="F791" s="183">
        <v>1343</v>
      </c>
      <c r="G791" s="184">
        <v>5</v>
      </c>
      <c r="H791" s="158"/>
      <c r="I791" s="154"/>
      <c r="J791" s="154"/>
      <c r="K791" s="154"/>
      <c r="L791" s="154"/>
      <c r="M791" s="154"/>
      <c r="N791" s="154"/>
      <c r="O791" s="154"/>
      <c r="P791" s="154"/>
      <c r="Q791" s="154"/>
      <c r="R791" s="154"/>
      <c r="S791" s="154"/>
      <c r="T791" s="154"/>
      <c r="U791" s="154"/>
      <c r="V791" s="154"/>
      <c r="W791" s="154"/>
      <c r="X791" s="154"/>
      <c r="Y791" s="154"/>
      <c r="Z791" s="154"/>
      <c r="AA791" s="154"/>
    </row>
    <row r="792" spans="1:27" ht="15">
      <c r="A792" s="180">
        <v>45868</v>
      </c>
      <c r="B792" s="181" t="s">
        <v>12969</v>
      </c>
      <c r="C792" s="182" t="s">
        <v>115</v>
      </c>
      <c r="D792" s="182">
        <v>65372</v>
      </c>
      <c r="E792" s="183">
        <v>79</v>
      </c>
      <c r="F792" s="183">
        <v>5426</v>
      </c>
      <c r="G792" s="184">
        <v>17</v>
      </c>
      <c r="H792" s="158"/>
      <c r="I792" s="154"/>
      <c r="J792" s="154"/>
      <c r="K792" s="154"/>
      <c r="L792" s="154"/>
      <c r="M792" s="154"/>
      <c r="N792" s="154"/>
      <c r="O792" s="154"/>
      <c r="P792" s="154"/>
      <c r="Q792" s="154"/>
      <c r="R792" s="154"/>
      <c r="S792" s="154"/>
      <c r="T792" s="154"/>
      <c r="U792" s="154"/>
      <c r="V792" s="154"/>
      <c r="W792" s="154"/>
      <c r="X792" s="154"/>
      <c r="Y792" s="154"/>
      <c r="Z792" s="154"/>
      <c r="AA792" s="154"/>
    </row>
    <row r="793" spans="1:27" ht="15">
      <c r="A793" s="180">
        <v>45868</v>
      </c>
      <c r="B793" s="181" t="s">
        <v>12970</v>
      </c>
      <c r="C793" s="182" t="s">
        <v>115</v>
      </c>
      <c r="D793" s="182">
        <v>11615</v>
      </c>
      <c r="E793" s="183">
        <v>17</v>
      </c>
      <c r="F793" s="183">
        <v>1142</v>
      </c>
      <c r="G793" s="184">
        <v>2</v>
      </c>
      <c r="H793" s="158"/>
      <c r="I793" s="154"/>
      <c r="J793" s="154"/>
      <c r="K793" s="154"/>
      <c r="L793" s="154"/>
      <c r="M793" s="154"/>
      <c r="N793" s="154"/>
      <c r="O793" s="154"/>
      <c r="P793" s="154"/>
      <c r="Q793" s="154"/>
      <c r="R793" s="154"/>
      <c r="S793" s="154"/>
      <c r="T793" s="154"/>
      <c r="U793" s="154"/>
      <c r="V793" s="154"/>
      <c r="W793" s="154"/>
      <c r="X793" s="154"/>
      <c r="Y793" s="154"/>
      <c r="Z793" s="154"/>
      <c r="AA793" s="154"/>
    </row>
    <row r="794" spans="1:27" ht="15">
      <c r="A794" s="180">
        <v>45868</v>
      </c>
      <c r="B794" s="181" t="s">
        <v>12963</v>
      </c>
      <c r="C794" s="182" t="s">
        <v>61</v>
      </c>
      <c r="D794" s="182">
        <v>64233</v>
      </c>
      <c r="E794" s="183">
        <v>79</v>
      </c>
      <c r="F794" s="183">
        <v>4928</v>
      </c>
      <c r="G794" s="184">
        <v>16</v>
      </c>
      <c r="H794" s="158"/>
      <c r="I794" s="154"/>
      <c r="J794" s="154"/>
      <c r="K794" s="154"/>
      <c r="L794" s="154"/>
      <c r="M794" s="154"/>
      <c r="N794" s="154"/>
      <c r="O794" s="154"/>
      <c r="P794" s="154"/>
      <c r="Q794" s="154"/>
      <c r="R794" s="154"/>
      <c r="S794" s="154"/>
      <c r="T794" s="154"/>
      <c r="U794" s="154"/>
      <c r="V794" s="154"/>
      <c r="W794" s="154"/>
      <c r="X794" s="154"/>
      <c r="Y794" s="154"/>
      <c r="Z794" s="154"/>
      <c r="AA794" s="154"/>
    </row>
    <row r="795" spans="1:27" ht="15">
      <c r="A795" s="180">
        <v>45868</v>
      </c>
      <c r="B795" s="181" t="s">
        <v>12968</v>
      </c>
      <c r="C795" s="182" t="s">
        <v>61</v>
      </c>
      <c r="D795" s="182">
        <v>36643</v>
      </c>
      <c r="E795" s="183">
        <v>51</v>
      </c>
      <c r="F795" s="183">
        <v>2051</v>
      </c>
      <c r="G795" s="184">
        <v>10</v>
      </c>
      <c r="H795" s="158"/>
      <c r="I795" s="154"/>
      <c r="J795" s="154"/>
      <c r="K795" s="154"/>
      <c r="L795" s="154"/>
      <c r="M795" s="154"/>
      <c r="N795" s="154"/>
      <c r="O795" s="154"/>
      <c r="P795" s="154"/>
      <c r="Q795" s="154"/>
      <c r="R795" s="154"/>
      <c r="S795" s="154"/>
      <c r="T795" s="154"/>
      <c r="U795" s="154"/>
      <c r="V795" s="154"/>
      <c r="W795" s="154"/>
      <c r="X795" s="154"/>
      <c r="Y795" s="154"/>
      <c r="Z795" s="154"/>
      <c r="AA795" s="154"/>
    </row>
    <row r="796" spans="1:27" ht="15">
      <c r="A796" s="180">
        <v>45869</v>
      </c>
      <c r="B796" s="181" t="s">
        <v>13001</v>
      </c>
      <c r="C796" s="182" t="s">
        <v>1774</v>
      </c>
      <c r="D796" s="182">
        <v>8565</v>
      </c>
      <c r="E796" s="183">
        <v>4</v>
      </c>
      <c r="F796" s="183">
        <v>332</v>
      </c>
      <c r="G796" s="184">
        <v>1</v>
      </c>
      <c r="H796" s="158"/>
      <c r="I796" s="154"/>
      <c r="J796" s="154"/>
      <c r="K796" s="154"/>
      <c r="L796" s="154"/>
      <c r="M796" s="154"/>
      <c r="N796" s="154"/>
      <c r="O796" s="154"/>
      <c r="P796" s="154"/>
      <c r="Q796" s="154"/>
      <c r="R796" s="154"/>
      <c r="S796" s="154"/>
      <c r="T796" s="154"/>
      <c r="U796" s="154"/>
      <c r="V796" s="154"/>
      <c r="W796" s="154"/>
      <c r="X796" s="154"/>
      <c r="Y796" s="154"/>
      <c r="Z796" s="154"/>
      <c r="AA796" s="154"/>
    </row>
    <row r="797" spans="1:27" ht="15">
      <c r="A797" s="180">
        <v>45869</v>
      </c>
      <c r="B797" s="181" t="s">
        <v>13002</v>
      </c>
      <c r="C797" s="182" t="s">
        <v>1229</v>
      </c>
      <c r="D797" s="182">
        <v>19632</v>
      </c>
      <c r="E797" s="183">
        <v>10</v>
      </c>
      <c r="F797" s="183">
        <v>579</v>
      </c>
      <c r="G797" s="184">
        <v>3</v>
      </c>
      <c r="H797" s="158"/>
      <c r="I797" s="154"/>
      <c r="J797" s="154"/>
      <c r="K797" s="154"/>
      <c r="L797" s="154"/>
      <c r="M797" s="154"/>
      <c r="N797" s="154"/>
      <c r="O797" s="154"/>
      <c r="P797" s="154"/>
      <c r="Q797" s="154"/>
      <c r="R797" s="154"/>
      <c r="S797" s="154"/>
      <c r="T797" s="154"/>
      <c r="U797" s="154"/>
      <c r="V797" s="154"/>
      <c r="W797" s="154"/>
      <c r="X797" s="154"/>
      <c r="Y797" s="154"/>
      <c r="Z797" s="154"/>
      <c r="AA797" s="154"/>
    </row>
    <row r="798" spans="1:27" ht="15">
      <c r="A798" s="180">
        <v>45869</v>
      </c>
      <c r="B798" s="181" t="s">
        <v>12992</v>
      </c>
      <c r="C798" s="182" t="s">
        <v>115</v>
      </c>
      <c r="D798" s="182">
        <v>19228</v>
      </c>
      <c r="E798" s="183">
        <v>10</v>
      </c>
      <c r="F798" s="183">
        <v>774</v>
      </c>
      <c r="G798" s="184">
        <v>0</v>
      </c>
      <c r="H798" s="158"/>
      <c r="I798" s="154"/>
      <c r="J798" s="154"/>
      <c r="K798" s="154"/>
      <c r="L798" s="154"/>
      <c r="M798" s="154"/>
      <c r="N798" s="154"/>
      <c r="O798" s="154"/>
      <c r="P798" s="154"/>
      <c r="Q798" s="154"/>
      <c r="R798" s="154"/>
      <c r="S798" s="154"/>
      <c r="T798" s="154"/>
      <c r="U798" s="154"/>
      <c r="V798" s="154"/>
      <c r="W798" s="154"/>
      <c r="X798" s="154"/>
      <c r="Y798" s="154"/>
      <c r="Z798" s="154"/>
      <c r="AA798" s="154"/>
    </row>
    <row r="799" spans="1:27" ht="15">
      <c r="A799" s="180">
        <v>45869</v>
      </c>
      <c r="B799" s="181" t="s">
        <v>12980</v>
      </c>
      <c r="C799" s="182" t="s">
        <v>115</v>
      </c>
      <c r="D799" s="182">
        <v>19728</v>
      </c>
      <c r="E799" s="183">
        <v>13</v>
      </c>
      <c r="F799" s="183">
        <v>562</v>
      </c>
      <c r="G799" s="184">
        <v>2</v>
      </c>
      <c r="H799" s="158"/>
      <c r="I799" s="154"/>
      <c r="J799" s="154"/>
      <c r="K799" s="154"/>
      <c r="L799" s="154"/>
      <c r="M799" s="154"/>
      <c r="N799" s="154"/>
      <c r="O799" s="154"/>
      <c r="P799" s="154"/>
      <c r="Q799" s="154"/>
      <c r="R799" s="154"/>
      <c r="S799" s="154"/>
      <c r="T799" s="154"/>
      <c r="U799" s="154"/>
      <c r="V799" s="154"/>
      <c r="W799" s="154"/>
      <c r="X799" s="154"/>
      <c r="Y799" s="154"/>
      <c r="Z799" s="154"/>
      <c r="AA799" s="154"/>
    </row>
    <row r="800" spans="1:27" ht="15">
      <c r="A800" s="180">
        <v>45869</v>
      </c>
      <c r="B800" s="181" t="s">
        <v>12981</v>
      </c>
      <c r="C800" s="182" t="s">
        <v>115</v>
      </c>
      <c r="D800" s="182">
        <v>45439</v>
      </c>
      <c r="E800" s="183">
        <v>40</v>
      </c>
      <c r="F800" s="183">
        <v>2163</v>
      </c>
      <c r="G800" s="184">
        <v>11</v>
      </c>
      <c r="H800" s="158"/>
      <c r="I800" s="154"/>
      <c r="J800" s="154"/>
      <c r="K800" s="154"/>
      <c r="L800" s="154"/>
      <c r="M800" s="154"/>
      <c r="N800" s="154"/>
      <c r="O800" s="154"/>
      <c r="P800" s="154"/>
      <c r="Q800" s="154"/>
      <c r="R800" s="154"/>
      <c r="S800" s="154"/>
      <c r="T800" s="154"/>
      <c r="U800" s="154"/>
      <c r="V800" s="154"/>
      <c r="W800" s="154"/>
      <c r="X800" s="154"/>
      <c r="Y800" s="154"/>
      <c r="Z800" s="154"/>
      <c r="AA800" s="154"/>
    </row>
    <row r="801" spans="1:27" ht="15">
      <c r="A801" s="180">
        <v>45869</v>
      </c>
      <c r="B801" s="181" t="s">
        <v>12982</v>
      </c>
      <c r="C801" s="182" t="s">
        <v>61</v>
      </c>
      <c r="D801" s="182">
        <v>24433</v>
      </c>
      <c r="E801" s="183">
        <v>25</v>
      </c>
      <c r="F801" s="183">
        <v>1247</v>
      </c>
      <c r="G801" s="184">
        <v>3</v>
      </c>
      <c r="H801" s="158"/>
      <c r="I801" s="154"/>
      <c r="J801" s="154"/>
      <c r="K801" s="154"/>
      <c r="L801" s="154"/>
      <c r="M801" s="154"/>
      <c r="N801" s="154"/>
      <c r="O801" s="154"/>
      <c r="P801" s="154"/>
      <c r="Q801" s="154"/>
      <c r="R801" s="154"/>
      <c r="S801" s="154"/>
      <c r="T801" s="154"/>
      <c r="U801" s="154"/>
      <c r="V801" s="154"/>
      <c r="W801" s="154"/>
      <c r="X801" s="154"/>
      <c r="Y801" s="154"/>
      <c r="Z801" s="154"/>
      <c r="AA801" s="154"/>
    </row>
    <row r="802" spans="1:27" ht="15">
      <c r="A802" s="180">
        <v>45869</v>
      </c>
      <c r="B802" s="181" t="s">
        <v>12995</v>
      </c>
      <c r="C802" s="182" t="s">
        <v>1229</v>
      </c>
      <c r="D802" s="182">
        <v>21701</v>
      </c>
      <c r="E802" s="183">
        <v>14</v>
      </c>
      <c r="F802" s="183">
        <v>1029</v>
      </c>
      <c r="G802" s="184">
        <v>0</v>
      </c>
      <c r="H802" s="158"/>
      <c r="I802" s="154"/>
      <c r="J802" s="154"/>
      <c r="K802" s="154"/>
      <c r="L802" s="154"/>
      <c r="M802" s="154"/>
      <c r="N802" s="154"/>
      <c r="O802" s="154"/>
      <c r="P802" s="154"/>
      <c r="Q802" s="154"/>
      <c r="R802" s="154"/>
      <c r="S802" s="154"/>
      <c r="T802" s="154"/>
      <c r="U802" s="154"/>
      <c r="V802" s="154"/>
      <c r="W802" s="154"/>
      <c r="X802" s="154"/>
      <c r="Y802" s="154"/>
      <c r="Z802" s="154"/>
      <c r="AA802" s="154"/>
    </row>
    <row r="803" spans="1:27" ht="15">
      <c r="A803" s="180">
        <v>45869</v>
      </c>
      <c r="B803" s="181" t="s">
        <v>12996</v>
      </c>
      <c r="C803" s="182" t="s">
        <v>1229</v>
      </c>
      <c r="D803" s="182">
        <v>29553</v>
      </c>
      <c r="E803" s="183">
        <v>20</v>
      </c>
      <c r="F803" s="183">
        <v>1285</v>
      </c>
      <c r="G803" s="184">
        <v>1</v>
      </c>
      <c r="H803" s="158"/>
      <c r="I803" s="154"/>
      <c r="J803" s="154"/>
      <c r="K803" s="154"/>
      <c r="L803" s="154"/>
      <c r="M803" s="154"/>
      <c r="N803" s="154"/>
      <c r="O803" s="154"/>
      <c r="P803" s="154"/>
      <c r="Q803" s="154"/>
      <c r="R803" s="154"/>
      <c r="S803" s="154"/>
      <c r="T803" s="154"/>
      <c r="U803" s="154"/>
      <c r="V803" s="154"/>
      <c r="W803" s="154"/>
      <c r="X803" s="154"/>
      <c r="Y803" s="154"/>
      <c r="Z803" s="154"/>
      <c r="AA803" s="154"/>
    </row>
    <row r="804" spans="1:27" ht="15">
      <c r="A804" s="180">
        <v>45869</v>
      </c>
      <c r="B804" s="181" t="s">
        <v>12969</v>
      </c>
      <c r="C804" s="182" t="s">
        <v>115</v>
      </c>
      <c r="D804" s="182">
        <v>77402</v>
      </c>
      <c r="E804" s="183">
        <v>88</v>
      </c>
      <c r="F804" s="183">
        <v>4689</v>
      </c>
      <c r="G804" s="184">
        <v>23</v>
      </c>
      <c r="H804" s="158"/>
      <c r="I804" s="154"/>
      <c r="J804" s="154"/>
      <c r="K804" s="154"/>
      <c r="L804" s="154"/>
      <c r="M804" s="154"/>
      <c r="N804" s="154"/>
      <c r="O804" s="154"/>
      <c r="P804" s="154"/>
      <c r="Q804" s="154"/>
      <c r="R804" s="154"/>
      <c r="S804" s="154"/>
      <c r="T804" s="154"/>
      <c r="U804" s="154"/>
      <c r="V804" s="154"/>
      <c r="W804" s="154"/>
      <c r="X804" s="154"/>
      <c r="Y804" s="154"/>
      <c r="Z804" s="154"/>
      <c r="AA804" s="154"/>
    </row>
    <row r="805" spans="1:27" ht="15">
      <c r="A805" s="180">
        <v>45869</v>
      </c>
      <c r="B805" s="181" t="s">
        <v>12970</v>
      </c>
      <c r="C805" s="182" t="s">
        <v>115</v>
      </c>
      <c r="D805" s="182">
        <v>12848</v>
      </c>
      <c r="E805" s="183">
        <v>12</v>
      </c>
      <c r="F805" s="183">
        <v>799</v>
      </c>
      <c r="G805" s="184">
        <v>1</v>
      </c>
      <c r="H805" s="158"/>
      <c r="I805" s="154"/>
      <c r="J805" s="154"/>
      <c r="K805" s="154"/>
      <c r="L805" s="154"/>
      <c r="M805" s="154"/>
      <c r="N805" s="154"/>
      <c r="O805" s="154"/>
      <c r="P805" s="154"/>
      <c r="Q805" s="154"/>
      <c r="R805" s="154"/>
      <c r="S805" s="154"/>
      <c r="T805" s="154"/>
      <c r="U805" s="154"/>
      <c r="V805" s="154"/>
      <c r="W805" s="154"/>
      <c r="X805" s="154"/>
      <c r="Y805" s="154"/>
      <c r="Z805" s="154"/>
      <c r="AA805" s="154"/>
    </row>
    <row r="806" spans="1:27" ht="15">
      <c r="A806" s="180">
        <v>45869</v>
      </c>
      <c r="B806" s="181" t="s">
        <v>12963</v>
      </c>
      <c r="C806" s="182" t="s">
        <v>61</v>
      </c>
      <c r="D806" s="182">
        <v>79959</v>
      </c>
      <c r="E806" s="183">
        <v>95</v>
      </c>
      <c r="F806" s="183">
        <v>5421</v>
      </c>
      <c r="G806" s="184">
        <v>18</v>
      </c>
      <c r="H806" s="158"/>
      <c r="I806" s="154"/>
      <c r="J806" s="154"/>
      <c r="K806" s="154"/>
      <c r="L806" s="154"/>
      <c r="M806" s="154"/>
      <c r="N806" s="154"/>
      <c r="O806" s="154"/>
      <c r="P806" s="154"/>
      <c r="Q806" s="154"/>
      <c r="R806" s="154"/>
      <c r="S806" s="154"/>
      <c r="T806" s="154"/>
      <c r="U806" s="154"/>
      <c r="V806" s="154"/>
      <c r="W806" s="154"/>
      <c r="X806" s="154"/>
      <c r="Y806" s="154"/>
      <c r="Z806" s="154"/>
      <c r="AA806" s="154"/>
    </row>
    <row r="807" spans="1:27" ht="15">
      <c r="A807" s="180">
        <v>45869</v>
      </c>
      <c r="B807" s="181" t="s">
        <v>12968</v>
      </c>
      <c r="C807" s="182" t="s">
        <v>61</v>
      </c>
      <c r="D807" s="182">
        <v>56209</v>
      </c>
      <c r="E807" s="183">
        <v>90</v>
      </c>
      <c r="F807" s="183">
        <v>3772</v>
      </c>
      <c r="G807" s="184">
        <v>19</v>
      </c>
      <c r="H807" s="158"/>
      <c r="I807" s="154"/>
      <c r="J807" s="154"/>
      <c r="K807" s="154"/>
      <c r="L807" s="154"/>
      <c r="M807" s="154"/>
      <c r="N807" s="154"/>
      <c r="O807" s="154"/>
      <c r="P807" s="154"/>
      <c r="Q807" s="154"/>
      <c r="R807" s="154"/>
      <c r="S807" s="154"/>
      <c r="T807" s="154"/>
      <c r="U807" s="154"/>
      <c r="V807" s="154"/>
      <c r="W807" s="154"/>
      <c r="X807" s="154"/>
      <c r="Y807" s="154"/>
      <c r="Z807" s="154"/>
      <c r="AA807" s="154"/>
    </row>
    <row r="808" spans="1:27" ht="15">
      <c r="A808" s="180">
        <v>45870</v>
      </c>
      <c r="B808" s="181" t="s">
        <v>13001</v>
      </c>
      <c r="C808" s="182" t="s">
        <v>1774</v>
      </c>
      <c r="D808" s="182">
        <v>13380</v>
      </c>
      <c r="E808" s="183">
        <v>7</v>
      </c>
      <c r="F808" s="183">
        <v>485</v>
      </c>
      <c r="G808" s="184">
        <v>0</v>
      </c>
      <c r="H808" s="158"/>
      <c r="I808" s="154"/>
      <c r="J808" s="154"/>
      <c r="K808" s="154"/>
      <c r="L808" s="154"/>
      <c r="M808" s="154"/>
      <c r="N808" s="154"/>
      <c r="O808" s="154"/>
      <c r="P808" s="154"/>
      <c r="Q808" s="154"/>
      <c r="R808" s="154"/>
      <c r="S808" s="154"/>
      <c r="T808" s="154"/>
      <c r="U808" s="154"/>
      <c r="V808" s="154"/>
      <c r="W808" s="154"/>
      <c r="X808" s="154"/>
      <c r="Y808" s="154"/>
      <c r="Z808" s="154"/>
      <c r="AA808" s="154"/>
    </row>
    <row r="809" spans="1:27" ht="15">
      <c r="A809" s="180">
        <v>45870</v>
      </c>
      <c r="B809" s="181" t="s">
        <v>13002</v>
      </c>
      <c r="C809" s="182" t="s">
        <v>1229</v>
      </c>
      <c r="D809" s="182">
        <v>26345</v>
      </c>
      <c r="E809" s="183">
        <v>16</v>
      </c>
      <c r="F809" s="183">
        <v>1145</v>
      </c>
      <c r="G809" s="184">
        <v>4</v>
      </c>
      <c r="H809" s="158"/>
      <c r="I809" s="154"/>
      <c r="J809" s="154"/>
      <c r="K809" s="154"/>
      <c r="L809" s="154"/>
      <c r="M809" s="154"/>
      <c r="N809" s="154"/>
      <c r="O809" s="154"/>
      <c r="P809" s="154"/>
      <c r="Q809" s="154"/>
      <c r="R809" s="154"/>
      <c r="S809" s="154"/>
      <c r="T809" s="154"/>
      <c r="U809" s="154"/>
      <c r="V809" s="154"/>
      <c r="W809" s="154"/>
      <c r="X809" s="154"/>
      <c r="Y809" s="154"/>
      <c r="Z809" s="154"/>
      <c r="AA809" s="154"/>
    </row>
    <row r="810" spans="1:27" ht="15">
      <c r="A810" s="180">
        <v>45870</v>
      </c>
      <c r="B810" s="181" t="s">
        <v>12992</v>
      </c>
      <c r="C810" s="182" t="s">
        <v>115</v>
      </c>
      <c r="D810" s="182">
        <v>38040</v>
      </c>
      <c r="E810" s="183">
        <v>39</v>
      </c>
      <c r="F810" s="183">
        <v>2745</v>
      </c>
      <c r="G810" s="184">
        <v>10</v>
      </c>
      <c r="H810" s="158"/>
      <c r="I810" s="154"/>
      <c r="J810" s="154"/>
      <c r="K810" s="154"/>
      <c r="L810" s="154"/>
      <c r="M810" s="154"/>
      <c r="N810" s="154"/>
      <c r="O810" s="154"/>
      <c r="P810" s="154"/>
      <c r="Q810" s="154"/>
      <c r="R810" s="154"/>
      <c r="S810" s="154"/>
      <c r="T810" s="154"/>
      <c r="U810" s="154"/>
      <c r="V810" s="154"/>
      <c r="W810" s="154"/>
      <c r="X810" s="154"/>
      <c r="Y810" s="154"/>
      <c r="Z810" s="154"/>
      <c r="AA810" s="154"/>
    </row>
    <row r="811" spans="1:27" ht="15">
      <c r="A811" s="180">
        <v>45870</v>
      </c>
      <c r="B811" s="181" t="s">
        <v>12980</v>
      </c>
      <c r="C811" s="182" t="s">
        <v>115</v>
      </c>
      <c r="D811" s="182">
        <v>22580</v>
      </c>
      <c r="E811" s="183">
        <v>6</v>
      </c>
      <c r="F811" s="183">
        <v>714</v>
      </c>
      <c r="G811" s="184">
        <v>0</v>
      </c>
      <c r="H811" s="158"/>
      <c r="I811" s="154"/>
      <c r="J811" s="154"/>
      <c r="K811" s="154"/>
      <c r="L811" s="154"/>
      <c r="M811" s="154"/>
      <c r="N811" s="154"/>
      <c r="O811" s="154"/>
      <c r="P811" s="154"/>
      <c r="Q811" s="154"/>
      <c r="R811" s="154"/>
      <c r="S811" s="154"/>
      <c r="T811" s="154"/>
      <c r="U811" s="154"/>
      <c r="V811" s="154"/>
      <c r="W811" s="154"/>
      <c r="X811" s="154"/>
      <c r="Y811" s="154"/>
      <c r="Z811" s="154"/>
      <c r="AA811" s="154"/>
    </row>
    <row r="812" spans="1:27" ht="15">
      <c r="A812" s="180">
        <v>45870</v>
      </c>
      <c r="B812" s="181" t="s">
        <v>12981</v>
      </c>
      <c r="C812" s="182" t="s">
        <v>115</v>
      </c>
      <c r="D812" s="182">
        <v>26096</v>
      </c>
      <c r="E812" s="183">
        <v>13</v>
      </c>
      <c r="F812" s="183">
        <v>1172</v>
      </c>
      <c r="G812" s="184">
        <v>2</v>
      </c>
      <c r="H812" s="158"/>
      <c r="I812" s="154"/>
      <c r="J812" s="154"/>
      <c r="K812" s="154"/>
      <c r="L812" s="154"/>
      <c r="M812" s="154"/>
      <c r="N812" s="154"/>
      <c r="O812" s="154"/>
      <c r="P812" s="154"/>
      <c r="Q812" s="154"/>
      <c r="R812" s="154"/>
      <c r="S812" s="154"/>
      <c r="T812" s="154"/>
      <c r="U812" s="154"/>
      <c r="V812" s="154"/>
      <c r="W812" s="154"/>
      <c r="X812" s="154"/>
      <c r="Y812" s="154"/>
      <c r="Z812" s="154"/>
      <c r="AA812" s="154"/>
    </row>
    <row r="813" spans="1:27" ht="15">
      <c r="A813" s="180">
        <v>45870</v>
      </c>
      <c r="B813" s="181" t="s">
        <v>12982</v>
      </c>
      <c r="C813" s="182" t="s">
        <v>61</v>
      </c>
      <c r="D813" s="182">
        <v>56542</v>
      </c>
      <c r="E813" s="183">
        <v>55</v>
      </c>
      <c r="F813" s="183">
        <v>4085</v>
      </c>
      <c r="G813" s="184">
        <v>11</v>
      </c>
      <c r="H813" s="158"/>
      <c r="I813" s="154"/>
      <c r="J813" s="154"/>
      <c r="K813" s="154"/>
      <c r="L813" s="154"/>
      <c r="M813" s="154"/>
      <c r="N813" s="154"/>
      <c r="O813" s="154"/>
      <c r="P813" s="154"/>
      <c r="Q813" s="154"/>
      <c r="R813" s="154"/>
      <c r="S813" s="154"/>
      <c r="T813" s="154"/>
      <c r="U813" s="154"/>
      <c r="V813" s="154"/>
      <c r="W813" s="154"/>
      <c r="X813" s="154"/>
      <c r="Y813" s="154"/>
      <c r="Z813" s="154"/>
      <c r="AA813" s="154"/>
    </row>
    <row r="814" spans="1:27" ht="15">
      <c r="A814" s="180">
        <v>45870</v>
      </c>
      <c r="B814" s="181" t="s">
        <v>12995</v>
      </c>
      <c r="C814" s="182" t="s">
        <v>1229</v>
      </c>
      <c r="D814" s="182">
        <v>48261</v>
      </c>
      <c r="E814" s="183">
        <v>50</v>
      </c>
      <c r="F814" s="183">
        <v>2676</v>
      </c>
      <c r="G814" s="184">
        <v>14</v>
      </c>
      <c r="H814" s="158"/>
      <c r="I814" s="154"/>
      <c r="J814" s="154"/>
      <c r="K814" s="154"/>
      <c r="L814" s="154"/>
      <c r="M814" s="154"/>
      <c r="N814" s="154"/>
      <c r="O814" s="154"/>
      <c r="P814" s="154"/>
      <c r="Q814" s="154"/>
      <c r="R814" s="154"/>
      <c r="S814" s="154"/>
      <c r="T814" s="154"/>
      <c r="U814" s="154"/>
      <c r="V814" s="154"/>
      <c r="W814" s="154"/>
      <c r="X814" s="154"/>
      <c r="Y814" s="154"/>
      <c r="Z814" s="154"/>
      <c r="AA814" s="154"/>
    </row>
    <row r="815" spans="1:27" ht="15">
      <c r="A815" s="180">
        <v>45870</v>
      </c>
      <c r="B815" s="181" t="s">
        <v>12996</v>
      </c>
      <c r="C815" s="182" t="s">
        <v>1229</v>
      </c>
      <c r="D815" s="182">
        <v>36365</v>
      </c>
      <c r="E815" s="183">
        <v>24</v>
      </c>
      <c r="F815" s="183">
        <v>1527</v>
      </c>
      <c r="G815" s="184">
        <v>5</v>
      </c>
      <c r="H815" s="158"/>
      <c r="I815" s="154"/>
      <c r="J815" s="154"/>
      <c r="K815" s="154"/>
      <c r="L815" s="154"/>
      <c r="M815" s="154"/>
      <c r="N815" s="154"/>
      <c r="O815" s="154"/>
      <c r="P815" s="154"/>
      <c r="Q815" s="154"/>
      <c r="R815" s="154"/>
      <c r="S815" s="154"/>
      <c r="T815" s="154"/>
      <c r="U815" s="154"/>
      <c r="V815" s="154"/>
      <c r="W815" s="154"/>
      <c r="X815" s="154"/>
      <c r="Y815" s="154"/>
      <c r="Z815" s="154"/>
      <c r="AA815" s="154"/>
    </row>
    <row r="816" spans="1:27" ht="15">
      <c r="A816" s="180">
        <v>45870</v>
      </c>
      <c r="B816" s="181" t="s">
        <v>12969</v>
      </c>
      <c r="C816" s="182" t="s">
        <v>115</v>
      </c>
      <c r="D816" s="182">
        <v>25242</v>
      </c>
      <c r="E816" s="183">
        <v>22</v>
      </c>
      <c r="F816" s="183">
        <v>1394</v>
      </c>
      <c r="G816" s="184">
        <v>3</v>
      </c>
      <c r="H816" s="158"/>
      <c r="I816" s="154"/>
      <c r="J816" s="154"/>
      <c r="K816" s="154"/>
      <c r="L816" s="154"/>
      <c r="M816" s="154"/>
      <c r="N816" s="154"/>
      <c r="O816" s="154"/>
      <c r="P816" s="154"/>
      <c r="Q816" s="154"/>
      <c r="R816" s="154"/>
      <c r="S816" s="154"/>
      <c r="T816" s="154"/>
      <c r="U816" s="154"/>
      <c r="V816" s="154"/>
      <c r="W816" s="154"/>
      <c r="X816" s="154"/>
      <c r="Y816" s="154"/>
      <c r="Z816" s="154"/>
      <c r="AA816" s="154"/>
    </row>
    <row r="817" spans="1:27" ht="15">
      <c r="A817" s="180">
        <v>45870</v>
      </c>
      <c r="B817" s="181" t="s">
        <v>12970</v>
      </c>
      <c r="C817" s="182" t="s">
        <v>115</v>
      </c>
      <c r="D817" s="182">
        <v>49562</v>
      </c>
      <c r="E817" s="183">
        <v>63</v>
      </c>
      <c r="F817" s="183">
        <v>4578</v>
      </c>
      <c r="G817" s="184">
        <v>11</v>
      </c>
      <c r="H817" s="158"/>
      <c r="I817" s="154"/>
      <c r="J817" s="154"/>
      <c r="K817" s="154"/>
      <c r="L817" s="154"/>
      <c r="M817" s="154"/>
      <c r="N817" s="154"/>
      <c r="O817" s="154"/>
      <c r="P817" s="154"/>
      <c r="Q817" s="154"/>
      <c r="R817" s="154"/>
      <c r="S817" s="154"/>
      <c r="T817" s="154"/>
      <c r="U817" s="154"/>
      <c r="V817" s="154"/>
      <c r="W817" s="154"/>
      <c r="X817" s="154"/>
      <c r="Y817" s="154"/>
      <c r="Z817" s="154"/>
      <c r="AA817" s="154"/>
    </row>
    <row r="818" spans="1:27" ht="15">
      <c r="A818" s="180">
        <v>45870</v>
      </c>
      <c r="B818" s="181" t="s">
        <v>12963</v>
      </c>
      <c r="C818" s="182" t="s">
        <v>61</v>
      </c>
      <c r="D818" s="182">
        <v>16808</v>
      </c>
      <c r="E818" s="183">
        <v>6</v>
      </c>
      <c r="F818" s="183">
        <v>1048</v>
      </c>
      <c r="G818" s="184">
        <v>1</v>
      </c>
      <c r="H818" s="158"/>
      <c r="I818" s="154"/>
      <c r="J818" s="154"/>
      <c r="K818" s="154"/>
      <c r="L818" s="154"/>
      <c r="M818" s="154"/>
      <c r="N818" s="154"/>
      <c r="O818" s="154"/>
      <c r="P818" s="154"/>
      <c r="Q818" s="154"/>
      <c r="R818" s="154"/>
      <c r="S818" s="154"/>
      <c r="T818" s="154"/>
      <c r="U818" s="154"/>
      <c r="V818" s="154"/>
      <c r="W818" s="154"/>
      <c r="X818" s="154"/>
      <c r="Y818" s="154"/>
      <c r="Z818" s="154"/>
      <c r="AA818" s="154"/>
    </row>
    <row r="819" spans="1:27" ht="15">
      <c r="A819" s="180">
        <v>45870</v>
      </c>
      <c r="B819" s="181" t="s">
        <v>12968</v>
      </c>
      <c r="C819" s="182" t="s">
        <v>61</v>
      </c>
      <c r="D819" s="182">
        <v>13790</v>
      </c>
      <c r="E819" s="183">
        <v>9</v>
      </c>
      <c r="F819" s="183">
        <v>859</v>
      </c>
      <c r="G819" s="184">
        <v>1</v>
      </c>
      <c r="H819" s="158"/>
      <c r="I819" s="154"/>
      <c r="J819" s="154"/>
      <c r="K819" s="154"/>
      <c r="L819" s="154"/>
      <c r="M819" s="154"/>
      <c r="N819" s="154"/>
      <c r="O819" s="154"/>
      <c r="P819" s="154"/>
      <c r="Q819" s="154"/>
      <c r="R819" s="154"/>
      <c r="S819" s="154"/>
      <c r="T819" s="154"/>
      <c r="U819" s="154"/>
      <c r="V819" s="154"/>
      <c r="W819" s="154"/>
      <c r="X819" s="154"/>
      <c r="Y819" s="154"/>
      <c r="Z819" s="154"/>
      <c r="AA819" s="154"/>
    </row>
    <row r="820" spans="1:27" ht="15">
      <c r="A820" s="180">
        <v>45871</v>
      </c>
      <c r="B820" s="181" t="s">
        <v>13002</v>
      </c>
      <c r="C820" s="182" t="s">
        <v>1229</v>
      </c>
      <c r="D820" s="182">
        <v>16381</v>
      </c>
      <c r="E820" s="183">
        <v>9</v>
      </c>
      <c r="F820" s="183">
        <v>831</v>
      </c>
      <c r="G820" s="184">
        <v>0</v>
      </c>
      <c r="H820" s="158"/>
      <c r="I820" s="154"/>
      <c r="J820" s="154"/>
      <c r="K820" s="154"/>
      <c r="L820" s="154"/>
      <c r="M820" s="154"/>
      <c r="N820" s="154"/>
      <c r="O820" s="154"/>
      <c r="P820" s="154"/>
      <c r="Q820" s="154"/>
      <c r="R820" s="154"/>
      <c r="S820" s="154"/>
      <c r="T820" s="154"/>
      <c r="U820" s="154"/>
      <c r="V820" s="154"/>
      <c r="W820" s="154"/>
      <c r="X820" s="154"/>
      <c r="Y820" s="154"/>
      <c r="Z820" s="154"/>
      <c r="AA820" s="154"/>
    </row>
    <row r="821" spans="1:27" ht="15">
      <c r="A821" s="180">
        <v>45871</v>
      </c>
      <c r="B821" s="181" t="s">
        <v>12992</v>
      </c>
      <c r="C821" s="182" t="s">
        <v>115</v>
      </c>
      <c r="D821" s="182">
        <v>5159</v>
      </c>
      <c r="E821" s="183">
        <v>4</v>
      </c>
      <c r="F821" s="183">
        <v>571</v>
      </c>
      <c r="G821" s="184">
        <v>0</v>
      </c>
      <c r="H821" s="158"/>
      <c r="I821" s="154"/>
      <c r="J821" s="154"/>
      <c r="K821" s="154"/>
      <c r="L821" s="154"/>
      <c r="M821" s="154"/>
      <c r="N821" s="154"/>
      <c r="O821" s="154"/>
      <c r="P821" s="154"/>
      <c r="Q821" s="154"/>
      <c r="R821" s="154"/>
      <c r="S821" s="154"/>
      <c r="T821" s="154"/>
      <c r="U821" s="154"/>
      <c r="V821" s="154"/>
      <c r="W821" s="154"/>
      <c r="X821" s="154"/>
      <c r="Y821" s="154"/>
      <c r="Z821" s="154"/>
      <c r="AA821" s="154"/>
    </row>
    <row r="822" spans="1:27" ht="15">
      <c r="A822" s="180">
        <v>45871</v>
      </c>
      <c r="B822" s="181" t="s">
        <v>12994</v>
      </c>
      <c r="C822" s="182" t="s">
        <v>61</v>
      </c>
      <c r="D822" s="182">
        <v>64270</v>
      </c>
      <c r="E822" s="183">
        <v>14</v>
      </c>
      <c r="F822" s="183">
        <v>2565</v>
      </c>
      <c r="G822" s="184">
        <v>0</v>
      </c>
      <c r="H822" s="158"/>
      <c r="I822" s="154"/>
      <c r="J822" s="154"/>
      <c r="K822" s="154"/>
      <c r="L822" s="154"/>
      <c r="M822" s="154"/>
      <c r="N822" s="154"/>
      <c r="O822" s="154"/>
      <c r="P822" s="154"/>
      <c r="Q822" s="154"/>
      <c r="R822" s="154"/>
      <c r="S822" s="154"/>
      <c r="T822" s="154"/>
      <c r="U822" s="154"/>
      <c r="V822" s="154"/>
      <c r="W822" s="154"/>
      <c r="X822" s="154"/>
      <c r="Y822" s="154"/>
      <c r="Z822" s="154"/>
      <c r="AA822" s="154"/>
    </row>
    <row r="823" spans="1:27" ht="15">
      <c r="A823" s="180">
        <v>45871</v>
      </c>
      <c r="B823" s="181" t="s">
        <v>12982</v>
      </c>
      <c r="C823" s="182" t="s">
        <v>61</v>
      </c>
      <c r="D823" s="182">
        <v>17396</v>
      </c>
      <c r="E823" s="183">
        <v>18</v>
      </c>
      <c r="F823" s="183">
        <v>1014</v>
      </c>
      <c r="G823" s="184">
        <v>2</v>
      </c>
      <c r="H823" s="158"/>
      <c r="I823" s="154"/>
      <c r="J823" s="154"/>
      <c r="K823" s="154"/>
      <c r="L823" s="154"/>
      <c r="M823" s="154"/>
      <c r="N823" s="154"/>
      <c r="O823" s="154"/>
      <c r="P823" s="154"/>
      <c r="Q823" s="154"/>
      <c r="R823" s="154"/>
      <c r="S823" s="154"/>
      <c r="T823" s="154"/>
      <c r="U823" s="154"/>
      <c r="V823" s="154"/>
      <c r="W823" s="154"/>
      <c r="X823" s="154"/>
      <c r="Y823" s="154"/>
      <c r="Z823" s="154"/>
      <c r="AA823" s="154"/>
    </row>
    <row r="824" spans="1:27" ht="15">
      <c r="A824" s="180">
        <v>45871</v>
      </c>
      <c r="B824" s="181" t="s">
        <v>12995</v>
      </c>
      <c r="C824" s="182" t="s">
        <v>1229</v>
      </c>
      <c r="D824" s="182">
        <v>26795</v>
      </c>
      <c r="E824" s="183">
        <v>38</v>
      </c>
      <c r="F824" s="183">
        <v>2413</v>
      </c>
      <c r="G824" s="184">
        <v>11</v>
      </c>
      <c r="H824" s="158"/>
      <c r="I824" s="154"/>
      <c r="J824" s="154"/>
      <c r="K824" s="154"/>
      <c r="L824" s="154"/>
      <c r="M824" s="154"/>
      <c r="N824" s="154"/>
      <c r="O824" s="154"/>
      <c r="P824" s="154"/>
      <c r="Q824" s="154"/>
      <c r="R824" s="154"/>
      <c r="S824" s="154"/>
      <c r="T824" s="154"/>
      <c r="U824" s="154"/>
      <c r="V824" s="154"/>
      <c r="W824" s="154"/>
      <c r="X824" s="154"/>
      <c r="Y824" s="154"/>
      <c r="Z824" s="154"/>
      <c r="AA824" s="154"/>
    </row>
    <row r="825" spans="1:27" ht="15">
      <c r="A825" s="180">
        <v>45871</v>
      </c>
      <c r="B825" s="181" t="s">
        <v>12969</v>
      </c>
      <c r="C825" s="182" t="s">
        <v>115</v>
      </c>
      <c r="D825" s="182">
        <v>19273</v>
      </c>
      <c r="E825" s="183">
        <v>6</v>
      </c>
      <c r="F825" s="183">
        <v>1057</v>
      </c>
      <c r="G825" s="184">
        <v>1</v>
      </c>
      <c r="H825" s="158"/>
      <c r="I825" s="154"/>
      <c r="J825" s="154"/>
      <c r="K825" s="154"/>
      <c r="L825" s="154"/>
      <c r="M825" s="154"/>
      <c r="N825" s="154"/>
      <c r="O825" s="154"/>
      <c r="P825" s="154"/>
      <c r="Q825" s="154"/>
      <c r="R825" s="154"/>
      <c r="S825" s="154"/>
      <c r="T825" s="154"/>
      <c r="U825" s="154"/>
      <c r="V825" s="154"/>
      <c r="W825" s="154"/>
      <c r="X825" s="154"/>
      <c r="Y825" s="154"/>
      <c r="Z825" s="154"/>
      <c r="AA825" s="154"/>
    </row>
    <row r="826" spans="1:27" ht="15">
      <c r="A826" s="180">
        <v>45871</v>
      </c>
      <c r="B826" s="181" t="s">
        <v>12963</v>
      </c>
      <c r="C826" s="182" t="s">
        <v>61</v>
      </c>
      <c r="D826" s="182">
        <v>10355</v>
      </c>
      <c r="E826" s="183">
        <v>7</v>
      </c>
      <c r="F826" s="183">
        <v>408</v>
      </c>
      <c r="G826" s="184">
        <v>1</v>
      </c>
      <c r="H826" s="158"/>
      <c r="I826" s="154"/>
      <c r="J826" s="154"/>
      <c r="K826" s="154"/>
      <c r="L826" s="154"/>
      <c r="M826" s="154"/>
      <c r="N826" s="154"/>
      <c r="O826" s="154"/>
      <c r="P826" s="154"/>
      <c r="Q826" s="154"/>
      <c r="R826" s="154"/>
      <c r="S826" s="154"/>
      <c r="T826" s="154"/>
      <c r="U826" s="154"/>
      <c r="V826" s="154"/>
      <c r="W826" s="154"/>
      <c r="X826" s="154"/>
      <c r="Y826" s="154"/>
      <c r="Z826" s="154"/>
      <c r="AA826" s="154"/>
    </row>
    <row r="827" spans="1:27" ht="15">
      <c r="A827" s="180">
        <v>45871</v>
      </c>
      <c r="B827" s="181" t="s">
        <v>12968</v>
      </c>
      <c r="C827" s="182" t="s">
        <v>61</v>
      </c>
      <c r="D827" s="182">
        <v>18916</v>
      </c>
      <c r="E827" s="183">
        <v>11</v>
      </c>
      <c r="F827" s="183">
        <v>1042</v>
      </c>
      <c r="G827" s="184">
        <v>1</v>
      </c>
      <c r="H827" s="158"/>
      <c r="I827" s="154"/>
      <c r="J827" s="154"/>
      <c r="K827" s="154"/>
      <c r="L827" s="154"/>
      <c r="M827" s="154"/>
      <c r="N827" s="154"/>
      <c r="O827" s="154"/>
      <c r="P827" s="154"/>
      <c r="Q827" s="154"/>
      <c r="R827" s="154"/>
      <c r="S827" s="154"/>
      <c r="T827" s="154"/>
      <c r="U827" s="154"/>
      <c r="V827" s="154"/>
      <c r="W827" s="154"/>
      <c r="X827" s="154"/>
      <c r="Y827" s="154"/>
      <c r="Z827" s="154"/>
      <c r="AA827" s="154"/>
    </row>
    <row r="828" spans="1:27" ht="15">
      <c r="A828" s="180">
        <v>45873</v>
      </c>
      <c r="B828" s="181" t="s">
        <v>13002</v>
      </c>
      <c r="C828" s="182" t="s">
        <v>1229</v>
      </c>
      <c r="D828" s="182">
        <v>16340</v>
      </c>
      <c r="E828" s="183">
        <v>11</v>
      </c>
      <c r="F828" s="183">
        <v>640</v>
      </c>
      <c r="G828" s="184">
        <v>1</v>
      </c>
      <c r="H828" s="158"/>
      <c r="I828" s="154"/>
      <c r="J828" s="154"/>
      <c r="K828" s="154"/>
      <c r="L828" s="154"/>
      <c r="M828" s="154"/>
      <c r="N828" s="154"/>
      <c r="O828" s="154"/>
      <c r="P828" s="154"/>
      <c r="Q828" s="154"/>
      <c r="R828" s="154"/>
      <c r="S828" s="154"/>
      <c r="T828" s="154"/>
      <c r="U828" s="154"/>
      <c r="V828" s="154"/>
      <c r="W828" s="154"/>
      <c r="X828" s="154"/>
      <c r="Y828" s="154"/>
      <c r="Z828" s="154"/>
      <c r="AA828" s="154"/>
    </row>
    <row r="829" spans="1:27" ht="15">
      <c r="A829" s="180">
        <v>45873</v>
      </c>
      <c r="B829" s="181" t="s">
        <v>12992</v>
      </c>
      <c r="C829" s="182" t="s">
        <v>115</v>
      </c>
      <c r="D829" s="182">
        <v>12010</v>
      </c>
      <c r="E829" s="183">
        <v>23</v>
      </c>
      <c r="F829" s="183">
        <v>1463</v>
      </c>
      <c r="G829" s="184">
        <v>2</v>
      </c>
      <c r="H829" s="158"/>
      <c r="I829" s="154"/>
      <c r="J829" s="154"/>
      <c r="K829" s="154"/>
      <c r="L829" s="154"/>
      <c r="M829" s="154"/>
      <c r="N829" s="154"/>
      <c r="O829" s="154"/>
      <c r="P829" s="154"/>
      <c r="Q829" s="154"/>
      <c r="R829" s="154"/>
      <c r="S829" s="154"/>
      <c r="T829" s="154"/>
      <c r="U829" s="154"/>
      <c r="V829" s="154"/>
      <c r="W829" s="154"/>
      <c r="X829" s="154"/>
      <c r="Y829" s="154"/>
      <c r="Z829" s="154"/>
      <c r="AA829" s="154"/>
    </row>
    <row r="830" spans="1:27" ht="15">
      <c r="A830" s="180">
        <v>45873</v>
      </c>
      <c r="B830" s="181" t="s">
        <v>12994</v>
      </c>
      <c r="C830" s="182" t="s">
        <v>61</v>
      </c>
      <c r="D830" s="182">
        <v>9111</v>
      </c>
      <c r="E830" s="183">
        <v>11</v>
      </c>
      <c r="F830" s="183">
        <v>812</v>
      </c>
      <c r="G830" s="184">
        <v>0</v>
      </c>
      <c r="H830" s="158"/>
      <c r="I830" s="154"/>
      <c r="J830" s="154"/>
      <c r="K830" s="154"/>
      <c r="L830" s="154"/>
      <c r="M830" s="154"/>
      <c r="N830" s="154"/>
      <c r="O830" s="154"/>
      <c r="P830" s="154"/>
      <c r="Q830" s="154"/>
      <c r="R830" s="154"/>
      <c r="S830" s="154"/>
      <c r="T830" s="154"/>
      <c r="U830" s="154"/>
      <c r="V830" s="154"/>
      <c r="W830" s="154"/>
      <c r="X830" s="154"/>
      <c r="Y830" s="154"/>
      <c r="Z830" s="154"/>
      <c r="AA830" s="154"/>
    </row>
    <row r="831" spans="1:27" ht="15">
      <c r="A831" s="180">
        <v>45873</v>
      </c>
      <c r="B831" s="181" t="s">
        <v>12982</v>
      </c>
      <c r="C831" s="182" t="s">
        <v>61</v>
      </c>
      <c r="D831" s="182">
        <v>10606</v>
      </c>
      <c r="E831" s="183">
        <v>11</v>
      </c>
      <c r="F831" s="183">
        <v>348</v>
      </c>
      <c r="G831" s="184">
        <v>1</v>
      </c>
      <c r="H831" s="158"/>
      <c r="I831" s="154"/>
      <c r="J831" s="154"/>
      <c r="K831" s="154"/>
      <c r="L831" s="154"/>
      <c r="M831" s="154"/>
      <c r="N831" s="154"/>
      <c r="O831" s="154"/>
      <c r="P831" s="154"/>
      <c r="Q831" s="154"/>
      <c r="R831" s="154"/>
      <c r="S831" s="154"/>
      <c r="T831" s="154"/>
      <c r="U831" s="154"/>
      <c r="V831" s="154"/>
      <c r="W831" s="154"/>
      <c r="X831" s="154"/>
      <c r="Y831" s="154"/>
      <c r="Z831" s="154"/>
      <c r="AA831" s="154"/>
    </row>
    <row r="832" spans="1:27" ht="15">
      <c r="A832" s="180">
        <v>45873</v>
      </c>
      <c r="B832" s="181" t="s">
        <v>12995</v>
      </c>
      <c r="C832" s="182" t="s">
        <v>1229</v>
      </c>
      <c r="D832" s="182">
        <v>18842</v>
      </c>
      <c r="E832" s="183">
        <v>13</v>
      </c>
      <c r="F832" s="183">
        <v>569</v>
      </c>
      <c r="G832" s="184">
        <v>0</v>
      </c>
      <c r="H832" s="158"/>
      <c r="I832" s="154"/>
      <c r="J832" s="154"/>
      <c r="K832" s="154"/>
      <c r="L832" s="154"/>
      <c r="M832" s="154"/>
      <c r="N832" s="154"/>
      <c r="O832" s="154"/>
      <c r="P832" s="154"/>
      <c r="Q832" s="154"/>
      <c r="R832" s="154"/>
      <c r="S832" s="154"/>
      <c r="T832" s="154"/>
      <c r="U832" s="154"/>
      <c r="V832" s="154"/>
      <c r="W832" s="154"/>
      <c r="X832" s="154"/>
      <c r="Y832" s="154"/>
      <c r="Z832" s="154"/>
      <c r="AA832" s="154"/>
    </row>
    <row r="833" spans="1:27" ht="15">
      <c r="A833" s="180">
        <v>45873</v>
      </c>
      <c r="B833" s="181" t="s">
        <v>12996</v>
      </c>
      <c r="C833" s="182" t="s">
        <v>1229</v>
      </c>
      <c r="D833" s="182">
        <v>10563</v>
      </c>
      <c r="E833" s="183">
        <v>27</v>
      </c>
      <c r="F833" s="183">
        <v>1901</v>
      </c>
      <c r="G833" s="184">
        <v>1</v>
      </c>
      <c r="H833" s="158"/>
      <c r="I833" s="154"/>
      <c r="J833" s="154"/>
      <c r="K833" s="154"/>
      <c r="L833" s="154"/>
      <c r="M833" s="154"/>
      <c r="N833" s="154"/>
      <c r="O833" s="154"/>
      <c r="P833" s="154"/>
      <c r="Q833" s="154"/>
      <c r="R833" s="154"/>
      <c r="S833" s="154"/>
      <c r="T833" s="154"/>
      <c r="U833" s="154"/>
      <c r="V833" s="154"/>
      <c r="W833" s="154"/>
      <c r="X833" s="154"/>
      <c r="Y833" s="154"/>
      <c r="Z833" s="154"/>
      <c r="AA833" s="154"/>
    </row>
    <row r="834" spans="1:27" ht="15">
      <c r="A834" s="180">
        <v>45873</v>
      </c>
      <c r="B834" s="181" t="s">
        <v>12969</v>
      </c>
      <c r="C834" s="182" t="s">
        <v>115</v>
      </c>
      <c r="D834" s="182">
        <v>45649</v>
      </c>
      <c r="E834" s="183">
        <v>38</v>
      </c>
      <c r="F834" s="183">
        <v>2915</v>
      </c>
      <c r="G834" s="184">
        <v>9</v>
      </c>
      <c r="H834" s="158"/>
      <c r="I834" s="154"/>
      <c r="J834" s="154"/>
      <c r="K834" s="154"/>
      <c r="L834" s="154"/>
      <c r="M834" s="154"/>
      <c r="N834" s="154"/>
      <c r="O834" s="154"/>
      <c r="P834" s="154"/>
      <c r="Q834" s="154"/>
      <c r="R834" s="154"/>
      <c r="S834" s="154"/>
      <c r="T834" s="154"/>
      <c r="U834" s="154"/>
      <c r="V834" s="154"/>
      <c r="W834" s="154"/>
      <c r="X834" s="154"/>
      <c r="Y834" s="154"/>
      <c r="Z834" s="154"/>
      <c r="AA834" s="154"/>
    </row>
    <row r="835" spans="1:27" ht="15">
      <c r="A835" s="180">
        <v>45873</v>
      </c>
      <c r="B835" s="181" t="s">
        <v>12963</v>
      </c>
      <c r="C835" s="182" t="s">
        <v>61</v>
      </c>
      <c r="D835" s="182">
        <v>15354</v>
      </c>
      <c r="E835" s="183">
        <v>5</v>
      </c>
      <c r="F835" s="183">
        <v>568</v>
      </c>
      <c r="G835" s="184">
        <v>0</v>
      </c>
      <c r="H835" s="158"/>
      <c r="I835" s="154"/>
      <c r="J835" s="154"/>
      <c r="K835" s="154"/>
      <c r="L835" s="154"/>
      <c r="M835" s="154"/>
      <c r="N835" s="154"/>
      <c r="O835" s="154"/>
      <c r="P835" s="154"/>
      <c r="Q835" s="154"/>
      <c r="R835" s="154"/>
      <c r="S835" s="154"/>
      <c r="T835" s="154"/>
      <c r="U835" s="154"/>
      <c r="V835" s="154"/>
      <c r="W835" s="154"/>
      <c r="X835" s="154"/>
      <c r="Y835" s="154"/>
      <c r="Z835" s="154"/>
      <c r="AA835" s="154"/>
    </row>
    <row r="836" spans="1:27" ht="15">
      <c r="A836" s="180">
        <v>45873</v>
      </c>
      <c r="B836" s="181" t="s">
        <v>12968</v>
      </c>
      <c r="C836" s="182" t="s">
        <v>61</v>
      </c>
      <c r="D836" s="182">
        <v>20998</v>
      </c>
      <c r="E836" s="183">
        <v>22</v>
      </c>
      <c r="F836" s="183">
        <v>1552</v>
      </c>
      <c r="G836" s="184">
        <v>3</v>
      </c>
      <c r="H836" s="158"/>
      <c r="I836" s="154"/>
      <c r="J836" s="154"/>
      <c r="K836" s="154"/>
      <c r="L836" s="154"/>
      <c r="M836" s="154"/>
      <c r="N836" s="154"/>
      <c r="O836" s="154"/>
      <c r="P836" s="154"/>
      <c r="Q836" s="154"/>
      <c r="R836" s="154"/>
      <c r="S836" s="154"/>
      <c r="T836" s="154"/>
      <c r="U836" s="154"/>
      <c r="V836" s="154"/>
      <c r="W836" s="154"/>
      <c r="X836" s="154"/>
      <c r="Y836" s="154"/>
      <c r="Z836" s="154"/>
      <c r="AA836" s="154"/>
    </row>
    <row r="837" spans="1:27" ht="15">
      <c r="A837" s="180">
        <v>45874</v>
      </c>
      <c r="B837" s="181" t="s">
        <v>13001</v>
      </c>
      <c r="C837" s="182" t="s">
        <v>1774</v>
      </c>
      <c r="D837" s="182">
        <v>2483</v>
      </c>
      <c r="E837" s="183">
        <v>1</v>
      </c>
      <c r="F837" s="183">
        <v>128</v>
      </c>
      <c r="G837" s="184">
        <v>0</v>
      </c>
      <c r="H837" s="158"/>
      <c r="I837" s="154"/>
      <c r="J837" s="154"/>
      <c r="K837" s="154"/>
      <c r="L837" s="154"/>
      <c r="M837" s="154"/>
      <c r="N837" s="154"/>
      <c r="O837" s="154"/>
      <c r="P837" s="154"/>
      <c r="Q837" s="154"/>
      <c r="R837" s="154"/>
      <c r="S837" s="154"/>
      <c r="T837" s="154"/>
      <c r="U837" s="154"/>
      <c r="V837" s="154"/>
      <c r="W837" s="154"/>
      <c r="X837" s="154"/>
      <c r="Y837" s="154"/>
      <c r="Z837" s="154"/>
      <c r="AA837" s="154"/>
    </row>
    <row r="838" spans="1:27" ht="15">
      <c r="A838" s="180">
        <v>45874</v>
      </c>
      <c r="B838" s="181" t="s">
        <v>13002</v>
      </c>
      <c r="C838" s="182" t="s">
        <v>1229</v>
      </c>
      <c r="D838" s="182">
        <v>7357</v>
      </c>
      <c r="E838" s="183">
        <v>6</v>
      </c>
      <c r="F838" s="183">
        <v>579</v>
      </c>
      <c r="G838" s="184">
        <v>0</v>
      </c>
      <c r="H838" s="158"/>
      <c r="I838" s="154"/>
      <c r="J838" s="154"/>
      <c r="K838" s="154"/>
      <c r="L838" s="154"/>
      <c r="M838" s="154"/>
      <c r="N838" s="154"/>
      <c r="O838" s="154"/>
      <c r="P838" s="154"/>
      <c r="Q838" s="154"/>
      <c r="R838" s="154"/>
      <c r="S838" s="154"/>
      <c r="T838" s="154"/>
      <c r="U838" s="154"/>
      <c r="V838" s="154"/>
      <c r="W838" s="154"/>
      <c r="X838" s="154"/>
      <c r="Y838" s="154"/>
      <c r="Z838" s="154"/>
      <c r="AA838" s="154"/>
    </row>
    <row r="839" spans="1:27" ht="15">
      <c r="A839" s="180">
        <v>45874</v>
      </c>
      <c r="B839" s="181" t="s">
        <v>12992</v>
      </c>
      <c r="C839" s="182" t="s">
        <v>115</v>
      </c>
      <c r="D839" s="182">
        <v>6702</v>
      </c>
      <c r="E839" s="183">
        <v>5</v>
      </c>
      <c r="F839" s="183">
        <v>709</v>
      </c>
      <c r="G839" s="184">
        <v>0</v>
      </c>
      <c r="H839" s="158"/>
      <c r="I839" s="154"/>
      <c r="J839" s="154"/>
      <c r="K839" s="154"/>
      <c r="L839" s="154"/>
      <c r="M839" s="154"/>
      <c r="N839" s="154"/>
      <c r="O839" s="154"/>
      <c r="P839" s="154"/>
      <c r="Q839" s="154"/>
      <c r="R839" s="154"/>
      <c r="S839" s="154"/>
      <c r="T839" s="154"/>
      <c r="U839" s="154"/>
      <c r="V839" s="154"/>
      <c r="W839" s="154"/>
      <c r="X839" s="154"/>
      <c r="Y839" s="154"/>
      <c r="Z839" s="154"/>
      <c r="AA839" s="154"/>
    </row>
    <row r="840" spans="1:27" ht="15">
      <c r="A840" s="180">
        <v>45874</v>
      </c>
      <c r="B840" s="181" t="s">
        <v>12994</v>
      </c>
      <c r="C840" s="182" t="s">
        <v>61</v>
      </c>
      <c r="D840" s="182">
        <v>4364</v>
      </c>
      <c r="E840" s="183">
        <v>1</v>
      </c>
      <c r="F840" s="183">
        <v>125</v>
      </c>
      <c r="G840" s="184">
        <v>0</v>
      </c>
      <c r="H840" s="158"/>
      <c r="I840" s="154"/>
      <c r="J840" s="154"/>
      <c r="K840" s="154"/>
      <c r="L840" s="154"/>
      <c r="M840" s="154"/>
      <c r="N840" s="154"/>
      <c r="O840" s="154"/>
      <c r="P840" s="154"/>
      <c r="Q840" s="154"/>
      <c r="R840" s="154"/>
      <c r="S840" s="154"/>
      <c r="T840" s="154"/>
      <c r="U840" s="154"/>
      <c r="V840" s="154"/>
      <c r="W840" s="154"/>
      <c r="X840" s="154"/>
      <c r="Y840" s="154"/>
      <c r="Z840" s="154"/>
      <c r="AA840" s="154"/>
    </row>
    <row r="841" spans="1:27" ht="15">
      <c r="A841" s="180">
        <v>45874</v>
      </c>
      <c r="B841" s="181" t="s">
        <v>12980</v>
      </c>
      <c r="C841" s="182" t="s">
        <v>115</v>
      </c>
      <c r="D841" s="182">
        <v>7770</v>
      </c>
      <c r="E841" s="183">
        <v>1</v>
      </c>
      <c r="F841" s="183">
        <v>376</v>
      </c>
      <c r="G841" s="184">
        <v>0</v>
      </c>
      <c r="H841" s="158"/>
      <c r="I841" s="154"/>
      <c r="J841" s="154"/>
      <c r="K841" s="154"/>
      <c r="L841" s="154"/>
      <c r="M841" s="154"/>
      <c r="N841" s="154"/>
      <c r="O841" s="154"/>
      <c r="P841" s="154"/>
      <c r="Q841" s="154"/>
      <c r="R841" s="154"/>
      <c r="S841" s="154"/>
      <c r="T841" s="154"/>
      <c r="U841" s="154"/>
      <c r="V841" s="154"/>
      <c r="W841" s="154"/>
      <c r="X841" s="154"/>
      <c r="Y841" s="154"/>
      <c r="Z841" s="154"/>
      <c r="AA841" s="154"/>
    </row>
    <row r="842" spans="1:27" ht="15">
      <c r="A842" s="180">
        <v>45874</v>
      </c>
      <c r="B842" s="181" t="s">
        <v>12981</v>
      </c>
      <c r="C842" s="182" t="s">
        <v>115</v>
      </c>
      <c r="D842" s="182">
        <v>3944</v>
      </c>
      <c r="E842" s="183">
        <v>4</v>
      </c>
      <c r="F842" s="183">
        <v>190</v>
      </c>
      <c r="G842" s="184">
        <v>0</v>
      </c>
      <c r="H842" s="158"/>
      <c r="I842" s="154"/>
      <c r="J842" s="154"/>
      <c r="K842" s="154"/>
      <c r="L842" s="154"/>
      <c r="M842" s="154"/>
      <c r="N842" s="154"/>
      <c r="O842" s="154"/>
      <c r="P842" s="154"/>
      <c r="Q842" s="154"/>
      <c r="R842" s="154"/>
      <c r="S842" s="154"/>
      <c r="T842" s="154"/>
      <c r="U842" s="154"/>
      <c r="V842" s="154"/>
      <c r="W842" s="154"/>
      <c r="X842" s="154"/>
      <c r="Y842" s="154"/>
      <c r="Z842" s="154"/>
      <c r="AA842" s="154"/>
    </row>
    <row r="843" spans="1:27" ht="15">
      <c r="A843" s="180">
        <v>45874</v>
      </c>
      <c r="B843" s="181" t="s">
        <v>12982</v>
      </c>
      <c r="C843" s="182" t="s">
        <v>61</v>
      </c>
      <c r="D843" s="182">
        <v>9019</v>
      </c>
      <c r="E843" s="183">
        <v>11</v>
      </c>
      <c r="F843" s="183">
        <v>628</v>
      </c>
      <c r="G843" s="184">
        <v>0</v>
      </c>
      <c r="H843" s="158"/>
      <c r="I843" s="154"/>
      <c r="J843" s="154"/>
      <c r="K843" s="154"/>
      <c r="L843" s="154"/>
      <c r="M843" s="154"/>
      <c r="N843" s="154"/>
      <c r="O843" s="154"/>
      <c r="P843" s="154"/>
      <c r="Q843" s="154"/>
      <c r="R843" s="154"/>
      <c r="S843" s="154"/>
      <c r="T843" s="154"/>
      <c r="U843" s="154"/>
      <c r="V843" s="154"/>
      <c r="W843" s="154"/>
      <c r="X843" s="154"/>
      <c r="Y843" s="154"/>
      <c r="Z843" s="154"/>
      <c r="AA843" s="154"/>
    </row>
    <row r="844" spans="1:27" ht="15">
      <c r="A844" s="180">
        <v>45874</v>
      </c>
      <c r="B844" s="181" t="s">
        <v>12995</v>
      </c>
      <c r="C844" s="182" t="s">
        <v>1229</v>
      </c>
      <c r="D844" s="182">
        <v>17025</v>
      </c>
      <c r="E844" s="183">
        <v>11</v>
      </c>
      <c r="F844" s="183">
        <v>870</v>
      </c>
      <c r="G844" s="184">
        <v>0</v>
      </c>
      <c r="H844" s="158"/>
      <c r="I844" s="154"/>
      <c r="J844" s="154"/>
      <c r="K844" s="154"/>
      <c r="L844" s="154"/>
      <c r="M844" s="154"/>
      <c r="N844" s="154"/>
      <c r="O844" s="154"/>
      <c r="P844" s="154"/>
      <c r="Q844" s="154"/>
      <c r="R844" s="154"/>
      <c r="S844" s="154"/>
      <c r="T844" s="154"/>
      <c r="U844" s="154"/>
      <c r="V844" s="154"/>
      <c r="W844" s="154"/>
      <c r="X844" s="154"/>
      <c r="Y844" s="154"/>
      <c r="Z844" s="154"/>
      <c r="AA844" s="154"/>
    </row>
    <row r="845" spans="1:27" ht="15">
      <c r="A845" s="180">
        <v>45874</v>
      </c>
      <c r="B845" s="181" t="s">
        <v>12996</v>
      </c>
      <c r="C845" s="182" t="s">
        <v>1229</v>
      </c>
      <c r="D845" s="182">
        <v>14067</v>
      </c>
      <c r="E845" s="183">
        <v>5</v>
      </c>
      <c r="F845" s="183">
        <v>475</v>
      </c>
      <c r="G845" s="184">
        <v>2</v>
      </c>
      <c r="H845" s="158"/>
      <c r="I845" s="154"/>
      <c r="J845" s="154"/>
      <c r="K845" s="154"/>
      <c r="L845" s="154"/>
      <c r="M845" s="154"/>
      <c r="N845" s="154"/>
      <c r="O845" s="154"/>
      <c r="P845" s="154"/>
      <c r="Q845" s="154"/>
      <c r="R845" s="154"/>
      <c r="S845" s="154"/>
      <c r="T845" s="154"/>
      <c r="U845" s="154"/>
      <c r="V845" s="154"/>
      <c r="W845" s="154"/>
      <c r="X845" s="154"/>
      <c r="Y845" s="154"/>
      <c r="Z845" s="154"/>
      <c r="AA845" s="154"/>
    </row>
    <row r="846" spans="1:27" ht="15">
      <c r="A846" s="180">
        <v>45874</v>
      </c>
      <c r="B846" s="181" t="s">
        <v>12969</v>
      </c>
      <c r="C846" s="182" t="s">
        <v>115</v>
      </c>
      <c r="D846" s="182">
        <v>30078</v>
      </c>
      <c r="E846" s="183">
        <v>16</v>
      </c>
      <c r="F846" s="183">
        <v>1578</v>
      </c>
      <c r="G846" s="184">
        <v>2</v>
      </c>
      <c r="H846" s="158"/>
      <c r="I846" s="154"/>
      <c r="J846" s="154"/>
      <c r="K846" s="154"/>
      <c r="L846" s="154"/>
      <c r="M846" s="154"/>
      <c r="N846" s="154"/>
      <c r="O846" s="154"/>
      <c r="P846" s="154"/>
      <c r="Q846" s="154"/>
      <c r="R846" s="154"/>
      <c r="S846" s="154"/>
      <c r="T846" s="154"/>
      <c r="U846" s="154"/>
      <c r="V846" s="154"/>
      <c r="W846" s="154"/>
      <c r="X846" s="154"/>
      <c r="Y846" s="154"/>
      <c r="Z846" s="154"/>
      <c r="AA846" s="154"/>
    </row>
    <row r="847" spans="1:27" ht="15">
      <c r="A847" s="180">
        <v>45874</v>
      </c>
      <c r="B847" s="181" t="s">
        <v>12970</v>
      </c>
      <c r="C847" s="182" t="s">
        <v>115</v>
      </c>
      <c r="D847" s="182">
        <v>9018</v>
      </c>
      <c r="E847" s="183">
        <v>11</v>
      </c>
      <c r="F847" s="183">
        <v>1066</v>
      </c>
      <c r="G847" s="184">
        <v>1</v>
      </c>
      <c r="H847" s="158"/>
      <c r="I847" s="154"/>
      <c r="J847" s="154"/>
      <c r="K847" s="154"/>
      <c r="L847" s="154"/>
      <c r="M847" s="154"/>
      <c r="N847" s="154"/>
      <c r="O847" s="154"/>
      <c r="P847" s="154"/>
      <c r="Q847" s="154"/>
      <c r="R847" s="154"/>
      <c r="S847" s="154"/>
      <c r="T847" s="154"/>
      <c r="U847" s="154"/>
      <c r="V847" s="154"/>
      <c r="W847" s="154"/>
      <c r="X847" s="154"/>
      <c r="Y847" s="154"/>
      <c r="Z847" s="154"/>
      <c r="AA847" s="154"/>
    </row>
    <row r="848" spans="1:27" ht="15">
      <c r="A848" s="180">
        <v>45874</v>
      </c>
      <c r="B848" s="181" t="s">
        <v>12971</v>
      </c>
      <c r="C848" s="182" t="s">
        <v>115</v>
      </c>
      <c r="D848" s="182">
        <v>13708</v>
      </c>
      <c r="E848" s="183">
        <v>14</v>
      </c>
      <c r="F848" s="183">
        <v>483</v>
      </c>
      <c r="G848" s="184">
        <v>2</v>
      </c>
      <c r="H848" s="158"/>
      <c r="I848" s="154"/>
      <c r="J848" s="154"/>
      <c r="K848" s="154"/>
      <c r="L848" s="154"/>
      <c r="M848" s="154"/>
      <c r="N848" s="154"/>
      <c r="O848" s="154"/>
      <c r="P848" s="154"/>
      <c r="Q848" s="154"/>
      <c r="R848" s="154"/>
      <c r="S848" s="154"/>
      <c r="T848" s="154"/>
      <c r="U848" s="154"/>
      <c r="V848" s="154"/>
      <c r="W848" s="154"/>
      <c r="X848" s="154"/>
      <c r="Y848" s="154"/>
      <c r="Z848" s="154"/>
      <c r="AA848" s="154"/>
    </row>
    <row r="849" spans="1:27" ht="15">
      <c r="A849" s="180">
        <v>45874</v>
      </c>
      <c r="B849" s="181" t="s">
        <v>12963</v>
      </c>
      <c r="C849" s="182" t="s">
        <v>61</v>
      </c>
      <c r="D849" s="182">
        <v>192225</v>
      </c>
      <c r="E849" s="183">
        <v>265</v>
      </c>
      <c r="F849" s="183">
        <v>14076</v>
      </c>
      <c r="G849" s="184">
        <v>37</v>
      </c>
      <c r="H849" s="158"/>
      <c r="I849" s="154"/>
      <c r="J849" s="154"/>
      <c r="K849" s="154"/>
      <c r="L849" s="154"/>
      <c r="M849" s="154"/>
      <c r="N849" s="154"/>
      <c r="O849" s="154"/>
      <c r="P849" s="154"/>
      <c r="Q849" s="154"/>
      <c r="R849" s="154"/>
      <c r="S849" s="154"/>
      <c r="T849" s="154"/>
      <c r="U849" s="154"/>
      <c r="V849" s="154"/>
      <c r="W849" s="154"/>
      <c r="X849" s="154"/>
      <c r="Y849" s="154"/>
      <c r="Z849" s="154"/>
      <c r="AA849" s="154"/>
    </row>
    <row r="850" spans="1:27" ht="15">
      <c r="A850" s="180">
        <v>45874</v>
      </c>
      <c r="B850" s="181" t="s">
        <v>12964</v>
      </c>
      <c r="C850" s="182" t="s">
        <v>61</v>
      </c>
      <c r="D850" s="182">
        <v>26182</v>
      </c>
      <c r="E850" s="183">
        <v>17</v>
      </c>
      <c r="F850" s="183">
        <v>1365</v>
      </c>
      <c r="G850" s="184">
        <v>2</v>
      </c>
      <c r="H850" s="158"/>
      <c r="I850" s="154"/>
      <c r="J850" s="154"/>
      <c r="K850" s="154"/>
      <c r="L850" s="154"/>
      <c r="M850" s="154"/>
      <c r="N850" s="154"/>
      <c r="O850" s="154"/>
      <c r="P850" s="154"/>
      <c r="Q850" s="154"/>
      <c r="R850" s="154"/>
      <c r="S850" s="154"/>
      <c r="T850" s="154"/>
      <c r="U850" s="154"/>
      <c r="V850" s="154"/>
      <c r="W850" s="154"/>
      <c r="X850" s="154"/>
      <c r="Y850" s="154"/>
      <c r="Z850" s="154"/>
      <c r="AA850" s="154"/>
    </row>
    <row r="851" spans="1:27" ht="15">
      <c r="A851" s="180">
        <v>45874</v>
      </c>
      <c r="B851" s="181" t="s">
        <v>12968</v>
      </c>
      <c r="C851" s="182" t="s">
        <v>61</v>
      </c>
      <c r="D851" s="182">
        <v>6436</v>
      </c>
      <c r="E851" s="183">
        <v>12</v>
      </c>
      <c r="F851" s="183">
        <v>321</v>
      </c>
      <c r="G851" s="184">
        <v>0</v>
      </c>
      <c r="H851" s="158"/>
      <c r="I851" s="154"/>
      <c r="J851" s="154"/>
      <c r="K851" s="154"/>
      <c r="L851" s="154"/>
      <c r="M851" s="154"/>
      <c r="N851" s="154"/>
      <c r="O851" s="154"/>
      <c r="P851" s="154"/>
      <c r="Q851" s="154"/>
      <c r="R851" s="154"/>
      <c r="S851" s="154"/>
      <c r="T851" s="154"/>
      <c r="U851" s="154"/>
      <c r="V851" s="154"/>
      <c r="W851" s="154"/>
      <c r="X851" s="154"/>
      <c r="Y851" s="154"/>
      <c r="Z851" s="154"/>
      <c r="AA851" s="154"/>
    </row>
    <row r="852" spans="1:27" ht="15">
      <c r="A852" s="180">
        <v>45875</v>
      </c>
      <c r="B852" s="181" t="s">
        <v>13009</v>
      </c>
      <c r="C852" s="182" t="s">
        <v>1774</v>
      </c>
      <c r="D852" s="182">
        <v>821</v>
      </c>
      <c r="E852" s="183">
        <v>0</v>
      </c>
      <c r="F852" s="183">
        <v>59</v>
      </c>
      <c r="G852" s="184">
        <v>0</v>
      </c>
      <c r="H852" s="158"/>
      <c r="I852" s="154"/>
      <c r="J852" s="154"/>
      <c r="K852" s="154"/>
      <c r="L852" s="154"/>
      <c r="M852" s="154"/>
      <c r="N852" s="154"/>
      <c r="O852" s="154"/>
      <c r="P852" s="154"/>
      <c r="Q852" s="154"/>
      <c r="R852" s="154"/>
      <c r="S852" s="154"/>
      <c r="T852" s="154"/>
      <c r="U852" s="154"/>
      <c r="V852" s="154"/>
      <c r="W852" s="154"/>
      <c r="X852" s="154"/>
      <c r="Y852" s="154"/>
      <c r="Z852" s="154"/>
      <c r="AA852" s="154"/>
    </row>
    <row r="853" spans="1:27" ht="15">
      <c r="A853" s="180">
        <v>45875</v>
      </c>
      <c r="B853" s="181" t="s">
        <v>13002</v>
      </c>
      <c r="C853" s="182" t="s">
        <v>1229</v>
      </c>
      <c r="D853" s="182">
        <v>5253</v>
      </c>
      <c r="E853" s="183">
        <v>5</v>
      </c>
      <c r="F853" s="183">
        <v>488</v>
      </c>
      <c r="G853" s="184">
        <v>0</v>
      </c>
      <c r="H853" s="158"/>
      <c r="I853" s="154"/>
      <c r="J853" s="154"/>
      <c r="K853" s="154"/>
      <c r="L853" s="154"/>
      <c r="M853" s="154"/>
      <c r="N853" s="154"/>
      <c r="O853" s="154"/>
      <c r="P853" s="154"/>
      <c r="Q853" s="154"/>
      <c r="R853" s="154"/>
      <c r="S853" s="154"/>
      <c r="T853" s="154"/>
      <c r="U853" s="154"/>
      <c r="V853" s="154"/>
      <c r="W853" s="154"/>
      <c r="X853" s="154"/>
      <c r="Y853" s="154"/>
      <c r="Z853" s="154"/>
      <c r="AA853" s="154"/>
    </row>
    <row r="854" spans="1:27" ht="15">
      <c r="A854" s="180">
        <v>45875</v>
      </c>
      <c r="B854" s="181" t="s">
        <v>12994</v>
      </c>
      <c r="C854" s="182" t="s">
        <v>61</v>
      </c>
      <c r="D854" s="182">
        <v>16871</v>
      </c>
      <c r="E854" s="183">
        <v>20</v>
      </c>
      <c r="F854" s="183">
        <v>783</v>
      </c>
      <c r="G854" s="184">
        <v>4</v>
      </c>
      <c r="H854" s="158"/>
      <c r="I854" s="154"/>
      <c r="J854" s="154"/>
      <c r="K854" s="154"/>
      <c r="L854" s="154"/>
      <c r="M854" s="154"/>
      <c r="N854" s="154"/>
      <c r="O854" s="154"/>
      <c r="P854" s="154"/>
      <c r="Q854" s="154"/>
      <c r="R854" s="154"/>
      <c r="S854" s="154"/>
      <c r="T854" s="154"/>
      <c r="U854" s="154"/>
      <c r="V854" s="154"/>
      <c r="W854" s="154"/>
      <c r="X854" s="154"/>
      <c r="Y854" s="154"/>
      <c r="Z854" s="154"/>
      <c r="AA854" s="154"/>
    </row>
    <row r="855" spans="1:27" ht="15">
      <c r="A855" s="180">
        <v>45875</v>
      </c>
      <c r="B855" s="181" t="s">
        <v>12982</v>
      </c>
      <c r="C855" s="182" t="s">
        <v>61</v>
      </c>
      <c r="D855" s="182">
        <v>12518</v>
      </c>
      <c r="E855" s="183">
        <v>16</v>
      </c>
      <c r="F855" s="183">
        <v>667</v>
      </c>
      <c r="G855" s="184">
        <v>1</v>
      </c>
      <c r="H855" s="158"/>
      <c r="I855" s="154"/>
      <c r="J855" s="154"/>
      <c r="K855" s="154"/>
      <c r="L855" s="154"/>
      <c r="M855" s="154"/>
      <c r="N855" s="154"/>
      <c r="O855" s="154"/>
      <c r="P855" s="154"/>
      <c r="Q855" s="154"/>
      <c r="R855" s="154"/>
      <c r="S855" s="154"/>
      <c r="T855" s="154"/>
      <c r="U855" s="154"/>
      <c r="V855" s="154"/>
      <c r="W855" s="154"/>
      <c r="X855" s="154"/>
      <c r="Y855" s="154"/>
      <c r="Z855" s="154"/>
      <c r="AA855" s="154"/>
    </row>
    <row r="856" spans="1:27" ht="15">
      <c r="A856" s="180">
        <v>45875</v>
      </c>
      <c r="B856" s="181" t="s">
        <v>12995</v>
      </c>
      <c r="C856" s="182" t="s">
        <v>1229</v>
      </c>
      <c r="D856" s="182">
        <v>179971</v>
      </c>
      <c r="E856" s="183">
        <v>248</v>
      </c>
      <c r="F856" s="183">
        <v>17406</v>
      </c>
      <c r="G856" s="184">
        <v>43</v>
      </c>
      <c r="H856" s="158"/>
      <c r="I856" s="154"/>
      <c r="J856" s="154"/>
      <c r="K856" s="154"/>
      <c r="L856" s="154"/>
      <c r="M856" s="154"/>
      <c r="N856" s="154"/>
      <c r="O856" s="154"/>
      <c r="P856" s="154"/>
      <c r="Q856" s="154"/>
      <c r="R856" s="154"/>
      <c r="S856" s="154"/>
      <c r="T856" s="154"/>
      <c r="U856" s="154"/>
      <c r="V856" s="154"/>
      <c r="W856" s="154"/>
      <c r="X856" s="154"/>
      <c r="Y856" s="154"/>
      <c r="Z856" s="154"/>
      <c r="AA856" s="154"/>
    </row>
    <row r="857" spans="1:27" ht="15">
      <c r="A857" s="180">
        <v>45875</v>
      </c>
      <c r="B857" s="181" t="s">
        <v>12996</v>
      </c>
      <c r="C857" s="182" t="s">
        <v>1229</v>
      </c>
      <c r="D857" s="182">
        <v>19070</v>
      </c>
      <c r="E857" s="183">
        <v>8</v>
      </c>
      <c r="F857" s="183">
        <v>764</v>
      </c>
      <c r="G857" s="184">
        <v>2</v>
      </c>
      <c r="H857" s="158"/>
      <c r="I857" s="154"/>
      <c r="J857" s="154"/>
      <c r="K857" s="154"/>
      <c r="L857" s="154"/>
      <c r="M857" s="154"/>
      <c r="N857" s="154"/>
      <c r="O857" s="154"/>
      <c r="P857" s="154"/>
      <c r="Q857" s="154"/>
      <c r="R857" s="154"/>
      <c r="S857" s="154"/>
      <c r="T857" s="154"/>
      <c r="U857" s="154"/>
      <c r="V857" s="154"/>
      <c r="W857" s="154"/>
      <c r="X857" s="154"/>
      <c r="Y857" s="154"/>
      <c r="Z857" s="154"/>
      <c r="AA857" s="154"/>
    </row>
    <row r="858" spans="1:27" ht="15">
      <c r="A858" s="180">
        <v>45875</v>
      </c>
      <c r="B858" s="181" t="s">
        <v>12963</v>
      </c>
      <c r="C858" s="182" t="s">
        <v>61</v>
      </c>
      <c r="D858" s="182">
        <v>37307</v>
      </c>
      <c r="E858" s="183">
        <v>44</v>
      </c>
      <c r="F858" s="183">
        <v>2136</v>
      </c>
      <c r="G858" s="184">
        <v>6</v>
      </c>
      <c r="H858" s="158"/>
      <c r="I858" s="154"/>
      <c r="J858" s="154"/>
      <c r="K858" s="154"/>
      <c r="L858" s="154"/>
      <c r="M858" s="154"/>
      <c r="N858" s="154"/>
      <c r="O858" s="154"/>
      <c r="P858" s="154"/>
      <c r="Q858" s="154"/>
      <c r="R858" s="154"/>
      <c r="S858" s="154"/>
      <c r="T858" s="154"/>
      <c r="U858" s="154"/>
      <c r="V858" s="154"/>
      <c r="W858" s="154"/>
      <c r="X858" s="154"/>
      <c r="Y858" s="154"/>
      <c r="Z858" s="154"/>
      <c r="AA858" s="154"/>
    </row>
    <row r="859" spans="1:27" ht="15">
      <c r="A859" s="180">
        <v>45875</v>
      </c>
      <c r="B859" s="181" t="s">
        <v>12964</v>
      </c>
      <c r="C859" s="182" t="s">
        <v>61</v>
      </c>
      <c r="D859" s="182">
        <v>27997</v>
      </c>
      <c r="E859" s="183">
        <v>52</v>
      </c>
      <c r="F859" s="183">
        <v>3078</v>
      </c>
      <c r="G859" s="184">
        <v>3</v>
      </c>
      <c r="H859" s="158"/>
      <c r="I859" s="154"/>
      <c r="J859" s="154"/>
      <c r="K859" s="154"/>
      <c r="L859" s="154"/>
      <c r="M859" s="154"/>
      <c r="N859" s="154"/>
      <c r="O859" s="154"/>
      <c r="P859" s="154"/>
      <c r="Q859" s="154"/>
      <c r="R859" s="154"/>
      <c r="S859" s="154"/>
      <c r="T859" s="154"/>
      <c r="U859" s="154"/>
      <c r="V859" s="154"/>
      <c r="W859" s="154"/>
      <c r="X859" s="154"/>
      <c r="Y859" s="154"/>
      <c r="Z859" s="154"/>
      <c r="AA859" s="154"/>
    </row>
    <row r="860" spans="1:27" ht="15">
      <c r="A860" s="180">
        <v>45875</v>
      </c>
      <c r="B860" s="181" t="s">
        <v>12968</v>
      </c>
      <c r="C860" s="182" t="s">
        <v>61</v>
      </c>
      <c r="D860" s="182">
        <v>9885</v>
      </c>
      <c r="E860" s="183">
        <v>14</v>
      </c>
      <c r="F860" s="183">
        <v>586</v>
      </c>
      <c r="G860" s="184">
        <v>1</v>
      </c>
      <c r="H860" s="158"/>
      <c r="I860" s="154"/>
      <c r="J860" s="154"/>
      <c r="K860" s="154"/>
      <c r="L860" s="154"/>
      <c r="M860" s="154"/>
      <c r="N860" s="154"/>
      <c r="O860" s="154"/>
      <c r="P860" s="154"/>
      <c r="Q860" s="154"/>
      <c r="R860" s="154"/>
      <c r="S860" s="154"/>
      <c r="T860" s="154"/>
      <c r="U860" s="154"/>
      <c r="V860" s="154"/>
      <c r="W860" s="154"/>
      <c r="X860" s="154"/>
      <c r="Y860" s="154"/>
      <c r="Z860" s="154"/>
      <c r="AA860" s="154"/>
    </row>
    <row r="861" spans="1:27" ht="15">
      <c r="A861" s="180">
        <v>45876</v>
      </c>
      <c r="B861" s="181" t="s">
        <v>13002</v>
      </c>
      <c r="C861" s="182" t="s">
        <v>1229</v>
      </c>
      <c r="D861" s="182">
        <v>9583</v>
      </c>
      <c r="E861" s="183">
        <v>19</v>
      </c>
      <c r="F861" s="183">
        <v>896</v>
      </c>
      <c r="G861" s="184">
        <v>0</v>
      </c>
      <c r="H861" s="158"/>
      <c r="I861" s="154"/>
      <c r="J861" s="154"/>
      <c r="K861" s="154"/>
      <c r="L861" s="154"/>
      <c r="M861" s="154"/>
      <c r="N861" s="154"/>
      <c r="O861" s="154"/>
      <c r="P861" s="154"/>
      <c r="Q861" s="154"/>
      <c r="R861" s="154"/>
      <c r="S861" s="154"/>
      <c r="T861" s="154"/>
      <c r="U861" s="154"/>
      <c r="V861" s="154"/>
      <c r="W861" s="154"/>
      <c r="X861" s="154"/>
      <c r="Y861" s="154"/>
      <c r="Z861" s="154"/>
      <c r="AA861" s="154"/>
    </row>
    <row r="862" spans="1:27" ht="15">
      <c r="A862" s="180">
        <v>45876</v>
      </c>
      <c r="B862" s="181" t="s">
        <v>12994</v>
      </c>
      <c r="C862" s="182" t="s">
        <v>61</v>
      </c>
      <c r="D862" s="182">
        <v>10187</v>
      </c>
      <c r="E862" s="183">
        <v>9</v>
      </c>
      <c r="F862" s="183">
        <v>365</v>
      </c>
      <c r="G862" s="184">
        <v>1</v>
      </c>
      <c r="H862" s="158"/>
      <c r="I862" s="154"/>
      <c r="J862" s="154"/>
      <c r="K862" s="154"/>
      <c r="L862" s="154"/>
      <c r="M862" s="154"/>
      <c r="N862" s="154"/>
      <c r="O862" s="154"/>
      <c r="P862" s="154"/>
      <c r="Q862" s="154"/>
      <c r="R862" s="154"/>
      <c r="S862" s="154"/>
      <c r="T862" s="154"/>
      <c r="U862" s="154"/>
      <c r="V862" s="154"/>
      <c r="W862" s="154"/>
      <c r="X862" s="154"/>
      <c r="Y862" s="154"/>
      <c r="Z862" s="154"/>
      <c r="AA862" s="154"/>
    </row>
    <row r="863" spans="1:27" ht="15">
      <c r="A863" s="180">
        <v>45876</v>
      </c>
      <c r="B863" s="181" t="s">
        <v>12982</v>
      </c>
      <c r="C863" s="182" t="s">
        <v>61</v>
      </c>
      <c r="D863" s="182">
        <v>8695</v>
      </c>
      <c r="E863" s="183">
        <v>7</v>
      </c>
      <c r="F863" s="183">
        <v>431</v>
      </c>
      <c r="G863" s="184">
        <v>1</v>
      </c>
      <c r="H863" s="158"/>
      <c r="I863" s="154"/>
      <c r="J863" s="154"/>
      <c r="K863" s="154"/>
      <c r="L863" s="154"/>
      <c r="M863" s="154"/>
      <c r="N863" s="154"/>
      <c r="O863" s="154"/>
      <c r="P863" s="154"/>
      <c r="Q863" s="154"/>
      <c r="R863" s="154"/>
      <c r="S863" s="154"/>
      <c r="T863" s="154"/>
      <c r="U863" s="154"/>
      <c r="V863" s="154"/>
      <c r="W863" s="154"/>
      <c r="X863" s="154"/>
      <c r="Y863" s="154"/>
      <c r="Z863" s="154"/>
      <c r="AA863" s="154"/>
    </row>
    <row r="864" spans="1:27" ht="15">
      <c r="A864" s="180">
        <v>45876</v>
      </c>
      <c r="B864" s="181" t="s">
        <v>12995</v>
      </c>
      <c r="C864" s="182" t="s">
        <v>1229</v>
      </c>
      <c r="D864" s="182">
        <v>40140</v>
      </c>
      <c r="E864" s="183">
        <v>37</v>
      </c>
      <c r="F864" s="183">
        <v>3180</v>
      </c>
      <c r="G864" s="184">
        <v>5</v>
      </c>
      <c r="H864" s="158"/>
      <c r="I864" s="154"/>
      <c r="J864" s="154"/>
      <c r="K864" s="154"/>
      <c r="L864" s="154"/>
      <c r="M864" s="154"/>
      <c r="N864" s="154"/>
      <c r="O864" s="154"/>
      <c r="P864" s="154"/>
      <c r="Q864" s="154"/>
      <c r="R864" s="154"/>
      <c r="S864" s="154"/>
      <c r="T864" s="154"/>
      <c r="U864" s="154"/>
      <c r="V864" s="154"/>
      <c r="W864" s="154"/>
      <c r="X864" s="154"/>
      <c r="Y864" s="154"/>
      <c r="Z864" s="154"/>
      <c r="AA864" s="154"/>
    </row>
    <row r="865" spans="1:27" ht="15">
      <c r="A865" s="180">
        <v>45876</v>
      </c>
      <c r="B865" s="181" t="s">
        <v>12996</v>
      </c>
      <c r="C865" s="182" t="s">
        <v>1229</v>
      </c>
      <c r="D865" s="182">
        <v>14902</v>
      </c>
      <c r="E865" s="183">
        <v>11</v>
      </c>
      <c r="F865" s="183">
        <v>694</v>
      </c>
      <c r="G865" s="184">
        <v>1</v>
      </c>
      <c r="H865" s="158"/>
      <c r="I865" s="154"/>
      <c r="J865" s="154"/>
      <c r="K865" s="154"/>
      <c r="L865" s="154"/>
      <c r="M865" s="154"/>
      <c r="N865" s="154"/>
      <c r="O865" s="154"/>
      <c r="P865" s="154"/>
      <c r="Q865" s="154"/>
      <c r="R865" s="154"/>
      <c r="S865" s="154"/>
      <c r="T865" s="154"/>
      <c r="U865" s="154"/>
      <c r="V865" s="154"/>
      <c r="W865" s="154"/>
      <c r="X865" s="154"/>
      <c r="Y865" s="154"/>
      <c r="Z865" s="154"/>
      <c r="AA865" s="154"/>
    </row>
    <row r="866" spans="1:27" ht="15">
      <c r="A866" s="180">
        <v>45876</v>
      </c>
      <c r="B866" s="181" t="s">
        <v>12963</v>
      </c>
      <c r="C866" s="182" t="s">
        <v>61</v>
      </c>
      <c r="D866" s="182">
        <v>30993</v>
      </c>
      <c r="E866" s="183">
        <v>14</v>
      </c>
      <c r="F866" s="183">
        <v>1250</v>
      </c>
      <c r="G866" s="184">
        <v>3</v>
      </c>
      <c r="H866" s="158"/>
      <c r="I866" s="154"/>
      <c r="J866" s="154"/>
      <c r="K866" s="154"/>
      <c r="L866" s="154"/>
      <c r="M866" s="154"/>
      <c r="N866" s="154"/>
      <c r="O866" s="154"/>
      <c r="P866" s="154"/>
      <c r="Q866" s="154"/>
      <c r="R866" s="154"/>
      <c r="S866" s="154"/>
      <c r="T866" s="154"/>
      <c r="U866" s="154"/>
      <c r="V866" s="154"/>
      <c r="W866" s="154"/>
      <c r="X866" s="154"/>
      <c r="Y866" s="154"/>
      <c r="Z866" s="154"/>
      <c r="AA866" s="154"/>
    </row>
    <row r="867" spans="1:27" ht="15">
      <c r="A867" s="180">
        <v>45876</v>
      </c>
      <c r="B867" s="181" t="s">
        <v>12964</v>
      </c>
      <c r="C867" s="182" t="s">
        <v>61</v>
      </c>
      <c r="D867" s="182">
        <v>62270</v>
      </c>
      <c r="E867" s="183">
        <v>90</v>
      </c>
      <c r="F867" s="183">
        <v>6662</v>
      </c>
      <c r="G867" s="184">
        <v>17</v>
      </c>
      <c r="H867" s="158"/>
      <c r="I867" s="154"/>
      <c r="J867" s="154"/>
      <c r="K867" s="154"/>
      <c r="L867" s="154"/>
      <c r="M867" s="154"/>
      <c r="N867" s="154"/>
      <c r="O867" s="154"/>
      <c r="P867" s="154"/>
      <c r="Q867" s="154"/>
      <c r="R867" s="154"/>
      <c r="S867" s="154"/>
      <c r="T867" s="154"/>
      <c r="U867" s="154"/>
      <c r="V867" s="154"/>
      <c r="W867" s="154"/>
      <c r="X867" s="154"/>
      <c r="Y867" s="154"/>
      <c r="Z867" s="154"/>
      <c r="AA867" s="154"/>
    </row>
    <row r="868" spans="1:27" ht="15">
      <c r="A868" s="180">
        <v>45877</v>
      </c>
      <c r="B868" s="181" t="s">
        <v>13010</v>
      </c>
      <c r="C868" s="182" t="s">
        <v>115</v>
      </c>
      <c r="D868" s="182">
        <v>6220</v>
      </c>
      <c r="E868" s="183">
        <v>5</v>
      </c>
      <c r="F868" s="183">
        <v>269</v>
      </c>
      <c r="G868" s="184">
        <v>0</v>
      </c>
      <c r="H868" s="158"/>
      <c r="I868" s="154"/>
      <c r="J868" s="154"/>
      <c r="K868" s="154"/>
      <c r="L868" s="154"/>
      <c r="M868" s="154"/>
      <c r="N868" s="154"/>
      <c r="O868" s="154"/>
      <c r="P868" s="154"/>
      <c r="Q868" s="154"/>
      <c r="R868" s="154"/>
      <c r="S868" s="154"/>
      <c r="T868" s="154"/>
      <c r="U868" s="154"/>
      <c r="V868" s="154"/>
      <c r="W868" s="154"/>
      <c r="X868" s="154"/>
      <c r="Y868" s="154"/>
      <c r="Z868" s="154"/>
      <c r="AA868" s="154"/>
    </row>
    <row r="869" spans="1:27" ht="15">
      <c r="A869" s="180">
        <v>45877</v>
      </c>
      <c r="B869" s="181" t="s">
        <v>13010</v>
      </c>
      <c r="C869" s="182" t="s">
        <v>115</v>
      </c>
      <c r="D869" s="182">
        <v>29614</v>
      </c>
      <c r="E869" s="183">
        <v>35</v>
      </c>
      <c r="F869" s="183">
        <v>1548</v>
      </c>
      <c r="G869" s="184">
        <v>11</v>
      </c>
      <c r="H869" s="158"/>
      <c r="I869" s="154"/>
      <c r="J869" s="154"/>
      <c r="K869" s="154"/>
      <c r="L869" s="154"/>
      <c r="M869" s="154"/>
      <c r="N869" s="154"/>
      <c r="O869" s="154"/>
      <c r="P869" s="154"/>
      <c r="Q869" s="154"/>
      <c r="R869" s="154"/>
      <c r="S869" s="154"/>
      <c r="T869" s="154"/>
      <c r="U869" s="154"/>
      <c r="V869" s="154"/>
      <c r="W869" s="154"/>
      <c r="X869" s="154"/>
      <c r="Y869" s="154"/>
      <c r="Z869" s="154"/>
      <c r="AA869" s="154"/>
    </row>
    <row r="870" spans="1:27" ht="15">
      <c r="A870" s="180">
        <v>45877</v>
      </c>
      <c r="B870" s="181" t="s">
        <v>13010</v>
      </c>
      <c r="C870" s="182" t="s">
        <v>115</v>
      </c>
      <c r="D870" s="182">
        <v>15663</v>
      </c>
      <c r="E870" s="183">
        <v>16</v>
      </c>
      <c r="F870" s="183">
        <v>514</v>
      </c>
      <c r="G870" s="184">
        <v>2</v>
      </c>
      <c r="H870" s="158"/>
      <c r="I870" s="154"/>
      <c r="J870" s="154"/>
      <c r="K870" s="154"/>
      <c r="L870" s="154"/>
      <c r="M870" s="154"/>
      <c r="N870" s="154"/>
      <c r="O870" s="154"/>
      <c r="P870" s="154"/>
      <c r="Q870" s="154"/>
      <c r="R870" s="154"/>
      <c r="S870" s="154"/>
      <c r="T870" s="154"/>
      <c r="U870" s="154"/>
      <c r="V870" s="154"/>
      <c r="W870" s="154"/>
      <c r="X870" s="154"/>
      <c r="Y870" s="154"/>
      <c r="Z870" s="154"/>
      <c r="AA870" s="154"/>
    </row>
    <row r="871" spans="1:27" ht="15">
      <c r="A871" s="180">
        <v>45877</v>
      </c>
      <c r="B871" s="181" t="s">
        <v>13010</v>
      </c>
      <c r="C871" s="182" t="s">
        <v>115</v>
      </c>
      <c r="D871" s="182">
        <v>11071</v>
      </c>
      <c r="E871" s="183">
        <v>9</v>
      </c>
      <c r="F871" s="183">
        <v>601</v>
      </c>
      <c r="G871" s="184">
        <v>1</v>
      </c>
      <c r="H871" s="158"/>
      <c r="I871" s="154"/>
      <c r="J871" s="154"/>
      <c r="K871" s="154"/>
      <c r="L871" s="154"/>
      <c r="M871" s="154"/>
      <c r="N871" s="154"/>
      <c r="O871" s="154"/>
      <c r="P871" s="154"/>
      <c r="Q871" s="154"/>
      <c r="R871" s="154"/>
      <c r="S871" s="154"/>
      <c r="T871" s="154"/>
      <c r="U871" s="154"/>
      <c r="V871" s="154"/>
      <c r="W871" s="154"/>
      <c r="X871" s="154"/>
      <c r="Y871" s="154"/>
      <c r="Z871" s="154"/>
      <c r="AA871" s="154"/>
    </row>
    <row r="872" spans="1:27" ht="15">
      <c r="A872" s="180">
        <v>45877</v>
      </c>
      <c r="B872" s="181" t="s">
        <v>13011</v>
      </c>
      <c r="C872" s="182" t="s">
        <v>115</v>
      </c>
      <c r="D872" s="182">
        <v>11794</v>
      </c>
      <c r="E872" s="183">
        <v>9</v>
      </c>
      <c r="F872" s="183">
        <v>536</v>
      </c>
      <c r="G872" s="184">
        <v>2</v>
      </c>
      <c r="H872" s="158"/>
      <c r="I872" s="154"/>
      <c r="J872" s="154"/>
      <c r="K872" s="154"/>
      <c r="L872" s="154"/>
      <c r="M872" s="154"/>
      <c r="N872" s="154"/>
      <c r="O872" s="154"/>
      <c r="P872" s="154"/>
      <c r="Q872" s="154"/>
      <c r="R872" s="154"/>
      <c r="S872" s="154"/>
      <c r="T872" s="154"/>
      <c r="U872" s="154"/>
      <c r="V872" s="154"/>
      <c r="W872" s="154"/>
      <c r="X872" s="154"/>
      <c r="Y872" s="154"/>
      <c r="Z872" s="154"/>
      <c r="AA872" s="154"/>
    </row>
    <row r="873" spans="1:27" ht="15">
      <c r="A873" s="180">
        <v>45877</v>
      </c>
      <c r="B873" s="181" t="s">
        <v>13012</v>
      </c>
      <c r="C873" s="182" t="s">
        <v>61</v>
      </c>
      <c r="D873" s="182">
        <v>6891</v>
      </c>
      <c r="E873" s="183">
        <v>4</v>
      </c>
      <c r="F873" s="183">
        <v>216</v>
      </c>
      <c r="G873" s="184">
        <v>1</v>
      </c>
      <c r="H873" s="158"/>
      <c r="I873" s="154"/>
      <c r="J873" s="154"/>
      <c r="K873" s="154"/>
      <c r="L873" s="154"/>
      <c r="M873" s="154"/>
      <c r="N873" s="154"/>
      <c r="O873" s="154"/>
      <c r="P873" s="154"/>
      <c r="Q873" s="154"/>
      <c r="R873" s="154"/>
      <c r="S873" s="154"/>
      <c r="T873" s="154"/>
      <c r="U873" s="154"/>
      <c r="V873" s="154"/>
      <c r="W873" s="154"/>
      <c r="X873" s="154"/>
      <c r="Y873" s="154"/>
      <c r="Z873" s="154"/>
      <c r="AA873" s="154"/>
    </row>
    <row r="874" spans="1:27" ht="15">
      <c r="A874" s="180">
        <v>45877</v>
      </c>
      <c r="B874" s="181" t="s">
        <v>13013</v>
      </c>
      <c r="C874" s="182" t="s">
        <v>61</v>
      </c>
      <c r="D874" s="182">
        <v>77889</v>
      </c>
      <c r="E874" s="183">
        <v>79</v>
      </c>
      <c r="F874" s="183">
        <v>5344</v>
      </c>
      <c r="G874" s="184">
        <v>15</v>
      </c>
      <c r="H874" s="158"/>
      <c r="I874" s="154"/>
      <c r="J874" s="154"/>
      <c r="K874" s="154"/>
      <c r="L874" s="154"/>
      <c r="M874" s="154"/>
      <c r="N874" s="154"/>
      <c r="O874" s="154"/>
      <c r="P874" s="154"/>
      <c r="Q874" s="154"/>
      <c r="R874" s="154"/>
      <c r="S874" s="154"/>
      <c r="T874" s="154"/>
      <c r="U874" s="154"/>
      <c r="V874" s="154"/>
      <c r="W874" s="154"/>
      <c r="X874" s="154"/>
      <c r="Y874" s="154"/>
      <c r="Z874" s="154"/>
      <c r="AA874" s="154"/>
    </row>
    <row r="875" spans="1:27" ht="15">
      <c r="A875" s="180">
        <v>45877</v>
      </c>
      <c r="B875" s="181" t="s">
        <v>13013</v>
      </c>
      <c r="C875" s="182" t="s">
        <v>61</v>
      </c>
      <c r="D875" s="182">
        <v>8257</v>
      </c>
      <c r="E875" s="183">
        <v>5</v>
      </c>
      <c r="F875" s="183">
        <v>205</v>
      </c>
      <c r="G875" s="184">
        <v>1</v>
      </c>
      <c r="H875" s="158"/>
      <c r="I875" s="154"/>
      <c r="J875" s="154"/>
      <c r="K875" s="154"/>
      <c r="L875" s="154"/>
      <c r="M875" s="154"/>
      <c r="N875" s="154"/>
      <c r="O875" s="154"/>
      <c r="P875" s="154"/>
      <c r="Q875" s="154"/>
      <c r="R875" s="154"/>
      <c r="S875" s="154"/>
      <c r="T875" s="154"/>
      <c r="U875" s="154"/>
      <c r="V875" s="154"/>
      <c r="W875" s="154"/>
      <c r="X875" s="154"/>
      <c r="Y875" s="154"/>
      <c r="Z875" s="154"/>
      <c r="AA875" s="154"/>
    </row>
    <row r="876" spans="1:27" ht="15">
      <c r="A876" s="180">
        <v>45877</v>
      </c>
      <c r="B876" s="181" t="s">
        <v>13002</v>
      </c>
      <c r="C876" s="182" t="s">
        <v>1229</v>
      </c>
      <c r="D876" s="182">
        <v>4548</v>
      </c>
      <c r="E876" s="183">
        <v>5</v>
      </c>
      <c r="F876" s="183">
        <v>388</v>
      </c>
      <c r="G876" s="184">
        <v>0</v>
      </c>
      <c r="H876" s="158"/>
      <c r="I876" s="154"/>
      <c r="J876" s="154"/>
      <c r="K876" s="154"/>
      <c r="L876" s="154"/>
      <c r="M876" s="154"/>
      <c r="N876" s="154"/>
      <c r="O876" s="154"/>
      <c r="P876" s="154"/>
      <c r="Q876" s="154"/>
      <c r="R876" s="154"/>
      <c r="S876" s="154"/>
      <c r="T876" s="154"/>
      <c r="U876" s="154"/>
      <c r="V876" s="154"/>
      <c r="W876" s="154"/>
      <c r="X876" s="154"/>
      <c r="Y876" s="154"/>
      <c r="Z876" s="154"/>
      <c r="AA876" s="154"/>
    </row>
    <row r="877" spans="1:27" ht="15">
      <c r="A877" s="180">
        <v>45877</v>
      </c>
      <c r="B877" s="181" t="s">
        <v>12994</v>
      </c>
      <c r="C877" s="182" t="s">
        <v>61</v>
      </c>
      <c r="D877" s="182">
        <v>21869</v>
      </c>
      <c r="E877" s="183">
        <v>27</v>
      </c>
      <c r="F877" s="183">
        <v>811</v>
      </c>
      <c r="G877" s="184">
        <v>2</v>
      </c>
      <c r="H877" s="158"/>
      <c r="I877" s="154"/>
      <c r="J877" s="154"/>
      <c r="K877" s="154"/>
      <c r="L877" s="154"/>
      <c r="M877" s="154"/>
      <c r="N877" s="154"/>
      <c r="O877" s="154"/>
      <c r="P877" s="154"/>
      <c r="Q877" s="154"/>
      <c r="R877" s="154"/>
      <c r="S877" s="154"/>
      <c r="T877" s="154"/>
      <c r="U877" s="154"/>
      <c r="V877" s="154"/>
      <c r="W877" s="154"/>
      <c r="X877" s="154"/>
      <c r="Y877" s="154"/>
      <c r="Z877" s="154"/>
      <c r="AA877" s="154"/>
    </row>
    <row r="878" spans="1:27" ht="15">
      <c r="A878" s="180">
        <v>45877</v>
      </c>
      <c r="B878" s="181" t="s">
        <v>12982</v>
      </c>
      <c r="C878" s="182" t="s">
        <v>61</v>
      </c>
      <c r="D878" s="182">
        <v>11056</v>
      </c>
      <c r="E878" s="183">
        <v>6</v>
      </c>
      <c r="F878" s="183">
        <v>394</v>
      </c>
      <c r="G878" s="184">
        <v>0</v>
      </c>
      <c r="H878" s="158"/>
      <c r="I878" s="154"/>
      <c r="J878" s="154"/>
      <c r="K878" s="154"/>
      <c r="L878" s="154"/>
      <c r="M878" s="154"/>
      <c r="N878" s="154"/>
      <c r="O878" s="154"/>
      <c r="P878" s="154"/>
      <c r="Q878" s="154"/>
      <c r="R878" s="154"/>
      <c r="S878" s="154"/>
      <c r="T878" s="154"/>
      <c r="U878" s="154"/>
      <c r="V878" s="154"/>
      <c r="W878" s="154"/>
      <c r="X878" s="154"/>
      <c r="Y878" s="154"/>
      <c r="Z878" s="154"/>
      <c r="AA878" s="154"/>
    </row>
    <row r="879" spans="1:27" ht="15">
      <c r="A879" s="180">
        <v>45877</v>
      </c>
      <c r="B879" s="181" t="s">
        <v>12995</v>
      </c>
      <c r="C879" s="182" t="s">
        <v>1229</v>
      </c>
      <c r="D879" s="182">
        <v>17613</v>
      </c>
      <c r="E879" s="183">
        <v>11</v>
      </c>
      <c r="F879" s="183">
        <v>805</v>
      </c>
      <c r="G879" s="184">
        <v>0</v>
      </c>
      <c r="H879" s="158"/>
      <c r="I879" s="154"/>
      <c r="J879" s="154"/>
      <c r="K879" s="154"/>
      <c r="L879" s="154"/>
      <c r="M879" s="154"/>
      <c r="N879" s="154"/>
      <c r="O879" s="154"/>
      <c r="P879" s="154"/>
      <c r="Q879" s="154"/>
      <c r="R879" s="154"/>
      <c r="S879" s="154"/>
      <c r="T879" s="154"/>
      <c r="U879" s="154"/>
      <c r="V879" s="154"/>
      <c r="W879" s="154"/>
      <c r="X879" s="154"/>
      <c r="Y879" s="154"/>
      <c r="Z879" s="154"/>
      <c r="AA879" s="154"/>
    </row>
    <row r="880" spans="1:27" ht="15">
      <c r="A880" s="180">
        <v>45877</v>
      </c>
      <c r="B880" s="181" t="s">
        <v>12996</v>
      </c>
      <c r="C880" s="182" t="s">
        <v>1229</v>
      </c>
      <c r="D880" s="182">
        <v>9597</v>
      </c>
      <c r="E880" s="183">
        <v>6</v>
      </c>
      <c r="F880" s="183">
        <v>376</v>
      </c>
      <c r="G880" s="184">
        <v>0</v>
      </c>
      <c r="H880" s="158"/>
      <c r="I880" s="154"/>
      <c r="J880" s="154"/>
      <c r="K880" s="154"/>
      <c r="L880" s="154"/>
      <c r="M880" s="154"/>
      <c r="N880" s="154"/>
      <c r="O880" s="154"/>
      <c r="P880" s="154"/>
      <c r="Q880" s="154"/>
      <c r="R880" s="154"/>
      <c r="S880" s="154"/>
      <c r="T880" s="154"/>
      <c r="U880" s="154"/>
      <c r="V880" s="154"/>
      <c r="W880" s="154"/>
      <c r="X880" s="154"/>
      <c r="Y880" s="154"/>
      <c r="Z880" s="154"/>
      <c r="AA880" s="154"/>
    </row>
    <row r="881" spans="1:27" ht="15">
      <c r="A881" s="180">
        <v>45878</v>
      </c>
      <c r="B881" s="181" t="s">
        <v>13014</v>
      </c>
      <c r="C881" s="182" t="s">
        <v>1229</v>
      </c>
      <c r="D881" s="182">
        <v>14772</v>
      </c>
      <c r="E881" s="183">
        <v>6</v>
      </c>
      <c r="F881" s="183">
        <v>522</v>
      </c>
      <c r="G881" s="184">
        <v>0</v>
      </c>
      <c r="H881" s="158"/>
      <c r="I881" s="154"/>
      <c r="J881" s="154"/>
      <c r="K881" s="154"/>
      <c r="L881" s="154"/>
      <c r="M881" s="154"/>
      <c r="N881" s="154"/>
      <c r="O881" s="154"/>
      <c r="P881" s="154"/>
      <c r="Q881" s="154"/>
      <c r="R881" s="154"/>
      <c r="S881" s="154"/>
      <c r="T881" s="154"/>
      <c r="U881" s="154"/>
      <c r="V881" s="154"/>
      <c r="W881" s="154"/>
      <c r="X881" s="154"/>
      <c r="Y881" s="154"/>
      <c r="Z881" s="154"/>
      <c r="AA881" s="154"/>
    </row>
    <row r="882" spans="1:27" ht="15">
      <c r="A882" s="180">
        <v>45878</v>
      </c>
      <c r="B882" s="181" t="s">
        <v>13015</v>
      </c>
      <c r="C882" s="182" t="s">
        <v>1229</v>
      </c>
      <c r="D882" s="182">
        <v>36857</v>
      </c>
      <c r="E882" s="183">
        <v>34</v>
      </c>
      <c r="F882" s="183">
        <v>1280</v>
      </c>
      <c r="G882" s="184">
        <v>5</v>
      </c>
      <c r="H882" s="158"/>
      <c r="I882" s="154"/>
      <c r="J882" s="154"/>
      <c r="K882" s="154"/>
      <c r="L882" s="154"/>
      <c r="M882" s="154"/>
      <c r="N882" s="154"/>
      <c r="O882" s="154"/>
      <c r="P882" s="154"/>
      <c r="Q882" s="154"/>
      <c r="R882" s="154"/>
      <c r="S882" s="154"/>
      <c r="T882" s="154"/>
      <c r="U882" s="154"/>
      <c r="V882" s="154"/>
      <c r="W882" s="154"/>
      <c r="X882" s="154"/>
      <c r="Y882" s="154"/>
      <c r="Z882" s="154"/>
      <c r="AA882" s="154"/>
    </row>
    <row r="883" spans="1:27" ht="15">
      <c r="A883" s="180">
        <v>45878</v>
      </c>
      <c r="B883" s="181" t="s">
        <v>13016</v>
      </c>
      <c r="C883" s="182" t="s">
        <v>1229</v>
      </c>
      <c r="D883" s="182">
        <v>13943</v>
      </c>
      <c r="E883" s="183">
        <v>14</v>
      </c>
      <c r="F883" s="183">
        <v>416</v>
      </c>
      <c r="G883" s="184">
        <v>0</v>
      </c>
      <c r="H883" s="158"/>
      <c r="I883" s="154"/>
      <c r="J883" s="154"/>
      <c r="K883" s="154"/>
      <c r="L883" s="154"/>
      <c r="M883" s="154"/>
      <c r="N883" s="154"/>
      <c r="O883" s="154"/>
      <c r="P883" s="154"/>
      <c r="Q883" s="154"/>
      <c r="R883" s="154"/>
      <c r="S883" s="154"/>
      <c r="T883" s="154"/>
      <c r="U883" s="154"/>
      <c r="V883" s="154"/>
      <c r="W883" s="154"/>
      <c r="X883" s="154"/>
      <c r="Y883" s="154"/>
      <c r="Z883" s="154"/>
      <c r="AA883" s="154"/>
    </row>
    <row r="884" spans="1:27" ht="15">
      <c r="A884" s="180">
        <v>45878</v>
      </c>
      <c r="B884" s="181" t="s">
        <v>13017</v>
      </c>
      <c r="C884" s="182" t="s">
        <v>1229</v>
      </c>
      <c r="D884" s="182">
        <v>21718</v>
      </c>
      <c r="E884" s="183">
        <v>24</v>
      </c>
      <c r="F884" s="183">
        <v>645</v>
      </c>
      <c r="G884" s="184">
        <v>4</v>
      </c>
      <c r="H884" s="158"/>
      <c r="I884" s="154"/>
      <c r="J884" s="154"/>
      <c r="K884" s="154"/>
      <c r="L884" s="154"/>
      <c r="M884" s="154"/>
      <c r="N884" s="154"/>
      <c r="O884" s="154"/>
      <c r="P884" s="154"/>
      <c r="Q884" s="154"/>
      <c r="R884" s="154"/>
      <c r="S884" s="154"/>
      <c r="T884" s="154"/>
      <c r="U884" s="154"/>
      <c r="V884" s="154"/>
      <c r="W884" s="154"/>
      <c r="X884" s="154"/>
      <c r="Y884" s="154"/>
      <c r="Z884" s="154"/>
      <c r="AA884" s="154"/>
    </row>
    <row r="885" spans="1:27" ht="15">
      <c r="A885" s="180">
        <v>45878</v>
      </c>
      <c r="B885" s="181" t="s">
        <v>13018</v>
      </c>
      <c r="C885" s="182" t="s">
        <v>1229</v>
      </c>
      <c r="D885" s="182">
        <v>57343</v>
      </c>
      <c r="E885" s="183">
        <v>66</v>
      </c>
      <c r="F885" s="183">
        <v>3161</v>
      </c>
      <c r="G885" s="184">
        <v>10</v>
      </c>
      <c r="H885" s="158"/>
      <c r="I885" s="154"/>
      <c r="J885" s="154"/>
      <c r="K885" s="154"/>
      <c r="L885" s="154"/>
      <c r="M885" s="154"/>
      <c r="N885" s="154"/>
      <c r="O885" s="154"/>
      <c r="P885" s="154"/>
      <c r="Q885" s="154"/>
      <c r="R885" s="154"/>
      <c r="S885" s="154"/>
      <c r="T885" s="154"/>
      <c r="U885" s="154"/>
      <c r="V885" s="154"/>
      <c r="W885" s="154"/>
      <c r="X885" s="154"/>
      <c r="Y885" s="154"/>
      <c r="Z885" s="154"/>
      <c r="AA885" s="154"/>
    </row>
    <row r="886" spans="1:27" ht="15">
      <c r="A886" s="180">
        <v>45878</v>
      </c>
      <c r="B886" s="181" t="s">
        <v>13019</v>
      </c>
      <c r="C886" s="182" t="s">
        <v>1774</v>
      </c>
      <c r="D886" s="182">
        <v>27077</v>
      </c>
      <c r="E886" s="183">
        <v>15</v>
      </c>
      <c r="F886" s="183">
        <v>1158</v>
      </c>
      <c r="G886" s="184">
        <v>2</v>
      </c>
      <c r="H886" s="158"/>
      <c r="I886" s="154"/>
      <c r="J886" s="154"/>
      <c r="K886" s="154"/>
      <c r="L886" s="154"/>
      <c r="M886" s="154"/>
      <c r="N886" s="154"/>
      <c r="O886" s="154"/>
      <c r="P886" s="154"/>
      <c r="Q886" s="154"/>
      <c r="R886" s="154"/>
      <c r="S886" s="154"/>
      <c r="T886" s="154"/>
      <c r="U886" s="154"/>
      <c r="V886" s="154"/>
      <c r="W886" s="154"/>
      <c r="X886" s="154"/>
      <c r="Y886" s="154"/>
      <c r="Z886" s="154"/>
      <c r="AA886" s="154"/>
    </row>
    <row r="887" spans="1:27" ht="15">
      <c r="A887" s="180">
        <v>45878</v>
      </c>
      <c r="B887" s="181" t="s">
        <v>13020</v>
      </c>
      <c r="C887" s="182" t="s">
        <v>1774</v>
      </c>
      <c r="D887" s="182">
        <v>22748</v>
      </c>
      <c r="E887" s="183">
        <v>15</v>
      </c>
      <c r="F887" s="183">
        <v>1145</v>
      </c>
      <c r="G887" s="184">
        <v>2</v>
      </c>
      <c r="H887" s="158"/>
      <c r="I887" s="154"/>
      <c r="J887" s="154"/>
      <c r="K887" s="154"/>
      <c r="L887" s="154"/>
      <c r="M887" s="154"/>
      <c r="N887" s="154"/>
      <c r="O887" s="154"/>
      <c r="P887" s="154"/>
      <c r="Q887" s="154"/>
      <c r="R887" s="154"/>
      <c r="S887" s="154"/>
      <c r="T887" s="154"/>
      <c r="U887" s="154"/>
      <c r="V887" s="154"/>
      <c r="W887" s="154"/>
      <c r="X887" s="154"/>
      <c r="Y887" s="154"/>
      <c r="Z887" s="154"/>
      <c r="AA887" s="154"/>
    </row>
    <row r="888" spans="1:27" ht="15">
      <c r="A888" s="180">
        <v>45878</v>
      </c>
      <c r="B888" s="181" t="s">
        <v>13021</v>
      </c>
      <c r="C888" s="182" t="s">
        <v>1774</v>
      </c>
      <c r="D888" s="182">
        <v>74533</v>
      </c>
      <c r="E888" s="183">
        <v>60</v>
      </c>
      <c r="F888" s="183">
        <v>4044</v>
      </c>
      <c r="G888" s="184">
        <v>13</v>
      </c>
      <c r="H888" s="158"/>
      <c r="I888" s="154"/>
      <c r="J888" s="154"/>
      <c r="K888" s="154"/>
      <c r="L888" s="154"/>
      <c r="M888" s="154"/>
      <c r="N888" s="154"/>
      <c r="O888" s="154"/>
      <c r="P888" s="154"/>
      <c r="Q888" s="154"/>
      <c r="R888" s="154"/>
      <c r="S888" s="154"/>
      <c r="T888" s="154"/>
      <c r="U888" s="154"/>
      <c r="V888" s="154"/>
      <c r="W888" s="154"/>
      <c r="X888" s="154"/>
      <c r="Y888" s="154"/>
      <c r="Z888" s="154"/>
      <c r="AA888" s="154"/>
    </row>
    <row r="889" spans="1:27" ht="15">
      <c r="A889" s="180">
        <v>45878</v>
      </c>
      <c r="B889" s="181" t="s">
        <v>13022</v>
      </c>
      <c r="C889" s="182" t="s">
        <v>1774</v>
      </c>
      <c r="D889" s="182">
        <v>21386</v>
      </c>
      <c r="E889" s="183">
        <v>13</v>
      </c>
      <c r="F889" s="183">
        <v>764</v>
      </c>
      <c r="G889" s="184">
        <v>2</v>
      </c>
      <c r="H889" s="158"/>
      <c r="I889" s="154"/>
      <c r="J889" s="154"/>
      <c r="K889" s="154"/>
      <c r="L889" s="154"/>
      <c r="M889" s="154"/>
      <c r="N889" s="154"/>
      <c r="O889" s="154"/>
      <c r="P889" s="154"/>
      <c r="Q889" s="154"/>
      <c r="R889" s="154"/>
      <c r="S889" s="154"/>
      <c r="T889" s="154"/>
      <c r="U889" s="154"/>
      <c r="V889" s="154"/>
      <c r="W889" s="154"/>
      <c r="X889" s="154"/>
      <c r="Y889" s="154"/>
      <c r="Z889" s="154"/>
      <c r="AA889" s="154"/>
    </row>
    <row r="890" spans="1:27" ht="15">
      <c r="A890" s="180">
        <v>45878</v>
      </c>
      <c r="B890" s="181" t="s">
        <v>13023</v>
      </c>
      <c r="C890" s="182" t="s">
        <v>115</v>
      </c>
      <c r="D890" s="182">
        <v>71422</v>
      </c>
      <c r="E890" s="183">
        <v>62</v>
      </c>
      <c r="F890" s="183">
        <v>6572</v>
      </c>
      <c r="G890" s="184">
        <v>10</v>
      </c>
      <c r="H890" s="158"/>
      <c r="I890" s="154"/>
      <c r="J890" s="154"/>
      <c r="K890" s="154"/>
      <c r="L890" s="154"/>
      <c r="M890" s="154"/>
      <c r="N890" s="154"/>
      <c r="O890" s="154"/>
      <c r="P890" s="154"/>
      <c r="Q890" s="154"/>
      <c r="R890" s="154"/>
      <c r="S890" s="154"/>
      <c r="T890" s="154"/>
      <c r="U890" s="154"/>
      <c r="V890" s="154"/>
      <c r="W890" s="154"/>
      <c r="X890" s="154"/>
      <c r="Y890" s="154"/>
      <c r="Z890" s="154"/>
      <c r="AA890" s="154"/>
    </row>
    <row r="891" spans="1:27" ht="15">
      <c r="A891" s="180">
        <v>45878</v>
      </c>
      <c r="B891" s="181" t="s">
        <v>13024</v>
      </c>
      <c r="C891" s="182" t="s">
        <v>115</v>
      </c>
      <c r="D891" s="182">
        <v>42192</v>
      </c>
      <c r="E891" s="183">
        <v>29</v>
      </c>
      <c r="F891" s="183">
        <v>1789</v>
      </c>
      <c r="G891" s="184">
        <v>5</v>
      </c>
      <c r="H891" s="158"/>
      <c r="I891" s="154"/>
      <c r="J891" s="154"/>
      <c r="K891" s="154"/>
      <c r="L891" s="154"/>
      <c r="M891" s="154"/>
      <c r="N891" s="154"/>
      <c r="O891" s="154"/>
      <c r="P891" s="154"/>
      <c r="Q891" s="154"/>
      <c r="R891" s="154"/>
      <c r="S891" s="154"/>
      <c r="T891" s="154"/>
      <c r="U891" s="154"/>
      <c r="V891" s="154"/>
      <c r="W891" s="154"/>
      <c r="X891" s="154"/>
      <c r="Y891" s="154"/>
      <c r="Z891" s="154"/>
      <c r="AA891" s="154"/>
    </row>
    <row r="892" spans="1:27" ht="15">
      <c r="A892" s="180">
        <v>45878</v>
      </c>
      <c r="B892" s="181" t="s">
        <v>13025</v>
      </c>
      <c r="C892" s="182" t="s">
        <v>115</v>
      </c>
      <c r="D892" s="182">
        <v>14588</v>
      </c>
      <c r="E892" s="183">
        <v>9</v>
      </c>
      <c r="F892" s="183">
        <v>525</v>
      </c>
      <c r="G892" s="184">
        <v>1</v>
      </c>
      <c r="H892" s="158"/>
      <c r="I892" s="154"/>
      <c r="J892" s="154"/>
      <c r="K892" s="154"/>
      <c r="L892" s="154"/>
      <c r="M892" s="154"/>
      <c r="N892" s="154"/>
      <c r="O892" s="154"/>
      <c r="P892" s="154"/>
      <c r="Q892" s="154"/>
      <c r="R892" s="154"/>
      <c r="S892" s="154"/>
      <c r="T892" s="154"/>
      <c r="U892" s="154"/>
      <c r="V892" s="154"/>
      <c r="W892" s="154"/>
      <c r="X892" s="154"/>
      <c r="Y892" s="154"/>
      <c r="Z892" s="154"/>
      <c r="AA892" s="154"/>
    </row>
    <row r="893" spans="1:27" ht="15">
      <c r="A893" s="180">
        <v>45878</v>
      </c>
      <c r="B893" s="181" t="s">
        <v>13026</v>
      </c>
      <c r="C893" s="182" t="s">
        <v>115</v>
      </c>
      <c r="D893" s="182">
        <v>17554</v>
      </c>
      <c r="E893" s="183">
        <v>7</v>
      </c>
      <c r="F893" s="183">
        <v>857</v>
      </c>
      <c r="G893" s="184">
        <v>0</v>
      </c>
      <c r="H893" s="158"/>
      <c r="I893" s="154"/>
      <c r="J893" s="154"/>
      <c r="K893" s="154"/>
      <c r="L893" s="154"/>
      <c r="M893" s="154"/>
      <c r="N893" s="154"/>
      <c r="O893" s="154"/>
      <c r="P893" s="154"/>
      <c r="Q893" s="154"/>
      <c r="R893" s="154"/>
      <c r="S893" s="154"/>
      <c r="T893" s="154"/>
      <c r="U893" s="154"/>
      <c r="V893" s="154"/>
      <c r="W893" s="154"/>
      <c r="X893" s="154"/>
      <c r="Y893" s="154"/>
      <c r="Z893" s="154"/>
      <c r="AA893" s="154"/>
    </row>
    <row r="894" spans="1:27" ht="15">
      <c r="A894" s="180">
        <v>45878</v>
      </c>
      <c r="B894" s="181" t="s">
        <v>13027</v>
      </c>
      <c r="C894" s="182" t="s">
        <v>115</v>
      </c>
      <c r="D894" s="182">
        <v>23675</v>
      </c>
      <c r="E894" s="183">
        <v>21</v>
      </c>
      <c r="F894" s="183">
        <v>2066</v>
      </c>
      <c r="G894" s="184">
        <v>1</v>
      </c>
      <c r="H894" s="158"/>
      <c r="I894" s="154"/>
      <c r="J894" s="154"/>
      <c r="K894" s="154"/>
      <c r="L894" s="154"/>
      <c r="M894" s="154"/>
      <c r="N894" s="154"/>
      <c r="O894" s="154"/>
      <c r="P894" s="154"/>
      <c r="Q894" s="154"/>
      <c r="R894" s="154"/>
      <c r="S894" s="154"/>
      <c r="T894" s="154"/>
      <c r="U894" s="154"/>
      <c r="V894" s="154"/>
      <c r="W894" s="154"/>
      <c r="X894" s="154"/>
      <c r="Y894" s="154"/>
      <c r="Z894" s="154"/>
      <c r="AA894" s="154"/>
    </row>
    <row r="895" spans="1:27" ht="15">
      <c r="A895" s="180">
        <v>45878</v>
      </c>
      <c r="B895" s="181" t="s">
        <v>13028</v>
      </c>
      <c r="C895" s="182" t="s">
        <v>61</v>
      </c>
      <c r="D895" s="182">
        <v>52840</v>
      </c>
      <c r="E895" s="183">
        <v>43</v>
      </c>
      <c r="F895" s="183">
        <v>2125</v>
      </c>
      <c r="G895" s="184">
        <v>6</v>
      </c>
      <c r="H895" s="158"/>
      <c r="I895" s="154"/>
      <c r="J895" s="154"/>
      <c r="K895" s="154"/>
      <c r="L895" s="154"/>
      <c r="M895" s="154"/>
      <c r="N895" s="154"/>
      <c r="O895" s="154"/>
      <c r="P895" s="154"/>
      <c r="Q895" s="154"/>
      <c r="R895" s="154"/>
      <c r="S895" s="154"/>
      <c r="T895" s="154"/>
      <c r="U895" s="154"/>
      <c r="V895" s="154"/>
      <c r="W895" s="154"/>
      <c r="X895" s="154"/>
      <c r="Y895" s="154"/>
      <c r="Z895" s="154"/>
      <c r="AA895" s="154"/>
    </row>
    <row r="896" spans="1:27" ht="15">
      <c r="A896" s="180">
        <v>45878</v>
      </c>
      <c r="B896" s="181" t="s">
        <v>13029</v>
      </c>
      <c r="C896" s="182" t="s">
        <v>61</v>
      </c>
      <c r="D896" s="182">
        <v>15613</v>
      </c>
      <c r="E896" s="183">
        <v>19</v>
      </c>
      <c r="F896" s="183">
        <v>1194</v>
      </c>
      <c r="G896" s="184">
        <v>1</v>
      </c>
      <c r="H896" s="158"/>
      <c r="I896" s="154"/>
      <c r="J896" s="154"/>
      <c r="K896" s="154"/>
      <c r="L896" s="154"/>
      <c r="M896" s="154"/>
      <c r="N896" s="154"/>
      <c r="O896" s="154"/>
      <c r="P896" s="154"/>
      <c r="Q896" s="154"/>
      <c r="R896" s="154"/>
      <c r="S896" s="154"/>
      <c r="T896" s="154"/>
      <c r="U896" s="154"/>
      <c r="V896" s="154"/>
      <c r="W896" s="154"/>
      <c r="X896" s="154"/>
      <c r="Y896" s="154"/>
      <c r="Z896" s="154"/>
      <c r="AA896" s="154"/>
    </row>
    <row r="897" spans="1:27" ht="15">
      <c r="A897" s="180">
        <v>45878</v>
      </c>
      <c r="B897" s="181" t="s">
        <v>13030</v>
      </c>
      <c r="C897" s="182" t="s">
        <v>61</v>
      </c>
      <c r="D897" s="182">
        <v>16207</v>
      </c>
      <c r="E897" s="183">
        <v>10</v>
      </c>
      <c r="F897" s="183">
        <v>736</v>
      </c>
      <c r="G897" s="184">
        <v>1</v>
      </c>
      <c r="H897" s="158"/>
      <c r="I897" s="154"/>
      <c r="J897" s="154"/>
      <c r="K897" s="154"/>
      <c r="L897" s="154"/>
      <c r="M897" s="154"/>
      <c r="N897" s="154"/>
      <c r="O897" s="154"/>
      <c r="P897" s="154"/>
      <c r="Q897" s="154"/>
      <c r="R897" s="154"/>
      <c r="S897" s="154"/>
      <c r="T897" s="154"/>
      <c r="U897" s="154"/>
      <c r="V897" s="154"/>
      <c r="W897" s="154"/>
      <c r="X897" s="154"/>
      <c r="Y897" s="154"/>
      <c r="Z897" s="154"/>
      <c r="AA897" s="154"/>
    </row>
    <row r="898" spans="1:27" ht="15">
      <c r="A898" s="180">
        <v>45878</v>
      </c>
      <c r="B898" s="181" t="s">
        <v>13031</v>
      </c>
      <c r="C898" s="182" t="s">
        <v>1774</v>
      </c>
      <c r="D898" s="182">
        <v>31965</v>
      </c>
      <c r="E898" s="183">
        <v>17</v>
      </c>
      <c r="F898" s="183">
        <v>1377</v>
      </c>
      <c r="G898" s="184">
        <v>0</v>
      </c>
      <c r="H898" s="158"/>
      <c r="I898" s="154"/>
      <c r="J898" s="154"/>
      <c r="K898" s="154"/>
      <c r="L898" s="154"/>
      <c r="M898" s="154"/>
      <c r="N898" s="154"/>
      <c r="O898" s="154"/>
      <c r="P898" s="154"/>
      <c r="Q898" s="154"/>
      <c r="R898" s="154"/>
      <c r="S898" s="154"/>
      <c r="T898" s="154"/>
      <c r="U898" s="154"/>
      <c r="V898" s="154"/>
      <c r="W898" s="154"/>
      <c r="X898" s="154"/>
      <c r="Y898" s="154"/>
      <c r="Z898" s="154"/>
      <c r="AA898" s="154"/>
    </row>
    <row r="899" spans="1:27" ht="15">
      <c r="A899" s="180">
        <v>45878</v>
      </c>
      <c r="B899" s="181" t="s">
        <v>13032</v>
      </c>
      <c r="C899" s="182" t="s">
        <v>1229</v>
      </c>
      <c r="D899" s="182">
        <v>42897</v>
      </c>
      <c r="E899" s="183">
        <v>34</v>
      </c>
      <c r="F899" s="183">
        <v>2411</v>
      </c>
      <c r="G899" s="184">
        <v>5</v>
      </c>
      <c r="H899" s="158"/>
      <c r="I899" s="154"/>
      <c r="J899" s="154"/>
      <c r="K899" s="154"/>
      <c r="L899" s="154"/>
      <c r="M899" s="154"/>
      <c r="N899" s="154"/>
      <c r="O899" s="154"/>
      <c r="P899" s="154"/>
      <c r="Q899" s="154"/>
      <c r="R899" s="154"/>
      <c r="S899" s="154"/>
      <c r="T899" s="154"/>
      <c r="U899" s="154"/>
      <c r="V899" s="154"/>
      <c r="W899" s="154"/>
      <c r="X899" s="154"/>
      <c r="Y899" s="154"/>
      <c r="Z899" s="154"/>
      <c r="AA899" s="154"/>
    </row>
    <row r="900" spans="1:27" ht="15">
      <c r="A900" s="180">
        <v>45878</v>
      </c>
      <c r="B900" s="181" t="s">
        <v>13033</v>
      </c>
      <c r="C900" s="182" t="s">
        <v>1229</v>
      </c>
      <c r="D900" s="182">
        <v>11626</v>
      </c>
      <c r="E900" s="183">
        <v>5</v>
      </c>
      <c r="F900" s="183">
        <v>444</v>
      </c>
      <c r="G900" s="184">
        <v>1</v>
      </c>
      <c r="H900" s="158"/>
      <c r="I900" s="154"/>
      <c r="J900" s="154"/>
      <c r="K900" s="154"/>
      <c r="L900" s="154"/>
      <c r="M900" s="154"/>
      <c r="N900" s="154"/>
      <c r="O900" s="154"/>
      <c r="P900" s="154"/>
      <c r="Q900" s="154"/>
      <c r="R900" s="154"/>
      <c r="S900" s="154"/>
      <c r="T900" s="154"/>
      <c r="U900" s="154"/>
      <c r="V900" s="154"/>
      <c r="W900" s="154"/>
      <c r="X900" s="154"/>
      <c r="Y900" s="154"/>
      <c r="Z900" s="154"/>
      <c r="AA900" s="154"/>
    </row>
    <row r="901" spans="1:27" ht="15">
      <c r="A901" s="180">
        <v>45880</v>
      </c>
      <c r="B901" s="181" t="s">
        <v>13014</v>
      </c>
      <c r="C901" s="182" t="s">
        <v>1229</v>
      </c>
      <c r="D901" s="182">
        <v>14656</v>
      </c>
      <c r="E901" s="183">
        <v>9</v>
      </c>
      <c r="F901" s="183">
        <v>553</v>
      </c>
      <c r="G901" s="184">
        <v>1</v>
      </c>
      <c r="H901" s="158"/>
      <c r="I901" s="154"/>
      <c r="J901" s="154"/>
      <c r="K901" s="154"/>
      <c r="L901" s="154"/>
      <c r="M901" s="154"/>
      <c r="N901" s="154"/>
      <c r="O901" s="154"/>
      <c r="P901" s="154"/>
      <c r="Q901" s="154"/>
      <c r="R901" s="154"/>
      <c r="S901" s="154"/>
      <c r="T901" s="154"/>
      <c r="U901" s="154"/>
      <c r="V901" s="154"/>
      <c r="W901" s="154"/>
      <c r="X901" s="154"/>
      <c r="Y901" s="154"/>
      <c r="Z901" s="154"/>
      <c r="AA901" s="154"/>
    </row>
    <row r="902" spans="1:27" ht="15">
      <c r="A902" s="180">
        <v>45880</v>
      </c>
      <c r="B902" s="181" t="s">
        <v>13015</v>
      </c>
      <c r="C902" s="182" t="s">
        <v>1229</v>
      </c>
      <c r="D902" s="182">
        <v>36959</v>
      </c>
      <c r="E902" s="183">
        <v>51</v>
      </c>
      <c r="F902" s="183">
        <v>1633</v>
      </c>
      <c r="G902" s="184">
        <v>5</v>
      </c>
      <c r="H902" s="158"/>
      <c r="I902" s="154"/>
      <c r="J902" s="154"/>
      <c r="K902" s="154"/>
      <c r="L902" s="154"/>
      <c r="M902" s="154"/>
      <c r="N902" s="154"/>
      <c r="O902" s="154"/>
      <c r="P902" s="154"/>
      <c r="Q902" s="154"/>
      <c r="R902" s="154"/>
      <c r="S902" s="154"/>
      <c r="T902" s="154"/>
      <c r="U902" s="154"/>
      <c r="V902" s="154"/>
      <c r="W902" s="154"/>
      <c r="X902" s="154"/>
      <c r="Y902" s="154"/>
      <c r="Z902" s="154"/>
      <c r="AA902" s="154"/>
    </row>
    <row r="903" spans="1:27" ht="15">
      <c r="A903" s="180">
        <v>45880</v>
      </c>
      <c r="B903" s="181" t="s">
        <v>13016</v>
      </c>
      <c r="C903" s="182" t="s">
        <v>1229</v>
      </c>
      <c r="D903" s="182">
        <v>17022</v>
      </c>
      <c r="E903" s="183">
        <v>16</v>
      </c>
      <c r="F903" s="183">
        <v>1287</v>
      </c>
      <c r="G903" s="184">
        <v>0</v>
      </c>
      <c r="H903" s="158"/>
      <c r="I903" s="154"/>
      <c r="J903" s="154"/>
      <c r="K903" s="154"/>
      <c r="L903" s="154"/>
      <c r="M903" s="154"/>
      <c r="N903" s="154"/>
      <c r="O903" s="154"/>
      <c r="P903" s="154"/>
      <c r="Q903" s="154"/>
      <c r="R903" s="154"/>
      <c r="S903" s="154"/>
      <c r="T903" s="154"/>
      <c r="U903" s="154"/>
      <c r="V903" s="154"/>
      <c r="W903" s="154"/>
      <c r="X903" s="154"/>
      <c r="Y903" s="154"/>
      <c r="Z903" s="154"/>
      <c r="AA903" s="154"/>
    </row>
    <row r="904" spans="1:27" ht="15">
      <c r="A904" s="180">
        <v>45880</v>
      </c>
      <c r="B904" s="181" t="s">
        <v>13017</v>
      </c>
      <c r="C904" s="182" t="s">
        <v>1229</v>
      </c>
      <c r="D904" s="182">
        <v>87603</v>
      </c>
      <c r="E904" s="183">
        <v>179</v>
      </c>
      <c r="F904" s="183">
        <v>8677</v>
      </c>
      <c r="G904" s="184">
        <v>15</v>
      </c>
      <c r="H904" s="158"/>
      <c r="I904" s="154"/>
      <c r="J904" s="154"/>
      <c r="K904" s="154"/>
      <c r="L904" s="154"/>
      <c r="M904" s="154"/>
      <c r="N904" s="154"/>
      <c r="O904" s="154"/>
      <c r="P904" s="154"/>
      <c r="Q904" s="154"/>
      <c r="R904" s="154"/>
      <c r="S904" s="154"/>
      <c r="T904" s="154"/>
      <c r="U904" s="154"/>
      <c r="V904" s="154"/>
      <c r="W904" s="154"/>
      <c r="X904" s="154"/>
      <c r="Y904" s="154"/>
      <c r="Z904" s="154"/>
      <c r="AA904" s="154"/>
    </row>
    <row r="905" spans="1:27" ht="15">
      <c r="A905" s="180">
        <v>45880</v>
      </c>
      <c r="B905" s="181" t="s">
        <v>13018</v>
      </c>
      <c r="C905" s="182" t="s">
        <v>1229</v>
      </c>
      <c r="D905" s="182">
        <v>9890</v>
      </c>
      <c r="E905" s="183">
        <v>10</v>
      </c>
      <c r="F905" s="183">
        <v>718</v>
      </c>
      <c r="G905" s="184">
        <v>2</v>
      </c>
      <c r="H905" s="158"/>
      <c r="I905" s="154"/>
      <c r="J905" s="154"/>
      <c r="K905" s="154"/>
      <c r="L905" s="154"/>
      <c r="M905" s="154"/>
      <c r="N905" s="154"/>
      <c r="O905" s="154"/>
      <c r="P905" s="154"/>
      <c r="Q905" s="154"/>
      <c r="R905" s="154"/>
      <c r="S905" s="154"/>
      <c r="T905" s="154"/>
      <c r="U905" s="154"/>
      <c r="V905" s="154"/>
      <c r="W905" s="154"/>
      <c r="X905" s="154"/>
      <c r="Y905" s="154"/>
      <c r="Z905" s="154"/>
      <c r="AA905" s="154"/>
    </row>
    <row r="906" spans="1:27" ht="15">
      <c r="A906" s="180">
        <v>45880</v>
      </c>
      <c r="B906" s="181" t="s">
        <v>13019</v>
      </c>
      <c r="C906" s="182" t="s">
        <v>1774</v>
      </c>
      <c r="D906" s="182">
        <v>11467</v>
      </c>
      <c r="E906" s="183">
        <v>13</v>
      </c>
      <c r="F906" s="183">
        <v>656</v>
      </c>
      <c r="G906" s="184">
        <v>1</v>
      </c>
      <c r="H906" s="158"/>
      <c r="I906" s="154"/>
      <c r="J906" s="154"/>
      <c r="K906" s="154"/>
      <c r="L906" s="154"/>
      <c r="M906" s="154"/>
      <c r="N906" s="154"/>
      <c r="O906" s="154"/>
      <c r="P906" s="154"/>
      <c r="Q906" s="154"/>
      <c r="R906" s="154"/>
      <c r="S906" s="154"/>
      <c r="T906" s="154"/>
      <c r="U906" s="154"/>
      <c r="V906" s="154"/>
      <c r="W906" s="154"/>
      <c r="X906" s="154"/>
      <c r="Y906" s="154"/>
      <c r="Z906" s="154"/>
      <c r="AA906" s="154"/>
    </row>
    <row r="907" spans="1:27" ht="15">
      <c r="A907" s="180">
        <v>45880</v>
      </c>
      <c r="B907" s="181" t="s">
        <v>13020</v>
      </c>
      <c r="C907" s="182" t="s">
        <v>1774</v>
      </c>
      <c r="D907" s="182">
        <v>14638</v>
      </c>
      <c r="E907" s="183">
        <v>10</v>
      </c>
      <c r="F907" s="183">
        <v>496</v>
      </c>
      <c r="G907" s="184">
        <v>2</v>
      </c>
      <c r="H907" s="158"/>
      <c r="I907" s="154"/>
      <c r="J907" s="154"/>
      <c r="K907" s="154"/>
      <c r="L907" s="154"/>
      <c r="M907" s="154"/>
      <c r="N907" s="154"/>
      <c r="O907" s="154"/>
      <c r="P907" s="154"/>
      <c r="Q907" s="154"/>
      <c r="R907" s="154"/>
      <c r="S907" s="154"/>
      <c r="T907" s="154"/>
      <c r="U907" s="154"/>
      <c r="V907" s="154"/>
      <c r="W907" s="154"/>
      <c r="X907" s="154"/>
      <c r="Y907" s="154"/>
      <c r="Z907" s="154"/>
      <c r="AA907" s="154"/>
    </row>
    <row r="908" spans="1:27" ht="15">
      <c r="A908" s="180">
        <v>45880</v>
      </c>
      <c r="B908" s="181" t="s">
        <v>13021</v>
      </c>
      <c r="C908" s="182" t="s">
        <v>1774</v>
      </c>
      <c r="D908" s="182">
        <v>21206</v>
      </c>
      <c r="E908" s="183">
        <v>13</v>
      </c>
      <c r="F908" s="183">
        <v>1317</v>
      </c>
      <c r="G908" s="184">
        <v>1</v>
      </c>
      <c r="H908" s="158"/>
      <c r="I908" s="154"/>
      <c r="J908" s="154"/>
      <c r="K908" s="154"/>
      <c r="L908" s="154"/>
      <c r="M908" s="154"/>
      <c r="N908" s="154"/>
      <c r="O908" s="154"/>
      <c r="P908" s="154"/>
      <c r="Q908" s="154"/>
      <c r="R908" s="154"/>
      <c r="S908" s="154"/>
      <c r="T908" s="154"/>
      <c r="U908" s="154"/>
      <c r="V908" s="154"/>
      <c r="W908" s="154"/>
      <c r="X908" s="154"/>
      <c r="Y908" s="154"/>
      <c r="Z908" s="154"/>
      <c r="AA908" s="154"/>
    </row>
    <row r="909" spans="1:27" ht="15">
      <c r="A909" s="180">
        <v>45880</v>
      </c>
      <c r="B909" s="181" t="s">
        <v>13022</v>
      </c>
      <c r="C909" s="182" t="s">
        <v>1774</v>
      </c>
      <c r="D909" s="182">
        <v>10749</v>
      </c>
      <c r="E909" s="183">
        <v>17</v>
      </c>
      <c r="F909" s="183">
        <v>437</v>
      </c>
      <c r="G909" s="184">
        <v>1</v>
      </c>
      <c r="H909" s="158"/>
      <c r="I909" s="154"/>
      <c r="J909" s="154"/>
      <c r="K909" s="154"/>
      <c r="L909" s="154"/>
      <c r="M909" s="154"/>
      <c r="N909" s="154"/>
      <c r="O909" s="154"/>
      <c r="P909" s="154"/>
      <c r="Q909" s="154"/>
      <c r="R909" s="154"/>
      <c r="S909" s="154"/>
      <c r="T909" s="154"/>
      <c r="U909" s="154"/>
      <c r="V909" s="154"/>
      <c r="W909" s="154"/>
      <c r="X909" s="154"/>
      <c r="Y909" s="154"/>
      <c r="Z909" s="154"/>
      <c r="AA909" s="154"/>
    </row>
    <row r="910" spans="1:27" ht="15">
      <c r="A910" s="180">
        <v>45880</v>
      </c>
      <c r="B910" s="181" t="s">
        <v>13023</v>
      </c>
      <c r="C910" s="182" t="s">
        <v>115</v>
      </c>
      <c r="D910" s="182">
        <v>5358</v>
      </c>
      <c r="E910" s="183">
        <v>5</v>
      </c>
      <c r="F910" s="183">
        <v>230</v>
      </c>
      <c r="G910" s="184">
        <v>0</v>
      </c>
      <c r="H910" s="158"/>
      <c r="I910" s="154"/>
      <c r="J910" s="154"/>
      <c r="K910" s="154"/>
      <c r="L910" s="154"/>
      <c r="M910" s="154"/>
      <c r="N910" s="154"/>
      <c r="O910" s="154"/>
      <c r="P910" s="154"/>
      <c r="Q910" s="154"/>
      <c r="R910" s="154"/>
      <c r="S910" s="154"/>
      <c r="T910" s="154"/>
      <c r="U910" s="154"/>
      <c r="V910" s="154"/>
      <c r="W910" s="154"/>
      <c r="X910" s="154"/>
      <c r="Y910" s="154"/>
      <c r="Z910" s="154"/>
      <c r="AA910" s="154"/>
    </row>
    <row r="911" spans="1:27" ht="15">
      <c r="A911" s="180">
        <v>45880</v>
      </c>
      <c r="B911" s="181" t="s">
        <v>13024</v>
      </c>
      <c r="C911" s="182" t="s">
        <v>115</v>
      </c>
      <c r="D911" s="182">
        <v>27868</v>
      </c>
      <c r="E911" s="183">
        <v>20</v>
      </c>
      <c r="F911" s="183">
        <v>803</v>
      </c>
      <c r="G911" s="184">
        <v>3</v>
      </c>
      <c r="H911" s="158"/>
      <c r="I911" s="154"/>
      <c r="J911" s="154"/>
      <c r="K911" s="154"/>
      <c r="L911" s="154"/>
      <c r="M911" s="154"/>
      <c r="N911" s="154"/>
      <c r="O911" s="154"/>
      <c r="P911" s="154"/>
      <c r="Q911" s="154"/>
      <c r="R911" s="154"/>
      <c r="S911" s="154"/>
      <c r="T911" s="154"/>
      <c r="U911" s="154"/>
      <c r="V911" s="154"/>
      <c r="W911" s="154"/>
      <c r="X911" s="154"/>
      <c r="Y911" s="154"/>
      <c r="Z911" s="154"/>
      <c r="AA911" s="154"/>
    </row>
    <row r="912" spans="1:27" ht="15">
      <c r="A912" s="180">
        <v>45880</v>
      </c>
      <c r="B912" s="181" t="s">
        <v>13025</v>
      </c>
      <c r="C912" s="182" t="s">
        <v>115</v>
      </c>
      <c r="D912" s="182">
        <v>11516</v>
      </c>
      <c r="E912" s="183">
        <v>7</v>
      </c>
      <c r="F912" s="183">
        <v>472</v>
      </c>
      <c r="G912" s="184">
        <v>1</v>
      </c>
      <c r="H912" s="158"/>
      <c r="I912" s="154"/>
      <c r="J912" s="154"/>
      <c r="K912" s="154"/>
      <c r="L912" s="154"/>
      <c r="M912" s="154"/>
      <c r="N912" s="154"/>
      <c r="O912" s="154"/>
      <c r="P912" s="154"/>
      <c r="Q912" s="154"/>
      <c r="R912" s="154"/>
      <c r="S912" s="154"/>
      <c r="T912" s="154"/>
      <c r="U912" s="154"/>
      <c r="V912" s="154"/>
      <c r="W912" s="154"/>
      <c r="X912" s="154"/>
      <c r="Y912" s="154"/>
      <c r="Z912" s="154"/>
      <c r="AA912" s="154"/>
    </row>
    <row r="913" spans="1:27" ht="15">
      <c r="A913" s="180">
        <v>45880</v>
      </c>
      <c r="B913" s="181" t="s">
        <v>13026</v>
      </c>
      <c r="C913" s="182" t="s">
        <v>115</v>
      </c>
      <c r="D913" s="182">
        <v>53786</v>
      </c>
      <c r="E913" s="183">
        <v>58</v>
      </c>
      <c r="F913" s="183">
        <v>3581</v>
      </c>
      <c r="G913" s="184">
        <v>8</v>
      </c>
      <c r="H913" s="158"/>
      <c r="I913" s="154"/>
      <c r="J913" s="154"/>
      <c r="K913" s="154"/>
      <c r="L913" s="154"/>
      <c r="M913" s="154"/>
      <c r="N913" s="154"/>
      <c r="O913" s="154"/>
      <c r="P913" s="154"/>
      <c r="Q913" s="154"/>
      <c r="R913" s="154"/>
      <c r="S913" s="154"/>
      <c r="T913" s="154"/>
      <c r="U913" s="154"/>
      <c r="V913" s="154"/>
      <c r="W913" s="154"/>
      <c r="X913" s="154"/>
      <c r="Y913" s="154"/>
      <c r="Z913" s="154"/>
      <c r="AA913" s="154"/>
    </row>
    <row r="914" spans="1:27" ht="15">
      <c r="A914" s="180">
        <v>45880</v>
      </c>
      <c r="B914" s="181" t="s">
        <v>13027</v>
      </c>
      <c r="C914" s="182" t="s">
        <v>115</v>
      </c>
      <c r="D914" s="182">
        <v>12412</v>
      </c>
      <c r="E914" s="183">
        <v>13</v>
      </c>
      <c r="F914" s="183">
        <v>665</v>
      </c>
      <c r="G914" s="184">
        <v>1</v>
      </c>
      <c r="H914" s="158"/>
      <c r="I914" s="154"/>
      <c r="J914" s="154"/>
      <c r="K914" s="154"/>
      <c r="L914" s="154"/>
      <c r="M914" s="154"/>
      <c r="N914" s="154"/>
      <c r="O914" s="154"/>
      <c r="P914" s="154"/>
      <c r="Q914" s="154"/>
      <c r="R914" s="154"/>
      <c r="S914" s="154"/>
      <c r="T914" s="154"/>
      <c r="U914" s="154"/>
      <c r="V914" s="154"/>
      <c r="W914" s="154"/>
      <c r="X914" s="154"/>
      <c r="Y914" s="154"/>
      <c r="Z914" s="154"/>
      <c r="AA914" s="154"/>
    </row>
    <row r="915" spans="1:27" ht="15">
      <c r="A915" s="180">
        <v>45880</v>
      </c>
      <c r="B915" s="181" t="s">
        <v>13028</v>
      </c>
      <c r="C915" s="182" t="s">
        <v>61</v>
      </c>
      <c r="D915" s="182">
        <v>13758</v>
      </c>
      <c r="E915" s="183">
        <v>9</v>
      </c>
      <c r="F915" s="183">
        <v>541</v>
      </c>
      <c r="G915" s="184">
        <v>1</v>
      </c>
      <c r="H915" s="158"/>
      <c r="I915" s="154"/>
      <c r="J915" s="154"/>
      <c r="K915" s="154"/>
      <c r="L915" s="154"/>
      <c r="M915" s="154"/>
      <c r="N915" s="154"/>
      <c r="O915" s="154"/>
      <c r="P915" s="154"/>
      <c r="Q915" s="154"/>
      <c r="R915" s="154"/>
      <c r="S915" s="154"/>
      <c r="T915" s="154"/>
      <c r="U915" s="154"/>
      <c r="V915" s="154"/>
      <c r="W915" s="154"/>
      <c r="X915" s="154"/>
      <c r="Y915" s="154"/>
      <c r="Z915" s="154"/>
      <c r="AA915" s="154"/>
    </row>
    <row r="916" spans="1:27" ht="15">
      <c r="A916" s="180">
        <v>45880</v>
      </c>
      <c r="B916" s="181" t="s">
        <v>13029</v>
      </c>
      <c r="C916" s="182" t="s">
        <v>61</v>
      </c>
      <c r="D916" s="182">
        <v>11211</v>
      </c>
      <c r="E916" s="183">
        <v>7</v>
      </c>
      <c r="F916" s="183">
        <v>383</v>
      </c>
      <c r="G916" s="184">
        <v>0</v>
      </c>
      <c r="H916" s="158"/>
      <c r="I916" s="154"/>
      <c r="J916" s="154"/>
      <c r="K916" s="154"/>
      <c r="L916" s="154"/>
      <c r="M916" s="154"/>
      <c r="N916" s="154"/>
      <c r="O916" s="154"/>
      <c r="P916" s="154"/>
      <c r="Q916" s="154"/>
      <c r="R916" s="154"/>
      <c r="S916" s="154"/>
      <c r="T916" s="154"/>
      <c r="U916" s="154"/>
      <c r="V916" s="154"/>
      <c r="W916" s="154"/>
      <c r="X916" s="154"/>
      <c r="Y916" s="154"/>
      <c r="Z916" s="154"/>
      <c r="AA916" s="154"/>
    </row>
    <row r="917" spans="1:27" ht="15">
      <c r="A917" s="180">
        <v>45880</v>
      </c>
      <c r="B917" s="181" t="s">
        <v>13030</v>
      </c>
      <c r="C917" s="182" t="s">
        <v>61</v>
      </c>
      <c r="D917" s="182">
        <v>5312</v>
      </c>
      <c r="E917" s="183">
        <v>7</v>
      </c>
      <c r="F917" s="183">
        <v>291</v>
      </c>
      <c r="G917" s="184">
        <v>0</v>
      </c>
      <c r="H917" s="158"/>
      <c r="I917" s="154"/>
      <c r="J917" s="154"/>
      <c r="K917" s="154"/>
      <c r="L917" s="154"/>
      <c r="M917" s="154"/>
      <c r="N917" s="154"/>
      <c r="O917" s="154"/>
      <c r="P917" s="154"/>
      <c r="Q917" s="154"/>
      <c r="R917" s="154"/>
      <c r="S917" s="154"/>
      <c r="T917" s="154"/>
      <c r="U917" s="154"/>
      <c r="V917" s="154"/>
      <c r="W917" s="154"/>
      <c r="X917" s="154"/>
      <c r="Y917" s="154"/>
      <c r="Z917" s="154"/>
      <c r="AA917" s="154"/>
    </row>
    <row r="918" spans="1:27" ht="15">
      <c r="A918" s="180">
        <v>45880</v>
      </c>
      <c r="B918" s="181" t="s">
        <v>13031</v>
      </c>
      <c r="C918" s="182" t="s">
        <v>1774</v>
      </c>
      <c r="D918" s="182">
        <v>75451</v>
      </c>
      <c r="E918" s="183">
        <v>101</v>
      </c>
      <c r="F918" s="183">
        <v>6899</v>
      </c>
      <c r="G918" s="184">
        <v>15</v>
      </c>
      <c r="H918" s="158"/>
      <c r="I918" s="154"/>
      <c r="J918" s="154"/>
      <c r="K918" s="154"/>
      <c r="L918" s="154"/>
      <c r="M918" s="154"/>
      <c r="N918" s="154"/>
      <c r="O918" s="154"/>
      <c r="P918" s="154"/>
      <c r="Q918" s="154"/>
      <c r="R918" s="154"/>
      <c r="S918" s="154"/>
      <c r="T918" s="154"/>
      <c r="U918" s="154"/>
      <c r="V918" s="154"/>
      <c r="W918" s="154"/>
      <c r="X918" s="154"/>
      <c r="Y918" s="154"/>
      <c r="Z918" s="154"/>
      <c r="AA918" s="154"/>
    </row>
    <row r="919" spans="1:27" ht="15">
      <c r="A919" s="180">
        <v>45880</v>
      </c>
      <c r="B919" s="181" t="s">
        <v>13032</v>
      </c>
      <c r="C919" s="182" t="s">
        <v>1229</v>
      </c>
      <c r="D919" s="182">
        <v>6881</v>
      </c>
      <c r="E919" s="183">
        <v>4</v>
      </c>
      <c r="F919" s="183">
        <v>244</v>
      </c>
      <c r="G919" s="184">
        <v>0</v>
      </c>
      <c r="H919" s="158"/>
      <c r="I919" s="154"/>
      <c r="J919" s="154"/>
      <c r="K919" s="154"/>
      <c r="L919" s="154"/>
      <c r="M919" s="154"/>
      <c r="N919" s="154"/>
      <c r="O919" s="154"/>
      <c r="P919" s="154"/>
      <c r="Q919" s="154"/>
      <c r="R919" s="154"/>
      <c r="S919" s="154"/>
      <c r="T919" s="154"/>
      <c r="U919" s="154"/>
      <c r="V919" s="154"/>
      <c r="W919" s="154"/>
      <c r="X919" s="154"/>
      <c r="Y919" s="154"/>
      <c r="Z919" s="154"/>
      <c r="AA919" s="154"/>
    </row>
    <row r="920" spans="1:27" ht="15">
      <c r="A920" s="180">
        <v>45880</v>
      </c>
      <c r="B920" s="181" t="s">
        <v>13033</v>
      </c>
      <c r="C920" s="182" t="s">
        <v>1229</v>
      </c>
      <c r="D920" s="182">
        <v>5277</v>
      </c>
      <c r="E920" s="183">
        <v>4</v>
      </c>
      <c r="F920" s="183">
        <v>163</v>
      </c>
      <c r="G920" s="184">
        <v>1</v>
      </c>
      <c r="H920" s="158"/>
      <c r="I920" s="154"/>
      <c r="J920" s="154"/>
      <c r="K920" s="154"/>
      <c r="L920" s="154"/>
      <c r="M920" s="154"/>
      <c r="N920" s="154"/>
      <c r="O920" s="154"/>
      <c r="P920" s="154"/>
      <c r="Q920" s="154"/>
      <c r="R920" s="154"/>
      <c r="S920" s="154"/>
      <c r="T920" s="154"/>
      <c r="U920" s="154"/>
      <c r="V920" s="154"/>
      <c r="W920" s="154"/>
      <c r="X920" s="154"/>
      <c r="Y920" s="154"/>
      <c r="Z920" s="154"/>
      <c r="AA920" s="154"/>
    </row>
    <row r="921" spans="1:27" ht="15">
      <c r="A921" s="180">
        <v>45881</v>
      </c>
      <c r="B921" s="181" t="s">
        <v>13014</v>
      </c>
      <c r="C921" s="182" t="s">
        <v>1229</v>
      </c>
      <c r="D921" s="182">
        <v>47339</v>
      </c>
      <c r="E921" s="183">
        <v>95</v>
      </c>
      <c r="F921" s="183">
        <v>5045</v>
      </c>
      <c r="G921" s="184">
        <v>7</v>
      </c>
      <c r="H921" s="158"/>
      <c r="I921" s="154"/>
      <c r="J921" s="154"/>
      <c r="K921" s="154"/>
      <c r="L921" s="154"/>
      <c r="M921" s="154"/>
      <c r="N921" s="154"/>
      <c r="O921" s="154"/>
      <c r="P921" s="154"/>
      <c r="Q921" s="154"/>
      <c r="R921" s="154"/>
      <c r="S921" s="154"/>
      <c r="T921" s="154"/>
      <c r="U921" s="154"/>
      <c r="V921" s="154"/>
      <c r="W921" s="154"/>
      <c r="X921" s="154"/>
      <c r="Y921" s="154"/>
      <c r="Z921" s="154"/>
      <c r="AA921" s="154"/>
    </row>
    <row r="922" spans="1:27" ht="15">
      <c r="A922" s="180">
        <v>45881</v>
      </c>
      <c r="B922" s="181" t="s">
        <v>13015</v>
      </c>
      <c r="C922" s="182" t="s">
        <v>1229</v>
      </c>
      <c r="D922" s="182">
        <v>75932</v>
      </c>
      <c r="E922" s="183">
        <v>127</v>
      </c>
      <c r="F922" s="183">
        <v>6126</v>
      </c>
      <c r="G922" s="184">
        <v>13</v>
      </c>
      <c r="H922" s="158"/>
      <c r="I922" s="154"/>
      <c r="J922" s="154"/>
      <c r="K922" s="154"/>
      <c r="L922" s="154"/>
      <c r="M922" s="154"/>
      <c r="N922" s="154"/>
      <c r="O922" s="154"/>
      <c r="P922" s="154"/>
      <c r="Q922" s="154"/>
      <c r="R922" s="154"/>
      <c r="S922" s="154"/>
      <c r="T922" s="154"/>
      <c r="U922" s="154"/>
      <c r="V922" s="154"/>
      <c r="W922" s="154"/>
      <c r="X922" s="154"/>
      <c r="Y922" s="154"/>
      <c r="Z922" s="154"/>
      <c r="AA922" s="154"/>
    </row>
    <row r="923" spans="1:27" ht="15">
      <c r="A923" s="180">
        <v>45881</v>
      </c>
      <c r="B923" s="181" t="s">
        <v>13016</v>
      </c>
      <c r="C923" s="182" t="s">
        <v>1229</v>
      </c>
      <c r="D923" s="182">
        <v>23839</v>
      </c>
      <c r="E923" s="183">
        <v>31</v>
      </c>
      <c r="F923" s="183">
        <v>1127</v>
      </c>
      <c r="G923" s="184">
        <v>4</v>
      </c>
      <c r="H923" s="158"/>
      <c r="I923" s="154"/>
      <c r="J923" s="154"/>
      <c r="K923" s="154"/>
      <c r="L923" s="154"/>
      <c r="M923" s="154"/>
      <c r="N923" s="154"/>
      <c r="O923" s="154"/>
      <c r="P923" s="154"/>
      <c r="Q923" s="154"/>
      <c r="R923" s="154"/>
      <c r="S923" s="154"/>
      <c r="T923" s="154"/>
      <c r="U923" s="154"/>
      <c r="V923" s="154"/>
      <c r="W923" s="154"/>
      <c r="X923" s="154"/>
      <c r="Y923" s="154"/>
      <c r="Z923" s="154"/>
      <c r="AA923" s="154"/>
    </row>
    <row r="924" spans="1:27" ht="15">
      <c r="A924" s="180">
        <v>45881</v>
      </c>
      <c r="B924" s="181" t="s">
        <v>13017</v>
      </c>
      <c r="C924" s="182" t="s">
        <v>1229</v>
      </c>
      <c r="D924" s="182">
        <v>81850</v>
      </c>
      <c r="E924" s="183">
        <v>159</v>
      </c>
      <c r="F924" s="183">
        <v>8026</v>
      </c>
      <c r="G924" s="184">
        <v>12</v>
      </c>
      <c r="H924" s="158"/>
      <c r="I924" s="154"/>
      <c r="J924" s="154"/>
      <c r="K924" s="154"/>
      <c r="L924" s="154"/>
      <c r="M924" s="154"/>
      <c r="N924" s="154"/>
      <c r="O924" s="154"/>
      <c r="P924" s="154"/>
      <c r="Q924" s="154"/>
      <c r="R924" s="154"/>
      <c r="S924" s="154"/>
      <c r="T924" s="154"/>
      <c r="U924" s="154"/>
      <c r="V924" s="154"/>
      <c r="W924" s="154"/>
      <c r="X924" s="154"/>
      <c r="Y924" s="154"/>
      <c r="Z924" s="154"/>
      <c r="AA924" s="154"/>
    </row>
    <row r="925" spans="1:27" ht="15">
      <c r="A925" s="180">
        <v>45881</v>
      </c>
      <c r="B925" s="181" t="s">
        <v>13018</v>
      </c>
      <c r="C925" s="182" t="s">
        <v>1229</v>
      </c>
      <c r="D925" s="182">
        <v>37429</v>
      </c>
      <c r="E925" s="183">
        <v>53</v>
      </c>
      <c r="F925" s="183">
        <v>1604</v>
      </c>
      <c r="G925" s="184">
        <v>3</v>
      </c>
      <c r="H925" s="158"/>
      <c r="I925" s="154"/>
      <c r="J925" s="154"/>
      <c r="K925" s="154"/>
      <c r="L925" s="154"/>
      <c r="M925" s="154"/>
      <c r="N925" s="154"/>
      <c r="O925" s="154"/>
      <c r="P925" s="154"/>
      <c r="Q925" s="154"/>
      <c r="R925" s="154"/>
      <c r="S925" s="154"/>
      <c r="T925" s="154"/>
      <c r="U925" s="154"/>
      <c r="V925" s="154"/>
      <c r="W925" s="154"/>
      <c r="X925" s="154"/>
      <c r="Y925" s="154"/>
      <c r="Z925" s="154"/>
      <c r="AA925" s="154"/>
    </row>
    <row r="926" spans="1:27" ht="15">
      <c r="A926" s="180">
        <v>45881</v>
      </c>
      <c r="B926" s="181" t="s">
        <v>13019</v>
      </c>
      <c r="C926" s="182" t="s">
        <v>1774</v>
      </c>
      <c r="D926" s="182">
        <v>29338</v>
      </c>
      <c r="E926" s="183">
        <v>21</v>
      </c>
      <c r="F926" s="183">
        <v>1907</v>
      </c>
      <c r="G926" s="184">
        <v>2</v>
      </c>
      <c r="H926" s="158"/>
      <c r="I926" s="154"/>
      <c r="J926" s="154"/>
      <c r="K926" s="154"/>
      <c r="L926" s="154"/>
      <c r="M926" s="154"/>
      <c r="N926" s="154"/>
      <c r="O926" s="154"/>
      <c r="P926" s="154"/>
      <c r="Q926" s="154"/>
      <c r="R926" s="154"/>
      <c r="S926" s="154"/>
      <c r="T926" s="154"/>
      <c r="U926" s="154"/>
      <c r="V926" s="154"/>
      <c r="W926" s="154"/>
      <c r="X926" s="154"/>
      <c r="Y926" s="154"/>
      <c r="Z926" s="154"/>
      <c r="AA926" s="154"/>
    </row>
    <row r="927" spans="1:27" ht="15">
      <c r="A927" s="180">
        <v>45881</v>
      </c>
      <c r="B927" s="181" t="s">
        <v>13020</v>
      </c>
      <c r="C927" s="182" t="s">
        <v>1774</v>
      </c>
      <c r="D927" s="182">
        <v>45205</v>
      </c>
      <c r="E927" s="183">
        <v>39</v>
      </c>
      <c r="F927" s="183">
        <v>2445</v>
      </c>
      <c r="G927" s="184">
        <v>4</v>
      </c>
      <c r="H927" s="158"/>
      <c r="I927" s="154"/>
      <c r="J927" s="154"/>
      <c r="K927" s="154"/>
      <c r="L927" s="154"/>
      <c r="M927" s="154"/>
      <c r="N927" s="154"/>
      <c r="O927" s="154"/>
      <c r="P927" s="154"/>
      <c r="Q927" s="154"/>
      <c r="R927" s="154"/>
      <c r="S927" s="154"/>
      <c r="T927" s="154"/>
      <c r="U927" s="154"/>
      <c r="V927" s="154"/>
      <c r="W927" s="154"/>
      <c r="X927" s="154"/>
      <c r="Y927" s="154"/>
      <c r="Z927" s="154"/>
      <c r="AA927" s="154"/>
    </row>
    <row r="928" spans="1:27" ht="15">
      <c r="A928" s="180">
        <v>45881</v>
      </c>
      <c r="B928" s="181" t="s">
        <v>13021</v>
      </c>
      <c r="C928" s="182" t="s">
        <v>1774</v>
      </c>
      <c r="D928" s="182">
        <v>65576</v>
      </c>
      <c r="E928" s="183">
        <v>66</v>
      </c>
      <c r="F928" s="183">
        <v>4375</v>
      </c>
      <c r="G928" s="184">
        <v>9</v>
      </c>
      <c r="H928" s="158"/>
      <c r="I928" s="154"/>
      <c r="J928" s="154"/>
      <c r="K928" s="154"/>
      <c r="L928" s="154"/>
      <c r="M928" s="154"/>
      <c r="N928" s="154"/>
      <c r="O928" s="154"/>
      <c r="P928" s="154"/>
      <c r="Q928" s="154"/>
      <c r="R928" s="154"/>
      <c r="S928" s="154"/>
      <c r="T928" s="154"/>
      <c r="U928" s="154"/>
      <c r="V928" s="154"/>
      <c r="W928" s="154"/>
      <c r="X928" s="154"/>
      <c r="Y928" s="154"/>
      <c r="Z928" s="154"/>
      <c r="AA928" s="154"/>
    </row>
    <row r="929" spans="1:27" ht="15">
      <c r="A929" s="180">
        <v>45881</v>
      </c>
      <c r="B929" s="181" t="s">
        <v>13022</v>
      </c>
      <c r="C929" s="182" t="s">
        <v>1774</v>
      </c>
      <c r="D929" s="182">
        <v>204475</v>
      </c>
      <c r="E929" s="183">
        <v>287</v>
      </c>
      <c r="F929" s="183">
        <v>19976</v>
      </c>
      <c r="G929" s="184">
        <v>38</v>
      </c>
      <c r="H929" s="158"/>
      <c r="I929" s="154"/>
      <c r="J929" s="154"/>
      <c r="K929" s="154"/>
      <c r="L929" s="154"/>
      <c r="M929" s="154"/>
      <c r="N929" s="154"/>
      <c r="O929" s="154"/>
      <c r="P929" s="154"/>
      <c r="Q929" s="154"/>
      <c r="R929" s="154"/>
      <c r="S929" s="154"/>
      <c r="T929" s="154"/>
      <c r="U929" s="154"/>
      <c r="V929" s="154"/>
      <c r="W929" s="154"/>
      <c r="X929" s="154"/>
      <c r="Y929" s="154"/>
      <c r="Z929" s="154"/>
      <c r="AA929" s="154"/>
    </row>
    <row r="930" spans="1:27" ht="15">
      <c r="A930" s="180">
        <v>45881</v>
      </c>
      <c r="B930" s="181" t="s">
        <v>13023</v>
      </c>
      <c r="C930" s="182" t="s">
        <v>115</v>
      </c>
      <c r="D930" s="182">
        <v>12591</v>
      </c>
      <c r="E930" s="183">
        <v>5</v>
      </c>
      <c r="F930" s="183">
        <v>367</v>
      </c>
      <c r="G930" s="184">
        <v>0</v>
      </c>
      <c r="H930" s="158"/>
      <c r="I930" s="154"/>
      <c r="J930" s="154"/>
      <c r="K930" s="154"/>
      <c r="L930" s="154"/>
      <c r="M930" s="154"/>
      <c r="N930" s="154"/>
      <c r="O930" s="154"/>
      <c r="P930" s="154"/>
      <c r="Q930" s="154"/>
      <c r="R930" s="154"/>
      <c r="S930" s="154"/>
      <c r="T930" s="154"/>
      <c r="U930" s="154"/>
      <c r="V930" s="154"/>
      <c r="W930" s="154"/>
      <c r="X930" s="154"/>
      <c r="Y930" s="154"/>
      <c r="Z930" s="154"/>
      <c r="AA930" s="154"/>
    </row>
    <row r="931" spans="1:27" ht="15">
      <c r="A931" s="180">
        <v>45881</v>
      </c>
      <c r="B931" s="181" t="s">
        <v>13024</v>
      </c>
      <c r="C931" s="182" t="s">
        <v>115</v>
      </c>
      <c r="D931" s="182">
        <v>30582</v>
      </c>
      <c r="E931" s="183">
        <v>16</v>
      </c>
      <c r="F931" s="183">
        <v>909</v>
      </c>
      <c r="G931" s="184">
        <v>2</v>
      </c>
      <c r="H931" s="158"/>
      <c r="I931" s="154"/>
      <c r="J931" s="154"/>
      <c r="K931" s="154"/>
      <c r="L931" s="154"/>
      <c r="M931" s="154"/>
      <c r="N931" s="154"/>
      <c r="O931" s="154"/>
      <c r="P931" s="154"/>
      <c r="Q931" s="154"/>
      <c r="R931" s="154"/>
      <c r="S931" s="154"/>
      <c r="T931" s="154"/>
      <c r="U931" s="154"/>
      <c r="V931" s="154"/>
      <c r="W931" s="154"/>
      <c r="X931" s="154"/>
      <c r="Y931" s="154"/>
      <c r="Z931" s="154"/>
      <c r="AA931" s="154"/>
    </row>
    <row r="932" spans="1:27" ht="15">
      <c r="A932" s="180">
        <v>45881</v>
      </c>
      <c r="B932" s="181" t="s">
        <v>13025</v>
      </c>
      <c r="C932" s="182" t="s">
        <v>115</v>
      </c>
      <c r="D932" s="182">
        <v>15047</v>
      </c>
      <c r="E932" s="183">
        <v>16</v>
      </c>
      <c r="F932" s="183">
        <v>884</v>
      </c>
      <c r="G932" s="184">
        <v>0</v>
      </c>
      <c r="H932" s="158"/>
      <c r="I932" s="154"/>
      <c r="J932" s="154"/>
      <c r="K932" s="154"/>
      <c r="L932" s="154"/>
      <c r="M932" s="154"/>
      <c r="N932" s="154"/>
      <c r="O932" s="154"/>
      <c r="P932" s="154"/>
      <c r="Q932" s="154"/>
      <c r="R932" s="154"/>
      <c r="S932" s="154"/>
      <c r="T932" s="154"/>
      <c r="U932" s="154"/>
      <c r="V932" s="154"/>
      <c r="W932" s="154"/>
      <c r="X932" s="154"/>
      <c r="Y932" s="154"/>
      <c r="Z932" s="154"/>
      <c r="AA932" s="154"/>
    </row>
    <row r="933" spans="1:27" ht="15">
      <c r="A933" s="180">
        <v>45881</v>
      </c>
      <c r="B933" s="181" t="s">
        <v>13026</v>
      </c>
      <c r="C933" s="182" t="s">
        <v>115</v>
      </c>
      <c r="D933" s="182">
        <v>24343</v>
      </c>
      <c r="E933" s="183">
        <v>27</v>
      </c>
      <c r="F933" s="183">
        <v>1832</v>
      </c>
      <c r="G933" s="184">
        <v>3</v>
      </c>
      <c r="H933" s="158"/>
      <c r="I933" s="154"/>
      <c r="J933" s="154"/>
      <c r="K933" s="154"/>
      <c r="L933" s="154"/>
      <c r="M933" s="154"/>
      <c r="N933" s="154"/>
      <c r="O933" s="154"/>
      <c r="P933" s="154"/>
      <c r="Q933" s="154"/>
      <c r="R933" s="154"/>
      <c r="S933" s="154"/>
      <c r="T933" s="154"/>
      <c r="U933" s="154"/>
      <c r="V933" s="154"/>
      <c r="W933" s="154"/>
      <c r="X933" s="154"/>
      <c r="Y933" s="154"/>
      <c r="Z933" s="154"/>
      <c r="AA933" s="154"/>
    </row>
    <row r="934" spans="1:27" ht="15">
      <c r="A934" s="180">
        <v>45881</v>
      </c>
      <c r="B934" s="181" t="s">
        <v>13027</v>
      </c>
      <c r="C934" s="182" t="s">
        <v>115</v>
      </c>
      <c r="D934" s="182">
        <v>21613</v>
      </c>
      <c r="E934" s="183">
        <v>27</v>
      </c>
      <c r="F934" s="183">
        <v>1591</v>
      </c>
      <c r="G934" s="184">
        <v>2</v>
      </c>
      <c r="H934" s="158"/>
      <c r="I934" s="154"/>
      <c r="J934" s="154"/>
      <c r="K934" s="154"/>
      <c r="L934" s="154"/>
      <c r="M934" s="154"/>
      <c r="N934" s="154"/>
      <c r="O934" s="154"/>
      <c r="P934" s="154"/>
      <c r="Q934" s="154"/>
      <c r="R934" s="154"/>
      <c r="S934" s="154"/>
      <c r="T934" s="154"/>
      <c r="U934" s="154"/>
      <c r="V934" s="154"/>
      <c r="W934" s="154"/>
      <c r="X934" s="154"/>
      <c r="Y934" s="154"/>
      <c r="Z934" s="154"/>
      <c r="AA934" s="154"/>
    </row>
    <row r="935" spans="1:27" ht="15">
      <c r="A935" s="180">
        <v>45881</v>
      </c>
      <c r="B935" s="181" t="s">
        <v>13028</v>
      </c>
      <c r="C935" s="182" t="s">
        <v>61</v>
      </c>
      <c r="D935" s="182">
        <v>24602</v>
      </c>
      <c r="E935" s="183">
        <v>20</v>
      </c>
      <c r="F935" s="183">
        <v>1279</v>
      </c>
      <c r="G935" s="184">
        <v>1</v>
      </c>
      <c r="H935" s="158"/>
      <c r="I935" s="154"/>
      <c r="J935" s="154"/>
      <c r="K935" s="154"/>
      <c r="L935" s="154"/>
      <c r="M935" s="154"/>
      <c r="N935" s="154"/>
      <c r="O935" s="154"/>
      <c r="P935" s="154"/>
      <c r="Q935" s="154"/>
      <c r="R935" s="154"/>
      <c r="S935" s="154"/>
      <c r="T935" s="154"/>
      <c r="U935" s="154"/>
      <c r="V935" s="154"/>
      <c r="W935" s="154"/>
      <c r="X935" s="154"/>
      <c r="Y935" s="154"/>
      <c r="Z935" s="154"/>
      <c r="AA935" s="154"/>
    </row>
    <row r="936" spans="1:27" ht="15">
      <c r="A936" s="180">
        <v>45881</v>
      </c>
      <c r="B936" s="181" t="s">
        <v>13029</v>
      </c>
      <c r="C936" s="182" t="s">
        <v>61</v>
      </c>
      <c r="D936" s="182">
        <v>48830</v>
      </c>
      <c r="E936" s="183">
        <v>69</v>
      </c>
      <c r="F936" s="183">
        <v>4070</v>
      </c>
      <c r="G936" s="184">
        <v>5</v>
      </c>
      <c r="H936" s="158"/>
      <c r="I936" s="154"/>
      <c r="J936" s="154"/>
      <c r="K936" s="154"/>
      <c r="L936" s="154"/>
      <c r="M936" s="154"/>
      <c r="N936" s="154"/>
      <c r="O936" s="154"/>
      <c r="P936" s="154"/>
      <c r="Q936" s="154"/>
      <c r="R936" s="154"/>
      <c r="S936" s="154"/>
      <c r="T936" s="154"/>
      <c r="U936" s="154"/>
      <c r="V936" s="154"/>
      <c r="W936" s="154"/>
      <c r="X936" s="154"/>
      <c r="Y936" s="154"/>
      <c r="Z936" s="154"/>
      <c r="AA936" s="154"/>
    </row>
    <row r="937" spans="1:27" ht="15">
      <c r="A937" s="180">
        <v>45881</v>
      </c>
      <c r="B937" s="181" t="s">
        <v>13030</v>
      </c>
      <c r="C937" s="182" t="s">
        <v>61</v>
      </c>
      <c r="D937" s="182">
        <v>10572</v>
      </c>
      <c r="E937" s="183">
        <v>5</v>
      </c>
      <c r="F937" s="183">
        <v>600</v>
      </c>
      <c r="G937" s="184">
        <v>0</v>
      </c>
      <c r="H937" s="158"/>
      <c r="I937" s="154"/>
      <c r="J937" s="154"/>
      <c r="K937" s="154"/>
      <c r="L937" s="154"/>
      <c r="M937" s="154"/>
      <c r="N937" s="154"/>
      <c r="O937" s="154"/>
      <c r="P937" s="154"/>
      <c r="Q937" s="154"/>
      <c r="R937" s="154"/>
      <c r="S937" s="154"/>
      <c r="T937" s="154"/>
      <c r="U937" s="154"/>
      <c r="V937" s="154"/>
      <c r="W937" s="154"/>
      <c r="X937" s="154"/>
      <c r="Y937" s="154"/>
      <c r="Z937" s="154"/>
      <c r="AA937" s="154"/>
    </row>
    <row r="938" spans="1:27" ht="15">
      <c r="A938" s="180">
        <v>45881</v>
      </c>
      <c r="B938" s="181" t="s">
        <v>13031</v>
      </c>
      <c r="C938" s="182" t="s">
        <v>1774</v>
      </c>
      <c r="D938" s="182">
        <v>40975</v>
      </c>
      <c r="E938" s="183">
        <v>39</v>
      </c>
      <c r="F938" s="183">
        <v>2484</v>
      </c>
      <c r="G938" s="184">
        <v>4</v>
      </c>
      <c r="H938" s="158"/>
      <c r="I938" s="154"/>
      <c r="J938" s="154"/>
      <c r="K938" s="154"/>
      <c r="L938" s="154"/>
      <c r="M938" s="154"/>
      <c r="N938" s="154"/>
      <c r="O938" s="154"/>
      <c r="P938" s="154"/>
      <c r="Q938" s="154"/>
      <c r="R938" s="154"/>
      <c r="S938" s="154"/>
      <c r="T938" s="154"/>
      <c r="U938" s="154"/>
      <c r="V938" s="154"/>
      <c r="W938" s="154"/>
      <c r="X938" s="154"/>
      <c r="Y938" s="154"/>
      <c r="Z938" s="154"/>
      <c r="AA938" s="154"/>
    </row>
    <row r="939" spans="1:27" ht="15">
      <c r="A939" s="180">
        <v>45881</v>
      </c>
      <c r="B939" s="181" t="s">
        <v>13032</v>
      </c>
      <c r="C939" s="182" t="s">
        <v>1229</v>
      </c>
      <c r="D939" s="182">
        <v>15010</v>
      </c>
      <c r="E939" s="183">
        <v>12</v>
      </c>
      <c r="F939" s="183">
        <v>818</v>
      </c>
      <c r="G939" s="184">
        <v>1</v>
      </c>
      <c r="H939" s="158"/>
      <c r="I939" s="154"/>
      <c r="J939" s="154"/>
      <c r="K939" s="154"/>
      <c r="L939" s="154"/>
      <c r="M939" s="154"/>
      <c r="N939" s="154"/>
      <c r="O939" s="154"/>
      <c r="P939" s="154"/>
      <c r="Q939" s="154"/>
      <c r="R939" s="154"/>
      <c r="S939" s="154"/>
      <c r="T939" s="154"/>
      <c r="U939" s="154"/>
      <c r="V939" s="154"/>
      <c r="W939" s="154"/>
      <c r="X939" s="154"/>
      <c r="Y939" s="154"/>
      <c r="Z939" s="154"/>
      <c r="AA939" s="154"/>
    </row>
    <row r="940" spans="1:27" ht="15">
      <c r="A940" s="180">
        <v>45881</v>
      </c>
      <c r="B940" s="181" t="s">
        <v>13033</v>
      </c>
      <c r="C940" s="182" t="s">
        <v>1229</v>
      </c>
      <c r="D940" s="182">
        <v>11047</v>
      </c>
      <c r="E940" s="183">
        <v>11</v>
      </c>
      <c r="F940" s="183">
        <v>531</v>
      </c>
      <c r="G940" s="184">
        <v>0</v>
      </c>
      <c r="H940" s="158"/>
      <c r="I940" s="154"/>
      <c r="J940" s="154"/>
      <c r="K940" s="154"/>
      <c r="L940" s="154"/>
      <c r="M940" s="154"/>
      <c r="N940" s="154"/>
      <c r="O940" s="154"/>
      <c r="P940" s="154"/>
      <c r="Q940" s="154"/>
      <c r="R940" s="154"/>
      <c r="S940" s="154"/>
      <c r="T940" s="154"/>
      <c r="U940" s="154"/>
      <c r="V940" s="154"/>
      <c r="W940" s="154"/>
      <c r="X940" s="154"/>
      <c r="Y940" s="154"/>
      <c r="Z940" s="154"/>
      <c r="AA940" s="154"/>
    </row>
    <row r="941" spans="1:27" ht="15">
      <c r="A941" s="180">
        <v>45882</v>
      </c>
      <c r="B941" s="181" t="s">
        <v>13034</v>
      </c>
      <c r="C941" s="182" t="s">
        <v>61</v>
      </c>
      <c r="D941" s="182">
        <v>8127</v>
      </c>
      <c r="E941" s="183">
        <v>10</v>
      </c>
      <c r="F941" s="183">
        <v>289</v>
      </c>
      <c r="G941" s="184">
        <v>0</v>
      </c>
      <c r="H941" s="158"/>
      <c r="I941" s="154"/>
      <c r="J941" s="154"/>
      <c r="K941" s="154"/>
      <c r="L941" s="154"/>
      <c r="M941" s="154"/>
      <c r="N941" s="154"/>
      <c r="O941" s="154"/>
      <c r="P941" s="154"/>
      <c r="Q941" s="154"/>
      <c r="R941" s="154"/>
      <c r="S941" s="154"/>
      <c r="T941" s="154"/>
      <c r="U941" s="154"/>
      <c r="V941" s="154"/>
      <c r="W941" s="154"/>
      <c r="X941" s="154"/>
      <c r="Y941" s="154"/>
      <c r="Z941" s="154"/>
      <c r="AA941" s="154"/>
    </row>
    <row r="942" spans="1:27" ht="15">
      <c r="A942" s="180">
        <v>45882</v>
      </c>
      <c r="B942" s="181" t="s">
        <v>13014</v>
      </c>
      <c r="C942" s="182" t="s">
        <v>1229</v>
      </c>
      <c r="D942" s="182">
        <v>735</v>
      </c>
      <c r="E942" s="183">
        <v>2</v>
      </c>
      <c r="F942" s="183">
        <v>136</v>
      </c>
      <c r="G942" s="184">
        <v>0</v>
      </c>
      <c r="H942" s="158"/>
      <c r="I942" s="154"/>
      <c r="J942" s="154"/>
      <c r="K942" s="154"/>
      <c r="L942" s="154"/>
      <c r="M942" s="154"/>
      <c r="N942" s="154"/>
      <c r="O942" s="154"/>
      <c r="P942" s="154"/>
      <c r="Q942" s="154"/>
      <c r="R942" s="154"/>
      <c r="S942" s="154"/>
      <c r="T942" s="154"/>
      <c r="U942" s="154"/>
      <c r="V942" s="154"/>
      <c r="W942" s="154"/>
      <c r="X942" s="154"/>
      <c r="Y942" s="154"/>
      <c r="Z942" s="154"/>
      <c r="AA942" s="154"/>
    </row>
    <row r="943" spans="1:27" ht="15">
      <c r="A943" s="180">
        <v>45882</v>
      </c>
      <c r="B943" s="181" t="s">
        <v>13015</v>
      </c>
      <c r="C943" s="182" t="s">
        <v>1229</v>
      </c>
      <c r="D943" s="182">
        <v>11659</v>
      </c>
      <c r="E943" s="183">
        <v>17</v>
      </c>
      <c r="F943" s="183">
        <v>1063</v>
      </c>
      <c r="G943" s="184">
        <v>1</v>
      </c>
      <c r="H943" s="158"/>
      <c r="I943" s="154"/>
      <c r="J943" s="154"/>
      <c r="K943" s="154"/>
      <c r="L943" s="154"/>
      <c r="M943" s="154"/>
      <c r="N943" s="154"/>
      <c r="O943" s="154"/>
      <c r="P943" s="154"/>
      <c r="Q943" s="154"/>
      <c r="R943" s="154"/>
      <c r="S943" s="154"/>
      <c r="T943" s="154"/>
      <c r="U943" s="154"/>
      <c r="V943" s="154"/>
      <c r="W943" s="154"/>
      <c r="X943" s="154"/>
      <c r="Y943" s="154"/>
      <c r="Z943" s="154"/>
      <c r="AA943" s="154"/>
    </row>
    <row r="944" spans="1:27" ht="15">
      <c r="A944" s="180">
        <v>45882</v>
      </c>
      <c r="B944" s="181" t="s">
        <v>13016</v>
      </c>
      <c r="C944" s="182" t="s">
        <v>1229</v>
      </c>
      <c r="D944" s="182">
        <v>847</v>
      </c>
      <c r="E944" s="183">
        <v>2</v>
      </c>
      <c r="F944" s="183">
        <v>75</v>
      </c>
      <c r="G944" s="184">
        <v>0</v>
      </c>
      <c r="H944" s="158"/>
      <c r="I944" s="154"/>
      <c r="J944" s="154"/>
      <c r="K944" s="154"/>
      <c r="L944" s="154"/>
      <c r="M944" s="154"/>
      <c r="N944" s="154"/>
      <c r="O944" s="154"/>
      <c r="P944" s="154"/>
      <c r="Q944" s="154"/>
      <c r="R944" s="154"/>
      <c r="S944" s="154"/>
      <c r="T944" s="154"/>
      <c r="U944" s="154"/>
      <c r="V944" s="154"/>
      <c r="W944" s="154"/>
      <c r="X944" s="154"/>
      <c r="Y944" s="154"/>
      <c r="Z944" s="154"/>
      <c r="AA944" s="154"/>
    </row>
    <row r="945" spans="1:27" ht="15">
      <c r="A945" s="180">
        <v>45882</v>
      </c>
      <c r="B945" s="181" t="s">
        <v>13017</v>
      </c>
      <c r="C945" s="182" t="s">
        <v>1229</v>
      </c>
      <c r="D945" s="182">
        <v>44004</v>
      </c>
      <c r="E945" s="183">
        <v>78</v>
      </c>
      <c r="F945" s="183">
        <v>4665</v>
      </c>
      <c r="G945" s="184">
        <v>7</v>
      </c>
      <c r="H945" s="158"/>
      <c r="I945" s="154"/>
      <c r="J945" s="154"/>
      <c r="K945" s="154"/>
      <c r="L945" s="154"/>
      <c r="M945" s="154"/>
      <c r="N945" s="154"/>
      <c r="O945" s="154"/>
      <c r="P945" s="154"/>
      <c r="Q945" s="154"/>
      <c r="R945" s="154"/>
      <c r="S945" s="154"/>
      <c r="T945" s="154"/>
      <c r="U945" s="154"/>
      <c r="V945" s="154"/>
      <c r="W945" s="154"/>
      <c r="X945" s="154"/>
      <c r="Y945" s="154"/>
      <c r="Z945" s="154"/>
      <c r="AA945" s="154"/>
    </row>
    <row r="946" spans="1:27" ht="15">
      <c r="A946" s="180">
        <v>45882</v>
      </c>
      <c r="B946" s="181" t="s">
        <v>13018</v>
      </c>
      <c r="C946" s="182" t="s">
        <v>1229</v>
      </c>
      <c r="D946" s="182">
        <v>42378</v>
      </c>
      <c r="E946" s="183">
        <v>58</v>
      </c>
      <c r="F946" s="183">
        <v>2852</v>
      </c>
      <c r="G946" s="184">
        <v>8</v>
      </c>
      <c r="H946" s="158"/>
      <c r="I946" s="154"/>
      <c r="J946" s="154"/>
      <c r="K946" s="154"/>
      <c r="L946" s="154"/>
      <c r="M946" s="154"/>
      <c r="N946" s="154"/>
      <c r="O946" s="154"/>
      <c r="P946" s="154"/>
      <c r="Q946" s="154"/>
      <c r="R946" s="154"/>
      <c r="S946" s="154"/>
      <c r="T946" s="154"/>
      <c r="U946" s="154"/>
      <c r="V946" s="154"/>
      <c r="W946" s="154"/>
      <c r="X946" s="154"/>
      <c r="Y946" s="154"/>
      <c r="Z946" s="154"/>
      <c r="AA946" s="154"/>
    </row>
    <row r="947" spans="1:27" ht="15">
      <c r="A947" s="180">
        <v>45882</v>
      </c>
      <c r="B947" s="181" t="s">
        <v>13019</v>
      </c>
      <c r="C947" s="182" t="s">
        <v>1774</v>
      </c>
      <c r="D947" s="182">
        <v>10095</v>
      </c>
      <c r="E947" s="183">
        <v>9</v>
      </c>
      <c r="F947" s="183">
        <v>241</v>
      </c>
      <c r="G947" s="184">
        <v>1</v>
      </c>
      <c r="H947" s="158"/>
      <c r="I947" s="154"/>
      <c r="J947" s="154"/>
      <c r="K947" s="154"/>
      <c r="L947" s="154"/>
      <c r="M947" s="154"/>
      <c r="N947" s="154"/>
      <c r="O947" s="154"/>
      <c r="P947" s="154"/>
      <c r="Q947" s="154"/>
      <c r="R947" s="154"/>
      <c r="S947" s="154"/>
      <c r="T947" s="154"/>
      <c r="U947" s="154"/>
      <c r="V947" s="154"/>
      <c r="W947" s="154"/>
      <c r="X947" s="154"/>
      <c r="Y947" s="154"/>
      <c r="Z947" s="154"/>
      <c r="AA947" s="154"/>
    </row>
    <row r="948" spans="1:27" ht="15">
      <c r="A948" s="180">
        <v>45882</v>
      </c>
      <c r="B948" s="181" t="s">
        <v>13020</v>
      </c>
      <c r="C948" s="182" t="s">
        <v>1774</v>
      </c>
      <c r="D948" s="182">
        <v>307</v>
      </c>
      <c r="E948" s="183">
        <v>0</v>
      </c>
      <c r="F948" s="183">
        <v>26</v>
      </c>
      <c r="G948" s="184">
        <v>0</v>
      </c>
      <c r="H948" s="158"/>
      <c r="I948" s="154"/>
      <c r="J948" s="154"/>
      <c r="K948" s="154"/>
      <c r="L948" s="154"/>
      <c r="M948" s="154"/>
      <c r="N948" s="154"/>
      <c r="O948" s="154"/>
      <c r="P948" s="154"/>
      <c r="Q948" s="154"/>
      <c r="R948" s="154"/>
      <c r="S948" s="154"/>
      <c r="T948" s="154"/>
      <c r="U948" s="154"/>
      <c r="V948" s="154"/>
      <c r="W948" s="154"/>
      <c r="X948" s="154"/>
      <c r="Y948" s="154"/>
      <c r="Z948" s="154"/>
      <c r="AA948" s="154"/>
    </row>
    <row r="949" spans="1:27" ht="15">
      <c r="A949" s="180">
        <v>45882</v>
      </c>
      <c r="B949" s="181" t="s">
        <v>13021</v>
      </c>
      <c r="C949" s="182" t="s">
        <v>1774</v>
      </c>
      <c r="D949" s="182">
        <v>34210</v>
      </c>
      <c r="E949" s="183">
        <v>42</v>
      </c>
      <c r="F949" s="183">
        <v>2112</v>
      </c>
      <c r="G949" s="184">
        <v>10</v>
      </c>
      <c r="H949" s="158"/>
      <c r="I949" s="154"/>
      <c r="J949" s="154"/>
      <c r="K949" s="154"/>
      <c r="L949" s="154"/>
      <c r="M949" s="154"/>
      <c r="N949" s="154"/>
      <c r="O949" s="154"/>
      <c r="P949" s="154"/>
      <c r="Q949" s="154"/>
      <c r="R949" s="154"/>
      <c r="S949" s="154"/>
      <c r="T949" s="154"/>
      <c r="U949" s="154"/>
      <c r="V949" s="154"/>
      <c r="W949" s="154"/>
      <c r="X949" s="154"/>
      <c r="Y949" s="154"/>
      <c r="Z949" s="154"/>
      <c r="AA949" s="154"/>
    </row>
    <row r="950" spans="1:27" ht="15">
      <c r="A950" s="180">
        <v>45882</v>
      </c>
      <c r="B950" s="181" t="s">
        <v>13022</v>
      </c>
      <c r="C950" s="182" t="s">
        <v>1774</v>
      </c>
      <c r="D950" s="182">
        <v>16116</v>
      </c>
      <c r="E950" s="183">
        <v>32</v>
      </c>
      <c r="F950" s="183">
        <v>1475</v>
      </c>
      <c r="G950" s="184">
        <v>4</v>
      </c>
      <c r="H950" s="158"/>
      <c r="I950" s="154"/>
      <c r="J950" s="154"/>
      <c r="K950" s="154"/>
      <c r="L950" s="154"/>
      <c r="M950" s="154"/>
      <c r="N950" s="154"/>
      <c r="O950" s="154"/>
      <c r="P950" s="154"/>
      <c r="Q950" s="154"/>
      <c r="R950" s="154"/>
      <c r="S950" s="154"/>
      <c r="T950" s="154"/>
      <c r="U950" s="154"/>
      <c r="V950" s="154"/>
      <c r="W950" s="154"/>
      <c r="X950" s="154"/>
      <c r="Y950" s="154"/>
      <c r="Z950" s="154"/>
      <c r="AA950" s="154"/>
    </row>
    <row r="951" spans="1:27" ht="15">
      <c r="A951" s="180">
        <v>45882</v>
      </c>
      <c r="B951" s="181" t="s">
        <v>13023</v>
      </c>
      <c r="C951" s="182" t="s">
        <v>115</v>
      </c>
      <c r="D951" s="182">
        <v>1672</v>
      </c>
      <c r="E951" s="183">
        <v>0</v>
      </c>
      <c r="F951" s="183">
        <v>80</v>
      </c>
      <c r="G951" s="184">
        <v>0</v>
      </c>
      <c r="H951" s="158"/>
      <c r="I951" s="154"/>
      <c r="J951" s="154"/>
      <c r="K951" s="154"/>
      <c r="L951" s="154"/>
      <c r="M951" s="154"/>
      <c r="N951" s="154"/>
      <c r="O951" s="154"/>
      <c r="P951" s="154"/>
      <c r="Q951" s="154"/>
      <c r="R951" s="154"/>
      <c r="S951" s="154"/>
      <c r="T951" s="154"/>
      <c r="U951" s="154"/>
      <c r="V951" s="154"/>
      <c r="W951" s="154"/>
      <c r="X951" s="154"/>
      <c r="Y951" s="154"/>
      <c r="Z951" s="154"/>
      <c r="AA951" s="154"/>
    </row>
    <row r="952" spans="1:27" ht="15">
      <c r="A952" s="180">
        <v>45882</v>
      </c>
      <c r="B952" s="181" t="s">
        <v>13024</v>
      </c>
      <c r="C952" s="182" t="s">
        <v>115</v>
      </c>
      <c r="D952" s="182">
        <v>70285</v>
      </c>
      <c r="E952" s="183">
        <v>59</v>
      </c>
      <c r="F952" s="183">
        <v>4660</v>
      </c>
      <c r="G952" s="184">
        <v>11</v>
      </c>
      <c r="H952" s="158"/>
      <c r="I952" s="154"/>
      <c r="J952" s="154"/>
      <c r="K952" s="154"/>
      <c r="L952" s="154"/>
      <c r="M952" s="154"/>
      <c r="N952" s="154"/>
      <c r="O952" s="154"/>
      <c r="P952" s="154"/>
      <c r="Q952" s="154"/>
      <c r="R952" s="154"/>
      <c r="S952" s="154"/>
      <c r="T952" s="154"/>
      <c r="U952" s="154"/>
      <c r="V952" s="154"/>
      <c r="W952" s="154"/>
      <c r="X952" s="154"/>
      <c r="Y952" s="154"/>
      <c r="Z952" s="154"/>
      <c r="AA952" s="154"/>
    </row>
    <row r="953" spans="1:27" ht="15">
      <c r="A953" s="180">
        <v>45882</v>
      </c>
      <c r="B953" s="181" t="s">
        <v>13025</v>
      </c>
      <c r="C953" s="182" t="s">
        <v>115</v>
      </c>
      <c r="D953" s="182">
        <v>705</v>
      </c>
      <c r="E953" s="183">
        <v>2</v>
      </c>
      <c r="F953" s="183">
        <v>12</v>
      </c>
      <c r="G953" s="184">
        <v>0</v>
      </c>
      <c r="H953" s="158"/>
      <c r="I953" s="154"/>
      <c r="J953" s="154"/>
      <c r="K953" s="154"/>
      <c r="L953" s="154"/>
      <c r="M953" s="154"/>
      <c r="N953" s="154"/>
      <c r="O953" s="154"/>
      <c r="P953" s="154"/>
      <c r="Q953" s="154"/>
      <c r="R953" s="154"/>
      <c r="S953" s="154"/>
      <c r="T953" s="154"/>
      <c r="U953" s="154"/>
      <c r="V953" s="154"/>
      <c r="W953" s="154"/>
      <c r="X953" s="154"/>
      <c r="Y953" s="154"/>
      <c r="Z953" s="154"/>
      <c r="AA953" s="154"/>
    </row>
    <row r="954" spans="1:27" ht="15">
      <c r="A954" s="180">
        <v>45882</v>
      </c>
      <c r="B954" s="181" t="s">
        <v>13026</v>
      </c>
      <c r="C954" s="182" t="s">
        <v>115</v>
      </c>
      <c r="D954" s="182">
        <v>88</v>
      </c>
      <c r="E954" s="183">
        <v>0</v>
      </c>
      <c r="F954" s="183">
        <v>9</v>
      </c>
      <c r="G954" s="184">
        <v>0</v>
      </c>
      <c r="H954" s="158"/>
      <c r="I954" s="154"/>
      <c r="J954" s="154"/>
      <c r="K954" s="154"/>
      <c r="L954" s="154"/>
      <c r="M954" s="154"/>
      <c r="N954" s="154"/>
      <c r="O954" s="154"/>
      <c r="P954" s="154"/>
      <c r="Q954" s="154"/>
      <c r="R954" s="154"/>
      <c r="S954" s="154"/>
      <c r="T954" s="154"/>
      <c r="U954" s="154"/>
      <c r="V954" s="154"/>
      <c r="W954" s="154"/>
      <c r="X954" s="154"/>
      <c r="Y954" s="154"/>
      <c r="Z954" s="154"/>
      <c r="AA954" s="154"/>
    </row>
    <row r="955" spans="1:27" ht="15">
      <c r="A955" s="180">
        <v>45882</v>
      </c>
      <c r="B955" s="181" t="s">
        <v>13027</v>
      </c>
      <c r="C955" s="182" t="s">
        <v>115</v>
      </c>
      <c r="D955" s="182">
        <v>9236</v>
      </c>
      <c r="E955" s="183">
        <v>10</v>
      </c>
      <c r="F955" s="183">
        <v>555</v>
      </c>
      <c r="G955" s="184">
        <v>1</v>
      </c>
      <c r="H955" s="158"/>
      <c r="I955" s="154"/>
      <c r="J955" s="154"/>
      <c r="K955" s="154"/>
      <c r="L955" s="154"/>
      <c r="M955" s="154"/>
      <c r="N955" s="154"/>
      <c r="O955" s="154"/>
      <c r="P955" s="154"/>
      <c r="Q955" s="154"/>
      <c r="R955" s="154"/>
      <c r="S955" s="154"/>
      <c r="T955" s="154"/>
      <c r="U955" s="154"/>
      <c r="V955" s="154"/>
      <c r="W955" s="154"/>
      <c r="X955" s="154"/>
      <c r="Y955" s="154"/>
      <c r="Z955" s="154"/>
      <c r="AA955" s="154"/>
    </row>
    <row r="956" spans="1:27" ht="15">
      <c r="A956" s="180">
        <v>45882</v>
      </c>
      <c r="B956" s="181" t="s">
        <v>13028</v>
      </c>
      <c r="C956" s="182" t="s">
        <v>61</v>
      </c>
      <c r="D956" s="182">
        <v>761</v>
      </c>
      <c r="E956" s="183">
        <v>0</v>
      </c>
      <c r="F956" s="183">
        <v>22</v>
      </c>
      <c r="G956" s="184">
        <v>0</v>
      </c>
      <c r="H956" s="158"/>
      <c r="I956" s="154"/>
      <c r="J956" s="154"/>
      <c r="K956" s="154"/>
      <c r="L956" s="154"/>
      <c r="M956" s="154"/>
      <c r="N956" s="154"/>
      <c r="O956" s="154"/>
      <c r="P956" s="154"/>
      <c r="Q956" s="154"/>
      <c r="R956" s="154"/>
      <c r="S956" s="154"/>
      <c r="T956" s="154"/>
      <c r="U956" s="154"/>
      <c r="V956" s="154"/>
      <c r="W956" s="154"/>
      <c r="X956" s="154"/>
      <c r="Y956" s="154"/>
      <c r="Z956" s="154"/>
      <c r="AA956" s="154"/>
    </row>
    <row r="957" spans="1:27" ht="15">
      <c r="A957" s="180">
        <v>45882</v>
      </c>
      <c r="B957" s="181" t="s">
        <v>13029</v>
      </c>
      <c r="C957" s="182" t="s">
        <v>61</v>
      </c>
      <c r="D957" s="182">
        <v>38780</v>
      </c>
      <c r="E957" s="183">
        <v>49</v>
      </c>
      <c r="F957" s="183">
        <v>1986</v>
      </c>
      <c r="G957" s="184">
        <v>5</v>
      </c>
      <c r="H957" s="158"/>
      <c r="I957" s="154"/>
      <c r="J957" s="154"/>
      <c r="K957" s="154"/>
      <c r="L957" s="154"/>
      <c r="M957" s="154"/>
      <c r="N957" s="154"/>
      <c r="O957" s="154"/>
      <c r="P957" s="154"/>
      <c r="Q957" s="154"/>
      <c r="R957" s="154"/>
      <c r="S957" s="154"/>
      <c r="T957" s="154"/>
      <c r="U957" s="154"/>
      <c r="V957" s="154"/>
      <c r="W957" s="154"/>
      <c r="X957" s="154"/>
      <c r="Y957" s="154"/>
      <c r="Z957" s="154"/>
      <c r="AA957" s="154"/>
    </row>
    <row r="958" spans="1:27" ht="15">
      <c r="A958" s="180">
        <v>45882</v>
      </c>
      <c r="B958" s="181" t="s">
        <v>13030</v>
      </c>
      <c r="C958" s="182" t="s">
        <v>61</v>
      </c>
      <c r="D958" s="182">
        <v>110</v>
      </c>
      <c r="E958" s="183">
        <v>0</v>
      </c>
      <c r="F958" s="183">
        <v>7</v>
      </c>
      <c r="G958" s="184">
        <v>0</v>
      </c>
      <c r="H958" s="158"/>
      <c r="I958" s="154"/>
      <c r="J958" s="154"/>
      <c r="K958" s="154"/>
      <c r="L958" s="154"/>
      <c r="M958" s="154"/>
      <c r="N958" s="154"/>
      <c r="O958" s="154"/>
      <c r="P958" s="154"/>
      <c r="Q958" s="154"/>
      <c r="R958" s="154"/>
      <c r="S958" s="154"/>
      <c r="T958" s="154"/>
      <c r="U958" s="154"/>
      <c r="V958" s="154"/>
      <c r="W958" s="154"/>
      <c r="X958" s="154"/>
      <c r="Y958" s="154"/>
      <c r="Z958" s="154"/>
      <c r="AA958" s="154"/>
    </row>
    <row r="959" spans="1:27" ht="15">
      <c r="A959" s="180">
        <v>45882</v>
      </c>
      <c r="B959" s="181" t="s">
        <v>13031</v>
      </c>
      <c r="C959" s="182" t="s">
        <v>1774</v>
      </c>
      <c r="D959" s="182">
        <v>14097</v>
      </c>
      <c r="E959" s="183">
        <v>9</v>
      </c>
      <c r="F959" s="183">
        <v>685</v>
      </c>
      <c r="G959" s="184">
        <v>1</v>
      </c>
      <c r="H959" s="158"/>
      <c r="I959" s="154"/>
      <c r="J959" s="154"/>
      <c r="K959" s="154"/>
      <c r="L959" s="154"/>
      <c r="M959" s="154"/>
      <c r="N959" s="154"/>
      <c r="O959" s="154"/>
      <c r="P959" s="154"/>
      <c r="Q959" s="154"/>
      <c r="R959" s="154"/>
      <c r="S959" s="154"/>
      <c r="T959" s="154"/>
      <c r="U959" s="154"/>
      <c r="V959" s="154"/>
      <c r="W959" s="154"/>
      <c r="X959" s="154"/>
      <c r="Y959" s="154"/>
      <c r="Z959" s="154"/>
      <c r="AA959" s="154"/>
    </row>
    <row r="960" spans="1:27" ht="15">
      <c r="A960" s="180">
        <v>45882</v>
      </c>
      <c r="B960" s="181" t="s">
        <v>13032</v>
      </c>
      <c r="C960" s="182" t="s">
        <v>1229</v>
      </c>
      <c r="D960" s="182">
        <v>10659</v>
      </c>
      <c r="E960" s="183">
        <v>11</v>
      </c>
      <c r="F960" s="183">
        <v>644</v>
      </c>
      <c r="G960" s="184">
        <v>0</v>
      </c>
      <c r="H960" s="158"/>
      <c r="I960" s="154"/>
      <c r="J960" s="154"/>
      <c r="K960" s="154"/>
      <c r="L960" s="154"/>
      <c r="M960" s="154"/>
      <c r="N960" s="154"/>
      <c r="O960" s="154"/>
      <c r="P960" s="154"/>
      <c r="Q960" s="154"/>
      <c r="R960" s="154"/>
      <c r="S960" s="154"/>
      <c r="T960" s="154"/>
      <c r="U960" s="154"/>
      <c r="V960" s="154"/>
      <c r="W960" s="154"/>
      <c r="X960" s="154"/>
      <c r="Y960" s="154"/>
      <c r="Z960" s="154"/>
      <c r="AA960" s="154"/>
    </row>
    <row r="961" spans="1:27" ht="15">
      <c r="A961" s="180">
        <v>45882</v>
      </c>
      <c r="B961" s="181" t="s">
        <v>13033</v>
      </c>
      <c r="C961" s="182" t="s">
        <v>1229</v>
      </c>
      <c r="D961" s="182">
        <v>1446</v>
      </c>
      <c r="E961" s="183">
        <v>5</v>
      </c>
      <c r="F961" s="183">
        <v>28</v>
      </c>
      <c r="G961" s="184">
        <v>0</v>
      </c>
      <c r="H961" s="158"/>
      <c r="I961" s="154"/>
      <c r="J961" s="154"/>
      <c r="K961" s="154"/>
      <c r="L961" s="154"/>
      <c r="M961" s="154"/>
      <c r="N961" s="154"/>
      <c r="O961" s="154"/>
      <c r="P961" s="154"/>
      <c r="Q961" s="154"/>
      <c r="R961" s="154"/>
      <c r="S961" s="154"/>
      <c r="T961" s="154"/>
      <c r="U961" s="154"/>
      <c r="V961" s="154"/>
      <c r="W961" s="154"/>
      <c r="X961" s="154"/>
      <c r="Y961" s="154"/>
      <c r="Z961" s="154"/>
      <c r="AA961" s="154"/>
    </row>
    <row r="962" spans="1:27" ht="15">
      <c r="A962" s="180">
        <v>45883</v>
      </c>
      <c r="B962" s="181" t="s">
        <v>13014</v>
      </c>
      <c r="C962" s="182" t="s">
        <v>1229</v>
      </c>
      <c r="D962" s="182">
        <v>12414</v>
      </c>
      <c r="E962" s="183">
        <v>20</v>
      </c>
      <c r="F962" s="183">
        <v>1139</v>
      </c>
      <c r="G962" s="184">
        <v>0</v>
      </c>
      <c r="H962" s="158"/>
      <c r="I962" s="154"/>
      <c r="J962" s="154"/>
      <c r="K962" s="154"/>
      <c r="L962" s="154"/>
      <c r="M962" s="154"/>
      <c r="N962" s="154"/>
      <c r="O962" s="154"/>
      <c r="P962" s="154"/>
      <c r="Q962" s="154"/>
      <c r="R962" s="154"/>
      <c r="S962" s="154"/>
      <c r="T962" s="154"/>
      <c r="U962" s="154"/>
      <c r="V962" s="154"/>
      <c r="W962" s="154"/>
      <c r="X962" s="154"/>
      <c r="Y962" s="154"/>
      <c r="Z962" s="154"/>
      <c r="AA962" s="154"/>
    </row>
    <row r="963" spans="1:27" ht="15">
      <c r="A963" s="180">
        <v>45883</v>
      </c>
      <c r="B963" s="181" t="s">
        <v>13015</v>
      </c>
      <c r="C963" s="182" t="s">
        <v>1229</v>
      </c>
      <c r="D963" s="182">
        <v>88717</v>
      </c>
      <c r="E963" s="183">
        <v>161</v>
      </c>
      <c r="F963" s="183">
        <v>7288</v>
      </c>
      <c r="G963" s="184">
        <v>19</v>
      </c>
      <c r="H963" s="158"/>
      <c r="I963" s="154"/>
      <c r="J963" s="154"/>
      <c r="K963" s="154"/>
      <c r="L963" s="154"/>
      <c r="M963" s="154"/>
      <c r="N963" s="154"/>
      <c r="O963" s="154"/>
      <c r="P963" s="154"/>
      <c r="Q963" s="154"/>
      <c r="R963" s="154"/>
      <c r="S963" s="154"/>
      <c r="T963" s="154"/>
      <c r="U963" s="154"/>
      <c r="V963" s="154"/>
      <c r="W963" s="154"/>
      <c r="X963" s="154"/>
      <c r="Y963" s="154"/>
      <c r="Z963" s="154"/>
      <c r="AA963" s="154"/>
    </row>
    <row r="964" spans="1:27" ht="15">
      <c r="A964" s="180">
        <v>45883</v>
      </c>
      <c r="B964" s="181" t="s">
        <v>13016</v>
      </c>
      <c r="C964" s="182" t="s">
        <v>1229</v>
      </c>
      <c r="D964" s="182">
        <v>15223</v>
      </c>
      <c r="E964" s="183">
        <v>20</v>
      </c>
      <c r="F964" s="183">
        <v>1180</v>
      </c>
      <c r="G964" s="184">
        <v>1</v>
      </c>
      <c r="H964" s="158"/>
      <c r="I964" s="154"/>
      <c r="J964" s="154"/>
      <c r="K964" s="154"/>
      <c r="L964" s="154"/>
      <c r="M964" s="154"/>
      <c r="N964" s="154"/>
      <c r="O964" s="154"/>
      <c r="P964" s="154"/>
      <c r="Q964" s="154"/>
      <c r="R964" s="154"/>
      <c r="S964" s="154"/>
      <c r="T964" s="154"/>
      <c r="U964" s="154"/>
      <c r="V964" s="154"/>
      <c r="W964" s="154"/>
      <c r="X964" s="154"/>
      <c r="Y964" s="154"/>
      <c r="Z964" s="154"/>
      <c r="AA964" s="154"/>
    </row>
    <row r="965" spans="1:27" ht="15">
      <c r="A965" s="180">
        <v>45883</v>
      </c>
      <c r="B965" s="181" t="s">
        <v>13017</v>
      </c>
      <c r="C965" s="182" t="s">
        <v>1229</v>
      </c>
      <c r="D965" s="182">
        <v>10963</v>
      </c>
      <c r="E965" s="183">
        <v>13</v>
      </c>
      <c r="F965" s="183">
        <v>1062</v>
      </c>
      <c r="G965" s="184">
        <v>0</v>
      </c>
      <c r="H965" s="158"/>
      <c r="I965" s="154"/>
      <c r="J965" s="154"/>
      <c r="K965" s="154"/>
      <c r="L965" s="154"/>
      <c r="M965" s="154"/>
      <c r="N965" s="154"/>
      <c r="O965" s="154"/>
      <c r="P965" s="154"/>
      <c r="Q965" s="154"/>
      <c r="R965" s="154"/>
      <c r="S965" s="154"/>
      <c r="T965" s="154"/>
      <c r="U965" s="154"/>
      <c r="V965" s="154"/>
      <c r="W965" s="154"/>
      <c r="X965" s="154"/>
      <c r="Y965" s="154"/>
      <c r="Z965" s="154"/>
      <c r="AA965" s="154"/>
    </row>
    <row r="966" spans="1:27" ht="15">
      <c r="A966" s="180">
        <v>45883</v>
      </c>
      <c r="B966" s="181" t="s">
        <v>13018</v>
      </c>
      <c r="C966" s="182" t="s">
        <v>1229</v>
      </c>
      <c r="D966" s="182">
        <v>74679</v>
      </c>
      <c r="E966" s="183">
        <v>125</v>
      </c>
      <c r="F966" s="183">
        <v>6233</v>
      </c>
      <c r="G966" s="184">
        <v>12</v>
      </c>
      <c r="H966" s="158"/>
      <c r="I966" s="154"/>
      <c r="J966" s="154"/>
      <c r="K966" s="154"/>
      <c r="L966" s="154"/>
      <c r="M966" s="154"/>
      <c r="N966" s="154"/>
      <c r="O966" s="154"/>
      <c r="P966" s="154"/>
      <c r="Q966" s="154"/>
      <c r="R966" s="154"/>
      <c r="S966" s="154"/>
      <c r="T966" s="154"/>
      <c r="U966" s="154"/>
      <c r="V966" s="154"/>
      <c r="W966" s="154"/>
      <c r="X966" s="154"/>
      <c r="Y966" s="154"/>
      <c r="Z966" s="154"/>
      <c r="AA966" s="154"/>
    </row>
    <row r="967" spans="1:27" ht="15">
      <c r="A967" s="180">
        <v>45883</v>
      </c>
      <c r="B967" s="181" t="s">
        <v>13019</v>
      </c>
      <c r="C967" s="182" t="s">
        <v>1774</v>
      </c>
      <c r="D967" s="182">
        <v>6203</v>
      </c>
      <c r="E967" s="183">
        <v>2</v>
      </c>
      <c r="F967" s="183">
        <v>199</v>
      </c>
      <c r="G967" s="184">
        <v>0</v>
      </c>
      <c r="H967" s="158"/>
      <c r="I967" s="154"/>
      <c r="J967" s="154"/>
      <c r="K967" s="154"/>
      <c r="L967" s="154"/>
      <c r="M967" s="154"/>
      <c r="N967" s="154"/>
      <c r="O967" s="154"/>
      <c r="P967" s="154"/>
      <c r="Q967" s="154"/>
      <c r="R967" s="154"/>
      <c r="S967" s="154"/>
      <c r="T967" s="154"/>
      <c r="U967" s="154"/>
      <c r="V967" s="154"/>
      <c r="W967" s="154"/>
      <c r="X967" s="154"/>
      <c r="Y967" s="154"/>
      <c r="Z967" s="154"/>
      <c r="AA967" s="154"/>
    </row>
    <row r="968" spans="1:27" ht="15">
      <c r="A968" s="180">
        <v>45883</v>
      </c>
      <c r="B968" s="181" t="s">
        <v>13020</v>
      </c>
      <c r="C968" s="182" t="s">
        <v>1774</v>
      </c>
      <c r="D968" s="182">
        <v>16841</v>
      </c>
      <c r="E968" s="183">
        <v>10</v>
      </c>
      <c r="F968" s="183">
        <v>506</v>
      </c>
      <c r="G968" s="184">
        <v>1</v>
      </c>
      <c r="H968" s="158"/>
      <c r="I968" s="154"/>
      <c r="J968" s="154"/>
      <c r="K968" s="154"/>
      <c r="L968" s="154"/>
      <c r="M968" s="154"/>
      <c r="N968" s="154"/>
      <c r="O968" s="154"/>
      <c r="P968" s="154"/>
      <c r="Q968" s="154"/>
      <c r="R968" s="154"/>
      <c r="S968" s="154"/>
      <c r="T968" s="154"/>
      <c r="U968" s="154"/>
      <c r="V968" s="154"/>
      <c r="W968" s="154"/>
      <c r="X968" s="154"/>
      <c r="Y968" s="154"/>
      <c r="Z968" s="154"/>
      <c r="AA968" s="154"/>
    </row>
    <row r="969" spans="1:27" ht="15">
      <c r="A969" s="180">
        <v>45883</v>
      </c>
      <c r="B969" s="181" t="s">
        <v>13021</v>
      </c>
      <c r="C969" s="182" t="s">
        <v>1774</v>
      </c>
      <c r="D969" s="182">
        <v>14756</v>
      </c>
      <c r="E969" s="183">
        <v>9</v>
      </c>
      <c r="F969" s="183">
        <v>538</v>
      </c>
      <c r="G969" s="184">
        <v>1</v>
      </c>
      <c r="H969" s="158"/>
      <c r="I969" s="154"/>
      <c r="J969" s="154"/>
      <c r="K969" s="154"/>
      <c r="L969" s="154"/>
      <c r="M969" s="154"/>
      <c r="N969" s="154"/>
      <c r="O969" s="154"/>
      <c r="P969" s="154"/>
      <c r="Q969" s="154"/>
      <c r="R969" s="154"/>
      <c r="S969" s="154"/>
      <c r="T969" s="154"/>
      <c r="U969" s="154"/>
      <c r="V969" s="154"/>
      <c r="W969" s="154"/>
      <c r="X969" s="154"/>
      <c r="Y969" s="154"/>
      <c r="Z969" s="154"/>
      <c r="AA969" s="154"/>
    </row>
    <row r="970" spans="1:27" ht="15">
      <c r="A970" s="180">
        <v>45883</v>
      </c>
      <c r="B970" s="181" t="s">
        <v>13022</v>
      </c>
      <c r="C970" s="182" t="s">
        <v>1774</v>
      </c>
      <c r="D970" s="182">
        <v>8832</v>
      </c>
      <c r="E970" s="183">
        <v>11</v>
      </c>
      <c r="F970" s="183">
        <v>448</v>
      </c>
      <c r="G970" s="184">
        <v>0</v>
      </c>
      <c r="H970" s="158"/>
      <c r="I970" s="154"/>
      <c r="J970" s="154"/>
      <c r="K970" s="154"/>
      <c r="L970" s="154"/>
      <c r="M970" s="154"/>
      <c r="N970" s="154"/>
      <c r="O970" s="154"/>
      <c r="P970" s="154"/>
      <c r="Q970" s="154"/>
      <c r="R970" s="154"/>
      <c r="S970" s="154"/>
      <c r="T970" s="154"/>
      <c r="U970" s="154"/>
      <c r="V970" s="154"/>
      <c r="W970" s="154"/>
      <c r="X970" s="154"/>
      <c r="Y970" s="154"/>
      <c r="Z970" s="154"/>
      <c r="AA970" s="154"/>
    </row>
    <row r="971" spans="1:27" ht="15">
      <c r="A971" s="180">
        <v>45883</v>
      </c>
      <c r="B971" s="181" t="s">
        <v>13023</v>
      </c>
      <c r="C971" s="182" t="s">
        <v>115</v>
      </c>
      <c r="D971" s="182">
        <v>26257</v>
      </c>
      <c r="E971" s="183">
        <v>21</v>
      </c>
      <c r="F971" s="183">
        <v>1085</v>
      </c>
      <c r="G971" s="184">
        <v>6</v>
      </c>
      <c r="H971" s="158"/>
      <c r="I971" s="154"/>
      <c r="J971" s="154"/>
      <c r="K971" s="154"/>
      <c r="L971" s="154"/>
      <c r="M971" s="154"/>
      <c r="N971" s="154"/>
      <c r="O971" s="154"/>
      <c r="P971" s="154"/>
      <c r="Q971" s="154"/>
      <c r="R971" s="154"/>
      <c r="S971" s="154"/>
      <c r="T971" s="154"/>
      <c r="U971" s="154"/>
      <c r="V971" s="154"/>
      <c r="W971" s="154"/>
      <c r="X971" s="154"/>
      <c r="Y971" s="154"/>
      <c r="Z971" s="154"/>
      <c r="AA971" s="154"/>
    </row>
    <row r="972" spans="1:27" ht="15">
      <c r="A972" s="180">
        <v>45883</v>
      </c>
      <c r="B972" s="181" t="s">
        <v>13024</v>
      </c>
      <c r="C972" s="182" t="s">
        <v>115</v>
      </c>
      <c r="D972" s="182">
        <v>13484</v>
      </c>
      <c r="E972" s="183">
        <v>11</v>
      </c>
      <c r="F972" s="183">
        <v>357</v>
      </c>
      <c r="G972" s="184">
        <v>0</v>
      </c>
      <c r="H972" s="158"/>
      <c r="I972" s="154"/>
      <c r="J972" s="154"/>
      <c r="K972" s="154"/>
      <c r="L972" s="154"/>
      <c r="M972" s="154"/>
      <c r="N972" s="154"/>
      <c r="O972" s="154"/>
      <c r="P972" s="154"/>
      <c r="Q972" s="154"/>
      <c r="R972" s="154"/>
      <c r="S972" s="154"/>
      <c r="T972" s="154"/>
      <c r="U972" s="154"/>
      <c r="V972" s="154"/>
      <c r="W972" s="154"/>
      <c r="X972" s="154"/>
      <c r="Y972" s="154"/>
      <c r="Z972" s="154"/>
      <c r="AA972" s="154"/>
    </row>
    <row r="973" spans="1:27" ht="15">
      <c r="A973" s="180">
        <v>45883</v>
      </c>
      <c r="B973" s="181" t="s">
        <v>13025</v>
      </c>
      <c r="C973" s="182" t="s">
        <v>115</v>
      </c>
      <c r="D973" s="182">
        <v>8171</v>
      </c>
      <c r="E973" s="183">
        <v>7</v>
      </c>
      <c r="F973" s="183">
        <v>307</v>
      </c>
      <c r="G973" s="184">
        <v>0</v>
      </c>
      <c r="H973" s="158"/>
      <c r="I973" s="154"/>
      <c r="J973" s="154"/>
      <c r="K973" s="154"/>
      <c r="L973" s="154"/>
      <c r="M973" s="154"/>
      <c r="N973" s="154"/>
      <c r="O973" s="154"/>
      <c r="P973" s="154"/>
      <c r="Q973" s="154"/>
      <c r="R973" s="154"/>
      <c r="S973" s="154"/>
      <c r="T973" s="154"/>
      <c r="U973" s="154"/>
      <c r="V973" s="154"/>
      <c r="W973" s="154"/>
      <c r="X973" s="154"/>
      <c r="Y973" s="154"/>
      <c r="Z973" s="154"/>
      <c r="AA973" s="154"/>
    </row>
    <row r="974" spans="1:27" ht="15">
      <c r="A974" s="180">
        <v>45883</v>
      </c>
      <c r="B974" s="181" t="s">
        <v>13026</v>
      </c>
      <c r="C974" s="182" t="s">
        <v>115</v>
      </c>
      <c r="D974" s="182">
        <v>4839</v>
      </c>
      <c r="E974" s="183">
        <v>5</v>
      </c>
      <c r="F974" s="183">
        <v>297</v>
      </c>
      <c r="G974" s="184">
        <v>0</v>
      </c>
      <c r="H974" s="158"/>
      <c r="I974" s="154"/>
      <c r="J974" s="154"/>
      <c r="K974" s="154"/>
      <c r="L974" s="154"/>
      <c r="M974" s="154"/>
      <c r="N974" s="154"/>
      <c r="O974" s="154"/>
      <c r="P974" s="154"/>
      <c r="Q974" s="154"/>
      <c r="R974" s="154"/>
      <c r="S974" s="154"/>
      <c r="T974" s="154"/>
      <c r="U974" s="154"/>
      <c r="V974" s="154"/>
      <c r="W974" s="154"/>
      <c r="X974" s="154"/>
      <c r="Y974" s="154"/>
      <c r="Z974" s="154"/>
      <c r="AA974" s="154"/>
    </row>
    <row r="975" spans="1:27" ht="15">
      <c r="A975" s="180">
        <v>45883</v>
      </c>
      <c r="B975" s="181" t="s">
        <v>13027</v>
      </c>
      <c r="C975" s="182" t="s">
        <v>115</v>
      </c>
      <c r="D975" s="182">
        <v>10057</v>
      </c>
      <c r="E975" s="183">
        <v>14</v>
      </c>
      <c r="F975" s="183">
        <v>580</v>
      </c>
      <c r="G975" s="184">
        <v>0</v>
      </c>
      <c r="H975" s="158"/>
      <c r="I975" s="154"/>
      <c r="J975" s="154"/>
      <c r="K975" s="154"/>
      <c r="L975" s="154"/>
      <c r="M975" s="154"/>
      <c r="N975" s="154"/>
      <c r="O975" s="154"/>
      <c r="P975" s="154"/>
      <c r="Q975" s="154"/>
      <c r="R975" s="154"/>
      <c r="S975" s="154"/>
      <c r="T975" s="154"/>
      <c r="U975" s="154"/>
      <c r="V975" s="154"/>
      <c r="W975" s="154"/>
      <c r="X975" s="154"/>
      <c r="Y975" s="154"/>
      <c r="Z975" s="154"/>
      <c r="AA975" s="154"/>
    </row>
    <row r="976" spans="1:27" ht="15">
      <c r="A976" s="180">
        <v>45883</v>
      </c>
      <c r="B976" s="181" t="s">
        <v>13028</v>
      </c>
      <c r="C976" s="182" t="s">
        <v>61</v>
      </c>
      <c r="D976" s="182">
        <v>12456</v>
      </c>
      <c r="E976" s="183">
        <v>2</v>
      </c>
      <c r="F976" s="183">
        <v>367</v>
      </c>
      <c r="G976" s="184">
        <v>0</v>
      </c>
      <c r="H976" s="158"/>
      <c r="I976" s="154"/>
      <c r="J976" s="154"/>
      <c r="K976" s="154"/>
      <c r="L976" s="154"/>
      <c r="M976" s="154"/>
      <c r="N976" s="154"/>
      <c r="O976" s="154"/>
      <c r="P976" s="154"/>
      <c r="Q976" s="154"/>
      <c r="R976" s="154"/>
      <c r="S976" s="154"/>
      <c r="T976" s="154"/>
      <c r="U976" s="154"/>
      <c r="V976" s="154"/>
      <c r="W976" s="154"/>
      <c r="X976" s="154"/>
      <c r="Y976" s="154"/>
      <c r="Z976" s="154"/>
      <c r="AA976" s="154"/>
    </row>
    <row r="977" spans="1:27" ht="15">
      <c r="A977" s="180">
        <v>45883</v>
      </c>
      <c r="B977" s="181" t="s">
        <v>13029</v>
      </c>
      <c r="C977" s="182" t="s">
        <v>61</v>
      </c>
      <c r="D977" s="182">
        <v>9004</v>
      </c>
      <c r="E977" s="183">
        <v>3</v>
      </c>
      <c r="F977" s="183">
        <v>387</v>
      </c>
      <c r="G977" s="184">
        <v>0</v>
      </c>
      <c r="H977" s="158"/>
      <c r="I977" s="154"/>
      <c r="J977" s="154"/>
      <c r="K977" s="154"/>
      <c r="L977" s="154"/>
      <c r="M977" s="154"/>
      <c r="N977" s="154"/>
      <c r="O977" s="154"/>
      <c r="P977" s="154"/>
      <c r="Q977" s="154"/>
      <c r="R977" s="154"/>
      <c r="S977" s="154"/>
      <c r="T977" s="154"/>
      <c r="U977" s="154"/>
      <c r="V977" s="154"/>
      <c r="W977" s="154"/>
      <c r="X977" s="154"/>
      <c r="Y977" s="154"/>
      <c r="Z977" s="154"/>
      <c r="AA977" s="154"/>
    </row>
    <row r="978" spans="1:27" ht="15">
      <c r="A978" s="180">
        <v>45883</v>
      </c>
      <c r="B978" s="181" t="s">
        <v>13030</v>
      </c>
      <c r="C978" s="182" t="s">
        <v>61</v>
      </c>
      <c r="D978" s="182">
        <v>9999</v>
      </c>
      <c r="E978" s="183">
        <v>1</v>
      </c>
      <c r="F978" s="183">
        <v>187</v>
      </c>
      <c r="G978" s="184">
        <v>0</v>
      </c>
      <c r="H978" s="158"/>
      <c r="I978" s="154"/>
      <c r="J978" s="154"/>
      <c r="K978" s="154"/>
      <c r="L978" s="154"/>
      <c r="M978" s="154"/>
      <c r="N978" s="154"/>
      <c r="O978" s="154"/>
      <c r="P978" s="154"/>
      <c r="Q978" s="154"/>
      <c r="R978" s="154"/>
      <c r="S978" s="154"/>
      <c r="T978" s="154"/>
      <c r="U978" s="154"/>
      <c r="V978" s="154"/>
      <c r="W978" s="154"/>
      <c r="X978" s="154"/>
      <c r="Y978" s="154"/>
      <c r="Z978" s="154"/>
      <c r="AA978" s="154"/>
    </row>
    <row r="979" spans="1:27" ht="15">
      <c r="A979" s="180">
        <v>45883</v>
      </c>
      <c r="B979" s="181" t="s">
        <v>13031</v>
      </c>
      <c r="C979" s="182" t="s">
        <v>1774</v>
      </c>
      <c r="D979" s="182">
        <v>8629</v>
      </c>
      <c r="E979" s="183">
        <v>5</v>
      </c>
      <c r="F979" s="183">
        <v>327</v>
      </c>
      <c r="G979" s="184">
        <v>1</v>
      </c>
      <c r="H979" s="158"/>
      <c r="I979" s="154"/>
      <c r="J979" s="154"/>
      <c r="K979" s="154"/>
      <c r="L979" s="154"/>
      <c r="M979" s="154"/>
      <c r="N979" s="154"/>
      <c r="O979" s="154"/>
      <c r="P979" s="154"/>
      <c r="Q979" s="154"/>
      <c r="R979" s="154"/>
      <c r="S979" s="154"/>
      <c r="T979" s="154"/>
      <c r="U979" s="154"/>
      <c r="V979" s="154"/>
      <c r="W979" s="154"/>
      <c r="X979" s="154"/>
      <c r="Y979" s="154"/>
      <c r="Z979" s="154"/>
      <c r="AA979" s="154"/>
    </row>
    <row r="980" spans="1:27" ht="15">
      <c r="A980" s="180">
        <v>45883</v>
      </c>
      <c r="B980" s="181" t="s">
        <v>13032</v>
      </c>
      <c r="C980" s="182" t="s">
        <v>1229</v>
      </c>
      <c r="D980" s="182">
        <v>2830</v>
      </c>
      <c r="E980" s="183">
        <v>5</v>
      </c>
      <c r="F980" s="183">
        <v>150</v>
      </c>
      <c r="G980" s="184">
        <v>0</v>
      </c>
      <c r="H980" s="158"/>
      <c r="I980" s="154"/>
      <c r="J980" s="154"/>
      <c r="K980" s="154"/>
      <c r="L980" s="154"/>
      <c r="M980" s="154"/>
      <c r="N980" s="154"/>
      <c r="O980" s="154"/>
      <c r="P980" s="154"/>
      <c r="Q980" s="154"/>
      <c r="R980" s="154"/>
      <c r="S980" s="154"/>
      <c r="T980" s="154"/>
      <c r="U980" s="154"/>
      <c r="V980" s="154"/>
      <c r="W980" s="154"/>
      <c r="X980" s="154"/>
      <c r="Y980" s="154"/>
      <c r="Z980" s="154"/>
      <c r="AA980" s="154"/>
    </row>
    <row r="981" spans="1:27" ht="15">
      <c r="A981" s="180">
        <v>45883</v>
      </c>
      <c r="B981" s="181" t="s">
        <v>13033</v>
      </c>
      <c r="C981" s="182" t="s">
        <v>1229</v>
      </c>
      <c r="D981" s="182">
        <v>8560</v>
      </c>
      <c r="E981" s="183">
        <v>4</v>
      </c>
      <c r="F981" s="183">
        <v>210</v>
      </c>
      <c r="G981" s="184">
        <v>0</v>
      </c>
      <c r="H981" s="158"/>
      <c r="I981" s="154"/>
      <c r="J981" s="154"/>
      <c r="K981" s="154"/>
      <c r="L981" s="154"/>
      <c r="M981" s="154"/>
      <c r="N981" s="154"/>
      <c r="O981" s="154"/>
      <c r="P981" s="154"/>
      <c r="Q981" s="154"/>
      <c r="R981" s="154"/>
      <c r="S981" s="154"/>
      <c r="T981" s="154"/>
      <c r="U981" s="154"/>
      <c r="V981" s="154"/>
      <c r="W981" s="154"/>
      <c r="X981" s="154"/>
      <c r="Y981" s="154"/>
      <c r="Z981" s="154"/>
      <c r="AA981" s="154"/>
    </row>
    <row r="982" spans="1:27" ht="15">
      <c r="A982" s="180">
        <v>45884</v>
      </c>
      <c r="B982" s="181" t="s">
        <v>13015</v>
      </c>
      <c r="C982" s="182" t="s">
        <v>1229</v>
      </c>
      <c r="D982" s="182">
        <v>8691</v>
      </c>
      <c r="E982" s="183">
        <v>13</v>
      </c>
      <c r="F982" s="183">
        <v>583</v>
      </c>
      <c r="G982" s="184">
        <v>0</v>
      </c>
      <c r="H982" s="158"/>
      <c r="I982" s="154"/>
      <c r="J982" s="154"/>
      <c r="K982" s="154"/>
      <c r="L982" s="154"/>
      <c r="M982" s="154"/>
      <c r="N982" s="154"/>
      <c r="O982" s="154"/>
      <c r="P982" s="154"/>
      <c r="Q982" s="154"/>
      <c r="R982" s="154"/>
      <c r="S982" s="154"/>
      <c r="T982" s="154"/>
      <c r="U982" s="154"/>
      <c r="V982" s="154"/>
      <c r="W982" s="154"/>
      <c r="X982" s="154"/>
      <c r="Y982" s="154"/>
      <c r="Z982" s="154"/>
      <c r="AA982" s="154"/>
    </row>
    <row r="983" spans="1:27" ht="15">
      <c r="A983" s="180">
        <v>45884</v>
      </c>
      <c r="B983" s="181" t="s">
        <v>13017</v>
      </c>
      <c r="C983" s="182" t="s">
        <v>1229</v>
      </c>
      <c r="D983" s="182">
        <v>10936</v>
      </c>
      <c r="E983" s="183">
        <v>9</v>
      </c>
      <c r="F983" s="183">
        <v>674</v>
      </c>
      <c r="G983" s="184">
        <v>0</v>
      </c>
      <c r="H983" s="158"/>
      <c r="I983" s="154"/>
      <c r="J983" s="154"/>
      <c r="K983" s="154"/>
      <c r="L983" s="154"/>
      <c r="M983" s="154"/>
      <c r="N983" s="154"/>
      <c r="O983" s="154"/>
      <c r="P983" s="154"/>
      <c r="Q983" s="154"/>
      <c r="R983" s="154"/>
      <c r="S983" s="154"/>
      <c r="T983" s="154"/>
      <c r="U983" s="154"/>
      <c r="V983" s="154"/>
      <c r="W983" s="154"/>
      <c r="X983" s="154"/>
      <c r="Y983" s="154"/>
      <c r="Z983" s="154"/>
      <c r="AA983" s="154"/>
    </row>
    <row r="984" spans="1:27" ht="15">
      <c r="A984" s="180">
        <v>45884</v>
      </c>
      <c r="B984" s="181" t="s">
        <v>13018</v>
      </c>
      <c r="C984" s="182" t="s">
        <v>1229</v>
      </c>
      <c r="D984" s="182">
        <v>168858</v>
      </c>
      <c r="E984" s="183">
        <v>314</v>
      </c>
      <c r="F984" s="183">
        <v>17180</v>
      </c>
      <c r="G984" s="184">
        <v>33</v>
      </c>
      <c r="H984" s="158"/>
      <c r="I984" s="154"/>
      <c r="J984" s="154"/>
      <c r="K984" s="154"/>
      <c r="L984" s="154"/>
      <c r="M984" s="154"/>
      <c r="N984" s="154"/>
      <c r="O984" s="154"/>
      <c r="P984" s="154"/>
      <c r="Q984" s="154"/>
      <c r="R984" s="154"/>
      <c r="S984" s="154"/>
      <c r="T984" s="154"/>
      <c r="U984" s="154"/>
      <c r="V984" s="154"/>
      <c r="W984" s="154"/>
      <c r="X984" s="154"/>
      <c r="Y984" s="154"/>
      <c r="Z984" s="154"/>
      <c r="AA984" s="154"/>
    </row>
    <row r="985" spans="1:27" ht="15">
      <c r="A985" s="180">
        <v>45884</v>
      </c>
      <c r="B985" s="181" t="s">
        <v>13019</v>
      </c>
      <c r="C985" s="182" t="s">
        <v>1774</v>
      </c>
      <c r="D985" s="182">
        <v>648</v>
      </c>
      <c r="E985" s="183">
        <v>0</v>
      </c>
      <c r="F985" s="183">
        <v>33</v>
      </c>
      <c r="G985" s="184">
        <v>0</v>
      </c>
      <c r="H985" s="158"/>
      <c r="I985" s="154"/>
      <c r="J985" s="154"/>
      <c r="K985" s="154"/>
      <c r="L985" s="154"/>
      <c r="M985" s="154"/>
      <c r="N985" s="154"/>
      <c r="O985" s="154"/>
      <c r="P985" s="154"/>
      <c r="Q985" s="154"/>
      <c r="R985" s="154"/>
      <c r="S985" s="154"/>
      <c r="T985" s="154"/>
      <c r="U985" s="154"/>
      <c r="V985" s="154"/>
      <c r="W985" s="154"/>
      <c r="X985" s="154"/>
      <c r="Y985" s="154"/>
      <c r="Z985" s="154"/>
      <c r="AA985" s="154"/>
    </row>
    <row r="986" spans="1:27" ht="15">
      <c r="A986" s="180">
        <v>45884</v>
      </c>
      <c r="B986" s="181" t="s">
        <v>13021</v>
      </c>
      <c r="C986" s="182" t="s">
        <v>1774</v>
      </c>
      <c r="D986" s="182">
        <v>448</v>
      </c>
      <c r="E986" s="183">
        <v>2</v>
      </c>
      <c r="F986" s="183">
        <v>20</v>
      </c>
      <c r="G986" s="184">
        <v>1</v>
      </c>
      <c r="H986" s="158"/>
      <c r="I986" s="154"/>
      <c r="J986" s="154"/>
      <c r="K986" s="154"/>
      <c r="L986" s="154"/>
      <c r="M986" s="154"/>
      <c r="N986" s="154"/>
      <c r="O986" s="154"/>
      <c r="P986" s="154"/>
      <c r="Q986" s="154"/>
      <c r="R986" s="154"/>
      <c r="S986" s="154"/>
      <c r="T986" s="154"/>
      <c r="U986" s="154"/>
      <c r="V986" s="154"/>
      <c r="W986" s="154"/>
      <c r="X986" s="154"/>
      <c r="Y986" s="154"/>
      <c r="Z986" s="154"/>
      <c r="AA986" s="154"/>
    </row>
    <row r="987" spans="1:27" ht="15">
      <c r="A987" s="180">
        <v>45884</v>
      </c>
      <c r="B987" s="181" t="s">
        <v>13022</v>
      </c>
      <c r="C987" s="182" t="s">
        <v>1774</v>
      </c>
      <c r="D987" s="182">
        <v>173</v>
      </c>
      <c r="E987" s="183">
        <v>0</v>
      </c>
      <c r="F987" s="183">
        <v>16</v>
      </c>
      <c r="G987" s="184">
        <v>0</v>
      </c>
      <c r="H987" s="158"/>
      <c r="I987" s="154"/>
      <c r="J987" s="154"/>
      <c r="K987" s="154"/>
      <c r="L987" s="154"/>
      <c r="M987" s="154"/>
      <c r="N987" s="154"/>
      <c r="O987" s="154"/>
      <c r="P987" s="154"/>
      <c r="Q987" s="154"/>
      <c r="R987" s="154"/>
      <c r="S987" s="154"/>
      <c r="T987" s="154"/>
      <c r="U987" s="154"/>
      <c r="V987" s="154"/>
      <c r="W987" s="154"/>
      <c r="X987" s="154"/>
      <c r="Y987" s="154"/>
      <c r="Z987" s="154"/>
      <c r="AA987" s="154"/>
    </row>
    <row r="988" spans="1:27" ht="15">
      <c r="A988" s="180">
        <v>45884</v>
      </c>
      <c r="B988" s="181" t="s">
        <v>13023</v>
      </c>
      <c r="C988" s="182" t="s">
        <v>115</v>
      </c>
      <c r="D988" s="182">
        <v>9994</v>
      </c>
      <c r="E988" s="183">
        <v>4</v>
      </c>
      <c r="F988" s="183">
        <v>450</v>
      </c>
      <c r="G988" s="184">
        <v>1</v>
      </c>
      <c r="H988" s="158"/>
      <c r="I988" s="154"/>
      <c r="J988" s="154"/>
      <c r="K988" s="154"/>
      <c r="L988" s="154"/>
      <c r="M988" s="154"/>
      <c r="N988" s="154"/>
      <c r="O988" s="154"/>
      <c r="P988" s="154"/>
      <c r="Q988" s="154"/>
      <c r="R988" s="154"/>
      <c r="S988" s="154"/>
      <c r="T988" s="154"/>
      <c r="U988" s="154"/>
      <c r="V988" s="154"/>
      <c r="W988" s="154"/>
      <c r="X988" s="154"/>
      <c r="Y988" s="154"/>
      <c r="Z988" s="154"/>
      <c r="AA988" s="154"/>
    </row>
    <row r="989" spans="1:27" ht="15">
      <c r="A989" s="180">
        <v>45884</v>
      </c>
      <c r="B989" s="181" t="s">
        <v>13024</v>
      </c>
      <c r="C989" s="182" t="s">
        <v>115</v>
      </c>
      <c r="D989" s="182">
        <v>11711</v>
      </c>
      <c r="E989" s="183">
        <v>14</v>
      </c>
      <c r="F989" s="183">
        <v>697</v>
      </c>
      <c r="G989" s="184">
        <v>2</v>
      </c>
      <c r="H989" s="158"/>
      <c r="I989" s="154"/>
      <c r="J989" s="154"/>
      <c r="K989" s="154"/>
      <c r="L989" s="154"/>
      <c r="M989" s="154"/>
      <c r="N989" s="154"/>
      <c r="O989" s="154"/>
      <c r="P989" s="154"/>
      <c r="Q989" s="154"/>
      <c r="R989" s="154"/>
      <c r="S989" s="154"/>
      <c r="T989" s="154"/>
      <c r="U989" s="154"/>
      <c r="V989" s="154"/>
      <c r="W989" s="154"/>
      <c r="X989" s="154"/>
      <c r="Y989" s="154"/>
      <c r="Z989" s="154"/>
      <c r="AA989" s="154"/>
    </row>
    <row r="990" spans="1:27" ht="15">
      <c r="A990" s="180">
        <v>45884</v>
      </c>
      <c r="B990" s="181" t="s">
        <v>13028</v>
      </c>
      <c r="C990" s="182" t="s">
        <v>61</v>
      </c>
      <c r="D990" s="182">
        <v>11</v>
      </c>
      <c r="E990" s="183">
        <v>0</v>
      </c>
      <c r="F990" s="183">
        <v>1</v>
      </c>
      <c r="G990" s="184">
        <v>0</v>
      </c>
      <c r="H990" s="158"/>
      <c r="I990" s="154"/>
      <c r="J990" s="154"/>
      <c r="K990" s="154"/>
      <c r="L990" s="154"/>
      <c r="M990" s="154"/>
      <c r="N990" s="154"/>
      <c r="O990" s="154"/>
      <c r="P990" s="154"/>
      <c r="Q990" s="154"/>
      <c r="R990" s="154"/>
      <c r="S990" s="154"/>
      <c r="T990" s="154"/>
      <c r="U990" s="154"/>
      <c r="V990" s="154"/>
      <c r="W990" s="154"/>
      <c r="X990" s="154"/>
      <c r="Y990" s="154"/>
      <c r="Z990" s="154"/>
      <c r="AA990" s="154"/>
    </row>
    <row r="991" spans="1:27" ht="15">
      <c r="A991" s="180">
        <v>45884</v>
      </c>
      <c r="B991" s="181" t="s">
        <v>13029</v>
      </c>
      <c r="C991" s="182" t="s">
        <v>61</v>
      </c>
      <c r="D991" s="182">
        <v>60</v>
      </c>
      <c r="E991" s="183">
        <v>0</v>
      </c>
      <c r="F991" s="183">
        <v>5</v>
      </c>
      <c r="G991" s="184">
        <v>1</v>
      </c>
      <c r="H991" s="158"/>
      <c r="I991" s="154"/>
      <c r="J991" s="154"/>
      <c r="K991" s="154"/>
      <c r="L991" s="154"/>
      <c r="M991" s="154"/>
      <c r="N991" s="154"/>
      <c r="O991" s="154"/>
      <c r="P991" s="154"/>
      <c r="Q991" s="154"/>
      <c r="R991" s="154"/>
      <c r="S991" s="154"/>
      <c r="T991" s="154"/>
      <c r="U991" s="154"/>
      <c r="V991" s="154"/>
      <c r="W991" s="154"/>
      <c r="X991" s="154"/>
      <c r="Y991" s="154"/>
      <c r="Z991" s="154"/>
      <c r="AA991" s="154"/>
    </row>
    <row r="992" spans="1:27" ht="15">
      <c r="A992" s="180">
        <v>45884</v>
      </c>
      <c r="B992" s="181" t="s">
        <v>13031</v>
      </c>
      <c r="C992" s="182" t="s">
        <v>1774</v>
      </c>
      <c r="D992" s="182">
        <v>2</v>
      </c>
      <c r="E992" s="183">
        <v>0</v>
      </c>
      <c r="F992" s="183">
        <v>1</v>
      </c>
      <c r="G992" s="184">
        <v>0</v>
      </c>
      <c r="H992" s="158"/>
      <c r="I992" s="154"/>
      <c r="J992" s="154"/>
      <c r="K992" s="154"/>
      <c r="L992" s="154"/>
      <c r="M992" s="154"/>
      <c r="N992" s="154"/>
      <c r="O992" s="154"/>
      <c r="P992" s="154"/>
      <c r="Q992" s="154"/>
      <c r="R992" s="154"/>
      <c r="S992" s="154"/>
      <c r="T992" s="154"/>
      <c r="U992" s="154"/>
      <c r="V992" s="154"/>
      <c r="W992" s="154"/>
      <c r="X992" s="154"/>
      <c r="Y992" s="154"/>
      <c r="Z992" s="154"/>
      <c r="AA992" s="154"/>
    </row>
    <row r="993" spans="1:27" ht="15">
      <c r="A993" s="180">
        <v>45884</v>
      </c>
      <c r="B993" s="181" t="s">
        <v>13032</v>
      </c>
      <c r="C993" s="182" t="s">
        <v>1229</v>
      </c>
      <c r="D993" s="182">
        <v>126</v>
      </c>
      <c r="E993" s="183">
        <v>0</v>
      </c>
      <c r="F993" s="183">
        <v>9</v>
      </c>
      <c r="G993" s="184">
        <v>0</v>
      </c>
      <c r="H993" s="158"/>
      <c r="I993" s="154"/>
      <c r="J993" s="154"/>
      <c r="K993" s="154"/>
      <c r="L993" s="154"/>
      <c r="M993" s="154"/>
      <c r="N993" s="154"/>
      <c r="O993" s="154"/>
      <c r="P993" s="154"/>
      <c r="Q993" s="154"/>
      <c r="R993" s="154"/>
      <c r="S993" s="154"/>
      <c r="T993" s="154"/>
      <c r="U993" s="154"/>
      <c r="V993" s="154"/>
      <c r="W993" s="154"/>
      <c r="X993" s="154"/>
      <c r="Y993" s="154"/>
      <c r="Z993" s="154"/>
      <c r="AA993" s="154"/>
    </row>
    <row r="994" spans="1:27" ht="15">
      <c r="A994" s="180">
        <v>45885</v>
      </c>
      <c r="B994" s="181" t="s">
        <v>13014</v>
      </c>
      <c r="C994" s="182" t="s">
        <v>1229</v>
      </c>
      <c r="D994" s="182">
        <v>4376</v>
      </c>
      <c r="E994" s="183">
        <v>4</v>
      </c>
      <c r="F994" s="183">
        <v>220</v>
      </c>
      <c r="G994" s="184">
        <v>0</v>
      </c>
      <c r="H994" s="158"/>
      <c r="I994" s="154"/>
      <c r="J994" s="154"/>
      <c r="K994" s="154"/>
      <c r="L994" s="154"/>
      <c r="M994" s="154"/>
      <c r="N994" s="154"/>
      <c r="O994" s="154"/>
      <c r="P994" s="154"/>
      <c r="Q994" s="154"/>
      <c r="R994" s="154"/>
      <c r="S994" s="154"/>
      <c r="T994" s="154"/>
      <c r="U994" s="154"/>
      <c r="V994" s="154"/>
      <c r="W994" s="154"/>
      <c r="X994" s="154"/>
      <c r="Y994" s="154"/>
      <c r="Z994" s="154"/>
      <c r="AA994" s="154"/>
    </row>
    <row r="995" spans="1:27" ht="15">
      <c r="A995" s="180">
        <v>45885</v>
      </c>
      <c r="B995" s="181" t="s">
        <v>13015</v>
      </c>
      <c r="C995" s="182" t="s">
        <v>1229</v>
      </c>
      <c r="D995" s="182">
        <v>15760</v>
      </c>
      <c r="E995" s="183">
        <v>10</v>
      </c>
      <c r="F995" s="183">
        <v>677</v>
      </c>
      <c r="G995" s="184">
        <v>0</v>
      </c>
      <c r="H995" s="158"/>
      <c r="I995" s="154"/>
      <c r="J995" s="154"/>
      <c r="K995" s="154"/>
      <c r="L995" s="154"/>
      <c r="M995" s="154"/>
      <c r="N995" s="154"/>
      <c r="O995" s="154"/>
      <c r="P995" s="154"/>
      <c r="Q995" s="154"/>
      <c r="R995" s="154"/>
      <c r="S995" s="154"/>
      <c r="T995" s="154"/>
      <c r="U995" s="154"/>
      <c r="V995" s="154"/>
      <c r="W995" s="154"/>
      <c r="X995" s="154"/>
      <c r="Y995" s="154"/>
      <c r="Z995" s="154"/>
      <c r="AA995" s="154"/>
    </row>
    <row r="996" spans="1:27" ht="15">
      <c r="A996" s="180">
        <v>45885</v>
      </c>
      <c r="B996" s="181" t="s">
        <v>13016</v>
      </c>
      <c r="C996" s="182" t="s">
        <v>1229</v>
      </c>
      <c r="D996" s="182">
        <v>6603</v>
      </c>
      <c r="E996" s="183">
        <v>0</v>
      </c>
      <c r="F996" s="183">
        <v>152</v>
      </c>
      <c r="G996" s="184">
        <v>0</v>
      </c>
      <c r="H996" s="158"/>
      <c r="I996" s="154"/>
      <c r="J996" s="154"/>
      <c r="K996" s="154"/>
      <c r="L996" s="154"/>
      <c r="M996" s="154"/>
      <c r="N996" s="154"/>
      <c r="O996" s="154"/>
      <c r="P996" s="154"/>
      <c r="Q996" s="154"/>
      <c r="R996" s="154"/>
      <c r="S996" s="154"/>
      <c r="T996" s="154"/>
      <c r="U996" s="154"/>
      <c r="V996" s="154"/>
      <c r="W996" s="154"/>
      <c r="X996" s="154"/>
      <c r="Y996" s="154"/>
      <c r="Z996" s="154"/>
      <c r="AA996" s="154"/>
    </row>
    <row r="997" spans="1:27" ht="15">
      <c r="A997" s="180">
        <v>45885</v>
      </c>
      <c r="B997" s="181" t="s">
        <v>13017</v>
      </c>
      <c r="C997" s="182" t="s">
        <v>1229</v>
      </c>
      <c r="D997" s="182">
        <v>2934</v>
      </c>
      <c r="E997" s="183">
        <v>2</v>
      </c>
      <c r="F997" s="183">
        <v>116</v>
      </c>
      <c r="G997" s="184">
        <v>0</v>
      </c>
      <c r="H997" s="158"/>
      <c r="I997" s="154"/>
      <c r="J997" s="154"/>
      <c r="K997" s="154"/>
      <c r="L997" s="154"/>
      <c r="M997" s="154"/>
      <c r="N997" s="154"/>
      <c r="O997" s="154"/>
      <c r="P997" s="154"/>
      <c r="Q997" s="154"/>
      <c r="R997" s="154"/>
      <c r="S997" s="154"/>
      <c r="T997" s="154"/>
      <c r="U997" s="154"/>
      <c r="V997" s="154"/>
      <c r="W997" s="154"/>
      <c r="X997" s="154"/>
      <c r="Y997" s="154"/>
      <c r="Z997" s="154"/>
      <c r="AA997" s="154"/>
    </row>
    <row r="998" spans="1:27" ht="15">
      <c r="A998" s="180">
        <v>45885</v>
      </c>
      <c r="B998" s="181" t="s">
        <v>13018</v>
      </c>
      <c r="C998" s="182" t="s">
        <v>1229</v>
      </c>
      <c r="D998" s="182">
        <v>10477</v>
      </c>
      <c r="E998" s="183">
        <v>8</v>
      </c>
      <c r="F998" s="183">
        <v>649</v>
      </c>
      <c r="G998" s="184">
        <v>1</v>
      </c>
      <c r="H998" s="158"/>
      <c r="I998" s="154"/>
      <c r="J998" s="154"/>
      <c r="K998" s="154"/>
      <c r="L998" s="154"/>
      <c r="M998" s="154"/>
      <c r="N998" s="154"/>
      <c r="O998" s="154"/>
      <c r="P998" s="154"/>
      <c r="Q998" s="154"/>
      <c r="R998" s="154"/>
      <c r="S998" s="154"/>
      <c r="T998" s="154"/>
      <c r="U998" s="154"/>
      <c r="V998" s="154"/>
      <c r="W998" s="154"/>
      <c r="X998" s="154"/>
      <c r="Y998" s="154"/>
      <c r="Z998" s="154"/>
      <c r="AA998" s="154"/>
    </row>
    <row r="999" spans="1:27" ht="15">
      <c r="A999" s="180">
        <v>45885</v>
      </c>
      <c r="B999" s="181" t="s">
        <v>13035</v>
      </c>
      <c r="C999" s="182" t="s">
        <v>1774</v>
      </c>
      <c r="D999" s="182">
        <v>4025</v>
      </c>
      <c r="E999" s="183">
        <v>4</v>
      </c>
      <c r="F999" s="183">
        <v>119</v>
      </c>
      <c r="G999" s="184">
        <v>0</v>
      </c>
      <c r="H999" s="158"/>
      <c r="I999" s="154"/>
      <c r="J999" s="154"/>
      <c r="K999" s="154"/>
      <c r="L999" s="154"/>
      <c r="M999" s="154"/>
      <c r="N999" s="154"/>
      <c r="O999" s="154"/>
      <c r="P999" s="154"/>
      <c r="Q999" s="154"/>
      <c r="R999" s="154"/>
      <c r="S999" s="154"/>
      <c r="T999" s="154"/>
      <c r="U999" s="154"/>
      <c r="V999" s="154"/>
      <c r="W999" s="154"/>
      <c r="X999" s="154"/>
      <c r="Y999" s="154"/>
      <c r="Z999" s="154"/>
      <c r="AA999" s="154"/>
    </row>
    <row r="1000" spans="1:27" ht="15">
      <c r="A1000" s="180">
        <v>45885</v>
      </c>
      <c r="B1000" s="181" t="s">
        <v>13036</v>
      </c>
      <c r="C1000" s="182" t="s">
        <v>1774</v>
      </c>
      <c r="D1000" s="182">
        <v>3934</v>
      </c>
      <c r="E1000" s="183">
        <v>4</v>
      </c>
      <c r="F1000" s="183">
        <v>142</v>
      </c>
      <c r="G1000" s="184">
        <v>0</v>
      </c>
      <c r="H1000" s="158"/>
      <c r="I1000" s="154"/>
      <c r="J1000" s="154"/>
      <c r="K1000" s="154"/>
      <c r="L1000" s="154"/>
      <c r="M1000" s="154"/>
      <c r="N1000" s="154"/>
      <c r="O1000" s="154"/>
      <c r="P1000" s="154"/>
      <c r="Q1000" s="154"/>
      <c r="R1000" s="154"/>
      <c r="S1000" s="154"/>
      <c r="T1000" s="154"/>
      <c r="U1000" s="154"/>
      <c r="V1000" s="154"/>
      <c r="W1000" s="154"/>
      <c r="X1000" s="154"/>
      <c r="Y1000" s="154"/>
      <c r="Z1000" s="154"/>
      <c r="AA1000" s="154"/>
    </row>
    <row r="1001" spans="1:27" ht="15">
      <c r="A1001" s="180">
        <v>45885</v>
      </c>
      <c r="B1001" s="181" t="s">
        <v>13037</v>
      </c>
      <c r="C1001" s="182" t="s">
        <v>1774</v>
      </c>
      <c r="D1001" s="182">
        <v>5468</v>
      </c>
      <c r="E1001" s="183">
        <v>3</v>
      </c>
      <c r="F1001" s="183">
        <v>169</v>
      </c>
      <c r="G1001" s="184">
        <v>0</v>
      </c>
      <c r="H1001" s="158"/>
      <c r="I1001" s="154"/>
      <c r="J1001" s="154"/>
      <c r="K1001" s="154"/>
      <c r="L1001" s="154"/>
      <c r="M1001" s="154"/>
      <c r="N1001" s="154"/>
      <c r="O1001" s="154"/>
      <c r="P1001" s="154"/>
      <c r="Q1001" s="154"/>
      <c r="R1001" s="154"/>
      <c r="S1001" s="154"/>
      <c r="T1001" s="154"/>
      <c r="U1001" s="154"/>
      <c r="V1001" s="154"/>
      <c r="W1001" s="154"/>
      <c r="X1001" s="154"/>
      <c r="Y1001" s="154"/>
      <c r="Z1001" s="154"/>
      <c r="AA1001" s="154"/>
    </row>
    <row r="1002" spans="1:27" ht="15">
      <c r="A1002" s="180">
        <v>45885</v>
      </c>
      <c r="B1002" s="181" t="s">
        <v>13038</v>
      </c>
      <c r="C1002" s="182" t="s">
        <v>1774</v>
      </c>
      <c r="D1002" s="182">
        <v>2735</v>
      </c>
      <c r="E1002" s="183">
        <v>5</v>
      </c>
      <c r="F1002" s="183">
        <v>146</v>
      </c>
      <c r="G1002" s="184">
        <v>0</v>
      </c>
      <c r="H1002" s="158"/>
      <c r="I1002" s="154"/>
      <c r="J1002" s="154"/>
      <c r="K1002" s="154"/>
      <c r="L1002" s="154"/>
      <c r="M1002" s="154"/>
      <c r="N1002" s="154"/>
      <c r="O1002" s="154"/>
      <c r="P1002" s="154"/>
      <c r="Q1002" s="154"/>
      <c r="R1002" s="154"/>
      <c r="S1002" s="154"/>
      <c r="T1002" s="154"/>
      <c r="U1002" s="154"/>
      <c r="V1002" s="154"/>
      <c r="W1002" s="154"/>
      <c r="X1002" s="154"/>
      <c r="Y1002" s="154"/>
      <c r="Z1002" s="154"/>
      <c r="AA1002" s="154"/>
    </row>
    <row r="1003" spans="1:27" ht="15">
      <c r="A1003" s="180">
        <v>45885</v>
      </c>
      <c r="B1003" s="181" t="s">
        <v>13023</v>
      </c>
      <c r="C1003" s="182" t="s">
        <v>115</v>
      </c>
      <c r="D1003" s="182">
        <v>6444</v>
      </c>
      <c r="E1003" s="183">
        <v>5</v>
      </c>
      <c r="F1003" s="183">
        <v>348</v>
      </c>
      <c r="G1003" s="184">
        <v>1</v>
      </c>
      <c r="H1003" s="158"/>
      <c r="I1003" s="154"/>
      <c r="J1003" s="154"/>
      <c r="K1003" s="154"/>
      <c r="L1003" s="154"/>
      <c r="M1003" s="154"/>
      <c r="N1003" s="154"/>
      <c r="O1003" s="154"/>
      <c r="P1003" s="154"/>
      <c r="Q1003" s="154"/>
      <c r="R1003" s="154"/>
      <c r="S1003" s="154"/>
      <c r="T1003" s="154"/>
      <c r="U1003" s="154"/>
      <c r="V1003" s="154"/>
      <c r="W1003" s="154"/>
      <c r="X1003" s="154"/>
      <c r="Y1003" s="154"/>
      <c r="Z1003" s="154"/>
      <c r="AA1003" s="154"/>
    </row>
    <row r="1004" spans="1:27" ht="15">
      <c r="A1004" s="180">
        <v>45885</v>
      </c>
      <c r="B1004" s="181" t="s">
        <v>13039</v>
      </c>
      <c r="C1004" s="182" t="s">
        <v>115</v>
      </c>
      <c r="D1004" s="182">
        <v>2</v>
      </c>
      <c r="E1004" s="183">
        <v>0</v>
      </c>
      <c r="F1004" s="183">
        <v>1</v>
      </c>
      <c r="G1004" s="184">
        <v>0</v>
      </c>
      <c r="H1004" s="158"/>
      <c r="I1004" s="154"/>
      <c r="J1004" s="154"/>
      <c r="K1004" s="154"/>
      <c r="L1004" s="154"/>
      <c r="M1004" s="154"/>
      <c r="N1004" s="154"/>
      <c r="O1004" s="154"/>
      <c r="P1004" s="154"/>
      <c r="Q1004" s="154"/>
      <c r="R1004" s="154"/>
      <c r="S1004" s="154"/>
      <c r="T1004" s="154"/>
      <c r="U1004" s="154"/>
      <c r="V1004" s="154"/>
      <c r="W1004" s="154"/>
      <c r="X1004" s="154"/>
      <c r="Y1004" s="154"/>
      <c r="Z1004" s="154"/>
      <c r="AA1004" s="154"/>
    </row>
    <row r="1005" spans="1:27" ht="15">
      <c r="A1005" s="180">
        <v>45885</v>
      </c>
      <c r="B1005" s="181" t="s">
        <v>13040</v>
      </c>
      <c r="C1005" s="182" t="s">
        <v>115</v>
      </c>
      <c r="D1005" s="182">
        <v>1775</v>
      </c>
      <c r="E1005" s="183">
        <v>3</v>
      </c>
      <c r="F1005" s="183">
        <v>72</v>
      </c>
      <c r="G1005" s="184">
        <v>0</v>
      </c>
      <c r="H1005" s="158"/>
      <c r="I1005" s="154"/>
      <c r="J1005" s="154"/>
      <c r="K1005" s="154"/>
      <c r="L1005" s="154"/>
      <c r="M1005" s="154"/>
      <c r="N1005" s="154"/>
      <c r="O1005" s="154"/>
      <c r="P1005" s="154"/>
      <c r="Q1005" s="154"/>
      <c r="R1005" s="154"/>
      <c r="S1005" s="154"/>
      <c r="T1005" s="154"/>
      <c r="U1005" s="154"/>
      <c r="V1005" s="154"/>
      <c r="W1005" s="154"/>
      <c r="X1005" s="154"/>
      <c r="Y1005" s="154"/>
      <c r="Z1005" s="154"/>
      <c r="AA1005" s="154"/>
    </row>
    <row r="1006" spans="1:27" ht="15">
      <c r="A1006" s="180">
        <v>45885</v>
      </c>
      <c r="B1006" s="181" t="s">
        <v>13041</v>
      </c>
      <c r="C1006" s="182" t="s">
        <v>115</v>
      </c>
      <c r="D1006" s="182">
        <v>4726</v>
      </c>
      <c r="E1006" s="183">
        <v>2</v>
      </c>
      <c r="F1006" s="183">
        <v>180</v>
      </c>
      <c r="G1006" s="184">
        <v>0</v>
      </c>
      <c r="H1006" s="158"/>
      <c r="I1006" s="154"/>
      <c r="J1006" s="154"/>
      <c r="K1006" s="154"/>
      <c r="L1006" s="154"/>
      <c r="M1006" s="154"/>
      <c r="N1006" s="154"/>
      <c r="O1006" s="154"/>
      <c r="P1006" s="154"/>
      <c r="Q1006" s="154"/>
      <c r="R1006" s="154"/>
      <c r="S1006" s="154"/>
      <c r="T1006" s="154"/>
      <c r="U1006" s="154"/>
      <c r="V1006" s="154"/>
      <c r="W1006" s="154"/>
      <c r="X1006" s="154"/>
      <c r="Y1006" s="154"/>
      <c r="Z1006" s="154"/>
      <c r="AA1006" s="154"/>
    </row>
    <row r="1007" spans="1:27" ht="15">
      <c r="A1007" s="180">
        <v>45885</v>
      </c>
      <c r="B1007" s="181" t="s">
        <v>13042</v>
      </c>
      <c r="C1007" s="182" t="s">
        <v>115</v>
      </c>
      <c r="D1007" s="182">
        <v>5909</v>
      </c>
      <c r="E1007" s="183">
        <v>5</v>
      </c>
      <c r="F1007" s="183">
        <v>196</v>
      </c>
      <c r="G1007" s="184">
        <v>0</v>
      </c>
      <c r="H1007" s="158"/>
      <c r="I1007" s="154"/>
      <c r="J1007" s="154"/>
      <c r="K1007" s="154"/>
      <c r="L1007" s="154"/>
      <c r="M1007" s="154"/>
      <c r="N1007" s="154"/>
      <c r="O1007" s="154"/>
      <c r="P1007" s="154"/>
      <c r="Q1007" s="154"/>
      <c r="R1007" s="154"/>
      <c r="S1007" s="154"/>
      <c r="T1007" s="154"/>
      <c r="U1007" s="154"/>
      <c r="V1007" s="154"/>
      <c r="W1007" s="154"/>
      <c r="X1007" s="154"/>
      <c r="Y1007" s="154"/>
      <c r="Z1007" s="154"/>
      <c r="AA1007" s="154"/>
    </row>
    <row r="1008" spans="1:27" ht="15">
      <c r="A1008" s="180">
        <v>45885</v>
      </c>
      <c r="B1008" s="181" t="s">
        <v>13028</v>
      </c>
      <c r="C1008" s="182" t="s">
        <v>61</v>
      </c>
      <c r="D1008" s="182">
        <v>16293</v>
      </c>
      <c r="E1008" s="183">
        <v>9</v>
      </c>
      <c r="F1008" s="183">
        <v>704</v>
      </c>
      <c r="G1008" s="184">
        <v>1</v>
      </c>
      <c r="H1008" s="158"/>
      <c r="I1008" s="154"/>
      <c r="J1008" s="154"/>
      <c r="K1008" s="154"/>
      <c r="L1008" s="154"/>
      <c r="M1008" s="154"/>
      <c r="N1008" s="154"/>
      <c r="O1008" s="154"/>
      <c r="P1008" s="154"/>
      <c r="Q1008" s="154"/>
      <c r="R1008" s="154"/>
      <c r="S1008" s="154"/>
      <c r="T1008" s="154"/>
      <c r="U1008" s="154"/>
      <c r="V1008" s="154"/>
      <c r="W1008" s="154"/>
      <c r="X1008" s="154"/>
      <c r="Y1008" s="154"/>
      <c r="Z1008" s="154"/>
      <c r="AA1008" s="154"/>
    </row>
    <row r="1009" spans="1:27" ht="15">
      <c r="A1009" s="180">
        <v>45885</v>
      </c>
      <c r="B1009" s="181" t="s">
        <v>13029</v>
      </c>
      <c r="C1009" s="182" t="s">
        <v>61</v>
      </c>
      <c r="D1009" s="182">
        <v>4002</v>
      </c>
      <c r="E1009" s="183">
        <v>2</v>
      </c>
      <c r="F1009" s="183">
        <v>125</v>
      </c>
      <c r="G1009" s="184">
        <v>0</v>
      </c>
      <c r="H1009" s="158"/>
      <c r="I1009" s="154"/>
      <c r="J1009" s="154"/>
      <c r="K1009" s="154"/>
      <c r="L1009" s="154"/>
      <c r="M1009" s="154"/>
      <c r="N1009" s="154"/>
      <c r="O1009" s="154"/>
      <c r="P1009" s="154"/>
      <c r="Q1009" s="154"/>
      <c r="R1009" s="154"/>
      <c r="S1009" s="154"/>
      <c r="T1009" s="154"/>
      <c r="U1009" s="154"/>
      <c r="V1009" s="154"/>
      <c r="W1009" s="154"/>
      <c r="X1009" s="154"/>
      <c r="Y1009" s="154"/>
      <c r="Z1009" s="154"/>
      <c r="AA1009" s="154"/>
    </row>
    <row r="1010" spans="1:27" ht="15">
      <c r="A1010" s="180">
        <v>45885</v>
      </c>
      <c r="B1010" s="181" t="s">
        <v>13030</v>
      </c>
      <c r="C1010" s="182" t="s">
        <v>61</v>
      </c>
      <c r="D1010" s="182">
        <v>1957</v>
      </c>
      <c r="E1010" s="183">
        <v>1</v>
      </c>
      <c r="F1010" s="183">
        <v>98</v>
      </c>
      <c r="G1010" s="184">
        <v>0</v>
      </c>
      <c r="H1010" s="158"/>
      <c r="I1010" s="154"/>
      <c r="J1010" s="154"/>
      <c r="K1010" s="154"/>
      <c r="L1010" s="154"/>
      <c r="M1010" s="154"/>
      <c r="N1010" s="154"/>
      <c r="O1010" s="154"/>
      <c r="P1010" s="154"/>
      <c r="Q1010" s="154"/>
      <c r="R1010" s="154"/>
      <c r="S1010" s="154"/>
      <c r="T1010" s="154"/>
      <c r="U1010" s="154"/>
      <c r="V1010" s="154"/>
      <c r="W1010" s="154"/>
      <c r="X1010" s="154"/>
      <c r="Y1010" s="154"/>
      <c r="Z1010" s="154"/>
      <c r="AA1010" s="154"/>
    </row>
    <row r="1011" spans="1:27" ht="15">
      <c r="A1011" s="180">
        <v>45885</v>
      </c>
      <c r="B1011" s="181" t="s">
        <v>13031</v>
      </c>
      <c r="C1011" s="182" t="s">
        <v>1774</v>
      </c>
      <c r="D1011" s="182">
        <v>5342</v>
      </c>
      <c r="E1011" s="183">
        <v>3</v>
      </c>
      <c r="F1011" s="183">
        <v>185</v>
      </c>
      <c r="G1011" s="184">
        <v>0</v>
      </c>
      <c r="H1011" s="158"/>
      <c r="I1011" s="154"/>
      <c r="J1011" s="154"/>
      <c r="K1011" s="154"/>
      <c r="L1011" s="154"/>
      <c r="M1011" s="154"/>
      <c r="N1011" s="154"/>
      <c r="O1011" s="154"/>
      <c r="P1011" s="154"/>
      <c r="Q1011" s="154"/>
      <c r="R1011" s="154"/>
      <c r="S1011" s="154"/>
      <c r="T1011" s="154"/>
      <c r="U1011" s="154"/>
      <c r="V1011" s="154"/>
      <c r="W1011" s="154"/>
      <c r="X1011" s="154"/>
      <c r="Y1011" s="154"/>
      <c r="Z1011" s="154"/>
      <c r="AA1011" s="154"/>
    </row>
    <row r="1012" spans="1:27" ht="15">
      <c r="A1012" s="180">
        <v>45885</v>
      </c>
      <c r="B1012" s="181" t="s">
        <v>13032</v>
      </c>
      <c r="C1012" s="182" t="s">
        <v>1229</v>
      </c>
      <c r="D1012" s="182">
        <v>6478</v>
      </c>
      <c r="E1012" s="183">
        <v>2</v>
      </c>
      <c r="F1012" s="183">
        <v>220</v>
      </c>
      <c r="G1012" s="184">
        <v>0</v>
      </c>
      <c r="H1012" s="158"/>
      <c r="I1012" s="154"/>
      <c r="J1012" s="154"/>
      <c r="K1012" s="154"/>
      <c r="L1012" s="154"/>
      <c r="M1012" s="154"/>
      <c r="N1012" s="154"/>
      <c r="O1012" s="154"/>
      <c r="P1012" s="154"/>
      <c r="Q1012" s="154"/>
      <c r="R1012" s="154"/>
      <c r="S1012" s="154"/>
      <c r="T1012" s="154"/>
      <c r="U1012" s="154"/>
      <c r="V1012" s="154"/>
      <c r="W1012" s="154"/>
      <c r="X1012" s="154"/>
      <c r="Y1012" s="154"/>
      <c r="Z1012" s="154"/>
      <c r="AA1012" s="154"/>
    </row>
    <row r="1013" spans="1:27" ht="15">
      <c r="A1013" s="180">
        <v>45885</v>
      </c>
      <c r="B1013" s="181" t="s">
        <v>13033</v>
      </c>
      <c r="C1013" s="182" t="s">
        <v>1229</v>
      </c>
      <c r="D1013" s="182">
        <v>4429</v>
      </c>
      <c r="E1013" s="183">
        <v>1</v>
      </c>
      <c r="F1013" s="183">
        <v>122</v>
      </c>
      <c r="G1013" s="184">
        <v>0</v>
      </c>
      <c r="H1013" s="158"/>
      <c r="I1013" s="154"/>
      <c r="J1013" s="154"/>
      <c r="K1013" s="154"/>
      <c r="L1013" s="154"/>
      <c r="M1013" s="154"/>
      <c r="N1013" s="154"/>
      <c r="O1013" s="154"/>
      <c r="P1013" s="154"/>
      <c r="Q1013" s="154"/>
      <c r="R1013" s="154"/>
      <c r="S1013" s="154"/>
      <c r="T1013" s="154"/>
      <c r="U1013" s="154"/>
      <c r="V1013" s="154"/>
      <c r="W1013" s="154"/>
      <c r="X1013" s="154"/>
      <c r="Y1013" s="154"/>
      <c r="Z1013" s="154"/>
      <c r="AA1013" s="154"/>
    </row>
    <row r="1014" spans="1:27" ht="15">
      <c r="A1014" s="180">
        <v>45887</v>
      </c>
      <c r="B1014" s="181" t="s">
        <v>13043</v>
      </c>
      <c r="C1014" s="182" t="s">
        <v>12896</v>
      </c>
      <c r="D1014" s="182">
        <v>18134</v>
      </c>
      <c r="E1014" s="183">
        <v>11</v>
      </c>
      <c r="F1014" s="183">
        <v>1011</v>
      </c>
      <c r="G1014" s="184">
        <v>2</v>
      </c>
      <c r="H1014" s="158"/>
      <c r="I1014" s="154"/>
      <c r="J1014" s="154"/>
      <c r="K1014" s="154"/>
      <c r="L1014" s="154"/>
      <c r="M1014" s="154"/>
      <c r="N1014" s="154"/>
      <c r="O1014" s="154"/>
      <c r="P1014" s="154"/>
      <c r="Q1014" s="154"/>
      <c r="R1014" s="154"/>
      <c r="S1014" s="154"/>
      <c r="T1014" s="154"/>
      <c r="U1014" s="154"/>
      <c r="V1014" s="154"/>
      <c r="W1014" s="154"/>
      <c r="X1014" s="154"/>
      <c r="Y1014" s="154"/>
      <c r="Z1014" s="154"/>
      <c r="AA1014" s="154"/>
    </row>
    <row r="1015" spans="1:27" ht="15">
      <c r="A1015" s="180">
        <v>45887</v>
      </c>
      <c r="B1015" s="181" t="s">
        <v>13014</v>
      </c>
      <c r="C1015" s="182" t="s">
        <v>1229</v>
      </c>
      <c r="D1015" s="182">
        <v>8565</v>
      </c>
      <c r="E1015" s="183">
        <v>13</v>
      </c>
      <c r="F1015" s="183">
        <v>1258</v>
      </c>
      <c r="G1015" s="184">
        <v>1</v>
      </c>
      <c r="H1015" s="158"/>
      <c r="I1015" s="154"/>
      <c r="J1015" s="154"/>
      <c r="K1015" s="154"/>
      <c r="L1015" s="154"/>
      <c r="M1015" s="154"/>
      <c r="N1015" s="154"/>
      <c r="O1015" s="154"/>
      <c r="P1015" s="154"/>
      <c r="Q1015" s="154"/>
      <c r="R1015" s="154"/>
      <c r="S1015" s="154"/>
      <c r="T1015" s="154"/>
      <c r="U1015" s="154"/>
      <c r="V1015" s="154"/>
      <c r="W1015" s="154"/>
      <c r="X1015" s="154"/>
      <c r="Y1015" s="154"/>
      <c r="Z1015" s="154"/>
      <c r="AA1015" s="154"/>
    </row>
    <row r="1016" spans="1:27" ht="15">
      <c r="A1016" s="180">
        <v>45887</v>
      </c>
      <c r="B1016" s="181" t="s">
        <v>13015</v>
      </c>
      <c r="C1016" s="182" t="s">
        <v>1229</v>
      </c>
      <c r="D1016" s="182">
        <v>28624</v>
      </c>
      <c r="E1016" s="183">
        <v>53</v>
      </c>
      <c r="F1016" s="183">
        <v>3179</v>
      </c>
      <c r="G1016" s="184">
        <v>3</v>
      </c>
      <c r="H1016" s="158"/>
      <c r="I1016" s="154"/>
      <c r="J1016" s="154"/>
      <c r="K1016" s="154"/>
      <c r="L1016" s="154"/>
      <c r="M1016" s="154"/>
      <c r="N1016" s="154"/>
      <c r="O1016" s="154"/>
      <c r="P1016" s="154"/>
      <c r="Q1016" s="154"/>
      <c r="R1016" s="154"/>
      <c r="S1016" s="154"/>
      <c r="T1016" s="154"/>
      <c r="U1016" s="154"/>
      <c r="V1016" s="154"/>
      <c r="W1016" s="154"/>
      <c r="X1016" s="154"/>
      <c r="Y1016" s="154"/>
      <c r="Z1016" s="154"/>
      <c r="AA1016" s="154"/>
    </row>
    <row r="1017" spans="1:27" ht="15">
      <c r="A1017" s="180">
        <v>45887</v>
      </c>
      <c r="B1017" s="181" t="s">
        <v>13016</v>
      </c>
      <c r="C1017" s="182" t="s">
        <v>1229</v>
      </c>
      <c r="D1017" s="182">
        <v>8009</v>
      </c>
      <c r="E1017" s="183">
        <v>17</v>
      </c>
      <c r="F1017" s="183">
        <v>1432</v>
      </c>
      <c r="G1017" s="184">
        <v>1</v>
      </c>
      <c r="H1017" s="158"/>
      <c r="I1017" s="154"/>
      <c r="J1017" s="154"/>
      <c r="K1017" s="154"/>
      <c r="L1017" s="154"/>
      <c r="M1017" s="154"/>
      <c r="N1017" s="154"/>
      <c r="O1017" s="154"/>
      <c r="P1017" s="154"/>
      <c r="Q1017" s="154"/>
      <c r="R1017" s="154"/>
      <c r="S1017" s="154"/>
      <c r="T1017" s="154"/>
      <c r="U1017" s="154"/>
      <c r="V1017" s="154"/>
      <c r="W1017" s="154"/>
      <c r="X1017" s="154"/>
      <c r="Y1017" s="154"/>
      <c r="Z1017" s="154"/>
      <c r="AA1017" s="154"/>
    </row>
    <row r="1018" spans="1:27" ht="15">
      <c r="A1018" s="180">
        <v>45887</v>
      </c>
      <c r="B1018" s="181" t="s">
        <v>13017</v>
      </c>
      <c r="C1018" s="182" t="s">
        <v>1229</v>
      </c>
      <c r="D1018" s="182">
        <v>16884</v>
      </c>
      <c r="E1018" s="183">
        <v>20</v>
      </c>
      <c r="F1018" s="183">
        <v>692</v>
      </c>
      <c r="G1018" s="184">
        <v>1</v>
      </c>
      <c r="H1018" s="158"/>
      <c r="I1018" s="154"/>
      <c r="J1018" s="154"/>
      <c r="K1018" s="154"/>
      <c r="L1018" s="154"/>
      <c r="M1018" s="154"/>
      <c r="N1018" s="154"/>
      <c r="O1018" s="154"/>
      <c r="P1018" s="154"/>
      <c r="Q1018" s="154"/>
      <c r="R1018" s="154"/>
      <c r="S1018" s="154"/>
      <c r="T1018" s="154"/>
      <c r="U1018" s="154"/>
      <c r="V1018" s="154"/>
      <c r="W1018" s="154"/>
      <c r="X1018" s="154"/>
      <c r="Y1018" s="154"/>
      <c r="Z1018" s="154"/>
      <c r="AA1018" s="154"/>
    </row>
    <row r="1019" spans="1:27" ht="15">
      <c r="A1019" s="180">
        <v>45887</v>
      </c>
      <c r="B1019" s="181" t="s">
        <v>13018</v>
      </c>
      <c r="C1019" s="182" t="s">
        <v>1229</v>
      </c>
      <c r="D1019" s="182">
        <v>13117</v>
      </c>
      <c r="E1019" s="183">
        <v>12</v>
      </c>
      <c r="F1019" s="183">
        <v>655</v>
      </c>
      <c r="G1019" s="184">
        <v>1</v>
      </c>
      <c r="H1019" s="158"/>
      <c r="I1019" s="154"/>
      <c r="J1019" s="154"/>
      <c r="K1019" s="154"/>
      <c r="L1019" s="154"/>
      <c r="M1019" s="154"/>
      <c r="N1019" s="154"/>
      <c r="O1019" s="154"/>
      <c r="P1019" s="154"/>
      <c r="Q1019" s="154"/>
      <c r="R1019" s="154"/>
      <c r="S1019" s="154"/>
      <c r="T1019" s="154"/>
      <c r="U1019" s="154"/>
      <c r="V1019" s="154"/>
      <c r="W1019" s="154"/>
      <c r="X1019" s="154"/>
      <c r="Y1019" s="154"/>
      <c r="Z1019" s="154"/>
      <c r="AA1019" s="154"/>
    </row>
    <row r="1020" spans="1:27" ht="15">
      <c r="A1020" s="180">
        <v>45887</v>
      </c>
      <c r="B1020" s="181" t="s">
        <v>13044</v>
      </c>
      <c r="C1020" s="182" t="s">
        <v>115</v>
      </c>
      <c r="D1020" s="182">
        <v>317</v>
      </c>
      <c r="E1020" s="183">
        <v>2</v>
      </c>
      <c r="F1020" s="183">
        <v>24</v>
      </c>
      <c r="G1020" s="184">
        <v>0</v>
      </c>
      <c r="H1020" s="158"/>
      <c r="I1020" s="154"/>
      <c r="J1020" s="154"/>
      <c r="K1020" s="154"/>
      <c r="L1020" s="154"/>
      <c r="M1020" s="154"/>
      <c r="N1020" s="154"/>
      <c r="O1020" s="154"/>
      <c r="P1020" s="154"/>
      <c r="Q1020" s="154"/>
      <c r="R1020" s="154"/>
      <c r="S1020" s="154"/>
      <c r="T1020" s="154"/>
      <c r="U1020" s="154"/>
      <c r="V1020" s="154"/>
      <c r="W1020" s="154"/>
      <c r="X1020" s="154"/>
      <c r="Y1020" s="154"/>
      <c r="Z1020" s="154"/>
      <c r="AA1020" s="154"/>
    </row>
    <row r="1021" spans="1:27" ht="15">
      <c r="A1021" s="180">
        <v>45887</v>
      </c>
      <c r="B1021" s="181" t="s">
        <v>13028</v>
      </c>
      <c r="C1021" s="182" t="s">
        <v>61</v>
      </c>
      <c r="D1021" s="182">
        <v>1977</v>
      </c>
      <c r="E1021" s="183">
        <v>1</v>
      </c>
      <c r="F1021" s="183">
        <v>156</v>
      </c>
      <c r="G1021" s="184">
        <v>0</v>
      </c>
      <c r="H1021" s="158"/>
      <c r="I1021" s="154"/>
      <c r="J1021" s="154"/>
      <c r="K1021" s="154"/>
      <c r="L1021" s="154"/>
      <c r="M1021" s="154"/>
      <c r="N1021" s="154"/>
      <c r="O1021" s="154"/>
      <c r="P1021" s="154"/>
      <c r="Q1021" s="154"/>
      <c r="R1021" s="154"/>
      <c r="S1021" s="154"/>
      <c r="T1021" s="154"/>
      <c r="U1021" s="154"/>
      <c r="V1021" s="154"/>
      <c r="W1021" s="154"/>
      <c r="X1021" s="154"/>
      <c r="Y1021" s="154"/>
      <c r="Z1021" s="154"/>
      <c r="AA1021" s="154"/>
    </row>
    <row r="1022" spans="1:27" ht="15">
      <c r="A1022" s="180">
        <v>45887</v>
      </c>
      <c r="B1022" s="181" t="s">
        <v>13029</v>
      </c>
      <c r="C1022" s="182" t="s">
        <v>61</v>
      </c>
      <c r="D1022" s="182">
        <v>1257</v>
      </c>
      <c r="E1022" s="183">
        <v>1</v>
      </c>
      <c r="F1022" s="183">
        <v>121</v>
      </c>
      <c r="G1022" s="184">
        <v>0</v>
      </c>
      <c r="H1022" s="158"/>
      <c r="I1022" s="154"/>
      <c r="J1022" s="154"/>
      <c r="K1022" s="154"/>
      <c r="L1022" s="154"/>
      <c r="M1022" s="154"/>
      <c r="N1022" s="154"/>
      <c r="O1022" s="154"/>
      <c r="P1022" s="154"/>
      <c r="Q1022" s="154"/>
      <c r="R1022" s="154"/>
      <c r="S1022" s="154"/>
      <c r="T1022" s="154"/>
      <c r="U1022" s="154"/>
      <c r="V1022" s="154"/>
      <c r="W1022" s="154"/>
      <c r="X1022" s="154"/>
      <c r="Y1022" s="154"/>
      <c r="Z1022" s="154"/>
      <c r="AA1022" s="154"/>
    </row>
    <row r="1023" spans="1:27" ht="15">
      <c r="A1023" s="180">
        <v>45887</v>
      </c>
      <c r="B1023" s="181" t="s">
        <v>13030</v>
      </c>
      <c r="C1023" s="182" t="s">
        <v>61</v>
      </c>
      <c r="D1023" s="182">
        <v>1300</v>
      </c>
      <c r="E1023" s="183">
        <v>0</v>
      </c>
      <c r="F1023" s="183">
        <v>31</v>
      </c>
      <c r="G1023" s="184">
        <v>0</v>
      </c>
      <c r="H1023" s="158"/>
      <c r="I1023" s="154"/>
      <c r="J1023" s="154"/>
      <c r="K1023" s="154"/>
      <c r="L1023" s="154"/>
      <c r="M1023" s="154"/>
      <c r="N1023" s="154"/>
      <c r="O1023" s="154"/>
      <c r="P1023" s="154"/>
      <c r="Q1023" s="154"/>
      <c r="R1023" s="154"/>
      <c r="S1023" s="154"/>
      <c r="T1023" s="154"/>
      <c r="U1023" s="154"/>
      <c r="V1023" s="154"/>
      <c r="W1023" s="154"/>
      <c r="X1023" s="154"/>
      <c r="Y1023" s="154"/>
      <c r="Z1023" s="154"/>
      <c r="AA1023" s="154"/>
    </row>
    <row r="1024" spans="1:27" ht="15">
      <c r="A1024" s="180">
        <v>45887</v>
      </c>
      <c r="B1024" s="181" t="s">
        <v>13045</v>
      </c>
      <c r="C1024" s="182" t="s">
        <v>1774</v>
      </c>
      <c r="D1024" s="182">
        <v>594</v>
      </c>
      <c r="E1024" s="183">
        <v>3</v>
      </c>
      <c r="F1024" s="183">
        <v>40</v>
      </c>
      <c r="G1024" s="184">
        <v>1</v>
      </c>
      <c r="H1024" s="158"/>
      <c r="I1024" s="154"/>
      <c r="J1024" s="154"/>
      <c r="K1024" s="154"/>
      <c r="L1024" s="154"/>
      <c r="M1024" s="154"/>
      <c r="N1024" s="154"/>
      <c r="O1024" s="154"/>
      <c r="P1024" s="154"/>
      <c r="Q1024" s="154"/>
      <c r="R1024" s="154"/>
      <c r="S1024" s="154"/>
      <c r="T1024" s="154"/>
      <c r="U1024" s="154"/>
      <c r="V1024" s="154"/>
      <c r="W1024" s="154"/>
      <c r="X1024" s="154"/>
      <c r="Y1024" s="154"/>
      <c r="Z1024" s="154"/>
      <c r="AA1024" s="154"/>
    </row>
    <row r="1025" spans="1:27" ht="15">
      <c r="A1025" s="180">
        <v>45887</v>
      </c>
      <c r="B1025" s="181" t="s">
        <v>13032</v>
      </c>
      <c r="C1025" s="182" t="s">
        <v>1229</v>
      </c>
      <c r="D1025" s="182">
        <v>1859</v>
      </c>
      <c r="E1025" s="183">
        <v>6</v>
      </c>
      <c r="F1025" s="183">
        <v>128</v>
      </c>
      <c r="G1025" s="184">
        <v>0</v>
      </c>
      <c r="H1025" s="158"/>
      <c r="I1025" s="154"/>
      <c r="J1025" s="154"/>
      <c r="K1025" s="154"/>
      <c r="L1025" s="154"/>
      <c r="M1025" s="154"/>
      <c r="N1025" s="154"/>
      <c r="O1025" s="154"/>
      <c r="P1025" s="154"/>
      <c r="Q1025" s="154"/>
      <c r="R1025" s="154"/>
      <c r="S1025" s="154"/>
      <c r="T1025" s="154"/>
      <c r="U1025" s="154"/>
      <c r="V1025" s="154"/>
      <c r="W1025" s="154"/>
      <c r="X1025" s="154"/>
      <c r="Y1025" s="154"/>
      <c r="Z1025" s="154"/>
      <c r="AA1025" s="154"/>
    </row>
    <row r="1026" spans="1:27" ht="15">
      <c r="A1026" s="180">
        <v>45888</v>
      </c>
      <c r="B1026" s="181" t="s">
        <v>13046</v>
      </c>
      <c r="C1026" s="182" t="s">
        <v>12896</v>
      </c>
      <c r="D1026" s="182">
        <v>94</v>
      </c>
      <c r="E1026" s="183">
        <v>0</v>
      </c>
      <c r="F1026" s="183">
        <v>11</v>
      </c>
      <c r="G1026" s="184">
        <v>0</v>
      </c>
      <c r="H1026" s="158"/>
      <c r="I1026" s="154"/>
      <c r="J1026" s="154"/>
      <c r="K1026" s="154"/>
      <c r="L1026" s="154"/>
      <c r="M1026" s="154"/>
      <c r="N1026" s="154"/>
      <c r="O1026" s="154"/>
      <c r="P1026" s="154"/>
      <c r="Q1026" s="154"/>
      <c r="R1026" s="154"/>
      <c r="S1026" s="154"/>
      <c r="T1026" s="154"/>
      <c r="U1026" s="154"/>
      <c r="V1026" s="154"/>
      <c r="W1026" s="154"/>
      <c r="X1026" s="154"/>
      <c r="Y1026" s="154"/>
      <c r="Z1026" s="154"/>
      <c r="AA1026" s="154"/>
    </row>
    <row r="1027" spans="1:27" ht="15">
      <c r="A1027" s="180">
        <v>45888</v>
      </c>
      <c r="B1027" s="181" t="s">
        <v>13047</v>
      </c>
      <c r="C1027" s="182" t="s">
        <v>12896</v>
      </c>
      <c r="D1027" s="182">
        <v>54</v>
      </c>
      <c r="E1027" s="183">
        <v>0</v>
      </c>
      <c r="F1027" s="183">
        <v>9</v>
      </c>
      <c r="G1027" s="184">
        <v>0</v>
      </c>
      <c r="H1027" s="158"/>
      <c r="I1027" s="154"/>
      <c r="J1027" s="154"/>
      <c r="K1027" s="154"/>
      <c r="L1027" s="154"/>
      <c r="M1027" s="154"/>
      <c r="N1027" s="154"/>
      <c r="O1027" s="154"/>
      <c r="P1027" s="154"/>
      <c r="Q1027" s="154"/>
      <c r="R1027" s="154"/>
      <c r="S1027" s="154"/>
      <c r="T1027" s="154"/>
      <c r="U1027" s="154"/>
      <c r="V1027" s="154"/>
      <c r="W1027" s="154"/>
      <c r="X1027" s="154"/>
      <c r="Y1027" s="154"/>
      <c r="Z1027" s="154"/>
      <c r="AA1027" s="154"/>
    </row>
    <row r="1028" spans="1:27" ht="15">
      <c r="A1028" s="180">
        <v>45888</v>
      </c>
      <c r="B1028" s="181" t="s">
        <v>13048</v>
      </c>
      <c r="C1028" s="182" t="s">
        <v>12896</v>
      </c>
      <c r="D1028" s="182">
        <v>60742</v>
      </c>
      <c r="E1028" s="183">
        <v>64</v>
      </c>
      <c r="F1028" s="183">
        <v>4190</v>
      </c>
      <c r="G1028" s="184">
        <v>5</v>
      </c>
      <c r="H1028" s="158"/>
      <c r="I1028" s="154"/>
      <c r="J1028" s="154"/>
      <c r="K1028" s="154"/>
      <c r="L1028" s="154"/>
      <c r="M1028" s="154"/>
      <c r="N1028" s="154"/>
      <c r="O1028" s="154"/>
      <c r="P1028" s="154"/>
      <c r="Q1028" s="154"/>
      <c r="R1028" s="154"/>
      <c r="S1028" s="154"/>
      <c r="T1028" s="154"/>
      <c r="U1028" s="154"/>
      <c r="V1028" s="154"/>
      <c r="W1028" s="154"/>
      <c r="X1028" s="154"/>
      <c r="Y1028" s="154"/>
      <c r="Z1028" s="154"/>
      <c r="AA1028" s="154"/>
    </row>
    <row r="1029" spans="1:27" ht="15">
      <c r="A1029" s="180">
        <v>45888</v>
      </c>
      <c r="B1029" s="181" t="s">
        <v>13049</v>
      </c>
      <c r="C1029" s="182" t="s">
        <v>1229</v>
      </c>
      <c r="D1029" s="182">
        <v>702</v>
      </c>
      <c r="E1029" s="183">
        <v>6</v>
      </c>
      <c r="F1029" s="183">
        <v>226</v>
      </c>
      <c r="G1029" s="184">
        <v>0</v>
      </c>
      <c r="H1029" s="158"/>
      <c r="I1029" s="154"/>
      <c r="J1029" s="154"/>
      <c r="K1029" s="154"/>
      <c r="L1029" s="154"/>
      <c r="M1029" s="154"/>
      <c r="N1029" s="154"/>
      <c r="O1029" s="154"/>
      <c r="P1029" s="154"/>
      <c r="Q1029" s="154"/>
      <c r="R1029" s="154"/>
      <c r="S1029" s="154"/>
      <c r="T1029" s="154"/>
      <c r="U1029" s="154"/>
      <c r="V1029" s="154"/>
      <c r="W1029" s="154"/>
      <c r="X1029" s="154"/>
      <c r="Y1029" s="154"/>
      <c r="Z1029" s="154"/>
      <c r="AA1029" s="154"/>
    </row>
    <row r="1030" spans="1:27" ht="15">
      <c r="A1030" s="180">
        <v>45888</v>
      </c>
      <c r="B1030" s="181" t="s">
        <v>13050</v>
      </c>
      <c r="C1030" s="182" t="s">
        <v>1229</v>
      </c>
      <c r="D1030" s="182">
        <v>13192</v>
      </c>
      <c r="E1030" s="183">
        <v>26</v>
      </c>
      <c r="F1030" s="183">
        <v>1130</v>
      </c>
      <c r="G1030" s="184">
        <v>1</v>
      </c>
      <c r="H1030" s="158"/>
      <c r="I1030" s="154"/>
      <c r="J1030" s="154"/>
      <c r="K1030" s="154"/>
      <c r="L1030" s="154"/>
      <c r="M1030" s="154"/>
      <c r="N1030" s="154"/>
      <c r="O1030" s="154"/>
      <c r="P1030" s="154"/>
      <c r="Q1030" s="154"/>
      <c r="R1030" s="154"/>
      <c r="S1030" s="154"/>
      <c r="T1030" s="154"/>
      <c r="U1030" s="154"/>
      <c r="V1030" s="154"/>
      <c r="W1030" s="154"/>
      <c r="X1030" s="154"/>
      <c r="Y1030" s="154"/>
      <c r="Z1030" s="154"/>
      <c r="AA1030" s="154"/>
    </row>
    <row r="1031" spans="1:27" ht="15">
      <c r="A1031" s="180">
        <v>45888</v>
      </c>
      <c r="B1031" s="181" t="s">
        <v>13051</v>
      </c>
      <c r="C1031" s="182" t="s">
        <v>1229</v>
      </c>
      <c r="D1031" s="182">
        <v>259</v>
      </c>
      <c r="E1031" s="183">
        <v>0</v>
      </c>
      <c r="F1031" s="183">
        <v>104</v>
      </c>
      <c r="G1031" s="184">
        <v>0</v>
      </c>
      <c r="H1031" s="158"/>
      <c r="I1031" s="154"/>
      <c r="J1031" s="154"/>
      <c r="K1031" s="154"/>
      <c r="L1031" s="154"/>
      <c r="M1031" s="154"/>
      <c r="N1031" s="154"/>
      <c r="O1031" s="154"/>
      <c r="P1031" s="154"/>
      <c r="Q1031" s="154"/>
      <c r="R1031" s="154"/>
      <c r="S1031" s="154"/>
      <c r="T1031" s="154"/>
      <c r="U1031" s="154"/>
      <c r="V1031" s="154"/>
      <c r="W1031" s="154"/>
      <c r="X1031" s="154"/>
      <c r="Y1031" s="154"/>
      <c r="Z1031" s="154"/>
      <c r="AA1031" s="154"/>
    </row>
    <row r="1032" spans="1:27" ht="15">
      <c r="A1032" s="180">
        <v>45888</v>
      </c>
      <c r="B1032" s="181" t="s">
        <v>13052</v>
      </c>
      <c r="C1032" s="182" t="s">
        <v>1229</v>
      </c>
      <c r="D1032" s="182">
        <v>3804</v>
      </c>
      <c r="E1032" s="183">
        <v>2</v>
      </c>
      <c r="F1032" s="183">
        <v>267</v>
      </c>
      <c r="G1032" s="184">
        <v>0</v>
      </c>
      <c r="H1032" s="158"/>
      <c r="I1032" s="154"/>
      <c r="J1032" s="154"/>
      <c r="K1032" s="154"/>
      <c r="L1032" s="154"/>
      <c r="M1032" s="154"/>
      <c r="N1032" s="154"/>
      <c r="O1032" s="154"/>
      <c r="P1032" s="154"/>
      <c r="Q1032" s="154"/>
      <c r="R1032" s="154"/>
      <c r="S1032" s="154"/>
      <c r="T1032" s="154"/>
      <c r="U1032" s="154"/>
      <c r="V1032" s="154"/>
      <c r="W1032" s="154"/>
      <c r="X1032" s="154"/>
      <c r="Y1032" s="154"/>
      <c r="Z1032" s="154"/>
      <c r="AA1032" s="154"/>
    </row>
    <row r="1033" spans="1:27" ht="15">
      <c r="A1033" s="180">
        <v>45888</v>
      </c>
      <c r="B1033" s="181" t="s">
        <v>13053</v>
      </c>
      <c r="C1033" s="182" t="s">
        <v>1229</v>
      </c>
      <c r="D1033" s="182">
        <v>68857</v>
      </c>
      <c r="E1033" s="183">
        <v>100</v>
      </c>
      <c r="F1033" s="183">
        <v>4821</v>
      </c>
      <c r="G1033" s="184">
        <v>9</v>
      </c>
      <c r="H1033" s="158"/>
      <c r="I1033" s="154"/>
      <c r="J1033" s="154"/>
      <c r="K1033" s="154"/>
      <c r="L1033" s="154"/>
      <c r="M1033" s="154"/>
      <c r="N1033" s="154"/>
      <c r="O1033" s="154"/>
      <c r="P1033" s="154"/>
      <c r="Q1033" s="154"/>
      <c r="R1033" s="154"/>
      <c r="S1033" s="154"/>
      <c r="T1033" s="154"/>
      <c r="U1033" s="154"/>
      <c r="V1033" s="154"/>
      <c r="W1033" s="154"/>
      <c r="X1033" s="154"/>
      <c r="Y1033" s="154"/>
      <c r="Z1033" s="154"/>
      <c r="AA1033" s="154"/>
    </row>
    <row r="1034" spans="1:27" ht="15">
      <c r="A1034" s="180">
        <v>45888</v>
      </c>
      <c r="B1034" s="181" t="s">
        <v>13054</v>
      </c>
      <c r="C1034" s="182" t="s">
        <v>61</v>
      </c>
      <c r="D1034" s="182">
        <v>1895</v>
      </c>
      <c r="E1034" s="183">
        <v>6</v>
      </c>
      <c r="F1034" s="183">
        <v>196</v>
      </c>
      <c r="G1034" s="184">
        <v>0</v>
      </c>
      <c r="H1034" s="158"/>
      <c r="I1034" s="154"/>
      <c r="J1034" s="154"/>
      <c r="K1034" s="154"/>
      <c r="L1034" s="154"/>
      <c r="M1034" s="154"/>
      <c r="N1034" s="154"/>
      <c r="O1034" s="154"/>
      <c r="P1034" s="154"/>
      <c r="Q1034" s="154"/>
      <c r="R1034" s="154"/>
      <c r="S1034" s="154"/>
      <c r="T1034" s="154"/>
      <c r="U1034" s="154"/>
      <c r="V1034" s="154"/>
      <c r="W1034" s="154"/>
      <c r="X1034" s="154"/>
      <c r="Y1034" s="154"/>
      <c r="Z1034" s="154"/>
      <c r="AA1034" s="154"/>
    </row>
    <row r="1035" spans="1:27" ht="15">
      <c r="A1035" s="180">
        <v>45888</v>
      </c>
      <c r="B1035" s="181" t="s">
        <v>13055</v>
      </c>
      <c r="C1035" s="182" t="s">
        <v>61</v>
      </c>
      <c r="D1035" s="182">
        <v>467</v>
      </c>
      <c r="E1035" s="183">
        <v>2</v>
      </c>
      <c r="F1035" s="183">
        <v>44</v>
      </c>
      <c r="G1035" s="184">
        <v>0</v>
      </c>
      <c r="H1035" s="158"/>
      <c r="I1035" s="154"/>
      <c r="J1035" s="154"/>
      <c r="K1035" s="154"/>
      <c r="L1035" s="154"/>
      <c r="M1035" s="154"/>
      <c r="N1035" s="154"/>
      <c r="O1035" s="154"/>
      <c r="P1035" s="154"/>
      <c r="Q1035" s="154"/>
      <c r="R1035" s="154"/>
      <c r="S1035" s="154"/>
      <c r="T1035" s="154"/>
      <c r="U1035" s="154"/>
      <c r="V1035" s="154"/>
      <c r="W1035" s="154"/>
      <c r="X1035" s="154"/>
      <c r="Y1035" s="154"/>
      <c r="Z1035" s="154"/>
      <c r="AA1035" s="154"/>
    </row>
    <row r="1036" spans="1:27" ht="15">
      <c r="A1036" s="180">
        <v>45889</v>
      </c>
      <c r="B1036" s="181" t="s">
        <v>13046</v>
      </c>
      <c r="C1036" s="182" t="s">
        <v>12896</v>
      </c>
      <c r="D1036" s="182">
        <v>12417</v>
      </c>
      <c r="E1036" s="183">
        <v>4</v>
      </c>
      <c r="F1036" s="183">
        <v>459</v>
      </c>
      <c r="G1036" s="184">
        <v>0</v>
      </c>
      <c r="H1036" s="158"/>
      <c r="I1036" s="154"/>
      <c r="J1036" s="154"/>
      <c r="K1036" s="154"/>
      <c r="L1036" s="154"/>
      <c r="M1036" s="154"/>
      <c r="N1036" s="154"/>
      <c r="O1036" s="154"/>
      <c r="P1036" s="154"/>
      <c r="Q1036" s="154"/>
      <c r="R1036" s="154"/>
      <c r="S1036" s="154"/>
      <c r="T1036" s="154"/>
      <c r="U1036" s="154"/>
      <c r="V1036" s="154"/>
      <c r="W1036" s="154"/>
      <c r="X1036" s="154"/>
      <c r="Y1036" s="154"/>
      <c r="Z1036" s="154"/>
      <c r="AA1036" s="154"/>
    </row>
    <row r="1037" spans="1:27" ht="15">
      <c r="A1037" s="180">
        <v>45889</v>
      </c>
      <c r="B1037" s="181" t="s">
        <v>13047</v>
      </c>
      <c r="C1037" s="182" t="s">
        <v>12896</v>
      </c>
      <c r="D1037" s="182">
        <v>12423</v>
      </c>
      <c r="E1037" s="183">
        <v>5</v>
      </c>
      <c r="F1037" s="183">
        <v>419</v>
      </c>
      <c r="G1037" s="184">
        <v>0</v>
      </c>
      <c r="H1037" s="158"/>
      <c r="I1037" s="154"/>
      <c r="J1037" s="154"/>
      <c r="K1037" s="154"/>
      <c r="L1037" s="154"/>
      <c r="M1037" s="154"/>
      <c r="N1037" s="154"/>
      <c r="O1037" s="154"/>
      <c r="P1037" s="154"/>
      <c r="Q1037" s="154"/>
      <c r="R1037" s="154"/>
      <c r="S1037" s="154"/>
      <c r="T1037" s="154"/>
      <c r="U1037" s="154"/>
      <c r="V1037" s="154"/>
      <c r="W1037" s="154"/>
      <c r="X1037" s="154"/>
      <c r="Y1037" s="154"/>
      <c r="Z1037" s="154"/>
      <c r="AA1037" s="154"/>
    </row>
    <row r="1038" spans="1:27" ht="15">
      <c r="A1038" s="180">
        <v>45889</v>
      </c>
      <c r="B1038" s="181" t="s">
        <v>13048</v>
      </c>
      <c r="C1038" s="182" t="s">
        <v>12896</v>
      </c>
      <c r="D1038" s="182">
        <v>28030</v>
      </c>
      <c r="E1038" s="183">
        <v>33</v>
      </c>
      <c r="F1038" s="183">
        <v>1877</v>
      </c>
      <c r="G1038" s="184">
        <v>6</v>
      </c>
      <c r="H1038" s="158"/>
      <c r="I1038" s="154"/>
      <c r="J1038" s="154"/>
      <c r="K1038" s="154"/>
      <c r="L1038" s="154"/>
      <c r="M1038" s="154"/>
      <c r="N1038" s="154"/>
      <c r="O1038" s="154"/>
      <c r="P1038" s="154"/>
      <c r="Q1038" s="154"/>
      <c r="R1038" s="154"/>
      <c r="S1038" s="154"/>
      <c r="T1038" s="154"/>
      <c r="U1038" s="154"/>
      <c r="V1038" s="154"/>
      <c r="W1038" s="154"/>
      <c r="X1038" s="154"/>
      <c r="Y1038" s="154"/>
      <c r="Z1038" s="154"/>
      <c r="AA1038" s="154"/>
    </row>
    <row r="1039" spans="1:27" ht="15">
      <c r="A1039" s="180">
        <v>45890</v>
      </c>
      <c r="B1039" s="181" t="s">
        <v>13046</v>
      </c>
      <c r="C1039" s="182" t="s">
        <v>12896</v>
      </c>
      <c r="D1039" s="182">
        <v>34642</v>
      </c>
      <c r="E1039" s="183">
        <v>27</v>
      </c>
      <c r="F1039" s="183">
        <v>2058</v>
      </c>
      <c r="G1039" s="184">
        <v>2</v>
      </c>
      <c r="H1039" s="158"/>
      <c r="I1039" s="154"/>
      <c r="J1039" s="154"/>
      <c r="K1039" s="154"/>
      <c r="L1039" s="154"/>
      <c r="M1039" s="154"/>
      <c r="N1039" s="154"/>
      <c r="O1039" s="154"/>
      <c r="P1039" s="154"/>
      <c r="Q1039" s="154"/>
      <c r="R1039" s="154"/>
      <c r="S1039" s="154"/>
      <c r="T1039" s="154"/>
      <c r="U1039" s="154"/>
      <c r="V1039" s="154"/>
      <c r="W1039" s="154"/>
      <c r="X1039" s="154"/>
      <c r="Y1039" s="154"/>
      <c r="Z1039" s="154"/>
      <c r="AA1039" s="154"/>
    </row>
    <row r="1040" spans="1:27" ht="15">
      <c r="A1040" s="180">
        <v>45890</v>
      </c>
      <c r="B1040" s="181" t="s">
        <v>13047</v>
      </c>
      <c r="C1040" s="182" t="s">
        <v>12896</v>
      </c>
      <c r="D1040" s="182">
        <v>23098</v>
      </c>
      <c r="E1040" s="183">
        <v>17</v>
      </c>
      <c r="F1040" s="183">
        <v>1477</v>
      </c>
      <c r="G1040" s="184">
        <v>0</v>
      </c>
      <c r="H1040" s="158"/>
      <c r="I1040" s="154"/>
      <c r="J1040" s="154"/>
      <c r="K1040" s="154"/>
      <c r="L1040" s="154"/>
      <c r="M1040" s="154"/>
      <c r="N1040" s="154"/>
      <c r="O1040" s="154"/>
      <c r="P1040" s="154"/>
      <c r="Q1040" s="154"/>
      <c r="R1040" s="154"/>
      <c r="S1040" s="154"/>
      <c r="T1040" s="154"/>
      <c r="U1040" s="154"/>
      <c r="V1040" s="154"/>
      <c r="W1040" s="154"/>
      <c r="X1040" s="154"/>
      <c r="Y1040" s="154"/>
      <c r="Z1040" s="154"/>
      <c r="AA1040" s="154"/>
    </row>
    <row r="1041" spans="1:27" ht="15">
      <c r="A1041" s="180">
        <v>45890</v>
      </c>
      <c r="B1041" s="181" t="s">
        <v>13048</v>
      </c>
      <c r="C1041" s="182" t="s">
        <v>12896</v>
      </c>
      <c r="D1041" s="182">
        <v>10889</v>
      </c>
      <c r="E1041" s="183">
        <v>8</v>
      </c>
      <c r="F1041" s="183">
        <v>569</v>
      </c>
      <c r="G1041" s="184">
        <v>0</v>
      </c>
      <c r="H1041" s="158"/>
      <c r="I1041" s="154"/>
      <c r="J1041" s="154"/>
      <c r="K1041" s="154"/>
      <c r="L1041" s="154"/>
      <c r="M1041" s="154"/>
      <c r="N1041" s="154"/>
      <c r="O1041" s="154"/>
      <c r="P1041" s="154"/>
      <c r="Q1041" s="154"/>
      <c r="R1041" s="154"/>
      <c r="S1041" s="154"/>
      <c r="T1041" s="154"/>
      <c r="U1041" s="154"/>
      <c r="V1041" s="154"/>
      <c r="W1041" s="154"/>
      <c r="X1041" s="154"/>
      <c r="Y1041" s="154"/>
      <c r="Z1041" s="154"/>
      <c r="AA1041" s="154"/>
    </row>
    <row r="1042" spans="1:27" ht="15">
      <c r="A1042" s="180">
        <v>45891</v>
      </c>
      <c r="B1042" s="181" t="s">
        <v>13046</v>
      </c>
      <c r="C1042" s="182" t="s">
        <v>12896</v>
      </c>
      <c r="D1042" s="182">
        <v>27777</v>
      </c>
      <c r="E1042" s="183">
        <v>26</v>
      </c>
      <c r="F1042" s="183">
        <v>1174</v>
      </c>
      <c r="G1042" s="184">
        <v>2</v>
      </c>
      <c r="H1042" s="158"/>
      <c r="I1042" s="154"/>
      <c r="J1042" s="154"/>
      <c r="K1042" s="154"/>
      <c r="L1042" s="154"/>
      <c r="M1042" s="154"/>
      <c r="N1042" s="154"/>
      <c r="O1042" s="154"/>
      <c r="P1042" s="154"/>
      <c r="Q1042" s="154"/>
      <c r="R1042" s="154"/>
      <c r="S1042" s="154"/>
      <c r="T1042" s="154"/>
      <c r="U1042" s="154"/>
      <c r="V1042" s="154"/>
      <c r="W1042" s="154"/>
      <c r="X1042" s="154"/>
      <c r="Y1042" s="154"/>
      <c r="Z1042" s="154"/>
      <c r="AA1042" s="154"/>
    </row>
    <row r="1043" spans="1:27" ht="15">
      <c r="A1043" s="180">
        <v>45891</v>
      </c>
      <c r="B1043" s="181" t="s">
        <v>13047</v>
      </c>
      <c r="C1043" s="182" t="s">
        <v>12896</v>
      </c>
      <c r="D1043" s="182">
        <v>16219</v>
      </c>
      <c r="E1043" s="183">
        <v>12</v>
      </c>
      <c r="F1043" s="183">
        <v>592</v>
      </c>
      <c r="G1043" s="184">
        <v>1</v>
      </c>
      <c r="H1043" s="158"/>
      <c r="I1043" s="154"/>
      <c r="J1043" s="154"/>
      <c r="K1043" s="154"/>
      <c r="L1043" s="154"/>
      <c r="M1043" s="154"/>
      <c r="N1043" s="154"/>
      <c r="O1043" s="154"/>
      <c r="P1043" s="154"/>
      <c r="Q1043" s="154"/>
      <c r="R1043" s="154"/>
      <c r="S1043" s="154"/>
      <c r="T1043" s="154"/>
      <c r="U1043" s="154"/>
      <c r="V1043" s="154"/>
      <c r="W1043" s="154"/>
      <c r="X1043" s="154"/>
      <c r="Y1043" s="154"/>
      <c r="Z1043" s="154"/>
      <c r="AA1043" s="154"/>
    </row>
    <row r="1044" spans="1:27" ht="15">
      <c r="A1044" s="180">
        <v>45891</v>
      </c>
      <c r="B1044" s="181" t="s">
        <v>13048</v>
      </c>
      <c r="C1044" s="182" t="s">
        <v>12896</v>
      </c>
      <c r="D1044" s="182">
        <v>87974</v>
      </c>
      <c r="E1044" s="183">
        <v>72</v>
      </c>
      <c r="F1044" s="183">
        <v>4392</v>
      </c>
      <c r="G1044" s="184">
        <v>13</v>
      </c>
      <c r="H1044" s="158"/>
      <c r="I1044" s="154"/>
      <c r="J1044" s="154"/>
      <c r="K1044" s="154"/>
      <c r="L1044" s="154"/>
      <c r="M1044" s="154"/>
      <c r="N1044" s="154"/>
      <c r="O1044" s="154"/>
      <c r="P1044" s="154"/>
      <c r="Q1044" s="154"/>
      <c r="R1044" s="154"/>
      <c r="S1044" s="154"/>
      <c r="T1044" s="154"/>
      <c r="U1044" s="154"/>
      <c r="V1044" s="154"/>
      <c r="W1044" s="154"/>
      <c r="X1044" s="154"/>
      <c r="Y1044" s="154"/>
      <c r="Z1044" s="154"/>
      <c r="AA1044" s="154"/>
    </row>
    <row r="1045" spans="1:27" ht="15">
      <c r="A1045" s="180">
        <v>45892</v>
      </c>
      <c r="B1045" s="181" t="s">
        <v>13056</v>
      </c>
      <c r="C1045" s="182" t="s">
        <v>12897</v>
      </c>
      <c r="D1045" s="182">
        <v>23795</v>
      </c>
      <c r="E1045" s="183">
        <v>11</v>
      </c>
      <c r="F1045" s="183">
        <v>828</v>
      </c>
      <c r="G1045" s="184">
        <v>3</v>
      </c>
      <c r="H1045" s="158"/>
      <c r="I1045" s="154"/>
      <c r="J1045" s="154"/>
      <c r="K1045" s="154"/>
      <c r="L1045" s="154"/>
      <c r="M1045" s="154"/>
      <c r="N1045" s="154"/>
      <c r="O1045" s="154"/>
      <c r="P1045" s="154"/>
      <c r="Q1045" s="154"/>
      <c r="R1045" s="154"/>
      <c r="S1045" s="154"/>
      <c r="T1045" s="154"/>
      <c r="U1045" s="154"/>
      <c r="V1045" s="154"/>
      <c r="W1045" s="154"/>
      <c r="X1045" s="154"/>
      <c r="Y1045" s="154"/>
      <c r="Z1045" s="154"/>
      <c r="AA1045" s="154"/>
    </row>
    <row r="1046" spans="1:27" ht="15">
      <c r="A1046" s="180">
        <v>45892</v>
      </c>
      <c r="B1046" s="181" t="s">
        <v>13057</v>
      </c>
      <c r="C1046" s="182" t="s">
        <v>12896</v>
      </c>
      <c r="D1046" s="182">
        <v>26179</v>
      </c>
      <c r="E1046" s="183">
        <v>15</v>
      </c>
      <c r="F1046" s="183">
        <v>650</v>
      </c>
      <c r="G1046" s="184">
        <v>3</v>
      </c>
      <c r="H1046" s="158"/>
      <c r="I1046" s="154"/>
      <c r="J1046" s="154"/>
      <c r="K1046" s="154"/>
      <c r="L1046" s="154"/>
      <c r="M1046" s="154"/>
      <c r="N1046" s="154"/>
      <c r="O1046" s="154"/>
      <c r="P1046" s="154"/>
      <c r="Q1046" s="154"/>
      <c r="R1046" s="154"/>
      <c r="S1046" s="154"/>
      <c r="T1046" s="154"/>
      <c r="U1046" s="154"/>
      <c r="V1046" s="154"/>
      <c r="W1046" s="154"/>
      <c r="X1046" s="154"/>
      <c r="Y1046" s="154"/>
      <c r="Z1046" s="154"/>
      <c r="AA1046" s="154"/>
    </row>
    <row r="1047" spans="1:27" ht="15">
      <c r="A1047" s="180">
        <v>45892</v>
      </c>
      <c r="B1047" s="181" t="s">
        <v>13058</v>
      </c>
      <c r="C1047" s="182" t="s">
        <v>12896</v>
      </c>
      <c r="D1047" s="182">
        <v>13854</v>
      </c>
      <c r="E1047" s="183">
        <v>7</v>
      </c>
      <c r="F1047" s="183">
        <v>339</v>
      </c>
      <c r="G1047" s="184">
        <v>0</v>
      </c>
      <c r="H1047" s="158"/>
      <c r="I1047" s="154"/>
      <c r="J1047" s="154"/>
      <c r="K1047" s="154"/>
      <c r="L1047" s="154"/>
      <c r="M1047" s="154"/>
      <c r="N1047" s="154"/>
      <c r="O1047" s="154"/>
      <c r="P1047" s="154"/>
      <c r="Q1047" s="154"/>
      <c r="R1047" s="154"/>
      <c r="S1047" s="154"/>
      <c r="T1047" s="154"/>
      <c r="U1047" s="154"/>
      <c r="V1047" s="154"/>
      <c r="W1047" s="154"/>
      <c r="X1047" s="154"/>
      <c r="Y1047" s="154"/>
      <c r="Z1047" s="154"/>
      <c r="AA1047" s="154"/>
    </row>
    <row r="1048" spans="1:27" ht="15">
      <c r="A1048" s="180">
        <v>45892</v>
      </c>
      <c r="B1048" s="181" t="s">
        <v>13048</v>
      </c>
      <c r="C1048" s="182" t="s">
        <v>12896</v>
      </c>
      <c r="D1048" s="182">
        <v>125182</v>
      </c>
      <c r="E1048" s="183">
        <v>84</v>
      </c>
      <c r="F1048" s="183">
        <v>6281</v>
      </c>
      <c r="G1048" s="184">
        <v>15</v>
      </c>
      <c r="H1048" s="158"/>
      <c r="I1048" s="154"/>
      <c r="J1048" s="154"/>
      <c r="K1048" s="154"/>
      <c r="L1048" s="154"/>
      <c r="M1048" s="154"/>
      <c r="N1048" s="154"/>
      <c r="O1048" s="154"/>
      <c r="P1048" s="154"/>
      <c r="Q1048" s="154"/>
      <c r="R1048" s="154"/>
      <c r="S1048" s="154"/>
      <c r="T1048" s="154"/>
      <c r="U1048" s="154"/>
      <c r="V1048" s="154"/>
      <c r="W1048" s="154"/>
      <c r="X1048" s="154"/>
      <c r="Y1048" s="154"/>
      <c r="Z1048" s="154"/>
      <c r="AA1048" s="154"/>
    </row>
    <row r="1049" spans="1:27" ht="15">
      <c r="A1049" s="180">
        <v>45894</v>
      </c>
      <c r="B1049" s="181" t="s">
        <v>13059</v>
      </c>
      <c r="C1049" s="182" t="s">
        <v>12897</v>
      </c>
      <c r="D1049" s="182">
        <v>13164</v>
      </c>
      <c r="E1049" s="183">
        <v>14</v>
      </c>
      <c r="F1049" s="183">
        <v>277</v>
      </c>
      <c r="G1049" s="184">
        <v>1</v>
      </c>
      <c r="H1049" s="158"/>
      <c r="I1049" s="154"/>
      <c r="J1049" s="154"/>
      <c r="K1049" s="154"/>
      <c r="L1049" s="154"/>
      <c r="M1049" s="154"/>
      <c r="N1049" s="154"/>
      <c r="O1049" s="154"/>
      <c r="P1049" s="154"/>
      <c r="Q1049" s="154"/>
      <c r="R1049" s="154"/>
      <c r="S1049" s="154"/>
      <c r="T1049" s="154"/>
      <c r="U1049" s="154"/>
      <c r="V1049" s="154"/>
      <c r="W1049" s="154"/>
      <c r="X1049" s="154"/>
      <c r="Y1049" s="154"/>
      <c r="Z1049" s="154"/>
      <c r="AA1049" s="154"/>
    </row>
    <row r="1050" spans="1:27" ht="15">
      <c r="A1050" s="180">
        <v>45894</v>
      </c>
      <c r="B1050" s="181" t="s">
        <v>13059</v>
      </c>
      <c r="C1050" s="182" t="s">
        <v>12897</v>
      </c>
      <c r="D1050" s="182">
        <v>351219</v>
      </c>
      <c r="E1050" s="183">
        <v>305</v>
      </c>
      <c r="F1050" s="183">
        <v>10881</v>
      </c>
      <c r="G1050" s="184">
        <v>74</v>
      </c>
      <c r="H1050" s="158"/>
      <c r="I1050" s="154"/>
      <c r="J1050" s="154"/>
      <c r="K1050" s="154"/>
      <c r="L1050" s="154"/>
      <c r="M1050" s="154"/>
      <c r="N1050" s="154"/>
      <c r="O1050" s="154"/>
      <c r="P1050" s="154"/>
      <c r="Q1050" s="154"/>
      <c r="R1050" s="154"/>
      <c r="S1050" s="154"/>
      <c r="T1050" s="154"/>
      <c r="U1050" s="154"/>
      <c r="V1050" s="154"/>
      <c r="W1050" s="154"/>
      <c r="X1050" s="154"/>
      <c r="Y1050" s="154"/>
      <c r="Z1050" s="154"/>
      <c r="AA1050" s="154"/>
    </row>
    <row r="1051" spans="1:27" ht="15">
      <c r="A1051" s="180">
        <v>45894</v>
      </c>
      <c r="B1051" s="181" t="s">
        <v>13056</v>
      </c>
      <c r="C1051" s="182" t="s">
        <v>12897</v>
      </c>
      <c r="D1051" s="182">
        <v>70375</v>
      </c>
      <c r="E1051" s="183">
        <v>60</v>
      </c>
      <c r="F1051" s="183">
        <v>2474</v>
      </c>
      <c r="G1051" s="184">
        <v>12</v>
      </c>
      <c r="H1051" s="158"/>
      <c r="I1051" s="154"/>
      <c r="J1051" s="154"/>
      <c r="K1051" s="154"/>
      <c r="L1051" s="154"/>
      <c r="M1051" s="154"/>
      <c r="N1051" s="154"/>
      <c r="O1051" s="154"/>
      <c r="P1051" s="154"/>
      <c r="Q1051" s="154"/>
      <c r="R1051" s="154"/>
      <c r="S1051" s="154"/>
      <c r="T1051" s="154"/>
      <c r="U1051" s="154"/>
      <c r="V1051" s="154"/>
      <c r="W1051" s="154"/>
      <c r="X1051" s="154"/>
      <c r="Y1051" s="154"/>
      <c r="Z1051" s="154"/>
      <c r="AA1051" s="154"/>
    </row>
    <row r="1052" spans="1:27" ht="15">
      <c r="A1052" s="180">
        <v>45894</v>
      </c>
      <c r="B1052" s="181" t="s">
        <v>13057</v>
      </c>
      <c r="C1052" s="182" t="s">
        <v>12896</v>
      </c>
      <c r="D1052" s="182">
        <v>20144</v>
      </c>
      <c r="E1052" s="183">
        <v>12</v>
      </c>
      <c r="F1052" s="183">
        <v>613</v>
      </c>
      <c r="G1052" s="184">
        <v>2</v>
      </c>
      <c r="H1052" s="158"/>
      <c r="I1052" s="154"/>
      <c r="J1052" s="154"/>
      <c r="K1052" s="154"/>
      <c r="L1052" s="154"/>
      <c r="M1052" s="154"/>
      <c r="N1052" s="154"/>
      <c r="O1052" s="154"/>
      <c r="P1052" s="154"/>
      <c r="Q1052" s="154"/>
      <c r="R1052" s="154"/>
      <c r="S1052" s="154"/>
      <c r="T1052" s="154"/>
      <c r="U1052" s="154"/>
      <c r="V1052" s="154"/>
      <c r="W1052" s="154"/>
      <c r="X1052" s="154"/>
      <c r="Y1052" s="154"/>
      <c r="Z1052" s="154"/>
      <c r="AA1052" s="154"/>
    </row>
    <row r="1053" spans="1:27" ht="15">
      <c r="A1053" s="180">
        <v>45894</v>
      </c>
      <c r="B1053" s="181" t="s">
        <v>13058</v>
      </c>
      <c r="C1053" s="182" t="s">
        <v>12896</v>
      </c>
      <c r="D1053" s="182">
        <v>904</v>
      </c>
      <c r="E1053" s="183">
        <v>1</v>
      </c>
      <c r="F1053" s="183">
        <v>30</v>
      </c>
      <c r="G1053" s="184">
        <v>0</v>
      </c>
      <c r="H1053" s="158"/>
      <c r="I1053" s="154"/>
      <c r="J1053" s="154"/>
      <c r="K1053" s="154"/>
      <c r="L1053" s="154"/>
      <c r="M1053" s="154"/>
      <c r="N1053" s="154"/>
      <c r="O1053" s="154"/>
      <c r="P1053" s="154"/>
      <c r="Q1053" s="154"/>
      <c r="R1053" s="154"/>
      <c r="S1053" s="154"/>
      <c r="T1053" s="154"/>
      <c r="U1053" s="154"/>
      <c r="V1053" s="154"/>
      <c r="W1053" s="154"/>
      <c r="X1053" s="154"/>
      <c r="Y1053" s="154"/>
      <c r="Z1053" s="154"/>
      <c r="AA1053" s="154"/>
    </row>
    <row r="1054" spans="1:27" ht="15">
      <c r="A1054" s="180">
        <v>45894</v>
      </c>
      <c r="B1054" s="181" t="s">
        <v>13046</v>
      </c>
      <c r="C1054" s="182" t="s">
        <v>12896</v>
      </c>
      <c r="D1054" s="182">
        <v>626</v>
      </c>
      <c r="E1054" s="183">
        <v>0</v>
      </c>
      <c r="F1054" s="183">
        <v>55</v>
      </c>
      <c r="G1054" s="184">
        <v>0</v>
      </c>
      <c r="H1054" s="158"/>
      <c r="I1054" s="154"/>
      <c r="J1054" s="154"/>
      <c r="K1054" s="154"/>
      <c r="L1054" s="154"/>
      <c r="M1054" s="154"/>
      <c r="N1054" s="154"/>
      <c r="O1054" s="154"/>
      <c r="P1054" s="154"/>
      <c r="Q1054" s="154"/>
      <c r="R1054" s="154"/>
      <c r="S1054" s="154"/>
      <c r="T1054" s="154"/>
      <c r="U1054" s="154"/>
      <c r="V1054" s="154"/>
      <c r="W1054" s="154"/>
      <c r="X1054" s="154"/>
      <c r="Y1054" s="154"/>
      <c r="Z1054" s="154"/>
      <c r="AA1054" s="154"/>
    </row>
    <row r="1055" spans="1:27" ht="15">
      <c r="A1055" s="180">
        <v>45894</v>
      </c>
      <c r="B1055" s="181" t="s">
        <v>13047</v>
      </c>
      <c r="C1055" s="182" t="s">
        <v>12896</v>
      </c>
      <c r="D1055" s="182">
        <v>61</v>
      </c>
      <c r="E1055" s="183">
        <v>0</v>
      </c>
      <c r="F1055" s="183">
        <v>10</v>
      </c>
      <c r="G1055" s="184">
        <v>0</v>
      </c>
      <c r="H1055" s="158"/>
      <c r="I1055" s="154"/>
      <c r="J1055" s="154"/>
      <c r="K1055" s="154"/>
      <c r="L1055" s="154"/>
      <c r="M1055" s="154"/>
      <c r="N1055" s="154"/>
      <c r="O1055" s="154"/>
      <c r="P1055" s="154"/>
      <c r="Q1055" s="154"/>
      <c r="R1055" s="154"/>
      <c r="S1055" s="154"/>
      <c r="T1055" s="154"/>
      <c r="U1055" s="154"/>
      <c r="V1055" s="154"/>
      <c r="W1055" s="154"/>
      <c r="X1055" s="154"/>
      <c r="Y1055" s="154"/>
      <c r="Z1055" s="154"/>
      <c r="AA1055" s="154"/>
    </row>
    <row r="1056" spans="1:27" ht="15">
      <c r="A1056" s="180">
        <v>45894</v>
      </c>
      <c r="B1056" s="181" t="s">
        <v>13048</v>
      </c>
      <c r="C1056" s="182" t="s">
        <v>12896</v>
      </c>
      <c r="D1056" s="182">
        <v>32797</v>
      </c>
      <c r="E1056" s="183">
        <v>21</v>
      </c>
      <c r="F1056" s="183">
        <v>1209</v>
      </c>
      <c r="G1056" s="184">
        <v>3</v>
      </c>
      <c r="H1056" s="158"/>
      <c r="I1056" s="154"/>
      <c r="J1056" s="154"/>
      <c r="K1056" s="154"/>
      <c r="L1056" s="154"/>
      <c r="M1056" s="154"/>
      <c r="N1056" s="154"/>
      <c r="O1056" s="154"/>
      <c r="P1056" s="154"/>
      <c r="Q1056" s="154"/>
      <c r="R1056" s="154"/>
      <c r="S1056" s="154"/>
      <c r="T1056" s="154"/>
      <c r="U1056" s="154"/>
      <c r="V1056" s="154"/>
      <c r="W1056" s="154"/>
      <c r="X1056" s="154"/>
      <c r="Y1056" s="154"/>
      <c r="Z1056" s="154"/>
      <c r="AA1056" s="154"/>
    </row>
    <row r="1057" spans="1:27" ht="15">
      <c r="A1057" s="180">
        <v>45895</v>
      </c>
      <c r="B1057" s="181" t="s">
        <v>13059</v>
      </c>
      <c r="C1057" s="182" t="s">
        <v>12897</v>
      </c>
      <c r="D1057" s="182">
        <v>95166</v>
      </c>
      <c r="E1057" s="183">
        <v>99</v>
      </c>
      <c r="F1057" s="183">
        <v>5884</v>
      </c>
      <c r="G1057" s="184">
        <v>11</v>
      </c>
      <c r="H1057" s="158"/>
      <c r="I1057" s="154"/>
      <c r="J1057" s="154"/>
      <c r="K1057" s="154"/>
      <c r="L1057" s="154"/>
      <c r="M1057" s="154"/>
      <c r="N1057" s="154"/>
      <c r="O1057" s="154"/>
      <c r="P1057" s="154"/>
      <c r="Q1057" s="154"/>
      <c r="R1057" s="154"/>
      <c r="S1057" s="154"/>
      <c r="T1057" s="154"/>
      <c r="U1057" s="154"/>
      <c r="V1057" s="154"/>
      <c r="W1057" s="154"/>
      <c r="X1057" s="154"/>
      <c r="Y1057" s="154"/>
      <c r="Z1057" s="154"/>
      <c r="AA1057" s="154"/>
    </row>
    <row r="1058" spans="1:27" ht="15">
      <c r="A1058" s="180">
        <v>45895</v>
      </c>
      <c r="B1058" s="181" t="s">
        <v>13059</v>
      </c>
      <c r="C1058" s="182" t="s">
        <v>12897</v>
      </c>
      <c r="D1058" s="182">
        <v>226011</v>
      </c>
      <c r="E1058" s="183">
        <v>298</v>
      </c>
      <c r="F1058" s="183">
        <v>12563</v>
      </c>
      <c r="G1058" s="184">
        <v>56</v>
      </c>
      <c r="H1058" s="158"/>
      <c r="I1058" s="154"/>
      <c r="J1058" s="154"/>
      <c r="K1058" s="154"/>
      <c r="L1058" s="154"/>
      <c r="M1058" s="154"/>
      <c r="N1058" s="154"/>
      <c r="O1058" s="154"/>
      <c r="P1058" s="154"/>
      <c r="Q1058" s="154"/>
      <c r="R1058" s="154"/>
      <c r="S1058" s="154"/>
      <c r="T1058" s="154"/>
      <c r="U1058" s="154"/>
      <c r="V1058" s="154"/>
      <c r="W1058" s="154"/>
      <c r="X1058" s="154"/>
      <c r="Y1058" s="154"/>
      <c r="Z1058" s="154"/>
      <c r="AA1058" s="154"/>
    </row>
    <row r="1059" spans="1:27" ht="15">
      <c r="A1059" s="180">
        <v>45895</v>
      </c>
      <c r="B1059" s="181" t="s">
        <v>13056</v>
      </c>
      <c r="C1059" s="182" t="s">
        <v>12897</v>
      </c>
      <c r="D1059" s="182">
        <v>25752</v>
      </c>
      <c r="E1059" s="183">
        <v>18</v>
      </c>
      <c r="F1059" s="183">
        <v>829</v>
      </c>
      <c r="G1059" s="184">
        <v>2</v>
      </c>
      <c r="H1059" s="158"/>
      <c r="I1059" s="154"/>
      <c r="J1059" s="154"/>
      <c r="K1059" s="154"/>
      <c r="L1059" s="154"/>
      <c r="M1059" s="154"/>
      <c r="N1059" s="154"/>
      <c r="O1059" s="154"/>
      <c r="P1059" s="154"/>
      <c r="Q1059" s="154"/>
      <c r="R1059" s="154"/>
      <c r="S1059" s="154"/>
      <c r="T1059" s="154"/>
      <c r="U1059" s="154"/>
      <c r="V1059" s="154"/>
      <c r="W1059" s="154"/>
      <c r="X1059" s="154"/>
      <c r="Y1059" s="154"/>
      <c r="Z1059" s="154"/>
      <c r="AA1059" s="154"/>
    </row>
    <row r="1060" spans="1:27" ht="15">
      <c r="A1060" s="180">
        <v>45895</v>
      </c>
      <c r="B1060" s="181" t="s">
        <v>13057</v>
      </c>
      <c r="C1060" s="182" t="s">
        <v>12896</v>
      </c>
      <c r="D1060" s="182">
        <v>21784</v>
      </c>
      <c r="E1060" s="183">
        <v>10</v>
      </c>
      <c r="F1060" s="183">
        <v>742</v>
      </c>
      <c r="G1060" s="184">
        <v>0</v>
      </c>
      <c r="H1060" s="158"/>
      <c r="I1060" s="154"/>
      <c r="J1060" s="154"/>
      <c r="K1060" s="154"/>
      <c r="L1060" s="154"/>
      <c r="M1060" s="154"/>
      <c r="N1060" s="154"/>
      <c r="O1060" s="154"/>
      <c r="P1060" s="154"/>
      <c r="Q1060" s="154"/>
      <c r="R1060" s="154"/>
      <c r="S1060" s="154"/>
      <c r="T1060" s="154"/>
      <c r="U1060" s="154"/>
      <c r="V1060" s="154"/>
      <c r="W1060" s="154"/>
      <c r="X1060" s="154"/>
      <c r="Y1060" s="154"/>
      <c r="Z1060" s="154"/>
      <c r="AA1060" s="154"/>
    </row>
    <row r="1061" spans="1:27" ht="15">
      <c r="A1061" s="180">
        <v>45895</v>
      </c>
      <c r="B1061" s="181" t="s">
        <v>13058</v>
      </c>
      <c r="C1061" s="182" t="s">
        <v>12896</v>
      </c>
      <c r="D1061" s="182">
        <v>15451</v>
      </c>
      <c r="E1061" s="183">
        <v>16</v>
      </c>
      <c r="F1061" s="183">
        <v>1100</v>
      </c>
      <c r="G1061" s="184">
        <v>0</v>
      </c>
      <c r="H1061" s="158"/>
      <c r="I1061" s="154"/>
      <c r="J1061" s="154"/>
      <c r="K1061" s="154"/>
      <c r="L1061" s="154"/>
      <c r="M1061" s="154"/>
      <c r="N1061" s="154"/>
      <c r="O1061" s="154"/>
      <c r="P1061" s="154"/>
      <c r="Q1061" s="154"/>
      <c r="R1061" s="154"/>
      <c r="S1061" s="154"/>
      <c r="T1061" s="154"/>
      <c r="U1061" s="154"/>
      <c r="V1061" s="154"/>
      <c r="W1061" s="154"/>
      <c r="X1061" s="154"/>
      <c r="Y1061" s="154"/>
      <c r="Z1061" s="154"/>
      <c r="AA1061" s="154"/>
    </row>
    <row r="1062" spans="1:27" ht="15">
      <c r="A1062" s="180">
        <v>45895</v>
      </c>
      <c r="B1062" s="181" t="s">
        <v>13046</v>
      </c>
      <c r="C1062" s="182" t="s">
        <v>12896</v>
      </c>
      <c r="D1062" s="182">
        <v>16867</v>
      </c>
      <c r="E1062" s="183">
        <v>11</v>
      </c>
      <c r="F1062" s="183">
        <v>1379</v>
      </c>
      <c r="G1062" s="184">
        <v>0</v>
      </c>
      <c r="H1062" s="158"/>
      <c r="I1062" s="154"/>
      <c r="J1062" s="154"/>
      <c r="K1062" s="154"/>
      <c r="L1062" s="154"/>
      <c r="M1062" s="154"/>
      <c r="N1062" s="154"/>
      <c r="O1062" s="154"/>
      <c r="P1062" s="154"/>
      <c r="Q1062" s="154"/>
      <c r="R1062" s="154"/>
      <c r="S1062" s="154"/>
      <c r="T1062" s="154"/>
      <c r="U1062" s="154"/>
      <c r="V1062" s="154"/>
      <c r="W1062" s="154"/>
      <c r="X1062" s="154"/>
      <c r="Y1062" s="154"/>
      <c r="Z1062" s="154"/>
      <c r="AA1062" s="154"/>
    </row>
    <row r="1063" spans="1:27" ht="15">
      <c r="A1063" s="180">
        <v>45895</v>
      </c>
      <c r="B1063" s="181" t="s">
        <v>13047</v>
      </c>
      <c r="C1063" s="182" t="s">
        <v>12896</v>
      </c>
      <c r="D1063" s="182">
        <v>4</v>
      </c>
      <c r="E1063" s="183">
        <v>0</v>
      </c>
      <c r="F1063" s="183">
        <v>1</v>
      </c>
      <c r="G1063" s="184">
        <v>0</v>
      </c>
      <c r="H1063" s="158"/>
      <c r="I1063" s="154"/>
      <c r="J1063" s="154"/>
      <c r="K1063" s="154"/>
      <c r="L1063" s="154"/>
      <c r="M1063" s="154"/>
      <c r="N1063" s="154"/>
      <c r="O1063" s="154"/>
      <c r="P1063" s="154"/>
      <c r="Q1063" s="154"/>
      <c r="R1063" s="154"/>
      <c r="S1063" s="154"/>
      <c r="T1063" s="154"/>
      <c r="U1063" s="154"/>
      <c r="V1063" s="154"/>
      <c r="W1063" s="154"/>
      <c r="X1063" s="154"/>
      <c r="Y1063" s="154"/>
      <c r="Z1063" s="154"/>
      <c r="AA1063" s="154"/>
    </row>
    <row r="1064" spans="1:27" ht="15">
      <c r="A1064" s="180">
        <v>45895</v>
      </c>
      <c r="B1064" s="181" t="s">
        <v>13048</v>
      </c>
      <c r="C1064" s="182" t="s">
        <v>12896</v>
      </c>
      <c r="D1064" s="182">
        <v>18402</v>
      </c>
      <c r="E1064" s="183">
        <v>16</v>
      </c>
      <c r="F1064" s="183">
        <v>705</v>
      </c>
      <c r="G1064" s="184">
        <v>2</v>
      </c>
      <c r="H1064" s="158"/>
      <c r="I1064" s="154"/>
      <c r="J1064" s="154"/>
      <c r="K1064" s="154"/>
      <c r="L1064" s="154"/>
      <c r="M1064" s="154"/>
      <c r="N1064" s="154"/>
      <c r="O1064" s="154"/>
      <c r="P1064" s="154"/>
      <c r="Q1064" s="154"/>
      <c r="R1064" s="154"/>
      <c r="S1064" s="154"/>
      <c r="T1064" s="154"/>
      <c r="U1064" s="154"/>
      <c r="V1064" s="154"/>
      <c r="W1064" s="154"/>
      <c r="X1064" s="154"/>
      <c r="Y1064" s="154"/>
      <c r="Z1064" s="154"/>
      <c r="AA1064" s="154"/>
    </row>
    <row r="1065" spans="1:27" ht="15">
      <c r="A1065" s="180">
        <v>45895</v>
      </c>
      <c r="B1065" s="181" t="s">
        <v>13053</v>
      </c>
      <c r="C1065" s="182" t="s">
        <v>1229</v>
      </c>
      <c r="D1065" s="182">
        <v>54609</v>
      </c>
      <c r="E1065" s="183">
        <v>64</v>
      </c>
      <c r="F1065" s="183">
        <v>3962</v>
      </c>
      <c r="G1065" s="184">
        <v>5</v>
      </c>
      <c r="H1065" s="158"/>
      <c r="I1065" s="154"/>
      <c r="J1065" s="154"/>
      <c r="K1065" s="154"/>
      <c r="L1065" s="154"/>
      <c r="M1065" s="154"/>
      <c r="N1065" s="154"/>
      <c r="O1065" s="154"/>
      <c r="P1065" s="154"/>
      <c r="Q1065" s="154"/>
      <c r="R1065" s="154"/>
      <c r="S1065" s="154"/>
      <c r="T1065" s="154"/>
      <c r="U1065" s="154"/>
      <c r="V1065" s="154"/>
      <c r="W1065" s="154"/>
      <c r="X1065" s="154"/>
      <c r="Y1065" s="154"/>
      <c r="Z1065" s="154"/>
      <c r="AA1065" s="154"/>
    </row>
    <row r="1066" spans="1:27" ht="15">
      <c r="A1066" s="180">
        <v>45895</v>
      </c>
      <c r="B1066" s="181" t="s">
        <v>13055</v>
      </c>
      <c r="C1066" s="182" t="s">
        <v>61</v>
      </c>
      <c r="D1066" s="182">
        <v>12995</v>
      </c>
      <c r="E1066" s="183">
        <v>22</v>
      </c>
      <c r="F1066" s="183">
        <v>1350</v>
      </c>
      <c r="G1066" s="184">
        <v>2</v>
      </c>
      <c r="H1066" s="158"/>
      <c r="I1066" s="154"/>
      <c r="J1066" s="154"/>
      <c r="K1066" s="154"/>
      <c r="L1066" s="154"/>
      <c r="M1066" s="154"/>
      <c r="N1066" s="154"/>
      <c r="O1066" s="154"/>
      <c r="P1066" s="154"/>
      <c r="Q1066" s="154"/>
      <c r="R1066" s="154"/>
      <c r="S1066" s="154"/>
      <c r="T1066" s="154"/>
      <c r="U1066" s="154"/>
      <c r="V1066" s="154"/>
      <c r="W1066" s="154"/>
      <c r="X1066" s="154"/>
      <c r="Y1066" s="154"/>
      <c r="Z1066" s="154"/>
      <c r="AA1066" s="154"/>
    </row>
    <row r="1067" spans="1:27" ht="15">
      <c r="A1067" s="180">
        <v>45896</v>
      </c>
      <c r="B1067" s="181" t="s">
        <v>13060</v>
      </c>
      <c r="C1067" s="182" t="s">
        <v>1774</v>
      </c>
      <c r="D1067" s="182">
        <v>61776</v>
      </c>
      <c r="E1067" s="183">
        <v>73</v>
      </c>
      <c r="F1067" s="183">
        <v>4223</v>
      </c>
      <c r="G1067" s="184">
        <v>13</v>
      </c>
      <c r="H1067" s="158"/>
      <c r="I1067" s="154"/>
      <c r="J1067" s="154"/>
      <c r="K1067" s="154"/>
      <c r="L1067" s="154"/>
      <c r="M1067" s="154"/>
      <c r="N1067" s="154"/>
      <c r="O1067" s="154"/>
      <c r="P1067" s="154"/>
      <c r="Q1067" s="154"/>
      <c r="R1067" s="154"/>
      <c r="S1067" s="154"/>
      <c r="T1067" s="154"/>
      <c r="U1067" s="154"/>
      <c r="V1067" s="154"/>
      <c r="W1067" s="154"/>
      <c r="X1067" s="154"/>
      <c r="Y1067" s="154"/>
      <c r="Z1067" s="154"/>
      <c r="AA1067" s="154"/>
    </row>
    <row r="1068" spans="1:27" ht="15">
      <c r="A1068" s="180">
        <v>45896</v>
      </c>
      <c r="B1068" s="181" t="s">
        <v>13061</v>
      </c>
      <c r="C1068" s="182" t="s">
        <v>12896</v>
      </c>
      <c r="D1068" s="182">
        <v>74278</v>
      </c>
      <c r="E1068" s="183">
        <v>64</v>
      </c>
      <c r="F1068" s="183">
        <v>4015</v>
      </c>
      <c r="G1068" s="184">
        <v>8</v>
      </c>
      <c r="H1068" s="158"/>
      <c r="I1068" s="154"/>
      <c r="J1068" s="154"/>
      <c r="K1068" s="154"/>
      <c r="L1068" s="154"/>
      <c r="M1068" s="154"/>
      <c r="N1068" s="154"/>
      <c r="O1068" s="154"/>
      <c r="P1068" s="154"/>
      <c r="Q1068" s="154"/>
      <c r="R1068" s="154"/>
      <c r="S1068" s="154"/>
      <c r="T1068" s="154"/>
      <c r="U1068" s="154"/>
      <c r="V1068" s="154"/>
      <c r="W1068" s="154"/>
      <c r="X1068" s="154"/>
      <c r="Y1068" s="154"/>
      <c r="Z1068" s="154"/>
      <c r="AA1068" s="154"/>
    </row>
    <row r="1069" spans="1:27" ht="15">
      <c r="A1069" s="180">
        <v>45896</v>
      </c>
      <c r="B1069" s="181" t="s">
        <v>13062</v>
      </c>
      <c r="C1069" s="182" t="s">
        <v>12896</v>
      </c>
      <c r="D1069" s="182">
        <v>9363</v>
      </c>
      <c r="E1069" s="183">
        <v>8</v>
      </c>
      <c r="F1069" s="183">
        <v>468</v>
      </c>
      <c r="G1069" s="184">
        <v>1</v>
      </c>
      <c r="H1069" s="158"/>
      <c r="I1069" s="154"/>
      <c r="J1069" s="154"/>
      <c r="K1069" s="154"/>
      <c r="L1069" s="154"/>
      <c r="M1069" s="154"/>
      <c r="N1069" s="154"/>
      <c r="O1069" s="154"/>
      <c r="P1069" s="154"/>
      <c r="Q1069" s="154"/>
      <c r="R1069" s="154"/>
      <c r="S1069" s="154"/>
      <c r="T1069" s="154"/>
      <c r="U1069" s="154"/>
      <c r="V1069" s="154"/>
      <c r="W1069" s="154"/>
      <c r="X1069" s="154"/>
      <c r="Y1069" s="154"/>
      <c r="Z1069" s="154"/>
      <c r="AA1069" s="154"/>
    </row>
    <row r="1070" spans="1:27" ht="15">
      <c r="A1070" s="180">
        <v>45896</v>
      </c>
      <c r="B1070" s="181" t="s">
        <v>13048</v>
      </c>
      <c r="C1070" s="182" t="s">
        <v>12896</v>
      </c>
      <c r="D1070" s="182">
        <v>7925</v>
      </c>
      <c r="E1070" s="183">
        <v>6</v>
      </c>
      <c r="F1070" s="183">
        <v>354</v>
      </c>
      <c r="G1070" s="184">
        <v>0</v>
      </c>
      <c r="H1070" s="158"/>
      <c r="I1070" s="154"/>
      <c r="J1070" s="154"/>
      <c r="K1070" s="154"/>
      <c r="L1070" s="154"/>
      <c r="M1070" s="154"/>
      <c r="N1070" s="154"/>
      <c r="O1070" s="154"/>
      <c r="P1070" s="154"/>
      <c r="Q1070" s="154"/>
      <c r="R1070" s="154"/>
      <c r="S1070" s="154"/>
      <c r="T1070" s="154"/>
      <c r="U1070" s="154"/>
      <c r="V1070" s="154"/>
      <c r="W1070" s="154"/>
      <c r="X1070" s="154"/>
      <c r="Y1070" s="154"/>
      <c r="Z1070" s="154"/>
      <c r="AA1070" s="154"/>
    </row>
    <row r="1071" spans="1:27" ht="15">
      <c r="A1071" s="180">
        <v>45896</v>
      </c>
      <c r="B1071" s="181" t="s">
        <v>13015</v>
      </c>
      <c r="C1071" s="182" t="s">
        <v>1229</v>
      </c>
      <c r="D1071" s="182">
        <v>43832</v>
      </c>
      <c r="E1071" s="183">
        <v>34</v>
      </c>
      <c r="F1071" s="183">
        <v>1550</v>
      </c>
      <c r="G1071" s="184">
        <v>3</v>
      </c>
      <c r="H1071" s="158"/>
      <c r="I1071" s="154"/>
      <c r="J1071" s="154"/>
      <c r="K1071" s="154"/>
      <c r="L1071" s="154"/>
      <c r="M1071" s="154"/>
      <c r="N1071" s="154"/>
      <c r="O1071" s="154"/>
      <c r="P1071" s="154"/>
      <c r="Q1071" s="154"/>
      <c r="R1071" s="154"/>
      <c r="S1071" s="154"/>
      <c r="T1071" s="154"/>
      <c r="U1071" s="154"/>
      <c r="V1071" s="154"/>
      <c r="W1071" s="154"/>
      <c r="X1071" s="154"/>
      <c r="Y1071" s="154"/>
      <c r="Z1071" s="154"/>
      <c r="AA1071" s="154"/>
    </row>
    <row r="1072" spans="1:27" ht="15">
      <c r="A1072" s="180">
        <v>45896</v>
      </c>
      <c r="B1072" s="181" t="s">
        <v>13017</v>
      </c>
      <c r="C1072" s="182" t="s">
        <v>1229</v>
      </c>
      <c r="D1072" s="182">
        <v>10238</v>
      </c>
      <c r="E1072" s="183">
        <v>1</v>
      </c>
      <c r="F1072" s="183">
        <v>237</v>
      </c>
      <c r="G1072" s="184">
        <v>0</v>
      </c>
      <c r="H1072" s="158"/>
      <c r="I1072" s="154"/>
      <c r="J1072" s="154"/>
      <c r="K1072" s="154"/>
      <c r="L1072" s="154"/>
      <c r="M1072" s="154"/>
      <c r="N1072" s="154"/>
      <c r="O1072" s="154"/>
      <c r="P1072" s="154"/>
      <c r="Q1072" s="154"/>
      <c r="R1072" s="154"/>
      <c r="S1072" s="154"/>
      <c r="T1072" s="154"/>
      <c r="U1072" s="154"/>
      <c r="V1072" s="154"/>
      <c r="W1072" s="154"/>
      <c r="X1072" s="154"/>
      <c r="Y1072" s="154"/>
      <c r="Z1072" s="154"/>
      <c r="AA1072" s="154"/>
    </row>
    <row r="1073" spans="1:27" ht="15">
      <c r="A1073" s="180">
        <v>45896</v>
      </c>
      <c r="B1073" s="181" t="s">
        <v>13018</v>
      </c>
      <c r="C1073" s="182" t="s">
        <v>1229</v>
      </c>
      <c r="D1073" s="182">
        <v>50317</v>
      </c>
      <c r="E1073" s="183">
        <v>59</v>
      </c>
      <c r="F1073" s="183">
        <v>2498</v>
      </c>
      <c r="G1073" s="184">
        <v>9</v>
      </c>
      <c r="H1073" s="158"/>
      <c r="I1073" s="154"/>
      <c r="J1073" s="154"/>
      <c r="K1073" s="154"/>
      <c r="L1073" s="154"/>
      <c r="M1073" s="154"/>
      <c r="N1073" s="154"/>
      <c r="O1073" s="154"/>
      <c r="P1073" s="154"/>
      <c r="Q1073" s="154"/>
      <c r="R1073" s="154"/>
      <c r="S1073" s="154"/>
      <c r="T1073" s="154"/>
      <c r="U1073" s="154"/>
      <c r="V1073" s="154"/>
      <c r="W1073" s="154"/>
      <c r="X1073" s="154"/>
      <c r="Y1073" s="154"/>
      <c r="Z1073" s="154"/>
      <c r="AA1073" s="154"/>
    </row>
    <row r="1074" spans="1:27" ht="15">
      <c r="A1074" s="180">
        <v>45896</v>
      </c>
      <c r="B1074" s="181" t="s">
        <v>13021</v>
      </c>
      <c r="C1074" s="182" t="s">
        <v>1774</v>
      </c>
      <c r="D1074" s="182">
        <v>15080</v>
      </c>
      <c r="E1074" s="183">
        <v>9</v>
      </c>
      <c r="F1074" s="183">
        <v>525</v>
      </c>
      <c r="G1074" s="184">
        <v>1</v>
      </c>
      <c r="H1074" s="158"/>
      <c r="I1074" s="154"/>
      <c r="J1074" s="154"/>
      <c r="K1074" s="154"/>
      <c r="L1074" s="154"/>
      <c r="M1074" s="154"/>
      <c r="N1074" s="154"/>
      <c r="O1074" s="154"/>
      <c r="P1074" s="154"/>
      <c r="Q1074" s="154"/>
      <c r="R1074" s="154"/>
      <c r="S1074" s="154"/>
      <c r="T1074" s="154"/>
      <c r="U1074" s="154"/>
      <c r="V1074" s="154"/>
      <c r="W1074" s="154"/>
      <c r="X1074" s="154"/>
      <c r="Y1074" s="154"/>
      <c r="Z1074" s="154"/>
      <c r="AA1074" s="154"/>
    </row>
    <row r="1075" spans="1:27" ht="15">
      <c r="A1075" s="180">
        <v>45896</v>
      </c>
      <c r="B1075" s="181" t="s">
        <v>13022</v>
      </c>
      <c r="C1075" s="182" t="s">
        <v>1774</v>
      </c>
      <c r="D1075" s="182">
        <v>11445</v>
      </c>
      <c r="E1075" s="183">
        <v>7</v>
      </c>
      <c r="F1075" s="183">
        <v>225</v>
      </c>
      <c r="G1075" s="184">
        <v>2</v>
      </c>
      <c r="H1075" s="158"/>
      <c r="I1075" s="154"/>
      <c r="J1075" s="154"/>
      <c r="K1075" s="154"/>
      <c r="L1075" s="154"/>
      <c r="M1075" s="154"/>
      <c r="N1075" s="154"/>
      <c r="O1075" s="154"/>
      <c r="P1075" s="154"/>
      <c r="Q1075" s="154"/>
      <c r="R1075" s="154"/>
      <c r="S1075" s="154"/>
      <c r="T1075" s="154"/>
      <c r="U1075" s="154"/>
      <c r="V1075" s="154"/>
      <c r="W1075" s="154"/>
      <c r="X1075" s="154"/>
      <c r="Y1075" s="154"/>
      <c r="Z1075" s="154"/>
      <c r="AA1075" s="154"/>
    </row>
    <row r="1076" spans="1:27" ht="15">
      <c r="A1076" s="180">
        <v>45897</v>
      </c>
      <c r="B1076" s="181" t="s">
        <v>13060</v>
      </c>
      <c r="C1076" s="182" t="s">
        <v>1774</v>
      </c>
      <c r="D1076" s="182">
        <v>139845</v>
      </c>
      <c r="E1076" s="183">
        <v>144</v>
      </c>
      <c r="F1076" s="183">
        <v>11699</v>
      </c>
      <c r="G1076" s="184">
        <v>16</v>
      </c>
      <c r="H1076" s="158"/>
      <c r="I1076" s="154"/>
      <c r="J1076" s="154"/>
      <c r="K1076" s="154"/>
      <c r="L1076" s="154"/>
      <c r="M1076" s="154"/>
      <c r="N1076" s="154"/>
      <c r="O1076" s="154"/>
      <c r="P1076" s="154"/>
      <c r="Q1076" s="154"/>
      <c r="R1076" s="154"/>
      <c r="S1076" s="154"/>
      <c r="T1076" s="154"/>
      <c r="U1076" s="154"/>
      <c r="V1076" s="154"/>
      <c r="W1076" s="154"/>
      <c r="X1076" s="154"/>
      <c r="Y1076" s="154"/>
      <c r="Z1076" s="154"/>
      <c r="AA1076" s="154"/>
    </row>
    <row r="1077" spans="1:27" ht="15">
      <c r="A1077" s="180">
        <v>45897</v>
      </c>
      <c r="B1077" s="181" t="s">
        <v>13059</v>
      </c>
      <c r="C1077" s="182" t="s">
        <v>12897</v>
      </c>
      <c r="D1077" s="182">
        <v>7824</v>
      </c>
      <c r="E1077" s="183">
        <v>13</v>
      </c>
      <c r="F1077" s="183">
        <v>547</v>
      </c>
      <c r="G1077" s="184">
        <v>0</v>
      </c>
      <c r="H1077" s="158"/>
      <c r="I1077" s="154"/>
      <c r="J1077" s="154"/>
      <c r="K1077" s="154"/>
      <c r="L1077" s="154"/>
      <c r="M1077" s="154"/>
      <c r="N1077" s="154"/>
      <c r="O1077" s="154"/>
      <c r="P1077" s="154"/>
      <c r="Q1077" s="154"/>
      <c r="R1077" s="154"/>
      <c r="S1077" s="154"/>
      <c r="T1077" s="154"/>
      <c r="U1077" s="154"/>
      <c r="V1077" s="154"/>
      <c r="W1077" s="154"/>
      <c r="X1077" s="154"/>
      <c r="Y1077" s="154"/>
      <c r="Z1077" s="154"/>
      <c r="AA1077" s="154"/>
    </row>
    <row r="1078" spans="1:27" ht="15">
      <c r="A1078" s="180">
        <v>45897</v>
      </c>
      <c r="B1078" s="181" t="s">
        <v>13059</v>
      </c>
      <c r="C1078" s="182" t="s">
        <v>12897</v>
      </c>
      <c r="D1078" s="182">
        <v>6800</v>
      </c>
      <c r="E1078" s="183">
        <v>9</v>
      </c>
      <c r="F1078" s="183">
        <v>406</v>
      </c>
      <c r="G1078" s="184">
        <v>5</v>
      </c>
      <c r="H1078" s="158"/>
      <c r="I1078" s="154"/>
      <c r="J1078" s="154"/>
      <c r="K1078" s="154"/>
      <c r="L1078" s="154"/>
      <c r="M1078" s="154"/>
      <c r="N1078" s="154"/>
      <c r="O1078" s="154"/>
      <c r="P1078" s="154"/>
      <c r="Q1078" s="154"/>
      <c r="R1078" s="154"/>
      <c r="S1078" s="154"/>
      <c r="T1078" s="154"/>
      <c r="U1078" s="154"/>
      <c r="V1078" s="154"/>
      <c r="W1078" s="154"/>
      <c r="X1078" s="154"/>
      <c r="Y1078" s="154"/>
      <c r="Z1078" s="154"/>
      <c r="AA1078" s="154"/>
    </row>
    <row r="1079" spans="1:27" ht="15">
      <c r="A1079" s="180">
        <v>45897</v>
      </c>
      <c r="B1079" s="181" t="s">
        <v>13056</v>
      </c>
      <c r="C1079" s="182" t="s">
        <v>12897</v>
      </c>
      <c r="D1079" s="182">
        <v>9475</v>
      </c>
      <c r="E1079" s="183">
        <v>5</v>
      </c>
      <c r="F1079" s="183">
        <v>361</v>
      </c>
      <c r="G1079" s="184">
        <v>0</v>
      </c>
      <c r="H1079" s="158"/>
      <c r="I1079" s="154"/>
      <c r="J1079" s="154"/>
      <c r="K1079" s="154"/>
      <c r="L1079" s="154"/>
      <c r="M1079" s="154"/>
      <c r="N1079" s="154"/>
      <c r="O1079" s="154"/>
      <c r="P1079" s="154"/>
      <c r="Q1079" s="154"/>
      <c r="R1079" s="154"/>
      <c r="S1079" s="154"/>
      <c r="T1079" s="154"/>
      <c r="U1079" s="154"/>
      <c r="V1079" s="154"/>
      <c r="W1079" s="154"/>
      <c r="X1079" s="154"/>
      <c r="Y1079" s="154"/>
      <c r="Z1079" s="154"/>
      <c r="AA1079" s="154"/>
    </row>
    <row r="1080" spans="1:27" ht="15">
      <c r="A1080" s="180">
        <v>45897</v>
      </c>
      <c r="B1080" s="181" t="s">
        <v>13061</v>
      </c>
      <c r="C1080" s="182" t="s">
        <v>12896</v>
      </c>
      <c r="D1080" s="182">
        <v>58971</v>
      </c>
      <c r="E1080" s="183">
        <v>39</v>
      </c>
      <c r="F1080" s="183">
        <v>2776</v>
      </c>
      <c r="G1080" s="184">
        <v>8</v>
      </c>
      <c r="H1080" s="158"/>
      <c r="I1080" s="154"/>
      <c r="J1080" s="154"/>
      <c r="K1080" s="154"/>
      <c r="L1080" s="154"/>
      <c r="M1080" s="154"/>
      <c r="N1080" s="154"/>
      <c r="O1080" s="154"/>
      <c r="P1080" s="154"/>
      <c r="Q1080" s="154"/>
      <c r="R1080" s="154"/>
      <c r="S1080" s="154"/>
      <c r="T1080" s="154"/>
      <c r="U1080" s="154"/>
      <c r="V1080" s="154"/>
      <c r="W1080" s="154"/>
      <c r="X1080" s="154"/>
      <c r="Y1080" s="154"/>
      <c r="Z1080" s="154"/>
      <c r="AA1080" s="154"/>
    </row>
    <row r="1081" spans="1:27" ht="15">
      <c r="A1081" s="180">
        <v>45897</v>
      </c>
      <c r="B1081" s="181" t="s">
        <v>13048</v>
      </c>
      <c r="C1081" s="182" t="s">
        <v>12896</v>
      </c>
      <c r="D1081" s="182">
        <v>103515</v>
      </c>
      <c r="E1081" s="183">
        <v>89</v>
      </c>
      <c r="F1081" s="183">
        <v>6872</v>
      </c>
      <c r="G1081" s="184">
        <v>14</v>
      </c>
      <c r="H1081" s="158"/>
      <c r="I1081" s="154"/>
      <c r="J1081" s="154"/>
      <c r="K1081" s="154"/>
      <c r="L1081" s="154"/>
      <c r="M1081" s="154"/>
      <c r="N1081" s="154"/>
      <c r="O1081" s="154"/>
      <c r="P1081" s="154"/>
      <c r="Q1081" s="154"/>
      <c r="R1081" s="154"/>
      <c r="S1081" s="154"/>
      <c r="T1081" s="154"/>
      <c r="U1081" s="154"/>
      <c r="V1081" s="154"/>
      <c r="W1081" s="154"/>
      <c r="X1081" s="154"/>
      <c r="Y1081" s="154"/>
      <c r="Z1081" s="154"/>
      <c r="AA1081" s="154"/>
    </row>
    <row r="1082" spans="1:27" ht="15">
      <c r="A1082" s="180">
        <v>45897</v>
      </c>
      <c r="B1082" s="181" t="s">
        <v>13015</v>
      </c>
      <c r="C1082" s="182" t="s">
        <v>1229</v>
      </c>
      <c r="D1082" s="182">
        <v>60441</v>
      </c>
      <c r="E1082" s="183">
        <v>40</v>
      </c>
      <c r="F1082" s="183">
        <v>2070</v>
      </c>
      <c r="G1082" s="184">
        <v>4</v>
      </c>
      <c r="H1082" s="158"/>
      <c r="I1082" s="154"/>
      <c r="J1082" s="154"/>
      <c r="K1082" s="154"/>
      <c r="L1082" s="154"/>
      <c r="M1082" s="154"/>
      <c r="N1082" s="154"/>
      <c r="O1082" s="154"/>
      <c r="P1082" s="154"/>
      <c r="Q1082" s="154"/>
      <c r="R1082" s="154"/>
      <c r="S1082" s="154"/>
      <c r="T1082" s="154"/>
      <c r="U1082" s="154"/>
      <c r="V1082" s="154"/>
      <c r="W1082" s="154"/>
      <c r="X1082" s="154"/>
      <c r="Y1082" s="154"/>
      <c r="Z1082" s="154"/>
      <c r="AA1082" s="154"/>
    </row>
    <row r="1083" spans="1:27" ht="15">
      <c r="A1083" s="180">
        <v>45897</v>
      </c>
      <c r="B1083" s="181" t="s">
        <v>13017</v>
      </c>
      <c r="C1083" s="182" t="s">
        <v>1229</v>
      </c>
      <c r="D1083" s="182">
        <v>33781</v>
      </c>
      <c r="E1083" s="183">
        <v>18</v>
      </c>
      <c r="F1083" s="183">
        <v>1078</v>
      </c>
      <c r="G1083" s="184">
        <v>1</v>
      </c>
      <c r="H1083" s="158"/>
      <c r="I1083" s="154"/>
      <c r="J1083" s="154"/>
      <c r="K1083" s="154"/>
      <c r="L1083" s="154"/>
      <c r="M1083" s="154"/>
      <c r="N1083" s="154"/>
      <c r="O1083" s="154"/>
      <c r="P1083" s="154"/>
      <c r="Q1083" s="154"/>
      <c r="R1083" s="154"/>
      <c r="S1083" s="154"/>
      <c r="T1083" s="154"/>
      <c r="U1083" s="154"/>
      <c r="V1083" s="154"/>
      <c r="W1083" s="154"/>
      <c r="X1083" s="154"/>
      <c r="Y1083" s="154"/>
      <c r="Z1083" s="154"/>
      <c r="AA1083" s="154"/>
    </row>
    <row r="1084" spans="1:27" ht="15">
      <c r="A1084" s="180">
        <v>45897</v>
      </c>
      <c r="B1084" s="181" t="s">
        <v>13018</v>
      </c>
      <c r="C1084" s="182" t="s">
        <v>1229</v>
      </c>
      <c r="D1084" s="182">
        <v>24127</v>
      </c>
      <c r="E1084" s="183">
        <v>19</v>
      </c>
      <c r="F1084" s="183">
        <v>1449</v>
      </c>
      <c r="G1084" s="184">
        <v>2</v>
      </c>
      <c r="H1084" s="158"/>
      <c r="I1084" s="154"/>
      <c r="J1084" s="154"/>
      <c r="K1084" s="154"/>
      <c r="L1084" s="154"/>
      <c r="M1084" s="154"/>
      <c r="N1084" s="154"/>
      <c r="O1084" s="154"/>
      <c r="P1084" s="154"/>
      <c r="Q1084" s="154"/>
      <c r="R1084" s="154"/>
      <c r="S1084" s="154"/>
      <c r="T1084" s="154"/>
      <c r="U1084" s="154"/>
      <c r="V1084" s="154"/>
      <c r="W1084" s="154"/>
      <c r="X1084" s="154"/>
      <c r="Y1084" s="154"/>
      <c r="Z1084" s="154"/>
      <c r="AA1084" s="154"/>
    </row>
    <row r="1085" spans="1:27" ht="15">
      <c r="A1085" s="180">
        <v>45897</v>
      </c>
      <c r="B1085" s="181" t="s">
        <v>13021</v>
      </c>
      <c r="C1085" s="182" t="s">
        <v>1774</v>
      </c>
      <c r="D1085" s="182">
        <v>62480</v>
      </c>
      <c r="E1085" s="183">
        <v>59</v>
      </c>
      <c r="F1085" s="183">
        <v>3277</v>
      </c>
      <c r="G1085" s="184">
        <v>8</v>
      </c>
      <c r="H1085" s="158"/>
      <c r="I1085" s="154"/>
      <c r="J1085" s="154"/>
      <c r="K1085" s="154"/>
      <c r="L1085" s="154"/>
      <c r="M1085" s="154"/>
      <c r="N1085" s="154"/>
      <c r="O1085" s="154"/>
      <c r="P1085" s="154"/>
      <c r="Q1085" s="154"/>
      <c r="R1085" s="154"/>
      <c r="S1085" s="154"/>
      <c r="T1085" s="154"/>
      <c r="U1085" s="154"/>
      <c r="V1085" s="154"/>
      <c r="W1085" s="154"/>
      <c r="X1085" s="154"/>
      <c r="Y1085" s="154"/>
      <c r="Z1085" s="154"/>
      <c r="AA1085" s="154"/>
    </row>
    <row r="1086" spans="1:27" ht="15">
      <c r="A1086" s="180">
        <v>45897</v>
      </c>
      <c r="B1086" s="181" t="s">
        <v>13022</v>
      </c>
      <c r="C1086" s="182" t="s">
        <v>1774</v>
      </c>
      <c r="D1086" s="182">
        <v>18125</v>
      </c>
      <c r="E1086" s="183">
        <v>12</v>
      </c>
      <c r="F1086" s="183">
        <v>760</v>
      </c>
      <c r="G1086" s="184">
        <v>1</v>
      </c>
      <c r="H1086" s="158"/>
      <c r="I1086" s="154"/>
      <c r="J1086" s="154"/>
      <c r="K1086" s="154"/>
      <c r="L1086" s="154"/>
      <c r="M1086" s="154"/>
      <c r="N1086" s="154"/>
      <c r="O1086" s="154"/>
      <c r="P1086" s="154"/>
      <c r="Q1086" s="154"/>
      <c r="R1086" s="154"/>
      <c r="S1086" s="154"/>
      <c r="T1086" s="154"/>
      <c r="U1086" s="154"/>
      <c r="V1086" s="154"/>
      <c r="W1086" s="154"/>
      <c r="X1086" s="154"/>
      <c r="Y1086" s="154"/>
      <c r="Z1086" s="154"/>
      <c r="AA1086" s="154"/>
    </row>
    <row r="1087" spans="1:27" ht="15">
      <c r="A1087" s="180">
        <v>45898</v>
      </c>
      <c r="B1087" s="181" t="s">
        <v>13060</v>
      </c>
      <c r="C1087" s="182" t="s">
        <v>1774</v>
      </c>
      <c r="D1087" s="182">
        <v>11456</v>
      </c>
      <c r="E1087" s="183">
        <v>11</v>
      </c>
      <c r="F1087" s="183">
        <v>780</v>
      </c>
      <c r="G1087" s="184">
        <v>1</v>
      </c>
      <c r="H1087" s="158"/>
      <c r="I1087" s="154"/>
      <c r="J1087" s="154"/>
      <c r="K1087" s="154"/>
      <c r="L1087" s="154"/>
      <c r="M1087" s="154"/>
      <c r="N1087" s="154"/>
      <c r="O1087" s="154"/>
      <c r="P1087" s="154"/>
      <c r="Q1087" s="154"/>
      <c r="R1087" s="154"/>
      <c r="S1087" s="154"/>
      <c r="T1087" s="154"/>
      <c r="U1087" s="154"/>
      <c r="V1087" s="154"/>
      <c r="W1087" s="154"/>
      <c r="X1087" s="154"/>
      <c r="Y1087" s="154"/>
      <c r="Z1087" s="154"/>
      <c r="AA1087" s="154"/>
    </row>
    <row r="1088" spans="1:27" ht="15">
      <c r="A1088" s="180">
        <v>45898</v>
      </c>
      <c r="B1088" s="181" t="s">
        <v>13059</v>
      </c>
      <c r="C1088" s="182" t="s">
        <v>12897</v>
      </c>
      <c r="D1088" s="182">
        <v>137746</v>
      </c>
      <c r="E1088" s="183">
        <v>83</v>
      </c>
      <c r="F1088" s="183">
        <v>7501</v>
      </c>
      <c r="G1088" s="184">
        <v>6</v>
      </c>
      <c r="H1088" s="158"/>
      <c r="I1088" s="154"/>
      <c r="J1088" s="154"/>
      <c r="K1088" s="154"/>
      <c r="L1088" s="154"/>
      <c r="M1088" s="154"/>
      <c r="N1088" s="154"/>
      <c r="O1088" s="154"/>
      <c r="P1088" s="154"/>
      <c r="Q1088" s="154"/>
      <c r="R1088" s="154"/>
      <c r="S1088" s="154"/>
      <c r="T1088" s="154"/>
      <c r="U1088" s="154"/>
      <c r="V1088" s="154"/>
      <c r="W1088" s="154"/>
      <c r="X1088" s="154"/>
      <c r="Y1088" s="154"/>
      <c r="Z1088" s="154"/>
      <c r="AA1088" s="154"/>
    </row>
    <row r="1089" spans="1:27" ht="15">
      <c r="A1089" s="180">
        <v>45898</v>
      </c>
      <c r="B1089" s="181" t="s">
        <v>13059</v>
      </c>
      <c r="C1089" s="182" t="s">
        <v>12897</v>
      </c>
      <c r="D1089" s="182">
        <v>57165</v>
      </c>
      <c r="E1089" s="183">
        <v>51</v>
      </c>
      <c r="F1089" s="183">
        <v>2315</v>
      </c>
      <c r="G1089" s="184">
        <v>8</v>
      </c>
      <c r="H1089" s="158"/>
      <c r="I1089" s="154"/>
      <c r="J1089" s="154"/>
      <c r="K1089" s="154"/>
      <c r="L1089" s="154"/>
      <c r="M1089" s="154"/>
      <c r="N1089" s="154"/>
      <c r="O1089" s="154"/>
      <c r="P1089" s="154"/>
      <c r="Q1089" s="154"/>
      <c r="R1089" s="154"/>
      <c r="S1089" s="154"/>
      <c r="T1089" s="154"/>
      <c r="U1089" s="154"/>
      <c r="V1089" s="154"/>
      <c r="W1089" s="154"/>
      <c r="X1089" s="154"/>
      <c r="Y1089" s="154"/>
      <c r="Z1089" s="154"/>
      <c r="AA1089" s="154"/>
    </row>
    <row r="1090" spans="1:27" ht="15">
      <c r="A1090" s="180">
        <v>45898</v>
      </c>
      <c r="B1090" s="181" t="s">
        <v>13056</v>
      </c>
      <c r="C1090" s="182" t="s">
        <v>12897</v>
      </c>
      <c r="D1090" s="182">
        <v>44245</v>
      </c>
      <c r="E1090" s="183">
        <v>36</v>
      </c>
      <c r="F1090" s="183">
        <v>1921</v>
      </c>
      <c r="G1090" s="184">
        <v>4</v>
      </c>
      <c r="H1090" s="158"/>
      <c r="I1090" s="154"/>
      <c r="J1090" s="154"/>
      <c r="K1090" s="154"/>
      <c r="L1090" s="154"/>
      <c r="M1090" s="154"/>
      <c r="N1090" s="154"/>
      <c r="O1090" s="154"/>
      <c r="P1090" s="154"/>
      <c r="Q1090" s="154"/>
      <c r="R1090" s="154"/>
      <c r="S1090" s="154"/>
      <c r="T1090" s="154"/>
      <c r="U1090" s="154"/>
      <c r="V1090" s="154"/>
      <c r="W1090" s="154"/>
      <c r="X1090" s="154"/>
      <c r="Y1090" s="154"/>
      <c r="Z1090" s="154"/>
      <c r="AA1090" s="154"/>
    </row>
    <row r="1091" spans="1:27" ht="15">
      <c r="A1091" s="180">
        <v>45898</v>
      </c>
      <c r="B1091" s="181" t="s">
        <v>13061</v>
      </c>
      <c r="C1091" s="182" t="s">
        <v>12896</v>
      </c>
      <c r="D1091" s="182">
        <v>19490</v>
      </c>
      <c r="E1091" s="183">
        <v>14</v>
      </c>
      <c r="F1091" s="183">
        <v>839</v>
      </c>
      <c r="G1091" s="184">
        <v>1</v>
      </c>
      <c r="H1091" s="158"/>
      <c r="I1091" s="154"/>
      <c r="J1091" s="154"/>
      <c r="K1091" s="154"/>
      <c r="L1091" s="154"/>
      <c r="M1091" s="154"/>
      <c r="N1091" s="154"/>
      <c r="O1091" s="154"/>
      <c r="P1091" s="154"/>
      <c r="Q1091" s="154"/>
      <c r="R1091" s="154"/>
      <c r="S1091" s="154"/>
      <c r="T1091" s="154"/>
      <c r="U1091" s="154"/>
      <c r="V1091" s="154"/>
      <c r="W1091" s="154"/>
      <c r="X1091" s="154"/>
      <c r="Y1091" s="154"/>
      <c r="Z1091" s="154"/>
      <c r="AA1091" s="154"/>
    </row>
    <row r="1092" spans="1:27" ht="15">
      <c r="A1092" s="180">
        <v>45898</v>
      </c>
      <c r="B1092" s="181" t="s">
        <v>13048</v>
      </c>
      <c r="C1092" s="182" t="s">
        <v>12896</v>
      </c>
      <c r="D1092" s="182">
        <v>12134</v>
      </c>
      <c r="E1092" s="183">
        <v>9</v>
      </c>
      <c r="F1092" s="183">
        <v>558</v>
      </c>
      <c r="G1092" s="184">
        <v>0</v>
      </c>
      <c r="H1092" s="158"/>
      <c r="I1092" s="154"/>
      <c r="J1092" s="154"/>
      <c r="K1092" s="154"/>
      <c r="L1092" s="154"/>
      <c r="M1092" s="154"/>
      <c r="N1092" s="154"/>
      <c r="O1092" s="154"/>
      <c r="P1092" s="154"/>
      <c r="Q1092" s="154"/>
      <c r="R1092" s="154"/>
      <c r="S1092" s="154"/>
      <c r="T1092" s="154"/>
      <c r="U1092" s="154"/>
      <c r="V1092" s="154"/>
      <c r="W1092" s="154"/>
      <c r="X1092" s="154"/>
      <c r="Y1092" s="154"/>
      <c r="Z1092" s="154"/>
      <c r="AA1092" s="154"/>
    </row>
    <row r="1093" spans="1:27" ht="15">
      <c r="A1093" s="180">
        <v>45898</v>
      </c>
      <c r="B1093" s="181" t="s">
        <v>13015</v>
      </c>
      <c r="C1093" s="182" t="s">
        <v>1229</v>
      </c>
      <c r="D1093" s="182">
        <v>34740</v>
      </c>
      <c r="E1093" s="183">
        <v>23</v>
      </c>
      <c r="F1093" s="183">
        <v>934</v>
      </c>
      <c r="G1093" s="184">
        <v>3</v>
      </c>
      <c r="H1093" s="158"/>
      <c r="I1093" s="154"/>
      <c r="J1093" s="154"/>
      <c r="K1093" s="154"/>
      <c r="L1093" s="154"/>
      <c r="M1093" s="154"/>
      <c r="N1093" s="154"/>
      <c r="O1093" s="154"/>
      <c r="P1093" s="154"/>
      <c r="Q1093" s="154"/>
      <c r="R1093" s="154"/>
      <c r="S1093" s="154"/>
      <c r="T1093" s="154"/>
      <c r="U1093" s="154"/>
      <c r="V1093" s="154"/>
      <c r="W1093" s="154"/>
      <c r="X1093" s="154"/>
      <c r="Y1093" s="154"/>
      <c r="Z1093" s="154"/>
      <c r="AA1093" s="154"/>
    </row>
    <row r="1094" spans="1:27" ht="15">
      <c r="A1094" s="180">
        <v>45898</v>
      </c>
      <c r="B1094" s="181" t="s">
        <v>13017</v>
      </c>
      <c r="C1094" s="182" t="s">
        <v>1229</v>
      </c>
      <c r="D1094" s="182">
        <v>85854</v>
      </c>
      <c r="E1094" s="183">
        <v>80</v>
      </c>
      <c r="F1094" s="183">
        <v>4028</v>
      </c>
      <c r="G1094" s="184">
        <v>12</v>
      </c>
      <c r="H1094" s="158"/>
      <c r="I1094" s="154"/>
      <c r="J1094" s="154"/>
      <c r="K1094" s="154"/>
      <c r="L1094" s="154"/>
      <c r="M1094" s="154"/>
      <c r="N1094" s="154"/>
      <c r="O1094" s="154"/>
      <c r="P1094" s="154"/>
      <c r="Q1094" s="154"/>
      <c r="R1094" s="154"/>
      <c r="S1094" s="154"/>
      <c r="T1094" s="154"/>
      <c r="U1094" s="154"/>
      <c r="V1094" s="154"/>
      <c r="W1094" s="154"/>
      <c r="X1094" s="154"/>
      <c r="Y1094" s="154"/>
      <c r="Z1094" s="154"/>
      <c r="AA1094" s="154"/>
    </row>
    <row r="1095" spans="1:27" ht="15">
      <c r="A1095" s="180">
        <v>45898</v>
      </c>
      <c r="B1095" s="181" t="s">
        <v>13018</v>
      </c>
      <c r="C1095" s="182" t="s">
        <v>1229</v>
      </c>
      <c r="D1095" s="182">
        <v>82473</v>
      </c>
      <c r="E1095" s="183">
        <v>119</v>
      </c>
      <c r="F1095" s="183">
        <v>6911</v>
      </c>
      <c r="G1095" s="184">
        <v>18</v>
      </c>
      <c r="H1095" s="158"/>
      <c r="I1095" s="154"/>
      <c r="J1095" s="154"/>
      <c r="K1095" s="154"/>
      <c r="L1095" s="154"/>
      <c r="M1095" s="154"/>
      <c r="N1095" s="154"/>
      <c r="O1095" s="154"/>
      <c r="P1095" s="154"/>
      <c r="Q1095" s="154"/>
      <c r="R1095" s="154"/>
      <c r="S1095" s="154"/>
      <c r="T1095" s="154"/>
      <c r="U1095" s="154"/>
      <c r="V1095" s="154"/>
      <c r="W1095" s="154"/>
      <c r="X1095" s="154"/>
      <c r="Y1095" s="154"/>
      <c r="Z1095" s="154"/>
      <c r="AA1095" s="154"/>
    </row>
    <row r="1096" spans="1:27" ht="15">
      <c r="A1096" s="180">
        <v>45898</v>
      </c>
      <c r="B1096" s="181" t="s">
        <v>13021</v>
      </c>
      <c r="C1096" s="182" t="s">
        <v>1774</v>
      </c>
      <c r="D1096" s="182">
        <v>28241</v>
      </c>
      <c r="E1096" s="183">
        <v>17</v>
      </c>
      <c r="F1096" s="183">
        <v>963</v>
      </c>
      <c r="G1096" s="184">
        <v>1</v>
      </c>
      <c r="H1096" s="158"/>
      <c r="I1096" s="154"/>
      <c r="J1096" s="154"/>
      <c r="K1096" s="154"/>
      <c r="L1096" s="154"/>
      <c r="M1096" s="154"/>
      <c r="N1096" s="154"/>
      <c r="O1096" s="154"/>
      <c r="P1096" s="154"/>
      <c r="Q1096" s="154"/>
      <c r="R1096" s="154"/>
      <c r="S1096" s="154"/>
      <c r="T1096" s="154"/>
      <c r="U1096" s="154"/>
      <c r="V1096" s="154"/>
      <c r="W1096" s="154"/>
      <c r="X1096" s="154"/>
      <c r="Y1096" s="154"/>
      <c r="Z1096" s="154"/>
      <c r="AA1096" s="154"/>
    </row>
    <row r="1097" spans="1:27" ht="15">
      <c r="A1097" s="180">
        <v>45898</v>
      </c>
      <c r="B1097" s="181" t="s">
        <v>13022</v>
      </c>
      <c r="C1097" s="182" t="s">
        <v>1774</v>
      </c>
      <c r="D1097" s="182">
        <v>18976</v>
      </c>
      <c r="E1097" s="183">
        <v>6</v>
      </c>
      <c r="F1097" s="183">
        <v>653</v>
      </c>
      <c r="G1097" s="184">
        <v>2</v>
      </c>
      <c r="H1097" s="158"/>
      <c r="I1097" s="154"/>
      <c r="J1097" s="154"/>
      <c r="K1097" s="154"/>
      <c r="L1097" s="154"/>
      <c r="M1097" s="154"/>
      <c r="N1097" s="154"/>
      <c r="O1097" s="154"/>
      <c r="P1097" s="154"/>
      <c r="Q1097" s="154"/>
      <c r="R1097" s="154"/>
      <c r="S1097" s="154"/>
      <c r="T1097" s="154"/>
      <c r="U1097" s="154"/>
      <c r="V1097" s="154"/>
      <c r="W1097" s="154"/>
      <c r="X1097" s="154"/>
      <c r="Y1097" s="154"/>
      <c r="Z1097" s="154"/>
      <c r="AA1097" s="154"/>
    </row>
    <row r="1098" spans="1:27" ht="15">
      <c r="A1098" s="180">
        <v>45899</v>
      </c>
      <c r="B1098" s="181" t="s">
        <v>13060</v>
      </c>
      <c r="C1098" s="182" t="s">
        <v>1774</v>
      </c>
      <c r="D1098" s="182">
        <v>33184</v>
      </c>
      <c r="E1098" s="183">
        <v>12</v>
      </c>
      <c r="F1098" s="183">
        <v>2206</v>
      </c>
      <c r="G1098" s="184">
        <v>2</v>
      </c>
      <c r="H1098" s="158"/>
      <c r="I1098" s="154"/>
      <c r="J1098" s="154"/>
      <c r="K1098" s="154"/>
      <c r="L1098" s="154"/>
      <c r="M1098" s="154"/>
      <c r="N1098" s="154"/>
      <c r="O1098" s="154"/>
      <c r="P1098" s="154"/>
      <c r="Q1098" s="154"/>
      <c r="R1098" s="154"/>
      <c r="S1098" s="154"/>
      <c r="T1098" s="154"/>
      <c r="U1098" s="154"/>
      <c r="V1098" s="154"/>
      <c r="W1098" s="154"/>
      <c r="X1098" s="154"/>
      <c r="Y1098" s="154"/>
      <c r="Z1098" s="154"/>
      <c r="AA1098" s="154"/>
    </row>
    <row r="1099" spans="1:27" ht="15">
      <c r="A1099" s="180">
        <v>45899</v>
      </c>
      <c r="B1099" s="181" t="s">
        <v>13059</v>
      </c>
      <c r="C1099" s="182" t="s">
        <v>12897</v>
      </c>
      <c r="D1099" s="182">
        <v>3849</v>
      </c>
      <c r="E1099" s="183">
        <v>1</v>
      </c>
      <c r="F1099" s="183">
        <v>108</v>
      </c>
      <c r="G1099" s="184">
        <v>0</v>
      </c>
      <c r="H1099" s="158"/>
      <c r="I1099" s="154"/>
      <c r="J1099" s="154"/>
      <c r="K1099" s="154"/>
      <c r="L1099" s="154"/>
      <c r="M1099" s="154"/>
      <c r="N1099" s="154"/>
      <c r="O1099" s="154"/>
      <c r="P1099" s="154"/>
      <c r="Q1099" s="154"/>
      <c r="R1099" s="154"/>
      <c r="S1099" s="154"/>
      <c r="T1099" s="154"/>
      <c r="U1099" s="154"/>
      <c r="V1099" s="154"/>
      <c r="W1099" s="154"/>
      <c r="X1099" s="154"/>
      <c r="Y1099" s="154"/>
      <c r="Z1099" s="154"/>
      <c r="AA1099" s="154"/>
    </row>
    <row r="1100" spans="1:27" ht="15">
      <c r="A1100" s="180">
        <v>45899</v>
      </c>
      <c r="B1100" s="181" t="s">
        <v>13059</v>
      </c>
      <c r="C1100" s="182" t="s">
        <v>12897</v>
      </c>
      <c r="D1100" s="182">
        <v>5702</v>
      </c>
      <c r="E1100" s="183">
        <v>2</v>
      </c>
      <c r="F1100" s="183">
        <v>247</v>
      </c>
      <c r="G1100" s="184">
        <v>0</v>
      </c>
      <c r="H1100" s="158"/>
      <c r="I1100" s="154"/>
      <c r="J1100" s="154"/>
      <c r="K1100" s="154"/>
      <c r="L1100" s="154"/>
      <c r="M1100" s="154"/>
      <c r="N1100" s="154"/>
      <c r="O1100" s="154"/>
      <c r="P1100" s="154"/>
      <c r="Q1100" s="154"/>
      <c r="R1100" s="154"/>
      <c r="S1100" s="154"/>
      <c r="T1100" s="154"/>
      <c r="U1100" s="154"/>
      <c r="V1100" s="154"/>
      <c r="W1100" s="154"/>
      <c r="X1100" s="154"/>
      <c r="Y1100" s="154"/>
      <c r="Z1100" s="154"/>
      <c r="AA1100" s="154"/>
    </row>
    <row r="1101" spans="1:27" ht="15">
      <c r="A1101" s="180">
        <v>45899</v>
      </c>
      <c r="B1101" s="181" t="s">
        <v>13056</v>
      </c>
      <c r="C1101" s="182" t="s">
        <v>12897</v>
      </c>
      <c r="D1101" s="182">
        <v>470</v>
      </c>
      <c r="E1101" s="183">
        <v>0</v>
      </c>
      <c r="F1101" s="183">
        <v>30</v>
      </c>
      <c r="G1101" s="184">
        <v>0</v>
      </c>
      <c r="H1101" s="158"/>
      <c r="I1101" s="154"/>
      <c r="J1101" s="154"/>
      <c r="K1101" s="154"/>
      <c r="L1101" s="154"/>
      <c r="M1101" s="154"/>
      <c r="N1101" s="154"/>
      <c r="O1101" s="154"/>
      <c r="P1101" s="154"/>
      <c r="Q1101" s="154"/>
      <c r="R1101" s="154"/>
      <c r="S1101" s="154"/>
      <c r="T1101" s="154"/>
      <c r="U1101" s="154"/>
      <c r="V1101" s="154"/>
      <c r="W1101" s="154"/>
      <c r="X1101" s="154"/>
      <c r="Y1101" s="154"/>
      <c r="Z1101" s="154"/>
      <c r="AA1101" s="154"/>
    </row>
    <row r="1102" spans="1:27" ht="15">
      <c r="A1102" s="180">
        <v>45899</v>
      </c>
      <c r="B1102" s="181" t="s">
        <v>13048</v>
      </c>
      <c r="C1102" s="182" t="s">
        <v>12896</v>
      </c>
      <c r="D1102" s="182">
        <v>11904</v>
      </c>
      <c r="E1102" s="183">
        <v>10</v>
      </c>
      <c r="F1102" s="183">
        <v>676</v>
      </c>
      <c r="G1102" s="184">
        <v>0</v>
      </c>
      <c r="H1102" s="158"/>
      <c r="I1102" s="154"/>
      <c r="J1102" s="154"/>
      <c r="K1102" s="154"/>
      <c r="L1102" s="154"/>
      <c r="M1102" s="154"/>
      <c r="N1102" s="154"/>
      <c r="O1102" s="154"/>
      <c r="P1102" s="154"/>
      <c r="Q1102" s="154"/>
      <c r="R1102" s="154"/>
      <c r="S1102" s="154"/>
      <c r="T1102" s="154"/>
      <c r="U1102" s="154"/>
      <c r="V1102" s="154"/>
      <c r="W1102" s="154"/>
      <c r="X1102" s="154"/>
      <c r="Y1102" s="154"/>
      <c r="Z1102" s="154"/>
      <c r="AA1102" s="154"/>
    </row>
    <row r="1103" spans="1:27" ht="15">
      <c r="A1103" s="180">
        <v>45899</v>
      </c>
      <c r="B1103" s="181" t="s">
        <v>13015</v>
      </c>
      <c r="C1103" s="182" t="s">
        <v>1229</v>
      </c>
      <c r="D1103" s="182">
        <v>20688</v>
      </c>
      <c r="E1103" s="183">
        <v>11</v>
      </c>
      <c r="F1103" s="183">
        <v>734</v>
      </c>
      <c r="G1103" s="184">
        <v>2</v>
      </c>
      <c r="H1103" s="158"/>
      <c r="I1103" s="154"/>
      <c r="J1103" s="154"/>
      <c r="K1103" s="154"/>
      <c r="L1103" s="154"/>
      <c r="M1103" s="154"/>
      <c r="N1103" s="154"/>
      <c r="O1103" s="154"/>
      <c r="P1103" s="154"/>
      <c r="Q1103" s="154"/>
      <c r="R1103" s="154"/>
      <c r="S1103" s="154"/>
      <c r="T1103" s="154"/>
      <c r="U1103" s="154"/>
      <c r="V1103" s="154"/>
      <c r="W1103" s="154"/>
      <c r="X1103" s="154"/>
      <c r="Y1103" s="154"/>
      <c r="Z1103" s="154"/>
      <c r="AA1103" s="154"/>
    </row>
    <row r="1104" spans="1:27" ht="15">
      <c r="A1104" s="180">
        <v>45899</v>
      </c>
      <c r="B1104" s="181" t="s">
        <v>13017</v>
      </c>
      <c r="C1104" s="182" t="s">
        <v>1229</v>
      </c>
      <c r="D1104" s="182">
        <v>7312</v>
      </c>
      <c r="E1104" s="183">
        <v>9</v>
      </c>
      <c r="F1104" s="183">
        <v>802</v>
      </c>
      <c r="G1104" s="184">
        <v>0</v>
      </c>
      <c r="H1104" s="158"/>
      <c r="I1104" s="154"/>
      <c r="J1104" s="154"/>
      <c r="K1104" s="154"/>
      <c r="L1104" s="154"/>
      <c r="M1104" s="154"/>
      <c r="N1104" s="154"/>
      <c r="O1104" s="154"/>
      <c r="P1104" s="154"/>
      <c r="Q1104" s="154"/>
      <c r="R1104" s="154"/>
      <c r="S1104" s="154"/>
      <c r="T1104" s="154"/>
      <c r="U1104" s="154"/>
      <c r="V1104" s="154"/>
      <c r="W1104" s="154"/>
      <c r="X1104" s="154"/>
      <c r="Y1104" s="154"/>
      <c r="Z1104" s="154"/>
      <c r="AA1104" s="154"/>
    </row>
    <row r="1105" spans="1:27" ht="15">
      <c r="A1105" s="180">
        <v>45899</v>
      </c>
      <c r="B1105" s="181" t="s">
        <v>13018</v>
      </c>
      <c r="C1105" s="182" t="s">
        <v>1229</v>
      </c>
      <c r="D1105" s="182">
        <v>10094</v>
      </c>
      <c r="E1105" s="183">
        <v>3</v>
      </c>
      <c r="F1105" s="183">
        <v>441</v>
      </c>
      <c r="G1105" s="184">
        <v>0</v>
      </c>
      <c r="H1105" s="158"/>
      <c r="I1105" s="154"/>
      <c r="J1105" s="154"/>
      <c r="K1105" s="154"/>
      <c r="L1105" s="154"/>
      <c r="M1105" s="154"/>
      <c r="N1105" s="154"/>
      <c r="O1105" s="154"/>
      <c r="P1105" s="154"/>
      <c r="Q1105" s="154"/>
      <c r="R1105" s="154"/>
      <c r="S1105" s="154"/>
      <c r="T1105" s="154"/>
      <c r="U1105" s="154"/>
      <c r="V1105" s="154"/>
      <c r="W1105" s="154"/>
      <c r="X1105" s="154"/>
      <c r="Y1105" s="154"/>
      <c r="Z1105" s="154"/>
      <c r="AA1105" s="154"/>
    </row>
    <row r="1106" spans="1:27" ht="15">
      <c r="A1106" s="180">
        <v>45899</v>
      </c>
      <c r="B1106" s="181" t="s">
        <v>13021</v>
      </c>
      <c r="C1106" s="182" t="s">
        <v>1774</v>
      </c>
      <c r="D1106" s="182">
        <v>11145</v>
      </c>
      <c r="E1106" s="183">
        <v>9</v>
      </c>
      <c r="F1106" s="183">
        <v>744</v>
      </c>
      <c r="G1106" s="184">
        <v>1</v>
      </c>
      <c r="H1106" s="158"/>
      <c r="I1106" s="154"/>
      <c r="J1106" s="154"/>
      <c r="K1106" s="154"/>
      <c r="L1106" s="154"/>
      <c r="M1106" s="154"/>
      <c r="N1106" s="154"/>
      <c r="O1106" s="154"/>
      <c r="P1106" s="154"/>
      <c r="Q1106" s="154"/>
      <c r="R1106" s="154"/>
      <c r="S1106" s="154"/>
      <c r="T1106" s="154"/>
      <c r="U1106" s="154"/>
      <c r="V1106" s="154"/>
      <c r="W1106" s="154"/>
      <c r="X1106" s="154"/>
      <c r="Y1106" s="154"/>
      <c r="Z1106" s="154"/>
      <c r="AA1106" s="154"/>
    </row>
    <row r="1107" spans="1:27" ht="15">
      <c r="A1107" s="180">
        <v>45899</v>
      </c>
      <c r="B1107" s="181" t="s">
        <v>13022</v>
      </c>
      <c r="C1107" s="182" t="s">
        <v>1774</v>
      </c>
      <c r="D1107" s="182">
        <v>15786</v>
      </c>
      <c r="E1107" s="183">
        <v>6</v>
      </c>
      <c r="F1107" s="183">
        <v>753</v>
      </c>
      <c r="G1107" s="184">
        <v>1</v>
      </c>
      <c r="H1107" s="158"/>
      <c r="I1107" s="154"/>
      <c r="J1107" s="154"/>
      <c r="K1107" s="154"/>
      <c r="L1107" s="154"/>
      <c r="M1107" s="154"/>
      <c r="N1107" s="154"/>
      <c r="O1107" s="154"/>
      <c r="P1107" s="154"/>
      <c r="Q1107" s="154"/>
      <c r="R1107" s="154"/>
      <c r="S1107" s="154"/>
      <c r="T1107" s="154"/>
      <c r="U1107" s="154"/>
      <c r="V1107" s="154"/>
      <c r="W1107" s="154"/>
      <c r="X1107" s="154"/>
      <c r="Y1107" s="154"/>
      <c r="Z1107" s="154"/>
      <c r="AA1107" s="154"/>
    </row>
    <row r="1108" spans="1:27" ht="15">
      <c r="A1108" s="180">
        <v>45901</v>
      </c>
      <c r="B1108" s="181" t="s">
        <v>13063</v>
      </c>
      <c r="C1108" s="182" t="s">
        <v>12898</v>
      </c>
      <c r="D1108" s="182">
        <v>75986</v>
      </c>
      <c r="E1108" s="183">
        <v>85</v>
      </c>
      <c r="F1108" s="183">
        <v>4970</v>
      </c>
      <c r="G1108" s="184">
        <v>17</v>
      </c>
      <c r="H1108" s="158"/>
      <c r="I1108" s="154"/>
      <c r="J1108" s="154"/>
      <c r="K1108" s="154"/>
      <c r="L1108" s="154"/>
      <c r="M1108" s="154"/>
      <c r="N1108" s="154"/>
      <c r="O1108" s="154"/>
      <c r="P1108" s="154"/>
      <c r="Q1108" s="154"/>
      <c r="R1108" s="154"/>
      <c r="S1108" s="154"/>
      <c r="T1108" s="154"/>
      <c r="U1108" s="154"/>
      <c r="V1108" s="154"/>
      <c r="W1108" s="154"/>
      <c r="X1108" s="154"/>
      <c r="Y1108" s="154"/>
      <c r="Z1108" s="154"/>
      <c r="AA1108" s="154"/>
    </row>
    <row r="1109" spans="1:27" ht="15">
      <c r="A1109" s="180">
        <v>45901</v>
      </c>
      <c r="B1109" s="181" t="s">
        <v>13064</v>
      </c>
      <c r="C1109" s="182" t="s">
        <v>12898</v>
      </c>
      <c r="D1109" s="182">
        <v>141932</v>
      </c>
      <c r="E1109" s="183">
        <v>156</v>
      </c>
      <c r="F1109" s="183">
        <v>9712</v>
      </c>
      <c r="G1109" s="184">
        <v>28</v>
      </c>
      <c r="H1109" s="158"/>
      <c r="I1109" s="154"/>
      <c r="J1109" s="154"/>
      <c r="K1109" s="154"/>
      <c r="L1109" s="154"/>
      <c r="M1109" s="154"/>
      <c r="N1109" s="154"/>
      <c r="O1109" s="154"/>
      <c r="P1109" s="154"/>
      <c r="Q1109" s="154"/>
      <c r="R1109" s="154"/>
      <c r="S1109" s="154"/>
      <c r="T1109" s="154"/>
      <c r="U1109" s="154"/>
      <c r="V1109" s="154"/>
      <c r="W1109" s="154"/>
      <c r="X1109" s="154"/>
      <c r="Y1109" s="154"/>
      <c r="Z1109" s="154"/>
      <c r="AA1109" s="154"/>
    </row>
    <row r="1110" spans="1:27" ht="15">
      <c r="A1110" s="180">
        <v>45901</v>
      </c>
      <c r="B1110" s="181" t="s">
        <v>13065</v>
      </c>
      <c r="C1110" s="182" t="s">
        <v>12898</v>
      </c>
      <c r="D1110" s="182">
        <v>109581</v>
      </c>
      <c r="E1110" s="183">
        <v>111</v>
      </c>
      <c r="F1110" s="183">
        <v>6972</v>
      </c>
      <c r="G1110" s="184">
        <v>20</v>
      </c>
      <c r="H1110" s="158"/>
      <c r="I1110" s="154"/>
      <c r="J1110" s="154"/>
      <c r="K1110" s="154"/>
      <c r="L1110" s="154"/>
      <c r="M1110" s="154"/>
      <c r="N1110" s="154"/>
      <c r="O1110" s="154"/>
      <c r="P1110" s="154"/>
      <c r="Q1110" s="154"/>
      <c r="R1110" s="154"/>
      <c r="S1110" s="154"/>
      <c r="T1110" s="154"/>
      <c r="U1110" s="154"/>
      <c r="V1110" s="154"/>
      <c r="W1110" s="154"/>
      <c r="X1110" s="154"/>
      <c r="Y1110" s="154"/>
      <c r="Z1110" s="154"/>
      <c r="AA1110" s="154"/>
    </row>
    <row r="1111" spans="1:27" ht="15">
      <c r="A1111" s="180">
        <v>45901</v>
      </c>
      <c r="B1111" s="181" t="s">
        <v>13060</v>
      </c>
      <c r="C1111" s="182" t="s">
        <v>1774</v>
      </c>
      <c r="D1111" s="182">
        <v>11357</v>
      </c>
      <c r="E1111" s="183">
        <v>8</v>
      </c>
      <c r="F1111" s="183">
        <v>696</v>
      </c>
      <c r="G1111" s="184">
        <v>0</v>
      </c>
      <c r="H1111" s="158"/>
      <c r="I1111" s="154"/>
      <c r="J1111" s="154"/>
      <c r="K1111" s="154"/>
      <c r="L1111" s="154"/>
      <c r="M1111" s="154"/>
      <c r="N1111" s="154"/>
      <c r="O1111" s="154"/>
      <c r="P1111" s="154"/>
      <c r="Q1111" s="154"/>
      <c r="R1111" s="154"/>
      <c r="S1111" s="154"/>
      <c r="T1111" s="154"/>
      <c r="U1111" s="154"/>
      <c r="V1111" s="154"/>
      <c r="W1111" s="154"/>
      <c r="X1111" s="154"/>
      <c r="Y1111" s="154"/>
      <c r="Z1111" s="154"/>
      <c r="AA1111" s="154"/>
    </row>
    <row r="1112" spans="1:27" ht="15">
      <c r="A1112" s="180">
        <v>45901</v>
      </c>
      <c r="B1112" s="181" t="s">
        <v>13059</v>
      </c>
      <c r="C1112" s="182" t="s">
        <v>12897</v>
      </c>
      <c r="D1112" s="182">
        <v>84024</v>
      </c>
      <c r="E1112" s="183">
        <v>91</v>
      </c>
      <c r="F1112" s="183">
        <v>8908</v>
      </c>
      <c r="G1112" s="184">
        <v>9</v>
      </c>
      <c r="H1112" s="158"/>
      <c r="I1112" s="154"/>
      <c r="J1112" s="154"/>
      <c r="K1112" s="154"/>
      <c r="L1112" s="154"/>
      <c r="M1112" s="154"/>
      <c r="N1112" s="154"/>
      <c r="O1112" s="154"/>
      <c r="P1112" s="154"/>
      <c r="Q1112" s="154"/>
      <c r="R1112" s="154"/>
      <c r="S1112" s="154"/>
      <c r="T1112" s="154"/>
      <c r="U1112" s="154"/>
      <c r="V1112" s="154"/>
      <c r="W1112" s="154"/>
      <c r="X1112" s="154"/>
      <c r="Y1112" s="154"/>
      <c r="Z1112" s="154"/>
      <c r="AA1112" s="154"/>
    </row>
    <row r="1113" spans="1:27" ht="15">
      <c r="A1113" s="180">
        <v>45901</v>
      </c>
      <c r="B1113" s="181" t="s">
        <v>13059</v>
      </c>
      <c r="C1113" s="182" t="s">
        <v>12897</v>
      </c>
      <c r="D1113" s="182">
        <v>188655</v>
      </c>
      <c r="E1113" s="183">
        <v>250</v>
      </c>
      <c r="F1113" s="183">
        <v>14875</v>
      </c>
      <c r="G1113" s="184">
        <v>38</v>
      </c>
      <c r="H1113" s="158"/>
      <c r="I1113" s="154"/>
      <c r="J1113" s="154"/>
      <c r="K1113" s="154"/>
      <c r="L1113" s="154"/>
      <c r="M1113" s="154"/>
      <c r="N1113" s="154"/>
      <c r="O1113" s="154"/>
      <c r="P1113" s="154"/>
      <c r="Q1113" s="154"/>
      <c r="R1113" s="154"/>
      <c r="S1113" s="154"/>
      <c r="T1113" s="154"/>
      <c r="U1113" s="154"/>
      <c r="V1113" s="154"/>
      <c r="W1113" s="154"/>
      <c r="X1113" s="154"/>
      <c r="Y1113" s="154"/>
      <c r="Z1113" s="154"/>
      <c r="AA1113" s="154"/>
    </row>
    <row r="1114" spans="1:27" ht="15">
      <c r="A1114" s="180">
        <v>45901</v>
      </c>
      <c r="B1114" s="181" t="s">
        <v>13048</v>
      </c>
      <c r="C1114" s="182" t="s">
        <v>12896</v>
      </c>
      <c r="D1114" s="182">
        <v>698</v>
      </c>
      <c r="E1114" s="183">
        <v>0</v>
      </c>
      <c r="F1114" s="183">
        <v>57</v>
      </c>
      <c r="G1114" s="184">
        <v>0</v>
      </c>
      <c r="H1114" s="158"/>
      <c r="I1114" s="154"/>
      <c r="J1114" s="154"/>
      <c r="K1114" s="154"/>
      <c r="L1114" s="154"/>
      <c r="M1114" s="154"/>
      <c r="N1114" s="154"/>
      <c r="O1114" s="154"/>
      <c r="P1114" s="154"/>
      <c r="Q1114" s="154"/>
      <c r="R1114" s="154"/>
      <c r="S1114" s="154"/>
      <c r="T1114" s="154"/>
      <c r="U1114" s="154"/>
      <c r="V1114" s="154"/>
      <c r="W1114" s="154"/>
      <c r="X1114" s="154"/>
      <c r="Y1114" s="154"/>
      <c r="Z1114" s="154"/>
      <c r="AA1114" s="154"/>
    </row>
    <row r="1115" spans="1:27" ht="15">
      <c r="A1115" s="180">
        <v>45901</v>
      </c>
      <c r="B1115" s="181" t="s">
        <v>13015</v>
      </c>
      <c r="C1115" s="182" t="s">
        <v>1229</v>
      </c>
      <c r="D1115" s="182">
        <v>1985</v>
      </c>
      <c r="E1115" s="183">
        <v>7</v>
      </c>
      <c r="F1115" s="183">
        <v>311</v>
      </c>
      <c r="G1115" s="184">
        <v>0</v>
      </c>
      <c r="H1115" s="158"/>
      <c r="I1115" s="154"/>
      <c r="J1115" s="154"/>
      <c r="K1115" s="154"/>
      <c r="L1115" s="154"/>
      <c r="M1115" s="154"/>
      <c r="N1115" s="154"/>
      <c r="O1115" s="154"/>
      <c r="P1115" s="154"/>
      <c r="Q1115" s="154"/>
      <c r="R1115" s="154"/>
      <c r="S1115" s="154"/>
      <c r="T1115" s="154"/>
      <c r="U1115" s="154"/>
      <c r="V1115" s="154"/>
      <c r="W1115" s="154"/>
      <c r="X1115" s="154"/>
      <c r="Y1115" s="154"/>
      <c r="Z1115" s="154"/>
      <c r="AA1115" s="154"/>
    </row>
    <row r="1116" spans="1:27" ht="15">
      <c r="A1116" s="180">
        <v>45901</v>
      </c>
      <c r="B1116" s="181" t="s">
        <v>13017</v>
      </c>
      <c r="C1116" s="182" t="s">
        <v>1229</v>
      </c>
      <c r="D1116" s="182">
        <v>1995</v>
      </c>
      <c r="E1116" s="183">
        <v>2</v>
      </c>
      <c r="F1116" s="183">
        <v>105</v>
      </c>
      <c r="G1116" s="184">
        <v>0</v>
      </c>
      <c r="H1116" s="158"/>
      <c r="I1116" s="154"/>
      <c r="J1116" s="154"/>
      <c r="K1116" s="154"/>
      <c r="L1116" s="154"/>
      <c r="M1116" s="154"/>
      <c r="N1116" s="154"/>
      <c r="O1116" s="154"/>
      <c r="P1116" s="154"/>
      <c r="Q1116" s="154"/>
      <c r="R1116" s="154"/>
      <c r="S1116" s="154"/>
      <c r="T1116" s="154"/>
      <c r="U1116" s="154"/>
      <c r="V1116" s="154"/>
      <c r="W1116" s="154"/>
      <c r="X1116" s="154"/>
      <c r="Y1116" s="154"/>
      <c r="Z1116" s="154"/>
      <c r="AA1116" s="154"/>
    </row>
    <row r="1117" spans="1:27" ht="15">
      <c r="A1117" s="180">
        <v>45901</v>
      </c>
      <c r="B1117" s="181" t="s">
        <v>13018</v>
      </c>
      <c r="C1117" s="182" t="s">
        <v>1229</v>
      </c>
      <c r="D1117" s="182">
        <v>19905</v>
      </c>
      <c r="E1117" s="183">
        <v>23</v>
      </c>
      <c r="F1117" s="183">
        <v>943</v>
      </c>
      <c r="G1117" s="184">
        <v>5</v>
      </c>
      <c r="H1117" s="158"/>
      <c r="I1117" s="154"/>
      <c r="J1117" s="154"/>
      <c r="K1117" s="154"/>
      <c r="L1117" s="154"/>
      <c r="M1117" s="154"/>
      <c r="N1117" s="154"/>
      <c r="O1117" s="154"/>
      <c r="P1117" s="154"/>
      <c r="Q1117" s="154"/>
      <c r="R1117" s="154"/>
      <c r="S1117" s="154"/>
      <c r="T1117" s="154"/>
      <c r="U1117" s="154"/>
      <c r="V1117" s="154"/>
      <c r="W1117" s="154"/>
      <c r="X1117" s="154"/>
      <c r="Y1117" s="154"/>
      <c r="Z1117" s="154"/>
      <c r="AA1117" s="154"/>
    </row>
    <row r="1118" spans="1:27" ht="15">
      <c r="A1118" s="180">
        <v>45901</v>
      </c>
      <c r="B1118" s="181" t="s">
        <v>13021</v>
      </c>
      <c r="C1118" s="182" t="s">
        <v>1774</v>
      </c>
      <c r="D1118" s="182">
        <v>1718</v>
      </c>
      <c r="E1118" s="183">
        <v>0</v>
      </c>
      <c r="F1118" s="183">
        <v>152</v>
      </c>
      <c r="G1118" s="184">
        <v>0</v>
      </c>
      <c r="H1118" s="158"/>
      <c r="I1118" s="154"/>
      <c r="J1118" s="154"/>
      <c r="K1118" s="154"/>
      <c r="L1118" s="154"/>
      <c r="M1118" s="154"/>
      <c r="N1118" s="154"/>
      <c r="O1118" s="154"/>
      <c r="P1118" s="154"/>
      <c r="Q1118" s="154"/>
      <c r="R1118" s="154"/>
      <c r="S1118" s="154"/>
      <c r="T1118" s="154"/>
      <c r="U1118" s="154"/>
      <c r="V1118" s="154"/>
      <c r="W1118" s="154"/>
      <c r="X1118" s="154"/>
      <c r="Y1118" s="154"/>
      <c r="Z1118" s="154"/>
      <c r="AA1118" s="154"/>
    </row>
    <row r="1119" spans="1:27" ht="15">
      <c r="A1119" s="180">
        <v>45901</v>
      </c>
      <c r="B1119" s="181" t="s">
        <v>13022</v>
      </c>
      <c r="C1119" s="182" t="s">
        <v>1774</v>
      </c>
      <c r="D1119" s="182">
        <v>547</v>
      </c>
      <c r="E1119" s="183">
        <v>2</v>
      </c>
      <c r="F1119" s="183">
        <v>54</v>
      </c>
      <c r="G1119" s="184">
        <v>0</v>
      </c>
      <c r="H1119" s="158"/>
      <c r="I1119" s="154"/>
      <c r="J1119" s="154"/>
      <c r="K1119" s="154"/>
      <c r="L1119" s="154"/>
      <c r="M1119" s="154"/>
      <c r="N1119" s="154"/>
      <c r="O1119" s="154"/>
      <c r="P1119" s="154"/>
      <c r="Q1119" s="154"/>
      <c r="R1119" s="154"/>
      <c r="S1119" s="154"/>
      <c r="T1119" s="154"/>
      <c r="U1119" s="154"/>
      <c r="V1119" s="154"/>
      <c r="W1119" s="154"/>
      <c r="X1119" s="154"/>
      <c r="Y1119" s="154"/>
      <c r="Z1119" s="154"/>
      <c r="AA1119" s="154"/>
    </row>
    <row r="1120" spans="1:27" ht="15">
      <c r="A1120" s="180">
        <v>45902</v>
      </c>
      <c r="B1120" s="181" t="s">
        <v>13066</v>
      </c>
      <c r="C1120" s="182" t="s">
        <v>12899</v>
      </c>
      <c r="D1120" s="182">
        <v>9828</v>
      </c>
      <c r="E1120" s="183">
        <v>8</v>
      </c>
      <c r="F1120" s="183">
        <v>419</v>
      </c>
      <c r="G1120" s="184">
        <v>0</v>
      </c>
      <c r="H1120" s="158"/>
      <c r="I1120" s="154"/>
      <c r="J1120" s="154"/>
      <c r="K1120" s="154"/>
      <c r="L1120" s="154"/>
      <c r="M1120" s="154"/>
      <c r="N1120" s="154"/>
      <c r="O1120" s="154"/>
      <c r="P1120" s="154"/>
      <c r="Q1120" s="154"/>
      <c r="R1120" s="154"/>
      <c r="S1120" s="154"/>
      <c r="T1120" s="154"/>
      <c r="U1120" s="154"/>
      <c r="V1120" s="154"/>
      <c r="W1120" s="154"/>
      <c r="X1120" s="154"/>
      <c r="Y1120" s="154"/>
      <c r="Z1120" s="154"/>
      <c r="AA1120" s="154"/>
    </row>
    <row r="1121" spans="1:27" ht="15">
      <c r="A1121" s="180">
        <v>45902</v>
      </c>
      <c r="B1121" s="181" t="s">
        <v>13067</v>
      </c>
      <c r="C1121" s="182" t="s">
        <v>12899</v>
      </c>
      <c r="D1121" s="182">
        <v>9233</v>
      </c>
      <c r="E1121" s="183">
        <v>2</v>
      </c>
      <c r="F1121" s="183">
        <v>390</v>
      </c>
      <c r="G1121" s="184">
        <v>0</v>
      </c>
      <c r="H1121" s="158"/>
      <c r="I1121" s="154"/>
      <c r="J1121" s="154"/>
      <c r="K1121" s="154"/>
      <c r="L1121" s="154"/>
      <c r="M1121" s="154"/>
      <c r="N1121" s="154"/>
      <c r="O1121" s="154"/>
      <c r="P1121" s="154"/>
      <c r="Q1121" s="154"/>
      <c r="R1121" s="154"/>
      <c r="S1121" s="154"/>
      <c r="T1121" s="154"/>
      <c r="U1121" s="154"/>
      <c r="V1121" s="154"/>
      <c r="W1121" s="154"/>
      <c r="X1121" s="154"/>
      <c r="Y1121" s="154"/>
      <c r="Z1121" s="154"/>
      <c r="AA1121" s="154"/>
    </row>
    <row r="1122" spans="1:27" ht="15">
      <c r="A1122" s="180">
        <v>45902</v>
      </c>
      <c r="B1122" s="181" t="s">
        <v>13068</v>
      </c>
      <c r="C1122" s="182" t="s">
        <v>12899</v>
      </c>
      <c r="D1122" s="182">
        <v>21493</v>
      </c>
      <c r="E1122" s="183">
        <v>9</v>
      </c>
      <c r="F1122" s="183">
        <v>760</v>
      </c>
      <c r="G1122" s="184">
        <v>2</v>
      </c>
      <c r="H1122" s="158"/>
      <c r="I1122" s="154"/>
      <c r="J1122" s="154"/>
      <c r="K1122" s="154"/>
      <c r="L1122" s="154"/>
      <c r="M1122" s="154"/>
      <c r="N1122" s="154"/>
      <c r="O1122" s="154"/>
      <c r="P1122" s="154"/>
      <c r="Q1122" s="154"/>
      <c r="R1122" s="154"/>
      <c r="S1122" s="154"/>
      <c r="T1122" s="154"/>
      <c r="U1122" s="154"/>
      <c r="V1122" s="154"/>
      <c r="W1122" s="154"/>
      <c r="X1122" s="154"/>
      <c r="Y1122" s="154"/>
      <c r="Z1122" s="154"/>
      <c r="AA1122" s="154"/>
    </row>
    <row r="1123" spans="1:27" ht="15">
      <c r="A1123" s="180">
        <v>45902</v>
      </c>
      <c r="B1123" s="181" t="s">
        <v>13063</v>
      </c>
      <c r="C1123" s="182" t="s">
        <v>12898</v>
      </c>
      <c r="D1123" s="182">
        <v>125655</v>
      </c>
      <c r="E1123" s="183">
        <v>165</v>
      </c>
      <c r="F1123" s="183">
        <v>10764</v>
      </c>
      <c r="G1123" s="184">
        <v>35</v>
      </c>
      <c r="H1123" s="158"/>
      <c r="I1123" s="154"/>
      <c r="J1123" s="154"/>
      <c r="K1123" s="154"/>
      <c r="L1123" s="154"/>
      <c r="M1123" s="154"/>
      <c r="N1123" s="154"/>
      <c r="O1123" s="154"/>
      <c r="P1123" s="154"/>
      <c r="Q1123" s="154"/>
      <c r="R1123" s="154"/>
      <c r="S1123" s="154"/>
      <c r="T1123" s="154"/>
      <c r="U1123" s="154"/>
      <c r="V1123" s="154"/>
      <c r="W1123" s="154"/>
      <c r="X1123" s="154"/>
      <c r="Y1123" s="154"/>
      <c r="Z1123" s="154"/>
      <c r="AA1123" s="154"/>
    </row>
    <row r="1124" spans="1:27" ht="15">
      <c r="A1124" s="180">
        <v>45902</v>
      </c>
      <c r="B1124" s="181" t="s">
        <v>13064</v>
      </c>
      <c r="C1124" s="182" t="s">
        <v>12898</v>
      </c>
      <c r="D1124" s="182">
        <v>11788</v>
      </c>
      <c r="E1124" s="183">
        <v>16</v>
      </c>
      <c r="F1124" s="183">
        <v>1604</v>
      </c>
      <c r="G1124" s="184">
        <v>0</v>
      </c>
      <c r="H1124" s="158"/>
      <c r="I1124" s="154"/>
      <c r="J1124" s="154"/>
      <c r="K1124" s="154"/>
      <c r="L1124" s="154"/>
      <c r="M1124" s="154"/>
      <c r="N1124" s="154"/>
      <c r="O1124" s="154"/>
      <c r="P1124" s="154"/>
      <c r="Q1124" s="154"/>
      <c r="R1124" s="154"/>
      <c r="S1124" s="154"/>
      <c r="T1124" s="154"/>
      <c r="U1124" s="154"/>
      <c r="V1124" s="154"/>
      <c r="W1124" s="154"/>
      <c r="X1124" s="154"/>
      <c r="Y1124" s="154"/>
      <c r="Z1124" s="154"/>
      <c r="AA1124" s="154"/>
    </row>
    <row r="1125" spans="1:27" ht="15">
      <c r="A1125" s="180">
        <v>45902</v>
      </c>
      <c r="B1125" s="181" t="s">
        <v>13065</v>
      </c>
      <c r="C1125" s="182" t="s">
        <v>12898</v>
      </c>
      <c r="D1125" s="182">
        <v>109674</v>
      </c>
      <c r="E1125" s="183">
        <v>179</v>
      </c>
      <c r="F1125" s="183">
        <v>10918</v>
      </c>
      <c r="G1125" s="184">
        <v>26</v>
      </c>
      <c r="H1125" s="158"/>
      <c r="I1125" s="154"/>
      <c r="J1125" s="154"/>
      <c r="K1125" s="154"/>
      <c r="L1125" s="154"/>
      <c r="M1125" s="154"/>
      <c r="N1125" s="154"/>
      <c r="O1125" s="154"/>
      <c r="P1125" s="154"/>
      <c r="Q1125" s="154"/>
      <c r="R1125" s="154"/>
      <c r="S1125" s="154"/>
      <c r="T1125" s="154"/>
      <c r="U1125" s="154"/>
      <c r="V1125" s="154"/>
      <c r="W1125" s="154"/>
      <c r="X1125" s="154"/>
      <c r="Y1125" s="154"/>
      <c r="Z1125" s="154"/>
      <c r="AA1125" s="154"/>
    </row>
    <row r="1126" spans="1:27" ht="15">
      <c r="A1126" s="180">
        <v>45902</v>
      </c>
      <c r="B1126" s="181" t="s">
        <v>13060</v>
      </c>
      <c r="C1126" s="182" t="s">
        <v>1774</v>
      </c>
      <c r="D1126" s="182">
        <v>26254</v>
      </c>
      <c r="E1126" s="183">
        <v>15</v>
      </c>
      <c r="F1126" s="183">
        <v>1392</v>
      </c>
      <c r="G1126" s="184">
        <v>3</v>
      </c>
      <c r="H1126" s="158"/>
      <c r="I1126" s="154"/>
      <c r="J1126" s="154"/>
      <c r="K1126" s="154"/>
      <c r="L1126" s="154"/>
      <c r="M1126" s="154"/>
      <c r="N1126" s="154"/>
      <c r="O1126" s="154"/>
      <c r="P1126" s="154"/>
      <c r="Q1126" s="154"/>
      <c r="R1126" s="154"/>
      <c r="S1126" s="154"/>
      <c r="T1126" s="154"/>
      <c r="U1126" s="154"/>
      <c r="V1126" s="154"/>
      <c r="W1126" s="154"/>
      <c r="X1126" s="154"/>
      <c r="Y1126" s="154"/>
      <c r="Z1126" s="154"/>
      <c r="AA1126" s="154"/>
    </row>
    <row r="1127" spans="1:27" ht="15">
      <c r="A1127" s="180">
        <v>45902</v>
      </c>
      <c r="B1127" s="181" t="s">
        <v>13059</v>
      </c>
      <c r="C1127" s="182" t="s">
        <v>12897</v>
      </c>
      <c r="D1127" s="182">
        <v>31691</v>
      </c>
      <c r="E1127" s="183">
        <v>36</v>
      </c>
      <c r="F1127" s="183">
        <v>2603</v>
      </c>
      <c r="G1127" s="184">
        <v>4</v>
      </c>
      <c r="H1127" s="158"/>
      <c r="I1127" s="154"/>
      <c r="J1127" s="154"/>
      <c r="K1127" s="154"/>
      <c r="L1127" s="154"/>
      <c r="M1127" s="154"/>
      <c r="N1127" s="154"/>
      <c r="O1127" s="154"/>
      <c r="P1127" s="154"/>
      <c r="Q1127" s="154"/>
      <c r="R1127" s="154"/>
      <c r="S1127" s="154"/>
      <c r="T1127" s="154"/>
      <c r="U1127" s="154"/>
      <c r="V1127" s="154"/>
      <c r="W1127" s="154"/>
      <c r="X1127" s="154"/>
      <c r="Y1127" s="154"/>
      <c r="Z1127" s="154"/>
      <c r="AA1127" s="154"/>
    </row>
    <row r="1128" spans="1:27" ht="15">
      <c r="A1128" s="180">
        <v>45902</v>
      </c>
      <c r="B1128" s="181" t="s">
        <v>13059</v>
      </c>
      <c r="C1128" s="182" t="s">
        <v>12897</v>
      </c>
      <c r="D1128" s="182">
        <v>11210</v>
      </c>
      <c r="E1128" s="183">
        <v>8</v>
      </c>
      <c r="F1128" s="183">
        <v>615</v>
      </c>
      <c r="G1128" s="184">
        <v>0</v>
      </c>
      <c r="H1128" s="158"/>
      <c r="I1128" s="154"/>
      <c r="J1128" s="154"/>
      <c r="K1128" s="154"/>
      <c r="L1128" s="154"/>
      <c r="M1128" s="154"/>
      <c r="N1128" s="154"/>
      <c r="O1128" s="154"/>
      <c r="P1128" s="154"/>
      <c r="Q1128" s="154"/>
      <c r="R1128" s="154"/>
      <c r="S1128" s="154"/>
      <c r="T1128" s="154"/>
      <c r="U1128" s="154"/>
      <c r="V1128" s="154"/>
      <c r="W1128" s="154"/>
      <c r="X1128" s="154"/>
      <c r="Y1128" s="154"/>
      <c r="Z1128" s="154"/>
      <c r="AA1128" s="154"/>
    </row>
    <row r="1129" spans="1:27" ht="15">
      <c r="A1129" s="180">
        <v>45902</v>
      </c>
      <c r="B1129" s="181" t="s">
        <v>13056</v>
      </c>
      <c r="C1129" s="182" t="s">
        <v>12897</v>
      </c>
      <c r="D1129" s="182">
        <v>4515</v>
      </c>
      <c r="E1129" s="183">
        <v>6</v>
      </c>
      <c r="F1129" s="183">
        <v>307</v>
      </c>
      <c r="G1129" s="184">
        <v>0</v>
      </c>
      <c r="H1129" s="158"/>
      <c r="I1129" s="154"/>
      <c r="J1129" s="154"/>
      <c r="K1129" s="154"/>
      <c r="L1129" s="154"/>
      <c r="M1129" s="154"/>
      <c r="N1129" s="154"/>
      <c r="O1129" s="154"/>
      <c r="P1129" s="154"/>
      <c r="Q1129" s="154"/>
      <c r="R1129" s="154"/>
      <c r="S1129" s="154"/>
      <c r="T1129" s="154"/>
      <c r="U1129" s="154"/>
      <c r="V1129" s="154"/>
      <c r="W1129" s="154"/>
      <c r="X1129" s="154"/>
      <c r="Y1129" s="154"/>
      <c r="Z1129" s="154"/>
      <c r="AA1129" s="154"/>
    </row>
    <row r="1130" spans="1:27" ht="15">
      <c r="A1130" s="180">
        <v>45902</v>
      </c>
      <c r="B1130" s="181" t="s">
        <v>13048</v>
      </c>
      <c r="C1130" s="182" t="s">
        <v>12896</v>
      </c>
      <c r="D1130" s="182">
        <v>73066</v>
      </c>
      <c r="E1130" s="183">
        <v>62</v>
      </c>
      <c r="F1130" s="183">
        <v>4835</v>
      </c>
      <c r="G1130" s="184">
        <v>9</v>
      </c>
      <c r="H1130" s="158"/>
      <c r="I1130" s="154"/>
      <c r="J1130" s="154"/>
      <c r="K1130" s="154"/>
      <c r="L1130" s="154"/>
      <c r="M1130" s="154"/>
      <c r="N1130" s="154"/>
      <c r="O1130" s="154"/>
      <c r="P1130" s="154"/>
      <c r="Q1130" s="154"/>
      <c r="R1130" s="154"/>
      <c r="S1130" s="154"/>
      <c r="T1130" s="154"/>
      <c r="U1130" s="154"/>
      <c r="V1130" s="154"/>
      <c r="W1130" s="154"/>
      <c r="X1130" s="154"/>
      <c r="Y1130" s="154"/>
      <c r="Z1130" s="154"/>
      <c r="AA1130" s="154"/>
    </row>
    <row r="1131" spans="1:27" ht="15">
      <c r="A1131" s="180">
        <v>45902</v>
      </c>
      <c r="B1131" s="181" t="s">
        <v>13015</v>
      </c>
      <c r="C1131" s="182" t="s">
        <v>1229</v>
      </c>
      <c r="D1131" s="182">
        <v>9726</v>
      </c>
      <c r="E1131" s="183">
        <v>13</v>
      </c>
      <c r="F1131" s="183">
        <v>1289</v>
      </c>
      <c r="G1131" s="184">
        <v>1</v>
      </c>
      <c r="H1131" s="158"/>
      <c r="I1131" s="154"/>
      <c r="J1131" s="154"/>
      <c r="K1131" s="154"/>
      <c r="L1131" s="154"/>
      <c r="M1131" s="154"/>
      <c r="N1131" s="154"/>
      <c r="O1131" s="154"/>
      <c r="P1131" s="154"/>
      <c r="Q1131" s="154"/>
      <c r="R1131" s="154"/>
      <c r="S1131" s="154"/>
      <c r="T1131" s="154"/>
      <c r="U1131" s="154"/>
      <c r="V1131" s="154"/>
      <c r="W1131" s="154"/>
      <c r="X1131" s="154"/>
      <c r="Y1131" s="154"/>
      <c r="Z1131" s="154"/>
      <c r="AA1131" s="154"/>
    </row>
    <row r="1132" spans="1:27" ht="15">
      <c r="A1132" s="180">
        <v>45902</v>
      </c>
      <c r="B1132" s="181" t="s">
        <v>13017</v>
      </c>
      <c r="C1132" s="182" t="s">
        <v>1229</v>
      </c>
      <c r="D1132" s="182">
        <v>2579</v>
      </c>
      <c r="E1132" s="183">
        <v>8</v>
      </c>
      <c r="F1132" s="183">
        <v>722</v>
      </c>
      <c r="G1132" s="184">
        <v>0</v>
      </c>
      <c r="H1132" s="158"/>
      <c r="I1132" s="154"/>
      <c r="J1132" s="154"/>
      <c r="K1132" s="154"/>
      <c r="L1132" s="154"/>
      <c r="M1132" s="154"/>
      <c r="N1132" s="154"/>
      <c r="O1132" s="154"/>
      <c r="P1132" s="154"/>
      <c r="Q1132" s="154"/>
      <c r="R1132" s="154"/>
      <c r="S1132" s="154"/>
      <c r="T1132" s="154"/>
      <c r="U1132" s="154"/>
      <c r="V1132" s="154"/>
      <c r="W1132" s="154"/>
      <c r="X1132" s="154"/>
      <c r="Y1132" s="154"/>
      <c r="Z1132" s="154"/>
      <c r="AA1132" s="154"/>
    </row>
    <row r="1133" spans="1:27" ht="15">
      <c r="A1133" s="180">
        <v>45902</v>
      </c>
      <c r="B1133" s="181" t="s">
        <v>13018</v>
      </c>
      <c r="C1133" s="182" t="s">
        <v>1229</v>
      </c>
      <c r="D1133" s="182">
        <v>29144</v>
      </c>
      <c r="E1133" s="183">
        <v>43</v>
      </c>
      <c r="F1133" s="183">
        <v>1773</v>
      </c>
      <c r="G1133" s="184">
        <v>3</v>
      </c>
      <c r="H1133" s="158"/>
      <c r="I1133" s="154"/>
      <c r="J1133" s="154"/>
      <c r="K1133" s="154"/>
      <c r="L1133" s="154"/>
      <c r="M1133" s="154"/>
      <c r="N1133" s="154"/>
      <c r="O1133" s="154"/>
      <c r="P1133" s="154"/>
      <c r="Q1133" s="154"/>
      <c r="R1133" s="154"/>
      <c r="S1133" s="154"/>
      <c r="T1133" s="154"/>
      <c r="U1133" s="154"/>
      <c r="V1133" s="154"/>
      <c r="W1133" s="154"/>
      <c r="X1133" s="154"/>
      <c r="Y1133" s="154"/>
      <c r="Z1133" s="154"/>
      <c r="AA1133" s="154"/>
    </row>
    <row r="1134" spans="1:27" ht="15">
      <c r="A1134" s="180">
        <v>45902</v>
      </c>
      <c r="B1134" s="181" t="s">
        <v>13021</v>
      </c>
      <c r="C1134" s="182" t="s">
        <v>1774</v>
      </c>
      <c r="D1134" s="182">
        <v>4083</v>
      </c>
      <c r="E1134" s="183">
        <v>7</v>
      </c>
      <c r="F1134" s="183">
        <v>351</v>
      </c>
      <c r="G1134" s="184">
        <v>0</v>
      </c>
      <c r="H1134" s="158"/>
      <c r="I1134" s="154"/>
      <c r="J1134" s="154"/>
      <c r="K1134" s="154"/>
      <c r="L1134" s="154"/>
      <c r="M1134" s="154"/>
      <c r="N1134" s="154"/>
      <c r="O1134" s="154"/>
      <c r="P1134" s="154"/>
      <c r="Q1134" s="154"/>
      <c r="R1134" s="154"/>
      <c r="S1134" s="154"/>
      <c r="T1134" s="154"/>
      <c r="U1134" s="154"/>
      <c r="V1134" s="154"/>
      <c r="W1134" s="154"/>
      <c r="X1134" s="154"/>
      <c r="Y1134" s="154"/>
      <c r="Z1134" s="154"/>
      <c r="AA1134" s="154"/>
    </row>
    <row r="1135" spans="1:27" ht="15">
      <c r="A1135" s="180">
        <v>45902</v>
      </c>
      <c r="B1135" s="181" t="s">
        <v>13022</v>
      </c>
      <c r="C1135" s="182" t="s">
        <v>1774</v>
      </c>
      <c r="D1135" s="182">
        <v>2093</v>
      </c>
      <c r="E1135" s="183">
        <v>2</v>
      </c>
      <c r="F1135" s="183">
        <v>262</v>
      </c>
      <c r="G1135" s="184">
        <v>0</v>
      </c>
      <c r="H1135" s="158"/>
      <c r="I1135" s="154"/>
      <c r="J1135" s="154"/>
      <c r="K1135" s="154"/>
      <c r="L1135" s="154"/>
      <c r="M1135" s="154"/>
      <c r="N1135" s="154"/>
      <c r="O1135" s="154"/>
      <c r="P1135" s="154"/>
      <c r="Q1135" s="154"/>
      <c r="R1135" s="154"/>
      <c r="S1135" s="154"/>
      <c r="T1135" s="154"/>
      <c r="U1135" s="154"/>
      <c r="V1135" s="154"/>
      <c r="W1135" s="154"/>
      <c r="X1135" s="154"/>
      <c r="Y1135" s="154"/>
      <c r="Z1135" s="154"/>
      <c r="AA1135" s="154"/>
    </row>
    <row r="1136" spans="1:27" ht="15">
      <c r="A1136" s="180">
        <v>45903</v>
      </c>
      <c r="B1136" s="181" t="s">
        <v>13066</v>
      </c>
      <c r="C1136" s="182" t="s">
        <v>12899</v>
      </c>
      <c r="D1136" s="182">
        <v>78971</v>
      </c>
      <c r="E1136" s="183">
        <v>143</v>
      </c>
      <c r="F1136" s="183">
        <v>9548</v>
      </c>
      <c r="G1136" s="184">
        <v>14</v>
      </c>
      <c r="H1136" s="158"/>
      <c r="I1136" s="154"/>
      <c r="J1136" s="154"/>
      <c r="K1136" s="154"/>
      <c r="L1136" s="154"/>
      <c r="M1136" s="154"/>
      <c r="N1136" s="154"/>
      <c r="O1136" s="154"/>
      <c r="P1136" s="154"/>
      <c r="Q1136" s="154"/>
      <c r="R1136" s="154"/>
      <c r="S1136" s="154"/>
      <c r="T1136" s="154"/>
      <c r="U1136" s="154"/>
      <c r="V1136" s="154"/>
      <c r="W1136" s="154"/>
      <c r="X1136" s="154"/>
      <c r="Y1136" s="154"/>
      <c r="Z1136" s="154"/>
      <c r="AA1136" s="154"/>
    </row>
    <row r="1137" spans="1:27" ht="15">
      <c r="A1137" s="180">
        <v>45903</v>
      </c>
      <c r="B1137" s="181" t="s">
        <v>13067</v>
      </c>
      <c r="C1137" s="182" t="s">
        <v>12899</v>
      </c>
      <c r="D1137" s="182">
        <v>10539</v>
      </c>
      <c r="E1137" s="183">
        <v>9</v>
      </c>
      <c r="F1137" s="183">
        <v>1655</v>
      </c>
      <c r="G1137" s="184">
        <v>1</v>
      </c>
      <c r="H1137" s="158"/>
      <c r="I1137" s="154"/>
      <c r="J1137" s="154"/>
      <c r="K1137" s="154"/>
      <c r="L1137" s="154"/>
      <c r="M1137" s="154"/>
      <c r="N1137" s="154"/>
      <c r="O1137" s="154"/>
      <c r="P1137" s="154"/>
      <c r="Q1137" s="154"/>
      <c r="R1137" s="154"/>
      <c r="S1137" s="154"/>
      <c r="T1137" s="154"/>
      <c r="U1137" s="154"/>
      <c r="V1137" s="154"/>
      <c r="W1137" s="154"/>
      <c r="X1137" s="154"/>
      <c r="Y1137" s="154"/>
      <c r="Z1137" s="154"/>
      <c r="AA1137" s="154"/>
    </row>
    <row r="1138" spans="1:27" ht="15">
      <c r="A1138" s="180">
        <v>45903</v>
      </c>
      <c r="B1138" s="181" t="s">
        <v>13068</v>
      </c>
      <c r="C1138" s="182" t="s">
        <v>12899</v>
      </c>
      <c r="D1138" s="182">
        <v>13457</v>
      </c>
      <c r="E1138" s="183">
        <v>29</v>
      </c>
      <c r="F1138" s="183">
        <v>3977</v>
      </c>
      <c r="G1138" s="184">
        <v>1</v>
      </c>
      <c r="H1138" s="158"/>
      <c r="I1138" s="154"/>
      <c r="J1138" s="154"/>
      <c r="K1138" s="154"/>
      <c r="L1138" s="154"/>
      <c r="M1138" s="154"/>
      <c r="N1138" s="154"/>
      <c r="O1138" s="154"/>
      <c r="P1138" s="154"/>
      <c r="Q1138" s="154"/>
      <c r="R1138" s="154"/>
      <c r="S1138" s="154"/>
      <c r="T1138" s="154"/>
      <c r="U1138" s="154"/>
      <c r="V1138" s="154"/>
      <c r="W1138" s="154"/>
      <c r="X1138" s="154"/>
      <c r="Y1138" s="154"/>
      <c r="Z1138" s="154"/>
      <c r="AA1138" s="154"/>
    </row>
    <row r="1139" spans="1:27" ht="15">
      <c r="A1139" s="180">
        <v>45903</v>
      </c>
      <c r="B1139" s="181" t="s">
        <v>13063</v>
      </c>
      <c r="C1139" s="182" t="s">
        <v>12898</v>
      </c>
      <c r="D1139" s="182">
        <v>48074</v>
      </c>
      <c r="E1139" s="183">
        <v>80</v>
      </c>
      <c r="F1139" s="183">
        <v>4870</v>
      </c>
      <c r="G1139" s="184">
        <v>7</v>
      </c>
      <c r="H1139" s="158"/>
      <c r="I1139" s="154"/>
      <c r="J1139" s="154"/>
      <c r="K1139" s="154"/>
      <c r="L1139" s="154"/>
      <c r="M1139" s="154"/>
      <c r="N1139" s="154"/>
      <c r="O1139" s="154"/>
      <c r="P1139" s="154"/>
      <c r="Q1139" s="154"/>
      <c r="R1139" s="154"/>
      <c r="S1139" s="154"/>
      <c r="T1139" s="154"/>
      <c r="U1139" s="154"/>
      <c r="V1139" s="154"/>
      <c r="W1139" s="154"/>
      <c r="X1139" s="154"/>
      <c r="Y1139" s="154"/>
      <c r="Z1139" s="154"/>
      <c r="AA1139" s="154"/>
    </row>
    <row r="1140" spans="1:27" ht="15">
      <c r="A1140" s="180">
        <v>45903</v>
      </c>
      <c r="B1140" s="181" t="s">
        <v>13064</v>
      </c>
      <c r="C1140" s="182" t="s">
        <v>12898</v>
      </c>
      <c r="D1140" s="182">
        <v>32212</v>
      </c>
      <c r="E1140" s="183">
        <v>48</v>
      </c>
      <c r="F1140" s="183">
        <v>2702</v>
      </c>
      <c r="G1140" s="184">
        <v>3</v>
      </c>
      <c r="H1140" s="158"/>
      <c r="I1140" s="154"/>
      <c r="J1140" s="154"/>
      <c r="K1140" s="154"/>
      <c r="L1140" s="154"/>
      <c r="M1140" s="154"/>
      <c r="N1140" s="154"/>
      <c r="O1140" s="154"/>
      <c r="P1140" s="154"/>
      <c r="Q1140" s="154"/>
      <c r="R1140" s="154"/>
      <c r="S1140" s="154"/>
      <c r="T1140" s="154"/>
      <c r="U1140" s="154"/>
      <c r="V1140" s="154"/>
      <c r="W1140" s="154"/>
      <c r="X1140" s="154"/>
      <c r="Y1140" s="154"/>
      <c r="Z1140" s="154"/>
      <c r="AA1140" s="154"/>
    </row>
    <row r="1141" spans="1:27" ht="15">
      <c r="A1141" s="180">
        <v>45903</v>
      </c>
      <c r="B1141" s="181" t="s">
        <v>13065</v>
      </c>
      <c r="C1141" s="182" t="s">
        <v>12898</v>
      </c>
      <c r="D1141" s="182">
        <v>149156</v>
      </c>
      <c r="E1141" s="183">
        <v>260</v>
      </c>
      <c r="F1141" s="183">
        <v>15000</v>
      </c>
      <c r="G1141" s="184">
        <v>29</v>
      </c>
      <c r="H1141" s="158"/>
      <c r="I1141" s="154"/>
      <c r="J1141" s="154"/>
      <c r="K1141" s="154"/>
      <c r="L1141" s="154"/>
      <c r="M1141" s="154"/>
      <c r="N1141" s="154"/>
      <c r="O1141" s="154"/>
      <c r="P1141" s="154"/>
      <c r="Q1141" s="154"/>
      <c r="R1141" s="154"/>
      <c r="S1141" s="154"/>
      <c r="T1141" s="154"/>
      <c r="U1141" s="154"/>
      <c r="V1141" s="154"/>
      <c r="W1141" s="154"/>
      <c r="X1141" s="154"/>
      <c r="Y1141" s="154"/>
      <c r="Z1141" s="154"/>
      <c r="AA1141" s="154"/>
    </row>
    <row r="1142" spans="1:27" ht="15">
      <c r="A1142" s="180">
        <v>45903</v>
      </c>
      <c r="B1142" s="181" t="s">
        <v>13060</v>
      </c>
      <c r="C1142" s="182" t="s">
        <v>1774</v>
      </c>
      <c r="D1142" s="182">
        <v>11250</v>
      </c>
      <c r="E1142" s="183">
        <v>5</v>
      </c>
      <c r="F1142" s="183">
        <v>612</v>
      </c>
      <c r="G1142" s="184">
        <v>0</v>
      </c>
      <c r="H1142" s="158"/>
      <c r="I1142" s="154"/>
      <c r="J1142" s="154"/>
      <c r="K1142" s="154"/>
      <c r="L1142" s="154"/>
      <c r="M1142" s="154"/>
      <c r="N1142" s="154"/>
      <c r="O1142" s="154"/>
      <c r="P1142" s="154"/>
      <c r="Q1142" s="154"/>
      <c r="R1142" s="154"/>
      <c r="S1142" s="154"/>
      <c r="T1142" s="154"/>
      <c r="U1142" s="154"/>
      <c r="V1142" s="154"/>
      <c r="W1142" s="154"/>
      <c r="X1142" s="154"/>
      <c r="Y1142" s="154"/>
      <c r="Z1142" s="154"/>
      <c r="AA1142" s="154"/>
    </row>
    <row r="1143" spans="1:27" ht="15">
      <c r="A1143" s="180">
        <v>45903</v>
      </c>
      <c r="B1143" s="181" t="s">
        <v>13059</v>
      </c>
      <c r="C1143" s="182" t="s">
        <v>12897</v>
      </c>
      <c r="D1143" s="182">
        <v>81405</v>
      </c>
      <c r="E1143" s="183">
        <v>81</v>
      </c>
      <c r="F1143" s="183">
        <v>6589</v>
      </c>
      <c r="G1143" s="184">
        <v>11</v>
      </c>
      <c r="H1143" s="158"/>
      <c r="I1143" s="154"/>
      <c r="J1143" s="154"/>
      <c r="K1143" s="154"/>
      <c r="L1143" s="154"/>
      <c r="M1143" s="154"/>
      <c r="N1143" s="154"/>
      <c r="O1143" s="154"/>
      <c r="P1143" s="154"/>
      <c r="Q1143" s="154"/>
      <c r="R1143" s="154"/>
      <c r="S1143" s="154"/>
      <c r="T1143" s="154"/>
      <c r="U1143" s="154"/>
      <c r="V1143" s="154"/>
      <c r="W1143" s="154"/>
      <c r="X1143" s="154"/>
      <c r="Y1143" s="154"/>
      <c r="Z1143" s="154"/>
      <c r="AA1143" s="154"/>
    </row>
    <row r="1144" spans="1:27" ht="15">
      <c r="A1144" s="180">
        <v>45903</v>
      </c>
      <c r="B1144" s="181" t="s">
        <v>13059</v>
      </c>
      <c r="C1144" s="182" t="s">
        <v>12897</v>
      </c>
      <c r="D1144" s="182">
        <v>16766</v>
      </c>
      <c r="E1144" s="183">
        <v>19</v>
      </c>
      <c r="F1144" s="183">
        <v>1242</v>
      </c>
      <c r="G1144" s="184">
        <v>2</v>
      </c>
      <c r="H1144" s="158"/>
      <c r="I1144" s="154"/>
      <c r="J1144" s="154"/>
      <c r="K1144" s="154"/>
      <c r="L1144" s="154"/>
      <c r="M1144" s="154"/>
      <c r="N1144" s="154"/>
      <c r="O1144" s="154"/>
      <c r="P1144" s="154"/>
      <c r="Q1144" s="154"/>
      <c r="R1144" s="154"/>
      <c r="S1144" s="154"/>
      <c r="T1144" s="154"/>
      <c r="U1144" s="154"/>
      <c r="V1144" s="154"/>
      <c r="W1144" s="154"/>
      <c r="X1144" s="154"/>
      <c r="Y1144" s="154"/>
      <c r="Z1144" s="154"/>
      <c r="AA1144" s="154"/>
    </row>
    <row r="1145" spans="1:27" ht="15">
      <c r="A1145" s="180">
        <v>45903</v>
      </c>
      <c r="B1145" s="181" t="s">
        <v>13056</v>
      </c>
      <c r="C1145" s="182" t="s">
        <v>12897</v>
      </c>
      <c r="D1145" s="182">
        <v>37</v>
      </c>
      <c r="E1145" s="183">
        <v>0</v>
      </c>
      <c r="F1145" s="183">
        <v>4</v>
      </c>
      <c r="G1145" s="184">
        <v>0</v>
      </c>
      <c r="H1145" s="158"/>
      <c r="I1145" s="154"/>
      <c r="J1145" s="154"/>
      <c r="K1145" s="154"/>
      <c r="L1145" s="154"/>
      <c r="M1145" s="154"/>
      <c r="N1145" s="154"/>
      <c r="O1145" s="154"/>
      <c r="P1145" s="154"/>
      <c r="Q1145" s="154"/>
      <c r="R1145" s="154"/>
      <c r="S1145" s="154"/>
      <c r="T1145" s="154"/>
      <c r="U1145" s="154"/>
      <c r="V1145" s="154"/>
      <c r="W1145" s="154"/>
      <c r="X1145" s="154"/>
      <c r="Y1145" s="154"/>
      <c r="Z1145" s="154"/>
      <c r="AA1145" s="154"/>
    </row>
    <row r="1146" spans="1:27" ht="15">
      <c r="A1146" s="180">
        <v>45903</v>
      </c>
      <c r="B1146" s="181" t="s">
        <v>13048</v>
      </c>
      <c r="C1146" s="182" t="s">
        <v>12896</v>
      </c>
      <c r="D1146" s="182">
        <v>778</v>
      </c>
      <c r="E1146" s="183">
        <v>1</v>
      </c>
      <c r="F1146" s="183">
        <v>60</v>
      </c>
      <c r="G1146" s="184">
        <v>0</v>
      </c>
      <c r="H1146" s="158"/>
      <c r="I1146" s="154"/>
      <c r="J1146" s="154"/>
      <c r="K1146" s="154"/>
      <c r="L1146" s="154"/>
      <c r="M1146" s="154"/>
      <c r="N1146" s="154"/>
      <c r="O1146" s="154"/>
      <c r="P1146" s="154"/>
      <c r="Q1146" s="154"/>
      <c r="R1146" s="154"/>
      <c r="S1146" s="154"/>
      <c r="T1146" s="154"/>
      <c r="U1146" s="154"/>
      <c r="V1146" s="154"/>
      <c r="W1146" s="154"/>
      <c r="X1146" s="154"/>
      <c r="Y1146" s="154"/>
      <c r="Z1146" s="154"/>
      <c r="AA1146" s="154"/>
    </row>
    <row r="1147" spans="1:27" ht="15">
      <c r="A1147" s="180">
        <v>45903</v>
      </c>
      <c r="B1147" s="181" t="s">
        <v>13015</v>
      </c>
      <c r="C1147" s="182" t="s">
        <v>1229</v>
      </c>
      <c r="D1147" s="182">
        <v>0</v>
      </c>
      <c r="E1147" s="183">
        <v>0</v>
      </c>
      <c r="F1147" s="183">
        <v>1</v>
      </c>
      <c r="G1147" s="184">
        <v>0</v>
      </c>
      <c r="H1147" s="158"/>
      <c r="I1147" s="154"/>
      <c r="J1147" s="154"/>
      <c r="K1147" s="154"/>
      <c r="L1147" s="154"/>
      <c r="M1147" s="154"/>
      <c r="N1147" s="154"/>
      <c r="O1147" s="154"/>
      <c r="P1147" s="154"/>
      <c r="Q1147" s="154"/>
      <c r="R1147" s="154"/>
      <c r="S1147" s="154"/>
      <c r="T1147" s="154"/>
      <c r="U1147" s="154"/>
      <c r="V1147" s="154"/>
      <c r="W1147" s="154"/>
      <c r="X1147" s="154"/>
      <c r="Y1147" s="154"/>
      <c r="Z1147" s="154"/>
      <c r="AA1147" s="154"/>
    </row>
    <row r="1148" spans="1:27" ht="15">
      <c r="A1148" s="180">
        <v>45903</v>
      </c>
      <c r="B1148" s="181" t="s">
        <v>13017</v>
      </c>
      <c r="C1148" s="182" t="s">
        <v>1229</v>
      </c>
      <c r="D1148" s="182">
        <v>184</v>
      </c>
      <c r="E1148" s="183">
        <v>1</v>
      </c>
      <c r="F1148" s="183">
        <v>15</v>
      </c>
      <c r="G1148" s="184">
        <v>0</v>
      </c>
      <c r="H1148" s="158"/>
      <c r="I1148" s="154"/>
      <c r="J1148" s="154"/>
      <c r="K1148" s="154"/>
      <c r="L1148" s="154"/>
      <c r="M1148" s="154"/>
      <c r="N1148" s="154"/>
      <c r="O1148" s="154"/>
      <c r="P1148" s="154"/>
      <c r="Q1148" s="154"/>
      <c r="R1148" s="154"/>
      <c r="S1148" s="154"/>
      <c r="T1148" s="154"/>
      <c r="U1148" s="154"/>
      <c r="V1148" s="154"/>
      <c r="W1148" s="154"/>
      <c r="X1148" s="154"/>
      <c r="Y1148" s="154"/>
      <c r="Z1148" s="154"/>
      <c r="AA1148" s="154"/>
    </row>
    <row r="1149" spans="1:27" ht="15">
      <c r="A1149" s="180">
        <v>45903</v>
      </c>
      <c r="B1149" s="181" t="s">
        <v>13018</v>
      </c>
      <c r="C1149" s="182" t="s">
        <v>1229</v>
      </c>
      <c r="D1149" s="182">
        <v>9671</v>
      </c>
      <c r="E1149" s="183">
        <v>11</v>
      </c>
      <c r="F1149" s="183">
        <v>824</v>
      </c>
      <c r="G1149" s="184">
        <v>1</v>
      </c>
      <c r="H1149" s="158"/>
      <c r="I1149" s="154"/>
      <c r="J1149" s="154"/>
      <c r="K1149" s="154"/>
      <c r="L1149" s="154"/>
      <c r="M1149" s="154"/>
      <c r="N1149" s="154"/>
      <c r="O1149" s="154"/>
      <c r="P1149" s="154"/>
      <c r="Q1149" s="154"/>
      <c r="R1149" s="154"/>
      <c r="S1149" s="154"/>
      <c r="T1149" s="154"/>
      <c r="U1149" s="154"/>
      <c r="V1149" s="154"/>
      <c r="W1149" s="154"/>
      <c r="X1149" s="154"/>
      <c r="Y1149" s="154"/>
      <c r="Z1149" s="154"/>
      <c r="AA1149" s="154"/>
    </row>
    <row r="1150" spans="1:27" ht="15">
      <c r="A1150" s="180">
        <v>45903</v>
      </c>
      <c r="B1150" s="181" t="s">
        <v>13021</v>
      </c>
      <c r="C1150" s="182" t="s">
        <v>1774</v>
      </c>
      <c r="D1150" s="182">
        <v>144</v>
      </c>
      <c r="E1150" s="183">
        <v>0</v>
      </c>
      <c r="F1150" s="183">
        <v>11</v>
      </c>
      <c r="G1150" s="184">
        <v>0</v>
      </c>
      <c r="H1150" s="158"/>
      <c r="I1150" s="154"/>
      <c r="J1150" s="154"/>
      <c r="K1150" s="154"/>
      <c r="L1150" s="154"/>
      <c r="M1150" s="154"/>
      <c r="N1150" s="154"/>
      <c r="O1150" s="154"/>
      <c r="P1150" s="154"/>
      <c r="Q1150" s="154"/>
      <c r="R1150" s="154"/>
      <c r="S1150" s="154"/>
      <c r="T1150" s="154"/>
      <c r="U1150" s="154"/>
      <c r="V1150" s="154"/>
      <c r="W1150" s="154"/>
      <c r="X1150" s="154"/>
      <c r="Y1150" s="154"/>
      <c r="Z1150" s="154"/>
      <c r="AA1150" s="154"/>
    </row>
    <row r="1151" spans="1:27" ht="15">
      <c r="A1151" s="180">
        <v>45903</v>
      </c>
      <c r="B1151" s="181" t="s">
        <v>13022</v>
      </c>
      <c r="C1151" s="182" t="s">
        <v>1774</v>
      </c>
      <c r="D1151" s="182">
        <v>86</v>
      </c>
      <c r="E1151" s="183">
        <v>0</v>
      </c>
      <c r="F1151" s="183">
        <v>2</v>
      </c>
      <c r="G1151" s="184">
        <v>0</v>
      </c>
      <c r="H1151" s="158"/>
      <c r="I1151" s="154"/>
      <c r="J1151" s="154"/>
      <c r="K1151" s="154"/>
      <c r="L1151" s="154"/>
      <c r="M1151" s="154"/>
      <c r="N1151" s="154"/>
      <c r="O1151" s="154"/>
      <c r="P1151" s="154"/>
      <c r="Q1151" s="154"/>
      <c r="R1151" s="154"/>
      <c r="S1151" s="154"/>
      <c r="T1151" s="154"/>
      <c r="U1151" s="154"/>
      <c r="V1151" s="154"/>
      <c r="W1151" s="154"/>
      <c r="X1151" s="154"/>
      <c r="Y1151" s="154"/>
      <c r="Z1151" s="154"/>
      <c r="AA1151" s="154"/>
    </row>
    <row r="1152" spans="1:27" ht="15">
      <c r="A1152" s="180">
        <v>45904</v>
      </c>
      <c r="B1152" s="181" t="s">
        <v>13066</v>
      </c>
      <c r="C1152" s="182" t="s">
        <v>12899</v>
      </c>
      <c r="D1152" s="182">
        <v>24689</v>
      </c>
      <c r="E1152" s="183">
        <v>47</v>
      </c>
      <c r="F1152" s="183">
        <v>3598</v>
      </c>
      <c r="G1152" s="184">
        <v>3</v>
      </c>
      <c r="H1152" s="158"/>
      <c r="I1152" s="154"/>
      <c r="J1152" s="154"/>
      <c r="K1152" s="154"/>
      <c r="L1152" s="154"/>
      <c r="M1152" s="154"/>
      <c r="N1152" s="154"/>
      <c r="O1152" s="154"/>
      <c r="P1152" s="154"/>
      <c r="Q1152" s="154"/>
      <c r="R1152" s="154"/>
      <c r="S1152" s="154"/>
      <c r="T1152" s="154"/>
      <c r="U1152" s="154"/>
      <c r="V1152" s="154"/>
      <c r="W1152" s="154"/>
      <c r="X1152" s="154"/>
      <c r="Y1152" s="154"/>
      <c r="Z1152" s="154"/>
      <c r="AA1152" s="154"/>
    </row>
    <row r="1153" spans="1:27" ht="15">
      <c r="A1153" s="180">
        <v>45904</v>
      </c>
      <c r="B1153" s="181" t="s">
        <v>13067</v>
      </c>
      <c r="C1153" s="182" t="s">
        <v>12899</v>
      </c>
      <c r="D1153" s="182">
        <v>2733</v>
      </c>
      <c r="E1153" s="183">
        <v>5</v>
      </c>
      <c r="F1153" s="183">
        <v>348</v>
      </c>
      <c r="G1153" s="184">
        <v>0</v>
      </c>
      <c r="H1153" s="158"/>
      <c r="I1153" s="154"/>
      <c r="J1153" s="154"/>
      <c r="K1153" s="154"/>
      <c r="L1153" s="154"/>
      <c r="M1153" s="154"/>
      <c r="N1153" s="154"/>
      <c r="O1153" s="154"/>
      <c r="P1153" s="154"/>
      <c r="Q1153" s="154"/>
      <c r="R1153" s="154"/>
      <c r="S1153" s="154"/>
      <c r="T1153" s="154"/>
      <c r="U1153" s="154"/>
      <c r="V1153" s="154"/>
      <c r="W1153" s="154"/>
      <c r="X1153" s="154"/>
      <c r="Y1153" s="154"/>
      <c r="Z1153" s="154"/>
      <c r="AA1153" s="154"/>
    </row>
    <row r="1154" spans="1:27" ht="15">
      <c r="A1154" s="180">
        <v>45904</v>
      </c>
      <c r="B1154" s="181" t="s">
        <v>13068</v>
      </c>
      <c r="C1154" s="182" t="s">
        <v>12899</v>
      </c>
      <c r="D1154" s="182">
        <v>2708</v>
      </c>
      <c r="E1154" s="183">
        <v>8</v>
      </c>
      <c r="F1154" s="183">
        <v>648</v>
      </c>
      <c r="G1154" s="184">
        <v>0</v>
      </c>
      <c r="H1154" s="158"/>
      <c r="I1154" s="154"/>
      <c r="J1154" s="154"/>
      <c r="K1154" s="154"/>
      <c r="L1154" s="154"/>
      <c r="M1154" s="154"/>
      <c r="N1154" s="154"/>
      <c r="O1154" s="154"/>
      <c r="P1154" s="154"/>
      <c r="Q1154" s="154"/>
      <c r="R1154" s="154"/>
      <c r="S1154" s="154"/>
      <c r="T1154" s="154"/>
      <c r="U1154" s="154"/>
      <c r="V1154" s="154"/>
      <c r="W1154" s="154"/>
      <c r="X1154" s="154"/>
      <c r="Y1154" s="154"/>
      <c r="Z1154" s="154"/>
      <c r="AA1154" s="154"/>
    </row>
    <row r="1155" spans="1:27" ht="15">
      <c r="A1155" s="180">
        <v>45904</v>
      </c>
      <c r="B1155" s="181" t="s">
        <v>13063</v>
      </c>
      <c r="C1155" s="182" t="s">
        <v>12898</v>
      </c>
      <c r="D1155" s="182">
        <v>2657</v>
      </c>
      <c r="E1155" s="183">
        <v>7</v>
      </c>
      <c r="F1155" s="183">
        <v>270</v>
      </c>
      <c r="G1155" s="184">
        <v>0</v>
      </c>
      <c r="H1155" s="158"/>
      <c r="I1155" s="154"/>
      <c r="J1155" s="154"/>
      <c r="K1155" s="154"/>
      <c r="L1155" s="154"/>
      <c r="M1155" s="154"/>
      <c r="N1155" s="154"/>
      <c r="O1155" s="154"/>
      <c r="P1155" s="154"/>
      <c r="Q1155" s="154"/>
      <c r="R1155" s="154"/>
      <c r="S1155" s="154"/>
      <c r="T1155" s="154"/>
      <c r="U1155" s="154"/>
      <c r="V1155" s="154"/>
      <c r="W1155" s="154"/>
      <c r="X1155" s="154"/>
      <c r="Y1155" s="154"/>
      <c r="Z1155" s="154"/>
      <c r="AA1155" s="154"/>
    </row>
    <row r="1156" spans="1:27" ht="15">
      <c r="A1156" s="180">
        <v>45904</v>
      </c>
      <c r="B1156" s="181" t="s">
        <v>13064</v>
      </c>
      <c r="C1156" s="182" t="s">
        <v>12898</v>
      </c>
      <c r="D1156" s="182">
        <v>1379</v>
      </c>
      <c r="E1156" s="183">
        <v>2</v>
      </c>
      <c r="F1156" s="183">
        <v>223</v>
      </c>
      <c r="G1156" s="184">
        <v>0</v>
      </c>
      <c r="H1156" s="158"/>
      <c r="I1156" s="154"/>
      <c r="J1156" s="154"/>
      <c r="K1156" s="154"/>
      <c r="L1156" s="154"/>
      <c r="M1156" s="154"/>
      <c r="N1156" s="154"/>
      <c r="O1156" s="154"/>
      <c r="P1156" s="154"/>
      <c r="Q1156" s="154"/>
      <c r="R1156" s="154"/>
      <c r="S1156" s="154"/>
      <c r="T1156" s="154"/>
      <c r="U1156" s="154"/>
      <c r="V1156" s="154"/>
      <c r="W1156" s="154"/>
      <c r="X1156" s="154"/>
      <c r="Y1156" s="154"/>
      <c r="Z1156" s="154"/>
      <c r="AA1156" s="154"/>
    </row>
    <row r="1157" spans="1:27" ht="15">
      <c r="A1157" s="180">
        <v>45904</v>
      </c>
      <c r="B1157" s="181" t="s">
        <v>13065</v>
      </c>
      <c r="C1157" s="182" t="s">
        <v>12898</v>
      </c>
      <c r="D1157" s="182">
        <v>2390</v>
      </c>
      <c r="E1157" s="183">
        <v>6</v>
      </c>
      <c r="F1157" s="183">
        <v>285</v>
      </c>
      <c r="G1157" s="184">
        <v>1</v>
      </c>
      <c r="H1157" s="158"/>
      <c r="I1157" s="154"/>
      <c r="J1157" s="154"/>
      <c r="K1157" s="154"/>
      <c r="L1157" s="154"/>
      <c r="M1157" s="154"/>
      <c r="N1157" s="154"/>
      <c r="O1157" s="154"/>
      <c r="P1157" s="154"/>
      <c r="Q1157" s="154"/>
      <c r="R1157" s="154"/>
      <c r="S1157" s="154"/>
      <c r="T1157" s="154"/>
      <c r="U1157" s="154"/>
      <c r="V1157" s="154"/>
      <c r="W1157" s="154"/>
      <c r="X1157" s="154"/>
      <c r="Y1157" s="154"/>
      <c r="Z1157" s="154"/>
      <c r="AA1157" s="154"/>
    </row>
    <row r="1158" spans="1:27" ht="15">
      <c r="A1158" s="180">
        <v>45904</v>
      </c>
      <c r="B1158" s="181" t="s">
        <v>13060</v>
      </c>
      <c r="C1158" s="182" t="s">
        <v>1774</v>
      </c>
      <c r="D1158" s="182">
        <v>8382</v>
      </c>
      <c r="E1158" s="183">
        <v>1</v>
      </c>
      <c r="F1158" s="183">
        <v>435</v>
      </c>
      <c r="G1158" s="184">
        <v>1</v>
      </c>
      <c r="H1158" s="158"/>
      <c r="I1158" s="154"/>
      <c r="J1158" s="154"/>
      <c r="K1158" s="154"/>
      <c r="L1158" s="154"/>
      <c r="M1158" s="154"/>
      <c r="N1158" s="154"/>
      <c r="O1158" s="154"/>
      <c r="P1158" s="154"/>
      <c r="Q1158" s="154"/>
      <c r="R1158" s="154"/>
      <c r="S1158" s="154"/>
      <c r="T1158" s="154"/>
      <c r="U1158" s="154"/>
      <c r="V1158" s="154"/>
      <c r="W1158" s="154"/>
      <c r="X1158" s="154"/>
      <c r="Y1158" s="154"/>
      <c r="Z1158" s="154"/>
      <c r="AA1158" s="154"/>
    </row>
    <row r="1159" spans="1:27" ht="15">
      <c r="A1159" s="180">
        <v>45904</v>
      </c>
      <c r="B1159" s="181" t="s">
        <v>13059</v>
      </c>
      <c r="C1159" s="182" t="s">
        <v>12897</v>
      </c>
      <c r="D1159" s="182">
        <v>43195</v>
      </c>
      <c r="E1159" s="183">
        <v>35</v>
      </c>
      <c r="F1159" s="183">
        <v>2397</v>
      </c>
      <c r="G1159" s="184">
        <v>6</v>
      </c>
      <c r="H1159" s="158"/>
      <c r="I1159" s="154"/>
      <c r="J1159" s="154"/>
      <c r="K1159" s="154"/>
      <c r="L1159" s="154"/>
      <c r="M1159" s="154"/>
      <c r="N1159" s="154"/>
      <c r="O1159" s="154"/>
      <c r="P1159" s="154"/>
      <c r="Q1159" s="154"/>
      <c r="R1159" s="154"/>
      <c r="S1159" s="154"/>
      <c r="T1159" s="154"/>
      <c r="U1159" s="154"/>
      <c r="V1159" s="154"/>
      <c r="W1159" s="154"/>
      <c r="X1159" s="154"/>
      <c r="Y1159" s="154"/>
      <c r="Z1159" s="154"/>
      <c r="AA1159" s="154"/>
    </row>
    <row r="1160" spans="1:27" ht="15">
      <c r="A1160" s="180">
        <v>45904</v>
      </c>
      <c r="B1160" s="181" t="s">
        <v>13059</v>
      </c>
      <c r="C1160" s="182" t="s">
        <v>12897</v>
      </c>
      <c r="D1160" s="182">
        <v>37975</v>
      </c>
      <c r="E1160" s="183">
        <v>34</v>
      </c>
      <c r="F1160" s="183">
        <v>3135</v>
      </c>
      <c r="G1160" s="184">
        <v>3</v>
      </c>
      <c r="H1160" s="158"/>
      <c r="I1160" s="154"/>
      <c r="J1160" s="154"/>
      <c r="K1160" s="154"/>
      <c r="L1160" s="154"/>
      <c r="M1160" s="154"/>
      <c r="N1160" s="154"/>
      <c r="O1160" s="154"/>
      <c r="P1160" s="154"/>
      <c r="Q1160" s="154"/>
      <c r="R1160" s="154"/>
      <c r="S1160" s="154"/>
      <c r="T1160" s="154"/>
      <c r="U1160" s="154"/>
      <c r="V1160" s="154"/>
      <c r="W1160" s="154"/>
      <c r="X1160" s="154"/>
      <c r="Y1160" s="154"/>
      <c r="Z1160" s="154"/>
      <c r="AA1160" s="154"/>
    </row>
    <row r="1161" spans="1:27" ht="15">
      <c r="A1161" s="180">
        <v>45904</v>
      </c>
      <c r="B1161" s="181" t="s">
        <v>13056</v>
      </c>
      <c r="C1161" s="182" t="s">
        <v>12897</v>
      </c>
      <c r="D1161" s="182">
        <v>6216</v>
      </c>
      <c r="E1161" s="183">
        <v>1</v>
      </c>
      <c r="F1161" s="183">
        <v>147</v>
      </c>
      <c r="G1161" s="184">
        <v>0</v>
      </c>
      <c r="H1161" s="158"/>
      <c r="I1161" s="154"/>
      <c r="J1161" s="154"/>
      <c r="K1161" s="154"/>
      <c r="L1161" s="154"/>
      <c r="M1161" s="154"/>
      <c r="N1161" s="154"/>
      <c r="O1161" s="154"/>
      <c r="P1161" s="154"/>
      <c r="Q1161" s="154"/>
      <c r="R1161" s="154"/>
      <c r="S1161" s="154"/>
      <c r="T1161" s="154"/>
      <c r="U1161" s="154"/>
      <c r="V1161" s="154"/>
      <c r="W1161" s="154"/>
      <c r="X1161" s="154"/>
      <c r="Y1161" s="154"/>
      <c r="Z1161" s="154"/>
      <c r="AA1161" s="154"/>
    </row>
    <row r="1162" spans="1:27" ht="15">
      <c r="A1162" s="180">
        <v>45904</v>
      </c>
      <c r="B1162" s="181" t="s">
        <v>13057</v>
      </c>
      <c r="C1162" s="182" t="s">
        <v>12896</v>
      </c>
      <c r="D1162" s="182">
        <v>38021</v>
      </c>
      <c r="E1162" s="183">
        <v>59</v>
      </c>
      <c r="F1162" s="183">
        <v>4902</v>
      </c>
      <c r="G1162" s="184">
        <v>1</v>
      </c>
      <c r="H1162" s="158"/>
      <c r="I1162" s="154"/>
      <c r="J1162" s="154"/>
      <c r="K1162" s="154"/>
      <c r="L1162" s="154"/>
      <c r="M1162" s="154"/>
      <c r="N1162" s="154"/>
      <c r="O1162" s="154"/>
      <c r="P1162" s="154"/>
      <c r="Q1162" s="154"/>
      <c r="R1162" s="154"/>
      <c r="S1162" s="154"/>
      <c r="T1162" s="154"/>
      <c r="U1162" s="154"/>
      <c r="V1162" s="154"/>
      <c r="W1162" s="154"/>
      <c r="X1162" s="154"/>
      <c r="Y1162" s="154"/>
      <c r="Z1162" s="154"/>
      <c r="AA1162" s="154"/>
    </row>
    <row r="1163" spans="1:27" ht="15">
      <c r="A1163" s="180">
        <v>45904</v>
      </c>
      <c r="B1163" s="181" t="s">
        <v>13048</v>
      </c>
      <c r="C1163" s="182" t="s">
        <v>12896</v>
      </c>
      <c r="D1163" s="182">
        <v>18673</v>
      </c>
      <c r="E1163" s="183">
        <v>10</v>
      </c>
      <c r="F1163" s="183">
        <v>787</v>
      </c>
      <c r="G1163" s="184">
        <v>1</v>
      </c>
      <c r="H1163" s="158"/>
      <c r="I1163" s="154"/>
      <c r="J1163" s="154"/>
      <c r="K1163" s="154"/>
      <c r="L1163" s="154"/>
      <c r="M1163" s="154"/>
      <c r="N1163" s="154"/>
      <c r="O1163" s="154"/>
      <c r="P1163" s="154"/>
      <c r="Q1163" s="154"/>
      <c r="R1163" s="154"/>
      <c r="S1163" s="154"/>
      <c r="T1163" s="154"/>
      <c r="U1163" s="154"/>
      <c r="V1163" s="154"/>
      <c r="W1163" s="154"/>
      <c r="X1163" s="154"/>
      <c r="Y1163" s="154"/>
      <c r="Z1163" s="154"/>
      <c r="AA1163" s="154"/>
    </row>
    <row r="1164" spans="1:27" ht="15">
      <c r="A1164" s="180">
        <v>45904</v>
      </c>
      <c r="B1164" s="181" t="s">
        <v>13015</v>
      </c>
      <c r="C1164" s="182" t="s">
        <v>1229</v>
      </c>
      <c r="D1164" s="182">
        <v>10746</v>
      </c>
      <c r="E1164" s="183">
        <v>13</v>
      </c>
      <c r="F1164" s="183">
        <v>425</v>
      </c>
      <c r="G1164" s="184">
        <v>1</v>
      </c>
      <c r="H1164" s="158"/>
      <c r="I1164" s="154"/>
      <c r="J1164" s="154"/>
      <c r="K1164" s="154"/>
      <c r="L1164" s="154"/>
      <c r="M1164" s="154"/>
      <c r="N1164" s="154"/>
      <c r="O1164" s="154"/>
      <c r="P1164" s="154"/>
      <c r="Q1164" s="154"/>
      <c r="R1164" s="154"/>
      <c r="S1164" s="154"/>
      <c r="T1164" s="154"/>
      <c r="U1164" s="154"/>
      <c r="V1164" s="154"/>
      <c r="W1164" s="154"/>
      <c r="X1164" s="154"/>
      <c r="Y1164" s="154"/>
      <c r="Z1164" s="154"/>
      <c r="AA1164" s="154"/>
    </row>
    <row r="1165" spans="1:27" ht="15">
      <c r="A1165" s="180">
        <v>45904</v>
      </c>
      <c r="B1165" s="181" t="s">
        <v>13017</v>
      </c>
      <c r="C1165" s="182" t="s">
        <v>1229</v>
      </c>
      <c r="D1165" s="182">
        <v>5076</v>
      </c>
      <c r="E1165" s="183">
        <v>3</v>
      </c>
      <c r="F1165" s="183">
        <v>238</v>
      </c>
      <c r="G1165" s="184">
        <v>0</v>
      </c>
      <c r="H1165" s="158"/>
      <c r="I1165" s="154"/>
      <c r="J1165" s="154"/>
      <c r="K1165" s="154"/>
      <c r="L1165" s="154"/>
      <c r="M1165" s="154"/>
      <c r="N1165" s="154"/>
      <c r="O1165" s="154"/>
      <c r="P1165" s="154"/>
      <c r="Q1165" s="154"/>
      <c r="R1165" s="154"/>
      <c r="S1165" s="154"/>
      <c r="T1165" s="154"/>
      <c r="U1165" s="154"/>
      <c r="V1165" s="154"/>
      <c r="W1165" s="154"/>
      <c r="X1165" s="154"/>
      <c r="Y1165" s="154"/>
      <c r="Z1165" s="154"/>
      <c r="AA1165" s="154"/>
    </row>
    <row r="1166" spans="1:27" ht="15">
      <c r="A1166" s="180">
        <v>45904</v>
      </c>
      <c r="B1166" s="181" t="s">
        <v>13018</v>
      </c>
      <c r="C1166" s="182" t="s">
        <v>1229</v>
      </c>
      <c r="D1166" s="182">
        <v>78642</v>
      </c>
      <c r="E1166" s="183">
        <v>123</v>
      </c>
      <c r="F1166" s="183">
        <v>7145</v>
      </c>
      <c r="G1166" s="184">
        <v>14</v>
      </c>
      <c r="H1166" s="158"/>
      <c r="I1166" s="154"/>
      <c r="J1166" s="154"/>
      <c r="K1166" s="154"/>
      <c r="L1166" s="154"/>
      <c r="M1166" s="154"/>
      <c r="N1166" s="154"/>
      <c r="O1166" s="154"/>
      <c r="P1166" s="154"/>
      <c r="Q1166" s="154"/>
      <c r="R1166" s="154"/>
      <c r="S1166" s="154"/>
      <c r="T1166" s="154"/>
      <c r="U1166" s="154"/>
      <c r="V1166" s="154"/>
      <c r="W1166" s="154"/>
      <c r="X1166" s="154"/>
      <c r="Y1166" s="154"/>
      <c r="Z1166" s="154"/>
      <c r="AA1166" s="154"/>
    </row>
    <row r="1167" spans="1:27" ht="15">
      <c r="A1167" s="180">
        <v>45905</v>
      </c>
      <c r="B1167" s="181" t="s">
        <v>13066</v>
      </c>
      <c r="C1167" s="182" t="s">
        <v>12899</v>
      </c>
      <c r="D1167" s="182">
        <v>122093</v>
      </c>
      <c r="E1167" s="183">
        <v>191</v>
      </c>
      <c r="F1167" s="183">
        <v>10928</v>
      </c>
      <c r="G1167" s="184">
        <v>25</v>
      </c>
      <c r="H1167" s="158"/>
      <c r="I1167" s="154"/>
      <c r="J1167" s="154"/>
      <c r="K1167" s="154"/>
      <c r="L1167" s="154"/>
      <c r="M1167" s="154"/>
      <c r="N1167" s="154"/>
      <c r="O1167" s="154"/>
      <c r="P1167" s="154"/>
      <c r="Q1167" s="154"/>
      <c r="R1167" s="154"/>
      <c r="S1167" s="154"/>
      <c r="T1167" s="154"/>
      <c r="U1167" s="154"/>
      <c r="V1167" s="154"/>
      <c r="W1167" s="154"/>
      <c r="X1167" s="154"/>
      <c r="Y1167" s="154"/>
      <c r="Z1167" s="154"/>
      <c r="AA1167" s="154"/>
    </row>
    <row r="1168" spans="1:27" ht="15">
      <c r="A1168" s="180">
        <v>45905</v>
      </c>
      <c r="B1168" s="181" t="s">
        <v>13068</v>
      </c>
      <c r="C1168" s="182" t="s">
        <v>12899</v>
      </c>
      <c r="D1168" s="182">
        <v>4</v>
      </c>
      <c r="E1168" s="183">
        <v>0</v>
      </c>
      <c r="F1168" s="183">
        <v>4</v>
      </c>
      <c r="G1168" s="184">
        <v>0</v>
      </c>
      <c r="H1168" s="158"/>
      <c r="I1168" s="154"/>
      <c r="J1168" s="154"/>
      <c r="K1168" s="154"/>
      <c r="L1168" s="154"/>
      <c r="M1168" s="154"/>
      <c r="N1168" s="154"/>
      <c r="O1168" s="154"/>
      <c r="P1168" s="154"/>
      <c r="Q1168" s="154"/>
      <c r="R1168" s="154"/>
      <c r="S1168" s="154"/>
      <c r="T1168" s="154"/>
      <c r="U1168" s="154"/>
      <c r="V1168" s="154"/>
      <c r="W1168" s="154"/>
      <c r="X1168" s="154"/>
      <c r="Y1168" s="154"/>
      <c r="Z1168" s="154"/>
      <c r="AA1168" s="154"/>
    </row>
    <row r="1169" spans="1:27" ht="15">
      <c r="A1169" s="180">
        <v>45905</v>
      </c>
      <c r="B1169" s="181" t="s">
        <v>13063</v>
      </c>
      <c r="C1169" s="182" t="s">
        <v>12898</v>
      </c>
      <c r="D1169" s="182">
        <v>2</v>
      </c>
      <c r="E1169" s="183">
        <v>0</v>
      </c>
      <c r="F1169" s="183">
        <v>2</v>
      </c>
      <c r="G1169" s="184">
        <v>0</v>
      </c>
      <c r="H1169" s="158"/>
      <c r="I1169" s="154"/>
      <c r="J1169" s="154"/>
      <c r="K1169" s="154"/>
      <c r="L1169" s="154"/>
      <c r="M1169" s="154"/>
      <c r="N1169" s="154"/>
      <c r="O1169" s="154"/>
      <c r="P1169" s="154"/>
      <c r="Q1169" s="154"/>
      <c r="R1169" s="154"/>
      <c r="S1169" s="154"/>
      <c r="T1169" s="154"/>
      <c r="U1169" s="154"/>
      <c r="V1169" s="154"/>
      <c r="W1169" s="154"/>
      <c r="X1169" s="154"/>
      <c r="Y1169" s="154"/>
      <c r="Z1169" s="154"/>
      <c r="AA1169" s="154"/>
    </row>
    <row r="1170" spans="1:27" ht="15">
      <c r="A1170" s="180">
        <v>45905</v>
      </c>
      <c r="B1170" s="181" t="s">
        <v>13064</v>
      </c>
      <c r="C1170" s="182" t="s">
        <v>12898</v>
      </c>
      <c r="D1170" s="182">
        <v>3</v>
      </c>
      <c r="E1170" s="183">
        <v>0</v>
      </c>
      <c r="F1170" s="183">
        <v>1</v>
      </c>
      <c r="G1170" s="184">
        <v>0</v>
      </c>
      <c r="H1170" s="158"/>
      <c r="I1170" s="154"/>
      <c r="J1170" s="154"/>
      <c r="K1170" s="154"/>
      <c r="L1170" s="154"/>
      <c r="M1170" s="154"/>
      <c r="N1170" s="154"/>
      <c r="O1170" s="154"/>
      <c r="P1170" s="154"/>
      <c r="Q1170" s="154"/>
      <c r="R1170" s="154"/>
      <c r="S1170" s="154"/>
      <c r="T1170" s="154"/>
      <c r="U1170" s="154"/>
      <c r="V1170" s="154"/>
      <c r="W1170" s="154"/>
      <c r="X1170" s="154"/>
      <c r="Y1170" s="154"/>
      <c r="Z1170" s="154"/>
      <c r="AA1170" s="154"/>
    </row>
    <row r="1171" spans="1:27" ht="15">
      <c r="A1171" s="180">
        <v>45905</v>
      </c>
      <c r="B1171" s="181" t="s">
        <v>13065</v>
      </c>
      <c r="C1171" s="182" t="s">
        <v>12898</v>
      </c>
      <c r="D1171" s="182">
        <v>0</v>
      </c>
      <c r="E1171" s="183">
        <v>0</v>
      </c>
      <c r="F1171" s="183">
        <v>1</v>
      </c>
      <c r="G1171" s="184">
        <v>0</v>
      </c>
      <c r="H1171" s="158"/>
      <c r="I1171" s="154"/>
      <c r="J1171" s="154"/>
      <c r="K1171" s="154"/>
      <c r="L1171" s="154"/>
      <c r="M1171" s="154"/>
      <c r="N1171" s="154"/>
      <c r="O1171" s="154"/>
      <c r="P1171" s="154"/>
      <c r="Q1171" s="154"/>
      <c r="R1171" s="154"/>
      <c r="S1171" s="154"/>
      <c r="T1171" s="154"/>
      <c r="U1171" s="154"/>
      <c r="V1171" s="154"/>
      <c r="W1171" s="154"/>
      <c r="X1171" s="154"/>
      <c r="Y1171" s="154"/>
      <c r="Z1171" s="154"/>
      <c r="AA1171" s="154"/>
    </row>
    <row r="1172" spans="1:27" ht="15">
      <c r="A1172" s="180">
        <v>45905</v>
      </c>
      <c r="B1172" s="181" t="s">
        <v>13060</v>
      </c>
      <c r="C1172" s="182" t="s">
        <v>1774</v>
      </c>
      <c r="D1172" s="182">
        <v>10</v>
      </c>
      <c r="E1172" s="183">
        <v>0</v>
      </c>
      <c r="F1172" s="183">
        <v>2</v>
      </c>
      <c r="G1172" s="184">
        <v>0</v>
      </c>
      <c r="H1172" s="158"/>
      <c r="I1172" s="154"/>
      <c r="J1172" s="154"/>
      <c r="K1172" s="154"/>
      <c r="L1172" s="154"/>
      <c r="M1172" s="154"/>
      <c r="N1172" s="154"/>
      <c r="O1172" s="154"/>
      <c r="P1172" s="154"/>
      <c r="Q1172" s="154"/>
      <c r="R1172" s="154"/>
      <c r="S1172" s="154"/>
      <c r="T1172" s="154"/>
      <c r="U1172" s="154"/>
      <c r="V1172" s="154"/>
      <c r="W1172" s="154"/>
      <c r="X1172" s="154"/>
      <c r="Y1172" s="154"/>
      <c r="Z1172" s="154"/>
      <c r="AA1172" s="154"/>
    </row>
    <row r="1173" spans="1:27" ht="15">
      <c r="A1173" s="180">
        <v>45905</v>
      </c>
      <c r="B1173" s="181" t="s">
        <v>13059</v>
      </c>
      <c r="C1173" s="182" t="s">
        <v>12897</v>
      </c>
      <c r="D1173" s="182">
        <v>61344</v>
      </c>
      <c r="E1173" s="183">
        <v>82</v>
      </c>
      <c r="F1173" s="183">
        <v>4060</v>
      </c>
      <c r="G1173" s="184">
        <v>9</v>
      </c>
      <c r="H1173" s="158"/>
      <c r="I1173" s="154"/>
      <c r="J1173" s="154"/>
      <c r="K1173" s="154"/>
      <c r="L1173" s="154"/>
      <c r="M1173" s="154"/>
      <c r="N1173" s="154"/>
      <c r="O1173" s="154"/>
      <c r="P1173" s="154"/>
      <c r="Q1173" s="154"/>
      <c r="R1173" s="154"/>
      <c r="S1173" s="154"/>
      <c r="T1173" s="154"/>
      <c r="U1173" s="154"/>
      <c r="V1173" s="154"/>
      <c r="W1173" s="154"/>
      <c r="X1173" s="154"/>
      <c r="Y1173" s="154"/>
      <c r="Z1173" s="154"/>
      <c r="AA1173" s="154"/>
    </row>
    <row r="1174" spans="1:27" ht="15">
      <c r="A1174" s="180">
        <v>45905</v>
      </c>
      <c r="B1174" s="181" t="s">
        <v>13059</v>
      </c>
      <c r="C1174" s="182" t="s">
        <v>12897</v>
      </c>
      <c r="D1174" s="182">
        <v>88430</v>
      </c>
      <c r="E1174" s="183">
        <v>94</v>
      </c>
      <c r="F1174" s="183">
        <v>6725</v>
      </c>
      <c r="G1174" s="184">
        <v>9</v>
      </c>
      <c r="H1174" s="158"/>
      <c r="I1174" s="154"/>
      <c r="J1174" s="154"/>
      <c r="K1174" s="154"/>
      <c r="L1174" s="154"/>
      <c r="M1174" s="154"/>
      <c r="N1174" s="154"/>
      <c r="O1174" s="154"/>
      <c r="P1174" s="154"/>
      <c r="Q1174" s="154"/>
      <c r="R1174" s="154"/>
      <c r="S1174" s="154"/>
      <c r="T1174" s="154"/>
      <c r="U1174" s="154"/>
      <c r="V1174" s="154"/>
      <c r="W1174" s="154"/>
      <c r="X1174" s="154"/>
      <c r="Y1174" s="154"/>
      <c r="Z1174" s="154"/>
      <c r="AA1174" s="154"/>
    </row>
    <row r="1175" spans="1:27" ht="15">
      <c r="A1175" s="180">
        <v>45905</v>
      </c>
      <c r="B1175" s="181" t="s">
        <v>13057</v>
      </c>
      <c r="C1175" s="182" t="s">
        <v>12896</v>
      </c>
      <c r="D1175" s="182">
        <v>1227</v>
      </c>
      <c r="E1175" s="183">
        <v>1</v>
      </c>
      <c r="F1175" s="183">
        <v>163</v>
      </c>
      <c r="G1175" s="184">
        <v>0</v>
      </c>
      <c r="H1175" s="158"/>
      <c r="I1175" s="154"/>
      <c r="J1175" s="154"/>
      <c r="K1175" s="154"/>
      <c r="L1175" s="154"/>
      <c r="M1175" s="154"/>
      <c r="N1175" s="154"/>
      <c r="O1175" s="154"/>
      <c r="P1175" s="154"/>
      <c r="Q1175" s="154"/>
      <c r="R1175" s="154"/>
      <c r="S1175" s="154"/>
      <c r="T1175" s="154"/>
      <c r="U1175" s="154"/>
      <c r="V1175" s="154"/>
      <c r="W1175" s="154"/>
      <c r="X1175" s="154"/>
      <c r="Y1175" s="154"/>
      <c r="Z1175" s="154"/>
      <c r="AA1175" s="154"/>
    </row>
    <row r="1176" spans="1:27" ht="15">
      <c r="A1176" s="180">
        <v>45905</v>
      </c>
      <c r="B1176" s="181" t="s">
        <v>13048</v>
      </c>
      <c r="C1176" s="182" t="s">
        <v>12896</v>
      </c>
      <c r="D1176" s="182">
        <v>8</v>
      </c>
      <c r="E1176" s="183">
        <v>0</v>
      </c>
      <c r="F1176" s="183">
        <v>3</v>
      </c>
      <c r="G1176" s="184">
        <v>0</v>
      </c>
      <c r="H1176" s="158"/>
      <c r="I1176" s="154"/>
      <c r="J1176" s="154"/>
      <c r="K1176" s="154"/>
      <c r="L1176" s="154"/>
      <c r="M1176" s="154"/>
      <c r="N1176" s="154"/>
      <c r="O1176" s="154"/>
      <c r="P1176" s="154"/>
      <c r="Q1176" s="154"/>
      <c r="R1176" s="154"/>
      <c r="S1176" s="154"/>
      <c r="T1176" s="154"/>
      <c r="U1176" s="154"/>
      <c r="V1176" s="154"/>
      <c r="W1176" s="154"/>
      <c r="X1176" s="154"/>
      <c r="Y1176" s="154"/>
      <c r="Z1176" s="154"/>
      <c r="AA1176" s="154"/>
    </row>
    <row r="1177" spans="1:27" ht="15">
      <c r="A1177" s="180">
        <v>45905</v>
      </c>
      <c r="B1177" s="181" t="s">
        <v>13015</v>
      </c>
      <c r="C1177" s="182" t="s">
        <v>1229</v>
      </c>
      <c r="D1177" s="182">
        <v>15</v>
      </c>
      <c r="E1177" s="183">
        <v>0</v>
      </c>
      <c r="F1177" s="183">
        <v>2</v>
      </c>
      <c r="G1177" s="184">
        <v>0</v>
      </c>
      <c r="H1177" s="158"/>
      <c r="I1177" s="154"/>
      <c r="J1177" s="154"/>
      <c r="K1177" s="154"/>
      <c r="L1177" s="154"/>
      <c r="M1177" s="154"/>
      <c r="N1177" s="154"/>
      <c r="O1177" s="154"/>
      <c r="P1177" s="154"/>
      <c r="Q1177" s="154"/>
      <c r="R1177" s="154"/>
      <c r="S1177" s="154"/>
      <c r="T1177" s="154"/>
      <c r="U1177" s="154"/>
      <c r="V1177" s="154"/>
      <c r="W1177" s="154"/>
      <c r="X1177" s="154"/>
      <c r="Y1177" s="154"/>
      <c r="Z1177" s="154"/>
      <c r="AA1177" s="154"/>
    </row>
    <row r="1178" spans="1:27" ht="15">
      <c r="A1178" s="180">
        <v>45905</v>
      </c>
      <c r="B1178" s="181" t="s">
        <v>13017</v>
      </c>
      <c r="C1178" s="182" t="s">
        <v>1229</v>
      </c>
      <c r="D1178" s="182">
        <v>11291</v>
      </c>
      <c r="E1178" s="183">
        <v>7</v>
      </c>
      <c r="F1178" s="183">
        <v>478</v>
      </c>
      <c r="G1178" s="184">
        <v>0</v>
      </c>
      <c r="H1178" s="158"/>
      <c r="I1178" s="154"/>
      <c r="J1178" s="154"/>
      <c r="K1178" s="154"/>
      <c r="L1178" s="154"/>
      <c r="M1178" s="154"/>
      <c r="N1178" s="154"/>
      <c r="O1178" s="154"/>
      <c r="P1178" s="154"/>
      <c r="Q1178" s="154"/>
      <c r="R1178" s="154"/>
      <c r="S1178" s="154"/>
      <c r="T1178" s="154"/>
      <c r="U1178" s="154"/>
      <c r="V1178" s="154"/>
      <c r="W1178" s="154"/>
      <c r="X1178" s="154"/>
      <c r="Y1178" s="154"/>
      <c r="Z1178" s="154"/>
      <c r="AA1178" s="154"/>
    </row>
    <row r="1179" spans="1:27" ht="15">
      <c r="A1179" s="180">
        <v>45905</v>
      </c>
      <c r="B1179" s="181" t="s">
        <v>13018</v>
      </c>
      <c r="C1179" s="182" t="s">
        <v>1229</v>
      </c>
      <c r="D1179" s="182">
        <v>7490</v>
      </c>
      <c r="E1179" s="183">
        <v>10</v>
      </c>
      <c r="F1179" s="183">
        <v>605</v>
      </c>
      <c r="G1179" s="184">
        <v>0</v>
      </c>
      <c r="H1179" s="158"/>
      <c r="I1179" s="154"/>
      <c r="J1179" s="154"/>
      <c r="K1179" s="154"/>
      <c r="L1179" s="154"/>
      <c r="M1179" s="154"/>
      <c r="N1179" s="154"/>
      <c r="O1179" s="154"/>
      <c r="P1179" s="154"/>
      <c r="Q1179" s="154"/>
      <c r="R1179" s="154"/>
      <c r="S1179" s="154"/>
      <c r="T1179" s="154"/>
      <c r="U1179" s="154"/>
      <c r="V1179" s="154"/>
      <c r="W1179" s="154"/>
      <c r="X1179" s="154"/>
      <c r="Y1179" s="154"/>
      <c r="Z1179" s="154"/>
      <c r="AA1179" s="154"/>
    </row>
    <row r="1180" spans="1:27" ht="15">
      <c r="A1180" s="180">
        <v>45906</v>
      </c>
      <c r="B1180" s="181" t="s">
        <v>13069</v>
      </c>
      <c r="C1180" s="182" t="s">
        <v>12900</v>
      </c>
      <c r="D1180" s="182">
        <v>16363</v>
      </c>
      <c r="E1180" s="183">
        <v>16</v>
      </c>
      <c r="F1180" s="183">
        <v>1168</v>
      </c>
      <c r="G1180" s="184">
        <v>1</v>
      </c>
      <c r="H1180" s="158"/>
      <c r="I1180" s="154"/>
      <c r="J1180" s="154"/>
      <c r="K1180" s="154"/>
      <c r="L1180" s="154"/>
      <c r="M1180" s="154"/>
      <c r="N1180" s="154"/>
      <c r="O1180" s="154"/>
      <c r="P1180" s="154"/>
      <c r="Q1180" s="154"/>
      <c r="R1180" s="154"/>
      <c r="S1180" s="154"/>
      <c r="T1180" s="154"/>
      <c r="U1180" s="154"/>
      <c r="V1180" s="154"/>
      <c r="W1180" s="154"/>
      <c r="X1180" s="154"/>
      <c r="Y1180" s="154"/>
      <c r="Z1180" s="154"/>
      <c r="AA1180" s="154"/>
    </row>
    <row r="1181" spans="1:27" ht="15">
      <c r="A1181" s="180">
        <v>45906</v>
      </c>
      <c r="B1181" s="181" t="s">
        <v>13069</v>
      </c>
      <c r="C1181" s="182" t="s">
        <v>12900</v>
      </c>
      <c r="D1181" s="182">
        <v>15245</v>
      </c>
      <c r="E1181" s="183">
        <v>5</v>
      </c>
      <c r="F1181" s="183">
        <v>693</v>
      </c>
      <c r="G1181" s="184">
        <v>0</v>
      </c>
      <c r="H1181" s="158"/>
      <c r="I1181" s="154"/>
      <c r="J1181" s="154"/>
      <c r="K1181" s="154"/>
      <c r="L1181" s="154"/>
      <c r="M1181" s="154"/>
      <c r="N1181" s="154"/>
      <c r="O1181" s="154"/>
      <c r="P1181" s="154"/>
      <c r="Q1181" s="154"/>
      <c r="R1181" s="154"/>
      <c r="S1181" s="154"/>
      <c r="T1181" s="154"/>
      <c r="U1181" s="154"/>
      <c r="V1181" s="154"/>
      <c r="W1181" s="154"/>
      <c r="X1181" s="154"/>
      <c r="Y1181" s="154"/>
      <c r="Z1181" s="154"/>
      <c r="AA1181" s="154"/>
    </row>
    <row r="1182" spans="1:27" ht="15">
      <c r="A1182" s="180">
        <v>45906</v>
      </c>
      <c r="B1182" s="181" t="s">
        <v>13070</v>
      </c>
      <c r="C1182" s="182" t="s">
        <v>12900</v>
      </c>
      <c r="D1182" s="182">
        <v>14537</v>
      </c>
      <c r="E1182" s="183">
        <v>19</v>
      </c>
      <c r="F1182" s="183">
        <v>919</v>
      </c>
      <c r="G1182" s="184">
        <v>2</v>
      </c>
      <c r="H1182" s="158"/>
      <c r="I1182" s="154"/>
      <c r="J1182" s="154"/>
      <c r="K1182" s="154"/>
      <c r="L1182" s="154"/>
      <c r="M1182" s="154"/>
      <c r="N1182" s="154"/>
      <c r="O1182" s="154"/>
      <c r="P1182" s="154"/>
      <c r="Q1182" s="154"/>
      <c r="R1182" s="154"/>
      <c r="S1182" s="154"/>
      <c r="T1182" s="154"/>
      <c r="U1182" s="154"/>
      <c r="V1182" s="154"/>
      <c r="W1182" s="154"/>
      <c r="X1182" s="154"/>
      <c r="Y1182" s="154"/>
      <c r="Z1182" s="154"/>
      <c r="AA1182" s="154"/>
    </row>
    <row r="1183" spans="1:27" ht="15">
      <c r="A1183" s="180">
        <v>45906</v>
      </c>
      <c r="B1183" s="181" t="s">
        <v>13066</v>
      </c>
      <c r="C1183" s="182" t="s">
        <v>12899</v>
      </c>
      <c r="D1183" s="182">
        <v>17944</v>
      </c>
      <c r="E1183" s="183">
        <v>10</v>
      </c>
      <c r="F1183" s="183">
        <v>922</v>
      </c>
      <c r="G1183" s="184">
        <v>0</v>
      </c>
      <c r="H1183" s="158"/>
      <c r="I1183" s="154"/>
      <c r="J1183" s="154"/>
      <c r="K1183" s="154"/>
      <c r="L1183" s="154"/>
      <c r="M1183" s="154"/>
      <c r="N1183" s="154"/>
      <c r="O1183" s="154"/>
      <c r="P1183" s="154"/>
      <c r="Q1183" s="154"/>
      <c r="R1183" s="154"/>
      <c r="S1183" s="154"/>
      <c r="T1183" s="154"/>
      <c r="U1183" s="154"/>
      <c r="V1183" s="154"/>
      <c r="W1183" s="154"/>
      <c r="X1183" s="154"/>
      <c r="Y1183" s="154"/>
      <c r="Z1183" s="154"/>
      <c r="AA1183" s="154"/>
    </row>
    <row r="1184" spans="1:27" ht="15">
      <c r="A1184" s="180">
        <v>45906</v>
      </c>
      <c r="B1184" s="181" t="s">
        <v>13065</v>
      </c>
      <c r="C1184" s="182" t="s">
        <v>12898</v>
      </c>
      <c r="D1184" s="182">
        <v>0</v>
      </c>
      <c r="E1184" s="183">
        <v>0</v>
      </c>
      <c r="F1184" s="183">
        <v>1</v>
      </c>
      <c r="G1184" s="184">
        <v>0</v>
      </c>
      <c r="H1184" s="158"/>
      <c r="I1184" s="154"/>
      <c r="J1184" s="154"/>
      <c r="K1184" s="154"/>
      <c r="L1184" s="154"/>
      <c r="M1184" s="154"/>
      <c r="N1184" s="154"/>
      <c r="O1184" s="154"/>
      <c r="P1184" s="154"/>
      <c r="Q1184" s="154"/>
      <c r="R1184" s="154"/>
      <c r="S1184" s="154"/>
      <c r="T1184" s="154"/>
      <c r="U1184" s="154"/>
      <c r="V1184" s="154"/>
      <c r="W1184" s="154"/>
      <c r="X1184" s="154"/>
      <c r="Y1184" s="154"/>
      <c r="Z1184" s="154"/>
      <c r="AA1184" s="154"/>
    </row>
    <row r="1185" spans="1:27" ht="15">
      <c r="A1185" s="180">
        <v>45906</v>
      </c>
      <c r="B1185" s="181" t="s">
        <v>13059</v>
      </c>
      <c r="C1185" s="182" t="s">
        <v>12897</v>
      </c>
      <c r="D1185" s="182">
        <v>10853</v>
      </c>
      <c r="E1185" s="183">
        <v>7</v>
      </c>
      <c r="F1185" s="183">
        <v>596</v>
      </c>
      <c r="G1185" s="184">
        <v>1</v>
      </c>
      <c r="H1185" s="158"/>
      <c r="I1185" s="154"/>
      <c r="J1185" s="154"/>
      <c r="K1185" s="154"/>
      <c r="L1185" s="154"/>
      <c r="M1185" s="154"/>
      <c r="N1185" s="154"/>
      <c r="O1185" s="154"/>
      <c r="P1185" s="154"/>
      <c r="Q1185" s="154"/>
      <c r="R1185" s="154"/>
      <c r="S1185" s="154"/>
      <c r="T1185" s="154"/>
      <c r="U1185" s="154"/>
      <c r="V1185" s="154"/>
      <c r="W1185" s="154"/>
      <c r="X1185" s="154"/>
      <c r="Y1185" s="154"/>
      <c r="Z1185" s="154"/>
      <c r="AA1185" s="154"/>
    </row>
    <row r="1186" spans="1:27" ht="15">
      <c r="A1186" s="180">
        <v>45906</v>
      </c>
      <c r="B1186" s="181" t="s">
        <v>13059</v>
      </c>
      <c r="C1186" s="182" t="s">
        <v>12897</v>
      </c>
      <c r="D1186" s="182">
        <v>17035</v>
      </c>
      <c r="E1186" s="183">
        <v>17</v>
      </c>
      <c r="F1186" s="183">
        <v>1079</v>
      </c>
      <c r="G1186" s="184">
        <v>2</v>
      </c>
      <c r="H1186" s="158"/>
      <c r="I1186" s="154"/>
      <c r="J1186" s="154"/>
      <c r="K1186" s="154"/>
      <c r="L1186" s="154"/>
      <c r="M1186" s="154"/>
      <c r="N1186" s="154"/>
      <c r="O1186" s="154"/>
      <c r="P1186" s="154"/>
      <c r="Q1186" s="154"/>
      <c r="R1186" s="154"/>
      <c r="S1186" s="154"/>
      <c r="T1186" s="154"/>
      <c r="U1186" s="154"/>
      <c r="V1186" s="154"/>
      <c r="W1186" s="154"/>
      <c r="X1186" s="154"/>
      <c r="Y1186" s="154"/>
      <c r="Z1186" s="154"/>
      <c r="AA1186" s="154"/>
    </row>
    <row r="1187" spans="1:27" ht="15">
      <c r="A1187" s="180">
        <v>45906</v>
      </c>
      <c r="B1187" s="181" t="s">
        <v>13057</v>
      </c>
      <c r="C1187" s="182" t="s">
        <v>12896</v>
      </c>
      <c r="D1187" s="182">
        <v>30</v>
      </c>
      <c r="E1187" s="183">
        <v>0</v>
      </c>
      <c r="F1187" s="183">
        <v>6</v>
      </c>
      <c r="G1187" s="184">
        <v>0</v>
      </c>
      <c r="H1187" s="158"/>
      <c r="I1187" s="154"/>
      <c r="J1187" s="154"/>
      <c r="K1187" s="154"/>
      <c r="L1187" s="154"/>
      <c r="M1187" s="154"/>
      <c r="N1187" s="154"/>
      <c r="O1187" s="154"/>
      <c r="P1187" s="154"/>
      <c r="Q1187" s="154"/>
      <c r="R1187" s="154"/>
      <c r="S1187" s="154"/>
      <c r="T1187" s="154"/>
      <c r="U1187" s="154"/>
      <c r="V1187" s="154"/>
      <c r="W1187" s="154"/>
      <c r="X1187" s="154"/>
      <c r="Y1187" s="154"/>
      <c r="Z1187" s="154"/>
      <c r="AA1187" s="154"/>
    </row>
    <row r="1188" spans="1:27" ht="15">
      <c r="A1188" s="180">
        <v>45906</v>
      </c>
      <c r="B1188" s="181" t="s">
        <v>13018</v>
      </c>
      <c r="C1188" s="182" t="s">
        <v>1229</v>
      </c>
      <c r="D1188" s="182">
        <v>35396</v>
      </c>
      <c r="E1188" s="183">
        <v>33</v>
      </c>
      <c r="F1188" s="183">
        <v>2148</v>
      </c>
      <c r="G1188" s="184">
        <v>3</v>
      </c>
      <c r="H1188" s="158"/>
      <c r="I1188" s="154"/>
      <c r="J1188" s="154"/>
      <c r="K1188" s="154"/>
      <c r="L1188" s="154"/>
      <c r="M1188" s="154"/>
      <c r="N1188" s="154"/>
      <c r="O1188" s="154"/>
      <c r="P1188" s="154"/>
      <c r="Q1188" s="154"/>
      <c r="R1188" s="154"/>
      <c r="S1188" s="154"/>
      <c r="T1188" s="154"/>
      <c r="U1188" s="154"/>
      <c r="V1188" s="154"/>
      <c r="W1188" s="154"/>
      <c r="X1188" s="154"/>
      <c r="Y1188" s="154"/>
      <c r="Z1188" s="154"/>
      <c r="AA1188" s="154"/>
    </row>
    <row r="1189" spans="1:27" ht="15">
      <c r="A1189" s="180">
        <v>45908</v>
      </c>
      <c r="B1189" s="181" t="s">
        <v>13069</v>
      </c>
      <c r="C1189" s="182" t="s">
        <v>12900</v>
      </c>
      <c r="D1189" s="182">
        <v>9571</v>
      </c>
      <c r="E1189" s="183">
        <v>6</v>
      </c>
      <c r="F1189" s="183">
        <v>788</v>
      </c>
      <c r="G1189" s="184">
        <v>1</v>
      </c>
      <c r="H1189" s="158"/>
      <c r="I1189" s="154"/>
      <c r="J1189" s="154"/>
      <c r="K1189" s="154"/>
      <c r="L1189" s="154"/>
      <c r="M1189" s="154"/>
      <c r="N1189" s="154"/>
      <c r="O1189" s="154"/>
      <c r="P1189" s="154"/>
      <c r="Q1189" s="154"/>
      <c r="R1189" s="154"/>
      <c r="S1189" s="154"/>
      <c r="T1189" s="154"/>
      <c r="U1189" s="154"/>
      <c r="V1189" s="154"/>
      <c r="W1189" s="154"/>
      <c r="X1189" s="154"/>
      <c r="Y1189" s="154"/>
      <c r="Z1189" s="154"/>
      <c r="AA1189" s="154"/>
    </row>
    <row r="1190" spans="1:27" ht="15">
      <c r="A1190" s="180">
        <v>45908</v>
      </c>
      <c r="B1190" s="181" t="s">
        <v>13069</v>
      </c>
      <c r="C1190" s="182" t="s">
        <v>12900</v>
      </c>
      <c r="D1190" s="182">
        <v>138532</v>
      </c>
      <c r="E1190" s="183">
        <v>156</v>
      </c>
      <c r="F1190" s="183">
        <v>8750</v>
      </c>
      <c r="G1190" s="184">
        <v>30</v>
      </c>
      <c r="H1190" s="158"/>
      <c r="I1190" s="154"/>
      <c r="J1190" s="154"/>
      <c r="K1190" s="154"/>
      <c r="L1190" s="154"/>
      <c r="M1190" s="154"/>
      <c r="N1190" s="154"/>
      <c r="O1190" s="154"/>
      <c r="P1190" s="154"/>
      <c r="Q1190" s="154"/>
      <c r="R1190" s="154"/>
      <c r="S1190" s="154"/>
      <c r="T1190" s="154"/>
      <c r="U1190" s="154"/>
      <c r="V1190" s="154"/>
      <c r="W1190" s="154"/>
      <c r="X1190" s="154"/>
      <c r="Y1190" s="154"/>
      <c r="Z1190" s="154"/>
      <c r="AA1190" s="154"/>
    </row>
    <row r="1191" spans="1:27" ht="15">
      <c r="A1191" s="180">
        <v>45908</v>
      </c>
      <c r="B1191" s="181" t="s">
        <v>13070</v>
      </c>
      <c r="C1191" s="182" t="s">
        <v>12900</v>
      </c>
      <c r="D1191" s="182">
        <v>103595</v>
      </c>
      <c r="E1191" s="183">
        <v>94</v>
      </c>
      <c r="F1191" s="183">
        <v>5830</v>
      </c>
      <c r="G1191" s="184">
        <v>15</v>
      </c>
      <c r="H1191" s="158"/>
      <c r="I1191" s="154"/>
      <c r="J1191" s="154"/>
      <c r="K1191" s="154"/>
      <c r="L1191" s="154"/>
      <c r="M1191" s="154"/>
      <c r="N1191" s="154"/>
      <c r="O1191" s="154"/>
      <c r="P1191" s="154"/>
      <c r="Q1191" s="154"/>
      <c r="R1191" s="154"/>
      <c r="S1191" s="154"/>
      <c r="T1191" s="154"/>
      <c r="U1191" s="154"/>
      <c r="V1191" s="154"/>
      <c r="W1191" s="154"/>
      <c r="X1191" s="154"/>
      <c r="Y1191" s="154"/>
      <c r="Z1191" s="154"/>
      <c r="AA1191" s="154"/>
    </row>
    <row r="1192" spans="1:27" ht="15">
      <c r="A1192" s="180">
        <v>45908</v>
      </c>
      <c r="B1192" s="181" t="s">
        <v>13066</v>
      </c>
      <c r="C1192" s="182" t="s">
        <v>12899</v>
      </c>
      <c r="D1192" s="182">
        <v>8509</v>
      </c>
      <c r="E1192" s="183">
        <v>6</v>
      </c>
      <c r="F1192" s="183">
        <v>500</v>
      </c>
      <c r="G1192" s="184">
        <v>0</v>
      </c>
      <c r="H1192" s="158"/>
      <c r="I1192" s="154"/>
      <c r="J1192" s="154"/>
      <c r="K1192" s="154"/>
      <c r="L1192" s="154"/>
      <c r="M1192" s="154"/>
      <c r="N1192" s="154"/>
      <c r="O1192" s="154"/>
      <c r="P1192" s="154"/>
      <c r="Q1192" s="154"/>
      <c r="R1192" s="154"/>
      <c r="S1192" s="154"/>
      <c r="T1192" s="154"/>
      <c r="U1192" s="154"/>
      <c r="V1192" s="154"/>
      <c r="W1192" s="154"/>
      <c r="X1192" s="154"/>
      <c r="Y1192" s="154"/>
      <c r="Z1192" s="154"/>
      <c r="AA1192" s="154"/>
    </row>
    <row r="1193" spans="1:27" ht="15">
      <c r="A1193" s="180">
        <v>45908</v>
      </c>
      <c r="B1193" s="181" t="s">
        <v>13067</v>
      </c>
      <c r="C1193" s="182" t="s">
        <v>12899</v>
      </c>
      <c r="D1193" s="182">
        <v>1520</v>
      </c>
      <c r="E1193" s="183">
        <v>1</v>
      </c>
      <c r="F1193" s="183">
        <v>61</v>
      </c>
      <c r="G1193" s="184">
        <v>0</v>
      </c>
      <c r="H1193" s="158"/>
      <c r="I1193" s="154"/>
      <c r="J1193" s="154"/>
      <c r="K1193" s="154"/>
      <c r="L1193" s="154"/>
      <c r="M1193" s="154"/>
      <c r="N1193" s="154"/>
      <c r="O1193" s="154"/>
      <c r="P1193" s="154"/>
      <c r="Q1193" s="154"/>
      <c r="R1193" s="154"/>
      <c r="S1193" s="154"/>
      <c r="T1193" s="154"/>
      <c r="U1193" s="154"/>
      <c r="V1193" s="154"/>
      <c r="W1193" s="154"/>
      <c r="X1193" s="154"/>
      <c r="Y1193" s="154"/>
      <c r="Z1193" s="154"/>
      <c r="AA1193" s="154"/>
    </row>
    <row r="1194" spans="1:27" ht="15">
      <c r="A1194" s="180">
        <v>45908</v>
      </c>
      <c r="B1194" s="181" t="s">
        <v>13068</v>
      </c>
      <c r="C1194" s="182" t="s">
        <v>12899</v>
      </c>
      <c r="D1194" s="182">
        <v>47526</v>
      </c>
      <c r="E1194" s="183">
        <v>37</v>
      </c>
      <c r="F1194" s="183">
        <v>3166</v>
      </c>
      <c r="G1194" s="184">
        <v>6</v>
      </c>
      <c r="H1194" s="158"/>
      <c r="I1194" s="154"/>
      <c r="J1194" s="154"/>
      <c r="K1194" s="154"/>
      <c r="L1194" s="154"/>
      <c r="M1194" s="154"/>
      <c r="N1194" s="154"/>
      <c r="O1194" s="154"/>
      <c r="P1194" s="154"/>
      <c r="Q1194" s="154"/>
      <c r="R1194" s="154"/>
      <c r="S1194" s="154"/>
      <c r="T1194" s="154"/>
      <c r="U1194" s="154"/>
      <c r="V1194" s="154"/>
      <c r="W1194" s="154"/>
      <c r="X1194" s="154"/>
      <c r="Y1194" s="154"/>
      <c r="Z1194" s="154"/>
      <c r="AA1194" s="154"/>
    </row>
    <row r="1195" spans="1:27" ht="15">
      <c r="A1195" s="180">
        <v>45908</v>
      </c>
      <c r="B1195" s="181" t="s">
        <v>13063</v>
      </c>
      <c r="C1195" s="182" t="s">
        <v>12898</v>
      </c>
      <c r="D1195" s="182">
        <v>968</v>
      </c>
      <c r="E1195" s="183">
        <v>3</v>
      </c>
      <c r="F1195" s="183">
        <v>48</v>
      </c>
      <c r="G1195" s="184">
        <v>0</v>
      </c>
      <c r="H1195" s="158"/>
      <c r="I1195" s="154"/>
      <c r="J1195" s="154"/>
      <c r="K1195" s="154"/>
      <c r="L1195" s="154"/>
      <c r="M1195" s="154"/>
      <c r="N1195" s="154"/>
      <c r="O1195" s="154"/>
      <c r="P1195" s="154"/>
      <c r="Q1195" s="154"/>
      <c r="R1195" s="154"/>
      <c r="S1195" s="154"/>
      <c r="T1195" s="154"/>
      <c r="U1195" s="154"/>
      <c r="V1195" s="154"/>
      <c r="W1195" s="154"/>
      <c r="X1195" s="154"/>
      <c r="Y1195" s="154"/>
      <c r="Z1195" s="154"/>
      <c r="AA1195" s="154"/>
    </row>
    <row r="1196" spans="1:27" ht="15">
      <c r="A1196" s="180">
        <v>45908</v>
      </c>
      <c r="B1196" s="181" t="s">
        <v>13064</v>
      </c>
      <c r="C1196" s="182" t="s">
        <v>12898</v>
      </c>
      <c r="D1196" s="182">
        <v>1148</v>
      </c>
      <c r="E1196" s="183">
        <v>0</v>
      </c>
      <c r="F1196" s="183">
        <v>39</v>
      </c>
      <c r="G1196" s="184">
        <v>0</v>
      </c>
      <c r="H1196" s="158"/>
      <c r="I1196" s="154"/>
      <c r="J1196" s="154"/>
      <c r="K1196" s="154"/>
      <c r="L1196" s="154"/>
      <c r="M1196" s="154"/>
      <c r="N1196" s="154"/>
      <c r="O1196" s="154"/>
      <c r="P1196" s="154"/>
      <c r="Q1196" s="154"/>
      <c r="R1196" s="154"/>
      <c r="S1196" s="154"/>
      <c r="T1196" s="154"/>
      <c r="U1196" s="154"/>
      <c r="V1196" s="154"/>
      <c r="W1196" s="154"/>
      <c r="X1196" s="154"/>
      <c r="Y1196" s="154"/>
      <c r="Z1196" s="154"/>
      <c r="AA1196" s="154"/>
    </row>
    <row r="1197" spans="1:27" ht="15">
      <c r="A1197" s="180">
        <v>45908</v>
      </c>
      <c r="B1197" s="181" t="s">
        <v>13065</v>
      </c>
      <c r="C1197" s="182" t="s">
        <v>12898</v>
      </c>
      <c r="D1197" s="182">
        <v>1098</v>
      </c>
      <c r="E1197" s="183">
        <v>1</v>
      </c>
      <c r="F1197" s="183">
        <v>30</v>
      </c>
      <c r="G1197" s="184">
        <v>0</v>
      </c>
      <c r="H1197" s="158"/>
      <c r="I1197" s="154"/>
      <c r="J1197" s="154"/>
      <c r="K1197" s="154"/>
      <c r="L1197" s="154"/>
      <c r="M1197" s="154"/>
      <c r="N1197" s="154"/>
      <c r="O1197" s="154"/>
      <c r="P1197" s="154"/>
      <c r="Q1197" s="154"/>
      <c r="R1197" s="154"/>
      <c r="S1197" s="154"/>
      <c r="T1197" s="154"/>
      <c r="U1197" s="154"/>
      <c r="V1197" s="154"/>
      <c r="W1197" s="154"/>
      <c r="X1197" s="154"/>
      <c r="Y1197" s="154"/>
      <c r="Z1197" s="154"/>
      <c r="AA1197" s="154"/>
    </row>
    <row r="1198" spans="1:27" ht="15">
      <c r="A1198" s="180">
        <v>45908</v>
      </c>
      <c r="B1198" s="181" t="s">
        <v>13060</v>
      </c>
      <c r="C1198" s="182" t="s">
        <v>1774</v>
      </c>
      <c r="D1198" s="182">
        <v>2634</v>
      </c>
      <c r="E1198" s="183">
        <v>1</v>
      </c>
      <c r="F1198" s="183">
        <v>38</v>
      </c>
      <c r="G1198" s="184">
        <v>0</v>
      </c>
      <c r="H1198" s="158"/>
      <c r="I1198" s="154"/>
      <c r="J1198" s="154"/>
      <c r="K1198" s="154"/>
      <c r="L1198" s="154"/>
      <c r="M1198" s="154"/>
      <c r="N1198" s="154"/>
      <c r="O1198" s="154"/>
      <c r="P1198" s="154"/>
      <c r="Q1198" s="154"/>
      <c r="R1198" s="154"/>
      <c r="S1198" s="154"/>
      <c r="T1198" s="154"/>
      <c r="U1198" s="154"/>
      <c r="V1198" s="154"/>
      <c r="W1198" s="154"/>
      <c r="X1198" s="154"/>
      <c r="Y1198" s="154"/>
      <c r="Z1198" s="154"/>
      <c r="AA1198" s="154"/>
    </row>
    <row r="1199" spans="1:27" ht="15">
      <c r="A1199" s="180">
        <v>45908</v>
      </c>
      <c r="B1199" s="181" t="s">
        <v>13059</v>
      </c>
      <c r="C1199" s="182" t="s">
        <v>12897</v>
      </c>
      <c r="D1199" s="182">
        <v>7269</v>
      </c>
      <c r="E1199" s="183">
        <v>4</v>
      </c>
      <c r="F1199" s="183">
        <v>371</v>
      </c>
      <c r="G1199" s="184">
        <v>0</v>
      </c>
      <c r="H1199" s="158"/>
      <c r="I1199" s="154"/>
      <c r="J1199" s="154"/>
      <c r="K1199" s="154"/>
      <c r="L1199" s="154"/>
      <c r="M1199" s="154"/>
      <c r="N1199" s="154"/>
      <c r="O1199" s="154"/>
      <c r="P1199" s="154"/>
      <c r="Q1199" s="154"/>
      <c r="R1199" s="154"/>
      <c r="S1199" s="154"/>
      <c r="T1199" s="154"/>
      <c r="U1199" s="154"/>
      <c r="V1199" s="154"/>
      <c r="W1199" s="154"/>
      <c r="X1199" s="154"/>
      <c r="Y1199" s="154"/>
      <c r="Z1199" s="154"/>
      <c r="AA1199" s="154"/>
    </row>
    <row r="1200" spans="1:27" ht="15">
      <c r="A1200" s="180">
        <v>45908</v>
      </c>
      <c r="B1200" s="181" t="s">
        <v>13059</v>
      </c>
      <c r="C1200" s="182" t="s">
        <v>12897</v>
      </c>
      <c r="D1200" s="182">
        <v>16924</v>
      </c>
      <c r="E1200" s="183">
        <v>12</v>
      </c>
      <c r="F1200" s="183">
        <v>927</v>
      </c>
      <c r="G1200" s="184">
        <v>2</v>
      </c>
      <c r="H1200" s="158"/>
      <c r="I1200" s="154"/>
      <c r="J1200" s="154"/>
      <c r="K1200" s="154"/>
      <c r="L1200" s="154"/>
      <c r="M1200" s="154"/>
      <c r="N1200" s="154"/>
      <c r="O1200" s="154"/>
      <c r="P1200" s="154"/>
      <c r="Q1200" s="154"/>
      <c r="R1200" s="154"/>
      <c r="S1200" s="154"/>
      <c r="T1200" s="154"/>
      <c r="U1200" s="154"/>
      <c r="V1200" s="154"/>
      <c r="W1200" s="154"/>
      <c r="X1200" s="154"/>
      <c r="Y1200" s="154"/>
      <c r="Z1200" s="154"/>
      <c r="AA1200" s="154"/>
    </row>
    <row r="1201" spans="1:27" ht="15">
      <c r="A1201" s="180">
        <v>45908</v>
      </c>
      <c r="B1201" s="181" t="s">
        <v>13056</v>
      </c>
      <c r="C1201" s="182" t="s">
        <v>12897</v>
      </c>
      <c r="D1201" s="182">
        <v>1576</v>
      </c>
      <c r="E1201" s="183">
        <v>1</v>
      </c>
      <c r="F1201" s="183">
        <v>73</v>
      </c>
      <c r="G1201" s="184">
        <v>0</v>
      </c>
      <c r="H1201" s="158"/>
      <c r="I1201" s="154"/>
      <c r="J1201" s="154"/>
      <c r="K1201" s="154"/>
      <c r="L1201" s="154"/>
      <c r="M1201" s="154"/>
      <c r="N1201" s="154"/>
      <c r="O1201" s="154"/>
      <c r="P1201" s="154"/>
      <c r="Q1201" s="154"/>
      <c r="R1201" s="154"/>
      <c r="S1201" s="154"/>
      <c r="T1201" s="154"/>
      <c r="U1201" s="154"/>
      <c r="V1201" s="154"/>
      <c r="W1201" s="154"/>
      <c r="X1201" s="154"/>
      <c r="Y1201" s="154"/>
      <c r="Z1201" s="154"/>
      <c r="AA1201" s="154"/>
    </row>
    <row r="1202" spans="1:27" ht="15">
      <c r="A1202" s="180">
        <v>45908</v>
      </c>
      <c r="B1202" s="181" t="s">
        <v>13057</v>
      </c>
      <c r="C1202" s="182" t="s">
        <v>12896</v>
      </c>
      <c r="D1202" s="182">
        <v>7252</v>
      </c>
      <c r="E1202" s="183">
        <v>4</v>
      </c>
      <c r="F1202" s="183">
        <v>333</v>
      </c>
      <c r="G1202" s="184">
        <v>0</v>
      </c>
      <c r="H1202" s="158"/>
      <c r="I1202" s="154"/>
      <c r="J1202" s="154"/>
      <c r="K1202" s="154"/>
      <c r="L1202" s="154"/>
      <c r="M1202" s="154"/>
      <c r="N1202" s="154"/>
      <c r="O1202" s="154"/>
      <c r="P1202" s="154"/>
      <c r="Q1202" s="154"/>
      <c r="R1202" s="154"/>
      <c r="S1202" s="154"/>
      <c r="T1202" s="154"/>
      <c r="U1202" s="154"/>
      <c r="V1202" s="154"/>
      <c r="W1202" s="154"/>
      <c r="X1202" s="154"/>
      <c r="Y1202" s="154"/>
      <c r="Z1202" s="154"/>
      <c r="AA1202" s="154"/>
    </row>
    <row r="1203" spans="1:27" ht="15">
      <c r="A1203" s="180">
        <v>45908</v>
      </c>
      <c r="B1203" s="181" t="s">
        <v>13048</v>
      </c>
      <c r="C1203" s="182" t="s">
        <v>12896</v>
      </c>
      <c r="D1203" s="182">
        <v>8869</v>
      </c>
      <c r="E1203" s="183">
        <v>2</v>
      </c>
      <c r="F1203" s="183">
        <v>170</v>
      </c>
      <c r="G1203" s="184">
        <v>1</v>
      </c>
      <c r="H1203" s="158"/>
      <c r="I1203" s="154"/>
      <c r="J1203" s="154"/>
      <c r="K1203" s="154"/>
      <c r="L1203" s="154"/>
      <c r="M1203" s="154"/>
      <c r="N1203" s="154"/>
      <c r="O1203" s="154"/>
      <c r="P1203" s="154"/>
      <c r="Q1203" s="154"/>
      <c r="R1203" s="154"/>
      <c r="S1203" s="154"/>
      <c r="T1203" s="154"/>
      <c r="U1203" s="154"/>
      <c r="V1203" s="154"/>
      <c r="W1203" s="154"/>
      <c r="X1203" s="154"/>
      <c r="Y1203" s="154"/>
      <c r="Z1203" s="154"/>
      <c r="AA1203" s="154"/>
    </row>
    <row r="1204" spans="1:27" ht="15">
      <c r="A1204" s="180">
        <v>45908</v>
      </c>
      <c r="B1204" s="181" t="s">
        <v>13015</v>
      </c>
      <c r="C1204" s="182" t="s">
        <v>1229</v>
      </c>
      <c r="D1204" s="182">
        <v>11058</v>
      </c>
      <c r="E1204" s="183">
        <v>3</v>
      </c>
      <c r="F1204" s="183">
        <v>324</v>
      </c>
      <c r="G1204" s="184">
        <v>0</v>
      </c>
      <c r="H1204" s="158"/>
      <c r="I1204" s="154"/>
      <c r="J1204" s="154"/>
      <c r="K1204" s="154"/>
      <c r="L1204" s="154"/>
      <c r="M1204" s="154"/>
      <c r="N1204" s="154"/>
      <c r="O1204" s="154"/>
      <c r="P1204" s="154"/>
      <c r="Q1204" s="154"/>
      <c r="R1204" s="154"/>
      <c r="S1204" s="154"/>
      <c r="T1204" s="154"/>
      <c r="U1204" s="154"/>
      <c r="V1204" s="154"/>
      <c r="W1204" s="154"/>
      <c r="X1204" s="154"/>
      <c r="Y1204" s="154"/>
      <c r="Z1204" s="154"/>
      <c r="AA1204" s="154"/>
    </row>
    <row r="1205" spans="1:27" ht="15">
      <c r="A1205" s="180">
        <v>45908</v>
      </c>
      <c r="B1205" s="181" t="s">
        <v>13017</v>
      </c>
      <c r="C1205" s="182" t="s">
        <v>1229</v>
      </c>
      <c r="D1205" s="182">
        <v>5921</v>
      </c>
      <c r="E1205" s="183">
        <v>5</v>
      </c>
      <c r="F1205" s="183">
        <v>229</v>
      </c>
      <c r="G1205" s="184">
        <v>0</v>
      </c>
      <c r="H1205" s="158"/>
      <c r="I1205" s="154"/>
      <c r="J1205" s="154"/>
      <c r="K1205" s="154"/>
      <c r="L1205" s="154"/>
      <c r="M1205" s="154"/>
      <c r="N1205" s="154"/>
      <c r="O1205" s="154"/>
      <c r="P1205" s="154"/>
      <c r="Q1205" s="154"/>
      <c r="R1205" s="154"/>
      <c r="S1205" s="154"/>
      <c r="T1205" s="154"/>
      <c r="U1205" s="154"/>
      <c r="V1205" s="154"/>
      <c r="W1205" s="154"/>
      <c r="X1205" s="154"/>
      <c r="Y1205" s="154"/>
      <c r="Z1205" s="154"/>
      <c r="AA1205" s="154"/>
    </row>
    <row r="1206" spans="1:27" ht="15">
      <c r="A1206" s="180">
        <v>45908</v>
      </c>
      <c r="B1206" s="181" t="s">
        <v>13018</v>
      </c>
      <c r="C1206" s="182" t="s">
        <v>1229</v>
      </c>
      <c r="D1206" s="182">
        <v>7627</v>
      </c>
      <c r="E1206" s="183">
        <v>8</v>
      </c>
      <c r="F1206" s="183">
        <v>336</v>
      </c>
      <c r="G1206" s="184">
        <v>0</v>
      </c>
      <c r="H1206" s="158"/>
      <c r="I1206" s="154"/>
      <c r="J1206" s="154"/>
      <c r="K1206" s="154"/>
      <c r="L1206" s="154"/>
      <c r="M1206" s="154"/>
      <c r="N1206" s="154"/>
      <c r="O1206" s="154"/>
      <c r="P1206" s="154"/>
      <c r="Q1206" s="154"/>
      <c r="R1206" s="154"/>
      <c r="S1206" s="154"/>
      <c r="T1206" s="154"/>
      <c r="U1206" s="154"/>
      <c r="V1206" s="154"/>
      <c r="W1206" s="154"/>
      <c r="X1206" s="154"/>
      <c r="Y1206" s="154"/>
      <c r="Z1206" s="154"/>
      <c r="AA1206" s="154"/>
    </row>
    <row r="1207" spans="1:27" ht="15">
      <c r="A1207" s="180">
        <v>45909</v>
      </c>
      <c r="B1207" s="181" t="s">
        <v>13069</v>
      </c>
      <c r="C1207" s="182" t="s">
        <v>12900</v>
      </c>
      <c r="D1207" s="182">
        <v>10239</v>
      </c>
      <c r="E1207" s="183">
        <v>7</v>
      </c>
      <c r="F1207" s="183">
        <v>639</v>
      </c>
      <c r="G1207" s="184">
        <v>1</v>
      </c>
      <c r="H1207" s="158"/>
      <c r="I1207" s="154"/>
      <c r="J1207" s="154"/>
      <c r="K1207" s="154"/>
      <c r="L1207" s="154"/>
      <c r="M1207" s="154"/>
      <c r="N1207" s="154"/>
      <c r="O1207" s="154"/>
      <c r="P1207" s="154"/>
      <c r="Q1207" s="154"/>
      <c r="R1207" s="154"/>
      <c r="S1207" s="154"/>
      <c r="T1207" s="154"/>
      <c r="U1207" s="154"/>
      <c r="V1207" s="154"/>
      <c r="W1207" s="154"/>
      <c r="X1207" s="154"/>
      <c r="Y1207" s="154"/>
      <c r="Z1207" s="154"/>
      <c r="AA1207" s="154"/>
    </row>
    <row r="1208" spans="1:27" ht="15">
      <c r="A1208" s="180">
        <v>45909</v>
      </c>
      <c r="B1208" s="181" t="s">
        <v>13069</v>
      </c>
      <c r="C1208" s="182" t="s">
        <v>12900</v>
      </c>
      <c r="D1208" s="182">
        <v>87229</v>
      </c>
      <c r="E1208" s="183">
        <v>89</v>
      </c>
      <c r="F1208" s="183">
        <v>6246</v>
      </c>
      <c r="G1208" s="184">
        <v>18</v>
      </c>
      <c r="H1208" s="158"/>
      <c r="I1208" s="154"/>
      <c r="J1208" s="154"/>
      <c r="K1208" s="154"/>
      <c r="L1208" s="154"/>
      <c r="M1208" s="154"/>
      <c r="N1208" s="154"/>
      <c r="O1208" s="154"/>
      <c r="P1208" s="154"/>
      <c r="Q1208" s="154"/>
      <c r="R1208" s="154"/>
      <c r="S1208" s="154"/>
      <c r="T1208" s="154"/>
      <c r="U1208" s="154"/>
      <c r="V1208" s="154"/>
      <c r="W1208" s="154"/>
      <c r="X1208" s="154"/>
      <c r="Y1208" s="154"/>
      <c r="Z1208" s="154"/>
      <c r="AA1208" s="154"/>
    </row>
    <row r="1209" spans="1:27" ht="15">
      <c r="A1209" s="180">
        <v>45909</v>
      </c>
      <c r="B1209" s="181" t="s">
        <v>13070</v>
      </c>
      <c r="C1209" s="182" t="s">
        <v>12900</v>
      </c>
      <c r="D1209" s="182">
        <v>10364</v>
      </c>
      <c r="E1209" s="183">
        <v>11</v>
      </c>
      <c r="F1209" s="183">
        <v>907</v>
      </c>
      <c r="G1209" s="184">
        <v>0</v>
      </c>
      <c r="H1209" s="158"/>
      <c r="I1209" s="154"/>
      <c r="J1209" s="154"/>
      <c r="K1209" s="154"/>
      <c r="L1209" s="154"/>
      <c r="M1209" s="154"/>
      <c r="N1209" s="154"/>
      <c r="O1209" s="154"/>
      <c r="P1209" s="154"/>
      <c r="Q1209" s="154"/>
      <c r="R1209" s="154"/>
      <c r="S1209" s="154"/>
      <c r="T1209" s="154"/>
      <c r="U1209" s="154"/>
      <c r="V1209" s="154"/>
      <c r="W1209" s="154"/>
      <c r="X1209" s="154"/>
      <c r="Y1209" s="154"/>
      <c r="Z1209" s="154"/>
      <c r="AA1209" s="154"/>
    </row>
    <row r="1210" spans="1:27" ht="15">
      <c r="A1210" s="180">
        <v>45909</v>
      </c>
      <c r="B1210" s="181" t="s">
        <v>13066</v>
      </c>
      <c r="C1210" s="182" t="s">
        <v>12899</v>
      </c>
      <c r="D1210" s="182">
        <v>9833</v>
      </c>
      <c r="E1210" s="183">
        <v>5</v>
      </c>
      <c r="F1210" s="183">
        <v>608</v>
      </c>
      <c r="G1210" s="184">
        <v>1</v>
      </c>
      <c r="H1210" s="158"/>
      <c r="I1210" s="154"/>
      <c r="J1210" s="154"/>
      <c r="K1210" s="154"/>
      <c r="L1210" s="154"/>
      <c r="M1210" s="154"/>
      <c r="N1210" s="154"/>
      <c r="O1210" s="154"/>
      <c r="P1210" s="154"/>
      <c r="Q1210" s="154"/>
      <c r="R1210" s="154"/>
      <c r="S1210" s="154"/>
      <c r="T1210" s="154"/>
      <c r="U1210" s="154"/>
      <c r="V1210" s="154"/>
      <c r="W1210" s="154"/>
      <c r="X1210" s="154"/>
      <c r="Y1210" s="154"/>
      <c r="Z1210" s="154"/>
      <c r="AA1210" s="154"/>
    </row>
    <row r="1211" spans="1:27" ht="15">
      <c r="A1211" s="180">
        <v>45909</v>
      </c>
      <c r="B1211" s="181" t="s">
        <v>13068</v>
      </c>
      <c r="C1211" s="182" t="s">
        <v>12899</v>
      </c>
      <c r="D1211" s="182">
        <v>31696</v>
      </c>
      <c r="E1211" s="183">
        <v>41</v>
      </c>
      <c r="F1211" s="183">
        <v>3090</v>
      </c>
      <c r="G1211" s="184">
        <v>1</v>
      </c>
      <c r="H1211" s="158"/>
      <c r="I1211" s="154"/>
      <c r="J1211" s="154"/>
      <c r="K1211" s="154"/>
      <c r="L1211" s="154"/>
      <c r="M1211" s="154"/>
      <c r="N1211" s="154"/>
      <c r="O1211" s="154"/>
      <c r="P1211" s="154"/>
      <c r="Q1211" s="154"/>
      <c r="R1211" s="154"/>
      <c r="S1211" s="154"/>
      <c r="T1211" s="154"/>
      <c r="U1211" s="154"/>
      <c r="V1211" s="154"/>
      <c r="W1211" s="154"/>
      <c r="X1211" s="154"/>
      <c r="Y1211" s="154"/>
      <c r="Z1211" s="154"/>
      <c r="AA1211" s="154"/>
    </row>
    <row r="1212" spans="1:27" ht="15">
      <c r="A1212" s="180">
        <v>45909</v>
      </c>
      <c r="B1212" s="181" t="s">
        <v>13060</v>
      </c>
      <c r="C1212" s="182" t="s">
        <v>1774</v>
      </c>
      <c r="D1212" s="182">
        <v>49</v>
      </c>
      <c r="E1212" s="183">
        <v>0</v>
      </c>
      <c r="F1212" s="183">
        <v>4</v>
      </c>
      <c r="G1212" s="184">
        <v>0</v>
      </c>
      <c r="H1212" s="158"/>
      <c r="I1212" s="154"/>
      <c r="J1212" s="154"/>
      <c r="K1212" s="154"/>
      <c r="L1212" s="154"/>
      <c r="M1212" s="154"/>
      <c r="N1212" s="154"/>
      <c r="O1212" s="154"/>
      <c r="P1212" s="154"/>
      <c r="Q1212" s="154"/>
      <c r="R1212" s="154"/>
      <c r="S1212" s="154"/>
      <c r="T1212" s="154"/>
      <c r="U1212" s="154"/>
      <c r="V1212" s="154"/>
      <c r="W1212" s="154"/>
      <c r="X1212" s="154"/>
      <c r="Y1212" s="154"/>
      <c r="Z1212" s="154"/>
      <c r="AA1212" s="154"/>
    </row>
    <row r="1213" spans="1:27" ht="15">
      <c r="A1213" s="180">
        <v>45909</v>
      </c>
      <c r="B1213" s="181" t="s">
        <v>13059</v>
      </c>
      <c r="C1213" s="182" t="s">
        <v>12897</v>
      </c>
      <c r="D1213" s="182">
        <v>20378</v>
      </c>
      <c r="E1213" s="183">
        <v>27</v>
      </c>
      <c r="F1213" s="183">
        <v>777</v>
      </c>
      <c r="G1213" s="184">
        <v>2</v>
      </c>
      <c r="H1213" s="158"/>
      <c r="I1213" s="154"/>
      <c r="J1213" s="154"/>
      <c r="K1213" s="154"/>
      <c r="L1213" s="154"/>
      <c r="M1213" s="154"/>
      <c r="N1213" s="154"/>
      <c r="O1213" s="154"/>
      <c r="P1213" s="154"/>
      <c r="Q1213" s="154"/>
      <c r="R1213" s="154"/>
      <c r="S1213" s="154"/>
      <c r="T1213" s="154"/>
      <c r="U1213" s="154"/>
      <c r="V1213" s="154"/>
      <c r="W1213" s="154"/>
      <c r="X1213" s="154"/>
      <c r="Y1213" s="154"/>
      <c r="Z1213" s="154"/>
      <c r="AA1213" s="154"/>
    </row>
    <row r="1214" spans="1:27" ht="15">
      <c r="A1214" s="180">
        <v>45909</v>
      </c>
      <c r="B1214" s="181" t="s">
        <v>13059</v>
      </c>
      <c r="C1214" s="182" t="s">
        <v>12897</v>
      </c>
      <c r="D1214" s="182">
        <v>17245</v>
      </c>
      <c r="E1214" s="183">
        <v>10</v>
      </c>
      <c r="F1214" s="183">
        <v>706</v>
      </c>
      <c r="G1214" s="184">
        <v>1</v>
      </c>
      <c r="H1214" s="158"/>
      <c r="I1214" s="154"/>
      <c r="J1214" s="154"/>
      <c r="K1214" s="154"/>
      <c r="L1214" s="154"/>
      <c r="M1214" s="154"/>
      <c r="N1214" s="154"/>
      <c r="O1214" s="154"/>
      <c r="P1214" s="154"/>
      <c r="Q1214" s="154"/>
      <c r="R1214" s="154"/>
      <c r="S1214" s="154"/>
      <c r="T1214" s="154"/>
      <c r="U1214" s="154"/>
      <c r="V1214" s="154"/>
      <c r="W1214" s="154"/>
      <c r="X1214" s="154"/>
      <c r="Y1214" s="154"/>
      <c r="Z1214" s="154"/>
      <c r="AA1214" s="154"/>
    </row>
    <row r="1215" spans="1:27" ht="15">
      <c r="A1215" s="180">
        <v>45909</v>
      </c>
      <c r="B1215" s="181" t="s">
        <v>13057</v>
      </c>
      <c r="C1215" s="182" t="s">
        <v>12896</v>
      </c>
      <c r="D1215" s="182">
        <v>3298</v>
      </c>
      <c r="E1215" s="183">
        <v>0</v>
      </c>
      <c r="F1215" s="183">
        <v>148</v>
      </c>
      <c r="G1215" s="184">
        <v>0</v>
      </c>
      <c r="H1215" s="158"/>
      <c r="I1215" s="154"/>
      <c r="J1215" s="154"/>
      <c r="K1215" s="154"/>
      <c r="L1215" s="154"/>
      <c r="M1215" s="154"/>
      <c r="N1215" s="154"/>
      <c r="O1215" s="154"/>
      <c r="P1215" s="154"/>
      <c r="Q1215" s="154"/>
      <c r="R1215" s="154"/>
      <c r="S1215" s="154"/>
      <c r="T1215" s="154"/>
      <c r="U1215" s="154"/>
      <c r="V1215" s="154"/>
      <c r="W1215" s="154"/>
      <c r="X1215" s="154"/>
      <c r="Y1215" s="154"/>
      <c r="Z1215" s="154"/>
      <c r="AA1215" s="154"/>
    </row>
    <row r="1216" spans="1:27" ht="15">
      <c r="A1216" s="180">
        <v>45909</v>
      </c>
      <c r="B1216" s="181" t="s">
        <v>13048</v>
      </c>
      <c r="C1216" s="182" t="s">
        <v>12896</v>
      </c>
      <c r="D1216" s="182">
        <v>13037</v>
      </c>
      <c r="E1216" s="183">
        <v>17</v>
      </c>
      <c r="F1216" s="183">
        <v>944</v>
      </c>
      <c r="G1216" s="184">
        <v>0</v>
      </c>
      <c r="H1216" s="158"/>
      <c r="I1216" s="154"/>
      <c r="J1216" s="154"/>
      <c r="K1216" s="154"/>
      <c r="L1216" s="154"/>
      <c r="M1216" s="154"/>
      <c r="N1216" s="154"/>
      <c r="O1216" s="154"/>
      <c r="P1216" s="154"/>
      <c r="Q1216" s="154"/>
      <c r="R1216" s="154"/>
      <c r="S1216" s="154"/>
      <c r="T1216" s="154"/>
      <c r="U1216" s="154"/>
      <c r="V1216" s="154"/>
      <c r="W1216" s="154"/>
      <c r="X1216" s="154"/>
      <c r="Y1216" s="154"/>
      <c r="Z1216" s="154"/>
      <c r="AA1216" s="154"/>
    </row>
    <row r="1217" spans="1:27" ht="15">
      <c r="A1217" s="180">
        <v>45909</v>
      </c>
      <c r="B1217" s="181" t="s">
        <v>13015</v>
      </c>
      <c r="C1217" s="182" t="s">
        <v>1229</v>
      </c>
      <c r="D1217" s="182">
        <v>4503</v>
      </c>
      <c r="E1217" s="183">
        <v>7</v>
      </c>
      <c r="F1217" s="183">
        <v>398</v>
      </c>
      <c r="G1217" s="184">
        <v>0</v>
      </c>
      <c r="H1217" s="158"/>
      <c r="I1217" s="154"/>
      <c r="J1217" s="154"/>
      <c r="K1217" s="154"/>
      <c r="L1217" s="154"/>
      <c r="M1217" s="154"/>
      <c r="N1217" s="154"/>
      <c r="O1217" s="154"/>
      <c r="P1217" s="154"/>
      <c r="Q1217" s="154"/>
      <c r="R1217" s="154"/>
      <c r="S1217" s="154"/>
      <c r="T1217" s="154"/>
      <c r="U1217" s="154"/>
      <c r="V1217" s="154"/>
      <c r="W1217" s="154"/>
      <c r="X1217" s="154"/>
      <c r="Y1217" s="154"/>
      <c r="Z1217" s="154"/>
      <c r="AA1217" s="154"/>
    </row>
    <row r="1218" spans="1:27" ht="15">
      <c r="A1218" s="180">
        <v>45909</v>
      </c>
      <c r="B1218" s="181" t="s">
        <v>13017</v>
      </c>
      <c r="C1218" s="182" t="s">
        <v>1229</v>
      </c>
      <c r="D1218" s="182">
        <v>30</v>
      </c>
      <c r="E1218" s="183">
        <v>0</v>
      </c>
      <c r="F1218" s="183">
        <v>13</v>
      </c>
      <c r="G1218" s="184">
        <v>0</v>
      </c>
      <c r="H1218" s="158"/>
      <c r="I1218" s="154"/>
      <c r="J1218" s="154"/>
      <c r="K1218" s="154"/>
      <c r="L1218" s="154"/>
      <c r="M1218" s="154"/>
      <c r="N1218" s="154"/>
      <c r="O1218" s="154"/>
      <c r="P1218" s="154"/>
      <c r="Q1218" s="154"/>
      <c r="R1218" s="154"/>
      <c r="S1218" s="154"/>
      <c r="T1218" s="154"/>
      <c r="U1218" s="154"/>
      <c r="V1218" s="154"/>
      <c r="W1218" s="154"/>
      <c r="X1218" s="154"/>
      <c r="Y1218" s="154"/>
      <c r="Z1218" s="154"/>
      <c r="AA1218" s="154"/>
    </row>
    <row r="1219" spans="1:27" ht="15">
      <c r="A1219" s="180">
        <v>45909</v>
      </c>
      <c r="B1219" s="181" t="s">
        <v>13018</v>
      </c>
      <c r="C1219" s="182" t="s">
        <v>1229</v>
      </c>
      <c r="D1219" s="182">
        <v>17196</v>
      </c>
      <c r="E1219" s="183">
        <v>24</v>
      </c>
      <c r="F1219" s="183">
        <v>1788</v>
      </c>
      <c r="G1219" s="184">
        <v>2</v>
      </c>
      <c r="H1219" s="158"/>
      <c r="I1219" s="154"/>
      <c r="J1219" s="154"/>
      <c r="K1219" s="154"/>
      <c r="L1219" s="154"/>
      <c r="M1219" s="154"/>
      <c r="N1219" s="154"/>
      <c r="O1219" s="154"/>
      <c r="P1219" s="154"/>
      <c r="Q1219" s="154"/>
      <c r="R1219" s="154"/>
      <c r="S1219" s="154"/>
      <c r="T1219" s="154"/>
      <c r="U1219" s="154"/>
      <c r="V1219" s="154"/>
      <c r="W1219" s="154"/>
      <c r="X1219" s="154"/>
      <c r="Y1219" s="154"/>
      <c r="Z1219" s="154"/>
      <c r="AA1219" s="154"/>
    </row>
    <row r="1220" spans="1:27" ht="15">
      <c r="A1220" s="180">
        <v>45911</v>
      </c>
      <c r="B1220" s="181" t="s">
        <v>13069</v>
      </c>
      <c r="C1220" s="182" t="s">
        <v>12900</v>
      </c>
      <c r="D1220" s="182">
        <v>89</v>
      </c>
      <c r="E1220" s="183">
        <v>0</v>
      </c>
      <c r="F1220" s="183">
        <v>5</v>
      </c>
      <c r="G1220" s="184">
        <v>0</v>
      </c>
      <c r="H1220" s="158"/>
      <c r="I1220" s="154"/>
      <c r="J1220" s="154"/>
      <c r="K1220" s="154"/>
      <c r="L1220" s="154"/>
      <c r="M1220" s="154"/>
      <c r="N1220" s="154"/>
      <c r="O1220" s="154"/>
      <c r="P1220" s="154"/>
      <c r="Q1220" s="154"/>
      <c r="R1220" s="154"/>
      <c r="S1220" s="154"/>
      <c r="T1220" s="154"/>
      <c r="U1220" s="154"/>
      <c r="V1220" s="154"/>
      <c r="W1220" s="154"/>
      <c r="X1220" s="154"/>
      <c r="Y1220" s="154"/>
      <c r="Z1220" s="154"/>
      <c r="AA1220" s="154"/>
    </row>
    <row r="1221" spans="1:27" ht="15">
      <c r="A1221" s="180">
        <v>45911</v>
      </c>
      <c r="B1221" s="181" t="s">
        <v>13069</v>
      </c>
      <c r="C1221" s="182" t="s">
        <v>12900</v>
      </c>
      <c r="D1221" s="182">
        <v>108</v>
      </c>
      <c r="E1221" s="183">
        <v>0</v>
      </c>
      <c r="F1221" s="183">
        <v>11</v>
      </c>
      <c r="G1221" s="184">
        <v>0</v>
      </c>
      <c r="H1221" s="158"/>
      <c r="I1221" s="154"/>
      <c r="J1221" s="154"/>
      <c r="K1221" s="154"/>
      <c r="L1221" s="154"/>
      <c r="M1221" s="154"/>
      <c r="N1221" s="154"/>
      <c r="O1221" s="154"/>
      <c r="P1221" s="154"/>
      <c r="Q1221" s="154"/>
      <c r="R1221" s="154"/>
      <c r="S1221" s="154"/>
      <c r="T1221" s="154"/>
      <c r="U1221" s="154"/>
      <c r="V1221" s="154"/>
      <c r="W1221" s="154"/>
      <c r="X1221" s="154"/>
      <c r="Y1221" s="154"/>
      <c r="Z1221" s="154"/>
      <c r="AA1221" s="154"/>
    </row>
    <row r="1222" spans="1:27" ht="15">
      <c r="A1222" s="180">
        <v>45911</v>
      </c>
      <c r="B1222" s="181" t="s">
        <v>13070</v>
      </c>
      <c r="C1222" s="182" t="s">
        <v>12900</v>
      </c>
      <c r="D1222" s="182">
        <v>362</v>
      </c>
      <c r="E1222" s="183">
        <v>0</v>
      </c>
      <c r="F1222" s="183">
        <v>16</v>
      </c>
      <c r="G1222" s="184">
        <v>0</v>
      </c>
      <c r="H1222" s="158"/>
      <c r="I1222" s="154"/>
      <c r="J1222" s="154"/>
      <c r="K1222" s="154"/>
      <c r="L1222" s="154"/>
      <c r="M1222" s="154"/>
      <c r="N1222" s="154"/>
      <c r="O1222" s="154"/>
      <c r="P1222" s="154"/>
      <c r="Q1222" s="154"/>
      <c r="R1222" s="154"/>
      <c r="S1222" s="154"/>
      <c r="T1222" s="154"/>
      <c r="U1222" s="154"/>
      <c r="V1222" s="154"/>
      <c r="W1222" s="154"/>
      <c r="X1222" s="154"/>
      <c r="Y1222" s="154"/>
      <c r="Z1222" s="154"/>
      <c r="AA1222" s="154"/>
    </row>
    <row r="1223" spans="1:27" ht="15">
      <c r="A1223" s="180">
        <v>45911</v>
      </c>
      <c r="B1223" s="181" t="s">
        <v>13066</v>
      </c>
      <c r="C1223" s="182" t="s">
        <v>12899</v>
      </c>
      <c r="D1223" s="182">
        <v>12243</v>
      </c>
      <c r="E1223" s="183">
        <v>9</v>
      </c>
      <c r="F1223" s="183">
        <v>492</v>
      </c>
      <c r="G1223" s="184">
        <v>1</v>
      </c>
      <c r="H1223" s="158"/>
      <c r="I1223" s="154"/>
      <c r="J1223" s="154"/>
      <c r="K1223" s="154"/>
      <c r="L1223" s="154"/>
      <c r="M1223" s="154"/>
      <c r="N1223" s="154"/>
      <c r="O1223" s="154"/>
      <c r="P1223" s="154"/>
      <c r="Q1223" s="154"/>
      <c r="R1223" s="154"/>
      <c r="S1223" s="154"/>
      <c r="T1223" s="154"/>
      <c r="U1223" s="154"/>
      <c r="V1223" s="154"/>
      <c r="W1223" s="154"/>
      <c r="X1223" s="154"/>
      <c r="Y1223" s="154"/>
      <c r="Z1223" s="154"/>
      <c r="AA1223" s="154"/>
    </row>
    <row r="1224" spans="1:27" ht="15">
      <c r="A1224" s="180">
        <v>45911</v>
      </c>
      <c r="B1224" s="181" t="s">
        <v>13067</v>
      </c>
      <c r="C1224" s="182" t="s">
        <v>12899</v>
      </c>
      <c r="D1224" s="182">
        <v>13148</v>
      </c>
      <c r="E1224" s="183">
        <v>10</v>
      </c>
      <c r="F1224" s="183">
        <v>368</v>
      </c>
      <c r="G1224" s="184">
        <v>1</v>
      </c>
      <c r="H1224" s="158"/>
      <c r="I1224" s="154"/>
      <c r="J1224" s="154"/>
      <c r="K1224" s="154"/>
      <c r="L1224" s="154"/>
      <c r="M1224" s="154"/>
      <c r="N1224" s="154"/>
      <c r="O1224" s="154"/>
      <c r="P1224" s="154"/>
      <c r="Q1224" s="154"/>
      <c r="R1224" s="154"/>
      <c r="S1224" s="154"/>
      <c r="T1224" s="154"/>
      <c r="U1224" s="154"/>
      <c r="V1224" s="154"/>
      <c r="W1224" s="154"/>
      <c r="X1224" s="154"/>
      <c r="Y1224" s="154"/>
      <c r="Z1224" s="154"/>
      <c r="AA1224" s="154"/>
    </row>
    <row r="1225" spans="1:27" ht="15">
      <c r="A1225" s="180">
        <v>45911</v>
      </c>
      <c r="B1225" s="181" t="s">
        <v>13068</v>
      </c>
      <c r="C1225" s="182" t="s">
        <v>12899</v>
      </c>
      <c r="D1225" s="182">
        <v>2</v>
      </c>
      <c r="E1225" s="183">
        <v>0</v>
      </c>
      <c r="F1225" s="183">
        <v>1</v>
      </c>
      <c r="G1225" s="184">
        <v>0</v>
      </c>
      <c r="H1225" s="158"/>
      <c r="I1225" s="154"/>
      <c r="J1225" s="154"/>
      <c r="K1225" s="154"/>
      <c r="L1225" s="154"/>
      <c r="M1225" s="154"/>
      <c r="N1225" s="154"/>
      <c r="O1225" s="154"/>
      <c r="P1225" s="154"/>
      <c r="Q1225" s="154"/>
      <c r="R1225" s="154"/>
      <c r="S1225" s="154"/>
      <c r="T1225" s="154"/>
      <c r="U1225" s="154"/>
      <c r="V1225" s="154"/>
      <c r="W1225" s="154"/>
      <c r="X1225" s="154"/>
      <c r="Y1225" s="154"/>
      <c r="Z1225" s="154"/>
      <c r="AA1225" s="154"/>
    </row>
    <row r="1226" spans="1:27" ht="15">
      <c r="A1226" s="180">
        <v>45911</v>
      </c>
      <c r="B1226" s="181" t="s">
        <v>13063</v>
      </c>
      <c r="C1226" s="182" t="s">
        <v>12898</v>
      </c>
      <c r="D1226" s="182">
        <v>14289</v>
      </c>
      <c r="E1226" s="183">
        <v>5</v>
      </c>
      <c r="F1226" s="183">
        <v>292</v>
      </c>
      <c r="G1226" s="184">
        <v>2</v>
      </c>
      <c r="H1226" s="158"/>
      <c r="I1226" s="154"/>
      <c r="J1226" s="154"/>
      <c r="K1226" s="154"/>
      <c r="L1226" s="154"/>
      <c r="M1226" s="154"/>
      <c r="N1226" s="154"/>
      <c r="O1226" s="154"/>
      <c r="P1226" s="154"/>
      <c r="Q1226" s="154"/>
      <c r="R1226" s="154"/>
      <c r="S1226" s="154"/>
      <c r="T1226" s="154"/>
      <c r="U1226" s="154"/>
      <c r="V1226" s="154"/>
      <c r="W1226" s="154"/>
      <c r="X1226" s="154"/>
      <c r="Y1226" s="154"/>
      <c r="Z1226" s="154"/>
      <c r="AA1226" s="154"/>
    </row>
    <row r="1227" spans="1:27" ht="15">
      <c r="A1227" s="180">
        <v>45911</v>
      </c>
      <c r="B1227" s="181" t="s">
        <v>13064</v>
      </c>
      <c r="C1227" s="182" t="s">
        <v>12898</v>
      </c>
      <c r="D1227" s="182">
        <v>142090</v>
      </c>
      <c r="E1227" s="183">
        <v>135</v>
      </c>
      <c r="F1227" s="183">
        <v>9161</v>
      </c>
      <c r="G1227" s="184">
        <v>30</v>
      </c>
      <c r="H1227" s="158"/>
      <c r="I1227" s="154"/>
      <c r="J1227" s="154"/>
      <c r="K1227" s="154"/>
      <c r="L1227" s="154"/>
      <c r="M1227" s="154"/>
      <c r="N1227" s="154"/>
      <c r="O1227" s="154"/>
      <c r="P1227" s="154"/>
      <c r="Q1227" s="154"/>
      <c r="R1227" s="154"/>
      <c r="S1227" s="154"/>
      <c r="T1227" s="154"/>
      <c r="U1227" s="154"/>
      <c r="V1227" s="154"/>
      <c r="W1227" s="154"/>
      <c r="X1227" s="154"/>
      <c r="Y1227" s="154"/>
      <c r="Z1227" s="154"/>
      <c r="AA1227" s="154"/>
    </row>
    <row r="1228" spans="1:27" ht="15">
      <c r="A1228" s="180">
        <v>45911</v>
      </c>
      <c r="B1228" s="181" t="s">
        <v>13065</v>
      </c>
      <c r="C1228" s="182" t="s">
        <v>12898</v>
      </c>
      <c r="D1228" s="182">
        <v>18243</v>
      </c>
      <c r="E1228" s="183">
        <v>16</v>
      </c>
      <c r="F1228" s="183">
        <v>1010</v>
      </c>
      <c r="G1228" s="184">
        <v>2</v>
      </c>
      <c r="H1228" s="158"/>
      <c r="I1228" s="154"/>
      <c r="J1228" s="154"/>
      <c r="K1228" s="154"/>
      <c r="L1228" s="154"/>
      <c r="M1228" s="154"/>
      <c r="N1228" s="154"/>
      <c r="O1228" s="154"/>
      <c r="P1228" s="154"/>
      <c r="Q1228" s="154"/>
      <c r="R1228" s="154"/>
      <c r="S1228" s="154"/>
      <c r="T1228" s="154"/>
      <c r="U1228" s="154"/>
      <c r="V1228" s="154"/>
      <c r="W1228" s="154"/>
      <c r="X1228" s="154"/>
      <c r="Y1228" s="154"/>
      <c r="Z1228" s="154"/>
      <c r="AA1228" s="154"/>
    </row>
    <row r="1229" spans="1:27" ht="15">
      <c r="A1229" s="180">
        <v>45911</v>
      </c>
      <c r="B1229" s="181" t="s">
        <v>13059</v>
      </c>
      <c r="C1229" s="182" t="s">
        <v>12897</v>
      </c>
      <c r="D1229" s="182">
        <v>13474</v>
      </c>
      <c r="E1229" s="183">
        <v>11</v>
      </c>
      <c r="F1229" s="183">
        <v>630</v>
      </c>
      <c r="G1229" s="184">
        <v>1</v>
      </c>
      <c r="H1229" s="158"/>
      <c r="I1229" s="154"/>
      <c r="J1229" s="154"/>
      <c r="K1229" s="154"/>
      <c r="L1229" s="154"/>
      <c r="M1229" s="154"/>
      <c r="N1229" s="154"/>
      <c r="O1229" s="154"/>
      <c r="P1229" s="154"/>
      <c r="Q1229" s="154"/>
      <c r="R1229" s="154"/>
      <c r="S1229" s="154"/>
      <c r="T1229" s="154"/>
      <c r="U1229" s="154"/>
      <c r="V1229" s="154"/>
      <c r="W1229" s="154"/>
      <c r="X1229" s="154"/>
      <c r="Y1229" s="154"/>
      <c r="Z1229" s="154"/>
      <c r="AA1229" s="154"/>
    </row>
    <row r="1230" spans="1:27" ht="15">
      <c r="A1230" s="180">
        <v>45911</v>
      </c>
      <c r="B1230" s="181" t="s">
        <v>13059</v>
      </c>
      <c r="C1230" s="182" t="s">
        <v>12897</v>
      </c>
      <c r="D1230" s="182">
        <v>15160</v>
      </c>
      <c r="E1230" s="183">
        <v>14</v>
      </c>
      <c r="F1230" s="183">
        <v>952</v>
      </c>
      <c r="G1230" s="184">
        <v>1</v>
      </c>
      <c r="H1230" s="158"/>
      <c r="I1230" s="154"/>
      <c r="J1230" s="154"/>
      <c r="K1230" s="154"/>
      <c r="L1230" s="154"/>
      <c r="M1230" s="154"/>
      <c r="N1230" s="154"/>
      <c r="O1230" s="154"/>
      <c r="P1230" s="154"/>
      <c r="Q1230" s="154"/>
      <c r="R1230" s="154"/>
      <c r="S1230" s="154"/>
      <c r="T1230" s="154"/>
      <c r="U1230" s="154"/>
      <c r="V1230" s="154"/>
      <c r="W1230" s="154"/>
      <c r="X1230" s="154"/>
      <c r="Y1230" s="154"/>
      <c r="Z1230" s="154"/>
      <c r="AA1230" s="154"/>
    </row>
    <row r="1231" spans="1:27" ht="15">
      <c r="A1231" s="180">
        <v>45911</v>
      </c>
      <c r="B1231" s="181" t="s">
        <v>13056</v>
      </c>
      <c r="C1231" s="182" t="s">
        <v>12897</v>
      </c>
      <c r="D1231" s="182">
        <v>22333</v>
      </c>
      <c r="E1231" s="183">
        <v>10</v>
      </c>
      <c r="F1231" s="183">
        <v>473</v>
      </c>
      <c r="G1231" s="184">
        <v>1</v>
      </c>
      <c r="H1231" s="158"/>
      <c r="I1231" s="154"/>
      <c r="J1231" s="154"/>
      <c r="K1231" s="154"/>
      <c r="L1231" s="154"/>
      <c r="M1231" s="154"/>
      <c r="N1231" s="154"/>
      <c r="O1231" s="154"/>
      <c r="P1231" s="154"/>
      <c r="Q1231" s="154"/>
      <c r="R1231" s="154"/>
      <c r="S1231" s="154"/>
      <c r="T1231" s="154"/>
      <c r="U1231" s="154"/>
      <c r="V1231" s="154"/>
      <c r="W1231" s="154"/>
      <c r="X1231" s="154"/>
      <c r="Y1231" s="154"/>
      <c r="Z1231" s="154"/>
      <c r="AA1231" s="154"/>
    </row>
    <row r="1232" spans="1:27" ht="15">
      <c r="A1232" s="180">
        <v>45911</v>
      </c>
      <c r="B1232" s="181" t="s">
        <v>13015</v>
      </c>
      <c r="C1232" s="182" t="s">
        <v>1229</v>
      </c>
      <c r="D1232" s="182">
        <v>235</v>
      </c>
      <c r="E1232" s="183">
        <v>2</v>
      </c>
      <c r="F1232" s="183">
        <v>44</v>
      </c>
      <c r="G1232" s="184">
        <v>0</v>
      </c>
      <c r="H1232" s="158"/>
      <c r="I1232" s="154"/>
      <c r="J1232" s="154"/>
      <c r="K1232" s="154"/>
      <c r="L1232" s="154"/>
      <c r="M1232" s="154"/>
      <c r="N1232" s="154"/>
      <c r="O1232" s="154"/>
      <c r="P1232" s="154"/>
      <c r="Q1232" s="154"/>
      <c r="R1232" s="154"/>
      <c r="S1232" s="154"/>
      <c r="T1232" s="154"/>
      <c r="U1232" s="154"/>
      <c r="V1232" s="154"/>
      <c r="W1232" s="154"/>
      <c r="X1232" s="154"/>
      <c r="Y1232" s="154"/>
      <c r="Z1232" s="154"/>
      <c r="AA1232" s="154"/>
    </row>
    <row r="1233" spans="1:27" ht="15">
      <c r="A1233" s="180">
        <v>45911</v>
      </c>
      <c r="B1233" s="181" t="s">
        <v>13018</v>
      </c>
      <c r="C1233" s="182" t="s">
        <v>1229</v>
      </c>
      <c r="D1233" s="182">
        <v>18</v>
      </c>
      <c r="E1233" s="183">
        <v>0</v>
      </c>
      <c r="F1233" s="183">
        <v>3</v>
      </c>
      <c r="G1233" s="184">
        <v>0</v>
      </c>
      <c r="H1233" s="158"/>
      <c r="I1233" s="154"/>
      <c r="J1233" s="154"/>
      <c r="K1233" s="154"/>
      <c r="L1233" s="154"/>
      <c r="M1233" s="154"/>
      <c r="N1233" s="154"/>
      <c r="O1233" s="154"/>
      <c r="P1233" s="154"/>
      <c r="Q1233" s="154"/>
      <c r="R1233" s="154"/>
      <c r="S1233" s="154"/>
      <c r="T1233" s="154"/>
      <c r="U1233" s="154"/>
      <c r="V1233" s="154"/>
      <c r="W1233" s="154"/>
      <c r="X1233" s="154"/>
      <c r="Y1233" s="154"/>
      <c r="Z1233" s="154"/>
      <c r="AA1233" s="154"/>
    </row>
    <row r="1234" spans="1:27" ht="15">
      <c r="A1234" s="180">
        <v>45912</v>
      </c>
      <c r="B1234" s="181" t="s">
        <v>13069</v>
      </c>
      <c r="C1234" s="182" t="s">
        <v>12900</v>
      </c>
      <c r="D1234" s="182">
        <v>11634</v>
      </c>
      <c r="E1234" s="183">
        <v>5</v>
      </c>
      <c r="F1234" s="183">
        <v>426</v>
      </c>
      <c r="G1234" s="184">
        <v>0</v>
      </c>
      <c r="H1234" s="158"/>
      <c r="I1234" s="154"/>
      <c r="J1234" s="154"/>
      <c r="K1234" s="154"/>
      <c r="L1234" s="154"/>
      <c r="M1234" s="154"/>
      <c r="N1234" s="154"/>
      <c r="O1234" s="154"/>
      <c r="P1234" s="154"/>
      <c r="Q1234" s="154"/>
      <c r="R1234" s="154"/>
      <c r="S1234" s="154"/>
      <c r="T1234" s="154"/>
      <c r="U1234" s="154"/>
      <c r="V1234" s="154"/>
      <c r="W1234" s="154"/>
      <c r="X1234" s="154"/>
      <c r="Y1234" s="154"/>
      <c r="Z1234" s="154"/>
      <c r="AA1234" s="154"/>
    </row>
    <row r="1235" spans="1:27" ht="15">
      <c r="A1235" s="180">
        <v>45912</v>
      </c>
      <c r="B1235" s="181" t="s">
        <v>13069</v>
      </c>
      <c r="C1235" s="182" t="s">
        <v>12900</v>
      </c>
      <c r="D1235" s="182">
        <v>5414</v>
      </c>
      <c r="E1235" s="183">
        <v>3</v>
      </c>
      <c r="F1235" s="183">
        <v>156</v>
      </c>
      <c r="G1235" s="184">
        <v>1</v>
      </c>
      <c r="H1235" s="158"/>
      <c r="I1235" s="154"/>
      <c r="J1235" s="154"/>
      <c r="K1235" s="154"/>
      <c r="L1235" s="154"/>
      <c r="M1235" s="154"/>
      <c r="N1235" s="154"/>
      <c r="O1235" s="154"/>
      <c r="P1235" s="154"/>
      <c r="Q1235" s="154"/>
      <c r="R1235" s="154"/>
      <c r="S1235" s="154"/>
      <c r="T1235" s="154"/>
      <c r="U1235" s="154"/>
      <c r="V1235" s="154"/>
      <c r="W1235" s="154"/>
      <c r="X1235" s="154"/>
      <c r="Y1235" s="154"/>
      <c r="Z1235" s="154"/>
      <c r="AA1235" s="154"/>
    </row>
    <row r="1236" spans="1:27" ht="15">
      <c r="A1236" s="180">
        <v>45912</v>
      </c>
      <c r="B1236" s="181" t="s">
        <v>13070</v>
      </c>
      <c r="C1236" s="182" t="s">
        <v>12900</v>
      </c>
      <c r="D1236" s="182">
        <v>9649</v>
      </c>
      <c r="E1236" s="183">
        <v>2</v>
      </c>
      <c r="F1236" s="183">
        <v>334</v>
      </c>
      <c r="G1236" s="184">
        <v>1</v>
      </c>
      <c r="H1236" s="158"/>
      <c r="I1236" s="154"/>
      <c r="J1236" s="154"/>
      <c r="K1236" s="154"/>
      <c r="L1236" s="154"/>
      <c r="M1236" s="154"/>
      <c r="N1236" s="154"/>
      <c r="O1236" s="154"/>
      <c r="P1236" s="154"/>
      <c r="Q1236" s="154"/>
      <c r="R1236" s="154"/>
      <c r="S1236" s="154"/>
      <c r="T1236" s="154"/>
      <c r="U1236" s="154"/>
      <c r="V1236" s="154"/>
      <c r="W1236" s="154"/>
      <c r="X1236" s="154"/>
      <c r="Y1236" s="154"/>
      <c r="Z1236" s="154"/>
      <c r="AA1236" s="154"/>
    </row>
    <row r="1237" spans="1:27" ht="15">
      <c r="A1237" s="180">
        <v>45912</v>
      </c>
      <c r="B1237" s="181" t="s">
        <v>13066</v>
      </c>
      <c r="C1237" s="182" t="s">
        <v>12899</v>
      </c>
      <c r="D1237" s="182">
        <v>107389</v>
      </c>
      <c r="E1237" s="183">
        <v>81</v>
      </c>
      <c r="F1237" s="183">
        <v>5143</v>
      </c>
      <c r="G1237" s="184">
        <v>18</v>
      </c>
      <c r="H1237" s="158"/>
      <c r="I1237" s="154"/>
      <c r="J1237" s="154"/>
      <c r="K1237" s="154"/>
      <c r="L1237" s="154"/>
      <c r="M1237" s="154"/>
      <c r="N1237" s="154"/>
      <c r="O1237" s="154"/>
      <c r="P1237" s="154"/>
      <c r="Q1237" s="154"/>
      <c r="R1237" s="154"/>
      <c r="S1237" s="154"/>
      <c r="T1237" s="154"/>
      <c r="U1237" s="154"/>
      <c r="V1237" s="154"/>
      <c r="W1237" s="154"/>
      <c r="X1237" s="154"/>
      <c r="Y1237" s="154"/>
      <c r="Z1237" s="154"/>
      <c r="AA1237" s="154"/>
    </row>
    <row r="1238" spans="1:27" ht="15">
      <c r="A1238" s="180">
        <v>45912</v>
      </c>
      <c r="B1238" s="181" t="s">
        <v>13067</v>
      </c>
      <c r="C1238" s="182" t="s">
        <v>12899</v>
      </c>
      <c r="D1238" s="182">
        <v>9535</v>
      </c>
      <c r="E1238" s="183">
        <v>2</v>
      </c>
      <c r="F1238" s="183">
        <v>322</v>
      </c>
      <c r="G1238" s="184">
        <v>1</v>
      </c>
      <c r="H1238" s="158"/>
      <c r="I1238" s="154"/>
      <c r="J1238" s="154"/>
      <c r="K1238" s="154"/>
      <c r="L1238" s="154"/>
      <c r="M1238" s="154"/>
      <c r="N1238" s="154"/>
      <c r="O1238" s="154"/>
      <c r="P1238" s="154"/>
      <c r="Q1238" s="154"/>
      <c r="R1238" s="154"/>
      <c r="S1238" s="154"/>
      <c r="T1238" s="154"/>
      <c r="U1238" s="154"/>
      <c r="V1238" s="154"/>
      <c r="W1238" s="154"/>
      <c r="X1238" s="154"/>
      <c r="Y1238" s="154"/>
      <c r="Z1238" s="154"/>
      <c r="AA1238" s="154"/>
    </row>
    <row r="1239" spans="1:27" ht="15">
      <c r="A1239" s="180">
        <v>45912</v>
      </c>
      <c r="B1239" s="181" t="s">
        <v>13068</v>
      </c>
      <c r="C1239" s="182" t="s">
        <v>12899</v>
      </c>
      <c r="D1239" s="182">
        <v>9818</v>
      </c>
      <c r="E1239" s="183">
        <v>7</v>
      </c>
      <c r="F1239" s="183">
        <v>383</v>
      </c>
      <c r="G1239" s="184">
        <v>0</v>
      </c>
      <c r="H1239" s="158"/>
      <c r="I1239" s="154"/>
      <c r="J1239" s="154"/>
      <c r="K1239" s="154"/>
      <c r="L1239" s="154"/>
      <c r="M1239" s="154"/>
      <c r="N1239" s="154"/>
      <c r="O1239" s="154"/>
      <c r="P1239" s="154"/>
      <c r="Q1239" s="154"/>
      <c r="R1239" s="154"/>
      <c r="S1239" s="154"/>
      <c r="T1239" s="154"/>
      <c r="U1239" s="154"/>
      <c r="V1239" s="154"/>
      <c r="W1239" s="154"/>
      <c r="X1239" s="154"/>
      <c r="Y1239" s="154"/>
      <c r="Z1239" s="154"/>
      <c r="AA1239" s="154"/>
    </row>
    <row r="1240" spans="1:27" ht="15">
      <c r="A1240" s="180">
        <v>45912</v>
      </c>
      <c r="B1240" s="181" t="s">
        <v>13063</v>
      </c>
      <c r="C1240" s="182" t="s">
        <v>12898</v>
      </c>
      <c r="D1240" s="182">
        <v>810</v>
      </c>
      <c r="E1240" s="183">
        <v>0</v>
      </c>
      <c r="F1240" s="183">
        <v>36</v>
      </c>
      <c r="G1240" s="184">
        <v>0</v>
      </c>
      <c r="H1240" s="158"/>
      <c r="I1240" s="154"/>
      <c r="J1240" s="154"/>
      <c r="K1240" s="154"/>
      <c r="L1240" s="154"/>
      <c r="M1240" s="154"/>
      <c r="N1240" s="154"/>
      <c r="O1240" s="154"/>
      <c r="P1240" s="154"/>
      <c r="Q1240" s="154"/>
      <c r="R1240" s="154"/>
      <c r="S1240" s="154"/>
      <c r="T1240" s="154"/>
      <c r="U1240" s="154"/>
      <c r="V1240" s="154"/>
      <c r="W1240" s="154"/>
      <c r="X1240" s="154"/>
      <c r="Y1240" s="154"/>
      <c r="Z1240" s="154"/>
      <c r="AA1240" s="154"/>
    </row>
    <row r="1241" spans="1:27" ht="15">
      <c r="A1241" s="180">
        <v>45912</v>
      </c>
      <c r="B1241" s="181" t="s">
        <v>13064</v>
      </c>
      <c r="C1241" s="182" t="s">
        <v>12898</v>
      </c>
      <c r="D1241" s="182">
        <v>20141</v>
      </c>
      <c r="E1241" s="183">
        <v>21</v>
      </c>
      <c r="F1241" s="183">
        <v>1550</v>
      </c>
      <c r="G1241" s="184">
        <v>3</v>
      </c>
      <c r="H1241" s="158"/>
      <c r="I1241" s="154"/>
      <c r="J1241" s="154"/>
      <c r="K1241" s="154"/>
      <c r="L1241" s="154"/>
      <c r="M1241" s="154"/>
      <c r="N1241" s="154"/>
      <c r="O1241" s="154"/>
      <c r="P1241" s="154"/>
      <c r="Q1241" s="154"/>
      <c r="R1241" s="154"/>
      <c r="S1241" s="154"/>
      <c r="T1241" s="154"/>
      <c r="U1241" s="154"/>
      <c r="V1241" s="154"/>
      <c r="W1241" s="154"/>
      <c r="X1241" s="154"/>
      <c r="Y1241" s="154"/>
      <c r="Z1241" s="154"/>
      <c r="AA1241" s="154"/>
    </row>
    <row r="1242" spans="1:27" ht="15">
      <c r="A1242" s="180">
        <v>45912</v>
      </c>
      <c r="B1242" s="181" t="s">
        <v>13065</v>
      </c>
      <c r="C1242" s="182" t="s">
        <v>12898</v>
      </c>
      <c r="D1242" s="182">
        <v>8256</v>
      </c>
      <c r="E1242" s="183">
        <v>5</v>
      </c>
      <c r="F1242" s="183">
        <v>462</v>
      </c>
      <c r="G1242" s="184">
        <v>0</v>
      </c>
      <c r="H1242" s="158"/>
      <c r="I1242" s="154"/>
      <c r="J1242" s="154"/>
      <c r="K1242" s="154"/>
      <c r="L1242" s="154"/>
      <c r="M1242" s="154"/>
      <c r="N1242" s="154"/>
      <c r="O1242" s="154"/>
      <c r="P1242" s="154"/>
      <c r="Q1242" s="154"/>
      <c r="R1242" s="154"/>
      <c r="S1242" s="154"/>
      <c r="T1242" s="154"/>
      <c r="U1242" s="154"/>
      <c r="V1242" s="154"/>
      <c r="W1242" s="154"/>
      <c r="X1242" s="154"/>
      <c r="Y1242" s="154"/>
      <c r="Z1242" s="154"/>
      <c r="AA1242" s="154"/>
    </row>
    <row r="1243" spans="1:27" ht="15">
      <c r="A1243" s="180">
        <v>45912</v>
      </c>
      <c r="B1243" s="181" t="s">
        <v>13060</v>
      </c>
      <c r="C1243" s="182" t="s">
        <v>1774</v>
      </c>
      <c r="D1243" s="182">
        <v>3380</v>
      </c>
      <c r="E1243" s="183">
        <v>1</v>
      </c>
      <c r="F1243" s="183">
        <v>80</v>
      </c>
      <c r="G1243" s="184">
        <v>0</v>
      </c>
      <c r="H1243" s="158"/>
      <c r="I1243" s="154"/>
      <c r="J1243" s="154"/>
      <c r="K1243" s="154"/>
      <c r="L1243" s="154"/>
      <c r="M1243" s="154"/>
      <c r="N1243" s="154"/>
      <c r="O1243" s="154"/>
      <c r="P1243" s="154"/>
      <c r="Q1243" s="154"/>
      <c r="R1243" s="154"/>
      <c r="S1243" s="154"/>
      <c r="T1243" s="154"/>
      <c r="U1243" s="154"/>
      <c r="V1243" s="154"/>
      <c r="W1243" s="154"/>
      <c r="X1243" s="154"/>
      <c r="Y1243" s="154"/>
      <c r="Z1243" s="154"/>
      <c r="AA1243" s="154"/>
    </row>
    <row r="1244" spans="1:27" ht="15">
      <c r="A1244" s="180">
        <v>45912</v>
      </c>
      <c r="B1244" s="181" t="s">
        <v>13059</v>
      </c>
      <c r="C1244" s="182" t="s">
        <v>12897</v>
      </c>
      <c r="D1244" s="182">
        <v>1114</v>
      </c>
      <c r="E1244" s="183">
        <v>2</v>
      </c>
      <c r="F1244" s="183">
        <v>46</v>
      </c>
      <c r="G1244" s="184">
        <v>0</v>
      </c>
      <c r="H1244" s="158"/>
      <c r="I1244" s="154"/>
      <c r="J1244" s="154"/>
      <c r="K1244" s="154"/>
      <c r="L1244" s="154"/>
      <c r="M1244" s="154"/>
      <c r="N1244" s="154"/>
      <c r="O1244" s="154"/>
      <c r="P1244" s="154"/>
      <c r="Q1244" s="154"/>
      <c r="R1244" s="154"/>
      <c r="S1244" s="154"/>
      <c r="T1244" s="154"/>
      <c r="U1244" s="154"/>
      <c r="V1244" s="154"/>
      <c r="W1244" s="154"/>
      <c r="X1244" s="154"/>
      <c r="Y1244" s="154"/>
      <c r="Z1244" s="154"/>
      <c r="AA1244" s="154"/>
    </row>
    <row r="1245" spans="1:27" ht="15">
      <c r="A1245" s="180">
        <v>45912</v>
      </c>
      <c r="B1245" s="181" t="s">
        <v>13059</v>
      </c>
      <c r="C1245" s="182" t="s">
        <v>12897</v>
      </c>
      <c r="D1245" s="182">
        <v>7249</v>
      </c>
      <c r="E1245" s="183">
        <v>7</v>
      </c>
      <c r="F1245" s="183">
        <v>237</v>
      </c>
      <c r="G1245" s="184">
        <v>1</v>
      </c>
      <c r="H1245" s="158"/>
      <c r="I1245" s="154"/>
      <c r="J1245" s="154"/>
      <c r="K1245" s="154"/>
      <c r="L1245" s="154"/>
      <c r="M1245" s="154"/>
      <c r="N1245" s="154"/>
      <c r="O1245" s="154"/>
      <c r="P1245" s="154"/>
      <c r="Q1245" s="154"/>
      <c r="R1245" s="154"/>
      <c r="S1245" s="154"/>
      <c r="T1245" s="154"/>
      <c r="U1245" s="154"/>
      <c r="V1245" s="154"/>
      <c r="W1245" s="154"/>
      <c r="X1245" s="154"/>
      <c r="Y1245" s="154"/>
      <c r="Z1245" s="154"/>
      <c r="AA1245" s="154"/>
    </row>
    <row r="1246" spans="1:27" ht="15">
      <c r="A1246" s="180">
        <v>45912</v>
      </c>
      <c r="B1246" s="181" t="s">
        <v>13056</v>
      </c>
      <c r="C1246" s="182" t="s">
        <v>12897</v>
      </c>
      <c r="D1246" s="182">
        <v>42813</v>
      </c>
      <c r="E1246" s="183">
        <v>38</v>
      </c>
      <c r="F1246" s="183">
        <v>1680</v>
      </c>
      <c r="G1246" s="184">
        <v>5</v>
      </c>
      <c r="H1246" s="158"/>
      <c r="I1246" s="154"/>
      <c r="J1246" s="154"/>
      <c r="K1246" s="154"/>
      <c r="L1246" s="154"/>
      <c r="M1246" s="154"/>
      <c r="N1246" s="154"/>
      <c r="O1246" s="154"/>
      <c r="P1246" s="154"/>
      <c r="Q1246" s="154"/>
      <c r="R1246" s="154"/>
      <c r="S1246" s="154"/>
      <c r="T1246" s="154"/>
      <c r="U1246" s="154"/>
      <c r="V1246" s="154"/>
      <c r="W1246" s="154"/>
      <c r="X1246" s="154"/>
      <c r="Y1246" s="154"/>
      <c r="Z1246" s="154"/>
      <c r="AA1246" s="154"/>
    </row>
    <row r="1247" spans="1:27" ht="15">
      <c r="A1247" s="180">
        <v>45912</v>
      </c>
      <c r="B1247" s="181" t="s">
        <v>13057</v>
      </c>
      <c r="C1247" s="182" t="s">
        <v>12896</v>
      </c>
      <c r="D1247" s="182">
        <v>4749</v>
      </c>
      <c r="E1247" s="183">
        <v>1</v>
      </c>
      <c r="F1247" s="183">
        <v>77</v>
      </c>
      <c r="G1247" s="184">
        <v>0</v>
      </c>
      <c r="H1247" s="158"/>
      <c r="I1247" s="154"/>
      <c r="J1247" s="154"/>
      <c r="K1247" s="154"/>
      <c r="L1247" s="154"/>
      <c r="M1247" s="154"/>
      <c r="N1247" s="154"/>
      <c r="O1247" s="154"/>
      <c r="P1247" s="154"/>
      <c r="Q1247" s="154"/>
      <c r="R1247" s="154"/>
      <c r="S1247" s="154"/>
      <c r="T1247" s="154"/>
      <c r="U1247" s="154"/>
      <c r="V1247" s="154"/>
      <c r="W1247" s="154"/>
      <c r="X1247" s="154"/>
      <c r="Y1247" s="154"/>
      <c r="Z1247" s="154"/>
      <c r="AA1247" s="154"/>
    </row>
    <row r="1248" spans="1:27" ht="15">
      <c r="A1248" s="180">
        <v>45912</v>
      </c>
      <c r="B1248" s="181" t="s">
        <v>13048</v>
      </c>
      <c r="C1248" s="182" t="s">
        <v>12896</v>
      </c>
      <c r="D1248" s="182">
        <v>5414</v>
      </c>
      <c r="E1248" s="183">
        <v>0</v>
      </c>
      <c r="F1248" s="183">
        <v>99</v>
      </c>
      <c r="G1248" s="184">
        <v>0</v>
      </c>
      <c r="H1248" s="158"/>
      <c r="I1248" s="154"/>
      <c r="J1248" s="154"/>
      <c r="K1248" s="154"/>
      <c r="L1248" s="154"/>
      <c r="M1248" s="154"/>
      <c r="N1248" s="154"/>
      <c r="O1248" s="154"/>
      <c r="P1248" s="154"/>
      <c r="Q1248" s="154"/>
      <c r="R1248" s="154"/>
      <c r="S1248" s="154"/>
      <c r="T1248" s="154"/>
      <c r="U1248" s="154"/>
      <c r="V1248" s="154"/>
      <c r="W1248" s="154"/>
      <c r="X1248" s="154"/>
      <c r="Y1248" s="154"/>
      <c r="Z1248" s="154"/>
      <c r="AA1248" s="154"/>
    </row>
    <row r="1249" spans="1:27" ht="15">
      <c r="A1249" s="180">
        <v>45912</v>
      </c>
      <c r="B1249" s="181" t="s">
        <v>13015</v>
      </c>
      <c r="C1249" s="182" t="s">
        <v>1229</v>
      </c>
      <c r="D1249" s="182">
        <v>15150</v>
      </c>
      <c r="E1249" s="183">
        <v>6</v>
      </c>
      <c r="F1249" s="183">
        <v>198</v>
      </c>
      <c r="G1249" s="184">
        <v>1</v>
      </c>
      <c r="H1249" s="158"/>
      <c r="I1249" s="154"/>
      <c r="J1249" s="154"/>
      <c r="K1249" s="154"/>
      <c r="L1249" s="154"/>
      <c r="M1249" s="154"/>
      <c r="N1249" s="154"/>
      <c r="O1249" s="154"/>
      <c r="P1249" s="154"/>
      <c r="Q1249" s="154"/>
      <c r="R1249" s="154"/>
      <c r="S1249" s="154"/>
      <c r="T1249" s="154"/>
      <c r="U1249" s="154"/>
      <c r="V1249" s="154"/>
      <c r="W1249" s="154"/>
      <c r="X1249" s="154"/>
      <c r="Y1249" s="154"/>
      <c r="Z1249" s="154"/>
      <c r="AA1249" s="154"/>
    </row>
    <row r="1250" spans="1:27" ht="15">
      <c r="A1250" s="180">
        <v>45912</v>
      </c>
      <c r="B1250" s="181" t="s">
        <v>13017</v>
      </c>
      <c r="C1250" s="182" t="s">
        <v>1229</v>
      </c>
      <c r="D1250" s="182">
        <v>8794</v>
      </c>
      <c r="E1250" s="183">
        <v>3</v>
      </c>
      <c r="F1250" s="183">
        <v>169</v>
      </c>
      <c r="G1250" s="184">
        <v>1</v>
      </c>
      <c r="H1250" s="158"/>
      <c r="I1250" s="154"/>
      <c r="J1250" s="154"/>
      <c r="K1250" s="154"/>
      <c r="L1250" s="154"/>
      <c r="M1250" s="154"/>
      <c r="N1250" s="154"/>
      <c r="O1250" s="154"/>
      <c r="P1250" s="154"/>
      <c r="Q1250" s="154"/>
      <c r="R1250" s="154"/>
      <c r="S1250" s="154"/>
      <c r="T1250" s="154"/>
      <c r="U1250" s="154"/>
      <c r="V1250" s="154"/>
      <c r="W1250" s="154"/>
      <c r="X1250" s="154"/>
      <c r="Y1250" s="154"/>
      <c r="Z1250" s="154"/>
      <c r="AA1250" s="154"/>
    </row>
    <row r="1251" spans="1:27" ht="15">
      <c r="A1251" s="180">
        <v>45912</v>
      </c>
      <c r="B1251" s="181" t="s">
        <v>13053</v>
      </c>
      <c r="C1251" s="182" t="s">
        <v>1229</v>
      </c>
      <c r="D1251" s="182">
        <v>5454</v>
      </c>
      <c r="E1251" s="183">
        <v>9</v>
      </c>
      <c r="F1251" s="183">
        <v>158</v>
      </c>
      <c r="G1251" s="184">
        <v>3</v>
      </c>
      <c r="H1251" s="158"/>
      <c r="I1251" s="154"/>
      <c r="J1251" s="154"/>
      <c r="K1251" s="154"/>
      <c r="L1251" s="154"/>
      <c r="M1251" s="154"/>
      <c r="N1251" s="154"/>
      <c r="O1251" s="154"/>
      <c r="P1251" s="154"/>
      <c r="Q1251" s="154"/>
      <c r="R1251" s="154"/>
      <c r="S1251" s="154"/>
      <c r="T1251" s="154"/>
      <c r="U1251" s="154"/>
      <c r="V1251" s="154"/>
      <c r="W1251" s="154"/>
      <c r="X1251" s="154"/>
      <c r="Y1251" s="154"/>
      <c r="Z1251" s="154"/>
      <c r="AA1251" s="154"/>
    </row>
    <row r="1252" spans="1:27" ht="15">
      <c r="A1252" s="180">
        <v>45913</v>
      </c>
      <c r="B1252" s="181" t="s">
        <v>13069</v>
      </c>
      <c r="C1252" s="182" t="s">
        <v>12900</v>
      </c>
      <c r="D1252" s="182">
        <v>235</v>
      </c>
      <c r="E1252" s="183">
        <v>0</v>
      </c>
      <c r="F1252" s="183">
        <v>1</v>
      </c>
      <c r="G1252" s="184">
        <v>0</v>
      </c>
      <c r="H1252" s="158"/>
      <c r="I1252" s="154"/>
      <c r="J1252" s="154"/>
      <c r="K1252" s="154"/>
      <c r="L1252" s="154"/>
      <c r="M1252" s="154"/>
      <c r="N1252" s="154"/>
      <c r="O1252" s="154"/>
      <c r="P1252" s="154"/>
      <c r="Q1252" s="154"/>
      <c r="R1252" s="154"/>
      <c r="S1252" s="154"/>
      <c r="T1252" s="154"/>
      <c r="U1252" s="154"/>
      <c r="V1252" s="154"/>
      <c r="W1252" s="154"/>
      <c r="X1252" s="154"/>
      <c r="Y1252" s="154"/>
      <c r="Z1252" s="154"/>
      <c r="AA1252" s="154"/>
    </row>
    <row r="1253" spans="1:27" ht="15">
      <c r="A1253" s="180">
        <v>45913</v>
      </c>
      <c r="B1253" s="181" t="s">
        <v>13069</v>
      </c>
      <c r="C1253" s="182" t="s">
        <v>12900</v>
      </c>
      <c r="D1253" s="182">
        <v>61</v>
      </c>
      <c r="E1253" s="183">
        <v>0</v>
      </c>
      <c r="F1253" s="183">
        <v>2</v>
      </c>
      <c r="G1253" s="184">
        <v>0</v>
      </c>
      <c r="H1253" s="158"/>
      <c r="I1253" s="154"/>
      <c r="J1253" s="154"/>
      <c r="K1253" s="154"/>
      <c r="L1253" s="154"/>
      <c r="M1253" s="154"/>
      <c r="N1253" s="154"/>
      <c r="O1253" s="154"/>
      <c r="P1253" s="154"/>
      <c r="Q1253" s="154"/>
      <c r="R1253" s="154"/>
      <c r="S1253" s="154"/>
      <c r="T1253" s="154"/>
      <c r="U1253" s="154"/>
      <c r="V1253" s="154"/>
      <c r="W1253" s="154"/>
      <c r="X1253" s="154"/>
      <c r="Y1253" s="154"/>
      <c r="Z1253" s="154"/>
      <c r="AA1253" s="154"/>
    </row>
    <row r="1254" spans="1:27" ht="15">
      <c r="A1254" s="180">
        <v>45913</v>
      </c>
      <c r="B1254" s="181" t="s">
        <v>13070</v>
      </c>
      <c r="C1254" s="182" t="s">
        <v>12900</v>
      </c>
      <c r="D1254" s="182">
        <v>93</v>
      </c>
      <c r="E1254" s="183">
        <v>0</v>
      </c>
      <c r="F1254" s="183">
        <v>7</v>
      </c>
      <c r="G1254" s="184">
        <v>0</v>
      </c>
      <c r="H1254" s="158"/>
      <c r="I1254" s="154"/>
      <c r="J1254" s="154"/>
      <c r="K1254" s="154"/>
      <c r="L1254" s="154"/>
      <c r="M1254" s="154"/>
      <c r="N1254" s="154"/>
      <c r="O1254" s="154"/>
      <c r="P1254" s="154"/>
      <c r="Q1254" s="154"/>
      <c r="R1254" s="154"/>
      <c r="S1254" s="154"/>
      <c r="T1254" s="154"/>
      <c r="U1254" s="154"/>
      <c r="V1254" s="154"/>
      <c r="W1254" s="154"/>
      <c r="X1254" s="154"/>
      <c r="Y1254" s="154"/>
      <c r="Z1254" s="154"/>
      <c r="AA1254" s="154"/>
    </row>
    <row r="1255" spans="1:27" ht="15">
      <c r="A1255" s="180">
        <v>45913</v>
      </c>
      <c r="B1255" s="181" t="s">
        <v>13066</v>
      </c>
      <c r="C1255" s="182" t="s">
        <v>12899</v>
      </c>
      <c r="D1255" s="182">
        <v>2597</v>
      </c>
      <c r="E1255" s="183">
        <v>3</v>
      </c>
      <c r="F1255" s="183">
        <v>124</v>
      </c>
      <c r="G1255" s="184">
        <v>0</v>
      </c>
      <c r="H1255" s="158"/>
      <c r="I1255" s="154"/>
      <c r="J1255" s="154"/>
      <c r="K1255" s="154"/>
      <c r="L1255" s="154"/>
      <c r="M1255" s="154"/>
      <c r="N1255" s="154"/>
      <c r="O1255" s="154"/>
      <c r="P1255" s="154"/>
      <c r="Q1255" s="154"/>
      <c r="R1255" s="154"/>
      <c r="S1255" s="154"/>
      <c r="T1255" s="154"/>
      <c r="U1255" s="154"/>
      <c r="V1255" s="154"/>
      <c r="W1255" s="154"/>
      <c r="X1255" s="154"/>
      <c r="Y1255" s="154"/>
      <c r="Z1255" s="154"/>
      <c r="AA1255" s="154"/>
    </row>
    <row r="1256" spans="1:27" ht="15">
      <c r="A1256" s="180">
        <v>45913</v>
      </c>
      <c r="B1256" s="181" t="s">
        <v>13067</v>
      </c>
      <c r="C1256" s="182" t="s">
        <v>12899</v>
      </c>
      <c r="D1256" s="182">
        <v>23</v>
      </c>
      <c r="E1256" s="183">
        <v>0</v>
      </c>
      <c r="F1256" s="183">
        <v>4</v>
      </c>
      <c r="G1256" s="184">
        <v>0</v>
      </c>
      <c r="H1256" s="158"/>
      <c r="I1256" s="154"/>
      <c r="J1256" s="154"/>
      <c r="K1256" s="154"/>
      <c r="L1256" s="154"/>
      <c r="M1256" s="154"/>
      <c r="N1256" s="154"/>
      <c r="O1256" s="154"/>
      <c r="P1256" s="154"/>
      <c r="Q1256" s="154"/>
      <c r="R1256" s="154"/>
      <c r="S1256" s="154"/>
      <c r="T1256" s="154"/>
      <c r="U1256" s="154"/>
      <c r="V1256" s="154"/>
      <c r="W1256" s="154"/>
      <c r="X1256" s="154"/>
      <c r="Y1256" s="154"/>
      <c r="Z1256" s="154"/>
      <c r="AA1256" s="154"/>
    </row>
    <row r="1257" spans="1:27" ht="15">
      <c r="A1257" s="180">
        <v>45913</v>
      </c>
      <c r="B1257" s="181" t="s">
        <v>13068</v>
      </c>
      <c r="C1257" s="182" t="s">
        <v>12899</v>
      </c>
      <c r="D1257" s="182">
        <v>2</v>
      </c>
      <c r="E1257" s="183">
        <v>0</v>
      </c>
      <c r="F1257" s="183">
        <v>1</v>
      </c>
      <c r="G1257" s="184">
        <v>0</v>
      </c>
      <c r="H1257" s="158"/>
      <c r="I1257" s="154"/>
      <c r="J1257" s="154"/>
      <c r="K1257" s="154"/>
      <c r="L1257" s="154"/>
      <c r="M1257" s="154"/>
      <c r="N1257" s="154"/>
      <c r="O1257" s="154"/>
      <c r="P1257" s="154"/>
      <c r="Q1257" s="154"/>
      <c r="R1257" s="154"/>
      <c r="S1257" s="154"/>
      <c r="T1257" s="154"/>
      <c r="U1257" s="154"/>
      <c r="V1257" s="154"/>
      <c r="W1257" s="154"/>
      <c r="X1257" s="154"/>
      <c r="Y1257" s="154"/>
      <c r="Z1257" s="154"/>
      <c r="AA1257" s="154"/>
    </row>
    <row r="1258" spans="1:27" ht="15">
      <c r="A1258" s="180">
        <v>45913</v>
      </c>
      <c r="B1258" s="181" t="s">
        <v>13063</v>
      </c>
      <c r="C1258" s="182" t="s">
        <v>12898</v>
      </c>
      <c r="D1258" s="182">
        <v>227</v>
      </c>
      <c r="E1258" s="183">
        <v>0</v>
      </c>
      <c r="F1258" s="183">
        <v>15</v>
      </c>
      <c r="G1258" s="184">
        <v>0</v>
      </c>
      <c r="H1258" s="158"/>
      <c r="I1258" s="154"/>
      <c r="J1258" s="154"/>
      <c r="K1258" s="154"/>
      <c r="L1258" s="154"/>
      <c r="M1258" s="154"/>
      <c r="N1258" s="154"/>
      <c r="O1258" s="154"/>
      <c r="P1258" s="154"/>
      <c r="Q1258" s="154"/>
      <c r="R1258" s="154"/>
      <c r="S1258" s="154"/>
      <c r="T1258" s="154"/>
      <c r="U1258" s="154"/>
      <c r="V1258" s="154"/>
      <c r="W1258" s="154"/>
      <c r="X1258" s="154"/>
      <c r="Y1258" s="154"/>
      <c r="Z1258" s="154"/>
      <c r="AA1258" s="154"/>
    </row>
    <row r="1259" spans="1:27" ht="15">
      <c r="A1259" s="180">
        <v>45913</v>
      </c>
      <c r="B1259" s="181" t="s">
        <v>13064</v>
      </c>
      <c r="C1259" s="182" t="s">
        <v>12898</v>
      </c>
      <c r="D1259" s="182">
        <v>384</v>
      </c>
      <c r="E1259" s="183">
        <v>1</v>
      </c>
      <c r="F1259" s="183">
        <v>35</v>
      </c>
      <c r="G1259" s="184">
        <v>0</v>
      </c>
      <c r="H1259" s="158"/>
      <c r="I1259" s="154"/>
      <c r="J1259" s="154"/>
      <c r="K1259" s="154"/>
      <c r="L1259" s="154"/>
      <c r="M1259" s="154"/>
      <c r="N1259" s="154"/>
      <c r="O1259" s="154"/>
      <c r="P1259" s="154"/>
      <c r="Q1259" s="154"/>
      <c r="R1259" s="154"/>
      <c r="S1259" s="154"/>
      <c r="T1259" s="154"/>
      <c r="U1259" s="154"/>
      <c r="V1259" s="154"/>
      <c r="W1259" s="154"/>
      <c r="X1259" s="154"/>
      <c r="Y1259" s="154"/>
      <c r="Z1259" s="154"/>
      <c r="AA1259" s="154"/>
    </row>
    <row r="1260" spans="1:27" ht="15">
      <c r="A1260" s="180">
        <v>45913</v>
      </c>
      <c r="B1260" s="181" t="s">
        <v>13065</v>
      </c>
      <c r="C1260" s="182" t="s">
        <v>12898</v>
      </c>
      <c r="D1260" s="182">
        <v>93</v>
      </c>
      <c r="E1260" s="183">
        <v>0</v>
      </c>
      <c r="F1260" s="183">
        <v>8</v>
      </c>
      <c r="G1260" s="184">
        <v>0</v>
      </c>
      <c r="H1260" s="158"/>
      <c r="I1260" s="154"/>
      <c r="J1260" s="154"/>
      <c r="K1260" s="154"/>
      <c r="L1260" s="154"/>
      <c r="M1260" s="154"/>
      <c r="N1260" s="154"/>
      <c r="O1260" s="154"/>
      <c r="P1260" s="154"/>
      <c r="Q1260" s="154"/>
      <c r="R1260" s="154"/>
      <c r="S1260" s="154"/>
      <c r="T1260" s="154"/>
      <c r="U1260" s="154"/>
      <c r="V1260" s="154"/>
      <c r="W1260" s="154"/>
      <c r="X1260" s="154"/>
      <c r="Y1260" s="154"/>
      <c r="Z1260" s="154"/>
      <c r="AA1260" s="154"/>
    </row>
    <row r="1261" spans="1:27" ht="15">
      <c r="A1261" s="180">
        <v>45913</v>
      </c>
      <c r="B1261" s="181" t="s">
        <v>13060</v>
      </c>
      <c r="C1261" s="182" t="s">
        <v>1774</v>
      </c>
      <c r="D1261" s="182">
        <v>163</v>
      </c>
      <c r="E1261" s="183">
        <v>0</v>
      </c>
      <c r="F1261" s="183">
        <v>11</v>
      </c>
      <c r="G1261" s="184">
        <v>0</v>
      </c>
      <c r="H1261" s="158"/>
      <c r="I1261" s="154"/>
      <c r="J1261" s="154"/>
      <c r="K1261" s="154"/>
      <c r="L1261" s="154"/>
      <c r="M1261" s="154"/>
      <c r="N1261" s="154"/>
      <c r="O1261" s="154"/>
      <c r="P1261" s="154"/>
      <c r="Q1261" s="154"/>
      <c r="R1261" s="154"/>
      <c r="S1261" s="154"/>
      <c r="T1261" s="154"/>
      <c r="U1261" s="154"/>
      <c r="V1261" s="154"/>
      <c r="W1261" s="154"/>
      <c r="X1261" s="154"/>
      <c r="Y1261" s="154"/>
      <c r="Z1261" s="154"/>
      <c r="AA1261" s="154"/>
    </row>
    <row r="1262" spans="1:27" ht="15">
      <c r="A1262" s="180">
        <v>45913</v>
      </c>
      <c r="B1262" s="181" t="s">
        <v>13059</v>
      </c>
      <c r="C1262" s="182" t="s">
        <v>12897</v>
      </c>
      <c r="D1262" s="182">
        <v>102</v>
      </c>
      <c r="E1262" s="183">
        <v>0</v>
      </c>
      <c r="F1262" s="183">
        <v>1</v>
      </c>
      <c r="G1262" s="184">
        <v>0</v>
      </c>
      <c r="H1262" s="158"/>
      <c r="I1262" s="154"/>
      <c r="J1262" s="154"/>
      <c r="K1262" s="154"/>
      <c r="L1262" s="154"/>
      <c r="M1262" s="154"/>
      <c r="N1262" s="154"/>
      <c r="O1262" s="154"/>
      <c r="P1262" s="154"/>
      <c r="Q1262" s="154"/>
      <c r="R1262" s="154"/>
      <c r="S1262" s="154"/>
      <c r="T1262" s="154"/>
      <c r="U1262" s="154"/>
      <c r="V1262" s="154"/>
      <c r="W1262" s="154"/>
      <c r="X1262" s="154"/>
      <c r="Y1262" s="154"/>
      <c r="Z1262" s="154"/>
      <c r="AA1262" s="154"/>
    </row>
    <row r="1263" spans="1:27" ht="15">
      <c r="A1263" s="180">
        <v>45913</v>
      </c>
      <c r="B1263" s="181" t="s">
        <v>13056</v>
      </c>
      <c r="C1263" s="182" t="s">
        <v>12897</v>
      </c>
      <c r="D1263" s="182">
        <v>19230</v>
      </c>
      <c r="E1263" s="183">
        <v>10</v>
      </c>
      <c r="F1263" s="183">
        <v>640</v>
      </c>
      <c r="G1263" s="184">
        <v>4</v>
      </c>
      <c r="H1263" s="158"/>
      <c r="I1263" s="154"/>
      <c r="J1263" s="154"/>
      <c r="K1263" s="154"/>
      <c r="L1263" s="154"/>
      <c r="M1263" s="154"/>
      <c r="N1263" s="154"/>
      <c r="O1263" s="154"/>
      <c r="P1263" s="154"/>
      <c r="Q1263" s="154"/>
      <c r="R1263" s="154"/>
      <c r="S1263" s="154"/>
      <c r="T1263" s="154"/>
      <c r="U1263" s="154"/>
      <c r="V1263" s="154"/>
      <c r="W1263" s="154"/>
      <c r="X1263" s="154"/>
      <c r="Y1263" s="154"/>
      <c r="Z1263" s="154"/>
      <c r="AA1263" s="154"/>
    </row>
    <row r="1264" spans="1:27" ht="15">
      <c r="A1264" s="180">
        <v>45913</v>
      </c>
      <c r="B1264" s="181" t="s">
        <v>13057</v>
      </c>
      <c r="C1264" s="182" t="s">
        <v>12896</v>
      </c>
      <c r="D1264" s="182">
        <v>73</v>
      </c>
      <c r="E1264" s="183">
        <v>0</v>
      </c>
      <c r="F1264" s="183">
        <v>5</v>
      </c>
      <c r="G1264" s="184">
        <v>0</v>
      </c>
      <c r="H1264" s="158"/>
      <c r="I1264" s="154"/>
      <c r="J1264" s="154"/>
      <c r="K1264" s="154"/>
      <c r="L1264" s="154"/>
      <c r="M1264" s="154"/>
      <c r="N1264" s="154"/>
      <c r="O1264" s="154"/>
      <c r="P1264" s="154"/>
      <c r="Q1264" s="154"/>
      <c r="R1264" s="154"/>
      <c r="S1264" s="154"/>
      <c r="T1264" s="154"/>
      <c r="U1264" s="154"/>
      <c r="V1264" s="154"/>
      <c r="W1264" s="154"/>
      <c r="X1264" s="154"/>
      <c r="Y1264" s="154"/>
      <c r="Z1264" s="154"/>
      <c r="AA1264" s="154"/>
    </row>
    <row r="1265" spans="1:27" ht="15">
      <c r="A1265" s="180">
        <v>45913</v>
      </c>
      <c r="B1265" s="181" t="s">
        <v>13015</v>
      </c>
      <c r="C1265" s="182" t="s">
        <v>1229</v>
      </c>
      <c r="D1265" s="182">
        <v>70</v>
      </c>
      <c r="E1265" s="183">
        <v>0</v>
      </c>
      <c r="F1265" s="183">
        <v>3</v>
      </c>
      <c r="G1265" s="184">
        <v>0</v>
      </c>
      <c r="H1265" s="158"/>
      <c r="I1265" s="154"/>
      <c r="J1265" s="154"/>
      <c r="K1265" s="154"/>
      <c r="L1265" s="154"/>
      <c r="M1265" s="154"/>
      <c r="N1265" s="154"/>
      <c r="O1265" s="154"/>
      <c r="P1265" s="154"/>
      <c r="Q1265" s="154"/>
      <c r="R1265" s="154"/>
      <c r="S1265" s="154"/>
      <c r="T1265" s="154"/>
      <c r="U1265" s="154"/>
      <c r="V1265" s="154"/>
      <c r="W1265" s="154"/>
      <c r="X1265" s="154"/>
      <c r="Y1265" s="154"/>
      <c r="Z1265" s="154"/>
      <c r="AA1265" s="154"/>
    </row>
    <row r="1266" spans="1:27" ht="15">
      <c r="A1266" s="180">
        <v>45914</v>
      </c>
      <c r="B1266" s="181" t="s">
        <v>13071</v>
      </c>
      <c r="C1266" s="182" t="s">
        <v>12901</v>
      </c>
      <c r="D1266" s="182">
        <v>6589</v>
      </c>
      <c r="E1266" s="183">
        <v>0</v>
      </c>
      <c r="F1266" s="183">
        <v>131</v>
      </c>
      <c r="G1266" s="184">
        <v>0</v>
      </c>
      <c r="H1266" s="158"/>
      <c r="I1266" s="154"/>
      <c r="J1266" s="154"/>
      <c r="K1266" s="154"/>
      <c r="L1266" s="154"/>
      <c r="M1266" s="154"/>
      <c r="N1266" s="154"/>
      <c r="O1266" s="154"/>
      <c r="P1266" s="154"/>
      <c r="Q1266" s="154"/>
      <c r="R1266" s="154"/>
      <c r="S1266" s="154"/>
      <c r="T1266" s="154"/>
      <c r="U1266" s="154"/>
      <c r="V1266" s="154"/>
      <c r="W1266" s="154"/>
      <c r="X1266" s="154"/>
      <c r="Y1266" s="154"/>
      <c r="Z1266" s="154"/>
      <c r="AA1266" s="154"/>
    </row>
    <row r="1267" spans="1:27" ht="15">
      <c r="A1267" s="180">
        <v>45914</v>
      </c>
      <c r="B1267" s="181" t="s">
        <v>13072</v>
      </c>
      <c r="C1267" s="182" t="s">
        <v>12901</v>
      </c>
      <c r="D1267" s="182">
        <v>8482</v>
      </c>
      <c r="E1267" s="183">
        <v>1</v>
      </c>
      <c r="F1267" s="183">
        <v>137</v>
      </c>
      <c r="G1267" s="184">
        <v>0</v>
      </c>
      <c r="H1267" s="158"/>
      <c r="I1267" s="154"/>
      <c r="J1267" s="154"/>
      <c r="K1267" s="154"/>
      <c r="L1267" s="154"/>
      <c r="M1267" s="154"/>
      <c r="N1267" s="154"/>
      <c r="O1267" s="154"/>
      <c r="P1267" s="154"/>
      <c r="Q1267" s="154"/>
      <c r="R1267" s="154"/>
      <c r="S1267" s="154"/>
      <c r="T1267" s="154"/>
      <c r="U1267" s="154"/>
      <c r="V1267" s="154"/>
      <c r="W1267" s="154"/>
      <c r="X1267" s="154"/>
      <c r="Y1267" s="154"/>
      <c r="Z1267" s="154"/>
      <c r="AA1267" s="154"/>
    </row>
    <row r="1268" spans="1:27" ht="15">
      <c r="A1268" s="180">
        <v>45914</v>
      </c>
      <c r="B1268" s="181" t="s">
        <v>13073</v>
      </c>
      <c r="C1268" s="182" t="s">
        <v>12901</v>
      </c>
      <c r="D1268" s="182">
        <v>8971</v>
      </c>
      <c r="E1268" s="183">
        <v>4</v>
      </c>
      <c r="F1268" s="183">
        <v>257</v>
      </c>
      <c r="G1268" s="184">
        <v>0</v>
      </c>
      <c r="H1268" s="158"/>
      <c r="I1268" s="154"/>
      <c r="J1268" s="154"/>
      <c r="K1268" s="154"/>
      <c r="L1268" s="154"/>
      <c r="M1268" s="154"/>
      <c r="N1268" s="154"/>
      <c r="O1268" s="154"/>
      <c r="P1268" s="154"/>
      <c r="Q1268" s="154"/>
      <c r="R1268" s="154"/>
      <c r="S1268" s="154"/>
      <c r="T1268" s="154"/>
      <c r="U1268" s="154"/>
      <c r="V1268" s="154"/>
      <c r="W1268" s="154"/>
      <c r="X1268" s="154"/>
      <c r="Y1268" s="154"/>
      <c r="Z1268" s="154"/>
      <c r="AA1268" s="154"/>
    </row>
    <row r="1269" spans="1:27" ht="15">
      <c r="A1269" s="180">
        <v>45914</v>
      </c>
      <c r="B1269" s="181" t="s">
        <v>13069</v>
      </c>
      <c r="C1269" s="182" t="s">
        <v>12900</v>
      </c>
      <c r="D1269" s="182">
        <v>11510</v>
      </c>
      <c r="E1269" s="183">
        <v>3</v>
      </c>
      <c r="F1269" s="183">
        <v>345</v>
      </c>
      <c r="G1269" s="184">
        <v>1</v>
      </c>
      <c r="H1269" s="158"/>
      <c r="I1269" s="154"/>
      <c r="J1269" s="154"/>
      <c r="K1269" s="154"/>
      <c r="L1269" s="154"/>
      <c r="M1269" s="154"/>
      <c r="N1269" s="154"/>
      <c r="O1269" s="154"/>
      <c r="P1269" s="154"/>
      <c r="Q1269" s="154"/>
      <c r="R1269" s="154"/>
      <c r="S1269" s="154"/>
      <c r="T1269" s="154"/>
      <c r="U1269" s="154"/>
      <c r="V1269" s="154"/>
      <c r="W1269" s="154"/>
      <c r="X1269" s="154"/>
      <c r="Y1269" s="154"/>
      <c r="Z1269" s="154"/>
      <c r="AA1269" s="154"/>
    </row>
    <row r="1270" spans="1:27" ht="15">
      <c r="A1270" s="180">
        <v>45914</v>
      </c>
      <c r="B1270" s="181" t="s">
        <v>13064</v>
      </c>
      <c r="C1270" s="182" t="s">
        <v>12898</v>
      </c>
      <c r="D1270" s="182">
        <v>50497</v>
      </c>
      <c r="E1270" s="183">
        <v>52</v>
      </c>
      <c r="F1270" s="183">
        <v>2519</v>
      </c>
      <c r="G1270" s="184">
        <v>8</v>
      </c>
      <c r="H1270" s="158"/>
      <c r="I1270" s="154"/>
      <c r="J1270" s="154"/>
      <c r="K1270" s="154"/>
      <c r="L1270" s="154"/>
      <c r="M1270" s="154"/>
      <c r="N1270" s="154"/>
      <c r="O1270" s="154"/>
      <c r="P1270" s="154"/>
      <c r="Q1270" s="154"/>
      <c r="R1270" s="154"/>
      <c r="S1270" s="154"/>
      <c r="T1270" s="154"/>
      <c r="U1270" s="154"/>
      <c r="V1270" s="154"/>
      <c r="W1270" s="154"/>
      <c r="X1270" s="154"/>
      <c r="Y1270" s="154"/>
      <c r="Z1270" s="154"/>
      <c r="AA1270" s="154"/>
    </row>
    <row r="1271" spans="1:27" ht="15">
      <c r="A1271" s="180">
        <v>45915</v>
      </c>
      <c r="B1271" s="181" t="s">
        <v>13071</v>
      </c>
      <c r="C1271" s="182" t="s">
        <v>12901</v>
      </c>
      <c r="D1271" s="182">
        <v>18774</v>
      </c>
      <c r="E1271" s="183">
        <v>14</v>
      </c>
      <c r="F1271" s="183">
        <v>602</v>
      </c>
      <c r="G1271" s="184">
        <v>2</v>
      </c>
      <c r="H1271" s="158"/>
      <c r="I1271" s="154"/>
      <c r="J1271" s="154"/>
      <c r="K1271" s="154"/>
      <c r="L1271" s="154"/>
      <c r="M1271" s="154"/>
      <c r="N1271" s="154"/>
      <c r="O1271" s="154"/>
      <c r="P1271" s="154"/>
      <c r="Q1271" s="154"/>
      <c r="R1271" s="154"/>
      <c r="S1271" s="154"/>
      <c r="T1271" s="154"/>
      <c r="U1271" s="154"/>
      <c r="V1271" s="154"/>
      <c r="W1271" s="154"/>
      <c r="X1271" s="154"/>
      <c r="Y1271" s="154"/>
      <c r="Z1271" s="154"/>
      <c r="AA1271" s="154"/>
    </row>
    <row r="1272" spans="1:27" ht="15">
      <c r="A1272" s="180">
        <v>45915</v>
      </c>
      <c r="B1272" s="181" t="s">
        <v>13072</v>
      </c>
      <c r="C1272" s="182" t="s">
        <v>12901</v>
      </c>
      <c r="D1272" s="182">
        <v>101609</v>
      </c>
      <c r="E1272" s="183">
        <v>45</v>
      </c>
      <c r="F1272" s="183">
        <v>2331</v>
      </c>
      <c r="G1272" s="184">
        <v>14</v>
      </c>
      <c r="H1272" s="158"/>
      <c r="I1272" s="154"/>
      <c r="J1272" s="154"/>
      <c r="K1272" s="154"/>
      <c r="L1272" s="154"/>
      <c r="M1272" s="154"/>
      <c r="N1272" s="154"/>
      <c r="O1272" s="154"/>
      <c r="P1272" s="154"/>
      <c r="Q1272" s="154"/>
      <c r="R1272" s="154"/>
      <c r="S1272" s="154"/>
      <c r="T1272" s="154"/>
      <c r="U1272" s="154"/>
      <c r="V1272" s="154"/>
      <c r="W1272" s="154"/>
      <c r="X1272" s="154"/>
      <c r="Y1272" s="154"/>
      <c r="Z1272" s="154"/>
      <c r="AA1272" s="154"/>
    </row>
    <row r="1273" spans="1:27" ht="15">
      <c r="A1273" s="180">
        <v>45915</v>
      </c>
      <c r="B1273" s="181" t="s">
        <v>13073</v>
      </c>
      <c r="C1273" s="182" t="s">
        <v>12901</v>
      </c>
      <c r="D1273" s="182">
        <v>14135</v>
      </c>
      <c r="E1273" s="183">
        <v>8</v>
      </c>
      <c r="F1273" s="183">
        <v>333</v>
      </c>
      <c r="G1273" s="184">
        <v>1</v>
      </c>
      <c r="H1273" s="158"/>
      <c r="I1273" s="154"/>
      <c r="J1273" s="154"/>
      <c r="K1273" s="154"/>
      <c r="L1273" s="154"/>
      <c r="M1273" s="154"/>
      <c r="N1273" s="154"/>
      <c r="O1273" s="154"/>
      <c r="P1273" s="154"/>
      <c r="Q1273" s="154"/>
      <c r="R1273" s="154"/>
      <c r="S1273" s="154"/>
      <c r="T1273" s="154"/>
      <c r="U1273" s="154"/>
      <c r="V1273" s="154"/>
      <c r="W1273" s="154"/>
      <c r="X1273" s="154"/>
      <c r="Y1273" s="154"/>
      <c r="Z1273" s="154"/>
      <c r="AA1273" s="154"/>
    </row>
    <row r="1274" spans="1:27" ht="15">
      <c r="A1274" s="180">
        <v>45915</v>
      </c>
      <c r="B1274" s="181" t="s">
        <v>13069</v>
      </c>
      <c r="C1274" s="182" t="s">
        <v>12900</v>
      </c>
      <c r="D1274" s="182">
        <v>314</v>
      </c>
      <c r="E1274" s="183">
        <v>0</v>
      </c>
      <c r="F1274" s="183">
        <v>18</v>
      </c>
      <c r="G1274" s="184">
        <v>0</v>
      </c>
      <c r="H1274" s="158"/>
      <c r="I1274" s="154"/>
      <c r="J1274" s="154"/>
      <c r="K1274" s="154"/>
      <c r="L1274" s="154"/>
      <c r="M1274" s="154"/>
      <c r="N1274" s="154"/>
      <c r="O1274" s="154"/>
      <c r="P1274" s="154"/>
      <c r="Q1274" s="154"/>
      <c r="R1274" s="154"/>
      <c r="S1274" s="154"/>
      <c r="T1274" s="154"/>
      <c r="U1274" s="154"/>
      <c r="V1274" s="154"/>
      <c r="W1274" s="154"/>
      <c r="X1274" s="154"/>
      <c r="Y1274" s="154"/>
      <c r="Z1274" s="154"/>
      <c r="AA1274" s="154"/>
    </row>
    <row r="1275" spans="1:27" ht="15">
      <c r="A1275" s="180">
        <v>45915</v>
      </c>
      <c r="B1275" s="181" t="s">
        <v>13069</v>
      </c>
      <c r="C1275" s="182" t="s">
        <v>12900</v>
      </c>
      <c r="D1275" s="182">
        <v>47</v>
      </c>
      <c r="E1275" s="183">
        <v>0</v>
      </c>
      <c r="F1275" s="183">
        <v>1</v>
      </c>
      <c r="G1275" s="184">
        <v>0</v>
      </c>
      <c r="H1275" s="158"/>
      <c r="I1275" s="154"/>
      <c r="J1275" s="154"/>
      <c r="K1275" s="154"/>
      <c r="L1275" s="154"/>
      <c r="M1275" s="154"/>
      <c r="N1275" s="154"/>
      <c r="O1275" s="154"/>
      <c r="P1275" s="154"/>
      <c r="Q1275" s="154"/>
      <c r="R1275" s="154"/>
      <c r="S1275" s="154"/>
      <c r="T1275" s="154"/>
      <c r="U1275" s="154"/>
      <c r="V1275" s="154"/>
      <c r="W1275" s="154"/>
      <c r="X1275" s="154"/>
      <c r="Y1275" s="154"/>
      <c r="Z1275" s="154"/>
      <c r="AA1275" s="154"/>
    </row>
    <row r="1276" spans="1:27" ht="15">
      <c r="A1276" s="180">
        <v>45915</v>
      </c>
      <c r="B1276" s="181" t="s">
        <v>13070</v>
      </c>
      <c r="C1276" s="182" t="s">
        <v>12900</v>
      </c>
      <c r="D1276" s="182">
        <v>406</v>
      </c>
      <c r="E1276" s="183">
        <v>0</v>
      </c>
      <c r="F1276" s="183">
        <v>12</v>
      </c>
      <c r="G1276" s="184">
        <v>0</v>
      </c>
      <c r="H1276" s="158"/>
      <c r="I1276" s="154"/>
      <c r="J1276" s="154"/>
      <c r="K1276" s="154"/>
      <c r="L1276" s="154"/>
      <c r="M1276" s="154"/>
      <c r="N1276" s="154"/>
      <c r="O1276" s="154"/>
      <c r="P1276" s="154"/>
      <c r="Q1276" s="154"/>
      <c r="R1276" s="154"/>
      <c r="S1276" s="154"/>
      <c r="T1276" s="154"/>
      <c r="U1276" s="154"/>
      <c r="V1276" s="154"/>
      <c r="W1276" s="154"/>
      <c r="X1276" s="154"/>
      <c r="Y1276" s="154"/>
      <c r="Z1276" s="154"/>
      <c r="AA1276" s="154"/>
    </row>
    <row r="1277" spans="1:27" ht="15">
      <c r="A1277" s="180">
        <v>45915</v>
      </c>
      <c r="B1277" s="181" t="s">
        <v>13066</v>
      </c>
      <c r="C1277" s="182" t="s">
        <v>12899</v>
      </c>
      <c r="D1277" s="182">
        <v>8515</v>
      </c>
      <c r="E1277" s="183">
        <v>8</v>
      </c>
      <c r="F1277" s="183">
        <v>291</v>
      </c>
      <c r="G1277" s="184">
        <v>1</v>
      </c>
      <c r="H1277" s="158"/>
      <c r="I1277" s="154"/>
      <c r="J1277" s="154"/>
      <c r="K1277" s="154"/>
      <c r="L1277" s="154"/>
      <c r="M1277" s="154"/>
      <c r="N1277" s="154"/>
      <c r="O1277" s="154"/>
      <c r="P1277" s="154"/>
      <c r="Q1277" s="154"/>
      <c r="R1277" s="154"/>
      <c r="S1277" s="154"/>
      <c r="T1277" s="154"/>
      <c r="U1277" s="154"/>
      <c r="V1277" s="154"/>
      <c r="W1277" s="154"/>
      <c r="X1277" s="154"/>
      <c r="Y1277" s="154"/>
      <c r="Z1277" s="154"/>
      <c r="AA1277" s="154"/>
    </row>
    <row r="1278" spans="1:27" ht="15">
      <c r="A1278" s="180">
        <v>45915</v>
      </c>
      <c r="B1278" s="181" t="s">
        <v>13064</v>
      </c>
      <c r="C1278" s="182" t="s">
        <v>12898</v>
      </c>
      <c r="D1278" s="182">
        <v>8040</v>
      </c>
      <c r="E1278" s="183">
        <v>4</v>
      </c>
      <c r="F1278" s="183">
        <v>501</v>
      </c>
      <c r="G1278" s="184">
        <v>0</v>
      </c>
      <c r="H1278" s="158"/>
      <c r="I1278" s="154"/>
      <c r="J1278" s="154"/>
      <c r="K1278" s="154"/>
      <c r="L1278" s="154"/>
      <c r="M1278" s="154"/>
      <c r="N1278" s="154"/>
      <c r="O1278" s="154"/>
      <c r="P1278" s="154"/>
      <c r="Q1278" s="154"/>
      <c r="R1278" s="154"/>
      <c r="S1278" s="154"/>
      <c r="T1278" s="154"/>
      <c r="U1278" s="154"/>
      <c r="V1278" s="154"/>
      <c r="W1278" s="154"/>
      <c r="X1278" s="154"/>
      <c r="Y1278" s="154"/>
      <c r="Z1278" s="154"/>
      <c r="AA1278" s="154"/>
    </row>
    <row r="1279" spans="1:27" ht="15">
      <c r="A1279" s="180">
        <v>45915</v>
      </c>
      <c r="B1279" s="181" t="s">
        <v>13060</v>
      </c>
      <c r="C1279" s="182" t="s">
        <v>1774</v>
      </c>
      <c r="D1279" s="182">
        <v>3</v>
      </c>
      <c r="E1279" s="183">
        <v>0</v>
      </c>
      <c r="F1279" s="183">
        <v>1</v>
      </c>
      <c r="G1279" s="184">
        <v>0</v>
      </c>
      <c r="H1279" s="158"/>
      <c r="I1279" s="154"/>
      <c r="J1279" s="154"/>
      <c r="K1279" s="154"/>
      <c r="L1279" s="154"/>
      <c r="M1279" s="154"/>
      <c r="N1279" s="154"/>
      <c r="O1279" s="154"/>
      <c r="P1279" s="154"/>
      <c r="Q1279" s="154"/>
      <c r="R1279" s="154"/>
      <c r="S1279" s="154"/>
      <c r="T1279" s="154"/>
      <c r="U1279" s="154"/>
      <c r="V1279" s="154"/>
      <c r="W1279" s="154"/>
      <c r="X1279" s="154"/>
      <c r="Y1279" s="154"/>
      <c r="Z1279" s="154"/>
      <c r="AA1279" s="154"/>
    </row>
    <row r="1280" spans="1:27" ht="15">
      <c r="A1280" s="180">
        <v>45915</v>
      </c>
      <c r="B1280" s="181" t="s">
        <v>13059</v>
      </c>
      <c r="C1280" s="182" t="s">
        <v>12897</v>
      </c>
      <c r="D1280" s="182">
        <v>108</v>
      </c>
      <c r="E1280" s="183">
        <v>0</v>
      </c>
      <c r="F1280" s="183">
        <v>4</v>
      </c>
      <c r="G1280" s="184">
        <v>0</v>
      </c>
      <c r="H1280" s="158"/>
      <c r="I1280" s="154"/>
      <c r="J1280" s="154"/>
      <c r="K1280" s="154"/>
      <c r="L1280" s="154"/>
      <c r="M1280" s="154"/>
      <c r="N1280" s="154"/>
      <c r="O1280" s="154"/>
      <c r="P1280" s="154"/>
      <c r="Q1280" s="154"/>
      <c r="R1280" s="154"/>
      <c r="S1280" s="154"/>
      <c r="T1280" s="154"/>
      <c r="U1280" s="154"/>
      <c r="V1280" s="154"/>
      <c r="W1280" s="154"/>
      <c r="X1280" s="154"/>
      <c r="Y1280" s="154"/>
      <c r="Z1280" s="154"/>
      <c r="AA1280" s="154"/>
    </row>
    <row r="1281" spans="1:27" ht="15">
      <c r="A1281" s="180">
        <v>45915</v>
      </c>
      <c r="B1281" s="181" t="s">
        <v>13056</v>
      </c>
      <c r="C1281" s="182" t="s">
        <v>12897</v>
      </c>
      <c r="D1281" s="182">
        <v>83</v>
      </c>
      <c r="E1281" s="183">
        <v>0</v>
      </c>
      <c r="F1281" s="183">
        <v>7</v>
      </c>
      <c r="G1281" s="184">
        <v>0</v>
      </c>
      <c r="H1281" s="158"/>
      <c r="I1281" s="154"/>
      <c r="J1281" s="154"/>
      <c r="K1281" s="154"/>
      <c r="L1281" s="154"/>
      <c r="M1281" s="154"/>
      <c r="N1281" s="154"/>
      <c r="O1281" s="154"/>
      <c r="P1281" s="154"/>
      <c r="Q1281" s="154"/>
      <c r="R1281" s="154"/>
      <c r="S1281" s="154"/>
      <c r="T1281" s="154"/>
      <c r="U1281" s="154"/>
      <c r="V1281" s="154"/>
      <c r="W1281" s="154"/>
      <c r="X1281" s="154"/>
      <c r="Y1281" s="154"/>
      <c r="Z1281" s="154"/>
      <c r="AA1281" s="154"/>
    </row>
    <row r="1282" spans="1:27" ht="15">
      <c r="A1282" s="180">
        <v>45915</v>
      </c>
      <c r="B1282" s="181" t="s">
        <v>13015</v>
      </c>
      <c r="C1282" s="182" t="s">
        <v>1229</v>
      </c>
      <c r="D1282" s="182">
        <v>128</v>
      </c>
      <c r="E1282" s="183">
        <v>0</v>
      </c>
      <c r="F1282" s="183">
        <v>2</v>
      </c>
      <c r="G1282" s="184">
        <v>0</v>
      </c>
      <c r="H1282" s="158"/>
      <c r="I1282" s="154"/>
      <c r="J1282" s="154"/>
      <c r="K1282" s="154"/>
      <c r="L1282" s="154"/>
      <c r="M1282" s="154"/>
      <c r="N1282" s="154"/>
      <c r="O1282" s="154"/>
      <c r="P1282" s="154"/>
      <c r="Q1282" s="154"/>
      <c r="R1282" s="154"/>
      <c r="S1282" s="154"/>
      <c r="T1282" s="154"/>
      <c r="U1282" s="154"/>
      <c r="V1282" s="154"/>
      <c r="W1282" s="154"/>
      <c r="X1282" s="154"/>
      <c r="Y1282" s="154"/>
      <c r="Z1282" s="154"/>
      <c r="AA1282" s="154"/>
    </row>
    <row r="1283" spans="1:27" ht="15">
      <c r="A1283" s="180">
        <v>45916</v>
      </c>
      <c r="B1283" s="181" t="s">
        <v>13074</v>
      </c>
      <c r="C1283" s="182"/>
      <c r="D1283" s="182">
        <v>17</v>
      </c>
      <c r="E1283" s="183">
        <v>0</v>
      </c>
      <c r="F1283" s="183">
        <v>2</v>
      </c>
      <c r="G1283" s="184">
        <v>0</v>
      </c>
      <c r="H1283" s="158"/>
      <c r="I1283" s="154"/>
      <c r="J1283" s="154"/>
      <c r="K1283" s="154"/>
      <c r="L1283" s="154"/>
      <c r="M1283" s="154"/>
      <c r="N1283" s="154"/>
      <c r="O1283" s="154"/>
      <c r="P1283" s="154"/>
      <c r="Q1283" s="154"/>
      <c r="R1283" s="154"/>
      <c r="S1283" s="154"/>
      <c r="T1283" s="154"/>
      <c r="U1283" s="154"/>
      <c r="V1283" s="154"/>
      <c r="W1283" s="154"/>
      <c r="X1283" s="154"/>
      <c r="Y1283" s="154"/>
      <c r="Z1283" s="154"/>
      <c r="AA1283" s="154"/>
    </row>
    <row r="1284" spans="1:27" ht="15">
      <c r="A1284" s="180">
        <v>45916</v>
      </c>
      <c r="B1284" s="181" t="s">
        <v>13071</v>
      </c>
      <c r="C1284" s="182" t="s">
        <v>12901</v>
      </c>
      <c r="D1284" s="182">
        <v>65142</v>
      </c>
      <c r="E1284" s="183">
        <v>35</v>
      </c>
      <c r="F1284" s="183">
        <v>1665</v>
      </c>
      <c r="G1284" s="184">
        <v>10</v>
      </c>
      <c r="H1284" s="158"/>
      <c r="I1284" s="154"/>
      <c r="J1284" s="154"/>
      <c r="K1284" s="154"/>
      <c r="L1284" s="154"/>
      <c r="M1284" s="154"/>
      <c r="N1284" s="154"/>
      <c r="O1284" s="154"/>
      <c r="P1284" s="154"/>
      <c r="Q1284" s="154"/>
      <c r="R1284" s="154"/>
      <c r="S1284" s="154"/>
      <c r="T1284" s="154"/>
      <c r="U1284" s="154"/>
      <c r="V1284" s="154"/>
      <c r="W1284" s="154"/>
      <c r="X1284" s="154"/>
      <c r="Y1284" s="154"/>
      <c r="Z1284" s="154"/>
      <c r="AA1284" s="154"/>
    </row>
    <row r="1285" spans="1:27" ht="15">
      <c r="A1285" s="180">
        <v>45916</v>
      </c>
      <c r="B1285" s="181" t="s">
        <v>13072</v>
      </c>
      <c r="C1285" s="182" t="s">
        <v>12901</v>
      </c>
      <c r="D1285" s="182">
        <v>17511</v>
      </c>
      <c r="E1285" s="183">
        <v>9</v>
      </c>
      <c r="F1285" s="183">
        <v>304</v>
      </c>
      <c r="G1285" s="184">
        <v>2</v>
      </c>
      <c r="H1285" s="158"/>
      <c r="I1285" s="154"/>
      <c r="J1285" s="154"/>
      <c r="K1285" s="154"/>
      <c r="L1285" s="154"/>
      <c r="M1285" s="154"/>
      <c r="N1285" s="154"/>
      <c r="O1285" s="154"/>
      <c r="P1285" s="154"/>
      <c r="Q1285" s="154"/>
      <c r="R1285" s="154"/>
      <c r="S1285" s="154"/>
      <c r="T1285" s="154"/>
      <c r="U1285" s="154"/>
      <c r="V1285" s="154"/>
      <c r="W1285" s="154"/>
      <c r="X1285" s="154"/>
      <c r="Y1285" s="154"/>
      <c r="Z1285" s="154"/>
      <c r="AA1285" s="154"/>
    </row>
    <row r="1286" spans="1:27" ht="15">
      <c r="A1286" s="180">
        <v>45916</v>
      </c>
      <c r="B1286" s="181" t="s">
        <v>13069</v>
      </c>
      <c r="C1286" s="182" t="s">
        <v>12900</v>
      </c>
      <c r="D1286" s="182">
        <v>27</v>
      </c>
      <c r="E1286" s="183">
        <v>0</v>
      </c>
      <c r="F1286" s="183">
        <v>5</v>
      </c>
      <c r="G1286" s="184">
        <v>0</v>
      </c>
      <c r="H1286" s="158"/>
      <c r="I1286" s="154"/>
      <c r="J1286" s="154"/>
      <c r="K1286" s="154"/>
      <c r="L1286" s="154"/>
      <c r="M1286" s="154"/>
      <c r="N1286" s="154"/>
      <c r="O1286" s="154"/>
      <c r="P1286" s="154"/>
      <c r="Q1286" s="154"/>
      <c r="R1286" s="154"/>
      <c r="S1286" s="154"/>
      <c r="T1286" s="154"/>
      <c r="U1286" s="154"/>
      <c r="V1286" s="154"/>
      <c r="W1286" s="154"/>
      <c r="X1286" s="154"/>
      <c r="Y1286" s="154"/>
      <c r="Z1286" s="154"/>
      <c r="AA1286" s="154"/>
    </row>
    <row r="1287" spans="1:27" ht="15">
      <c r="A1287" s="180">
        <v>45916</v>
      </c>
      <c r="B1287" s="181" t="s">
        <v>13069</v>
      </c>
      <c r="C1287" s="182" t="s">
        <v>12900</v>
      </c>
      <c r="D1287" s="182">
        <v>871</v>
      </c>
      <c r="E1287" s="183">
        <v>0</v>
      </c>
      <c r="F1287" s="183">
        <v>9</v>
      </c>
      <c r="G1287" s="184">
        <v>0</v>
      </c>
      <c r="H1287" s="158"/>
      <c r="I1287" s="154"/>
      <c r="J1287" s="154"/>
      <c r="K1287" s="154"/>
      <c r="L1287" s="154"/>
      <c r="M1287" s="154"/>
      <c r="N1287" s="154"/>
      <c r="O1287" s="154"/>
      <c r="P1287" s="154"/>
      <c r="Q1287" s="154"/>
      <c r="R1287" s="154"/>
      <c r="S1287" s="154"/>
      <c r="T1287" s="154"/>
      <c r="U1287" s="154"/>
      <c r="V1287" s="154"/>
      <c r="W1287" s="154"/>
      <c r="X1287" s="154"/>
      <c r="Y1287" s="154"/>
      <c r="Z1287" s="154"/>
      <c r="AA1287" s="154"/>
    </row>
    <row r="1288" spans="1:27" ht="15">
      <c r="A1288" s="180">
        <v>45916</v>
      </c>
      <c r="B1288" s="181" t="s">
        <v>13070</v>
      </c>
      <c r="C1288" s="182" t="s">
        <v>12900</v>
      </c>
      <c r="D1288" s="182">
        <v>15</v>
      </c>
      <c r="E1288" s="183">
        <v>0</v>
      </c>
      <c r="F1288" s="183">
        <v>3</v>
      </c>
      <c r="G1288" s="184">
        <v>0</v>
      </c>
      <c r="H1288" s="158"/>
      <c r="I1288" s="154"/>
      <c r="J1288" s="154"/>
      <c r="K1288" s="154"/>
      <c r="L1288" s="154"/>
      <c r="M1288" s="154"/>
      <c r="N1288" s="154"/>
      <c r="O1288" s="154"/>
      <c r="P1288" s="154"/>
      <c r="Q1288" s="154"/>
      <c r="R1288" s="154"/>
      <c r="S1288" s="154"/>
      <c r="T1288" s="154"/>
      <c r="U1288" s="154"/>
      <c r="V1288" s="154"/>
      <c r="W1288" s="154"/>
      <c r="X1288" s="154"/>
      <c r="Y1288" s="154"/>
      <c r="Z1288" s="154"/>
      <c r="AA1288" s="154"/>
    </row>
    <row r="1289" spans="1:27" ht="15">
      <c r="A1289" s="180">
        <v>45916</v>
      </c>
      <c r="B1289" s="181" t="s">
        <v>13066</v>
      </c>
      <c r="C1289" s="182" t="s">
        <v>12899</v>
      </c>
      <c r="D1289" s="182">
        <v>19590</v>
      </c>
      <c r="E1289" s="183">
        <v>27</v>
      </c>
      <c r="F1289" s="183">
        <v>1687</v>
      </c>
      <c r="G1289" s="184">
        <v>2</v>
      </c>
      <c r="H1289" s="158"/>
      <c r="I1289" s="154"/>
      <c r="J1289" s="154"/>
      <c r="K1289" s="154"/>
      <c r="L1289" s="154"/>
      <c r="M1289" s="154"/>
      <c r="N1289" s="154"/>
      <c r="O1289" s="154"/>
      <c r="P1289" s="154"/>
      <c r="Q1289" s="154"/>
      <c r="R1289" s="154"/>
      <c r="S1289" s="154"/>
      <c r="T1289" s="154"/>
      <c r="U1289" s="154"/>
      <c r="V1289" s="154"/>
      <c r="W1289" s="154"/>
      <c r="X1289" s="154"/>
      <c r="Y1289" s="154"/>
      <c r="Z1289" s="154"/>
      <c r="AA1289" s="154"/>
    </row>
    <row r="1290" spans="1:27" ht="15">
      <c r="A1290" s="180">
        <v>45916</v>
      </c>
      <c r="B1290" s="181" t="s">
        <v>13067</v>
      </c>
      <c r="C1290" s="182" t="s">
        <v>12899</v>
      </c>
      <c r="D1290" s="182">
        <v>63</v>
      </c>
      <c r="E1290" s="183">
        <v>0</v>
      </c>
      <c r="F1290" s="183">
        <v>2</v>
      </c>
      <c r="G1290" s="184">
        <v>0</v>
      </c>
      <c r="H1290" s="158"/>
      <c r="I1290" s="154"/>
      <c r="J1290" s="154"/>
      <c r="K1290" s="154"/>
      <c r="L1290" s="154"/>
      <c r="M1290" s="154"/>
      <c r="N1290" s="154"/>
      <c r="O1290" s="154"/>
      <c r="P1290" s="154"/>
      <c r="Q1290" s="154"/>
      <c r="R1290" s="154"/>
      <c r="S1290" s="154"/>
      <c r="T1290" s="154"/>
      <c r="U1290" s="154"/>
      <c r="V1290" s="154"/>
      <c r="W1290" s="154"/>
      <c r="X1290" s="154"/>
      <c r="Y1290" s="154"/>
      <c r="Z1290" s="154"/>
      <c r="AA1290" s="154"/>
    </row>
    <row r="1291" spans="1:27" ht="15">
      <c r="A1291" s="180">
        <v>45916</v>
      </c>
      <c r="B1291" s="181" t="s">
        <v>13068</v>
      </c>
      <c r="C1291" s="182" t="s">
        <v>12899</v>
      </c>
      <c r="D1291" s="182">
        <v>8</v>
      </c>
      <c r="E1291" s="183">
        <v>0</v>
      </c>
      <c r="F1291" s="183">
        <v>2</v>
      </c>
      <c r="G1291" s="184">
        <v>0</v>
      </c>
      <c r="H1291" s="158"/>
      <c r="I1291" s="154"/>
      <c r="J1291" s="154"/>
      <c r="K1291" s="154"/>
      <c r="L1291" s="154"/>
      <c r="M1291" s="154"/>
      <c r="N1291" s="154"/>
      <c r="O1291" s="154"/>
      <c r="P1291" s="154"/>
      <c r="Q1291" s="154"/>
      <c r="R1291" s="154"/>
      <c r="S1291" s="154"/>
      <c r="T1291" s="154"/>
      <c r="U1291" s="154"/>
      <c r="V1291" s="154"/>
      <c r="W1291" s="154"/>
      <c r="X1291" s="154"/>
      <c r="Y1291" s="154"/>
      <c r="Z1291" s="154"/>
      <c r="AA1291" s="154"/>
    </row>
    <row r="1292" spans="1:27" ht="15">
      <c r="A1292" s="180">
        <v>45916</v>
      </c>
      <c r="B1292" s="181" t="s">
        <v>13063</v>
      </c>
      <c r="C1292" s="182" t="s">
        <v>12898</v>
      </c>
      <c r="D1292" s="182">
        <v>2</v>
      </c>
      <c r="E1292" s="183">
        <v>0</v>
      </c>
      <c r="F1292" s="183">
        <v>1</v>
      </c>
      <c r="G1292" s="184">
        <v>0</v>
      </c>
      <c r="H1292" s="158"/>
      <c r="I1292" s="154"/>
      <c r="J1292" s="154"/>
      <c r="K1292" s="154"/>
      <c r="L1292" s="154"/>
      <c r="M1292" s="154"/>
      <c r="N1292" s="154"/>
      <c r="O1292" s="154"/>
      <c r="P1292" s="154"/>
      <c r="Q1292" s="154"/>
      <c r="R1292" s="154"/>
      <c r="S1292" s="154"/>
      <c r="T1292" s="154"/>
      <c r="U1292" s="154"/>
      <c r="V1292" s="154"/>
      <c r="W1292" s="154"/>
      <c r="X1292" s="154"/>
      <c r="Y1292" s="154"/>
      <c r="Z1292" s="154"/>
      <c r="AA1292" s="154"/>
    </row>
    <row r="1293" spans="1:27" ht="15">
      <c r="A1293" s="180">
        <v>45916</v>
      </c>
      <c r="B1293" s="181" t="s">
        <v>13064</v>
      </c>
      <c r="C1293" s="182" t="s">
        <v>12898</v>
      </c>
      <c r="D1293" s="182">
        <v>94675</v>
      </c>
      <c r="E1293" s="183">
        <v>100</v>
      </c>
      <c r="F1293" s="183">
        <v>6229</v>
      </c>
      <c r="G1293" s="184">
        <v>19</v>
      </c>
      <c r="H1293" s="158"/>
      <c r="I1293" s="154"/>
      <c r="J1293" s="154"/>
      <c r="K1293" s="154"/>
      <c r="L1293" s="154"/>
      <c r="M1293" s="154"/>
      <c r="N1293" s="154"/>
      <c r="O1293" s="154"/>
      <c r="P1293" s="154"/>
      <c r="Q1293" s="154"/>
      <c r="R1293" s="154"/>
      <c r="S1293" s="154"/>
      <c r="T1293" s="154"/>
      <c r="U1293" s="154"/>
      <c r="V1293" s="154"/>
      <c r="W1293" s="154"/>
      <c r="X1293" s="154"/>
      <c r="Y1293" s="154"/>
      <c r="Z1293" s="154"/>
      <c r="AA1293" s="154"/>
    </row>
    <row r="1294" spans="1:27" ht="15">
      <c r="A1294" s="180">
        <v>45916</v>
      </c>
      <c r="B1294" s="181" t="s">
        <v>13060</v>
      </c>
      <c r="C1294" s="182" t="s">
        <v>1774</v>
      </c>
      <c r="D1294" s="182">
        <v>24</v>
      </c>
      <c r="E1294" s="183">
        <v>0</v>
      </c>
      <c r="F1294" s="183">
        <v>2</v>
      </c>
      <c r="G1294" s="184">
        <v>0</v>
      </c>
      <c r="H1294" s="158"/>
      <c r="I1294" s="154"/>
      <c r="J1294" s="154"/>
      <c r="K1294" s="154"/>
      <c r="L1294" s="154"/>
      <c r="M1294" s="154"/>
      <c r="N1294" s="154"/>
      <c r="O1294" s="154"/>
      <c r="P1294" s="154"/>
      <c r="Q1294" s="154"/>
      <c r="R1294" s="154"/>
      <c r="S1294" s="154"/>
      <c r="T1294" s="154"/>
      <c r="U1294" s="154"/>
      <c r="V1294" s="154"/>
      <c r="W1294" s="154"/>
      <c r="X1294" s="154"/>
      <c r="Y1294" s="154"/>
      <c r="Z1294" s="154"/>
      <c r="AA1294" s="154"/>
    </row>
    <row r="1295" spans="1:27" ht="15">
      <c r="A1295" s="180">
        <v>45916</v>
      </c>
      <c r="B1295" s="181" t="s">
        <v>13059</v>
      </c>
      <c r="C1295" s="182" t="s">
        <v>12897</v>
      </c>
      <c r="D1295" s="182">
        <v>2</v>
      </c>
      <c r="E1295" s="183">
        <v>0</v>
      </c>
      <c r="F1295" s="183">
        <v>1</v>
      </c>
      <c r="G1295" s="184">
        <v>0</v>
      </c>
      <c r="H1295" s="158"/>
      <c r="I1295" s="154"/>
      <c r="J1295" s="154"/>
      <c r="K1295" s="154"/>
      <c r="L1295" s="154"/>
      <c r="M1295" s="154"/>
      <c r="N1295" s="154"/>
      <c r="O1295" s="154"/>
      <c r="P1295" s="154"/>
      <c r="Q1295" s="154"/>
      <c r="R1295" s="154"/>
      <c r="S1295" s="154"/>
      <c r="T1295" s="154"/>
      <c r="U1295" s="154"/>
      <c r="V1295" s="154"/>
      <c r="W1295" s="154"/>
      <c r="X1295" s="154"/>
      <c r="Y1295" s="154"/>
      <c r="Z1295" s="154"/>
      <c r="AA1295" s="154"/>
    </row>
    <row r="1296" spans="1:27" ht="15">
      <c r="A1296" s="180">
        <v>45916</v>
      </c>
      <c r="B1296" s="181" t="s">
        <v>13057</v>
      </c>
      <c r="C1296" s="182" t="s">
        <v>12896</v>
      </c>
      <c r="D1296" s="182">
        <v>2</v>
      </c>
      <c r="E1296" s="183">
        <v>0</v>
      </c>
      <c r="F1296" s="183">
        <v>1</v>
      </c>
      <c r="G1296" s="184">
        <v>0</v>
      </c>
      <c r="H1296" s="158"/>
      <c r="I1296" s="154"/>
      <c r="J1296" s="154"/>
      <c r="K1296" s="154"/>
      <c r="L1296" s="154"/>
      <c r="M1296" s="154"/>
      <c r="N1296" s="154"/>
      <c r="O1296" s="154"/>
      <c r="P1296" s="154"/>
      <c r="Q1296" s="154"/>
      <c r="R1296" s="154"/>
      <c r="S1296" s="154"/>
      <c r="T1296" s="154"/>
      <c r="U1296" s="154"/>
      <c r="V1296" s="154"/>
      <c r="W1296" s="154"/>
      <c r="X1296" s="154"/>
      <c r="Y1296" s="154"/>
      <c r="Z1296" s="154"/>
      <c r="AA1296" s="154"/>
    </row>
    <row r="1297" spans="1:27" ht="15">
      <c r="A1297" s="180">
        <v>45916</v>
      </c>
      <c r="B1297" s="181" t="s">
        <v>13048</v>
      </c>
      <c r="C1297" s="182" t="s">
        <v>12896</v>
      </c>
      <c r="D1297" s="182">
        <v>3</v>
      </c>
      <c r="E1297" s="183">
        <v>0</v>
      </c>
      <c r="F1297" s="183">
        <v>2</v>
      </c>
      <c r="G1297" s="184">
        <v>0</v>
      </c>
      <c r="H1297" s="158"/>
      <c r="I1297" s="154"/>
      <c r="J1297" s="154"/>
      <c r="K1297" s="154"/>
      <c r="L1297" s="154"/>
      <c r="M1297" s="154"/>
      <c r="N1297" s="154"/>
      <c r="O1297" s="154"/>
      <c r="P1297" s="154"/>
      <c r="Q1297" s="154"/>
      <c r="R1297" s="154"/>
      <c r="S1297" s="154"/>
      <c r="T1297" s="154"/>
      <c r="U1297" s="154"/>
      <c r="V1297" s="154"/>
      <c r="W1297" s="154"/>
      <c r="X1297" s="154"/>
      <c r="Y1297" s="154"/>
      <c r="Z1297" s="154"/>
      <c r="AA1297" s="154"/>
    </row>
    <row r="1298" spans="1:27" ht="15">
      <c r="A1298" s="180">
        <v>45916</v>
      </c>
      <c r="B1298" s="181" t="s">
        <v>13015</v>
      </c>
      <c r="C1298" s="182" t="s">
        <v>1229</v>
      </c>
      <c r="D1298" s="182">
        <v>386</v>
      </c>
      <c r="E1298" s="183">
        <v>1</v>
      </c>
      <c r="F1298" s="183">
        <v>16</v>
      </c>
      <c r="G1298" s="184">
        <v>0</v>
      </c>
      <c r="H1298" s="158"/>
      <c r="I1298" s="154"/>
      <c r="J1298" s="154"/>
      <c r="K1298" s="154"/>
      <c r="L1298" s="154"/>
      <c r="M1298" s="154"/>
      <c r="N1298" s="154"/>
      <c r="O1298" s="154"/>
      <c r="P1298" s="154"/>
      <c r="Q1298" s="154"/>
      <c r="R1298" s="154"/>
      <c r="S1298" s="154"/>
      <c r="T1298" s="154"/>
      <c r="U1298" s="154"/>
      <c r="V1298" s="154"/>
      <c r="W1298" s="154"/>
      <c r="X1298" s="154"/>
      <c r="Y1298" s="154"/>
      <c r="Z1298" s="154"/>
      <c r="AA1298" s="154"/>
    </row>
    <row r="1299" spans="1:27" ht="15">
      <c r="A1299" s="180">
        <v>45917</v>
      </c>
      <c r="B1299" s="181" t="s">
        <v>13075</v>
      </c>
      <c r="C1299" s="182" t="s">
        <v>12902</v>
      </c>
      <c r="D1299" s="182">
        <v>9907</v>
      </c>
      <c r="E1299" s="183">
        <v>1</v>
      </c>
      <c r="F1299" s="183">
        <v>222</v>
      </c>
      <c r="G1299" s="184">
        <v>0</v>
      </c>
      <c r="H1299" s="158"/>
      <c r="I1299" s="154"/>
      <c r="J1299" s="154"/>
      <c r="K1299" s="154"/>
      <c r="L1299" s="154"/>
      <c r="M1299" s="154"/>
      <c r="N1299" s="154"/>
      <c r="O1299" s="154"/>
      <c r="P1299" s="154"/>
      <c r="Q1299" s="154"/>
      <c r="R1299" s="154"/>
      <c r="S1299" s="154"/>
      <c r="T1299" s="154"/>
      <c r="U1299" s="154"/>
      <c r="V1299" s="154"/>
      <c r="W1299" s="154"/>
      <c r="X1299" s="154"/>
      <c r="Y1299" s="154"/>
      <c r="Z1299" s="154"/>
      <c r="AA1299" s="154"/>
    </row>
    <row r="1300" spans="1:27" ht="15">
      <c r="A1300" s="180">
        <v>45917</v>
      </c>
      <c r="B1300" s="181" t="s">
        <v>13076</v>
      </c>
      <c r="C1300" s="182" t="s">
        <v>12903</v>
      </c>
      <c r="D1300" s="182">
        <v>8804</v>
      </c>
      <c r="E1300" s="183">
        <v>5</v>
      </c>
      <c r="F1300" s="183">
        <v>514</v>
      </c>
      <c r="G1300" s="184">
        <v>1</v>
      </c>
      <c r="H1300" s="158"/>
      <c r="I1300" s="154"/>
      <c r="J1300" s="154"/>
      <c r="K1300" s="154"/>
      <c r="L1300" s="154"/>
      <c r="M1300" s="154"/>
      <c r="N1300" s="154"/>
      <c r="O1300" s="154"/>
      <c r="P1300" s="154"/>
      <c r="Q1300" s="154"/>
      <c r="R1300" s="154"/>
      <c r="S1300" s="154"/>
      <c r="T1300" s="154"/>
      <c r="U1300" s="154"/>
      <c r="V1300" s="154"/>
      <c r="W1300" s="154"/>
      <c r="X1300" s="154"/>
      <c r="Y1300" s="154"/>
      <c r="Z1300" s="154"/>
      <c r="AA1300" s="154"/>
    </row>
    <row r="1301" spans="1:27" ht="15">
      <c r="A1301" s="180">
        <v>45917</v>
      </c>
      <c r="B1301" s="181" t="s">
        <v>13077</v>
      </c>
      <c r="C1301" s="182" t="s">
        <v>12903</v>
      </c>
      <c r="D1301" s="182">
        <v>8469</v>
      </c>
      <c r="E1301" s="183">
        <v>3</v>
      </c>
      <c r="F1301" s="183">
        <v>485</v>
      </c>
      <c r="G1301" s="184">
        <v>1</v>
      </c>
      <c r="H1301" s="158"/>
      <c r="I1301" s="154"/>
      <c r="J1301" s="154"/>
      <c r="K1301" s="154"/>
      <c r="L1301" s="154"/>
      <c r="M1301" s="154"/>
      <c r="N1301" s="154"/>
      <c r="O1301" s="154"/>
      <c r="P1301" s="154"/>
      <c r="Q1301" s="154"/>
      <c r="R1301" s="154"/>
      <c r="S1301" s="154"/>
      <c r="T1301" s="154"/>
      <c r="U1301" s="154"/>
      <c r="V1301" s="154"/>
      <c r="W1301" s="154"/>
      <c r="X1301" s="154"/>
      <c r="Y1301" s="154"/>
      <c r="Z1301" s="154"/>
      <c r="AA1301" s="154"/>
    </row>
    <row r="1302" spans="1:27" ht="15">
      <c r="A1302" s="180">
        <v>45917</v>
      </c>
      <c r="B1302" s="181" t="s">
        <v>13075</v>
      </c>
      <c r="C1302" s="182" t="s">
        <v>12902</v>
      </c>
      <c r="D1302" s="182">
        <v>10815</v>
      </c>
      <c r="E1302" s="183">
        <v>3</v>
      </c>
      <c r="F1302" s="183">
        <v>336</v>
      </c>
      <c r="G1302" s="184">
        <v>0</v>
      </c>
      <c r="H1302" s="158"/>
      <c r="I1302" s="154"/>
      <c r="J1302" s="154"/>
      <c r="K1302" s="154"/>
      <c r="L1302" s="154"/>
      <c r="M1302" s="154"/>
      <c r="N1302" s="154"/>
      <c r="O1302" s="154"/>
      <c r="P1302" s="154"/>
      <c r="Q1302" s="154"/>
      <c r="R1302" s="154"/>
      <c r="S1302" s="154"/>
      <c r="T1302" s="154"/>
      <c r="U1302" s="154"/>
      <c r="V1302" s="154"/>
      <c r="W1302" s="154"/>
      <c r="X1302" s="154"/>
      <c r="Y1302" s="154"/>
      <c r="Z1302" s="154"/>
      <c r="AA1302" s="154"/>
    </row>
    <row r="1303" spans="1:27" ht="15">
      <c r="A1303" s="180">
        <v>45917</v>
      </c>
      <c r="B1303" s="181" t="s">
        <v>13078</v>
      </c>
      <c r="C1303" s="182" t="s">
        <v>12902</v>
      </c>
      <c r="D1303" s="182">
        <v>12671</v>
      </c>
      <c r="E1303" s="183">
        <v>6</v>
      </c>
      <c r="F1303" s="183">
        <v>351</v>
      </c>
      <c r="G1303" s="184">
        <v>2</v>
      </c>
      <c r="H1303" s="158"/>
      <c r="I1303" s="154"/>
      <c r="J1303" s="154"/>
      <c r="K1303" s="154"/>
      <c r="L1303" s="154"/>
      <c r="M1303" s="154"/>
      <c r="N1303" s="154"/>
      <c r="O1303" s="154"/>
      <c r="P1303" s="154"/>
      <c r="Q1303" s="154"/>
      <c r="R1303" s="154"/>
      <c r="S1303" s="154"/>
      <c r="T1303" s="154"/>
      <c r="U1303" s="154"/>
      <c r="V1303" s="154"/>
      <c r="W1303" s="154"/>
      <c r="X1303" s="154"/>
      <c r="Y1303" s="154"/>
      <c r="Z1303" s="154"/>
      <c r="AA1303" s="154"/>
    </row>
    <row r="1304" spans="1:27" ht="15">
      <c r="A1304" s="180">
        <v>45917</v>
      </c>
      <c r="B1304" s="181" t="s">
        <v>13079</v>
      </c>
      <c r="C1304" s="182" t="s">
        <v>12902</v>
      </c>
      <c r="D1304" s="182">
        <v>14329</v>
      </c>
      <c r="E1304" s="183">
        <v>3</v>
      </c>
      <c r="F1304" s="183">
        <v>342</v>
      </c>
      <c r="G1304" s="184">
        <v>0</v>
      </c>
      <c r="H1304" s="158"/>
      <c r="I1304" s="154"/>
      <c r="J1304" s="154"/>
      <c r="K1304" s="154"/>
      <c r="L1304" s="154"/>
      <c r="M1304" s="154"/>
      <c r="N1304" s="154"/>
      <c r="O1304" s="154"/>
      <c r="P1304" s="154"/>
      <c r="Q1304" s="154"/>
      <c r="R1304" s="154"/>
      <c r="S1304" s="154"/>
      <c r="T1304" s="154"/>
      <c r="U1304" s="154"/>
      <c r="V1304" s="154"/>
      <c r="W1304" s="154"/>
      <c r="X1304" s="154"/>
      <c r="Y1304" s="154"/>
      <c r="Z1304" s="154"/>
      <c r="AA1304" s="154"/>
    </row>
    <row r="1305" spans="1:27" ht="15">
      <c r="A1305" s="180">
        <v>45917</v>
      </c>
      <c r="B1305" s="181" t="s">
        <v>13074</v>
      </c>
      <c r="C1305" s="182"/>
      <c r="D1305" s="182">
        <v>39025</v>
      </c>
      <c r="E1305" s="183">
        <v>39</v>
      </c>
      <c r="F1305" s="183">
        <v>1553</v>
      </c>
      <c r="G1305" s="184">
        <v>0</v>
      </c>
      <c r="H1305" s="158"/>
      <c r="I1305" s="154"/>
      <c r="J1305" s="154"/>
      <c r="K1305" s="154"/>
      <c r="L1305" s="154"/>
      <c r="M1305" s="154"/>
      <c r="N1305" s="154"/>
      <c r="O1305" s="154"/>
      <c r="P1305" s="154"/>
      <c r="Q1305" s="154"/>
      <c r="R1305" s="154"/>
      <c r="S1305" s="154"/>
      <c r="T1305" s="154"/>
      <c r="U1305" s="154"/>
      <c r="V1305" s="154"/>
      <c r="W1305" s="154"/>
      <c r="X1305" s="154"/>
      <c r="Y1305" s="154"/>
      <c r="Z1305" s="154"/>
      <c r="AA1305" s="154"/>
    </row>
    <row r="1306" spans="1:27" ht="15">
      <c r="A1306" s="180">
        <v>45917</v>
      </c>
      <c r="B1306" s="181" t="s">
        <v>13069</v>
      </c>
      <c r="C1306" s="182" t="s">
        <v>12900</v>
      </c>
      <c r="D1306" s="182">
        <v>121850</v>
      </c>
      <c r="E1306" s="183">
        <v>195</v>
      </c>
      <c r="F1306" s="183">
        <v>9351</v>
      </c>
      <c r="G1306" s="184">
        <v>32</v>
      </c>
      <c r="H1306" s="158"/>
      <c r="I1306" s="154"/>
      <c r="J1306" s="154"/>
      <c r="K1306" s="154"/>
      <c r="L1306" s="154"/>
      <c r="M1306" s="154"/>
      <c r="N1306" s="154"/>
      <c r="O1306" s="154"/>
      <c r="P1306" s="154"/>
      <c r="Q1306" s="154"/>
      <c r="R1306" s="154"/>
      <c r="S1306" s="154"/>
      <c r="T1306" s="154"/>
      <c r="U1306" s="154"/>
      <c r="V1306" s="154"/>
      <c r="W1306" s="154"/>
      <c r="X1306" s="154"/>
      <c r="Y1306" s="154"/>
      <c r="Z1306" s="154"/>
      <c r="AA1306" s="154"/>
    </row>
    <row r="1307" spans="1:27" ht="15">
      <c r="A1307" s="180">
        <v>45917</v>
      </c>
      <c r="B1307" s="181" t="s">
        <v>13069</v>
      </c>
      <c r="C1307" s="182" t="s">
        <v>12900</v>
      </c>
      <c r="D1307" s="182">
        <v>4766</v>
      </c>
      <c r="E1307" s="183">
        <v>3</v>
      </c>
      <c r="F1307" s="183">
        <v>233</v>
      </c>
      <c r="G1307" s="184">
        <v>0</v>
      </c>
      <c r="H1307" s="158"/>
      <c r="I1307" s="154"/>
      <c r="J1307" s="154"/>
      <c r="K1307" s="154"/>
      <c r="L1307" s="154"/>
      <c r="M1307" s="154"/>
      <c r="N1307" s="154"/>
      <c r="O1307" s="154"/>
      <c r="P1307" s="154"/>
      <c r="Q1307" s="154"/>
      <c r="R1307" s="154"/>
      <c r="S1307" s="154"/>
      <c r="T1307" s="154"/>
      <c r="U1307" s="154"/>
      <c r="V1307" s="154"/>
      <c r="W1307" s="154"/>
      <c r="X1307" s="154"/>
      <c r="Y1307" s="154"/>
      <c r="Z1307" s="154"/>
      <c r="AA1307" s="154"/>
    </row>
    <row r="1308" spans="1:27" ht="15">
      <c r="A1308" s="180">
        <v>45917</v>
      </c>
      <c r="B1308" s="181" t="s">
        <v>13070</v>
      </c>
      <c r="C1308" s="182" t="s">
        <v>12900</v>
      </c>
      <c r="D1308" s="182">
        <v>19890</v>
      </c>
      <c r="E1308" s="183">
        <v>32</v>
      </c>
      <c r="F1308" s="183">
        <v>2004</v>
      </c>
      <c r="G1308" s="184">
        <v>2</v>
      </c>
      <c r="H1308" s="158"/>
      <c r="I1308" s="154"/>
      <c r="J1308" s="154"/>
      <c r="K1308" s="154"/>
      <c r="L1308" s="154"/>
      <c r="M1308" s="154"/>
      <c r="N1308" s="154"/>
      <c r="O1308" s="154"/>
      <c r="P1308" s="154"/>
      <c r="Q1308" s="154"/>
      <c r="R1308" s="154"/>
      <c r="S1308" s="154"/>
      <c r="T1308" s="154"/>
      <c r="U1308" s="154"/>
      <c r="V1308" s="154"/>
      <c r="W1308" s="154"/>
      <c r="X1308" s="154"/>
      <c r="Y1308" s="154"/>
      <c r="Z1308" s="154"/>
      <c r="AA1308" s="154"/>
    </row>
    <row r="1309" spans="1:27" ht="15">
      <c r="A1309" s="180">
        <v>45917</v>
      </c>
      <c r="B1309" s="181" t="s">
        <v>13080</v>
      </c>
      <c r="C1309" s="182" t="s">
        <v>12898</v>
      </c>
      <c r="D1309" s="182">
        <v>20099</v>
      </c>
      <c r="E1309" s="183">
        <v>23</v>
      </c>
      <c r="F1309" s="183">
        <v>1297</v>
      </c>
      <c r="G1309" s="184">
        <v>6</v>
      </c>
      <c r="H1309" s="158"/>
      <c r="I1309" s="154"/>
      <c r="J1309" s="154"/>
      <c r="K1309" s="154"/>
      <c r="L1309" s="154"/>
      <c r="M1309" s="154"/>
      <c r="N1309" s="154"/>
      <c r="O1309" s="154"/>
      <c r="P1309" s="154"/>
      <c r="Q1309" s="154"/>
      <c r="R1309" s="154"/>
      <c r="S1309" s="154"/>
      <c r="T1309" s="154"/>
      <c r="U1309" s="154"/>
      <c r="V1309" s="154"/>
      <c r="W1309" s="154"/>
      <c r="X1309" s="154"/>
      <c r="Y1309" s="154"/>
      <c r="Z1309" s="154"/>
      <c r="AA1309" s="154"/>
    </row>
    <row r="1310" spans="1:27" ht="15">
      <c r="A1310" s="180">
        <v>45918</v>
      </c>
      <c r="B1310" s="181" t="s">
        <v>13081</v>
      </c>
      <c r="C1310" s="182"/>
      <c r="D1310" s="182">
        <v>33456</v>
      </c>
      <c r="E1310" s="183">
        <v>22</v>
      </c>
      <c r="F1310" s="183">
        <v>1287</v>
      </c>
      <c r="G1310" s="184">
        <v>0</v>
      </c>
      <c r="H1310" s="158"/>
      <c r="I1310" s="154"/>
      <c r="J1310" s="154"/>
      <c r="K1310" s="154"/>
      <c r="L1310" s="154"/>
      <c r="M1310" s="154"/>
      <c r="N1310" s="154"/>
      <c r="O1310" s="154"/>
      <c r="P1310" s="154"/>
      <c r="Q1310" s="154"/>
      <c r="R1310" s="154"/>
      <c r="S1310" s="154"/>
      <c r="T1310" s="154"/>
      <c r="U1310" s="154"/>
      <c r="V1310" s="154"/>
      <c r="W1310" s="154"/>
      <c r="X1310" s="154"/>
      <c r="Y1310" s="154"/>
      <c r="Z1310" s="154"/>
      <c r="AA1310" s="154"/>
    </row>
    <row r="1311" spans="1:27" ht="15">
      <c r="A1311" s="180">
        <v>45918</v>
      </c>
      <c r="B1311" s="181" t="s">
        <v>13075</v>
      </c>
      <c r="C1311" s="182" t="s">
        <v>12902</v>
      </c>
      <c r="D1311" s="182">
        <v>31149</v>
      </c>
      <c r="E1311" s="183">
        <v>7</v>
      </c>
      <c r="F1311" s="183">
        <v>936</v>
      </c>
      <c r="G1311" s="184">
        <v>0</v>
      </c>
      <c r="H1311" s="158"/>
      <c r="I1311" s="154"/>
      <c r="J1311" s="154"/>
      <c r="K1311" s="154"/>
      <c r="L1311" s="154"/>
      <c r="M1311" s="154"/>
      <c r="N1311" s="154"/>
      <c r="O1311" s="154"/>
      <c r="P1311" s="154"/>
      <c r="Q1311" s="154"/>
      <c r="R1311" s="154"/>
      <c r="S1311" s="154"/>
      <c r="T1311" s="154"/>
      <c r="U1311" s="154"/>
      <c r="V1311" s="154"/>
      <c r="W1311" s="154"/>
      <c r="X1311" s="154"/>
      <c r="Y1311" s="154"/>
      <c r="Z1311" s="154"/>
      <c r="AA1311" s="154"/>
    </row>
    <row r="1312" spans="1:27" ht="15">
      <c r="A1312" s="180">
        <v>45918</v>
      </c>
      <c r="B1312" s="181" t="s">
        <v>13076</v>
      </c>
      <c r="C1312" s="182" t="s">
        <v>12903</v>
      </c>
      <c r="D1312" s="182">
        <v>17308</v>
      </c>
      <c r="E1312" s="183">
        <v>3</v>
      </c>
      <c r="F1312" s="183">
        <v>380</v>
      </c>
      <c r="G1312" s="184">
        <v>0</v>
      </c>
      <c r="H1312" s="158"/>
      <c r="I1312" s="154"/>
      <c r="J1312" s="154"/>
      <c r="K1312" s="154"/>
      <c r="L1312" s="154"/>
      <c r="M1312" s="154"/>
      <c r="N1312" s="154"/>
      <c r="O1312" s="154"/>
      <c r="P1312" s="154"/>
      <c r="Q1312" s="154"/>
      <c r="R1312" s="154"/>
      <c r="S1312" s="154"/>
      <c r="T1312" s="154"/>
      <c r="U1312" s="154"/>
      <c r="V1312" s="154"/>
      <c r="W1312" s="154"/>
      <c r="X1312" s="154"/>
      <c r="Y1312" s="154"/>
      <c r="Z1312" s="154"/>
      <c r="AA1312" s="154"/>
    </row>
    <row r="1313" spans="1:27" ht="15">
      <c r="A1313" s="180">
        <v>45918</v>
      </c>
      <c r="B1313" s="181" t="s">
        <v>13077</v>
      </c>
      <c r="C1313" s="182" t="s">
        <v>12903</v>
      </c>
      <c r="D1313" s="182">
        <v>22406</v>
      </c>
      <c r="E1313" s="183">
        <v>17</v>
      </c>
      <c r="F1313" s="183">
        <v>987</v>
      </c>
      <c r="G1313" s="184">
        <v>3</v>
      </c>
      <c r="H1313" s="158"/>
      <c r="I1313" s="154"/>
      <c r="J1313" s="154"/>
      <c r="K1313" s="154"/>
      <c r="L1313" s="154"/>
      <c r="M1313" s="154"/>
      <c r="N1313" s="154"/>
      <c r="O1313" s="154"/>
      <c r="P1313" s="154"/>
      <c r="Q1313" s="154"/>
      <c r="R1313" s="154"/>
      <c r="S1313" s="154"/>
      <c r="T1313" s="154"/>
      <c r="U1313" s="154"/>
      <c r="V1313" s="154"/>
      <c r="W1313" s="154"/>
      <c r="X1313" s="154"/>
      <c r="Y1313" s="154"/>
      <c r="Z1313" s="154"/>
      <c r="AA1313" s="154"/>
    </row>
    <row r="1314" spans="1:27" ht="15">
      <c r="A1314" s="180">
        <v>45918</v>
      </c>
      <c r="B1314" s="181" t="s">
        <v>13078</v>
      </c>
      <c r="C1314" s="182" t="s">
        <v>12902</v>
      </c>
      <c r="D1314" s="182">
        <v>35110</v>
      </c>
      <c r="E1314" s="183">
        <v>15</v>
      </c>
      <c r="F1314" s="183">
        <v>985</v>
      </c>
      <c r="G1314" s="184">
        <v>1</v>
      </c>
      <c r="H1314" s="158"/>
      <c r="I1314" s="154"/>
      <c r="J1314" s="154"/>
      <c r="K1314" s="154"/>
      <c r="L1314" s="154"/>
      <c r="M1314" s="154"/>
      <c r="N1314" s="154"/>
      <c r="O1314" s="154"/>
      <c r="P1314" s="154"/>
      <c r="Q1314" s="154"/>
      <c r="R1314" s="154"/>
      <c r="S1314" s="154"/>
      <c r="T1314" s="154"/>
      <c r="U1314" s="154"/>
      <c r="V1314" s="154"/>
      <c r="W1314" s="154"/>
      <c r="X1314" s="154"/>
      <c r="Y1314" s="154"/>
      <c r="Z1314" s="154"/>
      <c r="AA1314" s="154"/>
    </row>
    <row r="1315" spans="1:27" ht="15">
      <c r="A1315" s="180">
        <v>45918</v>
      </c>
      <c r="B1315" s="181" t="s">
        <v>13074</v>
      </c>
      <c r="C1315" s="182"/>
      <c r="D1315" s="182">
        <v>111768</v>
      </c>
      <c r="E1315" s="183">
        <v>104</v>
      </c>
      <c r="F1315" s="183">
        <v>3245</v>
      </c>
      <c r="G1315" s="184">
        <v>0</v>
      </c>
      <c r="H1315" s="158"/>
      <c r="I1315" s="154"/>
      <c r="J1315" s="154"/>
      <c r="K1315" s="154"/>
      <c r="L1315" s="154"/>
      <c r="M1315" s="154"/>
      <c r="N1315" s="154"/>
      <c r="O1315" s="154"/>
      <c r="P1315" s="154"/>
      <c r="Q1315" s="154"/>
      <c r="R1315" s="154"/>
      <c r="S1315" s="154"/>
      <c r="T1315" s="154"/>
      <c r="U1315" s="154"/>
      <c r="V1315" s="154"/>
      <c r="W1315" s="154"/>
      <c r="X1315" s="154"/>
      <c r="Y1315" s="154"/>
      <c r="Z1315" s="154"/>
      <c r="AA1315" s="154"/>
    </row>
    <row r="1316" spans="1:27" ht="15">
      <c r="A1316" s="180">
        <v>45918</v>
      </c>
      <c r="B1316" s="181" t="s">
        <v>13071</v>
      </c>
      <c r="C1316" s="182" t="s">
        <v>12901</v>
      </c>
      <c r="D1316" s="182">
        <v>50297</v>
      </c>
      <c r="E1316" s="183">
        <v>7</v>
      </c>
      <c r="F1316" s="183">
        <v>690</v>
      </c>
      <c r="G1316" s="184">
        <v>0</v>
      </c>
      <c r="H1316" s="158"/>
      <c r="I1316" s="154"/>
      <c r="J1316" s="154"/>
      <c r="K1316" s="154"/>
      <c r="L1316" s="154"/>
      <c r="M1316" s="154"/>
      <c r="N1316" s="154"/>
      <c r="O1316" s="154"/>
      <c r="P1316" s="154"/>
      <c r="Q1316" s="154"/>
      <c r="R1316" s="154"/>
      <c r="S1316" s="154"/>
      <c r="T1316" s="154"/>
      <c r="U1316" s="154"/>
      <c r="V1316" s="154"/>
      <c r="W1316" s="154"/>
      <c r="X1316" s="154"/>
      <c r="Y1316" s="154"/>
      <c r="Z1316" s="154"/>
      <c r="AA1316" s="154"/>
    </row>
    <row r="1317" spans="1:27" ht="15">
      <c r="A1317" s="180">
        <v>45918</v>
      </c>
      <c r="B1317" s="181" t="s">
        <v>13069</v>
      </c>
      <c r="C1317" s="182" t="s">
        <v>12900</v>
      </c>
      <c r="D1317" s="182">
        <v>24625</v>
      </c>
      <c r="E1317" s="183">
        <v>7</v>
      </c>
      <c r="F1317" s="183">
        <v>607</v>
      </c>
      <c r="G1317" s="184">
        <v>0</v>
      </c>
      <c r="H1317" s="158"/>
      <c r="I1317" s="154"/>
      <c r="J1317" s="154"/>
      <c r="K1317" s="154"/>
      <c r="L1317" s="154"/>
      <c r="M1317" s="154"/>
      <c r="N1317" s="154"/>
      <c r="O1317" s="154"/>
      <c r="P1317" s="154"/>
      <c r="Q1317" s="154"/>
      <c r="R1317" s="154"/>
      <c r="S1317" s="154"/>
      <c r="T1317" s="154"/>
      <c r="U1317" s="154"/>
      <c r="V1317" s="154"/>
      <c r="W1317" s="154"/>
      <c r="X1317" s="154"/>
      <c r="Y1317" s="154"/>
      <c r="Z1317" s="154"/>
      <c r="AA1317" s="154"/>
    </row>
    <row r="1318" spans="1:27" ht="15">
      <c r="A1318" s="180">
        <v>45918</v>
      </c>
      <c r="B1318" s="181" t="s">
        <v>13066</v>
      </c>
      <c r="C1318" s="182" t="s">
        <v>12899</v>
      </c>
      <c r="D1318" s="182">
        <v>89370</v>
      </c>
      <c r="E1318" s="183">
        <v>27</v>
      </c>
      <c r="F1318" s="183">
        <v>1837</v>
      </c>
      <c r="G1318" s="184">
        <v>1</v>
      </c>
      <c r="H1318" s="158"/>
      <c r="I1318" s="154"/>
      <c r="J1318" s="154"/>
      <c r="K1318" s="154"/>
      <c r="L1318" s="154"/>
      <c r="M1318" s="154"/>
      <c r="N1318" s="154"/>
      <c r="O1318" s="154"/>
      <c r="P1318" s="154"/>
      <c r="Q1318" s="154"/>
      <c r="R1318" s="154"/>
      <c r="S1318" s="154"/>
      <c r="T1318" s="154"/>
      <c r="U1318" s="154"/>
      <c r="V1318" s="154"/>
      <c r="W1318" s="154"/>
      <c r="X1318" s="154"/>
      <c r="Y1318" s="154"/>
      <c r="Z1318" s="154"/>
      <c r="AA1318" s="154"/>
    </row>
    <row r="1319" spans="1:27" ht="15">
      <c r="A1319" s="180">
        <v>45918</v>
      </c>
      <c r="B1319" s="181" t="s">
        <v>13080</v>
      </c>
      <c r="C1319" s="182" t="s">
        <v>12898</v>
      </c>
      <c r="D1319" s="182">
        <v>23041</v>
      </c>
      <c r="E1319" s="183">
        <v>16</v>
      </c>
      <c r="F1319" s="183">
        <v>820</v>
      </c>
      <c r="G1319" s="184">
        <v>0</v>
      </c>
      <c r="H1319" s="158"/>
      <c r="I1319" s="154"/>
      <c r="J1319" s="154"/>
      <c r="K1319" s="154"/>
      <c r="L1319" s="154"/>
      <c r="M1319" s="154"/>
      <c r="N1319" s="154"/>
      <c r="O1319" s="154"/>
      <c r="P1319" s="154"/>
      <c r="Q1319" s="154"/>
      <c r="R1319" s="154"/>
      <c r="S1319" s="154"/>
      <c r="T1319" s="154"/>
      <c r="U1319" s="154"/>
      <c r="V1319" s="154"/>
      <c r="W1319" s="154"/>
      <c r="X1319" s="154"/>
      <c r="Y1319" s="154"/>
      <c r="Z1319" s="154"/>
      <c r="AA1319" s="154"/>
    </row>
    <row r="1320" spans="1:27" ht="15">
      <c r="A1320" s="180">
        <v>45919</v>
      </c>
      <c r="B1320" s="181" t="s">
        <v>13081</v>
      </c>
      <c r="C1320" s="182"/>
      <c r="D1320" s="182">
        <v>76469</v>
      </c>
      <c r="E1320" s="183">
        <v>38</v>
      </c>
      <c r="F1320" s="183">
        <v>2174</v>
      </c>
      <c r="G1320" s="184">
        <v>0</v>
      </c>
      <c r="H1320" s="158"/>
      <c r="I1320" s="154"/>
      <c r="J1320" s="154"/>
      <c r="K1320" s="154"/>
      <c r="L1320" s="154"/>
      <c r="M1320" s="154"/>
      <c r="N1320" s="154"/>
      <c r="O1320" s="154"/>
      <c r="P1320" s="154"/>
      <c r="Q1320" s="154"/>
      <c r="R1320" s="154"/>
      <c r="S1320" s="154"/>
      <c r="T1320" s="154"/>
      <c r="U1320" s="154"/>
      <c r="V1320" s="154"/>
      <c r="W1320" s="154"/>
      <c r="X1320" s="154"/>
      <c r="Y1320" s="154"/>
      <c r="Z1320" s="154"/>
      <c r="AA1320" s="154"/>
    </row>
    <row r="1321" spans="1:27" ht="15">
      <c r="A1321" s="180">
        <v>45919</v>
      </c>
      <c r="B1321" s="181" t="s">
        <v>13074</v>
      </c>
      <c r="C1321" s="182"/>
      <c r="D1321" s="182">
        <v>38092</v>
      </c>
      <c r="E1321" s="183">
        <v>20</v>
      </c>
      <c r="F1321" s="183">
        <v>1146</v>
      </c>
      <c r="G1321" s="184">
        <v>0</v>
      </c>
      <c r="H1321" s="158"/>
      <c r="I1321" s="154"/>
      <c r="J1321" s="154"/>
      <c r="K1321" s="154"/>
      <c r="L1321" s="154"/>
      <c r="M1321" s="154"/>
      <c r="N1321" s="154"/>
      <c r="O1321" s="154"/>
      <c r="P1321" s="154"/>
      <c r="Q1321" s="154"/>
      <c r="R1321" s="154"/>
      <c r="S1321" s="154"/>
      <c r="T1321" s="154"/>
      <c r="U1321" s="154"/>
      <c r="V1321" s="154"/>
      <c r="W1321" s="154"/>
      <c r="X1321" s="154"/>
      <c r="Y1321" s="154"/>
      <c r="Z1321" s="154"/>
      <c r="AA1321" s="154"/>
    </row>
    <row r="1322" spans="1:27" ht="15">
      <c r="A1322" s="180">
        <v>45920</v>
      </c>
      <c r="B1322" s="181" t="s">
        <v>13081</v>
      </c>
      <c r="C1322" s="182"/>
      <c r="D1322" s="182">
        <v>69335</v>
      </c>
      <c r="E1322" s="183">
        <v>53</v>
      </c>
      <c r="F1322" s="183">
        <v>2623</v>
      </c>
      <c r="G1322" s="184">
        <v>0</v>
      </c>
      <c r="H1322" s="158"/>
      <c r="I1322" s="154"/>
      <c r="J1322" s="154"/>
      <c r="K1322" s="154"/>
      <c r="L1322" s="154"/>
      <c r="M1322" s="154"/>
      <c r="N1322" s="154"/>
      <c r="O1322" s="154"/>
      <c r="P1322" s="154"/>
      <c r="Q1322" s="154"/>
      <c r="R1322" s="154"/>
      <c r="S1322" s="154"/>
      <c r="T1322" s="154"/>
      <c r="U1322" s="154"/>
      <c r="V1322" s="154"/>
      <c r="W1322" s="154"/>
      <c r="X1322" s="154"/>
      <c r="Y1322" s="154"/>
      <c r="Z1322" s="154"/>
      <c r="AA1322" s="154"/>
    </row>
    <row r="1323" spans="1:27" ht="15">
      <c r="A1323" s="180">
        <v>45920</v>
      </c>
      <c r="B1323" s="181" t="s">
        <v>13074</v>
      </c>
      <c r="C1323" s="182"/>
      <c r="D1323" s="182">
        <v>38476</v>
      </c>
      <c r="E1323" s="183">
        <v>33</v>
      </c>
      <c r="F1323" s="183">
        <v>713</v>
      </c>
      <c r="G1323" s="184">
        <v>0</v>
      </c>
      <c r="H1323" s="158"/>
      <c r="I1323" s="154"/>
      <c r="J1323" s="154"/>
      <c r="K1323" s="154"/>
      <c r="L1323" s="154"/>
      <c r="M1323" s="154"/>
      <c r="N1323" s="154"/>
      <c r="O1323" s="154"/>
      <c r="P1323" s="154"/>
      <c r="Q1323" s="154"/>
      <c r="R1323" s="154"/>
      <c r="S1323" s="154"/>
      <c r="T1323" s="154"/>
      <c r="U1323" s="154"/>
      <c r="V1323" s="154"/>
      <c r="W1323" s="154"/>
      <c r="X1323" s="154"/>
      <c r="Y1323" s="154"/>
      <c r="Z1323" s="154"/>
      <c r="AA1323" s="154"/>
    </row>
    <row r="1324" spans="1:27" ht="15">
      <c r="A1324" s="180">
        <v>45922</v>
      </c>
      <c r="B1324" s="181" t="s">
        <v>13080</v>
      </c>
      <c r="C1324" s="182" t="s">
        <v>12898</v>
      </c>
      <c r="D1324" s="182">
        <v>24550</v>
      </c>
      <c r="E1324" s="183">
        <v>41</v>
      </c>
      <c r="F1324" s="183">
        <v>2157</v>
      </c>
      <c r="G1324" s="184">
        <v>4</v>
      </c>
      <c r="H1324" s="158"/>
      <c r="I1324" s="154"/>
      <c r="J1324" s="154"/>
      <c r="K1324" s="154"/>
      <c r="L1324" s="154"/>
      <c r="M1324" s="154"/>
      <c r="N1324" s="154"/>
      <c r="O1324" s="154"/>
      <c r="P1324" s="154"/>
      <c r="Q1324" s="154"/>
      <c r="R1324" s="154"/>
      <c r="S1324" s="154"/>
      <c r="T1324" s="154"/>
      <c r="U1324" s="154"/>
      <c r="V1324" s="154"/>
      <c r="W1324" s="154"/>
      <c r="X1324" s="154"/>
      <c r="Y1324" s="154"/>
      <c r="Z1324" s="154"/>
      <c r="AA1324" s="154"/>
    </row>
    <row r="1325" spans="1:27" ht="15">
      <c r="A1325" s="180">
        <v>45923</v>
      </c>
      <c r="B1325" s="181" t="s">
        <v>13069</v>
      </c>
      <c r="C1325" s="182" t="s">
        <v>12900</v>
      </c>
      <c r="D1325" s="182">
        <v>21572</v>
      </c>
      <c r="E1325" s="183">
        <v>33</v>
      </c>
      <c r="F1325" s="183">
        <v>1624</v>
      </c>
      <c r="G1325" s="184">
        <v>2</v>
      </c>
      <c r="H1325" s="158"/>
      <c r="I1325" s="154"/>
      <c r="J1325" s="154"/>
      <c r="K1325" s="154"/>
      <c r="L1325" s="154"/>
      <c r="M1325" s="154"/>
      <c r="N1325" s="154"/>
      <c r="O1325" s="154"/>
      <c r="P1325" s="154"/>
      <c r="Q1325" s="154"/>
      <c r="R1325" s="154"/>
      <c r="S1325" s="154"/>
      <c r="T1325" s="154"/>
      <c r="U1325" s="154"/>
      <c r="V1325" s="154"/>
      <c r="W1325" s="154"/>
      <c r="X1325" s="154"/>
      <c r="Y1325" s="154"/>
      <c r="Z1325" s="154"/>
      <c r="AA1325" s="154"/>
    </row>
    <row r="1326" spans="1:27" ht="15">
      <c r="A1326" s="180">
        <v>45923</v>
      </c>
      <c r="B1326" s="181" t="s">
        <v>13080</v>
      </c>
      <c r="C1326" s="182" t="s">
        <v>12898</v>
      </c>
      <c r="D1326" s="182">
        <v>23916</v>
      </c>
      <c r="E1326" s="183">
        <v>16</v>
      </c>
      <c r="F1326" s="183">
        <v>1241</v>
      </c>
      <c r="G1326" s="184">
        <v>2</v>
      </c>
      <c r="H1326" s="158"/>
      <c r="I1326" s="154"/>
      <c r="J1326" s="154"/>
      <c r="K1326" s="154"/>
      <c r="L1326" s="154"/>
      <c r="M1326" s="154"/>
      <c r="N1326" s="154"/>
      <c r="O1326" s="154"/>
      <c r="P1326" s="154"/>
      <c r="Q1326" s="154"/>
      <c r="R1326" s="154"/>
      <c r="S1326" s="154"/>
      <c r="T1326" s="154"/>
      <c r="U1326" s="154"/>
      <c r="V1326" s="154"/>
      <c r="W1326" s="154"/>
      <c r="X1326" s="154"/>
      <c r="Y1326" s="154"/>
      <c r="Z1326" s="154"/>
      <c r="AA1326" s="154"/>
    </row>
    <row r="1327" spans="1:27" ht="15">
      <c r="A1327" s="180">
        <v>45924</v>
      </c>
      <c r="B1327" s="181" t="s">
        <v>13082</v>
      </c>
      <c r="C1327" s="182" t="s">
        <v>12900</v>
      </c>
      <c r="D1327" s="182">
        <v>21556</v>
      </c>
      <c r="E1327" s="183">
        <v>19</v>
      </c>
      <c r="F1327" s="183">
        <v>825</v>
      </c>
      <c r="G1327" s="184">
        <v>3</v>
      </c>
      <c r="H1327" s="158"/>
      <c r="I1327" s="154"/>
      <c r="J1327" s="154"/>
      <c r="K1327" s="154"/>
      <c r="L1327" s="154"/>
      <c r="M1327" s="154"/>
      <c r="N1327" s="154"/>
      <c r="O1327" s="154"/>
      <c r="P1327" s="154"/>
      <c r="Q1327" s="154"/>
      <c r="R1327" s="154"/>
      <c r="S1327" s="154"/>
      <c r="T1327" s="154"/>
      <c r="U1327" s="154"/>
      <c r="V1327" s="154"/>
      <c r="W1327" s="154"/>
      <c r="X1327" s="154"/>
      <c r="Y1327" s="154"/>
      <c r="Z1327" s="154"/>
      <c r="AA1327" s="154"/>
    </row>
    <row r="1328" spans="1:27" ht="15">
      <c r="A1328" s="180">
        <v>45924</v>
      </c>
      <c r="B1328" s="181" t="s">
        <v>13069</v>
      </c>
      <c r="C1328" s="182" t="s">
        <v>12900</v>
      </c>
      <c r="D1328" s="182">
        <v>22773</v>
      </c>
      <c r="E1328" s="183">
        <v>34</v>
      </c>
      <c r="F1328" s="183">
        <v>2367</v>
      </c>
      <c r="G1328" s="184">
        <v>3</v>
      </c>
      <c r="H1328" s="158"/>
      <c r="I1328" s="154"/>
      <c r="J1328" s="154"/>
      <c r="K1328" s="154"/>
      <c r="L1328" s="154"/>
      <c r="M1328" s="154"/>
      <c r="N1328" s="154"/>
      <c r="O1328" s="154"/>
      <c r="P1328" s="154"/>
      <c r="Q1328" s="154"/>
      <c r="R1328" s="154"/>
      <c r="S1328" s="154"/>
      <c r="T1328" s="154"/>
      <c r="U1328" s="154"/>
      <c r="V1328" s="154"/>
      <c r="W1328" s="154"/>
      <c r="X1328" s="154"/>
      <c r="Y1328" s="154"/>
      <c r="Z1328" s="154"/>
      <c r="AA1328" s="154"/>
    </row>
    <row r="1329" spans="1:27" ht="15">
      <c r="A1329" s="180">
        <v>45925</v>
      </c>
      <c r="B1329" s="181" t="s">
        <v>13065</v>
      </c>
      <c r="C1329" s="182" t="s">
        <v>12898</v>
      </c>
      <c r="D1329" s="182">
        <v>24873</v>
      </c>
      <c r="E1329" s="183">
        <v>32</v>
      </c>
      <c r="F1329" s="183">
        <v>1789</v>
      </c>
      <c r="G1329" s="184">
        <v>2</v>
      </c>
      <c r="H1329" s="158"/>
      <c r="I1329" s="154"/>
      <c r="J1329" s="154"/>
      <c r="K1329" s="154"/>
      <c r="L1329" s="154"/>
      <c r="M1329" s="154"/>
      <c r="N1329" s="154"/>
      <c r="O1329" s="154"/>
      <c r="P1329" s="154"/>
      <c r="Q1329" s="154"/>
      <c r="R1329" s="154"/>
      <c r="S1329" s="154"/>
      <c r="T1329" s="154"/>
      <c r="U1329" s="154"/>
      <c r="V1329" s="154"/>
      <c r="W1329" s="154"/>
      <c r="X1329" s="154"/>
      <c r="Y1329" s="154"/>
      <c r="Z1329" s="154"/>
      <c r="AA1329" s="154"/>
    </row>
    <row r="1330" spans="1:27" ht="15">
      <c r="A1330" s="180">
        <v>45931</v>
      </c>
      <c r="B1330" s="181" t="s">
        <v>13083</v>
      </c>
      <c r="C1330" s="182" t="s">
        <v>12904</v>
      </c>
      <c r="D1330" s="182">
        <v>32060</v>
      </c>
      <c r="E1330" s="183">
        <v>17</v>
      </c>
      <c r="F1330" s="183">
        <v>860</v>
      </c>
      <c r="G1330" s="184">
        <v>4</v>
      </c>
      <c r="H1330" s="158"/>
      <c r="I1330" s="154"/>
      <c r="J1330" s="154"/>
      <c r="K1330" s="154"/>
      <c r="L1330" s="154"/>
      <c r="M1330" s="154"/>
      <c r="N1330" s="154"/>
      <c r="O1330" s="154"/>
      <c r="P1330" s="154"/>
      <c r="Q1330" s="154"/>
      <c r="R1330" s="154"/>
      <c r="S1330" s="154"/>
      <c r="T1330" s="154"/>
      <c r="U1330" s="154"/>
      <c r="V1330" s="154"/>
      <c r="W1330" s="154"/>
      <c r="X1330" s="154"/>
      <c r="Y1330" s="154"/>
      <c r="Z1330" s="154"/>
      <c r="AA1330" s="154"/>
    </row>
    <row r="1331" spans="1:27" ht="15">
      <c r="A1331" s="180">
        <v>45931</v>
      </c>
      <c r="B1331" s="181" t="s">
        <v>13084</v>
      </c>
      <c r="C1331" s="182" t="s">
        <v>12904</v>
      </c>
      <c r="D1331" s="182">
        <v>7710</v>
      </c>
      <c r="E1331" s="183">
        <v>3</v>
      </c>
      <c r="F1331" s="183">
        <v>215</v>
      </c>
      <c r="G1331" s="184">
        <v>1</v>
      </c>
      <c r="H1331" s="158"/>
      <c r="I1331" s="154"/>
      <c r="J1331" s="154"/>
      <c r="K1331" s="154"/>
      <c r="L1331" s="154"/>
      <c r="M1331" s="154"/>
      <c r="N1331" s="154"/>
      <c r="O1331" s="154"/>
      <c r="P1331" s="154"/>
      <c r="Q1331" s="154"/>
      <c r="R1331" s="154"/>
      <c r="S1331" s="154"/>
      <c r="T1331" s="154"/>
      <c r="U1331" s="154"/>
      <c r="V1331" s="154"/>
      <c r="W1331" s="154"/>
      <c r="X1331" s="154"/>
      <c r="Y1331" s="154"/>
      <c r="Z1331" s="154"/>
      <c r="AA1331" s="154"/>
    </row>
    <row r="1332" spans="1:27" ht="15">
      <c r="A1332" s="180">
        <v>45931</v>
      </c>
      <c r="B1332" s="181" t="s">
        <v>13085</v>
      </c>
      <c r="C1332" s="182" t="s">
        <v>12904</v>
      </c>
      <c r="D1332" s="182">
        <v>13373</v>
      </c>
      <c r="E1332" s="183">
        <v>5</v>
      </c>
      <c r="F1332" s="183">
        <v>364</v>
      </c>
      <c r="G1332" s="184">
        <v>2</v>
      </c>
      <c r="H1332" s="158"/>
      <c r="I1332" s="154"/>
      <c r="J1332" s="154"/>
      <c r="K1332" s="154"/>
      <c r="L1332" s="154"/>
      <c r="M1332" s="154"/>
      <c r="N1332" s="154"/>
      <c r="O1332" s="154"/>
      <c r="P1332" s="154"/>
      <c r="Q1332" s="154"/>
      <c r="R1332" s="154"/>
      <c r="S1332" s="154"/>
      <c r="T1332" s="154"/>
      <c r="U1332" s="154"/>
      <c r="V1332" s="154"/>
      <c r="W1332" s="154"/>
      <c r="X1332" s="154"/>
      <c r="Y1332" s="154"/>
      <c r="Z1332" s="154"/>
      <c r="AA1332" s="154"/>
    </row>
    <row r="1333" spans="1:27" ht="15">
      <c r="A1333" s="180">
        <v>45932</v>
      </c>
      <c r="B1333" s="181" t="s">
        <v>13086</v>
      </c>
      <c r="C1333" s="182"/>
      <c r="D1333" s="182">
        <v>6459</v>
      </c>
      <c r="E1333" s="183">
        <v>5</v>
      </c>
      <c r="F1333" s="183">
        <v>160</v>
      </c>
      <c r="G1333" s="184">
        <v>1</v>
      </c>
      <c r="H1333" s="158"/>
      <c r="I1333" s="154"/>
      <c r="J1333" s="154"/>
      <c r="K1333" s="154"/>
      <c r="L1333" s="154"/>
      <c r="M1333" s="154"/>
      <c r="N1333" s="154"/>
      <c r="O1333" s="154"/>
      <c r="P1333" s="154"/>
      <c r="Q1333" s="154"/>
      <c r="R1333" s="154"/>
      <c r="S1333" s="154"/>
      <c r="T1333" s="154"/>
      <c r="U1333" s="154"/>
      <c r="V1333" s="154"/>
      <c r="W1333" s="154"/>
      <c r="X1333" s="154"/>
      <c r="Y1333" s="154"/>
      <c r="Z1333" s="154"/>
      <c r="AA1333" s="154"/>
    </row>
    <row r="1334" spans="1:27" ht="15">
      <c r="A1334" s="180">
        <v>45932</v>
      </c>
      <c r="B1334" s="181" t="s">
        <v>13087</v>
      </c>
      <c r="C1334" s="182"/>
      <c r="D1334" s="182">
        <v>32994</v>
      </c>
      <c r="E1334" s="183">
        <v>51</v>
      </c>
      <c r="F1334" s="183">
        <v>1000</v>
      </c>
      <c r="G1334" s="184">
        <v>7</v>
      </c>
      <c r="H1334" s="158"/>
      <c r="I1334" s="154"/>
      <c r="J1334" s="154"/>
      <c r="K1334" s="154"/>
      <c r="L1334" s="154"/>
      <c r="M1334" s="154"/>
      <c r="N1334" s="154"/>
      <c r="O1334" s="154"/>
      <c r="P1334" s="154"/>
      <c r="Q1334" s="154"/>
      <c r="R1334" s="154"/>
      <c r="S1334" s="154"/>
      <c r="T1334" s="154"/>
      <c r="U1334" s="154"/>
      <c r="V1334" s="154"/>
      <c r="W1334" s="154"/>
      <c r="X1334" s="154"/>
      <c r="Y1334" s="154"/>
      <c r="Z1334" s="154"/>
      <c r="AA1334" s="154"/>
    </row>
    <row r="1335" spans="1:27" ht="15">
      <c r="A1335" s="180">
        <v>45932</v>
      </c>
      <c r="B1335" s="181" t="s">
        <v>13088</v>
      </c>
      <c r="C1335" s="182"/>
      <c r="D1335" s="182">
        <v>8026</v>
      </c>
      <c r="E1335" s="183">
        <v>3</v>
      </c>
      <c r="F1335" s="183">
        <v>153</v>
      </c>
      <c r="G1335" s="184">
        <v>1</v>
      </c>
      <c r="H1335" s="158"/>
      <c r="I1335" s="154"/>
      <c r="J1335" s="154"/>
      <c r="K1335" s="154"/>
      <c r="L1335" s="154"/>
      <c r="M1335" s="154"/>
      <c r="N1335" s="154"/>
      <c r="O1335" s="154"/>
      <c r="P1335" s="154"/>
      <c r="Q1335" s="154"/>
      <c r="R1335" s="154"/>
      <c r="S1335" s="154"/>
      <c r="T1335" s="154"/>
      <c r="U1335" s="154"/>
      <c r="V1335" s="154"/>
      <c r="W1335" s="154"/>
      <c r="X1335" s="154"/>
      <c r="Y1335" s="154"/>
      <c r="Z1335" s="154"/>
      <c r="AA1335" s="154"/>
    </row>
    <row r="1336" spans="1:27" ht="15">
      <c r="A1336" s="180">
        <v>45933</v>
      </c>
      <c r="B1336" s="181" t="s">
        <v>13086</v>
      </c>
      <c r="C1336" s="182"/>
      <c r="D1336" s="182">
        <v>98291</v>
      </c>
      <c r="E1336" s="183">
        <v>134</v>
      </c>
      <c r="F1336" s="183">
        <v>7821</v>
      </c>
      <c r="G1336" s="184">
        <v>20</v>
      </c>
      <c r="H1336" s="158"/>
      <c r="I1336" s="154"/>
      <c r="J1336" s="154"/>
      <c r="K1336" s="154"/>
      <c r="L1336" s="154"/>
      <c r="M1336" s="154"/>
      <c r="N1336" s="154"/>
      <c r="O1336" s="154"/>
      <c r="P1336" s="154"/>
      <c r="Q1336" s="154"/>
      <c r="R1336" s="154"/>
      <c r="S1336" s="154"/>
      <c r="T1336" s="154"/>
      <c r="U1336" s="154"/>
      <c r="V1336" s="154"/>
      <c r="W1336" s="154"/>
      <c r="X1336" s="154"/>
      <c r="Y1336" s="154"/>
      <c r="Z1336" s="154"/>
      <c r="AA1336" s="154"/>
    </row>
    <row r="1337" spans="1:27" ht="15">
      <c r="A1337" s="180">
        <v>45933</v>
      </c>
      <c r="B1337" s="181" t="s">
        <v>13087</v>
      </c>
      <c r="C1337" s="182"/>
      <c r="D1337" s="182">
        <v>104092</v>
      </c>
      <c r="E1337" s="183">
        <v>132</v>
      </c>
      <c r="F1337" s="183">
        <v>4656</v>
      </c>
      <c r="G1337" s="184">
        <v>35</v>
      </c>
      <c r="H1337" s="158"/>
      <c r="I1337" s="154"/>
      <c r="J1337" s="154"/>
      <c r="K1337" s="154"/>
      <c r="L1337" s="154"/>
      <c r="M1337" s="154"/>
      <c r="N1337" s="154"/>
      <c r="O1337" s="154"/>
      <c r="P1337" s="154"/>
      <c r="Q1337" s="154"/>
      <c r="R1337" s="154"/>
      <c r="S1337" s="154"/>
      <c r="T1337" s="154"/>
      <c r="U1337" s="154"/>
      <c r="V1337" s="154"/>
      <c r="W1337" s="154"/>
      <c r="X1337" s="154"/>
      <c r="Y1337" s="154"/>
      <c r="Z1337" s="154"/>
      <c r="AA1337" s="154"/>
    </row>
    <row r="1338" spans="1:27" ht="15">
      <c r="A1338" s="180">
        <v>45933</v>
      </c>
      <c r="B1338" s="181" t="s">
        <v>13088</v>
      </c>
      <c r="C1338" s="182"/>
      <c r="D1338" s="182">
        <v>89497</v>
      </c>
      <c r="E1338" s="183">
        <v>55</v>
      </c>
      <c r="F1338" s="183">
        <v>2652</v>
      </c>
      <c r="G1338" s="184">
        <v>16</v>
      </c>
      <c r="H1338" s="158"/>
      <c r="I1338" s="154"/>
      <c r="J1338" s="154"/>
      <c r="K1338" s="154"/>
      <c r="L1338" s="154"/>
      <c r="M1338" s="154"/>
      <c r="N1338" s="154"/>
      <c r="O1338" s="154"/>
      <c r="P1338" s="154"/>
      <c r="Q1338" s="154"/>
      <c r="R1338" s="154"/>
      <c r="S1338" s="154"/>
      <c r="T1338" s="154"/>
      <c r="U1338" s="154"/>
      <c r="V1338" s="154"/>
      <c r="W1338" s="154"/>
      <c r="X1338" s="154"/>
      <c r="Y1338" s="154"/>
      <c r="Z1338" s="154"/>
      <c r="AA1338" s="154"/>
    </row>
    <row r="1339" spans="1:27" ht="15">
      <c r="A1339" s="180">
        <v>45934</v>
      </c>
      <c r="B1339" s="181" t="s">
        <v>13086</v>
      </c>
      <c r="C1339" s="182"/>
      <c r="D1339" s="182">
        <v>9654</v>
      </c>
      <c r="E1339" s="183">
        <v>4</v>
      </c>
      <c r="F1339" s="183">
        <v>335</v>
      </c>
      <c r="G1339" s="184">
        <v>1</v>
      </c>
      <c r="H1339" s="158"/>
      <c r="I1339" s="154"/>
      <c r="J1339" s="154"/>
      <c r="K1339" s="154"/>
      <c r="L1339" s="154"/>
      <c r="M1339" s="154"/>
      <c r="N1339" s="154"/>
      <c r="O1339" s="154"/>
      <c r="P1339" s="154"/>
      <c r="Q1339" s="154"/>
      <c r="R1339" s="154"/>
      <c r="S1339" s="154"/>
      <c r="T1339" s="154"/>
      <c r="U1339" s="154"/>
      <c r="V1339" s="154"/>
      <c r="W1339" s="154"/>
      <c r="X1339" s="154"/>
      <c r="Y1339" s="154"/>
      <c r="Z1339" s="154"/>
      <c r="AA1339" s="154"/>
    </row>
    <row r="1340" spans="1:27" ht="15">
      <c r="A1340" s="180">
        <v>45934</v>
      </c>
      <c r="B1340" s="181" t="s">
        <v>13087</v>
      </c>
      <c r="C1340" s="182"/>
      <c r="D1340" s="182">
        <v>121054</v>
      </c>
      <c r="E1340" s="183">
        <v>148</v>
      </c>
      <c r="F1340" s="183">
        <v>6296</v>
      </c>
      <c r="G1340" s="184">
        <v>27</v>
      </c>
      <c r="H1340" s="158"/>
      <c r="I1340" s="154"/>
      <c r="J1340" s="154"/>
      <c r="K1340" s="154"/>
      <c r="L1340" s="154"/>
      <c r="M1340" s="154"/>
      <c r="N1340" s="154"/>
      <c r="O1340" s="154"/>
      <c r="P1340" s="154"/>
      <c r="Q1340" s="154"/>
      <c r="R1340" s="154"/>
      <c r="S1340" s="154"/>
      <c r="T1340" s="154"/>
      <c r="U1340" s="154"/>
      <c r="V1340" s="154"/>
      <c r="W1340" s="154"/>
      <c r="X1340" s="154"/>
      <c r="Y1340" s="154"/>
      <c r="Z1340" s="154"/>
      <c r="AA1340" s="154"/>
    </row>
    <row r="1341" spans="1:27" ht="15">
      <c r="A1341" s="180">
        <v>45934</v>
      </c>
      <c r="B1341" s="181" t="s">
        <v>13088</v>
      </c>
      <c r="C1341" s="182"/>
      <c r="D1341" s="182">
        <v>105838</v>
      </c>
      <c r="E1341" s="183">
        <v>102</v>
      </c>
      <c r="F1341" s="183">
        <v>6410</v>
      </c>
      <c r="G1341" s="184">
        <v>23</v>
      </c>
      <c r="H1341" s="158"/>
      <c r="I1341" s="154"/>
      <c r="J1341" s="154"/>
      <c r="K1341" s="154"/>
      <c r="L1341" s="154"/>
      <c r="M1341" s="154"/>
      <c r="N1341" s="154"/>
      <c r="O1341" s="154"/>
      <c r="P1341" s="154"/>
      <c r="Q1341" s="154"/>
      <c r="R1341" s="154"/>
      <c r="S1341" s="154"/>
      <c r="T1341" s="154"/>
      <c r="U1341" s="154"/>
      <c r="V1341" s="154"/>
      <c r="W1341" s="154"/>
      <c r="X1341" s="154"/>
      <c r="Y1341" s="154"/>
      <c r="Z1341" s="154"/>
      <c r="AA1341" s="154"/>
    </row>
    <row r="1342" spans="1:27" ht="15">
      <c r="A1342" s="180">
        <v>45936</v>
      </c>
      <c r="B1342" s="181" t="s">
        <v>13086</v>
      </c>
      <c r="C1342" s="182"/>
      <c r="D1342" s="182">
        <v>10652</v>
      </c>
      <c r="E1342" s="183">
        <v>21</v>
      </c>
      <c r="F1342" s="183">
        <v>700</v>
      </c>
      <c r="G1342" s="184">
        <v>0</v>
      </c>
      <c r="H1342" s="158"/>
      <c r="I1342" s="154"/>
      <c r="J1342" s="154"/>
      <c r="K1342" s="154"/>
      <c r="L1342" s="154"/>
      <c r="M1342" s="154"/>
      <c r="N1342" s="154"/>
      <c r="O1342" s="154"/>
      <c r="P1342" s="154"/>
      <c r="Q1342" s="154"/>
      <c r="R1342" s="154"/>
      <c r="S1342" s="154"/>
      <c r="T1342" s="154"/>
      <c r="U1342" s="154"/>
      <c r="V1342" s="154"/>
      <c r="W1342" s="154"/>
      <c r="X1342" s="154"/>
      <c r="Y1342" s="154"/>
      <c r="Z1342" s="154"/>
      <c r="AA1342" s="154"/>
    </row>
    <row r="1343" spans="1:27" ht="15">
      <c r="A1343" s="180">
        <v>45936</v>
      </c>
      <c r="B1343" s="181" t="s">
        <v>13087</v>
      </c>
      <c r="C1343" s="182"/>
      <c r="D1343" s="182">
        <v>6495</v>
      </c>
      <c r="E1343" s="183">
        <v>10</v>
      </c>
      <c r="F1343" s="183">
        <v>469</v>
      </c>
      <c r="G1343" s="184">
        <v>0</v>
      </c>
      <c r="H1343" s="158"/>
      <c r="I1343" s="154"/>
      <c r="J1343" s="154"/>
      <c r="K1343" s="154"/>
      <c r="L1343" s="154"/>
      <c r="M1343" s="154"/>
      <c r="N1343" s="154"/>
      <c r="O1343" s="154"/>
      <c r="P1343" s="154"/>
      <c r="Q1343" s="154"/>
      <c r="R1343" s="154"/>
      <c r="S1343" s="154"/>
      <c r="T1343" s="154"/>
      <c r="U1343" s="154"/>
      <c r="V1343" s="154"/>
      <c r="W1343" s="154"/>
      <c r="X1343" s="154"/>
      <c r="Y1343" s="154"/>
      <c r="Z1343" s="154"/>
      <c r="AA1343" s="154"/>
    </row>
    <row r="1344" spans="1:27" ht="15">
      <c r="A1344" s="180">
        <v>45936</v>
      </c>
      <c r="B1344" s="181" t="s">
        <v>13088</v>
      </c>
      <c r="C1344" s="182"/>
      <c r="D1344" s="182">
        <v>8398</v>
      </c>
      <c r="E1344" s="183">
        <v>3</v>
      </c>
      <c r="F1344" s="183">
        <v>211</v>
      </c>
      <c r="G1344" s="184">
        <v>0</v>
      </c>
      <c r="H1344" s="158"/>
      <c r="I1344" s="154"/>
      <c r="J1344" s="154"/>
      <c r="K1344" s="154"/>
      <c r="L1344" s="154"/>
      <c r="M1344" s="154"/>
      <c r="N1344" s="154"/>
      <c r="O1344" s="154"/>
      <c r="P1344" s="154"/>
      <c r="Q1344" s="154"/>
      <c r="R1344" s="154"/>
      <c r="S1344" s="154"/>
      <c r="T1344" s="154"/>
      <c r="U1344" s="154"/>
      <c r="V1344" s="154"/>
      <c r="W1344" s="154"/>
      <c r="X1344" s="154"/>
      <c r="Y1344" s="154"/>
      <c r="Z1344" s="154"/>
      <c r="AA1344" s="154"/>
    </row>
    <row r="1345" spans="1:27" ht="15">
      <c r="A1345" s="180">
        <v>45937</v>
      </c>
      <c r="B1345" s="181" t="s">
        <v>13086</v>
      </c>
      <c r="C1345" s="182"/>
      <c r="D1345" s="182">
        <v>54196</v>
      </c>
      <c r="E1345" s="183">
        <v>77</v>
      </c>
      <c r="F1345" s="183">
        <v>3362</v>
      </c>
      <c r="G1345" s="184">
        <v>20</v>
      </c>
      <c r="H1345" s="158"/>
      <c r="I1345" s="154"/>
      <c r="J1345" s="154"/>
      <c r="K1345" s="154"/>
      <c r="L1345" s="154"/>
      <c r="M1345" s="154"/>
      <c r="N1345" s="154"/>
      <c r="O1345" s="154"/>
      <c r="P1345" s="154"/>
      <c r="Q1345" s="154"/>
      <c r="R1345" s="154"/>
      <c r="S1345" s="154"/>
      <c r="T1345" s="154"/>
      <c r="U1345" s="154"/>
      <c r="V1345" s="154"/>
      <c r="W1345" s="154"/>
      <c r="X1345" s="154"/>
      <c r="Y1345" s="154"/>
      <c r="Z1345" s="154"/>
      <c r="AA1345" s="154"/>
    </row>
    <row r="1346" spans="1:27" ht="15">
      <c r="A1346" s="180">
        <v>45937</v>
      </c>
      <c r="B1346" s="181" t="s">
        <v>13087</v>
      </c>
      <c r="C1346" s="182"/>
      <c r="D1346" s="182">
        <v>48586</v>
      </c>
      <c r="E1346" s="183">
        <v>58</v>
      </c>
      <c r="F1346" s="183">
        <v>2514</v>
      </c>
      <c r="G1346" s="184">
        <v>16</v>
      </c>
      <c r="H1346" s="158"/>
      <c r="I1346" s="154"/>
      <c r="J1346" s="154"/>
      <c r="K1346" s="154"/>
      <c r="L1346" s="154"/>
      <c r="M1346" s="154"/>
      <c r="N1346" s="154"/>
      <c r="O1346" s="154"/>
      <c r="P1346" s="154"/>
      <c r="Q1346" s="154"/>
      <c r="R1346" s="154"/>
      <c r="S1346" s="154"/>
      <c r="T1346" s="154"/>
      <c r="U1346" s="154"/>
      <c r="V1346" s="154"/>
      <c r="W1346" s="154"/>
      <c r="X1346" s="154"/>
      <c r="Y1346" s="154"/>
      <c r="Z1346" s="154"/>
      <c r="AA1346" s="154"/>
    </row>
    <row r="1347" spans="1:27" ht="15">
      <c r="A1347" s="180">
        <v>45937</v>
      </c>
      <c r="B1347" s="181" t="s">
        <v>13088</v>
      </c>
      <c r="C1347" s="182"/>
      <c r="D1347" s="182">
        <v>11068</v>
      </c>
      <c r="E1347" s="183">
        <v>9</v>
      </c>
      <c r="F1347" s="183">
        <v>359</v>
      </c>
      <c r="G1347" s="184">
        <v>1</v>
      </c>
      <c r="H1347" s="158"/>
      <c r="I1347" s="154"/>
      <c r="J1347" s="154"/>
      <c r="K1347" s="154"/>
      <c r="L1347" s="154"/>
      <c r="M1347" s="154"/>
      <c r="N1347" s="154"/>
      <c r="O1347" s="154"/>
      <c r="P1347" s="154"/>
      <c r="Q1347" s="154"/>
      <c r="R1347" s="154"/>
      <c r="S1347" s="154"/>
      <c r="T1347" s="154"/>
      <c r="U1347" s="154"/>
      <c r="V1347" s="154"/>
      <c r="W1347" s="154"/>
      <c r="X1347" s="154"/>
      <c r="Y1347" s="154"/>
      <c r="Z1347" s="154"/>
      <c r="AA1347" s="154"/>
    </row>
    <row r="1348" spans="1:27" ht="15">
      <c r="A1348" s="180">
        <v>45938</v>
      </c>
      <c r="B1348" s="181" t="s">
        <v>13089</v>
      </c>
      <c r="C1348" s="182" t="s">
        <v>12905</v>
      </c>
      <c r="D1348" s="182">
        <v>6373</v>
      </c>
      <c r="E1348" s="183">
        <v>5</v>
      </c>
      <c r="F1348" s="183">
        <v>178</v>
      </c>
      <c r="G1348" s="184">
        <v>1</v>
      </c>
      <c r="H1348" s="158"/>
      <c r="I1348" s="154"/>
      <c r="J1348" s="154"/>
      <c r="K1348" s="154"/>
      <c r="L1348" s="154"/>
      <c r="M1348" s="154"/>
      <c r="N1348" s="154"/>
      <c r="O1348" s="154"/>
      <c r="P1348" s="154"/>
      <c r="Q1348" s="154"/>
      <c r="R1348" s="154"/>
      <c r="S1348" s="154"/>
      <c r="T1348" s="154"/>
      <c r="U1348" s="154"/>
      <c r="V1348" s="154"/>
      <c r="W1348" s="154"/>
      <c r="X1348" s="154"/>
      <c r="Y1348" s="154"/>
      <c r="Z1348" s="154"/>
      <c r="AA1348" s="154"/>
    </row>
    <row r="1349" spans="1:27" ht="15">
      <c r="A1349" s="180">
        <v>45938</v>
      </c>
      <c r="B1349" s="181" t="s">
        <v>13090</v>
      </c>
      <c r="C1349" s="182" t="s">
        <v>12905</v>
      </c>
      <c r="D1349" s="182">
        <v>7320</v>
      </c>
      <c r="E1349" s="183">
        <v>1</v>
      </c>
      <c r="F1349" s="183">
        <v>241</v>
      </c>
      <c r="G1349" s="184">
        <v>0</v>
      </c>
      <c r="H1349" s="158"/>
      <c r="I1349" s="154"/>
      <c r="J1349" s="154"/>
      <c r="K1349" s="154"/>
      <c r="L1349" s="154"/>
      <c r="M1349" s="154"/>
      <c r="N1349" s="154"/>
      <c r="O1349" s="154"/>
      <c r="P1349" s="154"/>
      <c r="Q1349" s="154"/>
      <c r="R1349" s="154"/>
      <c r="S1349" s="154"/>
      <c r="T1349" s="154"/>
      <c r="U1349" s="154"/>
      <c r="V1349" s="154"/>
      <c r="W1349" s="154"/>
      <c r="X1349" s="154"/>
      <c r="Y1349" s="154"/>
      <c r="Z1349" s="154"/>
      <c r="AA1349" s="154"/>
    </row>
    <row r="1350" spans="1:27" ht="15">
      <c r="A1350" s="180">
        <v>45938</v>
      </c>
      <c r="B1350" s="181" t="s">
        <v>13091</v>
      </c>
      <c r="C1350" s="182"/>
      <c r="D1350" s="182">
        <v>15662</v>
      </c>
      <c r="E1350" s="183">
        <v>11</v>
      </c>
      <c r="F1350" s="183">
        <v>536</v>
      </c>
      <c r="G1350" s="184">
        <v>3</v>
      </c>
      <c r="H1350" s="158"/>
      <c r="I1350" s="154"/>
      <c r="J1350" s="154"/>
      <c r="K1350" s="154"/>
      <c r="L1350" s="154"/>
      <c r="M1350" s="154"/>
      <c r="N1350" s="154"/>
      <c r="O1350" s="154"/>
      <c r="P1350" s="154"/>
      <c r="Q1350" s="154"/>
      <c r="R1350" s="154"/>
      <c r="S1350" s="154"/>
      <c r="T1350" s="154"/>
      <c r="U1350" s="154"/>
      <c r="V1350" s="154"/>
      <c r="W1350" s="154"/>
      <c r="X1350" s="154"/>
      <c r="Y1350" s="154"/>
      <c r="Z1350" s="154"/>
      <c r="AA1350" s="154"/>
    </row>
    <row r="1351" spans="1:27" ht="15">
      <c r="A1351" s="180">
        <v>45938</v>
      </c>
      <c r="B1351" s="181" t="s">
        <v>13092</v>
      </c>
      <c r="C1351" s="182"/>
      <c r="D1351" s="182">
        <v>12340</v>
      </c>
      <c r="E1351" s="183">
        <v>5</v>
      </c>
      <c r="F1351" s="183">
        <v>153</v>
      </c>
      <c r="G1351" s="184">
        <v>2</v>
      </c>
      <c r="H1351" s="158"/>
      <c r="I1351" s="154"/>
      <c r="J1351" s="154"/>
      <c r="K1351" s="154"/>
      <c r="L1351" s="154"/>
      <c r="M1351" s="154"/>
      <c r="N1351" s="154"/>
      <c r="O1351" s="154"/>
      <c r="P1351" s="154"/>
      <c r="Q1351" s="154"/>
      <c r="R1351" s="154"/>
      <c r="S1351" s="154"/>
      <c r="T1351" s="154"/>
      <c r="U1351" s="154"/>
      <c r="V1351" s="154"/>
      <c r="W1351" s="154"/>
      <c r="X1351" s="154"/>
      <c r="Y1351" s="154"/>
      <c r="Z1351" s="154"/>
      <c r="AA1351" s="154"/>
    </row>
    <row r="1352" spans="1:27" ht="15">
      <c r="A1352" s="180">
        <v>45938</v>
      </c>
      <c r="B1352" s="181" t="s">
        <v>13086</v>
      </c>
      <c r="C1352" s="182"/>
      <c r="D1352" s="182">
        <v>14436</v>
      </c>
      <c r="E1352" s="183">
        <v>40</v>
      </c>
      <c r="F1352" s="183">
        <v>2600</v>
      </c>
      <c r="G1352" s="184">
        <v>2</v>
      </c>
      <c r="H1352" s="158"/>
      <c r="I1352" s="154"/>
      <c r="J1352" s="154"/>
      <c r="K1352" s="154"/>
      <c r="L1352" s="154"/>
      <c r="M1352" s="154"/>
      <c r="N1352" s="154"/>
      <c r="O1352" s="154"/>
      <c r="P1352" s="154"/>
      <c r="Q1352" s="154"/>
      <c r="R1352" s="154"/>
      <c r="S1352" s="154"/>
      <c r="T1352" s="154"/>
      <c r="U1352" s="154"/>
      <c r="V1352" s="154"/>
      <c r="W1352" s="154"/>
      <c r="X1352" s="154"/>
      <c r="Y1352" s="154"/>
      <c r="Z1352" s="154"/>
      <c r="AA1352" s="154"/>
    </row>
    <row r="1353" spans="1:27" ht="15">
      <c r="A1353" s="180">
        <v>45938</v>
      </c>
      <c r="B1353" s="181" t="s">
        <v>13087</v>
      </c>
      <c r="C1353" s="182"/>
      <c r="D1353" s="182">
        <v>14465</v>
      </c>
      <c r="E1353" s="183">
        <v>9</v>
      </c>
      <c r="F1353" s="183">
        <v>729</v>
      </c>
      <c r="G1353" s="184">
        <v>1</v>
      </c>
      <c r="H1353" s="158"/>
      <c r="I1353" s="154"/>
      <c r="J1353" s="154"/>
      <c r="K1353" s="154"/>
      <c r="L1353" s="154"/>
      <c r="M1353" s="154"/>
      <c r="N1353" s="154"/>
      <c r="O1353" s="154"/>
      <c r="P1353" s="154"/>
      <c r="Q1353" s="154"/>
      <c r="R1353" s="154"/>
      <c r="S1353" s="154"/>
      <c r="T1353" s="154"/>
      <c r="U1353" s="154"/>
      <c r="V1353" s="154"/>
      <c r="W1353" s="154"/>
      <c r="X1353" s="154"/>
      <c r="Y1353" s="154"/>
      <c r="Z1353" s="154"/>
      <c r="AA1353" s="154"/>
    </row>
    <row r="1354" spans="1:27" ht="15">
      <c r="A1354" s="180">
        <v>45938</v>
      </c>
      <c r="B1354" s="181" t="s">
        <v>13088</v>
      </c>
      <c r="C1354" s="182"/>
      <c r="D1354" s="182">
        <v>36003</v>
      </c>
      <c r="E1354" s="183">
        <v>34</v>
      </c>
      <c r="F1354" s="183">
        <v>1454</v>
      </c>
      <c r="G1354" s="184">
        <v>5</v>
      </c>
      <c r="H1354" s="158"/>
      <c r="I1354" s="154"/>
      <c r="J1354" s="154"/>
      <c r="K1354" s="154"/>
      <c r="L1354" s="154"/>
      <c r="M1354" s="154"/>
      <c r="N1354" s="154"/>
      <c r="O1354" s="154"/>
      <c r="P1354" s="154"/>
      <c r="Q1354" s="154"/>
      <c r="R1354" s="154"/>
      <c r="S1354" s="154"/>
      <c r="T1354" s="154"/>
      <c r="U1354" s="154"/>
      <c r="V1354" s="154"/>
      <c r="W1354" s="154"/>
      <c r="X1354" s="154"/>
      <c r="Y1354" s="154"/>
      <c r="Z1354" s="154"/>
      <c r="AA1354" s="154"/>
    </row>
    <row r="1355" spans="1:27" ht="15">
      <c r="A1355" s="180">
        <v>45939</v>
      </c>
      <c r="B1355" s="181" t="s">
        <v>13093</v>
      </c>
      <c r="C1355" s="182"/>
      <c r="D1355" s="182">
        <v>11727</v>
      </c>
      <c r="E1355" s="183">
        <v>12</v>
      </c>
      <c r="F1355" s="183">
        <v>301</v>
      </c>
      <c r="G1355" s="184">
        <v>2</v>
      </c>
      <c r="H1355" s="158"/>
      <c r="I1355" s="154"/>
      <c r="J1355" s="154"/>
      <c r="K1355" s="154"/>
      <c r="L1355" s="154"/>
      <c r="M1355" s="154"/>
      <c r="N1355" s="154"/>
      <c r="O1355" s="154"/>
      <c r="P1355" s="154"/>
      <c r="Q1355" s="154"/>
      <c r="R1355" s="154"/>
      <c r="S1355" s="154"/>
      <c r="T1355" s="154"/>
      <c r="U1355" s="154"/>
      <c r="V1355" s="154"/>
      <c r="W1355" s="154"/>
      <c r="X1355" s="154"/>
      <c r="Y1355" s="154"/>
      <c r="Z1355" s="154"/>
      <c r="AA1355" s="154"/>
    </row>
    <row r="1356" spans="1:27" ht="15">
      <c r="A1356" s="180">
        <v>45939</v>
      </c>
      <c r="B1356" s="181" t="s">
        <v>13089</v>
      </c>
      <c r="C1356" s="182" t="s">
        <v>12905</v>
      </c>
      <c r="D1356" s="182">
        <v>23773</v>
      </c>
      <c r="E1356" s="183">
        <v>128</v>
      </c>
      <c r="F1356" s="183">
        <v>8584</v>
      </c>
      <c r="G1356" s="184">
        <v>11</v>
      </c>
      <c r="H1356" s="158"/>
      <c r="I1356" s="154"/>
      <c r="J1356" s="154"/>
      <c r="K1356" s="154"/>
      <c r="L1356" s="154"/>
      <c r="M1356" s="154"/>
      <c r="N1356" s="154"/>
      <c r="O1356" s="154"/>
      <c r="P1356" s="154"/>
      <c r="Q1356" s="154"/>
      <c r="R1356" s="154"/>
      <c r="S1356" s="154"/>
      <c r="T1356" s="154"/>
      <c r="U1356" s="154"/>
      <c r="V1356" s="154"/>
      <c r="W1356" s="154"/>
      <c r="X1356" s="154"/>
      <c r="Y1356" s="154"/>
      <c r="Z1356" s="154"/>
      <c r="AA1356" s="154"/>
    </row>
    <row r="1357" spans="1:27" ht="15">
      <c r="A1357" s="180">
        <v>45939</v>
      </c>
      <c r="B1357" s="181" t="s">
        <v>13090</v>
      </c>
      <c r="C1357" s="182" t="s">
        <v>12905</v>
      </c>
      <c r="D1357" s="182">
        <v>23052</v>
      </c>
      <c r="E1357" s="183">
        <v>62</v>
      </c>
      <c r="F1357" s="183">
        <v>4013</v>
      </c>
      <c r="G1357" s="184">
        <v>6</v>
      </c>
      <c r="H1357" s="158"/>
      <c r="I1357" s="154"/>
      <c r="J1357" s="154"/>
      <c r="K1357" s="154"/>
      <c r="L1357" s="154"/>
      <c r="M1357" s="154"/>
      <c r="N1357" s="154"/>
      <c r="O1357" s="154"/>
      <c r="P1357" s="154"/>
      <c r="Q1357" s="154"/>
      <c r="R1357" s="154"/>
      <c r="S1357" s="154"/>
      <c r="T1357" s="154"/>
      <c r="U1357" s="154"/>
      <c r="V1357" s="154"/>
      <c r="W1357" s="154"/>
      <c r="X1357" s="154"/>
      <c r="Y1357" s="154"/>
      <c r="Z1357" s="154"/>
      <c r="AA1357" s="154"/>
    </row>
    <row r="1358" spans="1:27" ht="15">
      <c r="A1358" s="180">
        <v>45939</v>
      </c>
      <c r="B1358" s="181" t="s">
        <v>13091</v>
      </c>
      <c r="C1358" s="182"/>
      <c r="D1358" s="182">
        <v>11718</v>
      </c>
      <c r="E1358" s="183">
        <v>71</v>
      </c>
      <c r="F1358" s="183">
        <v>5501</v>
      </c>
      <c r="G1358" s="184">
        <v>3</v>
      </c>
      <c r="H1358" s="158"/>
      <c r="I1358" s="154"/>
      <c r="J1358" s="154"/>
      <c r="K1358" s="154"/>
      <c r="L1358" s="154"/>
      <c r="M1358" s="154"/>
      <c r="N1358" s="154"/>
      <c r="O1358" s="154"/>
      <c r="P1358" s="154"/>
      <c r="Q1358" s="154"/>
      <c r="R1358" s="154"/>
      <c r="S1358" s="154"/>
      <c r="T1358" s="154"/>
      <c r="U1358" s="154"/>
      <c r="V1358" s="154"/>
      <c r="W1358" s="154"/>
      <c r="X1358" s="154"/>
      <c r="Y1358" s="154"/>
      <c r="Z1358" s="154"/>
      <c r="AA1358" s="154"/>
    </row>
    <row r="1359" spans="1:27" ht="15">
      <c r="A1359" s="180">
        <v>45939</v>
      </c>
      <c r="B1359" s="181" t="s">
        <v>13086</v>
      </c>
      <c r="C1359" s="182"/>
      <c r="D1359" s="182">
        <v>17705</v>
      </c>
      <c r="E1359" s="183">
        <v>21</v>
      </c>
      <c r="F1359" s="183">
        <v>793</v>
      </c>
      <c r="G1359" s="184">
        <v>2</v>
      </c>
      <c r="H1359" s="158"/>
      <c r="I1359" s="154"/>
      <c r="J1359" s="154"/>
      <c r="K1359" s="154"/>
      <c r="L1359" s="154"/>
      <c r="M1359" s="154"/>
      <c r="N1359" s="154"/>
      <c r="O1359" s="154"/>
      <c r="P1359" s="154"/>
      <c r="Q1359" s="154"/>
      <c r="R1359" s="154"/>
      <c r="S1359" s="154"/>
      <c r="T1359" s="154"/>
      <c r="U1359" s="154"/>
      <c r="V1359" s="154"/>
      <c r="W1359" s="154"/>
      <c r="X1359" s="154"/>
      <c r="Y1359" s="154"/>
      <c r="Z1359" s="154"/>
      <c r="AA1359" s="154"/>
    </row>
    <row r="1360" spans="1:27" ht="15">
      <c r="A1360" s="180">
        <v>45939</v>
      </c>
      <c r="B1360" s="181" t="s">
        <v>13087</v>
      </c>
      <c r="C1360" s="182"/>
      <c r="D1360" s="182">
        <v>16456</v>
      </c>
      <c r="E1360" s="183">
        <v>18</v>
      </c>
      <c r="F1360" s="183">
        <v>900</v>
      </c>
      <c r="G1360" s="184">
        <v>2</v>
      </c>
      <c r="H1360" s="158"/>
      <c r="I1360" s="154"/>
      <c r="J1360" s="154"/>
      <c r="K1360" s="154"/>
      <c r="L1360" s="154"/>
      <c r="M1360" s="154"/>
      <c r="N1360" s="154"/>
      <c r="O1360" s="154"/>
      <c r="P1360" s="154"/>
      <c r="Q1360" s="154"/>
      <c r="R1360" s="154"/>
      <c r="S1360" s="154"/>
      <c r="T1360" s="154"/>
      <c r="U1360" s="154"/>
      <c r="V1360" s="154"/>
      <c r="W1360" s="154"/>
      <c r="X1360" s="154"/>
      <c r="Y1360" s="154"/>
      <c r="Z1360" s="154"/>
      <c r="AA1360" s="154"/>
    </row>
    <row r="1361" spans="1:27" ht="15">
      <c r="A1361" s="180">
        <v>45939</v>
      </c>
      <c r="B1361" s="181" t="s">
        <v>13088</v>
      </c>
      <c r="C1361" s="182"/>
      <c r="D1361" s="182">
        <v>10748</v>
      </c>
      <c r="E1361" s="183">
        <v>3</v>
      </c>
      <c r="F1361" s="183">
        <v>380</v>
      </c>
      <c r="G1361" s="184">
        <v>0</v>
      </c>
      <c r="H1361" s="158"/>
      <c r="I1361" s="154"/>
      <c r="J1361" s="154"/>
      <c r="K1361" s="154"/>
      <c r="L1361" s="154"/>
      <c r="M1361" s="154"/>
      <c r="N1361" s="154"/>
      <c r="O1361" s="154"/>
      <c r="P1361" s="154"/>
      <c r="Q1361" s="154"/>
      <c r="R1361" s="154"/>
      <c r="S1361" s="154"/>
      <c r="T1361" s="154"/>
      <c r="U1361" s="154"/>
      <c r="V1361" s="154"/>
      <c r="W1361" s="154"/>
      <c r="X1361" s="154"/>
      <c r="Y1361" s="154"/>
      <c r="Z1361" s="154"/>
      <c r="AA1361" s="154"/>
    </row>
    <row r="1362" spans="1:27" ht="15">
      <c r="A1362" s="180">
        <v>45940</v>
      </c>
      <c r="B1362" s="181" t="s">
        <v>13093</v>
      </c>
      <c r="C1362" s="182"/>
      <c r="D1362" s="182">
        <v>11259</v>
      </c>
      <c r="E1362" s="183">
        <v>28</v>
      </c>
      <c r="F1362" s="183">
        <v>2035</v>
      </c>
      <c r="G1362" s="184">
        <v>1</v>
      </c>
      <c r="H1362" s="158"/>
      <c r="I1362" s="154"/>
      <c r="J1362" s="154"/>
      <c r="K1362" s="154"/>
      <c r="L1362" s="154"/>
      <c r="M1362" s="154"/>
      <c r="N1362" s="154"/>
      <c r="O1362" s="154"/>
      <c r="P1362" s="154"/>
      <c r="Q1362" s="154"/>
      <c r="R1362" s="154"/>
      <c r="S1362" s="154"/>
      <c r="T1362" s="154"/>
      <c r="U1362" s="154"/>
      <c r="V1362" s="154"/>
      <c r="W1362" s="154"/>
      <c r="X1362" s="154"/>
      <c r="Y1362" s="154"/>
      <c r="Z1362" s="154"/>
      <c r="AA1362" s="154"/>
    </row>
    <row r="1363" spans="1:27" ht="15">
      <c r="A1363" s="180">
        <v>45940</v>
      </c>
      <c r="B1363" s="181" t="s">
        <v>13089</v>
      </c>
      <c r="C1363" s="182" t="s">
        <v>12905</v>
      </c>
      <c r="D1363" s="182">
        <v>9598</v>
      </c>
      <c r="E1363" s="183">
        <v>13</v>
      </c>
      <c r="F1363" s="183">
        <v>456</v>
      </c>
      <c r="G1363" s="184">
        <v>1</v>
      </c>
      <c r="H1363" s="158"/>
      <c r="I1363" s="154"/>
      <c r="J1363" s="154"/>
      <c r="K1363" s="154"/>
      <c r="L1363" s="154"/>
      <c r="M1363" s="154"/>
      <c r="N1363" s="154"/>
      <c r="O1363" s="154"/>
      <c r="P1363" s="154"/>
      <c r="Q1363" s="154"/>
      <c r="R1363" s="154"/>
      <c r="S1363" s="154"/>
      <c r="T1363" s="154"/>
      <c r="U1363" s="154"/>
      <c r="V1363" s="154"/>
      <c r="W1363" s="154"/>
      <c r="X1363" s="154"/>
      <c r="Y1363" s="154"/>
      <c r="Z1363" s="154"/>
      <c r="AA1363" s="154"/>
    </row>
    <row r="1364" spans="1:27" ht="15">
      <c r="A1364" s="180">
        <v>45940</v>
      </c>
      <c r="B1364" s="181" t="s">
        <v>13090</v>
      </c>
      <c r="C1364" s="182" t="s">
        <v>12905</v>
      </c>
      <c r="D1364" s="182">
        <v>7241</v>
      </c>
      <c r="E1364" s="183">
        <v>5</v>
      </c>
      <c r="F1364" s="183">
        <v>258</v>
      </c>
      <c r="G1364" s="184">
        <v>1</v>
      </c>
      <c r="H1364" s="158"/>
      <c r="I1364" s="154"/>
      <c r="J1364" s="154"/>
      <c r="K1364" s="154"/>
      <c r="L1364" s="154"/>
      <c r="M1364" s="154"/>
      <c r="N1364" s="154"/>
      <c r="O1364" s="154"/>
      <c r="P1364" s="154"/>
      <c r="Q1364" s="154"/>
      <c r="R1364" s="154"/>
      <c r="S1364" s="154"/>
      <c r="T1364" s="154"/>
      <c r="U1364" s="154"/>
      <c r="V1364" s="154"/>
      <c r="W1364" s="154"/>
      <c r="X1364" s="154"/>
      <c r="Y1364" s="154"/>
      <c r="Z1364" s="154"/>
      <c r="AA1364" s="154"/>
    </row>
    <row r="1365" spans="1:27" ht="15">
      <c r="A1365" s="180">
        <v>45940</v>
      </c>
      <c r="B1365" s="181" t="s">
        <v>13091</v>
      </c>
      <c r="C1365" s="182"/>
      <c r="D1365" s="182">
        <v>34306</v>
      </c>
      <c r="E1365" s="183">
        <v>31</v>
      </c>
      <c r="F1365" s="183">
        <v>1508</v>
      </c>
      <c r="G1365" s="184">
        <v>8</v>
      </c>
      <c r="H1365" s="158"/>
      <c r="I1365" s="154"/>
      <c r="J1365" s="154"/>
      <c r="K1365" s="154"/>
      <c r="L1365" s="154"/>
      <c r="M1365" s="154"/>
      <c r="N1365" s="154"/>
      <c r="O1365" s="154"/>
      <c r="P1365" s="154"/>
      <c r="Q1365" s="154"/>
      <c r="R1365" s="154"/>
      <c r="S1365" s="154"/>
      <c r="T1365" s="154"/>
      <c r="U1365" s="154"/>
      <c r="V1365" s="154"/>
      <c r="W1365" s="154"/>
      <c r="X1365" s="154"/>
      <c r="Y1365" s="154"/>
      <c r="Z1365" s="154"/>
      <c r="AA1365" s="154"/>
    </row>
    <row r="1366" spans="1:27" ht="15">
      <c r="A1366" s="180">
        <v>45940</v>
      </c>
      <c r="B1366" s="181" t="s">
        <v>13086</v>
      </c>
      <c r="C1366" s="182"/>
      <c r="D1366" s="182">
        <v>92903</v>
      </c>
      <c r="E1366" s="183">
        <v>191</v>
      </c>
      <c r="F1366" s="183">
        <v>8422</v>
      </c>
      <c r="G1366" s="184">
        <v>29</v>
      </c>
      <c r="H1366" s="158"/>
      <c r="I1366" s="154"/>
      <c r="J1366" s="154"/>
      <c r="K1366" s="154"/>
      <c r="L1366" s="154"/>
      <c r="M1366" s="154"/>
      <c r="N1366" s="154"/>
      <c r="O1366" s="154"/>
      <c r="P1366" s="154"/>
      <c r="Q1366" s="154"/>
      <c r="R1366" s="154"/>
      <c r="S1366" s="154"/>
      <c r="T1366" s="154"/>
      <c r="U1366" s="154"/>
      <c r="V1366" s="154"/>
      <c r="W1366" s="154"/>
      <c r="X1366" s="154"/>
      <c r="Y1366" s="154"/>
      <c r="Z1366" s="154"/>
      <c r="AA1366" s="154"/>
    </row>
    <row r="1367" spans="1:27" ht="15">
      <c r="A1367" s="180">
        <v>45940</v>
      </c>
      <c r="B1367" s="181" t="s">
        <v>13087</v>
      </c>
      <c r="C1367" s="182"/>
      <c r="D1367" s="182">
        <v>8263</v>
      </c>
      <c r="E1367" s="183">
        <v>10</v>
      </c>
      <c r="F1367" s="183">
        <v>440</v>
      </c>
      <c r="G1367" s="184">
        <v>3</v>
      </c>
      <c r="H1367" s="158"/>
      <c r="I1367" s="154"/>
      <c r="J1367" s="154"/>
      <c r="K1367" s="154"/>
      <c r="L1367" s="154"/>
      <c r="M1367" s="154"/>
      <c r="N1367" s="154"/>
      <c r="O1367" s="154"/>
      <c r="P1367" s="154"/>
      <c r="Q1367" s="154"/>
      <c r="R1367" s="154"/>
      <c r="S1367" s="154"/>
      <c r="T1367" s="154"/>
      <c r="U1367" s="154"/>
      <c r="V1367" s="154"/>
      <c r="W1367" s="154"/>
      <c r="X1367" s="154"/>
      <c r="Y1367" s="154"/>
      <c r="Z1367" s="154"/>
      <c r="AA1367" s="154"/>
    </row>
    <row r="1368" spans="1:27" ht="15">
      <c r="A1368" s="180">
        <v>45940</v>
      </c>
      <c r="B1368" s="181" t="s">
        <v>13088</v>
      </c>
      <c r="C1368" s="182"/>
      <c r="D1368" s="182">
        <v>19010</v>
      </c>
      <c r="E1368" s="183">
        <v>15</v>
      </c>
      <c r="F1368" s="183">
        <v>738</v>
      </c>
      <c r="G1368" s="184">
        <v>3</v>
      </c>
      <c r="H1368" s="158"/>
      <c r="I1368" s="154"/>
      <c r="J1368" s="154"/>
      <c r="K1368" s="154"/>
      <c r="L1368" s="154"/>
      <c r="M1368" s="154"/>
      <c r="N1368" s="154"/>
      <c r="O1368" s="154"/>
      <c r="P1368" s="154"/>
      <c r="Q1368" s="154"/>
      <c r="R1368" s="154"/>
      <c r="S1368" s="154"/>
      <c r="T1368" s="154"/>
      <c r="U1368" s="154"/>
      <c r="V1368" s="154"/>
      <c r="W1368" s="154"/>
      <c r="X1368" s="154"/>
      <c r="Y1368" s="154"/>
      <c r="Z1368" s="154"/>
      <c r="AA1368" s="154"/>
    </row>
    <row r="1369" spans="1:27" ht="15">
      <c r="A1369" s="180">
        <v>45941</v>
      </c>
      <c r="B1369" s="181" t="s">
        <v>13094</v>
      </c>
      <c r="C1369" s="182" t="s">
        <v>12905</v>
      </c>
      <c r="D1369" s="182">
        <v>22399</v>
      </c>
      <c r="E1369" s="183">
        <v>39</v>
      </c>
      <c r="F1369" s="183">
        <v>1625</v>
      </c>
      <c r="G1369" s="184">
        <v>3</v>
      </c>
      <c r="H1369" s="158"/>
      <c r="I1369" s="154"/>
      <c r="J1369" s="154"/>
      <c r="K1369" s="154"/>
      <c r="L1369" s="154"/>
      <c r="M1369" s="154"/>
      <c r="N1369" s="154"/>
      <c r="O1369" s="154"/>
      <c r="P1369" s="154"/>
      <c r="Q1369" s="154"/>
      <c r="R1369" s="154"/>
      <c r="S1369" s="154"/>
      <c r="T1369" s="154"/>
      <c r="U1369" s="154"/>
      <c r="V1369" s="154"/>
      <c r="W1369" s="154"/>
      <c r="X1369" s="154"/>
      <c r="Y1369" s="154"/>
      <c r="Z1369" s="154"/>
      <c r="AA1369" s="154"/>
    </row>
    <row r="1370" spans="1:27" ht="15">
      <c r="A1370" s="180">
        <v>45941</v>
      </c>
      <c r="B1370" s="181" t="s">
        <v>13095</v>
      </c>
      <c r="C1370" s="182"/>
      <c r="D1370" s="182">
        <v>22633</v>
      </c>
      <c r="E1370" s="183">
        <v>33</v>
      </c>
      <c r="F1370" s="183">
        <v>1431</v>
      </c>
      <c r="G1370" s="184">
        <v>4</v>
      </c>
      <c r="H1370" s="158"/>
      <c r="I1370" s="154"/>
      <c r="J1370" s="154"/>
      <c r="K1370" s="154"/>
      <c r="L1370" s="154"/>
      <c r="M1370" s="154"/>
      <c r="N1370" s="154"/>
      <c r="O1370" s="154"/>
      <c r="P1370" s="154"/>
      <c r="Q1370" s="154"/>
      <c r="R1370" s="154"/>
      <c r="S1370" s="154"/>
      <c r="T1370" s="154"/>
      <c r="U1370" s="154"/>
      <c r="V1370" s="154"/>
      <c r="W1370" s="154"/>
      <c r="X1370" s="154"/>
      <c r="Y1370" s="154"/>
      <c r="Z1370" s="154"/>
      <c r="AA1370" s="154"/>
    </row>
    <row r="1371" spans="1:27" ht="15">
      <c r="A1371" s="180">
        <v>45941</v>
      </c>
      <c r="B1371" s="181" t="s">
        <v>13089</v>
      </c>
      <c r="C1371" s="182" t="s">
        <v>12905</v>
      </c>
      <c r="D1371" s="182">
        <v>123734</v>
      </c>
      <c r="E1371" s="183">
        <v>165</v>
      </c>
      <c r="F1371" s="183">
        <v>6496</v>
      </c>
      <c r="G1371" s="184">
        <v>30</v>
      </c>
      <c r="H1371" s="158"/>
      <c r="I1371" s="154"/>
      <c r="J1371" s="154"/>
      <c r="K1371" s="154"/>
      <c r="L1371" s="154"/>
      <c r="M1371" s="154"/>
      <c r="N1371" s="154"/>
      <c r="O1371" s="154"/>
      <c r="P1371" s="154"/>
      <c r="Q1371" s="154"/>
      <c r="R1371" s="154"/>
      <c r="S1371" s="154"/>
      <c r="T1371" s="154"/>
      <c r="U1371" s="154"/>
      <c r="V1371" s="154"/>
      <c r="W1371" s="154"/>
      <c r="X1371" s="154"/>
      <c r="Y1371" s="154"/>
      <c r="Z1371" s="154"/>
      <c r="AA1371" s="154"/>
    </row>
    <row r="1372" spans="1:27" ht="15">
      <c r="A1372" s="180">
        <v>45941</v>
      </c>
      <c r="B1372" s="181" t="s">
        <v>13090</v>
      </c>
      <c r="C1372" s="182" t="s">
        <v>12905</v>
      </c>
      <c r="D1372" s="182">
        <v>22377</v>
      </c>
      <c r="E1372" s="183">
        <v>10</v>
      </c>
      <c r="F1372" s="183">
        <v>780</v>
      </c>
      <c r="G1372" s="184">
        <v>2</v>
      </c>
      <c r="H1372" s="158"/>
      <c r="I1372" s="154"/>
      <c r="J1372" s="154"/>
      <c r="K1372" s="154"/>
      <c r="L1372" s="154"/>
      <c r="M1372" s="154"/>
      <c r="N1372" s="154"/>
      <c r="O1372" s="154"/>
      <c r="P1372" s="154"/>
      <c r="Q1372" s="154"/>
      <c r="R1372" s="154"/>
      <c r="S1372" s="154"/>
      <c r="T1372" s="154"/>
      <c r="U1372" s="154"/>
      <c r="V1372" s="154"/>
      <c r="W1372" s="154"/>
      <c r="X1372" s="154"/>
      <c r="Y1372" s="154"/>
      <c r="Z1372" s="154"/>
      <c r="AA1372" s="154"/>
    </row>
    <row r="1373" spans="1:27" ht="15">
      <c r="A1373" s="180">
        <v>45941</v>
      </c>
      <c r="B1373" s="181" t="s">
        <v>13091</v>
      </c>
      <c r="C1373" s="182"/>
      <c r="D1373" s="182">
        <v>15324</v>
      </c>
      <c r="E1373" s="183">
        <v>14</v>
      </c>
      <c r="F1373" s="183">
        <v>662</v>
      </c>
      <c r="G1373" s="184">
        <v>2</v>
      </c>
      <c r="H1373" s="158"/>
      <c r="I1373" s="154"/>
      <c r="J1373" s="154"/>
      <c r="K1373" s="154"/>
      <c r="L1373" s="154"/>
      <c r="M1373" s="154"/>
      <c r="N1373" s="154"/>
      <c r="O1373" s="154"/>
      <c r="P1373" s="154"/>
      <c r="Q1373" s="154"/>
      <c r="R1373" s="154"/>
      <c r="S1373" s="154"/>
      <c r="T1373" s="154"/>
      <c r="U1373" s="154"/>
      <c r="V1373" s="154"/>
      <c r="W1373" s="154"/>
      <c r="X1373" s="154"/>
      <c r="Y1373" s="154"/>
      <c r="Z1373" s="154"/>
      <c r="AA1373" s="154"/>
    </row>
    <row r="1374" spans="1:27" ht="15">
      <c r="A1374" s="180">
        <v>45941</v>
      </c>
      <c r="B1374" s="181" t="s">
        <v>13087</v>
      </c>
      <c r="C1374" s="182"/>
      <c r="D1374" s="182">
        <v>314</v>
      </c>
      <c r="E1374" s="183">
        <v>0</v>
      </c>
      <c r="F1374" s="183">
        <v>35</v>
      </c>
      <c r="G1374" s="184">
        <v>0</v>
      </c>
      <c r="H1374" s="158"/>
      <c r="I1374" s="154"/>
      <c r="J1374" s="154"/>
      <c r="K1374" s="154"/>
      <c r="L1374" s="154"/>
      <c r="M1374" s="154"/>
      <c r="N1374" s="154"/>
      <c r="O1374" s="154"/>
      <c r="P1374" s="154"/>
      <c r="Q1374" s="154"/>
      <c r="R1374" s="154"/>
      <c r="S1374" s="154"/>
      <c r="T1374" s="154"/>
      <c r="U1374" s="154"/>
      <c r="V1374" s="154"/>
      <c r="W1374" s="154"/>
      <c r="X1374" s="154"/>
      <c r="Y1374" s="154"/>
      <c r="Z1374" s="154"/>
      <c r="AA1374" s="154"/>
    </row>
    <row r="1375" spans="1:27" ht="15">
      <c r="A1375" s="180">
        <v>45941</v>
      </c>
      <c r="B1375" s="181" t="s">
        <v>13088</v>
      </c>
      <c r="C1375" s="182"/>
      <c r="D1375" s="182">
        <v>25223</v>
      </c>
      <c r="E1375" s="183">
        <v>16</v>
      </c>
      <c r="F1375" s="183">
        <v>949</v>
      </c>
      <c r="G1375" s="184">
        <v>1</v>
      </c>
      <c r="H1375" s="158"/>
      <c r="I1375" s="154"/>
      <c r="J1375" s="154"/>
      <c r="K1375" s="154"/>
      <c r="L1375" s="154"/>
      <c r="M1375" s="154"/>
      <c r="N1375" s="154"/>
      <c r="O1375" s="154"/>
      <c r="P1375" s="154"/>
      <c r="Q1375" s="154"/>
      <c r="R1375" s="154"/>
      <c r="S1375" s="154"/>
      <c r="T1375" s="154"/>
      <c r="U1375" s="154"/>
      <c r="V1375" s="154"/>
      <c r="W1375" s="154"/>
      <c r="X1375" s="154"/>
      <c r="Y1375" s="154"/>
      <c r="Z1375" s="154"/>
      <c r="AA1375" s="154"/>
    </row>
    <row r="1376" spans="1:27" ht="15">
      <c r="A1376" s="180">
        <v>45944</v>
      </c>
      <c r="B1376" s="181" t="s">
        <v>13096</v>
      </c>
      <c r="C1376" s="182" t="s">
        <v>12905</v>
      </c>
      <c r="D1376" s="182">
        <v>7204</v>
      </c>
      <c r="E1376" s="183">
        <v>1</v>
      </c>
      <c r="F1376" s="183">
        <v>240</v>
      </c>
      <c r="G1376" s="184">
        <v>1</v>
      </c>
      <c r="H1376" s="158"/>
      <c r="I1376" s="154"/>
      <c r="J1376" s="154"/>
      <c r="K1376" s="154"/>
      <c r="L1376" s="154"/>
      <c r="M1376" s="154"/>
      <c r="N1376" s="154"/>
      <c r="O1376" s="154"/>
      <c r="P1376" s="154"/>
      <c r="Q1376" s="154"/>
      <c r="R1376" s="154"/>
      <c r="S1376" s="154"/>
      <c r="T1376" s="154"/>
      <c r="U1376" s="154"/>
      <c r="V1376" s="154"/>
      <c r="W1376" s="154"/>
      <c r="X1376" s="154"/>
      <c r="Y1376" s="154"/>
      <c r="Z1376" s="154"/>
      <c r="AA1376" s="154"/>
    </row>
    <row r="1377" spans="1:27" ht="15">
      <c r="A1377" s="180">
        <v>45944</v>
      </c>
      <c r="B1377" s="181" t="s">
        <v>13097</v>
      </c>
      <c r="C1377" s="182" t="s">
        <v>12905</v>
      </c>
      <c r="D1377" s="182">
        <v>12226</v>
      </c>
      <c r="E1377" s="183">
        <v>9</v>
      </c>
      <c r="F1377" s="183">
        <v>325</v>
      </c>
      <c r="G1377" s="184">
        <v>2</v>
      </c>
      <c r="H1377" s="158"/>
      <c r="I1377" s="154"/>
      <c r="J1377" s="154"/>
      <c r="K1377" s="154"/>
      <c r="L1377" s="154"/>
      <c r="M1377" s="154"/>
      <c r="N1377" s="154"/>
      <c r="O1377" s="154"/>
      <c r="P1377" s="154"/>
      <c r="Q1377" s="154"/>
      <c r="R1377" s="154"/>
      <c r="S1377" s="154"/>
      <c r="T1377" s="154"/>
      <c r="U1377" s="154"/>
      <c r="V1377" s="154"/>
      <c r="W1377" s="154"/>
      <c r="X1377" s="154"/>
      <c r="Y1377" s="154"/>
      <c r="Z1377" s="154"/>
      <c r="AA1377" s="154"/>
    </row>
    <row r="1378" spans="1:27" ht="15">
      <c r="A1378" s="180">
        <v>45944</v>
      </c>
      <c r="B1378" s="181" t="s">
        <v>13098</v>
      </c>
      <c r="C1378" s="182" t="s">
        <v>12905</v>
      </c>
      <c r="D1378" s="182">
        <v>87979</v>
      </c>
      <c r="E1378" s="183">
        <v>63</v>
      </c>
      <c r="F1378" s="183">
        <v>2381</v>
      </c>
      <c r="G1378" s="184">
        <v>19</v>
      </c>
      <c r="H1378" s="158"/>
      <c r="I1378" s="154"/>
      <c r="J1378" s="154"/>
      <c r="K1378" s="154"/>
      <c r="L1378" s="154"/>
      <c r="M1378" s="154"/>
      <c r="N1378" s="154"/>
      <c r="O1378" s="154"/>
      <c r="P1378" s="154"/>
      <c r="Q1378" s="154"/>
      <c r="R1378" s="154"/>
      <c r="S1378" s="154"/>
      <c r="T1378" s="154"/>
      <c r="U1378" s="154"/>
      <c r="V1378" s="154"/>
      <c r="W1378" s="154"/>
      <c r="X1378" s="154"/>
      <c r="Y1378" s="154"/>
      <c r="Z1378" s="154"/>
      <c r="AA1378" s="154"/>
    </row>
    <row r="1379" spans="1:27" ht="15">
      <c r="A1379" s="180">
        <v>45945</v>
      </c>
      <c r="B1379" s="181" t="s">
        <v>13099</v>
      </c>
      <c r="C1379" s="182" t="s">
        <v>12905</v>
      </c>
      <c r="D1379" s="182">
        <v>8117</v>
      </c>
      <c r="E1379" s="183">
        <v>19</v>
      </c>
      <c r="F1379" s="183">
        <v>1967</v>
      </c>
      <c r="G1379" s="184">
        <v>1</v>
      </c>
      <c r="H1379" s="158"/>
      <c r="I1379" s="154"/>
      <c r="J1379" s="154"/>
      <c r="K1379" s="154"/>
      <c r="L1379" s="154"/>
      <c r="M1379" s="154"/>
      <c r="N1379" s="154"/>
      <c r="O1379" s="154"/>
      <c r="P1379" s="154"/>
      <c r="Q1379" s="154"/>
      <c r="R1379" s="154"/>
      <c r="S1379" s="154"/>
      <c r="T1379" s="154"/>
      <c r="U1379" s="154"/>
      <c r="V1379" s="154"/>
      <c r="W1379" s="154"/>
      <c r="X1379" s="154"/>
      <c r="Y1379" s="154"/>
      <c r="Z1379" s="154"/>
      <c r="AA1379" s="154"/>
    </row>
    <row r="1380" spans="1:27" ht="15">
      <c r="A1380" s="180">
        <v>45945</v>
      </c>
      <c r="B1380" s="181" t="s">
        <v>13097</v>
      </c>
      <c r="C1380" s="182" t="s">
        <v>12905</v>
      </c>
      <c r="D1380" s="182">
        <v>22470</v>
      </c>
      <c r="E1380" s="183">
        <v>68</v>
      </c>
      <c r="F1380" s="183">
        <v>7633</v>
      </c>
      <c r="G1380" s="184">
        <v>4</v>
      </c>
      <c r="H1380" s="158"/>
      <c r="I1380" s="154"/>
      <c r="J1380" s="154"/>
      <c r="K1380" s="154"/>
      <c r="L1380" s="154"/>
      <c r="M1380" s="154"/>
      <c r="N1380" s="154"/>
      <c r="O1380" s="154"/>
      <c r="P1380" s="154"/>
      <c r="Q1380" s="154"/>
      <c r="R1380" s="154"/>
      <c r="S1380" s="154"/>
      <c r="T1380" s="154"/>
      <c r="U1380" s="154"/>
      <c r="V1380" s="154"/>
      <c r="W1380" s="154"/>
      <c r="X1380" s="154"/>
      <c r="Y1380" s="154"/>
      <c r="Z1380" s="154"/>
      <c r="AA1380" s="154"/>
    </row>
    <row r="1381" spans="1:27" ht="15">
      <c r="A1381" s="180">
        <v>45945</v>
      </c>
      <c r="B1381" s="181" t="s">
        <v>13098</v>
      </c>
      <c r="C1381" s="182" t="s">
        <v>12905</v>
      </c>
      <c r="D1381" s="182">
        <v>18406</v>
      </c>
      <c r="E1381" s="183">
        <v>16</v>
      </c>
      <c r="F1381" s="183">
        <v>1176</v>
      </c>
      <c r="G1381" s="184">
        <v>3</v>
      </c>
      <c r="H1381" s="158"/>
      <c r="I1381" s="154"/>
      <c r="J1381" s="154"/>
      <c r="K1381" s="154"/>
      <c r="L1381" s="154"/>
      <c r="M1381" s="154"/>
      <c r="N1381" s="154"/>
      <c r="O1381" s="154"/>
      <c r="P1381" s="154"/>
      <c r="Q1381" s="154"/>
      <c r="R1381" s="154"/>
      <c r="S1381" s="154"/>
      <c r="T1381" s="154"/>
      <c r="U1381" s="154"/>
      <c r="V1381" s="154"/>
      <c r="W1381" s="154"/>
      <c r="X1381" s="154"/>
      <c r="Y1381" s="154"/>
      <c r="Z1381" s="154"/>
      <c r="AA1381" s="154"/>
    </row>
    <row r="1382" spans="1:27" ht="15">
      <c r="A1382" s="180">
        <v>45945</v>
      </c>
      <c r="B1382" s="181" t="s">
        <v>13089</v>
      </c>
      <c r="C1382" s="182" t="s">
        <v>12905</v>
      </c>
      <c r="D1382" s="182">
        <v>8910</v>
      </c>
      <c r="E1382" s="183">
        <v>31</v>
      </c>
      <c r="F1382" s="183">
        <v>602</v>
      </c>
      <c r="G1382" s="184">
        <v>0</v>
      </c>
      <c r="H1382" s="158"/>
      <c r="I1382" s="154"/>
      <c r="J1382" s="154"/>
      <c r="K1382" s="154"/>
      <c r="L1382" s="154"/>
      <c r="M1382" s="154"/>
      <c r="N1382" s="154"/>
      <c r="O1382" s="154"/>
      <c r="P1382" s="154"/>
      <c r="Q1382" s="154"/>
      <c r="R1382" s="154"/>
      <c r="S1382" s="154"/>
      <c r="T1382" s="154"/>
      <c r="U1382" s="154"/>
      <c r="V1382" s="154"/>
      <c r="W1382" s="154"/>
      <c r="X1382" s="154"/>
      <c r="Y1382" s="154"/>
      <c r="Z1382" s="154"/>
      <c r="AA1382" s="154"/>
    </row>
    <row r="1383" spans="1:27" ht="15">
      <c r="A1383" s="180">
        <v>45945</v>
      </c>
      <c r="B1383" s="181" t="s">
        <v>13091</v>
      </c>
      <c r="C1383" s="182"/>
      <c r="D1383" s="182">
        <v>14203</v>
      </c>
      <c r="E1383" s="183">
        <v>37</v>
      </c>
      <c r="F1383" s="183">
        <v>1262</v>
      </c>
      <c r="G1383" s="184">
        <v>0</v>
      </c>
      <c r="H1383" s="158"/>
      <c r="I1383" s="154"/>
      <c r="J1383" s="154"/>
      <c r="K1383" s="154"/>
      <c r="L1383" s="154"/>
      <c r="M1383" s="154"/>
      <c r="N1383" s="154"/>
      <c r="O1383" s="154"/>
      <c r="P1383" s="154"/>
      <c r="Q1383" s="154"/>
      <c r="R1383" s="154"/>
      <c r="S1383" s="154"/>
      <c r="T1383" s="154"/>
      <c r="U1383" s="154"/>
      <c r="V1383" s="154"/>
      <c r="W1383" s="154"/>
      <c r="X1383" s="154"/>
      <c r="Y1383" s="154"/>
      <c r="Z1383" s="154"/>
      <c r="AA1383" s="154"/>
    </row>
    <row r="1384" spans="1:27" ht="15">
      <c r="A1384" s="180">
        <v>45946</v>
      </c>
      <c r="B1384" s="181" t="s">
        <v>13100</v>
      </c>
      <c r="C1384" s="182" t="s">
        <v>12905</v>
      </c>
      <c r="D1384" s="182">
        <v>112429</v>
      </c>
      <c r="E1384" s="183">
        <v>109</v>
      </c>
      <c r="F1384" s="183">
        <v>3732</v>
      </c>
      <c r="G1384" s="184">
        <v>37</v>
      </c>
      <c r="H1384" s="158"/>
      <c r="I1384" s="154"/>
      <c r="J1384" s="154"/>
      <c r="K1384" s="154"/>
      <c r="L1384" s="154"/>
      <c r="M1384" s="154"/>
      <c r="N1384" s="154"/>
      <c r="O1384" s="154"/>
      <c r="P1384" s="154"/>
      <c r="Q1384" s="154"/>
      <c r="R1384" s="154"/>
      <c r="S1384" s="154"/>
      <c r="T1384" s="154"/>
      <c r="U1384" s="154"/>
      <c r="V1384" s="154"/>
      <c r="W1384" s="154"/>
      <c r="X1384" s="154"/>
      <c r="Y1384" s="154"/>
      <c r="Z1384" s="154"/>
      <c r="AA1384" s="154"/>
    </row>
    <row r="1385" spans="1:27" ht="15">
      <c r="A1385" s="180">
        <v>45946</v>
      </c>
      <c r="B1385" s="181" t="s">
        <v>13101</v>
      </c>
      <c r="C1385" s="182" t="s">
        <v>12905</v>
      </c>
      <c r="D1385" s="182">
        <v>118536</v>
      </c>
      <c r="E1385" s="183">
        <v>101</v>
      </c>
      <c r="F1385" s="183">
        <v>3819</v>
      </c>
      <c r="G1385" s="184">
        <v>33</v>
      </c>
      <c r="H1385" s="158"/>
      <c r="I1385" s="154"/>
      <c r="J1385" s="154"/>
      <c r="K1385" s="154"/>
      <c r="L1385" s="154"/>
      <c r="M1385" s="154"/>
      <c r="N1385" s="154"/>
      <c r="O1385" s="154"/>
      <c r="P1385" s="154"/>
      <c r="Q1385" s="154"/>
      <c r="R1385" s="154"/>
      <c r="S1385" s="154"/>
      <c r="T1385" s="154"/>
      <c r="U1385" s="154"/>
      <c r="V1385" s="154"/>
      <c r="W1385" s="154"/>
      <c r="X1385" s="154"/>
      <c r="Y1385" s="154"/>
      <c r="Z1385" s="154"/>
      <c r="AA1385" s="154"/>
    </row>
    <row r="1386" spans="1:27" ht="15">
      <c r="A1386" s="180">
        <v>45946</v>
      </c>
      <c r="B1386" s="181" t="s">
        <v>13099</v>
      </c>
      <c r="C1386" s="182" t="s">
        <v>12905</v>
      </c>
      <c r="D1386" s="182">
        <v>114134</v>
      </c>
      <c r="E1386" s="183">
        <v>108</v>
      </c>
      <c r="F1386" s="183">
        <v>3656</v>
      </c>
      <c r="G1386" s="184">
        <v>41</v>
      </c>
      <c r="H1386" s="158"/>
      <c r="I1386" s="154"/>
      <c r="J1386" s="154"/>
      <c r="K1386" s="154"/>
      <c r="L1386" s="154"/>
      <c r="M1386" s="154"/>
      <c r="N1386" s="154"/>
      <c r="O1386" s="154"/>
      <c r="P1386" s="154"/>
      <c r="Q1386" s="154"/>
      <c r="R1386" s="154"/>
      <c r="S1386" s="154"/>
      <c r="T1386" s="154"/>
      <c r="U1386" s="154"/>
      <c r="V1386" s="154"/>
      <c r="W1386" s="154"/>
      <c r="X1386" s="154"/>
      <c r="Y1386" s="154"/>
      <c r="Z1386" s="154"/>
      <c r="AA1386" s="154"/>
    </row>
    <row r="1387" spans="1:27" ht="15">
      <c r="A1387" s="180">
        <v>45947</v>
      </c>
      <c r="B1387" s="181" t="s">
        <v>13100</v>
      </c>
      <c r="C1387" s="182" t="s">
        <v>12905</v>
      </c>
      <c r="D1387" s="182">
        <v>18306</v>
      </c>
      <c r="E1387" s="183">
        <v>40</v>
      </c>
      <c r="F1387" s="183">
        <v>3837</v>
      </c>
      <c r="G1387" s="184">
        <v>3</v>
      </c>
      <c r="H1387" s="158"/>
      <c r="I1387" s="154"/>
      <c r="J1387" s="154"/>
      <c r="K1387" s="154"/>
      <c r="L1387" s="154"/>
      <c r="M1387" s="154"/>
      <c r="N1387" s="154"/>
      <c r="O1387" s="154"/>
      <c r="P1387" s="154"/>
      <c r="Q1387" s="154"/>
      <c r="R1387" s="154"/>
      <c r="S1387" s="154"/>
      <c r="T1387" s="154"/>
      <c r="U1387" s="154"/>
      <c r="V1387" s="154"/>
      <c r="W1387" s="154"/>
      <c r="X1387" s="154"/>
      <c r="Y1387" s="154"/>
      <c r="Z1387" s="154"/>
      <c r="AA1387" s="154"/>
    </row>
    <row r="1388" spans="1:27" ht="15">
      <c r="A1388" s="180">
        <v>45947</v>
      </c>
      <c r="B1388" s="181" t="s">
        <v>13101</v>
      </c>
      <c r="C1388" s="182" t="s">
        <v>12905</v>
      </c>
      <c r="D1388" s="182">
        <v>73069</v>
      </c>
      <c r="E1388" s="183">
        <v>156</v>
      </c>
      <c r="F1388" s="183">
        <v>9396</v>
      </c>
      <c r="G1388" s="184">
        <v>28</v>
      </c>
      <c r="H1388" s="158"/>
      <c r="I1388" s="154"/>
      <c r="J1388" s="154"/>
      <c r="K1388" s="154"/>
      <c r="L1388" s="154"/>
      <c r="M1388" s="154"/>
      <c r="N1388" s="154"/>
      <c r="O1388" s="154"/>
      <c r="P1388" s="154"/>
      <c r="Q1388" s="154"/>
      <c r="R1388" s="154"/>
      <c r="S1388" s="154"/>
      <c r="T1388" s="154"/>
      <c r="U1388" s="154"/>
      <c r="V1388" s="154"/>
      <c r="W1388" s="154"/>
      <c r="X1388" s="154"/>
      <c r="Y1388" s="154"/>
      <c r="Z1388" s="154"/>
      <c r="AA1388" s="154"/>
    </row>
    <row r="1389" spans="1:27" ht="15">
      <c r="A1389" s="180">
        <v>45947</v>
      </c>
      <c r="B1389" s="181" t="s">
        <v>13099</v>
      </c>
      <c r="C1389" s="182" t="s">
        <v>12905</v>
      </c>
      <c r="D1389" s="182">
        <v>69044</v>
      </c>
      <c r="E1389" s="183">
        <v>76</v>
      </c>
      <c r="F1389" s="183">
        <v>2693</v>
      </c>
      <c r="G1389" s="184">
        <v>34</v>
      </c>
      <c r="H1389" s="158"/>
      <c r="I1389" s="154"/>
      <c r="J1389" s="154"/>
      <c r="K1389" s="154"/>
      <c r="L1389" s="154"/>
      <c r="M1389" s="154"/>
      <c r="N1389" s="154"/>
      <c r="O1389" s="154"/>
      <c r="P1389" s="154"/>
      <c r="Q1389" s="154"/>
      <c r="R1389" s="154"/>
      <c r="S1389" s="154"/>
      <c r="T1389" s="154"/>
      <c r="U1389" s="154"/>
      <c r="V1389" s="154"/>
      <c r="W1389" s="154"/>
      <c r="X1389" s="154"/>
      <c r="Y1389" s="154"/>
      <c r="Z1389" s="154"/>
      <c r="AA1389" s="154"/>
    </row>
    <row r="1390" spans="1:27" ht="15">
      <c r="A1390" s="180">
        <v>45948</v>
      </c>
      <c r="B1390" s="181" t="s">
        <v>13100</v>
      </c>
      <c r="C1390" s="182" t="s">
        <v>12905</v>
      </c>
      <c r="D1390" s="182">
        <v>115881</v>
      </c>
      <c r="E1390" s="183">
        <v>151</v>
      </c>
      <c r="F1390" s="183">
        <v>5792</v>
      </c>
      <c r="G1390" s="184">
        <v>38</v>
      </c>
      <c r="H1390" s="158"/>
      <c r="I1390" s="154"/>
      <c r="J1390" s="154"/>
      <c r="K1390" s="154"/>
      <c r="L1390" s="154"/>
      <c r="M1390" s="154"/>
      <c r="N1390" s="154"/>
      <c r="O1390" s="154"/>
      <c r="P1390" s="154"/>
      <c r="Q1390" s="154"/>
      <c r="R1390" s="154"/>
      <c r="S1390" s="154"/>
      <c r="T1390" s="154"/>
      <c r="U1390" s="154"/>
      <c r="V1390" s="154"/>
      <c r="W1390" s="154"/>
      <c r="X1390" s="154"/>
      <c r="Y1390" s="154"/>
      <c r="Z1390" s="154"/>
      <c r="AA1390" s="154"/>
    </row>
    <row r="1391" spans="1:27" ht="15">
      <c r="A1391" s="180">
        <v>45948</v>
      </c>
      <c r="B1391" s="181" t="s">
        <v>13101</v>
      </c>
      <c r="C1391" s="182" t="s">
        <v>12905</v>
      </c>
      <c r="D1391" s="182">
        <v>100499</v>
      </c>
      <c r="E1391" s="183">
        <v>118</v>
      </c>
      <c r="F1391" s="183">
        <v>4520</v>
      </c>
      <c r="G1391" s="184">
        <v>26</v>
      </c>
      <c r="H1391" s="158"/>
      <c r="I1391" s="154"/>
      <c r="J1391" s="154"/>
      <c r="K1391" s="154"/>
      <c r="L1391" s="154"/>
      <c r="M1391" s="154"/>
      <c r="N1391" s="154"/>
      <c r="O1391" s="154"/>
      <c r="P1391" s="154"/>
      <c r="Q1391" s="154"/>
      <c r="R1391" s="154"/>
      <c r="S1391" s="154"/>
      <c r="T1391" s="154"/>
      <c r="U1391" s="154"/>
      <c r="V1391" s="154"/>
      <c r="W1391" s="154"/>
      <c r="X1391" s="154"/>
      <c r="Y1391" s="154"/>
      <c r="Z1391" s="154"/>
      <c r="AA1391" s="154"/>
    </row>
    <row r="1392" spans="1:27" ht="15">
      <c r="A1392" s="180">
        <v>45948</v>
      </c>
      <c r="B1392" s="181" t="s">
        <v>13099</v>
      </c>
      <c r="C1392" s="182" t="s">
        <v>12905</v>
      </c>
      <c r="D1392" s="182">
        <v>8392</v>
      </c>
      <c r="E1392" s="183">
        <v>7</v>
      </c>
      <c r="F1392" s="183">
        <v>277</v>
      </c>
      <c r="G1392" s="184">
        <v>1</v>
      </c>
      <c r="H1392" s="158"/>
      <c r="I1392" s="154"/>
      <c r="J1392" s="154"/>
      <c r="K1392" s="154"/>
      <c r="L1392" s="154"/>
      <c r="M1392" s="154"/>
      <c r="N1392" s="154"/>
      <c r="O1392" s="154"/>
      <c r="P1392" s="154"/>
      <c r="Q1392" s="154"/>
      <c r="R1392" s="154"/>
      <c r="S1392" s="154"/>
      <c r="T1392" s="154"/>
      <c r="U1392" s="154"/>
      <c r="V1392" s="154"/>
      <c r="W1392" s="154"/>
      <c r="X1392" s="154"/>
      <c r="Y1392" s="154"/>
      <c r="Z1392" s="154"/>
      <c r="AA1392" s="154"/>
    </row>
    <row r="1393" spans="1:27" ht="15">
      <c r="A1393" s="180">
        <v>45950</v>
      </c>
      <c r="B1393" s="181" t="s">
        <v>13100</v>
      </c>
      <c r="C1393" s="182" t="s">
        <v>12905</v>
      </c>
      <c r="D1393" s="182">
        <v>17914</v>
      </c>
      <c r="E1393" s="183">
        <v>22</v>
      </c>
      <c r="F1393" s="183">
        <v>470</v>
      </c>
      <c r="G1393" s="184">
        <v>6</v>
      </c>
      <c r="H1393" s="158"/>
      <c r="I1393" s="154"/>
      <c r="J1393" s="154"/>
      <c r="K1393" s="154"/>
      <c r="L1393" s="154"/>
      <c r="M1393" s="154"/>
      <c r="N1393" s="154"/>
      <c r="O1393" s="154"/>
      <c r="P1393" s="154"/>
      <c r="Q1393" s="154"/>
      <c r="R1393" s="154"/>
      <c r="S1393" s="154"/>
      <c r="T1393" s="154"/>
      <c r="U1393" s="154"/>
      <c r="V1393" s="154"/>
      <c r="W1393" s="154"/>
      <c r="X1393" s="154"/>
      <c r="Y1393" s="154"/>
      <c r="Z1393" s="154"/>
      <c r="AA1393" s="154"/>
    </row>
    <row r="1394" spans="1:27" ht="15">
      <c r="A1394" s="180">
        <v>45950</v>
      </c>
      <c r="B1394" s="181" t="s">
        <v>13101</v>
      </c>
      <c r="C1394" s="182" t="s">
        <v>12905</v>
      </c>
      <c r="D1394" s="182">
        <v>14489</v>
      </c>
      <c r="E1394" s="183">
        <v>18</v>
      </c>
      <c r="F1394" s="183">
        <v>422</v>
      </c>
      <c r="G1394" s="184">
        <v>2</v>
      </c>
      <c r="H1394" s="158"/>
      <c r="I1394" s="154"/>
      <c r="J1394" s="154"/>
      <c r="K1394" s="154"/>
      <c r="L1394" s="154"/>
      <c r="M1394" s="154"/>
      <c r="N1394" s="154"/>
      <c r="O1394" s="154"/>
      <c r="P1394" s="154"/>
      <c r="Q1394" s="154"/>
      <c r="R1394" s="154"/>
      <c r="S1394" s="154"/>
      <c r="T1394" s="154"/>
      <c r="U1394" s="154"/>
      <c r="V1394" s="154"/>
      <c r="W1394" s="154"/>
      <c r="X1394" s="154"/>
      <c r="Y1394" s="154"/>
      <c r="Z1394" s="154"/>
      <c r="AA1394" s="154"/>
    </row>
    <row r="1395" spans="1:27" ht="15">
      <c r="A1395" s="180">
        <v>45950</v>
      </c>
      <c r="B1395" s="181" t="s">
        <v>13099</v>
      </c>
      <c r="C1395" s="182" t="s">
        <v>12905</v>
      </c>
      <c r="D1395" s="182">
        <v>19183</v>
      </c>
      <c r="E1395" s="183">
        <v>15</v>
      </c>
      <c r="F1395" s="183">
        <v>567</v>
      </c>
      <c r="G1395" s="184">
        <v>4</v>
      </c>
      <c r="H1395" s="158"/>
      <c r="I1395" s="154"/>
      <c r="J1395" s="154"/>
      <c r="K1395" s="154"/>
      <c r="L1395" s="154"/>
      <c r="M1395" s="154"/>
      <c r="N1395" s="154"/>
      <c r="O1395" s="154"/>
      <c r="P1395" s="154"/>
      <c r="Q1395" s="154"/>
      <c r="R1395" s="154"/>
      <c r="S1395" s="154"/>
      <c r="T1395" s="154"/>
      <c r="U1395" s="154"/>
      <c r="V1395" s="154"/>
      <c r="W1395" s="154"/>
      <c r="X1395" s="154"/>
      <c r="Y1395" s="154"/>
      <c r="Z1395" s="154"/>
      <c r="AA1395" s="154"/>
    </row>
    <row r="1396" spans="1:27" ht="15">
      <c r="A1396" s="180">
        <v>45951</v>
      </c>
      <c r="B1396" s="181" t="s">
        <v>13100</v>
      </c>
      <c r="C1396" s="182" t="s">
        <v>12905</v>
      </c>
      <c r="D1396" s="182">
        <v>32755</v>
      </c>
      <c r="E1396" s="183">
        <v>41</v>
      </c>
      <c r="F1396" s="183">
        <v>851</v>
      </c>
      <c r="G1396" s="184">
        <v>18</v>
      </c>
      <c r="H1396" s="158"/>
      <c r="I1396" s="154"/>
      <c r="J1396" s="154"/>
      <c r="K1396" s="154"/>
      <c r="L1396" s="154"/>
      <c r="M1396" s="154"/>
      <c r="N1396" s="154"/>
      <c r="O1396" s="154"/>
      <c r="P1396" s="154"/>
      <c r="Q1396" s="154"/>
      <c r="R1396" s="154"/>
      <c r="S1396" s="154"/>
      <c r="T1396" s="154"/>
      <c r="U1396" s="154"/>
      <c r="V1396" s="154"/>
      <c r="W1396" s="154"/>
      <c r="X1396" s="154"/>
      <c r="Y1396" s="154"/>
      <c r="Z1396" s="154"/>
      <c r="AA1396" s="154"/>
    </row>
    <row r="1397" spans="1:27" ht="15">
      <c r="A1397" s="180">
        <v>45951</v>
      </c>
      <c r="B1397" s="181" t="s">
        <v>13101</v>
      </c>
      <c r="C1397" s="182" t="s">
        <v>12905</v>
      </c>
      <c r="D1397" s="182">
        <v>12334</v>
      </c>
      <c r="E1397" s="183">
        <v>7</v>
      </c>
      <c r="F1397" s="183">
        <v>312</v>
      </c>
      <c r="G1397" s="184">
        <v>0</v>
      </c>
      <c r="H1397" s="158"/>
      <c r="I1397" s="154"/>
      <c r="J1397" s="154"/>
      <c r="K1397" s="154"/>
      <c r="L1397" s="154"/>
      <c r="M1397" s="154"/>
      <c r="N1397" s="154"/>
      <c r="O1397" s="154"/>
      <c r="P1397" s="154"/>
      <c r="Q1397" s="154"/>
      <c r="R1397" s="154"/>
      <c r="S1397" s="154"/>
      <c r="T1397" s="154"/>
      <c r="U1397" s="154"/>
      <c r="V1397" s="154"/>
      <c r="W1397" s="154"/>
      <c r="X1397" s="154"/>
      <c r="Y1397" s="154"/>
      <c r="Z1397" s="154"/>
      <c r="AA1397" s="154"/>
    </row>
    <row r="1398" spans="1:27" ht="15">
      <c r="A1398" s="180">
        <v>45951</v>
      </c>
      <c r="B1398" s="181" t="s">
        <v>13099</v>
      </c>
      <c r="C1398" s="182" t="s">
        <v>12905</v>
      </c>
      <c r="D1398" s="182">
        <v>8576</v>
      </c>
      <c r="E1398" s="183">
        <v>8</v>
      </c>
      <c r="F1398" s="183">
        <v>346</v>
      </c>
      <c r="G1398" s="184">
        <v>1</v>
      </c>
      <c r="H1398" s="158"/>
      <c r="I1398" s="154"/>
      <c r="J1398" s="154"/>
      <c r="K1398" s="154"/>
      <c r="L1398" s="154"/>
      <c r="M1398" s="154"/>
      <c r="N1398" s="154"/>
      <c r="O1398" s="154"/>
      <c r="P1398" s="154"/>
      <c r="Q1398" s="154"/>
      <c r="R1398" s="154"/>
      <c r="S1398" s="154"/>
      <c r="T1398" s="154"/>
      <c r="U1398" s="154"/>
      <c r="V1398" s="154"/>
      <c r="W1398" s="154"/>
      <c r="X1398" s="154"/>
      <c r="Y1398" s="154"/>
      <c r="Z1398" s="154"/>
      <c r="AA1398" s="154"/>
    </row>
    <row r="1399" spans="1:27" ht="15">
      <c r="A1399" s="180">
        <v>45951</v>
      </c>
      <c r="B1399" s="181" t="s">
        <v>13098</v>
      </c>
      <c r="C1399" s="182" t="s">
        <v>12905</v>
      </c>
      <c r="D1399" s="182">
        <v>8234</v>
      </c>
      <c r="E1399" s="183">
        <v>11</v>
      </c>
      <c r="F1399" s="183">
        <v>238</v>
      </c>
      <c r="G1399" s="184">
        <v>1</v>
      </c>
      <c r="H1399" s="158"/>
      <c r="I1399" s="154"/>
      <c r="J1399" s="154"/>
      <c r="K1399" s="154"/>
      <c r="L1399" s="154"/>
      <c r="M1399" s="154"/>
      <c r="N1399" s="154"/>
      <c r="O1399" s="154"/>
      <c r="P1399" s="154"/>
      <c r="Q1399" s="154"/>
      <c r="R1399" s="154"/>
      <c r="S1399" s="154"/>
      <c r="T1399" s="154"/>
      <c r="U1399" s="154"/>
      <c r="V1399" s="154"/>
      <c r="W1399" s="154"/>
      <c r="X1399" s="154"/>
      <c r="Y1399" s="154"/>
      <c r="Z1399" s="154"/>
      <c r="AA1399" s="154"/>
    </row>
    <row r="1400" spans="1:27" ht="15">
      <c r="A1400" s="180">
        <v>45952</v>
      </c>
      <c r="B1400" s="181" t="s">
        <v>13100</v>
      </c>
      <c r="C1400" s="182" t="s">
        <v>12905</v>
      </c>
      <c r="D1400" s="182">
        <v>13156</v>
      </c>
      <c r="E1400" s="183">
        <v>13</v>
      </c>
      <c r="F1400" s="183">
        <v>351</v>
      </c>
      <c r="G1400" s="184">
        <v>1</v>
      </c>
      <c r="H1400" s="158"/>
      <c r="I1400" s="154"/>
      <c r="J1400" s="154"/>
      <c r="K1400" s="154"/>
      <c r="L1400" s="154"/>
      <c r="M1400" s="154"/>
      <c r="N1400" s="154"/>
      <c r="O1400" s="154"/>
      <c r="P1400" s="154"/>
      <c r="Q1400" s="154"/>
      <c r="R1400" s="154"/>
      <c r="S1400" s="154"/>
      <c r="T1400" s="154"/>
      <c r="U1400" s="154"/>
      <c r="V1400" s="154"/>
      <c r="W1400" s="154"/>
      <c r="X1400" s="154"/>
      <c r="Y1400" s="154"/>
      <c r="Z1400" s="154"/>
      <c r="AA1400" s="154"/>
    </row>
    <row r="1401" spans="1:27" ht="15">
      <c r="A1401" s="180">
        <v>45952</v>
      </c>
      <c r="B1401" s="181" t="s">
        <v>13101</v>
      </c>
      <c r="C1401" s="182" t="s">
        <v>12905</v>
      </c>
      <c r="D1401" s="182">
        <v>14502</v>
      </c>
      <c r="E1401" s="183">
        <v>12</v>
      </c>
      <c r="F1401" s="183">
        <v>376</v>
      </c>
      <c r="G1401" s="184">
        <v>1</v>
      </c>
      <c r="H1401" s="158"/>
      <c r="I1401" s="154"/>
      <c r="J1401" s="154"/>
      <c r="K1401" s="154"/>
      <c r="L1401" s="154"/>
      <c r="M1401" s="154"/>
      <c r="N1401" s="154"/>
      <c r="O1401" s="154"/>
      <c r="P1401" s="154"/>
      <c r="Q1401" s="154"/>
      <c r="R1401" s="154"/>
      <c r="S1401" s="154"/>
      <c r="T1401" s="154"/>
      <c r="U1401" s="154"/>
      <c r="V1401" s="154"/>
      <c r="W1401" s="154"/>
      <c r="X1401" s="154"/>
      <c r="Y1401" s="154"/>
      <c r="Z1401" s="154"/>
      <c r="AA1401" s="154"/>
    </row>
    <row r="1402" spans="1:27" ht="15">
      <c r="A1402" s="180">
        <v>45952</v>
      </c>
      <c r="B1402" s="181" t="s">
        <v>13099</v>
      </c>
      <c r="C1402" s="182" t="s">
        <v>12905</v>
      </c>
      <c r="D1402" s="182">
        <v>20803</v>
      </c>
      <c r="E1402" s="183">
        <v>10</v>
      </c>
      <c r="F1402" s="183">
        <v>589</v>
      </c>
      <c r="G1402" s="184">
        <v>3</v>
      </c>
      <c r="H1402" s="158"/>
      <c r="I1402" s="154"/>
      <c r="J1402" s="154"/>
      <c r="K1402" s="154"/>
      <c r="L1402" s="154"/>
      <c r="M1402" s="154"/>
      <c r="N1402" s="154"/>
      <c r="O1402" s="154"/>
      <c r="P1402" s="154"/>
      <c r="Q1402" s="154"/>
      <c r="R1402" s="154"/>
      <c r="S1402" s="154"/>
      <c r="T1402" s="154"/>
      <c r="U1402" s="154"/>
      <c r="V1402" s="154"/>
      <c r="W1402" s="154"/>
      <c r="X1402" s="154"/>
      <c r="Y1402" s="154"/>
      <c r="Z1402" s="154"/>
      <c r="AA1402" s="154"/>
    </row>
    <row r="1403" spans="1:27" ht="15">
      <c r="A1403" s="180">
        <v>45953</v>
      </c>
      <c r="B1403" s="181" t="s">
        <v>13100</v>
      </c>
      <c r="C1403" s="182" t="s">
        <v>12905</v>
      </c>
      <c r="D1403" s="182">
        <v>18089</v>
      </c>
      <c r="E1403" s="183">
        <v>15</v>
      </c>
      <c r="F1403" s="183">
        <v>445</v>
      </c>
      <c r="G1403" s="184">
        <v>3</v>
      </c>
      <c r="H1403" s="158"/>
      <c r="I1403" s="154"/>
      <c r="J1403" s="154"/>
      <c r="K1403" s="154"/>
      <c r="L1403" s="154"/>
      <c r="M1403" s="154"/>
      <c r="N1403" s="154"/>
      <c r="O1403" s="154"/>
      <c r="P1403" s="154"/>
      <c r="Q1403" s="154"/>
      <c r="R1403" s="154"/>
      <c r="S1403" s="154"/>
      <c r="T1403" s="154"/>
      <c r="U1403" s="154"/>
      <c r="V1403" s="154"/>
      <c r="W1403" s="154"/>
      <c r="X1403" s="154"/>
      <c r="Y1403" s="154"/>
      <c r="Z1403" s="154"/>
      <c r="AA1403" s="154"/>
    </row>
    <row r="1404" spans="1:27" ht="15">
      <c r="A1404" s="180">
        <v>45953</v>
      </c>
      <c r="B1404" s="181" t="s">
        <v>13101</v>
      </c>
      <c r="C1404" s="182" t="s">
        <v>12905</v>
      </c>
      <c r="D1404" s="182">
        <v>22749</v>
      </c>
      <c r="E1404" s="183">
        <v>25</v>
      </c>
      <c r="F1404" s="183">
        <v>496</v>
      </c>
      <c r="G1404" s="184">
        <v>4</v>
      </c>
      <c r="H1404" s="158"/>
      <c r="I1404" s="154"/>
      <c r="J1404" s="154"/>
      <c r="K1404" s="154"/>
      <c r="L1404" s="154"/>
      <c r="M1404" s="154"/>
      <c r="N1404" s="154"/>
      <c r="O1404" s="154"/>
      <c r="P1404" s="154"/>
      <c r="Q1404" s="154"/>
      <c r="R1404" s="154"/>
      <c r="S1404" s="154"/>
      <c r="T1404" s="154"/>
      <c r="U1404" s="154"/>
      <c r="V1404" s="154"/>
      <c r="W1404" s="154"/>
      <c r="X1404" s="154"/>
      <c r="Y1404" s="154"/>
      <c r="Z1404" s="154"/>
      <c r="AA1404" s="154"/>
    </row>
    <row r="1405" spans="1:27" ht="15">
      <c r="A1405" s="180">
        <v>45953</v>
      </c>
      <c r="B1405" s="181" t="s">
        <v>13099</v>
      </c>
      <c r="C1405" s="182" t="s">
        <v>12905</v>
      </c>
      <c r="D1405" s="182">
        <v>10888</v>
      </c>
      <c r="E1405" s="183">
        <v>8</v>
      </c>
      <c r="F1405" s="183">
        <v>216</v>
      </c>
      <c r="G1405" s="184">
        <v>1</v>
      </c>
      <c r="H1405" s="158"/>
      <c r="I1405" s="154"/>
      <c r="J1405" s="154"/>
      <c r="K1405" s="154"/>
      <c r="L1405" s="154"/>
      <c r="M1405" s="154"/>
      <c r="N1405" s="154"/>
      <c r="O1405" s="154"/>
      <c r="P1405" s="154"/>
      <c r="Q1405" s="154"/>
      <c r="R1405" s="154"/>
      <c r="S1405" s="154"/>
      <c r="T1405" s="154"/>
      <c r="U1405" s="154"/>
      <c r="V1405" s="154"/>
      <c r="W1405" s="154"/>
      <c r="X1405" s="154"/>
      <c r="Y1405" s="154"/>
      <c r="Z1405" s="154"/>
      <c r="AA1405" s="154"/>
    </row>
    <row r="1406" spans="1:27" ht="15">
      <c r="A1406" s="180">
        <v>45954</v>
      </c>
      <c r="B1406" s="181" t="s">
        <v>13102</v>
      </c>
      <c r="C1406" s="182"/>
      <c r="D1406" s="182">
        <v>11601</v>
      </c>
      <c r="E1406" s="183">
        <v>6</v>
      </c>
      <c r="F1406" s="183">
        <v>187</v>
      </c>
      <c r="G1406" s="184">
        <v>0</v>
      </c>
      <c r="H1406" s="158"/>
      <c r="I1406" s="154"/>
      <c r="J1406" s="154"/>
      <c r="K1406" s="154"/>
      <c r="L1406" s="154"/>
      <c r="M1406" s="154"/>
      <c r="N1406" s="154"/>
      <c r="O1406" s="154"/>
      <c r="P1406" s="154"/>
      <c r="Q1406" s="154"/>
      <c r="R1406" s="154"/>
      <c r="S1406" s="154"/>
      <c r="T1406" s="154"/>
      <c r="U1406" s="154"/>
      <c r="V1406" s="154"/>
      <c r="W1406" s="154"/>
      <c r="X1406" s="154"/>
      <c r="Y1406" s="154"/>
      <c r="Z1406" s="154"/>
      <c r="AA1406" s="154"/>
    </row>
    <row r="1407" spans="1:27" ht="15">
      <c r="A1407" s="180">
        <v>45954</v>
      </c>
      <c r="B1407" s="181" t="s">
        <v>13103</v>
      </c>
      <c r="C1407" s="182"/>
      <c r="D1407" s="182">
        <v>32551</v>
      </c>
      <c r="E1407" s="183">
        <v>33</v>
      </c>
      <c r="F1407" s="183">
        <v>1151</v>
      </c>
      <c r="G1407" s="184">
        <v>5</v>
      </c>
      <c r="H1407" s="158"/>
      <c r="I1407" s="154"/>
      <c r="J1407" s="154"/>
      <c r="K1407" s="154"/>
      <c r="L1407" s="154"/>
      <c r="M1407" s="154"/>
      <c r="N1407" s="154"/>
      <c r="O1407" s="154"/>
      <c r="P1407" s="154"/>
      <c r="Q1407" s="154"/>
      <c r="R1407" s="154"/>
      <c r="S1407" s="154"/>
      <c r="T1407" s="154"/>
      <c r="U1407" s="154"/>
      <c r="V1407" s="154"/>
      <c r="W1407" s="154"/>
      <c r="X1407" s="154"/>
      <c r="Y1407" s="154"/>
      <c r="Z1407" s="154"/>
      <c r="AA1407" s="154"/>
    </row>
    <row r="1408" spans="1:27" ht="15">
      <c r="A1408" s="180">
        <v>45954</v>
      </c>
      <c r="B1408" s="181" t="s">
        <v>13100</v>
      </c>
      <c r="C1408" s="182" t="s">
        <v>12905</v>
      </c>
      <c r="D1408" s="182">
        <v>40351</v>
      </c>
      <c r="E1408" s="183">
        <v>20</v>
      </c>
      <c r="F1408" s="183">
        <v>648</v>
      </c>
      <c r="G1408" s="184">
        <v>4</v>
      </c>
      <c r="H1408" s="158"/>
      <c r="I1408" s="154"/>
      <c r="J1408" s="154"/>
      <c r="K1408" s="154"/>
      <c r="L1408" s="154"/>
      <c r="M1408" s="154"/>
      <c r="N1408" s="154"/>
      <c r="O1408" s="154"/>
      <c r="P1408" s="154"/>
      <c r="Q1408" s="154"/>
      <c r="R1408" s="154"/>
      <c r="S1408" s="154"/>
      <c r="T1408" s="154"/>
      <c r="U1408" s="154"/>
      <c r="V1408" s="154"/>
      <c r="W1408" s="154"/>
      <c r="X1408" s="154"/>
      <c r="Y1408" s="154"/>
      <c r="Z1408" s="154"/>
      <c r="AA1408" s="154"/>
    </row>
    <row r="1409" spans="1:27" ht="15">
      <c r="A1409" s="180">
        <v>45954</v>
      </c>
      <c r="B1409" s="181" t="s">
        <v>13101</v>
      </c>
      <c r="C1409" s="182" t="s">
        <v>12905</v>
      </c>
      <c r="D1409" s="182">
        <v>34437</v>
      </c>
      <c r="E1409" s="183">
        <v>9</v>
      </c>
      <c r="F1409" s="183">
        <v>413</v>
      </c>
      <c r="G1409" s="184">
        <v>2</v>
      </c>
      <c r="H1409" s="158"/>
      <c r="I1409" s="154"/>
      <c r="J1409" s="154"/>
      <c r="K1409" s="154"/>
      <c r="L1409" s="154"/>
      <c r="M1409" s="154"/>
      <c r="N1409" s="154"/>
      <c r="O1409" s="154"/>
      <c r="P1409" s="154"/>
      <c r="Q1409" s="154"/>
      <c r="R1409" s="154"/>
      <c r="S1409" s="154"/>
      <c r="T1409" s="154"/>
      <c r="U1409" s="154"/>
      <c r="V1409" s="154"/>
      <c r="W1409" s="154"/>
      <c r="X1409" s="154"/>
      <c r="Y1409" s="154"/>
      <c r="Z1409" s="154"/>
      <c r="AA1409" s="154"/>
    </row>
    <row r="1410" spans="1:27" ht="15">
      <c r="A1410" s="180">
        <v>45954</v>
      </c>
      <c r="B1410" s="181" t="s">
        <v>13099</v>
      </c>
      <c r="C1410" s="182" t="s">
        <v>12905</v>
      </c>
      <c r="D1410" s="182">
        <v>29953</v>
      </c>
      <c r="E1410" s="183">
        <v>13</v>
      </c>
      <c r="F1410" s="183">
        <v>311</v>
      </c>
      <c r="G1410" s="184">
        <v>4</v>
      </c>
      <c r="H1410" s="158"/>
      <c r="I1410" s="154"/>
      <c r="J1410" s="154"/>
      <c r="K1410" s="154"/>
      <c r="L1410" s="154"/>
      <c r="M1410" s="154"/>
      <c r="N1410" s="154"/>
      <c r="O1410" s="154"/>
      <c r="P1410" s="154"/>
      <c r="Q1410" s="154"/>
      <c r="R1410" s="154"/>
      <c r="S1410" s="154"/>
      <c r="T1410" s="154"/>
      <c r="U1410" s="154"/>
      <c r="V1410" s="154"/>
      <c r="W1410" s="154"/>
      <c r="X1410" s="154"/>
      <c r="Y1410" s="154"/>
      <c r="Z1410" s="154"/>
      <c r="AA1410" s="154"/>
    </row>
    <row r="1411" spans="1:27" ht="15">
      <c r="A1411" s="180">
        <v>45955</v>
      </c>
      <c r="B1411" s="181" t="s">
        <v>13102</v>
      </c>
      <c r="C1411" s="182"/>
      <c r="D1411" s="182">
        <v>144059</v>
      </c>
      <c r="E1411" s="183">
        <v>143</v>
      </c>
      <c r="F1411" s="183">
        <v>3375</v>
      </c>
      <c r="G1411" s="184">
        <v>29</v>
      </c>
      <c r="H1411" s="158"/>
      <c r="I1411" s="154"/>
      <c r="J1411" s="154"/>
      <c r="K1411" s="154"/>
      <c r="L1411" s="154"/>
      <c r="M1411" s="154"/>
      <c r="N1411" s="154"/>
      <c r="O1411" s="154"/>
      <c r="P1411" s="154"/>
      <c r="Q1411" s="154"/>
      <c r="R1411" s="154"/>
      <c r="S1411" s="154"/>
      <c r="T1411" s="154"/>
      <c r="U1411" s="154"/>
      <c r="V1411" s="154"/>
      <c r="W1411" s="154"/>
      <c r="X1411" s="154"/>
      <c r="Y1411" s="154"/>
      <c r="Z1411" s="154"/>
      <c r="AA1411" s="154"/>
    </row>
    <row r="1412" spans="1:27" ht="15">
      <c r="A1412" s="180">
        <v>45955</v>
      </c>
      <c r="B1412" s="181" t="s">
        <v>13103</v>
      </c>
      <c r="C1412" s="182"/>
      <c r="D1412" s="182">
        <v>12802</v>
      </c>
      <c r="E1412" s="183">
        <v>11</v>
      </c>
      <c r="F1412" s="183">
        <v>316</v>
      </c>
      <c r="G1412" s="184">
        <v>1</v>
      </c>
      <c r="H1412" s="158"/>
      <c r="I1412" s="154"/>
      <c r="J1412" s="154"/>
      <c r="K1412" s="154"/>
      <c r="L1412" s="154"/>
      <c r="M1412" s="154"/>
      <c r="N1412" s="154"/>
      <c r="O1412" s="154"/>
      <c r="P1412" s="154"/>
      <c r="Q1412" s="154"/>
      <c r="R1412" s="154"/>
      <c r="S1412" s="154"/>
      <c r="T1412" s="154"/>
      <c r="U1412" s="154"/>
      <c r="V1412" s="154"/>
      <c r="W1412" s="154"/>
      <c r="X1412" s="154"/>
      <c r="Y1412" s="154"/>
      <c r="Z1412" s="154"/>
      <c r="AA1412" s="154"/>
    </row>
    <row r="1413" spans="1:27" ht="15">
      <c r="A1413" s="180">
        <v>45955</v>
      </c>
      <c r="B1413" s="181" t="s">
        <v>13100</v>
      </c>
      <c r="C1413" s="182" t="s">
        <v>12905</v>
      </c>
      <c r="D1413" s="182">
        <v>10783</v>
      </c>
      <c r="E1413" s="183">
        <v>6</v>
      </c>
      <c r="F1413" s="183">
        <v>232</v>
      </c>
      <c r="G1413" s="184">
        <v>1</v>
      </c>
      <c r="H1413" s="158"/>
      <c r="I1413" s="154"/>
      <c r="J1413" s="154"/>
      <c r="K1413" s="154"/>
      <c r="L1413" s="154"/>
      <c r="M1413" s="154"/>
      <c r="N1413" s="154"/>
      <c r="O1413" s="154"/>
      <c r="P1413" s="154"/>
      <c r="Q1413" s="154"/>
      <c r="R1413" s="154"/>
      <c r="S1413" s="154"/>
      <c r="T1413" s="154"/>
      <c r="U1413" s="154"/>
      <c r="V1413" s="154"/>
      <c r="W1413" s="154"/>
      <c r="X1413" s="154"/>
      <c r="Y1413" s="154"/>
      <c r="Z1413" s="154"/>
      <c r="AA1413" s="154"/>
    </row>
    <row r="1414" spans="1:27" ht="15">
      <c r="A1414" s="180">
        <v>45955</v>
      </c>
      <c r="B1414" s="181" t="s">
        <v>13101</v>
      </c>
      <c r="C1414" s="182" t="s">
        <v>12905</v>
      </c>
      <c r="D1414" s="182">
        <v>73837</v>
      </c>
      <c r="E1414" s="183">
        <v>30</v>
      </c>
      <c r="F1414" s="183">
        <v>1118</v>
      </c>
      <c r="G1414" s="184">
        <v>9</v>
      </c>
      <c r="H1414" s="158"/>
      <c r="I1414" s="154"/>
      <c r="J1414" s="154"/>
      <c r="K1414" s="154"/>
      <c r="L1414" s="154"/>
      <c r="M1414" s="154"/>
      <c r="N1414" s="154"/>
      <c r="O1414" s="154"/>
      <c r="P1414" s="154"/>
      <c r="Q1414" s="154"/>
      <c r="R1414" s="154"/>
      <c r="S1414" s="154"/>
      <c r="T1414" s="154"/>
      <c r="U1414" s="154"/>
      <c r="V1414" s="154"/>
      <c r="W1414" s="154"/>
      <c r="X1414" s="154"/>
      <c r="Y1414" s="154"/>
      <c r="Z1414" s="154"/>
      <c r="AA1414" s="154"/>
    </row>
    <row r="1415" spans="1:27" ht="15">
      <c r="A1415" s="180">
        <v>45955</v>
      </c>
      <c r="B1415" s="181" t="s">
        <v>13099</v>
      </c>
      <c r="C1415" s="182" t="s">
        <v>12905</v>
      </c>
      <c r="D1415" s="182">
        <v>75459</v>
      </c>
      <c r="E1415" s="183">
        <v>28</v>
      </c>
      <c r="F1415" s="183">
        <v>956</v>
      </c>
      <c r="G1415" s="184">
        <v>9</v>
      </c>
      <c r="H1415" s="158"/>
      <c r="I1415" s="154"/>
      <c r="J1415" s="154"/>
      <c r="K1415" s="154"/>
      <c r="L1415" s="154"/>
      <c r="M1415" s="154"/>
      <c r="N1415" s="154"/>
      <c r="O1415" s="154"/>
      <c r="P1415" s="154"/>
      <c r="Q1415" s="154"/>
      <c r="R1415" s="154"/>
      <c r="S1415" s="154"/>
      <c r="T1415" s="154"/>
      <c r="U1415" s="154"/>
      <c r="V1415" s="154"/>
      <c r="W1415" s="154"/>
      <c r="X1415" s="154"/>
      <c r="Y1415" s="154"/>
      <c r="Z1415" s="154"/>
      <c r="AA1415" s="154"/>
    </row>
    <row r="1416" spans="1:27" ht="15">
      <c r="A1416" s="180">
        <v>45956</v>
      </c>
      <c r="B1416" s="181" t="s">
        <v>13104</v>
      </c>
      <c r="C1416" s="182" t="s">
        <v>12905</v>
      </c>
      <c r="D1416" s="182">
        <v>402</v>
      </c>
      <c r="E1416" s="183">
        <v>2</v>
      </c>
      <c r="F1416" s="183">
        <v>24</v>
      </c>
      <c r="G1416" s="184">
        <v>1</v>
      </c>
      <c r="H1416" s="158"/>
      <c r="I1416" s="154"/>
      <c r="J1416" s="154"/>
      <c r="K1416" s="154"/>
      <c r="L1416" s="154"/>
      <c r="M1416" s="154"/>
      <c r="N1416" s="154"/>
      <c r="O1416" s="154"/>
      <c r="P1416" s="154"/>
      <c r="Q1416" s="154"/>
      <c r="R1416" s="154"/>
      <c r="S1416" s="154"/>
      <c r="T1416" s="154"/>
      <c r="U1416" s="154"/>
      <c r="V1416" s="154"/>
      <c r="W1416" s="154"/>
      <c r="X1416" s="154"/>
      <c r="Y1416" s="154"/>
      <c r="Z1416" s="154"/>
      <c r="AA1416" s="154"/>
    </row>
    <row r="1417" spans="1:27" ht="15">
      <c r="A1417" s="180">
        <v>45956</v>
      </c>
      <c r="B1417" s="181" t="s">
        <v>13105</v>
      </c>
      <c r="C1417" s="182" t="s">
        <v>12905</v>
      </c>
      <c r="D1417" s="182">
        <v>13702</v>
      </c>
      <c r="E1417" s="183">
        <v>5</v>
      </c>
      <c r="F1417" s="183">
        <v>130</v>
      </c>
      <c r="G1417" s="184">
        <v>0</v>
      </c>
      <c r="H1417" s="158"/>
      <c r="I1417" s="154"/>
      <c r="J1417" s="154"/>
      <c r="K1417" s="154"/>
      <c r="L1417" s="154"/>
      <c r="M1417" s="154"/>
      <c r="N1417" s="154"/>
      <c r="O1417" s="154"/>
      <c r="P1417" s="154"/>
      <c r="Q1417" s="154"/>
      <c r="R1417" s="154"/>
      <c r="S1417" s="154"/>
      <c r="T1417" s="154"/>
      <c r="U1417" s="154"/>
      <c r="V1417" s="154"/>
      <c r="W1417" s="154"/>
      <c r="X1417" s="154"/>
      <c r="Y1417" s="154"/>
      <c r="Z1417" s="154"/>
      <c r="AA1417" s="154"/>
    </row>
    <row r="1418" spans="1:27" ht="15">
      <c r="A1418" s="180">
        <v>45956</v>
      </c>
      <c r="B1418" s="181" t="s">
        <v>13106</v>
      </c>
      <c r="C1418" s="182" t="s">
        <v>12905</v>
      </c>
      <c r="D1418" s="182">
        <v>12068</v>
      </c>
      <c r="E1418" s="183">
        <v>9</v>
      </c>
      <c r="F1418" s="183">
        <v>176</v>
      </c>
      <c r="G1418" s="184">
        <v>1</v>
      </c>
      <c r="H1418" s="158"/>
      <c r="I1418" s="154"/>
      <c r="J1418" s="154"/>
      <c r="K1418" s="154"/>
      <c r="L1418" s="154"/>
      <c r="M1418" s="154"/>
      <c r="N1418" s="154"/>
      <c r="O1418" s="154"/>
      <c r="P1418" s="154"/>
      <c r="Q1418" s="154"/>
      <c r="R1418" s="154"/>
      <c r="S1418" s="154"/>
      <c r="T1418" s="154"/>
      <c r="U1418" s="154"/>
      <c r="V1418" s="154"/>
      <c r="W1418" s="154"/>
      <c r="X1418" s="154"/>
      <c r="Y1418" s="154"/>
      <c r="Z1418" s="154"/>
      <c r="AA1418" s="154"/>
    </row>
    <row r="1419" spans="1:27" ht="15">
      <c r="A1419" s="180">
        <v>45956</v>
      </c>
      <c r="B1419" s="181" t="s">
        <v>13107</v>
      </c>
      <c r="C1419" s="182" t="s">
        <v>12905</v>
      </c>
      <c r="D1419" s="182">
        <v>1645</v>
      </c>
      <c r="E1419" s="183">
        <v>1</v>
      </c>
      <c r="F1419" s="183">
        <v>44</v>
      </c>
      <c r="G1419" s="184">
        <v>0</v>
      </c>
      <c r="H1419" s="158"/>
      <c r="I1419" s="154"/>
      <c r="J1419" s="154"/>
      <c r="K1419" s="154"/>
      <c r="L1419" s="154"/>
      <c r="M1419" s="154"/>
      <c r="N1419" s="154"/>
      <c r="O1419" s="154"/>
      <c r="P1419" s="154"/>
      <c r="Q1419" s="154"/>
      <c r="R1419" s="154"/>
      <c r="S1419" s="154"/>
      <c r="T1419" s="154"/>
      <c r="U1419" s="154"/>
      <c r="V1419" s="154"/>
      <c r="W1419" s="154"/>
      <c r="X1419" s="154"/>
      <c r="Y1419" s="154"/>
      <c r="Z1419" s="154"/>
      <c r="AA1419" s="154"/>
    </row>
    <row r="1420" spans="1:27" ht="15">
      <c r="A1420" s="180">
        <v>45956</v>
      </c>
      <c r="B1420" s="181" t="s">
        <v>13108</v>
      </c>
      <c r="C1420" s="182" t="s">
        <v>12905</v>
      </c>
      <c r="D1420" s="182">
        <v>497</v>
      </c>
      <c r="E1420" s="183">
        <v>0</v>
      </c>
      <c r="F1420" s="183">
        <v>6</v>
      </c>
      <c r="G1420" s="184">
        <v>0</v>
      </c>
      <c r="H1420" s="158"/>
      <c r="I1420" s="154"/>
      <c r="J1420" s="154"/>
      <c r="K1420" s="154"/>
      <c r="L1420" s="154"/>
      <c r="M1420" s="154"/>
      <c r="N1420" s="154"/>
      <c r="O1420" s="154"/>
      <c r="P1420" s="154"/>
      <c r="Q1420" s="154"/>
      <c r="R1420" s="154"/>
      <c r="S1420" s="154"/>
      <c r="T1420" s="154"/>
      <c r="U1420" s="154"/>
      <c r="V1420" s="154"/>
      <c r="W1420" s="154"/>
      <c r="X1420" s="154"/>
      <c r="Y1420" s="154"/>
      <c r="Z1420" s="154"/>
      <c r="AA1420" s="154"/>
    </row>
    <row r="1421" spans="1:27" ht="15">
      <c r="A1421" s="180">
        <v>45957</v>
      </c>
      <c r="B1421" s="181" t="s">
        <v>13104</v>
      </c>
      <c r="C1421" s="182" t="s">
        <v>12905</v>
      </c>
      <c r="D1421" s="182">
        <v>42311</v>
      </c>
      <c r="E1421" s="183">
        <v>14</v>
      </c>
      <c r="F1421" s="183">
        <v>732</v>
      </c>
      <c r="G1421" s="184">
        <v>1</v>
      </c>
      <c r="H1421" s="158"/>
      <c r="I1421" s="154"/>
      <c r="J1421" s="154"/>
      <c r="K1421" s="154"/>
      <c r="L1421" s="154"/>
      <c r="M1421" s="154"/>
      <c r="N1421" s="154"/>
      <c r="O1421" s="154"/>
      <c r="P1421" s="154"/>
      <c r="Q1421" s="154"/>
      <c r="R1421" s="154"/>
      <c r="S1421" s="154"/>
      <c r="T1421" s="154"/>
      <c r="U1421" s="154"/>
      <c r="V1421" s="154"/>
      <c r="W1421" s="154"/>
      <c r="X1421" s="154"/>
      <c r="Y1421" s="154"/>
      <c r="Z1421" s="154"/>
      <c r="AA1421" s="154"/>
    </row>
    <row r="1422" spans="1:27" ht="15">
      <c r="A1422" s="180">
        <v>45957</v>
      </c>
      <c r="B1422" s="181" t="s">
        <v>13105</v>
      </c>
      <c r="C1422" s="182" t="s">
        <v>12905</v>
      </c>
      <c r="D1422" s="182">
        <v>33142</v>
      </c>
      <c r="E1422" s="183">
        <v>9</v>
      </c>
      <c r="F1422" s="183">
        <v>497</v>
      </c>
      <c r="G1422" s="184">
        <v>0</v>
      </c>
      <c r="H1422" s="158"/>
      <c r="I1422" s="154"/>
      <c r="J1422" s="154"/>
      <c r="K1422" s="154"/>
      <c r="L1422" s="154"/>
      <c r="M1422" s="154"/>
      <c r="N1422" s="154"/>
      <c r="O1422" s="154"/>
      <c r="P1422" s="154"/>
      <c r="Q1422" s="154"/>
      <c r="R1422" s="154"/>
      <c r="S1422" s="154"/>
      <c r="T1422" s="154"/>
      <c r="U1422" s="154"/>
      <c r="V1422" s="154"/>
      <c r="W1422" s="154"/>
      <c r="X1422" s="154"/>
      <c r="Y1422" s="154"/>
      <c r="Z1422" s="154"/>
      <c r="AA1422" s="154"/>
    </row>
    <row r="1423" spans="1:27" ht="15">
      <c r="A1423" s="180">
        <v>45957</v>
      </c>
      <c r="B1423" s="181" t="s">
        <v>13106</v>
      </c>
      <c r="C1423" s="182" t="s">
        <v>12905</v>
      </c>
      <c r="D1423" s="182">
        <v>23316</v>
      </c>
      <c r="E1423" s="183">
        <v>11</v>
      </c>
      <c r="F1423" s="183">
        <v>244</v>
      </c>
      <c r="G1423" s="184">
        <v>2</v>
      </c>
      <c r="H1423" s="158"/>
      <c r="I1423" s="154"/>
      <c r="J1423" s="154"/>
      <c r="K1423" s="154"/>
      <c r="L1423" s="154"/>
      <c r="M1423" s="154"/>
      <c r="N1423" s="154"/>
      <c r="O1423" s="154"/>
      <c r="P1423" s="154"/>
      <c r="Q1423" s="154"/>
      <c r="R1423" s="154"/>
      <c r="S1423" s="154"/>
      <c r="T1423" s="154"/>
      <c r="U1423" s="154"/>
      <c r="V1423" s="154"/>
      <c r="W1423" s="154"/>
      <c r="X1423" s="154"/>
      <c r="Y1423" s="154"/>
      <c r="Z1423" s="154"/>
      <c r="AA1423" s="154"/>
    </row>
    <row r="1424" spans="1:27" ht="15">
      <c r="A1424" s="180">
        <v>45957</v>
      </c>
      <c r="B1424" s="181" t="s">
        <v>13107</v>
      </c>
      <c r="C1424" s="182" t="s">
        <v>12905</v>
      </c>
      <c r="D1424" s="182">
        <v>13423</v>
      </c>
      <c r="E1424" s="183">
        <v>3</v>
      </c>
      <c r="F1424" s="183">
        <v>124</v>
      </c>
      <c r="G1424" s="184">
        <v>0</v>
      </c>
      <c r="H1424" s="158"/>
      <c r="I1424" s="154"/>
      <c r="J1424" s="154"/>
      <c r="K1424" s="154"/>
      <c r="L1424" s="154"/>
      <c r="M1424" s="154"/>
      <c r="N1424" s="154"/>
      <c r="O1424" s="154"/>
      <c r="P1424" s="154"/>
      <c r="Q1424" s="154"/>
      <c r="R1424" s="154"/>
      <c r="S1424" s="154"/>
      <c r="T1424" s="154"/>
      <c r="U1424" s="154"/>
      <c r="V1424" s="154"/>
      <c r="W1424" s="154"/>
      <c r="X1424" s="154"/>
      <c r="Y1424" s="154"/>
      <c r="Z1424" s="154"/>
      <c r="AA1424" s="154"/>
    </row>
    <row r="1425" spans="1:27" ht="15">
      <c r="A1425" s="180">
        <v>45957</v>
      </c>
      <c r="B1425" s="181" t="s">
        <v>13108</v>
      </c>
      <c r="C1425" s="182" t="s">
        <v>12905</v>
      </c>
      <c r="D1425" s="182">
        <v>27232</v>
      </c>
      <c r="E1425" s="183">
        <v>8</v>
      </c>
      <c r="F1425" s="183">
        <v>223</v>
      </c>
      <c r="G1425" s="184">
        <v>3</v>
      </c>
      <c r="H1425" s="158"/>
      <c r="I1425" s="154"/>
      <c r="J1425" s="154"/>
      <c r="K1425" s="154"/>
      <c r="L1425" s="154"/>
      <c r="M1425" s="154"/>
      <c r="N1425" s="154"/>
      <c r="O1425" s="154"/>
      <c r="P1425" s="154"/>
      <c r="Q1425" s="154"/>
      <c r="R1425" s="154"/>
      <c r="S1425" s="154"/>
      <c r="T1425" s="154"/>
      <c r="U1425" s="154"/>
      <c r="V1425" s="154"/>
      <c r="W1425" s="154"/>
      <c r="X1425" s="154"/>
      <c r="Y1425" s="154"/>
      <c r="Z1425" s="154"/>
      <c r="AA1425" s="154"/>
    </row>
    <row r="1426" spans="1:27" ht="15">
      <c r="A1426" s="180">
        <v>45957</v>
      </c>
      <c r="B1426" s="181" t="s">
        <v>13097</v>
      </c>
      <c r="C1426" s="182" t="s">
        <v>12905</v>
      </c>
      <c r="D1426" s="182">
        <v>146</v>
      </c>
      <c r="E1426" s="183">
        <v>0</v>
      </c>
      <c r="F1426" s="183">
        <v>7</v>
      </c>
      <c r="G1426" s="184">
        <v>0</v>
      </c>
      <c r="H1426" s="158"/>
      <c r="I1426" s="154"/>
      <c r="J1426" s="154"/>
      <c r="K1426" s="154"/>
      <c r="L1426" s="154"/>
      <c r="M1426" s="154"/>
      <c r="N1426" s="154"/>
      <c r="O1426" s="154"/>
      <c r="P1426" s="154"/>
      <c r="Q1426" s="154"/>
      <c r="R1426" s="154"/>
      <c r="S1426" s="154"/>
      <c r="T1426" s="154"/>
      <c r="U1426" s="154"/>
      <c r="V1426" s="154"/>
      <c r="W1426" s="154"/>
      <c r="X1426" s="154"/>
      <c r="Y1426" s="154"/>
      <c r="Z1426" s="154"/>
      <c r="AA1426" s="154"/>
    </row>
    <row r="1427" spans="1:27" ht="15">
      <c r="A1427" s="180">
        <v>45957</v>
      </c>
      <c r="B1427" s="181" t="s">
        <v>13098</v>
      </c>
      <c r="C1427" s="182" t="s">
        <v>12905</v>
      </c>
      <c r="D1427" s="182">
        <v>4989</v>
      </c>
      <c r="E1427" s="183">
        <v>2</v>
      </c>
      <c r="F1427" s="183">
        <v>145</v>
      </c>
      <c r="G1427" s="184">
        <v>0</v>
      </c>
      <c r="H1427" s="158"/>
      <c r="I1427" s="154"/>
      <c r="J1427" s="154"/>
      <c r="K1427" s="154"/>
      <c r="L1427" s="154"/>
      <c r="M1427" s="154"/>
      <c r="N1427" s="154"/>
      <c r="O1427" s="154"/>
      <c r="P1427" s="154"/>
      <c r="Q1427" s="154"/>
      <c r="R1427" s="154"/>
      <c r="S1427" s="154"/>
      <c r="T1427" s="154"/>
      <c r="U1427" s="154"/>
      <c r="V1427" s="154"/>
      <c r="W1427" s="154"/>
      <c r="X1427" s="154"/>
      <c r="Y1427" s="154"/>
      <c r="Z1427" s="154"/>
      <c r="AA1427" s="154"/>
    </row>
    <row r="1428" spans="1:27" ht="15">
      <c r="A1428" s="180">
        <v>45958</v>
      </c>
      <c r="B1428" s="181" t="s">
        <v>13109</v>
      </c>
      <c r="C1428" s="182"/>
      <c r="D1428" s="182">
        <v>56140</v>
      </c>
      <c r="E1428" s="183">
        <v>32</v>
      </c>
      <c r="F1428" s="183">
        <v>754</v>
      </c>
      <c r="G1428" s="184">
        <v>5</v>
      </c>
      <c r="H1428" s="158"/>
      <c r="I1428" s="154"/>
      <c r="J1428" s="154"/>
      <c r="K1428" s="154"/>
      <c r="L1428" s="154"/>
      <c r="M1428" s="154"/>
      <c r="N1428" s="154"/>
      <c r="O1428" s="154"/>
      <c r="P1428" s="154"/>
      <c r="Q1428" s="154"/>
      <c r="R1428" s="154"/>
      <c r="S1428" s="154"/>
      <c r="T1428" s="154"/>
      <c r="U1428" s="154"/>
      <c r="V1428" s="154"/>
      <c r="W1428" s="154"/>
      <c r="X1428" s="154"/>
      <c r="Y1428" s="154"/>
      <c r="Z1428" s="154"/>
      <c r="AA1428" s="154"/>
    </row>
    <row r="1429" spans="1:27" ht="15">
      <c r="A1429" s="180">
        <v>45958</v>
      </c>
      <c r="B1429" s="181" t="s">
        <v>13110</v>
      </c>
      <c r="C1429" s="182"/>
      <c r="D1429" s="182">
        <v>45531</v>
      </c>
      <c r="E1429" s="183">
        <v>24</v>
      </c>
      <c r="F1429" s="183">
        <v>596</v>
      </c>
      <c r="G1429" s="184">
        <v>4</v>
      </c>
      <c r="H1429" s="158"/>
      <c r="I1429" s="154"/>
      <c r="J1429" s="154"/>
      <c r="K1429" s="154"/>
      <c r="L1429" s="154"/>
      <c r="M1429" s="154"/>
      <c r="N1429" s="154"/>
      <c r="O1429" s="154"/>
      <c r="P1429" s="154"/>
      <c r="Q1429" s="154"/>
      <c r="R1429" s="154"/>
      <c r="S1429" s="154"/>
      <c r="T1429" s="154"/>
      <c r="U1429" s="154"/>
      <c r="V1429" s="154"/>
      <c r="W1429" s="154"/>
      <c r="X1429" s="154"/>
      <c r="Y1429" s="154"/>
      <c r="Z1429" s="154"/>
      <c r="AA1429" s="154"/>
    </row>
    <row r="1430" spans="1:27" ht="15">
      <c r="A1430" s="180">
        <v>45958</v>
      </c>
      <c r="B1430" s="181" t="s">
        <v>13104</v>
      </c>
      <c r="C1430" s="182" t="s">
        <v>12905</v>
      </c>
      <c r="D1430" s="182">
        <v>120602</v>
      </c>
      <c r="E1430" s="183">
        <v>66</v>
      </c>
      <c r="F1430" s="183">
        <v>1601</v>
      </c>
      <c r="G1430" s="184">
        <v>16</v>
      </c>
      <c r="H1430" s="158"/>
      <c r="I1430" s="154"/>
      <c r="J1430" s="154"/>
      <c r="K1430" s="154"/>
      <c r="L1430" s="154"/>
      <c r="M1430" s="154"/>
      <c r="N1430" s="154"/>
      <c r="O1430" s="154"/>
      <c r="P1430" s="154"/>
      <c r="Q1430" s="154"/>
      <c r="R1430" s="154"/>
      <c r="S1430" s="154"/>
      <c r="T1430" s="154"/>
      <c r="U1430" s="154"/>
      <c r="V1430" s="154"/>
      <c r="W1430" s="154"/>
      <c r="X1430" s="154"/>
      <c r="Y1430" s="154"/>
      <c r="Z1430" s="154"/>
      <c r="AA1430" s="154"/>
    </row>
    <row r="1431" spans="1:27" ht="15">
      <c r="A1431" s="180">
        <v>45958</v>
      </c>
      <c r="B1431" s="181" t="s">
        <v>13106</v>
      </c>
      <c r="C1431" s="182" t="s">
        <v>12905</v>
      </c>
      <c r="D1431" s="182">
        <v>171204</v>
      </c>
      <c r="E1431" s="183">
        <v>97</v>
      </c>
      <c r="F1431" s="183">
        <v>2400</v>
      </c>
      <c r="G1431" s="184">
        <v>33</v>
      </c>
      <c r="H1431" s="158"/>
      <c r="I1431" s="154"/>
      <c r="J1431" s="154"/>
      <c r="K1431" s="154"/>
      <c r="L1431" s="154"/>
      <c r="M1431" s="154"/>
      <c r="N1431" s="154"/>
      <c r="O1431" s="154"/>
      <c r="P1431" s="154"/>
      <c r="Q1431" s="154"/>
      <c r="R1431" s="154"/>
      <c r="S1431" s="154"/>
      <c r="T1431" s="154"/>
      <c r="U1431" s="154"/>
      <c r="V1431" s="154"/>
      <c r="W1431" s="154"/>
      <c r="X1431" s="154"/>
      <c r="Y1431" s="154"/>
      <c r="Z1431" s="154"/>
      <c r="AA1431" s="154"/>
    </row>
    <row r="1432" spans="1:27" ht="15">
      <c r="A1432" s="180">
        <v>45958</v>
      </c>
      <c r="B1432" s="181" t="s">
        <v>13108</v>
      </c>
      <c r="C1432" s="182" t="s">
        <v>12905</v>
      </c>
      <c r="D1432" s="182">
        <v>111042</v>
      </c>
      <c r="E1432" s="183">
        <v>62</v>
      </c>
      <c r="F1432" s="183">
        <v>1250</v>
      </c>
      <c r="G1432" s="184">
        <v>17</v>
      </c>
      <c r="H1432" s="158"/>
      <c r="I1432" s="154"/>
      <c r="J1432" s="154"/>
      <c r="K1432" s="154"/>
      <c r="L1432" s="154"/>
      <c r="M1432" s="154"/>
      <c r="N1432" s="154"/>
      <c r="O1432" s="154"/>
      <c r="P1432" s="154"/>
      <c r="Q1432" s="154"/>
      <c r="R1432" s="154"/>
      <c r="S1432" s="154"/>
      <c r="T1432" s="154"/>
      <c r="U1432" s="154"/>
      <c r="V1432" s="154"/>
      <c r="W1432" s="154"/>
      <c r="X1432" s="154"/>
      <c r="Y1432" s="154"/>
      <c r="Z1432" s="154"/>
      <c r="AA1432" s="154"/>
    </row>
    <row r="1433" spans="1:27" ht="15">
      <c r="A1433" s="180">
        <v>45959</v>
      </c>
      <c r="B1433" s="181" t="s">
        <v>13109</v>
      </c>
      <c r="C1433" s="182"/>
      <c r="D1433" s="182">
        <v>47595</v>
      </c>
      <c r="E1433" s="183">
        <v>32</v>
      </c>
      <c r="F1433" s="183">
        <v>999</v>
      </c>
      <c r="G1433" s="184">
        <v>5</v>
      </c>
      <c r="H1433" s="158"/>
      <c r="I1433" s="154"/>
      <c r="J1433" s="154"/>
      <c r="K1433" s="154"/>
      <c r="L1433" s="154"/>
      <c r="M1433" s="154"/>
      <c r="N1433" s="154"/>
      <c r="O1433" s="154"/>
      <c r="P1433" s="154"/>
      <c r="Q1433" s="154"/>
      <c r="R1433" s="154"/>
      <c r="S1433" s="154"/>
      <c r="T1433" s="154"/>
      <c r="U1433" s="154"/>
      <c r="V1433" s="154"/>
      <c r="W1433" s="154"/>
      <c r="X1433" s="154"/>
      <c r="Y1433" s="154"/>
      <c r="Z1433" s="154"/>
      <c r="AA1433" s="154"/>
    </row>
    <row r="1434" spans="1:27" ht="15">
      <c r="A1434" s="180">
        <v>45959</v>
      </c>
      <c r="B1434" s="181" t="s">
        <v>13110</v>
      </c>
      <c r="C1434" s="182"/>
      <c r="D1434" s="182">
        <v>34030</v>
      </c>
      <c r="E1434" s="183">
        <v>19</v>
      </c>
      <c r="F1434" s="183">
        <v>1264</v>
      </c>
      <c r="G1434" s="184">
        <v>3</v>
      </c>
      <c r="H1434" s="158"/>
      <c r="I1434" s="154"/>
      <c r="J1434" s="154"/>
      <c r="K1434" s="154"/>
      <c r="L1434" s="154"/>
      <c r="M1434" s="154"/>
      <c r="N1434" s="154"/>
      <c r="O1434" s="154"/>
      <c r="P1434" s="154"/>
      <c r="Q1434" s="154"/>
      <c r="R1434" s="154"/>
      <c r="S1434" s="154"/>
      <c r="T1434" s="154"/>
      <c r="U1434" s="154"/>
      <c r="V1434" s="154"/>
      <c r="W1434" s="154"/>
      <c r="X1434" s="154"/>
      <c r="Y1434" s="154"/>
      <c r="Z1434" s="154"/>
      <c r="AA1434" s="154"/>
    </row>
    <row r="1435" spans="1:27" ht="15">
      <c r="A1435" s="180">
        <v>45959</v>
      </c>
      <c r="B1435" s="181" t="s">
        <v>13104</v>
      </c>
      <c r="C1435" s="182" t="s">
        <v>12905</v>
      </c>
      <c r="D1435" s="182">
        <v>33450</v>
      </c>
      <c r="E1435" s="183">
        <v>9</v>
      </c>
      <c r="F1435" s="183">
        <v>763</v>
      </c>
      <c r="G1435" s="184">
        <v>3</v>
      </c>
      <c r="H1435" s="158"/>
      <c r="I1435" s="154"/>
      <c r="J1435" s="154"/>
      <c r="K1435" s="154"/>
      <c r="L1435" s="154"/>
      <c r="M1435" s="154"/>
      <c r="N1435" s="154"/>
      <c r="O1435" s="154"/>
      <c r="P1435" s="154"/>
      <c r="Q1435" s="154"/>
      <c r="R1435" s="154"/>
      <c r="S1435" s="154"/>
      <c r="T1435" s="154"/>
      <c r="U1435" s="154"/>
      <c r="V1435" s="154"/>
      <c r="W1435" s="154"/>
      <c r="X1435" s="154"/>
      <c r="Y1435" s="154"/>
      <c r="Z1435" s="154"/>
      <c r="AA1435" s="154"/>
    </row>
    <row r="1436" spans="1:27" ht="15">
      <c r="A1436" s="180">
        <v>45959</v>
      </c>
      <c r="B1436" s="181" t="s">
        <v>13105</v>
      </c>
      <c r="C1436" s="182" t="s">
        <v>12905</v>
      </c>
      <c r="D1436" s="182">
        <v>12156</v>
      </c>
      <c r="E1436" s="183">
        <v>14</v>
      </c>
      <c r="F1436" s="183">
        <v>155</v>
      </c>
      <c r="G1436" s="184">
        <v>0</v>
      </c>
      <c r="H1436" s="158"/>
      <c r="I1436" s="154"/>
      <c r="J1436" s="154"/>
      <c r="K1436" s="154"/>
      <c r="L1436" s="154"/>
      <c r="M1436" s="154"/>
      <c r="N1436" s="154"/>
      <c r="O1436" s="154"/>
      <c r="P1436" s="154"/>
      <c r="Q1436" s="154"/>
      <c r="R1436" s="154"/>
      <c r="S1436" s="154"/>
      <c r="T1436" s="154"/>
      <c r="U1436" s="154"/>
      <c r="V1436" s="154"/>
      <c r="W1436" s="154"/>
      <c r="X1436" s="154"/>
      <c r="Y1436" s="154"/>
      <c r="Z1436" s="154"/>
      <c r="AA1436" s="154"/>
    </row>
    <row r="1437" spans="1:27" ht="15">
      <c r="A1437" s="180">
        <v>45959</v>
      </c>
      <c r="B1437" s="181" t="s">
        <v>13106</v>
      </c>
      <c r="C1437" s="182" t="s">
        <v>12905</v>
      </c>
      <c r="D1437" s="182">
        <v>16753</v>
      </c>
      <c r="E1437" s="183">
        <v>4</v>
      </c>
      <c r="F1437" s="183">
        <v>249</v>
      </c>
      <c r="G1437" s="184">
        <v>0</v>
      </c>
      <c r="H1437" s="158"/>
      <c r="I1437" s="154"/>
      <c r="J1437" s="154"/>
      <c r="K1437" s="154"/>
      <c r="L1437" s="154"/>
      <c r="M1437" s="154"/>
      <c r="N1437" s="154"/>
      <c r="O1437" s="154"/>
      <c r="P1437" s="154"/>
      <c r="Q1437" s="154"/>
      <c r="R1437" s="154"/>
      <c r="S1437" s="154"/>
      <c r="T1437" s="154"/>
      <c r="U1437" s="154"/>
      <c r="V1437" s="154"/>
      <c r="W1437" s="154"/>
      <c r="X1437" s="154"/>
      <c r="Y1437" s="154"/>
      <c r="Z1437" s="154"/>
      <c r="AA1437" s="154"/>
    </row>
    <row r="1438" spans="1:27" ht="15">
      <c r="A1438" s="180">
        <v>45959</v>
      </c>
      <c r="B1438" s="181" t="s">
        <v>13107</v>
      </c>
      <c r="C1438" s="182" t="s">
        <v>12905</v>
      </c>
      <c r="D1438" s="182">
        <v>20598</v>
      </c>
      <c r="E1438" s="183">
        <v>11</v>
      </c>
      <c r="F1438" s="183">
        <v>235</v>
      </c>
      <c r="G1438" s="184">
        <v>1</v>
      </c>
      <c r="H1438" s="158"/>
      <c r="I1438" s="154"/>
      <c r="J1438" s="154"/>
      <c r="K1438" s="154"/>
      <c r="L1438" s="154"/>
      <c r="M1438" s="154"/>
      <c r="N1438" s="154"/>
      <c r="O1438" s="154"/>
      <c r="P1438" s="154"/>
      <c r="Q1438" s="154"/>
      <c r="R1438" s="154"/>
      <c r="S1438" s="154"/>
      <c r="T1438" s="154"/>
      <c r="U1438" s="154"/>
      <c r="V1438" s="154"/>
      <c r="W1438" s="154"/>
      <c r="X1438" s="154"/>
      <c r="Y1438" s="154"/>
      <c r="Z1438" s="154"/>
      <c r="AA1438" s="154"/>
    </row>
    <row r="1439" spans="1:27" ht="15">
      <c r="A1439" s="180">
        <v>45959</v>
      </c>
      <c r="B1439" s="181" t="s">
        <v>13108</v>
      </c>
      <c r="C1439" s="182" t="s">
        <v>12905</v>
      </c>
      <c r="D1439" s="182">
        <v>50965</v>
      </c>
      <c r="E1439" s="183">
        <v>15</v>
      </c>
      <c r="F1439" s="183">
        <v>706</v>
      </c>
      <c r="G1439" s="184">
        <v>1</v>
      </c>
      <c r="H1439" s="158"/>
      <c r="I1439" s="154"/>
      <c r="J1439" s="154"/>
      <c r="K1439" s="154"/>
      <c r="L1439" s="154"/>
      <c r="M1439" s="154"/>
      <c r="N1439" s="154"/>
      <c r="O1439" s="154"/>
      <c r="P1439" s="154"/>
      <c r="Q1439" s="154"/>
      <c r="R1439" s="154"/>
      <c r="S1439" s="154"/>
      <c r="T1439" s="154"/>
      <c r="U1439" s="154"/>
      <c r="V1439" s="154"/>
      <c r="W1439" s="154"/>
      <c r="X1439" s="154"/>
      <c r="Y1439" s="154"/>
      <c r="Z1439" s="154"/>
      <c r="AA1439" s="154"/>
    </row>
    <row r="1440" spans="1:27" ht="15">
      <c r="A1440" s="180">
        <v>45960</v>
      </c>
      <c r="B1440" s="181" t="s">
        <v>13108</v>
      </c>
      <c r="C1440" s="182" t="s">
        <v>12905</v>
      </c>
      <c r="D1440" s="182">
        <v>1142</v>
      </c>
      <c r="E1440" s="183">
        <v>1</v>
      </c>
      <c r="F1440" s="183">
        <v>7</v>
      </c>
      <c r="G1440" s="184">
        <v>0</v>
      </c>
      <c r="H1440" s="158"/>
      <c r="I1440" s="154"/>
      <c r="J1440" s="154"/>
      <c r="K1440" s="154"/>
      <c r="L1440" s="154"/>
      <c r="M1440" s="154"/>
      <c r="N1440" s="154"/>
      <c r="O1440" s="154"/>
      <c r="P1440" s="154"/>
      <c r="Q1440" s="154"/>
      <c r="R1440" s="154"/>
      <c r="S1440" s="154"/>
      <c r="T1440" s="154"/>
      <c r="U1440" s="154"/>
      <c r="V1440" s="154"/>
      <c r="W1440" s="154"/>
      <c r="X1440" s="154"/>
      <c r="Y1440" s="154"/>
      <c r="Z1440" s="154"/>
      <c r="AA1440" s="154"/>
    </row>
    <row r="1441" spans="1:27" ht="15">
      <c r="A1441" s="180">
        <v>45961</v>
      </c>
      <c r="B1441" s="181" t="s">
        <v>13111</v>
      </c>
      <c r="C1441" s="182"/>
      <c r="D1441" s="182">
        <v>12509</v>
      </c>
      <c r="E1441" s="183">
        <v>11</v>
      </c>
      <c r="F1441" s="183">
        <v>368</v>
      </c>
      <c r="G1441" s="184">
        <v>1</v>
      </c>
      <c r="H1441" s="158"/>
      <c r="I1441" s="154"/>
      <c r="J1441" s="154"/>
      <c r="K1441" s="154"/>
      <c r="L1441" s="154"/>
      <c r="M1441" s="154"/>
      <c r="N1441" s="154"/>
      <c r="O1441" s="154"/>
      <c r="P1441" s="154"/>
      <c r="Q1441" s="154"/>
      <c r="R1441" s="154"/>
      <c r="S1441" s="154"/>
      <c r="T1441" s="154"/>
      <c r="U1441" s="154"/>
      <c r="V1441" s="154"/>
      <c r="W1441" s="154"/>
      <c r="X1441" s="154"/>
      <c r="Y1441" s="154"/>
      <c r="Z1441" s="154"/>
      <c r="AA1441" s="154"/>
    </row>
    <row r="1442" spans="1:27" ht="15">
      <c r="A1442" s="180">
        <v>45961</v>
      </c>
      <c r="B1442" s="181" t="s">
        <v>13112</v>
      </c>
      <c r="C1442" s="182"/>
      <c r="D1442" s="182">
        <v>31890</v>
      </c>
      <c r="E1442" s="183">
        <v>35</v>
      </c>
      <c r="F1442" s="183">
        <v>1132</v>
      </c>
      <c r="G1442" s="184">
        <v>8</v>
      </c>
      <c r="H1442" s="158"/>
      <c r="I1442" s="154"/>
      <c r="J1442" s="154"/>
      <c r="K1442" s="154"/>
      <c r="L1442" s="154"/>
      <c r="M1442" s="154"/>
      <c r="N1442" s="154"/>
      <c r="O1442" s="154"/>
      <c r="P1442" s="154"/>
      <c r="Q1442" s="154"/>
      <c r="R1442" s="154"/>
      <c r="S1442" s="154"/>
      <c r="T1442" s="154"/>
      <c r="U1442" s="154"/>
      <c r="V1442" s="154"/>
      <c r="W1442" s="154"/>
      <c r="X1442" s="154"/>
      <c r="Y1442" s="154"/>
      <c r="Z1442" s="154"/>
      <c r="AA1442" s="154"/>
    </row>
    <row r="1443" spans="1:27" ht="15">
      <c r="A1443" s="180">
        <v>45962</v>
      </c>
      <c r="B1443" s="181" t="s">
        <v>13113</v>
      </c>
      <c r="C1443" s="182" t="s">
        <v>12906</v>
      </c>
      <c r="D1443" s="182">
        <v>16497</v>
      </c>
      <c r="E1443" s="183">
        <v>14</v>
      </c>
      <c r="F1443" s="183">
        <v>268</v>
      </c>
      <c r="G1443" s="184">
        <v>4</v>
      </c>
      <c r="H1443" s="158"/>
      <c r="I1443" s="154"/>
      <c r="J1443" s="154"/>
      <c r="K1443" s="154"/>
      <c r="L1443" s="154"/>
      <c r="M1443" s="154"/>
      <c r="N1443" s="154"/>
      <c r="O1443" s="154"/>
      <c r="P1443" s="154"/>
      <c r="Q1443" s="154"/>
      <c r="R1443" s="154"/>
      <c r="S1443" s="154"/>
      <c r="T1443" s="154"/>
      <c r="U1443" s="154"/>
      <c r="V1443" s="154"/>
      <c r="W1443" s="154"/>
      <c r="X1443" s="154"/>
      <c r="Y1443" s="154"/>
      <c r="Z1443" s="154"/>
      <c r="AA1443" s="154"/>
    </row>
    <row r="1444" spans="1:27" ht="15">
      <c r="A1444" s="180">
        <v>45962</v>
      </c>
      <c r="B1444" s="181" t="s">
        <v>13114</v>
      </c>
      <c r="C1444" s="182" t="s">
        <v>12907</v>
      </c>
      <c r="D1444" s="182">
        <v>20774</v>
      </c>
      <c r="E1444" s="183">
        <v>6</v>
      </c>
      <c r="F1444" s="183">
        <v>259</v>
      </c>
      <c r="G1444" s="184">
        <v>2</v>
      </c>
      <c r="H1444" s="158"/>
      <c r="I1444" s="154"/>
      <c r="J1444" s="154"/>
      <c r="K1444" s="154"/>
      <c r="L1444" s="154"/>
      <c r="M1444" s="154"/>
      <c r="N1444" s="154"/>
      <c r="O1444" s="154"/>
      <c r="P1444" s="154"/>
      <c r="Q1444" s="154"/>
      <c r="R1444" s="154"/>
      <c r="S1444" s="154"/>
      <c r="T1444" s="154"/>
      <c r="U1444" s="154"/>
      <c r="V1444" s="154"/>
      <c r="W1444" s="154"/>
      <c r="X1444" s="154"/>
      <c r="Y1444" s="154"/>
      <c r="Z1444" s="154"/>
      <c r="AA1444" s="154"/>
    </row>
    <row r="1445" spans="1:27" ht="15">
      <c r="A1445" s="180">
        <v>45962</v>
      </c>
      <c r="B1445" s="181" t="s">
        <v>13111</v>
      </c>
      <c r="C1445" s="182"/>
      <c r="D1445" s="182">
        <v>9168</v>
      </c>
      <c r="E1445" s="183">
        <v>33</v>
      </c>
      <c r="F1445" s="183">
        <v>1227</v>
      </c>
      <c r="G1445" s="184">
        <v>1</v>
      </c>
      <c r="H1445" s="158"/>
      <c r="I1445" s="154"/>
      <c r="J1445" s="154"/>
      <c r="K1445" s="154"/>
      <c r="L1445" s="154"/>
      <c r="M1445" s="154"/>
      <c r="N1445" s="154"/>
      <c r="O1445" s="154"/>
      <c r="P1445" s="154"/>
      <c r="Q1445" s="154"/>
      <c r="R1445" s="154"/>
      <c r="S1445" s="154"/>
      <c r="T1445" s="154"/>
      <c r="U1445" s="154"/>
      <c r="V1445" s="154"/>
      <c r="W1445" s="154"/>
      <c r="X1445" s="154"/>
      <c r="Y1445" s="154"/>
      <c r="Z1445" s="154"/>
      <c r="AA1445" s="154"/>
    </row>
    <row r="1446" spans="1:27" ht="15">
      <c r="A1446" s="180">
        <v>45962</v>
      </c>
      <c r="B1446" s="181" t="s">
        <v>13112</v>
      </c>
      <c r="C1446" s="182"/>
      <c r="D1446" s="182">
        <v>12373</v>
      </c>
      <c r="E1446" s="183">
        <v>28</v>
      </c>
      <c r="F1446" s="183">
        <v>1826</v>
      </c>
      <c r="G1446" s="184">
        <v>2</v>
      </c>
      <c r="H1446" s="158"/>
      <c r="I1446" s="154"/>
      <c r="J1446" s="154"/>
      <c r="K1446" s="154"/>
      <c r="L1446" s="154"/>
      <c r="M1446" s="154"/>
      <c r="N1446" s="154"/>
      <c r="O1446" s="154"/>
      <c r="P1446" s="154"/>
      <c r="Q1446" s="154"/>
      <c r="R1446" s="154"/>
      <c r="S1446" s="154"/>
      <c r="T1446" s="154"/>
      <c r="U1446" s="154"/>
      <c r="V1446" s="154"/>
      <c r="W1446" s="154"/>
      <c r="X1446" s="154"/>
      <c r="Y1446" s="154"/>
      <c r="Z1446" s="154"/>
      <c r="AA1446" s="154"/>
    </row>
    <row r="1447" spans="1:27" ht="15">
      <c r="A1447" s="180">
        <v>45964</v>
      </c>
      <c r="B1447" s="181" t="s">
        <v>13111</v>
      </c>
      <c r="C1447" s="182"/>
      <c r="D1447" s="182">
        <v>115310</v>
      </c>
      <c r="E1447" s="183">
        <v>94</v>
      </c>
      <c r="F1447" s="183">
        <v>4163</v>
      </c>
      <c r="G1447" s="184">
        <v>21</v>
      </c>
      <c r="H1447" s="158"/>
      <c r="I1447" s="154"/>
      <c r="J1447" s="154"/>
      <c r="K1447" s="154"/>
      <c r="L1447" s="154"/>
      <c r="M1447" s="154"/>
      <c r="N1447" s="154"/>
      <c r="O1447" s="154"/>
      <c r="P1447" s="154"/>
      <c r="Q1447" s="154"/>
      <c r="R1447" s="154"/>
      <c r="S1447" s="154"/>
      <c r="T1447" s="154"/>
      <c r="U1447" s="154"/>
      <c r="V1447" s="154"/>
      <c r="W1447" s="154"/>
      <c r="X1447" s="154"/>
      <c r="Y1447" s="154"/>
      <c r="Z1447" s="154"/>
      <c r="AA1447" s="154"/>
    </row>
    <row r="1448" spans="1:27" ht="15">
      <c r="A1448" s="180">
        <v>45964</v>
      </c>
      <c r="B1448" s="181" t="s">
        <v>13112</v>
      </c>
      <c r="C1448" s="182"/>
      <c r="D1448" s="182">
        <v>153273</v>
      </c>
      <c r="E1448" s="183">
        <v>133</v>
      </c>
      <c r="F1448" s="183">
        <v>5223</v>
      </c>
      <c r="G1448" s="184">
        <v>29</v>
      </c>
      <c r="H1448" s="158"/>
      <c r="I1448" s="154"/>
      <c r="J1448" s="154"/>
      <c r="K1448" s="154"/>
      <c r="L1448" s="154"/>
      <c r="M1448" s="154"/>
      <c r="N1448" s="154"/>
      <c r="O1448" s="154"/>
      <c r="P1448" s="154"/>
      <c r="Q1448" s="154"/>
      <c r="R1448" s="154"/>
      <c r="S1448" s="154"/>
      <c r="T1448" s="154"/>
      <c r="U1448" s="154"/>
      <c r="V1448" s="154"/>
      <c r="W1448" s="154"/>
      <c r="X1448" s="154"/>
      <c r="Y1448" s="154"/>
      <c r="Z1448" s="154"/>
      <c r="AA1448" s="154"/>
    </row>
    <row r="1449" spans="1:27" ht="15">
      <c r="A1449" s="180">
        <v>45965</v>
      </c>
      <c r="B1449" s="181" t="s">
        <v>13115</v>
      </c>
      <c r="C1449" s="182"/>
      <c r="D1449" s="182">
        <v>28286</v>
      </c>
      <c r="E1449" s="183">
        <v>12</v>
      </c>
      <c r="F1449" s="183">
        <v>758</v>
      </c>
      <c r="G1449" s="184">
        <v>2</v>
      </c>
      <c r="H1449" s="158"/>
      <c r="I1449" s="154"/>
      <c r="J1449" s="154"/>
      <c r="K1449" s="154"/>
      <c r="L1449" s="154"/>
      <c r="M1449" s="154"/>
      <c r="N1449" s="154"/>
      <c r="O1449" s="154"/>
      <c r="P1449" s="154"/>
      <c r="Q1449" s="154"/>
      <c r="R1449" s="154"/>
      <c r="S1449" s="154"/>
      <c r="T1449" s="154"/>
      <c r="U1449" s="154"/>
      <c r="V1449" s="154"/>
      <c r="W1449" s="154"/>
      <c r="X1449" s="154"/>
      <c r="Y1449" s="154"/>
      <c r="Z1449" s="154"/>
      <c r="AA1449" s="154"/>
    </row>
    <row r="1450" spans="1:27" ht="15">
      <c r="A1450" s="180">
        <v>45965</v>
      </c>
      <c r="B1450" s="181" t="s">
        <v>13111</v>
      </c>
      <c r="C1450" s="182"/>
      <c r="D1450" s="182">
        <v>30467</v>
      </c>
      <c r="E1450" s="183">
        <v>22</v>
      </c>
      <c r="F1450" s="183">
        <v>1500</v>
      </c>
      <c r="G1450" s="184">
        <v>0</v>
      </c>
      <c r="H1450" s="158"/>
      <c r="I1450" s="154"/>
      <c r="J1450" s="154"/>
      <c r="K1450" s="154"/>
      <c r="L1450" s="154"/>
      <c r="M1450" s="154"/>
      <c r="N1450" s="154"/>
      <c r="O1450" s="154"/>
      <c r="P1450" s="154"/>
      <c r="Q1450" s="154"/>
      <c r="R1450" s="154"/>
      <c r="S1450" s="154"/>
      <c r="T1450" s="154"/>
      <c r="U1450" s="154"/>
      <c r="V1450" s="154"/>
      <c r="W1450" s="154"/>
      <c r="X1450" s="154"/>
      <c r="Y1450" s="154"/>
      <c r="Z1450" s="154"/>
      <c r="AA1450" s="154"/>
    </row>
    <row r="1451" spans="1:27" ht="15">
      <c r="A1451" s="180">
        <v>45965</v>
      </c>
      <c r="B1451" s="181" t="s">
        <v>13112</v>
      </c>
      <c r="C1451" s="182"/>
      <c r="D1451" s="182">
        <v>11147</v>
      </c>
      <c r="E1451" s="183">
        <v>17</v>
      </c>
      <c r="F1451" s="183">
        <v>673</v>
      </c>
      <c r="G1451" s="184">
        <v>0</v>
      </c>
      <c r="H1451" s="158"/>
      <c r="I1451" s="154"/>
      <c r="J1451" s="154"/>
      <c r="K1451" s="154"/>
      <c r="L1451" s="154"/>
      <c r="M1451" s="154"/>
      <c r="N1451" s="154"/>
      <c r="O1451" s="154"/>
      <c r="P1451" s="154"/>
      <c r="Q1451" s="154"/>
      <c r="R1451" s="154"/>
      <c r="S1451" s="154"/>
      <c r="T1451" s="154"/>
      <c r="U1451" s="154"/>
      <c r="V1451" s="154"/>
      <c r="W1451" s="154"/>
      <c r="X1451" s="154"/>
      <c r="Y1451" s="154"/>
      <c r="Z1451" s="154"/>
      <c r="AA1451" s="154"/>
    </row>
    <row r="1452" spans="1:27" ht="15">
      <c r="A1452" s="180">
        <v>45966</v>
      </c>
      <c r="B1452" s="181" t="s">
        <v>13116</v>
      </c>
      <c r="C1452" s="182" t="s">
        <v>12908</v>
      </c>
      <c r="D1452" s="182">
        <v>11054</v>
      </c>
      <c r="E1452" s="183">
        <v>3</v>
      </c>
      <c r="F1452" s="183">
        <v>140</v>
      </c>
      <c r="G1452" s="184">
        <v>0</v>
      </c>
      <c r="H1452" s="158"/>
      <c r="I1452" s="154"/>
      <c r="J1452" s="154"/>
      <c r="K1452" s="154"/>
      <c r="L1452" s="154"/>
      <c r="M1452" s="154"/>
      <c r="N1452" s="154"/>
      <c r="O1452" s="154"/>
      <c r="P1452" s="154"/>
      <c r="Q1452" s="154"/>
      <c r="R1452" s="154"/>
      <c r="S1452" s="154"/>
      <c r="T1452" s="154"/>
      <c r="U1452" s="154"/>
      <c r="V1452" s="154"/>
      <c r="W1452" s="154"/>
      <c r="X1452" s="154"/>
      <c r="Y1452" s="154"/>
      <c r="Z1452" s="154"/>
      <c r="AA1452" s="154"/>
    </row>
    <row r="1453" spans="1:27" ht="15">
      <c r="A1453" s="180">
        <v>45966</v>
      </c>
      <c r="B1453" s="181" t="s">
        <v>13117</v>
      </c>
      <c r="C1453" s="182" t="s">
        <v>12908</v>
      </c>
      <c r="D1453" s="182">
        <v>13359</v>
      </c>
      <c r="E1453" s="183">
        <v>2</v>
      </c>
      <c r="F1453" s="183">
        <v>167</v>
      </c>
      <c r="G1453" s="184">
        <v>0</v>
      </c>
      <c r="H1453" s="158"/>
      <c r="I1453" s="154"/>
      <c r="J1453" s="154"/>
      <c r="K1453" s="154"/>
      <c r="L1453" s="154"/>
      <c r="M1453" s="154"/>
      <c r="N1453" s="154"/>
      <c r="O1453" s="154"/>
      <c r="P1453" s="154"/>
      <c r="Q1453" s="154"/>
      <c r="R1453" s="154"/>
      <c r="S1453" s="154"/>
      <c r="T1453" s="154"/>
      <c r="U1453" s="154"/>
      <c r="V1453" s="154"/>
      <c r="W1453" s="154"/>
      <c r="X1453" s="154"/>
      <c r="Y1453" s="154"/>
      <c r="Z1453" s="154"/>
      <c r="AA1453" s="154"/>
    </row>
    <row r="1454" spans="1:27" ht="15">
      <c r="A1454" s="180">
        <v>45966</v>
      </c>
      <c r="B1454" s="181" t="s">
        <v>13118</v>
      </c>
      <c r="C1454" s="182" t="s">
        <v>12908</v>
      </c>
      <c r="D1454" s="182">
        <v>20986</v>
      </c>
      <c r="E1454" s="183">
        <v>6</v>
      </c>
      <c r="F1454" s="183">
        <v>199</v>
      </c>
      <c r="G1454" s="184">
        <v>1</v>
      </c>
      <c r="H1454" s="158"/>
      <c r="I1454" s="154"/>
      <c r="J1454" s="154"/>
      <c r="K1454" s="154"/>
      <c r="L1454" s="154"/>
      <c r="M1454" s="154"/>
      <c r="N1454" s="154"/>
      <c r="O1454" s="154"/>
      <c r="P1454" s="154"/>
      <c r="Q1454" s="154"/>
      <c r="R1454" s="154"/>
      <c r="S1454" s="154"/>
      <c r="T1454" s="154"/>
      <c r="U1454" s="154"/>
      <c r="V1454" s="154"/>
      <c r="W1454" s="154"/>
      <c r="X1454" s="154"/>
      <c r="Y1454" s="154"/>
      <c r="Z1454" s="154"/>
      <c r="AA1454" s="154"/>
    </row>
    <row r="1455" spans="1:27" ht="15">
      <c r="A1455" s="180">
        <v>45966</v>
      </c>
      <c r="B1455" s="181" t="s">
        <v>13115</v>
      </c>
      <c r="C1455" s="182"/>
      <c r="D1455" s="182">
        <v>5629</v>
      </c>
      <c r="E1455" s="183">
        <v>15</v>
      </c>
      <c r="F1455" s="183">
        <v>699</v>
      </c>
      <c r="G1455" s="184">
        <v>0</v>
      </c>
      <c r="H1455" s="158"/>
      <c r="I1455" s="154"/>
      <c r="J1455" s="154"/>
      <c r="K1455" s="154"/>
      <c r="L1455" s="154"/>
      <c r="M1455" s="154"/>
      <c r="N1455" s="154"/>
      <c r="O1455" s="154"/>
      <c r="P1455" s="154"/>
      <c r="Q1455" s="154"/>
      <c r="R1455" s="154"/>
      <c r="S1455" s="154"/>
      <c r="T1455" s="154"/>
      <c r="U1455" s="154"/>
      <c r="V1455" s="154"/>
      <c r="W1455" s="154"/>
      <c r="X1455" s="154"/>
      <c r="Y1455" s="154"/>
      <c r="Z1455" s="154"/>
      <c r="AA1455" s="154"/>
    </row>
    <row r="1456" spans="1:27" ht="15">
      <c r="A1456" s="180">
        <v>45966</v>
      </c>
      <c r="B1456" s="181" t="s">
        <v>13111</v>
      </c>
      <c r="C1456" s="182"/>
      <c r="D1456" s="182">
        <v>6429</v>
      </c>
      <c r="E1456" s="183">
        <v>10</v>
      </c>
      <c r="F1456" s="183">
        <v>367</v>
      </c>
      <c r="G1456" s="184">
        <v>0</v>
      </c>
      <c r="H1456" s="158"/>
      <c r="I1456" s="154"/>
      <c r="J1456" s="154"/>
      <c r="K1456" s="154"/>
      <c r="L1456" s="154"/>
      <c r="M1456" s="154"/>
      <c r="N1456" s="154"/>
      <c r="O1456" s="154"/>
      <c r="P1456" s="154"/>
      <c r="Q1456" s="154"/>
      <c r="R1456" s="154"/>
      <c r="S1456" s="154"/>
      <c r="T1456" s="154"/>
      <c r="U1456" s="154"/>
      <c r="V1456" s="154"/>
      <c r="W1456" s="154"/>
      <c r="X1456" s="154"/>
      <c r="Y1456" s="154"/>
      <c r="Z1456" s="154"/>
      <c r="AA1456" s="154"/>
    </row>
    <row r="1457" spans="1:27" ht="15">
      <c r="A1457" s="180">
        <v>45966</v>
      </c>
      <c r="B1457" s="181" t="s">
        <v>13112</v>
      </c>
      <c r="C1457" s="182"/>
      <c r="D1457" s="182">
        <v>9155</v>
      </c>
      <c r="E1457" s="183">
        <v>3</v>
      </c>
      <c r="F1457" s="183">
        <v>392</v>
      </c>
      <c r="G1457" s="184">
        <v>1</v>
      </c>
      <c r="H1457" s="158"/>
      <c r="I1457" s="154"/>
      <c r="J1457" s="154"/>
      <c r="K1457" s="154"/>
      <c r="L1457" s="154"/>
      <c r="M1457" s="154"/>
      <c r="N1457" s="154"/>
      <c r="O1457" s="154"/>
      <c r="P1457" s="154"/>
      <c r="Q1457" s="154"/>
      <c r="R1457" s="154"/>
      <c r="S1457" s="154"/>
      <c r="T1457" s="154"/>
      <c r="U1457" s="154"/>
      <c r="V1457" s="154"/>
      <c r="W1457" s="154"/>
      <c r="X1457" s="154"/>
      <c r="Y1457" s="154"/>
      <c r="Z1457" s="154"/>
      <c r="AA1457" s="154"/>
    </row>
    <row r="1458" spans="1:27" ht="15">
      <c r="A1458" s="180">
        <v>45967</v>
      </c>
      <c r="B1458" s="181" t="s">
        <v>13116</v>
      </c>
      <c r="C1458" s="182" t="s">
        <v>12908</v>
      </c>
      <c r="D1458" s="182">
        <v>18215</v>
      </c>
      <c r="E1458" s="183">
        <v>4</v>
      </c>
      <c r="F1458" s="183">
        <v>386</v>
      </c>
      <c r="G1458" s="184">
        <v>0</v>
      </c>
      <c r="H1458" s="158"/>
      <c r="I1458" s="154"/>
      <c r="J1458" s="154"/>
      <c r="K1458" s="154"/>
      <c r="L1458" s="154"/>
      <c r="M1458" s="154"/>
      <c r="N1458" s="154"/>
      <c r="O1458" s="154"/>
      <c r="P1458" s="154"/>
      <c r="Q1458" s="154"/>
      <c r="R1458" s="154"/>
      <c r="S1458" s="154"/>
      <c r="T1458" s="154"/>
      <c r="U1458" s="154"/>
      <c r="V1458" s="154"/>
      <c r="W1458" s="154"/>
      <c r="X1458" s="154"/>
      <c r="Y1458" s="154"/>
      <c r="Z1458" s="154"/>
      <c r="AA1458" s="154"/>
    </row>
    <row r="1459" spans="1:27" ht="15">
      <c r="A1459" s="180">
        <v>45967</v>
      </c>
      <c r="B1459" s="181" t="s">
        <v>13117</v>
      </c>
      <c r="C1459" s="182" t="s">
        <v>12908</v>
      </c>
      <c r="D1459" s="182">
        <v>7780</v>
      </c>
      <c r="E1459" s="183">
        <v>2</v>
      </c>
      <c r="F1459" s="183">
        <v>151</v>
      </c>
      <c r="G1459" s="184">
        <v>0</v>
      </c>
      <c r="H1459" s="158"/>
      <c r="I1459" s="154"/>
      <c r="J1459" s="154"/>
      <c r="K1459" s="154"/>
      <c r="L1459" s="154"/>
      <c r="M1459" s="154"/>
      <c r="N1459" s="154"/>
      <c r="O1459" s="154"/>
      <c r="P1459" s="154"/>
      <c r="Q1459" s="154"/>
      <c r="R1459" s="154"/>
      <c r="S1459" s="154"/>
      <c r="T1459" s="154"/>
      <c r="U1459" s="154"/>
      <c r="V1459" s="154"/>
      <c r="W1459" s="154"/>
      <c r="X1459" s="154"/>
      <c r="Y1459" s="154"/>
      <c r="Z1459" s="154"/>
      <c r="AA1459" s="154"/>
    </row>
    <row r="1460" spans="1:27" ht="15">
      <c r="A1460" s="180">
        <v>45967</v>
      </c>
      <c r="B1460" s="181" t="s">
        <v>13118</v>
      </c>
      <c r="C1460" s="182" t="s">
        <v>12908</v>
      </c>
      <c r="D1460" s="182">
        <v>23189</v>
      </c>
      <c r="E1460" s="183">
        <v>7</v>
      </c>
      <c r="F1460" s="183">
        <v>557</v>
      </c>
      <c r="G1460" s="184">
        <v>1</v>
      </c>
      <c r="H1460" s="158"/>
      <c r="I1460" s="154"/>
      <c r="J1460" s="154"/>
      <c r="K1460" s="154"/>
      <c r="L1460" s="154"/>
      <c r="M1460" s="154"/>
      <c r="N1460" s="154"/>
      <c r="O1460" s="154"/>
      <c r="P1460" s="154"/>
      <c r="Q1460" s="154"/>
      <c r="R1460" s="154"/>
      <c r="S1460" s="154"/>
      <c r="T1460" s="154"/>
      <c r="U1460" s="154"/>
      <c r="V1460" s="154"/>
      <c r="W1460" s="154"/>
      <c r="X1460" s="154"/>
      <c r="Y1460" s="154"/>
      <c r="Z1460" s="154"/>
      <c r="AA1460" s="154"/>
    </row>
    <row r="1461" spans="1:27" ht="15">
      <c r="A1461" s="180">
        <v>45969</v>
      </c>
      <c r="B1461" s="181" t="s">
        <v>13106</v>
      </c>
      <c r="C1461" s="182" t="s">
        <v>12905</v>
      </c>
      <c r="D1461" s="182">
        <v>138905</v>
      </c>
      <c r="E1461" s="183">
        <v>86</v>
      </c>
      <c r="F1461" s="183">
        <v>1387</v>
      </c>
      <c r="G1461" s="184">
        <v>19</v>
      </c>
      <c r="H1461" s="158"/>
      <c r="I1461" s="154"/>
      <c r="J1461" s="154"/>
      <c r="K1461" s="154"/>
      <c r="L1461" s="154"/>
      <c r="M1461" s="154"/>
      <c r="N1461" s="154"/>
      <c r="O1461" s="154"/>
      <c r="P1461" s="154"/>
      <c r="Q1461" s="154"/>
      <c r="R1461" s="154"/>
      <c r="S1461" s="154"/>
      <c r="T1461" s="154"/>
      <c r="U1461" s="154"/>
      <c r="V1461" s="154"/>
      <c r="W1461" s="154"/>
      <c r="X1461" s="154"/>
      <c r="Y1461" s="154"/>
      <c r="Z1461" s="154"/>
      <c r="AA1461" s="154"/>
    </row>
    <row r="1462" spans="1:27" ht="15">
      <c r="A1462" s="180">
        <v>45969</v>
      </c>
      <c r="B1462" s="181" t="s">
        <v>13107</v>
      </c>
      <c r="C1462" s="182" t="s">
        <v>12905</v>
      </c>
      <c r="D1462" s="182">
        <v>15136</v>
      </c>
      <c r="E1462" s="183">
        <v>4</v>
      </c>
      <c r="F1462" s="183">
        <v>89</v>
      </c>
      <c r="G1462" s="184">
        <v>1</v>
      </c>
      <c r="H1462" s="158"/>
      <c r="I1462" s="154"/>
      <c r="J1462" s="154"/>
      <c r="K1462" s="154"/>
      <c r="L1462" s="154"/>
      <c r="M1462" s="154"/>
      <c r="N1462" s="154"/>
      <c r="O1462" s="154"/>
      <c r="P1462" s="154"/>
      <c r="Q1462" s="154"/>
      <c r="R1462" s="154"/>
      <c r="S1462" s="154"/>
      <c r="T1462" s="154"/>
      <c r="U1462" s="154"/>
      <c r="V1462" s="154"/>
      <c r="W1462" s="154"/>
      <c r="X1462" s="154"/>
      <c r="Y1462" s="154"/>
      <c r="Z1462" s="154"/>
      <c r="AA1462" s="154"/>
    </row>
    <row r="1463" spans="1:27" ht="15">
      <c r="A1463" s="180">
        <v>45969</v>
      </c>
      <c r="B1463" s="181" t="s">
        <v>13108</v>
      </c>
      <c r="C1463" s="182" t="s">
        <v>12905</v>
      </c>
      <c r="D1463" s="182">
        <v>16509</v>
      </c>
      <c r="E1463" s="183">
        <v>8</v>
      </c>
      <c r="F1463" s="183">
        <v>79</v>
      </c>
      <c r="G1463" s="184">
        <v>2</v>
      </c>
      <c r="H1463" s="158"/>
      <c r="I1463" s="154"/>
      <c r="J1463" s="154"/>
      <c r="K1463" s="154"/>
      <c r="L1463" s="154"/>
      <c r="M1463" s="154"/>
      <c r="N1463" s="154"/>
      <c r="O1463" s="154"/>
      <c r="P1463" s="154"/>
      <c r="Q1463" s="154"/>
      <c r="R1463" s="154"/>
      <c r="S1463" s="154"/>
      <c r="T1463" s="154"/>
      <c r="U1463" s="154"/>
      <c r="V1463" s="154"/>
      <c r="W1463" s="154"/>
      <c r="X1463" s="154"/>
      <c r="Y1463" s="154"/>
      <c r="Z1463" s="154"/>
      <c r="AA1463" s="154"/>
    </row>
    <row r="1464" spans="1:27" ht="15">
      <c r="A1464" s="180">
        <v>45969</v>
      </c>
      <c r="B1464" s="181" t="s">
        <v>13089</v>
      </c>
      <c r="C1464" s="182" t="s">
        <v>12905</v>
      </c>
      <c r="D1464" s="182">
        <v>96483</v>
      </c>
      <c r="E1464" s="183">
        <v>48</v>
      </c>
      <c r="F1464" s="183">
        <v>1178</v>
      </c>
      <c r="G1464" s="184">
        <v>18</v>
      </c>
      <c r="H1464" s="158"/>
      <c r="I1464" s="154"/>
      <c r="J1464" s="154"/>
      <c r="K1464" s="154"/>
      <c r="L1464" s="154"/>
      <c r="M1464" s="154"/>
      <c r="N1464" s="154"/>
      <c r="O1464" s="154"/>
      <c r="P1464" s="154"/>
      <c r="Q1464" s="154"/>
      <c r="R1464" s="154"/>
      <c r="S1464" s="154"/>
      <c r="T1464" s="154"/>
      <c r="U1464" s="154"/>
      <c r="V1464" s="154"/>
      <c r="W1464" s="154"/>
      <c r="X1464" s="154"/>
      <c r="Y1464" s="154"/>
      <c r="Z1464" s="154"/>
      <c r="AA1464" s="154"/>
    </row>
    <row r="1465" spans="1:27" ht="15">
      <c r="A1465" s="180">
        <v>45971</v>
      </c>
      <c r="B1465" s="181" t="s">
        <v>13119</v>
      </c>
      <c r="C1465" s="182"/>
      <c r="D1465" s="182">
        <v>8429</v>
      </c>
      <c r="E1465" s="183">
        <v>1</v>
      </c>
      <c r="F1465" s="183">
        <v>53</v>
      </c>
      <c r="G1465" s="184">
        <v>0</v>
      </c>
      <c r="H1465" s="158"/>
      <c r="I1465" s="154"/>
      <c r="J1465" s="154"/>
      <c r="K1465" s="154"/>
      <c r="L1465" s="154"/>
      <c r="M1465" s="154"/>
      <c r="N1465" s="154"/>
      <c r="O1465" s="154"/>
      <c r="P1465" s="154"/>
      <c r="Q1465" s="154"/>
      <c r="R1465" s="154"/>
      <c r="S1465" s="154"/>
      <c r="T1465" s="154"/>
      <c r="U1465" s="154"/>
      <c r="V1465" s="154"/>
      <c r="W1465" s="154"/>
      <c r="X1465" s="154"/>
      <c r="Y1465" s="154"/>
      <c r="Z1465" s="154"/>
      <c r="AA1465" s="154"/>
    </row>
    <row r="1466" spans="1:27" ht="15">
      <c r="A1466" s="180">
        <v>45971</v>
      </c>
      <c r="B1466" s="181" t="s">
        <v>13120</v>
      </c>
      <c r="C1466" s="182"/>
      <c r="D1466" s="182">
        <v>19076</v>
      </c>
      <c r="E1466" s="183">
        <v>6</v>
      </c>
      <c r="F1466" s="183">
        <v>120</v>
      </c>
      <c r="G1466" s="184">
        <v>1</v>
      </c>
      <c r="H1466" s="158"/>
      <c r="I1466" s="154"/>
      <c r="J1466" s="154"/>
      <c r="K1466" s="154"/>
      <c r="L1466" s="154"/>
      <c r="M1466" s="154"/>
      <c r="N1466" s="154"/>
      <c r="O1466" s="154"/>
      <c r="P1466" s="154"/>
      <c r="Q1466" s="154"/>
      <c r="R1466" s="154"/>
      <c r="S1466" s="154"/>
      <c r="T1466" s="154"/>
      <c r="U1466" s="154"/>
      <c r="V1466" s="154"/>
      <c r="W1466" s="154"/>
      <c r="X1466" s="154"/>
      <c r="Y1466" s="154"/>
      <c r="Z1466" s="154"/>
      <c r="AA1466" s="154"/>
    </row>
    <row r="1467" spans="1:27" ht="15">
      <c r="A1467" s="180">
        <v>45972</v>
      </c>
      <c r="B1467" s="181" t="s">
        <v>13119</v>
      </c>
      <c r="C1467" s="182"/>
      <c r="D1467" s="182">
        <v>3989</v>
      </c>
      <c r="E1467" s="183">
        <v>0</v>
      </c>
      <c r="F1467" s="183">
        <v>79</v>
      </c>
      <c r="G1467" s="184">
        <v>0</v>
      </c>
      <c r="H1467" s="158"/>
      <c r="I1467" s="154"/>
      <c r="J1467" s="154"/>
      <c r="K1467" s="154"/>
      <c r="L1467" s="154"/>
      <c r="M1467" s="154"/>
      <c r="N1467" s="154"/>
      <c r="O1467" s="154"/>
      <c r="P1467" s="154"/>
      <c r="Q1467" s="154"/>
      <c r="R1467" s="154"/>
      <c r="S1467" s="154"/>
      <c r="T1467" s="154"/>
      <c r="U1467" s="154"/>
      <c r="V1467" s="154"/>
      <c r="W1467" s="154"/>
      <c r="X1467" s="154"/>
      <c r="Y1467" s="154"/>
      <c r="Z1467" s="154"/>
      <c r="AA1467" s="154"/>
    </row>
    <row r="1468" spans="1:27" ht="15">
      <c r="A1468" s="180">
        <v>45972</v>
      </c>
      <c r="B1468" s="181" t="s">
        <v>13120</v>
      </c>
      <c r="C1468" s="182"/>
      <c r="D1468" s="182">
        <v>9951</v>
      </c>
      <c r="E1468" s="183">
        <v>5</v>
      </c>
      <c r="F1468" s="183">
        <v>264</v>
      </c>
      <c r="G1468" s="184">
        <v>2</v>
      </c>
      <c r="H1468" s="158"/>
      <c r="I1468" s="154"/>
      <c r="J1468" s="154"/>
      <c r="K1468" s="154"/>
      <c r="L1468" s="154"/>
      <c r="M1468" s="154"/>
      <c r="N1468" s="154"/>
      <c r="O1468" s="154"/>
      <c r="P1468" s="154"/>
      <c r="Q1468" s="154"/>
      <c r="R1468" s="154"/>
      <c r="S1468" s="154"/>
      <c r="T1468" s="154"/>
      <c r="U1468" s="154"/>
      <c r="V1468" s="154"/>
      <c r="W1468" s="154"/>
      <c r="X1468" s="154"/>
      <c r="Y1468" s="154"/>
      <c r="Z1468" s="154"/>
      <c r="AA1468" s="154"/>
    </row>
    <row r="1469" spans="1:27" ht="15">
      <c r="A1469" s="180">
        <v>45972</v>
      </c>
      <c r="B1469" s="181" t="s">
        <v>13117</v>
      </c>
      <c r="C1469" s="182" t="s">
        <v>12908</v>
      </c>
      <c r="D1469" s="182">
        <v>52</v>
      </c>
      <c r="E1469" s="183">
        <v>0</v>
      </c>
      <c r="F1469" s="183">
        <v>8</v>
      </c>
      <c r="G1469" s="184">
        <v>0</v>
      </c>
      <c r="H1469" s="158"/>
      <c r="I1469" s="154"/>
      <c r="J1469" s="154"/>
      <c r="K1469" s="154"/>
      <c r="L1469" s="154"/>
      <c r="M1469" s="154"/>
      <c r="N1469" s="154"/>
      <c r="O1469" s="154"/>
      <c r="P1469" s="154"/>
      <c r="Q1469" s="154"/>
      <c r="R1469" s="154"/>
      <c r="S1469" s="154"/>
      <c r="T1469" s="154"/>
      <c r="U1469" s="154"/>
      <c r="V1469" s="154"/>
      <c r="W1469" s="154"/>
      <c r="X1469" s="154"/>
      <c r="Y1469" s="154"/>
      <c r="Z1469" s="154"/>
      <c r="AA1469" s="154"/>
    </row>
    <row r="1470" spans="1:27" ht="15">
      <c r="A1470" s="180">
        <v>45972</v>
      </c>
      <c r="B1470" s="181" t="s">
        <v>13118</v>
      </c>
      <c r="C1470" s="182" t="s">
        <v>12908</v>
      </c>
      <c r="D1470" s="182">
        <v>88</v>
      </c>
      <c r="E1470" s="183">
        <v>0</v>
      </c>
      <c r="F1470" s="183">
        <v>5</v>
      </c>
      <c r="G1470" s="184">
        <v>0</v>
      </c>
      <c r="H1470" s="158"/>
      <c r="I1470" s="154"/>
      <c r="J1470" s="154"/>
      <c r="K1470" s="154"/>
      <c r="L1470" s="154"/>
      <c r="M1470" s="154"/>
      <c r="N1470" s="154"/>
      <c r="O1470" s="154"/>
      <c r="P1470" s="154"/>
      <c r="Q1470" s="154"/>
      <c r="R1470" s="154"/>
      <c r="S1470" s="154"/>
      <c r="T1470" s="154"/>
      <c r="U1470" s="154"/>
      <c r="V1470" s="154"/>
      <c r="W1470" s="154"/>
      <c r="X1470" s="154"/>
      <c r="Y1470" s="154"/>
      <c r="Z1470" s="154"/>
      <c r="AA1470" s="154"/>
    </row>
    <row r="1471" spans="1:27" ht="15">
      <c r="A1471" s="180">
        <v>45972</v>
      </c>
      <c r="B1471" s="181" t="s">
        <v>13089</v>
      </c>
      <c r="C1471" s="182" t="s">
        <v>12905</v>
      </c>
      <c r="D1471" s="182">
        <v>15745</v>
      </c>
      <c r="E1471" s="183">
        <v>8</v>
      </c>
      <c r="F1471" s="183">
        <v>266</v>
      </c>
      <c r="G1471" s="184">
        <v>2</v>
      </c>
      <c r="H1471" s="158"/>
      <c r="I1471" s="154"/>
      <c r="J1471" s="154"/>
      <c r="K1471" s="154"/>
      <c r="L1471" s="154"/>
      <c r="M1471" s="154"/>
      <c r="N1471" s="154"/>
      <c r="O1471" s="154"/>
      <c r="P1471" s="154"/>
      <c r="Q1471" s="154"/>
      <c r="R1471" s="154"/>
      <c r="S1471" s="154"/>
      <c r="T1471" s="154"/>
      <c r="U1471" s="154"/>
      <c r="V1471" s="154"/>
      <c r="W1471" s="154"/>
      <c r="X1471" s="154"/>
      <c r="Y1471" s="154"/>
      <c r="Z1471" s="154"/>
      <c r="AA1471" s="154"/>
    </row>
    <row r="1472" spans="1:27" ht="15">
      <c r="A1472" s="180">
        <v>45974</v>
      </c>
      <c r="B1472" s="181" t="s">
        <v>13120</v>
      </c>
      <c r="C1472" s="182"/>
      <c r="D1472" s="182">
        <v>22468</v>
      </c>
      <c r="E1472" s="183">
        <v>8</v>
      </c>
      <c r="F1472" s="183">
        <v>346</v>
      </c>
      <c r="G1472" s="184">
        <v>1</v>
      </c>
      <c r="H1472" s="158"/>
      <c r="I1472" s="154"/>
      <c r="J1472" s="154"/>
      <c r="K1472" s="154"/>
      <c r="L1472" s="154"/>
      <c r="M1472" s="154"/>
      <c r="N1472" s="154"/>
      <c r="O1472" s="154"/>
      <c r="P1472" s="154"/>
      <c r="Q1472" s="154"/>
      <c r="R1472" s="154"/>
      <c r="S1472" s="154"/>
      <c r="T1472" s="154"/>
      <c r="U1472" s="154"/>
      <c r="V1472" s="154"/>
      <c r="W1472" s="154"/>
      <c r="X1472" s="154"/>
      <c r="Y1472" s="154"/>
      <c r="Z1472" s="154"/>
      <c r="AA1472" s="154"/>
    </row>
    <row r="1473" spans="1:27" ht="15">
      <c r="A1473" s="180">
        <v>45974</v>
      </c>
      <c r="B1473" s="181" t="s">
        <v>13106</v>
      </c>
      <c r="C1473" s="182" t="s">
        <v>12905</v>
      </c>
      <c r="D1473" s="182">
        <v>11783</v>
      </c>
      <c r="E1473" s="183">
        <v>14</v>
      </c>
      <c r="F1473" s="183">
        <v>653</v>
      </c>
      <c r="G1473" s="184">
        <v>1</v>
      </c>
      <c r="H1473" s="158"/>
      <c r="I1473" s="154"/>
      <c r="J1473" s="154"/>
      <c r="K1473" s="154"/>
      <c r="L1473" s="154"/>
      <c r="M1473" s="154"/>
      <c r="N1473" s="154"/>
      <c r="O1473" s="154"/>
      <c r="P1473" s="154"/>
      <c r="Q1473" s="154"/>
      <c r="R1473" s="154"/>
      <c r="S1473" s="154"/>
      <c r="T1473" s="154"/>
      <c r="U1473" s="154"/>
      <c r="V1473" s="154"/>
      <c r="W1473" s="154"/>
      <c r="X1473" s="154"/>
      <c r="Y1473" s="154"/>
      <c r="Z1473" s="154"/>
      <c r="AA1473" s="154"/>
    </row>
    <row r="1474" spans="1:27" ht="15">
      <c r="A1474" s="180">
        <v>45974</v>
      </c>
      <c r="B1474" s="181" t="s">
        <v>13089</v>
      </c>
      <c r="C1474" s="182" t="s">
        <v>12905</v>
      </c>
      <c r="D1474" s="182">
        <v>11574</v>
      </c>
      <c r="E1474" s="183">
        <v>7</v>
      </c>
      <c r="F1474" s="183">
        <v>488</v>
      </c>
      <c r="G1474" s="184">
        <v>0</v>
      </c>
      <c r="H1474" s="158"/>
      <c r="I1474" s="154"/>
      <c r="J1474" s="154"/>
      <c r="K1474" s="154"/>
      <c r="L1474" s="154"/>
      <c r="M1474" s="154"/>
      <c r="N1474" s="154"/>
      <c r="O1474" s="154"/>
      <c r="P1474" s="154"/>
      <c r="Q1474" s="154"/>
      <c r="R1474" s="154"/>
      <c r="S1474" s="154"/>
      <c r="T1474" s="154"/>
      <c r="U1474" s="154"/>
      <c r="V1474" s="154"/>
      <c r="W1474" s="154"/>
      <c r="X1474" s="154"/>
      <c r="Y1474" s="154"/>
      <c r="Z1474" s="154"/>
      <c r="AA1474" s="154"/>
    </row>
    <row r="1475" spans="1:27" ht="15">
      <c r="A1475" s="180">
        <v>45978</v>
      </c>
      <c r="B1475" s="181" t="s">
        <v>13121</v>
      </c>
      <c r="C1475" s="182" t="s">
        <v>12905</v>
      </c>
      <c r="D1475" s="182">
        <v>61613</v>
      </c>
      <c r="E1475" s="183">
        <v>35</v>
      </c>
      <c r="F1475" s="183">
        <v>735</v>
      </c>
      <c r="G1475" s="184">
        <v>3</v>
      </c>
      <c r="H1475" s="158"/>
      <c r="I1475" s="154"/>
      <c r="J1475" s="154"/>
      <c r="K1475" s="154"/>
      <c r="L1475" s="154"/>
      <c r="M1475" s="154"/>
      <c r="N1475" s="154"/>
      <c r="O1475" s="154"/>
      <c r="P1475" s="154"/>
      <c r="Q1475" s="154"/>
      <c r="R1475" s="154"/>
      <c r="S1475" s="154"/>
      <c r="T1475" s="154"/>
      <c r="U1475" s="154"/>
      <c r="V1475" s="154"/>
      <c r="W1475" s="154"/>
      <c r="X1475" s="154"/>
      <c r="Y1475" s="154"/>
      <c r="Z1475" s="154"/>
      <c r="AA1475" s="154"/>
    </row>
    <row r="1476" spans="1:27" ht="15">
      <c r="A1476" s="180">
        <v>45978</v>
      </c>
      <c r="B1476" s="181" t="s">
        <v>13120</v>
      </c>
      <c r="C1476" s="182"/>
      <c r="D1476" s="182">
        <v>66862</v>
      </c>
      <c r="E1476" s="183">
        <v>44</v>
      </c>
      <c r="F1476" s="183">
        <v>1939</v>
      </c>
      <c r="G1476" s="184">
        <v>5</v>
      </c>
      <c r="H1476" s="158"/>
      <c r="I1476" s="154"/>
      <c r="J1476" s="154"/>
      <c r="K1476" s="154"/>
      <c r="L1476" s="154"/>
      <c r="M1476" s="154"/>
      <c r="N1476" s="154"/>
      <c r="O1476" s="154"/>
      <c r="P1476" s="154"/>
      <c r="Q1476" s="154"/>
      <c r="R1476" s="154"/>
      <c r="S1476" s="154"/>
      <c r="T1476" s="154"/>
      <c r="U1476" s="154"/>
      <c r="V1476" s="154"/>
      <c r="W1476" s="154"/>
      <c r="X1476" s="154"/>
      <c r="Y1476" s="154"/>
      <c r="Z1476" s="154"/>
      <c r="AA1476" s="154"/>
    </row>
    <row r="1477" spans="1:27" ht="15">
      <c r="A1477" s="180">
        <v>45979</v>
      </c>
      <c r="B1477" s="181" t="s">
        <v>13121</v>
      </c>
      <c r="C1477" s="182" t="s">
        <v>12905</v>
      </c>
      <c r="D1477" s="182">
        <v>76687</v>
      </c>
      <c r="E1477" s="183">
        <v>79</v>
      </c>
      <c r="F1477" s="183">
        <v>2665</v>
      </c>
      <c r="G1477" s="184">
        <v>8</v>
      </c>
      <c r="H1477" s="158"/>
      <c r="I1477" s="154"/>
      <c r="J1477" s="154"/>
      <c r="K1477" s="154"/>
      <c r="L1477" s="154"/>
      <c r="M1477" s="154"/>
      <c r="N1477" s="154"/>
      <c r="O1477" s="154"/>
      <c r="P1477" s="154"/>
      <c r="Q1477" s="154"/>
      <c r="R1477" s="154"/>
      <c r="S1477" s="154"/>
      <c r="T1477" s="154"/>
      <c r="U1477" s="154"/>
      <c r="V1477" s="154"/>
      <c r="W1477" s="154"/>
      <c r="X1477" s="154"/>
      <c r="Y1477" s="154"/>
      <c r="Z1477" s="154"/>
      <c r="AA1477" s="154"/>
    </row>
    <row r="1478" spans="1:27" ht="15">
      <c r="A1478" s="180">
        <v>45979</v>
      </c>
      <c r="B1478" s="181" t="s">
        <v>13119</v>
      </c>
      <c r="C1478" s="182"/>
      <c r="D1478" s="182">
        <v>8367</v>
      </c>
      <c r="E1478" s="183">
        <v>5</v>
      </c>
      <c r="F1478" s="183">
        <v>341</v>
      </c>
      <c r="G1478" s="184">
        <v>1</v>
      </c>
      <c r="H1478" s="158"/>
      <c r="I1478" s="154"/>
      <c r="J1478" s="154"/>
      <c r="K1478" s="154"/>
      <c r="L1478" s="154"/>
      <c r="M1478" s="154"/>
      <c r="N1478" s="154"/>
      <c r="O1478" s="154"/>
      <c r="P1478" s="154"/>
      <c r="Q1478" s="154"/>
      <c r="R1478" s="154"/>
      <c r="S1478" s="154"/>
      <c r="T1478" s="154"/>
      <c r="U1478" s="154"/>
      <c r="V1478" s="154"/>
      <c r="W1478" s="154"/>
      <c r="X1478" s="154"/>
      <c r="Y1478" s="154"/>
      <c r="Z1478" s="154"/>
      <c r="AA1478" s="154"/>
    </row>
    <row r="1479" spans="1:27" ht="15">
      <c r="A1479" s="180">
        <v>45980</v>
      </c>
      <c r="B1479" s="181" t="s">
        <v>13122</v>
      </c>
      <c r="C1479" s="182" t="s">
        <v>12909</v>
      </c>
      <c r="D1479" s="182">
        <v>17018</v>
      </c>
      <c r="E1479" s="183">
        <v>7</v>
      </c>
      <c r="F1479" s="183">
        <v>142</v>
      </c>
      <c r="G1479" s="184">
        <v>1</v>
      </c>
      <c r="H1479" s="158"/>
      <c r="I1479" s="154"/>
      <c r="J1479" s="154"/>
      <c r="K1479" s="154"/>
      <c r="L1479" s="154"/>
      <c r="M1479" s="154"/>
      <c r="N1479" s="154"/>
      <c r="O1479" s="154"/>
      <c r="P1479" s="154"/>
      <c r="Q1479" s="154"/>
      <c r="R1479" s="154"/>
      <c r="S1479" s="154"/>
      <c r="T1479" s="154"/>
      <c r="U1479" s="154"/>
      <c r="V1479" s="154"/>
      <c r="W1479" s="154"/>
      <c r="X1479" s="154"/>
      <c r="Y1479" s="154"/>
      <c r="Z1479" s="154"/>
      <c r="AA1479" s="154"/>
    </row>
    <row r="1480" spans="1:27" ht="15">
      <c r="A1480" s="180">
        <v>45980</v>
      </c>
      <c r="B1480" s="181" t="s">
        <v>13123</v>
      </c>
      <c r="C1480" s="182" t="s">
        <v>12910</v>
      </c>
      <c r="D1480" s="182">
        <v>82023</v>
      </c>
      <c r="E1480" s="183">
        <v>42</v>
      </c>
      <c r="F1480" s="183">
        <v>740</v>
      </c>
      <c r="G1480" s="184">
        <v>10</v>
      </c>
      <c r="H1480" s="158"/>
      <c r="I1480" s="154"/>
      <c r="J1480" s="154"/>
      <c r="K1480" s="154"/>
      <c r="L1480" s="154"/>
      <c r="M1480" s="154"/>
      <c r="N1480" s="154"/>
      <c r="O1480" s="154"/>
      <c r="P1480" s="154"/>
      <c r="Q1480" s="154"/>
      <c r="R1480" s="154"/>
      <c r="S1480" s="154"/>
      <c r="T1480" s="154"/>
      <c r="U1480" s="154"/>
      <c r="V1480" s="154"/>
      <c r="W1480" s="154"/>
      <c r="X1480" s="154"/>
      <c r="Y1480" s="154"/>
      <c r="Z1480" s="154"/>
      <c r="AA1480" s="154"/>
    </row>
    <row r="1481" spans="1:27" ht="15">
      <c r="A1481" s="180">
        <v>45982</v>
      </c>
      <c r="B1481" s="181" t="s">
        <v>13122</v>
      </c>
      <c r="C1481" s="182" t="s">
        <v>12909</v>
      </c>
      <c r="D1481" s="182">
        <v>44894</v>
      </c>
      <c r="E1481" s="183">
        <v>12</v>
      </c>
      <c r="F1481" s="183">
        <v>267</v>
      </c>
      <c r="G1481" s="184">
        <v>2</v>
      </c>
      <c r="H1481" s="158"/>
      <c r="I1481" s="154"/>
      <c r="J1481" s="154"/>
      <c r="K1481" s="154"/>
      <c r="L1481" s="154"/>
      <c r="M1481" s="154"/>
      <c r="N1481" s="154"/>
      <c r="O1481" s="154"/>
      <c r="P1481" s="154"/>
      <c r="Q1481" s="154"/>
      <c r="R1481" s="154"/>
      <c r="S1481" s="154"/>
      <c r="T1481" s="154"/>
      <c r="U1481" s="154"/>
      <c r="V1481" s="154"/>
      <c r="W1481" s="154"/>
      <c r="X1481" s="154"/>
      <c r="Y1481" s="154"/>
      <c r="Z1481" s="154"/>
      <c r="AA1481" s="154"/>
    </row>
    <row r="1482" spans="1:27" ht="15">
      <c r="A1482" s="180">
        <v>45982</v>
      </c>
      <c r="B1482" s="181" t="s">
        <v>13123</v>
      </c>
      <c r="C1482" s="182" t="s">
        <v>12910</v>
      </c>
      <c r="D1482" s="182">
        <v>78810</v>
      </c>
      <c r="E1482" s="183">
        <v>35</v>
      </c>
      <c r="F1482" s="183">
        <v>819</v>
      </c>
      <c r="G1482" s="184">
        <v>8</v>
      </c>
      <c r="H1482" s="158"/>
      <c r="I1482" s="154"/>
      <c r="J1482" s="154"/>
      <c r="K1482" s="154"/>
      <c r="L1482" s="154"/>
      <c r="M1482" s="154"/>
      <c r="N1482" s="154"/>
      <c r="O1482" s="154"/>
      <c r="P1482" s="154"/>
      <c r="Q1482" s="154"/>
      <c r="R1482" s="154"/>
      <c r="S1482" s="154"/>
      <c r="T1482" s="154"/>
      <c r="U1482" s="154"/>
      <c r="V1482" s="154"/>
      <c r="W1482" s="154"/>
      <c r="X1482" s="154"/>
      <c r="Y1482" s="154"/>
      <c r="Z1482" s="154"/>
      <c r="AA1482" s="154"/>
    </row>
    <row r="1483" spans="1:27" ht="15">
      <c r="A1483" s="180">
        <v>45983</v>
      </c>
      <c r="B1483" s="181" t="s">
        <v>13123</v>
      </c>
      <c r="C1483" s="182" t="s">
        <v>12910</v>
      </c>
      <c r="D1483" s="182">
        <v>44304</v>
      </c>
      <c r="E1483" s="183">
        <v>13</v>
      </c>
      <c r="F1483" s="183">
        <v>478</v>
      </c>
      <c r="G1483" s="184">
        <v>3</v>
      </c>
      <c r="H1483" s="158"/>
      <c r="I1483" s="154"/>
      <c r="J1483" s="154"/>
      <c r="K1483" s="154"/>
      <c r="L1483" s="154"/>
      <c r="M1483" s="154"/>
      <c r="N1483" s="154"/>
      <c r="O1483" s="154"/>
      <c r="P1483" s="154"/>
      <c r="Q1483" s="154"/>
      <c r="R1483" s="154"/>
      <c r="S1483" s="154"/>
      <c r="T1483" s="154"/>
      <c r="U1483" s="154"/>
      <c r="V1483" s="154"/>
      <c r="W1483" s="154"/>
      <c r="X1483" s="154"/>
      <c r="Y1483" s="154"/>
      <c r="Z1483" s="154"/>
      <c r="AA1483" s="1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Data Order</vt:lpstr>
      <vt:lpstr>Log</vt:lpstr>
      <vt:lpstr>Performa Iklan Klien</vt:lpstr>
      <vt:lpstr>Performa Iklan</vt:lpstr>
      <vt:lpstr>LinkWhatsappLaporan</vt:lpstr>
      <vt:lpstr>Performa Iklan Klien By Usia</vt:lpstr>
      <vt:lpstr>Performa Iklan Klien By Lokasi</vt:lpstr>
      <vt:lpstr>Performa Iklan Klien By Placeme</vt:lpstr>
      <vt:lpstr>Rekap Performa Iklan</vt:lpstr>
      <vt:lpstr>Resume Iklan</vt:lpstr>
      <vt:lpstr>Konfigurasi</vt:lpstr>
      <vt:lpstr>Laporan CS Raw</vt:lpstr>
      <vt:lpstr>Performa CS</vt:lpstr>
      <vt:lpstr>Kontak</vt:lpstr>
      <vt:lpstr>AccountId</vt:lpstr>
      <vt:lpstr>Laporan CS</vt:lpstr>
      <vt:lpstr>Fanspage</vt:lpstr>
      <vt:lpstr>Master Harga</vt:lpstr>
      <vt:lpstr>Data Iklan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Rudianto Rudianto</cp:lastModifiedBy>
  <dcterms:created xsi:type="dcterms:W3CDTF">2026-02-20T00:16:30Z</dcterms:created>
  <dcterms:modified xsi:type="dcterms:W3CDTF">2026-02-20T00:16:31Z</dcterms:modified>
</cp:coreProperties>
</file>